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vmlDrawing1.vml" ContentType="application/vnd.openxmlformats-officedocument.vmlDrawing"/>
  <Override PartName="/xl/drawings/drawing7.xml" ContentType="application/vnd.openxmlformats-officedocument.drawing+xml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6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ales" sheetId="2" state="visible" r:id="rId4"/>
    <sheet name="Purchases" sheetId="3" state="visible" r:id="rId5"/>
    <sheet name="CashBook" sheetId="4" state="visible" r:id="rId6"/>
    <sheet name="Items" sheetId="5" state="visible" r:id="rId7"/>
    <sheet name="Parties" sheetId="6" state="visible" r:id="rId8"/>
    <sheet name="Adjustments" sheetId="7" state="visible" r:id="rId9"/>
    <sheet name="Invoice" sheetId="8" state="visible" r:id="rId10"/>
    <sheet name="Reports" sheetId="9" state="visible" r:id="rId11"/>
    <sheet name="Settings" sheetId="10" state="visible" r:id="rId12"/>
    <sheet name="Plans" sheetId="11" state="visible" r:id="rId13"/>
    <sheet name="Guide" sheetId="12" state="visible" r:id="rId14"/>
    <sheet name="Lic" sheetId="13" state="hidden" r:id="rId15"/>
  </sheets>
  <definedNames>
    <definedName function="false" hidden="true" localSheetId="6" name="_xlnm._FilterDatabase" vbProcedure="false">Adjustments!$A$4:$G$504</definedName>
    <definedName function="false" hidden="true" localSheetId="3" name="_xlnm._FilterDatabase" vbProcedure="false">CashBook!$A$4:$K$3004</definedName>
    <definedName function="false" hidden="false" localSheetId="7" name="_xlnm.Print_Area" vbProcedure="false">Invoice!$A$1:$K$43</definedName>
    <definedName function="false" hidden="true" localSheetId="4" name="_xlnm._FilterDatabase" vbProcedure="false">Items!$A$4:$Z$504</definedName>
    <definedName function="false" hidden="true" localSheetId="5" name="_xlnm._FilterDatabase" vbProcedure="false">Parties!$A$4:$S$304</definedName>
    <definedName function="false" hidden="true" localSheetId="2" name="_xlnm._FilterDatabase" vbProcedure="false">Purchases!$A$4:$S$3004</definedName>
    <definedName function="false" hidden="true" localSheetId="1" name="_xlnm._FilterDatabase" vbProcedure="false">Sales!$A$4:$X$3004</definedName>
    <definedName function="false" hidden="false" name="AsOf" vbProcedure="false">Settings!$B$10</definedName>
    <definedName function="false" hidden="false" name="CoAddr" vbProcedure="false">Settings!$B$5</definedName>
    <definedName function="false" hidden="false" name="CoBank" vbProcedure="false">Settings!$B$13</definedName>
    <definedName function="false" hidden="false" name="CoGSTIN" vbProcedure="false">Settings!$B$6</definedName>
    <definedName function="false" hidden="false" name="CoName" vbProcedure="false">Settings!$B$4</definedName>
    <definedName function="false" hidden="false" name="CoPhone" vbProcedure="false">Settings!$B$8</definedName>
    <definedName function="false" hidden="false" name="DeadDays" vbProcedure="false">Settings!$B$12</definedName>
    <definedName function="false" hidden="false" name="DFrom" vbProcedure="false">Dashboard!$D$4</definedName>
    <definedName function="false" hidden="false" name="DTo" vbProcedure="false">Dashboard!$G$4</definedName>
    <definedName function="false" hidden="false" name="FYStart" vbProcedure="false">Settings!$B$9</definedName>
    <definedName function="false" hidden="false" name="HomeState" vbProcedure="false">Settings!$B$7</definedName>
    <definedName function="false" hidden="false" name="InvPrefix" vbProcedure="false">Settings!$B$11</definedName>
    <definedName function="false" hidden="false" name="IsPro" vbProcedure="false">Lic!$A$10</definedName>
    <definedName function="false" hidden="false" name="LicExpiry" vbProcedure="false">Lic!$A$4</definedName>
    <definedName function="false" hidden="false" name="LicId" vbProcedure="false">Settings!$B$14</definedName>
    <definedName function="false" hidden="false" name="LicKey" vbProcedure="false">Settings!$B$15</definedName>
    <definedName function="false" hidden="false" name="LicStatus" vbProcedure="false">Lic!$A$13</definedName>
    <definedName function="false" hidden="false" name="L_Accounts" vbProcedure="false">OFFSET(Settings!$A$18,0,0,MAX(1,COUNTA(Settings!$A$18:$A$25)),1)</definedName>
    <definedName function="false" hidden="false" name="L_AdjReasons" vbProcedure="false">OFFSET(Settings!$L$5,0,0,MAX(1,COUNTA(Settings!$L$5:$L$44)),1)</definedName>
    <definedName function="false" hidden="false" name="L_Categories" vbProcedure="false">OFFSET(Settings!$D$5,0,0,MAX(1,COUNTA(Settings!$D$5:$D$44)),1)</definedName>
    <definedName function="false" hidden="false" name="L_DeliveryStatus" vbProcedure="false">OFFSET(Settings!$K$5,0,0,MAX(1,COUNTA(Settings!$K$5:$K$44)),1)</definedName>
    <definedName function="false" hidden="false" name="L_ExpenseHeads" vbProcedure="false">OFFSET(Settings!$I$5,0,0,MAX(1,COUNTA(Settings!$I$5:$I$44)),1)</definedName>
    <definedName function="false" hidden="false" name="L_GSTRates" vbProcedure="false">OFFSET(Settings!$F$5,0,0,MAX(1,COUNTA(Settings!$F$5:$F$44)),1)</definedName>
    <definedName function="false" hidden="false" name="L_Items" vbProcedure="false">OFFSET(Items!$A$5,0,0,MAX(1,COUNTA(Items!$A$5:$A$504)),1)</definedName>
    <definedName function="false" hidden="false" name="L_Parties" vbProcedure="false">OFFSET(Parties!$A$5,0,0,MAX(1,COUNTA(Parties!$A$5:$A$304)),1)</definedName>
    <definedName function="false" hidden="false" name="L_PartyTypes" vbProcedure="false">OFFSET(Settings!$J$5,0,0,MAX(1,COUNTA(Settings!$J$5:$J$44)),1)</definedName>
    <definedName function="false" hidden="false" name="L_PayModes" vbProcedure="false">OFFSET(Settings!$G$5,0,0,MAX(1,COUNTA(Settings!$G$5:$G$44)),1)</definedName>
    <definedName function="false" hidden="false" name="L_States" vbProcedure="false">OFFSET(Settings!$M$5,0,0,MAX(1,COUNTA(Settings!$M$5:$M$44)),1)</definedName>
    <definedName function="false" hidden="false" name="L_Units" vbProcedure="false">OFFSET(Settings!$E$5,0,0,MAX(1,COUNTA(Settings!$E$5:$E$44)),1)</definedName>
    <definedName function="false" hidden="false" name="L_VoucherTypes" vbProcedure="false">OFFSET(Settings!$H$5,0,0,MAX(1,COUNTA(Settings!$H$5:$H$44)),1)</definedName>
    <definedName function="false" hidden="false" name="OverFreeLimit" vbProcedure="false">MAX(COUNTA(Sales!$D$5:$D$3004),COUNTA(Purchases!$D$5:$D$3004),COUNTA(CashBook!$C$5:$C$3004))&gt;200</definedName>
    <definedName function="false" hidden="false" name="TxRows" vbProcedure="false">Lic!$A$11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4" authorId="0">
      <text>
        <r>
          <rPr>
            <sz val="10"/>
            <rFont val="Arial"/>
            <family val="2"/>
          </rPr>
          <t xml:space="preserve">Days since the last receipt from this party (or since the last sale if nothing was ever received). OVERDUE when this exceeds Credit Days.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7" authorId="0">
      <text>
        <r>
          <rPr>
            <sz val="10"/>
            <rFont val="Arial"/>
            <family val="2"/>
          </rPr>
          <t xml:space="preserve">Defaults to the latest invoice. Overwrite with any invoice number to reprint it.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Leave as =TODAY() for live reports, or type a fixed date to view history. This is the ONLY volatile formula in the workbook.</t>
        </r>
      </text>
    </comment>
    <comment ref="B15" authorId="0">
      <text>
        <r>
          <rPr>
            <sz val="10"/>
            <rFont val="Arial"/>
            <family val="2"/>
          </rPr>
          <t xml:space="preserve">Paste the key you received after buying Pro, e.g. PRO-H270415-7QZ4. It works only with the mobile number above. See the Plans sheet.</t>
        </r>
      </text>
    </comment>
  </commentList>
</comments>
</file>

<file path=xl/sharedStrings.xml><?xml version="1.0" encoding="utf-8"?>
<sst xmlns="http://schemas.openxmlformats.org/spreadsheetml/2006/main" count="1971" uniqueCount="761">
  <si>
    <t xml:space="preserve">From</t>
  </si>
  <si>
    <t xml:space="preserve">To</t>
  </si>
  <si>
    <t xml:space="preserve">← overwrite these dates to analyse any period</t>
  </si>
  <si>
    <t xml:space="preserve">New Sale</t>
  </si>
  <si>
    <t xml:space="preserve">Purchase</t>
  </si>
  <si>
    <t xml:space="preserve">Cash Book</t>
  </si>
  <si>
    <t xml:space="preserve">Items</t>
  </si>
  <si>
    <t xml:space="preserve">Parties</t>
  </si>
  <si>
    <t xml:space="preserve">Invoice</t>
  </si>
  <si>
    <t xml:space="preserve">Adjust</t>
  </si>
  <si>
    <t xml:space="preserve">Reports</t>
  </si>
  <si>
    <t xml:space="preserve">Settings</t>
  </si>
  <si>
    <t xml:space="preserve">Guide</t>
  </si>
  <si>
    <t xml:space="preserve">PRO Plans</t>
  </si>
  <si>
    <t xml:space="preserve">SALES (excl. GST)</t>
  </si>
  <si>
    <t xml:space="preserve">GROSS PROFIT</t>
  </si>
  <si>
    <t xml:space="preserve">NET PROFIT</t>
  </si>
  <si>
    <t xml:space="preserve">PURCHASES (excl. GST)</t>
  </si>
  <si>
    <t xml:space="preserve">EXPENSES</t>
  </si>
  <si>
    <t xml:space="preserve">GP MARGIN</t>
  </si>
  <si>
    <t xml:space="preserve">RECEIVABLES (owed to you)</t>
  </si>
  <si>
    <t xml:space="preserve">PAYABLES (you owe)</t>
  </si>
  <si>
    <t xml:space="preserve">STOCK VALUE (at cost)</t>
  </si>
  <si>
    <t xml:space="preserve">NET GST PAYABLE</t>
  </si>
  <si>
    <t xml:space="preserve">ITEMS TO REORDER</t>
  </si>
  <si>
    <t xml:space="preserve">DEAD-STOCK ITEMS</t>
  </si>
  <si>
    <t xml:space="preserve">OVERDUE CUSTOMERS</t>
  </si>
  <si>
    <t xml:space="preserve">PENDING DELIVERIES (lines)</t>
  </si>
  <si>
    <t xml:space="preserve">NEXT INVOICE No.</t>
  </si>
  <si>
    <t xml:space="preserve">CASH &amp; BANK BALANCES (as of 'To' date)</t>
  </si>
  <si>
    <t xml:space="preserve">TOP 10 ITEMS BY SALES (all time)</t>
  </si>
  <si>
    <t xml:space="preserve">Account</t>
  </si>
  <si>
    <t xml:space="preserve">Opening</t>
  </si>
  <si>
    <t xml:space="preserve">In</t>
  </si>
  <si>
    <t xml:space="preserve">Out</t>
  </si>
  <si>
    <t xml:space="preserve">Balance</t>
  </si>
  <si>
    <t xml:space="preserve">#</t>
  </si>
  <si>
    <t xml:space="preserve">Item</t>
  </si>
  <si>
    <t xml:space="preserve">Sales (₹)</t>
  </si>
  <si>
    <t xml:space="preserve">Stock</t>
  </si>
  <si>
    <t xml:space="preserve">Status</t>
  </si>
  <si>
    <t xml:space="preserve">TOTAL LIQUIDITY</t>
  </si>
  <si>
    <t xml:space="preserve">SALES / INVOICES (DELIVER)</t>
  </si>
  <si>
    <t xml:space="preserve">« Home</t>
  </si>
  <si>
    <t xml:space="preserve">One line per item sold. Keep all lines of an invoice together. Leave Rate blank to use the standard sale rate.</t>
  </si>
  <si>
    <t xml:space="preserve">Blue / cream = type here</t>
  </si>
  <si>
    <t xml:space="preserve">Grey = automatic (do not type)</t>
  </si>
  <si>
    <t xml:space="preserve">Date *</t>
  </si>
  <si>
    <t xml:space="preserve">Invoice No *</t>
  </si>
  <si>
    <t xml:space="preserve">Customer *</t>
  </si>
  <si>
    <t xml:space="preserve">Item *</t>
  </si>
  <si>
    <t xml:space="preserve">Qty *</t>
  </si>
  <si>
    <t xml:space="preserve">Rate (₹) blank=std</t>
  </si>
  <si>
    <t xml:space="preserve">Disc %</t>
  </si>
  <si>
    <t xml:space="preserve">Paid Via (blank=Credit)</t>
  </si>
  <si>
    <t xml:space="preserve">Delivery</t>
  </si>
  <si>
    <t xml:space="preserve">Unit</t>
  </si>
  <si>
    <t xml:space="preserve">Rate Used (₹)</t>
  </si>
  <si>
    <t xml:space="preserve">Taxable (₹)</t>
  </si>
  <si>
    <t xml:space="preserve">GST %</t>
  </si>
  <si>
    <t xml:space="preserve">CGST (₹)</t>
  </si>
  <si>
    <t xml:space="preserve">SGST (₹)</t>
  </si>
  <si>
    <t xml:space="preserve">IGST (₹)</t>
  </si>
  <si>
    <t xml:space="preserve">Line Total (₹)</t>
  </si>
  <si>
    <t xml:space="preserve">COGS (₹)</t>
  </si>
  <si>
    <t xml:space="preserve">Profit (₹)</t>
  </si>
  <si>
    <t xml:space="preserve">Stock Check</t>
  </si>
  <si>
    <t xml:space="preserve">itemRow</t>
  </si>
  <si>
    <t xml:space="preserve">partyRow</t>
  </si>
  <si>
    <t xml:space="preserve">invNum</t>
  </si>
  <si>
    <t xml:space="preserve">Paid Now (₹)</t>
  </si>
  <si>
    <t xml:space="preserve">INV-0001</t>
  </si>
  <si>
    <t xml:space="preserve">Sharma Kirana Store</t>
  </si>
  <si>
    <t xml:space="preserve">Basmati Rice 25kg</t>
  </si>
  <si>
    <t xml:space="preserve">Bank</t>
  </si>
  <si>
    <t xml:space="preserve">Delivered</t>
  </si>
  <si>
    <t xml:space="preserve">INV-0002</t>
  </si>
  <si>
    <t xml:space="preserve">Gupta Electricals</t>
  </si>
  <si>
    <t xml:space="preserve">INV-0003</t>
  </si>
  <si>
    <t xml:space="preserve">PVC Pipe 1in 6m</t>
  </si>
  <si>
    <t xml:space="preserve">INV-0004</t>
  </si>
  <si>
    <t xml:space="preserve">Delhi Hardware Mart</t>
  </si>
  <si>
    <t xml:space="preserve">Cement 50kg</t>
  </si>
  <si>
    <t xml:space="preserve">INV-0005</t>
  </si>
  <si>
    <t xml:space="preserve">FMCG Distributors</t>
  </si>
  <si>
    <t xml:space="preserve">Ceiling Fan 1200mm</t>
  </si>
  <si>
    <t xml:space="preserve">Sugar 50kg</t>
  </si>
  <si>
    <t xml:space="preserve">INV-0006</t>
  </si>
  <si>
    <t xml:space="preserve">Mehta Constructions</t>
  </si>
  <si>
    <t xml:space="preserve">INV-0007</t>
  </si>
  <si>
    <t xml:space="preserve">UPI</t>
  </si>
  <si>
    <t xml:space="preserve">INV-0008</t>
  </si>
  <si>
    <t xml:space="preserve">Copper Wire 90m</t>
  </si>
  <si>
    <t xml:space="preserve">INV-0009</t>
  </si>
  <si>
    <t xml:space="preserve">Detergent 5kg</t>
  </si>
  <si>
    <t xml:space="preserve">INV-0010</t>
  </si>
  <si>
    <t xml:space="preserve">Refined Oil 15L</t>
  </si>
  <si>
    <t xml:space="preserve">INV-0011</t>
  </si>
  <si>
    <t xml:space="preserve">Tea Premium 1kg</t>
  </si>
  <si>
    <t xml:space="preserve">LED Bulb 9W</t>
  </si>
  <si>
    <t xml:space="preserve">INV-0012</t>
  </si>
  <si>
    <t xml:space="preserve">INV-0013</t>
  </si>
  <si>
    <t xml:space="preserve">Walk-in Customer</t>
  </si>
  <si>
    <t xml:space="preserve">Cash</t>
  </si>
  <si>
    <t xml:space="preserve">INV-0014</t>
  </si>
  <si>
    <t xml:space="preserve">INV-0015</t>
  </si>
  <si>
    <t xml:space="preserve">INV-0016</t>
  </si>
  <si>
    <t xml:space="preserve">A4 Paper Ream</t>
  </si>
  <si>
    <t xml:space="preserve">INV-0017</t>
  </si>
  <si>
    <t xml:space="preserve">INV-0018</t>
  </si>
  <si>
    <t xml:space="preserve">INV-0019</t>
  </si>
  <si>
    <t xml:space="preserve">INV-0020</t>
  </si>
  <si>
    <t xml:space="preserve">INV-0021</t>
  </si>
  <si>
    <t xml:space="preserve">INV-0022</t>
  </si>
  <si>
    <t xml:space="preserve">INV-0023</t>
  </si>
  <si>
    <t xml:space="preserve">INV-0024</t>
  </si>
  <si>
    <t xml:space="preserve">INV-0025</t>
  </si>
  <si>
    <t xml:space="preserve">Toothpaste 150g x12</t>
  </si>
  <si>
    <t xml:space="preserve">INV-0026</t>
  </si>
  <si>
    <t xml:space="preserve">INV-0027</t>
  </si>
  <si>
    <t xml:space="preserve">INV-0028</t>
  </si>
  <si>
    <t xml:space="preserve">INV-0029</t>
  </si>
  <si>
    <t xml:space="preserve">INV-0030</t>
  </si>
  <si>
    <t xml:space="preserve">INV-0031</t>
  </si>
  <si>
    <t xml:space="preserve">INV-0032</t>
  </si>
  <si>
    <t xml:space="preserve">INV-0033</t>
  </si>
  <si>
    <t xml:space="preserve">INV-0034</t>
  </si>
  <si>
    <t xml:space="preserve">INV-0035</t>
  </si>
  <si>
    <t xml:space="preserve">INV-0036</t>
  </si>
  <si>
    <t xml:space="preserve">INV-0037</t>
  </si>
  <si>
    <t xml:space="preserve">INV-0038</t>
  </si>
  <si>
    <t xml:space="preserve">INV-0039</t>
  </si>
  <si>
    <t xml:space="preserve">INV-0040</t>
  </si>
  <si>
    <t xml:space="preserve">INV-0041</t>
  </si>
  <si>
    <t xml:space="preserve">INV-0042</t>
  </si>
  <si>
    <t xml:space="preserve">INV-0043</t>
  </si>
  <si>
    <t xml:space="preserve">INV-0045</t>
  </si>
  <si>
    <t xml:space="preserve">INV-0046</t>
  </si>
  <si>
    <t xml:space="preserve">INV-0047</t>
  </si>
  <si>
    <t xml:space="preserve">INV-0048</t>
  </si>
  <si>
    <t xml:space="preserve">INV-0049</t>
  </si>
  <si>
    <t xml:space="preserve">INV-0050</t>
  </si>
  <si>
    <t xml:space="preserve">INV-0051</t>
  </si>
  <si>
    <t xml:space="preserve">INV-0052</t>
  </si>
  <si>
    <t xml:space="preserve">INV-0053</t>
  </si>
  <si>
    <t xml:space="preserve">INV-0054</t>
  </si>
  <si>
    <t xml:space="preserve">INV-0056</t>
  </si>
  <si>
    <t xml:space="preserve">INV-0057</t>
  </si>
  <si>
    <t xml:space="preserve">INV-0058</t>
  </si>
  <si>
    <t xml:space="preserve">INV-0059</t>
  </si>
  <si>
    <t xml:space="preserve">INV-0060</t>
  </si>
  <si>
    <t xml:space="preserve">INV-0061</t>
  </si>
  <si>
    <t xml:space="preserve">INV-0062</t>
  </si>
  <si>
    <t xml:space="preserve">INV-0063</t>
  </si>
  <si>
    <t xml:space="preserve">INV-0064</t>
  </si>
  <si>
    <t xml:space="preserve">INV-0065</t>
  </si>
  <si>
    <t xml:space="preserve">INV-0066</t>
  </si>
  <si>
    <t xml:space="preserve">INV-0067</t>
  </si>
  <si>
    <t xml:space="preserve">INV-0068</t>
  </si>
  <si>
    <t xml:space="preserve">INV-0069</t>
  </si>
  <si>
    <t xml:space="preserve">INV-0070</t>
  </si>
  <si>
    <t xml:space="preserve">INV-0071</t>
  </si>
  <si>
    <t xml:space="preserve">INV-0072</t>
  </si>
  <si>
    <t xml:space="preserve">INV-0073</t>
  </si>
  <si>
    <t xml:space="preserve">INV-0075</t>
  </si>
  <si>
    <t xml:space="preserve">INV-0076</t>
  </si>
  <si>
    <t xml:space="preserve">INV-0077</t>
  </si>
  <si>
    <t xml:space="preserve">INV-0078</t>
  </si>
  <si>
    <t xml:space="preserve">INV-0079</t>
  </si>
  <si>
    <t xml:space="preserve">INV-0080</t>
  </si>
  <si>
    <t xml:space="preserve">INV-0081</t>
  </si>
  <si>
    <t xml:space="preserve">INV-0082</t>
  </si>
  <si>
    <t xml:space="preserve">INV-0083</t>
  </si>
  <si>
    <t xml:space="preserve">INV-0084</t>
  </si>
  <si>
    <t xml:space="preserve">INV-0085</t>
  </si>
  <si>
    <t xml:space="preserve">INV-0086</t>
  </si>
  <si>
    <t xml:space="preserve">INV-0087</t>
  </si>
  <si>
    <t xml:space="preserve">INV-0088</t>
  </si>
  <si>
    <t xml:space="preserve">INV-0089</t>
  </si>
  <si>
    <t xml:space="preserve">INV-0090</t>
  </si>
  <si>
    <t xml:space="preserve">INV-0091</t>
  </si>
  <si>
    <t xml:space="preserve">INV-0092</t>
  </si>
  <si>
    <t xml:space="preserve">INV-0093</t>
  </si>
  <si>
    <t xml:space="preserve">INV-0094</t>
  </si>
  <si>
    <t xml:space="preserve">INV-0095</t>
  </si>
  <si>
    <t xml:space="preserve">INV-0096</t>
  </si>
  <si>
    <t xml:space="preserve">INV-0097</t>
  </si>
  <si>
    <t xml:space="preserve">INV-0098</t>
  </si>
  <si>
    <t xml:space="preserve">INV-0099</t>
  </si>
  <si>
    <t xml:space="preserve">INV-0100</t>
  </si>
  <si>
    <t xml:space="preserve">INV-0101</t>
  </si>
  <si>
    <t xml:space="preserve">INV-0102</t>
  </si>
  <si>
    <t xml:space="preserve">INV-0103</t>
  </si>
  <si>
    <t xml:space="preserve">INV-0104</t>
  </si>
  <si>
    <t xml:space="preserve">INV-0105</t>
  </si>
  <si>
    <t xml:space="preserve">INV-0106</t>
  </si>
  <si>
    <t xml:space="preserve">INV-0107</t>
  </si>
  <si>
    <t xml:space="preserve">INV-0108</t>
  </si>
  <si>
    <t xml:space="preserve">INV-0109</t>
  </si>
  <si>
    <t xml:space="preserve">INV-0110</t>
  </si>
  <si>
    <t xml:space="preserve">INV-0111</t>
  </si>
  <si>
    <t xml:space="preserve">INV-0112</t>
  </si>
  <si>
    <t xml:space="preserve">INV-0113</t>
  </si>
  <si>
    <t xml:space="preserve">INV-0114</t>
  </si>
  <si>
    <t xml:space="preserve">INV-0115</t>
  </si>
  <si>
    <t xml:space="preserve">INV-0116</t>
  </si>
  <si>
    <t xml:space="preserve">INV-0117</t>
  </si>
  <si>
    <t xml:space="preserve">INV-0118</t>
  </si>
  <si>
    <t xml:space="preserve">INV-0119</t>
  </si>
  <si>
    <t xml:space="preserve">INV-0120</t>
  </si>
  <si>
    <t xml:space="preserve">INV-0121</t>
  </si>
  <si>
    <t xml:space="preserve">INV-0122</t>
  </si>
  <si>
    <t xml:space="preserve">INV-0123</t>
  </si>
  <si>
    <t xml:space="preserve">INV-0124</t>
  </si>
  <si>
    <t xml:space="preserve">Dispatched</t>
  </si>
  <si>
    <t xml:space="preserve">INV-0125</t>
  </si>
  <si>
    <t xml:space="preserve">INV-0126</t>
  </si>
  <si>
    <t xml:space="preserve">Packed</t>
  </si>
  <si>
    <t xml:space="preserve">INV-0127</t>
  </si>
  <si>
    <t xml:space="preserve">Pending</t>
  </si>
  <si>
    <t xml:space="preserve">PURCHASES / GOODS RECEIVED (PROCURE)</t>
  </si>
  <si>
    <t xml:space="preserve">One line per item received. Stock, average cost, supplier payable and GST input credit update instantly.</t>
  </si>
  <si>
    <t xml:space="preserve">Bill No *</t>
  </si>
  <si>
    <t xml:space="preserve">Supplier *</t>
  </si>
  <si>
    <t xml:space="preserve">Bill Total (₹)</t>
  </si>
  <si>
    <t xml:space="preserve">B-0001</t>
  </si>
  <si>
    <t xml:space="preserve">Bharat Electric Co</t>
  </si>
  <si>
    <t xml:space="preserve">B-0002</t>
  </si>
  <si>
    <t xml:space="preserve">B-0003</t>
  </si>
  <si>
    <t xml:space="preserve">Agro Foods Pvt Ltd</t>
  </si>
  <si>
    <t xml:space="preserve">B-0004</t>
  </si>
  <si>
    <t xml:space="preserve">B-0005</t>
  </si>
  <si>
    <t xml:space="preserve">B-0006</t>
  </si>
  <si>
    <t xml:space="preserve">National Hardware Supply</t>
  </si>
  <si>
    <t xml:space="preserve">B-0007</t>
  </si>
  <si>
    <t xml:space="preserve">B-0008</t>
  </si>
  <si>
    <t xml:space="preserve">B-0009</t>
  </si>
  <si>
    <t xml:space="preserve">B-0010</t>
  </si>
  <si>
    <t xml:space="preserve">B-0011</t>
  </si>
  <si>
    <t xml:space="preserve">B-0012</t>
  </si>
  <si>
    <t xml:space="preserve">B-0013</t>
  </si>
  <si>
    <t xml:space="preserve">B-0014</t>
  </si>
  <si>
    <t xml:space="preserve">B-0015</t>
  </si>
  <si>
    <t xml:space="preserve">B-0016</t>
  </si>
  <si>
    <t xml:space="preserve">B-0017</t>
  </si>
  <si>
    <t xml:space="preserve">B-0018</t>
  </si>
  <si>
    <t xml:space="preserve">B-0019</t>
  </si>
  <si>
    <t xml:space="preserve">B-0020</t>
  </si>
  <si>
    <t xml:space="preserve">B-0021</t>
  </si>
  <si>
    <t xml:space="preserve">B-0022</t>
  </si>
  <si>
    <t xml:space="preserve">B-0023</t>
  </si>
  <si>
    <t xml:space="preserve">CASH &amp; BANK BOOK (FINANCE)</t>
  </si>
  <si>
    <t xml:space="preserve">Customer receipts, supplier payments, expenses, owner capital/drawings and transfers between accounts.</t>
  </si>
  <si>
    <t xml:space="preserve">Voucher No</t>
  </si>
  <si>
    <t xml:space="preserve">Type *</t>
  </si>
  <si>
    <t xml:space="preserve">Party (Receipt/Payment)</t>
  </si>
  <si>
    <t xml:space="preserve">Expense / Income Head</t>
  </si>
  <si>
    <t xml:space="preserve">Account *</t>
  </si>
  <si>
    <t xml:space="preserve">Amount (₹) *</t>
  </si>
  <si>
    <t xml:space="preserve">Reference / Notes</t>
  </si>
  <si>
    <t xml:space="preserve">Money In (₹)</t>
  </si>
  <si>
    <t xml:space="preserve">Money Out (₹)</t>
  </si>
  <si>
    <t xml:space="preserve">Check</t>
  </si>
  <si>
    <t xml:space="preserve">V-0001</t>
  </si>
  <si>
    <t xml:space="preserve">Expense</t>
  </si>
  <si>
    <t xml:space="preserve">Rent</t>
  </si>
  <si>
    <t xml:space="preserve">V-0002</t>
  </si>
  <si>
    <t xml:space="preserve">Salary</t>
  </si>
  <si>
    <t xml:space="preserve">V-0003</t>
  </si>
  <si>
    <t xml:space="preserve">Electricity</t>
  </si>
  <si>
    <t xml:space="preserve">V-0004</t>
  </si>
  <si>
    <t xml:space="preserve">Transport / Freight</t>
  </si>
  <si>
    <t xml:space="preserve">V-0005</t>
  </si>
  <si>
    <t xml:space="preserve">Telephone / Internet</t>
  </si>
  <si>
    <t xml:space="preserve">V-0006</t>
  </si>
  <si>
    <t xml:space="preserve">Receipt</t>
  </si>
  <si>
    <t xml:space="preserve">NEFT/UPI</t>
  </si>
  <si>
    <t xml:space="preserve">V-0007</t>
  </si>
  <si>
    <t xml:space="preserve">V-0008</t>
  </si>
  <si>
    <t xml:space="preserve">V-0009</t>
  </si>
  <si>
    <t xml:space="preserve">Payment</t>
  </si>
  <si>
    <t xml:space="preserve">RTGS</t>
  </si>
  <si>
    <t xml:space="preserve">V-0010</t>
  </si>
  <si>
    <t xml:space="preserve">V-0011</t>
  </si>
  <si>
    <t xml:space="preserve">V-0012</t>
  </si>
  <si>
    <t xml:space="preserve">Transfer Out</t>
  </si>
  <si>
    <t xml:space="preserve">Cash deposited to Bank</t>
  </si>
  <si>
    <t xml:space="preserve">Transfer In</t>
  </si>
  <si>
    <t xml:space="preserve">V-0013</t>
  </si>
  <si>
    <t xml:space="preserve">UPI deposited to Bank</t>
  </si>
  <si>
    <t xml:space="preserve">V-0014</t>
  </si>
  <si>
    <t xml:space="preserve">V-0015</t>
  </si>
  <si>
    <t xml:space="preserve">V-0016</t>
  </si>
  <si>
    <t xml:space="preserve">V-0017</t>
  </si>
  <si>
    <t xml:space="preserve">V-0018</t>
  </si>
  <si>
    <t xml:space="preserve">V-0019</t>
  </si>
  <si>
    <t xml:space="preserve">V-0020</t>
  </si>
  <si>
    <t xml:space="preserve">V-0021</t>
  </si>
  <si>
    <t xml:space="preserve">V-0022</t>
  </si>
  <si>
    <t xml:space="preserve">V-0023</t>
  </si>
  <si>
    <t xml:space="preserve">V-0024</t>
  </si>
  <si>
    <t xml:space="preserve">V-0025</t>
  </si>
  <si>
    <t xml:space="preserve">V-0026</t>
  </si>
  <si>
    <t xml:space="preserve">V-0027</t>
  </si>
  <si>
    <t xml:space="preserve">V-0028</t>
  </si>
  <si>
    <t xml:space="preserve">V-0029</t>
  </si>
  <si>
    <t xml:space="preserve">V-0030</t>
  </si>
  <si>
    <t xml:space="preserve">V-0031</t>
  </si>
  <si>
    <t xml:space="preserve">V-0032</t>
  </si>
  <si>
    <t xml:space="preserve">V-0033</t>
  </si>
  <si>
    <t xml:space="preserve">V-0034</t>
  </si>
  <si>
    <t xml:space="preserve">V-0035</t>
  </si>
  <si>
    <t xml:space="preserve">V-0036</t>
  </si>
  <si>
    <t xml:space="preserve">V-0037</t>
  </si>
  <si>
    <t xml:space="preserve">V-0038</t>
  </si>
  <si>
    <t xml:space="preserve">V-0039</t>
  </si>
  <si>
    <t xml:space="preserve">V-0040</t>
  </si>
  <si>
    <t xml:space="preserve">V-0041</t>
  </si>
  <si>
    <t xml:space="preserve">V-0042</t>
  </si>
  <si>
    <t xml:space="preserve">V-0043</t>
  </si>
  <si>
    <t xml:space="preserve">V-0044</t>
  </si>
  <si>
    <t xml:space="preserve">V-0045</t>
  </si>
  <si>
    <t xml:space="preserve">V-0046</t>
  </si>
  <si>
    <t xml:space="preserve">V-0047</t>
  </si>
  <si>
    <t xml:space="preserve">V-0048</t>
  </si>
  <si>
    <t xml:space="preserve">V-0049</t>
  </si>
  <si>
    <t xml:space="preserve">V-0050</t>
  </si>
  <si>
    <t xml:space="preserve">V-0051</t>
  </si>
  <si>
    <t xml:space="preserve">V-0052</t>
  </si>
  <si>
    <t xml:space="preserve">V-0053</t>
  </si>
  <si>
    <t xml:space="preserve">V-0054</t>
  </si>
  <si>
    <t xml:space="preserve">V-0055</t>
  </si>
  <si>
    <t xml:space="preserve">V-0056</t>
  </si>
  <si>
    <t xml:space="preserve">V-0057</t>
  </si>
  <si>
    <t xml:space="preserve">V-0058</t>
  </si>
  <si>
    <t xml:space="preserve">V-0059</t>
  </si>
  <si>
    <t xml:space="preserve">V-0060</t>
  </si>
  <si>
    <t xml:space="preserve">V-0061</t>
  </si>
  <si>
    <t xml:space="preserve">V-9002</t>
  </si>
  <si>
    <t xml:space="preserve">Other Income</t>
  </si>
  <si>
    <t xml:space="preserve">Misc</t>
  </si>
  <si>
    <t xml:space="preserve">Scheme incentive</t>
  </si>
  <si>
    <t xml:space="preserve">V-0062</t>
  </si>
  <si>
    <t xml:space="preserve">V-0063</t>
  </si>
  <si>
    <t xml:space="preserve">V-0064</t>
  </si>
  <si>
    <t xml:space="preserve">V-0065</t>
  </si>
  <si>
    <t xml:space="preserve">V-0066</t>
  </si>
  <si>
    <t xml:space="preserve">V-0067</t>
  </si>
  <si>
    <t xml:space="preserve">V-0068</t>
  </si>
  <si>
    <t xml:space="preserve">V-0069</t>
  </si>
  <si>
    <t xml:space="preserve">V-0070</t>
  </si>
  <si>
    <t xml:space="preserve">V-0071</t>
  </si>
  <si>
    <t xml:space="preserve">V-0072</t>
  </si>
  <si>
    <t xml:space="preserve">V-0073</t>
  </si>
  <si>
    <t xml:space="preserve">V-0074</t>
  </si>
  <si>
    <t xml:space="preserve">V-0075</t>
  </si>
  <si>
    <t xml:space="preserve">V-0076</t>
  </si>
  <si>
    <t xml:space="preserve">V-0077</t>
  </si>
  <si>
    <t xml:space="preserve">V-9003</t>
  </si>
  <si>
    <t xml:space="preserve">Drawings</t>
  </si>
  <si>
    <t xml:space="preserve">Owner withdrawal</t>
  </si>
  <si>
    <t xml:space="preserve">V-0078</t>
  </si>
  <si>
    <t xml:space="preserve">V-0079</t>
  </si>
  <si>
    <t xml:space="preserve">V-0080</t>
  </si>
  <si>
    <t xml:space="preserve">V-0081</t>
  </si>
  <si>
    <t xml:space="preserve">V-0082</t>
  </si>
  <si>
    <t xml:space="preserve">V-0083</t>
  </si>
  <si>
    <t xml:space="preserve">V-0084</t>
  </si>
  <si>
    <t xml:space="preserve">V-0085</t>
  </si>
  <si>
    <t xml:space="preserve">V-0086</t>
  </si>
  <si>
    <t xml:space="preserve">V-0087</t>
  </si>
  <si>
    <t xml:space="preserve">V-0088</t>
  </si>
  <si>
    <t xml:space="preserve">V-0089</t>
  </si>
  <si>
    <t xml:space="preserve">V-0090</t>
  </si>
  <si>
    <t xml:space="preserve">V-0091</t>
  </si>
  <si>
    <t xml:space="preserve">V-0092</t>
  </si>
  <si>
    <t xml:space="preserve">V-0093</t>
  </si>
  <si>
    <t xml:space="preserve">V-0094</t>
  </si>
  <si>
    <t xml:space="preserve">V-0095</t>
  </si>
  <si>
    <t xml:space="preserve">V-0096</t>
  </si>
  <si>
    <t xml:space="preserve">V-0097</t>
  </si>
  <si>
    <t xml:space="preserve">V-0098</t>
  </si>
  <si>
    <t xml:space="preserve">V-0099</t>
  </si>
  <si>
    <t xml:space="preserve">V-0100</t>
  </si>
  <si>
    <t xml:space="preserve">V-0101</t>
  </si>
  <si>
    <t xml:space="preserve">V-0102</t>
  </si>
  <si>
    <t xml:space="preserve">V-0103</t>
  </si>
  <si>
    <t xml:space="preserve">V-0104</t>
  </si>
  <si>
    <t xml:space="preserve">V-0105</t>
  </si>
  <si>
    <t xml:space="preserve">V-0106</t>
  </si>
  <si>
    <t xml:space="preserve">V-0107</t>
  </si>
  <si>
    <t xml:space="preserve">ITEM MASTER &amp; LIVE STOCK</t>
  </si>
  <si>
    <t xml:space="preserve">One row per product. Stock, cost, value and reorder alerts update automatically from Purchases, Sales and Adjustments.</t>
  </si>
  <si>
    <t xml:space="preserve">Item Name *</t>
  </si>
  <si>
    <t xml:space="preserve">SKU / Barcode</t>
  </si>
  <si>
    <t xml:space="preserve">Category</t>
  </si>
  <si>
    <t xml:space="preserve">HSN</t>
  </si>
  <si>
    <t xml:space="preserve">Std Purchase Rate (₹)</t>
  </si>
  <si>
    <t xml:space="preserve">Std Sale Rate (₹)</t>
  </si>
  <si>
    <t xml:space="preserve">Reorder Level</t>
  </si>
  <si>
    <t xml:space="preserve">Opening Qty</t>
  </si>
  <si>
    <t xml:space="preserve">Opening Rate (₹)</t>
  </si>
  <si>
    <t xml:space="preserve">Purchased Qty</t>
  </si>
  <si>
    <t xml:space="preserve">Sold Qty</t>
  </si>
  <si>
    <t xml:space="preserve">Adjust Qty</t>
  </si>
  <si>
    <t xml:space="preserve">Closing Stock</t>
  </si>
  <si>
    <t xml:space="preserve">Avg Cost (₹)</t>
  </si>
  <si>
    <t xml:space="preserve">Stock Value (₹)</t>
  </si>
  <si>
    <t xml:space="preserve">Margin %</t>
  </si>
  <si>
    <t xml:space="preserve">Suggested Order Qty</t>
  </si>
  <si>
    <t xml:space="preserve">Sales Value (₹)</t>
  </si>
  <si>
    <t xml:space="preserve">Gross Profit (₹)</t>
  </si>
  <si>
    <t xml:space="preserve">Last Sold</t>
  </si>
  <si>
    <t xml:space="preserve">Days Since Sale</t>
  </si>
  <si>
    <t xml:space="preserve">Days of Cover</t>
  </si>
  <si>
    <t xml:space="preserve">rank key</t>
  </si>
  <si>
    <t xml:space="preserve">8901001</t>
  </si>
  <si>
    <t xml:space="preserve">Grocery</t>
  </si>
  <si>
    <t xml:space="preserve">Bag</t>
  </si>
  <si>
    <t xml:space="preserve">1006</t>
  </si>
  <si>
    <t xml:space="preserve">8901002</t>
  </si>
  <si>
    <t xml:space="preserve">1701</t>
  </si>
  <si>
    <t xml:space="preserve">8901003</t>
  </si>
  <si>
    <t xml:space="preserve">Box</t>
  </si>
  <si>
    <t xml:space="preserve">1512</t>
  </si>
  <si>
    <t xml:space="preserve">8901004</t>
  </si>
  <si>
    <t xml:space="preserve">FMCG</t>
  </si>
  <si>
    <t xml:space="preserve">Pack</t>
  </si>
  <si>
    <t xml:space="preserve">0902</t>
  </si>
  <si>
    <t xml:space="preserve">8901005</t>
  </si>
  <si>
    <t xml:space="preserve">3402</t>
  </si>
  <si>
    <t xml:space="preserve">8901006</t>
  </si>
  <si>
    <t xml:space="preserve">3306</t>
  </si>
  <si>
    <t xml:space="preserve">8901007</t>
  </si>
  <si>
    <t xml:space="preserve">Electrical</t>
  </si>
  <si>
    <t xml:space="preserve">Pcs</t>
  </si>
  <si>
    <t xml:space="preserve">8539</t>
  </si>
  <si>
    <t xml:space="preserve">8901008</t>
  </si>
  <si>
    <t xml:space="preserve">8544</t>
  </si>
  <si>
    <t xml:space="preserve">8901009</t>
  </si>
  <si>
    <t xml:space="preserve">Hardware</t>
  </si>
  <si>
    <t xml:space="preserve">3917</t>
  </si>
  <si>
    <t xml:space="preserve">8901010</t>
  </si>
  <si>
    <t xml:space="preserve">2523</t>
  </si>
  <si>
    <t xml:space="preserve">8901011</t>
  </si>
  <si>
    <t xml:space="preserve">Stationery</t>
  </si>
  <si>
    <t xml:space="preserve">4802</t>
  </si>
  <si>
    <t xml:space="preserve">8901012</t>
  </si>
  <si>
    <t xml:space="preserve">8414</t>
  </si>
  <si>
    <t xml:space="preserve">CUSTOMERS &amp; SUPPLIERS (PARTY LEDGER)</t>
  </si>
  <si>
    <t xml:space="preserve">Balance &gt; 0 means the party owes you (receivable); &lt; 0 means you owe them (payable).</t>
  </si>
  <si>
    <t xml:space="preserve">Party Name *</t>
  </si>
  <si>
    <t xml:space="preserve">Type</t>
  </si>
  <si>
    <t xml:space="preserve">Phone</t>
  </si>
  <si>
    <t xml:space="preserve">GSTIN</t>
  </si>
  <si>
    <t xml:space="preserve">State</t>
  </si>
  <si>
    <t xml:space="preserve">Address</t>
  </si>
  <si>
    <t xml:space="preserve">Credit Limit (₹)</t>
  </si>
  <si>
    <t xml:space="preserve">Credit Days</t>
  </si>
  <si>
    <t xml:space="preserve">Opening Bal (₹) +recv / -pay</t>
  </si>
  <si>
    <t xml:space="preserve">Credit Sales (₹)</t>
  </si>
  <si>
    <t xml:space="preserve">Received (₹)</t>
  </si>
  <si>
    <t xml:space="preserve">Credit Purchases (₹)</t>
  </si>
  <si>
    <t xml:space="preserve">Paid (₹)</t>
  </si>
  <si>
    <t xml:space="preserve">Balance (₹)</t>
  </si>
  <si>
    <t xml:space="preserve">Position</t>
  </si>
  <si>
    <t xml:space="preserve">Last Sale</t>
  </si>
  <si>
    <t xml:space="preserve">Last Receipt</t>
  </si>
  <si>
    <t xml:space="preserve">Days Unpaid</t>
  </si>
  <si>
    <t xml:space="preserve">Alert</t>
  </si>
  <si>
    <t xml:space="preserve">Customer</t>
  </si>
  <si>
    <t xml:space="preserve">9810000001</t>
  </si>
  <si>
    <t xml:space="preserve">08AAAPS1111A1Z1</t>
  </si>
  <si>
    <t xml:space="preserve">Rajasthan</t>
  </si>
  <si>
    <t xml:space="preserve">Jaipur</t>
  </si>
  <si>
    <t xml:space="preserve">9810000002</t>
  </si>
  <si>
    <t xml:space="preserve">08AAAPG2222B1Z2</t>
  </si>
  <si>
    <t xml:space="preserve">Ajmer</t>
  </si>
  <si>
    <t xml:space="preserve">9810000003</t>
  </si>
  <si>
    <t xml:space="preserve">07AAAPD3333C1Z3</t>
  </si>
  <si>
    <t xml:space="preserve">Delhi</t>
  </si>
  <si>
    <t xml:space="preserve">Karol Bagh, Delhi</t>
  </si>
  <si>
    <t xml:space="preserve">9810000005</t>
  </si>
  <si>
    <t xml:space="preserve">08AAAPM5555E1Z5</t>
  </si>
  <si>
    <t xml:space="preserve">Jodhpur</t>
  </si>
  <si>
    <t xml:space="preserve">Supplier</t>
  </si>
  <si>
    <t xml:space="preserve">9810000006</t>
  </si>
  <si>
    <t xml:space="preserve">08AABCA6666F1Z6</t>
  </si>
  <si>
    <t xml:space="preserve">Kota</t>
  </si>
  <si>
    <t xml:space="preserve">9810000007</t>
  </si>
  <si>
    <t xml:space="preserve">27AABCB7777G1Z7</t>
  </si>
  <si>
    <t xml:space="preserve">Maharashtra</t>
  </si>
  <si>
    <t xml:space="preserve">Mumbai</t>
  </si>
  <si>
    <t xml:space="preserve">9810000008</t>
  </si>
  <si>
    <t xml:space="preserve">08AABCN8888H1Z8</t>
  </si>
  <si>
    <t xml:space="preserve">Both</t>
  </si>
  <si>
    <t xml:space="preserve">9810000009</t>
  </si>
  <si>
    <t xml:space="preserve">08AABCF9999J1Z9</t>
  </si>
  <si>
    <t xml:space="preserve">STOCK ADJUSTMENTS</t>
  </si>
  <si>
    <t xml:space="preserve">Damage, expiry, physical-count corrections, returns. Negative qty reduces stock and is booked as a loss.</t>
  </si>
  <si>
    <t xml:space="preserve">Qty (+in / -out) *</t>
  </si>
  <si>
    <t xml:space="preserve">Reason *</t>
  </si>
  <si>
    <t xml:space="preserve">Notes</t>
  </si>
  <si>
    <t xml:space="preserve">Value Impact (₹)</t>
  </si>
  <si>
    <t xml:space="preserve">Damage</t>
  </si>
  <si>
    <t xml:space="preserve">Leaking tins</t>
  </si>
  <si>
    <t xml:space="preserve">Count Correction</t>
  </si>
  <si>
    <t xml:space="preserve">Physical count</t>
  </si>
  <si>
    <t xml:space="preserve">Sales Return</t>
  </si>
  <si>
    <t xml:space="preserve">Returned by Sharma Kirana</t>
  </si>
  <si>
    <t xml:space="preserve">TAX INVOICE / DELIVERY CHALLAN</t>
  </si>
  <si>
    <t xml:space="preserve">Invoice No &gt; (type to reprint)</t>
  </si>
  <si>
    <t xml:space="preserve">Bill To</t>
  </si>
  <si>
    <t xml:space="preserve">Invoice Date</t>
  </si>
  <si>
    <t xml:space="preserve">Qty</t>
  </si>
  <si>
    <t xml:space="preserve">Rate (₹)</t>
  </si>
  <si>
    <t xml:space="preserve">Tax (₹)</t>
  </si>
  <si>
    <t xml:space="preserve">Amount (₹)</t>
  </si>
  <si>
    <t xml:space="preserve">Taxable Value</t>
  </si>
  <si>
    <t xml:space="preserve">CGST</t>
  </si>
  <si>
    <t xml:space="preserve">Goods once sold will be taken back only as per store policy.</t>
  </si>
  <si>
    <t xml:space="preserve">SGST</t>
  </si>
  <si>
    <t xml:space="preserve">IGST</t>
  </si>
  <si>
    <t xml:space="preserve">Receiver's Signature</t>
  </si>
  <si>
    <t xml:space="preserve">Round Off</t>
  </si>
  <si>
    <t xml:space="preserve">INVOICE TOTAL</t>
  </si>
  <si>
    <t xml:space="preserve">Authorised Signatory</t>
  </si>
  <si>
    <t xml:space="preserve">REPORTS: MONTHLY P&amp;L, GST, EXPENSES</t>
  </si>
  <si>
    <t xml:space="preserve">Financial-year view built from all registers. Nothing to type here.</t>
  </si>
  <si>
    <t xml:space="preserve">Month</t>
  </si>
  <si>
    <t xml:space="preserve">GP %</t>
  </si>
  <si>
    <t xml:space="preserve">Expenses (₹)</t>
  </si>
  <si>
    <t xml:space="preserve">Other Income (₹)</t>
  </si>
  <si>
    <t xml:space="preserve">Stock Loss/Gain (₹)</t>
  </si>
  <si>
    <t xml:space="preserve">Net Profit (₹)</t>
  </si>
  <si>
    <t xml:space="preserve">Purchases (₹)</t>
  </si>
  <si>
    <t xml:space="preserve">GST Output (₹)</t>
  </si>
  <si>
    <t xml:space="preserve">GST Input (₹)</t>
  </si>
  <si>
    <t xml:space="preserve">Net GST Payable (₹)</t>
  </si>
  <si>
    <t xml:space="preserve">FY TOTAL</t>
  </si>
  <si>
    <t xml:space="preserve">Net Profit = Gross Profit − Expenses + Other Income + Stock Adjustment value (losses are negative). Purchases are capitalised into stock; only COGS hits profit.</t>
  </si>
  <si>
    <t xml:space="preserve">GST RATE-WISE SUMMARY (FY)  — ready for GSTR-1 / GSTR-3B</t>
  </si>
  <si>
    <t xml:space="preserve">EXPENSES BY HEAD (FY)</t>
  </si>
  <si>
    <t xml:space="preserve">GST Rate</t>
  </si>
  <si>
    <t xml:space="preserve">Sales Taxable (₹)</t>
  </si>
  <si>
    <t xml:space="preserve">Output Tax (₹)</t>
  </si>
  <si>
    <t xml:space="preserve">Purch. Taxable (₹)</t>
  </si>
  <si>
    <t xml:space="preserve">Input Tax (₹)</t>
  </si>
  <si>
    <t xml:space="preserve">Net (₹)</t>
  </si>
  <si>
    <t xml:space="preserve">Head</t>
  </si>
  <si>
    <t xml:space="preserve">Share</t>
  </si>
  <si>
    <t xml:space="preserve">SETTINGS &amp; MASTER LISTS</t>
  </si>
  <si>
    <t xml:space="preserve">Set this up once. Every list here feeds the dropdowns across the ERP.</t>
  </si>
  <si>
    <t xml:space="preserve">GST slabs: 5/18/40% apply post GST-2.0 (Sep-2025); 12/28% kept for legacy items.</t>
  </si>
  <si>
    <t xml:space="preserve">Company Name</t>
  </si>
  <si>
    <t xml:space="preserve">Your Trading Co.</t>
  </si>
  <si>
    <t xml:space="preserve">Categories</t>
  </si>
  <si>
    <t xml:space="preserve">Units</t>
  </si>
  <si>
    <t xml:space="preserve">GST Rates</t>
  </si>
  <si>
    <t xml:space="preserve">Pay Modes</t>
  </si>
  <si>
    <t xml:space="preserve">Voucher Types</t>
  </si>
  <si>
    <t xml:space="preserve">Expense Heads</t>
  </si>
  <si>
    <t xml:space="preserve">Party Types</t>
  </si>
  <si>
    <t xml:space="preserve">Delivery Status</t>
  </si>
  <si>
    <t xml:space="preserve">Adj. Reasons</t>
  </si>
  <si>
    <t xml:space="preserve">States</t>
  </si>
  <si>
    <t xml:space="preserve">Shop 12, Main Market, Jaipur</t>
  </si>
  <si>
    <t xml:space="preserve">Credit</t>
  </si>
  <si>
    <t xml:space="preserve">Andhra Pradesh</t>
  </si>
  <si>
    <t xml:space="preserve">08ABCDE1234F1Z5</t>
  </si>
  <si>
    <t xml:space="preserve">Kg</t>
  </si>
  <si>
    <t xml:space="preserve">Expiry</t>
  </si>
  <si>
    <t xml:space="preserve">Arunachal Pradesh</t>
  </si>
  <si>
    <t xml:space="preserve">Home State (for GST)</t>
  </si>
  <si>
    <t xml:space="preserve">Ltr</t>
  </si>
  <si>
    <t xml:space="preserve">Theft / Loss</t>
  </si>
  <si>
    <t xml:space="preserve">Assam</t>
  </si>
  <si>
    <t xml:space="preserve">Phone / Email</t>
  </si>
  <si>
    <t xml:space="preserve">+91 98xxxxxx00</t>
  </si>
  <si>
    <t xml:space="preserve">Bihar</t>
  </si>
  <si>
    <t xml:space="preserve">Financial Year Start</t>
  </si>
  <si>
    <t xml:space="preserve">Capital In</t>
  </si>
  <si>
    <t xml:space="preserve">Packing</t>
  </si>
  <si>
    <t xml:space="preserve">Returned</t>
  </si>
  <si>
    <t xml:space="preserve">Sample / Free</t>
  </si>
  <si>
    <t xml:space="preserve">Chhattisgarh</t>
  </si>
  <si>
    <t xml:space="preserve">Report As-Of Date</t>
  </si>
  <si>
    <t xml:space="preserve">Garments</t>
  </si>
  <si>
    <t xml:space="preserve">Mtr</t>
  </si>
  <si>
    <t xml:space="preserve">Goa</t>
  </si>
  <si>
    <t xml:space="preserve">Invoice Prefix</t>
  </si>
  <si>
    <t xml:space="preserve">INV-</t>
  </si>
  <si>
    <t xml:space="preserve">Other</t>
  </si>
  <si>
    <t xml:space="preserve">Dozen</t>
  </si>
  <si>
    <t xml:space="preserve">Repairs</t>
  </si>
  <si>
    <t xml:space="preserve">Purchase Return</t>
  </si>
  <si>
    <t xml:space="preserve">Gujarat</t>
  </si>
  <si>
    <t xml:space="preserve">Dead-Stock Threshold (days)</t>
  </si>
  <si>
    <t xml:space="preserve">Bank Charges</t>
  </si>
  <si>
    <t xml:space="preserve">Opening Fix</t>
  </si>
  <si>
    <t xml:space="preserve">Haryana</t>
  </si>
  <si>
    <t xml:space="preserve">Bank Details (on invoice)</t>
  </si>
  <si>
    <t xml:space="preserve">SBI A/c 0000000000 · IFSC SBIN0000000</t>
  </si>
  <si>
    <t xml:space="preserve">Himachal Pradesh</t>
  </si>
  <si>
    <t xml:space="preserve">PRO: Registered Mobile No.</t>
  </si>
  <si>
    <t xml:space="preserve">Jharkhand</t>
  </si>
  <si>
    <t xml:space="preserve">PRO: License Key</t>
  </si>
  <si>
    <t xml:space="preserve">Karnataka</t>
  </si>
  <si>
    <t xml:space="preserve">Cash / Bank Accounts</t>
  </si>
  <si>
    <t xml:space="preserve">Kerala</t>
  </si>
  <si>
    <t xml:space="preserve">Opening Balance (₹)</t>
  </si>
  <si>
    <t xml:space="preserve">Madhya Pradesh</t>
  </si>
  <si>
    <t xml:space="preserve">Manipur</t>
  </si>
  <si>
    <t xml:space="preserve">Meghalaya</t>
  </si>
  <si>
    <t xml:space="preserve">Mizoram</t>
  </si>
  <si>
    <t xml:space="preserve">Nagaland</t>
  </si>
  <si>
    <t xml:space="preserve">Odisha</t>
  </si>
  <si>
    <t xml:space="preserve">Punjab</t>
  </si>
  <si>
    <t xml:space="preserve">Sikkim</t>
  </si>
  <si>
    <t xml:space="preserve">Opening balances are your figures on FY start - replace the sample values.</t>
  </si>
  <si>
    <t xml:space="preserve">Tamil Nadu</t>
  </si>
  <si>
    <t xml:space="preserve">Telangana</t>
  </si>
  <si>
    <t xml:space="preserve">Tripura</t>
  </si>
  <si>
    <t xml:space="preserve">Uttar Pradesh</t>
  </si>
  <si>
    <t xml:space="preserve">Uttarakhand</t>
  </si>
  <si>
    <t xml:space="preserve">West Bengal</t>
  </si>
  <si>
    <t xml:space="preserve">Jammu and Kashmir</t>
  </si>
  <si>
    <t xml:space="preserve">Ladakh</t>
  </si>
  <si>
    <t xml:space="preserve">Puducherry</t>
  </si>
  <si>
    <t xml:space="preserve">Chandigarh</t>
  </si>
  <si>
    <t xml:space="preserve">Dadra &amp; Nagar Haveli and Daman &amp; Diu</t>
  </si>
  <si>
    <t xml:space="preserve">Lakshadweep</t>
  </si>
  <si>
    <t xml:space="preserve">Andaman &amp; Nicobar</t>
  </si>
  <si>
    <t xml:space="preserve">SMARTTRADER ERP  -  FREE vs PRO</t>
  </si>
  <si>
    <t xml:space="preserve">Feature</t>
  </si>
  <si>
    <t xml:space="preserve">FREE</t>
  </si>
  <si>
    <t xml:space="preserve">PRO</t>
  </si>
  <si>
    <t xml:space="preserve">Sales, Purchases, Cash Book lines counted</t>
  </si>
  <si>
    <t xml:space="preserve">First 200 each</t>
  </si>
  <si>
    <t xml:space="preserve">All (3,000 each)</t>
  </si>
  <si>
    <t xml:space="preserve">Items &amp; parties</t>
  </si>
  <si>
    <t xml:space="preserve">Unlimited</t>
  </si>
  <si>
    <t xml:space="preserve">Live stock, avg cost, reorder &amp; dead-stock alerts</t>
  </si>
  <si>
    <t xml:space="preserve">Yes</t>
  </si>
  <si>
    <t xml:space="preserve">GST: CGST/SGST/IGST split, rate-wise GSTR summary</t>
  </si>
  <si>
    <t xml:space="preserve">Customer / supplier ledgers, credit-limit &amp; overdue alerts</t>
  </si>
  <si>
    <t xml:space="preserve">A4 tax invoice / delivery challan</t>
  </si>
  <si>
    <t xml:space="preserve">Dashboard, monthly P&amp;L, expense analysis</t>
  </si>
  <si>
    <t xml:space="preserve">C Engine add-in (Windows, 20k lines, ~6 ms recalculation)</t>
  </si>
  <si>
    <t xml:space="preserve">First 200 lines</t>
  </si>
  <si>
    <t xml:space="preserve">Full</t>
  </si>
  <si>
    <t xml:space="preserve">Macros: PDF invoices, backup, year-end rollover</t>
  </si>
  <si>
    <t xml:space="preserve">Updates &amp; WhatsApp support</t>
  </si>
  <si>
    <t xml:space="preserve">-</t>
  </si>
  <si>
    <t xml:space="preserve">PRO PRICING</t>
  </si>
  <si>
    <t xml:space="preserve">Plan</t>
  </si>
  <si>
    <t xml:space="preserve">Price</t>
  </si>
  <si>
    <t xml:space="preserve">Per month</t>
  </si>
  <si>
    <t xml:space="preserve">You save</t>
  </si>
  <si>
    <t xml:space="preserve">Pro - 1 month</t>
  </si>
  <si>
    <t xml:space="preserve">Pro - 6 months</t>
  </si>
  <si>
    <t xml:space="preserve">Pro - 12 months   (best value)</t>
  </si>
  <si>
    <t xml:space="preserve">Prices in Indian Rupees. GST extra where applicable.</t>
  </si>
  <si>
    <t xml:space="preserve">HOW TO UPGRADE</t>
  </si>
  <si>
    <t xml:space="preserve">1.  Pay for a plan and send your mobile number:  WhatsApp: +91-XXXXXXXXXX  ·  UPI: yourname@upi</t>
  </si>
  <si>
    <t xml:space="preserve">2.  You receive a license key like  PRO-H270411-1HEK</t>
  </si>
  <si>
    <t xml:space="preserve">3.  Settings sheet: type the same mobile number in B14 and paste the key in B15</t>
  </si>
  <si>
    <t xml:space="preserve">4.  This page and the Dashboard turn green: every line now counts. Your data is never lost - lines</t>
  </si>
  <si>
    <t xml:space="preserve">     entered beyond the Free limit were kept and are counted the moment Pro is active.</t>
  </si>
  <si>
    <t xml:space="preserve">HOW PRO COMPARES (yearly price, Oct 2026 listings)</t>
  </si>
  <si>
    <t xml:space="preserve">Product</t>
  </si>
  <si>
    <t xml:space="preserve">Price / year</t>
  </si>
  <si>
    <t xml:space="preserve">Works offline, your data stays in your file</t>
  </si>
  <si>
    <t xml:space="preserve">SmartTrader Pro (this file)</t>
  </si>
  <si>
    <t xml:space="preserve">Rs 1,299</t>
  </si>
  <si>
    <t xml:space="preserve">Rs 108</t>
  </si>
  <si>
    <t xml:space="preserve">Yes - plain Excel, no login</t>
  </si>
  <si>
    <t xml:space="preserve">myBillBook Plus / Pro</t>
  </si>
  <si>
    <t xml:space="preserve">Rs 3,490 - 3,990</t>
  </si>
  <si>
    <t xml:space="preserve">Rs 291 - 333</t>
  </si>
  <si>
    <t xml:space="preserve">Cloud account</t>
  </si>
  <si>
    <t xml:space="preserve">Vyapar Desktop</t>
  </si>
  <si>
    <t xml:space="preserve">Rs 3,399 - 4,099</t>
  </si>
  <si>
    <t xml:space="preserve">Rs 283 - 342</t>
  </si>
  <si>
    <t xml:space="preserve">Desktop app</t>
  </si>
  <si>
    <t xml:space="preserve">TallyPrime Silver (rental)</t>
  </si>
  <si>
    <t xml:space="preserve">Rs 8,100</t>
  </si>
  <si>
    <t xml:space="preserve">Rs 675</t>
  </si>
  <si>
    <t xml:space="preserve">Competitor prices are public listings and change often; they include cloud/mobile features this file does not.</t>
  </si>
  <si>
    <t xml:space="preserve">HOW SMARTTRADER ERP WORKS</t>
  </si>
  <si>
    <t xml:space="preserve">DAILY FLOW: PROCURE → STOCK → SELL → DELIVER → COLLECT</t>
  </si>
  <si>
    <t xml:space="preserve">1. Set up once</t>
  </si>
  <si>
    <t xml:space="preserve">Settings: company, GSTIN, home state, FY start, opening cash/bank. Items: product list with opening stock. Parties: customers &amp; suppliers with state and credit limit.</t>
  </si>
  <si>
    <t xml:space="preserve">2. Buy (Purchases)</t>
  </si>
  <si>
    <t xml:space="preserve">Pick supplier and item from dropdowns, type qty. Rate blank = standard purchase rate. 'Paid Via' blank = on credit (creates payable).</t>
  </si>
  <si>
    <t xml:space="preserve">3. Stock updates itself</t>
  </si>
  <si>
    <t xml:space="preserve">Items sheet instantly shows closing stock, weighted-average cost, stock value and REORDER / OUT OF STOCK / DEAD STOCK alerts.</t>
  </si>
  <si>
    <t xml:space="preserve">4. Sell (Sales)</t>
  </si>
  <si>
    <t xml:space="preserve">One line per item; keep all lines of an invoice together. CGST+SGST or IGST is chosen automatically from customer state vs. your home state. 'Stock Check' warns on negative stock or selling below cost.</t>
  </si>
  <si>
    <t xml:space="preserve">5. Print invoice</t>
  </si>
  <si>
    <t xml:space="preserve">Invoice sheet shows the latest invoice automatically. Type any invoice number in the cream cell to reprint. Ctrl+P (fits one A4 page). Doubles as delivery challan.</t>
  </si>
  <si>
    <t xml:space="preserve">6. Deliver</t>
  </si>
  <si>
    <t xml:space="preserve">Set the Delivery column (Pending / Packed / Dispatched / Delivered). Dashboard counts what is still pending.</t>
  </si>
  <si>
    <t xml:space="preserve">7. Collect &amp; pay (CashBook)</t>
  </si>
  <si>
    <t xml:space="preserve">Receipt = money from customer; Payment = money to supplier; Expense = shop costs; Transfer In/Out moves money between Cash/Bank/UPI (enter both legs).</t>
  </si>
  <si>
    <t xml:space="preserve">8. Review</t>
  </si>
  <si>
    <t xml:space="preserve">Dashboard for the live picture, Reports for monthly P&amp;L, GST rate-wise summary and expense analysis.</t>
  </si>
  <si>
    <t xml:space="preserve">PAIN POINTS THIS SOLVES</t>
  </si>
  <si>
    <t xml:space="preserve">Stock never matches</t>
  </si>
  <si>
    <t xml:space="preserve">Single source of truth: stock = opening + purchases − sales ± adjustments. No manual stock register.</t>
  </si>
  <si>
    <t xml:space="preserve">Don't know real profit</t>
  </si>
  <si>
    <t xml:space="preserve">Every sale line carries COGS at weighted-average cost, so gross and net profit are exact per line, item, month.</t>
  </si>
  <si>
    <t xml:space="preserve">Money stuck with customers</t>
  </si>
  <si>
    <t xml:space="preserve">Party ledger with credit limit, credit days, OVERDUE / OVER LIMIT flags and Days Unpaid.</t>
  </si>
  <si>
    <t xml:space="preserve">Running out / overstock</t>
  </si>
  <si>
    <t xml:space="preserve">Reorder level + suggested order qty, days-of-cover, and dead-stock detection (no sale in N days).</t>
  </si>
  <si>
    <t xml:space="preserve">GST headache</t>
  </si>
  <si>
    <t xml:space="preserve">Automatic CGST/SGST vs IGST split, rate-wise output vs input summary per FY, net payable on dashboard.</t>
  </si>
  <si>
    <t xml:space="preserve">Double entry for cash sales</t>
  </si>
  <si>
    <t xml:space="preserve">'Paid Via' on the bill itself books cash/bank/UPI immediately - no separate receipt needed.</t>
  </si>
  <si>
    <t xml:space="preserve">Typing errors</t>
  </si>
  <si>
    <t xml:space="preserve">Dropdowns everywhere, unique-name checks, qty/date validation, row-level 'Check' columns.</t>
  </si>
  <si>
    <t xml:space="preserve">Slow, crashing Excel files</t>
  </si>
  <si>
    <t xml:space="preserve">See SPEED DESIGN below.</t>
  </si>
  <si>
    <t xml:space="preserve">SPEED DESIGN (why it stays fast)</t>
  </si>
  <si>
    <t xml:space="preserve">No volatile functions</t>
  </si>
  <si>
    <t xml:space="preserve">No OFFSET/INDIRECT in cell formulas; TODAY() appears once (Settings!B10). Volatile names are used only by dropdowns, which are not recalculated.</t>
  </si>
  <si>
    <t xml:space="preserve">Bounded ranges</t>
  </si>
  <si>
    <t xml:space="preserve">All lookups use fixed ranges (3,000 transaction rows, 500 items, 300 parties) - never whole-column A:A references.</t>
  </si>
  <si>
    <t xml:space="preserve">Match once, reuse</t>
  </si>
  <si>
    <t xml:space="preserve">Each transaction row runs one MATCH into a hidden helper column, then several cheap INDEX calls reuse it.</t>
  </si>
  <si>
    <t xml:space="preserve">SUMIFS engine</t>
  </si>
  <si>
    <t xml:space="preserve">All aggregation uses SUMIFS/COUNTIFS - Excel's fastest multi-threaded aggregation functions. No SUMPRODUCT or array formulas.</t>
  </si>
  <si>
    <t xml:space="preserve">Extra boost (optional)</t>
  </si>
  <si>
    <t xml:space="preserve">Import ERP_Macros.bas (File &gt; Save As .xlsm, Alt+F11 &gt; File &gt; Import) for one-click Fast Mode, new invoice, PDF invoice, backup and archive.</t>
  </si>
  <si>
    <t xml:space="preserve">RULES &amp; LIMITS</t>
  </si>
  <si>
    <t xml:space="preserve">Colour code</t>
  </si>
  <si>
    <t xml:space="preserve">Blue text on cream = you type. Black/grey = formula, never overwrite. Green = linked from another sheet.</t>
  </si>
  <si>
    <t xml:space="preserve">Sample data</t>
  </si>
  <si>
    <t xml:space="preserve">Rows already filled are DEMO data. Clear only the cream input cells (or run ClearDemoData macro) before going live.</t>
  </si>
  <si>
    <t xml:space="preserve">Capacity</t>
  </si>
  <si>
    <t xml:space="preserve">3,000 lines per register per year. At year end: Save As a new file, set new FY start, carry forward closing stock as Opening Qty/Rate and party balances as Opening Bal.</t>
  </si>
  <si>
    <t xml:space="preserve">Returns</t>
  </si>
  <si>
    <t xml:space="preserve">Sales return: Adjustments with +qty, reason 'Sales Return', plus a Payment / credit in CashBook. Purchase return: −qty and a Receipt from supplier.</t>
  </si>
  <si>
    <t xml:space="preserve">Costing method</t>
  </si>
  <si>
    <t xml:space="preserve">Weighted-average cost over the year (opening + all purchases). COGS uses the current average, the standard method for traders.</t>
  </si>
  <si>
    <t xml:space="preserve">Assumption</t>
  </si>
  <si>
    <t xml:space="preserve">Currency ₹ and Indian GST structure. Rates in Settings are editable; verify slabs with your CA.</t>
  </si>
  <si>
    <t xml:space="preserve">key</t>
  </si>
  <si>
    <t xml:space="preserve">id</t>
  </si>
  <si>
    <t xml:space="preserve">plan</t>
  </si>
  <si>
    <t xml:space="preserve">expiry</t>
  </si>
  <si>
    <t xml:space="preserve">message</t>
  </si>
  <si>
    <t xml:space="preserve">sum</t>
  </si>
  <si>
    <t xml:space="preserve">check</t>
  </si>
  <si>
    <t xml:space="preserve">check36</t>
  </si>
  <si>
    <t xml:space="preserve">valid</t>
  </si>
  <si>
    <t xml:space="preserve">is pro</t>
  </si>
  <si>
    <t xml:space="preserve">tx rows</t>
  </si>
  <si>
    <t xml:space="preserve">plan label</t>
  </si>
  <si>
    <t xml:space="preserve">status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</si>
</sst>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dd\-mmm\-yy"/>
    <numFmt numFmtId="166" formatCode="\₹#,##0;[RED]&quot;-₹&quot;#,##0;\-"/>
    <numFmt numFmtId="167" formatCode="0.0%;[RED]\-0.0%;\-"/>
    <numFmt numFmtId="168" formatCode="0"/>
    <numFmt numFmtId="169" formatCode="#,##0.##;[RED]\-#,##0.##;\-"/>
    <numFmt numFmtId="170" formatCode="#,##0"/>
    <numFmt numFmtId="171" formatCode="\₹#,##0.00;[RED]&quot;-₹&quot;#,##0.00;\-"/>
    <numFmt numFmtId="172" formatCode="0.##%"/>
    <numFmt numFmtId="173" formatCode="General"/>
    <numFmt numFmtId="174" formatCode="mmm\-yy"/>
    <numFmt numFmtId="175" formatCode="@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8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u val="single"/>
      <sz val="11"/>
      <color rgb="FF0563C1"/>
      <name val="Arial"/>
      <family val="0"/>
      <charset val="1"/>
    </font>
    <font>
      <sz val="8"/>
      <color rgb="FF0000FF"/>
      <name val="Arial"/>
      <family val="0"/>
      <charset val="1"/>
    </font>
    <font>
      <sz val="8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  <font>
      <b val="true"/>
      <sz val="18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F3864"/>
        <bgColor rgb="FF283593"/>
      </patternFill>
    </fill>
    <fill>
      <patternFill patternType="solid">
        <fgColor rgb="FFF9A825"/>
        <bgColor rgb="FFFFCC00"/>
      </patternFill>
    </fill>
    <fill>
      <patternFill patternType="solid">
        <fgColor rgb="FFFFF8DC"/>
        <bgColor rgb="FFFFF1C1"/>
      </patternFill>
    </fill>
    <fill>
      <patternFill patternType="solid">
        <fgColor rgb="FF0E7C86"/>
        <bgColor rgb="FF00838F"/>
      </patternFill>
    </fill>
    <fill>
      <patternFill patternType="solid">
        <fgColor rgb="FF2E7D32"/>
        <bgColor rgb="FF1B5E20"/>
      </patternFill>
    </fill>
    <fill>
      <patternFill patternType="solid">
        <fgColor rgb="FF1B5E20"/>
        <bgColor rgb="FF2E7D32"/>
      </patternFill>
    </fill>
    <fill>
      <patternFill patternType="solid">
        <fgColor rgb="FF6A1B9A"/>
        <bgColor rgb="FF5E35B1"/>
      </patternFill>
    </fill>
    <fill>
      <patternFill patternType="solid">
        <fgColor rgb="FFC62828"/>
        <bgColor rgb="FFD84315"/>
      </patternFill>
    </fill>
    <fill>
      <patternFill patternType="solid">
        <fgColor rgb="FF00838F"/>
        <bgColor rgb="FF0E7C86"/>
      </patternFill>
    </fill>
    <fill>
      <patternFill patternType="solid">
        <fgColor rgb="FFEF6C00"/>
        <bgColor rgb="FFD84315"/>
      </patternFill>
    </fill>
    <fill>
      <patternFill patternType="solid">
        <fgColor rgb="FFAD1457"/>
        <bgColor rgb="FFC62828"/>
      </patternFill>
    </fill>
    <fill>
      <patternFill patternType="solid">
        <fgColor rgb="FF283593"/>
        <bgColor rgb="FF1F3864"/>
      </patternFill>
    </fill>
    <fill>
      <patternFill patternType="solid">
        <fgColor rgb="FF455A64"/>
        <bgColor rgb="FF595959"/>
      </patternFill>
    </fill>
    <fill>
      <patternFill patternType="solid">
        <fgColor rgb="FF6D4C41"/>
        <bgColor rgb="FF595959"/>
      </patternFill>
    </fill>
    <fill>
      <patternFill patternType="solid">
        <fgColor rgb="FFD84315"/>
        <bgColor rgb="FFBE4B48"/>
      </patternFill>
    </fill>
    <fill>
      <patternFill patternType="solid">
        <fgColor rgb="FF0277BD"/>
        <bgColor rgb="FF0563C1"/>
      </patternFill>
    </fill>
    <fill>
      <patternFill patternType="solid">
        <fgColor rgb="FF37474F"/>
        <bgColor rgb="FF455A64"/>
      </patternFill>
    </fill>
    <fill>
      <patternFill patternType="solid">
        <fgColor rgb="FFEEF3FA"/>
        <bgColor rgb="FFE8F5E9"/>
      </patternFill>
    </fill>
    <fill>
      <patternFill patternType="solid">
        <fgColor rgb="FF595959"/>
        <bgColor rgb="FF455A64"/>
      </patternFill>
    </fill>
    <fill>
      <patternFill patternType="solid">
        <fgColor rgb="FF5E35B1"/>
        <bgColor rgb="FF6A1B9A"/>
      </patternFill>
    </fill>
    <fill>
      <patternFill patternType="solid">
        <fgColor rgb="FFE8F5E9"/>
        <bgColor rgb="FFEEF3F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ck">
        <color rgb="FFFFFFFF"/>
      </left>
      <right style="thick">
        <color rgb="FFFFFFFF"/>
      </right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1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1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1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2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>
          <bgColor rgb="FF2E7D32"/>
        </patternFill>
      </fill>
    </dxf>
    <dxf>
      <fill>
        <patternFill>
          <bgColor rgb="FFC62828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7C80"/>
        </patternFill>
      </fill>
    </dxf>
    <dxf>
      <fill>
        <patternFill>
          <bgColor rgb="FFD9D2E9"/>
        </patternFill>
      </fill>
    </dxf>
    <dxf>
      <fill>
        <patternFill patternType="solid">
          <fgColor rgb="FF0E7C86"/>
          <bgColor rgb="FF000000"/>
        </patternFill>
      </fill>
    </dxf>
    <dxf>
      <fill>
        <patternFill patternType="solid">
          <fgColor rgb="FFFFF1C1"/>
          <bgColor rgb="FF000000"/>
        </patternFill>
      </fill>
    </dxf>
    <dxf>
      <fill>
        <patternFill patternType="solid">
          <fgColor rgb="FFFFF8D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b val="1"/>
        <color rgb="FF5E35B1"/>
      </font>
      <fill>
        <patternFill>
          <bgColor rgb="FFD9D2E9"/>
        </patternFill>
      </fill>
    </dxf>
    <dxf>
      <fill>
        <patternFill>
          <bgColor rgb="FFFFF1C1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1C1"/>
      <rgbColor rgb="FFFF00FF"/>
      <rgbColor rgb="FF00FFFF"/>
      <rgbColor rgb="FFD84315"/>
      <rgbColor rgb="FF008000"/>
      <rgbColor rgb="FF000080"/>
      <rgbColor rgb="FF6D4C41"/>
      <rgbColor rgb="FF6A1B9A"/>
      <rgbColor rgb="FF00838F"/>
      <rgbColor rgb="FFBFBFBF"/>
      <rgbColor rgb="FF878787"/>
      <rgbColor rgb="FF4F81BD"/>
      <rgbColor rgb="FFAD1457"/>
      <rgbColor rgb="FFFFF8DC"/>
      <rgbColor rgb="FFE8F5E9"/>
      <rgbColor rgb="FF595959"/>
      <rgbColor rgb="FFFF7C80"/>
      <rgbColor rgb="FF0563C1"/>
      <rgbColor rgb="FFD9D2E9"/>
      <rgbColor rgb="FF000080"/>
      <rgbColor rgb="FFFF00FF"/>
      <rgbColor rgb="FFFFFF00"/>
      <rgbColor rgb="FF00FFFF"/>
      <rgbColor rgb="FF5E35B1"/>
      <rgbColor rgb="FFC0504D"/>
      <rgbColor rgb="FF0E7C86"/>
      <rgbColor rgb="FF0000FF"/>
      <rgbColor rgb="FF0277BD"/>
      <rgbColor rgb="FFEEF3FA"/>
      <rgbColor rgb="FFC6EFCE"/>
      <rgbColor rgb="FFFFEB9C"/>
      <rgbColor rgb="FFD9D9D9"/>
      <rgbColor rgb="FFFF99CC"/>
      <rgbColor rgb="FFCC99FF"/>
      <rgbColor rgb="FFFFC7CE"/>
      <rgbColor rgb="FF4A7EBB"/>
      <rgbColor rgb="FF33CCCC"/>
      <rgbColor rgb="FF99CC00"/>
      <rgbColor rgb="FFFFCC00"/>
      <rgbColor rgb="FFF9A825"/>
      <rgbColor rgb="FFEF6C00"/>
      <rgbColor rgb="FF757575"/>
      <rgbColor rgb="FF9E9E9E"/>
      <rgbColor rgb="FF1F3864"/>
      <rgbColor rgb="FF2E7D32"/>
      <rgbColor rgb="FF455A64"/>
      <rgbColor rgb="FF1B5E20"/>
      <rgbColor rgb="FFC62828"/>
      <rgbColor rgb="FFBE4B48"/>
      <rgbColor rgb="FF283593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vs Purchases (FY)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Reports!B4</c:f>
              <c:strCache>
                <c:ptCount val="1"/>
                <c:pt idx="0">
                  <c:v>Sales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Reports!$A$5:$A$16</c:f>
              <c:strCache>
                <c:ptCount val="12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  <c:pt idx="6">
                  <c:v>Oct-26</c:v>
                </c:pt>
                <c:pt idx="7">
                  <c:v>Nov-26</c:v>
                </c:pt>
                <c:pt idx="8">
                  <c:v>Dec-26</c:v>
                </c:pt>
                <c:pt idx="9">
                  <c:v>Jan-27</c:v>
                </c:pt>
                <c:pt idx="10">
                  <c:v>Feb-27</c:v>
                </c:pt>
                <c:pt idx="11">
                  <c:v>Mar-27</c:v>
                </c:pt>
              </c:strCache>
            </c:strRef>
          </c:cat>
          <c:val>
            <c:numRef>
              <c:f>Reports!$B$5:$B$16</c:f>
              <c:numCache>
                <c:formatCode>\₹#,##0;[RED]"-₹"#,##0;\-</c:formatCode>
                <c:ptCount val="12"/>
                <c:pt idx="0">
                  <c:v>207752.36</c:v>
                </c:pt>
                <c:pt idx="1">
                  <c:v>216487.42</c:v>
                </c:pt>
                <c:pt idx="2">
                  <c:v>188037.69</c:v>
                </c:pt>
                <c:pt idx="3">
                  <c:v>194459.73</c:v>
                </c:pt>
                <c:pt idx="4">
                  <c:v>181777.54</c:v>
                </c:pt>
                <c:pt idx="5">
                  <c:v>222477.11</c:v>
                </c:pt>
                <c:pt idx="6">
                  <c:v>77891.3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Reports!J4</c:f>
              <c:strCache>
                <c:ptCount val="1"/>
                <c:pt idx="0">
                  <c:v>Purchases (₹)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Reports!$A$5:$A$16</c:f>
              <c:strCache>
                <c:ptCount val="12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  <c:pt idx="6">
                  <c:v>Oct-26</c:v>
                </c:pt>
                <c:pt idx="7">
                  <c:v>Nov-26</c:v>
                </c:pt>
                <c:pt idx="8">
                  <c:v>Dec-26</c:v>
                </c:pt>
                <c:pt idx="9">
                  <c:v>Jan-27</c:v>
                </c:pt>
                <c:pt idx="10">
                  <c:v>Feb-27</c:v>
                </c:pt>
                <c:pt idx="11">
                  <c:v>Mar-27</c:v>
                </c:pt>
              </c:strCache>
            </c:strRef>
          </c:cat>
          <c:val>
            <c:numRef>
              <c:f>Reports!$J$5:$J$16</c:f>
              <c:numCache>
                <c:formatCode>\₹#,##0;[RED]"-₹"#,##0;\-</c:formatCode>
                <c:ptCount val="12"/>
                <c:pt idx="0">
                  <c:v>89496</c:v>
                </c:pt>
                <c:pt idx="1">
                  <c:v>284364</c:v>
                </c:pt>
                <c:pt idx="2">
                  <c:v>146758</c:v>
                </c:pt>
                <c:pt idx="3">
                  <c:v>71933</c:v>
                </c:pt>
                <c:pt idx="4">
                  <c:v>175065</c:v>
                </c:pt>
                <c:pt idx="5">
                  <c:v>159912</c:v>
                </c:pt>
                <c:pt idx="6">
                  <c:v>147184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44748123"/>
        <c:axId val="834373"/>
      </c:barChart>
      <c:catAx>
        <c:axId val="44748123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4373"/>
        <c:crosses val="autoZero"/>
        <c:auto val="1"/>
        <c:lblAlgn val="ctr"/>
        <c:lblOffset val="100"/>
        <c:noMultiLvlLbl val="0"/>
      </c:catAx>
      <c:valAx>
        <c:axId val="83437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7481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Gross &amp; Net Profit (FY)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Reports!D4</c:f>
              <c:strCache>
                <c:ptCount val="1"/>
                <c:pt idx="0">
                  <c:v>Gross Profit (₹)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Reports!$A$5:$A$16</c:f>
              <c:strCache>
                <c:ptCount val="12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  <c:pt idx="6">
                  <c:v>Oct-26</c:v>
                </c:pt>
                <c:pt idx="7">
                  <c:v>Nov-26</c:v>
                </c:pt>
                <c:pt idx="8">
                  <c:v>Dec-26</c:v>
                </c:pt>
                <c:pt idx="9">
                  <c:v>Jan-27</c:v>
                </c:pt>
                <c:pt idx="10">
                  <c:v>Feb-27</c:v>
                </c:pt>
                <c:pt idx="11">
                  <c:v>Mar-27</c:v>
                </c:pt>
              </c:strCache>
            </c:strRef>
          </c:cat>
          <c:val>
            <c:numRef>
              <c:f>Reports!$D$5:$D$16</c:f>
              <c:numCache>
                <c:formatCode>\₹#,##0;[RED]"-₹"#,##0;\-</c:formatCode>
                <c:ptCount val="12"/>
                <c:pt idx="0">
                  <c:v>46947.64</c:v>
                </c:pt>
                <c:pt idx="1">
                  <c:v>50939.23</c:v>
                </c:pt>
                <c:pt idx="2">
                  <c:v>41457.49</c:v>
                </c:pt>
                <c:pt idx="3">
                  <c:v>45790.4</c:v>
                </c:pt>
                <c:pt idx="4">
                  <c:v>43647.29</c:v>
                </c:pt>
                <c:pt idx="5">
                  <c:v>48972.9</c:v>
                </c:pt>
                <c:pt idx="6">
                  <c:v>13413.24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Reports!I4</c:f>
              <c:strCache>
                <c:ptCount val="1"/>
                <c:pt idx="0">
                  <c:v>Net Profit (₹)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Reports!$A$5:$A$16</c:f>
              <c:strCache>
                <c:ptCount val="12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  <c:pt idx="6">
                  <c:v>Oct-26</c:v>
                </c:pt>
                <c:pt idx="7">
                  <c:v>Nov-26</c:v>
                </c:pt>
                <c:pt idx="8">
                  <c:v>Dec-26</c:v>
                </c:pt>
                <c:pt idx="9">
                  <c:v>Jan-27</c:v>
                </c:pt>
                <c:pt idx="10">
                  <c:v>Feb-27</c:v>
                </c:pt>
                <c:pt idx="11">
                  <c:v>Mar-27</c:v>
                </c:pt>
              </c:strCache>
            </c:strRef>
          </c:cat>
          <c:val>
            <c:numRef>
              <c:f>Reports!$I$5:$I$16</c:f>
              <c:numCache>
                <c:formatCode>\₹#,##0;[RED]"-₹"#,##0;\-</c:formatCode>
                <c:ptCount val="12"/>
                <c:pt idx="0">
                  <c:v>13280.64</c:v>
                </c:pt>
                <c:pt idx="1">
                  <c:v>13667.5</c:v>
                </c:pt>
                <c:pt idx="2">
                  <c:v>10339.49</c:v>
                </c:pt>
                <c:pt idx="3">
                  <c:v>12509.9</c:v>
                </c:pt>
                <c:pt idx="4">
                  <c:v>9574.29000000001</c:v>
                </c:pt>
                <c:pt idx="5">
                  <c:v>18757.33</c:v>
                </c:pt>
                <c:pt idx="6">
                  <c:v>-21288.76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9529654"/>
        <c:axId val="68156928"/>
      </c:lineChart>
      <c:catAx>
        <c:axId val="3952965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156928"/>
        <c:crosses val="autoZero"/>
        <c:auto val="1"/>
        <c:lblAlgn val="ctr"/>
        <c:lblOffset val="100"/>
        <c:noMultiLvlLbl val="0"/>
      </c:catAx>
      <c:valAx>
        <c:axId val="681569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5296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31</xdr:row>
      <xdr:rowOff>0</xdr:rowOff>
    </xdr:from>
    <xdr:to>
      <xdr:col>7</xdr:col>
      <xdr:colOff>111600</xdr:colOff>
      <xdr:row>45</xdr:row>
      <xdr:rowOff>32400</xdr:rowOff>
    </xdr:to>
    <xdr:graphicFrame>
      <xdr:nvGraphicFramePr>
        <xdr:cNvPr id="0" name="Chart 1"/>
        <xdr:cNvGraphicFramePr/>
      </xdr:nvGraphicFramePr>
      <xdr:xfrm>
        <a:off x="141120" y="6886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31</xdr:row>
      <xdr:rowOff>0</xdr:rowOff>
    </xdr:from>
    <xdr:to>
      <xdr:col>13</xdr:col>
      <xdr:colOff>272880</xdr:colOff>
      <xdr:row>45</xdr:row>
      <xdr:rowOff>32400</xdr:rowOff>
    </xdr:to>
    <xdr:graphicFrame>
      <xdr:nvGraphicFramePr>
        <xdr:cNvPr id="1" name="Chart 2"/>
        <xdr:cNvGraphicFramePr/>
      </xdr:nvGraphicFramePr>
      <xdr:xfrm>
        <a:off x="6310800" y="688644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SmartTrader_ERP.xlsx" TargetMode="External"/><Relationship Id="rId2" Type="http://schemas.openxmlformats.org/officeDocument/2006/relationships/hyperlink" Target="SmartTrader_ERP.xlsx" TargetMode="External"/><Relationship Id="rId3" Type="http://schemas.openxmlformats.org/officeDocument/2006/relationships/hyperlink" Target="SmartTrader_ERP.xlsx" TargetMode="External"/><Relationship Id="rId4" Type="http://schemas.openxmlformats.org/officeDocument/2006/relationships/hyperlink" Target="SmartTrader_ERP.xlsx" TargetMode="External"/><Relationship Id="rId5" Type="http://schemas.openxmlformats.org/officeDocument/2006/relationships/hyperlink" Target="SmartTrader_ERP.xlsx" TargetMode="External"/><Relationship Id="rId6" Type="http://schemas.openxmlformats.org/officeDocument/2006/relationships/hyperlink" Target="SmartTrader_ERP.xlsx" TargetMode="External"/><Relationship Id="rId7" Type="http://schemas.openxmlformats.org/officeDocument/2006/relationships/hyperlink" Target="SmartTrader_ERP.xlsx" TargetMode="External"/><Relationship Id="rId8" Type="http://schemas.openxmlformats.org/officeDocument/2006/relationships/hyperlink" Target="SmartTrader_ERP.xlsx" TargetMode="External"/><Relationship Id="rId9" Type="http://schemas.openxmlformats.org/officeDocument/2006/relationships/hyperlink" Target="SmartTrader_ERP.xlsx" TargetMode="External"/><Relationship Id="rId10" Type="http://schemas.openxmlformats.org/officeDocument/2006/relationships/hyperlink" Target="SmartTrader_ERP.xlsx" TargetMode="External"/><Relationship Id="rId11" Type="http://schemas.openxmlformats.org/officeDocument/2006/relationships/hyperlink" Target="SmartTrader_ERP.xlsx" TargetMode="External"/><Relationship Id="rId12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SmartTrader_ERP.xlsx" TargetMode="External"/><Relationship Id="rId2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SmartTrader_ERP.xlsx" TargetMode="External"/><Relationship Id="rId2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SmartTrader_ERP.xlsx" TargetMode="External"/><Relationship Id="rId2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SmartTrader_ERP.xlsx" TargetMode="External"/><Relationship Id="rId2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SmartTrader_ERP.xlsx" TargetMode="External"/><Relationship Id="rId3" Type="http://schemas.openxmlformats.org/officeDocument/2006/relationships/drawing" Target="../drawings/drawing6.xml"/><Relationship Id="rId4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SmartTrader_ERP.xlsx" TargetMode="External"/><Relationship Id="rId2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hyperlink" Target="SmartTrader_ERP.xlsx" TargetMode="External"/><Relationship Id="rId3" Type="http://schemas.openxmlformats.org/officeDocument/2006/relationships/vmlDrawing" Target="../drawings/vmlDrawing2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SmartTrader_ERP.xlsx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hyperlink" Target="SmartTrader_ERP.xlsx" TargetMode="External"/><Relationship Id="rId3" Type="http://schemas.openxmlformats.org/officeDocument/2006/relationships/vmlDrawing" Target="../drawings/vmlDrawing3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SmartTrader_ERP.xlsx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SmartTrader_ERP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N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4" min="2" style="0" width="12.5"/>
  </cols>
  <sheetData>
    <row r="1" customFormat="false" ht="33.75" hidden="false" customHeight="true" outlineLevel="0" collapsed="false">
      <c r="A1" s="1"/>
      <c r="B1" s="2" t="str">
        <f aca="false">CoName&amp;"  ·  SmartTrader ERP"</f>
        <v>Your Trading Co.  ·  SmartTrader ERP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1"/>
      <c r="B2" s="3" t="str">
        <f aca="false">"Live business cockpit  ·  Period: "&amp;DAY(D4)&amp;"/"&amp;MONTH(D4)&amp;"/"&amp;YEAR(D4)&amp;" to "&amp;DAY(G4)&amp;"/"&amp;MONTH(G4)&amp;"/"&amp;YEAR(G4)</f>
        <v>Live business cockpit  ·  Period: 1/4/2026 to 11/10/2026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9.5" hidden="false" customHeight="true" outlineLevel="0" collapsed="false">
      <c r="B3" s="4" t="str">
        <f aca="false">IF(IsPro,LicStatus&amp;"   ·   lines used: "&amp;"Sales "&amp;COUNTA(Sales!$D$5:$D$3004)&amp;"  ·  Purchases "&amp;COUNTA(Purchases!$D$5:$D$3004)&amp;"  ·  Cash Book "&amp;COUNTA(CashBook!$C$5:$C$3004),LicStatus&amp;"  ·  first 200 lines per register  ·  used: "&amp;"Sales "&amp;COUNTA(Sales!$D$5:$D$3004)&amp;"  ·  Purchases "&amp;COUNTA(Purchases!$D$5:$D$3004)&amp;"  ·  Cash Book "&amp;COUNTA(CashBook!$C$5:$C$3004)&amp;IF(OverFreeLimit,"   &gt;&gt;  LIMIT REACHED: newer lines are not counted - upgrade on the Plans sheet",""))</f>
        <v>FREE PLAN  ·  first 200 lines per register  ·  used: Sales 151  ·  Purchases 33  ·  Cash Book 121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15" hidden="false" customHeight="false" outlineLevel="0" collapsed="false">
      <c r="B4" s="5" t="s">
        <v>0</v>
      </c>
      <c r="D4" s="6" t="n">
        <f aca="false">FYStart</f>
        <v>46113</v>
      </c>
      <c r="E4" s="5" t="s">
        <v>1</v>
      </c>
      <c r="G4" s="6" t="n">
        <f aca="false">AsOf</f>
        <v>46306</v>
      </c>
      <c r="H4" s="7" t="s">
        <v>2</v>
      </c>
    </row>
    <row r="6" customFormat="false" ht="24" hidden="false" customHeight="true" outlineLevel="0" collapsed="false">
      <c r="B6" s="8" t="s">
        <v>3</v>
      </c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  <c r="L6" s="8" t="s">
        <v>13</v>
      </c>
    </row>
    <row r="8" customFormat="false" ht="15" hidden="false" customHeight="false" outlineLevel="0" collapsed="false">
      <c r="B8" s="9" t="s">
        <v>14</v>
      </c>
      <c r="C8" s="9"/>
      <c r="D8" s="10" t="s">
        <v>15</v>
      </c>
      <c r="E8" s="10"/>
      <c r="F8" s="11" t="s">
        <v>16</v>
      </c>
      <c r="G8" s="11"/>
      <c r="H8" s="12" t="s">
        <v>17</v>
      </c>
      <c r="I8" s="12"/>
      <c r="J8" s="13" t="s">
        <v>18</v>
      </c>
      <c r="K8" s="13"/>
    </row>
    <row r="9" customFormat="false" ht="30" hidden="false" customHeight="true" outlineLevel="0" collapsed="false">
      <c r="B9" s="14" t="n">
        <f aca="false">SUMIFS(Sales!$L$5:INDEX(Sales!$L$5:$L$3004,TxRows),Sales!$A$5:INDEX(Sales!$A$5:$A$3004,TxRows),"&gt;="&amp;DFrom,Sales!$A$5:INDEX(Sales!$A$5:$A$3004,TxRows),"&lt;="&amp;DTo)</f>
        <v>1288883.15</v>
      </c>
      <c r="C9" s="14"/>
      <c r="D9" s="15" t="n">
        <f aca="false">SUMIFS(Sales!$S$5:INDEX(Sales!$S$5:$S$3004,TxRows),Sales!$A$5:INDEX(Sales!$A$5:$A$3004,TxRows),"&gt;="&amp;DFrom,Sales!$A$5:INDEX(Sales!$A$5:$A$3004,TxRows),"&lt;="&amp;DTo)</f>
        <v>291168.19</v>
      </c>
      <c r="E9" s="15"/>
      <c r="F9" s="16" t="n">
        <f aca="false">D9-SUMIFS(CashBook!$G$5:INDEX(CashBook!$G$5:$G$3004,TxRows),CashBook!$C$5:INDEX(CashBook!$C$5:$C$3004,TxRows),"Expense",CashBook!$A$5:INDEX(CashBook!$A$5:$A$3004,TxRows),"&gt;="&amp;DFrom,CashBook!$A$5:INDEX(CashBook!$A$5:$A$3004,TxRows),"&lt;="&amp;DTo)+SUMIFS(CashBook!$G$5:INDEX(CashBook!$G$5:$G$3004,TxRows),CashBook!$C$5:INDEX(CashBook!$C$5:$C$3004,TxRows),"Other Income",CashBook!$A$5:INDEX(CashBook!$A$5:$A$3004,TxRows),"&gt;="&amp;DFrom,CashBook!$A$5:INDEX(CashBook!$A$5:$A$3004,TxRows),"&lt;="&amp;DTo)+SUMIFS(Adjustments!$G$5:$G$504,Adjustments!$A$5:$A$504,"&gt;="&amp;DFrom,Adjustments!$A$5:$A$504,"&lt;="&amp;DTo)</f>
        <v>56840.39</v>
      </c>
      <c r="G9" s="16"/>
      <c r="H9" s="17" t="n">
        <f aca="false">SUMIFS(Purchases!$K$5:INDEX(Purchases!$K$5:$K$3004,TxRows),Purchases!$A$5:INDEX(Purchases!$A$5:$A$3004,TxRows),"&gt;="&amp;DFrom,Purchases!$A$5:INDEX(Purchases!$A$5:$A$3004,TxRows),"&lt;="&amp;DTo)</f>
        <v>1074712</v>
      </c>
      <c r="I9" s="17"/>
      <c r="J9" s="18" t="n">
        <f aca="false">SUMIFS(CashBook!$G$5:INDEX(CashBook!$G$5:$G$3004,TxRows),CashBook!$C$5:INDEX(CashBook!$C$5:$C$3004,TxRows),"Expense",CashBook!$A$5:INDEX(CashBook!$A$5:$A$3004,TxRows),"&gt;="&amp;DFrom,CashBook!$A$5:INDEX(CashBook!$A$5:$A$3004,TxRows),"&lt;="&amp;DTo)</f>
        <v>233298</v>
      </c>
      <c r="K9" s="18"/>
    </row>
    <row r="11" customFormat="false" ht="15" hidden="false" customHeight="false" outlineLevel="0" collapsed="false">
      <c r="B11" s="19" t="s">
        <v>19</v>
      </c>
      <c r="C11" s="19"/>
      <c r="D11" s="20" t="s">
        <v>20</v>
      </c>
      <c r="E11" s="20"/>
      <c r="F11" s="21" t="s">
        <v>21</v>
      </c>
      <c r="G11" s="21"/>
      <c r="H11" s="22" t="s">
        <v>22</v>
      </c>
      <c r="I11" s="22"/>
      <c r="J11" s="23" t="s">
        <v>23</v>
      </c>
      <c r="K11" s="23"/>
    </row>
    <row r="12" customFormat="false" ht="30" hidden="false" customHeight="true" outlineLevel="0" collapsed="false">
      <c r="B12" s="24" t="n">
        <f aca="false">IF(B9=0,0,D9/B9)</f>
        <v>0.225907360182341</v>
      </c>
      <c r="C12" s="24"/>
      <c r="D12" s="25" t="n">
        <f aca="false">SUMIF(Parties!$N$5:$N$304,"&gt;0")</f>
        <v>67030.63</v>
      </c>
      <c r="E12" s="25"/>
      <c r="F12" s="26" t="n">
        <f aca="false">-SUMIF(Parties!$N$5:$N$304,"&lt;0")</f>
        <v>37223.86</v>
      </c>
      <c r="G12" s="26"/>
      <c r="H12" s="27" t="n">
        <f aca="false">SUM(Items!$Q$5:$Q$504)</f>
        <v>478767.27556786</v>
      </c>
      <c r="I12" s="27"/>
      <c r="J12" s="28" t="n">
        <f aca="false">SUMIFS(Sales!$N$5:INDEX(Sales!$N$5:$N$3004,TxRows),Sales!$A$5:INDEX(Sales!$A$5:$A$3004,TxRows),"&gt;="&amp;DFrom,Sales!$A$5:INDEX(Sales!$A$5:$A$3004,TxRows),"&lt;="&amp;DTo)+SUMIFS(Sales!$O$5:INDEX(Sales!$O$5:$O$3004,TxRows),Sales!$A$5:INDEX(Sales!$A$5:$A$3004,TxRows),"&gt;="&amp;DFrom,Sales!$A$5:INDEX(Sales!$A$5:$A$3004,TxRows),"&lt;="&amp;DTo)+SUMIFS(Sales!$P$5:INDEX(Sales!$P$5:$P$3004,TxRows),Sales!$A$5:INDEX(Sales!$A$5:$A$3004,TxRows),"&gt;="&amp;DFrom,Sales!$A$5:INDEX(Sales!$A$5:$A$3004,TxRows),"&lt;="&amp;DTo)-SUMIFS(Purchases!$M$5:INDEX(Purchases!$M$5:$M$3004,TxRows),Purchases!$A$5:INDEX(Purchases!$A$5:$A$3004,TxRows),"&gt;="&amp;DFrom,Purchases!$A$5:INDEX(Purchases!$A$5:$A$3004,TxRows),"&lt;="&amp;DTo)-SUMIFS(Purchases!$N$5:INDEX(Purchases!$N$5:$N$3004,TxRows),Purchases!$A$5:INDEX(Purchases!$A$5:$A$3004,TxRows),"&gt;="&amp;DFrom,Purchases!$A$5:INDEX(Purchases!$A$5:$A$3004,TxRows),"&lt;="&amp;DTo)-SUMIFS(Purchases!$O$5:INDEX(Purchases!$O$5:$O$3004,TxRows),Purchases!$A$5:INDEX(Purchases!$A$5:$A$3004,TxRows),"&gt;="&amp;DFrom,Purchases!$A$5:INDEX(Purchases!$A$5:$A$3004,TxRows),"&lt;="&amp;DTo)</f>
        <v>23042.26</v>
      </c>
      <c r="K12" s="28"/>
    </row>
    <row r="14" customFormat="false" ht="15" hidden="false" customHeight="false" outlineLevel="0" collapsed="false">
      <c r="B14" s="29" t="s">
        <v>24</v>
      </c>
      <c r="C14" s="29"/>
      <c r="D14" s="30" t="s">
        <v>25</v>
      </c>
      <c r="E14" s="30"/>
      <c r="F14" s="31" t="s">
        <v>26</v>
      </c>
      <c r="G14" s="31"/>
      <c r="H14" s="32" t="s">
        <v>27</v>
      </c>
      <c r="I14" s="32"/>
      <c r="J14" s="33" t="s">
        <v>28</v>
      </c>
      <c r="K14" s="33"/>
    </row>
    <row r="15" customFormat="false" ht="30" hidden="false" customHeight="true" outlineLevel="0" collapsed="false">
      <c r="B15" s="34" t="n">
        <f aca="false">COUNTIF(Items!$R$5:$R$504,"REORDER")+COUNTIF(Items!$R$5:$R$504,"OUT OF STOCK")+COUNTIF(Items!$R$5:$R$504,"NEGATIVE")</f>
        <v>1</v>
      </c>
      <c r="C15" s="34"/>
      <c r="D15" s="35" t="n">
        <f aca="false">COUNTIF(Items!$R$5:$R$504,"DEAD STOCK")</f>
        <v>0</v>
      </c>
      <c r="E15" s="35"/>
      <c r="F15" s="36" t="n">
        <f aca="false">COUNTIF(Parties!$S$5:$S$304,"OVERDUE")+COUNTIF(Parties!$S$5:$S$304,"OVER LIMIT")</f>
        <v>0</v>
      </c>
      <c r="G15" s="36"/>
      <c r="H15" s="37" t="n">
        <f aca="false">COUNTIFS(Sales!$I$5:INDEX(Sales!$I$5:$I$3004,TxRows),"Pending")+COUNTIFS(Sales!$I$5:INDEX(Sales!$I$5:$I$3004,TxRows),"Packed")</f>
        <v>2</v>
      </c>
      <c r="I15" s="37"/>
      <c r="J15" s="38" t="str">
        <f aca="false">InvPrefix&amp;TEXT(MAX(Sales!$W$5:INDEX(Sales!$W$5:$W$3004,TxRows))+1,"0000")</f>
        <v>INV-0128</v>
      </c>
      <c r="K15" s="38"/>
    </row>
    <row r="18" customFormat="false" ht="15" hidden="false" customHeight="false" outlineLevel="0" collapsed="false">
      <c r="B18" s="39" t="s">
        <v>29</v>
      </c>
      <c r="I18" s="39" t="s">
        <v>30</v>
      </c>
    </row>
    <row r="19" customFormat="false" ht="15" hidden="false" customHeight="false" outlineLevel="0" collapsed="false">
      <c r="B19" s="40" t="s">
        <v>31</v>
      </c>
      <c r="C19" s="41"/>
      <c r="D19" s="40" t="s">
        <v>32</v>
      </c>
      <c r="E19" s="40" t="s">
        <v>33</v>
      </c>
      <c r="F19" s="40" t="s">
        <v>34</v>
      </c>
      <c r="G19" s="40" t="s">
        <v>35</v>
      </c>
      <c r="I19" s="40" t="s">
        <v>36</v>
      </c>
      <c r="J19" s="40" t="s">
        <v>37</v>
      </c>
      <c r="K19" s="40"/>
      <c r="L19" s="40" t="s">
        <v>38</v>
      </c>
      <c r="M19" s="40" t="s">
        <v>39</v>
      </c>
      <c r="N19" s="40" t="s">
        <v>40</v>
      </c>
    </row>
    <row r="20" customFormat="false" ht="15" hidden="false" customHeight="false" outlineLevel="0" collapsed="false">
      <c r="B20" s="42" t="str">
        <f aca="false">IF(Settings!$A$18="","",Settings!$A$18)</f>
        <v>Cash</v>
      </c>
      <c r="D20" s="43" t="n">
        <f aca="false">IF(B20="","",N(Settings!$B$18))</f>
        <v>50000</v>
      </c>
      <c r="E20" s="43" t="n">
        <f aca="false">IF(B20="","",SUMIFS(CashBook!$I$5:INDEX(CashBook!$I$5:$I$3004,TxRows),CashBook!$F$5:INDEX(CashBook!$F$5:$F$3004,TxRows),B20,CashBook!$A$5:INDEX(CashBook!$A$5:$A$3004,TxRows),"&lt;="&amp;DTo)+SUMIFS(Sales!$X$5:INDEX(Sales!$X$5:$X$3004,TxRows),Sales!$H$5:INDEX(Sales!$H$5:$H$3004,TxRows),B20,Sales!$A$5:INDEX(Sales!$A$5:$A$3004,TxRows),"&lt;="&amp;DTo))</f>
        <v>539651.8</v>
      </c>
      <c r="F20" s="43" t="n">
        <f aca="false">IF(B20="","",SUMIFS(CashBook!$J$5:INDEX(CashBook!$J$5:$J$3004,TxRows),CashBook!$F$5:INDEX(CashBook!$F$5:$F$3004,TxRows),B20,CashBook!$A$5:INDEX(CashBook!$A$5:$A$3004,TxRows),"&lt;="&amp;DTo)+SUMIFS(Purchases!$S$5:INDEX(Purchases!$S$5:$S$3004,TxRows),Purchases!$H$5:INDEX(Purchases!$H$5:$H$3004,TxRows),B20,Purchases!$A$5:INDEX(Purchases!$A$5:$A$3004,TxRows),"&lt;="&amp;DTo))</f>
        <v>515325</v>
      </c>
      <c r="G20" s="44" t="n">
        <f aca="false">IF(B20="","",D20+E20-F20)</f>
        <v>74326.8000000001</v>
      </c>
      <c r="I20" s="45" t="n">
        <v>1</v>
      </c>
      <c r="J20" s="45" t="str">
        <f aca="false">IFERROR(IF(INDEX(Items!$U$5:$U$504,MATCH(LARGE(Items!$Z$5:$Z$504,1),Items!$Z$5:$Z$504,0))=0,"",INDEX(Items!$A$5:$A$504,MATCH(LARGE(Items!$Z$5:$Z$504,1),Items!$Z$5:$Z$504,0))),"")</f>
        <v>Refined Oil 15L</v>
      </c>
      <c r="K20" s="45"/>
      <c r="L20" s="46" t="n">
        <f aca="false">IF(J20="","",INDEX(Items!$U$5:$U$504,MATCH(LARGE(Items!$Z$5:$Z$504,1),Items!$Z$5:$Z$504,0)))</f>
        <v>226435.2</v>
      </c>
      <c r="M20" s="47" t="n">
        <f aca="false">IF(J20="","",INDEX(Items!$O$5:$O$504,MATCH(LARGE(Items!$Z$5:$Z$504,1),Items!$Z$5:$Z$504,0)))</f>
        <v>11</v>
      </c>
      <c r="N20" s="45" t="str">
        <f aca="false">IF(J20="","",INDEX(Items!$R$5:$R$504,MATCH(LARGE(Items!$Z$5:$Z$504,1),Items!$Z$5:$Z$504,0)))</f>
        <v>OK</v>
      </c>
    </row>
    <row r="21" customFormat="false" ht="15" hidden="false" customHeight="false" outlineLevel="0" collapsed="false">
      <c r="B21" s="42" t="str">
        <f aca="false">IF(Settings!$A$19="","",Settings!$A$19)</f>
        <v>Bank</v>
      </c>
      <c r="D21" s="43" t="n">
        <f aca="false">IF(B21="","",N(Settings!$B$19))</f>
        <v>250000</v>
      </c>
      <c r="E21" s="43" t="n">
        <f aca="false">IF(B21="","",SUMIFS(CashBook!$I$5:INDEX(CashBook!$I$5:$I$3004,TxRows),CashBook!$F$5:INDEX(CashBook!$F$5:$F$3004,TxRows),B21,CashBook!$A$5:INDEX(CashBook!$A$5:$A$3004,TxRows),"&lt;="&amp;DTo)+SUMIFS(Sales!$X$5:INDEX(Sales!$X$5:$X$3004,TxRows),Sales!$H$5:INDEX(Sales!$H$5:$H$3004,TxRows),B21,Sales!$A$5:INDEX(Sales!$A$5:$A$3004,TxRows),"&lt;="&amp;DTo))</f>
        <v>1164653.76</v>
      </c>
      <c r="F21" s="43" t="n">
        <f aca="false">IF(B21="","",SUMIFS(CashBook!$J$5:INDEX(CashBook!$J$5:$J$3004,TxRows),CashBook!$F$5:INDEX(CashBook!$F$5:$F$3004,TxRows),B21,CashBook!$A$5:INDEX(CashBook!$A$5:$A$3004,TxRows),"&lt;="&amp;DTo)+SUMIFS(Purchases!$S$5:INDEX(Purchases!$S$5:$S$3004,TxRows),Purchases!$H$5:INDEX(Purchases!$H$5:$H$3004,TxRows),B21,Purchases!$A$5:INDEX(Purchases!$A$5:$A$3004,TxRows),"&lt;="&amp;DTo))</f>
        <v>1340591.18</v>
      </c>
      <c r="G21" s="44" t="n">
        <f aca="false">IF(B21="","",D21+E21-F21)</f>
        <v>74062.5800000001</v>
      </c>
      <c r="I21" s="45" t="n">
        <v>2</v>
      </c>
      <c r="J21" s="45" t="str">
        <f aca="false">IFERROR(IF(INDEX(Items!$U$5:$U$504,MATCH(LARGE(Items!$Z$5:$Z$504,2),Items!$Z$5:$Z$504,0))=0,"",INDEX(Items!$A$5:$A$504,MATCH(LARGE(Items!$Z$5:$Z$504,2),Items!$Z$5:$Z$504,0))),"")</f>
        <v>Basmati Rice 25kg</v>
      </c>
      <c r="K21" s="45"/>
      <c r="L21" s="46" t="n">
        <f aca="false">IF(J21="","",INDEX(Items!$U$5:$U$504,MATCH(LARGE(Items!$Z$5:$Z$504,2),Items!$Z$5:$Z$504,0)))</f>
        <v>195710.58</v>
      </c>
      <c r="M21" s="47" t="n">
        <f aca="false">IF(J21="","",INDEX(Items!$O$5:$O$504,MATCH(LARGE(Items!$Z$5:$Z$504,2),Items!$Z$5:$Z$504,0)))</f>
        <v>51</v>
      </c>
      <c r="N21" s="45" t="str">
        <f aca="false">IF(J21="","",INDEX(Items!$R$5:$R$504,MATCH(LARGE(Items!$Z$5:$Z$504,2),Items!$Z$5:$Z$504,0)))</f>
        <v>OK</v>
      </c>
    </row>
    <row r="22" customFormat="false" ht="15" hidden="false" customHeight="false" outlineLevel="0" collapsed="false">
      <c r="B22" s="42" t="str">
        <f aca="false">IF(Settings!$A$20="","",Settings!$A$20)</f>
        <v>UPI</v>
      </c>
      <c r="D22" s="43" t="n">
        <f aca="false">IF(B22="","",N(Settings!$B$20))</f>
        <v>0</v>
      </c>
      <c r="E22" s="43" t="n">
        <f aca="false">IF(B22="","",SUMIFS(CashBook!$I$5:INDEX(CashBook!$I$5:$I$3004,TxRows),CashBook!$F$5:INDEX(CashBook!$F$5:$F$3004,TxRows),B22,CashBook!$A$5:INDEX(CashBook!$A$5:$A$3004,TxRows),"&lt;="&amp;DTo)+SUMIFS(Sales!$X$5:INDEX(Sales!$X$5:$X$3004,TxRows),Sales!$H$5:INDEX(Sales!$H$5:$H$3004,TxRows),B22,Sales!$A$5:INDEX(Sales!$A$5:$A$3004,TxRows),"&lt;="&amp;DTo))</f>
        <v>384192.26</v>
      </c>
      <c r="F22" s="43" t="n">
        <f aca="false">IF(B22="","",SUMIFS(CashBook!$J$5:INDEX(CashBook!$J$5:$J$3004,TxRows),CashBook!$F$5:INDEX(CashBook!$F$5:$F$3004,TxRows),B22,CashBook!$A$5:INDEX(CashBook!$A$5:$A$3004,TxRows),"&lt;="&amp;DTo)+SUMIFS(Purchases!$S$5:INDEX(Purchases!$S$5:$S$3004,TxRows),Purchases!$H$5:INDEX(Purchases!$H$5:$H$3004,TxRows),B22,Purchases!$A$5:INDEX(Purchases!$A$5:$A$3004,TxRows),"&lt;="&amp;DTo))</f>
        <v>291973</v>
      </c>
      <c r="G22" s="44" t="n">
        <f aca="false">IF(B22="","",D22+E22-F22)</f>
        <v>92219.26</v>
      </c>
      <c r="I22" s="45" t="n">
        <v>3</v>
      </c>
      <c r="J22" s="45" t="str">
        <f aca="false">IFERROR(IF(INDEX(Items!$U$5:$U$504,MATCH(LARGE(Items!$Z$5:$Z$504,3),Items!$Z$5:$Z$504,0))=0,"",INDEX(Items!$A$5:$A$504,MATCH(LARGE(Items!$Z$5:$Z$504,3),Items!$Z$5:$Z$504,0))),"")</f>
        <v>Sugar 50kg</v>
      </c>
      <c r="K22" s="45"/>
      <c r="L22" s="46" t="n">
        <f aca="false">IF(J22="","",INDEX(Items!$U$5:$U$504,MATCH(LARGE(Items!$Z$5:$Z$504,3),Items!$Z$5:$Z$504,0)))</f>
        <v>140580.2</v>
      </c>
      <c r="M22" s="47" t="n">
        <f aca="false">IF(J22="","",INDEX(Items!$O$5:$O$504,MATCH(LARGE(Items!$Z$5:$Z$504,3),Items!$Z$5:$Z$504,0)))</f>
        <v>23</v>
      </c>
      <c r="N22" s="45" t="str">
        <f aca="false">IF(J22="","",INDEX(Items!$R$5:$R$504,MATCH(LARGE(Items!$Z$5:$Z$504,3),Items!$Z$5:$Z$504,0)))</f>
        <v>OK</v>
      </c>
    </row>
    <row r="23" customFormat="false" ht="15" hidden="false" customHeight="false" outlineLevel="0" collapsed="false">
      <c r="B23" s="42" t="str">
        <f aca="false">IF(Settings!$A$21="","",Settings!$A$21)</f>
        <v/>
      </c>
      <c r="D23" s="43" t="str">
        <f aca="false">IF(B23="","",N(Settings!$B$21))</f>
        <v/>
      </c>
      <c r="E23" s="43" t="str">
        <f aca="false">IF(B23="","",SUMIFS(CashBook!$I$5:INDEX(CashBook!$I$5:$I$3004,TxRows),CashBook!$F$5:INDEX(CashBook!$F$5:$F$3004,TxRows),B23,CashBook!$A$5:INDEX(CashBook!$A$5:$A$3004,TxRows),"&lt;="&amp;DTo)+SUMIFS(Sales!$X$5:INDEX(Sales!$X$5:$X$3004,TxRows),Sales!$H$5:INDEX(Sales!$H$5:$H$3004,TxRows),B23,Sales!$A$5:INDEX(Sales!$A$5:$A$3004,TxRows),"&lt;="&amp;DTo))</f>
        <v/>
      </c>
      <c r="F23" s="43" t="str">
        <f aca="false">IF(B23="","",SUMIFS(CashBook!$J$5:INDEX(CashBook!$J$5:$J$3004,TxRows),CashBook!$F$5:INDEX(CashBook!$F$5:$F$3004,TxRows),B23,CashBook!$A$5:INDEX(CashBook!$A$5:$A$3004,TxRows),"&lt;="&amp;DTo)+SUMIFS(Purchases!$S$5:INDEX(Purchases!$S$5:$S$3004,TxRows),Purchases!$H$5:INDEX(Purchases!$H$5:$H$3004,TxRows),B23,Purchases!$A$5:INDEX(Purchases!$A$5:$A$3004,TxRows),"&lt;="&amp;DTo))</f>
        <v/>
      </c>
      <c r="G23" s="44" t="str">
        <f aca="false">IF(B23="","",D23+E23-F23)</f>
        <v/>
      </c>
      <c r="I23" s="45" t="n">
        <v>4</v>
      </c>
      <c r="J23" s="45" t="str">
        <f aca="false">IFERROR(IF(INDEX(Items!$U$5:$U$504,MATCH(LARGE(Items!$Z$5:$Z$504,4),Items!$Z$5:$Z$504,0))=0,"",INDEX(Items!$A$5:$A$504,MATCH(LARGE(Items!$Z$5:$Z$504,4),Items!$Z$5:$Z$504,0))),"")</f>
        <v>Copper Wire 90m</v>
      </c>
      <c r="K23" s="45"/>
      <c r="L23" s="46" t="n">
        <f aca="false">IF(J23="","",INDEX(Items!$U$5:$U$504,MATCH(LARGE(Items!$Z$5:$Z$504,4),Items!$Z$5:$Z$504,0)))</f>
        <v>129570.84</v>
      </c>
      <c r="M23" s="47" t="n">
        <f aca="false">IF(J23="","",INDEX(Items!$O$5:$O$504,MATCH(LARGE(Items!$Z$5:$Z$504,4),Items!$Z$5:$Z$504,0)))</f>
        <v>14</v>
      </c>
      <c r="N23" s="45" t="str">
        <f aca="false">IF(J23="","",INDEX(Items!$R$5:$R$504,MATCH(LARGE(Items!$Z$5:$Z$504,4),Items!$Z$5:$Z$504,0)))</f>
        <v>OK</v>
      </c>
    </row>
    <row r="24" customFormat="false" ht="15" hidden="false" customHeight="false" outlineLevel="0" collapsed="false">
      <c r="B24" s="5" t="s">
        <v>41</v>
      </c>
      <c r="G24" s="48" t="n">
        <f aca="false">SUM(G20:G23)</f>
        <v>240608.64</v>
      </c>
      <c r="I24" s="45" t="n">
        <v>5</v>
      </c>
      <c r="J24" s="45" t="str">
        <f aca="false">IFERROR(IF(INDEX(Items!$U$5:$U$504,MATCH(LARGE(Items!$Z$5:$Z$504,5),Items!$Z$5:$Z$504,0))=0,"",INDEX(Items!$A$5:$A$504,MATCH(LARGE(Items!$Z$5:$Z$504,5),Items!$Z$5:$Z$504,0))),"")</f>
        <v>PVC Pipe 1in 6m</v>
      </c>
      <c r="K24" s="45"/>
      <c r="L24" s="46" t="n">
        <f aca="false">IF(J24="","",INDEX(Items!$U$5:$U$504,MATCH(LARGE(Items!$Z$5:$Z$504,5),Items!$Z$5:$Z$504,0)))</f>
        <v>96569.55</v>
      </c>
      <c r="M24" s="47" t="n">
        <f aca="false">IF(J24="","",INDEX(Items!$O$5:$O$504,MATCH(LARGE(Items!$Z$5:$Z$504,5),Items!$Z$5:$Z$504,0)))</f>
        <v>168</v>
      </c>
      <c r="N24" s="45" t="str">
        <f aca="false">IF(J24="","",INDEX(Items!$R$5:$R$504,MATCH(LARGE(Items!$Z$5:$Z$504,5),Items!$Z$5:$Z$504,0)))</f>
        <v>OK</v>
      </c>
    </row>
    <row r="25" customFormat="false" ht="15" hidden="false" customHeight="false" outlineLevel="0" collapsed="false">
      <c r="I25" s="45" t="n">
        <v>6</v>
      </c>
      <c r="J25" s="45" t="str">
        <f aca="false">IFERROR(IF(INDEX(Items!$U$5:$U$504,MATCH(LARGE(Items!$Z$5:$Z$504,6),Items!$Z$5:$Z$504,0))=0,"",INDEX(Items!$A$5:$A$504,MATCH(LARGE(Items!$Z$5:$Z$504,6),Items!$Z$5:$Z$504,0))),"")</f>
        <v>LED Bulb 9W</v>
      </c>
      <c r="K25" s="45"/>
      <c r="L25" s="46" t="n">
        <f aca="false">IF(J25="","",INDEX(Items!$U$5:$U$504,MATCH(LARGE(Items!$Z$5:$Z$504,6),Items!$Z$5:$Z$504,0)))</f>
        <v>93178.81</v>
      </c>
      <c r="M25" s="47" t="n">
        <f aca="false">IF(J25="","",INDEX(Items!$O$5:$O$504,MATCH(LARGE(Items!$Z$5:$Z$504,6),Items!$Z$5:$Z$504,0)))</f>
        <v>366</v>
      </c>
      <c r="N25" s="45" t="str">
        <f aca="false">IF(J25="","",INDEX(Items!$R$5:$R$504,MATCH(LARGE(Items!$Z$5:$Z$504,6),Items!$Z$5:$Z$504,0)))</f>
        <v>OK</v>
      </c>
    </row>
    <row r="26" customFormat="false" ht="15" hidden="false" customHeight="false" outlineLevel="0" collapsed="false">
      <c r="I26" s="45" t="n">
        <v>7</v>
      </c>
      <c r="J26" s="45" t="str">
        <f aca="false">IFERROR(IF(INDEX(Items!$U$5:$U$504,MATCH(LARGE(Items!$Z$5:$Z$504,7),Items!$Z$5:$Z$504,0))=0,"",INDEX(Items!$A$5:$A$504,MATCH(LARGE(Items!$Z$5:$Z$504,7),Items!$Z$5:$Z$504,0))),"")</f>
        <v>Ceiling Fan 1200mm</v>
      </c>
      <c r="K26" s="45"/>
      <c r="L26" s="46" t="n">
        <f aca="false">IF(J26="","",INDEX(Items!$U$5:$U$504,MATCH(LARGE(Items!$Z$5:$Z$504,7),Items!$Z$5:$Z$504,0)))</f>
        <v>91510.02</v>
      </c>
      <c r="M26" s="47" t="n">
        <f aca="false">IF(J26="","",INDEX(Items!$O$5:$O$504,MATCH(LARGE(Items!$Z$5:$Z$504,7),Items!$Z$5:$Z$504,0)))</f>
        <v>25</v>
      </c>
      <c r="N26" s="45" t="str">
        <f aca="false">IF(J26="","",INDEX(Items!$R$5:$R$504,MATCH(LARGE(Items!$Z$5:$Z$504,7),Items!$Z$5:$Z$504,0)))</f>
        <v>OK</v>
      </c>
    </row>
    <row r="27" customFormat="false" ht="15" hidden="false" customHeight="false" outlineLevel="0" collapsed="false">
      <c r="I27" s="45" t="n">
        <v>8</v>
      </c>
      <c r="J27" s="45" t="str">
        <f aca="false">IFERROR(IF(INDEX(Items!$U$5:$U$504,MATCH(LARGE(Items!$Z$5:$Z$504,8),Items!$Z$5:$Z$504,0))=0,"",INDEX(Items!$A$5:$A$504,MATCH(LARGE(Items!$Z$5:$Z$504,8),Items!$Z$5:$Z$504,0))),"")</f>
        <v>Detergent 5kg</v>
      </c>
      <c r="K27" s="45"/>
      <c r="L27" s="46" t="n">
        <f aca="false">IF(J27="","",INDEX(Items!$U$5:$U$504,MATCH(LARGE(Items!$Z$5:$Z$504,8),Items!$Z$5:$Z$504,0)))</f>
        <v>91039.25</v>
      </c>
      <c r="M27" s="47" t="n">
        <f aca="false">IF(J27="","",INDEX(Items!$O$5:$O$504,MATCH(LARGE(Items!$Z$5:$Z$504,8),Items!$Z$5:$Z$504,0)))</f>
        <v>75</v>
      </c>
      <c r="N27" s="45" t="str">
        <f aca="false">IF(J27="","",INDEX(Items!$R$5:$R$504,MATCH(LARGE(Items!$Z$5:$Z$504,8),Items!$Z$5:$Z$504,0)))</f>
        <v>OK</v>
      </c>
    </row>
    <row r="28" customFormat="false" ht="15" hidden="false" customHeight="false" outlineLevel="0" collapsed="false">
      <c r="I28" s="45" t="n">
        <v>9</v>
      </c>
      <c r="J28" s="45" t="str">
        <f aca="false">IFERROR(IF(INDEX(Items!$U$5:$U$504,MATCH(LARGE(Items!$Z$5:$Z$504,9),Items!$Z$5:$Z$504,0))=0,"",INDEX(Items!$A$5:$A$504,MATCH(LARGE(Items!$Z$5:$Z$504,9),Items!$Z$5:$Z$504,0))),"")</f>
        <v>Cement 50kg</v>
      </c>
      <c r="K28" s="45"/>
      <c r="L28" s="46" t="n">
        <f aca="false">IF(J28="","",INDEX(Items!$U$5:$U$504,MATCH(LARGE(Items!$Z$5:$Z$504,9),Items!$Z$5:$Z$504,0)))</f>
        <v>86125.9</v>
      </c>
      <c r="M28" s="47" t="n">
        <f aca="false">IF(J28="","",INDEX(Items!$O$5:$O$504,MATCH(LARGE(Items!$Z$5:$Z$504,9),Items!$Z$5:$Z$504,0)))</f>
        <v>216</v>
      </c>
      <c r="N28" s="45" t="str">
        <f aca="false">IF(J28="","",INDEX(Items!$R$5:$R$504,MATCH(LARGE(Items!$Z$5:$Z$504,9),Items!$Z$5:$Z$504,0)))</f>
        <v>OK</v>
      </c>
    </row>
    <row r="29" customFormat="false" ht="15" hidden="false" customHeight="false" outlineLevel="0" collapsed="false">
      <c r="I29" s="45" t="n">
        <v>10</v>
      </c>
      <c r="J29" s="45" t="str">
        <f aca="false">IFERROR(IF(INDEX(Items!$U$5:$U$504,MATCH(LARGE(Items!$Z$5:$Z$504,10),Items!$Z$5:$Z$504,0))=0,"",INDEX(Items!$A$5:$A$504,MATCH(LARGE(Items!$Z$5:$Z$504,10),Items!$Z$5:$Z$504,0))),"")</f>
        <v>Tea Premium 1kg</v>
      </c>
      <c r="K29" s="45"/>
      <c r="L29" s="46" t="n">
        <f aca="false">IF(J29="","",INDEX(Items!$U$5:$U$504,MATCH(LARGE(Items!$Z$5:$Z$504,10),Items!$Z$5:$Z$504,0)))</f>
        <v>61737.24</v>
      </c>
      <c r="M29" s="47" t="n">
        <f aca="false">IF(J29="","",INDEX(Items!$O$5:$O$504,MATCH(LARGE(Items!$Z$5:$Z$504,10),Items!$Z$5:$Z$504,0)))</f>
        <v>92</v>
      </c>
      <c r="N29" s="45" t="str">
        <f aca="false">IF(J29="","",INDEX(Items!$R$5:$R$504,MATCH(LARGE(Items!$Z$5:$Z$504,10),Items!$Z$5:$Z$504,0)))</f>
        <v>OK</v>
      </c>
    </row>
  </sheetData>
  <mergeCells count="43">
    <mergeCell ref="B1:N1"/>
    <mergeCell ref="B2:N2"/>
    <mergeCell ref="B3:N3"/>
    <mergeCell ref="B8:C8"/>
    <mergeCell ref="D8:E8"/>
    <mergeCell ref="F8:G8"/>
    <mergeCell ref="H8:I8"/>
    <mergeCell ref="J8:K8"/>
    <mergeCell ref="B9:C9"/>
    <mergeCell ref="D9:E9"/>
    <mergeCell ref="F9:G9"/>
    <mergeCell ref="H9:I9"/>
    <mergeCell ref="J9:K9"/>
    <mergeCell ref="B11:C11"/>
    <mergeCell ref="D11:E11"/>
    <mergeCell ref="F11:G11"/>
    <mergeCell ref="H11:I11"/>
    <mergeCell ref="J11:K11"/>
    <mergeCell ref="B12:C12"/>
    <mergeCell ref="D12:E12"/>
    <mergeCell ref="F12:G12"/>
    <mergeCell ref="H12:I12"/>
    <mergeCell ref="J12:K12"/>
    <mergeCell ref="B14:C14"/>
    <mergeCell ref="D14:E14"/>
    <mergeCell ref="F14:G14"/>
    <mergeCell ref="H14:I14"/>
    <mergeCell ref="J14:K14"/>
    <mergeCell ref="B15:C15"/>
    <mergeCell ref="D15:E15"/>
    <mergeCell ref="F15:G15"/>
    <mergeCell ref="H15:I15"/>
    <mergeCell ref="J15:K15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</mergeCells>
  <conditionalFormatting sqref="B3">
    <cfRule type="expression" priority="2" aboveAverage="0" equalAverage="0" bottom="0" percent="0" rank="0" text="" dxfId="0">
      <formula>IsPro</formula>
    </cfRule>
    <cfRule type="expression" priority="3" aboveAverage="0" equalAverage="0" bottom="0" percent="0" rank="0" text="" dxfId="1">
      <formula>AND(NOT(IsPro),OverFreeLimit)</formula>
    </cfRule>
  </conditionalFormatting>
  <conditionalFormatting sqref="N20:N29">
    <cfRule type="cellIs" priority="4" operator="equal" aboveAverage="0" equalAverage="0" bottom="0" percent="0" rank="0" text="" dxfId="2">
      <formula>"OUT OF STOCK"</formula>
    </cfRule>
    <cfRule type="cellIs" priority="5" operator="equal" aboveAverage="0" equalAverage="0" bottom="0" percent="0" rank="0" text="" dxfId="3">
      <formula>"REORDER"</formula>
    </cfRule>
    <cfRule type="cellIs" priority="6" operator="equal" aboveAverage="0" equalAverage="0" bottom="0" percent="0" rank="0" text="" dxfId="4">
      <formula>"NEGATIVE"</formula>
    </cfRule>
    <cfRule type="cellIs" priority="7" operator="equal" aboveAverage="0" equalAverage="0" bottom="0" percent="0" rank="0" text="" dxfId="5">
      <formula>"DEAD STOCK"</formula>
    </cfRule>
  </conditionalFormatting>
  <hyperlinks>
    <hyperlink ref="B6" r:id="rId1" location="Sales!A1" display="New Sale"/>
    <hyperlink ref="C6" r:id="rId2" location="Purchases!A1" display="Purchase"/>
    <hyperlink ref="D6" r:id="rId3" location="CashBook!A1" display="Cash Book"/>
    <hyperlink ref="E6" r:id="rId4" location="Items!A1" display="Items"/>
    <hyperlink ref="F6" r:id="rId5" location="Parties!A1" display="Parties"/>
    <hyperlink ref="G6" r:id="rId6" location="Invoice!A1" display="Invoice"/>
    <hyperlink ref="H6" r:id="rId7" location="Adjustments!A1" display="Adjust"/>
    <hyperlink ref="I6" r:id="rId8" location="Reports!A1" display="Reports"/>
    <hyperlink ref="J6" r:id="rId9" location="Settings!A1" display="Settings"/>
    <hyperlink ref="K6" r:id="rId10" location="Guide!A1" display="Guide"/>
    <hyperlink ref="L6" r:id="rId11" location="Plans!A1" display="PRO Plan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86"/>
    <pageSetUpPr fitToPage="false"/>
  </sheetPr>
  <dimension ref="A1:Z3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7"/>
    <col collapsed="false" customWidth="true" hidden="false" outlineLevel="0" max="9" min="8" style="0" width="10"/>
    <col collapsed="false" customWidth="true" hidden="false" outlineLevel="0" max="10" min="10" style="0" width="6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7"/>
    <col collapsed="false" customWidth="true" hidden="false" outlineLevel="0" max="16" min="14" style="0" width="10"/>
    <col collapsed="false" customWidth="true" hidden="false" outlineLevel="0" max="17" min="17" style="0" width="12"/>
    <col collapsed="false" customWidth="true" hidden="false" outlineLevel="0" max="19" min="18" style="0" width="11"/>
    <col collapsed="false" customWidth="true" hidden="false" outlineLevel="0" max="20" min="20" style="0" width="12"/>
    <col collapsed="false" customWidth="true" hidden="true" outlineLevel="0" max="23" min="21" style="0" width="6"/>
    <col collapsed="false" customWidth="true" hidden="false" outlineLevel="0" max="24" min="24" style="0" width="11"/>
  </cols>
  <sheetData>
    <row r="1" customFormat="false" ht="27.75" hidden="false" customHeight="true" outlineLevel="0" collapsed="false">
      <c r="A1" s="49" t="s">
        <v>42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Z1" s="50" t="s">
        <v>43</v>
      </c>
    </row>
    <row r="2" customFormat="false" ht="15" hidden="false" customHeight="false" outlineLevel="0" collapsed="false">
      <c r="A2" s="3" t="s">
        <v>44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customFormat="false" ht="15" hidden="false" customHeight="false" outlineLevel="0" collapsed="false">
      <c r="A3" s="51" t="s">
        <v>45</v>
      </c>
      <c r="J3" s="52" t="s">
        <v>46</v>
      </c>
    </row>
    <row r="4" customFormat="false" ht="31.5" hidden="false" customHeight="true" outlineLevel="0" collapsed="false">
      <c r="A4" s="53" t="s">
        <v>47</v>
      </c>
      <c r="B4" s="53" t="s">
        <v>48</v>
      </c>
      <c r="C4" s="53" t="s">
        <v>49</v>
      </c>
      <c r="D4" s="53" t="s">
        <v>50</v>
      </c>
      <c r="E4" s="53" t="s">
        <v>51</v>
      </c>
      <c r="F4" s="53" t="s">
        <v>52</v>
      </c>
      <c r="G4" s="53" t="s">
        <v>53</v>
      </c>
      <c r="H4" s="53" t="s">
        <v>54</v>
      </c>
      <c r="I4" s="53" t="s">
        <v>55</v>
      </c>
      <c r="J4" s="54" t="s">
        <v>56</v>
      </c>
      <c r="K4" s="54" t="s">
        <v>57</v>
      </c>
      <c r="L4" s="54" t="s">
        <v>58</v>
      </c>
      <c r="M4" s="54" t="s">
        <v>59</v>
      </c>
      <c r="N4" s="54" t="s">
        <v>60</v>
      </c>
      <c r="O4" s="54" t="s">
        <v>61</v>
      </c>
      <c r="P4" s="54" t="s">
        <v>62</v>
      </c>
      <c r="Q4" s="54" t="s">
        <v>63</v>
      </c>
      <c r="R4" s="54" t="s">
        <v>64</v>
      </c>
      <c r="S4" s="54" t="s">
        <v>65</v>
      </c>
      <c r="T4" s="54" t="s">
        <v>66</v>
      </c>
      <c r="U4" s="54" t="s">
        <v>67</v>
      </c>
      <c r="V4" s="54" t="s">
        <v>68</v>
      </c>
      <c r="W4" s="54" t="s">
        <v>69</v>
      </c>
      <c r="X4" s="54" t="s">
        <v>70</v>
      </c>
    </row>
    <row r="5" customFormat="false" ht="15" hidden="false" customHeight="false" outlineLevel="0" collapsed="false">
      <c r="A5" s="55" t="n">
        <v>46114</v>
      </c>
      <c r="B5" s="56" t="s">
        <v>71</v>
      </c>
      <c r="C5" s="56" t="s">
        <v>72</v>
      </c>
      <c r="D5" s="56" t="s">
        <v>73</v>
      </c>
      <c r="E5" s="57" t="n">
        <v>3</v>
      </c>
      <c r="F5" s="58"/>
      <c r="G5" s="59" t="n">
        <v>0.02</v>
      </c>
      <c r="H5" s="56" t="s">
        <v>74</v>
      </c>
      <c r="I5" s="56" t="s">
        <v>75</v>
      </c>
      <c r="J5" s="60" t="str">
        <f aca="false">IF($D5="","",IFERROR(INDEX(Items!$D$5:$D$504,U5),""))</f>
        <v>Bag</v>
      </c>
      <c r="K5" s="61" t="n">
        <f aca="false">IF($D5="","",IF($F5="",IFERROR(INDEX(Items!$H$5:$H$504,U5),0),$F5))</f>
        <v>2106</v>
      </c>
      <c r="L5" s="61" t="n">
        <f aca="false">IF($D5="","",ROUND(N($E5)*K5*(1-N($G5)),2))</f>
        <v>6191.64</v>
      </c>
      <c r="M5" s="62" t="n">
        <f aca="false">IF($D5="","",IFERROR(INDEX(Items!$F$5:$F$504,U5),0))</f>
        <v>0.05</v>
      </c>
      <c r="N5" s="61" t="n">
        <f aca="false">IF($D5="","",IF(AND(V5&lt;&gt;"",INDEX(Parties!$E$5:$E$304,V5)&lt;&gt;"",INDEX(Parties!$E$5:$E$304,V5)&lt;&gt;HomeState),0,ROUND(L5*M5/2,2)))</f>
        <v>154.79</v>
      </c>
      <c r="O5" s="61" t="n">
        <f aca="false">IF($D5="","",N5)</f>
        <v>154.79</v>
      </c>
      <c r="P5" s="61" t="n">
        <f aca="false">IF($D5="","",IF(AND(V5&lt;&gt;"",INDEX(Parties!$E$5:$E$304,V5)&lt;&gt;"",INDEX(Parties!$E$5:$E$304,V5)&lt;&gt;HomeState),ROUND(L5*M5,2),0))</f>
        <v>0</v>
      </c>
      <c r="Q5" s="61" t="n">
        <f aca="false">IF($D5="","",L5+N5+O5+P5)</f>
        <v>6501.22</v>
      </c>
      <c r="R5" s="61" t="n">
        <f aca="false">IF($D5="","",ROUND(N($E5)*IFERROR(INDEX(Items!$P$5:$P$504,U5),0),2))</f>
        <v>4942.29</v>
      </c>
      <c r="S5" s="61" t="n">
        <f aca="false">IF($D5="","",L5-R5)</f>
        <v>1249.35</v>
      </c>
      <c r="T5" s="60" t="str">
        <f aca="false">IF($D5="","",IF(U5="","UNKNOWN ITEM",IF(INDEX(Items!$O$5:$O$504,U5)&lt;0,"NEG STOCK",IF(K5&lt;INDEX(Items!$P$5:$P$504,U5),"BELOW COST","OK"))))</f>
        <v>OK</v>
      </c>
      <c r="U5" s="60" t="n">
        <f aca="false">IF($D5="","",IFERROR(MATCH($D5,Items!$A$5:$A$504,0),""))</f>
        <v>1</v>
      </c>
      <c r="V5" s="60" t="n">
        <f aca="false">IF($C5="","",IFERROR(MATCH($C5,Parties!$A$5:$A$304,0),""))</f>
        <v>1</v>
      </c>
      <c r="W5" s="60" t="n">
        <f aca="false">IF($B5="","",IFERROR(VALUE(SUBSTITUTE($B5,InvPrefix,"")),0))</f>
        <v>1</v>
      </c>
      <c r="X5" s="61" t="n">
        <f aca="false">IF($D5="","",IF(OR($H5="",$H5="Credit"),0,Q5))</f>
        <v>6501.22</v>
      </c>
    </row>
    <row r="6" customFormat="false" ht="15" hidden="false" customHeight="false" outlineLevel="0" collapsed="false">
      <c r="A6" s="55" t="n">
        <v>46116</v>
      </c>
      <c r="B6" s="56" t="s">
        <v>76</v>
      </c>
      <c r="C6" s="56" t="s">
        <v>77</v>
      </c>
      <c r="D6" s="56" t="s">
        <v>73</v>
      </c>
      <c r="E6" s="57" t="n">
        <v>8</v>
      </c>
      <c r="F6" s="58"/>
      <c r="G6" s="59"/>
      <c r="H6" s="56" t="s">
        <v>74</v>
      </c>
      <c r="I6" s="56" t="s">
        <v>75</v>
      </c>
      <c r="J6" s="60" t="str">
        <f aca="false">IF($D6="","",IFERROR(INDEX(Items!$D$5:$D$504,U6),""))</f>
        <v>Bag</v>
      </c>
      <c r="K6" s="61" t="n">
        <f aca="false">IF($D6="","",IF($F6="",IFERROR(INDEX(Items!$H$5:$H$504,U6),0),$F6))</f>
        <v>2106</v>
      </c>
      <c r="L6" s="61" t="n">
        <f aca="false">IF($D6="","",ROUND(N($E6)*K6*(1-N($G6)),2))</f>
        <v>16848</v>
      </c>
      <c r="M6" s="62" t="n">
        <f aca="false">IF($D6="","",IFERROR(INDEX(Items!$F$5:$F$504,U6),0))</f>
        <v>0.05</v>
      </c>
      <c r="N6" s="61" t="n">
        <f aca="false">IF($D6="","",IF(AND(V6&lt;&gt;"",INDEX(Parties!$E$5:$E$304,V6)&lt;&gt;"",INDEX(Parties!$E$5:$E$304,V6)&lt;&gt;HomeState),0,ROUND(L6*M6/2,2)))</f>
        <v>421.2</v>
      </c>
      <c r="O6" s="61" t="n">
        <f aca="false">IF($D6="","",N6)</f>
        <v>421.2</v>
      </c>
      <c r="P6" s="61" t="n">
        <f aca="false">IF($D6="","",IF(AND(V6&lt;&gt;"",INDEX(Parties!$E$5:$E$304,V6)&lt;&gt;"",INDEX(Parties!$E$5:$E$304,V6)&lt;&gt;HomeState),ROUND(L6*M6,2),0))</f>
        <v>0</v>
      </c>
      <c r="Q6" s="61" t="n">
        <f aca="false">IF($D6="","",L6+N6+O6+P6)</f>
        <v>17690.4</v>
      </c>
      <c r="R6" s="61" t="n">
        <f aca="false">IF($D6="","",ROUND(N($E6)*IFERROR(INDEX(Items!$P$5:$P$504,U6),0),2))</f>
        <v>13179.44</v>
      </c>
      <c r="S6" s="61" t="n">
        <f aca="false">IF($D6="","",L6-R6)</f>
        <v>3668.56</v>
      </c>
      <c r="T6" s="60" t="str">
        <f aca="false">IF($D6="","",IF(U6="","UNKNOWN ITEM",IF(INDEX(Items!$O$5:$O$504,U6)&lt;0,"NEG STOCK",IF(K6&lt;INDEX(Items!$P$5:$P$504,U6),"BELOW COST","OK"))))</f>
        <v>OK</v>
      </c>
      <c r="U6" s="60" t="n">
        <f aca="false">IF($D6="","",IFERROR(MATCH($D6,Items!$A$5:$A$504,0),""))</f>
        <v>1</v>
      </c>
      <c r="V6" s="60" t="n">
        <f aca="false">IF($C6="","",IFERROR(MATCH($C6,Parties!$A$5:$A$304,0),""))</f>
        <v>2</v>
      </c>
      <c r="W6" s="60" t="n">
        <f aca="false">IF($B6="","",IFERROR(VALUE(SUBSTITUTE($B6,InvPrefix,"")),0))</f>
        <v>2</v>
      </c>
      <c r="X6" s="61" t="n">
        <f aca="false">IF($D6="","",IF(OR($H6="",$H6="Credit"),0,Q6))</f>
        <v>17690.4</v>
      </c>
    </row>
    <row r="7" customFormat="false" ht="15" hidden="false" customHeight="false" outlineLevel="0" collapsed="false">
      <c r="A7" s="55" t="n">
        <v>46119</v>
      </c>
      <c r="B7" s="56" t="s">
        <v>78</v>
      </c>
      <c r="C7" s="56" t="s">
        <v>72</v>
      </c>
      <c r="D7" s="56" t="s">
        <v>79</v>
      </c>
      <c r="E7" s="57" t="n">
        <v>32</v>
      </c>
      <c r="F7" s="58"/>
      <c r="G7" s="59"/>
      <c r="H7" s="56"/>
      <c r="I7" s="56" t="s">
        <v>75</v>
      </c>
      <c r="J7" s="60" t="str">
        <f aca="false">IF($D7="","",IFERROR(INDEX(Items!$D$5:$D$504,U7),""))</f>
        <v>Pcs</v>
      </c>
      <c r="K7" s="61" t="n">
        <f aca="false">IF($D7="","",IF($F7="",IFERROR(INDEX(Items!$H$5:$H$504,U7),0),$F7))</f>
        <v>297</v>
      </c>
      <c r="L7" s="61" t="n">
        <f aca="false">IF($D7="","",ROUND(N($E7)*K7*(1-N($G7)),2))</f>
        <v>9504</v>
      </c>
      <c r="M7" s="62" t="n">
        <f aca="false">IF($D7="","",IFERROR(INDEX(Items!$F$5:$F$504,U7),0))</f>
        <v>0.18</v>
      </c>
      <c r="N7" s="61" t="n">
        <f aca="false">IF($D7="","",IF(AND(V7&lt;&gt;"",INDEX(Parties!$E$5:$E$304,V7)&lt;&gt;"",INDEX(Parties!$E$5:$E$304,V7)&lt;&gt;HomeState),0,ROUND(L7*M7/2,2)))</f>
        <v>855.36</v>
      </c>
      <c r="O7" s="61" t="n">
        <f aca="false">IF($D7="","",N7)</f>
        <v>855.36</v>
      </c>
      <c r="P7" s="61" t="n">
        <f aca="false">IF($D7="","",IF(AND(V7&lt;&gt;"",INDEX(Parties!$E$5:$E$304,V7)&lt;&gt;"",INDEX(Parties!$E$5:$E$304,V7)&lt;&gt;HomeState),ROUND(L7*M7,2),0))</f>
        <v>0</v>
      </c>
      <c r="Q7" s="61" t="n">
        <f aca="false">IF($D7="","",L7+N7+O7+P7)</f>
        <v>11214.72</v>
      </c>
      <c r="R7" s="61" t="n">
        <f aca="false">IF($D7="","",ROUND(N($E7)*IFERROR(INDEX(Items!$P$5:$P$504,U7),0),2))</f>
        <v>6708.26</v>
      </c>
      <c r="S7" s="61" t="n">
        <f aca="false">IF($D7="","",L7-R7)</f>
        <v>2795.74</v>
      </c>
      <c r="T7" s="60" t="str">
        <f aca="false">IF($D7="","",IF(U7="","UNKNOWN ITEM",IF(INDEX(Items!$O$5:$O$504,U7)&lt;0,"NEG STOCK",IF(K7&lt;INDEX(Items!$P$5:$P$504,U7),"BELOW COST","OK"))))</f>
        <v>OK</v>
      </c>
      <c r="U7" s="60" t="n">
        <f aca="false">IF($D7="","",IFERROR(MATCH($D7,Items!$A$5:$A$504,0),""))</f>
        <v>9</v>
      </c>
      <c r="V7" s="60" t="n">
        <f aca="false">IF($C7="","",IFERROR(MATCH($C7,Parties!$A$5:$A$304,0),""))</f>
        <v>1</v>
      </c>
      <c r="W7" s="60" t="n">
        <f aca="false">IF($B7="","",IFERROR(VALUE(SUBSTITUTE($B7,InvPrefix,"")),0))</f>
        <v>3</v>
      </c>
      <c r="X7" s="61" t="n">
        <f aca="false">IF($D7="","",IF(OR($H7="",$H7="Credit"),0,Q7))</f>
        <v>0</v>
      </c>
    </row>
    <row r="8" customFormat="false" ht="15" hidden="false" customHeight="false" outlineLevel="0" collapsed="false">
      <c r="A8" s="55" t="n">
        <v>46120</v>
      </c>
      <c r="B8" s="56" t="s">
        <v>80</v>
      </c>
      <c r="C8" s="56" t="s">
        <v>81</v>
      </c>
      <c r="D8" s="56" t="s">
        <v>82</v>
      </c>
      <c r="E8" s="57" t="n">
        <v>25</v>
      </c>
      <c r="F8" s="58"/>
      <c r="G8" s="59"/>
      <c r="H8" s="56" t="s">
        <v>74</v>
      </c>
      <c r="I8" s="56" t="s">
        <v>75</v>
      </c>
      <c r="J8" s="60" t="str">
        <f aca="false">IF($D8="","",IFERROR(INDEX(Items!$D$5:$D$504,U8),""))</f>
        <v>Bag</v>
      </c>
      <c r="K8" s="61" t="n">
        <f aca="false">IF($D8="","",IF($F8="",IFERROR(INDEX(Items!$H$5:$H$504,U8),0),$F8))</f>
        <v>427</v>
      </c>
      <c r="L8" s="61" t="n">
        <f aca="false">IF($D8="","",ROUND(N($E8)*K8*(1-N($G8)),2))</f>
        <v>10675</v>
      </c>
      <c r="M8" s="62" t="n">
        <f aca="false">IF($D8="","",IFERROR(INDEX(Items!$F$5:$F$504,U8),0))</f>
        <v>0.18</v>
      </c>
      <c r="N8" s="61" t="n">
        <f aca="false">IF($D8="","",IF(AND(V8&lt;&gt;"",INDEX(Parties!$E$5:$E$304,V8)&lt;&gt;"",INDEX(Parties!$E$5:$E$304,V8)&lt;&gt;HomeState),0,ROUND(L8*M8/2,2)))</f>
        <v>0</v>
      </c>
      <c r="O8" s="61" t="n">
        <f aca="false">IF($D8="","",N8)</f>
        <v>0</v>
      </c>
      <c r="P8" s="61" t="n">
        <f aca="false">IF($D8="","",IF(AND(V8&lt;&gt;"",INDEX(Parties!$E$5:$E$304,V8)&lt;&gt;"",INDEX(Parties!$E$5:$E$304,V8)&lt;&gt;HomeState),ROUND(L8*M8,2),0))</f>
        <v>1921.5</v>
      </c>
      <c r="Q8" s="61" t="n">
        <f aca="false">IF($D8="","",L8+N8+O8+P8)</f>
        <v>12596.5</v>
      </c>
      <c r="R8" s="61" t="n">
        <f aca="false">IF($D8="","",ROUND(N($E8)*IFERROR(INDEX(Items!$P$5:$P$504,U8),0),2))</f>
        <v>8504.36</v>
      </c>
      <c r="S8" s="61" t="n">
        <f aca="false">IF($D8="","",L8-R8)</f>
        <v>2170.64</v>
      </c>
      <c r="T8" s="60" t="str">
        <f aca="false">IF($D8="","",IF(U8="","UNKNOWN ITEM",IF(INDEX(Items!$O$5:$O$504,U8)&lt;0,"NEG STOCK",IF(K8&lt;INDEX(Items!$P$5:$P$504,U8),"BELOW COST","OK"))))</f>
        <v>OK</v>
      </c>
      <c r="U8" s="60" t="n">
        <f aca="false">IF($D8="","",IFERROR(MATCH($D8,Items!$A$5:$A$504,0),""))</f>
        <v>10</v>
      </c>
      <c r="V8" s="60" t="n">
        <f aca="false">IF($C8="","",IFERROR(MATCH($C8,Parties!$A$5:$A$304,0),""))</f>
        <v>3</v>
      </c>
      <c r="W8" s="60" t="n">
        <f aca="false">IF($B8="","",IFERROR(VALUE(SUBSTITUTE($B8,InvPrefix,"")),0))</f>
        <v>4</v>
      </c>
      <c r="X8" s="61" t="n">
        <f aca="false">IF($D8="","",IF(OR($H8="",$H8="Credit"),0,Q8))</f>
        <v>12596.5</v>
      </c>
    </row>
    <row r="9" customFormat="false" ht="15" hidden="false" customHeight="false" outlineLevel="0" collapsed="false">
      <c r="A9" s="55" t="n">
        <v>46122</v>
      </c>
      <c r="B9" s="56" t="s">
        <v>83</v>
      </c>
      <c r="C9" s="56" t="s">
        <v>84</v>
      </c>
      <c r="D9" s="56" t="s">
        <v>85</v>
      </c>
      <c r="E9" s="57" t="n">
        <v>3</v>
      </c>
      <c r="F9" s="58"/>
      <c r="G9" s="59" t="n">
        <v>0.05</v>
      </c>
      <c r="H9" s="56"/>
      <c r="I9" s="56" t="s">
        <v>75</v>
      </c>
      <c r="J9" s="60" t="str">
        <f aca="false">IF($D9="","",IFERROR(INDEX(Items!$D$5:$D$504,U9),""))</f>
        <v>Pcs</v>
      </c>
      <c r="K9" s="61" t="n">
        <f aca="false">IF($D9="","",IF($F9="",IFERROR(INDEX(Items!$H$5:$H$504,U9),0),$F9))</f>
        <v>2322</v>
      </c>
      <c r="L9" s="61" t="n">
        <f aca="false">IF($D9="","",ROUND(N($E9)*K9*(1-N($G9)),2))</f>
        <v>6617.7</v>
      </c>
      <c r="M9" s="62" t="n">
        <f aca="false">IF($D9="","",IFERROR(INDEX(Items!$F$5:$F$504,U9),0))</f>
        <v>0.18</v>
      </c>
      <c r="N9" s="61" t="n">
        <f aca="false">IF($D9="","",IF(AND(V9&lt;&gt;"",INDEX(Parties!$E$5:$E$304,V9)&lt;&gt;"",INDEX(Parties!$E$5:$E$304,V9)&lt;&gt;HomeState),0,ROUND(L9*M9/2,2)))</f>
        <v>595.59</v>
      </c>
      <c r="O9" s="61" t="n">
        <f aca="false">IF($D9="","",N9)</f>
        <v>595.59</v>
      </c>
      <c r="P9" s="61" t="n">
        <f aca="false">IF($D9="","",IF(AND(V9&lt;&gt;"",INDEX(Parties!$E$5:$E$304,V9)&lt;&gt;"",INDEX(Parties!$E$5:$E$304,V9)&lt;&gt;HomeState),ROUND(L9*M9,2),0))</f>
        <v>0</v>
      </c>
      <c r="Q9" s="61" t="n">
        <f aca="false">IF($D9="","",L9+N9+O9+P9)</f>
        <v>7808.88</v>
      </c>
      <c r="R9" s="61" t="n">
        <f aca="false">IF($D9="","",ROUND(N($E9)*IFERROR(INDEX(Items!$P$5:$P$504,U9),0),2))</f>
        <v>4931.4</v>
      </c>
      <c r="S9" s="61" t="n">
        <f aca="false">IF($D9="","",L9-R9)</f>
        <v>1686.3</v>
      </c>
      <c r="T9" s="60" t="str">
        <f aca="false">IF($D9="","",IF(U9="","UNKNOWN ITEM",IF(INDEX(Items!$O$5:$O$504,U9)&lt;0,"NEG STOCK",IF(K9&lt;INDEX(Items!$P$5:$P$504,U9),"BELOW COST","OK"))))</f>
        <v>OK</v>
      </c>
      <c r="U9" s="60" t="n">
        <f aca="false">IF($D9="","",IFERROR(MATCH($D9,Items!$A$5:$A$504,0),""))</f>
        <v>12</v>
      </c>
      <c r="V9" s="60" t="n">
        <f aca="false">IF($C9="","",IFERROR(MATCH($C9,Parties!$A$5:$A$304,0),""))</f>
        <v>9</v>
      </c>
      <c r="W9" s="60" t="n">
        <f aca="false">IF($B9="","",IFERROR(VALUE(SUBSTITUTE($B9,InvPrefix,"")),0))</f>
        <v>5</v>
      </c>
      <c r="X9" s="61" t="n">
        <f aca="false">IF($D9="","",IF(OR($H9="",$H9="Credit"),0,Q9))</f>
        <v>0</v>
      </c>
    </row>
    <row r="10" customFormat="false" ht="15" hidden="false" customHeight="false" outlineLevel="0" collapsed="false">
      <c r="A10" s="55" t="n">
        <v>46122</v>
      </c>
      <c r="B10" s="56" t="s">
        <v>83</v>
      </c>
      <c r="C10" s="56" t="s">
        <v>84</v>
      </c>
      <c r="D10" s="56" t="s">
        <v>86</v>
      </c>
      <c r="E10" s="57" t="n">
        <v>3</v>
      </c>
      <c r="F10" s="58"/>
      <c r="G10" s="59" t="n">
        <v>0.05</v>
      </c>
      <c r="H10" s="56"/>
      <c r="I10" s="56" t="s">
        <v>75</v>
      </c>
      <c r="J10" s="60" t="str">
        <f aca="false">IF($D10="","",IFERROR(INDEX(Items!$D$5:$D$504,U10),""))</f>
        <v>Bag</v>
      </c>
      <c r="K10" s="61" t="n">
        <f aca="false">IF($D10="","",IF($F10="",IFERROR(INDEX(Items!$H$5:$H$504,U10),0),$F10))</f>
        <v>2462</v>
      </c>
      <c r="L10" s="61" t="n">
        <f aca="false">IF($D10="","",ROUND(N($E10)*K10*(1-N($G10)),2))</f>
        <v>7016.7</v>
      </c>
      <c r="M10" s="62" t="n">
        <f aca="false">IF($D10="","",IFERROR(INDEX(Items!$F$5:$F$504,U10),0))</f>
        <v>0.05</v>
      </c>
      <c r="N10" s="61" t="n">
        <f aca="false">IF($D10="","",IF(AND(V10&lt;&gt;"",INDEX(Parties!$E$5:$E$304,V10)&lt;&gt;"",INDEX(Parties!$E$5:$E$304,V10)&lt;&gt;HomeState),0,ROUND(L10*M10/2,2)))</f>
        <v>175.42</v>
      </c>
      <c r="O10" s="61" t="n">
        <f aca="false">IF($D10="","",N10)</f>
        <v>175.42</v>
      </c>
      <c r="P10" s="61" t="n">
        <f aca="false">IF($D10="","",IF(AND(V10&lt;&gt;"",INDEX(Parties!$E$5:$E$304,V10)&lt;&gt;"",INDEX(Parties!$E$5:$E$304,V10)&lt;&gt;HomeState),ROUND(L10*M10,2),0))</f>
        <v>0</v>
      </c>
      <c r="Q10" s="61" t="n">
        <f aca="false">IF($D10="","",L10+N10+O10+P10)</f>
        <v>7367.54</v>
      </c>
      <c r="R10" s="61" t="n">
        <f aca="false">IF($D10="","",ROUND(N($E10)*IFERROR(INDEX(Items!$P$5:$P$504,U10),0),2))</f>
        <v>6113.19</v>
      </c>
      <c r="S10" s="61" t="n">
        <f aca="false">IF($D10="","",L10-R10)</f>
        <v>903.51</v>
      </c>
      <c r="T10" s="60" t="str">
        <f aca="false">IF($D10="","",IF(U10="","UNKNOWN ITEM",IF(INDEX(Items!$O$5:$O$504,U10)&lt;0,"NEG STOCK",IF(K10&lt;INDEX(Items!$P$5:$P$504,U10),"BELOW COST","OK"))))</f>
        <v>OK</v>
      </c>
      <c r="U10" s="60" t="n">
        <f aca="false">IF($D10="","",IFERROR(MATCH($D10,Items!$A$5:$A$504,0),""))</f>
        <v>2</v>
      </c>
      <c r="V10" s="60" t="n">
        <f aca="false">IF($C10="","",IFERROR(MATCH($C10,Parties!$A$5:$A$304,0),""))</f>
        <v>9</v>
      </c>
      <c r="W10" s="60" t="n">
        <f aca="false">IF($B10="","",IFERROR(VALUE(SUBSTITUTE($B10,InvPrefix,"")),0))</f>
        <v>5</v>
      </c>
      <c r="X10" s="61" t="n">
        <f aca="false">IF($D10="","",IF(OR($H10="",$H10="Credit"),0,Q10))</f>
        <v>0</v>
      </c>
    </row>
    <row r="11" customFormat="false" ht="15" hidden="false" customHeight="false" outlineLevel="0" collapsed="false">
      <c r="A11" s="55" t="n">
        <v>46123</v>
      </c>
      <c r="B11" s="56" t="s">
        <v>87</v>
      </c>
      <c r="C11" s="56" t="s">
        <v>88</v>
      </c>
      <c r="D11" s="56" t="s">
        <v>86</v>
      </c>
      <c r="E11" s="57" t="n">
        <v>5</v>
      </c>
      <c r="F11" s="58"/>
      <c r="G11" s="59"/>
      <c r="H11" s="56" t="s">
        <v>74</v>
      </c>
      <c r="I11" s="56" t="s">
        <v>75</v>
      </c>
      <c r="J11" s="60" t="str">
        <f aca="false">IF($D11="","",IFERROR(INDEX(Items!$D$5:$D$504,U11),""))</f>
        <v>Bag</v>
      </c>
      <c r="K11" s="61" t="n">
        <f aca="false">IF($D11="","",IF($F11="",IFERROR(INDEX(Items!$H$5:$H$504,U11),0),$F11))</f>
        <v>2462</v>
      </c>
      <c r="L11" s="61" t="n">
        <f aca="false">IF($D11="","",ROUND(N($E11)*K11*(1-N($G11)),2))</f>
        <v>12310</v>
      </c>
      <c r="M11" s="62" t="n">
        <f aca="false">IF($D11="","",IFERROR(INDEX(Items!$F$5:$F$504,U11),0))</f>
        <v>0.05</v>
      </c>
      <c r="N11" s="61" t="n">
        <f aca="false">IF($D11="","",IF(AND(V11&lt;&gt;"",INDEX(Parties!$E$5:$E$304,V11)&lt;&gt;"",INDEX(Parties!$E$5:$E$304,V11)&lt;&gt;HomeState),0,ROUND(L11*M11/2,2)))</f>
        <v>307.75</v>
      </c>
      <c r="O11" s="61" t="n">
        <f aca="false">IF($D11="","",N11)</f>
        <v>307.75</v>
      </c>
      <c r="P11" s="61" t="n">
        <f aca="false">IF($D11="","",IF(AND(V11&lt;&gt;"",INDEX(Parties!$E$5:$E$304,V11)&lt;&gt;"",INDEX(Parties!$E$5:$E$304,V11)&lt;&gt;HomeState),ROUND(L11*M11,2),0))</f>
        <v>0</v>
      </c>
      <c r="Q11" s="61" t="n">
        <f aca="false">IF($D11="","",L11+N11+O11+P11)</f>
        <v>12925.5</v>
      </c>
      <c r="R11" s="61" t="n">
        <f aca="false">IF($D11="","",ROUND(N($E11)*IFERROR(INDEX(Items!$P$5:$P$504,U11),0),2))</f>
        <v>10188.64</v>
      </c>
      <c r="S11" s="61" t="n">
        <f aca="false">IF($D11="","",L11-R11)</f>
        <v>2121.36</v>
      </c>
      <c r="T11" s="60" t="str">
        <f aca="false">IF($D11="","",IF(U11="","UNKNOWN ITEM",IF(INDEX(Items!$O$5:$O$504,U11)&lt;0,"NEG STOCK",IF(K11&lt;INDEX(Items!$P$5:$P$504,U11),"BELOW COST","OK"))))</f>
        <v>OK</v>
      </c>
      <c r="U11" s="60" t="n">
        <f aca="false">IF($D11="","",IFERROR(MATCH($D11,Items!$A$5:$A$504,0),""))</f>
        <v>2</v>
      </c>
      <c r="V11" s="60" t="n">
        <f aca="false">IF($C11="","",IFERROR(MATCH($C11,Parties!$A$5:$A$304,0),""))</f>
        <v>5</v>
      </c>
      <c r="W11" s="60" t="n">
        <f aca="false">IF($B11="","",IFERROR(VALUE(SUBSTITUTE($B11,InvPrefix,"")),0))</f>
        <v>6</v>
      </c>
      <c r="X11" s="61" t="n">
        <f aca="false">IF($D11="","",IF(OR($H11="",$H11="Credit"),0,Q11))</f>
        <v>12925.5</v>
      </c>
    </row>
    <row r="12" customFormat="false" ht="15" hidden="false" customHeight="false" outlineLevel="0" collapsed="false">
      <c r="A12" s="55" t="n">
        <v>46125</v>
      </c>
      <c r="B12" s="56" t="s">
        <v>89</v>
      </c>
      <c r="C12" s="56" t="s">
        <v>81</v>
      </c>
      <c r="D12" s="56" t="s">
        <v>73</v>
      </c>
      <c r="E12" s="57" t="n">
        <v>8</v>
      </c>
      <c r="F12" s="58"/>
      <c r="G12" s="59"/>
      <c r="H12" s="56" t="s">
        <v>90</v>
      </c>
      <c r="I12" s="56" t="s">
        <v>75</v>
      </c>
      <c r="J12" s="60" t="str">
        <f aca="false">IF($D12="","",IFERROR(INDEX(Items!$D$5:$D$504,U12),""))</f>
        <v>Bag</v>
      </c>
      <c r="K12" s="61" t="n">
        <f aca="false">IF($D12="","",IF($F12="",IFERROR(INDEX(Items!$H$5:$H$504,U12),0),$F12))</f>
        <v>2106</v>
      </c>
      <c r="L12" s="61" t="n">
        <f aca="false">IF($D12="","",ROUND(N($E12)*K12*(1-N($G12)),2))</f>
        <v>16848</v>
      </c>
      <c r="M12" s="62" t="n">
        <f aca="false">IF($D12="","",IFERROR(INDEX(Items!$F$5:$F$504,U12),0))</f>
        <v>0.05</v>
      </c>
      <c r="N12" s="61" t="n">
        <f aca="false">IF($D12="","",IF(AND(V12&lt;&gt;"",INDEX(Parties!$E$5:$E$304,V12)&lt;&gt;"",INDEX(Parties!$E$5:$E$304,V12)&lt;&gt;HomeState),0,ROUND(L12*M12/2,2)))</f>
        <v>0</v>
      </c>
      <c r="O12" s="61" t="n">
        <f aca="false">IF($D12="","",N12)</f>
        <v>0</v>
      </c>
      <c r="P12" s="61" t="n">
        <f aca="false">IF($D12="","",IF(AND(V12&lt;&gt;"",INDEX(Parties!$E$5:$E$304,V12)&lt;&gt;"",INDEX(Parties!$E$5:$E$304,V12)&lt;&gt;HomeState),ROUND(L12*M12,2),0))</f>
        <v>842.4</v>
      </c>
      <c r="Q12" s="61" t="n">
        <f aca="false">IF($D12="","",L12+N12+O12+P12)</f>
        <v>17690.4</v>
      </c>
      <c r="R12" s="61" t="n">
        <f aca="false">IF($D12="","",ROUND(N($E12)*IFERROR(INDEX(Items!$P$5:$P$504,U12),0),2))</f>
        <v>13179.44</v>
      </c>
      <c r="S12" s="61" t="n">
        <f aca="false">IF($D12="","",L12-R12)</f>
        <v>3668.56</v>
      </c>
      <c r="T12" s="60" t="str">
        <f aca="false">IF($D12="","",IF(U12="","UNKNOWN ITEM",IF(INDEX(Items!$O$5:$O$504,U12)&lt;0,"NEG STOCK",IF(K12&lt;INDEX(Items!$P$5:$P$504,U12),"BELOW COST","OK"))))</f>
        <v>OK</v>
      </c>
      <c r="U12" s="60" t="n">
        <f aca="false">IF($D12="","",IFERROR(MATCH($D12,Items!$A$5:$A$504,0),""))</f>
        <v>1</v>
      </c>
      <c r="V12" s="60" t="n">
        <f aca="false">IF($C12="","",IFERROR(MATCH($C12,Parties!$A$5:$A$304,0),""))</f>
        <v>3</v>
      </c>
      <c r="W12" s="60" t="n">
        <f aca="false">IF($B12="","",IFERROR(VALUE(SUBSTITUTE($B12,InvPrefix,"")),0))</f>
        <v>7</v>
      </c>
      <c r="X12" s="61" t="n">
        <f aca="false">IF($D12="","",IF(OR($H12="",$H12="Credit"),0,Q12))</f>
        <v>17690.4</v>
      </c>
    </row>
    <row r="13" customFormat="false" ht="15" hidden="false" customHeight="false" outlineLevel="0" collapsed="false">
      <c r="A13" s="55" t="n">
        <v>46126</v>
      </c>
      <c r="B13" s="56" t="s">
        <v>91</v>
      </c>
      <c r="C13" s="56" t="s">
        <v>84</v>
      </c>
      <c r="D13" s="56" t="s">
        <v>92</v>
      </c>
      <c r="E13" s="57" t="n">
        <v>3</v>
      </c>
      <c r="F13" s="58"/>
      <c r="G13" s="59"/>
      <c r="H13" s="56"/>
      <c r="I13" s="56" t="s">
        <v>75</v>
      </c>
      <c r="J13" s="60" t="str">
        <f aca="false">IF($D13="","",IFERROR(INDEX(Items!$D$5:$D$504,U13),""))</f>
        <v>Pcs</v>
      </c>
      <c r="K13" s="61" t="n">
        <f aca="false">IF($D13="","",IF($F13="",IFERROR(INDEX(Items!$H$5:$H$504,U13),0),$F13))</f>
        <v>3132</v>
      </c>
      <c r="L13" s="61" t="n">
        <f aca="false">IF($D13="","",ROUND(N($E13)*K13*(1-N($G13)),2))</f>
        <v>9396</v>
      </c>
      <c r="M13" s="62" t="n">
        <f aca="false">IF($D13="","",IFERROR(INDEX(Items!$F$5:$F$504,U13),0))</f>
        <v>0.18</v>
      </c>
      <c r="N13" s="61" t="n">
        <f aca="false">IF($D13="","",IF(AND(V13&lt;&gt;"",INDEX(Parties!$E$5:$E$304,V13)&lt;&gt;"",INDEX(Parties!$E$5:$E$304,V13)&lt;&gt;HomeState),0,ROUND(L13*M13/2,2)))</f>
        <v>845.64</v>
      </c>
      <c r="O13" s="61" t="n">
        <f aca="false">IF($D13="","",N13)</f>
        <v>845.64</v>
      </c>
      <c r="P13" s="61" t="n">
        <f aca="false">IF($D13="","",IF(AND(V13&lt;&gt;"",INDEX(Parties!$E$5:$E$304,V13)&lt;&gt;"",INDEX(Parties!$E$5:$E$304,V13)&lt;&gt;HomeState),ROUND(L13*M13,2),0))</f>
        <v>0</v>
      </c>
      <c r="Q13" s="61" t="n">
        <f aca="false">IF($D13="","",L13+N13+O13+P13)</f>
        <v>11087.28</v>
      </c>
      <c r="R13" s="61" t="n">
        <f aca="false">IF($D13="","",ROUND(N($E13)*IFERROR(INDEX(Items!$P$5:$P$504,U13),0),2))</f>
        <v>7354.45</v>
      </c>
      <c r="S13" s="61" t="n">
        <f aca="false">IF($D13="","",L13-R13)</f>
        <v>2041.55</v>
      </c>
      <c r="T13" s="60" t="str">
        <f aca="false">IF($D13="","",IF(U13="","UNKNOWN ITEM",IF(INDEX(Items!$O$5:$O$504,U13)&lt;0,"NEG STOCK",IF(K13&lt;INDEX(Items!$P$5:$P$504,U13),"BELOW COST","OK"))))</f>
        <v>OK</v>
      </c>
      <c r="U13" s="60" t="n">
        <f aca="false">IF($D13="","",IFERROR(MATCH($D13,Items!$A$5:$A$504,0),""))</f>
        <v>8</v>
      </c>
      <c r="V13" s="60" t="n">
        <f aca="false">IF($C13="","",IFERROR(MATCH($C13,Parties!$A$5:$A$304,0),""))</f>
        <v>9</v>
      </c>
      <c r="W13" s="60" t="n">
        <f aca="false">IF($B13="","",IFERROR(VALUE(SUBSTITUTE($B13,InvPrefix,"")),0))</f>
        <v>8</v>
      </c>
      <c r="X13" s="61" t="n">
        <f aca="false">IF($D13="","",IF(OR($H13="",$H13="Credit"),0,Q13))</f>
        <v>0</v>
      </c>
    </row>
    <row r="14" customFormat="false" ht="15" hidden="false" customHeight="false" outlineLevel="0" collapsed="false">
      <c r="A14" s="55" t="n">
        <v>46126</v>
      </c>
      <c r="B14" s="56" t="s">
        <v>91</v>
      </c>
      <c r="C14" s="56" t="s">
        <v>84</v>
      </c>
      <c r="D14" s="56" t="s">
        <v>82</v>
      </c>
      <c r="E14" s="57" t="n">
        <v>40</v>
      </c>
      <c r="F14" s="58"/>
      <c r="G14" s="59"/>
      <c r="H14" s="56"/>
      <c r="I14" s="56" t="s">
        <v>75</v>
      </c>
      <c r="J14" s="60" t="str">
        <f aca="false">IF($D14="","",IFERROR(INDEX(Items!$D$5:$D$504,U14),""))</f>
        <v>Bag</v>
      </c>
      <c r="K14" s="61" t="n">
        <f aca="false">IF($D14="","",IF($F14="",IFERROR(INDEX(Items!$H$5:$H$504,U14),0),$F14))</f>
        <v>427</v>
      </c>
      <c r="L14" s="61" t="n">
        <f aca="false">IF($D14="","",ROUND(N($E14)*K14*(1-N($G14)),2))</f>
        <v>17080</v>
      </c>
      <c r="M14" s="62" t="n">
        <f aca="false">IF($D14="","",IFERROR(INDEX(Items!$F$5:$F$504,U14),0))</f>
        <v>0.18</v>
      </c>
      <c r="N14" s="61" t="n">
        <f aca="false">IF($D14="","",IF(AND(V14&lt;&gt;"",INDEX(Parties!$E$5:$E$304,V14)&lt;&gt;"",INDEX(Parties!$E$5:$E$304,V14)&lt;&gt;HomeState),0,ROUND(L14*M14/2,2)))</f>
        <v>1537.2</v>
      </c>
      <c r="O14" s="61" t="n">
        <f aca="false">IF($D14="","",N14)</f>
        <v>1537.2</v>
      </c>
      <c r="P14" s="61" t="n">
        <f aca="false">IF($D14="","",IF(AND(V14&lt;&gt;"",INDEX(Parties!$E$5:$E$304,V14)&lt;&gt;"",INDEX(Parties!$E$5:$E$304,V14)&lt;&gt;HomeState),ROUND(L14*M14,2),0))</f>
        <v>0</v>
      </c>
      <c r="Q14" s="61" t="n">
        <f aca="false">IF($D14="","",L14+N14+O14+P14)</f>
        <v>20154.4</v>
      </c>
      <c r="R14" s="61" t="n">
        <f aca="false">IF($D14="","",ROUND(N($E14)*IFERROR(INDEX(Items!$P$5:$P$504,U14),0),2))</f>
        <v>13606.97</v>
      </c>
      <c r="S14" s="61" t="n">
        <f aca="false">IF($D14="","",L14-R14)</f>
        <v>3473.03</v>
      </c>
      <c r="T14" s="60" t="str">
        <f aca="false">IF($D14="","",IF(U14="","UNKNOWN ITEM",IF(INDEX(Items!$O$5:$O$504,U14)&lt;0,"NEG STOCK",IF(K14&lt;INDEX(Items!$P$5:$P$504,U14),"BELOW COST","OK"))))</f>
        <v>OK</v>
      </c>
      <c r="U14" s="60" t="n">
        <f aca="false">IF($D14="","",IFERROR(MATCH($D14,Items!$A$5:$A$504,0),""))</f>
        <v>10</v>
      </c>
      <c r="V14" s="60" t="n">
        <f aca="false">IF($C14="","",IFERROR(MATCH($C14,Parties!$A$5:$A$304,0),""))</f>
        <v>9</v>
      </c>
      <c r="W14" s="60" t="n">
        <f aca="false">IF($B14="","",IFERROR(VALUE(SUBSTITUTE($B14,InvPrefix,"")),0))</f>
        <v>8</v>
      </c>
      <c r="X14" s="61" t="n">
        <f aca="false">IF($D14="","",IF(OR($H14="",$H14="Credit"),0,Q14))</f>
        <v>0</v>
      </c>
    </row>
    <row r="15" customFormat="false" ht="15" hidden="false" customHeight="false" outlineLevel="0" collapsed="false">
      <c r="A15" s="55" t="n">
        <v>46127</v>
      </c>
      <c r="B15" s="56" t="s">
        <v>93</v>
      </c>
      <c r="C15" s="56" t="s">
        <v>77</v>
      </c>
      <c r="D15" s="56" t="s">
        <v>85</v>
      </c>
      <c r="E15" s="57" t="n">
        <v>3</v>
      </c>
      <c r="F15" s="58"/>
      <c r="G15" s="59" t="n">
        <v>0.02</v>
      </c>
      <c r="H15" s="56"/>
      <c r="I15" s="56" t="s">
        <v>75</v>
      </c>
      <c r="J15" s="60" t="str">
        <f aca="false">IF($D15="","",IFERROR(INDEX(Items!$D$5:$D$504,U15),""))</f>
        <v>Pcs</v>
      </c>
      <c r="K15" s="61" t="n">
        <f aca="false">IF($D15="","",IF($F15="",IFERROR(INDEX(Items!$H$5:$H$504,U15),0),$F15))</f>
        <v>2322</v>
      </c>
      <c r="L15" s="61" t="n">
        <f aca="false">IF($D15="","",ROUND(N($E15)*K15*(1-N($G15)),2))</f>
        <v>6826.68</v>
      </c>
      <c r="M15" s="62" t="n">
        <f aca="false">IF($D15="","",IFERROR(INDEX(Items!$F$5:$F$504,U15),0))</f>
        <v>0.18</v>
      </c>
      <c r="N15" s="61" t="n">
        <f aca="false">IF($D15="","",IF(AND(V15&lt;&gt;"",INDEX(Parties!$E$5:$E$304,V15)&lt;&gt;"",INDEX(Parties!$E$5:$E$304,V15)&lt;&gt;HomeState),0,ROUND(L15*M15/2,2)))</f>
        <v>614.4</v>
      </c>
      <c r="O15" s="61" t="n">
        <f aca="false">IF($D15="","",N15)</f>
        <v>614.4</v>
      </c>
      <c r="P15" s="61" t="n">
        <f aca="false">IF($D15="","",IF(AND(V15&lt;&gt;"",INDEX(Parties!$E$5:$E$304,V15)&lt;&gt;"",INDEX(Parties!$E$5:$E$304,V15)&lt;&gt;HomeState),ROUND(L15*M15,2),0))</f>
        <v>0</v>
      </c>
      <c r="Q15" s="61" t="n">
        <f aca="false">IF($D15="","",L15+N15+O15+P15)</f>
        <v>8055.48</v>
      </c>
      <c r="R15" s="61" t="n">
        <f aca="false">IF($D15="","",ROUND(N($E15)*IFERROR(INDEX(Items!$P$5:$P$504,U15),0),2))</f>
        <v>4931.4</v>
      </c>
      <c r="S15" s="61" t="n">
        <f aca="false">IF($D15="","",L15-R15)</f>
        <v>1895.28</v>
      </c>
      <c r="T15" s="60" t="str">
        <f aca="false">IF($D15="","",IF(U15="","UNKNOWN ITEM",IF(INDEX(Items!$O$5:$O$504,U15)&lt;0,"NEG STOCK",IF(K15&lt;INDEX(Items!$P$5:$P$504,U15),"BELOW COST","OK"))))</f>
        <v>OK</v>
      </c>
      <c r="U15" s="60" t="n">
        <f aca="false">IF($D15="","",IFERROR(MATCH($D15,Items!$A$5:$A$504,0),""))</f>
        <v>12</v>
      </c>
      <c r="V15" s="60" t="n">
        <f aca="false">IF($C15="","",IFERROR(MATCH($C15,Parties!$A$5:$A$304,0),""))</f>
        <v>2</v>
      </c>
      <c r="W15" s="60" t="n">
        <f aca="false">IF($B15="","",IFERROR(VALUE(SUBSTITUTE($B15,InvPrefix,"")),0))</f>
        <v>9</v>
      </c>
      <c r="X15" s="61" t="n">
        <f aca="false">IF($D15="","",IF(OR($H15="",$H15="Credit"),0,Q15))</f>
        <v>0</v>
      </c>
    </row>
    <row r="16" customFormat="false" ht="15" hidden="false" customHeight="false" outlineLevel="0" collapsed="false">
      <c r="A16" s="55" t="n">
        <v>46127</v>
      </c>
      <c r="B16" s="56" t="s">
        <v>93</v>
      </c>
      <c r="C16" s="56" t="s">
        <v>77</v>
      </c>
      <c r="D16" s="56" t="s">
        <v>94</v>
      </c>
      <c r="E16" s="57" t="n">
        <v>7</v>
      </c>
      <c r="F16" s="58"/>
      <c r="G16" s="59" t="n">
        <v>0.02</v>
      </c>
      <c r="H16" s="56"/>
      <c r="I16" s="56" t="s">
        <v>75</v>
      </c>
      <c r="J16" s="60" t="str">
        <f aca="false">IF($D16="","",IFERROR(INDEX(Items!$D$5:$D$504,U16),""))</f>
        <v>Pack</v>
      </c>
      <c r="K16" s="61" t="n">
        <f aca="false">IF($D16="","",IF($F16="",IFERROR(INDEX(Items!$H$5:$H$504,U16),0),$F16))</f>
        <v>691</v>
      </c>
      <c r="L16" s="61" t="n">
        <f aca="false">IF($D16="","",ROUND(N($E16)*K16*(1-N($G16)),2))</f>
        <v>4740.26</v>
      </c>
      <c r="M16" s="62" t="n">
        <f aca="false">IF($D16="","",IFERROR(INDEX(Items!$F$5:$F$504,U16),0))</f>
        <v>0.18</v>
      </c>
      <c r="N16" s="61" t="n">
        <f aca="false">IF($D16="","",IF(AND(V16&lt;&gt;"",INDEX(Parties!$E$5:$E$304,V16)&lt;&gt;"",INDEX(Parties!$E$5:$E$304,V16)&lt;&gt;HomeState),0,ROUND(L16*M16/2,2)))</f>
        <v>426.62</v>
      </c>
      <c r="O16" s="61" t="n">
        <f aca="false">IF($D16="","",N16)</f>
        <v>426.62</v>
      </c>
      <c r="P16" s="61" t="n">
        <f aca="false">IF($D16="","",IF(AND(V16&lt;&gt;"",INDEX(Parties!$E$5:$E$304,V16)&lt;&gt;"",INDEX(Parties!$E$5:$E$304,V16)&lt;&gt;HomeState),ROUND(L16*M16,2),0))</f>
        <v>0</v>
      </c>
      <c r="Q16" s="61" t="n">
        <f aca="false">IF($D16="","",L16+N16+O16+P16)</f>
        <v>5593.5</v>
      </c>
      <c r="R16" s="61" t="n">
        <f aca="false">IF($D16="","",ROUND(N($E16)*IFERROR(INDEX(Items!$P$5:$P$504,U16),0),2))</f>
        <v>3623.85</v>
      </c>
      <c r="S16" s="61" t="n">
        <f aca="false">IF($D16="","",L16-R16)</f>
        <v>1116.41</v>
      </c>
      <c r="T16" s="60" t="str">
        <f aca="false">IF($D16="","",IF(U16="","UNKNOWN ITEM",IF(INDEX(Items!$O$5:$O$504,U16)&lt;0,"NEG STOCK",IF(K16&lt;INDEX(Items!$P$5:$P$504,U16),"BELOW COST","OK"))))</f>
        <v>OK</v>
      </c>
      <c r="U16" s="60" t="n">
        <f aca="false">IF($D16="","",IFERROR(MATCH($D16,Items!$A$5:$A$504,0),""))</f>
        <v>5</v>
      </c>
      <c r="V16" s="60" t="n">
        <f aca="false">IF($C16="","",IFERROR(MATCH($C16,Parties!$A$5:$A$304,0),""))</f>
        <v>2</v>
      </c>
      <c r="W16" s="60" t="n">
        <f aca="false">IF($B16="","",IFERROR(VALUE(SUBSTITUTE($B16,InvPrefix,"")),0))</f>
        <v>9</v>
      </c>
      <c r="X16" s="61" t="n">
        <f aca="false">IF($D16="","",IF(OR($H16="",$H16="Credit"),0,Q16))</f>
        <v>0</v>
      </c>
    </row>
    <row r="17" customFormat="false" ht="15" hidden="false" customHeight="false" outlineLevel="0" collapsed="false">
      <c r="A17" s="55" t="n">
        <v>46128</v>
      </c>
      <c r="B17" s="56" t="s">
        <v>95</v>
      </c>
      <c r="C17" s="56" t="s">
        <v>72</v>
      </c>
      <c r="D17" s="56" t="s">
        <v>96</v>
      </c>
      <c r="E17" s="57" t="n">
        <v>6</v>
      </c>
      <c r="F17" s="58"/>
      <c r="G17" s="59" t="n">
        <v>0.02</v>
      </c>
      <c r="H17" s="56" t="s">
        <v>90</v>
      </c>
      <c r="I17" s="56" t="s">
        <v>75</v>
      </c>
      <c r="J17" s="60" t="str">
        <f aca="false">IF($D17="","",IFERROR(INDEX(Items!$D$5:$D$504,U17),""))</f>
        <v>Box</v>
      </c>
      <c r="K17" s="61" t="n">
        <f aca="false">IF($D17="","",IF($F17="",IFERROR(INDEX(Items!$H$5:$H$504,U17),0),$F17))</f>
        <v>2290</v>
      </c>
      <c r="L17" s="61" t="n">
        <f aca="false">IF($D17="","",ROUND(N($E17)*K17*(1-N($G17)),2))</f>
        <v>13465.2</v>
      </c>
      <c r="M17" s="62" t="n">
        <f aca="false">IF($D17="","",IFERROR(INDEX(Items!$F$5:$F$504,U17),0))</f>
        <v>0.05</v>
      </c>
      <c r="N17" s="61" t="n">
        <f aca="false">IF($D17="","",IF(AND(V17&lt;&gt;"",INDEX(Parties!$E$5:$E$304,V17)&lt;&gt;"",INDEX(Parties!$E$5:$E$304,V17)&lt;&gt;HomeState),0,ROUND(L17*M17/2,2)))</f>
        <v>336.63</v>
      </c>
      <c r="O17" s="61" t="n">
        <f aca="false">IF($D17="","",N17)</f>
        <v>336.63</v>
      </c>
      <c r="P17" s="61" t="n">
        <f aca="false">IF($D17="","",IF(AND(V17&lt;&gt;"",INDEX(Parties!$E$5:$E$304,V17)&lt;&gt;"",INDEX(Parties!$E$5:$E$304,V17)&lt;&gt;HomeState),ROUND(L17*M17,2),0))</f>
        <v>0</v>
      </c>
      <c r="Q17" s="61" t="n">
        <f aca="false">IF($D17="","",L17+N17+O17+P17)</f>
        <v>14138.46</v>
      </c>
      <c r="R17" s="61" t="n">
        <f aca="false">IF($D17="","",ROUND(N($E17)*IFERROR(INDEX(Items!$P$5:$P$504,U17),0),2))</f>
        <v>11426.18</v>
      </c>
      <c r="S17" s="61" t="n">
        <f aca="false">IF($D17="","",L17-R17)</f>
        <v>2039.02</v>
      </c>
      <c r="T17" s="60" t="str">
        <f aca="false">IF($D17="","",IF(U17="","UNKNOWN ITEM",IF(INDEX(Items!$O$5:$O$504,U17)&lt;0,"NEG STOCK",IF(K17&lt;INDEX(Items!$P$5:$P$504,U17),"BELOW COST","OK"))))</f>
        <v>OK</v>
      </c>
      <c r="U17" s="60" t="n">
        <f aca="false">IF($D17="","",IFERROR(MATCH($D17,Items!$A$5:$A$504,0),""))</f>
        <v>3</v>
      </c>
      <c r="V17" s="60" t="n">
        <f aca="false">IF($C17="","",IFERROR(MATCH($C17,Parties!$A$5:$A$304,0),""))</f>
        <v>1</v>
      </c>
      <c r="W17" s="60" t="n">
        <f aca="false">IF($B17="","",IFERROR(VALUE(SUBSTITUTE($B17,InvPrefix,"")),0))</f>
        <v>10</v>
      </c>
      <c r="X17" s="61" t="n">
        <f aca="false">IF($D17="","",IF(OR($H17="",$H17="Credit"),0,Q17))</f>
        <v>14138.46</v>
      </c>
    </row>
    <row r="18" customFormat="false" ht="15" hidden="false" customHeight="false" outlineLevel="0" collapsed="false">
      <c r="A18" s="55" t="n">
        <v>46130</v>
      </c>
      <c r="B18" s="56" t="s">
        <v>97</v>
      </c>
      <c r="C18" s="56" t="s">
        <v>88</v>
      </c>
      <c r="D18" s="56" t="s">
        <v>98</v>
      </c>
      <c r="E18" s="57" t="n">
        <v>11</v>
      </c>
      <c r="F18" s="58"/>
      <c r="G18" s="59" t="n">
        <v>0.02</v>
      </c>
      <c r="H18" s="56"/>
      <c r="I18" s="56" t="s">
        <v>75</v>
      </c>
      <c r="J18" s="60" t="str">
        <f aca="false">IF($D18="","",IFERROR(INDEX(Items!$D$5:$D$504,U18),""))</f>
        <v>Pack</v>
      </c>
      <c r="K18" s="61" t="n">
        <f aca="false">IF($D18="","",IF($F18="",IFERROR(INDEX(Items!$H$5:$H$504,U18),0),$F18))</f>
        <v>508</v>
      </c>
      <c r="L18" s="61" t="n">
        <f aca="false">IF($D18="","",ROUND(N($E18)*K18*(1-N($G18)),2))</f>
        <v>5476.24</v>
      </c>
      <c r="M18" s="62" t="n">
        <f aca="false">IF($D18="","",IFERROR(INDEX(Items!$F$5:$F$504,U18),0))</f>
        <v>0.05</v>
      </c>
      <c r="N18" s="61" t="n">
        <f aca="false">IF($D18="","",IF(AND(V18&lt;&gt;"",INDEX(Parties!$E$5:$E$304,V18)&lt;&gt;"",INDEX(Parties!$E$5:$E$304,V18)&lt;&gt;HomeState),0,ROUND(L18*M18/2,2)))</f>
        <v>136.91</v>
      </c>
      <c r="O18" s="61" t="n">
        <f aca="false">IF($D18="","",N18)</f>
        <v>136.91</v>
      </c>
      <c r="P18" s="61" t="n">
        <f aca="false">IF($D18="","",IF(AND(V18&lt;&gt;"",INDEX(Parties!$E$5:$E$304,V18)&lt;&gt;"",INDEX(Parties!$E$5:$E$304,V18)&lt;&gt;HomeState),ROUND(L18*M18,2),0))</f>
        <v>0</v>
      </c>
      <c r="Q18" s="61" t="n">
        <f aca="false">IF($D18="","",L18+N18+O18+P18)</f>
        <v>5750.06</v>
      </c>
      <c r="R18" s="61" t="n">
        <f aca="false">IF($D18="","",ROUND(N($E18)*IFERROR(INDEX(Items!$P$5:$P$504,U18),0),2))</f>
        <v>4147.87</v>
      </c>
      <c r="S18" s="61" t="n">
        <f aca="false">IF($D18="","",L18-R18)</f>
        <v>1328.37</v>
      </c>
      <c r="T18" s="60" t="str">
        <f aca="false">IF($D18="","",IF(U18="","UNKNOWN ITEM",IF(INDEX(Items!$O$5:$O$504,U18)&lt;0,"NEG STOCK",IF(K18&lt;INDEX(Items!$P$5:$P$504,U18),"BELOW COST","OK"))))</f>
        <v>OK</v>
      </c>
      <c r="U18" s="60" t="n">
        <f aca="false">IF($D18="","",IFERROR(MATCH($D18,Items!$A$5:$A$504,0),""))</f>
        <v>4</v>
      </c>
      <c r="V18" s="60" t="n">
        <f aca="false">IF($C18="","",IFERROR(MATCH($C18,Parties!$A$5:$A$304,0),""))</f>
        <v>5</v>
      </c>
      <c r="W18" s="60" t="n">
        <f aca="false">IF($B18="","",IFERROR(VALUE(SUBSTITUTE($B18,InvPrefix,"")),0))</f>
        <v>11</v>
      </c>
      <c r="X18" s="61" t="n">
        <f aca="false">IF($D18="","",IF(OR($H18="",$H18="Credit"),0,Q18))</f>
        <v>0</v>
      </c>
    </row>
    <row r="19" customFormat="false" ht="15" hidden="false" customHeight="false" outlineLevel="0" collapsed="false">
      <c r="A19" s="55" t="n">
        <v>46130</v>
      </c>
      <c r="B19" s="56" t="s">
        <v>97</v>
      </c>
      <c r="C19" s="56" t="s">
        <v>88</v>
      </c>
      <c r="D19" s="56" t="s">
        <v>99</v>
      </c>
      <c r="E19" s="57" t="n">
        <v>39</v>
      </c>
      <c r="F19" s="58"/>
      <c r="G19" s="59" t="n">
        <v>0.02</v>
      </c>
      <c r="H19" s="56"/>
      <c r="I19" s="56" t="s">
        <v>75</v>
      </c>
      <c r="J19" s="60" t="str">
        <f aca="false">IF($D19="","",IFERROR(INDEX(Items!$D$5:$D$504,U19),""))</f>
        <v>Pcs</v>
      </c>
      <c r="K19" s="61" t="n">
        <f aca="false">IF($D19="","",IF($F19="",IFERROR(INDEX(Items!$H$5:$H$504,U19),0),$F19))</f>
        <v>107</v>
      </c>
      <c r="L19" s="61" t="n">
        <f aca="false">IF($D19="","",ROUND(N($E19)*K19*(1-N($G19)),2))</f>
        <v>4089.54</v>
      </c>
      <c r="M19" s="62" t="n">
        <f aca="false">IF($D19="","",IFERROR(INDEX(Items!$F$5:$F$504,U19),0))</f>
        <v>0.18</v>
      </c>
      <c r="N19" s="61" t="n">
        <f aca="false">IF($D19="","",IF(AND(V19&lt;&gt;"",INDEX(Parties!$E$5:$E$304,V19)&lt;&gt;"",INDEX(Parties!$E$5:$E$304,V19)&lt;&gt;HomeState),0,ROUND(L19*M19/2,2)))</f>
        <v>368.06</v>
      </c>
      <c r="O19" s="61" t="n">
        <f aca="false">IF($D19="","",N19)</f>
        <v>368.06</v>
      </c>
      <c r="P19" s="61" t="n">
        <f aca="false">IF($D19="","",IF(AND(V19&lt;&gt;"",INDEX(Parties!$E$5:$E$304,V19)&lt;&gt;"",INDEX(Parties!$E$5:$E$304,V19)&lt;&gt;HomeState),ROUND(L19*M19,2),0))</f>
        <v>0</v>
      </c>
      <c r="Q19" s="61" t="n">
        <f aca="false">IF($D19="","",L19+N19+O19+P19)</f>
        <v>4825.66</v>
      </c>
      <c r="R19" s="61" t="n">
        <f aca="false">IF($D19="","",ROUND(N($E19)*IFERROR(INDEX(Items!$P$5:$P$504,U19),0),2))</f>
        <v>2395.27</v>
      </c>
      <c r="S19" s="61" t="n">
        <f aca="false">IF($D19="","",L19-R19)</f>
        <v>1694.27</v>
      </c>
      <c r="T19" s="60" t="str">
        <f aca="false">IF($D19="","",IF(U19="","UNKNOWN ITEM",IF(INDEX(Items!$O$5:$O$504,U19)&lt;0,"NEG STOCK",IF(K19&lt;INDEX(Items!$P$5:$P$504,U19),"BELOW COST","OK"))))</f>
        <v>OK</v>
      </c>
      <c r="U19" s="60" t="n">
        <f aca="false">IF($D19="","",IFERROR(MATCH($D19,Items!$A$5:$A$504,0),""))</f>
        <v>7</v>
      </c>
      <c r="V19" s="60" t="n">
        <f aca="false">IF($C19="","",IFERROR(MATCH($C19,Parties!$A$5:$A$304,0),""))</f>
        <v>5</v>
      </c>
      <c r="W19" s="60" t="n">
        <f aca="false">IF($B19="","",IFERROR(VALUE(SUBSTITUTE($B19,InvPrefix,"")),0))</f>
        <v>11</v>
      </c>
      <c r="X19" s="61" t="n">
        <f aca="false">IF($D19="","",IF(OR($H19="",$H19="Credit"),0,Q19))</f>
        <v>0</v>
      </c>
    </row>
    <row r="20" customFormat="false" ht="15" hidden="false" customHeight="false" outlineLevel="0" collapsed="false">
      <c r="A20" s="55" t="n">
        <v>46132</v>
      </c>
      <c r="B20" s="56" t="s">
        <v>100</v>
      </c>
      <c r="C20" s="56" t="s">
        <v>88</v>
      </c>
      <c r="D20" s="56" t="s">
        <v>79</v>
      </c>
      <c r="E20" s="57" t="n">
        <v>20</v>
      </c>
      <c r="F20" s="58"/>
      <c r="G20" s="59" t="n">
        <v>0.02</v>
      </c>
      <c r="H20" s="56"/>
      <c r="I20" s="56" t="s">
        <v>75</v>
      </c>
      <c r="J20" s="60" t="str">
        <f aca="false">IF($D20="","",IFERROR(INDEX(Items!$D$5:$D$504,U20),""))</f>
        <v>Pcs</v>
      </c>
      <c r="K20" s="61" t="n">
        <f aca="false">IF($D20="","",IF($F20="",IFERROR(INDEX(Items!$H$5:$H$504,U20),0),$F20))</f>
        <v>297</v>
      </c>
      <c r="L20" s="61" t="n">
        <f aca="false">IF($D20="","",ROUND(N($E20)*K20*(1-N($G20)),2))</f>
        <v>5821.2</v>
      </c>
      <c r="M20" s="62" t="n">
        <f aca="false">IF($D20="","",IFERROR(INDEX(Items!$F$5:$F$504,U20),0))</f>
        <v>0.18</v>
      </c>
      <c r="N20" s="61" t="n">
        <f aca="false">IF($D20="","",IF(AND(V20&lt;&gt;"",INDEX(Parties!$E$5:$E$304,V20)&lt;&gt;"",INDEX(Parties!$E$5:$E$304,V20)&lt;&gt;HomeState),0,ROUND(L20*M20/2,2)))</f>
        <v>523.91</v>
      </c>
      <c r="O20" s="61" t="n">
        <f aca="false">IF($D20="","",N20)</f>
        <v>523.91</v>
      </c>
      <c r="P20" s="61" t="n">
        <f aca="false">IF($D20="","",IF(AND(V20&lt;&gt;"",INDEX(Parties!$E$5:$E$304,V20)&lt;&gt;"",INDEX(Parties!$E$5:$E$304,V20)&lt;&gt;HomeState),ROUND(L20*M20,2),0))</f>
        <v>0</v>
      </c>
      <c r="Q20" s="61" t="n">
        <f aca="false">IF($D20="","",L20+N20+O20+P20)</f>
        <v>6869.02</v>
      </c>
      <c r="R20" s="61" t="n">
        <f aca="false">IF($D20="","",ROUND(N($E20)*IFERROR(INDEX(Items!$P$5:$P$504,U20),0),2))</f>
        <v>4192.67</v>
      </c>
      <c r="S20" s="61" t="n">
        <f aca="false">IF($D20="","",L20-R20)</f>
        <v>1628.53</v>
      </c>
      <c r="T20" s="60" t="str">
        <f aca="false">IF($D20="","",IF(U20="","UNKNOWN ITEM",IF(INDEX(Items!$O$5:$O$504,U20)&lt;0,"NEG STOCK",IF(K20&lt;INDEX(Items!$P$5:$P$504,U20),"BELOW COST","OK"))))</f>
        <v>OK</v>
      </c>
      <c r="U20" s="60" t="n">
        <f aca="false">IF($D20="","",IFERROR(MATCH($D20,Items!$A$5:$A$504,0),""))</f>
        <v>9</v>
      </c>
      <c r="V20" s="60" t="n">
        <f aca="false">IF($C20="","",IFERROR(MATCH($C20,Parties!$A$5:$A$304,0),""))</f>
        <v>5</v>
      </c>
      <c r="W20" s="60" t="n">
        <f aca="false">IF($B20="","",IFERROR(VALUE(SUBSTITUTE($B20,InvPrefix,"")),0))</f>
        <v>12</v>
      </c>
      <c r="X20" s="61" t="n">
        <f aca="false">IF($D20="","",IF(OR($H20="",$H20="Credit"),0,Q20))</f>
        <v>0</v>
      </c>
    </row>
    <row r="21" customFormat="false" ht="15" hidden="false" customHeight="false" outlineLevel="0" collapsed="false">
      <c r="A21" s="55" t="n">
        <v>46133</v>
      </c>
      <c r="B21" s="56" t="s">
        <v>101</v>
      </c>
      <c r="C21" s="56" t="s">
        <v>102</v>
      </c>
      <c r="D21" s="56" t="s">
        <v>96</v>
      </c>
      <c r="E21" s="57" t="n">
        <v>3</v>
      </c>
      <c r="F21" s="58"/>
      <c r="G21" s="59"/>
      <c r="H21" s="56" t="s">
        <v>103</v>
      </c>
      <c r="I21" s="56" t="s">
        <v>75</v>
      </c>
      <c r="J21" s="60" t="str">
        <f aca="false">IF($D21="","",IFERROR(INDEX(Items!$D$5:$D$504,U21),""))</f>
        <v>Box</v>
      </c>
      <c r="K21" s="61" t="n">
        <f aca="false">IF($D21="","",IF($F21="",IFERROR(INDEX(Items!$H$5:$H$504,U21),0),$F21))</f>
        <v>2290</v>
      </c>
      <c r="L21" s="61" t="n">
        <f aca="false">IF($D21="","",ROUND(N($E21)*K21*(1-N($G21)),2))</f>
        <v>6870</v>
      </c>
      <c r="M21" s="62" t="n">
        <f aca="false">IF($D21="","",IFERROR(INDEX(Items!$F$5:$F$504,U21),0))</f>
        <v>0.05</v>
      </c>
      <c r="N21" s="61" t="n">
        <f aca="false">IF($D21="","",IF(AND(V21&lt;&gt;"",INDEX(Parties!$E$5:$E$304,V21)&lt;&gt;"",INDEX(Parties!$E$5:$E$304,V21)&lt;&gt;HomeState),0,ROUND(L21*M21/2,2)))</f>
        <v>171.75</v>
      </c>
      <c r="O21" s="61" t="n">
        <f aca="false">IF($D21="","",N21)</f>
        <v>171.75</v>
      </c>
      <c r="P21" s="61" t="n">
        <f aca="false">IF($D21="","",IF(AND(V21&lt;&gt;"",INDEX(Parties!$E$5:$E$304,V21)&lt;&gt;"",INDEX(Parties!$E$5:$E$304,V21)&lt;&gt;HomeState),ROUND(L21*M21,2),0))</f>
        <v>0</v>
      </c>
      <c r="Q21" s="61" t="n">
        <f aca="false">IF($D21="","",L21+N21+O21+P21)</f>
        <v>7213.5</v>
      </c>
      <c r="R21" s="61" t="n">
        <f aca="false">IF($D21="","",ROUND(N($E21)*IFERROR(INDEX(Items!$P$5:$P$504,U21),0),2))</f>
        <v>5713.09</v>
      </c>
      <c r="S21" s="61" t="n">
        <f aca="false">IF($D21="","",L21-R21)</f>
        <v>1156.91</v>
      </c>
      <c r="T21" s="60" t="str">
        <f aca="false">IF($D21="","",IF(U21="","UNKNOWN ITEM",IF(INDEX(Items!$O$5:$O$504,U21)&lt;0,"NEG STOCK",IF(K21&lt;INDEX(Items!$P$5:$P$504,U21),"BELOW COST","OK"))))</f>
        <v>OK</v>
      </c>
      <c r="U21" s="60" t="n">
        <f aca="false">IF($D21="","",IFERROR(MATCH($D21,Items!$A$5:$A$504,0),""))</f>
        <v>3</v>
      </c>
      <c r="V21" s="60" t="n">
        <f aca="false">IF($C21="","",IFERROR(MATCH($C21,Parties!$A$5:$A$304,0),""))</f>
        <v>4</v>
      </c>
      <c r="W21" s="60" t="n">
        <f aca="false">IF($B21="","",IFERROR(VALUE(SUBSTITUTE($B21,InvPrefix,"")),0))</f>
        <v>13</v>
      </c>
      <c r="X21" s="61" t="n">
        <f aca="false">IF($D21="","",IF(OR($H21="",$H21="Credit"),0,Q21))</f>
        <v>7213.5</v>
      </c>
    </row>
    <row r="22" customFormat="false" ht="15" hidden="false" customHeight="false" outlineLevel="0" collapsed="false">
      <c r="A22" s="55" t="n">
        <v>46134</v>
      </c>
      <c r="B22" s="56" t="s">
        <v>104</v>
      </c>
      <c r="C22" s="56" t="s">
        <v>102</v>
      </c>
      <c r="D22" s="56" t="s">
        <v>92</v>
      </c>
      <c r="E22" s="57" t="n">
        <v>4</v>
      </c>
      <c r="F22" s="58"/>
      <c r="G22" s="59"/>
      <c r="H22" s="56" t="s">
        <v>103</v>
      </c>
      <c r="I22" s="56" t="s">
        <v>75</v>
      </c>
      <c r="J22" s="60" t="str">
        <f aca="false">IF($D22="","",IFERROR(INDEX(Items!$D$5:$D$504,U22),""))</f>
        <v>Pcs</v>
      </c>
      <c r="K22" s="61" t="n">
        <f aca="false">IF($D22="","",IF($F22="",IFERROR(INDEX(Items!$H$5:$H$504,U22),0),$F22))</f>
        <v>3132</v>
      </c>
      <c r="L22" s="61" t="n">
        <f aca="false">IF($D22="","",ROUND(N($E22)*K22*(1-N($G22)),2))</f>
        <v>12528</v>
      </c>
      <c r="M22" s="62" t="n">
        <f aca="false">IF($D22="","",IFERROR(INDEX(Items!$F$5:$F$504,U22),0))</f>
        <v>0.18</v>
      </c>
      <c r="N22" s="61" t="n">
        <f aca="false">IF($D22="","",IF(AND(V22&lt;&gt;"",INDEX(Parties!$E$5:$E$304,V22)&lt;&gt;"",INDEX(Parties!$E$5:$E$304,V22)&lt;&gt;HomeState),0,ROUND(L22*M22/2,2)))</f>
        <v>1127.52</v>
      </c>
      <c r="O22" s="61" t="n">
        <f aca="false">IF($D22="","",N22)</f>
        <v>1127.52</v>
      </c>
      <c r="P22" s="61" t="n">
        <f aca="false">IF($D22="","",IF(AND(V22&lt;&gt;"",INDEX(Parties!$E$5:$E$304,V22)&lt;&gt;"",INDEX(Parties!$E$5:$E$304,V22)&lt;&gt;HomeState),ROUND(L22*M22,2),0))</f>
        <v>0</v>
      </c>
      <c r="Q22" s="61" t="n">
        <f aca="false">IF($D22="","",L22+N22+O22+P22)</f>
        <v>14783.04</v>
      </c>
      <c r="R22" s="61" t="n">
        <f aca="false">IF($D22="","",ROUND(N($E22)*IFERROR(INDEX(Items!$P$5:$P$504,U22),0),2))</f>
        <v>9805.93</v>
      </c>
      <c r="S22" s="61" t="n">
        <f aca="false">IF($D22="","",L22-R22)</f>
        <v>2722.07</v>
      </c>
      <c r="T22" s="60" t="str">
        <f aca="false">IF($D22="","",IF(U22="","UNKNOWN ITEM",IF(INDEX(Items!$O$5:$O$504,U22)&lt;0,"NEG STOCK",IF(K22&lt;INDEX(Items!$P$5:$P$504,U22),"BELOW COST","OK"))))</f>
        <v>OK</v>
      </c>
      <c r="U22" s="60" t="n">
        <f aca="false">IF($D22="","",IFERROR(MATCH($D22,Items!$A$5:$A$504,0),""))</f>
        <v>8</v>
      </c>
      <c r="V22" s="60" t="n">
        <f aca="false">IF($C22="","",IFERROR(MATCH($C22,Parties!$A$5:$A$304,0),""))</f>
        <v>4</v>
      </c>
      <c r="W22" s="60" t="n">
        <f aca="false">IF($B22="","",IFERROR(VALUE(SUBSTITUTE($B22,InvPrefix,"")),0))</f>
        <v>14</v>
      </c>
      <c r="X22" s="61" t="n">
        <f aca="false">IF($D22="","",IF(OR($H22="",$H22="Credit"),0,Q22))</f>
        <v>14783.04</v>
      </c>
    </row>
    <row r="23" customFormat="false" ht="15" hidden="false" customHeight="false" outlineLevel="0" collapsed="false">
      <c r="A23" s="55" t="n">
        <v>46135</v>
      </c>
      <c r="B23" s="56" t="s">
        <v>105</v>
      </c>
      <c r="C23" s="56" t="s">
        <v>88</v>
      </c>
      <c r="D23" s="56" t="s">
        <v>99</v>
      </c>
      <c r="E23" s="57" t="n">
        <v>64</v>
      </c>
      <c r="F23" s="58"/>
      <c r="G23" s="59" t="n">
        <v>0.05</v>
      </c>
      <c r="H23" s="56"/>
      <c r="I23" s="56" t="s">
        <v>75</v>
      </c>
      <c r="J23" s="60" t="str">
        <f aca="false">IF($D23="","",IFERROR(INDEX(Items!$D$5:$D$504,U23),""))</f>
        <v>Pcs</v>
      </c>
      <c r="K23" s="61" t="n">
        <f aca="false">IF($D23="","",IF($F23="",IFERROR(INDEX(Items!$H$5:$H$504,U23),0),$F23))</f>
        <v>107</v>
      </c>
      <c r="L23" s="61" t="n">
        <f aca="false">IF($D23="","",ROUND(N($E23)*K23*(1-N($G23)),2))</f>
        <v>6505.6</v>
      </c>
      <c r="M23" s="62" t="n">
        <f aca="false">IF($D23="","",IFERROR(INDEX(Items!$F$5:$F$504,U23),0))</f>
        <v>0.18</v>
      </c>
      <c r="N23" s="61" t="n">
        <f aca="false">IF($D23="","",IF(AND(V23&lt;&gt;"",INDEX(Parties!$E$5:$E$304,V23)&lt;&gt;"",INDEX(Parties!$E$5:$E$304,V23)&lt;&gt;HomeState),0,ROUND(L23*M23/2,2)))</f>
        <v>585.5</v>
      </c>
      <c r="O23" s="61" t="n">
        <f aca="false">IF($D23="","",N23)</f>
        <v>585.5</v>
      </c>
      <c r="P23" s="61" t="n">
        <f aca="false">IF($D23="","",IF(AND(V23&lt;&gt;"",INDEX(Parties!$E$5:$E$304,V23)&lt;&gt;"",INDEX(Parties!$E$5:$E$304,V23)&lt;&gt;HomeState),ROUND(L23*M23,2),0))</f>
        <v>0</v>
      </c>
      <c r="Q23" s="61" t="n">
        <f aca="false">IF($D23="","",L23+N23+O23+P23)</f>
        <v>7676.6</v>
      </c>
      <c r="R23" s="61" t="n">
        <f aca="false">IF($D23="","",ROUND(N($E23)*IFERROR(INDEX(Items!$P$5:$P$504,U23),0),2))</f>
        <v>3930.69</v>
      </c>
      <c r="S23" s="61" t="n">
        <f aca="false">IF($D23="","",L23-R23)</f>
        <v>2574.91</v>
      </c>
      <c r="T23" s="60" t="str">
        <f aca="false">IF($D23="","",IF(U23="","UNKNOWN ITEM",IF(INDEX(Items!$O$5:$O$504,U23)&lt;0,"NEG STOCK",IF(K23&lt;INDEX(Items!$P$5:$P$504,U23),"BELOW COST","OK"))))</f>
        <v>OK</v>
      </c>
      <c r="U23" s="60" t="n">
        <f aca="false">IF($D23="","",IFERROR(MATCH($D23,Items!$A$5:$A$504,0),""))</f>
        <v>7</v>
      </c>
      <c r="V23" s="60" t="n">
        <f aca="false">IF($C23="","",IFERROR(MATCH($C23,Parties!$A$5:$A$304,0),""))</f>
        <v>5</v>
      </c>
      <c r="W23" s="60" t="n">
        <f aca="false">IF($B23="","",IFERROR(VALUE(SUBSTITUTE($B23,InvPrefix,"")),0))</f>
        <v>15</v>
      </c>
      <c r="X23" s="61" t="n">
        <f aca="false">IF($D23="","",IF(OR($H23="",$H23="Credit"),0,Q23))</f>
        <v>0</v>
      </c>
    </row>
    <row r="24" customFormat="false" ht="15" hidden="false" customHeight="false" outlineLevel="0" collapsed="false">
      <c r="A24" s="55" t="n">
        <v>46136</v>
      </c>
      <c r="B24" s="56" t="s">
        <v>106</v>
      </c>
      <c r="C24" s="56" t="s">
        <v>81</v>
      </c>
      <c r="D24" s="56" t="s">
        <v>107</v>
      </c>
      <c r="E24" s="57" t="n">
        <v>22</v>
      </c>
      <c r="F24" s="58"/>
      <c r="G24" s="59" t="n">
        <v>0.02</v>
      </c>
      <c r="H24" s="56" t="s">
        <v>74</v>
      </c>
      <c r="I24" s="56" t="s">
        <v>75</v>
      </c>
      <c r="J24" s="60" t="str">
        <f aca="false">IF($D24="","",IFERROR(INDEX(Items!$D$5:$D$504,U24),""))</f>
        <v>Pack</v>
      </c>
      <c r="K24" s="61" t="n">
        <f aca="false">IF($D24="","",IF($F24="",IFERROR(INDEX(Items!$H$5:$H$504,U24),0),$F24))</f>
        <v>335</v>
      </c>
      <c r="L24" s="61" t="n">
        <f aca="false">IF($D24="","",ROUND(N($E24)*K24*(1-N($G24)),2))</f>
        <v>7222.6</v>
      </c>
      <c r="M24" s="62" t="n">
        <f aca="false">IF($D24="","",IFERROR(INDEX(Items!$F$5:$F$504,U24),0))</f>
        <v>0.12</v>
      </c>
      <c r="N24" s="61" t="n">
        <f aca="false">IF($D24="","",IF(AND(V24&lt;&gt;"",INDEX(Parties!$E$5:$E$304,V24)&lt;&gt;"",INDEX(Parties!$E$5:$E$304,V24)&lt;&gt;HomeState),0,ROUND(L24*M24/2,2)))</f>
        <v>0</v>
      </c>
      <c r="O24" s="61" t="n">
        <f aca="false">IF($D24="","",N24)</f>
        <v>0</v>
      </c>
      <c r="P24" s="61" t="n">
        <f aca="false">IF($D24="","",IF(AND(V24&lt;&gt;"",INDEX(Parties!$E$5:$E$304,V24)&lt;&gt;"",INDEX(Parties!$E$5:$E$304,V24)&lt;&gt;HomeState),ROUND(L24*M24,2),0))</f>
        <v>866.71</v>
      </c>
      <c r="Q24" s="61" t="n">
        <f aca="false">IF($D24="","",L24+N24+O24+P24)</f>
        <v>8089.31</v>
      </c>
      <c r="R24" s="61" t="n">
        <f aca="false">IF($D24="","",ROUND(N($E24)*IFERROR(INDEX(Items!$P$5:$P$504,U24),0),2))</f>
        <v>5280</v>
      </c>
      <c r="S24" s="61" t="n">
        <f aca="false">IF($D24="","",L24-R24)</f>
        <v>1942.6</v>
      </c>
      <c r="T24" s="60" t="str">
        <f aca="false">IF($D24="","",IF(U24="","UNKNOWN ITEM",IF(INDEX(Items!$O$5:$O$504,U24)&lt;0,"NEG STOCK",IF(K24&lt;INDEX(Items!$P$5:$P$504,U24),"BELOW COST","OK"))))</f>
        <v>OK</v>
      </c>
      <c r="U24" s="60" t="n">
        <f aca="false">IF($D24="","",IFERROR(MATCH($D24,Items!$A$5:$A$504,0),""))</f>
        <v>11</v>
      </c>
      <c r="V24" s="60" t="n">
        <f aca="false">IF($C24="","",IFERROR(MATCH($C24,Parties!$A$5:$A$304,0),""))</f>
        <v>3</v>
      </c>
      <c r="W24" s="60" t="n">
        <f aca="false">IF($B24="","",IFERROR(VALUE(SUBSTITUTE($B24,InvPrefix,"")),0))</f>
        <v>16</v>
      </c>
      <c r="X24" s="61" t="n">
        <f aca="false">IF($D24="","",IF(OR($H24="",$H24="Credit"),0,Q24))</f>
        <v>8089.31</v>
      </c>
    </row>
    <row r="25" customFormat="false" ht="15" hidden="false" customHeight="false" outlineLevel="0" collapsed="false">
      <c r="A25" s="55" t="n">
        <v>46136</v>
      </c>
      <c r="B25" s="56" t="s">
        <v>106</v>
      </c>
      <c r="C25" s="56" t="s">
        <v>81</v>
      </c>
      <c r="D25" s="56" t="s">
        <v>85</v>
      </c>
      <c r="E25" s="57" t="n">
        <v>4</v>
      </c>
      <c r="F25" s="58"/>
      <c r="G25" s="59" t="n">
        <v>0.05</v>
      </c>
      <c r="H25" s="56" t="s">
        <v>74</v>
      </c>
      <c r="I25" s="56" t="s">
        <v>75</v>
      </c>
      <c r="J25" s="60" t="str">
        <f aca="false">IF($D25="","",IFERROR(INDEX(Items!$D$5:$D$504,U25),""))</f>
        <v>Pcs</v>
      </c>
      <c r="K25" s="61" t="n">
        <f aca="false">IF($D25="","",IF($F25="",IFERROR(INDEX(Items!$H$5:$H$504,U25),0),$F25))</f>
        <v>2322</v>
      </c>
      <c r="L25" s="61" t="n">
        <f aca="false">IF($D25="","",ROUND(N($E25)*K25*(1-N($G25)),2))</f>
        <v>8823.6</v>
      </c>
      <c r="M25" s="62" t="n">
        <f aca="false">IF($D25="","",IFERROR(INDEX(Items!$F$5:$F$504,U25),0))</f>
        <v>0.18</v>
      </c>
      <c r="N25" s="61" t="n">
        <f aca="false">IF($D25="","",IF(AND(V25&lt;&gt;"",INDEX(Parties!$E$5:$E$304,V25)&lt;&gt;"",INDEX(Parties!$E$5:$E$304,V25)&lt;&gt;HomeState),0,ROUND(L25*M25/2,2)))</f>
        <v>0</v>
      </c>
      <c r="O25" s="61" t="n">
        <f aca="false">IF($D25="","",N25)</f>
        <v>0</v>
      </c>
      <c r="P25" s="61" t="n">
        <f aca="false">IF($D25="","",IF(AND(V25&lt;&gt;"",INDEX(Parties!$E$5:$E$304,V25)&lt;&gt;"",INDEX(Parties!$E$5:$E$304,V25)&lt;&gt;HomeState),ROUND(L25*M25,2),0))</f>
        <v>1588.25</v>
      </c>
      <c r="Q25" s="61" t="n">
        <f aca="false">IF($D25="","",L25+N25+O25+P25)</f>
        <v>10411.85</v>
      </c>
      <c r="R25" s="61" t="n">
        <f aca="false">IF($D25="","",ROUND(N($E25)*IFERROR(INDEX(Items!$P$5:$P$504,U25),0),2))</f>
        <v>6575.2</v>
      </c>
      <c r="S25" s="61" t="n">
        <f aca="false">IF($D25="","",L25-R25)</f>
        <v>2248.4</v>
      </c>
      <c r="T25" s="60" t="str">
        <f aca="false">IF($D25="","",IF(U25="","UNKNOWN ITEM",IF(INDEX(Items!$O$5:$O$504,U25)&lt;0,"NEG STOCK",IF(K25&lt;INDEX(Items!$P$5:$P$504,U25),"BELOW COST","OK"))))</f>
        <v>OK</v>
      </c>
      <c r="U25" s="60" t="n">
        <f aca="false">IF($D25="","",IFERROR(MATCH($D25,Items!$A$5:$A$504,0),""))</f>
        <v>12</v>
      </c>
      <c r="V25" s="60" t="n">
        <f aca="false">IF($C25="","",IFERROR(MATCH($C25,Parties!$A$5:$A$304,0),""))</f>
        <v>3</v>
      </c>
      <c r="W25" s="60" t="n">
        <f aca="false">IF($B25="","",IFERROR(VALUE(SUBSTITUTE($B25,InvPrefix,"")),0))</f>
        <v>16</v>
      </c>
      <c r="X25" s="61" t="n">
        <f aca="false">IF($D25="","",IF(OR($H25="",$H25="Credit"),0,Q25))</f>
        <v>10411.85</v>
      </c>
    </row>
    <row r="26" customFormat="false" ht="15" hidden="false" customHeight="false" outlineLevel="0" collapsed="false">
      <c r="A26" s="55" t="n">
        <v>46137</v>
      </c>
      <c r="B26" s="56" t="s">
        <v>108</v>
      </c>
      <c r="C26" s="56" t="s">
        <v>102</v>
      </c>
      <c r="D26" s="56" t="s">
        <v>99</v>
      </c>
      <c r="E26" s="57" t="n">
        <v>40</v>
      </c>
      <c r="F26" s="58"/>
      <c r="G26" s="59" t="n">
        <v>0.02</v>
      </c>
      <c r="H26" s="56" t="s">
        <v>103</v>
      </c>
      <c r="I26" s="56" t="s">
        <v>75</v>
      </c>
      <c r="J26" s="60" t="str">
        <f aca="false">IF($D26="","",IFERROR(INDEX(Items!$D$5:$D$504,U26),""))</f>
        <v>Pcs</v>
      </c>
      <c r="K26" s="61" t="n">
        <f aca="false">IF($D26="","",IF($F26="",IFERROR(INDEX(Items!$H$5:$H$504,U26),0),$F26))</f>
        <v>107</v>
      </c>
      <c r="L26" s="61" t="n">
        <f aca="false">IF($D26="","",ROUND(N($E26)*K26*(1-N($G26)),2))</f>
        <v>4194.4</v>
      </c>
      <c r="M26" s="62" t="n">
        <f aca="false">IF($D26="","",IFERROR(INDEX(Items!$F$5:$F$504,U26),0))</f>
        <v>0.18</v>
      </c>
      <c r="N26" s="61" t="n">
        <f aca="false">IF($D26="","",IF(AND(V26&lt;&gt;"",INDEX(Parties!$E$5:$E$304,V26)&lt;&gt;"",INDEX(Parties!$E$5:$E$304,V26)&lt;&gt;HomeState),0,ROUND(L26*M26/2,2)))</f>
        <v>377.5</v>
      </c>
      <c r="O26" s="61" t="n">
        <f aca="false">IF($D26="","",N26)</f>
        <v>377.5</v>
      </c>
      <c r="P26" s="61" t="n">
        <f aca="false">IF($D26="","",IF(AND(V26&lt;&gt;"",INDEX(Parties!$E$5:$E$304,V26)&lt;&gt;"",INDEX(Parties!$E$5:$E$304,V26)&lt;&gt;HomeState),ROUND(L26*M26,2),0))</f>
        <v>0</v>
      </c>
      <c r="Q26" s="61" t="n">
        <f aca="false">IF($D26="","",L26+N26+O26+P26)</f>
        <v>4949.4</v>
      </c>
      <c r="R26" s="61" t="n">
        <f aca="false">IF($D26="","",ROUND(N($E26)*IFERROR(INDEX(Items!$P$5:$P$504,U26),0),2))</f>
        <v>2456.68</v>
      </c>
      <c r="S26" s="61" t="n">
        <f aca="false">IF($D26="","",L26-R26)</f>
        <v>1737.72</v>
      </c>
      <c r="T26" s="60" t="str">
        <f aca="false">IF($D26="","",IF(U26="","UNKNOWN ITEM",IF(INDEX(Items!$O$5:$O$504,U26)&lt;0,"NEG STOCK",IF(K26&lt;INDEX(Items!$P$5:$P$504,U26),"BELOW COST","OK"))))</f>
        <v>OK</v>
      </c>
      <c r="U26" s="60" t="n">
        <f aca="false">IF($D26="","",IFERROR(MATCH($D26,Items!$A$5:$A$504,0),""))</f>
        <v>7</v>
      </c>
      <c r="V26" s="60" t="n">
        <f aca="false">IF($C26="","",IFERROR(MATCH($C26,Parties!$A$5:$A$304,0),""))</f>
        <v>4</v>
      </c>
      <c r="W26" s="60" t="n">
        <f aca="false">IF($B26="","",IFERROR(VALUE(SUBSTITUTE($B26,InvPrefix,"")),0))</f>
        <v>17</v>
      </c>
      <c r="X26" s="61" t="n">
        <f aca="false">IF($D26="","",IF(OR($H26="",$H26="Credit"),0,Q26))</f>
        <v>4949.4</v>
      </c>
    </row>
    <row r="27" customFormat="false" ht="15" hidden="false" customHeight="false" outlineLevel="0" collapsed="false">
      <c r="A27" s="55" t="n">
        <v>46140</v>
      </c>
      <c r="B27" s="56" t="s">
        <v>109</v>
      </c>
      <c r="C27" s="56" t="s">
        <v>77</v>
      </c>
      <c r="D27" s="56" t="s">
        <v>96</v>
      </c>
      <c r="E27" s="57" t="n">
        <v>4</v>
      </c>
      <c r="F27" s="58"/>
      <c r="G27" s="59" t="n">
        <v>0.05</v>
      </c>
      <c r="H27" s="56"/>
      <c r="I27" s="56" t="s">
        <v>75</v>
      </c>
      <c r="J27" s="60" t="str">
        <f aca="false">IF($D27="","",IFERROR(INDEX(Items!$D$5:$D$504,U27),""))</f>
        <v>Box</v>
      </c>
      <c r="K27" s="61" t="n">
        <f aca="false">IF($D27="","",IF($F27="",IFERROR(INDEX(Items!$H$5:$H$504,U27),0),$F27))</f>
        <v>2290</v>
      </c>
      <c r="L27" s="61" t="n">
        <f aca="false">IF($D27="","",ROUND(N($E27)*K27*(1-N($G27)),2))</f>
        <v>8702</v>
      </c>
      <c r="M27" s="62" t="n">
        <f aca="false">IF($D27="","",IFERROR(INDEX(Items!$F$5:$F$504,U27),0))</f>
        <v>0.05</v>
      </c>
      <c r="N27" s="61" t="n">
        <f aca="false">IF($D27="","",IF(AND(V27&lt;&gt;"",INDEX(Parties!$E$5:$E$304,V27)&lt;&gt;"",INDEX(Parties!$E$5:$E$304,V27)&lt;&gt;HomeState),0,ROUND(L27*M27/2,2)))</f>
        <v>217.55</v>
      </c>
      <c r="O27" s="61" t="n">
        <f aca="false">IF($D27="","",N27)</f>
        <v>217.55</v>
      </c>
      <c r="P27" s="61" t="n">
        <f aca="false">IF($D27="","",IF(AND(V27&lt;&gt;"",INDEX(Parties!$E$5:$E$304,V27)&lt;&gt;"",INDEX(Parties!$E$5:$E$304,V27)&lt;&gt;HomeState),ROUND(L27*M27,2),0))</f>
        <v>0</v>
      </c>
      <c r="Q27" s="61" t="n">
        <f aca="false">IF($D27="","",L27+N27+O27+P27)</f>
        <v>9137.1</v>
      </c>
      <c r="R27" s="61" t="n">
        <f aca="false">IF($D27="","",ROUND(N($E27)*IFERROR(INDEX(Items!$P$5:$P$504,U27),0),2))</f>
        <v>7617.45</v>
      </c>
      <c r="S27" s="61" t="n">
        <f aca="false">IF($D27="","",L27-R27)</f>
        <v>1084.55</v>
      </c>
      <c r="T27" s="60" t="str">
        <f aca="false">IF($D27="","",IF(U27="","UNKNOWN ITEM",IF(INDEX(Items!$O$5:$O$504,U27)&lt;0,"NEG STOCK",IF(K27&lt;INDEX(Items!$P$5:$P$504,U27),"BELOW COST","OK"))))</f>
        <v>OK</v>
      </c>
      <c r="U27" s="60" t="n">
        <f aca="false">IF($D27="","",IFERROR(MATCH($D27,Items!$A$5:$A$504,0),""))</f>
        <v>3</v>
      </c>
      <c r="V27" s="60" t="n">
        <f aca="false">IF($C27="","",IFERROR(MATCH($C27,Parties!$A$5:$A$304,0),""))</f>
        <v>2</v>
      </c>
      <c r="W27" s="60" t="n">
        <f aca="false">IF($B27="","",IFERROR(VALUE(SUBSTITUTE($B27,InvPrefix,"")),0))</f>
        <v>18</v>
      </c>
      <c r="X27" s="61" t="n">
        <f aca="false">IF($D27="","",IF(OR($H27="",$H27="Credit"),0,Q27))</f>
        <v>0</v>
      </c>
    </row>
    <row r="28" customFormat="false" ht="15" hidden="false" customHeight="false" outlineLevel="0" collapsed="false">
      <c r="A28" s="55" t="n">
        <v>46143</v>
      </c>
      <c r="B28" s="56" t="s">
        <v>110</v>
      </c>
      <c r="C28" s="56" t="s">
        <v>77</v>
      </c>
      <c r="D28" s="56" t="s">
        <v>92</v>
      </c>
      <c r="E28" s="57" t="n">
        <v>3</v>
      </c>
      <c r="F28" s="58"/>
      <c r="G28" s="59"/>
      <c r="H28" s="56"/>
      <c r="I28" s="56" t="s">
        <v>75</v>
      </c>
      <c r="J28" s="60" t="str">
        <f aca="false">IF($D28="","",IFERROR(INDEX(Items!$D$5:$D$504,U28),""))</f>
        <v>Pcs</v>
      </c>
      <c r="K28" s="61" t="n">
        <f aca="false">IF($D28="","",IF($F28="",IFERROR(INDEX(Items!$H$5:$H$504,U28),0),$F28))</f>
        <v>3132</v>
      </c>
      <c r="L28" s="61" t="n">
        <f aca="false">IF($D28="","",ROUND(N($E28)*K28*(1-N($G28)),2))</f>
        <v>9396</v>
      </c>
      <c r="M28" s="62" t="n">
        <f aca="false">IF($D28="","",IFERROR(INDEX(Items!$F$5:$F$504,U28),0))</f>
        <v>0.18</v>
      </c>
      <c r="N28" s="61" t="n">
        <f aca="false">IF($D28="","",IF(AND(V28&lt;&gt;"",INDEX(Parties!$E$5:$E$304,V28)&lt;&gt;"",INDEX(Parties!$E$5:$E$304,V28)&lt;&gt;HomeState),0,ROUND(L28*M28/2,2)))</f>
        <v>845.64</v>
      </c>
      <c r="O28" s="61" t="n">
        <f aca="false">IF($D28="","",N28)</f>
        <v>845.64</v>
      </c>
      <c r="P28" s="61" t="n">
        <f aca="false">IF($D28="","",IF(AND(V28&lt;&gt;"",INDEX(Parties!$E$5:$E$304,V28)&lt;&gt;"",INDEX(Parties!$E$5:$E$304,V28)&lt;&gt;HomeState),ROUND(L28*M28,2),0))</f>
        <v>0</v>
      </c>
      <c r="Q28" s="61" t="n">
        <f aca="false">IF($D28="","",L28+N28+O28+P28)</f>
        <v>11087.28</v>
      </c>
      <c r="R28" s="61" t="n">
        <f aca="false">IF($D28="","",ROUND(N($E28)*IFERROR(INDEX(Items!$P$5:$P$504,U28),0),2))</f>
        <v>7354.45</v>
      </c>
      <c r="S28" s="61" t="n">
        <f aca="false">IF($D28="","",L28-R28)</f>
        <v>2041.55</v>
      </c>
      <c r="T28" s="60" t="str">
        <f aca="false">IF($D28="","",IF(U28="","UNKNOWN ITEM",IF(INDEX(Items!$O$5:$O$504,U28)&lt;0,"NEG STOCK",IF(K28&lt;INDEX(Items!$P$5:$P$504,U28),"BELOW COST","OK"))))</f>
        <v>OK</v>
      </c>
      <c r="U28" s="60" t="n">
        <f aca="false">IF($D28="","",IFERROR(MATCH($D28,Items!$A$5:$A$504,0),""))</f>
        <v>8</v>
      </c>
      <c r="V28" s="60" t="n">
        <f aca="false">IF($C28="","",IFERROR(MATCH($C28,Parties!$A$5:$A$304,0),""))</f>
        <v>2</v>
      </c>
      <c r="W28" s="60" t="n">
        <f aca="false">IF($B28="","",IFERROR(VALUE(SUBSTITUTE($B28,InvPrefix,"")),0))</f>
        <v>19</v>
      </c>
      <c r="X28" s="61" t="n">
        <f aca="false">IF($D28="","",IF(OR($H28="",$H28="Credit"),0,Q28))</f>
        <v>0</v>
      </c>
    </row>
    <row r="29" customFormat="false" ht="15" hidden="false" customHeight="false" outlineLevel="0" collapsed="false">
      <c r="A29" s="55" t="n">
        <v>46146</v>
      </c>
      <c r="B29" s="56" t="s">
        <v>111</v>
      </c>
      <c r="C29" s="56" t="s">
        <v>77</v>
      </c>
      <c r="D29" s="56" t="s">
        <v>94</v>
      </c>
      <c r="E29" s="57" t="n">
        <v>12</v>
      </c>
      <c r="F29" s="58"/>
      <c r="G29" s="59"/>
      <c r="H29" s="56"/>
      <c r="I29" s="56" t="s">
        <v>75</v>
      </c>
      <c r="J29" s="60" t="str">
        <f aca="false">IF($D29="","",IFERROR(INDEX(Items!$D$5:$D$504,U29),""))</f>
        <v>Pack</v>
      </c>
      <c r="K29" s="61" t="n">
        <f aca="false">IF($D29="","",IF($F29="",IFERROR(INDEX(Items!$H$5:$H$504,U29),0),$F29))</f>
        <v>691</v>
      </c>
      <c r="L29" s="61" t="n">
        <f aca="false">IF($D29="","",ROUND(N($E29)*K29*(1-N($G29)),2))</f>
        <v>8292</v>
      </c>
      <c r="M29" s="62" t="n">
        <f aca="false">IF($D29="","",IFERROR(INDEX(Items!$F$5:$F$504,U29),0))</f>
        <v>0.18</v>
      </c>
      <c r="N29" s="61" t="n">
        <f aca="false">IF($D29="","",IF(AND(V29&lt;&gt;"",INDEX(Parties!$E$5:$E$304,V29)&lt;&gt;"",INDEX(Parties!$E$5:$E$304,V29)&lt;&gt;HomeState),0,ROUND(L29*M29/2,2)))</f>
        <v>746.28</v>
      </c>
      <c r="O29" s="61" t="n">
        <f aca="false">IF($D29="","",N29)</f>
        <v>746.28</v>
      </c>
      <c r="P29" s="61" t="n">
        <f aca="false">IF($D29="","",IF(AND(V29&lt;&gt;"",INDEX(Parties!$E$5:$E$304,V29)&lt;&gt;"",INDEX(Parties!$E$5:$E$304,V29)&lt;&gt;HomeState),ROUND(L29*M29,2),0))</f>
        <v>0</v>
      </c>
      <c r="Q29" s="61" t="n">
        <f aca="false">IF($D29="","",L29+N29+O29+P29)</f>
        <v>9784.56</v>
      </c>
      <c r="R29" s="61" t="n">
        <f aca="false">IF($D29="","",ROUND(N($E29)*IFERROR(INDEX(Items!$P$5:$P$504,U29),0),2))</f>
        <v>6212.31</v>
      </c>
      <c r="S29" s="61" t="n">
        <f aca="false">IF($D29="","",L29-R29)</f>
        <v>2079.69</v>
      </c>
      <c r="T29" s="60" t="str">
        <f aca="false">IF($D29="","",IF(U29="","UNKNOWN ITEM",IF(INDEX(Items!$O$5:$O$504,U29)&lt;0,"NEG STOCK",IF(K29&lt;INDEX(Items!$P$5:$P$504,U29),"BELOW COST","OK"))))</f>
        <v>OK</v>
      </c>
      <c r="U29" s="60" t="n">
        <f aca="false">IF($D29="","",IFERROR(MATCH($D29,Items!$A$5:$A$504,0),""))</f>
        <v>5</v>
      </c>
      <c r="V29" s="60" t="n">
        <f aca="false">IF($C29="","",IFERROR(MATCH($C29,Parties!$A$5:$A$304,0),""))</f>
        <v>2</v>
      </c>
      <c r="W29" s="60" t="n">
        <f aca="false">IF($B29="","",IFERROR(VALUE(SUBSTITUTE($B29,InvPrefix,"")),0))</f>
        <v>20</v>
      </c>
      <c r="X29" s="61" t="n">
        <f aca="false">IF($D29="","",IF(OR($H29="",$H29="Credit"),0,Q29))</f>
        <v>0</v>
      </c>
    </row>
    <row r="30" customFormat="false" ht="15" hidden="false" customHeight="false" outlineLevel="0" collapsed="false">
      <c r="A30" s="55" t="n">
        <v>46146</v>
      </c>
      <c r="B30" s="56" t="s">
        <v>111</v>
      </c>
      <c r="C30" s="56" t="s">
        <v>77</v>
      </c>
      <c r="D30" s="56" t="s">
        <v>92</v>
      </c>
      <c r="E30" s="57" t="n">
        <v>3</v>
      </c>
      <c r="F30" s="58"/>
      <c r="G30" s="59"/>
      <c r="H30" s="56"/>
      <c r="I30" s="56" t="s">
        <v>75</v>
      </c>
      <c r="J30" s="60" t="str">
        <f aca="false">IF($D30="","",IFERROR(INDEX(Items!$D$5:$D$504,U30),""))</f>
        <v>Pcs</v>
      </c>
      <c r="K30" s="61" t="n">
        <f aca="false">IF($D30="","",IF($F30="",IFERROR(INDEX(Items!$H$5:$H$504,U30),0),$F30))</f>
        <v>3132</v>
      </c>
      <c r="L30" s="61" t="n">
        <f aca="false">IF($D30="","",ROUND(N($E30)*K30*(1-N($G30)),2))</f>
        <v>9396</v>
      </c>
      <c r="M30" s="62" t="n">
        <f aca="false">IF($D30="","",IFERROR(INDEX(Items!$F$5:$F$504,U30),0))</f>
        <v>0.18</v>
      </c>
      <c r="N30" s="61" t="n">
        <f aca="false">IF($D30="","",IF(AND(V30&lt;&gt;"",INDEX(Parties!$E$5:$E$304,V30)&lt;&gt;"",INDEX(Parties!$E$5:$E$304,V30)&lt;&gt;HomeState),0,ROUND(L30*M30/2,2)))</f>
        <v>845.64</v>
      </c>
      <c r="O30" s="61" t="n">
        <f aca="false">IF($D30="","",N30)</f>
        <v>845.64</v>
      </c>
      <c r="P30" s="61" t="n">
        <f aca="false">IF($D30="","",IF(AND(V30&lt;&gt;"",INDEX(Parties!$E$5:$E$304,V30)&lt;&gt;"",INDEX(Parties!$E$5:$E$304,V30)&lt;&gt;HomeState),ROUND(L30*M30,2),0))</f>
        <v>0</v>
      </c>
      <c r="Q30" s="61" t="n">
        <f aca="false">IF($D30="","",L30+N30+O30+P30)</f>
        <v>11087.28</v>
      </c>
      <c r="R30" s="61" t="n">
        <f aca="false">IF($D30="","",ROUND(N($E30)*IFERROR(INDEX(Items!$P$5:$P$504,U30),0),2))</f>
        <v>7354.45</v>
      </c>
      <c r="S30" s="61" t="n">
        <f aca="false">IF($D30="","",L30-R30)</f>
        <v>2041.55</v>
      </c>
      <c r="T30" s="60" t="str">
        <f aca="false">IF($D30="","",IF(U30="","UNKNOWN ITEM",IF(INDEX(Items!$O$5:$O$504,U30)&lt;0,"NEG STOCK",IF(K30&lt;INDEX(Items!$P$5:$P$504,U30),"BELOW COST","OK"))))</f>
        <v>OK</v>
      </c>
      <c r="U30" s="60" t="n">
        <f aca="false">IF($D30="","",IFERROR(MATCH($D30,Items!$A$5:$A$504,0),""))</f>
        <v>8</v>
      </c>
      <c r="V30" s="60" t="n">
        <f aca="false">IF($C30="","",IFERROR(MATCH($C30,Parties!$A$5:$A$304,0),""))</f>
        <v>2</v>
      </c>
      <c r="W30" s="60" t="n">
        <f aca="false">IF($B30="","",IFERROR(VALUE(SUBSTITUTE($B30,InvPrefix,"")),0))</f>
        <v>20</v>
      </c>
      <c r="X30" s="61" t="n">
        <f aca="false">IF($D30="","",IF(OR($H30="",$H30="Credit"),0,Q30))</f>
        <v>0</v>
      </c>
    </row>
    <row r="31" customFormat="false" ht="15" hidden="false" customHeight="false" outlineLevel="0" collapsed="false">
      <c r="A31" s="55" t="n">
        <v>46147</v>
      </c>
      <c r="B31" s="56" t="s">
        <v>112</v>
      </c>
      <c r="C31" s="56" t="s">
        <v>81</v>
      </c>
      <c r="D31" s="56" t="s">
        <v>79</v>
      </c>
      <c r="E31" s="57" t="n">
        <v>20</v>
      </c>
      <c r="F31" s="58"/>
      <c r="G31" s="59"/>
      <c r="H31" s="56" t="s">
        <v>74</v>
      </c>
      <c r="I31" s="56" t="s">
        <v>75</v>
      </c>
      <c r="J31" s="60" t="str">
        <f aca="false">IF($D31="","",IFERROR(INDEX(Items!$D$5:$D$504,U31),""))</f>
        <v>Pcs</v>
      </c>
      <c r="K31" s="61" t="n">
        <f aca="false">IF($D31="","",IF($F31="",IFERROR(INDEX(Items!$H$5:$H$504,U31),0),$F31))</f>
        <v>297</v>
      </c>
      <c r="L31" s="61" t="n">
        <f aca="false">IF($D31="","",ROUND(N($E31)*K31*(1-N($G31)),2))</f>
        <v>5940</v>
      </c>
      <c r="M31" s="62" t="n">
        <f aca="false">IF($D31="","",IFERROR(INDEX(Items!$F$5:$F$504,U31),0))</f>
        <v>0.18</v>
      </c>
      <c r="N31" s="61" t="n">
        <f aca="false">IF($D31="","",IF(AND(V31&lt;&gt;"",INDEX(Parties!$E$5:$E$304,V31)&lt;&gt;"",INDEX(Parties!$E$5:$E$304,V31)&lt;&gt;HomeState),0,ROUND(L31*M31/2,2)))</f>
        <v>0</v>
      </c>
      <c r="O31" s="61" t="n">
        <f aca="false">IF($D31="","",N31)</f>
        <v>0</v>
      </c>
      <c r="P31" s="61" t="n">
        <f aca="false">IF($D31="","",IF(AND(V31&lt;&gt;"",INDEX(Parties!$E$5:$E$304,V31)&lt;&gt;"",INDEX(Parties!$E$5:$E$304,V31)&lt;&gt;HomeState),ROUND(L31*M31,2),0))</f>
        <v>1069.2</v>
      </c>
      <c r="Q31" s="61" t="n">
        <f aca="false">IF($D31="","",L31+N31+O31+P31)</f>
        <v>7009.2</v>
      </c>
      <c r="R31" s="61" t="n">
        <f aca="false">IF($D31="","",ROUND(N($E31)*IFERROR(INDEX(Items!$P$5:$P$504,U31),0),2))</f>
        <v>4192.67</v>
      </c>
      <c r="S31" s="61" t="n">
        <f aca="false">IF($D31="","",L31-R31)</f>
        <v>1747.33</v>
      </c>
      <c r="T31" s="60" t="str">
        <f aca="false">IF($D31="","",IF(U31="","UNKNOWN ITEM",IF(INDEX(Items!$O$5:$O$504,U31)&lt;0,"NEG STOCK",IF(K31&lt;INDEX(Items!$P$5:$P$504,U31),"BELOW COST","OK"))))</f>
        <v>OK</v>
      </c>
      <c r="U31" s="60" t="n">
        <f aca="false">IF($D31="","",IFERROR(MATCH($D31,Items!$A$5:$A$504,0),""))</f>
        <v>9</v>
      </c>
      <c r="V31" s="60" t="n">
        <f aca="false">IF($C31="","",IFERROR(MATCH($C31,Parties!$A$5:$A$304,0),""))</f>
        <v>3</v>
      </c>
      <c r="W31" s="60" t="n">
        <f aca="false">IF($B31="","",IFERROR(VALUE(SUBSTITUTE($B31,InvPrefix,"")),0))</f>
        <v>21</v>
      </c>
      <c r="X31" s="61" t="n">
        <f aca="false">IF($D31="","",IF(OR($H31="",$H31="Credit"),0,Q31))</f>
        <v>7009.2</v>
      </c>
    </row>
    <row r="32" customFormat="false" ht="15" hidden="false" customHeight="false" outlineLevel="0" collapsed="false">
      <c r="A32" s="55" t="n">
        <v>46148</v>
      </c>
      <c r="B32" s="56" t="s">
        <v>113</v>
      </c>
      <c r="C32" s="56" t="s">
        <v>81</v>
      </c>
      <c r="D32" s="56" t="s">
        <v>79</v>
      </c>
      <c r="E32" s="57" t="n">
        <v>25</v>
      </c>
      <c r="F32" s="58"/>
      <c r="G32" s="59" t="n">
        <v>0.05</v>
      </c>
      <c r="H32" s="56"/>
      <c r="I32" s="56" t="s">
        <v>75</v>
      </c>
      <c r="J32" s="60" t="str">
        <f aca="false">IF($D32="","",IFERROR(INDEX(Items!$D$5:$D$504,U32),""))</f>
        <v>Pcs</v>
      </c>
      <c r="K32" s="61" t="n">
        <f aca="false">IF($D32="","",IF($F32="",IFERROR(INDEX(Items!$H$5:$H$504,U32),0),$F32))</f>
        <v>297</v>
      </c>
      <c r="L32" s="61" t="n">
        <f aca="false">IF($D32="","",ROUND(N($E32)*K32*(1-N($G32)),2))</f>
        <v>7053.75</v>
      </c>
      <c r="M32" s="62" t="n">
        <f aca="false">IF($D32="","",IFERROR(INDEX(Items!$F$5:$F$504,U32),0))</f>
        <v>0.18</v>
      </c>
      <c r="N32" s="61" t="n">
        <f aca="false">IF($D32="","",IF(AND(V32&lt;&gt;"",INDEX(Parties!$E$5:$E$304,V32)&lt;&gt;"",INDEX(Parties!$E$5:$E$304,V32)&lt;&gt;HomeState),0,ROUND(L32*M32/2,2)))</f>
        <v>0</v>
      </c>
      <c r="O32" s="61" t="n">
        <f aca="false">IF($D32="","",N32)</f>
        <v>0</v>
      </c>
      <c r="P32" s="61" t="n">
        <f aca="false">IF($D32="","",IF(AND(V32&lt;&gt;"",INDEX(Parties!$E$5:$E$304,V32)&lt;&gt;"",INDEX(Parties!$E$5:$E$304,V32)&lt;&gt;HomeState),ROUND(L32*M32,2),0))</f>
        <v>1269.68</v>
      </c>
      <c r="Q32" s="61" t="n">
        <f aca="false">IF($D32="","",L32+N32+O32+P32)</f>
        <v>8323.43</v>
      </c>
      <c r="R32" s="61" t="n">
        <f aca="false">IF($D32="","",ROUND(N($E32)*IFERROR(INDEX(Items!$P$5:$P$504,U32),0),2))</f>
        <v>5240.83</v>
      </c>
      <c r="S32" s="61" t="n">
        <f aca="false">IF($D32="","",L32-R32)</f>
        <v>1812.92</v>
      </c>
      <c r="T32" s="60" t="str">
        <f aca="false">IF($D32="","",IF(U32="","UNKNOWN ITEM",IF(INDEX(Items!$O$5:$O$504,U32)&lt;0,"NEG STOCK",IF(K32&lt;INDEX(Items!$P$5:$P$504,U32),"BELOW COST","OK"))))</f>
        <v>OK</v>
      </c>
      <c r="U32" s="60" t="n">
        <f aca="false">IF($D32="","",IFERROR(MATCH($D32,Items!$A$5:$A$504,0),""))</f>
        <v>9</v>
      </c>
      <c r="V32" s="60" t="n">
        <f aca="false">IF($C32="","",IFERROR(MATCH($C32,Parties!$A$5:$A$304,0),""))</f>
        <v>3</v>
      </c>
      <c r="W32" s="60" t="n">
        <f aca="false">IF($B32="","",IFERROR(VALUE(SUBSTITUTE($B32,InvPrefix,"")),0))</f>
        <v>22</v>
      </c>
      <c r="X32" s="61" t="n">
        <f aca="false">IF($D32="","",IF(OR($H32="",$H32="Credit"),0,Q32))</f>
        <v>0</v>
      </c>
    </row>
    <row r="33" customFormat="false" ht="15" hidden="false" customHeight="false" outlineLevel="0" collapsed="false">
      <c r="A33" s="55" t="n">
        <v>46149</v>
      </c>
      <c r="B33" s="56" t="s">
        <v>114</v>
      </c>
      <c r="C33" s="56" t="s">
        <v>102</v>
      </c>
      <c r="D33" s="56" t="s">
        <v>98</v>
      </c>
      <c r="E33" s="57" t="n">
        <v>16</v>
      </c>
      <c r="F33" s="58"/>
      <c r="G33" s="59"/>
      <c r="H33" s="56" t="s">
        <v>103</v>
      </c>
      <c r="I33" s="56" t="s">
        <v>75</v>
      </c>
      <c r="J33" s="60" t="str">
        <f aca="false">IF($D33="","",IFERROR(INDEX(Items!$D$5:$D$504,U33),""))</f>
        <v>Pack</v>
      </c>
      <c r="K33" s="61" t="n">
        <f aca="false">IF($D33="","",IF($F33="",IFERROR(INDEX(Items!$H$5:$H$504,U33),0),$F33))</f>
        <v>508</v>
      </c>
      <c r="L33" s="61" t="n">
        <f aca="false">IF($D33="","",ROUND(N($E33)*K33*(1-N($G33)),2))</f>
        <v>8128</v>
      </c>
      <c r="M33" s="62" t="n">
        <f aca="false">IF($D33="","",IFERROR(INDEX(Items!$F$5:$F$504,U33),0))</f>
        <v>0.05</v>
      </c>
      <c r="N33" s="61" t="n">
        <f aca="false">IF($D33="","",IF(AND(V33&lt;&gt;"",INDEX(Parties!$E$5:$E$304,V33)&lt;&gt;"",INDEX(Parties!$E$5:$E$304,V33)&lt;&gt;HomeState),0,ROUND(L33*M33/2,2)))</f>
        <v>203.2</v>
      </c>
      <c r="O33" s="61" t="n">
        <f aca="false">IF($D33="","",N33)</f>
        <v>203.2</v>
      </c>
      <c r="P33" s="61" t="n">
        <f aca="false">IF($D33="","",IF(AND(V33&lt;&gt;"",INDEX(Parties!$E$5:$E$304,V33)&lt;&gt;"",INDEX(Parties!$E$5:$E$304,V33)&lt;&gt;HomeState),ROUND(L33*M33,2),0))</f>
        <v>0</v>
      </c>
      <c r="Q33" s="61" t="n">
        <f aca="false">IF($D33="","",L33+N33+O33+P33)</f>
        <v>8534.4</v>
      </c>
      <c r="R33" s="61" t="n">
        <f aca="false">IF($D33="","",ROUND(N($E33)*IFERROR(INDEX(Items!$P$5:$P$504,U33),0),2))</f>
        <v>6033.27</v>
      </c>
      <c r="S33" s="61" t="n">
        <f aca="false">IF($D33="","",L33-R33)</f>
        <v>2094.73</v>
      </c>
      <c r="T33" s="60" t="str">
        <f aca="false">IF($D33="","",IF(U33="","UNKNOWN ITEM",IF(INDEX(Items!$O$5:$O$504,U33)&lt;0,"NEG STOCK",IF(K33&lt;INDEX(Items!$P$5:$P$504,U33),"BELOW COST","OK"))))</f>
        <v>OK</v>
      </c>
      <c r="U33" s="60" t="n">
        <f aca="false">IF($D33="","",IFERROR(MATCH($D33,Items!$A$5:$A$504,0),""))</f>
        <v>4</v>
      </c>
      <c r="V33" s="60" t="n">
        <f aca="false">IF($C33="","",IFERROR(MATCH($C33,Parties!$A$5:$A$304,0),""))</f>
        <v>4</v>
      </c>
      <c r="W33" s="60" t="n">
        <f aca="false">IF($B33="","",IFERROR(VALUE(SUBSTITUTE($B33,InvPrefix,"")),0))</f>
        <v>23</v>
      </c>
      <c r="X33" s="61" t="n">
        <f aca="false">IF($D33="","",IF(OR($H33="",$H33="Credit"),0,Q33))</f>
        <v>8534.4</v>
      </c>
    </row>
    <row r="34" customFormat="false" ht="15" hidden="false" customHeight="false" outlineLevel="0" collapsed="false">
      <c r="A34" s="55" t="n">
        <v>46149</v>
      </c>
      <c r="B34" s="56" t="s">
        <v>114</v>
      </c>
      <c r="C34" s="56" t="s">
        <v>102</v>
      </c>
      <c r="D34" s="56" t="s">
        <v>85</v>
      </c>
      <c r="E34" s="57" t="n">
        <v>2</v>
      </c>
      <c r="F34" s="58"/>
      <c r="G34" s="59" t="n">
        <v>0.02</v>
      </c>
      <c r="H34" s="56" t="s">
        <v>103</v>
      </c>
      <c r="I34" s="56" t="s">
        <v>75</v>
      </c>
      <c r="J34" s="60" t="str">
        <f aca="false">IF($D34="","",IFERROR(INDEX(Items!$D$5:$D$504,U34),""))</f>
        <v>Pcs</v>
      </c>
      <c r="K34" s="61" t="n">
        <f aca="false">IF($D34="","",IF($F34="",IFERROR(INDEX(Items!$H$5:$H$504,U34),0),$F34))</f>
        <v>2322</v>
      </c>
      <c r="L34" s="61" t="n">
        <f aca="false">IF($D34="","",ROUND(N($E34)*K34*(1-N($G34)),2))</f>
        <v>4551.12</v>
      </c>
      <c r="M34" s="62" t="n">
        <f aca="false">IF($D34="","",IFERROR(INDEX(Items!$F$5:$F$504,U34),0))</f>
        <v>0.18</v>
      </c>
      <c r="N34" s="61" t="n">
        <f aca="false">IF($D34="","",IF(AND(V34&lt;&gt;"",INDEX(Parties!$E$5:$E$304,V34)&lt;&gt;"",INDEX(Parties!$E$5:$E$304,V34)&lt;&gt;HomeState),0,ROUND(L34*M34/2,2)))</f>
        <v>409.6</v>
      </c>
      <c r="O34" s="61" t="n">
        <f aca="false">IF($D34="","",N34)</f>
        <v>409.6</v>
      </c>
      <c r="P34" s="61" t="n">
        <f aca="false">IF($D34="","",IF(AND(V34&lt;&gt;"",INDEX(Parties!$E$5:$E$304,V34)&lt;&gt;"",INDEX(Parties!$E$5:$E$304,V34)&lt;&gt;HomeState),ROUND(L34*M34,2),0))</f>
        <v>0</v>
      </c>
      <c r="Q34" s="61" t="n">
        <f aca="false">IF($D34="","",L34+N34+O34+P34)</f>
        <v>5370.32</v>
      </c>
      <c r="R34" s="61" t="n">
        <f aca="false">IF($D34="","",ROUND(N($E34)*IFERROR(INDEX(Items!$P$5:$P$504,U34),0),2))</f>
        <v>3287.6</v>
      </c>
      <c r="S34" s="61" t="n">
        <f aca="false">IF($D34="","",L34-R34)</f>
        <v>1263.52</v>
      </c>
      <c r="T34" s="60" t="str">
        <f aca="false">IF($D34="","",IF(U34="","UNKNOWN ITEM",IF(INDEX(Items!$O$5:$O$504,U34)&lt;0,"NEG STOCK",IF(K34&lt;INDEX(Items!$P$5:$P$504,U34),"BELOW COST","OK"))))</f>
        <v>OK</v>
      </c>
      <c r="U34" s="60" t="n">
        <f aca="false">IF($D34="","",IFERROR(MATCH($D34,Items!$A$5:$A$504,0),""))</f>
        <v>12</v>
      </c>
      <c r="V34" s="60" t="n">
        <f aca="false">IF($C34="","",IFERROR(MATCH($C34,Parties!$A$5:$A$304,0),""))</f>
        <v>4</v>
      </c>
      <c r="W34" s="60" t="n">
        <f aca="false">IF($B34="","",IFERROR(VALUE(SUBSTITUTE($B34,InvPrefix,"")),0))</f>
        <v>23</v>
      </c>
      <c r="X34" s="61" t="n">
        <f aca="false">IF($D34="","",IF(OR($H34="",$H34="Credit"),0,Q34))</f>
        <v>5370.32</v>
      </c>
    </row>
    <row r="35" customFormat="false" ht="15" hidden="false" customHeight="false" outlineLevel="0" collapsed="false">
      <c r="A35" s="55" t="n">
        <v>46150</v>
      </c>
      <c r="B35" s="56" t="s">
        <v>115</v>
      </c>
      <c r="C35" s="56" t="s">
        <v>72</v>
      </c>
      <c r="D35" s="56" t="s">
        <v>92</v>
      </c>
      <c r="E35" s="57" t="n">
        <v>2</v>
      </c>
      <c r="F35" s="58"/>
      <c r="G35" s="59" t="n">
        <v>0.05</v>
      </c>
      <c r="H35" s="56"/>
      <c r="I35" s="56" t="s">
        <v>75</v>
      </c>
      <c r="J35" s="60" t="str">
        <f aca="false">IF($D35="","",IFERROR(INDEX(Items!$D$5:$D$504,U35),""))</f>
        <v>Pcs</v>
      </c>
      <c r="K35" s="61" t="n">
        <f aca="false">IF($D35="","",IF($F35="",IFERROR(INDEX(Items!$H$5:$H$504,U35),0),$F35))</f>
        <v>3132</v>
      </c>
      <c r="L35" s="61" t="n">
        <f aca="false">IF($D35="","",ROUND(N($E35)*K35*(1-N($G35)),2))</f>
        <v>5950.8</v>
      </c>
      <c r="M35" s="62" t="n">
        <f aca="false">IF($D35="","",IFERROR(INDEX(Items!$F$5:$F$504,U35),0))</f>
        <v>0.18</v>
      </c>
      <c r="N35" s="61" t="n">
        <f aca="false">IF($D35="","",IF(AND(V35&lt;&gt;"",INDEX(Parties!$E$5:$E$304,V35)&lt;&gt;"",INDEX(Parties!$E$5:$E$304,V35)&lt;&gt;HomeState),0,ROUND(L35*M35/2,2)))</f>
        <v>535.57</v>
      </c>
      <c r="O35" s="61" t="n">
        <f aca="false">IF($D35="","",N35)</f>
        <v>535.57</v>
      </c>
      <c r="P35" s="61" t="n">
        <f aca="false">IF($D35="","",IF(AND(V35&lt;&gt;"",INDEX(Parties!$E$5:$E$304,V35)&lt;&gt;"",INDEX(Parties!$E$5:$E$304,V35)&lt;&gt;HomeState),ROUND(L35*M35,2),0))</f>
        <v>0</v>
      </c>
      <c r="Q35" s="61" t="n">
        <f aca="false">IF($D35="","",L35+N35+O35+P35)</f>
        <v>7021.94</v>
      </c>
      <c r="R35" s="61" t="n">
        <f aca="false">IF($D35="","",ROUND(N($E35)*IFERROR(INDEX(Items!$P$5:$P$504,U35),0),2))</f>
        <v>4902.96</v>
      </c>
      <c r="S35" s="61" t="n">
        <f aca="false">IF($D35="","",L35-R35)</f>
        <v>1047.84</v>
      </c>
      <c r="T35" s="60" t="str">
        <f aca="false">IF($D35="","",IF(U35="","UNKNOWN ITEM",IF(INDEX(Items!$O$5:$O$504,U35)&lt;0,"NEG STOCK",IF(K35&lt;INDEX(Items!$P$5:$P$504,U35),"BELOW COST","OK"))))</f>
        <v>OK</v>
      </c>
      <c r="U35" s="60" t="n">
        <f aca="false">IF($D35="","",IFERROR(MATCH($D35,Items!$A$5:$A$504,0),""))</f>
        <v>8</v>
      </c>
      <c r="V35" s="60" t="n">
        <f aca="false">IF($C35="","",IFERROR(MATCH($C35,Parties!$A$5:$A$304,0),""))</f>
        <v>1</v>
      </c>
      <c r="W35" s="60" t="n">
        <f aca="false">IF($B35="","",IFERROR(VALUE(SUBSTITUTE($B35,InvPrefix,"")),0))</f>
        <v>24</v>
      </c>
      <c r="X35" s="61" t="n">
        <f aca="false">IF($D35="","",IF(OR($H35="",$H35="Credit"),0,Q35))</f>
        <v>0</v>
      </c>
    </row>
    <row r="36" customFormat="false" ht="15" hidden="false" customHeight="false" outlineLevel="0" collapsed="false">
      <c r="A36" s="55" t="n">
        <v>46151</v>
      </c>
      <c r="B36" s="56" t="s">
        <v>116</v>
      </c>
      <c r="C36" s="56" t="s">
        <v>102</v>
      </c>
      <c r="D36" s="56" t="s">
        <v>117</v>
      </c>
      <c r="E36" s="57" t="n">
        <v>3</v>
      </c>
      <c r="F36" s="58"/>
      <c r="G36" s="59"/>
      <c r="H36" s="56" t="s">
        <v>103</v>
      </c>
      <c r="I36" s="56" t="s">
        <v>75</v>
      </c>
      <c r="J36" s="60" t="str">
        <f aca="false">IF($D36="","",IFERROR(INDEX(Items!$D$5:$D$504,U36),""))</f>
        <v>Box</v>
      </c>
      <c r="K36" s="61" t="n">
        <f aca="false">IF($D36="","",IF($F36="",IFERROR(INDEX(Items!$H$5:$H$504,U36),0),$F36))</f>
        <v>1166</v>
      </c>
      <c r="L36" s="61" t="n">
        <f aca="false">IF($D36="","",ROUND(N($E36)*K36*(1-N($G36)),2))</f>
        <v>3498</v>
      </c>
      <c r="M36" s="62" t="n">
        <f aca="false">IF($D36="","",IFERROR(INDEX(Items!$F$5:$F$504,U36),0))</f>
        <v>0.05</v>
      </c>
      <c r="N36" s="61" t="n">
        <f aca="false">IF($D36="","",IF(AND(V36&lt;&gt;"",INDEX(Parties!$E$5:$E$304,V36)&lt;&gt;"",INDEX(Parties!$E$5:$E$304,V36)&lt;&gt;HomeState),0,ROUND(L36*M36/2,2)))</f>
        <v>87.45</v>
      </c>
      <c r="O36" s="61" t="n">
        <f aca="false">IF($D36="","",N36)</f>
        <v>87.45</v>
      </c>
      <c r="P36" s="61" t="n">
        <f aca="false">IF($D36="","",IF(AND(V36&lt;&gt;"",INDEX(Parties!$E$5:$E$304,V36)&lt;&gt;"",INDEX(Parties!$E$5:$E$304,V36)&lt;&gt;HomeState),ROUND(L36*M36,2),0))</f>
        <v>0</v>
      </c>
      <c r="Q36" s="61" t="n">
        <f aca="false">IF($D36="","",L36+N36+O36+P36)</f>
        <v>3672.9</v>
      </c>
      <c r="R36" s="61" t="n">
        <f aca="false">IF($D36="","",ROUND(N($E36)*IFERROR(INDEX(Items!$P$5:$P$504,U36),0),2))</f>
        <v>2665.44</v>
      </c>
      <c r="S36" s="61" t="n">
        <f aca="false">IF($D36="","",L36-R36)</f>
        <v>832.56</v>
      </c>
      <c r="T36" s="60" t="str">
        <f aca="false">IF($D36="","",IF(U36="","UNKNOWN ITEM",IF(INDEX(Items!$O$5:$O$504,U36)&lt;0,"NEG STOCK",IF(K36&lt;INDEX(Items!$P$5:$P$504,U36),"BELOW COST","OK"))))</f>
        <v>OK</v>
      </c>
      <c r="U36" s="60" t="n">
        <f aca="false">IF($D36="","",IFERROR(MATCH($D36,Items!$A$5:$A$504,0),""))</f>
        <v>6</v>
      </c>
      <c r="V36" s="60" t="n">
        <f aca="false">IF($C36="","",IFERROR(MATCH($C36,Parties!$A$5:$A$304,0),""))</f>
        <v>4</v>
      </c>
      <c r="W36" s="60" t="n">
        <f aca="false">IF($B36="","",IFERROR(VALUE(SUBSTITUTE($B36,InvPrefix,"")),0))</f>
        <v>25</v>
      </c>
      <c r="X36" s="61" t="n">
        <f aca="false">IF($D36="","",IF(OR($H36="",$H36="Credit"),0,Q36))</f>
        <v>3672.9</v>
      </c>
    </row>
    <row r="37" customFormat="false" ht="15" hidden="false" customHeight="false" outlineLevel="0" collapsed="false">
      <c r="A37" s="55" t="n">
        <v>46151</v>
      </c>
      <c r="B37" s="56" t="s">
        <v>116</v>
      </c>
      <c r="C37" s="56" t="s">
        <v>102</v>
      </c>
      <c r="D37" s="56" t="s">
        <v>85</v>
      </c>
      <c r="E37" s="57" t="n">
        <v>2</v>
      </c>
      <c r="F37" s="58"/>
      <c r="G37" s="59"/>
      <c r="H37" s="56" t="s">
        <v>103</v>
      </c>
      <c r="I37" s="56" t="s">
        <v>75</v>
      </c>
      <c r="J37" s="60" t="str">
        <f aca="false">IF($D37="","",IFERROR(INDEX(Items!$D$5:$D$504,U37),""))</f>
        <v>Pcs</v>
      </c>
      <c r="K37" s="61" t="n">
        <f aca="false">IF($D37="","",IF($F37="",IFERROR(INDEX(Items!$H$5:$H$504,U37),0),$F37))</f>
        <v>2322</v>
      </c>
      <c r="L37" s="61" t="n">
        <f aca="false">IF($D37="","",ROUND(N($E37)*K37*(1-N($G37)),2))</f>
        <v>4644</v>
      </c>
      <c r="M37" s="62" t="n">
        <f aca="false">IF($D37="","",IFERROR(INDEX(Items!$F$5:$F$504,U37),0))</f>
        <v>0.18</v>
      </c>
      <c r="N37" s="61" t="n">
        <f aca="false">IF($D37="","",IF(AND(V37&lt;&gt;"",INDEX(Parties!$E$5:$E$304,V37)&lt;&gt;"",INDEX(Parties!$E$5:$E$304,V37)&lt;&gt;HomeState),0,ROUND(L37*M37/2,2)))</f>
        <v>417.96</v>
      </c>
      <c r="O37" s="61" t="n">
        <f aca="false">IF($D37="","",N37)</f>
        <v>417.96</v>
      </c>
      <c r="P37" s="61" t="n">
        <f aca="false">IF($D37="","",IF(AND(V37&lt;&gt;"",INDEX(Parties!$E$5:$E$304,V37)&lt;&gt;"",INDEX(Parties!$E$5:$E$304,V37)&lt;&gt;HomeState),ROUND(L37*M37,2),0))</f>
        <v>0</v>
      </c>
      <c r="Q37" s="61" t="n">
        <f aca="false">IF($D37="","",L37+N37+O37+P37)</f>
        <v>5479.92</v>
      </c>
      <c r="R37" s="61" t="n">
        <f aca="false">IF($D37="","",ROUND(N($E37)*IFERROR(INDEX(Items!$P$5:$P$504,U37),0),2))</f>
        <v>3287.6</v>
      </c>
      <c r="S37" s="61" t="n">
        <f aca="false">IF($D37="","",L37-R37)</f>
        <v>1356.4</v>
      </c>
      <c r="T37" s="60" t="str">
        <f aca="false">IF($D37="","",IF(U37="","UNKNOWN ITEM",IF(INDEX(Items!$O$5:$O$504,U37)&lt;0,"NEG STOCK",IF(K37&lt;INDEX(Items!$P$5:$P$504,U37),"BELOW COST","OK"))))</f>
        <v>OK</v>
      </c>
      <c r="U37" s="60" t="n">
        <f aca="false">IF($D37="","",IFERROR(MATCH($D37,Items!$A$5:$A$504,0),""))</f>
        <v>12</v>
      </c>
      <c r="V37" s="60" t="n">
        <f aca="false">IF($C37="","",IFERROR(MATCH($C37,Parties!$A$5:$A$304,0),""))</f>
        <v>4</v>
      </c>
      <c r="W37" s="60" t="n">
        <f aca="false">IF($B37="","",IFERROR(VALUE(SUBSTITUTE($B37,InvPrefix,"")),0))</f>
        <v>25</v>
      </c>
      <c r="X37" s="61" t="n">
        <f aca="false">IF($D37="","",IF(OR($H37="",$H37="Credit"),0,Q37))</f>
        <v>5479.92</v>
      </c>
    </row>
    <row r="38" customFormat="false" ht="15" hidden="false" customHeight="false" outlineLevel="0" collapsed="false">
      <c r="A38" s="55" t="n">
        <v>46153</v>
      </c>
      <c r="B38" s="56" t="s">
        <v>118</v>
      </c>
      <c r="C38" s="56" t="s">
        <v>77</v>
      </c>
      <c r="D38" s="56" t="s">
        <v>99</v>
      </c>
      <c r="E38" s="57" t="n">
        <v>75</v>
      </c>
      <c r="F38" s="58"/>
      <c r="G38" s="59"/>
      <c r="H38" s="56" t="s">
        <v>90</v>
      </c>
      <c r="I38" s="56" t="s">
        <v>75</v>
      </c>
      <c r="J38" s="60" t="str">
        <f aca="false">IF($D38="","",IFERROR(INDEX(Items!$D$5:$D$504,U38),""))</f>
        <v>Pcs</v>
      </c>
      <c r="K38" s="61" t="n">
        <f aca="false">IF($D38="","",IF($F38="",IFERROR(INDEX(Items!$H$5:$H$504,U38),0),$F38))</f>
        <v>107</v>
      </c>
      <c r="L38" s="61" t="n">
        <f aca="false">IF($D38="","",ROUND(N($E38)*K38*(1-N($G38)),2))</f>
        <v>8025</v>
      </c>
      <c r="M38" s="62" t="n">
        <f aca="false">IF($D38="","",IFERROR(INDEX(Items!$F$5:$F$504,U38),0))</f>
        <v>0.18</v>
      </c>
      <c r="N38" s="61" t="n">
        <f aca="false">IF($D38="","",IF(AND(V38&lt;&gt;"",INDEX(Parties!$E$5:$E$304,V38)&lt;&gt;"",INDEX(Parties!$E$5:$E$304,V38)&lt;&gt;HomeState),0,ROUND(L38*M38/2,2)))</f>
        <v>722.25</v>
      </c>
      <c r="O38" s="61" t="n">
        <f aca="false">IF($D38="","",N38)</f>
        <v>722.25</v>
      </c>
      <c r="P38" s="61" t="n">
        <f aca="false">IF($D38="","",IF(AND(V38&lt;&gt;"",INDEX(Parties!$E$5:$E$304,V38)&lt;&gt;"",INDEX(Parties!$E$5:$E$304,V38)&lt;&gt;HomeState),ROUND(L38*M38,2),0))</f>
        <v>0</v>
      </c>
      <c r="Q38" s="61" t="n">
        <f aca="false">IF($D38="","",L38+N38+O38+P38)</f>
        <v>9469.5</v>
      </c>
      <c r="R38" s="61" t="n">
        <f aca="false">IF($D38="","",ROUND(N($E38)*IFERROR(INDEX(Items!$P$5:$P$504,U38),0),2))</f>
        <v>4606.28</v>
      </c>
      <c r="S38" s="61" t="n">
        <f aca="false">IF($D38="","",L38-R38)</f>
        <v>3418.72</v>
      </c>
      <c r="T38" s="60" t="str">
        <f aca="false">IF($D38="","",IF(U38="","UNKNOWN ITEM",IF(INDEX(Items!$O$5:$O$504,U38)&lt;0,"NEG STOCK",IF(K38&lt;INDEX(Items!$P$5:$P$504,U38),"BELOW COST","OK"))))</f>
        <v>OK</v>
      </c>
      <c r="U38" s="60" t="n">
        <f aca="false">IF($D38="","",IFERROR(MATCH($D38,Items!$A$5:$A$504,0),""))</f>
        <v>7</v>
      </c>
      <c r="V38" s="60" t="n">
        <f aca="false">IF($C38="","",IFERROR(MATCH($C38,Parties!$A$5:$A$304,0),""))</f>
        <v>2</v>
      </c>
      <c r="W38" s="60" t="n">
        <f aca="false">IF($B38="","",IFERROR(VALUE(SUBSTITUTE($B38,InvPrefix,"")),0))</f>
        <v>26</v>
      </c>
      <c r="X38" s="61" t="n">
        <f aca="false">IF($D38="","",IF(OR($H38="",$H38="Credit"),0,Q38))</f>
        <v>9469.5</v>
      </c>
    </row>
    <row r="39" customFormat="false" ht="15" hidden="false" customHeight="false" outlineLevel="0" collapsed="false">
      <c r="A39" s="55" t="n">
        <v>46154</v>
      </c>
      <c r="B39" s="56" t="s">
        <v>119</v>
      </c>
      <c r="C39" s="56" t="s">
        <v>81</v>
      </c>
      <c r="D39" s="56" t="s">
        <v>96</v>
      </c>
      <c r="E39" s="57" t="n">
        <v>6</v>
      </c>
      <c r="F39" s="58"/>
      <c r="G39" s="59" t="n">
        <v>0.02</v>
      </c>
      <c r="H39" s="56"/>
      <c r="I39" s="56" t="s">
        <v>75</v>
      </c>
      <c r="J39" s="60" t="str">
        <f aca="false">IF($D39="","",IFERROR(INDEX(Items!$D$5:$D$504,U39),""))</f>
        <v>Box</v>
      </c>
      <c r="K39" s="61" t="n">
        <f aca="false">IF($D39="","",IF($F39="",IFERROR(INDEX(Items!$H$5:$H$504,U39),0),$F39))</f>
        <v>2290</v>
      </c>
      <c r="L39" s="61" t="n">
        <f aca="false">IF($D39="","",ROUND(N($E39)*K39*(1-N($G39)),2))</f>
        <v>13465.2</v>
      </c>
      <c r="M39" s="62" t="n">
        <f aca="false">IF($D39="","",IFERROR(INDEX(Items!$F$5:$F$504,U39),0))</f>
        <v>0.05</v>
      </c>
      <c r="N39" s="61" t="n">
        <f aca="false">IF($D39="","",IF(AND(V39&lt;&gt;"",INDEX(Parties!$E$5:$E$304,V39)&lt;&gt;"",INDEX(Parties!$E$5:$E$304,V39)&lt;&gt;HomeState),0,ROUND(L39*M39/2,2)))</f>
        <v>0</v>
      </c>
      <c r="O39" s="61" t="n">
        <f aca="false">IF($D39="","",N39)</f>
        <v>0</v>
      </c>
      <c r="P39" s="61" t="n">
        <f aca="false">IF($D39="","",IF(AND(V39&lt;&gt;"",INDEX(Parties!$E$5:$E$304,V39)&lt;&gt;"",INDEX(Parties!$E$5:$E$304,V39)&lt;&gt;HomeState),ROUND(L39*M39,2),0))</f>
        <v>673.26</v>
      </c>
      <c r="Q39" s="61" t="n">
        <f aca="false">IF($D39="","",L39+N39+O39+P39)</f>
        <v>14138.46</v>
      </c>
      <c r="R39" s="61" t="n">
        <f aca="false">IF($D39="","",ROUND(N($E39)*IFERROR(INDEX(Items!$P$5:$P$504,U39),0),2))</f>
        <v>11426.18</v>
      </c>
      <c r="S39" s="61" t="n">
        <f aca="false">IF($D39="","",L39-R39)</f>
        <v>2039.02</v>
      </c>
      <c r="T39" s="60" t="str">
        <f aca="false">IF($D39="","",IF(U39="","UNKNOWN ITEM",IF(INDEX(Items!$O$5:$O$504,U39)&lt;0,"NEG STOCK",IF(K39&lt;INDEX(Items!$P$5:$P$504,U39),"BELOW COST","OK"))))</f>
        <v>OK</v>
      </c>
      <c r="U39" s="60" t="n">
        <f aca="false">IF($D39="","",IFERROR(MATCH($D39,Items!$A$5:$A$504,0),""))</f>
        <v>3</v>
      </c>
      <c r="V39" s="60" t="n">
        <f aca="false">IF($C39="","",IFERROR(MATCH($C39,Parties!$A$5:$A$304,0),""))</f>
        <v>3</v>
      </c>
      <c r="W39" s="60" t="n">
        <f aca="false">IF($B39="","",IFERROR(VALUE(SUBSTITUTE($B39,InvPrefix,"")),0))</f>
        <v>27</v>
      </c>
      <c r="X39" s="61" t="n">
        <f aca="false">IF($D39="","",IF(OR($H39="",$H39="Credit"),0,Q39))</f>
        <v>0</v>
      </c>
    </row>
    <row r="40" customFormat="false" ht="15" hidden="false" customHeight="false" outlineLevel="0" collapsed="false">
      <c r="A40" s="55" t="n">
        <v>46155</v>
      </c>
      <c r="B40" s="56" t="s">
        <v>120</v>
      </c>
      <c r="C40" s="56" t="s">
        <v>102</v>
      </c>
      <c r="D40" s="56" t="s">
        <v>117</v>
      </c>
      <c r="E40" s="57" t="n">
        <v>6</v>
      </c>
      <c r="F40" s="58"/>
      <c r="G40" s="59"/>
      <c r="H40" s="56" t="s">
        <v>103</v>
      </c>
      <c r="I40" s="56" t="s">
        <v>75</v>
      </c>
      <c r="J40" s="60" t="str">
        <f aca="false">IF($D40="","",IFERROR(INDEX(Items!$D$5:$D$504,U40),""))</f>
        <v>Box</v>
      </c>
      <c r="K40" s="61" t="n">
        <f aca="false">IF($D40="","",IF($F40="",IFERROR(INDEX(Items!$H$5:$H$504,U40),0),$F40))</f>
        <v>1166</v>
      </c>
      <c r="L40" s="61" t="n">
        <f aca="false">IF($D40="","",ROUND(N($E40)*K40*(1-N($G40)),2))</f>
        <v>6996</v>
      </c>
      <c r="M40" s="62" t="n">
        <f aca="false">IF($D40="","",IFERROR(INDEX(Items!$F$5:$F$504,U40),0))</f>
        <v>0.05</v>
      </c>
      <c r="N40" s="61" t="n">
        <f aca="false">IF($D40="","",IF(AND(V40&lt;&gt;"",INDEX(Parties!$E$5:$E$304,V40)&lt;&gt;"",INDEX(Parties!$E$5:$E$304,V40)&lt;&gt;HomeState),0,ROUND(L40*M40/2,2)))</f>
        <v>174.9</v>
      </c>
      <c r="O40" s="61" t="n">
        <f aca="false">IF($D40="","",N40)</f>
        <v>174.9</v>
      </c>
      <c r="P40" s="61" t="n">
        <f aca="false">IF($D40="","",IF(AND(V40&lt;&gt;"",INDEX(Parties!$E$5:$E$304,V40)&lt;&gt;"",INDEX(Parties!$E$5:$E$304,V40)&lt;&gt;HomeState),ROUND(L40*M40,2),0))</f>
        <v>0</v>
      </c>
      <c r="Q40" s="61" t="n">
        <f aca="false">IF($D40="","",L40+N40+O40+P40)</f>
        <v>7345.8</v>
      </c>
      <c r="R40" s="61" t="n">
        <f aca="false">IF($D40="","",ROUND(N($E40)*IFERROR(INDEX(Items!$P$5:$P$504,U40),0),2))</f>
        <v>5330.88</v>
      </c>
      <c r="S40" s="61" t="n">
        <f aca="false">IF($D40="","",L40-R40)</f>
        <v>1665.12</v>
      </c>
      <c r="T40" s="60" t="str">
        <f aca="false">IF($D40="","",IF(U40="","UNKNOWN ITEM",IF(INDEX(Items!$O$5:$O$504,U40)&lt;0,"NEG STOCK",IF(K40&lt;INDEX(Items!$P$5:$P$504,U40),"BELOW COST","OK"))))</f>
        <v>OK</v>
      </c>
      <c r="U40" s="60" t="n">
        <f aca="false">IF($D40="","",IFERROR(MATCH($D40,Items!$A$5:$A$504,0),""))</f>
        <v>6</v>
      </c>
      <c r="V40" s="60" t="n">
        <f aca="false">IF($C40="","",IFERROR(MATCH($C40,Parties!$A$5:$A$304,0),""))</f>
        <v>4</v>
      </c>
      <c r="W40" s="60" t="n">
        <f aca="false">IF($B40="","",IFERROR(VALUE(SUBSTITUTE($B40,InvPrefix,"")),0))</f>
        <v>28</v>
      </c>
      <c r="X40" s="61" t="n">
        <f aca="false">IF($D40="","",IF(OR($H40="",$H40="Credit"),0,Q40))</f>
        <v>7345.8</v>
      </c>
    </row>
    <row r="41" customFormat="false" ht="15" hidden="false" customHeight="false" outlineLevel="0" collapsed="false">
      <c r="A41" s="55" t="n">
        <v>46155</v>
      </c>
      <c r="B41" s="56" t="s">
        <v>120</v>
      </c>
      <c r="C41" s="56" t="s">
        <v>102</v>
      </c>
      <c r="D41" s="56" t="s">
        <v>96</v>
      </c>
      <c r="E41" s="57" t="n">
        <v>3</v>
      </c>
      <c r="F41" s="58"/>
      <c r="G41" s="59"/>
      <c r="H41" s="56" t="s">
        <v>103</v>
      </c>
      <c r="I41" s="56" t="s">
        <v>75</v>
      </c>
      <c r="J41" s="60" t="str">
        <f aca="false">IF($D41="","",IFERROR(INDEX(Items!$D$5:$D$504,U41),""))</f>
        <v>Box</v>
      </c>
      <c r="K41" s="61" t="n">
        <f aca="false">IF($D41="","",IF($F41="",IFERROR(INDEX(Items!$H$5:$H$504,U41),0),$F41))</f>
        <v>2290</v>
      </c>
      <c r="L41" s="61" t="n">
        <f aca="false">IF($D41="","",ROUND(N($E41)*K41*(1-N($G41)),2))</f>
        <v>6870</v>
      </c>
      <c r="M41" s="62" t="n">
        <f aca="false">IF($D41="","",IFERROR(INDEX(Items!$F$5:$F$504,U41),0))</f>
        <v>0.05</v>
      </c>
      <c r="N41" s="61" t="n">
        <f aca="false">IF($D41="","",IF(AND(V41&lt;&gt;"",INDEX(Parties!$E$5:$E$304,V41)&lt;&gt;"",INDEX(Parties!$E$5:$E$304,V41)&lt;&gt;HomeState),0,ROUND(L41*M41/2,2)))</f>
        <v>171.75</v>
      </c>
      <c r="O41" s="61" t="n">
        <f aca="false">IF($D41="","",N41)</f>
        <v>171.75</v>
      </c>
      <c r="P41" s="61" t="n">
        <f aca="false">IF($D41="","",IF(AND(V41&lt;&gt;"",INDEX(Parties!$E$5:$E$304,V41)&lt;&gt;"",INDEX(Parties!$E$5:$E$304,V41)&lt;&gt;HomeState),ROUND(L41*M41,2),0))</f>
        <v>0</v>
      </c>
      <c r="Q41" s="61" t="n">
        <f aca="false">IF($D41="","",L41+N41+O41+P41)</f>
        <v>7213.5</v>
      </c>
      <c r="R41" s="61" t="n">
        <f aca="false">IF($D41="","",ROUND(N($E41)*IFERROR(INDEX(Items!$P$5:$P$504,U41),0),2))</f>
        <v>5713.09</v>
      </c>
      <c r="S41" s="61" t="n">
        <f aca="false">IF($D41="","",L41-R41)</f>
        <v>1156.91</v>
      </c>
      <c r="T41" s="60" t="str">
        <f aca="false">IF($D41="","",IF(U41="","UNKNOWN ITEM",IF(INDEX(Items!$O$5:$O$504,U41)&lt;0,"NEG STOCK",IF(K41&lt;INDEX(Items!$P$5:$P$504,U41),"BELOW COST","OK"))))</f>
        <v>OK</v>
      </c>
      <c r="U41" s="60" t="n">
        <f aca="false">IF($D41="","",IFERROR(MATCH($D41,Items!$A$5:$A$504,0),""))</f>
        <v>3</v>
      </c>
      <c r="V41" s="60" t="n">
        <f aca="false">IF($C41="","",IFERROR(MATCH($C41,Parties!$A$5:$A$304,0),""))</f>
        <v>4</v>
      </c>
      <c r="W41" s="60" t="n">
        <f aca="false">IF($B41="","",IFERROR(VALUE(SUBSTITUTE($B41,InvPrefix,"")),0))</f>
        <v>28</v>
      </c>
      <c r="X41" s="61" t="n">
        <f aca="false">IF($D41="","",IF(OR($H41="",$H41="Credit"),0,Q41))</f>
        <v>7213.5</v>
      </c>
    </row>
    <row r="42" customFormat="false" ht="15" hidden="false" customHeight="false" outlineLevel="0" collapsed="false">
      <c r="A42" s="55" t="n">
        <v>46156</v>
      </c>
      <c r="B42" s="56" t="s">
        <v>121</v>
      </c>
      <c r="C42" s="56" t="s">
        <v>102</v>
      </c>
      <c r="D42" s="56" t="s">
        <v>98</v>
      </c>
      <c r="E42" s="57" t="n">
        <v>7</v>
      </c>
      <c r="F42" s="58"/>
      <c r="G42" s="59"/>
      <c r="H42" s="56" t="s">
        <v>103</v>
      </c>
      <c r="I42" s="56" t="s">
        <v>75</v>
      </c>
      <c r="J42" s="60" t="str">
        <f aca="false">IF($D42="","",IFERROR(INDEX(Items!$D$5:$D$504,U42),""))</f>
        <v>Pack</v>
      </c>
      <c r="K42" s="61" t="n">
        <f aca="false">IF($D42="","",IF($F42="",IFERROR(INDEX(Items!$H$5:$H$504,U42),0),$F42))</f>
        <v>508</v>
      </c>
      <c r="L42" s="61" t="n">
        <f aca="false">IF($D42="","",ROUND(N($E42)*K42*(1-N($G42)),2))</f>
        <v>3556</v>
      </c>
      <c r="M42" s="62" t="n">
        <f aca="false">IF($D42="","",IFERROR(INDEX(Items!$F$5:$F$504,U42),0))</f>
        <v>0.05</v>
      </c>
      <c r="N42" s="61" t="n">
        <f aca="false">IF($D42="","",IF(AND(V42&lt;&gt;"",INDEX(Parties!$E$5:$E$304,V42)&lt;&gt;"",INDEX(Parties!$E$5:$E$304,V42)&lt;&gt;HomeState),0,ROUND(L42*M42/2,2)))</f>
        <v>88.9</v>
      </c>
      <c r="O42" s="61" t="n">
        <f aca="false">IF($D42="","",N42)</f>
        <v>88.9</v>
      </c>
      <c r="P42" s="61" t="n">
        <f aca="false">IF($D42="","",IF(AND(V42&lt;&gt;"",INDEX(Parties!$E$5:$E$304,V42)&lt;&gt;"",INDEX(Parties!$E$5:$E$304,V42)&lt;&gt;HomeState),ROUND(L42*M42,2),0))</f>
        <v>0</v>
      </c>
      <c r="Q42" s="61" t="n">
        <f aca="false">IF($D42="","",L42+N42+O42+P42)</f>
        <v>3733.8</v>
      </c>
      <c r="R42" s="61" t="n">
        <f aca="false">IF($D42="","",ROUND(N($E42)*IFERROR(INDEX(Items!$P$5:$P$504,U42),0),2))</f>
        <v>2639.55</v>
      </c>
      <c r="S42" s="61" t="n">
        <f aca="false">IF($D42="","",L42-R42)</f>
        <v>916.45</v>
      </c>
      <c r="T42" s="60" t="str">
        <f aca="false">IF($D42="","",IF(U42="","UNKNOWN ITEM",IF(INDEX(Items!$O$5:$O$504,U42)&lt;0,"NEG STOCK",IF(K42&lt;INDEX(Items!$P$5:$P$504,U42),"BELOW COST","OK"))))</f>
        <v>OK</v>
      </c>
      <c r="U42" s="60" t="n">
        <f aca="false">IF($D42="","",IFERROR(MATCH($D42,Items!$A$5:$A$504,0),""))</f>
        <v>4</v>
      </c>
      <c r="V42" s="60" t="n">
        <f aca="false">IF($C42="","",IFERROR(MATCH($C42,Parties!$A$5:$A$304,0),""))</f>
        <v>4</v>
      </c>
      <c r="W42" s="60" t="n">
        <f aca="false">IF($B42="","",IFERROR(VALUE(SUBSTITUTE($B42,InvPrefix,"")),0))</f>
        <v>29</v>
      </c>
      <c r="X42" s="61" t="n">
        <f aca="false">IF($D42="","",IF(OR($H42="",$H42="Credit"),0,Q42))</f>
        <v>3733.8</v>
      </c>
    </row>
    <row r="43" customFormat="false" ht="15" hidden="false" customHeight="false" outlineLevel="0" collapsed="false">
      <c r="A43" s="55" t="n">
        <v>46157</v>
      </c>
      <c r="B43" s="56" t="s">
        <v>122</v>
      </c>
      <c r="C43" s="56" t="s">
        <v>102</v>
      </c>
      <c r="D43" s="56" t="s">
        <v>117</v>
      </c>
      <c r="E43" s="57" t="n">
        <v>6</v>
      </c>
      <c r="F43" s="58"/>
      <c r="G43" s="59"/>
      <c r="H43" s="56" t="s">
        <v>103</v>
      </c>
      <c r="I43" s="56" t="s">
        <v>75</v>
      </c>
      <c r="J43" s="60" t="str">
        <f aca="false">IF($D43="","",IFERROR(INDEX(Items!$D$5:$D$504,U43),""))</f>
        <v>Box</v>
      </c>
      <c r="K43" s="61" t="n">
        <f aca="false">IF($D43="","",IF($F43="",IFERROR(INDEX(Items!$H$5:$H$504,U43),0),$F43))</f>
        <v>1166</v>
      </c>
      <c r="L43" s="61" t="n">
        <f aca="false">IF($D43="","",ROUND(N($E43)*K43*(1-N($G43)),2))</f>
        <v>6996</v>
      </c>
      <c r="M43" s="62" t="n">
        <f aca="false">IF($D43="","",IFERROR(INDEX(Items!$F$5:$F$504,U43),0))</f>
        <v>0.05</v>
      </c>
      <c r="N43" s="61" t="n">
        <f aca="false">IF($D43="","",IF(AND(V43&lt;&gt;"",INDEX(Parties!$E$5:$E$304,V43)&lt;&gt;"",INDEX(Parties!$E$5:$E$304,V43)&lt;&gt;HomeState),0,ROUND(L43*M43/2,2)))</f>
        <v>174.9</v>
      </c>
      <c r="O43" s="61" t="n">
        <f aca="false">IF($D43="","",N43)</f>
        <v>174.9</v>
      </c>
      <c r="P43" s="61" t="n">
        <f aca="false">IF($D43="","",IF(AND(V43&lt;&gt;"",INDEX(Parties!$E$5:$E$304,V43)&lt;&gt;"",INDEX(Parties!$E$5:$E$304,V43)&lt;&gt;HomeState),ROUND(L43*M43,2),0))</f>
        <v>0</v>
      </c>
      <c r="Q43" s="61" t="n">
        <f aca="false">IF($D43="","",L43+N43+O43+P43)</f>
        <v>7345.8</v>
      </c>
      <c r="R43" s="61" t="n">
        <f aca="false">IF($D43="","",ROUND(N($E43)*IFERROR(INDEX(Items!$P$5:$P$504,U43),0),2))</f>
        <v>5330.88</v>
      </c>
      <c r="S43" s="61" t="n">
        <f aca="false">IF($D43="","",L43-R43)</f>
        <v>1665.12</v>
      </c>
      <c r="T43" s="60" t="str">
        <f aca="false">IF($D43="","",IF(U43="","UNKNOWN ITEM",IF(INDEX(Items!$O$5:$O$504,U43)&lt;0,"NEG STOCK",IF(K43&lt;INDEX(Items!$P$5:$P$504,U43),"BELOW COST","OK"))))</f>
        <v>OK</v>
      </c>
      <c r="U43" s="60" t="n">
        <f aca="false">IF($D43="","",IFERROR(MATCH($D43,Items!$A$5:$A$504,0),""))</f>
        <v>6</v>
      </c>
      <c r="V43" s="60" t="n">
        <f aca="false">IF($C43="","",IFERROR(MATCH($C43,Parties!$A$5:$A$304,0),""))</f>
        <v>4</v>
      </c>
      <c r="W43" s="60" t="n">
        <f aca="false">IF($B43="","",IFERROR(VALUE(SUBSTITUTE($B43,InvPrefix,"")),0))</f>
        <v>30</v>
      </c>
      <c r="X43" s="61" t="n">
        <f aca="false">IF($D43="","",IF(OR($H43="",$H43="Credit"),0,Q43))</f>
        <v>7345.8</v>
      </c>
    </row>
    <row r="44" customFormat="false" ht="15" hidden="false" customHeight="false" outlineLevel="0" collapsed="false">
      <c r="A44" s="55" t="n">
        <v>46157</v>
      </c>
      <c r="B44" s="56" t="s">
        <v>122</v>
      </c>
      <c r="C44" s="56" t="s">
        <v>102</v>
      </c>
      <c r="D44" s="56" t="s">
        <v>94</v>
      </c>
      <c r="E44" s="57" t="n">
        <v>5</v>
      </c>
      <c r="F44" s="58"/>
      <c r="G44" s="59"/>
      <c r="H44" s="56" t="s">
        <v>103</v>
      </c>
      <c r="I44" s="56" t="s">
        <v>75</v>
      </c>
      <c r="J44" s="60" t="str">
        <f aca="false">IF($D44="","",IFERROR(INDEX(Items!$D$5:$D$504,U44),""))</f>
        <v>Pack</v>
      </c>
      <c r="K44" s="61" t="n">
        <f aca="false">IF($D44="","",IF($F44="",IFERROR(INDEX(Items!$H$5:$H$504,U44),0),$F44))</f>
        <v>691</v>
      </c>
      <c r="L44" s="61" t="n">
        <f aca="false">IF($D44="","",ROUND(N($E44)*K44*(1-N($G44)),2))</f>
        <v>3455</v>
      </c>
      <c r="M44" s="62" t="n">
        <f aca="false">IF($D44="","",IFERROR(INDEX(Items!$F$5:$F$504,U44),0))</f>
        <v>0.18</v>
      </c>
      <c r="N44" s="61" t="n">
        <f aca="false">IF($D44="","",IF(AND(V44&lt;&gt;"",INDEX(Parties!$E$5:$E$304,V44)&lt;&gt;"",INDEX(Parties!$E$5:$E$304,V44)&lt;&gt;HomeState),0,ROUND(L44*M44/2,2)))</f>
        <v>310.95</v>
      </c>
      <c r="O44" s="61" t="n">
        <f aca="false">IF($D44="","",N44)</f>
        <v>310.95</v>
      </c>
      <c r="P44" s="61" t="n">
        <f aca="false">IF($D44="","",IF(AND(V44&lt;&gt;"",INDEX(Parties!$E$5:$E$304,V44)&lt;&gt;"",INDEX(Parties!$E$5:$E$304,V44)&lt;&gt;HomeState),ROUND(L44*M44,2),0))</f>
        <v>0</v>
      </c>
      <c r="Q44" s="61" t="n">
        <f aca="false">IF($D44="","",L44+N44+O44+P44)</f>
        <v>4076.9</v>
      </c>
      <c r="R44" s="61" t="n">
        <f aca="false">IF($D44="","",ROUND(N($E44)*IFERROR(INDEX(Items!$P$5:$P$504,U44),0),2))</f>
        <v>2588.46</v>
      </c>
      <c r="S44" s="61" t="n">
        <f aca="false">IF($D44="","",L44-R44)</f>
        <v>866.54</v>
      </c>
      <c r="T44" s="60" t="str">
        <f aca="false">IF($D44="","",IF(U44="","UNKNOWN ITEM",IF(INDEX(Items!$O$5:$O$504,U44)&lt;0,"NEG STOCK",IF(K44&lt;INDEX(Items!$P$5:$P$504,U44),"BELOW COST","OK"))))</f>
        <v>OK</v>
      </c>
      <c r="U44" s="60" t="n">
        <f aca="false">IF($D44="","",IFERROR(MATCH($D44,Items!$A$5:$A$504,0),""))</f>
        <v>5</v>
      </c>
      <c r="V44" s="60" t="n">
        <f aca="false">IF($C44="","",IFERROR(MATCH($C44,Parties!$A$5:$A$304,0),""))</f>
        <v>4</v>
      </c>
      <c r="W44" s="60" t="n">
        <f aca="false">IF($B44="","",IFERROR(VALUE(SUBSTITUTE($B44,InvPrefix,"")),0))</f>
        <v>30</v>
      </c>
      <c r="X44" s="61" t="n">
        <f aca="false">IF($D44="","",IF(OR($H44="",$H44="Credit"),0,Q44))</f>
        <v>4076.9</v>
      </c>
    </row>
    <row r="45" customFormat="false" ht="15" hidden="false" customHeight="false" outlineLevel="0" collapsed="false">
      <c r="A45" s="55" t="n">
        <v>46158</v>
      </c>
      <c r="B45" s="56" t="s">
        <v>123</v>
      </c>
      <c r="C45" s="56" t="s">
        <v>102</v>
      </c>
      <c r="D45" s="56" t="s">
        <v>96</v>
      </c>
      <c r="E45" s="57" t="n">
        <v>4</v>
      </c>
      <c r="F45" s="58"/>
      <c r="G45" s="59" t="n">
        <v>0.05</v>
      </c>
      <c r="H45" s="56" t="s">
        <v>103</v>
      </c>
      <c r="I45" s="56" t="s">
        <v>75</v>
      </c>
      <c r="J45" s="60" t="str">
        <f aca="false">IF($D45="","",IFERROR(INDEX(Items!$D$5:$D$504,U45),""))</f>
        <v>Box</v>
      </c>
      <c r="K45" s="61" t="n">
        <f aca="false">IF($D45="","",IF($F45="",IFERROR(INDEX(Items!$H$5:$H$504,U45),0),$F45))</f>
        <v>2290</v>
      </c>
      <c r="L45" s="61" t="n">
        <f aca="false">IF($D45="","",ROUND(N($E45)*K45*(1-N($G45)),2))</f>
        <v>8702</v>
      </c>
      <c r="M45" s="62" t="n">
        <f aca="false">IF($D45="","",IFERROR(INDEX(Items!$F$5:$F$504,U45),0))</f>
        <v>0.05</v>
      </c>
      <c r="N45" s="61" t="n">
        <f aca="false">IF($D45="","",IF(AND(V45&lt;&gt;"",INDEX(Parties!$E$5:$E$304,V45)&lt;&gt;"",INDEX(Parties!$E$5:$E$304,V45)&lt;&gt;HomeState),0,ROUND(L45*M45/2,2)))</f>
        <v>217.55</v>
      </c>
      <c r="O45" s="61" t="n">
        <f aca="false">IF($D45="","",N45)</f>
        <v>217.55</v>
      </c>
      <c r="P45" s="61" t="n">
        <f aca="false">IF($D45="","",IF(AND(V45&lt;&gt;"",INDEX(Parties!$E$5:$E$304,V45)&lt;&gt;"",INDEX(Parties!$E$5:$E$304,V45)&lt;&gt;HomeState),ROUND(L45*M45,2),0))</f>
        <v>0</v>
      </c>
      <c r="Q45" s="61" t="n">
        <f aca="false">IF($D45="","",L45+N45+O45+P45)</f>
        <v>9137.1</v>
      </c>
      <c r="R45" s="61" t="n">
        <f aca="false">IF($D45="","",ROUND(N($E45)*IFERROR(INDEX(Items!$P$5:$P$504,U45),0),2))</f>
        <v>7617.45</v>
      </c>
      <c r="S45" s="61" t="n">
        <f aca="false">IF($D45="","",L45-R45)</f>
        <v>1084.55</v>
      </c>
      <c r="T45" s="60" t="str">
        <f aca="false">IF($D45="","",IF(U45="","UNKNOWN ITEM",IF(INDEX(Items!$O$5:$O$504,U45)&lt;0,"NEG STOCK",IF(K45&lt;INDEX(Items!$P$5:$P$504,U45),"BELOW COST","OK"))))</f>
        <v>OK</v>
      </c>
      <c r="U45" s="60" t="n">
        <f aca="false">IF($D45="","",IFERROR(MATCH($D45,Items!$A$5:$A$504,0),""))</f>
        <v>3</v>
      </c>
      <c r="V45" s="60" t="n">
        <f aca="false">IF($C45="","",IFERROR(MATCH($C45,Parties!$A$5:$A$304,0),""))</f>
        <v>4</v>
      </c>
      <c r="W45" s="60" t="n">
        <f aca="false">IF($B45="","",IFERROR(VALUE(SUBSTITUTE($B45,InvPrefix,"")),0))</f>
        <v>31</v>
      </c>
      <c r="X45" s="61" t="n">
        <f aca="false">IF($D45="","",IF(OR($H45="",$H45="Credit"),0,Q45))</f>
        <v>9137.1</v>
      </c>
    </row>
    <row r="46" customFormat="false" ht="15" hidden="false" customHeight="false" outlineLevel="0" collapsed="false">
      <c r="A46" s="55" t="n">
        <v>46158</v>
      </c>
      <c r="B46" s="56" t="s">
        <v>123</v>
      </c>
      <c r="C46" s="56" t="s">
        <v>102</v>
      </c>
      <c r="D46" s="56" t="s">
        <v>79</v>
      </c>
      <c r="E46" s="57" t="n">
        <v>14</v>
      </c>
      <c r="F46" s="58"/>
      <c r="G46" s="59" t="n">
        <v>0.02</v>
      </c>
      <c r="H46" s="56" t="s">
        <v>103</v>
      </c>
      <c r="I46" s="56" t="s">
        <v>75</v>
      </c>
      <c r="J46" s="60" t="str">
        <f aca="false">IF($D46="","",IFERROR(INDEX(Items!$D$5:$D$504,U46),""))</f>
        <v>Pcs</v>
      </c>
      <c r="K46" s="61" t="n">
        <f aca="false">IF($D46="","",IF($F46="",IFERROR(INDEX(Items!$H$5:$H$504,U46),0),$F46))</f>
        <v>297</v>
      </c>
      <c r="L46" s="61" t="n">
        <f aca="false">IF($D46="","",ROUND(N($E46)*K46*(1-N($G46)),2))</f>
        <v>4074.84</v>
      </c>
      <c r="M46" s="62" t="n">
        <f aca="false">IF($D46="","",IFERROR(INDEX(Items!$F$5:$F$504,U46),0))</f>
        <v>0.18</v>
      </c>
      <c r="N46" s="61" t="n">
        <f aca="false">IF($D46="","",IF(AND(V46&lt;&gt;"",INDEX(Parties!$E$5:$E$304,V46)&lt;&gt;"",INDEX(Parties!$E$5:$E$304,V46)&lt;&gt;HomeState),0,ROUND(L46*M46/2,2)))</f>
        <v>366.74</v>
      </c>
      <c r="O46" s="61" t="n">
        <f aca="false">IF($D46="","",N46)</f>
        <v>366.74</v>
      </c>
      <c r="P46" s="61" t="n">
        <f aca="false">IF($D46="","",IF(AND(V46&lt;&gt;"",INDEX(Parties!$E$5:$E$304,V46)&lt;&gt;"",INDEX(Parties!$E$5:$E$304,V46)&lt;&gt;HomeState),ROUND(L46*M46,2),0))</f>
        <v>0</v>
      </c>
      <c r="Q46" s="61" t="n">
        <f aca="false">IF($D46="","",L46+N46+O46+P46)</f>
        <v>4808.32</v>
      </c>
      <c r="R46" s="61" t="n">
        <f aca="false">IF($D46="","",ROUND(N($E46)*IFERROR(INDEX(Items!$P$5:$P$504,U46),0),2))</f>
        <v>2934.87</v>
      </c>
      <c r="S46" s="61" t="n">
        <f aca="false">IF($D46="","",L46-R46)</f>
        <v>1139.97</v>
      </c>
      <c r="T46" s="60" t="str">
        <f aca="false">IF($D46="","",IF(U46="","UNKNOWN ITEM",IF(INDEX(Items!$O$5:$O$504,U46)&lt;0,"NEG STOCK",IF(K46&lt;INDEX(Items!$P$5:$P$504,U46),"BELOW COST","OK"))))</f>
        <v>OK</v>
      </c>
      <c r="U46" s="60" t="n">
        <f aca="false">IF($D46="","",IFERROR(MATCH($D46,Items!$A$5:$A$504,0),""))</f>
        <v>9</v>
      </c>
      <c r="V46" s="60" t="n">
        <f aca="false">IF($C46="","",IFERROR(MATCH($C46,Parties!$A$5:$A$304,0),""))</f>
        <v>4</v>
      </c>
      <c r="W46" s="60" t="n">
        <f aca="false">IF($B46="","",IFERROR(VALUE(SUBSTITUTE($B46,InvPrefix,"")),0))</f>
        <v>31</v>
      </c>
      <c r="X46" s="61" t="n">
        <f aca="false">IF($D46="","",IF(OR($H46="",$H46="Credit"),0,Q46))</f>
        <v>4808.32</v>
      </c>
    </row>
    <row r="47" customFormat="false" ht="15" hidden="false" customHeight="false" outlineLevel="0" collapsed="false">
      <c r="A47" s="55" t="n">
        <v>46160</v>
      </c>
      <c r="B47" s="56" t="s">
        <v>124</v>
      </c>
      <c r="C47" s="56" t="s">
        <v>72</v>
      </c>
      <c r="D47" s="56" t="s">
        <v>96</v>
      </c>
      <c r="E47" s="57" t="n">
        <v>6</v>
      </c>
      <c r="F47" s="58"/>
      <c r="G47" s="59"/>
      <c r="H47" s="56"/>
      <c r="I47" s="56" t="s">
        <v>75</v>
      </c>
      <c r="J47" s="60" t="str">
        <f aca="false">IF($D47="","",IFERROR(INDEX(Items!$D$5:$D$504,U47),""))</f>
        <v>Box</v>
      </c>
      <c r="K47" s="61" t="n">
        <f aca="false">IF($D47="","",IF($F47="",IFERROR(INDEX(Items!$H$5:$H$504,U47),0),$F47))</f>
        <v>2290</v>
      </c>
      <c r="L47" s="61" t="n">
        <f aca="false">IF($D47="","",ROUND(N($E47)*K47*(1-N($G47)),2))</f>
        <v>13740</v>
      </c>
      <c r="M47" s="62" t="n">
        <f aca="false">IF($D47="","",IFERROR(INDEX(Items!$F$5:$F$504,U47),0))</f>
        <v>0.05</v>
      </c>
      <c r="N47" s="61" t="n">
        <f aca="false">IF($D47="","",IF(AND(V47&lt;&gt;"",INDEX(Parties!$E$5:$E$304,V47)&lt;&gt;"",INDEX(Parties!$E$5:$E$304,V47)&lt;&gt;HomeState),0,ROUND(L47*M47/2,2)))</f>
        <v>343.5</v>
      </c>
      <c r="O47" s="61" t="n">
        <f aca="false">IF($D47="","",N47)</f>
        <v>343.5</v>
      </c>
      <c r="P47" s="61" t="n">
        <f aca="false">IF($D47="","",IF(AND(V47&lt;&gt;"",INDEX(Parties!$E$5:$E$304,V47)&lt;&gt;"",INDEX(Parties!$E$5:$E$304,V47)&lt;&gt;HomeState),ROUND(L47*M47,2),0))</f>
        <v>0</v>
      </c>
      <c r="Q47" s="61" t="n">
        <f aca="false">IF($D47="","",L47+N47+O47+P47)</f>
        <v>14427</v>
      </c>
      <c r="R47" s="61" t="n">
        <f aca="false">IF($D47="","",ROUND(N($E47)*IFERROR(INDEX(Items!$P$5:$P$504,U47),0),2))</f>
        <v>11426.18</v>
      </c>
      <c r="S47" s="61" t="n">
        <f aca="false">IF($D47="","",L47-R47)</f>
        <v>2313.82</v>
      </c>
      <c r="T47" s="60" t="str">
        <f aca="false">IF($D47="","",IF(U47="","UNKNOWN ITEM",IF(INDEX(Items!$O$5:$O$504,U47)&lt;0,"NEG STOCK",IF(K47&lt;INDEX(Items!$P$5:$P$504,U47),"BELOW COST","OK"))))</f>
        <v>OK</v>
      </c>
      <c r="U47" s="60" t="n">
        <f aca="false">IF($D47="","",IFERROR(MATCH($D47,Items!$A$5:$A$504,0),""))</f>
        <v>3</v>
      </c>
      <c r="V47" s="60" t="n">
        <f aca="false">IF($C47="","",IFERROR(MATCH($C47,Parties!$A$5:$A$304,0),""))</f>
        <v>1</v>
      </c>
      <c r="W47" s="60" t="n">
        <f aca="false">IF($B47="","",IFERROR(VALUE(SUBSTITUTE($B47,InvPrefix,"")),0))</f>
        <v>32</v>
      </c>
      <c r="X47" s="61" t="n">
        <f aca="false">IF($D47="","",IF(OR($H47="",$H47="Credit"),0,Q47))</f>
        <v>0</v>
      </c>
    </row>
    <row r="48" customFormat="false" ht="15" hidden="false" customHeight="false" outlineLevel="0" collapsed="false">
      <c r="A48" s="55" t="n">
        <v>46162</v>
      </c>
      <c r="B48" s="56" t="s">
        <v>125</v>
      </c>
      <c r="C48" s="56" t="s">
        <v>102</v>
      </c>
      <c r="D48" s="56" t="s">
        <v>79</v>
      </c>
      <c r="E48" s="57" t="n">
        <v>15</v>
      </c>
      <c r="F48" s="58"/>
      <c r="G48" s="59"/>
      <c r="H48" s="56" t="s">
        <v>103</v>
      </c>
      <c r="I48" s="56" t="s">
        <v>75</v>
      </c>
      <c r="J48" s="60" t="str">
        <f aca="false">IF($D48="","",IFERROR(INDEX(Items!$D$5:$D$504,U48),""))</f>
        <v>Pcs</v>
      </c>
      <c r="K48" s="61" t="n">
        <f aca="false">IF($D48="","",IF($F48="",IFERROR(INDEX(Items!$H$5:$H$504,U48),0),$F48))</f>
        <v>297</v>
      </c>
      <c r="L48" s="61" t="n">
        <f aca="false">IF($D48="","",ROUND(N($E48)*K48*(1-N($G48)),2))</f>
        <v>4455</v>
      </c>
      <c r="M48" s="62" t="n">
        <f aca="false">IF($D48="","",IFERROR(INDEX(Items!$F$5:$F$504,U48),0))</f>
        <v>0.18</v>
      </c>
      <c r="N48" s="61" t="n">
        <f aca="false">IF($D48="","",IF(AND(V48&lt;&gt;"",INDEX(Parties!$E$5:$E$304,V48)&lt;&gt;"",INDEX(Parties!$E$5:$E$304,V48)&lt;&gt;HomeState),0,ROUND(L48*M48/2,2)))</f>
        <v>400.95</v>
      </c>
      <c r="O48" s="61" t="n">
        <f aca="false">IF($D48="","",N48)</f>
        <v>400.95</v>
      </c>
      <c r="P48" s="61" t="n">
        <f aca="false">IF($D48="","",IF(AND(V48&lt;&gt;"",INDEX(Parties!$E$5:$E$304,V48)&lt;&gt;"",INDEX(Parties!$E$5:$E$304,V48)&lt;&gt;HomeState),ROUND(L48*M48,2),0))</f>
        <v>0</v>
      </c>
      <c r="Q48" s="61" t="n">
        <f aca="false">IF($D48="","",L48+N48+O48+P48)</f>
        <v>5256.9</v>
      </c>
      <c r="R48" s="61" t="n">
        <f aca="false">IF($D48="","",ROUND(N($E48)*IFERROR(INDEX(Items!$P$5:$P$504,U48),0),2))</f>
        <v>3144.5</v>
      </c>
      <c r="S48" s="61" t="n">
        <f aca="false">IF($D48="","",L48-R48)</f>
        <v>1310.5</v>
      </c>
      <c r="T48" s="60" t="str">
        <f aca="false">IF($D48="","",IF(U48="","UNKNOWN ITEM",IF(INDEX(Items!$O$5:$O$504,U48)&lt;0,"NEG STOCK",IF(K48&lt;INDEX(Items!$P$5:$P$504,U48),"BELOW COST","OK"))))</f>
        <v>OK</v>
      </c>
      <c r="U48" s="60" t="n">
        <f aca="false">IF($D48="","",IFERROR(MATCH($D48,Items!$A$5:$A$504,0),""))</f>
        <v>9</v>
      </c>
      <c r="V48" s="60" t="n">
        <f aca="false">IF($C48="","",IFERROR(MATCH($C48,Parties!$A$5:$A$304,0),""))</f>
        <v>4</v>
      </c>
      <c r="W48" s="60" t="n">
        <f aca="false">IF($B48="","",IFERROR(VALUE(SUBSTITUTE($B48,InvPrefix,"")),0))</f>
        <v>33</v>
      </c>
      <c r="X48" s="61" t="n">
        <f aca="false">IF($D48="","",IF(OR($H48="",$H48="Credit"),0,Q48))</f>
        <v>5256.9</v>
      </c>
    </row>
    <row r="49" customFormat="false" ht="15" hidden="false" customHeight="false" outlineLevel="0" collapsed="false">
      <c r="A49" s="55" t="n">
        <v>46163</v>
      </c>
      <c r="B49" s="56" t="s">
        <v>126</v>
      </c>
      <c r="C49" s="56" t="s">
        <v>72</v>
      </c>
      <c r="D49" s="56" t="s">
        <v>92</v>
      </c>
      <c r="E49" s="57" t="n">
        <v>1</v>
      </c>
      <c r="F49" s="58"/>
      <c r="G49" s="59"/>
      <c r="H49" s="56"/>
      <c r="I49" s="56" t="s">
        <v>75</v>
      </c>
      <c r="J49" s="60" t="str">
        <f aca="false">IF($D49="","",IFERROR(INDEX(Items!$D$5:$D$504,U49),""))</f>
        <v>Pcs</v>
      </c>
      <c r="K49" s="61" t="n">
        <f aca="false">IF($D49="","",IF($F49="",IFERROR(INDEX(Items!$H$5:$H$504,U49),0),$F49))</f>
        <v>3132</v>
      </c>
      <c r="L49" s="61" t="n">
        <f aca="false">IF($D49="","",ROUND(N($E49)*K49*(1-N($G49)),2))</f>
        <v>3132</v>
      </c>
      <c r="M49" s="62" t="n">
        <f aca="false">IF($D49="","",IFERROR(INDEX(Items!$F$5:$F$504,U49),0))</f>
        <v>0.18</v>
      </c>
      <c r="N49" s="61" t="n">
        <f aca="false">IF($D49="","",IF(AND(V49&lt;&gt;"",INDEX(Parties!$E$5:$E$304,V49)&lt;&gt;"",INDEX(Parties!$E$5:$E$304,V49)&lt;&gt;HomeState),0,ROUND(L49*M49/2,2)))</f>
        <v>281.88</v>
      </c>
      <c r="O49" s="61" t="n">
        <f aca="false">IF($D49="","",N49)</f>
        <v>281.88</v>
      </c>
      <c r="P49" s="61" t="n">
        <f aca="false">IF($D49="","",IF(AND(V49&lt;&gt;"",INDEX(Parties!$E$5:$E$304,V49)&lt;&gt;"",INDEX(Parties!$E$5:$E$304,V49)&lt;&gt;HomeState),ROUND(L49*M49,2),0))</f>
        <v>0</v>
      </c>
      <c r="Q49" s="61" t="n">
        <f aca="false">IF($D49="","",L49+N49+O49+P49)</f>
        <v>3695.76</v>
      </c>
      <c r="R49" s="61" t="n">
        <f aca="false">IF($D49="","",ROUND(N($E49)*IFERROR(INDEX(Items!$P$5:$P$504,U49),0),2))</f>
        <v>2451.48</v>
      </c>
      <c r="S49" s="61" t="n">
        <f aca="false">IF($D49="","",L49-R49)</f>
        <v>680.52</v>
      </c>
      <c r="T49" s="60" t="str">
        <f aca="false">IF($D49="","",IF(U49="","UNKNOWN ITEM",IF(INDEX(Items!$O$5:$O$504,U49)&lt;0,"NEG STOCK",IF(K49&lt;INDEX(Items!$P$5:$P$504,U49),"BELOW COST","OK"))))</f>
        <v>OK</v>
      </c>
      <c r="U49" s="60" t="n">
        <f aca="false">IF($D49="","",IFERROR(MATCH($D49,Items!$A$5:$A$504,0),""))</f>
        <v>8</v>
      </c>
      <c r="V49" s="60" t="n">
        <f aca="false">IF($C49="","",IFERROR(MATCH($C49,Parties!$A$5:$A$304,0),""))</f>
        <v>1</v>
      </c>
      <c r="W49" s="60" t="n">
        <f aca="false">IF($B49="","",IFERROR(VALUE(SUBSTITUTE($B49,InvPrefix,"")),0))</f>
        <v>34</v>
      </c>
      <c r="X49" s="61" t="n">
        <f aca="false">IF($D49="","",IF(OR($H49="",$H49="Credit"),0,Q49))</f>
        <v>0</v>
      </c>
    </row>
    <row r="50" customFormat="false" ht="15" hidden="false" customHeight="false" outlineLevel="0" collapsed="false">
      <c r="A50" s="55" t="n">
        <v>46163</v>
      </c>
      <c r="B50" s="56" t="s">
        <v>126</v>
      </c>
      <c r="C50" s="56" t="s">
        <v>72</v>
      </c>
      <c r="D50" s="56" t="s">
        <v>79</v>
      </c>
      <c r="E50" s="57" t="n">
        <v>23</v>
      </c>
      <c r="F50" s="58"/>
      <c r="G50" s="59" t="n">
        <v>0.05</v>
      </c>
      <c r="H50" s="56"/>
      <c r="I50" s="56" t="s">
        <v>75</v>
      </c>
      <c r="J50" s="60" t="str">
        <f aca="false">IF($D50="","",IFERROR(INDEX(Items!$D$5:$D$504,U50),""))</f>
        <v>Pcs</v>
      </c>
      <c r="K50" s="61" t="n">
        <f aca="false">IF($D50="","",IF($F50="",IFERROR(INDEX(Items!$H$5:$H$504,U50),0),$F50))</f>
        <v>297</v>
      </c>
      <c r="L50" s="61" t="n">
        <f aca="false">IF($D50="","",ROUND(N($E50)*K50*(1-N($G50)),2))</f>
        <v>6489.45</v>
      </c>
      <c r="M50" s="62" t="n">
        <f aca="false">IF($D50="","",IFERROR(INDEX(Items!$F$5:$F$504,U50),0))</f>
        <v>0.18</v>
      </c>
      <c r="N50" s="61" t="n">
        <f aca="false">IF($D50="","",IF(AND(V50&lt;&gt;"",INDEX(Parties!$E$5:$E$304,V50)&lt;&gt;"",INDEX(Parties!$E$5:$E$304,V50)&lt;&gt;HomeState),0,ROUND(L50*M50/2,2)))</f>
        <v>584.05</v>
      </c>
      <c r="O50" s="61" t="n">
        <f aca="false">IF($D50="","",N50)</f>
        <v>584.05</v>
      </c>
      <c r="P50" s="61" t="n">
        <f aca="false">IF($D50="","",IF(AND(V50&lt;&gt;"",INDEX(Parties!$E$5:$E$304,V50)&lt;&gt;"",INDEX(Parties!$E$5:$E$304,V50)&lt;&gt;HomeState),ROUND(L50*M50,2),0))</f>
        <v>0</v>
      </c>
      <c r="Q50" s="61" t="n">
        <f aca="false">IF($D50="","",L50+N50+O50+P50)</f>
        <v>7657.55</v>
      </c>
      <c r="R50" s="61" t="n">
        <f aca="false">IF($D50="","",ROUND(N($E50)*IFERROR(INDEX(Items!$P$5:$P$504,U50),0),2))</f>
        <v>4821.57</v>
      </c>
      <c r="S50" s="61" t="n">
        <f aca="false">IF($D50="","",L50-R50)</f>
        <v>1667.88</v>
      </c>
      <c r="T50" s="60" t="str">
        <f aca="false">IF($D50="","",IF(U50="","UNKNOWN ITEM",IF(INDEX(Items!$O$5:$O$504,U50)&lt;0,"NEG STOCK",IF(K50&lt;INDEX(Items!$P$5:$P$504,U50),"BELOW COST","OK"))))</f>
        <v>OK</v>
      </c>
      <c r="U50" s="60" t="n">
        <f aca="false">IF($D50="","",IFERROR(MATCH($D50,Items!$A$5:$A$504,0),""))</f>
        <v>9</v>
      </c>
      <c r="V50" s="60" t="n">
        <f aca="false">IF($C50="","",IFERROR(MATCH($C50,Parties!$A$5:$A$304,0),""))</f>
        <v>1</v>
      </c>
      <c r="W50" s="60" t="n">
        <f aca="false">IF($B50="","",IFERROR(VALUE(SUBSTITUTE($B50,InvPrefix,"")),0))</f>
        <v>34</v>
      </c>
      <c r="X50" s="61" t="n">
        <f aca="false">IF($D50="","",IF(OR($H50="",$H50="Credit"),0,Q50))</f>
        <v>0</v>
      </c>
    </row>
    <row r="51" customFormat="false" ht="15" hidden="false" customHeight="false" outlineLevel="0" collapsed="false">
      <c r="A51" s="55" t="n">
        <v>46164</v>
      </c>
      <c r="B51" s="56" t="s">
        <v>127</v>
      </c>
      <c r="C51" s="56" t="s">
        <v>88</v>
      </c>
      <c r="D51" s="56" t="s">
        <v>79</v>
      </c>
      <c r="E51" s="57" t="n">
        <v>25</v>
      </c>
      <c r="F51" s="58"/>
      <c r="G51" s="59"/>
      <c r="H51" s="56" t="s">
        <v>90</v>
      </c>
      <c r="I51" s="56" t="s">
        <v>75</v>
      </c>
      <c r="J51" s="60" t="str">
        <f aca="false">IF($D51="","",IFERROR(INDEX(Items!$D$5:$D$504,U51),""))</f>
        <v>Pcs</v>
      </c>
      <c r="K51" s="61" t="n">
        <f aca="false">IF($D51="","",IF($F51="",IFERROR(INDEX(Items!$H$5:$H$504,U51),0),$F51))</f>
        <v>297</v>
      </c>
      <c r="L51" s="61" t="n">
        <f aca="false">IF($D51="","",ROUND(N($E51)*K51*(1-N($G51)),2))</f>
        <v>7425</v>
      </c>
      <c r="M51" s="62" t="n">
        <f aca="false">IF($D51="","",IFERROR(INDEX(Items!$F$5:$F$504,U51),0))</f>
        <v>0.18</v>
      </c>
      <c r="N51" s="61" t="n">
        <f aca="false">IF($D51="","",IF(AND(V51&lt;&gt;"",INDEX(Parties!$E$5:$E$304,V51)&lt;&gt;"",INDEX(Parties!$E$5:$E$304,V51)&lt;&gt;HomeState),0,ROUND(L51*M51/2,2)))</f>
        <v>668.25</v>
      </c>
      <c r="O51" s="61" t="n">
        <f aca="false">IF($D51="","",N51)</f>
        <v>668.25</v>
      </c>
      <c r="P51" s="61" t="n">
        <f aca="false">IF($D51="","",IF(AND(V51&lt;&gt;"",INDEX(Parties!$E$5:$E$304,V51)&lt;&gt;"",INDEX(Parties!$E$5:$E$304,V51)&lt;&gt;HomeState),ROUND(L51*M51,2),0))</f>
        <v>0</v>
      </c>
      <c r="Q51" s="61" t="n">
        <f aca="false">IF($D51="","",L51+N51+O51+P51)</f>
        <v>8761.5</v>
      </c>
      <c r="R51" s="61" t="n">
        <f aca="false">IF($D51="","",ROUND(N($E51)*IFERROR(INDEX(Items!$P$5:$P$504,U51),0),2))</f>
        <v>5240.83</v>
      </c>
      <c r="S51" s="61" t="n">
        <f aca="false">IF($D51="","",L51-R51)</f>
        <v>2184.17</v>
      </c>
      <c r="T51" s="60" t="str">
        <f aca="false">IF($D51="","",IF(U51="","UNKNOWN ITEM",IF(INDEX(Items!$O$5:$O$504,U51)&lt;0,"NEG STOCK",IF(K51&lt;INDEX(Items!$P$5:$P$504,U51),"BELOW COST","OK"))))</f>
        <v>OK</v>
      </c>
      <c r="U51" s="60" t="n">
        <f aca="false">IF($D51="","",IFERROR(MATCH($D51,Items!$A$5:$A$504,0),""))</f>
        <v>9</v>
      </c>
      <c r="V51" s="60" t="n">
        <f aca="false">IF($C51="","",IFERROR(MATCH($C51,Parties!$A$5:$A$304,0),""))</f>
        <v>5</v>
      </c>
      <c r="W51" s="60" t="n">
        <f aca="false">IF($B51="","",IFERROR(VALUE(SUBSTITUTE($B51,InvPrefix,"")),0))</f>
        <v>35</v>
      </c>
      <c r="X51" s="61" t="n">
        <f aca="false">IF($D51="","",IF(OR($H51="",$H51="Credit"),0,Q51))</f>
        <v>8761.5</v>
      </c>
    </row>
    <row r="52" customFormat="false" ht="15" hidden="false" customHeight="false" outlineLevel="0" collapsed="false">
      <c r="A52" s="55" t="n">
        <v>46164</v>
      </c>
      <c r="B52" s="56" t="s">
        <v>127</v>
      </c>
      <c r="C52" s="56" t="s">
        <v>88</v>
      </c>
      <c r="D52" s="56" t="s">
        <v>92</v>
      </c>
      <c r="E52" s="57" t="n">
        <v>3</v>
      </c>
      <c r="F52" s="58"/>
      <c r="G52" s="59"/>
      <c r="H52" s="56" t="s">
        <v>90</v>
      </c>
      <c r="I52" s="56" t="s">
        <v>75</v>
      </c>
      <c r="J52" s="60" t="str">
        <f aca="false">IF($D52="","",IFERROR(INDEX(Items!$D$5:$D$504,U52),""))</f>
        <v>Pcs</v>
      </c>
      <c r="K52" s="61" t="n">
        <f aca="false">IF($D52="","",IF($F52="",IFERROR(INDEX(Items!$H$5:$H$504,U52),0),$F52))</f>
        <v>3132</v>
      </c>
      <c r="L52" s="61" t="n">
        <f aca="false">IF($D52="","",ROUND(N($E52)*K52*(1-N($G52)),2))</f>
        <v>9396</v>
      </c>
      <c r="M52" s="62" t="n">
        <f aca="false">IF($D52="","",IFERROR(INDEX(Items!$F$5:$F$504,U52),0))</f>
        <v>0.18</v>
      </c>
      <c r="N52" s="61" t="n">
        <f aca="false">IF($D52="","",IF(AND(V52&lt;&gt;"",INDEX(Parties!$E$5:$E$304,V52)&lt;&gt;"",INDEX(Parties!$E$5:$E$304,V52)&lt;&gt;HomeState),0,ROUND(L52*M52/2,2)))</f>
        <v>845.64</v>
      </c>
      <c r="O52" s="61" t="n">
        <f aca="false">IF($D52="","",N52)</f>
        <v>845.64</v>
      </c>
      <c r="P52" s="61" t="n">
        <f aca="false">IF($D52="","",IF(AND(V52&lt;&gt;"",INDEX(Parties!$E$5:$E$304,V52)&lt;&gt;"",INDEX(Parties!$E$5:$E$304,V52)&lt;&gt;HomeState),ROUND(L52*M52,2),0))</f>
        <v>0</v>
      </c>
      <c r="Q52" s="61" t="n">
        <f aca="false">IF($D52="","",L52+N52+O52+P52)</f>
        <v>11087.28</v>
      </c>
      <c r="R52" s="61" t="n">
        <f aca="false">IF($D52="","",ROUND(N($E52)*IFERROR(INDEX(Items!$P$5:$P$504,U52),0),2))</f>
        <v>7354.45</v>
      </c>
      <c r="S52" s="61" t="n">
        <f aca="false">IF($D52="","",L52-R52)</f>
        <v>2041.55</v>
      </c>
      <c r="T52" s="60" t="str">
        <f aca="false">IF($D52="","",IF(U52="","UNKNOWN ITEM",IF(INDEX(Items!$O$5:$O$504,U52)&lt;0,"NEG STOCK",IF(K52&lt;INDEX(Items!$P$5:$P$504,U52),"BELOW COST","OK"))))</f>
        <v>OK</v>
      </c>
      <c r="U52" s="60" t="n">
        <f aca="false">IF($D52="","",IFERROR(MATCH($D52,Items!$A$5:$A$504,0),""))</f>
        <v>8</v>
      </c>
      <c r="V52" s="60" t="n">
        <f aca="false">IF($C52="","",IFERROR(MATCH($C52,Parties!$A$5:$A$304,0),""))</f>
        <v>5</v>
      </c>
      <c r="W52" s="60" t="n">
        <f aca="false">IF($B52="","",IFERROR(VALUE(SUBSTITUTE($B52,InvPrefix,"")),0))</f>
        <v>35</v>
      </c>
      <c r="X52" s="61" t="n">
        <f aca="false">IF($D52="","",IF(OR($H52="",$H52="Credit"),0,Q52))</f>
        <v>11087.28</v>
      </c>
    </row>
    <row r="53" customFormat="false" ht="15" hidden="false" customHeight="false" outlineLevel="0" collapsed="false">
      <c r="A53" s="55" t="n">
        <v>46165</v>
      </c>
      <c r="B53" s="56" t="s">
        <v>128</v>
      </c>
      <c r="C53" s="56" t="s">
        <v>102</v>
      </c>
      <c r="D53" s="56" t="s">
        <v>99</v>
      </c>
      <c r="E53" s="57" t="n">
        <v>41</v>
      </c>
      <c r="F53" s="58"/>
      <c r="G53" s="59" t="n">
        <v>0.02</v>
      </c>
      <c r="H53" s="56" t="s">
        <v>103</v>
      </c>
      <c r="I53" s="56" t="s">
        <v>75</v>
      </c>
      <c r="J53" s="60" t="str">
        <f aca="false">IF($D53="","",IFERROR(INDEX(Items!$D$5:$D$504,U53),""))</f>
        <v>Pcs</v>
      </c>
      <c r="K53" s="61" t="n">
        <f aca="false">IF($D53="","",IF($F53="",IFERROR(INDEX(Items!$H$5:$H$504,U53),0),$F53))</f>
        <v>107</v>
      </c>
      <c r="L53" s="61" t="n">
        <f aca="false">IF($D53="","",ROUND(N($E53)*K53*(1-N($G53)),2))</f>
        <v>4299.26</v>
      </c>
      <c r="M53" s="62" t="n">
        <f aca="false">IF($D53="","",IFERROR(INDEX(Items!$F$5:$F$504,U53),0))</f>
        <v>0.18</v>
      </c>
      <c r="N53" s="61" t="n">
        <f aca="false">IF($D53="","",IF(AND(V53&lt;&gt;"",INDEX(Parties!$E$5:$E$304,V53)&lt;&gt;"",INDEX(Parties!$E$5:$E$304,V53)&lt;&gt;HomeState),0,ROUND(L53*M53/2,2)))</f>
        <v>386.93</v>
      </c>
      <c r="O53" s="61" t="n">
        <f aca="false">IF($D53="","",N53)</f>
        <v>386.93</v>
      </c>
      <c r="P53" s="61" t="n">
        <f aca="false">IF($D53="","",IF(AND(V53&lt;&gt;"",INDEX(Parties!$E$5:$E$304,V53)&lt;&gt;"",INDEX(Parties!$E$5:$E$304,V53)&lt;&gt;HomeState),ROUND(L53*M53,2),0))</f>
        <v>0</v>
      </c>
      <c r="Q53" s="61" t="n">
        <f aca="false">IF($D53="","",L53+N53+O53+P53)</f>
        <v>5073.12</v>
      </c>
      <c r="R53" s="61" t="n">
        <f aca="false">IF($D53="","",ROUND(N($E53)*IFERROR(INDEX(Items!$P$5:$P$504,U53),0),2))</f>
        <v>2518.1</v>
      </c>
      <c r="S53" s="61" t="n">
        <f aca="false">IF($D53="","",L53-R53)</f>
        <v>1781.16</v>
      </c>
      <c r="T53" s="60" t="str">
        <f aca="false">IF($D53="","",IF(U53="","UNKNOWN ITEM",IF(INDEX(Items!$O$5:$O$504,U53)&lt;0,"NEG STOCK",IF(K53&lt;INDEX(Items!$P$5:$P$504,U53),"BELOW COST","OK"))))</f>
        <v>OK</v>
      </c>
      <c r="U53" s="60" t="n">
        <f aca="false">IF($D53="","",IFERROR(MATCH($D53,Items!$A$5:$A$504,0),""))</f>
        <v>7</v>
      </c>
      <c r="V53" s="60" t="n">
        <f aca="false">IF($C53="","",IFERROR(MATCH($C53,Parties!$A$5:$A$304,0),""))</f>
        <v>4</v>
      </c>
      <c r="W53" s="60" t="n">
        <f aca="false">IF($B53="","",IFERROR(VALUE(SUBSTITUTE($B53,InvPrefix,"")),0))</f>
        <v>36</v>
      </c>
      <c r="X53" s="61" t="n">
        <f aca="false">IF($D53="","",IF(OR($H53="",$H53="Credit"),0,Q53))</f>
        <v>5073.12</v>
      </c>
    </row>
    <row r="54" customFormat="false" ht="15" hidden="false" customHeight="false" outlineLevel="0" collapsed="false">
      <c r="A54" s="55" t="n">
        <v>46167</v>
      </c>
      <c r="B54" s="56" t="s">
        <v>129</v>
      </c>
      <c r="C54" s="56" t="s">
        <v>77</v>
      </c>
      <c r="D54" s="56" t="s">
        <v>86</v>
      </c>
      <c r="E54" s="57" t="n">
        <v>3</v>
      </c>
      <c r="F54" s="58"/>
      <c r="G54" s="59"/>
      <c r="H54" s="56"/>
      <c r="I54" s="56" t="s">
        <v>75</v>
      </c>
      <c r="J54" s="60" t="str">
        <f aca="false">IF($D54="","",IFERROR(INDEX(Items!$D$5:$D$504,U54),""))</f>
        <v>Bag</v>
      </c>
      <c r="K54" s="61" t="n">
        <f aca="false">IF($D54="","",IF($F54="",IFERROR(INDEX(Items!$H$5:$H$504,U54),0),$F54))</f>
        <v>2462</v>
      </c>
      <c r="L54" s="61" t="n">
        <f aca="false">IF($D54="","",ROUND(N($E54)*K54*(1-N($G54)),2))</f>
        <v>7386</v>
      </c>
      <c r="M54" s="62" t="n">
        <f aca="false">IF($D54="","",IFERROR(INDEX(Items!$F$5:$F$504,U54),0))</f>
        <v>0.05</v>
      </c>
      <c r="N54" s="61" t="n">
        <f aca="false">IF($D54="","",IF(AND(V54&lt;&gt;"",INDEX(Parties!$E$5:$E$304,V54)&lt;&gt;"",INDEX(Parties!$E$5:$E$304,V54)&lt;&gt;HomeState),0,ROUND(L54*M54/2,2)))</f>
        <v>184.65</v>
      </c>
      <c r="O54" s="61" t="n">
        <f aca="false">IF($D54="","",N54)</f>
        <v>184.65</v>
      </c>
      <c r="P54" s="61" t="n">
        <f aca="false">IF($D54="","",IF(AND(V54&lt;&gt;"",INDEX(Parties!$E$5:$E$304,V54)&lt;&gt;"",INDEX(Parties!$E$5:$E$304,V54)&lt;&gt;HomeState),ROUND(L54*M54,2),0))</f>
        <v>0</v>
      </c>
      <c r="Q54" s="61" t="n">
        <f aca="false">IF($D54="","",L54+N54+O54+P54)</f>
        <v>7755.3</v>
      </c>
      <c r="R54" s="61" t="n">
        <f aca="false">IF($D54="","",ROUND(N($E54)*IFERROR(INDEX(Items!$P$5:$P$504,U54),0),2))</f>
        <v>6113.19</v>
      </c>
      <c r="S54" s="61" t="n">
        <f aca="false">IF($D54="","",L54-R54)</f>
        <v>1272.81</v>
      </c>
      <c r="T54" s="60" t="str">
        <f aca="false">IF($D54="","",IF(U54="","UNKNOWN ITEM",IF(INDEX(Items!$O$5:$O$504,U54)&lt;0,"NEG STOCK",IF(K54&lt;INDEX(Items!$P$5:$P$504,U54),"BELOW COST","OK"))))</f>
        <v>OK</v>
      </c>
      <c r="U54" s="60" t="n">
        <f aca="false">IF($D54="","",IFERROR(MATCH($D54,Items!$A$5:$A$504,0),""))</f>
        <v>2</v>
      </c>
      <c r="V54" s="60" t="n">
        <f aca="false">IF($C54="","",IFERROR(MATCH($C54,Parties!$A$5:$A$304,0),""))</f>
        <v>2</v>
      </c>
      <c r="W54" s="60" t="n">
        <f aca="false">IF($B54="","",IFERROR(VALUE(SUBSTITUTE($B54,InvPrefix,"")),0))</f>
        <v>37</v>
      </c>
      <c r="X54" s="61" t="n">
        <f aca="false">IF($D54="","",IF(OR($H54="",$H54="Credit"),0,Q54))</f>
        <v>0</v>
      </c>
    </row>
    <row r="55" customFormat="false" ht="15" hidden="false" customHeight="false" outlineLevel="0" collapsed="false">
      <c r="A55" s="55" t="n">
        <v>46169</v>
      </c>
      <c r="B55" s="56" t="s">
        <v>130</v>
      </c>
      <c r="C55" s="56" t="s">
        <v>84</v>
      </c>
      <c r="D55" s="56" t="s">
        <v>96</v>
      </c>
      <c r="E55" s="57" t="n">
        <v>8</v>
      </c>
      <c r="F55" s="58"/>
      <c r="G55" s="59"/>
      <c r="H55" s="56"/>
      <c r="I55" s="56" t="s">
        <v>75</v>
      </c>
      <c r="J55" s="60" t="str">
        <f aca="false">IF($D55="","",IFERROR(INDEX(Items!$D$5:$D$504,U55),""))</f>
        <v>Box</v>
      </c>
      <c r="K55" s="61" t="n">
        <f aca="false">IF($D55="","",IF($F55="",IFERROR(INDEX(Items!$H$5:$H$504,U55),0),$F55))</f>
        <v>2290</v>
      </c>
      <c r="L55" s="61" t="n">
        <f aca="false">IF($D55="","",ROUND(N($E55)*K55*(1-N($G55)),2))</f>
        <v>18320</v>
      </c>
      <c r="M55" s="62" t="n">
        <f aca="false">IF($D55="","",IFERROR(INDEX(Items!$F$5:$F$504,U55),0))</f>
        <v>0.05</v>
      </c>
      <c r="N55" s="61" t="n">
        <f aca="false">IF($D55="","",IF(AND(V55&lt;&gt;"",INDEX(Parties!$E$5:$E$304,V55)&lt;&gt;"",INDEX(Parties!$E$5:$E$304,V55)&lt;&gt;HomeState),0,ROUND(L55*M55/2,2)))</f>
        <v>458</v>
      </c>
      <c r="O55" s="61" t="n">
        <f aca="false">IF($D55="","",N55)</f>
        <v>458</v>
      </c>
      <c r="P55" s="61" t="n">
        <f aca="false">IF($D55="","",IF(AND(V55&lt;&gt;"",INDEX(Parties!$E$5:$E$304,V55)&lt;&gt;"",INDEX(Parties!$E$5:$E$304,V55)&lt;&gt;HomeState),ROUND(L55*M55,2),0))</f>
        <v>0</v>
      </c>
      <c r="Q55" s="61" t="n">
        <f aca="false">IF($D55="","",L55+N55+O55+P55)</f>
        <v>19236</v>
      </c>
      <c r="R55" s="61" t="n">
        <f aca="false">IF($D55="","",ROUND(N($E55)*IFERROR(INDEX(Items!$P$5:$P$504,U55),0),2))</f>
        <v>15234.9</v>
      </c>
      <c r="S55" s="61" t="n">
        <f aca="false">IF($D55="","",L55-R55)</f>
        <v>3085.1</v>
      </c>
      <c r="T55" s="60" t="str">
        <f aca="false">IF($D55="","",IF(U55="","UNKNOWN ITEM",IF(INDEX(Items!$O$5:$O$504,U55)&lt;0,"NEG STOCK",IF(K55&lt;INDEX(Items!$P$5:$P$504,U55),"BELOW COST","OK"))))</f>
        <v>OK</v>
      </c>
      <c r="U55" s="60" t="n">
        <f aca="false">IF($D55="","",IFERROR(MATCH($D55,Items!$A$5:$A$504,0),""))</f>
        <v>3</v>
      </c>
      <c r="V55" s="60" t="n">
        <f aca="false">IF($C55="","",IFERROR(MATCH($C55,Parties!$A$5:$A$304,0),""))</f>
        <v>9</v>
      </c>
      <c r="W55" s="60" t="n">
        <f aca="false">IF($B55="","",IFERROR(VALUE(SUBSTITUTE($B55,InvPrefix,"")),0))</f>
        <v>38</v>
      </c>
      <c r="X55" s="61" t="n">
        <f aca="false">IF($D55="","",IF(OR($H55="",$H55="Credit"),0,Q55))</f>
        <v>0</v>
      </c>
    </row>
    <row r="56" customFormat="false" ht="15" hidden="false" customHeight="false" outlineLevel="0" collapsed="false">
      <c r="A56" s="55" t="n">
        <v>46171</v>
      </c>
      <c r="B56" s="56" t="s">
        <v>131</v>
      </c>
      <c r="C56" s="56" t="s">
        <v>102</v>
      </c>
      <c r="D56" s="56" t="s">
        <v>107</v>
      </c>
      <c r="E56" s="57" t="n">
        <v>24</v>
      </c>
      <c r="F56" s="58"/>
      <c r="G56" s="59"/>
      <c r="H56" s="56" t="s">
        <v>103</v>
      </c>
      <c r="I56" s="56" t="s">
        <v>75</v>
      </c>
      <c r="J56" s="60" t="str">
        <f aca="false">IF($D56="","",IFERROR(INDEX(Items!$D$5:$D$504,U56),""))</f>
        <v>Pack</v>
      </c>
      <c r="K56" s="61" t="n">
        <f aca="false">IF($D56="","",IF($F56="",IFERROR(INDEX(Items!$H$5:$H$504,U56),0),$F56))</f>
        <v>335</v>
      </c>
      <c r="L56" s="61" t="n">
        <f aca="false">IF($D56="","",ROUND(N($E56)*K56*(1-N($G56)),2))</f>
        <v>8040</v>
      </c>
      <c r="M56" s="62" t="n">
        <f aca="false">IF($D56="","",IFERROR(INDEX(Items!$F$5:$F$504,U56),0))</f>
        <v>0.12</v>
      </c>
      <c r="N56" s="61" t="n">
        <f aca="false">IF($D56="","",IF(AND(V56&lt;&gt;"",INDEX(Parties!$E$5:$E$304,V56)&lt;&gt;"",INDEX(Parties!$E$5:$E$304,V56)&lt;&gt;HomeState),0,ROUND(L56*M56/2,2)))</f>
        <v>482.4</v>
      </c>
      <c r="O56" s="61" t="n">
        <f aca="false">IF($D56="","",N56)</f>
        <v>482.4</v>
      </c>
      <c r="P56" s="61" t="n">
        <f aca="false">IF($D56="","",IF(AND(V56&lt;&gt;"",INDEX(Parties!$E$5:$E$304,V56)&lt;&gt;"",INDEX(Parties!$E$5:$E$304,V56)&lt;&gt;HomeState),ROUND(L56*M56,2),0))</f>
        <v>0</v>
      </c>
      <c r="Q56" s="61" t="n">
        <f aca="false">IF($D56="","",L56+N56+O56+P56)</f>
        <v>9004.8</v>
      </c>
      <c r="R56" s="61" t="n">
        <f aca="false">IF($D56="","",ROUND(N($E56)*IFERROR(INDEX(Items!$P$5:$P$504,U56),0),2))</f>
        <v>5760</v>
      </c>
      <c r="S56" s="61" t="n">
        <f aca="false">IF($D56="","",L56-R56)</f>
        <v>2280</v>
      </c>
      <c r="T56" s="60" t="str">
        <f aca="false">IF($D56="","",IF(U56="","UNKNOWN ITEM",IF(INDEX(Items!$O$5:$O$504,U56)&lt;0,"NEG STOCK",IF(K56&lt;INDEX(Items!$P$5:$P$504,U56),"BELOW COST","OK"))))</f>
        <v>OK</v>
      </c>
      <c r="U56" s="60" t="n">
        <f aca="false">IF($D56="","",IFERROR(MATCH($D56,Items!$A$5:$A$504,0),""))</f>
        <v>11</v>
      </c>
      <c r="V56" s="60" t="n">
        <f aca="false">IF($C56="","",IFERROR(MATCH($C56,Parties!$A$5:$A$304,0),""))</f>
        <v>4</v>
      </c>
      <c r="W56" s="60" t="n">
        <f aca="false">IF($B56="","",IFERROR(VALUE(SUBSTITUTE($B56,InvPrefix,"")),0))</f>
        <v>39</v>
      </c>
      <c r="X56" s="61" t="n">
        <f aca="false">IF($D56="","",IF(OR($H56="",$H56="Credit"),0,Q56))</f>
        <v>9004.8</v>
      </c>
    </row>
    <row r="57" customFormat="false" ht="15" hidden="false" customHeight="false" outlineLevel="0" collapsed="false">
      <c r="A57" s="55" t="n">
        <v>46172</v>
      </c>
      <c r="B57" s="56" t="s">
        <v>132</v>
      </c>
      <c r="C57" s="56" t="s">
        <v>102</v>
      </c>
      <c r="D57" s="56" t="s">
        <v>99</v>
      </c>
      <c r="E57" s="57" t="n">
        <v>45</v>
      </c>
      <c r="F57" s="58"/>
      <c r="G57" s="59"/>
      <c r="H57" s="56" t="s">
        <v>103</v>
      </c>
      <c r="I57" s="56" t="s">
        <v>75</v>
      </c>
      <c r="J57" s="60" t="str">
        <f aca="false">IF($D57="","",IFERROR(INDEX(Items!$D$5:$D$504,U57),""))</f>
        <v>Pcs</v>
      </c>
      <c r="K57" s="61" t="n">
        <f aca="false">IF($D57="","",IF($F57="",IFERROR(INDEX(Items!$H$5:$H$504,U57),0),$F57))</f>
        <v>107</v>
      </c>
      <c r="L57" s="61" t="n">
        <f aca="false">IF($D57="","",ROUND(N($E57)*K57*(1-N($G57)),2))</f>
        <v>4815</v>
      </c>
      <c r="M57" s="62" t="n">
        <f aca="false">IF($D57="","",IFERROR(INDEX(Items!$F$5:$F$504,U57),0))</f>
        <v>0.18</v>
      </c>
      <c r="N57" s="61" t="n">
        <f aca="false">IF($D57="","",IF(AND(V57&lt;&gt;"",INDEX(Parties!$E$5:$E$304,V57)&lt;&gt;"",INDEX(Parties!$E$5:$E$304,V57)&lt;&gt;HomeState),0,ROUND(L57*M57/2,2)))</f>
        <v>433.35</v>
      </c>
      <c r="O57" s="61" t="n">
        <f aca="false">IF($D57="","",N57)</f>
        <v>433.35</v>
      </c>
      <c r="P57" s="61" t="n">
        <f aca="false">IF($D57="","",IF(AND(V57&lt;&gt;"",INDEX(Parties!$E$5:$E$304,V57)&lt;&gt;"",INDEX(Parties!$E$5:$E$304,V57)&lt;&gt;HomeState),ROUND(L57*M57,2),0))</f>
        <v>0</v>
      </c>
      <c r="Q57" s="61" t="n">
        <f aca="false">IF($D57="","",L57+N57+O57+P57)</f>
        <v>5681.7</v>
      </c>
      <c r="R57" s="61" t="n">
        <f aca="false">IF($D57="","",ROUND(N($E57)*IFERROR(INDEX(Items!$P$5:$P$504,U57),0),2))</f>
        <v>2763.77</v>
      </c>
      <c r="S57" s="61" t="n">
        <f aca="false">IF($D57="","",L57-R57)</f>
        <v>2051.23</v>
      </c>
      <c r="T57" s="60" t="str">
        <f aca="false">IF($D57="","",IF(U57="","UNKNOWN ITEM",IF(INDEX(Items!$O$5:$O$504,U57)&lt;0,"NEG STOCK",IF(K57&lt;INDEX(Items!$P$5:$P$504,U57),"BELOW COST","OK"))))</f>
        <v>OK</v>
      </c>
      <c r="U57" s="60" t="n">
        <f aca="false">IF($D57="","",IFERROR(MATCH($D57,Items!$A$5:$A$504,0),""))</f>
        <v>7</v>
      </c>
      <c r="V57" s="60" t="n">
        <f aca="false">IF($C57="","",IFERROR(MATCH($C57,Parties!$A$5:$A$304,0),""))</f>
        <v>4</v>
      </c>
      <c r="W57" s="60" t="n">
        <f aca="false">IF($B57="","",IFERROR(VALUE(SUBSTITUTE($B57,InvPrefix,"")),0))</f>
        <v>40</v>
      </c>
      <c r="X57" s="61" t="n">
        <f aca="false">IF($D57="","",IF(OR($H57="",$H57="Credit"),0,Q57))</f>
        <v>5681.7</v>
      </c>
    </row>
    <row r="58" customFormat="false" ht="15" hidden="false" customHeight="false" outlineLevel="0" collapsed="false">
      <c r="A58" s="55" t="n">
        <v>46174</v>
      </c>
      <c r="B58" s="56" t="s">
        <v>133</v>
      </c>
      <c r="C58" s="56" t="s">
        <v>77</v>
      </c>
      <c r="D58" s="56" t="s">
        <v>86</v>
      </c>
      <c r="E58" s="57" t="n">
        <v>3</v>
      </c>
      <c r="F58" s="58"/>
      <c r="G58" s="59"/>
      <c r="H58" s="56"/>
      <c r="I58" s="56" t="s">
        <v>75</v>
      </c>
      <c r="J58" s="60" t="str">
        <f aca="false">IF($D58="","",IFERROR(INDEX(Items!$D$5:$D$504,U58),""))</f>
        <v>Bag</v>
      </c>
      <c r="K58" s="61" t="n">
        <f aca="false">IF($D58="","",IF($F58="",IFERROR(INDEX(Items!$H$5:$H$504,U58),0),$F58))</f>
        <v>2462</v>
      </c>
      <c r="L58" s="61" t="n">
        <f aca="false">IF($D58="","",ROUND(N($E58)*K58*(1-N($G58)),2))</f>
        <v>7386</v>
      </c>
      <c r="M58" s="62" t="n">
        <f aca="false">IF($D58="","",IFERROR(INDEX(Items!$F$5:$F$504,U58),0))</f>
        <v>0.05</v>
      </c>
      <c r="N58" s="61" t="n">
        <f aca="false">IF($D58="","",IF(AND(V58&lt;&gt;"",INDEX(Parties!$E$5:$E$304,V58)&lt;&gt;"",INDEX(Parties!$E$5:$E$304,V58)&lt;&gt;HomeState),0,ROUND(L58*M58/2,2)))</f>
        <v>184.65</v>
      </c>
      <c r="O58" s="61" t="n">
        <f aca="false">IF($D58="","",N58)</f>
        <v>184.65</v>
      </c>
      <c r="P58" s="61" t="n">
        <f aca="false">IF($D58="","",IF(AND(V58&lt;&gt;"",INDEX(Parties!$E$5:$E$304,V58)&lt;&gt;"",INDEX(Parties!$E$5:$E$304,V58)&lt;&gt;HomeState),ROUND(L58*M58,2),0))</f>
        <v>0</v>
      </c>
      <c r="Q58" s="61" t="n">
        <f aca="false">IF($D58="","",L58+N58+O58+P58)</f>
        <v>7755.3</v>
      </c>
      <c r="R58" s="61" t="n">
        <f aca="false">IF($D58="","",ROUND(N($E58)*IFERROR(INDEX(Items!$P$5:$P$504,U58),0),2))</f>
        <v>6113.19</v>
      </c>
      <c r="S58" s="61" t="n">
        <f aca="false">IF($D58="","",L58-R58)</f>
        <v>1272.81</v>
      </c>
      <c r="T58" s="60" t="str">
        <f aca="false">IF($D58="","",IF(U58="","UNKNOWN ITEM",IF(INDEX(Items!$O$5:$O$504,U58)&lt;0,"NEG STOCK",IF(K58&lt;INDEX(Items!$P$5:$P$504,U58),"BELOW COST","OK"))))</f>
        <v>OK</v>
      </c>
      <c r="U58" s="60" t="n">
        <f aca="false">IF($D58="","",IFERROR(MATCH($D58,Items!$A$5:$A$504,0),""))</f>
        <v>2</v>
      </c>
      <c r="V58" s="60" t="n">
        <f aca="false">IF($C58="","",IFERROR(MATCH($C58,Parties!$A$5:$A$304,0),""))</f>
        <v>2</v>
      </c>
      <c r="W58" s="60" t="n">
        <f aca="false">IF($B58="","",IFERROR(VALUE(SUBSTITUTE($B58,InvPrefix,"")),0))</f>
        <v>41</v>
      </c>
      <c r="X58" s="61" t="n">
        <f aca="false">IF($D58="","",IF(OR($H58="",$H58="Credit"),0,Q58))</f>
        <v>0</v>
      </c>
    </row>
    <row r="59" customFormat="false" ht="15" hidden="false" customHeight="false" outlineLevel="0" collapsed="false">
      <c r="A59" s="55" t="n">
        <v>46176</v>
      </c>
      <c r="B59" s="56" t="s">
        <v>134</v>
      </c>
      <c r="C59" s="56" t="s">
        <v>88</v>
      </c>
      <c r="D59" s="56" t="s">
        <v>107</v>
      </c>
      <c r="E59" s="57" t="n">
        <v>24</v>
      </c>
      <c r="F59" s="58"/>
      <c r="G59" s="59"/>
      <c r="H59" s="56"/>
      <c r="I59" s="56" t="s">
        <v>75</v>
      </c>
      <c r="J59" s="60" t="str">
        <f aca="false">IF($D59="","",IFERROR(INDEX(Items!$D$5:$D$504,U59),""))</f>
        <v>Pack</v>
      </c>
      <c r="K59" s="61" t="n">
        <f aca="false">IF($D59="","",IF($F59="",IFERROR(INDEX(Items!$H$5:$H$504,U59),0),$F59))</f>
        <v>335</v>
      </c>
      <c r="L59" s="61" t="n">
        <f aca="false">IF($D59="","",ROUND(N($E59)*K59*(1-N($G59)),2))</f>
        <v>8040</v>
      </c>
      <c r="M59" s="62" t="n">
        <f aca="false">IF($D59="","",IFERROR(INDEX(Items!$F$5:$F$504,U59),0))</f>
        <v>0.12</v>
      </c>
      <c r="N59" s="61" t="n">
        <f aca="false">IF($D59="","",IF(AND(V59&lt;&gt;"",INDEX(Parties!$E$5:$E$304,V59)&lt;&gt;"",INDEX(Parties!$E$5:$E$304,V59)&lt;&gt;HomeState),0,ROUND(L59*M59/2,2)))</f>
        <v>482.4</v>
      </c>
      <c r="O59" s="61" t="n">
        <f aca="false">IF($D59="","",N59)</f>
        <v>482.4</v>
      </c>
      <c r="P59" s="61" t="n">
        <f aca="false">IF($D59="","",IF(AND(V59&lt;&gt;"",INDEX(Parties!$E$5:$E$304,V59)&lt;&gt;"",INDEX(Parties!$E$5:$E$304,V59)&lt;&gt;HomeState),ROUND(L59*M59,2),0))</f>
        <v>0</v>
      </c>
      <c r="Q59" s="61" t="n">
        <f aca="false">IF($D59="","",L59+N59+O59+P59)</f>
        <v>9004.8</v>
      </c>
      <c r="R59" s="61" t="n">
        <f aca="false">IF($D59="","",ROUND(N($E59)*IFERROR(INDEX(Items!$P$5:$P$504,U59),0),2))</f>
        <v>5760</v>
      </c>
      <c r="S59" s="61" t="n">
        <f aca="false">IF($D59="","",L59-R59)</f>
        <v>2280</v>
      </c>
      <c r="T59" s="60" t="str">
        <f aca="false">IF($D59="","",IF(U59="","UNKNOWN ITEM",IF(INDEX(Items!$O$5:$O$504,U59)&lt;0,"NEG STOCK",IF(K59&lt;INDEX(Items!$P$5:$P$504,U59),"BELOW COST","OK"))))</f>
        <v>OK</v>
      </c>
      <c r="U59" s="60" t="n">
        <f aca="false">IF($D59="","",IFERROR(MATCH($D59,Items!$A$5:$A$504,0),""))</f>
        <v>11</v>
      </c>
      <c r="V59" s="60" t="n">
        <f aca="false">IF($C59="","",IFERROR(MATCH($C59,Parties!$A$5:$A$304,0),""))</f>
        <v>5</v>
      </c>
      <c r="W59" s="60" t="n">
        <f aca="false">IF($B59="","",IFERROR(VALUE(SUBSTITUTE($B59,InvPrefix,"")),0))</f>
        <v>42</v>
      </c>
      <c r="X59" s="61" t="n">
        <f aca="false">IF($D59="","",IF(OR($H59="",$H59="Credit"),0,Q59))</f>
        <v>0</v>
      </c>
    </row>
    <row r="60" customFormat="false" ht="15" hidden="false" customHeight="false" outlineLevel="0" collapsed="false">
      <c r="A60" s="55" t="n">
        <v>46177</v>
      </c>
      <c r="B60" s="56" t="s">
        <v>135</v>
      </c>
      <c r="C60" s="56" t="s">
        <v>81</v>
      </c>
      <c r="D60" s="56" t="s">
        <v>82</v>
      </c>
      <c r="E60" s="57" t="n">
        <v>36</v>
      </c>
      <c r="F60" s="58"/>
      <c r="G60" s="59"/>
      <c r="H60" s="56" t="s">
        <v>74</v>
      </c>
      <c r="I60" s="56" t="s">
        <v>75</v>
      </c>
      <c r="J60" s="60" t="str">
        <f aca="false">IF($D60="","",IFERROR(INDEX(Items!$D$5:$D$504,U60),""))</f>
        <v>Bag</v>
      </c>
      <c r="K60" s="61" t="n">
        <f aca="false">IF($D60="","",IF($F60="",IFERROR(INDEX(Items!$H$5:$H$504,U60),0),$F60))</f>
        <v>427</v>
      </c>
      <c r="L60" s="61" t="n">
        <f aca="false">IF($D60="","",ROUND(N($E60)*K60*(1-N($G60)),2))</f>
        <v>15372</v>
      </c>
      <c r="M60" s="62" t="n">
        <f aca="false">IF($D60="","",IFERROR(INDEX(Items!$F$5:$F$504,U60),0))</f>
        <v>0.18</v>
      </c>
      <c r="N60" s="61" t="n">
        <f aca="false">IF($D60="","",IF(AND(V60&lt;&gt;"",INDEX(Parties!$E$5:$E$304,V60)&lt;&gt;"",INDEX(Parties!$E$5:$E$304,V60)&lt;&gt;HomeState),0,ROUND(L60*M60/2,2)))</f>
        <v>0</v>
      </c>
      <c r="O60" s="61" t="n">
        <f aca="false">IF($D60="","",N60)</f>
        <v>0</v>
      </c>
      <c r="P60" s="61" t="n">
        <f aca="false">IF($D60="","",IF(AND(V60&lt;&gt;"",INDEX(Parties!$E$5:$E$304,V60)&lt;&gt;"",INDEX(Parties!$E$5:$E$304,V60)&lt;&gt;HomeState),ROUND(L60*M60,2),0))</f>
        <v>2766.96</v>
      </c>
      <c r="Q60" s="61" t="n">
        <f aca="false">IF($D60="","",L60+N60+O60+P60)</f>
        <v>18138.96</v>
      </c>
      <c r="R60" s="61" t="n">
        <f aca="false">IF($D60="","",ROUND(N($E60)*IFERROR(INDEX(Items!$P$5:$P$504,U60),0),2))</f>
        <v>12246.27</v>
      </c>
      <c r="S60" s="61" t="n">
        <f aca="false">IF($D60="","",L60-R60)</f>
        <v>3125.73</v>
      </c>
      <c r="T60" s="60" t="str">
        <f aca="false">IF($D60="","",IF(U60="","UNKNOWN ITEM",IF(INDEX(Items!$O$5:$O$504,U60)&lt;0,"NEG STOCK",IF(K60&lt;INDEX(Items!$P$5:$P$504,U60),"BELOW COST","OK"))))</f>
        <v>OK</v>
      </c>
      <c r="U60" s="60" t="n">
        <f aca="false">IF($D60="","",IFERROR(MATCH($D60,Items!$A$5:$A$504,0),""))</f>
        <v>10</v>
      </c>
      <c r="V60" s="60" t="n">
        <f aca="false">IF($C60="","",IFERROR(MATCH($C60,Parties!$A$5:$A$304,0),""))</f>
        <v>3</v>
      </c>
      <c r="W60" s="60" t="n">
        <f aca="false">IF($B60="","",IFERROR(VALUE(SUBSTITUTE($B60,InvPrefix,"")),0))</f>
        <v>43</v>
      </c>
      <c r="X60" s="61" t="n">
        <f aca="false">IF($D60="","",IF(OR($H60="",$H60="Credit"),0,Q60))</f>
        <v>18138.96</v>
      </c>
    </row>
    <row r="61" customFormat="false" ht="15" hidden="false" customHeight="false" outlineLevel="0" collapsed="false">
      <c r="A61" s="55" t="n">
        <v>46177</v>
      </c>
      <c r="B61" s="56" t="s">
        <v>135</v>
      </c>
      <c r="C61" s="56" t="s">
        <v>81</v>
      </c>
      <c r="D61" s="56" t="s">
        <v>92</v>
      </c>
      <c r="E61" s="57" t="n">
        <v>2</v>
      </c>
      <c r="F61" s="58"/>
      <c r="G61" s="59"/>
      <c r="H61" s="56" t="s">
        <v>74</v>
      </c>
      <c r="I61" s="56" t="s">
        <v>75</v>
      </c>
      <c r="J61" s="60" t="str">
        <f aca="false">IF($D61="","",IFERROR(INDEX(Items!$D$5:$D$504,U61),""))</f>
        <v>Pcs</v>
      </c>
      <c r="K61" s="61" t="n">
        <f aca="false">IF($D61="","",IF($F61="",IFERROR(INDEX(Items!$H$5:$H$504,U61),0),$F61))</f>
        <v>3132</v>
      </c>
      <c r="L61" s="61" t="n">
        <f aca="false">IF($D61="","",ROUND(N($E61)*K61*(1-N($G61)),2))</f>
        <v>6264</v>
      </c>
      <c r="M61" s="62" t="n">
        <f aca="false">IF($D61="","",IFERROR(INDEX(Items!$F$5:$F$504,U61),0))</f>
        <v>0.18</v>
      </c>
      <c r="N61" s="61" t="n">
        <f aca="false">IF($D61="","",IF(AND(V61&lt;&gt;"",INDEX(Parties!$E$5:$E$304,V61)&lt;&gt;"",INDEX(Parties!$E$5:$E$304,V61)&lt;&gt;HomeState),0,ROUND(L61*M61/2,2)))</f>
        <v>0</v>
      </c>
      <c r="O61" s="61" t="n">
        <f aca="false">IF($D61="","",N61)</f>
        <v>0</v>
      </c>
      <c r="P61" s="61" t="n">
        <f aca="false">IF($D61="","",IF(AND(V61&lt;&gt;"",INDEX(Parties!$E$5:$E$304,V61)&lt;&gt;"",INDEX(Parties!$E$5:$E$304,V61)&lt;&gt;HomeState),ROUND(L61*M61,2),0))</f>
        <v>1127.52</v>
      </c>
      <c r="Q61" s="61" t="n">
        <f aca="false">IF($D61="","",L61+N61+O61+P61)</f>
        <v>7391.52</v>
      </c>
      <c r="R61" s="61" t="n">
        <f aca="false">IF($D61="","",ROUND(N($E61)*IFERROR(INDEX(Items!$P$5:$P$504,U61),0),2))</f>
        <v>4902.96</v>
      </c>
      <c r="S61" s="61" t="n">
        <f aca="false">IF($D61="","",L61-R61)</f>
        <v>1361.04</v>
      </c>
      <c r="T61" s="60" t="str">
        <f aca="false">IF($D61="","",IF(U61="","UNKNOWN ITEM",IF(INDEX(Items!$O$5:$O$504,U61)&lt;0,"NEG STOCK",IF(K61&lt;INDEX(Items!$P$5:$P$504,U61),"BELOW COST","OK"))))</f>
        <v>OK</v>
      </c>
      <c r="U61" s="60" t="n">
        <f aca="false">IF($D61="","",IFERROR(MATCH($D61,Items!$A$5:$A$504,0),""))</f>
        <v>8</v>
      </c>
      <c r="V61" s="60" t="n">
        <f aca="false">IF($C61="","",IFERROR(MATCH($C61,Parties!$A$5:$A$304,0),""))</f>
        <v>3</v>
      </c>
      <c r="W61" s="60" t="n">
        <f aca="false">IF($B61="","",IFERROR(VALUE(SUBSTITUTE($B61,InvPrefix,"")),0))</f>
        <v>43</v>
      </c>
      <c r="X61" s="61" t="n">
        <f aca="false">IF($D61="","",IF(OR($H61="",$H61="Credit"),0,Q61))</f>
        <v>7391.52</v>
      </c>
    </row>
    <row r="62" customFormat="false" ht="15" hidden="false" customHeight="false" outlineLevel="0" collapsed="false">
      <c r="A62" s="55" t="n">
        <v>46179</v>
      </c>
      <c r="B62" s="56" t="s">
        <v>136</v>
      </c>
      <c r="C62" s="56" t="s">
        <v>77</v>
      </c>
      <c r="D62" s="56" t="s">
        <v>92</v>
      </c>
      <c r="E62" s="57" t="n">
        <v>1</v>
      </c>
      <c r="F62" s="58"/>
      <c r="G62" s="59" t="n">
        <v>0.05</v>
      </c>
      <c r="H62" s="56"/>
      <c r="I62" s="56" t="s">
        <v>75</v>
      </c>
      <c r="J62" s="60" t="str">
        <f aca="false">IF($D62="","",IFERROR(INDEX(Items!$D$5:$D$504,U62),""))</f>
        <v>Pcs</v>
      </c>
      <c r="K62" s="61" t="n">
        <f aca="false">IF($D62="","",IF($F62="",IFERROR(INDEX(Items!$H$5:$H$504,U62),0),$F62))</f>
        <v>3132</v>
      </c>
      <c r="L62" s="61" t="n">
        <f aca="false">IF($D62="","",ROUND(N($E62)*K62*(1-N($G62)),2))</f>
        <v>2975.4</v>
      </c>
      <c r="M62" s="62" t="n">
        <f aca="false">IF($D62="","",IFERROR(INDEX(Items!$F$5:$F$504,U62),0))</f>
        <v>0.18</v>
      </c>
      <c r="N62" s="61" t="n">
        <f aca="false">IF($D62="","",IF(AND(V62&lt;&gt;"",INDEX(Parties!$E$5:$E$304,V62)&lt;&gt;"",INDEX(Parties!$E$5:$E$304,V62)&lt;&gt;HomeState),0,ROUND(L62*M62/2,2)))</f>
        <v>267.79</v>
      </c>
      <c r="O62" s="61" t="n">
        <f aca="false">IF($D62="","",N62)</f>
        <v>267.79</v>
      </c>
      <c r="P62" s="61" t="n">
        <f aca="false">IF($D62="","",IF(AND(V62&lt;&gt;"",INDEX(Parties!$E$5:$E$304,V62)&lt;&gt;"",INDEX(Parties!$E$5:$E$304,V62)&lt;&gt;HomeState),ROUND(L62*M62,2),0))</f>
        <v>0</v>
      </c>
      <c r="Q62" s="61" t="n">
        <f aca="false">IF($D62="","",L62+N62+O62+P62)</f>
        <v>3510.98</v>
      </c>
      <c r="R62" s="61" t="n">
        <f aca="false">IF($D62="","",ROUND(N($E62)*IFERROR(INDEX(Items!$P$5:$P$504,U62),0),2))</f>
        <v>2451.48</v>
      </c>
      <c r="S62" s="61" t="n">
        <f aca="false">IF($D62="","",L62-R62)</f>
        <v>523.92</v>
      </c>
      <c r="T62" s="60" t="str">
        <f aca="false">IF($D62="","",IF(U62="","UNKNOWN ITEM",IF(INDEX(Items!$O$5:$O$504,U62)&lt;0,"NEG STOCK",IF(K62&lt;INDEX(Items!$P$5:$P$504,U62),"BELOW COST","OK"))))</f>
        <v>OK</v>
      </c>
      <c r="U62" s="60" t="n">
        <f aca="false">IF($D62="","",IFERROR(MATCH($D62,Items!$A$5:$A$504,0),""))</f>
        <v>8</v>
      </c>
      <c r="V62" s="60" t="n">
        <f aca="false">IF($C62="","",IFERROR(MATCH($C62,Parties!$A$5:$A$304,0),""))</f>
        <v>2</v>
      </c>
      <c r="W62" s="60" t="n">
        <f aca="false">IF($B62="","",IFERROR(VALUE(SUBSTITUTE($B62,InvPrefix,"")),0))</f>
        <v>45</v>
      </c>
      <c r="X62" s="61" t="n">
        <f aca="false">IF($D62="","",IF(OR($H62="",$H62="Credit"),0,Q62))</f>
        <v>0</v>
      </c>
    </row>
    <row r="63" customFormat="false" ht="15" hidden="false" customHeight="false" outlineLevel="0" collapsed="false">
      <c r="A63" s="55" t="n">
        <v>46181</v>
      </c>
      <c r="B63" s="56" t="s">
        <v>137</v>
      </c>
      <c r="C63" s="56" t="s">
        <v>88</v>
      </c>
      <c r="D63" s="56" t="s">
        <v>73</v>
      </c>
      <c r="E63" s="57" t="n">
        <v>6</v>
      </c>
      <c r="F63" s="58"/>
      <c r="G63" s="59"/>
      <c r="H63" s="56" t="s">
        <v>74</v>
      </c>
      <c r="I63" s="56" t="s">
        <v>75</v>
      </c>
      <c r="J63" s="60" t="str">
        <f aca="false">IF($D63="","",IFERROR(INDEX(Items!$D$5:$D$504,U63),""))</f>
        <v>Bag</v>
      </c>
      <c r="K63" s="61" t="n">
        <f aca="false">IF($D63="","",IF($F63="",IFERROR(INDEX(Items!$H$5:$H$504,U63),0),$F63))</f>
        <v>2106</v>
      </c>
      <c r="L63" s="61" t="n">
        <f aca="false">IF($D63="","",ROUND(N($E63)*K63*(1-N($G63)),2))</f>
        <v>12636</v>
      </c>
      <c r="M63" s="62" t="n">
        <f aca="false">IF($D63="","",IFERROR(INDEX(Items!$F$5:$F$504,U63),0))</f>
        <v>0.05</v>
      </c>
      <c r="N63" s="61" t="n">
        <f aca="false">IF($D63="","",IF(AND(V63&lt;&gt;"",INDEX(Parties!$E$5:$E$304,V63)&lt;&gt;"",INDEX(Parties!$E$5:$E$304,V63)&lt;&gt;HomeState),0,ROUND(L63*M63/2,2)))</f>
        <v>315.9</v>
      </c>
      <c r="O63" s="61" t="n">
        <f aca="false">IF($D63="","",N63)</f>
        <v>315.9</v>
      </c>
      <c r="P63" s="61" t="n">
        <f aca="false">IF($D63="","",IF(AND(V63&lt;&gt;"",INDEX(Parties!$E$5:$E$304,V63)&lt;&gt;"",INDEX(Parties!$E$5:$E$304,V63)&lt;&gt;HomeState),ROUND(L63*M63,2),0))</f>
        <v>0</v>
      </c>
      <c r="Q63" s="61" t="n">
        <f aca="false">IF($D63="","",L63+N63+O63+P63)</f>
        <v>13267.8</v>
      </c>
      <c r="R63" s="61" t="n">
        <f aca="false">IF($D63="","",ROUND(N($E63)*IFERROR(INDEX(Items!$P$5:$P$504,U63),0),2))</f>
        <v>9884.58</v>
      </c>
      <c r="S63" s="61" t="n">
        <f aca="false">IF($D63="","",L63-R63)</f>
        <v>2751.42</v>
      </c>
      <c r="T63" s="60" t="str">
        <f aca="false">IF($D63="","",IF(U63="","UNKNOWN ITEM",IF(INDEX(Items!$O$5:$O$504,U63)&lt;0,"NEG STOCK",IF(K63&lt;INDEX(Items!$P$5:$P$504,U63),"BELOW COST","OK"))))</f>
        <v>OK</v>
      </c>
      <c r="U63" s="60" t="n">
        <f aca="false">IF($D63="","",IFERROR(MATCH($D63,Items!$A$5:$A$504,0),""))</f>
        <v>1</v>
      </c>
      <c r="V63" s="60" t="n">
        <f aca="false">IF($C63="","",IFERROR(MATCH($C63,Parties!$A$5:$A$304,0),""))</f>
        <v>5</v>
      </c>
      <c r="W63" s="60" t="n">
        <f aca="false">IF($B63="","",IFERROR(VALUE(SUBSTITUTE($B63,InvPrefix,"")),0))</f>
        <v>46</v>
      </c>
      <c r="X63" s="61" t="n">
        <f aca="false">IF($D63="","",IF(OR($H63="",$H63="Credit"),0,Q63))</f>
        <v>13267.8</v>
      </c>
    </row>
    <row r="64" customFormat="false" ht="15" hidden="false" customHeight="false" outlineLevel="0" collapsed="false">
      <c r="A64" s="55" t="n">
        <v>46183</v>
      </c>
      <c r="B64" s="56" t="s">
        <v>138</v>
      </c>
      <c r="C64" s="56" t="s">
        <v>88</v>
      </c>
      <c r="D64" s="56" t="s">
        <v>98</v>
      </c>
      <c r="E64" s="57" t="n">
        <v>17</v>
      </c>
      <c r="F64" s="58"/>
      <c r="G64" s="59"/>
      <c r="H64" s="56"/>
      <c r="I64" s="56" t="s">
        <v>75</v>
      </c>
      <c r="J64" s="60" t="str">
        <f aca="false">IF($D64="","",IFERROR(INDEX(Items!$D$5:$D$504,U64),""))</f>
        <v>Pack</v>
      </c>
      <c r="K64" s="61" t="n">
        <f aca="false">IF($D64="","",IF($F64="",IFERROR(INDEX(Items!$H$5:$H$504,U64),0),$F64))</f>
        <v>508</v>
      </c>
      <c r="L64" s="61" t="n">
        <f aca="false">IF($D64="","",ROUND(N($E64)*K64*(1-N($G64)),2))</f>
        <v>8636</v>
      </c>
      <c r="M64" s="62" t="n">
        <f aca="false">IF($D64="","",IFERROR(INDEX(Items!$F$5:$F$504,U64),0))</f>
        <v>0.05</v>
      </c>
      <c r="N64" s="61" t="n">
        <f aca="false">IF($D64="","",IF(AND(V64&lt;&gt;"",INDEX(Parties!$E$5:$E$304,V64)&lt;&gt;"",INDEX(Parties!$E$5:$E$304,V64)&lt;&gt;HomeState),0,ROUND(L64*M64/2,2)))</f>
        <v>215.9</v>
      </c>
      <c r="O64" s="61" t="n">
        <f aca="false">IF($D64="","",N64)</f>
        <v>215.9</v>
      </c>
      <c r="P64" s="61" t="n">
        <f aca="false">IF($D64="","",IF(AND(V64&lt;&gt;"",INDEX(Parties!$E$5:$E$304,V64)&lt;&gt;"",INDEX(Parties!$E$5:$E$304,V64)&lt;&gt;HomeState),ROUND(L64*M64,2),0))</f>
        <v>0</v>
      </c>
      <c r="Q64" s="61" t="n">
        <f aca="false">IF($D64="","",L64+N64+O64+P64)</f>
        <v>9067.8</v>
      </c>
      <c r="R64" s="61" t="n">
        <f aca="false">IF($D64="","",ROUND(N($E64)*IFERROR(INDEX(Items!$P$5:$P$504,U64),0),2))</f>
        <v>6410.34</v>
      </c>
      <c r="S64" s="61" t="n">
        <f aca="false">IF($D64="","",L64-R64)</f>
        <v>2225.66</v>
      </c>
      <c r="T64" s="60" t="str">
        <f aca="false">IF($D64="","",IF(U64="","UNKNOWN ITEM",IF(INDEX(Items!$O$5:$O$504,U64)&lt;0,"NEG STOCK",IF(K64&lt;INDEX(Items!$P$5:$P$504,U64),"BELOW COST","OK"))))</f>
        <v>OK</v>
      </c>
      <c r="U64" s="60" t="n">
        <f aca="false">IF($D64="","",IFERROR(MATCH($D64,Items!$A$5:$A$504,0),""))</f>
        <v>4</v>
      </c>
      <c r="V64" s="60" t="n">
        <f aca="false">IF($C64="","",IFERROR(MATCH($C64,Parties!$A$5:$A$304,0),""))</f>
        <v>5</v>
      </c>
      <c r="W64" s="60" t="n">
        <f aca="false">IF($B64="","",IFERROR(VALUE(SUBSTITUTE($B64,InvPrefix,"")),0))</f>
        <v>47</v>
      </c>
      <c r="X64" s="61" t="n">
        <f aca="false">IF($D64="","",IF(OR($H64="",$H64="Credit"),0,Q64))</f>
        <v>0</v>
      </c>
    </row>
    <row r="65" customFormat="false" ht="15" hidden="false" customHeight="false" outlineLevel="0" collapsed="false">
      <c r="A65" s="55" t="n">
        <v>46184</v>
      </c>
      <c r="B65" s="56" t="s">
        <v>139</v>
      </c>
      <c r="C65" s="56" t="s">
        <v>102</v>
      </c>
      <c r="D65" s="56" t="s">
        <v>99</v>
      </c>
      <c r="E65" s="57" t="n">
        <v>51</v>
      </c>
      <c r="F65" s="58"/>
      <c r="G65" s="59"/>
      <c r="H65" s="56" t="s">
        <v>103</v>
      </c>
      <c r="I65" s="56" t="s">
        <v>75</v>
      </c>
      <c r="J65" s="60" t="str">
        <f aca="false">IF($D65="","",IFERROR(INDEX(Items!$D$5:$D$504,U65),""))</f>
        <v>Pcs</v>
      </c>
      <c r="K65" s="61" t="n">
        <f aca="false">IF($D65="","",IF($F65="",IFERROR(INDEX(Items!$H$5:$H$504,U65),0),$F65))</f>
        <v>107</v>
      </c>
      <c r="L65" s="61" t="n">
        <f aca="false">IF($D65="","",ROUND(N($E65)*K65*(1-N($G65)),2))</f>
        <v>5457</v>
      </c>
      <c r="M65" s="62" t="n">
        <f aca="false">IF($D65="","",IFERROR(INDEX(Items!$F$5:$F$504,U65),0))</f>
        <v>0.18</v>
      </c>
      <c r="N65" s="61" t="n">
        <f aca="false">IF($D65="","",IF(AND(V65&lt;&gt;"",INDEX(Parties!$E$5:$E$304,V65)&lt;&gt;"",INDEX(Parties!$E$5:$E$304,V65)&lt;&gt;HomeState),0,ROUND(L65*M65/2,2)))</f>
        <v>491.13</v>
      </c>
      <c r="O65" s="61" t="n">
        <f aca="false">IF($D65="","",N65)</f>
        <v>491.13</v>
      </c>
      <c r="P65" s="61" t="n">
        <f aca="false">IF($D65="","",IF(AND(V65&lt;&gt;"",INDEX(Parties!$E$5:$E$304,V65)&lt;&gt;"",INDEX(Parties!$E$5:$E$304,V65)&lt;&gt;HomeState),ROUND(L65*M65,2),0))</f>
        <v>0</v>
      </c>
      <c r="Q65" s="61" t="n">
        <f aca="false">IF($D65="","",L65+N65+O65+P65)</f>
        <v>6439.26</v>
      </c>
      <c r="R65" s="61" t="n">
        <f aca="false">IF($D65="","",ROUND(N($E65)*IFERROR(INDEX(Items!$P$5:$P$504,U65),0),2))</f>
        <v>3132.27</v>
      </c>
      <c r="S65" s="61" t="n">
        <f aca="false">IF($D65="","",L65-R65)</f>
        <v>2324.73</v>
      </c>
      <c r="T65" s="60" t="str">
        <f aca="false">IF($D65="","",IF(U65="","UNKNOWN ITEM",IF(INDEX(Items!$O$5:$O$504,U65)&lt;0,"NEG STOCK",IF(K65&lt;INDEX(Items!$P$5:$P$504,U65),"BELOW COST","OK"))))</f>
        <v>OK</v>
      </c>
      <c r="U65" s="60" t="n">
        <f aca="false">IF($D65="","",IFERROR(MATCH($D65,Items!$A$5:$A$504,0),""))</f>
        <v>7</v>
      </c>
      <c r="V65" s="60" t="n">
        <f aca="false">IF($C65="","",IFERROR(MATCH($C65,Parties!$A$5:$A$304,0),""))</f>
        <v>4</v>
      </c>
      <c r="W65" s="60" t="n">
        <f aca="false">IF($B65="","",IFERROR(VALUE(SUBSTITUTE($B65,InvPrefix,"")),0))</f>
        <v>48</v>
      </c>
      <c r="X65" s="61" t="n">
        <f aca="false">IF($D65="","",IF(OR($H65="",$H65="Credit"),0,Q65))</f>
        <v>6439.26</v>
      </c>
    </row>
    <row r="66" customFormat="false" ht="15" hidden="false" customHeight="false" outlineLevel="0" collapsed="false">
      <c r="A66" s="55" t="n">
        <v>46184</v>
      </c>
      <c r="B66" s="56" t="s">
        <v>139</v>
      </c>
      <c r="C66" s="56" t="s">
        <v>102</v>
      </c>
      <c r="D66" s="56" t="s">
        <v>79</v>
      </c>
      <c r="E66" s="57" t="n">
        <v>35</v>
      </c>
      <c r="F66" s="58"/>
      <c r="G66" s="59"/>
      <c r="H66" s="56" t="s">
        <v>103</v>
      </c>
      <c r="I66" s="56" t="s">
        <v>75</v>
      </c>
      <c r="J66" s="60" t="str">
        <f aca="false">IF($D66="","",IFERROR(INDEX(Items!$D$5:$D$504,U66),""))</f>
        <v>Pcs</v>
      </c>
      <c r="K66" s="61" t="n">
        <f aca="false">IF($D66="","",IF($F66="",IFERROR(INDEX(Items!$H$5:$H$504,U66),0),$F66))</f>
        <v>297</v>
      </c>
      <c r="L66" s="61" t="n">
        <f aca="false">IF($D66="","",ROUND(N($E66)*K66*(1-N($G66)),2))</f>
        <v>10395</v>
      </c>
      <c r="M66" s="62" t="n">
        <f aca="false">IF($D66="","",IFERROR(INDEX(Items!$F$5:$F$504,U66),0))</f>
        <v>0.18</v>
      </c>
      <c r="N66" s="61" t="n">
        <f aca="false">IF($D66="","",IF(AND(V66&lt;&gt;"",INDEX(Parties!$E$5:$E$304,V66)&lt;&gt;"",INDEX(Parties!$E$5:$E$304,V66)&lt;&gt;HomeState),0,ROUND(L66*M66/2,2)))</f>
        <v>935.55</v>
      </c>
      <c r="O66" s="61" t="n">
        <f aca="false">IF($D66="","",N66)</f>
        <v>935.55</v>
      </c>
      <c r="P66" s="61" t="n">
        <f aca="false">IF($D66="","",IF(AND(V66&lt;&gt;"",INDEX(Parties!$E$5:$E$304,V66)&lt;&gt;"",INDEX(Parties!$E$5:$E$304,V66)&lt;&gt;HomeState),ROUND(L66*M66,2),0))</f>
        <v>0</v>
      </c>
      <c r="Q66" s="61" t="n">
        <f aca="false">IF($D66="","",L66+N66+O66+P66)</f>
        <v>12266.1</v>
      </c>
      <c r="R66" s="61" t="n">
        <f aca="false">IF($D66="","",ROUND(N($E66)*IFERROR(INDEX(Items!$P$5:$P$504,U66),0),2))</f>
        <v>7337.16</v>
      </c>
      <c r="S66" s="61" t="n">
        <f aca="false">IF($D66="","",L66-R66)</f>
        <v>3057.84</v>
      </c>
      <c r="T66" s="60" t="str">
        <f aca="false">IF($D66="","",IF(U66="","UNKNOWN ITEM",IF(INDEX(Items!$O$5:$O$504,U66)&lt;0,"NEG STOCK",IF(K66&lt;INDEX(Items!$P$5:$P$504,U66),"BELOW COST","OK"))))</f>
        <v>OK</v>
      </c>
      <c r="U66" s="60" t="n">
        <f aca="false">IF($D66="","",IFERROR(MATCH($D66,Items!$A$5:$A$504,0),""))</f>
        <v>9</v>
      </c>
      <c r="V66" s="60" t="n">
        <f aca="false">IF($C66="","",IFERROR(MATCH($C66,Parties!$A$5:$A$304,0),""))</f>
        <v>4</v>
      </c>
      <c r="W66" s="60" t="n">
        <f aca="false">IF($B66="","",IFERROR(VALUE(SUBSTITUTE($B66,InvPrefix,"")),0))</f>
        <v>48</v>
      </c>
      <c r="X66" s="61" t="n">
        <f aca="false">IF($D66="","",IF(OR($H66="",$H66="Credit"),0,Q66))</f>
        <v>12266.1</v>
      </c>
    </row>
    <row r="67" customFormat="false" ht="15" hidden="false" customHeight="false" outlineLevel="0" collapsed="false">
      <c r="A67" s="55" t="n">
        <v>46185</v>
      </c>
      <c r="B67" s="56" t="s">
        <v>140</v>
      </c>
      <c r="C67" s="56" t="s">
        <v>81</v>
      </c>
      <c r="D67" s="56" t="s">
        <v>73</v>
      </c>
      <c r="E67" s="57" t="n">
        <v>8</v>
      </c>
      <c r="F67" s="58"/>
      <c r="G67" s="59"/>
      <c r="H67" s="56" t="s">
        <v>90</v>
      </c>
      <c r="I67" s="56" t="s">
        <v>75</v>
      </c>
      <c r="J67" s="60" t="str">
        <f aca="false">IF($D67="","",IFERROR(INDEX(Items!$D$5:$D$504,U67),""))</f>
        <v>Bag</v>
      </c>
      <c r="K67" s="61" t="n">
        <f aca="false">IF($D67="","",IF($F67="",IFERROR(INDEX(Items!$H$5:$H$504,U67),0),$F67))</f>
        <v>2106</v>
      </c>
      <c r="L67" s="61" t="n">
        <f aca="false">IF($D67="","",ROUND(N($E67)*K67*(1-N($G67)),2))</f>
        <v>16848</v>
      </c>
      <c r="M67" s="62" t="n">
        <f aca="false">IF($D67="","",IFERROR(INDEX(Items!$F$5:$F$504,U67),0))</f>
        <v>0.05</v>
      </c>
      <c r="N67" s="61" t="n">
        <f aca="false">IF($D67="","",IF(AND(V67&lt;&gt;"",INDEX(Parties!$E$5:$E$304,V67)&lt;&gt;"",INDEX(Parties!$E$5:$E$304,V67)&lt;&gt;HomeState),0,ROUND(L67*M67/2,2)))</f>
        <v>0</v>
      </c>
      <c r="O67" s="61" t="n">
        <f aca="false">IF($D67="","",N67)</f>
        <v>0</v>
      </c>
      <c r="P67" s="61" t="n">
        <f aca="false">IF($D67="","",IF(AND(V67&lt;&gt;"",INDEX(Parties!$E$5:$E$304,V67)&lt;&gt;"",INDEX(Parties!$E$5:$E$304,V67)&lt;&gt;HomeState),ROUND(L67*M67,2),0))</f>
        <v>842.4</v>
      </c>
      <c r="Q67" s="61" t="n">
        <f aca="false">IF($D67="","",L67+N67+O67+P67)</f>
        <v>17690.4</v>
      </c>
      <c r="R67" s="61" t="n">
        <f aca="false">IF($D67="","",ROUND(N($E67)*IFERROR(INDEX(Items!$P$5:$P$504,U67),0),2))</f>
        <v>13179.44</v>
      </c>
      <c r="S67" s="61" t="n">
        <f aca="false">IF($D67="","",L67-R67)</f>
        <v>3668.56</v>
      </c>
      <c r="T67" s="60" t="str">
        <f aca="false">IF($D67="","",IF(U67="","UNKNOWN ITEM",IF(INDEX(Items!$O$5:$O$504,U67)&lt;0,"NEG STOCK",IF(K67&lt;INDEX(Items!$P$5:$P$504,U67),"BELOW COST","OK"))))</f>
        <v>OK</v>
      </c>
      <c r="U67" s="60" t="n">
        <f aca="false">IF($D67="","",IFERROR(MATCH($D67,Items!$A$5:$A$504,0),""))</f>
        <v>1</v>
      </c>
      <c r="V67" s="60" t="n">
        <f aca="false">IF($C67="","",IFERROR(MATCH($C67,Parties!$A$5:$A$304,0),""))</f>
        <v>3</v>
      </c>
      <c r="W67" s="60" t="n">
        <f aca="false">IF($B67="","",IFERROR(VALUE(SUBSTITUTE($B67,InvPrefix,"")),0))</f>
        <v>49</v>
      </c>
      <c r="X67" s="61" t="n">
        <f aca="false">IF($D67="","",IF(OR($H67="",$H67="Credit"),0,Q67))</f>
        <v>17690.4</v>
      </c>
    </row>
    <row r="68" customFormat="false" ht="15" hidden="false" customHeight="false" outlineLevel="0" collapsed="false">
      <c r="A68" s="55" t="n">
        <v>46188</v>
      </c>
      <c r="B68" s="56" t="s">
        <v>141</v>
      </c>
      <c r="C68" s="56" t="s">
        <v>102</v>
      </c>
      <c r="D68" s="56" t="s">
        <v>73</v>
      </c>
      <c r="E68" s="57" t="n">
        <v>3</v>
      </c>
      <c r="F68" s="58"/>
      <c r="G68" s="59" t="n">
        <v>0.02</v>
      </c>
      <c r="H68" s="56" t="s">
        <v>103</v>
      </c>
      <c r="I68" s="56" t="s">
        <v>75</v>
      </c>
      <c r="J68" s="60" t="str">
        <f aca="false">IF($D68="","",IFERROR(INDEX(Items!$D$5:$D$504,U68),""))</f>
        <v>Bag</v>
      </c>
      <c r="K68" s="61" t="n">
        <f aca="false">IF($D68="","",IF($F68="",IFERROR(INDEX(Items!$H$5:$H$504,U68),0),$F68))</f>
        <v>2106</v>
      </c>
      <c r="L68" s="61" t="n">
        <f aca="false">IF($D68="","",ROUND(N($E68)*K68*(1-N($G68)),2))</f>
        <v>6191.64</v>
      </c>
      <c r="M68" s="62" t="n">
        <f aca="false">IF($D68="","",IFERROR(INDEX(Items!$F$5:$F$504,U68),0))</f>
        <v>0.05</v>
      </c>
      <c r="N68" s="61" t="n">
        <f aca="false">IF($D68="","",IF(AND(V68&lt;&gt;"",INDEX(Parties!$E$5:$E$304,V68)&lt;&gt;"",INDEX(Parties!$E$5:$E$304,V68)&lt;&gt;HomeState),0,ROUND(L68*M68/2,2)))</f>
        <v>154.79</v>
      </c>
      <c r="O68" s="61" t="n">
        <f aca="false">IF($D68="","",N68)</f>
        <v>154.79</v>
      </c>
      <c r="P68" s="61" t="n">
        <f aca="false">IF($D68="","",IF(AND(V68&lt;&gt;"",INDEX(Parties!$E$5:$E$304,V68)&lt;&gt;"",INDEX(Parties!$E$5:$E$304,V68)&lt;&gt;HomeState),ROUND(L68*M68,2),0))</f>
        <v>0</v>
      </c>
      <c r="Q68" s="61" t="n">
        <f aca="false">IF($D68="","",L68+N68+O68+P68)</f>
        <v>6501.22</v>
      </c>
      <c r="R68" s="61" t="n">
        <f aca="false">IF($D68="","",ROUND(N($E68)*IFERROR(INDEX(Items!$P$5:$P$504,U68),0),2))</f>
        <v>4942.29</v>
      </c>
      <c r="S68" s="61" t="n">
        <f aca="false">IF($D68="","",L68-R68)</f>
        <v>1249.35</v>
      </c>
      <c r="T68" s="60" t="str">
        <f aca="false">IF($D68="","",IF(U68="","UNKNOWN ITEM",IF(INDEX(Items!$O$5:$O$504,U68)&lt;0,"NEG STOCK",IF(K68&lt;INDEX(Items!$P$5:$P$504,U68),"BELOW COST","OK"))))</f>
        <v>OK</v>
      </c>
      <c r="U68" s="60" t="n">
        <f aca="false">IF($D68="","",IFERROR(MATCH($D68,Items!$A$5:$A$504,0),""))</f>
        <v>1</v>
      </c>
      <c r="V68" s="60" t="n">
        <f aca="false">IF($C68="","",IFERROR(MATCH($C68,Parties!$A$5:$A$304,0),""))</f>
        <v>4</v>
      </c>
      <c r="W68" s="60" t="n">
        <f aca="false">IF($B68="","",IFERROR(VALUE(SUBSTITUTE($B68,InvPrefix,"")),0))</f>
        <v>50</v>
      </c>
      <c r="X68" s="61" t="n">
        <f aca="false">IF($D68="","",IF(OR($H68="",$H68="Credit"),0,Q68))</f>
        <v>6501.22</v>
      </c>
    </row>
    <row r="69" customFormat="false" ht="15" hidden="false" customHeight="false" outlineLevel="0" collapsed="false">
      <c r="A69" s="55" t="n">
        <v>46189</v>
      </c>
      <c r="B69" s="56" t="s">
        <v>142</v>
      </c>
      <c r="C69" s="56" t="s">
        <v>102</v>
      </c>
      <c r="D69" s="56" t="s">
        <v>94</v>
      </c>
      <c r="E69" s="57" t="n">
        <v>9</v>
      </c>
      <c r="F69" s="58"/>
      <c r="G69" s="59"/>
      <c r="H69" s="56" t="s">
        <v>103</v>
      </c>
      <c r="I69" s="56" t="s">
        <v>75</v>
      </c>
      <c r="J69" s="60" t="str">
        <f aca="false">IF($D69="","",IFERROR(INDEX(Items!$D$5:$D$504,U69),""))</f>
        <v>Pack</v>
      </c>
      <c r="K69" s="61" t="n">
        <f aca="false">IF($D69="","",IF($F69="",IFERROR(INDEX(Items!$H$5:$H$504,U69),0),$F69))</f>
        <v>691</v>
      </c>
      <c r="L69" s="61" t="n">
        <f aca="false">IF($D69="","",ROUND(N($E69)*K69*(1-N($G69)),2))</f>
        <v>6219</v>
      </c>
      <c r="M69" s="62" t="n">
        <f aca="false">IF($D69="","",IFERROR(INDEX(Items!$F$5:$F$504,U69),0))</f>
        <v>0.18</v>
      </c>
      <c r="N69" s="61" t="n">
        <f aca="false">IF($D69="","",IF(AND(V69&lt;&gt;"",INDEX(Parties!$E$5:$E$304,V69)&lt;&gt;"",INDEX(Parties!$E$5:$E$304,V69)&lt;&gt;HomeState),0,ROUND(L69*M69/2,2)))</f>
        <v>559.71</v>
      </c>
      <c r="O69" s="61" t="n">
        <f aca="false">IF($D69="","",N69)</f>
        <v>559.71</v>
      </c>
      <c r="P69" s="61" t="n">
        <f aca="false">IF($D69="","",IF(AND(V69&lt;&gt;"",INDEX(Parties!$E$5:$E$304,V69)&lt;&gt;"",INDEX(Parties!$E$5:$E$304,V69)&lt;&gt;HomeState),ROUND(L69*M69,2),0))</f>
        <v>0</v>
      </c>
      <c r="Q69" s="61" t="n">
        <f aca="false">IF($D69="","",L69+N69+O69+P69)</f>
        <v>7338.42</v>
      </c>
      <c r="R69" s="61" t="n">
        <f aca="false">IF($D69="","",ROUND(N($E69)*IFERROR(INDEX(Items!$P$5:$P$504,U69),0),2))</f>
        <v>4659.23</v>
      </c>
      <c r="S69" s="61" t="n">
        <f aca="false">IF($D69="","",L69-R69)</f>
        <v>1559.77</v>
      </c>
      <c r="T69" s="60" t="str">
        <f aca="false">IF($D69="","",IF(U69="","UNKNOWN ITEM",IF(INDEX(Items!$O$5:$O$504,U69)&lt;0,"NEG STOCK",IF(K69&lt;INDEX(Items!$P$5:$P$504,U69),"BELOW COST","OK"))))</f>
        <v>OK</v>
      </c>
      <c r="U69" s="60" t="n">
        <f aca="false">IF($D69="","",IFERROR(MATCH($D69,Items!$A$5:$A$504,0),""))</f>
        <v>5</v>
      </c>
      <c r="V69" s="60" t="n">
        <f aca="false">IF($C69="","",IFERROR(MATCH($C69,Parties!$A$5:$A$304,0),""))</f>
        <v>4</v>
      </c>
      <c r="W69" s="60" t="n">
        <f aca="false">IF($B69="","",IFERROR(VALUE(SUBSTITUTE($B69,InvPrefix,"")),0))</f>
        <v>51</v>
      </c>
      <c r="X69" s="61" t="n">
        <f aca="false">IF($D69="","",IF(OR($H69="",$H69="Credit"),0,Q69))</f>
        <v>7338.42</v>
      </c>
    </row>
    <row r="70" customFormat="false" ht="15" hidden="false" customHeight="false" outlineLevel="0" collapsed="false">
      <c r="A70" s="55" t="n">
        <v>46189</v>
      </c>
      <c r="B70" s="56" t="s">
        <v>142</v>
      </c>
      <c r="C70" s="56" t="s">
        <v>102</v>
      </c>
      <c r="D70" s="56" t="s">
        <v>73</v>
      </c>
      <c r="E70" s="57" t="n">
        <v>4</v>
      </c>
      <c r="F70" s="58"/>
      <c r="G70" s="59"/>
      <c r="H70" s="56" t="s">
        <v>103</v>
      </c>
      <c r="I70" s="56" t="s">
        <v>75</v>
      </c>
      <c r="J70" s="60" t="str">
        <f aca="false">IF($D70="","",IFERROR(INDEX(Items!$D$5:$D$504,U70),""))</f>
        <v>Bag</v>
      </c>
      <c r="K70" s="61" t="n">
        <f aca="false">IF($D70="","",IF($F70="",IFERROR(INDEX(Items!$H$5:$H$504,U70),0),$F70))</f>
        <v>2106</v>
      </c>
      <c r="L70" s="61" t="n">
        <f aca="false">IF($D70="","",ROUND(N($E70)*K70*(1-N($G70)),2))</f>
        <v>8424</v>
      </c>
      <c r="M70" s="62" t="n">
        <f aca="false">IF($D70="","",IFERROR(INDEX(Items!$F$5:$F$504,U70),0))</f>
        <v>0.05</v>
      </c>
      <c r="N70" s="61" t="n">
        <f aca="false">IF($D70="","",IF(AND(V70&lt;&gt;"",INDEX(Parties!$E$5:$E$304,V70)&lt;&gt;"",INDEX(Parties!$E$5:$E$304,V70)&lt;&gt;HomeState),0,ROUND(L70*M70/2,2)))</f>
        <v>210.6</v>
      </c>
      <c r="O70" s="61" t="n">
        <f aca="false">IF($D70="","",N70)</f>
        <v>210.6</v>
      </c>
      <c r="P70" s="61" t="n">
        <f aca="false">IF($D70="","",IF(AND(V70&lt;&gt;"",INDEX(Parties!$E$5:$E$304,V70)&lt;&gt;"",INDEX(Parties!$E$5:$E$304,V70)&lt;&gt;HomeState),ROUND(L70*M70,2),0))</f>
        <v>0</v>
      </c>
      <c r="Q70" s="61" t="n">
        <f aca="false">IF($D70="","",L70+N70+O70+P70)</f>
        <v>8845.2</v>
      </c>
      <c r="R70" s="61" t="n">
        <f aca="false">IF($D70="","",ROUND(N($E70)*IFERROR(INDEX(Items!$P$5:$P$504,U70),0),2))</f>
        <v>6589.72</v>
      </c>
      <c r="S70" s="61" t="n">
        <f aca="false">IF($D70="","",L70-R70)</f>
        <v>1834.28</v>
      </c>
      <c r="T70" s="60" t="str">
        <f aca="false">IF($D70="","",IF(U70="","UNKNOWN ITEM",IF(INDEX(Items!$O$5:$O$504,U70)&lt;0,"NEG STOCK",IF(K70&lt;INDEX(Items!$P$5:$P$504,U70),"BELOW COST","OK"))))</f>
        <v>OK</v>
      </c>
      <c r="U70" s="60" t="n">
        <f aca="false">IF($D70="","",IFERROR(MATCH($D70,Items!$A$5:$A$504,0),""))</f>
        <v>1</v>
      </c>
      <c r="V70" s="60" t="n">
        <f aca="false">IF($C70="","",IFERROR(MATCH($C70,Parties!$A$5:$A$304,0),""))</f>
        <v>4</v>
      </c>
      <c r="W70" s="60" t="n">
        <f aca="false">IF($B70="","",IFERROR(VALUE(SUBSTITUTE($B70,InvPrefix,"")),0))</f>
        <v>51</v>
      </c>
      <c r="X70" s="61" t="n">
        <f aca="false">IF($D70="","",IF(OR($H70="",$H70="Credit"),0,Q70))</f>
        <v>8845.2</v>
      </c>
    </row>
    <row r="71" customFormat="false" ht="15" hidden="false" customHeight="false" outlineLevel="0" collapsed="false">
      <c r="A71" s="55" t="n">
        <v>46190</v>
      </c>
      <c r="B71" s="56" t="s">
        <v>143</v>
      </c>
      <c r="C71" s="56" t="s">
        <v>84</v>
      </c>
      <c r="D71" s="56" t="s">
        <v>117</v>
      </c>
      <c r="E71" s="57" t="n">
        <v>3</v>
      </c>
      <c r="F71" s="58"/>
      <c r="G71" s="59"/>
      <c r="H71" s="56"/>
      <c r="I71" s="56" t="s">
        <v>75</v>
      </c>
      <c r="J71" s="60" t="str">
        <f aca="false">IF($D71="","",IFERROR(INDEX(Items!$D$5:$D$504,U71),""))</f>
        <v>Box</v>
      </c>
      <c r="K71" s="61" t="n">
        <f aca="false">IF($D71="","",IF($F71="",IFERROR(INDEX(Items!$H$5:$H$504,U71),0),$F71))</f>
        <v>1166</v>
      </c>
      <c r="L71" s="61" t="n">
        <f aca="false">IF($D71="","",ROUND(N($E71)*K71*(1-N($G71)),2))</f>
        <v>3498</v>
      </c>
      <c r="M71" s="62" t="n">
        <f aca="false">IF($D71="","",IFERROR(INDEX(Items!$F$5:$F$504,U71),0))</f>
        <v>0.05</v>
      </c>
      <c r="N71" s="61" t="n">
        <f aca="false">IF($D71="","",IF(AND(V71&lt;&gt;"",INDEX(Parties!$E$5:$E$304,V71)&lt;&gt;"",INDEX(Parties!$E$5:$E$304,V71)&lt;&gt;HomeState),0,ROUND(L71*M71/2,2)))</f>
        <v>87.45</v>
      </c>
      <c r="O71" s="61" t="n">
        <f aca="false">IF($D71="","",N71)</f>
        <v>87.45</v>
      </c>
      <c r="P71" s="61" t="n">
        <f aca="false">IF($D71="","",IF(AND(V71&lt;&gt;"",INDEX(Parties!$E$5:$E$304,V71)&lt;&gt;"",INDEX(Parties!$E$5:$E$304,V71)&lt;&gt;HomeState),ROUND(L71*M71,2),0))</f>
        <v>0</v>
      </c>
      <c r="Q71" s="61" t="n">
        <f aca="false">IF($D71="","",L71+N71+O71+P71)</f>
        <v>3672.9</v>
      </c>
      <c r="R71" s="61" t="n">
        <f aca="false">IF($D71="","",ROUND(N($E71)*IFERROR(INDEX(Items!$P$5:$P$504,U71),0),2))</f>
        <v>2665.44</v>
      </c>
      <c r="S71" s="61" t="n">
        <f aca="false">IF($D71="","",L71-R71)</f>
        <v>832.56</v>
      </c>
      <c r="T71" s="60" t="str">
        <f aca="false">IF($D71="","",IF(U71="","UNKNOWN ITEM",IF(INDEX(Items!$O$5:$O$504,U71)&lt;0,"NEG STOCK",IF(K71&lt;INDEX(Items!$P$5:$P$504,U71),"BELOW COST","OK"))))</f>
        <v>OK</v>
      </c>
      <c r="U71" s="60" t="n">
        <f aca="false">IF($D71="","",IFERROR(MATCH($D71,Items!$A$5:$A$504,0),""))</f>
        <v>6</v>
      </c>
      <c r="V71" s="60" t="n">
        <f aca="false">IF($C71="","",IFERROR(MATCH($C71,Parties!$A$5:$A$304,0),""))</f>
        <v>9</v>
      </c>
      <c r="W71" s="60" t="n">
        <f aca="false">IF($B71="","",IFERROR(VALUE(SUBSTITUTE($B71,InvPrefix,"")),0))</f>
        <v>52</v>
      </c>
      <c r="X71" s="61" t="n">
        <f aca="false">IF($D71="","",IF(OR($H71="",$H71="Credit"),0,Q71))</f>
        <v>0</v>
      </c>
    </row>
    <row r="72" customFormat="false" ht="15" hidden="false" customHeight="false" outlineLevel="0" collapsed="false">
      <c r="A72" s="55" t="n">
        <v>46190</v>
      </c>
      <c r="B72" s="56" t="s">
        <v>143</v>
      </c>
      <c r="C72" s="56" t="s">
        <v>84</v>
      </c>
      <c r="D72" s="56" t="s">
        <v>98</v>
      </c>
      <c r="E72" s="57" t="n">
        <v>9</v>
      </c>
      <c r="F72" s="58"/>
      <c r="G72" s="59"/>
      <c r="H72" s="56"/>
      <c r="I72" s="56" t="s">
        <v>75</v>
      </c>
      <c r="J72" s="60" t="str">
        <f aca="false">IF($D72="","",IFERROR(INDEX(Items!$D$5:$D$504,U72),""))</f>
        <v>Pack</v>
      </c>
      <c r="K72" s="61" t="n">
        <f aca="false">IF($D72="","",IF($F72="",IFERROR(INDEX(Items!$H$5:$H$504,U72),0),$F72))</f>
        <v>508</v>
      </c>
      <c r="L72" s="61" t="n">
        <f aca="false">IF($D72="","",ROUND(N($E72)*K72*(1-N($G72)),2))</f>
        <v>4572</v>
      </c>
      <c r="M72" s="62" t="n">
        <f aca="false">IF($D72="","",IFERROR(INDEX(Items!$F$5:$F$504,U72),0))</f>
        <v>0.05</v>
      </c>
      <c r="N72" s="61" t="n">
        <f aca="false">IF($D72="","",IF(AND(V72&lt;&gt;"",INDEX(Parties!$E$5:$E$304,V72)&lt;&gt;"",INDEX(Parties!$E$5:$E$304,V72)&lt;&gt;HomeState),0,ROUND(L72*M72/2,2)))</f>
        <v>114.3</v>
      </c>
      <c r="O72" s="61" t="n">
        <f aca="false">IF($D72="","",N72)</f>
        <v>114.3</v>
      </c>
      <c r="P72" s="61" t="n">
        <f aca="false">IF($D72="","",IF(AND(V72&lt;&gt;"",INDEX(Parties!$E$5:$E$304,V72)&lt;&gt;"",INDEX(Parties!$E$5:$E$304,V72)&lt;&gt;HomeState),ROUND(L72*M72,2),0))</f>
        <v>0</v>
      </c>
      <c r="Q72" s="61" t="n">
        <f aca="false">IF($D72="","",L72+N72+O72+P72)</f>
        <v>4800.6</v>
      </c>
      <c r="R72" s="61" t="n">
        <f aca="false">IF($D72="","",ROUND(N($E72)*IFERROR(INDEX(Items!$P$5:$P$504,U72),0),2))</f>
        <v>3393.71</v>
      </c>
      <c r="S72" s="61" t="n">
        <f aca="false">IF($D72="","",L72-R72)</f>
        <v>1178.29</v>
      </c>
      <c r="T72" s="60" t="str">
        <f aca="false">IF($D72="","",IF(U72="","UNKNOWN ITEM",IF(INDEX(Items!$O$5:$O$504,U72)&lt;0,"NEG STOCK",IF(K72&lt;INDEX(Items!$P$5:$P$504,U72),"BELOW COST","OK"))))</f>
        <v>OK</v>
      </c>
      <c r="U72" s="60" t="n">
        <f aca="false">IF($D72="","",IFERROR(MATCH($D72,Items!$A$5:$A$504,0),""))</f>
        <v>4</v>
      </c>
      <c r="V72" s="60" t="n">
        <f aca="false">IF($C72="","",IFERROR(MATCH($C72,Parties!$A$5:$A$304,0),""))</f>
        <v>9</v>
      </c>
      <c r="W72" s="60" t="n">
        <f aca="false">IF($B72="","",IFERROR(VALUE(SUBSTITUTE($B72,InvPrefix,"")),0))</f>
        <v>52</v>
      </c>
      <c r="X72" s="61" t="n">
        <f aca="false">IF($D72="","",IF(OR($H72="",$H72="Credit"),0,Q72))</f>
        <v>0</v>
      </c>
    </row>
    <row r="73" customFormat="false" ht="15" hidden="false" customHeight="false" outlineLevel="0" collapsed="false">
      <c r="A73" s="55" t="n">
        <v>46192</v>
      </c>
      <c r="B73" s="56" t="s">
        <v>144</v>
      </c>
      <c r="C73" s="56" t="s">
        <v>102</v>
      </c>
      <c r="D73" s="56" t="s">
        <v>92</v>
      </c>
      <c r="E73" s="57" t="n">
        <v>2</v>
      </c>
      <c r="F73" s="58"/>
      <c r="G73" s="59"/>
      <c r="H73" s="56" t="s">
        <v>103</v>
      </c>
      <c r="I73" s="56" t="s">
        <v>75</v>
      </c>
      <c r="J73" s="60" t="str">
        <f aca="false">IF($D73="","",IFERROR(INDEX(Items!$D$5:$D$504,U73),""))</f>
        <v>Pcs</v>
      </c>
      <c r="K73" s="61" t="n">
        <f aca="false">IF($D73="","",IF($F73="",IFERROR(INDEX(Items!$H$5:$H$504,U73),0),$F73))</f>
        <v>3132</v>
      </c>
      <c r="L73" s="61" t="n">
        <f aca="false">IF($D73="","",ROUND(N($E73)*K73*(1-N($G73)),2))</f>
        <v>6264</v>
      </c>
      <c r="M73" s="62" t="n">
        <f aca="false">IF($D73="","",IFERROR(INDEX(Items!$F$5:$F$504,U73),0))</f>
        <v>0.18</v>
      </c>
      <c r="N73" s="61" t="n">
        <f aca="false">IF($D73="","",IF(AND(V73&lt;&gt;"",INDEX(Parties!$E$5:$E$304,V73)&lt;&gt;"",INDEX(Parties!$E$5:$E$304,V73)&lt;&gt;HomeState),0,ROUND(L73*M73/2,2)))</f>
        <v>563.76</v>
      </c>
      <c r="O73" s="61" t="n">
        <f aca="false">IF($D73="","",N73)</f>
        <v>563.76</v>
      </c>
      <c r="P73" s="61" t="n">
        <f aca="false">IF($D73="","",IF(AND(V73&lt;&gt;"",INDEX(Parties!$E$5:$E$304,V73)&lt;&gt;"",INDEX(Parties!$E$5:$E$304,V73)&lt;&gt;HomeState),ROUND(L73*M73,2),0))</f>
        <v>0</v>
      </c>
      <c r="Q73" s="61" t="n">
        <f aca="false">IF($D73="","",L73+N73+O73+P73)</f>
        <v>7391.52</v>
      </c>
      <c r="R73" s="61" t="n">
        <f aca="false">IF($D73="","",ROUND(N($E73)*IFERROR(INDEX(Items!$P$5:$P$504,U73),0),2))</f>
        <v>4902.96</v>
      </c>
      <c r="S73" s="61" t="n">
        <f aca="false">IF($D73="","",L73-R73)</f>
        <v>1361.04</v>
      </c>
      <c r="T73" s="60" t="str">
        <f aca="false">IF($D73="","",IF(U73="","UNKNOWN ITEM",IF(INDEX(Items!$O$5:$O$504,U73)&lt;0,"NEG STOCK",IF(K73&lt;INDEX(Items!$P$5:$P$504,U73),"BELOW COST","OK"))))</f>
        <v>OK</v>
      </c>
      <c r="U73" s="60" t="n">
        <f aca="false">IF($D73="","",IFERROR(MATCH($D73,Items!$A$5:$A$504,0),""))</f>
        <v>8</v>
      </c>
      <c r="V73" s="60" t="n">
        <f aca="false">IF($C73="","",IFERROR(MATCH($C73,Parties!$A$5:$A$304,0),""))</f>
        <v>4</v>
      </c>
      <c r="W73" s="60" t="n">
        <f aca="false">IF($B73="","",IFERROR(VALUE(SUBSTITUTE($B73,InvPrefix,"")),0))</f>
        <v>53</v>
      </c>
      <c r="X73" s="61" t="n">
        <f aca="false">IF($D73="","",IF(OR($H73="",$H73="Credit"),0,Q73))</f>
        <v>7391.52</v>
      </c>
    </row>
    <row r="74" customFormat="false" ht="15" hidden="false" customHeight="false" outlineLevel="0" collapsed="false">
      <c r="A74" s="55" t="n">
        <v>46193</v>
      </c>
      <c r="B74" s="56" t="s">
        <v>145</v>
      </c>
      <c r="C74" s="56" t="s">
        <v>72</v>
      </c>
      <c r="D74" s="56" t="s">
        <v>86</v>
      </c>
      <c r="E74" s="57" t="n">
        <v>3</v>
      </c>
      <c r="F74" s="58"/>
      <c r="G74" s="59" t="n">
        <v>0.05</v>
      </c>
      <c r="H74" s="56"/>
      <c r="I74" s="56" t="s">
        <v>75</v>
      </c>
      <c r="J74" s="60" t="str">
        <f aca="false">IF($D74="","",IFERROR(INDEX(Items!$D$5:$D$504,U74),""))</f>
        <v>Bag</v>
      </c>
      <c r="K74" s="61" t="n">
        <f aca="false">IF($D74="","",IF($F74="",IFERROR(INDEX(Items!$H$5:$H$504,U74),0),$F74))</f>
        <v>2462</v>
      </c>
      <c r="L74" s="61" t="n">
        <f aca="false">IF($D74="","",ROUND(N($E74)*K74*(1-N($G74)),2))</f>
        <v>7016.7</v>
      </c>
      <c r="M74" s="62" t="n">
        <f aca="false">IF($D74="","",IFERROR(INDEX(Items!$F$5:$F$504,U74),0))</f>
        <v>0.05</v>
      </c>
      <c r="N74" s="61" t="n">
        <f aca="false">IF($D74="","",IF(AND(V74&lt;&gt;"",INDEX(Parties!$E$5:$E$304,V74)&lt;&gt;"",INDEX(Parties!$E$5:$E$304,V74)&lt;&gt;HomeState),0,ROUND(L74*M74/2,2)))</f>
        <v>175.42</v>
      </c>
      <c r="O74" s="61" t="n">
        <f aca="false">IF($D74="","",N74)</f>
        <v>175.42</v>
      </c>
      <c r="P74" s="61" t="n">
        <f aca="false">IF($D74="","",IF(AND(V74&lt;&gt;"",INDEX(Parties!$E$5:$E$304,V74)&lt;&gt;"",INDEX(Parties!$E$5:$E$304,V74)&lt;&gt;HomeState),ROUND(L74*M74,2),0))</f>
        <v>0</v>
      </c>
      <c r="Q74" s="61" t="n">
        <f aca="false">IF($D74="","",L74+N74+O74+P74)</f>
        <v>7367.54</v>
      </c>
      <c r="R74" s="61" t="n">
        <f aca="false">IF($D74="","",ROUND(N($E74)*IFERROR(INDEX(Items!$P$5:$P$504,U74),0),2))</f>
        <v>6113.19</v>
      </c>
      <c r="S74" s="61" t="n">
        <f aca="false">IF($D74="","",L74-R74)</f>
        <v>903.51</v>
      </c>
      <c r="T74" s="60" t="str">
        <f aca="false">IF($D74="","",IF(U74="","UNKNOWN ITEM",IF(INDEX(Items!$O$5:$O$504,U74)&lt;0,"NEG STOCK",IF(K74&lt;INDEX(Items!$P$5:$P$504,U74),"BELOW COST","OK"))))</f>
        <v>OK</v>
      </c>
      <c r="U74" s="60" t="n">
        <f aca="false">IF($D74="","",IFERROR(MATCH($D74,Items!$A$5:$A$504,0),""))</f>
        <v>2</v>
      </c>
      <c r="V74" s="60" t="n">
        <f aca="false">IF($C74="","",IFERROR(MATCH($C74,Parties!$A$5:$A$304,0),""))</f>
        <v>1</v>
      </c>
      <c r="W74" s="60" t="n">
        <f aca="false">IF($B74="","",IFERROR(VALUE(SUBSTITUTE($B74,InvPrefix,"")),0))</f>
        <v>54</v>
      </c>
      <c r="X74" s="61" t="n">
        <f aca="false">IF($D74="","",IF(OR($H74="",$H74="Credit"),0,Q74))</f>
        <v>0</v>
      </c>
    </row>
    <row r="75" customFormat="false" ht="15" hidden="false" customHeight="false" outlineLevel="0" collapsed="false">
      <c r="A75" s="55" t="n">
        <v>46197</v>
      </c>
      <c r="B75" s="56" t="s">
        <v>146</v>
      </c>
      <c r="C75" s="56" t="s">
        <v>102</v>
      </c>
      <c r="D75" s="56" t="s">
        <v>85</v>
      </c>
      <c r="E75" s="57" t="n">
        <v>4</v>
      </c>
      <c r="F75" s="58"/>
      <c r="G75" s="59"/>
      <c r="H75" s="56" t="s">
        <v>103</v>
      </c>
      <c r="I75" s="56" t="s">
        <v>75</v>
      </c>
      <c r="J75" s="60" t="str">
        <f aca="false">IF($D75="","",IFERROR(INDEX(Items!$D$5:$D$504,U75),""))</f>
        <v>Pcs</v>
      </c>
      <c r="K75" s="61" t="n">
        <f aca="false">IF($D75="","",IF($F75="",IFERROR(INDEX(Items!$H$5:$H$504,U75),0),$F75))</f>
        <v>2322</v>
      </c>
      <c r="L75" s="61" t="n">
        <f aca="false">IF($D75="","",ROUND(N($E75)*K75*(1-N($G75)),2))</f>
        <v>9288</v>
      </c>
      <c r="M75" s="62" t="n">
        <f aca="false">IF($D75="","",IFERROR(INDEX(Items!$F$5:$F$504,U75),0))</f>
        <v>0.18</v>
      </c>
      <c r="N75" s="61" t="n">
        <f aca="false">IF($D75="","",IF(AND(V75&lt;&gt;"",INDEX(Parties!$E$5:$E$304,V75)&lt;&gt;"",INDEX(Parties!$E$5:$E$304,V75)&lt;&gt;HomeState),0,ROUND(L75*M75/2,2)))</f>
        <v>835.92</v>
      </c>
      <c r="O75" s="61" t="n">
        <f aca="false">IF($D75="","",N75)</f>
        <v>835.92</v>
      </c>
      <c r="P75" s="61" t="n">
        <f aca="false">IF($D75="","",IF(AND(V75&lt;&gt;"",INDEX(Parties!$E$5:$E$304,V75)&lt;&gt;"",INDEX(Parties!$E$5:$E$304,V75)&lt;&gt;HomeState),ROUND(L75*M75,2),0))</f>
        <v>0</v>
      </c>
      <c r="Q75" s="61" t="n">
        <f aca="false">IF($D75="","",L75+N75+O75+P75)</f>
        <v>10959.84</v>
      </c>
      <c r="R75" s="61" t="n">
        <f aca="false">IF($D75="","",ROUND(N($E75)*IFERROR(INDEX(Items!$P$5:$P$504,U75),0),2))</f>
        <v>6575.2</v>
      </c>
      <c r="S75" s="61" t="n">
        <f aca="false">IF($D75="","",L75-R75)</f>
        <v>2712.8</v>
      </c>
      <c r="T75" s="60" t="str">
        <f aca="false">IF($D75="","",IF(U75="","UNKNOWN ITEM",IF(INDEX(Items!$O$5:$O$504,U75)&lt;0,"NEG STOCK",IF(K75&lt;INDEX(Items!$P$5:$P$504,U75),"BELOW COST","OK"))))</f>
        <v>OK</v>
      </c>
      <c r="U75" s="60" t="n">
        <f aca="false">IF($D75="","",IFERROR(MATCH($D75,Items!$A$5:$A$504,0),""))</f>
        <v>12</v>
      </c>
      <c r="V75" s="60" t="n">
        <f aca="false">IF($C75="","",IFERROR(MATCH($C75,Parties!$A$5:$A$304,0),""))</f>
        <v>4</v>
      </c>
      <c r="W75" s="60" t="n">
        <f aca="false">IF($B75="","",IFERROR(VALUE(SUBSTITUTE($B75,InvPrefix,"")),0))</f>
        <v>56</v>
      </c>
      <c r="X75" s="61" t="n">
        <f aca="false">IF($D75="","",IF(OR($H75="",$H75="Credit"),0,Q75))</f>
        <v>10959.84</v>
      </c>
    </row>
    <row r="76" customFormat="false" ht="15" hidden="false" customHeight="false" outlineLevel="0" collapsed="false">
      <c r="A76" s="55" t="n">
        <v>46198</v>
      </c>
      <c r="B76" s="56" t="s">
        <v>147</v>
      </c>
      <c r="C76" s="56" t="s">
        <v>81</v>
      </c>
      <c r="D76" s="56" t="s">
        <v>79</v>
      </c>
      <c r="E76" s="57" t="n">
        <v>23</v>
      </c>
      <c r="F76" s="58"/>
      <c r="G76" s="59" t="n">
        <v>0.05</v>
      </c>
      <c r="H76" s="56"/>
      <c r="I76" s="56" t="s">
        <v>75</v>
      </c>
      <c r="J76" s="60" t="str">
        <f aca="false">IF($D76="","",IFERROR(INDEX(Items!$D$5:$D$504,U76),""))</f>
        <v>Pcs</v>
      </c>
      <c r="K76" s="61" t="n">
        <f aca="false">IF($D76="","",IF($F76="",IFERROR(INDEX(Items!$H$5:$H$504,U76),0),$F76))</f>
        <v>297</v>
      </c>
      <c r="L76" s="61" t="n">
        <f aca="false">IF($D76="","",ROUND(N($E76)*K76*(1-N($G76)),2))</f>
        <v>6489.45</v>
      </c>
      <c r="M76" s="62" t="n">
        <f aca="false">IF($D76="","",IFERROR(INDEX(Items!$F$5:$F$504,U76),0))</f>
        <v>0.18</v>
      </c>
      <c r="N76" s="61" t="n">
        <f aca="false">IF($D76="","",IF(AND(V76&lt;&gt;"",INDEX(Parties!$E$5:$E$304,V76)&lt;&gt;"",INDEX(Parties!$E$5:$E$304,V76)&lt;&gt;HomeState),0,ROUND(L76*M76/2,2)))</f>
        <v>0</v>
      </c>
      <c r="O76" s="61" t="n">
        <f aca="false">IF($D76="","",N76)</f>
        <v>0</v>
      </c>
      <c r="P76" s="61" t="n">
        <f aca="false">IF($D76="","",IF(AND(V76&lt;&gt;"",INDEX(Parties!$E$5:$E$304,V76)&lt;&gt;"",INDEX(Parties!$E$5:$E$304,V76)&lt;&gt;HomeState),ROUND(L76*M76,2),0))</f>
        <v>1168.1</v>
      </c>
      <c r="Q76" s="61" t="n">
        <f aca="false">IF($D76="","",L76+N76+O76+P76)</f>
        <v>7657.55</v>
      </c>
      <c r="R76" s="61" t="n">
        <f aca="false">IF($D76="","",ROUND(N($E76)*IFERROR(INDEX(Items!$P$5:$P$504,U76),0),2))</f>
        <v>4821.57</v>
      </c>
      <c r="S76" s="61" t="n">
        <f aca="false">IF($D76="","",L76-R76)</f>
        <v>1667.88</v>
      </c>
      <c r="T76" s="60" t="str">
        <f aca="false">IF($D76="","",IF(U76="","UNKNOWN ITEM",IF(INDEX(Items!$O$5:$O$504,U76)&lt;0,"NEG STOCK",IF(K76&lt;INDEX(Items!$P$5:$P$504,U76),"BELOW COST","OK"))))</f>
        <v>OK</v>
      </c>
      <c r="U76" s="60" t="n">
        <f aca="false">IF($D76="","",IFERROR(MATCH($D76,Items!$A$5:$A$504,0),""))</f>
        <v>9</v>
      </c>
      <c r="V76" s="60" t="n">
        <f aca="false">IF($C76="","",IFERROR(MATCH($C76,Parties!$A$5:$A$304,0),""))</f>
        <v>3</v>
      </c>
      <c r="W76" s="60" t="n">
        <f aca="false">IF($B76="","",IFERROR(VALUE(SUBSTITUTE($B76,InvPrefix,"")),0))</f>
        <v>57</v>
      </c>
      <c r="X76" s="61" t="n">
        <f aca="false">IF($D76="","",IF(OR($H76="",$H76="Credit"),0,Q76))</f>
        <v>0</v>
      </c>
    </row>
    <row r="77" customFormat="false" ht="15" hidden="false" customHeight="false" outlineLevel="0" collapsed="false">
      <c r="A77" s="55" t="n">
        <v>46200</v>
      </c>
      <c r="B77" s="56" t="s">
        <v>148</v>
      </c>
      <c r="C77" s="56" t="s">
        <v>77</v>
      </c>
      <c r="D77" s="56" t="s">
        <v>96</v>
      </c>
      <c r="E77" s="57" t="n">
        <v>7</v>
      </c>
      <c r="F77" s="58"/>
      <c r="G77" s="59"/>
      <c r="H77" s="56"/>
      <c r="I77" s="56" t="s">
        <v>75</v>
      </c>
      <c r="J77" s="60" t="str">
        <f aca="false">IF($D77="","",IFERROR(INDEX(Items!$D$5:$D$504,U77),""))</f>
        <v>Box</v>
      </c>
      <c r="K77" s="61" t="n">
        <f aca="false">IF($D77="","",IF($F77="",IFERROR(INDEX(Items!$H$5:$H$504,U77),0),$F77))</f>
        <v>2290</v>
      </c>
      <c r="L77" s="61" t="n">
        <f aca="false">IF($D77="","",ROUND(N($E77)*K77*(1-N($G77)),2))</f>
        <v>16030</v>
      </c>
      <c r="M77" s="62" t="n">
        <f aca="false">IF($D77="","",IFERROR(INDEX(Items!$F$5:$F$504,U77),0))</f>
        <v>0.05</v>
      </c>
      <c r="N77" s="61" t="n">
        <f aca="false">IF($D77="","",IF(AND(V77&lt;&gt;"",INDEX(Parties!$E$5:$E$304,V77)&lt;&gt;"",INDEX(Parties!$E$5:$E$304,V77)&lt;&gt;HomeState),0,ROUND(L77*M77/2,2)))</f>
        <v>400.75</v>
      </c>
      <c r="O77" s="61" t="n">
        <f aca="false">IF($D77="","",N77)</f>
        <v>400.75</v>
      </c>
      <c r="P77" s="61" t="n">
        <f aca="false">IF($D77="","",IF(AND(V77&lt;&gt;"",INDEX(Parties!$E$5:$E$304,V77)&lt;&gt;"",INDEX(Parties!$E$5:$E$304,V77)&lt;&gt;HomeState),ROUND(L77*M77,2),0))</f>
        <v>0</v>
      </c>
      <c r="Q77" s="61" t="n">
        <f aca="false">IF($D77="","",L77+N77+O77+P77)</f>
        <v>16831.5</v>
      </c>
      <c r="R77" s="61" t="n">
        <f aca="false">IF($D77="","",ROUND(N($E77)*IFERROR(INDEX(Items!$P$5:$P$504,U77),0),2))</f>
        <v>13330.54</v>
      </c>
      <c r="S77" s="61" t="n">
        <f aca="false">IF($D77="","",L77-R77)</f>
        <v>2699.46</v>
      </c>
      <c r="T77" s="60" t="str">
        <f aca="false">IF($D77="","",IF(U77="","UNKNOWN ITEM",IF(INDEX(Items!$O$5:$O$504,U77)&lt;0,"NEG STOCK",IF(K77&lt;INDEX(Items!$P$5:$P$504,U77),"BELOW COST","OK"))))</f>
        <v>OK</v>
      </c>
      <c r="U77" s="60" t="n">
        <f aca="false">IF($D77="","",IFERROR(MATCH($D77,Items!$A$5:$A$504,0),""))</f>
        <v>3</v>
      </c>
      <c r="V77" s="60" t="n">
        <f aca="false">IF($C77="","",IFERROR(MATCH($C77,Parties!$A$5:$A$304,0),""))</f>
        <v>2</v>
      </c>
      <c r="W77" s="60" t="n">
        <f aca="false">IF($B77="","",IFERROR(VALUE(SUBSTITUTE($B77,InvPrefix,"")),0))</f>
        <v>58</v>
      </c>
      <c r="X77" s="61" t="n">
        <f aca="false">IF($D77="","",IF(OR($H77="",$H77="Credit"),0,Q77))</f>
        <v>0</v>
      </c>
    </row>
    <row r="78" customFormat="false" ht="15" hidden="false" customHeight="false" outlineLevel="0" collapsed="false">
      <c r="A78" s="55" t="n">
        <v>46202</v>
      </c>
      <c r="B78" s="56" t="s">
        <v>149</v>
      </c>
      <c r="C78" s="56" t="s">
        <v>102</v>
      </c>
      <c r="D78" s="56" t="s">
        <v>73</v>
      </c>
      <c r="E78" s="57" t="n">
        <v>3</v>
      </c>
      <c r="F78" s="58"/>
      <c r="G78" s="59" t="n">
        <v>0.05</v>
      </c>
      <c r="H78" s="56" t="s">
        <v>103</v>
      </c>
      <c r="I78" s="56" t="s">
        <v>75</v>
      </c>
      <c r="J78" s="60" t="str">
        <f aca="false">IF($D78="","",IFERROR(INDEX(Items!$D$5:$D$504,U78),""))</f>
        <v>Bag</v>
      </c>
      <c r="K78" s="61" t="n">
        <f aca="false">IF($D78="","",IF($F78="",IFERROR(INDEX(Items!$H$5:$H$504,U78),0),$F78))</f>
        <v>2106</v>
      </c>
      <c r="L78" s="61" t="n">
        <f aca="false">IF($D78="","",ROUND(N($E78)*K78*(1-N($G78)),2))</f>
        <v>6002.1</v>
      </c>
      <c r="M78" s="62" t="n">
        <f aca="false">IF($D78="","",IFERROR(INDEX(Items!$F$5:$F$504,U78),0))</f>
        <v>0.05</v>
      </c>
      <c r="N78" s="61" t="n">
        <f aca="false">IF($D78="","",IF(AND(V78&lt;&gt;"",INDEX(Parties!$E$5:$E$304,V78)&lt;&gt;"",INDEX(Parties!$E$5:$E$304,V78)&lt;&gt;HomeState),0,ROUND(L78*M78/2,2)))</f>
        <v>150.05</v>
      </c>
      <c r="O78" s="61" t="n">
        <f aca="false">IF($D78="","",N78)</f>
        <v>150.05</v>
      </c>
      <c r="P78" s="61" t="n">
        <f aca="false">IF($D78="","",IF(AND(V78&lt;&gt;"",INDEX(Parties!$E$5:$E$304,V78)&lt;&gt;"",INDEX(Parties!$E$5:$E$304,V78)&lt;&gt;HomeState),ROUND(L78*M78,2),0))</f>
        <v>0</v>
      </c>
      <c r="Q78" s="61" t="n">
        <f aca="false">IF($D78="","",L78+N78+O78+P78)</f>
        <v>6302.2</v>
      </c>
      <c r="R78" s="61" t="n">
        <f aca="false">IF($D78="","",ROUND(N($E78)*IFERROR(INDEX(Items!$P$5:$P$504,U78),0),2))</f>
        <v>4942.29</v>
      </c>
      <c r="S78" s="61" t="n">
        <f aca="false">IF($D78="","",L78-R78)</f>
        <v>1059.81</v>
      </c>
      <c r="T78" s="60" t="str">
        <f aca="false">IF($D78="","",IF(U78="","UNKNOWN ITEM",IF(INDEX(Items!$O$5:$O$504,U78)&lt;0,"NEG STOCK",IF(K78&lt;INDEX(Items!$P$5:$P$504,U78),"BELOW COST","OK"))))</f>
        <v>OK</v>
      </c>
      <c r="U78" s="60" t="n">
        <f aca="false">IF($D78="","",IFERROR(MATCH($D78,Items!$A$5:$A$504,0),""))</f>
        <v>1</v>
      </c>
      <c r="V78" s="60" t="n">
        <f aca="false">IF($C78="","",IFERROR(MATCH($C78,Parties!$A$5:$A$304,0),""))</f>
        <v>4</v>
      </c>
      <c r="W78" s="60" t="n">
        <f aca="false">IF($B78="","",IFERROR(VALUE(SUBSTITUTE($B78,InvPrefix,"")),0))</f>
        <v>59</v>
      </c>
      <c r="X78" s="61" t="n">
        <f aca="false">IF($D78="","",IF(OR($H78="",$H78="Credit"),0,Q78))</f>
        <v>6302.2</v>
      </c>
    </row>
    <row r="79" customFormat="false" ht="15" hidden="false" customHeight="false" outlineLevel="0" collapsed="false">
      <c r="A79" s="55" t="n">
        <v>46203</v>
      </c>
      <c r="B79" s="56" t="s">
        <v>150</v>
      </c>
      <c r="C79" s="56" t="s">
        <v>88</v>
      </c>
      <c r="D79" s="56" t="s">
        <v>86</v>
      </c>
      <c r="E79" s="57" t="n">
        <v>6</v>
      </c>
      <c r="F79" s="58"/>
      <c r="G79" s="59" t="n">
        <v>0.05</v>
      </c>
      <c r="H79" s="56"/>
      <c r="I79" s="56" t="s">
        <v>75</v>
      </c>
      <c r="J79" s="60" t="str">
        <f aca="false">IF($D79="","",IFERROR(INDEX(Items!$D$5:$D$504,U79),""))</f>
        <v>Bag</v>
      </c>
      <c r="K79" s="61" t="n">
        <f aca="false">IF($D79="","",IF($F79="",IFERROR(INDEX(Items!$H$5:$H$504,U79),0),$F79))</f>
        <v>2462</v>
      </c>
      <c r="L79" s="61" t="n">
        <f aca="false">IF($D79="","",ROUND(N($E79)*K79*(1-N($G79)),2))</f>
        <v>14033.4</v>
      </c>
      <c r="M79" s="62" t="n">
        <f aca="false">IF($D79="","",IFERROR(INDEX(Items!$F$5:$F$504,U79),0))</f>
        <v>0.05</v>
      </c>
      <c r="N79" s="61" t="n">
        <f aca="false">IF($D79="","",IF(AND(V79&lt;&gt;"",INDEX(Parties!$E$5:$E$304,V79)&lt;&gt;"",INDEX(Parties!$E$5:$E$304,V79)&lt;&gt;HomeState),0,ROUND(L79*M79/2,2)))</f>
        <v>350.84</v>
      </c>
      <c r="O79" s="61" t="n">
        <f aca="false">IF($D79="","",N79)</f>
        <v>350.84</v>
      </c>
      <c r="P79" s="61" t="n">
        <f aca="false">IF($D79="","",IF(AND(V79&lt;&gt;"",INDEX(Parties!$E$5:$E$304,V79)&lt;&gt;"",INDEX(Parties!$E$5:$E$304,V79)&lt;&gt;HomeState),ROUND(L79*M79,2),0))</f>
        <v>0</v>
      </c>
      <c r="Q79" s="61" t="n">
        <f aca="false">IF($D79="","",L79+N79+O79+P79)</f>
        <v>14735.08</v>
      </c>
      <c r="R79" s="61" t="n">
        <f aca="false">IF($D79="","",ROUND(N($E79)*IFERROR(INDEX(Items!$P$5:$P$504,U79),0),2))</f>
        <v>12226.37</v>
      </c>
      <c r="S79" s="61" t="n">
        <f aca="false">IF($D79="","",L79-R79)</f>
        <v>1807.03</v>
      </c>
      <c r="T79" s="60" t="str">
        <f aca="false">IF($D79="","",IF(U79="","UNKNOWN ITEM",IF(INDEX(Items!$O$5:$O$504,U79)&lt;0,"NEG STOCK",IF(K79&lt;INDEX(Items!$P$5:$P$504,U79),"BELOW COST","OK"))))</f>
        <v>OK</v>
      </c>
      <c r="U79" s="60" t="n">
        <f aca="false">IF($D79="","",IFERROR(MATCH($D79,Items!$A$5:$A$504,0),""))</f>
        <v>2</v>
      </c>
      <c r="V79" s="60" t="n">
        <f aca="false">IF($C79="","",IFERROR(MATCH($C79,Parties!$A$5:$A$304,0),""))</f>
        <v>5</v>
      </c>
      <c r="W79" s="60" t="n">
        <f aca="false">IF($B79="","",IFERROR(VALUE(SUBSTITUTE($B79,InvPrefix,"")),0))</f>
        <v>60</v>
      </c>
      <c r="X79" s="61" t="n">
        <f aca="false">IF($D79="","",IF(OR($H79="",$H79="Credit"),0,Q79))</f>
        <v>0</v>
      </c>
    </row>
    <row r="80" customFormat="false" ht="15" hidden="false" customHeight="false" outlineLevel="0" collapsed="false">
      <c r="A80" s="55" t="n">
        <v>46205</v>
      </c>
      <c r="B80" s="56" t="s">
        <v>151</v>
      </c>
      <c r="C80" s="56" t="s">
        <v>102</v>
      </c>
      <c r="D80" s="56" t="s">
        <v>98</v>
      </c>
      <c r="E80" s="57" t="n">
        <v>15</v>
      </c>
      <c r="F80" s="58"/>
      <c r="G80" s="59" t="n">
        <v>0.02</v>
      </c>
      <c r="H80" s="56" t="s">
        <v>103</v>
      </c>
      <c r="I80" s="56" t="s">
        <v>75</v>
      </c>
      <c r="J80" s="60" t="str">
        <f aca="false">IF($D80="","",IFERROR(INDEX(Items!$D$5:$D$504,U80),""))</f>
        <v>Pack</v>
      </c>
      <c r="K80" s="61" t="n">
        <f aca="false">IF($D80="","",IF($F80="",IFERROR(INDEX(Items!$H$5:$H$504,U80),0),$F80))</f>
        <v>508</v>
      </c>
      <c r="L80" s="61" t="n">
        <f aca="false">IF($D80="","",ROUND(N($E80)*K80*(1-N($G80)),2))</f>
        <v>7467.6</v>
      </c>
      <c r="M80" s="62" t="n">
        <f aca="false">IF($D80="","",IFERROR(INDEX(Items!$F$5:$F$504,U80),0))</f>
        <v>0.05</v>
      </c>
      <c r="N80" s="61" t="n">
        <f aca="false">IF($D80="","",IF(AND(V80&lt;&gt;"",INDEX(Parties!$E$5:$E$304,V80)&lt;&gt;"",INDEX(Parties!$E$5:$E$304,V80)&lt;&gt;HomeState),0,ROUND(L80*M80/2,2)))</f>
        <v>186.69</v>
      </c>
      <c r="O80" s="61" t="n">
        <f aca="false">IF($D80="","",N80)</f>
        <v>186.69</v>
      </c>
      <c r="P80" s="61" t="n">
        <f aca="false">IF($D80="","",IF(AND(V80&lt;&gt;"",INDEX(Parties!$E$5:$E$304,V80)&lt;&gt;"",INDEX(Parties!$E$5:$E$304,V80)&lt;&gt;HomeState),ROUND(L80*M80,2),0))</f>
        <v>0</v>
      </c>
      <c r="Q80" s="61" t="n">
        <f aca="false">IF($D80="","",L80+N80+O80+P80)</f>
        <v>7840.98</v>
      </c>
      <c r="R80" s="61" t="n">
        <f aca="false">IF($D80="","",ROUND(N($E80)*IFERROR(INDEX(Items!$P$5:$P$504,U80),0),2))</f>
        <v>5656.19</v>
      </c>
      <c r="S80" s="61" t="n">
        <f aca="false">IF($D80="","",L80-R80)</f>
        <v>1811.41</v>
      </c>
      <c r="T80" s="60" t="str">
        <f aca="false">IF($D80="","",IF(U80="","UNKNOWN ITEM",IF(INDEX(Items!$O$5:$O$504,U80)&lt;0,"NEG STOCK",IF(K80&lt;INDEX(Items!$P$5:$P$504,U80),"BELOW COST","OK"))))</f>
        <v>OK</v>
      </c>
      <c r="U80" s="60" t="n">
        <f aca="false">IF($D80="","",IFERROR(MATCH($D80,Items!$A$5:$A$504,0),""))</f>
        <v>4</v>
      </c>
      <c r="V80" s="60" t="n">
        <f aca="false">IF($C80="","",IFERROR(MATCH($C80,Parties!$A$5:$A$304,0),""))</f>
        <v>4</v>
      </c>
      <c r="W80" s="60" t="n">
        <f aca="false">IF($B80="","",IFERROR(VALUE(SUBSTITUTE($B80,InvPrefix,"")),0))</f>
        <v>61</v>
      </c>
      <c r="X80" s="61" t="n">
        <f aca="false">IF($D80="","",IF(OR($H80="",$H80="Credit"),0,Q80))</f>
        <v>7840.98</v>
      </c>
    </row>
    <row r="81" customFormat="false" ht="15" hidden="false" customHeight="false" outlineLevel="0" collapsed="false">
      <c r="A81" s="55" t="n">
        <v>46205</v>
      </c>
      <c r="B81" s="56" t="s">
        <v>151</v>
      </c>
      <c r="C81" s="56" t="s">
        <v>102</v>
      </c>
      <c r="D81" s="56" t="s">
        <v>85</v>
      </c>
      <c r="E81" s="57" t="n">
        <v>3</v>
      </c>
      <c r="F81" s="58"/>
      <c r="G81" s="59" t="n">
        <v>0.02</v>
      </c>
      <c r="H81" s="56" t="s">
        <v>103</v>
      </c>
      <c r="I81" s="56" t="s">
        <v>75</v>
      </c>
      <c r="J81" s="60" t="str">
        <f aca="false">IF($D81="","",IFERROR(INDEX(Items!$D$5:$D$504,U81),""))</f>
        <v>Pcs</v>
      </c>
      <c r="K81" s="61" t="n">
        <f aca="false">IF($D81="","",IF($F81="",IFERROR(INDEX(Items!$H$5:$H$504,U81),0),$F81))</f>
        <v>2322</v>
      </c>
      <c r="L81" s="61" t="n">
        <f aca="false">IF($D81="","",ROUND(N($E81)*K81*(1-N($G81)),2))</f>
        <v>6826.68</v>
      </c>
      <c r="M81" s="62" t="n">
        <f aca="false">IF($D81="","",IFERROR(INDEX(Items!$F$5:$F$504,U81),0))</f>
        <v>0.18</v>
      </c>
      <c r="N81" s="61" t="n">
        <f aca="false">IF($D81="","",IF(AND(V81&lt;&gt;"",INDEX(Parties!$E$5:$E$304,V81)&lt;&gt;"",INDEX(Parties!$E$5:$E$304,V81)&lt;&gt;HomeState),0,ROUND(L81*M81/2,2)))</f>
        <v>614.4</v>
      </c>
      <c r="O81" s="61" t="n">
        <f aca="false">IF($D81="","",N81)</f>
        <v>614.4</v>
      </c>
      <c r="P81" s="61" t="n">
        <f aca="false">IF($D81="","",IF(AND(V81&lt;&gt;"",INDEX(Parties!$E$5:$E$304,V81)&lt;&gt;"",INDEX(Parties!$E$5:$E$304,V81)&lt;&gt;HomeState),ROUND(L81*M81,2),0))</f>
        <v>0</v>
      </c>
      <c r="Q81" s="61" t="n">
        <f aca="false">IF($D81="","",L81+N81+O81+P81)</f>
        <v>8055.48</v>
      </c>
      <c r="R81" s="61" t="n">
        <f aca="false">IF($D81="","",ROUND(N($E81)*IFERROR(INDEX(Items!$P$5:$P$504,U81),0),2))</f>
        <v>4931.4</v>
      </c>
      <c r="S81" s="61" t="n">
        <f aca="false">IF($D81="","",L81-R81)</f>
        <v>1895.28</v>
      </c>
      <c r="T81" s="60" t="str">
        <f aca="false">IF($D81="","",IF(U81="","UNKNOWN ITEM",IF(INDEX(Items!$O$5:$O$504,U81)&lt;0,"NEG STOCK",IF(K81&lt;INDEX(Items!$P$5:$P$504,U81),"BELOW COST","OK"))))</f>
        <v>OK</v>
      </c>
      <c r="U81" s="60" t="n">
        <f aca="false">IF($D81="","",IFERROR(MATCH($D81,Items!$A$5:$A$504,0),""))</f>
        <v>12</v>
      </c>
      <c r="V81" s="60" t="n">
        <f aca="false">IF($C81="","",IFERROR(MATCH($C81,Parties!$A$5:$A$304,0),""))</f>
        <v>4</v>
      </c>
      <c r="W81" s="60" t="n">
        <f aca="false">IF($B81="","",IFERROR(VALUE(SUBSTITUTE($B81,InvPrefix,"")),0))</f>
        <v>61</v>
      </c>
      <c r="X81" s="61" t="n">
        <f aca="false">IF($D81="","",IF(OR($H81="",$H81="Credit"),0,Q81))</f>
        <v>8055.48</v>
      </c>
    </row>
    <row r="82" customFormat="false" ht="15" hidden="false" customHeight="false" outlineLevel="0" collapsed="false">
      <c r="A82" s="55" t="n">
        <v>46207</v>
      </c>
      <c r="B82" s="56" t="s">
        <v>152</v>
      </c>
      <c r="C82" s="56" t="s">
        <v>88</v>
      </c>
      <c r="D82" s="56" t="s">
        <v>85</v>
      </c>
      <c r="E82" s="57" t="n">
        <v>3</v>
      </c>
      <c r="F82" s="58"/>
      <c r="G82" s="59"/>
      <c r="H82" s="56"/>
      <c r="I82" s="56" t="s">
        <v>75</v>
      </c>
      <c r="J82" s="60" t="str">
        <f aca="false">IF($D82="","",IFERROR(INDEX(Items!$D$5:$D$504,U82),""))</f>
        <v>Pcs</v>
      </c>
      <c r="K82" s="61" t="n">
        <f aca="false">IF($D82="","",IF($F82="",IFERROR(INDEX(Items!$H$5:$H$504,U82),0),$F82))</f>
        <v>2322</v>
      </c>
      <c r="L82" s="61" t="n">
        <f aca="false">IF($D82="","",ROUND(N($E82)*K82*(1-N($G82)),2))</f>
        <v>6966</v>
      </c>
      <c r="M82" s="62" t="n">
        <f aca="false">IF($D82="","",IFERROR(INDEX(Items!$F$5:$F$504,U82),0))</f>
        <v>0.18</v>
      </c>
      <c r="N82" s="61" t="n">
        <f aca="false">IF($D82="","",IF(AND(V82&lt;&gt;"",INDEX(Parties!$E$5:$E$304,V82)&lt;&gt;"",INDEX(Parties!$E$5:$E$304,V82)&lt;&gt;HomeState),0,ROUND(L82*M82/2,2)))</f>
        <v>626.94</v>
      </c>
      <c r="O82" s="61" t="n">
        <f aca="false">IF($D82="","",N82)</f>
        <v>626.94</v>
      </c>
      <c r="P82" s="61" t="n">
        <f aca="false">IF($D82="","",IF(AND(V82&lt;&gt;"",INDEX(Parties!$E$5:$E$304,V82)&lt;&gt;"",INDEX(Parties!$E$5:$E$304,V82)&lt;&gt;HomeState),ROUND(L82*M82,2),0))</f>
        <v>0</v>
      </c>
      <c r="Q82" s="61" t="n">
        <f aca="false">IF($D82="","",L82+N82+O82+P82)</f>
        <v>8219.88</v>
      </c>
      <c r="R82" s="61" t="n">
        <f aca="false">IF($D82="","",ROUND(N($E82)*IFERROR(INDEX(Items!$P$5:$P$504,U82),0),2))</f>
        <v>4931.4</v>
      </c>
      <c r="S82" s="61" t="n">
        <f aca="false">IF($D82="","",L82-R82)</f>
        <v>2034.6</v>
      </c>
      <c r="T82" s="60" t="str">
        <f aca="false">IF($D82="","",IF(U82="","UNKNOWN ITEM",IF(INDEX(Items!$O$5:$O$504,U82)&lt;0,"NEG STOCK",IF(K82&lt;INDEX(Items!$P$5:$P$504,U82),"BELOW COST","OK"))))</f>
        <v>OK</v>
      </c>
      <c r="U82" s="60" t="n">
        <f aca="false">IF($D82="","",IFERROR(MATCH($D82,Items!$A$5:$A$504,0),""))</f>
        <v>12</v>
      </c>
      <c r="V82" s="60" t="n">
        <f aca="false">IF($C82="","",IFERROR(MATCH($C82,Parties!$A$5:$A$304,0),""))</f>
        <v>5</v>
      </c>
      <c r="W82" s="60" t="n">
        <f aca="false">IF($B82="","",IFERROR(VALUE(SUBSTITUTE($B82,InvPrefix,"")),0))</f>
        <v>62</v>
      </c>
      <c r="X82" s="61" t="n">
        <f aca="false">IF($D82="","",IF(OR($H82="",$H82="Credit"),0,Q82))</f>
        <v>0</v>
      </c>
    </row>
    <row r="83" customFormat="false" ht="15" hidden="false" customHeight="false" outlineLevel="0" collapsed="false">
      <c r="A83" s="55" t="n">
        <v>46209</v>
      </c>
      <c r="B83" s="56" t="s">
        <v>153</v>
      </c>
      <c r="C83" s="56" t="s">
        <v>72</v>
      </c>
      <c r="D83" s="56" t="s">
        <v>92</v>
      </c>
      <c r="E83" s="57" t="n">
        <v>2</v>
      </c>
      <c r="F83" s="58"/>
      <c r="G83" s="59"/>
      <c r="H83" s="56" t="s">
        <v>90</v>
      </c>
      <c r="I83" s="56" t="s">
        <v>75</v>
      </c>
      <c r="J83" s="60" t="str">
        <f aca="false">IF($D83="","",IFERROR(INDEX(Items!$D$5:$D$504,U83),""))</f>
        <v>Pcs</v>
      </c>
      <c r="K83" s="61" t="n">
        <f aca="false">IF($D83="","",IF($F83="",IFERROR(INDEX(Items!$H$5:$H$504,U83),0),$F83))</f>
        <v>3132</v>
      </c>
      <c r="L83" s="61" t="n">
        <f aca="false">IF($D83="","",ROUND(N($E83)*K83*(1-N($G83)),2))</f>
        <v>6264</v>
      </c>
      <c r="M83" s="62" t="n">
        <f aca="false">IF($D83="","",IFERROR(INDEX(Items!$F$5:$F$504,U83),0))</f>
        <v>0.18</v>
      </c>
      <c r="N83" s="61" t="n">
        <f aca="false">IF($D83="","",IF(AND(V83&lt;&gt;"",INDEX(Parties!$E$5:$E$304,V83)&lt;&gt;"",INDEX(Parties!$E$5:$E$304,V83)&lt;&gt;HomeState),0,ROUND(L83*M83/2,2)))</f>
        <v>563.76</v>
      </c>
      <c r="O83" s="61" t="n">
        <f aca="false">IF($D83="","",N83)</f>
        <v>563.76</v>
      </c>
      <c r="P83" s="61" t="n">
        <f aca="false">IF($D83="","",IF(AND(V83&lt;&gt;"",INDEX(Parties!$E$5:$E$304,V83)&lt;&gt;"",INDEX(Parties!$E$5:$E$304,V83)&lt;&gt;HomeState),ROUND(L83*M83,2),0))</f>
        <v>0</v>
      </c>
      <c r="Q83" s="61" t="n">
        <f aca="false">IF($D83="","",L83+N83+O83+P83)</f>
        <v>7391.52</v>
      </c>
      <c r="R83" s="61" t="n">
        <f aca="false">IF($D83="","",ROUND(N($E83)*IFERROR(INDEX(Items!$P$5:$P$504,U83),0),2))</f>
        <v>4902.96</v>
      </c>
      <c r="S83" s="61" t="n">
        <f aca="false">IF($D83="","",L83-R83)</f>
        <v>1361.04</v>
      </c>
      <c r="T83" s="60" t="str">
        <f aca="false">IF($D83="","",IF(U83="","UNKNOWN ITEM",IF(INDEX(Items!$O$5:$O$504,U83)&lt;0,"NEG STOCK",IF(K83&lt;INDEX(Items!$P$5:$P$504,U83),"BELOW COST","OK"))))</f>
        <v>OK</v>
      </c>
      <c r="U83" s="60" t="n">
        <f aca="false">IF($D83="","",IFERROR(MATCH($D83,Items!$A$5:$A$504,0),""))</f>
        <v>8</v>
      </c>
      <c r="V83" s="60" t="n">
        <f aca="false">IF($C83="","",IFERROR(MATCH($C83,Parties!$A$5:$A$304,0),""))</f>
        <v>1</v>
      </c>
      <c r="W83" s="60" t="n">
        <f aca="false">IF($B83="","",IFERROR(VALUE(SUBSTITUTE($B83,InvPrefix,"")),0))</f>
        <v>63</v>
      </c>
      <c r="X83" s="61" t="n">
        <f aca="false">IF($D83="","",IF(OR($H83="",$H83="Credit"),0,Q83))</f>
        <v>7391.52</v>
      </c>
    </row>
    <row r="84" customFormat="false" ht="15" hidden="false" customHeight="false" outlineLevel="0" collapsed="false">
      <c r="A84" s="55" t="n">
        <v>46210</v>
      </c>
      <c r="B84" s="56" t="s">
        <v>154</v>
      </c>
      <c r="C84" s="56" t="s">
        <v>102</v>
      </c>
      <c r="D84" s="56" t="s">
        <v>85</v>
      </c>
      <c r="E84" s="57" t="n">
        <v>3</v>
      </c>
      <c r="F84" s="58"/>
      <c r="G84" s="59" t="n">
        <v>0.02</v>
      </c>
      <c r="H84" s="56" t="s">
        <v>103</v>
      </c>
      <c r="I84" s="56" t="s">
        <v>75</v>
      </c>
      <c r="J84" s="60" t="str">
        <f aca="false">IF($D84="","",IFERROR(INDEX(Items!$D$5:$D$504,U84),""))</f>
        <v>Pcs</v>
      </c>
      <c r="K84" s="61" t="n">
        <f aca="false">IF($D84="","",IF($F84="",IFERROR(INDEX(Items!$H$5:$H$504,U84),0),$F84))</f>
        <v>2322</v>
      </c>
      <c r="L84" s="61" t="n">
        <f aca="false">IF($D84="","",ROUND(N($E84)*K84*(1-N($G84)),2))</f>
        <v>6826.68</v>
      </c>
      <c r="M84" s="62" t="n">
        <f aca="false">IF($D84="","",IFERROR(INDEX(Items!$F$5:$F$504,U84),0))</f>
        <v>0.18</v>
      </c>
      <c r="N84" s="61" t="n">
        <f aca="false">IF($D84="","",IF(AND(V84&lt;&gt;"",INDEX(Parties!$E$5:$E$304,V84)&lt;&gt;"",INDEX(Parties!$E$5:$E$304,V84)&lt;&gt;HomeState),0,ROUND(L84*M84/2,2)))</f>
        <v>614.4</v>
      </c>
      <c r="O84" s="61" t="n">
        <f aca="false">IF($D84="","",N84)</f>
        <v>614.4</v>
      </c>
      <c r="P84" s="61" t="n">
        <f aca="false">IF($D84="","",IF(AND(V84&lt;&gt;"",INDEX(Parties!$E$5:$E$304,V84)&lt;&gt;"",INDEX(Parties!$E$5:$E$304,V84)&lt;&gt;HomeState),ROUND(L84*M84,2),0))</f>
        <v>0</v>
      </c>
      <c r="Q84" s="61" t="n">
        <f aca="false">IF($D84="","",L84+N84+O84+P84)</f>
        <v>8055.48</v>
      </c>
      <c r="R84" s="61" t="n">
        <f aca="false">IF($D84="","",ROUND(N($E84)*IFERROR(INDEX(Items!$P$5:$P$504,U84),0),2))</f>
        <v>4931.4</v>
      </c>
      <c r="S84" s="61" t="n">
        <f aca="false">IF($D84="","",L84-R84)</f>
        <v>1895.28</v>
      </c>
      <c r="T84" s="60" t="str">
        <f aca="false">IF($D84="","",IF(U84="","UNKNOWN ITEM",IF(INDEX(Items!$O$5:$O$504,U84)&lt;0,"NEG STOCK",IF(K84&lt;INDEX(Items!$P$5:$P$504,U84),"BELOW COST","OK"))))</f>
        <v>OK</v>
      </c>
      <c r="U84" s="60" t="n">
        <f aca="false">IF($D84="","",IFERROR(MATCH($D84,Items!$A$5:$A$504,0),""))</f>
        <v>12</v>
      </c>
      <c r="V84" s="60" t="n">
        <f aca="false">IF($C84="","",IFERROR(MATCH($C84,Parties!$A$5:$A$304,0),""))</f>
        <v>4</v>
      </c>
      <c r="W84" s="60" t="n">
        <f aca="false">IF($B84="","",IFERROR(VALUE(SUBSTITUTE($B84,InvPrefix,"")),0))</f>
        <v>64</v>
      </c>
      <c r="X84" s="61" t="n">
        <f aca="false">IF($D84="","",IF(OR($H84="",$H84="Credit"),0,Q84))</f>
        <v>8055.48</v>
      </c>
    </row>
    <row r="85" customFormat="false" ht="15" hidden="false" customHeight="false" outlineLevel="0" collapsed="false">
      <c r="A85" s="55" t="n">
        <v>46211</v>
      </c>
      <c r="B85" s="56" t="s">
        <v>155</v>
      </c>
      <c r="C85" s="56" t="s">
        <v>102</v>
      </c>
      <c r="D85" s="56" t="s">
        <v>79</v>
      </c>
      <c r="E85" s="57" t="n">
        <v>18</v>
      </c>
      <c r="F85" s="58"/>
      <c r="G85" s="59"/>
      <c r="H85" s="56" t="s">
        <v>103</v>
      </c>
      <c r="I85" s="56" t="s">
        <v>75</v>
      </c>
      <c r="J85" s="60" t="str">
        <f aca="false">IF($D85="","",IFERROR(INDEX(Items!$D$5:$D$504,U85),""))</f>
        <v>Pcs</v>
      </c>
      <c r="K85" s="61" t="n">
        <f aca="false">IF($D85="","",IF($F85="",IFERROR(INDEX(Items!$H$5:$H$504,U85),0),$F85))</f>
        <v>297</v>
      </c>
      <c r="L85" s="61" t="n">
        <f aca="false">IF($D85="","",ROUND(N($E85)*K85*(1-N($G85)),2))</f>
        <v>5346</v>
      </c>
      <c r="M85" s="62" t="n">
        <f aca="false">IF($D85="","",IFERROR(INDEX(Items!$F$5:$F$504,U85),0))</f>
        <v>0.18</v>
      </c>
      <c r="N85" s="61" t="n">
        <f aca="false">IF($D85="","",IF(AND(V85&lt;&gt;"",INDEX(Parties!$E$5:$E$304,V85)&lt;&gt;"",INDEX(Parties!$E$5:$E$304,V85)&lt;&gt;HomeState),0,ROUND(L85*M85/2,2)))</f>
        <v>481.14</v>
      </c>
      <c r="O85" s="61" t="n">
        <f aca="false">IF($D85="","",N85)</f>
        <v>481.14</v>
      </c>
      <c r="P85" s="61" t="n">
        <f aca="false">IF($D85="","",IF(AND(V85&lt;&gt;"",INDEX(Parties!$E$5:$E$304,V85)&lt;&gt;"",INDEX(Parties!$E$5:$E$304,V85)&lt;&gt;HomeState),ROUND(L85*M85,2),0))</f>
        <v>0</v>
      </c>
      <c r="Q85" s="61" t="n">
        <f aca="false">IF($D85="","",L85+N85+O85+P85)</f>
        <v>6308.28</v>
      </c>
      <c r="R85" s="61" t="n">
        <f aca="false">IF($D85="","",ROUND(N($E85)*IFERROR(INDEX(Items!$P$5:$P$504,U85),0),2))</f>
        <v>3773.4</v>
      </c>
      <c r="S85" s="61" t="n">
        <f aca="false">IF($D85="","",L85-R85)</f>
        <v>1572.6</v>
      </c>
      <c r="T85" s="60" t="str">
        <f aca="false">IF($D85="","",IF(U85="","UNKNOWN ITEM",IF(INDEX(Items!$O$5:$O$504,U85)&lt;0,"NEG STOCK",IF(K85&lt;INDEX(Items!$P$5:$P$504,U85),"BELOW COST","OK"))))</f>
        <v>OK</v>
      </c>
      <c r="U85" s="60" t="n">
        <f aca="false">IF($D85="","",IFERROR(MATCH($D85,Items!$A$5:$A$504,0),""))</f>
        <v>9</v>
      </c>
      <c r="V85" s="60" t="n">
        <f aca="false">IF($C85="","",IFERROR(MATCH($C85,Parties!$A$5:$A$304,0),""))</f>
        <v>4</v>
      </c>
      <c r="W85" s="60" t="n">
        <f aca="false">IF($B85="","",IFERROR(VALUE(SUBSTITUTE($B85,InvPrefix,"")),0))</f>
        <v>65</v>
      </c>
      <c r="X85" s="61" t="n">
        <f aca="false">IF($D85="","",IF(OR($H85="",$H85="Credit"),0,Q85))</f>
        <v>6308.28</v>
      </c>
    </row>
    <row r="86" customFormat="false" ht="15" hidden="false" customHeight="false" outlineLevel="0" collapsed="false">
      <c r="A86" s="55" t="n">
        <v>46212</v>
      </c>
      <c r="B86" s="56" t="s">
        <v>156</v>
      </c>
      <c r="C86" s="56" t="s">
        <v>72</v>
      </c>
      <c r="D86" s="56" t="s">
        <v>86</v>
      </c>
      <c r="E86" s="57" t="n">
        <v>6</v>
      </c>
      <c r="F86" s="58"/>
      <c r="G86" s="59" t="n">
        <v>0.02</v>
      </c>
      <c r="H86" s="56"/>
      <c r="I86" s="56" t="s">
        <v>75</v>
      </c>
      <c r="J86" s="60" t="str">
        <f aca="false">IF($D86="","",IFERROR(INDEX(Items!$D$5:$D$504,U86),""))</f>
        <v>Bag</v>
      </c>
      <c r="K86" s="61" t="n">
        <f aca="false">IF($D86="","",IF($F86="",IFERROR(INDEX(Items!$H$5:$H$504,U86),0),$F86))</f>
        <v>2462</v>
      </c>
      <c r="L86" s="61" t="n">
        <f aca="false">IF($D86="","",ROUND(N($E86)*K86*(1-N($G86)),2))</f>
        <v>14476.56</v>
      </c>
      <c r="M86" s="62" t="n">
        <f aca="false">IF($D86="","",IFERROR(INDEX(Items!$F$5:$F$504,U86),0))</f>
        <v>0.05</v>
      </c>
      <c r="N86" s="61" t="n">
        <f aca="false">IF($D86="","",IF(AND(V86&lt;&gt;"",INDEX(Parties!$E$5:$E$304,V86)&lt;&gt;"",INDEX(Parties!$E$5:$E$304,V86)&lt;&gt;HomeState),0,ROUND(L86*M86/2,2)))</f>
        <v>361.91</v>
      </c>
      <c r="O86" s="61" t="n">
        <f aca="false">IF($D86="","",N86)</f>
        <v>361.91</v>
      </c>
      <c r="P86" s="61" t="n">
        <f aca="false">IF($D86="","",IF(AND(V86&lt;&gt;"",INDEX(Parties!$E$5:$E$304,V86)&lt;&gt;"",INDEX(Parties!$E$5:$E$304,V86)&lt;&gt;HomeState),ROUND(L86*M86,2),0))</f>
        <v>0</v>
      </c>
      <c r="Q86" s="61" t="n">
        <f aca="false">IF($D86="","",L86+N86+O86+P86)</f>
        <v>15200.38</v>
      </c>
      <c r="R86" s="61" t="n">
        <f aca="false">IF($D86="","",ROUND(N($E86)*IFERROR(INDEX(Items!$P$5:$P$504,U86),0),2))</f>
        <v>12226.37</v>
      </c>
      <c r="S86" s="61" t="n">
        <f aca="false">IF($D86="","",L86-R86)</f>
        <v>2250.19</v>
      </c>
      <c r="T86" s="60" t="str">
        <f aca="false">IF($D86="","",IF(U86="","UNKNOWN ITEM",IF(INDEX(Items!$O$5:$O$504,U86)&lt;0,"NEG STOCK",IF(K86&lt;INDEX(Items!$P$5:$P$504,U86),"BELOW COST","OK"))))</f>
        <v>OK</v>
      </c>
      <c r="U86" s="60" t="n">
        <f aca="false">IF($D86="","",IFERROR(MATCH($D86,Items!$A$5:$A$504,0),""))</f>
        <v>2</v>
      </c>
      <c r="V86" s="60" t="n">
        <f aca="false">IF($C86="","",IFERROR(MATCH($C86,Parties!$A$5:$A$304,0),""))</f>
        <v>1</v>
      </c>
      <c r="W86" s="60" t="n">
        <f aca="false">IF($B86="","",IFERROR(VALUE(SUBSTITUTE($B86,InvPrefix,"")),0))</f>
        <v>66</v>
      </c>
      <c r="X86" s="61" t="n">
        <f aca="false">IF($D86="","",IF(OR($H86="",$H86="Credit"),0,Q86))</f>
        <v>0</v>
      </c>
    </row>
    <row r="87" customFormat="false" ht="15" hidden="false" customHeight="false" outlineLevel="0" collapsed="false">
      <c r="A87" s="55" t="n">
        <v>46213</v>
      </c>
      <c r="B87" s="56" t="s">
        <v>157</v>
      </c>
      <c r="C87" s="56" t="s">
        <v>102</v>
      </c>
      <c r="D87" s="56" t="s">
        <v>98</v>
      </c>
      <c r="E87" s="57" t="n">
        <v>7</v>
      </c>
      <c r="F87" s="58"/>
      <c r="G87" s="59"/>
      <c r="H87" s="56" t="s">
        <v>103</v>
      </c>
      <c r="I87" s="56" t="s">
        <v>75</v>
      </c>
      <c r="J87" s="60" t="str">
        <f aca="false">IF($D87="","",IFERROR(INDEX(Items!$D$5:$D$504,U87),""))</f>
        <v>Pack</v>
      </c>
      <c r="K87" s="61" t="n">
        <f aca="false">IF($D87="","",IF($F87="",IFERROR(INDEX(Items!$H$5:$H$504,U87),0),$F87))</f>
        <v>508</v>
      </c>
      <c r="L87" s="61" t="n">
        <f aca="false">IF($D87="","",ROUND(N($E87)*K87*(1-N($G87)),2))</f>
        <v>3556</v>
      </c>
      <c r="M87" s="62" t="n">
        <f aca="false">IF($D87="","",IFERROR(INDEX(Items!$F$5:$F$504,U87),0))</f>
        <v>0.05</v>
      </c>
      <c r="N87" s="61" t="n">
        <f aca="false">IF($D87="","",IF(AND(V87&lt;&gt;"",INDEX(Parties!$E$5:$E$304,V87)&lt;&gt;"",INDEX(Parties!$E$5:$E$304,V87)&lt;&gt;HomeState),0,ROUND(L87*M87/2,2)))</f>
        <v>88.9</v>
      </c>
      <c r="O87" s="61" t="n">
        <f aca="false">IF($D87="","",N87)</f>
        <v>88.9</v>
      </c>
      <c r="P87" s="61" t="n">
        <f aca="false">IF($D87="","",IF(AND(V87&lt;&gt;"",INDEX(Parties!$E$5:$E$304,V87)&lt;&gt;"",INDEX(Parties!$E$5:$E$304,V87)&lt;&gt;HomeState),ROUND(L87*M87,2),0))</f>
        <v>0</v>
      </c>
      <c r="Q87" s="61" t="n">
        <f aca="false">IF($D87="","",L87+N87+O87+P87)</f>
        <v>3733.8</v>
      </c>
      <c r="R87" s="61" t="n">
        <f aca="false">IF($D87="","",ROUND(N($E87)*IFERROR(INDEX(Items!$P$5:$P$504,U87),0),2))</f>
        <v>2639.55</v>
      </c>
      <c r="S87" s="61" t="n">
        <f aca="false">IF($D87="","",L87-R87)</f>
        <v>916.45</v>
      </c>
      <c r="T87" s="60" t="str">
        <f aca="false">IF($D87="","",IF(U87="","UNKNOWN ITEM",IF(INDEX(Items!$O$5:$O$504,U87)&lt;0,"NEG STOCK",IF(K87&lt;INDEX(Items!$P$5:$P$504,U87),"BELOW COST","OK"))))</f>
        <v>OK</v>
      </c>
      <c r="U87" s="60" t="n">
        <f aca="false">IF($D87="","",IFERROR(MATCH($D87,Items!$A$5:$A$504,0),""))</f>
        <v>4</v>
      </c>
      <c r="V87" s="60" t="n">
        <f aca="false">IF($C87="","",IFERROR(MATCH($C87,Parties!$A$5:$A$304,0),""))</f>
        <v>4</v>
      </c>
      <c r="W87" s="60" t="n">
        <f aca="false">IF($B87="","",IFERROR(VALUE(SUBSTITUTE($B87,InvPrefix,"")),0))</f>
        <v>67</v>
      </c>
      <c r="X87" s="61" t="n">
        <f aca="false">IF($D87="","",IF(OR($H87="",$H87="Credit"),0,Q87))</f>
        <v>3733.8</v>
      </c>
    </row>
    <row r="88" customFormat="false" ht="15" hidden="false" customHeight="false" outlineLevel="0" collapsed="false">
      <c r="A88" s="55" t="n">
        <v>46214</v>
      </c>
      <c r="B88" s="56" t="s">
        <v>158</v>
      </c>
      <c r="C88" s="56" t="s">
        <v>102</v>
      </c>
      <c r="D88" s="56" t="s">
        <v>94</v>
      </c>
      <c r="E88" s="57" t="n">
        <v>11</v>
      </c>
      <c r="F88" s="58"/>
      <c r="G88" s="59" t="n">
        <v>0.02</v>
      </c>
      <c r="H88" s="56" t="s">
        <v>103</v>
      </c>
      <c r="I88" s="56" t="s">
        <v>75</v>
      </c>
      <c r="J88" s="60" t="str">
        <f aca="false">IF($D88="","",IFERROR(INDEX(Items!$D$5:$D$504,U88),""))</f>
        <v>Pack</v>
      </c>
      <c r="K88" s="61" t="n">
        <f aca="false">IF($D88="","",IF($F88="",IFERROR(INDEX(Items!$H$5:$H$504,U88),0),$F88))</f>
        <v>691</v>
      </c>
      <c r="L88" s="61" t="n">
        <f aca="false">IF($D88="","",ROUND(N($E88)*K88*(1-N($G88)),2))</f>
        <v>7448.98</v>
      </c>
      <c r="M88" s="62" t="n">
        <f aca="false">IF($D88="","",IFERROR(INDEX(Items!$F$5:$F$504,U88),0))</f>
        <v>0.18</v>
      </c>
      <c r="N88" s="61" t="n">
        <f aca="false">IF($D88="","",IF(AND(V88&lt;&gt;"",INDEX(Parties!$E$5:$E$304,V88)&lt;&gt;"",INDEX(Parties!$E$5:$E$304,V88)&lt;&gt;HomeState),0,ROUND(L88*M88/2,2)))</f>
        <v>670.41</v>
      </c>
      <c r="O88" s="61" t="n">
        <f aca="false">IF($D88="","",N88)</f>
        <v>670.41</v>
      </c>
      <c r="P88" s="61" t="n">
        <f aca="false">IF($D88="","",IF(AND(V88&lt;&gt;"",INDEX(Parties!$E$5:$E$304,V88)&lt;&gt;"",INDEX(Parties!$E$5:$E$304,V88)&lt;&gt;HomeState),ROUND(L88*M88,2),0))</f>
        <v>0</v>
      </c>
      <c r="Q88" s="61" t="n">
        <f aca="false">IF($D88="","",L88+N88+O88+P88)</f>
        <v>8789.8</v>
      </c>
      <c r="R88" s="61" t="n">
        <f aca="false">IF($D88="","",ROUND(N($E88)*IFERROR(INDEX(Items!$P$5:$P$504,U88),0),2))</f>
        <v>5694.62</v>
      </c>
      <c r="S88" s="61" t="n">
        <f aca="false">IF($D88="","",L88-R88)</f>
        <v>1754.36</v>
      </c>
      <c r="T88" s="60" t="str">
        <f aca="false">IF($D88="","",IF(U88="","UNKNOWN ITEM",IF(INDEX(Items!$O$5:$O$504,U88)&lt;0,"NEG STOCK",IF(K88&lt;INDEX(Items!$P$5:$P$504,U88),"BELOW COST","OK"))))</f>
        <v>OK</v>
      </c>
      <c r="U88" s="60" t="n">
        <f aca="false">IF($D88="","",IFERROR(MATCH($D88,Items!$A$5:$A$504,0),""))</f>
        <v>5</v>
      </c>
      <c r="V88" s="60" t="n">
        <f aca="false">IF($C88="","",IFERROR(MATCH($C88,Parties!$A$5:$A$304,0),""))</f>
        <v>4</v>
      </c>
      <c r="W88" s="60" t="n">
        <f aca="false">IF($B88="","",IFERROR(VALUE(SUBSTITUTE($B88,InvPrefix,"")),0))</f>
        <v>68</v>
      </c>
      <c r="X88" s="61" t="n">
        <f aca="false">IF($D88="","",IF(OR($H88="",$H88="Credit"),0,Q88))</f>
        <v>8789.8</v>
      </c>
    </row>
    <row r="89" customFormat="false" ht="15" hidden="false" customHeight="false" outlineLevel="0" collapsed="false">
      <c r="A89" s="55" t="n">
        <v>46216</v>
      </c>
      <c r="B89" s="56" t="s">
        <v>159</v>
      </c>
      <c r="C89" s="56" t="s">
        <v>102</v>
      </c>
      <c r="D89" s="56" t="s">
        <v>86</v>
      </c>
      <c r="E89" s="57" t="n">
        <v>6</v>
      </c>
      <c r="F89" s="58"/>
      <c r="G89" s="59"/>
      <c r="H89" s="56" t="s">
        <v>103</v>
      </c>
      <c r="I89" s="56" t="s">
        <v>75</v>
      </c>
      <c r="J89" s="60" t="str">
        <f aca="false">IF($D89="","",IFERROR(INDEX(Items!$D$5:$D$504,U89),""))</f>
        <v>Bag</v>
      </c>
      <c r="K89" s="61" t="n">
        <f aca="false">IF($D89="","",IF($F89="",IFERROR(INDEX(Items!$H$5:$H$504,U89),0),$F89))</f>
        <v>2462</v>
      </c>
      <c r="L89" s="61" t="n">
        <f aca="false">IF($D89="","",ROUND(N($E89)*K89*(1-N($G89)),2))</f>
        <v>14772</v>
      </c>
      <c r="M89" s="62" t="n">
        <f aca="false">IF($D89="","",IFERROR(INDEX(Items!$F$5:$F$504,U89),0))</f>
        <v>0.05</v>
      </c>
      <c r="N89" s="61" t="n">
        <f aca="false">IF($D89="","",IF(AND(V89&lt;&gt;"",INDEX(Parties!$E$5:$E$304,V89)&lt;&gt;"",INDEX(Parties!$E$5:$E$304,V89)&lt;&gt;HomeState),0,ROUND(L89*M89/2,2)))</f>
        <v>369.3</v>
      </c>
      <c r="O89" s="61" t="n">
        <f aca="false">IF($D89="","",N89)</f>
        <v>369.3</v>
      </c>
      <c r="P89" s="61" t="n">
        <f aca="false">IF($D89="","",IF(AND(V89&lt;&gt;"",INDEX(Parties!$E$5:$E$304,V89)&lt;&gt;"",INDEX(Parties!$E$5:$E$304,V89)&lt;&gt;HomeState),ROUND(L89*M89,2),0))</f>
        <v>0</v>
      </c>
      <c r="Q89" s="61" t="n">
        <f aca="false">IF($D89="","",L89+N89+O89+P89)</f>
        <v>15510.6</v>
      </c>
      <c r="R89" s="61" t="n">
        <f aca="false">IF($D89="","",ROUND(N($E89)*IFERROR(INDEX(Items!$P$5:$P$504,U89),0),2))</f>
        <v>12226.37</v>
      </c>
      <c r="S89" s="61" t="n">
        <f aca="false">IF($D89="","",L89-R89)</f>
        <v>2545.63</v>
      </c>
      <c r="T89" s="60" t="str">
        <f aca="false">IF($D89="","",IF(U89="","UNKNOWN ITEM",IF(INDEX(Items!$O$5:$O$504,U89)&lt;0,"NEG STOCK",IF(K89&lt;INDEX(Items!$P$5:$P$504,U89),"BELOW COST","OK"))))</f>
        <v>OK</v>
      </c>
      <c r="U89" s="60" t="n">
        <f aca="false">IF($D89="","",IFERROR(MATCH($D89,Items!$A$5:$A$504,0),""))</f>
        <v>2</v>
      </c>
      <c r="V89" s="60" t="n">
        <f aca="false">IF($C89="","",IFERROR(MATCH($C89,Parties!$A$5:$A$304,0),""))</f>
        <v>4</v>
      </c>
      <c r="W89" s="60" t="n">
        <f aca="false">IF($B89="","",IFERROR(VALUE(SUBSTITUTE($B89,InvPrefix,"")),0))</f>
        <v>69</v>
      </c>
      <c r="X89" s="61" t="n">
        <f aca="false">IF($D89="","",IF(OR($H89="",$H89="Credit"),0,Q89))</f>
        <v>15510.6</v>
      </c>
    </row>
    <row r="90" customFormat="false" ht="15" hidden="false" customHeight="false" outlineLevel="0" collapsed="false">
      <c r="A90" s="55" t="n">
        <v>46217</v>
      </c>
      <c r="B90" s="56" t="s">
        <v>160</v>
      </c>
      <c r="C90" s="56" t="s">
        <v>84</v>
      </c>
      <c r="D90" s="56" t="s">
        <v>98</v>
      </c>
      <c r="E90" s="57" t="n">
        <v>14</v>
      </c>
      <c r="F90" s="58"/>
      <c r="G90" s="59"/>
      <c r="H90" s="56" t="s">
        <v>90</v>
      </c>
      <c r="I90" s="56" t="s">
        <v>75</v>
      </c>
      <c r="J90" s="60" t="str">
        <f aca="false">IF($D90="","",IFERROR(INDEX(Items!$D$5:$D$504,U90),""))</f>
        <v>Pack</v>
      </c>
      <c r="K90" s="61" t="n">
        <f aca="false">IF($D90="","",IF($F90="",IFERROR(INDEX(Items!$H$5:$H$504,U90),0),$F90))</f>
        <v>508</v>
      </c>
      <c r="L90" s="61" t="n">
        <f aca="false">IF($D90="","",ROUND(N($E90)*K90*(1-N($G90)),2))</f>
        <v>7112</v>
      </c>
      <c r="M90" s="62" t="n">
        <f aca="false">IF($D90="","",IFERROR(INDEX(Items!$F$5:$F$504,U90),0))</f>
        <v>0.05</v>
      </c>
      <c r="N90" s="61" t="n">
        <f aca="false">IF($D90="","",IF(AND(V90&lt;&gt;"",INDEX(Parties!$E$5:$E$304,V90)&lt;&gt;"",INDEX(Parties!$E$5:$E$304,V90)&lt;&gt;HomeState),0,ROUND(L90*M90/2,2)))</f>
        <v>177.8</v>
      </c>
      <c r="O90" s="61" t="n">
        <f aca="false">IF($D90="","",N90)</f>
        <v>177.8</v>
      </c>
      <c r="P90" s="61" t="n">
        <f aca="false">IF($D90="","",IF(AND(V90&lt;&gt;"",INDEX(Parties!$E$5:$E$304,V90)&lt;&gt;"",INDEX(Parties!$E$5:$E$304,V90)&lt;&gt;HomeState),ROUND(L90*M90,2),0))</f>
        <v>0</v>
      </c>
      <c r="Q90" s="61" t="n">
        <f aca="false">IF($D90="","",L90+N90+O90+P90)</f>
        <v>7467.6</v>
      </c>
      <c r="R90" s="61" t="n">
        <f aca="false">IF($D90="","",ROUND(N($E90)*IFERROR(INDEX(Items!$P$5:$P$504,U90),0),2))</f>
        <v>5279.11</v>
      </c>
      <c r="S90" s="61" t="n">
        <f aca="false">IF($D90="","",L90-R90)</f>
        <v>1832.89</v>
      </c>
      <c r="T90" s="60" t="str">
        <f aca="false">IF($D90="","",IF(U90="","UNKNOWN ITEM",IF(INDEX(Items!$O$5:$O$504,U90)&lt;0,"NEG STOCK",IF(K90&lt;INDEX(Items!$P$5:$P$504,U90),"BELOW COST","OK"))))</f>
        <v>OK</v>
      </c>
      <c r="U90" s="60" t="n">
        <f aca="false">IF($D90="","",IFERROR(MATCH($D90,Items!$A$5:$A$504,0),""))</f>
        <v>4</v>
      </c>
      <c r="V90" s="60" t="n">
        <f aca="false">IF($C90="","",IFERROR(MATCH($C90,Parties!$A$5:$A$304,0),""))</f>
        <v>9</v>
      </c>
      <c r="W90" s="60" t="n">
        <f aca="false">IF($B90="","",IFERROR(VALUE(SUBSTITUTE($B90,InvPrefix,"")),0))</f>
        <v>70</v>
      </c>
      <c r="X90" s="61" t="n">
        <f aca="false">IF($D90="","",IF(OR($H90="",$H90="Credit"),0,Q90))</f>
        <v>7467.6</v>
      </c>
    </row>
    <row r="91" customFormat="false" ht="15" hidden="false" customHeight="false" outlineLevel="0" collapsed="false">
      <c r="A91" s="55" t="n">
        <v>46218</v>
      </c>
      <c r="B91" s="56" t="s">
        <v>161</v>
      </c>
      <c r="C91" s="56" t="s">
        <v>84</v>
      </c>
      <c r="D91" s="56" t="s">
        <v>99</v>
      </c>
      <c r="E91" s="57" t="n">
        <v>89</v>
      </c>
      <c r="F91" s="58"/>
      <c r="G91" s="59" t="n">
        <v>0.05</v>
      </c>
      <c r="H91" s="56"/>
      <c r="I91" s="56" t="s">
        <v>75</v>
      </c>
      <c r="J91" s="60" t="str">
        <f aca="false">IF($D91="","",IFERROR(INDEX(Items!$D$5:$D$504,U91),""))</f>
        <v>Pcs</v>
      </c>
      <c r="K91" s="61" t="n">
        <f aca="false">IF($D91="","",IF($F91="",IFERROR(INDEX(Items!$H$5:$H$504,U91),0),$F91))</f>
        <v>107</v>
      </c>
      <c r="L91" s="61" t="n">
        <f aca="false">IF($D91="","",ROUND(N($E91)*K91*(1-N($G91)),2))</f>
        <v>9046.85</v>
      </c>
      <c r="M91" s="62" t="n">
        <f aca="false">IF($D91="","",IFERROR(INDEX(Items!$F$5:$F$504,U91),0))</f>
        <v>0.18</v>
      </c>
      <c r="N91" s="61" t="n">
        <f aca="false">IF($D91="","",IF(AND(V91&lt;&gt;"",INDEX(Parties!$E$5:$E$304,V91)&lt;&gt;"",INDEX(Parties!$E$5:$E$304,V91)&lt;&gt;HomeState),0,ROUND(L91*M91/2,2)))</f>
        <v>814.22</v>
      </c>
      <c r="O91" s="61" t="n">
        <f aca="false">IF($D91="","",N91)</f>
        <v>814.22</v>
      </c>
      <c r="P91" s="61" t="n">
        <f aca="false">IF($D91="","",IF(AND(V91&lt;&gt;"",INDEX(Parties!$E$5:$E$304,V91)&lt;&gt;"",INDEX(Parties!$E$5:$E$304,V91)&lt;&gt;HomeState),ROUND(L91*M91,2),0))</f>
        <v>0</v>
      </c>
      <c r="Q91" s="61" t="n">
        <f aca="false">IF($D91="","",L91+N91+O91+P91)</f>
        <v>10675.29</v>
      </c>
      <c r="R91" s="61" t="n">
        <f aca="false">IF($D91="","",ROUND(N($E91)*IFERROR(INDEX(Items!$P$5:$P$504,U91),0),2))</f>
        <v>5466.12</v>
      </c>
      <c r="S91" s="61" t="n">
        <f aca="false">IF($D91="","",L91-R91)</f>
        <v>3580.73</v>
      </c>
      <c r="T91" s="60" t="str">
        <f aca="false">IF($D91="","",IF(U91="","UNKNOWN ITEM",IF(INDEX(Items!$O$5:$O$504,U91)&lt;0,"NEG STOCK",IF(K91&lt;INDEX(Items!$P$5:$P$504,U91),"BELOW COST","OK"))))</f>
        <v>OK</v>
      </c>
      <c r="U91" s="60" t="n">
        <f aca="false">IF($D91="","",IFERROR(MATCH($D91,Items!$A$5:$A$504,0),""))</f>
        <v>7</v>
      </c>
      <c r="V91" s="60" t="n">
        <f aca="false">IF($C91="","",IFERROR(MATCH($C91,Parties!$A$5:$A$304,0),""))</f>
        <v>9</v>
      </c>
      <c r="W91" s="60" t="n">
        <f aca="false">IF($B91="","",IFERROR(VALUE(SUBSTITUTE($B91,InvPrefix,"")),0))</f>
        <v>71</v>
      </c>
      <c r="X91" s="61" t="n">
        <f aca="false">IF($D91="","",IF(OR($H91="",$H91="Credit"),0,Q91))</f>
        <v>0</v>
      </c>
    </row>
    <row r="92" customFormat="false" ht="15" hidden="false" customHeight="false" outlineLevel="0" collapsed="false">
      <c r="A92" s="55" t="n">
        <v>46220</v>
      </c>
      <c r="B92" s="56" t="s">
        <v>162</v>
      </c>
      <c r="C92" s="56" t="s">
        <v>102</v>
      </c>
      <c r="D92" s="56" t="s">
        <v>73</v>
      </c>
      <c r="E92" s="57" t="n">
        <v>5</v>
      </c>
      <c r="F92" s="58"/>
      <c r="G92" s="59"/>
      <c r="H92" s="56" t="s">
        <v>103</v>
      </c>
      <c r="I92" s="56" t="s">
        <v>75</v>
      </c>
      <c r="J92" s="60" t="str">
        <f aca="false">IF($D92="","",IFERROR(INDEX(Items!$D$5:$D$504,U92),""))</f>
        <v>Bag</v>
      </c>
      <c r="K92" s="61" t="n">
        <f aca="false">IF($D92="","",IF($F92="",IFERROR(INDEX(Items!$H$5:$H$504,U92),0),$F92))</f>
        <v>2106</v>
      </c>
      <c r="L92" s="61" t="n">
        <f aca="false">IF($D92="","",ROUND(N($E92)*K92*(1-N($G92)),2))</f>
        <v>10530</v>
      </c>
      <c r="M92" s="62" t="n">
        <f aca="false">IF($D92="","",IFERROR(INDEX(Items!$F$5:$F$504,U92),0))</f>
        <v>0.05</v>
      </c>
      <c r="N92" s="61" t="n">
        <f aca="false">IF($D92="","",IF(AND(V92&lt;&gt;"",INDEX(Parties!$E$5:$E$304,V92)&lt;&gt;"",INDEX(Parties!$E$5:$E$304,V92)&lt;&gt;HomeState),0,ROUND(L92*M92/2,2)))</f>
        <v>263.25</v>
      </c>
      <c r="O92" s="61" t="n">
        <f aca="false">IF($D92="","",N92)</f>
        <v>263.25</v>
      </c>
      <c r="P92" s="61" t="n">
        <f aca="false">IF($D92="","",IF(AND(V92&lt;&gt;"",INDEX(Parties!$E$5:$E$304,V92)&lt;&gt;"",INDEX(Parties!$E$5:$E$304,V92)&lt;&gt;HomeState),ROUND(L92*M92,2),0))</f>
        <v>0</v>
      </c>
      <c r="Q92" s="61" t="n">
        <f aca="false">IF($D92="","",L92+N92+O92+P92)</f>
        <v>11056.5</v>
      </c>
      <c r="R92" s="61" t="n">
        <f aca="false">IF($D92="","",ROUND(N($E92)*IFERROR(INDEX(Items!$P$5:$P$504,U92),0),2))</f>
        <v>8237.15</v>
      </c>
      <c r="S92" s="61" t="n">
        <f aca="false">IF($D92="","",L92-R92)</f>
        <v>2292.85</v>
      </c>
      <c r="T92" s="60" t="str">
        <f aca="false">IF($D92="","",IF(U92="","UNKNOWN ITEM",IF(INDEX(Items!$O$5:$O$504,U92)&lt;0,"NEG STOCK",IF(K92&lt;INDEX(Items!$P$5:$P$504,U92),"BELOW COST","OK"))))</f>
        <v>OK</v>
      </c>
      <c r="U92" s="60" t="n">
        <f aca="false">IF($D92="","",IFERROR(MATCH($D92,Items!$A$5:$A$504,0),""))</f>
        <v>1</v>
      </c>
      <c r="V92" s="60" t="n">
        <f aca="false">IF($C92="","",IFERROR(MATCH($C92,Parties!$A$5:$A$304,0),""))</f>
        <v>4</v>
      </c>
      <c r="W92" s="60" t="n">
        <f aca="false">IF($B92="","",IFERROR(VALUE(SUBSTITUTE($B92,InvPrefix,"")),0))</f>
        <v>72</v>
      </c>
      <c r="X92" s="61" t="n">
        <f aca="false">IF($D92="","",IF(OR($H92="",$H92="Credit"),0,Q92))</f>
        <v>11056.5</v>
      </c>
    </row>
    <row r="93" customFormat="false" ht="15" hidden="false" customHeight="false" outlineLevel="0" collapsed="false">
      <c r="A93" s="55" t="n">
        <v>46221</v>
      </c>
      <c r="B93" s="56" t="s">
        <v>163</v>
      </c>
      <c r="C93" s="56" t="s">
        <v>81</v>
      </c>
      <c r="D93" s="56" t="s">
        <v>99</v>
      </c>
      <c r="E93" s="57" t="n">
        <v>63</v>
      </c>
      <c r="F93" s="58"/>
      <c r="G93" s="59"/>
      <c r="H93" s="56"/>
      <c r="I93" s="56" t="s">
        <v>75</v>
      </c>
      <c r="J93" s="60" t="str">
        <f aca="false">IF($D93="","",IFERROR(INDEX(Items!$D$5:$D$504,U93),""))</f>
        <v>Pcs</v>
      </c>
      <c r="K93" s="61" t="n">
        <f aca="false">IF($D93="","",IF($F93="",IFERROR(INDEX(Items!$H$5:$H$504,U93),0),$F93))</f>
        <v>107</v>
      </c>
      <c r="L93" s="61" t="n">
        <f aca="false">IF($D93="","",ROUND(N($E93)*K93*(1-N($G93)),2))</f>
        <v>6741</v>
      </c>
      <c r="M93" s="62" t="n">
        <f aca="false">IF($D93="","",IFERROR(INDEX(Items!$F$5:$F$504,U93),0))</f>
        <v>0.18</v>
      </c>
      <c r="N93" s="61" t="n">
        <f aca="false">IF($D93="","",IF(AND(V93&lt;&gt;"",INDEX(Parties!$E$5:$E$304,V93)&lt;&gt;"",INDEX(Parties!$E$5:$E$304,V93)&lt;&gt;HomeState),0,ROUND(L93*M93/2,2)))</f>
        <v>0</v>
      </c>
      <c r="O93" s="61" t="n">
        <f aca="false">IF($D93="","",N93)</f>
        <v>0</v>
      </c>
      <c r="P93" s="61" t="n">
        <f aca="false">IF($D93="","",IF(AND(V93&lt;&gt;"",INDEX(Parties!$E$5:$E$304,V93)&lt;&gt;"",INDEX(Parties!$E$5:$E$304,V93)&lt;&gt;HomeState),ROUND(L93*M93,2),0))</f>
        <v>1213.38</v>
      </c>
      <c r="Q93" s="61" t="n">
        <f aca="false">IF($D93="","",L93+N93+O93+P93)</f>
        <v>7954.38</v>
      </c>
      <c r="R93" s="61" t="n">
        <f aca="false">IF($D93="","",ROUND(N($E93)*IFERROR(INDEX(Items!$P$5:$P$504,U93),0),2))</f>
        <v>3869.28</v>
      </c>
      <c r="S93" s="61" t="n">
        <f aca="false">IF($D93="","",L93-R93)</f>
        <v>2871.72</v>
      </c>
      <c r="T93" s="60" t="str">
        <f aca="false">IF($D93="","",IF(U93="","UNKNOWN ITEM",IF(INDEX(Items!$O$5:$O$504,U93)&lt;0,"NEG STOCK",IF(K93&lt;INDEX(Items!$P$5:$P$504,U93),"BELOW COST","OK"))))</f>
        <v>OK</v>
      </c>
      <c r="U93" s="60" t="n">
        <f aca="false">IF($D93="","",IFERROR(MATCH($D93,Items!$A$5:$A$504,0),""))</f>
        <v>7</v>
      </c>
      <c r="V93" s="60" t="n">
        <f aca="false">IF($C93="","",IFERROR(MATCH($C93,Parties!$A$5:$A$304,0),""))</f>
        <v>3</v>
      </c>
      <c r="W93" s="60" t="n">
        <f aca="false">IF($B93="","",IFERROR(VALUE(SUBSTITUTE($B93,InvPrefix,"")),0))</f>
        <v>73</v>
      </c>
      <c r="X93" s="61" t="n">
        <f aca="false">IF($D93="","",IF(OR($H93="",$H93="Credit"),0,Q93))</f>
        <v>0</v>
      </c>
    </row>
    <row r="94" customFormat="false" ht="15" hidden="false" customHeight="false" outlineLevel="0" collapsed="false">
      <c r="A94" s="55" t="n">
        <v>46224</v>
      </c>
      <c r="B94" s="56" t="s">
        <v>164</v>
      </c>
      <c r="C94" s="56" t="s">
        <v>102</v>
      </c>
      <c r="D94" s="56" t="s">
        <v>86</v>
      </c>
      <c r="E94" s="57" t="n">
        <v>6</v>
      </c>
      <c r="F94" s="58"/>
      <c r="G94" s="59" t="n">
        <v>0.02</v>
      </c>
      <c r="H94" s="56" t="s">
        <v>103</v>
      </c>
      <c r="I94" s="56" t="s">
        <v>75</v>
      </c>
      <c r="J94" s="60" t="str">
        <f aca="false">IF($D94="","",IFERROR(INDEX(Items!$D$5:$D$504,U94),""))</f>
        <v>Bag</v>
      </c>
      <c r="K94" s="61" t="n">
        <f aca="false">IF($D94="","",IF($F94="",IFERROR(INDEX(Items!$H$5:$H$504,U94),0),$F94))</f>
        <v>2462</v>
      </c>
      <c r="L94" s="61" t="n">
        <f aca="false">IF($D94="","",ROUND(N($E94)*K94*(1-N($G94)),2))</f>
        <v>14476.56</v>
      </c>
      <c r="M94" s="62" t="n">
        <f aca="false">IF($D94="","",IFERROR(INDEX(Items!$F$5:$F$504,U94),0))</f>
        <v>0.05</v>
      </c>
      <c r="N94" s="61" t="n">
        <f aca="false">IF($D94="","",IF(AND(V94&lt;&gt;"",INDEX(Parties!$E$5:$E$304,V94)&lt;&gt;"",INDEX(Parties!$E$5:$E$304,V94)&lt;&gt;HomeState),0,ROUND(L94*M94/2,2)))</f>
        <v>361.91</v>
      </c>
      <c r="O94" s="61" t="n">
        <f aca="false">IF($D94="","",N94)</f>
        <v>361.91</v>
      </c>
      <c r="P94" s="61" t="n">
        <f aca="false">IF($D94="","",IF(AND(V94&lt;&gt;"",INDEX(Parties!$E$5:$E$304,V94)&lt;&gt;"",INDEX(Parties!$E$5:$E$304,V94)&lt;&gt;HomeState),ROUND(L94*M94,2),0))</f>
        <v>0</v>
      </c>
      <c r="Q94" s="61" t="n">
        <f aca="false">IF($D94="","",L94+N94+O94+P94)</f>
        <v>15200.38</v>
      </c>
      <c r="R94" s="61" t="n">
        <f aca="false">IF($D94="","",ROUND(N($E94)*IFERROR(INDEX(Items!$P$5:$P$504,U94),0),2))</f>
        <v>12226.37</v>
      </c>
      <c r="S94" s="61" t="n">
        <f aca="false">IF($D94="","",L94-R94)</f>
        <v>2250.19</v>
      </c>
      <c r="T94" s="60" t="str">
        <f aca="false">IF($D94="","",IF(U94="","UNKNOWN ITEM",IF(INDEX(Items!$O$5:$O$504,U94)&lt;0,"NEG STOCK",IF(K94&lt;INDEX(Items!$P$5:$P$504,U94),"BELOW COST","OK"))))</f>
        <v>OK</v>
      </c>
      <c r="U94" s="60" t="n">
        <f aca="false">IF($D94="","",IFERROR(MATCH($D94,Items!$A$5:$A$504,0),""))</f>
        <v>2</v>
      </c>
      <c r="V94" s="60" t="n">
        <f aca="false">IF($C94="","",IFERROR(MATCH($C94,Parties!$A$5:$A$304,0),""))</f>
        <v>4</v>
      </c>
      <c r="W94" s="60" t="n">
        <f aca="false">IF($B94="","",IFERROR(VALUE(SUBSTITUTE($B94,InvPrefix,"")),0))</f>
        <v>75</v>
      </c>
      <c r="X94" s="61" t="n">
        <f aca="false">IF($D94="","",IF(OR($H94="",$H94="Credit"),0,Q94))</f>
        <v>15200.38</v>
      </c>
    </row>
    <row r="95" customFormat="false" ht="15" hidden="false" customHeight="false" outlineLevel="0" collapsed="false">
      <c r="A95" s="55" t="n">
        <v>46224</v>
      </c>
      <c r="B95" s="56" t="s">
        <v>164</v>
      </c>
      <c r="C95" s="56" t="s">
        <v>102</v>
      </c>
      <c r="D95" s="56" t="s">
        <v>73</v>
      </c>
      <c r="E95" s="57" t="n">
        <v>5</v>
      </c>
      <c r="F95" s="58"/>
      <c r="G95" s="59"/>
      <c r="H95" s="56" t="s">
        <v>103</v>
      </c>
      <c r="I95" s="56" t="s">
        <v>75</v>
      </c>
      <c r="J95" s="60" t="str">
        <f aca="false">IF($D95="","",IFERROR(INDEX(Items!$D$5:$D$504,U95),""))</f>
        <v>Bag</v>
      </c>
      <c r="K95" s="61" t="n">
        <f aca="false">IF($D95="","",IF($F95="",IFERROR(INDEX(Items!$H$5:$H$504,U95),0),$F95))</f>
        <v>2106</v>
      </c>
      <c r="L95" s="61" t="n">
        <f aca="false">IF($D95="","",ROUND(N($E95)*K95*(1-N($G95)),2))</f>
        <v>10530</v>
      </c>
      <c r="M95" s="62" t="n">
        <f aca="false">IF($D95="","",IFERROR(INDEX(Items!$F$5:$F$504,U95),0))</f>
        <v>0.05</v>
      </c>
      <c r="N95" s="61" t="n">
        <f aca="false">IF($D95="","",IF(AND(V95&lt;&gt;"",INDEX(Parties!$E$5:$E$304,V95)&lt;&gt;"",INDEX(Parties!$E$5:$E$304,V95)&lt;&gt;HomeState),0,ROUND(L95*M95/2,2)))</f>
        <v>263.25</v>
      </c>
      <c r="O95" s="61" t="n">
        <f aca="false">IF($D95="","",N95)</f>
        <v>263.25</v>
      </c>
      <c r="P95" s="61" t="n">
        <f aca="false">IF($D95="","",IF(AND(V95&lt;&gt;"",INDEX(Parties!$E$5:$E$304,V95)&lt;&gt;"",INDEX(Parties!$E$5:$E$304,V95)&lt;&gt;HomeState),ROUND(L95*M95,2),0))</f>
        <v>0</v>
      </c>
      <c r="Q95" s="61" t="n">
        <f aca="false">IF($D95="","",L95+N95+O95+P95)</f>
        <v>11056.5</v>
      </c>
      <c r="R95" s="61" t="n">
        <f aca="false">IF($D95="","",ROUND(N($E95)*IFERROR(INDEX(Items!$P$5:$P$504,U95),0),2))</f>
        <v>8237.15</v>
      </c>
      <c r="S95" s="61" t="n">
        <f aca="false">IF($D95="","",L95-R95)</f>
        <v>2292.85</v>
      </c>
      <c r="T95" s="60" t="str">
        <f aca="false">IF($D95="","",IF(U95="","UNKNOWN ITEM",IF(INDEX(Items!$O$5:$O$504,U95)&lt;0,"NEG STOCK",IF(K95&lt;INDEX(Items!$P$5:$P$504,U95),"BELOW COST","OK"))))</f>
        <v>OK</v>
      </c>
      <c r="U95" s="60" t="n">
        <f aca="false">IF($D95="","",IFERROR(MATCH($D95,Items!$A$5:$A$504,0),""))</f>
        <v>1</v>
      </c>
      <c r="V95" s="60" t="n">
        <f aca="false">IF($C95="","",IFERROR(MATCH($C95,Parties!$A$5:$A$304,0),""))</f>
        <v>4</v>
      </c>
      <c r="W95" s="60" t="n">
        <f aca="false">IF($B95="","",IFERROR(VALUE(SUBSTITUTE($B95,InvPrefix,"")),0))</f>
        <v>75</v>
      </c>
      <c r="X95" s="61" t="n">
        <f aca="false">IF($D95="","",IF(OR($H95="",$H95="Credit"),0,Q95))</f>
        <v>11056.5</v>
      </c>
    </row>
    <row r="96" customFormat="false" ht="15" hidden="false" customHeight="false" outlineLevel="0" collapsed="false">
      <c r="A96" s="55" t="n">
        <v>46225</v>
      </c>
      <c r="B96" s="56" t="s">
        <v>165</v>
      </c>
      <c r="C96" s="56" t="s">
        <v>102</v>
      </c>
      <c r="D96" s="56" t="s">
        <v>79</v>
      </c>
      <c r="E96" s="57" t="n">
        <v>16</v>
      </c>
      <c r="F96" s="58"/>
      <c r="G96" s="59" t="n">
        <v>0.02</v>
      </c>
      <c r="H96" s="56" t="s">
        <v>103</v>
      </c>
      <c r="I96" s="56" t="s">
        <v>75</v>
      </c>
      <c r="J96" s="60" t="str">
        <f aca="false">IF($D96="","",IFERROR(INDEX(Items!$D$5:$D$504,U96),""))</f>
        <v>Pcs</v>
      </c>
      <c r="K96" s="61" t="n">
        <f aca="false">IF($D96="","",IF($F96="",IFERROR(INDEX(Items!$H$5:$H$504,U96),0),$F96))</f>
        <v>297</v>
      </c>
      <c r="L96" s="61" t="n">
        <f aca="false">IF($D96="","",ROUND(N($E96)*K96*(1-N($G96)),2))</f>
        <v>4656.96</v>
      </c>
      <c r="M96" s="62" t="n">
        <f aca="false">IF($D96="","",IFERROR(INDEX(Items!$F$5:$F$504,U96),0))</f>
        <v>0.18</v>
      </c>
      <c r="N96" s="61" t="n">
        <f aca="false">IF($D96="","",IF(AND(V96&lt;&gt;"",INDEX(Parties!$E$5:$E$304,V96)&lt;&gt;"",INDEX(Parties!$E$5:$E$304,V96)&lt;&gt;HomeState),0,ROUND(L96*M96/2,2)))</f>
        <v>419.13</v>
      </c>
      <c r="O96" s="61" t="n">
        <f aca="false">IF($D96="","",N96)</f>
        <v>419.13</v>
      </c>
      <c r="P96" s="61" t="n">
        <f aca="false">IF($D96="","",IF(AND(V96&lt;&gt;"",INDEX(Parties!$E$5:$E$304,V96)&lt;&gt;"",INDEX(Parties!$E$5:$E$304,V96)&lt;&gt;HomeState),ROUND(L96*M96,2),0))</f>
        <v>0</v>
      </c>
      <c r="Q96" s="61" t="n">
        <f aca="false">IF($D96="","",L96+N96+O96+P96)</f>
        <v>5495.22</v>
      </c>
      <c r="R96" s="61" t="n">
        <f aca="false">IF($D96="","",ROUND(N($E96)*IFERROR(INDEX(Items!$P$5:$P$504,U96),0),2))</f>
        <v>3354.13</v>
      </c>
      <c r="S96" s="61" t="n">
        <f aca="false">IF($D96="","",L96-R96)</f>
        <v>1302.83</v>
      </c>
      <c r="T96" s="60" t="str">
        <f aca="false">IF($D96="","",IF(U96="","UNKNOWN ITEM",IF(INDEX(Items!$O$5:$O$504,U96)&lt;0,"NEG STOCK",IF(K96&lt;INDEX(Items!$P$5:$P$504,U96),"BELOW COST","OK"))))</f>
        <v>OK</v>
      </c>
      <c r="U96" s="60" t="n">
        <f aca="false">IF($D96="","",IFERROR(MATCH($D96,Items!$A$5:$A$504,0),""))</f>
        <v>9</v>
      </c>
      <c r="V96" s="60" t="n">
        <f aca="false">IF($C96="","",IFERROR(MATCH($C96,Parties!$A$5:$A$304,0),""))</f>
        <v>4</v>
      </c>
      <c r="W96" s="60" t="n">
        <f aca="false">IF($B96="","",IFERROR(VALUE(SUBSTITUTE($B96,InvPrefix,"")),0))</f>
        <v>76</v>
      </c>
      <c r="X96" s="61" t="n">
        <f aca="false">IF($D96="","",IF(OR($H96="",$H96="Credit"),0,Q96))</f>
        <v>5495.22</v>
      </c>
    </row>
    <row r="97" customFormat="false" ht="15" hidden="false" customHeight="false" outlineLevel="0" collapsed="false">
      <c r="A97" s="55" t="n">
        <v>46226</v>
      </c>
      <c r="B97" s="56" t="s">
        <v>166</v>
      </c>
      <c r="C97" s="56" t="s">
        <v>84</v>
      </c>
      <c r="D97" s="56" t="s">
        <v>94</v>
      </c>
      <c r="E97" s="57" t="n">
        <v>11</v>
      </c>
      <c r="F97" s="58"/>
      <c r="G97" s="59"/>
      <c r="H97" s="56"/>
      <c r="I97" s="56" t="s">
        <v>75</v>
      </c>
      <c r="J97" s="60" t="str">
        <f aca="false">IF($D97="","",IFERROR(INDEX(Items!$D$5:$D$504,U97),""))</f>
        <v>Pack</v>
      </c>
      <c r="K97" s="61" t="n">
        <f aca="false">IF($D97="","",IF($F97="",IFERROR(INDEX(Items!$H$5:$H$504,U97),0),$F97))</f>
        <v>691</v>
      </c>
      <c r="L97" s="61" t="n">
        <f aca="false">IF($D97="","",ROUND(N($E97)*K97*(1-N($G97)),2))</f>
        <v>7601</v>
      </c>
      <c r="M97" s="62" t="n">
        <f aca="false">IF($D97="","",IFERROR(INDEX(Items!$F$5:$F$504,U97),0))</f>
        <v>0.18</v>
      </c>
      <c r="N97" s="61" t="n">
        <f aca="false">IF($D97="","",IF(AND(V97&lt;&gt;"",INDEX(Parties!$E$5:$E$304,V97)&lt;&gt;"",INDEX(Parties!$E$5:$E$304,V97)&lt;&gt;HomeState),0,ROUND(L97*M97/2,2)))</f>
        <v>684.09</v>
      </c>
      <c r="O97" s="61" t="n">
        <f aca="false">IF($D97="","",N97)</f>
        <v>684.09</v>
      </c>
      <c r="P97" s="61" t="n">
        <f aca="false">IF($D97="","",IF(AND(V97&lt;&gt;"",INDEX(Parties!$E$5:$E$304,V97)&lt;&gt;"",INDEX(Parties!$E$5:$E$304,V97)&lt;&gt;HomeState),ROUND(L97*M97,2),0))</f>
        <v>0</v>
      </c>
      <c r="Q97" s="61" t="n">
        <f aca="false">IF($D97="","",L97+N97+O97+P97)</f>
        <v>8969.18</v>
      </c>
      <c r="R97" s="61" t="n">
        <f aca="false">IF($D97="","",ROUND(N($E97)*IFERROR(INDEX(Items!$P$5:$P$504,U97),0),2))</f>
        <v>5694.62</v>
      </c>
      <c r="S97" s="61" t="n">
        <f aca="false">IF($D97="","",L97-R97)</f>
        <v>1906.38</v>
      </c>
      <c r="T97" s="60" t="str">
        <f aca="false">IF($D97="","",IF(U97="","UNKNOWN ITEM",IF(INDEX(Items!$O$5:$O$504,U97)&lt;0,"NEG STOCK",IF(K97&lt;INDEX(Items!$P$5:$P$504,U97),"BELOW COST","OK"))))</f>
        <v>OK</v>
      </c>
      <c r="U97" s="60" t="n">
        <f aca="false">IF($D97="","",IFERROR(MATCH($D97,Items!$A$5:$A$504,0),""))</f>
        <v>5</v>
      </c>
      <c r="V97" s="60" t="n">
        <f aca="false">IF($C97="","",IFERROR(MATCH($C97,Parties!$A$5:$A$304,0),""))</f>
        <v>9</v>
      </c>
      <c r="W97" s="60" t="n">
        <f aca="false">IF($B97="","",IFERROR(VALUE(SUBSTITUTE($B97,InvPrefix,"")),0))</f>
        <v>77</v>
      </c>
      <c r="X97" s="61" t="n">
        <f aca="false">IF($D97="","",IF(OR($H97="",$H97="Credit"),0,Q97))</f>
        <v>0</v>
      </c>
    </row>
    <row r="98" customFormat="false" ht="15" hidden="false" customHeight="false" outlineLevel="0" collapsed="false">
      <c r="A98" s="55" t="n">
        <v>46227</v>
      </c>
      <c r="B98" s="56" t="s">
        <v>167</v>
      </c>
      <c r="C98" s="56" t="s">
        <v>102</v>
      </c>
      <c r="D98" s="56" t="s">
        <v>92</v>
      </c>
      <c r="E98" s="57" t="n">
        <v>3</v>
      </c>
      <c r="F98" s="58"/>
      <c r="G98" s="59" t="n">
        <v>0.02</v>
      </c>
      <c r="H98" s="56" t="s">
        <v>103</v>
      </c>
      <c r="I98" s="56" t="s">
        <v>75</v>
      </c>
      <c r="J98" s="60" t="str">
        <f aca="false">IF($D98="","",IFERROR(INDEX(Items!$D$5:$D$504,U98),""))</f>
        <v>Pcs</v>
      </c>
      <c r="K98" s="61" t="n">
        <f aca="false">IF($D98="","",IF($F98="",IFERROR(INDEX(Items!$H$5:$H$504,U98),0),$F98))</f>
        <v>3132</v>
      </c>
      <c r="L98" s="61" t="n">
        <f aca="false">IF($D98="","",ROUND(N($E98)*K98*(1-N($G98)),2))</f>
        <v>9208.08</v>
      </c>
      <c r="M98" s="62" t="n">
        <f aca="false">IF($D98="","",IFERROR(INDEX(Items!$F$5:$F$504,U98),0))</f>
        <v>0.18</v>
      </c>
      <c r="N98" s="61" t="n">
        <f aca="false">IF($D98="","",IF(AND(V98&lt;&gt;"",INDEX(Parties!$E$5:$E$304,V98)&lt;&gt;"",INDEX(Parties!$E$5:$E$304,V98)&lt;&gt;HomeState),0,ROUND(L98*M98/2,2)))</f>
        <v>828.73</v>
      </c>
      <c r="O98" s="61" t="n">
        <f aca="false">IF($D98="","",N98)</f>
        <v>828.73</v>
      </c>
      <c r="P98" s="61" t="n">
        <f aca="false">IF($D98="","",IF(AND(V98&lt;&gt;"",INDEX(Parties!$E$5:$E$304,V98)&lt;&gt;"",INDEX(Parties!$E$5:$E$304,V98)&lt;&gt;HomeState),ROUND(L98*M98,2),0))</f>
        <v>0</v>
      </c>
      <c r="Q98" s="61" t="n">
        <f aca="false">IF($D98="","",L98+N98+O98+P98)</f>
        <v>10865.54</v>
      </c>
      <c r="R98" s="61" t="n">
        <f aca="false">IF($D98="","",ROUND(N($E98)*IFERROR(INDEX(Items!$P$5:$P$504,U98),0),2))</f>
        <v>7354.45</v>
      </c>
      <c r="S98" s="61" t="n">
        <f aca="false">IF($D98="","",L98-R98)</f>
        <v>1853.63</v>
      </c>
      <c r="T98" s="60" t="str">
        <f aca="false">IF($D98="","",IF(U98="","UNKNOWN ITEM",IF(INDEX(Items!$O$5:$O$504,U98)&lt;0,"NEG STOCK",IF(K98&lt;INDEX(Items!$P$5:$P$504,U98),"BELOW COST","OK"))))</f>
        <v>OK</v>
      </c>
      <c r="U98" s="60" t="n">
        <f aca="false">IF($D98="","",IFERROR(MATCH($D98,Items!$A$5:$A$504,0),""))</f>
        <v>8</v>
      </c>
      <c r="V98" s="60" t="n">
        <f aca="false">IF($C98="","",IFERROR(MATCH($C98,Parties!$A$5:$A$304,0),""))</f>
        <v>4</v>
      </c>
      <c r="W98" s="60" t="n">
        <f aca="false">IF($B98="","",IFERROR(VALUE(SUBSTITUTE($B98,InvPrefix,"")),0))</f>
        <v>78</v>
      </c>
      <c r="X98" s="61" t="n">
        <f aca="false">IF($D98="","",IF(OR($H98="",$H98="Credit"),0,Q98))</f>
        <v>10865.54</v>
      </c>
    </row>
    <row r="99" customFormat="false" ht="15" hidden="false" customHeight="false" outlineLevel="0" collapsed="false">
      <c r="A99" s="55" t="n">
        <v>46230</v>
      </c>
      <c r="B99" s="56" t="s">
        <v>168</v>
      </c>
      <c r="C99" s="56" t="s">
        <v>81</v>
      </c>
      <c r="D99" s="56" t="s">
        <v>79</v>
      </c>
      <c r="E99" s="57" t="n">
        <v>33</v>
      </c>
      <c r="F99" s="58"/>
      <c r="G99" s="59" t="n">
        <v>0.02</v>
      </c>
      <c r="H99" s="56"/>
      <c r="I99" s="56" t="s">
        <v>75</v>
      </c>
      <c r="J99" s="60" t="str">
        <f aca="false">IF($D99="","",IFERROR(INDEX(Items!$D$5:$D$504,U99),""))</f>
        <v>Pcs</v>
      </c>
      <c r="K99" s="61" t="n">
        <f aca="false">IF($D99="","",IF($F99="",IFERROR(INDEX(Items!$H$5:$H$504,U99),0),$F99))</f>
        <v>297</v>
      </c>
      <c r="L99" s="61" t="n">
        <f aca="false">IF($D99="","",ROUND(N($E99)*K99*(1-N($G99)),2))</f>
        <v>9604.98</v>
      </c>
      <c r="M99" s="62" t="n">
        <f aca="false">IF($D99="","",IFERROR(INDEX(Items!$F$5:$F$504,U99),0))</f>
        <v>0.18</v>
      </c>
      <c r="N99" s="61" t="n">
        <f aca="false">IF($D99="","",IF(AND(V99&lt;&gt;"",INDEX(Parties!$E$5:$E$304,V99)&lt;&gt;"",INDEX(Parties!$E$5:$E$304,V99)&lt;&gt;HomeState),0,ROUND(L99*M99/2,2)))</f>
        <v>0</v>
      </c>
      <c r="O99" s="61" t="n">
        <f aca="false">IF($D99="","",N99)</f>
        <v>0</v>
      </c>
      <c r="P99" s="61" t="n">
        <f aca="false">IF($D99="","",IF(AND(V99&lt;&gt;"",INDEX(Parties!$E$5:$E$304,V99)&lt;&gt;"",INDEX(Parties!$E$5:$E$304,V99)&lt;&gt;HomeState),ROUND(L99*M99,2),0))</f>
        <v>1728.9</v>
      </c>
      <c r="Q99" s="61" t="n">
        <f aca="false">IF($D99="","",L99+N99+O99+P99)</f>
        <v>11333.88</v>
      </c>
      <c r="R99" s="61" t="n">
        <f aca="false">IF($D99="","",ROUND(N($E99)*IFERROR(INDEX(Items!$P$5:$P$504,U99),0),2))</f>
        <v>6917.9</v>
      </c>
      <c r="S99" s="61" t="n">
        <f aca="false">IF($D99="","",L99-R99)</f>
        <v>2687.08</v>
      </c>
      <c r="T99" s="60" t="str">
        <f aca="false">IF($D99="","",IF(U99="","UNKNOWN ITEM",IF(INDEX(Items!$O$5:$O$504,U99)&lt;0,"NEG STOCK",IF(K99&lt;INDEX(Items!$P$5:$P$504,U99),"BELOW COST","OK"))))</f>
        <v>OK</v>
      </c>
      <c r="U99" s="60" t="n">
        <f aca="false">IF($D99="","",IFERROR(MATCH($D99,Items!$A$5:$A$504,0),""))</f>
        <v>9</v>
      </c>
      <c r="V99" s="60" t="n">
        <f aca="false">IF($C99="","",IFERROR(MATCH($C99,Parties!$A$5:$A$304,0),""))</f>
        <v>3</v>
      </c>
      <c r="W99" s="60" t="n">
        <f aca="false">IF($B99="","",IFERROR(VALUE(SUBSTITUTE($B99,InvPrefix,"")),0))</f>
        <v>79</v>
      </c>
      <c r="X99" s="61" t="n">
        <f aca="false">IF($D99="","",IF(OR($H99="",$H99="Credit"),0,Q99))</f>
        <v>0</v>
      </c>
    </row>
    <row r="100" customFormat="false" ht="15" hidden="false" customHeight="false" outlineLevel="0" collapsed="false">
      <c r="A100" s="55" t="n">
        <v>46231</v>
      </c>
      <c r="B100" s="56" t="s">
        <v>169</v>
      </c>
      <c r="C100" s="56" t="s">
        <v>102</v>
      </c>
      <c r="D100" s="56" t="s">
        <v>92</v>
      </c>
      <c r="E100" s="57" t="n">
        <v>2</v>
      </c>
      <c r="F100" s="58"/>
      <c r="G100" s="59" t="n">
        <v>0.05</v>
      </c>
      <c r="H100" s="56" t="s">
        <v>103</v>
      </c>
      <c r="I100" s="56" t="s">
        <v>75</v>
      </c>
      <c r="J100" s="60" t="str">
        <f aca="false">IF($D100="","",IFERROR(INDEX(Items!$D$5:$D$504,U100),""))</f>
        <v>Pcs</v>
      </c>
      <c r="K100" s="61" t="n">
        <f aca="false">IF($D100="","",IF($F100="",IFERROR(INDEX(Items!$H$5:$H$504,U100),0),$F100))</f>
        <v>3132</v>
      </c>
      <c r="L100" s="61" t="n">
        <f aca="false">IF($D100="","",ROUND(N($E100)*K100*(1-N($G100)),2))</f>
        <v>5950.8</v>
      </c>
      <c r="M100" s="62" t="n">
        <f aca="false">IF($D100="","",IFERROR(INDEX(Items!$F$5:$F$504,U100),0))</f>
        <v>0.18</v>
      </c>
      <c r="N100" s="61" t="n">
        <f aca="false">IF($D100="","",IF(AND(V100&lt;&gt;"",INDEX(Parties!$E$5:$E$304,V100)&lt;&gt;"",INDEX(Parties!$E$5:$E$304,V100)&lt;&gt;HomeState),0,ROUND(L100*M100/2,2)))</f>
        <v>535.57</v>
      </c>
      <c r="O100" s="61" t="n">
        <f aca="false">IF($D100="","",N100)</f>
        <v>535.57</v>
      </c>
      <c r="P100" s="61" t="n">
        <f aca="false">IF($D100="","",IF(AND(V100&lt;&gt;"",INDEX(Parties!$E$5:$E$304,V100)&lt;&gt;"",INDEX(Parties!$E$5:$E$304,V100)&lt;&gt;HomeState),ROUND(L100*M100,2),0))</f>
        <v>0</v>
      </c>
      <c r="Q100" s="61" t="n">
        <f aca="false">IF($D100="","",L100+N100+O100+P100)</f>
        <v>7021.94</v>
      </c>
      <c r="R100" s="61" t="n">
        <f aca="false">IF($D100="","",ROUND(N($E100)*IFERROR(INDEX(Items!$P$5:$P$504,U100),0),2))</f>
        <v>4902.96</v>
      </c>
      <c r="S100" s="61" t="n">
        <f aca="false">IF($D100="","",L100-R100)</f>
        <v>1047.84</v>
      </c>
      <c r="T100" s="60" t="str">
        <f aca="false">IF($D100="","",IF(U100="","UNKNOWN ITEM",IF(INDEX(Items!$O$5:$O$504,U100)&lt;0,"NEG STOCK",IF(K100&lt;INDEX(Items!$P$5:$P$504,U100),"BELOW COST","OK"))))</f>
        <v>OK</v>
      </c>
      <c r="U100" s="60" t="n">
        <f aca="false">IF($D100="","",IFERROR(MATCH($D100,Items!$A$5:$A$504,0),""))</f>
        <v>8</v>
      </c>
      <c r="V100" s="60" t="n">
        <f aca="false">IF($C100="","",IFERROR(MATCH($C100,Parties!$A$5:$A$304,0),""))</f>
        <v>4</v>
      </c>
      <c r="W100" s="60" t="n">
        <f aca="false">IF($B100="","",IFERROR(VALUE(SUBSTITUTE($B100,InvPrefix,"")),0))</f>
        <v>80</v>
      </c>
      <c r="X100" s="61" t="n">
        <f aca="false">IF($D100="","",IF(OR($H100="",$H100="Credit"),0,Q100))</f>
        <v>7021.94</v>
      </c>
    </row>
    <row r="101" customFormat="false" ht="15" hidden="false" customHeight="false" outlineLevel="0" collapsed="false">
      <c r="A101" s="55" t="n">
        <v>46232</v>
      </c>
      <c r="B101" s="56" t="s">
        <v>170</v>
      </c>
      <c r="C101" s="56" t="s">
        <v>102</v>
      </c>
      <c r="D101" s="56" t="s">
        <v>96</v>
      </c>
      <c r="E101" s="57" t="n">
        <v>5</v>
      </c>
      <c r="F101" s="58"/>
      <c r="G101" s="59"/>
      <c r="H101" s="56" t="s">
        <v>103</v>
      </c>
      <c r="I101" s="56" t="s">
        <v>75</v>
      </c>
      <c r="J101" s="60" t="str">
        <f aca="false">IF($D101="","",IFERROR(INDEX(Items!$D$5:$D$504,U101),""))</f>
        <v>Box</v>
      </c>
      <c r="K101" s="61" t="n">
        <f aca="false">IF($D101="","",IF($F101="",IFERROR(INDEX(Items!$H$5:$H$504,U101),0),$F101))</f>
        <v>2290</v>
      </c>
      <c r="L101" s="61" t="n">
        <f aca="false">IF($D101="","",ROUND(N($E101)*K101*(1-N($G101)),2))</f>
        <v>11450</v>
      </c>
      <c r="M101" s="62" t="n">
        <f aca="false">IF($D101="","",IFERROR(INDEX(Items!$F$5:$F$504,U101),0))</f>
        <v>0.05</v>
      </c>
      <c r="N101" s="61" t="n">
        <f aca="false">IF($D101="","",IF(AND(V101&lt;&gt;"",INDEX(Parties!$E$5:$E$304,V101)&lt;&gt;"",INDEX(Parties!$E$5:$E$304,V101)&lt;&gt;HomeState),0,ROUND(L101*M101/2,2)))</f>
        <v>286.25</v>
      </c>
      <c r="O101" s="61" t="n">
        <f aca="false">IF($D101="","",N101)</f>
        <v>286.25</v>
      </c>
      <c r="P101" s="61" t="n">
        <f aca="false">IF($D101="","",IF(AND(V101&lt;&gt;"",INDEX(Parties!$E$5:$E$304,V101)&lt;&gt;"",INDEX(Parties!$E$5:$E$304,V101)&lt;&gt;HomeState),ROUND(L101*M101,2),0))</f>
        <v>0</v>
      </c>
      <c r="Q101" s="61" t="n">
        <f aca="false">IF($D101="","",L101+N101+O101+P101)</f>
        <v>12022.5</v>
      </c>
      <c r="R101" s="61" t="n">
        <f aca="false">IF($D101="","",ROUND(N($E101)*IFERROR(INDEX(Items!$P$5:$P$504,U101),0),2))</f>
        <v>9521.81</v>
      </c>
      <c r="S101" s="61" t="n">
        <f aca="false">IF($D101="","",L101-R101)</f>
        <v>1928.19</v>
      </c>
      <c r="T101" s="60" t="str">
        <f aca="false">IF($D101="","",IF(U101="","UNKNOWN ITEM",IF(INDEX(Items!$O$5:$O$504,U101)&lt;0,"NEG STOCK",IF(K101&lt;INDEX(Items!$P$5:$P$504,U101),"BELOW COST","OK"))))</f>
        <v>OK</v>
      </c>
      <c r="U101" s="60" t="n">
        <f aca="false">IF($D101="","",IFERROR(MATCH($D101,Items!$A$5:$A$504,0),""))</f>
        <v>3</v>
      </c>
      <c r="V101" s="60" t="n">
        <f aca="false">IF($C101="","",IFERROR(MATCH($C101,Parties!$A$5:$A$304,0),""))</f>
        <v>4</v>
      </c>
      <c r="W101" s="60" t="n">
        <f aca="false">IF($B101="","",IFERROR(VALUE(SUBSTITUTE($B101,InvPrefix,"")),0))</f>
        <v>81</v>
      </c>
      <c r="X101" s="61" t="n">
        <f aca="false">IF($D101="","",IF(OR($H101="",$H101="Credit"),0,Q101))</f>
        <v>12022.5</v>
      </c>
    </row>
    <row r="102" customFormat="false" ht="15" hidden="false" customHeight="false" outlineLevel="0" collapsed="false">
      <c r="A102" s="55" t="n">
        <v>46233</v>
      </c>
      <c r="B102" s="56" t="s">
        <v>171</v>
      </c>
      <c r="C102" s="56" t="s">
        <v>102</v>
      </c>
      <c r="D102" s="56" t="s">
        <v>94</v>
      </c>
      <c r="E102" s="57" t="n">
        <v>11</v>
      </c>
      <c r="F102" s="58"/>
      <c r="G102" s="59"/>
      <c r="H102" s="56" t="s">
        <v>103</v>
      </c>
      <c r="I102" s="56" t="s">
        <v>75</v>
      </c>
      <c r="J102" s="60" t="str">
        <f aca="false">IF($D102="","",IFERROR(INDEX(Items!$D$5:$D$504,U102),""))</f>
        <v>Pack</v>
      </c>
      <c r="K102" s="61" t="n">
        <f aca="false">IF($D102="","",IF($F102="",IFERROR(INDEX(Items!$H$5:$H$504,U102),0),$F102))</f>
        <v>691</v>
      </c>
      <c r="L102" s="61" t="n">
        <f aca="false">IF($D102="","",ROUND(N($E102)*K102*(1-N($G102)),2))</f>
        <v>7601</v>
      </c>
      <c r="M102" s="62" t="n">
        <f aca="false">IF($D102="","",IFERROR(INDEX(Items!$F$5:$F$504,U102),0))</f>
        <v>0.18</v>
      </c>
      <c r="N102" s="61" t="n">
        <f aca="false">IF($D102="","",IF(AND(V102&lt;&gt;"",INDEX(Parties!$E$5:$E$304,V102)&lt;&gt;"",INDEX(Parties!$E$5:$E$304,V102)&lt;&gt;HomeState),0,ROUND(L102*M102/2,2)))</f>
        <v>684.09</v>
      </c>
      <c r="O102" s="61" t="n">
        <f aca="false">IF($D102="","",N102)</f>
        <v>684.09</v>
      </c>
      <c r="P102" s="61" t="n">
        <f aca="false">IF($D102="","",IF(AND(V102&lt;&gt;"",INDEX(Parties!$E$5:$E$304,V102)&lt;&gt;"",INDEX(Parties!$E$5:$E$304,V102)&lt;&gt;HomeState),ROUND(L102*M102,2),0))</f>
        <v>0</v>
      </c>
      <c r="Q102" s="61" t="n">
        <f aca="false">IF($D102="","",L102+N102+O102+P102)</f>
        <v>8969.18</v>
      </c>
      <c r="R102" s="61" t="n">
        <f aca="false">IF($D102="","",ROUND(N($E102)*IFERROR(INDEX(Items!$P$5:$P$504,U102),0),2))</f>
        <v>5694.62</v>
      </c>
      <c r="S102" s="61" t="n">
        <f aca="false">IF($D102="","",L102-R102)</f>
        <v>1906.38</v>
      </c>
      <c r="T102" s="60" t="str">
        <f aca="false">IF($D102="","",IF(U102="","UNKNOWN ITEM",IF(INDEX(Items!$O$5:$O$504,U102)&lt;0,"NEG STOCK",IF(K102&lt;INDEX(Items!$P$5:$P$504,U102),"BELOW COST","OK"))))</f>
        <v>OK</v>
      </c>
      <c r="U102" s="60" t="n">
        <f aca="false">IF($D102="","",IFERROR(MATCH($D102,Items!$A$5:$A$504,0),""))</f>
        <v>5</v>
      </c>
      <c r="V102" s="60" t="n">
        <f aca="false">IF($C102="","",IFERROR(MATCH($C102,Parties!$A$5:$A$304,0),""))</f>
        <v>4</v>
      </c>
      <c r="W102" s="60" t="n">
        <f aca="false">IF($B102="","",IFERROR(VALUE(SUBSTITUTE($B102,InvPrefix,"")),0))</f>
        <v>82</v>
      </c>
      <c r="X102" s="61" t="n">
        <f aca="false">IF($D102="","",IF(OR($H102="",$H102="Credit"),0,Q102))</f>
        <v>8969.18</v>
      </c>
    </row>
    <row r="103" customFormat="false" ht="15" hidden="false" customHeight="false" outlineLevel="0" collapsed="false">
      <c r="A103" s="55" t="n">
        <v>46235</v>
      </c>
      <c r="B103" s="56" t="s">
        <v>172</v>
      </c>
      <c r="C103" s="56" t="s">
        <v>77</v>
      </c>
      <c r="D103" s="56" t="s">
        <v>99</v>
      </c>
      <c r="E103" s="57" t="n">
        <v>56</v>
      </c>
      <c r="F103" s="58"/>
      <c r="G103" s="59" t="n">
        <v>0.02</v>
      </c>
      <c r="H103" s="56"/>
      <c r="I103" s="56" t="s">
        <v>75</v>
      </c>
      <c r="J103" s="60" t="str">
        <f aca="false">IF($D103="","",IFERROR(INDEX(Items!$D$5:$D$504,U103),""))</f>
        <v>Pcs</v>
      </c>
      <c r="K103" s="61" t="n">
        <f aca="false">IF($D103="","",IF($F103="",IFERROR(INDEX(Items!$H$5:$H$504,U103),0),$F103))</f>
        <v>107</v>
      </c>
      <c r="L103" s="61" t="n">
        <f aca="false">IF($D103="","",ROUND(N($E103)*K103*(1-N($G103)),2))</f>
        <v>5872.16</v>
      </c>
      <c r="M103" s="62" t="n">
        <f aca="false">IF($D103="","",IFERROR(INDEX(Items!$F$5:$F$504,U103),0))</f>
        <v>0.18</v>
      </c>
      <c r="N103" s="61" t="n">
        <f aca="false">IF($D103="","",IF(AND(V103&lt;&gt;"",INDEX(Parties!$E$5:$E$304,V103)&lt;&gt;"",INDEX(Parties!$E$5:$E$304,V103)&lt;&gt;HomeState),0,ROUND(L103*M103/2,2)))</f>
        <v>528.49</v>
      </c>
      <c r="O103" s="61" t="n">
        <f aca="false">IF($D103="","",N103)</f>
        <v>528.49</v>
      </c>
      <c r="P103" s="61" t="n">
        <f aca="false">IF($D103="","",IF(AND(V103&lt;&gt;"",INDEX(Parties!$E$5:$E$304,V103)&lt;&gt;"",INDEX(Parties!$E$5:$E$304,V103)&lt;&gt;HomeState),ROUND(L103*M103,2),0))</f>
        <v>0</v>
      </c>
      <c r="Q103" s="61" t="n">
        <f aca="false">IF($D103="","",L103+N103+O103+P103)</f>
        <v>6929.14</v>
      </c>
      <c r="R103" s="61" t="n">
        <f aca="false">IF($D103="","",ROUND(N($E103)*IFERROR(INDEX(Items!$P$5:$P$504,U103),0),2))</f>
        <v>3439.36</v>
      </c>
      <c r="S103" s="61" t="n">
        <f aca="false">IF($D103="","",L103-R103)</f>
        <v>2432.8</v>
      </c>
      <c r="T103" s="60" t="str">
        <f aca="false">IF($D103="","",IF(U103="","UNKNOWN ITEM",IF(INDEX(Items!$O$5:$O$504,U103)&lt;0,"NEG STOCK",IF(K103&lt;INDEX(Items!$P$5:$P$504,U103),"BELOW COST","OK"))))</f>
        <v>OK</v>
      </c>
      <c r="U103" s="60" t="n">
        <f aca="false">IF($D103="","",IFERROR(MATCH($D103,Items!$A$5:$A$504,0),""))</f>
        <v>7</v>
      </c>
      <c r="V103" s="60" t="n">
        <f aca="false">IF($C103="","",IFERROR(MATCH($C103,Parties!$A$5:$A$304,0),""))</f>
        <v>2</v>
      </c>
      <c r="W103" s="60" t="n">
        <f aca="false">IF($B103="","",IFERROR(VALUE(SUBSTITUTE($B103,InvPrefix,"")),0))</f>
        <v>83</v>
      </c>
      <c r="X103" s="61" t="n">
        <f aca="false">IF($D103="","",IF(OR($H103="",$H103="Credit"),0,Q103))</f>
        <v>0</v>
      </c>
    </row>
    <row r="104" customFormat="false" ht="15" hidden="false" customHeight="false" outlineLevel="0" collapsed="false">
      <c r="A104" s="55" t="n">
        <v>46237</v>
      </c>
      <c r="B104" s="56" t="s">
        <v>173</v>
      </c>
      <c r="C104" s="56" t="s">
        <v>88</v>
      </c>
      <c r="D104" s="56" t="s">
        <v>73</v>
      </c>
      <c r="E104" s="57" t="n">
        <v>5</v>
      </c>
      <c r="F104" s="58"/>
      <c r="G104" s="59" t="n">
        <v>0.02</v>
      </c>
      <c r="H104" s="56"/>
      <c r="I104" s="56" t="s">
        <v>75</v>
      </c>
      <c r="J104" s="60" t="str">
        <f aca="false">IF($D104="","",IFERROR(INDEX(Items!$D$5:$D$504,U104),""))</f>
        <v>Bag</v>
      </c>
      <c r="K104" s="61" t="n">
        <f aca="false">IF($D104="","",IF($F104="",IFERROR(INDEX(Items!$H$5:$H$504,U104),0),$F104))</f>
        <v>2106</v>
      </c>
      <c r="L104" s="61" t="n">
        <f aca="false">IF($D104="","",ROUND(N($E104)*K104*(1-N($G104)),2))</f>
        <v>10319.4</v>
      </c>
      <c r="M104" s="62" t="n">
        <f aca="false">IF($D104="","",IFERROR(INDEX(Items!$F$5:$F$504,U104),0))</f>
        <v>0.05</v>
      </c>
      <c r="N104" s="61" t="n">
        <f aca="false">IF($D104="","",IF(AND(V104&lt;&gt;"",INDEX(Parties!$E$5:$E$304,V104)&lt;&gt;"",INDEX(Parties!$E$5:$E$304,V104)&lt;&gt;HomeState),0,ROUND(L104*M104/2,2)))</f>
        <v>257.99</v>
      </c>
      <c r="O104" s="61" t="n">
        <f aca="false">IF($D104="","",N104)</f>
        <v>257.99</v>
      </c>
      <c r="P104" s="61" t="n">
        <f aca="false">IF($D104="","",IF(AND(V104&lt;&gt;"",INDEX(Parties!$E$5:$E$304,V104)&lt;&gt;"",INDEX(Parties!$E$5:$E$304,V104)&lt;&gt;HomeState),ROUND(L104*M104,2),0))</f>
        <v>0</v>
      </c>
      <c r="Q104" s="61" t="n">
        <f aca="false">IF($D104="","",L104+N104+O104+P104)</f>
        <v>10835.38</v>
      </c>
      <c r="R104" s="61" t="n">
        <f aca="false">IF($D104="","",ROUND(N($E104)*IFERROR(INDEX(Items!$P$5:$P$504,U104),0),2))</f>
        <v>8237.15</v>
      </c>
      <c r="S104" s="61" t="n">
        <f aca="false">IF($D104="","",L104-R104)</f>
        <v>2082.25</v>
      </c>
      <c r="T104" s="60" t="str">
        <f aca="false">IF($D104="","",IF(U104="","UNKNOWN ITEM",IF(INDEX(Items!$O$5:$O$504,U104)&lt;0,"NEG STOCK",IF(K104&lt;INDEX(Items!$P$5:$P$504,U104),"BELOW COST","OK"))))</f>
        <v>OK</v>
      </c>
      <c r="U104" s="60" t="n">
        <f aca="false">IF($D104="","",IFERROR(MATCH($D104,Items!$A$5:$A$504,0),""))</f>
        <v>1</v>
      </c>
      <c r="V104" s="60" t="n">
        <f aca="false">IF($C104="","",IFERROR(MATCH($C104,Parties!$A$5:$A$304,0),""))</f>
        <v>5</v>
      </c>
      <c r="W104" s="60" t="n">
        <f aca="false">IF($B104="","",IFERROR(VALUE(SUBSTITUTE($B104,InvPrefix,"")),0))</f>
        <v>84</v>
      </c>
      <c r="X104" s="61" t="n">
        <f aca="false">IF($D104="","",IF(OR($H104="",$H104="Credit"),0,Q104))</f>
        <v>0</v>
      </c>
    </row>
    <row r="105" customFormat="false" ht="15" hidden="false" customHeight="false" outlineLevel="0" collapsed="false">
      <c r="A105" s="55" t="n">
        <v>46238</v>
      </c>
      <c r="B105" s="56" t="s">
        <v>174</v>
      </c>
      <c r="C105" s="56" t="s">
        <v>72</v>
      </c>
      <c r="D105" s="56" t="s">
        <v>79</v>
      </c>
      <c r="E105" s="57" t="n">
        <v>32</v>
      </c>
      <c r="F105" s="58"/>
      <c r="G105" s="59" t="n">
        <v>0.02</v>
      </c>
      <c r="H105" s="56"/>
      <c r="I105" s="56" t="s">
        <v>75</v>
      </c>
      <c r="J105" s="60" t="str">
        <f aca="false">IF($D105="","",IFERROR(INDEX(Items!$D$5:$D$504,U105),""))</f>
        <v>Pcs</v>
      </c>
      <c r="K105" s="61" t="n">
        <f aca="false">IF($D105="","",IF($F105="",IFERROR(INDEX(Items!$H$5:$H$504,U105),0),$F105))</f>
        <v>297</v>
      </c>
      <c r="L105" s="61" t="n">
        <f aca="false">IF($D105="","",ROUND(N($E105)*K105*(1-N($G105)),2))</f>
        <v>9313.92</v>
      </c>
      <c r="M105" s="62" t="n">
        <f aca="false">IF($D105="","",IFERROR(INDEX(Items!$F$5:$F$504,U105),0))</f>
        <v>0.18</v>
      </c>
      <c r="N105" s="61" t="n">
        <f aca="false">IF($D105="","",IF(AND(V105&lt;&gt;"",INDEX(Parties!$E$5:$E$304,V105)&lt;&gt;"",INDEX(Parties!$E$5:$E$304,V105)&lt;&gt;HomeState),0,ROUND(L105*M105/2,2)))</f>
        <v>838.25</v>
      </c>
      <c r="O105" s="61" t="n">
        <f aca="false">IF($D105="","",N105)</f>
        <v>838.25</v>
      </c>
      <c r="P105" s="61" t="n">
        <f aca="false">IF($D105="","",IF(AND(V105&lt;&gt;"",INDEX(Parties!$E$5:$E$304,V105)&lt;&gt;"",INDEX(Parties!$E$5:$E$304,V105)&lt;&gt;HomeState),ROUND(L105*M105,2),0))</f>
        <v>0</v>
      </c>
      <c r="Q105" s="61" t="n">
        <f aca="false">IF($D105="","",L105+N105+O105+P105)</f>
        <v>10990.42</v>
      </c>
      <c r="R105" s="61" t="n">
        <f aca="false">IF($D105="","",ROUND(N($E105)*IFERROR(INDEX(Items!$P$5:$P$504,U105),0),2))</f>
        <v>6708.26</v>
      </c>
      <c r="S105" s="61" t="n">
        <f aca="false">IF($D105="","",L105-R105)</f>
        <v>2605.66</v>
      </c>
      <c r="T105" s="60" t="str">
        <f aca="false">IF($D105="","",IF(U105="","UNKNOWN ITEM",IF(INDEX(Items!$O$5:$O$504,U105)&lt;0,"NEG STOCK",IF(K105&lt;INDEX(Items!$P$5:$P$504,U105),"BELOW COST","OK"))))</f>
        <v>OK</v>
      </c>
      <c r="U105" s="60" t="n">
        <f aca="false">IF($D105="","",IFERROR(MATCH($D105,Items!$A$5:$A$504,0),""))</f>
        <v>9</v>
      </c>
      <c r="V105" s="60" t="n">
        <f aca="false">IF($C105="","",IFERROR(MATCH($C105,Parties!$A$5:$A$304,0),""))</f>
        <v>1</v>
      </c>
      <c r="W105" s="60" t="n">
        <f aca="false">IF($B105="","",IFERROR(VALUE(SUBSTITUTE($B105,InvPrefix,"")),0))</f>
        <v>85</v>
      </c>
      <c r="X105" s="61" t="n">
        <f aca="false">IF($D105="","",IF(OR($H105="",$H105="Credit"),0,Q105))</f>
        <v>0</v>
      </c>
    </row>
    <row r="106" customFormat="false" ht="15" hidden="false" customHeight="false" outlineLevel="0" collapsed="false">
      <c r="A106" s="55" t="n">
        <v>46239</v>
      </c>
      <c r="B106" s="56" t="s">
        <v>175</v>
      </c>
      <c r="C106" s="56" t="s">
        <v>77</v>
      </c>
      <c r="D106" s="56" t="s">
        <v>96</v>
      </c>
      <c r="E106" s="57" t="n">
        <v>6</v>
      </c>
      <c r="F106" s="58"/>
      <c r="G106" s="59"/>
      <c r="H106" s="56"/>
      <c r="I106" s="56" t="s">
        <v>75</v>
      </c>
      <c r="J106" s="60" t="str">
        <f aca="false">IF($D106="","",IFERROR(INDEX(Items!$D$5:$D$504,U106),""))</f>
        <v>Box</v>
      </c>
      <c r="K106" s="61" t="n">
        <f aca="false">IF($D106="","",IF($F106="",IFERROR(INDEX(Items!$H$5:$H$504,U106),0),$F106))</f>
        <v>2290</v>
      </c>
      <c r="L106" s="61" t="n">
        <f aca="false">IF($D106="","",ROUND(N($E106)*K106*(1-N($G106)),2))</f>
        <v>13740</v>
      </c>
      <c r="M106" s="62" t="n">
        <f aca="false">IF($D106="","",IFERROR(INDEX(Items!$F$5:$F$504,U106),0))</f>
        <v>0.05</v>
      </c>
      <c r="N106" s="61" t="n">
        <f aca="false">IF($D106="","",IF(AND(V106&lt;&gt;"",INDEX(Parties!$E$5:$E$304,V106)&lt;&gt;"",INDEX(Parties!$E$5:$E$304,V106)&lt;&gt;HomeState),0,ROUND(L106*M106/2,2)))</f>
        <v>343.5</v>
      </c>
      <c r="O106" s="61" t="n">
        <f aca="false">IF($D106="","",N106)</f>
        <v>343.5</v>
      </c>
      <c r="P106" s="61" t="n">
        <f aca="false">IF($D106="","",IF(AND(V106&lt;&gt;"",INDEX(Parties!$E$5:$E$304,V106)&lt;&gt;"",INDEX(Parties!$E$5:$E$304,V106)&lt;&gt;HomeState),ROUND(L106*M106,2),0))</f>
        <v>0</v>
      </c>
      <c r="Q106" s="61" t="n">
        <f aca="false">IF($D106="","",L106+N106+O106+P106)</f>
        <v>14427</v>
      </c>
      <c r="R106" s="61" t="n">
        <f aca="false">IF($D106="","",ROUND(N($E106)*IFERROR(INDEX(Items!$P$5:$P$504,U106),0),2))</f>
        <v>11426.18</v>
      </c>
      <c r="S106" s="61" t="n">
        <f aca="false">IF($D106="","",L106-R106)</f>
        <v>2313.82</v>
      </c>
      <c r="T106" s="60" t="str">
        <f aca="false">IF($D106="","",IF(U106="","UNKNOWN ITEM",IF(INDEX(Items!$O$5:$O$504,U106)&lt;0,"NEG STOCK",IF(K106&lt;INDEX(Items!$P$5:$P$504,U106),"BELOW COST","OK"))))</f>
        <v>OK</v>
      </c>
      <c r="U106" s="60" t="n">
        <f aca="false">IF($D106="","",IFERROR(MATCH($D106,Items!$A$5:$A$504,0),""))</f>
        <v>3</v>
      </c>
      <c r="V106" s="60" t="n">
        <f aca="false">IF($C106="","",IFERROR(MATCH($C106,Parties!$A$5:$A$304,0),""))</f>
        <v>2</v>
      </c>
      <c r="W106" s="60" t="n">
        <f aca="false">IF($B106="","",IFERROR(VALUE(SUBSTITUTE($B106,InvPrefix,"")),0))</f>
        <v>86</v>
      </c>
      <c r="X106" s="61" t="n">
        <f aca="false">IF($D106="","",IF(OR($H106="",$H106="Credit"),0,Q106))</f>
        <v>0</v>
      </c>
    </row>
    <row r="107" customFormat="false" ht="15" hidden="false" customHeight="false" outlineLevel="0" collapsed="false">
      <c r="A107" s="55" t="n">
        <v>46244</v>
      </c>
      <c r="B107" s="56" t="s">
        <v>176</v>
      </c>
      <c r="C107" s="56" t="s">
        <v>102</v>
      </c>
      <c r="D107" s="56" t="s">
        <v>73</v>
      </c>
      <c r="E107" s="57" t="n">
        <v>7</v>
      </c>
      <c r="F107" s="58"/>
      <c r="G107" s="59"/>
      <c r="H107" s="56" t="s">
        <v>103</v>
      </c>
      <c r="I107" s="56" t="s">
        <v>75</v>
      </c>
      <c r="J107" s="60" t="str">
        <f aca="false">IF($D107="","",IFERROR(INDEX(Items!$D$5:$D$504,U107),""))</f>
        <v>Bag</v>
      </c>
      <c r="K107" s="61" t="n">
        <f aca="false">IF($D107="","",IF($F107="",IFERROR(INDEX(Items!$H$5:$H$504,U107),0),$F107))</f>
        <v>2106</v>
      </c>
      <c r="L107" s="61" t="n">
        <f aca="false">IF($D107="","",ROUND(N($E107)*K107*(1-N($G107)),2))</f>
        <v>14742</v>
      </c>
      <c r="M107" s="62" t="n">
        <f aca="false">IF($D107="","",IFERROR(INDEX(Items!$F$5:$F$504,U107),0))</f>
        <v>0.05</v>
      </c>
      <c r="N107" s="61" t="n">
        <f aca="false">IF($D107="","",IF(AND(V107&lt;&gt;"",INDEX(Parties!$E$5:$E$304,V107)&lt;&gt;"",INDEX(Parties!$E$5:$E$304,V107)&lt;&gt;HomeState),0,ROUND(L107*M107/2,2)))</f>
        <v>368.55</v>
      </c>
      <c r="O107" s="61" t="n">
        <f aca="false">IF($D107="","",N107)</f>
        <v>368.55</v>
      </c>
      <c r="P107" s="61" t="n">
        <f aca="false">IF($D107="","",IF(AND(V107&lt;&gt;"",INDEX(Parties!$E$5:$E$304,V107)&lt;&gt;"",INDEX(Parties!$E$5:$E$304,V107)&lt;&gt;HomeState),ROUND(L107*M107,2),0))</f>
        <v>0</v>
      </c>
      <c r="Q107" s="61" t="n">
        <f aca="false">IF($D107="","",L107+N107+O107+P107)</f>
        <v>15479.1</v>
      </c>
      <c r="R107" s="61" t="n">
        <f aca="false">IF($D107="","",ROUND(N($E107)*IFERROR(INDEX(Items!$P$5:$P$504,U107),0),2))</f>
        <v>11532.01</v>
      </c>
      <c r="S107" s="61" t="n">
        <f aca="false">IF($D107="","",L107-R107)</f>
        <v>3209.99</v>
      </c>
      <c r="T107" s="60" t="str">
        <f aca="false">IF($D107="","",IF(U107="","UNKNOWN ITEM",IF(INDEX(Items!$O$5:$O$504,U107)&lt;0,"NEG STOCK",IF(K107&lt;INDEX(Items!$P$5:$P$504,U107),"BELOW COST","OK"))))</f>
        <v>OK</v>
      </c>
      <c r="U107" s="60" t="n">
        <f aca="false">IF($D107="","",IFERROR(MATCH($D107,Items!$A$5:$A$504,0),""))</f>
        <v>1</v>
      </c>
      <c r="V107" s="60" t="n">
        <f aca="false">IF($C107="","",IFERROR(MATCH($C107,Parties!$A$5:$A$304,0),""))</f>
        <v>4</v>
      </c>
      <c r="W107" s="60" t="n">
        <f aca="false">IF($B107="","",IFERROR(VALUE(SUBSTITUTE($B107,InvPrefix,"")),0))</f>
        <v>87</v>
      </c>
      <c r="X107" s="61" t="n">
        <f aca="false">IF($D107="","",IF(OR($H107="",$H107="Credit"),0,Q107))</f>
        <v>15479.1</v>
      </c>
    </row>
    <row r="108" customFormat="false" ht="15" hidden="false" customHeight="false" outlineLevel="0" collapsed="false">
      <c r="A108" s="55" t="n">
        <v>46245</v>
      </c>
      <c r="B108" s="56" t="s">
        <v>177</v>
      </c>
      <c r="C108" s="56" t="s">
        <v>88</v>
      </c>
      <c r="D108" s="56" t="s">
        <v>98</v>
      </c>
      <c r="E108" s="57" t="n">
        <v>12</v>
      </c>
      <c r="F108" s="58"/>
      <c r="G108" s="59" t="n">
        <v>0.05</v>
      </c>
      <c r="H108" s="56"/>
      <c r="I108" s="56" t="s">
        <v>75</v>
      </c>
      <c r="J108" s="60" t="str">
        <f aca="false">IF($D108="","",IFERROR(INDEX(Items!$D$5:$D$504,U108),""))</f>
        <v>Pack</v>
      </c>
      <c r="K108" s="61" t="n">
        <f aca="false">IF($D108="","",IF($F108="",IFERROR(INDEX(Items!$H$5:$H$504,U108),0),$F108))</f>
        <v>508</v>
      </c>
      <c r="L108" s="61" t="n">
        <f aca="false">IF($D108="","",ROUND(N($E108)*K108*(1-N($G108)),2))</f>
        <v>5791.2</v>
      </c>
      <c r="M108" s="62" t="n">
        <f aca="false">IF($D108="","",IFERROR(INDEX(Items!$F$5:$F$504,U108),0))</f>
        <v>0.05</v>
      </c>
      <c r="N108" s="61" t="n">
        <f aca="false">IF($D108="","",IF(AND(V108&lt;&gt;"",INDEX(Parties!$E$5:$E$304,V108)&lt;&gt;"",INDEX(Parties!$E$5:$E$304,V108)&lt;&gt;HomeState),0,ROUND(L108*M108/2,2)))</f>
        <v>144.78</v>
      </c>
      <c r="O108" s="61" t="n">
        <f aca="false">IF($D108="","",N108)</f>
        <v>144.78</v>
      </c>
      <c r="P108" s="61" t="n">
        <f aca="false">IF($D108="","",IF(AND(V108&lt;&gt;"",INDEX(Parties!$E$5:$E$304,V108)&lt;&gt;"",INDEX(Parties!$E$5:$E$304,V108)&lt;&gt;HomeState),ROUND(L108*M108,2),0))</f>
        <v>0</v>
      </c>
      <c r="Q108" s="61" t="n">
        <f aca="false">IF($D108="","",L108+N108+O108+P108)</f>
        <v>6080.76</v>
      </c>
      <c r="R108" s="61" t="n">
        <f aca="false">IF($D108="","",ROUND(N($E108)*IFERROR(INDEX(Items!$P$5:$P$504,U108),0),2))</f>
        <v>4524.95</v>
      </c>
      <c r="S108" s="61" t="n">
        <f aca="false">IF($D108="","",L108-R108)</f>
        <v>1266.25</v>
      </c>
      <c r="T108" s="60" t="str">
        <f aca="false">IF($D108="","",IF(U108="","UNKNOWN ITEM",IF(INDEX(Items!$O$5:$O$504,U108)&lt;0,"NEG STOCK",IF(K108&lt;INDEX(Items!$P$5:$P$504,U108),"BELOW COST","OK"))))</f>
        <v>OK</v>
      </c>
      <c r="U108" s="60" t="n">
        <f aca="false">IF($D108="","",IFERROR(MATCH($D108,Items!$A$5:$A$504,0),""))</f>
        <v>4</v>
      </c>
      <c r="V108" s="60" t="n">
        <f aca="false">IF($C108="","",IFERROR(MATCH($C108,Parties!$A$5:$A$304,0),""))</f>
        <v>5</v>
      </c>
      <c r="W108" s="60" t="n">
        <f aca="false">IF($B108="","",IFERROR(VALUE(SUBSTITUTE($B108,InvPrefix,"")),0))</f>
        <v>88</v>
      </c>
      <c r="X108" s="61" t="n">
        <f aca="false">IF($D108="","",IF(OR($H108="",$H108="Credit"),0,Q108))</f>
        <v>0</v>
      </c>
    </row>
    <row r="109" customFormat="false" ht="15" hidden="false" customHeight="false" outlineLevel="0" collapsed="false">
      <c r="A109" s="55" t="n">
        <v>46245</v>
      </c>
      <c r="B109" s="56" t="s">
        <v>177</v>
      </c>
      <c r="C109" s="56" t="s">
        <v>88</v>
      </c>
      <c r="D109" s="56" t="s">
        <v>92</v>
      </c>
      <c r="E109" s="57" t="n">
        <v>2</v>
      </c>
      <c r="F109" s="58"/>
      <c r="G109" s="59" t="n">
        <v>0.02</v>
      </c>
      <c r="H109" s="56"/>
      <c r="I109" s="56" t="s">
        <v>75</v>
      </c>
      <c r="J109" s="60" t="str">
        <f aca="false">IF($D109="","",IFERROR(INDEX(Items!$D$5:$D$504,U109),""))</f>
        <v>Pcs</v>
      </c>
      <c r="K109" s="61" t="n">
        <f aca="false">IF($D109="","",IF($F109="",IFERROR(INDEX(Items!$H$5:$H$504,U109),0),$F109))</f>
        <v>3132</v>
      </c>
      <c r="L109" s="61" t="n">
        <f aca="false">IF($D109="","",ROUND(N($E109)*K109*(1-N($G109)),2))</f>
        <v>6138.72</v>
      </c>
      <c r="M109" s="62" t="n">
        <f aca="false">IF($D109="","",IFERROR(INDEX(Items!$F$5:$F$504,U109),0))</f>
        <v>0.18</v>
      </c>
      <c r="N109" s="61" t="n">
        <f aca="false">IF($D109="","",IF(AND(V109&lt;&gt;"",INDEX(Parties!$E$5:$E$304,V109)&lt;&gt;"",INDEX(Parties!$E$5:$E$304,V109)&lt;&gt;HomeState),0,ROUND(L109*M109/2,2)))</f>
        <v>552.48</v>
      </c>
      <c r="O109" s="61" t="n">
        <f aca="false">IF($D109="","",N109)</f>
        <v>552.48</v>
      </c>
      <c r="P109" s="61" t="n">
        <f aca="false">IF($D109="","",IF(AND(V109&lt;&gt;"",INDEX(Parties!$E$5:$E$304,V109)&lt;&gt;"",INDEX(Parties!$E$5:$E$304,V109)&lt;&gt;HomeState),ROUND(L109*M109,2),0))</f>
        <v>0</v>
      </c>
      <c r="Q109" s="61" t="n">
        <f aca="false">IF($D109="","",L109+N109+O109+P109)</f>
        <v>7243.68</v>
      </c>
      <c r="R109" s="61" t="n">
        <f aca="false">IF($D109="","",ROUND(N($E109)*IFERROR(INDEX(Items!$P$5:$P$504,U109),0),2))</f>
        <v>4902.96</v>
      </c>
      <c r="S109" s="61" t="n">
        <f aca="false">IF($D109="","",L109-R109)</f>
        <v>1235.76</v>
      </c>
      <c r="T109" s="60" t="str">
        <f aca="false">IF($D109="","",IF(U109="","UNKNOWN ITEM",IF(INDEX(Items!$O$5:$O$504,U109)&lt;0,"NEG STOCK",IF(K109&lt;INDEX(Items!$P$5:$P$504,U109),"BELOW COST","OK"))))</f>
        <v>OK</v>
      </c>
      <c r="U109" s="60" t="n">
        <f aca="false">IF($D109="","",IFERROR(MATCH($D109,Items!$A$5:$A$504,0),""))</f>
        <v>8</v>
      </c>
      <c r="V109" s="60" t="n">
        <f aca="false">IF($C109="","",IFERROR(MATCH($C109,Parties!$A$5:$A$304,0),""))</f>
        <v>5</v>
      </c>
      <c r="W109" s="60" t="n">
        <f aca="false">IF($B109="","",IFERROR(VALUE(SUBSTITUTE($B109,InvPrefix,"")),0))</f>
        <v>88</v>
      </c>
      <c r="X109" s="61" t="n">
        <f aca="false">IF($D109="","",IF(OR($H109="",$H109="Credit"),0,Q109))</f>
        <v>0</v>
      </c>
    </row>
    <row r="110" customFormat="false" ht="15" hidden="false" customHeight="false" outlineLevel="0" collapsed="false">
      <c r="A110" s="55" t="n">
        <v>46246</v>
      </c>
      <c r="B110" s="56" t="s">
        <v>178</v>
      </c>
      <c r="C110" s="56" t="s">
        <v>72</v>
      </c>
      <c r="D110" s="56" t="s">
        <v>92</v>
      </c>
      <c r="E110" s="57" t="n">
        <v>4</v>
      </c>
      <c r="F110" s="58"/>
      <c r="G110" s="59" t="n">
        <v>0.02</v>
      </c>
      <c r="H110" s="56"/>
      <c r="I110" s="56" t="s">
        <v>75</v>
      </c>
      <c r="J110" s="60" t="str">
        <f aca="false">IF($D110="","",IFERROR(INDEX(Items!$D$5:$D$504,U110),""))</f>
        <v>Pcs</v>
      </c>
      <c r="K110" s="61" t="n">
        <f aca="false">IF($D110="","",IF($F110="",IFERROR(INDEX(Items!$H$5:$H$504,U110),0),$F110))</f>
        <v>3132</v>
      </c>
      <c r="L110" s="61" t="n">
        <f aca="false">IF($D110="","",ROUND(N($E110)*K110*(1-N($G110)),2))</f>
        <v>12277.44</v>
      </c>
      <c r="M110" s="62" t="n">
        <f aca="false">IF($D110="","",IFERROR(INDEX(Items!$F$5:$F$504,U110),0))</f>
        <v>0.18</v>
      </c>
      <c r="N110" s="61" t="n">
        <f aca="false">IF($D110="","",IF(AND(V110&lt;&gt;"",INDEX(Parties!$E$5:$E$304,V110)&lt;&gt;"",INDEX(Parties!$E$5:$E$304,V110)&lt;&gt;HomeState),0,ROUND(L110*M110/2,2)))</f>
        <v>1104.97</v>
      </c>
      <c r="O110" s="61" t="n">
        <f aca="false">IF($D110="","",N110)</f>
        <v>1104.97</v>
      </c>
      <c r="P110" s="61" t="n">
        <f aca="false">IF($D110="","",IF(AND(V110&lt;&gt;"",INDEX(Parties!$E$5:$E$304,V110)&lt;&gt;"",INDEX(Parties!$E$5:$E$304,V110)&lt;&gt;HomeState),ROUND(L110*M110,2),0))</f>
        <v>0</v>
      </c>
      <c r="Q110" s="61" t="n">
        <f aca="false">IF($D110="","",L110+N110+O110+P110)</f>
        <v>14487.38</v>
      </c>
      <c r="R110" s="61" t="n">
        <f aca="false">IF($D110="","",ROUND(N($E110)*IFERROR(INDEX(Items!$P$5:$P$504,U110),0),2))</f>
        <v>9805.93</v>
      </c>
      <c r="S110" s="61" t="n">
        <f aca="false">IF($D110="","",L110-R110)</f>
        <v>2471.51</v>
      </c>
      <c r="T110" s="60" t="str">
        <f aca="false">IF($D110="","",IF(U110="","UNKNOWN ITEM",IF(INDEX(Items!$O$5:$O$504,U110)&lt;0,"NEG STOCK",IF(K110&lt;INDEX(Items!$P$5:$P$504,U110),"BELOW COST","OK"))))</f>
        <v>OK</v>
      </c>
      <c r="U110" s="60" t="n">
        <f aca="false">IF($D110="","",IFERROR(MATCH($D110,Items!$A$5:$A$504,0),""))</f>
        <v>8</v>
      </c>
      <c r="V110" s="60" t="n">
        <f aca="false">IF($C110="","",IFERROR(MATCH($C110,Parties!$A$5:$A$304,0),""))</f>
        <v>1</v>
      </c>
      <c r="W110" s="60" t="n">
        <f aca="false">IF($B110="","",IFERROR(VALUE(SUBSTITUTE($B110,InvPrefix,"")),0))</f>
        <v>89</v>
      </c>
      <c r="X110" s="61" t="n">
        <f aca="false">IF($D110="","",IF(OR($H110="",$H110="Credit"),0,Q110))</f>
        <v>0</v>
      </c>
    </row>
    <row r="111" customFormat="false" ht="15" hidden="false" customHeight="false" outlineLevel="0" collapsed="false">
      <c r="A111" s="55" t="n">
        <v>46248</v>
      </c>
      <c r="B111" s="56" t="s">
        <v>179</v>
      </c>
      <c r="C111" s="56" t="s">
        <v>102</v>
      </c>
      <c r="D111" s="56" t="s">
        <v>99</v>
      </c>
      <c r="E111" s="57" t="n">
        <v>47</v>
      </c>
      <c r="F111" s="58"/>
      <c r="G111" s="59"/>
      <c r="H111" s="56" t="s">
        <v>103</v>
      </c>
      <c r="I111" s="56" t="s">
        <v>75</v>
      </c>
      <c r="J111" s="60" t="str">
        <f aca="false">IF($D111="","",IFERROR(INDEX(Items!$D$5:$D$504,U111),""))</f>
        <v>Pcs</v>
      </c>
      <c r="K111" s="61" t="n">
        <f aca="false">IF($D111="","",IF($F111="",IFERROR(INDEX(Items!$H$5:$H$504,U111),0),$F111))</f>
        <v>107</v>
      </c>
      <c r="L111" s="61" t="n">
        <f aca="false">IF($D111="","",ROUND(N($E111)*K111*(1-N($G111)),2))</f>
        <v>5029</v>
      </c>
      <c r="M111" s="62" t="n">
        <f aca="false">IF($D111="","",IFERROR(INDEX(Items!$F$5:$F$504,U111),0))</f>
        <v>0.18</v>
      </c>
      <c r="N111" s="61" t="n">
        <f aca="false">IF($D111="","",IF(AND(V111&lt;&gt;"",INDEX(Parties!$E$5:$E$304,V111)&lt;&gt;"",INDEX(Parties!$E$5:$E$304,V111)&lt;&gt;HomeState),0,ROUND(L111*M111/2,2)))</f>
        <v>452.61</v>
      </c>
      <c r="O111" s="61" t="n">
        <f aca="false">IF($D111="","",N111)</f>
        <v>452.61</v>
      </c>
      <c r="P111" s="61" t="n">
        <f aca="false">IF($D111="","",IF(AND(V111&lt;&gt;"",INDEX(Parties!$E$5:$E$304,V111)&lt;&gt;"",INDEX(Parties!$E$5:$E$304,V111)&lt;&gt;HomeState),ROUND(L111*M111,2),0))</f>
        <v>0</v>
      </c>
      <c r="Q111" s="61" t="n">
        <f aca="false">IF($D111="","",L111+N111+O111+P111)</f>
        <v>5934.22</v>
      </c>
      <c r="R111" s="61" t="n">
        <f aca="false">IF($D111="","",ROUND(N($E111)*IFERROR(INDEX(Items!$P$5:$P$504,U111),0),2))</f>
        <v>2886.6</v>
      </c>
      <c r="S111" s="61" t="n">
        <f aca="false">IF($D111="","",L111-R111)</f>
        <v>2142.4</v>
      </c>
      <c r="T111" s="60" t="str">
        <f aca="false">IF($D111="","",IF(U111="","UNKNOWN ITEM",IF(INDEX(Items!$O$5:$O$504,U111)&lt;0,"NEG STOCK",IF(K111&lt;INDEX(Items!$P$5:$P$504,U111),"BELOW COST","OK"))))</f>
        <v>OK</v>
      </c>
      <c r="U111" s="60" t="n">
        <f aca="false">IF($D111="","",IFERROR(MATCH($D111,Items!$A$5:$A$504,0),""))</f>
        <v>7</v>
      </c>
      <c r="V111" s="60" t="n">
        <f aca="false">IF($C111="","",IFERROR(MATCH($C111,Parties!$A$5:$A$304,0),""))</f>
        <v>4</v>
      </c>
      <c r="W111" s="60" t="n">
        <f aca="false">IF($B111="","",IFERROR(VALUE(SUBSTITUTE($B111,InvPrefix,"")),0))</f>
        <v>90</v>
      </c>
      <c r="X111" s="61" t="n">
        <f aca="false">IF($D111="","",IF(OR($H111="",$H111="Credit"),0,Q111))</f>
        <v>5934.22</v>
      </c>
    </row>
    <row r="112" customFormat="false" ht="15" hidden="false" customHeight="false" outlineLevel="0" collapsed="false">
      <c r="A112" s="55" t="n">
        <v>46248</v>
      </c>
      <c r="B112" s="56" t="s">
        <v>179</v>
      </c>
      <c r="C112" s="56" t="s">
        <v>102</v>
      </c>
      <c r="D112" s="56" t="s">
        <v>117</v>
      </c>
      <c r="E112" s="57" t="n">
        <v>7</v>
      </c>
      <c r="F112" s="58"/>
      <c r="G112" s="59" t="n">
        <v>0.02</v>
      </c>
      <c r="H112" s="56" t="s">
        <v>103</v>
      </c>
      <c r="I112" s="56" t="s">
        <v>75</v>
      </c>
      <c r="J112" s="60" t="str">
        <f aca="false">IF($D112="","",IFERROR(INDEX(Items!$D$5:$D$504,U112),""))</f>
        <v>Box</v>
      </c>
      <c r="K112" s="61" t="n">
        <f aca="false">IF($D112="","",IF($F112="",IFERROR(INDEX(Items!$H$5:$H$504,U112),0),$F112))</f>
        <v>1166</v>
      </c>
      <c r="L112" s="61" t="n">
        <f aca="false">IF($D112="","",ROUND(N($E112)*K112*(1-N($G112)),2))</f>
        <v>7998.76</v>
      </c>
      <c r="M112" s="62" t="n">
        <f aca="false">IF($D112="","",IFERROR(INDEX(Items!$F$5:$F$504,U112),0))</f>
        <v>0.05</v>
      </c>
      <c r="N112" s="61" t="n">
        <f aca="false">IF($D112="","",IF(AND(V112&lt;&gt;"",INDEX(Parties!$E$5:$E$304,V112)&lt;&gt;"",INDEX(Parties!$E$5:$E$304,V112)&lt;&gt;HomeState),0,ROUND(L112*M112/2,2)))</f>
        <v>199.97</v>
      </c>
      <c r="O112" s="61" t="n">
        <f aca="false">IF($D112="","",N112)</f>
        <v>199.97</v>
      </c>
      <c r="P112" s="61" t="n">
        <f aca="false">IF($D112="","",IF(AND(V112&lt;&gt;"",INDEX(Parties!$E$5:$E$304,V112)&lt;&gt;"",INDEX(Parties!$E$5:$E$304,V112)&lt;&gt;HomeState),ROUND(L112*M112,2),0))</f>
        <v>0</v>
      </c>
      <c r="Q112" s="61" t="n">
        <f aca="false">IF($D112="","",L112+N112+O112+P112)</f>
        <v>8398.7</v>
      </c>
      <c r="R112" s="61" t="n">
        <f aca="false">IF($D112="","",ROUND(N($E112)*IFERROR(INDEX(Items!$P$5:$P$504,U112),0),2))</f>
        <v>6219.35</v>
      </c>
      <c r="S112" s="61" t="n">
        <f aca="false">IF($D112="","",L112-R112)</f>
        <v>1779.41</v>
      </c>
      <c r="T112" s="60" t="str">
        <f aca="false">IF($D112="","",IF(U112="","UNKNOWN ITEM",IF(INDEX(Items!$O$5:$O$504,U112)&lt;0,"NEG STOCK",IF(K112&lt;INDEX(Items!$P$5:$P$504,U112),"BELOW COST","OK"))))</f>
        <v>OK</v>
      </c>
      <c r="U112" s="60" t="n">
        <f aca="false">IF($D112="","",IFERROR(MATCH($D112,Items!$A$5:$A$504,0),""))</f>
        <v>6</v>
      </c>
      <c r="V112" s="60" t="n">
        <f aca="false">IF($C112="","",IFERROR(MATCH($C112,Parties!$A$5:$A$304,0),""))</f>
        <v>4</v>
      </c>
      <c r="W112" s="60" t="n">
        <f aca="false">IF($B112="","",IFERROR(VALUE(SUBSTITUTE($B112,InvPrefix,"")),0))</f>
        <v>90</v>
      </c>
      <c r="X112" s="61" t="n">
        <f aca="false">IF($D112="","",IF(OR($H112="",$H112="Credit"),0,Q112))</f>
        <v>8398.7</v>
      </c>
    </row>
    <row r="113" customFormat="false" ht="15" hidden="false" customHeight="false" outlineLevel="0" collapsed="false">
      <c r="A113" s="55" t="n">
        <v>46249</v>
      </c>
      <c r="B113" s="56" t="s">
        <v>180</v>
      </c>
      <c r="C113" s="56" t="s">
        <v>102</v>
      </c>
      <c r="D113" s="56" t="s">
        <v>73</v>
      </c>
      <c r="E113" s="57" t="n">
        <v>7</v>
      </c>
      <c r="F113" s="58"/>
      <c r="G113" s="59" t="n">
        <v>0.05</v>
      </c>
      <c r="H113" s="56" t="s">
        <v>103</v>
      </c>
      <c r="I113" s="56" t="s">
        <v>75</v>
      </c>
      <c r="J113" s="60" t="str">
        <f aca="false">IF($D113="","",IFERROR(INDEX(Items!$D$5:$D$504,U113),""))</f>
        <v>Bag</v>
      </c>
      <c r="K113" s="61" t="n">
        <f aca="false">IF($D113="","",IF($F113="",IFERROR(INDEX(Items!$H$5:$H$504,U113),0),$F113))</f>
        <v>2106</v>
      </c>
      <c r="L113" s="61" t="n">
        <f aca="false">IF($D113="","",ROUND(N($E113)*K113*(1-N($G113)),2))</f>
        <v>14004.9</v>
      </c>
      <c r="M113" s="62" t="n">
        <f aca="false">IF($D113="","",IFERROR(INDEX(Items!$F$5:$F$504,U113),0))</f>
        <v>0.05</v>
      </c>
      <c r="N113" s="61" t="n">
        <f aca="false">IF($D113="","",IF(AND(V113&lt;&gt;"",INDEX(Parties!$E$5:$E$304,V113)&lt;&gt;"",INDEX(Parties!$E$5:$E$304,V113)&lt;&gt;HomeState),0,ROUND(L113*M113/2,2)))</f>
        <v>350.12</v>
      </c>
      <c r="O113" s="61" t="n">
        <f aca="false">IF($D113="","",N113)</f>
        <v>350.12</v>
      </c>
      <c r="P113" s="61" t="n">
        <f aca="false">IF($D113="","",IF(AND(V113&lt;&gt;"",INDEX(Parties!$E$5:$E$304,V113)&lt;&gt;"",INDEX(Parties!$E$5:$E$304,V113)&lt;&gt;HomeState),ROUND(L113*M113,2),0))</f>
        <v>0</v>
      </c>
      <c r="Q113" s="61" t="n">
        <f aca="false">IF($D113="","",L113+N113+O113+P113)</f>
        <v>14705.14</v>
      </c>
      <c r="R113" s="61" t="n">
        <f aca="false">IF($D113="","",ROUND(N($E113)*IFERROR(INDEX(Items!$P$5:$P$504,U113),0),2))</f>
        <v>11532.01</v>
      </c>
      <c r="S113" s="61" t="n">
        <f aca="false">IF($D113="","",L113-R113)</f>
        <v>2472.89</v>
      </c>
      <c r="T113" s="60" t="str">
        <f aca="false">IF($D113="","",IF(U113="","UNKNOWN ITEM",IF(INDEX(Items!$O$5:$O$504,U113)&lt;0,"NEG STOCK",IF(K113&lt;INDEX(Items!$P$5:$P$504,U113),"BELOW COST","OK"))))</f>
        <v>OK</v>
      </c>
      <c r="U113" s="60" t="n">
        <f aca="false">IF($D113="","",IFERROR(MATCH($D113,Items!$A$5:$A$504,0),""))</f>
        <v>1</v>
      </c>
      <c r="V113" s="60" t="n">
        <f aca="false">IF($C113="","",IFERROR(MATCH($C113,Parties!$A$5:$A$304,0),""))</f>
        <v>4</v>
      </c>
      <c r="W113" s="60" t="n">
        <f aca="false">IF($B113="","",IFERROR(VALUE(SUBSTITUTE($B113,InvPrefix,"")),0))</f>
        <v>91</v>
      </c>
      <c r="X113" s="61" t="n">
        <f aca="false">IF($D113="","",IF(OR($H113="",$H113="Credit"),0,Q113))</f>
        <v>14705.14</v>
      </c>
    </row>
    <row r="114" customFormat="false" ht="15" hidden="false" customHeight="false" outlineLevel="0" collapsed="false">
      <c r="A114" s="55" t="n">
        <v>46252</v>
      </c>
      <c r="B114" s="56" t="s">
        <v>181</v>
      </c>
      <c r="C114" s="56" t="s">
        <v>102</v>
      </c>
      <c r="D114" s="56" t="s">
        <v>94</v>
      </c>
      <c r="E114" s="57" t="n">
        <v>11</v>
      </c>
      <c r="F114" s="58"/>
      <c r="G114" s="59"/>
      <c r="H114" s="56" t="s">
        <v>103</v>
      </c>
      <c r="I114" s="56" t="s">
        <v>75</v>
      </c>
      <c r="J114" s="60" t="str">
        <f aca="false">IF($D114="","",IFERROR(INDEX(Items!$D$5:$D$504,U114),""))</f>
        <v>Pack</v>
      </c>
      <c r="K114" s="61" t="n">
        <f aca="false">IF($D114="","",IF($F114="",IFERROR(INDEX(Items!$H$5:$H$504,U114),0),$F114))</f>
        <v>691</v>
      </c>
      <c r="L114" s="61" t="n">
        <f aca="false">IF($D114="","",ROUND(N($E114)*K114*(1-N($G114)),2))</f>
        <v>7601</v>
      </c>
      <c r="M114" s="62" t="n">
        <f aca="false">IF($D114="","",IFERROR(INDEX(Items!$F$5:$F$504,U114),0))</f>
        <v>0.18</v>
      </c>
      <c r="N114" s="61" t="n">
        <f aca="false">IF($D114="","",IF(AND(V114&lt;&gt;"",INDEX(Parties!$E$5:$E$304,V114)&lt;&gt;"",INDEX(Parties!$E$5:$E$304,V114)&lt;&gt;HomeState),0,ROUND(L114*M114/2,2)))</f>
        <v>684.09</v>
      </c>
      <c r="O114" s="61" t="n">
        <f aca="false">IF($D114="","",N114)</f>
        <v>684.09</v>
      </c>
      <c r="P114" s="61" t="n">
        <f aca="false">IF($D114="","",IF(AND(V114&lt;&gt;"",INDEX(Parties!$E$5:$E$304,V114)&lt;&gt;"",INDEX(Parties!$E$5:$E$304,V114)&lt;&gt;HomeState),ROUND(L114*M114,2),0))</f>
        <v>0</v>
      </c>
      <c r="Q114" s="61" t="n">
        <f aca="false">IF($D114="","",L114+N114+O114+P114)</f>
        <v>8969.18</v>
      </c>
      <c r="R114" s="61" t="n">
        <f aca="false">IF($D114="","",ROUND(N($E114)*IFERROR(INDEX(Items!$P$5:$P$504,U114),0),2))</f>
        <v>5694.62</v>
      </c>
      <c r="S114" s="61" t="n">
        <f aca="false">IF($D114="","",L114-R114)</f>
        <v>1906.38</v>
      </c>
      <c r="T114" s="60" t="str">
        <f aca="false">IF($D114="","",IF(U114="","UNKNOWN ITEM",IF(INDEX(Items!$O$5:$O$504,U114)&lt;0,"NEG STOCK",IF(K114&lt;INDEX(Items!$P$5:$P$504,U114),"BELOW COST","OK"))))</f>
        <v>OK</v>
      </c>
      <c r="U114" s="60" t="n">
        <f aca="false">IF($D114="","",IFERROR(MATCH($D114,Items!$A$5:$A$504,0),""))</f>
        <v>5</v>
      </c>
      <c r="V114" s="60" t="n">
        <f aca="false">IF($C114="","",IFERROR(MATCH($C114,Parties!$A$5:$A$304,0),""))</f>
        <v>4</v>
      </c>
      <c r="W114" s="60" t="n">
        <f aca="false">IF($B114="","",IFERROR(VALUE(SUBSTITUTE($B114,InvPrefix,"")),0))</f>
        <v>92</v>
      </c>
      <c r="X114" s="61" t="n">
        <f aca="false">IF($D114="","",IF(OR($H114="",$H114="Credit"),0,Q114))</f>
        <v>8969.18</v>
      </c>
    </row>
    <row r="115" customFormat="false" ht="15" hidden="false" customHeight="false" outlineLevel="0" collapsed="false">
      <c r="A115" s="55" t="n">
        <v>46253</v>
      </c>
      <c r="B115" s="56" t="s">
        <v>182</v>
      </c>
      <c r="C115" s="56" t="s">
        <v>102</v>
      </c>
      <c r="D115" s="56" t="s">
        <v>94</v>
      </c>
      <c r="E115" s="57" t="n">
        <v>11</v>
      </c>
      <c r="F115" s="58"/>
      <c r="G115" s="59"/>
      <c r="H115" s="56" t="s">
        <v>103</v>
      </c>
      <c r="I115" s="56" t="s">
        <v>75</v>
      </c>
      <c r="J115" s="60" t="str">
        <f aca="false">IF($D115="","",IFERROR(INDEX(Items!$D$5:$D$504,U115),""))</f>
        <v>Pack</v>
      </c>
      <c r="K115" s="61" t="n">
        <f aca="false">IF($D115="","",IF($F115="",IFERROR(INDEX(Items!$H$5:$H$504,U115),0),$F115))</f>
        <v>691</v>
      </c>
      <c r="L115" s="61" t="n">
        <f aca="false">IF($D115="","",ROUND(N($E115)*K115*(1-N($G115)),2))</f>
        <v>7601</v>
      </c>
      <c r="M115" s="62" t="n">
        <f aca="false">IF($D115="","",IFERROR(INDEX(Items!$F$5:$F$504,U115),0))</f>
        <v>0.18</v>
      </c>
      <c r="N115" s="61" t="n">
        <f aca="false">IF($D115="","",IF(AND(V115&lt;&gt;"",INDEX(Parties!$E$5:$E$304,V115)&lt;&gt;"",INDEX(Parties!$E$5:$E$304,V115)&lt;&gt;HomeState),0,ROUND(L115*M115/2,2)))</f>
        <v>684.09</v>
      </c>
      <c r="O115" s="61" t="n">
        <f aca="false">IF($D115="","",N115)</f>
        <v>684.09</v>
      </c>
      <c r="P115" s="61" t="n">
        <f aca="false">IF($D115="","",IF(AND(V115&lt;&gt;"",INDEX(Parties!$E$5:$E$304,V115)&lt;&gt;"",INDEX(Parties!$E$5:$E$304,V115)&lt;&gt;HomeState),ROUND(L115*M115,2),0))</f>
        <v>0</v>
      </c>
      <c r="Q115" s="61" t="n">
        <f aca="false">IF($D115="","",L115+N115+O115+P115)</f>
        <v>8969.18</v>
      </c>
      <c r="R115" s="61" t="n">
        <f aca="false">IF($D115="","",ROUND(N($E115)*IFERROR(INDEX(Items!$P$5:$P$504,U115),0),2))</f>
        <v>5694.62</v>
      </c>
      <c r="S115" s="61" t="n">
        <f aca="false">IF($D115="","",L115-R115)</f>
        <v>1906.38</v>
      </c>
      <c r="T115" s="60" t="str">
        <f aca="false">IF($D115="","",IF(U115="","UNKNOWN ITEM",IF(INDEX(Items!$O$5:$O$504,U115)&lt;0,"NEG STOCK",IF(K115&lt;INDEX(Items!$P$5:$P$504,U115),"BELOW COST","OK"))))</f>
        <v>OK</v>
      </c>
      <c r="U115" s="60" t="n">
        <f aca="false">IF($D115="","",IFERROR(MATCH($D115,Items!$A$5:$A$504,0),""))</f>
        <v>5</v>
      </c>
      <c r="V115" s="60" t="n">
        <f aca="false">IF($C115="","",IFERROR(MATCH($C115,Parties!$A$5:$A$304,0),""))</f>
        <v>4</v>
      </c>
      <c r="W115" s="60" t="n">
        <f aca="false">IF($B115="","",IFERROR(VALUE(SUBSTITUTE($B115,InvPrefix,"")),0))</f>
        <v>93</v>
      </c>
      <c r="X115" s="61" t="n">
        <f aca="false">IF($D115="","",IF(OR($H115="",$H115="Credit"),0,Q115))</f>
        <v>8969.18</v>
      </c>
    </row>
    <row r="116" customFormat="false" ht="15" hidden="false" customHeight="false" outlineLevel="0" collapsed="false">
      <c r="A116" s="55" t="n">
        <v>46255</v>
      </c>
      <c r="B116" s="56" t="s">
        <v>183</v>
      </c>
      <c r="C116" s="56" t="s">
        <v>81</v>
      </c>
      <c r="D116" s="56" t="s">
        <v>99</v>
      </c>
      <c r="E116" s="57" t="n">
        <v>85</v>
      </c>
      <c r="F116" s="58"/>
      <c r="G116" s="59"/>
      <c r="H116" s="56"/>
      <c r="I116" s="56" t="s">
        <v>75</v>
      </c>
      <c r="J116" s="60" t="str">
        <f aca="false">IF($D116="","",IFERROR(INDEX(Items!$D$5:$D$504,U116),""))</f>
        <v>Pcs</v>
      </c>
      <c r="K116" s="61" t="n">
        <f aca="false">IF($D116="","",IF($F116="",IFERROR(INDEX(Items!$H$5:$H$504,U116),0),$F116))</f>
        <v>107</v>
      </c>
      <c r="L116" s="61" t="n">
        <f aca="false">IF($D116="","",ROUND(N($E116)*K116*(1-N($G116)),2))</f>
        <v>9095</v>
      </c>
      <c r="M116" s="62" t="n">
        <f aca="false">IF($D116="","",IFERROR(INDEX(Items!$F$5:$F$504,U116),0))</f>
        <v>0.18</v>
      </c>
      <c r="N116" s="61" t="n">
        <f aca="false">IF($D116="","",IF(AND(V116&lt;&gt;"",INDEX(Parties!$E$5:$E$304,V116)&lt;&gt;"",INDEX(Parties!$E$5:$E$304,V116)&lt;&gt;HomeState),0,ROUND(L116*M116/2,2)))</f>
        <v>0</v>
      </c>
      <c r="O116" s="61" t="n">
        <f aca="false">IF($D116="","",N116)</f>
        <v>0</v>
      </c>
      <c r="P116" s="61" t="n">
        <f aca="false">IF($D116="","",IF(AND(V116&lt;&gt;"",INDEX(Parties!$E$5:$E$304,V116)&lt;&gt;"",INDEX(Parties!$E$5:$E$304,V116)&lt;&gt;HomeState),ROUND(L116*M116,2),0))</f>
        <v>1637.1</v>
      </c>
      <c r="Q116" s="61" t="n">
        <f aca="false">IF($D116="","",L116+N116+O116+P116)</f>
        <v>10732.1</v>
      </c>
      <c r="R116" s="61" t="n">
        <f aca="false">IF($D116="","",ROUND(N($E116)*IFERROR(INDEX(Items!$P$5:$P$504,U116),0),2))</f>
        <v>5220.45</v>
      </c>
      <c r="S116" s="61" t="n">
        <f aca="false">IF($D116="","",L116-R116)</f>
        <v>3874.55</v>
      </c>
      <c r="T116" s="60" t="str">
        <f aca="false">IF($D116="","",IF(U116="","UNKNOWN ITEM",IF(INDEX(Items!$O$5:$O$504,U116)&lt;0,"NEG STOCK",IF(K116&lt;INDEX(Items!$P$5:$P$504,U116),"BELOW COST","OK"))))</f>
        <v>OK</v>
      </c>
      <c r="U116" s="60" t="n">
        <f aca="false">IF($D116="","",IFERROR(MATCH($D116,Items!$A$5:$A$504,0),""))</f>
        <v>7</v>
      </c>
      <c r="V116" s="60" t="n">
        <f aca="false">IF($C116="","",IFERROR(MATCH($C116,Parties!$A$5:$A$304,0),""))</f>
        <v>3</v>
      </c>
      <c r="W116" s="60" t="n">
        <f aca="false">IF($B116="","",IFERROR(VALUE(SUBSTITUTE($B116,InvPrefix,"")),0))</f>
        <v>94</v>
      </c>
      <c r="X116" s="61" t="n">
        <f aca="false">IF($D116="","",IF(OR($H116="",$H116="Credit"),0,Q116))</f>
        <v>0</v>
      </c>
    </row>
    <row r="117" customFormat="false" ht="15" hidden="false" customHeight="false" outlineLevel="0" collapsed="false">
      <c r="A117" s="55" t="n">
        <v>46256</v>
      </c>
      <c r="B117" s="56" t="s">
        <v>184</v>
      </c>
      <c r="C117" s="56" t="s">
        <v>102</v>
      </c>
      <c r="D117" s="56" t="s">
        <v>98</v>
      </c>
      <c r="E117" s="57" t="n">
        <v>7</v>
      </c>
      <c r="F117" s="58"/>
      <c r="G117" s="59" t="n">
        <v>0.05</v>
      </c>
      <c r="H117" s="56" t="s">
        <v>103</v>
      </c>
      <c r="I117" s="56" t="s">
        <v>75</v>
      </c>
      <c r="J117" s="60" t="str">
        <f aca="false">IF($D117="","",IFERROR(INDEX(Items!$D$5:$D$504,U117),""))</f>
        <v>Pack</v>
      </c>
      <c r="K117" s="61" t="n">
        <f aca="false">IF($D117="","",IF($F117="",IFERROR(INDEX(Items!$H$5:$H$504,U117),0),$F117))</f>
        <v>508</v>
      </c>
      <c r="L117" s="61" t="n">
        <f aca="false">IF($D117="","",ROUND(N($E117)*K117*(1-N($G117)),2))</f>
        <v>3378.2</v>
      </c>
      <c r="M117" s="62" t="n">
        <f aca="false">IF($D117="","",IFERROR(INDEX(Items!$F$5:$F$504,U117),0))</f>
        <v>0.05</v>
      </c>
      <c r="N117" s="61" t="n">
        <f aca="false">IF($D117="","",IF(AND(V117&lt;&gt;"",INDEX(Parties!$E$5:$E$304,V117)&lt;&gt;"",INDEX(Parties!$E$5:$E$304,V117)&lt;&gt;HomeState),0,ROUND(L117*M117/2,2)))</f>
        <v>84.46</v>
      </c>
      <c r="O117" s="61" t="n">
        <f aca="false">IF($D117="","",N117)</f>
        <v>84.46</v>
      </c>
      <c r="P117" s="61" t="n">
        <f aca="false">IF($D117="","",IF(AND(V117&lt;&gt;"",INDEX(Parties!$E$5:$E$304,V117)&lt;&gt;"",INDEX(Parties!$E$5:$E$304,V117)&lt;&gt;HomeState),ROUND(L117*M117,2),0))</f>
        <v>0</v>
      </c>
      <c r="Q117" s="61" t="n">
        <f aca="false">IF($D117="","",L117+N117+O117+P117)</f>
        <v>3547.12</v>
      </c>
      <c r="R117" s="61" t="n">
        <f aca="false">IF($D117="","",ROUND(N($E117)*IFERROR(INDEX(Items!$P$5:$P$504,U117),0),2))</f>
        <v>2639.55</v>
      </c>
      <c r="S117" s="61" t="n">
        <f aca="false">IF($D117="","",L117-R117)</f>
        <v>738.65</v>
      </c>
      <c r="T117" s="60" t="str">
        <f aca="false">IF($D117="","",IF(U117="","UNKNOWN ITEM",IF(INDEX(Items!$O$5:$O$504,U117)&lt;0,"NEG STOCK",IF(K117&lt;INDEX(Items!$P$5:$P$504,U117),"BELOW COST","OK"))))</f>
        <v>OK</v>
      </c>
      <c r="U117" s="60" t="n">
        <f aca="false">IF($D117="","",IFERROR(MATCH($D117,Items!$A$5:$A$504,0),""))</f>
        <v>4</v>
      </c>
      <c r="V117" s="60" t="n">
        <f aca="false">IF($C117="","",IFERROR(MATCH($C117,Parties!$A$5:$A$304,0),""))</f>
        <v>4</v>
      </c>
      <c r="W117" s="60" t="n">
        <f aca="false">IF($B117="","",IFERROR(VALUE(SUBSTITUTE($B117,InvPrefix,"")),0))</f>
        <v>95</v>
      </c>
      <c r="X117" s="61" t="n">
        <f aca="false">IF($D117="","",IF(OR($H117="",$H117="Credit"),0,Q117))</f>
        <v>3547.12</v>
      </c>
    </row>
    <row r="118" customFormat="false" ht="15" hidden="false" customHeight="false" outlineLevel="0" collapsed="false">
      <c r="A118" s="55" t="n">
        <v>46258</v>
      </c>
      <c r="B118" s="56" t="s">
        <v>185</v>
      </c>
      <c r="C118" s="56" t="s">
        <v>102</v>
      </c>
      <c r="D118" s="56" t="s">
        <v>85</v>
      </c>
      <c r="E118" s="57" t="n">
        <v>1</v>
      </c>
      <c r="F118" s="58"/>
      <c r="G118" s="59" t="n">
        <v>0.02</v>
      </c>
      <c r="H118" s="56" t="s">
        <v>103</v>
      </c>
      <c r="I118" s="56" t="s">
        <v>75</v>
      </c>
      <c r="J118" s="60" t="str">
        <f aca="false">IF($D118="","",IFERROR(INDEX(Items!$D$5:$D$504,U118),""))</f>
        <v>Pcs</v>
      </c>
      <c r="K118" s="61" t="n">
        <f aca="false">IF($D118="","",IF($F118="",IFERROR(INDEX(Items!$H$5:$H$504,U118),0),$F118))</f>
        <v>2322</v>
      </c>
      <c r="L118" s="61" t="n">
        <f aca="false">IF($D118="","",ROUND(N($E118)*K118*(1-N($G118)),2))</f>
        <v>2275.56</v>
      </c>
      <c r="M118" s="62" t="n">
        <f aca="false">IF($D118="","",IFERROR(INDEX(Items!$F$5:$F$504,U118),0))</f>
        <v>0.18</v>
      </c>
      <c r="N118" s="61" t="n">
        <f aca="false">IF($D118="","",IF(AND(V118&lt;&gt;"",INDEX(Parties!$E$5:$E$304,V118)&lt;&gt;"",INDEX(Parties!$E$5:$E$304,V118)&lt;&gt;HomeState),0,ROUND(L118*M118/2,2)))</f>
        <v>204.8</v>
      </c>
      <c r="O118" s="61" t="n">
        <f aca="false">IF($D118="","",N118)</f>
        <v>204.8</v>
      </c>
      <c r="P118" s="61" t="n">
        <f aca="false">IF($D118="","",IF(AND(V118&lt;&gt;"",INDEX(Parties!$E$5:$E$304,V118)&lt;&gt;"",INDEX(Parties!$E$5:$E$304,V118)&lt;&gt;HomeState),ROUND(L118*M118,2),0))</f>
        <v>0</v>
      </c>
      <c r="Q118" s="61" t="n">
        <f aca="false">IF($D118="","",L118+N118+O118+P118)</f>
        <v>2685.16</v>
      </c>
      <c r="R118" s="61" t="n">
        <f aca="false">IF($D118="","",ROUND(N($E118)*IFERROR(INDEX(Items!$P$5:$P$504,U118),0),2))</f>
        <v>1643.8</v>
      </c>
      <c r="S118" s="61" t="n">
        <f aca="false">IF($D118="","",L118-R118)</f>
        <v>631.76</v>
      </c>
      <c r="T118" s="60" t="str">
        <f aca="false">IF($D118="","",IF(U118="","UNKNOWN ITEM",IF(INDEX(Items!$O$5:$O$504,U118)&lt;0,"NEG STOCK",IF(K118&lt;INDEX(Items!$P$5:$P$504,U118),"BELOW COST","OK"))))</f>
        <v>OK</v>
      </c>
      <c r="U118" s="60" t="n">
        <f aca="false">IF($D118="","",IFERROR(MATCH($D118,Items!$A$5:$A$504,0),""))</f>
        <v>12</v>
      </c>
      <c r="V118" s="60" t="n">
        <f aca="false">IF($C118="","",IFERROR(MATCH($C118,Parties!$A$5:$A$304,0),""))</f>
        <v>4</v>
      </c>
      <c r="W118" s="60" t="n">
        <f aca="false">IF($B118="","",IFERROR(VALUE(SUBSTITUTE($B118,InvPrefix,"")),0))</f>
        <v>96</v>
      </c>
      <c r="X118" s="61" t="n">
        <f aca="false">IF($D118="","",IF(OR($H118="",$H118="Credit"),0,Q118))</f>
        <v>2685.16</v>
      </c>
    </row>
    <row r="119" customFormat="false" ht="15" hidden="false" customHeight="false" outlineLevel="0" collapsed="false">
      <c r="A119" s="55" t="n">
        <v>46259</v>
      </c>
      <c r="B119" s="56" t="s">
        <v>186</v>
      </c>
      <c r="C119" s="56" t="s">
        <v>84</v>
      </c>
      <c r="D119" s="56" t="s">
        <v>96</v>
      </c>
      <c r="E119" s="57" t="n">
        <v>5</v>
      </c>
      <c r="F119" s="58"/>
      <c r="G119" s="59"/>
      <c r="H119" s="56"/>
      <c r="I119" s="56" t="s">
        <v>75</v>
      </c>
      <c r="J119" s="60" t="str">
        <f aca="false">IF($D119="","",IFERROR(INDEX(Items!$D$5:$D$504,U119),""))</f>
        <v>Box</v>
      </c>
      <c r="K119" s="61" t="n">
        <f aca="false">IF($D119="","",IF($F119="",IFERROR(INDEX(Items!$H$5:$H$504,U119),0),$F119))</f>
        <v>2290</v>
      </c>
      <c r="L119" s="61" t="n">
        <f aca="false">IF($D119="","",ROUND(N($E119)*K119*(1-N($G119)),2))</f>
        <v>11450</v>
      </c>
      <c r="M119" s="62" t="n">
        <f aca="false">IF($D119="","",IFERROR(INDEX(Items!$F$5:$F$504,U119),0))</f>
        <v>0.05</v>
      </c>
      <c r="N119" s="61" t="n">
        <f aca="false">IF($D119="","",IF(AND(V119&lt;&gt;"",INDEX(Parties!$E$5:$E$304,V119)&lt;&gt;"",INDEX(Parties!$E$5:$E$304,V119)&lt;&gt;HomeState),0,ROUND(L119*M119/2,2)))</f>
        <v>286.25</v>
      </c>
      <c r="O119" s="61" t="n">
        <f aca="false">IF($D119="","",N119)</f>
        <v>286.25</v>
      </c>
      <c r="P119" s="61" t="n">
        <f aca="false">IF($D119="","",IF(AND(V119&lt;&gt;"",INDEX(Parties!$E$5:$E$304,V119)&lt;&gt;"",INDEX(Parties!$E$5:$E$304,V119)&lt;&gt;HomeState),ROUND(L119*M119,2),0))</f>
        <v>0</v>
      </c>
      <c r="Q119" s="61" t="n">
        <f aca="false">IF($D119="","",L119+N119+O119+P119)</f>
        <v>12022.5</v>
      </c>
      <c r="R119" s="61" t="n">
        <f aca="false">IF($D119="","",ROUND(N($E119)*IFERROR(INDEX(Items!$P$5:$P$504,U119),0),2))</f>
        <v>9521.81</v>
      </c>
      <c r="S119" s="61" t="n">
        <f aca="false">IF($D119="","",L119-R119)</f>
        <v>1928.19</v>
      </c>
      <c r="T119" s="60" t="str">
        <f aca="false">IF($D119="","",IF(U119="","UNKNOWN ITEM",IF(INDEX(Items!$O$5:$O$504,U119)&lt;0,"NEG STOCK",IF(K119&lt;INDEX(Items!$P$5:$P$504,U119),"BELOW COST","OK"))))</f>
        <v>OK</v>
      </c>
      <c r="U119" s="60" t="n">
        <f aca="false">IF($D119="","",IFERROR(MATCH($D119,Items!$A$5:$A$504,0),""))</f>
        <v>3</v>
      </c>
      <c r="V119" s="60" t="n">
        <f aca="false">IF($C119="","",IFERROR(MATCH($C119,Parties!$A$5:$A$304,0),""))</f>
        <v>9</v>
      </c>
      <c r="W119" s="60" t="n">
        <f aca="false">IF($B119="","",IFERROR(VALUE(SUBSTITUTE($B119,InvPrefix,"")),0))</f>
        <v>97</v>
      </c>
      <c r="X119" s="61" t="n">
        <f aca="false">IF($D119="","",IF(OR($H119="",$H119="Credit"),0,Q119))</f>
        <v>0</v>
      </c>
    </row>
    <row r="120" customFormat="false" ht="15" hidden="false" customHeight="false" outlineLevel="0" collapsed="false">
      <c r="A120" s="55" t="n">
        <v>46260</v>
      </c>
      <c r="B120" s="56" t="s">
        <v>187</v>
      </c>
      <c r="C120" s="56" t="s">
        <v>72</v>
      </c>
      <c r="D120" s="56" t="s">
        <v>85</v>
      </c>
      <c r="E120" s="57" t="n">
        <v>4</v>
      </c>
      <c r="F120" s="58"/>
      <c r="G120" s="59"/>
      <c r="H120" s="56"/>
      <c r="I120" s="56" t="s">
        <v>75</v>
      </c>
      <c r="J120" s="60" t="str">
        <f aca="false">IF($D120="","",IFERROR(INDEX(Items!$D$5:$D$504,U120),""))</f>
        <v>Pcs</v>
      </c>
      <c r="K120" s="61" t="n">
        <f aca="false">IF($D120="","",IF($F120="",IFERROR(INDEX(Items!$H$5:$H$504,U120),0),$F120))</f>
        <v>2322</v>
      </c>
      <c r="L120" s="61" t="n">
        <f aca="false">IF($D120="","",ROUND(N($E120)*K120*(1-N($G120)),2))</f>
        <v>9288</v>
      </c>
      <c r="M120" s="62" t="n">
        <f aca="false">IF($D120="","",IFERROR(INDEX(Items!$F$5:$F$504,U120),0))</f>
        <v>0.18</v>
      </c>
      <c r="N120" s="61" t="n">
        <f aca="false">IF($D120="","",IF(AND(V120&lt;&gt;"",INDEX(Parties!$E$5:$E$304,V120)&lt;&gt;"",INDEX(Parties!$E$5:$E$304,V120)&lt;&gt;HomeState),0,ROUND(L120*M120/2,2)))</f>
        <v>835.92</v>
      </c>
      <c r="O120" s="61" t="n">
        <f aca="false">IF($D120="","",N120)</f>
        <v>835.92</v>
      </c>
      <c r="P120" s="61" t="n">
        <f aca="false">IF($D120="","",IF(AND(V120&lt;&gt;"",INDEX(Parties!$E$5:$E$304,V120)&lt;&gt;"",INDEX(Parties!$E$5:$E$304,V120)&lt;&gt;HomeState),ROUND(L120*M120,2),0))</f>
        <v>0</v>
      </c>
      <c r="Q120" s="61" t="n">
        <f aca="false">IF($D120="","",L120+N120+O120+P120)</f>
        <v>10959.84</v>
      </c>
      <c r="R120" s="61" t="n">
        <f aca="false">IF($D120="","",ROUND(N($E120)*IFERROR(INDEX(Items!$P$5:$P$504,U120),0),2))</f>
        <v>6575.2</v>
      </c>
      <c r="S120" s="61" t="n">
        <f aca="false">IF($D120="","",L120-R120)</f>
        <v>2712.8</v>
      </c>
      <c r="T120" s="60" t="str">
        <f aca="false">IF($D120="","",IF(U120="","UNKNOWN ITEM",IF(INDEX(Items!$O$5:$O$504,U120)&lt;0,"NEG STOCK",IF(K120&lt;INDEX(Items!$P$5:$P$504,U120),"BELOW COST","OK"))))</f>
        <v>OK</v>
      </c>
      <c r="U120" s="60" t="n">
        <f aca="false">IF($D120="","",IFERROR(MATCH($D120,Items!$A$5:$A$504,0),""))</f>
        <v>12</v>
      </c>
      <c r="V120" s="60" t="n">
        <f aca="false">IF($C120="","",IFERROR(MATCH($C120,Parties!$A$5:$A$304,0),""))</f>
        <v>1</v>
      </c>
      <c r="W120" s="60" t="n">
        <f aca="false">IF($B120="","",IFERROR(VALUE(SUBSTITUTE($B120,InvPrefix,"")),0))</f>
        <v>98</v>
      </c>
      <c r="X120" s="61" t="n">
        <f aca="false">IF($D120="","",IF(OR($H120="",$H120="Credit"),0,Q120))</f>
        <v>0</v>
      </c>
    </row>
    <row r="121" customFormat="false" ht="15" hidden="false" customHeight="false" outlineLevel="0" collapsed="false">
      <c r="A121" s="55" t="n">
        <v>46260</v>
      </c>
      <c r="B121" s="56" t="s">
        <v>187</v>
      </c>
      <c r="C121" s="56" t="s">
        <v>72</v>
      </c>
      <c r="D121" s="56" t="s">
        <v>99</v>
      </c>
      <c r="E121" s="57" t="n">
        <v>59</v>
      </c>
      <c r="F121" s="58"/>
      <c r="G121" s="59"/>
      <c r="H121" s="56"/>
      <c r="I121" s="56" t="s">
        <v>75</v>
      </c>
      <c r="J121" s="60" t="str">
        <f aca="false">IF($D121="","",IFERROR(INDEX(Items!$D$5:$D$504,U121),""))</f>
        <v>Pcs</v>
      </c>
      <c r="K121" s="61" t="n">
        <f aca="false">IF($D121="","",IF($F121="",IFERROR(INDEX(Items!$H$5:$H$504,U121),0),$F121))</f>
        <v>107</v>
      </c>
      <c r="L121" s="61" t="n">
        <f aca="false">IF($D121="","",ROUND(N($E121)*K121*(1-N($G121)),2))</f>
        <v>6313</v>
      </c>
      <c r="M121" s="62" t="n">
        <f aca="false">IF($D121="","",IFERROR(INDEX(Items!$F$5:$F$504,U121),0))</f>
        <v>0.18</v>
      </c>
      <c r="N121" s="61" t="n">
        <f aca="false">IF($D121="","",IF(AND(V121&lt;&gt;"",INDEX(Parties!$E$5:$E$304,V121)&lt;&gt;"",INDEX(Parties!$E$5:$E$304,V121)&lt;&gt;HomeState),0,ROUND(L121*M121/2,2)))</f>
        <v>568.17</v>
      </c>
      <c r="O121" s="61" t="n">
        <f aca="false">IF($D121="","",N121)</f>
        <v>568.17</v>
      </c>
      <c r="P121" s="61" t="n">
        <f aca="false">IF($D121="","",IF(AND(V121&lt;&gt;"",INDEX(Parties!$E$5:$E$304,V121)&lt;&gt;"",INDEX(Parties!$E$5:$E$304,V121)&lt;&gt;HomeState),ROUND(L121*M121,2),0))</f>
        <v>0</v>
      </c>
      <c r="Q121" s="61" t="n">
        <f aca="false">IF($D121="","",L121+N121+O121+P121)</f>
        <v>7449.34</v>
      </c>
      <c r="R121" s="61" t="n">
        <f aca="false">IF($D121="","",ROUND(N($E121)*IFERROR(INDEX(Items!$P$5:$P$504,U121),0),2))</f>
        <v>3623.61</v>
      </c>
      <c r="S121" s="61" t="n">
        <f aca="false">IF($D121="","",L121-R121)</f>
        <v>2689.39</v>
      </c>
      <c r="T121" s="60" t="str">
        <f aca="false">IF($D121="","",IF(U121="","UNKNOWN ITEM",IF(INDEX(Items!$O$5:$O$504,U121)&lt;0,"NEG STOCK",IF(K121&lt;INDEX(Items!$P$5:$P$504,U121),"BELOW COST","OK"))))</f>
        <v>OK</v>
      </c>
      <c r="U121" s="60" t="n">
        <f aca="false">IF($D121="","",IFERROR(MATCH($D121,Items!$A$5:$A$504,0),""))</f>
        <v>7</v>
      </c>
      <c r="V121" s="60" t="n">
        <f aca="false">IF($C121="","",IFERROR(MATCH($C121,Parties!$A$5:$A$304,0),""))</f>
        <v>1</v>
      </c>
      <c r="W121" s="60" t="n">
        <f aca="false">IF($B121="","",IFERROR(VALUE(SUBSTITUTE($B121,InvPrefix,"")),0))</f>
        <v>98</v>
      </c>
      <c r="X121" s="61" t="n">
        <f aca="false">IF($D121="","",IF(OR($H121="",$H121="Credit"),0,Q121))</f>
        <v>0</v>
      </c>
    </row>
    <row r="122" customFormat="false" ht="15" hidden="false" customHeight="false" outlineLevel="0" collapsed="false">
      <c r="A122" s="55" t="n">
        <v>46263</v>
      </c>
      <c r="B122" s="56" t="s">
        <v>188</v>
      </c>
      <c r="C122" s="56" t="s">
        <v>77</v>
      </c>
      <c r="D122" s="56" t="s">
        <v>86</v>
      </c>
      <c r="E122" s="57" t="n">
        <v>5</v>
      </c>
      <c r="F122" s="58"/>
      <c r="G122" s="59"/>
      <c r="H122" s="56"/>
      <c r="I122" s="56" t="s">
        <v>75</v>
      </c>
      <c r="J122" s="60" t="str">
        <f aca="false">IF($D122="","",IFERROR(INDEX(Items!$D$5:$D$504,U122),""))</f>
        <v>Bag</v>
      </c>
      <c r="K122" s="61" t="n">
        <f aca="false">IF($D122="","",IF($F122="",IFERROR(INDEX(Items!$H$5:$H$504,U122),0),$F122))</f>
        <v>2462</v>
      </c>
      <c r="L122" s="61" t="n">
        <f aca="false">IF($D122="","",ROUND(N($E122)*K122*(1-N($G122)),2))</f>
        <v>12310</v>
      </c>
      <c r="M122" s="62" t="n">
        <f aca="false">IF($D122="","",IFERROR(INDEX(Items!$F$5:$F$504,U122),0))</f>
        <v>0.05</v>
      </c>
      <c r="N122" s="61" t="n">
        <f aca="false">IF($D122="","",IF(AND(V122&lt;&gt;"",INDEX(Parties!$E$5:$E$304,V122)&lt;&gt;"",INDEX(Parties!$E$5:$E$304,V122)&lt;&gt;HomeState),0,ROUND(L122*M122/2,2)))</f>
        <v>307.75</v>
      </c>
      <c r="O122" s="61" t="n">
        <f aca="false">IF($D122="","",N122)</f>
        <v>307.75</v>
      </c>
      <c r="P122" s="61" t="n">
        <f aca="false">IF($D122="","",IF(AND(V122&lt;&gt;"",INDEX(Parties!$E$5:$E$304,V122)&lt;&gt;"",INDEX(Parties!$E$5:$E$304,V122)&lt;&gt;HomeState),ROUND(L122*M122,2),0))</f>
        <v>0</v>
      </c>
      <c r="Q122" s="61" t="n">
        <f aca="false">IF($D122="","",L122+N122+O122+P122)</f>
        <v>12925.5</v>
      </c>
      <c r="R122" s="61" t="n">
        <f aca="false">IF($D122="","",ROUND(N($E122)*IFERROR(INDEX(Items!$P$5:$P$504,U122),0),2))</f>
        <v>10188.64</v>
      </c>
      <c r="S122" s="61" t="n">
        <f aca="false">IF($D122="","",L122-R122)</f>
        <v>2121.36</v>
      </c>
      <c r="T122" s="60" t="str">
        <f aca="false">IF($D122="","",IF(U122="","UNKNOWN ITEM",IF(INDEX(Items!$O$5:$O$504,U122)&lt;0,"NEG STOCK",IF(K122&lt;INDEX(Items!$P$5:$P$504,U122),"BELOW COST","OK"))))</f>
        <v>OK</v>
      </c>
      <c r="U122" s="60" t="n">
        <f aca="false">IF($D122="","",IFERROR(MATCH($D122,Items!$A$5:$A$504,0),""))</f>
        <v>2</v>
      </c>
      <c r="V122" s="60" t="n">
        <f aca="false">IF($C122="","",IFERROR(MATCH($C122,Parties!$A$5:$A$304,0),""))</f>
        <v>2</v>
      </c>
      <c r="W122" s="60" t="n">
        <f aca="false">IF($B122="","",IFERROR(VALUE(SUBSTITUTE($B122,InvPrefix,"")),0))</f>
        <v>99</v>
      </c>
      <c r="X122" s="61" t="n">
        <f aca="false">IF($D122="","",IF(OR($H122="",$H122="Credit"),0,Q122))</f>
        <v>0</v>
      </c>
    </row>
    <row r="123" customFormat="false" ht="15" hidden="false" customHeight="false" outlineLevel="0" collapsed="false">
      <c r="A123" s="55" t="n">
        <v>46265</v>
      </c>
      <c r="B123" s="56" t="s">
        <v>189</v>
      </c>
      <c r="C123" s="56" t="s">
        <v>84</v>
      </c>
      <c r="D123" s="56" t="s">
        <v>86</v>
      </c>
      <c r="E123" s="57" t="n">
        <v>3</v>
      </c>
      <c r="F123" s="58"/>
      <c r="G123" s="59" t="n">
        <v>0.02</v>
      </c>
      <c r="H123" s="56"/>
      <c r="I123" s="56" t="s">
        <v>75</v>
      </c>
      <c r="J123" s="60" t="str">
        <f aca="false">IF($D123="","",IFERROR(INDEX(Items!$D$5:$D$504,U123),""))</f>
        <v>Bag</v>
      </c>
      <c r="K123" s="61" t="n">
        <f aca="false">IF($D123="","",IF($F123="",IFERROR(INDEX(Items!$H$5:$H$504,U123),0),$F123))</f>
        <v>2462</v>
      </c>
      <c r="L123" s="61" t="n">
        <f aca="false">IF($D123="","",ROUND(N($E123)*K123*(1-N($G123)),2))</f>
        <v>7238.28</v>
      </c>
      <c r="M123" s="62" t="n">
        <f aca="false">IF($D123="","",IFERROR(INDEX(Items!$F$5:$F$504,U123),0))</f>
        <v>0.05</v>
      </c>
      <c r="N123" s="61" t="n">
        <f aca="false">IF($D123="","",IF(AND(V123&lt;&gt;"",INDEX(Parties!$E$5:$E$304,V123)&lt;&gt;"",INDEX(Parties!$E$5:$E$304,V123)&lt;&gt;HomeState),0,ROUND(L123*M123/2,2)))</f>
        <v>180.96</v>
      </c>
      <c r="O123" s="61" t="n">
        <f aca="false">IF($D123="","",N123)</f>
        <v>180.96</v>
      </c>
      <c r="P123" s="61" t="n">
        <f aca="false">IF($D123="","",IF(AND(V123&lt;&gt;"",INDEX(Parties!$E$5:$E$304,V123)&lt;&gt;"",INDEX(Parties!$E$5:$E$304,V123)&lt;&gt;HomeState),ROUND(L123*M123,2),0))</f>
        <v>0</v>
      </c>
      <c r="Q123" s="61" t="n">
        <f aca="false">IF($D123="","",L123+N123+O123+P123)</f>
        <v>7600.2</v>
      </c>
      <c r="R123" s="61" t="n">
        <f aca="false">IF($D123="","",ROUND(N($E123)*IFERROR(INDEX(Items!$P$5:$P$504,U123),0),2))</f>
        <v>6113.19</v>
      </c>
      <c r="S123" s="61" t="n">
        <f aca="false">IF($D123="","",L123-R123)</f>
        <v>1125.09</v>
      </c>
      <c r="T123" s="60" t="str">
        <f aca="false">IF($D123="","",IF(U123="","UNKNOWN ITEM",IF(INDEX(Items!$O$5:$O$504,U123)&lt;0,"NEG STOCK",IF(K123&lt;INDEX(Items!$P$5:$P$504,U123),"BELOW COST","OK"))))</f>
        <v>OK</v>
      </c>
      <c r="U123" s="60" t="n">
        <f aca="false">IF($D123="","",IFERROR(MATCH($D123,Items!$A$5:$A$504,0),""))</f>
        <v>2</v>
      </c>
      <c r="V123" s="60" t="n">
        <f aca="false">IF($C123="","",IFERROR(MATCH($C123,Parties!$A$5:$A$304,0),""))</f>
        <v>9</v>
      </c>
      <c r="W123" s="60" t="n">
        <f aca="false">IF($B123="","",IFERROR(VALUE(SUBSTITUTE($B123,InvPrefix,"")),0))</f>
        <v>100</v>
      </c>
      <c r="X123" s="61" t="n">
        <f aca="false">IF($D123="","",IF(OR($H123="",$H123="Credit"),0,Q123))</f>
        <v>0</v>
      </c>
    </row>
    <row r="124" customFormat="false" ht="15" hidden="false" customHeight="false" outlineLevel="0" collapsed="false">
      <c r="A124" s="55" t="n">
        <v>46266</v>
      </c>
      <c r="B124" s="56" t="s">
        <v>190</v>
      </c>
      <c r="C124" s="56" t="s">
        <v>72</v>
      </c>
      <c r="D124" s="56" t="s">
        <v>92</v>
      </c>
      <c r="E124" s="57" t="n">
        <v>1</v>
      </c>
      <c r="F124" s="58"/>
      <c r="G124" s="59"/>
      <c r="H124" s="56" t="s">
        <v>90</v>
      </c>
      <c r="I124" s="56" t="s">
        <v>75</v>
      </c>
      <c r="J124" s="60" t="str">
        <f aca="false">IF($D124="","",IFERROR(INDEX(Items!$D$5:$D$504,U124),""))</f>
        <v>Pcs</v>
      </c>
      <c r="K124" s="61" t="n">
        <f aca="false">IF($D124="","",IF($F124="",IFERROR(INDEX(Items!$H$5:$H$504,U124),0),$F124))</f>
        <v>3132</v>
      </c>
      <c r="L124" s="61" t="n">
        <f aca="false">IF($D124="","",ROUND(N($E124)*K124*(1-N($G124)),2))</f>
        <v>3132</v>
      </c>
      <c r="M124" s="62" t="n">
        <f aca="false">IF($D124="","",IFERROR(INDEX(Items!$F$5:$F$504,U124),0))</f>
        <v>0.18</v>
      </c>
      <c r="N124" s="61" t="n">
        <f aca="false">IF($D124="","",IF(AND(V124&lt;&gt;"",INDEX(Parties!$E$5:$E$304,V124)&lt;&gt;"",INDEX(Parties!$E$5:$E$304,V124)&lt;&gt;HomeState),0,ROUND(L124*M124/2,2)))</f>
        <v>281.88</v>
      </c>
      <c r="O124" s="61" t="n">
        <f aca="false">IF($D124="","",N124)</f>
        <v>281.88</v>
      </c>
      <c r="P124" s="61" t="n">
        <f aca="false">IF($D124="","",IF(AND(V124&lt;&gt;"",INDEX(Parties!$E$5:$E$304,V124)&lt;&gt;"",INDEX(Parties!$E$5:$E$304,V124)&lt;&gt;HomeState),ROUND(L124*M124,2),0))</f>
        <v>0</v>
      </c>
      <c r="Q124" s="61" t="n">
        <f aca="false">IF($D124="","",L124+N124+O124+P124)</f>
        <v>3695.76</v>
      </c>
      <c r="R124" s="61" t="n">
        <f aca="false">IF($D124="","",ROUND(N($E124)*IFERROR(INDEX(Items!$P$5:$P$504,U124),0),2))</f>
        <v>2451.48</v>
      </c>
      <c r="S124" s="61" t="n">
        <f aca="false">IF($D124="","",L124-R124)</f>
        <v>680.52</v>
      </c>
      <c r="T124" s="60" t="str">
        <f aca="false">IF($D124="","",IF(U124="","UNKNOWN ITEM",IF(INDEX(Items!$O$5:$O$504,U124)&lt;0,"NEG STOCK",IF(K124&lt;INDEX(Items!$P$5:$P$504,U124),"BELOW COST","OK"))))</f>
        <v>OK</v>
      </c>
      <c r="U124" s="60" t="n">
        <f aca="false">IF($D124="","",IFERROR(MATCH($D124,Items!$A$5:$A$504,0),""))</f>
        <v>8</v>
      </c>
      <c r="V124" s="60" t="n">
        <f aca="false">IF($C124="","",IFERROR(MATCH($C124,Parties!$A$5:$A$304,0),""))</f>
        <v>1</v>
      </c>
      <c r="W124" s="60" t="n">
        <f aca="false">IF($B124="","",IFERROR(VALUE(SUBSTITUTE($B124,InvPrefix,"")),0))</f>
        <v>101</v>
      </c>
      <c r="X124" s="61" t="n">
        <f aca="false">IF($D124="","",IF(OR($H124="",$H124="Credit"),0,Q124))</f>
        <v>3695.76</v>
      </c>
    </row>
    <row r="125" customFormat="false" ht="15" hidden="false" customHeight="false" outlineLevel="0" collapsed="false">
      <c r="A125" s="55" t="n">
        <v>46267</v>
      </c>
      <c r="B125" s="56" t="s">
        <v>191</v>
      </c>
      <c r="C125" s="56" t="s">
        <v>102</v>
      </c>
      <c r="D125" s="56" t="s">
        <v>86</v>
      </c>
      <c r="E125" s="57" t="n">
        <v>4</v>
      </c>
      <c r="F125" s="58"/>
      <c r="G125" s="59"/>
      <c r="H125" s="56" t="s">
        <v>103</v>
      </c>
      <c r="I125" s="56" t="s">
        <v>75</v>
      </c>
      <c r="J125" s="60" t="str">
        <f aca="false">IF($D125="","",IFERROR(INDEX(Items!$D$5:$D$504,U125),""))</f>
        <v>Bag</v>
      </c>
      <c r="K125" s="61" t="n">
        <f aca="false">IF($D125="","",IF($F125="",IFERROR(INDEX(Items!$H$5:$H$504,U125),0),$F125))</f>
        <v>2462</v>
      </c>
      <c r="L125" s="61" t="n">
        <f aca="false">IF($D125="","",ROUND(N($E125)*K125*(1-N($G125)),2))</f>
        <v>9848</v>
      </c>
      <c r="M125" s="62" t="n">
        <f aca="false">IF($D125="","",IFERROR(INDEX(Items!$F$5:$F$504,U125),0))</f>
        <v>0.05</v>
      </c>
      <c r="N125" s="61" t="n">
        <f aca="false">IF($D125="","",IF(AND(V125&lt;&gt;"",INDEX(Parties!$E$5:$E$304,V125)&lt;&gt;"",INDEX(Parties!$E$5:$E$304,V125)&lt;&gt;HomeState),0,ROUND(L125*M125/2,2)))</f>
        <v>246.2</v>
      </c>
      <c r="O125" s="61" t="n">
        <f aca="false">IF($D125="","",N125)</f>
        <v>246.2</v>
      </c>
      <c r="P125" s="61" t="n">
        <f aca="false">IF($D125="","",IF(AND(V125&lt;&gt;"",INDEX(Parties!$E$5:$E$304,V125)&lt;&gt;"",INDEX(Parties!$E$5:$E$304,V125)&lt;&gt;HomeState),ROUND(L125*M125,2),0))</f>
        <v>0</v>
      </c>
      <c r="Q125" s="61" t="n">
        <f aca="false">IF($D125="","",L125+N125+O125+P125)</f>
        <v>10340.4</v>
      </c>
      <c r="R125" s="61" t="n">
        <f aca="false">IF($D125="","",ROUND(N($E125)*IFERROR(INDEX(Items!$P$5:$P$504,U125),0),2))</f>
        <v>8150.91</v>
      </c>
      <c r="S125" s="61" t="n">
        <f aca="false">IF($D125="","",L125-R125)</f>
        <v>1697.09</v>
      </c>
      <c r="T125" s="60" t="str">
        <f aca="false">IF($D125="","",IF(U125="","UNKNOWN ITEM",IF(INDEX(Items!$O$5:$O$504,U125)&lt;0,"NEG STOCK",IF(K125&lt;INDEX(Items!$P$5:$P$504,U125),"BELOW COST","OK"))))</f>
        <v>OK</v>
      </c>
      <c r="U125" s="60" t="n">
        <f aca="false">IF($D125="","",IFERROR(MATCH($D125,Items!$A$5:$A$504,0),""))</f>
        <v>2</v>
      </c>
      <c r="V125" s="60" t="n">
        <f aca="false">IF($C125="","",IFERROR(MATCH($C125,Parties!$A$5:$A$304,0),""))</f>
        <v>4</v>
      </c>
      <c r="W125" s="60" t="n">
        <f aca="false">IF($B125="","",IFERROR(VALUE(SUBSTITUTE($B125,InvPrefix,"")),0))</f>
        <v>102</v>
      </c>
      <c r="X125" s="61" t="n">
        <f aca="false">IF($D125="","",IF(OR($H125="",$H125="Credit"),0,Q125))</f>
        <v>10340.4</v>
      </c>
    </row>
    <row r="126" customFormat="false" ht="15" hidden="false" customHeight="false" outlineLevel="0" collapsed="false">
      <c r="A126" s="55" t="n">
        <v>46267</v>
      </c>
      <c r="B126" s="56" t="s">
        <v>191</v>
      </c>
      <c r="C126" s="56" t="s">
        <v>102</v>
      </c>
      <c r="D126" s="56" t="s">
        <v>82</v>
      </c>
      <c r="E126" s="57" t="n">
        <v>26</v>
      </c>
      <c r="F126" s="58"/>
      <c r="G126" s="59" t="n">
        <v>0.05</v>
      </c>
      <c r="H126" s="56" t="s">
        <v>103</v>
      </c>
      <c r="I126" s="56" t="s">
        <v>75</v>
      </c>
      <c r="J126" s="60" t="str">
        <f aca="false">IF($D126="","",IFERROR(INDEX(Items!$D$5:$D$504,U126),""))</f>
        <v>Bag</v>
      </c>
      <c r="K126" s="61" t="n">
        <f aca="false">IF($D126="","",IF($F126="",IFERROR(INDEX(Items!$H$5:$H$504,U126),0),$F126))</f>
        <v>427</v>
      </c>
      <c r="L126" s="61" t="n">
        <f aca="false">IF($D126="","",ROUND(N($E126)*K126*(1-N($G126)),2))</f>
        <v>10546.9</v>
      </c>
      <c r="M126" s="62" t="n">
        <f aca="false">IF($D126="","",IFERROR(INDEX(Items!$F$5:$F$504,U126),0))</f>
        <v>0.18</v>
      </c>
      <c r="N126" s="61" t="n">
        <f aca="false">IF($D126="","",IF(AND(V126&lt;&gt;"",INDEX(Parties!$E$5:$E$304,V126)&lt;&gt;"",INDEX(Parties!$E$5:$E$304,V126)&lt;&gt;HomeState),0,ROUND(L126*M126/2,2)))</f>
        <v>949.22</v>
      </c>
      <c r="O126" s="61" t="n">
        <f aca="false">IF($D126="","",N126)</f>
        <v>949.22</v>
      </c>
      <c r="P126" s="61" t="n">
        <f aca="false">IF($D126="","",IF(AND(V126&lt;&gt;"",INDEX(Parties!$E$5:$E$304,V126)&lt;&gt;"",INDEX(Parties!$E$5:$E$304,V126)&lt;&gt;HomeState),ROUND(L126*M126,2),0))</f>
        <v>0</v>
      </c>
      <c r="Q126" s="61" t="n">
        <f aca="false">IF($D126="","",L126+N126+O126+P126)</f>
        <v>12445.34</v>
      </c>
      <c r="R126" s="61" t="n">
        <f aca="false">IF($D126="","",ROUND(N($E126)*IFERROR(INDEX(Items!$P$5:$P$504,U126),0),2))</f>
        <v>8844.53</v>
      </c>
      <c r="S126" s="61" t="n">
        <f aca="false">IF($D126="","",L126-R126)</f>
        <v>1702.37</v>
      </c>
      <c r="T126" s="60" t="str">
        <f aca="false">IF($D126="","",IF(U126="","UNKNOWN ITEM",IF(INDEX(Items!$O$5:$O$504,U126)&lt;0,"NEG STOCK",IF(K126&lt;INDEX(Items!$P$5:$P$504,U126),"BELOW COST","OK"))))</f>
        <v>OK</v>
      </c>
      <c r="U126" s="60" t="n">
        <f aca="false">IF($D126="","",IFERROR(MATCH($D126,Items!$A$5:$A$504,0),""))</f>
        <v>10</v>
      </c>
      <c r="V126" s="60" t="n">
        <f aca="false">IF($C126="","",IFERROR(MATCH($C126,Parties!$A$5:$A$304,0),""))</f>
        <v>4</v>
      </c>
      <c r="W126" s="60" t="n">
        <f aca="false">IF($B126="","",IFERROR(VALUE(SUBSTITUTE($B126,InvPrefix,"")),0))</f>
        <v>102</v>
      </c>
      <c r="X126" s="61" t="n">
        <f aca="false">IF($D126="","",IF(OR($H126="",$H126="Credit"),0,Q126))</f>
        <v>12445.34</v>
      </c>
    </row>
    <row r="127" customFormat="false" ht="15" hidden="false" customHeight="false" outlineLevel="0" collapsed="false">
      <c r="A127" s="55" t="n">
        <v>46269</v>
      </c>
      <c r="B127" s="56" t="s">
        <v>192</v>
      </c>
      <c r="C127" s="56" t="s">
        <v>84</v>
      </c>
      <c r="D127" s="56" t="s">
        <v>73</v>
      </c>
      <c r="E127" s="57" t="n">
        <v>7</v>
      </c>
      <c r="F127" s="58"/>
      <c r="G127" s="59" t="n">
        <v>0.05</v>
      </c>
      <c r="H127" s="56"/>
      <c r="I127" s="56" t="s">
        <v>75</v>
      </c>
      <c r="J127" s="60" t="str">
        <f aca="false">IF($D127="","",IFERROR(INDEX(Items!$D$5:$D$504,U127),""))</f>
        <v>Bag</v>
      </c>
      <c r="K127" s="61" t="n">
        <f aca="false">IF($D127="","",IF($F127="",IFERROR(INDEX(Items!$H$5:$H$504,U127),0),$F127))</f>
        <v>2106</v>
      </c>
      <c r="L127" s="61" t="n">
        <f aca="false">IF($D127="","",ROUND(N($E127)*K127*(1-N($G127)),2))</f>
        <v>14004.9</v>
      </c>
      <c r="M127" s="62" t="n">
        <f aca="false">IF($D127="","",IFERROR(INDEX(Items!$F$5:$F$504,U127),0))</f>
        <v>0.05</v>
      </c>
      <c r="N127" s="61" t="n">
        <f aca="false">IF($D127="","",IF(AND(V127&lt;&gt;"",INDEX(Parties!$E$5:$E$304,V127)&lt;&gt;"",INDEX(Parties!$E$5:$E$304,V127)&lt;&gt;HomeState),0,ROUND(L127*M127/2,2)))</f>
        <v>350.12</v>
      </c>
      <c r="O127" s="61" t="n">
        <f aca="false">IF($D127="","",N127)</f>
        <v>350.12</v>
      </c>
      <c r="P127" s="61" t="n">
        <f aca="false">IF($D127="","",IF(AND(V127&lt;&gt;"",INDEX(Parties!$E$5:$E$304,V127)&lt;&gt;"",INDEX(Parties!$E$5:$E$304,V127)&lt;&gt;HomeState),ROUND(L127*M127,2),0))</f>
        <v>0</v>
      </c>
      <c r="Q127" s="61" t="n">
        <f aca="false">IF($D127="","",L127+N127+O127+P127)</f>
        <v>14705.14</v>
      </c>
      <c r="R127" s="61" t="n">
        <f aca="false">IF($D127="","",ROUND(N($E127)*IFERROR(INDEX(Items!$P$5:$P$504,U127),0),2))</f>
        <v>11532.01</v>
      </c>
      <c r="S127" s="61" t="n">
        <f aca="false">IF($D127="","",L127-R127)</f>
        <v>2472.89</v>
      </c>
      <c r="T127" s="60" t="str">
        <f aca="false">IF($D127="","",IF(U127="","UNKNOWN ITEM",IF(INDEX(Items!$O$5:$O$504,U127)&lt;0,"NEG STOCK",IF(K127&lt;INDEX(Items!$P$5:$P$504,U127),"BELOW COST","OK"))))</f>
        <v>OK</v>
      </c>
      <c r="U127" s="60" t="n">
        <f aca="false">IF($D127="","",IFERROR(MATCH($D127,Items!$A$5:$A$504,0),""))</f>
        <v>1</v>
      </c>
      <c r="V127" s="60" t="n">
        <f aca="false">IF($C127="","",IFERROR(MATCH($C127,Parties!$A$5:$A$304,0),""))</f>
        <v>9</v>
      </c>
      <c r="W127" s="60" t="n">
        <f aca="false">IF($B127="","",IFERROR(VALUE(SUBSTITUTE($B127,InvPrefix,"")),0))</f>
        <v>103</v>
      </c>
      <c r="X127" s="61" t="n">
        <f aca="false">IF($D127="","",IF(OR($H127="",$H127="Credit"),0,Q127))</f>
        <v>0</v>
      </c>
    </row>
    <row r="128" customFormat="false" ht="15" hidden="false" customHeight="false" outlineLevel="0" collapsed="false">
      <c r="A128" s="55" t="n">
        <v>46273</v>
      </c>
      <c r="B128" s="56" t="s">
        <v>193</v>
      </c>
      <c r="C128" s="56" t="s">
        <v>102</v>
      </c>
      <c r="D128" s="56" t="s">
        <v>94</v>
      </c>
      <c r="E128" s="57" t="n">
        <v>12</v>
      </c>
      <c r="F128" s="58"/>
      <c r="G128" s="59" t="n">
        <v>0.02</v>
      </c>
      <c r="H128" s="56" t="s">
        <v>103</v>
      </c>
      <c r="I128" s="56" t="s">
        <v>75</v>
      </c>
      <c r="J128" s="60" t="str">
        <f aca="false">IF($D128="","",IFERROR(INDEX(Items!$D$5:$D$504,U128),""))</f>
        <v>Pack</v>
      </c>
      <c r="K128" s="61" t="n">
        <f aca="false">IF($D128="","",IF($F128="",IFERROR(INDEX(Items!$H$5:$H$504,U128),0),$F128))</f>
        <v>691</v>
      </c>
      <c r="L128" s="61" t="n">
        <f aca="false">IF($D128="","",ROUND(N($E128)*K128*(1-N($G128)),2))</f>
        <v>8126.16</v>
      </c>
      <c r="M128" s="62" t="n">
        <f aca="false">IF($D128="","",IFERROR(INDEX(Items!$F$5:$F$504,U128),0))</f>
        <v>0.18</v>
      </c>
      <c r="N128" s="61" t="n">
        <f aca="false">IF($D128="","",IF(AND(V128&lt;&gt;"",INDEX(Parties!$E$5:$E$304,V128)&lt;&gt;"",INDEX(Parties!$E$5:$E$304,V128)&lt;&gt;HomeState),0,ROUND(L128*M128/2,2)))</f>
        <v>731.35</v>
      </c>
      <c r="O128" s="61" t="n">
        <f aca="false">IF($D128="","",N128)</f>
        <v>731.35</v>
      </c>
      <c r="P128" s="61" t="n">
        <f aca="false">IF($D128="","",IF(AND(V128&lt;&gt;"",INDEX(Parties!$E$5:$E$304,V128)&lt;&gt;"",INDEX(Parties!$E$5:$E$304,V128)&lt;&gt;HomeState),ROUND(L128*M128,2),0))</f>
        <v>0</v>
      </c>
      <c r="Q128" s="61" t="n">
        <f aca="false">IF($D128="","",L128+N128+O128+P128)</f>
        <v>9588.86</v>
      </c>
      <c r="R128" s="61" t="n">
        <f aca="false">IF($D128="","",ROUND(N($E128)*IFERROR(INDEX(Items!$P$5:$P$504,U128),0),2))</f>
        <v>6212.31</v>
      </c>
      <c r="S128" s="61" t="n">
        <f aca="false">IF($D128="","",L128-R128)</f>
        <v>1913.85</v>
      </c>
      <c r="T128" s="60" t="str">
        <f aca="false">IF($D128="","",IF(U128="","UNKNOWN ITEM",IF(INDEX(Items!$O$5:$O$504,U128)&lt;0,"NEG STOCK",IF(K128&lt;INDEX(Items!$P$5:$P$504,U128),"BELOW COST","OK"))))</f>
        <v>OK</v>
      </c>
      <c r="U128" s="60" t="n">
        <f aca="false">IF($D128="","",IFERROR(MATCH($D128,Items!$A$5:$A$504,0),""))</f>
        <v>5</v>
      </c>
      <c r="V128" s="60" t="n">
        <f aca="false">IF($C128="","",IFERROR(MATCH($C128,Parties!$A$5:$A$304,0),""))</f>
        <v>4</v>
      </c>
      <c r="W128" s="60" t="n">
        <f aca="false">IF($B128="","",IFERROR(VALUE(SUBSTITUTE($B128,InvPrefix,"")),0))</f>
        <v>104</v>
      </c>
      <c r="X128" s="61" t="n">
        <f aca="false">IF($D128="","",IF(OR($H128="",$H128="Credit"),0,Q128))</f>
        <v>9588.86</v>
      </c>
    </row>
    <row r="129" customFormat="false" ht="15" hidden="false" customHeight="false" outlineLevel="0" collapsed="false">
      <c r="A129" s="55" t="n">
        <v>46274</v>
      </c>
      <c r="B129" s="56" t="s">
        <v>194</v>
      </c>
      <c r="C129" s="56" t="s">
        <v>102</v>
      </c>
      <c r="D129" s="56" t="s">
        <v>73</v>
      </c>
      <c r="E129" s="57" t="n">
        <v>7</v>
      </c>
      <c r="F129" s="58"/>
      <c r="G129" s="59"/>
      <c r="H129" s="56" t="s">
        <v>103</v>
      </c>
      <c r="I129" s="56" t="s">
        <v>75</v>
      </c>
      <c r="J129" s="60" t="str">
        <f aca="false">IF($D129="","",IFERROR(INDEX(Items!$D$5:$D$504,U129),""))</f>
        <v>Bag</v>
      </c>
      <c r="K129" s="61" t="n">
        <f aca="false">IF($D129="","",IF($F129="",IFERROR(INDEX(Items!$H$5:$H$504,U129),0),$F129))</f>
        <v>2106</v>
      </c>
      <c r="L129" s="61" t="n">
        <f aca="false">IF($D129="","",ROUND(N($E129)*K129*(1-N($G129)),2))</f>
        <v>14742</v>
      </c>
      <c r="M129" s="62" t="n">
        <f aca="false">IF($D129="","",IFERROR(INDEX(Items!$F$5:$F$504,U129),0))</f>
        <v>0.05</v>
      </c>
      <c r="N129" s="61" t="n">
        <f aca="false">IF($D129="","",IF(AND(V129&lt;&gt;"",INDEX(Parties!$E$5:$E$304,V129)&lt;&gt;"",INDEX(Parties!$E$5:$E$304,V129)&lt;&gt;HomeState),0,ROUND(L129*M129/2,2)))</f>
        <v>368.55</v>
      </c>
      <c r="O129" s="61" t="n">
        <f aca="false">IF($D129="","",N129)</f>
        <v>368.55</v>
      </c>
      <c r="P129" s="61" t="n">
        <f aca="false">IF($D129="","",IF(AND(V129&lt;&gt;"",INDEX(Parties!$E$5:$E$304,V129)&lt;&gt;"",INDEX(Parties!$E$5:$E$304,V129)&lt;&gt;HomeState),ROUND(L129*M129,2),0))</f>
        <v>0</v>
      </c>
      <c r="Q129" s="61" t="n">
        <f aca="false">IF($D129="","",L129+N129+O129+P129)</f>
        <v>15479.1</v>
      </c>
      <c r="R129" s="61" t="n">
        <f aca="false">IF($D129="","",ROUND(N($E129)*IFERROR(INDEX(Items!$P$5:$P$504,U129),0),2))</f>
        <v>11532.01</v>
      </c>
      <c r="S129" s="61" t="n">
        <f aca="false">IF($D129="","",L129-R129)</f>
        <v>3209.99</v>
      </c>
      <c r="T129" s="60" t="str">
        <f aca="false">IF($D129="","",IF(U129="","UNKNOWN ITEM",IF(INDEX(Items!$O$5:$O$504,U129)&lt;0,"NEG STOCK",IF(K129&lt;INDEX(Items!$P$5:$P$504,U129),"BELOW COST","OK"))))</f>
        <v>OK</v>
      </c>
      <c r="U129" s="60" t="n">
        <f aca="false">IF($D129="","",IFERROR(MATCH($D129,Items!$A$5:$A$504,0),""))</f>
        <v>1</v>
      </c>
      <c r="V129" s="60" t="n">
        <f aca="false">IF($C129="","",IFERROR(MATCH($C129,Parties!$A$5:$A$304,0),""))</f>
        <v>4</v>
      </c>
      <c r="W129" s="60" t="n">
        <f aca="false">IF($B129="","",IFERROR(VALUE(SUBSTITUTE($B129,InvPrefix,"")),0))</f>
        <v>105</v>
      </c>
      <c r="X129" s="61" t="n">
        <f aca="false">IF($D129="","",IF(OR($H129="",$H129="Credit"),0,Q129))</f>
        <v>15479.1</v>
      </c>
    </row>
    <row r="130" customFormat="false" ht="15" hidden="false" customHeight="false" outlineLevel="0" collapsed="false">
      <c r="A130" s="55" t="n">
        <v>46275</v>
      </c>
      <c r="B130" s="56" t="s">
        <v>195</v>
      </c>
      <c r="C130" s="56" t="s">
        <v>102</v>
      </c>
      <c r="D130" s="56" t="s">
        <v>117</v>
      </c>
      <c r="E130" s="57" t="n">
        <v>6</v>
      </c>
      <c r="F130" s="58"/>
      <c r="G130" s="59" t="n">
        <v>0.05</v>
      </c>
      <c r="H130" s="56" t="s">
        <v>103</v>
      </c>
      <c r="I130" s="56" t="s">
        <v>75</v>
      </c>
      <c r="J130" s="60" t="str">
        <f aca="false">IF($D130="","",IFERROR(INDEX(Items!$D$5:$D$504,U130),""))</f>
        <v>Box</v>
      </c>
      <c r="K130" s="61" t="n">
        <f aca="false">IF($D130="","",IF($F130="",IFERROR(INDEX(Items!$H$5:$H$504,U130),0),$F130))</f>
        <v>1166</v>
      </c>
      <c r="L130" s="61" t="n">
        <f aca="false">IF($D130="","",ROUND(N($E130)*K130*(1-N($G130)),2))</f>
        <v>6646.2</v>
      </c>
      <c r="M130" s="62" t="n">
        <f aca="false">IF($D130="","",IFERROR(INDEX(Items!$F$5:$F$504,U130),0))</f>
        <v>0.05</v>
      </c>
      <c r="N130" s="61" t="n">
        <f aca="false">IF($D130="","",IF(AND(V130&lt;&gt;"",INDEX(Parties!$E$5:$E$304,V130)&lt;&gt;"",INDEX(Parties!$E$5:$E$304,V130)&lt;&gt;HomeState),0,ROUND(L130*M130/2,2)))</f>
        <v>166.16</v>
      </c>
      <c r="O130" s="61" t="n">
        <f aca="false">IF($D130="","",N130)</f>
        <v>166.16</v>
      </c>
      <c r="P130" s="61" t="n">
        <f aca="false">IF($D130="","",IF(AND(V130&lt;&gt;"",INDEX(Parties!$E$5:$E$304,V130)&lt;&gt;"",INDEX(Parties!$E$5:$E$304,V130)&lt;&gt;HomeState),ROUND(L130*M130,2),0))</f>
        <v>0</v>
      </c>
      <c r="Q130" s="61" t="n">
        <f aca="false">IF($D130="","",L130+N130+O130+P130)</f>
        <v>6978.52</v>
      </c>
      <c r="R130" s="61" t="n">
        <f aca="false">IF($D130="","",ROUND(N($E130)*IFERROR(INDEX(Items!$P$5:$P$504,U130),0),2))</f>
        <v>5330.88</v>
      </c>
      <c r="S130" s="61" t="n">
        <f aca="false">IF($D130="","",L130-R130)</f>
        <v>1315.32</v>
      </c>
      <c r="T130" s="60" t="str">
        <f aca="false">IF($D130="","",IF(U130="","UNKNOWN ITEM",IF(INDEX(Items!$O$5:$O$504,U130)&lt;0,"NEG STOCK",IF(K130&lt;INDEX(Items!$P$5:$P$504,U130),"BELOW COST","OK"))))</f>
        <v>OK</v>
      </c>
      <c r="U130" s="60" t="n">
        <f aca="false">IF($D130="","",IFERROR(MATCH($D130,Items!$A$5:$A$504,0),""))</f>
        <v>6</v>
      </c>
      <c r="V130" s="60" t="n">
        <f aca="false">IF($C130="","",IFERROR(MATCH($C130,Parties!$A$5:$A$304,0),""))</f>
        <v>4</v>
      </c>
      <c r="W130" s="60" t="n">
        <f aca="false">IF($B130="","",IFERROR(VALUE(SUBSTITUTE($B130,InvPrefix,"")),0))</f>
        <v>106</v>
      </c>
      <c r="X130" s="61" t="n">
        <f aca="false">IF($D130="","",IF(OR($H130="",$H130="Credit"),0,Q130))</f>
        <v>6978.52</v>
      </c>
    </row>
    <row r="131" customFormat="false" ht="15" hidden="false" customHeight="false" outlineLevel="0" collapsed="false">
      <c r="A131" s="55" t="n">
        <v>46277</v>
      </c>
      <c r="B131" s="56" t="s">
        <v>196</v>
      </c>
      <c r="C131" s="56" t="s">
        <v>77</v>
      </c>
      <c r="D131" s="56" t="s">
        <v>85</v>
      </c>
      <c r="E131" s="57" t="n">
        <v>4</v>
      </c>
      <c r="F131" s="58"/>
      <c r="G131" s="59"/>
      <c r="H131" s="56" t="s">
        <v>90</v>
      </c>
      <c r="I131" s="56" t="s">
        <v>75</v>
      </c>
      <c r="J131" s="60" t="str">
        <f aca="false">IF($D131="","",IFERROR(INDEX(Items!$D$5:$D$504,U131),""))</f>
        <v>Pcs</v>
      </c>
      <c r="K131" s="61" t="n">
        <f aca="false">IF($D131="","",IF($F131="",IFERROR(INDEX(Items!$H$5:$H$504,U131),0),$F131))</f>
        <v>2322</v>
      </c>
      <c r="L131" s="61" t="n">
        <f aca="false">IF($D131="","",ROUND(N($E131)*K131*(1-N($G131)),2))</f>
        <v>9288</v>
      </c>
      <c r="M131" s="62" t="n">
        <f aca="false">IF($D131="","",IFERROR(INDEX(Items!$F$5:$F$504,U131),0))</f>
        <v>0.18</v>
      </c>
      <c r="N131" s="61" t="n">
        <f aca="false">IF($D131="","",IF(AND(V131&lt;&gt;"",INDEX(Parties!$E$5:$E$304,V131)&lt;&gt;"",INDEX(Parties!$E$5:$E$304,V131)&lt;&gt;HomeState),0,ROUND(L131*M131/2,2)))</f>
        <v>835.92</v>
      </c>
      <c r="O131" s="61" t="n">
        <f aca="false">IF($D131="","",N131)</f>
        <v>835.92</v>
      </c>
      <c r="P131" s="61" t="n">
        <f aca="false">IF($D131="","",IF(AND(V131&lt;&gt;"",INDEX(Parties!$E$5:$E$304,V131)&lt;&gt;"",INDEX(Parties!$E$5:$E$304,V131)&lt;&gt;HomeState),ROUND(L131*M131,2),0))</f>
        <v>0</v>
      </c>
      <c r="Q131" s="61" t="n">
        <f aca="false">IF($D131="","",L131+N131+O131+P131)</f>
        <v>10959.84</v>
      </c>
      <c r="R131" s="61" t="n">
        <f aca="false">IF($D131="","",ROUND(N($E131)*IFERROR(INDEX(Items!$P$5:$P$504,U131),0),2))</f>
        <v>6575.2</v>
      </c>
      <c r="S131" s="61" t="n">
        <f aca="false">IF($D131="","",L131-R131)</f>
        <v>2712.8</v>
      </c>
      <c r="T131" s="60" t="str">
        <f aca="false">IF($D131="","",IF(U131="","UNKNOWN ITEM",IF(INDEX(Items!$O$5:$O$504,U131)&lt;0,"NEG STOCK",IF(K131&lt;INDEX(Items!$P$5:$P$504,U131),"BELOW COST","OK"))))</f>
        <v>OK</v>
      </c>
      <c r="U131" s="60" t="n">
        <f aca="false">IF($D131="","",IFERROR(MATCH($D131,Items!$A$5:$A$504,0),""))</f>
        <v>12</v>
      </c>
      <c r="V131" s="60" t="n">
        <f aca="false">IF($C131="","",IFERROR(MATCH($C131,Parties!$A$5:$A$304,0),""))</f>
        <v>2</v>
      </c>
      <c r="W131" s="60" t="n">
        <f aca="false">IF($B131="","",IFERROR(VALUE(SUBSTITUTE($B131,InvPrefix,"")),0))</f>
        <v>107</v>
      </c>
      <c r="X131" s="61" t="n">
        <f aca="false">IF($D131="","",IF(OR($H131="",$H131="Credit"),0,Q131))</f>
        <v>10959.84</v>
      </c>
    </row>
    <row r="132" customFormat="false" ht="15" hidden="false" customHeight="false" outlineLevel="0" collapsed="false">
      <c r="A132" s="55" t="n">
        <v>46279</v>
      </c>
      <c r="B132" s="56" t="s">
        <v>197</v>
      </c>
      <c r="C132" s="56" t="s">
        <v>81</v>
      </c>
      <c r="D132" s="56" t="s">
        <v>82</v>
      </c>
      <c r="E132" s="57" t="n">
        <v>42</v>
      </c>
      <c r="F132" s="58"/>
      <c r="G132" s="59"/>
      <c r="H132" s="56" t="s">
        <v>90</v>
      </c>
      <c r="I132" s="56" t="s">
        <v>75</v>
      </c>
      <c r="J132" s="60" t="str">
        <f aca="false">IF($D132="","",IFERROR(INDEX(Items!$D$5:$D$504,U132),""))</f>
        <v>Bag</v>
      </c>
      <c r="K132" s="61" t="n">
        <f aca="false">IF($D132="","",IF($F132="",IFERROR(INDEX(Items!$H$5:$H$504,U132),0),$F132))</f>
        <v>427</v>
      </c>
      <c r="L132" s="61" t="n">
        <f aca="false">IF($D132="","",ROUND(N($E132)*K132*(1-N($G132)),2))</f>
        <v>17934</v>
      </c>
      <c r="M132" s="62" t="n">
        <f aca="false">IF($D132="","",IFERROR(INDEX(Items!$F$5:$F$504,U132),0))</f>
        <v>0.18</v>
      </c>
      <c r="N132" s="61" t="n">
        <f aca="false">IF($D132="","",IF(AND(V132&lt;&gt;"",INDEX(Parties!$E$5:$E$304,V132)&lt;&gt;"",INDEX(Parties!$E$5:$E$304,V132)&lt;&gt;HomeState),0,ROUND(L132*M132/2,2)))</f>
        <v>0</v>
      </c>
      <c r="O132" s="61" t="n">
        <f aca="false">IF($D132="","",N132)</f>
        <v>0</v>
      </c>
      <c r="P132" s="61" t="n">
        <f aca="false">IF($D132="","",IF(AND(V132&lt;&gt;"",INDEX(Parties!$E$5:$E$304,V132)&lt;&gt;"",INDEX(Parties!$E$5:$E$304,V132)&lt;&gt;HomeState),ROUND(L132*M132,2),0))</f>
        <v>3228.12</v>
      </c>
      <c r="Q132" s="61" t="n">
        <f aca="false">IF($D132="","",L132+N132+O132+P132)</f>
        <v>21162.12</v>
      </c>
      <c r="R132" s="61" t="n">
        <f aca="false">IF($D132="","",ROUND(N($E132)*IFERROR(INDEX(Items!$P$5:$P$504,U132),0),2))</f>
        <v>14287.32</v>
      </c>
      <c r="S132" s="61" t="n">
        <f aca="false">IF($D132="","",L132-R132)</f>
        <v>3646.68</v>
      </c>
      <c r="T132" s="60" t="str">
        <f aca="false">IF($D132="","",IF(U132="","UNKNOWN ITEM",IF(INDEX(Items!$O$5:$O$504,U132)&lt;0,"NEG STOCK",IF(K132&lt;INDEX(Items!$P$5:$P$504,U132),"BELOW COST","OK"))))</f>
        <v>OK</v>
      </c>
      <c r="U132" s="60" t="n">
        <f aca="false">IF($D132="","",IFERROR(MATCH($D132,Items!$A$5:$A$504,0),""))</f>
        <v>10</v>
      </c>
      <c r="V132" s="60" t="n">
        <f aca="false">IF($C132="","",IFERROR(MATCH($C132,Parties!$A$5:$A$304,0),""))</f>
        <v>3</v>
      </c>
      <c r="W132" s="60" t="n">
        <f aca="false">IF($B132="","",IFERROR(VALUE(SUBSTITUTE($B132,InvPrefix,"")),0))</f>
        <v>108</v>
      </c>
      <c r="X132" s="61" t="n">
        <f aca="false">IF($D132="","",IF(OR($H132="",$H132="Credit"),0,Q132))</f>
        <v>21162.12</v>
      </c>
    </row>
    <row r="133" customFormat="false" ht="15" hidden="false" customHeight="false" outlineLevel="0" collapsed="false">
      <c r="A133" s="55" t="n">
        <v>46281</v>
      </c>
      <c r="B133" s="56" t="s">
        <v>198</v>
      </c>
      <c r="C133" s="56" t="s">
        <v>88</v>
      </c>
      <c r="D133" s="56" t="s">
        <v>94</v>
      </c>
      <c r="E133" s="57" t="n">
        <v>7</v>
      </c>
      <c r="F133" s="58"/>
      <c r="G133" s="59"/>
      <c r="H133" s="56"/>
      <c r="I133" s="56" t="s">
        <v>75</v>
      </c>
      <c r="J133" s="60" t="str">
        <f aca="false">IF($D133="","",IFERROR(INDEX(Items!$D$5:$D$504,U133),""))</f>
        <v>Pack</v>
      </c>
      <c r="K133" s="61" t="n">
        <f aca="false">IF($D133="","",IF($F133="",IFERROR(INDEX(Items!$H$5:$H$504,U133),0),$F133))</f>
        <v>691</v>
      </c>
      <c r="L133" s="61" t="n">
        <f aca="false">IF($D133="","",ROUND(N($E133)*K133*(1-N($G133)),2))</f>
        <v>4837</v>
      </c>
      <c r="M133" s="62" t="n">
        <f aca="false">IF($D133="","",IFERROR(INDEX(Items!$F$5:$F$504,U133),0))</f>
        <v>0.18</v>
      </c>
      <c r="N133" s="61" t="n">
        <f aca="false">IF($D133="","",IF(AND(V133&lt;&gt;"",INDEX(Parties!$E$5:$E$304,V133)&lt;&gt;"",INDEX(Parties!$E$5:$E$304,V133)&lt;&gt;HomeState),0,ROUND(L133*M133/2,2)))</f>
        <v>435.33</v>
      </c>
      <c r="O133" s="61" t="n">
        <f aca="false">IF($D133="","",N133)</f>
        <v>435.33</v>
      </c>
      <c r="P133" s="61" t="n">
        <f aca="false">IF($D133="","",IF(AND(V133&lt;&gt;"",INDEX(Parties!$E$5:$E$304,V133)&lt;&gt;"",INDEX(Parties!$E$5:$E$304,V133)&lt;&gt;HomeState),ROUND(L133*M133,2),0))</f>
        <v>0</v>
      </c>
      <c r="Q133" s="61" t="n">
        <f aca="false">IF($D133="","",L133+N133+O133+P133)</f>
        <v>5707.66</v>
      </c>
      <c r="R133" s="61" t="n">
        <f aca="false">IF($D133="","",ROUND(N($E133)*IFERROR(INDEX(Items!$P$5:$P$504,U133),0),2))</f>
        <v>3623.85</v>
      </c>
      <c r="S133" s="61" t="n">
        <f aca="false">IF($D133="","",L133-R133)</f>
        <v>1213.15</v>
      </c>
      <c r="T133" s="60" t="str">
        <f aca="false">IF($D133="","",IF(U133="","UNKNOWN ITEM",IF(INDEX(Items!$O$5:$O$504,U133)&lt;0,"NEG STOCK",IF(K133&lt;INDEX(Items!$P$5:$P$504,U133),"BELOW COST","OK"))))</f>
        <v>OK</v>
      </c>
      <c r="U133" s="60" t="n">
        <f aca="false">IF($D133="","",IFERROR(MATCH($D133,Items!$A$5:$A$504,0),""))</f>
        <v>5</v>
      </c>
      <c r="V133" s="60" t="n">
        <f aca="false">IF($C133="","",IFERROR(MATCH($C133,Parties!$A$5:$A$304,0),""))</f>
        <v>5</v>
      </c>
      <c r="W133" s="60" t="n">
        <f aca="false">IF($B133="","",IFERROR(VALUE(SUBSTITUTE($B133,InvPrefix,"")),0))</f>
        <v>109</v>
      </c>
      <c r="X133" s="61" t="n">
        <f aca="false">IF($D133="","",IF(OR($H133="",$H133="Credit"),0,Q133))</f>
        <v>0</v>
      </c>
    </row>
    <row r="134" customFormat="false" ht="15" hidden="false" customHeight="false" outlineLevel="0" collapsed="false">
      <c r="A134" s="55" t="n">
        <v>46281</v>
      </c>
      <c r="B134" s="56" t="s">
        <v>198</v>
      </c>
      <c r="C134" s="56" t="s">
        <v>88</v>
      </c>
      <c r="D134" s="56" t="s">
        <v>117</v>
      </c>
      <c r="E134" s="57" t="n">
        <v>4</v>
      </c>
      <c r="F134" s="58"/>
      <c r="G134" s="59"/>
      <c r="H134" s="56"/>
      <c r="I134" s="56" t="s">
        <v>75</v>
      </c>
      <c r="J134" s="60" t="str">
        <f aca="false">IF($D134="","",IFERROR(INDEX(Items!$D$5:$D$504,U134),""))</f>
        <v>Box</v>
      </c>
      <c r="K134" s="61" t="n">
        <f aca="false">IF($D134="","",IF($F134="",IFERROR(INDEX(Items!$H$5:$H$504,U134),0),$F134))</f>
        <v>1166</v>
      </c>
      <c r="L134" s="61" t="n">
        <f aca="false">IF($D134="","",ROUND(N($E134)*K134*(1-N($G134)),2))</f>
        <v>4664</v>
      </c>
      <c r="M134" s="62" t="n">
        <f aca="false">IF($D134="","",IFERROR(INDEX(Items!$F$5:$F$504,U134),0))</f>
        <v>0.05</v>
      </c>
      <c r="N134" s="61" t="n">
        <f aca="false">IF($D134="","",IF(AND(V134&lt;&gt;"",INDEX(Parties!$E$5:$E$304,V134)&lt;&gt;"",INDEX(Parties!$E$5:$E$304,V134)&lt;&gt;HomeState),0,ROUND(L134*M134/2,2)))</f>
        <v>116.6</v>
      </c>
      <c r="O134" s="61" t="n">
        <f aca="false">IF($D134="","",N134)</f>
        <v>116.6</v>
      </c>
      <c r="P134" s="61" t="n">
        <f aca="false">IF($D134="","",IF(AND(V134&lt;&gt;"",INDEX(Parties!$E$5:$E$304,V134)&lt;&gt;"",INDEX(Parties!$E$5:$E$304,V134)&lt;&gt;HomeState),ROUND(L134*M134,2),0))</f>
        <v>0</v>
      </c>
      <c r="Q134" s="61" t="n">
        <f aca="false">IF($D134="","",L134+N134+O134+P134)</f>
        <v>4897.2</v>
      </c>
      <c r="R134" s="61" t="n">
        <f aca="false">IF($D134="","",ROUND(N($E134)*IFERROR(INDEX(Items!$P$5:$P$504,U134),0),2))</f>
        <v>3553.92</v>
      </c>
      <c r="S134" s="61" t="n">
        <f aca="false">IF($D134="","",L134-R134)</f>
        <v>1110.08</v>
      </c>
      <c r="T134" s="60" t="str">
        <f aca="false">IF($D134="","",IF(U134="","UNKNOWN ITEM",IF(INDEX(Items!$O$5:$O$504,U134)&lt;0,"NEG STOCK",IF(K134&lt;INDEX(Items!$P$5:$P$504,U134),"BELOW COST","OK"))))</f>
        <v>OK</v>
      </c>
      <c r="U134" s="60" t="n">
        <f aca="false">IF($D134="","",IFERROR(MATCH($D134,Items!$A$5:$A$504,0),""))</f>
        <v>6</v>
      </c>
      <c r="V134" s="60" t="n">
        <f aca="false">IF($C134="","",IFERROR(MATCH($C134,Parties!$A$5:$A$304,0),""))</f>
        <v>5</v>
      </c>
      <c r="W134" s="60" t="n">
        <f aca="false">IF($B134="","",IFERROR(VALUE(SUBSTITUTE($B134,InvPrefix,"")),0))</f>
        <v>109</v>
      </c>
      <c r="X134" s="61" t="n">
        <f aca="false">IF($D134="","",IF(OR($H134="",$H134="Credit"),0,Q134))</f>
        <v>0</v>
      </c>
    </row>
    <row r="135" customFormat="false" ht="15" hidden="false" customHeight="false" outlineLevel="0" collapsed="false">
      <c r="A135" s="55" t="n">
        <v>46282</v>
      </c>
      <c r="B135" s="56" t="s">
        <v>199</v>
      </c>
      <c r="C135" s="56" t="s">
        <v>102</v>
      </c>
      <c r="D135" s="56" t="s">
        <v>96</v>
      </c>
      <c r="E135" s="57" t="n">
        <v>5</v>
      </c>
      <c r="F135" s="58"/>
      <c r="G135" s="59" t="n">
        <v>0.05</v>
      </c>
      <c r="H135" s="56" t="s">
        <v>103</v>
      </c>
      <c r="I135" s="56" t="s">
        <v>75</v>
      </c>
      <c r="J135" s="60" t="str">
        <f aca="false">IF($D135="","",IFERROR(INDEX(Items!$D$5:$D$504,U135),""))</f>
        <v>Box</v>
      </c>
      <c r="K135" s="61" t="n">
        <f aca="false">IF($D135="","",IF($F135="",IFERROR(INDEX(Items!$H$5:$H$504,U135),0),$F135))</f>
        <v>2290</v>
      </c>
      <c r="L135" s="61" t="n">
        <f aca="false">IF($D135="","",ROUND(N($E135)*K135*(1-N($G135)),2))</f>
        <v>10877.5</v>
      </c>
      <c r="M135" s="62" t="n">
        <f aca="false">IF($D135="","",IFERROR(INDEX(Items!$F$5:$F$504,U135),0))</f>
        <v>0.05</v>
      </c>
      <c r="N135" s="61" t="n">
        <f aca="false">IF($D135="","",IF(AND(V135&lt;&gt;"",INDEX(Parties!$E$5:$E$304,V135)&lt;&gt;"",INDEX(Parties!$E$5:$E$304,V135)&lt;&gt;HomeState),0,ROUND(L135*M135/2,2)))</f>
        <v>271.94</v>
      </c>
      <c r="O135" s="61" t="n">
        <f aca="false">IF($D135="","",N135)</f>
        <v>271.94</v>
      </c>
      <c r="P135" s="61" t="n">
        <f aca="false">IF($D135="","",IF(AND(V135&lt;&gt;"",INDEX(Parties!$E$5:$E$304,V135)&lt;&gt;"",INDEX(Parties!$E$5:$E$304,V135)&lt;&gt;HomeState),ROUND(L135*M135,2),0))</f>
        <v>0</v>
      </c>
      <c r="Q135" s="61" t="n">
        <f aca="false">IF($D135="","",L135+N135+O135+P135)</f>
        <v>11421.38</v>
      </c>
      <c r="R135" s="61" t="n">
        <f aca="false">IF($D135="","",ROUND(N($E135)*IFERROR(INDEX(Items!$P$5:$P$504,U135),0),2))</f>
        <v>9521.81</v>
      </c>
      <c r="S135" s="61" t="n">
        <f aca="false">IF($D135="","",L135-R135)</f>
        <v>1355.69</v>
      </c>
      <c r="T135" s="60" t="str">
        <f aca="false">IF($D135="","",IF(U135="","UNKNOWN ITEM",IF(INDEX(Items!$O$5:$O$504,U135)&lt;0,"NEG STOCK",IF(K135&lt;INDEX(Items!$P$5:$P$504,U135),"BELOW COST","OK"))))</f>
        <v>OK</v>
      </c>
      <c r="U135" s="60" t="n">
        <f aca="false">IF($D135="","",IFERROR(MATCH($D135,Items!$A$5:$A$504,0),""))</f>
        <v>3</v>
      </c>
      <c r="V135" s="60" t="n">
        <f aca="false">IF($C135="","",IFERROR(MATCH($C135,Parties!$A$5:$A$304,0),""))</f>
        <v>4</v>
      </c>
      <c r="W135" s="60" t="n">
        <f aca="false">IF($B135="","",IFERROR(VALUE(SUBSTITUTE($B135,InvPrefix,"")),0))</f>
        <v>110</v>
      </c>
      <c r="X135" s="61" t="n">
        <f aca="false">IF($D135="","",IF(OR($H135="",$H135="Credit"),0,Q135))</f>
        <v>11421.38</v>
      </c>
    </row>
    <row r="136" customFormat="false" ht="15" hidden="false" customHeight="false" outlineLevel="0" collapsed="false">
      <c r="A136" s="55" t="n">
        <v>46283</v>
      </c>
      <c r="B136" s="56" t="s">
        <v>200</v>
      </c>
      <c r="C136" s="56" t="s">
        <v>84</v>
      </c>
      <c r="D136" s="56" t="s">
        <v>94</v>
      </c>
      <c r="E136" s="57" t="n">
        <v>13</v>
      </c>
      <c r="F136" s="58"/>
      <c r="G136" s="59" t="n">
        <v>0.05</v>
      </c>
      <c r="H136" s="56"/>
      <c r="I136" s="56" t="s">
        <v>75</v>
      </c>
      <c r="J136" s="60" t="str">
        <f aca="false">IF($D136="","",IFERROR(INDEX(Items!$D$5:$D$504,U136),""))</f>
        <v>Pack</v>
      </c>
      <c r="K136" s="61" t="n">
        <f aca="false">IF($D136="","",IF($F136="",IFERROR(INDEX(Items!$H$5:$H$504,U136),0),$F136))</f>
        <v>691</v>
      </c>
      <c r="L136" s="61" t="n">
        <f aca="false">IF($D136="","",ROUND(N($E136)*K136*(1-N($G136)),2))</f>
        <v>8533.85</v>
      </c>
      <c r="M136" s="62" t="n">
        <f aca="false">IF($D136="","",IFERROR(INDEX(Items!$F$5:$F$504,U136),0))</f>
        <v>0.18</v>
      </c>
      <c r="N136" s="61" t="n">
        <f aca="false">IF($D136="","",IF(AND(V136&lt;&gt;"",INDEX(Parties!$E$5:$E$304,V136)&lt;&gt;"",INDEX(Parties!$E$5:$E$304,V136)&lt;&gt;HomeState),0,ROUND(L136*M136/2,2)))</f>
        <v>768.05</v>
      </c>
      <c r="O136" s="61" t="n">
        <f aca="false">IF($D136="","",N136)</f>
        <v>768.05</v>
      </c>
      <c r="P136" s="61" t="n">
        <f aca="false">IF($D136="","",IF(AND(V136&lt;&gt;"",INDEX(Parties!$E$5:$E$304,V136)&lt;&gt;"",INDEX(Parties!$E$5:$E$304,V136)&lt;&gt;HomeState),ROUND(L136*M136,2),0))</f>
        <v>0</v>
      </c>
      <c r="Q136" s="61" t="n">
        <f aca="false">IF($D136="","",L136+N136+O136+P136)</f>
        <v>10069.95</v>
      </c>
      <c r="R136" s="61" t="n">
        <f aca="false">IF($D136="","",ROUND(N($E136)*IFERROR(INDEX(Items!$P$5:$P$504,U136),0),2))</f>
        <v>6730</v>
      </c>
      <c r="S136" s="61" t="n">
        <f aca="false">IF($D136="","",L136-R136)</f>
        <v>1803.85</v>
      </c>
      <c r="T136" s="60" t="str">
        <f aca="false">IF($D136="","",IF(U136="","UNKNOWN ITEM",IF(INDEX(Items!$O$5:$O$504,U136)&lt;0,"NEG STOCK",IF(K136&lt;INDEX(Items!$P$5:$P$504,U136),"BELOW COST","OK"))))</f>
        <v>OK</v>
      </c>
      <c r="U136" s="60" t="n">
        <f aca="false">IF($D136="","",IFERROR(MATCH($D136,Items!$A$5:$A$504,0),""))</f>
        <v>5</v>
      </c>
      <c r="V136" s="60" t="n">
        <f aca="false">IF($C136="","",IFERROR(MATCH($C136,Parties!$A$5:$A$304,0),""))</f>
        <v>9</v>
      </c>
      <c r="W136" s="60" t="n">
        <f aca="false">IF($B136="","",IFERROR(VALUE(SUBSTITUTE($B136,InvPrefix,"")),0))</f>
        <v>111</v>
      </c>
      <c r="X136" s="61" t="n">
        <f aca="false">IF($D136="","",IF(OR($H136="",$H136="Credit"),0,Q136))</f>
        <v>0</v>
      </c>
    </row>
    <row r="137" customFormat="false" ht="15" hidden="false" customHeight="false" outlineLevel="0" collapsed="false">
      <c r="A137" s="55" t="n">
        <v>46284</v>
      </c>
      <c r="B137" s="56" t="s">
        <v>201</v>
      </c>
      <c r="C137" s="56" t="s">
        <v>77</v>
      </c>
      <c r="D137" s="56" t="s">
        <v>86</v>
      </c>
      <c r="E137" s="57" t="n">
        <v>2</v>
      </c>
      <c r="F137" s="58"/>
      <c r="G137" s="59"/>
      <c r="H137" s="56" t="s">
        <v>90</v>
      </c>
      <c r="I137" s="56" t="s">
        <v>75</v>
      </c>
      <c r="J137" s="60" t="str">
        <f aca="false">IF($D137="","",IFERROR(INDEX(Items!$D$5:$D$504,U137),""))</f>
        <v>Bag</v>
      </c>
      <c r="K137" s="61" t="n">
        <f aca="false">IF($D137="","",IF($F137="",IFERROR(INDEX(Items!$H$5:$H$504,U137),0),$F137))</f>
        <v>2462</v>
      </c>
      <c r="L137" s="61" t="n">
        <f aca="false">IF($D137="","",ROUND(N($E137)*K137*(1-N($G137)),2))</f>
        <v>4924</v>
      </c>
      <c r="M137" s="62" t="n">
        <f aca="false">IF($D137="","",IFERROR(INDEX(Items!$F$5:$F$504,U137),0))</f>
        <v>0.05</v>
      </c>
      <c r="N137" s="61" t="n">
        <f aca="false">IF($D137="","",IF(AND(V137&lt;&gt;"",INDEX(Parties!$E$5:$E$304,V137)&lt;&gt;"",INDEX(Parties!$E$5:$E$304,V137)&lt;&gt;HomeState),0,ROUND(L137*M137/2,2)))</f>
        <v>123.1</v>
      </c>
      <c r="O137" s="61" t="n">
        <f aca="false">IF($D137="","",N137)</f>
        <v>123.1</v>
      </c>
      <c r="P137" s="61" t="n">
        <f aca="false">IF($D137="","",IF(AND(V137&lt;&gt;"",INDEX(Parties!$E$5:$E$304,V137)&lt;&gt;"",INDEX(Parties!$E$5:$E$304,V137)&lt;&gt;HomeState),ROUND(L137*M137,2),0))</f>
        <v>0</v>
      </c>
      <c r="Q137" s="61" t="n">
        <f aca="false">IF($D137="","",L137+N137+O137+P137)</f>
        <v>5170.2</v>
      </c>
      <c r="R137" s="61" t="n">
        <f aca="false">IF($D137="","",ROUND(N($E137)*IFERROR(INDEX(Items!$P$5:$P$504,U137),0),2))</f>
        <v>4075.46</v>
      </c>
      <c r="S137" s="61" t="n">
        <f aca="false">IF($D137="","",L137-R137)</f>
        <v>848.54</v>
      </c>
      <c r="T137" s="60" t="str">
        <f aca="false">IF($D137="","",IF(U137="","UNKNOWN ITEM",IF(INDEX(Items!$O$5:$O$504,U137)&lt;0,"NEG STOCK",IF(K137&lt;INDEX(Items!$P$5:$P$504,U137),"BELOW COST","OK"))))</f>
        <v>OK</v>
      </c>
      <c r="U137" s="60" t="n">
        <f aca="false">IF($D137="","",IFERROR(MATCH($D137,Items!$A$5:$A$504,0),""))</f>
        <v>2</v>
      </c>
      <c r="V137" s="60" t="n">
        <f aca="false">IF($C137="","",IFERROR(MATCH($C137,Parties!$A$5:$A$304,0),""))</f>
        <v>2</v>
      </c>
      <c r="W137" s="60" t="n">
        <f aca="false">IF($B137="","",IFERROR(VALUE(SUBSTITUTE($B137,InvPrefix,"")),0))</f>
        <v>112</v>
      </c>
      <c r="X137" s="61" t="n">
        <f aca="false">IF($D137="","",IF(OR($H137="",$H137="Credit"),0,Q137))</f>
        <v>5170.2</v>
      </c>
    </row>
    <row r="138" customFormat="false" ht="15" hidden="false" customHeight="false" outlineLevel="0" collapsed="false">
      <c r="A138" s="55" t="n">
        <v>46286</v>
      </c>
      <c r="B138" s="56" t="s">
        <v>202</v>
      </c>
      <c r="C138" s="56" t="s">
        <v>84</v>
      </c>
      <c r="D138" s="56" t="s">
        <v>98</v>
      </c>
      <c r="E138" s="57" t="n">
        <v>8</v>
      </c>
      <c r="F138" s="58"/>
      <c r="G138" s="59"/>
      <c r="H138" s="56"/>
      <c r="I138" s="56" t="s">
        <v>75</v>
      </c>
      <c r="J138" s="60" t="str">
        <f aca="false">IF($D138="","",IFERROR(INDEX(Items!$D$5:$D$504,U138),""))</f>
        <v>Pack</v>
      </c>
      <c r="K138" s="61" t="n">
        <f aca="false">IF($D138="","",IF($F138="",IFERROR(INDEX(Items!$H$5:$H$504,U138),0),$F138))</f>
        <v>508</v>
      </c>
      <c r="L138" s="61" t="n">
        <f aca="false">IF($D138="","",ROUND(N($E138)*K138*(1-N($G138)),2))</f>
        <v>4064</v>
      </c>
      <c r="M138" s="62" t="n">
        <f aca="false">IF($D138="","",IFERROR(INDEX(Items!$F$5:$F$504,U138),0))</f>
        <v>0.05</v>
      </c>
      <c r="N138" s="61" t="n">
        <f aca="false">IF($D138="","",IF(AND(V138&lt;&gt;"",INDEX(Parties!$E$5:$E$304,V138)&lt;&gt;"",INDEX(Parties!$E$5:$E$304,V138)&lt;&gt;HomeState),0,ROUND(L138*M138/2,2)))</f>
        <v>101.6</v>
      </c>
      <c r="O138" s="61" t="n">
        <f aca="false">IF($D138="","",N138)</f>
        <v>101.6</v>
      </c>
      <c r="P138" s="61" t="n">
        <f aca="false">IF($D138="","",IF(AND(V138&lt;&gt;"",INDEX(Parties!$E$5:$E$304,V138)&lt;&gt;"",INDEX(Parties!$E$5:$E$304,V138)&lt;&gt;HomeState),ROUND(L138*M138,2),0))</f>
        <v>0</v>
      </c>
      <c r="Q138" s="61" t="n">
        <f aca="false">IF($D138="","",L138+N138+O138+P138)</f>
        <v>4267.2</v>
      </c>
      <c r="R138" s="61" t="n">
        <f aca="false">IF($D138="","",ROUND(N($E138)*IFERROR(INDEX(Items!$P$5:$P$504,U138),0),2))</f>
        <v>3016.63</v>
      </c>
      <c r="S138" s="61" t="n">
        <f aca="false">IF($D138="","",L138-R138)</f>
        <v>1047.37</v>
      </c>
      <c r="T138" s="60" t="str">
        <f aca="false">IF($D138="","",IF(U138="","UNKNOWN ITEM",IF(INDEX(Items!$O$5:$O$504,U138)&lt;0,"NEG STOCK",IF(K138&lt;INDEX(Items!$P$5:$P$504,U138),"BELOW COST","OK"))))</f>
        <v>OK</v>
      </c>
      <c r="U138" s="60" t="n">
        <f aca="false">IF($D138="","",IFERROR(MATCH($D138,Items!$A$5:$A$504,0),""))</f>
        <v>4</v>
      </c>
      <c r="V138" s="60" t="n">
        <f aca="false">IF($C138="","",IFERROR(MATCH($C138,Parties!$A$5:$A$304,0),""))</f>
        <v>9</v>
      </c>
      <c r="W138" s="60" t="n">
        <f aca="false">IF($B138="","",IFERROR(VALUE(SUBSTITUTE($B138,InvPrefix,"")),0))</f>
        <v>113</v>
      </c>
      <c r="X138" s="61" t="n">
        <f aca="false">IF($D138="","",IF(OR($H138="",$H138="Credit"),0,Q138))</f>
        <v>0</v>
      </c>
    </row>
    <row r="139" customFormat="false" ht="15" hidden="false" customHeight="false" outlineLevel="0" collapsed="false">
      <c r="A139" s="55" t="n">
        <v>46287</v>
      </c>
      <c r="B139" s="56" t="s">
        <v>203</v>
      </c>
      <c r="C139" s="56" t="s">
        <v>77</v>
      </c>
      <c r="D139" s="56" t="s">
        <v>96</v>
      </c>
      <c r="E139" s="57" t="n">
        <v>6</v>
      </c>
      <c r="F139" s="58"/>
      <c r="G139" s="59"/>
      <c r="H139" s="56"/>
      <c r="I139" s="56" t="s">
        <v>75</v>
      </c>
      <c r="J139" s="60" t="str">
        <f aca="false">IF($D139="","",IFERROR(INDEX(Items!$D$5:$D$504,U139),""))</f>
        <v>Box</v>
      </c>
      <c r="K139" s="61" t="n">
        <f aca="false">IF($D139="","",IF($F139="",IFERROR(INDEX(Items!$H$5:$H$504,U139),0),$F139))</f>
        <v>2290</v>
      </c>
      <c r="L139" s="61" t="n">
        <f aca="false">IF($D139="","",ROUND(N($E139)*K139*(1-N($G139)),2))</f>
        <v>13740</v>
      </c>
      <c r="M139" s="62" t="n">
        <f aca="false">IF($D139="","",IFERROR(INDEX(Items!$F$5:$F$504,U139),0))</f>
        <v>0.05</v>
      </c>
      <c r="N139" s="61" t="n">
        <f aca="false">IF($D139="","",IF(AND(V139&lt;&gt;"",INDEX(Parties!$E$5:$E$304,V139)&lt;&gt;"",INDEX(Parties!$E$5:$E$304,V139)&lt;&gt;HomeState),0,ROUND(L139*M139/2,2)))</f>
        <v>343.5</v>
      </c>
      <c r="O139" s="61" t="n">
        <f aca="false">IF($D139="","",N139)</f>
        <v>343.5</v>
      </c>
      <c r="P139" s="61" t="n">
        <f aca="false">IF($D139="","",IF(AND(V139&lt;&gt;"",INDEX(Parties!$E$5:$E$304,V139)&lt;&gt;"",INDEX(Parties!$E$5:$E$304,V139)&lt;&gt;HomeState),ROUND(L139*M139,2),0))</f>
        <v>0</v>
      </c>
      <c r="Q139" s="61" t="n">
        <f aca="false">IF($D139="","",L139+N139+O139+P139)</f>
        <v>14427</v>
      </c>
      <c r="R139" s="61" t="n">
        <f aca="false">IF($D139="","",ROUND(N($E139)*IFERROR(INDEX(Items!$P$5:$P$504,U139),0),2))</f>
        <v>11426.18</v>
      </c>
      <c r="S139" s="61" t="n">
        <f aca="false">IF($D139="","",L139-R139)</f>
        <v>2313.82</v>
      </c>
      <c r="T139" s="60" t="str">
        <f aca="false">IF($D139="","",IF(U139="","UNKNOWN ITEM",IF(INDEX(Items!$O$5:$O$504,U139)&lt;0,"NEG STOCK",IF(K139&lt;INDEX(Items!$P$5:$P$504,U139),"BELOW COST","OK"))))</f>
        <v>OK</v>
      </c>
      <c r="U139" s="60" t="n">
        <f aca="false">IF($D139="","",IFERROR(MATCH($D139,Items!$A$5:$A$504,0),""))</f>
        <v>3</v>
      </c>
      <c r="V139" s="60" t="n">
        <f aca="false">IF($C139="","",IFERROR(MATCH($C139,Parties!$A$5:$A$304,0),""))</f>
        <v>2</v>
      </c>
      <c r="W139" s="60" t="n">
        <f aca="false">IF($B139="","",IFERROR(VALUE(SUBSTITUTE($B139,InvPrefix,"")),0))</f>
        <v>114</v>
      </c>
      <c r="X139" s="61" t="n">
        <f aca="false">IF($D139="","",IF(OR($H139="",$H139="Credit"),0,Q139))</f>
        <v>0</v>
      </c>
    </row>
    <row r="140" customFormat="false" ht="15" hidden="false" customHeight="false" outlineLevel="0" collapsed="false">
      <c r="A140" s="55" t="n">
        <v>46287</v>
      </c>
      <c r="B140" s="56" t="s">
        <v>203</v>
      </c>
      <c r="C140" s="56" t="s">
        <v>77</v>
      </c>
      <c r="D140" s="56" t="s">
        <v>92</v>
      </c>
      <c r="E140" s="57" t="n">
        <v>2</v>
      </c>
      <c r="F140" s="58"/>
      <c r="G140" s="59" t="n">
        <v>0.05</v>
      </c>
      <c r="H140" s="56"/>
      <c r="I140" s="56" t="s">
        <v>75</v>
      </c>
      <c r="J140" s="60" t="str">
        <f aca="false">IF($D140="","",IFERROR(INDEX(Items!$D$5:$D$504,U140),""))</f>
        <v>Pcs</v>
      </c>
      <c r="K140" s="61" t="n">
        <f aca="false">IF($D140="","",IF($F140="",IFERROR(INDEX(Items!$H$5:$H$504,U140),0),$F140))</f>
        <v>3132</v>
      </c>
      <c r="L140" s="61" t="n">
        <f aca="false">IF($D140="","",ROUND(N($E140)*K140*(1-N($G140)),2))</f>
        <v>5950.8</v>
      </c>
      <c r="M140" s="62" t="n">
        <f aca="false">IF($D140="","",IFERROR(INDEX(Items!$F$5:$F$504,U140),0))</f>
        <v>0.18</v>
      </c>
      <c r="N140" s="61" t="n">
        <f aca="false">IF($D140="","",IF(AND(V140&lt;&gt;"",INDEX(Parties!$E$5:$E$304,V140)&lt;&gt;"",INDEX(Parties!$E$5:$E$304,V140)&lt;&gt;HomeState),0,ROUND(L140*M140/2,2)))</f>
        <v>535.57</v>
      </c>
      <c r="O140" s="61" t="n">
        <f aca="false">IF($D140="","",N140)</f>
        <v>535.57</v>
      </c>
      <c r="P140" s="61" t="n">
        <f aca="false">IF($D140="","",IF(AND(V140&lt;&gt;"",INDEX(Parties!$E$5:$E$304,V140)&lt;&gt;"",INDEX(Parties!$E$5:$E$304,V140)&lt;&gt;HomeState),ROUND(L140*M140,2),0))</f>
        <v>0</v>
      </c>
      <c r="Q140" s="61" t="n">
        <f aca="false">IF($D140="","",L140+N140+O140+P140)</f>
        <v>7021.94</v>
      </c>
      <c r="R140" s="61" t="n">
        <f aca="false">IF($D140="","",ROUND(N($E140)*IFERROR(INDEX(Items!$P$5:$P$504,U140),0),2))</f>
        <v>4902.96</v>
      </c>
      <c r="S140" s="61" t="n">
        <f aca="false">IF($D140="","",L140-R140)</f>
        <v>1047.84</v>
      </c>
      <c r="T140" s="60" t="str">
        <f aca="false">IF($D140="","",IF(U140="","UNKNOWN ITEM",IF(INDEX(Items!$O$5:$O$504,U140)&lt;0,"NEG STOCK",IF(K140&lt;INDEX(Items!$P$5:$P$504,U140),"BELOW COST","OK"))))</f>
        <v>OK</v>
      </c>
      <c r="U140" s="60" t="n">
        <f aca="false">IF($D140="","",IFERROR(MATCH($D140,Items!$A$5:$A$504,0),""))</f>
        <v>8</v>
      </c>
      <c r="V140" s="60" t="n">
        <f aca="false">IF($C140="","",IFERROR(MATCH($C140,Parties!$A$5:$A$304,0),""))</f>
        <v>2</v>
      </c>
      <c r="W140" s="60" t="n">
        <f aca="false">IF($B140="","",IFERROR(VALUE(SUBSTITUTE($B140,InvPrefix,"")),0))</f>
        <v>114</v>
      </c>
      <c r="X140" s="61" t="n">
        <f aca="false">IF($D140="","",IF(OR($H140="",$H140="Credit"),0,Q140))</f>
        <v>0</v>
      </c>
    </row>
    <row r="141" customFormat="false" ht="15" hidden="false" customHeight="false" outlineLevel="0" collapsed="false">
      <c r="A141" s="55" t="n">
        <v>46288</v>
      </c>
      <c r="B141" s="56" t="s">
        <v>204</v>
      </c>
      <c r="C141" s="56" t="s">
        <v>102</v>
      </c>
      <c r="D141" s="56" t="s">
        <v>117</v>
      </c>
      <c r="E141" s="57" t="n">
        <v>5</v>
      </c>
      <c r="F141" s="58"/>
      <c r="G141" s="59"/>
      <c r="H141" s="56" t="s">
        <v>103</v>
      </c>
      <c r="I141" s="56" t="s">
        <v>75</v>
      </c>
      <c r="J141" s="60" t="str">
        <f aca="false">IF($D141="","",IFERROR(INDEX(Items!$D$5:$D$504,U141),""))</f>
        <v>Box</v>
      </c>
      <c r="K141" s="61" t="n">
        <f aca="false">IF($D141="","",IF($F141="",IFERROR(INDEX(Items!$H$5:$H$504,U141),0),$F141))</f>
        <v>1166</v>
      </c>
      <c r="L141" s="61" t="n">
        <f aca="false">IF($D141="","",ROUND(N($E141)*K141*(1-N($G141)),2))</f>
        <v>5830</v>
      </c>
      <c r="M141" s="62" t="n">
        <f aca="false">IF($D141="","",IFERROR(INDEX(Items!$F$5:$F$504,U141),0))</f>
        <v>0.05</v>
      </c>
      <c r="N141" s="61" t="n">
        <f aca="false">IF($D141="","",IF(AND(V141&lt;&gt;"",INDEX(Parties!$E$5:$E$304,V141)&lt;&gt;"",INDEX(Parties!$E$5:$E$304,V141)&lt;&gt;HomeState),0,ROUND(L141*M141/2,2)))</f>
        <v>145.75</v>
      </c>
      <c r="O141" s="61" t="n">
        <f aca="false">IF($D141="","",N141)</f>
        <v>145.75</v>
      </c>
      <c r="P141" s="61" t="n">
        <f aca="false">IF($D141="","",IF(AND(V141&lt;&gt;"",INDEX(Parties!$E$5:$E$304,V141)&lt;&gt;"",INDEX(Parties!$E$5:$E$304,V141)&lt;&gt;HomeState),ROUND(L141*M141,2),0))</f>
        <v>0</v>
      </c>
      <c r="Q141" s="61" t="n">
        <f aca="false">IF($D141="","",L141+N141+O141+P141)</f>
        <v>6121.5</v>
      </c>
      <c r="R141" s="61" t="n">
        <f aca="false">IF($D141="","",ROUND(N($E141)*IFERROR(INDEX(Items!$P$5:$P$504,U141),0),2))</f>
        <v>4442.4</v>
      </c>
      <c r="S141" s="61" t="n">
        <f aca="false">IF($D141="","",L141-R141)</f>
        <v>1387.6</v>
      </c>
      <c r="T141" s="60" t="str">
        <f aca="false">IF($D141="","",IF(U141="","UNKNOWN ITEM",IF(INDEX(Items!$O$5:$O$504,U141)&lt;0,"NEG STOCK",IF(K141&lt;INDEX(Items!$P$5:$P$504,U141),"BELOW COST","OK"))))</f>
        <v>OK</v>
      </c>
      <c r="U141" s="60" t="n">
        <f aca="false">IF($D141="","",IFERROR(MATCH($D141,Items!$A$5:$A$504,0),""))</f>
        <v>6</v>
      </c>
      <c r="V141" s="60" t="n">
        <f aca="false">IF($C141="","",IFERROR(MATCH($C141,Parties!$A$5:$A$304,0),""))</f>
        <v>4</v>
      </c>
      <c r="W141" s="60" t="n">
        <f aca="false">IF($B141="","",IFERROR(VALUE(SUBSTITUTE($B141,InvPrefix,"")),0))</f>
        <v>115</v>
      </c>
      <c r="X141" s="61" t="n">
        <f aca="false">IF($D141="","",IF(OR($H141="",$H141="Credit"),0,Q141))</f>
        <v>6121.5</v>
      </c>
    </row>
    <row r="142" customFormat="false" ht="15" hidden="false" customHeight="false" outlineLevel="0" collapsed="false">
      <c r="A142" s="55" t="n">
        <v>46289</v>
      </c>
      <c r="B142" s="56" t="s">
        <v>205</v>
      </c>
      <c r="C142" s="56" t="s">
        <v>88</v>
      </c>
      <c r="D142" s="56" t="s">
        <v>85</v>
      </c>
      <c r="E142" s="57" t="n">
        <v>4</v>
      </c>
      <c r="F142" s="58"/>
      <c r="G142" s="59"/>
      <c r="H142" s="56"/>
      <c r="I142" s="56" t="s">
        <v>75</v>
      </c>
      <c r="J142" s="60" t="str">
        <f aca="false">IF($D142="","",IFERROR(INDEX(Items!$D$5:$D$504,U142),""))</f>
        <v>Pcs</v>
      </c>
      <c r="K142" s="61" t="n">
        <f aca="false">IF($D142="","",IF($F142="",IFERROR(INDEX(Items!$H$5:$H$504,U142),0),$F142))</f>
        <v>2322</v>
      </c>
      <c r="L142" s="61" t="n">
        <f aca="false">IF($D142="","",ROUND(N($E142)*K142*(1-N($G142)),2))</f>
        <v>9288</v>
      </c>
      <c r="M142" s="62" t="n">
        <f aca="false">IF($D142="","",IFERROR(INDEX(Items!$F$5:$F$504,U142),0))</f>
        <v>0.18</v>
      </c>
      <c r="N142" s="61" t="n">
        <f aca="false">IF($D142="","",IF(AND(V142&lt;&gt;"",INDEX(Parties!$E$5:$E$304,V142)&lt;&gt;"",INDEX(Parties!$E$5:$E$304,V142)&lt;&gt;HomeState),0,ROUND(L142*M142/2,2)))</f>
        <v>835.92</v>
      </c>
      <c r="O142" s="61" t="n">
        <f aca="false">IF($D142="","",N142)</f>
        <v>835.92</v>
      </c>
      <c r="P142" s="61" t="n">
        <f aca="false">IF($D142="","",IF(AND(V142&lt;&gt;"",INDEX(Parties!$E$5:$E$304,V142)&lt;&gt;"",INDEX(Parties!$E$5:$E$304,V142)&lt;&gt;HomeState),ROUND(L142*M142,2),0))</f>
        <v>0</v>
      </c>
      <c r="Q142" s="61" t="n">
        <f aca="false">IF($D142="","",L142+N142+O142+P142)</f>
        <v>10959.84</v>
      </c>
      <c r="R142" s="61" t="n">
        <f aca="false">IF($D142="","",ROUND(N($E142)*IFERROR(INDEX(Items!$P$5:$P$504,U142),0),2))</f>
        <v>6575.2</v>
      </c>
      <c r="S142" s="61" t="n">
        <f aca="false">IF($D142="","",L142-R142)</f>
        <v>2712.8</v>
      </c>
      <c r="T142" s="60" t="str">
        <f aca="false">IF($D142="","",IF(U142="","UNKNOWN ITEM",IF(INDEX(Items!$O$5:$O$504,U142)&lt;0,"NEG STOCK",IF(K142&lt;INDEX(Items!$P$5:$P$504,U142),"BELOW COST","OK"))))</f>
        <v>OK</v>
      </c>
      <c r="U142" s="60" t="n">
        <f aca="false">IF($D142="","",IFERROR(MATCH($D142,Items!$A$5:$A$504,0),""))</f>
        <v>12</v>
      </c>
      <c r="V142" s="60" t="n">
        <f aca="false">IF($C142="","",IFERROR(MATCH($C142,Parties!$A$5:$A$304,0),""))</f>
        <v>5</v>
      </c>
      <c r="W142" s="60" t="n">
        <f aca="false">IF($B142="","",IFERROR(VALUE(SUBSTITUTE($B142,InvPrefix,"")),0))</f>
        <v>116</v>
      </c>
      <c r="X142" s="61" t="n">
        <f aca="false">IF($D142="","",IF(OR($H142="",$H142="Credit"),0,Q142))</f>
        <v>0</v>
      </c>
    </row>
    <row r="143" customFormat="false" ht="15" hidden="false" customHeight="false" outlineLevel="0" collapsed="false">
      <c r="A143" s="55" t="n">
        <v>46290</v>
      </c>
      <c r="B143" s="56" t="s">
        <v>206</v>
      </c>
      <c r="C143" s="56" t="s">
        <v>102</v>
      </c>
      <c r="D143" s="56" t="s">
        <v>117</v>
      </c>
      <c r="E143" s="57" t="n">
        <v>6</v>
      </c>
      <c r="F143" s="58"/>
      <c r="G143" s="59"/>
      <c r="H143" s="56" t="s">
        <v>103</v>
      </c>
      <c r="I143" s="56" t="s">
        <v>75</v>
      </c>
      <c r="J143" s="60" t="str">
        <f aca="false">IF($D143="","",IFERROR(INDEX(Items!$D$5:$D$504,U143),""))</f>
        <v>Box</v>
      </c>
      <c r="K143" s="61" t="n">
        <f aca="false">IF($D143="","",IF($F143="",IFERROR(INDEX(Items!$H$5:$H$504,U143),0),$F143))</f>
        <v>1166</v>
      </c>
      <c r="L143" s="61" t="n">
        <f aca="false">IF($D143="","",ROUND(N($E143)*K143*(1-N($G143)),2))</f>
        <v>6996</v>
      </c>
      <c r="M143" s="62" t="n">
        <f aca="false">IF($D143="","",IFERROR(INDEX(Items!$F$5:$F$504,U143),0))</f>
        <v>0.05</v>
      </c>
      <c r="N143" s="61" t="n">
        <f aca="false">IF($D143="","",IF(AND(V143&lt;&gt;"",INDEX(Parties!$E$5:$E$304,V143)&lt;&gt;"",INDEX(Parties!$E$5:$E$304,V143)&lt;&gt;HomeState),0,ROUND(L143*M143/2,2)))</f>
        <v>174.9</v>
      </c>
      <c r="O143" s="61" t="n">
        <f aca="false">IF($D143="","",N143)</f>
        <v>174.9</v>
      </c>
      <c r="P143" s="61" t="n">
        <f aca="false">IF($D143="","",IF(AND(V143&lt;&gt;"",INDEX(Parties!$E$5:$E$304,V143)&lt;&gt;"",INDEX(Parties!$E$5:$E$304,V143)&lt;&gt;HomeState),ROUND(L143*M143,2),0))</f>
        <v>0</v>
      </c>
      <c r="Q143" s="61" t="n">
        <f aca="false">IF($D143="","",L143+N143+O143+P143)</f>
        <v>7345.8</v>
      </c>
      <c r="R143" s="61" t="n">
        <f aca="false">IF($D143="","",ROUND(N($E143)*IFERROR(INDEX(Items!$P$5:$P$504,U143),0),2))</f>
        <v>5330.88</v>
      </c>
      <c r="S143" s="61" t="n">
        <f aca="false">IF($D143="","",L143-R143)</f>
        <v>1665.12</v>
      </c>
      <c r="T143" s="60" t="str">
        <f aca="false">IF($D143="","",IF(U143="","UNKNOWN ITEM",IF(INDEX(Items!$O$5:$O$504,U143)&lt;0,"NEG STOCK",IF(K143&lt;INDEX(Items!$P$5:$P$504,U143),"BELOW COST","OK"))))</f>
        <v>OK</v>
      </c>
      <c r="U143" s="60" t="n">
        <f aca="false">IF($D143="","",IFERROR(MATCH($D143,Items!$A$5:$A$504,0),""))</f>
        <v>6</v>
      </c>
      <c r="V143" s="60" t="n">
        <f aca="false">IF($C143="","",IFERROR(MATCH($C143,Parties!$A$5:$A$304,0),""))</f>
        <v>4</v>
      </c>
      <c r="W143" s="60" t="n">
        <f aca="false">IF($B143="","",IFERROR(VALUE(SUBSTITUTE($B143,InvPrefix,"")),0))</f>
        <v>117</v>
      </c>
      <c r="X143" s="61" t="n">
        <f aca="false">IF($D143="","",IF(OR($H143="",$H143="Credit"),0,Q143))</f>
        <v>7345.8</v>
      </c>
    </row>
    <row r="144" customFormat="false" ht="15" hidden="false" customHeight="false" outlineLevel="0" collapsed="false">
      <c r="A144" s="55" t="n">
        <v>46290</v>
      </c>
      <c r="B144" s="56" t="s">
        <v>206</v>
      </c>
      <c r="C144" s="56" t="s">
        <v>102</v>
      </c>
      <c r="D144" s="56" t="s">
        <v>96</v>
      </c>
      <c r="E144" s="57" t="n">
        <v>4</v>
      </c>
      <c r="F144" s="58"/>
      <c r="G144" s="59" t="n">
        <v>0.02</v>
      </c>
      <c r="H144" s="56" t="s">
        <v>103</v>
      </c>
      <c r="I144" s="56" t="s">
        <v>75</v>
      </c>
      <c r="J144" s="60" t="str">
        <f aca="false">IF($D144="","",IFERROR(INDEX(Items!$D$5:$D$504,U144),""))</f>
        <v>Box</v>
      </c>
      <c r="K144" s="61" t="n">
        <f aca="false">IF($D144="","",IF($F144="",IFERROR(INDEX(Items!$H$5:$H$504,U144),0),$F144))</f>
        <v>2290</v>
      </c>
      <c r="L144" s="61" t="n">
        <f aca="false">IF($D144="","",ROUND(N($E144)*K144*(1-N($G144)),2))</f>
        <v>8976.8</v>
      </c>
      <c r="M144" s="62" t="n">
        <f aca="false">IF($D144="","",IFERROR(INDEX(Items!$F$5:$F$504,U144),0))</f>
        <v>0.05</v>
      </c>
      <c r="N144" s="61" t="n">
        <f aca="false">IF($D144="","",IF(AND(V144&lt;&gt;"",INDEX(Parties!$E$5:$E$304,V144)&lt;&gt;"",INDEX(Parties!$E$5:$E$304,V144)&lt;&gt;HomeState),0,ROUND(L144*M144/2,2)))</f>
        <v>224.42</v>
      </c>
      <c r="O144" s="61" t="n">
        <f aca="false">IF($D144="","",N144)</f>
        <v>224.42</v>
      </c>
      <c r="P144" s="61" t="n">
        <f aca="false">IF($D144="","",IF(AND(V144&lt;&gt;"",INDEX(Parties!$E$5:$E$304,V144)&lt;&gt;"",INDEX(Parties!$E$5:$E$304,V144)&lt;&gt;HomeState),ROUND(L144*M144,2),0))</f>
        <v>0</v>
      </c>
      <c r="Q144" s="61" t="n">
        <f aca="false">IF($D144="","",L144+N144+O144+P144)</f>
        <v>9425.64</v>
      </c>
      <c r="R144" s="61" t="n">
        <f aca="false">IF($D144="","",ROUND(N($E144)*IFERROR(INDEX(Items!$P$5:$P$504,U144),0),2))</f>
        <v>7617.45</v>
      </c>
      <c r="S144" s="61" t="n">
        <f aca="false">IF($D144="","",L144-R144)</f>
        <v>1359.35</v>
      </c>
      <c r="T144" s="60" t="str">
        <f aca="false">IF($D144="","",IF(U144="","UNKNOWN ITEM",IF(INDEX(Items!$O$5:$O$504,U144)&lt;0,"NEG STOCK",IF(K144&lt;INDEX(Items!$P$5:$P$504,U144),"BELOW COST","OK"))))</f>
        <v>OK</v>
      </c>
      <c r="U144" s="60" t="n">
        <f aca="false">IF($D144="","",IFERROR(MATCH($D144,Items!$A$5:$A$504,0),""))</f>
        <v>3</v>
      </c>
      <c r="V144" s="60" t="n">
        <f aca="false">IF($C144="","",IFERROR(MATCH($C144,Parties!$A$5:$A$304,0),""))</f>
        <v>4</v>
      </c>
      <c r="W144" s="60" t="n">
        <f aca="false">IF($B144="","",IFERROR(VALUE(SUBSTITUTE($B144,InvPrefix,"")),0))</f>
        <v>117</v>
      </c>
      <c r="X144" s="61" t="n">
        <f aca="false">IF($D144="","",IF(OR($H144="",$H144="Credit"),0,Q144))</f>
        <v>9425.64</v>
      </c>
    </row>
    <row r="145" customFormat="false" ht="15" hidden="false" customHeight="false" outlineLevel="0" collapsed="false">
      <c r="A145" s="55" t="n">
        <v>46291</v>
      </c>
      <c r="B145" s="56" t="s">
        <v>207</v>
      </c>
      <c r="C145" s="56" t="s">
        <v>77</v>
      </c>
      <c r="D145" s="56" t="s">
        <v>99</v>
      </c>
      <c r="E145" s="57" t="n">
        <v>71</v>
      </c>
      <c r="F145" s="58"/>
      <c r="G145" s="59"/>
      <c r="H145" s="56" t="s">
        <v>90</v>
      </c>
      <c r="I145" s="56" t="s">
        <v>75</v>
      </c>
      <c r="J145" s="60" t="str">
        <f aca="false">IF($D145="","",IFERROR(INDEX(Items!$D$5:$D$504,U145),""))</f>
        <v>Pcs</v>
      </c>
      <c r="K145" s="61" t="n">
        <f aca="false">IF($D145="","",IF($F145="",IFERROR(INDEX(Items!$H$5:$H$504,U145),0),$F145))</f>
        <v>107</v>
      </c>
      <c r="L145" s="61" t="n">
        <f aca="false">IF($D145="","",ROUND(N($E145)*K145*(1-N($G145)),2))</f>
        <v>7597</v>
      </c>
      <c r="M145" s="62" t="n">
        <f aca="false">IF($D145="","",IFERROR(INDEX(Items!$F$5:$F$504,U145),0))</f>
        <v>0.18</v>
      </c>
      <c r="N145" s="61" t="n">
        <f aca="false">IF($D145="","",IF(AND(V145&lt;&gt;"",INDEX(Parties!$E$5:$E$304,V145)&lt;&gt;"",INDEX(Parties!$E$5:$E$304,V145)&lt;&gt;HomeState),0,ROUND(L145*M145/2,2)))</f>
        <v>683.73</v>
      </c>
      <c r="O145" s="61" t="n">
        <f aca="false">IF($D145="","",N145)</f>
        <v>683.73</v>
      </c>
      <c r="P145" s="61" t="n">
        <f aca="false">IF($D145="","",IF(AND(V145&lt;&gt;"",INDEX(Parties!$E$5:$E$304,V145)&lt;&gt;"",INDEX(Parties!$E$5:$E$304,V145)&lt;&gt;HomeState),ROUND(L145*M145,2),0))</f>
        <v>0</v>
      </c>
      <c r="Q145" s="61" t="n">
        <f aca="false">IF($D145="","",L145+N145+O145+P145)</f>
        <v>8964.46</v>
      </c>
      <c r="R145" s="61" t="n">
        <f aca="false">IF($D145="","",ROUND(N($E145)*IFERROR(INDEX(Items!$P$5:$P$504,U145),0),2))</f>
        <v>4360.61</v>
      </c>
      <c r="S145" s="61" t="n">
        <f aca="false">IF($D145="","",L145-R145)</f>
        <v>3236.39</v>
      </c>
      <c r="T145" s="60" t="str">
        <f aca="false">IF($D145="","",IF(U145="","UNKNOWN ITEM",IF(INDEX(Items!$O$5:$O$504,U145)&lt;0,"NEG STOCK",IF(K145&lt;INDEX(Items!$P$5:$P$504,U145),"BELOW COST","OK"))))</f>
        <v>OK</v>
      </c>
      <c r="U145" s="60" t="n">
        <f aca="false">IF($D145="","",IFERROR(MATCH($D145,Items!$A$5:$A$504,0),""))</f>
        <v>7</v>
      </c>
      <c r="V145" s="60" t="n">
        <f aca="false">IF($C145="","",IFERROR(MATCH($C145,Parties!$A$5:$A$304,0),""))</f>
        <v>2</v>
      </c>
      <c r="W145" s="60" t="n">
        <f aca="false">IF($B145="","",IFERROR(VALUE(SUBSTITUTE($B145,InvPrefix,"")),0))</f>
        <v>118</v>
      </c>
      <c r="X145" s="61" t="n">
        <f aca="false">IF($D145="","",IF(OR($H145="",$H145="Credit"),0,Q145))</f>
        <v>8964.46</v>
      </c>
    </row>
    <row r="146" customFormat="false" ht="15" hidden="false" customHeight="false" outlineLevel="0" collapsed="false">
      <c r="A146" s="55" t="n">
        <v>46294</v>
      </c>
      <c r="B146" s="56" t="s">
        <v>208</v>
      </c>
      <c r="C146" s="56" t="s">
        <v>102</v>
      </c>
      <c r="D146" s="56" t="s">
        <v>94</v>
      </c>
      <c r="E146" s="57" t="n">
        <v>13</v>
      </c>
      <c r="F146" s="58"/>
      <c r="G146" s="59"/>
      <c r="H146" s="56" t="s">
        <v>103</v>
      </c>
      <c r="I146" s="56" t="s">
        <v>75</v>
      </c>
      <c r="J146" s="60" t="str">
        <f aca="false">IF($D146="","",IFERROR(INDEX(Items!$D$5:$D$504,U146),""))</f>
        <v>Pack</v>
      </c>
      <c r="K146" s="61" t="n">
        <f aca="false">IF($D146="","",IF($F146="",IFERROR(INDEX(Items!$H$5:$H$504,U146),0),$F146))</f>
        <v>691</v>
      </c>
      <c r="L146" s="61" t="n">
        <f aca="false">IF($D146="","",ROUND(N($E146)*K146*(1-N($G146)),2))</f>
        <v>8983</v>
      </c>
      <c r="M146" s="62" t="n">
        <f aca="false">IF($D146="","",IFERROR(INDEX(Items!$F$5:$F$504,U146),0))</f>
        <v>0.18</v>
      </c>
      <c r="N146" s="61" t="n">
        <f aca="false">IF($D146="","",IF(AND(V146&lt;&gt;"",INDEX(Parties!$E$5:$E$304,V146)&lt;&gt;"",INDEX(Parties!$E$5:$E$304,V146)&lt;&gt;HomeState),0,ROUND(L146*M146/2,2)))</f>
        <v>808.47</v>
      </c>
      <c r="O146" s="61" t="n">
        <f aca="false">IF($D146="","",N146)</f>
        <v>808.47</v>
      </c>
      <c r="P146" s="61" t="n">
        <f aca="false">IF($D146="","",IF(AND(V146&lt;&gt;"",INDEX(Parties!$E$5:$E$304,V146)&lt;&gt;"",INDEX(Parties!$E$5:$E$304,V146)&lt;&gt;HomeState),ROUND(L146*M146,2),0))</f>
        <v>0</v>
      </c>
      <c r="Q146" s="61" t="n">
        <f aca="false">IF($D146="","",L146+N146+O146+P146)</f>
        <v>10599.94</v>
      </c>
      <c r="R146" s="61" t="n">
        <f aca="false">IF($D146="","",ROUND(N($E146)*IFERROR(INDEX(Items!$P$5:$P$504,U146),0),2))</f>
        <v>6730</v>
      </c>
      <c r="S146" s="61" t="n">
        <f aca="false">IF($D146="","",L146-R146)</f>
        <v>2253</v>
      </c>
      <c r="T146" s="60" t="str">
        <f aca="false">IF($D146="","",IF(U146="","UNKNOWN ITEM",IF(INDEX(Items!$O$5:$O$504,U146)&lt;0,"NEG STOCK",IF(K146&lt;INDEX(Items!$P$5:$P$504,U146),"BELOW COST","OK"))))</f>
        <v>OK</v>
      </c>
      <c r="U146" s="60" t="n">
        <f aca="false">IF($D146="","",IFERROR(MATCH($D146,Items!$A$5:$A$504,0),""))</f>
        <v>5</v>
      </c>
      <c r="V146" s="60" t="n">
        <f aca="false">IF($C146="","",IFERROR(MATCH($C146,Parties!$A$5:$A$304,0),""))</f>
        <v>4</v>
      </c>
      <c r="W146" s="60" t="n">
        <f aca="false">IF($B146="","",IFERROR(VALUE(SUBSTITUTE($B146,InvPrefix,"")),0))</f>
        <v>119</v>
      </c>
      <c r="X146" s="61" t="n">
        <f aca="false">IF($D146="","",IF(OR($H146="",$H146="Credit"),0,Q146))</f>
        <v>10599.94</v>
      </c>
    </row>
    <row r="147" customFormat="false" ht="15" hidden="false" customHeight="false" outlineLevel="0" collapsed="false">
      <c r="A147" s="55" t="n">
        <v>46294</v>
      </c>
      <c r="B147" s="56" t="s">
        <v>208</v>
      </c>
      <c r="C147" s="56" t="s">
        <v>102</v>
      </c>
      <c r="D147" s="56" t="s">
        <v>99</v>
      </c>
      <c r="E147" s="57" t="n">
        <v>57</v>
      </c>
      <c r="F147" s="58"/>
      <c r="G147" s="59"/>
      <c r="H147" s="56" t="s">
        <v>103</v>
      </c>
      <c r="I147" s="56" t="s">
        <v>75</v>
      </c>
      <c r="J147" s="60" t="str">
        <f aca="false">IF($D147="","",IFERROR(INDEX(Items!$D$5:$D$504,U147),""))</f>
        <v>Pcs</v>
      </c>
      <c r="K147" s="61" t="n">
        <f aca="false">IF($D147="","",IF($F147="",IFERROR(INDEX(Items!$H$5:$H$504,U147),0),$F147))</f>
        <v>107</v>
      </c>
      <c r="L147" s="61" t="n">
        <f aca="false">IF($D147="","",ROUND(N($E147)*K147*(1-N($G147)),2))</f>
        <v>6099</v>
      </c>
      <c r="M147" s="62" t="n">
        <f aca="false">IF($D147="","",IFERROR(INDEX(Items!$F$5:$F$504,U147),0))</f>
        <v>0.18</v>
      </c>
      <c r="N147" s="61" t="n">
        <f aca="false">IF($D147="","",IF(AND(V147&lt;&gt;"",INDEX(Parties!$E$5:$E$304,V147)&lt;&gt;"",INDEX(Parties!$E$5:$E$304,V147)&lt;&gt;HomeState),0,ROUND(L147*M147/2,2)))</f>
        <v>548.91</v>
      </c>
      <c r="O147" s="61" t="n">
        <f aca="false">IF($D147="","",N147)</f>
        <v>548.91</v>
      </c>
      <c r="P147" s="61" t="n">
        <f aca="false">IF($D147="","",IF(AND(V147&lt;&gt;"",INDEX(Parties!$E$5:$E$304,V147)&lt;&gt;"",INDEX(Parties!$E$5:$E$304,V147)&lt;&gt;HomeState),ROUND(L147*M147,2),0))</f>
        <v>0</v>
      </c>
      <c r="Q147" s="61" t="n">
        <f aca="false">IF($D147="","",L147+N147+O147+P147)</f>
        <v>7196.82</v>
      </c>
      <c r="R147" s="61" t="n">
        <f aca="false">IF($D147="","",ROUND(N($E147)*IFERROR(INDEX(Items!$P$5:$P$504,U147),0),2))</f>
        <v>3500.77</v>
      </c>
      <c r="S147" s="61" t="n">
        <f aca="false">IF($D147="","",L147-R147)</f>
        <v>2598.23</v>
      </c>
      <c r="T147" s="60" t="str">
        <f aca="false">IF($D147="","",IF(U147="","UNKNOWN ITEM",IF(INDEX(Items!$O$5:$O$504,U147)&lt;0,"NEG STOCK",IF(K147&lt;INDEX(Items!$P$5:$P$504,U147),"BELOW COST","OK"))))</f>
        <v>OK</v>
      </c>
      <c r="U147" s="60" t="n">
        <f aca="false">IF($D147="","",IFERROR(MATCH($D147,Items!$A$5:$A$504,0),""))</f>
        <v>7</v>
      </c>
      <c r="V147" s="60" t="n">
        <f aca="false">IF($C147="","",IFERROR(MATCH($C147,Parties!$A$5:$A$304,0),""))</f>
        <v>4</v>
      </c>
      <c r="W147" s="60" t="n">
        <f aca="false">IF($B147="","",IFERROR(VALUE(SUBSTITUTE($B147,InvPrefix,"")),0))</f>
        <v>119</v>
      </c>
      <c r="X147" s="61" t="n">
        <f aca="false">IF($D147="","",IF(OR($H147="",$H147="Credit"),0,Q147))</f>
        <v>7196.82</v>
      </c>
    </row>
    <row r="148" customFormat="false" ht="15" hidden="false" customHeight="false" outlineLevel="0" collapsed="false">
      <c r="A148" s="55" t="n">
        <v>46295</v>
      </c>
      <c r="B148" s="56" t="s">
        <v>209</v>
      </c>
      <c r="C148" s="56" t="s">
        <v>84</v>
      </c>
      <c r="D148" s="56" t="s">
        <v>73</v>
      </c>
      <c r="E148" s="57" t="n">
        <v>8</v>
      </c>
      <c r="F148" s="58"/>
      <c r="G148" s="59"/>
      <c r="H148" s="56" t="s">
        <v>90</v>
      </c>
      <c r="I148" s="56" t="s">
        <v>75</v>
      </c>
      <c r="J148" s="60" t="str">
        <f aca="false">IF($D148="","",IFERROR(INDEX(Items!$D$5:$D$504,U148),""))</f>
        <v>Bag</v>
      </c>
      <c r="K148" s="61" t="n">
        <f aca="false">IF($D148="","",IF($F148="",IFERROR(INDEX(Items!$H$5:$H$504,U148),0),$F148))</f>
        <v>2106</v>
      </c>
      <c r="L148" s="61" t="n">
        <f aca="false">IF($D148="","",ROUND(N($E148)*K148*(1-N($G148)),2))</f>
        <v>16848</v>
      </c>
      <c r="M148" s="62" t="n">
        <f aca="false">IF($D148="","",IFERROR(INDEX(Items!$F$5:$F$504,U148),0))</f>
        <v>0.05</v>
      </c>
      <c r="N148" s="61" t="n">
        <f aca="false">IF($D148="","",IF(AND(V148&lt;&gt;"",INDEX(Parties!$E$5:$E$304,V148)&lt;&gt;"",INDEX(Parties!$E$5:$E$304,V148)&lt;&gt;HomeState),0,ROUND(L148*M148/2,2)))</f>
        <v>421.2</v>
      </c>
      <c r="O148" s="61" t="n">
        <f aca="false">IF($D148="","",N148)</f>
        <v>421.2</v>
      </c>
      <c r="P148" s="61" t="n">
        <f aca="false">IF($D148="","",IF(AND(V148&lt;&gt;"",INDEX(Parties!$E$5:$E$304,V148)&lt;&gt;"",INDEX(Parties!$E$5:$E$304,V148)&lt;&gt;HomeState),ROUND(L148*M148,2),0))</f>
        <v>0</v>
      </c>
      <c r="Q148" s="61" t="n">
        <f aca="false">IF($D148="","",L148+N148+O148+P148)</f>
        <v>17690.4</v>
      </c>
      <c r="R148" s="61" t="n">
        <f aca="false">IF($D148="","",ROUND(N($E148)*IFERROR(INDEX(Items!$P$5:$P$504,U148),0),2))</f>
        <v>13179.44</v>
      </c>
      <c r="S148" s="61" t="n">
        <f aca="false">IF($D148="","",L148-R148)</f>
        <v>3668.56</v>
      </c>
      <c r="T148" s="60" t="str">
        <f aca="false">IF($D148="","",IF(U148="","UNKNOWN ITEM",IF(INDEX(Items!$O$5:$O$504,U148)&lt;0,"NEG STOCK",IF(K148&lt;INDEX(Items!$P$5:$P$504,U148),"BELOW COST","OK"))))</f>
        <v>OK</v>
      </c>
      <c r="U148" s="60" t="n">
        <f aca="false">IF($D148="","",IFERROR(MATCH($D148,Items!$A$5:$A$504,0),""))</f>
        <v>1</v>
      </c>
      <c r="V148" s="60" t="n">
        <f aca="false">IF($C148="","",IFERROR(MATCH($C148,Parties!$A$5:$A$304,0),""))</f>
        <v>9</v>
      </c>
      <c r="W148" s="60" t="n">
        <f aca="false">IF($B148="","",IFERROR(VALUE(SUBSTITUTE($B148,InvPrefix,"")),0))</f>
        <v>120</v>
      </c>
      <c r="X148" s="61" t="n">
        <f aca="false">IF($D148="","",IF(OR($H148="",$H148="Credit"),0,Q148))</f>
        <v>17690.4</v>
      </c>
    </row>
    <row r="149" customFormat="false" ht="15" hidden="false" customHeight="false" outlineLevel="0" collapsed="false">
      <c r="A149" s="55" t="n">
        <v>46296</v>
      </c>
      <c r="B149" s="56" t="s">
        <v>210</v>
      </c>
      <c r="C149" s="56" t="s">
        <v>84</v>
      </c>
      <c r="D149" s="56" t="s">
        <v>96</v>
      </c>
      <c r="E149" s="57" t="n">
        <v>3</v>
      </c>
      <c r="F149" s="58"/>
      <c r="G149" s="59" t="n">
        <v>0.05</v>
      </c>
      <c r="H149" s="56" t="s">
        <v>90</v>
      </c>
      <c r="I149" s="56" t="s">
        <v>75</v>
      </c>
      <c r="J149" s="60" t="str">
        <f aca="false">IF($D149="","",IFERROR(INDEX(Items!$D$5:$D$504,U149),""))</f>
        <v>Box</v>
      </c>
      <c r="K149" s="61" t="n">
        <f aca="false">IF($D149="","",IF($F149="",IFERROR(INDEX(Items!$H$5:$H$504,U149),0),$F149))</f>
        <v>2290</v>
      </c>
      <c r="L149" s="61" t="n">
        <f aca="false">IF($D149="","",ROUND(N($E149)*K149*(1-N($G149)),2))</f>
        <v>6526.5</v>
      </c>
      <c r="M149" s="62" t="n">
        <f aca="false">IF($D149="","",IFERROR(INDEX(Items!$F$5:$F$504,U149),0))</f>
        <v>0.05</v>
      </c>
      <c r="N149" s="61" t="n">
        <f aca="false">IF($D149="","",IF(AND(V149&lt;&gt;"",INDEX(Parties!$E$5:$E$304,V149)&lt;&gt;"",INDEX(Parties!$E$5:$E$304,V149)&lt;&gt;HomeState),0,ROUND(L149*M149/2,2)))</f>
        <v>163.16</v>
      </c>
      <c r="O149" s="61" t="n">
        <f aca="false">IF($D149="","",N149)</f>
        <v>163.16</v>
      </c>
      <c r="P149" s="61" t="n">
        <f aca="false">IF($D149="","",IF(AND(V149&lt;&gt;"",INDEX(Parties!$E$5:$E$304,V149)&lt;&gt;"",INDEX(Parties!$E$5:$E$304,V149)&lt;&gt;HomeState),ROUND(L149*M149,2),0))</f>
        <v>0</v>
      </c>
      <c r="Q149" s="61" t="n">
        <f aca="false">IF($D149="","",L149+N149+O149+P149)</f>
        <v>6852.82</v>
      </c>
      <c r="R149" s="61" t="n">
        <f aca="false">IF($D149="","",ROUND(N($E149)*IFERROR(INDEX(Items!$P$5:$P$504,U149),0),2))</f>
        <v>5713.09</v>
      </c>
      <c r="S149" s="61" t="n">
        <f aca="false">IF($D149="","",L149-R149)</f>
        <v>813.41</v>
      </c>
      <c r="T149" s="60" t="str">
        <f aca="false">IF($D149="","",IF(U149="","UNKNOWN ITEM",IF(INDEX(Items!$O$5:$O$504,U149)&lt;0,"NEG STOCK",IF(K149&lt;INDEX(Items!$P$5:$P$504,U149),"BELOW COST","OK"))))</f>
        <v>OK</v>
      </c>
      <c r="U149" s="60" t="n">
        <f aca="false">IF($D149="","",IFERROR(MATCH($D149,Items!$A$5:$A$504,0),""))</f>
        <v>3</v>
      </c>
      <c r="V149" s="60" t="n">
        <f aca="false">IF($C149="","",IFERROR(MATCH($C149,Parties!$A$5:$A$304,0),""))</f>
        <v>9</v>
      </c>
      <c r="W149" s="60" t="n">
        <f aca="false">IF($B149="","",IFERROR(VALUE(SUBSTITUTE($B149,InvPrefix,"")),0))</f>
        <v>121</v>
      </c>
      <c r="X149" s="61" t="n">
        <f aca="false">IF($D149="","",IF(OR($H149="",$H149="Credit"),0,Q149))</f>
        <v>6852.82</v>
      </c>
    </row>
    <row r="150" customFormat="false" ht="15" hidden="false" customHeight="false" outlineLevel="0" collapsed="false">
      <c r="A150" s="55" t="n">
        <v>46297</v>
      </c>
      <c r="B150" s="56" t="s">
        <v>211</v>
      </c>
      <c r="C150" s="56" t="s">
        <v>102</v>
      </c>
      <c r="D150" s="56" t="s">
        <v>82</v>
      </c>
      <c r="E150" s="57" t="n">
        <v>34</v>
      </c>
      <c r="F150" s="58"/>
      <c r="G150" s="59"/>
      <c r="H150" s="56" t="s">
        <v>103</v>
      </c>
      <c r="I150" s="56" t="s">
        <v>75</v>
      </c>
      <c r="J150" s="60" t="str">
        <f aca="false">IF($D150="","",IFERROR(INDEX(Items!$D$5:$D$504,U150),""))</f>
        <v>Bag</v>
      </c>
      <c r="K150" s="61" t="n">
        <f aca="false">IF($D150="","",IF($F150="",IFERROR(INDEX(Items!$H$5:$H$504,U150),0),$F150))</f>
        <v>427</v>
      </c>
      <c r="L150" s="61" t="n">
        <f aca="false">IF($D150="","",ROUND(N($E150)*K150*(1-N($G150)),2))</f>
        <v>14518</v>
      </c>
      <c r="M150" s="62" t="n">
        <f aca="false">IF($D150="","",IFERROR(INDEX(Items!$F$5:$F$504,U150),0))</f>
        <v>0.18</v>
      </c>
      <c r="N150" s="61" t="n">
        <f aca="false">IF($D150="","",IF(AND(V150&lt;&gt;"",INDEX(Parties!$E$5:$E$304,V150)&lt;&gt;"",INDEX(Parties!$E$5:$E$304,V150)&lt;&gt;HomeState),0,ROUND(L150*M150/2,2)))</f>
        <v>1306.62</v>
      </c>
      <c r="O150" s="61" t="n">
        <f aca="false">IF($D150="","",N150)</f>
        <v>1306.62</v>
      </c>
      <c r="P150" s="61" t="n">
        <f aca="false">IF($D150="","",IF(AND(V150&lt;&gt;"",INDEX(Parties!$E$5:$E$304,V150)&lt;&gt;"",INDEX(Parties!$E$5:$E$304,V150)&lt;&gt;HomeState),ROUND(L150*M150,2),0))</f>
        <v>0</v>
      </c>
      <c r="Q150" s="61" t="n">
        <f aca="false">IF($D150="","",L150+N150+O150+P150)</f>
        <v>17131.24</v>
      </c>
      <c r="R150" s="61" t="n">
        <f aca="false">IF($D150="","",ROUND(N($E150)*IFERROR(INDEX(Items!$P$5:$P$504,U150),0),2))</f>
        <v>11565.92</v>
      </c>
      <c r="S150" s="61" t="n">
        <f aca="false">IF($D150="","",L150-R150)</f>
        <v>2952.08</v>
      </c>
      <c r="T150" s="60" t="str">
        <f aca="false">IF($D150="","",IF(U150="","UNKNOWN ITEM",IF(INDEX(Items!$O$5:$O$504,U150)&lt;0,"NEG STOCK",IF(K150&lt;INDEX(Items!$P$5:$P$504,U150),"BELOW COST","OK"))))</f>
        <v>OK</v>
      </c>
      <c r="U150" s="60" t="n">
        <f aca="false">IF($D150="","",IFERROR(MATCH($D150,Items!$A$5:$A$504,0),""))</f>
        <v>10</v>
      </c>
      <c r="V150" s="60" t="n">
        <f aca="false">IF($C150="","",IFERROR(MATCH($C150,Parties!$A$5:$A$304,0),""))</f>
        <v>4</v>
      </c>
      <c r="W150" s="60" t="n">
        <f aca="false">IF($B150="","",IFERROR(VALUE(SUBSTITUTE($B150,InvPrefix,"")),0))</f>
        <v>122</v>
      </c>
      <c r="X150" s="61" t="n">
        <f aca="false">IF($D150="","",IF(OR($H150="",$H150="Credit"),0,Q150))</f>
        <v>17131.24</v>
      </c>
    </row>
    <row r="151" customFormat="false" ht="15" hidden="false" customHeight="false" outlineLevel="0" collapsed="false">
      <c r="A151" s="55" t="n">
        <v>46298</v>
      </c>
      <c r="B151" s="56" t="s">
        <v>212</v>
      </c>
      <c r="C151" s="56" t="s">
        <v>81</v>
      </c>
      <c r="D151" s="56" t="s">
        <v>96</v>
      </c>
      <c r="E151" s="57" t="n">
        <v>6</v>
      </c>
      <c r="F151" s="58"/>
      <c r="G151" s="59"/>
      <c r="H151" s="56"/>
      <c r="I151" s="56" t="s">
        <v>75</v>
      </c>
      <c r="J151" s="60" t="str">
        <f aca="false">IF($D151="","",IFERROR(INDEX(Items!$D$5:$D$504,U151),""))</f>
        <v>Box</v>
      </c>
      <c r="K151" s="61" t="n">
        <f aca="false">IF($D151="","",IF($F151="",IFERROR(INDEX(Items!$H$5:$H$504,U151),0),$F151))</f>
        <v>2290</v>
      </c>
      <c r="L151" s="61" t="n">
        <f aca="false">IF($D151="","",ROUND(N($E151)*K151*(1-N($G151)),2))</f>
        <v>13740</v>
      </c>
      <c r="M151" s="62" t="n">
        <f aca="false">IF($D151="","",IFERROR(INDEX(Items!$F$5:$F$504,U151),0))</f>
        <v>0.05</v>
      </c>
      <c r="N151" s="61" t="n">
        <f aca="false">IF($D151="","",IF(AND(V151&lt;&gt;"",INDEX(Parties!$E$5:$E$304,V151)&lt;&gt;"",INDEX(Parties!$E$5:$E$304,V151)&lt;&gt;HomeState),0,ROUND(L151*M151/2,2)))</f>
        <v>0</v>
      </c>
      <c r="O151" s="61" t="n">
        <f aca="false">IF($D151="","",N151)</f>
        <v>0</v>
      </c>
      <c r="P151" s="61" t="n">
        <f aca="false">IF($D151="","",IF(AND(V151&lt;&gt;"",INDEX(Parties!$E$5:$E$304,V151)&lt;&gt;"",INDEX(Parties!$E$5:$E$304,V151)&lt;&gt;HomeState),ROUND(L151*M151,2),0))</f>
        <v>687</v>
      </c>
      <c r="Q151" s="61" t="n">
        <f aca="false">IF($D151="","",L151+N151+O151+P151)</f>
        <v>14427</v>
      </c>
      <c r="R151" s="61" t="n">
        <f aca="false">IF($D151="","",ROUND(N($E151)*IFERROR(INDEX(Items!$P$5:$P$504,U151),0),2))</f>
        <v>11426.18</v>
      </c>
      <c r="S151" s="61" t="n">
        <f aca="false">IF($D151="","",L151-R151)</f>
        <v>2313.82</v>
      </c>
      <c r="T151" s="60" t="str">
        <f aca="false">IF($D151="","",IF(U151="","UNKNOWN ITEM",IF(INDEX(Items!$O$5:$O$504,U151)&lt;0,"NEG STOCK",IF(K151&lt;INDEX(Items!$P$5:$P$504,U151),"BELOW COST","OK"))))</f>
        <v>OK</v>
      </c>
      <c r="U151" s="60" t="n">
        <f aca="false">IF($D151="","",IFERROR(MATCH($D151,Items!$A$5:$A$504,0),""))</f>
        <v>3</v>
      </c>
      <c r="V151" s="60" t="n">
        <f aca="false">IF($C151="","",IFERROR(MATCH($C151,Parties!$A$5:$A$304,0),""))</f>
        <v>3</v>
      </c>
      <c r="W151" s="60" t="n">
        <f aca="false">IF($B151="","",IFERROR(VALUE(SUBSTITUTE($B151,InvPrefix,"")),0))</f>
        <v>123</v>
      </c>
      <c r="X151" s="61" t="n">
        <f aca="false">IF($D151="","",IF(OR($H151="",$H151="Credit"),0,Q151))</f>
        <v>0</v>
      </c>
    </row>
    <row r="152" customFormat="false" ht="15" hidden="false" customHeight="false" outlineLevel="0" collapsed="false">
      <c r="A152" s="55" t="n">
        <v>46301</v>
      </c>
      <c r="B152" s="56" t="s">
        <v>213</v>
      </c>
      <c r="C152" s="56" t="s">
        <v>88</v>
      </c>
      <c r="D152" s="56" t="s">
        <v>92</v>
      </c>
      <c r="E152" s="57" t="n">
        <v>2</v>
      </c>
      <c r="F152" s="58"/>
      <c r="G152" s="59" t="n">
        <v>0.05</v>
      </c>
      <c r="H152" s="56"/>
      <c r="I152" s="56" t="s">
        <v>214</v>
      </c>
      <c r="J152" s="60" t="str">
        <f aca="false">IF($D152="","",IFERROR(INDEX(Items!$D$5:$D$504,U152),""))</f>
        <v>Pcs</v>
      </c>
      <c r="K152" s="61" t="n">
        <f aca="false">IF($D152="","",IF($F152="",IFERROR(INDEX(Items!$H$5:$H$504,U152),0),$F152))</f>
        <v>3132</v>
      </c>
      <c r="L152" s="61" t="n">
        <f aca="false">IF($D152="","",ROUND(N($E152)*K152*(1-N($G152)),2))</f>
        <v>5950.8</v>
      </c>
      <c r="M152" s="62" t="n">
        <f aca="false">IF($D152="","",IFERROR(INDEX(Items!$F$5:$F$504,U152),0))</f>
        <v>0.18</v>
      </c>
      <c r="N152" s="61" t="n">
        <f aca="false">IF($D152="","",IF(AND(V152&lt;&gt;"",INDEX(Parties!$E$5:$E$304,V152)&lt;&gt;"",INDEX(Parties!$E$5:$E$304,V152)&lt;&gt;HomeState),0,ROUND(L152*M152/2,2)))</f>
        <v>535.57</v>
      </c>
      <c r="O152" s="61" t="n">
        <f aca="false">IF($D152="","",N152)</f>
        <v>535.57</v>
      </c>
      <c r="P152" s="61" t="n">
        <f aca="false">IF($D152="","",IF(AND(V152&lt;&gt;"",INDEX(Parties!$E$5:$E$304,V152)&lt;&gt;"",INDEX(Parties!$E$5:$E$304,V152)&lt;&gt;HomeState),ROUND(L152*M152,2),0))</f>
        <v>0</v>
      </c>
      <c r="Q152" s="61" t="n">
        <f aca="false">IF($D152="","",L152+N152+O152+P152)</f>
        <v>7021.94</v>
      </c>
      <c r="R152" s="61" t="n">
        <f aca="false">IF($D152="","",ROUND(N($E152)*IFERROR(INDEX(Items!$P$5:$P$504,U152),0),2))</f>
        <v>4902.96</v>
      </c>
      <c r="S152" s="61" t="n">
        <f aca="false">IF($D152="","",L152-R152)</f>
        <v>1047.84</v>
      </c>
      <c r="T152" s="60" t="str">
        <f aca="false">IF($D152="","",IF(U152="","UNKNOWN ITEM",IF(INDEX(Items!$O$5:$O$504,U152)&lt;0,"NEG STOCK",IF(K152&lt;INDEX(Items!$P$5:$P$504,U152),"BELOW COST","OK"))))</f>
        <v>OK</v>
      </c>
      <c r="U152" s="60" t="n">
        <f aca="false">IF($D152="","",IFERROR(MATCH($D152,Items!$A$5:$A$504,0),""))</f>
        <v>8</v>
      </c>
      <c r="V152" s="60" t="n">
        <f aca="false">IF($C152="","",IFERROR(MATCH($C152,Parties!$A$5:$A$304,0),""))</f>
        <v>5</v>
      </c>
      <c r="W152" s="60" t="n">
        <f aca="false">IF($B152="","",IFERROR(VALUE(SUBSTITUTE($B152,InvPrefix,"")),0))</f>
        <v>124</v>
      </c>
      <c r="X152" s="61" t="n">
        <f aca="false">IF($D152="","",IF(OR($H152="",$H152="Credit"),0,Q152))</f>
        <v>0</v>
      </c>
    </row>
    <row r="153" customFormat="false" ht="15" hidden="false" customHeight="false" outlineLevel="0" collapsed="false">
      <c r="A153" s="55" t="n">
        <v>46302</v>
      </c>
      <c r="B153" s="56" t="s">
        <v>215</v>
      </c>
      <c r="C153" s="56" t="s">
        <v>77</v>
      </c>
      <c r="D153" s="56" t="s">
        <v>96</v>
      </c>
      <c r="E153" s="57" t="n">
        <v>7</v>
      </c>
      <c r="F153" s="58"/>
      <c r="G153" s="59"/>
      <c r="H153" s="56" t="s">
        <v>74</v>
      </c>
      <c r="I153" s="56" t="s">
        <v>214</v>
      </c>
      <c r="J153" s="60" t="str">
        <f aca="false">IF($D153="","",IFERROR(INDEX(Items!$D$5:$D$504,U153),""))</f>
        <v>Box</v>
      </c>
      <c r="K153" s="61" t="n">
        <f aca="false">IF($D153="","",IF($F153="",IFERROR(INDEX(Items!$H$5:$H$504,U153),0),$F153))</f>
        <v>2290</v>
      </c>
      <c r="L153" s="61" t="n">
        <f aca="false">IF($D153="","",ROUND(N($E153)*K153*(1-N($G153)),2))</f>
        <v>16030</v>
      </c>
      <c r="M153" s="62" t="n">
        <f aca="false">IF($D153="","",IFERROR(INDEX(Items!$F$5:$F$504,U153),0))</f>
        <v>0.05</v>
      </c>
      <c r="N153" s="61" t="n">
        <f aca="false">IF($D153="","",IF(AND(V153&lt;&gt;"",INDEX(Parties!$E$5:$E$304,V153)&lt;&gt;"",INDEX(Parties!$E$5:$E$304,V153)&lt;&gt;HomeState),0,ROUND(L153*M153/2,2)))</f>
        <v>400.75</v>
      </c>
      <c r="O153" s="61" t="n">
        <f aca="false">IF($D153="","",N153)</f>
        <v>400.75</v>
      </c>
      <c r="P153" s="61" t="n">
        <f aca="false">IF($D153="","",IF(AND(V153&lt;&gt;"",INDEX(Parties!$E$5:$E$304,V153)&lt;&gt;"",INDEX(Parties!$E$5:$E$304,V153)&lt;&gt;HomeState),ROUND(L153*M153,2),0))</f>
        <v>0</v>
      </c>
      <c r="Q153" s="61" t="n">
        <f aca="false">IF($D153="","",L153+N153+O153+P153)</f>
        <v>16831.5</v>
      </c>
      <c r="R153" s="61" t="n">
        <f aca="false">IF($D153="","",ROUND(N($E153)*IFERROR(INDEX(Items!$P$5:$P$504,U153),0),2))</f>
        <v>13330.54</v>
      </c>
      <c r="S153" s="61" t="n">
        <f aca="false">IF($D153="","",L153-R153)</f>
        <v>2699.46</v>
      </c>
      <c r="T153" s="60" t="str">
        <f aca="false">IF($D153="","",IF(U153="","UNKNOWN ITEM",IF(INDEX(Items!$O$5:$O$504,U153)&lt;0,"NEG STOCK",IF(K153&lt;INDEX(Items!$P$5:$P$504,U153),"BELOW COST","OK"))))</f>
        <v>OK</v>
      </c>
      <c r="U153" s="60" t="n">
        <f aca="false">IF($D153="","",IFERROR(MATCH($D153,Items!$A$5:$A$504,0),""))</f>
        <v>3</v>
      </c>
      <c r="V153" s="60" t="n">
        <f aca="false">IF($C153="","",IFERROR(MATCH($C153,Parties!$A$5:$A$304,0),""))</f>
        <v>2</v>
      </c>
      <c r="W153" s="60" t="n">
        <f aca="false">IF($B153="","",IFERROR(VALUE(SUBSTITUTE($B153,InvPrefix,"")),0))</f>
        <v>125</v>
      </c>
      <c r="X153" s="61" t="n">
        <f aca="false">IF($D153="","",IF(OR($H153="",$H153="Credit"),0,Q153))</f>
        <v>16831.5</v>
      </c>
    </row>
    <row r="154" customFormat="false" ht="15" hidden="false" customHeight="false" outlineLevel="0" collapsed="false">
      <c r="A154" s="55" t="n">
        <v>46303</v>
      </c>
      <c r="B154" s="56" t="s">
        <v>216</v>
      </c>
      <c r="C154" s="56" t="s">
        <v>102</v>
      </c>
      <c r="D154" s="56" t="s">
        <v>96</v>
      </c>
      <c r="E154" s="57" t="n">
        <v>6</v>
      </c>
      <c r="F154" s="58"/>
      <c r="G154" s="59"/>
      <c r="H154" s="56" t="s">
        <v>103</v>
      </c>
      <c r="I154" s="56" t="s">
        <v>217</v>
      </c>
      <c r="J154" s="60" t="str">
        <f aca="false">IF($D154="","",IFERROR(INDEX(Items!$D$5:$D$504,U154),""))</f>
        <v>Box</v>
      </c>
      <c r="K154" s="61" t="n">
        <f aca="false">IF($D154="","",IF($F154="",IFERROR(INDEX(Items!$H$5:$H$504,U154),0),$F154))</f>
        <v>2290</v>
      </c>
      <c r="L154" s="61" t="n">
        <f aca="false">IF($D154="","",ROUND(N($E154)*K154*(1-N($G154)),2))</f>
        <v>13740</v>
      </c>
      <c r="M154" s="62" t="n">
        <f aca="false">IF($D154="","",IFERROR(INDEX(Items!$F$5:$F$504,U154),0))</f>
        <v>0.05</v>
      </c>
      <c r="N154" s="61" t="n">
        <f aca="false">IF($D154="","",IF(AND(V154&lt;&gt;"",INDEX(Parties!$E$5:$E$304,V154)&lt;&gt;"",INDEX(Parties!$E$5:$E$304,V154)&lt;&gt;HomeState),0,ROUND(L154*M154/2,2)))</f>
        <v>343.5</v>
      </c>
      <c r="O154" s="61" t="n">
        <f aca="false">IF($D154="","",N154)</f>
        <v>343.5</v>
      </c>
      <c r="P154" s="61" t="n">
        <f aca="false">IF($D154="","",IF(AND(V154&lt;&gt;"",INDEX(Parties!$E$5:$E$304,V154)&lt;&gt;"",INDEX(Parties!$E$5:$E$304,V154)&lt;&gt;HomeState),ROUND(L154*M154,2),0))</f>
        <v>0</v>
      </c>
      <c r="Q154" s="61" t="n">
        <f aca="false">IF($D154="","",L154+N154+O154+P154)</f>
        <v>14427</v>
      </c>
      <c r="R154" s="61" t="n">
        <f aca="false">IF($D154="","",ROUND(N($E154)*IFERROR(INDEX(Items!$P$5:$P$504,U154),0),2))</f>
        <v>11426.18</v>
      </c>
      <c r="S154" s="61" t="n">
        <f aca="false">IF($D154="","",L154-R154)</f>
        <v>2313.82</v>
      </c>
      <c r="T154" s="60" t="str">
        <f aca="false">IF($D154="","",IF(U154="","UNKNOWN ITEM",IF(INDEX(Items!$O$5:$O$504,U154)&lt;0,"NEG STOCK",IF(K154&lt;INDEX(Items!$P$5:$P$504,U154),"BELOW COST","OK"))))</f>
        <v>OK</v>
      </c>
      <c r="U154" s="60" t="n">
        <f aca="false">IF($D154="","",IFERROR(MATCH($D154,Items!$A$5:$A$504,0),""))</f>
        <v>3</v>
      </c>
      <c r="V154" s="60" t="n">
        <f aca="false">IF($C154="","",IFERROR(MATCH($C154,Parties!$A$5:$A$304,0),""))</f>
        <v>4</v>
      </c>
      <c r="W154" s="60" t="n">
        <f aca="false">IF($B154="","",IFERROR(VALUE(SUBSTITUTE($B154,InvPrefix,"")),0))</f>
        <v>126</v>
      </c>
      <c r="X154" s="61" t="n">
        <f aca="false">IF($D154="","",IF(OR($H154="",$H154="Credit"),0,Q154))</f>
        <v>14427</v>
      </c>
    </row>
    <row r="155" customFormat="false" ht="15" hidden="false" customHeight="false" outlineLevel="0" collapsed="false">
      <c r="A155" s="55" t="n">
        <v>46304</v>
      </c>
      <c r="B155" s="56" t="s">
        <v>218</v>
      </c>
      <c r="C155" s="56" t="s">
        <v>102</v>
      </c>
      <c r="D155" s="56" t="s">
        <v>86</v>
      </c>
      <c r="E155" s="57" t="n">
        <v>3</v>
      </c>
      <c r="F155" s="58"/>
      <c r="G155" s="59"/>
      <c r="H155" s="56" t="s">
        <v>103</v>
      </c>
      <c r="I155" s="56" t="s">
        <v>219</v>
      </c>
      <c r="J155" s="60" t="str">
        <f aca="false">IF($D155="","",IFERROR(INDEX(Items!$D$5:$D$504,U155),""))</f>
        <v>Bag</v>
      </c>
      <c r="K155" s="61" t="n">
        <f aca="false">IF($D155="","",IF($F155="",IFERROR(INDEX(Items!$H$5:$H$504,U155),0),$F155))</f>
        <v>2462</v>
      </c>
      <c r="L155" s="61" t="n">
        <f aca="false">IF($D155="","",ROUND(N($E155)*K155*(1-N($G155)),2))</f>
        <v>7386</v>
      </c>
      <c r="M155" s="62" t="n">
        <f aca="false">IF($D155="","",IFERROR(INDEX(Items!$F$5:$F$504,U155),0))</f>
        <v>0.05</v>
      </c>
      <c r="N155" s="61" t="n">
        <f aca="false">IF($D155="","",IF(AND(V155&lt;&gt;"",INDEX(Parties!$E$5:$E$304,V155)&lt;&gt;"",INDEX(Parties!$E$5:$E$304,V155)&lt;&gt;HomeState),0,ROUND(L155*M155/2,2)))</f>
        <v>184.65</v>
      </c>
      <c r="O155" s="61" t="n">
        <f aca="false">IF($D155="","",N155)</f>
        <v>184.65</v>
      </c>
      <c r="P155" s="61" t="n">
        <f aca="false">IF($D155="","",IF(AND(V155&lt;&gt;"",INDEX(Parties!$E$5:$E$304,V155)&lt;&gt;"",INDEX(Parties!$E$5:$E$304,V155)&lt;&gt;HomeState),ROUND(L155*M155,2),0))</f>
        <v>0</v>
      </c>
      <c r="Q155" s="61" t="n">
        <f aca="false">IF($D155="","",L155+N155+O155+P155)</f>
        <v>7755.3</v>
      </c>
      <c r="R155" s="61" t="n">
        <f aca="false">IF($D155="","",ROUND(N($E155)*IFERROR(INDEX(Items!$P$5:$P$504,U155),0),2))</f>
        <v>6113.19</v>
      </c>
      <c r="S155" s="61" t="n">
        <f aca="false">IF($D155="","",L155-R155)</f>
        <v>1272.81</v>
      </c>
      <c r="T155" s="60" t="str">
        <f aca="false">IF($D155="","",IF(U155="","UNKNOWN ITEM",IF(INDEX(Items!$O$5:$O$504,U155)&lt;0,"NEG STOCK",IF(K155&lt;INDEX(Items!$P$5:$P$504,U155),"BELOW COST","OK"))))</f>
        <v>OK</v>
      </c>
      <c r="U155" s="60" t="n">
        <f aca="false">IF($D155="","",IFERROR(MATCH($D155,Items!$A$5:$A$504,0),""))</f>
        <v>2</v>
      </c>
      <c r="V155" s="60" t="n">
        <f aca="false">IF($C155="","",IFERROR(MATCH($C155,Parties!$A$5:$A$304,0),""))</f>
        <v>4</v>
      </c>
      <c r="W155" s="60" t="n">
        <f aca="false">IF($B155="","",IFERROR(VALUE(SUBSTITUTE($B155,InvPrefix,"")),0))</f>
        <v>127</v>
      </c>
      <c r="X155" s="61" t="n">
        <f aca="false">IF($D155="","",IF(OR($H155="",$H155="Credit"),0,Q155))</f>
        <v>7755.3</v>
      </c>
    </row>
    <row r="156" customFormat="false" ht="15" hidden="false" customHeight="false" outlineLevel="0" collapsed="false">
      <c r="A156" s="55"/>
      <c r="B156" s="56"/>
      <c r="C156" s="56"/>
      <c r="D156" s="56"/>
      <c r="E156" s="57"/>
      <c r="F156" s="58"/>
      <c r="G156" s="59"/>
      <c r="H156" s="56"/>
      <c r="I156" s="56"/>
      <c r="J156" s="60" t="str">
        <f aca="false">IF($D156="","",IFERROR(INDEX(Items!$D$5:$D$504,U156),""))</f>
        <v/>
      </c>
      <c r="K156" s="61" t="str">
        <f aca="false">IF($D156="","",IF($F156="",IFERROR(INDEX(Items!$H$5:$H$504,U156),0),$F156))</f>
        <v/>
      </c>
      <c r="L156" s="61" t="str">
        <f aca="false">IF($D156="","",ROUND(N($E156)*K156*(1-N($G156)),2))</f>
        <v/>
      </c>
      <c r="M156" s="62" t="str">
        <f aca="false">IF($D156="","",IFERROR(INDEX(Items!$F$5:$F$504,U156),0))</f>
        <v/>
      </c>
      <c r="N156" s="61" t="str">
        <f aca="false">IF($D156="","",IF(AND(V156&lt;&gt;"",INDEX(Parties!$E$5:$E$304,V156)&lt;&gt;"",INDEX(Parties!$E$5:$E$304,V156)&lt;&gt;HomeState),0,ROUND(L156*M156/2,2)))</f>
        <v/>
      </c>
      <c r="O156" s="61" t="str">
        <f aca="false">IF($D156="","",N156)</f>
        <v/>
      </c>
      <c r="P156" s="61" t="str">
        <f aca="false">IF($D156="","",IF(AND(V156&lt;&gt;"",INDEX(Parties!$E$5:$E$304,V156)&lt;&gt;"",INDEX(Parties!$E$5:$E$304,V156)&lt;&gt;HomeState),ROUND(L156*M156,2),0))</f>
        <v/>
      </c>
      <c r="Q156" s="61" t="str">
        <f aca="false">IF($D156="","",L156+N156+O156+P156)</f>
        <v/>
      </c>
      <c r="R156" s="61" t="str">
        <f aca="false">IF($D156="","",ROUND(N($E156)*IFERROR(INDEX(Items!$P$5:$P$504,U156),0),2))</f>
        <v/>
      </c>
      <c r="S156" s="61" t="str">
        <f aca="false">IF($D156="","",L156-R156)</f>
        <v/>
      </c>
      <c r="T156" s="60" t="str">
        <f aca="false">IF($D156="","",IF(U156="","UNKNOWN ITEM",IF(INDEX(Items!$O$5:$O$504,U156)&lt;0,"NEG STOCK",IF(K156&lt;INDEX(Items!$P$5:$P$504,U156),"BELOW COST","OK"))))</f>
        <v/>
      </c>
      <c r="U156" s="60" t="str">
        <f aca="false">IF($D156="","",IFERROR(MATCH($D156,Items!$A$5:$A$504,0),""))</f>
        <v/>
      </c>
      <c r="V156" s="60" t="str">
        <f aca="false">IF($C156="","",IFERROR(MATCH($C156,Parties!$A$5:$A$304,0),""))</f>
        <v/>
      </c>
      <c r="W156" s="60" t="str">
        <f aca="false">IF($B156="","",IFERROR(VALUE(SUBSTITUTE($B156,InvPrefix,"")),0))</f>
        <v/>
      </c>
      <c r="X156" s="61" t="str">
        <f aca="false">IF($D156="","",IF(OR($H156="",$H156="Credit"),0,Q156))</f>
        <v/>
      </c>
    </row>
    <row r="157" customFormat="false" ht="15" hidden="false" customHeight="false" outlineLevel="0" collapsed="false">
      <c r="A157" s="55"/>
      <c r="B157" s="56"/>
      <c r="C157" s="56"/>
      <c r="D157" s="56"/>
      <c r="E157" s="57"/>
      <c r="F157" s="58"/>
      <c r="G157" s="59"/>
      <c r="H157" s="56"/>
      <c r="I157" s="56"/>
      <c r="J157" s="60" t="str">
        <f aca="false">IF($D157="","",IFERROR(INDEX(Items!$D$5:$D$504,U157),""))</f>
        <v/>
      </c>
      <c r="K157" s="61" t="str">
        <f aca="false">IF($D157="","",IF($F157="",IFERROR(INDEX(Items!$H$5:$H$504,U157),0),$F157))</f>
        <v/>
      </c>
      <c r="L157" s="61" t="str">
        <f aca="false">IF($D157="","",ROUND(N($E157)*K157*(1-N($G157)),2))</f>
        <v/>
      </c>
      <c r="M157" s="62" t="str">
        <f aca="false">IF($D157="","",IFERROR(INDEX(Items!$F$5:$F$504,U157),0))</f>
        <v/>
      </c>
      <c r="N157" s="61" t="str">
        <f aca="false">IF($D157="","",IF(AND(V157&lt;&gt;"",INDEX(Parties!$E$5:$E$304,V157)&lt;&gt;"",INDEX(Parties!$E$5:$E$304,V157)&lt;&gt;HomeState),0,ROUND(L157*M157/2,2)))</f>
        <v/>
      </c>
      <c r="O157" s="61" t="str">
        <f aca="false">IF($D157="","",N157)</f>
        <v/>
      </c>
      <c r="P157" s="61" t="str">
        <f aca="false">IF($D157="","",IF(AND(V157&lt;&gt;"",INDEX(Parties!$E$5:$E$304,V157)&lt;&gt;"",INDEX(Parties!$E$5:$E$304,V157)&lt;&gt;HomeState),ROUND(L157*M157,2),0))</f>
        <v/>
      </c>
      <c r="Q157" s="61" t="str">
        <f aca="false">IF($D157="","",L157+N157+O157+P157)</f>
        <v/>
      </c>
      <c r="R157" s="61" t="str">
        <f aca="false">IF($D157="","",ROUND(N($E157)*IFERROR(INDEX(Items!$P$5:$P$504,U157),0),2))</f>
        <v/>
      </c>
      <c r="S157" s="61" t="str">
        <f aca="false">IF($D157="","",L157-R157)</f>
        <v/>
      </c>
      <c r="T157" s="60" t="str">
        <f aca="false">IF($D157="","",IF(U157="","UNKNOWN ITEM",IF(INDEX(Items!$O$5:$O$504,U157)&lt;0,"NEG STOCK",IF(K157&lt;INDEX(Items!$P$5:$P$504,U157),"BELOW COST","OK"))))</f>
        <v/>
      </c>
      <c r="U157" s="60" t="str">
        <f aca="false">IF($D157="","",IFERROR(MATCH($D157,Items!$A$5:$A$504,0),""))</f>
        <v/>
      </c>
      <c r="V157" s="60" t="str">
        <f aca="false">IF($C157="","",IFERROR(MATCH($C157,Parties!$A$5:$A$304,0),""))</f>
        <v/>
      </c>
      <c r="W157" s="60" t="str">
        <f aca="false">IF($B157="","",IFERROR(VALUE(SUBSTITUTE($B157,InvPrefix,"")),0))</f>
        <v/>
      </c>
      <c r="X157" s="61" t="str">
        <f aca="false">IF($D157="","",IF(OR($H157="",$H157="Credit"),0,Q157))</f>
        <v/>
      </c>
    </row>
    <row r="158" customFormat="false" ht="15" hidden="false" customHeight="false" outlineLevel="0" collapsed="false">
      <c r="A158" s="55"/>
      <c r="B158" s="56"/>
      <c r="C158" s="56"/>
      <c r="D158" s="56"/>
      <c r="E158" s="57"/>
      <c r="F158" s="58"/>
      <c r="G158" s="59"/>
      <c r="H158" s="56"/>
      <c r="I158" s="56"/>
      <c r="J158" s="60" t="str">
        <f aca="false">IF($D158="","",IFERROR(INDEX(Items!$D$5:$D$504,U158),""))</f>
        <v/>
      </c>
      <c r="K158" s="61" t="str">
        <f aca="false">IF($D158="","",IF($F158="",IFERROR(INDEX(Items!$H$5:$H$504,U158),0),$F158))</f>
        <v/>
      </c>
      <c r="L158" s="61" t="str">
        <f aca="false">IF($D158="","",ROUND(N($E158)*K158*(1-N($G158)),2))</f>
        <v/>
      </c>
      <c r="M158" s="62" t="str">
        <f aca="false">IF($D158="","",IFERROR(INDEX(Items!$F$5:$F$504,U158),0))</f>
        <v/>
      </c>
      <c r="N158" s="61" t="str">
        <f aca="false">IF($D158="","",IF(AND(V158&lt;&gt;"",INDEX(Parties!$E$5:$E$304,V158)&lt;&gt;"",INDEX(Parties!$E$5:$E$304,V158)&lt;&gt;HomeState),0,ROUND(L158*M158/2,2)))</f>
        <v/>
      </c>
      <c r="O158" s="61" t="str">
        <f aca="false">IF($D158="","",N158)</f>
        <v/>
      </c>
      <c r="P158" s="61" t="str">
        <f aca="false">IF($D158="","",IF(AND(V158&lt;&gt;"",INDEX(Parties!$E$5:$E$304,V158)&lt;&gt;"",INDEX(Parties!$E$5:$E$304,V158)&lt;&gt;HomeState),ROUND(L158*M158,2),0))</f>
        <v/>
      </c>
      <c r="Q158" s="61" t="str">
        <f aca="false">IF($D158="","",L158+N158+O158+P158)</f>
        <v/>
      </c>
      <c r="R158" s="61" t="str">
        <f aca="false">IF($D158="","",ROUND(N($E158)*IFERROR(INDEX(Items!$P$5:$P$504,U158),0),2))</f>
        <v/>
      </c>
      <c r="S158" s="61" t="str">
        <f aca="false">IF($D158="","",L158-R158)</f>
        <v/>
      </c>
      <c r="T158" s="60" t="str">
        <f aca="false">IF($D158="","",IF(U158="","UNKNOWN ITEM",IF(INDEX(Items!$O$5:$O$504,U158)&lt;0,"NEG STOCK",IF(K158&lt;INDEX(Items!$P$5:$P$504,U158),"BELOW COST","OK"))))</f>
        <v/>
      </c>
      <c r="U158" s="60" t="str">
        <f aca="false">IF($D158="","",IFERROR(MATCH($D158,Items!$A$5:$A$504,0),""))</f>
        <v/>
      </c>
      <c r="V158" s="60" t="str">
        <f aca="false">IF($C158="","",IFERROR(MATCH($C158,Parties!$A$5:$A$304,0),""))</f>
        <v/>
      </c>
      <c r="W158" s="60" t="str">
        <f aca="false">IF($B158="","",IFERROR(VALUE(SUBSTITUTE($B158,InvPrefix,"")),0))</f>
        <v/>
      </c>
      <c r="X158" s="61" t="str">
        <f aca="false">IF($D158="","",IF(OR($H158="",$H158="Credit"),0,Q158))</f>
        <v/>
      </c>
    </row>
    <row r="159" customFormat="false" ht="15" hidden="false" customHeight="false" outlineLevel="0" collapsed="false">
      <c r="A159" s="55"/>
      <c r="B159" s="56"/>
      <c r="C159" s="56"/>
      <c r="D159" s="56"/>
      <c r="E159" s="57"/>
      <c r="F159" s="58"/>
      <c r="G159" s="59"/>
      <c r="H159" s="56"/>
      <c r="I159" s="56"/>
      <c r="J159" s="60" t="str">
        <f aca="false">IF($D159="","",IFERROR(INDEX(Items!$D$5:$D$504,U159),""))</f>
        <v/>
      </c>
      <c r="K159" s="61" t="str">
        <f aca="false">IF($D159="","",IF($F159="",IFERROR(INDEX(Items!$H$5:$H$504,U159),0),$F159))</f>
        <v/>
      </c>
      <c r="L159" s="61" t="str">
        <f aca="false">IF($D159="","",ROUND(N($E159)*K159*(1-N($G159)),2))</f>
        <v/>
      </c>
      <c r="M159" s="62" t="str">
        <f aca="false">IF($D159="","",IFERROR(INDEX(Items!$F$5:$F$504,U159),0))</f>
        <v/>
      </c>
      <c r="N159" s="61" t="str">
        <f aca="false">IF($D159="","",IF(AND(V159&lt;&gt;"",INDEX(Parties!$E$5:$E$304,V159)&lt;&gt;"",INDEX(Parties!$E$5:$E$304,V159)&lt;&gt;HomeState),0,ROUND(L159*M159/2,2)))</f>
        <v/>
      </c>
      <c r="O159" s="61" t="str">
        <f aca="false">IF($D159="","",N159)</f>
        <v/>
      </c>
      <c r="P159" s="61" t="str">
        <f aca="false">IF($D159="","",IF(AND(V159&lt;&gt;"",INDEX(Parties!$E$5:$E$304,V159)&lt;&gt;"",INDEX(Parties!$E$5:$E$304,V159)&lt;&gt;HomeState),ROUND(L159*M159,2),0))</f>
        <v/>
      </c>
      <c r="Q159" s="61" t="str">
        <f aca="false">IF($D159="","",L159+N159+O159+P159)</f>
        <v/>
      </c>
      <c r="R159" s="61" t="str">
        <f aca="false">IF($D159="","",ROUND(N($E159)*IFERROR(INDEX(Items!$P$5:$P$504,U159),0),2))</f>
        <v/>
      </c>
      <c r="S159" s="61" t="str">
        <f aca="false">IF($D159="","",L159-R159)</f>
        <v/>
      </c>
      <c r="T159" s="60" t="str">
        <f aca="false">IF($D159="","",IF(U159="","UNKNOWN ITEM",IF(INDEX(Items!$O$5:$O$504,U159)&lt;0,"NEG STOCK",IF(K159&lt;INDEX(Items!$P$5:$P$504,U159),"BELOW COST","OK"))))</f>
        <v/>
      </c>
      <c r="U159" s="60" t="str">
        <f aca="false">IF($D159="","",IFERROR(MATCH($D159,Items!$A$5:$A$504,0),""))</f>
        <v/>
      </c>
      <c r="V159" s="60" t="str">
        <f aca="false">IF($C159="","",IFERROR(MATCH($C159,Parties!$A$5:$A$304,0),""))</f>
        <v/>
      </c>
      <c r="W159" s="60" t="str">
        <f aca="false">IF($B159="","",IFERROR(VALUE(SUBSTITUTE($B159,InvPrefix,"")),0))</f>
        <v/>
      </c>
      <c r="X159" s="61" t="str">
        <f aca="false">IF($D159="","",IF(OR($H159="",$H159="Credit"),0,Q159))</f>
        <v/>
      </c>
    </row>
    <row r="160" customFormat="false" ht="15" hidden="false" customHeight="false" outlineLevel="0" collapsed="false">
      <c r="A160" s="55"/>
      <c r="B160" s="56"/>
      <c r="C160" s="56"/>
      <c r="D160" s="56"/>
      <c r="E160" s="57"/>
      <c r="F160" s="58"/>
      <c r="G160" s="59"/>
      <c r="H160" s="56"/>
      <c r="I160" s="56"/>
      <c r="J160" s="60" t="str">
        <f aca="false">IF($D160="","",IFERROR(INDEX(Items!$D$5:$D$504,U160),""))</f>
        <v/>
      </c>
      <c r="K160" s="61" t="str">
        <f aca="false">IF($D160="","",IF($F160="",IFERROR(INDEX(Items!$H$5:$H$504,U160),0),$F160))</f>
        <v/>
      </c>
      <c r="L160" s="61" t="str">
        <f aca="false">IF($D160="","",ROUND(N($E160)*K160*(1-N($G160)),2))</f>
        <v/>
      </c>
      <c r="M160" s="62" t="str">
        <f aca="false">IF($D160="","",IFERROR(INDEX(Items!$F$5:$F$504,U160),0))</f>
        <v/>
      </c>
      <c r="N160" s="61" t="str">
        <f aca="false">IF($D160="","",IF(AND(V160&lt;&gt;"",INDEX(Parties!$E$5:$E$304,V160)&lt;&gt;"",INDEX(Parties!$E$5:$E$304,V160)&lt;&gt;HomeState),0,ROUND(L160*M160/2,2)))</f>
        <v/>
      </c>
      <c r="O160" s="61" t="str">
        <f aca="false">IF($D160="","",N160)</f>
        <v/>
      </c>
      <c r="P160" s="61" t="str">
        <f aca="false">IF($D160="","",IF(AND(V160&lt;&gt;"",INDEX(Parties!$E$5:$E$304,V160)&lt;&gt;"",INDEX(Parties!$E$5:$E$304,V160)&lt;&gt;HomeState),ROUND(L160*M160,2),0))</f>
        <v/>
      </c>
      <c r="Q160" s="61" t="str">
        <f aca="false">IF($D160="","",L160+N160+O160+P160)</f>
        <v/>
      </c>
      <c r="R160" s="61" t="str">
        <f aca="false">IF($D160="","",ROUND(N($E160)*IFERROR(INDEX(Items!$P$5:$P$504,U160),0),2))</f>
        <v/>
      </c>
      <c r="S160" s="61" t="str">
        <f aca="false">IF($D160="","",L160-R160)</f>
        <v/>
      </c>
      <c r="T160" s="60" t="str">
        <f aca="false">IF($D160="","",IF(U160="","UNKNOWN ITEM",IF(INDEX(Items!$O$5:$O$504,U160)&lt;0,"NEG STOCK",IF(K160&lt;INDEX(Items!$P$5:$P$504,U160),"BELOW COST","OK"))))</f>
        <v/>
      </c>
      <c r="U160" s="60" t="str">
        <f aca="false">IF($D160="","",IFERROR(MATCH($D160,Items!$A$5:$A$504,0),""))</f>
        <v/>
      </c>
      <c r="V160" s="60" t="str">
        <f aca="false">IF($C160="","",IFERROR(MATCH($C160,Parties!$A$5:$A$304,0),""))</f>
        <v/>
      </c>
      <c r="W160" s="60" t="str">
        <f aca="false">IF($B160="","",IFERROR(VALUE(SUBSTITUTE($B160,InvPrefix,"")),0))</f>
        <v/>
      </c>
      <c r="X160" s="61" t="str">
        <f aca="false">IF($D160="","",IF(OR($H160="",$H160="Credit"),0,Q160))</f>
        <v/>
      </c>
    </row>
    <row r="161" customFormat="false" ht="15" hidden="false" customHeight="false" outlineLevel="0" collapsed="false">
      <c r="A161" s="55"/>
      <c r="B161" s="56"/>
      <c r="C161" s="56"/>
      <c r="D161" s="56"/>
      <c r="E161" s="57"/>
      <c r="F161" s="58"/>
      <c r="G161" s="59"/>
      <c r="H161" s="56"/>
      <c r="I161" s="56"/>
      <c r="J161" s="60" t="str">
        <f aca="false">IF($D161="","",IFERROR(INDEX(Items!$D$5:$D$504,U161),""))</f>
        <v/>
      </c>
      <c r="K161" s="61" t="str">
        <f aca="false">IF($D161="","",IF($F161="",IFERROR(INDEX(Items!$H$5:$H$504,U161),0),$F161))</f>
        <v/>
      </c>
      <c r="L161" s="61" t="str">
        <f aca="false">IF($D161="","",ROUND(N($E161)*K161*(1-N($G161)),2))</f>
        <v/>
      </c>
      <c r="M161" s="62" t="str">
        <f aca="false">IF($D161="","",IFERROR(INDEX(Items!$F$5:$F$504,U161),0))</f>
        <v/>
      </c>
      <c r="N161" s="61" t="str">
        <f aca="false">IF($D161="","",IF(AND(V161&lt;&gt;"",INDEX(Parties!$E$5:$E$304,V161)&lt;&gt;"",INDEX(Parties!$E$5:$E$304,V161)&lt;&gt;HomeState),0,ROUND(L161*M161/2,2)))</f>
        <v/>
      </c>
      <c r="O161" s="61" t="str">
        <f aca="false">IF($D161="","",N161)</f>
        <v/>
      </c>
      <c r="P161" s="61" t="str">
        <f aca="false">IF($D161="","",IF(AND(V161&lt;&gt;"",INDEX(Parties!$E$5:$E$304,V161)&lt;&gt;"",INDEX(Parties!$E$5:$E$304,V161)&lt;&gt;HomeState),ROUND(L161*M161,2),0))</f>
        <v/>
      </c>
      <c r="Q161" s="61" t="str">
        <f aca="false">IF($D161="","",L161+N161+O161+P161)</f>
        <v/>
      </c>
      <c r="R161" s="61" t="str">
        <f aca="false">IF($D161="","",ROUND(N($E161)*IFERROR(INDEX(Items!$P$5:$P$504,U161),0),2))</f>
        <v/>
      </c>
      <c r="S161" s="61" t="str">
        <f aca="false">IF($D161="","",L161-R161)</f>
        <v/>
      </c>
      <c r="T161" s="60" t="str">
        <f aca="false">IF($D161="","",IF(U161="","UNKNOWN ITEM",IF(INDEX(Items!$O$5:$O$504,U161)&lt;0,"NEG STOCK",IF(K161&lt;INDEX(Items!$P$5:$P$504,U161),"BELOW COST","OK"))))</f>
        <v/>
      </c>
      <c r="U161" s="60" t="str">
        <f aca="false">IF($D161="","",IFERROR(MATCH($D161,Items!$A$5:$A$504,0),""))</f>
        <v/>
      </c>
      <c r="V161" s="60" t="str">
        <f aca="false">IF($C161="","",IFERROR(MATCH($C161,Parties!$A$5:$A$304,0),""))</f>
        <v/>
      </c>
      <c r="W161" s="60" t="str">
        <f aca="false">IF($B161="","",IFERROR(VALUE(SUBSTITUTE($B161,InvPrefix,"")),0))</f>
        <v/>
      </c>
      <c r="X161" s="61" t="str">
        <f aca="false">IF($D161="","",IF(OR($H161="",$H161="Credit"),0,Q161))</f>
        <v/>
      </c>
    </row>
    <row r="162" customFormat="false" ht="15" hidden="false" customHeight="false" outlineLevel="0" collapsed="false">
      <c r="A162" s="55"/>
      <c r="B162" s="56"/>
      <c r="C162" s="56"/>
      <c r="D162" s="56"/>
      <c r="E162" s="57"/>
      <c r="F162" s="58"/>
      <c r="G162" s="59"/>
      <c r="H162" s="56"/>
      <c r="I162" s="56"/>
      <c r="J162" s="60" t="str">
        <f aca="false">IF($D162="","",IFERROR(INDEX(Items!$D$5:$D$504,U162),""))</f>
        <v/>
      </c>
      <c r="K162" s="61" t="str">
        <f aca="false">IF($D162="","",IF($F162="",IFERROR(INDEX(Items!$H$5:$H$504,U162),0),$F162))</f>
        <v/>
      </c>
      <c r="L162" s="61" t="str">
        <f aca="false">IF($D162="","",ROUND(N($E162)*K162*(1-N($G162)),2))</f>
        <v/>
      </c>
      <c r="M162" s="62" t="str">
        <f aca="false">IF($D162="","",IFERROR(INDEX(Items!$F$5:$F$504,U162),0))</f>
        <v/>
      </c>
      <c r="N162" s="61" t="str">
        <f aca="false">IF($D162="","",IF(AND(V162&lt;&gt;"",INDEX(Parties!$E$5:$E$304,V162)&lt;&gt;"",INDEX(Parties!$E$5:$E$304,V162)&lt;&gt;HomeState),0,ROUND(L162*M162/2,2)))</f>
        <v/>
      </c>
      <c r="O162" s="61" t="str">
        <f aca="false">IF($D162="","",N162)</f>
        <v/>
      </c>
      <c r="P162" s="61" t="str">
        <f aca="false">IF($D162="","",IF(AND(V162&lt;&gt;"",INDEX(Parties!$E$5:$E$304,V162)&lt;&gt;"",INDEX(Parties!$E$5:$E$304,V162)&lt;&gt;HomeState),ROUND(L162*M162,2),0))</f>
        <v/>
      </c>
      <c r="Q162" s="61" t="str">
        <f aca="false">IF($D162="","",L162+N162+O162+P162)</f>
        <v/>
      </c>
      <c r="R162" s="61" t="str">
        <f aca="false">IF($D162="","",ROUND(N($E162)*IFERROR(INDEX(Items!$P$5:$P$504,U162),0),2))</f>
        <v/>
      </c>
      <c r="S162" s="61" t="str">
        <f aca="false">IF($D162="","",L162-R162)</f>
        <v/>
      </c>
      <c r="T162" s="60" t="str">
        <f aca="false">IF($D162="","",IF(U162="","UNKNOWN ITEM",IF(INDEX(Items!$O$5:$O$504,U162)&lt;0,"NEG STOCK",IF(K162&lt;INDEX(Items!$P$5:$P$504,U162),"BELOW COST","OK"))))</f>
        <v/>
      </c>
      <c r="U162" s="60" t="str">
        <f aca="false">IF($D162="","",IFERROR(MATCH($D162,Items!$A$5:$A$504,0),""))</f>
        <v/>
      </c>
      <c r="V162" s="60" t="str">
        <f aca="false">IF($C162="","",IFERROR(MATCH($C162,Parties!$A$5:$A$304,0),""))</f>
        <v/>
      </c>
      <c r="W162" s="60" t="str">
        <f aca="false">IF($B162="","",IFERROR(VALUE(SUBSTITUTE($B162,InvPrefix,"")),0))</f>
        <v/>
      </c>
      <c r="X162" s="61" t="str">
        <f aca="false">IF($D162="","",IF(OR($H162="",$H162="Credit"),0,Q162))</f>
        <v/>
      </c>
    </row>
    <row r="163" customFormat="false" ht="15" hidden="false" customHeight="false" outlineLevel="0" collapsed="false">
      <c r="A163" s="55"/>
      <c r="B163" s="56"/>
      <c r="C163" s="56"/>
      <c r="D163" s="56"/>
      <c r="E163" s="57"/>
      <c r="F163" s="58"/>
      <c r="G163" s="59"/>
      <c r="H163" s="56"/>
      <c r="I163" s="56"/>
      <c r="J163" s="60" t="str">
        <f aca="false">IF($D163="","",IFERROR(INDEX(Items!$D$5:$D$504,U163),""))</f>
        <v/>
      </c>
      <c r="K163" s="61" t="str">
        <f aca="false">IF($D163="","",IF($F163="",IFERROR(INDEX(Items!$H$5:$H$504,U163),0),$F163))</f>
        <v/>
      </c>
      <c r="L163" s="61" t="str">
        <f aca="false">IF($D163="","",ROUND(N($E163)*K163*(1-N($G163)),2))</f>
        <v/>
      </c>
      <c r="M163" s="62" t="str">
        <f aca="false">IF($D163="","",IFERROR(INDEX(Items!$F$5:$F$504,U163),0))</f>
        <v/>
      </c>
      <c r="N163" s="61" t="str">
        <f aca="false">IF($D163="","",IF(AND(V163&lt;&gt;"",INDEX(Parties!$E$5:$E$304,V163)&lt;&gt;"",INDEX(Parties!$E$5:$E$304,V163)&lt;&gt;HomeState),0,ROUND(L163*M163/2,2)))</f>
        <v/>
      </c>
      <c r="O163" s="61" t="str">
        <f aca="false">IF($D163="","",N163)</f>
        <v/>
      </c>
      <c r="P163" s="61" t="str">
        <f aca="false">IF($D163="","",IF(AND(V163&lt;&gt;"",INDEX(Parties!$E$5:$E$304,V163)&lt;&gt;"",INDEX(Parties!$E$5:$E$304,V163)&lt;&gt;HomeState),ROUND(L163*M163,2),0))</f>
        <v/>
      </c>
      <c r="Q163" s="61" t="str">
        <f aca="false">IF($D163="","",L163+N163+O163+P163)</f>
        <v/>
      </c>
      <c r="R163" s="61" t="str">
        <f aca="false">IF($D163="","",ROUND(N($E163)*IFERROR(INDEX(Items!$P$5:$P$504,U163),0),2))</f>
        <v/>
      </c>
      <c r="S163" s="61" t="str">
        <f aca="false">IF($D163="","",L163-R163)</f>
        <v/>
      </c>
      <c r="T163" s="60" t="str">
        <f aca="false">IF($D163="","",IF(U163="","UNKNOWN ITEM",IF(INDEX(Items!$O$5:$O$504,U163)&lt;0,"NEG STOCK",IF(K163&lt;INDEX(Items!$P$5:$P$504,U163),"BELOW COST","OK"))))</f>
        <v/>
      </c>
      <c r="U163" s="60" t="str">
        <f aca="false">IF($D163="","",IFERROR(MATCH($D163,Items!$A$5:$A$504,0),""))</f>
        <v/>
      </c>
      <c r="V163" s="60" t="str">
        <f aca="false">IF($C163="","",IFERROR(MATCH($C163,Parties!$A$5:$A$304,0),""))</f>
        <v/>
      </c>
      <c r="W163" s="60" t="str">
        <f aca="false">IF($B163="","",IFERROR(VALUE(SUBSTITUTE($B163,InvPrefix,"")),0))</f>
        <v/>
      </c>
      <c r="X163" s="61" t="str">
        <f aca="false">IF($D163="","",IF(OR($H163="",$H163="Credit"),0,Q163))</f>
        <v/>
      </c>
    </row>
    <row r="164" customFormat="false" ht="15" hidden="false" customHeight="false" outlineLevel="0" collapsed="false">
      <c r="A164" s="55"/>
      <c r="B164" s="56"/>
      <c r="C164" s="56"/>
      <c r="D164" s="56"/>
      <c r="E164" s="57"/>
      <c r="F164" s="58"/>
      <c r="G164" s="59"/>
      <c r="H164" s="56"/>
      <c r="I164" s="56"/>
      <c r="J164" s="60" t="str">
        <f aca="false">IF($D164="","",IFERROR(INDEX(Items!$D$5:$D$504,U164),""))</f>
        <v/>
      </c>
      <c r="K164" s="61" t="str">
        <f aca="false">IF($D164="","",IF($F164="",IFERROR(INDEX(Items!$H$5:$H$504,U164),0),$F164))</f>
        <v/>
      </c>
      <c r="L164" s="61" t="str">
        <f aca="false">IF($D164="","",ROUND(N($E164)*K164*(1-N($G164)),2))</f>
        <v/>
      </c>
      <c r="M164" s="62" t="str">
        <f aca="false">IF($D164="","",IFERROR(INDEX(Items!$F$5:$F$504,U164),0))</f>
        <v/>
      </c>
      <c r="N164" s="61" t="str">
        <f aca="false">IF($D164="","",IF(AND(V164&lt;&gt;"",INDEX(Parties!$E$5:$E$304,V164)&lt;&gt;"",INDEX(Parties!$E$5:$E$304,V164)&lt;&gt;HomeState),0,ROUND(L164*M164/2,2)))</f>
        <v/>
      </c>
      <c r="O164" s="61" t="str">
        <f aca="false">IF($D164="","",N164)</f>
        <v/>
      </c>
      <c r="P164" s="61" t="str">
        <f aca="false">IF($D164="","",IF(AND(V164&lt;&gt;"",INDEX(Parties!$E$5:$E$304,V164)&lt;&gt;"",INDEX(Parties!$E$5:$E$304,V164)&lt;&gt;HomeState),ROUND(L164*M164,2),0))</f>
        <v/>
      </c>
      <c r="Q164" s="61" t="str">
        <f aca="false">IF($D164="","",L164+N164+O164+P164)</f>
        <v/>
      </c>
      <c r="R164" s="61" t="str">
        <f aca="false">IF($D164="","",ROUND(N($E164)*IFERROR(INDEX(Items!$P$5:$P$504,U164),0),2))</f>
        <v/>
      </c>
      <c r="S164" s="61" t="str">
        <f aca="false">IF($D164="","",L164-R164)</f>
        <v/>
      </c>
      <c r="T164" s="60" t="str">
        <f aca="false">IF($D164="","",IF(U164="","UNKNOWN ITEM",IF(INDEX(Items!$O$5:$O$504,U164)&lt;0,"NEG STOCK",IF(K164&lt;INDEX(Items!$P$5:$P$504,U164),"BELOW COST","OK"))))</f>
        <v/>
      </c>
      <c r="U164" s="60" t="str">
        <f aca="false">IF($D164="","",IFERROR(MATCH($D164,Items!$A$5:$A$504,0),""))</f>
        <v/>
      </c>
      <c r="V164" s="60" t="str">
        <f aca="false">IF($C164="","",IFERROR(MATCH($C164,Parties!$A$5:$A$304,0),""))</f>
        <v/>
      </c>
      <c r="W164" s="60" t="str">
        <f aca="false">IF($B164="","",IFERROR(VALUE(SUBSTITUTE($B164,InvPrefix,"")),0))</f>
        <v/>
      </c>
      <c r="X164" s="61" t="str">
        <f aca="false">IF($D164="","",IF(OR($H164="",$H164="Credit"),0,Q164))</f>
        <v/>
      </c>
    </row>
    <row r="165" customFormat="false" ht="15" hidden="false" customHeight="false" outlineLevel="0" collapsed="false">
      <c r="A165" s="55"/>
      <c r="B165" s="56"/>
      <c r="C165" s="56"/>
      <c r="D165" s="56"/>
      <c r="E165" s="57"/>
      <c r="F165" s="58"/>
      <c r="G165" s="59"/>
      <c r="H165" s="56"/>
      <c r="I165" s="56"/>
      <c r="J165" s="60" t="str">
        <f aca="false">IF($D165="","",IFERROR(INDEX(Items!$D$5:$D$504,U165),""))</f>
        <v/>
      </c>
      <c r="K165" s="61" t="str">
        <f aca="false">IF($D165="","",IF($F165="",IFERROR(INDEX(Items!$H$5:$H$504,U165),0),$F165))</f>
        <v/>
      </c>
      <c r="L165" s="61" t="str">
        <f aca="false">IF($D165="","",ROUND(N($E165)*K165*(1-N($G165)),2))</f>
        <v/>
      </c>
      <c r="M165" s="62" t="str">
        <f aca="false">IF($D165="","",IFERROR(INDEX(Items!$F$5:$F$504,U165),0))</f>
        <v/>
      </c>
      <c r="N165" s="61" t="str">
        <f aca="false">IF($D165="","",IF(AND(V165&lt;&gt;"",INDEX(Parties!$E$5:$E$304,V165)&lt;&gt;"",INDEX(Parties!$E$5:$E$304,V165)&lt;&gt;HomeState),0,ROUND(L165*M165/2,2)))</f>
        <v/>
      </c>
      <c r="O165" s="61" t="str">
        <f aca="false">IF($D165="","",N165)</f>
        <v/>
      </c>
      <c r="P165" s="61" t="str">
        <f aca="false">IF($D165="","",IF(AND(V165&lt;&gt;"",INDEX(Parties!$E$5:$E$304,V165)&lt;&gt;"",INDEX(Parties!$E$5:$E$304,V165)&lt;&gt;HomeState),ROUND(L165*M165,2),0))</f>
        <v/>
      </c>
      <c r="Q165" s="61" t="str">
        <f aca="false">IF($D165="","",L165+N165+O165+P165)</f>
        <v/>
      </c>
      <c r="R165" s="61" t="str">
        <f aca="false">IF($D165="","",ROUND(N($E165)*IFERROR(INDEX(Items!$P$5:$P$504,U165),0),2))</f>
        <v/>
      </c>
      <c r="S165" s="61" t="str">
        <f aca="false">IF($D165="","",L165-R165)</f>
        <v/>
      </c>
      <c r="T165" s="60" t="str">
        <f aca="false">IF($D165="","",IF(U165="","UNKNOWN ITEM",IF(INDEX(Items!$O$5:$O$504,U165)&lt;0,"NEG STOCK",IF(K165&lt;INDEX(Items!$P$5:$P$504,U165),"BELOW COST","OK"))))</f>
        <v/>
      </c>
      <c r="U165" s="60" t="str">
        <f aca="false">IF($D165="","",IFERROR(MATCH($D165,Items!$A$5:$A$504,0),""))</f>
        <v/>
      </c>
      <c r="V165" s="60" t="str">
        <f aca="false">IF($C165="","",IFERROR(MATCH($C165,Parties!$A$5:$A$304,0),""))</f>
        <v/>
      </c>
      <c r="W165" s="60" t="str">
        <f aca="false">IF($B165="","",IFERROR(VALUE(SUBSTITUTE($B165,InvPrefix,"")),0))</f>
        <v/>
      </c>
      <c r="X165" s="61" t="str">
        <f aca="false">IF($D165="","",IF(OR($H165="",$H165="Credit"),0,Q165))</f>
        <v/>
      </c>
    </row>
    <row r="166" customFormat="false" ht="15" hidden="false" customHeight="false" outlineLevel="0" collapsed="false">
      <c r="A166" s="55"/>
      <c r="B166" s="56"/>
      <c r="C166" s="56"/>
      <c r="D166" s="56"/>
      <c r="E166" s="57"/>
      <c r="F166" s="58"/>
      <c r="G166" s="59"/>
      <c r="H166" s="56"/>
      <c r="I166" s="56"/>
      <c r="J166" s="60" t="str">
        <f aca="false">IF($D166="","",IFERROR(INDEX(Items!$D$5:$D$504,U166),""))</f>
        <v/>
      </c>
      <c r="K166" s="61" t="str">
        <f aca="false">IF($D166="","",IF($F166="",IFERROR(INDEX(Items!$H$5:$H$504,U166),0),$F166))</f>
        <v/>
      </c>
      <c r="L166" s="61" t="str">
        <f aca="false">IF($D166="","",ROUND(N($E166)*K166*(1-N($G166)),2))</f>
        <v/>
      </c>
      <c r="M166" s="62" t="str">
        <f aca="false">IF($D166="","",IFERROR(INDEX(Items!$F$5:$F$504,U166),0))</f>
        <v/>
      </c>
      <c r="N166" s="61" t="str">
        <f aca="false">IF($D166="","",IF(AND(V166&lt;&gt;"",INDEX(Parties!$E$5:$E$304,V166)&lt;&gt;"",INDEX(Parties!$E$5:$E$304,V166)&lt;&gt;HomeState),0,ROUND(L166*M166/2,2)))</f>
        <v/>
      </c>
      <c r="O166" s="61" t="str">
        <f aca="false">IF($D166="","",N166)</f>
        <v/>
      </c>
      <c r="P166" s="61" t="str">
        <f aca="false">IF($D166="","",IF(AND(V166&lt;&gt;"",INDEX(Parties!$E$5:$E$304,V166)&lt;&gt;"",INDEX(Parties!$E$5:$E$304,V166)&lt;&gt;HomeState),ROUND(L166*M166,2),0))</f>
        <v/>
      </c>
      <c r="Q166" s="61" t="str">
        <f aca="false">IF($D166="","",L166+N166+O166+P166)</f>
        <v/>
      </c>
      <c r="R166" s="61" t="str">
        <f aca="false">IF($D166="","",ROUND(N($E166)*IFERROR(INDEX(Items!$P$5:$P$504,U166),0),2))</f>
        <v/>
      </c>
      <c r="S166" s="61" t="str">
        <f aca="false">IF($D166="","",L166-R166)</f>
        <v/>
      </c>
      <c r="T166" s="60" t="str">
        <f aca="false">IF($D166="","",IF(U166="","UNKNOWN ITEM",IF(INDEX(Items!$O$5:$O$504,U166)&lt;0,"NEG STOCK",IF(K166&lt;INDEX(Items!$P$5:$P$504,U166),"BELOW COST","OK"))))</f>
        <v/>
      </c>
      <c r="U166" s="60" t="str">
        <f aca="false">IF($D166="","",IFERROR(MATCH($D166,Items!$A$5:$A$504,0),""))</f>
        <v/>
      </c>
      <c r="V166" s="60" t="str">
        <f aca="false">IF($C166="","",IFERROR(MATCH($C166,Parties!$A$5:$A$304,0),""))</f>
        <v/>
      </c>
      <c r="W166" s="60" t="str">
        <f aca="false">IF($B166="","",IFERROR(VALUE(SUBSTITUTE($B166,InvPrefix,"")),0))</f>
        <v/>
      </c>
      <c r="X166" s="61" t="str">
        <f aca="false">IF($D166="","",IF(OR($H166="",$H166="Credit"),0,Q166))</f>
        <v/>
      </c>
    </row>
    <row r="167" customFormat="false" ht="15" hidden="false" customHeight="false" outlineLevel="0" collapsed="false">
      <c r="A167" s="55"/>
      <c r="B167" s="56"/>
      <c r="C167" s="56"/>
      <c r="D167" s="56"/>
      <c r="E167" s="57"/>
      <c r="F167" s="58"/>
      <c r="G167" s="59"/>
      <c r="H167" s="56"/>
      <c r="I167" s="56"/>
      <c r="J167" s="60" t="str">
        <f aca="false">IF($D167="","",IFERROR(INDEX(Items!$D$5:$D$504,U167),""))</f>
        <v/>
      </c>
      <c r="K167" s="61" t="str">
        <f aca="false">IF($D167="","",IF($F167="",IFERROR(INDEX(Items!$H$5:$H$504,U167),0),$F167))</f>
        <v/>
      </c>
      <c r="L167" s="61" t="str">
        <f aca="false">IF($D167="","",ROUND(N($E167)*K167*(1-N($G167)),2))</f>
        <v/>
      </c>
      <c r="M167" s="62" t="str">
        <f aca="false">IF($D167="","",IFERROR(INDEX(Items!$F$5:$F$504,U167),0))</f>
        <v/>
      </c>
      <c r="N167" s="61" t="str">
        <f aca="false">IF($D167="","",IF(AND(V167&lt;&gt;"",INDEX(Parties!$E$5:$E$304,V167)&lt;&gt;"",INDEX(Parties!$E$5:$E$304,V167)&lt;&gt;HomeState),0,ROUND(L167*M167/2,2)))</f>
        <v/>
      </c>
      <c r="O167" s="61" t="str">
        <f aca="false">IF($D167="","",N167)</f>
        <v/>
      </c>
      <c r="P167" s="61" t="str">
        <f aca="false">IF($D167="","",IF(AND(V167&lt;&gt;"",INDEX(Parties!$E$5:$E$304,V167)&lt;&gt;"",INDEX(Parties!$E$5:$E$304,V167)&lt;&gt;HomeState),ROUND(L167*M167,2),0))</f>
        <v/>
      </c>
      <c r="Q167" s="61" t="str">
        <f aca="false">IF($D167="","",L167+N167+O167+P167)</f>
        <v/>
      </c>
      <c r="R167" s="61" t="str">
        <f aca="false">IF($D167="","",ROUND(N($E167)*IFERROR(INDEX(Items!$P$5:$P$504,U167),0),2))</f>
        <v/>
      </c>
      <c r="S167" s="61" t="str">
        <f aca="false">IF($D167="","",L167-R167)</f>
        <v/>
      </c>
      <c r="T167" s="60" t="str">
        <f aca="false">IF($D167="","",IF(U167="","UNKNOWN ITEM",IF(INDEX(Items!$O$5:$O$504,U167)&lt;0,"NEG STOCK",IF(K167&lt;INDEX(Items!$P$5:$P$504,U167),"BELOW COST","OK"))))</f>
        <v/>
      </c>
      <c r="U167" s="60" t="str">
        <f aca="false">IF($D167="","",IFERROR(MATCH($D167,Items!$A$5:$A$504,0),""))</f>
        <v/>
      </c>
      <c r="V167" s="60" t="str">
        <f aca="false">IF($C167="","",IFERROR(MATCH($C167,Parties!$A$5:$A$304,0),""))</f>
        <v/>
      </c>
      <c r="W167" s="60" t="str">
        <f aca="false">IF($B167="","",IFERROR(VALUE(SUBSTITUTE($B167,InvPrefix,"")),0))</f>
        <v/>
      </c>
      <c r="X167" s="61" t="str">
        <f aca="false">IF($D167="","",IF(OR($H167="",$H167="Credit"),0,Q167))</f>
        <v/>
      </c>
    </row>
    <row r="168" customFormat="false" ht="15" hidden="false" customHeight="false" outlineLevel="0" collapsed="false">
      <c r="A168" s="55"/>
      <c r="B168" s="56"/>
      <c r="C168" s="56"/>
      <c r="D168" s="56"/>
      <c r="E168" s="57"/>
      <c r="F168" s="58"/>
      <c r="G168" s="59"/>
      <c r="H168" s="56"/>
      <c r="I168" s="56"/>
      <c r="J168" s="60" t="str">
        <f aca="false">IF($D168="","",IFERROR(INDEX(Items!$D$5:$D$504,U168),""))</f>
        <v/>
      </c>
      <c r="K168" s="61" t="str">
        <f aca="false">IF($D168="","",IF($F168="",IFERROR(INDEX(Items!$H$5:$H$504,U168),0),$F168))</f>
        <v/>
      </c>
      <c r="L168" s="61" t="str">
        <f aca="false">IF($D168="","",ROUND(N($E168)*K168*(1-N($G168)),2))</f>
        <v/>
      </c>
      <c r="M168" s="62" t="str">
        <f aca="false">IF($D168="","",IFERROR(INDEX(Items!$F$5:$F$504,U168),0))</f>
        <v/>
      </c>
      <c r="N168" s="61" t="str">
        <f aca="false">IF($D168="","",IF(AND(V168&lt;&gt;"",INDEX(Parties!$E$5:$E$304,V168)&lt;&gt;"",INDEX(Parties!$E$5:$E$304,V168)&lt;&gt;HomeState),0,ROUND(L168*M168/2,2)))</f>
        <v/>
      </c>
      <c r="O168" s="61" t="str">
        <f aca="false">IF($D168="","",N168)</f>
        <v/>
      </c>
      <c r="P168" s="61" t="str">
        <f aca="false">IF($D168="","",IF(AND(V168&lt;&gt;"",INDEX(Parties!$E$5:$E$304,V168)&lt;&gt;"",INDEX(Parties!$E$5:$E$304,V168)&lt;&gt;HomeState),ROUND(L168*M168,2),0))</f>
        <v/>
      </c>
      <c r="Q168" s="61" t="str">
        <f aca="false">IF($D168="","",L168+N168+O168+P168)</f>
        <v/>
      </c>
      <c r="R168" s="61" t="str">
        <f aca="false">IF($D168="","",ROUND(N($E168)*IFERROR(INDEX(Items!$P$5:$P$504,U168),0),2))</f>
        <v/>
      </c>
      <c r="S168" s="61" t="str">
        <f aca="false">IF($D168="","",L168-R168)</f>
        <v/>
      </c>
      <c r="T168" s="60" t="str">
        <f aca="false">IF($D168="","",IF(U168="","UNKNOWN ITEM",IF(INDEX(Items!$O$5:$O$504,U168)&lt;0,"NEG STOCK",IF(K168&lt;INDEX(Items!$P$5:$P$504,U168),"BELOW COST","OK"))))</f>
        <v/>
      </c>
      <c r="U168" s="60" t="str">
        <f aca="false">IF($D168="","",IFERROR(MATCH($D168,Items!$A$5:$A$504,0),""))</f>
        <v/>
      </c>
      <c r="V168" s="60" t="str">
        <f aca="false">IF($C168="","",IFERROR(MATCH($C168,Parties!$A$5:$A$304,0),""))</f>
        <v/>
      </c>
      <c r="W168" s="60" t="str">
        <f aca="false">IF($B168="","",IFERROR(VALUE(SUBSTITUTE($B168,InvPrefix,"")),0))</f>
        <v/>
      </c>
      <c r="X168" s="61" t="str">
        <f aca="false">IF($D168="","",IF(OR($H168="",$H168="Credit"),0,Q168))</f>
        <v/>
      </c>
    </row>
    <row r="169" customFormat="false" ht="15" hidden="false" customHeight="false" outlineLevel="0" collapsed="false">
      <c r="A169" s="55"/>
      <c r="B169" s="56"/>
      <c r="C169" s="56"/>
      <c r="D169" s="56"/>
      <c r="E169" s="57"/>
      <c r="F169" s="58"/>
      <c r="G169" s="59"/>
      <c r="H169" s="56"/>
      <c r="I169" s="56"/>
      <c r="J169" s="60" t="str">
        <f aca="false">IF($D169="","",IFERROR(INDEX(Items!$D$5:$D$504,U169),""))</f>
        <v/>
      </c>
      <c r="K169" s="61" t="str">
        <f aca="false">IF($D169="","",IF($F169="",IFERROR(INDEX(Items!$H$5:$H$504,U169),0),$F169))</f>
        <v/>
      </c>
      <c r="L169" s="61" t="str">
        <f aca="false">IF($D169="","",ROUND(N($E169)*K169*(1-N($G169)),2))</f>
        <v/>
      </c>
      <c r="M169" s="62" t="str">
        <f aca="false">IF($D169="","",IFERROR(INDEX(Items!$F$5:$F$504,U169),0))</f>
        <v/>
      </c>
      <c r="N169" s="61" t="str">
        <f aca="false">IF($D169="","",IF(AND(V169&lt;&gt;"",INDEX(Parties!$E$5:$E$304,V169)&lt;&gt;"",INDEX(Parties!$E$5:$E$304,V169)&lt;&gt;HomeState),0,ROUND(L169*M169/2,2)))</f>
        <v/>
      </c>
      <c r="O169" s="61" t="str">
        <f aca="false">IF($D169="","",N169)</f>
        <v/>
      </c>
      <c r="P169" s="61" t="str">
        <f aca="false">IF($D169="","",IF(AND(V169&lt;&gt;"",INDEX(Parties!$E$5:$E$304,V169)&lt;&gt;"",INDEX(Parties!$E$5:$E$304,V169)&lt;&gt;HomeState),ROUND(L169*M169,2),0))</f>
        <v/>
      </c>
      <c r="Q169" s="61" t="str">
        <f aca="false">IF($D169="","",L169+N169+O169+P169)</f>
        <v/>
      </c>
      <c r="R169" s="61" t="str">
        <f aca="false">IF($D169="","",ROUND(N($E169)*IFERROR(INDEX(Items!$P$5:$P$504,U169),0),2))</f>
        <v/>
      </c>
      <c r="S169" s="61" t="str">
        <f aca="false">IF($D169="","",L169-R169)</f>
        <v/>
      </c>
      <c r="T169" s="60" t="str">
        <f aca="false">IF($D169="","",IF(U169="","UNKNOWN ITEM",IF(INDEX(Items!$O$5:$O$504,U169)&lt;0,"NEG STOCK",IF(K169&lt;INDEX(Items!$P$5:$P$504,U169),"BELOW COST","OK"))))</f>
        <v/>
      </c>
      <c r="U169" s="60" t="str">
        <f aca="false">IF($D169="","",IFERROR(MATCH($D169,Items!$A$5:$A$504,0),""))</f>
        <v/>
      </c>
      <c r="V169" s="60" t="str">
        <f aca="false">IF($C169="","",IFERROR(MATCH($C169,Parties!$A$5:$A$304,0),""))</f>
        <v/>
      </c>
      <c r="W169" s="60" t="str">
        <f aca="false">IF($B169="","",IFERROR(VALUE(SUBSTITUTE($B169,InvPrefix,"")),0))</f>
        <v/>
      </c>
      <c r="X169" s="61" t="str">
        <f aca="false">IF($D169="","",IF(OR($H169="",$H169="Credit"),0,Q169))</f>
        <v/>
      </c>
    </row>
    <row r="170" customFormat="false" ht="15" hidden="false" customHeight="false" outlineLevel="0" collapsed="false">
      <c r="A170" s="55"/>
      <c r="B170" s="56"/>
      <c r="C170" s="56"/>
      <c r="D170" s="56"/>
      <c r="E170" s="57"/>
      <c r="F170" s="58"/>
      <c r="G170" s="59"/>
      <c r="H170" s="56"/>
      <c r="I170" s="56"/>
      <c r="J170" s="60" t="str">
        <f aca="false">IF($D170="","",IFERROR(INDEX(Items!$D$5:$D$504,U170),""))</f>
        <v/>
      </c>
      <c r="K170" s="61" t="str">
        <f aca="false">IF($D170="","",IF($F170="",IFERROR(INDEX(Items!$H$5:$H$504,U170),0),$F170))</f>
        <v/>
      </c>
      <c r="L170" s="61" t="str">
        <f aca="false">IF($D170="","",ROUND(N($E170)*K170*(1-N($G170)),2))</f>
        <v/>
      </c>
      <c r="M170" s="62" t="str">
        <f aca="false">IF($D170="","",IFERROR(INDEX(Items!$F$5:$F$504,U170),0))</f>
        <v/>
      </c>
      <c r="N170" s="61" t="str">
        <f aca="false">IF($D170="","",IF(AND(V170&lt;&gt;"",INDEX(Parties!$E$5:$E$304,V170)&lt;&gt;"",INDEX(Parties!$E$5:$E$304,V170)&lt;&gt;HomeState),0,ROUND(L170*M170/2,2)))</f>
        <v/>
      </c>
      <c r="O170" s="61" t="str">
        <f aca="false">IF($D170="","",N170)</f>
        <v/>
      </c>
      <c r="P170" s="61" t="str">
        <f aca="false">IF($D170="","",IF(AND(V170&lt;&gt;"",INDEX(Parties!$E$5:$E$304,V170)&lt;&gt;"",INDEX(Parties!$E$5:$E$304,V170)&lt;&gt;HomeState),ROUND(L170*M170,2),0))</f>
        <v/>
      </c>
      <c r="Q170" s="61" t="str">
        <f aca="false">IF($D170="","",L170+N170+O170+P170)</f>
        <v/>
      </c>
      <c r="R170" s="61" t="str">
        <f aca="false">IF($D170="","",ROUND(N($E170)*IFERROR(INDEX(Items!$P$5:$P$504,U170),0),2))</f>
        <v/>
      </c>
      <c r="S170" s="61" t="str">
        <f aca="false">IF($D170="","",L170-R170)</f>
        <v/>
      </c>
      <c r="T170" s="60" t="str">
        <f aca="false">IF($D170="","",IF(U170="","UNKNOWN ITEM",IF(INDEX(Items!$O$5:$O$504,U170)&lt;0,"NEG STOCK",IF(K170&lt;INDEX(Items!$P$5:$P$504,U170),"BELOW COST","OK"))))</f>
        <v/>
      </c>
      <c r="U170" s="60" t="str">
        <f aca="false">IF($D170="","",IFERROR(MATCH($D170,Items!$A$5:$A$504,0),""))</f>
        <v/>
      </c>
      <c r="V170" s="60" t="str">
        <f aca="false">IF($C170="","",IFERROR(MATCH($C170,Parties!$A$5:$A$304,0),""))</f>
        <v/>
      </c>
      <c r="W170" s="60" t="str">
        <f aca="false">IF($B170="","",IFERROR(VALUE(SUBSTITUTE($B170,InvPrefix,"")),0))</f>
        <v/>
      </c>
      <c r="X170" s="61" t="str">
        <f aca="false">IF($D170="","",IF(OR($H170="",$H170="Credit"),0,Q170))</f>
        <v/>
      </c>
    </row>
    <row r="171" customFormat="false" ht="15" hidden="false" customHeight="false" outlineLevel="0" collapsed="false">
      <c r="A171" s="55"/>
      <c r="B171" s="56"/>
      <c r="C171" s="56"/>
      <c r="D171" s="56"/>
      <c r="E171" s="57"/>
      <c r="F171" s="58"/>
      <c r="G171" s="59"/>
      <c r="H171" s="56"/>
      <c r="I171" s="56"/>
      <c r="J171" s="60" t="str">
        <f aca="false">IF($D171="","",IFERROR(INDEX(Items!$D$5:$D$504,U171),""))</f>
        <v/>
      </c>
      <c r="K171" s="61" t="str">
        <f aca="false">IF($D171="","",IF($F171="",IFERROR(INDEX(Items!$H$5:$H$504,U171),0),$F171))</f>
        <v/>
      </c>
      <c r="L171" s="61" t="str">
        <f aca="false">IF($D171="","",ROUND(N($E171)*K171*(1-N($G171)),2))</f>
        <v/>
      </c>
      <c r="M171" s="62" t="str">
        <f aca="false">IF($D171="","",IFERROR(INDEX(Items!$F$5:$F$504,U171),0))</f>
        <v/>
      </c>
      <c r="N171" s="61" t="str">
        <f aca="false">IF($D171="","",IF(AND(V171&lt;&gt;"",INDEX(Parties!$E$5:$E$304,V171)&lt;&gt;"",INDEX(Parties!$E$5:$E$304,V171)&lt;&gt;HomeState),0,ROUND(L171*M171/2,2)))</f>
        <v/>
      </c>
      <c r="O171" s="61" t="str">
        <f aca="false">IF($D171="","",N171)</f>
        <v/>
      </c>
      <c r="P171" s="61" t="str">
        <f aca="false">IF($D171="","",IF(AND(V171&lt;&gt;"",INDEX(Parties!$E$5:$E$304,V171)&lt;&gt;"",INDEX(Parties!$E$5:$E$304,V171)&lt;&gt;HomeState),ROUND(L171*M171,2),0))</f>
        <v/>
      </c>
      <c r="Q171" s="61" t="str">
        <f aca="false">IF($D171="","",L171+N171+O171+P171)</f>
        <v/>
      </c>
      <c r="R171" s="61" t="str">
        <f aca="false">IF($D171="","",ROUND(N($E171)*IFERROR(INDEX(Items!$P$5:$P$504,U171),0),2))</f>
        <v/>
      </c>
      <c r="S171" s="61" t="str">
        <f aca="false">IF($D171="","",L171-R171)</f>
        <v/>
      </c>
      <c r="T171" s="60" t="str">
        <f aca="false">IF($D171="","",IF(U171="","UNKNOWN ITEM",IF(INDEX(Items!$O$5:$O$504,U171)&lt;0,"NEG STOCK",IF(K171&lt;INDEX(Items!$P$5:$P$504,U171),"BELOW COST","OK"))))</f>
        <v/>
      </c>
      <c r="U171" s="60" t="str">
        <f aca="false">IF($D171="","",IFERROR(MATCH($D171,Items!$A$5:$A$504,0),""))</f>
        <v/>
      </c>
      <c r="V171" s="60" t="str">
        <f aca="false">IF($C171="","",IFERROR(MATCH($C171,Parties!$A$5:$A$304,0),""))</f>
        <v/>
      </c>
      <c r="W171" s="60" t="str">
        <f aca="false">IF($B171="","",IFERROR(VALUE(SUBSTITUTE($B171,InvPrefix,"")),0))</f>
        <v/>
      </c>
      <c r="X171" s="61" t="str">
        <f aca="false">IF($D171="","",IF(OR($H171="",$H171="Credit"),0,Q171))</f>
        <v/>
      </c>
    </row>
    <row r="172" customFormat="false" ht="15" hidden="false" customHeight="false" outlineLevel="0" collapsed="false">
      <c r="A172" s="55"/>
      <c r="B172" s="56"/>
      <c r="C172" s="56"/>
      <c r="D172" s="56"/>
      <c r="E172" s="57"/>
      <c r="F172" s="58"/>
      <c r="G172" s="59"/>
      <c r="H172" s="56"/>
      <c r="I172" s="56"/>
      <c r="J172" s="60" t="str">
        <f aca="false">IF($D172="","",IFERROR(INDEX(Items!$D$5:$D$504,U172),""))</f>
        <v/>
      </c>
      <c r="K172" s="61" t="str">
        <f aca="false">IF($D172="","",IF($F172="",IFERROR(INDEX(Items!$H$5:$H$504,U172),0),$F172))</f>
        <v/>
      </c>
      <c r="L172" s="61" t="str">
        <f aca="false">IF($D172="","",ROUND(N($E172)*K172*(1-N($G172)),2))</f>
        <v/>
      </c>
      <c r="M172" s="62" t="str">
        <f aca="false">IF($D172="","",IFERROR(INDEX(Items!$F$5:$F$504,U172),0))</f>
        <v/>
      </c>
      <c r="N172" s="61" t="str">
        <f aca="false">IF($D172="","",IF(AND(V172&lt;&gt;"",INDEX(Parties!$E$5:$E$304,V172)&lt;&gt;"",INDEX(Parties!$E$5:$E$304,V172)&lt;&gt;HomeState),0,ROUND(L172*M172/2,2)))</f>
        <v/>
      </c>
      <c r="O172" s="61" t="str">
        <f aca="false">IF($D172="","",N172)</f>
        <v/>
      </c>
      <c r="P172" s="61" t="str">
        <f aca="false">IF($D172="","",IF(AND(V172&lt;&gt;"",INDEX(Parties!$E$5:$E$304,V172)&lt;&gt;"",INDEX(Parties!$E$5:$E$304,V172)&lt;&gt;HomeState),ROUND(L172*M172,2),0))</f>
        <v/>
      </c>
      <c r="Q172" s="61" t="str">
        <f aca="false">IF($D172="","",L172+N172+O172+P172)</f>
        <v/>
      </c>
      <c r="R172" s="61" t="str">
        <f aca="false">IF($D172="","",ROUND(N($E172)*IFERROR(INDEX(Items!$P$5:$P$504,U172),0),2))</f>
        <v/>
      </c>
      <c r="S172" s="61" t="str">
        <f aca="false">IF($D172="","",L172-R172)</f>
        <v/>
      </c>
      <c r="T172" s="60" t="str">
        <f aca="false">IF($D172="","",IF(U172="","UNKNOWN ITEM",IF(INDEX(Items!$O$5:$O$504,U172)&lt;0,"NEG STOCK",IF(K172&lt;INDEX(Items!$P$5:$P$504,U172),"BELOW COST","OK"))))</f>
        <v/>
      </c>
      <c r="U172" s="60" t="str">
        <f aca="false">IF($D172="","",IFERROR(MATCH($D172,Items!$A$5:$A$504,0),""))</f>
        <v/>
      </c>
      <c r="V172" s="60" t="str">
        <f aca="false">IF($C172="","",IFERROR(MATCH($C172,Parties!$A$5:$A$304,0),""))</f>
        <v/>
      </c>
      <c r="W172" s="60" t="str">
        <f aca="false">IF($B172="","",IFERROR(VALUE(SUBSTITUTE($B172,InvPrefix,"")),0))</f>
        <v/>
      </c>
      <c r="X172" s="61" t="str">
        <f aca="false">IF($D172="","",IF(OR($H172="",$H172="Credit"),0,Q172))</f>
        <v/>
      </c>
    </row>
    <row r="173" customFormat="false" ht="15" hidden="false" customHeight="false" outlineLevel="0" collapsed="false">
      <c r="A173" s="55"/>
      <c r="B173" s="56"/>
      <c r="C173" s="56"/>
      <c r="D173" s="56"/>
      <c r="E173" s="57"/>
      <c r="F173" s="58"/>
      <c r="G173" s="59"/>
      <c r="H173" s="56"/>
      <c r="I173" s="56"/>
      <c r="J173" s="60" t="str">
        <f aca="false">IF($D173="","",IFERROR(INDEX(Items!$D$5:$D$504,U173),""))</f>
        <v/>
      </c>
      <c r="K173" s="61" t="str">
        <f aca="false">IF($D173="","",IF($F173="",IFERROR(INDEX(Items!$H$5:$H$504,U173),0),$F173))</f>
        <v/>
      </c>
      <c r="L173" s="61" t="str">
        <f aca="false">IF($D173="","",ROUND(N($E173)*K173*(1-N($G173)),2))</f>
        <v/>
      </c>
      <c r="M173" s="62" t="str">
        <f aca="false">IF($D173="","",IFERROR(INDEX(Items!$F$5:$F$504,U173),0))</f>
        <v/>
      </c>
      <c r="N173" s="61" t="str">
        <f aca="false">IF($D173="","",IF(AND(V173&lt;&gt;"",INDEX(Parties!$E$5:$E$304,V173)&lt;&gt;"",INDEX(Parties!$E$5:$E$304,V173)&lt;&gt;HomeState),0,ROUND(L173*M173/2,2)))</f>
        <v/>
      </c>
      <c r="O173" s="61" t="str">
        <f aca="false">IF($D173="","",N173)</f>
        <v/>
      </c>
      <c r="P173" s="61" t="str">
        <f aca="false">IF($D173="","",IF(AND(V173&lt;&gt;"",INDEX(Parties!$E$5:$E$304,V173)&lt;&gt;"",INDEX(Parties!$E$5:$E$304,V173)&lt;&gt;HomeState),ROUND(L173*M173,2),0))</f>
        <v/>
      </c>
      <c r="Q173" s="61" t="str">
        <f aca="false">IF($D173="","",L173+N173+O173+P173)</f>
        <v/>
      </c>
      <c r="R173" s="61" t="str">
        <f aca="false">IF($D173="","",ROUND(N($E173)*IFERROR(INDEX(Items!$P$5:$P$504,U173),0),2))</f>
        <v/>
      </c>
      <c r="S173" s="61" t="str">
        <f aca="false">IF($D173="","",L173-R173)</f>
        <v/>
      </c>
      <c r="T173" s="60" t="str">
        <f aca="false">IF($D173="","",IF(U173="","UNKNOWN ITEM",IF(INDEX(Items!$O$5:$O$504,U173)&lt;0,"NEG STOCK",IF(K173&lt;INDEX(Items!$P$5:$P$504,U173),"BELOW COST","OK"))))</f>
        <v/>
      </c>
      <c r="U173" s="60" t="str">
        <f aca="false">IF($D173="","",IFERROR(MATCH($D173,Items!$A$5:$A$504,0),""))</f>
        <v/>
      </c>
      <c r="V173" s="60" t="str">
        <f aca="false">IF($C173="","",IFERROR(MATCH($C173,Parties!$A$5:$A$304,0),""))</f>
        <v/>
      </c>
      <c r="W173" s="60" t="str">
        <f aca="false">IF($B173="","",IFERROR(VALUE(SUBSTITUTE($B173,InvPrefix,"")),0))</f>
        <v/>
      </c>
      <c r="X173" s="61" t="str">
        <f aca="false">IF($D173="","",IF(OR($H173="",$H173="Credit"),0,Q173))</f>
        <v/>
      </c>
    </row>
    <row r="174" customFormat="false" ht="15" hidden="false" customHeight="false" outlineLevel="0" collapsed="false">
      <c r="A174" s="55"/>
      <c r="B174" s="56"/>
      <c r="C174" s="56"/>
      <c r="D174" s="56"/>
      <c r="E174" s="57"/>
      <c r="F174" s="58"/>
      <c r="G174" s="59"/>
      <c r="H174" s="56"/>
      <c r="I174" s="56"/>
      <c r="J174" s="60" t="str">
        <f aca="false">IF($D174="","",IFERROR(INDEX(Items!$D$5:$D$504,U174),""))</f>
        <v/>
      </c>
      <c r="K174" s="61" t="str">
        <f aca="false">IF($D174="","",IF($F174="",IFERROR(INDEX(Items!$H$5:$H$504,U174),0),$F174))</f>
        <v/>
      </c>
      <c r="L174" s="61" t="str">
        <f aca="false">IF($D174="","",ROUND(N($E174)*K174*(1-N($G174)),2))</f>
        <v/>
      </c>
      <c r="M174" s="62" t="str">
        <f aca="false">IF($D174="","",IFERROR(INDEX(Items!$F$5:$F$504,U174),0))</f>
        <v/>
      </c>
      <c r="N174" s="61" t="str">
        <f aca="false">IF($D174="","",IF(AND(V174&lt;&gt;"",INDEX(Parties!$E$5:$E$304,V174)&lt;&gt;"",INDEX(Parties!$E$5:$E$304,V174)&lt;&gt;HomeState),0,ROUND(L174*M174/2,2)))</f>
        <v/>
      </c>
      <c r="O174" s="61" t="str">
        <f aca="false">IF($D174="","",N174)</f>
        <v/>
      </c>
      <c r="P174" s="61" t="str">
        <f aca="false">IF($D174="","",IF(AND(V174&lt;&gt;"",INDEX(Parties!$E$5:$E$304,V174)&lt;&gt;"",INDEX(Parties!$E$5:$E$304,V174)&lt;&gt;HomeState),ROUND(L174*M174,2),0))</f>
        <v/>
      </c>
      <c r="Q174" s="61" t="str">
        <f aca="false">IF($D174="","",L174+N174+O174+P174)</f>
        <v/>
      </c>
      <c r="R174" s="61" t="str">
        <f aca="false">IF($D174="","",ROUND(N($E174)*IFERROR(INDEX(Items!$P$5:$P$504,U174),0),2))</f>
        <v/>
      </c>
      <c r="S174" s="61" t="str">
        <f aca="false">IF($D174="","",L174-R174)</f>
        <v/>
      </c>
      <c r="T174" s="60" t="str">
        <f aca="false">IF($D174="","",IF(U174="","UNKNOWN ITEM",IF(INDEX(Items!$O$5:$O$504,U174)&lt;0,"NEG STOCK",IF(K174&lt;INDEX(Items!$P$5:$P$504,U174),"BELOW COST","OK"))))</f>
        <v/>
      </c>
      <c r="U174" s="60" t="str">
        <f aca="false">IF($D174="","",IFERROR(MATCH($D174,Items!$A$5:$A$504,0),""))</f>
        <v/>
      </c>
      <c r="V174" s="60" t="str">
        <f aca="false">IF($C174="","",IFERROR(MATCH($C174,Parties!$A$5:$A$304,0),""))</f>
        <v/>
      </c>
      <c r="W174" s="60" t="str">
        <f aca="false">IF($B174="","",IFERROR(VALUE(SUBSTITUTE($B174,InvPrefix,"")),0))</f>
        <v/>
      </c>
      <c r="X174" s="61" t="str">
        <f aca="false">IF($D174="","",IF(OR($H174="",$H174="Credit"),0,Q174))</f>
        <v/>
      </c>
    </row>
    <row r="175" customFormat="false" ht="15" hidden="false" customHeight="false" outlineLevel="0" collapsed="false">
      <c r="A175" s="55"/>
      <c r="B175" s="56"/>
      <c r="C175" s="56"/>
      <c r="D175" s="56"/>
      <c r="E175" s="57"/>
      <c r="F175" s="58"/>
      <c r="G175" s="59"/>
      <c r="H175" s="56"/>
      <c r="I175" s="56"/>
      <c r="J175" s="60" t="str">
        <f aca="false">IF($D175="","",IFERROR(INDEX(Items!$D$5:$D$504,U175),""))</f>
        <v/>
      </c>
      <c r="K175" s="61" t="str">
        <f aca="false">IF($D175="","",IF($F175="",IFERROR(INDEX(Items!$H$5:$H$504,U175),0),$F175))</f>
        <v/>
      </c>
      <c r="L175" s="61" t="str">
        <f aca="false">IF($D175="","",ROUND(N($E175)*K175*(1-N($G175)),2))</f>
        <v/>
      </c>
      <c r="M175" s="62" t="str">
        <f aca="false">IF($D175="","",IFERROR(INDEX(Items!$F$5:$F$504,U175),0))</f>
        <v/>
      </c>
      <c r="N175" s="61" t="str">
        <f aca="false">IF($D175="","",IF(AND(V175&lt;&gt;"",INDEX(Parties!$E$5:$E$304,V175)&lt;&gt;"",INDEX(Parties!$E$5:$E$304,V175)&lt;&gt;HomeState),0,ROUND(L175*M175/2,2)))</f>
        <v/>
      </c>
      <c r="O175" s="61" t="str">
        <f aca="false">IF($D175="","",N175)</f>
        <v/>
      </c>
      <c r="P175" s="61" t="str">
        <f aca="false">IF($D175="","",IF(AND(V175&lt;&gt;"",INDEX(Parties!$E$5:$E$304,V175)&lt;&gt;"",INDEX(Parties!$E$5:$E$304,V175)&lt;&gt;HomeState),ROUND(L175*M175,2),0))</f>
        <v/>
      </c>
      <c r="Q175" s="61" t="str">
        <f aca="false">IF($D175="","",L175+N175+O175+P175)</f>
        <v/>
      </c>
      <c r="R175" s="61" t="str">
        <f aca="false">IF($D175="","",ROUND(N($E175)*IFERROR(INDEX(Items!$P$5:$P$504,U175),0),2))</f>
        <v/>
      </c>
      <c r="S175" s="61" t="str">
        <f aca="false">IF($D175="","",L175-R175)</f>
        <v/>
      </c>
      <c r="T175" s="60" t="str">
        <f aca="false">IF($D175="","",IF(U175="","UNKNOWN ITEM",IF(INDEX(Items!$O$5:$O$504,U175)&lt;0,"NEG STOCK",IF(K175&lt;INDEX(Items!$P$5:$P$504,U175),"BELOW COST","OK"))))</f>
        <v/>
      </c>
      <c r="U175" s="60" t="str">
        <f aca="false">IF($D175="","",IFERROR(MATCH($D175,Items!$A$5:$A$504,0),""))</f>
        <v/>
      </c>
      <c r="V175" s="60" t="str">
        <f aca="false">IF($C175="","",IFERROR(MATCH($C175,Parties!$A$5:$A$304,0),""))</f>
        <v/>
      </c>
      <c r="W175" s="60" t="str">
        <f aca="false">IF($B175="","",IFERROR(VALUE(SUBSTITUTE($B175,InvPrefix,"")),0))</f>
        <v/>
      </c>
      <c r="X175" s="61" t="str">
        <f aca="false">IF($D175="","",IF(OR($H175="",$H175="Credit"),0,Q175))</f>
        <v/>
      </c>
    </row>
    <row r="176" customFormat="false" ht="15" hidden="false" customHeight="false" outlineLevel="0" collapsed="false">
      <c r="A176" s="55"/>
      <c r="B176" s="56"/>
      <c r="C176" s="56"/>
      <c r="D176" s="56"/>
      <c r="E176" s="57"/>
      <c r="F176" s="58"/>
      <c r="G176" s="59"/>
      <c r="H176" s="56"/>
      <c r="I176" s="56"/>
      <c r="J176" s="60" t="str">
        <f aca="false">IF($D176="","",IFERROR(INDEX(Items!$D$5:$D$504,U176),""))</f>
        <v/>
      </c>
      <c r="K176" s="61" t="str">
        <f aca="false">IF($D176="","",IF($F176="",IFERROR(INDEX(Items!$H$5:$H$504,U176),0),$F176))</f>
        <v/>
      </c>
      <c r="L176" s="61" t="str">
        <f aca="false">IF($D176="","",ROUND(N($E176)*K176*(1-N($G176)),2))</f>
        <v/>
      </c>
      <c r="M176" s="62" t="str">
        <f aca="false">IF($D176="","",IFERROR(INDEX(Items!$F$5:$F$504,U176),0))</f>
        <v/>
      </c>
      <c r="N176" s="61" t="str">
        <f aca="false">IF($D176="","",IF(AND(V176&lt;&gt;"",INDEX(Parties!$E$5:$E$304,V176)&lt;&gt;"",INDEX(Parties!$E$5:$E$304,V176)&lt;&gt;HomeState),0,ROUND(L176*M176/2,2)))</f>
        <v/>
      </c>
      <c r="O176" s="61" t="str">
        <f aca="false">IF($D176="","",N176)</f>
        <v/>
      </c>
      <c r="P176" s="61" t="str">
        <f aca="false">IF($D176="","",IF(AND(V176&lt;&gt;"",INDEX(Parties!$E$5:$E$304,V176)&lt;&gt;"",INDEX(Parties!$E$5:$E$304,V176)&lt;&gt;HomeState),ROUND(L176*M176,2),0))</f>
        <v/>
      </c>
      <c r="Q176" s="61" t="str">
        <f aca="false">IF($D176="","",L176+N176+O176+P176)</f>
        <v/>
      </c>
      <c r="R176" s="61" t="str">
        <f aca="false">IF($D176="","",ROUND(N($E176)*IFERROR(INDEX(Items!$P$5:$P$504,U176),0),2))</f>
        <v/>
      </c>
      <c r="S176" s="61" t="str">
        <f aca="false">IF($D176="","",L176-R176)</f>
        <v/>
      </c>
      <c r="T176" s="60" t="str">
        <f aca="false">IF($D176="","",IF(U176="","UNKNOWN ITEM",IF(INDEX(Items!$O$5:$O$504,U176)&lt;0,"NEG STOCK",IF(K176&lt;INDEX(Items!$P$5:$P$504,U176),"BELOW COST","OK"))))</f>
        <v/>
      </c>
      <c r="U176" s="60" t="str">
        <f aca="false">IF($D176="","",IFERROR(MATCH($D176,Items!$A$5:$A$504,0),""))</f>
        <v/>
      </c>
      <c r="V176" s="60" t="str">
        <f aca="false">IF($C176="","",IFERROR(MATCH($C176,Parties!$A$5:$A$304,0),""))</f>
        <v/>
      </c>
      <c r="W176" s="60" t="str">
        <f aca="false">IF($B176="","",IFERROR(VALUE(SUBSTITUTE($B176,InvPrefix,"")),0))</f>
        <v/>
      </c>
      <c r="X176" s="61" t="str">
        <f aca="false">IF($D176="","",IF(OR($H176="",$H176="Credit"),0,Q176))</f>
        <v/>
      </c>
    </row>
    <row r="177" customFormat="false" ht="15" hidden="false" customHeight="false" outlineLevel="0" collapsed="false">
      <c r="A177" s="55"/>
      <c r="B177" s="56"/>
      <c r="C177" s="56"/>
      <c r="D177" s="56"/>
      <c r="E177" s="57"/>
      <c r="F177" s="58"/>
      <c r="G177" s="59"/>
      <c r="H177" s="56"/>
      <c r="I177" s="56"/>
      <c r="J177" s="60" t="str">
        <f aca="false">IF($D177="","",IFERROR(INDEX(Items!$D$5:$D$504,U177),""))</f>
        <v/>
      </c>
      <c r="K177" s="61" t="str">
        <f aca="false">IF($D177="","",IF($F177="",IFERROR(INDEX(Items!$H$5:$H$504,U177),0),$F177))</f>
        <v/>
      </c>
      <c r="L177" s="61" t="str">
        <f aca="false">IF($D177="","",ROUND(N($E177)*K177*(1-N($G177)),2))</f>
        <v/>
      </c>
      <c r="M177" s="62" t="str">
        <f aca="false">IF($D177="","",IFERROR(INDEX(Items!$F$5:$F$504,U177),0))</f>
        <v/>
      </c>
      <c r="N177" s="61" t="str">
        <f aca="false">IF($D177="","",IF(AND(V177&lt;&gt;"",INDEX(Parties!$E$5:$E$304,V177)&lt;&gt;"",INDEX(Parties!$E$5:$E$304,V177)&lt;&gt;HomeState),0,ROUND(L177*M177/2,2)))</f>
        <v/>
      </c>
      <c r="O177" s="61" t="str">
        <f aca="false">IF($D177="","",N177)</f>
        <v/>
      </c>
      <c r="P177" s="61" t="str">
        <f aca="false">IF($D177="","",IF(AND(V177&lt;&gt;"",INDEX(Parties!$E$5:$E$304,V177)&lt;&gt;"",INDEX(Parties!$E$5:$E$304,V177)&lt;&gt;HomeState),ROUND(L177*M177,2),0))</f>
        <v/>
      </c>
      <c r="Q177" s="61" t="str">
        <f aca="false">IF($D177="","",L177+N177+O177+P177)</f>
        <v/>
      </c>
      <c r="R177" s="61" t="str">
        <f aca="false">IF($D177="","",ROUND(N($E177)*IFERROR(INDEX(Items!$P$5:$P$504,U177),0),2))</f>
        <v/>
      </c>
      <c r="S177" s="61" t="str">
        <f aca="false">IF($D177="","",L177-R177)</f>
        <v/>
      </c>
      <c r="T177" s="60" t="str">
        <f aca="false">IF($D177="","",IF(U177="","UNKNOWN ITEM",IF(INDEX(Items!$O$5:$O$504,U177)&lt;0,"NEG STOCK",IF(K177&lt;INDEX(Items!$P$5:$P$504,U177),"BELOW COST","OK"))))</f>
        <v/>
      </c>
      <c r="U177" s="60" t="str">
        <f aca="false">IF($D177="","",IFERROR(MATCH($D177,Items!$A$5:$A$504,0),""))</f>
        <v/>
      </c>
      <c r="V177" s="60" t="str">
        <f aca="false">IF($C177="","",IFERROR(MATCH($C177,Parties!$A$5:$A$304,0),""))</f>
        <v/>
      </c>
      <c r="W177" s="60" t="str">
        <f aca="false">IF($B177="","",IFERROR(VALUE(SUBSTITUTE($B177,InvPrefix,"")),0))</f>
        <v/>
      </c>
      <c r="X177" s="61" t="str">
        <f aca="false">IF($D177="","",IF(OR($H177="",$H177="Credit"),0,Q177))</f>
        <v/>
      </c>
    </row>
    <row r="178" customFormat="false" ht="15" hidden="false" customHeight="false" outlineLevel="0" collapsed="false">
      <c r="A178" s="55"/>
      <c r="B178" s="56"/>
      <c r="C178" s="56"/>
      <c r="D178" s="56"/>
      <c r="E178" s="57"/>
      <c r="F178" s="58"/>
      <c r="G178" s="59"/>
      <c r="H178" s="56"/>
      <c r="I178" s="56"/>
      <c r="J178" s="60" t="str">
        <f aca="false">IF($D178="","",IFERROR(INDEX(Items!$D$5:$D$504,U178),""))</f>
        <v/>
      </c>
      <c r="K178" s="61" t="str">
        <f aca="false">IF($D178="","",IF($F178="",IFERROR(INDEX(Items!$H$5:$H$504,U178),0),$F178))</f>
        <v/>
      </c>
      <c r="L178" s="61" t="str">
        <f aca="false">IF($D178="","",ROUND(N($E178)*K178*(1-N($G178)),2))</f>
        <v/>
      </c>
      <c r="M178" s="62" t="str">
        <f aca="false">IF($D178="","",IFERROR(INDEX(Items!$F$5:$F$504,U178),0))</f>
        <v/>
      </c>
      <c r="N178" s="61" t="str">
        <f aca="false">IF($D178="","",IF(AND(V178&lt;&gt;"",INDEX(Parties!$E$5:$E$304,V178)&lt;&gt;"",INDEX(Parties!$E$5:$E$304,V178)&lt;&gt;HomeState),0,ROUND(L178*M178/2,2)))</f>
        <v/>
      </c>
      <c r="O178" s="61" t="str">
        <f aca="false">IF($D178="","",N178)</f>
        <v/>
      </c>
      <c r="P178" s="61" t="str">
        <f aca="false">IF($D178="","",IF(AND(V178&lt;&gt;"",INDEX(Parties!$E$5:$E$304,V178)&lt;&gt;"",INDEX(Parties!$E$5:$E$304,V178)&lt;&gt;HomeState),ROUND(L178*M178,2),0))</f>
        <v/>
      </c>
      <c r="Q178" s="61" t="str">
        <f aca="false">IF($D178="","",L178+N178+O178+P178)</f>
        <v/>
      </c>
      <c r="R178" s="61" t="str">
        <f aca="false">IF($D178="","",ROUND(N($E178)*IFERROR(INDEX(Items!$P$5:$P$504,U178),0),2))</f>
        <v/>
      </c>
      <c r="S178" s="61" t="str">
        <f aca="false">IF($D178="","",L178-R178)</f>
        <v/>
      </c>
      <c r="T178" s="60" t="str">
        <f aca="false">IF($D178="","",IF(U178="","UNKNOWN ITEM",IF(INDEX(Items!$O$5:$O$504,U178)&lt;0,"NEG STOCK",IF(K178&lt;INDEX(Items!$P$5:$P$504,U178),"BELOW COST","OK"))))</f>
        <v/>
      </c>
      <c r="U178" s="60" t="str">
        <f aca="false">IF($D178="","",IFERROR(MATCH($D178,Items!$A$5:$A$504,0),""))</f>
        <v/>
      </c>
      <c r="V178" s="60" t="str">
        <f aca="false">IF($C178="","",IFERROR(MATCH($C178,Parties!$A$5:$A$304,0),""))</f>
        <v/>
      </c>
      <c r="W178" s="60" t="str">
        <f aca="false">IF($B178="","",IFERROR(VALUE(SUBSTITUTE($B178,InvPrefix,"")),0))</f>
        <v/>
      </c>
      <c r="X178" s="61" t="str">
        <f aca="false">IF($D178="","",IF(OR($H178="",$H178="Credit"),0,Q178))</f>
        <v/>
      </c>
    </row>
    <row r="179" customFormat="false" ht="15" hidden="false" customHeight="false" outlineLevel="0" collapsed="false">
      <c r="A179" s="55"/>
      <c r="B179" s="56"/>
      <c r="C179" s="56"/>
      <c r="D179" s="56"/>
      <c r="E179" s="57"/>
      <c r="F179" s="58"/>
      <c r="G179" s="59"/>
      <c r="H179" s="56"/>
      <c r="I179" s="56"/>
      <c r="J179" s="60" t="str">
        <f aca="false">IF($D179="","",IFERROR(INDEX(Items!$D$5:$D$504,U179),""))</f>
        <v/>
      </c>
      <c r="K179" s="61" t="str">
        <f aca="false">IF($D179="","",IF($F179="",IFERROR(INDEX(Items!$H$5:$H$504,U179),0),$F179))</f>
        <v/>
      </c>
      <c r="L179" s="61" t="str">
        <f aca="false">IF($D179="","",ROUND(N($E179)*K179*(1-N($G179)),2))</f>
        <v/>
      </c>
      <c r="M179" s="62" t="str">
        <f aca="false">IF($D179="","",IFERROR(INDEX(Items!$F$5:$F$504,U179),0))</f>
        <v/>
      </c>
      <c r="N179" s="61" t="str">
        <f aca="false">IF($D179="","",IF(AND(V179&lt;&gt;"",INDEX(Parties!$E$5:$E$304,V179)&lt;&gt;"",INDEX(Parties!$E$5:$E$304,V179)&lt;&gt;HomeState),0,ROUND(L179*M179/2,2)))</f>
        <v/>
      </c>
      <c r="O179" s="61" t="str">
        <f aca="false">IF($D179="","",N179)</f>
        <v/>
      </c>
      <c r="P179" s="61" t="str">
        <f aca="false">IF($D179="","",IF(AND(V179&lt;&gt;"",INDEX(Parties!$E$5:$E$304,V179)&lt;&gt;"",INDEX(Parties!$E$5:$E$304,V179)&lt;&gt;HomeState),ROUND(L179*M179,2),0))</f>
        <v/>
      </c>
      <c r="Q179" s="61" t="str">
        <f aca="false">IF($D179="","",L179+N179+O179+P179)</f>
        <v/>
      </c>
      <c r="R179" s="61" t="str">
        <f aca="false">IF($D179="","",ROUND(N($E179)*IFERROR(INDEX(Items!$P$5:$P$504,U179),0),2))</f>
        <v/>
      </c>
      <c r="S179" s="61" t="str">
        <f aca="false">IF($D179="","",L179-R179)</f>
        <v/>
      </c>
      <c r="T179" s="60" t="str">
        <f aca="false">IF($D179="","",IF(U179="","UNKNOWN ITEM",IF(INDEX(Items!$O$5:$O$504,U179)&lt;0,"NEG STOCK",IF(K179&lt;INDEX(Items!$P$5:$P$504,U179),"BELOW COST","OK"))))</f>
        <v/>
      </c>
      <c r="U179" s="60" t="str">
        <f aca="false">IF($D179="","",IFERROR(MATCH($D179,Items!$A$5:$A$504,0),""))</f>
        <v/>
      </c>
      <c r="V179" s="60" t="str">
        <f aca="false">IF($C179="","",IFERROR(MATCH($C179,Parties!$A$5:$A$304,0),""))</f>
        <v/>
      </c>
      <c r="W179" s="60" t="str">
        <f aca="false">IF($B179="","",IFERROR(VALUE(SUBSTITUTE($B179,InvPrefix,"")),0))</f>
        <v/>
      </c>
      <c r="X179" s="61" t="str">
        <f aca="false">IF($D179="","",IF(OR($H179="",$H179="Credit"),0,Q179))</f>
        <v/>
      </c>
    </row>
    <row r="180" customFormat="false" ht="15" hidden="false" customHeight="false" outlineLevel="0" collapsed="false">
      <c r="A180" s="55"/>
      <c r="B180" s="56"/>
      <c r="C180" s="56"/>
      <c r="D180" s="56"/>
      <c r="E180" s="57"/>
      <c r="F180" s="58"/>
      <c r="G180" s="59"/>
      <c r="H180" s="56"/>
      <c r="I180" s="56"/>
      <c r="J180" s="60" t="str">
        <f aca="false">IF($D180="","",IFERROR(INDEX(Items!$D$5:$D$504,U180),""))</f>
        <v/>
      </c>
      <c r="K180" s="61" t="str">
        <f aca="false">IF($D180="","",IF($F180="",IFERROR(INDEX(Items!$H$5:$H$504,U180),0),$F180))</f>
        <v/>
      </c>
      <c r="L180" s="61" t="str">
        <f aca="false">IF($D180="","",ROUND(N($E180)*K180*(1-N($G180)),2))</f>
        <v/>
      </c>
      <c r="M180" s="62" t="str">
        <f aca="false">IF($D180="","",IFERROR(INDEX(Items!$F$5:$F$504,U180),0))</f>
        <v/>
      </c>
      <c r="N180" s="61" t="str">
        <f aca="false">IF($D180="","",IF(AND(V180&lt;&gt;"",INDEX(Parties!$E$5:$E$304,V180)&lt;&gt;"",INDEX(Parties!$E$5:$E$304,V180)&lt;&gt;HomeState),0,ROUND(L180*M180/2,2)))</f>
        <v/>
      </c>
      <c r="O180" s="61" t="str">
        <f aca="false">IF($D180="","",N180)</f>
        <v/>
      </c>
      <c r="P180" s="61" t="str">
        <f aca="false">IF($D180="","",IF(AND(V180&lt;&gt;"",INDEX(Parties!$E$5:$E$304,V180)&lt;&gt;"",INDEX(Parties!$E$5:$E$304,V180)&lt;&gt;HomeState),ROUND(L180*M180,2),0))</f>
        <v/>
      </c>
      <c r="Q180" s="61" t="str">
        <f aca="false">IF($D180="","",L180+N180+O180+P180)</f>
        <v/>
      </c>
      <c r="R180" s="61" t="str">
        <f aca="false">IF($D180="","",ROUND(N($E180)*IFERROR(INDEX(Items!$P$5:$P$504,U180),0),2))</f>
        <v/>
      </c>
      <c r="S180" s="61" t="str">
        <f aca="false">IF($D180="","",L180-R180)</f>
        <v/>
      </c>
      <c r="T180" s="60" t="str">
        <f aca="false">IF($D180="","",IF(U180="","UNKNOWN ITEM",IF(INDEX(Items!$O$5:$O$504,U180)&lt;0,"NEG STOCK",IF(K180&lt;INDEX(Items!$P$5:$P$504,U180),"BELOW COST","OK"))))</f>
        <v/>
      </c>
      <c r="U180" s="60" t="str">
        <f aca="false">IF($D180="","",IFERROR(MATCH($D180,Items!$A$5:$A$504,0),""))</f>
        <v/>
      </c>
      <c r="V180" s="60" t="str">
        <f aca="false">IF($C180="","",IFERROR(MATCH($C180,Parties!$A$5:$A$304,0),""))</f>
        <v/>
      </c>
      <c r="W180" s="60" t="str">
        <f aca="false">IF($B180="","",IFERROR(VALUE(SUBSTITUTE($B180,InvPrefix,"")),0))</f>
        <v/>
      </c>
      <c r="X180" s="61" t="str">
        <f aca="false">IF($D180="","",IF(OR($H180="",$H180="Credit"),0,Q180))</f>
        <v/>
      </c>
    </row>
    <row r="181" customFormat="false" ht="15" hidden="false" customHeight="false" outlineLevel="0" collapsed="false">
      <c r="A181" s="55"/>
      <c r="B181" s="56"/>
      <c r="C181" s="56"/>
      <c r="D181" s="56"/>
      <c r="E181" s="57"/>
      <c r="F181" s="58"/>
      <c r="G181" s="59"/>
      <c r="H181" s="56"/>
      <c r="I181" s="56"/>
      <c r="J181" s="60" t="str">
        <f aca="false">IF($D181="","",IFERROR(INDEX(Items!$D$5:$D$504,U181),""))</f>
        <v/>
      </c>
      <c r="K181" s="61" t="str">
        <f aca="false">IF($D181="","",IF($F181="",IFERROR(INDEX(Items!$H$5:$H$504,U181),0),$F181))</f>
        <v/>
      </c>
      <c r="L181" s="61" t="str">
        <f aca="false">IF($D181="","",ROUND(N($E181)*K181*(1-N($G181)),2))</f>
        <v/>
      </c>
      <c r="M181" s="62" t="str">
        <f aca="false">IF($D181="","",IFERROR(INDEX(Items!$F$5:$F$504,U181),0))</f>
        <v/>
      </c>
      <c r="N181" s="61" t="str">
        <f aca="false">IF($D181="","",IF(AND(V181&lt;&gt;"",INDEX(Parties!$E$5:$E$304,V181)&lt;&gt;"",INDEX(Parties!$E$5:$E$304,V181)&lt;&gt;HomeState),0,ROUND(L181*M181/2,2)))</f>
        <v/>
      </c>
      <c r="O181" s="61" t="str">
        <f aca="false">IF($D181="","",N181)</f>
        <v/>
      </c>
      <c r="P181" s="61" t="str">
        <f aca="false">IF($D181="","",IF(AND(V181&lt;&gt;"",INDEX(Parties!$E$5:$E$304,V181)&lt;&gt;"",INDEX(Parties!$E$5:$E$304,V181)&lt;&gt;HomeState),ROUND(L181*M181,2),0))</f>
        <v/>
      </c>
      <c r="Q181" s="61" t="str">
        <f aca="false">IF($D181="","",L181+N181+O181+P181)</f>
        <v/>
      </c>
      <c r="R181" s="61" t="str">
        <f aca="false">IF($D181="","",ROUND(N($E181)*IFERROR(INDEX(Items!$P$5:$P$504,U181),0),2))</f>
        <v/>
      </c>
      <c r="S181" s="61" t="str">
        <f aca="false">IF($D181="","",L181-R181)</f>
        <v/>
      </c>
      <c r="T181" s="60" t="str">
        <f aca="false">IF($D181="","",IF(U181="","UNKNOWN ITEM",IF(INDEX(Items!$O$5:$O$504,U181)&lt;0,"NEG STOCK",IF(K181&lt;INDEX(Items!$P$5:$P$504,U181),"BELOW COST","OK"))))</f>
        <v/>
      </c>
      <c r="U181" s="60" t="str">
        <f aca="false">IF($D181="","",IFERROR(MATCH($D181,Items!$A$5:$A$504,0),""))</f>
        <v/>
      </c>
      <c r="V181" s="60" t="str">
        <f aca="false">IF($C181="","",IFERROR(MATCH($C181,Parties!$A$5:$A$304,0),""))</f>
        <v/>
      </c>
      <c r="W181" s="60" t="str">
        <f aca="false">IF($B181="","",IFERROR(VALUE(SUBSTITUTE($B181,InvPrefix,"")),0))</f>
        <v/>
      </c>
      <c r="X181" s="61" t="str">
        <f aca="false">IF($D181="","",IF(OR($H181="",$H181="Credit"),0,Q181))</f>
        <v/>
      </c>
    </row>
    <row r="182" customFormat="false" ht="15" hidden="false" customHeight="false" outlineLevel="0" collapsed="false">
      <c r="A182" s="55"/>
      <c r="B182" s="56"/>
      <c r="C182" s="56"/>
      <c r="D182" s="56"/>
      <c r="E182" s="57"/>
      <c r="F182" s="58"/>
      <c r="G182" s="59"/>
      <c r="H182" s="56"/>
      <c r="I182" s="56"/>
      <c r="J182" s="60" t="str">
        <f aca="false">IF($D182="","",IFERROR(INDEX(Items!$D$5:$D$504,U182),""))</f>
        <v/>
      </c>
      <c r="K182" s="61" t="str">
        <f aca="false">IF($D182="","",IF($F182="",IFERROR(INDEX(Items!$H$5:$H$504,U182),0),$F182))</f>
        <v/>
      </c>
      <c r="L182" s="61" t="str">
        <f aca="false">IF($D182="","",ROUND(N($E182)*K182*(1-N($G182)),2))</f>
        <v/>
      </c>
      <c r="M182" s="62" t="str">
        <f aca="false">IF($D182="","",IFERROR(INDEX(Items!$F$5:$F$504,U182),0))</f>
        <v/>
      </c>
      <c r="N182" s="61" t="str">
        <f aca="false">IF($D182="","",IF(AND(V182&lt;&gt;"",INDEX(Parties!$E$5:$E$304,V182)&lt;&gt;"",INDEX(Parties!$E$5:$E$304,V182)&lt;&gt;HomeState),0,ROUND(L182*M182/2,2)))</f>
        <v/>
      </c>
      <c r="O182" s="61" t="str">
        <f aca="false">IF($D182="","",N182)</f>
        <v/>
      </c>
      <c r="P182" s="61" t="str">
        <f aca="false">IF($D182="","",IF(AND(V182&lt;&gt;"",INDEX(Parties!$E$5:$E$304,V182)&lt;&gt;"",INDEX(Parties!$E$5:$E$304,V182)&lt;&gt;HomeState),ROUND(L182*M182,2),0))</f>
        <v/>
      </c>
      <c r="Q182" s="61" t="str">
        <f aca="false">IF($D182="","",L182+N182+O182+P182)</f>
        <v/>
      </c>
      <c r="R182" s="61" t="str">
        <f aca="false">IF($D182="","",ROUND(N($E182)*IFERROR(INDEX(Items!$P$5:$P$504,U182),0),2))</f>
        <v/>
      </c>
      <c r="S182" s="61" t="str">
        <f aca="false">IF($D182="","",L182-R182)</f>
        <v/>
      </c>
      <c r="T182" s="60" t="str">
        <f aca="false">IF($D182="","",IF(U182="","UNKNOWN ITEM",IF(INDEX(Items!$O$5:$O$504,U182)&lt;0,"NEG STOCK",IF(K182&lt;INDEX(Items!$P$5:$P$504,U182),"BELOW COST","OK"))))</f>
        <v/>
      </c>
      <c r="U182" s="60" t="str">
        <f aca="false">IF($D182="","",IFERROR(MATCH($D182,Items!$A$5:$A$504,0),""))</f>
        <v/>
      </c>
      <c r="V182" s="60" t="str">
        <f aca="false">IF($C182="","",IFERROR(MATCH($C182,Parties!$A$5:$A$304,0),""))</f>
        <v/>
      </c>
      <c r="W182" s="60" t="str">
        <f aca="false">IF($B182="","",IFERROR(VALUE(SUBSTITUTE($B182,InvPrefix,"")),0))</f>
        <v/>
      </c>
      <c r="X182" s="61" t="str">
        <f aca="false">IF($D182="","",IF(OR($H182="",$H182="Credit"),0,Q182))</f>
        <v/>
      </c>
    </row>
    <row r="183" customFormat="false" ht="15" hidden="false" customHeight="false" outlineLevel="0" collapsed="false">
      <c r="A183" s="55"/>
      <c r="B183" s="56"/>
      <c r="C183" s="56"/>
      <c r="D183" s="56"/>
      <c r="E183" s="57"/>
      <c r="F183" s="58"/>
      <c r="G183" s="59"/>
      <c r="H183" s="56"/>
      <c r="I183" s="56"/>
      <c r="J183" s="60" t="str">
        <f aca="false">IF($D183="","",IFERROR(INDEX(Items!$D$5:$D$504,U183),""))</f>
        <v/>
      </c>
      <c r="K183" s="61" t="str">
        <f aca="false">IF($D183="","",IF($F183="",IFERROR(INDEX(Items!$H$5:$H$504,U183),0),$F183))</f>
        <v/>
      </c>
      <c r="L183" s="61" t="str">
        <f aca="false">IF($D183="","",ROUND(N($E183)*K183*(1-N($G183)),2))</f>
        <v/>
      </c>
      <c r="M183" s="62" t="str">
        <f aca="false">IF($D183="","",IFERROR(INDEX(Items!$F$5:$F$504,U183),0))</f>
        <v/>
      </c>
      <c r="N183" s="61" t="str">
        <f aca="false">IF($D183="","",IF(AND(V183&lt;&gt;"",INDEX(Parties!$E$5:$E$304,V183)&lt;&gt;"",INDEX(Parties!$E$5:$E$304,V183)&lt;&gt;HomeState),0,ROUND(L183*M183/2,2)))</f>
        <v/>
      </c>
      <c r="O183" s="61" t="str">
        <f aca="false">IF($D183="","",N183)</f>
        <v/>
      </c>
      <c r="P183" s="61" t="str">
        <f aca="false">IF($D183="","",IF(AND(V183&lt;&gt;"",INDEX(Parties!$E$5:$E$304,V183)&lt;&gt;"",INDEX(Parties!$E$5:$E$304,V183)&lt;&gt;HomeState),ROUND(L183*M183,2),0))</f>
        <v/>
      </c>
      <c r="Q183" s="61" t="str">
        <f aca="false">IF($D183="","",L183+N183+O183+P183)</f>
        <v/>
      </c>
      <c r="R183" s="61" t="str">
        <f aca="false">IF($D183="","",ROUND(N($E183)*IFERROR(INDEX(Items!$P$5:$P$504,U183),0),2))</f>
        <v/>
      </c>
      <c r="S183" s="61" t="str">
        <f aca="false">IF($D183="","",L183-R183)</f>
        <v/>
      </c>
      <c r="T183" s="60" t="str">
        <f aca="false">IF($D183="","",IF(U183="","UNKNOWN ITEM",IF(INDEX(Items!$O$5:$O$504,U183)&lt;0,"NEG STOCK",IF(K183&lt;INDEX(Items!$P$5:$P$504,U183),"BELOW COST","OK"))))</f>
        <v/>
      </c>
      <c r="U183" s="60" t="str">
        <f aca="false">IF($D183="","",IFERROR(MATCH($D183,Items!$A$5:$A$504,0),""))</f>
        <v/>
      </c>
      <c r="V183" s="60" t="str">
        <f aca="false">IF($C183="","",IFERROR(MATCH($C183,Parties!$A$5:$A$304,0),""))</f>
        <v/>
      </c>
      <c r="W183" s="60" t="str">
        <f aca="false">IF($B183="","",IFERROR(VALUE(SUBSTITUTE($B183,InvPrefix,"")),0))</f>
        <v/>
      </c>
      <c r="X183" s="61" t="str">
        <f aca="false">IF($D183="","",IF(OR($H183="",$H183="Credit"),0,Q183))</f>
        <v/>
      </c>
    </row>
    <row r="184" customFormat="false" ht="15" hidden="false" customHeight="false" outlineLevel="0" collapsed="false">
      <c r="A184" s="55"/>
      <c r="B184" s="56"/>
      <c r="C184" s="56"/>
      <c r="D184" s="56"/>
      <c r="E184" s="57"/>
      <c r="F184" s="58"/>
      <c r="G184" s="59"/>
      <c r="H184" s="56"/>
      <c r="I184" s="56"/>
      <c r="J184" s="60" t="str">
        <f aca="false">IF($D184="","",IFERROR(INDEX(Items!$D$5:$D$504,U184),""))</f>
        <v/>
      </c>
      <c r="K184" s="61" t="str">
        <f aca="false">IF($D184="","",IF($F184="",IFERROR(INDEX(Items!$H$5:$H$504,U184),0),$F184))</f>
        <v/>
      </c>
      <c r="L184" s="61" t="str">
        <f aca="false">IF($D184="","",ROUND(N($E184)*K184*(1-N($G184)),2))</f>
        <v/>
      </c>
      <c r="M184" s="62" t="str">
        <f aca="false">IF($D184="","",IFERROR(INDEX(Items!$F$5:$F$504,U184),0))</f>
        <v/>
      </c>
      <c r="N184" s="61" t="str">
        <f aca="false">IF($D184="","",IF(AND(V184&lt;&gt;"",INDEX(Parties!$E$5:$E$304,V184)&lt;&gt;"",INDEX(Parties!$E$5:$E$304,V184)&lt;&gt;HomeState),0,ROUND(L184*M184/2,2)))</f>
        <v/>
      </c>
      <c r="O184" s="61" t="str">
        <f aca="false">IF($D184="","",N184)</f>
        <v/>
      </c>
      <c r="P184" s="61" t="str">
        <f aca="false">IF($D184="","",IF(AND(V184&lt;&gt;"",INDEX(Parties!$E$5:$E$304,V184)&lt;&gt;"",INDEX(Parties!$E$5:$E$304,V184)&lt;&gt;HomeState),ROUND(L184*M184,2),0))</f>
        <v/>
      </c>
      <c r="Q184" s="61" t="str">
        <f aca="false">IF($D184="","",L184+N184+O184+P184)</f>
        <v/>
      </c>
      <c r="R184" s="61" t="str">
        <f aca="false">IF($D184="","",ROUND(N($E184)*IFERROR(INDEX(Items!$P$5:$P$504,U184),0),2))</f>
        <v/>
      </c>
      <c r="S184" s="61" t="str">
        <f aca="false">IF($D184="","",L184-R184)</f>
        <v/>
      </c>
      <c r="T184" s="60" t="str">
        <f aca="false">IF($D184="","",IF(U184="","UNKNOWN ITEM",IF(INDEX(Items!$O$5:$O$504,U184)&lt;0,"NEG STOCK",IF(K184&lt;INDEX(Items!$P$5:$P$504,U184),"BELOW COST","OK"))))</f>
        <v/>
      </c>
      <c r="U184" s="60" t="str">
        <f aca="false">IF($D184="","",IFERROR(MATCH($D184,Items!$A$5:$A$504,0),""))</f>
        <v/>
      </c>
      <c r="V184" s="60" t="str">
        <f aca="false">IF($C184="","",IFERROR(MATCH($C184,Parties!$A$5:$A$304,0),""))</f>
        <v/>
      </c>
      <c r="W184" s="60" t="str">
        <f aca="false">IF($B184="","",IFERROR(VALUE(SUBSTITUTE($B184,InvPrefix,"")),0))</f>
        <v/>
      </c>
      <c r="X184" s="61" t="str">
        <f aca="false">IF($D184="","",IF(OR($H184="",$H184="Credit"),0,Q184))</f>
        <v/>
      </c>
    </row>
    <row r="185" customFormat="false" ht="15" hidden="false" customHeight="false" outlineLevel="0" collapsed="false">
      <c r="A185" s="55"/>
      <c r="B185" s="56"/>
      <c r="C185" s="56"/>
      <c r="D185" s="56"/>
      <c r="E185" s="57"/>
      <c r="F185" s="58"/>
      <c r="G185" s="59"/>
      <c r="H185" s="56"/>
      <c r="I185" s="56"/>
      <c r="J185" s="60" t="str">
        <f aca="false">IF($D185="","",IFERROR(INDEX(Items!$D$5:$D$504,U185),""))</f>
        <v/>
      </c>
      <c r="K185" s="61" t="str">
        <f aca="false">IF($D185="","",IF($F185="",IFERROR(INDEX(Items!$H$5:$H$504,U185),0),$F185))</f>
        <v/>
      </c>
      <c r="L185" s="61" t="str">
        <f aca="false">IF($D185="","",ROUND(N($E185)*K185*(1-N($G185)),2))</f>
        <v/>
      </c>
      <c r="M185" s="62" t="str">
        <f aca="false">IF($D185="","",IFERROR(INDEX(Items!$F$5:$F$504,U185),0))</f>
        <v/>
      </c>
      <c r="N185" s="61" t="str">
        <f aca="false">IF($D185="","",IF(AND(V185&lt;&gt;"",INDEX(Parties!$E$5:$E$304,V185)&lt;&gt;"",INDEX(Parties!$E$5:$E$304,V185)&lt;&gt;HomeState),0,ROUND(L185*M185/2,2)))</f>
        <v/>
      </c>
      <c r="O185" s="61" t="str">
        <f aca="false">IF($D185="","",N185)</f>
        <v/>
      </c>
      <c r="P185" s="61" t="str">
        <f aca="false">IF($D185="","",IF(AND(V185&lt;&gt;"",INDEX(Parties!$E$5:$E$304,V185)&lt;&gt;"",INDEX(Parties!$E$5:$E$304,V185)&lt;&gt;HomeState),ROUND(L185*M185,2),0))</f>
        <v/>
      </c>
      <c r="Q185" s="61" t="str">
        <f aca="false">IF($D185="","",L185+N185+O185+P185)</f>
        <v/>
      </c>
      <c r="R185" s="61" t="str">
        <f aca="false">IF($D185="","",ROUND(N($E185)*IFERROR(INDEX(Items!$P$5:$P$504,U185),0),2))</f>
        <v/>
      </c>
      <c r="S185" s="61" t="str">
        <f aca="false">IF($D185="","",L185-R185)</f>
        <v/>
      </c>
      <c r="T185" s="60" t="str">
        <f aca="false">IF($D185="","",IF(U185="","UNKNOWN ITEM",IF(INDEX(Items!$O$5:$O$504,U185)&lt;0,"NEG STOCK",IF(K185&lt;INDEX(Items!$P$5:$P$504,U185),"BELOW COST","OK"))))</f>
        <v/>
      </c>
      <c r="U185" s="60" t="str">
        <f aca="false">IF($D185="","",IFERROR(MATCH($D185,Items!$A$5:$A$504,0),""))</f>
        <v/>
      </c>
      <c r="V185" s="60" t="str">
        <f aca="false">IF($C185="","",IFERROR(MATCH($C185,Parties!$A$5:$A$304,0),""))</f>
        <v/>
      </c>
      <c r="W185" s="60" t="str">
        <f aca="false">IF($B185="","",IFERROR(VALUE(SUBSTITUTE($B185,InvPrefix,"")),0))</f>
        <v/>
      </c>
      <c r="X185" s="61" t="str">
        <f aca="false">IF($D185="","",IF(OR($H185="",$H185="Credit"),0,Q185))</f>
        <v/>
      </c>
    </row>
    <row r="186" customFormat="false" ht="15" hidden="false" customHeight="false" outlineLevel="0" collapsed="false">
      <c r="A186" s="55"/>
      <c r="B186" s="56"/>
      <c r="C186" s="56"/>
      <c r="D186" s="56"/>
      <c r="E186" s="57"/>
      <c r="F186" s="58"/>
      <c r="G186" s="59"/>
      <c r="H186" s="56"/>
      <c r="I186" s="56"/>
      <c r="J186" s="60" t="str">
        <f aca="false">IF($D186="","",IFERROR(INDEX(Items!$D$5:$D$504,U186),""))</f>
        <v/>
      </c>
      <c r="K186" s="61" t="str">
        <f aca="false">IF($D186="","",IF($F186="",IFERROR(INDEX(Items!$H$5:$H$504,U186),0),$F186))</f>
        <v/>
      </c>
      <c r="L186" s="61" t="str">
        <f aca="false">IF($D186="","",ROUND(N($E186)*K186*(1-N($G186)),2))</f>
        <v/>
      </c>
      <c r="M186" s="62" t="str">
        <f aca="false">IF($D186="","",IFERROR(INDEX(Items!$F$5:$F$504,U186),0))</f>
        <v/>
      </c>
      <c r="N186" s="61" t="str">
        <f aca="false">IF($D186="","",IF(AND(V186&lt;&gt;"",INDEX(Parties!$E$5:$E$304,V186)&lt;&gt;"",INDEX(Parties!$E$5:$E$304,V186)&lt;&gt;HomeState),0,ROUND(L186*M186/2,2)))</f>
        <v/>
      </c>
      <c r="O186" s="61" t="str">
        <f aca="false">IF($D186="","",N186)</f>
        <v/>
      </c>
      <c r="P186" s="61" t="str">
        <f aca="false">IF($D186="","",IF(AND(V186&lt;&gt;"",INDEX(Parties!$E$5:$E$304,V186)&lt;&gt;"",INDEX(Parties!$E$5:$E$304,V186)&lt;&gt;HomeState),ROUND(L186*M186,2),0))</f>
        <v/>
      </c>
      <c r="Q186" s="61" t="str">
        <f aca="false">IF($D186="","",L186+N186+O186+P186)</f>
        <v/>
      </c>
      <c r="R186" s="61" t="str">
        <f aca="false">IF($D186="","",ROUND(N($E186)*IFERROR(INDEX(Items!$P$5:$P$504,U186),0),2))</f>
        <v/>
      </c>
      <c r="S186" s="61" t="str">
        <f aca="false">IF($D186="","",L186-R186)</f>
        <v/>
      </c>
      <c r="T186" s="60" t="str">
        <f aca="false">IF($D186="","",IF(U186="","UNKNOWN ITEM",IF(INDEX(Items!$O$5:$O$504,U186)&lt;0,"NEG STOCK",IF(K186&lt;INDEX(Items!$P$5:$P$504,U186),"BELOW COST","OK"))))</f>
        <v/>
      </c>
      <c r="U186" s="60" t="str">
        <f aca="false">IF($D186="","",IFERROR(MATCH($D186,Items!$A$5:$A$504,0),""))</f>
        <v/>
      </c>
      <c r="V186" s="60" t="str">
        <f aca="false">IF($C186="","",IFERROR(MATCH($C186,Parties!$A$5:$A$304,0),""))</f>
        <v/>
      </c>
      <c r="W186" s="60" t="str">
        <f aca="false">IF($B186="","",IFERROR(VALUE(SUBSTITUTE($B186,InvPrefix,"")),0))</f>
        <v/>
      </c>
      <c r="X186" s="61" t="str">
        <f aca="false">IF($D186="","",IF(OR($H186="",$H186="Credit"),0,Q186))</f>
        <v/>
      </c>
    </row>
    <row r="187" customFormat="false" ht="15" hidden="false" customHeight="false" outlineLevel="0" collapsed="false">
      <c r="A187" s="55"/>
      <c r="B187" s="56"/>
      <c r="C187" s="56"/>
      <c r="D187" s="56"/>
      <c r="E187" s="57"/>
      <c r="F187" s="58"/>
      <c r="G187" s="59"/>
      <c r="H187" s="56"/>
      <c r="I187" s="56"/>
      <c r="J187" s="60" t="str">
        <f aca="false">IF($D187="","",IFERROR(INDEX(Items!$D$5:$D$504,U187),""))</f>
        <v/>
      </c>
      <c r="K187" s="61" t="str">
        <f aca="false">IF($D187="","",IF($F187="",IFERROR(INDEX(Items!$H$5:$H$504,U187),0),$F187))</f>
        <v/>
      </c>
      <c r="L187" s="61" t="str">
        <f aca="false">IF($D187="","",ROUND(N($E187)*K187*(1-N($G187)),2))</f>
        <v/>
      </c>
      <c r="M187" s="62" t="str">
        <f aca="false">IF($D187="","",IFERROR(INDEX(Items!$F$5:$F$504,U187),0))</f>
        <v/>
      </c>
      <c r="N187" s="61" t="str">
        <f aca="false">IF($D187="","",IF(AND(V187&lt;&gt;"",INDEX(Parties!$E$5:$E$304,V187)&lt;&gt;"",INDEX(Parties!$E$5:$E$304,V187)&lt;&gt;HomeState),0,ROUND(L187*M187/2,2)))</f>
        <v/>
      </c>
      <c r="O187" s="61" t="str">
        <f aca="false">IF($D187="","",N187)</f>
        <v/>
      </c>
      <c r="P187" s="61" t="str">
        <f aca="false">IF($D187="","",IF(AND(V187&lt;&gt;"",INDEX(Parties!$E$5:$E$304,V187)&lt;&gt;"",INDEX(Parties!$E$5:$E$304,V187)&lt;&gt;HomeState),ROUND(L187*M187,2),0))</f>
        <v/>
      </c>
      <c r="Q187" s="61" t="str">
        <f aca="false">IF($D187="","",L187+N187+O187+P187)</f>
        <v/>
      </c>
      <c r="R187" s="61" t="str">
        <f aca="false">IF($D187="","",ROUND(N($E187)*IFERROR(INDEX(Items!$P$5:$P$504,U187),0),2))</f>
        <v/>
      </c>
      <c r="S187" s="61" t="str">
        <f aca="false">IF($D187="","",L187-R187)</f>
        <v/>
      </c>
      <c r="T187" s="60" t="str">
        <f aca="false">IF($D187="","",IF(U187="","UNKNOWN ITEM",IF(INDEX(Items!$O$5:$O$504,U187)&lt;0,"NEG STOCK",IF(K187&lt;INDEX(Items!$P$5:$P$504,U187),"BELOW COST","OK"))))</f>
        <v/>
      </c>
      <c r="U187" s="60" t="str">
        <f aca="false">IF($D187="","",IFERROR(MATCH($D187,Items!$A$5:$A$504,0),""))</f>
        <v/>
      </c>
      <c r="V187" s="60" t="str">
        <f aca="false">IF($C187="","",IFERROR(MATCH($C187,Parties!$A$5:$A$304,0),""))</f>
        <v/>
      </c>
      <c r="W187" s="60" t="str">
        <f aca="false">IF($B187="","",IFERROR(VALUE(SUBSTITUTE($B187,InvPrefix,"")),0))</f>
        <v/>
      </c>
      <c r="X187" s="61" t="str">
        <f aca="false">IF($D187="","",IF(OR($H187="",$H187="Credit"),0,Q187))</f>
        <v/>
      </c>
    </row>
    <row r="188" customFormat="false" ht="15" hidden="false" customHeight="false" outlineLevel="0" collapsed="false">
      <c r="A188" s="55"/>
      <c r="B188" s="56"/>
      <c r="C188" s="56"/>
      <c r="D188" s="56"/>
      <c r="E188" s="57"/>
      <c r="F188" s="58"/>
      <c r="G188" s="59"/>
      <c r="H188" s="56"/>
      <c r="I188" s="56"/>
      <c r="J188" s="60" t="str">
        <f aca="false">IF($D188="","",IFERROR(INDEX(Items!$D$5:$D$504,U188),""))</f>
        <v/>
      </c>
      <c r="K188" s="61" t="str">
        <f aca="false">IF($D188="","",IF($F188="",IFERROR(INDEX(Items!$H$5:$H$504,U188),0),$F188))</f>
        <v/>
      </c>
      <c r="L188" s="61" t="str">
        <f aca="false">IF($D188="","",ROUND(N($E188)*K188*(1-N($G188)),2))</f>
        <v/>
      </c>
      <c r="M188" s="62" t="str">
        <f aca="false">IF($D188="","",IFERROR(INDEX(Items!$F$5:$F$504,U188),0))</f>
        <v/>
      </c>
      <c r="N188" s="61" t="str">
        <f aca="false">IF($D188="","",IF(AND(V188&lt;&gt;"",INDEX(Parties!$E$5:$E$304,V188)&lt;&gt;"",INDEX(Parties!$E$5:$E$304,V188)&lt;&gt;HomeState),0,ROUND(L188*M188/2,2)))</f>
        <v/>
      </c>
      <c r="O188" s="61" t="str">
        <f aca="false">IF($D188="","",N188)</f>
        <v/>
      </c>
      <c r="P188" s="61" t="str">
        <f aca="false">IF($D188="","",IF(AND(V188&lt;&gt;"",INDEX(Parties!$E$5:$E$304,V188)&lt;&gt;"",INDEX(Parties!$E$5:$E$304,V188)&lt;&gt;HomeState),ROUND(L188*M188,2),0))</f>
        <v/>
      </c>
      <c r="Q188" s="61" t="str">
        <f aca="false">IF($D188="","",L188+N188+O188+P188)</f>
        <v/>
      </c>
      <c r="R188" s="61" t="str">
        <f aca="false">IF($D188="","",ROUND(N($E188)*IFERROR(INDEX(Items!$P$5:$P$504,U188),0),2))</f>
        <v/>
      </c>
      <c r="S188" s="61" t="str">
        <f aca="false">IF($D188="","",L188-R188)</f>
        <v/>
      </c>
      <c r="T188" s="60" t="str">
        <f aca="false">IF($D188="","",IF(U188="","UNKNOWN ITEM",IF(INDEX(Items!$O$5:$O$504,U188)&lt;0,"NEG STOCK",IF(K188&lt;INDEX(Items!$P$5:$P$504,U188),"BELOW COST","OK"))))</f>
        <v/>
      </c>
      <c r="U188" s="60" t="str">
        <f aca="false">IF($D188="","",IFERROR(MATCH($D188,Items!$A$5:$A$504,0),""))</f>
        <v/>
      </c>
      <c r="V188" s="60" t="str">
        <f aca="false">IF($C188="","",IFERROR(MATCH($C188,Parties!$A$5:$A$304,0),""))</f>
        <v/>
      </c>
      <c r="W188" s="60" t="str">
        <f aca="false">IF($B188="","",IFERROR(VALUE(SUBSTITUTE($B188,InvPrefix,"")),0))</f>
        <v/>
      </c>
      <c r="X188" s="61" t="str">
        <f aca="false">IF($D188="","",IF(OR($H188="",$H188="Credit"),0,Q188))</f>
        <v/>
      </c>
    </row>
    <row r="189" customFormat="false" ht="15" hidden="false" customHeight="false" outlineLevel="0" collapsed="false">
      <c r="A189" s="55"/>
      <c r="B189" s="56"/>
      <c r="C189" s="56"/>
      <c r="D189" s="56"/>
      <c r="E189" s="57"/>
      <c r="F189" s="58"/>
      <c r="G189" s="59"/>
      <c r="H189" s="56"/>
      <c r="I189" s="56"/>
      <c r="J189" s="60" t="str">
        <f aca="false">IF($D189="","",IFERROR(INDEX(Items!$D$5:$D$504,U189),""))</f>
        <v/>
      </c>
      <c r="K189" s="61" t="str">
        <f aca="false">IF($D189="","",IF($F189="",IFERROR(INDEX(Items!$H$5:$H$504,U189),0),$F189))</f>
        <v/>
      </c>
      <c r="L189" s="61" t="str">
        <f aca="false">IF($D189="","",ROUND(N($E189)*K189*(1-N($G189)),2))</f>
        <v/>
      </c>
      <c r="M189" s="62" t="str">
        <f aca="false">IF($D189="","",IFERROR(INDEX(Items!$F$5:$F$504,U189),0))</f>
        <v/>
      </c>
      <c r="N189" s="61" t="str">
        <f aca="false">IF($D189="","",IF(AND(V189&lt;&gt;"",INDEX(Parties!$E$5:$E$304,V189)&lt;&gt;"",INDEX(Parties!$E$5:$E$304,V189)&lt;&gt;HomeState),0,ROUND(L189*M189/2,2)))</f>
        <v/>
      </c>
      <c r="O189" s="61" t="str">
        <f aca="false">IF($D189="","",N189)</f>
        <v/>
      </c>
      <c r="P189" s="61" t="str">
        <f aca="false">IF($D189="","",IF(AND(V189&lt;&gt;"",INDEX(Parties!$E$5:$E$304,V189)&lt;&gt;"",INDEX(Parties!$E$5:$E$304,V189)&lt;&gt;HomeState),ROUND(L189*M189,2),0))</f>
        <v/>
      </c>
      <c r="Q189" s="61" t="str">
        <f aca="false">IF($D189="","",L189+N189+O189+P189)</f>
        <v/>
      </c>
      <c r="R189" s="61" t="str">
        <f aca="false">IF($D189="","",ROUND(N($E189)*IFERROR(INDEX(Items!$P$5:$P$504,U189),0),2))</f>
        <v/>
      </c>
      <c r="S189" s="61" t="str">
        <f aca="false">IF($D189="","",L189-R189)</f>
        <v/>
      </c>
      <c r="T189" s="60" t="str">
        <f aca="false">IF($D189="","",IF(U189="","UNKNOWN ITEM",IF(INDEX(Items!$O$5:$O$504,U189)&lt;0,"NEG STOCK",IF(K189&lt;INDEX(Items!$P$5:$P$504,U189),"BELOW COST","OK"))))</f>
        <v/>
      </c>
      <c r="U189" s="60" t="str">
        <f aca="false">IF($D189="","",IFERROR(MATCH($D189,Items!$A$5:$A$504,0),""))</f>
        <v/>
      </c>
      <c r="V189" s="60" t="str">
        <f aca="false">IF($C189="","",IFERROR(MATCH($C189,Parties!$A$5:$A$304,0),""))</f>
        <v/>
      </c>
      <c r="W189" s="60" t="str">
        <f aca="false">IF($B189="","",IFERROR(VALUE(SUBSTITUTE($B189,InvPrefix,"")),0))</f>
        <v/>
      </c>
      <c r="X189" s="61" t="str">
        <f aca="false">IF($D189="","",IF(OR($H189="",$H189="Credit"),0,Q189))</f>
        <v/>
      </c>
    </row>
    <row r="190" customFormat="false" ht="15" hidden="false" customHeight="false" outlineLevel="0" collapsed="false">
      <c r="A190" s="55"/>
      <c r="B190" s="56"/>
      <c r="C190" s="56"/>
      <c r="D190" s="56"/>
      <c r="E190" s="57"/>
      <c r="F190" s="58"/>
      <c r="G190" s="59"/>
      <c r="H190" s="56"/>
      <c r="I190" s="56"/>
      <c r="J190" s="60" t="str">
        <f aca="false">IF($D190="","",IFERROR(INDEX(Items!$D$5:$D$504,U190),""))</f>
        <v/>
      </c>
      <c r="K190" s="61" t="str">
        <f aca="false">IF($D190="","",IF($F190="",IFERROR(INDEX(Items!$H$5:$H$504,U190),0),$F190))</f>
        <v/>
      </c>
      <c r="L190" s="61" t="str">
        <f aca="false">IF($D190="","",ROUND(N($E190)*K190*(1-N($G190)),2))</f>
        <v/>
      </c>
      <c r="M190" s="62" t="str">
        <f aca="false">IF($D190="","",IFERROR(INDEX(Items!$F$5:$F$504,U190),0))</f>
        <v/>
      </c>
      <c r="N190" s="61" t="str">
        <f aca="false">IF($D190="","",IF(AND(V190&lt;&gt;"",INDEX(Parties!$E$5:$E$304,V190)&lt;&gt;"",INDEX(Parties!$E$5:$E$304,V190)&lt;&gt;HomeState),0,ROUND(L190*M190/2,2)))</f>
        <v/>
      </c>
      <c r="O190" s="61" t="str">
        <f aca="false">IF($D190="","",N190)</f>
        <v/>
      </c>
      <c r="P190" s="61" t="str">
        <f aca="false">IF($D190="","",IF(AND(V190&lt;&gt;"",INDEX(Parties!$E$5:$E$304,V190)&lt;&gt;"",INDEX(Parties!$E$5:$E$304,V190)&lt;&gt;HomeState),ROUND(L190*M190,2),0))</f>
        <v/>
      </c>
      <c r="Q190" s="61" t="str">
        <f aca="false">IF($D190="","",L190+N190+O190+P190)</f>
        <v/>
      </c>
      <c r="R190" s="61" t="str">
        <f aca="false">IF($D190="","",ROUND(N($E190)*IFERROR(INDEX(Items!$P$5:$P$504,U190),0),2))</f>
        <v/>
      </c>
      <c r="S190" s="61" t="str">
        <f aca="false">IF($D190="","",L190-R190)</f>
        <v/>
      </c>
      <c r="T190" s="60" t="str">
        <f aca="false">IF($D190="","",IF(U190="","UNKNOWN ITEM",IF(INDEX(Items!$O$5:$O$504,U190)&lt;0,"NEG STOCK",IF(K190&lt;INDEX(Items!$P$5:$P$504,U190),"BELOW COST","OK"))))</f>
        <v/>
      </c>
      <c r="U190" s="60" t="str">
        <f aca="false">IF($D190="","",IFERROR(MATCH($D190,Items!$A$5:$A$504,0),""))</f>
        <v/>
      </c>
      <c r="V190" s="60" t="str">
        <f aca="false">IF($C190="","",IFERROR(MATCH($C190,Parties!$A$5:$A$304,0),""))</f>
        <v/>
      </c>
      <c r="W190" s="60" t="str">
        <f aca="false">IF($B190="","",IFERROR(VALUE(SUBSTITUTE($B190,InvPrefix,"")),0))</f>
        <v/>
      </c>
      <c r="X190" s="61" t="str">
        <f aca="false">IF($D190="","",IF(OR($H190="",$H190="Credit"),0,Q190))</f>
        <v/>
      </c>
    </row>
    <row r="191" customFormat="false" ht="15" hidden="false" customHeight="false" outlineLevel="0" collapsed="false">
      <c r="A191" s="55"/>
      <c r="B191" s="56"/>
      <c r="C191" s="56"/>
      <c r="D191" s="56"/>
      <c r="E191" s="57"/>
      <c r="F191" s="58"/>
      <c r="G191" s="59"/>
      <c r="H191" s="56"/>
      <c r="I191" s="56"/>
      <c r="J191" s="60" t="str">
        <f aca="false">IF($D191="","",IFERROR(INDEX(Items!$D$5:$D$504,U191),""))</f>
        <v/>
      </c>
      <c r="K191" s="61" t="str">
        <f aca="false">IF($D191="","",IF($F191="",IFERROR(INDEX(Items!$H$5:$H$504,U191),0),$F191))</f>
        <v/>
      </c>
      <c r="L191" s="61" t="str">
        <f aca="false">IF($D191="","",ROUND(N($E191)*K191*(1-N($G191)),2))</f>
        <v/>
      </c>
      <c r="M191" s="62" t="str">
        <f aca="false">IF($D191="","",IFERROR(INDEX(Items!$F$5:$F$504,U191),0))</f>
        <v/>
      </c>
      <c r="N191" s="61" t="str">
        <f aca="false">IF($D191="","",IF(AND(V191&lt;&gt;"",INDEX(Parties!$E$5:$E$304,V191)&lt;&gt;"",INDEX(Parties!$E$5:$E$304,V191)&lt;&gt;HomeState),0,ROUND(L191*M191/2,2)))</f>
        <v/>
      </c>
      <c r="O191" s="61" t="str">
        <f aca="false">IF($D191="","",N191)</f>
        <v/>
      </c>
      <c r="P191" s="61" t="str">
        <f aca="false">IF($D191="","",IF(AND(V191&lt;&gt;"",INDEX(Parties!$E$5:$E$304,V191)&lt;&gt;"",INDEX(Parties!$E$5:$E$304,V191)&lt;&gt;HomeState),ROUND(L191*M191,2),0))</f>
        <v/>
      </c>
      <c r="Q191" s="61" t="str">
        <f aca="false">IF($D191="","",L191+N191+O191+P191)</f>
        <v/>
      </c>
      <c r="R191" s="61" t="str">
        <f aca="false">IF($D191="","",ROUND(N($E191)*IFERROR(INDEX(Items!$P$5:$P$504,U191),0),2))</f>
        <v/>
      </c>
      <c r="S191" s="61" t="str">
        <f aca="false">IF($D191="","",L191-R191)</f>
        <v/>
      </c>
      <c r="T191" s="60" t="str">
        <f aca="false">IF($D191="","",IF(U191="","UNKNOWN ITEM",IF(INDEX(Items!$O$5:$O$504,U191)&lt;0,"NEG STOCK",IF(K191&lt;INDEX(Items!$P$5:$P$504,U191),"BELOW COST","OK"))))</f>
        <v/>
      </c>
      <c r="U191" s="60" t="str">
        <f aca="false">IF($D191="","",IFERROR(MATCH($D191,Items!$A$5:$A$504,0),""))</f>
        <v/>
      </c>
      <c r="V191" s="60" t="str">
        <f aca="false">IF($C191="","",IFERROR(MATCH($C191,Parties!$A$5:$A$304,0),""))</f>
        <v/>
      </c>
      <c r="W191" s="60" t="str">
        <f aca="false">IF($B191="","",IFERROR(VALUE(SUBSTITUTE($B191,InvPrefix,"")),0))</f>
        <v/>
      </c>
      <c r="X191" s="61" t="str">
        <f aca="false">IF($D191="","",IF(OR($H191="",$H191="Credit"),0,Q191))</f>
        <v/>
      </c>
    </row>
    <row r="192" customFormat="false" ht="15" hidden="false" customHeight="false" outlineLevel="0" collapsed="false">
      <c r="A192" s="55"/>
      <c r="B192" s="56"/>
      <c r="C192" s="56"/>
      <c r="D192" s="56"/>
      <c r="E192" s="57"/>
      <c r="F192" s="58"/>
      <c r="G192" s="59"/>
      <c r="H192" s="56"/>
      <c r="I192" s="56"/>
      <c r="J192" s="60" t="str">
        <f aca="false">IF($D192="","",IFERROR(INDEX(Items!$D$5:$D$504,U192),""))</f>
        <v/>
      </c>
      <c r="K192" s="61" t="str">
        <f aca="false">IF($D192="","",IF($F192="",IFERROR(INDEX(Items!$H$5:$H$504,U192),0),$F192))</f>
        <v/>
      </c>
      <c r="L192" s="61" t="str">
        <f aca="false">IF($D192="","",ROUND(N($E192)*K192*(1-N($G192)),2))</f>
        <v/>
      </c>
      <c r="M192" s="62" t="str">
        <f aca="false">IF($D192="","",IFERROR(INDEX(Items!$F$5:$F$504,U192),0))</f>
        <v/>
      </c>
      <c r="N192" s="61" t="str">
        <f aca="false">IF($D192="","",IF(AND(V192&lt;&gt;"",INDEX(Parties!$E$5:$E$304,V192)&lt;&gt;"",INDEX(Parties!$E$5:$E$304,V192)&lt;&gt;HomeState),0,ROUND(L192*M192/2,2)))</f>
        <v/>
      </c>
      <c r="O192" s="61" t="str">
        <f aca="false">IF($D192="","",N192)</f>
        <v/>
      </c>
      <c r="P192" s="61" t="str">
        <f aca="false">IF($D192="","",IF(AND(V192&lt;&gt;"",INDEX(Parties!$E$5:$E$304,V192)&lt;&gt;"",INDEX(Parties!$E$5:$E$304,V192)&lt;&gt;HomeState),ROUND(L192*M192,2),0))</f>
        <v/>
      </c>
      <c r="Q192" s="61" t="str">
        <f aca="false">IF($D192="","",L192+N192+O192+P192)</f>
        <v/>
      </c>
      <c r="R192" s="61" t="str">
        <f aca="false">IF($D192="","",ROUND(N($E192)*IFERROR(INDEX(Items!$P$5:$P$504,U192),0),2))</f>
        <v/>
      </c>
      <c r="S192" s="61" t="str">
        <f aca="false">IF($D192="","",L192-R192)</f>
        <v/>
      </c>
      <c r="T192" s="60" t="str">
        <f aca="false">IF($D192="","",IF(U192="","UNKNOWN ITEM",IF(INDEX(Items!$O$5:$O$504,U192)&lt;0,"NEG STOCK",IF(K192&lt;INDEX(Items!$P$5:$P$504,U192),"BELOW COST","OK"))))</f>
        <v/>
      </c>
      <c r="U192" s="60" t="str">
        <f aca="false">IF($D192="","",IFERROR(MATCH($D192,Items!$A$5:$A$504,0),""))</f>
        <v/>
      </c>
      <c r="V192" s="60" t="str">
        <f aca="false">IF($C192="","",IFERROR(MATCH($C192,Parties!$A$5:$A$304,0),""))</f>
        <v/>
      </c>
      <c r="W192" s="60" t="str">
        <f aca="false">IF($B192="","",IFERROR(VALUE(SUBSTITUTE($B192,InvPrefix,"")),0))</f>
        <v/>
      </c>
      <c r="X192" s="61" t="str">
        <f aca="false">IF($D192="","",IF(OR($H192="",$H192="Credit"),0,Q192))</f>
        <v/>
      </c>
    </row>
    <row r="193" customFormat="false" ht="15" hidden="false" customHeight="false" outlineLevel="0" collapsed="false">
      <c r="A193" s="55"/>
      <c r="B193" s="56"/>
      <c r="C193" s="56"/>
      <c r="D193" s="56"/>
      <c r="E193" s="57"/>
      <c r="F193" s="58"/>
      <c r="G193" s="59"/>
      <c r="H193" s="56"/>
      <c r="I193" s="56"/>
      <c r="J193" s="60" t="str">
        <f aca="false">IF($D193="","",IFERROR(INDEX(Items!$D$5:$D$504,U193),""))</f>
        <v/>
      </c>
      <c r="K193" s="61" t="str">
        <f aca="false">IF($D193="","",IF($F193="",IFERROR(INDEX(Items!$H$5:$H$504,U193),0),$F193))</f>
        <v/>
      </c>
      <c r="L193" s="61" t="str">
        <f aca="false">IF($D193="","",ROUND(N($E193)*K193*(1-N($G193)),2))</f>
        <v/>
      </c>
      <c r="M193" s="62" t="str">
        <f aca="false">IF($D193="","",IFERROR(INDEX(Items!$F$5:$F$504,U193),0))</f>
        <v/>
      </c>
      <c r="N193" s="61" t="str">
        <f aca="false">IF($D193="","",IF(AND(V193&lt;&gt;"",INDEX(Parties!$E$5:$E$304,V193)&lt;&gt;"",INDEX(Parties!$E$5:$E$304,V193)&lt;&gt;HomeState),0,ROUND(L193*M193/2,2)))</f>
        <v/>
      </c>
      <c r="O193" s="61" t="str">
        <f aca="false">IF($D193="","",N193)</f>
        <v/>
      </c>
      <c r="P193" s="61" t="str">
        <f aca="false">IF($D193="","",IF(AND(V193&lt;&gt;"",INDEX(Parties!$E$5:$E$304,V193)&lt;&gt;"",INDEX(Parties!$E$5:$E$304,V193)&lt;&gt;HomeState),ROUND(L193*M193,2),0))</f>
        <v/>
      </c>
      <c r="Q193" s="61" t="str">
        <f aca="false">IF($D193="","",L193+N193+O193+P193)</f>
        <v/>
      </c>
      <c r="R193" s="61" t="str">
        <f aca="false">IF($D193="","",ROUND(N($E193)*IFERROR(INDEX(Items!$P$5:$P$504,U193),0),2))</f>
        <v/>
      </c>
      <c r="S193" s="61" t="str">
        <f aca="false">IF($D193="","",L193-R193)</f>
        <v/>
      </c>
      <c r="T193" s="60" t="str">
        <f aca="false">IF($D193="","",IF(U193="","UNKNOWN ITEM",IF(INDEX(Items!$O$5:$O$504,U193)&lt;0,"NEG STOCK",IF(K193&lt;INDEX(Items!$P$5:$P$504,U193),"BELOW COST","OK"))))</f>
        <v/>
      </c>
      <c r="U193" s="60" t="str">
        <f aca="false">IF($D193="","",IFERROR(MATCH($D193,Items!$A$5:$A$504,0),""))</f>
        <v/>
      </c>
      <c r="V193" s="60" t="str">
        <f aca="false">IF($C193="","",IFERROR(MATCH($C193,Parties!$A$5:$A$304,0),""))</f>
        <v/>
      </c>
      <c r="W193" s="60" t="str">
        <f aca="false">IF($B193="","",IFERROR(VALUE(SUBSTITUTE($B193,InvPrefix,"")),0))</f>
        <v/>
      </c>
      <c r="X193" s="61" t="str">
        <f aca="false">IF($D193="","",IF(OR($H193="",$H193="Credit"),0,Q193))</f>
        <v/>
      </c>
    </row>
    <row r="194" customFormat="false" ht="15" hidden="false" customHeight="false" outlineLevel="0" collapsed="false">
      <c r="A194" s="55"/>
      <c r="B194" s="56"/>
      <c r="C194" s="56"/>
      <c r="D194" s="56"/>
      <c r="E194" s="57"/>
      <c r="F194" s="58"/>
      <c r="G194" s="59"/>
      <c r="H194" s="56"/>
      <c r="I194" s="56"/>
      <c r="J194" s="60" t="str">
        <f aca="false">IF($D194="","",IFERROR(INDEX(Items!$D$5:$D$504,U194),""))</f>
        <v/>
      </c>
      <c r="K194" s="61" t="str">
        <f aca="false">IF($D194="","",IF($F194="",IFERROR(INDEX(Items!$H$5:$H$504,U194),0),$F194))</f>
        <v/>
      </c>
      <c r="L194" s="61" t="str">
        <f aca="false">IF($D194="","",ROUND(N($E194)*K194*(1-N($G194)),2))</f>
        <v/>
      </c>
      <c r="M194" s="62" t="str">
        <f aca="false">IF($D194="","",IFERROR(INDEX(Items!$F$5:$F$504,U194),0))</f>
        <v/>
      </c>
      <c r="N194" s="61" t="str">
        <f aca="false">IF($D194="","",IF(AND(V194&lt;&gt;"",INDEX(Parties!$E$5:$E$304,V194)&lt;&gt;"",INDEX(Parties!$E$5:$E$304,V194)&lt;&gt;HomeState),0,ROUND(L194*M194/2,2)))</f>
        <v/>
      </c>
      <c r="O194" s="61" t="str">
        <f aca="false">IF($D194="","",N194)</f>
        <v/>
      </c>
      <c r="P194" s="61" t="str">
        <f aca="false">IF($D194="","",IF(AND(V194&lt;&gt;"",INDEX(Parties!$E$5:$E$304,V194)&lt;&gt;"",INDEX(Parties!$E$5:$E$304,V194)&lt;&gt;HomeState),ROUND(L194*M194,2),0))</f>
        <v/>
      </c>
      <c r="Q194" s="61" t="str">
        <f aca="false">IF($D194="","",L194+N194+O194+P194)</f>
        <v/>
      </c>
      <c r="R194" s="61" t="str">
        <f aca="false">IF($D194="","",ROUND(N($E194)*IFERROR(INDEX(Items!$P$5:$P$504,U194),0),2))</f>
        <v/>
      </c>
      <c r="S194" s="61" t="str">
        <f aca="false">IF($D194="","",L194-R194)</f>
        <v/>
      </c>
      <c r="T194" s="60" t="str">
        <f aca="false">IF($D194="","",IF(U194="","UNKNOWN ITEM",IF(INDEX(Items!$O$5:$O$504,U194)&lt;0,"NEG STOCK",IF(K194&lt;INDEX(Items!$P$5:$P$504,U194),"BELOW COST","OK"))))</f>
        <v/>
      </c>
      <c r="U194" s="60" t="str">
        <f aca="false">IF($D194="","",IFERROR(MATCH($D194,Items!$A$5:$A$504,0),""))</f>
        <v/>
      </c>
      <c r="V194" s="60" t="str">
        <f aca="false">IF($C194="","",IFERROR(MATCH($C194,Parties!$A$5:$A$304,0),""))</f>
        <v/>
      </c>
      <c r="W194" s="60" t="str">
        <f aca="false">IF($B194="","",IFERROR(VALUE(SUBSTITUTE($B194,InvPrefix,"")),0))</f>
        <v/>
      </c>
      <c r="X194" s="61" t="str">
        <f aca="false">IF($D194="","",IF(OR($H194="",$H194="Credit"),0,Q194))</f>
        <v/>
      </c>
    </row>
    <row r="195" customFormat="false" ht="15" hidden="false" customHeight="false" outlineLevel="0" collapsed="false">
      <c r="A195" s="55"/>
      <c r="B195" s="56"/>
      <c r="C195" s="56"/>
      <c r="D195" s="56"/>
      <c r="E195" s="57"/>
      <c r="F195" s="58"/>
      <c r="G195" s="59"/>
      <c r="H195" s="56"/>
      <c r="I195" s="56"/>
      <c r="J195" s="60" t="str">
        <f aca="false">IF($D195="","",IFERROR(INDEX(Items!$D$5:$D$504,U195),""))</f>
        <v/>
      </c>
      <c r="K195" s="61" t="str">
        <f aca="false">IF($D195="","",IF($F195="",IFERROR(INDEX(Items!$H$5:$H$504,U195),0),$F195))</f>
        <v/>
      </c>
      <c r="L195" s="61" t="str">
        <f aca="false">IF($D195="","",ROUND(N($E195)*K195*(1-N($G195)),2))</f>
        <v/>
      </c>
      <c r="M195" s="62" t="str">
        <f aca="false">IF($D195="","",IFERROR(INDEX(Items!$F$5:$F$504,U195),0))</f>
        <v/>
      </c>
      <c r="N195" s="61" t="str">
        <f aca="false">IF($D195="","",IF(AND(V195&lt;&gt;"",INDEX(Parties!$E$5:$E$304,V195)&lt;&gt;"",INDEX(Parties!$E$5:$E$304,V195)&lt;&gt;HomeState),0,ROUND(L195*M195/2,2)))</f>
        <v/>
      </c>
      <c r="O195" s="61" t="str">
        <f aca="false">IF($D195="","",N195)</f>
        <v/>
      </c>
      <c r="P195" s="61" t="str">
        <f aca="false">IF($D195="","",IF(AND(V195&lt;&gt;"",INDEX(Parties!$E$5:$E$304,V195)&lt;&gt;"",INDEX(Parties!$E$5:$E$304,V195)&lt;&gt;HomeState),ROUND(L195*M195,2),0))</f>
        <v/>
      </c>
      <c r="Q195" s="61" t="str">
        <f aca="false">IF($D195="","",L195+N195+O195+P195)</f>
        <v/>
      </c>
      <c r="R195" s="61" t="str">
        <f aca="false">IF($D195="","",ROUND(N($E195)*IFERROR(INDEX(Items!$P$5:$P$504,U195),0),2))</f>
        <v/>
      </c>
      <c r="S195" s="61" t="str">
        <f aca="false">IF($D195="","",L195-R195)</f>
        <v/>
      </c>
      <c r="T195" s="60" t="str">
        <f aca="false">IF($D195="","",IF(U195="","UNKNOWN ITEM",IF(INDEX(Items!$O$5:$O$504,U195)&lt;0,"NEG STOCK",IF(K195&lt;INDEX(Items!$P$5:$P$504,U195),"BELOW COST","OK"))))</f>
        <v/>
      </c>
      <c r="U195" s="60" t="str">
        <f aca="false">IF($D195="","",IFERROR(MATCH($D195,Items!$A$5:$A$504,0),""))</f>
        <v/>
      </c>
      <c r="V195" s="60" t="str">
        <f aca="false">IF($C195="","",IFERROR(MATCH($C195,Parties!$A$5:$A$304,0),""))</f>
        <v/>
      </c>
      <c r="W195" s="60" t="str">
        <f aca="false">IF($B195="","",IFERROR(VALUE(SUBSTITUTE($B195,InvPrefix,"")),0))</f>
        <v/>
      </c>
      <c r="X195" s="61" t="str">
        <f aca="false">IF($D195="","",IF(OR($H195="",$H195="Credit"),0,Q195))</f>
        <v/>
      </c>
    </row>
    <row r="196" customFormat="false" ht="15" hidden="false" customHeight="false" outlineLevel="0" collapsed="false">
      <c r="A196" s="55"/>
      <c r="B196" s="56"/>
      <c r="C196" s="56"/>
      <c r="D196" s="56"/>
      <c r="E196" s="57"/>
      <c r="F196" s="58"/>
      <c r="G196" s="59"/>
      <c r="H196" s="56"/>
      <c r="I196" s="56"/>
      <c r="J196" s="60" t="str">
        <f aca="false">IF($D196="","",IFERROR(INDEX(Items!$D$5:$D$504,U196),""))</f>
        <v/>
      </c>
      <c r="K196" s="61" t="str">
        <f aca="false">IF($D196="","",IF($F196="",IFERROR(INDEX(Items!$H$5:$H$504,U196),0),$F196))</f>
        <v/>
      </c>
      <c r="L196" s="61" t="str">
        <f aca="false">IF($D196="","",ROUND(N($E196)*K196*(1-N($G196)),2))</f>
        <v/>
      </c>
      <c r="M196" s="62" t="str">
        <f aca="false">IF($D196="","",IFERROR(INDEX(Items!$F$5:$F$504,U196),0))</f>
        <v/>
      </c>
      <c r="N196" s="61" t="str">
        <f aca="false">IF($D196="","",IF(AND(V196&lt;&gt;"",INDEX(Parties!$E$5:$E$304,V196)&lt;&gt;"",INDEX(Parties!$E$5:$E$304,V196)&lt;&gt;HomeState),0,ROUND(L196*M196/2,2)))</f>
        <v/>
      </c>
      <c r="O196" s="61" t="str">
        <f aca="false">IF($D196="","",N196)</f>
        <v/>
      </c>
      <c r="P196" s="61" t="str">
        <f aca="false">IF($D196="","",IF(AND(V196&lt;&gt;"",INDEX(Parties!$E$5:$E$304,V196)&lt;&gt;"",INDEX(Parties!$E$5:$E$304,V196)&lt;&gt;HomeState),ROUND(L196*M196,2),0))</f>
        <v/>
      </c>
      <c r="Q196" s="61" t="str">
        <f aca="false">IF($D196="","",L196+N196+O196+P196)</f>
        <v/>
      </c>
      <c r="R196" s="61" t="str">
        <f aca="false">IF($D196="","",ROUND(N($E196)*IFERROR(INDEX(Items!$P$5:$P$504,U196),0),2))</f>
        <v/>
      </c>
      <c r="S196" s="61" t="str">
        <f aca="false">IF($D196="","",L196-R196)</f>
        <v/>
      </c>
      <c r="T196" s="60" t="str">
        <f aca="false">IF($D196="","",IF(U196="","UNKNOWN ITEM",IF(INDEX(Items!$O$5:$O$504,U196)&lt;0,"NEG STOCK",IF(K196&lt;INDEX(Items!$P$5:$P$504,U196),"BELOW COST","OK"))))</f>
        <v/>
      </c>
      <c r="U196" s="60" t="str">
        <f aca="false">IF($D196="","",IFERROR(MATCH($D196,Items!$A$5:$A$504,0),""))</f>
        <v/>
      </c>
      <c r="V196" s="60" t="str">
        <f aca="false">IF($C196="","",IFERROR(MATCH($C196,Parties!$A$5:$A$304,0),""))</f>
        <v/>
      </c>
      <c r="W196" s="60" t="str">
        <f aca="false">IF($B196="","",IFERROR(VALUE(SUBSTITUTE($B196,InvPrefix,"")),0))</f>
        <v/>
      </c>
      <c r="X196" s="61" t="str">
        <f aca="false">IF($D196="","",IF(OR($H196="",$H196="Credit"),0,Q196))</f>
        <v/>
      </c>
    </row>
    <row r="197" customFormat="false" ht="15" hidden="false" customHeight="false" outlineLevel="0" collapsed="false">
      <c r="A197" s="55"/>
      <c r="B197" s="56"/>
      <c r="C197" s="56"/>
      <c r="D197" s="56"/>
      <c r="E197" s="57"/>
      <c r="F197" s="58"/>
      <c r="G197" s="59"/>
      <c r="H197" s="56"/>
      <c r="I197" s="56"/>
      <c r="J197" s="60" t="str">
        <f aca="false">IF($D197="","",IFERROR(INDEX(Items!$D$5:$D$504,U197),""))</f>
        <v/>
      </c>
      <c r="K197" s="61" t="str">
        <f aca="false">IF($D197="","",IF($F197="",IFERROR(INDEX(Items!$H$5:$H$504,U197),0),$F197))</f>
        <v/>
      </c>
      <c r="L197" s="61" t="str">
        <f aca="false">IF($D197="","",ROUND(N($E197)*K197*(1-N($G197)),2))</f>
        <v/>
      </c>
      <c r="M197" s="62" t="str">
        <f aca="false">IF($D197="","",IFERROR(INDEX(Items!$F$5:$F$504,U197),0))</f>
        <v/>
      </c>
      <c r="N197" s="61" t="str">
        <f aca="false">IF($D197="","",IF(AND(V197&lt;&gt;"",INDEX(Parties!$E$5:$E$304,V197)&lt;&gt;"",INDEX(Parties!$E$5:$E$304,V197)&lt;&gt;HomeState),0,ROUND(L197*M197/2,2)))</f>
        <v/>
      </c>
      <c r="O197" s="61" t="str">
        <f aca="false">IF($D197="","",N197)</f>
        <v/>
      </c>
      <c r="P197" s="61" t="str">
        <f aca="false">IF($D197="","",IF(AND(V197&lt;&gt;"",INDEX(Parties!$E$5:$E$304,V197)&lt;&gt;"",INDEX(Parties!$E$5:$E$304,V197)&lt;&gt;HomeState),ROUND(L197*M197,2),0))</f>
        <v/>
      </c>
      <c r="Q197" s="61" t="str">
        <f aca="false">IF($D197="","",L197+N197+O197+P197)</f>
        <v/>
      </c>
      <c r="R197" s="61" t="str">
        <f aca="false">IF($D197="","",ROUND(N($E197)*IFERROR(INDEX(Items!$P$5:$P$504,U197),0),2))</f>
        <v/>
      </c>
      <c r="S197" s="61" t="str">
        <f aca="false">IF($D197="","",L197-R197)</f>
        <v/>
      </c>
      <c r="T197" s="60" t="str">
        <f aca="false">IF($D197="","",IF(U197="","UNKNOWN ITEM",IF(INDEX(Items!$O$5:$O$504,U197)&lt;0,"NEG STOCK",IF(K197&lt;INDEX(Items!$P$5:$P$504,U197),"BELOW COST","OK"))))</f>
        <v/>
      </c>
      <c r="U197" s="60" t="str">
        <f aca="false">IF($D197="","",IFERROR(MATCH($D197,Items!$A$5:$A$504,0),""))</f>
        <v/>
      </c>
      <c r="V197" s="60" t="str">
        <f aca="false">IF($C197="","",IFERROR(MATCH($C197,Parties!$A$5:$A$304,0),""))</f>
        <v/>
      </c>
      <c r="W197" s="60" t="str">
        <f aca="false">IF($B197="","",IFERROR(VALUE(SUBSTITUTE($B197,InvPrefix,"")),0))</f>
        <v/>
      </c>
      <c r="X197" s="61" t="str">
        <f aca="false">IF($D197="","",IF(OR($H197="",$H197="Credit"),0,Q197))</f>
        <v/>
      </c>
    </row>
    <row r="198" customFormat="false" ht="15" hidden="false" customHeight="false" outlineLevel="0" collapsed="false">
      <c r="A198" s="55"/>
      <c r="B198" s="56"/>
      <c r="C198" s="56"/>
      <c r="D198" s="56"/>
      <c r="E198" s="57"/>
      <c r="F198" s="58"/>
      <c r="G198" s="59"/>
      <c r="H198" s="56"/>
      <c r="I198" s="56"/>
      <c r="J198" s="60" t="str">
        <f aca="false">IF($D198="","",IFERROR(INDEX(Items!$D$5:$D$504,U198),""))</f>
        <v/>
      </c>
      <c r="K198" s="61" t="str">
        <f aca="false">IF($D198="","",IF($F198="",IFERROR(INDEX(Items!$H$5:$H$504,U198),0),$F198))</f>
        <v/>
      </c>
      <c r="L198" s="61" t="str">
        <f aca="false">IF($D198="","",ROUND(N($E198)*K198*(1-N($G198)),2))</f>
        <v/>
      </c>
      <c r="M198" s="62" t="str">
        <f aca="false">IF($D198="","",IFERROR(INDEX(Items!$F$5:$F$504,U198),0))</f>
        <v/>
      </c>
      <c r="N198" s="61" t="str">
        <f aca="false">IF($D198="","",IF(AND(V198&lt;&gt;"",INDEX(Parties!$E$5:$E$304,V198)&lt;&gt;"",INDEX(Parties!$E$5:$E$304,V198)&lt;&gt;HomeState),0,ROUND(L198*M198/2,2)))</f>
        <v/>
      </c>
      <c r="O198" s="61" t="str">
        <f aca="false">IF($D198="","",N198)</f>
        <v/>
      </c>
      <c r="P198" s="61" t="str">
        <f aca="false">IF($D198="","",IF(AND(V198&lt;&gt;"",INDEX(Parties!$E$5:$E$304,V198)&lt;&gt;"",INDEX(Parties!$E$5:$E$304,V198)&lt;&gt;HomeState),ROUND(L198*M198,2),0))</f>
        <v/>
      </c>
      <c r="Q198" s="61" t="str">
        <f aca="false">IF($D198="","",L198+N198+O198+P198)</f>
        <v/>
      </c>
      <c r="R198" s="61" t="str">
        <f aca="false">IF($D198="","",ROUND(N($E198)*IFERROR(INDEX(Items!$P$5:$P$504,U198),0),2))</f>
        <v/>
      </c>
      <c r="S198" s="61" t="str">
        <f aca="false">IF($D198="","",L198-R198)</f>
        <v/>
      </c>
      <c r="T198" s="60" t="str">
        <f aca="false">IF($D198="","",IF(U198="","UNKNOWN ITEM",IF(INDEX(Items!$O$5:$O$504,U198)&lt;0,"NEG STOCK",IF(K198&lt;INDEX(Items!$P$5:$P$504,U198),"BELOW COST","OK"))))</f>
        <v/>
      </c>
      <c r="U198" s="60" t="str">
        <f aca="false">IF($D198="","",IFERROR(MATCH($D198,Items!$A$5:$A$504,0),""))</f>
        <v/>
      </c>
      <c r="V198" s="60" t="str">
        <f aca="false">IF($C198="","",IFERROR(MATCH($C198,Parties!$A$5:$A$304,0),""))</f>
        <v/>
      </c>
      <c r="W198" s="60" t="str">
        <f aca="false">IF($B198="","",IFERROR(VALUE(SUBSTITUTE($B198,InvPrefix,"")),0))</f>
        <v/>
      </c>
      <c r="X198" s="61" t="str">
        <f aca="false">IF($D198="","",IF(OR($H198="",$H198="Credit"),0,Q198))</f>
        <v/>
      </c>
    </row>
    <row r="199" customFormat="false" ht="15" hidden="false" customHeight="false" outlineLevel="0" collapsed="false">
      <c r="A199" s="55"/>
      <c r="B199" s="56"/>
      <c r="C199" s="56"/>
      <c r="D199" s="56"/>
      <c r="E199" s="57"/>
      <c r="F199" s="58"/>
      <c r="G199" s="59"/>
      <c r="H199" s="56"/>
      <c r="I199" s="56"/>
      <c r="J199" s="60" t="str">
        <f aca="false">IF($D199="","",IFERROR(INDEX(Items!$D$5:$D$504,U199),""))</f>
        <v/>
      </c>
      <c r="K199" s="61" t="str">
        <f aca="false">IF($D199="","",IF($F199="",IFERROR(INDEX(Items!$H$5:$H$504,U199),0),$F199))</f>
        <v/>
      </c>
      <c r="L199" s="61" t="str">
        <f aca="false">IF($D199="","",ROUND(N($E199)*K199*(1-N($G199)),2))</f>
        <v/>
      </c>
      <c r="M199" s="62" t="str">
        <f aca="false">IF($D199="","",IFERROR(INDEX(Items!$F$5:$F$504,U199),0))</f>
        <v/>
      </c>
      <c r="N199" s="61" t="str">
        <f aca="false">IF($D199="","",IF(AND(V199&lt;&gt;"",INDEX(Parties!$E$5:$E$304,V199)&lt;&gt;"",INDEX(Parties!$E$5:$E$304,V199)&lt;&gt;HomeState),0,ROUND(L199*M199/2,2)))</f>
        <v/>
      </c>
      <c r="O199" s="61" t="str">
        <f aca="false">IF($D199="","",N199)</f>
        <v/>
      </c>
      <c r="P199" s="61" t="str">
        <f aca="false">IF($D199="","",IF(AND(V199&lt;&gt;"",INDEX(Parties!$E$5:$E$304,V199)&lt;&gt;"",INDEX(Parties!$E$5:$E$304,V199)&lt;&gt;HomeState),ROUND(L199*M199,2),0))</f>
        <v/>
      </c>
      <c r="Q199" s="61" t="str">
        <f aca="false">IF($D199="","",L199+N199+O199+P199)</f>
        <v/>
      </c>
      <c r="R199" s="61" t="str">
        <f aca="false">IF($D199="","",ROUND(N($E199)*IFERROR(INDEX(Items!$P$5:$P$504,U199),0),2))</f>
        <v/>
      </c>
      <c r="S199" s="61" t="str">
        <f aca="false">IF($D199="","",L199-R199)</f>
        <v/>
      </c>
      <c r="T199" s="60" t="str">
        <f aca="false">IF($D199="","",IF(U199="","UNKNOWN ITEM",IF(INDEX(Items!$O$5:$O$504,U199)&lt;0,"NEG STOCK",IF(K199&lt;INDEX(Items!$P$5:$P$504,U199),"BELOW COST","OK"))))</f>
        <v/>
      </c>
      <c r="U199" s="60" t="str">
        <f aca="false">IF($D199="","",IFERROR(MATCH($D199,Items!$A$5:$A$504,0),""))</f>
        <v/>
      </c>
      <c r="V199" s="60" t="str">
        <f aca="false">IF($C199="","",IFERROR(MATCH($C199,Parties!$A$5:$A$304,0),""))</f>
        <v/>
      </c>
      <c r="W199" s="60" t="str">
        <f aca="false">IF($B199="","",IFERROR(VALUE(SUBSTITUTE($B199,InvPrefix,"")),0))</f>
        <v/>
      </c>
      <c r="X199" s="61" t="str">
        <f aca="false">IF($D199="","",IF(OR($H199="",$H199="Credit"),0,Q199))</f>
        <v/>
      </c>
    </row>
    <row r="200" customFormat="false" ht="15" hidden="false" customHeight="false" outlineLevel="0" collapsed="false">
      <c r="A200" s="55"/>
      <c r="B200" s="56"/>
      <c r="C200" s="56"/>
      <c r="D200" s="56"/>
      <c r="E200" s="57"/>
      <c r="F200" s="58"/>
      <c r="G200" s="59"/>
      <c r="H200" s="56"/>
      <c r="I200" s="56"/>
      <c r="J200" s="60" t="str">
        <f aca="false">IF($D200="","",IFERROR(INDEX(Items!$D$5:$D$504,U200),""))</f>
        <v/>
      </c>
      <c r="K200" s="61" t="str">
        <f aca="false">IF($D200="","",IF($F200="",IFERROR(INDEX(Items!$H$5:$H$504,U200),0),$F200))</f>
        <v/>
      </c>
      <c r="L200" s="61" t="str">
        <f aca="false">IF($D200="","",ROUND(N($E200)*K200*(1-N($G200)),2))</f>
        <v/>
      </c>
      <c r="M200" s="62" t="str">
        <f aca="false">IF($D200="","",IFERROR(INDEX(Items!$F$5:$F$504,U200),0))</f>
        <v/>
      </c>
      <c r="N200" s="61" t="str">
        <f aca="false">IF($D200="","",IF(AND(V200&lt;&gt;"",INDEX(Parties!$E$5:$E$304,V200)&lt;&gt;"",INDEX(Parties!$E$5:$E$304,V200)&lt;&gt;HomeState),0,ROUND(L200*M200/2,2)))</f>
        <v/>
      </c>
      <c r="O200" s="61" t="str">
        <f aca="false">IF($D200="","",N200)</f>
        <v/>
      </c>
      <c r="P200" s="61" t="str">
        <f aca="false">IF($D200="","",IF(AND(V200&lt;&gt;"",INDEX(Parties!$E$5:$E$304,V200)&lt;&gt;"",INDEX(Parties!$E$5:$E$304,V200)&lt;&gt;HomeState),ROUND(L200*M200,2),0))</f>
        <v/>
      </c>
      <c r="Q200" s="61" t="str">
        <f aca="false">IF($D200="","",L200+N200+O200+P200)</f>
        <v/>
      </c>
      <c r="R200" s="61" t="str">
        <f aca="false">IF($D200="","",ROUND(N($E200)*IFERROR(INDEX(Items!$P$5:$P$504,U200),0),2))</f>
        <v/>
      </c>
      <c r="S200" s="61" t="str">
        <f aca="false">IF($D200="","",L200-R200)</f>
        <v/>
      </c>
      <c r="T200" s="60" t="str">
        <f aca="false">IF($D200="","",IF(U200="","UNKNOWN ITEM",IF(INDEX(Items!$O$5:$O$504,U200)&lt;0,"NEG STOCK",IF(K200&lt;INDEX(Items!$P$5:$P$504,U200),"BELOW COST","OK"))))</f>
        <v/>
      </c>
      <c r="U200" s="60" t="str">
        <f aca="false">IF($D200="","",IFERROR(MATCH($D200,Items!$A$5:$A$504,0),""))</f>
        <v/>
      </c>
      <c r="V200" s="60" t="str">
        <f aca="false">IF($C200="","",IFERROR(MATCH($C200,Parties!$A$5:$A$304,0),""))</f>
        <v/>
      </c>
      <c r="W200" s="60" t="str">
        <f aca="false">IF($B200="","",IFERROR(VALUE(SUBSTITUTE($B200,InvPrefix,"")),0))</f>
        <v/>
      </c>
      <c r="X200" s="61" t="str">
        <f aca="false">IF($D200="","",IF(OR($H200="",$H200="Credit"),0,Q200))</f>
        <v/>
      </c>
    </row>
    <row r="201" customFormat="false" ht="15" hidden="false" customHeight="false" outlineLevel="0" collapsed="false">
      <c r="A201" s="55"/>
      <c r="B201" s="56"/>
      <c r="C201" s="56"/>
      <c r="D201" s="56"/>
      <c r="E201" s="57"/>
      <c r="F201" s="58"/>
      <c r="G201" s="59"/>
      <c r="H201" s="56"/>
      <c r="I201" s="56"/>
      <c r="J201" s="60" t="str">
        <f aca="false">IF($D201="","",IFERROR(INDEX(Items!$D$5:$D$504,U201),""))</f>
        <v/>
      </c>
      <c r="K201" s="61" t="str">
        <f aca="false">IF($D201="","",IF($F201="",IFERROR(INDEX(Items!$H$5:$H$504,U201),0),$F201))</f>
        <v/>
      </c>
      <c r="L201" s="61" t="str">
        <f aca="false">IF($D201="","",ROUND(N($E201)*K201*(1-N($G201)),2))</f>
        <v/>
      </c>
      <c r="M201" s="62" t="str">
        <f aca="false">IF($D201="","",IFERROR(INDEX(Items!$F$5:$F$504,U201),0))</f>
        <v/>
      </c>
      <c r="N201" s="61" t="str">
        <f aca="false">IF($D201="","",IF(AND(V201&lt;&gt;"",INDEX(Parties!$E$5:$E$304,V201)&lt;&gt;"",INDEX(Parties!$E$5:$E$304,V201)&lt;&gt;HomeState),0,ROUND(L201*M201/2,2)))</f>
        <v/>
      </c>
      <c r="O201" s="61" t="str">
        <f aca="false">IF($D201="","",N201)</f>
        <v/>
      </c>
      <c r="P201" s="61" t="str">
        <f aca="false">IF($D201="","",IF(AND(V201&lt;&gt;"",INDEX(Parties!$E$5:$E$304,V201)&lt;&gt;"",INDEX(Parties!$E$5:$E$304,V201)&lt;&gt;HomeState),ROUND(L201*M201,2),0))</f>
        <v/>
      </c>
      <c r="Q201" s="61" t="str">
        <f aca="false">IF($D201="","",L201+N201+O201+P201)</f>
        <v/>
      </c>
      <c r="R201" s="61" t="str">
        <f aca="false">IF($D201="","",ROUND(N($E201)*IFERROR(INDEX(Items!$P$5:$P$504,U201),0),2))</f>
        <v/>
      </c>
      <c r="S201" s="61" t="str">
        <f aca="false">IF($D201="","",L201-R201)</f>
        <v/>
      </c>
      <c r="T201" s="60" t="str">
        <f aca="false">IF($D201="","",IF(U201="","UNKNOWN ITEM",IF(INDEX(Items!$O$5:$O$504,U201)&lt;0,"NEG STOCK",IF(K201&lt;INDEX(Items!$P$5:$P$504,U201),"BELOW COST","OK"))))</f>
        <v/>
      </c>
      <c r="U201" s="60" t="str">
        <f aca="false">IF($D201="","",IFERROR(MATCH($D201,Items!$A$5:$A$504,0),""))</f>
        <v/>
      </c>
      <c r="V201" s="60" t="str">
        <f aca="false">IF($C201="","",IFERROR(MATCH($C201,Parties!$A$5:$A$304,0),""))</f>
        <v/>
      </c>
      <c r="W201" s="60" t="str">
        <f aca="false">IF($B201="","",IFERROR(VALUE(SUBSTITUTE($B201,InvPrefix,"")),0))</f>
        <v/>
      </c>
      <c r="X201" s="61" t="str">
        <f aca="false">IF($D201="","",IF(OR($H201="",$H201="Credit"),0,Q201))</f>
        <v/>
      </c>
    </row>
    <row r="202" customFormat="false" ht="15" hidden="false" customHeight="false" outlineLevel="0" collapsed="false">
      <c r="A202" s="55"/>
      <c r="B202" s="56"/>
      <c r="C202" s="56"/>
      <c r="D202" s="56"/>
      <c r="E202" s="57"/>
      <c r="F202" s="58"/>
      <c r="G202" s="59"/>
      <c r="H202" s="56"/>
      <c r="I202" s="56"/>
      <c r="J202" s="60" t="str">
        <f aca="false">IF($D202="","",IFERROR(INDEX(Items!$D$5:$D$504,U202),""))</f>
        <v/>
      </c>
      <c r="K202" s="61" t="str">
        <f aca="false">IF($D202="","",IF($F202="",IFERROR(INDEX(Items!$H$5:$H$504,U202),0),$F202))</f>
        <v/>
      </c>
      <c r="L202" s="61" t="str">
        <f aca="false">IF($D202="","",ROUND(N($E202)*K202*(1-N($G202)),2))</f>
        <v/>
      </c>
      <c r="M202" s="62" t="str">
        <f aca="false">IF($D202="","",IFERROR(INDEX(Items!$F$5:$F$504,U202),0))</f>
        <v/>
      </c>
      <c r="N202" s="61" t="str">
        <f aca="false">IF($D202="","",IF(AND(V202&lt;&gt;"",INDEX(Parties!$E$5:$E$304,V202)&lt;&gt;"",INDEX(Parties!$E$5:$E$304,V202)&lt;&gt;HomeState),0,ROUND(L202*M202/2,2)))</f>
        <v/>
      </c>
      <c r="O202" s="61" t="str">
        <f aca="false">IF($D202="","",N202)</f>
        <v/>
      </c>
      <c r="P202" s="61" t="str">
        <f aca="false">IF($D202="","",IF(AND(V202&lt;&gt;"",INDEX(Parties!$E$5:$E$304,V202)&lt;&gt;"",INDEX(Parties!$E$5:$E$304,V202)&lt;&gt;HomeState),ROUND(L202*M202,2),0))</f>
        <v/>
      </c>
      <c r="Q202" s="61" t="str">
        <f aca="false">IF($D202="","",L202+N202+O202+P202)</f>
        <v/>
      </c>
      <c r="R202" s="61" t="str">
        <f aca="false">IF($D202="","",ROUND(N($E202)*IFERROR(INDEX(Items!$P$5:$P$504,U202),0),2))</f>
        <v/>
      </c>
      <c r="S202" s="61" t="str">
        <f aca="false">IF($D202="","",L202-R202)</f>
        <v/>
      </c>
      <c r="T202" s="60" t="str">
        <f aca="false">IF($D202="","",IF(U202="","UNKNOWN ITEM",IF(INDEX(Items!$O$5:$O$504,U202)&lt;0,"NEG STOCK",IF(K202&lt;INDEX(Items!$P$5:$P$504,U202),"BELOW COST","OK"))))</f>
        <v/>
      </c>
      <c r="U202" s="60" t="str">
        <f aca="false">IF($D202="","",IFERROR(MATCH($D202,Items!$A$5:$A$504,0),""))</f>
        <v/>
      </c>
      <c r="V202" s="60" t="str">
        <f aca="false">IF($C202="","",IFERROR(MATCH($C202,Parties!$A$5:$A$304,0),""))</f>
        <v/>
      </c>
      <c r="W202" s="60" t="str">
        <f aca="false">IF($B202="","",IFERROR(VALUE(SUBSTITUTE($B202,InvPrefix,"")),0))</f>
        <v/>
      </c>
      <c r="X202" s="61" t="str">
        <f aca="false">IF($D202="","",IF(OR($H202="",$H202="Credit"),0,Q202))</f>
        <v/>
      </c>
    </row>
    <row r="203" customFormat="false" ht="15" hidden="false" customHeight="false" outlineLevel="0" collapsed="false">
      <c r="A203" s="55"/>
      <c r="B203" s="56"/>
      <c r="C203" s="56"/>
      <c r="D203" s="56"/>
      <c r="E203" s="57"/>
      <c r="F203" s="58"/>
      <c r="G203" s="59"/>
      <c r="H203" s="56"/>
      <c r="I203" s="56"/>
      <c r="J203" s="60" t="str">
        <f aca="false">IF($D203="","",IFERROR(INDEX(Items!$D$5:$D$504,U203),""))</f>
        <v/>
      </c>
      <c r="K203" s="61" t="str">
        <f aca="false">IF($D203="","",IF($F203="",IFERROR(INDEX(Items!$H$5:$H$504,U203),0),$F203))</f>
        <v/>
      </c>
      <c r="L203" s="61" t="str">
        <f aca="false">IF($D203="","",ROUND(N($E203)*K203*(1-N($G203)),2))</f>
        <v/>
      </c>
      <c r="M203" s="62" t="str">
        <f aca="false">IF($D203="","",IFERROR(INDEX(Items!$F$5:$F$504,U203),0))</f>
        <v/>
      </c>
      <c r="N203" s="61" t="str">
        <f aca="false">IF($D203="","",IF(AND(V203&lt;&gt;"",INDEX(Parties!$E$5:$E$304,V203)&lt;&gt;"",INDEX(Parties!$E$5:$E$304,V203)&lt;&gt;HomeState),0,ROUND(L203*M203/2,2)))</f>
        <v/>
      </c>
      <c r="O203" s="61" t="str">
        <f aca="false">IF($D203="","",N203)</f>
        <v/>
      </c>
      <c r="P203" s="61" t="str">
        <f aca="false">IF($D203="","",IF(AND(V203&lt;&gt;"",INDEX(Parties!$E$5:$E$304,V203)&lt;&gt;"",INDEX(Parties!$E$5:$E$304,V203)&lt;&gt;HomeState),ROUND(L203*M203,2),0))</f>
        <v/>
      </c>
      <c r="Q203" s="61" t="str">
        <f aca="false">IF($D203="","",L203+N203+O203+P203)</f>
        <v/>
      </c>
      <c r="R203" s="61" t="str">
        <f aca="false">IF($D203="","",ROUND(N($E203)*IFERROR(INDEX(Items!$P$5:$P$504,U203),0),2))</f>
        <v/>
      </c>
      <c r="S203" s="61" t="str">
        <f aca="false">IF($D203="","",L203-R203)</f>
        <v/>
      </c>
      <c r="T203" s="60" t="str">
        <f aca="false">IF($D203="","",IF(U203="","UNKNOWN ITEM",IF(INDEX(Items!$O$5:$O$504,U203)&lt;0,"NEG STOCK",IF(K203&lt;INDEX(Items!$P$5:$P$504,U203),"BELOW COST","OK"))))</f>
        <v/>
      </c>
      <c r="U203" s="60" t="str">
        <f aca="false">IF($D203="","",IFERROR(MATCH($D203,Items!$A$5:$A$504,0),""))</f>
        <v/>
      </c>
      <c r="V203" s="60" t="str">
        <f aca="false">IF($C203="","",IFERROR(MATCH($C203,Parties!$A$5:$A$304,0),""))</f>
        <v/>
      </c>
      <c r="W203" s="60" t="str">
        <f aca="false">IF($B203="","",IFERROR(VALUE(SUBSTITUTE($B203,InvPrefix,"")),0))</f>
        <v/>
      </c>
      <c r="X203" s="61" t="str">
        <f aca="false">IF($D203="","",IF(OR($H203="",$H203="Credit"),0,Q203))</f>
        <v/>
      </c>
    </row>
    <row r="204" customFormat="false" ht="15" hidden="false" customHeight="false" outlineLevel="0" collapsed="false">
      <c r="A204" s="55"/>
      <c r="B204" s="56"/>
      <c r="C204" s="56"/>
      <c r="D204" s="56"/>
      <c r="E204" s="57"/>
      <c r="F204" s="58"/>
      <c r="G204" s="59"/>
      <c r="H204" s="56"/>
      <c r="I204" s="56"/>
      <c r="J204" s="60" t="str">
        <f aca="false">IF($D204="","",IFERROR(INDEX(Items!$D$5:$D$504,U204),""))</f>
        <v/>
      </c>
      <c r="K204" s="61" t="str">
        <f aca="false">IF($D204="","",IF($F204="",IFERROR(INDEX(Items!$H$5:$H$504,U204),0),$F204))</f>
        <v/>
      </c>
      <c r="L204" s="61" t="str">
        <f aca="false">IF($D204="","",ROUND(N($E204)*K204*(1-N($G204)),2))</f>
        <v/>
      </c>
      <c r="M204" s="62" t="str">
        <f aca="false">IF($D204="","",IFERROR(INDEX(Items!$F$5:$F$504,U204),0))</f>
        <v/>
      </c>
      <c r="N204" s="61" t="str">
        <f aca="false">IF($D204="","",IF(AND(V204&lt;&gt;"",INDEX(Parties!$E$5:$E$304,V204)&lt;&gt;"",INDEX(Parties!$E$5:$E$304,V204)&lt;&gt;HomeState),0,ROUND(L204*M204/2,2)))</f>
        <v/>
      </c>
      <c r="O204" s="61" t="str">
        <f aca="false">IF($D204="","",N204)</f>
        <v/>
      </c>
      <c r="P204" s="61" t="str">
        <f aca="false">IF($D204="","",IF(AND(V204&lt;&gt;"",INDEX(Parties!$E$5:$E$304,V204)&lt;&gt;"",INDEX(Parties!$E$5:$E$304,V204)&lt;&gt;HomeState),ROUND(L204*M204,2),0))</f>
        <v/>
      </c>
      <c r="Q204" s="61" t="str">
        <f aca="false">IF($D204="","",L204+N204+O204+P204)</f>
        <v/>
      </c>
      <c r="R204" s="61" t="str">
        <f aca="false">IF($D204="","",ROUND(N($E204)*IFERROR(INDEX(Items!$P$5:$P$504,U204),0),2))</f>
        <v/>
      </c>
      <c r="S204" s="61" t="str">
        <f aca="false">IF($D204="","",L204-R204)</f>
        <v/>
      </c>
      <c r="T204" s="60" t="str">
        <f aca="false">IF($D204="","",IF(U204="","UNKNOWN ITEM",IF(INDEX(Items!$O$5:$O$504,U204)&lt;0,"NEG STOCK",IF(K204&lt;INDEX(Items!$P$5:$P$504,U204),"BELOW COST","OK"))))</f>
        <v/>
      </c>
      <c r="U204" s="60" t="str">
        <f aca="false">IF($D204="","",IFERROR(MATCH($D204,Items!$A$5:$A$504,0),""))</f>
        <v/>
      </c>
      <c r="V204" s="60" t="str">
        <f aca="false">IF($C204="","",IFERROR(MATCH($C204,Parties!$A$5:$A$304,0),""))</f>
        <v/>
      </c>
      <c r="W204" s="60" t="str">
        <f aca="false">IF($B204="","",IFERROR(VALUE(SUBSTITUTE($B204,InvPrefix,"")),0))</f>
        <v/>
      </c>
      <c r="X204" s="61" t="str">
        <f aca="false">IF($D204="","",IF(OR($H204="",$H204="Credit"),0,Q204))</f>
        <v/>
      </c>
    </row>
    <row r="205" customFormat="false" ht="15" hidden="false" customHeight="false" outlineLevel="0" collapsed="false">
      <c r="A205" s="55"/>
      <c r="B205" s="56"/>
      <c r="C205" s="56"/>
      <c r="D205" s="56"/>
      <c r="E205" s="57"/>
      <c r="F205" s="58"/>
      <c r="G205" s="59"/>
      <c r="H205" s="56"/>
      <c r="I205" s="56"/>
      <c r="J205" s="60" t="str">
        <f aca="false">IF(IsPro,IF($D205="","",IFERROR(INDEX(Items!$D$5:$D$504,U205),"")),"")</f>
        <v/>
      </c>
      <c r="K205" s="61" t="str">
        <f aca="false">IF(IsPro,IF($D205="","",IF($F205="",IFERROR(INDEX(Items!$H$5:$H$504,U205),0),$F205)),"")</f>
        <v/>
      </c>
      <c r="L205" s="61" t="str">
        <f aca="false">IF(IsPro,IF($D205="","",ROUND(N($E205)*K205*(1-N($G205)),2)),"")</f>
        <v/>
      </c>
      <c r="M205" s="62" t="str">
        <f aca="false">IF(IsPro,IF($D205="","",IFERROR(INDEX(Items!$F$5:$F$504,U205),0)),"")</f>
        <v/>
      </c>
      <c r="N205" s="61" t="str">
        <f aca="false">IF(IsPro,IF($D205="","",IF(AND(V205&lt;&gt;"",INDEX(Parties!$E$5:$E$304,V205)&lt;&gt;"",INDEX(Parties!$E$5:$E$304,V205)&lt;&gt;HomeState),0,ROUND(L205*M205/2,2))),"")</f>
        <v/>
      </c>
      <c r="O205" s="61" t="str">
        <f aca="false">IF(IsPro,IF($D205="","",N205),"")</f>
        <v/>
      </c>
      <c r="P205" s="61" t="str">
        <f aca="false">IF(IsPro,IF($D205="","",IF(AND(V205&lt;&gt;"",INDEX(Parties!$E$5:$E$304,V205)&lt;&gt;"",INDEX(Parties!$E$5:$E$304,V205)&lt;&gt;HomeState),ROUND(L205*M205,2),0)),"")</f>
        <v/>
      </c>
      <c r="Q205" s="61" t="str">
        <f aca="false">IF(IsPro,IF($D205="","",L205+N205+O205+P205),"")</f>
        <v/>
      </c>
      <c r="R205" s="61" t="str">
        <f aca="false">IF(IsPro,IF($D205="","",ROUND(N($E205)*IFERROR(INDEX(Items!$P$5:$P$504,U205),0),2)),"")</f>
        <v/>
      </c>
      <c r="S205" s="61" t="str">
        <f aca="false">IF(IsPro,IF($D205="","",L205-R205),"")</f>
        <v/>
      </c>
      <c r="T205" s="60" t="str">
        <f aca="false">IF(IsPro,IF($D205="","",IF(U205="","UNKNOWN ITEM",IF(INDEX(Items!$O$5:$O$504,U205)&lt;0,"NEG STOCK",IF(K205&lt;INDEX(Items!$P$5:$P$504,U205),"BELOW COST","OK")))),IF($D205="","","PRO PLAN"))</f>
        <v/>
      </c>
      <c r="U205" s="60" t="str">
        <f aca="false">IF(IsPro,IF($D205="","",IFERROR(MATCH($D205,Items!$A$5:$A$504,0),"")),"")</f>
        <v/>
      </c>
      <c r="V205" s="60" t="str">
        <f aca="false">IF(IsPro,IF($C205="","",IFERROR(MATCH($C205,Parties!$A$5:$A$304,0),"")),"")</f>
        <v/>
      </c>
      <c r="W205" s="60" t="str">
        <f aca="false">IF(IsPro,IF($B205="","",IFERROR(VALUE(SUBSTITUTE($B205,InvPrefix,"")),0)),"")</f>
        <v/>
      </c>
      <c r="X205" s="61" t="str">
        <f aca="false">IF(IsPro,IF($D205="","",IF(OR($H205="",$H205="Credit"),0,Q205)),"")</f>
        <v/>
      </c>
    </row>
    <row r="206" customFormat="false" ht="15" hidden="false" customHeight="false" outlineLevel="0" collapsed="false">
      <c r="A206" s="55"/>
      <c r="B206" s="56"/>
      <c r="C206" s="56"/>
      <c r="D206" s="56"/>
      <c r="E206" s="57"/>
      <c r="F206" s="58"/>
      <c r="G206" s="59"/>
      <c r="H206" s="56"/>
      <c r="I206" s="56"/>
      <c r="J206" s="60" t="str">
        <f aca="false">IF(IsPro,IF($D206="","",IFERROR(INDEX(Items!$D$5:$D$504,U206),"")),"")</f>
        <v/>
      </c>
      <c r="K206" s="61" t="str">
        <f aca="false">IF(IsPro,IF($D206="","",IF($F206="",IFERROR(INDEX(Items!$H$5:$H$504,U206),0),$F206)),"")</f>
        <v/>
      </c>
      <c r="L206" s="61" t="str">
        <f aca="false">IF(IsPro,IF($D206="","",ROUND(N($E206)*K206*(1-N($G206)),2)),"")</f>
        <v/>
      </c>
      <c r="M206" s="62" t="str">
        <f aca="false">IF(IsPro,IF($D206="","",IFERROR(INDEX(Items!$F$5:$F$504,U206),0)),"")</f>
        <v/>
      </c>
      <c r="N206" s="61" t="str">
        <f aca="false">IF(IsPro,IF($D206="","",IF(AND(V206&lt;&gt;"",INDEX(Parties!$E$5:$E$304,V206)&lt;&gt;"",INDEX(Parties!$E$5:$E$304,V206)&lt;&gt;HomeState),0,ROUND(L206*M206/2,2))),"")</f>
        <v/>
      </c>
      <c r="O206" s="61" t="str">
        <f aca="false">IF(IsPro,IF($D206="","",N206),"")</f>
        <v/>
      </c>
      <c r="P206" s="61" t="str">
        <f aca="false">IF(IsPro,IF($D206="","",IF(AND(V206&lt;&gt;"",INDEX(Parties!$E$5:$E$304,V206)&lt;&gt;"",INDEX(Parties!$E$5:$E$304,V206)&lt;&gt;HomeState),ROUND(L206*M206,2),0)),"")</f>
        <v/>
      </c>
      <c r="Q206" s="61" t="str">
        <f aca="false">IF(IsPro,IF($D206="","",L206+N206+O206+P206),"")</f>
        <v/>
      </c>
      <c r="R206" s="61" t="str">
        <f aca="false">IF(IsPro,IF($D206="","",ROUND(N($E206)*IFERROR(INDEX(Items!$P$5:$P$504,U206),0),2)),"")</f>
        <v/>
      </c>
      <c r="S206" s="61" t="str">
        <f aca="false">IF(IsPro,IF($D206="","",L206-R206),"")</f>
        <v/>
      </c>
      <c r="T206" s="60" t="str">
        <f aca="false">IF(IsPro,IF($D206="","",IF(U206="","UNKNOWN ITEM",IF(INDEX(Items!$O$5:$O$504,U206)&lt;0,"NEG STOCK",IF(K206&lt;INDEX(Items!$P$5:$P$504,U206),"BELOW COST","OK")))),IF($D206="","","PRO PLAN"))</f>
        <v/>
      </c>
      <c r="U206" s="60" t="str">
        <f aca="false">IF(IsPro,IF($D206="","",IFERROR(MATCH($D206,Items!$A$5:$A$504,0),"")),"")</f>
        <v/>
      </c>
      <c r="V206" s="60" t="str">
        <f aca="false">IF(IsPro,IF($C206="","",IFERROR(MATCH($C206,Parties!$A$5:$A$304,0),"")),"")</f>
        <v/>
      </c>
      <c r="W206" s="60" t="str">
        <f aca="false">IF(IsPro,IF($B206="","",IFERROR(VALUE(SUBSTITUTE($B206,InvPrefix,"")),0)),"")</f>
        <v/>
      </c>
      <c r="X206" s="61" t="str">
        <f aca="false">IF(IsPro,IF($D206="","",IF(OR($H206="",$H206="Credit"),0,Q206)),"")</f>
        <v/>
      </c>
    </row>
    <row r="207" customFormat="false" ht="15" hidden="false" customHeight="false" outlineLevel="0" collapsed="false">
      <c r="A207" s="55"/>
      <c r="B207" s="56"/>
      <c r="C207" s="56"/>
      <c r="D207" s="56"/>
      <c r="E207" s="57"/>
      <c r="F207" s="58"/>
      <c r="G207" s="59"/>
      <c r="H207" s="56"/>
      <c r="I207" s="56"/>
      <c r="J207" s="60" t="str">
        <f aca="false">IF(IsPro,IF($D207="","",IFERROR(INDEX(Items!$D$5:$D$504,U207),"")),"")</f>
        <v/>
      </c>
      <c r="K207" s="61" t="str">
        <f aca="false">IF(IsPro,IF($D207="","",IF($F207="",IFERROR(INDEX(Items!$H$5:$H$504,U207),0),$F207)),"")</f>
        <v/>
      </c>
      <c r="L207" s="61" t="str">
        <f aca="false">IF(IsPro,IF($D207="","",ROUND(N($E207)*K207*(1-N($G207)),2)),"")</f>
        <v/>
      </c>
      <c r="M207" s="62" t="str">
        <f aca="false">IF(IsPro,IF($D207="","",IFERROR(INDEX(Items!$F$5:$F$504,U207),0)),"")</f>
        <v/>
      </c>
      <c r="N207" s="61" t="str">
        <f aca="false">IF(IsPro,IF($D207="","",IF(AND(V207&lt;&gt;"",INDEX(Parties!$E$5:$E$304,V207)&lt;&gt;"",INDEX(Parties!$E$5:$E$304,V207)&lt;&gt;HomeState),0,ROUND(L207*M207/2,2))),"")</f>
        <v/>
      </c>
      <c r="O207" s="61" t="str">
        <f aca="false">IF(IsPro,IF($D207="","",N207),"")</f>
        <v/>
      </c>
      <c r="P207" s="61" t="str">
        <f aca="false">IF(IsPro,IF($D207="","",IF(AND(V207&lt;&gt;"",INDEX(Parties!$E$5:$E$304,V207)&lt;&gt;"",INDEX(Parties!$E$5:$E$304,V207)&lt;&gt;HomeState),ROUND(L207*M207,2),0)),"")</f>
        <v/>
      </c>
      <c r="Q207" s="61" t="str">
        <f aca="false">IF(IsPro,IF($D207="","",L207+N207+O207+P207),"")</f>
        <v/>
      </c>
      <c r="R207" s="61" t="str">
        <f aca="false">IF(IsPro,IF($D207="","",ROUND(N($E207)*IFERROR(INDEX(Items!$P$5:$P$504,U207),0),2)),"")</f>
        <v/>
      </c>
      <c r="S207" s="61" t="str">
        <f aca="false">IF(IsPro,IF($D207="","",L207-R207),"")</f>
        <v/>
      </c>
      <c r="T207" s="60" t="str">
        <f aca="false">IF(IsPro,IF($D207="","",IF(U207="","UNKNOWN ITEM",IF(INDEX(Items!$O$5:$O$504,U207)&lt;0,"NEG STOCK",IF(K207&lt;INDEX(Items!$P$5:$P$504,U207),"BELOW COST","OK")))),IF($D207="","","PRO PLAN"))</f>
        <v/>
      </c>
      <c r="U207" s="60" t="str">
        <f aca="false">IF(IsPro,IF($D207="","",IFERROR(MATCH($D207,Items!$A$5:$A$504,0),"")),"")</f>
        <v/>
      </c>
      <c r="V207" s="60" t="str">
        <f aca="false">IF(IsPro,IF($C207="","",IFERROR(MATCH($C207,Parties!$A$5:$A$304,0),"")),"")</f>
        <v/>
      </c>
      <c r="W207" s="60" t="str">
        <f aca="false">IF(IsPro,IF($B207="","",IFERROR(VALUE(SUBSTITUTE($B207,InvPrefix,"")),0)),"")</f>
        <v/>
      </c>
      <c r="X207" s="61" t="str">
        <f aca="false">IF(IsPro,IF($D207="","",IF(OR($H207="",$H207="Credit"),0,Q207)),"")</f>
        <v/>
      </c>
    </row>
    <row r="208" customFormat="false" ht="15" hidden="false" customHeight="false" outlineLevel="0" collapsed="false">
      <c r="A208" s="55"/>
      <c r="B208" s="56"/>
      <c r="C208" s="56"/>
      <c r="D208" s="56"/>
      <c r="E208" s="57"/>
      <c r="F208" s="58"/>
      <c r="G208" s="59"/>
      <c r="H208" s="56"/>
      <c r="I208" s="56"/>
      <c r="J208" s="60" t="str">
        <f aca="false">IF(IsPro,IF($D208="","",IFERROR(INDEX(Items!$D$5:$D$504,U208),"")),"")</f>
        <v/>
      </c>
      <c r="K208" s="61" t="str">
        <f aca="false">IF(IsPro,IF($D208="","",IF($F208="",IFERROR(INDEX(Items!$H$5:$H$504,U208),0),$F208)),"")</f>
        <v/>
      </c>
      <c r="L208" s="61" t="str">
        <f aca="false">IF(IsPro,IF($D208="","",ROUND(N($E208)*K208*(1-N($G208)),2)),"")</f>
        <v/>
      </c>
      <c r="M208" s="62" t="str">
        <f aca="false">IF(IsPro,IF($D208="","",IFERROR(INDEX(Items!$F$5:$F$504,U208),0)),"")</f>
        <v/>
      </c>
      <c r="N208" s="61" t="str">
        <f aca="false">IF(IsPro,IF($D208="","",IF(AND(V208&lt;&gt;"",INDEX(Parties!$E$5:$E$304,V208)&lt;&gt;"",INDEX(Parties!$E$5:$E$304,V208)&lt;&gt;HomeState),0,ROUND(L208*M208/2,2))),"")</f>
        <v/>
      </c>
      <c r="O208" s="61" t="str">
        <f aca="false">IF(IsPro,IF($D208="","",N208),"")</f>
        <v/>
      </c>
      <c r="P208" s="61" t="str">
        <f aca="false">IF(IsPro,IF($D208="","",IF(AND(V208&lt;&gt;"",INDEX(Parties!$E$5:$E$304,V208)&lt;&gt;"",INDEX(Parties!$E$5:$E$304,V208)&lt;&gt;HomeState),ROUND(L208*M208,2),0)),"")</f>
        <v/>
      </c>
      <c r="Q208" s="61" t="str">
        <f aca="false">IF(IsPro,IF($D208="","",L208+N208+O208+P208),"")</f>
        <v/>
      </c>
      <c r="R208" s="61" t="str">
        <f aca="false">IF(IsPro,IF($D208="","",ROUND(N($E208)*IFERROR(INDEX(Items!$P$5:$P$504,U208),0),2)),"")</f>
        <v/>
      </c>
      <c r="S208" s="61" t="str">
        <f aca="false">IF(IsPro,IF($D208="","",L208-R208),"")</f>
        <v/>
      </c>
      <c r="T208" s="60" t="str">
        <f aca="false">IF(IsPro,IF($D208="","",IF(U208="","UNKNOWN ITEM",IF(INDEX(Items!$O$5:$O$504,U208)&lt;0,"NEG STOCK",IF(K208&lt;INDEX(Items!$P$5:$P$504,U208),"BELOW COST","OK")))),IF($D208="","","PRO PLAN"))</f>
        <v/>
      </c>
      <c r="U208" s="60" t="str">
        <f aca="false">IF(IsPro,IF($D208="","",IFERROR(MATCH($D208,Items!$A$5:$A$504,0),"")),"")</f>
        <v/>
      </c>
      <c r="V208" s="60" t="str">
        <f aca="false">IF(IsPro,IF($C208="","",IFERROR(MATCH($C208,Parties!$A$5:$A$304,0),"")),"")</f>
        <v/>
      </c>
      <c r="W208" s="60" t="str">
        <f aca="false">IF(IsPro,IF($B208="","",IFERROR(VALUE(SUBSTITUTE($B208,InvPrefix,"")),0)),"")</f>
        <v/>
      </c>
      <c r="X208" s="61" t="str">
        <f aca="false">IF(IsPro,IF($D208="","",IF(OR($H208="",$H208="Credit"),0,Q208)),"")</f>
        <v/>
      </c>
    </row>
    <row r="209" customFormat="false" ht="15" hidden="false" customHeight="false" outlineLevel="0" collapsed="false">
      <c r="A209" s="55"/>
      <c r="B209" s="56"/>
      <c r="C209" s="56"/>
      <c r="D209" s="56"/>
      <c r="E209" s="57"/>
      <c r="F209" s="58"/>
      <c r="G209" s="59"/>
      <c r="H209" s="56"/>
      <c r="I209" s="56"/>
      <c r="J209" s="60" t="str">
        <f aca="false">IF(IsPro,IF($D209="","",IFERROR(INDEX(Items!$D$5:$D$504,U209),"")),"")</f>
        <v/>
      </c>
      <c r="K209" s="61" t="str">
        <f aca="false">IF(IsPro,IF($D209="","",IF($F209="",IFERROR(INDEX(Items!$H$5:$H$504,U209),0),$F209)),"")</f>
        <v/>
      </c>
      <c r="L209" s="61" t="str">
        <f aca="false">IF(IsPro,IF($D209="","",ROUND(N($E209)*K209*(1-N($G209)),2)),"")</f>
        <v/>
      </c>
      <c r="M209" s="62" t="str">
        <f aca="false">IF(IsPro,IF($D209="","",IFERROR(INDEX(Items!$F$5:$F$504,U209),0)),"")</f>
        <v/>
      </c>
      <c r="N209" s="61" t="str">
        <f aca="false">IF(IsPro,IF($D209="","",IF(AND(V209&lt;&gt;"",INDEX(Parties!$E$5:$E$304,V209)&lt;&gt;"",INDEX(Parties!$E$5:$E$304,V209)&lt;&gt;HomeState),0,ROUND(L209*M209/2,2))),"")</f>
        <v/>
      </c>
      <c r="O209" s="61" t="str">
        <f aca="false">IF(IsPro,IF($D209="","",N209),"")</f>
        <v/>
      </c>
      <c r="P209" s="61" t="str">
        <f aca="false">IF(IsPro,IF($D209="","",IF(AND(V209&lt;&gt;"",INDEX(Parties!$E$5:$E$304,V209)&lt;&gt;"",INDEX(Parties!$E$5:$E$304,V209)&lt;&gt;HomeState),ROUND(L209*M209,2),0)),"")</f>
        <v/>
      </c>
      <c r="Q209" s="61" t="str">
        <f aca="false">IF(IsPro,IF($D209="","",L209+N209+O209+P209),"")</f>
        <v/>
      </c>
      <c r="R209" s="61" t="str">
        <f aca="false">IF(IsPro,IF($D209="","",ROUND(N($E209)*IFERROR(INDEX(Items!$P$5:$P$504,U209),0),2)),"")</f>
        <v/>
      </c>
      <c r="S209" s="61" t="str">
        <f aca="false">IF(IsPro,IF($D209="","",L209-R209),"")</f>
        <v/>
      </c>
      <c r="T209" s="60" t="str">
        <f aca="false">IF(IsPro,IF($D209="","",IF(U209="","UNKNOWN ITEM",IF(INDEX(Items!$O$5:$O$504,U209)&lt;0,"NEG STOCK",IF(K209&lt;INDEX(Items!$P$5:$P$504,U209),"BELOW COST","OK")))),IF($D209="","","PRO PLAN"))</f>
        <v/>
      </c>
      <c r="U209" s="60" t="str">
        <f aca="false">IF(IsPro,IF($D209="","",IFERROR(MATCH($D209,Items!$A$5:$A$504,0),"")),"")</f>
        <v/>
      </c>
      <c r="V209" s="60" t="str">
        <f aca="false">IF(IsPro,IF($C209="","",IFERROR(MATCH($C209,Parties!$A$5:$A$304,0),"")),"")</f>
        <v/>
      </c>
      <c r="W209" s="60" t="str">
        <f aca="false">IF(IsPro,IF($B209="","",IFERROR(VALUE(SUBSTITUTE($B209,InvPrefix,"")),0)),"")</f>
        <v/>
      </c>
      <c r="X209" s="61" t="str">
        <f aca="false">IF(IsPro,IF($D209="","",IF(OR($H209="",$H209="Credit"),0,Q209)),"")</f>
        <v/>
      </c>
    </row>
    <row r="210" customFormat="false" ht="15" hidden="false" customHeight="false" outlineLevel="0" collapsed="false">
      <c r="A210" s="55"/>
      <c r="B210" s="56"/>
      <c r="C210" s="56"/>
      <c r="D210" s="56"/>
      <c r="E210" s="57"/>
      <c r="F210" s="58"/>
      <c r="G210" s="59"/>
      <c r="H210" s="56"/>
      <c r="I210" s="56"/>
      <c r="J210" s="60" t="str">
        <f aca="false">IF(IsPro,IF($D210="","",IFERROR(INDEX(Items!$D$5:$D$504,U210),"")),"")</f>
        <v/>
      </c>
      <c r="K210" s="61" t="str">
        <f aca="false">IF(IsPro,IF($D210="","",IF($F210="",IFERROR(INDEX(Items!$H$5:$H$504,U210),0),$F210)),"")</f>
        <v/>
      </c>
      <c r="L210" s="61" t="str">
        <f aca="false">IF(IsPro,IF($D210="","",ROUND(N($E210)*K210*(1-N($G210)),2)),"")</f>
        <v/>
      </c>
      <c r="M210" s="62" t="str">
        <f aca="false">IF(IsPro,IF($D210="","",IFERROR(INDEX(Items!$F$5:$F$504,U210),0)),"")</f>
        <v/>
      </c>
      <c r="N210" s="61" t="str">
        <f aca="false">IF(IsPro,IF($D210="","",IF(AND(V210&lt;&gt;"",INDEX(Parties!$E$5:$E$304,V210)&lt;&gt;"",INDEX(Parties!$E$5:$E$304,V210)&lt;&gt;HomeState),0,ROUND(L210*M210/2,2))),"")</f>
        <v/>
      </c>
      <c r="O210" s="61" t="str">
        <f aca="false">IF(IsPro,IF($D210="","",N210),"")</f>
        <v/>
      </c>
      <c r="P210" s="61" t="str">
        <f aca="false">IF(IsPro,IF($D210="","",IF(AND(V210&lt;&gt;"",INDEX(Parties!$E$5:$E$304,V210)&lt;&gt;"",INDEX(Parties!$E$5:$E$304,V210)&lt;&gt;HomeState),ROUND(L210*M210,2),0)),"")</f>
        <v/>
      </c>
      <c r="Q210" s="61" t="str">
        <f aca="false">IF(IsPro,IF($D210="","",L210+N210+O210+P210),"")</f>
        <v/>
      </c>
      <c r="R210" s="61" t="str">
        <f aca="false">IF(IsPro,IF($D210="","",ROUND(N($E210)*IFERROR(INDEX(Items!$P$5:$P$504,U210),0),2)),"")</f>
        <v/>
      </c>
      <c r="S210" s="61" t="str">
        <f aca="false">IF(IsPro,IF($D210="","",L210-R210),"")</f>
        <v/>
      </c>
      <c r="T210" s="60" t="str">
        <f aca="false">IF(IsPro,IF($D210="","",IF(U210="","UNKNOWN ITEM",IF(INDEX(Items!$O$5:$O$504,U210)&lt;0,"NEG STOCK",IF(K210&lt;INDEX(Items!$P$5:$P$504,U210),"BELOW COST","OK")))),IF($D210="","","PRO PLAN"))</f>
        <v/>
      </c>
      <c r="U210" s="60" t="str">
        <f aca="false">IF(IsPro,IF($D210="","",IFERROR(MATCH($D210,Items!$A$5:$A$504,0),"")),"")</f>
        <v/>
      </c>
      <c r="V210" s="60" t="str">
        <f aca="false">IF(IsPro,IF($C210="","",IFERROR(MATCH($C210,Parties!$A$5:$A$304,0),"")),"")</f>
        <v/>
      </c>
      <c r="W210" s="60" t="str">
        <f aca="false">IF(IsPro,IF($B210="","",IFERROR(VALUE(SUBSTITUTE($B210,InvPrefix,"")),0)),"")</f>
        <v/>
      </c>
      <c r="X210" s="61" t="str">
        <f aca="false">IF(IsPro,IF($D210="","",IF(OR($H210="",$H210="Credit"),0,Q210)),"")</f>
        <v/>
      </c>
    </row>
    <row r="211" customFormat="false" ht="15" hidden="false" customHeight="false" outlineLevel="0" collapsed="false">
      <c r="A211" s="55"/>
      <c r="B211" s="56"/>
      <c r="C211" s="56"/>
      <c r="D211" s="56"/>
      <c r="E211" s="57"/>
      <c r="F211" s="58"/>
      <c r="G211" s="59"/>
      <c r="H211" s="56"/>
      <c r="I211" s="56"/>
      <c r="J211" s="60" t="str">
        <f aca="false">IF(IsPro,IF($D211="","",IFERROR(INDEX(Items!$D$5:$D$504,U211),"")),"")</f>
        <v/>
      </c>
      <c r="K211" s="61" t="str">
        <f aca="false">IF(IsPro,IF($D211="","",IF($F211="",IFERROR(INDEX(Items!$H$5:$H$504,U211),0),$F211)),"")</f>
        <v/>
      </c>
      <c r="L211" s="61" t="str">
        <f aca="false">IF(IsPro,IF($D211="","",ROUND(N($E211)*K211*(1-N($G211)),2)),"")</f>
        <v/>
      </c>
      <c r="M211" s="62" t="str">
        <f aca="false">IF(IsPro,IF($D211="","",IFERROR(INDEX(Items!$F$5:$F$504,U211),0)),"")</f>
        <v/>
      </c>
      <c r="N211" s="61" t="str">
        <f aca="false">IF(IsPro,IF($D211="","",IF(AND(V211&lt;&gt;"",INDEX(Parties!$E$5:$E$304,V211)&lt;&gt;"",INDEX(Parties!$E$5:$E$304,V211)&lt;&gt;HomeState),0,ROUND(L211*M211/2,2))),"")</f>
        <v/>
      </c>
      <c r="O211" s="61" t="str">
        <f aca="false">IF(IsPro,IF($D211="","",N211),"")</f>
        <v/>
      </c>
      <c r="P211" s="61" t="str">
        <f aca="false">IF(IsPro,IF($D211="","",IF(AND(V211&lt;&gt;"",INDEX(Parties!$E$5:$E$304,V211)&lt;&gt;"",INDEX(Parties!$E$5:$E$304,V211)&lt;&gt;HomeState),ROUND(L211*M211,2),0)),"")</f>
        <v/>
      </c>
      <c r="Q211" s="61" t="str">
        <f aca="false">IF(IsPro,IF($D211="","",L211+N211+O211+P211),"")</f>
        <v/>
      </c>
      <c r="R211" s="61" t="str">
        <f aca="false">IF(IsPro,IF($D211="","",ROUND(N($E211)*IFERROR(INDEX(Items!$P$5:$P$504,U211),0),2)),"")</f>
        <v/>
      </c>
      <c r="S211" s="61" t="str">
        <f aca="false">IF(IsPro,IF($D211="","",L211-R211),"")</f>
        <v/>
      </c>
      <c r="T211" s="60" t="str">
        <f aca="false">IF(IsPro,IF($D211="","",IF(U211="","UNKNOWN ITEM",IF(INDEX(Items!$O$5:$O$504,U211)&lt;0,"NEG STOCK",IF(K211&lt;INDEX(Items!$P$5:$P$504,U211),"BELOW COST","OK")))),IF($D211="","","PRO PLAN"))</f>
        <v/>
      </c>
      <c r="U211" s="60" t="str">
        <f aca="false">IF(IsPro,IF($D211="","",IFERROR(MATCH($D211,Items!$A$5:$A$504,0),"")),"")</f>
        <v/>
      </c>
      <c r="V211" s="60" t="str">
        <f aca="false">IF(IsPro,IF($C211="","",IFERROR(MATCH($C211,Parties!$A$5:$A$304,0),"")),"")</f>
        <v/>
      </c>
      <c r="W211" s="60" t="str">
        <f aca="false">IF(IsPro,IF($B211="","",IFERROR(VALUE(SUBSTITUTE($B211,InvPrefix,"")),0)),"")</f>
        <v/>
      </c>
      <c r="X211" s="61" t="str">
        <f aca="false">IF(IsPro,IF($D211="","",IF(OR($H211="",$H211="Credit"),0,Q211)),"")</f>
        <v/>
      </c>
    </row>
    <row r="212" customFormat="false" ht="15" hidden="false" customHeight="false" outlineLevel="0" collapsed="false">
      <c r="A212" s="55"/>
      <c r="B212" s="56"/>
      <c r="C212" s="56"/>
      <c r="D212" s="56"/>
      <c r="E212" s="57"/>
      <c r="F212" s="58"/>
      <c r="G212" s="59"/>
      <c r="H212" s="56"/>
      <c r="I212" s="56"/>
      <c r="J212" s="60" t="str">
        <f aca="false">IF(IsPro,IF($D212="","",IFERROR(INDEX(Items!$D$5:$D$504,U212),"")),"")</f>
        <v/>
      </c>
      <c r="K212" s="61" t="str">
        <f aca="false">IF(IsPro,IF($D212="","",IF($F212="",IFERROR(INDEX(Items!$H$5:$H$504,U212),0),$F212)),"")</f>
        <v/>
      </c>
      <c r="L212" s="61" t="str">
        <f aca="false">IF(IsPro,IF($D212="","",ROUND(N($E212)*K212*(1-N($G212)),2)),"")</f>
        <v/>
      </c>
      <c r="M212" s="62" t="str">
        <f aca="false">IF(IsPro,IF($D212="","",IFERROR(INDEX(Items!$F$5:$F$504,U212),0)),"")</f>
        <v/>
      </c>
      <c r="N212" s="61" t="str">
        <f aca="false">IF(IsPro,IF($D212="","",IF(AND(V212&lt;&gt;"",INDEX(Parties!$E$5:$E$304,V212)&lt;&gt;"",INDEX(Parties!$E$5:$E$304,V212)&lt;&gt;HomeState),0,ROUND(L212*M212/2,2))),"")</f>
        <v/>
      </c>
      <c r="O212" s="61" t="str">
        <f aca="false">IF(IsPro,IF($D212="","",N212),"")</f>
        <v/>
      </c>
      <c r="P212" s="61" t="str">
        <f aca="false">IF(IsPro,IF($D212="","",IF(AND(V212&lt;&gt;"",INDEX(Parties!$E$5:$E$304,V212)&lt;&gt;"",INDEX(Parties!$E$5:$E$304,V212)&lt;&gt;HomeState),ROUND(L212*M212,2),0)),"")</f>
        <v/>
      </c>
      <c r="Q212" s="61" t="str">
        <f aca="false">IF(IsPro,IF($D212="","",L212+N212+O212+P212),"")</f>
        <v/>
      </c>
      <c r="R212" s="61" t="str">
        <f aca="false">IF(IsPro,IF($D212="","",ROUND(N($E212)*IFERROR(INDEX(Items!$P$5:$P$504,U212),0),2)),"")</f>
        <v/>
      </c>
      <c r="S212" s="61" t="str">
        <f aca="false">IF(IsPro,IF($D212="","",L212-R212),"")</f>
        <v/>
      </c>
      <c r="T212" s="60" t="str">
        <f aca="false">IF(IsPro,IF($D212="","",IF(U212="","UNKNOWN ITEM",IF(INDEX(Items!$O$5:$O$504,U212)&lt;0,"NEG STOCK",IF(K212&lt;INDEX(Items!$P$5:$P$504,U212),"BELOW COST","OK")))),IF($D212="","","PRO PLAN"))</f>
        <v/>
      </c>
      <c r="U212" s="60" t="str">
        <f aca="false">IF(IsPro,IF($D212="","",IFERROR(MATCH($D212,Items!$A$5:$A$504,0),"")),"")</f>
        <v/>
      </c>
      <c r="V212" s="60" t="str">
        <f aca="false">IF(IsPro,IF($C212="","",IFERROR(MATCH($C212,Parties!$A$5:$A$304,0),"")),"")</f>
        <v/>
      </c>
      <c r="W212" s="60" t="str">
        <f aca="false">IF(IsPro,IF($B212="","",IFERROR(VALUE(SUBSTITUTE($B212,InvPrefix,"")),0)),"")</f>
        <v/>
      </c>
      <c r="X212" s="61" t="str">
        <f aca="false">IF(IsPro,IF($D212="","",IF(OR($H212="",$H212="Credit"),0,Q212)),"")</f>
        <v/>
      </c>
    </row>
    <row r="213" customFormat="false" ht="15" hidden="false" customHeight="false" outlineLevel="0" collapsed="false">
      <c r="A213" s="55"/>
      <c r="B213" s="56"/>
      <c r="C213" s="56"/>
      <c r="D213" s="56"/>
      <c r="E213" s="57"/>
      <c r="F213" s="58"/>
      <c r="G213" s="59"/>
      <c r="H213" s="56"/>
      <c r="I213" s="56"/>
      <c r="J213" s="60" t="str">
        <f aca="false">IF(IsPro,IF($D213="","",IFERROR(INDEX(Items!$D$5:$D$504,U213),"")),"")</f>
        <v/>
      </c>
      <c r="K213" s="61" t="str">
        <f aca="false">IF(IsPro,IF($D213="","",IF($F213="",IFERROR(INDEX(Items!$H$5:$H$504,U213),0),$F213)),"")</f>
        <v/>
      </c>
      <c r="L213" s="61" t="str">
        <f aca="false">IF(IsPro,IF($D213="","",ROUND(N($E213)*K213*(1-N($G213)),2)),"")</f>
        <v/>
      </c>
      <c r="M213" s="62" t="str">
        <f aca="false">IF(IsPro,IF($D213="","",IFERROR(INDEX(Items!$F$5:$F$504,U213),0)),"")</f>
        <v/>
      </c>
      <c r="N213" s="61" t="str">
        <f aca="false">IF(IsPro,IF($D213="","",IF(AND(V213&lt;&gt;"",INDEX(Parties!$E$5:$E$304,V213)&lt;&gt;"",INDEX(Parties!$E$5:$E$304,V213)&lt;&gt;HomeState),0,ROUND(L213*M213/2,2))),"")</f>
        <v/>
      </c>
      <c r="O213" s="61" t="str">
        <f aca="false">IF(IsPro,IF($D213="","",N213),"")</f>
        <v/>
      </c>
      <c r="P213" s="61" t="str">
        <f aca="false">IF(IsPro,IF($D213="","",IF(AND(V213&lt;&gt;"",INDEX(Parties!$E$5:$E$304,V213)&lt;&gt;"",INDEX(Parties!$E$5:$E$304,V213)&lt;&gt;HomeState),ROUND(L213*M213,2),0)),"")</f>
        <v/>
      </c>
      <c r="Q213" s="61" t="str">
        <f aca="false">IF(IsPro,IF($D213="","",L213+N213+O213+P213),"")</f>
        <v/>
      </c>
      <c r="R213" s="61" t="str">
        <f aca="false">IF(IsPro,IF($D213="","",ROUND(N($E213)*IFERROR(INDEX(Items!$P$5:$P$504,U213),0),2)),"")</f>
        <v/>
      </c>
      <c r="S213" s="61" t="str">
        <f aca="false">IF(IsPro,IF($D213="","",L213-R213),"")</f>
        <v/>
      </c>
      <c r="T213" s="60" t="str">
        <f aca="false">IF(IsPro,IF($D213="","",IF(U213="","UNKNOWN ITEM",IF(INDEX(Items!$O$5:$O$504,U213)&lt;0,"NEG STOCK",IF(K213&lt;INDEX(Items!$P$5:$P$504,U213),"BELOW COST","OK")))),IF($D213="","","PRO PLAN"))</f>
        <v/>
      </c>
      <c r="U213" s="60" t="str">
        <f aca="false">IF(IsPro,IF($D213="","",IFERROR(MATCH($D213,Items!$A$5:$A$504,0),"")),"")</f>
        <v/>
      </c>
      <c r="V213" s="60" t="str">
        <f aca="false">IF(IsPro,IF($C213="","",IFERROR(MATCH($C213,Parties!$A$5:$A$304,0),"")),"")</f>
        <v/>
      </c>
      <c r="W213" s="60" t="str">
        <f aca="false">IF(IsPro,IF($B213="","",IFERROR(VALUE(SUBSTITUTE($B213,InvPrefix,"")),0)),"")</f>
        <v/>
      </c>
      <c r="X213" s="61" t="str">
        <f aca="false">IF(IsPro,IF($D213="","",IF(OR($H213="",$H213="Credit"),0,Q213)),"")</f>
        <v/>
      </c>
    </row>
    <row r="214" customFormat="false" ht="15" hidden="false" customHeight="false" outlineLevel="0" collapsed="false">
      <c r="A214" s="55"/>
      <c r="B214" s="56"/>
      <c r="C214" s="56"/>
      <c r="D214" s="56"/>
      <c r="E214" s="57"/>
      <c r="F214" s="58"/>
      <c r="G214" s="59"/>
      <c r="H214" s="56"/>
      <c r="I214" s="56"/>
      <c r="J214" s="60" t="str">
        <f aca="false">IF(IsPro,IF($D214="","",IFERROR(INDEX(Items!$D$5:$D$504,U214),"")),"")</f>
        <v/>
      </c>
      <c r="K214" s="61" t="str">
        <f aca="false">IF(IsPro,IF($D214="","",IF($F214="",IFERROR(INDEX(Items!$H$5:$H$504,U214),0),$F214)),"")</f>
        <v/>
      </c>
      <c r="L214" s="61" t="str">
        <f aca="false">IF(IsPro,IF($D214="","",ROUND(N($E214)*K214*(1-N($G214)),2)),"")</f>
        <v/>
      </c>
      <c r="M214" s="62" t="str">
        <f aca="false">IF(IsPro,IF($D214="","",IFERROR(INDEX(Items!$F$5:$F$504,U214),0)),"")</f>
        <v/>
      </c>
      <c r="N214" s="61" t="str">
        <f aca="false">IF(IsPro,IF($D214="","",IF(AND(V214&lt;&gt;"",INDEX(Parties!$E$5:$E$304,V214)&lt;&gt;"",INDEX(Parties!$E$5:$E$304,V214)&lt;&gt;HomeState),0,ROUND(L214*M214/2,2))),"")</f>
        <v/>
      </c>
      <c r="O214" s="61" t="str">
        <f aca="false">IF(IsPro,IF($D214="","",N214),"")</f>
        <v/>
      </c>
      <c r="P214" s="61" t="str">
        <f aca="false">IF(IsPro,IF($D214="","",IF(AND(V214&lt;&gt;"",INDEX(Parties!$E$5:$E$304,V214)&lt;&gt;"",INDEX(Parties!$E$5:$E$304,V214)&lt;&gt;HomeState),ROUND(L214*M214,2),0)),"")</f>
        <v/>
      </c>
      <c r="Q214" s="61" t="str">
        <f aca="false">IF(IsPro,IF($D214="","",L214+N214+O214+P214),"")</f>
        <v/>
      </c>
      <c r="R214" s="61" t="str">
        <f aca="false">IF(IsPro,IF($D214="","",ROUND(N($E214)*IFERROR(INDEX(Items!$P$5:$P$504,U214),0),2)),"")</f>
        <v/>
      </c>
      <c r="S214" s="61" t="str">
        <f aca="false">IF(IsPro,IF($D214="","",L214-R214),"")</f>
        <v/>
      </c>
      <c r="T214" s="60" t="str">
        <f aca="false">IF(IsPro,IF($D214="","",IF(U214="","UNKNOWN ITEM",IF(INDEX(Items!$O$5:$O$504,U214)&lt;0,"NEG STOCK",IF(K214&lt;INDEX(Items!$P$5:$P$504,U214),"BELOW COST","OK")))),IF($D214="","","PRO PLAN"))</f>
        <v/>
      </c>
      <c r="U214" s="60" t="str">
        <f aca="false">IF(IsPro,IF($D214="","",IFERROR(MATCH($D214,Items!$A$5:$A$504,0),"")),"")</f>
        <v/>
      </c>
      <c r="V214" s="60" t="str">
        <f aca="false">IF(IsPro,IF($C214="","",IFERROR(MATCH($C214,Parties!$A$5:$A$304,0),"")),"")</f>
        <v/>
      </c>
      <c r="W214" s="60" t="str">
        <f aca="false">IF(IsPro,IF($B214="","",IFERROR(VALUE(SUBSTITUTE($B214,InvPrefix,"")),0)),"")</f>
        <v/>
      </c>
      <c r="X214" s="61" t="str">
        <f aca="false">IF(IsPro,IF($D214="","",IF(OR($H214="",$H214="Credit"),0,Q214)),"")</f>
        <v/>
      </c>
    </row>
    <row r="215" customFormat="false" ht="15" hidden="false" customHeight="false" outlineLevel="0" collapsed="false">
      <c r="A215" s="55"/>
      <c r="B215" s="56"/>
      <c r="C215" s="56"/>
      <c r="D215" s="56"/>
      <c r="E215" s="57"/>
      <c r="F215" s="58"/>
      <c r="G215" s="59"/>
      <c r="H215" s="56"/>
      <c r="I215" s="56"/>
      <c r="J215" s="60" t="str">
        <f aca="false">IF(IsPro,IF($D215="","",IFERROR(INDEX(Items!$D$5:$D$504,U215),"")),"")</f>
        <v/>
      </c>
      <c r="K215" s="61" t="str">
        <f aca="false">IF(IsPro,IF($D215="","",IF($F215="",IFERROR(INDEX(Items!$H$5:$H$504,U215),0),$F215)),"")</f>
        <v/>
      </c>
      <c r="L215" s="61" t="str">
        <f aca="false">IF(IsPro,IF($D215="","",ROUND(N($E215)*K215*(1-N($G215)),2)),"")</f>
        <v/>
      </c>
      <c r="M215" s="62" t="str">
        <f aca="false">IF(IsPro,IF($D215="","",IFERROR(INDEX(Items!$F$5:$F$504,U215),0)),"")</f>
        <v/>
      </c>
      <c r="N215" s="61" t="str">
        <f aca="false">IF(IsPro,IF($D215="","",IF(AND(V215&lt;&gt;"",INDEX(Parties!$E$5:$E$304,V215)&lt;&gt;"",INDEX(Parties!$E$5:$E$304,V215)&lt;&gt;HomeState),0,ROUND(L215*M215/2,2))),"")</f>
        <v/>
      </c>
      <c r="O215" s="61" t="str">
        <f aca="false">IF(IsPro,IF($D215="","",N215),"")</f>
        <v/>
      </c>
      <c r="P215" s="61" t="str">
        <f aca="false">IF(IsPro,IF($D215="","",IF(AND(V215&lt;&gt;"",INDEX(Parties!$E$5:$E$304,V215)&lt;&gt;"",INDEX(Parties!$E$5:$E$304,V215)&lt;&gt;HomeState),ROUND(L215*M215,2),0)),"")</f>
        <v/>
      </c>
      <c r="Q215" s="61" t="str">
        <f aca="false">IF(IsPro,IF($D215="","",L215+N215+O215+P215),"")</f>
        <v/>
      </c>
      <c r="R215" s="61" t="str">
        <f aca="false">IF(IsPro,IF($D215="","",ROUND(N($E215)*IFERROR(INDEX(Items!$P$5:$P$504,U215),0),2)),"")</f>
        <v/>
      </c>
      <c r="S215" s="61" t="str">
        <f aca="false">IF(IsPro,IF($D215="","",L215-R215),"")</f>
        <v/>
      </c>
      <c r="T215" s="60" t="str">
        <f aca="false">IF(IsPro,IF($D215="","",IF(U215="","UNKNOWN ITEM",IF(INDEX(Items!$O$5:$O$504,U215)&lt;0,"NEG STOCK",IF(K215&lt;INDEX(Items!$P$5:$P$504,U215),"BELOW COST","OK")))),IF($D215="","","PRO PLAN"))</f>
        <v/>
      </c>
      <c r="U215" s="60" t="str">
        <f aca="false">IF(IsPro,IF($D215="","",IFERROR(MATCH($D215,Items!$A$5:$A$504,0),"")),"")</f>
        <v/>
      </c>
      <c r="V215" s="60" t="str">
        <f aca="false">IF(IsPro,IF($C215="","",IFERROR(MATCH($C215,Parties!$A$5:$A$304,0),"")),"")</f>
        <v/>
      </c>
      <c r="W215" s="60" t="str">
        <f aca="false">IF(IsPro,IF($B215="","",IFERROR(VALUE(SUBSTITUTE($B215,InvPrefix,"")),0)),"")</f>
        <v/>
      </c>
      <c r="X215" s="61" t="str">
        <f aca="false">IF(IsPro,IF($D215="","",IF(OR($H215="",$H215="Credit"),0,Q215)),"")</f>
        <v/>
      </c>
    </row>
    <row r="216" customFormat="false" ht="15" hidden="false" customHeight="false" outlineLevel="0" collapsed="false">
      <c r="A216" s="55"/>
      <c r="B216" s="56"/>
      <c r="C216" s="56"/>
      <c r="D216" s="56"/>
      <c r="E216" s="57"/>
      <c r="F216" s="58"/>
      <c r="G216" s="59"/>
      <c r="H216" s="56"/>
      <c r="I216" s="56"/>
      <c r="J216" s="60" t="str">
        <f aca="false">IF(IsPro,IF($D216="","",IFERROR(INDEX(Items!$D$5:$D$504,U216),"")),"")</f>
        <v/>
      </c>
      <c r="K216" s="61" t="str">
        <f aca="false">IF(IsPro,IF($D216="","",IF($F216="",IFERROR(INDEX(Items!$H$5:$H$504,U216),0),$F216)),"")</f>
        <v/>
      </c>
      <c r="L216" s="61" t="str">
        <f aca="false">IF(IsPro,IF($D216="","",ROUND(N($E216)*K216*(1-N($G216)),2)),"")</f>
        <v/>
      </c>
      <c r="M216" s="62" t="str">
        <f aca="false">IF(IsPro,IF($D216="","",IFERROR(INDEX(Items!$F$5:$F$504,U216),0)),"")</f>
        <v/>
      </c>
      <c r="N216" s="61" t="str">
        <f aca="false">IF(IsPro,IF($D216="","",IF(AND(V216&lt;&gt;"",INDEX(Parties!$E$5:$E$304,V216)&lt;&gt;"",INDEX(Parties!$E$5:$E$304,V216)&lt;&gt;HomeState),0,ROUND(L216*M216/2,2))),"")</f>
        <v/>
      </c>
      <c r="O216" s="61" t="str">
        <f aca="false">IF(IsPro,IF($D216="","",N216),"")</f>
        <v/>
      </c>
      <c r="P216" s="61" t="str">
        <f aca="false">IF(IsPro,IF($D216="","",IF(AND(V216&lt;&gt;"",INDEX(Parties!$E$5:$E$304,V216)&lt;&gt;"",INDEX(Parties!$E$5:$E$304,V216)&lt;&gt;HomeState),ROUND(L216*M216,2),0)),"")</f>
        <v/>
      </c>
      <c r="Q216" s="61" t="str">
        <f aca="false">IF(IsPro,IF($D216="","",L216+N216+O216+P216),"")</f>
        <v/>
      </c>
      <c r="R216" s="61" t="str">
        <f aca="false">IF(IsPro,IF($D216="","",ROUND(N($E216)*IFERROR(INDEX(Items!$P$5:$P$504,U216),0),2)),"")</f>
        <v/>
      </c>
      <c r="S216" s="61" t="str">
        <f aca="false">IF(IsPro,IF($D216="","",L216-R216),"")</f>
        <v/>
      </c>
      <c r="T216" s="60" t="str">
        <f aca="false">IF(IsPro,IF($D216="","",IF(U216="","UNKNOWN ITEM",IF(INDEX(Items!$O$5:$O$504,U216)&lt;0,"NEG STOCK",IF(K216&lt;INDEX(Items!$P$5:$P$504,U216),"BELOW COST","OK")))),IF($D216="","","PRO PLAN"))</f>
        <v/>
      </c>
      <c r="U216" s="60" t="str">
        <f aca="false">IF(IsPro,IF($D216="","",IFERROR(MATCH($D216,Items!$A$5:$A$504,0),"")),"")</f>
        <v/>
      </c>
      <c r="V216" s="60" t="str">
        <f aca="false">IF(IsPro,IF($C216="","",IFERROR(MATCH($C216,Parties!$A$5:$A$304,0),"")),"")</f>
        <v/>
      </c>
      <c r="W216" s="60" t="str">
        <f aca="false">IF(IsPro,IF($B216="","",IFERROR(VALUE(SUBSTITUTE($B216,InvPrefix,"")),0)),"")</f>
        <v/>
      </c>
      <c r="X216" s="61" t="str">
        <f aca="false">IF(IsPro,IF($D216="","",IF(OR($H216="",$H216="Credit"),0,Q216)),"")</f>
        <v/>
      </c>
    </row>
    <row r="217" customFormat="false" ht="15" hidden="false" customHeight="false" outlineLevel="0" collapsed="false">
      <c r="A217" s="55"/>
      <c r="B217" s="56"/>
      <c r="C217" s="56"/>
      <c r="D217" s="56"/>
      <c r="E217" s="57"/>
      <c r="F217" s="58"/>
      <c r="G217" s="59"/>
      <c r="H217" s="56"/>
      <c r="I217" s="56"/>
      <c r="J217" s="60" t="str">
        <f aca="false">IF(IsPro,IF($D217="","",IFERROR(INDEX(Items!$D$5:$D$504,U217),"")),"")</f>
        <v/>
      </c>
      <c r="K217" s="61" t="str">
        <f aca="false">IF(IsPro,IF($D217="","",IF($F217="",IFERROR(INDEX(Items!$H$5:$H$504,U217),0),$F217)),"")</f>
        <v/>
      </c>
      <c r="L217" s="61" t="str">
        <f aca="false">IF(IsPro,IF($D217="","",ROUND(N($E217)*K217*(1-N($G217)),2)),"")</f>
        <v/>
      </c>
      <c r="M217" s="62" t="str">
        <f aca="false">IF(IsPro,IF($D217="","",IFERROR(INDEX(Items!$F$5:$F$504,U217),0)),"")</f>
        <v/>
      </c>
      <c r="N217" s="61" t="str">
        <f aca="false">IF(IsPro,IF($D217="","",IF(AND(V217&lt;&gt;"",INDEX(Parties!$E$5:$E$304,V217)&lt;&gt;"",INDEX(Parties!$E$5:$E$304,V217)&lt;&gt;HomeState),0,ROUND(L217*M217/2,2))),"")</f>
        <v/>
      </c>
      <c r="O217" s="61" t="str">
        <f aca="false">IF(IsPro,IF($D217="","",N217),"")</f>
        <v/>
      </c>
      <c r="P217" s="61" t="str">
        <f aca="false">IF(IsPro,IF($D217="","",IF(AND(V217&lt;&gt;"",INDEX(Parties!$E$5:$E$304,V217)&lt;&gt;"",INDEX(Parties!$E$5:$E$304,V217)&lt;&gt;HomeState),ROUND(L217*M217,2),0)),"")</f>
        <v/>
      </c>
      <c r="Q217" s="61" t="str">
        <f aca="false">IF(IsPro,IF($D217="","",L217+N217+O217+P217),"")</f>
        <v/>
      </c>
      <c r="R217" s="61" t="str">
        <f aca="false">IF(IsPro,IF($D217="","",ROUND(N($E217)*IFERROR(INDEX(Items!$P$5:$P$504,U217),0),2)),"")</f>
        <v/>
      </c>
      <c r="S217" s="61" t="str">
        <f aca="false">IF(IsPro,IF($D217="","",L217-R217),"")</f>
        <v/>
      </c>
      <c r="T217" s="60" t="str">
        <f aca="false">IF(IsPro,IF($D217="","",IF(U217="","UNKNOWN ITEM",IF(INDEX(Items!$O$5:$O$504,U217)&lt;0,"NEG STOCK",IF(K217&lt;INDEX(Items!$P$5:$P$504,U217),"BELOW COST","OK")))),IF($D217="","","PRO PLAN"))</f>
        <v/>
      </c>
      <c r="U217" s="60" t="str">
        <f aca="false">IF(IsPro,IF($D217="","",IFERROR(MATCH($D217,Items!$A$5:$A$504,0),"")),"")</f>
        <v/>
      </c>
      <c r="V217" s="60" t="str">
        <f aca="false">IF(IsPro,IF($C217="","",IFERROR(MATCH($C217,Parties!$A$5:$A$304,0),"")),"")</f>
        <v/>
      </c>
      <c r="W217" s="60" t="str">
        <f aca="false">IF(IsPro,IF($B217="","",IFERROR(VALUE(SUBSTITUTE($B217,InvPrefix,"")),0)),"")</f>
        <v/>
      </c>
      <c r="X217" s="61" t="str">
        <f aca="false">IF(IsPro,IF($D217="","",IF(OR($H217="",$H217="Credit"),0,Q217)),"")</f>
        <v/>
      </c>
    </row>
    <row r="218" customFormat="false" ht="15" hidden="false" customHeight="false" outlineLevel="0" collapsed="false">
      <c r="A218" s="55"/>
      <c r="B218" s="56"/>
      <c r="C218" s="56"/>
      <c r="D218" s="56"/>
      <c r="E218" s="57"/>
      <c r="F218" s="58"/>
      <c r="G218" s="59"/>
      <c r="H218" s="56"/>
      <c r="I218" s="56"/>
      <c r="J218" s="60" t="str">
        <f aca="false">IF(IsPro,IF($D218="","",IFERROR(INDEX(Items!$D$5:$D$504,U218),"")),"")</f>
        <v/>
      </c>
      <c r="K218" s="61" t="str">
        <f aca="false">IF(IsPro,IF($D218="","",IF($F218="",IFERROR(INDEX(Items!$H$5:$H$504,U218),0),$F218)),"")</f>
        <v/>
      </c>
      <c r="L218" s="61" t="str">
        <f aca="false">IF(IsPro,IF($D218="","",ROUND(N($E218)*K218*(1-N($G218)),2)),"")</f>
        <v/>
      </c>
      <c r="M218" s="62" t="str">
        <f aca="false">IF(IsPro,IF($D218="","",IFERROR(INDEX(Items!$F$5:$F$504,U218),0)),"")</f>
        <v/>
      </c>
      <c r="N218" s="61" t="str">
        <f aca="false">IF(IsPro,IF($D218="","",IF(AND(V218&lt;&gt;"",INDEX(Parties!$E$5:$E$304,V218)&lt;&gt;"",INDEX(Parties!$E$5:$E$304,V218)&lt;&gt;HomeState),0,ROUND(L218*M218/2,2))),"")</f>
        <v/>
      </c>
      <c r="O218" s="61" t="str">
        <f aca="false">IF(IsPro,IF($D218="","",N218),"")</f>
        <v/>
      </c>
      <c r="P218" s="61" t="str">
        <f aca="false">IF(IsPro,IF($D218="","",IF(AND(V218&lt;&gt;"",INDEX(Parties!$E$5:$E$304,V218)&lt;&gt;"",INDEX(Parties!$E$5:$E$304,V218)&lt;&gt;HomeState),ROUND(L218*M218,2),0)),"")</f>
        <v/>
      </c>
      <c r="Q218" s="61" t="str">
        <f aca="false">IF(IsPro,IF($D218="","",L218+N218+O218+P218),"")</f>
        <v/>
      </c>
      <c r="R218" s="61" t="str">
        <f aca="false">IF(IsPro,IF($D218="","",ROUND(N($E218)*IFERROR(INDEX(Items!$P$5:$P$504,U218),0),2)),"")</f>
        <v/>
      </c>
      <c r="S218" s="61" t="str">
        <f aca="false">IF(IsPro,IF($D218="","",L218-R218),"")</f>
        <v/>
      </c>
      <c r="T218" s="60" t="str">
        <f aca="false">IF(IsPro,IF($D218="","",IF(U218="","UNKNOWN ITEM",IF(INDEX(Items!$O$5:$O$504,U218)&lt;0,"NEG STOCK",IF(K218&lt;INDEX(Items!$P$5:$P$504,U218),"BELOW COST","OK")))),IF($D218="","","PRO PLAN"))</f>
        <v/>
      </c>
      <c r="U218" s="60" t="str">
        <f aca="false">IF(IsPro,IF($D218="","",IFERROR(MATCH($D218,Items!$A$5:$A$504,0),"")),"")</f>
        <v/>
      </c>
      <c r="V218" s="60" t="str">
        <f aca="false">IF(IsPro,IF($C218="","",IFERROR(MATCH($C218,Parties!$A$5:$A$304,0),"")),"")</f>
        <v/>
      </c>
      <c r="W218" s="60" t="str">
        <f aca="false">IF(IsPro,IF($B218="","",IFERROR(VALUE(SUBSTITUTE($B218,InvPrefix,"")),0)),"")</f>
        <v/>
      </c>
      <c r="X218" s="61" t="str">
        <f aca="false">IF(IsPro,IF($D218="","",IF(OR($H218="",$H218="Credit"),0,Q218)),"")</f>
        <v/>
      </c>
    </row>
    <row r="219" customFormat="false" ht="15" hidden="false" customHeight="false" outlineLevel="0" collapsed="false">
      <c r="A219" s="55"/>
      <c r="B219" s="56"/>
      <c r="C219" s="56"/>
      <c r="D219" s="56"/>
      <c r="E219" s="57"/>
      <c r="F219" s="58"/>
      <c r="G219" s="59"/>
      <c r="H219" s="56"/>
      <c r="I219" s="56"/>
      <c r="J219" s="60" t="str">
        <f aca="false">IF(IsPro,IF($D219="","",IFERROR(INDEX(Items!$D$5:$D$504,U219),"")),"")</f>
        <v/>
      </c>
      <c r="K219" s="61" t="str">
        <f aca="false">IF(IsPro,IF($D219="","",IF($F219="",IFERROR(INDEX(Items!$H$5:$H$504,U219),0),$F219)),"")</f>
        <v/>
      </c>
      <c r="L219" s="61" t="str">
        <f aca="false">IF(IsPro,IF($D219="","",ROUND(N($E219)*K219*(1-N($G219)),2)),"")</f>
        <v/>
      </c>
      <c r="M219" s="62" t="str">
        <f aca="false">IF(IsPro,IF($D219="","",IFERROR(INDEX(Items!$F$5:$F$504,U219),0)),"")</f>
        <v/>
      </c>
      <c r="N219" s="61" t="str">
        <f aca="false">IF(IsPro,IF($D219="","",IF(AND(V219&lt;&gt;"",INDEX(Parties!$E$5:$E$304,V219)&lt;&gt;"",INDEX(Parties!$E$5:$E$304,V219)&lt;&gt;HomeState),0,ROUND(L219*M219/2,2))),"")</f>
        <v/>
      </c>
      <c r="O219" s="61" t="str">
        <f aca="false">IF(IsPro,IF($D219="","",N219),"")</f>
        <v/>
      </c>
      <c r="P219" s="61" t="str">
        <f aca="false">IF(IsPro,IF($D219="","",IF(AND(V219&lt;&gt;"",INDEX(Parties!$E$5:$E$304,V219)&lt;&gt;"",INDEX(Parties!$E$5:$E$304,V219)&lt;&gt;HomeState),ROUND(L219*M219,2),0)),"")</f>
        <v/>
      </c>
      <c r="Q219" s="61" t="str">
        <f aca="false">IF(IsPro,IF($D219="","",L219+N219+O219+P219),"")</f>
        <v/>
      </c>
      <c r="R219" s="61" t="str">
        <f aca="false">IF(IsPro,IF($D219="","",ROUND(N($E219)*IFERROR(INDEX(Items!$P$5:$P$504,U219),0),2)),"")</f>
        <v/>
      </c>
      <c r="S219" s="61" t="str">
        <f aca="false">IF(IsPro,IF($D219="","",L219-R219),"")</f>
        <v/>
      </c>
      <c r="T219" s="60" t="str">
        <f aca="false">IF(IsPro,IF($D219="","",IF(U219="","UNKNOWN ITEM",IF(INDEX(Items!$O$5:$O$504,U219)&lt;0,"NEG STOCK",IF(K219&lt;INDEX(Items!$P$5:$P$504,U219),"BELOW COST","OK")))),IF($D219="","","PRO PLAN"))</f>
        <v/>
      </c>
      <c r="U219" s="60" t="str">
        <f aca="false">IF(IsPro,IF($D219="","",IFERROR(MATCH($D219,Items!$A$5:$A$504,0),"")),"")</f>
        <v/>
      </c>
      <c r="V219" s="60" t="str">
        <f aca="false">IF(IsPro,IF($C219="","",IFERROR(MATCH($C219,Parties!$A$5:$A$304,0),"")),"")</f>
        <v/>
      </c>
      <c r="W219" s="60" t="str">
        <f aca="false">IF(IsPro,IF($B219="","",IFERROR(VALUE(SUBSTITUTE($B219,InvPrefix,"")),0)),"")</f>
        <v/>
      </c>
      <c r="X219" s="61" t="str">
        <f aca="false">IF(IsPro,IF($D219="","",IF(OR($H219="",$H219="Credit"),0,Q219)),"")</f>
        <v/>
      </c>
    </row>
    <row r="220" customFormat="false" ht="15" hidden="false" customHeight="false" outlineLevel="0" collapsed="false">
      <c r="A220" s="55"/>
      <c r="B220" s="56"/>
      <c r="C220" s="56"/>
      <c r="D220" s="56"/>
      <c r="E220" s="57"/>
      <c r="F220" s="58"/>
      <c r="G220" s="59"/>
      <c r="H220" s="56"/>
      <c r="I220" s="56"/>
      <c r="J220" s="60" t="str">
        <f aca="false">IF(IsPro,IF($D220="","",IFERROR(INDEX(Items!$D$5:$D$504,U220),"")),"")</f>
        <v/>
      </c>
      <c r="K220" s="61" t="str">
        <f aca="false">IF(IsPro,IF($D220="","",IF($F220="",IFERROR(INDEX(Items!$H$5:$H$504,U220),0),$F220)),"")</f>
        <v/>
      </c>
      <c r="L220" s="61" t="str">
        <f aca="false">IF(IsPro,IF($D220="","",ROUND(N($E220)*K220*(1-N($G220)),2)),"")</f>
        <v/>
      </c>
      <c r="M220" s="62" t="str">
        <f aca="false">IF(IsPro,IF($D220="","",IFERROR(INDEX(Items!$F$5:$F$504,U220),0)),"")</f>
        <v/>
      </c>
      <c r="N220" s="61" t="str">
        <f aca="false">IF(IsPro,IF($D220="","",IF(AND(V220&lt;&gt;"",INDEX(Parties!$E$5:$E$304,V220)&lt;&gt;"",INDEX(Parties!$E$5:$E$304,V220)&lt;&gt;HomeState),0,ROUND(L220*M220/2,2))),"")</f>
        <v/>
      </c>
      <c r="O220" s="61" t="str">
        <f aca="false">IF(IsPro,IF($D220="","",N220),"")</f>
        <v/>
      </c>
      <c r="P220" s="61" t="str">
        <f aca="false">IF(IsPro,IF($D220="","",IF(AND(V220&lt;&gt;"",INDEX(Parties!$E$5:$E$304,V220)&lt;&gt;"",INDEX(Parties!$E$5:$E$304,V220)&lt;&gt;HomeState),ROUND(L220*M220,2),0)),"")</f>
        <v/>
      </c>
      <c r="Q220" s="61" t="str">
        <f aca="false">IF(IsPro,IF($D220="","",L220+N220+O220+P220),"")</f>
        <v/>
      </c>
      <c r="R220" s="61" t="str">
        <f aca="false">IF(IsPro,IF($D220="","",ROUND(N($E220)*IFERROR(INDEX(Items!$P$5:$P$504,U220),0),2)),"")</f>
        <v/>
      </c>
      <c r="S220" s="61" t="str">
        <f aca="false">IF(IsPro,IF($D220="","",L220-R220),"")</f>
        <v/>
      </c>
      <c r="T220" s="60" t="str">
        <f aca="false">IF(IsPro,IF($D220="","",IF(U220="","UNKNOWN ITEM",IF(INDEX(Items!$O$5:$O$504,U220)&lt;0,"NEG STOCK",IF(K220&lt;INDEX(Items!$P$5:$P$504,U220),"BELOW COST","OK")))),IF($D220="","","PRO PLAN"))</f>
        <v/>
      </c>
      <c r="U220" s="60" t="str">
        <f aca="false">IF(IsPro,IF($D220="","",IFERROR(MATCH($D220,Items!$A$5:$A$504,0),"")),"")</f>
        <v/>
      </c>
      <c r="V220" s="60" t="str">
        <f aca="false">IF(IsPro,IF($C220="","",IFERROR(MATCH($C220,Parties!$A$5:$A$304,0),"")),"")</f>
        <v/>
      </c>
      <c r="W220" s="60" t="str">
        <f aca="false">IF(IsPro,IF($B220="","",IFERROR(VALUE(SUBSTITUTE($B220,InvPrefix,"")),0)),"")</f>
        <v/>
      </c>
      <c r="X220" s="61" t="str">
        <f aca="false">IF(IsPro,IF($D220="","",IF(OR($H220="",$H220="Credit"),0,Q220)),"")</f>
        <v/>
      </c>
    </row>
    <row r="221" customFormat="false" ht="15" hidden="false" customHeight="false" outlineLevel="0" collapsed="false">
      <c r="A221" s="55"/>
      <c r="B221" s="56"/>
      <c r="C221" s="56"/>
      <c r="D221" s="56"/>
      <c r="E221" s="57"/>
      <c r="F221" s="58"/>
      <c r="G221" s="59"/>
      <c r="H221" s="56"/>
      <c r="I221" s="56"/>
      <c r="J221" s="60" t="str">
        <f aca="false">IF(IsPro,IF($D221="","",IFERROR(INDEX(Items!$D$5:$D$504,U221),"")),"")</f>
        <v/>
      </c>
      <c r="K221" s="61" t="str">
        <f aca="false">IF(IsPro,IF($D221="","",IF($F221="",IFERROR(INDEX(Items!$H$5:$H$504,U221),0),$F221)),"")</f>
        <v/>
      </c>
      <c r="L221" s="61" t="str">
        <f aca="false">IF(IsPro,IF($D221="","",ROUND(N($E221)*K221*(1-N($G221)),2)),"")</f>
        <v/>
      </c>
      <c r="M221" s="62" t="str">
        <f aca="false">IF(IsPro,IF($D221="","",IFERROR(INDEX(Items!$F$5:$F$504,U221),0)),"")</f>
        <v/>
      </c>
      <c r="N221" s="61" t="str">
        <f aca="false">IF(IsPro,IF($D221="","",IF(AND(V221&lt;&gt;"",INDEX(Parties!$E$5:$E$304,V221)&lt;&gt;"",INDEX(Parties!$E$5:$E$304,V221)&lt;&gt;HomeState),0,ROUND(L221*M221/2,2))),"")</f>
        <v/>
      </c>
      <c r="O221" s="61" t="str">
        <f aca="false">IF(IsPro,IF($D221="","",N221),"")</f>
        <v/>
      </c>
      <c r="P221" s="61" t="str">
        <f aca="false">IF(IsPro,IF($D221="","",IF(AND(V221&lt;&gt;"",INDEX(Parties!$E$5:$E$304,V221)&lt;&gt;"",INDEX(Parties!$E$5:$E$304,V221)&lt;&gt;HomeState),ROUND(L221*M221,2),0)),"")</f>
        <v/>
      </c>
      <c r="Q221" s="61" t="str">
        <f aca="false">IF(IsPro,IF($D221="","",L221+N221+O221+P221),"")</f>
        <v/>
      </c>
      <c r="R221" s="61" t="str">
        <f aca="false">IF(IsPro,IF($D221="","",ROUND(N($E221)*IFERROR(INDEX(Items!$P$5:$P$504,U221),0),2)),"")</f>
        <v/>
      </c>
      <c r="S221" s="61" t="str">
        <f aca="false">IF(IsPro,IF($D221="","",L221-R221),"")</f>
        <v/>
      </c>
      <c r="T221" s="60" t="str">
        <f aca="false">IF(IsPro,IF($D221="","",IF(U221="","UNKNOWN ITEM",IF(INDEX(Items!$O$5:$O$504,U221)&lt;0,"NEG STOCK",IF(K221&lt;INDEX(Items!$P$5:$P$504,U221),"BELOW COST","OK")))),IF($D221="","","PRO PLAN"))</f>
        <v/>
      </c>
      <c r="U221" s="60" t="str">
        <f aca="false">IF(IsPro,IF($D221="","",IFERROR(MATCH($D221,Items!$A$5:$A$504,0),"")),"")</f>
        <v/>
      </c>
      <c r="V221" s="60" t="str">
        <f aca="false">IF(IsPro,IF($C221="","",IFERROR(MATCH($C221,Parties!$A$5:$A$304,0),"")),"")</f>
        <v/>
      </c>
      <c r="W221" s="60" t="str">
        <f aca="false">IF(IsPro,IF($B221="","",IFERROR(VALUE(SUBSTITUTE($B221,InvPrefix,"")),0)),"")</f>
        <v/>
      </c>
      <c r="X221" s="61" t="str">
        <f aca="false">IF(IsPro,IF($D221="","",IF(OR($H221="",$H221="Credit"),0,Q221)),"")</f>
        <v/>
      </c>
    </row>
    <row r="222" customFormat="false" ht="15" hidden="false" customHeight="false" outlineLevel="0" collapsed="false">
      <c r="A222" s="55"/>
      <c r="B222" s="56"/>
      <c r="C222" s="56"/>
      <c r="D222" s="56"/>
      <c r="E222" s="57"/>
      <c r="F222" s="58"/>
      <c r="G222" s="59"/>
      <c r="H222" s="56"/>
      <c r="I222" s="56"/>
      <c r="J222" s="60" t="str">
        <f aca="false">IF(IsPro,IF($D222="","",IFERROR(INDEX(Items!$D$5:$D$504,U222),"")),"")</f>
        <v/>
      </c>
      <c r="K222" s="61" t="str">
        <f aca="false">IF(IsPro,IF($D222="","",IF($F222="",IFERROR(INDEX(Items!$H$5:$H$504,U222),0),$F222)),"")</f>
        <v/>
      </c>
      <c r="L222" s="61" t="str">
        <f aca="false">IF(IsPro,IF($D222="","",ROUND(N($E222)*K222*(1-N($G222)),2)),"")</f>
        <v/>
      </c>
      <c r="M222" s="62" t="str">
        <f aca="false">IF(IsPro,IF($D222="","",IFERROR(INDEX(Items!$F$5:$F$504,U222),0)),"")</f>
        <v/>
      </c>
      <c r="N222" s="61" t="str">
        <f aca="false">IF(IsPro,IF($D222="","",IF(AND(V222&lt;&gt;"",INDEX(Parties!$E$5:$E$304,V222)&lt;&gt;"",INDEX(Parties!$E$5:$E$304,V222)&lt;&gt;HomeState),0,ROUND(L222*M222/2,2))),"")</f>
        <v/>
      </c>
      <c r="O222" s="61" t="str">
        <f aca="false">IF(IsPro,IF($D222="","",N222),"")</f>
        <v/>
      </c>
      <c r="P222" s="61" t="str">
        <f aca="false">IF(IsPro,IF($D222="","",IF(AND(V222&lt;&gt;"",INDEX(Parties!$E$5:$E$304,V222)&lt;&gt;"",INDEX(Parties!$E$5:$E$304,V222)&lt;&gt;HomeState),ROUND(L222*M222,2),0)),"")</f>
        <v/>
      </c>
      <c r="Q222" s="61" t="str">
        <f aca="false">IF(IsPro,IF($D222="","",L222+N222+O222+P222),"")</f>
        <v/>
      </c>
      <c r="R222" s="61" t="str">
        <f aca="false">IF(IsPro,IF($D222="","",ROUND(N($E222)*IFERROR(INDEX(Items!$P$5:$P$504,U222),0),2)),"")</f>
        <v/>
      </c>
      <c r="S222" s="61" t="str">
        <f aca="false">IF(IsPro,IF($D222="","",L222-R222),"")</f>
        <v/>
      </c>
      <c r="T222" s="60" t="str">
        <f aca="false">IF(IsPro,IF($D222="","",IF(U222="","UNKNOWN ITEM",IF(INDEX(Items!$O$5:$O$504,U222)&lt;0,"NEG STOCK",IF(K222&lt;INDEX(Items!$P$5:$P$504,U222),"BELOW COST","OK")))),IF($D222="","","PRO PLAN"))</f>
        <v/>
      </c>
      <c r="U222" s="60" t="str">
        <f aca="false">IF(IsPro,IF($D222="","",IFERROR(MATCH($D222,Items!$A$5:$A$504,0),"")),"")</f>
        <v/>
      </c>
      <c r="V222" s="60" t="str">
        <f aca="false">IF(IsPro,IF($C222="","",IFERROR(MATCH($C222,Parties!$A$5:$A$304,0),"")),"")</f>
        <v/>
      </c>
      <c r="W222" s="60" t="str">
        <f aca="false">IF(IsPro,IF($B222="","",IFERROR(VALUE(SUBSTITUTE($B222,InvPrefix,"")),0)),"")</f>
        <v/>
      </c>
      <c r="X222" s="61" t="str">
        <f aca="false">IF(IsPro,IF($D222="","",IF(OR($H222="",$H222="Credit"),0,Q222)),"")</f>
        <v/>
      </c>
    </row>
    <row r="223" customFormat="false" ht="15" hidden="false" customHeight="false" outlineLevel="0" collapsed="false">
      <c r="A223" s="55"/>
      <c r="B223" s="56"/>
      <c r="C223" s="56"/>
      <c r="D223" s="56"/>
      <c r="E223" s="57"/>
      <c r="F223" s="58"/>
      <c r="G223" s="59"/>
      <c r="H223" s="56"/>
      <c r="I223" s="56"/>
      <c r="J223" s="60" t="str">
        <f aca="false">IF(IsPro,IF($D223="","",IFERROR(INDEX(Items!$D$5:$D$504,U223),"")),"")</f>
        <v/>
      </c>
      <c r="K223" s="61" t="str">
        <f aca="false">IF(IsPro,IF($D223="","",IF($F223="",IFERROR(INDEX(Items!$H$5:$H$504,U223),0),$F223)),"")</f>
        <v/>
      </c>
      <c r="L223" s="61" t="str">
        <f aca="false">IF(IsPro,IF($D223="","",ROUND(N($E223)*K223*(1-N($G223)),2)),"")</f>
        <v/>
      </c>
      <c r="M223" s="62" t="str">
        <f aca="false">IF(IsPro,IF($D223="","",IFERROR(INDEX(Items!$F$5:$F$504,U223),0)),"")</f>
        <v/>
      </c>
      <c r="N223" s="61" t="str">
        <f aca="false">IF(IsPro,IF($D223="","",IF(AND(V223&lt;&gt;"",INDEX(Parties!$E$5:$E$304,V223)&lt;&gt;"",INDEX(Parties!$E$5:$E$304,V223)&lt;&gt;HomeState),0,ROUND(L223*M223/2,2))),"")</f>
        <v/>
      </c>
      <c r="O223" s="61" t="str">
        <f aca="false">IF(IsPro,IF($D223="","",N223),"")</f>
        <v/>
      </c>
      <c r="P223" s="61" t="str">
        <f aca="false">IF(IsPro,IF($D223="","",IF(AND(V223&lt;&gt;"",INDEX(Parties!$E$5:$E$304,V223)&lt;&gt;"",INDEX(Parties!$E$5:$E$304,V223)&lt;&gt;HomeState),ROUND(L223*M223,2),0)),"")</f>
        <v/>
      </c>
      <c r="Q223" s="61" t="str">
        <f aca="false">IF(IsPro,IF($D223="","",L223+N223+O223+P223),"")</f>
        <v/>
      </c>
      <c r="R223" s="61" t="str">
        <f aca="false">IF(IsPro,IF($D223="","",ROUND(N($E223)*IFERROR(INDEX(Items!$P$5:$P$504,U223),0),2)),"")</f>
        <v/>
      </c>
      <c r="S223" s="61" t="str">
        <f aca="false">IF(IsPro,IF($D223="","",L223-R223),"")</f>
        <v/>
      </c>
      <c r="T223" s="60" t="str">
        <f aca="false">IF(IsPro,IF($D223="","",IF(U223="","UNKNOWN ITEM",IF(INDEX(Items!$O$5:$O$504,U223)&lt;0,"NEG STOCK",IF(K223&lt;INDEX(Items!$P$5:$P$504,U223),"BELOW COST","OK")))),IF($D223="","","PRO PLAN"))</f>
        <v/>
      </c>
      <c r="U223" s="60" t="str">
        <f aca="false">IF(IsPro,IF($D223="","",IFERROR(MATCH($D223,Items!$A$5:$A$504,0),"")),"")</f>
        <v/>
      </c>
      <c r="V223" s="60" t="str">
        <f aca="false">IF(IsPro,IF($C223="","",IFERROR(MATCH($C223,Parties!$A$5:$A$304,0),"")),"")</f>
        <v/>
      </c>
      <c r="W223" s="60" t="str">
        <f aca="false">IF(IsPro,IF($B223="","",IFERROR(VALUE(SUBSTITUTE($B223,InvPrefix,"")),0)),"")</f>
        <v/>
      </c>
      <c r="X223" s="61" t="str">
        <f aca="false">IF(IsPro,IF($D223="","",IF(OR($H223="",$H223="Credit"),0,Q223)),"")</f>
        <v/>
      </c>
    </row>
    <row r="224" customFormat="false" ht="15" hidden="false" customHeight="false" outlineLevel="0" collapsed="false">
      <c r="A224" s="55"/>
      <c r="B224" s="56"/>
      <c r="C224" s="56"/>
      <c r="D224" s="56"/>
      <c r="E224" s="57"/>
      <c r="F224" s="58"/>
      <c r="G224" s="59"/>
      <c r="H224" s="56"/>
      <c r="I224" s="56"/>
      <c r="J224" s="60" t="str">
        <f aca="false">IF(IsPro,IF($D224="","",IFERROR(INDEX(Items!$D$5:$D$504,U224),"")),"")</f>
        <v/>
      </c>
      <c r="K224" s="61" t="str">
        <f aca="false">IF(IsPro,IF($D224="","",IF($F224="",IFERROR(INDEX(Items!$H$5:$H$504,U224),0),$F224)),"")</f>
        <v/>
      </c>
      <c r="L224" s="61" t="str">
        <f aca="false">IF(IsPro,IF($D224="","",ROUND(N($E224)*K224*(1-N($G224)),2)),"")</f>
        <v/>
      </c>
      <c r="M224" s="62" t="str">
        <f aca="false">IF(IsPro,IF($D224="","",IFERROR(INDEX(Items!$F$5:$F$504,U224),0)),"")</f>
        <v/>
      </c>
      <c r="N224" s="61" t="str">
        <f aca="false">IF(IsPro,IF($D224="","",IF(AND(V224&lt;&gt;"",INDEX(Parties!$E$5:$E$304,V224)&lt;&gt;"",INDEX(Parties!$E$5:$E$304,V224)&lt;&gt;HomeState),0,ROUND(L224*M224/2,2))),"")</f>
        <v/>
      </c>
      <c r="O224" s="61" t="str">
        <f aca="false">IF(IsPro,IF($D224="","",N224),"")</f>
        <v/>
      </c>
      <c r="P224" s="61" t="str">
        <f aca="false">IF(IsPro,IF($D224="","",IF(AND(V224&lt;&gt;"",INDEX(Parties!$E$5:$E$304,V224)&lt;&gt;"",INDEX(Parties!$E$5:$E$304,V224)&lt;&gt;HomeState),ROUND(L224*M224,2),0)),"")</f>
        <v/>
      </c>
      <c r="Q224" s="61" t="str">
        <f aca="false">IF(IsPro,IF($D224="","",L224+N224+O224+P224),"")</f>
        <v/>
      </c>
      <c r="R224" s="61" t="str">
        <f aca="false">IF(IsPro,IF($D224="","",ROUND(N($E224)*IFERROR(INDEX(Items!$P$5:$P$504,U224),0),2)),"")</f>
        <v/>
      </c>
      <c r="S224" s="61" t="str">
        <f aca="false">IF(IsPro,IF($D224="","",L224-R224),"")</f>
        <v/>
      </c>
      <c r="T224" s="60" t="str">
        <f aca="false">IF(IsPro,IF($D224="","",IF(U224="","UNKNOWN ITEM",IF(INDEX(Items!$O$5:$O$504,U224)&lt;0,"NEG STOCK",IF(K224&lt;INDEX(Items!$P$5:$P$504,U224),"BELOW COST","OK")))),IF($D224="","","PRO PLAN"))</f>
        <v/>
      </c>
      <c r="U224" s="60" t="str">
        <f aca="false">IF(IsPro,IF($D224="","",IFERROR(MATCH($D224,Items!$A$5:$A$504,0),"")),"")</f>
        <v/>
      </c>
      <c r="V224" s="60" t="str">
        <f aca="false">IF(IsPro,IF($C224="","",IFERROR(MATCH($C224,Parties!$A$5:$A$304,0),"")),"")</f>
        <v/>
      </c>
      <c r="W224" s="60" t="str">
        <f aca="false">IF(IsPro,IF($B224="","",IFERROR(VALUE(SUBSTITUTE($B224,InvPrefix,"")),0)),"")</f>
        <v/>
      </c>
      <c r="X224" s="61" t="str">
        <f aca="false">IF(IsPro,IF($D224="","",IF(OR($H224="",$H224="Credit"),0,Q224)),"")</f>
        <v/>
      </c>
    </row>
    <row r="225" customFormat="false" ht="15" hidden="false" customHeight="false" outlineLevel="0" collapsed="false">
      <c r="A225" s="55"/>
      <c r="B225" s="56"/>
      <c r="C225" s="56"/>
      <c r="D225" s="56"/>
      <c r="E225" s="57"/>
      <c r="F225" s="58"/>
      <c r="G225" s="59"/>
      <c r="H225" s="56"/>
      <c r="I225" s="56"/>
      <c r="J225" s="60" t="str">
        <f aca="false">IF(IsPro,IF($D225="","",IFERROR(INDEX(Items!$D$5:$D$504,U225),"")),"")</f>
        <v/>
      </c>
      <c r="K225" s="61" t="str">
        <f aca="false">IF(IsPro,IF($D225="","",IF($F225="",IFERROR(INDEX(Items!$H$5:$H$504,U225),0),$F225)),"")</f>
        <v/>
      </c>
      <c r="L225" s="61" t="str">
        <f aca="false">IF(IsPro,IF($D225="","",ROUND(N($E225)*K225*(1-N($G225)),2)),"")</f>
        <v/>
      </c>
      <c r="M225" s="62" t="str">
        <f aca="false">IF(IsPro,IF($D225="","",IFERROR(INDEX(Items!$F$5:$F$504,U225),0)),"")</f>
        <v/>
      </c>
      <c r="N225" s="61" t="str">
        <f aca="false">IF(IsPro,IF($D225="","",IF(AND(V225&lt;&gt;"",INDEX(Parties!$E$5:$E$304,V225)&lt;&gt;"",INDEX(Parties!$E$5:$E$304,V225)&lt;&gt;HomeState),0,ROUND(L225*M225/2,2))),"")</f>
        <v/>
      </c>
      <c r="O225" s="61" t="str">
        <f aca="false">IF(IsPro,IF($D225="","",N225),"")</f>
        <v/>
      </c>
      <c r="P225" s="61" t="str">
        <f aca="false">IF(IsPro,IF($D225="","",IF(AND(V225&lt;&gt;"",INDEX(Parties!$E$5:$E$304,V225)&lt;&gt;"",INDEX(Parties!$E$5:$E$304,V225)&lt;&gt;HomeState),ROUND(L225*M225,2),0)),"")</f>
        <v/>
      </c>
      <c r="Q225" s="61" t="str">
        <f aca="false">IF(IsPro,IF($D225="","",L225+N225+O225+P225),"")</f>
        <v/>
      </c>
      <c r="R225" s="61" t="str">
        <f aca="false">IF(IsPro,IF($D225="","",ROUND(N($E225)*IFERROR(INDEX(Items!$P$5:$P$504,U225),0),2)),"")</f>
        <v/>
      </c>
      <c r="S225" s="61" t="str">
        <f aca="false">IF(IsPro,IF($D225="","",L225-R225),"")</f>
        <v/>
      </c>
      <c r="T225" s="60" t="str">
        <f aca="false">IF(IsPro,IF($D225="","",IF(U225="","UNKNOWN ITEM",IF(INDEX(Items!$O$5:$O$504,U225)&lt;0,"NEG STOCK",IF(K225&lt;INDEX(Items!$P$5:$P$504,U225),"BELOW COST","OK")))),IF($D225="","","PRO PLAN"))</f>
        <v/>
      </c>
      <c r="U225" s="60" t="str">
        <f aca="false">IF(IsPro,IF($D225="","",IFERROR(MATCH($D225,Items!$A$5:$A$504,0),"")),"")</f>
        <v/>
      </c>
      <c r="V225" s="60" t="str">
        <f aca="false">IF(IsPro,IF($C225="","",IFERROR(MATCH($C225,Parties!$A$5:$A$304,0),"")),"")</f>
        <v/>
      </c>
      <c r="W225" s="60" t="str">
        <f aca="false">IF(IsPro,IF($B225="","",IFERROR(VALUE(SUBSTITUTE($B225,InvPrefix,"")),0)),"")</f>
        <v/>
      </c>
      <c r="X225" s="61" t="str">
        <f aca="false">IF(IsPro,IF($D225="","",IF(OR($H225="",$H225="Credit"),0,Q225)),"")</f>
        <v/>
      </c>
    </row>
    <row r="226" customFormat="false" ht="15" hidden="false" customHeight="false" outlineLevel="0" collapsed="false">
      <c r="A226" s="55"/>
      <c r="B226" s="56"/>
      <c r="C226" s="56"/>
      <c r="D226" s="56"/>
      <c r="E226" s="57"/>
      <c r="F226" s="58"/>
      <c r="G226" s="59"/>
      <c r="H226" s="56"/>
      <c r="I226" s="56"/>
      <c r="J226" s="60" t="str">
        <f aca="false">IF(IsPro,IF($D226="","",IFERROR(INDEX(Items!$D$5:$D$504,U226),"")),"")</f>
        <v/>
      </c>
      <c r="K226" s="61" t="str">
        <f aca="false">IF(IsPro,IF($D226="","",IF($F226="",IFERROR(INDEX(Items!$H$5:$H$504,U226),0),$F226)),"")</f>
        <v/>
      </c>
      <c r="L226" s="61" t="str">
        <f aca="false">IF(IsPro,IF($D226="","",ROUND(N($E226)*K226*(1-N($G226)),2)),"")</f>
        <v/>
      </c>
      <c r="M226" s="62" t="str">
        <f aca="false">IF(IsPro,IF($D226="","",IFERROR(INDEX(Items!$F$5:$F$504,U226),0)),"")</f>
        <v/>
      </c>
      <c r="N226" s="61" t="str">
        <f aca="false">IF(IsPro,IF($D226="","",IF(AND(V226&lt;&gt;"",INDEX(Parties!$E$5:$E$304,V226)&lt;&gt;"",INDEX(Parties!$E$5:$E$304,V226)&lt;&gt;HomeState),0,ROUND(L226*M226/2,2))),"")</f>
        <v/>
      </c>
      <c r="O226" s="61" t="str">
        <f aca="false">IF(IsPro,IF($D226="","",N226),"")</f>
        <v/>
      </c>
      <c r="P226" s="61" t="str">
        <f aca="false">IF(IsPro,IF($D226="","",IF(AND(V226&lt;&gt;"",INDEX(Parties!$E$5:$E$304,V226)&lt;&gt;"",INDEX(Parties!$E$5:$E$304,V226)&lt;&gt;HomeState),ROUND(L226*M226,2),0)),"")</f>
        <v/>
      </c>
      <c r="Q226" s="61" t="str">
        <f aca="false">IF(IsPro,IF($D226="","",L226+N226+O226+P226),"")</f>
        <v/>
      </c>
      <c r="R226" s="61" t="str">
        <f aca="false">IF(IsPro,IF($D226="","",ROUND(N($E226)*IFERROR(INDEX(Items!$P$5:$P$504,U226),0),2)),"")</f>
        <v/>
      </c>
      <c r="S226" s="61" t="str">
        <f aca="false">IF(IsPro,IF($D226="","",L226-R226),"")</f>
        <v/>
      </c>
      <c r="T226" s="60" t="str">
        <f aca="false">IF(IsPro,IF($D226="","",IF(U226="","UNKNOWN ITEM",IF(INDEX(Items!$O$5:$O$504,U226)&lt;0,"NEG STOCK",IF(K226&lt;INDEX(Items!$P$5:$P$504,U226),"BELOW COST","OK")))),IF($D226="","","PRO PLAN"))</f>
        <v/>
      </c>
      <c r="U226" s="60" t="str">
        <f aca="false">IF(IsPro,IF($D226="","",IFERROR(MATCH($D226,Items!$A$5:$A$504,0),"")),"")</f>
        <v/>
      </c>
      <c r="V226" s="60" t="str">
        <f aca="false">IF(IsPro,IF($C226="","",IFERROR(MATCH($C226,Parties!$A$5:$A$304,0),"")),"")</f>
        <v/>
      </c>
      <c r="W226" s="60" t="str">
        <f aca="false">IF(IsPro,IF($B226="","",IFERROR(VALUE(SUBSTITUTE($B226,InvPrefix,"")),0)),"")</f>
        <v/>
      </c>
      <c r="X226" s="61" t="str">
        <f aca="false">IF(IsPro,IF($D226="","",IF(OR($H226="",$H226="Credit"),0,Q226)),"")</f>
        <v/>
      </c>
    </row>
    <row r="227" customFormat="false" ht="15" hidden="false" customHeight="false" outlineLevel="0" collapsed="false">
      <c r="A227" s="55"/>
      <c r="B227" s="56"/>
      <c r="C227" s="56"/>
      <c r="D227" s="56"/>
      <c r="E227" s="57"/>
      <c r="F227" s="58"/>
      <c r="G227" s="59"/>
      <c r="H227" s="56"/>
      <c r="I227" s="56"/>
      <c r="J227" s="60" t="str">
        <f aca="false">IF(IsPro,IF($D227="","",IFERROR(INDEX(Items!$D$5:$D$504,U227),"")),"")</f>
        <v/>
      </c>
      <c r="K227" s="61" t="str">
        <f aca="false">IF(IsPro,IF($D227="","",IF($F227="",IFERROR(INDEX(Items!$H$5:$H$504,U227),0),$F227)),"")</f>
        <v/>
      </c>
      <c r="L227" s="61" t="str">
        <f aca="false">IF(IsPro,IF($D227="","",ROUND(N($E227)*K227*(1-N($G227)),2)),"")</f>
        <v/>
      </c>
      <c r="M227" s="62" t="str">
        <f aca="false">IF(IsPro,IF($D227="","",IFERROR(INDEX(Items!$F$5:$F$504,U227),0)),"")</f>
        <v/>
      </c>
      <c r="N227" s="61" t="str">
        <f aca="false">IF(IsPro,IF($D227="","",IF(AND(V227&lt;&gt;"",INDEX(Parties!$E$5:$E$304,V227)&lt;&gt;"",INDEX(Parties!$E$5:$E$304,V227)&lt;&gt;HomeState),0,ROUND(L227*M227/2,2))),"")</f>
        <v/>
      </c>
      <c r="O227" s="61" t="str">
        <f aca="false">IF(IsPro,IF($D227="","",N227),"")</f>
        <v/>
      </c>
      <c r="P227" s="61" t="str">
        <f aca="false">IF(IsPro,IF($D227="","",IF(AND(V227&lt;&gt;"",INDEX(Parties!$E$5:$E$304,V227)&lt;&gt;"",INDEX(Parties!$E$5:$E$304,V227)&lt;&gt;HomeState),ROUND(L227*M227,2),0)),"")</f>
        <v/>
      </c>
      <c r="Q227" s="61" t="str">
        <f aca="false">IF(IsPro,IF($D227="","",L227+N227+O227+P227),"")</f>
        <v/>
      </c>
      <c r="R227" s="61" t="str">
        <f aca="false">IF(IsPro,IF($D227="","",ROUND(N($E227)*IFERROR(INDEX(Items!$P$5:$P$504,U227),0),2)),"")</f>
        <v/>
      </c>
      <c r="S227" s="61" t="str">
        <f aca="false">IF(IsPro,IF($D227="","",L227-R227),"")</f>
        <v/>
      </c>
      <c r="T227" s="60" t="str">
        <f aca="false">IF(IsPro,IF($D227="","",IF(U227="","UNKNOWN ITEM",IF(INDEX(Items!$O$5:$O$504,U227)&lt;0,"NEG STOCK",IF(K227&lt;INDEX(Items!$P$5:$P$504,U227),"BELOW COST","OK")))),IF($D227="","","PRO PLAN"))</f>
        <v/>
      </c>
      <c r="U227" s="60" t="str">
        <f aca="false">IF(IsPro,IF($D227="","",IFERROR(MATCH($D227,Items!$A$5:$A$504,0),"")),"")</f>
        <v/>
      </c>
      <c r="V227" s="60" t="str">
        <f aca="false">IF(IsPro,IF($C227="","",IFERROR(MATCH($C227,Parties!$A$5:$A$304,0),"")),"")</f>
        <v/>
      </c>
      <c r="W227" s="60" t="str">
        <f aca="false">IF(IsPro,IF($B227="","",IFERROR(VALUE(SUBSTITUTE($B227,InvPrefix,"")),0)),"")</f>
        <v/>
      </c>
      <c r="X227" s="61" t="str">
        <f aca="false">IF(IsPro,IF($D227="","",IF(OR($H227="",$H227="Credit"),0,Q227)),"")</f>
        <v/>
      </c>
    </row>
    <row r="228" customFormat="false" ht="15" hidden="false" customHeight="false" outlineLevel="0" collapsed="false">
      <c r="A228" s="55"/>
      <c r="B228" s="56"/>
      <c r="C228" s="56"/>
      <c r="D228" s="56"/>
      <c r="E228" s="57"/>
      <c r="F228" s="58"/>
      <c r="G228" s="59"/>
      <c r="H228" s="56"/>
      <c r="I228" s="56"/>
      <c r="J228" s="60" t="str">
        <f aca="false">IF(IsPro,IF($D228="","",IFERROR(INDEX(Items!$D$5:$D$504,U228),"")),"")</f>
        <v/>
      </c>
      <c r="K228" s="61" t="str">
        <f aca="false">IF(IsPro,IF($D228="","",IF($F228="",IFERROR(INDEX(Items!$H$5:$H$504,U228),0),$F228)),"")</f>
        <v/>
      </c>
      <c r="L228" s="61" t="str">
        <f aca="false">IF(IsPro,IF($D228="","",ROUND(N($E228)*K228*(1-N($G228)),2)),"")</f>
        <v/>
      </c>
      <c r="M228" s="62" t="str">
        <f aca="false">IF(IsPro,IF($D228="","",IFERROR(INDEX(Items!$F$5:$F$504,U228),0)),"")</f>
        <v/>
      </c>
      <c r="N228" s="61" t="str">
        <f aca="false">IF(IsPro,IF($D228="","",IF(AND(V228&lt;&gt;"",INDEX(Parties!$E$5:$E$304,V228)&lt;&gt;"",INDEX(Parties!$E$5:$E$304,V228)&lt;&gt;HomeState),0,ROUND(L228*M228/2,2))),"")</f>
        <v/>
      </c>
      <c r="O228" s="61" t="str">
        <f aca="false">IF(IsPro,IF($D228="","",N228),"")</f>
        <v/>
      </c>
      <c r="P228" s="61" t="str">
        <f aca="false">IF(IsPro,IF($D228="","",IF(AND(V228&lt;&gt;"",INDEX(Parties!$E$5:$E$304,V228)&lt;&gt;"",INDEX(Parties!$E$5:$E$304,V228)&lt;&gt;HomeState),ROUND(L228*M228,2),0)),"")</f>
        <v/>
      </c>
      <c r="Q228" s="61" t="str">
        <f aca="false">IF(IsPro,IF($D228="","",L228+N228+O228+P228),"")</f>
        <v/>
      </c>
      <c r="R228" s="61" t="str">
        <f aca="false">IF(IsPro,IF($D228="","",ROUND(N($E228)*IFERROR(INDEX(Items!$P$5:$P$504,U228),0),2)),"")</f>
        <v/>
      </c>
      <c r="S228" s="61" t="str">
        <f aca="false">IF(IsPro,IF($D228="","",L228-R228),"")</f>
        <v/>
      </c>
      <c r="T228" s="60" t="str">
        <f aca="false">IF(IsPro,IF($D228="","",IF(U228="","UNKNOWN ITEM",IF(INDEX(Items!$O$5:$O$504,U228)&lt;0,"NEG STOCK",IF(K228&lt;INDEX(Items!$P$5:$P$504,U228),"BELOW COST","OK")))),IF($D228="","","PRO PLAN"))</f>
        <v/>
      </c>
      <c r="U228" s="60" t="str">
        <f aca="false">IF(IsPro,IF($D228="","",IFERROR(MATCH($D228,Items!$A$5:$A$504,0),"")),"")</f>
        <v/>
      </c>
      <c r="V228" s="60" t="str">
        <f aca="false">IF(IsPro,IF($C228="","",IFERROR(MATCH($C228,Parties!$A$5:$A$304,0),"")),"")</f>
        <v/>
      </c>
      <c r="W228" s="60" t="str">
        <f aca="false">IF(IsPro,IF($B228="","",IFERROR(VALUE(SUBSTITUTE($B228,InvPrefix,"")),0)),"")</f>
        <v/>
      </c>
      <c r="X228" s="61" t="str">
        <f aca="false">IF(IsPro,IF($D228="","",IF(OR($H228="",$H228="Credit"),0,Q228)),"")</f>
        <v/>
      </c>
    </row>
    <row r="229" customFormat="false" ht="15" hidden="false" customHeight="false" outlineLevel="0" collapsed="false">
      <c r="A229" s="55"/>
      <c r="B229" s="56"/>
      <c r="C229" s="56"/>
      <c r="D229" s="56"/>
      <c r="E229" s="57"/>
      <c r="F229" s="58"/>
      <c r="G229" s="59"/>
      <c r="H229" s="56"/>
      <c r="I229" s="56"/>
      <c r="J229" s="60" t="str">
        <f aca="false">IF(IsPro,IF($D229="","",IFERROR(INDEX(Items!$D$5:$D$504,U229),"")),"")</f>
        <v/>
      </c>
      <c r="K229" s="61" t="str">
        <f aca="false">IF(IsPro,IF($D229="","",IF($F229="",IFERROR(INDEX(Items!$H$5:$H$504,U229),0),$F229)),"")</f>
        <v/>
      </c>
      <c r="L229" s="61" t="str">
        <f aca="false">IF(IsPro,IF($D229="","",ROUND(N($E229)*K229*(1-N($G229)),2)),"")</f>
        <v/>
      </c>
      <c r="M229" s="62" t="str">
        <f aca="false">IF(IsPro,IF($D229="","",IFERROR(INDEX(Items!$F$5:$F$504,U229),0)),"")</f>
        <v/>
      </c>
      <c r="N229" s="61" t="str">
        <f aca="false">IF(IsPro,IF($D229="","",IF(AND(V229&lt;&gt;"",INDEX(Parties!$E$5:$E$304,V229)&lt;&gt;"",INDEX(Parties!$E$5:$E$304,V229)&lt;&gt;HomeState),0,ROUND(L229*M229/2,2))),"")</f>
        <v/>
      </c>
      <c r="O229" s="61" t="str">
        <f aca="false">IF(IsPro,IF($D229="","",N229),"")</f>
        <v/>
      </c>
      <c r="P229" s="61" t="str">
        <f aca="false">IF(IsPro,IF($D229="","",IF(AND(V229&lt;&gt;"",INDEX(Parties!$E$5:$E$304,V229)&lt;&gt;"",INDEX(Parties!$E$5:$E$304,V229)&lt;&gt;HomeState),ROUND(L229*M229,2),0)),"")</f>
        <v/>
      </c>
      <c r="Q229" s="61" t="str">
        <f aca="false">IF(IsPro,IF($D229="","",L229+N229+O229+P229),"")</f>
        <v/>
      </c>
      <c r="R229" s="61" t="str">
        <f aca="false">IF(IsPro,IF($D229="","",ROUND(N($E229)*IFERROR(INDEX(Items!$P$5:$P$504,U229),0),2)),"")</f>
        <v/>
      </c>
      <c r="S229" s="61" t="str">
        <f aca="false">IF(IsPro,IF($D229="","",L229-R229),"")</f>
        <v/>
      </c>
      <c r="T229" s="60" t="str">
        <f aca="false">IF(IsPro,IF($D229="","",IF(U229="","UNKNOWN ITEM",IF(INDEX(Items!$O$5:$O$504,U229)&lt;0,"NEG STOCK",IF(K229&lt;INDEX(Items!$P$5:$P$504,U229),"BELOW COST","OK")))),IF($D229="","","PRO PLAN"))</f>
        <v/>
      </c>
      <c r="U229" s="60" t="str">
        <f aca="false">IF(IsPro,IF($D229="","",IFERROR(MATCH($D229,Items!$A$5:$A$504,0),"")),"")</f>
        <v/>
      </c>
      <c r="V229" s="60" t="str">
        <f aca="false">IF(IsPro,IF($C229="","",IFERROR(MATCH($C229,Parties!$A$5:$A$304,0),"")),"")</f>
        <v/>
      </c>
      <c r="W229" s="60" t="str">
        <f aca="false">IF(IsPro,IF($B229="","",IFERROR(VALUE(SUBSTITUTE($B229,InvPrefix,"")),0)),"")</f>
        <v/>
      </c>
      <c r="X229" s="61" t="str">
        <f aca="false">IF(IsPro,IF($D229="","",IF(OR($H229="",$H229="Credit"),0,Q229)),"")</f>
        <v/>
      </c>
    </row>
    <row r="230" customFormat="false" ht="15" hidden="false" customHeight="false" outlineLevel="0" collapsed="false">
      <c r="A230" s="55"/>
      <c r="B230" s="56"/>
      <c r="C230" s="56"/>
      <c r="D230" s="56"/>
      <c r="E230" s="57"/>
      <c r="F230" s="58"/>
      <c r="G230" s="59"/>
      <c r="H230" s="56"/>
      <c r="I230" s="56"/>
      <c r="J230" s="60" t="str">
        <f aca="false">IF(IsPro,IF($D230="","",IFERROR(INDEX(Items!$D$5:$D$504,U230),"")),"")</f>
        <v/>
      </c>
      <c r="K230" s="61" t="str">
        <f aca="false">IF(IsPro,IF($D230="","",IF($F230="",IFERROR(INDEX(Items!$H$5:$H$504,U230),0),$F230)),"")</f>
        <v/>
      </c>
      <c r="L230" s="61" t="str">
        <f aca="false">IF(IsPro,IF($D230="","",ROUND(N($E230)*K230*(1-N($G230)),2)),"")</f>
        <v/>
      </c>
      <c r="M230" s="62" t="str">
        <f aca="false">IF(IsPro,IF($D230="","",IFERROR(INDEX(Items!$F$5:$F$504,U230),0)),"")</f>
        <v/>
      </c>
      <c r="N230" s="61" t="str">
        <f aca="false">IF(IsPro,IF($D230="","",IF(AND(V230&lt;&gt;"",INDEX(Parties!$E$5:$E$304,V230)&lt;&gt;"",INDEX(Parties!$E$5:$E$304,V230)&lt;&gt;HomeState),0,ROUND(L230*M230/2,2))),"")</f>
        <v/>
      </c>
      <c r="O230" s="61" t="str">
        <f aca="false">IF(IsPro,IF($D230="","",N230),"")</f>
        <v/>
      </c>
      <c r="P230" s="61" t="str">
        <f aca="false">IF(IsPro,IF($D230="","",IF(AND(V230&lt;&gt;"",INDEX(Parties!$E$5:$E$304,V230)&lt;&gt;"",INDEX(Parties!$E$5:$E$304,V230)&lt;&gt;HomeState),ROUND(L230*M230,2),0)),"")</f>
        <v/>
      </c>
      <c r="Q230" s="61" t="str">
        <f aca="false">IF(IsPro,IF($D230="","",L230+N230+O230+P230),"")</f>
        <v/>
      </c>
      <c r="R230" s="61" t="str">
        <f aca="false">IF(IsPro,IF($D230="","",ROUND(N($E230)*IFERROR(INDEX(Items!$P$5:$P$504,U230),0),2)),"")</f>
        <v/>
      </c>
      <c r="S230" s="61" t="str">
        <f aca="false">IF(IsPro,IF($D230="","",L230-R230),"")</f>
        <v/>
      </c>
      <c r="T230" s="60" t="str">
        <f aca="false">IF(IsPro,IF($D230="","",IF(U230="","UNKNOWN ITEM",IF(INDEX(Items!$O$5:$O$504,U230)&lt;0,"NEG STOCK",IF(K230&lt;INDEX(Items!$P$5:$P$504,U230),"BELOW COST","OK")))),IF($D230="","","PRO PLAN"))</f>
        <v/>
      </c>
      <c r="U230" s="60" t="str">
        <f aca="false">IF(IsPro,IF($D230="","",IFERROR(MATCH($D230,Items!$A$5:$A$504,0),"")),"")</f>
        <v/>
      </c>
      <c r="V230" s="60" t="str">
        <f aca="false">IF(IsPro,IF($C230="","",IFERROR(MATCH($C230,Parties!$A$5:$A$304,0),"")),"")</f>
        <v/>
      </c>
      <c r="W230" s="60" t="str">
        <f aca="false">IF(IsPro,IF($B230="","",IFERROR(VALUE(SUBSTITUTE($B230,InvPrefix,"")),0)),"")</f>
        <v/>
      </c>
      <c r="X230" s="61" t="str">
        <f aca="false">IF(IsPro,IF($D230="","",IF(OR($H230="",$H230="Credit"),0,Q230)),"")</f>
        <v/>
      </c>
    </row>
    <row r="231" customFormat="false" ht="15" hidden="false" customHeight="false" outlineLevel="0" collapsed="false">
      <c r="A231" s="55"/>
      <c r="B231" s="56"/>
      <c r="C231" s="56"/>
      <c r="D231" s="56"/>
      <c r="E231" s="57"/>
      <c r="F231" s="58"/>
      <c r="G231" s="59"/>
      <c r="H231" s="56"/>
      <c r="I231" s="56"/>
      <c r="J231" s="60" t="str">
        <f aca="false">IF(IsPro,IF($D231="","",IFERROR(INDEX(Items!$D$5:$D$504,U231),"")),"")</f>
        <v/>
      </c>
      <c r="K231" s="61" t="str">
        <f aca="false">IF(IsPro,IF($D231="","",IF($F231="",IFERROR(INDEX(Items!$H$5:$H$504,U231),0),$F231)),"")</f>
        <v/>
      </c>
      <c r="L231" s="61" t="str">
        <f aca="false">IF(IsPro,IF($D231="","",ROUND(N($E231)*K231*(1-N($G231)),2)),"")</f>
        <v/>
      </c>
      <c r="M231" s="62" t="str">
        <f aca="false">IF(IsPro,IF($D231="","",IFERROR(INDEX(Items!$F$5:$F$504,U231),0)),"")</f>
        <v/>
      </c>
      <c r="N231" s="61" t="str">
        <f aca="false">IF(IsPro,IF($D231="","",IF(AND(V231&lt;&gt;"",INDEX(Parties!$E$5:$E$304,V231)&lt;&gt;"",INDEX(Parties!$E$5:$E$304,V231)&lt;&gt;HomeState),0,ROUND(L231*M231/2,2))),"")</f>
        <v/>
      </c>
      <c r="O231" s="61" t="str">
        <f aca="false">IF(IsPro,IF($D231="","",N231),"")</f>
        <v/>
      </c>
      <c r="P231" s="61" t="str">
        <f aca="false">IF(IsPro,IF($D231="","",IF(AND(V231&lt;&gt;"",INDEX(Parties!$E$5:$E$304,V231)&lt;&gt;"",INDEX(Parties!$E$5:$E$304,V231)&lt;&gt;HomeState),ROUND(L231*M231,2),0)),"")</f>
        <v/>
      </c>
      <c r="Q231" s="61" t="str">
        <f aca="false">IF(IsPro,IF($D231="","",L231+N231+O231+P231),"")</f>
        <v/>
      </c>
      <c r="R231" s="61" t="str">
        <f aca="false">IF(IsPro,IF($D231="","",ROUND(N($E231)*IFERROR(INDEX(Items!$P$5:$P$504,U231),0),2)),"")</f>
        <v/>
      </c>
      <c r="S231" s="61" t="str">
        <f aca="false">IF(IsPro,IF($D231="","",L231-R231),"")</f>
        <v/>
      </c>
      <c r="T231" s="60" t="str">
        <f aca="false">IF(IsPro,IF($D231="","",IF(U231="","UNKNOWN ITEM",IF(INDEX(Items!$O$5:$O$504,U231)&lt;0,"NEG STOCK",IF(K231&lt;INDEX(Items!$P$5:$P$504,U231),"BELOW COST","OK")))),IF($D231="","","PRO PLAN"))</f>
        <v/>
      </c>
      <c r="U231" s="60" t="str">
        <f aca="false">IF(IsPro,IF($D231="","",IFERROR(MATCH($D231,Items!$A$5:$A$504,0),"")),"")</f>
        <v/>
      </c>
      <c r="V231" s="60" t="str">
        <f aca="false">IF(IsPro,IF($C231="","",IFERROR(MATCH($C231,Parties!$A$5:$A$304,0),"")),"")</f>
        <v/>
      </c>
      <c r="W231" s="60" t="str">
        <f aca="false">IF(IsPro,IF($B231="","",IFERROR(VALUE(SUBSTITUTE($B231,InvPrefix,"")),0)),"")</f>
        <v/>
      </c>
      <c r="X231" s="61" t="str">
        <f aca="false">IF(IsPro,IF($D231="","",IF(OR($H231="",$H231="Credit"),0,Q231)),"")</f>
        <v/>
      </c>
    </row>
    <row r="232" customFormat="false" ht="15" hidden="false" customHeight="false" outlineLevel="0" collapsed="false">
      <c r="A232" s="55"/>
      <c r="B232" s="56"/>
      <c r="C232" s="56"/>
      <c r="D232" s="56"/>
      <c r="E232" s="57"/>
      <c r="F232" s="58"/>
      <c r="G232" s="59"/>
      <c r="H232" s="56"/>
      <c r="I232" s="56"/>
      <c r="J232" s="60" t="str">
        <f aca="false">IF(IsPro,IF($D232="","",IFERROR(INDEX(Items!$D$5:$D$504,U232),"")),"")</f>
        <v/>
      </c>
      <c r="K232" s="61" t="str">
        <f aca="false">IF(IsPro,IF($D232="","",IF($F232="",IFERROR(INDEX(Items!$H$5:$H$504,U232),0),$F232)),"")</f>
        <v/>
      </c>
      <c r="L232" s="61" t="str">
        <f aca="false">IF(IsPro,IF($D232="","",ROUND(N($E232)*K232*(1-N($G232)),2)),"")</f>
        <v/>
      </c>
      <c r="M232" s="62" t="str">
        <f aca="false">IF(IsPro,IF($D232="","",IFERROR(INDEX(Items!$F$5:$F$504,U232),0)),"")</f>
        <v/>
      </c>
      <c r="N232" s="61" t="str">
        <f aca="false">IF(IsPro,IF($D232="","",IF(AND(V232&lt;&gt;"",INDEX(Parties!$E$5:$E$304,V232)&lt;&gt;"",INDEX(Parties!$E$5:$E$304,V232)&lt;&gt;HomeState),0,ROUND(L232*M232/2,2))),"")</f>
        <v/>
      </c>
      <c r="O232" s="61" t="str">
        <f aca="false">IF(IsPro,IF($D232="","",N232),"")</f>
        <v/>
      </c>
      <c r="P232" s="61" t="str">
        <f aca="false">IF(IsPro,IF($D232="","",IF(AND(V232&lt;&gt;"",INDEX(Parties!$E$5:$E$304,V232)&lt;&gt;"",INDEX(Parties!$E$5:$E$304,V232)&lt;&gt;HomeState),ROUND(L232*M232,2),0)),"")</f>
        <v/>
      </c>
      <c r="Q232" s="61" t="str">
        <f aca="false">IF(IsPro,IF($D232="","",L232+N232+O232+P232),"")</f>
        <v/>
      </c>
      <c r="R232" s="61" t="str">
        <f aca="false">IF(IsPro,IF($D232="","",ROUND(N($E232)*IFERROR(INDEX(Items!$P$5:$P$504,U232),0),2)),"")</f>
        <v/>
      </c>
      <c r="S232" s="61" t="str">
        <f aca="false">IF(IsPro,IF($D232="","",L232-R232),"")</f>
        <v/>
      </c>
      <c r="T232" s="60" t="str">
        <f aca="false">IF(IsPro,IF($D232="","",IF(U232="","UNKNOWN ITEM",IF(INDEX(Items!$O$5:$O$504,U232)&lt;0,"NEG STOCK",IF(K232&lt;INDEX(Items!$P$5:$P$504,U232),"BELOW COST","OK")))),IF($D232="","","PRO PLAN"))</f>
        <v/>
      </c>
      <c r="U232" s="60" t="str">
        <f aca="false">IF(IsPro,IF($D232="","",IFERROR(MATCH($D232,Items!$A$5:$A$504,0),"")),"")</f>
        <v/>
      </c>
      <c r="V232" s="60" t="str">
        <f aca="false">IF(IsPro,IF($C232="","",IFERROR(MATCH($C232,Parties!$A$5:$A$304,0),"")),"")</f>
        <v/>
      </c>
      <c r="W232" s="60" t="str">
        <f aca="false">IF(IsPro,IF($B232="","",IFERROR(VALUE(SUBSTITUTE($B232,InvPrefix,"")),0)),"")</f>
        <v/>
      </c>
      <c r="X232" s="61" t="str">
        <f aca="false">IF(IsPro,IF($D232="","",IF(OR($H232="",$H232="Credit"),0,Q232)),"")</f>
        <v/>
      </c>
    </row>
    <row r="233" customFormat="false" ht="15" hidden="false" customHeight="false" outlineLevel="0" collapsed="false">
      <c r="A233" s="55"/>
      <c r="B233" s="56"/>
      <c r="C233" s="56"/>
      <c r="D233" s="56"/>
      <c r="E233" s="57"/>
      <c r="F233" s="58"/>
      <c r="G233" s="59"/>
      <c r="H233" s="56"/>
      <c r="I233" s="56"/>
      <c r="J233" s="60" t="str">
        <f aca="false">IF(IsPro,IF($D233="","",IFERROR(INDEX(Items!$D$5:$D$504,U233),"")),"")</f>
        <v/>
      </c>
      <c r="K233" s="61" t="str">
        <f aca="false">IF(IsPro,IF($D233="","",IF($F233="",IFERROR(INDEX(Items!$H$5:$H$504,U233),0),$F233)),"")</f>
        <v/>
      </c>
      <c r="L233" s="61" t="str">
        <f aca="false">IF(IsPro,IF($D233="","",ROUND(N($E233)*K233*(1-N($G233)),2)),"")</f>
        <v/>
      </c>
      <c r="M233" s="62" t="str">
        <f aca="false">IF(IsPro,IF($D233="","",IFERROR(INDEX(Items!$F$5:$F$504,U233),0)),"")</f>
        <v/>
      </c>
      <c r="N233" s="61" t="str">
        <f aca="false">IF(IsPro,IF($D233="","",IF(AND(V233&lt;&gt;"",INDEX(Parties!$E$5:$E$304,V233)&lt;&gt;"",INDEX(Parties!$E$5:$E$304,V233)&lt;&gt;HomeState),0,ROUND(L233*M233/2,2))),"")</f>
        <v/>
      </c>
      <c r="O233" s="61" t="str">
        <f aca="false">IF(IsPro,IF($D233="","",N233),"")</f>
        <v/>
      </c>
      <c r="P233" s="61" t="str">
        <f aca="false">IF(IsPro,IF($D233="","",IF(AND(V233&lt;&gt;"",INDEX(Parties!$E$5:$E$304,V233)&lt;&gt;"",INDEX(Parties!$E$5:$E$304,V233)&lt;&gt;HomeState),ROUND(L233*M233,2),0)),"")</f>
        <v/>
      </c>
      <c r="Q233" s="61" t="str">
        <f aca="false">IF(IsPro,IF($D233="","",L233+N233+O233+P233),"")</f>
        <v/>
      </c>
      <c r="R233" s="61" t="str">
        <f aca="false">IF(IsPro,IF($D233="","",ROUND(N($E233)*IFERROR(INDEX(Items!$P$5:$P$504,U233),0),2)),"")</f>
        <v/>
      </c>
      <c r="S233" s="61" t="str">
        <f aca="false">IF(IsPro,IF($D233="","",L233-R233),"")</f>
        <v/>
      </c>
      <c r="T233" s="60" t="str">
        <f aca="false">IF(IsPro,IF($D233="","",IF(U233="","UNKNOWN ITEM",IF(INDEX(Items!$O$5:$O$504,U233)&lt;0,"NEG STOCK",IF(K233&lt;INDEX(Items!$P$5:$P$504,U233),"BELOW COST","OK")))),IF($D233="","","PRO PLAN"))</f>
        <v/>
      </c>
      <c r="U233" s="60" t="str">
        <f aca="false">IF(IsPro,IF($D233="","",IFERROR(MATCH($D233,Items!$A$5:$A$504,0),"")),"")</f>
        <v/>
      </c>
      <c r="V233" s="60" t="str">
        <f aca="false">IF(IsPro,IF($C233="","",IFERROR(MATCH($C233,Parties!$A$5:$A$304,0),"")),"")</f>
        <v/>
      </c>
      <c r="W233" s="60" t="str">
        <f aca="false">IF(IsPro,IF($B233="","",IFERROR(VALUE(SUBSTITUTE($B233,InvPrefix,"")),0)),"")</f>
        <v/>
      </c>
      <c r="X233" s="61" t="str">
        <f aca="false">IF(IsPro,IF($D233="","",IF(OR($H233="",$H233="Credit"),0,Q233)),"")</f>
        <v/>
      </c>
    </row>
    <row r="234" customFormat="false" ht="15" hidden="false" customHeight="false" outlineLevel="0" collapsed="false">
      <c r="A234" s="55"/>
      <c r="B234" s="56"/>
      <c r="C234" s="56"/>
      <c r="D234" s="56"/>
      <c r="E234" s="57"/>
      <c r="F234" s="58"/>
      <c r="G234" s="59"/>
      <c r="H234" s="56"/>
      <c r="I234" s="56"/>
      <c r="J234" s="60" t="str">
        <f aca="false">IF(IsPro,IF($D234="","",IFERROR(INDEX(Items!$D$5:$D$504,U234),"")),"")</f>
        <v/>
      </c>
      <c r="K234" s="61" t="str">
        <f aca="false">IF(IsPro,IF($D234="","",IF($F234="",IFERROR(INDEX(Items!$H$5:$H$504,U234),0),$F234)),"")</f>
        <v/>
      </c>
      <c r="L234" s="61" t="str">
        <f aca="false">IF(IsPro,IF($D234="","",ROUND(N($E234)*K234*(1-N($G234)),2)),"")</f>
        <v/>
      </c>
      <c r="M234" s="62" t="str">
        <f aca="false">IF(IsPro,IF($D234="","",IFERROR(INDEX(Items!$F$5:$F$504,U234),0)),"")</f>
        <v/>
      </c>
      <c r="N234" s="61" t="str">
        <f aca="false">IF(IsPro,IF($D234="","",IF(AND(V234&lt;&gt;"",INDEX(Parties!$E$5:$E$304,V234)&lt;&gt;"",INDEX(Parties!$E$5:$E$304,V234)&lt;&gt;HomeState),0,ROUND(L234*M234/2,2))),"")</f>
        <v/>
      </c>
      <c r="O234" s="61" t="str">
        <f aca="false">IF(IsPro,IF($D234="","",N234),"")</f>
        <v/>
      </c>
      <c r="P234" s="61" t="str">
        <f aca="false">IF(IsPro,IF($D234="","",IF(AND(V234&lt;&gt;"",INDEX(Parties!$E$5:$E$304,V234)&lt;&gt;"",INDEX(Parties!$E$5:$E$304,V234)&lt;&gt;HomeState),ROUND(L234*M234,2),0)),"")</f>
        <v/>
      </c>
      <c r="Q234" s="61" t="str">
        <f aca="false">IF(IsPro,IF($D234="","",L234+N234+O234+P234),"")</f>
        <v/>
      </c>
      <c r="R234" s="61" t="str">
        <f aca="false">IF(IsPro,IF($D234="","",ROUND(N($E234)*IFERROR(INDEX(Items!$P$5:$P$504,U234),0),2)),"")</f>
        <v/>
      </c>
      <c r="S234" s="61" t="str">
        <f aca="false">IF(IsPro,IF($D234="","",L234-R234),"")</f>
        <v/>
      </c>
      <c r="T234" s="60" t="str">
        <f aca="false">IF(IsPro,IF($D234="","",IF(U234="","UNKNOWN ITEM",IF(INDEX(Items!$O$5:$O$504,U234)&lt;0,"NEG STOCK",IF(K234&lt;INDEX(Items!$P$5:$P$504,U234),"BELOW COST","OK")))),IF($D234="","","PRO PLAN"))</f>
        <v/>
      </c>
      <c r="U234" s="60" t="str">
        <f aca="false">IF(IsPro,IF($D234="","",IFERROR(MATCH($D234,Items!$A$5:$A$504,0),"")),"")</f>
        <v/>
      </c>
      <c r="V234" s="60" t="str">
        <f aca="false">IF(IsPro,IF($C234="","",IFERROR(MATCH($C234,Parties!$A$5:$A$304,0),"")),"")</f>
        <v/>
      </c>
      <c r="W234" s="60" t="str">
        <f aca="false">IF(IsPro,IF($B234="","",IFERROR(VALUE(SUBSTITUTE($B234,InvPrefix,"")),0)),"")</f>
        <v/>
      </c>
      <c r="X234" s="61" t="str">
        <f aca="false">IF(IsPro,IF($D234="","",IF(OR($H234="",$H234="Credit"),0,Q234)),"")</f>
        <v/>
      </c>
    </row>
    <row r="235" customFormat="false" ht="15" hidden="false" customHeight="false" outlineLevel="0" collapsed="false">
      <c r="A235" s="55"/>
      <c r="B235" s="56"/>
      <c r="C235" s="56"/>
      <c r="D235" s="56"/>
      <c r="E235" s="57"/>
      <c r="F235" s="58"/>
      <c r="G235" s="59"/>
      <c r="H235" s="56"/>
      <c r="I235" s="56"/>
      <c r="J235" s="60" t="str">
        <f aca="false">IF(IsPro,IF($D235="","",IFERROR(INDEX(Items!$D$5:$D$504,U235),"")),"")</f>
        <v/>
      </c>
      <c r="K235" s="61" t="str">
        <f aca="false">IF(IsPro,IF($D235="","",IF($F235="",IFERROR(INDEX(Items!$H$5:$H$504,U235),0),$F235)),"")</f>
        <v/>
      </c>
      <c r="L235" s="61" t="str">
        <f aca="false">IF(IsPro,IF($D235="","",ROUND(N($E235)*K235*(1-N($G235)),2)),"")</f>
        <v/>
      </c>
      <c r="M235" s="62" t="str">
        <f aca="false">IF(IsPro,IF($D235="","",IFERROR(INDEX(Items!$F$5:$F$504,U235),0)),"")</f>
        <v/>
      </c>
      <c r="N235" s="61" t="str">
        <f aca="false">IF(IsPro,IF($D235="","",IF(AND(V235&lt;&gt;"",INDEX(Parties!$E$5:$E$304,V235)&lt;&gt;"",INDEX(Parties!$E$5:$E$304,V235)&lt;&gt;HomeState),0,ROUND(L235*M235/2,2))),"")</f>
        <v/>
      </c>
      <c r="O235" s="61" t="str">
        <f aca="false">IF(IsPro,IF($D235="","",N235),"")</f>
        <v/>
      </c>
      <c r="P235" s="61" t="str">
        <f aca="false">IF(IsPro,IF($D235="","",IF(AND(V235&lt;&gt;"",INDEX(Parties!$E$5:$E$304,V235)&lt;&gt;"",INDEX(Parties!$E$5:$E$304,V235)&lt;&gt;HomeState),ROUND(L235*M235,2),0)),"")</f>
        <v/>
      </c>
      <c r="Q235" s="61" t="str">
        <f aca="false">IF(IsPro,IF($D235="","",L235+N235+O235+P235),"")</f>
        <v/>
      </c>
      <c r="R235" s="61" t="str">
        <f aca="false">IF(IsPro,IF($D235="","",ROUND(N($E235)*IFERROR(INDEX(Items!$P$5:$P$504,U235),0),2)),"")</f>
        <v/>
      </c>
      <c r="S235" s="61" t="str">
        <f aca="false">IF(IsPro,IF($D235="","",L235-R235),"")</f>
        <v/>
      </c>
      <c r="T235" s="60" t="str">
        <f aca="false">IF(IsPro,IF($D235="","",IF(U235="","UNKNOWN ITEM",IF(INDEX(Items!$O$5:$O$504,U235)&lt;0,"NEG STOCK",IF(K235&lt;INDEX(Items!$P$5:$P$504,U235),"BELOW COST","OK")))),IF($D235="","","PRO PLAN"))</f>
        <v/>
      </c>
      <c r="U235" s="60" t="str">
        <f aca="false">IF(IsPro,IF($D235="","",IFERROR(MATCH($D235,Items!$A$5:$A$504,0),"")),"")</f>
        <v/>
      </c>
      <c r="V235" s="60" t="str">
        <f aca="false">IF(IsPro,IF($C235="","",IFERROR(MATCH($C235,Parties!$A$5:$A$304,0),"")),"")</f>
        <v/>
      </c>
      <c r="W235" s="60" t="str">
        <f aca="false">IF(IsPro,IF($B235="","",IFERROR(VALUE(SUBSTITUTE($B235,InvPrefix,"")),0)),"")</f>
        <v/>
      </c>
      <c r="X235" s="61" t="str">
        <f aca="false">IF(IsPro,IF($D235="","",IF(OR($H235="",$H235="Credit"),0,Q235)),"")</f>
        <v/>
      </c>
    </row>
    <row r="236" customFormat="false" ht="15" hidden="false" customHeight="false" outlineLevel="0" collapsed="false">
      <c r="A236" s="55"/>
      <c r="B236" s="56"/>
      <c r="C236" s="56"/>
      <c r="D236" s="56"/>
      <c r="E236" s="57"/>
      <c r="F236" s="58"/>
      <c r="G236" s="59"/>
      <c r="H236" s="56"/>
      <c r="I236" s="56"/>
      <c r="J236" s="60" t="str">
        <f aca="false">IF(IsPro,IF($D236="","",IFERROR(INDEX(Items!$D$5:$D$504,U236),"")),"")</f>
        <v/>
      </c>
      <c r="K236" s="61" t="str">
        <f aca="false">IF(IsPro,IF($D236="","",IF($F236="",IFERROR(INDEX(Items!$H$5:$H$504,U236),0),$F236)),"")</f>
        <v/>
      </c>
      <c r="L236" s="61" t="str">
        <f aca="false">IF(IsPro,IF($D236="","",ROUND(N($E236)*K236*(1-N($G236)),2)),"")</f>
        <v/>
      </c>
      <c r="M236" s="62" t="str">
        <f aca="false">IF(IsPro,IF($D236="","",IFERROR(INDEX(Items!$F$5:$F$504,U236),0)),"")</f>
        <v/>
      </c>
      <c r="N236" s="61" t="str">
        <f aca="false">IF(IsPro,IF($D236="","",IF(AND(V236&lt;&gt;"",INDEX(Parties!$E$5:$E$304,V236)&lt;&gt;"",INDEX(Parties!$E$5:$E$304,V236)&lt;&gt;HomeState),0,ROUND(L236*M236/2,2))),"")</f>
        <v/>
      </c>
      <c r="O236" s="61" t="str">
        <f aca="false">IF(IsPro,IF($D236="","",N236),"")</f>
        <v/>
      </c>
      <c r="P236" s="61" t="str">
        <f aca="false">IF(IsPro,IF($D236="","",IF(AND(V236&lt;&gt;"",INDEX(Parties!$E$5:$E$304,V236)&lt;&gt;"",INDEX(Parties!$E$5:$E$304,V236)&lt;&gt;HomeState),ROUND(L236*M236,2),0)),"")</f>
        <v/>
      </c>
      <c r="Q236" s="61" t="str">
        <f aca="false">IF(IsPro,IF($D236="","",L236+N236+O236+P236),"")</f>
        <v/>
      </c>
      <c r="R236" s="61" t="str">
        <f aca="false">IF(IsPro,IF($D236="","",ROUND(N($E236)*IFERROR(INDEX(Items!$P$5:$P$504,U236),0),2)),"")</f>
        <v/>
      </c>
      <c r="S236" s="61" t="str">
        <f aca="false">IF(IsPro,IF($D236="","",L236-R236),"")</f>
        <v/>
      </c>
      <c r="T236" s="60" t="str">
        <f aca="false">IF(IsPro,IF($D236="","",IF(U236="","UNKNOWN ITEM",IF(INDEX(Items!$O$5:$O$504,U236)&lt;0,"NEG STOCK",IF(K236&lt;INDEX(Items!$P$5:$P$504,U236),"BELOW COST","OK")))),IF($D236="","","PRO PLAN"))</f>
        <v/>
      </c>
      <c r="U236" s="60" t="str">
        <f aca="false">IF(IsPro,IF($D236="","",IFERROR(MATCH($D236,Items!$A$5:$A$504,0),"")),"")</f>
        <v/>
      </c>
      <c r="V236" s="60" t="str">
        <f aca="false">IF(IsPro,IF($C236="","",IFERROR(MATCH($C236,Parties!$A$5:$A$304,0),"")),"")</f>
        <v/>
      </c>
      <c r="W236" s="60" t="str">
        <f aca="false">IF(IsPro,IF($B236="","",IFERROR(VALUE(SUBSTITUTE($B236,InvPrefix,"")),0)),"")</f>
        <v/>
      </c>
      <c r="X236" s="61" t="str">
        <f aca="false">IF(IsPro,IF($D236="","",IF(OR($H236="",$H236="Credit"),0,Q236)),"")</f>
        <v/>
      </c>
    </row>
    <row r="237" customFormat="false" ht="15" hidden="false" customHeight="false" outlineLevel="0" collapsed="false">
      <c r="A237" s="55"/>
      <c r="B237" s="56"/>
      <c r="C237" s="56"/>
      <c r="D237" s="56"/>
      <c r="E237" s="57"/>
      <c r="F237" s="58"/>
      <c r="G237" s="59"/>
      <c r="H237" s="56"/>
      <c r="I237" s="56"/>
      <c r="J237" s="60" t="str">
        <f aca="false">IF(IsPro,IF($D237="","",IFERROR(INDEX(Items!$D$5:$D$504,U237),"")),"")</f>
        <v/>
      </c>
      <c r="K237" s="61" t="str">
        <f aca="false">IF(IsPro,IF($D237="","",IF($F237="",IFERROR(INDEX(Items!$H$5:$H$504,U237),0),$F237)),"")</f>
        <v/>
      </c>
      <c r="L237" s="61" t="str">
        <f aca="false">IF(IsPro,IF($D237="","",ROUND(N($E237)*K237*(1-N($G237)),2)),"")</f>
        <v/>
      </c>
      <c r="M237" s="62" t="str">
        <f aca="false">IF(IsPro,IF($D237="","",IFERROR(INDEX(Items!$F$5:$F$504,U237),0)),"")</f>
        <v/>
      </c>
      <c r="N237" s="61" t="str">
        <f aca="false">IF(IsPro,IF($D237="","",IF(AND(V237&lt;&gt;"",INDEX(Parties!$E$5:$E$304,V237)&lt;&gt;"",INDEX(Parties!$E$5:$E$304,V237)&lt;&gt;HomeState),0,ROUND(L237*M237/2,2))),"")</f>
        <v/>
      </c>
      <c r="O237" s="61" t="str">
        <f aca="false">IF(IsPro,IF($D237="","",N237),"")</f>
        <v/>
      </c>
      <c r="P237" s="61" t="str">
        <f aca="false">IF(IsPro,IF($D237="","",IF(AND(V237&lt;&gt;"",INDEX(Parties!$E$5:$E$304,V237)&lt;&gt;"",INDEX(Parties!$E$5:$E$304,V237)&lt;&gt;HomeState),ROUND(L237*M237,2),0)),"")</f>
        <v/>
      </c>
      <c r="Q237" s="61" t="str">
        <f aca="false">IF(IsPro,IF($D237="","",L237+N237+O237+P237),"")</f>
        <v/>
      </c>
      <c r="R237" s="61" t="str">
        <f aca="false">IF(IsPro,IF($D237="","",ROUND(N($E237)*IFERROR(INDEX(Items!$P$5:$P$504,U237),0),2)),"")</f>
        <v/>
      </c>
      <c r="S237" s="61" t="str">
        <f aca="false">IF(IsPro,IF($D237="","",L237-R237),"")</f>
        <v/>
      </c>
      <c r="T237" s="60" t="str">
        <f aca="false">IF(IsPro,IF($D237="","",IF(U237="","UNKNOWN ITEM",IF(INDEX(Items!$O$5:$O$504,U237)&lt;0,"NEG STOCK",IF(K237&lt;INDEX(Items!$P$5:$P$504,U237),"BELOW COST","OK")))),IF($D237="","","PRO PLAN"))</f>
        <v/>
      </c>
      <c r="U237" s="60" t="str">
        <f aca="false">IF(IsPro,IF($D237="","",IFERROR(MATCH($D237,Items!$A$5:$A$504,0),"")),"")</f>
        <v/>
      </c>
      <c r="V237" s="60" t="str">
        <f aca="false">IF(IsPro,IF($C237="","",IFERROR(MATCH($C237,Parties!$A$5:$A$304,0),"")),"")</f>
        <v/>
      </c>
      <c r="W237" s="60" t="str">
        <f aca="false">IF(IsPro,IF($B237="","",IFERROR(VALUE(SUBSTITUTE($B237,InvPrefix,"")),0)),"")</f>
        <v/>
      </c>
      <c r="X237" s="61" t="str">
        <f aca="false">IF(IsPro,IF($D237="","",IF(OR($H237="",$H237="Credit"),0,Q237)),"")</f>
        <v/>
      </c>
    </row>
    <row r="238" customFormat="false" ht="15" hidden="false" customHeight="false" outlineLevel="0" collapsed="false">
      <c r="A238" s="55"/>
      <c r="B238" s="56"/>
      <c r="C238" s="56"/>
      <c r="D238" s="56"/>
      <c r="E238" s="57"/>
      <c r="F238" s="58"/>
      <c r="G238" s="59"/>
      <c r="H238" s="56"/>
      <c r="I238" s="56"/>
      <c r="J238" s="60" t="str">
        <f aca="false">IF(IsPro,IF($D238="","",IFERROR(INDEX(Items!$D$5:$D$504,U238),"")),"")</f>
        <v/>
      </c>
      <c r="K238" s="61" t="str">
        <f aca="false">IF(IsPro,IF($D238="","",IF($F238="",IFERROR(INDEX(Items!$H$5:$H$504,U238),0),$F238)),"")</f>
        <v/>
      </c>
      <c r="L238" s="61" t="str">
        <f aca="false">IF(IsPro,IF($D238="","",ROUND(N($E238)*K238*(1-N($G238)),2)),"")</f>
        <v/>
      </c>
      <c r="M238" s="62" t="str">
        <f aca="false">IF(IsPro,IF($D238="","",IFERROR(INDEX(Items!$F$5:$F$504,U238),0)),"")</f>
        <v/>
      </c>
      <c r="N238" s="61" t="str">
        <f aca="false">IF(IsPro,IF($D238="","",IF(AND(V238&lt;&gt;"",INDEX(Parties!$E$5:$E$304,V238)&lt;&gt;"",INDEX(Parties!$E$5:$E$304,V238)&lt;&gt;HomeState),0,ROUND(L238*M238/2,2))),"")</f>
        <v/>
      </c>
      <c r="O238" s="61" t="str">
        <f aca="false">IF(IsPro,IF($D238="","",N238),"")</f>
        <v/>
      </c>
      <c r="P238" s="61" t="str">
        <f aca="false">IF(IsPro,IF($D238="","",IF(AND(V238&lt;&gt;"",INDEX(Parties!$E$5:$E$304,V238)&lt;&gt;"",INDEX(Parties!$E$5:$E$304,V238)&lt;&gt;HomeState),ROUND(L238*M238,2),0)),"")</f>
        <v/>
      </c>
      <c r="Q238" s="61" t="str">
        <f aca="false">IF(IsPro,IF($D238="","",L238+N238+O238+P238),"")</f>
        <v/>
      </c>
      <c r="R238" s="61" t="str">
        <f aca="false">IF(IsPro,IF($D238="","",ROUND(N($E238)*IFERROR(INDEX(Items!$P$5:$P$504,U238),0),2)),"")</f>
        <v/>
      </c>
      <c r="S238" s="61" t="str">
        <f aca="false">IF(IsPro,IF($D238="","",L238-R238),"")</f>
        <v/>
      </c>
      <c r="T238" s="60" t="str">
        <f aca="false">IF(IsPro,IF($D238="","",IF(U238="","UNKNOWN ITEM",IF(INDEX(Items!$O$5:$O$504,U238)&lt;0,"NEG STOCK",IF(K238&lt;INDEX(Items!$P$5:$P$504,U238),"BELOW COST","OK")))),IF($D238="","","PRO PLAN"))</f>
        <v/>
      </c>
      <c r="U238" s="60" t="str">
        <f aca="false">IF(IsPro,IF($D238="","",IFERROR(MATCH($D238,Items!$A$5:$A$504,0),"")),"")</f>
        <v/>
      </c>
      <c r="V238" s="60" t="str">
        <f aca="false">IF(IsPro,IF($C238="","",IFERROR(MATCH($C238,Parties!$A$5:$A$304,0),"")),"")</f>
        <v/>
      </c>
      <c r="W238" s="60" t="str">
        <f aca="false">IF(IsPro,IF($B238="","",IFERROR(VALUE(SUBSTITUTE($B238,InvPrefix,"")),0)),"")</f>
        <v/>
      </c>
      <c r="X238" s="61" t="str">
        <f aca="false">IF(IsPro,IF($D238="","",IF(OR($H238="",$H238="Credit"),0,Q238)),"")</f>
        <v/>
      </c>
    </row>
    <row r="239" customFormat="false" ht="15" hidden="false" customHeight="false" outlineLevel="0" collapsed="false">
      <c r="A239" s="55"/>
      <c r="B239" s="56"/>
      <c r="C239" s="56"/>
      <c r="D239" s="56"/>
      <c r="E239" s="57"/>
      <c r="F239" s="58"/>
      <c r="G239" s="59"/>
      <c r="H239" s="56"/>
      <c r="I239" s="56"/>
      <c r="J239" s="60" t="str">
        <f aca="false">IF(IsPro,IF($D239="","",IFERROR(INDEX(Items!$D$5:$D$504,U239),"")),"")</f>
        <v/>
      </c>
      <c r="K239" s="61" t="str">
        <f aca="false">IF(IsPro,IF($D239="","",IF($F239="",IFERROR(INDEX(Items!$H$5:$H$504,U239),0),$F239)),"")</f>
        <v/>
      </c>
      <c r="L239" s="61" t="str">
        <f aca="false">IF(IsPro,IF($D239="","",ROUND(N($E239)*K239*(1-N($G239)),2)),"")</f>
        <v/>
      </c>
      <c r="M239" s="62" t="str">
        <f aca="false">IF(IsPro,IF($D239="","",IFERROR(INDEX(Items!$F$5:$F$504,U239),0)),"")</f>
        <v/>
      </c>
      <c r="N239" s="61" t="str">
        <f aca="false">IF(IsPro,IF($D239="","",IF(AND(V239&lt;&gt;"",INDEX(Parties!$E$5:$E$304,V239)&lt;&gt;"",INDEX(Parties!$E$5:$E$304,V239)&lt;&gt;HomeState),0,ROUND(L239*M239/2,2))),"")</f>
        <v/>
      </c>
      <c r="O239" s="61" t="str">
        <f aca="false">IF(IsPro,IF($D239="","",N239),"")</f>
        <v/>
      </c>
      <c r="P239" s="61" t="str">
        <f aca="false">IF(IsPro,IF($D239="","",IF(AND(V239&lt;&gt;"",INDEX(Parties!$E$5:$E$304,V239)&lt;&gt;"",INDEX(Parties!$E$5:$E$304,V239)&lt;&gt;HomeState),ROUND(L239*M239,2),0)),"")</f>
        <v/>
      </c>
      <c r="Q239" s="61" t="str">
        <f aca="false">IF(IsPro,IF($D239="","",L239+N239+O239+P239),"")</f>
        <v/>
      </c>
      <c r="R239" s="61" t="str">
        <f aca="false">IF(IsPro,IF($D239="","",ROUND(N($E239)*IFERROR(INDEX(Items!$P$5:$P$504,U239),0),2)),"")</f>
        <v/>
      </c>
      <c r="S239" s="61" t="str">
        <f aca="false">IF(IsPro,IF($D239="","",L239-R239),"")</f>
        <v/>
      </c>
      <c r="T239" s="60" t="str">
        <f aca="false">IF(IsPro,IF($D239="","",IF(U239="","UNKNOWN ITEM",IF(INDEX(Items!$O$5:$O$504,U239)&lt;0,"NEG STOCK",IF(K239&lt;INDEX(Items!$P$5:$P$504,U239),"BELOW COST","OK")))),IF($D239="","","PRO PLAN"))</f>
        <v/>
      </c>
      <c r="U239" s="60" t="str">
        <f aca="false">IF(IsPro,IF($D239="","",IFERROR(MATCH($D239,Items!$A$5:$A$504,0),"")),"")</f>
        <v/>
      </c>
      <c r="V239" s="60" t="str">
        <f aca="false">IF(IsPro,IF($C239="","",IFERROR(MATCH($C239,Parties!$A$5:$A$304,0),"")),"")</f>
        <v/>
      </c>
      <c r="W239" s="60" t="str">
        <f aca="false">IF(IsPro,IF($B239="","",IFERROR(VALUE(SUBSTITUTE($B239,InvPrefix,"")),0)),"")</f>
        <v/>
      </c>
      <c r="X239" s="61" t="str">
        <f aca="false">IF(IsPro,IF($D239="","",IF(OR($H239="",$H239="Credit"),0,Q239)),"")</f>
        <v/>
      </c>
    </row>
    <row r="240" customFormat="false" ht="15" hidden="false" customHeight="false" outlineLevel="0" collapsed="false">
      <c r="A240" s="55"/>
      <c r="B240" s="56"/>
      <c r="C240" s="56"/>
      <c r="D240" s="56"/>
      <c r="E240" s="57"/>
      <c r="F240" s="58"/>
      <c r="G240" s="59"/>
      <c r="H240" s="56"/>
      <c r="I240" s="56"/>
      <c r="J240" s="60" t="str">
        <f aca="false">IF(IsPro,IF($D240="","",IFERROR(INDEX(Items!$D$5:$D$504,U240),"")),"")</f>
        <v/>
      </c>
      <c r="K240" s="61" t="str">
        <f aca="false">IF(IsPro,IF($D240="","",IF($F240="",IFERROR(INDEX(Items!$H$5:$H$504,U240),0),$F240)),"")</f>
        <v/>
      </c>
      <c r="L240" s="61" t="str">
        <f aca="false">IF(IsPro,IF($D240="","",ROUND(N($E240)*K240*(1-N($G240)),2)),"")</f>
        <v/>
      </c>
      <c r="M240" s="62" t="str">
        <f aca="false">IF(IsPro,IF($D240="","",IFERROR(INDEX(Items!$F$5:$F$504,U240),0)),"")</f>
        <v/>
      </c>
      <c r="N240" s="61" t="str">
        <f aca="false">IF(IsPro,IF($D240="","",IF(AND(V240&lt;&gt;"",INDEX(Parties!$E$5:$E$304,V240)&lt;&gt;"",INDEX(Parties!$E$5:$E$304,V240)&lt;&gt;HomeState),0,ROUND(L240*M240/2,2))),"")</f>
        <v/>
      </c>
      <c r="O240" s="61" t="str">
        <f aca="false">IF(IsPro,IF($D240="","",N240),"")</f>
        <v/>
      </c>
      <c r="P240" s="61" t="str">
        <f aca="false">IF(IsPro,IF($D240="","",IF(AND(V240&lt;&gt;"",INDEX(Parties!$E$5:$E$304,V240)&lt;&gt;"",INDEX(Parties!$E$5:$E$304,V240)&lt;&gt;HomeState),ROUND(L240*M240,2),0)),"")</f>
        <v/>
      </c>
      <c r="Q240" s="61" t="str">
        <f aca="false">IF(IsPro,IF($D240="","",L240+N240+O240+P240),"")</f>
        <v/>
      </c>
      <c r="R240" s="61" t="str">
        <f aca="false">IF(IsPro,IF($D240="","",ROUND(N($E240)*IFERROR(INDEX(Items!$P$5:$P$504,U240),0),2)),"")</f>
        <v/>
      </c>
      <c r="S240" s="61" t="str">
        <f aca="false">IF(IsPro,IF($D240="","",L240-R240),"")</f>
        <v/>
      </c>
      <c r="T240" s="60" t="str">
        <f aca="false">IF(IsPro,IF($D240="","",IF(U240="","UNKNOWN ITEM",IF(INDEX(Items!$O$5:$O$504,U240)&lt;0,"NEG STOCK",IF(K240&lt;INDEX(Items!$P$5:$P$504,U240),"BELOW COST","OK")))),IF($D240="","","PRO PLAN"))</f>
        <v/>
      </c>
      <c r="U240" s="60" t="str">
        <f aca="false">IF(IsPro,IF($D240="","",IFERROR(MATCH($D240,Items!$A$5:$A$504,0),"")),"")</f>
        <v/>
      </c>
      <c r="V240" s="60" t="str">
        <f aca="false">IF(IsPro,IF($C240="","",IFERROR(MATCH($C240,Parties!$A$5:$A$304,0),"")),"")</f>
        <v/>
      </c>
      <c r="W240" s="60" t="str">
        <f aca="false">IF(IsPro,IF($B240="","",IFERROR(VALUE(SUBSTITUTE($B240,InvPrefix,"")),0)),"")</f>
        <v/>
      </c>
      <c r="X240" s="61" t="str">
        <f aca="false">IF(IsPro,IF($D240="","",IF(OR($H240="",$H240="Credit"),0,Q240)),"")</f>
        <v/>
      </c>
    </row>
    <row r="241" customFormat="false" ht="15" hidden="false" customHeight="false" outlineLevel="0" collapsed="false">
      <c r="A241" s="55"/>
      <c r="B241" s="56"/>
      <c r="C241" s="56"/>
      <c r="D241" s="56"/>
      <c r="E241" s="57"/>
      <c r="F241" s="58"/>
      <c r="G241" s="59"/>
      <c r="H241" s="56"/>
      <c r="I241" s="56"/>
      <c r="J241" s="60" t="str">
        <f aca="false">IF(IsPro,IF($D241="","",IFERROR(INDEX(Items!$D$5:$D$504,U241),"")),"")</f>
        <v/>
      </c>
      <c r="K241" s="61" t="str">
        <f aca="false">IF(IsPro,IF($D241="","",IF($F241="",IFERROR(INDEX(Items!$H$5:$H$504,U241),0),$F241)),"")</f>
        <v/>
      </c>
      <c r="L241" s="61" t="str">
        <f aca="false">IF(IsPro,IF($D241="","",ROUND(N($E241)*K241*(1-N($G241)),2)),"")</f>
        <v/>
      </c>
      <c r="M241" s="62" t="str">
        <f aca="false">IF(IsPro,IF($D241="","",IFERROR(INDEX(Items!$F$5:$F$504,U241),0)),"")</f>
        <v/>
      </c>
      <c r="N241" s="61" t="str">
        <f aca="false">IF(IsPro,IF($D241="","",IF(AND(V241&lt;&gt;"",INDEX(Parties!$E$5:$E$304,V241)&lt;&gt;"",INDEX(Parties!$E$5:$E$304,V241)&lt;&gt;HomeState),0,ROUND(L241*M241/2,2))),"")</f>
        <v/>
      </c>
      <c r="O241" s="61" t="str">
        <f aca="false">IF(IsPro,IF($D241="","",N241),"")</f>
        <v/>
      </c>
      <c r="P241" s="61" t="str">
        <f aca="false">IF(IsPro,IF($D241="","",IF(AND(V241&lt;&gt;"",INDEX(Parties!$E$5:$E$304,V241)&lt;&gt;"",INDEX(Parties!$E$5:$E$304,V241)&lt;&gt;HomeState),ROUND(L241*M241,2),0)),"")</f>
        <v/>
      </c>
      <c r="Q241" s="61" t="str">
        <f aca="false">IF(IsPro,IF($D241="","",L241+N241+O241+P241),"")</f>
        <v/>
      </c>
      <c r="R241" s="61" t="str">
        <f aca="false">IF(IsPro,IF($D241="","",ROUND(N($E241)*IFERROR(INDEX(Items!$P$5:$P$504,U241),0),2)),"")</f>
        <v/>
      </c>
      <c r="S241" s="61" t="str">
        <f aca="false">IF(IsPro,IF($D241="","",L241-R241),"")</f>
        <v/>
      </c>
      <c r="T241" s="60" t="str">
        <f aca="false">IF(IsPro,IF($D241="","",IF(U241="","UNKNOWN ITEM",IF(INDEX(Items!$O$5:$O$504,U241)&lt;0,"NEG STOCK",IF(K241&lt;INDEX(Items!$P$5:$P$504,U241),"BELOW COST","OK")))),IF($D241="","","PRO PLAN"))</f>
        <v/>
      </c>
      <c r="U241" s="60" t="str">
        <f aca="false">IF(IsPro,IF($D241="","",IFERROR(MATCH($D241,Items!$A$5:$A$504,0),"")),"")</f>
        <v/>
      </c>
      <c r="V241" s="60" t="str">
        <f aca="false">IF(IsPro,IF($C241="","",IFERROR(MATCH($C241,Parties!$A$5:$A$304,0),"")),"")</f>
        <v/>
      </c>
      <c r="W241" s="60" t="str">
        <f aca="false">IF(IsPro,IF($B241="","",IFERROR(VALUE(SUBSTITUTE($B241,InvPrefix,"")),0)),"")</f>
        <v/>
      </c>
      <c r="X241" s="61" t="str">
        <f aca="false">IF(IsPro,IF($D241="","",IF(OR($H241="",$H241="Credit"),0,Q241)),"")</f>
        <v/>
      </c>
    </row>
    <row r="242" customFormat="false" ht="15" hidden="false" customHeight="false" outlineLevel="0" collapsed="false">
      <c r="A242" s="55"/>
      <c r="B242" s="56"/>
      <c r="C242" s="56"/>
      <c r="D242" s="56"/>
      <c r="E242" s="57"/>
      <c r="F242" s="58"/>
      <c r="G242" s="59"/>
      <c r="H242" s="56"/>
      <c r="I242" s="56"/>
      <c r="J242" s="60" t="str">
        <f aca="false">IF(IsPro,IF($D242="","",IFERROR(INDEX(Items!$D$5:$D$504,U242),"")),"")</f>
        <v/>
      </c>
      <c r="K242" s="61" t="str">
        <f aca="false">IF(IsPro,IF($D242="","",IF($F242="",IFERROR(INDEX(Items!$H$5:$H$504,U242),0),$F242)),"")</f>
        <v/>
      </c>
      <c r="L242" s="61" t="str">
        <f aca="false">IF(IsPro,IF($D242="","",ROUND(N($E242)*K242*(1-N($G242)),2)),"")</f>
        <v/>
      </c>
      <c r="M242" s="62" t="str">
        <f aca="false">IF(IsPro,IF($D242="","",IFERROR(INDEX(Items!$F$5:$F$504,U242),0)),"")</f>
        <v/>
      </c>
      <c r="N242" s="61" t="str">
        <f aca="false">IF(IsPro,IF($D242="","",IF(AND(V242&lt;&gt;"",INDEX(Parties!$E$5:$E$304,V242)&lt;&gt;"",INDEX(Parties!$E$5:$E$304,V242)&lt;&gt;HomeState),0,ROUND(L242*M242/2,2))),"")</f>
        <v/>
      </c>
      <c r="O242" s="61" t="str">
        <f aca="false">IF(IsPro,IF($D242="","",N242),"")</f>
        <v/>
      </c>
      <c r="P242" s="61" t="str">
        <f aca="false">IF(IsPro,IF($D242="","",IF(AND(V242&lt;&gt;"",INDEX(Parties!$E$5:$E$304,V242)&lt;&gt;"",INDEX(Parties!$E$5:$E$304,V242)&lt;&gt;HomeState),ROUND(L242*M242,2),0)),"")</f>
        <v/>
      </c>
      <c r="Q242" s="61" t="str">
        <f aca="false">IF(IsPro,IF($D242="","",L242+N242+O242+P242),"")</f>
        <v/>
      </c>
      <c r="R242" s="61" t="str">
        <f aca="false">IF(IsPro,IF($D242="","",ROUND(N($E242)*IFERROR(INDEX(Items!$P$5:$P$504,U242),0),2)),"")</f>
        <v/>
      </c>
      <c r="S242" s="61" t="str">
        <f aca="false">IF(IsPro,IF($D242="","",L242-R242),"")</f>
        <v/>
      </c>
      <c r="T242" s="60" t="str">
        <f aca="false">IF(IsPro,IF($D242="","",IF(U242="","UNKNOWN ITEM",IF(INDEX(Items!$O$5:$O$504,U242)&lt;0,"NEG STOCK",IF(K242&lt;INDEX(Items!$P$5:$P$504,U242),"BELOW COST","OK")))),IF($D242="","","PRO PLAN"))</f>
        <v/>
      </c>
      <c r="U242" s="60" t="str">
        <f aca="false">IF(IsPro,IF($D242="","",IFERROR(MATCH($D242,Items!$A$5:$A$504,0),"")),"")</f>
        <v/>
      </c>
      <c r="V242" s="60" t="str">
        <f aca="false">IF(IsPro,IF($C242="","",IFERROR(MATCH($C242,Parties!$A$5:$A$304,0),"")),"")</f>
        <v/>
      </c>
      <c r="W242" s="60" t="str">
        <f aca="false">IF(IsPro,IF($B242="","",IFERROR(VALUE(SUBSTITUTE($B242,InvPrefix,"")),0)),"")</f>
        <v/>
      </c>
      <c r="X242" s="61" t="str">
        <f aca="false">IF(IsPro,IF($D242="","",IF(OR($H242="",$H242="Credit"),0,Q242)),"")</f>
        <v/>
      </c>
    </row>
    <row r="243" customFormat="false" ht="15" hidden="false" customHeight="false" outlineLevel="0" collapsed="false">
      <c r="A243" s="55"/>
      <c r="B243" s="56"/>
      <c r="C243" s="56"/>
      <c r="D243" s="56"/>
      <c r="E243" s="57"/>
      <c r="F243" s="58"/>
      <c r="G243" s="59"/>
      <c r="H243" s="56"/>
      <c r="I243" s="56"/>
      <c r="J243" s="60" t="str">
        <f aca="false">IF(IsPro,IF($D243="","",IFERROR(INDEX(Items!$D$5:$D$504,U243),"")),"")</f>
        <v/>
      </c>
      <c r="K243" s="61" t="str">
        <f aca="false">IF(IsPro,IF($D243="","",IF($F243="",IFERROR(INDEX(Items!$H$5:$H$504,U243),0),$F243)),"")</f>
        <v/>
      </c>
      <c r="L243" s="61" t="str">
        <f aca="false">IF(IsPro,IF($D243="","",ROUND(N($E243)*K243*(1-N($G243)),2)),"")</f>
        <v/>
      </c>
      <c r="M243" s="62" t="str">
        <f aca="false">IF(IsPro,IF($D243="","",IFERROR(INDEX(Items!$F$5:$F$504,U243),0)),"")</f>
        <v/>
      </c>
      <c r="N243" s="61" t="str">
        <f aca="false">IF(IsPro,IF($D243="","",IF(AND(V243&lt;&gt;"",INDEX(Parties!$E$5:$E$304,V243)&lt;&gt;"",INDEX(Parties!$E$5:$E$304,V243)&lt;&gt;HomeState),0,ROUND(L243*M243/2,2))),"")</f>
        <v/>
      </c>
      <c r="O243" s="61" t="str">
        <f aca="false">IF(IsPro,IF($D243="","",N243),"")</f>
        <v/>
      </c>
      <c r="P243" s="61" t="str">
        <f aca="false">IF(IsPro,IF($D243="","",IF(AND(V243&lt;&gt;"",INDEX(Parties!$E$5:$E$304,V243)&lt;&gt;"",INDEX(Parties!$E$5:$E$304,V243)&lt;&gt;HomeState),ROUND(L243*M243,2),0)),"")</f>
        <v/>
      </c>
      <c r="Q243" s="61" t="str">
        <f aca="false">IF(IsPro,IF($D243="","",L243+N243+O243+P243),"")</f>
        <v/>
      </c>
      <c r="R243" s="61" t="str">
        <f aca="false">IF(IsPro,IF($D243="","",ROUND(N($E243)*IFERROR(INDEX(Items!$P$5:$P$504,U243),0),2)),"")</f>
        <v/>
      </c>
      <c r="S243" s="61" t="str">
        <f aca="false">IF(IsPro,IF($D243="","",L243-R243),"")</f>
        <v/>
      </c>
      <c r="T243" s="60" t="str">
        <f aca="false">IF(IsPro,IF($D243="","",IF(U243="","UNKNOWN ITEM",IF(INDEX(Items!$O$5:$O$504,U243)&lt;0,"NEG STOCK",IF(K243&lt;INDEX(Items!$P$5:$P$504,U243),"BELOW COST","OK")))),IF($D243="","","PRO PLAN"))</f>
        <v/>
      </c>
      <c r="U243" s="60" t="str">
        <f aca="false">IF(IsPro,IF($D243="","",IFERROR(MATCH($D243,Items!$A$5:$A$504,0),"")),"")</f>
        <v/>
      </c>
      <c r="V243" s="60" t="str">
        <f aca="false">IF(IsPro,IF($C243="","",IFERROR(MATCH($C243,Parties!$A$5:$A$304,0),"")),"")</f>
        <v/>
      </c>
      <c r="W243" s="60" t="str">
        <f aca="false">IF(IsPro,IF($B243="","",IFERROR(VALUE(SUBSTITUTE($B243,InvPrefix,"")),0)),"")</f>
        <v/>
      </c>
      <c r="X243" s="61" t="str">
        <f aca="false">IF(IsPro,IF($D243="","",IF(OR($H243="",$H243="Credit"),0,Q243)),"")</f>
        <v/>
      </c>
    </row>
    <row r="244" customFormat="false" ht="15" hidden="false" customHeight="false" outlineLevel="0" collapsed="false">
      <c r="A244" s="55"/>
      <c r="B244" s="56"/>
      <c r="C244" s="56"/>
      <c r="D244" s="56"/>
      <c r="E244" s="57"/>
      <c r="F244" s="58"/>
      <c r="G244" s="59"/>
      <c r="H244" s="56"/>
      <c r="I244" s="56"/>
      <c r="J244" s="60" t="str">
        <f aca="false">IF(IsPro,IF($D244="","",IFERROR(INDEX(Items!$D$5:$D$504,U244),"")),"")</f>
        <v/>
      </c>
      <c r="K244" s="61" t="str">
        <f aca="false">IF(IsPro,IF($D244="","",IF($F244="",IFERROR(INDEX(Items!$H$5:$H$504,U244),0),$F244)),"")</f>
        <v/>
      </c>
      <c r="L244" s="61" t="str">
        <f aca="false">IF(IsPro,IF($D244="","",ROUND(N($E244)*K244*(1-N($G244)),2)),"")</f>
        <v/>
      </c>
      <c r="M244" s="62" t="str">
        <f aca="false">IF(IsPro,IF($D244="","",IFERROR(INDEX(Items!$F$5:$F$504,U244),0)),"")</f>
        <v/>
      </c>
      <c r="N244" s="61" t="str">
        <f aca="false">IF(IsPro,IF($D244="","",IF(AND(V244&lt;&gt;"",INDEX(Parties!$E$5:$E$304,V244)&lt;&gt;"",INDEX(Parties!$E$5:$E$304,V244)&lt;&gt;HomeState),0,ROUND(L244*M244/2,2))),"")</f>
        <v/>
      </c>
      <c r="O244" s="61" t="str">
        <f aca="false">IF(IsPro,IF($D244="","",N244),"")</f>
        <v/>
      </c>
      <c r="P244" s="61" t="str">
        <f aca="false">IF(IsPro,IF($D244="","",IF(AND(V244&lt;&gt;"",INDEX(Parties!$E$5:$E$304,V244)&lt;&gt;"",INDEX(Parties!$E$5:$E$304,V244)&lt;&gt;HomeState),ROUND(L244*M244,2),0)),"")</f>
        <v/>
      </c>
      <c r="Q244" s="61" t="str">
        <f aca="false">IF(IsPro,IF($D244="","",L244+N244+O244+P244),"")</f>
        <v/>
      </c>
      <c r="R244" s="61" t="str">
        <f aca="false">IF(IsPro,IF($D244="","",ROUND(N($E244)*IFERROR(INDEX(Items!$P$5:$P$504,U244),0),2)),"")</f>
        <v/>
      </c>
      <c r="S244" s="61" t="str">
        <f aca="false">IF(IsPro,IF($D244="","",L244-R244),"")</f>
        <v/>
      </c>
      <c r="T244" s="60" t="str">
        <f aca="false">IF(IsPro,IF($D244="","",IF(U244="","UNKNOWN ITEM",IF(INDEX(Items!$O$5:$O$504,U244)&lt;0,"NEG STOCK",IF(K244&lt;INDEX(Items!$P$5:$P$504,U244),"BELOW COST","OK")))),IF($D244="","","PRO PLAN"))</f>
        <v/>
      </c>
      <c r="U244" s="60" t="str">
        <f aca="false">IF(IsPro,IF($D244="","",IFERROR(MATCH($D244,Items!$A$5:$A$504,0),"")),"")</f>
        <v/>
      </c>
      <c r="V244" s="60" t="str">
        <f aca="false">IF(IsPro,IF($C244="","",IFERROR(MATCH($C244,Parties!$A$5:$A$304,0),"")),"")</f>
        <v/>
      </c>
      <c r="W244" s="60" t="str">
        <f aca="false">IF(IsPro,IF($B244="","",IFERROR(VALUE(SUBSTITUTE($B244,InvPrefix,"")),0)),"")</f>
        <v/>
      </c>
      <c r="X244" s="61" t="str">
        <f aca="false">IF(IsPro,IF($D244="","",IF(OR($H244="",$H244="Credit"),0,Q244)),"")</f>
        <v/>
      </c>
    </row>
    <row r="245" customFormat="false" ht="15" hidden="false" customHeight="false" outlineLevel="0" collapsed="false">
      <c r="A245" s="55"/>
      <c r="B245" s="56"/>
      <c r="C245" s="56"/>
      <c r="D245" s="56"/>
      <c r="E245" s="57"/>
      <c r="F245" s="58"/>
      <c r="G245" s="59"/>
      <c r="H245" s="56"/>
      <c r="I245" s="56"/>
      <c r="J245" s="60" t="str">
        <f aca="false">IF(IsPro,IF($D245="","",IFERROR(INDEX(Items!$D$5:$D$504,U245),"")),"")</f>
        <v/>
      </c>
      <c r="K245" s="61" t="str">
        <f aca="false">IF(IsPro,IF($D245="","",IF($F245="",IFERROR(INDEX(Items!$H$5:$H$504,U245),0),$F245)),"")</f>
        <v/>
      </c>
      <c r="L245" s="61" t="str">
        <f aca="false">IF(IsPro,IF($D245="","",ROUND(N($E245)*K245*(1-N($G245)),2)),"")</f>
        <v/>
      </c>
      <c r="M245" s="62" t="str">
        <f aca="false">IF(IsPro,IF($D245="","",IFERROR(INDEX(Items!$F$5:$F$504,U245),0)),"")</f>
        <v/>
      </c>
      <c r="N245" s="61" t="str">
        <f aca="false">IF(IsPro,IF($D245="","",IF(AND(V245&lt;&gt;"",INDEX(Parties!$E$5:$E$304,V245)&lt;&gt;"",INDEX(Parties!$E$5:$E$304,V245)&lt;&gt;HomeState),0,ROUND(L245*M245/2,2))),"")</f>
        <v/>
      </c>
      <c r="O245" s="61" t="str">
        <f aca="false">IF(IsPro,IF($D245="","",N245),"")</f>
        <v/>
      </c>
      <c r="P245" s="61" t="str">
        <f aca="false">IF(IsPro,IF($D245="","",IF(AND(V245&lt;&gt;"",INDEX(Parties!$E$5:$E$304,V245)&lt;&gt;"",INDEX(Parties!$E$5:$E$304,V245)&lt;&gt;HomeState),ROUND(L245*M245,2),0)),"")</f>
        <v/>
      </c>
      <c r="Q245" s="61" t="str">
        <f aca="false">IF(IsPro,IF($D245="","",L245+N245+O245+P245),"")</f>
        <v/>
      </c>
      <c r="R245" s="61" t="str">
        <f aca="false">IF(IsPro,IF($D245="","",ROUND(N($E245)*IFERROR(INDEX(Items!$P$5:$P$504,U245),0),2)),"")</f>
        <v/>
      </c>
      <c r="S245" s="61" t="str">
        <f aca="false">IF(IsPro,IF($D245="","",L245-R245),"")</f>
        <v/>
      </c>
      <c r="T245" s="60" t="str">
        <f aca="false">IF(IsPro,IF($D245="","",IF(U245="","UNKNOWN ITEM",IF(INDEX(Items!$O$5:$O$504,U245)&lt;0,"NEG STOCK",IF(K245&lt;INDEX(Items!$P$5:$P$504,U245),"BELOW COST","OK")))),IF($D245="","","PRO PLAN"))</f>
        <v/>
      </c>
      <c r="U245" s="60" t="str">
        <f aca="false">IF(IsPro,IF($D245="","",IFERROR(MATCH($D245,Items!$A$5:$A$504,0),"")),"")</f>
        <v/>
      </c>
      <c r="V245" s="60" t="str">
        <f aca="false">IF(IsPro,IF($C245="","",IFERROR(MATCH($C245,Parties!$A$5:$A$304,0),"")),"")</f>
        <v/>
      </c>
      <c r="W245" s="60" t="str">
        <f aca="false">IF(IsPro,IF($B245="","",IFERROR(VALUE(SUBSTITUTE($B245,InvPrefix,"")),0)),"")</f>
        <v/>
      </c>
      <c r="X245" s="61" t="str">
        <f aca="false">IF(IsPro,IF($D245="","",IF(OR($H245="",$H245="Credit"),0,Q245)),"")</f>
        <v/>
      </c>
    </row>
    <row r="246" customFormat="false" ht="15" hidden="false" customHeight="false" outlineLevel="0" collapsed="false">
      <c r="A246" s="55"/>
      <c r="B246" s="56"/>
      <c r="C246" s="56"/>
      <c r="D246" s="56"/>
      <c r="E246" s="57"/>
      <c r="F246" s="58"/>
      <c r="G246" s="59"/>
      <c r="H246" s="56"/>
      <c r="I246" s="56"/>
      <c r="J246" s="60" t="str">
        <f aca="false">IF(IsPro,IF($D246="","",IFERROR(INDEX(Items!$D$5:$D$504,U246),"")),"")</f>
        <v/>
      </c>
      <c r="K246" s="61" t="str">
        <f aca="false">IF(IsPro,IF($D246="","",IF($F246="",IFERROR(INDEX(Items!$H$5:$H$504,U246),0),$F246)),"")</f>
        <v/>
      </c>
      <c r="L246" s="61" t="str">
        <f aca="false">IF(IsPro,IF($D246="","",ROUND(N($E246)*K246*(1-N($G246)),2)),"")</f>
        <v/>
      </c>
      <c r="M246" s="62" t="str">
        <f aca="false">IF(IsPro,IF($D246="","",IFERROR(INDEX(Items!$F$5:$F$504,U246),0)),"")</f>
        <v/>
      </c>
      <c r="N246" s="61" t="str">
        <f aca="false">IF(IsPro,IF($D246="","",IF(AND(V246&lt;&gt;"",INDEX(Parties!$E$5:$E$304,V246)&lt;&gt;"",INDEX(Parties!$E$5:$E$304,V246)&lt;&gt;HomeState),0,ROUND(L246*M246/2,2))),"")</f>
        <v/>
      </c>
      <c r="O246" s="61" t="str">
        <f aca="false">IF(IsPro,IF($D246="","",N246),"")</f>
        <v/>
      </c>
      <c r="P246" s="61" t="str">
        <f aca="false">IF(IsPro,IF($D246="","",IF(AND(V246&lt;&gt;"",INDEX(Parties!$E$5:$E$304,V246)&lt;&gt;"",INDEX(Parties!$E$5:$E$304,V246)&lt;&gt;HomeState),ROUND(L246*M246,2),0)),"")</f>
        <v/>
      </c>
      <c r="Q246" s="61" t="str">
        <f aca="false">IF(IsPro,IF($D246="","",L246+N246+O246+P246),"")</f>
        <v/>
      </c>
      <c r="R246" s="61" t="str">
        <f aca="false">IF(IsPro,IF($D246="","",ROUND(N($E246)*IFERROR(INDEX(Items!$P$5:$P$504,U246),0),2)),"")</f>
        <v/>
      </c>
      <c r="S246" s="61" t="str">
        <f aca="false">IF(IsPro,IF($D246="","",L246-R246),"")</f>
        <v/>
      </c>
      <c r="T246" s="60" t="str">
        <f aca="false">IF(IsPro,IF($D246="","",IF(U246="","UNKNOWN ITEM",IF(INDEX(Items!$O$5:$O$504,U246)&lt;0,"NEG STOCK",IF(K246&lt;INDEX(Items!$P$5:$P$504,U246),"BELOW COST","OK")))),IF($D246="","","PRO PLAN"))</f>
        <v/>
      </c>
      <c r="U246" s="60" t="str">
        <f aca="false">IF(IsPro,IF($D246="","",IFERROR(MATCH($D246,Items!$A$5:$A$504,0),"")),"")</f>
        <v/>
      </c>
      <c r="V246" s="60" t="str">
        <f aca="false">IF(IsPro,IF($C246="","",IFERROR(MATCH($C246,Parties!$A$5:$A$304,0),"")),"")</f>
        <v/>
      </c>
      <c r="W246" s="60" t="str">
        <f aca="false">IF(IsPro,IF($B246="","",IFERROR(VALUE(SUBSTITUTE($B246,InvPrefix,"")),0)),"")</f>
        <v/>
      </c>
      <c r="X246" s="61" t="str">
        <f aca="false">IF(IsPro,IF($D246="","",IF(OR($H246="",$H246="Credit"),0,Q246)),"")</f>
        <v/>
      </c>
    </row>
    <row r="247" customFormat="false" ht="15" hidden="false" customHeight="false" outlineLevel="0" collapsed="false">
      <c r="A247" s="55"/>
      <c r="B247" s="56"/>
      <c r="C247" s="56"/>
      <c r="D247" s="56"/>
      <c r="E247" s="57"/>
      <c r="F247" s="58"/>
      <c r="G247" s="59"/>
      <c r="H247" s="56"/>
      <c r="I247" s="56"/>
      <c r="J247" s="60" t="str">
        <f aca="false">IF(IsPro,IF($D247="","",IFERROR(INDEX(Items!$D$5:$D$504,U247),"")),"")</f>
        <v/>
      </c>
      <c r="K247" s="61" t="str">
        <f aca="false">IF(IsPro,IF($D247="","",IF($F247="",IFERROR(INDEX(Items!$H$5:$H$504,U247),0),$F247)),"")</f>
        <v/>
      </c>
      <c r="L247" s="61" t="str">
        <f aca="false">IF(IsPro,IF($D247="","",ROUND(N($E247)*K247*(1-N($G247)),2)),"")</f>
        <v/>
      </c>
      <c r="M247" s="62" t="str">
        <f aca="false">IF(IsPro,IF($D247="","",IFERROR(INDEX(Items!$F$5:$F$504,U247),0)),"")</f>
        <v/>
      </c>
      <c r="N247" s="61" t="str">
        <f aca="false">IF(IsPro,IF($D247="","",IF(AND(V247&lt;&gt;"",INDEX(Parties!$E$5:$E$304,V247)&lt;&gt;"",INDEX(Parties!$E$5:$E$304,V247)&lt;&gt;HomeState),0,ROUND(L247*M247/2,2))),"")</f>
        <v/>
      </c>
      <c r="O247" s="61" t="str">
        <f aca="false">IF(IsPro,IF($D247="","",N247),"")</f>
        <v/>
      </c>
      <c r="P247" s="61" t="str">
        <f aca="false">IF(IsPro,IF($D247="","",IF(AND(V247&lt;&gt;"",INDEX(Parties!$E$5:$E$304,V247)&lt;&gt;"",INDEX(Parties!$E$5:$E$304,V247)&lt;&gt;HomeState),ROUND(L247*M247,2),0)),"")</f>
        <v/>
      </c>
      <c r="Q247" s="61" t="str">
        <f aca="false">IF(IsPro,IF($D247="","",L247+N247+O247+P247),"")</f>
        <v/>
      </c>
      <c r="R247" s="61" t="str">
        <f aca="false">IF(IsPro,IF($D247="","",ROUND(N($E247)*IFERROR(INDEX(Items!$P$5:$P$504,U247),0),2)),"")</f>
        <v/>
      </c>
      <c r="S247" s="61" t="str">
        <f aca="false">IF(IsPro,IF($D247="","",L247-R247),"")</f>
        <v/>
      </c>
      <c r="T247" s="60" t="str">
        <f aca="false">IF(IsPro,IF($D247="","",IF(U247="","UNKNOWN ITEM",IF(INDEX(Items!$O$5:$O$504,U247)&lt;0,"NEG STOCK",IF(K247&lt;INDEX(Items!$P$5:$P$504,U247),"BELOW COST","OK")))),IF($D247="","","PRO PLAN"))</f>
        <v/>
      </c>
      <c r="U247" s="60" t="str">
        <f aca="false">IF(IsPro,IF($D247="","",IFERROR(MATCH($D247,Items!$A$5:$A$504,0),"")),"")</f>
        <v/>
      </c>
      <c r="V247" s="60" t="str">
        <f aca="false">IF(IsPro,IF($C247="","",IFERROR(MATCH($C247,Parties!$A$5:$A$304,0),"")),"")</f>
        <v/>
      </c>
      <c r="W247" s="60" t="str">
        <f aca="false">IF(IsPro,IF($B247="","",IFERROR(VALUE(SUBSTITUTE($B247,InvPrefix,"")),0)),"")</f>
        <v/>
      </c>
      <c r="X247" s="61" t="str">
        <f aca="false">IF(IsPro,IF($D247="","",IF(OR($H247="",$H247="Credit"),0,Q247)),"")</f>
        <v/>
      </c>
    </row>
    <row r="248" customFormat="false" ht="15" hidden="false" customHeight="false" outlineLevel="0" collapsed="false">
      <c r="A248" s="55"/>
      <c r="B248" s="56"/>
      <c r="C248" s="56"/>
      <c r="D248" s="56"/>
      <c r="E248" s="57"/>
      <c r="F248" s="58"/>
      <c r="G248" s="59"/>
      <c r="H248" s="56"/>
      <c r="I248" s="56"/>
      <c r="J248" s="60" t="str">
        <f aca="false">IF(IsPro,IF($D248="","",IFERROR(INDEX(Items!$D$5:$D$504,U248),"")),"")</f>
        <v/>
      </c>
      <c r="K248" s="61" t="str">
        <f aca="false">IF(IsPro,IF($D248="","",IF($F248="",IFERROR(INDEX(Items!$H$5:$H$504,U248),0),$F248)),"")</f>
        <v/>
      </c>
      <c r="L248" s="61" t="str">
        <f aca="false">IF(IsPro,IF($D248="","",ROUND(N($E248)*K248*(1-N($G248)),2)),"")</f>
        <v/>
      </c>
      <c r="M248" s="62" t="str">
        <f aca="false">IF(IsPro,IF($D248="","",IFERROR(INDEX(Items!$F$5:$F$504,U248),0)),"")</f>
        <v/>
      </c>
      <c r="N248" s="61" t="str">
        <f aca="false">IF(IsPro,IF($D248="","",IF(AND(V248&lt;&gt;"",INDEX(Parties!$E$5:$E$304,V248)&lt;&gt;"",INDEX(Parties!$E$5:$E$304,V248)&lt;&gt;HomeState),0,ROUND(L248*M248/2,2))),"")</f>
        <v/>
      </c>
      <c r="O248" s="61" t="str">
        <f aca="false">IF(IsPro,IF($D248="","",N248),"")</f>
        <v/>
      </c>
      <c r="P248" s="61" t="str">
        <f aca="false">IF(IsPro,IF($D248="","",IF(AND(V248&lt;&gt;"",INDEX(Parties!$E$5:$E$304,V248)&lt;&gt;"",INDEX(Parties!$E$5:$E$304,V248)&lt;&gt;HomeState),ROUND(L248*M248,2),0)),"")</f>
        <v/>
      </c>
      <c r="Q248" s="61" t="str">
        <f aca="false">IF(IsPro,IF($D248="","",L248+N248+O248+P248),"")</f>
        <v/>
      </c>
      <c r="R248" s="61" t="str">
        <f aca="false">IF(IsPro,IF($D248="","",ROUND(N($E248)*IFERROR(INDEX(Items!$P$5:$P$504,U248),0),2)),"")</f>
        <v/>
      </c>
      <c r="S248" s="61" t="str">
        <f aca="false">IF(IsPro,IF($D248="","",L248-R248),"")</f>
        <v/>
      </c>
      <c r="T248" s="60" t="str">
        <f aca="false">IF(IsPro,IF($D248="","",IF(U248="","UNKNOWN ITEM",IF(INDEX(Items!$O$5:$O$504,U248)&lt;0,"NEG STOCK",IF(K248&lt;INDEX(Items!$P$5:$P$504,U248),"BELOW COST","OK")))),IF($D248="","","PRO PLAN"))</f>
        <v/>
      </c>
      <c r="U248" s="60" t="str">
        <f aca="false">IF(IsPro,IF($D248="","",IFERROR(MATCH($D248,Items!$A$5:$A$504,0),"")),"")</f>
        <v/>
      </c>
      <c r="V248" s="60" t="str">
        <f aca="false">IF(IsPro,IF($C248="","",IFERROR(MATCH($C248,Parties!$A$5:$A$304,0),"")),"")</f>
        <v/>
      </c>
      <c r="W248" s="60" t="str">
        <f aca="false">IF(IsPro,IF($B248="","",IFERROR(VALUE(SUBSTITUTE($B248,InvPrefix,"")),0)),"")</f>
        <v/>
      </c>
      <c r="X248" s="61" t="str">
        <f aca="false">IF(IsPro,IF($D248="","",IF(OR($H248="",$H248="Credit"),0,Q248)),"")</f>
        <v/>
      </c>
    </row>
    <row r="249" customFormat="false" ht="15" hidden="false" customHeight="false" outlineLevel="0" collapsed="false">
      <c r="A249" s="55"/>
      <c r="B249" s="56"/>
      <c r="C249" s="56"/>
      <c r="D249" s="56"/>
      <c r="E249" s="57"/>
      <c r="F249" s="58"/>
      <c r="G249" s="59"/>
      <c r="H249" s="56"/>
      <c r="I249" s="56"/>
      <c r="J249" s="60" t="str">
        <f aca="false">IF(IsPro,IF($D249="","",IFERROR(INDEX(Items!$D$5:$D$504,U249),"")),"")</f>
        <v/>
      </c>
      <c r="K249" s="61" t="str">
        <f aca="false">IF(IsPro,IF($D249="","",IF($F249="",IFERROR(INDEX(Items!$H$5:$H$504,U249),0),$F249)),"")</f>
        <v/>
      </c>
      <c r="L249" s="61" t="str">
        <f aca="false">IF(IsPro,IF($D249="","",ROUND(N($E249)*K249*(1-N($G249)),2)),"")</f>
        <v/>
      </c>
      <c r="M249" s="62" t="str">
        <f aca="false">IF(IsPro,IF($D249="","",IFERROR(INDEX(Items!$F$5:$F$504,U249),0)),"")</f>
        <v/>
      </c>
      <c r="N249" s="61" t="str">
        <f aca="false">IF(IsPro,IF($D249="","",IF(AND(V249&lt;&gt;"",INDEX(Parties!$E$5:$E$304,V249)&lt;&gt;"",INDEX(Parties!$E$5:$E$304,V249)&lt;&gt;HomeState),0,ROUND(L249*M249/2,2))),"")</f>
        <v/>
      </c>
      <c r="O249" s="61" t="str">
        <f aca="false">IF(IsPro,IF($D249="","",N249),"")</f>
        <v/>
      </c>
      <c r="P249" s="61" t="str">
        <f aca="false">IF(IsPro,IF($D249="","",IF(AND(V249&lt;&gt;"",INDEX(Parties!$E$5:$E$304,V249)&lt;&gt;"",INDEX(Parties!$E$5:$E$304,V249)&lt;&gt;HomeState),ROUND(L249*M249,2),0)),"")</f>
        <v/>
      </c>
      <c r="Q249" s="61" t="str">
        <f aca="false">IF(IsPro,IF($D249="","",L249+N249+O249+P249),"")</f>
        <v/>
      </c>
      <c r="R249" s="61" t="str">
        <f aca="false">IF(IsPro,IF($D249="","",ROUND(N($E249)*IFERROR(INDEX(Items!$P$5:$P$504,U249),0),2)),"")</f>
        <v/>
      </c>
      <c r="S249" s="61" t="str">
        <f aca="false">IF(IsPro,IF($D249="","",L249-R249),"")</f>
        <v/>
      </c>
      <c r="T249" s="60" t="str">
        <f aca="false">IF(IsPro,IF($D249="","",IF(U249="","UNKNOWN ITEM",IF(INDEX(Items!$O$5:$O$504,U249)&lt;0,"NEG STOCK",IF(K249&lt;INDEX(Items!$P$5:$P$504,U249),"BELOW COST","OK")))),IF($D249="","","PRO PLAN"))</f>
        <v/>
      </c>
      <c r="U249" s="60" t="str">
        <f aca="false">IF(IsPro,IF($D249="","",IFERROR(MATCH($D249,Items!$A$5:$A$504,0),"")),"")</f>
        <v/>
      </c>
      <c r="V249" s="60" t="str">
        <f aca="false">IF(IsPro,IF($C249="","",IFERROR(MATCH($C249,Parties!$A$5:$A$304,0),"")),"")</f>
        <v/>
      </c>
      <c r="W249" s="60" t="str">
        <f aca="false">IF(IsPro,IF($B249="","",IFERROR(VALUE(SUBSTITUTE($B249,InvPrefix,"")),0)),"")</f>
        <v/>
      </c>
      <c r="X249" s="61" t="str">
        <f aca="false">IF(IsPro,IF($D249="","",IF(OR($H249="",$H249="Credit"),0,Q249)),"")</f>
        <v/>
      </c>
    </row>
    <row r="250" customFormat="false" ht="15" hidden="false" customHeight="false" outlineLevel="0" collapsed="false">
      <c r="A250" s="55"/>
      <c r="B250" s="56"/>
      <c r="C250" s="56"/>
      <c r="D250" s="56"/>
      <c r="E250" s="57"/>
      <c r="F250" s="58"/>
      <c r="G250" s="59"/>
      <c r="H250" s="56"/>
      <c r="I250" s="56"/>
      <c r="J250" s="60" t="str">
        <f aca="false">IF(IsPro,IF($D250="","",IFERROR(INDEX(Items!$D$5:$D$504,U250),"")),"")</f>
        <v/>
      </c>
      <c r="K250" s="61" t="str">
        <f aca="false">IF(IsPro,IF($D250="","",IF($F250="",IFERROR(INDEX(Items!$H$5:$H$504,U250),0),$F250)),"")</f>
        <v/>
      </c>
      <c r="L250" s="61" t="str">
        <f aca="false">IF(IsPro,IF($D250="","",ROUND(N($E250)*K250*(1-N($G250)),2)),"")</f>
        <v/>
      </c>
      <c r="M250" s="62" t="str">
        <f aca="false">IF(IsPro,IF($D250="","",IFERROR(INDEX(Items!$F$5:$F$504,U250),0)),"")</f>
        <v/>
      </c>
      <c r="N250" s="61" t="str">
        <f aca="false">IF(IsPro,IF($D250="","",IF(AND(V250&lt;&gt;"",INDEX(Parties!$E$5:$E$304,V250)&lt;&gt;"",INDEX(Parties!$E$5:$E$304,V250)&lt;&gt;HomeState),0,ROUND(L250*M250/2,2))),"")</f>
        <v/>
      </c>
      <c r="O250" s="61" t="str">
        <f aca="false">IF(IsPro,IF($D250="","",N250),"")</f>
        <v/>
      </c>
      <c r="P250" s="61" t="str">
        <f aca="false">IF(IsPro,IF($D250="","",IF(AND(V250&lt;&gt;"",INDEX(Parties!$E$5:$E$304,V250)&lt;&gt;"",INDEX(Parties!$E$5:$E$304,V250)&lt;&gt;HomeState),ROUND(L250*M250,2),0)),"")</f>
        <v/>
      </c>
      <c r="Q250" s="61" t="str">
        <f aca="false">IF(IsPro,IF($D250="","",L250+N250+O250+P250),"")</f>
        <v/>
      </c>
      <c r="R250" s="61" t="str">
        <f aca="false">IF(IsPro,IF($D250="","",ROUND(N($E250)*IFERROR(INDEX(Items!$P$5:$P$504,U250),0),2)),"")</f>
        <v/>
      </c>
      <c r="S250" s="61" t="str">
        <f aca="false">IF(IsPro,IF($D250="","",L250-R250),"")</f>
        <v/>
      </c>
      <c r="T250" s="60" t="str">
        <f aca="false">IF(IsPro,IF($D250="","",IF(U250="","UNKNOWN ITEM",IF(INDEX(Items!$O$5:$O$504,U250)&lt;0,"NEG STOCK",IF(K250&lt;INDEX(Items!$P$5:$P$504,U250),"BELOW COST","OK")))),IF($D250="","","PRO PLAN"))</f>
        <v/>
      </c>
      <c r="U250" s="60" t="str">
        <f aca="false">IF(IsPro,IF($D250="","",IFERROR(MATCH($D250,Items!$A$5:$A$504,0),"")),"")</f>
        <v/>
      </c>
      <c r="V250" s="60" t="str">
        <f aca="false">IF(IsPro,IF($C250="","",IFERROR(MATCH($C250,Parties!$A$5:$A$304,0),"")),"")</f>
        <v/>
      </c>
      <c r="W250" s="60" t="str">
        <f aca="false">IF(IsPro,IF($B250="","",IFERROR(VALUE(SUBSTITUTE($B250,InvPrefix,"")),0)),"")</f>
        <v/>
      </c>
      <c r="X250" s="61" t="str">
        <f aca="false">IF(IsPro,IF($D250="","",IF(OR($H250="",$H250="Credit"),0,Q250)),"")</f>
        <v/>
      </c>
    </row>
    <row r="251" customFormat="false" ht="15" hidden="false" customHeight="false" outlineLevel="0" collapsed="false">
      <c r="A251" s="55"/>
      <c r="B251" s="56"/>
      <c r="C251" s="56"/>
      <c r="D251" s="56"/>
      <c r="E251" s="57"/>
      <c r="F251" s="58"/>
      <c r="G251" s="59"/>
      <c r="H251" s="56"/>
      <c r="I251" s="56"/>
      <c r="J251" s="60" t="str">
        <f aca="false">IF(IsPro,IF($D251="","",IFERROR(INDEX(Items!$D$5:$D$504,U251),"")),"")</f>
        <v/>
      </c>
      <c r="K251" s="61" t="str">
        <f aca="false">IF(IsPro,IF($D251="","",IF($F251="",IFERROR(INDEX(Items!$H$5:$H$504,U251),0),$F251)),"")</f>
        <v/>
      </c>
      <c r="L251" s="61" t="str">
        <f aca="false">IF(IsPro,IF($D251="","",ROUND(N($E251)*K251*(1-N($G251)),2)),"")</f>
        <v/>
      </c>
      <c r="M251" s="62" t="str">
        <f aca="false">IF(IsPro,IF($D251="","",IFERROR(INDEX(Items!$F$5:$F$504,U251),0)),"")</f>
        <v/>
      </c>
      <c r="N251" s="61" t="str">
        <f aca="false">IF(IsPro,IF($D251="","",IF(AND(V251&lt;&gt;"",INDEX(Parties!$E$5:$E$304,V251)&lt;&gt;"",INDEX(Parties!$E$5:$E$304,V251)&lt;&gt;HomeState),0,ROUND(L251*M251/2,2))),"")</f>
        <v/>
      </c>
      <c r="O251" s="61" t="str">
        <f aca="false">IF(IsPro,IF($D251="","",N251),"")</f>
        <v/>
      </c>
      <c r="P251" s="61" t="str">
        <f aca="false">IF(IsPro,IF($D251="","",IF(AND(V251&lt;&gt;"",INDEX(Parties!$E$5:$E$304,V251)&lt;&gt;"",INDEX(Parties!$E$5:$E$304,V251)&lt;&gt;HomeState),ROUND(L251*M251,2),0)),"")</f>
        <v/>
      </c>
      <c r="Q251" s="61" t="str">
        <f aca="false">IF(IsPro,IF($D251="","",L251+N251+O251+P251),"")</f>
        <v/>
      </c>
      <c r="R251" s="61" t="str">
        <f aca="false">IF(IsPro,IF($D251="","",ROUND(N($E251)*IFERROR(INDEX(Items!$P$5:$P$504,U251),0),2)),"")</f>
        <v/>
      </c>
      <c r="S251" s="61" t="str">
        <f aca="false">IF(IsPro,IF($D251="","",L251-R251),"")</f>
        <v/>
      </c>
      <c r="T251" s="60" t="str">
        <f aca="false">IF(IsPro,IF($D251="","",IF(U251="","UNKNOWN ITEM",IF(INDEX(Items!$O$5:$O$504,U251)&lt;0,"NEG STOCK",IF(K251&lt;INDEX(Items!$P$5:$P$504,U251),"BELOW COST","OK")))),IF($D251="","","PRO PLAN"))</f>
        <v/>
      </c>
      <c r="U251" s="60" t="str">
        <f aca="false">IF(IsPro,IF($D251="","",IFERROR(MATCH($D251,Items!$A$5:$A$504,0),"")),"")</f>
        <v/>
      </c>
      <c r="V251" s="60" t="str">
        <f aca="false">IF(IsPro,IF($C251="","",IFERROR(MATCH($C251,Parties!$A$5:$A$304,0),"")),"")</f>
        <v/>
      </c>
      <c r="W251" s="60" t="str">
        <f aca="false">IF(IsPro,IF($B251="","",IFERROR(VALUE(SUBSTITUTE($B251,InvPrefix,"")),0)),"")</f>
        <v/>
      </c>
      <c r="X251" s="61" t="str">
        <f aca="false">IF(IsPro,IF($D251="","",IF(OR($H251="",$H251="Credit"),0,Q251)),"")</f>
        <v/>
      </c>
    </row>
    <row r="252" customFormat="false" ht="15" hidden="false" customHeight="false" outlineLevel="0" collapsed="false">
      <c r="A252" s="55"/>
      <c r="B252" s="56"/>
      <c r="C252" s="56"/>
      <c r="D252" s="56"/>
      <c r="E252" s="57"/>
      <c r="F252" s="58"/>
      <c r="G252" s="59"/>
      <c r="H252" s="56"/>
      <c r="I252" s="56"/>
      <c r="J252" s="60" t="str">
        <f aca="false">IF(IsPro,IF($D252="","",IFERROR(INDEX(Items!$D$5:$D$504,U252),"")),"")</f>
        <v/>
      </c>
      <c r="K252" s="61" t="str">
        <f aca="false">IF(IsPro,IF($D252="","",IF($F252="",IFERROR(INDEX(Items!$H$5:$H$504,U252),0),$F252)),"")</f>
        <v/>
      </c>
      <c r="L252" s="61" t="str">
        <f aca="false">IF(IsPro,IF($D252="","",ROUND(N($E252)*K252*(1-N($G252)),2)),"")</f>
        <v/>
      </c>
      <c r="M252" s="62" t="str">
        <f aca="false">IF(IsPro,IF($D252="","",IFERROR(INDEX(Items!$F$5:$F$504,U252),0)),"")</f>
        <v/>
      </c>
      <c r="N252" s="61" t="str">
        <f aca="false">IF(IsPro,IF($D252="","",IF(AND(V252&lt;&gt;"",INDEX(Parties!$E$5:$E$304,V252)&lt;&gt;"",INDEX(Parties!$E$5:$E$304,V252)&lt;&gt;HomeState),0,ROUND(L252*M252/2,2))),"")</f>
        <v/>
      </c>
      <c r="O252" s="61" t="str">
        <f aca="false">IF(IsPro,IF($D252="","",N252),"")</f>
        <v/>
      </c>
      <c r="P252" s="61" t="str">
        <f aca="false">IF(IsPro,IF($D252="","",IF(AND(V252&lt;&gt;"",INDEX(Parties!$E$5:$E$304,V252)&lt;&gt;"",INDEX(Parties!$E$5:$E$304,V252)&lt;&gt;HomeState),ROUND(L252*M252,2),0)),"")</f>
        <v/>
      </c>
      <c r="Q252" s="61" t="str">
        <f aca="false">IF(IsPro,IF($D252="","",L252+N252+O252+P252),"")</f>
        <v/>
      </c>
      <c r="R252" s="61" t="str">
        <f aca="false">IF(IsPro,IF($D252="","",ROUND(N($E252)*IFERROR(INDEX(Items!$P$5:$P$504,U252),0),2)),"")</f>
        <v/>
      </c>
      <c r="S252" s="61" t="str">
        <f aca="false">IF(IsPro,IF($D252="","",L252-R252),"")</f>
        <v/>
      </c>
      <c r="T252" s="60" t="str">
        <f aca="false">IF(IsPro,IF($D252="","",IF(U252="","UNKNOWN ITEM",IF(INDEX(Items!$O$5:$O$504,U252)&lt;0,"NEG STOCK",IF(K252&lt;INDEX(Items!$P$5:$P$504,U252),"BELOW COST","OK")))),IF($D252="","","PRO PLAN"))</f>
        <v/>
      </c>
      <c r="U252" s="60" t="str">
        <f aca="false">IF(IsPro,IF($D252="","",IFERROR(MATCH($D252,Items!$A$5:$A$504,0),"")),"")</f>
        <v/>
      </c>
      <c r="V252" s="60" t="str">
        <f aca="false">IF(IsPro,IF($C252="","",IFERROR(MATCH($C252,Parties!$A$5:$A$304,0),"")),"")</f>
        <v/>
      </c>
      <c r="W252" s="60" t="str">
        <f aca="false">IF(IsPro,IF($B252="","",IFERROR(VALUE(SUBSTITUTE($B252,InvPrefix,"")),0)),"")</f>
        <v/>
      </c>
      <c r="X252" s="61" t="str">
        <f aca="false">IF(IsPro,IF($D252="","",IF(OR($H252="",$H252="Credit"),0,Q252)),"")</f>
        <v/>
      </c>
    </row>
    <row r="253" customFormat="false" ht="15" hidden="false" customHeight="false" outlineLevel="0" collapsed="false">
      <c r="A253" s="55"/>
      <c r="B253" s="56"/>
      <c r="C253" s="56"/>
      <c r="D253" s="56"/>
      <c r="E253" s="57"/>
      <c r="F253" s="58"/>
      <c r="G253" s="59"/>
      <c r="H253" s="56"/>
      <c r="I253" s="56"/>
      <c r="J253" s="60" t="str">
        <f aca="false">IF(IsPro,IF($D253="","",IFERROR(INDEX(Items!$D$5:$D$504,U253),"")),"")</f>
        <v/>
      </c>
      <c r="K253" s="61" t="str">
        <f aca="false">IF(IsPro,IF($D253="","",IF($F253="",IFERROR(INDEX(Items!$H$5:$H$504,U253),0),$F253)),"")</f>
        <v/>
      </c>
      <c r="L253" s="61" t="str">
        <f aca="false">IF(IsPro,IF($D253="","",ROUND(N($E253)*K253*(1-N($G253)),2)),"")</f>
        <v/>
      </c>
      <c r="M253" s="62" t="str">
        <f aca="false">IF(IsPro,IF($D253="","",IFERROR(INDEX(Items!$F$5:$F$504,U253),0)),"")</f>
        <v/>
      </c>
      <c r="N253" s="61" t="str">
        <f aca="false">IF(IsPro,IF($D253="","",IF(AND(V253&lt;&gt;"",INDEX(Parties!$E$5:$E$304,V253)&lt;&gt;"",INDEX(Parties!$E$5:$E$304,V253)&lt;&gt;HomeState),0,ROUND(L253*M253/2,2))),"")</f>
        <v/>
      </c>
      <c r="O253" s="61" t="str">
        <f aca="false">IF(IsPro,IF($D253="","",N253),"")</f>
        <v/>
      </c>
      <c r="P253" s="61" t="str">
        <f aca="false">IF(IsPro,IF($D253="","",IF(AND(V253&lt;&gt;"",INDEX(Parties!$E$5:$E$304,V253)&lt;&gt;"",INDEX(Parties!$E$5:$E$304,V253)&lt;&gt;HomeState),ROUND(L253*M253,2),0)),"")</f>
        <v/>
      </c>
      <c r="Q253" s="61" t="str">
        <f aca="false">IF(IsPro,IF($D253="","",L253+N253+O253+P253),"")</f>
        <v/>
      </c>
      <c r="R253" s="61" t="str">
        <f aca="false">IF(IsPro,IF($D253="","",ROUND(N($E253)*IFERROR(INDEX(Items!$P$5:$P$504,U253),0),2)),"")</f>
        <v/>
      </c>
      <c r="S253" s="61" t="str">
        <f aca="false">IF(IsPro,IF($D253="","",L253-R253),"")</f>
        <v/>
      </c>
      <c r="T253" s="60" t="str">
        <f aca="false">IF(IsPro,IF($D253="","",IF(U253="","UNKNOWN ITEM",IF(INDEX(Items!$O$5:$O$504,U253)&lt;0,"NEG STOCK",IF(K253&lt;INDEX(Items!$P$5:$P$504,U253),"BELOW COST","OK")))),IF($D253="","","PRO PLAN"))</f>
        <v/>
      </c>
      <c r="U253" s="60" t="str">
        <f aca="false">IF(IsPro,IF($D253="","",IFERROR(MATCH($D253,Items!$A$5:$A$504,0),"")),"")</f>
        <v/>
      </c>
      <c r="V253" s="60" t="str">
        <f aca="false">IF(IsPro,IF($C253="","",IFERROR(MATCH($C253,Parties!$A$5:$A$304,0),"")),"")</f>
        <v/>
      </c>
      <c r="W253" s="60" t="str">
        <f aca="false">IF(IsPro,IF($B253="","",IFERROR(VALUE(SUBSTITUTE($B253,InvPrefix,"")),0)),"")</f>
        <v/>
      </c>
      <c r="X253" s="61" t="str">
        <f aca="false">IF(IsPro,IF($D253="","",IF(OR($H253="",$H253="Credit"),0,Q253)),"")</f>
        <v/>
      </c>
    </row>
    <row r="254" customFormat="false" ht="15" hidden="false" customHeight="false" outlineLevel="0" collapsed="false">
      <c r="A254" s="55"/>
      <c r="B254" s="56"/>
      <c r="C254" s="56"/>
      <c r="D254" s="56"/>
      <c r="E254" s="57"/>
      <c r="F254" s="58"/>
      <c r="G254" s="59"/>
      <c r="H254" s="56"/>
      <c r="I254" s="56"/>
      <c r="J254" s="60" t="str">
        <f aca="false">IF(IsPro,IF($D254="","",IFERROR(INDEX(Items!$D$5:$D$504,U254),"")),"")</f>
        <v/>
      </c>
      <c r="K254" s="61" t="str">
        <f aca="false">IF(IsPro,IF($D254="","",IF($F254="",IFERROR(INDEX(Items!$H$5:$H$504,U254),0),$F254)),"")</f>
        <v/>
      </c>
      <c r="L254" s="61" t="str">
        <f aca="false">IF(IsPro,IF($D254="","",ROUND(N($E254)*K254*(1-N($G254)),2)),"")</f>
        <v/>
      </c>
      <c r="M254" s="62" t="str">
        <f aca="false">IF(IsPro,IF($D254="","",IFERROR(INDEX(Items!$F$5:$F$504,U254),0)),"")</f>
        <v/>
      </c>
      <c r="N254" s="61" t="str">
        <f aca="false">IF(IsPro,IF($D254="","",IF(AND(V254&lt;&gt;"",INDEX(Parties!$E$5:$E$304,V254)&lt;&gt;"",INDEX(Parties!$E$5:$E$304,V254)&lt;&gt;HomeState),0,ROUND(L254*M254/2,2))),"")</f>
        <v/>
      </c>
      <c r="O254" s="61" t="str">
        <f aca="false">IF(IsPro,IF($D254="","",N254),"")</f>
        <v/>
      </c>
      <c r="P254" s="61" t="str">
        <f aca="false">IF(IsPro,IF($D254="","",IF(AND(V254&lt;&gt;"",INDEX(Parties!$E$5:$E$304,V254)&lt;&gt;"",INDEX(Parties!$E$5:$E$304,V254)&lt;&gt;HomeState),ROUND(L254*M254,2),0)),"")</f>
        <v/>
      </c>
      <c r="Q254" s="61" t="str">
        <f aca="false">IF(IsPro,IF($D254="","",L254+N254+O254+P254),"")</f>
        <v/>
      </c>
      <c r="R254" s="61" t="str">
        <f aca="false">IF(IsPro,IF($D254="","",ROUND(N($E254)*IFERROR(INDEX(Items!$P$5:$P$504,U254),0),2)),"")</f>
        <v/>
      </c>
      <c r="S254" s="61" t="str">
        <f aca="false">IF(IsPro,IF($D254="","",L254-R254),"")</f>
        <v/>
      </c>
      <c r="T254" s="60" t="str">
        <f aca="false">IF(IsPro,IF($D254="","",IF(U254="","UNKNOWN ITEM",IF(INDEX(Items!$O$5:$O$504,U254)&lt;0,"NEG STOCK",IF(K254&lt;INDEX(Items!$P$5:$P$504,U254),"BELOW COST","OK")))),IF($D254="","","PRO PLAN"))</f>
        <v/>
      </c>
      <c r="U254" s="60" t="str">
        <f aca="false">IF(IsPro,IF($D254="","",IFERROR(MATCH($D254,Items!$A$5:$A$504,0),"")),"")</f>
        <v/>
      </c>
      <c r="V254" s="60" t="str">
        <f aca="false">IF(IsPro,IF($C254="","",IFERROR(MATCH($C254,Parties!$A$5:$A$304,0),"")),"")</f>
        <v/>
      </c>
      <c r="W254" s="60" t="str">
        <f aca="false">IF(IsPro,IF($B254="","",IFERROR(VALUE(SUBSTITUTE($B254,InvPrefix,"")),0)),"")</f>
        <v/>
      </c>
      <c r="X254" s="61" t="str">
        <f aca="false">IF(IsPro,IF($D254="","",IF(OR($H254="",$H254="Credit"),0,Q254)),"")</f>
        <v/>
      </c>
    </row>
    <row r="255" customFormat="false" ht="15" hidden="false" customHeight="false" outlineLevel="0" collapsed="false">
      <c r="A255" s="55"/>
      <c r="B255" s="56"/>
      <c r="C255" s="56"/>
      <c r="D255" s="56"/>
      <c r="E255" s="57"/>
      <c r="F255" s="58"/>
      <c r="G255" s="59"/>
      <c r="H255" s="56"/>
      <c r="I255" s="56"/>
      <c r="J255" s="60" t="str">
        <f aca="false">IF(IsPro,IF($D255="","",IFERROR(INDEX(Items!$D$5:$D$504,U255),"")),"")</f>
        <v/>
      </c>
      <c r="K255" s="61" t="str">
        <f aca="false">IF(IsPro,IF($D255="","",IF($F255="",IFERROR(INDEX(Items!$H$5:$H$504,U255),0),$F255)),"")</f>
        <v/>
      </c>
      <c r="L255" s="61" t="str">
        <f aca="false">IF(IsPro,IF($D255="","",ROUND(N($E255)*K255*(1-N($G255)),2)),"")</f>
        <v/>
      </c>
      <c r="M255" s="62" t="str">
        <f aca="false">IF(IsPro,IF($D255="","",IFERROR(INDEX(Items!$F$5:$F$504,U255),0)),"")</f>
        <v/>
      </c>
      <c r="N255" s="61" t="str">
        <f aca="false">IF(IsPro,IF($D255="","",IF(AND(V255&lt;&gt;"",INDEX(Parties!$E$5:$E$304,V255)&lt;&gt;"",INDEX(Parties!$E$5:$E$304,V255)&lt;&gt;HomeState),0,ROUND(L255*M255/2,2))),"")</f>
        <v/>
      </c>
      <c r="O255" s="61" t="str">
        <f aca="false">IF(IsPro,IF($D255="","",N255),"")</f>
        <v/>
      </c>
      <c r="P255" s="61" t="str">
        <f aca="false">IF(IsPro,IF($D255="","",IF(AND(V255&lt;&gt;"",INDEX(Parties!$E$5:$E$304,V255)&lt;&gt;"",INDEX(Parties!$E$5:$E$304,V255)&lt;&gt;HomeState),ROUND(L255*M255,2),0)),"")</f>
        <v/>
      </c>
      <c r="Q255" s="61" t="str">
        <f aca="false">IF(IsPro,IF($D255="","",L255+N255+O255+P255),"")</f>
        <v/>
      </c>
      <c r="R255" s="61" t="str">
        <f aca="false">IF(IsPro,IF($D255="","",ROUND(N($E255)*IFERROR(INDEX(Items!$P$5:$P$504,U255),0),2)),"")</f>
        <v/>
      </c>
      <c r="S255" s="61" t="str">
        <f aca="false">IF(IsPro,IF($D255="","",L255-R255),"")</f>
        <v/>
      </c>
      <c r="T255" s="60" t="str">
        <f aca="false">IF(IsPro,IF($D255="","",IF(U255="","UNKNOWN ITEM",IF(INDEX(Items!$O$5:$O$504,U255)&lt;0,"NEG STOCK",IF(K255&lt;INDEX(Items!$P$5:$P$504,U255),"BELOW COST","OK")))),IF($D255="","","PRO PLAN"))</f>
        <v/>
      </c>
      <c r="U255" s="60" t="str">
        <f aca="false">IF(IsPro,IF($D255="","",IFERROR(MATCH($D255,Items!$A$5:$A$504,0),"")),"")</f>
        <v/>
      </c>
      <c r="V255" s="60" t="str">
        <f aca="false">IF(IsPro,IF($C255="","",IFERROR(MATCH($C255,Parties!$A$5:$A$304,0),"")),"")</f>
        <v/>
      </c>
      <c r="W255" s="60" t="str">
        <f aca="false">IF(IsPro,IF($B255="","",IFERROR(VALUE(SUBSTITUTE($B255,InvPrefix,"")),0)),"")</f>
        <v/>
      </c>
      <c r="X255" s="61" t="str">
        <f aca="false">IF(IsPro,IF($D255="","",IF(OR($H255="",$H255="Credit"),0,Q255)),"")</f>
        <v/>
      </c>
    </row>
    <row r="256" customFormat="false" ht="15" hidden="false" customHeight="false" outlineLevel="0" collapsed="false">
      <c r="A256" s="55"/>
      <c r="B256" s="56"/>
      <c r="C256" s="56"/>
      <c r="D256" s="56"/>
      <c r="E256" s="57"/>
      <c r="F256" s="58"/>
      <c r="G256" s="59"/>
      <c r="H256" s="56"/>
      <c r="I256" s="56"/>
      <c r="J256" s="60" t="str">
        <f aca="false">IF(IsPro,IF($D256="","",IFERROR(INDEX(Items!$D$5:$D$504,U256),"")),"")</f>
        <v/>
      </c>
      <c r="K256" s="61" t="str">
        <f aca="false">IF(IsPro,IF($D256="","",IF($F256="",IFERROR(INDEX(Items!$H$5:$H$504,U256),0),$F256)),"")</f>
        <v/>
      </c>
      <c r="L256" s="61" t="str">
        <f aca="false">IF(IsPro,IF($D256="","",ROUND(N($E256)*K256*(1-N($G256)),2)),"")</f>
        <v/>
      </c>
      <c r="M256" s="62" t="str">
        <f aca="false">IF(IsPro,IF($D256="","",IFERROR(INDEX(Items!$F$5:$F$504,U256),0)),"")</f>
        <v/>
      </c>
      <c r="N256" s="61" t="str">
        <f aca="false">IF(IsPro,IF($D256="","",IF(AND(V256&lt;&gt;"",INDEX(Parties!$E$5:$E$304,V256)&lt;&gt;"",INDEX(Parties!$E$5:$E$304,V256)&lt;&gt;HomeState),0,ROUND(L256*M256/2,2))),"")</f>
        <v/>
      </c>
      <c r="O256" s="61" t="str">
        <f aca="false">IF(IsPro,IF($D256="","",N256),"")</f>
        <v/>
      </c>
      <c r="P256" s="61" t="str">
        <f aca="false">IF(IsPro,IF($D256="","",IF(AND(V256&lt;&gt;"",INDEX(Parties!$E$5:$E$304,V256)&lt;&gt;"",INDEX(Parties!$E$5:$E$304,V256)&lt;&gt;HomeState),ROUND(L256*M256,2),0)),"")</f>
        <v/>
      </c>
      <c r="Q256" s="61" t="str">
        <f aca="false">IF(IsPro,IF($D256="","",L256+N256+O256+P256),"")</f>
        <v/>
      </c>
      <c r="R256" s="61" t="str">
        <f aca="false">IF(IsPro,IF($D256="","",ROUND(N($E256)*IFERROR(INDEX(Items!$P$5:$P$504,U256),0),2)),"")</f>
        <v/>
      </c>
      <c r="S256" s="61" t="str">
        <f aca="false">IF(IsPro,IF($D256="","",L256-R256),"")</f>
        <v/>
      </c>
      <c r="T256" s="60" t="str">
        <f aca="false">IF(IsPro,IF($D256="","",IF(U256="","UNKNOWN ITEM",IF(INDEX(Items!$O$5:$O$504,U256)&lt;0,"NEG STOCK",IF(K256&lt;INDEX(Items!$P$5:$P$504,U256),"BELOW COST","OK")))),IF($D256="","","PRO PLAN"))</f>
        <v/>
      </c>
      <c r="U256" s="60" t="str">
        <f aca="false">IF(IsPro,IF($D256="","",IFERROR(MATCH($D256,Items!$A$5:$A$504,0),"")),"")</f>
        <v/>
      </c>
      <c r="V256" s="60" t="str">
        <f aca="false">IF(IsPro,IF($C256="","",IFERROR(MATCH($C256,Parties!$A$5:$A$304,0),"")),"")</f>
        <v/>
      </c>
      <c r="W256" s="60" t="str">
        <f aca="false">IF(IsPro,IF($B256="","",IFERROR(VALUE(SUBSTITUTE($B256,InvPrefix,"")),0)),"")</f>
        <v/>
      </c>
      <c r="X256" s="61" t="str">
        <f aca="false">IF(IsPro,IF($D256="","",IF(OR($H256="",$H256="Credit"),0,Q256)),"")</f>
        <v/>
      </c>
    </row>
    <row r="257" customFormat="false" ht="15" hidden="false" customHeight="false" outlineLevel="0" collapsed="false">
      <c r="A257" s="55"/>
      <c r="B257" s="56"/>
      <c r="C257" s="56"/>
      <c r="D257" s="56"/>
      <c r="E257" s="57"/>
      <c r="F257" s="58"/>
      <c r="G257" s="59"/>
      <c r="H257" s="56"/>
      <c r="I257" s="56"/>
      <c r="J257" s="60" t="str">
        <f aca="false">IF(IsPro,IF($D257="","",IFERROR(INDEX(Items!$D$5:$D$504,U257),"")),"")</f>
        <v/>
      </c>
      <c r="K257" s="61" t="str">
        <f aca="false">IF(IsPro,IF($D257="","",IF($F257="",IFERROR(INDEX(Items!$H$5:$H$504,U257),0),$F257)),"")</f>
        <v/>
      </c>
      <c r="L257" s="61" t="str">
        <f aca="false">IF(IsPro,IF($D257="","",ROUND(N($E257)*K257*(1-N($G257)),2)),"")</f>
        <v/>
      </c>
      <c r="M257" s="62" t="str">
        <f aca="false">IF(IsPro,IF($D257="","",IFERROR(INDEX(Items!$F$5:$F$504,U257),0)),"")</f>
        <v/>
      </c>
      <c r="N257" s="61" t="str">
        <f aca="false">IF(IsPro,IF($D257="","",IF(AND(V257&lt;&gt;"",INDEX(Parties!$E$5:$E$304,V257)&lt;&gt;"",INDEX(Parties!$E$5:$E$304,V257)&lt;&gt;HomeState),0,ROUND(L257*M257/2,2))),"")</f>
        <v/>
      </c>
      <c r="O257" s="61" t="str">
        <f aca="false">IF(IsPro,IF($D257="","",N257),"")</f>
        <v/>
      </c>
      <c r="P257" s="61" t="str">
        <f aca="false">IF(IsPro,IF($D257="","",IF(AND(V257&lt;&gt;"",INDEX(Parties!$E$5:$E$304,V257)&lt;&gt;"",INDEX(Parties!$E$5:$E$304,V257)&lt;&gt;HomeState),ROUND(L257*M257,2),0)),"")</f>
        <v/>
      </c>
      <c r="Q257" s="61" t="str">
        <f aca="false">IF(IsPro,IF($D257="","",L257+N257+O257+P257),"")</f>
        <v/>
      </c>
      <c r="R257" s="61" t="str">
        <f aca="false">IF(IsPro,IF($D257="","",ROUND(N($E257)*IFERROR(INDEX(Items!$P$5:$P$504,U257),0),2)),"")</f>
        <v/>
      </c>
      <c r="S257" s="61" t="str">
        <f aca="false">IF(IsPro,IF($D257="","",L257-R257),"")</f>
        <v/>
      </c>
      <c r="T257" s="60" t="str">
        <f aca="false">IF(IsPro,IF($D257="","",IF(U257="","UNKNOWN ITEM",IF(INDEX(Items!$O$5:$O$504,U257)&lt;0,"NEG STOCK",IF(K257&lt;INDEX(Items!$P$5:$P$504,U257),"BELOW COST","OK")))),IF($D257="","","PRO PLAN"))</f>
        <v/>
      </c>
      <c r="U257" s="60" t="str">
        <f aca="false">IF(IsPro,IF($D257="","",IFERROR(MATCH($D257,Items!$A$5:$A$504,0),"")),"")</f>
        <v/>
      </c>
      <c r="V257" s="60" t="str">
        <f aca="false">IF(IsPro,IF($C257="","",IFERROR(MATCH($C257,Parties!$A$5:$A$304,0),"")),"")</f>
        <v/>
      </c>
      <c r="W257" s="60" t="str">
        <f aca="false">IF(IsPro,IF($B257="","",IFERROR(VALUE(SUBSTITUTE($B257,InvPrefix,"")),0)),"")</f>
        <v/>
      </c>
      <c r="X257" s="61" t="str">
        <f aca="false">IF(IsPro,IF($D257="","",IF(OR($H257="",$H257="Credit"),0,Q257)),"")</f>
        <v/>
      </c>
    </row>
    <row r="258" customFormat="false" ht="15" hidden="false" customHeight="false" outlineLevel="0" collapsed="false">
      <c r="A258" s="55"/>
      <c r="B258" s="56"/>
      <c r="C258" s="56"/>
      <c r="D258" s="56"/>
      <c r="E258" s="57"/>
      <c r="F258" s="58"/>
      <c r="G258" s="59"/>
      <c r="H258" s="56"/>
      <c r="I258" s="56"/>
      <c r="J258" s="60" t="str">
        <f aca="false">IF(IsPro,IF($D258="","",IFERROR(INDEX(Items!$D$5:$D$504,U258),"")),"")</f>
        <v/>
      </c>
      <c r="K258" s="61" t="str">
        <f aca="false">IF(IsPro,IF($D258="","",IF($F258="",IFERROR(INDEX(Items!$H$5:$H$504,U258),0),$F258)),"")</f>
        <v/>
      </c>
      <c r="L258" s="61" t="str">
        <f aca="false">IF(IsPro,IF($D258="","",ROUND(N($E258)*K258*(1-N($G258)),2)),"")</f>
        <v/>
      </c>
      <c r="M258" s="62" t="str">
        <f aca="false">IF(IsPro,IF($D258="","",IFERROR(INDEX(Items!$F$5:$F$504,U258),0)),"")</f>
        <v/>
      </c>
      <c r="N258" s="61" t="str">
        <f aca="false">IF(IsPro,IF($D258="","",IF(AND(V258&lt;&gt;"",INDEX(Parties!$E$5:$E$304,V258)&lt;&gt;"",INDEX(Parties!$E$5:$E$304,V258)&lt;&gt;HomeState),0,ROUND(L258*M258/2,2))),"")</f>
        <v/>
      </c>
      <c r="O258" s="61" t="str">
        <f aca="false">IF(IsPro,IF($D258="","",N258),"")</f>
        <v/>
      </c>
      <c r="P258" s="61" t="str">
        <f aca="false">IF(IsPro,IF($D258="","",IF(AND(V258&lt;&gt;"",INDEX(Parties!$E$5:$E$304,V258)&lt;&gt;"",INDEX(Parties!$E$5:$E$304,V258)&lt;&gt;HomeState),ROUND(L258*M258,2),0)),"")</f>
        <v/>
      </c>
      <c r="Q258" s="61" t="str">
        <f aca="false">IF(IsPro,IF($D258="","",L258+N258+O258+P258),"")</f>
        <v/>
      </c>
      <c r="R258" s="61" t="str">
        <f aca="false">IF(IsPro,IF($D258="","",ROUND(N($E258)*IFERROR(INDEX(Items!$P$5:$P$504,U258),0),2)),"")</f>
        <v/>
      </c>
      <c r="S258" s="61" t="str">
        <f aca="false">IF(IsPro,IF($D258="","",L258-R258),"")</f>
        <v/>
      </c>
      <c r="T258" s="60" t="str">
        <f aca="false">IF(IsPro,IF($D258="","",IF(U258="","UNKNOWN ITEM",IF(INDEX(Items!$O$5:$O$504,U258)&lt;0,"NEG STOCK",IF(K258&lt;INDEX(Items!$P$5:$P$504,U258),"BELOW COST","OK")))),IF($D258="","","PRO PLAN"))</f>
        <v/>
      </c>
      <c r="U258" s="60" t="str">
        <f aca="false">IF(IsPro,IF($D258="","",IFERROR(MATCH($D258,Items!$A$5:$A$504,0),"")),"")</f>
        <v/>
      </c>
      <c r="V258" s="60" t="str">
        <f aca="false">IF(IsPro,IF($C258="","",IFERROR(MATCH($C258,Parties!$A$5:$A$304,0),"")),"")</f>
        <v/>
      </c>
      <c r="W258" s="60" t="str">
        <f aca="false">IF(IsPro,IF($B258="","",IFERROR(VALUE(SUBSTITUTE($B258,InvPrefix,"")),0)),"")</f>
        <v/>
      </c>
      <c r="X258" s="61" t="str">
        <f aca="false">IF(IsPro,IF($D258="","",IF(OR($H258="",$H258="Credit"),0,Q258)),"")</f>
        <v/>
      </c>
    </row>
    <row r="259" customFormat="false" ht="15" hidden="false" customHeight="false" outlineLevel="0" collapsed="false">
      <c r="A259" s="55"/>
      <c r="B259" s="56"/>
      <c r="C259" s="56"/>
      <c r="D259" s="56"/>
      <c r="E259" s="57"/>
      <c r="F259" s="58"/>
      <c r="G259" s="59"/>
      <c r="H259" s="56"/>
      <c r="I259" s="56"/>
      <c r="J259" s="60" t="str">
        <f aca="false">IF(IsPro,IF($D259="","",IFERROR(INDEX(Items!$D$5:$D$504,U259),"")),"")</f>
        <v/>
      </c>
      <c r="K259" s="61" t="str">
        <f aca="false">IF(IsPro,IF($D259="","",IF($F259="",IFERROR(INDEX(Items!$H$5:$H$504,U259),0),$F259)),"")</f>
        <v/>
      </c>
      <c r="L259" s="61" t="str">
        <f aca="false">IF(IsPro,IF($D259="","",ROUND(N($E259)*K259*(1-N($G259)),2)),"")</f>
        <v/>
      </c>
      <c r="M259" s="62" t="str">
        <f aca="false">IF(IsPro,IF($D259="","",IFERROR(INDEX(Items!$F$5:$F$504,U259),0)),"")</f>
        <v/>
      </c>
      <c r="N259" s="61" t="str">
        <f aca="false">IF(IsPro,IF($D259="","",IF(AND(V259&lt;&gt;"",INDEX(Parties!$E$5:$E$304,V259)&lt;&gt;"",INDEX(Parties!$E$5:$E$304,V259)&lt;&gt;HomeState),0,ROUND(L259*M259/2,2))),"")</f>
        <v/>
      </c>
      <c r="O259" s="61" t="str">
        <f aca="false">IF(IsPro,IF($D259="","",N259),"")</f>
        <v/>
      </c>
      <c r="P259" s="61" t="str">
        <f aca="false">IF(IsPro,IF($D259="","",IF(AND(V259&lt;&gt;"",INDEX(Parties!$E$5:$E$304,V259)&lt;&gt;"",INDEX(Parties!$E$5:$E$304,V259)&lt;&gt;HomeState),ROUND(L259*M259,2),0)),"")</f>
        <v/>
      </c>
      <c r="Q259" s="61" t="str">
        <f aca="false">IF(IsPro,IF($D259="","",L259+N259+O259+P259),"")</f>
        <v/>
      </c>
      <c r="R259" s="61" t="str">
        <f aca="false">IF(IsPro,IF($D259="","",ROUND(N($E259)*IFERROR(INDEX(Items!$P$5:$P$504,U259),0),2)),"")</f>
        <v/>
      </c>
      <c r="S259" s="61" t="str">
        <f aca="false">IF(IsPro,IF($D259="","",L259-R259),"")</f>
        <v/>
      </c>
      <c r="T259" s="60" t="str">
        <f aca="false">IF(IsPro,IF($D259="","",IF(U259="","UNKNOWN ITEM",IF(INDEX(Items!$O$5:$O$504,U259)&lt;0,"NEG STOCK",IF(K259&lt;INDEX(Items!$P$5:$P$504,U259),"BELOW COST","OK")))),IF($D259="","","PRO PLAN"))</f>
        <v/>
      </c>
      <c r="U259" s="60" t="str">
        <f aca="false">IF(IsPro,IF($D259="","",IFERROR(MATCH($D259,Items!$A$5:$A$504,0),"")),"")</f>
        <v/>
      </c>
      <c r="V259" s="60" t="str">
        <f aca="false">IF(IsPro,IF($C259="","",IFERROR(MATCH($C259,Parties!$A$5:$A$304,0),"")),"")</f>
        <v/>
      </c>
      <c r="W259" s="60" t="str">
        <f aca="false">IF(IsPro,IF($B259="","",IFERROR(VALUE(SUBSTITUTE($B259,InvPrefix,"")),0)),"")</f>
        <v/>
      </c>
      <c r="X259" s="61" t="str">
        <f aca="false">IF(IsPro,IF($D259="","",IF(OR($H259="",$H259="Credit"),0,Q259)),"")</f>
        <v/>
      </c>
    </row>
    <row r="260" customFormat="false" ht="15" hidden="false" customHeight="false" outlineLevel="0" collapsed="false">
      <c r="A260" s="55"/>
      <c r="B260" s="56"/>
      <c r="C260" s="56"/>
      <c r="D260" s="56"/>
      <c r="E260" s="57"/>
      <c r="F260" s="58"/>
      <c r="G260" s="59"/>
      <c r="H260" s="56"/>
      <c r="I260" s="56"/>
      <c r="J260" s="60" t="str">
        <f aca="false">IF(IsPro,IF($D260="","",IFERROR(INDEX(Items!$D$5:$D$504,U260),"")),"")</f>
        <v/>
      </c>
      <c r="K260" s="61" t="str">
        <f aca="false">IF(IsPro,IF($D260="","",IF($F260="",IFERROR(INDEX(Items!$H$5:$H$504,U260),0),$F260)),"")</f>
        <v/>
      </c>
      <c r="L260" s="61" t="str">
        <f aca="false">IF(IsPro,IF($D260="","",ROUND(N($E260)*K260*(1-N($G260)),2)),"")</f>
        <v/>
      </c>
      <c r="M260" s="62" t="str">
        <f aca="false">IF(IsPro,IF($D260="","",IFERROR(INDEX(Items!$F$5:$F$504,U260),0)),"")</f>
        <v/>
      </c>
      <c r="N260" s="61" t="str">
        <f aca="false">IF(IsPro,IF($D260="","",IF(AND(V260&lt;&gt;"",INDEX(Parties!$E$5:$E$304,V260)&lt;&gt;"",INDEX(Parties!$E$5:$E$304,V260)&lt;&gt;HomeState),0,ROUND(L260*M260/2,2))),"")</f>
        <v/>
      </c>
      <c r="O260" s="61" t="str">
        <f aca="false">IF(IsPro,IF($D260="","",N260),"")</f>
        <v/>
      </c>
      <c r="P260" s="61" t="str">
        <f aca="false">IF(IsPro,IF($D260="","",IF(AND(V260&lt;&gt;"",INDEX(Parties!$E$5:$E$304,V260)&lt;&gt;"",INDEX(Parties!$E$5:$E$304,V260)&lt;&gt;HomeState),ROUND(L260*M260,2),0)),"")</f>
        <v/>
      </c>
      <c r="Q260" s="61" t="str">
        <f aca="false">IF(IsPro,IF($D260="","",L260+N260+O260+P260),"")</f>
        <v/>
      </c>
      <c r="R260" s="61" t="str">
        <f aca="false">IF(IsPro,IF($D260="","",ROUND(N($E260)*IFERROR(INDEX(Items!$P$5:$P$504,U260),0),2)),"")</f>
        <v/>
      </c>
      <c r="S260" s="61" t="str">
        <f aca="false">IF(IsPro,IF($D260="","",L260-R260),"")</f>
        <v/>
      </c>
      <c r="T260" s="60" t="str">
        <f aca="false">IF(IsPro,IF($D260="","",IF(U260="","UNKNOWN ITEM",IF(INDEX(Items!$O$5:$O$504,U260)&lt;0,"NEG STOCK",IF(K260&lt;INDEX(Items!$P$5:$P$504,U260),"BELOW COST","OK")))),IF($D260="","","PRO PLAN"))</f>
        <v/>
      </c>
      <c r="U260" s="60" t="str">
        <f aca="false">IF(IsPro,IF($D260="","",IFERROR(MATCH($D260,Items!$A$5:$A$504,0),"")),"")</f>
        <v/>
      </c>
      <c r="V260" s="60" t="str">
        <f aca="false">IF(IsPro,IF($C260="","",IFERROR(MATCH($C260,Parties!$A$5:$A$304,0),"")),"")</f>
        <v/>
      </c>
      <c r="W260" s="60" t="str">
        <f aca="false">IF(IsPro,IF($B260="","",IFERROR(VALUE(SUBSTITUTE($B260,InvPrefix,"")),0)),"")</f>
        <v/>
      </c>
      <c r="X260" s="61" t="str">
        <f aca="false">IF(IsPro,IF($D260="","",IF(OR($H260="",$H260="Credit"),0,Q260)),"")</f>
        <v/>
      </c>
    </row>
    <row r="261" customFormat="false" ht="15" hidden="false" customHeight="false" outlineLevel="0" collapsed="false">
      <c r="A261" s="55"/>
      <c r="B261" s="56"/>
      <c r="C261" s="56"/>
      <c r="D261" s="56"/>
      <c r="E261" s="57"/>
      <c r="F261" s="58"/>
      <c r="G261" s="59"/>
      <c r="H261" s="56"/>
      <c r="I261" s="56"/>
      <c r="J261" s="60" t="str">
        <f aca="false">IF(IsPro,IF($D261="","",IFERROR(INDEX(Items!$D$5:$D$504,U261),"")),"")</f>
        <v/>
      </c>
      <c r="K261" s="61" t="str">
        <f aca="false">IF(IsPro,IF($D261="","",IF($F261="",IFERROR(INDEX(Items!$H$5:$H$504,U261),0),$F261)),"")</f>
        <v/>
      </c>
      <c r="L261" s="61" t="str">
        <f aca="false">IF(IsPro,IF($D261="","",ROUND(N($E261)*K261*(1-N($G261)),2)),"")</f>
        <v/>
      </c>
      <c r="M261" s="62" t="str">
        <f aca="false">IF(IsPro,IF($D261="","",IFERROR(INDEX(Items!$F$5:$F$504,U261),0)),"")</f>
        <v/>
      </c>
      <c r="N261" s="61" t="str">
        <f aca="false">IF(IsPro,IF($D261="","",IF(AND(V261&lt;&gt;"",INDEX(Parties!$E$5:$E$304,V261)&lt;&gt;"",INDEX(Parties!$E$5:$E$304,V261)&lt;&gt;HomeState),0,ROUND(L261*M261/2,2))),"")</f>
        <v/>
      </c>
      <c r="O261" s="61" t="str">
        <f aca="false">IF(IsPro,IF($D261="","",N261),"")</f>
        <v/>
      </c>
      <c r="P261" s="61" t="str">
        <f aca="false">IF(IsPro,IF($D261="","",IF(AND(V261&lt;&gt;"",INDEX(Parties!$E$5:$E$304,V261)&lt;&gt;"",INDEX(Parties!$E$5:$E$304,V261)&lt;&gt;HomeState),ROUND(L261*M261,2),0)),"")</f>
        <v/>
      </c>
      <c r="Q261" s="61" t="str">
        <f aca="false">IF(IsPro,IF($D261="","",L261+N261+O261+P261),"")</f>
        <v/>
      </c>
      <c r="R261" s="61" t="str">
        <f aca="false">IF(IsPro,IF($D261="","",ROUND(N($E261)*IFERROR(INDEX(Items!$P$5:$P$504,U261),0),2)),"")</f>
        <v/>
      </c>
      <c r="S261" s="61" t="str">
        <f aca="false">IF(IsPro,IF($D261="","",L261-R261),"")</f>
        <v/>
      </c>
      <c r="T261" s="60" t="str">
        <f aca="false">IF(IsPro,IF($D261="","",IF(U261="","UNKNOWN ITEM",IF(INDEX(Items!$O$5:$O$504,U261)&lt;0,"NEG STOCK",IF(K261&lt;INDEX(Items!$P$5:$P$504,U261),"BELOW COST","OK")))),IF($D261="","","PRO PLAN"))</f>
        <v/>
      </c>
      <c r="U261" s="60" t="str">
        <f aca="false">IF(IsPro,IF($D261="","",IFERROR(MATCH($D261,Items!$A$5:$A$504,0),"")),"")</f>
        <v/>
      </c>
      <c r="V261" s="60" t="str">
        <f aca="false">IF(IsPro,IF($C261="","",IFERROR(MATCH($C261,Parties!$A$5:$A$304,0),"")),"")</f>
        <v/>
      </c>
      <c r="W261" s="60" t="str">
        <f aca="false">IF(IsPro,IF($B261="","",IFERROR(VALUE(SUBSTITUTE($B261,InvPrefix,"")),0)),"")</f>
        <v/>
      </c>
      <c r="X261" s="61" t="str">
        <f aca="false">IF(IsPro,IF($D261="","",IF(OR($H261="",$H261="Credit"),0,Q261)),"")</f>
        <v/>
      </c>
    </row>
    <row r="262" customFormat="false" ht="15" hidden="false" customHeight="false" outlineLevel="0" collapsed="false">
      <c r="A262" s="55"/>
      <c r="B262" s="56"/>
      <c r="C262" s="56"/>
      <c r="D262" s="56"/>
      <c r="E262" s="57"/>
      <c r="F262" s="58"/>
      <c r="G262" s="59"/>
      <c r="H262" s="56"/>
      <c r="I262" s="56"/>
      <c r="J262" s="60" t="str">
        <f aca="false">IF(IsPro,IF($D262="","",IFERROR(INDEX(Items!$D$5:$D$504,U262),"")),"")</f>
        <v/>
      </c>
      <c r="K262" s="61" t="str">
        <f aca="false">IF(IsPro,IF($D262="","",IF($F262="",IFERROR(INDEX(Items!$H$5:$H$504,U262),0),$F262)),"")</f>
        <v/>
      </c>
      <c r="L262" s="61" t="str">
        <f aca="false">IF(IsPro,IF($D262="","",ROUND(N($E262)*K262*(1-N($G262)),2)),"")</f>
        <v/>
      </c>
      <c r="M262" s="62" t="str">
        <f aca="false">IF(IsPro,IF($D262="","",IFERROR(INDEX(Items!$F$5:$F$504,U262),0)),"")</f>
        <v/>
      </c>
      <c r="N262" s="61" t="str">
        <f aca="false">IF(IsPro,IF($D262="","",IF(AND(V262&lt;&gt;"",INDEX(Parties!$E$5:$E$304,V262)&lt;&gt;"",INDEX(Parties!$E$5:$E$304,V262)&lt;&gt;HomeState),0,ROUND(L262*M262/2,2))),"")</f>
        <v/>
      </c>
      <c r="O262" s="61" t="str">
        <f aca="false">IF(IsPro,IF($D262="","",N262),"")</f>
        <v/>
      </c>
      <c r="P262" s="61" t="str">
        <f aca="false">IF(IsPro,IF($D262="","",IF(AND(V262&lt;&gt;"",INDEX(Parties!$E$5:$E$304,V262)&lt;&gt;"",INDEX(Parties!$E$5:$E$304,V262)&lt;&gt;HomeState),ROUND(L262*M262,2),0)),"")</f>
        <v/>
      </c>
      <c r="Q262" s="61" t="str">
        <f aca="false">IF(IsPro,IF($D262="","",L262+N262+O262+P262),"")</f>
        <v/>
      </c>
      <c r="R262" s="61" t="str">
        <f aca="false">IF(IsPro,IF($D262="","",ROUND(N($E262)*IFERROR(INDEX(Items!$P$5:$P$504,U262),0),2)),"")</f>
        <v/>
      </c>
      <c r="S262" s="61" t="str">
        <f aca="false">IF(IsPro,IF($D262="","",L262-R262),"")</f>
        <v/>
      </c>
      <c r="T262" s="60" t="str">
        <f aca="false">IF(IsPro,IF($D262="","",IF(U262="","UNKNOWN ITEM",IF(INDEX(Items!$O$5:$O$504,U262)&lt;0,"NEG STOCK",IF(K262&lt;INDEX(Items!$P$5:$P$504,U262),"BELOW COST","OK")))),IF($D262="","","PRO PLAN"))</f>
        <v/>
      </c>
      <c r="U262" s="60" t="str">
        <f aca="false">IF(IsPro,IF($D262="","",IFERROR(MATCH($D262,Items!$A$5:$A$504,0),"")),"")</f>
        <v/>
      </c>
      <c r="V262" s="60" t="str">
        <f aca="false">IF(IsPro,IF($C262="","",IFERROR(MATCH($C262,Parties!$A$5:$A$304,0),"")),"")</f>
        <v/>
      </c>
      <c r="W262" s="60" t="str">
        <f aca="false">IF(IsPro,IF($B262="","",IFERROR(VALUE(SUBSTITUTE($B262,InvPrefix,"")),0)),"")</f>
        <v/>
      </c>
      <c r="X262" s="61" t="str">
        <f aca="false">IF(IsPro,IF($D262="","",IF(OR($H262="",$H262="Credit"),0,Q262)),"")</f>
        <v/>
      </c>
    </row>
    <row r="263" customFormat="false" ht="15" hidden="false" customHeight="false" outlineLevel="0" collapsed="false">
      <c r="A263" s="55"/>
      <c r="B263" s="56"/>
      <c r="C263" s="56"/>
      <c r="D263" s="56"/>
      <c r="E263" s="57"/>
      <c r="F263" s="58"/>
      <c r="G263" s="59"/>
      <c r="H263" s="56"/>
      <c r="I263" s="56"/>
      <c r="J263" s="60" t="str">
        <f aca="false">IF(IsPro,IF($D263="","",IFERROR(INDEX(Items!$D$5:$D$504,U263),"")),"")</f>
        <v/>
      </c>
      <c r="K263" s="61" t="str">
        <f aca="false">IF(IsPro,IF($D263="","",IF($F263="",IFERROR(INDEX(Items!$H$5:$H$504,U263),0),$F263)),"")</f>
        <v/>
      </c>
      <c r="L263" s="61" t="str">
        <f aca="false">IF(IsPro,IF($D263="","",ROUND(N($E263)*K263*(1-N($G263)),2)),"")</f>
        <v/>
      </c>
      <c r="M263" s="62" t="str">
        <f aca="false">IF(IsPro,IF($D263="","",IFERROR(INDEX(Items!$F$5:$F$504,U263),0)),"")</f>
        <v/>
      </c>
      <c r="N263" s="61" t="str">
        <f aca="false">IF(IsPro,IF($D263="","",IF(AND(V263&lt;&gt;"",INDEX(Parties!$E$5:$E$304,V263)&lt;&gt;"",INDEX(Parties!$E$5:$E$304,V263)&lt;&gt;HomeState),0,ROUND(L263*M263/2,2))),"")</f>
        <v/>
      </c>
      <c r="O263" s="61" t="str">
        <f aca="false">IF(IsPro,IF($D263="","",N263),"")</f>
        <v/>
      </c>
      <c r="P263" s="61" t="str">
        <f aca="false">IF(IsPro,IF($D263="","",IF(AND(V263&lt;&gt;"",INDEX(Parties!$E$5:$E$304,V263)&lt;&gt;"",INDEX(Parties!$E$5:$E$304,V263)&lt;&gt;HomeState),ROUND(L263*M263,2),0)),"")</f>
        <v/>
      </c>
      <c r="Q263" s="61" t="str">
        <f aca="false">IF(IsPro,IF($D263="","",L263+N263+O263+P263),"")</f>
        <v/>
      </c>
      <c r="R263" s="61" t="str">
        <f aca="false">IF(IsPro,IF($D263="","",ROUND(N($E263)*IFERROR(INDEX(Items!$P$5:$P$504,U263),0),2)),"")</f>
        <v/>
      </c>
      <c r="S263" s="61" t="str">
        <f aca="false">IF(IsPro,IF($D263="","",L263-R263),"")</f>
        <v/>
      </c>
      <c r="T263" s="60" t="str">
        <f aca="false">IF(IsPro,IF($D263="","",IF(U263="","UNKNOWN ITEM",IF(INDEX(Items!$O$5:$O$504,U263)&lt;0,"NEG STOCK",IF(K263&lt;INDEX(Items!$P$5:$P$504,U263),"BELOW COST","OK")))),IF($D263="","","PRO PLAN"))</f>
        <v/>
      </c>
      <c r="U263" s="60" t="str">
        <f aca="false">IF(IsPro,IF($D263="","",IFERROR(MATCH($D263,Items!$A$5:$A$504,0),"")),"")</f>
        <v/>
      </c>
      <c r="V263" s="60" t="str">
        <f aca="false">IF(IsPro,IF($C263="","",IFERROR(MATCH($C263,Parties!$A$5:$A$304,0),"")),"")</f>
        <v/>
      </c>
      <c r="W263" s="60" t="str">
        <f aca="false">IF(IsPro,IF($B263="","",IFERROR(VALUE(SUBSTITUTE($B263,InvPrefix,"")),0)),"")</f>
        <v/>
      </c>
      <c r="X263" s="61" t="str">
        <f aca="false">IF(IsPro,IF($D263="","",IF(OR($H263="",$H263="Credit"),0,Q263)),"")</f>
        <v/>
      </c>
    </row>
    <row r="264" customFormat="false" ht="15" hidden="false" customHeight="false" outlineLevel="0" collapsed="false">
      <c r="A264" s="55"/>
      <c r="B264" s="56"/>
      <c r="C264" s="56"/>
      <c r="D264" s="56"/>
      <c r="E264" s="57"/>
      <c r="F264" s="58"/>
      <c r="G264" s="59"/>
      <c r="H264" s="56"/>
      <c r="I264" s="56"/>
      <c r="J264" s="60" t="str">
        <f aca="false">IF(IsPro,IF($D264="","",IFERROR(INDEX(Items!$D$5:$D$504,U264),"")),"")</f>
        <v/>
      </c>
      <c r="K264" s="61" t="str">
        <f aca="false">IF(IsPro,IF($D264="","",IF($F264="",IFERROR(INDEX(Items!$H$5:$H$504,U264),0),$F264)),"")</f>
        <v/>
      </c>
      <c r="L264" s="61" t="str">
        <f aca="false">IF(IsPro,IF($D264="","",ROUND(N($E264)*K264*(1-N($G264)),2)),"")</f>
        <v/>
      </c>
      <c r="M264" s="62" t="str">
        <f aca="false">IF(IsPro,IF($D264="","",IFERROR(INDEX(Items!$F$5:$F$504,U264),0)),"")</f>
        <v/>
      </c>
      <c r="N264" s="61" t="str">
        <f aca="false">IF(IsPro,IF($D264="","",IF(AND(V264&lt;&gt;"",INDEX(Parties!$E$5:$E$304,V264)&lt;&gt;"",INDEX(Parties!$E$5:$E$304,V264)&lt;&gt;HomeState),0,ROUND(L264*M264/2,2))),"")</f>
        <v/>
      </c>
      <c r="O264" s="61" t="str">
        <f aca="false">IF(IsPro,IF($D264="","",N264),"")</f>
        <v/>
      </c>
      <c r="P264" s="61" t="str">
        <f aca="false">IF(IsPro,IF($D264="","",IF(AND(V264&lt;&gt;"",INDEX(Parties!$E$5:$E$304,V264)&lt;&gt;"",INDEX(Parties!$E$5:$E$304,V264)&lt;&gt;HomeState),ROUND(L264*M264,2),0)),"")</f>
        <v/>
      </c>
      <c r="Q264" s="61" t="str">
        <f aca="false">IF(IsPro,IF($D264="","",L264+N264+O264+P264),"")</f>
        <v/>
      </c>
      <c r="R264" s="61" t="str">
        <f aca="false">IF(IsPro,IF($D264="","",ROUND(N($E264)*IFERROR(INDEX(Items!$P$5:$P$504,U264),0),2)),"")</f>
        <v/>
      </c>
      <c r="S264" s="61" t="str">
        <f aca="false">IF(IsPro,IF($D264="","",L264-R264),"")</f>
        <v/>
      </c>
      <c r="T264" s="60" t="str">
        <f aca="false">IF(IsPro,IF($D264="","",IF(U264="","UNKNOWN ITEM",IF(INDEX(Items!$O$5:$O$504,U264)&lt;0,"NEG STOCK",IF(K264&lt;INDEX(Items!$P$5:$P$504,U264),"BELOW COST","OK")))),IF($D264="","","PRO PLAN"))</f>
        <v/>
      </c>
      <c r="U264" s="60" t="str">
        <f aca="false">IF(IsPro,IF($D264="","",IFERROR(MATCH($D264,Items!$A$5:$A$504,0),"")),"")</f>
        <v/>
      </c>
      <c r="V264" s="60" t="str">
        <f aca="false">IF(IsPro,IF($C264="","",IFERROR(MATCH($C264,Parties!$A$5:$A$304,0),"")),"")</f>
        <v/>
      </c>
      <c r="W264" s="60" t="str">
        <f aca="false">IF(IsPro,IF($B264="","",IFERROR(VALUE(SUBSTITUTE($B264,InvPrefix,"")),0)),"")</f>
        <v/>
      </c>
      <c r="X264" s="61" t="str">
        <f aca="false">IF(IsPro,IF($D264="","",IF(OR($H264="",$H264="Credit"),0,Q264)),"")</f>
        <v/>
      </c>
    </row>
    <row r="265" customFormat="false" ht="15" hidden="false" customHeight="false" outlineLevel="0" collapsed="false">
      <c r="A265" s="55"/>
      <c r="B265" s="56"/>
      <c r="C265" s="56"/>
      <c r="D265" s="56"/>
      <c r="E265" s="57"/>
      <c r="F265" s="58"/>
      <c r="G265" s="59"/>
      <c r="H265" s="56"/>
      <c r="I265" s="56"/>
      <c r="J265" s="60" t="str">
        <f aca="false">IF(IsPro,IF($D265="","",IFERROR(INDEX(Items!$D$5:$D$504,U265),"")),"")</f>
        <v/>
      </c>
      <c r="K265" s="61" t="str">
        <f aca="false">IF(IsPro,IF($D265="","",IF($F265="",IFERROR(INDEX(Items!$H$5:$H$504,U265),0),$F265)),"")</f>
        <v/>
      </c>
      <c r="L265" s="61" t="str">
        <f aca="false">IF(IsPro,IF($D265="","",ROUND(N($E265)*K265*(1-N($G265)),2)),"")</f>
        <v/>
      </c>
      <c r="M265" s="62" t="str">
        <f aca="false">IF(IsPro,IF($D265="","",IFERROR(INDEX(Items!$F$5:$F$504,U265),0)),"")</f>
        <v/>
      </c>
      <c r="N265" s="61" t="str">
        <f aca="false">IF(IsPro,IF($D265="","",IF(AND(V265&lt;&gt;"",INDEX(Parties!$E$5:$E$304,V265)&lt;&gt;"",INDEX(Parties!$E$5:$E$304,V265)&lt;&gt;HomeState),0,ROUND(L265*M265/2,2))),"")</f>
        <v/>
      </c>
      <c r="O265" s="61" t="str">
        <f aca="false">IF(IsPro,IF($D265="","",N265),"")</f>
        <v/>
      </c>
      <c r="P265" s="61" t="str">
        <f aca="false">IF(IsPro,IF($D265="","",IF(AND(V265&lt;&gt;"",INDEX(Parties!$E$5:$E$304,V265)&lt;&gt;"",INDEX(Parties!$E$5:$E$304,V265)&lt;&gt;HomeState),ROUND(L265*M265,2),0)),"")</f>
        <v/>
      </c>
      <c r="Q265" s="61" t="str">
        <f aca="false">IF(IsPro,IF($D265="","",L265+N265+O265+P265),"")</f>
        <v/>
      </c>
      <c r="R265" s="61" t="str">
        <f aca="false">IF(IsPro,IF($D265="","",ROUND(N($E265)*IFERROR(INDEX(Items!$P$5:$P$504,U265),0),2)),"")</f>
        <v/>
      </c>
      <c r="S265" s="61" t="str">
        <f aca="false">IF(IsPro,IF($D265="","",L265-R265),"")</f>
        <v/>
      </c>
      <c r="T265" s="60" t="str">
        <f aca="false">IF(IsPro,IF($D265="","",IF(U265="","UNKNOWN ITEM",IF(INDEX(Items!$O$5:$O$504,U265)&lt;0,"NEG STOCK",IF(K265&lt;INDEX(Items!$P$5:$P$504,U265),"BELOW COST","OK")))),IF($D265="","","PRO PLAN"))</f>
        <v/>
      </c>
      <c r="U265" s="60" t="str">
        <f aca="false">IF(IsPro,IF($D265="","",IFERROR(MATCH($D265,Items!$A$5:$A$504,0),"")),"")</f>
        <v/>
      </c>
      <c r="V265" s="60" t="str">
        <f aca="false">IF(IsPro,IF($C265="","",IFERROR(MATCH($C265,Parties!$A$5:$A$304,0),"")),"")</f>
        <v/>
      </c>
      <c r="W265" s="60" t="str">
        <f aca="false">IF(IsPro,IF($B265="","",IFERROR(VALUE(SUBSTITUTE($B265,InvPrefix,"")),0)),"")</f>
        <v/>
      </c>
      <c r="X265" s="61" t="str">
        <f aca="false">IF(IsPro,IF($D265="","",IF(OR($H265="",$H265="Credit"),0,Q265)),"")</f>
        <v/>
      </c>
    </row>
    <row r="266" customFormat="false" ht="15" hidden="false" customHeight="false" outlineLevel="0" collapsed="false">
      <c r="A266" s="55"/>
      <c r="B266" s="56"/>
      <c r="C266" s="56"/>
      <c r="D266" s="56"/>
      <c r="E266" s="57"/>
      <c r="F266" s="58"/>
      <c r="G266" s="59"/>
      <c r="H266" s="56"/>
      <c r="I266" s="56"/>
      <c r="J266" s="60" t="str">
        <f aca="false">IF(IsPro,IF($D266="","",IFERROR(INDEX(Items!$D$5:$D$504,U266),"")),"")</f>
        <v/>
      </c>
      <c r="K266" s="61" t="str">
        <f aca="false">IF(IsPro,IF($D266="","",IF($F266="",IFERROR(INDEX(Items!$H$5:$H$504,U266),0),$F266)),"")</f>
        <v/>
      </c>
      <c r="L266" s="61" t="str">
        <f aca="false">IF(IsPro,IF($D266="","",ROUND(N($E266)*K266*(1-N($G266)),2)),"")</f>
        <v/>
      </c>
      <c r="M266" s="62" t="str">
        <f aca="false">IF(IsPro,IF($D266="","",IFERROR(INDEX(Items!$F$5:$F$504,U266),0)),"")</f>
        <v/>
      </c>
      <c r="N266" s="61" t="str">
        <f aca="false">IF(IsPro,IF($D266="","",IF(AND(V266&lt;&gt;"",INDEX(Parties!$E$5:$E$304,V266)&lt;&gt;"",INDEX(Parties!$E$5:$E$304,V266)&lt;&gt;HomeState),0,ROUND(L266*M266/2,2))),"")</f>
        <v/>
      </c>
      <c r="O266" s="61" t="str">
        <f aca="false">IF(IsPro,IF($D266="","",N266),"")</f>
        <v/>
      </c>
      <c r="P266" s="61" t="str">
        <f aca="false">IF(IsPro,IF($D266="","",IF(AND(V266&lt;&gt;"",INDEX(Parties!$E$5:$E$304,V266)&lt;&gt;"",INDEX(Parties!$E$5:$E$304,V266)&lt;&gt;HomeState),ROUND(L266*M266,2),0)),"")</f>
        <v/>
      </c>
      <c r="Q266" s="61" t="str">
        <f aca="false">IF(IsPro,IF($D266="","",L266+N266+O266+P266),"")</f>
        <v/>
      </c>
      <c r="R266" s="61" t="str">
        <f aca="false">IF(IsPro,IF($D266="","",ROUND(N($E266)*IFERROR(INDEX(Items!$P$5:$P$504,U266),0),2)),"")</f>
        <v/>
      </c>
      <c r="S266" s="61" t="str">
        <f aca="false">IF(IsPro,IF($D266="","",L266-R266),"")</f>
        <v/>
      </c>
      <c r="T266" s="60" t="str">
        <f aca="false">IF(IsPro,IF($D266="","",IF(U266="","UNKNOWN ITEM",IF(INDEX(Items!$O$5:$O$504,U266)&lt;0,"NEG STOCK",IF(K266&lt;INDEX(Items!$P$5:$P$504,U266),"BELOW COST","OK")))),IF($D266="","","PRO PLAN"))</f>
        <v/>
      </c>
      <c r="U266" s="60" t="str">
        <f aca="false">IF(IsPro,IF($D266="","",IFERROR(MATCH($D266,Items!$A$5:$A$504,0),"")),"")</f>
        <v/>
      </c>
      <c r="V266" s="60" t="str">
        <f aca="false">IF(IsPro,IF($C266="","",IFERROR(MATCH($C266,Parties!$A$5:$A$304,0),"")),"")</f>
        <v/>
      </c>
      <c r="W266" s="60" t="str">
        <f aca="false">IF(IsPro,IF($B266="","",IFERROR(VALUE(SUBSTITUTE($B266,InvPrefix,"")),0)),"")</f>
        <v/>
      </c>
      <c r="X266" s="61" t="str">
        <f aca="false">IF(IsPro,IF($D266="","",IF(OR($H266="",$H266="Credit"),0,Q266)),"")</f>
        <v/>
      </c>
    </row>
    <row r="267" customFormat="false" ht="15" hidden="false" customHeight="false" outlineLevel="0" collapsed="false">
      <c r="A267" s="55"/>
      <c r="B267" s="56"/>
      <c r="C267" s="56"/>
      <c r="D267" s="56"/>
      <c r="E267" s="57"/>
      <c r="F267" s="58"/>
      <c r="G267" s="59"/>
      <c r="H267" s="56"/>
      <c r="I267" s="56"/>
      <c r="J267" s="60" t="str">
        <f aca="false">IF(IsPro,IF($D267="","",IFERROR(INDEX(Items!$D$5:$D$504,U267),"")),"")</f>
        <v/>
      </c>
      <c r="K267" s="61" t="str">
        <f aca="false">IF(IsPro,IF($D267="","",IF($F267="",IFERROR(INDEX(Items!$H$5:$H$504,U267),0),$F267)),"")</f>
        <v/>
      </c>
      <c r="L267" s="61" t="str">
        <f aca="false">IF(IsPro,IF($D267="","",ROUND(N($E267)*K267*(1-N($G267)),2)),"")</f>
        <v/>
      </c>
      <c r="M267" s="62" t="str">
        <f aca="false">IF(IsPro,IF($D267="","",IFERROR(INDEX(Items!$F$5:$F$504,U267),0)),"")</f>
        <v/>
      </c>
      <c r="N267" s="61" t="str">
        <f aca="false">IF(IsPro,IF($D267="","",IF(AND(V267&lt;&gt;"",INDEX(Parties!$E$5:$E$304,V267)&lt;&gt;"",INDEX(Parties!$E$5:$E$304,V267)&lt;&gt;HomeState),0,ROUND(L267*M267/2,2))),"")</f>
        <v/>
      </c>
      <c r="O267" s="61" t="str">
        <f aca="false">IF(IsPro,IF($D267="","",N267),"")</f>
        <v/>
      </c>
      <c r="P267" s="61" t="str">
        <f aca="false">IF(IsPro,IF($D267="","",IF(AND(V267&lt;&gt;"",INDEX(Parties!$E$5:$E$304,V267)&lt;&gt;"",INDEX(Parties!$E$5:$E$304,V267)&lt;&gt;HomeState),ROUND(L267*M267,2),0)),"")</f>
        <v/>
      </c>
      <c r="Q267" s="61" t="str">
        <f aca="false">IF(IsPro,IF($D267="","",L267+N267+O267+P267),"")</f>
        <v/>
      </c>
      <c r="R267" s="61" t="str">
        <f aca="false">IF(IsPro,IF($D267="","",ROUND(N($E267)*IFERROR(INDEX(Items!$P$5:$P$504,U267),0),2)),"")</f>
        <v/>
      </c>
      <c r="S267" s="61" t="str">
        <f aca="false">IF(IsPro,IF($D267="","",L267-R267),"")</f>
        <v/>
      </c>
      <c r="T267" s="60" t="str">
        <f aca="false">IF(IsPro,IF($D267="","",IF(U267="","UNKNOWN ITEM",IF(INDEX(Items!$O$5:$O$504,U267)&lt;0,"NEG STOCK",IF(K267&lt;INDEX(Items!$P$5:$P$504,U267),"BELOW COST","OK")))),IF($D267="","","PRO PLAN"))</f>
        <v/>
      </c>
      <c r="U267" s="60" t="str">
        <f aca="false">IF(IsPro,IF($D267="","",IFERROR(MATCH($D267,Items!$A$5:$A$504,0),"")),"")</f>
        <v/>
      </c>
      <c r="V267" s="60" t="str">
        <f aca="false">IF(IsPro,IF($C267="","",IFERROR(MATCH($C267,Parties!$A$5:$A$304,0),"")),"")</f>
        <v/>
      </c>
      <c r="W267" s="60" t="str">
        <f aca="false">IF(IsPro,IF($B267="","",IFERROR(VALUE(SUBSTITUTE($B267,InvPrefix,"")),0)),"")</f>
        <v/>
      </c>
      <c r="X267" s="61" t="str">
        <f aca="false">IF(IsPro,IF($D267="","",IF(OR($H267="",$H267="Credit"),0,Q267)),"")</f>
        <v/>
      </c>
    </row>
    <row r="268" customFormat="false" ht="15" hidden="false" customHeight="false" outlineLevel="0" collapsed="false">
      <c r="A268" s="55"/>
      <c r="B268" s="56"/>
      <c r="C268" s="56"/>
      <c r="D268" s="56"/>
      <c r="E268" s="57"/>
      <c r="F268" s="58"/>
      <c r="G268" s="59"/>
      <c r="H268" s="56"/>
      <c r="I268" s="56"/>
      <c r="J268" s="60" t="str">
        <f aca="false">IF(IsPro,IF($D268="","",IFERROR(INDEX(Items!$D$5:$D$504,U268),"")),"")</f>
        <v/>
      </c>
      <c r="K268" s="61" t="str">
        <f aca="false">IF(IsPro,IF($D268="","",IF($F268="",IFERROR(INDEX(Items!$H$5:$H$504,U268),0),$F268)),"")</f>
        <v/>
      </c>
      <c r="L268" s="61" t="str">
        <f aca="false">IF(IsPro,IF($D268="","",ROUND(N($E268)*K268*(1-N($G268)),2)),"")</f>
        <v/>
      </c>
      <c r="M268" s="62" t="str">
        <f aca="false">IF(IsPro,IF($D268="","",IFERROR(INDEX(Items!$F$5:$F$504,U268),0)),"")</f>
        <v/>
      </c>
      <c r="N268" s="61" t="str">
        <f aca="false">IF(IsPro,IF($D268="","",IF(AND(V268&lt;&gt;"",INDEX(Parties!$E$5:$E$304,V268)&lt;&gt;"",INDEX(Parties!$E$5:$E$304,V268)&lt;&gt;HomeState),0,ROUND(L268*M268/2,2))),"")</f>
        <v/>
      </c>
      <c r="O268" s="61" t="str">
        <f aca="false">IF(IsPro,IF($D268="","",N268),"")</f>
        <v/>
      </c>
      <c r="P268" s="61" t="str">
        <f aca="false">IF(IsPro,IF($D268="","",IF(AND(V268&lt;&gt;"",INDEX(Parties!$E$5:$E$304,V268)&lt;&gt;"",INDEX(Parties!$E$5:$E$304,V268)&lt;&gt;HomeState),ROUND(L268*M268,2),0)),"")</f>
        <v/>
      </c>
      <c r="Q268" s="61" t="str">
        <f aca="false">IF(IsPro,IF($D268="","",L268+N268+O268+P268),"")</f>
        <v/>
      </c>
      <c r="R268" s="61" t="str">
        <f aca="false">IF(IsPro,IF($D268="","",ROUND(N($E268)*IFERROR(INDEX(Items!$P$5:$P$504,U268),0),2)),"")</f>
        <v/>
      </c>
      <c r="S268" s="61" t="str">
        <f aca="false">IF(IsPro,IF($D268="","",L268-R268),"")</f>
        <v/>
      </c>
      <c r="T268" s="60" t="str">
        <f aca="false">IF(IsPro,IF($D268="","",IF(U268="","UNKNOWN ITEM",IF(INDEX(Items!$O$5:$O$504,U268)&lt;0,"NEG STOCK",IF(K268&lt;INDEX(Items!$P$5:$P$504,U268),"BELOW COST","OK")))),IF($D268="","","PRO PLAN"))</f>
        <v/>
      </c>
      <c r="U268" s="60" t="str">
        <f aca="false">IF(IsPro,IF($D268="","",IFERROR(MATCH($D268,Items!$A$5:$A$504,0),"")),"")</f>
        <v/>
      </c>
      <c r="V268" s="60" t="str">
        <f aca="false">IF(IsPro,IF($C268="","",IFERROR(MATCH($C268,Parties!$A$5:$A$304,0),"")),"")</f>
        <v/>
      </c>
      <c r="W268" s="60" t="str">
        <f aca="false">IF(IsPro,IF($B268="","",IFERROR(VALUE(SUBSTITUTE($B268,InvPrefix,"")),0)),"")</f>
        <v/>
      </c>
      <c r="X268" s="61" t="str">
        <f aca="false">IF(IsPro,IF($D268="","",IF(OR($H268="",$H268="Credit"),0,Q268)),"")</f>
        <v/>
      </c>
    </row>
    <row r="269" customFormat="false" ht="15" hidden="false" customHeight="false" outlineLevel="0" collapsed="false">
      <c r="A269" s="55"/>
      <c r="B269" s="56"/>
      <c r="C269" s="56"/>
      <c r="D269" s="56"/>
      <c r="E269" s="57"/>
      <c r="F269" s="58"/>
      <c r="G269" s="59"/>
      <c r="H269" s="56"/>
      <c r="I269" s="56"/>
      <c r="J269" s="60" t="str">
        <f aca="false">IF(IsPro,IF($D269="","",IFERROR(INDEX(Items!$D$5:$D$504,U269),"")),"")</f>
        <v/>
      </c>
      <c r="K269" s="61" t="str">
        <f aca="false">IF(IsPro,IF($D269="","",IF($F269="",IFERROR(INDEX(Items!$H$5:$H$504,U269),0),$F269)),"")</f>
        <v/>
      </c>
      <c r="L269" s="61" t="str">
        <f aca="false">IF(IsPro,IF($D269="","",ROUND(N($E269)*K269*(1-N($G269)),2)),"")</f>
        <v/>
      </c>
      <c r="M269" s="62" t="str">
        <f aca="false">IF(IsPro,IF($D269="","",IFERROR(INDEX(Items!$F$5:$F$504,U269),0)),"")</f>
        <v/>
      </c>
      <c r="N269" s="61" t="str">
        <f aca="false">IF(IsPro,IF($D269="","",IF(AND(V269&lt;&gt;"",INDEX(Parties!$E$5:$E$304,V269)&lt;&gt;"",INDEX(Parties!$E$5:$E$304,V269)&lt;&gt;HomeState),0,ROUND(L269*M269/2,2))),"")</f>
        <v/>
      </c>
      <c r="O269" s="61" t="str">
        <f aca="false">IF(IsPro,IF($D269="","",N269),"")</f>
        <v/>
      </c>
      <c r="P269" s="61" t="str">
        <f aca="false">IF(IsPro,IF($D269="","",IF(AND(V269&lt;&gt;"",INDEX(Parties!$E$5:$E$304,V269)&lt;&gt;"",INDEX(Parties!$E$5:$E$304,V269)&lt;&gt;HomeState),ROUND(L269*M269,2),0)),"")</f>
        <v/>
      </c>
      <c r="Q269" s="61" t="str">
        <f aca="false">IF(IsPro,IF($D269="","",L269+N269+O269+P269),"")</f>
        <v/>
      </c>
      <c r="R269" s="61" t="str">
        <f aca="false">IF(IsPro,IF($D269="","",ROUND(N($E269)*IFERROR(INDEX(Items!$P$5:$P$504,U269),0),2)),"")</f>
        <v/>
      </c>
      <c r="S269" s="61" t="str">
        <f aca="false">IF(IsPro,IF($D269="","",L269-R269),"")</f>
        <v/>
      </c>
      <c r="T269" s="60" t="str">
        <f aca="false">IF(IsPro,IF($D269="","",IF(U269="","UNKNOWN ITEM",IF(INDEX(Items!$O$5:$O$504,U269)&lt;0,"NEG STOCK",IF(K269&lt;INDEX(Items!$P$5:$P$504,U269),"BELOW COST","OK")))),IF($D269="","","PRO PLAN"))</f>
        <v/>
      </c>
      <c r="U269" s="60" t="str">
        <f aca="false">IF(IsPro,IF($D269="","",IFERROR(MATCH($D269,Items!$A$5:$A$504,0),"")),"")</f>
        <v/>
      </c>
      <c r="V269" s="60" t="str">
        <f aca="false">IF(IsPro,IF($C269="","",IFERROR(MATCH($C269,Parties!$A$5:$A$304,0),"")),"")</f>
        <v/>
      </c>
      <c r="W269" s="60" t="str">
        <f aca="false">IF(IsPro,IF($B269="","",IFERROR(VALUE(SUBSTITUTE($B269,InvPrefix,"")),0)),"")</f>
        <v/>
      </c>
      <c r="X269" s="61" t="str">
        <f aca="false">IF(IsPro,IF($D269="","",IF(OR($H269="",$H269="Credit"),0,Q269)),"")</f>
        <v/>
      </c>
    </row>
    <row r="270" customFormat="false" ht="15" hidden="false" customHeight="false" outlineLevel="0" collapsed="false">
      <c r="A270" s="55"/>
      <c r="B270" s="56"/>
      <c r="C270" s="56"/>
      <c r="D270" s="56"/>
      <c r="E270" s="57"/>
      <c r="F270" s="58"/>
      <c r="G270" s="59"/>
      <c r="H270" s="56"/>
      <c r="I270" s="56"/>
      <c r="J270" s="60" t="str">
        <f aca="false">IF(IsPro,IF($D270="","",IFERROR(INDEX(Items!$D$5:$D$504,U270),"")),"")</f>
        <v/>
      </c>
      <c r="K270" s="61" t="str">
        <f aca="false">IF(IsPro,IF($D270="","",IF($F270="",IFERROR(INDEX(Items!$H$5:$H$504,U270),0),$F270)),"")</f>
        <v/>
      </c>
      <c r="L270" s="61" t="str">
        <f aca="false">IF(IsPro,IF($D270="","",ROUND(N($E270)*K270*(1-N($G270)),2)),"")</f>
        <v/>
      </c>
      <c r="M270" s="62" t="str">
        <f aca="false">IF(IsPro,IF($D270="","",IFERROR(INDEX(Items!$F$5:$F$504,U270),0)),"")</f>
        <v/>
      </c>
      <c r="N270" s="61" t="str">
        <f aca="false">IF(IsPro,IF($D270="","",IF(AND(V270&lt;&gt;"",INDEX(Parties!$E$5:$E$304,V270)&lt;&gt;"",INDEX(Parties!$E$5:$E$304,V270)&lt;&gt;HomeState),0,ROUND(L270*M270/2,2))),"")</f>
        <v/>
      </c>
      <c r="O270" s="61" t="str">
        <f aca="false">IF(IsPro,IF($D270="","",N270),"")</f>
        <v/>
      </c>
      <c r="P270" s="61" t="str">
        <f aca="false">IF(IsPro,IF($D270="","",IF(AND(V270&lt;&gt;"",INDEX(Parties!$E$5:$E$304,V270)&lt;&gt;"",INDEX(Parties!$E$5:$E$304,V270)&lt;&gt;HomeState),ROUND(L270*M270,2),0)),"")</f>
        <v/>
      </c>
      <c r="Q270" s="61" t="str">
        <f aca="false">IF(IsPro,IF($D270="","",L270+N270+O270+P270),"")</f>
        <v/>
      </c>
      <c r="R270" s="61" t="str">
        <f aca="false">IF(IsPro,IF($D270="","",ROUND(N($E270)*IFERROR(INDEX(Items!$P$5:$P$504,U270),0),2)),"")</f>
        <v/>
      </c>
      <c r="S270" s="61" t="str">
        <f aca="false">IF(IsPro,IF($D270="","",L270-R270),"")</f>
        <v/>
      </c>
      <c r="T270" s="60" t="str">
        <f aca="false">IF(IsPro,IF($D270="","",IF(U270="","UNKNOWN ITEM",IF(INDEX(Items!$O$5:$O$504,U270)&lt;0,"NEG STOCK",IF(K270&lt;INDEX(Items!$P$5:$P$504,U270),"BELOW COST","OK")))),IF($D270="","","PRO PLAN"))</f>
        <v/>
      </c>
      <c r="U270" s="60" t="str">
        <f aca="false">IF(IsPro,IF($D270="","",IFERROR(MATCH($D270,Items!$A$5:$A$504,0),"")),"")</f>
        <v/>
      </c>
      <c r="V270" s="60" t="str">
        <f aca="false">IF(IsPro,IF($C270="","",IFERROR(MATCH($C270,Parties!$A$5:$A$304,0),"")),"")</f>
        <v/>
      </c>
      <c r="W270" s="60" t="str">
        <f aca="false">IF(IsPro,IF($B270="","",IFERROR(VALUE(SUBSTITUTE($B270,InvPrefix,"")),0)),"")</f>
        <v/>
      </c>
      <c r="X270" s="61" t="str">
        <f aca="false">IF(IsPro,IF($D270="","",IF(OR($H270="",$H270="Credit"),0,Q270)),"")</f>
        <v/>
      </c>
    </row>
    <row r="271" customFormat="false" ht="15" hidden="false" customHeight="false" outlineLevel="0" collapsed="false">
      <c r="A271" s="55"/>
      <c r="B271" s="56"/>
      <c r="C271" s="56"/>
      <c r="D271" s="56"/>
      <c r="E271" s="57"/>
      <c r="F271" s="58"/>
      <c r="G271" s="59"/>
      <c r="H271" s="56"/>
      <c r="I271" s="56"/>
      <c r="J271" s="60" t="str">
        <f aca="false">IF(IsPro,IF($D271="","",IFERROR(INDEX(Items!$D$5:$D$504,U271),"")),"")</f>
        <v/>
      </c>
      <c r="K271" s="61" t="str">
        <f aca="false">IF(IsPro,IF($D271="","",IF($F271="",IFERROR(INDEX(Items!$H$5:$H$504,U271),0),$F271)),"")</f>
        <v/>
      </c>
      <c r="L271" s="61" t="str">
        <f aca="false">IF(IsPro,IF($D271="","",ROUND(N($E271)*K271*(1-N($G271)),2)),"")</f>
        <v/>
      </c>
      <c r="M271" s="62" t="str">
        <f aca="false">IF(IsPro,IF($D271="","",IFERROR(INDEX(Items!$F$5:$F$504,U271),0)),"")</f>
        <v/>
      </c>
      <c r="N271" s="61" t="str">
        <f aca="false">IF(IsPro,IF($D271="","",IF(AND(V271&lt;&gt;"",INDEX(Parties!$E$5:$E$304,V271)&lt;&gt;"",INDEX(Parties!$E$5:$E$304,V271)&lt;&gt;HomeState),0,ROUND(L271*M271/2,2))),"")</f>
        <v/>
      </c>
      <c r="O271" s="61" t="str">
        <f aca="false">IF(IsPro,IF($D271="","",N271),"")</f>
        <v/>
      </c>
      <c r="P271" s="61" t="str">
        <f aca="false">IF(IsPro,IF($D271="","",IF(AND(V271&lt;&gt;"",INDEX(Parties!$E$5:$E$304,V271)&lt;&gt;"",INDEX(Parties!$E$5:$E$304,V271)&lt;&gt;HomeState),ROUND(L271*M271,2),0)),"")</f>
        <v/>
      </c>
      <c r="Q271" s="61" t="str">
        <f aca="false">IF(IsPro,IF($D271="","",L271+N271+O271+P271),"")</f>
        <v/>
      </c>
      <c r="R271" s="61" t="str">
        <f aca="false">IF(IsPro,IF($D271="","",ROUND(N($E271)*IFERROR(INDEX(Items!$P$5:$P$504,U271),0),2)),"")</f>
        <v/>
      </c>
      <c r="S271" s="61" t="str">
        <f aca="false">IF(IsPro,IF($D271="","",L271-R271),"")</f>
        <v/>
      </c>
      <c r="T271" s="60" t="str">
        <f aca="false">IF(IsPro,IF($D271="","",IF(U271="","UNKNOWN ITEM",IF(INDEX(Items!$O$5:$O$504,U271)&lt;0,"NEG STOCK",IF(K271&lt;INDEX(Items!$P$5:$P$504,U271),"BELOW COST","OK")))),IF($D271="","","PRO PLAN"))</f>
        <v/>
      </c>
      <c r="U271" s="60" t="str">
        <f aca="false">IF(IsPro,IF($D271="","",IFERROR(MATCH($D271,Items!$A$5:$A$504,0),"")),"")</f>
        <v/>
      </c>
      <c r="V271" s="60" t="str">
        <f aca="false">IF(IsPro,IF($C271="","",IFERROR(MATCH($C271,Parties!$A$5:$A$304,0),"")),"")</f>
        <v/>
      </c>
      <c r="W271" s="60" t="str">
        <f aca="false">IF(IsPro,IF($B271="","",IFERROR(VALUE(SUBSTITUTE($B271,InvPrefix,"")),0)),"")</f>
        <v/>
      </c>
      <c r="X271" s="61" t="str">
        <f aca="false">IF(IsPro,IF($D271="","",IF(OR($H271="",$H271="Credit"),0,Q271)),"")</f>
        <v/>
      </c>
    </row>
    <row r="272" customFormat="false" ht="15" hidden="false" customHeight="false" outlineLevel="0" collapsed="false">
      <c r="A272" s="55"/>
      <c r="B272" s="56"/>
      <c r="C272" s="56"/>
      <c r="D272" s="56"/>
      <c r="E272" s="57"/>
      <c r="F272" s="58"/>
      <c r="G272" s="59"/>
      <c r="H272" s="56"/>
      <c r="I272" s="56"/>
      <c r="J272" s="60" t="str">
        <f aca="false">IF(IsPro,IF($D272="","",IFERROR(INDEX(Items!$D$5:$D$504,U272),"")),"")</f>
        <v/>
      </c>
      <c r="K272" s="61" t="str">
        <f aca="false">IF(IsPro,IF($D272="","",IF($F272="",IFERROR(INDEX(Items!$H$5:$H$504,U272),0),$F272)),"")</f>
        <v/>
      </c>
      <c r="L272" s="61" t="str">
        <f aca="false">IF(IsPro,IF($D272="","",ROUND(N($E272)*K272*(1-N($G272)),2)),"")</f>
        <v/>
      </c>
      <c r="M272" s="62" t="str">
        <f aca="false">IF(IsPro,IF($D272="","",IFERROR(INDEX(Items!$F$5:$F$504,U272),0)),"")</f>
        <v/>
      </c>
      <c r="N272" s="61" t="str">
        <f aca="false">IF(IsPro,IF($D272="","",IF(AND(V272&lt;&gt;"",INDEX(Parties!$E$5:$E$304,V272)&lt;&gt;"",INDEX(Parties!$E$5:$E$304,V272)&lt;&gt;HomeState),0,ROUND(L272*M272/2,2))),"")</f>
        <v/>
      </c>
      <c r="O272" s="61" t="str">
        <f aca="false">IF(IsPro,IF($D272="","",N272),"")</f>
        <v/>
      </c>
      <c r="P272" s="61" t="str">
        <f aca="false">IF(IsPro,IF($D272="","",IF(AND(V272&lt;&gt;"",INDEX(Parties!$E$5:$E$304,V272)&lt;&gt;"",INDEX(Parties!$E$5:$E$304,V272)&lt;&gt;HomeState),ROUND(L272*M272,2),0)),"")</f>
        <v/>
      </c>
      <c r="Q272" s="61" t="str">
        <f aca="false">IF(IsPro,IF($D272="","",L272+N272+O272+P272),"")</f>
        <v/>
      </c>
      <c r="R272" s="61" t="str">
        <f aca="false">IF(IsPro,IF($D272="","",ROUND(N($E272)*IFERROR(INDEX(Items!$P$5:$P$504,U272),0),2)),"")</f>
        <v/>
      </c>
      <c r="S272" s="61" t="str">
        <f aca="false">IF(IsPro,IF($D272="","",L272-R272),"")</f>
        <v/>
      </c>
      <c r="T272" s="60" t="str">
        <f aca="false">IF(IsPro,IF($D272="","",IF(U272="","UNKNOWN ITEM",IF(INDEX(Items!$O$5:$O$504,U272)&lt;0,"NEG STOCK",IF(K272&lt;INDEX(Items!$P$5:$P$504,U272),"BELOW COST","OK")))),IF($D272="","","PRO PLAN"))</f>
        <v/>
      </c>
      <c r="U272" s="60" t="str">
        <f aca="false">IF(IsPro,IF($D272="","",IFERROR(MATCH($D272,Items!$A$5:$A$504,0),"")),"")</f>
        <v/>
      </c>
      <c r="V272" s="60" t="str">
        <f aca="false">IF(IsPro,IF($C272="","",IFERROR(MATCH($C272,Parties!$A$5:$A$304,0),"")),"")</f>
        <v/>
      </c>
      <c r="W272" s="60" t="str">
        <f aca="false">IF(IsPro,IF($B272="","",IFERROR(VALUE(SUBSTITUTE($B272,InvPrefix,"")),0)),"")</f>
        <v/>
      </c>
      <c r="X272" s="61" t="str">
        <f aca="false">IF(IsPro,IF($D272="","",IF(OR($H272="",$H272="Credit"),0,Q272)),"")</f>
        <v/>
      </c>
    </row>
    <row r="273" customFormat="false" ht="15" hidden="false" customHeight="false" outlineLevel="0" collapsed="false">
      <c r="A273" s="55"/>
      <c r="B273" s="56"/>
      <c r="C273" s="56"/>
      <c r="D273" s="56"/>
      <c r="E273" s="57"/>
      <c r="F273" s="58"/>
      <c r="G273" s="59"/>
      <c r="H273" s="56"/>
      <c r="I273" s="56"/>
      <c r="J273" s="60" t="str">
        <f aca="false">IF(IsPro,IF($D273="","",IFERROR(INDEX(Items!$D$5:$D$504,U273),"")),"")</f>
        <v/>
      </c>
      <c r="K273" s="61" t="str">
        <f aca="false">IF(IsPro,IF($D273="","",IF($F273="",IFERROR(INDEX(Items!$H$5:$H$504,U273),0),$F273)),"")</f>
        <v/>
      </c>
      <c r="L273" s="61" t="str">
        <f aca="false">IF(IsPro,IF($D273="","",ROUND(N($E273)*K273*(1-N($G273)),2)),"")</f>
        <v/>
      </c>
      <c r="M273" s="62" t="str">
        <f aca="false">IF(IsPro,IF($D273="","",IFERROR(INDEX(Items!$F$5:$F$504,U273),0)),"")</f>
        <v/>
      </c>
      <c r="N273" s="61" t="str">
        <f aca="false">IF(IsPro,IF($D273="","",IF(AND(V273&lt;&gt;"",INDEX(Parties!$E$5:$E$304,V273)&lt;&gt;"",INDEX(Parties!$E$5:$E$304,V273)&lt;&gt;HomeState),0,ROUND(L273*M273/2,2))),"")</f>
        <v/>
      </c>
      <c r="O273" s="61" t="str">
        <f aca="false">IF(IsPro,IF($D273="","",N273),"")</f>
        <v/>
      </c>
      <c r="P273" s="61" t="str">
        <f aca="false">IF(IsPro,IF($D273="","",IF(AND(V273&lt;&gt;"",INDEX(Parties!$E$5:$E$304,V273)&lt;&gt;"",INDEX(Parties!$E$5:$E$304,V273)&lt;&gt;HomeState),ROUND(L273*M273,2),0)),"")</f>
        <v/>
      </c>
      <c r="Q273" s="61" t="str">
        <f aca="false">IF(IsPro,IF($D273="","",L273+N273+O273+P273),"")</f>
        <v/>
      </c>
      <c r="R273" s="61" t="str">
        <f aca="false">IF(IsPro,IF($D273="","",ROUND(N($E273)*IFERROR(INDEX(Items!$P$5:$P$504,U273),0),2)),"")</f>
        <v/>
      </c>
      <c r="S273" s="61" t="str">
        <f aca="false">IF(IsPro,IF($D273="","",L273-R273),"")</f>
        <v/>
      </c>
      <c r="T273" s="60" t="str">
        <f aca="false">IF(IsPro,IF($D273="","",IF(U273="","UNKNOWN ITEM",IF(INDEX(Items!$O$5:$O$504,U273)&lt;0,"NEG STOCK",IF(K273&lt;INDEX(Items!$P$5:$P$504,U273),"BELOW COST","OK")))),IF($D273="","","PRO PLAN"))</f>
        <v/>
      </c>
      <c r="U273" s="60" t="str">
        <f aca="false">IF(IsPro,IF($D273="","",IFERROR(MATCH($D273,Items!$A$5:$A$504,0),"")),"")</f>
        <v/>
      </c>
      <c r="V273" s="60" t="str">
        <f aca="false">IF(IsPro,IF($C273="","",IFERROR(MATCH($C273,Parties!$A$5:$A$304,0),"")),"")</f>
        <v/>
      </c>
      <c r="W273" s="60" t="str">
        <f aca="false">IF(IsPro,IF($B273="","",IFERROR(VALUE(SUBSTITUTE($B273,InvPrefix,"")),0)),"")</f>
        <v/>
      </c>
      <c r="X273" s="61" t="str">
        <f aca="false">IF(IsPro,IF($D273="","",IF(OR($H273="",$H273="Credit"),0,Q273)),"")</f>
        <v/>
      </c>
    </row>
    <row r="274" customFormat="false" ht="15" hidden="false" customHeight="false" outlineLevel="0" collapsed="false">
      <c r="A274" s="55"/>
      <c r="B274" s="56"/>
      <c r="C274" s="56"/>
      <c r="D274" s="56"/>
      <c r="E274" s="57"/>
      <c r="F274" s="58"/>
      <c r="G274" s="59"/>
      <c r="H274" s="56"/>
      <c r="I274" s="56"/>
      <c r="J274" s="60" t="str">
        <f aca="false">IF(IsPro,IF($D274="","",IFERROR(INDEX(Items!$D$5:$D$504,U274),"")),"")</f>
        <v/>
      </c>
      <c r="K274" s="61" t="str">
        <f aca="false">IF(IsPro,IF($D274="","",IF($F274="",IFERROR(INDEX(Items!$H$5:$H$504,U274),0),$F274)),"")</f>
        <v/>
      </c>
      <c r="L274" s="61" t="str">
        <f aca="false">IF(IsPro,IF($D274="","",ROUND(N($E274)*K274*(1-N($G274)),2)),"")</f>
        <v/>
      </c>
      <c r="M274" s="62" t="str">
        <f aca="false">IF(IsPro,IF($D274="","",IFERROR(INDEX(Items!$F$5:$F$504,U274),0)),"")</f>
        <v/>
      </c>
      <c r="N274" s="61" t="str">
        <f aca="false">IF(IsPro,IF($D274="","",IF(AND(V274&lt;&gt;"",INDEX(Parties!$E$5:$E$304,V274)&lt;&gt;"",INDEX(Parties!$E$5:$E$304,V274)&lt;&gt;HomeState),0,ROUND(L274*M274/2,2))),"")</f>
        <v/>
      </c>
      <c r="O274" s="61" t="str">
        <f aca="false">IF(IsPro,IF($D274="","",N274),"")</f>
        <v/>
      </c>
      <c r="P274" s="61" t="str">
        <f aca="false">IF(IsPro,IF($D274="","",IF(AND(V274&lt;&gt;"",INDEX(Parties!$E$5:$E$304,V274)&lt;&gt;"",INDEX(Parties!$E$5:$E$304,V274)&lt;&gt;HomeState),ROUND(L274*M274,2),0)),"")</f>
        <v/>
      </c>
      <c r="Q274" s="61" t="str">
        <f aca="false">IF(IsPro,IF($D274="","",L274+N274+O274+P274),"")</f>
        <v/>
      </c>
      <c r="R274" s="61" t="str">
        <f aca="false">IF(IsPro,IF($D274="","",ROUND(N($E274)*IFERROR(INDEX(Items!$P$5:$P$504,U274),0),2)),"")</f>
        <v/>
      </c>
      <c r="S274" s="61" t="str">
        <f aca="false">IF(IsPro,IF($D274="","",L274-R274),"")</f>
        <v/>
      </c>
      <c r="T274" s="60" t="str">
        <f aca="false">IF(IsPro,IF($D274="","",IF(U274="","UNKNOWN ITEM",IF(INDEX(Items!$O$5:$O$504,U274)&lt;0,"NEG STOCK",IF(K274&lt;INDEX(Items!$P$5:$P$504,U274),"BELOW COST","OK")))),IF($D274="","","PRO PLAN"))</f>
        <v/>
      </c>
      <c r="U274" s="60" t="str">
        <f aca="false">IF(IsPro,IF($D274="","",IFERROR(MATCH($D274,Items!$A$5:$A$504,0),"")),"")</f>
        <v/>
      </c>
      <c r="V274" s="60" t="str">
        <f aca="false">IF(IsPro,IF($C274="","",IFERROR(MATCH($C274,Parties!$A$5:$A$304,0),"")),"")</f>
        <v/>
      </c>
      <c r="W274" s="60" t="str">
        <f aca="false">IF(IsPro,IF($B274="","",IFERROR(VALUE(SUBSTITUTE($B274,InvPrefix,"")),0)),"")</f>
        <v/>
      </c>
      <c r="X274" s="61" t="str">
        <f aca="false">IF(IsPro,IF($D274="","",IF(OR($H274="",$H274="Credit"),0,Q274)),"")</f>
        <v/>
      </c>
    </row>
    <row r="275" customFormat="false" ht="15" hidden="false" customHeight="false" outlineLevel="0" collapsed="false">
      <c r="A275" s="55"/>
      <c r="B275" s="56"/>
      <c r="C275" s="56"/>
      <c r="D275" s="56"/>
      <c r="E275" s="57"/>
      <c r="F275" s="58"/>
      <c r="G275" s="59"/>
      <c r="H275" s="56"/>
      <c r="I275" s="56"/>
      <c r="J275" s="60" t="str">
        <f aca="false">IF(IsPro,IF($D275="","",IFERROR(INDEX(Items!$D$5:$D$504,U275),"")),"")</f>
        <v/>
      </c>
      <c r="K275" s="61" t="str">
        <f aca="false">IF(IsPro,IF($D275="","",IF($F275="",IFERROR(INDEX(Items!$H$5:$H$504,U275),0),$F275)),"")</f>
        <v/>
      </c>
      <c r="L275" s="61" t="str">
        <f aca="false">IF(IsPro,IF($D275="","",ROUND(N($E275)*K275*(1-N($G275)),2)),"")</f>
        <v/>
      </c>
      <c r="M275" s="62" t="str">
        <f aca="false">IF(IsPro,IF($D275="","",IFERROR(INDEX(Items!$F$5:$F$504,U275),0)),"")</f>
        <v/>
      </c>
      <c r="N275" s="61" t="str">
        <f aca="false">IF(IsPro,IF($D275="","",IF(AND(V275&lt;&gt;"",INDEX(Parties!$E$5:$E$304,V275)&lt;&gt;"",INDEX(Parties!$E$5:$E$304,V275)&lt;&gt;HomeState),0,ROUND(L275*M275/2,2))),"")</f>
        <v/>
      </c>
      <c r="O275" s="61" t="str">
        <f aca="false">IF(IsPro,IF($D275="","",N275),"")</f>
        <v/>
      </c>
      <c r="P275" s="61" t="str">
        <f aca="false">IF(IsPro,IF($D275="","",IF(AND(V275&lt;&gt;"",INDEX(Parties!$E$5:$E$304,V275)&lt;&gt;"",INDEX(Parties!$E$5:$E$304,V275)&lt;&gt;HomeState),ROUND(L275*M275,2),0)),"")</f>
        <v/>
      </c>
      <c r="Q275" s="61" t="str">
        <f aca="false">IF(IsPro,IF($D275="","",L275+N275+O275+P275),"")</f>
        <v/>
      </c>
      <c r="R275" s="61" t="str">
        <f aca="false">IF(IsPro,IF($D275="","",ROUND(N($E275)*IFERROR(INDEX(Items!$P$5:$P$504,U275),0),2)),"")</f>
        <v/>
      </c>
      <c r="S275" s="61" t="str">
        <f aca="false">IF(IsPro,IF($D275="","",L275-R275),"")</f>
        <v/>
      </c>
      <c r="T275" s="60" t="str">
        <f aca="false">IF(IsPro,IF($D275="","",IF(U275="","UNKNOWN ITEM",IF(INDEX(Items!$O$5:$O$504,U275)&lt;0,"NEG STOCK",IF(K275&lt;INDEX(Items!$P$5:$P$504,U275),"BELOW COST","OK")))),IF($D275="","","PRO PLAN"))</f>
        <v/>
      </c>
      <c r="U275" s="60" t="str">
        <f aca="false">IF(IsPro,IF($D275="","",IFERROR(MATCH($D275,Items!$A$5:$A$504,0),"")),"")</f>
        <v/>
      </c>
      <c r="V275" s="60" t="str">
        <f aca="false">IF(IsPro,IF($C275="","",IFERROR(MATCH($C275,Parties!$A$5:$A$304,0),"")),"")</f>
        <v/>
      </c>
      <c r="W275" s="60" t="str">
        <f aca="false">IF(IsPro,IF($B275="","",IFERROR(VALUE(SUBSTITUTE($B275,InvPrefix,"")),0)),"")</f>
        <v/>
      </c>
      <c r="X275" s="61" t="str">
        <f aca="false">IF(IsPro,IF($D275="","",IF(OR($H275="",$H275="Credit"),0,Q275)),"")</f>
        <v/>
      </c>
    </row>
    <row r="276" customFormat="false" ht="15" hidden="false" customHeight="false" outlineLevel="0" collapsed="false">
      <c r="A276" s="55"/>
      <c r="B276" s="56"/>
      <c r="C276" s="56"/>
      <c r="D276" s="56"/>
      <c r="E276" s="57"/>
      <c r="F276" s="58"/>
      <c r="G276" s="59"/>
      <c r="H276" s="56"/>
      <c r="I276" s="56"/>
      <c r="J276" s="60" t="str">
        <f aca="false">IF(IsPro,IF($D276="","",IFERROR(INDEX(Items!$D$5:$D$504,U276),"")),"")</f>
        <v/>
      </c>
      <c r="K276" s="61" t="str">
        <f aca="false">IF(IsPro,IF($D276="","",IF($F276="",IFERROR(INDEX(Items!$H$5:$H$504,U276),0),$F276)),"")</f>
        <v/>
      </c>
      <c r="L276" s="61" t="str">
        <f aca="false">IF(IsPro,IF($D276="","",ROUND(N($E276)*K276*(1-N($G276)),2)),"")</f>
        <v/>
      </c>
      <c r="M276" s="62" t="str">
        <f aca="false">IF(IsPro,IF($D276="","",IFERROR(INDEX(Items!$F$5:$F$504,U276),0)),"")</f>
        <v/>
      </c>
      <c r="N276" s="61" t="str">
        <f aca="false">IF(IsPro,IF($D276="","",IF(AND(V276&lt;&gt;"",INDEX(Parties!$E$5:$E$304,V276)&lt;&gt;"",INDEX(Parties!$E$5:$E$304,V276)&lt;&gt;HomeState),0,ROUND(L276*M276/2,2))),"")</f>
        <v/>
      </c>
      <c r="O276" s="61" t="str">
        <f aca="false">IF(IsPro,IF($D276="","",N276),"")</f>
        <v/>
      </c>
      <c r="P276" s="61" t="str">
        <f aca="false">IF(IsPro,IF($D276="","",IF(AND(V276&lt;&gt;"",INDEX(Parties!$E$5:$E$304,V276)&lt;&gt;"",INDEX(Parties!$E$5:$E$304,V276)&lt;&gt;HomeState),ROUND(L276*M276,2),0)),"")</f>
        <v/>
      </c>
      <c r="Q276" s="61" t="str">
        <f aca="false">IF(IsPro,IF($D276="","",L276+N276+O276+P276),"")</f>
        <v/>
      </c>
      <c r="R276" s="61" t="str">
        <f aca="false">IF(IsPro,IF($D276="","",ROUND(N($E276)*IFERROR(INDEX(Items!$P$5:$P$504,U276),0),2)),"")</f>
        <v/>
      </c>
      <c r="S276" s="61" t="str">
        <f aca="false">IF(IsPro,IF($D276="","",L276-R276),"")</f>
        <v/>
      </c>
      <c r="T276" s="60" t="str">
        <f aca="false">IF(IsPro,IF($D276="","",IF(U276="","UNKNOWN ITEM",IF(INDEX(Items!$O$5:$O$504,U276)&lt;0,"NEG STOCK",IF(K276&lt;INDEX(Items!$P$5:$P$504,U276),"BELOW COST","OK")))),IF($D276="","","PRO PLAN"))</f>
        <v/>
      </c>
      <c r="U276" s="60" t="str">
        <f aca="false">IF(IsPro,IF($D276="","",IFERROR(MATCH($D276,Items!$A$5:$A$504,0),"")),"")</f>
        <v/>
      </c>
      <c r="V276" s="60" t="str">
        <f aca="false">IF(IsPro,IF($C276="","",IFERROR(MATCH($C276,Parties!$A$5:$A$304,0),"")),"")</f>
        <v/>
      </c>
      <c r="W276" s="60" t="str">
        <f aca="false">IF(IsPro,IF($B276="","",IFERROR(VALUE(SUBSTITUTE($B276,InvPrefix,"")),0)),"")</f>
        <v/>
      </c>
      <c r="X276" s="61" t="str">
        <f aca="false">IF(IsPro,IF($D276="","",IF(OR($H276="",$H276="Credit"),0,Q276)),"")</f>
        <v/>
      </c>
    </row>
    <row r="277" customFormat="false" ht="15" hidden="false" customHeight="false" outlineLevel="0" collapsed="false">
      <c r="A277" s="55"/>
      <c r="B277" s="56"/>
      <c r="C277" s="56"/>
      <c r="D277" s="56"/>
      <c r="E277" s="57"/>
      <c r="F277" s="58"/>
      <c r="G277" s="59"/>
      <c r="H277" s="56"/>
      <c r="I277" s="56"/>
      <c r="J277" s="60" t="str">
        <f aca="false">IF(IsPro,IF($D277="","",IFERROR(INDEX(Items!$D$5:$D$504,U277),"")),"")</f>
        <v/>
      </c>
      <c r="K277" s="61" t="str">
        <f aca="false">IF(IsPro,IF($D277="","",IF($F277="",IFERROR(INDEX(Items!$H$5:$H$504,U277),0),$F277)),"")</f>
        <v/>
      </c>
      <c r="L277" s="61" t="str">
        <f aca="false">IF(IsPro,IF($D277="","",ROUND(N($E277)*K277*(1-N($G277)),2)),"")</f>
        <v/>
      </c>
      <c r="M277" s="62" t="str">
        <f aca="false">IF(IsPro,IF($D277="","",IFERROR(INDEX(Items!$F$5:$F$504,U277),0)),"")</f>
        <v/>
      </c>
      <c r="N277" s="61" t="str">
        <f aca="false">IF(IsPro,IF($D277="","",IF(AND(V277&lt;&gt;"",INDEX(Parties!$E$5:$E$304,V277)&lt;&gt;"",INDEX(Parties!$E$5:$E$304,V277)&lt;&gt;HomeState),0,ROUND(L277*M277/2,2))),"")</f>
        <v/>
      </c>
      <c r="O277" s="61" t="str">
        <f aca="false">IF(IsPro,IF($D277="","",N277),"")</f>
        <v/>
      </c>
      <c r="P277" s="61" t="str">
        <f aca="false">IF(IsPro,IF($D277="","",IF(AND(V277&lt;&gt;"",INDEX(Parties!$E$5:$E$304,V277)&lt;&gt;"",INDEX(Parties!$E$5:$E$304,V277)&lt;&gt;HomeState),ROUND(L277*M277,2),0)),"")</f>
        <v/>
      </c>
      <c r="Q277" s="61" t="str">
        <f aca="false">IF(IsPro,IF($D277="","",L277+N277+O277+P277),"")</f>
        <v/>
      </c>
      <c r="R277" s="61" t="str">
        <f aca="false">IF(IsPro,IF($D277="","",ROUND(N($E277)*IFERROR(INDEX(Items!$P$5:$P$504,U277),0),2)),"")</f>
        <v/>
      </c>
      <c r="S277" s="61" t="str">
        <f aca="false">IF(IsPro,IF($D277="","",L277-R277),"")</f>
        <v/>
      </c>
      <c r="T277" s="60" t="str">
        <f aca="false">IF(IsPro,IF($D277="","",IF(U277="","UNKNOWN ITEM",IF(INDEX(Items!$O$5:$O$504,U277)&lt;0,"NEG STOCK",IF(K277&lt;INDEX(Items!$P$5:$P$504,U277),"BELOW COST","OK")))),IF($D277="","","PRO PLAN"))</f>
        <v/>
      </c>
      <c r="U277" s="60" t="str">
        <f aca="false">IF(IsPro,IF($D277="","",IFERROR(MATCH($D277,Items!$A$5:$A$504,0),"")),"")</f>
        <v/>
      </c>
      <c r="V277" s="60" t="str">
        <f aca="false">IF(IsPro,IF($C277="","",IFERROR(MATCH($C277,Parties!$A$5:$A$304,0),"")),"")</f>
        <v/>
      </c>
      <c r="W277" s="60" t="str">
        <f aca="false">IF(IsPro,IF($B277="","",IFERROR(VALUE(SUBSTITUTE($B277,InvPrefix,"")),0)),"")</f>
        <v/>
      </c>
      <c r="X277" s="61" t="str">
        <f aca="false">IF(IsPro,IF($D277="","",IF(OR($H277="",$H277="Credit"),0,Q277)),"")</f>
        <v/>
      </c>
    </row>
    <row r="278" customFormat="false" ht="15" hidden="false" customHeight="false" outlineLevel="0" collapsed="false">
      <c r="A278" s="55"/>
      <c r="B278" s="56"/>
      <c r="C278" s="56"/>
      <c r="D278" s="56"/>
      <c r="E278" s="57"/>
      <c r="F278" s="58"/>
      <c r="G278" s="59"/>
      <c r="H278" s="56"/>
      <c r="I278" s="56"/>
      <c r="J278" s="60" t="str">
        <f aca="false">IF(IsPro,IF($D278="","",IFERROR(INDEX(Items!$D$5:$D$504,U278),"")),"")</f>
        <v/>
      </c>
      <c r="K278" s="61" t="str">
        <f aca="false">IF(IsPro,IF($D278="","",IF($F278="",IFERROR(INDEX(Items!$H$5:$H$504,U278),0),$F278)),"")</f>
        <v/>
      </c>
      <c r="L278" s="61" t="str">
        <f aca="false">IF(IsPro,IF($D278="","",ROUND(N($E278)*K278*(1-N($G278)),2)),"")</f>
        <v/>
      </c>
      <c r="M278" s="62" t="str">
        <f aca="false">IF(IsPro,IF($D278="","",IFERROR(INDEX(Items!$F$5:$F$504,U278),0)),"")</f>
        <v/>
      </c>
      <c r="N278" s="61" t="str">
        <f aca="false">IF(IsPro,IF($D278="","",IF(AND(V278&lt;&gt;"",INDEX(Parties!$E$5:$E$304,V278)&lt;&gt;"",INDEX(Parties!$E$5:$E$304,V278)&lt;&gt;HomeState),0,ROUND(L278*M278/2,2))),"")</f>
        <v/>
      </c>
      <c r="O278" s="61" t="str">
        <f aca="false">IF(IsPro,IF($D278="","",N278),"")</f>
        <v/>
      </c>
      <c r="P278" s="61" t="str">
        <f aca="false">IF(IsPro,IF($D278="","",IF(AND(V278&lt;&gt;"",INDEX(Parties!$E$5:$E$304,V278)&lt;&gt;"",INDEX(Parties!$E$5:$E$304,V278)&lt;&gt;HomeState),ROUND(L278*M278,2),0)),"")</f>
        <v/>
      </c>
      <c r="Q278" s="61" t="str">
        <f aca="false">IF(IsPro,IF($D278="","",L278+N278+O278+P278),"")</f>
        <v/>
      </c>
      <c r="R278" s="61" t="str">
        <f aca="false">IF(IsPro,IF($D278="","",ROUND(N($E278)*IFERROR(INDEX(Items!$P$5:$P$504,U278),0),2)),"")</f>
        <v/>
      </c>
      <c r="S278" s="61" t="str">
        <f aca="false">IF(IsPro,IF($D278="","",L278-R278),"")</f>
        <v/>
      </c>
      <c r="T278" s="60" t="str">
        <f aca="false">IF(IsPro,IF($D278="","",IF(U278="","UNKNOWN ITEM",IF(INDEX(Items!$O$5:$O$504,U278)&lt;0,"NEG STOCK",IF(K278&lt;INDEX(Items!$P$5:$P$504,U278),"BELOW COST","OK")))),IF($D278="","","PRO PLAN"))</f>
        <v/>
      </c>
      <c r="U278" s="60" t="str">
        <f aca="false">IF(IsPro,IF($D278="","",IFERROR(MATCH($D278,Items!$A$5:$A$504,0),"")),"")</f>
        <v/>
      </c>
      <c r="V278" s="60" t="str">
        <f aca="false">IF(IsPro,IF($C278="","",IFERROR(MATCH($C278,Parties!$A$5:$A$304,0),"")),"")</f>
        <v/>
      </c>
      <c r="W278" s="60" t="str">
        <f aca="false">IF(IsPro,IF($B278="","",IFERROR(VALUE(SUBSTITUTE($B278,InvPrefix,"")),0)),"")</f>
        <v/>
      </c>
      <c r="X278" s="61" t="str">
        <f aca="false">IF(IsPro,IF($D278="","",IF(OR($H278="",$H278="Credit"),0,Q278)),"")</f>
        <v/>
      </c>
    </row>
    <row r="279" customFormat="false" ht="15" hidden="false" customHeight="false" outlineLevel="0" collapsed="false">
      <c r="A279" s="55"/>
      <c r="B279" s="56"/>
      <c r="C279" s="56"/>
      <c r="D279" s="56"/>
      <c r="E279" s="57"/>
      <c r="F279" s="58"/>
      <c r="G279" s="59"/>
      <c r="H279" s="56"/>
      <c r="I279" s="56"/>
      <c r="J279" s="60" t="str">
        <f aca="false">IF(IsPro,IF($D279="","",IFERROR(INDEX(Items!$D$5:$D$504,U279),"")),"")</f>
        <v/>
      </c>
      <c r="K279" s="61" t="str">
        <f aca="false">IF(IsPro,IF($D279="","",IF($F279="",IFERROR(INDEX(Items!$H$5:$H$504,U279),0),$F279)),"")</f>
        <v/>
      </c>
      <c r="L279" s="61" t="str">
        <f aca="false">IF(IsPro,IF($D279="","",ROUND(N($E279)*K279*(1-N($G279)),2)),"")</f>
        <v/>
      </c>
      <c r="M279" s="62" t="str">
        <f aca="false">IF(IsPro,IF($D279="","",IFERROR(INDEX(Items!$F$5:$F$504,U279),0)),"")</f>
        <v/>
      </c>
      <c r="N279" s="61" t="str">
        <f aca="false">IF(IsPro,IF($D279="","",IF(AND(V279&lt;&gt;"",INDEX(Parties!$E$5:$E$304,V279)&lt;&gt;"",INDEX(Parties!$E$5:$E$304,V279)&lt;&gt;HomeState),0,ROUND(L279*M279/2,2))),"")</f>
        <v/>
      </c>
      <c r="O279" s="61" t="str">
        <f aca="false">IF(IsPro,IF($D279="","",N279),"")</f>
        <v/>
      </c>
      <c r="P279" s="61" t="str">
        <f aca="false">IF(IsPro,IF($D279="","",IF(AND(V279&lt;&gt;"",INDEX(Parties!$E$5:$E$304,V279)&lt;&gt;"",INDEX(Parties!$E$5:$E$304,V279)&lt;&gt;HomeState),ROUND(L279*M279,2),0)),"")</f>
        <v/>
      </c>
      <c r="Q279" s="61" t="str">
        <f aca="false">IF(IsPro,IF($D279="","",L279+N279+O279+P279),"")</f>
        <v/>
      </c>
      <c r="R279" s="61" t="str">
        <f aca="false">IF(IsPro,IF($D279="","",ROUND(N($E279)*IFERROR(INDEX(Items!$P$5:$P$504,U279),0),2)),"")</f>
        <v/>
      </c>
      <c r="S279" s="61" t="str">
        <f aca="false">IF(IsPro,IF($D279="","",L279-R279),"")</f>
        <v/>
      </c>
      <c r="T279" s="60" t="str">
        <f aca="false">IF(IsPro,IF($D279="","",IF(U279="","UNKNOWN ITEM",IF(INDEX(Items!$O$5:$O$504,U279)&lt;0,"NEG STOCK",IF(K279&lt;INDEX(Items!$P$5:$P$504,U279),"BELOW COST","OK")))),IF($D279="","","PRO PLAN"))</f>
        <v/>
      </c>
      <c r="U279" s="60" t="str">
        <f aca="false">IF(IsPro,IF($D279="","",IFERROR(MATCH($D279,Items!$A$5:$A$504,0),"")),"")</f>
        <v/>
      </c>
      <c r="V279" s="60" t="str">
        <f aca="false">IF(IsPro,IF($C279="","",IFERROR(MATCH($C279,Parties!$A$5:$A$304,0),"")),"")</f>
        <v/>
      </c>
      <c r="W279" s="60" t="str">
        <f aca="false">IF(IsPro,IF($B279="","",IFERROR(VALUE(SUBSTITUTE($B279,InvPrefix,"")),0)),"")</f>
        <v/>
      </c>
      <c r="X279" s="61" t="str">
        <f aca="false">IF(IsPro,IF($D279="","",IF(OR($H279="",$H279="Credit"),0,Q279)),"")</f>
        <v/>
      </c>
    </row>
    <row r="280" customFormat="false" ht="15" hidden="false" customHeight="false" outlineLevel="0" collapsed="false">
      <c r="A280" s="55"/>
      <c r="B280" s="56"/>
      <c r="C280" s="56"/>
      <c r="D280" s="56"/>
      <c r="E280" s="57"/>
      <c r="F280" s="58"/>
      <c r="G280" s="59"/>
      <c r="H280" s="56"/>
      <c r="I280" s="56"/>
      <c r="J280" s="60" t="str">
        <f aca="false">IF(IsPro,IF($D280="","",IFERROR(INDEX(Items!$D$5:$D$504,U280),"")),"")</f>
        <v/>
      </c>
      <c r="K280" s="61" t="str">
        <f aca="false">IF(IsPro,IF($D280="","",IF($F280="",IFERROR(INDEX(Items!$H$5:$H$504,U280),0),$F280)),"")</f>
        <v/>
      </c>
      <c r="L280" s="61" t="str">
        <f aca="false">IF(IsPro,IF($D280="","",ROUND(N($E280)*K280*(1-N($G280)),2)),"")</f>
        <v/>
      </c>
      <c r="M280" s="62" t="str">
        <f aca="false">IF(IsPro,IF($D280="","",IFERROR(INDEX(Items!$F$5:$F$504,U280),0)),"")</f>
        <v/>
      </c>
      <c r="N280" s="61" t="str">
        <f aca="false">IF(IsPro,IF($D280="","",IF(AND(V280&lt;&gt;"",INDEX(Parties!$E$5:$E$304,V280)&lt;&gt;"",INDEX(Parties!$E$5:$E$304,V280)&lt;&gt;HomeState),0,ROUND(L280*M280/2,2))),"")</f>
        <v/>
      </c>
      <c r="O280" s="61" t="str">
        <f aca="false">IF(IsPro,IF($D280="","",N280),"")</f>
        <v/>
      </c>
      <c r="P280" s="61" t="str">
        <f aca="false">IF(IsPro,IF($D280="","",IF(AND(V280&lt;&gt;"",INDEX(Parties!$E$5:$E$304,V280)&lt;&gt;"",INDEX(Parties!$E$5:$E$304,V280)&lt;&gt;HomeState),ROUND(L280*M280,2),0)),"")</f>
        <v/>
      </c>
      <c r="Q280" s="61" t="str">
        <f aca="false">IF(IsPro,IF($D280="","",L280+N280+O280+P280),"")</f>
        <v/>
      </c>
      <c r="R280" s="61" t="str">
        <f aca="false">IF(IsPro,IF($D280="","",ROUND(N($E280)*IFERROR(INDEX(Items!$P$5:$P$504,U280),0),2)),"")</f>
        <v/>
      </c>
      <c r="S280" s="61" t="str">
        <f aca="false">IF(IsPro,IF($D280="","",L280-R280),"")</f>
        <v/>
      </c>
      <c r="T280" s="60" t="str">
        <f aca="false">IF(IsPro,IF($D280="","",IF(U280="","UNKNOWN ITEM",IF(INDEX(Items!$O$5:$O$504,U280)&lt;0,"NEG STOCK",IF(K280&lt;INDEX(Items!$P$5:$P$504,U280),"BELOW COST","OK")))),IF($D280="","","PRO PLAN"))</f>
        <v/>
      </c>
      <c r="U280" s="60" t="str">
        <f aca="false">IF(IsPro,IF($D280="","",IFERROR(MATCH($D280,Items!$A$5:$A$504,0),"")),"")</f>
        <v/>
      </c>
      <c r="V280" s="60" t="str">
        <f aca="false">IF(IsPro,IF($C280="","",IFERROR(MATCH($C280,Parties!$A$5:$A$304,0),"")),"")</f>
        <v/>
      </c>
      <c r="W280" s="60" t="str">
        <f aca="false">IF(IsPro,IF($B280="","",IFERROR(VALUE(SUBSTITUTE($B280,InvPrefix,"")),0)),"")</f>
        <v/>
      </c>
      <c r="X280" s="61" t="str">
        <f aca="false">IF(IsPro,IF($D280="","",IF(OR($H280="",$H280="Credit"),0,Q280)),"")</f>
        <v/>
      </c>
    </row>
    <row r="281" customFormat="false" ht="15" hidden="false" customHeight="false" outlineLevel="0" collapsed="false">
      <c r="A281" s="55"/>
      <c r="B281" s="56"/>
      <c r="C281" s="56"/>
      <c r="D281" s="56"/>
      <c r="E281" s="57"/>
      <c r="F281" s="58"/>
      <c r="G281" s="59"/>
      <c r="H281" s="56"/>
      <c r="I281" s="56"/>
      <c r="J281" s="60" t="str">
        <f aca="false">IF(IsPro,IF($D281="","",IFERROR(INDEX(Items!$D$5:$D$504,U281),"")),"")</f>
        <v/>
      </c>
      <c r="K281" s="61" t="str">
        <f aca="false">IF(IsPro,IF($D281="","",IF($F281="",IFERROR(INDEX(Items!$H$5:$H$504,U281),0),$F281)),"")</f>
        <v/>
      </c>
      <c r="L281" s="61" t="str">
        <f aca="false">IF(IsPro,IF($D281="","",ROUND(N($E281)*K281*(1-N($G281)),2)),"")</f>
        <v/>
      </c>
      <c r="M281" s="62" t="str">
        <f aca="false">IF(IsPro,IF($D281="","",IFERROR(INDEX(Items!$F$5:$F$504,U281),0)),"")</f>
        <v/>
      </c>
      <c r="N281" s="61" t="str">
        <f aca="false">IF(IsPro,IF($D281="","",IF(AND(V281&lt;&gt;"",INDEX(Parties!$E$5:$E$304,V281)&lt;&gt;"",INDEX(Parties!$E$5:$E$304,V281)&lt;&gt;HomeState),0,ROUND(L281*M281/2,2))),"")</f>
        <v/>
      </c>
      <c r="O281" s="61" t="str">
        <f aca="false">IF(IsPro,IF($D281="","",N281),"")</f>
        <v/>
      </c>
      <c r="P281" s="61" t="str">
        <f aca="false">IF(IsPro,IF($D281="","",IF(AND(V281&lt;&gt;"",INDEX(Parties!$E$5:$E$304,V281)&lt;&gt;"",INDEX(Parties!$E$5:$E$304,V281)&lt;&gt;HomeState),ROUND(L281*M281,2),0)),"")</f>
        <v/>
      </c>
      <c r="Q281" s="61" t="str">
        <f aca="false">IF(IsPro,IF($D281="","",L281+N281+O281+P281),"")</f>
        <v/>
      </c>
      <c r="R281" s="61" t="str">
        <f aca="false">IF(IsPro,IF($D281="","",ROUND(N($E281)*IFERROR(INDEX(Items!$P$5:$P$504,U281),0),2)),"")</f>
        <v/>
      </c>
      <c r="S281" s="61" t="str">
        <f aca="false">IF(IsPro,IF($D281="","",L281-R281),"")</f>
        <v/>
      </c>
      <c r="T281" s="60" t="str">
        <f aca="false">IF(IsPro,IF($D281="","",IF(U281="","UNKNOWN ITEM",IF(INDEX(Items!$O$5:$O$504,U281)&lt;0,"NEG STOCK",IF(K281&lt;INDEX(Items!$P$5:$P$504,U281),"BELOW COST","OK")))),IF($D281="","","PRO PLAN"))</f>
        <v/>
      </c>
      <c r="U281" s="60" t="str">
        <f aca="false">IF(IsPro,IF($D281="","",IFERROR(MATCH($D281,Items!$A$5:$A$504,0),"")),"")</f>
        <v/>
      </c>
      <c r="V281" s="60" t="str">
        <f aca="false">IF(IsPro,IF($C281="","",IFERROR(MATCH($C281,Parties!$A$5:$A$304,0),"")),"")</f>
        <v/>
      </c>
      <c r="W281" s="60" t="str">
        <f aca="false">IF(IsPro,IF($B281="","",IFERROR(VALUE(SUBSTITUTE($B281,InvPrefix,"")),0)),"")</f>
        <v/>
      </c>
      <c r="X281" s="61" t="str">
        <f aca="false">IF(IsPro,IF($D281="","",IF(OR($H281="",$H281="Credit"),0,Q281)),"")</f>
        <v/>
      </c>
    </row>
    <row r="282" customFormat="false" ht="15" hidden="false" customHeight="false" outlineLevel="0" collapsed="false">
      <c r="A282" s="55"/>
      <c r="B282" s="56"/>
      <c r="C282" s="56"/>
      <c r="D282" s="56"/>
      <c r="E282" s="57"/>
      <c r="F282" s="58"/>
      <c r="G282" s="59"/>
      <c r="H282" s="56"/>
      <c r="I282" s="56"/>
      <c r="J282" s="60" t="str">
        <f aca="false">IF(IsPro,IF($D282="","",IFERROR(INDEX(Items!$D$5:$D$504,U282),"")),"")</f>
        <v/>
      </c>
      <c r="K282" s="61" t="str">
        <f aca="false">IF(IsPro,IF($D282="","",IF($F282="",IFERROR(INDEX(Items!$H$5:$H$504,U282),0),$F282)),"")</f>
        <v/>
      </c>
      <c r="L282" s="61" t="str">
        <f aca="false">IF(IsPro,IF($D282="","",ROUND(N($E282)*K282*(1-N($G282)),2)),"")</f>
        <v/>
      </c>
      <c r="M282" s="62" t="str">
        <f aca="false">IF(IsPro,IF($D282="","",IFERROR(INDEX(Items!$F$5:$F$504,U282),0)),"")</f>
        <v/>
      </c>
      <c r="N282" s="61" t="str">
        <f aca="false">IF(IsPro,IF($D282="","",IF(AND(V282&lt;&gt;"",INDEX(Parties!$E$5:$E$304,V282)&lt;&gt;"",INDEX(Parties!$E$5:$E$304,V282)&lt;&gt;HomeState),0,ROUND(L282*M282/2,2))),"")</f>
        <v/>
      </c>
      <c r="O282" s="61" t="str">
        <f aca="false">IF(IsPro,IF($D282="","",N282),"")</f>
        <v/>
      </c>
      <c r="P282" s="61" t="str">
        <f aca="false">IF(IsPro,IF($D282="","",IF(AND(V282&lt;&gt;"",INDEX(Parties!$E$5:$E$304,V282)&lt;&gt;"",INDEX(Parties!$E$5:$E$304,V282)&lt;&gt;HomeState),ROUND(L282*M282,2),0)),"")</f>
        <v/>
      </c>
      <c r="Q282" s="61" t="str">
        <f aca="false">IF(IsPro,IF($D282="","",L282+N282+O282+P282),"")</f>
        <v/>
      </c>
      <c r="R282" s="61" t="str">
        <f aca="false">IF(IsPro,IF($D282="","",ROUND(N($E282)*IFERROR(INDEX(Items!$P$5:$P$504,U282),0),2)),"")</f>
        <v/>
      </c>
      <c r="S282" s="61" t="str">
        <f aca="false">IF(IsPro,IF($D282="","",L282-R282),"")</f>
        <v/>
      </c>
      <c r="T282" s="60" t="str">
        <f aca="false">IF(IsPro,IF($D282="","",IF(U282="","UNKNOWN ITEM",IF(INDEX(Items!$O$5:$O$504,U282)&lt;0,"NEG STOCK",IF(K282&lt;INDEX(Items!$P$5:$P$504,U282),"BELOW COST","OK")))),IF($D282="","","PRO PLAN"))</f>
        <v/>
      </c>
      <c r="U282" s="60" t="str">
        <f aca="false">IF(IsPro,IF($D282="","",IFERROR(MATCH($D282,Items!$A$5:$A$504,0),"")),"")</f>
        <v/>
      </c>
      <c r="V282" s="60" t="str">
        <f aca="false">IF(IsPro,IF($C282="","",IFERROR(MATCH($C282,Parties!$A$5:$A$304,0),"")),"")</f>
        <v/>
      </c>
      <c r="W282" s="60" t="str">
        <f aca="false">IF(IsPro,IF($B282="","",IFERROR(VALUE(SUBSTITUTE($B282,InvPrefix,"")),0)),"")</f>
        <v/>
      </c>
      <c r="X282" s="61" t="str">
        <f aca="false">IF(IsPro,IF($D282="","",IF(OR($H282="",$H282="Credit"),0,Q282)),"")</f>
        <v/>
      </c>
    </row>
    <row r="283" customFormat="false" ht="15" hidden="false" customHeight="false" outlineLevel="0" collapsed="false">
      <c r="A283" s="55"/>
      <c r="B283" s="56"/>
      <c r="C283" s="56"/>
      <c r="D283" s="56"/>
      <c r="E283" s="57"/>
      <c r="F283" s="58"/>
      <c r="G283" s="59"/>
      <c r="H283" s="56"/>
      <c r="I283" s="56"/>
      <c r="J283" s="60" t="str">
        <f aca="false">IF(IsPro,IF($D283="","",IFERROR(INDEX(Items!$D$5:$D$504,U283),"")),"")</f>
        <v/>
      </c>
      <c r="K283" s="61" t="str">
        <f aca="false">IF(IsPro,IF($D283="","",IF($F283="",IFERROR(INDEX(Items!$H$5:$H$504,U283),0),$F283)),"")</f>
        <v/>
      </c>
      <c r="L283" s="61" t="str">
        <f aca="false">IF(IsPro,IF($D283="","",ROUND(N($E283)*K283*(1-N($G283)),2)),"")</f>
        <v/>
      </c>
      <c r="M283" s="62" t="str">
        <f aca="false">IF(IsPro,IF($D283="","",IFERROR(INDEX(Items!$F$5:$F$504,U283),0)),"")</f>
        <v/>
      </c>
      <c r="N283" s="61" t="str">
        <f aca="false">IF(IsPro,IF($D283="","",IF(AND(V283&lt;&gt;"",INDEX(Parties!$E$5:$E$304,V283)&lt;&gt;"",INDEX(Parties!$E$5:$E$304,V283)&lt;&gt;HomeState),0,ROUND(L283*M283/2,2))),"")</f>
        <v/>
      </c>
      <c r="O283" s="61" t="str">
        <f aca="false">IF(IsPro,IF($D283="","",N283),"")</f>
        <v/>
      </c>
      <c r="P283" s="61" t="str">
        <f aca="false">IF(IsPro,IF($D283="","",IF(AND(V283&lt;&gt;"",INDEX(Parties!$E$5:$E$304,V283)&lt;&gt;"",INDEX(Parties!$E$5:$E$304,V283)&lt;&gt;HomeState),ROUND(L283*M283,2),0)),"")</f>
        <v/>
      </c>
      <c r="Q283" s="61" t="str">
        <f aca="false">IF(IsPro,IF($D283="","",L283+N283+O283+P283),"")</f>
        <v/>
      </c>
      <c r="R283" s="61" t="str">
        <f aca="false">IF(IsPro,IF($D283="","",ROUND(N($E283)*IFERROR(INDEX(Items!$P$5:$P$504,U283),0),2)),"")</f>
        <v/>
      </c>
      <c r="S283" s="61" t="str">
        <f aca="false">IF(IsPro,IF($D283="","",L283-R283),"")</f>
        <v/>
      </c>
      <c r="T283" s="60" t="str">
        <f aca="false">IF(IsPro,IF($D283="","",IF(U283="","UNKNOWN ITEM",IF(INDEX(Items!$O$5:$O$504,U283)&lt;0,"NEG STOCK",IF(K283&lt;INDEX(Items!$P$5:$P$504,U283),"BELOW COST","OK")))),IF($D283="","","PRO PLAN"))</f>
        <v/>
      </c>
      <c r="U283" s="60" t="str">
        <f aca="false">IF(IsPro,IF($D283="","",IFERROR(MATCH($D283,Items!$A$5:$A$504,0),"")),"")</f>
        <v/>
      </c>
      <c r="V283" s="60" t="str">
        <f aca="false">IF(IsPro,IF($C283="","",IFERROR(MATCH($C283,Parties!$A$5:$A$304,0),"")),"")</f>
        <v/>
      </c>
      <c r="W283" s="60" t="str">
        <f aca="false">IF(IsPro,IF($B283="","",IFERROR(VALUE(SUBSTITUTE($B283,InvPrefix,"")),0)),"")</f>
        <v/>
      </c>
      <c r="X283" s="61" t="str">
        <f aca="false">IF(IsPro,IF($D283="","",IF(OR($H283="",$H283="Credit"),0,Q283)),"")</f>
        <v/>
      </c>
    </row>
    <row r="284" customFormat="false" ht="15" hidden="false" customHeight="false" outlineLevel="0" collapsed="false">
      <c r="A284" s="55"/>
      <c r="B284" s="56"/>
      <c r="C284" s="56"/>
      <c r="D284" s="56"/>
      <c r="E284" s="57"/>
      <c r="F284" s="58"/>
      <c r="G284" s="59"/>
      <c r="H284" s="56"/>
      <c r="I284" s="56"/>
      <c r="J284" s="60" t="str">
        <f aca="false">IF(IsPro,IF($D284="","",IFERROR(INDEX(Items!$D$5:$D$504,U284),"")),"")</f>
        <v/>
      </c>
      <c r="K284" s="61" t="str">
        <f aca="false">IF(IsPro,IF($D284="","",IF($F284="",IFERROR(INDEX(Items!$H$5:$H$504,U284),0),$F284)),"")</f>
        <v/>
      </c>
      <c r="L284" s="61" t="str">
        <f aca="false">IF(IsPro,IF($D284="","",ROUND(N($E284)*K284*(1-N($G284)),2)),"")</f>
        <v/>
      </c>
      <c r="M284" s="62" t="str">
        <f aca="false">IF(IsPro,IF($D284="","",IFERROR(INDEX(Items!$F$5:$F$504,U284),0)),"")</f>
        <v/>
      </c>
      <c r="N284" s="61" t="str">
        <f aca="false">IF(IsPro,IF($D284="","",IF(AND(V284&lt;&gt;"",INDEX(Parties!$E$5:$E$304,V284)&lt;&gt;"",INDEX(Parties!$E$5:$E$304,V284)&lt;&gt;HomeState),0,ROUND(L284*M284/2,2))),"")</f>
        <v/>
      </c>
      <c r="O284" s="61" t="str">
        <f aca="false">IF(IsPro,IF($D284="","",N284),"")</f>
        <v/>
      </c>
      <c r="P284" s="61" t="str">
        <f aca="false">IF(IsPro,IF($D284="","",IF(AND(V284&lt;&gt;"",INDEX(Parties!$E$5:$E$304,V284)&lt;&gt;"",INDEX(Parties!$E$5:$E$304,V284)&lt;&gt;HomeState),ROUND(L284*M284,2),0)),"")</f>
        <v/>
      </c>
      <c r="Q284" s="61" t="str">
        <f aca="false">IF(IsPro,IF($D284="","",L284+N284+O284+P284),"")</f>
        <v/>
      </c>
      <c r="R284" s="61" t="str">
        <f aca="false">IF(IsPro,IF($D284="","",ROUND(N($E284)*IFERROR(INDEX(Items!$P$5:$P$504,U284),0),2)),"")</f>
        <v/>
      </c>
      <c r="S284" s="61" t="str">
        <f aca="false">IF(IsPro,IF($D284="","",L284-R284),"")</f>
        <v/>
      </c>
      <c r="T284" s="60" t="str">
        <f aca="false">IF(IsPro,IF($D284="","",IF(U284="","UNKNOWN ITEM",IF(INDEX(Items!$O$5:$O$504,U284)&lt;0,"NEG STOCK",IF(K284&lt;INDEX(Items!$P$5:$P$504,U284),"BELOW COST","OK")))),IF($D284="","","PRO PLAN"))</f>
        <v/>
      </c>
      <c r="U284" s="60" t="str">
        <f aca="false">IF(IsPro,IF($D284="","",IFERROR(MATCH($D284,Items!$A$5:$A$504,0),"")),"")</f>
        <v/>
      </c>
      <c r="V284" s="60" t="str">
        <f aca="false">IF(IsPro,IF($C284="","",IFERROR(MATCH($C284,Parties!$A$5:$A$304,0),"")),"")</f>
        <v/>
      </c>
      <c r="W284" s="60" t="str">
        <f aca="false">IF(IsPro,IF($B284="","",IFERROR(VALUE(SUBSTITUTE($B284,InvPrefix,"")),0)),"")</f>
        <v/>
      </c>
      <c r="X284" s="61" t="str">
        <f aca="false">IF(IsPro,IF($D284="","",IF(OR($H284="",$H284="Credit"),0,Q284)),"")</f>
        <v/>
      </c>
    </row>
    <row r="285" customFormat="false" ht="15" hidden="false" customHeight="false" outlineLevel="0" collapsed="false">
      <c r="A285" s="55"/>
      <c r="B285" s="56"/>
      <c r="C285" s="56"/>
      <c r="D285" s="56"/>
      <c r="E285" s="57"/>
      <c r="F285" s="58"/>
      <c r="G285" s="59"/>
      <c r="H285" s="56"/>
      <c r="I285" s="56"/>
      <c r="J285" s="60" t="str">
        <f aca="false">IF(IsPro,IF($D285="","",IFERROR(INDEX(Items!$D$5:$D$504,U285),"")),"")</f>
        <v/>
      </c>
      <c r="K285" s="61" t="str">
        <f aca="false">IF(IsPro,IF($D285="","",IF($F285="",IFERROR(INDEX(Items!$H$5:$H$504,U285),0),$F285)),"")</f>
        <v/>
      </c>
      <c r="L285" s="61" t="str">
        <f aca="false">IF(IsPro,IF($D285="","",ROUND(N($E285)*K285*(1-N($G285)),2)),"")</f>
        <v/>
      </c>
      <c r="M285" s="62" t="str">
        <f aca="false">IF(IsPro,IF($D285="","",IFERROR(INDEX(Items!$F$5:$F$504,U285),0)),"")</f>
        <v/>
      </c>
      <c r="N285" s="61" t="str">
        <f aca="false">IF(IsPro,IF($D285="","",IF(AND(V285&lt;&gt;"",INDEX(Parties!$E$5:$E$304,V285)&lt;&gt;"",INDEX(Parties!$E$5:$E$304,V285)&lt;&gt;HomeState),0,ROUND(L285*M285/2,2))),"")</f>
        <v/>
      </c>
      <c r="O285" s="61" t="str">
        <f aca="false">IF(IsPro,IF($D285="","",N285),"")</f>
        <v/>
      </c>
      <c r="P285" s="61" t="str">
        <f aca="false">IF(IsPro,IF($D285="","",IF(AND(V285&lt;&gt;"",INDEX(Parties!$E$5:$E$304,V285)&lt;&gt;"",INDEX(Parties!$E$5:$E$304,V285)&lt;&gt;HomeState),ROUND(L285*M285,2),0)),"")</f>
        <v/>
      </c>
      <c r="Q285" s="61" t="str">
        <f aca="false">IF(IsPro,IF($D285="","",L285+N285+O285+P285),"")</f>
        <v/>
      </c>
      <c r="R285" s="61" t="str">
        <f aca="false">IF(IsPro,IF($D285="","",ROUND(N($E285)*IFERROR(INDEX(Items!$P$5:$P$504,U285),0),2)),"")</f>
        <v/>
      </c>
      <c r="S285" s="61" t="str">
        <f aca="false">IF(IsPro,IF($D285="","",L285-R285),"")</f>
        <v/>
      </c>
      <c r="T285" s="60" t="str">
        <f aca="false">IF(IsPro,IF($D285="","",IF(U285="","UNKNOWN ITEM",IF(INDEX(Items!$O$5:$O$504,U285)&lt;0,"NEG STOCK",IF(K285&lt;INDEX(Items!$P$5:$P$504,U285),"BELOW COST","OK")))),IF($D285="","","PRO PLAN"))</f>
        <v/>
      </c>
      <c r="U285" s="60" t="str">
        <f aca="false">IF(IsPro,IF($D285="","",IFERROR(MATCH($D285,Items!$A$5:$A$504,0),"")),"")</f>
        <v/>
      </c>
      <c r="V285" s="60" t="str">
        <f aca="false">IF(IsPro,IF($C285="","",IFERROR(MATCH($C285,Parties!$A$5:$A$304,0),"")),"")</f>
        <v/>
      </c>
      <c r="W285" s="60" t="str">
        <f aca="false">IF(IsPro,IF($B285="","",IFERROR(VALUE(SUBSTITUTE($B285,InvPrefix,"")),0)),"")</f>
        <v/>
      </c>
      <c r="X285" s="61" t="str">
        <f aca="false">IF(IsPro,IF($D285="","",IF(OR($H285="",$H285="Credit"),0,Q285)),"")</f>
        <v/>
      </c>
    </row>
    <row r="286" customFormat="false" ht="15" hidden="false" customHeight="false" outlineLevel="0" collapsed="false">
      <c r="A286" s="55"/>
      <c r="B286" s="56"/>
      <c r="C286" s="56"/>
      <c r="D286" s="56"/>
      <c r="E286" s="57"/>
      <c r="F286" s="58"/>
      <c r="G286" s="59"/>
      <c r="H286" s="56"/>
      <c r="I286" s="56"/>
      <c r="J286" s="60" t="str">
        <f aca="false">IF(IsPro,IF($D286="","",IFERROR(INDEX(Items!$D$5:$D$504,U286),"")),"")</f>
        <v/>
      </c>
      <c r="K286" s="61" t="str">
        <f aca="false">IF(IsPro,IF($D286="","",IF($F286="",IFERROR(INDEX(Items!$H$5:$H$504,U286),0),$F286)),"")</f>
        <v/>
      </c>
      <c r="L286" s="61" t="str">
        <f aca="false">IF(IsPro,IF($D286="","",ROUND(N($E286)*K286*(1-N($G286)),2)),"")</f>
        <v/>
      </c>
      <c r="M286" s="62" t="str">
        <f aca="false">IF(IsPro,IF($D286="","",IFERROR(INDEX(Items!$F$5:$F$504,U286),0)),"")</f>
        <v/>
      </c>
      <c r="N286" s="61" t="str">
        <f aca="false">IF(IsPro,IF($D286="","",IF(AND(V286&lt;&gt;"",INDEX(Parties!$E$5:$E$304,V286)&lt;&gt;"",INDEX(Parties!$E$5:$E$304,V286)&lt;&gt;HomeState),0,ROUND(L286*M286/2,2))),"")</f>
        <v/>
      </c>
      <c r="O286" s="61" t="str">
        <f aca="false">IF(IsPro,IF($D286="","",N286),"")</f>
        <v/>
      </c>
      <c r="P286" s="61" t="str">
        <f aca="false">IF(IsPro,IF($D286="","",IF(AND(V286&lt;&gt;"",INDEX(Parties!$E$5:$E$304,V286)&lt;&gt;"",INDEX(Parties!$E$5:$E$304,V286)&lt;&gt;HomeState),ROUND(L286*M286,2),0)),"")</f>
        <v/>
      </c>
      <c r="Q286" s="61" t="str">
        <f aca="false">IF(IsPro,IF($D286="","",L286+N286+O286+P286),"")</f>
        <v/>
      </c>
      <c r="R286" s="61" t="str">
        <f aca="false">IF(IsPro,IF($D286="","",ROUND(N($E286)*IFERROR(INDEX(Items!$P$5:$P$504,U286),0),2)),"")</f>
        <v/>
      </c>
      <c r="S286" s="61" t="str">
        <f aca="false">IF(IsPro,IF($D286="","",L286-R286),"")</f>
        <v/>
      </c>
      <c r="T286" s="60" t="str">
        <f aca="false">IF(IsPro,IF($D286="","",IF(U286="","UNKNOWN ITEM",IF(INDEX(Items!$O$5:$O$504,U286)&lt;0,"NEG STOCK",IF(K286&lt;INDEX(Items!$P$5:$P$504,U286),"BELOW COST","OK")))),IF($D286="","","PRO PLAN"))</f>
        <v/>
      </c>
      <c r="U286" s="60" t="str">
        <f aca="false">IF(IsPro,IF($D286="","",IFERROR(MATCH($D286,Items!$A$5:$A$504,0),"")),"")</f>
        <v/>
      </c>
      <c r="V286" s="60" t="str">
        <f aca="false">IF(IsPro,IF($C286="","",IFERROR(MATCH($C286,Parties!$A$5:$A$304,0),"")),"")</f>
        <v/>
      </c>
      <c r="W286" s="60" t="str">
        <f aca="false">IF(IsPro,IF($B286="","",IFERROR(VALUE(SUBSTITUTE($B286,InvPrefix,"")),0)),"")</f>
        <v/>
      </c>
      <c r="X286" s="61" t="str">
        <f aca="false">IF(IsPro,IF($D286="","",IF(OR($H286="",$H286="Credit"),0,Q286)),"")</f>
        <v/>
      </c>
    </row>
    <row r="287" customFormat="false" ht="15" hidden="false" customHeight="false" outlineLevel="0" collapsed="false">
      <c r="A287" s="55"/>
      <c r="B287" s="56"/>
      <c r="C287" s="56"/>
      <c r="D287" s="56"/>
      <c r="E287" s="57"/>
      <c r="F287" s="58"/>
      <c r="G287" s="59"/>
      <c r="H287" s="56"/>
      <c r="I287" s="56"/>
      <c r="J287" s="60" t="str">
        <f aca="false">IF(IsPro,IF($D287="","",IFERROR(INDEX(Items!$D$5:$D$504,U287),"")),"")</f>
        <v/>
      </c>
      <c r="K287" s="61" t="str">
        <f aca="false">IF(IsPro,IF($D287="","",IF($F287="",IFERROR(INDEX(Items!$H$5:$H$504,U287),0),$F287)),"")</f>
        <v/>
      </c>
      <c r="L287" s="61" t="str">
        <f aca="false">IF(IsPro,IF($D287="","",ROUND(N($E287)*K287*(1-N($G287)),2)),"")</f>
        <v/>
      </c>
      <c r="M287" s="62" t="str">
        <f aca="false">IF(IsPro,IF($D287="","",IFERROR(INDEX(Items!$F$5:$F$504,U287),0)),"")</f>
        <v/>
      </c>
      <c r="N287" s="61" t="str">
        <f aca="false">IF(IsPro,IF($D287="","",IF(AND(V287&lt;&gt;"",INDEX(Parties!$E$5:$E$304,V287)&lt;&gt;"",INDEX(Parties!$E$5:$E$304,V287)&lt;&gt;HomeState),0,ROUND(L287*M287/2,2))),"")</f>
        <v/>
      </c>
      <c r="O287" s="61" t="str">
        <f aca="false">IF(IsPro,IF($D287="","",N287),"")</f>
        <v/>
      </c>
      <c r="P287" s="61" t="str">
        <f aca="false">IF(IsPro,IF($D287="","",IF(AND(V287&lt;&gt;"",INDEX(Parties!$E$5:$E$304,V287)&lt;&gt;"",INDEX(Parties!$E$5:$E$304,V287)&lt;&gt;HomeState),ROUND(L287*M287,2),0)),"")</f>
        <v/>
      </c>
      <c r="Q287" s="61" t="str">
        <f aca="false">IF(IsPro,IF($D287="","",L287+N287+O287+P287),"")</f>
        <v/>
      </c>
      <c r="R287" s="61" t="str">
        <f aca="false">IF(IsPro,IF($D287="","",ROUND(N($E287)*IFERROR(INDEX(Items!$P$5:$P$504,U287),0),2)),"")</f>
        <v/>
      </c>
      <c r="S287" s="61" t="str">
        <f aca="false">IF(IsPro,IF($D287="","",L287-R287),"")</f>
        <v/>
      </c>
      <c r="T287" s="60" t="str">
        <f aca="false">IF(IsPro,IF($D287="","",IF(U287="","UNKNOWN ITEM",IF(INDEX(Items!$O$5:$O$504,U287)&lt;0,"NEG STOCK",IF(K287&lt;INDEX(Items!$P$5:$P$504,U287),"BELOW COST","OK")))),IF($D287="","","PRO PLAN"))</f>
        <v/>
      </c>
      <c r="U287" s="60" t="str">
        <f aca="false">IF(IsPro,IF($D287="","",IFERROR(MATCH($D287,Items!$A$5:$A$504,0),"")),"")</f>
        <v/>
      </c>
      <c r="V287" s="60" t="str">
        <f aca="false">IF(IsPro,IF($C287="","",IFERROR(MATCH($C287,Parties!$A$5:$A$304,0),"")),"")</f>
        <v/>
      </c>
      <c r="W287" s="60" t="str">
        <f aca="false">IF(IsPro,IF($B287="","",IFERROR(VALUE(SUBSTITUTE($B287,InvPrefix,"")),0)),"")</f>
        <v/>
      </c>
      <c r="X287" s="61" t="str">
        <f aca="false">IF(IsPro,IF($D287="","",IF(OR($H287="",$H287="Credit"),0,Q287)),"")</f>
        <v/>
      </c>
    </row>
    <row r="288" customFormat="false" ht="15" hidden="false" customHeight="false" outlineLevel="0" collapsed="false">
      <c r="A288" s="55"/>
      <c r="B288" s="56"/>
      <c r="C288" s="56"/>
      <c r="D288" s="56"/>
      <c r="E288" s="57"/>
      <c r="F288" s="58"/>
      <c r="G288" s="59"/>
      <c r="H288" s="56"/>
      <c r="I288" s="56"/>
      <c r="J288" s="60" t="str">
        <f aca="false">IF(IsPro,IF($D288="","",IFERROR(INDEX(Items!$D$5:$D$504,U288),"")),"")</f>
        <v/>
      </c>
      <c r="K288" s="61" t="str">
        <f aca="false">IF(IsPro,IF($D288="","",IF($F288="",IFERROR(INDEX(Items!$H$5:$H$504,U288),0),$F288)),"")</f>
        <v/>
      </c>
      <c r="L288" s="61" t="str">
        <f aca="false">IF(IsPro,IF($D288="","",ROUND(N($E288)*K288*(1-N($G288)),2)),"")</f>
        <v/>
      </c>
      <c r="M288" s="62" t="str">
        <f aca="false">IF(IsPro,IF($D288="","",IFERROR(INDEX(Items!$F$5:$F$504,U288),0)),"")</f>
        <v/>
      </c>
      <c r="N288" s="61" t="str">
        <f aca="false">IF(IsPro,IF($D288="","",IF(AND(V288&lt;&gt;"",INDEX(Parties!$E$5:$E$304,V288)&lt;&gt;"",INDEX(Parties!$E$5:$E$304,V288)&lt;&gt;HomeState),0,ROUND(L288*M288/2,2))),"")</f>
        <v/>
      </c>
      <c r="O288" s="61" t="str">
        <f aca="false">IF(IsPro,IF($D288="","",N288),"")</f>
        <v/>
      </c>
      <c r="P288" s="61" t="str">
        <f aca="false">IF(IsPro,IF($D288="","",IF(AND(V288&lt;&gt;"",INDEX(Parties!$E$5:$E$304,V288)&lt;&gt;"",INDEX(Parties!$E$5:$E$304,V288)&lt;&gt;HomeState),ROUND(L288*M288,2),0)),"")</f>
        <v/>
      </c>
      <c r="Q288" s="61" t="str">
        <f aca="false">IF(IsPro,IF($D288="","",L288+N288+O288+P288),"")</f>
        <v/>
      </c>
      <c r="R288" s="61" t="str">
        <f aca="false">IF(IsPro,IF($D288="","",ROUND(N($E288)*IFERROR(INDEX(Items!$P$5:$P$504,U288),0),2)),"")</f>
        <v/>
      </c>
      <c r="S288" s="61" t="str">
        <f aca="false">IF(IsPro,IF($D288="","",L288-R288),"")</f>
        <v/>
      </c>
      <c r="T288" s="60" t="str">
        <f aca="false">IF(IsPro,IF($D288="","",IF(U288="","UNKNOWN ITEM",IF(INDEX(Items!$O$5:$O$504,U288)&lt;0,"NEG STOCK",IF(K288&lt;INDEX(Items!$P$5:$P$504,U288),"BELOW COST","OK")))),IF($D288="","","PRO PLAN"))</f>
        <v/>
      </c>
      <c r="U288" s="60" t="str">
        <f aca="false">IF(IsPro,IF($D288="","",IFERROR(MATCH($D288,Items!$A$5:$A$504,0),"")),"")</f>
        <v/>
      </c>
      <c r="V288" s="60" t="str">
        <f aca="false">IF(IsPro,IF($C288="","",IFERROR(MATCH($C288,Parties!$A$5:$A$304,0),"")),"")</f>
        <v/>
      </c>
      <c r="W288" s="60" t="str">
        <f aca="false">IF(IsPro,IF($B288="","",IFERROR(VALUE(SUBSTITUTE($B288,InvPrefix,"")),0)),"")</f>
        <v/>
      </c>
      <c r="X288" s="61" t="str">
        <f aca="false">IF(IsPro,IF($D288="","",IF(OR($H288="",$H288="Credit"),0,Q288)),"")</f>
        <v/>
      </c>
    </row>
    <row r="289" customFormat="false" ht="15" hidden="false" customHeight="false" outlineLevel="0" collapsed="false">
      <c r="A289" s="55"/>
      <c r="B289" s="56"/>
      <c r="C289" s="56"/>
      <c r="D289" s="56"/>
      <c r="E289" s="57"/>
      <c r="F289" s="58"/>
      <c r="G289" s="59"/>
      <c r="H289" s="56"/>
      <c r="I289" s="56"/>
      <c r="J289" s="60" t="str">
        <f aca="false">IF(IsPro,IF($D289="","",IFERROR(INDEX(Items!$D$5:$D$504,U289),"")),"")</f>
        <v/>
      </c>
      <c r="K289" s="61" t="str">
        <f aca="false">IF(IsPro,IF($D289="","",IF($F289="",IFERROR(INDEX(Items!$H$5:$H$504,U289),0),$F289)),"")</f>
        <v/>
      </c>
      <c r="L289" s="61" t="str">
        <f aca="false">IF(IsPro,IF($D289="","",ROUND(N($E289)*K289*(1-N($G289)),2)),"")</f>
        <v/>
      </c>
      <c r="M289" s="62" t="str">
        <f aca="false">IF(IsPro,IF($D289="","",IFERROR(INDEX(Items!$F$5:$F$504,U289),0)),"")</f>
        <v/>
      </c>
      <c r="N289" s="61" t="str">
        <f aca="false">IF(IsPro,IF($D289="","",IF(AND(V289&lt;&gt;"",INDEX(Parties!$E$5:$E$304,V289)&lt;&gt;"",INDEX(Parties!$E$5:$E$304,V289)&lt;&gt;HomeState),0,ROUND(L289*M289/2,2))),"")</f>
        <v/>
      </c>
      <c r="O289" s="61" t="str">
        <f aca="false">IF(IsPro,IF($D289="","",N289),"")</f>
        <v/>
      </c>
      <c r="P289" s="61" t="str">
        <f aca="false">IF(IsPro,IF($D289="","",IF(AND(V289&lt;&gt;"",INDEX(Parties!$E$5:$E$304,V289)&lt;&gt;"",INDEX(Parties!$E$5:$E$304,V289)&lt;&gt;HomeState),ROUND(L289*M289,2),0)),"")</f>
        <v/>
      </c>
      <c r="Q289" s="61" t="str">
        <f aca="false">IF(IsPro,IF($D289="","",L289+N289+O289+P289),"")</f>
        <v/>
      </c>
      <c r="R289" s="61" t="str">
        <f aca="false">IF(IsPro,IF($D289="","",ROUND(N($E289)*IFERROR(INDEX(Items!$P$5:$P$504,U289),0),2)),"")</f>
        <v/>
      </c>
      <c r="S289" s="61" t="str">
        <f aca="false">IF(IsPro,IF($D289="","",L289-R289),"")</f>
        <v/>
      </c>
      <c r="T289" s="60" t="str">
        <f aca="false">IF(IsPro,IF($D289="","",IF(U289="","UNKNOWN ITEM",IF(INDEX(Items!$O$5:$O$504,U289)&lt;0,"NEG STOCK",IF(K289&lt;INDEX(Items!$P$5:$P$504,U289),"BELOW COST","OK")))),IF($D289="","","PRO PLAN"))</f>
        <v/>
      </c>
      <c r="U289" s="60" t="str">
        <f aca="false">IF(IsPro,IF($D289="","",IFERROR(MATCH($D289,Items!$A$5:$A$504,0),"")),"")</f>
        <v/>
      </c>
      <c r="V289" s="60" t="str">
        <f aca="false">IF(IsPro,IF($C289="","",IFERROR(MATCH($C289,Parties!$A$5:$A$304,0),"")),"")</f>
        <v/>
      </c>
      <c r="W289" s="60" t="str">
        <f aca="false">IF(IsPro,IF($B289="","",IFERROR(VALUE(SUBSTITUTE($B289,InvPrefix,"")),0)),"")</f>
        <v/>
      </c>
      <c r="X289" s="61" t="str">
        <f aca="false">IF(IsPro,IF($D289="","",IF(OR($H289="",$H289="Credit"),0,Q289)),"")</f>
        <v/>
      </c>
    </row>
    <row r="290" customFormat="false" ht="15" hidden="false" customHeight="false" outlineLevel="0" collapsed="false">
      <c r="A290" s="55"/>
      <c r="B290" s="56"/>
      <c r="C290" s="56"/>
      <c r="D290" s="56"/>
      <c r="E290" s="57"/>
      <c r="F290" s="58"/>
      <c r="G290" s="59"/>
      <c r="H290" s="56"/>
      <c r="I290" s="56"/>
      <c r="J290" s="60" t="str">
        <f aca="false">IF(IsPro,IF($D290="","",IFERROR(INDEX(Items!$D$5:$D$504,U290),"")),"")</f>
        <v/>
      </c>
      <c r="K290" s="61" t="str">
        <f aca="false">IF(IsPro,IF($D290="","",IF($F290="",IFERROR(INDEX(Items!$H$5:$H$504,U290),0),$F290)),"")</f>
        <v/>
      </c>
      <c r="L290" s="61" t="str">
        <f aca="false">IF(IsPro,IF($D290="","",ROUND(N($E290)*K290*(1-N($G290)),2)),"")</f>
        <v/>
      </c>
      <c r="M290" s="62" t="str">
        <f aca="false">IF(IsPro,IF($D290="","",IFERROR(INDEX(Items!$F$5:$F$504,U290),0)),"")</f>
        <v/>
      </c>
      <c r="N290" s="61" t="str">
        <f aca="false">IF(IsPro,IF($D290="","",IF(AND(V290&lt;&gt;"",INDEX(Parties!$E$5:$E$304,V290)&lt;&gt;"",INDEX(Parties!$E$5:$E$304,V290)&lt;&gt;HomeState),0,ROUND(L290*M290/2,2))),"")</f>
        <v/>
      </c>
      <c r="O290" s="61" t="str">
        <f aca="false">IF(IsPro,IF($D290="","",N290),"")</f>
        <v/>
      </c>
      <c r="P290" s="61" t="str">
        <f aca="false">IF(IsPro,IF($D290="","",IF(AND(V290&lt;&gt;"",INDEX(Parties!$E$5:$E$304,V290)&lt;&gt;"",INDEX(Parties!$E$5:$E$304,V290)&lt;&gt;HomeState),ROUND(L290*M290,2),0)),"")</f>
        <v/>
      </c>
      <c r="Q290" s="61" t="str">
        <f aca="false">IF(IsPro,IF($D290="","",L290+N290+O290+P290),"")</f>
        <v/>
      </c>
      <c r="R290" s="61" t="str">
        <f aca="false">IF(IsPro,IF($D290="","",ROUND(N($E290)*IFERROR(INDEX(Items!$P$5:$P$504,U290),0),2)),"")</f>
        <v/>
      </c>
      <c r="S290" s="61" t="str">
        <f aca="false">IF(IsPro,IF($D290="","",L290-R290),"")</f>
        <v/>
      </c>
      <c r="T290" s="60" t="str">
        <f aca="false">IF(IsPro,IF($D290="","",IF(U290="","UNKNOWN ITEM",IF(INDEX(Items!$O$5:$O$504,U290)&lt;0,"NEG STOCK",IF(K290&lt;INDEX(Items!$P$5:$P$504,U290),"BELOW COST","OK")))),IF($D290="","","PRO PLAN"))</f>
        <v/>
      </c>
      <c r="U290" s="60" t="str">
        <f aca="false">IF(IsPro,IF($D290="","",IFERROR(MATCH($D290,Items!$A$5:$A$504,0),"")),"")</f>
        <v/>
      </c>
      <c r="V290" s="60" t="str">
        <f aca="false">IF(IsPro,IF($C290="","",IFERROR(MATCH($C290,Parties!$A$5:$A$304,0),"")),"")</f>
        <v/>
      </c>
      <c r="W290" s="60" t="str">
        <f aca="false">IF(IsPro,IF($B290="","",IFERROR(VALUE(SUBSTITUTE($B290,InvPrefix,"")),0)),"")</f>
        <v/>
      </c>
      <c r="X290" s="61" t="str">
        <f aca="false">IF(IsPro,IF($D290="","",IF(OR($H290="",$H290="Credit"),0,Q290)),"")</f>
        <v/>
      </c>
    </row>
    <row r="291" customFormat="false" ht="15" hidden="false" customHeight="false" outlineLevel="0" collapsed="false">
      <c r="A291" s="55"/>
      <c r="B291" s="56"/>
      <c r="C291" s="56"/>
      <c r="D291" s="56"/>
      <c r="E291" s="57"/>
      <c r="F291" s="58"/>
      <c r="G291" s="59"/>
      <c r="H291" s="56"/>
      <c r="I291" s="56"/>
      <c r="J291" s="60" t="str">
        <f aca="false">IF(IsPro,IF($D291="","",IFERROR(INDEX(Items!$D$5:$D$504,U291),"")),"")</f>
        <v/>
      </c>
      <c r="K291" s="61" t="str">
        <f aca="false">IF(IsPro,IF($D291="","",IF($F291="",IFERROR(INDEX(Items!$H$5:$H$504,U291),0),$F291)),"")</f>
        <v/>
      </c>
      <c r="L291" s="61" t="str">
        <f aca="false">IF(IsPro,IF($D291="","",ROUND(N($E291)*K291*(1-N($G291)),2)),"")</f>
        <v/>
      </c>
      <c r="M291" s="62" t="str">
        <f aca="false">IF(IsPro,IF($D291="","",IFERROR(INDEX(Items!$F$5:$F$504,U291),0)),"")</f>
        <v/>
      </c>
      <c r="N291" s="61" t="str">
        <f aca="false">IF(IsPro,IF($D291="","",IF(AND(V291&lt;&gt;"",INDEX(Parties!$E$5:$E$304,V291)&lt;&gt;"",INDEX(Parties!$E$5:$E$304,V291)&lt;&gt;HomeState),0,ROUND(L291*M291/2,2))),"")</f>
        <v/>
      </c>
      <c r="O291" s="61" t="str">
        <f aca="false">IF(IsPro,IF($D291="","",N291),"")</f>
        <v/>
      </c>
      <c r="P291" s="61" t="str">
        <f aca="false">IF(IsPro,IF($D291="","",IF(AND(V291&lt;&gt;"",INDEX(Parties!$E$5:$E$304,V291)&lt;&gt;"",INDEX(Parties!$E$5:$E$304,V291)&lt;&gt;HomeState),ROUND(L291*M291,2),0)),"")</f>
        <v/>
      </c>
      <c r="Q291" s="61" t="str">
        <f aca="false">IF(IsPro,IF($D291="","",L291+N291+O291+P291),"")</f>
        <v/>
      </c>
      <c r="R291" s="61" t="str">
        <f aca="false">IF(IsPro,IF($D291="","",ROUND(N($E291)*IFERROR(INDEX(Items!$P$5:$P$504,U291),0),2)),"")</f>
        <v/>
      </c>
      <c r="S291" s="61" t="str">
        <f aca="false">IF(IsPro,IF($D291="","",L291-R291),"")</f>
        <v/>
      </c>
      <c r="T291" s="60" t="str">
        <f aca="false">IF(IsPro,IF($D291="","",IF(U291="","UNKNOWN ITEM",IF(INDEX(Items!$O$5:$O$504,U291)&lt;0,"NEG STOCK",IF(K291&lt;INDEX(Items!$P$5:$P$504,U291),"BELOW COST","OK")))),IF($D291="","","PRO PLAN"))</f>
        <v/>
      </c>
      <c r="U291" s="60" t="str">
        <f aca="false">IF(IsPro,IF($D291="","",IFERROR(MATCH($D291,Items!$A$5:$A$504,0),"")),"")</f>
        <v/>
      </c>
      <c r="V291" s="60" t="str">
        <f aca="false">IF(IsPro,IF($C291="","",IFERROR(MATCH($C291,Parties!$A$5:$A$304,0),"")),"")</f>
        <v/>
      </c>
      <c r="W291" s="60" t="str">
        <f aca="false">IF(IsPro,IF($B291="","",IFERROR(VALUE(SUBSTITUTE($B291,InvPrefix,"")),0)),"")</f>
        <v/>
      </c>
      <c r="X291" s="61" t="str">
        <f aca="false">IF(IsPro,IF($D291="","",IF(OR($H291="",$H291="Credit"),0,Q291)),"")</f>
        <v/>
      </c>
    </row>
    <row r="292" customFormat="false" ht="15" hidden="false" customHeight="false" outlineLevel="0" collapsed="false">
      <c r="A292" s="55"/>
      <c r="B292" s="56"/>
      <c r="C292" s="56"/>
      <c r="D292" s="56"/>
      <c r="E292" s="57"/>
      <c r="F292" s="58"/>
      <c r="G292" s="59"/>
      <c r="H292" s="56"/>
      <c r="I292" s="56"/>
      <c r="J292" s="60" t="str">
        <f aca="false">IF(IsPro,IF($D292="","",IFERROR(INDEX(Items!$D$5:$D$504,U292),"")),"")</f>
        <v/>
      </c>
      <c r="K292" s="61" t="str">
        <f aca="false">IF(IsPro,IF($D292="","",IF($F292="",IFERROR(INDEX(Items!$H$5:$H$504,U292),0),$F292)),"")</f>
        <v/>
      </c>
      <c r="L292" s="61" t="str">
        <f aca="false">IF(IsPro,IF($D292="","",ROUND(N($E292)*K292*(1-N($G292)),2)),"")</f>
        <v/>
      </c>
      <c r="M292" s="62" t="str">
        <f aca="false">IF(IsPro,IF($D292="","",IFERROR(INDEX(Items!$F$5:$F$504,U292),0)),"")</f>
        <v/>
      </c>
      <c r="N292" s="61" t="str">
        <f aca="false">IF(IsPro,IF($D292="","",IF(AND(V292&lt;&gt;"",INDEX(Parties!$E$5:$E$304,V292)&lt;&gt;"",INDEX(Parties!$E$5:$E$304,V292)&lt;&gt;HomeState),0,ROUND(L292*M292/2,2))),"")</f>
        <v/>
      </c>
      <c r="O292" s="61" t="str">
        <f aca="false">IF(IsPro,IF($D292="","",N292),"")</f>
        <v/>
      </c>
      <c r="P292" s="61" t="str">
        <f aca="false">IF(IsPro,IF($D292="","",IF(AND(V292&lt;&gt;"",INDEX(Parties!$E$5:$E$304,V292)&lt;&gt;"",INDEX(Parties!$E$5:$E$304,V292)&lt;&gt;HomeState),ROUND(L292*M292,2),0)),"")</f>
        <v/>
      </c>
      <c r="Q292" s="61" t="str">
        <f aca="false">IF(IsPro,IF($D292="","",L292+N292+O292+P292),"")</f>
        <v/>
      </c>
      <c r="R292" s="61" t="str">
        <f aca="false">IF(IsPro,IF($D292="","",ROUND(N($E292)*IFERROR(INDEX(Items!$P$5:$P$504,U292),0),2)),"")</f>
        <v/>
      </c>
      <c r="S292" s="61" t="str">
        <f aca="false">IF(IsPro,IF($D292="","",L292-R292),"")</f>
        <v/>
      </c>
      <c r="T292" s="60" t="str">
        <f aca="false">IF(IsPro,IF($D292="","",IF(U292="","UNKNOWN ITEM",IF(INDEX(Items!$O$5:$O$504,U292)&lt;0,"NEG STOCK",IF(K292&lt;INDEX(Items!$P$5:$P$504,U292),"BELOW COST","OK")))),IF($D292="","","PRO PLAN"))</f>
        <v/>
      </c>
      <c r="U292" s="60" t="str">
        <f aca="false">IF(IsPro,IF($D292="","",IFERROR(MATCH($D292,Items!$A$5:$A$504,0),"")),"")</f>
        <v/>
      </c>
      <c r="V292" s="60" t="str">
        <f aca="false">IF(IsPro,IF($C292="","",IFERROR(MATCH($C292,Parties!$A$5:$A$304,0),"")),"")</f>
        <v/>
      </c>
      <c r="W292" s="60" t="str">
        <f aca="false">IF(IsPro,IF($B292="","",IFERROR(VALUE(SUBSTITUTE($B292,InvPrefix,"")),0)),"")</f>
        <v/>
      </c>
      <c r="X292" s="61" t="str">
        <f aca="false">IF(IsPro,IF($D292="","",IF(OR($H292="",$H292="Credit"),0,Q292)),"")</f>
        <v/>
      </c>
    </row>
    <row r="293" customFormat="false" ht="15" hidden="false" customHeight="false" outlineLevel="0" collapsed="false">
      <c r="A293" s="55"/>
      <c r="B293" s="56"/>
      <c r="C293" s="56"/>
      <c r="D293" s="56"/>
      <c r="E293" s="57"/>
      <c r="F293" s="58"/>
      <c r="G293" s="59"/>
      <c r="H293" s="56"/>
      <c r="I293" s="56"/>
      <c r="J293" s="60" t="str">
        <f aca="false">IF(IsPro,IF($D293="","",IFERROR(INDEX(Items!$D$5:$D$504,U293),"")),"")</f>
        <v/>
      </c>
      <c r="K293" s="61" t="str">
        <f aca="false">IF(IsPro,IF($D293="","",IF($F293="",IFERROR(INDEX(Items!$H$5:$H$504,U293),0),$F293)),"")</f>
        <v/>
      </c>
      <c r="L293" s="61" t="str">
        <f aca="false">IF(IsPro,IF($D293="","",ROUND(N($E293)*K293*(1-N($G293)),2)),"")</f>
        <v/>
      </c>
      <c r="M293" s="62" t="str">
        <f aca="false">IF(IsPro,IF($D293="","",IFERROR(INDEX(Items!$F$5:$F$504,U293),0)),"")</f>
        <v/>
      </c>
      <c r="N293" s="61" t="str">
        <f aca="false">IF(IsPro,IF($D293="","",IF(AND(V293&lt;&gt;"",INDEX(Parties!$E$5:$E$304,V293)&lt;&gt;"",INDEX(Parties!$E$5:$E$304,V293)&lt;&gt;HomeState),0,ROUND(L293*M293/2,2))),"")</f>
        <v/>
      </c>
      <c r="O293" s="61" t="str">
        <f aca="false">IF(IsPro,IF($D293="","",N293),"")</f>
        <v/>
      </c>
      <c r="P293" s="61" t="str">
        <f aca="false">IF(IsPro,IF($D293="","",IF(AND(V293&lt;&gt;"",INDEX(Parties!$E$5:$E$304,V293)&lt;&gt;"",INDEX(Parties!$E$5:$E$304,V293)&lt;&gt;HomeState),ROUND(L293*M293,2),0)),"")</f>
        <v/>
      </c>
      <c r="Q293" s="61" t="str">
        <f aca="false">IF(IsPro,IF($D293="","",L293+N293+O293+P293),"")</f>
        <v/>
      </c>
      <c r="R293" s="61" t="str">
        <f aca="false">IF(IsPro,IF($D293="","",ROUND(N($E293)*IFERROR(INDEX(Items!$P$5:$P$504,U293),0),2)),"")</f>
        <v/>
      </c>
      <c r="S293" s="61" t="str">
        <f aca="false">IF(IsPro,IF($D293="","",L293-R293),"")</f>
        <v/>
      </c>
      <c r="T293" s="60" t="str">
        <f aca="false">IF(IsPro,IF($D293="","",IF(U293="","UNKNOWN ITEM",IF(INDEX(Items!$O$5:$O$504,U293)&lt;0,"NEG STOCK",IF(K293&lt;INDEX(Items!$P$5:$P$504,U293),"BELOW COST","OK")))),IF($D293="","","PRO PLAN"))</f>
        <v/>
      </c>
      <c r="U293" s="60" t="str">
        <f aca="false">IF(IsPro,IF($D293="","",IFERROR(MATCH($D293,Items!$A$5:$A$504,0),"")),"")</f>
        <v/>
      </c>
      <c r="V293" s="60" t="str">
        <f aca="false">IF(IsPro,IF($C293="","",IFERROR(MATCH($C293,Parties!$A$5:$A$304,0),"")),"")</f>
        <v/>
      </c>
      <c r="W293" s="60" t="str">
        <f aca="false">IF(IsPro,IF($B293="","",IFERROR(VALUE(SUBSTITUTE($B293,InvPrefix,"")),0)),"")</f>
        <v/>
      </c>
      <c r="X293" s="61" t="str">
        <f aca="false">IF(IsPro,IF($D293="","",IF(OR($H293="",$H293="Credit"),0,Q293)),"")</f>
        <v/>
      </c>
    </row>
    <row r="294" customFormat="false" ht="15" hidden="false" customHeight="false" outlineLevel="0" collapsed="false">
      <c r="A294" s="55"/>
      <c r="B294" s="56"/>
      <c r="C294" s="56"/>
      <c r="D294" s="56"/>
      <c r="E294" s="57"/>
      <c r="F294" s="58"/>
      <c r="G294" s="59"/>
      <c r="H294" s="56"/>
      <c r="I294" s="56"/>
      <c r="J294" s="60" t="str">
        <f aca="false">IF(IsPro,IF($D294="","",IFERROR(INDEX(Items!$D$5:$D$504,U294),"")),"")</f>
        <v/>
      </c>
      <c r="K294" s="61" t="str">
        <f aca="false">IF(IsPro,IF($D294="","",IF($F294="",IFERROR(INDEX(Items!$H$5:$H$504,U294),0),$F294)),"")</f>
        <v/>
      </c>
      <c r="L294" s="61" t="str">
        <f aca="false">IF(IsPro,IF($D294="","",ROUND(N($E294)*K294*(1-N($G294)),2)),"")</f>
        <v/>
      </c>
      <c r="M294" s="62" t="str">
        <f aca="false">IF(IsPro,IF($D294="","",IFERROR(INDEX(Items!$F$5:$F$504,U294),0)),"")</f>
        <v/>
      </c>
      <c r="N294" s="61" t="str">
        <f aca="false">IF(IsPro,IF($D294="","",IF(AND(V294&lt;&gt;"",INDEX(Parties!$E$5:$E$304,V294)&lt;&gt;"",INDEX(Parties!$E$5:$E$304,V294)&lt;&gt;HomeState),0,ROUND(L294*M294/2,2))),"")</f>
        <v/>
      </c>
      <c r="O294" s="61" t="str">
        <f aca="false">IF(IsPro,IF($D294="","",N294),"")</f>
        <v/>
      </c>
      <c r="P294" s="61" t="str">
        <f aca="false">IF(IsPro,IF($D294="","",IF(AND(V294&lt;&gt;"",INDEX(Parties!$E$5:$E$304,V294)&lt;&gt;"",INDEX(Parties!$E$5:$E$304,V294)&lt;&gt;HomeState),ROUND(L294*M294,2),0)),"")</f>
        <v/>
      </c>
      <c r="Q294" s="61" t="str">
        <f aca="false">IF(IsPro,IF($D294="","",L294+N294+O294+P294),"")</f>
        <v/>
      </c>
      <c r="R294" s="61" t="str">
        <f aca="false">IF(IsPro,IF($D294="","",ROUND(N($E294)*IFERROR(INDEX(Items!$P$5:$P$504,U294),0),2)),"")</f>
        <v/>
      </c>
      <c r="S294" s="61" t="str">
        <f aca="false">IF(IsPro,IF($D294="","",L294-R294),"")</f>
        <v/>
      </c>
      <c r="T294" s="60" t="str">
        <f aca="false">IF(IsPro,IF($D294="","",IF(U294="","UNKNOWN ITEM",IF(INDEX(Items!$O$5:$O$504,U294)&lt;0,"NEG STOCK",IF(K294&lt;INDEX(Items!$P$5:$P$504,U294),"BELOW COST","OK")))),IF($D294="","","PRO PLAN"))</f>
        <v/>
      </c>
      <c r="U294" s="60" t="str">
        <f aca="false">IF(IsPro,IF($D294="","",IFERROR(MATCH($D294,Items!$A$5:$A$504,0),"")),"")</f>
        <v/>
      </c>
      <c r="V294" s="60" t="str">
        <f aca="false">IF(IsPro,IF($C294="","",IFERROR(MATCH($C294,Parties!$A$5:$A$304,0),"")),"")</f>
        <v/>
      </c>
      <c r="W294" s="60" t="str">
        <f aca="false">IF(IsPro,IF($B294="","",IFERROR(VALUE(SUBSTITUTE($B294,InvPrefix,"")),0)),"")</f>
        <v/>
      </c>
      <c r="X294" s="61" t="str">
        <f aca="false">IF(IsPro,IF($D294="","",IF(OR($H294="",$H294="Credit"),0,Q294)),"")</f>
        <v/>
      </c>
    </row>
    <row r="295" customFormat="false" ht="15" hidden="false" customHeight="false" outlineLevel="0" collapsed="false">
      <c r="A295" s="55"/>
      <c r="B295" s="56"/>
      <c r="C295" s="56"/>
      <c r="D295" s="56"/>
      <c r="E295" s="57"/>
      <c r="F295" s="58"/>
      <c r="G295" s="59"/>
      <c r="H295" s="56"/>
      <c r="I295" s="56"/>
      <c r="J295" s="60" t="str">
        <f aca="false">IF(IsPro,IF($D295="","",IFERROR(INDEX(Items!$D$5:$D$504,U295),"")),"")</f>
        <v/>
      </c>
      <c r="K295" s="61" t="str">
        <f aca="false">IF(IsPro,IF($D295="","",IF($F295="",IFERROR(INDEX(Items!$H$5:$H$504,U295),0),$F295)),"")</f>
        <v/>
      </c>
      <c r="L295" s="61" t="str">
        <f aca="false">IF(IsPro,IF($D295="","",ROUND(N($E295)*K295*(1-N($G295)),2)),"")</f>
        <v/>
      </c>
      <c r="M295" s="62" t="str">
        <f aca="false">IF(IsPro,IF($D295="","",IFERROR(INDEX(Items!$F$5:$F$504,U295),0)),"")</f>
        <v/>
      </c>
      <c r="N295" s="61" t="str">
        <f aca="false">IF(IsPro,IF($D295="","",IF(AND(V295&lt;&gt;"",INDEX(Parties!$E$5:$E$304,V295)&lt;&gt;"",INDEX(Parties!$E$5:$E$304,V295)&lt;&gt;HomeState),0,ROUND(L295*M295/2,2))),"")</f>
        <v/>
      </c>
      <c r="O295" s="61" t="str">
        <f aca="false">IF(IsPro,IF($D295="","",N295),"")</f>
        <v/>
      </c>
      <c r="P295" s="61" t="str">
        <f aca="false">IF(IsPro,IF($D295="","",IF(AND(V295&lt;&gt;"",INDEX(Parties!$E$5:$E$304,V295)&lt;&gt;"",INDEX(Parties!$E$5:$E$304,V295)&lt;&gt;HomeState),ROUND(L295*M295,2),0)),"")</f>
        <v/>
      </c>
      <c r="Q295" s="61" t="str">
        <f aca="false">IF(IsPro,IF($D295="","",L295+N295+O295+P295),"")</f>
        <v/>
      </c>
      <c r="R295" s="61" t="str">
        <f aca="false">IF(IsPro,IF($D295="","",ROUND(N($E295)*IFERROR(INDEX(Items!$P$5:$P$504,U295),0),2)),"")</f>
        <v/>
      </c>
      <c r="S295" s="61" t="str">
        <f aca="false">IF(IsPro,IF($D295="","",L295-R295),"")</f>
        <v/>
      </c>
      <c r="T295" s="60" t="str">
        <f aca="false">IF(IsPro,IF($D295="","",IF(U295="","UNKNOWN ITEM",IF(INDEX(Items!$O$5:$O$504,U295)&lt;0,"NEG STOCK",IF(K295&lt;INDEX(Items!$P$5:$P$504,U295),"BELOW COST","OK")))),IF($D295="","","PRO PLAN"))</f>
        <v/>
      </c>
      <c r="U295" s="60" t="str">
        <f aca="false">IF(IsPro,IF($D295="","",IFERROR(MATCH($D295,Items!$A$5:$A$504,0),"")),"")</f>
        <v/>
      </c>
      <c r="V295" s="60" t="str">
        <f aca="false">IF(IsPro,IF($C295="","",IFERROR(MATCH($C295,Parties!$A$5:$A$304,0),"")),"")</f>
        <v/>
      </c>
      <c r="W295" s="60" t="str">
        <f aca="false">IF(IsPro,IF($B295="","",IFERROR(VALUE(SUBSTITUTE($B295,InvPrefix,"")),0)),"")</f>
        <v/>
      </c>
      <c r="X295" s="61" t="str">
        <f aca="false">IF(IsPro,IF($D295="","",IF(OR($H295="",$H295="Credit"),0,Q295)),"")</f>
        <v/>
      </c>
    </row>
    <row r="296" customFormat="false" ht="15" hidden="false" customHeight="false" outlineLevel="0" collapsed="false">
      <c r="A296" s="55"/>
      <c r="B296" s="56"/>
      <c r="C296" s="56"/>
      <c r="D296" s="56"/>
      <c r="E296" s="57"/>
      <c r="F296" s="58"/>
      <c r="G296" s="59"/>
      <c r="H296" s="56"/>
      <c r="I296" s="56"/>
      <c r="J296" s="60" t="str">
        <f aca="false">IF(IsPro,IF($D296="","",IFERROR(INDEX(Items!$D$5:$D$504,U296),"")),"")</f>
        <v/>
      </c>
      <c r="K296" s="61" t="str">
        <f aca="false">IF(IsPro,IF($D296="","",IF($F296="",IFERROR(INDEX(Items!$H$5:$H$504,U296),0),$F296)),"")</f>
        <v/>
      </c>
      <c r="L296" s="61" t="str">
        <f aca="false">IF(IsPro,IF($D296="","",ROUND(N($E296)*K296*(1-N($G296)),2)),"")</f>
        <v/>
      </c>
      <c r="M296" s="62" t="str">
        <f aca="false">IF(IsPro,IF($D296="","",IFERROR(INDEX(Items!$F$5:$F$504,U296),0)),"")</f>
        <v/>
      </c>
      <c r="N296" s="61" t="str">
        <f aca="false">IF(IsPro,IF($D296="","",IF(AND(V296&lt;&gt;"",INDEX(Parties!$E$5:$E$304,V296)&lt;&gt;"",INDEX(Parties!$E$5:$E$304,V296)&lt;&gt;HomeState),0,ROUND(L296*M296/2,2))),"")</f>
        <v/>
      </c>
      <c r="O296" s="61" t="str">
        <f aca="false">IF(IsPro,IF($D296="","",N296),"")</f>
        <v/>
      </c>
      <c r="P296" s="61" t="str">
        <f aca="false">IF(IsPro,IF($D296="","",IF(AND(V296&lt;&gt;"",INDEX(Parties!$E$5:$E$304,V296)&lt;&gt;"",INDEX(Parties!$E$5:$E$304,V296)&lt;&gt;HomeState),ROUND(L296*M296,2),0)),"")</f>
        <v/>
      </c>
      <c r="Q296" s="61" t="str">
        <f aca="false">IF(IsPro,IF($D296="","",L296+N296+O296+P296),"")</f>
        <v/>
      </c>
      <c r="R296" s="61" t="str">
        <f aca="false">IF(IsPro,IF($D296="","",ROUND(N($E296)*IFERROR(INDEX(Items!$P$5:$P$504,U296),0),2)),"")</f>
        <v/>
      </c>
      <c r="S296" s="61" t="str">
        <f aca="false">IF(IsPro,IF($D296="","",L296-R296),"")</f>
        <v/>
      </c>
      <c r="T296" s="60" t="str">
        <f aca="false">IF(IsPro,IF($D296="","",IF(U296="","UNKNOWN ITEM",IF(INDEX(Items!$O$5:$O$504,U296)&lt;0,"NEG STOCK",IF(K296&lt;INDEX(Items!$P$5:$P$504,U296),"BELOW COST","OK")))),IF($D296="","","PRO PLAN"))</f>
        <v/>
      </c>
      <c r="U296" s="60" t="str">
        <f aca="false">IF(IsPro,IF($D296="","",IFERROR(MATCH($D296,Items!$A$5:$A$504,0),"")),"")</f>
        <v/>
      </c>
      <c r="V296" s="60" t="str">
        <f aca="false">IF(IsPro,IF($C296="","",IFERROR(MATCH($C296,Parties!$A$5:$A$304,0),"")),"")</f>
        <v/>
      </c>
      <c r="W296" s="60" t="str">
        <f aca="false">IF(IsPro,IF($B296="","",IFERROR(VALUE(SUBSTITUTE($B296,InvPrefix,"")),0)),"")</f>
        <v/>
      </c>
      <c r="X296" s="61" t="str">
        <f aca="false">IF(IsPro,IF($D296="","",IF(OR($H296="",$H296="Credit"),0,Q296)),"")</f>
        <v/>
      </c>
    </row>
    <row r="297" customFormat="false" ht="15" hidden="false" customHeight="false" outlineLevel="0" collapsed="false">
      <c r="A297" s="55"/>
      <c r="B297" s="56"/>
      <c r="C297" s="56"/>
      <c r="D297" s="56"/>
      <c r="E297" s="57"/>
      <c r="F297" s="58"/>
      <c r="G297" s="59"/>
      <c r="H297" s="56"/>
      <c r="I297" s="56"/>
      <c r="J297" s="60" t="str">
        <f aca="false">IF(IsPro,IF($D297="","",IFERROR(INDEX(Items!$D$5:$D$504,U297),"")),"")</f>
        <v/>
      </c>
      <c r="K297" s="61" t="str">
        <f aca="false">IF(IsPro,IF($D297="","",IF($F297="",IFERROR(INDEX(Items!$H$5:$H$504,U297),0),$F297)),"")</f>
        <v/>
      </c>
      <c r="L297" s="61" t="str">
        <f aca="false">IF(IsPro,IF($D297="","",ROUND(N($E297)*K297*(1-N($G297)),2)),"")</f>
        <v/>
      </c>
      <c r="M297" s="62" t="str">
        <f aca="false">IF(IsPro,IF($D297="","",IFERROR(INDEX(Items!$F$5:$F$504,U297),0)),"")</f>
        <v/>
      </c>
      <c r="N297" s="61" t="str">
        <f aca="false">IF(IsPro,IF($D297="","",IF(AND(V297&lt;&gt;"",INDEX(Parties!$E$5:$E$304,V297)&lt;&gt;"",INDEX(Parties!$E$5:$E$304,V297)&lt;&gt;HomeState),0,ROUND(L297*M297/2,2))),"")</f>
        <v/>
      </c>
      <c r="O297" s="61" t="str">
        <f aca="false">IF(IsPro,IF($D297="","",N297),"")</f>
        <v/>
      </c>
      <c r="P297" s="61" t="str">
        <f aca="false">IF(IsPro,IF($D297="","",IF(AND(V297&lt;&gt;"",INDEX(Parties!$E$5:$E$304,V297)&lt;&gt;"",INDEX(Parties!$E$5:$E$304,V297)&lt;&gt;HomeState),ROUND(L297*M297,2),0)),"")</f>
        <v/>
      </c>
      <c r="Q297" s="61" t="str">
        <f aca="false">IF(IsPro,IF($D297="","",L297+N297+O297+P297),"")</f>
        <v/>
      </c>
      <c r="R297" s="61" t="str">
        <f aca="false">IF(IsPro,IF($D297="","",ROUND(N($E297)*IFERROR(INDEX(Items!$P$5:$P$504,U297),0),2)),"")</f>
        <v/>
      </c>
      <c r="S297" s="61" t="str">
        <f aca="false">IF(IsPro,IF($D297="","",L297-R297),"")</f>
        <v/>
      </c>
      <c r="T297" s="60" t="str">
        <f aca="false">IF(IsPro,IF($D297="","",IF(U297="","UNKNOWN ITEM",IF(INDEX(Items!$O$5:$O$504,U297)&lt;0,"NEG STOCK",IF(K297&lt;INDEX(Items!$P$5:$P$504,U297),"BELOW COST","OK")))),IF($D297="","","PRO PLAN"))</f>
        <v/>
      </c>
      <c r="U297" s="60" t="str">
        <f aca="false">IF(IsPro,IF($D297="","",IFERROR(MATCH($D297,Items!$A$5:$A$504,0),"")),"")</f>
        <v/>
      </c>
      <c r="V297" s="60" t="str">
        <f aca="false">IF(IsPro,IF($C297="","",IFERROR(MATCH($C297,Parties!$A$5:$A$304,0),"")),"")</f>
        <v/>
      </c>
      <c r="W297" s="60" t="str">
        <f aca="false">IF(IsPro,IF($B297="","",IFERROR(VALUE(SUBSTITUTE($B297,InvPrefix,"")),0)),"")</f>
        <v/>
      </c>
      <c r="X297" s="61" t="str">
        <f aca="false">IF(IsPro,IF($D297="","",IF(OR($H297="",$H297="Credit"),0,Q297)),"")</f>
        <v/>
      </c>
    </row>
    <row r="298" customFormat="false" ht="15" hidden="false" customHeight="false" outlineLevel="0" collapsed="false">
      <c r="A298" s="55"/>
      <c r="B298" s="56"/>
      <c r="C298" s="56"/>
      <c r="D298" s="56"/>
      <c r="E298" s="57"/>
      <c r="F298" s="58"/>
      <c r="G298" s="59"/>
      <c r="H298" s="56"/>
      <c r="I298" s="56"/>
      <c r="J298" s="60" t="str">
        <f aca="false">IF(IsPro,IF($D298="","",IFERROR(INDEX(Items!$D$5:$D$504,U298),"")),"")</f>
        <v/>
      </c>
      <c r="K298" s="61" t="str">
        <f aca="false">IF(IsPro,IF($D298="","",IF($F298="",IFERROR(INDEX(Items!$H$5:$H$504,U298),0),$F298)),"")</f>
        <v/>
      </c>
      <c r="L298" s="61" t="str">
        <f aca="false">IF(IsPro,IF($D298="","",ROUND(N($E298)*K298*(1-N($G298)),2)),"")</f>
        <v/>
      </c>
      <c r="M298" s="62" t="str">
        <f aca="false">IF(IsPro,IF($D298="","",IFERROR(INDEX(Items!$F$5:$F$504,U298),0)),"")</f>
        <v/>
      </c>
      <c r="N298" s="61" t="str">
        <f aca="false">IF(IsPro,IF($D298="","",IF(AND(V298&lt;&gt;"",INDEX(Parties!$E$5:$E$304,V298)&lt;&gt;"",INDEX(Parties!$E$5:$E$304,V298)&lt;&gt;HomeState),0,ROUND(L298*M298/2,2))),"")</f>
        <v/>
      </c>
      <c r="O298" s="61" t="str">
        <f aca="false">IF(IsPro,IF($D298="","",N298),"")</f>
        <v/>
      </c>
      <c r="P298" s="61" t="str">
        <f aca="false">IF(IsPro,IF($D298="","",IF(AND(V298&lt;&gt;"",INDEX(Parties!$E$5:$E$304,V298)&lt;&gt;"",INDEX(Parties!$E$5:$E$304,V298)&lt;&gt;HomeState),ROUND(L298*M298,2),0)),"")</f>
        <v/>
      </c>
      <c r="Q298" s="61" t="str">
        <f aca="false">IF(IsPro,IF($D298="","",L298+N298+O298+P298),"")</f>
        <v/>
      </c>
      <c r="R298" s="61" t="str">
        <f aca="false">IF(IsPro,IF($D298="","",ROUND(N($E298)*IFERROR(INDEX(Items!$P$5:$P$504,U298),0),2)),"")</f>
        <v/>
      </c>
      <c r="S298" s="61" t="str">
        <f aca="false">IF(IsPro,IF($D298="","",L298-R298),"")</f>
        <v/>
      </c>
      <c r="T298" s="60" t="str">
        <f aca="false">IF(IsPro,IF($D298="","",IF(U298="","UNKNOWN ITEM",IF(INDEX(Items!$O$5:$O$504,U298)&lt;0,"NEG STOCK",IF(K298&lt;INDEX(Items!$P$5:$P$504,U298),"BELOW COST","OK")))),IF($D298="","","PRO PLAN"))</f>
        <v/>
      </c>
      <c r="U298" s="60" t="str">
        <f aca="false">IF(IsPro,IF($D298="","",IFERROR(MATCH($D298,Items!$A$5:$A$504,0),"")),"")</f>
        <v/>
      </c>
      <c r="V298" s="60" t="str">
        <f aca="false">IF(IsPro,IF($C298="","",IFERROR(MATCH($C298,Parties!$A$5:$A$304,0),"")),"")</f>
        <v/>
      </c>
      <c r="W298" s="60" t="str">
        <f aca="false">IF(IsPro,IF($B298="","",IFERROR(VALUE(SUBSTITUTE($B298,InvPrefix,"")),0)),"")</f>
        <v/>
      </c>
      <c r="X298" s="61" t="str">
        <f aca="false">IF(IsPro,IF($D298="","",IF(OR($H298="",$H298="Credit"),0,Q298)),"")</f>
        <v/>
      </c>
    </row>
    <row r="299" customFormat="false" ht="15" hidden="false" customHeight="false" outlineLevel="0" collapsed="false">
      <c r="A299" s="55"/>
      <c r="B299" s="56"/>
      <c r="C299" s="56"/>
      <c r="D299" s="56"/>
      <c r="E299" s="57"/>
      <c r="F299" s="58"/>
      <c r="G299" s="59"/>
      <c r="H299" s="56"/>
      <c r="I299" s="56"/>
      <c r="J299" s="60" t="str">
        <f aca="false">IF(IsPro,IF($D299="","",IFERROR(INDEX(Items!$D$5:$D$504,U299),"")),"")</f>
        <v/>
      </c>
      <c r="K299" s="61" t="str">
        <f aca="false">IF(IsPro,IF($D299="","",IF($F299="",IFERROR(INDEX(Items!$H$5:$H$504,U299),0),$F299)),"")</f>
        <v/>
      </c>
      <c r="L299" s="61" t="str">
        <f aca="false">IF(IsPro,IF($D299="","",ROUND(N($E299)*K299*(1-N($G299)),2)),"")</f>
        <v/>
      </c>
      <c r="M299" s="62" t="str">
        <f aca="false">IF(IsPro,IF($D299="","",IFERROR(INDEX(Items!$F$5:$F$504,U299),0)),"")</f>
        <v/>
      </c>
      <c r="N299" s="61" t="str">
        <f aca="false">IF(IsPro,IF($D299="","",IF(AND(V299&lt;&gt;"",INDEX(Parties!$E$5:$E$304,V299)&lt;&gt;"",INDEX(Parties!$E$5:$E$304,V299)&lt;&gt;HomeState),0,ROUND(L299*M299/2,2))),"")</f>
        <v/>
      </c>
      <c r="O299" s="61" t="str">
        <f aca="false">IF(IsPro,IF($D299="","",N299),"")</f>
        <v/>
      </c>
      <c r="P299" s="61" t="str">
        <f aca="false">IF(IsPro,IF($D299="","",IF(AND(V299&lt;&gt;"",INDEX(Parties!$E$5:$E$304,V299)&lt;&gt;"",INDEX(Parties!$E$5:$E$304,V299)&lt;&gt;HomeState),ROUND(L299*M299,2),0)),"")</f>
        <v/>
      </c>
      <c r="Q299" s="61" t="str">
        <f aca="false">IF(IsPro,IF($D299="","",L299+N299+O299+P299),"")</f>
        <v/>
      </c>
      <c r="R299" s="61" t="str">
        <f aca="false">IF(IsPro,IF($D299="","",ROUND(N($E299)*IFERROR(INDEX(Items!$P$5:$P$504,U299),0),2)),"")</f>
        <v/>
      </c>
      <c r="S299" s="61" t="str">
        <f aca="false">IF(IsPro,IF($D299="","",L299-R299),"")</f>
        <v/>
      </c>
      <c r="T299" s="60" t="str">
        <f aca="false">IF(IsPro,IF($D299="","",IF(U299="","UNKNOWN ITEM",IF(INDEX(Items!$O$5:$O$504,U299)&lt;0,"NEG STOCK",IF(K299&lt;INDEX(Items!$P$5:$P$504,U299),"BELOW COST","OK")))),IF($D299="","","PRO PLAN"))</f>
        <v/>
      </c>
      <c r="U299" s="60" t="str">
        <f aca="false">IF(IsPro,IF($D299="","",IFERROR(MATCH($D299,Items!$A$5:$A$504,0),"")),"")</f>
        <v/>
      </c>
      <c r="V299" s="60" t="str">
        <f aca="false">IF(IsPro,IF($C299="","",IFERROR(MATCH($C299,Parties!$A$5:$A$304,0),"")),"")</f>
        <v/>
      </c>
      <c r="W299" s="60" t="str">
        <f aca="false">IF(IsPro,IF($B299="","",IFERROR(VALUE(SUBSTITUTE($B299,InvPrefix,"")),0)),"")</f>
        <v/>
      </c>
      <c r="X299" s="61" t="str">
        <f aca="false">IF(IsPro,IF($D299="","",IF(OR($H299="",$H299="Credit"),0,Q299)),"")</f>
        <v/>
      </c>
    </row>
    <row r="300" customFormat="false" ht="15" hidden="false" customHeight="false" outlineLevel="0" collapsed="false">
      <c r="A300" s="55"/>
      <c r="B300" s="56"/>
      <c r="C300" s="56"/>
      <c r="D300" s="56"/>
      <c r="E300" s="57"/>
      <c r="F300" s="58"/>
      <c r="G300" s="59"/>
      <c r="H300" s="56"/>
      <c r="I300" s="56"/>
      <c r="J300" s="60" t="str">
        <f aca="false">IF(IsPro,IF($D300="","",IFERROR(INDEX(Items!$D$5:$D$504,U300),"")),"")</f>
        <v/>
      </c>
      <c r="K300" s="61" t="str">
        <f aca="false">IF(IsPro,IF($D300="","",IF($F300="",IFERROR(INDEX(Items!$H$5:$H$504,U300),0),$F300)),"")</f>
        <v/>
      </c>
      <c r="L300" s="61" t="str">
        <f aca="false">IF(IsPro,IF($D300="","",ROUND(N($E300)*K300*(1-N($G300)),2)),"")</f>
        <v/>
      </c>
      <c r="M300" s="62" t="str">
        <f aca="false">IF(IsPro,IF($D300="","",IFERROR(INDEX(Items!$F$5:$F$504,U300),0)),"")</f>
        <v/>
      </c>
      <c r="N300" s="61" t="str">
        <f aca="false">IF(IsPro,IF($D300="","",IF(AND(V300&lt;&gt;"",INDEX(Parties!$E$5:$E$304,V300)&lt;&gt;"",INDEX(Parties!$E$5:$E$304,V300)&lt;&gt;HomeState),0,ROUND(L300*M300/2,2))),"")</f>
        <v/>
      </c>
      <c r="O300" s="61" t="str">
        <f aca="false">IF(IsPro,IF($D300="","",N300),"")</f>
        <v/>
      </c>
      <c r="P300" s="61" t="str">
        <f aca="false">IF(IsPro,IF($D300="","",IF(AND(V300&lt;&gt;"",INDEX(Parties!$E$5:$E$304,V300)&lt;&gt;"",INDEX(Parties!$E$5:$E$304,V300)&lt;&gt;HomeState),ROUND(L300*M300,2),0)),"")</f>
        <v/>
      </c>
      <c r="Q300" s="61" t="str">
        <f aca="false">IF(IsPro,IF($D300="","",L300+N300+O300+P300),"")</f>
        <v/>
      </c>
      <c r="R300" s="61" t="str">
        <f aca="false">IF(IsPro,IF($D300="","",ROUND(N($E300)*IFERROR(INDEX(Items!$P$5:$P$504,U300),0),2)),"")</f>
        <v/>
      </c>
      <c r="S300" s="61" t="str">
        <f aca="false">IF(IsPro,IF($D300="","",L300-R300),"")</f>
        <v/>
      </c>
      <c r="T300" s="60" t="str">
        <f aca="false">IF(IsPro,IF($D300="","",IF(U300="","UNKNOWN ITEM",IF(INDEX(Items!$O$5:$O$504,U300)&lt;0,"NEG STOCK",IF(K300&lt;INDEX(Items!$P$5:$P$504,U300),"BELOW COST","OK")))),IF($D300="","","PRO PLAN"))</f>
        <v/>
      </c>
      <c r="U300" s="60" t="str">
        <f aca="false">IF(IsPro,IF($D300="","",IFERROR(MATCH($D300,Items!$A$5:$A$504,0),"")),"")</f>
        <v/>
      </c>
      <c r="V300" s="60" t="str">
        <f aca="false">IF(IsPro,IF($C300="","",IFERROR(MATCH($C300,Parties!$A$5:$A$304,0),"")),"")</f>
        <v/>
      </c>
      <c r="W300" s="60" t="str">
        <f aca="false">IF(IsPro,IF($B300="","",IFERROR(VALUE(SUBSTITUTE($B300,InvPrefix,"")),0)),"")</f>
        <v/>
      </c>
      <c r="X300" s="61" t="str">
        <f aca="false">IF(IsPro,IF($D300="","",IF(OR($H300="",$H300="Credit"),0,Q300)),"")</f>
        <v/>
      </c>
    </row>
    <row r="301" customFormat="false" ht="15" hidden="false" customHeight="false" outlineLevel="0" collapsed="false">
      <c r="A301" s="55"/>
      <c r="B301" s="56"/>
      <c r="C301" s="56"/>
      <c r="D301" s="56"/>
      <c r="E301" s="57"/>
      <c r="F301" s="58"/>
      <c r="G301" s="59"/>
      <c r="H301" s="56"/>
      <c r="I301" s="56"/>
      <c r="J301" s="60" t="str">
        <f aca="false">IF(IsPro,IF($D301="","",IFERROR(INDEX(Items!$D$5:$D$504,U301),"")),"")</f>
        <v/>
      </c>
      <c r="K301" s="61" t="str">
        <f aca="false">IF(IsPro,IF($D301="","",IF($F301="",IFERROR(INDEX(Items!$H$5:$H$504,U301),0),$F301)),"")</f>
        <v/>
      </c>
      <c r="L301" s="61" t="str">
        <f aca="false">IF(IsPro,IF($D301="","",ROUND(N($E301)*K301*(1-N($G301)),2)),"")</f>
        <v/>
      </c>
      <c r="M301" s="62" t="str">
        <f aca="false">IF(IsPro,IF($D301="","",IFERROR(INDEX(Items!$F$5:$F$504,U301),0)),"")</f>
        <v/>
      </c>
      <c r="N301" s="61" t="str">
        <f aca="false">IF(IsPro,IF($D301="","",IF(AND(V301&lt;&gt;"",INDEX(Parties!$E$5:$E$304,V301)&lt;&gt;"",INDEX(Parties!$E$5:$E$304,V301)&lt;&gt;HomeState),0,ROUND(L301*M301/2,2))),"")</f>
        <v/>
      </c>
      <c r="O301" s="61" t="str">
        <f aca="false">IF(IsPro,IF($D301="","",N301),"")</f>
        <v/>
      </c>
      <c r="P301" s="61" t="str">
        <f aca="false">IF(IsPro,IF($D301="","",IF(AND(V301&lt;&gt;"",INDEX(Parties!$E$5:$E$304,V301)&lt;&gt;"",INDEX(Parties!$E$5:$E$304,V301)&lt;&gt;HomeState),ROUND(L301*M301,2),0)),"")</f>
        <v/>
      </c>
      <c r="Q301" s="61" t="str">
        <f aca="false">IF(IsPro,IF($D301="","",L301+N301+O301+P301),"")</f>
        <v/>
      </c>
      <c r="R301" s="61" t="str">
        <f aca="false">IF(IsPro,IF($D301="","",ROUND(N($E301)*IFERROR(INDEX(Items!$P$5:$P$504,U301),0),2)),"")</f>
        <v/>
      </c>
      <c r="S301" s="61" t="str">
        <f aca="false">IF(IsPro,IF($D301="","",L301-R301),"")</f>
        <v/>
      </c>
      <c r="T301" s="60" t="str">
        <f aca="false">IF(IsPro,IF($D301="","",IF(U301="","UNKNOWN ITEM",IF(INDEX(Items!$O$5:$O$504,U301)&lt;0,"NEG STOCK",IF(K301&lt;INDEX(Items!$P$5:$P$504,U301),"BELOW COST","OK")))),IF($D301="","","PRO PLAN"))</f>
        <v/>
      </c>
      <c r="U301" s="60" t="str">
        <f aca="false">IF(IsPro,IF($D301="","",IFERROR(MATCH($D301,Items!$A$5:$A$504,0),"")),"")</f>
        <v/>
      </c>
      <c r="V301" s="60" t="str">
        <f aca="false">IF(IsPro,IF($C301="","",IFERROR(MATCH($C301,Parties!$A$5:$A$304,0),"")),"")</f>
        <v/>
      </c>
      <c r="W301" s="60" t="str">
        <f aca="false">IF(IsPro,IF($B301="","",IFERROR(VALUE(SUBSTITUTE($B301,InvPrefix,"")),0)),"")</f>
        <v/>
      </c>
      <c r="X301" s="61" t="str">
        <f aca="false">IF(IsPro,IF($D301="","",IF(OR($H301="",$H301="Credit"),0,Q301)),"")</f>
        <v/>
      </c>
    </row>
    <row r="302" customFormat="false" ht="15" hidden="false" customHeight="false" outlineLevel="0" collapsed="false">
      <c r="A302" s="55"/>
      <c r="B302" s="56"/>
      <c r="C302" s="56"/>
      <c r="D302" s="56"/>
      <c r="E302" s="57"/>
      <c r="F302" s="58"/>
      <c r="G302" s="59"/>
      <c r="H302" s="56"/>
      <c r="I302" s="56"/>
      <c r="J302" s="60" t="str">
        <f aca="false">IF(IsPro,IF($D302="","",IFERROR(INDEX(Items!$D$5:$D$504,U302),"")),"")</f>
        <v/>
      </c>
      <c r="K302" s="61" t="str">
        <f aca="false">IF(IsPro,IF($D302="","",IF($F302="",IFERROR(INDEX(Items!$H$5:$H$504,U302),0),$F302)),"")</f>
        <v/>
      </c>
      <c r="L302" s="61" t="str">
        <f aca="false">IF(IsPro,IF($D302="","",ROUND(N($E302)*K302*(1-N($G302)),2)),"")</f>
        <v/>
      </c>
      <c r="M302" s="62" t="str">
        <f aca="false">IF(IsPro,IF($D302="","",IFERROR(INDEX(Items!$F$5:$F$504,U302),0)),"")</f>
        <v/>
      </c>
      <c r="N302" s="61" t="str">
        <f aca="false">IF(IsPro,IF($D302="","",IF(AND(V302&lt;&gt;"",INDEX(Parties!$E$5:$E$304,V302)&lt;&gt;"",INDEX(Parties!$E$5:$E$304,V302)&lt;&gt;HomeState),0,ROUND(L302*M302/2,2))),"")</f>
        <v/>
      </c>
      <c r="O302" s="61" t="str">
        <f aca="false">IF(IsPro,IF($D302="","",N302),"")</f>
        <v/>
      </c>
      <c r="P302" s="61" t="str">
        <f aca="false">IF(IsPro,IF($D302="","",IF(AND(V302&lt;&gt;"",INDEX(Parties!$E$5:$E$304,V302)&lt;&gt;"",INDEX(Parties!$E$5:$E$304,V302)&lt;&gt;HomeState),ROUND(L302*M302,2),0)),"")</f>
        <v/>
      </c>
      <c r="Q302" s="61" t="str">
        <f aca="false">IF(IsPro,IF($D302="","",L302+N302+O302+P302),"")</f>
        <v/>
      </c>
      <c r="R302" s="61" t="str">
        <f aca="false">IF(IsPro,IF($D302="","",ROUND(N($E302)*IFERROR(INDEX(Items!$P$5:$P$504,U302),0),2)),"")</f>
        <v/>
      </c>
      <c r="S302" s="61" t="str">
        <f aca="false">IF(IsPro,IF($D302="","",L302-R302),"")</f>
        <v/>
      </c>
      <c r="T302" s="60" t="str">
        <f aca="false">IF(IsPro,IF($D302="","",IF(U302="","UNKNOWN ITEM",IF(INDEX(Items!$O$5:$O$504,U302)&lt;0,"NEG STOCK",IF(K302&lt;INDEX(Items!$P$5:$P$504,U302),"BELOW COST","OK")))),IF($D302="","","PRO PLAN"))</f>
        <v/>
      </c>
      <c r="U302" s="60" t="str">
        <f aca="false">IF(IsPro,IF($D302="","",IFERROR(MATCH($D302,Items!$A$5:$A$504,0),"")),"")</f>
        <v/>
      </c>
      <c r="V302" s="60" t="str">
        <f aca="false">IF(IsPro,IF($C302="","",IFERROR(MATCH($C302,Parties!$A$5:$A$304,0),"")),"")</f>
        <v/>
      </c>
      <c r="W302" s="60" t="str">
        <f aca="false">IF(IsPro,IF($B302="","",IFERROR(VALUE(SUBSTITUTE($B302,InvPrefix,"")),0)),"")</f>
        <v/>
      </c>
      <c r="X302" s="61" t="str">
        <f aca="false">IF(IsPro,IF($D302="","",IF(OR($H302="",$H302="Credit"),0,Q302)),"")</f>
        <v/>
      </c>
    </row>
    <row r="303" customFormat="false" ht="15" hidden="false" customHeight="false" outlineLevel="0" collapsed="false">
      <c r="A303" s="55"/>
      <c r="B303" s="56"/>
      <c r="C303" s="56"/>
      <c r="D303" s="56"/>
      <c r="E303" s="57"/>
      <c r="F303" s="58"/>
      <c r="G303" s="59"/>
      <c r="H303" s="56"/>
      <c r="I303" s="56"/>
      <c r="J303" s="60" t="str">
        <f aca="false">IF(IsPro,IF($D303="","",IFERROR(INDEX(Items!$D$5:$D$504,U303),"")),"")</f>
        <v/>
      </c>
      <c r="K303" s="61" t="str">
        <f aca="false">IF(IsPro,IF($D303="","",IF($F303="",IFERROR(INDEX(Items!$H$5:$H$504,U303),0),$F303)),"")</f>
        <v/>
      </c>
      <c r="L303" s="61" t="str">
        <f aca="false">IF(IsPro,IF($D303="","",ROUND(N($E303)*K303*(1-N($G303)),2)),"")</f>
        <v/>
      </c>
      <c r="M303" s="62" t="str">
        <f aca="false">IF(IsPro,IF($D303="","",IFERROR(INDEX(Items!$F$5:$F$504,U303),0)),"")</f>
        <v/>
      </c>
      <c r="N303" s="61" t="str">
        <f aca="false">IF(IsPro,IF($D303="","",IF(AND(V303&lt;&gt;"",INDEX(Parties!$E$5:$E$304,V303)&lt;&gt;"",INDEX(Parties!$E$5:$E$304,V303)&lt;&gt;HomeState),0,ROUND(L303*M303/2,2))),"")</f>
        <v/>
      </c>
      <c r="O303" s="61" t="str">
        <f aca="false">IF(IsPro,IF($D303="","",N303),"")</f>
        <v/>
      </c>
      <c r="P303" s="61" t="str">
        <f aca="false">IF(IsPro,IF($D303="","",IF(AND(V303&lt;&gt;"",INDEX(Parties!$E$5:$E$304,V303)&lt;&gt;"",INDEX(Parties!$E$5:$E$304,V303)&lt;&gt;HomeState),ROUND(L303*M303,2),0)),"")</f>
        <v/>
      </c>
      <c r="Q303" s="61" t="str">
        <f aca="false">IF(IsPro,IF($D303="","",L303+N303+O303+P303),"")</f>
        <v/>
      </c>
      <c r="R303" s="61" t="str">
        <f aca="false">IF(IsPro,IF($D303="","",ROUND(N($E303)*IFERROR(INDEX(Items!$P$5:$P$504,U303),0),2)),"")</f>
        <v/>
      </c>
      <c r="S303" s="61" t="str">
        <f aca="false">IF(IsPro,IF($D303="","",L303-R303),"")</f>
        <v/>
      </c>
      <c r="T303" s="60" t="str">
        <f aca="false">IF(IsPro,IF($D303="","",IF(U303="","UNKNOWN ITEM",IF(INDEX(Items!$O$5:$O$504,U303)&lt;0,"NEG STOCK",IF(K303&lt;INDEX(Items!$P$5:$P$504,U303),"BELOW COST","OK")))),IF($D303="","","PRO PLAN"))</f>
        <v/>
      </c>
      <c r="U303" s="60" t="str">
        <f aca="false">IF(IsPro,IF($D303="","",IFERROR(MATCH($D303,Items!$A$5:$A$504,0),"")),"")</f>
        <v/>
      </c>
      <c r="V303" s="60" t="str">
        <f aca="false">IF(IsPro,IF($C303="","",IFERROR(MATCH($C303,Parties!$A$5:$A$304,0),"")),"")</f>
        <v/>
      </c>
      <c r="W303" s="60" t="str">
        <f aca="false">IF(IsPro,IF($B303="","",IFERROR(VALUE(SUBSTITUTE($B303,InvPrefix,"")),0)),"")</f>
        <v/>
      </c>
      <c r="X303" s="61" t="str">
        <f aca="false">IF(IsPro,IF($D303="","",IF(OR($H303="",$H303="Credit"),0,Q303)),"")</f>
        <v/>
      </c>
    </row>
    <row r="304" customFormat="false" ht="15" hidden="false" customHeight="false" outlineLevel="0" collapsed="false">
      <c r="A304" s="55"/>
      <c r="B304" s="56"/>
      <c r="C304" s="56"/>
      <c r="D304" s="56"/>
      <c r="E304" s="57"/>
      <c r="F304" s="58"/>
      <c r="G304" s="59"/>
      <c r="H304" s="56"/>
      <c r="I304" s="56"/>
      <c r="J304" s="60" t="str">
        <f aca="false">IF(IsPro,IF($D304="","",IFERROR(INDEX(Items!$D$5:$D$504,U304),"")),"")</f>
        <v/>
      </c>
      <c r="K304" s="61" t="str">
        <f aca="false">IF(IsPro,IF($D304="","",IF($F304="",IFERROR(INDEX(Items!$H$5:$H$504,U304),0),$F304)),"")</f>
        <v/>
      </c>
      <c r="L304" s="61" t="str">
        <f aca="false">IF(IsPro,IF($D304="","",ROUND(N($E304)*K304*(1-N($G304)),2)),"")</f>
        <v/>
      </c>
      <c r="M304" s="62" t="str">
        <f aca="false">IF(IsPro,IF($D304="","",IFERROR(INDEX(Items!$F$5:$F$504,U304),0)),"")</f>
        <v/>
      </c>
      <c r="N304" s="61" t="str">
        <f aca="false">IF(IsPro,IF($D304="","",IF(AND(V304&lt;&gt;"",INDEX(Parties!$E$5:$E$304,V304)&lt;&gt;"",INDEX(Parties!$E$5:$E$304,V304)&lt;&gt;HomeState),0,ROUND(L304*M304/2,2))),"")</f>
        <v/>
      </c>
      <c r="O304" s="61" t="str">
        <f aca="false">IF(IsPro,IF($D304="","",N304),"")</f>
        <v/>
      </c>
      <c r="P304" s="61" t="str">
        <f aca="false">IF(IsPro,IF($D304="","",IF(AND(V304&lt;&gt;"",INDEX(Parties!$E$5:$E$304,V304)&lt;&gt;"",INDEX(Parties!$E$5:$E$304,V304)&lt;&gt;HomeState),ROUND(L304*M304,2),0)),"")</f>
        <v/>
      </c>
      <c r="Q304" s="61" t="str">
        <f aca="false">IF(IsPro,IF($D304="","",L304+N304+O304+P304),"")</f>
        <v/>
      </c>
      <c r="R304" s="61" t="str">
        <f aca="false">IF(IsPro,IF($D304="","",ROUND(N($E304)*IFERROR(INDEX(Items!$P$5:$P$504,U304),0),2)),"")</f>
        <v/>
      </c>
      <c r="S304" s="61" t="str">
        <f aca="false">IF(IsPro,IF($D304="","",L304-R304),"")</f>
        <v/>
      </c>
      <c r="T304" s="60" t="str">
        <f aca="false">IF(IsPro,IF($D304="","",IF(U304="","UNKNOWN ITEM",IF(INDEX(Items!$O$5:$O$504,U304)&lt;0,"NEG STOCK",IF(K304&lt;INDEX(Items!$P$5:$P$504,U304),"BELOW COST","OK")))),IF($D304="","","PRO PLAN"))</f>
        <v/>
      </c>
      <c r="U304" s="60" t="str">
        <f aca="false">IF(IsPro,IF($D304="","",IFERROR(MATCH($D304,Items!$A$5:$A$504,0),"")),"")</f>
        <v/>
      </c>
      <c r="V304" s="60" t="str">
        <f aca="false">IF(IsPro,IF($C304="","",IFERROR(MATCH($C304,Parties!$A$5:$A$304,0),"")),"")</f>
        <v/>
      </c>
      <c r="W304" s="60" t="str">
        <f aca="false">IF(IsPro,IF($B304="","",IFERROR(VALUE(SUBSTITUTE($B304,InvPrefix,"")),0)),"")</f>
        <v/>
      </c>
      <c r="X304" s="61" t="str">
        <f aca="false">IF(IsPro,IF($D304="","",IF(OR($H304="",$H304="Credit"),0,Q304)),"")</f>
        <v/>
      </c>
    </row>
    <row r="305" customFormat="false" ht="15" hidden="false" customHeight="false" outlineLevel="0" collapsed="false">
      <c r="A305" s="55"/>
      <c r="B305" s="56"/>
      <c r="C305" s="56"/>
      <c r="D305" s="56"/>
      <c r="E305" s="57"/>
      <c r="F305" s="58"/>
      <c r="G305" s="59"/>
      <c r="H305" s="56"/>
      <c r="I305" s="56"/>
      <c r="J305" s="60" t="str">
        <f aca="false">IF(IsPro,IF($D305="","",IFERROR(INDEX(Items!$D$5:$D$504,U305),"")),"")</f>
        <v/>
      </c>
      <c r="K305" s="61" t="str">
        <f aca="false">IF(IsPro,IF($D305="","",IF($F305="",IFERROR(INDEX(Items!$H$5:$H$504,U305),0),$F305)),"")</f>
        <v/>
      </c>
      <c r="L305" s="61" t="str">
        <f aca="false">IF(IsPro,IF($D305="","",ROUND(N($E305)*K305*(1-N($G305)),2)),"")</f>
        <v/>
      </c>
      <c r="M305" s="62" t="str">
        <f aca="false">IF(IsPro,IF($D305="","",IFERROR(INDEX(Items!$F$5:$F$504,U305),0)),"")</f>
        <v/>
      </c>
      <c r="N305" s="61" t="str">
        <f aca="false">IF(IsPro,IF($D305="","",IF(AND(V305&lt;&gt;"",INDEX(Parties!$E$5:$E$304,V305)&lt;&gt;"",INDEX(Parties!$E$5:$E$304,V305)&lt;&gt;HomeState),0,ROUND(L305*M305/2,2))),"")</f>
        <v/>
      </c>
      <c r="O305" s="61" t="str">
        <f aca="false">IF(IsPro,IF($D305="","",N305),"")</f>
        <v/>
      </c>
      <c r="P305" s="61" t="str">
        <f aca="false">IF(IsPro,IF($D305="","",IF(AND(V305&lt;&gt;"",INDEX(Parties!$E$5:$E$304,V305)&lt;&gt;"",INDEX(Parties!$E$5:$E$304,V305)&lt;&gt;HomeState),ROUND(L305*M305,2),0)),"")</f>
        <v/>
      </c>
      <c r="Q305" s="61" t="str">
        <f aca="false">IF(IsPro,IF($D305="","",L305+N305+O305+P305),"")</f>
        <v/>
      </c>
      <c r="R305" s="61" t="str">
        <f aca="false">IF(IsPro,IF($D305="","",ROUND(N($E305)*IFERROR(INDEX(Items!$P$5:$P$504,U305),0),2)),"")</f>
        <v/>
      </c>
      <c r="S305" s="61" t="str">
        <f aca="false">IF(IsPro,IF($D305="","",L305-R305),"")</f>
        <v/>
      </c>
      <c r="T305" s="60" t="str">
        <f aca="false">IF(IsPro,IF($D305="","",IF(U305="","UNKNOWN ITEM",IF(INDEX(Items!$O$5:$O$504,U305)&lt;0,"NEG STOCK",IF(K305&lt;INDEX(Items!$P$5:$P$504,U305),"BELOW COST","OK")))),IF($D305="","","PRO PLAN"))</f>
        <v/>
      </c>
      <c r="U305" s="60" t="str">
        <f aca="false">IF(IsPro,IF($D305="","",IFERROR(MATCH($D305,Items!$A$5:$A$504,0),"")),"")</f>
        <v/>
      </c>
      <c r="V305" s="60" t="str">
        <f aca="false">IF(IsPro,IF($C305="","",IFERROR(MATCH($C305,Parties!$A$5:$A$304,0),"")),"")</f>
        <v/>
      </c>
      <c r="W305" s="60" t="str">
        <f aca="false">IF(IsPro,IF($B305="","",IFERROR(VALUE(SUBSTITUTE($B305,InvPrefix,"")),0)),"")</f>
        <v/>
      </c>
      <c r="X305" s="61" t="str">
        <f aca="false">IF(IsPro,IF($D305="","",IF(OR($H305="",$H305="Credit"),0,Q305)),"")</f>
        <v/>
      </c>
    </row>
    <row r="306" customFormat="false" ht="15" hidden="false" customHeight="false" outlineLevel="0" collapsed="false">
      <c r="A306" s="55"/>
      <c r="B306" s="56"/>
      <c r="C306" s="56"/>
      <c r="D306" s="56"/>
      <c r="E306" s="57"/>
      <c r="F306" s="58"/>
      <c r="G306" s="59"/>
      <c r="H306" s="56"/>
      <c r="I306" s="56"/>
      <c r="J306" s="60" t="str">
        <f aca="false">IF(IsPro,IF($D306="","",IFERROR(INDEX(Items!$D$5:$D$504,U306),"")),"")</f>
        <v/>
      </c>
      <c r="K306" s="61" t="str">
        <f aca="false">IF(IsPro,IF($D306="","",IF($F306="",IFERROR(INDEX(Items!$H$5:$H$504,U306),0),$F306)),"")</f>
        <v/>
      </c>
      <c r="L306" s="61" t="str">
        <f aca="false">IF(IsPro,IF($D306="","",ROUND(N($E306)*K306*(1-N($G306)),2)),"")</f>
        <v/>
      </c>
      <c r="M306" s="62" t="str">
        <f aca="false">IF(IsPro,IF($D306="","",IFERROR(INDEX(Items!$F$5:$F$504,U306),0)),"")</f>
        <v/>
      </c>
      <c r="N306" s="61" t="str">
        <f aca="false">IF(IsPro,IF($D306="","",IF(AND(V306&lt;&gt;"",INDEX(Parties!$E$5:$E$304,V306)&lt;&gt;"",INDEX(Parties!$E$5:$E$304,V306)&lt;&gt;HomeState),0,ROUND(L306*M306/2,2))),"")</f>
        <v/>
      </c>
      <c r="O306" s="61" t="str">
        <f aca="false">IF(IsPro,IF($D306="","",N306),"")</f>
        <v/>
      </c>
      <c r="P306" s="61" t="str">
        <f aca="false">IF(IsPro,IF($D306="","",IF(AND(V306&lt;&gt;"",INDEX(Parties!$E$5:$E$304,V306)&lt;&gt;"",INDEX(Parties!$E$5:$E$304,V306)&lt;&gt;HomeState),ROUND(L306*M306,2),0)),"")</f>
        <v/>
      </c>
      <c r="Q306" s="61" t="str">
        <f aca="false">IF(IsPro,IF($D306="","",L306+N306+O306+P306),"")</f>
        <v/>
      </c>
      <c r="R306" s="61" t="str">
        <f aca="false">IF(IsPro,IF($D306="","",ROUND(N($E306)*IFERROR(INDEX(Items!$P$5:$P$504,U306),0),2)),"")</f>
        <v/>
      </c>
      <c r="S306" s="61" t="str">
        <f aca="false">IF(IsPro,IF($D306="","",L306-R306),"")</f>
        <v/>
      </c>
      <c r="T306" s="60" t="str">
        <f aca="false">IF(IsPro,IF($D306="","",IF(U306="","UNKNOWN ITEM",IF(INDEX(Items!$O$5:$O$504,U306)&lt;0,"NEG STOCK",IF(K306&lt;INDEX(Items!$P$5:$P$504,U306),"BELOW COST","OK")))),IF($D306="","","PRO PLAN"))</f>
        <v/>
      </c>
      <c r="U306" s="60" t="str">
        <f aca="false">IF(IsPro,IF($D306="","",IFERROR(MATCH($D306,Items!$A$5:$A$504,0),"")),"")</f>
        <v/>
      </c>
      <c r="V306" s="60" t="str">
        <f aca="false">IF(IsPro,IF($C306="","",IFERROR(MATCH($C306,Parties!$A$5:$A$304,0),"")),"")</f>
        <v/>
      </c>
      <c r="W306" s="60" t="str">
        <f aca="false">IF(IsPro,IF($B306="","",IFERROR(VALUE(SUBSTITUTE($B306,InvPrefix,"")),0)),"")</f>
        <v/>
      </c>
      <c r="X306" s="61" t="str">
        <f aca="false">IF(IsPro,IF($D306="","",IF(OR($H306="",$H306="Credit"),0,Q306)),"")</f>
        <v/>
      </c>
    </row>
    <row r="307" customFormat="false" ht="15" hidden="false" customHeight="false" outlineLevel="0" collapsed="false">
      <c r="A307" s="55"/>
      <c r="B307" s="56"/>
      <c r="C307" s="56"/>
      <c r="D307" s="56"/>
      <c r="E307" s="57"/>
      <c r="F307" s="58"/>
      <c r="G307" s="59"/>
      <c r="H307" s="56"/>
      <c r="I307" s="56"/>
      <c r="J307" s="60" t="str">
        <f aca="false">IF(IsPro,IF($D307="","",IFERROR(INDEX(Items!$D$5:$D$504,U307),"")),"")</f>
        <v/>
      </c>
      <c r="K307" s="61" t="str">
        <f aca="false">IF(IsPro,IF($D307="","",IF($F307="",IFERROR(INDEX(Items!$H$5:$H$504,U307),0),$F307)),"")</f>
        <v/>
      </c>
      <c r="L307" s="61" t="str">
        <f aca="false">IF(IsPro,IF($D307="","",ROUND(N($E307)*K307*(1-N($G307)),2)),"")</f>
        <v/>
      </c>
      <c r="M307" s="62" t="str">
        <f aca="false">IF(IsPro,IF($D307="","",IFERROR(INDEX(Items!$F$5:$F$504,U307),0)),"")</f>
        <v/>
      </c>
      <c r="N307" s="61" t="str">
        <f aca="false">IF(IsPro,IF($D307="","",IF(AND(V307&lt;&gt;"",INDEX(Parties!$E$5:$E$304,V307)&lt;&gt;"",INDEX(Parties!$E$5:$E$304,V307)&lt;&gt;HomeState),0,ROUND(L307*M307/2,2))),"")</f>
        <v/>
      </c>
      <c r="O307" s="61" t="str">
        <f aca="false">IF(IsPro,IF($D307="","",N307),"")</f>
        <v/>
      </c>
      <c r="P307" s="61" t="str">
        <f aca="false">IF(IsPro,IF($D307="","",IF(AND(V307&lt;&gt;"",INDEX(Parties!$E$5:$E$304,V307)&lt;&gt;"",INDEX(Parties!$E$5:$E$304,V307)&lt;&gt;HomeState),ROUND(L307*M307,2),0)),"")</f>
        <v/>
      </c>
      <c r="Q307" s="61" t="str">
        <f aca="false">IF(IsPro,IF($D307="","",L307+N307+O307+P307),"")</f>
        <v/>
      </c>
      <c r="R307" s="61" t="str">
        <f aca="false">IF(IsPro,IF($D307="","",ROUND(N($E307)*IFERROR(INDEX(Items!$P$5:$P$504,U307),0),2)),"")</f>
        <v/>
      </c>
      <c r="S307" s="61" t="str">
        <f aca="false">IF(IsPro,IF($D307="","",L307-R307),"")</f>
        <v/>
      </c>
      <c r="T307" s="60" t="str">
        <f aca="false">IF(IsPro,IF($D307="","",IF(U307="","UNKNOWN ITEM",IF(INDEX(Items!$O$5:$O$504,U307)&lt;0,"NEG STOCK",IF(K307&lt;INDEX(Items!$P$5:$P$504,U307),"BELOW COST","OK")))),IF($D307="","","PRO PLAN"))</f>
        <v/>
      </c>
      <c r="U307" s="60" t="str">
        <f aca="false">IF(IsPro,IF($D307="","",IFERROR(MATCH($D307,Items!$A$5:$A$504,0),"")),"")</f>
        <v/>
      </c>
      <c r="V307" s="60" t="str">
        <f aca="false">IF(IsPro,IF($C307="","",IFERROR(MATCH($C307,Parties!$A$5:$A$304,0),"")),"")</f>
        <v/>
      </c>
      <c r="W307" s="60" t="str">
        <f aca="false">IF(IsPro,IF($B307="","",IFERROR(VALUE(SUBSTITUTE($B307,InvPrefix,"")),0)),"")</f>
        <v/>
      </c>
      <c r="X307" s="61" t="str">
        <f aca="false">IF(IsPro,IF($D307="","",IF(OR($H307="",$H307="Credit"),0,Q307)),"")</f>
        <v/>
      </c>
    </row>
    <row r="308" customFormat="false" ht="15" hidden="false" customHeight="false" outlineLevel="0" collapsed="false">
      <c r="A308" s="55"/>
      <c r="B308" s="56"/>
      <c r="C308" s="56"/>
      <c r="D308" s="56"/>
      <c r="E308" s="57"/>
      <c r="F308" s="58"/>
      <c r="G308" s="59"/>
      <c r="H308" s="56"/>
      <c r="I308" s="56"/>
      <c r="J308" s="60" t="str">
        <f aca="false">IF(IsPro,IF($D308="","",IFERROR(INDEX(Items!$D$5:$D$504,U308),"")),"")</f>
        <v/>
      </c>
      <c r="K308" s="61" t="str">
        <f aca="false">IF(IsPro,IF($D308="","",IF($F308="",IFERROR(INDEX(Items!$H$5:$H$504,U308),0),$F308)),"")</f>
        <v/>
      </c>
      <c r="L308" s="61" t="str">
        <f aca="false">IF(IsPro,IF($D308="","",ROUND(N($E308)*K308*(1-N($G308)),2)),"")</f>
        <v/>
      </c>
      <c r="M308" s="62" t="str">
        <f aca="false">IF(IsPro,IF($D308="","",IFERROR(INDEX(Items!$F$5:$F$504,U308),0)),"")</f>
        <v/>
      </c>
      <c r="N308" s="61" t="str">
        <f aca="false">IF(IsPro,IF($D308="","",IF(AND(V308&lt;&gt;"",INDEX(Parties!$E$5:$E$304,V308)&lt;&gt;"",INDEX(Parties!$E$5:$E$304,V308)&lt;&gt;HomeState),0,ROUND(L308*M308/2,2))),"")</f>
        <v/>
      </c>
      <c r="O308" s="61" t="str">
        <f aca="false">IF(IsPro,IF($D308="","",N308),"")</f>
        <v/>
      </c>
      <c r="P308" s="61" t="str">
        <f aca="false">IF(IsPro,IF($D308="","",IF(AND(V308&lt;&gt;"",INDEX(Parties!$E$5:$E$304,V308)&lt;&gt;"",INDEX(Parties!$E$5:$E$304,V308)&lt;&gt;HomeState),ROUND(L308*M308,2),0)),"")</f>
        <v/>
      </c>
      <c r="Q308" s="61" t="str">
        <f aca="false">IF(IsPro,IF($D308="","",L308+N308+O308+P308),"")</f>
        <v/>
      </c>
      <c r="R308" s="61" t="str">
        <f aca="false">IF(IsPro,IF($D308="","",ROUND(N($E308)*IFERROR(INDEX(Items!$P$5:$P$504,U308),0),2)),"")</f>
        <v/>
      </c>
      <c r="S308" s="61" t="str">
        <f aca="false">IF(IsPro,IF($D308="","",L308-R308),"")</f>
        <v/>
      </c>
      <c r="T308" s="60" t="str">
        <f aca="false">IF(IsPro,IF($D308="","",IF(U308="","UNKNOWN ITEM",IF(INDEX(Items!$O$5:$O$504,U308)&lt;0,"NEG STOCK",IF(K308&lt;INDEX(Items!$P$5:$P$504,U308),"BELOW COST","OK")))),IF($D308="","","PRO PLAN"))</f>
        <v/>
      </c>
      <c r="U308" s="60" t="str">
        <f aca="false">IF(IsPro,IF($D308="","",IFERROR(MATCH($D308,Items!$A$5:$A$504,0),"")),"")</f>
        <v/>
      </c>
      <c r="V308" s="60" t="str">
        <f aca="false">IF(IsPro,IF($C308="","",IFERROR(MATCH($C308,Parties!$A$5:$A$304,0),"")),"")</f>
        <v/>
      </c>
      <c r="W308" s="60" t="str">
        <f aca="false">IF(IsPro,IF($B308="","",IFERROR(VALUE(SUBSTITUTE($B308,InvPrefix,"")),0)),"")</f>
        <v/>
      </c>
      <c r="X308" s="61" t="str">
        <f aca="false">IF(IsPro,IF($D308="","",IF(OR($H308="",$H308="Credit"),0,Q308)),"")</f>
        <v/>
      </c>
    </row>
    <row r="309" customFormat="false" ht="15" hidden="false" customHeight="false" outlineLevel="0" collapsed="false">
      <c r="A309" s="55"/>
      <c r="B309" s="56"/>
      <c r="C309" s="56"/>
      <c r="D309" s="56"/>
      <c r="E309" s="57"/>
      <c r="F309" s="58"/>
      <c r="G309" s="59"/>
      <c r="H309" s="56"/>
      <c r="I309" s="56"/>
      <c r="J309" s="60" t="str">
        <f aca="false">IF(IsPro,IF($D309="","",IFERROR(INDEX(Items!$D$5:$D$504,U309),"")),"")</f>
        <v/>
      </c>
      <c r="K309" s="61" t="str">
        <f aca="false">IF(IsPro,IF($D309="","",IF($F309="",IFERROR(INDEX(Items!$H$5:$H$504,U309),0),$F309)),"")</f>
        <v/>
      </c>
      <c r="L309" s="61" t="str">
        <f aca="false">IF(IsPro,IF($D309="","",ROUND(N($E309)*K309*(1-N($G309)),2)),"")</f>
        <v/>
      </c>
      <c r="M309" s="62" t="str">
        <f aca="false">IF(IsPro,IF($D309="","",IFERROR(INDEX(Items!$F$5:$F$504,U309),0)),"")</f>
        <v/>
      </c>
      <c r="N309" s="61" t="str">
        <f aca="false">IF(IsPro,IF($D309="","",IF(AND(V309&lt;&gt;"",INDEX(Parties!$E$5:$E$304,V309)&lt;&gt;"",INDEX(Parties!$E$5:$E$304,V309)&lt;&gt;HomeState),0,ROUND(L309*M309/2,2))),"")</f>
        <v/>
      </c>
      <c r="O309" s="61" t="str">
        <f aca="false">IF(IsPro,IF($D309="","",N309),"")</f>
        <v/>
      </c>
      <c r="P309" s="61" t="str">
        <f aca="false">IF(IsPro,IF($D309="","",IF(AND(V309&lt;&gt;"",INDEX(Parties!$E$5:$E$304,V309)&lt;&gt;"",INDEX(Parties!$E$5:$E$304,V309)&lt;&gt;HomeState),ROUND(L309*M309,2),0)),"")</f>
        <v/>
      </c>
      <c r="Q309" s="61" t="str">
        <f aca="false">IF(IsPro,IF($D309="","",L309+N309+O309+P309),"")</f>
        <v/>
      </c>
      <c r="R309" s="61" t="str">
        <f aca="false">IF(IsPro,IF($D309="","",ROUND(N($E309)*IFERROR(INDEX(Items!$P$5:$P$504,U309),0),2)),"")</f>
        <v/>
      </c>
      <c r="S309" s="61" t="str">
        <f aca="false">IF(IsPro,IF($D309="","",L309-R309),"")</f>
        <v/>
      </c>
      <c r="T309" s="60" t="str">
        <f aca="false">IF(IsPro,IF($D309="","",IF(U309="","UNKNOWN ITEM",IF(INDEX(Items!$O$5:$O$504,U309)&lt;0,"NEG STOCK",IF(K309&lt;INDEX(Items!$P$5:$P$504,U309),"BELOW COST","OK")))),IF($D309="","","PRO PLAN"))</f>
        <v/>
      </c>
      <c r="U309" s="60" t="str">
        <f aca="false">IF(IsPro,IF($D309="","",IFERROR(MATCH($D309,Items!$A$5:$A$504,0),"")),"")</f>
        <v/>
      </c>
      <c r="V309" s="60" t="str">
        <f aca="false">IF(IsPro,IF($C309="","",IFERROR(MATCH($C309,Parties!$A$5:$A$304,0),"")),"")</f>
        <v/>
      </c>
      <c r="W309" s="60" t="str">
        <f aca="false">IF(IsPro,IF($B309="","",IFERROR(VALUE(SUBSTITUTE($B309,InvPrefix,"")),0)),"")</f>
        <v/>
      </c>
      <c r="X309" s="61" t="str">
        <f aca="false">IF(IsPro,IF($D309="","",IF(OR($H309="",$H309="Credit"),0,Q309)),"")</f>
        <v/>
      </c>
    </row>
    <row r="310" customFormat="false" ht="15" hidden="false" customHeight="false" outlineLevel="0" collapsed="false">
      <c r="A310" s="55"/>
      <c r="B310" s="56"/>
      <c r="C310" s="56"/>
      <c r="D310" s="56"/>
      <c r="E310" s="57"/>
      <c r="F310" s="58"/>
      <c r="G310" s="59"/>
      <c r="H310" s="56"/>
      <c r="I310" s="56"/>
      <c r="J310" s="60" t="str">
        <f aca="false">IF(IsPro,IF($D310="","",IFERROR(INDEX(Items!$D$5:$D$504,U310),"")),"")</f>
        <v/>
      </c>
      <c r="K310" s="61" t="str">
        <f aca="false">IF(IsPro,IF($D310="","",IF($F310="",IFERROR(INDEX(Items!$H$5:$H$504,U310),0),$F310)),"")</f>
        <v/>
      </c>
      <c r="L310" s="61" t="str">
        <f aca="false">IF(IsPro,IF($D310="","",ROUND(N($E310)*K310*(1-N($G310)),2)),"")</f>
        <v/>
      </c>
      <c r="M310" s="62" t="str">
        <f aca="false">IF(IsPro,IF($D310="","",IFERROR(INDEX(Items!$F$5:$F$504,U310),0)),"")</f>
        <v/>
      </c>
      <c r="N310" s="61" t="str">
        <f aca="false">IF(IsPro,IF($D310="","",IF(AND(V310&lt;&gt;"",INDEX(Parties!$E$5:$E$304,V310)&lt;&gt;"",INDEX(Parties!$E$5:$E$304,V310)&lt;&gt;HomeState),0,ROUND(L310*M310/2,2))),"")</f>
        <v/>
      </c>
      <c r="O310" s="61" t="str">
        <f aca="false">IF(IsPro,IF($D310="","",N310),"")</f>
        <v/>
      </c>
      <c r="P310" s="61" t="str">
        <f aca="false">IF(IsPro,IF($D310="","",IF(AND(V310&lt;&gt;"",INDEX(Parties!$E$5:$E$304,V310)&lt;&gt;"",INDEX(Parties!$E$5:$E$304,V310)&lt;&gt;HomeState),ROUND(L310*M310,2),0)),"")</f>
        <v/>
      </c>
      <c r="Q310" s="61" t="str">
        <f aca="false">IF(IsPro,IF($D310="","",L310+N310+O310+P310),"")</f>
        <v/>
      </c>
      <c r="R310" s="61" t="str">
        <f aca="false">IF(IsPro,IF($D310="","",ROUND(N($E310)*IFERROR(INDEX(Items!$P$5:$P$504,U310),0),2)),"")</f>
        <v/>
      </c>
      <c r="S310" s="61" t="str">
        <f aca="false">IF(IsPro,IF($D310="","",L310-R310),"")</f>
        <v/>
      </c>
      <c r="T310" s="60" t="str">
        <f aca="false">IF(IsPro,IF($D310="","",IF(U310="","UNKNOWN ITEM",IF(INDEX(Items!$O$5:$O$504,U310)&lt;0,"NEG STOCK",IF(K310&lt;INDEX(Items!$P$5:$P$504,U310),"BELOW COST","OK")))),IF($D310="","","PRO PLAN"))</f>
        <v/>
      </c>
      <c r="U310" s="60" t="str">
        <f aca="false">IF(IsPro,IF($D310="","",IFERROR(MATCH($D310,Items!$A$5:$A$504,0),"")),"")</f>
        <v/>
      </c>
      <c r="V310" s="60" t="str">
        <f aca="false">IF(IsPro,IF($C310="","",IFERROR(MATCH($C310,Parties!$A$5:$A$304,0),"")),"")</f>
        <v/>
      </c>
      <c r="W310" s="60" t="str">
        <f aca="false">IF(IsPro,IF($B310="","",IFERROR(VALUE(SUBSTITUTE($B310,InvPrefix,"")),0)),"")</f>
        <v/>
      </c>
      <c r="X310" s="61" t="str">
        <f aca="false">IF(IsPro,IF($D310="","",IF(OR($H310="",$H310="Credit"),0,Q310)),"")</f>
        <v/>
      </c>
    </row>
    <row r="311" customFormat="false" ht="15" hidden="false" customHeight="false" outlineLevel="0" collapsed="false">
      <c r="A311" s="55"/>
      <c r="B311" s="56"/>
      <c r="C311" s="56"/>
      <c r="D311" s="56"/>
      <c r="E311" s="57"/>
      <c r="F311" s="58"/>
      <c r="G311" s="59"/>
      <c r="H311" s="56"/>
      <c r="I311" s="56"/>
      <c r="J311" s="60" t="str">
        <f aca="false">IF(IsPro,IF($D311="","",IFERROR(INDEX(Items!$D$5:$D$504,U311),"")),"")</f>
        <v/>
      </c>
      <c r="K311" s="61" t="str">
        <f aca="false">IF(IsPro,IF($D311="","",IF($F311="",IFERROR(INDEX(Items!$H$5:$H$504,U311),0),$F311)),"")</f>
        <v/>
      </c>
      <c r="L311" s="61" t="str">
        <f aca="false">IF(IsPro,IF($D311="","",ROUND(N($E311)*K311*(1-N($G311)),2)),"")</f>
        <v/>
      </c>
      <c r="M311" s="62" t="str">
        <f aca="false">IF(IsPro,IF($D311="","",IFERROR(INDEX(Items!$F$5:$F$504,U311),0)),"")</f>
        <v/>
      </c>
      <c r="N311" s="61" t="str">
        <f aca="false">IF(IsPro,IF($D311="","",IF(AND(V311&lt;&gt;"",INDEX(Parties!$E$5:$E$304,V311)&lt;&gt;"",INDEX(Parties!$E$5:$E$304,V311)&lt;&gt;HomeState),0,ROUND(L311*M311/2,2))),"")</f>
        <v/>
      </c>
      <c r="O311" s="61" t="str">
        <f aca="false">IF(IsPro,IF($D311="","",N311),"")</f>
        <v/>
      </c>
      <c r="P311" s="61" t="str">
        <f aca="false">IF(IsPro,IF($D311="","",IF(AND(V311&lt;&gt;"",INDEX(Parties!$E$5:$E$304,V311)&lt;&gt;"",INDEX(Parties!$E$5:$E$304,V311)&lt;&gt;HomeState),ROUND(L311*M311,2),0)),"")</f>
        <v/>
      </c>
      <c r="Q311" s="61" t="str">
        <f aca="false">IF(IsPro,IF($D311="","",L311+N311+O311+P311),"")</f>
        <v/>
      </c>
      <c r="R311" s="61" t="str">
        <f aca="false">IF(IsPro,IF($D311="","",ROUND(N($E311)*IFERROR(INDEX(Items!$P$5:$P$504,U311),0),2)),"")</f>
        <v/>
      </c>
      <c r="S311" s="61" t="str">
        <f aca="false">IF(IsPro,IF($D311="","",L311-R311),"")</f>
        <v/>
      </c>
      <c r="T311" s="60" t="str">
        <f aca="false">IF(IsPro,IF($D311="","",IF(U311="","UNKNOWN ITEM",IF(INDEX(Items!$O$5:$O$504,U311)&lt;0,"NEG STOCK",IF(K311&lt;INDEX(Items!$P$5:$P$504,U311),"BELOW COST","OK")))),IF($D311="","","PRO PLAN"))</f>
        <v/>
      </c>
      <c r="U311" s="60" t="str">
        <f aca="false">IF(IsPro,IF($D311="","",IFERROR(MATCH($D311,Items!$A$5:$A$504,0),"")),"")</f>
        <v/>
      </c>
      <c r="V311" s="60" t="str">
        <f aca="false">IF(IsPro,IF($C311="","",IFERROR(MATCH($C311,Parties!$A$5:$A$304,0),"")),"")</f>
        <v/>
      </c>
      <c r="W311" s="60" t="str">
        <f aca="false">IF(IsPro,IF($B311="","",IFERROR(VALUE(SUBSTITUTE($B311,InvPrefix,"")),0)),"")</f>
        <v/>
      </c>
      <c r="X311" s="61" t="str">
        <f aca="false">IF(IsPro,IF($D311="","",IF(OR($H311="",$H311="Credit"),0,Q311)),"")</f>
        <v/>
      </c>
    </row>
    <row r="312" customFormat="false" ht="15" hidden="false" customHeight="false" outlineLevel="0" collapsed="false">
      <c r="A312" s="55"/>
      <c r="B312" s="56"/>
      <c r="C312" s="56"/>
      <c r="D312" s="56"/>
      <c r="E312" s="57"/>
      <c r="F312" s="58"/>
      <c r="G312" s="59"/>
      <c r="H312" s="56"/>
      <c r="I312" s="56"/>
      <c r="J312" s="60" t="str">
        <f aca="false">IF(IsPro,IF($D312="","",IFERROR(INDEX(Items!$D$5:$D$504,U312),"")),"")</f>
        <v/>
      </c>
      <c r="K312" s="61" t="str">
        <f aca="false">IF(IsPro,IF($D312="","",IF($F312="",IFERROR(INDEX(Items!$H$5:$H$504,U312),0),$F312)),"")</f>
        <v/>
      </c>
      <c r="L312" s="61" t="str">
        <f aca="false">IF(IsPro,IF($D312="","",ROUND(N($E312)*K312*(1-N($G312)),2)),"")</f>
        <v/>
      </c>
      <c r="M312" s="62" t="str">
        <f aca="false">IF(IsPro,IF($D312="","",IFERROR(INDEX(Items!$F$5:$F$504,U312),0)),"")</f>
        <v/>
      </c>
      <c r="N312" s="61" t="str">
        <f aca="false">IF(IsPro,IF($D312="","",IF(AND(V312&lt;&gt;"",INDEX(Parties!$E$5:$E$304,V312)&lt;&gt;"",INDEX(Parties!$E$5:$E$304,V312)&lt;&gt;HomeState),0,ROUND(L312*M312/2,2))),"")</f>
        <v/>
      </c>
      <c r="O312" s="61" t="str">
        <f aca="false">IF(IsPro,IF($D312="","",N312),"")</f>
        <v/>
      </c>
      <c r="P312" s="61" t="str">
        <f aca="false">IF(IsPro,IF($D312="","",IF(AND(V312&lt;&gt;"",INDEX(Parties!$E$5:$E$304,V312)&lt;&gt;"",INDEX(Parties!$E$5:$E$304,V312)&lt;&gt;HomeState),ROUND(L312*M312,2),0)),"")</f>
        <v/>
      </c>
      <c r="Q312" s="61" t="str">
        <f aca="false">IF(IsPro,IF($D312="","",L312+N312+O312+P312),"")</f>
        <v/>
      </c>
      <c r="R312" s="61" t="str">
        <f aca="false">IF(IsPro,IF($D312="","",ROUND(N($E312)*IFERROR(INDEX(Items!$P$5:$P$504,U312),0),2)),"")</f>
        <v/>
      </c>
      <c r="S312" s="61" t="str">
        <f aca="false">IF(IsPro,IF($D312="","",L312-R312),"")</f>
        <v/>
      </c>
      <c r="T312" s="60" t="str">
        <f aca="false">IF(IsPro,IF($D312="","",IF(U312="","UNKNOWN ITEM",IF(INDEX(Items!$O$5:$O$504,U312)&lt;0,"NEG STOCK",IF(K312&lt;INDEX(Items!$P$5:$P$504,U312),"BELOW COST","OK")))),IF($D312="","","PRO PLAN"))</f>
        <v/>
      </c>
      <c r="U312" s="60" t="str">
        <f aca="false">IF(IsPro,IF($D312="","",IFERROR(MATCH($D312,Items!$A$5:$A$504,0),"")),"")</f>
        <v/>
      </c>
      <c r="V312" s="60" t="str">
        <f aca="false">IF(IsPro,IF($C312="","",IFERROR(MATCH($C312,Parties!$A$5:$A$304,0),"")),"")</f>
        <v/>
      </c>
      <c r="W312" s="60" t="str">
        <f aca="false">IF(IsPro,IF($B312="","",IFERROR(VALUE(SUBSTITUTE($B312,InvPrefix,"")),0)),"")</f>
        <v/>
      </c>
      <c r="X312" s="61" t="str">
        <f aca="false">IF(IsPro,IF($D312="","",IF(OR($H312="",$H312="Credit"),0,Q312)),"")</f>
        <v/>
      </c>
    </row>
    <row r="313" customFormat="false" ht="15" hidden="false" customHeight="false" outlineLevel="0" collapsed="false">
      <c r="A313" s="55"/>
      <c r="B313" s="56"/>
      <c r="C313" s="56"/>
      <c r="D313" s="56"/>
      <c r="E313" s="57"/>
      <c r="F313" s="58"/>
      <c r="G313" s="59"/>
      <c r="H313" s="56"/>
      <c r="I313" s="56"/>
      <c r="J313" s="60" t="str">
        <f aca="false">IF(IsPro,IF($D313="","",IFERROR(INDEX(Items!$D$5:$D$504,U313),"")),"")</f>
        <v/>
      </c>
      <c r="K313" s="61" t="str">
        <f aca="false">IF(IsPro,IF($D313="","",IF($F313="",IFERROR(INDEX(Items!$H$5:$H$504,U313),0),$F313)),"")</f>
        <v/>
      </c>
      <c r="L313" s="61" t="str">
        <f aca="false">IF(IsPro,IF($D313="","",ROUND(N($E313)*K313*(1-N($G313)),2)),"")</f>
        <v/>
      </c>
      <c r="M313" s="62" t="str">
        <f aca="false">IF(IsPro,IF($D313="","",IFERROR(INDEX(Items!$F$5:$F$504,U313),0)),"")</f>
        <v/>
      </c>
      <c r="N313" s="61" t="str">
        <f aca="false">IF(IsPro,IF($D313="","",IF(AND(V313&lt;&gt;"",INDEX(Parties!$E$5:$E$304,V313)&lt;&gt;"",INDEX(Parties!$E$5:$E$304,V313)&lt;&gt;HomeState),0,ROUND(L313*M313/2,2))),"")</f>
        <v/>
      </c>
      <c r="O313" s="61" t="str">
        <f aca="false">IF(IsPro,IF($D313="","",N313),"")</f>
        <v/>
      </c>
      <c r="P313" s="61" t="str">
        <f aca="false">IF(IsPro,IF($D313="","",IF(AND(V313&lt;&gt;"",INDEX(Parties!$E$5:$E$304,V313)&lt;&gt;"",INDEX(Parties!$E$5:$E$304,V313)&lt;&gt;HomeState),ROUND(L313*M313,2),0)),"")</f>
        <v/>
      </c>
      <c r="Q313" s="61" t="str">
        <f aca="false">IF(IsPro,IF($D313="","",L313+N313+O313+P313),"")</f>
        <v/>
      </c>
      <c r="R313" s="61" t="str">
        <f aca="false">IF(IsPro,IF($D313="","",ROUND(N($E313)*IFERROR(INDEX(Items!$P$5:$P$504,U313),0),2)),"")</f>
        <v/>
      </c>
      <c r="S313" s="61" t="str">
        <f aca="false">IF(IsPro,IF($D313="","",L313-R313),"")</f>
        <v/>
      </c>
      <c r="T313" s="60" t="str">
        <f aca="false">IF(IsPro,IF($D313="","",IF(U313="","UNKNOWN ITEM",IF(INDEX(Items!$O$5:$O$504,U313)&lt;0,"NEG STOCK",IF(K313&lt;INDEX(Items!$P$5:$P$504,U313),"BELOW COST","OK")))),IF($D313="","","PRO PLAN"))</f>
        <v/>
      </c>
      <c r="U313" s="60" t="str">
        <f aca="false">IF(IsPro,IF($D313="","",IFERROR(MATCH($D313,Items!$A$5:$A$504,0),"")),"")</f>
        <v/>
      </c>
      <c r="V313" s="60" t="str">
        <f aca="false">IF(IsPro,IF($C313="","",IFERROR(MATCH($C313,Parties!$A$5:$A$304,0),"")),"")</f>
        <v/>
      </c>
      <c r="W313" s="60" t="str">
        <f aca="false">IF(IsPro,IF($B313="","",IFERROR(VALUE(SUBSTITUTE($B313,InvPrefix,"")),0)),"")</f>
        <v/>
      </c>
      <c r="X313" s="61" t="str">
        <f aca="false">IF(IsPro,IF($D313="","",IF(OR($H313="",$H313="Credit"),0,Q313)),"")</f>
        <v/>
      </c>
    </row>
    <row r="314" customFormat="false" ht="15" hidden="false" customHeight="false" outlineLevel="0" collapsed="false">
      <c r="A314" s="55"/>
      <c r="B314" s="56"/>
      <c r="C314" s="56"/>
      <c r="D314" s="56"/>
      <c r="E314" s="57"/>
      <c r="F314" s="58"/>
      <c r="G314" s="59"/>
      <c r="H314" s="56"/>
      <c r="I314" s="56"/>
      <c r="J314" s="60" t="str">
        <f aca="false">IF(IsPro,IF($D314="","",IFERROR(INDEX(Items!$D$5:$D$504,U314),"")),"")</f>
        <v/>
      </c>
      <c r="K314" s="61" t="str">
        <f aca="false">IF(IsPro,IF($D314="","",IF($F314="",IFERROR(INDEX(Items!$H$5:$H$504,U314),0),$F314)),"")</f>
        <v/>
      </c>
      <c r="L314" s="61" t="str">
        <f aca="false">IF(IsPro,IF($D314="","",ROUND(N($E314)*K314*(1-N($G314)),2)),"")</f>
        <v/>
      </c>
      <c r="M314" s="62" t="str">
        <f aca="false">IF(IsPro,IF($D314="","",IFERROR(INDEX(Items!$F$5:$F$504,U314),0)),"")</f>
        <v/>
      </c>
      <c r="N314" s="61" t="str">
        <f aca="false">IF(IsPro,IF($D314="","",IF(AND(V314&lt;&gt;"",INDEX(Parties!$E$5:$E$304,V314)&lt;&gt;"",INDEX(Parties!$E$5:$E$304,V314)&lt;&gt;HomeState),0,ROUND(L314*M314/2,2))),"")</f>
        <v/>
      </c>
      <c r="O314" s="61" t="str">
        <f aca="false">IF(IsPro,IF($D314="","",N314),"")</f>
        <v/>
      </c>
      <c r="P314" s="61" t="str">
        <f aca="false">IF(IsPro,IF($D314="","",IF(AND(V314&lt;&gt;"",INDEX(Parties!$E$5:$E$304,V314)&lt;&gt;"",INDEX(Parties!$E$5:$E$304,V314)&lt;&gt;HomeState),ROUND(L314*M314,2),0)),"")</f>
        <v/>
      </c>
      <c r="Q314" s="61" t="str">
        <f aca="false">IF(IsPro,IF($D314="","",L314+N314+O314+P314),"")</f>
        <v/>
      </c>
      <c r="R314" s="61" t="str">
        <f aca="false">IF(IsPro,IF($D314="","",ROUND(N($E314)*IFERROR(INDEX(Items!$P$5:$P$504,U314),0),2)),"")</f>
        <v/>
      </c>
      <c r="S314" s="61" t="str">
        <f aca="false">IF(IsPro,IF($D314="","",L314-R314),"")</f>
        <v/>
      </c>
      <c r="T314" s="60" t="str">
        <f aca="false">IF(IsPro,IF($D314="","",IF(U314="","UNKNOWN ITEM",IF(INDEX(Items!$O$5:$O$504,U314)&lt;0,"NEG STOCK",IF(K314&lt;INDEX(Items!$P$5:$P$504,U314),"BELOW COST","OK")))),IF($D314="","","PRO PLAN"))</f>
        <v/>
      </c>
      <c r="U314" s="60" t="str">
        <f aca="false">IF(IsPro,IF($D314="","",IFERROR(MATCH($D314,Items!$A$5:$A$504,0),"")),"")</f>
        <v/>
      </c>
      <c r="V314" s="60" t="str">
        <f aca="false">IF(IsPro,IF($C314="","",IFERROR(MATCH($C314,Parties!$A$5:$A$304,0),"")),"")</f>
        <v/>
      </c>
      <c r="W314" s="60" t="str">
        <f aca="false">IF(IsPro,IF($B314="","",IFERROR(VALUE(SUBSTITUTE($B314,InvPrefix,"")),0)),"")</f>
        <v/>
      </c>
      <c r="X314" s="61" t="str">
        <f aca="false">IF(IsPro,IF($D314="","",IF(OR($H314="",$H314="Credit"),0,Q314)),"")</f>
        <v/>
      </c>
    </row>
    <row r="315" customFormat="false" ht="15" hidden="false" customHeight="false" outlineLevel="0" collapsed="false">
      <c r="A315" s="55"/>
      <c r="B315" s="56"/>
      <c r="C315" s="56"/>
      <c r="D315" s="56"/>
      <c r="E315" s="57"/>
      <c r="F315" s="58"/>
      <c r="G315" s="59"/>
      <c r="H315" s="56"/>
      <c r="I315" s="56"/>
      <c r="J315" s="60" t="str">
        <f aca="false">IF(IsPro,IF($D315="","",IFERROR(INDEX(Items!$D$5:$D$504,U315),"")),"")</f>
        <v/>
      </c>
      <c r="K315" s="61" t="str">
        <f aca="false">IF(IsPro,IF($D315="","",IF($F315="",IFERROR(INDEX(Items!$H$5:$H$504,U315),0),$F315)),"")</f>
        <v/>
      </c>
      <c r="L315" s="61" t="str">
        <f aca="false">IF(IsPro,IF($D315="","",ROUND(N($E315)*K315*(1-N($G315)),2)),"")</f>
        <v/>
      </c>
      <c r="M315" s="62" t="str">
        <f aca="false">IF(IsPro,IF($D315="","",IFERROR(INDEX(Items!$F$5:$F$504,U315),0)),"")</f>
        <v/>
      </c>
      <c r="N315" s="61" t="str">
        <f aca="false">IF(IsPro,IF($D315="","",IF(AND(V315&lt;&gt;"",INDEX(Parties!$E$5:$E$304,V315)&lt;&gt;"",INDEX(Parties!$E$5:$E$304,V315)&lt;&gt;HomeState),0,ROUND(L315*M315/2,2))),"")</f>
        <v/>
      </c>
      <c r="O315" s="61" t="str">
        <f aca="false">IF(IsPro,IF($D315="","",N315),"")</f>
        <v/>
      </c>
      <c r="P315" s="61" t="str">
        <f aca="false">IF(IsPro,IF($D315="","",IF(AND(V315&lt;&gt;"",INDEX(Parties!$E$5:$E$304,V315)&lt;&gt;"",INDEX(Parties!$E$5:$E$304,V315)&lt;&gt;HomeState),ROUND(L315*M315,2),0)),"")</f>
        <v/>
      </c>
      <c r="Q315" s="61" t="str">
        <f aca="false">IF(IsPro,IF($D315="","",L315+N315+O315+P315),"")</f>
        <v/>
      </c>
      <c r="R315" s="61" t="str">
        <f aca="false">IF(IsPro,IF($D315="","",ROUND(N($E315)*IFERROR(INDEX(Items!$P$5:$P$504,U315),0),2)),"")</f>
        <v/>
      </c>
      <c r="S315" s="61" t="str">
        <f aca="false">IF(IsPro,IF($D315="","",L315-R315),"")</f>
        <v/>
      </c>
      <c r="T315" s="60" t="str">
        <f aca="false">IF(IsPro,IF($D315="","",IF(U315="","UNKNOWN ITEM",IF(INDEX(Items!$O$5:$O$504,U315)&lt;0,"NEG STOCK",IF(K315&lt;INDEX(Items!$P$5:$P$504,U315),"BELOW COST","OK")))),IF($D315="","","PRO PLAN"))</f>
        <v/>
      </c>
      <c r="U315" s="60" t="str">
        <f aca="false">IF(IsPro,IF($D315="","",IFERROR(MATCH($D315,Items!$A$5:$A$504,0),"")),"")</f>
        <v/>
      </c>
      <c r="V315" s="60" t="str">
        <f aca="false">IF(IsPro,IF($C315="","",IFERROR(MATCH($C315,Parties!$A$5:$A$304,0),"")),"")</f>
        <v/>
      </c>
      <c r="W315" s="60" t="str">
        <f aca="false">IF(IsPro,IF($B315="","",IFERROR(VALUE(SUBSTITUTE($B315,InvPrefix,"")),0)),"")</f>
        <v/>
      </c>
      <c r="X315" s="61" t="str">
        <f aca="false">IF(IsPro,IF($D315="","",IF(OR($H315="",$H315="Credit"),0,Q315)),"")</f>
        <v/>
      </c>
    </row>
    <row r="316" customFormat="false" ht="15" hidden="false" customHeight="false" outlineLevel="0" collapsed="false">
      <c r="A316" s="55"/>
      <c r="B316" s="56"/>
      <c r="C316" s="56"/>
      <c r="D316" s="56"/>
      <c r="E316" s="57"/>
      <c r="F316" s="58"/>
      <c r="G316" s="59"/>
      <c r="H316" s="56"/>
      <c r="I316" s="56"/>
      <c r="J316" s="60" t="str">
        <f aca="false">IF(IsPro,IF($D316="","",IFERROR(INDEX(Items!$D$5:$D$504,U316),"")),"")</f>
        <v/>
      </c>
      <c r="K316" s="61" t="str">
        <f aca="false">IF(IsPro,IF($D316="","",IF($F316="",IFERROR(INDEX(Items!$H$5:$H$504,U316),0),$F316)),"")</f>
        <v/>
      </c>
      <c r="L316" s="61" t="str">
        <f aca="false">IF(IsPro,IF($D316="","",ROUND(N($E316)*K316*(1-N($G316)),2)),"")</f>
        <v/>
      </c>
      <c r="M316" s="62" t="str">
        <f aca="false">IF(IsPro,IF($D316="","",IFERROR(INDEX(Items!$F$5:$F$504,U316),0)),"")</f>
        <v/>
      </c>
      <c r="N316" s="61" t="str">
        <f aca="false">IF(IsPro,IF($D316="","",IF(AND(V316&lt;&gt;"",INDEX(Parties!$E$5:$E$304,V316)&lt;&gt;"",INDEX(Parties!$E$5:$E$304,V316)&lt;&gt;HomeState),0,ROUND(L316*M316/2,2))),"")</f>
        <v/>
      </c>
      <c r="O316" s="61" t="str">
        <f aca="false">IF(IsPro,IF($D316="","",N316),"")</f>
        <v/>
      </c>
      <c r="P316" s="61" t="str">
        <f aca="false">IF(IsPro,IF($D316="","",IF(AND(V316&lt;&gt;"",INDEX(Parties!$E$5:$E$304,V316)&lt;&gt;"",INDEX(Parties!$E$5:$E$304,V316)&lt;&gt;HomeState),ROUND(L316*M316,2),0)),"")</f>
        <v/>
      </c>
      <c r="Q316" s="61" t="str">
        <f aca="false">IF(IsPro,IF($D316="","",L316+N316+O316+P316),"")</f>
        <v/>
      </c>
      <c r="R316" s="61" t="str">
        <f aca="false">IF(IsPro,IF($D316="","",ROUND(N($E316)*IFERROR(INDEX(Items!$P$5:$P$504,U316),0),2)),"")</f>
        <v/>
      </c>
      <c r="S316" s="61" t="str">
        <f aca="false">IF(IsPro,IF($D316="","",L316-R316),"")</f>
        <v/>
      </c>
      <c r="T316" s="60" t="str">
        <f aca="false">IF(IsPro,IF($D316="","",IF(U316="","UNKNOWN ITEM",IF(INDEX(Items!$O$5:$O$504,U316)&lt;0,"NEG STOCK",IF(K316&lt;INDEX(Items!$P$5:$P$504,U316),"BELOW COST","OK")))),IF($D316="","","PRO PLAN"))</f>
        <v/>
      </c>
      <c r="U316" s="60" t="str">
        <f aca="false">IF(IsPro,IF($D316="","",IFERROR(MATCH($D316,Items!$A$5:$A$504,0),"")),"")</f>
        <v/>
      </c>
      <c r="V316" s="60" t="str">
        <f aca="false">IF(IsPro,IF($C316="","",IFERROR(MATCH($C316,Parties!$A$5:$A$304,0),"")),"")</f>
        <v/>
      </c>
      <c r="W316" s="60" t="str">
        <f aca="false">IF(IsPro,IF($B316="","",IFERROR(VALUE(SUBSTITUTE($B316,InvPrefix,"")),0)),"")</f>
        <v/>
      </c>
      <c r="X316" s="61" t="str">
        <f aca="false">IF(IsPro,IF($D316="","",IF(OR($H316="",$H316="Credit"),0,Q316)),"")</f>
        <v/>
      </c>
    </row>
    <row r="317" customFormat="false" ht="15" hidden="false" customHeight="false" outlineLevel="0" collapsed="false">
      <c r="A317" s="55"/>
      <c r="B317" s="56"/>
      <c r="C317" s="56"/>
      <c r="D317" s="56"/>
      <c r="E317" s="57"/>
      <c r="F317" s="58"/>
      <c r="G317" s="59"/>
      <c r="H317" s="56"/>
      <c r="I317" s="56"/>
      <c r="J317" s="60" t="str">
        <f aca="false">IF(IsPro,IF($D317="","",IFERROR(INDEX(Items!$D$5:$D$504,U317),"")),"")</f>
        <v/>
      </c>
      <c r="K317" s="61" t="str">
        <f aca="false">IF(IsPro,IF($D317="","",IF($F317="",IFERROR(INDEX(Items!$H$5:$H$504,U317),0),$F317)),"")</f>
        <v/>
      </c>
      <c r="L317" s="61" t="str">
        <f aca="false">IF(IsPro,IF($D317="","",ROUND(N($E317)*K317*(1-N($G317)),2)),"")</f>
        <v/>
      </c>
      <c r="M317" s="62" t="str">
        <f aca="false">IF(IsPro,IF($D317="","",IFERROR(INDEX(Items!$F$5:$F$504,U317),0)),"")</f>
        <v/>
      </c>
      <c r="N317" s="61" t="str">
        <f aca="false">IF(IsPro,IF($D317="","",IF(AND(V317&lt;&gt;"",INDEX(Parties!$E$5:$E$304,V317)&lt;&gt;"",INDEX(Parties!$E$5:$E$304,V317)&lt;&gt;HomeState),0,ROUND(L317*M317/2,2))),"")</f>
        <v/>
      </c>
      <c r="O317" s="61" t="str">
        <f aca="false">IF(IsPro,IF($D317="","",N317),"")</f>
        <v/>
      </c>
      <c r="P317" s="61" t="str">
        <f aca="false">IF(IsPro,IF($D317="","",IF(AND(V317&lt;&gt;"",INDEX(Parties!$E$5:$E$304,V317)&lt;&gt;"",INDEX(Parties!$E$5:$E$304,V317)&lt;&gt;HomeState),ROUND(L317*M317,2),0)),"")</f>
        <v/>
      </c>
      <c r="Q317" s="61" t="str">
        <f aca="false">IF(IsPro,IF($D317="","",L317+N317+O317+P317),"")</f>
        <v/>
      </c>
      <c r="R317" s="61" t="str">
        <f aca="false">IF(IsPro,IF($D317="","",ROUND(N($E317)*IFERROR(INDEX(Items!$P$5:$P$504,U317),0),2)),"")</f>
        <v/>
      </c>
      <c r="S317" s="61" t="str">
        <f aca="false">IF(IsPro,IF($D317="","",L317-R317),"")</f>
        <v/>
      </c>
      <c r="T317" s="60" t="str">
        <f aca="false">IF(IsPro,IF($D317="","",IF(U317="","UNKNOWN ITEM",IF(INDEX(Items!$O$5:$O$504,U317)&lt;0,"NEG STOCK",IF(K317&lt;INDEX(Items!$P$5:$P$504,U317),"BELOW COST","OK")))),IF($D317="","","PRO PLAN"))</f>
        <v/>
      </c>
      <c r="U317" s="60" t="str">
        <f aca="false">IF(IsPro,IF($D317="","",IFERROR(MATCH($D317,Items!$A$5:$A$504,0),"")),"")</f>
        <v/>
      </c>
      <c r="V317" s="60" t="str">
        <f aca="false">IF(IsPro,IF($C317="","",IFERROR(MATCH($C317,Parties!$A$5:$A$304,0),"")),"")</f>
        <v/>
      </c>
      <c r="W317" s="60" t="str">
        <f aca="false">IF(IsPro,IF($B317="","",IFERROR(VALUE(SUBSTITUTE($B317,InvPrefix,"")),0)),"")</f>
        <v/>
      </c>
      <c r="X317" s="61" t="str">
        <f aca="false">IF(IsPro,IF($D317="","",IF(OR($H317="",$H317="Credit"),0,Q317)),"")</f>
        <v/>
      </c>
    </row>
    <row r="318" customFormat="false" ht="15" hidden="false" customHeight="false" outlineLevel="0" collapsed="false">
      <c r="A318" s="55"/>
      <c r="B318" s="56"/>
      <c r="C318" s="56"/>
      <c r="D318" s="56"/>
      <c r="E318" s="57"/>
      <c r="F318" s="58"/>
      <c r="G318" s="59"/>
      <c r="H318" s="56"/>
      <c r="I318" s="56"/>
      <c r="J318" s="60" t="str">
        <f aca="false">IF(IsPro,IF($D318="","",IFERROR(INDEX(Items!$D$5:$D$504,U318),"")),"")</f>
        <v/>
      </c>
      <c r="K318" s="61" t="str">
        <f aca="false">IF(IsPro,IF($D318="","",IF($F318="",IFERROR(INDEX(Items!$H$5:$H$504,U318),0),$F318)),"")</f>
        <v/>
      </c>
      <c r="L318" s="61" t="str">
        <f aca="false">IF(IsPro,IF($D318="","",ROUND(N($E318)*K318*(1-N($G318)),2)),"")</f>
        <v/>
      </c>
      <c r="M318" s="62" t="str">
        <f aca="false">IF(IsPro,IF($D318="","",IFERROR(INDEX(Items!$F$5:$F$504,U318),0)),"")</f>
        <v/>
      </c>
      <c r="N318" s="61" t="str">
        <f aca="false">IF(IsPro,IF($D318="","",IF(AND(V318&lt;&gt;"",INDEX(Parties!$E$5:$E$304,V318)&lt;&gt;"",INDEX(Parties!$E$5:$E$304,V318)&lt;&gt;HomeState),0,ROUND(L318*M318/2,2))),"")</f>
        <v/>
      </c>
      <c r="O318" s="61" t="str">
        <f aca="false">IF(IsPro,IF($D318="","",N318),"")</f>
        <v/>
      </c>
      <c r="P318" s="61" t="str">
        <f aca="false">IF(IsPro,IF($D318="","",IF(AND(V318&lt;&gt;"",INDEX(Parties!$E$5:$E$304,V318)&lt;&gt;"",INDEX(Parties!$E$5:$E$304,V318)&lt;&gt;HomeState),ROUND(L318*M318,2),0)),"")</f>
        <v/>
      </c>
      <c r="Q318" s="61" t="str">
        <f aca="false">IF(IsPro,IF($D318="","",L318+N318+O318+P318),"")</f>
        <v/>
      </c>
      <c r="R318" s="61" t="str">
        <f aca="false">IF(IsPro,IF($D318="","",ROUND(N($E318)*IFERROR(INDEX(Items!$P$5:$P$504,U318),0),2)),"")</f>
        <v/>
      </c>
      <c r="S318" s="61" t="str">
        <f aca="false">IF(IsPro,IF($D318="","",L318-R318),"")</f>
        <v/>
      </c>
      <c r="T318" s="60" t="str">
        <f aca="false">IF(IsPro,IF($D318="","",IF(U318="","UNKNOWN ITEM",IF(INDEX(Items!$O$5:$O$504,U318)&lt;0,"NEG STOCK",IF(K318&lt;INDEX(Items!$P$5:$P$504,U318),"BELOW COST","OK")))),IF($D318="","","PRO PLAN"))</f>
        <v/>
      </c>
      <c r="U318" s="60" t="str">
        <f aca="false">IF(IsPro,IF($D318="","",IFERROR(MATCH($D318,Items!$A$5:$A$504,0),"")),"")</f>
        <v/>
      </c>
      <c r="V318" s="60" t="str">
        <f aca="false">IF(IsPro,IF($C318="","",IFERROR(MATCH($C318,Parties!$A$5:$A$304,0),"")),"")</f>
        <v/>
      </c>
      <c r="W318" s="60" t="str">
        <f aca="false">IF(IsPro,IF($B318="","",IFERROR(VALUE(SUBSTITUTE($B318,InvPrefix,"")),0)),"")</f>
        <v/>
      </c>
      <c r="X318" s="61" t="str">
        <f aca="false">IF(IsPro,IF($D318="","",IF(OR($H318="",$H318="Credit"),0,Q318)),"")</f>
        <v/>
      </c>
    </row>
    <row r="319" customFormat="false" ht="15" hidden="false" customHeight="false" outlineLevel="0" collapsed="false">
      <c r="A319" s="55"/>
      <c r="B319" s="56"/>
      <c r="C319" s="56"/>
      <c r="D319" s="56"/>
      <c r="E319" s="57"/>
      <c r="F319" s="58"/>
      <c r="G319" s="59"/>
      <c r="H319" s="56"/>
      <c r="I319" s="56"/>
      <c r="J319" s="60" t="str">
        <f aca="false">IF(IsPro,IF($D319="","",IFERROR(INDEX(Items!$D$5:$D$504,U319),"")),"")</f>
        <v/>
      </c>
      <c r="K319" s="61" t="str">
        <f aca="false">IF(IsPro,IF($D319="","",IF($F319="",IFERROR(INDEX(Items!$H$5:$H$504,U319),0),$F319)),"")</f>
        <v/>
      </c>
      <c r="L319" s="61" t="str">
        <f aca="false">IF(IsPro,IF($D319="","",ROUND(N($E319)*K319*(1-N($G319)),2)),"")</f>
        <v/>
      </c>
      <c r="M319" s="62" t="str">
        <f aca="false">IF(IsPro,IF($D319="","",IFERROR(INDEX(Items!$F$5:$F$504,U319),0)),"")</f>
        <v/>
      </c>
      <c r="N319" s="61" t="str">
        <f aca="false">IF(IsPro,IF($D319="","",IF(AND(V319&lt;&gt;"",INDEX(Parties!$E$5:$E$304,V319)&lt;&gt;"",INDEX(Parties!$E$5:$E$304,V319)&lt;&gt;HomeState),0,ROUND(L319*M319/2,2))),"")</f>
        <v/>
      </c>
      <c r="O319" s="61" t="str">
        <f aca="false">IF(IsPro,IF($D319="","",N319),"")</f>
        <v/>
      </c>
      <c r="P319" s="61" t="str">
        <f aca="false">IF(IsPro,IF($D319="","",IF(AND(V319&lt;&gt;"",INDEX(Parties!$E$5:$E$304,V319)&lt;&gt;"",INDEX(Parties!$E$5:$E$304,V319)&lt;&gt;HomeState),ROUND(L319*M319,2),0)),"")</f>
        <v/>
      </c>
      <c r="Q319" s="61" t="str">
        <f aca="false">IF(IsPro,IF($D319="","",L319+N319+O319+P319),"")</f>
        <v/>
      </c>
      <c r="R319" s="61" t="str">
        <f aca="false">IF(IsPro,IF($D319="","",ROUND(N($E319)*IFERROR(INDEX(Items!$P$5:$P$504,U319),0),2)),"")</f>
        <v/>
      </c>
      <c r="S319" s="61" t="str">
        <f aca="false">IF(IsPro,IF($D319="","",L319-R319),"")</f>
        <v/>
      </c>
      <c r="T319" s="60" t="str">
        <f aca="false">IF(IsPro,IF($D319="","",IF(U319="","UNKNOWN ITEM",IF(INDEX(Items!$O$5:$O$504,U319)&lt;0,"NEG STOCK",IF(K319&lt;INDEX(Items!$P$5:$P$504,U319),"BELOW COST","OK")))),IF($D319="","","PRO PLAN"))</f>
        <v/>
      </c>
      <c r="U319" s="60" t="str">
        <f aca="false">IF(IsPro,IF($D319="","",IFERROR(MATCH($D319,Items!$A$5:$A$504,0),"")),"")</f>
        <v/>
      </c>
      <c r="V319" s="60" t="str">
        <f aca="false">IF(IsPro,IF($C319="","",IFERROR(MATCH($C319,Parties!$A$5:$A$304,0),"")),"")</f>
        <v/>
      </c>
      <c r="W319" s="60" t="str">
        <f aca="false">IF(IsPro,IF($B319="","",IFERROR(VALUE(SUBSTITUTE($B319,InvPrefix,"")),0)),"")</f>
        <v/>
      </c>
      <c r="X319" s="61" t="str">
        <f aca="false">IF(IsPro,IF($D319="","",IF(OR($H319="",$H319="Credit"),0,Q319)),"")</f>
        <v/>
      </c>
    </row>
    <row r="320" customFormat="false" ht="15" hidden="false" customHeight="false" outlineLevel="0" collapsed="false">
      <c r="A320" s="55"/>
      <c r="B320" s="56"/>
      <c r="C320" s="56"/>
      <c r="D320" s="56"/>
      <c r="E320" s="57"/>
      <c r="F320" s="58"/>
      <c r="G320" s="59"/>
      <c r="H320" s="56"/>
      <c r="I320" s="56"/>
      <c r="J320" s="60" t="str">
        <f aca="false">IF(IsPro,IF($D320="","",IFERROR(INDEX(Items!$D$5:$D$504,U320),"")),"")</f>
        <v/>
      </c>
      <c r="K320" s="61" t="str">
        <f aca="false">IF(IsPro,IF($D320="","",IF($F320="",IFERROR(INDEX(Items!$H$5:$H$504,U320),0),$F320)),"")</f>
        <v/>
      </c>
      <c r="L320" s="61" t="str">
        <f aca="false">IF(IsPro,IF($D320="","",ROUND(N($E320)*K320*(1-N($G320)),2)),"")</f>
        <v/>
      </c>
      <c r="M320" s="62" t="str">
        <f aca="false">IF(IsPro,IF($D320="","",IFERROR(INDEX(Items!$F$5:$F$504,U320),0)),"")</f>
        <v/>
      </c>
      <c r="N320" s="61" t="str">
        <f aca="false">IF(IsPro,IF($D320="","",IF(AND(V320&lt;&gt;"",INDEX(Parties!$E$5:$E$304,V320)&lt;&gt;"",INDEX(Parties!$E$5:$E$304,V320)&lt;&gt;HomeState),0,ROUND(L320*M320/2,2))),"")</f>
        <v/>
      </c>
      <c r="O320" s="61" t="str">
        <f aca="false">IF(IsPro,IF($D320="","",N320),"")</f>
        <v/>
      </c>
      <c r="P320" s="61" t="str">
        <f aca="false">IF(IsPro,IF($D320="","",IF(AND(V320&lt;&gt;"",INDEX(Parties!$E$5:$E$304,V320)&lt;&gt;"",INDEX(Parties!$E$5:$E$304,V320)&lt;&gt;HomeState),ROUND(L320*M320,2),0)),"")</f>
        <v/>
      </c>
      <c r="Q320" s="61" t="str">
        <f aca="false">IF(IsPro,IF($D320="","",L320+N320+O320+P320),"")</f>
        <v/>
      </c>
      <c r="R320" s="61" t="str">
        <f aca="false">IF(IsPro,IF($D320="","",ROUND(N($E320)*IFERROR(INDEX(Items!$P$5:$P$504,U320),0),2)),"")</f>
        <v/>
      </c>
      <c r="S320" s="61" t="str">
        <f aca="false">IF(IsPro,IF($D320="","",L320-R320),"")</f>
        <v/>
      </c>
      <c r="T320" s="60" t="str">
        <f aca="false">IF(IsPro,IF($D320="","",IF(U320="","UNKNOWN ITEM",IF(INDEX(Items!$O$5:$O$504,U320)&lt;0,"NEG STOCK",IF(K320&lt;INDEX(Items!$P$5:$P$504,U320),"BELOW COST","OK")))),IF($D320="","","PRO PLAN"))</f>
        <v/>
      </c>
      <c r="U320" s="60" t="str">
        <f aca="false">IF(IsPro,IF($D320="","",IFERROR(MATCH($D320,Items!$A$5:$A$504,0),"")),"")</f>
        <v/>
      </c>
      <c r="V320" s="60" t="str">
        <f aca="false">IF(IsPro,IF($C320="","",IFERROR(MATCH($C320,Parties!$A$5:$A$304,0),"")),"")</f>
        <v/>
      </c>
      <c r="W320" s="60" t="str">
        <f aca="false">IF(IsPro,IF($B320="","",IFERROR(VALUE(SUBSTITUTE($B320,InvPrefix,"")),0)),"")</f>
        <v/>
      </c>
      <c r="X320" s="61" t="str">
        <f aca="false">IF(IsPro,IF($D320="","",IF(OR($H320="",$H320="Credit"),0,Q320)),"")</f>
        <v/>
      </c>
    </row>
    <row r="321" customFormat="false" ht="15" hidden="false" customHeight="false" outlineLevel="0" collapsed="false">
      <c r="A321" s="55"/>
      <c r="B321" s="56"/>
      <c r="C321" s="56"/>
      <c r="D321" s="56"/>
      <c r="E321" s="57"/>
      <c r="F321" s="58"/>
      <c r="G321" s="59"/>
      <c r="H321" s="56"/>
      <c r="I321" s="56"/>
      <c r="J321" s="60" t="str">
        <f aca="false">IF(IsPro,IF($D321="","",IFERROR(INDEX(Items!$D$5:$D$504,U321),"")),"")</f>
        <v/>
      </c>
      <c r="K321" s="61" t="str">
        <f aca="false">IF(IsPro,IF($D321="","",IF($F321="",IFERROR(INDEX(Items!$H$5:$H$504,U321),0),$F321)),"")</f>
        <v/>
      </c>
      <c r="L321" s="61" t="str">
        <f aca="false">IF(IsPro,IF($D321="","",ROUND(N($E321)*K321*(1-N($G321)),2)),"")</f>
        <v/>
      </c>
      <c r="M321" s="62" t="str">
        <f aca="false">IF(IsPro,IF($D321="","",IFERROR(INDEX(Items!$F$5:$F$504,U321),0)),"")</f>
        <v/>
      </c>
      <c r="N321" s="61" t="str">
        <f aca="false">IF(IsPro,IF($D321="","",IF(AND(V321&lt;&gt;"",INDEX(Parties!$E$5:$E$304,V321)&lt;&gt;"",INDEX(Parties!$E$5:$E$304,V321)&lt;&gt;HomeState),0,ROUND(L321*M321/2,2))),"")</f>
        <v/>
      </c>
      <c r="O321" s="61" t="str">
        <f aca="false">IF(IsPro,IF($D321="","",N321),"")</f>
        <v/>
      </c>
      <c r="P321" s="61" t="str">
        <f aca="false">IF(IsPro,IF($D321="","",IF(AND(V321&lt;&gt;"",INDEX(Parties!$E$5:$E$304,V321)&lt;&gt;"",INDEX(Parties!$E$5:$E$304,V321)&lt;&gt;HomeState),ROUND(L321*M321,2),0)),"")</f>
        <v/>
      </c>
      <c r="Q321" s="61" t="str">
        <f aca="false">IF(IsPro,IF($D321="","",L321+N321+O321+P321),"")</f>
        <v/>
      </c>
      <c r="R321" s="61" t="str">
        <f aca="false">IF(IsPro,IF($D321="","",ROUND(N($E321)*IFERROR(INDEX(Items!$P$5:$P$504,U321),0),2)),"")</f>
        <v/>
      </c>
      <c r="S321" s="61" t="str">
        <f aca="false">IF(IsPro,IF($D321="","",L321-R321),"")</f>
        <v/>
      </c>
      <c r="T321" s="60" t="str">
        <f aca="false">IF(IsPro,IF($D321="","",IF(U321="","UNKNOWN ITEM",IF(INDEX(Items!$O$5:$O$504,U321)&lt;0,"NEG STOCK",IF(K321&lt;INDEX(Items!$P$5:$P$504,U321),"BELOW COST","OK")))),IF($D321="","","PRO PLAN"))</f>
        <v/>
      </c>
      <c r="U321" s="60" t="str">
        <f aca="false">IF(IsPro,IF($D321="","",IFERROR(MATCH($D321,Items!$A$5:$A$504,0),"")),"")</f>
        <v/>
      </c>
      <c r="V321" s="60" t="str">
        <f aca="false">IF(IsPro,IF($C321="","",IFERROR(MATCH($C321,Parties!$A$5:$A$304,0),"")),"")</f>
        <v/>
      </c>
      <c r="W321" s="60" t="str">
        <f aca="false">IF(IsPro,IF($B321="","",IFERROR(VALUE(SUBSTITUTE($B321,InvPrefix,"")),0)),"")</f>
        <v/>
      </c>
      <c r="X321" s="61" t="str">
        <f aca="false">IF(IsPro,IF($D321="","",IF(OR($H321="",$H321="Credit"),0,Q321)),"")</f>
        <v/>
      </c>
    </row>
    <row r="322" customFormat="false" ht="15" hidden="false" customHeight="false" outlineLevel="0" collapsed="false">
      <c r="A322" s="55"/>
      <c r="B322" s="56"/>
      <c r="C322" s="56"/>
      <c r="D322" s="56"/>
      <c r="E322" s="57"/>
      <c r="F322" s="58"/>
      <c r="G322" s="59"/>
      <c r="H322" s="56"/>
      <c r="I322" s="56"/>
      <c r="J322" s="60" t="str">
        <f aca="false">IF(IsPro,IF($D322="","",IFERROR(INDEX(Items!$D$5:$D$504,U322),"")),"")</f>
        <v/>
      </c>
      <c r="K322" s="61" t="str">
        <f aca="false">IF(IsPro,IF($D322="","",IF($F322="",IFERROR(INDEX(Items!$H$5:$H$504,U322),0),$F322)),"")</f>
        <v/>
      </c>
      <c r="L322" s="61" t="str">
        <f aca="false">IF(IsPro,IF($D322="","",ROUND(N($E322)*K322*(1-N($G322)),2)),"")</f>
        <v/>
      </c>
      <c r="M322" s="62" t="str">
        <f aca="false">IF(IsPro,IF($D322="","",IFERROR(INDEX(Items!$F$5:$F$504,U322),0)),"")</f>
        <v/>
      </c>
      <c r="N322" s="61" t="str">
        <f aca="false">IF(IsPro,IF($D322="","",IF(AND(V322&lt;&gt;"",INDEX(Parties!$E$5:$E$304,V322)&lt;&gt;"",INDEX(Parties!$E$5:$E$304,V322)&lt;&gt;HomeState),0,ROUND(L322*M322/2,2))),"")</f>
        <v/>
      </c>
      <c r="O322" s="61" t="str">
        <f aca="false">IF(IsPro,IF($D322="","",N322),"")</f>
        <v/>
      </c>
      <c r="P322" s="61" t="str">
        <f aca="false">IF(IsPro,IF($D322="","",IF(AND(V322&lt;&gt;"",INDEX(Parties!$E$5:$E$304,V322)&lt;&gt;"",INDEX(Parties!$E$5:$E$304,V322)&lt;&gt;HomeState),ROUND(L322*M322,2),0)),"")</f>
        <v/>
      </c>
      <c r="Q322" s="61" t="str">
        <f aca="false">IF(IsPro,IF($D322="","",L322+N322+O322+P322),"")</f>
        <v/>
      </c>
      <c r="R322" s="61" t="str">
        <f aca="false">IF(IsPro,IF($D322="","",ROUND(N($E322)*IFERROR(INDEX(Items!$P$5:$P$504,U322),0),2)),"")</f>
        <v/>
      </c>
      <c r="S322" s="61" t="str">
        <f aca="false">IF(IsPro,IF($D322="","",L322-R322),"")</f>
        <v/>
      </c>
      <c r="T322" s="60" t="str">
        <f aca="false">IF(IsPro,IF($D322="","",IF(U322="","UNKNOWN ITEM",IF(INDEX(Items!$O$5:$O$504,U322)&lt;0,"NEG STOCK",IF(K322&lt;INDEX(Items!$P$5:$P$504,U322),"BELOW COST","OK")))),IF($D322="","","PRO PLAN"))</f>
        <v/>
      </c>
      <c r="U322" s="60" t="str">
        <f aca="false">IF(IsPro,IF($D322="","",IFERROR(MATCH($D322,Items!$A$5:$A$504,0),"")),"")</f>
        <v/>
      </c>
      <c r="V322" s="60" t="str">
        <f aca="false">IF(IsPro,IF($C322="","",IFERROR(MATCH($C322,Parties!$A$5:$A$304,0),"")),"")</f>
        <v/>
      </c>
      <c r="W322" s="60" t="str">
        <f aca="false">IF(IsPro,IF($B322="","",IFERROR(VALUE(SUBSTITUTE($B322,InvPrefix,"")),0)),"")</f>
        <v/>
      </c>
      <c r="X322" s="61" t="str">
        <f aca="false">IF(IsPro,IF($D322="","",IF(OR($H322="",$H322="Credit"),0,Q322)),"")</f>
        <v/>
      </c>
    </row>
    <row r="323" customFormat="false" ht="15" hidden="false" customHeight="false" outlineLevel="0" collapsed="false">
      <c r="A323" s="55"/>
      <c r="B323" s="56"/>
      <c r="C323" s="56"/>
      <c r="D323" s="56"/>
      <c r="E323" s="57"/>
      <c r="F323" s="58"/>
      <c r="G323" s="59"/>
      <c r="H323" s="56"/>
      <c r="I323" s="56"/>
      <c r="J323" s="60" t="str">
        <f aca="false">IF(IsPro,IF($D323="","",IFERROR(INDEX(Items!$D$5:$D$504,U323),"")),"")</f>
        <v/>
      </c>
      <c r="K323" s="61" t="str">
        <f aca="false">IF(IsPro,IF($D323="","",IF($F323="",IFERROR(INDEX(Items!$H$5:$H$504,U323),0),$F323)),"")</f>
        <v/>
      </c>
      <c r="L323" s="61" t="str">
        <f aca="false">IF(IsPro,IF($D323="","",ROUND(N($E323)*K323*(1-N($G323)),2)),"")</f>
        <v/>
      </c>
      <c r="M323" s="62" t="str">
        <f aca="false">IF(IsPro,IF($D323="","",IFERROR(INDEX(Items!$F$5:$F$504,U323),0)),"")</f>
        <v/>
      </c>
      <c r="N323" s="61" t="str">
        <f aca="false">IF(IsPro,IF($D323="","",IF(AND(V323&lt;&gt;"",INDEX(Parties!$E$5:$E$304,V323)&lt;&gt;"",INDEX(Parties!$E$5:$E$304,V323)&lt;&gt;HomeState),0,ROUND(L323*M323/2,2))),"")</f>
        <v/>
      </c>
      <c r="O323" s="61" t="str">
        <f aca="false">IF(IsPro,IF($D323="","",N323),"")</f>
        <v/>
      </c>
      <c r="P323" s="61" t="str">
        <f aca="false">IF(IsPro,IF($D323="","",IF(AND(V323&lt;&gt;"",INDEX(Parties!$E$5:$E$304,V323)&lt;&gt;"",INDEX(Parties!$E$5:$E$304,V323)&lt;&gt;HomeState),ROUND(L323*M323,2),0)),"")</f>
        <v/>
      </c>
      <c r="Q323" s="61" t="str">
        <f aca="false">IF(IsPro,IF($D323="","",L323+N323+O323+P323),"")</f>
        <v/>
      </c>
      <c r="R323" s="61" t="str">
        <f aca="false">IF(IsPro,IF($D323="","",ROUND(N($E323)*IFERROR(INDEX(Items!$P$5:$P$504,U323),0),2)),"")</f>
        <v/>
      </c>
      <c r="S323" s="61" t="str">
        <f aca="false">IF(IsPro,IF($D323="","",L323-R323),"")</f>
        <v/>
      </c>
      <c r="T323" s="60" t="str">
        <f aca="false">IF(IsPro,IF($D323="","",IF(U323="","UNKNOWN ITEM",IF(INDEX(Items!$O$5:$O$504,U323)&lt;0,"NEG STOCK",IF(K323&lt;INDEX(Items!$P$5:$P$504,U323),"BELOW COST","OK")))),IF($D323="","","PRO PLAN"))</f>
        <v/>
      </c>
      <c r="U323" s="60" t="str">
        <f aca="false">IF(IsPro,IF($D323="","",IFERROR(MATCH($D323,Items!$A$5:$A$504,0),"")),"")</f>
        <v/>
      </c>
      <c r="V323" s="60" t="str">
        <f aca="false">IF(IsPro,IF($C323="","",IFERROR(MATCH($C323,Parties!$A$5:$A$304,0),"")),"")</f>
        <v/>
      </c>
      <c r="W323" s="60" t="str">
        <f aca="false">IF(IsPro,IF($B323="","",IFERROR(VALUE(SUBSTITUTE($B323,InvPrefix,"")),0)),"")</f>
        <v/>
      </c>
      <c r="X323" s="61" t="str">
        <f aca="false">IF(IsPro,IF($D323="","",IF(OR($H323="",$H323="Credit"),0,Q323)),"")</f>
        <v/>
      </c>
    </row>
    <row r="324" customFormat="false" ht="15" hidden="false" customHeight="false" outlineLevel="0" collapsed="false">
      <c r="A324" s="55"/>
      <c r="B324" s="56"/>
      <c r="C324" s="56"/>
      <c r="D324" s="56"/>
      <c r="E324" s="57"/>
      <c r="F324" s="58"/>
      <c r="G324" s="59"/>
      <c r="H324" s="56"/>
      <c r="I324" s="56"/>
      <c r="J324" s="60" t="str">
        <f aca="false">IF(IsPro,IF($D324="","",IFERROR(INDEX(Items!$D$5:$D$504,U324),"")),"")</f>
        <v/>
      </c>
      <c r="K324" s="61" t="str">
        <f aca="false">IF(IsPro,IF($D324="","",IF($F324="",IFERROR(INDEX(Items!$H$5:$H$504,U324),0),$F324)),"")</f>
        <v/>
      </c>
      <c r="L324" s="61" t="str">
        <f aca="false">IF(IsPro,IF($D324="","",ROUND(N($E324)*K324*(1-N($G324)),2)),"")</f>
        <v/>
      </c>
      <c r="M324" s="62" t="str">
        <f aca="false">IF(IsPro,IF($D324="","",IFERROR(INDEX(Items!$F$5:$F$504,U324),0)),"")</f>
        <v/>
      </c>
      <c r="N324" s="61" t="str">
        <f aca="false">IF(IsPro,IF($D324="","",IF(AND(V324&lt;&gt;"",INDEX(Parties!$E$5:$E$304,V324)&lt;&gt;"",INDEX(Parties!$E$5:$E$304,V324)&lt;&gt;HomeState),0,ROUND(L324*M324/2,2))),"")</f>
        <v/>
      </c>
      <c r="O324" s="61" t="str">
        <f aca="false">IF(IsPro,IF($D324="","",N324),"")</f>
        <v/>
      </c>
      <c r="P324" s="61" t="str">
        <f aca="false">IF(IsPro,IF($D324="","",IF(AND(V324&lt;&gt;"",INDEX(Parties!$E$5:$E$304,V324)&lt;&gt;"",INDEX(Parties!$E$5:$E$304,V324)&lt;&gt;HomeState),ROUND(L324*M324,2),0)),"")</f>
        <v/>
      </c>
      <c r="Q324" s="61" t="str">
        <f aca="false">IF(IsPro,IF($D324="","",L324+N324+O324+P324),"")</f>
        <v/>
      </c>
      <c r="R324" s="61" t="str">
        <f aca="false">IF(IsPro,IF($D324="","",ROUND(N($E324)*IFERROR(INDEX(Items!$P$5:$P$504,U324),0),2)),"")</f>
        <v/>
      </c>
      <c r="S324" s="61" t="str">
        <f aca="false">IF(IsPro,IF($D324="","",L324-R324),"")</f>
        <v/>
      </c>
      <c r="T324" s="60" t="str">
        <f aca="false">IF(IsPro,IF($D324="","",IF(U324="","UNKNOWN ITEM",IF(INDEX(Items!$O$5:$O$504,U324)&lt;0,"NEG STOCK",IF(K324&lt;INDEX(Items!$P$5:$P$504,U324),"BELOW COST","OK")))),IF($D324="","","PRO PLAN"))</f>
        <v/>
      </c>
      <c r="U324" s="60" t="str">
        <f aca="false">IF(IsPro,IF($D324="","",IFERROR(MATCH($D324,Items!$A$5:$A$504,0),"")),"")</f>
        <v/>
      </c>
      <c r="V324" s="60" t="str">
        <f aca="false">IF(IsPro,IF($C324="","",IFERROR(MATCH($C324,Parties!$A$5:$A$304,0),"")),"")</f>
        <v/>
      </c>
      <c r="W324" s="60" t="str">
        <f aca="false">IF(IsPro,IF($B324="","",IFERROR(VALUE(SUBSTITUTE($B324,InvPrefix,"")),0)),"")</f>
        <v/>
      </c>
      <c r="X324" s="61" t="str">
        <f aca="false">IF(IsPro,IF($D324="","",IF(OR($H324="",$H324="Credit"),0,Q324)),"")</f>
        <v/>
      </c>
    </row>
    <row r="325" customFormat="false" ht="15" hidden="false" customHeight="false" outlineLevel="0" collapsed="false">
      <c r="A325" s="55"/>
      <c r="B325" s="56"/>
      <c r="C325" s="56"/>
      <c r="D325" s="56"/>
      <c r="E325" s="57"/>
      <c r="F325" s="58"/>
      <c r="G325" s="59"/>
      <c r="H325" s="56"/>
      <c r="I325" s="56"/>
      <c r="J325" s="60" t="str">
        <f aca="false">IF(IsPro,IF($D325="","",IFERROR(INDEX(Items!$D$5:$D$504,U325),"")),"")</f>
        <v/>
      </c>
      <c r="K325" s="61" t="str">
        <f aca="false">IF(IsPro,IF($D325="","",IF($F325="",IFERROR(INDEX(Items!$H$5:$H$504,U325),0),$F325)),"")</f>
        <v/>
      </c>
      <c r="L325" s="61" t="str">
        <f aca="false">IF(IsPro,IF($D325="","",ROUND(N($E325)*K325*(1-N($G325)),2)),"")</f>
        <v/>
      </c>
      <c r="M325" s="62" t="str">
        <f aca="false">IF(IsPro,IF($D325="","",IFERROR(INDEX(Items!$F$5:$F$504,U325),0)),"")</f>
        <v/>
      </c>
      <c r="N325" s="61" t="str">
        <f aca="false">IF(IsPro,IF($D325="","",IF(AND(V325&lt;&gt;"",INDEX(Parties!$E$5:$E$304,V325)&lt;&gt;"",INDEX(Parties!$E$5:$E$304,V325)&lt;&gt;HomeState),0,ROUND(L325*M325/2,2))),"")</f>
        <v/>
      </c>
      <c r="O325" s="61" t="str">
        <f aca="false">IF(IsPro,IF($D325="","",N325),"")</f>
        <v/>
      </c>
      <c r="P325" s="61" t="str">
        <f aca="false">IF(IsPro,IF($D325="","",IF(AND(V325&lt;&gt;"",INDEX(Parties!$E$5:$E$304,V325)&lt;&gt;"",INDEX(Parties!$E$5:$E$304,V325)&lt;&gt;HomeState),ROUND(L325*M325,2),0)),"")</f>
        <v/>
      </c>
      <c r="Q325" s="61" t="str">
        <f aca="false">IF(IsPro,IF($D325="","",L325+N325+O325+P325),"")</f>
        <v/>
      </c>
      <c r="R325" s="61" t="str">
        <f aca="false">IF(IsPro,IF($D325="","",ROUND(N($E325)*IFERROR(INDEX(Items!$P$5:$P$504,U325),0),2)),"")</f>
        <v/>
      </c>
      <c r="S325" s="61" t="str">
        <f aca="false">IF(IsPro,IF($D325="","",L325-R325),"")</f>
        <v/>
      </c>
      <c r="T325" s="60" t="str">
        <f aca="false">IF(IsPro,IF($D325="","",IF(U325="","UNKNOWN ITEM",IF(INDEX(Items!$O$5:$O$504,U325)&lt;0,"NEG STOCK",IF(K325&lt;INDEX(Items!$P$5:$P$504,U325),"BELOW COST","OK")))),IF($D325="","","PRO PLAN"))</f>
        <v/>
      </c>
      <c r="U325" s="60" t="str">
        <f aca="false">IF(IsPro,IF($D325="","",IFERROR(MATCH($D325,Items!$A$5:$A$504,0),"")),"")</f>
        <v/>
      </c>
      <c r="V325" s="60" t="str">
        <f aca="false">IF(IsPro,IF($C325="","",IFERROR(MATCH($C325,Parties!$A$5:$A$304,0),"")),"")</f>
        <v/>
      </c>
      <c r="W325" s="60" t="str">
        <f aca="false">IF(IsPro,IF($B325="","",IFERROR(VALUE(SUBSTITUTE($B325,InvPrefix,"")),0)),"")</f>
        <v/>
      </c>
      <c r="X325" s="61" t="str">
        <f aca="false">IF(IsPro,IF($D325="","",IF(OR($H325="",$H325="Credit"),0,Q325)),"")</f>
        <v/>
      </c>
    </row>
    <row r="326" customFormat="false" ht="15" hidden="false" customHeight="false" outlineLevel="0" collapsed="false">
      <c r="A326" s="55"/>
      <c r="B326" s="56"/>
      <c r="C326" s="56"/>
      <c r="D326" s="56"/>
      <c r="E326" s="57"/>
      <c r="F326" s="58"/>
      <c r="G326" s="59"/>
      <c r="H326" s="56"/>
      <c r="I326" s="56"/>
      <c r="J326" s="60" t="str">
        <f aca="false">IF(IsPro,IF($D326="","",IFERROR(INDEX(Items!$D$5:$D$504,U326),"")),"")</f>
        <v/>
      </c>
      <c r="K326" s="61" t="str">
        <f aca="false">IF(IsPro,IF($D326="","",IF($F326="",IFERROR(INDEX(Items!$H$5:$H$504,U326),0),$F326)),"")</f>
        <v/>
      </c>
      <c r="L326" s="61" t="str">
        <f aca="false">IF(IsPro,IF($D326="","",ROUND(N($E326)*K326*(1-N($G326)),2)),"")</f>
        <v/>
      </c>
      <c r="M326" s="62" t="str">
        <f aca="false">IF(IsPro,IF($D326="","",IFERROR(INDEX(Items!$F$5:$F$504,U326),0)),"")</f>
        <v/>
      </c>
      <c r="N326" s="61" t="str">
        <f aca="false">IF(IsPro,IF($D326="","",IF(AND(V326&lt;&gt;"",INDEX(Parties!$E$5:$E$304,V326)&lt;&gt;"",INDEX(Parties!$E$5:$E$304,V326)&lt;&gt;HomeState),0,ROUND(L326*M326/2,2))),"")</f>
        <v/>
      </c>
      <c r="O326" s="61" t="str">
        <f aca="false">IF(IsPro,IF($D326="","",N326),"")</f>
        <v/>
      </c>
      <c r="P326" s="61" t="str">
        <f aca="false">IF(IsPro,IF($D326="","",IF(AND(V326&lt;&gt;"",INDEX(Parties!$E$5:$E$304,V326)&lt;&gt;"",INDEX(Parties!$E$5:$E$304,V326)&lt;&gt;HomeState),ROUND(L326*M326,2),0)),"")</f>
        <v/>
      </c>
      <c r="Q326" s="61" t="str">
        <f aca="false">IF(IsPro,IF($D326="","",L326+N326+O326+P326),"")</f>
        <v/>
      </c>
      <c r="R326" s="61" t="str">
        <f aca="false">IF(IsPro,IF($D326="","",ROUND(N($E326)*IFERROR(INDEX(Items!$P$5:$P$504,U326),0),2)),"")</f>
        <v/>
      </c>
      <c r="S326" s="61" t="str">
        <f aca="false">IF(IsPro,IF($D326="","",L326-R326),"")</f>
        <v/>
      </c>
      <c r="T326" s="60" t="str">
        <f aca="false">IF(IsPro,IF($D326="","",IF(U326="","UNKNOWN ITEM",IF(INDEX(Items!$O$5:$O$504,U326)&lt;0,"NEG STOCK",IF(K326&lt;INDEX(Items!$P$5:$P$504,U326),"BELOW COST","OK")))),IF($D326="","","PRO PLAN"))</f>
        <v/>
      </c>
      <c r="U326" s="60" t="str">
        <f aca="false">IF(IsPro,IF($D326="","",IFERROR(MATCH($D326,Items!$A$5:$A$504,0),"")),"")</f>
        <v/>
      </c>
      <c r="V326" s="60" t="str">
        <f aca="false">IF(IsPro,IF($C326="","",IFERROR(MATCH($C326,Parties!$A$5:$A$304,0),"")),"")</f>
        <v/>
      </c>
      <c r="W326" s="60" t="str">
        <f aca="false">IF(IsPro,IF($B326="","",IFERROR(VALUE(SUBSTITUTE($B326,InvPrefix,"")),0)),"")</f>
        <v/>
      </c>
      <c r="X326" s="61" t="str">
        <f aca="false">IF(IsPro,IF($D326="","",IF(OR($H326="",$H326="Credit"),0,Q326)),"")</f>
        <v/>
      </c>
    </row>
    <row r="327" customFormat="false" ht="15" hidden="false" customHeight="false" outlineLevel="0" collapsed="false">
      <c r="A327" s="55"/>
      <c r="B327" s="56"/>
      <c r="C327" s="56"/>
      <c r="D327" s="56"/>
      <c r="E327" s="57"/>
      <c r="F327" s="58"/>
      <c r="G327" s="59"/>
      <c r="H327" s="56"/>
      <c r="I327" s="56"/>
      <c r="J327" s="60" t="str">
        <f aca="false">IF(IsPro,IF($D327="","",IFERROR(INDEX(Items!$D$5:$D$504,U327),"")),"")</f>
        <v/>
      </c>
      <c r="K327" s="61" t="str">
        <f aca="false">IF(IsPro,IF($D327="","",IF($F327="",IFERROR(INDEX(Items!$H$5:$H$504,U327),0),$F327)),"")</f>
        <v/>
      </c>
      <c r="L327" s="61" t="str">
        <f aca="false">IF(IsPro,IF($D327="","",ROUND(N($E327)*K327*(1-N($G327)),2)),"")</f>
        <v/>
      </c>
      <c r="M327" s="62" t="str">
        <f aca="false">IF(IsPro,IF($D327="","",IFERROR(INDEX(Items!$F$5:$F$504,U327),0)),"")</f>
        <v/>
      </c>
      <c r="N327" s="61" t="str">
        <f aca="false">IF(IsPro,IF($D327="","",IF(AND(V327&lt;&gt;"",INDEX(Parties!$E$5:$E$304,V327)&lt;&gt;"",INDEX(Parties!$E$5:$E$304,V327)&lt;&gt;HomeState),0,ROUND(L327*M327/2,2))),"")</f>
        <v/>
      </c>
      <c r="O327" s="61" t="str">
        <f aca="false">IF(IsPro,IF($D327="","",N327),"")</f>
        <v/>
      </c>
      <c r="P327" s="61" t="str">
        <f aca="false">IF(IsPro,IF($D327="","",IF(AND(V327&lt;&gt;"",INDEX(Parties!$E$5:$E$304,V327)&lt;&gt;"",INDEX(Parties!$E$5:$E$304,V327)&lt;&gt;HomeState),ROUND(L327*M327,2),0)),"")</f>
        <v/>
      </c>
      <c r="Q327" s="61" t="str">
        <f aca="false">IF(IsPro,IF($D327="","",L327+N327+O327+P327),"")</f>
        <v/>
      </c>
      <c r="R327" s="61" t="str">
        <f aca="false">IF(IsPro,IF($D327="","",ROUND(N($E327)*IFERROR(INDEX(Items!$P$5:$P$504,U327),0),2)),"")</f>
        <v/>
      </c>
      <c r="S327" s="61" t="str">
        <f aca="false">IF(IsPro,IF($D327="","",L327-R327),"")</f>
        <v/>
      </c>
      <c r="T327" s="60" t="str">
        <f aca="false">IF(IsPro,IF($D327="","",IF(U327="","UNKNOWN ITEM",IF(INDEX(Items!$O$5:$O$504,U327)&lt;0,"NEG STOCK",IF(K327&lt;INDEX(Items!$P$5:$P$504,U327),"BELOW COST","OK")))),IF($D327="","","PRO PLAN"))</f>
        <v/>
      </c>
      <c r="U327" s="60" t="str">
        <f aca="false">IF(IsPro,IF($D327="","",IFERROR(MATCH($D327,Items!$A$5:$A$504,0),"")),"")</f>
        <v/>
      </c>
      <c r="V327" s="60" t="str">
        <f aca="false">IF(IsPro,IF($C327="","",IFERROR(MATCH($C327,Parties!$A$5:$A$304,0),"")),"")</f>
        <v/>
      </c>
      <c r="W327" s="60" t="str">
        <f aca="false">IF(IsPro,IF($B327="","",IFERROR(VALUE(SUBSTITUTE($B327,InvPrefix,"")),0)),"")</f>
        <v/>
      </c>
      <c r="X327" s="61" t="str">
        <f aca="false">IF(IsPro,IF($D327="","",IF(OR($H327="",$H327="Credit"),0,Q327)),"")</f>
        <v/>
      </c>
    </row>
    <row r="328" customFormat="false" ht="15" hidden="false" customHeight="false" outlineLevel="0" collapsed="false">
      <c r="A328" s="55"/>
      <c r="B328" s="56"/>
      <c r="C328" s="56"/>
      <c r="D328" s="56"/>
      <c r="E328" s="57"/>
      <c r="F328" s="58"/>
      <c r="G328" s="59"/>
      <c r="H328" s="56"/>
      <c r="I328" s="56"/>
      <c r="J328" s="60" t="str">
        <f aca="false">IF(IsPro,IF($D328="","",IFERROR(INDEX(Items!$D$5:$D$504,U328),"")),"")</f>
        <v/>
      </c>
      <c r="K328" s="61" t="str">
        <f aca="false">IF(IsPro,IF($D328="","",IF($F328="",IFERROR(INDEX(Items!$H$5:$H$504,U328),0),$F328)),"")</f>
        <v/>
      </c>
      <c r="L328" s="61" t="str">
        <f aca="false">IF(IsPro,IF($D328="","",ROUND(N($E328)*K328*(1-N($G328)),2)),"")</f>
        <v/>
      </c>
      <c r="M328" s="62" t="str">
        <f aca="false">IF(IsPro,IF($D328="","",IFERROR(INDEX(Items!$F$5:$F$504,U328),0)),"")</f>
        <v/>
      </c>
      <c r="N328" s="61" t="str">
        <f aca="false">IF(IsPro,IF($D328="","",IF(AND(V328&lt;&gt;"",INDEX(Parties!$E$5:$E$304,V328)&lt;&gt;"",INDEX(Parties!$E$5:$E$304,V328)&lt;&gt;HomeState),0,ROUND(L328*M328/2,2))),"")</f>
        <v/>
      </c>
      <c r="O328" s="61" t="str">
        <f aca="false">IF(IsPro,IF($D328="","",N328),"")</f>
        <v/>
      </c>
      <c r="P328" s="61" t="str">
        <f aca="false">IF(IsPro,IF($D328="","",IF(AND(V328&lt;&gt;"",INDEX(Parties!$E$5:$E$304,V328)&lt;&gt;"",INDEX(Parties!$E$5:$E$304,V328)&lt;&gt;HomeState),ROUND(L328*M328,2),0)),"")</f>
        <v/>
      </c>
      <c r="Q328" s="61" t="str">
        <f aca="false">IF(IsPro,IF($D328="","",L328+N328+O328+P328),"")</f>
        <v/>
      </c>
      <c r="R328" s="61" t="str">
        <f aca="false">IF(IsPro,IF($D328="","",ROUND(N($E328)*IFERROR(INDEX(Items!$P$5:$P$504,U328),0),2)),"")</f>
        <v/>
      </c>
      <c r="S328" s="61" t="str">
        <f aca="false">IF(IsPro,IF($D328="","",L328-R328),"")</f>
        <v/>
      </c>
      <c r="T328" s="60" t="str">
        <f aca="false">IF(IsPro,IF($D328="","",IF(U328="","UNKNOWN ITEM",IF(INDEX(Items!$O$5:$O$504,U328)&lt;0,"NEG STOCK",IF(K328&lt;INDEX(Items!$P$5:$P$504,U328),"BELOW COST","OK")))),IF($D328="","","PRO PLAN"))</f>
        <v/>
      </c>
      <c r="U328" s="60" t="str">
        <f aca="false">IF(IsPro,IF($D328="","",IFERROR(MATCH($D328,Items!$A$5:$A$504,0),"")),"")</f>
        <v/>
      </c>
      <c r="V328" s="60" t="str">
        <f aca="false">IF(IsPro,IF($C328="","",IFERROR(MATCH($C328,Parties!$A$5:$A$304,0),"")),"")</f>
        <v/>
      </c>
      <c r="W328" s="60" t="str">
        <f aca="false">IF(IsPro,IF($B328="","",IFERROR(VALUE(SUBSTITUTE($B328,InvPrefix,"")),0)),"")</f>
        <v/>
      </c>
      <c r="X328" s="61" t="str">
        <f aca="false">IF(IsPro,IF($D328="","",IF(OR($H328="",$H328="Credit"),0,Q328)),"")</f>
        <v/>
      </c>
    </row>
    <row r="329" customFormat="false" ht="15" hidden="false" customHeight="false" outlineLevel="0" collapsed="false">
      <c r="A329" s="55"/>
      <c r="B329" s="56"/>
      <c r="C329" s="56"/>
      <c r="D329" s="56"/>
      <c r="E329" s="57"/>
      <c r="F329" s="58"/>
      <c r="G329" s="59"/>
      <c r="H329" s="56"/>
      <c r="I329" s="56"/>
      <c r="J329" s="60" t="str">
        <f aca="false">IF(IsPro,IF($D329="","",IFERROR(INDEX(Items!$D$5:$D$504,U329),"")),"")</f>
        <v/>
      </c>
      <c r="K329" s="61" t="str">
        <f aca="false">IF(IsPro,IF($D329="","",IF($F329="",IFERROR(INDEX(Items!$H$5:$H$504,U329),0),$F329)),"")</f>
        <v/>
      </c>
      <c r="L329" s="61" t="str">
        <f aca="false">IF(IsPro,IF($D329="","",ROUND(N($E329)*K329*(1-N($G329)),2)),"")</f>
        <v/>
      </c>
      <c r="M329" s="62" t="str">
        <f aca="false">IF(IsPro,IF($D329="","",IFERROR(INDEX(Items!$F$5:$F$504,U329),0)),"")</f>
        <v/>
      </c>
      <c r="N329" s="61" t="str">
        <f aca="false">IF(IsPro,IF($D329="","",IF(AND(V329&lt;&gt;"",INDEX(Parties!$E$5:$E$304,V329)&lt;&gt;"",INDEX(Parties!$E$5:$E$304,V329)&lt;&gt;HomeState),0,ROUND(L329*M329/2,2))),"")</f>
        <v/>
      </c>
      <c r="O329" s="61" t="str">
        <f aca="false">IF(IsPro,IF($D329="","",N329),"")</f>
        <v/>
      </c>
      <c r="P329" s="61" t="str">
        <f aca="false">IF(IsPro,IF($D329="","",IF(AND(V329&lt;&gt;"",INDEX(Parties!$E$5:$E$304,V329)&lt;&gt;"",INDEX(Parties!$E$5:$E$304,V329)&lt;&gt;HomeState),ROUND(L329*M329,2),0)),"")</f>
        <v/>
      </c>
      <c r="Q329" s="61" t="str">
        <f aca="false">IF(IsPro,IF($D329="","",L329+N329+O329+P329),"")</f>
        <v/>
      </c>
      <c r="R329" s="61" t="str">
        <f aca="false">IF(IsPro,IF($D329="","",ROUND(N($E329)*IFERROR(INDEX(Items!$P$5:$P$504,U329),0),2)),"")</f>
        <v/>
      </c>
      <c r="S329" s="61" t="str">
        <f aca="false">IF(IsPro,IF($D329="","",L329-R329),"")</f>
        <v/>
      </c>
      <c r="T329" s="60" t="str">
        <f aca="false">IF(IsPro,IF($D329="","",IF(U329="","UNKNOWN ITEM",IF(INDEX(Items!$O$5:$O$504,U329)&lt;0,"NEG STOCK",IF(K329&lt;INDEX(Items!$P$5:$P$504,U329),"BELOW COST","OK")))),IF($D329="","","PRO PLAN"))</f>
        <v/>
      </c>
      <c r="U329" s="60" t="str">
        <f aca="false">IF(IsPro,IF($D329="","",IFERROR(MATCH($D329,Items!$A$5:$A$504,0),"")),"")</f>
        <v/>
      </c>
      <c r="V329" s="60" t="str">
        <f aca="false">IF(IsPro,IF($C329="","",IFERROR(MATCH($C329,Parties!$A$5:$A$304,0),"")),"")</f>
        <v/>
      </c>
      <c r="W329" s="60" t="str">
        <f aca="false">IF(IsPro,IF($B329="","",IFERROR(VALUE(SUBSTITUTE($B329,InvPrefix,"")),0)),"")</f>
        <v/>
      </c>
      <c r="X329" s="61" t="str">
        <f aca="false">IF(IsPro,IF($D329="","",IF(OR($H329="",$H329="Credit"),0,Q329)),"")</f>
        <v/>
      </c>
    </row>
    <row r="330" customFormat="false" ht="15" hidden="false" customHeight="false" outlineLevel="0" collapsed="false">
      <c r="A330" s="55"/>
      <c r="B330" s="56"/>
      <c r="C330" s="56"/>
      <c r="D330" s="56"/>
      <c r="E330" s="57"/>
      <c r="F330" s="58"/>
      <c r="G330" s="59"/>
      <c r="H330" s="56"/>
      <c r="I330" s="56"/>
      <c r="J330" s="60" t="str">
        <f aca="false">IF(IsPro,IF($D330="","",IFERROR(INDEX(Items!$D$5:$D$504,U330),"")),"")</f>
        <v/>
      </c>
      <c r="K330" s="61" t="str">
        <f aca="false">IF(IsPro,IF($D330="","",IF($F330="",IFERROR(INDEX(Items!$H$5:$H$504,U330),0),$F330)),"")</f>
        <v/>
      </c>
      <c r="L330" s="61" t="str">
        <f aca="false">IF(IsPro,IF($D330="","",ROUND(N($E330)*K330*(1-N($G330)),2)),"")</f>
        <v/>
      </c>
      <c r="M330" s="62" t="str">
        <f aca="false">IF(IsPro,IF($D330="","",IFERROR(INDEX(Items!$F$5:$F$504,U330),0)),"")</f>
        <v/>
      </c>
      <c r="N330" s="61" t="str">
        <f aca="false">IF(IsPro,IF($D330="","",IF(AND(V330&lt;&gt;"",INDEX(Parties!$E$5:$E$304,V330)&lt;&gt;"",INDEX(Parties!$E$5:$E$304,V330)&lt;&gt;HomeState),0,ROUND(L330*M330/2,2))),"")</f>
        <v/>
      </c>
      <c r="O330" s="61" t="str">
        <f aca="false">IF(IsPro,IF($D330="","",N330),"")</f>
        <v/>
      </c>
      <c r="P330" s="61" t="str">
        <f aca="false">IF(IsPro,IF($D330="","",IF(AND(V330&lt;&gt;"",INDEX(Parties!$E$5:$E$304,V330)&lt;&gt;"",INDEX(Parties!$E$5:$E$304,V330)&lt;&gt;HomeState),ROUND(L330*M330,2),0)),"")</f>
        <v/>
      </c>
      <c r="Q330" s="61" t="str">
        <f aca="false">IF(IsPro,IF($D330="","",L330+N330+O330+P330),"")</f>
        <v/>
      </c>
      <c r="R330" s="61" t="str">
        <f aca="false">IF(IsPro,IF($D330="","",ROUND(N($E330)*IFERROR(INDEX(Items!$P$5:$P$504,U330),0),2)),"")</f>
        <v/>
      </c>
      <c r="S330" s="61" t="str">
        <f aca="false">IF(IsPro,IF($D330="","",L330-R330),"")</f>
        <v/>
      </c>
      <c r="T330" s="60" t="str">
        <f aca="false">IF(IsPro,IF($D330="","",IF(U330="","UNKNOWN ITEM",IF(INDEX(Items!$O$5:$O$504,U330)&lt;0,"NEG STOCK",IF(K330&lt;INDEX(Items!$P$5:$P$504,U330),"BELOW COST","OK")))),IF($D330="","","PRO PLAN"))</f>
        <v/>
      </c>
      <c r="U330" s="60" t="str">
        <f aca="false">IF(IsPro,IF($D330="","",IFERROR(MATCH($D330,Items!$A$5:$A$504,0),"")),"")</f>
        <v/>
      </c>
      <c r="V330" s="60" t="str">
        <f aca="false">IF(IsPro,IF($C330="","",IFERROR(MATCH($C330,Parties!$A$5:$A$304,0),"")),"")</f>
        <v/>
      </c>
      <c r="W330" s="60" t="str">
        <f aca="false">IF(IsPro,IF($B330="","",IFERROR(VALUE(SUBSTITUTE($B330,InvPrefix,"")),0)),"")</f>
        <v/>
      </c>
      <c r="X330" s="61" t="str">
        <f aca="false">IF(IsPro,IF($D330="","",IF(OR($H330="",$H330="Credit"),0,Q330)),"")</f>
        <v/>
      </c>
    </row>
    <row r="331" customFormat="false" ht="15" hidden="false" customHeight="false" outlineLevel="0" collapsed="false">
      <c r="A331" s="55"/>
      <c r="B331" s="56"/>
      <c r="C331" s="56"/>
      <c r="D331" s="56"/>
      <c r="E331" s="57"/>
      <c r="F331" s="58"/>
      <c r="G331" s="59"/>
      <c r="H331" s="56"/>
      <c r="I331" s="56"/>
      <c r="J331" s="60" t="str">
        <f aca="false">IF(IsPro,IF($D331="","",IFERROR(INDEX(Items!$D$5:$D$504,U331),"")),"")</f>
        <v/>
      </c>
      <c r="K331" s="61" t="str">
        <f aca="false">IF(IsPro,IF($D331="","",IF($F331="",IFERROR(INDEX(Items!$H$5:$H$504,U331),0),$F331)),"")</f>
        <v/>
      </c>
      <c r="L331" s="61" t="str">
        <f aca="false">IF(IsPro,IF($D331="","",ROUND(N($E331)*K331*(1-N($G331)),2)),"")</f>
        <v/>
      </c>
      <c r="M331" s="62" t="str">
        <f aca="false">IF(IsPro,IF($D331="","",IFERROR(INDEX(Items!$F$5:$F$504,U331),0)),"")</f>
        <v/>
      </c>
      <c r="N331" s="61" t="str">
        <f aca="false">IF(IsPro,IF($D331="","",IF(AND(V331&lt;&gt;"",INDEX(Parties!$E$5:$E$304,V331)&lt;&gt;"",INDEX(Parties!$E$5:$E$304,V331)&lt;&gt;HomeState),0,ROUND(L331*M331/2,2))),"")</f>
        <v/>
      </c>
      <c r="O331" s="61" t="str">
        <f aca="false">IF(IsPro,IF($D331="","",N331),"")</f>
        <v/>
      </c>
      <c r="P331" s="61" t="str">
        <f aca="false">IF(IsPro,IF($D331="","",IF(AND(V331&lt;&gt;"",INDEX(Parties!$E$5:$E$304,V331)&lt;&gt;"",INDEX(Parties!$E$5:$E$304,V331)&lt;&gt;HomeState),ROUND(L331*M331,2),0)),"")</f>
        <v/>
      </c>
      <c r="Q331" s="61" t="str">
        <f aca="false">IF(IsPro,IF($D331="","",L331+N331+O331+P331),"")</f>
        <v/>
      </c>
      <c r="R331" s="61" t="str">
        <f aca="false">IF(IsPro,IF($D331="","",ROUND(N($E331)*IFERROR(INDEX(Items!$P$5:$P$504,U331),0),2)),"")</f>
        <v/>
      </c>
      <c r="S331" s="61" t="str">
        <f aca="false">IF(IsPro,IF($D331="","",L331-R331),"")</f>
        <v/>
      </c>
      <c r="T331" s="60" t="str">
        <f aca="false">IF(IsPro,IF($D331="","",IF(U331="","UNKNOWN ITEM",IF(INDEX(Items!$O$5:$O$504,U331)&lt;0,"NEG STOCK",IF(K331&lt;INDEX(Items!$P$5:$P$504,U331),"BELOW COST","OK")))),IF($D331="","","PRO PLAN"))</f>
        <v/>
      </c>
      <c r="U331" s="60" t="str">
        <f aca="false">IF(IsPro,IF($D331="","",IFERROR(MATCH($D331,Items!$A$5:$A$504,0),"")),"")</f>
        <v/>
      </c>
      <c r="V331" s="60" t="str">
        <f aca="false">IF(IsPro,IF($C331="","",IFERROR(MATCH($C331,Parties!$A$5:$A$304,0),"")),"")</f>
        <v/>
      </c>
      <c r="W331" s="60" t="str">
        <f aca="false">IF(IsPro,IF($B331="","",IFERROR(VALUE(SUBSTITUTE($B331,InvPrefix,"")),0)),"")</f>
        <v/>
      </c>
      <c r="X331" s="61" t="str">
        <f aca="false">IF(IsPro,IF($D331="","",IF(OR($H331="",$H331="Credit"),0,Q331)),"")</f>
        <v/>
      </c>
    </row>
    <row r="332" customFormat="false" ht="15" hidden="false" customHeight="false" outlineLevel="0" collapsed="false">
      <c r="A332" s="55"/>
      <c r="B332" s="56"/>
      <c r="C332" s="56"/>
      <c r="D332" s="56"/>
      <c r="E332" s="57"/>
      <c r="F332" s="58"/>
      <c r="G332" s="59"/>
      <c r="H332" s="56"/>
      <c r="I332" s="56"/>
      <c r="J332" s="60" t="str">
        <f aca="false">IF(IsPro,IF($D332="","",IFERROR(INDEX(Items!$D$5:$D$504,U332),"")),"")</f>
        <v/>
      </c>
      <c r="K332" s="61" t="str">
        <f aca="false">IF(IsPro,IF($D332="","",IF($F332="",IFERROR(INDEX(Items!$H$5:$H$504,U332),0),$F332)),"")</f>
        <v/>
      </c>
      <c r="L332" s="61" t="str">
        <f aca="false">IF(IsPro,IF($D332="","",ROUND(N($E332)*K332*(1-N($G332)),2)),"")</f>
        <v/>
      </c>
      <c r="M332" s="62" t="str">
        <f aca="false">IF(IsPro,IF($D332="","",IFERROR(INDEX(Items!$F$5:$F$504,U332),0)),"")</f>
        <v/>
      </c>
      <c r="N332" s="61" t="str">
        <f aca="false">IF(IsPro,IF($D332="","",IF(AND(V332&lt;&gt;"",INDEX(Parties!$E$5:$E$304,V332)&lt;&gt;"",INDEX(Parties!$E$5:$E$304,V332)&lt;&gt;HomeState),0,ROUND(L332*M332/2,2))),"")</f>
        <v/>
      </c>
      <c r="O332" s="61" t="str">
        <f aca="false">IF(IsPro,IF($D332="","",N332),"")</f>
        <v/>
      </c>
      <c r="P332" s="61" t="str">
        <f aca="false">IF(IsPro,IF($D332="","",IF(AND(V332&lt;&gt;"",INDEX(Parties!$E$5:$E$304,V332)&lt;&gt;"",INDEX(Parties!$E$5:$E$304,V332)&lt;&gt;HomeState),ROUND(L332*M332,2),0)),"")</f>
        <v/>
      </c>
      <c r="Q332" s="61" t="str">
        <f aca="false">IF(IsPro,IF($D332="","",L332+N332+O332+P332),"")</f>
        <v/>
      </c>
      <c r="R332" s="61" t="str">
        <f aca="false">IF(IsPro,IF($D332="","",ROUND(N($E332)*IFERROR(INDEX(Items!$P$5:$P$504,U332),0),2)),"")</f>
        <v/>
      </c>
      <c r="S332" s="61" t="str">
        <f aca="false">IF(IsPro,IF($D332="","",L332-R332),"")</f>
        <v/>
      </c>
      <c r="T332" s="60" t="str">
        <f aca="false">IF(IsPro,IF($D332="","",IF(U332="","UNKNOWN ITEM",IF(INDEX(Items!$O$5:$O$504,U332)&lt;0,"NEG STOCK",IF(K332&lt;INDEX(Items!$P$5:$P$504,U332),"BELOW COST","OK")))),IF($D332="","","PRO PLAN"))</f>
        <v/>
      </c>
      <c r="U332" s="60" t="str">
        <f aca="false">IF(IsPro,IF($D332="","",IFERROR(MATCH($D332,Items!$A$5:$A$504,0),"")),"")</f>
        <v/>
      </c>
      <c r="V332" s="60" t="str">
        <f aca="false">IF(IsPro,IF($C332="","",IFERROR(MATCH($C332,Parties!$A$5:$A$304,0),"")),"")</f>
        <v/>
      </c>
      <c r="W332" s="60" t="str">
        <f aca="false">IF(IsPro,IF($B332="","",IFERROR(VALUE(SUBSTITUTE($B332,InvPrefix,"")),0)),"")</f>
        <v/>
      </c>
      <c r="X332" s="61" t="str">
        <f aca="false">IF(IsPro,IF($D332="","",IF(OR($H332="",$H332="Credit"),0,Q332)),"")</f>
        <v/>
      </c>
    </row>
    <row r="333" customFormat="false" ht="15" hidden="false" customHeight="false" outlineLevel="0" collapsed="false">
      <c r="A333" s="55"/>
      <c r="B333" s="56"/>
      <c r="C333" s="56"/>
      <c r="D333" s="56"/>
      <c r="E333" s="57"/>
      <c r="F333" s="58"/>
      <c r="G333" s="59"/>
      <c r="H333" s="56"/>
      <c r="I333" s="56"/>
      <c r="J333" s="60" t="str">
        <f aca="false">IF(IsPro,IF($D333="","",IFERROR(INDEX(Items!$D$5:$D$504,U333),"")),"")</f>
        <v/>
      </c>
      <c r="K333" s="61" t="str">
        <f aca="false">IF(IsPro,IF($D333="","",IF($F333="",IFERROR(INDEX(Items!$H$5:$H$504,U333),0),$F333)),"")</f>
        <v/>
      </c>
      <c r="L333" s="61" t="str">
        <f aca="false">IF(IsPro,IF($D333="","",ROUND(N($E333)*K333*(1-N($G333)),2)),"")</f>
        <v/>
      </c>
      <c r="M333" s="62" t="str">
        <f aca="false">IF(IsPro,IF($D333="","",IFERROR(INDEX(Items!$F$5:$F$504,U333),0)),"")</f>
        <v/>
      </c>
      <c r="N333" s="61" t="str">
        <f aca="false">IF(IsPro,IF($D333="","",IF(AND(V333&lt;&gt;"",INDEX(Parties!$E$5:$E$304,V333)&lt;&gt;"",INDEX(Parties!$E$5:$E$304,V333)&lt;&gt;HomeState),0,ROUND(L333*M333/2,2))),"")</f>
        <v/>
      </c>
      <c r="O333" s="61" t="str">
        <f aca="false">IF(IsPro,IF($D333="","",N333),"")</f>
        <v/>
      </c>
      <c r="P333" s="61" t="str">
        <f aca="false">IF(IsPro,IF($D333="","",IF(AND(V333&lt;&gt;"",INDEX(Parties!$E$5:$E$304,V333)&lt;&gt;"",INDEX(Parties!$E$5:$E$304,V333)&lt;&gt;HomeState),ROUND(L333*M333,2),0)),"")</f>
        <v/>
      </c>
      <c r="Q333" s="61" t="str">
        <f aca="false">IF(IsPro,IF($D333="","",L333+N333+O333+P333),"")</f>
        <v/>
      </c>
      <c r="R333" s="61" t="str">
        <f aca="false">IF(IsPro,IF($D333="","",ROUND(N($E333)*IFERROR(INDEX(Items!$P$5:$P$504,U333),0),2)),"")</f>
        <v/>
      </c>
      <c r="S333" s="61" t="str">
        <f aca="false">IF(IsPro,IF($D333="","",L333-R333),"")</f>
        <v/>
      </c>
      <c r="T333" s="60" t="str">
        <f aca="false">IF(IsPro,IF($D333="","",IF(U333="","UNKNOWN ITEM",IF(INDEX(Items!$O$5:$O$504,U333)&lt;0,"NEG STOCK",IF(K333&lt;INDEX(Items!$P$5:$P$504,U333),"BELOW COST","OK")))),IF($D333="","","PRO PLAN"))</f>
        <v/>
      </c>
      <c r="U333" s="60" t="str">
        <f aca="false">IF(IsPro,IF($D333="","",IFERROR(MATCH($D333,Items!$A$5:$A$504,0),"")),"")</f>
        <v/>
      </c>
      <c r="V333" s="60" t="str">
        <f aca="false">IF(IsPro,IF($C333="","",IFERROR(MATCH($C333,Parties!$A$5:$A$304,0),"")),"")</f>
        <v/>
      </c>
      <c r="W333" s="60" t="str">
        <f aca="false">IF(IsPro,IF($B333="","",IFERROR(VALUE(SUBSTITUTE($B333,InvPrefix,"")),0)),"")</f>
        <v/>
      </c>
      <c r="X333" s="61" t="str">
        <f aca="false">IF(IsPro,IF($D333="","",IF(OR($H333="",$H333="Credit"),0,Q333)),"")</f>
        <v/>
      </c>
    </row>
    <row r="334" customFormat="false" ht="15" hidden="false" customHeight="false" outlineLevel="0" collapsed="false">
      <c r="A334" s="55"/>
      <c r="B334" s="56"/>
      <c r="C334" s="56"/>
      <c r="D334" s="56"/>
      <c r="E334" s="57"/>
      <c r="F334" s="58"/>
      <c r="G334" s="59"/>
      <c r="H334" s="56"/>
      <c r="I334" s="56"/>
      <c r="J334" s="60" t="str">
        <f aca="false">IF(IsPro,IF($D334="","",IFERROR(INDEX(Items!$D$5:$D$504,U334),"")),"")</f>
        <v/>
      </c>
      <c r="K334" s="61" t="str">
        <f aca="false">IF(IsPro,IF($D334="","",IF($F334="",IFERROR(INDEX(Items!$H$5:$H$504,U334),0),$F334)),"")</f>
        <v/>
      </c>
      <c r="L334" s="61" t="str">
        <f aca="false">IF(IsPro,IF($D334="","",ROUND(N($E334)*K334*(1-N($G334)),2)),"")</f>
        <v/>
      </c>
      <c r="M334" s="62" t="str">
        <f aca="false">IF(IsPro,IF($D334="","",IFERROR(INDEX(Items!$F$5:$F$504,U334),0)),"")</f>
        <v/>
      </c>
      <c r="N334" s="61" t="str">
        <f aca="false">IF(IsPro,IF($D334="","",IF(AND(V334&lt;&gt;"",INDEX(Parties!$E$5:$E$304,V334)&lt;&gt;"",INDEX(Parties!$E$5:$E$304,V334)&lt;&gt;HomeState),0,ROUND(L334*M334/2,2))),"")</f>
        <v/>
      </c>
      <c r="O334" s="61" t="str">
        <f aca="false">IF(IsPro,IF($D334="","",N334),"")</f>
        <v/>
      </c>
      <c r="P334" s="61" t="str">
        <f aca="false">IF(IsPro,IF($D334="","",IF(AND(V334&lt;&gt;"",INDEX(Parties!$E$5:$E$304,V334)&lt;&gt;"",INDEX(Parties!$E$5:$E$304,V334)&lt;&gt;HomeState),ROUND(L334*M334,2),0)),"")</f>
        <v/>
      </c>
      <c r="Q334" s="61" t="str">
        <f aca="false">IF(IsPro,IF($D334="","",L334+N334+O334+P334),"")</f>
        <v/>
      </c>
      <c r="R334" s="61" t="str">
        <f aca="false">IF(IsPro,IF($D334="","",ROUND(N($E334)*IFERROR(INDEX(Items!$P$5:$P$504,U334),0),2)),"")</f>
        <v/>
      </c>
      <c r="S334" s="61" t="str">
        <f aca="false">IF(IsPro,IF($D334="","",L334-R334),"")</f>
        <v/>
      </c>
      <c r="T334" s="60" t="str">
        <f aca="false">IF(IsPro,IF($D334="","",IF(U334="","UNKNOWN ITEM",IF(INDEX(Items!$O$5:$O$504,U334)&lt;0,"NEG STOCK",IF(K334&lt;INDEX(Items!$P$5:$P$504,U334),"BELOW COST","OK")))),IF($D334="","","PRO PLAN"))</f>
        <v/>
      </c>
      <c r="U334" s="60" t="str">
        <f aca="false">IF(IsPro,IF($D334="","",IFERROR(MATCH($D334,Items!$A$5:$A$504,0),"")),"")</f>
        <v/>
      </c>
      <c r="V334" s="60" t="str">
        <f aca="false">IF(IsPro,IF($C334="","",IFERROR(MATCH($C334,Parties!$A$5:$A$304,0),"")),"")</f>
        <v/>
      </c>
      <c r="W334" s="60" t="str">
        <f aca="false">IF(IsPro,IF($B334="","",IFERROR(VALUE(SUBSTITUTE($B334,InvPrefix,"")),0)),"")</f>
        <v/>
      </c>
      <c r="X334" s="61" t="str">
        <f aca="false">IF(IsPro,IF($D334="","",IF(OR($H334="",$H334="Credit"),0,Q334)),"")</f>
        <v/>
      </c>
    </row>
    <row r="335" customFormat="false" ht="15" hidden="false" customHeight="false" outlineLevel="0" collapsed="false">
      <c r="A335" s="55"/>
      <c r="B335" s="56"/>
      <c r="C335" s="56"/>
      <c r="D335" s="56"/>
      <c r="E335" s="57"/>
      <c r="F335" s="58"/>
      <c r="G335" s="59"/>
      <c r="H335" s="56"/>
      <c r="I335" s="56"/>
      <c r="J335" s="60" t="str">
        <f aca="false">IF(IsPro,IF($D335="","",IFERROR(INDEX(Items!$D$5:$D$504,U335),"")),"")</f>
        <v/>
      </c>
      <c r="K335" s="61" t="str">
        <f aca="false">IF(IsPro,IF($D335="","",IF($F335="",IFERROR(INDEX(Items!$H$5:$H$504,U335),0),$F335)),"")</f>
        <v/>
      </c>
      <c r="L335" s="61" t="str">
        <f aca="false">IF(IsPro,IF($D335="","",ROUND(N($E335)*K335*(1-N($G335)),2)),"")</f>
        <v/>
      </c>
      <c r="M335" s="62" t="str">
        <f aca="false">IF(IsPro,IF($D335="","",IFERROR(INDEX(Items!$F$5:$F$504,U335),0)),"")</f>
        <v/>
      </c>
      <c r="N335" s="61" t="str">
        <f aca="false">IF(IsPro,IF($D335="","",IF(AND(V335&lt;&gt;"",INDEX(Parties!$E$5:$E$304,V335)&lt;&gt;"",INDEX(Parties!$E$5:$E$304,V335)&lt;&gt;HomeState),0,ROUND(L335*M335/2,2))),"")</f>
        <v/>
      </c>
      <c r="O335" s="61" t="str">
        <f aca="false">IF(IsPro,IF($D335="","",N335),"")</f>
        <v/>
      </c>
      <c r="P335" s="61" t="str">
        <f aca="false">IF(IsPro,IF($D335="","",IF(AND(V335&lt;&gt;"",INDEX(Parties!$E$5:$E$304,V335)&lt;&gt;"",INDEX(Parties!$E$5:$E$304,V335)&lt;&gt;HomeState),ROUND(L335*M335,2),0)),"")</f>
        <v/>
      </c>
      <c r="Q335" s="61" t="str">
        <f aca="false">IF(IsPro,IF($D335="","",L335+N335+O335+P335),"")</f>
        <v/>
      </c>
      <c r="R335" s="61" t="str">
        <f aca="false">IF(IsPro,IF($D335="","",ROUND(N($E335)*IFERROR(INDEX(Items!$P$5:$P$504,U335),0),2)),"")</f>
        <v/>
      </c>
      <c r="S335" s="61" t="str">
        <f aca="false">IF(IsPro,IF($D335="","",L335-R335),"")</f>
        <v/>
      </c>
      <c r="T335" s="60" t="str">
        <f aca="false">IF(IsPro,IF($D335="","",IF(U335="","UNKNOWN ITEM",IF(INDEX(Items!$O$5:$O$504,U335)&lt;0,"NEG STOCK",IF(K335&lt;INDEX(Items!$P$5:$P$504,U335),"BELOW COST","OK")))),IF($D335="","","PRO PLAN"))</f>
        <v/>
      </c>
      <c r="U335" s="60" t="str">
        <f aca="false">IF(IsPro,IF($D335="","",IFERROR(MATCH($D335,Items!$A$5:$A$504,0),"")),"")</f>
        <v/>
      </c>
      <c r="V335" s="60" t="str">
        <f aca="false">IF(IsPro,IF($C335="","",IFERROR(MATCH($C335,Parties!$A$5:$A$304,0),"")),"")</f>
        <v/>
      </c>
      <c r="W335" s="60" t="str">
        <f aca="false">IF(IsPro,IF($B335="","",IFERROR(VALUE(SUBSTITUTE($B335,InvPrefix,"")),0)),"")</f>
        <v/>
      </c>
      <c r="X335" s="61" t="str">
        <f aca="false">IF(IsPro,IF($D335="","",IF(OR($H335="",$H335="Credit"),0,Q335)),"")</f>
        <v/>
      </c>
    </row>
    <row r="336" customFormat="false" ht="15" hidden="false" customHeight="false" outlineLevel="0" collapsed="false">
      <c r="A336" s="55"/>
      <c r="B336" s="56"/>
      <c r="C336" s="56"/>
      <c r="D336" s="56"/>
      <c r="E336" s="57"/>
      <c r="F336" s="58"/>
      <c r="G336" s="59"/>
      <c r="H336" s="56"/>
      <c r="I336" s="56"/>
      <c r="J336" s="60" t="str">
        <f aca="false">IF(IsPro,IF($D336="","",IFERROR(INDEX(Items!$D$5:$D$504,U336),"")),"")</f>
        <v/>
      </c>
      <c r="K336" s="61" t="str">
        <f aca="false">IF(IsPro,IF($D336="","",IF($F336="",IFERROR(INDEX(Items!$H$5:$H$504,U336),0),$F336)),"")</f>
        <v/>
      </c>
      <c r="L336" s="61" t="str">
        <f aca="false">IF(IsPro,IF($D336="","",ROUND(N($E336)*K336*(1-N($G336)),2)),"")</f>
        <v/>
      </c>
      <c r="M336" s="62" t="str">
        <f aca="false">IF(IsPro,IF($D336="","",IFERROR(INDEX(Items!$F$5:$F$504,U336),0)),"")</f>
        <v/>
      </c>
      <c r="N336" s="61" t="str">
        <f aca="false">IF(IsPro,IF($D336="","",IF(AND(V336&lt;&gt;"",INDEX(Parties!$E$5:$E$304,V336)&lt;&gt;"",INDEX(Parties!$E$5:$E$304,V336)&lt;&gt;HomeState),0,ROUND(L336*M336/2,2))),"")</f>
        <v/>
      </c>
      <c r="O336" s="61" t="str">
        <f aca="false">IF(IsPro,IF($D336="","",N336),"")</f>
        <v/>
      </c>
      <c r="P336" s="61" t="str">
        <f aca="false">IF(IsPro,IF($D336="","",IF(AND(V336&lt;&gt;"",INDEX(Parties!$E$5:$E$304,V336)&lt;&gt;"",INDEX(Parties!$E$5:$E$304,V336)&lt;&gt;HomeState),ROUND(L336*M336,2),0)),"")</f>
        <v/>
      </c>
      <c r="Q336" s="61" t="str">
        <f aca="false">IF(IsPro,IF($D336="","",L336+N336+O336+P336),"")</f>
        <v/>
      </c>
      <c r="R336" s="61" t="str">
        <f aca="false">IF(IsPro,IF($D336="","",ROUND(N($E336)*IFERROR(INDEX(Items!$P$5:$P$504,U336),0),2)),"")</f>
        <v/>
      </c>
      <c r="S336" s="61" t="str">
        <f aca="false">IF(IsPro,IF($D336="","",L336-R336),"")</f>
        <v/>
      </c>
      <c r="T336" s="60" t="str">
        <f aca="false">IF(IsPro,IF($D336="","",IF(U336="","UNKNOWN ITEM",IF(INDEX(Items!$O$5:$O$504,U336)&lt;0,"NEG STOCK",IF(K336&lt;INDEX(Items!$P$5:$P$504,U336),"BELOW COST","OK")))),IF($D336="","","PRO PLAN"))</f>
        <v/>
      </c>
      <c r="U336" s="60" t="str">
        <f aca="false">IF(IsPro,IF($D336="","",IFERROR(MATCH($D336,Items!$A$5:$A$504,0),"")),"")</f>
        <v/>
      </c>
      <c r="V336" s="60" t="str">
        <f aca="false">IF(IsPro,IF($C336="","",IFERROR(MATCH($C336,Parties!$A$5:$A$304,0),"")),"")</f>
        <v/>
      </c>
      <c r="W336" s="60" t="str">
        <f aca="false">IF(IsPro,IF($B336="","",IFERROR(VALUE(SUBSTITUTE($B336,InvPrefix,"")),0)),"")</f>
        <v/>
      </c>
      <c r="X336" s="61" t="str">
        <f aca="false">IF(IsPro,IF($D336="","",IF(OR($H336="",$H336="Credit"),0,Q336)),"")</f>
        <v/>
      </c>
    </row>
    <row r="337" customFormat="false" ht="15" hidden="false" customHeight="false" outlineLevel="0" collapsed="false">
      <c r="A337" s="55"/>
      <c r="B337" s="56"/>
      <c r="C337" s="56"/>
      <c r="D337" s="56"/>
      <c r="E337" s="57"/>
      <c r="F337" s="58"/>
      <c r="G337" s="59"/>
      <c r="H337" s="56"/>
      <c r="I337" s="56"/>
      <c r="J337" s="60" t="str">
        <f aca="false">IF(IsPro,IF($D337="","",IFERROR(INDEX(Items!$D$5:$D$504,U337),"")),"")</f>
        <v/>
      </c>
      <c r="K337" s="61" t="str">
        <f aca="false">IF(IsPro,IF($D337="","",IF($F337="",IFERROR(INDEX(Items!$H$5:$H$504,U337),0),$F337)),"")</f>
        <v/>
      </c>
      <c r="L337" s="61" t="str">
        <f aca="false">IF(IsPro,IF($D337="","",ROUND(N($E337)*K337*(1-N($G337)),2)),"")</f>
        <v/>
      </c>
      <c r="M337" s="62" t="str">
        <f aca="false">IF(IsPro,IF($D337="","",IFERROR(INDEX(Items!$F$5:$F$504,U337),0)),"")</f>
        <v/>
      </c>
      <c r="N337" s="61" t="str">
        <f aca="false">IF(IsPro,IF($D337="","",IF(AND(V337&lt;&gt;"",INDEX(Parties!$E$5:$E$304,V337)&lt;&gt;"",INDEX(Parties!$E$5:$E$304,V337)&lt;&gt;HomeState),0,ROUND(L337*M337/2,2))),"")</f>
        <v/>
      </c>
      <c r="O337" s="61" t="str">
        <f aca="false">IF(IsPro,IF($D337="","",N337),"")</f>
        <v/>
      </c>
      <c r="P337" s="61" t="str">
        <f aca="false">IF(IsPro,IF($D337="","",IF(AND(V337&lt;&gt;"",INDEX(Parties!$E$5:$E$304,V337)&lt;&gt;"",INDEX(Parties!$E$5:$E$304,V337)&lt;&gt;HomeState),ROUND(L337*M337,2),0)),"")</f>
        <v/>
      </c>
      <c r="Q337" s="61" t="str">
        <f aca="false">IF(IsPro,IF($D337="","",L337+N337+O337+P337),"")</f>
        <v/>
      </c>
      <c r="R337" s="61" t="str">
        <f aca="false">IF(IsPro,IF($D337="","",ROUND(N($E337)*IFERROR(INDEX(Items!$P$5:$P$504,U337),0),2)),"")</f>
        <v/>
      </c>
      <c r="S337" s="61" t="str">
        <f aca="false">IF(IsPro,IF($D337="","",L337-R337),"")</f>
        <v/>
      </c>
      <c r="T337" s="60" t="str">
        <f aca="false">IF(IsPro,IF($D337="","",IF(U337="","UNKNOWN ITEM",IF(INDEX(Items!$O$5:$O$504,U337)&lt;0,"NEG STOCK",IF(K337&lt;INDEX(Items!$P$5:$P$504,U337),"BELOW COST","OK")))),IF($D337="","","PRO PLAN"))</f>
        <v/>
      </c>
      <c r="U337" s="60" t="str">
        <f aca="false">IF(IsPro,IF($D337="","",IFERROR(MATCH($D337,Items!$A$5:$A$504,0),"")),"")</f>
        <v/>
      </c>
      <c r="V337" s="60" t="str">
        <f aca="false">IF(IsPro,IF($C337="","",IFERROR(MATCH($C337,Parties!$A$5:$A$304,0),"")),"")</f>
        <v/>
      </c>
      <c r="W337" s="60" t="str">
        <f aca="false">IF(IsPro,IF($B337="","",IFERROR(VALUE(SUBSTITUTE($B337,InvPrefix,"")),0)),"")</f>
        <v/>
      </c>
      <c r="X337" s="61" t="str">
        <f aca="false">IF(IsPro,IF($D337="","",IF(OR($H337="",$H337="Credit"),0,Q337)),"")</f>
        <v/>
      </c>
    </row>
    <row r="338" customFormat="false" ht="15" hidden="false" customHeight="false" outlineLevel="0" collapsed="false">
      <c r="A338" s="55"/>
      <c r="B338" s="56"/>
      <c r="C338" s="56"/>
      <c r="D338" s="56"/>
      <c r="E338" s="57"/>
      <c r="F338" s="58"/>
      <c r="G338" s="59"/>
      <c r="H338" s="56"/>
      <c r="I338" s="56"/>
      <c r="J338" s="60" t="str">
        <f aca="false">IF(IsPro,IF($D338="","",IFERROR(INDEX(Items!$D$5:$D$504,U338),"")),"")</f>
        <v/>
      </c>
      <c r="K338" s="61" t="str">
        <f aca="false">IF(IsPro,IF($D338="","",IF($F338="",IFERROR(INDEX(Items!$H$5:$H$504,U338),0),$F338)),"")</f>
        <v/>
      </c>
      <c r="L338" s="61" t="str">
        <f aca="false">IF(IsPro,IF($D338="","",ROUND(N($E338)*K338*(1-N($G338)),2)),"")</f>
        <v/>
      </c>
      <c r="M338" s="62" t="str">
        <f aca="false">IF(IsPro,IF($D338="","",IFERROR(INDEX(Items!$F$5:$F$504,U338),0)),"")</f>
        <v/>
      </c>
      <c r="N338" s="61" t="str">
        <f aca="false">IF(IsPro,IF($D338="","",IF(AND(V338&lt;&gt;"",INDEX(Parties!$E$5:$E$304,V338)&lt;&gt;"",INDEX(Parties!$E$5:$E$304,V338)&lt;&gt;HomeState),0,ROUND(L338*M338/2,2))),"")</f>
        <v/>
      </c>
      <c r="O338" s="61" t="str">
        <f aca="false">IF(IsPro,IF($D338="","",N338),"")</f>
        <v/>
      </c>
      <c r="P338" s="61" t="str">
        <f aca="false">IF(IsPro,IF($D338="","",IF(AND(V338&lt;&gt;"",INDEX(Parties!$E$5:$E$304,V338)&lt;&gt;"",INDEX(Parties!$E$5:$E$304,V338)&lt;&gt;HomeState),ROUND(L338*M338,2),0)),"")</f>
        <v/>
      </c>
      <c r="Q338" s="61" t="str">
        <f aca="false">IF(IsPro,IF($D338="","",L338+N338+O338+P338),"")</f>
        <v/>
      </c>
      <c r="R338" s="61" t="str">
        <f aca="false">IF(IsPro,IF($D338="","",ROUND(N($E338)*IFERROR(INDEX(Items!$P$5:$P$504,U338),0),2)),"")</f>
        <v/>
      </c>
      <c r="S338" s="61" t="str">
        <f aca="false">IF(IsPro,IF($D338="","",L338-R338),"")</f>
        <v/>
      </c>
      <c r="T338" s="60" t="str">
        <f aca="false">IF(IsPro,IF($D338="","",IF(U338="","UNKNOWN ITEM",IF(INDEX(Items!$O$5:$O$504,U338)&lt;0,"NEG STOCK",IF(K338&lt;INDEX(Items!$P$5:$P$504,U338),"BELOW COST","OK")))),IF($D338="","","PRO PLAN"))</f>
        <v/>
      </c>
      <c r="U338" s="60" t="str">
        <f aca="false">IF(IsPro,IF($D338="","",IFERROR(MATCH($D338,Items!$A$5:$A$504,0),"")),"")</f>
        <v/>
      </c>
      <c r="V338" s="60" t="str">
        <f aca="false">IF(IsPro,IF($C338="","",IFERROR(MATCH($C338,Parties!$A$5:$A$304,0),"")),"")</f>
        <v/>
      </c>
      <c r="W338" s="60" t="str">
        <f aca="false">IF(IsPro,IF($B338="","",IFERROR(VALUE(SUBSTITUTE($B338,InvPrefix,"")),0)),"")</f>
        <v/>
      </c>
      <c r="X338" s="61" t="str">
        <f aca="false">IF(IsPro,IF($D338="","",IF(OR($H338="",$H338="Credit"),0,Q338)),"")</f>
        <v/>
      </c>
    </row>
    <row r="339" customFormat="false" ht="15" hidden="false" customHeight="false" outlineLevel="0" collapsed="false">
      <c r="A339" s="55"/>
      <c r="B339" s="56"/>
      <c r="C339" s="56"/>
      <c r="D339" s="56"/>
      <c r="E339" s="57"/>
      <c r="F339" s="58"/>
      <c r="G339" s="59"/>
      <c r="H339" s="56"/>
      <c r="I339" s="56"/>
      <c r="J339" s="60" t="str">
        <f aca="false">IF(IsPro,IF($D339="","",IFERROR(INDEX(Items!$D$5:$D$504,U339),"")),"")</f>
        <v/>
      </c>
      <c r="K339" s="61" t="str">
        <f aca="false">IF(IsPro,IF($D339="","",IF($F339="",IFERROR(INDEX(Items!$H$5:$H$504,U339),0),$F339)),"")</f>
        <v/>
      </c>
      <c r="L339" s="61" t="str">
        <f aca="false">IF(IsPro,IF($D339="","",ROUND(N($E339)*K339*(1-N($G339)),2)),"")</f>
        <v/>
      </c>
      <c r="M339" s="62" t="str">
        <f aca="false">IF(IsPro,IF($D339="","",IFERROR(INDEX(Items!$F$5:$F$504,U339),0)),"")</f>
        <v/>
      </c>
      <c r="N339" s="61" t="str">
        <f aca="false">IF(IsPro,IF($D339="","",IF(AND(V339&lt;&gt;"",INDEX(Parties!$E$5:$E$304,V339)&lt;&gt;"",INDEX(Parties!$E$5:$E$304,V339)&lt;&gt;HomeState),0,ROUND(L339*M339/2,2))),"")</f>
        <v/>
      </c>
      <c r="O339" s="61" t="str">
        <f aca="false">IF(IsPro,IF($D339="","",N339),"")</f>
        <v/>
      </c>
      <c r="P339" s="61" t="str">
        <f aca="false">IF(IsPro,IF($D339="","",IF(AND(V339&lt;&gt;"",INDEX(Parties!$E$5:$E$304,V339)&lt;&gt;"",INDEX(Parties!$E$5:$E$304,V339)&lt;&gt;HomeState),ROUND(L339*M339,2),0)),"")</f>
        <v/>
      </c>
      <c r="Q339" s="61" t="str">
        <f aca="false">IF(IsPro,IF($D339="","",L339+N339+O339+P339),"")</f>
        <v/>
      </c>
      <c r="R339" s="61" t="str">
        <f aca="false">IF(IsPro,IF($D339="","",ROUND(N($E339)*IFERROR(INDEX(Items!$P$5:$P$504,U339),0),2)),"")</f>
        <v/>
      </c>
      <c r="S339" s="61" t="str">
        <f aca="false">IF(IsPro,IF($D339="","",L339-R339),"")</f>
        <v/>
      </c>
      <c r="T339" s="60" t="str">
        <f aca="false">IF(IsPro,IF($D339="","",IF(U339="","UNKNOWN ITEM",IF(INDEX(Items!$O$5:$O$504,U339)&lt;0,"NEG STOCK",IF(K339&lt;INDEX(Items!$P$5:$P$504,U339),"BELOW COST","OK")))),IF($D339="","","PRO PLAN"))</f>
        <v/>
      </c>
      <c r="U339" s="60" t="str">
        <f aca="false">IF(IsPro,IF($D339="","",IFERROR(MATCH($D339,Items!$A$5:$A$504,0),"")),"")</f>
        <v/>
      </c>
      <c r="V339" s="60" t="str">
        <f aca="false">IF(IsPro,IF($C339="","",IFERROR(MATCH($C339,Parties!$A$5:$A$304,0),"")),"")</f>
        <v/>
      </c>
      <c r="W339" s="60" t="str">
        <f aca="false">IF(IsPro,IF($B339="","",IFERROR(VALUE(SUBSTITUTE($B339,InvPrefix,"")),0)),"")</f>
        <v/>
      </c>
      <c r="X339" s="61" t="str">
        <f aca="false">IF(IsPro,IF($D339="","",IF(OR($H339="",$H339="Credit"),0,Q339)),"")</f>
        <v/>
      </c>
    </row>
    <row r="340" customFormat="false" ht="15" hidden="false" customHeight="false" outlineLevel="0" collapsed="false">
      <c r="A340" s="55"/>
      <c r="B340" s="56"/>
      <c r="C340" s="56"/>
      <c r="D340" s="56"/>
      <c r="E340" s="57"/>
      <c r="F340" s="58"/>
      <c r="G340" s="59"/>
      <c r="H340" s="56"/>
      <c r="I340" s="56"/>
      <c r="J340" s="60" t="str">
        <f aca="false">IF(IsPro,IF($D340="","",IFERROR(INDEX(Items!$D$5:$D$504,U340),"")),"")</f>
        <v/>
      </c>
      <c r="K340" s="61" t="str">
        <f aca="false">IF(IsPro,IF($D340="","",IF($F340="",IFERROR(INDEX(Items!$H$5:$H$504,U340),0),$F340)),"")</f>
        <v/>
      </c>
      <c r="L340" s="61" t="str">
        <f aca="false">IF(IsPro,IF($D340="","",ROUND(N($E340)*K340*(1-N($G340)),2)),"")</f>
        <v/>
      </c>
      <c r="M340" s="62" t="str">
        <f aca="false">IF(IsPro,IF($D340="","",IFERROR(INDEX(Items!$F$5:$F$504,U340),0)),"")</f>
        <v/>
      </c>
      <c r="N340" s="61" t="str">
        <f aca="false">IF(IsPro,IF($D340="","",IF(AND(V340&lt;&gt;"",INDEX(Parties!$E$5:$E$304,V340)&lt;&gt;"",INDEX(Parties!$E$5:$E$304,V340)&lt;&gt;HomeState),0,ROUND(L340*M340/2,2))),"")</f>
        <v/>
      </c>
      <c r="O340" s="61" t="str">
        <f aca="false">IF(IsPro,IF($D340="","",N340),"")</f>
        <v/>
      </c>
      <c r="P340" s="61" t="str">
        <f aca="false">IF(IsPro,IF($D340="","",IF(AND(V340&lt;&gt;"",INDEX(Parties!$E$5:$E$304,V340)&lt;&gt;"",INDEX(Parties!$E$5:$E$304,V340)&lt;&gt;HomeState),ROUND(L340*M340,2),0)),"")</f>
        <v/>
      </c>
      <c r="Q340" s="61" t="str">
        <f aca="false">IF(IsPro,IF($D340="","",L340+N340+O340+P340),"")</f>
        <v/>
      </c>
      <c r="R340" s="61" t="str">
        <f aca="false">IF(IsPro,IF($D340="","",ROUND(N($E340)*IFERROR(INDEX(Items!$P$5:$P$504,U340),0),2)),"")</f>
        <v/>
      </c>
      <c r="S340" s="61" t="str">
        <f aca="false">IF(IsPro,IF($D340="","",L340-R340),"")</f>
        <v/>
      </c>
      <c r="T340" s="60" t="str">
        <f aca="false">IF(IsPro,IF($D340="","",IF(U340="","UNKNOWN ITEM",IF(INDEX(Items!$O$5:$O$504,U340)&lt;0,"NEG STOCK",IF(K340&lt;INDEX(Items!$P$5:$P$504,U340),"BELOW COST","OK")))),IF($D340="","","PRO PLAN"))</f>
        <v/>
      </c>
      <c r="U340" s="60" t="str">
        <f aca="false">IF(IsPro,IF($D340="","",IFERROR(MATCH($D340,Items!$A$5:$A$504,0),"")),"")</f>
        <v/>
      </c>
      <c r="V340" s="60" t="str">
        <f aca="false">IF(IsPro,IF($C340="","",IFERROR(MATCH($C340,Parties!$A$5:$A$304,0),"")),"")</f>
        <v/>
      </c>
      <c r="W340" s="60" t="str">
        <f aca="false">IF(IsPro,IF($B340="","",IFERROR(VALUE(SUBSTITUTE($B340,InvPrefix,"")),0)),"")</f>
        <v/>
      </c>
      <c r="X340" s="61" t="str">
        <f aca="false">IF(IsPro,IF($D340="","",IF(OR($H340="",$H340="Credit"),0,Q340)),"")</f>
        <v/>
      </c>
    </row>
    <row r="341" customFormat="false" ht="15" hidden="false" customHeight="false" outlineLevel="0" collapsed="false">
      <c r="A341" s="55"/>
      <c r="B341" s="56"/>
      <c r="C341" s="56"/>
      <c r="D341" s="56"/>
      <c r="E341" s="57"/>
      <c r="F341" s="58"/>
      <c r="G341" s="59"/>
      <c r="H341" s="56"/>
      <c r="I341" s="56"/>
      <c r="J341" s="60" t="str">
        <f aca="false">IF(IsPro,IF($D341="","",IFERROR(INDEX(Items!$D$5:$D$504,U341),"")),"")</f>
        <v/>
      </c>
      <c r="K341" s="61" t="str">
        <f aca="false">IF(IsPro,IF($D341="","",IF($F341="",IFERROR(INDEX(Items!$H$5:$H$504,U341),0),$F341)),"")</f>
        <v/>
      </c>
      <c r="L341" s="61" t="str">
        <f aca="false">IF(IsPro,IF($D341="","",ROUND(N($E341)*K341*(1-N($G341)),2)),"")</f>
        <v/>
      </c>
      <c r="M341" s="62" t="str">
        <f aca="false">IF(IsPro,IF($D341="","",IFERROR(INDEX(Items!$F$5:$F$504,U341),0)),"")</f>
        <v/>
      </c>
      <c r="N341" s="61" t="str">
        <f aca="false">IF(IsPro,IF($D341="","",IF(AND(V341&lt;&gt;"",INDEX(Parties!$E$5:$E$304,V341)&lt;&gt;"",INDEX(Parties!$E$5:$E$304,V341)&lt;&gt;HomeState),0,ROUND(L341*M341/2,2))),"")</f>
        <v/>
      </c>
      <c r="O341" s="61" t="str">
        <f aca="false">IF(IsPro,IF($D341="","",N341),"")</f>
        <v/>
      </c>
      <c r="P341" s="61" t="str">
        <f aca="false">IF(IsPro,IF($D341="","",IF(AND(V341&lt;&gt;"",INDEX(Parties!$E$5:$E$304,V341)&lt;&gt;"",INDEX(Parties!$E$5:$E$304,V341)&lt;&gt;HomeState),ROUND(L341*M341,2),0)),"")</f>
        <v/>
      </c>
      <c r="Q341" s="61" t="str">
        <f aca="false">IF(IsPro,IF($D341="","",L341+N341+O341+P341),"")</f>
        <v/>
      </c>
      <c r="R341" s="61" t="str">
        <f aca="false">IF(IsPro,IF($D341="","",ROUND(N($E341)*IFERROR(INDEX(Items!$P$5:$P$504,U341),0),2)),"")</f>
        <v/>
      </c>
      <c r="S341" s="61" t="str">
        <f aca="false">IF(IsPro,IF($D341="","",L341-R341),"")</f>
        <v/>
      </c>
      <c r="T341" s="60" t="str">
        <f aca="false">IF(IsPro,IF($D341="","",IF(U341="","UNKNOWN ITEM",IF(INDEX(Items!$O$5:$O$504,U341)&lt;0,"NEG STOCK",IF(K341&lt;INDEX(Items!$P$5:$P$504,U341),"BELOW COST","OK")))),IF($D341="","","PRO PLAN"))</f>
        <v/>
      </c>
      <c r="U341" s="60" t="str">
        <f aca="false">IF(IsPro,IF($D341="","",IFERROR(MATCH($D341,Items!$A$5:$A$504,0),"")),"")</f>
        <v/>
      </c>
      <c r="V341" s="60" t="str">
        <f aca="false">IF(IsPro,IF($C341="","",IFERROR(MATCH($C341,Parties!$A$5:$A$304,0),"")),"")</f>
        <v/>
      </c>
      <c r="W341" s="60" t="str">
        <f aca="false">IF(IsPro,IF($B341="","",IFERROR(VALUE(SUBSTITUTE($B341,InvPrefix,"")),0)),"")</f>
        <v/>
      </c>
      <c r="X341" s="61" t="str">
        <f aca="false">IF(IsPro,IF($D341="","",IF(OR($H341="",$H341="Credit"),0,Q341)),"")</f>
        <v/>
      </c>
    </row>
    <row r="342" customFormat="false" ht="15" hidden="false" customHeight="false" outlineLevel="0" collapsed="false">
      <c r="A342" s="55"/>
      <c r="B342" s="56"/>
      <c r="C342" s="56"/>
      <c r="D342" s="56"/>
      <c r="E342" s="57"/>
      <c r="F342" s="58"/>
      <c r="G342" s="59"/>
      <c r="H342" s="56"/>
      <c r="I342" s="56"/>
      <c r="J342" s="60" t="str">
        <f aca="false">IF(IsPro,IF($D342="","",IFERROR(INDEX(Items!$D$5:$D$504,U342),"")),"")</f>
        <v/>
      </c>
      <c r="K342" s="61" t="str">
        <f aca="false">IF(IsPro,IF($D342="","",IF($F342="",IFERROR(INDEX(Items!$H$5:$H$504,U342),0),$F342)),"")</f>
        <v/>
      </c>
      <c r="L342" s="61" t="str">
        <f aca="false">IF(IsPro,IF($D342="","",ROUND(N($E342)*K342*(1-N($G342)),2)),"")</f>
        <v/>
      </c>
      <c r="M342" s="62" t="str">
        <f aca="false">IF(IsPro,IF($D342="","",IFERROR(INDEX(Items!$F$5:$F$504,U342),0)),"")</f>
        <v/>
      </c>
      <c r="N342" s="61" t="str">
        <f aca="false">IF(IsPro,IF($D342="","",IF(AND(V342&lt;&gt;"",INDEX(Parties!$E$5:$E$304,V342)&lt;&gt;"",INDEX(Parties!$E$5:$E$304,V342)&lt;&gt;HomeState),0,ROUND(L342*M342/2,2))),"")</f>
        <v/>
      </c>
      <c r="O342" s="61" t="str">
        <f aca="false">IF(IsPro,IF($D342="","",N342),"")</f>
        <v/>
      </c>
      <c r="P342" s="61" t="str">
        <f aca="false">IF(IsPro,IF($D342="","",IF(AND(V342&lt;&gt;"",INDEX(Parties!$E$5:$E$304,V342)&lt;&gt;"",INDEX(Parties!$E$5:$E$304,V342)&lt;&gt;HomeState),ROUND(L342*M342,2),0)),"")</f>
        <v/>
      </c>
      <c r="Q342" s="61" t="str">
        <f aca="false">IF(IsPro,IF($D342="","",L342+N342+O342+P342),"")</f>
        <v/>
      </c>
      <c r="R342" s="61" t="str">
        <f aca="false">IF(IsPro,IF($D342="","",ROUND(N($E342)*IFERROR(INDEX(Items!$P$5:$P$504,U342),0),2)),"")</f>
        <v/>
      </c>
      <c r="S342" s="61" t="str">
        <f aca="false">IF(IsPro,IF($D342="","",L342-R342),"")</f>
        <v/>
      </c>
      <c r="T342" s="60" t="str">
        <f aca="false">IF(IsPro,IF($D342="","",IF(U342="","UNKNOWN ITEM",IF(INDEX(Items!$O$5:$O$504,U342)&lt;0,"NEG STOCK",IF(K342&lt;INDEX(Items!$P$5:$P$504,U342),"BELOW COST","OK")))),IF($D342="","","PRO PLAN"))</f>
        <v/>
      </c>
      <c r="U342" s="60" t="str">
        <f aca="false">IF(IsPro,IF($D342="","",IFERROR(MATCH($D342,Items!$A$5:$A$504,0),"")),"")</f>
        <v/>
      </c>
      <c r="V342" s="60" t="str">
        <f aca="false">IF(IsPro,IF($C342="","",IFERROR(MATCH($C342,Parties!$A$5:$A$304,0),"")),"")</f>
        <v/>
      </c>
      <c r="W342" s="60" t="str">
        <f aca="false">IF(IsPro,IF($B342="","",IFERROR(VALUE(SUBSTITUTE($B342,InvPrefix,"")),0)),"")</f>
        <v/>
      </c>
      <c r="X342" s="61" t="str">
        <f aca="false">IF(IsPro,IF($D342="","",IF(OR($H342="",$H342="Credit"),0,Q342)),"")</f>
        <v/>
      </c>
    </row>
    <row r="343" customFormat="false" ht="15" hidden="false" customHeight="false" outlineLevel="0" collapsed="false">
      <c r="A343" s="55"/>
      <c r="B343" s="56"/>
      <c r="C343" s="56"/>
      <c r="D343" s="56"/>
      <c r="E343" s="57"/>
      <c r="F343" s="58"/>
      <c r="G343" s="59"/>
      <c r="H343" s="56"/>
      <c r="I343" s="56"/>
      <c r="J343" s="60" t="str">
        <f aca="false">IF(IsPro,IF($D343="","",IFERROR(INDEX(Items!$D$5:$D$504,U343),"")),"")</f>
        <v/>
      </c>
      <c r="K343" s="61" t="str">
        <f aca="false">IF(IsPro,IF($D343="","",IF($F343="",IFERROR(INDEX(Items!$H$5:$H$504,U343),0),$F343)),"")</f>
        <v/>
      </c>
      <c r="L343" s="61" t="str">
        <f aca="false">IF(IsPro,IF($D343="","",ROUND(N($E343)*K343*(1-N($G343)),2)),"")</f>
        <v/>
      </c>
      <c r="M343" s="62" t="str">
        <f aca="false">IF(IsPro,IF($D343="","",IFERROR(INDEX(Items!$F$5:$F$504,U343),0)),"")</f>
        <v/>
      </c>
      <c r="N343" s="61" t="str">
        <f aca="false">IF(IsPro,IF($D343="","",IF(AND(V343&lt;&gt;"",INDEX(Parties!$E$5:$E$304,V343)&lt;&gt;"",INDEX(Parties!$E$5:$E$304,V343)&lt;&gt;HomeState),0,ROUND(L343*M343/2,2))),"")</f>
        <v/>
      </c>
      <c r="O343" s="61" t="str">
        <f aca="false">IF(IsPro,IF($D343="","",N343),"")</f>
        <v/>
      </c>
      <c r="P343" s="61" t="str">
        <f aca="false">IF(IsPro,IF($D343="","",IF(AND(V343&lt;&gt;"",INDEX(Parties!$E$5:$E$304,V343)&lt;&gt;"",INDEX(Parties!$E$5:$E$304,V343)&lt;&gt;HomeState),ROUND(L343*M343,2),0)),"")</f>
        <v/>
      </c>
      <c r="Q343" s="61" t="str">
        <f aca="false">IF(IsPro,IF($D343="","",L343+N343+O343+P343),"")</f>
        <v/>
      </c>
      <c r="R343" s="61" t="str">
        <f aca="false">IF(IsPro,IF($D343="","",ROUND(N($E343)*IFERROR(INDEX(Items!$P$5:$P$504,U343),0),2)),"")</f>
        <v/>
      </c>
      <c r="S343" s="61" t="str">
        <f aca="false">IF(IsPro,IF($D343="","",L343-R343),"")</f>
        <v/>
      </c>
      <c r="T343" s="60" t="str">
        <f aca="false">IF(IsPro,IF($D343="","",IF(U343="","UNKNOWN ITEM",IF(INDEX(Items!$O$5:$O$504,U343)&lt;0,"NEG STOCK",IF(K343&lt;INDEX(Items!$P$5:$P$504,U343),"BELOW COST","OK")))),IF($D343="","","PRO PLAN"))</f>
        <v/>
      </c>
      <c r="U343" s="60" t="str">
        <f aca="false">IF(IsPro,IF($D343="","",IFERROR(MATCH($D343,Items!$A$5:$A$504,0),"")),"")</f>
        <v/>
      </c>
      <c r="V343" s="60" t="str">
        <f aca="false">IF(IsPro,IF($C343="","",IFERROR(MATCH($C343,Parties!$A$5:$A$304,0),"")),"")</f>
        <v/>
      </c>
      <c r="W343" s="60" t="str">
        <f aca="false">IF(IsPro,IF($B343="","",IFERROR(VALUE(SUBSTITUTE($B343,InvPrefix,"")),0)),"")</f>
        <v/>
      </c>
      <c r="X343" s="61" t="str">
        <f aca="false">IF(IsPro,IF($D343="","",IF(OR($H343="",$H343="Credit"),0,Q343)),"")</f>
        <v/>
      </c>
    </row>
    <row r="344" customFormat="false" ht="15" hidden="false" customHeight="false" outlineLevel="0" collapsed="false">
      <c r="A344" s="55"/>
      <c r="B344" s="56"/>
      <c r="C344" s="56"/>
      <c r="D344" s="56"/>
      <c r="E344" s="57"/>
      <c r="F344" s="58"/>
      <c r="G344" s="59"/>
      <c r="H344" s="56"/>
      <c r="I344" s="56"/>
      <c r="J344" s="60" t="str">
        <f aca="false">IF(IsPro,IF($D344="","",IFERROR(INDEX(Items!$D$5:$D$504,U344),"")),"")</f>
        <v/>
      </c>
      <c r="K344" s="61" t="str">
        <f aca="false">IF(IsPro,IF($D344="","",IF($F344="",IFERROR(INDEX(Items!$H$5:$H$504,U344),0),$F344)),"")</f>
        <v/>
      </c>
      <c r="L344" s="61" t="str">
        <f aca="false">IF(IsPro,IF($D344="","",ROUND(N($E344)*K344*(1-N($G344)),2)),"")</f>
        <v/>
      </c>
      <c r="M344" s="62" t="str">
        <f aca="false">IF(IsPro,IF($D344="","",IFERROR(INDEX(Items!$F$5:$F$504,U344),0)),"")</f>
        <v/>
      </c>
      <c r="N344" s="61" t="str">
        <f aca="false">IF(IsPro,IF($D344="","",IF(AND(V344&lt;&gt;"",INDEX(Parties!$E$5:$E$304,V344)&lt;&gt;"",INDEX(Parties!$E$5:$E$304,V344)&lt;&gt;HomeState),0,ROUND(L344*M344/2,2))),"")</f>
        <v/>
      </c>
      <c r="O344" s="61" t="str">
        <f aca="false">IF(IsPro,IF($D344="","",N344),"")</f>
        <v/>
      </c>
      <c r="P344" s="61" t="str">
        <f aca="false">IF(IsPro,IF($D344="","",IF(AND(V344&lt;&gt;"",INDEX(Parties!$E$5:$E$304,V344)&lt;&gt;"",INDEX(Parties!$E$5:$E$304,V344)&lt;&gt;HomeState),ROUND(L344*M344,2),0)),"")</f>
        <v/>
      </c>
      <c r="Q344" s="61" t="str">
        <f aca="false">IF(IsPro,IF($D344="","",L344+N344+O344+P344),"")</f>
        <v/>
      </c>
      <c r="R344" s="61" t="str">
        <f aca="false">IF(IsPro,IF($D344="","",ROUND(N($E344)*IFERROR(INDEX(Items!$P$5:$P$504,U344),0),2)),"")</f>
        <v/>
      </c>
      <c r="S344" s="61" t="str">
        <f aca="false">IF(IsPro,IF($D344="","",L344-R344),"")</f>
        <v/>
      </c>
      <c r="T344" s="60" t="str">
        <f aca="false">IF(IsPro,IF($D344="","",IF(U344="","UNKNOWN ITEM",IF(INDEX(Items!$O$5:$O$504,U344)&lt;0,"NEG STOCK",IF(K344&lt;INDEX(Items!$P$5:$P$504,U344),"BELOW COST","OK")))),IF($D344="","","PRO PLAN"))</f>
        <v/>
      </c>
      <c r="U344" s="60" t="str">
        <f aca="false">IF(IsPro,IF($D344="","",IFERROR(MATCH($D344,Items!$A$5:$A$504,0),"")),"")</f>
        <v/>
      </c>
      <c r="V344" s="60" t="str">
        <f aca="false">IF(IsPro,IF($C344="","",IFERROR(MATCH($C344,Parties!$A$5:$A$304,0),"")),"")</f>
        <v/>
      </c>
      <c r="W344" s="60" t="str">
        <f aca="false">IF(IsPro,IF($B344="","",IFERROR(VALUE(SUBSTITUTE($B344,InvPrefix,"")),0)),"")</f>
        <v/>
      </c>
      <c r="X344" s="61" t="str">
        <f aca="false">IF(IsPro,IF($D344="","",IF(OR($H344="",$H344="Credit"),0,Q344)),"")</f>
        <v/>
      </c>
    </row>
    <row r="345" customFormat="false" ht="15" hidden="false" customHeight="false" outlineLevel="0" collapsed="false">
      <c r="A345" s="55"/>
      <c r="B345" s="56"/>
      <c r="C345" s="56"/>
      <c r="D345" s="56"/>
      <c r="E345" s="57"/>
      <c r="F345" s="58"/>
      <c r="G345" s="59"/>
      <c r="H345" s="56"/>
      <c r="I345" s="56"/>
      <c r="J345" s="60" t="str">
        <f aca="false">IF(IsPro,IF($D345="","",IFERROR(INDEX(Items!$D$5:$D$504,U345),"")),"")</f>
        <v/>
      </c>
      <c r="K345" s="61" t="str">
        <f aca="false">IF(IsPro,IF($D345="","",IF($F345="",IFERROR(INDEX(Items!$H$5:$H$504,U345),0),$F345)),"")</f>
        <v/>
      </c>
      <c r="L345" s="61" t="str">
        <f aca="false">IF(IsPro,IF($D345="","",ROUND(N($E345)*K345*(1-N($G345)),2)),"")</f>
        <v/>
      </c>
      <c r="M345" s="62" t="str">
        <f aca="false">IF(IsPro,IF($D345="","",IFERROR(INDEX(Items!$F$5:$F$504,U345),0)),"")</f>
        <v/>
      </c>
      <c r="N345" s="61" t="str">
        <f aca="false">IF(IsPro,IF($D345="","",IF(AND(V345&lt;&gt;"",INDEX(Parties!$E$5:$E$304,V345)&lt;&gt;"",INDEX(Parties!$E$5:$E$304,V345)&lt;&gt;HomeState),0,ROUND(L345*M345/2,2))),"")</f>
        <v/>
      </c>
      <c r="O345" s="61" t="str">
        <f aca="false">IF(IsPro,IF($D345="","",N345),"")</f>
        <v/>
      </c>
      <c r="P345" s="61" t="str">
        <f aca="false">IF(IsPro,IF($D345="","",IF(AND(V345&lt;&gt;"",INDEX(Parties!$E$5:$E$304,V345)&lt;&gt;"",INDEX(Parties!$E$5:$E$304,V345)&lt;&gt;HomeState),ROUND(L345*M345,2),0)),"")</f>
        <v/>
      </c>
      <c r="Q345" s="61" t="str">
        <f aca="false">IF(IsPro,IF($D345="","",L345+N345+O345+P345),"")</f>
        <v/>
      </c>
      <c r="R345" s="61" t="str">
        <f aca="false">IF(IsPro,IF($D345="","",ROUND(N($E345)*IFERROR(INDEX(Items!$P$5:$P$504,U345),0),2)),"")</f>
        <v/>
      </c>
      <c r="S345" s="61" t="str">
        <f aca="false">IF(IsPro,IF($D345="","",L345-R345),"")</f>
        <v/>
      </c>
      <c r="T345" s="60" t="str">
        <f aca="false">IF(IsPro,IF($D345="","",IF(U345="","UNKNOWN ITEM",IF(INDEX(Items!$O$5:$O$504,U345)&lt;0,"NEG STOCK",IF(K345&lt;INDEX(Items!$P$5:$P$504,U345),"BELOW COST","OK")))),IF($D345="","","PRO PLAN"))</f>
        <v/>
      </c>
      <c r="U345" s="60" t="str">
        <f aca="false">IF(IsPro,IF($D345="","",IFERROR(MATCH($D345,Items!$A$5:$A$504,0),"")),"")</f>
        <v/>
      </c>
      <c r="V345" s="60" t="str">
        <f aca="false">IF(IsPro,IF($C345="","",IFERROR(MATCH($C345,Parties!$A$5:$A$304,0),"")),"")</f>
        <v/>
      </c>
      <c r="W345" s="60" t="str">
        <f aca="false">IF(IsPro,IF($B345="","",IFERROR(VALUE(SUBSTITUTE($B345,InvPrefix,"")),0)),"")</f>
        <v/>
      </c>
      <c r="X345" s="61" t="str">
        <f aca="false">IF(IsPro,IF($D345="","",IF(OR($H345="",$H345="Credit"),0,Q345)),"")</f>
        <v/>
      </c>
    </row>
    <row r="346" customFormat="false" ht="15" hidden="false" customHeight="false" outlineLevel="0" collapsed="false">
      <c r="A346" s="55"/>
      <c r="B346" s="56"/>
      <c r="C346" s="56"/>
      <c r="D346" s="56"/>
      <c r="E346" s="57"/>
      <c r="F346" s="58"/>
      <c r="G346" s="59"/>
      <c r="H346" s="56"/>
      <c r="I346" s="56"/>
      <c r="J346" s="60" t="str">
        <f aca="false">IF(IsPro,IF($D346="","",IFERROR(INDEX(Items!$D$5:$D$504,U346),"")),"")</f>
        <v/>
      </c>
      <c r="K346" s="61" t="str">
        <f aca="false">IF(IsPro,IF($D346="","",IF($F346="",IFERROR(INDEX(Items!$H$5:$H$504,U346),0),$F346)),"")</f>
        <v/>
      </c>
      <c r="L346" s="61" t="str">
        <f aca="false">IF(IsPro,IF($D346="","",ROUND(N($E346)*K346*(1-N($G346)),2)),"")</f>
        <v/>
      </c>
      <c r="M346" s="62" t="str">
        <f aca="false">IF(IsPro,IF($D346="","",IFERROR(INDEX(Items!$F$5:$F$504,U346),0)),"")</f>
        <v/>
      </c>
      <c r="N346" s="61" t="str">
        <f aca="false">IF(IsPro,IF($D346="","",IF(AND(V346&lt;&gt;"",INDEX(Parties!$E$5:$E$304,V346)&lt;&gt;"",INDEX(Parties!$E$5:$E$304,V346)&lt;&gt;HomeState),0,ROUND(L346*M346/2,2))),"")</f>
        <v/>
      </c>
      <c r="O346" s="61" t="str">
        <f aca="false">IF(IsPro,IF($D346="","",N346),"")</f>
        <v/>
      </c>
      <c r="P346" s="61" t="str">
        <f aca="false">IF(IsPro,IF($D346="","",IF(AND(V346&lt;&gt;"",INDEX(Parties!$E$5:$E$304,V346)&lt;&gt;"",INDEX(Parties!$E$5:$E$304,V346)&lt;&gt;HomeState),ROUND(L346*M346,2),0)),"")</f>
        <v/>
      </c>
      <c r="Q346" s="61" t="str">
        <f aca="false">IF(IsPro,IF($D346="","",L346+N346+O346+P346),"")</f>
        <v/>
      </c>
      <c r="R346" s="61" t="str">
        <f aca="false">IF(IsPro,IF($D346="","",ROUND(N($E346)*IFERROR(INDEX(Items!$P$5:$P$504,U346),0),2)),"")</f>
        <v/>
      </c>
      <c r="S346" s="61" t="str">
        <f aca="false">IF(IsPro,IF($D346="","",L346-R346),"")</f>
        <v/>
      </c>
      <c r="T346" s="60" t="str">
        <f aca="false">IF(IsPro,IF($D346="","",IF(U346="","UNKNOWN ITEM",IF(INDEX(Items!$O$5:$O$504,U346)&lt;0,"NEG STOCK",IF(K346&lt;INDEX(Items!$P$5:$P$504,U346),"BELOW COST","OK")))),IF($D346="","","PRO PLAN"))</f>
        <v/>
      </c>
      <c r="U346" s="60" t="str">
        <f aca="false">IF(IsPro,IF($D346="","",IFERROR(MATCH($D346,Items!$A$5:$A$504,0),"")),"")</f>
        <v/>
      </c>
      <c r="V346" s="60" t="str">
        <f aca="false">IF(IsPro,IF($C346="","",IFERROR(MATCH($C346,Parties!$A$5:$A$304,0),"")),"")</f>
        <v/>
      </c>
      <c r="W346" s="60" t="str">
        <f aca="false">IF(IsPro,IF($B346="","",IFERROR(VALUE(SUBSTITUTE($B346,InvPrefix,"")),0)),"")</f>
        <v/>
      </c>
      <c r="X346" s="61" t="str">
        <f aca="false">IF(IsPro,IF($D346="","",IF(OR($H346="",$H346="Credit"),0,Q346)),"")</f>
        <v/>
      </c>
    </row>
    <row r="347" customFormat="false" ht="15" hidden="false" customHeight="false" outlineLevel="0" collapsed="false">
      <c r="A347" s="55"/>
      <c r="B347" s="56"/>
      <c r="C347" s="56"/>
      <c r="D347" s="56"/>
      <c r="E347" s="57"/>
      <c r="F347" s="58"/>
      <c r="G347" s="59"/>
      <c r="H347" s="56"/>
      <c r="I347" s="56"/>
      <c r="J347" s="60" t="str">
        <f aca="false">IF(IsPro,IF($D347="","",IFERROR(INDEX(Items!$D$5:$D$504,U347),"")),"")</f>
        <v/>
      </c>
      <c r="K347" s="61" t="str">
        <f aca="false">IF(IsPro,IF($D347="","",IF($F347="",IFERROR(INDEX(Items!$H$5:$H$504,U347),0),$F347)),"")</f>
        <v/>
      </c>
      <c r="L347" s="61" t="str">
        <f aca="false">IF(IsPro,IF($D347="","",ROUND(N($E347)*K347*(1-N($G347)),2)),"")</f>
        <v/>
      </c>
      <c r="M347" s="62" t="str">
        <f aca="false">IF(IsPro,IF($D347="","",IFERROR(INDEX(Items!$F$5:$F$504,U347),0)),"")</f>
        <v/>
      </c>
      <c r="N347" s="61" t="str">
        <f aca="false">IF(IsPro,IF($D347="","",IF(AND(V347&lt;&gt;"",INDEX(Parties!$E$5:$E$304,V347)&lt;&gt;"",INDEX(Parties!$E$5:$E$304,V347)&lt;&gt;HomeState),0,ROUND(L347*M347/2,2))),"")</f>
        <v/>
      </c>
      <c r="O347" s="61" t="str">
        <f aca="false">IF(IsPro,IF($D347="","",N347),"")</f>
        <v/>
      </c>
      <c r="P347" s="61" t="str">
        <f aca="false">IF(IsPro,IF($D347="","",IF(AND(V347&lt;&gt;"",INDEX(Parties!$E$5:$E$304,V347)&lt;&gt;"",INDEX(Parties!$E$5:$E$304,V347)&lt;&gt;HomeState),ROUND(L347*M347,2),0)),"")</f>
        <v/>
      </c>
      <c r="Q347" s="61" t="str">
        <f aca="false">IF(IsPro,IF($D347="","",L347+N347+O347+P347),"")</f>
        <v/>
      </c>
      <c r="R347" s="61" t="str">
        <f aca="false">IF(IsPro,IF($D347="","",ROUND(N($E347)*IFERROR(INDEX(Items!$P$5:$P$504,U347),0),2)),"")</f>
        <v/>
      </c>
      <c r="S347" s="61" t="str">
        <f aca="false">IF(IsPro,IF($D347="","",L347-R347),"")</f>
        <v/>
      </c>
      <c r="T347" s="60" t="str">
        <f aca="false">IF(IsPro,IF($D347="","",IF(U347="","UNKNOWN ITEM",IF(INDEX(Items!$O$5:$O$504,U347)&lt;0,"NEG STOCK",IF(K347&lt;INDEX(Items!$P$5:$P$504,U347),"BELOW COST","OK")))),IF($D347="","","PRO PLAN"))</f>
        <v/>
      </c>
      <c r="U347" s="60" t="str">
        <f aca="false">IF(IsPro,IF($D347="","",IFERROR(MATCH($D347,Items!$A$5:$A$504,0),"")),"")</f>
        <v/>
      </c>
      <c r="V347" s="60" t="str">
        <f aca="false">IF(IsPro,IF($C347="","",IFERROR(MATCH($C347,Parties!$A$5:$A$304,0),"")),"")</f>
        <v/>
      </c>
      <c r="W347" s="60" t="str">
        <f aca="false">IF(IsPro,IF($B347="","",IFERROR(VALUE(SUBSTITUTE($B347,InvPrefix,"")),0)),"")</f>
        <v/>
      </c>
      <c r="X347" s="61" t="str">
        <f aca="false">IF(IsPro,IF($D347="","",IF(OR($H347="",$H347="Credit"),0,Q347)),"")</f>
        <v/>
      </c>
    </row>
    <row r="348" customFormat="false" ht="15" hidden="false" customHeight="false" outlineLevel="0" collapsed="false">
      <c r="A348" s="55"/>
      <c r="B348" s="56"/>
      <c r="C348" s="56"/>
      <c r="D348" s="56"/>
      <c r="E348" s="57"/>
      <c r="F348" s="58"/>
      <c r="G348" s="59"/>
      <c r="H348" s="56"/>
      <c r="I348" s="56"/>
      <c r="J348" s="60" t="str">
        <f aca="false">IF(IsPro,IF($D348="","",IFERROR(INDEX(Items!$D$5:$D$504,U348),"")),"")</f>
        <v/>
      </c>
      <c r="K348" s="61" t="str">
        <f aca="false">IF(IsPro,IF($D348="","",IF($F348="",IFERROR(INDEX(Items!$H$5:$H$504,U348),0),$F348)),"")</f>
        <v/>
      </c>
      <c r="L348" s="61" t="str">
        <f aca="false">IF(IsPro,IF($D348="","",ROUND(N($E348)*K348*(1-N($G348)),2)),"")</f>
        <v/>
      </c>
      <c r="M348" s="62" t="str">
        <f aca="false">IF(IsPro,IF($D348="","",IFERROR(INDEX(Items!$F$5:$F$504,U348),0)),"")</f>
        <v/>
      </c>
      <c r="N348" s="61" t="str">
        <f aca="false">IF(IsPro,IF($D348="","",IF(AND(V348&lt;&gt;"",INDEX(Parties!$E$5:$E$304,V348)&lt;&gt;"",INDEX(Parties!$E$5:$E$304,V348)&lt;&gt;HomeState),0,ROUND(L348*M348/2,2))),"")</f>
        <v/>
      </c>
      <c r="O348" s="61" t="str">
        <f aca="false">IF(IsPro,IF($D348="","",N348),"")</f>
        <v/>
      </c>
      <c r="P348" s="61" t="str">
        <f aca="false">IF(IsPro,IF($D348="","",IF(AND(V348&lt;&gt;"",INDEX(Parties!$E$5:$E$304,V348)&lt;&gt;"",INDEX(Parties!$E$5:$E$304,V348)&lt;&gt;HomeState),ROUND(L348*M348,2),0)),"")</f>
        <v/>
      </c>
      <c r="Q348" s="61" t="str">
        <f aca="false">IF(IsPro,IF($D348="","",L348+N348+O348+P348),"")</f>
        <v/>
      </c>
      <c r="R348" s="61" t="str">
        <f aca="false">IF(IsPro,IF($D348="","",ROUND(N($E348)*IFERROR(INDEX(Items!$P$5:$P$504,U348),0),2)),"")</f>
        <v/>
      </c>
      <c r="S348" s="61" t="str">
        <f aca="false">IF(IsPro,IF($D348="","",L348-R348),"")</f>
        <v/>
      </c>
      <c r="T348" s="60" t="str">
        <f aca="false">IF(IsPro,IF($D348="","",IF(U348="","UNKNOWN ITEM",IF(INDEX(Items!$O$5:$O$504,U348)&lt;0,"NEG STOCK",IF(K348&lt;INDEX(Items!$P$5:$P$504,U348),"BELOW COST","OK")))),IF($D348="","","PRO PLAN"))</f>
        <v/>
      </c>
      <c r="U348" s="60" t="str">
        <f aca="false">IF(IsPro,IF($D348="","",IFERROR(MATCH($D348,Items!$A$5:$A$504,0),"")),"")</f>
        <v/>
      </c>
      <c r="V348" s="60" t="str">
        <f aca="false">IF(IsPro,IF($C348="","",IFERROR(MATCH($C348,Parties!$A$5:$A$304,0),"")),"")</f>
        <v/>
      </c>
      <c r="W348" s="60" t="str">
        <f aca="false">IF(IsPro,IF($B348="","",IFERROR(VALUE(SUBSTITUTE($B348,InvPrefix,"")),0)),"")</f>
        <v/>
      </c>
      <c r="X348" s="61" t="str">
        <f aca="false">IF(IsPro,IF($D348="","",IF(OR($H348="",$H348="Credit"),0,Q348)),"")</f>
        <v/>
      </c>
    </row>
    <row r="349" customFormat="false" ht="15" hidden="false" customHeight="false" outlineLevel="0" collapsed="false">
      <c r="A349" s="55"/>
      <c r="B349" s="56"/>
      <c r="C349" s="56"/>
      <c r="D349" s="56"/>
      <c r="E349" s="57"/>
      <c r="F349" s="58"/>
      <c r="G349" s="59"/>
      <c r="H349" s="56"/>
      <c r="I349" s="56"/>
      <c r="J349" s="60" t="str">
        <f aca="false">IF(IsPro,IF($D349="","",IFERROR(INDEX(Items!$D$5:$D$504,U349),"")),"")</f>
        <v/>
      </c>
      <c r="K349" s="61" t="str">
        <f aca="false">IF(IsPro,IF($D349="","",IF($F349="",IFERROR(INDEX(Items!$H$5:$H$504,U349),0),$F349)),"")</f>
        <v/>
      </c>
      <c r="L349" s="61" t="str">
        <f aca="false">IF(IsPro,IF($D349="","",ROUND(N($E349)*K349*(1-N($G349)),2)),"")</f>
        <v/>
      </c>
      <c r="M349" s="62" t="str">
        <f aca="false">IF(IsPro,IF($D349="","",IFERROR(INDEX(Items!$F$5:$F$504,U349),0)),"")</f>
        <v/>
      </c>
      <c r="N349" s="61" t="str">
        <f aca="false">IF(IsPro,IF($D349="","",IF(AND(V349&lt;&gt;"",INDEX(Parties!$E$5:$E$304,V349)&lt;&gt;"",INDEX(Parties!$E$5:$E$304,V349)&lt;&gt;HomeState),0,ROUND(L349*M349/2,2))),"")</f>
        <v/>
      </c>
      <c r="O349" s="61" t="str">
        <f aca="false">IF(IsPro,IF($D349="","",N349),"")</f>
        <v/>
      </c>
      <c r="P349" s="61" t="str">
        <f aca="false">IF(IsPro,IF($D349="","",IF(AND(V349&lt;&gt;"",INDEX(Parties!$E$5:$E$304,V349)&lt;&gt;"",INDEX(Parties!$E$5:$E$304,V349)&lt;&gt;HomeState),ROUND(L349*M349,2),0)),"")</f>
        <v/>
      </c>
      <c r="Q349" s="61" t="str">
        <f aca="false">IF(IsPro,IF($D349="","",L349+N349+O349+P349),"")</f>
        <v/>
      </c>
      <c r="R349" s="61" t="str">
        <f aca="false">IF(IsPro,IF($D349="","",ROUND(N($E349)*IFERROR(INDEX(Items!$P$5:$P$504,U349),0),2)),"")</f>
        <v/>
      </c>
      <c r="S349" s="61" t="str">
        <f aca="false">IF(IsPro,IF($D349="","",L349-R349),"")</f>
        <v/>
      </c>
      <c r="T349" s="60" t="str">
        <f aca="false">IF(IsPro,IF($D349="","",IF(U349="","UNKNOWN ITEM",IF(INDEX(Items!$O$5:$O$504,U349)&lt;0,"NEG STOCK",IF(K349&lt;INDEX(Items!$P$5:$P$504,U349),"BELOW COST","OK")))),IF($D349="","","PRO PLAN"))</f>
        <v/>
      </c>
      <c r="U349" s="60" t="str">
        <f aca="false">IF(IsPro,IF($D349="","",IFERROR(MATCH($D349,Items!$A$5:$A$504,0),"")),"")</f>
        <v/>
      </c>
      <c r="V349" s="60" t="str">
        <f aca="false">IF(IsPro,IF($C349="","",IFERROR(MATCH($C349,Parties!$A$5:$A$304,0),"")),"")</f>
        <v/>
      </c>
      <c r="W349" s="60" t="str">
        <f aca="false">IF(IsPro,IF($B349="","",IFERROR(VALUE(SUBSTITUTE($B349,InvPrefix,"")),0)),"")</f>
        <v/>
      </c>
      <c r="X349" s="61" t="str">
        <f aca="false">IF(IsPro,IF($D349="","",IF(OR($H349="",$H349="Credit"),0,Q349)),"")</f>
        <v/>
      </c>
    </row>
    <row r="350" customFormat="false" ht="15" hidden="false" customHeight="false" outlineLevel="0" collapsed="false">
      <c r="A350" s="55"/>
      <c r="B350" s="56"/>
      <c r="C350" s="56"/>
      <c r="D350" s="56"/>
      <c r="E350" s="57"/>
      <c r="F350" s="58"/>
      <c r="G350" s="59"/>
      <c r="H350" s="56"/>
      <c r="I350" s="56"/>
      <c r="J350" s="60" t="str">
        <f aca="false">IF(IsPro,IF($D350="","",IFERROR(INDEX(Items!$D$5:$D$504,U350),"")),"")</f>
        <v/>
      </c>
      <c r="K350" s="61" t="str">
        <f aca="false">IF(IsPro,IF($D350="","",IF($F350="",IFERROR(INDEX(Items!$H$5:$H$504,U350),0),$F350)),"")</f>
        <v/>
      </c>
      <c r="L350" s="61" t="str">
        <f aca="false">IF(IsPro,IF($D350="","",ROUND(N($E350)*K350*(1-N($G350)),2)),"")</f>
        <v/>
      </c>
      <c r="M350" s="62" t="str">
        <f aca="false">IF(IsPro,IF($D350="","",IFERROR(INDEX(Items!$F$5:$F$504,U350),0)),"")</f>
        <v/>
      </c>
      <c r="N350" s="61" t="str">
        <f aca="false">IF(IsPro,IF($D350="","",IF(AND(V350&lt;&gt;"",INDEX(Parties!$E$5:$E$304,V350)&lt;&gt;"",INDEX(Parties!$E$5:$E$304,V350)&lt;&gt;HomeState),0,ROUND(L350*M350/2,2))),"")</f>
        <v/>
      </c>
      <c r="O350" s="61" t="str">
        <f aca="false">IF(IsPro,IF($D350="","",N350),"")</f>
        <v/>
      </c>
      <c r="P350" s="61" t="str">
        <f aca="false">IF(IsPro,IF($D350="","",IF(AND(V350&lt;&gt;"",INDEX(Parties!$E$5:$E$304,V350)&lt;&gt;"",INDEX(Parties!$E$5:$E$304,V350)&lt;&gt;HomeState),ROUND(L350*M350,2),0)),"")</f>
        <v/>
      </c>
      <c r="Q350" s="61" t="str">
        <f aca="false">IF(IsPro,IF($D350="","",L350+N350+O350+P350),"")</f>
        <v/>
      </c>
      <c r="R350" s="61" t="str">
        <f aca="false">IF(IsPro,IF($D350="","",ROUND(N($E350)*IFERROR(INDEX(Items!$P$5:$P$504,U350),0),2)),"")</f>
        <v/>
      </c>
      <c r="S350" s="61" t="str">
        <f aca="false">IF(IsPro,IF($D350="","",L350-R350),"")</f>
        <v/>
      </c>
      <c r="T350" s="60" t="str">
        <f aca="false">IF(IsPro,IF($D350="","",IF(U350="","UNKNOWN ITEM",IF(INDEX(Items!$O$5:$O$504,U350)&lt;0,"NEG STOCK",IF(K350&lt;INDEX(Items!$P$5:$P$504,U350),"BELOW COST","OK")))),IF($D350="","","PRO PLAN"))</f>
        <v/>
      </c>
      <c r="U350" s="60" t="str">
        <f aca="false">IF(IsPro,IF($D350="","",IFERROR(MATCH($D350,Items!$A$5:$A$504,0),"")),"")</f>
        <v/>
      </c>
      <c r="V350" s="60" t="str">
        <f aca="false">IF(IsPro,IF($C350="","",IFERROR(MATCH($C350,Parties!$A$5:$A$304,0),"")),"")</f>
        <v/>
      </c>
      <c r="W350" s="60" t="str">
        <f aca="false">IF(IsPro,IF($B350="","",IFERROR(VALUE(SUBSTITUTE($B350,InvPrefix,"")),0)),"")</f>
        <v/>
      </c>
      <c r="X350" s="61" t="str">
        <f aca="false">IF(IsPro,IF($D350="","",IF(OR($H350="",$H350="Credit"),0,Q350)),"")</f>
        <v/>
      </c>
    </row>
    <row r="351" customFormat="false" ht="15" hidden="false" customHeight="false" outlineLevel="0" collapsed="false">
      <c r="A351" s="55"/>
      <c r="B351" s="56"/>
      <c r="C351" s="56"/>
      <c r="D351" s="56"/>
      <c r="E351" s="57"/>
      <c r="F351" s="58"/>
      <c r="G351" s="59"/>
      <c r="H351" s="56"/>
      <c r="I351" s="56"/>
      <c r="J351" s="60" t="str">
        <f aca="false">IF(IsPro,IF($D351="","",IFERROR(INDEX(Items!$D$5:$D$504,U351),"")),"")</f>
        <v/>
      </c>
      <c r="K351" s="61" t="str">
        <f aca="false">IF(IsPro,IF($D351="","",IF($F351="",IFERROR(INDEX(Items!$H$5:$H$504,U351),0),$F351)),"")</f>
        <v/>
      </c>
      <c r="L351" s="61" t="str">
        <f aca="false">IF(IsPro,IF($D351="","",ROUND(N($E351)*K351*(1-N($G351)),2)),"")</f>
        <v/>
      </c>
      <c r="M351" s="62" t="str">
        <f aca="false">IF(IsPro,IF($D351="","",IFERROR(INDEX(Items!$F$5:$F$504,U351),0)),"")</f>
        <v/>
      </c>
      <c r="N351" s="61" t="str">
        <f aca="false">IF(IsPro,IF($D351="","",IF(AND(V351&lt;&gt;"",INDEX(Parties!$E$5:$E$304,V351)&lt;&gt;"",INDEX(Parties!$E$5:$E$304,V351)&lt;&gt;HomeState),0,ROUND(L351*M351/2,2))),"")</f>
        <v/>
      </c>
      <c r="O351" s="61" t="str">
        <f aca="false">IF(IsPro,IF($D351="","",N351),"")</f>
        <v/>
      </c>
      <c r="P351" s="61" t="str">
        <f aca="false">IF(IsPro,IF($D351="","",IF(AND(V351&lt;&gt;"",INDEX(Parties!$E$5:$E$304,V351)&lt;&gt;"",INDEX(Parties!$E$5:$E$304,V351)&lt;&gt;HomeState),ROUND(L351*M351,2),0)),"")</f>
        <v/>
      </c>
      <c r="Q351" s="61" t="str">
        <f aca="false">IF(IsPro,IF($D351="","",L351+N351+O351+P351),"")</f>
        <v/>
      </c>
      <c r="R351" s="61" t="str">
        <f aca="false">IF(IsPro,IF($D351="","",ROUND(N($E351)*IFERROR(INDEX(Items!$P$5:$P$504,U351),0),2)),"")</f>
        <v/>
      </c>
      <c r="S351" s="61" t="str">
        <f aca="false">IF(IsPro,IF($D351="","",L351-R351),"")</f>
        <v/>
      </c>
      <c r="T351" s="60" t="str">
        <f aca="false">IF(IsPro,IF($D351="","",IF(U351="","UNKNOWN ITEM",IF(INDEX(Items!$O$5:$O$504,U351)&lt;0,"NEG STOCK",IF(K351&lt;INDEX(Items!$P$5:$P$504,U351),"BELOW COST","OK")))),IF($D351="","","PRO PLAN"))</f>
        <v/>
      </c>
      <c r="U351" s="60" t="str">
        <f aca="false">IF(IsPro,IF($D351="","",IFERROR(MATCH($D351,Items!$A$5:$A$504,0),"")),"")</f>
        <v/>
      </c>
      <c r="V351" s="60" t="str">
        <f aca="false">IF(IsPro,IF($C351="","",IFERROR(MATCH($C351,Parties!$A$5:$A$304,0),"")),"")</f>
        <v/>
      </c>
      <c r="W351" s="60" t="str">
        <f aca="false">IF(IsPro,IF($B351="","",IFERROR(VALUE(SUBSTITUTE($B351,InvPrefix,"")),0)),"")</f>
        <v/>
      </c>
      <c r="X351" s="61" t="str">
        <f aca="false">IF(IsPro,IF($D351="","",IF(OR($H351="",$H351="Credit"),0,Q351)),"")</f>
        <v/>
      </c>
    </row>
    <row r="352" customFormat="false" ht="15" hidden="false" customHeight="false" outlineLevel="0" collapsed="false">
      <c r="A352" s="55"/>
      <c r="B352" s="56"/>
      <c r="C352" s="56"/>
      <c r="D352" s="56"/>
      <c r="E352" s="57"/>
      <c r="F352" s="58"/>
      <c r="G352" s="59"/>
      <c r="H352" s="56"/>
      <c r="I352" s="56"/>
      <c r="J352" s="60" t="str">
        <f aca="false">IF(IsPro,IF($D352="","",IFERROR(INDEX(Items!$D$5:$D$504,U352),"")),"")</f>
        <v/>
      </c>
      <c r="K352" s="61" t="str">
        <f aca="false">IF(IsPro,IF($D352="","",IF($F352="",IFERROR(INDEX(Items!$H$5:$H$504,U352),0),$F352)),"")</f>
        <v/>
      </c>
      <c r="L352" s="61" t="str">
        <f aca="false">IF(IsPro,IF($D352="","",ROUND(N($E352)*K352*(1-N($G352)),2)),"")</f>
        <v/>
      </c>
      <c r="M352" s="62" t="str">
        <f aca="false">IF(IsPro,IF($D352="","",IFERROR(INDEX(Items!$F$5:$F$504,U352),0)),"")</f>
        <v/>
      </c>
      <c r="N352" s="61" t="str">
        <f aca="false">IF(IsPro,IF($D352="","",IF(AND(V352&lt;&gt;"",INDEX(Parties!$E$5:$E$304,V352)&lt;&gt;"",INDEX(Parties!$E$5:$E$304,V352)&lt;&gt;HomeState),0,ROUND(L352*M352/2,2))),"")</f>
        <v/>
      </c>
      <c r="O352" s="61" t="str">
        <f aca="false">IF(IsPro,IF($D352="","",N352),"")</f>
        <v/>
      </c>
      <c r="P352" s="61" t="str">
        <f aca="false">IF(IsPro,IF($D352="","",IF(AND(V352&lt;&gt;"",INDEX(Parties!$E$5:$E$304,V352)&lt;&gt;"",INDEX(Parties!$E$5:$E$304,V352)&lt;&gt;HomeState),ROUND(L352*M352,2),0)),"")</f>
        <v/>
      </c>
      <c r="Q352" s="61" t="str">
        <f aca="false">IF(IsPro,IF($D352="","",L352+N352+O352+P352),"")</f>
        <v/>
      </c>
      <c r="R352" s="61" t="str">
        <f aca="false">IF(IsPro,IF($D352="","",ROUND(N($E352)*IFERROR(INDEX(Items!$P$5:$P$504,U352),0),2)),"")</f>
        <v/>
      </c>
      <c r="S352" s="61" t="str">
        <f aca="false">IF(IsPro,IF($D352="","",L352-R352),"")</f>
        <v/>
      </c>
      <c r="T352" s="60" t="str">
        <f aca="false">IF(IsPro,IF($D352="","",IF(U352="","UNKNOWN ITEM",IF(INDEX(Items!$O$5:$O$504,U352)&lt;0,"NEG STOCK",IF(K352&lt;INDEX(Items!$P$5:$P$504,U352),"BELOW COST","OK")))),IF($D352="","","PRO PLAN"))</f>
        <v/>
      </c>
      <c r="U352" s="60" t="str">
        <f aca="false">IF(IsPro,IF($D352="","",IFERROR(MATCH($D352,Items!$A$5:$A$504,0),"")),"")</f>
        <v/>
      </c>
      <c r="V352" s="60" t="str">
        <f aca="false">IF(IsPro,IF($C352="","",IFERROR(MATCH($C352,Parties!$A$5:$A$304,0),"")),"")</f>
        <v/>
      </c>
      <c r="W352" s="60" t="str">
        <f aca="false">IF(IsPro,IF($B352="","",IFERROR(VALUE(SUBSTITUTE($B352,InvPrefix,"")),0)),"")</f>
        <v/>
      </c>
      <c r="X352" s="61" t="str">
        <f aca="false">IF(IsPro,IF($D352="","",IF(OR($H352="",$H352="Credit"),0,Q352)),"")</f>
        <v/>
      </c>
    </row>
    <row r="353" customFormat="false" ht="15" hidden="false" customHeight="false" outlineLevel="0" collapsed="false">
      <c r="A353" s="55"/>
      <c r="B353" s="56"/>
      <c r="C353" s="56"/>
      <c r="D353" s="56"/>
      <c r="E353" s="57"/>
      <c r="F353" s="58"/>
      <c r="G353" s="59"/>
      <c r="H353" s="56"/>
      <c r="I353" s="56"/>
      <c r="J353" s="60" t="str">
        <f aca="false">IF(IsPro,IF($D353="","",IFERROR(INDEX(Items!$D$5:$D$504,U353),"")),"")</f>
        <v/>
      </c>
      <c r="K353" s="61" t="str">
        <f aca="false">IF(IsPro,IF($D353="","",IF($F353="",IFERROR(INDEX(Items!$H$5:$H$504,U353),0),$F353)),"")</f>
        <v/>
      </c>
      <c r="L353" s="61" t="str">
        <f aca="false">IF(IsPro,IF($D353="","",ROUND(N($E353)*K353*(1-N($G353)),2)),"")</f>
        <v/>
      </c>
      <c r="M353" s="62" t="str">
        <f aca="false">IF(IsPro,IF($D353="","",IFERROR(INDEX(Items!$F$5:$F$504,U353),0)),"")</f>
        <v/>
      </c>
      <c r="N353" s="61" t="str">
        <f aca="false">IF(IsPro,IF($D353="","",IF(AND(V353&lt;&gt;"",INDEX(Parties!$E$5:$E$304,V353)&lt;&gt;"",INDEX(Parties!$E$5:$E$304,V353)&lt;&gt;HomeState),0,ROUND(L353*M353/2,2))),"")</f>
        <v/>
      </c>
      <c r="O353" s="61" t="str">
        <f aca="false">IF(IsPro,IF($D353="","",N353),"")</f>
        <v/>
      </c>
      <c r="P353" s="61" t="str">
        <f aca="false">IF(IsPro,IF($D353="","",IF(AND(V353&lt;&gt;"",INDEX(Parties!$E$5:$E$304,V353)&lt;&gt;"",INDEX(Parties!$E$5:$E$304,V353)&lt;&gt;HomeState),ROUND(L353*M353,2),0)),"")</f>
        <v/>
      </c>
      <c r="Q353" s="61" t="str">
        <f aca="false">IF(IsPro,IF($D353="","",L353+N353+O353+P353),"")</f>
        <v/>
      </c>
      <c r="R353" s="61" t="str">
        <f aca="false">IF(IsPro,IF($D353="","",ROUND(N($E353)*IFERROR(INDEX(Items!$P$5:$P$504,U353),0),2)),"")</f>
        <v/>
      </c>
      <c r="S353" s="61" t="str">
        <f aca="false">IF(IsPro,IF($D353="","",L353-R353),"")</f>
        <v/>
      </c>
      <c r="T353" s="60" t="str">
        <f aca="false">IF(IsPro,IF($D353="","",IF(U353="","UNKNOWN ITEM",IF(INDEX(Items!$O$5:$O$504,U353)&lt;0,"NEG STOCK",IF(K353&lt;INDEX(Items!$P$5:$P$504,U353),"BELOW COST","OK")))),IF($D353="","","PRO PLAN"))</f>
        <v/>
      </c>
      <c r="U353" s="60" t="str">
        <f aca="false">IF(IsPro,IF($D353="","",IFERROR(MATCH($D353,Items!$A$5:$A$504,0),"")),"")</f>
        <v/>
      </c>
      <c r="V353" s="60" t="str">
        <f aca="false">IF(IsPro,IF($C353="","",IFERROR(MATCH($C353,Parties!$A$5:$A$304,0),"")),"")</f>
        <v/>
      </c>
      <c r="W353" s="60" t="str">
        <f aca="false">IF(IsPro,IF($B353="","",IFERROR(VALUE(SUBSTITUTE($B353,InvPrefix,"")),0)),"")</f>
        <v/>
      </c>
      <c r="X353" s="61" t="str">
        <f aca="false">IF(IsPro,IF($D353="","",IF(OR($H353="",$H353="Credit"),0,Q353)),"")</f>
        <v/>
      </c>
    </row>
    <row r="354" customFormat="false" ht="15" hidden="false" customHeight="false" outlineLevel="0" collapsed="false">
      <c r="A354" s="55"/>
      <c r="B354" s="56"/>
      <c r="C354" s="56"/>
      <c r="D354" s="56"/>
      <c r="E354" s="57"/>
      <c r="F354" s="58"/>
      <c r="G354" s="59"/>
      <c r="H354" s="56"/>
      <c r="I354" s="56"/>
      <c r="J354" s="60" t="str">
        <f aca="false">IF(IsPro,IF($D354="","",IFERROR(INDEX(Items!$D$5:$D$504,U354),"")),"")</f>
        <v/>
      </c>
      <c r="K354" s="61" t="str">
        <f aca="false">IF(IsPro,IF($D354="","",IF($F354="",IFERROR(INDEX(Items!$H$5:$H$504,U354),0),$F354)),"")</f>
        <v/>
      </c>
      <c r="L354" s="61" t="str">
        <f aca="false">IF(IsPro,IF($D354="","",ROUND(N($E354)*K354*(1-N($G354)),2)),"")</f>
        <v/>
      </c>
      <c r="M354" s="62" t="str">
        <f aca="false">IF(IsPro,IF($D354="","",IFERROR(INDEX(Items!$F$5:$F$504,U354),0)),"")</f>
        <v/>
      </c>
      <c r="N354" s="61" t="str">
        <f aca="false">IF(IsPro,IF($D354="","",IF(AND(V354&lt;&gt;"",INDEX(Parties!$E$5:$E$304,V354)&lt;&gt;"",INDEX(Parties!$E$5:$E$304,V354)&lt;&gt;HomeState),0,ROUND(L354*M354/2,2))),"")</f>
        <v/>
      </c>
      <c r="O354" s="61" t="str">
        <f aca="false">IF(IsPro,IF($D354="","",N354),"")</f>
        <v/>
      </c>
      <c r="P354" s="61" t="str">
        <f aca="false">IF(IsPro,IF($D354="","",IF(AND(V354&lt;&gt;"",INDEX(Parties!$E$5:$E$304,V354)&lt;&gt;"",INDEX(Parties!$E$5:$E$304,V354)&lt;&gt;HomeState),ROUND(L354*M354,2),0)),"")</f>
        <v/>
      </c>
      <c r="Q354" s="61" t="str">
        <f aca="false">IF(IsPro,IF($D354="","",L354+N354+O354+P354),"")</f>
        <v/>
      </c>
      <c r="R354" s="61" t="str">
        <f aca="false">IF(IsPro,IF($D354="","",ROUND(N($E354)*IFERROR(INDEX(Items!$P$5:$P$504,U354),0),2)),"")</f>
        <v/>
      </c>
      <c r="S354" s="61" t="str">
        <f aca="false">IF(IsPro,IF($D354="","",L354-R354),"")</f>
        <v/>
      </c>
      <c r="T354" s="60" t="str">
        <f aca="false">IF(IsPro,IF($D354="","",IF(U354="","UNKNOWN ITEM",IF(INDEX(Items!$O$5:$O$504,U354)&lt;0,"NEG STOCK",IF(K354&lt;INDEX(Items!$P$5:$P$504,U354),"BELOW COST","OK")))),IF($D354="","","PRO PLAN"))</f>
        <v/>
      </c>
      <c r="U354" s="60" t="str">
        <f aca="false">IF(IsPro,IF($D354="","",IFERROR(MATCH($D354,Items!$A$5:$A$504,0),"")),"")</f>
        <v/>
      </c>
      <c r="V354" s="60" t="str">
        <f aca="false">IF(IsPro,IF($C354="","",IFERROR(MATCH($C354,Parties!$A$5:$A$304,0),"")),"")</f>
        <v/>
      </c>
      <c r="W354" s="60" t="str">
        <f aca="false">IF(IsPro,IF($B354="","",IFERROR(VALUE(SUBSTITUTE($B354,InvPrefix,"")),0)),"")</f>
        <v/>
      </c>
      <c r="X354" s="61" t="str">
        <f aca="false">IF(IsPro,IF($D354="","",IF(OR($H354="",$H354="Credit"),0,Q354)),"")</f>
        <v/>
      </c>
    </row>
    <row r="355" customFormat="false" ht="15" hidden="false" customHeight="false" outlineLevel="0" collapsed="false">
      <c r="A355" s="55"/>
      <c r="B355" s="56"/>
      <c r="C355" s="56"/>
      <c r="D355" s="56"/>
      <c r="E355" s="57"/>
      <c r="F355" s="58"/>
      <c r="G355" s="59"/>
      <c r="H355" s="56"/>
      <c r="I355" s="56"/>
      <c r="J355" s="60" t="str">
        <f aca="false">IF(IsPro,IF($D355="","",IFERROR(INDEX(Items!$D$5:$D$504,U355),"")),"")</f>
        <v/>
      </c>
      <c r="K355" s="61" t="str">
        <f aca="false">IF(IsPro,IF($D355="","",IF($F355="",IFERROR(INDEX(Items!$H$5:$H$504,U355),0),$F355)),"")</f>
        <v/>
      </c>
      <c r="L355" s="61" t="str">
        <f aca="false">IF(IsPro,IF($D355="","",ROUND(N($E355)*K355*(1-N($G355)),2)),"")</f>
        <v/>
      </c>
      <c r="M355" s="62" t="str">
        <f aca="false">IF(IsPro,IF($D355="","",IFERROR(INDEX(Items!$F$5:$F$504,U355),0)),"")</f>
        <v/>
      </c>
      <c r="N355" s="61" t="str">
        <f aca="false">IF(IsPro,IF($D355="","",IF(AND(V355&lt;&gt;"",INDEX(Parties!$E$5:$E$304,V355)&lt;&gt;"",INDEX(Parties!$E$5:$E$304,V355)&lt;&gt;HomeState),0,ROUND(L355*M355/2,2))),"")</f>
        <v/>
      </c>
      <c r="O355" s="61" t="str">
        <f aca="false">IF(IsPro,IF($D355="","",N355),"")</f>
        <v/>
      </c>
      <c r="P355" s="61" t="str">
        <f aca="false">IF(IsPro,IF($D355="","",IF(AND(V355&lt;&gt;"",INDEX(Parties!$E$5:$E$304,V355)&lt;&gt;"",INDEX(Parties!$E$5:$E$304,V355)&lt;&gt;HomeState),ROUND(L355*M355,2),0)),"")</f>
        <v/>
      </c>
      <c r="Q355" s="61" t="str">
        <f aca="false">IF(IsPro,IF($D355="","",L355+N355+O355+P355),"")</f>
        <v/>
      </c>
      <c r="R355" s="61" t="str">
        <f aca="false">IF(IsPro,IF($D355="","",ROUND(N($E355)*IFERROR(INDEX(Items!$P$5:$P$504,U355),0),2)),"")</f>
        <v/>
      </c>
      <c r="S355" s="61" t="str">
        <f aca="false">IF(IsPro,IF($D355="","",L355-R355),"")</f>
        <v/>
      </c>
      <c r="T355" s="60" t="str">
        <f aca="false">IF(IsPro,IF($D355="","",IF(U355="","UNKNOWN ITEM",IF(INDEX(Items!$O$5:$O$504,U355)&lt;0,"NEG STOCK",IF(K355&lt;INDEX(Items!$P$5:$P$504,U355),"BELOW COST","OK")))),IF($D355="","","PRO PLAN"))</f>
        <v/>
      </c>
      <c r="U355" s="60" t="str">
        <f aca="false">IF(IsPro,IF($D355="","",IFERROR(MATCH($D355,Items!$A$5:$A$504,0),"")),"")</f>
        <v/>
      </c>
      <c r="V355" s="60" t="str">
        <f aca="false">IF(IsPro,IF($C355="","",IFERROR(MATCH($C355,Parties!$A$5:$A$304,0),"")),"")</f>
        <v/>
      </c>
      <c r="W355" s="60" t="str">
        <f aca="false">IF(IsPro,IF($B355="","",IFERROR(VALUE(SUBSTITUTE($B355,InvPrefix,"")),0)),"")</f>
        <v/>
      </c>
      <c r="X355" s="61" t="str">
        <f aca="false">IF(IsPro,IF($D355="","",IF(OR($H355="",$H355="Credit"),0,Q355)),"")</f>
        <v/>
      </c>
    </row>
    <row r="356" customFormat="false" ht="15" hidden="false" customHeight="false" outlineLevel="0" collapsed="false">
      <c r="A356" s="55"/>
      <c r="B356" s="56"/>
      <c r="C356" s="56"/>
      <c r="D356" s="56"/>
      <c r="E356" s="57"/>
      <c r="F356" s="58"/>
      <c r="G356" s="59"/>
      <c r="H356" s="56"/>
      <c r="I356" s="56"/>
      <c r="J356" s="60" t="str">
        <f aca="false">IF(IsPro,IF($D356="","",IFERROR(INDEX(Items!$D$5:$D$504,U356),"")),"")</f>
        <v/>
      </c>
      <c r="K356" s="61" t="str">
        <f aca="false">IF(IsPro,IF($D356="","",IF($F356="",IFERROR(INDEX(Items!$H$5:$H$504,U356),0),$F356)),"")</f>
        <v/>
      </c>
      <c r="L356" s="61" t="str">
        <f aca="false">IF(IsPro,IF($D356="","",ROUND(N($E356)*K356*(1-N($G356)),2)),"")</f>
        <v/>
      </c>
      <c r="M356" s="62" t="str">
        <f aca="false">IF(IsPro,IF($D356="","",IFERROR(INDEX(Items!$F$5:$F$504,U356),0)),"")</f>
        <v/>
      </c>
      <c r="N356" s="61" t="str">
        <f aca="false">IF(IsPro,IF($D356="","",IF(AND(V356&lt;&gt;"",INDEX(Parties!$E$5:$E$304,V356)&lt;&gt;"",INDEX(Parties!$E$5:$E$304,V356)&lt;&gt;HomeState),0,ROUND(L356*M356/2,2))),"")</f>
        <v/>
      </c>
      <c r="O356" s="61" t="str">
        <f aca="false">IF(IsPro,IF($D356="","",N356),"")</f>
        <v/>
      </c>
      <c r="P356" s="61" t="str">
        <f aca="false">IF(IsPro,IF($D356="","",IF(AND(V356&lt;&gt;"",INDEX(Parties!$E$5:$E$304,V356)&lt;&gt;"",INDEX(Parties!$E$5:$E$304,V356)&lt;&gt;HomeState),ROUND(L356*M356,2),0)),"")</f>
        <v/>
      </c>
      <c r="Q356" s="61" t="str">
        <f aca="false">IF(IsPro,IF($D356="","",L356+N356+O356+P356),"")</f>
        <v/>
      </c>
      <c r="R356" s="61" t="str">
        <f aca="false">IF(IsPro,IF($D356="","",ROUND(N($E356)*IFERROR(INDEX(Items!$P$5:$P$504,U356),0),2)),"")</f>
        <v/>
      </c>
      <c r="S356" s="61" t="str">
        <f aca="false">IF(IsPro,IF($D356="","",L356-R356),"")</f>
        <v/>
      </c>
      <c r="T356" s="60" t="str">
        <f aca="false">IF(IsPro,IF($D356="","",IF(U356="","UNKNOWN ITEM",IF(INDEX(Items!$O$5:$O$504,U356)&lt;0,"NEG STOCK",IF(K356&lt;INDEX(Items!$P$5:$P$504,U356),"BELOW COST","OK")))),IF($D356="","","PRO PLAN"))</f>
        <v/>
      </c>
      <c r="U356" s="60" t="str">
        <f aca="false">IF(IsPro,IF($D356="","",IFERROR(MATCH($D356,Items!$A$5:$A$504,0),"")),"")</f>
        <v/>
      </c>
      <c r="V356" s="60" t="str">
        <f aca="false">IF(IsPro,IF($C356="","",IFERROR(MATCH($C356,Parties!$A$5:$A$304,0),"")),"")</f>
        <v/>
      </c>
      <c r="W356" s="60" t="str">
        <f aca="false">IF(IsPro,IF($B356="","",IFERROR(VALUE(SUBSTITUTE($B356,InvPrefix,"")),0)),"")</f>
        <v/>
      </c>
      <c r="X356" s="61" t="str">
        <f aca="false">IF(IsPro,IF($D356="","",IF(OR($H356="",$H356="Credit"),0,Q356)),"")</f>
        <v/>
      </c>
    </row>
    <row r="357" customFormat="false" ht="15" hidden="false" customHeight="false" outlineLevel="0" collapsed="false">
      <c r="A357" s="55"/>
      <c r="B357" s="56"/>
      <c r="C357" s="56"/>
      <c r="D357" s="56"/>
      <c r="E357" s="57"/>
      <c r="F357" s="58"/>
      <c r="G357" s="59"/>
      <c r="H357" s="56"/>
      <c r="I357" s="56"/>
      <c r="J357" s="60" t="str">
        <f aca="false">IF(IsPro,IF($D357="","",IFERROR(INDEX(Items!$D$5:$D$504,U357),"")),"")</f>
        <v/>
      </c>
      <c r="K357" s="61" t="str">
        <f aca="false">IF(IsPro,IF($D357="","",IF($F357="",IFERROR(INDEX(Items!$H$5:$H$504,U357),0),$F357)),"")</f>
        <v/>
      </c>
      <c r="L357" s="61" t="str">
        <f aca="false">IF(IsPro,IF($D357="","",ROUND(N($E357)*K357*(1-N($G357)),2)),"")</f>
        <v/>
      </c>
      <c r="M357" s="62" t="str">
        <f aca="false">IF(IsPro,IF($D357="","",IFERROR(INDEX(Items!$F$5:$F$504,U357),0)),"")</f>
        <v/>
      </c>
      <c r="N357" s="61" t="str">
        <f aca="false">IF(IsPro,IF($D357="","",IF(AND(V357&lt;&gt;"",INDEX(Parties!$E$5:$E$304,V357)&lt;&gt;"",INDEX(Parties!$E$5:$E$304,V357)&lt;&gt;HomeState),0,ROUND(L357*M357/2,2))),"")</f>
        <v/>
      </c>
      <c r="O357" s="61" t="str">
        <f aca="false">IF(IsPro,IF($D357="","",N357),"")</f>
        <v/>
      </c>
      <c r="P357" s="61" t="str">
        <f aca="false">IF(IsPro,IF($D357="","",IF(AND(V357&lt;&gt;"",INDEX(Parties!$E$5:$E$304,V357)&lt;&gt;"",INDEX(Parties!$E$5:$E$304,V357)&lt;&gt;HomeState),ROUND(L357*M357,2),0)),"")</f>
        <v/>
      </c>
      <c r="Q357" s="61" t="str">
        <f aca="false">IF(IsPro,IF($D357="","",L357+N357+O357+P357),"")</f>
        <v/>
      </c>
      <c r="R357" s="61" t="str">
        <f aca="false">IF(IsPro,IF($D357="","",ROUND(N($E357)*IFERROR(INDEX(Items!$P$5:$P$504,U357),0),2)),"")</f>
        <v/>
      </c>
      <c r="S357" s="61" t="str">
        <f aca="false">IF(IsPro,IF($D357="","",L357-R357),"")</f>
        <v/>
      </c>
      <c r="T357" s="60" t="str">
        <f aca="false">IF(IsPro,IF($D357="","",IF(U357="","UNKNOWN ITEM",IF(INDEX(Items!$O$5:$O$504,U357)&lt;0,"NEG STOCK",IF(K357&lt;INDEX(Items!$P$5:$P$504,U357),"BELOW COST","OK")))),IF($D357="","","PRO PLAN"))</f>
        <v/>
      </c>
      <c r="U357" s="60" t="str">
        <f aca="false">IF(IsPro,IF($D357="","",IFERROR(MATCH($D357,Items!$A$5:$A$504,0),"")),"")</f>
        <v/>
      </c>
      <c r="V357" s="60" t="str">
        <f aca="false">IF(IsPro,IF($C357="","",IFERROR(MATCH($C357,Parties!$A$5:$A$304,0),"")),"")</f>
        <v/>
      </c>
      <c r="W357" s="60" t="str">
        <f aca="false">IF(IsPro,IF($B357="","",IFERROR(VALUE(SUBSTITUTE($B357,InvPrefix,"")),0)),"")</f>
        <v/>
      </c>
      <c r="X357" s="61" t="str">
        <f aca="false">IF(IsPro,IF($D357="","",IF(OR($H357="",$H357="Credit"),0,Q357)),"")</f>
        <v/>
      </c>
    </row>
    <row r="358" customFormat="false" ht="15" hidden="false" customHeight="false" outlineLevel="0" collapsed="false">
      <c r="A358" s="55"/>
      <c r="B358" s="56"/>
      <c r="C358" s="56"/>
      <c r="D358" s="56"/>
      <c r="E358" s="57"/>
      <c r="F358" s="58"/>
      <c r="G358" s="59"/>
      <c r="H358" s="56"/>
      <c r="I358" s="56"/>
      <c r="J358" s="60" t="str">
        <f aca="false">IF(IsPro,IF($D358="","",IFERROR(INDEX(Items!$D$5:$D$504,U358),"")),"")</f>
        <v/>
      </c>
      <c r="K358" s="61" t="str">
        <f aca="false">IF(IsPro,IF($D358="","",IF($F358="",IFERROR(INDEX(Items!$H$5:$H$504,U358),0),$F358)),"")</f>
        <v/>
      </c>
      <c r="L358" s="61" t="str">
        <f aca="false">IF(IsPro,IF($D358="","",ROUND(N($E358)*K358*(1-N($G358)),2)),"")</f>
        <v/>
      </c>
      <c r="M358" s="62" t="str">
        <f aca="false">IF(IsPro,IF($D358="","",IFERROR(INDEX(Items!$F$5:$F$504,U358),0)),"")</f>
        <v/>
      </c>
      <c r="N358" s="61" t="str">
        <f aca="false">IF(IsPro,IF($D358="","",IF(AND(V358&lt;&gt;"",INDEX(Parties!$E$5:$E$304,V358)&lt;&gt;"",INDEX(Parties!$E$5:$E$304,V358)&lt;&gt;HomeState),0,ROUND(L358*M358/2,2))),"")</f>
        <v/>
      </c>
      <c r="O358" s="61" t="str">
        <f aca="false">IF(IsPro,IF($D358="","",N358),"")</f>
        <v/>
      </c>
      <c r="P358" s="61" t="str">
        <f aca="false">IF(IsPro,IF($D358="","",IF(AND(V358&lt;&gt;"",INDEX(Parties!$E$5:$E$304,V358)&lt;&gt;"",INDEX(Parties!$E$5:$E$304,V358)&lt;&gt;HomeState),ROUND(L358*M358,2),0)),"")</f>
        <v/>
      </c>
      <c r="Q358" s="61" t="str">
        <f aca="false">IF(IsPro,IF($D358="","",L358+N358+O358+P358),"")</f>
        <v/>
      </c>
      <c r="R358" s="61" t="str">
        <f aca="false">IF(IsPro,IF($D358="","",ROUND(N($E358)*IFERROR(INDEX(Items!$P$5:$P$504,U358),0),2)),"")</f>
        <v/>
      </c>
      <c r="S358" s="61" t="str">
        <f aca="false">IF(IsPro,IF($D358="","",L358-R358),"")</f>
        <v/>
      </c>
      <c r="T358" s="60" t="str">
        <f aca="false">IF(IsPro,IF($D358="","",IF(U358="","UNKNOWN ITEM",IF(INDEX(Items!$O$5:$O$504,U358)&lt;0,"NEG STOCK",IF(K358&lt;INDEX(Items!$P$5:$P$504,U358),"BELOW COST","OK")))),IF($D358="","","PRO PLAN"))</f>
        <v/>
      </c>
      <c r="U358" s="60" t="str">
        <f aca="false">IF(IsPro,IF($D358="","",IFERROR(MATCH($D358,Items!$A$5:$A$504,0),"")),"")</f>
        <v/>
      </c>
      <c r="V358" s="60" t="str">
        <f aca="false">IF(IsPro,IF($C358="","",IFERROR(MATCH($C358,Parties!$A$5:$A$304,0),"")),"")</f>
        <v/>
      </c>
      <c r="W358" s="60" t="str">
        <f aca="false">IF(IsPro,IF($B358="","",IFERROR(VALUE(SUBSTITUTE($B358,InvPrefix,"")),0)),"")</f>
        <v/>
      </c>
      <c r="X358" s="61" t="str">
        <f aca="false">IF(IsPro,IF($D358="","",IF(OR($H358="",$H358="Credit"),0,Q358)),"")</f>
        <v/>
      </c>
    </row>
    <row r="359" customFormat="false" ht="15" hidden="false" customHeight="false" outlineLevel="0" collapsed="false">
      <c r="A359" s="55"/>
      <c r="B359" s="56"/>
      <c r="C359" s="56"/>
      <c r="D359" s="56"/>
      <c r="E359" s="57"/>
      <c r="F359" s="58"/>
      <c r="G359" s="59"/>
      <c r="H359" s="56"/>
      <c r="I359" s="56"/>
      <c r="J359" s="60" t="str">
        <f aca="false">IF(IsPro,IF($D359="","",IFERROR(INDEX(Items!$D$5:$D$504,U359),"")),"")</f>
        <v/>
      </c>
      <c r="K359" s="61" t="str">
        <f aca="false">IF(IsPro,IF($D359="","",IF($F359="",IFERROR(INDEX(Items!$H$5:$H$504,U359),0),$F359)),"")</f>
        <v/>
      </c>
      <c r="L359" s="61" t="str">
        <f aca="false">IF(IsPro,IF($D359="","",ROUND(N($E359)*K359*(1-N($G359)),2)),"")</f>
        <v/>
      </c>
      <c r="M359" s="62" t="str">
        <f aca="false">IF(IsPro,IF($D359="","",IFERROR(INDEX(Items!$F$5:$F$504,U359),0)),"")</f>
        <v/>
      </c>
      <c r="N359" s="61" t="str">
        <f aca="false">IF(IsPro,IF($D359="","",IF(AND(V359&lt;&gt;"",INDEX(Parties!$E$5:$E$304,V359)&lt;&gt;"",INDEX(Parties!$E$5:$E$304,V359)&lt;&gt;HomeState),0,ROUND(L359*M359/2,2))),"")</f>
        <v/>
      </c>
      <c r="O359" s="61" t="str">
        <f aca="false">IF(IsPro,IF($D359="","",N359),"")</f>
        <v/>
      </c>
      <c r="P359" s="61" t="str">
        <f aca="false">IF(IsPro,IF($D359="","",IF(AND(V359&lt;&gt;"",INDEX(Parties!$E$5:$E$304,V359)&lt;&gt;"",INDEX(Parties!$E$5:$E$304,V359)&lt;&gt;HomeState),ROUND(L359*M359,2),0)),"")</f>
        <v/>
      </c>
      <c r="Q359" s="61" t="str">
        <f aca="false">IF(IsPro,IF($D359="","",L359+N359+O359+P359),"")</f>
        <v/>
      </c>
      <c r="R359" s="61" t="str">
        <f aca="false">IF(IsPro,IF($D359="","",ROUND(N($E359)*IFERROR(INDEX(Items!$P$5:$P$504,U359),0),2)),"")</f>
        <v/>
      </c>
      <c r="S359" s="61" t="str">
        <f aca="false">IF(IsPro,IF($D359="","",L359-R359),"")</f>
        <v/>
      </c>
      <c r="T359" s="60" t="str">
        <f aca="false">IF(IsPro,IF($D359="","",IF(U359="","UNKNOWN ITEM",IF(INDEX(Items!$O$5:$O$504,U359)&lt;0,"NEG STOCK",IF(K359&lt;INDEX(Items!$P$5:$P$504,U359),"BELOW COST","OK")))),IF($D359="","","PRO PLAN"))</f>
        <v/>
      </c>
      <c r="U359" s="60" t="str">
        <f aca="false">IF(IsPro,IF($D359="","",IFERROR(MATCH($D359,Items!$A$5:$A$504,0),"")),"")</f>
        <v/>
      </c>
      <c r="V359" s="60" t="str">
        <f aca="false">IF(IsPro,IF($C359="","",IFERROR(MATCH($C359,Parties!$A$5:$A$304,0),"")),"")</f>
        <v/>
      </c>
      <c r="W359" s="60" t="str">
        <f aca="false">IF(IsPro,IF($B359="","",IFERROR(VALUE(SUBSTITUTE($B359,InvPrefix,"")),0)),"")</f>
        <v/>
      </c>
      <c r="X359" s="61" t="str">
        <f aca="false">IF(IsPro,IF($D359="","",IF(OR($H359="",$H359="Credit"),0,Q359)),"")</f>
        <v/>
      </c>
    </row>
    <row r="360" customFormat="false" ht="15" hidden="false" customHeight="false" outlineLevel="0" collapsed="false">
      <c r="A360" s="55"/>
      <c r="B360" s="56"/>
      <c r="C360" s="56"/>
      <c r="D360" s="56"/>
      <c r="E360" s="57"/>
      <c r="F360" s="58"/>
      <c r="G360" s="59"/>
      <c r="H360" s="56"/>
      <c r="I360" s="56"/>
      <c r="J360" s="60" t="str">
        <f aca="false">IF(IsPro,IF($D360="","",IFERROR(INDEX(Items!$D$5:$D$504,U360),"")),"")</f>
        <v/>
      </c>
      <c r="K360" s="61" t="str">
        <f aca="false">IF(IsPro,IF($D360="","",IF($F360="",IFERROR(INDEX(Items!$H$5:$H$504,U360),0),$F360)),"")</f>
        <v/>
      </c>
      <c r="L360" s="61" t="str">
        <f aca="false">IF(IsPro,IF($D360="","",ROUND(N($E360)*K360*(1-N($G360)),2)),"")</f>
        <v/>
      </c>
      <c r="M360" s="62" t="str">
        <f aca="false">IF(IsPro,IF($D360="","",IFERROR(INDEX(Items!$F$5:$F$504,U360),0)),"")</f>
        <v/>
      </c>
      <c r="N360" s="61" t="str">
        <f aca="false">IF(IsPro,IF($D360="","",IF(AND(V360&lt;&gt;"",INDEX(Parties!$E$5:$E$304,V360)&lt;&gt;"",INDEX(Parties!$E$5:$E$304,V360)&lt;&gt;HomeState),0,ROUND(L360*M360/2,2))),"")</f>
        <v/>
      </c>
      <c r="O360" s="61" t="str">
        <f aca="false">IF(IsPro,IF($D360="","",N360),"")</f>
        <v/>
      </c>
      <c r="P360" s="61" t="str">
        <f aca="false">IF(IsPro,IF($D360="","",IF(AND(V360&lt;&gt;"",INDEX(Parties!$E$5:$E$304,V360)&lt;&gt;"",INDEX(Parties!$E$5:$E$304,V360)&lt;&gt;HomeState),ROUND(L360*M360,2),0)),"")</f>
        <v/>
      </c>
      <c r="Q360" s="61" t="str">
        <f aca="false">IF(IsPro,IF($D360="","",L360+N360+O360+P360),"")</f>
        <v/>
      </c>
      <c r="R360" s="61" t="str">
        <f aca="false">IF(IsPro,IF($D360="","",ROUND(N($E360)*IFERROR(INDEX(Items!$P$5:$P$504,U360),0),2)),"")</f>
        <v/>
      </c>
      <c r="S360" s="61" t="str">
        <f aca="false">IF(IsPro,IF($D360="","",L360-R360),"")</f>
        <v/>
      </c>
      <c r="T360" s="60" t="str">
        <f aca="false">IF(IsPro,IF($D360="","",IF(U360="","UNKNOWN ITEM",IF(INDEX(Items!$O$5:$O$504,U360)&lt;0,"NEG STOCK",IF(K360&lt;INDEX(Items!$P$5:$P$504,U360),"BELOW COST","OK")))),IF($D360="","","PRO PLAN"))</f>
        <v/>
      </c>
      <c r="U360" s="60" t="str">
        <f aca="false">IF(IsPro,IF($D360="","",IFERROR(MATCH($D360,Items!$A$5:$A$504,0),"")),"")</f>
        <v/>
      </c>
      <c r="V360" s="60" t="str">
        <f aca="false">IF(IsPro,IF($C360="","",IFERROR(MATCH($C360,Parties!$A$5:$A$304,0),"")),"")</f>
        <v/>
      </c>
      <c r="W360" s="60" t="str">
        <f aca="false">IF(IsPro,IF($B360="","",IFERROR(VALUE(SUBSTITUTE($B360,InvPrefix,"")),0)),"")</f>
        <v/>
      </c>
      <c r="X360" s="61" t="str">
        <f aca="false">IF(IsPro,IF($D360="","",IF(OR($H360="",$H360="Credit"),0,Q360)),"")</f>
        <v/>
      </c>
    </row>
    <row r="361" customFormat="false" ht="15" hidden="false" customHeight="false" outlineLevel="0" collapsed="false">
      <c r="A361" s="55"/>
      <c r="B361" s="56"/>
      <c r="C361" s="56"/>
      <c r="D361" s="56"/>
      <c r="E361" s="57"/>
      <c r="F361" s="58"/>
      <c r="G361" s="59"/>
      <c r="H361" s="56"/>
      <c r="I361" s="56"/>
      <c r="J361" s="60" t="str">
        <f aca="false">IF(IsPro,IF($D361="","",IFERROR(INDEX(Items!$D$5:$D$504,U361),"")),"")</f>
        <v/>
      </c>
      <c r="K361" s="61" t="str">
        <f aca="false">IF(IsPro,IF($D361="","",IF($F361="",IFERROR(INDEX(Items!$H$5:$H$504,U361),0),$F361)),"")</f>
        <v/>
      </c>
      <c r="L361" s="61" t="str">
        <f aca="false">IF(IsPro,IF($D361="","",ROUND(N($E361)*K361*(1-N($G361)),2)),"")</f>
        <v/>
      </c>
      <c r="M361" s="62" t="str">
        <f aca="false">IF(IsPro,IF($D361="","",IFERROR(INDEX(Items!$F$5:$F$504,U361),0)),"")</f>
        <v/>
      </c>
      <c r="N361" s="61" t="str">
        <f aca="false">IF(IsPro,IF($D361="","",IF(AND(V361&lt;&gt;"",INDEX(Parties!$E$5:$E$304,V361)&lt;&gt;"",INDEX(Parties!$E$5:$E$304,V361)&lt;&gt;HomeState),0,ROUND(L361*M361/2,2))),"")</f>
        <v/>
      </c>
      <c r="O361" s="61" t="str">
        <f aca="false">IF(IsPro,IF($D361="","",N361),"")</f>
        <v/>
      </c>
      <c r="P361" s="61" t="str">
        <f aca="false">IF(IsPro,IF($D361="","",IF(AND(V361&lt;&gt;"",INDEX(Parties!$E$5:$E$304,V361)&lt;&gt;"",INDEX(Parties!$E$5:$E$304,V361)&lt;&gt;HomeState),ROUND(L361*M361,2),0)),"")</f>
        <v/>
      </c>
      <c r="Q361" s="61" t="str">
        <f aca="false">IF(IsPro,IF($D361="","",L361+N361+O361+P361),"")</f>
        <v/>
      </c>
      <c r="R361" s="61" t="str">
        <f aca="false">IF(IsPro,IF($D361="","",ROUND(N($E361)*IFERROR(INDEX(Items!$P$5:$P$504,U361),0),2)),"")</f>
        <v/>
      </c>
      <c r="S361" s="61" t="str">
        <f aca="false">IF(IsPro,IF($D361="","",L361-R361),"")</f>
        <v/>
      </c>
      <c r="T361" s="60" t="str">
        <f aca="false">IF(IsPro,IF($D361="","",IF(U361="","UNKNOWN ITEM",IF(INDEX(Items!$O$5:$O$504,U361)&lt;0,"NEG STOCK",IF(K361&lt;INDEX(Items!$P$5:$P$504,U361),"BELOW COST","OK")))),IF($D361="","","PRO PLAN"))</f>
        <v/>
      </c>
      <c r="U361" s="60" t="str">
        <f aca="false">IF(IsPro,IF($D361="","",IFERROR(MATCH($D361,Items!$A$5:$A$504,0),"")),"")</f>
        <v/>
      </c>
      <c r="V361" s="60" t="str">
        <f aca="false">IF(IsPro,IF($C361="","",IFERROR(MATCH($C361,Parties!$A$5:$A$304,0),"")),"")</f>
        <v/>
      </c>
      <c r="W361" s="60" t="str">
        <f aca="false">IF(IsPro,IF($B361="","",IFERROR(VALUE(SUBSTITUTE($B361,InvPrefix,"")),0)),"")</f>
        <v/>
      </c>
      <c r="X361" s="61" t="str">
        <f aca="false">IF(IsPro,IF($D361="","",IF(OR($H361="",$H361="Credit"),0,Q361)),"")</f>
        <v/>
      </c>
    </row>
    <row r="362" customFormat="false" ht="15" hidden="false" customHeight="false" outlineLevel="0" collapsed="false">
      <c r="A362" s="55"/>
      <c r="B362" s="56"/>
      <c r="C362" s="56"/>
      <c r="D362" s="56"/>
      <c r="E362" s="57"/>
      <c r="F362" s="58"/>
      <c r="G362" s="59"/>
      <c r="H362" s="56"/>
      <c r="I362" s="56"/>
      <c r="J362" s="60" t="str">
        <f aca="false">IF(IsPro,IF($D362="","",IFERROR(INDEX(Items!$D$5:$D$504,U362),"")),"")</f>
        <v/>
      </c>
      <c r="K362" s="61" t="str">
        <f aca="false">IF(IsPro,IF($D362="","",IF($F362="",IFERROR(INDEX(Items!$H$5:$H$504,U362),0),$F362)),"")</f>
        <v/>
      </c>
      <c r="L362" s="61" t="str">
        <f aca="false">IF(IsPro,IF($D362="","",ROUND(N($E362)*K362*(1-N($G362)),2)),"")</f>
        <v/>
      </c>
      <c r="M362" s="62" t="str">
        <f aca="false">IF(IsPro,IF($D362="","",IFERROR(INDEX(Items!$F$5:$F$504,U362),0)),"")</f>
        <v/>
      </c>
      <c r="N362" s="61" t="str">
        <f aca="false">IF(IsPro,IF($D362="","",IF(AND(V362&lt;&gt;"",INDEX(Parties!$E$5:$E$304,V362)&lt;&gt;"",INDEX(Parties!$E$5:$E$304,V362)&lt;&gt;HomeState),0,ROUND(L362*M362/2,2))),"")</f>
        <v/>
      </c>
      <c r="O362" s="61" t="str">
        <f aca="false">IF(IsPro,IF($D362="","",N362),"")</f>
        <v/>
      </c>
      <c r="P362" s="61" t="str">
        <f aca="false">IF(IsPro,IF($D362="","",IF(AND(V362&lt;&gt;"",INDEX(Parties!$E$5:$E$304,V362)&lt;&gt;"",INDEX(Parties!$E$5:$E$304,V362)&lt;&gt;HomeState),ROUND(L362*M362,2),0)),"")</f>
        <v/>
      </c>
      <c r="Q362" s="61" t="str">
        <f aca="false">IF(IsPro,IF($D362="","",L362+N362+O362+P362),"")</f>
        <v/>
      </c>
      <c r="R362" s="61" t="str">
        <f aca="false">IF(IsPro,IF($D362="","",ROUND(N($E362)*IFERROR(INDEX(Items!$P$5:$P$504,U362),0),2)),"")</f>
        <v/>
      </c>
      <c r="S362" s="61" t="str">
        <f aca="false">IF(IsPro,IF($D362="","",L362-R362),"")</f>
        <v/>
      </c>
      <c r="T362" s="60" t="str">
        <f aca="false">IF(IsPro,IF($D362="","",IF(U362="","UNKNOWN ITEM",IF(INDEX(Items!$O$5:$O$504,U362)&lt;0,"NEG STOCK",IF(K362&lt;INDEX(Items!$P$5:$P$504,U362),"BELOW COST","OK")))),IF($D362="","","PRO PLAN"))</f>
        <v/>
      </c>
      <c r="U362" s="60" t="str">
        <f aca="false">IF(IsPro,IF($D362="","",IFERROR(MATCH($D362,Items!$A$5:$A$504,0),"")),"")</f>
        <v/>
      </c>
      <c r="V362" s="60" t="str">
        <f aca="false">IF(IsPro,IF($C362="","",IFERROR(MATCH($C362,Parties!$A$5:$A$304,0),"")),"")</f>
        <v/>
      </c>
      <c r="W362" s="60" t="str">
        <f aca="false">IF(IsPro,IF($B362="","",IFERROR(VALUE(SUBSTITUTE($B362,InvPrefix,"")),0)),"")</f>
        <v/>
      </c>
      <c r="X362" s="61" t="str">
        <f aca="false">IF(IsPro,IF($D362="","",IF(OR($H362="",$H362="Credit"),0,Q362)),"")</f>
        <v/>
      </c>
    </row>
    <row r="363" customFormat="false" ht="15" hidden="false" customHeight="false" outlineLevel="0" collapsed="false">
      <c r="A363" s="55"/>
      <c r="B363" s="56"/>
      <c r="C363" s="56"/>
      <c r="D363" s="56"/>
      <c r="E363" s="57"/>
      <c r="F363" s="58"/>
      <c r="G363" s="59"/>
      <c r="H363" s="56"/>
      <c r="I363" s="56"/>
      <c r="J363" s="60" t="str">
        <f aca="false">IF(IsPro,IF($D363="","",IFERROR(INDEX(Items!$D$5:$D$504,U363),"")),"")</f>
        <v/>
      </c>
      <c r="K363" s="61" t="str">
        <f aca="false">IF(IsPro,IF($D363="","",IF($F363="",IFERROR(INDEX(Items!$H$5:$H$504,U363),0),$F363)),"")</f>
        <v/>
      </c>
      <c r="L363" s="61" t="str">
        <f aca="false">IF(IsPro,IF($D363="","",ROUND(N($E363)*K363*(1-N($G363)),2)),"")</f>
        <v/>
      </c>
      <c r="M363" s="62" t="str">
        <f aca="false">IF(IsPro,IF($D363="","",IFERROR(INDEX(Items!$F$5:$F$504,U363),0)),"")</f>
        <v/>
      </c>
      <c r="N363" s="61" t="str">
        <f aca="false">IF(IsPro,IF($D363="","",IF(AND(V363&lt;&gt;"",INDEX(Parties!$E$5:$E$304,V363)&lt;&gt;"",INDEX(Parties!$E$5:$E$304,V363)&lt;&gt;HomeState),0,ROUND(L363*M363/2,2))),"")</f>
        <v/>
      </c>
      <c r="O363" s="61" t="str">
        <f aca="false">IF(IsPro,IF($D363="","",N363),"")</f>
        <v/>
      </c>
      <c r="P363" s="61" t="str">
        <f aca="false">IF(IsPro,IF($D363="","",IF(AND(V363&lt;&gt;"",INDEX(Parties!$E$5:$E$304,V363)&lt;&gt;"",INDEX(Parties!$E$5:$E$304,V363)&lt;&gt;HomeState),ROUND(L363*M363,2),0)),"")</f>
        <v/>
      </c>
      <c r="Q363" s="61" t="str">
        <f aca="false">IF(IsPro,IF($D363="","",L363+N363+O363+P363),"")</f>
        <v/>
      </c>
      <c r="R363" s="61" t="str">
        <f aca="false">IF(IsPro,IF($D363="","",ROUND(N($E363)*IFERROR(INDEX(Items!$P$5:$P$504,U363),0),2)),"")</f>
        <v/>
      </c>
      <c r="S363" s="61" t="str">
        <f aca="false">IF(IsPro,IF($D363="","",L363-R363),"")</f>
        <v/>
      </c>
      <c r="T363" s="60" t="str">
        <f aca="false">IF(IsPro,IF($D363="","",IF(U363="","UNKNOWN ITEM",IF(INDEX(Items!$O$5:$O$504,U363)&lt;0,"NEG STOCK",IF(K363&lt;INDEX(Items!$P$5:$P$504,U363),"BELOW COST","OK")))),IF($D363="","","PRO PLAN"))</f>
        <v/>
      </c>
      <c r="U363" s="60" t="str">
        <f aca="false">IF(IsPro,IF($D363="","",IFERROR(MATCH($D363,Items!$A$5:$A$504,0),"")),"")</f>
        <v/>
      </c>
      <c r="V363" s="60" t="str">
        <f aca="false">IF(IsPro,IF($C363="","",IFERROR(MATCH($C363,Parties!$A$5:$A$304,0),"")),"")</f>
        <v/>
      </c>
      <c r="W363" s="60" t="str">
        <f aca="false">IF(IsPro,IF($B363="","",IFERROR(VALUE(SUBSTITUTE($B363,InvPrefix,"")),0)),"")</f>
        <v/>
      </c>
      <c r="X363" s="61" t="str">
        <f aca="false">IF(IsPro,IF($D363="","",IF(OR($H363="",$H363="Credit"),0,Q363)),"")</f>
        <v/>
      </c>
    </row>
    <row r="364" customFormat="false" ht="15" hidden="false" customHeight="false" outlineLevel="0" collapsed="false">
      <c r="A364" s="55"/>
      <c r="B364" s="56"/>
      <c r="C364" s="56"/>
      <c r="D364" s="56"/>
      <c r="E364" s="57"/>
      <c r="F364" s="58"/>
      <c r="G364" s="59"/>
      <c r="H364" s="56"/>
      <c r="I364" s="56"/>
      <c r="J364" s="60" t="str">
        <f aca="false">IF(IsPro,IF($D364="","",IFERROR(INDEX(Items!$D$5:$D$504,U364),"")),"")</f>
        <v/>
      </c>
      <c r="K364" s="61" t="str">
        <f aca="false">IF(IsPro,IF($D364="","",IF($F364="",IFERROR(INDEX(Items!$H$5:$H$504,U364),0),$F364)),"")</f>
        <v/>
      </c>
      <c r="L364" s="61" t="str">
        <f aca="false">IF(IsPro,IF($D364="","",ROUND(N($E364)*K364*(1-N($G364)),2)),"")</f>
        <v/>
      </c>
      <c r="M364" s="62" t="str">
        <f aca="false">IF(IsPro,IF($D364="","",IFERROR(INDEX(Items!$F$5:$F$504,U364),0)),"")</f>
        <v/>
      </c>
      <c r="N364" s="61" t="str">
        <f aca="false">IF(IsPro,IF($D364="","",IF(AND(V364&lt;&gt;"",INDEX(Parties!$E$5:$E$304,V364)&lt;&gt;"",INDEX(Parties!$E$5:$E$304,V364)&lt;&gt;HomeState),0,ROUND(L364*M364/2,2))),"")</f>
        <v/>
      </c>
      <c r="O364" s="61" t="str">
        <f aca="false">IF(IsPro,IF($D364="","",N364),"")</f>
        <v/>
      </c>
      <c r="P364" s="61" t="str">
        <f aca="false">IF(IsPro,IF($D364="","",IF(AND(V364&lt;&gt;"",INDEX(Parties!$E$5:$E$304,V364)&lt;&gt;"",INDEX(Parties!$E$5:$E$304,V364)&lt;&gt;HomeState),ROUND(L364*M364,2),0)),"")</f>
        <v/>
      </c>
      <c r="Q364" s="61" t="str">
        <f aca="false">IF(IsPro,IF($D364="","",L364+N364+O364+P364),"")</f>
        <v/>
      </c>
      <c r="R364" s="61" t="str">
        <f aca="false">IF(IsPro,IF($D364="","",ROUND(N($E364)*IFERROR(INDEX(Items!$P$5:$P$504,U364),0),2)),"")</f>
        <v/>
      </c>
      <c r="S364" s="61" t="str">
        <f aca="false">IF(IsPro,IF($D364="","",L364-R364),"")</f>
        <v/>
      </c>
      <c r="T364" s="60" t="str">
        <f aca="false">IF(IsPro,IF($D364="","",IF(U364="","UNKNOWN ITEM",IF(INDEX(Items!$O$5:$O$504,U364)&lt;0,"NEG STOCK",IF(K364&lt;INDEX(Items!$P$5:$P$504,U364),"BELOW COST","OK")))),IF($D364="","","PRO PLAN"))</f>
        <v/>
      </c>
      <c r="U364" s="60" t="str">
        <f aca="false">IF(IsPro,IF($D364="","",IFERROR(MATCH($D364,Items!$A$5:$A$504,0),"")),"")</f>
        <v/>
      </c>
      <c r="V364" s="60" t="str">
        <f aca="false">IF(IsPro,IF($C364="","",IFERROR(MATCH($C364,Parties!$A$5:$A$304,0),"")),"")</f>
        <v/>
      </c>
      <c r="W364" s="60" t="str">
        <f aca="false">IF(IsPro,IF($B364="","",IFERROR(VALUE(SUBSTITUTE($B364,InvPrefix,"")),0)),"")</f>
        <v/>
      </c>
      <c r="X364" s="61" t="str">
        <f aca="false">IF(IsPro,IF($D364="","",IF(OR($H364="",$H364="Credit"),0,Q364)),"")</f>
        <v/>
      </c>
    </row>
    <row r="365" customFormat="false" ht="15" hidden="false" customHeight="false" outlineLevel="0" collapsed="false">
      <c r="A365" s="55"/>
      <c r="B365" s="56"/>
      <c r="C365" s="56"/>
      <c r="D365" s="56"/>
      <c r="E365" s="57"/>
      <c r="F365" s="58"/>
      <c r="G365" s="59"/>
      <c r="H365" s="56"/>
      <c r="I365" s="56"/>
      <c r="J365" s="60" t="str">
        <f aca="false">IF(IsPro,IF($D365="","",IFERROR(INDEX(Items!$D$5:$D$504,U365),"")),"")</f>
        <v/>
      </c>
      <c r="K365" s="61" t="str">
        <f aca="false">IF(IsPro,IF($D365="","",IF($F365="",IFERROR(INDEX(Items!$H$5:$H$504,U365),0),$F365)),"")</f>
        <v/>
      </c>
      <c r="L365" s="61" t="str">
        <f aca="false">IF(IsPro,IF($D365="","",ROUND(N($E365)*K365*(1-N($G365)),2)),"")</f>
        <v/>
      </c>
      <c r="M365" s="62" t="str">
        <f aca="false">IF(IsPro,IF($D365="","",IFERROR(INDEX(Items!$F$5:$F$504,U365),0)),"")</f>
        <v/>
      </c>
      <c r="N365" s="61" t="str">
        <f aca="false">IF(IsPro,IF($D365="","",IF(AND(V365&lt;&gt;"",INDEX(Parties!$E$5:$E$304,V365)&lt;&gt;"",INDEX(Parties!$E$5:$E$304,V365)&lt;&gt;HomeState),0,ROUND(L365*M365/2,2))),"")</f>
        <v/>
      </c>
      <c r="O365" s="61" t="str">
        <f aca="false">IF(IsPro,IF($D365="","",N365),"")</f>
        <v/>
      </c>
      <c r="P365" s="61" t="str">
        <f aca="false">IF(IsPro,IF($D365="","",IF(AND(V365&lt;&gt;"",INDEX(Parties!$E$5:$E$304,V365)&lt;&gt;"",INDEX(Parties!$E$5:$E$304,V365)&lt;&gt;HomeState),ROUND(L365*M365,2),0)),"")</f>
        <v/>
      </c>
      <c r="Q365" s="61" t="str">
        <f aca="false">IF(IsPro,IF($D365="","",L365+N365+O365+P365),"")</f>
        <v/>
      </c>
      <c r="R365" s="61" t="str">
        <f aca="false">IF(IsPro,IF($D365="","",ROUND(N($E365)*IFERROR(INDEX(Items!$P$5:$P$504,U365),0),2)),"")</f>
        <v/>
      </c>
      <c r="S365" s="61" t="str">
        <f aca="false">IF(IsPro,IF($D365="","",L365-R365),"")</f>
        <v/>
      </c>
      <c r="T365" s="60" t="str">
        <f aca="false">IF(IsPro,IF($D365="","",IF(U365="","UNKNOWN ITEM",IF(INDEX(Items!$O$5:$O$504,U365)&lt;0,"NEG STOCK",IF(K365&lt;INDEX(Items!$P$5:$P$504,U365),"BELOW COST","OK")))),IF($D365="","","PRO PLAN"))</f>
        <v/>
      </c>
      <c r="U365" s="60" t="str">
        <f aca="false">IF(IsPro,IF($D365="","",IFERROR(MATCH($D365,Items!$A$5:$A$504,0),"")),"")</f>
        <v/>
      </c>
      <c r="V365" s="60" t="str">
        <f aca="false">IF(IsPro,IF($C365="","",IFERROR(MATCH($C365,Parties!$A$5:$A$304,0),"")),"")</f>
        <v/>
      </c>
      <c r="W365" s="60" t="str">
        <f aca="false">IF(IsPro,IF($B365="","",IFERROR(VALUE(SUBSTITUTE($B365,InvPrefix,"")),0)),"")</f>
        <v/>
      </c>
      <c r="X365" s="61" t="str">
        <f aca="false">IF(IsPro,IF($D365="","",IF(OR($H365="",$H365="Credit"),0,Q365)),"")</f>
        <v/>
      </c>
    </row>
    <row r="366" customFormat="false" ht="15" hidden="false" customHeight="false" outlineLevel="0" collapsed="false">
      <c r="A366" s="55"/>
      <c r="B366" s="56"/>
      <c r="C366" s="56"/>
      <c r="D366" s="56"/>
      <c r="E366" s="57"/>
      <c r="F366" s="58"/>
      <c r="G366" s="59"/>
      <c r="H366" s="56"/>
      <c r="I366" s="56"/>
      <c r="J366" s="60" t="str">
        <f aca="false">IF(IsPro,IF($D366="","",IFERROR(INDEX(Items!$D$5:$D$504,U366),"")),"")</f>
        <v/>
      </c>
      <c r="K366" s="61" t="str">
        <f aca="false">IF(IsPro,IF($D366="","",IF($F366="",IFERROR(INDEX(Items!$H$5:$H$504,U366),0),$F366)),"")</f>
        <v/>
      </c>
      <c r="L366" s="61" t="str">
        <f aca="false">IF(IsPro,IF($D366="","",ROUND(N($E366)*K366*(1-N($G366)),2)),"")</f>
        <v/>
      </c>
      <c r="M366" s="62" t="str">
        <f aca="false">IF(IsPro,IF($D366="","",IFERROR(INDEX(Items!$F$5:$F$504,U366),0)),"")</f>
        <v/>
      </c>
      <c r="N366" s="61" t="str">
        <f aca="false">IF(IsPro,IF($D366="","",IF(AND(V366&lt;&gt;"",INDEX(Parties!$E$5:$E$304,V366)&lt;&gt;"",INDEX(Parties!$E$5:$E$304,V366)&lt;&gt;HomeState),0,ROUND(L366*M366/2,2))),"")</f>
        <v/>
      </c>
      <c r="O366" s="61" t="str">
        <f aca="false">IF(IsPro,IF($D366="","",N366),"")</f>
        <v/>
      </c>
      <c r="P366" s="61" t="str">
        <f aca="false">IF(IsPro,IF($D366="","",IF(AND(V366&lt;&gt;"",INDEX(Parties!$E$5:$E$304,V366)&lt;&gt;"",INDEX(Parties!$E$5:$E$304,V366)&lt;&gt;HomeState),ROUND(L366*M366,2),0)),"")</f>
        <v/>
      </c>
      <c r="Q366" s="61" t="str">
        <f aca="false">IF(IsPro,IF($D366="","",L366+N366+O366+P366),"")</f>
        <v/>
      </c>
      <c r="R366" s="61" t="str">
        <f aca="false">IF(IsPro,IF($D366="","",ROUND(N($E366)*IFERROR(INDEX(Items!$P$5:$P$504,U366),0),2)),"")</f>
        <v/>
      </c>
      <c r="S366" s="61" t="str">
        <f aca="false">IF(IsPro,IF($D366="","",L366-R366),"")</f>
        <v/>
      </c>
      <c r="T366" s="60" t="str">
        <f aca="false">IF(IsPro,IF($D366="","",IF(U366="","UNKNOWN ITEM",IF(INDEX(Items!$O$5:$O$504,U366)&lt;0,"NEG STOCK",IF(K366&lt;INDEX(Items!$P$5:$P$504,U366),"BELOW COST","OK")))),IF($D366="","","PRO PLAN"))</f>
        <v/>
      </c>
      <c r="U366" s="60" t="str">
        <f aca="false">IF(IsPro,IF($D366="","",IFERROR(MATCH($D366,Items!$A$5:$A$504,0),"")),"")</f>
        <v/>
      </c>
      <c r="V366" s="60" t="str">
        <f aca="false">IF(IsPro,IF($C366="","",IFERROR(MATCH($C366,Parties!$A$5:$A$304,0),"")),"")</f>
        <v/>
      </c>
      <c r="W366" s="60" t="str">
        <f aca="false">IF(IsPro,IF($B366="","",IFERROR(VALUE(SUBSTITUTE($B366,InvPrefix,"")),0)),"")</f>
        <v/>
      </c>
      <c r="X366" s="61" t="str">
        <f aca="false">IF(IsPro,IF($D366="","",IF(OR($H366="",$H366="Credit"),0,Q366)),"")</f>
        <v/>
      </c>
    </row>
    <row r="367" customFormat="false" ht="15" hidden="false" customHeight="false" outlineLevel="0" collapsed="false">
      <c r="A367" s="55"/>
      <c r="B367" s="56"/>
      <c r="C367" s="56"/>
      <c r="D367" s="56"/>
      <c r="E367" s="57"/>
      <c r="F367" s="58"/>
      <c r="G367" s="59"/>
      <c r="H367" s="56"/>
      <c r="I367" s="56"/>
      <c r="J367" s="60" t="str">
        <f aca="false">IF(IsPro,IF($D367="","",IFERROR(INDEX(Items!$D$5:$D$504,U367),"")),"")</f>
        <v/>
      </c>
      <c r="K367" s="61" t="str">
        <f aca="false">IF(IsPro,IF($D367="","",IF($F367="",IFERROR(INDEX(Items!$H$5:$H$504,U367),0),$F367)),"")</f>
        <v/>
      </c>
      <c r="L367" s="61" t="str">
        <f aca="false">IF(IsPro,IF($D367="","",ROUND(N($E367)*K367*(1-N($G367)),2)),"")</f>
        <v/>
      </c>
      <c r="M367" s="62" t="str">
        <f aca="false">IF(IsPro,IF($D367="","",IFERROR(INDEX(Items!$F$5:$F$504,U367),0)),"")</f>
        <v/>
      </c>
      <c r="N367" s="61" t="str">
        <f aca="false">IF(IsPro,IF($D367="","",IF(AND(V367&lt;&gt;"",INDEX(Parties!$E$5:$E$304,V367)&lt;&gt;"",INDEX(Parties!$E$5:$E$304,V367)&lt;&gt;HomeState),0,ROUND(L367*M367/2,2))),"")</f>
        <v/>
      </c>
      <c r="O367" s="61" t="str">
        <f aca="false">IF(IsPro,IF($D367="","",N367),"")</f>
        <v/>
      </c>
      <c r="P367" s="61" t="str">
        <f aca="false">IF(IsPro,IF($D367="","",IF(AND(V367&lt;&gt;"",INDEX(Parties!$E$5:$E$304,V367)&lt;&gt;"",INDEX(Parties!$E$5:$E$304,V367)&lt;&gt;HomeState),ROUND(L367*M367,2),0)),"")</f>
        <v/>
      </c>
      <c r="Q367" s="61" t="str">
        <f aca="false">IF(IsPro,IF($D367="","",L367+N367+O367+P367),"")</f>
        <v/>
      </c>
      <c r="R367" s="61" t="str">
        <f aca="false">IF(IsPro,IF($D367="","",ROUND(N($E367)*IFERROR(INDEX(Items!$P$5:$P$504,U367),0),2)),"")</f>
        <v/>
      </c>
      <c r="S367" s="61" t="str">
        <f aca="false">IF(IsPro,IF($D367="","",L367-R367),"")</f>
        <v/>
      </c>
      <c r="T367" s="60" t="str">
        <f aca="false">IF(IsPro,IF($D367="","",IF(U367="","UNKNOWN ITEM",IF(INDEX(Items!$O$5:$O$504,U367)&lt;0,"NEG STOCK",IF(K367&lt;INDEX(Items!$P$5:$P$504,U367),"BELOW COST","OK")))),IF($D367="","","PRO PLAN"))</f>
        <v/>
      </c>
      <c r="U367" s="60" t="str">
        <f aca="false">IF(IsPro,IF($D367="","",IFERROR(MATCH($D367,Items!$A$5:$A$504,0),"")),"")</f>
        <v/>
      </c>
      <c r="V367" s="60" t="str">
        <f aca="false">IF(IsPro,IF($C367="","",IFERROR(MATCH($C367,Parties!$A$5:$A$304,0),"")),"")</f>
        <v/>
      </c>
      <c r="W367" s="60" t="str">
        <f aca="false">IF(IsPro,IF($B367="","",IFERROR(VALUE(SUBSTITUTE($B367,InvPrefix,"")),0)),"")</f>
        <v/>
      </c>
      <c r="X367" s="61" t="str">
        <f aca="false">IF(IsPro,IF($D367="","",IF(OR($H367="",$H367="Credit"),0,Q367)),"")</f>
        <v/>
      </c>
    </row>
    <row r="368" customFormat="false" ht="15" hidden="false" customHeight="false" outlineLevel="0" collapsed="false">
      <c r="A368" s="55"/>
      <c r="B368" s="56"/>
      <c r="C368" s="56"/>
      <c r="D368" s="56"/>
      <c r="E368" s="57"/>
      <c r="F368" s="58"/>
      <c r="G368" s="59"/>
      <c r="H368" s="56"/>
      <c r="I368" s="56"/>
      <c r="J368" s="60" t="str">
        <f aca="false">IF(IsPro,IF($D368="","",IFERROR(INDEX(Items!$D$5:$D$504,U368),"")),"")</f>
        <v/>
      </c>
      <c r="K368" s="61" t="str">
        <f aca="false">IF(IsPro,IF($D368="","",IF($F368="",IFERROR(INDEX(Items!$H$5:$H$504,U368),0),$F368)),"")</f>
        <v/>
      </c>
      <c r="L368" s="61" t="str">
        <f aca="false">IF(IsPro,IF($D368="","",ROUND(N($E368)*K368*(1-N($G368)),2)),"")</f>
        <v/>
      </c>
      <c r="M368" s="62" t="str">
        <f aca="false">IF(IsPro,IF($D368="","",IFERROR(INDEX(Items!$F$5:$F$504,U368),0)),"")</f>
        <v/>
      </c>
      <c r="N368" s="61" t="str">
        <f aca="false">IF(IsPro,IF($D368="","",IF(AND(V368&lt;&gt;"",INDEX(Parties!$E$5:$E$304,V368)&lt;&gt;"",INDEX(Parties!$E$5:$E$304,V368)&lt;&gt;HomeState),0,ROUND(L368*M368/2,2))),"")</f>
        <v/>
      </c>
      <c r="O368" s="61" t="str">
        <f aca="false">IF(IsPro,IF($D368="","",N368),"")</f>
        <v/>
      </c>
      <c r="P368" s="61" t="str">
        <f aca="false">IF(IsPro,IF($D368="","",IF(AND(V368&lt;&gt;"",INDEX(Parties!$E$5:$E$304,V368)&lt;&gt;"",INDEX(Parties!$E$5:$E$304,V368)&lt;&gt;HomeState),ROUND(L368*M368,2),0)),"")</f>
        <v/>
      </c>
      <c r="Q368" s="61" t="str">
        <f aca="false">IF(IsPro,IF($D368="","",L368+N368+O368+P368),"")</f>
        <v/>
      </c>
      <c r="R368" s="61" t="str">
        <f aca="false">IF(IsPro,IF($D368="","",ROUND(N($E368)*IFERROR(INDEX(Items!$P$5:$P$504,U368),0),2)),"")</f>
        <v/>
      </c>
      <c r="S368" s="61" t="str">
        <f aca="false">IF(IsPro,IF($D368="","",L368-R368),"")</f>
        <v/>
      </c>
      <c r="T368" s="60" t="str">
        <f aca="false">IF(IsPro,IF($D368="","",IF(U368="","UNKNOWN ITEM",IF(INDEX(Items!$O$5:$O$504,U368)&lt;0,"NEG STOCK",IF(K368&lt;INDEX(Items!$P$5:$P$504,U368),"BELOW COST","OK")))),IF($D368="","","PRO PLAN"))</f>
        <v/>
      </c>
      <c r="U368" s="60" t="str">
        <f aca="false">IF(IsPro,IF($D368="","",IFERROR(MATCH($D368,Items!$A$5:$A$504,0),"")),"")</f>
        <v/>
      </c>
      <c r="V368" s="60" t="str">
        <f aca="false">IF(IsPro,IF($C368="","",IFERROR(MATCH($C368,Parties!$A$5:$A$304,0),"")),"")</f>
        <v/>
      </c>
      <c r="W368" s="60" t="str">
        <f aca="false">IF(IsPro,IF($B368="","",IFERROR(VALUE(SUBSTITUTE($B368,InvPrefix,"")),0)),"")</f>
        <v/>
      </c>
      <c r="X368" s="61" t="str">
        <f aca="false">IF(IsPro,IF($D368="","",IF(OR($H368="",$H368="Credit"),0,Q368)),"")</f>
        <v/>
      </c>
    </row>
    <row r="369" customFormat="false" ht="15" hidden="false" customHeight="false" outlineLevel="0" collapsed="false">
      <c r="A369" s="55"/>
      <c r="B369" s="56"/>
      <c r="C369" s="56"/>
      <c r="D369" s="56"/>
      <c r="E369" s="57"/>
      <c r="F369" s="58"/>
      <c r="G369" s="59"/>
      <c r="H369" s="56"/>
      <c r="I369" s="56"/>
      <c r="J369" s="60" t="str">
        <f aca="false">IF(IsPro,IF($D369="","",IFERROR(INDEX(Items!$D$5:$D$504,U369),"")),"")</f>
        <v/>
      </c>
      <c r="K369" s="61" t="str">
        <f aca="false">IF(IsPro,IF($D369="","",IF($F369="",IFERROR(INDEX(Items!$H$5:$H$504,U369),0),$F369)),"")</f>
        <v/>
      </c>
      <c r="L369" s="61" t="str">
        <f aca="false">IF(IsPro,IF($D369="","",ROUND(N($E369)*K369*(1-N($G369)),2)),"")</f>
        <v/>
      </c>
      <c r="M369" s="62" t="str">
        <f aca="false">IF(IsPro,IF($D369="","",IFERROR(INDEX(Items!$F$5:$F$504,U369),0)),"")</f>
        <v/>
      </c>
      <c r="N369" s="61" t="str">
        <f aca="false">IF(IsPro,IF($D369="","",IF(AND(V369&lt;&gt;"",INDEX(Parties!$E$5:$E$304,V369)&lt;&gt;"",INDEX(Parties!$E$5:$E$304,V369)&lt;&gt;HomeState),0,ROUND(L369*M369/2,2))),"")</f>
        <v/>
      </c>
      <c r="O369" s="61" t="str">
        <f aca="false">IF(IsPro,IF($D369="","",N369),"")</f>
        <v/>
      </c>
      <c r="P369" s="61" t="str">
        <f aca="false">IF(IsPro,IF($D369="","",IF(AND(V369&lt;&gt;"",INDEX(Parties!$E$5:$E$304,V369)&lt;&gt;"",INDEX(Parties!$E$5:$E$304,V369)&lt;&gt;HomeState),ROUND(L369*M369,2),0)),"")</f>
        <v/>
      </c>
      <c r="Q369" s="61" t="str">
        <f aca="false">IF(IsPro,IF($D369="","",L369+N369+O369+P369),"")</f>
        <v/>
      </c>
      <c r="R369" s="61" t="str">
        <f aca="false">IF(IsPro,IF($D369="","",ROUND(N($E369)*IFERROR(INDEX(Items!$P$5:$P$504,U369),0),2)),"")</f>
        <v/>
      </c>
      <c r="S369" s="61" t="str">
        <f aca="false">IF(IsPro,IF($D369="","",L369-R369),"")</f>
        <v/>
      </c>
      <c r="T369" s="60" t="str">
        <f aca="false">IF(IsPro,IF($D369="","",IF(U369="","UNKNOWN ITEM",IF(INDEX(Items!$O$5:$O$504,U369)&lt;0,"NEG STOCK",IF(K369&lt;INDEX(Items!$P$5:$P$504,U369),"BELOW COST","OK")))),IF($D369="","","PRO PLAN"))</f>
        <v/>
      </c>
      <c r="U369" s="60" t="str">
        <f aca="false">IF(IsPro,IF($D369="","",IFERROR(MATCH($D369,Items!$A$5:$A$504,0),"")),"")</f>
        <v/>
      </c>
      <c r="V369" s="60" t="str">
        <f aca="false">IF(IsPro,IF($C369="","",IFERROR(MATCH($C369,Parties!$A$5:$A$304,0),"")),"")</f>
        <v/>
      </c>
      <c r="W369" s="60" t="str">
        <f aca="false">IF(IsPro,IF($B369="","",IFERROR(VALUE(SUBSTITUTE($B369,InvPrefix,"")),0)),"")</f>
        <v/>
      </c>
      <c r="X369" s="61" t="str">
        <f aca="false">IF(IsPro,IF($D369="","",IF(OR($H369="",$H369="Credit"),0,Q369)),"")</f>
        <v/>
      </c>
    </row>
    <row r="370" customFormat="false" ht="15" hidden="false" customHeight="false" outlineLevel="0" collapsed="false">
      <c r="A370" s="55"/>
      <c r="B370" s="56"/>
      <c r="C370" s="56"/>
      <c r="D370" s="56"/>
      <c r="E370" s="57"/>
      <c r="F370" s="58"/>
      <c r="G370" s="59"/>
      <c r="H370" s="56"/>
      <c r="I370" s="56"/>
      <c r="J370" s="60" t="str">
        <f aca="false">IF(IsPro,IF($D370="","",IFERROR(INDEX(Items!$D$5:$D$504,U370),"")),"")</f>
        <v/>
      </c>
      <c r="K370" s="61" t="str">
        <f aca="false">IF(IsPro,IF($D370="","",IF($F370="",IFERROR(INDEX(Items!$H$5:$H$504,U370),0),$F370)),"")</f>
        <v/>
      </c>
      <c r="L370" s="61" t="str">
        <f aca="false">IF(IsPro,IF($D370="","",ROUND(N($E370)*K370*(1-N($G370)),2)),"")</f>
        <v/>
      </c>
      <c r="M370" s="62" t="str">
        <f aca="false">IF(IsPro,IF($D370="","",IFERROR(INDEX(Items!$F$5:$F$504,U370),0)),"")</f>
        <v/>
      </c>
      <c r="N370" s="61" t="str">
        <f aca="false">IF(IsPro,IF($D370="","",IF(AND(V370&lt;&gt;"",INDEX(Parties!$E$5:$E$304,V370)&lt;&gt;"",INDEX(Parties!$E$5:$E$304,V370)&lt;&gt;HomeState),0,ROUND(L370*M370/2,2))),"")</f>
        <v/>
      </c>
      <c r="O370" s="61" t="str">
        <f aca="false">IF(IsPro,IF($D370="","",N370),"")</f>
        <v/>
      </c>
      <c r="P370" s="61" t="str">
        <f aca="false">IF(IsPro,IF($D370="","",IF(AND(V370&lt;&gt;"",INDEX(Parties!$E$5:$E$304,V370)&lt;&gt;"",INDEX(Parties!$E$5:$E$304,V370)&lt;&gt;HomeState),ROUND(L370*M370,2),0)),"")</f>
        <v/>
      </c>
      <c r="Q370" s="61" t="str">
        <f aca="false">IF(IsPro,IF($D370="","",L370+N370+O370+P370),"")</f>
        <v/>
      </c>
      <c r="R370" s="61" t="str">
        <f aca="false">IF(IsPro,IF($D370="","",ROUND(N($E370)*IFERROR(INDEX(Items!$P$5:$P$504,U370),0),2)),"")</f>
        <v/>
      </c>
      <c r="S370" s="61" t="str">
        <f aca="false">IF(IsPro,IF($D370="","",L370-R370),"")</f>
        <v/>
      </c>
      <c r="T370" s="60" t="str">
        <f aca="false">IF(IsPro,IF($D370="","",IF(U370="","UNKNOWN ITEM",IF(INDEX(Items!$O$5:$O$504,U370)&lt;0,"NEG STOCK",IF(K370&lt;INDEX(Items!$P$5:$P$504,U370),"BELOW COST","OK")))),IF($D370="","","PRO PLAN"))</f>
        <v/>
      </c>
      <c r="U370" s="60" t="str">
        <f aca="false">IF(IsPro,IF($D370="","",IFERROR(MATCH($D370,Items!$A$5:$A$504,0),"")),"")</f>
        <v/>
      </c>
      <c r="V370" s="60" t="str">
        <f aca="false">IF(IsPro,IF($C370="","",IFERROR(MATCH($C370,Parties!$A$5:$A$304,0),"")),"")</f>
        <v/>
      </c>
      <c r="W370" s="60" t="str">
        <f aca="false">IF(IsPro,IF($B370="","",IFERROR(VALUE(SUBSTITUTE($B370,InvPrefix,"")),0)),"")</f>
        <v/>
      </c>
      <c r="X370" s="61" t="str">
        <f aca="false">IF(IsPro,IF($D370="","",IF(OR($H370="",$H370="Credit"),0,Q370)),"")</f>
        <v/>
      </c>
    </row>
    <row r="371" customFormat="false" ht="15" hidden="false" customHeight="false" outlineLevel="0" collapsed="false">
      <c r="A371" s="55"/>
      <c r="B371" s="56"/>
      <c r="C371" s="56"/>
      <c r="D371" s="56"/>
      <c r="E371" s="57"/>
      <c r="F371" s="58"/>
      <c r="G371" s="59"/>
      <c r="H371" s="56"/>
      <c r="I371" s="56"/>
      <c r="J371" s="60" t="str">
        <f aca="false">IF(IsPro,IF($D371="","",IFERROR(INDEX(Items!$D$5:$D$504,U371),"")),"")</f>
        <v/>
      </c>
      <c r="K371" s="61" t="str">
        <f aca="false">IF(IsPro,IF($D371="","",IF($F371="",IFERROR(INDEX(Items!$H$5:$H$504,U371),0),$F371)),"")</f>
        <v/>
      </c>
      <c r="L371" s="61" t="str">
        <f aca="false">IF(IsPro,IF($D371="","",ROUND(N($E371)*K371*(1-N($G371)),2)),"")</f>
        <v/>
      </c>
      <c r="M371" s="62" t="str">
        <f aca="false">IF(IsPro,IF($D371="","",IFERROR(INDEX(Items!$F$5:$F$504,U371),0)),"")</f>
        <v/>
      </c>
      <c r="N371" s="61" t="str">
        <f aca="false">IF(IsPro,IF($D371="","",IF(AND(V371&lt;&gt;"",INDEX(Parties!$E$5:$E$304,V371)&lt;&gt;"",INDEX(Parties!$E$5:$E$304,V371)&lt;&gt;HomeState),0,ROUND(L371*M371/2,2))),"")</f>
        <v/>
      </c>
      <c r="O371" s="61" t="str">
        <f aca="false">IF(IsPro,IF($D371="","",N371),"")</f>
        <v/>
      </c>
      <c r="P371" s="61" t="str">
        <f aca="false">IF(IsPro,IF($D371="","",IF(AND(V371&lt;&gt;"",INDEX(Parties!$E$5:$E$304,V371)&lt;&gt;"",INDEX(Parties!$E$5:$E$304,V371)&lt;&gt;HomeState),ROUND(L371*M371,2),0)),"")</f>
        <v/>
      </c>
      <c r="Q371" s="61" t="str">
        <f aca="false">IF(IsPro,IF($D371="","",L371+N371+O371+P371),"")</f>
        <v/>
      </c>
      <c r="R371" s="61" t="str">
        <f aca="false">IF(IsPro,IF($D371="","",ROUND(N($E371)*IFERROR(INDEX(Items!$P$5:$P$504,U371),0),2)),"")</f>
        <v/>
      </c>
      <c r="S371" s="61" t="str">
        <f aca="false">IF(IsPro,IF($D371="","",L371-R371),"")</f>
        <v/>
      </c>
      <c r="T371" s="60" t="str">
        <f aca="false">IF(IsPro,IF($D371="","",IF(U371="","UNKNOWN ITEM",IF(INDEX(Items!$O$5:$O$504,U371)&lt;0,"NEG STOCK",IF(K371&lt;INDEX(Items!$P$5:$P$504,U371),"BELOW COST","OK")))),IF($D371="","","PRO PLAN"))</f>
        <v/>
      </c>
      <c r="U371" s="60" t="str">
        <f aca="false">IF(IsPro,IF($D371="","",IFERROR(MATCH($D371,Items!$A$5:$A$504,0),"")),"")</f>
        <v/>
      </c>
      <c r="V371" s="60" t="str">
        <f aca="false">IF(IsPro,IF($C371="","",IFERROR(MATCH($C371,Parties!$A$5:$A$304,0),"")),"")</f>
        <v/>
      </c>
      <c r="W371" s="60" t="str">
        <f aca="false">IF(IsPro,IF($B371="","",IFERROR(VALUE(SUBSTITUTE($B371,InvPrefix,"")),0)),"")</f>
        <v/>
      </c>
      <c r="X371" s="61" t="str">
        <f aca="false">IF(IsPro,IF($D371="","",IF(OR($H371="",$H371="Credit"),0,Q371)),"")</f>
        <v/>
      </c>
    </row>
    <row r="372" customFormat="false" ht="15" hidden="false" customHeight="false" outlineLevel="0" collapsed="false">
      <c r="A372" s="55"/>
      <c r="B372" s="56"/>
      <c r="C372" s="56"/>
      <c r="D372" s="56"/>
      <c r="E372" s="57"/>
      <c r="F372" s="58"/>
      <c r="G372" s="59"/>
      <c r="H372" s="56"/>
      <c r="I372" s="56"/>
      <c r="J372" s="60" t="str">
        <f aca="false">IF(IsPro,IF($D372="","",IFERROR(INDEX(Items!$D$5:$D$504,U372),"")),"")</f>
        <v/>
      </c>
      <c r="K372" s="61" t="str">
        <f aca="false">IF(IsPro,IF($D372="","",IF($F372="",IFERROR(INDEX(Items!$H$5:$H$504,U372),0),$F372)),"")</f>
        <v/>
      </c>
      <c r="L372" s="61" t="str">
        <f aca="false">IF(IsPro,IF($D372="","",ROUND(N($E372)*K372*(1-N($G372)),2)),"")</f>
        <v/>
      </c>
      <c r="M372" s="62" t="str">
        <f aca="false">IF(IsPro,IF($D372="","",IFERROR(INDEX(Items!$F$5:$F$504,U372),0)),"")</f>
        <v/>
      </c>
      <c r="N372" s="61" t="str">
        <f aca="false">IF(IsPro,IF($D372="","",IF(AND(V372&lt;&gt;"",INDEX(Parties!$E$5:$E$304,V372)&lt;&gt;"",INDEX(Parties!$E$5:$E$304,V372)&lt;&gt;HomeState),0,ROUND(L372*M372/2,2))),"")</f>
        <v/>
      </c>
      <c r="O372" s="61" t="str">
        <f aca="false">IF(IsPro,IF($D372="","",N372),"")</f>
        <v/>
      </c>
      <c r="P372" s="61" t="str">
        <f aca="false">IF(IsPro,IF($D372="","",IF(AND(V372&lt;&gt;"",INDEX(Parties!$E$5:$E$304,V372)&lt;&gt;"",INDEX(Parties!$E$5:$E$304,V372)&lt;&gt;HomeState),ROUND(L372*M372,2),0)),"")</f>
        <v/>
      </c>
      <c r="Q372" s="61" t="str">
        <f aca="false">IF(IsPro,IF($D372="","",L372+N372+O372+P372),"")</f>
        <v/>
      </c>
      <c r="R372" s="61" t="str">
        <f aca="false">IF(IsPro,IF($D372="","",ROUND(N($E372)*IFERROR(INDEX(Items!$P$5:$P$504,U372),0),2)),"")</f>
        <v/>
      </c>
      <c r="S372" s="61" t="str">
        <f aca="false">IF(IsPro,IF($D372="","",L372-R372),"")</f>
        <v/>
      </c>
      <c r="T372" s="60" t="str">
        <f aca="false">IF(IsPro,IF($D372="","",IF(U372="","UNKNOWN ITEM",IF(INDEX(Items!$O$5:$O$504,U372)&lt;0,"NEG STOCK",IF(K372&lt;INDEX(Items!$P$5:$P$504,U372),"BELOW COST","OK")))),IF($D372="","","PRO PLAN"))</f>
        <v/>
      </c>
      <c r="U372" s="60" t="str">
        <f aca="false">IF(IsPro,IF($D372="","",IFERROR(MATCH($D372,Items!$A$5:$A$504,0),"")),"")</f>
        <v/>
      </c>
      <c r="V372" s="60" t="str">
        <f aca="false">IF(IsPro,IF($C372="","",IFERROR(MATCH($C372,Parties!$A$5:$A$304,0),"")),"")</f>
        <v/>
      </c>
      <c r="W372" s="60" t="str">
        <f aca="false">IF(IsPro,IF($B372="","",IFERROR(VALUE(SUBSTITUTE($B372,InvPrefix,"")),0)),"")</f>
        <v/>
      </c>
      <c r="X372" s="61" t="str">
        <f aca="false">IF(IsPro,IF($D372="","",IF(OR($H372="",$H372="Credit"),0,Q372)),"")</f>
        <v/>
      </c>
    </row>
    <row r="373" customFormat="false" ht="15" hidden="false" customHeight="false" outlineLevel="0" collapsed="false">
      <c r="A373" s="55"/>
      <c r="B373" s="56"/>
      <c r="C373" s="56"/>
      <c r="D373" s="56"/>
      <c r="E373" s="57"/>
      <c r="F373" s="58"/>
      <c r="G373" s="59"/>
      <c r="H373" s="56"/>
      <c r="I373" s="56"/>
      <c r="J373" s="60" t="str">
        <f aca="false">IF(IsPro,IF($D373="","",IFERROR(INDEX(Items!$D$5:$D$504,U373),"")),"")</f>
        <v/>
      </c>
      <c r="K373" s="61" t="str">
        <f aca="false">IF(IsPro,IF($D373="","",IF($F373="",IFERROR(INDEX(Items!$H$5:$H$504,U373),0),$F373)),"")</f>
        <v/>
      </c>
      <c r="L373" s="61" t="str">
        <f aca="false">IF(IsPro,IF($D373="","",ROUND(N($E373)*K373*(1-N($G373)),2)),"")</f>
        <v/>
      </c>
      <c r="M373" s="62" t="str">
        <f aca="false">IF(IsPro,IF($D373="","",IFERROR(INDEX(Items!$F$5:$F$504,U373),0)),"")</f>
        <v/>
      </c>
      <c r="N373" s="61" t="str">
        <f aca="false">IF(IsPro,IF($D373="","",IF(AND(V373&lt;&gt;"",INDEX(Parties!$E$5:$E$304,V373)&lt;&gt;"",INDEX(Parties!$E$5:$E$304,V373)&lt;&gt;HomeState),0,ROUND(L373*M373/2,2))),"")</f>
        <v/>
      </c>
      <c r="O373" s="61" t="str">
        <f aca="false">IF(IsPro,IF($D373="","",N373),"")</f>
        <v/>
      </c>
      <c r="P373" s="61" t="str">
        <f aca="false">IF(IsPro,IF($D373="","",IF(AND(V373&lt;&gt;"",INDEX(Parties!$E$5:$E$304,V373)&lt;&gt;"",INDEX(Parties!$E$5:$E$304,V373)&lt;&gt;HomeState),ROUND(L373*M373,2),0)),"")</f>
        <v/>
      </c>
      <c r="Q373" s="61" t="str">
        <f aca="false">IF(IsPro,IF($D373="","",L373+N373+O373+P373),"")</f>
        <v/>
      </c>
      <c r="R373" s="61" t="str">
        <f aca="false">IF(IsPro,IF($D373="","",ROUND(N($E373)*IFERROR(INDEX(Items!$P$5:$P$504,U373),0),2)),"")</f>
        <v/>
      </c>
      <c r="S373" s="61" t="str">
        <f aca="false">IF(IsPro,IF($D373="","",L373-R373),"")</f>
        <v/>
      </c>
      <c r="T373" s="60" t="str">
        <f aca="false">IF(IsPro,IF($D373="","",IF(U373="","UNKNOWN ITEM",IF(INDEX(Items!$O$5:$O$504,U373)&lt;0,"NEG STOCK",IF(K373&lt;INDEX(Items!$P$5:$P$504,U373),"BELOW COST","OK")))),IF($D373="","","PRO PLAN"))</f>
        <v/>
      </c>
      <c r="U373" s="60" t="str">
        <f aca="false">IF(IsPro,IF($D373="","",IFERROR(MATCH($D373,Items!$A$5:$A$504,0),"")),"")</f>
        <v/>
      </c>
      <c r="V373" s="60" t="str">
        <f aca="false">IF(IsPro,IF($C373="","",IFERROR(MATCH($C373,Parties!$A$5:$A$304,0),"")),"")</f>
        <v/>
      </c>
      <c r="W373" s="60" t="str">
        <f aca="false">IF(IsPro,IF($B373="","",IFERROR(VALUE(SUBSTITUTE($B373,InvPrefix,"")),0)),"")</f>
        <v/>
      </c>
      <c r="X373" s="61" t="str">
        <f aca="false">IF(IsPro,IF($D373="","",IF(OR($H373="",$H373="Credit"),0,Q373)),"")</f>
        <v/>
      </c>
    </row>
    <row r="374" customFormat="false" ht="15" hidden="false" customHeight="false" outlineLevel="0" collapsed="false">
      <c r="A374" s="55"/>
      <c r="B374" s="56"/>
      <c r="C374" s="56"/>
      <c r="D374" s="56"/>
      <c r="E374" s="57"/>
      <c r="F374" s="58"/>
      <c r="G374" s="59"/>
      <c r="H374" s="56"/>
      <c r="I374" s="56"/>
      <c r="J374" s="60" t="str">
        <f aca="false">IF(IsPro,IF($D374="","",IFERROR(INDEX(Items!$D$5:$D$504,U374),"")),"")</f>
        <v/>
      </c>
      <c r="K374" s="61" t="str">
        <f aca="false">IF(IsPro,IF($D374="","",IF($F374="",IFERROR(INDEX(Items!$H$5:$H$504,U374),0),$F374)),"")</f>
        <v/>
      </c>
      <c r="L374" s="61" t="str">
        <f aca="false">IF(IsPro,IF($D374="","",ROUND(N($E374)*K374*(1-N($G374)),2)),"")</f>
        <v/>
      </c>
      <c r="M374" s="62" t="str">
        <f aca="false">IF(IsPro,IF($D374="","",IFERROR(INDEX(Items!$F$5:$F$504,U374),0)),"")</f>
        <v/>
      </c>
      <c r="N374" s="61" t="str">
        <f aca="false">IF(IsPro,IF($D374="","",IF(AND(V374&lt;&gt;"",INDEX(Parties!$E$5:$E$304,V374)&lt;&gt;"",INDEX(Parties!$E$5:$E$304,V374)&lt;&gt;HomeState),0,ROUND(L374*M374/2,2))),"")</f>
        <v/>
      </c>
      <c r="O374" s="61" t="str">
        <f aca="false">IF(IsPro,IF($D374="","",N374),"")</f>
        <v/>
      </c>
      <c r="P374" s="61" t="str">
        <f aca="false">IF(IsPro,IF($D374="","",IF(AND(V374&lt;&gt;"",INDEX(Parties!$E$5:$E$304,V374)&lt;&gt;"",INDEX(Parties!$E$5:$E$304,V374)&lt;&gt;HomeState),ROUND(L374*M374,2),0)),"")</f>
        <v/>
      </c>
      <c r="Q374" s="61" t="str">
        <f aca="false">IF(IsPro,IF($D374="","",L374+N374+O374+P374),"")</f>
        <v/>
      </c>
      <c r="R374" s="61" t="str">
        <f aca="false">IF(IsPro,IF($D374="","",ROUND(N($E374)*IFERROR(INDEX(Items!$P$5:$P$504,U374),0),2)),"")</f>
        <v/>
      </c>
      <c r="S374" s="61" t="str">
        <f aca="false">IF(IsPro,IF($D374="","",L374-R374),"")</f>
        <v/>
      </c>
      <c r="T374" s="60" t="str">
        <f aca="false">IF(IsPro,IF($D374="","",IF(U374="","UNKNOWN ITEM",IF(INDEX(Items!$O$5:$O$504,U374)&lt;0,"NEG STOCK",IF(K374&lt;INDEX(Items!$P$5:$P$504,U374),"BELOW COST","OK")))),IF($D374="","","PRO PLAN"))</f>
        <v/>
      </c>
      <c r="U374" s="60" t="str">
        <f aca="false">IF(IsPro,IF($D374="","",IFERROR(MATCH($D374,Items!$A$5:$A$504,0),"")),"")</f>
        <v/>
      </c>
      <c r="V374" s="60" t="str">
        <f aca="false">IF(IsPro,IF($C374="","",IFERROR(MATCH($C374,Parties!$A$5:$A$304,0),"")),"")</f>
        <v/>
      </c>
      <c r="W374" s="60" t="str">
        <f aca="false">IF(IsPro,IF($B374="","",IFERROR(VALUE(SUBSTITUTE($B374,InvPrefix,"")),0)),"")</f>
        <v/>
      </c>
      <c r="X374" s="61" t="str">
        <f aca="false">IF(IsPro,IF($D374="","",IF(OR($H374="",$H374="Credit"),0,Q374)),"")</f>
        <v/>
      </c>
    </row>
    <row r="375" customFormat="false" ht="15" hidden="false" customHeight="false" outlineLevel="0" collapsed="false">
      <c r="A375" s="55"/>
      <c r="B375" s="56"/>
      <c r="C375" s="56"/>
      <c r="D375" s="56"/>
      <c r="E375" s="57"/>
      <c r="F375" s="58"/>
      <c r="G375" s="59"/>
      <c r="H375" s="56"/>
      <c r="I375" s="56"/>
      <c r="J375" s="60" t="str">
        <f aca="false">IF(IsPro,IF($D375="","",IFERROR(INDEX(Items!$D$5:$D$504,U375),"")),"")</f>
        <v/>
      </c>
      <c r="K375" s="61" t="str">
        <f aca="false">IF(IsPro,IF($D375="","",IF($F375="",IFERROR(INDEX(Items!$H$5:$H$504,U375),0),$F375)),"")</f>
        <v/>
      </c>
      <c r="L375" s="61" t="str">
        <f aca="false">IF(IsPro,IF($D375="","",ROUND(N($E375)*K375*(1-N($G375)),2)),"")</f>
        <v/>
      </c>
      <c r="M375" s="62" t="str">
        <f aca="false">IF(IsPro,IF($D375="","",IFERROR(INDEX(Items!$F$5:$F$504,U375),0)),"")</f>
        <v/>
      </c>
      <c r="N375" s="61" t="str">
        <f aca="false">IF(IsPro,IF($D375="","",IF(AND(V375&lt;&gt;"",INDEX(Parties!$E$5:$E$304,V375)&lt;&gt;"",INDEX(Parties!$E$5:$E$304,V375)&lt;&gt;HomeState),0,ROUND(L375*M375/2,2))),"")</f>
        <v/>
      </c>
      <c r="O375" s="61" t="str">
        <f aca="false">IF(IsPro,IF($D375="","",N375),"")</f>
        <v/>
      </c>
      <c r="P375" s="61" t="str">
        <f aca="false">IF(IsPro,IF($D375="","",IF(AND(V375&lt;&gt;"",INDEX(Parties!$E$5:$E$304,V375)&lt;&gt;"",INDEX(Parties!$E$5:$E$304,V375)&lt;&gt;HomeState),ROUND(L375*M375,2),0)),"")</f>
        <v/>
      </c>
      <c r="Q375" s="61" t="str">
        <f aca="false">IF(IsPro,IF($D375="","",L375+N375+O375+P375),"")</f>
        <v/>
      </c>
      <c r="R375" s="61" t="str">
        <f aca="false">IF(IsPro,IF($D375="","",ROUND(N($E375)*IFERROR(INDEX(Items!$P$5:$P$504,U375),0),2)),"")</f>
        <v/>
      </c>
      <c r="S375" s="61" t="str">
        <f aca="false">IF(IsPro,IF($D375="","",L375-R375),"")</f>
        <v/>
      </c>
      <c r="T375" s="60" t="str">
        <f aca="false">IF(IsPro,IF($D375="","",IF(U375="","UNKNOWN ITEM",IF(INDEX(Items!$O$5:$O$504,U375)&lt;0,"NEG STOCK",IF(K375&lt;INDEX(Items!$P$5:$P$504,U375),"BELOW COST","OK")))),IF($D375="","","PRO PLAN"))</f>
        <v/>
      </c>
      <c r="U375" s="60" t="str">
        <f aca="false">IF(IsPro,IF($D375="","",IFERROR(MATCH($D375,Items!$A$5:$A$504,0),"")),"")</f>
        <v/>
      </c>
      <c r="V375" s="60" t="str">
        <f aca="false">IF(IsPro,IF($C375="","",IFERROR(MATCH($C375,Parties!$A$5:$A$304,0),"")),"")</f>
        <v/>
      </c>
      <c r="W375" s="60" t="str">
        <f aca="false">IF(IsPro,IF($B375="","",IFERROR(VALUE(SUBSTITUTE($B375,InvPrefix,"")),0)),"")</f>
        <v/>
      </c>
      <c r="X375" s="61" t="str">
        <f aca="false">IF(IsPro,IF($D375="","",IF(OR($H375="",$H375="Credit"),0,Q375)),"")</f>
        <v/>
      </c>
    </row>
    <row r="376" customFormat="false" ht="15" hidden="false" customHeight="false" outlineLevel="0" collapsed="false">
      <c r="A376" s="55"/>
      <c r="B376" s="56"/>
      <c r="C376" s="56"/>
      <c r="D376" s="56"/>
      <c r="E376" s="57"/>
      <c r="F376" s="58"/>
      <c r="G376" s="59"/>
      <c r="H376" s="56"/>
      <c r="I376" s="56"/>
      <c r="J376" s="60" t="str">
        <f aca="false">IF(IsPro,IF($D376="","",IFERROR(INDEX(Items!$D$5:$D$504,U376),"")),"")</f>
        <v/>
      </c>
      <c r="K376" s="61" t="str">
        <f aca="false">IF(IsPro,IF($D376="","",IF($F376="",IFERROR(INDEX(Items!$H$5:$H$504,U376),0),$F376)),"")</f>
        <v/>
      </c>
      <c r="L376" s="61" t="str">
        <f aca="false">IF(IsPro,IF($D376="","",ROUND(N($E376)*K376*(1-N($G376)),2)),"")</f>
        <v/>
      </c>
      <c r="M376" s="62" t="str">
        <f aca="false">IF(IsPro,IF($D376="","",IFERROR(INDEX(Items!$F$5:$F$504,U376),0)),"")</f>
        <v/>
      </c>
      <c r="N376" s="61" t="str">
        <f aca="false">IF(IsPro,IF($D376="","",IF(AND(V376&lt;&gt;"",INDEX(Parties!$E$5:$E$304,V376)&lt;&gt;"",INDEX(Parties!$E$5:$E$304,V376)&lt;&gt;HomeState),0,ROUND(L376*M376/2,2))),"")</f>
        <v/>
      </c>
      <c r="O376" s="61" t="str">
        <f aca="false">IF(IsPro,IF($D376="","",N376),"")</f>
        <v/>
      </c>
      <c r="P376" s="61" t="str">
        <f aca="false">IF(IsPro,IF($D376="","",IF(AND(V376&lt;&gt;"",INDEX(Parties!$E$5:$E$304,V376)&lt;&gt;"",INDEX(Parties!$E$5:$E$304,V376)&lt;&gt;HomeState),ROUND(L376*M376,2),0)),"")</f>
        <v/>
      </c>
      <c r="Q376" s="61" t="str">
        <f aca="false">IF(IsPro,IF($D376="","",L376+N376+O376+P376),"")</f>
        <v/>
      </c>
      <c r="R376" s="61" t="str">
        <f aca="false">IF(IsPro,IF($D376="","",ROUND(N($E376)*IFERROR(INDEX(Items!$P$5:$P$504,U376),0),2)),"")</f>
        <v/>
      </c>
      <c r="S376" s="61" t="str">
        <f aca="false">IF(IsPro,IF($D376="","",L376-R376),"")</f>
        <v/>
      </c>
      <c r="T376" s="60" t="str">
        <f aca="false">IF(IsPro,IF($D376="","",IF(U376="","UNKNOWN ITEM",IF(INDEX(Items!$O$5:$O$504,U376)&lt;0,"NEG STOCK",IF(K376&lt;INDEX(Items!$P$5:$P$504,U376),"BELOW COST","OK")))),IF($D376="","","PRO PLAN"))</f>
        <v/>
      </c>
      <c r="U376" s="60" t="str">
        <f aca="false">IF(IsPro,IF($D376="","",IFERROR(MATCH($D376,Items!$A$5:$A$504,0),"")),"")</f>
        <v/>
      </c>
      <c r="V376" s="60" t="str">
        <f aca="false">IF(IsPro,IF($C376="","",IFERROR(MATCH($C376,Parties!$A$5:$A$304,0),"")),"")</f>
        <v/>
      </c>
      <c r="W376" s="60" t="str">
        <f aca="false">IF(IsPro,IF($B376="","",IFERROR(VALUE(SUBSTITUTE($B376,InvPrefix,"")),0)),"")</f>
        <v/>
      </c>
      <c r="X376" s="61" t="str">
        <f aca="false">IF(IsPro,IF($D376="","",IF(OR($H376="",$H376="Credit"),0,Q376)),"")</f>
        <v/>
      </c>
    </row>
    <row r="377" customFormat="false" ht="15" hidden="false" customHeight="false" outlineLevel="0" collapsed="false">
      <c r="A377" s="55"/>
      <c r="B377" s="56"/>
      <c r="C377" s="56"/>
      <c r="D377" s="56"/>
      <c r="E377" s="57"/>
      <c r="F377" s="58"/>
      <c r="G377" s="59"/>
      <c r="H377" s="56"/>
      <c r="I377" s="56"/>
      <c r="J377" s="60" t="str">
        <f aca="false">IF(IsPro,IF($D377="","",IFERROR(INDEX(Items!$D$5:$D$504,U377),"")),"")</f>
        <v/>
      </c>
      <c r="K377" s="61" t="str">
        <f aca="false">IF(IsPro,IF($D377="","",IF($F377="",IFERROR(INDEX(Items!$H$5:$H$504,U377),0),$F377)),"")</f>
        <v/>
      </c>
      <c r="L377" s="61" t="str">
        <f aca="false">IF(IsPro,IF($D377="","",ROUND(N($E377)*K377*(1-N($G377)),2)),"")</f>
        <v/>
      </c>
      <c r="M377" s="62" t="str">
        <f aca="false">IF(IsPro,IF($D377="","",IFERROR(INDEX(Items!$F$5:$F$504,U377),0)),"")</f>
        <v/>
      </c>
      <c r="N377" s="61" t="str">
        <f aca="false">IF(IsPro,IF($D377="","",IF(AND(V377&lt;&gt;"",INDEX(Parties!$E$5:$E$304,V377)&lt;&gt;"",INDEX(Parties!$E$5:$E$304,V377)&lt;&gt;HomeState),0,ROUND(L377*M377/2,2))),"")</f>
        <v/>
      </c>
      <c r="O377" s="61" t="str">
        <f aca="false">IF(IsPro,IF($D377="","",N377),"")</f>
        <v/>
      </c>
      <c r="P377" s="61" t="str">
        <f aca="false">IF(IsPro,IF($D377="","",IF(AND(V377&lt;&gt;"",INDEX(Parties!$E$5:$E$304,V377)&lt;&gt;"",INDEX(Parties!$E$5:$E$304,V377)&lt;&gt;HomeState),ROUND(L377*M377,2),0)),"")</f>
        <v/>
      </c>
      <c r="Q377" s="61" t="str">
        <f aca="false">IF(IsPro,IF($D377="","",L377+N377+O377+P377),"")</f>
        <v/>
      </c>
      <c r="R377" s="61" t="str">
        <f aca="false">IF(IsPro,IF($D377="","",ROUND(N($E377)*IFERROR(INDEX(Items!$P$5:$P$504,U377),0),2)),"")</f>
        <v/>
      </c>
      <c r="S377" s="61" t="str">
        <f aca="false">IF(IsPro,IF($D377="","",L377-R377),"")</f>
        <v/>
      </c>
      <c r="T377" s="60" t="str">
        <f aca="false">IF(IsPro,IF($D377="","",IF(U377="","UNKNOWN ITEM",IF(INDEX(Items!$O$5:$O$504,U377)&lt;0,"NEG STOCK",IF(K377&lt;INDEX(Items!$P$5:$P$504,U377),"BELOW COST","OK")))),IF($D377="","","PRO PLAN"))</f>
        <v/>
      </c>
      <c r="U377" s="60" t="str">
        <f aca="false">IF(IsPro,IF($D377="","",IFERROR(MATCH($D377,Items!$A$5:$A$504,0),"")),"")</f>
        <v/>
      </c>
      <c r="V377" s="60" t="str">
        <f aca="false">IF(IsPro,IF($C377="","",IFERROR(MATCH($C377,Parties!$A$5:$A$304,0),"")),"")</f>
        <v/>
      </c>
      <c r="W377" s="60" t="str">
        <f aca="false">IF(IsPro,IF($B377="","",IFERROR(VALUE(SUBSTITUTE($B377,InvPrefix,"")),0)),"")</f>
        <v/>
      </c>
      <c r="X377" s="61" t="str">
        <f aca="false">IF(IsPro,IF($D377="","",IF(OR($H377="",$H377="Credit"),0,Q377)),"")</f>
        <v/>
      </c>
    </row>
    <row r="378" customFormat="false" ht="15" hidden="false" customHeight="false" outlineLevel="0" collapsed="false">
      <c r="A378" s="55"/>
      <c r="B378" s="56"/>
      <c r="C378" s="56"/>
      <c r="D378" s="56"/>
      <c r="E378" s="57"/>
      <c r="F378" s="58"/>
      <c r="G378" s="59"/>
      <c r="H378" s="56"/>
      <c r="I378" s="56"/>
      <c r="J378" s="60" t="str">
        <f aca="false">IF(IsPro,IF($D378="","",IFERROR(INDEX(Items!$D$5:$D$504,U378),"")),"")</f>
        <v/>
      </c>
      <c r="K378" s="61" t="str">
        <f aca="false">IF(IsPro,IF($D378="","",IF($F378="",IFERROR(INDEX(Items!$H$5:$H$504,U378),0),$F378)),"")</f>
        <v/>
      </c>
      <c r="L378" s="61" t="str">
        <f aca="false">IF(IsPro,IF($D378="","",ROUND(N($E378)*K378*(1-N($G378)),2)),"")</f>
        <v/>
      </c>
      <c r="M378" s="62" t="str">
        <f aca="false">IF(IsPro,IF($D378="","",IFERROR(INDEX(Items!$F$5:$F$504,U378),0)),"")</f>
        <v/>
      </c>
      <c r="N378" s="61" t="str">
        <f aca="false">IF(IsPro,IF($D378="","",IF(AND(V378&lt;&gt;"",INDEX(Parties!$E$5:$E$304,V378)&lt;&gt;"",INDEX(Parties!$E$5:$E$304,V378)&lt;&gt;HomeState),0,ROUND(L378*M378/2,2))),"")</f>
        <v/>
      </c>
      <c r="O378" s="61" t="str">
        <f aca="false">IF(IsPro,IF($D378="","",N378),"")</f>
        <v/>
      </c>
      <c r="P378" s="61" t="str">
        <f aca="false">IF(IsPro,IF($D378="","",IF(AND(V378&lt;&gt;"",INDEX(Parties!$E$5:$E$304,V378)&lt;&gt;"",INDEX(Parties!$E$5:$E$304,V378)&lt;&gt;HomeState),ROUND(L378*M378,2),0)),"")</f>
        <v/>
      </c>
      <c r="Q378" s="61" t="str">
        <f aca="false">IF(IsPro,IF($D378="","",L378+N378+O378+P378),"")</f>
        <v/>
      </c>
      <c r="R378" s="61" t="str">
        <f aca="false">IF(IsPro,IF($D378="","",ROUND(N($E378)*IFERROR(INDEX(Items!$P$5:$P$504,U378),0),2)),"")</f>
        <v/>
      </c>
      <c r="S378" s="61" t="str">
        <f aca="false">IF(IsPro,IF($D378="","",L378-R378),"")</f>
        <v/>
      </c>
      <c r="T378" s="60" t="str">
        <f aca="false">IF(IsPro,IF($D378="","",IF(U378="","UNKNOWN ITEM",IF(INDEX(Items!$O$5:$O$504,U378)&lt;0,"NEG STOCK",IF(K378&lt;INDEX(Items!$P$5:$P$504,U378),"BELOW COST","OK")))),IF($D378="","","PRO PLAN"))</f>
        <v/>
      </c>
      <c r="U378" s="60" t="str">
        <f aca="false">IF(IsPro,IF($D378="","",IFERROR(MATCH($D378,Items!$A$5:$A$504,0),"")),"")</f>
        <v/>
      </c>
      <c r="V378" s="60" t="str">
        <f aca="false">IF(IsPro,IF($C378="","",IFERROR(MATCH($C378,Parties!$A$5:$A$304,0),"")),"")</f>
        <v/>
      </c>
      <c r="W378" s="60" t="str">
        <f aca="false">IF(IsPro,IF($B378="","",IFERROR(VALUE(SUBSTITUTE($B378,InvPrefix,"")),0)),"")</f>
        <v/>
      </c>
      <c r="X378" s="61" t="str">
        <f aca="false">IF(IsPro,IF($D378="","",IF(OR($H378="",$H378="Credit"),0,Q378)),"")</f>
        <v/>
      </c>
    </row>
    <row r="379" customFormat="false" ht="15" hidden="false" customHeight="false" outlineLevel="0" collapsed="false">
      <c r="A379" s="55"/>
      <c r="B379" s="56"/>
      <c r="C379" s="56"/>
      <c r="D379" s="56"/>
      <c r="E379" s="57"/>
      <c r="F379" s="58"/>
      <c r="G379" s="59"/>
      <c r="H379" s="56"/>
      <c r="I379" s="56"/>
      <c r="J379" s="60" t="str">
        <f aca="false">IF(IsPro,IF($D379="","",IFERROR(INDEX(Items!$D$5:$D$504,U379),"")),"")</f>
        <v/>
      </c>
      <c r="K379" s="61" t="str">
        <f aca="false">IF(IsPro,IF($D379="","",IF($F379="",IFERROR(INDEX(Items!$H$5:$H$504,U379),0),$F379)),"")</f>
        <v/>
      </c>
      <c r="L379" s="61" t="str">
        <f aca="false">IF(IsPro,IF($D379="","",ROUND(N($E379)*K379*(1-N($G379)),2)),"")</f>
        <v/>
      </c>
      <c r="M379" s="62" t="str">
        <f aca="false">IF(IsPro,IF($D379="","",IFERROR(INDEX(Items!$F$5:$F$504,U379),0)),"")</f>
        <v/>
      </c>
      <c r="N379" s="61" t="str">
        <f aca="false">IF(IsPro,IF($D379="","",IF(AND(V379&lt;&gt;"",INDEX(Parties!$E$5:$E$304,V379)&lt;&gt;"",INDEX(Parties!$E$5:$E$304,V379)&lt;&gt;HomeState),0,ROUND(L379*M379/2,2))),"")</f>
        <v/>
      </c>
      <c r="O379" s="61" t="str">
        <f aca="false">IF(IsPro,IF($D379="","",N379),"")</f>
        <v/>
      </c>
      <c r="P379" s="61" t="str">
        <f aca="false">IF(IsPro,IF($D379="","",IF(AND(V379&lt;&gt;"",INDEX(Parties!$E$5:$E$304,V379)&lt;&gt;"",INDEX(Parties!$E$5:$E$304,V379)&lt;&gt;HomeState),ROUND(L379*M379,2),0)),"")</f>
        <v/>
      </c>
      <c r="Q379" s="61" t="str">
        <f aca="false">IF(IsPro,IF($D379="","",L379+N379+O379+P379),"")</f>
        <v/>
      </c>
      <c r="R379" s="61" t="str">
        <f aca="false">IF(IsPro,IF($D379="","",ROUND(N($E379)*IFERROR(INDEX(Items!$P$5:$P$504,U379),0),2)),"")</f>
        <v/>
      </c>
      <c r="S379" s="61" t="str">
        <f aca="false">IF(IsPro,IF($D379="","",L379-R379),"")</f>
        <v/>
      </c>
      <c r="T379" s="60" t="str">
        <f aca="false">IF(IsPro,IF($D379="","",IF(U379="","UNKNOWN ITEM",IF(INDEX(Items!$O$5:$O$504,U379)&lt;0,"NEG STOCK",IF(K379&lt;INDEX(Items!$P$5:$P$504,U379),"BELOW COST","OK")))),IF($D379="","","PRO PLAN"))</f>
        <v/>
      </c>
      <c r="U379" s="60" t="str">
        <f aca="false">IF(IsPro,IF($D379="","",IFERROR(MATCH($D379,Items!$A$5:$A$504,0),"")),"")</f>
        <v/>
      </c>
      <c r="V379" s="60" t="str">
        <f aca="false">IF(IsPro,IF($C379="","",IFERROR(MATCH($C379,Parties!$A$5:$A$304,0),"")),"")</f>
        <v/>
      </c>
      <c r="W379" s="60" t="str">
        <f aca="false">IF(IsPro,IF($B379="","",IFERROR(VALUE(SUBSTITUTE($B379,InvPrefix,"")),0)),"")</f>
        <v/>
      </c>
      <c r="X379" s="61" t="str">
        <f aca="false">IF(IsPro,IF($D379="","",IF(OR($H379="",$H379="Credit"),0,Q379)),"")</f>
        <v/>
      </c>
    </row>
    <row r="380" customFormat="false" ht="15" hidden="false" customHeight="false" outlineLevel="0" collapsed="false">
      <c r="A380" s="55"/>
      <c r="B380" s="56"/>
      <c r="C380" s="56"/>
      <c r="D380" s="56"/>
      <c r="E380" s="57"/>
      <c r="F380" s="58"/>
      <c r="G380" s="59"/>
      <c r="H380" s="56"/>
      <c r="I380" s="56"/>
      <c r="J380" s="60" t="str">
        <f aca="false">IF(IsPro,IF($D380="","",IFERROR(INDEX(Items!$D$5:$D$504,U380),"")),"")</f>
        <v/>
      </c>
      <c r="K380" s="61" t="str">
        <f aca="false">IF(IsPro,IF($D380="","",IF($F380="",IFERROR(INDEX(Items!$H$5:$H$504,U380),0),$F380)),"")</f>
        <v/>
      </c>
      <c r="L380" s="61" t="str">
        <f aca="false">IF(IsPro,IF($D380="","",ROUND(N($E380)*K380*(1-N($G380)),2)),"")</f>
        <v/>
      </c>
      <c r="M380" s="62" t="str">
        <f aca="false">IF(IsPro,IF($D380="","",IFERROR(INDEX(Items!$F$5:$F$504,U380),0)),"")</f>
        <v/>
      </c>
      <c r="N380" s="61" t="str">
        <f aca="false">IF(IsPro,IF($D380="","",IF(AND(V380&lt;&gt;"",INDEX(Parties!$E$5:$E$304,V380)&lt;&gt;"",INDEX(Parties!$E$5:$E$304,V380)&lt;&gt;HomeState),0,ROUND(L380*M380/2,2))),"")</f>
        <v/>
      </c>
      <c r="O380" s="61" t="str">
        <f aca="false">IF(IsPro,IF($D380="","",N380),"")</f>
        <v/>
      </c>
      <c r="P380" s="61" t="str">
        <f aca="false">IF(IsPro,IF($D380="","",IF(AND(V380&lt;&gt;"",INDEX(Parties!$E$5:$E$304,V380)&lt;&gt;"",INDEX(Parties!$E$5:$E$304,V380)&lt;&gt;HomeState),ROUND(L380*M380,2),0)),"")</f>
        <v/>
      </c>
      <c r="Q380" s="61" t="str">
        <f aca="false">IF(IsPro,IF($D380="","",L380+N380+O380+P380),"")</f>
        <v/>
      </c>
      <c r="R380" s="61" t="str">
        <f aca="false">IF(IsPro,IF($D380="","",ROUND(N($E380)*IFERROR(INDEX(Items!$P$5:$P$504,U380),0),2)),"")</f>
        <v/>
      </c>
      <c r="S380" s="61" t="str">
        <f aca="false">IF(IsPro,IF($D380="","",L380-R380),"")</f>
        <v/>
      </c>
      <c r="T380" s="60" t="str">
        <f aca="false">IF(IsPro,IF($D380="","",IF(U380="","UNKNOWN ITEM",IF(INDEX(Items!$O$5:$O$504,U380)&lt;0,"NEG STOCK",IF(K380&lt;INDEX(Items!$P$5:$P$504,U380),"BELOW COST","OK")))),IF($D380="","","PRO PLAN"))</f>
        <v/>
      </c>
      <c r="U380" s="60" t="str">
        <f aca="false">IF(IsPro,IF($D380="","",IFERROR(MATCH($D380,Items!$A$5:$A$504,0),"")),"")</f>
        <v/>
      </c>
      <c r="V380" s="60" t="str">
        <f aca="false">IF(IsPro,IF($C380="","",IFERROR(MATCH($C380,Parties!$A$5:$A$304,0),"")),"")</f>
        <v/>
      </c>
      <c r="W380" s="60" t="str">
        <f aca="false">IF(IsPro,IF($B380="","",IFERROR(VALUE(SUBSTITUTE($B380,InvPrefix,"")),0)),"")</f>
        <v/>
      </c>
      <c r="X380" s="61" t="str">
        <f aca="false">IF(IsPro,IF($D380="","",IF(OR($H380="",$H380="Credit"),0,Q380)),"")</f>
        <v/>
      </c>
    </row>
    <row r="381" customFormat="false" ht="15" hidden="false" customHeight="false" outlineLevel="0" collapsed="false">
      <c r="A381" s="55"/>
      <c r="B381" s="56"/>
      <c r="C381" s="56"/>
      <c r="D381" s="56"/>
      <c r="E381" s="57"/>
      <c r="F381" s="58"/>
      <c r="G381" s="59"/>
      <c r="H381" s="56"/>
      <c r="I381" s="56"/>
      <c r="J381" s="60" t="str">
        <f aca="false">IF(IsPro,IF($D381="","",IFERROR(INDEX(Items!$D$5:$D$504,U381),"")),"")</f>
        <v/>
      </c>
      <c r="K381" s="61" t="str">
        <f aca="false">IF(IsPro,IF($D381="","",IF($F381="",IFERROR(INDEX(Items!$H$5:$H$504,U381),0),$F381)),"")</f>
        <v/>
      </c>
      <c r="L381" s="61" t="str">
        <f aca="false">IF(IsPro,IF($D381="","",ROUND(N($E381)*K381*(1-N($G381)),2)),"")</f>
        <v/>
      </c>
      <c r="M381" s="62" t="str">
        <f aca="false">IF(IsPro,IF($D381="","",IFERROR(INDEX(Items!$F$5:$F$504,U381),0)),"")</f>
        <v/>
      </c>
      <c r="N381" s="61" t="str">
        <f aca="false">IF(IsPro,IF($D381="","",IF(AND(V381&lt;&gt;"",INDEX(Parties!$E$5:$E$304,V381)&lt;&gt;"",INDEX(Parties!$E$5:$E$304,V381)&lt;&gt;HomeState),0,ROUND(L381*M381/2,2))),"")</f>
        <v/>
      </c>
      <c r="O381" s="61" t="str">
        <f aca="false">IF(IsPro,IF($D381="","",N381),"")</f>
        <v/>
      </c>
      <c r="P381" s="61" t="str">
        <f aca="false">IF(IsPro,IF($D381="","",IF(AND(V381&lt;&gt;"",INDEX(Parties!$E$5:$E$304,V381)&lt;&gt;"",INDEX(Parties!$E$5:$E$304,V381)&lt;&gt;HomeState),ROUND(L381*M381,2),0)),"")</f>
        <v/>
      </c>
      <c r="Q381" s="61" t="str">
        <f aca="false">IF(IsPro,IF($D381="","",L381+N381+O381+P381),"")</f>
        <v/>
      </c>
      <c r="R381" s="61" t="str">
        <f aca="false">IF(IsPro,IF($D381="","",ROUND(N($E381)*IFERROR(INDEX(Items!$P$5:$P$504,U381),0),2)),"")</f>
        <v/>
      </c>
      <c r="S381" s="61" t="str">
        <f aca="false">IF(IsPro,IF($D381="","",L381-R381),"")</f>
        <v/>
      </c>
      <c r="T381" s="60" t="str">
        <f aca="false">IF(IsPro,IF($D381="","",IF(U381="","UNKNOWN ITEM",IF(INDEX(Items!$O$5:$O$504,U381)&lt;0,"NEG STOCK",IF(K381&lt;INDEX(Items!$P$5:$P$504,U381),"BELOW COST","OK")))),IF($D381="","","PRO PLAN"))</f>
        <v/>
      </c>
      <c r="U381" s="60" t="str">
        <f aca="false">IF(IsPro,IF($D381="","",IFERROR(MATCH($D381,Items!$A$5:$A$504,0),"")),"")</f>
        <v/>
      </c>
      <c r="V381" s="60" t="str">
        <f aca="false">IF(IsPro,IF($C381="","",IFERROR(MATCH($C381,Parties!$A$5:$A$304,0),"")),"")</f>
        <v/>
      </c>
      <c r="W381" s="60" t="str">
        <f aca="false">IF(IsPro,IF($B381="","",IFERROR(VALUE(SUBSTITUTE($B381,InvPrefix,"")),0)),"")</f>
        <v/>
      </c>
      <c r="X381" s="61" t="str">
        <f aca="false">IF(IsPro,IF($D381="","",IF(OR($H381="",$H381="Credit"),0,Q381)),"")</f>
        <v/>
      </c>
    </row>
    <row r="382" customFormat="false" ht="15" hidden="false" customHeight="false" outlineLevel="0" collapsed="false">
      <c r="A382" s="55"/>
      <c r="B382" s="56"/>
      <c r="C382" s="56"/>
      <c r="D382" s="56"/>
      <c r="E382" s="57"/>
      <c r="F382" s="58"/>
      <c r="G382" s="59"/>
      <c r="H382" s="56"/>
      <c r="I382" s="56"/>
      <c r="J382" s="60" t="str">
        <f aca="false">IF(IsPro,IF($D382="","",IFERROR(INDEX(Items!$D$5:$D$504,U382),"")),"")</f>
        <v/>
      </c>
      <c r="K382" s="61" t="str">
        <f aca="false">IF(IsPro,IF($D382="","",IF($F382="",IFERROR(INDEX(Items!$H$5:$H$504,U382),0),$F382)),"")</f>
        <v/>
      </c>
      <c r="L382" s="61" t="str">
        <f aca="false">IF(IsPro,IF($D382="","",ROUND(N($E382)*K382*(1-N($G382)),2)),"")</f>
        <v/>
      </c>
      <c r="M382" s="62" t="str">
        <f aca="false">IF(IsPro,IF($D382="","",IFERROR(INDEX(Items!$F$5:$F$504,U382),0)),"")</f>
        <v/>
      </c>
      <c r="N382" s="61" t="str">
        <f aca="false">IF(IsPro,IF($D382="","",IF(AND(V382&lt;&gt;"",INDEX(Parties!$E$5:$E$304,V382)&lt;&gt;"",INDEX(Parties!$E$5:$E$304,V382)&lt;&gt;HomeState),0,ROUND(L382*M382/2,2))),"")</f>
        <v/>
      </c>
      <c r="O382" s="61" t="str">
        <f aca="false">IF(IsPro,IF($D382="","",N382),"")</f>
        <v/>
      </c>
      <c r="P382" s="61" t="str">
        <f aca="false">IF(IsPro,IF($D382="","",IF(AND(V382&lt;&gt;"",INDEX(Parties!$E$5:$E$304,V382)&lt;&gt;"",INDEX(Parties!$E$5:$E$304,V382)&lt;&gt;HomeState),ROUND(L382*M382,2),0)),"")</f>
        <v/>
      </c>
      <c r="Q382" s="61" t="str">
        <f aca="false">IF(IsPro,IF($D382="","",L382+N382+O382+P382),"")</f>
        <v/>
      </c>
      <c r="R382" s="61" t="str">
        <f aca="false">IF(IsPro,IF($D382="","",ROUND(N($E382)*IFERROR(INDEX(Items!$P$5:$P$504,U382),0),2)),"")</f>
        <v/>
      </c>
      <c r="S382" s="61" t="str">
        <f aca="false">IF(IsPro,IF($D382="","",L382-R382),"")</f>
        <v/>
      </c>
      <c r="T382" s="60" t="str">
        <f aca="false">IF(IsPro,IF($D382="","",IF(U382="","UNKNOWN ITEM",IF(INDEX(Items!$O$5:$O$504,U382)&lt;0,"NEG STOCK",IF(K382&lt;INDEX(Items!$P$5:$P$504,U382),"BELOW COST","OK")))),IF($D382="","","PRO PLAN"))</f>
        <v/>
      </c>
      <c r="U382" s="60" t="str">
        <f aca="false">IF(IsPro,IF($D382="","",IFERROR(MATCH($D382,Items!$A$5:$A$504,0),"")),"")</f>
        <v/>
      </c>
      <c r="V382" s="60" t="str">
        <f aca="false">IF(IsPro,IF($C382="","",IFERROR(MATCH($C382,Parties!$A$5:$A$304,0),"")),"")</f>
        <v/>
      </c>
      <c r="W382" s="60" t="str">
        <f aca="false">IF(IsPro,IF($B382="","",IFERROR(VALUE(SUBSTITUTE($B382,InvPrefix,"")),0)),"")</f>
        <v/>
      </c>
      <c r="X382" s="61" t="str">
        <f aca="false">IF(IsPro,IF($D382="","",IF(OR($H382="",$H382="Credit"),0,Q382)),"")</f>
        <v/>
      </c>
    </row>
    <row r="383" customFormat="false" ht="15" hidden="false" customHeight="false" outlineLevel="0" collapsed="false">
      <c r="A383" s="55"/>
      <c r="B383" s="56"/>
      <c r="C383" s="56"/>
      <c r="D383" s="56"/>
      <c r="E383" s="57"/>
      <c r="F383" s="58"/>
      <c r="G383" s="59"/>
      <c r="H383" s="56"/>
      <c r="I383" s="56"/>
      <c r="J383" s="60" t="str">
        <f aca="false">IF(IsPro,IF($D383="","",IFERROR(INDEX(Items!$D$5:$D$504,U383),"")),"")</f>
        <v/>
      </c>
      <c r="K383" s="61" t="str">
        <f aca="false">IF(IsPro,IF($D383="","",IF($F383="",IFERROR(INDEX(Items!$H$5:$H$504,U383),0),$F383)),"")</f>
        <v/>
      </c>
      <c r="L383" s="61" t="str">
        <f aca="false">IF(IsPro,IF($D383="","",ROUND(N($E383)*K383*(1-N($G383)),2)),"")</f>
        <v/>
      </c>
      <c r="M383" s="62" t="str">
        <f aca="false">IF(IsPro,IF($D383="","",IFERROR(INDEX(Items!$F$5:$F$504,U383),0)),"")</f>
        <v/>
      </c>
      <c r="N383" s="61" t="str">
        <f aca="false">IF(IsPro,IF($D383="","",IF(AND(V383&lt;&gt;"",INDEX(Parties!$E$5:$E$304,V383)&lt;&gt;"",INDEX(Parties!$E$5:$E$304,V383)&lt;&gt;HomeState),0,ROUND(L383*M383/2,2))),"")</f>
        <v/>
      </c>
      <c r="O383" s="61" t="str">
        <f aca="false">IF(IsPro,IF($D383="","",N383),"")</f>
        <v/>
      </c>
      <c r="P383" s="61" t="str">
        <f aca="false">IF(IsPro,IF($D383="","",IF(AND(V383&lt;&gt;"",INDEX(Parties!$E$5:$E$304,V383)&lt;&gt;"",INDEX(Parties!$E$5:$E$304,V383)&lt;&gt;HomeState),ROUND(L383*M383,2),0)),"")</f>
        <v/>
      </c>
      <c r="Q383" s="61" t="str">
        <f aca="false">IF(IsPro,IF($D383="","",L383+N383+O383+P383),"")</f>
        <v/>
      </c>
      <c r="R383" s="61" t="str">
        <f aca="false">IF(IsPro,IF($D383="","",ROUND(N($E383)*IFERROR(INDEX(Items!$P$5:$P$504,U383),0),2)),"")</f>
        <v/>
      </c>
      <c r="S383" s="61" t="str">
        <f aca="false">IF(IsPro,IF($D383="","",L383-R383),"")</f>
        <v/>
      </c>
      <c r="T383" s="60" t="str">
        <f aca="false">IF(IsPro,IF($D383="","",IF(U383="","UNKNOWN ITEM",IF(INDEX(Items!$O$5:$O$504,U383)&lt;0,"NEG STOCK",IF(K383&lt;INDEX(Items!$P$5:$P$504,U383),"BELOW COST","OK")))),IF($D383="","","PRO PLAN"))</f>
        <v/>
      </c>
      <c r="U383" s="60" t="str">
        <f aca="false">IF(IsPro,IF($D383="","",IFERROR(MATCH($D383,Items!$A$5:$A$504,0),"")),"")</f>
        <v/>
      </c>
      <c r="V383" s="60" t="str">
        <f aca="false">IF(IsPro,IF($C383="","",IFERROR(MATCH($C383,Parties!$A$5:$A$304,0),"")),"")</f>
        <v/>
      </c>
      <c r="W383" s="60" t="str">
        <f aca="false">IF(IsPro,IF($B383="","",IFERROR(VALUE(SUBSTITUTE($B383,InvPrefix,"")),0)),"")</f>
        <v/>
      </c>
      <c r="X383" s="61" t="str">
        <f aca="false">IF(IsPro,IF($D383="","",IF(OR($H383="",$H383="Credit"),0,Q383)),"")</f>
        <v/>
      </c>
    </row>
    <row r="384" customFormat="false" ht="15" hidden="false" customHeight="false" outlineLevel="0" collapsed="false">
      <c r="A384" s="55"/>
      <c r="B384" s="56"/>
      <c r="C384" s="56"/>
      <c r="D384" s="56"/>
      <c r="E384" s="57"/>
      <c r="F384" s="58"/>
      <c r="G384" s="59"/>
      <c r="H384" s="56"/>
      <c r="I384" s="56"/>
      <c r="J384" s="60" t="str">
        <f aca="false">IF(IsPro,IF($D384="","",IFERROR(INDEX(Items!$D$5:$D$504,U384),"")),"")</f>
        <v/>
      </c>
      <c r="K384" s="61" t="str">
        <f aca="false">IF(IsPro,IF($D384="","",IF($F384="",IFERROR(INDEX(Items!$H$5:$H$504,U384),0),$F384)),"")</f>
        <v/>
      </c>
      <c r="L384" s="61" t="str">
        <f aca="false">IF(IsPro,IF($D384="","",ROUND(N($E384)*K384*(1-N($G384)),2)),"")</f>
        <v/>
      </c>
      <c r="M384" s="62" t="str">
        <f aca="false">IF(IsPro,IF($D384="","",IFERROR(INDEX(Items!$F$5:$F$504,U384),0)),"")</f>
        <v/>
      </c>
      <c r="N384" s="61" t="str">
        <f aca="false">IF(IsPro,IF($D384="","",IF(AND(V384&lt;&gt;"",INDEX(Parties!$E$5:$E$304,V384)&lt;&gt;"",INDEX(Parties!$E$5:$E$304,V384)&lt;&gt;HomeState),0,ROUND(L384*M384/2,2))),"")</f>
        <v/>
      </c>
      <c r="O384" s="61" t="str">
        <f aca="false">IF(IsPro,IF($D384="","",N384),"")</f>
        <v/>
      </c>
      <c r="P384" s="61" t="str">
        <f aca="false">IF(IsPro,IF($D384="","",IF(AND(V384&lt;&gt;"",INDEX(Parties!$E$5:$E$304,V384)&lt;&gt;"",INDEX(Parties!$E$5:$E$304,V384)&lt;&gt;HomeState),ROUND(L384*M384,2),0)),"")</f>
        <v/>
      </c>
      <c r="Q384" s="61" t="str">
        <f aca="false">IF(IsPro,IF($D384="","",L384+N384+O384+P384),"")</f>
        <v/>
      </c>
      <c r="R384" s="61" t="str">
        <f aca="false">IF(IsPro,IF($D384="","",ROUND(N($E384)*IFERROR(INDEX(Items!$P$5:$P$504,U384),0),2)),"")</f>
        <v/>
      </c>
      <c r="S384" s="61" t="str">
        <f aca="false">IF(IsPro,IF($D384="","",L384-R384),"")</f>
        <v/>
      </c>
      <c r="T384" s="60" t="str">
        <f aca="false">IF(IsPro,IF($D384="","",IF(U384="","UNKNOWN ITEM",IF(INDEX(Items!$O$5:$O$504,U384)&lt;0,"NEG STOCK",IF(K384&lt;INDEX(Items!$P$5:$P$504,U384),"BELOW COST","OK")))),IF($D384="","","PRO PLAN"))</f>
        <v/>
      </c>
      <c r="U384" s="60" t="str">
        <f aca="false">IF(IsPro,IF($D384="","",IFERROR(MATCH($D384,Items!$A$5:$A$504,0),"")),"")</f>
        <v/>
      </c>
      <c r="V384" s="60" t="str">
        <f aca="false">IF(IsPro,IF($C384="","",IFERROR(MATCH($C384,Parties!$A$5:$A$304,0),"")),"")</f>
        <v/>
      </c>
      <c r="W384" s="60" t="str">
        <f aca="false">IF(IsPro,IF($B384="","",IFERROR(VALUE(SUBSTITUTE($B384,InvPrefix,"")),0)),"")</f>
        <v/>
      </c>
      <c r="X384" s="61" t="str">
        <f aca="false">IF(IsPro,IF($D384="","",IF(OR($H384="",$H384="Credit"),0,Q384)),"")</f>
        <v/>
      </c>
    </row>
    <row r="385" customFormat="false" ht="15" hidden="false" customHeight="false" outlineLevel="0" collapsed="false">
      <c r="A385" s="55"/>
      <c r="B385" s="56"/>
      <c r="C385" s="56"/>
      <c r="D385" s="56"/>
      <c r="E385" s="57"/>
      <c r="F385" s="58"/>
      <c r="G385" s="59"/>
      <c r="H385" s="56"/>
      <c r="I385" s="56"/>
      <c r="J385" s="60" t="str">
        <f aca="false">IF(IsPro,IF($D385="","",IFERROR(INDEX(Items!$D$5:$D$504,U385),"")),"")</f>
        <v/>
      </c>
      <c r="K385" s="61" t="str">
        <f aca="false">IF(IsPro,IF($D385="","",IF($F385="",IFERROR(INDEX(Items!$H$5:$H$504,U385),0),$F385)),"")</f>
        <v/>
      </c>
      <c r="L385" s="61" t="str">
        <f aca="false">IF(IsPro,IF($D385="","",ROUND(N($E385)*K385*(1-N($G385)),2)),"")</f>
        <v/>
      </c>
      <c r="M385" s="62" t="str">
        <f aca="false">IF(IsPro,IF($D385="","",IFERROR(INDEX(Items!$F$5:$F$504,U385),0)),"")</f>
        <v/>
      </c>
      <c r="N385" s="61" t="str">
        <f aca="false">IF(IsPro,IF($D385="","",IF(AND(V385&lt;&gt;"",INDEX(Parties!$E$5:$E$304,V385)&lt;&gt;"",INDEX(Parties!$E$5:$E$304,V385)&lt;&gt;HomeState),0,ROUND(L385*M385/2,2))),"")</f>
        <v/>
      </c>
      <c r="O385" s="61" t="str">
        <f aca="false">IF(IsPro,IF($D385="","",N385),"")</f>
        <v/>
      </c>
      <c r="P385" s="61" t="str">
        <f aca="false">IF(IsPro,IF($D385="","",IF(AND(V385&lt;&gt;"",INDEX(Parties!$E$5:$E$304,V385)&lt;&gt;"",INDEX(Parties!$E$5:$E$304,V385)&lt;&gt;HomeState),ROUND(L385*M385,2),0)),"")</f>
        <v/>
      </c>
      <c r="Q385" s="61" t="str">
        <f aca="false">IF(IsPro,IF($D385="","",L385+N385+O385+P385),"")</f>
        <v/>
      </c>
      <c r="R385" s="61" t="str">
        <f aca="false">IF(IsPro,IF($D385="","",ROUND(N($E385)*IFERROR(INDEX(Items!$P$5:$P$504,U385),0),2)),"")</f>
        <v/>
      </c>
      <c r="S385" s="61" t="str">
        <f aca="false">IF(IsPro,IF($D385="","",L385-R385),"")</f>
        <v/>
      </c>
      <c r="T385" s="60" t="str">
        <f aca="false">IF(IsPro,IF($D385="","",IF(U385="","UNKNOWN ITEM",IF(INDEX(Items!$O$5:$O$504,U385)&lt;0,"NEG STOCK",IF(K385&lt;INDEX(Items!$P$5:$P$504,U385),"BELOW COST","OK")))),IF($D385="","","PRO PLAN"))</f>
        <v/>
      </c>
      <c r="U385" s="60" t="str">
        <f aca="false">IF(IsPro,IF($D385="","",IFERROR(MATCH($D385,Items!$A$5:$A$504,0),"")),"")</f>
        <v/>
      </c>
      <c r="V385" s="60" t="str">
        <f aca="false">IF(IsPro,IF($C385="","",IFERROR(MATCH($C385,Parties!$A$5:$A$304,0),"")),"")</f>
        <v/>
      </c>
      <c r="W385" s="60" t="str">
        <f aca="false">IF(IsPro,IF($B385="","",IFERROR(VALUE(SUBSTITUTE($B385,InvPrefix,"")),0)),"")</f>
        <v/>
      </c>
      <c r="X385" s="61" t="str">
        <f aca="false">IF(IsPro,IF($D385="","",IF(OR($H385="",$H385="Credit"),0,Q385)),"")</f>
        <v/>
      </c>
    </row>
    <row r="386" customFormat="false" ht="15" hidden="false" customHeight="false" outlineLevel="0" collapsed="false">
      <c r="A386" s="55"/>
      <c r="B386" s="56"/>
      <c r="C386" s="56"/>
      <c r="D386" s="56"/>
      <c r="E386" s="57"/>
      <c r="F386" s="58"/>
      <c r="G386" s="59"/>
      <c r="H386" s="56"/>
      <c r="I386" s="56"/>
      <c r="J386" s="60" t="str">
        <f aca="false">IF(IsPro,IF($D386="","",IFERROR(INDEX(Items!$D$5:$D$504,U386),"")),"")</f>
        <v/>
      </c>
      <c r="K386" s="61" t="str">
        <f aca="false">IF(IsPro,IF($D386="","",IF($F386="",IFERROR(INDEX(Items!$H$5:$H$504,U386),0),$F386)),"")</f>
        <v/>
      </c>
      <c r="L386" s="61" t="str">
        <f aca="false">IF(IsPro,IF($D386="","",ROUND(N($E386)*K386*(1-N($G386)),2)),"")</f>
        <v/>
      </c>
      <c r="M386" s="62" t="str">
        <f aca="false">IF(IsPro,IF($D386="","",IFERROR(INDEX(Items!$F$5:$F$504,U386),0)),"")</f>
        <v/>
      </c>
      <c r="N386" s="61" t="str">
        <f aca="false">IF(IsPro,IF($D386="","",IF(AND(V386&lt;&gt;"",INDEX(Parties!$E$5:$E$304,V386)&lt;&gt;"",INDEX(Parties!$E$5:$E$304,V386)&lt;&gt;HomeState),0,ROUND(L386*M386/2,2))),"")</f>
        <v/>
      </c>
      <c r="O386" s="61" t="str">
        <f aca="false">IF(IsPro,IF($D386="","",N386),"")</f>
        <v/>
      </c>
      <c r="P386" s="61" t="str">
        <f aca="false">IF(IsPro,IF($D386="","",IF(AND(V386&lt;&gt;"",INDEX(Parties!$E$5:$E$304,V386)&lt;&gt;"",INDEX(Parties!$E$5:$E$304,V386)&lt;&gt;HomeState),ROUND(L386*M386,2),0)),"")</f>
        <v/>
      </c>
      <c r="Q386" s="61" t="str">
        <f aca="false">IF(IsPro,IF($D386="","",L386+N386+O386+P386),"")</f>
        <v/>
      </c>
      <c r="R386" s="61" t="str">
        <f aca="false">IF(IsPro,IF($D386="","",ROUND(N($E386)*IFERROR(INDEX(Items!$P$5:$P$504,U386),0),2)),"")</f>
        <v/>
      </c>
      <c r="S386" s="61" t="str">
        <f aca="false">IF(IsPro,IF($D386="","",L386-R386),"")</f>
        <v/>
      </c>
      <c r="T386" s="60" t="str">
        <f aca="false">IF(IsPro,IF($D386="","",IF(U386="","UNKNOWN ITEM",IF(INDEX(Items!$O$5:$O$504,U386)&lt;0,"NEG STOCK",IF(K386&lt;INDEX(Items!$P$5:$P$504,U386),"BELOW COST","OK")))),IF($D386="","","PRO PLAN"))</f>
        <v/>
      </c>
      <c r="U386" s="60" t="str">
        <f aca="false">IF(IsPro,IF($D386="","",IFERROR(MATCH($D386,Items!$A$5:$A$504,0),"")),"")</f>
        <v/>
      </c>
      <c r="V386" s="60" t="str">
        <f aca="false">IF(IsPro,IF($C386="","",IFERROR(MATCH($C386,Parties!$A$5:$A$304,0),"")),"")</f>
        <v/>
      </c>
      <c r="W386" s="60" t="str">
        <f aca="false">IF(IsPro,IF($B386="","",IFERROR(VALUE(SUBSTITUTE($B386,InvPrefix,"")),0)),"")</f>
        <v/>
      </c>
      <c r="X386" s="61" t="str">
        <f aca="false">IF(IsPro,IF($D386="","",IF(OR($H386="",$H386="Credit"),0,Q386)),"")</f>
        <v/>
      </c>
    </row>
    <row r="387" customFormat="false" ht="15" hidden="false" customHeight="false" outlineLevel="0" collapsed="false">
      <c r="A387" s="55"/>
      <c r="B387" s="56"/>
      <c r="C387" s="56"/>
      <c r="D387" s="56"/>
      <c r="E387" s="57"/>
      <c r="F387" s="58"/>
      <c r="G387" s="59"/>
      <c r="H387" s="56"/>
      <c r="I387" s="56"/>
      <c r="J387" s="60" t="str">
        <f aca="false">IF(IsPro,IF($D387="","",IFERROR(INDEX(Items!$D$5:$D$504,U387),"")),"")</f>
        <v/>
      </c>
      <c r="K387" s="61" t="str">
        <f aca="false">IF(IsPro,IF($D387="","",IF($F387="",IFERROR(INDEX(Items!$H$5:$H$504,U387),0),$F387)),"")</f>
        <v/>
      </c>
      <c r="L387" s="61" t="str">
        <f aca="false">IF(IsPro,IF($D387="","",ROUND(N($E387)*K387*(1-N($G387)),2)),"")</f>
        <v/>
      </c>
      <c r="M387" s="62" t="str">
        <f aca="false">IF(IsPro,IF($D387="","",IFERROR(INDEX(Items!$F$5:$F$504,U387),0)),"")</f>
        <v/>
      </c>
      <c r="N387" s="61" t="str">
        <f aca="false">IF(IsPro,IF($D387="","",IF(AND(V387&lt;&gt;"",INDEX(Parties!$E$5:$E$304,V387)&lt;&gt;"",INDEX(Parties!$E$5:$E$304,V387)&lt;&gt;HomeState),0,ROUND(L387*M387/2,2))),"")</f>
        <v/>
      </c>
      <c r="O387" s="61" t="str">
        <f aca="false">IF(IsPro,IF($D387="","",N387),"")</f>
        <v/>
      </c>
      <c r="P387" s="61" t="str">
        <f aca="false">IF(IsPro,IF($D387="","",IF(AND(V387&lt;&gt;"",INDEX(Parties!$E$5:$E$304,V387)&lt;&gt;"",INDEX(Parties!$E$5:$E$304,V387)&lt;&gt;HomeState),ROUND(L387*M387,2),0)),"")</f>
        <v/>
      </c>
      <c r="Q387" s="61" t="str">
        <f aca="false">IF(IsPro,IF($D387="","",L387+N387+O387+P387),"")</f>
        <v/>
      </c>
      <c r="R387" s="61" t="str">
        <f aca="false">IF(IsPro,IF($D387="","",ROUND(N($E387)*IFERROR(INDEX(Items!$P$5:$P$504,U387),0),2)),"")</f>
        <v/>
      </c>
      <c r="S387" s="61" t="str">
        <f aca="false">IF(IsPro,IF($D387="","",L387-R387),"")</f>
        <v/>
      </c>
      <c r="T387" s="60" t="str">
        <f aca="false">IF(IsPro,IF($D387="","",IF(U387="","UNKNOWN ITEM",IF(INDEX(Items!$O$5:$O$504,U387)&lt;0,"NEG STOCK",IF(K387&lt;INDEX(Items!$P$5:$P$504,U387),"BELOW COST","OK")))),IF($D387="","","PRO PLAN"))</f>
        <v/>
      </c>
      <c r="U387" s="60" t="str">
        <f aca="false">IF(IsPro,IF($D387="","",IFERROR(MATCH($D387,Items!$A$5:$A$504,0),"")),"")</f>
        <v/>
      </c>
      <c r="V387" s="60" t="str">
        <f aca="false">IF(IsPro,IF($C387="","",IFERROR(MATCH($C387,Parties!$A$5:$A$304,0),"")),"")</f>
        <v/>
      </c>
      <c r="W387" s="60" t="str">
        <f aca="false">IF(IsPro,IF($B387="","",IFERROR(VALUE(SUBSTITUTE($B387,InvPrefix,"")),0)),"")</f>
        <v/>
      </c>
      <c r="X387" s="61" t="str">
        <f aca="false">IF(IsPro,IF($D387="","",IF(OR($H387="",$H387="Credit"),0,Q387)),"")</f>
        <v/>
      </c>
    </row>
    <row r="388" customFormat="false" ht="15" hidden="false" customHeight="false" outlineLevel="0" collapsed="false">
      <c r="A388" s="55"/>
      <c r="B388" s="56"/>
      <c r="C388" s="56"/>
      <c r="D388" s="56"/>
      <c r="E388" s="57"/>
      <c r="F388" s="58"/>
      <c r="G388" s="59"/>
      <c r="H388" s="56"/>
      <c r="I388" s="56"/>
      <c r="J388" s="60" t="str">
        <f aca="false">IF(IsPro,IF($D388="","",IFERROR(INDEX(Items!$D$5:$D$504,U388),"")),"")</f>
        <v/>
      </c>
      <c r="K388" s="61" t="str">
        <f aca="false">IF(IsPro,IF($D388="","",IF($F388="",IFERROR(INDEX(Items!$H$5:$H$504,U388),0),$F388)),"")</f>
        <v/>
      </c>
      <c r="L388" s="61" t="str">
        <f aca="false">IF(IsPro,IF($D388="","",ROUND(N($E388)*K388*(1-N($G388)),2)),"")</f>
        <v/>
      </c>
      <c r="M388" s="62" t="str">
        <f aca="false">IF(IsPro,IF($D388="","",IFERROR(INDEX(Items!$F$5:$F$504,U388),0)),"")</f>
        <v/>
      </c>
      <c r="N388" s="61" t="str">
        <f aca="false">IF(IsPro,IF($D388="","",IF(AND(V388&lt;&gt;"",INDEX(Parties!$E$5:$E$304,V388)&lt;&gt;"",INDEX(Parties!$E$5:$E$304,V388)&lt;&gt;HomeState),0,ROUND(L388*M388/2,2))),"")</f>
        <v/>
      </c>
      <c r="O388" s="61" t="str">
        <f aca="false">IF(IsPro,IF($D388="","",N388),"")</f>
        <v/>
      </c>
      <c r="P388" s="61" t="str">
        <f aca="false">IF(IsPro,IF($D388="","",IF(AND(V388&lt;&gt;"",INDEX(Parties!$E$5:$E$304,V388)&lt;&gt;"",INDEX(Parties!$E$5:$E$304,V388)&lt;&gt;HomeState),ROUND(L388*M388,2),0)),"")</f>
        <v/>
      </c>
      <c r="Q388" s="61" t="str">
        <f aca="false">IF(IsPro,IF($D388="","",L388+N388+O388+P388),"")</f>
        <v/>
      </c>
      <c r="R388" s="61" t="str">
        <f aca="false">IF(IsPro,IF($D388="","",ROUND(N($E388)*IFERROR(INDEX(Items!$P$5:$P$504,U388),0),2)),"")</f>
        <v/>
      </c>
      <c r="S388" s="61" t="str">
        <f aca="false">IF(IsPro,IF($D388="","",L388-R388),"")</f>
        <v/>
      </c>
      <c r="T388" s="60" t="str">
        <f aca="false">IF(IsPro,IF($D388="","",IF(U388="","UNKNOWN ITEM",IF(INDEX(Items!$O$5:$O$504,U388)&lt;0,"NEG STOCK",IF(K388&lt;INDEX(Items!$P$5:$P$504,U388),"BELOW COST","OK")))),IF($D388="","","PRO PLAN"))</f>
        <v/>
      </c>
      <c r="U388" s="60" t="str">
        <f aca="false">IF(IsPro,IF($D388="","",IFERROR(MATCH($D388,Items!$A$5:$A$504,0),"")),"")</f>
        <v/>
      </c>
      <c r="V388" s="60" t="str">
        <f aca="false">IF(IsPro,IF($C388="","",IFERROR(MATCH($C388,Parties!$A$5:$A$304,0),"")),"")</f>
        <v/>
      </c>
      <c r="W388" s="60" t="str">
        <f aca="false">IF(IsPro,IF($B388="","",IFERROR(VALUE(SUBSTITUTE($B388,InvPrefix,"")),0)),"")</f>
        <v/>
      </c>
      <c r="X388" s="61" t="str">
        <f aca="false">IF(IsPro,IF($D388="","",IF(OR($H388="",$H388="Credit"),0,Q388)),"")</f>
        <v/>
      </c>
    </row>
    <row r="389" customFormat="false" ht="15" hidden="false" customHeight="false" outlineLevel="0" collapsed="false">
      <c r="A389" s="55"/>
      <c r="B389" s="56"/>
      <c r="C389" s="56"/>
      <c r="D389" s="56"/>
      <c r="E389" s="57"/>
      <c r="F389" s="58"/>
      <c r="G389" s="59"/>
      <c r="H389" s="56"/>
      <c r="I389" s="56"/>
      <c r="J389" s="60" t="str">
        <f aca="false">IF(IsPro,IF($D389="","",IFERROR(INDEX(Items!$D$5:$D$504,U389),"")),"")</f>
        <v/>
      </c>
      <c r="K389" s="61" t="str">
        <f aca="false">IF(IsPro,IF($D389="","",IF($F389="",IFERROR(INDEX(Items!$H$5:$H$504,U389),0),$F389)),"")</f>
        <v/>
      </c>
      <c r="L389" s="61" t="str">
        <f aca="false">IF(IsPro,IF($D389="","",ROUND(N($E389)*K389*(1-N($G389)),2)),"")</f>
        <v/>
      </c>
      <c r="M389" s="62" t="str">
        <f aca="false">IF(IsPro,IF($D389="","",IFERROR(INDEX(Items!$F$5:$F$504,U389),0)),"")</f>
        <v/>
      </c>
      <c r="N389" s="61" t="str">
        <f aca="false">IF(IsPro,IF($D389="","",IF(AND(V389&lt;&gt;"",INDEX(Parties!$E$5:$E$304,V389)&lt;&gt;"",INDEX(Parties!$E$5:$E$304,V389)&lt;&gt;HomeState),0,ROUND(L389*M389/2,2))),"")</f>
        <v/>
      </c>
      <c r="O389" s="61" t="str">
        <f aca="false">IF(IsPro,IF($D389="","",N389),"")</f>
        <v/>
      </c>
      <c r="P389" s="61" t="str">
        <f aca="false">IF(IsPro,IF($D389="","",IF(AND(V389&lt;&gt;"",INDEX(Parties!$E$5:$E$304,V389)&lt;&gt;"",INDEX(Parties!$E$5:$E$304,V389)&lt;&gt;HomeState),ROUND(L389*M389,2),0)),"")</f>
        <v/>
      </c>
      <c r="Q389" s="61" t="str">
        <f aca="false">IF(IsPro,IF($D389="","",L389+N389+O389+P389),"")</f>
        <v/>
      </c>
      <c r="R389" s="61" t="str">
        <f aca="false">IF(IsPro,IF($D389="","",ROUND(N($E389)*IFERROR(INDEX(Items!$P$5:$P$504,U389),0),2)),"")</f>
        <v/>
      </c>
      <c r="S389" s="61" t="str">
        <f aca="false">IF(IsPro,IF($D389="","",L389-R389),"")</f>
        <v/>
      </c>
      <c r="T389" s="60" t="str">
        <f aca="false">IF(IsPro,IF($D389="","",IF(U389="","UNKNOWN ITEM",IF(INDEX(Items!$O$5:$O$504,U389)&lt;0,"NEG STOCK",IF(K389&lt;INDEX(Items!$P$5:$P$504,U389),"BELOW COST","OK")))),IF($D389="","","PRO PLAN"))</f>
        <v/>
      </c>
      <c r="U389" s="60" t="str">
        <f aca="false">IF(IsPro,IF($D389="","",IFERROR(MATCH($D389,Items!$A$5:$A$504,0),"")),"")</f>
        <v/>
      </c>
      <c r="V389" s="60" t="str">
        <f aca="false">IF(IsPro,IF($C389="","",IFERROR(MATCH($C389,Parties!$A$5:$A$304,0),"")),"")</f>
        <v/>
      </c>
      <c r="W389" s="60" t="str">
        <f aca="false">IF(IsPro,IF($B389="","",IFERROR(VALUE(SUBSTITUTE($B389,InvPrefix,"")),0)),"")</f>
        <v/>
      </c>
      <c r="X389" s="61" t="str">
        <f aca="false">IF(IsPro,IF($D389="","",IF(OR($H389="",$H389="Credit"),0,Q389)),"")</f>
        <v/>
      </c>
    </row>
    <row r="390" customFormat="false" ht="15" hidden="false" customHeight="false" outlineLevel="0" collapsed="false">
      <c r="A390" s="55"/>
      <c r="B390" s="56"/>
      <c r="C390" s="56"/>
      <c r="D390" s="56"/>
      <c r="E390" s="57"/>
      <c r="F390" s="58"/>
      <c r="G390" s="59"/>
      <c r="H390" s="56"/>
      <c r="I390" s="56"/>
      <c r="J390" s="60" t="str">
        <f aca="false">IF(IsPro,IF($D390="","",IFERROR(INDEX(Items!$D$5:$D$504,U390),"")),"")</f>
        <v/>
      </c>
      <c r="K390" s="61" t="str">
        <f aca="false">IF(IsPro,IF($D390="","",IF($F390="",IFERROR(INDEX(Items!$H$5:$H$504,U390),0),$F390)),"")</f>
        <v/>
      </c>
      <c r="L390" s="61" t="str">
        <f aca="false">IF(IsPro,IF($D390="","",ROUND(N($E390)*K390*(1-N($G390)),2)),"")</f>
        <v/>
      </c>
      <c r="M390" s="62" t="str">
        <f aca="false">IF(IsPro,IF($D390="","",IFERROR(INDEX(Items!$F$5:$F$504,U390),0)),"")</f>
        <v/>
      </c>
      <c r="N390" s="61" t="str">
        <f aca="false">IF(IsPro,IF($D390="","",IF(AND(V390&lt;&gt;"",INDEX(Parties!$E$5:$E$304,V390)&lt;&gt;"",INDEX(Parties!$E$5:$E$304,V390)&lt;&gt;HomeState),0,ROUND(L390*M390/2,2))),"")</f>
        <v/>
      </c>
      <c r="O390" s="61" t="str">
        <f aca="false">IF(IsPro,IF($D390="","",N390),"")</f>
        <v/>
      </c>
      <c r="P390" s="61" t="str">
        <f aca="false">IF(IsPro,IF($D390="","",IF(AND(V390&lt;&gt;"",INDEX(Parties!$E$5:$E$304,V390)&lt;&gt;"",INDEX(Parties!$E$5:$E$304,V390)&lt;&gt;HomeState),ROUND(L390*M390,2),0)),"")</f>
        <v/>
      </c>
      <c r="Q390" s="61" t="str">
        <f aca="false">IF(IsPro,IF($D390="","",L390+N390+O390+P390),"")</f>
        <v/>
      </c>
      <c r="R390" s="61" t="str">
        <f aca="false">IF(IsPro,IF($D390="","",ROUND(N($E390)*IFERROR(INDEX(Items!$P$5:$P$504,U390),0),2)),"")</f>
        <v/>
      </c>
      <c r="S390" s="61" t="str">
        <f aca="false">IF(IsPro,IF($D390="","",L390-R390),"")</f>
        <v/>
      </c>
      <c r="T390" s="60" t="str">
        <f aca="false">IF(IsPro,IF($D390="","",IF(U390="","UNKNOWN ITEM",IF(INDEX(Items!$O$5:$O$504,U390)&lt;0,"NEG STOCK",IF(K390&lt;INDEX(Items!$P$5:$P$504,U390),"BELOW COST","OK")))),IF($D390="","","PRO PLAN"))</f>
        <v/>
      </c>
      <c r="U390" s="60" t="str">
        <f aca="false">IF(IsPro,IF($D390="","",IFERROR(MATCH($D390,Items!$A$5:$A$504,0),"")),"")</f>
        <v/>
      </c>
      <c r="V390" s="60" t="str">
        <f aca="false">IF(IsPro,IF($C390="","",IFERROR(MATCH($C390,Parties!$A$5:$A$304,0),"")),"")</f>
        <v/>
      </c>
      <c r="W390" s="60" t="str">
        <f aca="false">IF(IsPro,IF($B390="","",IFERROR(VALUE(SUBSTITUTE($B390,InvPrefix,"")),0)),"")</f>
        <v/>
      </c>
      <c r="X390" s="61" t="str">
        <f aca="false">IF(IsPro,IF($D390="","",IF(OR($H390="",$H390="Credit"),0,Q390)),"")</f>
        <v/>
      </c>
    </row>
    <row r="391" customFormat="false" ht="15" hidden="false" customHeight="false" outlineLevel="0" collapsed="false">
      <c r="A391" s="55"/>
      <c r="B391" s="56"/>
      <c r="C391" s="56"/>
      <c r="D391" s="56"/>
      <c r="E391" s="57"/>
      <c r="F391" s="58"/>
      <c r="G391" s="59"/>
      <c r="H391" s="56"/>
      <c r="I391" s="56"/>
      <c r="J391" s="60" t="str">
        <f aca="false">IF(IsPro,IF($D391="","",IFERROR(INDEX(Items!$D$5:$D$504,U391),"")),"")</f>
        <v/>
      </c>
      <c r="K391" s="61" t="str">
        <f aca="false">IF(IsPro,IF($D391="","",IF($F391="",IFERROR(INDEX(Items!$H$5:$H$504,U391),0),$F391)),"")</f>
        <v/>
      </c>
      <c r="L391" s="61" t="str">
        <f aca="false">IF(IsPro,IF($D391="","",ROUND(N($E391)*K391*(1-N($G391)),2)),"")</f>
        <v/>
      </c>
      <c r="M391" s="62" t="str">
        <f aca="false">IF(IsPro,IF($D391="","",IFERROR(INDEX(Items!$F$5:$F$504,U391),0)),"")</f>
        <v/>
      </c>
      <c r="N391" s="61" t="str">
        <f aca="false">IF(IsPro,IF($D391="","",IF(AND(V391&lt;&gt;"",INDEX(Parties!$E$5:$E$304,V391)&lt;&gt;"",INDEX(Parties!$E$5:$E$304,V391)&lt;&gt;HomeState),0,ROUND(L391*M391/2,2))),"")</f>
        <v/>
      </c>
      <c r="O391" s="61" t="str">
        <f aca="false">IF(IsPro,IF($D391="","",N391),"")</f>
        <v/>
      </c>
      <c r="P391" s="61" t="str">
        <f aca="false">IF(IsPro,IF($D391="","",IF(AND(V391&lt;&gt;"",INDEX(Parties!$E$5:$E$304,V391)&lt;&gt;"",INDEX(Parties!$E$5:$E$304,V391)&lt;&gt;HomeState),ROUND(L391*M391,2),0)),"")</f>
        <v/>
      </c>
      <c r="Q391" s="61" t="str">
        <f aca="false">IF(IsPro,IF($D391="","",L391+N391+O391+P391),"")</f>
        <v/>
      </c>
      <c r="R391" s="61" t="str">
        <f aca="false">IF(IsPro,IF($D391="","",ROUND(N($E391)*IFERROR(INDEX(Items!$P$5:$P$504,U391),0),2)),"")</f>
        <v/>
      </c>
      <c r="S391" s="61" t="str">
        <f aca="false">IF(IsPro,IF($D391="","",L391-R391),"")</f>
        <v/>
      </c>
      <c r="T391" s="60" t="str">
        <f aca="false">IF(IsPro,IF($D391="","",IF(U391="","UNKNOWN ITEM",IF(INDEX(Items!$O$5:$O$504,U391)&lt;0,"NEG STOCK",IF(K391&lt;INDEX(Items!$P$5:$P$504,U391),"BELOW COST","OK")))),IF($D391="","","PRO PLAN"))</f>
        <v/>
      </c>
      <c r="U391" s="60" t="str">
        <f aca="false">IF(IsPro,IF($D391="","",IFERROR(MATCH($D391,Items!$A$5:$A$504,0),"")),"")</f>
        <v/>
      </c>
      <c r="V391" s="60" t="str">
        <f aca="false">IF(IsPro,IF($C391="","",IFERROR(MATCH($C391,Parties!$A$5:$A$304,0),"")),"")</f>
        <v/>
      </c>
      <c r="W391" s="60" t="str">
        <f aca="false">IF(IsPro,IF($B391="","",IFERROR(VALUE(SUBSTITUTE($B391,InvPrefix,"")),0)),"")</f>
        <v/>
      </c>
      <c r="X391" s="61" t="str">
        <f aca="false">IF(IsPro,IF($D391="","",IF(OR($H391="",$H391="Credit"),0,Q391)),"")</f>
        <v/>
      </c>
    </row>
    <row r="392" customFormat="false" ht="15" hidden="false" customHeight="false" outlineLevel="0" collapsed="false">
      <c r="A392" s="55"/>
      <c r="B392" s="56"/>
      <c r="C392" s="56"/>
      <c r="D392" s="56"/>
      <c r="E392" s="57"/>
      <c r="F392" s="58"/>
      <c r="G392" s="59"/>
      <c r="H392" s="56"/>
      <c r="I392" s="56"/>
      <c r="J392" s="60" t="str">
        <f aca="false">IF(IsPro,IF($D392="","",IFERROR(INDEX(Items!$D$5:$D$504,U392),"")),"")</f>
        <v/>
      </c>
      <c r="K392" s="61" t="str">
        <f aca="false">IF(IsPro,IF($D392="","",IF($F392="",IFERROR(INDEX(Items!$H$5:$H$504,U392),0),$F392)),"")</f>
        <v/>
      </c>
      <c r="L392" s="61" t="str">
        <f aca="false">IF(IsPro,IF($D392="","",ROUND(N($E392)*K392*(1-N($G392)),2)),"")</f>
        <v/>
      </c>
      <c r="M392" s="62" t="str">
        <f aca="false">IF(IsPro,IF($D392="","",IFERROR(INDEX(Items!$F$5:$F$504,U392),0)),"")</f>
        <v/>
      </c>
      <c r="N392" s="61" t="str">
        <f aca="false">IF(IsPro,IF($D392="","",IF(AND(V392&lt;&gt;"",INDEX(Parties!$E$5:$E$304,V392)&lt;&gt;"",INDEX(Parties!$E$5:$E$304,V392)&lt;&gt;HomeState),0,ROUND(L392*M392/2,2))),"")</f>
        <v/>
      </c>
      <c r="O392" s="61" t="str">
        <f aca="false">IF(IsPro,IF($D392="","",N392),"")</f>
        <v/>
      </c>
      <c r="P392" s="61" t="str">
        <f aca="false">IF(IsPro,IF($D392="","",IF(AND(V392&lt;&gt;"",INDEX(Parties!$E$5:$E$304,V392)&lt;&gt;"",INDEX(Parties!$E$5:$E$304,V392)&lt;&gt;HomeState),ROUND(L392*M392,2),0)),"")</f>
        <v/>
      </c>
      <c r="Q392" s="61" t="str">
        <f aca="false">IF(IsPro,IF($D392="","",L392+N392+O392+P392),"")</f>
        <v/>
      </c>
      <c r="R392" s="61" t="str">
        <f aca="false">IF(IsPro,IF($D392="","",ROUND(N($E392)*IFERROR(INDEX(Items!$P$5:$P$504,U392),0),2)),"")</f>
        <v/>
      </c>
      <c r="S392" s="61" t="str">
        <f aca="false">IF(IsPro,IF($D392="","",L392-R392),"")</f>
        <v/>
      </c>
      <c r="T392" s="60" t="str">
        <f aca="false">IF(IsPro,IF($D392="","",IF(U392="","UNKNOWN ITEM",IF(INDEX(Items!$O$5:$O$504,U392)&lt;0,"NEG STOCK",IF(K392&lt;INDEX(Items!$P$5:$P$504,U392),"BELOW COST","OK")))),IF($D392="","","PRO PLAN"))</f>
        <v/>
      </c>
      <c r="U392" s="60" t="str">
        <f aca="false">IF(IsPro,IF($D392="","",IFERROR(MATCH($D392,Items!$A$5:$A$504,0),"")),"")</f>
        <v/>
      </c>
      <c r="V392" s="60" t="str">
        <f aca="false">IF(IsPro,IF($C392="","",IFERROR(MATCH($C392,Parties!$A$5:$A$304,0),"")),"")</f>
        <v/>
      </c>
      <c r="W392" s="60" t="str">
        <f aca="false">IF(IsPro,IF($B392="","",IFERROR(VALUE(SUBSTITUTE($B392,InvPrefix,"")),0)),"")</f>
        <v/>
      </c>
      <c r="X392" s="61" t="str">
        <f aca="false">IF(IsPro,IF($D392="","",IF(OR($H392="",$H392="Credit"),0,Q392)),"")</f>
        <v/>
      </c>
    </row>
    <row r="393" customFormat="false" ht="15" hidden="false" customHeight="false" outlineLevel="0" collapsed="false">
      <c r="A393" s="55"/>
      <c r="B393" s="56"/>
      <c r="C393" s="56"/>
      <c r="D393" s="56"/>
      <c r="E393" s="57"/>
      <c r="F393" s="58"/>
      <c r="G393" s="59"/>
      <c r="H393" s="56"/>
      <c r="I393" s="56"/>
      <c r="J393" s="60" t="str">
        <f aca="false">IF(IsPro,IF($D393="","",IFERROR(INDEX(Items!$D$5:$D$504,U393),"")),"")</f>
        <v/>
      </c>
      <c r="K393" s="61" t="str">
        <f aca="false">IF(IsPro,IF($D393="","",IF($F393="",IFERROR(INDEX(Items!$H$5:$H$504,U393),0),$F393)),"")</f>
        <v/>
      </c>
      <c r="L393" s="61" t="str">
        <f aca="false">IF(IsPro,IF($D393="","",ROUND(N($E393)*K393*(1-N($G393)),2)),"")</f>
        <v/>
      </c>
      <c r="M393" s="62" t="str">
        <f aca="false">IF(IsPro,IF($D393="","",IFERROR(INDEX(Items!$F$5:$F$504,U393),0)),"")</f>
        <v/>
      </c>
      <c r="N393" s="61" t="str">
        <f aca="false">IF(IsPro,IF($D393="","",IF(AND(V393&lt;&gt;"",INDEX(Parties!$E$5:$E$304,V393)&lt;&gt;"",INDEX(Parties!$E$5:$E$304,V393)&lt;&gt;HomeState),0,ROUND(L393*M393/2,2))),"")</f>
        <v/>
      </c>
      <c r="O393" s="61" t="str">
        <f aca="false">IF(IsPro,IF($D393="","",N393),"")</f>
        <v/>
      </c>
      <c r="P393" s="61" t="str">
        <f aca="false">IF(IsPro,IF($D393="","",IF(AND(V393&lt;&gt;"",INDEX(Parties!$E$5:$E$304,V393)&lt;&gt;"",INDEX(Parties!$E$5:$E$304,V393)&lt;&gt;HomeState),ROUND(L393*M393,2),0)),"")</f>
        <v/>
      </c>
      <c r="Q393" s="61" t="str">
        <f aca="false">IF(IsPro,IF($D393="","",L393+N393+O393+P393),"")</f>
        <v/>
      </c>
      <c r="R393" s="61" t="str">
        <f aca="false">IF(IsPro,IF($D393="","",ROUND(N($E393)*IFERROR(INDEX(Items!$P$5:$P$504,U393),0),2)),"")</f>
        <v/>
      </c>
      <c r="S393" s="61" t="str">
        <f aca="false">IF(IsPro,IF($D393="","",L393-R393),"")</f>
        <v/>
      </c>
      <c r="T393" s="60" t="str">
        <f aca="false">IF(IsPro,IF($D393="","",IF(U393="","UNKNOWN ITEM",IF(INDEX(Items!$O$5:$O$504,U393)&lt;0,"NEG STOCK",IF(K393&lt;INDEX(Items!$P$5:$P$504,U393),"BELOW COST","OK")))),IF($D393="","","PRO PLAN"))</f>
        <v/>
      </c>
      <c r="U393" s="60" t="str">
        <f aca="false">IF(IsPro,IF($D393="","",IFERROR(MATCH($D393,Items!$A$5:$A$504,0),"")),"")</f>
        <v/>
      </c>
      <c r="V393" s="60" t="str">
        <f aca="false">IF(IsPro,IF($C393="","",IFERROR(MATCH($C393,Parties!$A$5:$A$304,0),"")),"")</f>
        <v/>
      </c>
      <c r="W393" s="60" t="str">
        <f aca="false">IF(IsPro,IF($B393="","",IFERROR(VALUE(SUBSTITUTE($B393,InvPrefix,"")),0)),"")</f>
        <v/>
      </c>
      <c r="X393" s="61" t="str">
        <f aca="false">IF(IsPro,IF($D393="","",IF(OR($H393="",$H393="Credit"),0,Q393)),"")</f>
        <v/>
      </c>
    </row>
    <row r="394" customFormat="false" ht="15" hidden="false" customHeight="false" outlineLevel="0" collapsed="false">
      <c r="A394" s="55"/>
      <c r="B394" s="56"/>
      <c r="C394" s="56"/>
      <c r="D394" s="56"/>
      <c r="E394" s="57"/>
      <c r="F394" s="58"/>
      <c r="G394" s="59"/>
      <c r="H394" s="56"/>
      <c r="I394" s="56"/>
      <c r="J394" s="60" t="str">
        <f aca="false">IF(IsPro,IF($D394="","",IFERROR(INDEX(Items!$D$5:$D$504,U394),"")),"")</f>
        <v/>
      </c>
      <c r="K394" s="61" t="str">
        <f aca="false">IF(IsPro,IF($D394="","",IF($F394="",IFERROR(INDEX(Items!$H$5:$H$504,U394),0),$F394)),"")</f>
        <v/>
      </c>
      <c r="L394" s="61" t="str">
        <f aca="false">IF(IsPro,IF($D394="","",ROUND(N($E394)*K394*(1-N($G394)),2)),"")</f>
        <v/>
      </c>
      <c r="M394" s="62" t="str">
        <f aca="false">IF(IsPro,IF($D394="","",IFERROR(INDEX(Items!$F$5:$F$504,U394),0)),"")</f>
        <v/>
      </c>
      <c r="N394" s="61" t="str">
        <f aca="false">IF(IsPro,IF($D394="","",IF(AND(V394&lt;&gt;"",INDEX(Parties!$E$5:$E$304,V394)&lt;&gt;"",INDEX(Parties!$E$5:$E$304,V394)&lt;&gt;HomeState),0,ROUND(L394*M394/2,2))),"")</f>
        <v/>
      </c>
      <c r="O394" s="61" t="str">
        <f aca="false">IF(IsPro,IF($D394="","",N394),"")</f>
        <v/>
      </c>
      <c r="P394" s="61" t="str">
        <f aca="false">IF(IsPro,IF($D394="","",IF(AND(V394&lt;&gt;"",INDEX(Parties!$E$5:$E$304,V394)&lt;&gt;"",INDEX(Parties!$E$5:$E$304,V394)&lt;&gt;HomeState),ROUND(L394*M394,2),0)),"")</f>
        <v/>
      </c>
      <c r="Q394" s="61" t="str">
        <f aca="false">IF(IsPro,IF($D394="","",L394+N394+O394+P394),"")</f>
        <v/>
      </c>
      <c r="R394" s="61" t="str">
        <f aca="false">IF(IsPro,IF($D394="","",ROUND(N($E394)*IFERROR(INDEX(Items!$P$5:$P$504,U394),0),2)),"")</f>
        <v/>
      </c>
      <c r="S394" s="61" t="str">
        <f aca="false">IF(IsPro,IF($D394="","",L394-R394),"")</f>
        <v/>
      </c>
      <c r="T394" s="60" t="str">
        <f aca="false">IF(IsPro,IF($D394="","",IF(U394="","UNKNOWN ITEM",IF(INDEX(Items!$O$5:$O$504,U394)&lt;0,"NEG STOCK",IF(K394&lt;INDEX(Items!$P$5:$P$504,U394),"BELOW COST","OK")))),IF($D394="","","PRO PLAN"))</f>
        <v/>
      </c>
      <c r="U394" s="60" t="str">
        <f aca="false">IF(IsPro,IF($D394="","",IFERROR(MATCH($D394,Items!$A$5:$A$504,0),"")),"")</f>
        <v/>
      </c>
      <c r="V394" s="60" t="str">
        <f aca="false">IF(IsPro,IF($C394="","",IFERROR(MATCH($C394,Parties!$A$5:$A$304,0),"")),"")</f>
        <v/>
      </c>
      <c r="W394" s="60" t="str">
        <f aca="false">IF(IsPro,IF($B394="","",IFERROR(VALUE(SUBSTITUTE($B394,InvPrefix,"")),0)),"")</f>
        <v/>
      </c>
      <c r="X394" s="61" t="str">
        <f aca="false">IF(IsPro,IF($D394="","",IF(OR($H394="",$H394="Credit"),0,Q394)),"")</f>
        <v/>
      </c>
    </row>
    <row r="395" customFormat="false" ht="15" hidden="false" customHeight="false" outlineLevel="0" collapsed="false">
      <c r="A395" s="55"/>
      <c r="B395" s="56"/>
      <c r="C395" s="56"/>
      <c r="D395" s="56"/>
      <c r="E395" s="57"/>
      <c r="F395" s="58"/>
      <c r="G395" s="59"/>
      <c r="H395" s="56"/>
      <c r="I395" s="56"/>
      <c r="J395" s="60" t="str">
        <f aca="false">IF(IsPro,IF($D395="","",IFERROR(INDEX(Items!$D$5:$D$504,U395),"")),"")</f>
        <v/>
      </c>
      <c r="K395" s="61" t="str">
        <f aca="false">IF(IsPro,IF($D395="","",IF($F395="",IFERROR(INDEX(Items!$H$5:$H$504,U395),0),$F395)),"")</f>
        <v/>
      </c>
      <c r="L395" s="61" t="str">
        <f aca="false">IF(IsPro,IF($D395="","",ROUND(N($E395)*K395*(1-N($G395)),2)),"")</f>
        <v/>
      </c>
      <c r="M395" s="62" t="str">
        <f aca="false">IF(IsPro,IF($D395="","",IFERROR(INDEX(Items!$F$5:$F$504,U395),0)),"")</f>
        <v/>
      </c>
      <c r="N395" s="61" t="str">
        <f aca="false">IF(IsPro,IF($D395="","",IF(AND(V395&lt;&gt;"",INDEX(Parties!$E$5:$E$304,V395)&lt;&gt;"",INDEX(Parties!$E$5:$E$304,V395)&lt;&gt;HomeState),0,ROUND(L395*M395/2,2))),"")</f>
        <v/>
      </c>
      <c r="O395" s="61" t="str">
        <f aca="false">IF(IsPro,IF($D395="","",N395),"")</f>
        <v/>
      </c>
      <c r="P395" s="61" t="str">
        <f aca="false">IF(IsPro,IF($D395="","",IF(AND(V395&lt;&gt;"",INDEX(Parties!$E$5:$E$304,V395)&lt;&gt;"",INDEX(Parties!$E$5:$E$304,V395)&lt;&gt;HomeState),ROUND(L395*M395,2),0)),"")</f>
        <v/>
      </c>
      <c r="Q395" s="61" t="str">
        <f aca="false">IF(IsPro,IF($D395="","",L395+N395+O395+P395),"")</f>
        <v/>
      </c>
      <c r="R395" s="61" t="str">
        <f aca="false">IF(IsPro,IF($D395="","",ROUND(N($E395)*IFERROR(INDEX(Items!$P$5:$P$504,U395),0),2)),"")</f>
        <v/>
      </c>
      <c r="S395" s="61" t="str">
        <f aca="false">IF(IsPro,IF($D395="","",L395-R395),"")</f>
        <v/>
      </c>
      <c r="T395" s="60" t="str">
        <f aca="false">IF(IsPro,IF($D395="","",IF(U395="","UNKNOWN ITEM",IF(INDEX(Items!$O$5:$O$504,U395)&lt;0,"NEG STOCK",IF(K395&lt;INDEX(Items!$P$5:$P$504,U395),"BELOW COST","OK")))),IF($D395="","","PRO PLAN"))</f>
        <v/>
      </c>
      <c r="U395" s="60" t="str">
        <f aca="false">IF(IsPro,IF($D395="","",IFERROR(MATCH($D395,Items!$A$5:$A$504,0),"")),"")</f>
        <v/>
      </c>
      <c r="V395" s="60" t="str">
        <f aca="false">IF(IsPro,IF($C395="","",IFERROR(MATCH($C395,Parties!$A$5:$A$304,0),"")),"")</f>
        <v/>
      </c>
      <c r="W395" s="60" t="str">
        <f aca="false">IF(IsPro,IF($B395="","",IFERROR(VALUE(SUBSTITUTE($B395,InvPrefix,"")),0)),"")</f>
        <v/>
      </c>
      <c r="X395" s="61" t="str">
        <f aca="false">IF(IsPro,IF($D395="","",IF(OR($H395="",$H395="Credit"),0,Q395)),"")</f>
        <v/>
      </c>
    </row>
    <row r="396" customFormat="false" ht="15" hidden="false" customHeight="false" outlineLevel="0" collapsed="false">
      <c r="A396" s="55"/>
      <c r="B396" s="56"/>
      <c r="C396" s="56"/>
      <c r="D396" s="56"/>
      <c r="E396" s="57"/>
      <c r="F396" s="58"/>
      <c r="G396" s="59"/>
      <c r="H396" s="56"/>
      <c r="I396" s="56"/>
      <c r="J396" s="60" t="str">
        <f aca="false">IF(IsPro,IF($D396="","",IFERROR(INDEX(Items!$D$5:$D$504,U396),"")),"")</f>
        <v/>
      </c>
      <c r="K396" s="61" t="str">
        <f aca="false">IF(IsPro,IF($D396="","",IF($F396="",IFERROR(INDEX(Items!$H$5:$H$504,U396),0),$F396)),"")</f>
        <v/>
      </c>
      <c r="L396" s="61" t="str">
        <f aca="false">IF(IsPro,IF($D396="","",ROUND(N($E396)*K396*(1-N($G396)),2)),"")</f>
        <v/>
      </c>
      <c r="M396" s="62" t="str">
        <f aca="false">IF(IsPro,IF($D396="","",IFERROR(INDEX(Items!$F$5:$F$504,U396),0)),"")</f>
        <v/>
      </c>
      <c r="N396" s="61" t="str">
        <f aca="false">IF(IsPro,IF($D396="","",IF(AND(V396&lt;&gt;"",INDEX(Parties!$E$5:$E$304,V396)&lt;&gt;"",INDEX(Parties!$E$5:$E$304,V396)&lt;&gt;HomeState),0,ROUND(L396*M396/2,2))),"")</f>
        <v/>
      </c>
      <c r="O396" s="61" t="str">
        <f aca="false">IF(IsPro,IF($D396="","",N396),"")</f>
        <v/>
      </c>
      <c r="P396" s="61" t="str">
        <f aca="false">IF(IsPro,IF($D396="","",IF(AND(V396&lt;&gt;"",INDEX(Parties!$E$5:$E$304,V396)&lt;&gt;"",INDEX(Parties!$E$5:$E$304,V396)&lt;&gt;HomeState),ROUND(L396*M396,2),0)),"")</f>
        <v/>
      </c>
      <c r="Q396" s="61" t="str">
        <f aca="false">IF(IsPro,IF($D396="","",L396+N396+O396+P396),"")</f>
        <v/>
      </c>
      <c r="R396" s="61" t="str">
        <f aca="false">IF(IsPro,IF($D396="","",ROUND(N($E396)*IFERROR(INDEX(Items!$P$5:$P$504,U396),0),2)),"")</f>
        <v/>
      </c>
      <c r="S396" s="61" t="str">
        <f aca="false">IF(IsPro,IF($D396="","",L396-R396),"")</f>
        <v/>
      </c>
      <c r="T396" s="60" t="str">
        <f aca="false">IF(IsPro,IF($D396="","",IF(U396="","UNKNOWN ITEM",IF(INDEX(Items!$O$5:$O$504,U396)&lt;0,"NEG STOCK",IF(K396&lt;INDEX(Items!$P$5:$P$504,U396),"BELOW COST","OK")))),IF($D396="","","PRO PLAN"))</f>
        <v/>
      </c>
      <c r="U396" s="60" t="str">
        <f aca="false">IF(IsPro,IF($D396="","",IFERROR(MATCH($D396,Items!$A$5:$A$504,0),"")),"")</f>
        <v/>
      </c>
      <c r="V396" s="60" t="str">
        <f aca="false">IF(IsPro,IF($C396="","",IFERROR(MATCH($C396,Parties!$A$5:$A$304,0),"")),"")</f>
        <v/>
      </c>
      <c r="W396" s="60" t="str">
        <f aca="false">IF(IsPro,IF($B396="","",IFERROR(VALUE(SUBSTITUTE($B396,InvPrefix,"")),0)),"")</f>
        <v/>
      </c>
      <c r="X396" s="61" t="str">
        <f aca="false">IF(IsPro,IF($D396="","",IF(OR($H396="",$H396="Credit"),0,Q396)),"")</f>
        <v/>
      </c>
    </row>
    <row r="397" customFormat="false" ht="15" hidden="false" customHeight="false" outlineLevel="0" collapsed="false">
      <c r="A397" s="55"/>
      <c r="B397" s="56"/>
      <c r="C397" s="56"/>
      <c r="D397" s="56"/>
      <c r="E397" s="57"/>
      <c r="F397" s="58"/>
      <c r="G397" s="59"/>
      <c r="H397" s="56"/>
      <c r="I397" s="56"/>
      <c r="J397" s="60" t="str">
        <f aca="false">IF(IsPro,IF($D397="","",IFERROR(INDEX(Items!$D$5:$D$504,U397),"")),"")</f>
        <v/>
      </c>
      <c r="K397" s="61" t="str">
        <f aca="false">IF(IsPro,IF($D397="","",IF($F397="",IFERROR(INDEX(Items!$H$5:$H$504,U397),0),$F397)),"")</f>
        <v/>
      </c>
      <c r="L397" s="61" t="str">
        <f aca="false">IF(IsPro,IF($D397="","",ROUND(N($E397)*K397*(1-N($G397)),2)),"")</f>
        <v/>
      </c>
      <c r="M397" s="62" t="str">
        <f aca="false">IF(IsPro,IF($D397="","",IFERROR(INDEX(Items!$F$5:$F$504,U397),0)),"")</f>
        <v/>
      </c>
      <c r="N397" s="61" t="str">
        <f aca="false">IF(IsPro,IF($D397="","",IF(AND(V397&lt;&gt;"",INDEX(Parties!$E$5:$E$304,V397)&lt;&gt;"",INDEX(Parties!$E$5:$E$304,V397)&lt;&gt;HomeState),0,ROUND(L397*M397/2,2))),"")</f>
        <v/>
      </c>
      <c r="O397" s="61" t="str">
        <f aca="false">IF(IsPro,IF($D397="","",N397),"")</f>
        <v/>
      </c>
      <c r="P397" s="61" t="str">
        <f aca="false">IF(IsPro,IF($D397="","",IF(AND(V397&lt;&gt;"",INDEX(Parties!$E$5:$E$304,V397)&lt;&gt;"",INDEX(Parties!$E$5:$E$304,V397)&lt;&gt;HomeState),ROUND(L397*M397,2),0)),"")</f>
        <v/>
      </c>
      <c r="Q397" s="61" t="str">
        <f aca="false">IF(IsPro,IF($D397="","",L397+N397+O397+P397),"")</f>
        <v/>
      </c>
      <c r="R397" s="61" t="str">
        <f aca="false">IF(IsPro,IF($D397="","",ROUND(N($E397)*IFERROR(INDEX(Items!$P$5:$P$504,U397),0),2)),"")</f>
        <v/>
      </c>
      <c r="S397" s="61" t="str">
        <f aca="false">IF(IsPro,IF($D397="","",L397-R397),"")</f>
        <v/>
      </c>
      <c r="T397" s="60" t="str">
        <f aca="false">IF(IsPro,IF($D397="","",IF(U397="","UNKNOWN ITEM",IF(INDEX(Items!$O$5:$O$504,U397)&lt;0,"NEG STOCK",IF(K397&lt;INDEX(Items!$P$5:$P$504,U397),"BELOW COST","OK")))),IF($D397="","","PRO PLAN"))</f>
        <v/>
      </c>
      <c r="U397" s="60" t="str">
        <f aca="false">IF(IsPro,IF($D397="","",IFERROR(MATCH($D397,Items!$A$5:$A$504,0),"")),"")</f>
        <v/>
      </c>
      <c r="V397" s="60" t="str">
        <f aca="false">IF(IsPro,IF($C397="","",IFERROR(MATCH($C397,Parties!$A$5:$A$304,0),"")),"")</f>
        <v/>
      </c>
      <c r="W397" s="60" t="str">
        <f aca="false">IF(IsPro,IF($B397="","",IFERROR(VALUE(SUBSTITUTE($B397,InvPrefix,"")),0)),"")</f>
        <v/>
      </c>
      <c r="X397" s="61" t="str">
        <f aca="false">IF(IsPro,IF($D397="","",IF(OR($H397="",$H397="Credit"),0,Q397)),"")</f>
        <v/>
      </c>
    </row>
    <row r="398" customFormat="false" ht="15" hidden="false" customHeight="false" outlineLevel="0" collapsed="false">
      <c r="A398" s="55"/>
      <c r="B398" s="56"/>
      <c r="C398" s="56"/>
      <c r="D398" s="56"/>
      <c r="E398" s="57"/>
      <c r="F398" s="58"/>
      <c r="G398" s="59"/>
      <c r="H398" s="56"/>
      <c r="I398" s="56"/>
      <c r="J398" s="60" t="str">
        <f aca="false">IF(IsPro,IF($D398="","",IFERROR(INDEX(Items!$D$5:$D$504,U398),"")),"")</f>
        <v/>
      </c>
      <c r="K398" s="61" t="str">
        <f aca="false">IF(IsPro,IF($D398="","",IF($F398="",IFERROR(INDEX(Items!$H$5:$H$504,U398),0),$F398)),"")</f>
        <v/>
      </c>
      <c r="L398" s="61" t="str">
        <f aca="false">IF(IsPro,IF($D398="","",ROUND(N($E398)*K398*(1-N($G398)),2)),"")</f>
        <v/>
      </c>
      <c r="M398" s="62" t="str">
        <f aca="false">IF(IsPro,IF($D398="","",IFERROR(INDEX(Items!$F$5:$F$504,U398),0)),"")</f>
        <v/>
      </c>
      <c r="N398" s="61" t="str">
        <f aca="false">IF(IsPro,IF($D398="","",IF(AND(V398&lt;&gt;"",INDEX(Parties!$E$5:$E$304,V398)&lt;&gt;"",INDEX(Parties!$E$5:$E$304,V398)&lt;&gt;HomeState),0,ROUND(L398*M398/2,2))),"")</f>
        <v/>
      </c>
      <c r="O398" s="61" t="str">
        <f aca="false">IF(IsPro,IF($D398="","",N398),"")</f>
        <v/>
      </c>
      <c r="P398" s="61" t="str">
        <f aca="false">IF(IsPro,IF($D398="","",IF(AND(V398&lt;&gt;"",INDEX(Parties!$E$5:$E$304,V398)&lt;&gt;"",INDEX(Parties!$E$5:$E$304,V398)&lt;&gt;HomeState),ROUND(L398*M398,2),0)),"")</f>
        <v/>
      </c>
      <c r="Q398" s="61" t="str">
        <f aca="false">IF(IsPro,IF($D398="","",L398+N398+O398+P398),"")</f>
        <v/>
      </c>
      <c r="R398" s="61" t="str">
        <f aca="false">IF(IsPro,IF($D398="","",ROUND(N($E398)*IFERROR(INDEX(Items!$P$5:$P$504,U398),0),2)),"")</f>
        <v/>
      </c>
      <c r="S398" s="61" t="str">
        <f aca="false">IF(IsPro,IF($D398="","",L398-R398),"")</f>
        <v/>
      </c>
      <c r="T398" s="60" t="str">
        <f aca="false">IF(IsPro,IF($D398="","",IF(U398="","UNKNOWN ITEM",IF(INDEX(Items!$O$5:$O$504,U398)&lt;0,"NEG STOCK",IF(K398&lt;INDEX(Items!$P$5:$P$504,U398),"BELOW COST","OK")))),IF($D398="","","PRO PLAN"))</f>
        <v/>
      </c>
      <c r="U398" s="60" t="str">
        <f aca="false">IF(IsPro,IF($D398="","",IFERROR(MATCH($D398,Items!$A$5:$A$504,0),"")),"")</f>
        <v/>
      </c>
      <c r="V398" s="60" t="str">
        <f aca="false">IF(IsPro,IF($C398="","",IFERROR(MATCH($C398,Parties!$A$5:$A$304,0),"")),"")</f>
        <v/>
      </c>
      <c r="W398" s="60" t="str">
        <f aca="false">IF(IsPro,IF($B398="","",IFERROR(VALUE(SUBSTITUTE($B398,InvPrefix,"")),0)),"")</f>
        <v/>
      </c>
      <c r="X398" s="61" t="str">
        <f aca="false">IF(IsPro,IF($D398="","",IF(OR($H398="",$H398="Credit"),0,Q398)),"")</f>
        <v/>
      </c>
    </row>
    <row r="399" customFormat="false" ht="15" hidden="false" customHeight="false" outlineLevel="0" collapsed="false">
      <c r="A399" s="55"/>
      <c r="B399" s="56"/>
      <c r="C399" s="56"/>
      <c r="D399" s="56"/>
      <c r="E399" s="57"/>
      <c r="F399" s="58"/>
      <c r="G399" s="59"/>
      <c r="H399" s="56"/>
      <c r="I399" s="56"/>
      <c r="J399" s="60" t="str">
        <f aca="false">IF(IsPro,IF($D399="","",IFERROR(INDEX(Items!$D$5:$D$504,U399),"")),"")</f>
        <v/>
      </c>
      <c r="K399" s="61" t="str">
        <f aca="false">IF(IsPro,IF($D399="","",IF($F399="",IFERROR(INDEX(Items!$H$5:$H$504,U399),0),$F399)),"")</f>
        <v/>
      </c>
      <c r="L399" s="61" t="str">
        <f aca="false">IF(IsPro,IF($D399="","",ROUND(N($E399)*K399*(1-N($G399)),2)),"")</f>
        <v/>
      </c>
      <c r="M399" s="62" t="str">
        <f aca="false">IF(IsPro,IF($D399="","",IFERROR(INDEX(Items!$F$5:$F$504,U399),0)),"")</f>
        <v/>
      </c>
      <c r="N399" s="61" t="str">
        <f aca="false">IF(IsPro,IF($D399="","",IF(AND(V399&lt;&gt;"",INDEX(Parties!$E$5:$E$304,V399)&lt;&gt;"",INDEX(Parties!$E$5:$E$304,V399)&lt;&gt;HomeState),0,ROUND(L399*M399/2,2))),"")</f>
        <v/>
      </c>
      <c r="O399" s="61" t="str">
        <f aca="false">IF(IsPro,IF($D399="","",N399),"")</f>
        <v/>
      </c>
      <c r="P399" s="61" t="str">
        <f aca="false">IF(IsPro,IF($D399="","",IF(AND(V399&lt;&gt;"",INDEX(Parties!$E$5:$E$304,V399)&lt;&gt;"",INDEX(Parties!$E$5:$E$304,V399)&lt;&gt;HomeState),ROUND(L399*M399,2),0)),"")</f>
        <v/>
      </c>
      <c r="Q399" s="61" t="str">
        <f aca="false">IF(IsPro,IF($D399="","",L399+N399+O399+P399),"")</f>
        <v/>
      </c>
      <c r="R399" s="61" t="str">
        <f aca="false">IF(IsPro,IF($D399="","",ROUND(N($E399)*IFERROR(INDEX(Items!$P$5:$P$504,U399),0),2)),"")</f>
        <v/>
      </c>
      <c r="S399" s="61" t="str">
        <f aca="false">IF(IsPro,IF($D399="","",L399-R399),"")</f>
        <v/>
      </c>
      <c r="T399" s="60" t="str">
        <f aca="false">IF(IsPro,IF($D399="","",IF(U399="","UNKNOWN ITEM",IF(INDEX(Items!$O$5:$O$504,U399)&lt;0,"NEG STOCK",IF(K399&lt;INDEX(Items!$P$5:$P$504,U399),"BELOW COST","OK")))),IF($D399="","","PRO PLAN"))</f>
        <v/>
      </c>
      <c r="U399" s="60" t="str">
        <f aca="false">IF(IsPro,IF($D399="","",IFERROR(MATCH($D399,Items!$A$5:$A$504,0),"")),"")</f>
        <v/>
      </c>
      <c r="V399" s="60" t="str">
        <f aca="false">IF(IsPro,IF($C399="","",IFERROR(MATCH($C399,Parties!$A$5:$A$304,0),"")),"")</f>
        <v/>
      </c>
      <c r="W399" s="60" t="str">
        <f aca="false">IF(IsPro,IF($B399="","",IFERROR(VALUE(SUBSTITUTE($B399,InvPrefix,"")),0)),"")</f>
        <v/>
      </c>
      <c r="X399" s="61" t="str">
        <f aca="false">IF(IsPro,IF($D399="","",IF(OR($H399="",$H399="Credit"),0,Q399)),"")</f>
        <v/>
      </c>
    </row>
    <row r="400" customFormat="false" ht="15" hidden="false" customHeight="false" outlineLevel="0" collapsed="false">
      <c r="A400" s="55"/>
      <c r="B400" s="56"/>
      <c r="C400" s="56"/>
      <c r="D400" s="56"/>
      <c r="E400" s="57"/>
      <c r="F400" s="58"/>
      <c r="G400" s="59"/>
      <c r="H400" s="56"/>
      <c r="I400" s="56"/>
      <c r="J400" s="60" t="str">
        <f aca="false">IF(IsPro,IF($D400="","",IFERROR(INDEX(Items!$D$5:$D$504,U400),"")),"")</f>
        <v/>
      </c>
      <c r="K400" s="61" t="str">
        <f aca="false">IF(IsPro,IF($D400="","",IF($F400="",IFERROR(INDEX(Items!$H$5:$H$504,U400),0),$F400)),"")</f>
        <v/>
      </c>
      <c r="L400" s="61" t="str">
        <f aca="false">IF(IsPro,IF($D400="","",ROUND(N($E400)*K400*(1-N($G400)),2)),"")</f>
        <v/>
      </c>
      <c r="M400" s="62" t="str">
        <f aca="false">IF(IsPro,IF($D400="","",IFERROR(INDEX(Items!$F$5:$F$504,U400),0)),"")</f>
        <v/>
      </c>
      <c r="N400" s="61" t="str">
        <f aca="false">IF(IsPro,IF($D400="","",IF(AND(V400&lt;&gt;"",INDEX(Parties!$E$5:$E$304,V400)&lt;&gt;"",INDEX(Parties!$E$5:$E$304,V400)&lt;&gt;HomeState),0,ROUND(L400*M400/2,2))),"")</f>
        <v/>
      </c>
      <c r="O400" s="61" t="str">
        <f aca="false">IF(IsPro,IF($D400="","",N400),"")</f>
        <v/>
      </c>
      <c r="P400" s="61" t="str">
        <f aca="false">IF(IsPro,IF($D400="","",IF(AND(V400&lt;&gt;"",INDEX(Parties!$E$5:$E$304,V400)&lt;&gt;"",INDEX(Parties!$E$5:$E$304,V400)&lt;&gt;HomeState),ROUND(L400*M400,2),0)),"")</f>
        <v/>
      </c>
      <c r="Q400" s="61" t="str">
        <f aca="false">IF(IsPro,IF($D400="","",L400+N400+O400+P400),"")</f>
        <v/>
      </c>
      <c r="R400" s="61" t="str">
        <f aca="false">IF(IsPro,IF($D400="","",ROUND(N($E400)*IFERROR(INDEX(Items!$P$5:$P$504,U400),0),2)),"")</f>
        <v/>
      </c>
      <c r="S400" s="61" t="str">
        <f aca="false">IF(IsPro,IF($D400="","",L400-R400),"")</f>
        <v/>
      </c>
      <c r="T400" s="60" t="str">
        <f aca="false">IF(IsPro,IF($D400="","",IF(U400="","UNKNOWN ITEM",IF(INDEX(Items!$O$5:$O$504,U400)&lt;0,"NEG STOCK",IF(K400&lt;INDEX(Items!$P$5:$P$504,U400),"BELOW COST","OK")))),IF($D400="","","PRO PLAN"))</f>
        <v/>
      </c>
      <c r="U400" s="60" t="str">
        <f aca="false">IF(IsPro,IF($D400="","",IFERROR(MATCH($D400,Items!$A$5:$A$504,0),"")),"")</f>
        <v/>
      </c>
      <c r="V400" s="60" t="str">
        <f aca="false">IF(IsPro,IF($C400="","",IFERROR(MATCH($C400,Parties!$A$5:$A$304,0),"")),"")</f>
        <v/>
      </c>
      <c r="W400" s="60" t="str">
        <f aca="false">IF(IsPro,IF($B400="","",IFERROR(VALUE(SUBSTITUTE($B400,InvPrefix,"")),0)),"")</f>
        <v/>
      </c>
      <c r="X400" s="61" t="str">
        <f aca="false">IF(IsPro,IF($D400="","",IF(OR($H400="",$H400="Credit"),0,Q400)),"")</f>
        <v/>
      </c>
    </row>
    <row r="401" customFormat="false" ht="15" hidden="false" customHeight="false" outlineLevel="0" collapsed="false">
      <c r="A401" s="55"/>
      <c r="B401" s="56"/>
      <c r="C401" s="56"/>
      <c r="D401" s="56"/>
      <c r="E401" s="57"/>
      <c r="F401" s="58"/>
      <c r="G401" s="59"/>
      <c r="H401" s="56"/>
      <c r="I401" s="56"/>
      <c r="J401" s="60" t="str">
        <f aca="false">IF(IsPro,IF($D401="","",IFERROR(INDEX(Items!$D$5:$D$504,U401),"")),"")</f>
        <v/>
      </c>
      <c r="K401" s="61" t="str">
        <f aca="false">IF(IsPro,IF($D401="","",IF($F401="",IFERROR(INDEX(Items!$H$5:$H$504,U401),0),$F401)),"")</f>
        <v/>
      </c>
      <c r="L401" s="61" t="str">
        <f aca="false">IF(IsPro,IF($D401="","",ROUND(N($E401)*K401*(1-N($G401)),2)),"")</f>
        <v/>
      </c>
      <c r="M401" s="62" t="str">
        <f aca="false">IF(IsPro,IF($D401="","",IFERROR(INDEX(Items!$F$5:$F$504,U401),0)),"")</f>
        <v/>
      </c>
      <c r="N401" s="61" t="str">
        <f aca="false">IF(IsPro,IF($D401="","",IF(AND(V401&lt;&gt;"",INDEX(Parties!$E$5:$E$304,V401)&lt;&gt;"",INDEX(Parties!$E$5:$E$304,V401)&lt;&gt;HomeState),0,ROUND(L401*M401/2,2))),"")</f>
        <v/>
      </c>
      <c r="O401" s="61" t="str">
        <f aca="false">IF(IsPro,IF($D401="","",N401),"")</f>
        <v/>
      </c>
      <c r="P401" s="61" t="str">
        <f aca="false">IF(IsPro,IF($D401="","",IF(AND(V401&lt;&gt;"",INDEX(Parties!$E$5:$E$304,V401)&lt;&gt;"",INDEX(Parties!$E$5:$E$304,V401)&lt;&gt;HomeState),ROUND(L401*M401,2),0)),"")</f>
        <v/>
      </c>
      <c r="Q401" s="61" t="str">
        <f aca="false">IF(IsPro,IF($D401="","",L401+N401+O401+P401),"")</f>
        <v/>
      </c>
      <c r="R401" s="61" t="str">
        <f aca="false">IF(IsPro,IF($D401="","",ROUND(N($E401)*IFERROR(INDEX(Items!$P$5:$P$504,U401),0),2)),"")</f>
        <v/>
      </c>
      <c r="S401" s="61" t="str">
        <f aca="false">IF(IsPro,IF($D401="","",L401-R401),"")</f>
        <v/>
      </c>
      <c r="T401" s="60" t="str">
        <f aca="false">IF(IsPro,IF($D401="","",IF(U401="","UNKNOWN ITEM",IF(INDEX(Items!$O$5:$O$504,U401)&lt;0,"NEG STOCK",IF(K401&lt;INDEX(Items!$P$5:$P$504,U401),"BELOW COST","OK")))),IF($D401="","","PRO PLAN"))</f>
        <v/>
      </c>
      <c r="U401" s="60" t="str">
        <f aca="false">IF(IsPro,IF($D401="","",IFERROR(MATCH($D401,Items!$A$5:$A$504,0),"")),"")</f>
        <v/>
      </c>
      <c r="V401" s="60" t="str">
        <f aca="false">IF(IsPro,IF($C401="","",IFERROR(MATCH($C401,Parties!$A$5:$A$304,0),"")),"")</f>
        <v/>
      </c>
      <c r="W401" s="60" t="str">
        <f aca="false">IF(IsPro,IF($B401="","",IFERROR(VALUE(SUBSTITUTE($B401,InvPrefix,"")),0)),"")</f>
        <v/>
      </c>
      <c r="X401" s="61" t="str">
        <f aca="false">IF(IsPro,IF($D401="","",IF(OR($H401="",$H401="Credit"),0,Q401)),"")</f>
        <v/>
      </c>
    </row>
    <row r="402" customFormat="false" ht="15" hidden="false" customHeight="false" outlineLevel="0" collapsed="false">
      <c r="A402" s="55"/>
      <c r="B402" s="56"/>
      <c r="C402" s="56"/>
      <c r="D402" s="56"/>
      <c r="E402" s="57"/>
      <c r="F402" s="58"/>
      <c r="G402" s="59"/>
      <c r="H402" s="56"/>
      <c r="I402" s="56"/>
      <c r="J402" s="60" t="str">
        <f aca="false">IF(IsPro,IF($D402="","",IFERROR(INDEX(Items!$D$5:$D$504,U402),"")),"")</f>
        <v/>
      </c>
      <c r="K402" s="61" t="str">
        <f aca="false">IF(IsPro,IF($D402="","",IF($F402="",IFERROR(INDEX(Items!$H$5:$H$504,U402),0),$F402)),"")</f>
        <v/>
      </c>
      <c r="L402" s="61" t="str">
        <f aca="false">IF(IsPro,IF($D402="","",ROUND(N($E402)*K402*(1-N($G402)),2)),"")</f>
        <v/>
      </c>
      <c r="M402" s="62" t="str">
        <f aca="false">IF(IsPro,IF($D402="","",IFERROR(INDEX(Items!$F$5:$F$504,U402),0)),"")</f>
        <v/>
      </c>
      <c r="N402" s="61" t="str">
        <f aca="false">IF(IsPro,IF($D402="","",IF(AND(V402&lt;&gt;"",INDEX(Parties!$E$5:$E$304,V402)&lt;&gt;"",INDEX(Parties!$E$5:$E$304,V402)&lt;&gt;HomeState),0,ROUND(L402*M402/2,2))),"")</f>
        <v/>
      </c>
      <c r="O402" s="61" t="str">
        <f aca="false">IF(IsPro,IF($D402="","",N402),"")</f>
        <v/>
      </c>
      <c r="P402" s="61" t="str">
        <f aca="false">IF(IsPro,IF($D402="","",IF(AND(V402&lt;&gt;"",INDEX(Parties!$E$5:$E$304,V402)&lt;&gt;"",INDEX(Parties!$E$5:$E$304,V402)&lt;&gt;HomeState),ROUND(L402*M402,2),0)),"")</f>
        <v/>
      </c>
      <c r="Q402" s="61" t="str">
        <f aca="false">IF(IsPro,IF($D402="","",L402+N402+O402+P402),"")</f>
        <v/>
      </c>
      <c r="R402" s="61" t="str">
        <f aca="false">IF(IsPro,IF($D402="","",ROUND(N($E402)*IFERROR(INDEX(Items!$P$5:$P$504,U402),0),2)),"")</f>
        <v/>
      </c>
      <c r="S402" s="61" t="str">
        <f aca="false">IF(IsPro,IF($D402="","",L402-R402),"")</f>
        <v/>
      </c>
      <c r="T402" s="60" t="str">
        <f aca="false">IF(IsPro,IF($D402="","",IF(U402="","UNKNOWN ITEM",IF(INDEX(Items!$O$5:$O$504,U402)&lt;0,"NEG STOCK",IF(K402&lt;INDEX(Items!$P$5:$P$504,U402),"BELOW COST","OK")))),IF($D402="","","PRO PLAN"))</f>
        <v/>
      </c>
      <c r="U402" s="60" t="str">
        <f aca="false">IF(IsPro,IF($D402="","",IFERROR(MATCH($D402,Items!$A$5:$A$504,0),"")),"")</f>
        <v/>
      </c>
      <c r="V402" s="60" t="str">
        <f aca="false">IF(IsPro,IF($C402="","",IFERROR(MATCH($C402,Parties!$A$5:$A$304,0),"")),"")</f>
        <v/>
      </c>
      <c r="W402" s="60" t="str">
        <f aca="false">IF(IsPro,IF($B402="","",IFERROR(VALUE(SUBSTITUTE($B402,InvPrefix,"")),0)),"")</f>
        <v/>
      </c>
      <c r="X402" s="61" t="str">
        <f aca="false">IF(IsPro,IF($D402="","",IF(OR($H402="",$H402="Credit"),0,Q402)),"")</f>
        <v/>
      </c>
    </row>
    <row r="403" customFormat="false" ht="15" hidden="false" customHeight="false" outlineLevel="0" collapsed="false">
      <c r="A403" s="55"/>
      <c r="B403" s="56"/>
      <c r="C403" s="56"/>
      <c r="D403" s="56"/>
      <c r="E403" s="57"/>
      <c r="F403" s="58"/>
      <c r="G403" s="59"/>
      <c r="H403" s="56"/>
      <c r="I403" s="56"/>
      <c r="J403" s="60" t="str">
        <f aca="false">IF(IsPro,IF($D403="","",IFERROR(INDEX(Items!$D$5:$D$504,U403),"")),"")</f>
        <v/>
      </c>
      <c r="K403" s="61" t="str">
        <f aca="false">IF(IsPro,IF($D403="","",IF($F403="",IFERROR(INDEX(Items!$H$5:$H$504,U403),0),$F403)),"")</f>
        <v/>
      </c>
      <c r="L403" s="61" t="str">
        <f aca="false">IF(IsPro,IF($D403="","",ROUND(N($E403)*K403*(1-N($G403)),2)),"")</f>
        <v/>
      </c>
      <c r="M403" s="62" t="str">
        <f aca="false">IF(IsPro,IF($D403="","",IFERROR(INDEX(Items!$F$5:$F$504,U403),0)),"")</f>
        <v/>
      </c>
      <c r="N403" s="61" t="str">
        <f aca="false">IF(IsPro,IF($D403="","",IF(AND(V403&lt;&gt;"",INDEX(Parties!$E$5:$E$304,V403)&lt;&gt;"",INDEX(Parties!$E$5:$E$304,V403)&lt;&gt;HomeState),0,ROUND(L403*M403/2,2))),"")</f>
        <v/>
      </c>
      <c r="O403" s="61" t="str">
        <f aca="false">IF(IsPro,IF($D403="","",N403),"")</f>
        <v/>
      </c>
      <c r="P403" s="61" t="str">
        <f aca="false">IF(IsPro,IF($D403="","",IF(AND(V403&lt;&gt;"",INDEX(Parties!$E$5:$E$304,V403)&lt;&gt;"",INDEX(Parties!$E$5:$E$304,V403)&lt;&gt;HomeState),ROUND(L403*M403,2),0)),"")</f>
        <v/>
      </c>
      <c r="Q403" s="61" t="str">
        <f aca="false">IF(IsPro,IF($D403="","",L403+N403+O403+P403),"")</f>
        <v/>
      </c>
      <c r="R403" s="61" t="str">
        <f aca="false">IF(IsPro,IF($D403="","",ROUND(N($E403)*IFERROR(INDEX(Items!$P$5:$P$504,U403),0),2)),"")</f>
        <v/>
      </c>
      <c r="S403" s="61" t="str">
        <f aca="false">IF(IsPro,IF($D403="","",L403-R403),"")</f>
        <v/>
      </c>
      <c r="T403" s="60" t="str">
        <f aca="false">IF(IsPro,IF($D403="","",IF(U403="","UNKNOWN ITEM",IF(INDEX(Items!$O$5:$O$504,U403)&lt;0,"NEG STOCK",IF(K403&lt;INDEX(Items!$P$5:$P$504,U403),"BELOW COST","OK")))),IF($D403="","","PRO PLAN"))</f>
        <v/>
      </c>
      <c r="U403" s="60" t="str">
        <f aca="false">IF(IsPro,IF($D403="","",IFERROR(MATCH($D403,Items!$A$5:$A$504,0),"")),"")</f>
        <v/>
      </c>
      <c r="V403" s="60" t="str">
        <f aca="false">IF(IsPro,IF($C403="","",IFERROR(MATCH($C403,Parties!$A$5:$A$304,0),"")),"")</f>
        <v/>
      </c>
      <c r="W403" s="60" t="str">
        <f aca="false">IF(IsPro,IF($B403="","",IFERROR(VALUE(SUBSTITUTE($B403,InvPrefix,"")),0)),"")</f>
        <v/>
      </c>
      <c r="X403" s="61" t="str">
        <f aca="false">IF(IsPro,IF($D403="","",IF(OR($H403="",$H403="Credit"),0,Q403)),"")</f>
        <v/>
      </c>
    </row>
    <row r="404" customFormat="false" ht="15" hidden="false" customHeight="false" outlineLevel="0" collapsed="false">
      <c r="A404" s="55"/>
      <c r="B404" s="56"/>
      <c r="C404" s="56"/>
      <c r="D404" s="56"/>
      <c r="E404" s="57"/>
      <c r="F404" s="58"/>
      <c r="G404" s="59"/>
      <c r="H404" s="56"/>
      <c r="I404" s="56"/>
      <c r="J404" s="60" t="str">
        <f aca="false">IF(IsPro,IF($D404="","",IFERROR(INDEX(Items!$D$5:$D$504,U404),"")),"")</f>
        <v/>
      </c>
      <c r="K404" s="61" t="str">
        <f aca="false">IF(IsPro,IF($D404="","",IF($F404="",IFERROR(INDEX(Items!$H$5:$H$504,U404),0),$F404)),"")</f>
        <v/>
      </c>
      <c r="L404" s="61" t="str">
        <f aca="false">IF(IsPro,IF($D404="","",ROUND(N($E404)*K404*(1-N($G404)),2)),"")</f>
        <v/>
      </c>
      <c r="M404" s="62" t="str">
        <f aca="false">IF(IsPro,IF($D404="","",IFERROR(INDEX(Items!$F$5:$F$504,U404),0)),"")</f>
        <v/>
      </c>
      <c r="N404" s="61" t="str">
        <f aca="false">IF(IsPro,IF($D404="","",IF(AND(V404&lt;&gt;"",INDEX(Parties!$E$5:$E$304,V404)&lt;&gt;"",INDEX(Parties!$E$5:$E$304,V404)&lt;&gt;HomeState),0,ROUND(L404*M404/2,2))),"")</f>
        <v/>
      </c>
      <c r="O404" s="61" t="str">
        <f aca="false">IF(IsPro,IF($D404="","",N404),"")</f>
        <v/>
      </c>
      <c r="P404" s="61" t="str">
        <f aca="false">IF(IsPro,IF($D404="","",IF(AND(V404&lt;&gt;"",INDEX(Parties!$E$5:$E$304,V404)&lt;&gt;"",INDEX(Parties!$E$5:$E$304,V404)&lt;&gt;HomeState),ROUND(L404*M404,2),0)),"")</f>
        <v/>
      </c>
      <c r="Q404" s="61" t="str">
        <f aca="false">IF(IsPro,IF($D404="","",L404+N404+O404+P404),"")</f>
        <v/>
      </c>
      <c r="R404" s="61" t="str">
        <f aca="false">IF(IsPro,IF($D404="","",ROUND(N($E404)*IFERROR(INDEX(Items!$P$5:$P$504,U404),0),2)),"")</f>
        <v/>
      </c>
      <c r="S404" s="61" t="str">
        <f aca="false">IF(IsPro,IF($D404="","",L404-R404),"")</f>
        <v/>
      </c>
      <c r="T404" s="60" t="str">
        <f aca="false">IF(IsPro,IF($D404="","",IF(U404="","UNKNOWN ITEM",IF(INDEX(Items!$O$5:$O$504,U404)&lt;0,"NEG STOCK",IF(K404&lt;INDEX(Items!$P$5:$P$504,U404),"BELOW COST","OK")))),IF($D404="","","PRO PLAN"))</f>
        <v/>
      </c>
      <c r="U404" s="60" t="str">
        <f aca="false">IF(IsPro,IF($D404="","",IFERROR(MATCH($D404,Items!$A$5:$A$504,0),"")),"")</f>
        <v/>
      </c>
      <c r="V404" s="60" t="str">
        <f aca="false">IF(IsPro,IF($C404="","",IFERROR(MATCH($C404,Parties!$A$5:$A$304,0),"")),"")</f>
        <v/>
      </c>
      <c r="W404" s="60" t="str">
        <f aca="false">IF(IsPro,IF($B404="","",IFERROR(VALUE(SUBSTITUTE($B404,InvPrefix,"")),0)),"")</f>
        <v/>
      </c>
      <c r="X404" s="61" t="str">
        <f aca="false">IF(IsPro,IF($D404="","",IF(OR($H404="",$H404="Credit"),0,Q404)),"")</f>
        <v/>
      </c>
    </row>
    <row r="405" customFormat="false" ht="15" hidden="false" customHeight="false" outlineLevel="0" collapsed="false">
      <c r="A405" s="55"/>
      <c r="B405" s="56"/>
      <c r="C405" s="56"/>
      <c r="D405" s="56"/>
      <c r="E405" s="57"/>
      <c r="F405" s="58"/>
      <c r="G405" s="59"/>
      <c r="H405" s="56"/>
      <c r="I405" s="56"/>
      <c r="J405" s="60" t="str">
        <f aca="false">IF(IsPro,IF($D405="","",IFERROR(INDEX(Items!$D$5:$D$504,U405),"")),"")</f>
        <v/>
      </c>
      <c r="K405" s="61" t="str">
        <f aca="false">IF(IsPro,IF($D405="","",IF($F405="",IFERROR(INDEX(Items!$H$5:$H$504,U405),0),$F405)),"")</f>
        <v/>
      </c>
      <c r="L405" s="61" t="str">
        <f aca="false">IF(IsPro,IF($D405="","",ROUND(N($E405)*K405*(1-N($G405)),2)),"")</f>
        <v/>
      </c>
      <c r="M405" s="62" t="str">
        <f aca="false">IF(IsPro,IF($D405="","",IFERROR(INDEX(Items!$F$5:$F$504,U405),0)),"")</f>
        <v/>
      </c>
      <c r="N405" s="61" t="str">
        <f aca="false">IF(IsPro,IF($D405="","",IF(AND(V405&lt;&gt;"",INDEX(Parties!$E$5:$E$304,V405)&lt;&gt;"",INDEX(Parties!$E$5:$E$304,V405)&lt;&gt;HomeState),0,ROUND(L405*M405/2,2))),"")</f>
        <v/>
      </c>
      <c r="O405" s="61" t="str">
        <f aca="false">IF(IsPro,IF($D405="","",N405),"")</f>
        <v/>
      </c>
      <c r="P405" s="61" t="str">
        <f aca="false">IF(IsPro,IF($D405="","",IF(AND(V405&lt;&gt;"",INDEX(Parties!$E$5:$E$304,V405)&lt;&gt;"",INDEX(Parties!$E$5:$E$304,V405)&lt;&gt;HomeState),ROUND(L405*M405,2),0)),"")</f>
        <v/>
      </c>
      <c r="Q405" s="61" t="str">
        <f aca="false">IF(IsPro,IF($D405="","",L405+N405+O405+P405),"")</f>
        <v/>
      </c>
      <c r="R405" s="61" t="str">
        <f aca="false">IF(IsPro,IF($D405="","",ROUND(N($E405)*IFERROR(INDEX(Items!$P$5:$P$504,U405),0),2)),"")</f>
        <v/>
      </c>
      <c r="S405" s="61" t="str">
        <f aca="false">IF(IsPro,IF($D405="","",L405-R405),"")</f>
        <v/>
      </c>
      <c r="T405" s="60" t="str">
        <f aca="false">IF(IsPro,IF($D405="","",IF(U405="","UNKNOWN ITEM",IF(INDEX(Items!$O$5:$O$504,U405)&lt;0,"NEG STOCK",IF(K405&lt;INDEX(Items!$P$5:$P$504,U405),"BELOW COST","OK")))),IF($D405="","","PRO PLAN"))</f>
        <v/>
      </c>
      <c r="U405" s="60" t="str">
        <f aca="false">IF(IsPro,IF($D405="","",IFERROR(MATCH($D405,Items!$A$5:$A$504,0),"")),"")</f>
        <v/>
      </c>
      <c r="V405" s="60" t="str">
        <f aca="false">IF(IsPro,IF($C405="","",IFERROR(MATCH($C405,Parties!$A$5:$A$304,0),"")),"")</f>
        <v/>
      </c>
      <c r="W405" s="60" t="str">
        <f aca="false">IF(IsPro,IF($B405="","",IFERROR(VALUE(SUBSTITUTE($B405,InvPrefix,"")),0)),"")</f>
        <v/>
      </c>
      <c r="X405" s="61" t="str">
        <f aca="false">IF(IsPro,IF($D405="","",IF(OR($H405="",$H405="Credit"),0,Q405)),"")</f>
        <v/>
      </c>
    </row>
    <row r="406" customFormat="false" ht="15" hidden="false" customHeight="false" outlineLevel="0" collapsed="false">
      <c r="A406" s="55"/>
      <c r="B406" s="56"/>
      <c r="C406" s="56"/>
      <c r="D406" s="56"/>
      <c r="E406" s="57"/>
      <c r="F406" s="58"/>
      <c r="G406" s="59"/>
      <c r="H406" s="56"/>
      <c r="I406" s="56"/>
      <c r="J406" s="60" t="str">
        <f aca="false">IF(IsPro,IF($D406="","",IFERROR(INDEX(Items!$D$5:$D$504,U406),"")),"")</f>
        <v/>
      </c>
      <c r="K406" s="61" t="str">
        <f aca="false">IF(IsPro,IF($D406="","",IF($F406="",IFERROR(INDEX(Items!$H$5:$H$504,U406),0),$F406)),"")</f>
        <v/>
      </c>
      <c r="L406" s="61" t="str">
        <f aca="false">IF(IsPro,IF($D406="","",ROUND(N($E406)*K406*(1-N($G406)),2)),"")</f>
        <v/>
      </c>
      <c r="M406" s="62" t="str">
        <f aca="false">IF(IsPro,IF($D406="","",IFERROR(INDEX(Items!$F$5:$F$504,U406),0)),"")</f>
        <v/>
      </c>
      <c r="N406" s="61" t="str">
        <f aca="false">IF(IsPro,IF($D406="","",IF(AND(V406&lt;&gt;"",INDEX(Parties!$E$5:$E$304,V406)&lt;&gt;"",INDEX(Parties!$E$5:$E$304,V406)&lt;&gt;HomeState),0,ROUND(L406*M406/2,2))),"")</f>
        <v/>
      </c>
      <c r="O406" s="61" t="str">
        <f aca="false">IF(IsPro,IF($D406="","",N406),"")</f>
        <v/>
      </c>
      <c r="P406" s="61" t="str">
        <f aca="false">IF(IsPro,IF($D406="","",IF(AND(V406&lt;&gt;"",INDEX(Parties!$E$5:$E$304,V406)&lt;&gt;"",INDEX(Parties!$E$5:$E$304,V406)&lt;&gt;HomeState),ROUND(L406*M406,2),0)),"")</f>
        <v/>
      </c>
      <c r="Q406" s="61" t="str">
        <f aca="false">IF(IsPro,IF($D406="","",L406+N406+O406+P406),"")</f>
        <v/>
      </c>
      <c r="R406" s="61" t="str">
        <f aca="false">IF(IsPro,IF($D406="","",ROUND(N($E406)*IFERROR(INDEX(Items!$P$5:$P$504,U406),0),2)),"")</f>
        <v/>
      </c>
      <c r="S406" s="61" t="str">
        <f aca="false">IF(IsPro,IF($D406="","",L406-R406),"")</f>
        <v/>
      </c>
      <c r="T406" s="60" t="str">
        <f aca="false">IF(IsPro,IF($D406="","",IF(U406="","UNKNOWN ITEM",IF(INDEX(Items!$O$5:$O$504,U406)&lt;0,"NEG STOCK",IF(K406&lt;INDEX(Items!$P$5:$P$504,U406),"BELOW COST","OK")))),IF($D406="","","PRO PLAN"))</f>
        <v/>
      </c>
      <c r="U406" s="60" t="str">
        <f aca="false">IF(IsPro,IF($D406="","",IFERROR(MATCH($D406,Items!$A$5:$A$504,0),"")),"")</f>
        <v/>
      </c>
      <c r="V406" s="60" t="str">
        <f aca="false">IF(IsPro,IF($C406="","",IFERROR(MATCH($C406,Parties!$A$5:$A$304,0),"")),"")</f>
        <v/>
      </c>
      <c r="W406" s="60" t="str">
        <f aca="false">IF(IsPro,IF($B406="","",IFERROR(VALUE(SUBSTITUTE($B406,InvPrefix,"")),0)),"")</f>
        <v/>
      </c>
      <c r="X406" s="61" t="str">
        <f aca="false">IF(IsPro,IF($D406="","",IF(OR($H406="",$H406="Credit"),0,Q406)),"")</f>
        <v/>
      </c>
    </row>
    <row r="407" customFormat="false" ht="15" hidden="false" customHeight="false" outlineLevel="0" collapsed="false">
      <c r="A407" s="55"/>
      <c r="B407" s="56"/>
      <c r="C407" s="56"/>
      <c r="D407" s="56"/>
      <c r="E407" s="57"/>
      <c r="F407" s="58"/>
      <c r="G407" s="59"/>
      <c r="H407" s="56"/>
      <c r="I407" s="56"/>
      <c r="J407" s="60" t="str">
        <f aca="false">IF(IsPro,IF($D407="","",IFERROR(INDEX(Items!$D$5:$D$504,U407),"")),"")</f>
        <v/>
      </c>
      <c r="K407" s="61" t="str">
        <f aca="false">IF(IsPro,IF($D407="","",IF($F407="",IFERROR(INDEX(Items!$H$5:$H$504,U407),0),$F407)),"")</f>
        <v/>
      </c>
      <c r="L407" s="61" t="str">
        <f aca="false">IF(IsPro,IF($D407="","",ROUND(N($E407)*K407*(1-N($G407)),2)),"")</f>
        <v/>
      </c>
      <c r="M407" s="62" t="str">
        <f aca="false">IF(IsPro,IF($D407="","",IFERROR(INDEX(Items!$F$5:$F$504,U407),0)),"")</f>
        <v/>
      </c>
      <c r="N407" s="61" t="str">
        <f aca="false">IF(IsPro,IF($D407="","",IF(AND(V407&lt;&gt;"",INDEX(Parties!$E$5:$E$304,V407)&lt;&gt;"",INDEX(Parties!$E$5:$E$304,V407)&lt;&gt;HomeState),0,ROUND(L407*M407/2,2))),"")</f>
        <v/>
      </c>
      <c r="O407" s="61" t="str">
        <f aca="false">IF(IsPro,IF($D407="","",N407),"")</f>
        <v/>
      </c>
      <c r="P407" s="61" t="str">
        <f aca="false">IF(IsPro,IF($D407="","",IF(AND(V407&lt;&gt;"",INDEX(Parties!$E$5:$E$304,V407)&lt;&gt;"",INDEX(Parties!$E$5:$E$304,V407)&lt;&gt;HomeState),ROUND(L407*M407,2),0)),"")</f>
        <v/>
      </c>
      <c r="Q407" s="61" t="str">
        <f aca="false">IF(IsPro,IF($D407="","",L407+N407+O407+P407),"")</f>
        <v/>
      </c>
      <c r="R407" s="61" t="str">
        <f aca="false">IF(IsPro,IF($D407="","",ROUND(N($E407)*IFERROR(INDEX(Items!$P$5:$P$504,U407),0),2)),"")</f>
        <v/>
      </c>
      <c r="S407" s="61" t="str">
        <f aca="false">IF(IsPro,IF($D407="","",L407-R407),"")</f>
        <v/>
      </c>
      <c r="T407" s="60" t="str">
        <f aca="false">IF(IsPro,IF($D407="","",IF(U407="","UNKNOWN ITEM",IF(INDEX(Items!$O$5:$O$504,U407)&lt;0,"NEG STOCK",IF(K407&lt;INDEX(Items!$P$5:$P$504,U407),"BELOW COST","OK")))),IF($D407="","","PRO PLAN"))</f>
        <v/>
      </c>
      <c r="U407" s="60" t="str">
        <f aca="false">IF(IsPro,IF($D407="","",IFERROR(MATCH($D407,Items!$A$5:$A$504,0),"")),"")</f>
        <v/>
      </c>
      <c r="V407" s="60" t="str">
        <f aca="false">IF(IsPro,IF($C407="","",IFERROR(MATCH($C407,Parties!$A$5:$A$304,0),"")),"")</f>
        <v/>
      </c>
      <c r="W407" s="60" t="str">
        <f aca="false">IF(IsPro,IF($B407="","",IFERROR(VALUE(SUBSTITUTE($B407,InvPrefix,"")),0)),"")</f>
        <v/>
      </c>
      <c r="X407" s="61" t="str">
        <f aca="false">IF(IsPro,IF($D407="","",IF(OR($H407="",$H407="Credit"),0,Q407)),"")</f>
        <v/>
      </c>
    </row>
    <row r="408" customFormat="false" ht="15" hidden="false" customHeight="false" outlineLevel="0" collapsed="false">
      <c r="A408" s="55"/>
      <c r="B408" s="56"/>
      <c r="C408" s="56"/>
      <c r="D408" s="56"/>
      <c r="E408" s="57"/>
      <c r="F408" s="58"/>
      <c r="G408" s="59"/>
      <c r="H408" s="56"/>
      <c r="I408" s="56"/>
      <c r="J408" s="60" t="str">
        <f aca="false">IF(IsPro,IF($D408="","",IFERROR(INDEX(Items!$D$5:$D$504,U408),"")),"")</f>
        <v/>
      </c>
      <c r="K408" s="61" t="str">
        <f aca="false">IF(IsPro,IF($D408="","",IF($F408="",IFERROR(INDEX(Items!$H$5:$H$504,U408),0),$F408)),"")</f>
        <v/>
      </c>
      <c r="L408" s="61" t="str">
        <f aca="false">IF(IsPro,IF($D408="","",ROUND(N($E408)*K408*(1-N($G408)),2)),"")</f>
        <v/>
      </c>
      <c r="M408" s="62" t="str">
        <f aca="false">IF(IsPro,IF($D408="","",IFERROR(INDEX(Items!$F$5:$F$504,U408),0)),"")</f>
        <v/>
      </c>
      <c r="N408" s="61" t="str">
        <f aca="false">IF(IsPro,IF($D408="","",IF(AND(V408&lt;&gt;"",INDEX(Parties!$E$5:$E$304,V408)&lt;&gt;"",INDEX(Parties!$E$5:$E$304,V408)&lt;&gt;HomeState),0,ROUND(L408*M408/2,2))),"")</f>
        <v/>
      </c>
      <c r="O408" s="61" t="str">
        <f aca="false">IF(IsPro,IF($D408="","",N408),"")</f>
        <v/>
      </c>
      <c r="P408" s="61" t="str">
        <f aca="false">IF(IsPro,IF($D408="","",IF(AND(V408&lt;&gt;"",INDEX(Parties!$E$5:$E$304,V408)&lt;&gt;"",INDEX(Parties!$E$5:$E$304,V408)&lt;&gt;HomeState),ROUND(L408*M408,2),0)),"")</f>
        <v/>
      </c>
      <c r="Q408" s="61" t="str">
        <f aca="false">IF(IsPro,IF($D408="","",L408+N408+O408+P408),"")</f>
        <v/>
      </c>
      <c r="R408" s="61" t="str">
        <f aca="false">IF(IsPro,IF($D408="","",ROUND(N($E408)*IFERROR(INDEX(Items!$P$5:$P$504,U408),0),2)),"")</f>
        <v/>
      </c>
      <c r="S408" s="61" t="str">
        <f aca="false">IF(IsPro,IF($D408="","",L408-R408),"")</f>
        <v/>
      </c>
      <c r="T408" s="60" t="str">
        <f aca="false">IF(IsPro,IF($D408="","",IF(U408="","UNKNOWN ITEM",IF(INDEX(Items!$O$5:$O$504,U408)&lt;0,"NEG STOCK",IF(K408&lt;INDEX(Items!$P$5:$P$504,U408),"BELOW COST","OK")))),IF($D408="","","PRO PLAN"))</f>
        <v/>
      </c>
      <c r="U408" s="60" t="str">
        <f aca="false">IF(IsPro,IF($D408="","",IFERROR(MATCH($D408,Items!$A$5:$A$504,0),"")),"")</f>
        <v/>
      </c>
      <c r="V408" s="60" t="str">
        <f aca="false">IF(IsPro,IF($C408="","",IFERROR(MATCH($C408,Parties!$A$5:$A$304,0),"")),"")</f>
        <v/>
      </c>
      <c r="W408" s="60" t="str">
        <f aca="false">IF(IsPro,IF($B408="","",IFERROR(VALUE(SUBSTITUTE($B408,InvPrefix,"")),0)),"")</f>
        <v/>
      </c>
      <c r="X408" s="61" t="str">
        <f aca="false">IF(IsPro,IF($D408="","",IF(OR($H408="",$H408="Credit"),0,Q408)),"")</f>
        <v/>
      </c>
    </row>
    <row r="409" customFormat="false" ht="15" hidden="false" customHeight="false" outlineLevel="0" collapsed="false">
      <c r="A409" s="55"/>
      <c r="B409" s="56"/>
      <c r="C409" s="56"/>
      <c r="D409" s="56"/>
      <c r="E409" s="57"/>
      <c r="F409" s="58"/>
      <c r="G409" s="59"/>
      <c r="H409" s="56"/>
      <c r="I409" s="56"/>
      <c r="J409" s="60" t="str">
        <f aca="false">IF(IsPro,IF($D409="","",IFERROR(INDEX(Items!$D$5:$D$504,U409),"")),"")</f>
        <v/>
      </c>
      <c r="K409" s="61" t="str">
        <f aca="false">IF(IsPro,IF($D409="","",IF($F409="",IFERROR(INDEX(Items!$H$5:$H$504,U409),0),$F409)),"")</f>
        <v/>
      </c>
      <c r="L409" s="61" t="str">
        <f aca="false">IF(IsPro,IF($D409="","",ROUND(N($E409)*K409*(1-N($G409)),2)),"")</f>
        <v/>
      </c>
      <c r="M409" s="62" t="str">
        <f aca="false">IF(IsPro,IF($D409="","",IFERROR(INDEX(Items!$F$5:$F$504,U409),0)),"")</f>
        <v/>
      </c>
      <c r="N409" s="61" t="str">
        <f aca="false">IF(IsPro,IF($D409="","",IF(AND(V409&lt;&gt;"",INDEX(Parties!$E$5:$E$304,V409)&lt;&gt;"",INDEX(Parties!$E$5:$E$304,V409)&lt;&gt;HomeState),0,ROUND(L409*M409/2,2))),"")</f>
        <v/>
      </c>
      <c r="O409" s="61" t="str">
        <f aca="false">IF(IsPro,IF($D409="","",N409),"")</f>
        <v/>
      </c>
      <c r="P409" s="61" t="str">
        <f aca="false">IF(IsPro,IF($D409="","",IF(AND(V409&lt;&gt;"",INDEX(Parties!$E$5:$E$304,V409)&lt;&gt;"",INDEX(Parties!$E$5:$E$304,V409)&lt;&gt;HomeState),ROUND(L409*M409,2),0)),"")</f>
        <v/>
      </c>
      <c r="Q409" s="61" t="str">
        <f aca="false">IF(IsPro,IF($D409="","",L409+N409+O409+P409),"")</f>
        <v/>
      </c>
      <c r="R409" s="61" t="str">
        <f aca="false">IF(IsPro,IF($D409="","",ROUND(N($E409)*IFERROR(INDEX(Items!$P$5:$P$504,U409),0),2)),"")</f>
        <v/>
      </c>
      <c r="S409" s="61" t="str">
        <f aca="false">IF(IsPro,IF($D409="","",L409-R409),"")</f>
        <v/>
      </c>
      <c r="T409" s="60" t="str">
        <f aca="false">IF(IsPro,IF($D409="","",IF(U409="","UNKNOWN ITEM",IF(INDEX(Items!$O$5:$O$504,U409)&lt;0,"NEG STOCK",IF(K409&lt;INDEX(Items!$P$5:$P$504,U409),"BELOW COST","OK")))),IF($D409="","","PRO PLAN"))</f>
        <v/>
      </c>
      <c r="U409" s="60" t="str">
        <f aca="false">IF(IsPro,IF($D409="","",IFERROR(MATCH($D409,Items!$A$5:$A$504,0),"")),"")</f>
        <v/>
      </c>
      <c r="V409" s="60" t="str">
        <f aca="false">IF(IsPro,IF($C409="","",IFERROR(MATCH($C409,Parties!$A$5:$A$304,0),"")),"")</f>
        <v/>
      </c>
      <c r="W409" s="60" t="str">
        <f aca="false">IF(IsPro,IF($B409="","",IFERROR(VALUE(SUBSTITUTE($B409,InvPrefix,"")),0)),"")</f>
        <v/>
      </c>
      <c r="X409" s="61" t="str">
        <f aca="false">IF(IsPro,IF($D409="","",IF(OR($H409="",$H409="Credit"),0,Q409)),"")</f>
        <v/>
      </c>
    </row>
    <row r="410" customFormat="false" ht="15" hidden="false" customHeight="false" outlineLevel="0" collapsed="false">
      <c r="A410" s="55"/>
      <c r="B410" s="56"/>
      <c r="C410" s="56"/>
      <c r="D410" s="56"/>
      <c r="E410" s="57"/>
      <c r="F410" s="58"/>
      <c r="G410" s="59"/>
      <c r="H410" s="56"/>
      <c r="I410" s="56"/>
      <c r="J410" s="60" t="str">
        <f aca="false">IF(IsPro,IF($D410="","",IFERROR(INDEX(Items!$D$5:$D$504,U410),"")),"")</f>
        <v/>
      </c>
      <c r="K410" s="61" t="str">
        <f aca="false">IF(IsPro,IF($D410="","",IF($F410="",IFERROR(INDEX(Items!$H$5:$H$504,U410),0),$F410)),"")</f>
        <v/>
      </c>
      <c r="L410" s="61" t="str">
        <f aca="false">IF(IsPro,IF($D410="","",ROUND(N($E410)*K410*(1-N($G410)),2)),"")</f>
        <v/>
      </c>
      <c r="M410" s="62" t="str">
        <f aca="false">IF(IsPro,IF($D410="","",IFERROR(INDEX(Items!$F$5:$F$504,U410),0)),"")</f>
        <v/>
      </c>
      <c r="N410" s="61" t="str">
        <f aca="false">IF(IsPro,IF($D410="","",IF(AND(V410&lt;&gt;"",INDEX(Parties!$E$5:$E$304,V410)&lt;&gt;"",INDEX(Parties!$E$5:$E$304,V410)&lt;&gt;HomeState),0,ROUND(L410*M410/2,2))),"")</f>
        <v/>
      </c>
      <c r="O410" s="61" t="str">
        <f aca="false">IF(IsPro,IF($D410="","",N410),"")</f>
        <v/>
      </c>
      <c r="P410" s="61" t="str">
        <f aca="false">IF(IsPro,IF($D410="","",IF(AND(V410&lt;&gt;"",INDEX(Parties!$E$5:$E$304,V410)&lt;&gt;"",INDEX(Parties!$E$5:$E$304,V410)&lt;&gt;HomeState),ROUND(L410*M410,2),0)),"")</f>
        <v/>
      </c>
      <c r="Q410" s="61" t="str">
        <f aca="false">IF(IsPro,IF($D410="","",L410+N410+O410+P410),"")</f>
        <v/>
      </c>
      <c r="R410" s="61" t="str">
        <f aca="false">IF(IsPro,IF($D410="","",ROUND(N($E410)*IFERROR(INDEX(Items!$P$5:$P$504,U410),0),2)),"")</f>
        <v/>
      </c>
      <c r="S410" s="61" t="str">
        <f aca="false">IF(IsPro,IF($D410="","",L410-R410),"")</f>
        <v/>
      </c>
      <c r="T410" s="60" t="str">
        <f aca="false">IF(IsPro,IF($D410="","",IF(U410="","UNKNOWN ITEM",IF(INDEX(Items!$O$5:$O$504,U410)&lt;0,"NEG STOCK",IF(K410&lt;INDEX(Items!$P$5:$P$504,U410),"BELOW COST","OK")))),IF($D410="","","PRO PLAN"))</f>
        <v/>
      </c>
      <c r="U410" s="60" t="str">
        <f aca="false">IF(IsPro,IF($D410="","",IFERROR(MATCH($D410,Items!$A$5:$A$504,0),"")),"")</f>
        <v/>
      </c>
      <c r="V410" s="60" t="str">
        <f aca="false">IF(IsPro,IF($C410="","",IFERROR(MATCH($C410,Parties!$A$5:$A$304,0),"")),"")</f>
        <v/>
      </c>
      <c r="W410" s="60" t="str">
        <f aca="false">IF(IsPro,IF($B410="","",IFERROR(VALUE(SUBSTITUTE($B410,InvPrefix,"")),0)),"")</f>
        <v/>
      </c>
      <c r="X410" s="61" t="str">
        <f aca="false">IF(IsPro,IF($D410="","",IF(OR($H410="",$H410="Credit"),0,Q410)),"")</f>
        <v/>
      </c>
    </row>
    <row r="411" customFormat="false" ht="15" hidden="false" customHeight="false" outlineLevel="0" collapsed="false">
      <c r="A411" s="55"/>
      <c r="B411" s="56"/>
      <c r="C411" s="56"/>
      <c r="D411" s="56"/>
      <c r="E411" s="57"/>
      <c r="F411" s="58"/>
      <c r="G411" s="59"/>
      <c r="H411" s="56"/>
      <c r="I411" s="56"/>
      <c r="J411" s="60" t="str">
        <f aca="false">IF(IsPro,IF($D411="","",IFERROR(INDEX(Items!$D$5:$D$504,U411),"")),"")</f>
        <v/>
      </c>
      <c r="K411" s="61" t="str">
        <f aca="false">IF(IsPro,IF($D411="","",IF($F411="",IFERROR(INDEX(Items!$H$5:$H$504,U411),0),$F411)),"")</f>
        <v/>
      </c>
      <c r="L411" s="61" t="str">
        <f aca="false">IF(IsPro,IF($D411="","",ROUND(N($E411)*K411*(1-N($G411)),2)),"")</f>
        <v/>
      </c>
      <c r="M411" s="62" t="str">
        <f aca="false">IF(IsPro,IF($D411="","",IFERROR(INDEX(Items!$F$5:$F$504,U411),0)),"")</f>
        <v/>
      </c>
      <c r="N411" s="61" t="str">
        <f aca="false">IF(IsPro,IF($D411="","",IF(AND(V411&lt;&gt;"",INDEX(Parties!$E$5:$E$304,V411)&lt;&gt;"",INDEX(Parties!$E$5:$E$304,V411)&lt;&gt;HomeState),0,ROUND(L411*M411/2,2))),"")</f>
        <v/>
      </c>
      <c r="O411" s="61" t="str">
        <f aca="false">IF(IsPro,IF($D411="","",N411),"")</f>
        <v/>
      </c>
      <c r="P411" s="61" t="str">
        <f aca="false">IF(IsPro,IF($D411="","",IF(AND(V411&lt;&gt;"",INDEX(Parties!$E$5:$E$304,V411)&lt;&gt;"",INDEX(Parties!$E$5:$E$304,V411)&lt;&gt;HomeState),ROUND(L411*M411,2),0)),"")</f>
        <v/>
      </c>
      <c r="Q411" s="61" t="str">
        <f aca="false">IF(IsPro,IF($D411="","",L411+N411+O411+P411),"")</f>
        <v/>
      </c>
      <c r="R411" s="61" t="str">
        <f aca="false">IF(IsPro,IF($D411="","",ROUND(N($E411)*IFERROR(INDEX(Items!$P$5:$P$504,U411),0),2)),"")</f>
        <v/>
      </c>
      <c r="S411" s="61" t="str">
        <f aca="false">IF(IsPro,IF($D411="","",L411-R411),"")</f>
        <v/>
      </c>
      <c r="T411" s="60" t="str">
        <f aca="false">IF(IsPro,IF($D411="","",IF(U411="","UNKNOWN ITEM",IF(INDEX(Items!$O$5:$O$504,U411)&lt;0,"NEG STOCK",IF(K411&lt;INDEX(Items!$P$5:$P$504,U411),"BELOW COST","OK")))),IF($D411="","","PRO PLAN"))</f>
        <v/>
      </c>
      <c r="U411" s="60" t="str">
        <f aca="false">IF(IsPro,IF($D411="","",IFERROR(MATCH($D411,Items!$A$5:$A$504,0),"")),"")</f>
        <v/>
      </c>
      <c r="V411" s="60" t="str">
        <f aca="false">IF(IsPro,IF($C411="","",IFERROR(MATCH($C411,Parties!$A$5:$A$304,0),"")),"")</f>
        <v/>
      </c>
      <c r="W411" s="60" t="str">
        <f aca="false">IF(IsPro,IF($B411="","",IFERROR(VALUE(SUBSTITUTE($B411,InvPrefix,"")),0)),"")</f>
        <v/>
      </c>
      <c r="X411" s="61" t="str">
        <f aca="false">IF(IsPro,IF($D411="","",IF(OR($H411="",$H411="Credit"),0,Q411)),"")</f>
        <v/>
      </c>
    </row>
    <row r="412" customFormat="false" ht="15" hidden="false" customHeight="false" outlineLevel="0" collapsed="false">
      <c r="A412" s="55"/>
      <c r="B412" s="56"/>
      <c r="C412" s="56"/>
      <c r="D412" s="56"/>
      <c r="E412" s="57"/>
      <c r="F412" s="58"/>
      <c r="G412" s="59"/>
      <c r="H412" s="56"/>
      <c r="I412" s="56"/>
      <c r="J412" s="60" t="str">
        <f aca="false">IF(IsPro,IF($D412="","",IFERROR(INDEX(Items!$D$5:$D$504,U412),"")),"")</f>
        <v/>
      </c>
      <c r="K412" s="61" t="str">
        <f aca="false">IF(IsPro,IF($D412="","",IF($F412="",IFERROR(INDEX(Items!$H$5:$H$504,U412),0),$F412)),"")</f>
        <v/>
      </c>
      <c r="L412" s="61" t="str">
        <f aca="false">IF(IsPro,IF($D412="","",ROUND(N($E412)*K412*(1-N($G412)),2)),"")</f>
        <v/>
      </c>
      <c r="M412" s="62" t="str">
        <f aca="false">IF(IsPro,IF($D412="","",IFERROR(INDEX(Items!$F$5:$F$504,U412),0)),"")</f>
        <v/>
      </c>
      <c r="N412" s="61" t="str">
        <f aca="false">IF(IsPro,IF($D412="","",IF(AND(V412&lt;&gt;"",INDEX(Parties!$E$5:$E$304,V412)&lt;&gt;"",INDEX(Parties!$E$5:$E$304,V412)&lt;&gt;HomeState),0,ROUND(L412*M412/2,2))),"")</f>
        <v/>
      </c>
      <c r="O412" s="61" t="str">
        <f aca="false">IF(IsPro,IF($D412="","",N412),"")</f>
        <v/>
      </c>
      <c r="P412" s="61" t="str">
        <f aca="false">IF(IsPro,IF($D412="","",IF(AND(V412&lt;&gt;"",INDEX(Parties!$E$5:$E$304,V412)&lt;&gt;"",INDEX(Parties!$E$5:$E$304,V412)&lt;&gt;HomeState),ROUND(L412*M412,2),0)),"")</f>
        <v/>
      </c>
      <c r="Q412" s="61" t="str">
        <f aca="false">IF(IsPro,IF($D412="","",L412+N412+O412+P412),"")</f>
        <v/>
      </c>
      <c r="R412" s="61" t="str">
        <f aca="false">IF(IsPro,IF($D412="","",ROUND(N($E412)*IFERROR(INDEX(Items!$P$5:$P$504,U412),0),2)),"")</f>
        <v/>
      </c>
      <c r="S412" s="61" t="str">
        <f aca="false">IF(IsPro,IF($D412="","",L412-R412),"")</f>
        <v/>
      </c>
      <c r="T412" s="60" t="str">
        <f aca="false">IF(IsPro,IF($D412="","",IF(U412="","UNKNOWN ITEM",IF(INDEX(Items!$O$5:$O$504,U412)&lt;0,"NEG STOCK",IF(K412&lt;INDEX(Items!$P$5:$P$504,U412),"BELOW COST","OK")))),IF($D412="","","PRO PLAN"))</f>
        <v/>
      </c>
      <c r="U412" s="60" t="str">
        <f aca="false">IF(IsPro,IF($D412="","",IFERROR(MATCH($D412,Items!$A$5:$A$504,0),"")),"")</f>
        <v/>
      </c>
      <c r="V412" s="60" t="str">
        <f aca="false">IF(IsPro,IF($C412="","",IFERROR(MATCH($C412,Parties!$A$5:$A$304,0),"")),"")</f>
        <v/>
      </c>
      <c r="W412" s="60" t="str">
        <f aca="false">IF(IsPro,IF($B412="","",IFERROR(VALUE(SUBSTITUTE($B412,InvPrefix,"")),0)),"")</f>
        <v/>
      </c>
      <c r="X412" s="61" t="str">
        <f aca="false">IF(IsPro,IF($D412="","",IF(OR($H412="",$H412="Credit"),0,Q412)),"")</f>
        <v/>
      </c>
    </row>
    <row r="413" customFormat="false" ht="15" hidden="false" customHeight="false" outlineLevel="0" collapsed="false">
      <c r="A413" s="55"/>
      <c r="B413" s="56"/>
      <c r="C413" s="56"/>
      <c r="D413" s="56"/>
      <c r="E413" s="57"/>
      <c r="F413" s="58"/>
      <c r="G413" s="59"/>
      <c r="H413" s="56"/>
      <c r="I413" s="56"/>
      <c r="J413" s="60" t="str">
        <f aca="false">IF(IsPro,IF($D413="","",IFERROR(INDEX(Items!$D$5:$D$504,U413),"")),"")</f>
        <v/>
      </c>
      <c r="K413" s="61" t="str">
        <f aca="false">IF(IsPro,IF($D413="","",IF($F413="",IFERROR(INDEX(Items!$H$5:$H$504,U413),0),$F413)),"")</f>
        <v/>
      </c>
      <c r="L413" s="61" t="str">
        <f aca="false">IF(IsPro,IF($D413="","",ROUND(N($E413)*K413*(1-N($G413)),2)),"")</f>
        <v/>
      </c>
      <c r="M413" s="62" t="str">
        <f aca="false">IF(IsPro,IF($D413="","",IFERROR(INDEX(Items!$F$5:$F$504,U413),0)),"")</f>
        <v/>
      </c>
      <c r="N413" s="61" t="str">
        <f aca="false">IF(IsPro,IF($D413="","",IF(AND(V413&lt;&gt;"",INDEX(Parties!$E$5:$E$304,V413)&lt;&gt;"",INDEX(Parties!$E$5:$E$304,V413)&lt;&gt;HomeState),0,ROUND(L413*M413/2,2))),"")</f>
        <v/>
      </c>
      <c r="O413" s="61" t="str">
        <f aca="false">IF(IsPro,IF($D413="","",N413),"")</f>
        <v/>
      </c>
      <c r="P413" s="61" t="str">
        <f aca="false">IF(IsPro,IF($D413="","",IF(AND(V413&lt;&gt;"",INDEX(Parties!$E$5:$E$304,V413)&lt;&gt;"",INDEX(Parties!$E$5:$E$304,V413)&lt;&gt;HomeState),ROUND(L413*M413,2),0)),"")</f>
        <v/>
      </c>
      <c r="Q413" s="61" t="str">
        <f aca="false">IF(IsPro,IF($D413="","",L413+N413+O413+P413),"")</f>
        <v/>
      </c>
      <c r="R413" s="61" t="str">
        <f aca="false">IF(IsPro,IF($D413="","",ROUND(N($E413)*IFERROR(INDEX(Items!$P$5:$P$504,U413),0),2)),"")</f>
        <v/>
      </c>
      <c r="S413" s="61" t="str">
        <f aca="false">IF(IsPro,IF($D413="","",L413-R413),"")</f>
        <v/>
      </c>
      <c r="T413" s="60" t="str">
        <f aca="false">IF(IsPro,IF($D413="","",IF(U413="","UNKNOWN ITEM",IF(INDEX(Items!$O$5:$O$504,U413)&lt;0,"NEG STOCK",IF(K413&lt;INDEX(Items!$P$5:$P$504,U413),"BELOW COST","OK")))),IF($D413="","","PRO PLAN"))</f>
        <v/>
      </c>
      <c r="U413" s="60" t="str">
        <f aca="false">IF(IsPro,IF($D413="","",IFERROR(MATCH($D413,Items!$A$5:$A$504,0),"")),"")</f>
        <v/>
      </c>
      <c r="V413" s="60" t="str">
        <f aca="false">IF(IsPro,IF($C413="","",IFERROR(MATCH($C413,Parties!$A$5:$A$304,0),"")),"")</f>
        <v/>
      </c>
      <c r="W413" s="60" t="str">
        <f aca="false">IF(IsPro,IF($B413="","",IFERROR(VALUE(SUBSTITUTE($B413,InvPrefix,"")),0)),"")</f>
        <v/>
      </c>
      <c r="X413" s="61" t="str">
        <f aca="false">IF(IsPro,IF($D413="","",IF(OR($H413="",$H413="Credit"),0,Q413)),"")</f>
        <v/>
      </c>
    </row>
    <row r="414" customFormat="false" ht="15" hidden="false" customHeight="false" outlineLevel="0" collapsed="false">
      <c r="A414" s="55"/>
      <c r="B414" s="56"/>
      <c r="C414" s="56"/>
      <c r="D414" s="56"/>
      <c r="E414" s="57"/>
      <c r="F414" s="58"/>
      <c r="G414" s="59"/>
      <c r="H414" s="56"/>
      <c r="I414" s="56"/>
      <c r="J414" s="60" t="str">
        <f aca="false">IF(IsPro,IF($D414="","",IFERROR(INDEX(Items!$D$5:$D$504,U414),"")),"")</f>
        <v/>
      </c>
      <c r="K414" s="61" t="str">
        <f aca="false">IF(IsPro,IF($D414="","",IF($F414="",IFERROR(INDEX(Items!$H$5:$H$504,U414),0),$F414)),"")</f>
        <v/>
      </c>
      <c r="L414" s="61" t="str">
        <f aca="false">IF(IsPro,IF($D414="","",ROUND(N($E414)*K414*(1-N($G414)),2)),"")</f>
        <v/>
      </c>
      <c r="M414" s="62" t="str">
        <f aca="false">IF(IsPro,IF($D414="","",IFERROR(INDEX(Items!$F$5:$F$504,U414),0)),"")</f>
        <v/>
      </c>
      <c r="N414" s="61" t="str">
        <f aca="false">IF(IsPro,IF($D414="","",IF(AND(V414&lt;&gt;"",INDEX(Parties!$E$5:$E$304,V414)&lt;&gt;"",INDEX(Parties!$E$5:$E$304,V414)&lt;&gt;HomeState),0,ROUND(L414*M414/2,2))),"")</f>
        <v/>
      </c>
      <c r="O414" s="61" t="str">
        <f aca="false">IF(IsPro,IF($D414="","",N414),"")</f>
        <v/>
      </c>
      <c r="P414" s="61" t="str">
        <f aca="false">IF(IsPro,IF($D414="","",IF(AND(V414&lt;&gt;"",INDEX(Parties!$E$5:$E$304,V414)&lt;&gt;"",INDEX(Parties!$E$5:$E$304,V414)&lt;&gt;HomeState),ROUND(L414*M414,2),0)),"")</f>
        <v/>
      </c>
      <c r="Q414" s="61" t="str">
        <f aca="false">IF(IsPro,IF($D414="","",L414+N414+O414+P414),"")</f>
        <v/>
      </c>
      <c r="R414" s="61" t="str">
        <f aca="false">IF(IsPro,IF($D414="","",ROUND(N($E414)*IFERROR(INDEX(Items!$P$5:$P$504,U414),0),2)),"")</f>
        <v/>
      </c>
      <c r="S414" s="61" t="str">
        <f aca="false">IF(IsPro,IF($D414="","",L414-R414),"")</f>
        <v/>
      </c>
      <c r="T414" s="60" t="str">
        <f aca="false">IF(IsPro,IF($D414="","",IF(U414="","UNKNOWN ITEM",IF(INDEX(Items!$O$5:$O$504,U414)&lt;0,"NEG STOCK",IF(K414&lt;INDEX(Items!$P$5:$P$504,U414),"BELOW COST","OK")))),IF($D414="","","PRO PLAN"))</f>
        <v/>
      </c>
      <c r="U414" s="60" t="str">
        <f aca="false">IF(IsPro,IF($D414="","",IFERROR(MATCH($D414,Items!$A$5:$A$504,0),"")),"")</f>
        <v/>
      </c>
      <c r="V414" s="60" t="str">
        <f aca="false">IF(IsPro,IF($C414="","",IFERROR(MATCH($C414,Parties!$A$5:$A$304,0),"")),"")</f>
        <v/>
      </c>
      <c r="W414" s="60" t="str">
        <f aca="false">IF(IsPro,IF($B414="","",IFERROR(VALUE(SUBSTITUTE($B414,InvPrefix,"")),0)),"")</f>
        <v/>
      </c>
      <c r="X414" s="61" t="str">
        <f aca="false">IF(IsPro,IF($D414="","",IF(OR($H414="",$H414="Credit"),0,Q414)),"")</f>
        <v/>
      </c>
    </row>
    <row r="415" customFormat="false" ht="15" hidden="false" customHeight="false" outlineLevel="0" collapsed="false">
      <c r="A415" s="55"/>
      <c r="B415" s="56"/>
      <c r="C415" s="56"/>
      <c r="D415" s="56"/>
      <c r="E415" s="57"/>
      <c r="F415" s="58"/>
      <c r="G415" s="59"/>
      <c r="H415" s="56"/>
      <c r="I415" s="56"/>
      <c r="J415" s="60" t="str">
        <f aca="false">IF(IsPro,IF($D415="","",IFERROR(INDEX(Items!$D$5:$D$504,U415),"")),"")</f>
        <v/>
      </c>
      <c r="K415" s="61" t="str">
        <f aca="false">IF(IsPro,IF($D415="","",IF($F415="",IFERROR(INDEX(Items!$H$5:$H$504,U415),0),$F415)),"")</f>
        <v/>
      </c>
      <c r="L415" s="61" t="str">
        <f aca="false">IF(IsPro,IF($D415="","",ROUND(N($E415)*K415*(1-N($G415)),2)),"")</f>
        <v/>
      </c>
      <c r="M415" s="62" t="str">
        <f aca="false">IF(IsPro,IF($D415="","",IFERROR(INDEX(Items!$F$5:$F$504,U415),0)),"")</f>
        <v/>
      </c>
      <c r="N415" s="61" t="str">
        <f aca="false">IF(IsPro,IF($D415="","",IF(AND(V415&lt;&gt;"",INDEX(Parties!$E$5:$E$304,V415)&lt;&gt;"",INDEX(Parties!$E$5:$E$304,V415)&lt;&gt;HomeState),0,ROUND(L415*M415/2,2))),"")</f>
        <v/>
      </c>
      <c r="O415" s="61" t="str">
        <f aca="false">IF(IsPro,IF($D415="","",N415),"")</f>
        <v/>
      </c>
      <c r="P415" s="61" t="str">
        <f aca="false">IF(IsPro,IF($D415="","",IF(AND(V415&lt;&gt;"",INDEX(Parties!$E$5:$E$304,V415)&lt;&gt;"",INDEX(Parties!$E$5:$E$304,V415)&lt;&gt;HomeState),ROUND(L415*M415,2),0)),"")</f>
        <v/>
      </c>
      <c r="Q415" s="61" t="str">
        <f aca="false">IF(IsPro,IF($D415="","",L415+N415+O415+P415),"")</f>
        <v/>
      </c>
      <c r="R415" s="61" t="str">
        <f aca="false">IF(IsPro,IF($D415="","",ROUND(N($E415)*IFERROR(INDEX(Items!$P$5:$P$504,U415),0),2)),"")</f>
        <v/>
      </c>
      <c r="S415" s="61" t="str">
        <f aca="false">IF(IsPro,IF($D415="","",L415-R415),"")</f>
        <v/>
      </c>
      <c r="T415" s="60" t="str">
        <f aca="false">IF(IsPro,IF($D415="","",IF(U415="","UNKNOWN ITEM",IF(INDEX(Items!$O$5:$O$504,U415)&lt;0,"NEG STOCK",IF(K415&lt;INDEX(Items!$P$5:$P$504,U415),"BELOW COST","OK")))),IF($D415="","","PRO PLAN"))</f>
        <v/>
      </c>
      <c r="U415" s="60" t="str">
        <f aca="false">IF(IsPro,IF($D415="","",IFERROR(MATCH($D415,Items!$A$5:$A$504,0),"")),"")</f>
        <v/>
      </c>
      <c r="V415" s="60" t="str">
        <f aca="false">IF(IsPro,IF($C415="","",IFERROR(MATCH($C415,Parties!$A$5:$A$304,0),"")),"")</f>
        <v/>
      </c>
      <c r="W415" s="60" t="str">
        <f aca="false">IF(IsPro,IF($B415="","",IFERROR(VALUE(SUBSTITUTE($B415,InvPrefix,"")),0)),"")</f>
        <v/>
      </c>
      <c r="X415" s="61" t="str">
        <f aca="false">IF(IsPro,IF($D415="","",IF(OR($H415="",$H415="Credit"),0,Q415)),"")</f>
        <v/>
      </c>
    </row>
    <row r="416" customFormat="false" ht="15" hidden="false" customHeight="false" outlineLevel="0" collapsed="false">
      <c r="A416" s="55"/>
      <c r="B416" s="56"/>
      <c r="C416" s="56"/>
      <c r="D416" s="56"/>
      <c r="E416" s="57"/>
      <c r="F416" s="58"/>
      <c r="G416" s="59"/>
      <c r="H416" s="56"/>
      <c r="I416" s="56"/>
      <c r="J416" s="60" t="str">
        <f aca="false">IF(IsPro,IF($D416="","",IFERROR(INDEX(Items!$D$5:$D$504,U416),"")),"")</f>
        <v/>
      </c>
      <c r="K416" s="61" t="str">
        <f aca="false">IF(IsPro,IF($D416="","",IF($F416="",IFERROR(INDEX(Items!$H$5:$H$504,U416),0),$F416)),"")</f>
        <v/>
      </c>
      <c r="L416" s="61" t="str">
        <f aca="false">IF(IsPro,IF($D416="","",ROUND(N($E416)*K416*(1-N($G416)),2)),"")</f>
        <v/>
      </c>
      <c r="M416" s="62" t="str">
        <f aca="false">IF(IsPro,IF($D416="","",IFERROR(INDEX(Items!$F$5:$F$504,U416),0)),"")</f>
        <v/>
      </c>
      <c r="N416" s="61" t="str">
        <f aca="false">IF(IsPro,IF($D416="","",IF(AND(V416&lt;&gt;"",INDEX(Parties!$E$5:$E$304,V416)&lt;&gt;"",INDEX(Parties!$E$5:$E$304,V416)&lt;&gt;HomeState),0,ROUND(L416*M416/2,2))),"")</f>
        <v/>
      </c>
      <c r="O416" s="61" t="str">
        <f aca="false">IF(IsPro,IF($D416="","",N416),"")</f>
        <v/>
      </c>
      <c r="P416" s="61" t="str">
        <f aca="false">IF(IsPro,IF($D416="","",IF(AND(V416&lt;&gt;"",INDEX(Parties!$E$5:$E$304,V416)&lt;&gt;"",INDEX(Parties!$E$5:$E$304,V416)&lt;&gt;HomeState),ROUND(L416*M416,2),0)),"")</f>
        <v/>
      </c>
      <c r="Q416" s="61" t="str">
        <f aca="false">IF(IsPro,IF($D416="","",L416+N416+O416+P416),"")</f>
        <v/>
      </c>
      <c r="R416" s="61" t="str">
        <f aca="false">IF(IsPro,IF($D416="","",ROUND(N($E416)*IFERROR(INDEX(Items!$P$5:$P$504,U416),0),2)),"")</f>
        <v/>
      </c>
      <c r="S416" s="61" t="str">
        <f aca="false">IF(IsPro,IF($D416="","",L416-R416),"")</f>
        <v/>
      </c>
      <c r="T416" s="60" t="str">
        <f aca="false">IF(IsPro,IF($D416="","",IF(U416="","UNKNOWN ITEM",IF(INDEX(Items!$O$5:$O$504,U416)&lt;0,"NEG STOCK",IF(K416&lt;INDEX(Items!$P$5:$P$504,U416),"BELOW COST","OK")))),IF($D416="","","PRO PLAN"))</f>
        <v/>
      </c>
      <c r="U416" s="60" t="str">
        <f aca="false">IF(IsPro,IF($D416="","",IFERROR(MATCH($D416,Items!$A$5:$A$504,0),"")),"")</f>
        <v/>
      </c>
      <c r="V416" s="60" t="str">
        <f aca="false">IF(IsPro,IF($C416="","",IFERROR(MATCH($C416,Parties!$A$5:$A$304,0),"")),"")</f>
        <v/>
      </c>
      <c r="W416" s="60" t="str">
        <f aca="false">IF(IsPro,IF($B416="","",IFERROR(VALUE(SUBSTITUTE($B416,InvPrefix,"")),0)),"")</f>
        <v/>
      </c>
      <c r="X416" s="61" t="str">
        <f aca="false">IF(IsPro,IF($D416="","",IF(OR($H416="",$H416="Credit"),0,Q416)),"")</f>
        <v/>
      </c>
    </row>
    <row r="417" customFormat="false" ht="15" hidden="false" customHeight="false" outlineLevel="0" collapsed="false">
      <c r="A417" s="55"/>
      <c r="B417" s="56"/>
      <c r="C417" s="56"/>
      <c r="D417" s="56"/>
      <c r="E417" s="57"/>
      <c r="F417" s="58"/>
      <c r="G417" s="59"/>
      <c r="H417" s="56"/>
      <c r="I417" s="56"/>
      <c r="J417" s="60" t="str">
        <f aca="false">IF(IsPro,IF($D417="","",IFERROR(INDEX(Items!$D$5:$D$504,U417),"")),"")</f>
        <v/>
      </c>
      <c r="K417" s="61" t="str">
        <f aca="false">IF(IsPro,IF($D417="","",IF($F417="",IFERROR(INDEX(Items!$H$5:$H$504,U417),0),$F417)),"")</f>
        <v/>
      </c>
      <c r="L417" s="61" t="str">
        <f aca="false">IF(IsPro,IF($D417="","",ROUND(N($E417)*K417*(1-N($G417)),2)),"")</f>
        <v/>
      </c>
      <c r="M417" s="62" t="str">
        <f aca="false">IF(IsPro,IF($D417="","",IFERROR(INDEX(Items!$F$5:$F$504,U417),0)),"")</f>
        <v/>
      </c>
      <c r="N417" s="61" t="str">
        <f aca="false">IF(IsPro,IF($D417="","",IF(AND(V417&lt;&gt;"",INDEX(Parties!$E$5:$E$304,V417)&lt;&gt;"",INDEX(Parties!$E$5:$E$304,V417)&lt;&gt;HomeState),0,ROUND(L417*M417/2,2))),"")</f>
        <v/>
      </c>
      <c r="O417" s="61" t="str">
        <f aca="false">IF(IsPro,IF($D417="","",N417),"")</f>
        <v/>
      </c>
      <c r="P417" s="61" t="str">
        <f aca="false">IF(IsPro,IF($D417="","",IF(AND(V417&lt;&gt;"",INDEX(Parties!$E$5:$E$304,V417)&lt;&gt;"",INDEX(Parties!$E$5:$E$304,V417)&lt;&gt;HomeState),ROUND(L417*M417,2),0)),"")</f>
        <v/>
      </c>
      <c r="Q417" s="61" t="str">
        <f aca="false">IF(IsPro,IF($D417="","",L417+N417+O417+P417),"")</f>
        <v/>
      </c>
      <c r="R417" s="61" t="str">
        <f aca="false">IF(IsPro,IF($D417="","",ROUND(N($E417)*IFERROR(INDEX(Items!$P$5:$P$504,U417),0),2)),"")</f>
        <v/>
      </c>
      <c r="S417" s="61" t="str">
        <f aca="false">IF(IsPro,IF($D417="","",L417-R417),"")</f>
        <v/>
      </c>
      <c r="T417" s="60" t="str">
        <f aca="false">IF(IsPro,IF($D417="","",IF(U417="","UNKNOWN ITEM",IF(INDEX(Items!$O$5:$O$504,U417)&lt;0,"NEG STOCK",IF(K417&lt;INDEX(Items!$P$5:$P$504,U417),"BELOW COST","OK")))),IF($D417="","","PRO PLAN"))</f>
        <v/>
      </c>
      <c r="U417" s="60" t="str">
        <f aca="false">IF(IsPro,IF($D417="","",IFERROR(MATCH($D417,Items!$A$5:$A$504,0),"")),"")</f>
        <v/>
      </c>
      <c r="V417" s="60" t="str">
        <f aca="false">IF(IsPro,IF($C417="","",IFERROR(MATCH($C417,Parties!$A$5:$A$304,0),"")),"")</f>
        <v/>
      </c>
      <c r="W417" s="60" t="str">
        <f aca="false">IF(IsPro,IF($B417="","",IFERROR(VALUE(SUBSTITUTE($B417,InvPrefix,"")),0)),"")</f>
        <v/>
      </c>
      <c r="X417" s="61" t="str">
        <f aca="false">IF(IsPro,IF($D417="","",IF(OR($H417="",$H417="Credit"),0,Q417)),"")</f>
        <v/>
      </c>
    </row>
    <row r="418" customFormat="false" ht="15" hidden="false" customHeight="false" outlineLevel="0" collapsed="false">
      <c r="A418" s="55"/>
      <c r="B418" s="56"/>
      <c r="C418" s="56"/>
      <c r="D418" s="56"/>
      <c r="E418" s="57"/>
      <c r="F418" s="58"/>
      <c r="G418" s="59"/>
      <c r="H418" s="56"/>
      <c r="I418" s="56"/>
      <c r="J418" s="60" t="str">
        <f aca="false">IF(IsPro,IF($D418="","",IFERROR(INDEX(Items!$D$5:$D$504,U418),"")),"")</f>
        <v/>
      </c>
      <c r="K418" s="61" t="str">
        <f aca="false">IF(IsPro,IF($D418="","",IF($F418="",IFERROR(INDEX(Items!$H$5:$H$504,U418),0),$F418)),"")</f>
        <v/>
      </c>
      <c r="L418" s="61" t="str">
        <f aca="false">IF(IsPro,IF($D418="","",ROUND(N($E418)*K418*(1-N($G418)),2)),"")</f>
        <v/>
      </c>
      <c r="M418" s="62" t="str">
        <f aca="false">IF(IsPro,IF($D418="","",IFERROR(INDEX(Items!$F$5:$F$504,U418),0)),"")</f>
        <v/>
      </c>
      <c r="N418" s="61" t="str">
        <f aca="false">IF(IsPro,IF($D418="","",IF(AND(V418&lt;&gt;"",INDEX(Parties!$E$5:$E$304,V418)&lt;&gt;"",INDEX(Parties!$E$5:$E$304,V418)&lt;&gt;HomeState),0,ROUND(L418*M418/2,2))),"")</f>
        <v/>
      </c>
      <c r="O418" s="61" t="str">
        <f aca="false">IF(IsPro,IF($D418="","",N418),"")</f>
        <v/>
      </c>
      <c r="P418" s="61" t="str">
        <f aca="false">IF(IsPro,IF($D418="","",IF(AND(V418&lt;&gt;"",INDEX(Parties!$E$5:$E$304,V418)&lt;&gt;"",INDEX(Parties!$E$5:$E$304,V418)&lt;&gt;HomeState),ROUND(L418*M418,2),0)),"")</f>
        <v/>
      </c>
      <c r="Q418" s="61" t="str">
        <f aca="false">IF(IsPro,IF($D418="","",L418+N418+O418+P418),"")</f>
        <v/>
      </c>
      <c r="R418" s="61" t="str">
        <f aca="false">IF(IsPro,IF($D418="","",ROUND(N($E418)*IFERROR(INDEX(Items!$P$5:$P$504,U418),0),2)),"")</f>
        <v/>
      </c>
      <c r="S418" s="61" t="str">
        <f aca="false">IF(IsPro,IF($D418="","",L418-R418),"")</f>
        <v/>
      </c>
      <c r="T418" s="60" t="str">
        <f aca="false">IF(IsPro,IF($D418="","",IF(U418="","UNKNOWN ITEM",IF(INDEX(Items!$O$5:$O$504,U418)&lt;0,"NEG STOCK",IF(K418&lt;INDEX(Items!$P$5:$P$504,U418),"BELOW COST","OK")))),IF($D418="","","PRO PLAN"))</f>
        <v/>
      </c>
      <c r="U418" s="60" t="str">
        <f aca="false">IF(IsPro,IF($D418="","",IFERROR(MATCH($D418,Items!$A$5:$A$504,0),"")),"")</f>
        <v/>
      </c>
      <c r="V418" s="60" t="str">
        <f aca="false">IF(IsPro,IF($C418="","",IFERROR(MATCH($C418,Parties!$A$5:$A$304,0),"")),"")</f>
        <v/>
      </c>
      <c r="W418" s="60" t="str">
        <f aca="false">IF(IsPro,IF($B418="","",IFERROR(VALUE(SUBSTITUTE($B418,InvPrefix,"")),0)),"")</f>
        <v/>
      </c>
      <c r="X418" s="61" t="str">
        <f aca="false">IF(IsPro,IF($D418="","",IF(OR($H418="",$H418="Credit"),0,Q418)),"")</f>
        <v/>
      </c>
    </row>
    <row r="419" customFormat="false" ht="15" hidden="false" customHeight="false" outlineLevel="0" collapsed="false">
      <c r="A419" s="55"/>
      <c r="B419" s="56"/>
      <c r="C419" s="56"/>
      <c r="D419" s="56"/>
      <c r="E419" s="57"/>
      <c r="F419" s="58"/>
      <c r="G419" s="59"/>
      <c r="H419" s="56"/>
      <c r="I419" s="56"/>
      <c r="J419" s="60" t="str">
        <f aca="false">IF(IsPro,IF($D419="","",IFERROR(INDEX(Items!$D$5:$D$504,U419),"")),"")</f>
        <v/>
      </c>
      <c r="K419" s="61" t="str">
        <f aca="false">IF(IsPro,IF($D419="","",IF($F419="",IFERROR(INDEX(Items!$H$5:$H$504,U419),0),$F419)),"")</f>
        <v/>
      </c>
      <c r="L419" s="61" t="str">
        <f aca="false">IF(IsPro,IF($D419="","",ROUND(N($E419)*K419*(1-N($G419)),2)),"")</f>
        <v/>
      </c>
      <c r="M419" s="62" t="str">
        <f aca="false">IF(IsPro,IF($D419="","",IFERROR(INDEX(Items!$F$5:$F$504,U419),0)),"")</f>
        <v/>
      </c>
      <c r="N419" s="61" t="str">
        <f aca="false">IF(IsPro,IF($D419="","",IF(AND(V419&lt;&gt;"",INDEX(Parties!$E$5:$E$304,V419)&lt;&gt;"",INDEX(Parties!$E$5:$E$304,V419)&lt;&gt;HomeState),0,ROUND(L419*M419/2,2))),"")</f>
        <v/>
      </c>
      <c r="O419" s="61" t="str">
        <f aca="false">IF(IsPro,IF($D419="","",N419),"")</f>
        <v/>
      </c>
      <c r="P419" s="61" t="str">
        <f aca="false">IF(IsPro,IF($D419="","",IF(AND(V419&lt;&gt;"",INDEX(Parties!$E$5:$E$304,V419)&lt;&gt;"",INDEX(Parties!$E$5:$E$304,V419)&lt;&gt;HomeState),ROUND(L419*M419,2),0)),"")</f>
        <v/>
      </c>
      <c r="Q419" s="61" t="str">
        <f aca="false">IF(IsPro,IF($D419="","",L419+N419+O419+P419),"")</f>
        <v/>
      </c>
      <c r="R419" s="61" t="str">
        <f aca="false">IF(IsPro,IF($D419="","",ROUND(N($E419)*IFERROR(INDEX(Items!$P$5:$P$504,U419),0),2)),"")</f>
        <v/>
      </c>
      <c r="S419" s="61" t="str">
        <f aca="false">IF(IsPro,IF($D419="","",L419-R419),"")</f>
        <v/>
      </c>
      <c r="T419" s="60" t="str">
        <f aca="false">IF(IsPro,IF($D419="","",IF(U419="","UNKNOWN ITEM",IF(INDEX(Items!$O$5:$O$504,U419)&lt;0,"NEG STOCK",IF(K419&lt;INDEX(Items!$P$5:$P$504,U419),"BELOW COST","OK")))),IF($D419="","","PRO PLAN"))</f>
        <v/>
      </c>
      <c r="U419" s="60" t="str">
        <f aca="false">IF(IsPro,IF($D419="","",IFERROR(MATCH($D419,Items!$A$5:$A$504,0),"")),"")</f>
        <v/>
      </c>
      <c r="V419" s="60" t="str">
        <f aca="false">IF(IsPro,IF($C419="","",IFERROR(MATCH($C419,Parties!$A$5:$A$304,0),"")),"")</f>
        <v/>
      </c>
      <c r="W419" s="60" t="str">
        <f aca="false">IF(IsPro,IF($B419="","",IFERROR(VALUE(SUBSTITUTE($B419,InvPrefix,"")),0)),"")</f>
        <v/>
      </c>
      <c r="X419" s="61" t="str">
        <f aca="false">IF(IsPro,IF($D419="","",IF(OR($H419="",$H419="Credit"),0,Q419)),"")</f>
        <v/>
      </c>
    </row>
    <row r="420" customFormat="false" ht="15" hidden="false" customHeight="false" outlineLevel="0" collapsed="false">
      <c r="A420" s="55"/>
      <c r="B420" s="56"/>
      <c r="C420" s="56"/>
      <c r="D420" s="56"/>
      <c r="E420" s="57"/>
      <c r="F420" s="58"/>
      <c r="G420" s="59"/>
      <c r="H420" s="56"/>
      <c r="I420" s="56"/>
      <c r="J420" s="60" t="str">
        <f aca="false">IF(IsPro,IF($D420="","",IFERROR(INDEX(Items!$D$5:$D$504,U420),"")),"")</f>
        <v/>
      </c>
      <c r="K420" s="61" t="str">
        <f aca="false">IF(IsPro,IF($D420="","",IF($F420="",IFERROR(INDEX(Items!$H$5:$H$504,U420),0),$F420)),"")</f>
        <v/>
      </c>
      <c r="L420" s="61" t="str">
        <f aca="false">IF(IsPro,IF($D420="","",ROUND(N($E420)*K420*(1-N($G420)),2)),"")</f>
        <v/>
      </c>
      <c r="M420" s="62" t="str">
        <f aca="false">IF(IsPro,IF($D420="","",IFERROR(INDEX(Items!$F$5:$F$504,U420),0)),"")</f>
        <v/>
      </c>
      <c r="N420" s="61" t="str">
        <f aca="false">IF(IsPro,IF($D420="","",IF(AND(V420&lt;&gt;"",INDEX(Parties!$E$5:$E$304,V420)&lt;&gt;"",INDEX(Parties!$E$5:$E$304,V420)&lt;&gt;HomeState),0,ROUND(L420*M420/2,2))),"")</f>
        <v/>
      </c>
      <c r="O420" s="61" t="str">
        <f aca="false">IF(IsPro,IF($D420="","",N420),"")</f>
        <v/>
      </c>
      <c r="P420" s="61" t="str">
        <f aca="false">IF(IsPro,IF($D420="","",IF(AND(V420&lt;&gt;"",INDEX(Parties!$E$5:$E$304,V420)&lt;&gt;"",INDEX(Parties!$E$5:$E$304,V420)&lt;&gt;HomeState),ROUND(L420*M420,2),0)),"")</f>
        <v/>
      </c>
      <c r="Q420" s="61" t="str">
        <f aca="false">IF(IsPro,IF($D420="","",L420+N420+O420+P420),"")</f>
        <v/>
      </c>
      <c r="R420" s="61" t="str">
        <f aca="false">IF(IsPro,IF($D420="","",ROUND(N($E420)*IFERROR(INDEX(Items!$P$5:$P$504,U420),0),2)),"")</f>
        <v/>
      </c>
      <c r="S420" s="61" t="str">
        <f aca="false">IF(IsPro,IF($D420="","",L420-R420),"")</f>
        <v/>
      </c>
      <c r="T420" s="60" t="str">
        <f aca="false">IF(IsPro,IF($D420="","",IF(U420="","UNKNOWN ITEM",IF(INDEX(Items!$O$5:$O$504,U420)&lt;0,"NEG STOCK",IF(K420&lt;INDEX(Items!$P$5:$P$504,U420),"BELOW COST","OK")))),IF($D420="","","PRO PLAN"))</f>
        <v/>
      </c>
      <c r="U420" s="60" t="str">
        <f aca="false">IF(IsPro,IF($D420="","",IFERROR(MATCH($D420,Items!$A$5:$A$504,0),"")),"")</f>
        <v/>
      </c>
      <c r="V420" s="60" t="str">
        <f aca="false">IF(IsPro,IF($C420="","",IFERROR(MATCH($C420,Parties!$A$5:$A$304,0),"")),"")</f>
        <v/>
      </c>
      <c r="W420" s="60" t="str">
        <f aca="false">IF(IsPro,IF($B420="","",IFERROR(VALUE(SUBSTITUTE($B420,InvPrefix,"")),0)),"")</f>
        <v/>
      </c>
      <c r="X420" s="61" t="str">
        <f aca="false">IF(IsPro,IF($D420="","",IF(OR($H420="",$H420="Credit"),0,Q420)),"")</f>
        <v/>
      </c>
    </row>
    <row r="421" customFormat="false" ht="15" hidden="false" customHeight="false" outlineLevel="0" collapsed="false">
      <c r="A421" s="55"/>
      <c r="B421" s="56"/>
      <c r="C421" s="56"/>
      <c r="D421" s="56"/>
      <c r="E421" s="57"/>
      <c r="F421" s="58"/>
      <c r="G421" s="59"/>
      <c r="H421" s="56"/>
      <c r="I421" s="56"/>
      <c r="J421" s="60" t="str">
        <f aca="false">IF(IsPro,IF($D421="","",IFERROR(INDEX(Items!$D$5:$D$504,U421),"")),"")</f>
        <v/>
      </c>
      <c r="K421" s="61" t="str">
        <f aca="false">IF(IsPro,IF($D421="","",IF($F421="",IFERROR(INDEX(Items!$H$5:$H$504,U421),0),$F421)),"")</f>
        <v/>
      </c>
      <c r="L421" s="61" t="str">
        <f aca="false">IF(IsPro,IF($D421="","",ROUND(N($E421)*K421*(1-N($G421)),2)),"")</f>
        <v/>
      </c>
      <c r="M421" s="62" t="str">
        <f aca="false">IF(IsPro,IF($D421="","",IFERROR(INDEX(Items!$F$5:$F$504,U421),0)),"")</f>
        <v/>
      </c>
      <c r="N421" s="61" t="str">
        <f aca="false">IF(IsPro,IF($D421="","",IF(AND(V421&lt;&gt;"",INDEX(Parties!$E$5:$E$304,V421)&lt;&gt;"",INDEX(Parties!$E$5:$E$304,V421)&lt;&gt;HomeState),0,ROUND(L421*M421/2,2))),"")</f>
        <v/>
      </c>
      <c r="O421" s="61" t="str">
        <f aca="false">IF(IsPro,IF($D421="","",N421),"")</f>
        <v/>
      </c>
      <c r="P421" s="61" t="str">
        <f aca="false">IF(IsPro,IF($D421="","",IF(AND(V421&lt;&gt;"",INDEX(Parties!$E$5:$E$304,V421)&lt;&gt;"",INDEX(Parties!$E$5:$E$304,V421)&lt;&gt;HomeState),ROUND(L421*M421,2),0)),"")</f>
        <v/>
      </c>
      <c r="Q421" s="61" t="str">
        <f aca="false">IF(IsPro,IF($D421="","",L421+N421+O421+P421),"")</f>
        <v/>
      </c>
      <c r="R421" s="61" t="str">
        <f aca="false">IF(IsPro,IF($D421="","",ROUND(N($E421)*IFERROR(INDEX(Items!$P$5:$P$504,U421),0),2)),"")</f>
        <v/>
      </c>
      <c r="S421" s="61" t="str">
        <f aca="false">IF(IsPro,IF($D421="","",L421-R421),"")</f>
        <v/>
      </c>
      <c r="T421" s="60" t="str">
        <f aca="false">IF(IsPro,IF($D421="","",IF(U421="","UNKNOWN ITEM",IF(INDEX(Items!$O$5:$O$504,U421)&lt;0,"NEG STOCK",IF(K421&lt;INDEX(Items!$P$5:$P$504,U421),"BELOW COST","OK")))),IF($D421="","","PRO PLAN"))</f>
        <v/>
      </c>
      <c r="U421" s="60" t="str">
        <f aca="false">IF(IsPro,IF($D421="","",IFERROR(MATCH($D421,Items!$A$5:$A$504,0),"")),"")</f>
        <v/>
      </c>
      <c r="V421" s="60" t="str">
        <f aca="false">IF(IsPro,IF($C421="","",IFERROR(MATCH($C421,Parties!$A$5:$A$304,0),"")),"")</f>
        <v/>
      </c>
      <c r="W421" s="60" t="str">
        <f aca="false">IF(IsPro,IF($B421="","",IFERROR(VALUE(SUBSTITUTE($B421,InvPrefix,"")),0)),"")</f>
        <v/>
      </c>
      <c r="X421" s="61" t="str">
        <f aca="false">IF(IsPro,IF($D421="","",IF(OR($H421="",$H421="Credit"),0,Q421)),"")</f>
        <v/>
      </c>
    </row>
    <row r="422" customFormat="false" ht="15" hidden="false" customHeight="false" outlineLevel="0" collapsed="false">
      <c r="A422" s="55"/>
      <c r="B422" s="56"/>
      <c r="C422" s="56"/>
      <c r="D422" s="56"/>
      <c r="E422" s="57"/>
      <c r="F422" s="58"/>
      <c r="G422" s="59"/>
      <c r="H422" s="56"/>
      <c r="I422" s="56"/>
      <c r="J422" s="60" t="str">
        <f aca="false">IF(IsPro,IF($D422="","",IFERROR(INDEX(Items!$D$5:$D$504,U422),"")),"")</f>
        <v/>
      </c>
      <c r="K422" s="61" t="str">
        <f aca="false">IF(IsPro,IF($D422="","",IF($F422="",IFERROR(INDEX(Items!$H$5:$H$504,U422),0),$F422)),"")</f>
        <v/>
      </c>
      <c r="L422" s="61" t="str">
        <f aca="false">IF(IsPro,IF($D422="","",ROUND(N($E422)*K422*(1-N($G422)),2)),"")</f>
        <v/>
      </c>
      <c r="M422" s="62" t="str">
        <f aca="false">IF(IsPro,IF($D422="","",IFERROR(INDEX(Items!$F$5:$F$504,U422),0)),"")</f>
        <v/>
      </c>
      <c r="N422" s="61" t="str">
        <f aca="false">IF(IsPro,IF($D422="","",IF(AND(V422&lt;&gt;"",INDEX(Parties!$E$5:$E$304,V422)&lt;&gt;"",INDEX(Parties!$E$5:$E$304,V422)&lt;&gt;HomeState),0,ROUND(L422*M422/2,2))),"")</f>
        <v/>
      </c>
      <c r="O422" s="61" t="str">
        <f aca="false">IF(IsPro,IF($D422="","",N422),"")</f>
        <v/>
      </c>
      <c r="P422" s="61" t="str">
        <f aca="false">IF(IsPro,IF($D422="","",IF(AND(V422&lt;&gt;"",INDEX(Parties!$E$5:$E$304,V422)&lt;&gt;"",INDEX(Parties!$E$5:$E$304,V422)&lt;&gt;HomeState),ROUND(L422*M422,2),0)),"")</f>
        <v/>
      </c>
      <c r="Q422" s="61" t="str">
        <f aca="false">IF(IsPro,IF($D422="","",L422+N422+O422+P422),"")</f>
        <v/>
      </c>
      <c r="R422" s="61" t="str">
        <f aca="false">IF(IsPro,IF($D422="","",ROUND(N($E422)*IFERROR(INDEX(Items!$P$5:$P$504,U422),0),2)),"")</f>
        <v/>
      </c>
      <c r="S422" s="61" t="str">
        <f aca="false">IF(IsPro,IF($D422="","",L422-R422),"")</f>
        <v/>
      </c>
      <c r="T422" s="60" t="str">
        <f aca="false">IF(IsPro,IF($D422="","",IF(U422="","UNKNOWN ITEM",IF(INDEX(Items!$O$5:$O$504,U422)&lt;0,"NEG STOCK",IF(K422&lt;INDEX(Items!$P$5:$P$504,U422),"BELOW COST","OK")))),IF($D422="","","PRO PLAN"))</f>
        <v/>
      </c>
      <c r="U422" s="60" t="str">
        <f aca="false">IF(IsPro,IF($D422="","",IFERROR(MATCH($D422,Items!$A$5:$A$504,0),"")),"")</f>
        <v/>
      </c>
      <c r="V422" s="60" t="str">
        <f aca="false">IF(IsPro,IF($C422="","",IFERROR(MATCH($C422,Parties!$A$5:$A$304,0),"")),"")</f>
        <v/>
      </c>
      <c r="W422" s="60" t="str">
        <f aca="false">IF(IsPro,IF($B422="","",IFERROR(VALUE(SUBSTITUTE($B422,InvPrefix,"")),0)),"")</f>
        <v/>
      </c>
      <c r="X422" s="61" t="str">
        <f aca="false">IF(IsPro,IF($D422="","",IF(OR($H422="",$H422="Credit"),0,Q422)),"")</f>
        <v/>
      </c>
    </row>
    <row r="423" customFormat="false" ht="15" hidden="false" customHeight="false" outlineLevel="0" collapsed="false">
      <c r="A423" s="55"/>
      <c r="B423" s="56"/>
      <c r="C423" s="56"/>
      <c r="D423" s="56"/>
      <c r="E423" s="57"/>
      <c r="F423" s="58"/>
      <c r="G423" s="59"/>
      <c r="H423" s="56"/>
      <c r="I423" s="56"/>
      <c r="J423" s="60" t="str">
        <f aca="false">IF(IsPro,IF($D423="","",IFERROR(INDEX(Items!$D$5:$D$504,U423),"")),"")</f>
        <v/>
      </c>
      <c r="K423" s="61" t="str">
        <f aca="false">IF(IsPro,IF($D423="","",IF($F423="",IFERROR(INDEX(Items!$H$5:$H$504,U423),0),$F423)),"")</f>
        <v/>
      </c>
      <c r="L423" s="61" t="str">
        <f aca="false">IF(IsPro,IF($D423="","",ROUND(N($E423)*K423*(1-N($G423)),2)),"")</f>
        <v/>
      </c>
      <c r="M423" s="62" t="str">
        <f aca="false">IF(IsPro,IF($D423="","",IFERROR(INDEX(Items!$F$5:$F$504,U423),0)),"")</f>
        <v/>
      </c>
      <c r="N423" s="61" t="str">
        <f aca="false">IF(IsPro,IF($D423="","",IF(AND(V423&lt;&gt;"",INDEX(Parties!$E$5:$E$304,V423)&lt;&gt;"",INDEX(Parties!$E$5:$E$304,V423)&lt;&gt;HomeState),0,ROUND(L423*M423/2,2))),"")</f>
        <v/>
      </c>
      <c r="O423" s="61" t="str">
        <f aca="false">IF(IsPro,IF($D423="","",N423),"")</f>
        <v/>
      </c>
      <c r="P423" s="61" t="str">
        <f aca="false">IF(IsPro,IF($D423="","",IF(AND(V423&lt;&gt;"",INDEX(Parties!$E$5:$E$304,V423)&lt;&gt;"",INDEX(Parties!$E$5:$E$304,V423)&lt;&gt;HomeState),ROUND(L423*M423,2),0)),"")</f>
        <v/>
      </c>
      <c r="Q423" s="61" t="str">
        <f aca="false">IF(IsPro,IF($D423="","",L423+N423+O423+P423),"")</f>
        <v/>
      </c>
      <c r="R423" s="61" t="str">
        <f aca="false">IF(IsPro,IF($D423="","",ROUND(N($E423)*IFERROR(INDEX(Items!$P$5:$P$504,U423),0),2)),"")</f>
        <v/>
      </c>
      <c r="S423" s="61" t="str">
        <f aca="false">IF(IsPro,IF($D423="","",L423-R423),"")</f>
        <v/>
      </c>
      <c r="T423" s="60" t="str">
        <f aca="false">IF(IsPro,IF($D423="","",IF(U423="","UNKNOWN ITEM",IF(INDEX(Items!$O$5:$O$504,U423)&lt;0,"NEG STOCK",IF(K423&lt;INDEX(Items!$P$5:$P$504,U423),"BELOW COST","OK")))),IF($D423="","","PRO PLAN"))</f>
        <v/>
      </c>
      <c r="U423" s="60" t="str">
        <f aca="false">IF(IsPro,IF($D423="","",IFERROR(MATCH($D423,Items!$A$5:$A$504,0),"")),"")</f>
        <v/>
      </c>
      <c r="V423" s="60" t="str">
        <f aca="false">IF(IsPro,IF($C423="","",IFERROR(MATCH($C423,Parties!$A$5:$A$304,0),"")),"")</f>
        <v/>
      </c>
      <c r="W423" s="60" t="str">
        <f aca="false">IF(IsPro,IF($B423="","",IFERROR(VALUE(SUBSTITUTE($B423,InvPrefix,"")),0)),"")</f>
        <v/>
      </c>
      <c r="X423" s="61" t="str">
        <f aca="false">IF(IsPro,IF($D423="","",IF(OR($H423="",$H423="Credit"),0,Q423)),"")</f>
        <v/>
      </c>
    </row>
    <row r="424" customFormat="false" ht="15" hidden="false" customHeight="false" outlineLevel="0" collapsed="false">
      <c r="A424" s="55"/>
      <c r="B424" s="56"/>
      <c r="C424" s="56"/>
      <c r="D424" s="56"/>
      <c r="E424" s="57"/>
      <c r="F424" s="58"/>
      <c r="G424" s="59"/>
      <c r="H424" s="56"/>
      <c r="I424" s="56"/>
      <c r="J424" s="60" t="str">
        <f aca="false">IF(IsPro,IF($D424="","",IFERROR(INDEX(Items!$D$5:$D$504,U424),"")),"")</f>
        <v/>
      </c>
      <c r="K424" s="61" t="str">
        <f aca="false">IF(IsPro,IF($D424="","",IF($F424="",IFERROR(INDEX(Items!$H$5:$H$504,U424),0),$F424)),"")</f>
        <v/>
      </c>
      <c r="L424" s="61" t="str">
        <f aca="false">IF(IsPro,IF($D424="","",ROUND(N($E424)*K424*(1-N($G424)),2)),"")</f>
        <v/>
      </c>
      <c r="M424" s="62" t="str">
        <f aca="false">IF(IsPro,IF($D424="","",IFERROR(INDEX(Items!$F$5:$F$504,U424),0)),"")</f>
        <v/>
      </c>
      <c r="N424" s="61" t="str">
        <f aca="false">IF(IsPro,IF($D424="","",IF(AND(V424&lt;&gt;"",INDEX(Parties!$E$5:$E$304,V424)&lt;&gt;"",INDEX(Parties!$E$5:$E$304,V424)&lt;&gt;HomeState),0,ROUND(L424*M424/2,2))),"")</f>
        <v/>
      </c>
      <c r="O424" s="61" t="str">
        <f aca="false">IF(IsPro,IF($D424="","",N424),"")</f>
        <v/>
      </c>
      <c r="P424" s="61" t="str">
        <f aca="false">IF(IsPro,IF($D424="","",IF(AND(V424&lt;&gt;"",INDEX(Parties!$E$5:$E$304,V424)&lt;&gt;"",INDEX(Parties!$E$5:$E$304,V424)&lt;&gt;HomeState),ROUND(L424*M424,2),0)),"")</f>
        <v/>
      </c>
      <c r="Q424" s="61" t="str">
        <f aca="false">IF(IsPro,IF($D424="","",L424+N424+O424+P424),"")</f>
        <v/>
      </c>
      <c r="R424" s="61" t="str">
        <f aca="false">IF(IsPro,IF($D424="","",ROUND(N($E424)*IFERROR(INDEX(Items!$P$5:$P$504,U424),0),2)),"")</f>
        <v/>
      </c>
      <c r="S424" s="61" t="str">
        <f aca="false">IF(IsPro,IF($D424="","",L424-R424),"")</f>
        <v/>
      </c>
      <c r="T424" s="60" t="str">
        <f aca="false">IF(IsPro,IF($D424="","",IF(U424="","UNKNOWN ITEM",IF(INDEX(Items!$O$5:$O$504,U424)&lt;0,"NEG STOCK",IF(K424&lt;INDEX(Items!$P$5:$P$504,U424),"BELOW COST","OK")))),IF($D424="","","PRO PLAN"))</f>
        <v/>
      </c>
      <c r="U424" s="60" t="str">
        <f aca="false">IF(IsPro,IF($D424="","",IFERROR(MATCH($D424,Items!$A$5:$A$504,0),"")),"")</f>
        <v/>
      </c>
      <c r="V424" s="60" t="str">
        <f aca="false">IF(IsPro,IF($C424="","",IFERROR(MATCH($C424,Parties!$A$5:$A$304,0),"")),"")</f>
        <v/>
      </c>
      <c r="W424" s="60" t="str">
        <f aca="false">IF(IsPro,IF($B424="","",IFERROR(VALUE(SUBSTITUTE($B424,InvPrefix,"")),0)),"")</f>
        <v/>
      </c>
      <c r="X424" s="61" t="str">
        <f aca="false">IF(IsPro,IF($D424="","",IF(OR($H424="",$H424="Credit"),0,Q424)),"")</f>
        <v/>
      </c>
    </row>
    <row r="425" customFormat="false" ht="15" hidden="false" customHeight="false" outlineLevel="0" collapsed="false">
      <c r="A425" s="55"/>
      <c r="B425" s="56"/>
      <c r="C425" s="56"/>
      <c r="D425" s="56"/>
      <c r="E425" s="57"/>
      <c r="F425" s="58"/>
      <c r="G425" s="59"/>
      <c r="H425" s="56"/>
      <c r="I425" s="56"/>
      <c r="J425" s="60" t="str">
        <f aca="false">IF(IsPro,IF($D425="","",IFERROR(INDEX(Items!$D$5:$D$504,U425),"")),"")</f>
        <v/>
      </c>
      <c r="K425" s="61" t="str">
        <f aca="false">IF(IsPro,IF($D425="","",IF($F425="",IFERROR(INDEX(Items!$H$5:$H$504,U425),0),$F425)),"")</f>
        <v/>
      </c>
      <c r="L425" s="61" t="str">
        <f aca="false">IF(IsPro,IF($D425="","",ROUND(N($E425)*K425*(1-N($G425)),2)),"")</f>
        <v/>
      </c>
      <c r="M425" s="62" t="str">
        <f aca="false">IF(IsPro,IF($D425="","",IFERROR(INDEX(Items!$F$5:$F$504,U425),0)),"")</f>
        <v/>
      </c>
      <c r="N425" s="61" t="str">
        <f aca="false">IF(IsPro,IF($D425="","",IF(AND(V425&lt;&gt;"",INDEX(Parties!$E$5:$E$304,V425)&lt;&gt;"",INDEX(Parties!$E$5:$E$304,V425)&lt;&gt;HomeState),0,ROUND(L425*M425/2,2))),"")</f>
        <v/>
      </c>
      <c r="O425" s="61" t="str">
        <f aca="false">IF(IsPro,IF($D425="","",N425),"")</f>
        <v/>
      </c>
      <c r="P425" s="61" t="str">
        <f aca="false">IF(IsPro,IF($D425="","",IF(AND(V425&lt;&gt;"",INDEX(Parties!$E$5:$E$304,V425)&lt;&gt;"",INDEX(Parties!$E$5:$E$304,V425)&lt;&gt;HomeState),ROUND(L425*M425,2),0)),"")</f>
        <v/>
      </c>
      <c r="Q425" s="61" t="str">
        <f aca="false">IF(IsPro,IF($D425="","",L425+N425+O425+P425),"")</f>
        <v/>
      </c>
      <c r="R425" s="61" t="str">
        <f aca="false">IF(IsPro,IF($D425="","",ROUND(N($E425)*IFERROR(INDEX(Items!$P$5:$P$504,U425),0),2)),"")</f>
        <v/>
      </c>
      <c r="S425" s="61" t="str">
        <f aca="false">IF(IsPro,IF($D425="","",L425-R425),"")</f>
        <v/>
      </c>
      <c r="T425" s="60" t="str">
        <f aca="false">IF(IsPro,IF($D425="","",IF(U425="","UNKNOWN ITEM",IF(INDEX(Items!$O$5:$O$504,U425)&lt;0,"NEG STOCK",IF(K425&lt;INDEX(Items!$P$5:$P$504,U425),"BELOW COST","OK")))),IF($D425="","","PRO PLAN"))</f>
        <v/>
      </c>
      <c r="U425" s="60" t="str">
        <f aca="false">IF(IsPro,IF($D425="","",IFERROR(MATCH($D425,Items!$A$5:$A$504,0),"")),"")</f>
        <v/>
      </c>
      <c r="V425" s="60" t="str">
        <f aca="false">IF(IsPro,IF($C425="","",IFERROR(MATCH($C425,Parties!$A$5:$A$304,0),"")),"")</f>
        <v/>
      </c>
      <c r="W425" s="60" t="str">
        <f aca="false">IF(IsPro,IF($B425="","",IFERROR(VALUE(SUBSTITUTE($B425,InvPrefix,"")),0)),"")</f>
        <v/>
      </c>
      <c r="X425" s="61" t="str">
        <f aca="false">IF(IsPro,IF($D425="","",IF(OR($H425="",$H425="Credit"),0,Q425)),"")</f>
        <v/>
      </c>
    </row>
    <row r="426" customFormat="false" ht="15" hidden="false" customHeight="false" outlineLevel="0" collapsed="false">
      <c r="A426" s="55"/>
      <c r="B426" s="56"/>
      <c r="C426" s="56"/>
      <c r="D426" s="56"/>
      <c r="E426" s="57"/>
      <c r="F426" s="58"/>
      <c r="G426" s="59"/>
      <c r="H426" s="56"/>
      <c r="I426" s="56"/>
      <c r="J426" s="60" t="str">
        <f aca="false">IF(IsPro,IF($D426="","",IFERROR(INDEX(Items!$D$5:$D$504,U426),"")),"")</f>
        <v/>
      </c>
      <c r="K426" s="61" t="str">
        <f aca="false">IF(IsPro,IF($D426="","",IF($F426="",IFERROR(INDEX(Items!$H$5:$H$504,U426),0),$F426)),"")</f>
        <v/>
      </c>
      <c r="L426" s="61" t="str">
        <f aca="false">IF(IsPro,IF($D426="","",ROUND(N($E426)*K426*(1-N($G426)),2)),"")</f>
        <v/>
      </c>
      <c r="M426" s="62" t="str">
        <f aca="false">IF(IsPro,IF($D426="","",IFERROR(INDEX(Items!$F$5:$F$504,U426),0)),"")</f>
        <v/>
      </c>
      <c r="N426" s="61" t="str">
        <f aca="false">IF(IsPro,IF($D426="","",IF(AND(V426&lt;&gt;"",INDEX(Parties!$E$5:$E$304,V426)&lt;&gt;"",INDEX(Parties!$E$5:$E$304,V426)&lt;&gt;HomeState),0,ROUND(L426*M426/2,2))),"")</f>
        <v/>
      </c>
      <c r="O426" s="61" t="str">
        <f aca="false">IF(IsPro,IF($D426="","",N426),"")</f>
        <v/>
      </c>
      <c r="P426" s="61" t="str">
        <f aca="false">IF(IsPro,IF($D426="","",IF(AND(V426&lt;&gt;"",INDEX(Parties!$E$5:$E$304,V426)&lt;&gt;"",INDEX(Parties!$E$5:$E$304,V426)&lt;&gt;HomeState),ROUND(L426*M426,2),0)),"")</f>
        <v/>
      </c>
      <c r="Q426" s="61" t="str">
        <f aca="false">IF(IsPro,IF($D426="","",L426+N426+O426+P426),"")</f>
        <v/>
      </c>
      <c r="R426" s="61" t="str">
        <f aca="false">IF(IsPro,IF($D426="","",ROUND(N($E426)*IFERROR(INDEX(Items!$P$5:$P$504,U426),0),2)),"")</f>
        <v/>
      </c>
      <c r="S426" s="61" t="str">
        <f aca="false">IF(IsPro,IF($D426="","",L426-R426),"")</f>
        <v/>
      </c>
      <c r="T426" s="60" t="str">
        <f aca="false">IF(IsPro,IF($D426="","",IF(U426="","UNKNOWN ITEM",IF(INDEX(Items!$O$5:$O$504,U426)&lt;0,"NEG STOCK",IF(K426&lt;INDEX(Items!$P$5:$P$504,U426),"BELOW COST","OK")))),IF($D426="","","PRO PLAN"))</f>
        <v/>
      </c>
      <c r="U426" s="60" t="str">
        <f aca="false">IF(IsPro,IF($D426="","",IFERROR(MATCH($D426,Items!$A$5:$A$504,0),"")),"")</f>
        <v/>
      </c>
      <c r="V426" s="60" t="str">
        <f aca="false">IF(IsPro,IF($C426="","",IFERROR(MATCH($C426,Parties!$A$5:$A$304,0),"")),"")</f>
        <v/>
      </c>
      <c r="W426" s="60" t="str">
        <f aca="false">IF(IsPro,IF($B426="","",IFERROR(VALUE(SUBSTITUTE($B426,InvPrefix,"")),0)),"")</f>
        <v/>
      </c>
      <c r="X426" s="61" t="str">
        <f aca="false">IF(IsPro,IF($D426="","",IF(OR($H426="",$H426="Credit"),0,Q426)),"")</f>
        <v/>
      </c>
    </row>
    <row r="427" customFormat="false" ht="15" hidden="false" customHeight="false" outlineLevel="0" collapsed="false">
      <c r="A427" s="55"/>
      <c r="B427" s="56"/>
      <c r="C427" s="56"/>
      <c r="D427" s="56"/>
      <c r="E427" s="57"/>
      <c r="F427" s="58"/>
      <c r="G427" s="59"/>
      <c r="H427" s="56"/>
      <c r="I427" s="56"/>
      <c r="J427" s="60" t="str">
        <f aca="false">IF(IsPro,IF($D427="","",IFERROR(INDEX(Items!$D$5:$D$504,U427),"")),"")</f>
        <v/>
      </c>
      <c r="K427" s="61" t="str">
        <f aca="false">IF(IsPro,IF($D427="","",IF($F427="",IFERROR(INDEX(Items!$H$5:$H$504,U427),0),$F427)),"")</f>
        <v/>
      </c>
      <c r="L427" s="61" t="str">
        <f aca="false">IF(IsPro,IF($D427="","",ROUND(N($E427)*K427*(1-N($G427)),2)),"")</f>
        <v/>
      </c>
      <c r="M427" s="62" t="str">
        <f aca="false">IF(IsPro,IF($D427="","",IFERROR(INDEX(Items!$F$5:$F$504,U427),0)),"")</f>
        <v/>
      </c>
      <c r="N427" s="61" t="str">
        <f aca="false">IF(IsPro,IF($D427="","",IF(AND(V427&lt;&gt;"",INDEX(Parties!$E$5:$E$304,V427)&lt;&gt;"",INDEX(Parties!$E$5:$E$304,V427)&lt;&gt;HomeState),0,ROUND(L427*M427/2,2))),"")</f>
        <v/>
      </c>
      <c r="O427" s="61" t="str">
        <f aca="false">IF(IsPro,IF($D427="","",N427),"")</f>
        <v/>
      </c>
      <c r="P427" s="61" t="str">
        <f aca="false">IF(IsPro,IF($D427="","",IF(AND(V427&lt;&gt;"",INDEX(Parties!$E$5:$E$304,V427)&lt;&gt;"",INDEX(Parties!$E$5:$E$304,V427)&lt;&gt;HomeState),ROUND(L427*M427,2),0)),"")</f>
        <v/>
      </c>
      <c r="Q427" s="61" t="str">
        <f aca="false">IF(IsPro,IF($D427="","",L427+N427+O427+P427),"")</f>
        <v/>
      </c>
      <c r="R427" s="61" t="str">
        <f aca="false">IF(IsPro,IF($D427="","",ROUND(N($E427)*IFERROR(INDEX(Items!$P$5:$P$504,U427),0),2)),"")</f>
        <v/>
      </c>
      <c r="S427" s="61" t="str">
        <f aca="false">IF(IsPro,IF($D427="","",L427-R427),"")</f>
        <v/>
      </c>
      <c r="T427" s="60" t="str">
        <f aca="false">IF(IsPro,IF($D427="","",IF(U427="","UNKNOWN ITEM",IF(INDEX(Items!$O$5:$O$504,U427)&lt;0,"NEG STOCK",IF(K427&lt;INDEX(Items!$P$5:$P$504,U427),"BELOW COST","OK")))),IF($D427="","","PRO PLAN"))</f>
        <v/>
      </c>
      <c r="U427" s="60" t="str">
        <f aca="false">IF(IsPro,IF($D427="","",IFERROR(MATCH($D427,Items!$A$5:$A$504,0),"")),"")</f>
        <v/>
      </c>
      <c r="V427" s="60" t="str">
        <f aca="false">IF(IsPro,IF($C427="","",IFERROR(MATCH($C427,Parties!$A$5:$A$304,0),"")),"")</f>
        <v/>
      </c>
      <c r="W427" s="60" t="str">
        <f aca="false">IF(IsPro,IF($B427="","",IFERROR(VALUE(SUBSTITUTE($B427,InvPrefix,"")),0)),"")</f>
        <v/>
      </c>
      <c r="X427" s="61" t="str">
        <f aca="false">IF(IsPro,IF($D427="","",IF(OR($H427="",$H427="Credit"),0,Q427)),"")</f>
        <v/>
      </c>
    </row>
    <row r="428" customFormat="false" ht="15" hidden="false" customHeight="false" outlineLevel="0" collapsed="false">
      <c r="A428" s="55"/>
      <c r="B428" s="56"/>
      <c r="C428" s="56"/>
      <c r="D428" s="56"/>
      <c r="E428" s="57"/>
      <c r="F428" s="58"/>
      <c r="G428" s="59"/>
      <c r="H428" s="56"/>
      <c r="I428" s="56"/>
      <c r="J428" s="60" t="str">
        <f aca="false">IF(IsPro,IF($D428="","",IFERROR(INDEX(Items!$D$5:$D$504,U428),"")),"")</f>
        <v/>
      </c>
      <c r="K428" s="61" t="str">
        <f aca="false">IF(IsPro,IF($D428="","",IF($F428="",IFERROR(INDEX(Items!$H$5:$H$504,U428),0),$F428)),"")</f>
        <v/>
      </c>
      <c r="L428" s="61" t="str">
        <f aca="false">IF(IsPro,IF($D428="","",ROUND(N($E428)*K428*(1-N($G428)),2)),"")</f>
        <v/>
      </c>
      <c r="M428" s="62" t="str">
        <f aca="false">IF(IsPro,IF($D428="","",IFERROR(INDEX(Items!$F$5:$F$504,U428),0)),"")</f>
        <v/>
      </c>
      <c r="N428" s="61" t="str">
        <f aca="false">IF(IsPro,IF($D428="","",IF(AND(V428&lt;&gt;"",INDEX(Parties!$E$5:$E$304,V428)&lt;&gt;"",INDEX(Parties!$E$5:$E$304,V428)&lt;&gt;HomeState),0,ROUND(L428*M428/2,2))),"")</f>
        <v/>
      </c>
      <c r="O428" s="61" t="str">
        <f aca="false">IF(IsPro,IF($D428="","",N428),"")</f>
        <v/>
      </c>
      <c r="P428" s="61" t="str">
        <f aca="false">IF(IsPro,IF($D428="","",IF(AND(V428&lt;&gt;"",INDEX(Parties!$E$5:$E$304,V428)&lt;&gt;"",INDEX(Parties!$E$5:$E$304,V428)&lt;&gt;HomeState),ROUND(L428*M428,2),0)),"")</f>
        <v/>
      </c>
      <c r="Q428" s="61" t="str">
        <f aca="false">IF(IsPro,IF($D428="","",L428+N428+O428+P428),"")</f>
        <v/>
      </c>
      <c r="R428" s="61" t="str">
        <f aca="false">IF(IsPro,IF($D428="","",ROUND(N($E428)*IFERROR(INDEX(Items!$P$5:$P$504,U428),0),2)),"")</f>
        <v/>
      </c>
      <c r="S428" s="61" t="str">
        <f aca="false">IF(IsPro,IF($D428="","",L428-R428),"")</f>
        <v/>
      </c>
      <c r="T428" s="60" t="str">
        <f aca="false">IF(IsPro,IF($D428="","",IF(U428="","UNKNOWN ITEM",IF(INDEX(Items!$O$5:$O$504,U428)&lt;0,"NEG STOCK",IF(K428&lt;INDEX(Items!$P$5:$P$504,U428),"BELOW COST","OK")))),IF($D428="","","PRO PLAN"))</f>
        <v/>
      </c>
      <c r="U428" s="60" t="str">
        <f aca="false">IF(IsPro,IF($D428="","",IFERROR(MATCH($D428,Items!$A$5:$A$504,0),"")),"")</f>
        <v/>
      </c>
      <c r="V428" s="60" t="str">
        <f aca="false">IF(IsPro,IF($C428="","",IFERROR(MATCH($C428,Parties!$A$5:$A$304,0),"")),"")</f>
        <v/>
      </c>
      <c r="W428" s="60" t="str">
        <f aca="false">IF(IsPro,IF($B428="","",IFERROR(VALUE(SUBSTITUTE($B428,InvPrefix,"")),0)),"")</f>
        <v/>
      </c>
      <c r="X428" s="61" t="str">
        <f aca="false">IF(IsPro,IF($D428="","",IF(OR($H428="",$H428="Credit"),0,Q428)),"")</f>
        <v/>
      </c>
    </row>
    <row r="429" customFormat="false" ht="15" hidden="false" customHeight="false" outlineLevel="0" collapsed="false">
      <c r="A429" s="55"/>
      <c r="B429" s="56"/>
      <c r="C429" s="56"/>
      <c r="D429" s="56"/>
      <c r="E429" s="57"/>
      <c r="F429" s="58"/>
      <c r="G429" s="59"/>
      <c r="H429" s="56"/>
      <c r="I429" s="56"/>
      <c r="J429" s="60" t="str">
        <f aca="false">IF(IsPro,IF($D429="","",IFERROR(INDEX(Items!$D$5:$D$504,U429),"")),"")</f>
        <v/>
      </c>
      <c r="K429" s="61" t="str">
        <f aca="false">IF(IsPro,IF($D429="","",IF($F429="",IFERROR(INDEX(Items!$H$5:$H$504,U429),0),$F429)),"")</f>
        <v/>
      </c>
      <c r="L429" s="61" t="str">
        <f aca="false">IF(IsPro,IF($D429="","",ROUND(N($E429)*K429*(1-N($G429)),2)),"")</f>
        <v/>
      </c>
      <c r="M429" s="62" t="str">
        <f aca="false">IF(IsPro,IF($D429="","",IFERROR(INDEX(Items!$F$5:$F$504,U429),0)),"")</f>
        <v/>
      </c>
      <c r="N429" s="61" t="str">
        <f aca="false">IF(IsPro,IF($D429="","",IF(AND(V429&lt;&gt;"",INDEX(Parties!$E$5:$E$304,V429)&lt;&gt;"",INDEX(Parties!$E$5:$E$304,V429)&lt;&gt;HomeState),0,ROUND(L429*M429/2,2))),"")</f>
        <v/>
      </c>
      <c r="O429" s="61" t="str">
        <f aca="false">IF(IsPro,IF($D429="","",N429),"")</f>
        <v/>
      </c>
      <c r="P429" s="61" t="str">
        <f aca="false">IF(IsPro,IF($D429="","",IF(AND(V429&lt;&gt;"",INDEX(Parties!$E$5:$E$304,V429)&lt;&gt;"",INDEX(Parties!$E$5:$E$304,V429)&lt;&gt;HomeState),ROUND(L429*M429,2),0)),"")</f>
        <v/>
      </c>
      <c r="Q429" s="61" t="str">
        <f aca="false">IF(IsPro,IF($D429="","",L429+N429+O429+P429),"")</f>
        <v/>
      </c>
      <c r="R429" s="61" t="str">
        <f aca="false">IF(IsPro,IF($D429="","",ROUND(N($E429)*IFERROR(INDEX(Items!$P$5:$P$504,U429),0),2)),"")</f>
        <v/>
      </c>
      <c r="S429" s="61" t="str">
        <f aca="false">IF(IsPro,IF($D429="","",L429-R429),"")</f>
        <v/>
      </c>
      <c r="T429" s="60" t="str">
        <f aca="false">IF(IsPro,IF($D429="","",IF(U429="","UNKNOWN ITEM",IF(INDEX(Items!$O$5:$O$504,U429)&lt;0,"NEG STOCK",IF(K429&lt;INDEX(Items!$P$5:$P$504,U429),"BELOW COST","OK")))),IF($D429="","","PRO PLAN"))</f>
        <v/>
      </c>
      <c r="U429" s="60" t="str">
        <f aca="false">IF(IsPro,IF($D429="","",IFERROR(MATCH($D429,Items!$A$5:$A$504,0),"")),"")</f>
        <v/>
      </c>
      <c r="V429" s="60" t="str">
        <f aca="false">IF(IsPro,IF($C429="","",IFERROR(MATCH($C429,Parties!$A$5:$A$304,0),"")),"")</f>
        <v/>
      </c>
      <c r="W429" s="60" t="str">
        <f aca="false">IF(IsPro,IF($B429="","",IFERROR(VALUE(SUBSTITUTE($B429,InvPrefix,"")),0)),"")</f>
        <v/>
      </c>
      <c r="X429" s="61" t="str">
        <f aca="false">IF(IsPro,IF($D429="","",IF(OR($H429="",$H429="Credit"),0,Q429)),"")</f>
        <v/>
      </c>
    </row>
    <row r="430" customFormat="false" ht="15" hidden="false" customHeight="false" outlineLevel="0" collapsed="false">
      <c r="A430" s="55"/>
      <c r="B430" s="56"/>
      <c r="C430" s="56"/>
      <c r="D430" s="56"/>
      <c r="E430" s="57"/>
      <c r="F430" s="58"/>
      <c r="G430" s="59"/>
      <c r="H430" s="56"/>
      <c r="I430" s="56"/>
      <c r="J430" s="60" t="str">
        <f aca="false">IF(IsPro,IF($D430="","",IFERROR(INDEX(Items!$D$5:$D$504,U430),"")),"")</f>
        <v/>
      </c>
      <c r="K430" s="61" t="str">
        <f aca="false">IF(IsPro,IF($D430="","",IF($F430="",IFERROR(INDEX(Items!$H$5:$H$504,U430),0),$F430)),"")</f>
        <v/>
      </c>
      <c r="L430" s="61" t="str">
        <f aca="false">IF(IsPro,IF($D430="","",ROUND(N($E430)*K430*(1-N($G430)),2)),"")</f>
        <v/>
      </c>
      <c r="M430" s="62" t="str">
        <f aca="false">IF(IsPro,IF($D430="","",IFERROR(INDEX(Items!$F$5:$F$504,U430),0)),"")</f>
        <v/>
      </c>
      <c r="N430" s="61" t="str">
        <f aca="false">IF(IsPro,IF($D430="","",IF(AND(V430&lt;&gt;"",INDEX(Parties!$E$5:$E$304,V430)&lt;&gt;"",INDEX(Parties!$E$5:$E$304,V430)&lt;&gt;HomeState),0,ROUND(L430*M430/2,2))),"")</f>
        <v/>
      </c>
      <c r="O430" s="61" t="str">
        <f aca="false">IF(IsPro,IF($D430="","",N430),"")</f>
        <v/>
      </c>
      <c r="P430" s="61" t="str">
        <f aca="false">IF(IsPro,IF($D430="","",IF(AND(V430&lt;&gt;"",INDEX(Parties!$E$5:$E$304,V430)&lt;&gt;"",INDEX(Parties!$E$5:$E$304,V430)&lt;&gt;HomeState),ROUND(L430*M430,2),0)),"")</f>
        <v/>
      </c>
      <c r="Q430" s="61" t="str">
        <f aca="false">IF(IsPro,IF($D430="","",L430+N430+O430+P430),"")</f>
        <v/>
      </c>
      <c r="R430" s="61" t="str">
        <f aca="false">IF(IsPro,IF($D430="","",ROUND(N($E430)*IFERROR(INDEX(Items!$P$5:$P$504,U430),0),2)),"")</f>
        <v/>
      </c>
      <c r="S430" s="61" t="str">
        <f aca="false">IF(IsPro,IF($D430="","",L430-R430),"")</f>
        <v/>
      </c>
      <c r="T430" s="60" t="str">
        <f aca="false">IF(IsPro,IF($D430="","",IF(U430="","UNKNOWN ITEM",IF(INDEX(Items!$O$5:$O$504,U430)&lt;0,"NEG STOCK",IF(K430&lt;INDEX(Items!$P$5:$P$504,U430),"BELOW COST","OK")))),IF($D430="","","PRO PLAN"))</f>
        <v/>
      </c>
      <c r="U430" s="60" t="str">
        <f aca="false">IF(IsPro,IF($D430="","",IFERROR(MATCH($D430,Items!$A$5:$A$504,0),"")),"")</f>
        <v/>
      </c>
      <c r="V430" s="60" t="str">
        <f aca="false">IF(IsPro,IF($C430="","",IFERROR(MATCH($C430,Parties!$A$5:$A$304,0),"")),"")</f>
        <v/>
      </c>
      <c r="W430" s="60" t="str">
        <f aca="false">IF(IsPro,IF($B430="","",IFERROR(VALUE(SUBSTITUTE($B430,InvPrefix,"")),0)),"")</f>
        <v/>
      </c>
      <c r="X430" s="61" t="str">
        <f aca="false">IF(IsPro,IF($D430="","",IF(OR($H430="",$H430="Credit"),0,Q430)),"")</f>
        <v/>
      </c>
    </row>
    <row r="431" customFormat="false" ht="15" hidden="false" customHeight="false" outlineLevel="0" collapsed="false">
      <c r="A431" s="55"/>
      <c r="B431" s="56"/>
      <c r="C431" s="56"/>
      <c r="D431" s="56"/>
      <c r="E431" s="57"/>
      <c r="F431" s="58"/>
      <c r="G431" s="59"/>
      <c r="H431" s="56"/>
      <c r="I431" s="56"/>
      <c r="J431" s="60" t="str">
        <f aca="false">IF(IsPro,IF($D431="","",IFERROR(INDEX(Items!$D$5:$D$504,U431),"")),"")</f>
        <v/>
      </c>
      <c r="K431" s="61" t="str">
        <f aca="false">IF(IsPro,IF($D431="","",IF($F431="",IFERROR(INDEX(Items!$H$5:$H$504,U431),0),$F431)),"")</f>
        <v/>
      </c>
      <c r="L431" s="61" t="str">
        <f aca="false">IF(IsPro,IF($D431="","",ROUND(N($E431)*K431*(1-N($G431)),2)),"")</f>
        <v/>
      </c>
      <c r="M431" s="62" t="str">
        <f aca="false">IF(IsPro,IF($D431="","",IFERROR(INDEX(Items!$F$5:$F$504,U431),0)),"")</f>
        <v/>
      </c>
      <c r="N431" s="61" t="str">
        <f aca="false">IF(IsPro,IF($D431="","",IF(AND(V431&lt;&gt;"",INDEX(Parties!$E$5:$E$304,V431)&lt;&gt;"",INDEX(Parties!$E$5:$E$304,V431)&lt;&gt;HomeState),0,ROUND(L431*M431/2,2))),"")</f>
        <v/>
      </c>
      <c r="O431" s="61" t="str">
        <f aca="false">IF(IsPro,IF($D431="","",N431),"")</f>
        <v/>
      </c>
      <c r="P431" s="61" t="str">
        <f aca="false">IF(IsPro,IF($D431="","",IF(AND(V431&lt;&gt;"",INDEX(Parties!$E$5:$E$304,V431)&lt;&gt;"",INDEX(Parties!$E$5:$E$304,V431)&lt;&gt;HomeState),ROUND(L431*M431,2),0)),"")</f>
        <v/>
      </c>
      <c r="Q431" s="61" t="str">
        <f aca="false">IF(IsPro,IF($D431="","",L431+N431+O431+P431),"")</f>
        <v/>
      </c>
      <c r="R431" s="61" t="str">
        <f aca="false">IF(IsPro,IF($D431="","",ROUND(N($E431)*IFERROR(INDEX(Items!$P$5:$P$504,U431),0),2)),"")</f>
        <v/>
      </c>
      <c r="S431" s="61" t="str">
        <f aca="false">IF(IsPro,IF($D431="","",L431-R431),"")</f>
        <v/>
      </c>
      <c r="T431" s="60" t="str">
        <f aca="false">IF(IsPro,IF($D431="","",IF(U431="","UNKNOWN ITEM",IF(INDEX(Items!$O$5:$O$504,U431)&lt;0,"NEG STOCK",IF(K431&lt;INDEX(Items!$P$5:$P$504,U431),"BELOW COST","OK")))),IF($D431="","","PRO PLAN"))</f>
        <v/>
      </c>
      <c r="U431" s="60" t="str">
        <f aca="false">IF(IsPro,IF($D431="","",IFERROR(MATCH($D431,Items!$A$5:$A$504,0),"")),"")</f>
        <v/>
      </c>
      <c r="V431" s="60" t="str">
        <f aca="false">IF(IsPro,IF($C431="","",IFERROR(MATCH($C431,Parties!$A$5:$A$304,0),"")),"")</f>
        <v/>
      </c>
      <c r="W431" s="60" t="str">
        <f aca="false">IF(IsPro,IF($B431="","",IFERROR(VALUE(SUBSTITUTE($B431,InvPrefix,"")),0)),"")</f>
        <v/>
      </c>
      <c r="X431" s="61" t="str">
        <f aca="false">IF(IsPro,IF($D431="","",IF(OR($H431="",$H431="Credit"),0,Q431)),"")</f>
        <v/>
      </c>
    </row>
    <row r="432" customFormat="false" ht="15" hidden="false" customHeight="false" outlineLevel="0" collapsed="false">
      <c r="A432" s="55"/>
      <c r="B432" s="56"/>
      <c r="C432" s="56"/>
      <c r="D432" s="56"/>
      <c r="E432" s="57"/>
      <c r="F432" s="58"/>
      <c r="G432" s="59"/>
      <c r="H432" s="56"/>
      <c r="I432" s="56"/>
      <c r="J432" s="60" t="str">
        <f aca="false">IF(IsPro,IF($D432="","",IFERROR(INDEX(Items!$D$5:$D$504,U432),"")),"")</f>
        <v/>
      </c>
      <c r="K432" s="61" t="str">
        <f aca="false">IF(IsPro,IF($D432="","",IF($F432="",IFERROR(INDEX(Items!$H$5:$H$504,U432),0),$F432)),"")</f>
        <v/>
      </c>
      <c r="L432" s="61" t="str">
        <f aca="false">IF(IsPro,IF($D432="","",ROUND(N($E432)*K432*(1-N($G432)),2)),"")</f>
        <v/>
      </c>
      <c r="M432" s="62" t="str">
        <f aca="false">IF(IsPro,IF($D432="","",IFERROR(INDEX(Items!$F$5:$F$504,U432),0)),"")</f>
        <v/>
      </c>
      <c r="N432" s="61" t="str">
        <f aca="false">IF(IsPro,IF($D432="","",IF(AND(V432&lt;&gt;"",INDEX(Parties!$E$5:$E$304,V432)&lt;&gt;"",INDEX(Parties!$E$5:$E$304,V432)&lt;&gt;HomeState),0,ROUND(L432*M432/2,2))),"")</f>
        <v/>
      </c>
      <c r="O432" s="61" t="str">
        <f aca="false">IF(IsPro,IF($D432="","",N432),"")</f>
        <v/>
      </c>
      <c r="P432" s="61" t="str">
        <f aca="false">IF(IsPro,IF($D432="","",IF(AND(V432&lt;&gt;"",INDEX(Parties!$E$5:$E$304,V432)&lt;&gt;"",INDEX(Parties!$E$5:$E$304,V432)&lt;&gt;HomeState),ROUND(L432*M432,2),0)),"")</f>
        <v/>
      </c>
      <c r="Q432" s="61" t="str">
        <f aca="false">IF(IsPro,IF($D432="","",L432+N432+O432+P432),"")</f>
        <v/>
      </c>
      <c r="R432" s="61" t="str">
        <f aca="false">IF(IsPro,IF($D432="","",ROUND(N($E432)*IFERROR(INDEX(Items!$P$5:$P$504,U432),0),2)),"")</f>
        <v/>
      </c>
      <c r="S432" s="61" t="str">
        <f aca="false">IF(IsPro,IF($D432="","",L432-R432),"")</f>
        <v/>
      </c>
      <c r="T432" s="60" t="str">
        <f aca="false">IF(IsPro,IF($D432="","",IF(U432="","UNKNOWN ITEM",IF(INDEX(Items!$O$5:$O$504,U432)&lt;0,"NEG STOCK",IF(K432&lt;INDEX(Items!$P$5:$P$504,U432),"BELOW COST","OK")))),IF($D432="","","PRO PLAN"))</f>
        <v/>
      </c>
      <c r="U432" s="60" t="str">
        <f aca="false">IF(IsPro,IF($D432="","",IFERROR(MATCH($D432,Items!$A$5:$A$504,0),"")),"")</f>
        <v/>
      </c>
      <c r="V432" s="60" t="str">
        <f aca="false">IF(IsPro,IF($C432="","",IFERROR(MATCH($C432,Parties!$A$5:$A$304,0),"")),"")</f>
        <v/>
      </c>
      <c r="W432" s="60" t="str">
        <f aca="false">IF(IsPro,IF($B432="","",IFERROR(VALUE(SUBSTITUTE($B432,InvPrefix,"")),0)),"")</f>
        <v/>
      </c>
      <c r="X432" s="61" t="str">
        <f aca="false">IF(IsPro,IF($D432="","",IF(OR($H432="",$H432="Credit"),0,Q432)),"")</f>
        <v/>
      </c>
    </row>
    <row r="433" customFormat="false" ht="15" hidden="false" customHeight="false" outlineLevel="0" collapsed="false">
      <c r="A433" s="55"/>
      <c r="B433" s="56"/>
      <c r="C433" s="56"/>
      <c r="D433" s="56"/>
      <c r="E433" s="57"/>
      <c r="F433" s="58"/>
      <c r="G433" s="59"/>
      <c r="H433" s="56"/>
      <c r="I433" s="56"/>
      <c r="J433" s="60" t="str">
        <f aca="false">IF(IsPro,IF($D433="","",IFERROR(INDEX(Items!$D$5:$D$504,U433),"")),"")</f>
        <v/>
      </c>
      <c r="K433" s="61" t="str">
        <f aca="false">IF(IsPro,IF($D433="","",IF($F433="",IFERROR(INDEX(Items!$H$5:$H$504,U433),0),$F433)),"")</f>
        <v/>
      </c>
      <c r="L433" s="61" t="str">
        <f aca="false">IF(IsPro,IF($D433="","",ROUND(N($E433)*K433*(1-N($G433)),2)),"")</f>
        <v/>
      </c>
      <c r="M433" s="62" t="str">
        <f aca="false">IF(IsPro,IF($D433="","",IFERROR(INDEX(Items!$F$5:$F$504,U433),0)),"")</f>
        <v/>
      </c>
      <c r="N433" s="61" t="str">
        <f aca="false">IF(IsPro,IF($D433="","",IF(AND(V433&lt;&gt;"",INDEX(Parties!$E$5:$E$304,V433)&lt;&gt;"",INDEX(Parties!$E$5:$E$304,V433)&lt;&gt;HomeState),0,ROUND(L433*M433/2,2))),"")</f>
        <v/>
      </c>
      <c r="O433" s="61" t="str">
        <f aca="false">IF(IsPro,IF($D433="","",N433),"")</f>
        <v/>
      </c>
      <c r="P433" s="61" t="str">
        <f aca="false">IF(IsPro,IF($D433="","",IF(AND(V433&lt;&gt;"",INDEX(Parties!$E$5:$E$304,V433)&lt;&gt;"",INDEX(Parties!$E$5:$E$304,V433)&lt;&gt;HomeState),ROUND(L433*M433,2),0)),"")</f>
        <v/>
      </c>
      <c r="Q433" s="61" t="str">
        <f aca="false">IF(IsPro,IF($D433="","",L433+N433+O433+P433),"")</f>
        <v/>
      </c>
      <c r="R433" s="61" t="str">
        <f aca="false">IF(IsPro,IF($D433="","",ROUND(N($E433)*IFERROR(INDEX(Items!$P$5:$P$504,U433),0),2)),"")</f>
        <v/>
      </c>
      <c r="S433" s="61" t="str">
        <f aca="false">IF(IsPro,IF($D433="","",L433-R433),"")</f>
        <v/>
      </c>
      <c r="T433" s="60" t="str">
        <f aca="false">IF(IsPro,IF($D433="","",IF(U433="","UNKNOWN ITEM",IF(INDEX(Items!$O$5:$O$504,U433)&lt;0,"NEG STOCK",IF(K433&lt;INDEX(Items!$P$5:$P$504,U433),"BELOW COST","OK")))),IF($D433="","","PRO PLAN"))</f>
        <v/>
      </c>
      <c r="U433" s="60" t="str">
        <f aca="false">IF(IsPro,IF($D433="","",IFERROR(MATCH($D433,Items!$A$5:$A$504,0),"")),"")</f>
        <v/>
      </c>
      <c r="V433" s="60" t="str">
        <f aca="false">IF(IsPro,IF($C433="","",IFERROR(MATCH($C433,Parties!$A$5:$A$304,0),"")),"")</f>
        <v/>
      </c>
      <c r="W433" s="60" t="str">
        <f aca="false">IF(IsPro,IF($B433="","",IFERROR(VALUE(SUBSTITUTE($B433,InvPrefix,"")),0)),"")</f>
        <v/>
      </c>
      <c r="X433" s="61" t="str">
        <f aca="false">IF(IsPro,IF($D433="","",IF(OR($H433="",$H433="Credit"),0,Q433)),"")</f>
        <v/>
      </c>
    </row>
    <row r="434" customFormat="false" ht="15" hidden="false" customHeight="false" outlineLevel="0" collapsed="false">
      <c r="A434" s="55"/>
      <c r="B434" s="56"/>
      <c r="C434" s="56"/>
      <c r="D434" s="56"/>
      <c r="E434" s="57"/>
      <c r="F434" s="58"/>
      <c r="G434" s="59"/>
      <c r="H434" s="56"/>
      <c r="I434" s="56"/>
      <c r="J434" s="60" t="str">
        <f aca="false">IF(IsPro,IF($D434="","",IFERROR(INDEX(Items!$D$5:$D$504,U434),"")),"")</f>
        <v/>
      </c>
      <c r="K434" s="61" t="str">
        <f aca="false">IF(IsPro,IF($D434="","",IF($F434="",IFERROR(INDEX(Items!$H$5:$H$504,U434),0),$F434)),"")</f>
        <v/>
      </c>
      <c r="L434" s="61" t="str">
        <f aca="false">IF(IsPro,IF($D434="","",ROUND(N($E434)*K434*(1-N($G434)),2)),"")</f>
        <v/>
      </c>
      <c r="M434" s="62" t="str">
        <f aca="false">IF(IsPro,IF($D434="","",IFERROR(INDEX(Items!$F$5:$F$504,U434),0)),"")</f>
        <v/>
      </c>
      <c r="N434" s="61" t="str">
        <f aca="false">IF(IsPro,IF($D434="","",IF(AND(V434&lt;&gt;"",INDEX(Parties!$E$5:$E$304,V434)&lt;&gt;"",INDEX(Parties!$E$5:$E$304,V434)&lt;&gt;HomeState),0,ROUND(L434*M434/2,2))),"")</f>
        <v/>
      </c>
      <c r="O434" s="61" t="str">
        <f aca="false">IF(IsPro,IF($D434="","",N434),"")</f>
        <v/>
      </c>
      <c r="P434" s="61" t="str">
        <f aca="false">IF(IsPro,IF($D434="","",IF(AND(V434&lt;&gt;"",INDEX(Parties!$E$5:$E$304,V434)&lt;&gt;"",INDEX(Parties!$E$5:$E$304,V434)&lt;&gt;HomeState),ROUND(L434*M434,2),0)),"")</f>
        <v/>
      </c>
      <c r="Q434" s="61" t="str">
        <f aca="false">IF(IsPro,IF($D434="","",L434+N434+O434+P434),"")</f>
        <v/>
      </c>
      <c r="R434" s="61" t="str">
        <f aca="false">IF(IsPro,IF($D434="","",ROUND(N($E434)*IFERROR(INDEX(Items!$P$5:$P$504,U434),0),2)),"")</f>
        <v/>
      </c>
      <c r="S434" s="61" t="str">
        <f aca="false">IF(IsPro,IF($D434="","",L434-R434),"")</f>
        <v/>
      </c>
      <c r="T434" s="60" t="str">
        <f aca="false">IF(IsPro,IF($D434="","",IF(U434="","UNKNOWN ITEM",IF(INDEX(Items!$O$5:$O$504,U434)&lt;0,"NEG STOCK",IF(K434&lt;INDEX(Items!$P$5:$P$504,U434),"BELOW COST","OK")))),IF($D434="","","PRO PLAN"))</f>
        <v/>
      </c>
      <c r="U434" s="60" t="str">
        <f aca="false">IF(IsPro,IF($D434="","",IFERROR(MATCH($D434,Items!$A$5:$A$504,0),"")),"")</f>
        <v/>
      </c>
      <c r="V434" s="60" t="str">
        <f aca="false">IF(IsPro,IF($C434="","",IFERROR(MATCH($C434,Parties!$A$5:$A$304,0),"")),"")</f>
        <v/>
      </c>
      <c r="W434" s="60" t="str">
        <f aca="false">IF(IsPro,IF($B434="","",IFERROR(VALUE(SUBSTITUTE($B434,InvPrefix,"")),0)),"")</f>
        <v/>
      </c>
      <c r="X434" s="61" t="str">
        <f aca="false">IF(IsPro,IF($D434="","",IF(OR($H434="",$H434="Credit"),0,Q434)),"")</f>
        <v/>
      </c>
    </row>
    <row r="435" customFormat="false" ht="15" hidden="false" customHeight="false" outlineLevel="0" collapsed="false">
      <c r="A435" s="55"/>
      <c r="B435" s="56"/>
      <c r="C435" s="56"/>
      <c r="D435" s="56"/>
      <c r="E435" s="57"/>
      <c r="F435" s="58"/>
      <c r="G435" s="59"/>
      <c r="H435" s="56"/>
      <c r="I435" s="56"/>
      <c r="J435" s="60" t="str">
        <f aca="false">IF(IsPro,IF($D435="","",IFERROR(INDEX(Items!$D$5:$D$504,U435),"")),"")</f>
        <v/>
      </c>
      <c r="K435" s="61" t="str">
        <f aca="false">IF(IsPro,IF($D435="","",IF($F435="",IFERROR(INDEX(Items!$H$5:$H$504,U435),0),$F435)),"")</f>
        <v/>
      </c>
      <c r="L435" s="61" t="str">
        <f aca="false">IF(IsPro,IF($D435="","",ROUND(N($E435)*K435*(1-N($G435)),2)),"")</f>
        <v/>
      </c>
      <c r="M435" s="62" t="str">
        <f aca="false">IF(IsPro,IF($D435="","",IFERROR(INDEX(Items!$F$5:$F$504,U435),0)),"")</f>
        <v/>
      </c>
      <c r="N435" s="61" t="str">
        <f aca="false">IF(IsPro,IF($D435="","",IF(AND(V435&lt;&gt;"",INDEX(Parties!$E$5:$E$304,V435)&lt;&gt;"",INDEX(Parties!$E$5:$E$304,V435)&lt;&gt;HomeState),0,ROUND(L435*M435/2,2))),"")</f>
        <v/>
      </c>
      <c r="O435" s="61" t="str">
        <f aca="false">IF(IsPro,IF($D435="","",N435),"")</f>
        <v/>
      </c>
      <c r="P435" s="61" t="str">
        <f aca="false">IF(IsPro,IF($D435="","",IF(AND(V435&lt;&gt;"",INDEX(Parties!$E$5:$E$304,V435)&lt;&gt;"",INDEX(Parties!$E$5:$E$304,V435)&lt;&gt;HomeState),ROUND(L435*M435,2),0)),"")</f>
        <v/>
      </c>
      <c r="Q435" s="61" t="str">
        <f aca="false">IF(IsPro,IF($D435="","",L435+N435+O435+P435),"")</f>
        <v/>
      </c>
      <c r="R435" s="61" t="str">
        <f aca="false">IF(IsPro,IF($D435="","",ROUND(N($E435)*IFERROR(INDEX(Items!$P$5:$P$504,U435),0),2)),"")</f>
        <v/>
      </c>
      <c r="S435" s="61" t="str">
        <f aca="false">IF(IsPro,IF($D435="","",L435-R435),"")</f>
        <v/>
      </c>
      <c r="T435" s="60" t="str">
        <f aca="false">IF(IsPro,IF($D435="","",IF(U435="","UNKNOWN ITEM",IF(INDEX(Items!$O$5:$O$504,U435)&lt;0,"NEG STOCK",IF(K435&lt;INDEX(Items!$P$5:$P$504,U435),"BELOW COST","OK")))),IF($D435="","","PRO PLAN"))</f>
        <v/>
      </c>
      <c r="U435" s="60" t="str">
        <f aca="false">IF(IsPro,IF($D435="","",IFERROR(MATCH($D435,Items!$A$5:$A$504,0),"")),"")</f>
        <v/>
      </c>
      <c r="V435" s="60" t="str">
        <f aca="false">IF(IsPro,IF($C435="","",IFERROR(MATCH($C435,Parties!$A$5:$A$304,0),"")),"")</f>
        <v/>
      </c>
      <c r="W435" s="60" t="str">
        <f aca="false">IF(IsPro,IF($B435="","",IFERROR(VALUE(SUBSTITUTE($B435,InvPrefix,"")),0)),"")</f>
        <v/>
      </c>
      <c r="X435" s="61" t="str">
        <f aca="false">IF(IsPro,IF($D435="","",IF(OR($H435="",$H435="Credit"),0,Q435)),"")</f>
        <v/>
      </c>
    </row>
    <row r="436" customFormat="false" ht="15" hidden="false" customHeight="false" outlineLevel="0" collapsed="false">
      <c r="A436" s="55"/>
      <c r="B436" s="56"/>
      <c r="C436" s="56"/>
      <c r="D436" s="56"/>
      <c r="E436" s="57"/>
      <c r="F436" s="58"/>
      <c r="G436" s="59"/>
      <c r="H436" s="56"/>
      <c r="I436" s="56"/>
      <c r="J436" s="60" t="str">
        <f aca="false">IF(IsPro,IF($D436="","",IFERROR(INDEX(Items!$D$5:$D$504,U436),"")),"")</f>
        <v/>
      </c>
      <c r="K436" s="61" t="str">
        <f aca="false">IF(IsPro,IF($D436="","",IF($F436="",IFERROR(INDEX(Items!$H$5:$H$504,U436),0),$F436)),"")</f>
        <v/>
      </c>
      <c r="L436" s="61" t="str">
        <f aca="false">IF(IsPro,IF($D436="","",ROUND(N($E436)*K436*(1-N($G436)),2)),"")</f>
        <v/>
      </c>
      <c r="M436" s="62" t="str">
        <f aca="false">IF(IsPro,IF($D436="","",IFERROR(INDEX(Items!$F$5:$F$504,U436),0)),"")</f>
        <v/>
      </c>
      <c r="N436" s="61" t="str">
        <f aca="false">IF(IsPro,IF($D436="","",IF(AND(V436&lt;&gt;"",INDEX(Parties!$E$5:$E$304,V436)&lt;&gt;"",INDEX(Parties!$E$5:$E$304,V436)&lt;&gt;HomeState),0,ROUND(L436*M436/2,2))),"")</f>
        <v/>
      </c>
      <c r="O436" s="61" t="str">
        <f aca="false">IF(IsPro,IF($D436="","",N436),"")</f>
        <v/>
      </c>
      <c r="P436" s="61" t="str">
        <f aca="false">IF(IsPro,IF($D436="","",IF(AND(V436&lt;&gt;"",INDEX(Parties!$E$5:$E$304,V436)&lt;&gt;"",INDEX(Parties!$E$5:$E$304,V436)&lt;&gt;HomeState),ROUND(L436*M436,2),0)),"")</f>
        <v/>
      </c>
      <c r="Q436" s="61" t="str">
        <f aca="false">IF(IsPro,IF($D436="","",L436+N436+O436+P436),"")</f>
        <v/>
      </c>
      <c r="R436" s="61" t="str">
        <f aca="false">IF(IsPro,IF($D436="","",ROUND(N($E436)*IFERROR(INDEX(Items!$P$5:$P$504,U436),0),2)),"")</f>
        <v/>
      </c>
      <c r="S436" s="61" t="str">
        <f aca="false">IF(IsPro,IF($D436="","",L436-R436),"")</f>
        <v/>
      </c>
      <c r="T436" s="60" t="str">
        <f aca="false">IF(IsPro,IF($D436="","",IF(U436="","UNKNOWN ITEM",IF(INDEX(Items!$O$5:$O$504,U436)&lt;0,"NEG STOCK",IF(K436&lt;INDEX(Items!$P$5:$P$504,U436),"BELOW COST","OK")))),IF($D436="","","PRO PLAN"))</f>
        <v/>
      </c>
      <c r="U436" s="60" t="str">
        <f aca="false">IF(IsPro,IF($D436="","",IFERROR(MATCH($D436,Items!$A$5:$A$504,0),"")),"")</f>
        <v/>
      </c>
      <c r="V436" s="60" t="str">
        <f aca="false">IF(IsPro,IF($C436="","",IFERROR(MATCH($C436,Parties!$A$5:$A$304,0),"")),"")</f>
        <v/>
      </c>
      <c r="W436" s="60" t="str">
        <f aca="false">IF(IsPro,IF($B436="","",IFERROR(VALUE(SUBSTITUTE($B436,InvPrefix,"")),0)),"")</f>
        <v/>
      </c>
      <c r="X436" s="61" t="str">
        <f aca="false">IF(IsPro,IF($D436="","",IF(OR($H436="",$H436="Credit"),0,Q436)),"")</f>
        <v/>
      </c>
    </row>
    <row r="437" customFormat="false" ht="15" hidden="false" customHeight="false" outlineLevel="0" collapsed="false">
      <c r="A437" s="55"/>
      <c r="B437" s="56"/>
      <c r="C437" s="56"/>
      <c r="D437" s="56"/>
      <c r="E437" s="57"/>
      <c r="F437" s="58"/>
      <c r="G437" s="59"/>
      <c r="H437" s="56"/>
      <c r="I437" s="56"/>
      <c r="J437" s="60" t="str">
        <f aca="false">IF(IsPro,IF($D437="","",IFERROR(INDEX(Items!$D$5:$D$504,U437),"")),"")</f>
        <v/>
      </c>
      <c r="K437" s="61" t="str">
        <f aca="false">IF(IsPro,IF($D437="","",IF($F437="",IFERROR(INDEX(Items!$H$5:$H$504,U437),0),$F437)),"")</f>
        <v/>
      </c>
      <c r="L437" s="61" t="str">
        <f aca="false">IF(IsPro,IF($D437="","",ROUND(N($E437)*K437*(1-N($G437)),2)),"")</f>
        <v/>
      </c>
      <c r="M437" s="62" t="str">
        <f aca="false">IF(IsPro,IF($D437="","",IFERROR(INDEX(Items!$F$5:$F$504,U437),0)),"")</f>
        <v/>
      </c>
      <c r="N437" s="61" t="str">
        <f aca="false">IF(IsPro,IF($D437="","",IF(AND(V437&lt;&gt;"",INDEX(Parties!$E$5:$E$304,V437)&lt;&gt;"",INDEX(Parties!$E$5:$E$304,V437)&lt;&gt;HomeState),0,ROUND(L437*M437/2,2))),"")</f>
        <v/>
      </c>
      <c r="O437" s="61" t="str">
        <f aca="false">IF(IsPro,IF($D437="","",N437),"")</f>
        <v/>
      </c>
      <c r="P437" s="61" t="str">
        <f aca="false">IF(IsPro,IF($D437="","",IF(AND(V437&lt;&gt;"",INDEX(Parties!$E$5:$E$304,V437)&lt;&gt;"",INDEX(Parties!$E$5:$E$304,V437)&lt;&gt;HomeState),ROUND(L437*M437,2),0)),"")</f>
        <v/>
      </c>
      <c r="Q437" s="61" t="str">
        <f aca="false">IF(IsPro,IF($D437="","",L437+N437+O437+P437),"")</f>
        <v/>
      </c>
      <c r="R437" s="61" t="str">
        <f aca="false">IF(IsPro,IF($D437="","",ROUND(N($E437)*IFERROR(INDEX(Items!$P$5:$P$504,U437),0),2)),"")</f>
        <v/>
      </c>
      <c r="S437" s="61" t="str">
        <f aca="false">IF(IsPro,IF($D437="","",L437-R437),"")</f>
        <v/>
      </c>
      <c r="T437" s="60" t="str">
        <f aca="false">IF(IsPro,IF($D437="","",IF(U437="","UNKNOWN ITEM",IF(INDEX(Items!$O$5:$O$504,U437)&lt;0,"NEG STOCK",IF(K437&lt;INDEX(Items!$P$5:$P$504,U437),"BELOW COST","OK")))),IF($D437="","","PRO PLAN"))</f>
        <v/>
      </c>
      <c r="U437" s="60" t="str">
        <f aca="false">IF(IsPro,IF($D437="","",IFERROR(MATCH($D437,Items!$A$5:$A$504,0),"")),"")</f>
        <v/>
      </c>
      <c r="V437" s="60" t="str">
        <f aca="false">IF(IsPro,IF($C437="","",IFERROR(MATCH($C437,Parties!$A$5:$A$304,0),"")),"")</f>
        <v/>
      </c>
      <c r="W437" s="60" t="str">
        <f aca="false">IF(IsPro,IF($B437="","",IFERROR(VALUE(SUBSTITUTE($B437,InvPrefix,"")),0)),"")</f>
        <v/>
      </c>
      <c r="X437" s="61" t="str">
        <f aca="false">IF(IsPro,IF($D437="","",IF(OR($H437="",$H437="Credit"),0,Q437)),"")</f>
        <v/>
      </c>
    </row>
    <row r="438" customFormat="false" ht="15" hidden="false" customHeight="false" outlineLevel="0" collapsed="false">
      <c r="A438" s="55"/>
      <c r="B438" s="56"/>
      <c r="C438" s="56"/>
      <c r="D438" s="56"/>
      <c r="E438" s="57"/>
      <c r="F438" s="58"/>
      <c r="G438" s="59"/>
      <c r="H438" s="56"/>
      <c r="I438" s="56"/>
      <c r="J438" s="60" t="str">
        <f aca="false">IF(IsPro,IF($D438="","",IFERROR(INDEX(Items!$D$5:$D$504,U438),"")),"")</f>
        <v/>
      </c>
      <c r="K438" s="61" t="str">
        <f aca="false">IF(IsPro,IF($D438="","",IF($F438="",IFERROR(INDEX(Items!$H$5:$H$504,U438),0),$F438)),"")</f>
        <v/>
      </c>
      <c r="L438" s="61" t="str">
        <f aca="false">IF(IsPro,IF($D438="","",ROUND(N($E438)*K438*(1-N($G438)),2)),"")</f>
        <v/>
      </c>
      <c r="M438" s="62" t="str">
        <f aca="false">IF(IsPro,IF($D438="","",IFERROR(INDEX(Items!$F$5:$F$504,U438),0)),"")</f>
        <v/>
      </c>
      <c r="N438" s="61" t="str">
        <f aca="false">IF(IsPro,IF($D438="","",IF(AND(V438&lt;&gt;"",INDEX(Parties!$E$5:$E$304,V438)&lt;&gt;"",INDEX(Parties!$E$5:$E$304,V438)&lt;&gt;HomeState),0,ROUND(L438*M438/2,2))),"")</f>
        <v/>
      </c>
      <c r="O438" s="61" t="str">
        <f aca="false">IF(IsPro,IF($D438="","",N438),"")</f>
        <v/>
      </c>
      <c r="P438" s="61" t="str">
        <f aca="false">IF(IsPro,IF($D438="","",IF(AND(V438&lt;&gt;"",INDEX(Parties!$E$5:$E$304,V438)&lt;&gt;"",INDEX(Parties!$E$5:$E$304,V438)&lt;&gt;HomeState),ROUND(L438*M438,2),0)),"")</f>
        <v/>
      </c>
      <c r="Q438" s="61" t="str">
        <f aca="false">IF(IsPro,IF($D438="","",L438+N438+O438+P438),"")</f>
        <v/>
      </c>
      <c r="R438" s="61" t="str">
        <f aca="false">IF(IsPro,IF($D438="","",ROUND(N($E438)*IFERROR(INDEX(Items!$P$5:$P$504,U438),0),2)),"")</f>
        <v/>
      </c>
      <c r="S438" s="61" t="str">
        <f aca="false">IF(IsPro,IF($D438="","",L438-R438),"")</f>
        <v/>
      </c>
      <c r="T438" s="60" t="str">
        <f aca="false">IF(IsPro,IF($D438="","",IF(U438="","UNKNOWN ITEM",IF(INDEX(Items!$O$5:$O$504,U438)&lt;0,"NEG STOCK",IF(K438&lt;INDEX(Items!$P$5:$P$504,U438),"BELOW COST","OK")))),IF($D438="","","PRO PLAN"))</f>
        <v/>
      </c>
      <c r="U438" s="60" t="str">
        <f aca="false">IF(IsPro,IF($D438="","",IFERROR(MATCH($D438,Items!$A$5:$A$504,0),"")),"")</f>
        <v/>
      </c>
      <c r="V438" s="60" t="str">
        <f aca="false">IF(IsPro,IF($C438="","",IFERROR(MATCH($C438,Parties!$A$5:$A$304,0),"")),"")</f>
        <v/>
      </c>
      <c r="W438" s="60" t="str">
        <f aca="false">IF(IsPro,IF($B438="","",IFERROR(VALUE(SUBSTITUTE($B438,InvPrefix,"")),0)),"")</f>
        <v/>
      </c>
      <c r="X438" s="61" t="str">
        <f aca="false">IF(IsPro,IF($D438="","",IF(OR($H438="",$H438="Credit"),0,Q438)),"")</f>
        <v/>
      </c>
    </row>
    <row r="439" customFormat="false" ht="15" hidden="false" customHeight="false" outlineLevel="0" collapsed="false">
      <c r="A439" s="55"/>
      <c r="B439" s="56"/>
      <c r="C439" s="56"/>
      <c r="D439" s="56"/>
      <c r="E439" s="57"/>
      <c r="F439" s="58"/>
      <c r="G439" s="59"/>
      <c r="H439" s="56"/>
      <c r="I439" s="56"/>
      <c r="J439" s="60" t="str">
        <f aca="false">IF(IsPro,IF($D439="","",IFERROR(INDEX(Items!$D$5:$D$504,U439),"")),"")</f>
        <v/>
      </c>
      <c r="K439" s="61" t="str">
        <f aca="false">IF(IsPro,IF($D439="","",IF($F439="",IFERROR(INDEX(Items!$H$5:$H$504,U439),0),$F439)),"")</f>
        <v/>
      </c>
      <c r="L439" s="61" t="str">
        <f aca="false">IF(IsPro,IF($D439="","",ROUND(N($E439)*K439*(1-N($G439)),2)),"")</f>
        <v/>
      </c>
      <c r="M439" s="62" t="str">
        <f aca="false">IF(IsPro,IF($D439="","",IFERROR(INDEX(Items!$F$5:$F$504,U439),0)),"")</f>
        <v/>
      </c>
      <c r="N439" s="61" t="str">
        <f aca="false">IF(IsPro,IF($D439="","",IF(AND(V439&lt;&gt;"",INDEX(Parties!$E$5:$E$304,V439)&lt;&gt;"",INDEX(Parties!$E$5:$E$304,V439)&lt;&gt;HomeState),0,ROUND(L439*M439/2,2))),"")</f>
        <v/>
      </c>
      <c r="O439" s="61" t="str">
        <f aca="false">IF(IsPro,IF($D439="","",N439),"")</f>
        <v/>
      </c>
      <c r="P439" s="61" t="str">
        <f aca="false">IF(IsPro,IF($D439="","",IF(AND(V439&lt;&gt;"",INDEX(Parties!$E$5:$E$304,V439)&lt;&gt;"",INDEX(Parties!$E$5:$E$304,V439)&lt;&gt;HomeState),ROUND(L439*M439,2),0)),"")</f>
        <v/>
      </c>
      <c r="Q439" s="61" t="str">
        <f aca="false">IF(IsPro,IF($D439="","",L439+N439+O439+P439),"")</f>
        <v/>
      </c>
      <c r="R439" s="61" t="str">
        <f aca="false">IF(IsPro,IF($D439="","",ROUND(N($E439)*IFERROR(INDEX(Items!$P$5:$P$504,U439),0),2)),"")</f>
        <v/>
      </c>
      <c r="S439" s="61" t="str">
        <f aca="false">IF(IsPro,IF($D439="","",L439-R439),"")</f>
        <v/>
      </c>
      <c r="T439" s="60" t="str">
        <f aca="false">IF(IsPro,IF($D439="","",IF(U439="","UNKNOWN ITEM",IF(INDEX(Items!$O$5:$O$504,U439)&lt;0,"NEG STOCK",IF(K439&lt;INDEX(Items!$P$5:$P$504,U439),"BELOW COST","OK")))),IF($D439="","","PRO PLAN"))</f>
        <v/>
      </c>
      <c r="U439" s="60" t="str">
        <f aca="false">IF(IsPro,IF($D439="","",IFERROR(MATCH($D439,Items!$A$5:$A$504,0),"")),"")</f>
        <v/>
      </c>
      <c r="V439" s="60" t="str">
        <f aca="false">IF(IsPro,IF($C439="","",IFERROR(MATCH($C439,Parties!$A$5:$A$304,0),"")),"")</f>
        <v/>
      </c>
      <c r="W439" s="60" t="str">
        <f aca="false">IF(IsPro,IF($B439="","",IFERROR(VALUE(SUBSTITUTE($B439,InvPrefix,"")),0)),"")</f>
        <v/>
      </c>
      <c r="X439" s="61" t="str">
        <f aca="false">IF(IsPro,IF($D439="","",IF(OR($H439="",$H439="Credit"),0,Q439)),"")</f>
        <v/>
      </c>
    </row>
    <row r="440" customFormat="false" ht="15" hidden="false" customHeight="false" outlineLevel="0" collapsed="false">
      <c r="A440" s="55"/>
      <c r="B440" s="56"/>
      <c r="C440" s="56"/>
      <c r="D440" s="56"/>
      <c r="E440" s="57"/>
      <c r="F440" s="58"/>
      <c r="G440" s="59"/>
      <c r="H440" s="56"/>
      <c r="I440" s="56"/>
      <c r="J440" s="60" t="str">
        <f aca="false">IF(IsPro,IF($D440="","",IFERROR(INDEX(Items!$D$5:$D$504,U440),"")),"")</f>
        <v/>
      </c>
      <c r="K440" s="61" t="str">
        <f aca="false">IF(IsPro,IF($D440="","",IF($F440="",IFERROR(INDEX(Items!$H$5:$H$504,U440),0),$F440)),"")</f>
        <v/>
      </c>
      <c r="L440" s="61" t="str">
        <f aca="false">IF(IsPro,IF($D440="","",ROUND(N($E440)*K440*(1-N($G440)),2)),"")</f>
        <v/>
      </c>
      <c r="M440" s="62" t="str">
        <f aca="false">IF(IsPro,IF($D440="","",IFERROR(INDEX(Items!$F$5:$F$504,U440),0)),"")</f>
        <v/>
      </c>
      <c r="N440" s="61" t="str">
        <f aca="false">IF(IsPro,IF($D440="","",IF(AND(V440&lt;&gt;"",INDEX(Parties!$E$5:$E$304,V440)&lt;&gt;"",INDEX(Parties!$E$5:$E$304,V440)&lt;&gt;HomeState),0,ROUND(L440*M440/2,2))),"")</f>
        <v/>
      </c>
      <c r="O440" s="61" t="str">
        <f aca="false">IF(IsPro,IF($D440="","",N440),"")</f>
        <v/>
      </c>
      <c r="P440" s="61" t="str">
        <f aca="false">IF(IsPro,IF($D440="","",IF(AND(V440&lt;&gt;"",INDEX(Parties!$E$5:$E$304,V440)&lt;&gt;"",INDEX(Parties!$E$5:$E$304,V440)&lt;&gt;HomeState),ROUND(L440*M440,2),0)),"")</f>
        <v/>
      </c>
      <c r="Q440" s="61" t="str">
        <f aca="false">IF(IsPro,IF($D440="","",L440+N440+O440+P440),"")</f>
        <v/>
      </c>
      <c r="R440" s="61" t="str">
        <f aca="false">IF(IsPro,IF($D440="","",ROUND(N($E440)*IFERROR(INDEX(Items!$P$5:$P$504,U440),0),2)),"")</f>
        <v/>
      </c>
      <c r="S440" s="61" t="str">
        <f aca="false">IF(IsPro,IF($D440="","",L440-R440),"")</f>
        <v/>
      </c>
      <c r="T440" s="60" t="str">
        <f aca="false">IF(IsPro,IF($D440="","",IF(U440="","UNKNOWN ITEM",IF(INDEX(Items!$O$5:$O$504,U440)&lt;0,"NEG STOCK",IF(K440&lt;INDEX(Items!$P$5:$P$504,U440),"BELOW COST","OK")))),IF($D440="","","PRO PLAN"))</f>
        <v/>
      </c>
      <c r="U440" s="60" t="str">
        <f aca="false">IF(IsPro,IF($D440="","",IFERROR(MATCH($D440,Items!$A$5:$A$504,0),"")),"")</f>
        <v/>
      </c>
      <c r="V440" s="60" t="str">
        <f aca="false">IF(IsPro,IF($C440="","",IFERROR(MATCH($C440,Parties!$A$5:$A$304,0),"")),"")</f>
        <v/>
      </c>
      <c r="W440" s="60" t="str">
        <f aca="false">IF(IsPro,IF($B440="","",IFERROR(VALUE(SUBSTITUTE($B440,InvPrefix,"")),0)),"")</f>
        <v/>
      </c>
      <c r="X440" s="61" t="str">
        <f aca="false">IF(IsPro,IF($D440="","",IF(OR($H440="",$H440="Credit"),0,Q440)),"")</f>
        <v/>
      </c>
    </row>
    <row r="441" customFormat="false" ht="15" hidden="false" customHeight="false" outlineLevel="0" collapsed="false">
      <c r="A441" s="55"/>
      <c r="B441" s="56"/>
      <c r="C441" s="56"/>
      <c r="D441" s="56"/>
      <c r="E441" s="57"/>
      <c r="F441" s="58"/>
      <c r="G441" s="59"/>
      <c r="H441" s="56"/>
      <c r="I441" s="56"/>
      <c r="J441" s="60" t="str">
        <f aca="false">IF(IsPro,IF($D441="","",IFERROR(INDEX(Items!$D$5:$D$504,U441),"")),"")</f>
        <v/>
      </c>
      <c r="K441" s="61" t="str">
        <f aca="false">IF(IsPro,IF($D441="","",IF($F441="",IFERROR(INDEX(Items!$H$5:$H$504,U441),0),$F441)),"")</f>
        <v/>
      </c>
      <c r="L441" s="61" t="str">
        <f aca="false">IF(IsPro,IF($D441="","",ROUND(N($E441)*K441*(1-N($G441)),2)),"")</f>
        <v/>
      </c>
      <c r="M441" s="62" t="str">
        <f aca="false">IF(IsPro,IF($D441="","",IFERROR(INDEX(Items!$F$5:$F$504,U441),0)),"")</f>
        <v/>
      </c>
      <c r="N441" s="61" t="str">
        <f aca="false">IF(IsPro,IF($D441="","",IF(AND(V441&lt;&gt;"",INDEX(Parties!$E$5:$E$304,V441)&lt;&gt;"",INDEX(Parties!$E$5:$E$304,V441)&lt;&gt;HomeState),0,ROUND(L441*M441/2,2))),"")</f>
        <v/>
      </c>
      <c r="O441" s="61" t="str">
        <f aca="false">IF(IsPro,IF($D441="","",N441),"")</f>
        <v/>
      </c>
      <c r="P441" s="61" t="str">
        <f aca="false">IF(IsPro,IF($D441="","",IF(AND(V441&lt;&gt;"",INDEX(Parties!$E$5:$E$304,V441)&lt;&gt;"",INDEX(Parties!$E$5:$E$304,V441)&lt;&gt;HomeState),ROUND(L441*M441,2),0)),"")</f>
        <v/>
      </c>
      <c r="Q441" s="61" t="str">
        <f aca="false">IF(IsPro,IF($D441="","",L441+N441+O441+P441),"")</f>
        <v/>
      </c>
      <c r="R441" s="61" t="str">
        <f aca="false">IF(IsPro,IF($D441="","",ROUND(N($E441)*IFERROR(INDEX(Items!$P$5:$P$504,U441),0),2)),"")</f>
        <v/>
      </c>
      <c r="S441" s="61" t="str">
        <f aca="false">IF(IsPro,IF($D441="","",L441-R441),"")</f>
        <v/>
      </c>
      <c r="T441" s="60" t="str">
        <f aca="false">IF(IsPro,IF($D441="","",IF(U441="","UNKNOWN ITEM",IF(INDEX(Items!$O$5:$O$504,U441)&lt;0,"NEG STOCK",IF(K441&lt;INDEX(Items!$P$5:$P$504,U441),"BELOW COST","OK")))),IF($D441="","","PRO PLAN"))</f>
        <v/>
      </c>
      <c r="U441" s="60" t="str">
        <f aca="false">IF(IsPro,IF($D441="","",IFERROR(MATCH($D441,Items!$A$5:$A$504,0),"")),"")</f>
        <v/>
      </c>
      <c r="V441" s="60" t="str">
        <f aca="false">IF(IsPro,IF($C441="","",IFERROR(MATCH($C441,Parties!$A$5:$A$304,0),"")),"")</f>
        <v/>
      </c>
      <c r="W441" s="60" t="str">
        <f aca="false">IF(IsPro,IF($B441="","",IFERROR(VALUE(SUBSTITUTE($B441,InvPrefix,"")),0)),"")</f>
        <v/>
      </c>
      <c r="X441" s="61" t="str">
        <f aca="false">IF(IsPro,IF($D441="","",IF(OR($H441="",$H441="Credit"),0,Q441)),"")</f>
        <v/>
      </c>
    </row>
    <row r="442" customFormat="false" ht="15" hidden="false" customHeight="false" outlineLevel="0" collapsed="false">
      <c r="A442" s="55"/>
      <c r="B442" s="56"/>
      <c r="C442" s="56"/>
      <c r="D442" s="56"/>
      <c r="E442" s="57"/>
      <c r="F442" s="58"/>
      <c r="G442" s="59"/>
      <c r="H442" s="56"/>
      <c r="I442" s="56"/>
      <c r="J442" s="60" t="str">
        <f aca="false">IF(IsPro,IF($D442="","",IFERROR(INDEX(Items!$D$5:$D$504,U442),"")),"")</f>
        <v/>
      </c>
      <c r="K442" s="61" t="str">
        <f aca="false">IF(IsPro,IF($D442="","",IF($F442="",IFERROR(INDEX(Items!$H$5:$H$504,U442),0),$F442)),"")</f>
        <v/>
      </c>
      <c r="L442" s="61" t="str">
        <f aca="false">IF(IsPro,IF($D442="","",ROUND(N($E442)*K442*(1-N($G442)),2)),"")</f>
        <v/>
      </c>
      <c r="M442" s="62" t="str">
        <f aca="false">IF(IsPro,IF($D442="","",IFERROR(INDEX(Items!$F$5:$F$504,U442),0)),"")</f>
        <v/>
      </c>
      <c r="N442" s="61" t="str">
        <f aca="false">IF(IsPro,IF($D442="","",IF(AND(V442&lt;&gt;"",INDEX(Parties!$E$5:$E$304,V442)&lt;&gt;"",INDEX(Parties!$E$5:$E$304,V442)&lt;&gt;HomeState),0,ROUND(L442*M442/2,2))),"")</f>
        <v/>
      </c>
      <c r="O442" s="61" t="str">
        <f aca="false">IF(IsPro,IF($D442="","",N442),"")</f>
        <v/>
      </c>
      <c r="P442" s="61" t="str">
        <f aca="false">IF(IsPro,IF($D442="","",IF(AND(V442&lt;&gt;"",INDEX(Parties!$E$5:$E$304,V442)&lt;&gt;"",INDEX(Parties!$E$5:$E$304,V442)&lt;&gt;HomeState),ROUND(L442*M442,2),0)),"")</f>
        <v/>
      </c>
      <c r="Q442" s="61" t="str">
        <f aca="false">IF(IsPro,IF($D442="","",L442+N442+O442+P442),"")</f>
        <v/>
      </c>
      <c r="R442" s="61" t="str">
        <f aca="false">IF(IsPro,IF($D442="","",ROUND(N($E442)*IFERROR(INDEX(Items!$P$5:$P$504,U442),0),2)),"")</f>
        <v/>
      </c>
      <c r="S442" s="61" t="str">
        <f aca="false">IF(IsPro,IF($D442="","",L442-R442),"")</f>
        <v/>
      </c>
      <c r="T442" s="60" t="str">
        <f aca="false">IF(IsPro,IF($D442="","",IF(U442="","UNKNOWN ITEM",IF(INDEX(Items!$O$5:$O$504,U442)&lt;0,"NEG STOCK",IF(K442&lt;INDEX(Items!$P$5:$P$504,U442),"BELOW COST","OK")))),IF($D442="","","PRO PLAN"))</f>
        <v/>
      </c>
      <c r="U442" s="60" t="str">
        <f aca="false">IF(IsPro,IF($D442="","",IFERROR(MATCH($D442,Items!$A$5:$A$504,0),"")),"")</f>
        <v/>
      </c>
      <c r="V442" s="60" t="str">
        <f aca="false">IF(IsPro,IF($C442="","",IFERROR(MATCH($C442,Parties!$A$5:$A$304,0),"")),"")</f>
        <v/>
      </c>
      <c r="W442" s="60" t="str">
        <f aca="false">IF(IsPro,IF($B442="","",IFERROR(VALUE(SUBSTITUTE($B442,InvPrefix,"")),0)),"")</f>
        <v/>
      </c>
      <c r="X442" s="61" t="str">
        <f aca="false">IF(IsPro,IF($D442="","",IF(OR($H442="",$H442="Credit"),0,Q442)),"")</f>
        <v/>
      </c>
    </row>
    <row r="443" customFormat="false" ht="15" hidden="false" customHeight="false" outlineLevel="0" collapsed="false">
      <c r="A443" s="55"/>
      <c r="B443" s="56"/>
      <c r="C443" s="56"/>
      <c r="D443" s="56"/>
      <c r="E443" s="57"/>
      <c r="F443" s="58"/>
      <c r="G443" s="59"/>
      <c r="H443" s="56"/>
      <c r="I443" s="56"/>
      <c r="J443" s="60" t="str">
        <f aca="false">IF(IsPro,IF($D443="","",IFERROR(INDEX(Items!$D$5:$D$504,U443),"")),"")</f>
        <v/>
      </c>
      <c r="K443" s="61" t="str">
        <f aca="false">IF(IsPro,IF($D443="","",IF($F443="",IFERROR(INDEX(Items!$H$5:$H$504,U443),0),$F443)),"")</f>
        <v/>
      </c>
      <c r="L443" s="61" t="str">
        <f aca="false">IF(IsPro,IF($D443="","",ROUND(N($E443)*K443*(1-N($G443)),2)),"")</f>
        <v/>
      </c>
      <c r="M443" s="62" t="str">
        <f aca="false">IF(IsPro,IF($D443="","",IFERROR(INDEX(Items!$F$5:$F$504,U443),0)),"")</f>
        <v/>
      </c>
      <c r="N443" s="61" t="str">
        <f aca="false">IF(IsPro,IF($D443="","",IF(AND(V443&lt;&gt;"",INDEX(Parties!$E$5:$E$304,V443)&lt;&gt;"",INDEX(Parties!$E$5:$E$304,V443)&lt;&gt;HomeState),0,ROUND(L443*M443/2,2))),"")</f>
        <v/>
      </c>
      <c r="O443" s="61" t="str">
        <f aca="false">IF(IsPro,IF($D443="","",N443),"")</f>
        <v/>
      </c>
      <c r="P443" s="61" t="str">
        <f aca="false">IF(IsPro,IF($D443="","",IF(AND(V443&lt;&gt;"",INDEX(Parties!$E$5:$E$304,V443)&lt;&gt;"",INDEX(Parties!$E$5:$E$304,V443)&lt;&gt;HomeState),ROUND(L443*M443,2),0)),"")</f>
        <v/>
      </c>
      <c r="Q443" s="61" t="str">
        <f aca="false">IF(IsPro,IF($D443="","",L443+N443+O443+P443),"")</f>
        <v/>
      </c>
      <c r="R443" s="61" t="str">
        <f aca="false">IF(IsPro,IF($D443="","",ROUND(N($E443)*IFERROR(INDEX(Items!$P$5:$P$504,U443),0),2)),"")</f>
        <v/>
      </c>
      <c r="S443" s="61" t="str">
        <f aca="false">IF(IsPro,IF($D443="","",L443-R443),"")</f>
        <v/>
      </c>
      <c r="T443" s="60" t="str">
        <f aca="false">IF(IsPro,IF($D443="","",IF(U443="","UNKNOWN ITEM",IF(INDEX(Items!$O$5:$O$504,U443)&lt;0,"NEG STOCK",IF(K443&lt;INDEX(Items!$P$5:$P$504,U443),"BELOW COST","OK")))),IF($D443="","","PRO PLAN"))</f>
        <v/>
      </c>
      <c r="U443" s="60" t="str">
        <f aca="false">IF(IsPro,IF($D443="","",IFERROR(MATCH($D443,Items!$A$5:$A$504,0),"")),"")</f>
        <v/>
      </c>
      <c r="V443" s="60" t="str">
        <f aca="false">IF(IsPro,IF($C443="","",IFERROR(MATCH($C443,Parties!$A$5:$A$304,0),"")),"")</f>
        <v/>
      </c>
      <c r="W443" s="60" t="str">
        <f aca="false">IF(IsPro,IF($B443="","",IFERROR(VALUE(SUBSTITUTE($B443,InvPrefix,"")),0)),"")</f>
        <v/>
      </c>
      <c r="X443" s="61" t="str">
        <f aca="false">IF(IsPro,IF($D443="","",IF(OR($H443="",$H443="Credit"),0,Q443)),"")</f>
        <v/>
      </c>
    </row>
    <row r="444" customFormat="false" ht="15" hidden="false" customHeight="false" outlineLevel="0" collapsed="false">
      <c r="A444" s="55"/>
      <c r="B444" s="56"/>
      <c r="C444" s="56"/>
      <c r="D444" s="56"/>
      <c r="E444" s="57"/>
      <c r="F444" s="58"/>
      <c r="G444" s="59"/>
      <c r="H444" s="56"/>
      <c r="I444" s="56"/>
      <c r="J444" s="60" t="str">
        <f aca="false">IF(IsPro,IF($D444="","",IFERROR(INDEX(Items!$D$5:$D$504,U444),"")),"")</f>
        <v/>
      </c>
      <c r="K444" s="61" t="str">
        <f aca="false">IF(IsPro,IF($D444="","",IF($F444="",IFERROR(INDEX(Items!$H$5:$H$504,U444),0),$F444)),"")</f>
        <v/>
      </c>
      <c r="L444" s="61" t="str">
        <f aca="false">IF(IsPro,IF($D444="","",ROUND(N($E444)*K444*(1-N($G444)),2)),"")</f>
        <v/>
      </c>
      <c r="M444" s="62" t="str">
        <f aca="false">IF(IsPro,IF($D444="","",IFERROR(INDEX(Items!$F$5:$F$504,U444),0)),"")</f>
        <v/>
      </c>
      <c r="N444" s="61" t="str">
        <f aca="false">IF(IsPro,IF($D444="","",IF(AND(V444&lt;&gt;"",INDEX(Parties!$E$5:$E$304,V444)&lt;&gt;"",INDEX(Parties!$E$5:$E$304,V444)&lt;&gt;HomeState),0,ROUND(L444*M444/2,2))),"")</f>
        <v/>
      </c>
      <c r="O444" s="61" t="str">
        <f aca="false">IF(IsPro,IF($D444="","",N444),"")</f>
        <v/>
      </c>
      <c r="P444" s="61" t="str">
        <f aca="false">IF(IsPro,IF($D444="","",IF(AND(V444&lt;&gt;"",INDEX(Parties!$E$5:$E$304,V444)&lt;&gt;"",INDEX(Parties!$E$5:$E$304,V444)&lt;&gt;HomeState),ROUND(L444*M444,2),0)),"")</f>
        <v/>
      </c>
      <c r="Q444" s="61" t="str">
        <f aca="false">IF(IsPro,IF($D444="","",L444+N444+O444+P444),"")</f>
        <v/>
      </c>
      <c r="R444" s="61" t="str">
        <f aca="false">IF(IsPro,IF($D444="","",ROUND(N($E444)*IFERROR(INDEX(Items!$P$5:$P$504,U444),0),2)),"")</f>
        <v/>
      </c>
      <c r="S444" s="61" t="str">
        <f aca="false">IF(IsPro,IF($D444="","",L444-R444),"")</f>
        <v/>
      </c>
      <c r="T444" s="60" t="str">
        <f aca="false">IF(IsPro,IF($D444="","",IF(U444="","UNKNOWN ITEM",IF(INDEX(Items!$O$5:$O$504,U444)&lt;0,"NEG STOCK",IF(K444&lt;INDEX(Items!$P$5:$P$504,U444),"BELOW COST","OK")))),IF($D444="","","PRO PLAN"))</f>
        <v/>
      </c>
      <c r="U444" s="60" t="str">
        <f aca="false">IF(IsPro,IF($D444="","",IFERROR(MATCH($D444,Items!$A$5:$A$504,0),"")),"")</f>
        <v/>
      </c>
      <c r="V444" s="60" t="str">
        <f aca="false">IF(IsPro,IF($C444="","",IFERROR(MATCH($C444,Parties!$A$5:$A$304,0),"")),"")</f>
        <v/>
      </c>
      <c r="W444" s="60" t="str">
        <f aca="false">IF(IsPro,IF($B444="","",IFERROR(VALUE(SUBSTITUTE($B444,InvPrefix,"")),0)),"")</f>
        <v/>
      </c>
      <c r="X444" s="61" t="str">
        <f aca="false">IF(IsPro,IF($D444="","",IF(OR($H444="",$H444="Credit"),0,Q444)),"")</f>
        <v/>
      </c>
    </row>
    <row r="445" customFormat="false" ht="15" hidden="false" customHeight="false" outlineLevel="0" collapsed="false">
      <c r="A445" s="55"/>
      <c r="B445" s="56"/>
      <c r="C445" s="56"/>
      <c r="D445" s="56"/>
      <c r="E445" s="57"/>
      <c r="F445" s="58"/>
      <c r="G445" s="59"/>
      <c r="H445" s="56"/>
      <c r="I445" s="56"/>
      <c r="J445" s="60" t="str">
        <f aca="false">IF(IsPro,IF($D445="","",IFERROR(INDEX(Items!$D$5:$D$504,U445),"")),"")</f>
        <v/>
      </c>
      <c r="K445" s="61" t="str">
        <f aca="false">IF(IsPro,IF($D445="","",IF($F445="",IFERROR(INDEX(Items!$H$5:$H$504,U445),0),$F445)),"")</f>
        <v/>
      </c>
      <c r="L445" s="61" t="str">
        <f aca="false">IF(IsPro,IF($D445="","",ROUND(N($E445)*K445*(1-N($G445)),2)),"")</f>
        <v/>
      </c>
      <c r="M445" s="62" t="str">
        <f aca="false">IF(IsPro,IF($D445="","",IFERROR(INDEX(Items!$F$5:$F$504,U445),0)),"")</f>
        <v/>
      </c>
      <c r="N445" s="61" t="str">
        <f aca="false">IF(IsPro,IF($D445="","",IF(AND(V445&lt;&gt;"",INDEX(Parties!$E$5:$E$304,V445)&lt;&gt;"",INDEX(Parties!$E$5:$E$304,V445)&lt;&gt;HomeState),0,ROUND(L445*M445/2,2))),"")</f>
        <v/>
      </c>
      <c r="O445" s="61" t="str">
        <f aca="false">IF(IsPro,IF($D445="","",N445),"")</f>
        <v/>
      </c>
      <c r="P445" s="61" t="str">
        <f aca="false">IF(IsPro,IF($D445="","",IF(AND(V445&lt;&gt;"",INDEX(Parties!$E$5:$E$304,V445)&lt;&gt;"",INDEX(Parties!$E$5:$E$304,V445)&lt;&gt;HomeState),ROUND(L445*M445,2),0)),"")</f>
        <v/>
      </c>
      <c r="Q445" s="61" t="str">
        <f aca="false">IF(IsPro,IF($D445="","",L445+N445+O445+P445),"")</f>
        <v/>
      </c>
      <c r="R445" s="61" t="str">
        <f aca="false">IF(IsPro,IF($D445="","",ROUND(N($E445)*IFERROR(INDEX(Items!$P$5:$P$504,U445),0),2)),"")</f>
        <v/>
      </c>
      <c r="S445" s="61" t="str">
        <f aca="false">IF(IsPro,IF($D445="","",L445-R445),"")</f>
        <v/>
      </c>
      <c r="T445" s="60" t="str">
        <f aca="false">IF(IsPro,IF($D445="","",IF(U445="","UNKNOWN ITEM",IF(INDEX(Items!$O$5:$O$504,U445)&lt;0,"NEG STOCK",IF(K445&lt;INDEX(Items!$P$5:$P$504,U445),"BELOW COST","OK")))),IF($D445="","","PRO PLAN"))</f>
        <v/>
      </c>
      <c r="U445" s="60" t="str">
        <f aca="false">IF(IsPro,IF($D445="","",IFERROR(MATCH($D445,Items!$A$5:$A$504,0),"")),"")</f>
        <v/>
      </c>
      <c r="V445" s="60" t="str">
        <f aca="false">IF(IsPro,IF($C445="","",IFERROR(MATCH($C445,Parties!$A$5:$A$304,0),"")),"")</f>
        <v/>
      </c>
      <c r="W445" s="60" t="str">
        <f aca="false">IF(IsPro,IF($B445="","",IFERROR(VALUE(SUBSTITUTE($B445,InvPrefix,"")),0)),"")</f>
        <v/>
      </c>
      <c r="X445" s="61" t="str">
        <f aca="false">IF(IsPro,IF($D445="","",IF(OR($H445="",$H445="Credit"),0,Q445)),"")</f>
        <v/>
      </c>
    </row>
    <row r="446" customFormat="false" ht="15" hidden="false" customHeight="false" outlineLevel="0" collapsed="false">
      <c r="A446" s="55"/>
      <c r="B446" s="56"/>
      <c r="C446" s="56"/>
      <c r="D446" s="56"/>
      <c r="E446" s="57"/>
      <c r="F446" s="58"/>
      <c r="G446" s="59"/>
      <c r="H446" s="56"/>
      <c r="I446" s="56"/>
      <c r="J446" s="60" t="str">
        <f aca="false">IF(IsPro,IF($D446="","",IFERROR(INDEX(Items!$D$5:$D$504,U446),"")),"")</f>
        <v/>
      </c>
      <c r="K446" s="61" t="str">
        <f aca="false">IF(IsPro,IF($D446="","",IF($F446="",IFERROR(INDEX(Items!$H$5:$H$504,U446),0),$F446)),"")</f>
        <v/>
      </c>
      <c r="L446" s="61" t="str">
        <f aca="false">IF(IsPro,IF($D446="","",ROUND(N($E446)*K446*(1-N($G446)),2)),"")</f>
        <v/>
      </c>
      <c r="M446" s="62" t="str">
        <f aca="false">IF(IsPro,IF($D446="","",IFERROR(INDEX(Items!$F$5:$F$504,U446),0)),"")</f>
        <v/>
      </c>
      <c r="N446" s="61" t="str">
        <f aca="false">IF(IsPro,IF($D446="","",IF(AND(V446&lt;&gt;"",INDEX(Parties!$E$5:$E$304,V446)&lt;&gt;"",INDEX(Parties!$E$5:$E$304,V446)&lt;&gt;HomeState),0,ROUND(L446*M446/2,2))),"")</f>
        <v/>
      </c>
      <c r="O446" s="61" t="str">
        <f aca="false">IF(IsPro,IF($D446="","",N446),"")</f>
        <v/>
      </c>
      <c r="P446" s="61" t="str">
        <f aca="false">IF(IsPro,IF($D446="","",IF(AND(V446&lt;&gt;"",INDEX(Parties!$E$5:$E$304,V446)&lt;&gt;"",INDEX(Parties!$E$5:$E$304,V446)&lt;&gt;HomeState),ROUND(L446*M446,2),0)),"")</f>
        <v/>
      </c>
      <c r="Q446" s="61" t="str">
        <f aca="false">IF(IsPro,IF($D446="","",L446+N446+O446+P446),"")</f>
        <v/>
      </c>
      <c r="R446" s="61" t="str">
        <f aca="false">IF(IsPro,IF($D446="","",ROUND(N($E446)*IFERROR(INDEX(Items!$P$5:$P$504,U446),0),2)),"")</f>
        <v/>
      </c>
      <c r="S446" s="61" t="str">
        <f aca="false">IF(IsPro,IF($D446="","",L446-R446),"")</f>
        <v/>
      </c>
      <c r="T446" s="60" t="str">
        <f aca="false">IF(IsPro,IF($D446="","",IF(U446="","UNKNOWN ITEM",IF(INDEX(Items!$O$5:$O$504,U446)&lt;0,"NEG STOCK",IF(K446&lt;INDEX(Items!$P$5:$P$504,U446),"BELOW COST","OK")))),IF($D446="","","PRO PLAN"))</f>
        <v/>
      </c>
      <c r="U446" s="60" t="str">
        <f aca="false">IF(IsPro,IF($D446="","",IFERROR(MATCH($D446,Items!$A$5:$A$504,0),"")),"")</f>
        <v/>
      </c>
      <c r="V446" s="60" t="str">
        <f aca="false">IF(IsPro,IF($C446="","",IFERROR(MATCH($C446,Parties!$A$5:$A$304,0),"")),"")</f>
        <v/>
      </c>
      <c r="W446" s="60" t="str">
        <f aca="false">IF(IsPro,IF($B446="","",IFERROR(VALUE(SUBSTITUTE($B446,InvPrefix,"")),0)),"")</f>
        <v/>
      </c>
      <c r="X446" s="61" t="str">
        <f aca="false">IF(IsPro,IF($D446="","",IF(OR($H446="",$H446="Credit"),0,Q446)),"")</f>
        <v/>
      </c>
    </row>
    <row r="447" customFormat="false" ht="15" hidden="false" customHeight="false" outlineLevel="0" collapsed="false">
      <c r="A447" s="55"/>
      <c r="B447" s="56"/>
      <c r="C447" s="56"/>
      <c r="D447" s="56"/>
      <c r="E447" s="57"/>
      <c r="F447" s="58"/>
      <c r="G447" s="59"/>
      <c r="H447" s="56"/>
      <c r="I447" s="56"/>
      <c r="J447" s="60" t="str">
        <f aca="false">IF(IsPro,IF($D447="","",IFERROR(INDEX(Items!$D$5:$D$504,U447),"")),"")</f>
        <v/>
      </c>
      <c r="K447" s="61" t="str">
        <f aca="false">IF(IsPro,IF($D447="","",IF($F447="",IFERROR(INDEX(Items!$H$5:$H$504,U447),0),$F447)),"")</f>
        <v/>
      </c>
      <c r="L447" s="61" t="str">
        <f aca="false">IF(IsPro,IF($D447="","",ROUND(N($E447)*K447*(1-N($G447)),2)),"")</f>
        <v/>
      </c>
      <c r="M447" s="62" t="str">
        <f aca="false">IF(IsPro,IF($D447="","",IFERROR(INDEX(Items!$F$5:$F$504,U447),0)),"")</f>
        <v/>
      </c>
      <c r="N447" s="61" t="str">
        <f aca="false">IF(IsPro,IF($D447="","",IF(AND(V447&lt;&gt;"",INDEX(Parties!$E$5:$E$304,V447)&lt;&gt;"",INDEX(Parties!$E$5:$E$304,V447)&lt;&gt;HomeState),0,ROUND(L447*M447/2,2))),"")</f>
        <v/>
      </c>
      <c r="O447" s="61" t="str">
        <f aca="false">IF(IsPro,IF($D447="","",N447),"")</f>
        <v/>
      </c>
      <c r="P447" s="61" t="str">
        <f aca="false">IF(IsPro,IF($D447="","",IF(AND(V447&lt;&gt;"",INDEX(Parties!$E$5:$E$304,V447)&lt;&gt;"",INDEX(Parties!$E$5:$E$304,V447)&lt;&gt;HomeState),ROUND(L447*M447,2),0)),"")</f>
        <v/>
      </c>
      <c r="Q447" s="61" t="str">
        <f aca="false">IF(IsPro,IF($D447="","",L447+N447+O447+P447),"")</f>
        <v/>
      </c>
      <c r="R447" s="61" t="str">
        <f aca="false">IF(IsPro,IF($D447="","",ROUND(N($E447)*IFERROR(INDEX(Items!$P$5:$P$504,U447),0),2)),"")</f>
        <v/>
      </c>
      <c r="S447" s="61" t="str">
        <f aca="false">IF(IsPro,IF($D447="","",L447-R447),"")</f>
        <v/>
      </c>
      <c r="T447" s="60" t="str">
        <f aca="false">IF(IsPro,IF($D447="","",IF(U447="","UNKNOWN ITEM",IF(INDEX(Items!$O$5:$O$504,U447)&lt;0,"NEG STOCK",IF(K447&lt;INDEX(Items!$P$5:$P$504,U447),"BELOW COST","OK")))),IF($D447="","","PRO PLAN"))</f>
        <v/>
      </c>
      <c r="U447" s="60" t="str">
        <f aca="false">IF(IsPro,IF($D447="","",IFERROR(MATCH($D447,Items!$A$5:$A$504,0),"")),"")</f>
        <v/>
      </c>
      <c r="V447" s="60" t="str">
        <f aca="false">IF(IsPro,IF($C447="","",IFERROR(MATCH($C447,Parties!$A$5:$A$304,0),"")),"")</f>
        <v/>
      </c>
      <c r="W447" s="60" t="str">
        <f aca="false">IF(IsPro,IF($B447="","",IFERROR(VALUE(SUBSTITUTE($B447,InvPrefix,"")),0)),"")</f>
        <v/>
      </c>
      <c r="X447" s="61" t="str">
        <f aca="false">IF(IsPro,IF($D447="","",IF(OR($H447="",$H447="Credit"),0,Q447)),"")</f>
        <v/>
      </c>
    </row>
    <row r="448" customFormat="false" ht="15" hidden="false" customHeight="false" outlineLevel="0" collapsed="false">
      <c r="A448" s="55"/>
      <c r="B448" s="56"/>
      <c r="C448" s="56"/>
      <c r="D448" s="56"/>
      <c r="E448" s="57"/>
      <c r="F448" s="58"/>
      <c r="G448" s="59"/>
      <c r="H448" s="56"/>
      <c r="I448" s="56"/>
      <c r="J448" s="60" t="str">
        <f aca="false">IF(IsPro,IF($D448="","",IFERROR(INDEX(Items!$D$5:$D$504,U448),"")),"")</f>
        <v/>
      </c>
      <c r="K448" s="61" t="str">
        <f aca="false">IF(IsPro,IF($D448="","",IF($F448="",IFERROR(INDEX(Items!$H$5:$H$504,U448),0),$F448)),"")</f>
        <v/>
      </c>
      <c r="L448" s="61" t="str">
        <f aca="false">IF(IsPro,IF($D448="","",ROUND(N($E448)*K448*(1-N($G448)),2)),"")</f>
        <v/>
      </c>
      <c r="M448" s="62" t="str">
        <f aca="false">IF(IsPro,IF($D448="","",IFERROR(INDEX(Items!$F$5:$F$504,U448),0)),"")</f>
        <v/>
      </c>
      <c r="N448" s="61" t="str">
        <f aca="false">IF(IsPro,IF($D448="","",IF(AND(V448&lt;&gt;"",INDEX(Parties!$E$5:$E$304,V448)&lt;&gt;"",INDEX(Parties!$E$5:$E$304,V448)&lt;&gt;HomeState),0,ROUND(L448*M448/2,2))),"")</f>
        <v/>
      </c>
      <c r="O448" s="61" t="str">
        <f aca="false">IF(IsPro,IF($D448="","",N448),"")</f>
        <v/>
      </c>
      <c r="P448" s="61" t="str">
        <f aca="false">IF(IsPro,IF($D448="","",IF(AND(V448&lt;&gt;"",INDEX(Parties!$E$5:$E$304,V448)&lt;&gt;"",INDEX(Parties!$E$5:$E$304,V448)&lt;&gt;HomeState),ROUND(L448*M448,2),0)),"")</f>
        <v/>
      </c>
      <c r="Q448" s="61" t="str">
        <f aca="false">IF(IsPro,IF($D448="","",L448+N448+O448+P448),"")</f>
        <v/>
      </c>
      <c r="R448" s="61" t="str">
        <f aca="false">IF(IsPro,IF($D448="","",ROUND(N($E448)*IFERROR(INDEX(Items!$P$5:$P$504,U448),0),2)),"")</f>
        <v/>
      </c>
      <c r="S448" s="61" t="str">
        <f aca="false">IF(IsPro,IF($D448="","",L448-R448),"")</f>
        <v/>
      </c>
      <c r="T448" s="60" t="str">
        <f aca="false">IF(IsPro,IF($D448="","",IF(U448="","UNKNOWN ITEM",IF(INDEX(Items!$O$5:$O$504,U448)&lt;0,"NEG STOCK",IF(K448&lt;INDEX(Items!$P$5:$P$504,U448),"BELOW COST","OK")))),IF($D448="","","PRO PLAN"))</f>
        <v/>
      </c>
      <c r="U448" s="60" t="str">
        <f aca="false">IF(IsPro,IF($D448="","",IFERROR(MATCH($D448,Items!$A$5:$A$504,0),"")),"")</f>
        <v/>
      </c>
      <c r="V448" s="60" t="str">
        <f aca="false">IF(IsPro,IF($C448="","",IFERROR(MATCH($C448,Parties!$A$5:$A$304,0),"")),"")</f>
        <v/>
      </c>
      <c r="W448" s="60" t="str">
        <f aca="false">IF(IsPro,IF($B448="","",IFERROR(VALUE(SUBSTITUTE($B448,InvPrefix,"")),0)),"")</f>
        <v/>
      </c>
      <c r="X448" s="61" t="str">
        <f aca="false">IF(IsPro,IF($D448="","",IF(OR($H448="",$H448="Credit"),0,Q448)),"")</f>
        <v/>
      </c>
    </row>
    <row r="449" customFormat="false" ht="15" hidden="false" customHeight="false" outlineLevel="0" collapsed="false">
      <c r="A449" s="55"/>
      <c r="B449" s="56"/>
      <c r="C449" s="56"/>
      <c r="D449" s="56"/>
      <c r="E449" s="57"/>
      <c r="F449" s="58"/>
      <c r="G449" s="59"/>
      <c r="H449" s="56"/>
      <c r="I449" s="56"/>
      <c r="J449" s="60" t="str">
        <f aca="false">IF(IsPro,IF($D449="","",IFERROR(INDEX(Items!$D$5:$D$504,U449),"")),"")</f>
        <v/>
      </c>
      <c r="K449" s="61" t="str">
        <f aca="false">IF(IsPro,IF($D449="","",IF($F449="",IFERROR(INDEX(Items!$H$5:$H$504,U449),0),$F449)),"")</f>
        <v/>
      </c>
      <c r="L449" s="61" t="str">
        <f aca="false">IF(IsPro,IF($D449="","",ROUND(N($E449)*K449*(1-N($G449)),2)),"")</f>
        <v/>
      </c>
      <c r="M449" s="62" t="str">
        <f aca="false">IF(IsPro,IF($D449="","",IFERROR(INDEX(Items!$F$5:$F$504,U449),0)),"")</f>
        <v/>
      </c>
      <c r="N449" s="61" t="str">
        <f aca="false">IF(IsPro,IF($D449="","",IF(AND(V449&lt;&gt;"",INDEX(Parties!$E$5:$E$304,V449)&lt;&gt;"",INDEX(Parties!$E$5:$E$304,V449)&lt;&gt;HomeState),0,ROUND(L449*M449/2,2))),"")</f>
        <v/>
      </c>
      <c r="O449" s="61" t="str">
        <f aca="false">IF(IsPro,IF($D449="","",N449),"")</f>
        <v/>
      </c>
      <c r="P449" s="61" t="str">
        <f aca="false">IF(IsPro,IF($D449="","",IF(AND(V449&lt;&gt;"",INDEX(Parties!$E$5:$E$304,V449)&lt;&gt;"",INDEX(Parties!$E$5:$E$304,V449)&lt;&gt;HomeState),ROUND(L449*M449,2),0)),"")</f>
        <v/>
      </c>
      <c r="Q449" s="61" t="str">
        <f aca="false">IF(IsPro,IF($D449="","",L449+N449+O449+P449),"")</f>
        <v/>
      </c>
      <c r="R449" s="61" t="str">
        <f aca="false">IF(IsPro,IF($D449="","",ROUND(N($E449)*IFERROR(INDEX(Items!$P$5:$P$504,U449),0),2)),"")</f>
        <v/>
      </c>
      <c r="S449" s="61" t="str">
        <f aca="false">IF(IsPro,IF($D449="","",L449-R449),"")</f>
        <v/>
      </c>
      <c r="T449" s="60" t="str">
        <f aca="false">IF(IsPro,IF($D449="","",IF(U449="","UNKNOWN ITEM",IF(INDEX(Items!$O$5:$O$504,U449)&lt;0,"NEG STOCK",IF(K449&lt;INDEX(Items!$P$5:$P$504,U449),"BELOW COST","OK")))),IF($D449="","","PRO PLAN"))</f>
        <v/>
      </c>
      <c r="U449" s="60" t="str">
        <f aca="false">IF(IsPro,IF($D449="","",IFERROR(MATCH($D449,Items!$A$5:$A$504,0),"")),"")</f>
        <v/>
      </c>
      <c r="V449" s="60" t="str">
        <f aca="false">IF(IsPro,IF($C449="","",IFERROR(MATCH($C449,Parties!$A$5:$A$304,0),"")),"")</f>
        <v/>
      </c>
      <c r="W449" s="60" t="str">
        <f aca="false">IF(IsPro,IF($B449="","",IFERROR(VALUE(SUBSTITUTE($B449,InvPrefix,"")),0)),"")</f>
        <v/>
      </c>
      <c r="X449" s="61" t="str">
        <f aca="false">IF(IsPro,IF($D449="","",IF(OR($H449="",$H449="Credit"),0,Q449)),"")</f>
        <v/>
      </c>
    </row>
    <row r="450" customFormat="false" ht="15" hidden="false" customHeight="false" outlineLevel="0" collapsed="false">
      <c r="A450" s="55"/>
      <c r="B450" s="56"/>
      <c r="C450" s="56"/>
      <c r="D450" s="56"/>
      <c r="E450" s="57"/>
      <c r="F450" s="58"/>
      <c r="G450" s="59"/>
      <c r="H450" s="56"/>
      <c r="I450" s="56"/>
      <c r="J450" s="60" t="str">
        <f aca="false">IF(IsPro,IF($D450="","",IFERROR(INDEX(Items!$D$5:$D$504,U450),"")),"")</f>
        <v/>
      </c>
      <c r="K450" s="61" t="str">
        <f aca="false">IF(IsPro,IF($D450="","",IF($F450="",IFERROR(INDEX(Items!$H$5:$H$504,U450),0),$F450)),"")</f>
        <v/>
      </c>
      <c r="L450" s="61" t="str">
        <f aca="false">IF(IsPro,IF($D450="","",ROUND(N($E450)*K450*(1-N($G450)),2)),"")</f>
        <v/>
      </c>
      <c r="M450" s="62" t="str">
        <f aca="false">IF(IsPro,IF($D450="","",IFERROR(INDEX(Items!$F$5:$F$504,U450),0)),"")</f>
        <v/>
      </c>
      <c r="N450" s="61" t="str">
        <f aca="false">IF(IsPro,IF($D450="","",IF(AND(V450&lt;&gt;"",INDEX(Parties!$E$5:$E$304,V450)&lt;&gt;"",INDEX(Parties!$E$5:$E$304,V450)&lt;&gt;HomeState),0,ROUND(L450*M450/2,2))),"")</f>
        <v/>
      </c>
      <c r="O450" s="61" t="str">
        <f aca="false">IF(IsPro,IF($D450="","",N450),"")</f>
        <v/>
      </c>
      <c r="P450" s="61" t="str">
        <f aca="false">IF(IsPro,IF($D450="","",IF(AND(V450&lt;&gt;"",INDEX(Parties!$E$5:$E$304,V450)&lt;&gt;"",INDEX(Parties!$E$5:$E$304,V450)&lt;&gt;HomeState),ROUND(L450*M450,2),0)),"")</f>
        <v/>
      </c>
      <c r="Q450" s="61" t="str">
        <f aca="false">IF(IsPro,IF($D450="","",L450+N450+O450+P450),"")</f>
        <v/>
      </c>
      <c r="R450" s="61" t="str">
        <f aca="false">IF(IsPro,IF($D450="","",ROUND(N($E450)*IFERROR(INDEX(Items!$P$5:$P$504,U450),0),2)),"")</f>
        <v/>
      </c>
      <c r="S450" s="61" t="str">
        <f aca="false">IF(IsPro,IF($D450="","",L450-R450),"")</f>
        <v/>
      </c>
      <c r="T450" s="60" t="str">
        <f aca="false">IF(IsPro,IF($D450="","",IF(U450="","UNKNOWN ITEM",IF(INDEX(Items!$O$5:$O$504,U450)&lt;0,"NEG STOCK",IF(K450&lt;INDEX(Items!$P$5:$P$504,U450),"BELOW COST","OK")))),IF($D450="","","PRO PLAN"))</f>
        <v/>
      </c>
      <c r="U450" s="60" t="str">
        <f aca="false">IF(IsPro,IF($D450="","",IFERROR(MATCH($D450,Items!$A$5:$A$504,0),"")),"")</f>
        <v/>
      </c>
      <c r="V450" s="60" t="str">
        <f aca="false">IF(IsPro,IF($C450="","",IFERROR(MATCH($C450,Parties!$A$5:$A$304,0),"")),"")</f>
        <v/>
      </c>
      <c r="W450" s="60" t="str">
        <f aca="false">IF(IsPro,IF($B450="","",IFERROR(VALUE(SUBSTITUTE($B450,InvPrefix,"")),0)),"")</f>
        <v/>
      </c>
      <c r="X450" s="61" t="str">
        <f aca="false">IF(IsPro,IF($D450="","",IF(OR($H450="",$H450="Credit"),0,Q450)),"")</f>
        <v/>
      </c>
    </row>
    <row r="451" customFormat="false" ht="15" hidden="false" customHeight="false" outlineLevel="0" collapsed="false">
      <c r="A451" s="55"/>
      <c r="B451" s="56"/>
      <c r="C451" s="56"/>
      <c r="D451" s="56"/>
      <c r="E451" s="57"/>
      <c r="F451" s="58"/>
      <c r="G451" s="59"/>
      <c r="H451" s="56"/>
      <c r="I451" s="56"/>
      <c r="J451" s="60" t="str">
        <f aca="false">IF(IsPro,IF($D451="","",IFERROR(INDEX(Items!$D$5:$D$504,U451),"")),"")</f>
        <v/>
      </c>
      <c r="K451" s="61" t="str">
        <f aca="false">IF(IsPro,IF($D451="","",IF($F451="",IFERROR(INDEX(Items!$H$5:$H$504,U451),0),$F451)),"")</f>
        <v/>
      </c>
      <c r="L451" s="61" t="str">
        <f aca="false">IF(IsPro,IF($D451="","",ROUND(N($E451)*K451*(1-N($G451)),2)),"")</f>
        <v/>
      </c>
      <c r="M451" s="62" t="str">
        <f aca="false">IF(IsPro,IF($D451="","",IFERROR(INDEX(Items!$F$5:$F$504,U451),0)),"")</f>
        <v/>
      </c>
      <c r="N451" s="61" t="str">
        <f aca="false">IF(IsPro,IF($D451="","",IF(AND(V451&lt;&gt;"",INDEX(Parties!$E$5:$E$304,V451)&lt;&gt;"",INDEX(Parties!$E$5:$E$304,V451)&lt;&gt;HomeState),0,ROUND(L451*M451/2,2))),"")</f>
        <v/>
      </c>
      <c r="O451" s="61" t="str">
        <f aca="false">IF(IsPro,IF($D451="","",N451),"")</f>
        <v/>
      </c>
      <c r="P451" s="61" t="str">
        <f aca="false">IF(IsPro,IF($D451="","",IF(AND(V451&lt;&gt;"",INDEX(Parties!$E$5:$E$304,V451)&lt;&gt;"",INDEX(Parties!$E$5:$E$304,V451)&lt;&gt;HomeState),ROUND(L451*M451,2),0)),"")</f>
        <v/>
      </c>
      <c r="Q451" s="61" t="str">
        <f aca="false">IF(IsPro,IF($D451="","",L451+N451+O451+P451),"")</f>
        <v/>
      </c>
      <c r="R451" s="61" t="str">
        <f aca="false">IF(IsPro,IF($D451="","",ROUND(N($E451)*IFERROR(INDEX(Items!$P$5:$P$504,U451),0),2)),"")</f>
        <v/>
      </c>
      <c r="S451" s="61" t="str">
        <f aca="false">IF(IsPro,IF($D451="","",L451-R451),"")</f>
        <v/>
      </c>
      <c r="T451" s="60" t="str">
        <f aca="false">IF(IsPro,IF($D451="","",IF(U451="","UNKNOWN ITEM",IF(INDEX(Items!$O$5:$O$504,U451)&lt;0,"NEG STOCK",IF(K451&lt;INDEX(Items!$P$5:$P$504,U451),"BELOW COST","OK")))),IF($D451="","","PRO PLAN"))</f>
        <v/>
      </c>
      <c r="U451" s="60" t="str">
        <f aca="false">IF(IsPro,IF($D451="","",IFERROR(MATCH($D451,Items!$A$5:$A$504,0),"")),"")</f>
        <v/>
      </c>
      <c r="V451" s="60" t="str">
        <f aca="false">IF(IsPro,IF($C451="","",IFERROR(MATCH($C451,Parties!$A$5:$A$304,0),"")),"")</f>
        <v/>
      </c>
      <c r="W451" s="60" t="str">
        <f aca="false">IF(IsPro,IF($B451="","",IFERROR(VALUE(SUBSTITUTE($B451,InvPrefix,"")),0)),"")</f>
        <v/>
      </c>
      <c r="X451" s="61" t="str">
        <f aca="false">IF(IsPro,IF($D451="","",IF(OR($H451="",$H451="Credit"),0,Q451)),"")</f>
        <v/>
      </c>
    </row>
    <row r="452" customFormat="false" ht="15" hidden="false" customHeight="false" outlineLevel="0" collapsed="false">
      <c r="A452" s="55"/>
      <c r="B452" s="56"/>
      <c r="C452" s="56"/>
      <c r="D452" s="56"/>
      <c r="E452" s="57"/>
      <c r="F452" s="58"/>
      <c r="G452" s="59"/>
      <c r="H452" s="56"/>
      <c r="I452" s="56"/>
      <c r="J452" s="60" t="str">
        <f aca="false">IF(IsPro,IF($D452="","",IFERROR(INDEX(Items!$D$5:$D$504,U452),"")),"")</f>
        <v/>
      </c>
      <c r="K452" s="61" t="str">
        <f aca="false">IF(IsPro,IF($D452="","",IF($F452="",IFERROR(INDEX(Items!$H$5:$H$504,U452),0),$F452)),"")</f>
        <v/>
      </c>
      <c r="L452" s="61" t="str">
        <f aca="false">IF(IsPro,IF($D452="","",ROUND(N($E452)*K452*(1-N($G452)),2)),"")</f>
        <v/>
      </c>
      <c r="M452" s="62" t="str">
        <f aca="false">IF(IsPro,IF($D452="","",IFERROR(INDEX(Items!$F$5:$F$504,U452),0)),"")</f>
        <v/>
      </c>
      <c r="N452" s="61" t="str">
        <f aca="false">IF(IsPro,IF($D452="","",IF(AND(V452&lt;&gt;"",INDEX(Parties!$E$5:$E$304,V452)&lt;&gt;"",INDEX(Parties!$E$5:$E$304,V452)&lt;&gt;HomeState),0,ROUND(L452*M452/2,2))),"")</f>
        <v/>
      </c>
      <c r="O452" s="61" t="str">
        <f aca="false">IF(IsPro,IF($D452="","",N452),"")</f>
        <v/>
      </c>
      <c r="P452" s="61" t="str">
        <f aca="false">IF(IsPro,IF($D452="","",IF(AND(V452&lt;&gt;"",INDEX(Parties!$E$5:$E$304,V452)&lt;&gt;"",INDEX(Parties!$E$5:$E$304,V452)&lt;&gt;HomeState),ROUND(L452*M452,2),0)),"")</f>
        <v/>
      </c>
      <c r="Q452" s="61" t="str">
        <f aca="false">IF(IsPro,IF($D452="","",L452+N452+O452+P452),"")</f>
        <v/>
      </c>
      <c r="R452" s="61" t="str">
        <f aca="false">IF(IsPro,IF($D452="","",ROUND(N($E452)*IFERROR(INDEX(Items!$P$5:$P$504,U452),0),2)),"")</f>
        <v/>
      </c>
      <c r="S452" s="61" t="str">
        <f aca="false">IF(IsPro,IF($D452="","",L452-R452),"")</f>
        <v/>
      </c>
      <c r="T452" s="60" t="str">
        <f aca="false">IF(IsPro,IF($D452="","",IF(U452="","UNKNOWN ITEM",IF(INDEX(Items!$O$5:$O$504,U452)&lt;0,"NEG STOCK",IF(K452&lt;INDEX(Items!$P$5:$P$504,U452),"BELOW COST","OK")))),IF($D452="","","PRO PLAN"))</f>
        <v/>
      </c>
      <c r="U452" s="60" t="str">
        <f aca="false">IF(IsPro,IF($D452="","",IFERROR(MATCH($D452,Items!$A$5:$A$504,0),"")),"")</f>
        <v/>
      </c>
      <c r="V452" s="60" t="str">
        <f aca="false">IF(IsPro,IF($C452="","",IFERROR(MATCH($C452,Parties!$A$5:$A$304,0),"")),"")</f>
        <v/>
      </c>
      <c r="W452" s="60" t="str">
        <f aca="false">IF(IsPro,IF($B452="","",IFERROR(VALUE(SUBSTITUTE($B452,InvPrefix,"")),0)),"")</f>
        <v/>
      </c>
      <c r="X452" s="61" t="str">
        <f aca="false">IF(IsPro,IF($D452="","",IF(OR($H452="",$H452="Credit"),0,Q452)),"")</f>
        <v/>
      </c>
    </row>
    <row r="453" customFormat="false" ht="15" hidden="false" customHeight="false" outlineLevel="0" collapsed="false">
      <c r="A453" s="55"/>
      <c r="B453" s="56"/>
      <c r="C453" s="56"/>
      <c r="D453" s="56"/>
      <c r="E453" s="57"/>
      <c r="F453" s="58"/>
      <c r="G453" s="59"/>
      <c r="H453" s="56"/>
      <c r="I453" s="56"/>
      <c r="J453" s="60" t="str">
        <f aca="false">IF(IsPro,IF($D453="","",IFERROR(INDEX(Items!$D$5:$D$504,U453),"")),"")</f>
        <v/>
      </c>
      <c r="K453" s="61" t="str">
        <f aca="false">IF(IsPro,IF($D453="","",IF($F453="",IFERROR(INDEX(Items!$H$5:$H$504,U453),0),$F453)),"")</f>
        <v/>
      </c>
      <c r="L453" s="61" t="str">
        <f aca="false">IF(IsPro,IF($D453="","",ROUND(N($E453)*K453*(1-N($G453)),2)),"")</f>
        <v/>
      </c>
      <c r="M453" s="62" t="str">
        <f aca="false">IF(IsPro,IF($D453="","",IFERROR(INDEX(Items!$F$5:$F$504,U453),0)),"")</f>
        <v/>
      </c>
      <c r="N453" s="61" t="str">
        <f aca="false">IF(IsPro,IF($D453="","",IF(AND(V453&lt;&gt;"",INDEX(Parties!$E$5:$E$304,V453)&lt;&gt;"",INDEX(Parties!$E$5:$E$304,V453)&lt;&gt;HomeState),0,ROUND(L453*M453/2,2))),"")</f>
        <v/>
      </c>
      <c r="O453" s="61" t="str">
        <f aca="false">IF(IsPro,IF($D453="","",N453),"")</f>
        <v/>
      </c>
      <c r="P453" s="61" t="str">
        <f aca="false">IF(IsPro,IF($D453="","",IF(AND(V453&lt;&gt;"",INDEX(Parties!$E$5:$E$304,V453)&lt;&gt;"",INDEX(Parties!$E$5:$E$304,V453)&lt;&gt;HomeState),ROUND(L453*M453,2),0)),"")</f>
        <v/>
      </c>
      <c r="Q453" s="61" t="str">
        <f aca="false">IF(IsPro,IF($D453="","",L453+N453+O453+P453),"")</f>
        <v/>
      </c>
      <c r="R453" s="61" t="str">
        <f aca="false">IF(IsPro,IF($D453="","",ROUND(N($E453)*IFERROR(INDEX(Items!$P$5:$P$504,U453),0),2)),"")</f>
        <v/>
      </c>
      <c r="S453" s="61" t="str">
        <f aca="false">IF(IsPro,IF($D453="","",L453-R453),"")</f>
        <v/>
      </c>
      <c r="T453" s="60" t="str">
        <f aca="false">IF(IsPro,IF($D453="","",IF(U453="","UNKNOWN ITEM",IF(INDEX(Items!$O$5:$O$504,U453)&lt;0,"NEG STOCK",IF(K453&lt;INDEX(Items!$P$5:$P$504,U453),"BELOW COST","OK")))),IF($D453="","","PRO PLAN"))</f>
        <v/>
      </c>
      <c r="U453" s="60" t="str">
        <f aca="false">IF(IsPro,IF($D453="","",IFERROR(MATCH($D453,Items!$A$5:$A$504,0),"")),"")</f>
        <v/>
      </c>
      <c r="V453" s="60" t="str">
        <f aca="false">IF(IsPro,IF($C453="","",IFERROR(MATCH($C453,Parties!$A$5:$A$304,0),"")),"")</f>
        <v/>
      </c>
      <c r="W453" s="60" t="str">
        <f aca="false">IF(IsPro,IF($B453="","",IFERROR(VALUE(SUBSTITUTE($B453,InvPrefix,"")),0)),"")</f>
        <v/>
      </c>
      <c r="X453" s="61" t="str">
        <f aca="false">IF(IsPro,IF($D453="","",IF(OR($H453="",$H453="Credit"),0,Q453)),"")</f>
        <v/>
      </c>
    </row>
    <row r="454" customFormat="false" ht="15" hidden="false" customHeight="false" outlineLevel="0" collapsed="false">
      <c r="A454" s="55"/>
      <c r="B454" s="56"/>
      <c r="C454" s="56"/>
      <c r="D454" s="56"/>
      <c r="E454" s="57"/>
      <c r="F454" s="58"/>
      <c r="G454" s="59"/>
      <c r="H454" s="56"/>
      <c r="I454" s="56"/>
      <c r="J454" s="60" t="str">
        <f aca="false">IF(IsPro,IF($D454="","",IFERROR(INDEX(Items!$D$5:$D$504,U454),"")),"")</f>
        <v/>
      </c>
      <c r="K454" s="61" t="str">
        <f aca="false">IF(IsPro,IF($D454="","",IF($F454="",IFERROR(INDEX(Items!$H$5:$H$504,U454),0),$F454)),"")</f>
        <v/>
      </c>
      <c r="L454" s="61" t="str">
        <f aca="false">IF(IsPro,IF($D454="","",ROUND(N($E454)*K454*(1-N($G454)),2)),"")</f>
        <v/>
      </c>
      <c r="M454" s="62" t="str">
        <f aca="false">IF(IsPro,IF($D454="","",IFERROR(INDEX(Items!$F$5:$F$504,U454),0)),"")</f>
        <v/>
      </c>
      <c r="N454" s="61" t="str">
        <f aca="false">IF(IsPro,IF($D454="","",IF(AND(V454&lt;&gt;"",INDEX(Parties!$E$5:$E$304,V454)&lt;&gt;"",INDEX(Parties!$E$5:$E$304,V454)&lt;&gt;HomeState),0,ROUND(L454*M454/2,2))),"")</f>
        <v/>
      </c>
      <c r="O454" s="61" t="str">
        <f aca="false">IF(IsPro,IF($D454="","",N454),"")</f>
        <v/>
      </c>
      <c r="P454" s="61" t="str">
        <f aca="false">IF(IsPro,IF($D454="","",IF(AND(V454&lt;&gt;"",INDEX(Parties!$E$5:$E$304,V454)&lt;&gt;"",INDEX(Parties!$E$5:$E$304,V454)&lt;&gt;HomeState),ROUND(L454*M454,2),0)),"")</f>
        <v/>
      </c>
      <c r="Q454" s="61" t="str">
        <f aca="false">IF(IsPro,IF($D454="","",L454+N454+O454+P454),"")</f>
        <v/>
      </c>
      <c r="R454" s="61" t="str">
        <f aca="false">IF(IsPro,IF($D454="","",ROUND(N($E454)*IFERROR(INDEX(Items!$P$5:$P$504,U454),0),2)),"")</f>
        <v/>
      </c>
      <c r="S454" s="61" t="str">
        <f aca="false">IF(IsPro,IF($D454="","",L454-R454),"")</f>
        <v/>
      </c>
      <c r="T454" s="60" t="str">
        <f aca="false">IF(IsPro,IF($D454="","",IF(U454="","UNKNOWN ITEM",IF(INDEX(Items!$O$5:$O$504,U454)&lt;0,"NEG STOCK",IF(K454&lt;INDEX(Items!$P$5:$P$504,U454),"BELOW COST","OK")))),IF($D454="","","PRO PLAN"))</f>
        <v/>
      </c>
      <c r="U454" s="60" t="str">
        <f aca="false">IF(IsPro,IF($D454="","",IFERROR(MATCH($D454,Items!$A$5:$A$504,0),"")),"")</f>
        <v/>
      </c>
      <c r="V454" s="60" t="str">
        <f aca="false">IF(IsPro,IF($C454="","",IFERROR(MATCH($C454,Parties!$A$5:$A$304,0),"")),"")</f>
        <v/>
      </c>
      <c r="W454" s="60" t="str">
        <f aca="false">IF(IsPro,IF($B454="","",IFERROR(VALUE(SUBSTITUTE($B454,InvPrefix,"")),0)),"")</f>
        <v/>
      </c>
      <c r="X454" s="61" t="str">
        <f aca="false">IF(IsPro,IF($D454="","",IF(OR($H454="",$H454="Credit"),0,Q454)),"")</f>
        <v/>
      </c>
    </row>
    <row r="455" customFormat="false" ht="15" hidden="false" customHeight="false" outlineLevel="0" collapsed="false">
      <c r="A455" s="55"/>
      <c r="B455" s="56"/>
      <c r="C455" s="56"/>
      <c r="D455" s="56"/>
      <c r="E455" s="57"/>
      <c r="F455" s="58"/>
      <c r="G455" s="59"/>
      <c r="H455" s="56"/>
      <c r="I455" s="56"/>
      <c r="J455" s="60" t="str">
        <f aca="false">IF(IsPro,IF($D455="","",IFERROR(INDEX(Items!$D$5:$D$504,U455),"")),"")</f>
        <v/>
      </c>
      <c r="K455" s="61" t="str">
        <f aca="false">IF(IsPro,IF($D455="","",IF($F455="",IFERROR(INDEX(Items!$H$5:$H$504,U455),0),$F455)),"")</f>
        <v/>
      </c>
      <c r="L455" s="61" t="str">
        <f aca="false">IF(IsPro,IF($D455="","",ROUND(N($E455)*K455*(1-N($G455)),2)),"")</f>
        <v/>
      </c>
      <c r="M455" s="62" t="str">
        <f aca="false">IF(IsPro,IF($D455="","",IFERROR(INDEX(Items!$F$5:$F$504,U455),0)),"")</f>
        <v/>
      </c>
      <c r="N455" s="61" t="str">
        <f aca="false">IF(IsPro,IF($D455="","",IF(AND(V455&lt;&gt;"",INDEX(Parties!$E$5:$E$304,V455)&lt;&gt;"",INDEX(Parties!$E$5:$E$304,V455)&lt;&gt;HomeState),0,ROUND(L455*M455/2,2))),"")</f>
        <v/>
      </c>
      <c r="O455" s="61" t="str">
        <f aca="false">IF(IsPro,IF($D455="","",N455),"")</f>
        <v/>
      </c>
      <c r="P455" s="61" t="str">
        <f aca="false">IF(IsPro,IF($D455="","",IF(AND(V455&lt;&gt;"",INDEX(Parties!$E$5:$E$304,V455)&lt;&gt;"",INDEX(Parties!$E$5:$E$304,V455)&lt;&gt;HomeState),ROUND(L455*M455,2),0)),"")</f>
        <v/>
      </c>
      <c r="Q455" s="61" t="str">
        <f aca="false">IF(IsPro,IF($D455="","",L455+N455+O455+P455),"")</f>
        <v/>
      </c>
      <c r="R455" s="61" t="str">
        <f aca="false">IF(IsPro,IF($D455="","",ROUND(N($E455)*IFERROR(INDEX(Items!$P$5:$P$504,U455),0),2)),"")</f>
        <v/>
      </c>
      <c r="S455" s="61" t="str">
        <f aca="false">IF(IsPro,IF($D455="","",L455-R455),"")</f>
        <v/>
      </c>
      <c r="T455" s="60" t="str">
        <f aca="false">IF(IsPro,IF($D455="","",IF(U455="","UNKNOWN ITEM",IF(INDEX(Items!$O$5:$O$504,U455)&lt;0,"NEG STOCK",IF(K455&lt;INDEX(Items!$P$5:$P$504,U455),"BELOW COST","OK")))),IF($D455="","","PRO PLAN"))</f>
        <v/>
      </c>
      <c r="U455" s="60" t="str">
        <f aca="false">IF(IsPro,IF($D455="","",IFERROR(MATCH($D455,Items!$A$5:$A$504,0),"")),"")</f>
        <v/>
      </c>
      <c r="V455" s="60" t="str">
        <f aca="false">IF(IsPro,IF($C455="","",IFERROR(MATCH($C455,Parties!$A$5:$A$304,0),"")),"")</f>
        <v/>
      </c>
      <c r="W455" s="60" t="str">
        <f aca="false">IF(IsPro,IF($B455="","",IFERROR(VALUE(SUBSTITUTE($B455,InvPrefix,"")),0)),"")</f>
        <v/>
      </c>
      <c r="X455" s="61" t="str">
        <f aca="false">IF(IsPro,IF($D455="","",IF(OR($H455="",$H455="Credit"),0,Q455)),"")</f>
        <v/>
      </c>
    </row>
    <row r="456" customFormat="false" ht="15" hidden="false" customHeight="false" outlineLevel="0" collapsed="false">
      <c r="A456" s="55"/>
      <c r="B456" s="56"/>
      <c r="C456" s="56"/>
      <c r="D456" s="56"/>
      <c r="E456" s="57"/>
      <c r="F456" s="58"/>
      <c r="G456" s="59"/>
      <c r="H456" s="56"/>
      <c r="I456" s="56"/>
      <c r="J456" s="60" t="str">
        <f aca="false">IF(IsPro,IF($D456="","",IFERROR(INDEX(Items!$D$5:$D$504,U456),"")),"")</f>
        <v/>
      </c>
      <c r="K456" s="61" t="str">
        <f aca="false">IF(IsPro,IF($D456="","",IF($F456="",IFERROR(INDEX(Items!$H$5:$H$504,U456),0),$F456)),"")</f>
        <v/>
      </c>
      <c r="L456" s="61" t="str">
        <f aca="false">IF(IsPro,IF($D456="","",ROUND(N($E456)*K456*(1-N($G456)),2)),"")</f>
        <v/>
      </c>
      <c r="M456" s="62" t="str">
        <f aca="false">IF(IsPro,IF($D456="","",IFERROR(INDEX(Items!$F$5:$F$504,U456),0)),"")</f>
        <v/>
      </c>
      <c r="N456" s="61" t="str">
        <f aca="false">IF(IsPro,IF($D456="","",IF(AND(V456&lt;&gt;"",INDEX(Parties!$E$5:$E$304,V456)&lt;&gt;"",INDEX(Parties!$E$5:$E$304,V456)&lt;&gt;HomeState),0,ROUND(L456*M456/2,2))),"")</f>
        <v/>
      </c>
      <c r="O456" s="61" t="str">
        <f aca="false">IF(IsPro,IF($D456="","",N456),"")</f>
        <v/>
      </c>
      <c r="P456" s="61" t="str">
        <f aca="false">IF(IsPro,IF($D456="","",IF(AND(V456&lt;&gt;"",INDEX(Parties!$E$5:$E$304,V456)&lt;&gt;"",INDEX(Parties!$E$5:$E$304,V456)&lt;&gt;HomeState),ROUND(L456*M456,2),0)),"")</f>
        <v/>
      </c>
      <c r="Q456" s="61" t="str">
        <f aca="false">IF(IsPro,IF($D456="","",L456+N456+O456+P456),"")</f>
        <v/>
      </c>
      <c r="R456" s="61" t="str">
        <f aca="false">IF(IsPro,IF($D456="","",ROUND(N($E456)*IFERROR(INDEX(Items!$P$5:$P$504,U456),0),2)),"")</f>
        <v/>
      </c>
      <c r="S456" s="61" t="str">
        <f aca="false">IF(IsPro,IF($D456="","",L456-R456),"")</f>
        <v/>
      </c>
      <c r="T456" s="60" t="str">
        <f aca="false">IF(IsPro,IF($D456="","",IF(U456="","UNKNOWN ITEM",IF(INDEX(Items!$O$5:$O$504,U456)&lt;0,"NEG STOCK",IF(K456&lt;INDEX(Items!$P$5:$P$504,U456),"BELOW COST","OK")))),IF($D456="","","PRO PLAN"))</f>
        <v/>
      </c>
      <c r="U456" s="60" t="str">
        <f aca="false">IF(IsPro,IF($D456="","",IFERROR(MATCH($D456,Items!$A$5:$A$504,0),"")),"")</f>
        <v/>
      </c>
      <c r="V456" s="60" t="str">
        <f aca="false">IF(IsPro,IF($C456="","",IFERROR(MATCH($C456,Parties!$A$5:$A$304,0),"")),"")</f>
        <v/>
      </c>
      <c r="W456" s="60" t="str">
        <f aca="false">IF(IsPro,IF($B456="","",IFERROR(VALUE(SUBSTITUTE($B456,InvPrefix,"")),0)),"")</f>
        <v/>
      </c>
      <c r="X456" s="61" t="str">
        <f aca="false">IF(IsPro,IF($D456="","",IF(OR($H456="",$H456="Credit"),0,Q456)),"")</f>
        <v/>
      </c>
    </row>
    <row r="457" customFormat="false" ht="15" hidden="false" customHeight="false" outlineLevel="0" collapsed="false">
      <c r="A457" s="55"/>
      <c r="B457" s="56"/>
      <c r="C457" s="56"/>
      <c r="D457" s="56"/>
      <c r="E457" s="57"/>
      <c r="F457" s="58"/>
      <c r="G457" s="59"/>
      <c r="H457" s="56"/>
      <c r="I457" s="56"/>
      <c r="J457" s="60" t="str">
        <f aca="false">IF(IsPro,IF($D457="","",IFERROR(INDEX(Items!$D$5:$D$504,U457),"")),"")</f>
        <v/>
      </c>
      <c r="K457" s="61" t="str">
        <f aca="false">IF(IsPro,IF($D457="","",IF($F457="",IFERROR(INDEX(Items!$H$5:$H$504,U457),0),$F457)),"")</f>
        <v/>
      </c>
      <c r="L457" s="61" t="str">
        <f aca="false">IF(IsPro,IF($D457="","",ROUND(N($E457)*K457*(1-N($G457)),2)),"")</f>
        <v/>
      </c>
      <c r="M457" s="62" t="str">
        <f aca="false">IF(IsPro,IF($D457="","",IFERROR(INDEX(Items!$F$5:$F$504,U457),0)),"")</f>
        <v/>
      </c>
      <c r="N457" s="61" t="str">
        <f aca="false">IF(IsPro,IF($D457="","",IF(AND(V457&lt;&gt;"",INDEX(Parties!$E$5:$E$304,V457)&lt;&gt;"",INDEX(Parties!$E$5:$E$304,V457)&lt;&gt;HomeState),0,ROUND(L457*M457/2,2))),"")</f>
        <v/>
      </c>
      <c r="O457" s="61" t="str">
        <f aca="false">IF(IsPro,IF($D457="","",N457),"")</f>
        <v/>
      </c>
      <c r="P457" s="61" t="str">
        <f aca="false">IF(IsPro,IF($D457="","",IF(AND(V457&lt;&gt;"",INDEX(Parties!$E$5:$E$304,V457)&lt;&gt;"",INDEX(Parties!$E$5:$E$304,V457)&lt;&gt;HomeState),ROUND(L457*M457,2),0)),"")</f>
        <v/>
      </c>
      <c r="Q457" s="61" t="str">
        <f aca="false">IF(IsPro,IF($D457="","",L457+N457+O457+P457),"")</f>
        <v/>
      </c>
      <c r="R457" s="61" t="str">
        <f aca="false">IF(IsPro,IF($D457="","",ROUND(N($E457)*IFERROR(INDEX(Items!$P$5:$P$504,U457),0),2)),"")</f>
        <v/>
      </c>
      <c r="S457" s="61" t="str">
        <f aca="false">IF(IsPro,IF($D457="","",L457-R457),"")</f>
        <v/>
      </c>
      <c r="T457" s="60" t="str">
        <f aca="false">IF(IsPro,IF($D457="","",IF(U457="","UNKNOWN ITEM",IF(INDEX(Items!$O$5:$O$504,U457)&lt;0,"NEG STOCK",IF(K457&lt;INDEX(Items!$P$5:$P$504,U457),"BELOW COST","OK")))),IF($D457="","","PRO PLAN"))</f>
        <v/>
      </c>
      <c r="U457" s="60" t="str">
        <f aca="false">IF(IsPro,IF($D457="","",IFERROR(MATCH($D457,Items!$A$5:$A$504,0),"")),"")</f>
        <v/>
      </c>
      <c r="V457" s="60" t="str">
        <f aca="false">IF(IsPro,IF($C457="","",IFERROR(MATCH($C457,Parties!$A$5:$A$304,0),"")),"")</f>
        <v/>
      </c>
      <c r="W457" s="60" t="str">
        <f aca="false">IF(IsPro,IF($B457="","",IFERROR(VALUE(SUBSTITUTE($B457,InvPrefix,"")),0)),"")</f>
        <v/>
      </c>
      <c r="X457" s="61" t="str">
        <f aca="false">IF(IsPro,IF($D457="","",IF(OR($H457="",$H457="Credit"),0,Q457)),"")</f>
        <v/>
      </c>
    </row>
    <row r="458" customFormat="false" ht="15" hidden="false" customHeight="false" outlineLevel="0" collapsed="false">
      <c r="A458" s="55"/>
      <c r="B458" s="56"/>
      <c r="C458" s="56"/>
      <c r="D458" s="56"/>
      <c r="E458" s="57"/>
      <c r="F458" s="58"/>
      <c r="G458" s="59"/>
      <c r="H458" s="56"/>
      <c r="I458" s="56"/>
      <c r="J458" s="60" t="str">
        <f aca="false">IF(IsPro,IF($D458="","",IFERROR(INDEX(Items!$D$5:$D$504,U458),"")),"")</f>
        <v/>
      </c>
      <c r="K458" s="61" t="str">
        <f aca="false">IF(IsPro,IF($D458="","",IF($F458="",IFERROR(INDEX(Items!$H$5:$H$504,U458),0),$F458)),"")</f>
        <v/>
      </c>
      <c r="L458" s="61" t="str">
        <f aca="false">IF(IsPro,IF($D458="","",ROUND(N($E458)*K458*(1-N($G458)),2)),"")</f>
        <v/>
      </c>
      <c r="M458" s="62" t="str">
        <f aca="false">IF(IsPro,IF($D458="","",IFERROR(INDEX(Items!$F$5:$F$504,U458),0)),"")</f>
        <v/>
      </c>
      <c r="N458" s="61" t="str">
        <f aca="false">IF(IsPro,IF($D458="","",IF(AND(V458&lt;&gt;"",INDEX(Parties!$E$5:$E$304,V458)&lt;&gt;"",INDEX(Parties!$E$5:$E$304,V458)&lt;&gt;HomeState),0,ROUND(L458*M458/2,2))),"")</f>
        <v/>
      </c>
      <c r="O458" s="61" t="str">
        <f aca="false">IF(IsPro,IF($D458="","",N458),"")</f>
        <v/>
      </c>
      <c r="P458" s="61" t="str">
        <f aca="false">IF(IsPro,IF($D458="","",IF(AND(V458&lt;&gt;"",INDEX(Parties!$E$5:$E$304,V458)&lt;&gt;"",INDEX(Parties!$E$5:$E$304,V458)&lt;&gt;HomeState),ROUND(L458*M458,2),0)),"")</f>
        <v/>
      </c>
      <c r="Q458" s="61" t="str">
        <f aca="false">IF(IsPro,IF($D458="","",L458+N458+O458+P458),"")</f>
        <v/>
      </c>
      <c r="R458" s="61" t="str">
        <f aca="false">IF(IsPro,IF($D458="","",ROUND(N($E458)*IFERROR(INDEX(Items!$P$5:$P$504,U458),0),2)),"")</f>
        <v/>
      </c>
      <c r="S458" s="61" t="str">
        <f aca="false">IF(IsPro,IF($D458="","",L458-R458),"")</f>
        <v/>
      </c>
      <c r="T458" s="60" t="str">
        <f aca="false">IF(IsPro,IF($D458="","",IF(U458="","UNKNOWN ITEM",IF(INDEX(Items!$O$5:$O$504,U458)&lt;0,"NEG STOCK",IF(K458&lt;INDEX(Items!$P$5:$P$504,U458),"BELOW COST","OK")))),IF($D458="","","PRO PLAN"))</f>
        <v/>
      </c>
      <c r="U458" s="60" t="str">
        <f aca="false">IF(IsPro,IF($D458="","",IFERROR(MATCH($D458,Items!$A$5:$A$504,0),"")),"")</f>
        <v/>
      </c>
      <c r="V458" s="60" t="str">
        <f aca="false">IF(IsPro,IF($C458="","",IFERROR(MATCH($C458,Parties!$A$5:$A$304,0),"")),"")</f>
        <v/>
      </c>
      <c r="W458" s="60" t="str">
        <f aca="false">IF(IsPro,IF($B458="","",IFERROR(VALUE(SUBSTITUTE($B458,InvPrefix,"")),0)),"")</f>
        <v/>
      </c>
      <c r="X458" s="61" t="str">
        <f aca="false">IF(IsPro,IF($D458="","",IF(OR($H458="",$H458="Credit"),0,Q458)),"")</f>
        <v/>
      </c>
    </row>
    <row r="459" customFormat="false" ht="15" hidden="false" customHeight="false" outlineLevel="0" collapsed="false">
      <c r="A459" s="55"/>
      <c r="B459" s="56"/>
      <c r="C459" s="56"/>
      <c r="D459" s="56"/>
      <c r="E459" s="57"/>
      <c r="F459" s="58"/>
      <c r="G459" s="59"/>
      <c r="H459" s="56"/>
      <c r="I459" s="56"/>
      <c r="J459" s="60" t="str">
        <f aca="false">IF(IsPro,IF($D459="","",IFERROR(INDEX(Items!$D$5:$D$504,U459),"")),"")</f>
        <v/>
      </c>
      <c r="K459" s="61" t="str">
        <f aca="false">IF(IsPro,IF($D459="","",IF($F459="",IFERROR(INDEX(Items!$H$5:$H$504,U459),0),$F459)),"")</f>
        <v/>
      </c>
      <c r="L459" s="61" t="str">
        <f aca="false">IF(IsPro,IF($D459="","",ROUND(N($E459)*K459*(1-N($G459)),2)),"")</f>
        <v/>
      </c>
      <c r="M459" s="62" t="str">
        <f aca="false">IF(IsPro,IF($D459="","",IFERROR(INDEX(Items!$F$5:$F$504,U459),0)),"")</f>
        <v/>
      </c>
      <c r="N459" s="61" t="str">
        <f aca="false">IF(IsPro,IF($D459="","",IF(AND(V459&lt;&gt;"",INDEX(Parties!$E$5:$E$304,V459)&lt;&gt;"",INDEX(Parties!$E$5:$E$304,V459)&lt;&gt;HomeState),0,ROUND(L459*M459/2,2))),"")</f>
        <v/>
      </c>
      <c r="O459" s="61" t="str">
        <f aca="false">IF(IsPro,IF($D459="","",N459),"")</f>
        <v/>
      </c>
      <c r="P459" s="61" t="str">
        <f aca="false">IF(IsPro,IF($D459="","",IF(AND(V459&lt;&gt;"",INDEX(Parties!$E$5:$E$304,V459)&lt;&gt;"",INDEX(Parties!$E$5:$E$304,V459)&lt;&gt;HomeState),ROUND(L459*M459,2),0)),"")</f>
        <v/>
      </c>
      <c r="Q459" s="61" t="str">
        <f aca="false">IF(IsPro,IF($D459="","",L459+N459+O459+P459),"")</f>
        <v/>
      </c>
      <c r="R459" s="61" t="str">
        <f aca="false">IF(IsPro,IF($D459="","",ROUND(N($E459)*IFERROR(INDEX(Items!$P$5:$P$504,U459),0),2)),"")</f>
        <v/>
      </c>
      <c r="S459" s="61" t="str">
        <f aca="false">IF(IsPro,IF($D459="","",L459-R459),"")</f>
        <v/>
      </c>
      <c r="T459" s="60" t="str">
        <f aca="false">IF(IsPro,IF($D459="","",IF(U459="","UNKNOWN ITEM",IF(INDEX(Items!$O$5:$O$504,U459)&lt;0,"NEG STOCK",IF(K459&lt;INDEX(Items!$P$5:$P$504,U459),"BELOW COST","OK")))),IF($D459="","","PRO PLAN"))</f>
        <v/>
      </c>
      <c r="U459" s="60" t="str">
        <f aca="false">IF(IsPro,IF($D459="","",IFERROR(MATCH($D459,Items!$A$5:$A$504,0),"")),"")</f>
        <v/>
      </c>
      <c r="V459" s="60" t="str">
        <f aca="false">IF(IsPro,IF($C459="","",IFERROR(MATCH($C459,Parties!$A$5:$A$304,0),"")),"")</f>
        <v/>
      </c>
      <c r="W459" s="60" t="str">
        <f aca="false">IF(IsPro,IF($B459="","",IFERROR(VALUE(SUBSTITUTE($B459,InvPrefix,"")),0)),"")</f>
        <v/>
      </c>
      <c r="X459" s="61" t="str">
        <f aca="false">IF(IsPro,IF($D459="","",IF(OR($H459="",$H459="Credit"),0,Q459)),"")</f>
        <v/>
      </c>
    </row>
    <row r="460" customFormat="false" ht="15" hidden="false" customHeight="false" outlineLevel="0" collapsed="false">
      <c r="A460" s="55"/>
      <c r="B460" s="56"/>
      <c r="C460" s="56"/>
      <c r="D460" s="56"/>
      <c r="E460" s="57"/>
      <c r="F460" s="58"/>
      <c r="G460" s="59"/>
      <c r="H460" s="56"/>
      <c r="I460" s="56"/>
      <c r="J460" s="60" t="str">
        <f aca="false">IF(IsPro,IF($D460="","",IFERROR(INDEX(Items!$D$5:$D$504,U460),"")),"")</f>
        <v/>
      </c>
      <c r="K460" s="61" t="str">
        <f aca="false">IF(IsPro,IF($D460="","",IF($F460="",IFERROR(INDEX(Items!$H$5:$H$504,U460),0),$F460)),"")</f>
        <v/>
      </c>
      <c r="L460" s="61" t="str">
        <f aca="false">IF(IsPro,IF($D460="","",ROUND(N($E460)*K460*(1-N($G460)),2)),"")</f>
        <v/>
      </c>
      <c r="M460" s="62" t="str">
        <f aca="false">IF(IsPro,IF($D460="","",IFERROR(INDEX(Items!$F$5:$F$504,U460),0)),"")</f>
        <v/>
      </c>
      <c r="N460" s="61" t="str">
        <f aca="false">IF(IsPro,IF($D460="","",IF(AND(V460&lt;&gt;"",INDEX(Parties!$E$5:$E$304,V460)&lt;&gt;"",INDEX(Parties!$E$5:$E$304,V460)&lt;&gt;HomeState),0,ROUND(L460*M460/2,2))),"")</f>
        <v/>
      </c>
      <c r="O460" s="61" t="str">
        <f aca="false">IF(IsPro,IF($D460="","",N460),"")</f>
        <v/>
      </c>
      <c r="P460" s="61" t="str">
        <f aca="false">IF(IsPro,IF($D460="","",IF(AND(V460&lt;&gt;"",INDEX(Parties!$E$5:$E$304,V460)&lt;&gt;"",INDEX(Parties!$E$5:$E$304,V460)&lt;&gt;HomeState),ROUND(L460*M460,2),0)),"")</f>
        <v/>
      </c>
      <c r="Q460" s="61" t="str">
        <f aca="false">IF(IsPro,IF($D460="","",L460+N460+O460+P460),"")</f>
        <v/>
      </c>
      <c r="R460" s="61" t="str">
        <f aca="false">IF(IsPro,IF($D460="","",ROUND(N($E460)*IFERROR(INDEX(Items!$P$5:$P$504,U460),0),2)),"")</f>
        <v/>
      </c>
      <c r="S460" s="61" t="str">
        <f aca="false">IF(IsPro,IF($D460="","",L460-R460),"")</f>
        <v/>
      </c>
      <c r="T460" s="60" t="str">
        <f aca="false">IF(IsPro,IF($D460="","",IF(U460="","UNKNOWN ITEM",IF(INDEX(Items!$O$5:$O$504,U460)&lt;0,"NEG STOCK",IF(K460&lt;INDEX(Items!$P$5:$P$504,U460),"BELOW COST","OK")))),IF($D460="","","PRO PLAN"))</f>
        <v/>
      </c>
      <c r="U460" s="60" t="str">
        <f aca="false">IF(IsPro,IF($D460="","",IFERROR(MATCH($D460,Items!$A$5:$A$504,0),"")),"")</f>
        <v/>
      </c>
      <c r="V460" s="60" t="str">
        <f aca="false">IF(IsPro,IF($C460="","",IFERROR(MATCH($C460,Parties!$A$5:$A$304,0),"")),"")</f>
        <v/>
      </c>
      <c r="W460" s="60" t="str">
        <f aca="false">IF(IsPro,IF($B460="","",IFERROR(VALUE(SUBSTITUTE($B460,InvPrefix,"")),0)),"")</f>
        <v/>
      </c>
      <c r="X460" s="61" t="str">
        <f aca="false">IF(IsPro,IF($D460="","",IF(OR($H460="",$H460="Credit"),0,Q460)),"")</f>
        <v/>
      </c>
    </row>
    <row r="461" customFormat="false" ht="15" hidden="false" customHeight="false" outlineLevel="0" collapsed="false">
      <c r="A461" s="55"/>
      <c r="B461" s="56"/>
      <c r="C461" s="56"/>
      <c r="D461" s="56"/>
      <c r="E461" s="57"/>
      <c r="F461" s="58"/>
      <c r="G461" s="59"/>
      <c r="H461" s="56"/>
      <c r="I461" s="56"/>
      <c r="J461" s="60" t="str">
        <f aca="false">IF(IsPro,IF($D461="","",IFERROR(INDEX(Items!$D$5:$D$504,U461),"")),"")</f>
        <v/>
      </c>
      <c r="K461" s="61" t="str">
        <f aca="false">IF(IsPro,IF($D461="","",IF($F461="",IFERROR(INDEX(Items!$H$5:$H$504,U461),0),$F461)),"")</f>
        <v/>
      </c>
      <c r="L461" s="61" t="str">
        <f aca="false">IF(IsPro,IF($D461="","",ROUND(N($E461)*K461*(1-N($G461)),2)),"")</f>
        <v/>
      </c>
      <c r="M461" s="62" t="str">
        <f aca="false">IF(IsPro,IF($D461="","",IFERROR(INDEX(Items!$F$5:$F$504,U461),0)),"")</f>
        <v/>
      </c>
      <c r="N461" s="61" t="str">
        <f aca="false">IF(IsPro,IF($D461="","",IF(AND(V461&lt;&gt;"",INDEX(Parties!$E$5:$E$304,V461)&lt;&gt;"",INDEX(Parties!$E$5:$E$304,V461)&lt;&gt;HomeState),0,ROUND(L461*M461/2,2))),"")</f>
        <v/>
      </c>
      <c r="O461" s="61" t="str">
        <f aca="false">IF(IsPro,IF($D461="","",N461),"")</f>
        <v/>
      </c>
      <c r="P461" s="61" t="str">
        <f aca="false">IF(IsPro,IF($D461="","",IF(AND(V461&lt;&gt;"",INDEX(Parties!$E$5:$E$304,V461)&lt;&gt;"",INDEX(Parties!$E$5:$E$304,V461)&lt;&gt;HomeState),ROUND(L461*M461,2),0)),"")</f>
        <v/>
      </c>
      <c r="Q461" s="61" t="str">
        <f aca="false">IF(IsPro,IF($D461="","",L461+N461+O461+P461),"")</f>
        <v/>
      </c>
      <c r="R461" s="61" t="str">
        <f aca="false">IF(IsPro,IF($D461="","",ROUND(N($E461)*IFERROR(INDEX(Items!$P$5:$P$504,U461),0),2)),"")</f>
        <v/>
      </c>
      <c r="S461" s="61" t="str">
        <f aca="false">IF(IsPro,IF($D461="","",L461-R461),"")</f>
        <v/>
      </c>
      <c r="T461" s="60" t="str">
        <f aca="false">IF(IsPro,IF($D461="","",IF(U461="","UNKNOWN ITEM",IF(INDEX(Items!$O$5:$O$504,U461)&lt;0,"NEG STOCK",IF(K461&lt;INDEX(Items!$P$5:$P$504,U461),"BELOW COST","OK")))),IF($D461="","","PRO PLAN"))</f>
        <v/>
      </c>
      <c r="U461" s="60" t="str">
        <f aca="false">IF(IsPro,IF($D461="","",IFERROR(MATCH($D461,Items!$A$5:$A$504,0),"")),"")</f>
        <v/>
      </c>
      <c r="V461" s="60" t="str">
        <f aca="false">IF(IsPro,IF($C461="","",IFERROR(MATCH($C461,Parties!$A$5:$A$304,0),"")),"")</f>
        <v/>
      </c>
      <c r="W461" s="60" t="str">
        <f aca="false">IF(IsPro,IF($B461="","",IFERROR(VALUE(SUBSTITUTE($B461,InvPrefix,"")),0)),"")</f>
        <v/>
      </c>
      <c r="X461" s="61" t="str">
        <f aca="false">IF(IsPro,IF($D461="","",IF(OR($H461="",$H461="Credit"),0,Q461)),"")</f>
        <v/>
      </c>
    </row>
    <row r="462" customFormat="false" ht="15" hidden="false" customHeight="false" outlineLevel="0" collapsed="false">
      <c r="A462" s="55"/>
      <c r="B462" s="56"/>
      <c r="C462" s="56"/>
      <c r="D462" s="56"/>
      <c r="E462" s="57"/>
      <c r="F462" s="58"/>
      <c r="G462" s="59"/>
      <c r="H462" s="56"/>
      <c r="I462" s="56"/>
      <c r="J462" s="60" t="str">
        <f aca="false">IF(IsPro,IF($D462="","",IFERROR(INDEX(Items!$D$5:$D$504,U462),"")),"")</f>
        <v/>
      </c>
      <c r="K462" s="61" t="str">
        <f aca="false">IF(IsPro,IF($D462="","",IF($F462="",IFERROR(INDEX(Items!$H$5:$H$504,U462),0),$F462)),"")</f>
        <v/>
      </c>
      <c r="L462" s="61" t="str">
        <f aca="false">IF(IsPro,IF($D462="","",ROUND(N($E462)*K462*(1-N($G462)),2)),"")</f>
        <v/>
      </c>
      <c r="M462" s="62" t="str">
        <f aca="false">IF(IsPro,IF($D462="","",IFERROR(INDEX(Items!$F$5:$F$504,U462),0)),"")</f>
        <v/>
      </c>
      <c r="N462" s="61" t="str">
        <f aca="false">IF(IsPro,IF($D462="","",IF(AND(V462&lt;&gt;"",INDEX(Parties!$E$5:$E$304,V462)&lt;&gt;"",INDEX(Parties!$E$5:$E$304,V462)&lt;&gt;HomeState),0,ROUND(L462*M462/2,2))),"")</f>
        <v/>
      </c>
      <c r="O462" s="61" t="str">
        <f aca="false">IF(IsPro,IF($D462="","",N462),"")</f>
        <v/>
      </c>
      <c r="P462" s="61" t="str">
        <f aca="false">IF(IsPro,IF($D462="","",IF(AND(V462&lt;&gt;"",INDEX(Parties!$E$5:$E$304,V462)&lt;&gt;"",INDEX(Parties!$E$5:$E$304,V462)&lt;&gt;HomeState),ROUND(L462*M462,2),0)),"")</f>
        <v/>
      </c>
      <c r="Q462" s="61" t="str">
        <f aca="false">IF(IsPro,IF($D462="","",L462+N462+O462+P462),"")</f>
        <v/>
      </c>
      <c r="R462" s="61" t="str">
        <f aca="false">IF(IsPro,IF($D462="","",ROUND(N($E462)*IFERROR(INDEX(Items!$P$5:$P$504,U462),0),2)),"")</f>
        <v/>
      </c>
      <c r="S462" s="61" t="str">
        <f aca="false">IF(IsPro,IF($D462="","",L462-R462),"")</f>
        <v/>
      </c>
      <c r="T462" s="60" t="str">
        <f aca="false">IF(IsPro,IF($D462="","",IF(U462="","UNKNOWN ITEM",IF(INDEX(Items!$O$5:$O$504,U462)&lt;0,"NEG STOCK",IF(K462&lt;INDEX(Items!$P$5:$P$504,U462),"BELOW COST","OK")))),IF($D462="","","PRO PLAN"))</f>
        <v/>
      </c>
      <c r="U462" s="60" t="str">
        <f aca="false">IF(IsPro,IF($D462="","",IFERROR(MATCH($D462,Items!$A$5:$A$504,0),"")),"")</f>
        <v/>
      </c>
      <c r="V462" s="60" t="str">
        <f aca="false">IF(IsPro,IF($C462="","",IFERROR(MATCH($C462,Parties!$A$5:$A$304,0),"")),"")</f>
        <v/>
      </c>
      <c r="W462" s="60" t="str">
        <f aca="false">IF(IsPro,IF($B462="","",IFERROR(VALUE(SUBSTITUTE($B462,InvPrefix,"")),0)),"")</f>
        <v/>
      </c>
      <c r="X462" s="61" t="str">
        <f aca="false">IF(IsPro,IF($D462="","",IF(OR($H462="",$H462="Credit"),0,Q462)),"")</f>
        <v/>
      </c>
    </row>
    <row r="463" customFormat="false" ht="15" hidden="false" customHeight="false" outlineLevel="0" collapsed="false">
      <c r="A463" s="55"/>
      <c r="B463" s="56"/>
      <c r="C463" s="56"/>
      <c r="D463" s="56"/>
      <c r="E463" s="57"/>
      <c r="F463" s="58"/>
      <c r="G463" s="59"/>
      <c r="H463" s="56"/>
      <c r="I463" s="56"/>
      <c r="J463" s="60" t="str">
        <f aca="false">IF(IsPro,IF($D463="","",IFERROR(INDEX(Items!$D$5:$D$504,U463),"")),"")</f>
        <v/>
      </c>
      <c r="K463" s="61" t="str">
        <f aca="false">IF(IsPro,IF($D463="","",IF($F463="",IFERROR(INDEX(Items!$H$5:$H$504,U463),0),$F463)),"")</f>
        <v/>
      </c>
      <c r="L463" s="61" t="str">
        <f aca="false">IF(IsPro,IF($D463="","",ROUND(N($E463)*K463*(1-N($G463)),2)),"")</f>
        <v/>
      </c>
      <c r="M463" s="62" t="str">
        <f aca="false">IF(IsPro,IF($D463="","",IFERROR(INDEX(Items!$F$5:$F$504,U463),0)),"")</f>
        <v/>
      </c>
      <c r="N463" s="61" t="str">
        <f aca="false">IF(IsPro,IF($D463="","",IF(AND(V463&lt;&gt;"",INDEX(Parties!$E$5:$E$304,V463)&lt;&gt;"",INDEX(Parties!$E$5:$E$304,V463)&lt;&gt;HomeState),0,ROUND(L463*M463/2,2))),"")</f>
        <v/>
      </c>
      <c r="O463" s="61" t="str">
        <f aca="false">IF(IsPro,IF($D463="","",N463),"")</f>
        <v/>
      </c>
      <c r="P463" s="61" t="str">
        <f aca="false">IF(IsPro,IF($D463="","",IF(AND(V463&lt;&gt;"",INDEX(Parties!$E$5:$E$304,V463)&lt;&gt;"",INDEX(Parties!$E$5:$E$304,V463)&lt;&gt;HomeState),ROUND(L463*M463,2),0)),"")</f>
        <v/>
      </c>
      <c r="Q463" s="61" t="str">
        <f aca="false">IF(IsPro,IF($D463="","",L463+N463+O463+P463),"")</f>
        <v/>
      </c>
      <c r="R463" s="61" t="str">
        <f aca="false">IF(IsPro,IF($D463="","",ROUND(N($E463)*IFERROR(INDEX(Items!$P$5:$P$504,U463),0),2)),"")</f>
        <v/>
      </c>
      <c r="S463" s="61" t="str">
        <f aca="false">IF(IsPro,IF($D463="","",L463-R463),"")</f>
        <v/>
      </c>
      <c r="T463" s="60" t="str">
        <f aca="false">IF(IsPro,IF($D463="","",IF(U463="","UNKNOWN ITEM",IF(INDEX(Items!$O$5:$O$504,U463)&lt;0,"NEG STOCK",IF(K463&lt;INDEX(Items!$P$5:$P$504,U463),"BELOW COST","OK")))),IF($D463="","","PRO PLAN"))</f>
        <v/>
      </c>
      <c r="U463" s="60" t="str">
        <f aca="false">IF(IsPro,IF($D463="","",IFERROR(MATCH($D463,Items!$A$5:$A$504,0),"")),"")</f>
        <v/>
      </c>
      <c r="V463" s="60" t="str">
        <f aca="false">IF(IsPro,IF($C463="","",IFERROR(MATCH($C463,Parties!$A$5:$A$304,0),"")),"")</f>
        <v/>
      </c>
      <c r="W463" s="60" t="str">
        <f aca="false">IF(IsPro,IF($B463="","",IFERROR(VALUE(SUBSTITUTE($B463,InvPrefix,"")),0)),"")</f>
        <v/>
      </c>
      <c r="X463" s="61" t="str">
        <f aca="false">IF(IsPro,IF($D463="","",IF(OR($H463="",$H463="Credit"),0,Q463)),"")</f>
        <v/>
      </c>
    </row>
    <row r="464" customFormat="false" ht="15" hidden="false" customHeight="false" outlineLevel="0" collapsed="false">
      <c r="A464" s="55"/>
      <c r="B464" s="56"/>
      <c r="C464" s="56"/>
      <c r="D464" s="56"/>
      <c r="E464" s="57"/>
      <c r="F464" s="58"/>
      <c r="G464" s="59"/>
      <c r="H464" s="56"/>
      <c r="I464" s="56"/>
      <c r="J464" s="60" t="str">
        <f aca="false">IF(IsPro,IF($D464="","",IFERROR(INDEX(Items!$D$5:$D$504,U464),"")),"")</f>
        <v/>
      </c>
      <c r="K464" s="61" t="str">
        <f aca="false">IF(IsPro,IF($D464="","",IF($F464="",IFERROR(INDEX(Items!$H$5:$H$504,U464),0),$F464)),"")</f>
        <v/>
      </c>
      <c r="L464" s="61" t="str">
        <f aca="false">IF(IsPro,IF($D464="","",ROUND(N($E464)*K464*(1-N($G464)),2)),"")</f>
        <v/>
      </c>
      <c r="M464" s="62" t="str">
        <f aca="false">IF(IsPro,IF($D464="","",IFERROR(INDEX(Items!$F$5:$F$504,U464),0)),"")</f>
        <v/>
      </c>
      <c r="N464" s="61" t="str">
        <f aca="false">IF(IsPro,IF($D464="","",IF(AND(V464&lt;&gt;"",INDEX(Parties!$E$5:$E$304,V464)&lt;&gt;"",INDEX(Parties!$E$5:$E$304,V464)&lt;&gt;HomeState),0,ROUND(L464*M464/2,2))),"")</f>
        <v/>
      </c>
      <c r="O464" s="61" t="str">
        <f aca="false">IF(IsPro,IF($D464="","",N464),"")</f>
        <v/>
      </c>
      <c r="P464" s="61" t="str">
        <f aca="false">IF(IsPro,IF($D464="","",IF(AND(V464&lt;&gt;"",INDEX(Parties!$E$5:$E$304,V464)&lt;&gt;"",INDEX(Parties!$E$5:$E$304,V464)&lt;&gt;HomeState),ROUND(L464*M464,2),0)),"")</f>
        <v/>
      </c>
      <c r="Q464" s="61" t="str">
        <f aca="false">IF(IsPro,IF($D464="","",L464+N464+O464+P464),"")</f>
        <v/>
      </c>
      <c r="R464" s="61" t="str">
        <f aca="false">IF(IsPro,IF($D464="","",ROUND(N($E464)*IFERROR(INDEX(Items!$P$5:$P$504,U464),0),2)),"")</f>
        <v/>
      </c>
      <c r="S464" s="61" t="str">
        <f aca="false">IF(IsPro,IF($D464="","",L464-R464),"")</f>
        <v/>
      </c>
      <c r="T464" s="60" t="str">
        <f aca="false">IF(IsPro,IF($D464="","",IF(U464="","UNKNOWN ITEM",IF(INDEX(Items!$O$5:$O$504,U464)&lt;0,"NEG STOCK",IF(K464&lt;INDEX(Items!$P$5:$P$504,U464),"BELOW COST","OK")))),IF($D464="","","PRO PLAN"))</f>
        <v/>
      </c>
      <c r="U464" s="60" t="str">
        <f aca="false">IF(IsPro,IF($D464="","",IFERROR(MATCH($D464,Items!$A$5:$A$504,0),"")),"")</f>
        <v/>
      </c>
      <c r="V464" s="60" t="str">
        <f aca="false">IF(IsPro,IF($C464="","",IFERROR(MATCH($C464,Parties!$A$5:$A$304,0),"")),"")</f>
        <v/>
      </c>
      <c r="W464" s="60" t="str">
        <f aca="false">IF(IsPro,IF($B464="","",IFERROR(VALUE(SUBSTITUTE($B464,InvPrefix,"")),0)),"")</f>
        <v/>
      </c>
      <c r="X464" s="61" t="str">
        <f aca="false">IF(IsPro,IF($D464="","",IF(OR($H464="",$H464="Credit"),0,Q464)),"")</f>
        <v/>
      </c>
    </row>
    <row r="465" customFormat="false" ht="15" hidden="false" customHeight="false" outlineLevel="0" collapsed="false">
      <c r="A465" s="55"/>
      <c r="B465" s="56"/>
      <c r="C465" s="56"/>
      <c r="D465" s="56"/>
      <c r="E465" s="57"/>
      <c r="F465" s="58"/>
      <c r="G465" s="59"/>
      <c r="H465" s="56"/>
      <c r="I465" s="56"/>
      <c r="J465" s="60" t="str">
        <f aca="false">IF(IsPro,IF($D465="","",IFERROR(INDEX(Items!$D$5:$D$504,U465),"")),"")</f>
        <v/>
      </c>
      <c r="K465" s="61" t="str">
        <f aca="false">IF(IsPro,IF($D465="","",IF($F465="",IFERROR(INDEX(Items!$H$5:$H$504,U465),0),$F465)),"")</f>
        <v/>
      </c>
      <c r="L465" s="61" t="str">
        <f aca="false">IF(IsPro,IF($D465="","",ROUND(N($E465)*K465*(1-N($G465)),2)),"")</f>
        <v/>
      </c>
      <c r="M465" s="62" t="str">
        <f aca="false">IF(IsPro,IF($D465="","",IFERROR(INDEX(Items!$F$5:$F$504,U465),0)),"")</f>
        <v/>
      </c>
      <c r="N465" s="61" t="str">
        <f aca="false">IF(IsPro,IF($D465="","",IF(AND(V465&lt;&gt;"",INDEX(Parties!$E$5:$E$304,V465)&lt;&gt;"",INDEX(Parties!$E$5:$E$304,V465)&lt;&gt;HomeState),0,ROUND(L465*M465/2,2))),"")</f>
        <v/>
      </c>
      <c r="O465" s="61" t="str">
        <f aca="false">IF(IsPro,IF($D465="","",N465),"")</f>
        <v/>
      </c>
      <c r="P465" s="61" t="str">
        <f aca="false">IF(IsPro,IF($D465="","",IF(AND(V465&lt;&gt;"",INDEX(Parties!$E$5:$E$304,V465)&lt;&gt;"",INDEX(Parties!$E$5:$E$304,V465)&lt;&gt;HomeState),ROUND(L465*M465,2),0)),"")</f>
        <v/>
      </c>
      <c r="Q465" s="61" t="str">
        <f aca="false">IF(IsPro,IF($D465="","",L465+N465+O465+P465),"")</f>
        <v/>
      </c>
      <c r="R465" s="61" t="str">
        <f aca="false">IF(IsPro,IF($D465="","",ROUND(N($E465)*IFERROR(INDEX(Items!$P$5:$P$504,U465),0),2)),"")</f>
        <v/>
      </c>
      <c r="S465" s="61" t="str">
        <f aca="false">IF(IsPro,IF($D465="","",L465-R465),"")</f>
        <v/>
      </c>
      <c r="T465" s="60" t="str">
        <f aca="false">IF(IsPro,IF($D465="","",IF(U465="","UNKNOWN ITEM",IF(INDEX(Items!$O$5:$O$504,U465)&lt;0,"NEG STOCK",IF(K465&lt;INDEX(Items!$P$5:$P$504,U465),"BELOW COST","OK")))),IF($D465="","","PRO PLAN"))</f>
        <v/>
      </c>
      <c r="U465" s="60" t="str">
        <f aca="false">IF(IsPro,IF($D465="","",IFERROR(MATCH($D465,Items!$A$5:$A$504,0),"")),"")</f>
        <v/>
      </c>
      <c r="V465" s="60" t="str">
        <f aca="false">IF(IsPro,IF($C465="","",IFERROR(MATCH($C465,Parties!$A$5:$A$304,0),"")),"")</f>
        <v/>
      </c>
      <c r="W465" s="60" t="str">
        <f aca="false">IF(IsPro,IF($B465="","",IFERROR(VALUE(SUBSTITUTE($B465,InvPrefix,"")),0)),"")</f>
        <v/>
      </c>
      <c r="X465" s="61" t="str">
        <f aca="false">IF(IsPro,IF($D465="","",IF(OR($H465="",$H465="Credit"),0,Q465)),"")</f>
        <v/>
      </c>
    </row>
    <row r="466" customFormat="false" ht="15" hidden="false" customHeight="false" outlineLevel="0" collapsed="false">
      <c r="A466" s="55"/>
      <c r="B466" s="56"/>
      <c r="C466" s="56"/>
      <c r="D466" s="56"/>
      <c r="E466" s="57"/>
      <c r="F466" s="58"/>
      <c r="G466" s="59"/>
      <c r="H466" s="56"/>
      <c r="I466" s="56"/>
      <c r="J466" s="60" t="str">
        <f aca="false">IF(IsPro,IF($D466="","",IFERROR(INDEX(Items!$D$5:$D$504,U466),"")),"")</f>
        <v/>
      </c>
      <c r="K466" s="61" t="str">
        <f aca="false">IF(IsPro,IF($D466="","",IF($F466="",IFERROR(INDEX(Items!$H$5:$H$504,U466),0),$F466)),"")</f>
        <v/>
      </c>
      <c r="L466" s="61" t="str">
        <f aca="false">IF(IsPro,IF($D466="","",ROUND(N($E466)*K466*(1-N($G466)),2)),"")</f>
        <v/>
      </c>
      <c r="M466" s="62" t="str">
        <f aca="false">IF(IsPro,IF($D466="","",IFERROR(INDEX(Items!$F$5:$F$504,U466),0)),"")</f>
        <v/>
      </c>
      <c r="N466" s="61" t="str">
        <f aca="false">IF(IsPro,IF($D466="","",IF(AND(V466&lt;&gt;"",INDEX(Parties!$E$5:$E$304,V466)&lt;&gt;"",INDEX(Parties!$E$5:$E$304,V466)&lt;&gt;HomeState),0,ROUND(L466*M466/2,2))),"")</f>
        <v/>
      </c>
      <c r="O466" s="61" t="str">
        <f aca="false">IF(IsPro,IF($D466="","",N466),"")</f>
        <v/>
      </c>
      <c r="P466" s="61" t="str">
        <f aca="false">IF(IsPro,IF($D466="","",IF(AND(V466&lt;&gt;"",INDEX(Parties!$E$5:$E$304,V466)&lt;&gt;"",INDEX(Parties!$E$5:$E$304,V466)&lt;&gt;HomeState),ROUND(L466*M466,2),0)),"")</f>
        <v/>
      </c>
      <c r="Q466" s="61" t="str">
        <f aca="false">IF(IsPro,IF($D466="","",L466+N466+O466+P466),"")</f>
        <v/>
      </c>
      <c r="R466" s="61" t="str">
        <f aca="false">IF(IsPro,IF($D466="","",ROUND(N($E466)*IFERROR(INDEX(Items!$P$5:$P$504,U466),0),2)),"")</f>
        <v/>
      </c>
      <c r="S466" s="61" t="str">
        <f aca="false">IF(IsPro,IF($D466="","",L466-R466),"")</f>
        <v/>
      </c>
      <c r="T466" s="60" t="str">
        <f aca="false">IF(IsPro,IF($D466="","",IF(U466="","UNKNOWN ITEM",IF(INDEX(Items!$O$5:$O$504,U466)&lt;0,"NEG STOCK",IF(K466&lt;INDEX(Items!$P$5:$P$504,U466),"BELOW COST","OK")))),IF($D466="","","PRO PLAN"))</f>
        <v/>
      </c>
      <c r="U466" s="60" t="str">
        <f aca="false">IF(IsPro,IF($D466="","",IFERROR(MATCH($D466,Items!$A$5:$A$504,0),"")),"")</f>
        <v/>
      </c>
      <c r="V466" s="60" t="str">
        <f aca="false">IF(IsPro,IF($C466="","",IFERROR(MATCH($C466,Parties!$A$5:$A$304,0),"")),"")</f>
        <v/>
      </c>
      <c r="W466" s="60" t="str">
        <f aca="false">IF(IsPro,IF($B466="","",IFERROR(VALUE(SUBSTITUTE($B466,InvPrefix,"")),0)),"")</f>
        <v/>
      </c>
      <c r="X466" s="61" t="str">
        <f aca="false">IF(IsPro,IF($D466="","",IF(OR($H466="",$H466="Credit"),0,Q466)),"")</f>
        <v/>
      </c>
    </row>
    <row r="467" customFormat="false" ht="15" hidden="false" customHeight="false" outlineLevel="0" collapsed="false">
      <c r="A467" s="55"/>
      <c r="B467" s="56"/>
      <c r="C467" s="56"/>
      <c r="D467" s="56"/>
      <c r="E467" s="57"/>
      <c r="F467" s="58"/>
      <c r="G467" s="59"/>
      <c r="H467" s="56"/>
      <c r="I467" s="56"/>
      <c r="J467" s="60" t="str">
        <f aca="false">IF(IsPro,IF($D467="","",IFERROR(INDEX(Items!$D$5:$D$504,U467),"")),"")</f>
        <v/>
      </c>
      <c r="K467" s="61" t="str">
        <f aca="false">IF(IsPro,IF($D467="","",IF($F467="",IFERROR(INDEX(Items!$H$5:$H$504,U467),0),$F467)),"")</f>
        <v/>
      </c>
      <c r="L467" s="61" t="str">
        <f aca="false">IF(IsPro,IF($D467="","",ROUND(N($E467)*K467*(1-N($G467)),2)),"")</f>
        <v/>
      </c>
      <c r="M467" s="62" t="str">
        <f aca="false">IF(IsPro,IF($D467="","",IFERROR(INDEX(Items!$F$5:$F$504,U467),0)),"")</f>
        <v/>
      </c>
      <c r="N467" s="61" t="str">
        <f aca="false">IF(IsPro,IF($D467="","",IF(AND(V467&lt;&gt;"",INDEX(Parties!$E$5:$E$304,V467)&lt;&gt;"",INDEX(Parties!$E$5:$E$304,V467)&lt;&gt;HomeState),0,ROUND(L467*M467/2,2))),"")</f>
        <v/>
      </c>
      <c r="O467" s="61" t="str">
        <f aca="false">IF(IsPro,IF($D467="","",N467),"")</f>
        <v/>
      </c>
      <c r="P467" s="61" t="str">
        <f aca="false">IF(IsPro,IF($D467="","",IF(AND(V467&lt;&gt;"",INDEX(Parties!$E$5:$E$304,V467)&lt;&gt;"",INDEX(Parties!$E$5:$E$304,V467)&lt;&gt;HomeState),ROUND(L467*M467,2),0)),"")</f>
        <v/>
      </c>
      <c r="Q467" s="61" t="str">
        <f aca="false">IF(IsPro,IF($D467="","",L467+N467+O467+P467),"")</f>
        <v/>
      </c>
      <c r="R467" s="61" t="str">
        <f aca="false">IF(IsPro,IF($D467="","",ROUND(N($E467)*IFERROR(INDEX(Items!$P$5:$P$504,U467),0),2)),"")</f>
        <v/>
      </c>
      <c r="S467" s="61" t="str">
        <f aca="false">IF(IsPro,IF($D467="","",L467-R467),"")</f>
        <v/>
      </c>
      <c r="T467" s="60" t="str">
        <f aca="false">IF(IsPro,IF($D467="","",IF(U467="","UNKNOWN ITEM",IF(INDEX(Items!$O$5:$O$504,U467)&lt;0,"NEG STOCK",IF(K467&lt;INDEX(Items!$P$5:$P$504,U467),"BELOW COST","OK")))),IF($D467="","","PRO PLAN"))</f>
        <v/>
      </c>
      <c r="U467" s="60" t="str">
        <f aca="false">IF(IsPro,IF($D467="","",IFERROR(MATCH($D467,Items!$A$5:$A$504,0),"")),"")</f>
        <v/>
      </c>
      <c r="V467" s="60" t="str">
        <f aca="false">IF(IsPro,IF($C467="","",IFERROR(MATCH($C467,Parties!$A$5:$A$304,0),"")),"")</f>
        <v/>
      </c>
      <c r="W467" s="60" t="str">
        <f aca="false">IF(IsPro,IF($B467="","",IFERROR(VALUE(SUBSTITUTE($B467,InvPrefix,"")),0)),"")</f>
        <v/>
      </c>
      <c r="X467" s="61" t="str">
        <f aca="false">IF(IsPro,IF($D467="","",IF(OR($H467="",$H467="Credit"),0,Q467)),"")</f>
        <v/>
      </c>
    </row>
    <row r="468" customFormat="false" ht="15" hidden="false" customHeight="false" outlineLevel="0" collapsed="false">
      <c r="A468" s="55"/>
      <c r="B468" s="56"/>
      <c r="C468" s="56"/>
      <c r="D468" s="56"/>
      <c r="E468" s="57"/>
      <c r="F468" s="58"/>
      <c r="G468" s="59"/>
      <c r="H468" s="56"/>
      <c r="I468" s="56"/>
      <c r="J468" s="60" t="str">
        <f aca="false">IF(IsPro,IF($D468="","",IFERROR(INDEX(Items!$D$5:$D$504,U468),"")),"")</f>
        <v/>
      </c>
      <c r="K468" s="61" t="str">
        <f aca="false">IF(IsPro,IF($D468="","",IF($F468="",IFERROR(INDEX(Items!$H$5:$H$504,U468),0),$F468)),"")</f>
        <v/>
      </c>
      <c r="L468" s="61" t="str">
        <f aca="false">IF(IsPro,IF($D468="","",ROUND(N($E468)*K468*(1-N($G468)),2)),"")</f>
        <v/>
      </c>
      <c r="M468" s="62" t="str">
        <f aca="false">IF(IsPro,IF($D468="","",IFERROR(INDEX(Items!$F$5:$F$504,U468),0)),"")</f>
        <v/>
      </c>
      <c r="N468" s="61" t="str">
        <f aca="false">IF(IsPro,IF($D468="","",IF(AND(V468&lt;&gt;"",INDEX(Parties!$E$5:$E$304,V468)&lt;&gt;"",INDEX(Parties!$E$5:$E$304,V468)&lt;&gt;HomeState),0,ROUND(L468*M468/2,2))),"")</f>
        <v/>
      </c>
      <c r="O468" s="61" t="str">
        <f aca="false">IF(IsPro,IF($D468="","",N468),"")</f>
        <v/>
      </c>
      <c r="P468" s="61" t="str">
        <f aca="false">IF(IsPro,IF($D468="","",IF(AND(V468&lt;&gt;"",INDEX(Parties!$E$5:$E$304,V468)&lt;&gt;"",INDEX(Parties!$E$5:$E$304,V468)&lt;&gt;HomeState),ROUND(L468*M468,2),0)),"")</f>
        <v/>
      </c>
      <c r="Q468" s="61" t="str">
        <f aca="false">IF(IsPro,IF($D468="","",L468+N468+O468+P468),"")</f>
        <v/>
      </c>
      <c r="R468" s="61" t="str">
        <f aca="false">IF(IsPro,IF($D468="","",ROUND(N($E468)*IFERROR(INDEX(Items!$P$5:$P$504,U468),0),2)),"")</f>
        <v/>
      </c>
      <c r="S468" s="61" t="str">
        <f aca="false">IF(IsPro,IF($D468="","",L468-R468),"")</f>
        <v/>
      </c>
      <c r="T468" s="60" t="str">
        <f aca="false">IF(IsPro,IF($D468="","",IF(U468="","UNKNOWN ITEM",IF(INDEX(Items!$O$5:$O$504,U468)&lt;0,"NEG STOCK",IF(K468&lt;INDEX(Items!$P$5:$P$504,U468),"BELOW COST","OK")))),IF($D468="","","PRO PLAN"))</f>
        <v/>
      </c>
      <c r="U468" s="60" t="str">
        <f aca="false">IF(IsPro,IF($D468="","",IFERROR(MATCH($D468,Items!$A$5:$A$504,0),"")),"")</f>
        <v/>
      </c>
      <c r="V468" s="60" t="str">
        <f aca="false">IF(IsPro,IF($C468="","",IFERROR(MATCH($C468,Parties!$A$5:$A$304,0),"")),"")</f>
        <v/>
      </c>
      <c r="W468" s="60" t="str">
        <f aca="false">IF(IsPro,IF($B468="","",IFERROR(VALUE(SUBSTITUTE($B468,InvPrefix,"")),0)),"")</f>
        <v/>
      </c>
      <c r="X468" s="61" t="str">
        <f aca="false">IF(IsPro,IF($D468="","",IF(OR($H468="",$H468="Credit"),0,Q468)),"")</f>
        <v/>
      </c>
    </row>
    <row r="469" customFormat="false" ht="15" hidden="false" customHeight="false" outlineLevel="0" collapsed="false">
      <c r="A469" s="55"/>
      <c r="B469" s="56"/>
      <c r="C469" s="56"/>
      <c r="D469" s="56"/>
      <c r="E469" s="57"/>
      <c r="F469" s="58"/>
      <c r="G469" s="59"/>
      <c r="H469" s="56"/>
      <c r="I469" s="56"/>
      <c r="J469" s="60" t="str">
        <f aca="false">IF(IsPro,IF($D469="","",IFERROR(INDEX(Items!$D$5:$D$504,U469),"")),"")</f>
        <v/>
      </c>
      <c r="K469" s="61" t="str">
        <f aca="false">IF(IsPro,IF($D469="","",IF($F469="",IFERROR(INDEX(Items!$H$5:$H$504,U469),0),$F469)),"")</f>
        <v/>
      </c>
      <c r="L469" s="61" t="str">
        <f aca="false">IF(IsPro,IF($D469="","",ROUND(N($E469)*K469*(1-N($G469)),2)),"")</f>
        <v/>
      </c>
      <c r="M469" s="62" t="str">
        <f aca="false">IF(IsPro,IF($D469="","",IFERROR(INDEX(Items!$F$5:$F$504,U469),0)),"")</f>
        <v/>
      </c>
      <c r="N469" s="61" t="str">
        <f aca="false">IF(IsPro,IF($D469="","",IF(AND(V469&lt;&gt;"",INDEX(Parties!$E$5:$E$304,V469)&lt;&gt;"",INDEX(Parties!$E$5:$E$304,V469)&lt;&gt;HomeState),0,ROUND(L469*M469/2,2))),"")</f>
        <v/>
      </c>
      <c r="O469" s="61" t="str">
        <f aca="false">IF(IsPro,IF($D469="","",N469),"")</f>
        <v/>
      </c>
      <c r="P469" s="61" t="str">
        <f aca="false">IF(IsPro,IF($D469="","",IF(AND(V469&lt;&gt;"",INDEX(Parties!$E$5:$E$304,V469)&lt;&gt;"",INDEX(Parties!$E$5:$E$304,V469)&lt;&gt;HomeState),ROUND(L469*M469,2),0)),"")</f>
        <v/>
      </c>
      <c r="Q469" s="61" t="str">
        <f aca="false">IF(IsPro,IF($D469="","",L469+N469+O469+P469),"")</f>
        <v/>
      </c>
      <c r="R469" s="61" t="str">
        <f aca="false">IF(IsPro,IF($D469="","",ROUND(N($E469)*IFERROR(INDEX(Items!$P$5:$P$504,U469),0),2)),"")</f>
        <v/>
      </c>
      <c r="S469" s="61" t="str">
        <f aca="false">IF(IsPro,IF($D469="","",L469-R469),"")</f>
        <v/>
      </c>
      <c r="T469" s="60" t="str">
        <f aca="false">IF(IsPro,IF($D469="","",IF(U469="","UNKNOWN ITEM",IF(INDEX(Items!$O$5:$O$504,U469)&lt;0,"NEG STOCK",IF(K469&lt;INDEX(Items!$P$5:$P$504,U469),"BELOW COST","OK")))),IF($D469="","","PRO PLAN"))</f>
        <v/>
      </c>
      <c r="U469" s="60" t="str">
        <f aca="false">IF(IsPro,IF($D469="","",IFERROR(MATCH($D469,Items!$A$5:$A$504,0),"")),"")</f>
        <v/>
      </c>
      <c r="V469" s="60" t="str">
        <f aca="false">IF(IsPro,IF($C469="","",IFERROR(MATCH($C469,Parties!$A$5:$A$304,0),"")),"")</f>
        <v/>
      </c>
      <c r="W469" s="60" t="str">
        <f aca="false">IF(IsPro,IF($B469="","",IFERROR(VALUE(SUBSTITUTE($B469,InvPrefix,"")),0)),"")</f>
        <v/>
      </c>
      <c r="X469" s="61" t="str">
        <f aca="false">IF(IsPro,IF($D469="","",IF(OR($H469="",$H469="Credit"),0,Q469)),"")</f>
        <v/>
      </c>
    </row>
    <row r="470" customFormat="false" ht="15" hidden="false" customHeight="false" outlineLevel="0" collapsed="false">
      <c r="A470" s="55"/>
      <c r="B470" s="56"/>
      <c r="C470" s="56"/>
      <c r="D470" s="56"/>
      <c r="E470" s="57"/>
      <c r="F470" s="58"/>
      <c r="G470" s="59"/>
      <c r="H470" s="56"/>
      <c r="I470" s="56"/>
      <c r="J470" s="60" t="str">
        <f aca="false">IF(IsPro,IF($D470="","",IFERROR(INDEX(Items!$D$5:$D$504,U470),"")),"")</f>
        <v/>
      </c>
      <c r="K470" s="61" t="str">
        <f aca="false">IF(IsPro,IF($D470="","",IF($F470="",IFERROR(INDEX(Items!$H$5:$H$504,U470),0),$F470)),"")</f>
        <v/>
      </c>
      <c r="L470" s="61" t="str">
        <f aca="false">IF(IsPro,IF($D470="","",ROUND(N($E470)*K470*(1-N($G470)),2)),"")</f>
        <v/>
      </c>
      <c r="M470" s="62" t="str">
        <f aca="false">IF(IsPro,IF($D470="","",IFERROR(INDEX(Items!$F$5:$F$504,U470),0)),"")</f>
        <v/>
      </c>
      <c r="N470" s="61" t="str">
        <f aca="false">IF(IsPro,IF($D470="","",IF(AND(V470&lt;&gt;"",INDEX(Parties!$E$5:$E$304,V470)&lt;&gt;"",INDEX(Parties!$E$5:$E$304,V470)&lt;&gt;HomeState),0,ROUND(L470*M470/2,2))),"")</f>
        <v/>
      </c>
      <c r="O470" s="61" t="str">
        <f aca="false">IF(IsPro,IF($D470="","",N470),"")</f>
        <v/>
      </c>
      <c r="P470" s="61" t="str">
        <f aca="false">IF(IsPro,IF($D470="","",IF(AND(V470&lt;&gt;"",INDEX(Parties!$E$5:$E$304,V470)&lt;&gt;"",INDEX(Parties!$E$5:$E$304,V470)&lt;&gt;HomeState),ROUND(L470*M470,2),0)),"")</f>
        <v/>
      </c>
      <c r="Q470" s="61" t="str">
        <f aca="false">IF(IsPro,IF($D470="","",L470+N470+O470+P470),"")</f>
        <v/>
      </c>
      <c r="R470" s="61" t="str">
        <f aca="false">IF(IsPro,IF($D470="","",ROUND(N($E470)*IFERROR(INDEX(Items!$P$5:$P$504,U470),0),2)),"")</f>
        <v/>
      </c>
      <c r="S470" s="61" t="str">
        <f aca="false">IF(IsPro,IF($D470="","",L470-R470),"")</f>
        <v/>
      </c>
      <c r="T470" s="60" t="str">
        <f aca="false">IF(IsPro,IF($D470="","",IF(U470="","UNKNOWN ITEM",IF(INDEX(Items!$O$5:$O$504,U470)&lt;0,"NEG STOCK",IF(K470&lt;INDEX(Items!$P$5:$P$504,U470),"BELOW COST","OK")))),IF($D470="","","PRO PLAN"))</f>
        <v/>
      </c>
      <c r="U470" s="60" t="str">
        <f aca="false">IF(IsPro,IF($D470="","",IFERROR(MATCH($D470,Items!$A$5:$A$504,0),"")),"")</f>
        <v/>
      </c>
      <c r="V470" s="60" t="str">
        <f aca="false">IF(IsPro,IF($C470="","",IFERROR(MATCH($C470,Parties!$A$5:$A$304,0),"")),"")</f>
        <v/>
      </c>
      <c r="W470" s="60" t="str">
        <f aca="false">IF(IsPro,IF($B470="","",IFERROR(VALUE(SUBSTITUTE($B470,InvPrefix,"")),0)),"")</f>
        <v/>
      </c>
      <c r="X470" s="61" t="str">
        <f aca="false">IF(IsPro,IF($D470="","",IF(OR($H470="",$H470="Credit"),0,Q470)),"")</f>
        <v/>
      </c>
    </row>
    <row r="471" customFormat="false" ht="15" hidden="false" customHeight="false" outlineLevel="0" collapsed="false">
      <c r="A471" s="55"/>
      <c r="B471" s="56"/>
      <c r="C471" s="56"/>
      <c r="D471" s="56"/>
      <c r="E471" s="57"/>
      <c r="F471" s="58"/>
      <c r="G471" s="59"/>
      <c r="H471" s="56"/>
      <c r="I471" s="56"/>
      <c r="J471" s="60" t="str">
        <f aca="false">IF(IsPro,IF($D471="","",IFERROR(INDEX(Items!$D$5:$D$504,U471),"")),"")</f>
        <v/>
      </c>
      <c r="K471" s="61" t="str">
        <f aca="false">IF(IsPro,IF($D471="","",IF($F471="",IFERROR(INDEX(Items!$H$5:$H$504,U471),0),$F471)),"")</f>
        <v/>
      </c>
      <c r="L471" s="61" t="str">
        <f aca="false">IF(IsPro,IF($D471="","",ROUND(N($E471)*K471*(1-N($G471)),2)),"")</f>
        <v/>
      </c>
      <c r="M471" s="62" t="str">
        <f aca="false">IF(IsPro,IF($D471="","",IFERROR(INDEX(Items!$F$5:$F$504,U471),0)),"")</f>
        <v/>
      </c>
      <c r="N471" s="61" t="str">
        <f aca="false">IF(IsPro,IF($D471="","",IF(AND(V471&lt;&gt;"",INDEX(Parties!$E$5:$E$304,V471)&lt;&gt;"",INDEX(Parties!$E$5:$E$304,V471)&lt;&gt;HomeState),0,ROUND(L471*M471/2,2))),"")</f>
        <v/>
      </c>
      <c r="O471" s="61" t="str">
        <f aca="false">IF(IsPro,IF($D471="","",N471),"")</f>
        <v/>
      </c>
      <c r="P471" s="61" t="str">
        <f aca="false">IF(IsPro,IF($D471="","",IF(AND(V471&lt;&gt;"",INDEX(Parties!$E$5:$E$304,V471)&lt;&gt;"",INDEX(Parties!$E$5:$E$304,V471)&lt;&gt;HomeState),ROUND(L471*M471,2),0)),"")</f>
        <v/>
      </c>
      <c r="Q471" s="61" t="str">
        <f aca="false">IF(IsPro,IF($D471="","",L471+N471+O471+P471),"")</f>
        <v/>
      </c>
      <c r="R471" s="61" t="str">
        <f aca="false">IF(IsPro,IF($D471="","",ROUND(N($E471)*IFERROR(INDEX(Items!$P$5:$P$504,U471),0),2)),"")</f>
        <v/>
      </c>
      <c r="S471" s="61" t="str">
        <f aca="false">IF(IsPro,IF($D471="","",L471-R471),"")</f>
        <v/>
      </c>
      <c r="T471" s="60" t="str">
        <f aca="false">IF(IsPro,IF($D471="","",IF(U471="","UNKNOWN ITEM",IF(INDEX(Items!$O$5:$O$504,U471)&lt;0,"NEG STOCK",IF(K471&lt;INDEX(Items!$P$5:$P$504,U471),"BELOW COST","OK")))),IF($D471="","","PRO PLAN"))</f>
        <v/>
      </c>
      <c r="U471" s="60" t="str">
        <f aca="false">IF(IsPro,IF($D471="","",IFERROR(MATCH($D471,Items!$A$5:$A$504,0),"")),"")</f>
        <v/>
      </c>
      <c r="V471" s="60" t="str">
        <f aca="false">IF(IsPro,IF($C471="","",IFERROR(MATCH($C471,Parties!$A$5:$A$304,0),"")),"")</f>
        <v/>
      </c>
      <c r="W471" s="60" t="str">
        <f aca="false">IF(IsPro,IF($B471="","",IFERROR(VALUE(SUBSTITUTE($B471,InvPrefix,"")),0)),"")</f>
        <v/>
      </c>
      <c r="X471" s="61" t="str">
        <f aca="false">IF(IsPro,IF($D471="","",IF(OR($H471="",$H471="Credit"),0,Q471)),"")</f>
        <v/>
      </c>
    </row>
    <row r="472" customFormat="false" ht="15" hidden="false" customHeight="false" outlineLevel="0" collapsed="false">
      <c r="A472" s="55"/>
      <c r="B472" s="56"/>
      <c r="C472" s="56"/>
      <c r="D472" s="56"/>
      <c r="E472" s="57"/>
      <c r="F472" s="58"/>
      <c r="G472" s="59"/>
      <c r="H472" s="56"/>
      <c r="I472" s="56"/>
      <c r="J472" s="60" t="str">
        <f aca="false">IF(IsPro,IF($D472="","",IFERROR(INDEX(Items!$D$5:$D$504,U472),"")),"")</f>
        <v/>
      </c>
      <c r="K472" s="61" t="str">
        <f aca="false">IF(IsPro,IF($D472="","",IF($F472="",IFERROR(INDEX(Items!$H$5:$H$504,U472),0),$F472)),"")</f>
        <v/>
      </c>
      <c r="L472" s="61" t="str">
        <f aca="false">IF(IsPro,IF($D472="","",ROUND(N($E472)*K472*(1-N($G472)),2)),"")</f>
        <v/>
      </c>
      <c r="M472" s="62" t="str">
        <f aca="false">IF(IsPro,IF($D472="","",IFERROR(INDEX(Items!$F$5:$F$504,U472),0)),"")</f>
        <v/>
      </c>
      <c r="N472" s="61" t="str">
        <f aca="false">IF(IsPro,IF($D472="","",IF(AND(V472&lt;&gt;"",INDEX(Parties!$E$5:$E$304,V472)&lt;&gt;"",INDEX(Parties!$E$5:$E$304,V472)&lt;&gt;HomeState),0,ROUND(L472*M472/2,2))),"")</f>
        <v/>
      </c>
      <c r="O472" s="61" t="str">
        <f aca="false">IF(IsPro,IF($D472="","",N472),"")</f>
        <v/>
      </c>
      <c r="P472" s="61" t="str">
        <f aca="false">IF(IsPro,IF($D472="","",IF(AND(V472&lt;&gt;"",INDEX(Parties!$E$5:$E$304,V472)&lt;&gt;"",INDEX(Parties!$E$5:$E$304,V472)&lt;&gt;HomeState),ROUND(L472*M472,2),0)),"")</f>
        <v/>
      </c>
      <c r="Q472" s="61" t="str">
        <f aca="false">IF(IsPro,IF($D472="","",L472+N472+O472+P472),"")</f>
        <v/>
      </c>
      <c r="R472" s="61" t="str">
        <f aca="false">IF(IsPro,IF($D472="","",ROUND(N($E472)*IFERROR(INDEX(Items!$P$5:$P$504,U472),0),2)),"")</f>
        <v/>
      </c>
      <c r="S472" s="61" t="str">
        <f aca="false">IF(IsPro,IF($D472="","",L472-R472),"")</f>
        <v/>
      </c>
      <c r="T472" s="60" t="str">
        <f aca="false">IF(IsPro,IF($D472="","",IF(U472="","UNKNOWN ITEM",IF(INDEX(Items!$O$5:$O$504,U472)&lt;0,"NEG STOCK",IF(K472&lt;INDEX(Items!$P$5:$P$504,U472),"BELOW COST","OK")))),IF($D472="","","PRO PLAN"))</f>
        <v/>
      </c>
      <c r="U472" s="60" t="str">
        <f aca="false">IF(IsPro,IF($D472="","",IFERROR(MATCH($D472,Items!$A$5:$A$504,0),"")),"")</f>
        <v/>
      </c>
      <c r="V472" s="60" t="str">
        <f aca="false">IF(IsPro,IF($C472="","",IFERROR(MATCH($C472,Parties!$A$5:$A$304,0),"")),"")</f>
        <v/>
      </c>
      <c r="W472" s="60" t="str">
        <f aca="false">IF(IsPro,IF($B472="","",IFERROR(VALUE(SUBSTITUTE($B472,InvPrefix,"")),0)),"")</f>
        <v/>
      </c>
      <c r="X472" s="61" t="str">
        <f aca="false">IF(IsPro,IF($D472="","",IF(OR($H472="",$H472="Credit"),0,Q472)),"")</f>
        <v/>
      </c>
    </row>
    <row r="473" customFormat="false" ht="15" hidden="false" customHeight="false" outlineLevel="0" collapsed="false">
      <c r="A473" s="55"/>
      <c r="B473" s="56"/>
      <c r="C473" s="56"/>
      <c r="D473" s="56"/>
      <c r="E473" s="57"/>
      <c r="F473" s="58"/>
      <c r="G473" s="59"/>
      <c r="H473" s="56"/>
      <c r="I473" s="56"/>
      <c r="J473" s="60" t="str">
        <f aca="false">IF(IsPro,IF($D473="","",IFERROR(INDEX(Items!$D$5:$D$504,U473),"")),"")</f>
        <v/>
      </c>
      <c r="K473" s="61" t="str">
        <f aca="false">IF(IsPro,IF($D473="","",IF($F473="",IFERROR(INDEX(Items!$H$5:$H$504,U473),0),$F473)),"")</f>
        <v/>
      </c>
      <c r="L473" s="61" t="str">
        <f aca="false">IF(IsPro,IF($D473="","",ROUND(N($E473)*K473*(1-N($G473)),2)),"")</f>
        <v/>
      </c>
      <c r="M473" s="62" t="str">
        <f aca="false">IF(IsPro,IF($D473="","",IFERROR(INDEX(Items!$F$5:$F$504,U473),0)),"")</f>
        <v/>
      </c>
      <c r="N473" s="61" t="str">
        <f aca="false">IF(IsPro,IF($D473="","",IF(AND(V473&lt;&gt;"",INDEX(Parties!$E$5:$E$304,V473)&lt;&gt;"",INDEX(Parties!$E$5:$E$304,V473)&lt;&gt;HomeState),0,ROUND(L473*M473/2,2))),"")</f>
        <v/>
      </c>
      <c r="O473" s="61" t="str">
        <f aca="false">IF(IsPro,IF($D473="","",N473),"")</f>
        <v/>
      </c>
      <c r="P473" s="61" t="str">
        <f aca="false">IF(IsPro,IF($D473="","",IF(AND(V473&lt;&gt;"",INDEX(Parties!$E$5:$E$304,V473)&lt;&gt;"",INDEX(Parties!$E$5:$E$304,V473)&lt;&gt;HomeState),ROUND(L473*M473,2),0)),"")</f>
        <v/>
      </c>
      <c r="Q473" s="61" t="str">
        <f aca="false">IF(IsPro,IF($D473="","",L473+N473+O473+P473),"")</f>
        <v/>
      </c>
      <c r="R473" s="61" t="str">
        <f aca="false">IF(IsPro,IF($D473="","",ROUND(N($E473)*IFERROR(INDEX(Items!$P$5:$P$504,U473),0),2)),"")</f>
        <v/>
      </c>
      <c r="S473" s="61" t="str">
        <f aca="false">IF(IsPro,IF($D473="","",L473-R473),"")</f>
        <v/>
      </c>
      <c r="T473" s="60" t="str">
        <f aca="false">IF(IsPro,IF($D473="","",IF(U473="","UNKNOWN ITEM",IF(INDEX(Items!$O$5:$O$504,U473)&lt;0,"NEG STOCK",IF(K473&lt;INDEX(Items!$P$5:$P$504,U473),"BELOW COST","OK")))),IF($D473="","","PRO PLAN"))</f>
        <v/>
      </c>
      <c r="U473" s="60" t="str">
        <f aca="false">IF(IsPro,IF($D473="","",IFERROR(MATCH($D473,Items!$A$5:$A$504,0),"")),"")</f>
        <v/>
      </c>
      <c r="V473" s="60" t="str">
        <f aca="false">IF(IsPro,IF($C473="","",IFERROR(MATCH($C473,Parties!$A$5:$A$304,0),"")),"")</f>
        <v/>
      </c>
      <c r="W473" s="60" t="str">
        <f aca="false">IF(IsPro,IF($B473="","",IFERROR(VALUE(SUBSTITUTE($B473,InvPrefix,"")),0)),"")</f>
        <v/>
      </c>
      <c r="X473" s="61" t="str">
        <f aca="false">IF(IsPro,IF($D473="","",IF(OR($H473="",$H473="Credit"),0,Q473)),"")</f>
        <v/>
      </c>
    </row>
    <row r="474" customFormat="false" ht="15" hidden="false" customHeight="false" outlineLevel="0" collapsed="false">
      <c r="A474" s="55"/>
      <c r="B474" s="56"/>
      <c r="C474" s="56"/>
      <c r="D474" s="56"/>
      <c r="E474" s="57"/>
      <c r="F474" s="58"/>
      <c r="G474" s="59"/>
      <c r="H474" s="56"/>
      <c r="I474" s="56"/>
      <c r="J474" s="60" t="str">
        <f aca="false">IF(IsPro,IF($D474="","",IFERROR(INDEX(Items!$D$5:$D$504,U474),"")),"")</f>
        <v/>
      </c>
      <c r="K474" s="61" t="str">
        <f aca="false">IF(IsPro,IF($D474="","",IF($F474="",IFERROR(INDEX(Items!$H$5:$H$504,U474),0),$F474)),"")</f>
        <v/>
      </c>
      <c r="L474" s="61" t="str">
        <f aca="false">IF(IsPro,IF($D474="","",ROUND(N($E474)*K474*(1-N($G474)),2)),"")</f>
        <v/>
      </c>
      <c r="M474" s="62" t="str">
        <f aca="false">IF(IsPro,IF($D474="","",IFERROR(INDEX(Items!$F$5:$F$504,U474),0)),"")</f>
        <v/>
      </c>
      <c r="N474" s="61" t="str">
        <f aca="false">IF(IsPro,IF($D474="","",IF(AND(V474&lt;&gt;"",INDEX(Parties!$E$5:$E$304,V474)&lt;&gt;"",INDEX(Parties!$E$5:$E$304,V474)&lt;&gt;HomeState),0,ROUND(L474*M474/2,2))),"")</f>
        <v/>
      </c>
      <c r="O474" s="61" t="str">
        <f aca="false">IF(IsPro,IF($D474="","",N474),"")</f>
        <v/>
      </c>
      <c r="P474" s="61" t="str">
        <f aca="false">IF(IsPro,IF($D474="","",IF(AND(V474&lt;&gt;"",INDEX(Parties!$E$5:$E$304,V474)&lt;&gt;"",INDEX(Parties!$E$5:$E$304,V474)&lt;&gt;HomeState),ROUND(L474*M474,2),0)),"")</f>
        <v/>
      </c>
      <c r="Q474" s="61" t="str">
        <f aca="false">IF(IsPro,IF($D474="","",L474+N474+O474+P474),"")</f>
        <v/>
      </c>
      <c r="R474" s="61" t="str">
        <f aca="false">IF(IsPro,IF($D474="","",ROUND(N($E474)*IFERROR(INDEX(Items!$P$5:$P$504,U474),0),2)),"")</f>
        <v/>
      </c>
      <c r="S474" s="61" t="str">
        <f aca="false">IF(IsPro,IF($D474="","",L474-R474),"")</f>
        <v/>
      </c>
      <c r="T474" s="60" t="str">
        <f aca="false">IF(IsPro,IF($D474="","",IF(U474="","UNKNOWN ITEM",IF(INDEX(Items!$O$5:$O$504,U474)&lt;0,"NEG STOCK",IF(K474&lt;INDEX(Items!$P$5:$P$504,U474),"BELOW COST","OK")))),IF($D474="","","PRO PLAN"))</f>
        <v/>
      </c>
      <c r="U474" s="60" t="str">
        <f aca="false">IF(IsPro,IF($D474="","",IFERROR(MATCH($D474,Items!$A$5:$A$504,0),"")),"")</f>
        <v/>
      </c>
      <c r="V474" s="60" t="str">
        <f aca="false">IF(IsPro,IF($C474="","",IFERROR(MATCH($C474,Parties!$A$5:$A$304,0),"")),"")</f>
        <v/>
      </c>
      <c r="W474" s="60" t="str">
        <f aca="false">IF(IsPro,IF($B474="","",IFERROR(VALUE(SUBSTITUTE($B474,InvPrefix,"")),0)),"")</f>
        <v/>
      </c>
      <c r="X474" s="61" t="str">
        <f aca="false">IF(IsPro,IF($D474="","",IF(OR($H474="",$H474="Credit"),0,Q474)),"")</f>
        <v/>
      </c>
    </row>
    <row r="475" customFormat="false" ht="15" hidden="false" customHeight="false" outlineLevel="0" collapsed="false">
      <c r="A475" s="55"/>
      <c r="B475" s="56"/>
      <c r="C475" s="56"/>
      <c r="D475" s="56"/>
      <c r="E475" s="57"/>
      <c r="F475" s="58"/>
      <c r="G475" s="59"/>
      <c r="H475" s="56"/>
      <c r="I475" s="56"/>
      <c r="J475" s="60" t="str">
        <f aca="false">IF(IsPro,IF($D475="","",IFERROR(INDEX(Items!$D$5:$D$504,U475),"")),"")</f>
        <v/>
      </c>
      <c r="K475" s="61" t="str">
        <f aca="false">IF(IsPro,IF($D475="","",IF($F475="",IFERROR(INDEX(Items!$H$5:$H$504,U475),0),$F475)),"")</f>
        <v/>
      </c>
      <c r="L475" s="61" t="str">
        <f aca="false">IF(IsPro,IF($D475="","",ROUND(N($E475)*K475*(1-N($G475)),2)),"")</f>
        <v/>
      </c>
      <c r="M475" s="62" t="str">
        <f aca="false">IF(IsPro,IF($D475="","",IFERROR(INDEX(Items!$F$5:$F$504,U475),0)),"")</f>
        <v/>
      </c>
      <c r="N475" s="61" t="str">
        <f aca="false">IF(IsPro,IF($D475="","",IF(AND(V475&lt;&gt;"",INDEX(Parties!$E$5:$E$304,V475)&lt;&gt;"",INDEX(Parties!$E$5:$E$304,V475)&lt;&gt;HomeState),0,ROUND(L475*M475/2,2))),"")</f>
        <v/>
      </c>
      <c r="O475" s="61" t="str">
        <f aca="false">IF(IsPro,IF($D475="","",N475),"")</f>
        <v/>
      </c>
      <c r="P475" s="61" t="str">
        <f aca="false">IF(IsPro,IF($D475="","",IF(AND(V475&lt;&gt;"",INDEX(Parties!$E$5:$E$304,V475)&lt;&gt;"",INDEX(Parties!$E$5:$E$304,V475)&lt;&gt;HomeState),ROUND(L475*M475,2),0)),"")</f>
        <v/>
      </c>
      <c r="Q475" s="61" t="str">
        <f aca="false">IF(IsPro,IF($D475="","",L475+N475+O475+P475),"")</f>
        <v/>
      </c>
      <c r="R475" s="61" t="str">
        <f aca="false">IF(IsPro,IF($D475="","",ROUND(N($E475)*IFERROR(INDEX(Items!$P$5:$P$504,U475),0),2)),"")</f>
        <v/>
      </c>
      <c r="S475" s="61" t="str">
        <f aca="false">IF(IsPro,IF($D475="","",L475-R475),"")</f>
        <v/>
      </c>
      <c r="T475" s="60" t="str">
        <f aca="false">IF(IsPro,IF($D475="","",IF(U475="","UNKNOWN ITEM",IF(INDEX(Items!$O$5:$O$504,U475)&lt;0,"NEG STOCK",IF(K475&lt;INDEX(Items!$P$5:$P$504,U475),"BELOW COST","OK")))),IF($D475="","","PRO PLAN"))</f>
        <v/>
      </c>
      <c r="U475" s="60" t="str">
        <f aca="false">IF(IsPro,IF($D475="","",IFERROR(MATCH($D475,Items!$A$5:$A$504,0),"")),"")</f>
        <v/>
      </c>
      <c r="V475" s="60" t="str">
        <f aca="false">IF(IsPro,IF($C475="","",IFERROR(MATCH($C475,Parties!$A$5:$A$304,0),"")),"")</f>
        <v/>
      </c>
      <c r="W475" s="60" t="str">
        <f aca="false">IF(IsPro,IF($B475="","",IFERROR(VALUE(SUBSTITUTE($B475,InvPrefix,"")),0)),"")</f>
        <v/>
      </c>
      <c r="X475" s="61" t="str">
        <f aca="false">IF(IsPro,IF($D475="","",IF(OR($H475="",$H475="Credit"),0,Q475)),"")</f>
        <v/>
      </c>
    </row>
    <row r="476" customFormat="false" ht="15" hidden="false" customHeight="false" outlineLevel="0" collapsed="false">
      <c r="A476" s="55"/>
      <c r="B476" s="56"/>
      <c r="C476" s="56"/>
      <c r="D476" s="56"/>
      <c r="E476" s="57"/>
      <c r="F476" s="58"/>
      <c r="G476" s="59"/>
      <c r="H476" s="56"/>
      <c r="I476" s="56"/>
      <c r="J476" s="60" t="str">
        <f aca="false">IF(IsPro,IF($D476="","",IFERROR(INDEX(Items!$D$5:$D$504,U476),"")),"")</f>
        <v/>
      </c>
      <c r="K476" s="61" t="str">
        <f aca="false">IF(IsPro,IF($D476="","",IF($F476="",IFERROR(INDEX(Items!$H$5:$H$504,U476),0),$F476)),"")</f>
        <v/>
      </c>
      <c r="L476" s="61" t="str">
        <f aca="false">IF(IsPro,IF($D476="","",ROUND(N($E476)*K476*(1-N($G476)),2)),"")</f>
        <v/>
      </c>
      <c r="M476" s="62" t="str">
        <f aca="false">IF(IsPro,IF($D476="","",IFERROR(INDEX(Items!$F$5:$F$504,U476),0)),"")</f>
        <v/>
      </c>
      <c r="N476" s="61" t="str">
        <f aca="false">IF(IsPro,IF($D476="","",IF(AND(V476&lt;&gt;"",INDEX(Parties!$E$5:$E$304,V476)&lt;&gt;"",INDEX(Parties!$E$5:$E$304,V476)&lt;&gt;HomeState),0,ROUND(L476*M476/2,2))),"")</f>
        <v/>
      </c>
      <c r="O476" s="61" t="str">
        <f aca="false">IF(IsPro,IF($D476="","",N476),"")</f>
        <v/>
      </c>
      <c r="P476" s="61" t="str">
        <f aca="false">IF(IsPro,IF($D476="","",IF(AND(V476&lt;&gt;"",INDEX(Parties!$E$5:$E$304,V476)&lt;&gt;"",INDEX(Parties!$E$5:$E$304,V476)&lt;&gt;HomeState),ROUND(L476*M476,2),0)),"")</f>
        <v/>
      </c>
      <c r="Q476" s="61" t="str">
        <f aca="false">IF(IsPro,IF($D476="","",L476+N476+O476+P476),"")</f>
        <v/>
      </c>
      <c r="R476" s="61" t="str">
        <f aca="false">IF(IsPro,IF($D476="","",ROUND(N($E476)*IFERROR(INDEX(Items!$P$5:$P$504,U476),0),2)),"")</f>
        <v/>
      </c>
      <c r="S476" s="61" t="str">
        <f aca="false">IF(IsPro,IF($D476="","",L476-R476),"")</f>
        <v/>
      </c>
      <c r="T476" s="60" t="str">
        <f aca="false">IF(IsPro,IF($D476="","",IF(U476="","UNKNOWN ITEM",IF(INDEX(Items!$O$5:$O$504,U476)&lt;0,"NEG STOCK",IF(K476&lt;INDEX(Items!$P$5:$P$504,U476),"BELOW COST","OK")))),IF($D476="","","PRO PLAN"))</f>
        <v/>
      </c>
      <c r="U476" s="60" t="str">
        <f aca="false">IF(IsPro,IF($D476="","",IFERROR(MATCH($D476,Items!$A$5:$A$504,0),"")),"")</f>
        <v/>
      </c>
      <c r="V476" s="60" t="str">
        <f aca="false">IF(IsPro,IF($C476="","",IFERROR(MATCH($C476,Parties!$A$5:$A$304,0),"")),"")</f>
        <v/>
      </c>
      <c r="W476" s="60" t="str">
        <f aca="false">IF(IsPro,IF($B476="","",IFERROR(VALUE(SUBSTITUTE($B476,InvPrefix,"")),0)),"")</f>
        <v/>
      </c>
      <c r="X476" s="61" t="str">
        <f aca="false">IF(IsPro,IF($D476="","",IF(OR($H476="",$H476="Credit"),0,Q476)),"")</f>
        <v/>
      </c>
    </row>
    <row r="477" customFormat="false" ht="15" hidden="false" customHeight="false" outlineLevel="0" collapsed="false">
      <c r="A477" s="55"/>
      <c r="B477" s="56"/>
      <c r="C477" s="56"/>
      <c r="D477" s="56"/>
      <c r="E477" s="57"/>
      <c r="F477" s="58"/>
      <c r="G477" s="59"/>
      <c r="H477" s="56"/>
      <c r="I477" s="56"/>
      <c r="J477" s="60" t="str">
        <f aca="false">IF(IsPro,IF($D477="","",IFERROR(INDEX(Items!$D$5:$D$504,U477),"")),"")</f>
        <v/>
      </c>
      <c r="K477" s="61" t="str">
        <f aca="false">IF(IsPro,IF($D477="","",IF($F477="",IFERROR(INDEX(Items!$H$5:$H$504,U477),0),$F477)),"")</f>
        <v/>
      </c>
      <c r="L477" s="61" t="str">
        <f aca="false">IF(IsPro,IF($D477="","",ROUND(N($E477)*K477*(1-N($G477)),2)),"")</f>
        <v/>
      </c>
      <c r="M477" s="62" t="str">
        <f aca="false">IF(IsPro,IF($D477="","",IFERROR(INDEX(Items!$F$5:$F$504,U477),0)),"")</f>
        <v/>
      </c>
      <c r="N477" s="61" t="str">
        <f aca="false">IF(IsPro,IF($D477="","",IF(AND(V477&lt;&gt;"",INDEX(Parties!$E$5:$E$304,V477)&lt;&gt;"",INDEX(Parties!$E$5:$E$304,V477)&lt;&gt;HomeState),0,ROUND(L477*M477/2,2))),"")</f>
        <v/>
      </c>
      <c r="O477" s="61" t="str">
        <f aca="false">IF(IsPro,IF($D477="","",N477),"")</f>
        <v/>
      </c>
      <c r="P477" s="61" t="str">
        <f aca="false">IF(IsPro,IF($D477="","",IF(AND(V477&lt;&gt;"",INDEX(Parties!$E$5:$E$304,V477)&lt;&gt;"",INDEX(Parties!$E$5:$E$304,V477)&lt;&gt;HomeState),ROUND(L477*M477,2),0)),"")</f>
        <v/>
      </c>
      <c r="Q477" s="61" t="str">
        <f aca="false">IF(IsPro,IF($D477="","",L477+N477+O477+P477),"")</f>
        <v/>
      </c>
      <c r="R477" s="61" t="str">
        <f aca="false">IF(IsPro,IF($D477="","",ROUND(N($E477)*IFERROR(INDEX(Items!$P$5:$P$504,U477),0),2)),"")</f>
        <v/>
      </c>
      <c r="S477" s="61" t="str">
        <f aca="false">IF(IsPro,IF($D477="","",L477-R477),"")</f>
        <v/>
      </c>
      <c r="T477" s="60" t="str">
        <f aca="false">IF(IsPro,IF($D477="","",IF(U477="","UNKNOWN ITEM",IF(INDEX(Items!$O$5:$O$504,U477)&lt;0,"NEG STOCK",IF(K477&lt;INDEX(Items!$P$5:$P$504,U477),"BELOW COST","OK")))),IF($D477="","","PRO PLAN"))</f>
        <v/>
      </c>
      <c r="U477" s="60" t="str">
        <f aca="false">IF(IsPro,IF($D477="","",IFERROR(MATCH($D477,Items!$A$5:$A$504,0),"")),"")</f>
        <v/>
      </c>
      <c r="V477" s="60" t="str">
        <f aca="false">IF(IsPro,IF($C477="","",IFERROR(MATCH($C477,Parties!$A$5:$A$304,0),"")),"")</f>
        <v/>
      </c>
      <c r="W477" s="60" t="str">
        <f aca="false">IF(IsPro,IF($B477="","",IFERROR(VALUE(SUBSTITUTE($B477,InvPrefix,"")),0)),"")</f>
        <v/>
      </c>
      <c r="X477" s="61" t="str">
        <f aca="false">IF(IsPro,IF($D477="","",IF(OR($H477="",$H477="Credit"),0,Q477)),"")</f>
        <v/>
      </c>
    </row>
    <row r="478" customFormat="false" ht="15" hidden="false" customHeight="false" outlineLevel="0" collapsed="false">
      <c r="A478" s="55"/>
      <c r="B478" s="56"/>
      <c r="C478" s="56"/>
      <c r="D478" s="56"/>
      <c r="E478" s="57"/>
      <c r="F478" s="58"/>
      <c r="G478" s="59"/>
      <c r="H478" s="56"/>
      <c r="I478" s="56"/>
      <c r="J478" s="60" t="str">
        <f aca="false">IF(IsPro,IF($D478="","",IFERROR(INDEX(Items!$D$5:$D$504,U478),"")),"")</f>
        <v/>
      </c>
      <c r="K478" s="61" t="str">
        <f aca="false">IF(IsPro,IF($D478="","",IF($F478="",IFERROR(INDEX(Items!$H$5:$H$504,U478),0),$F478)),"")</f>
        <v/>
      </c>
      <c r="L478" s="61" t="str">
        <f aca="false">IF(IsPro,IF($D478="","",ROUND(N($E478)*K478*(1-N($G478)),2)),"")</f>
        <v/>
      </c>
      <c r="M478" s="62" t="str">
        <f aca="false">IF(IsPro,IF($D478="","",IFERROR(INDEX(Items!$F$5:$F$504,U478),0)),"")</f>
        <v/>
      </c>
      <c r="N478" s="61" t="str">
        <f aca="false">IF(IsPro,IF($D478="","",IF(AND(V478&lt;&gt;"",INDEX(Parties!$E$5:$E$304,V478)&lt;&gt;"",INDEX(Parties!$E$5:$E$304,V478)&lt;&gt;HomeState),0,ROUND(L478*M478/2,2))),"")</f>
        <v/>
      </c>
      <c r="O478" s="61" t="str">
        <f aca="false">IF(IsPro,IF($D478="","",N478),"")</f>
        <v/>
      </c>
      <c r="P478" s="61" t="str">
        <f aca="false">IF(IsPro,IF($D478="","",IF(AND(V478&lt;&gt;"",INDEX(Parties!$E$5:$E$304,V478)&lt;&gt;"",INDEX(Parties!$E$5:$E$304,V478)&lt;&gt;HomeState),ROUND(L478*M478,2),0)),"")</f>
        <v/>
      </c>
      <c r="Q478" s="61" t="str">
        <f aca="false">IF(IsPro,IF($D478="","",L478+N478+O478+P478),"")</f>
        <v/>
      </c>
      <c r="R478" s="61" t="str">
        <f aca="false">IF(IsPro,IF($D478="","",ROUND(N($E478)*IFERROR(INDEX(Items!$P$5:$P$504,U478),0),2)),"")</f>
        <v/>
      </c>
      <c r="S478" s="61" t="str">
        <f aca="false">IF(IsPro,IF($D478="","",L478-R478),"")</f>
        <v/>
      </c>
      <c r="T478" s="60" t="str">
        <f aca="false">IF(IsPro,IF($D478="","",IF(U478="","UNKNOWN ITEM",IF(INDEX(Items!$O$5:$O$504,U478)&lt;0,"NEG STOCK",IF(K478&lt;INDEX(Items!$P$5:$P$504,U478),"BELOW COST","OK")))),IF($D478="","","PRO PLAN"))</f>
        <v/>
      </c>
      <c r="U478" s="60" t="str">
        <f aca="false">IF(IsPro,IF($D478="","",IFERROR(MATCH($D478,Items!$A$5:$A$504,0),"")),"")</f>
        <v/>
      </c>
      <c r="V478" s="60" t="str">
        <f aca="false">IF(IsPro,IF($C478="","",IFERROR(MATCH($C478,Parties!$A$5:$A$304,0),"")),"")</f>
        <v/>
      </c>
      <c r="W478" s="60" t="str">
        <f aca="false">IF(IsPro,IF($B478="","",IFERROR(VALUE(SUBSTITUTE($B478,InvPrefix,"")),0)),"")</f>
        <v/>
      </c>
      <c r="X478" s="61" t="str">
        <f aca="false">IF(IsPro,IF($D478="","",IF(OR($H478="",$H478="Credit"),0,Q478)),"")</f>
        <v/>
      </c>
    </row>
    <row r="479" customFormat="false" ht="15" hidden="false" customHeight="false" outlineLevel="0" collapsed="false">
      <c r="A479" s="55"/>
      <c r="B479" s="56"/>
      <c r="C479" s="56"/>
      <c r="D479" s="56"/>
      <c r="E479" s="57"/>
      <c r="F479" s="58"/>
      <c r="G479" s="59"/>
      <c r="H479" s="56"/>
      <c r="I479" s="56"/>
      <c r="J479" s="60" t="str">
        <f aca="false">IF(IsPro,IF($D479="","",IFERROR(INDEX(Items!$D$5:$D$504,U479),"")),"")</f>
        <v/>
      </c>
      <c r="K479" s="61" t="str">
        <f aca="false">IF(IsPro,IF($D479="","",IF($F479="",IFERROR(INDEX(Items!$H$5:$H$504,U479),0),$F479)),"")</f>
        <v/>
      </c>
      <c r="L479" s="61" t="str">
        <f aca="false">IF(IsPro,IF($D479="","",ROUND(N($E479)*K479*(1-N($G479)),2)),"")</f>
        <v/>
      </c>
      <c r="M479" s="62" t="str">
        <f aca="false">IF(IsPro,IF($D479="","",IFERROR(INDEX(Items!$F$5:$F$504,U479),0)),"")</f>
        <v/>
      </c>
      <c r="N479" s="61" t="str">
        <f aca="false">IF(IsPro,IF($D479="","",IF(AND(V479&lt;&gt;"",INDEX(Parties!$E$5:$E$304,V479)&lt;&gt;"",INDEX(Parties!$E$5:$E$304,V479)&lt;&gt;HomeState),0,ROUND(L479*M479/2,2))),"")</f>
        <v/>
      </c>
      <c r="O479" s="61" t="str">
        <f aca="false">IF(IsPro,IF($D479="","",N479),"")</f>
        <v/>
      </c>
      <c r="P479" s="61" t="str">
        <f aca="false">IF(IsPro,IF($D479="","",IF(AND(V479&lt;&gt;"",INDEX(Parties!$E$5:$E$304,V479)&lt;&gt;"",INDEX(Parties!$E$5:$E$304,V479)&lt;&gt;HomeState),ROUND(L479*M479,2),0)),"")</f>
        <v/>
      </c>
      <c r="Q479" s="61" t="str">
        <f aca="false">IF(IsPro,IF($D479="","",L479+N479+O479+P479),"")</f>
        <v/>
      </c>
      <c r="R479" s="61" t="str">
        <f aca="false">IF(IsPro,IF($D479="","",ROUND(N($E479)*IFERROR(INDEX(Items!$P$5:$P$504,U479),0),2)),"")</f>
        <v/>
      </c>
      <c r="S479" s="61" t="str">
        <f aca="false">IF(IsPro,IF($D479="","",L479-R479),"")</f>
        <v/>
      </c>
      <c r="T479" s="60" t="str">
        <f aca="false">IF(IsPro,IF($D479="","",IF(U479="","UNKNOWN ITEM",IF(INDEX(Items!$O$5:$O$504,U479)&lt;0,"NEG STOCK",IF(K479&lt;INDEX(Items!$P$5:$P$504,U479),"BELOW COST","OK")))),IF($D479="","","PRO PLAN"))</f>
        <v/>
      </c>
      <c r="U479" s="60" t="str">
        <f aca="false">IF(IsPro,IF($D479="","",IFERROR(MATCH($D479,Items!$A$5:$A$504,0),"")),"")</f>
        <v/>
      </c>
      <c r="V479" s="60" t="str">
        <f aca="false">IF(IsPro,IF($C479="","",IFERROR(MATCH($C479,Parties!$A$5:$A$304,0),"")),"")</f>
        <v/>
      </c>
      <c r="W479" s="60" t="str">
        <f aca="false">IF(IsPro,IF($B479="","",IFERROR(VALUE(SUBSTITUTE($B479,InvPrefix,"")),0)),"")</f>
        <v/>
      </c>
      <c r="X479" s="61" t="str">
        <f aca="false">IF(IsPro,IF($D479="","",IF(OR($H479="",$H479="Credit"),0,Q479)),"")</f>
        <v/>
      </c>
    </row>
    <row r="480" customFormat="false" ht="15" hidden="false" customHeight="false" outlineLevel="0" collapsed="false">
      <c r="A480" s="55"/>
      <c r="B480" s="56"/>
      <c r="C480" s="56"/>
      <c r="D480" s="56"/>
      <c r="E480" s="57"/>
      <c r="F480" s="58"/>
      <c r="G480" s="59"/>
      <c r="H480" s="56"/>
      <c r="I480" s="56"/>
      <c r="J480" s="60" t="str">
        <f aca="false">IF(IsPro,IF($D480="","",IFERROR(INDEX(Items!$D$5:$D$504,U480),"")),"")</f>
        <v/>
      </c>
      <c r="K480" s="61" t="str">
        <f aca="false">IF(IsPro,IF($D480="","",IF($F480="",IFERROR(INDEX(Items!$H$5:$H$504,U480),0),$F480)),"")</f>
        <v/>
      </c>
      <c r="L480" s="61" t="str">
        <f aca="false">IF(IsPro,IF($D480="","",ROUND(N($E480)*K480*(1-N($G480)),2)),"")</f>
        <v/>
      </c>
      <c r="M480" s="62" t="str">
        <f aca="false">IF(IsPro,IF($D480="","",IFERROR(INDEX(Items!$F$5:$F$504,U480),0)),"")</f>
        <v/>
      </c>
      <c r="N480" s="61" t="str">
        <f aca="false">IF(IsPro,IF($D480="","",IF(AND(V480&lt;&gt;"",INDEX(Parties!$E$5:$E$304,V480)&lt;&gt;"",INDEX(Parties!$E$5:$E$304,V480)&lt;&gt;HomeState),0,ROUND(L480*M480/2,2))),"")</f>
        <v/>
      </c>
      <c r="O480" s="61" t="str">
        <f aca="false">IF(IsPro,IF($D480="","",N480),"")</f>
        <v/>
      </c>
      <c r="P480" s="61" t="str">
        <f aca="false">IF(IsPro,IF($D480="","",IF(AND(V480&lt;&gt;"",INDEX(Parties!$E$5:$E$304,V480)&lt;&gt;"",INDEX(Parties!$E$5:$E$304,V480)&lt;&gt;HomeState),ROUND(L480*M480,2),0)),"")</f>
        <v/>
      </c>
      <c r="Q480" s="61" t="str">
        <f aca="false">IF(IsPro,IF($D480="","",L480+N480+O480+P480),"")</f>
        <v/>
      </c>
      <c r="R480" s="61" t="str">
        <f aca="false">IF(IsPro,IF($D480="","",ROUND(N($E480)*IFERROR(INDEX(Items!$P$5:$P$504,U480),0),2)),"")</f>
        <v/>
      </c>
      <c r="S480" s="61" t="str">
        <f aca="false">IF(IsPro,IF($D480="","",L480-R480),"")</f>
        <v/>
      </c>
      <c r="T480" s="60" t="str">
        <f aca="false">IF(IsPro,IF($D480="","",IF(U480="","UNKNOWN ITEM",IF(INDEX(Items!$O$5:$O$504,U480)&lt;0,"NEG STOCK",IF(K480&lt;INDEX(Items!$P$5:$P$504,U480),"BELOW COST","OK")))),IF($D480="","","PRO PLAN"))</f>
        <v/>
      </c>
      <c r="U480" s="60" t="str">
        <f aca="false">IF(IsPro,IF($D480="","",IFERROR(MATCH($D480,Items!$A$5:$A$504,0),"")),"")</f>
        <v/>
      </c>
      <c r="V480" s="60" t="str">
        <f aca="false">IF(IsPro,IF($C480="","",IFERROR(MATCH($C480,Parties!$A$5:$A$304,0),"")),"")</f>
        <v/>
      </c>
      <c r="W480" s="60" t="str">
        <f aca="false">IF(IsPro,IF($B480="","",IFERROR(VALUE(SUBSTITUTE($B480,InvPrefix,"")),0)),"")</f>
        <v/>
      </c>
      <c r="X480" s="61" t="str">
        <f aca="false">IF(IsPro,IF($D480="","",IF(OR($H480="",$H480="Credit"),0,Q480)),"")</f>
        <v/>
      </c>
    </row>
    <row r="481" customFormat="false" ht="15" hidden="false" customHeight="false" outlineLevel="0" collapsed="false">
      <c r="A481" s="55"/>
      <c r="B481" s="56"/>
      <c r="C481" s="56"/>
      <c r="D481" s="56"/>
      <c r="E481" s="57"/>
      <c r="F481" s="58"/>
      <c r="G481" s="59"/>
      <c r="H481" s="56"/>
      <c r="I481" s="56"/>
      <c r="J481" s="60" t="str">
        <f aca="false">IF(IsPro,IF($D481="","",IFERROR(INDEX(Items!$D$5:$D$504,U481),"")),"")</f>
        <v/>
      </c>
      <c r="K481" s="61" t="str">
        <f aca="false">IF(IsPro,IF($D481="","",IF($F481="",IFERROR(INDEX(Items!$H$5:$H$504,U481),0),$F481)),"")</f>
        <v/>
      </c>
      <c r="L481" s="61" t="str">
        <f aca="false">IF(IsPro,IF($D481="","",ROUND(N($E481)*K481*(1-N($G481)),2)),"")</f>
        <v/>
      </c>
      <c r="M481" s="62" t="str">
        <f aca="false">IF(IsPro,IF($D481="","",IFERROR(INDEX(Items!$F$5:$F$504,U481),0)),"")</f>
        <v/>
      </c>
      <c r="N481" s="61" t="str">
        <f aca="false">IF(IsPro,IF($D481="","",IF(AND(V481&lt;&gt;"",INDEX(Parties!$E$5:$E$304,V481)&lt;&gt;"",INDEX(Parties!$E$5:$E$304,V481)&lt;&gt;HomeState),0,ROUND(L481*M481/2,2))),"")</f>
        <v/>
      </c>
      <c r="O481" s="61" t="str">
        <f aca="false">IF(IsPro,IF($D481="","",N481),"")</f>
        <v/>
      </c>
      <c r="P481" s="61" t="str">
        <f aca="false">IF(IsPro,IF($D481="","",IF(AND(V481&lt;&gt;"",INDEX(Parties!$E$5:$E$304,V481)&lt;&gt;"",INDEX(Parties!$E$5:$E$304,V481)&lt;&gt;HomeState),ROUND(L481*M481,2),0)),"")</f>
        <v/>
      </c>
      <c r="Q481" s="61" t="str">
        <f aca="false">IF(IsPro,IF($D481="","",L481+N481+O481+P481),"")</f>
        <v/>
      </c>
      <c r="R481" s="61" t="str">
        <f aca="false">IF(IsPro,IF($D481="","",ROUND(N($E481)*IFERROR(INDEX(Items!$P$5:$P$504,U481),0),2)),"")</f>
        <v/>
      </c>
      <c r="S481" s="61" t="str">
        <f aca="false">IF(IsPro,IF($D481="","",L481-R481),"")</f>
        <v/>
      </c>
      <c r="T481" s="60" t="str">
        <f aca="false">IF(IsPro,IF($D481="","",IF(U481="","UNKNOWN ITEM",IF(INDEX(Items!$O$5:$O$504,U481)&lt;0,"NEG STOCK",IF(K481&lt;INDEX(Items!$P$5:$P$504,U481),"BELOW COST","OK")))),IF($D481="","","PRO PLAN"))</f>
        <v/>
      </c>
      <c r="U481" s="60" t="str">
        <f aca="false">IF(IsPro,IF($D481="","",IFERROR(MATCH($D481,Items!$A$5:$A$504,0),"")),"")</f>
        <v/>
      </c>
      <c r="V481" s="60" t="str">
        <f aca="false">IF(IsPro,IF($C481="","",IFERROR(MATCH($C481,Parties!$A$5:$A$304,0),"")),"")</f>
        <v/>
      </c>
      <c r="W481" s="60" t="str">
        <f aca="false">IF(IsPro,IF($B481="","",IFERROR(VALUE(SUBSTITUTE($B481,InvPrefix,"")),0)),"")</f>
        <v/>
      </c>
      <c r="X481" s="61" t="str">
        <f aca="false">IF(IsPro,IF($D481="","",IF(OR($H481="",$H481="Credit"),0,Q481)),"")</f>
        <v/>
      </c>
    </row>
    <row r="482" customFormat="false" ht="15" hidden="false" customHeight="false" outlineLevel="0" collapsed="false">
      <c r="A482" s="55"/>
      <c r="B482" s="56"/>
      <c r="C482" s="56"/>
      <c r="D482" s="56"/>
      <c r="E482" s="57"/>
      <c r="F482" s="58"/>
      <c r="G482" s="59"/>
      <c r="H482" s="56"/>
      <c r="I482" s="56"/>
      <c r="J482" s="60" t="str">
        <f aca="false">IF(IsPro,IF($D482="","",IFERROR(INDEX(Items!$D$5:$D$504,U482),"")),"")</f>
        <v/>
      </c>
      <c r="K482" s="61" t="str">
        <f aca="false">IF(IsPro,IF($D482="","",IF($F482="",IFERROR(INDEX(Items!$H$5:$H$504,U482),0),$F482)),"")</f>
        <v/>
      </c>
      <c r="L482" s="61" t="str">
        <f aca="false">IF(IsPro,IF($D482="","",ROUND(N($E482)*K482*(1-N($G482)),2)),"")</f>
        <v/>
      </c>
      <c r="M482" s="62" t="str">
        <f aca="false">IF(IsPro,IF($D482="","",IFERROR(INDEX(Items!$F$5:$F$504,U482),0)),"")</f>
        <v/>
      </c>
      <c r="N482" s="61" t="str">
        <f aca="false">IF(IsPro,IF($D482="","",IF(AND(V482&lt;&gt;"",INDEX(Parties!$E$5:$E$304,V482)&lt;&gt;"",INDEX(Parties!$E$5:$E$304,V482)&lt;&gt;HomeState),0,ROUND(L482*M482/2,2))),"")</f>
        <v/>
      </c>
      <c r="O482" s="61" t="str">
        <f aca="false">IF(IsPro,IF($D482="","",N482),"")</f>
        <v/>
      </c>
      <c r="P482" s="61" t="str">
        <f aca="false">IF(IsPro,IF($D482="","",IF(AND(V482&lt;&gt;"",INDEX(Parties!$E$5:$E$304,V482)&lt;&gt;"",INDEX(Parties!$E$5:$E$304,V482)&lt;&gt;HomeState),ROUND(L482*M482,2),0)),"")</f>
        <v/>
      </c>
      <c r="Q482" s="61" t="str">
        <f aca="false">IF(IsPro,IF($D482="","",L482+N482+O482+P482),"")</f>
        <v/>
      </c>
      <c r="R482" s="61" t="str">
        <f aca="false">IF(IsPro,IF($D482="","",ROUND(N($E482)*IFERROR(INDEX(Items!$P$5:$P$504,U482),0),2)),"")</f>
        <v/>
      </c>
      <c r="S482" s="61" t="str">
        <f aca="false">IF(IsPro,IF($D482="","",L482-R482),"")</f>
        <v/>
      </c>
      <c r="T482" s="60" t="str">
        <f aca="false">IF(IsPro,IF($D482="","",IF(U482="","UNKNOWN ITEM",IF(INDEX(Items!$O$5:$O$504,U482)&lt;0,"NEG STOCK",IF(K482&lt;INDEX(Items!$P$5:$P$504,U482),"BELOW COST","OK")))),IF($D482="","","PRO PLAN"))</f>
        <v/>
      </c>
      <c r="U482" s="60" t="str">
        <f aca="false">IF(IsPro,IF($D482="","",IFERROR(MATCH($D482,Items!$A$5:$A$504,0),"")),"")</f>
        <v/>
      </c>
      <c r="V482" s="60" t="str">
        <f aca="false">IF(IsPro,IF($C482="","",IFERROR(MATCH($C482,Parties!$A$5:$A$304,0),"")),"")</f>
        <v/>
      </c>
      <c r="W482" s="60" t="str">
        <f aca="false">IF(IsPro,IF($B482="","",IFERROR(VALUE(SUBSTITUTE($B482,InvPrefix,"")),0)),"")</f>
        <v/>
      </c>
      <c r="X482" s="61" t="str">
        <f aca="false">IF(IsPro,IF($D482="","",IF(OR($H482="",$H482="Credit"),0,Q482)),"")</f>
        <v/>
      </c>
    </row>
    <row r="483" customFormat="false" ht="15" hidden="false" customHeight="false" outlineLevel="0" collapsed="false">
      <c r="A483" s="55"/>
      <c r="B483" s="56"/>
      <c r="C483" s="56"/>
      <c r="D483" s="56"/>
      <c r="E483" s="57"/>
      <c r="F483" s="58"/>
      <c r="G483" s="59"/>
      <c r="H483" s="56"/>
      <c r="I483" s="56"/>
      <c r="J483" s="60" t="str">
        <f aca="false">IF(IsPro,IF($D483="","",IFERROR(INDEX(Items!$D$5:$D$504,U483),"")),"")</f>
        <v/>
      </c>
      <c r="K483" s="61" t="str">
        <f aca="false">IF(IsPro,IF($D483="","",IF($F483="",IFERROR(INDEX(Items!$H$5:$H$504,U483),0),$F483)),"")</f>
        <v/>
      </c>
      <c r="L483" s="61" t="str">
        <f aca="false">IF(IsPro,IF($D483="","",ROUND(N($E483)*K483*(1-N($G483)),2)),"")</f>
        <v/>
      </c>
      <c r="M483" s="62" t="str">
        <f aca="false">IF(IsPro,IF($D483="","",IFERROR(INDEX(Items!$F$5:$F$504,U483),0)),"")</f>
        <v/>
      </c>
      <c r="N483" s="61" t="str">
        <f aca="false">IF(IsPro,IF($D483="","",IF(AND(V483&lt;&gt;"",INDEX(Parties!$E$5:$E$304,V483)&lt;&gt;"",INDEX(Parties!$E$5:$E$304,V483)&lt;&gt;HomeState),0,ROUND(L483*M483/2,2))),"")</f>
        <v/>
      </c>
      <c r="O483" s="61" t="str">
        <f aca="false">IF(IsPro,IF($D483="","",N483),"")</f>
        <v/>
      </c>
      <c r="P483" s="61" t="str">
        <f aca="false">IF(IsPro,IF($D483="","",IF(AND(V483&lt;&gt;"",INDEX(Parties!$E$5:$E$304,V483)&lt;&gt;"",INDEX(Parties!$E$5:$E$304,V483)&lt;&gt;HomeState),ROUND(L483*M483,2),0)),"")</f>
        <v/>
      </c>
      <c r="Q483" s="61" t="str">
        <f aca="false">IF(IsPro,IF($D483="","",L483+N483+O483+P483),"")</f>
        <v/>
      </c>
      <c r="R483" s="61" t="str">
        <f aca="false">IF(IsPro,IF($D483="","",ROUND(N($E483)*IFERROR(INDEX(Items!$P$5:$P$504,U483),0),2)),"")</f>
        <v/>
      </c>
      <c r="S483" s="61" t="str">
        <f aca="false">IF(IsPro,IF($D483="","",L483-R483),"")</f>
        <v/>
      </c>
      <c r="T483" s="60" t="str">
        <f aca="false">IF(IsPro,IF($D483="","",IF(U483="","UNKNOWN ITEM",IF(INDEX(Items!$O$5:$O$504,U483)&lt;0,"NEG STOCK",IF(K483&lt;INDEX(Items!$P$5:$P$504,U483),"BELOW COST","OK")))),IF($D483="","","PRO PLAN"))</f>
        <v/>
      </c>
      <c r="U483" s="60" t="str">
        <f aca="false">IF(IsPro,IF($D483="","",IFERROR(MATCH($D483,Items!$A$5:$A$504,0),"")),"")</f>
        <v/>
      </c>
      <c r="V483" s="60" t="str">
        <f aca="false">IF(IsPro,IF($C483="","",IFERROR(MATCH($C483,Parties!$A$5:$A$304,0),"")),"")</f>
        <v/>
      </c>
      <c r="W483" s="60" t="str">
        <f aca="false">IF(IsPro,IF($B483="","",IFERROR(VALUE(SUBSTITUTE($B483,InvPrefix,"")),0)),"")</f>
        <v/>
      </c>
      <c r="X483" s="61" t="str">
        <f aca="false">IF(IsPro,IF($D483="","",IF(OR($H483="",$H483="Credit"),0,Q483)),"")</f>
        <v/>
      </c>
    </row>
    <row r="484" customFormat="false" ht="15" hidden="false" customHeight="false" outlineLevel="0" collapsed="false">
      <c r="A484" s="55"/>
      <c r="B484" s="56"/>
      <c r="C484" s="56"/>
      <c r="D484" s="56"/>
      <c r="E484" s="57"/>
      <c r="F484" s="58"/>
      <c r="G484" s="59"/>
      <c r="H484" s="56"/>
      <c r="I484" s="56"/>
      <c r="J484" s="60" t="str">
        <f aca="false">IF(IsPro,IF($D484="","",IFERROR(INDEX(Items!$D$5:$D$504,U484),"")),"")</f>
        <v/>
      </c>
      <c r="K484" s="61" t="str">
        <f aca="false">IF(IsPro,IF($D484="","",IF($F484="",IFERROR(INDEX(Items!$H$5:$H$504,U484),0),$F484)),"")</f>
        <v/>
      </c>
      <c r="L484" s="61" t="str">
        <f aca="false">IF(IsPro,IF($D484="","",ROUND(N($E484)*K484*(1-N($G484)),2)),"")</f>
        <v/>
      </c>
      <c r="M484" s="62" t="str">
        <f aca="false">IF(IsPro,IF($D484="","",IFERROR(INDEX(Items!$F$5:$F$504,U484),0)),"")</f>
        <v/>
      </c>
      <c r="N484" s="61" t="str">
        <f aca="false">IF(IsPro,IF($D484="","",IF(AND(V484&lt;&gt;"",INDEX(Parties!$E$5:$E$304,V484)&lt;&gt;"",INDEX(Parties!$E$5:$E$304,V484)&lt;&gt;HomeState),0,ROUND(L484*M484/2,2))),"")</f>
        <v/>
      </c>
      <c r="O484" s="61" t="str">
        <f aca="false">IF(IsPro,IF($D484="","",N484),"")</f>
        <v/>
      </c>
      <c r="P484" s="61" t="str">
        <f aca="false">IF(IsPro,IF($D484="","",IF(AND(V484&lt;&gt;"",INDEX(Parties!$E$5:$E$304,V484)&lt;&gt;"",INDEX(Parties!$E$5:$E$304,V484)&lt;&gt;HomeState),ROUND(L484*M484,2),0)),"")</f>
        <v/>
      </c>
      <c r="Q484" s="61" t="str">
        <f aca="false">IF(IsPro,IF($D484="","",L484+N484+O484+P484),"")</f>
        <v/>
      </c>
      <c r="R484" s="61" t="str">
        <f aca="false">IF(IsPro,IF($D484="","",ROUND(N($E484)*IFERROR(INDEX(Items!$P$5:$P$504,U484),0),2)),"")</f>
        <v/>
      </c>
      <c r="S484" s="61" t="str">
        <f aca="false">IF(IsPro,IF($D484="","",L484-R484),"")</f>
        <v/>
      </c>
      <c r="T484" s="60" t="str">
        <f aca="false">IF(IsPro,IF($D484="","",IF(U484="","UNKNOWN ITEM",IF(INDEX(Items!$O$5:$O$504,U484)&lt;0,"NEG STOCK",IF(K484&lt;INDEX(Items!$P$5:$P$504,U484),"BELOW COST","OK")))),IF($D484="","","PRO PLAN"))</f>
        <v/>
      </c>
      <c r="U484" s="60" t="str">
        <f aca="false">IF(IsPro,IF($D484="","",IFERROR(MATCH($D484,Items!$A$5:$A$504,0),"")),"")</f>
        <v/>
      </c>
      <c r="V484" s="60" t="str">
        <f aca="false">IF(IsPro,IF($C484="","",IFERROR(MATCH($C484,Parties!$A$5:$A$304,0),"")),"")</f>
        <v/>
      </c>
      <c r="W484" s="60" t="str">
        <f aca="false">IF(IsPro,IF($B484="","",IFERROR(VALUE(SUBSTITUTE($B484,InvPrefix,"")),0)),"")</f>
        <v/>
      </c>
      <c r="X484" s="61" t="str">
        <f aca="false">IF(IsPro,IF($D484="","",IF(OR($H484="",$H484="Credit"),0,Q484)),"")</f>
        <v/>
      </c>
    </row>
    <row r="485" customFormat="false" ht="15" hidden="false" customHeight="false" outlineLevel="0" collapsed="false">
      <c r="A485" s="55"/>
      <c r="B485" s="56"/>
      <c r="C485" s="56"/>
      <c r="D485" s="56"/>
      <c r="E485" s="57"/>
      <c r="F485" s="58"/>
      <c r="G485" s="59"/>
      <c r="H485" s="56"/>
      <c r="I485" s="56"/>
      <c r="J485" s="60" t="str">
        <f aca="false">IF(IsPro,IF($D485="","",IFERROR(INDEX(Items!$D$5:$D$504,U485),"")),"")</f>
        <v/>
      </c>
      <c r="K485" s="61" t="str">
        <f aca="false">IF(IsPro,IF($D485="","",IF($F485="",IFERROR(INDEX(Items!$H$5:$H$504,U485),0),$F485)),"")</f>
        <v/>
      </c>
      <c r="L485" s="61" t="str">
        <f aca="false">IF(IsPro,IF($D485="","",ROUND(N($E485)*K485*(1-N($G485)),2)),"")</f>
        <v/>
      </c>
      <c r="M485" s="62" t="str">
        <f aca="false">IF(IsPro,IF($D485="","",IFERROR(INDEX(Items!$F$5:$F$504,U485),0)),"")</f>
        <v/>
      </c>
      <c r="N485" s="61" t="str">
        <f aca="false">IF(IsPro,IF($D485="","",IF(AND(V485&lt;&gt;"",INDEX(Parties!$E$5:$E$304,V485)&lt;&gt;"",INDEX(Parties!$E$5:$E$304,V485)&lt;&gt;HomeState),0,ROUND(L485*M485/2,2))),"")</f>
        <v/>
      </c>
      <c r="O485" s="61" t="str">
        <f aca="false">IF(IsPro,IF($D485="","",N485),"")</f>
        <v/>
      </c>
      <c r="P485" s="61" t="str">
        <f aca="false">IF(IsPro,IF($D485="","",IF(AND(V485&lt;&gt;"",INDEX(Parties!$E$5:$E$304,V485)&lt;&gt;"",INDEX(Parties!$E$5:$E$304,V485)&lt;&gt;HomeState),ROUND(L485*M485,2),0)),"")</f>
        <v/>
      </c>
      <c r="Q485" s="61" t="str">
        <f aca="false">IF(IsPro,IF($D485="","",L485+N485+O485+P485),"")</f>
        <v/>
      </c>
      <c r="R485" s="61" t="str">
        <f aca="false">IF(IsPro,IF($D485="","",ROUND(N($E485)*IFERROR(INDEX(Items!$P$5:$P$504,U485),0),2)),"")</f>
        <v/>
      </c>
      <c r="S485" s="61" t="str">
        <f aca="false">IF(IsPro,IF($D485="","",L485-R485),"")</f>
        <v/>
      </c>
      <c r="T485" s="60" t="str">
        <f aca="false">IF(IsPro,IF($D485="","",IF(U485="","UNKNOWN ITEM",IF(INDEX(Items!$O$5:$O$504,U485)&lt;0,"NEG STOCK",IF(K485&lt;INDEX(Items!$P$5:$P$504,U485),"BELOW COST","OK")))),IF($D485="","","PRO PLAN"))</f>
        <v/>
      </c>
      <c r="U485" s="60" t="str">
        <f aca="false">IF(IsPro,IF($D485="","",IFERROR(MATCH($D485,Items!$A$5:$A$504,0),"")),"")</f>
        <v/>
      </c>
      <c r="V485" s="60" t="str">
        <f aca="false">IF(IsPro,IF($C485="","",IFERROR(MATCH($C485,Parties!$A$5:$A$304,0),"")),"")</f>
        <v/>
      </c>
      <c r="W485" s="60" t="str">
        <f aca="false">IF(IsPro,IF($B485="","",IFERROR(VALUE(SUBSTITUTE($B485,InvPrefix,"")),0)),"")</f>
        <v/>
      </c>
      <c r="X485" s="61" t="str">
        <f aca="false">IF(IsPro,IF($D485="","",IF(OR($H485="",$H485="Credit"),0,Q485)),"")</f>
        <v/>
      </c>
    </row>
    <row r="486" customFormat="false" ht="15" hidden="false" customHeight="false" outlineLevel="0" collapsed="false">
      <c r="A486" s="55"/>
      <c r="B486" s="56"/>
      <c r="C486" s="56"/>
      <c r="D486" s="56"/>
      <c r="E486" s="57"/>
      <c r="F486" s="58"/>
      <c r="G486" s="59"/>
      <c r="H486" s="56"/>
      <c r="I486" s="56"/>
      <c r="J486" s="60" t="str">
        <f aca="false">IF(IsPro,IF($D486="","",IFERROR(INDEX(Items!$D$5:$D$504,U486),"")),"")</f>
        <v/>
      </c>
      <c r="K486" s="61" t="str">
        <f aca="false">IF(IsPro,IF($D486="","",IF($F486="",IFERROR(INDEX(Items!$H$5:$H$504,U486),0),$F486)),"")</f>
        <v/>
      </c>
      <c r="L486" s="61" t="str">
        <f aca="false">IF(IsPro,IF($D486="","",ROUND(N($E486)*K486*(1-N($G486)),2)),"")</f>
        <v/>
      </c>
      <c r="M486" s="62" t="str">
        <f aca="false">IF(IsPro,IF($D486="","",IFERROR(INDEX(Items!$F$5:$F$504,U486),0)),"")</f>
        <v/>
      </c>
      <c r="N486" s="61" t="str">
        <f aca="false">IF(IsPro,IF($D486="","",IF(AND(V486&lt;&gt;"",INDEX(Parties!$E$5:$E$304,V486)&lt;&gt;"",INDEX(Parties!$E$5:$E$304,V486)&lt;&gt;HomeState),0,ROUND(L486*M486/2,2))),"")</f>
        <v/>
      </c>
      <c r="O486" s="61" t="str">
        <f aca="false">IF(IsPro,IF($D486="","",N486),"")</f>
        <v/>
      </c>
      <c r="P486" s="61" t="str">
        <f aca="false">IF(IsPro,IF($D486="","",IF(AND(V486&lt;&gt;"",INDEX(Parties!$E$5:$E$304,V486)&lt;&gt;"",INDEX(Parties!$E$5:$E$304,V486)&lt;&gt;HomeState),ROUND(L486*M486,2),0)),"")</f>
        <v/>
      </c>
      <c r="Q486" s="61" t="str">
        <f aca="false">IF(IsPro,IF($D486="","",L486+N486+O486+P486),"")</f>
        <v/>
      </c>
      <c r="R486" s="61" t="str">
        <f aca="false">IF(IsPro,IF($D486="","",ROUND(N($E486)*IFERROR(INDEX(Items!$P$5:$P$504,U486),0),2)),"")</f>
        <v/>
      </c>
      <c r="S486" s="61" t="str">
        <f aca="false">IF(IsPro,IF($D486="","",L486-R486),"")</f>
        <v/>
      </c>
      <c r="T486" s="60" t="str">
        <f aca="false">IF(IsPro,IF($D486="","",IF(U486="","UNKNOWN ITEM",IF(INDEX(Items!$O$5:$O$504,U486)&lt;0,"NEG STOCK",IF(K486&lt;INDEX(Items!$P$5:$P$504,U486),"BELOW COST","OK")))),IF($D486="","","PRO PLAN"))</f>
        <v/>
      </c>
      <c r="U486" s="60" t="str">
        <f aca="false">IF(IsPro,IF($D486="","",IFERROR(MATCH($D486,Items!$A$5:$A$504,0),"")),"")</f>
        <v/>
      </c>
      <c r="V486" s="60" t="str">
        <f aca="false">IF(IsPro,IF($C486="","",IFERROR(MATCH($C486,Parties!$A$5:$A$304,0),"")),"")</f>
        <v/>
      </c>
      <c r="W486" s="60" t="str">
        <f aca="false">IF(IsPro,IF($B486="","",IFERROR(VALUE(SUBSTITUTE($B486,InvPrefix,"")),0)),"")</f>
        <v/>
      </c>
      <c r="X486" s="61" t="str">
        <f aca="false">IF(IsPro,IF($D486="","",IF(OR($H486="",$H486="Credit"),0,Q486)),"")</f>
        <v/>
      </c>
    </row>
    <row r="487" customFormat="false" ht="15" hidden="false" customHeight="false" outlineLevel="0" collapsed="false">
      <c r="A487" s="55"/>
      <c r="B487" s="56"/>
      <c r="C487" s="56"/>
      <c r="D487" s="56"/>
      <c r="E487" s="57"/>
      <c r="F487" s="58"/>
      <c r="G487" s="59"/>
      <c r="H487" s="56"/>
      <c r="I487" s="56"/>
      <c r="J487" s="60" t="str">
        <f aca="false">IF(IsPro,IF($D487="","",IFERROR(INDEX(Items!$D$5:$D$504,U487),"")),"")</f>
        <v/>
      </c>
      <c r="K487" s="61" t="str">
        <f aca="false">IF(IsPro,IF($D487="","",IF($F487="",IFERROR(INDEX(Items!$H$5:$H$504,U487),0),$F487)),"")</f>
        <v/>
      </c>
      <c r="L487" s="61" t="str">
        <f aca="false">IF(IsPro,IF($D487="","",ROUND(N($E487)*K487*(1-N($G487)),2)),"")</f>
        <v/>
      </c>
      <c r="M487" s="62" t="str">
        <f aca="false">IF(IsPro,IF($D487="","",IFERROR(INDEX(Items!$F$5:$F$504,U487),0)),"")</f>
        <v/>
      </c>
      <c r="N487" s="61" t="str">
        <f aca="false">IF(IsPro,IF($D487="","",IF(AND(V487&lt;&gt;"",INDEX(Parties!$E$5:$E$304,V487)&lt;&gt;"",INDEX(Parties!$E$5:$E$304,V487)&lt;&gt;HomeState),0,ROUND(L487*M487/2,2))),"")</f>
        <v/>
      </c>
      <c r="O487" s="61" t="str">
        <f aca="false">IF(IsPro,IF($D487="","",N487),"")</f>
        <v/>
      </c>
      <c r="P487" s="61" t="str">
        <f aca="false">IF(IsPro,IF($D487="","",IF(AND(V487&lt;&gt;"",INDEX(Parties!$E$5:$E$304,V487)&lt;&gt;"",INDEX(Parties!$E$5:$E$304,V487)&lt;&gt;HomeState),ROUND(L487*M487,2),0)),"")</f>
        <v/>
      </c>
      <c r="Q487" s="61" t="str">
        <f aca="false">IF(IsPro,IF($D487="","",L487+N487+O487+P487),"")</f>
        <v/>
      </c>
      <c r="R487" s="61" t="str">
        <f aca="false">IF(IsPro,IF($D487="","",ROUND(N($E487)*IFERROR(INDEX(Items!$P$5:$P$504,U487),0),2)),"")</f>
        <v/>
      </c>
      <c r="S487" s="61" t="str">
        <f aca="false">IF(IsPro,IF($D487="","",L487-R487),"")</f>
        <v/>
      </c>
      <c r="T487" s="60" t="str">
        <f aca="false">IF(IsPro,IF($D487="","",IF(U487="","UNKNOWN ITEM",IF(INDEX(Items!$O$5:$O$504,U487)&lt;0,"NEG STOCK",IF(K487&lt;INDEX(Items!$P$5:$P$504,U487),"BELOW COST","OK")))),IF($D487="","","PRO PLAN"))</f>
        <v/>
      </c>
      <c r="U487" s="60" t="str">
        <f aca="false">IF(IsPro,IF($D487="","",IFERROR(MATCH($D487,Items!$A$5:$A$504,0),"")),"")</f>
        <v/>
      </c>
      <c r="V487" s="60" t="str">
        <f aca="false">IF(IsPro,IF($C487="","",IFERROR(MATCH($C487,Parties!$A$5:$A$304,0),"")),"")</f>
        <v/>
      </c>
      <c r="W487" s="60" t="str">
        <f aca="false">IF(IsPro,IF($B487="","",IFERROR(VALUE(SUBSTITUTE($B487,InvPrefix,"")),0)),"")</f>
        <v/>
      </c>
      <c r="X487" s="61" t="str">
        <f aca="false">IF(IsPro,IF($D487="","",IF(OR($H487="",$H487="Credit"),0,Q487)),"")</f>
        <v/>
      </c>
    </row>
    <row r="488" customFormat="false" ht="15" hidden="false" customHeight="false" outlineLevel="0" collapsed="false">
      <c r="A488" s="55"/>
      <c r="B488" s="56"/>
      <c r="C488" s="56"/>
      <c r="D488" s="56"/>
      <c r="E488" s="57"/>
      <c r="F488" s="58"/>
      <c r="G488" s="59"/>
      <c r="H488" s="56"/>
      <c r="I488" s="56"/>
      <c r="J488" s="60" t="str">
        <f aca="false">IF(IsPro,IF($D488="","",IFERROR(INDEX(Items!$D$5:$D$504,U488),"")),"")</f>
        <v/>
      </c>
      <c r="K488" s="61" t="str">
        <f aca="false">IF(IsPro,IF($D488="","",IF($F488="",IFERROR(INDEX(Items!$H$5:$H$504,U488),0),$F488)),"")</f>
        <v/>
      </c>
      <c r="L488" s="61" t="str">
        <f aca="false">IF(IsPro,IF($D488="","",ROUND(N($E488)*K488*(1-N($G488)),2)),"")</f>
        <v/>
      </c>
      <c r="M488" s="62" t="str">
        <f aca="false">IF(IsPro,IF($D488="","",IFERROR(INDEX(Items!$F$5:$F$504,U488),0)),"")</f>
        <v/>
      </c>
      <c r="N488" s="61" t="str">
        <f aca="false">IF(IsPro,IF($D488="","",IF(AND(V488&lt;&gt;"",INDEX(Parties!$E$5:$E$304,V488)&lt;&gt;"",INDEX(Parties!$E$5:$E$304,V488)&lt;&gt;HomeState),0,ROUND(L488*M488/2,2))),"")</f>
        <v/>
      </c>
      <c r="O488" s="61" t="str">
        <f aca="false">IF(IsPro,IF($D488="","",N488),"")</f>
        <v/>
      </c>
      <c r="P488" s="61" t="str">
        <f aca="false">IF(IsPro,IF($D488="","",IF(AND(V488&lt;&gt;"",INDEX(Parties!$E$5:$E$304,V488)&lt;&gt;"",INDEX(Parties!$E$5:$E$304,V488)&lt;&gt;HomeState),ROUND(L488*M488,2),0)),"")</f>
        <v/>
      </c>
      <c r="Q488" s="61" t="str">
        <f aca="false">IF(IsPro,IF($D488="","",L488+N488+O488+P488),"")</f>
        <v/>
      </c>
      <c r="R488" s="61" t="str">
        <f aca="false">IF(IsPro,IF($D488="","",ROUND(N($E488)*IFERROR(INDEX(Items!$P$5:$P$504,U488),0),2)),"")</f>
        <v/>
      </c>
      <c r="S488" s="61" t="str">
        <f aca="false">IF(IsPro,IF($D488="","",L488-R488),"")</f>
        <v/>
      </c>
      <c r="T488" s="60" t="str">
        <f aca="false">IF(IsPro,IF($D488="","",IF(U488="","UNKNOWN ITEM",IF(INDEX(Items!$O$5:$O$504,U488)&lt;0,"NEG STOCK",IF(K488&lt;INDEX(Items!$P$5:$P$504,U488),"BELOW COST","OK")))),IF($D488="","","PRO PLAN"))</f>
        <v/>
      </c>
      <c r="U488" s="60" t="str">
        <f aca="false">IF(IsPro,IF($D488="","",IFERROR(MATCH($D488,Items!$A$5:$A$504,0),"")),"")</f>
        <v/>
      </c>
      <c r="V488" s="60" t="str">
        <f aca="false">IF(IsPro,IF($C488="","",IFERROR(MATCH($C488,Parties!$A$5:$A$304,0),"")),"")</f>
        <v/>
      </c>
      <c r="W488" s="60" t="str">
        <f aca="false">IF(IsPro,IF($B488="","",IFERROR(VALUE(SUBSTITUTE($B488,InvPrefix,"")),0)),"")</f>
        <v/>
      </c>
      <c r="X488" s="61" t="str">
        <f aca="false">IF(IsPro,IF($D488="","",IF(OR($H488="",$H488="Credit"),0,Q488)),"")</f>
        <v/>
      </c>
    </row>
    <row r="489" customFormat="false" ht="15" hidden="false" customHeight="false" outlineLevel="0" collapsed="false">
      <c r="A489" s="55"/>
      <c r="B489" s="56"/>
      <c r="C489" s="56"/>
      <c r="D489" s="56"/>
      <c r="E489" s="57"/>
      <c r="F489" s="58"/>
      <c r="G489" s="59"/>
      <c r="H489" s="56"/>
      <c r="I489" s="56"/>
      <c r="J489" s="60" t="str">
        <f aca="false">IF(IsPro,IF($D489="","",IFERROR(INDEX(Items!$D$5:$D$504,U489),"")),"")</f>
        <v/>
      </c>
      <c r="K489" s="61" t="str">
        <f aca="false">IF(IsPro,IF($D489="","",IF($F489="",IFERROR(INDEX(Items!$H$5:$H$504,U489),0),$F489)),"")</f>
        <v/>
      </c>
      <c r="L489" s="61" t="str">
        <f aca="false">IF(IsPro,IF($D489="","",ROUND(N($E489)*K489*(1-N($G489)),2)),"")</f>
        <v/>
      </c>
      <c r="M489" s="62" t="str">
        <f aca="false">IF(IsPro,IF($D489="","",IFERROR(INDEX(Items!$F$5:$F$504,U489),0)),"")</f>
        <v/>
      </c>
      <c r="N489" s="61" t="str">
        <f aca="false">IF(IsPro,IF($D489="","",IF(AND(V489&lt;&gt;"",INDEX(Parties!$E$5:$E$304,V489)&lt;&gt;"",INDEX(Parties!$E$5:$E$304,V489)&lt;&gt;HomeState),0,ROUND(L489*M489/2,2))),"")</f>
        <v/>
      </c>
      <c r="O489" s="61" t="str">
        <f aca="false">IF(IsPro,IF($D489="","",N489),"")</f>
        <v/>
      </c>
      <c r="P489" s="61" t="str">
        <f aca="false">IF(IsPro,IF($D489="","",IF(AND(V489&lt;&gt;"",INDEX(Parties!$E$5:$E$304,V489)&lt;&gt;"",INDEX(Parties!$E$5:$E$304,V489)&lt;&gt;HomeState),ROUND(L489*M489,2),0)),"")</f>
        <v/>
      </c>
      <c r="Q489" s="61" t="str">
        <f aca="false">IF(IsPro,IF($D489="","",L489+N489+O489+P489),"")</f>
        <v/>
      </c>
      <c r="R489" s="61" t="str">
        <f aca="false">IF(IsPro,IF($D489="","",ROUND(N($E489)*IFERROR(INDEX(Items!$P$5:$P$504,U489),0),2)),"")</f>
        <v/>
      </c>
      <c r="S489" s="61" t="str">
        <f aca="false">IF(IsPro,IF($D489="","",L489-R489),"")</f>
        <v/>
      </c>
      <c r="T489" s="60" t="str">
        <f aca="false">IF(IsPro,IF($D489="","",IF(U489="","UNKNOWN ITEM",IF(INDEX(Items!$O$5:$O$504,U489)&lt;0,"NEG STOCK",IF(K489&lt;INDEX(Items!$P$5:$P$504,U489),"BELOW COST","OK")))),IF($D489="","","PRO PLAN"))</f>
        <v/>
      </c>
      <c r="U489" s="60" t="str">
        <f aca="false">IF(IsPro,IF($D489="","",IFERROR(MATCH($D489,Items!$A$5:$A$504,0),"")),"")</f>
        <v/>
      </c>
      <c r="V489" s="60" t="str">
        <f aca="false">IF(IsPro,IF($C489="","",IFERROR(MATCH($C489,Parties!$A$5:$A$304,0),"")),"")</f>
        <v/>
      </c>
      <c r="W489" s="60" t="str">
        <f aca="false">IF(IsPro,IF($B489="","",IFERROR(VALUE(SUBSTITUTE($B489,InvPrefix,"")),0)),"")</f>
        <v/>
      </c>
      <c r="X489" s="61" t="str">
        <f aca="false">IF(IsPro,IF($D489="","",IF(OR($H489="",$H489="Credit"),0,Q489)),"")</f>
        <v/>
      </c>
    </row>
    <row r="490" customFormat="false" ht="15" hidden="false" customHeight="false" outlineLevel="0" collapsed="false">
      <c r="A490" s="55"/>
      <c r="B490" s="56"/>
      <c r="C490" s="56"/>
      <c r="D490" s="56"/>
      <c r="E490" s="57"/>
      <c r="F490" s="58"/>
      <c r="G490" s="59"/>
      <c r="H490" s="56"/>
      <c r="I490" s="56"/>
      <c r="J490" s="60" t="str">
        <f aca="false">IF(IsPro,IF($D490="","",IFERROR(INDEX(Items!$D$5:$D$504,U490),"")),"")</f>
        <v/>
      </c>
      <c r="K490" s="61" t="str">
        <f aca="false">IF(IsPro,IF($D490="","",IF($F490="",IFERROR(INDEX(Items!$H$5:$H$504,U490),0),$F490)),"")</f>
        <v/>
      </c>
      <c r="L490" s="61" t="str">
        <f aca="false">IF(IsPro,IF($D490="","",ROUND(N($E490)*K490*(1-N($G490)),2)),"")</f>
        <v/>
      </c>
      <c r="M490" s="62" t="str">
        <f aca="false">IF(IsPro,IF($D490="","",IFERROR(INDEX(Items!$F$5:$F$504,U490),0)),"")</f>
        <v/>
      </c>
      <c r="N490" s="61" t="str">
        <f aca="false">IF(IsPro,IF($D490="","",IF(AND(V490&lt;&gt;"",INDEX(Parties!$E$5:$E$304,V490)&lt;&gt;"",INDEX(Parties!$E$5:$E$304,V490)&lt;&gt;HomeState),0,ROUND(L490*M490/2,2))),"")</f>
        <v/>
      </c>
      <c r="O490" s="61" t="str">
        <f aca="false">IF(IsPro,IF($D490="","",N490),"")</f>
        <v/>
      </c>
      <c r="P490" s="61" t="str">
        <f aca="false">IF(IsPro,IF($D490="","",IF(AND(V490&lt;&gt;"",INDEX(Parties!$E$5:$E$304,V490)&lt;&gt;"",INDEX(Parties!$E$5:$E$304,V490)&lt;&gt;HomeState),ROUND(L490*M490,2),0)),"")</f>
        <v/>
      </c>
      <c r="Q490" s="61" t="str">
        <f aca="false">IF(IsPro,IF($D490="","",L490+N490+O490+P490),"")</f>
        <v/>
      </c>
      <c r="R490" s="61" t="str">
        <f aca="false">IF(IsPro,IF($D490="","",ROUND(N($E490)*IFERROR(INDEX(Items!$P$5:$P$504,U490),0),2)),"")</f>
        <v/>
      </c>
      <c r="S490" s="61" t="str">
        <f aca="false">IF(IsPro,IF($D490="","",L490-R490),"")</f>
        <v/>
      </c>
      <c r="T490" s="60" t="str">
        <f aca="false">IF(IsPro,IF($D490="","",IF(U490="","UNKNOWN ITEM",IF(INDEX(Items!$O$5:$O$504,U490)&lt;0,"NEG STOCK",IF(K490&lt;INDEX(Items!$P$5:$P$504,U490),"BELOW COST","OK")))),IF($D490="","","PRO PLAN"))</f>
        <v/>
      </c>
      <c r="U490" s="60" t="str">
        <f aca="false">IF(IsPro,IF($D490="","",IFERROR(MATCH($D490,Items!$A$5:$A$504,0),"")),"")</f>
        <v/>
      </c>
      <c r="V490" s="60" t="str">
        <f aca="false">IF(IsPro,IF($C490="","",IFERROR(MATCH($C490,Parties!$A$5:$A$304,0),"")),"")</f>
        <v/>
      </c>
      <c r="W490" s="60" t="str">
        <f aca="false">IF(IsPro,IF($B490="","",IFERROR(VALUE(SUBSTITUTE($B490,InvPrefix,"")),0)),"")</f>
        <v/>
      </c>
      <c r="X490" s="61" t="str">
        <f aca="false">IF(IsPro,IF($D490="","",IF(OR($H490="",$H490="Credit"),0,Q490)),"")</f>
        <v/>
      </c>
    </row>
    <row r="491" customFormat="false" ht="15" hidden="false" customHeight="false" outlineLevel="0" collapsed="false">
      <c r="A491" s="55"/>
      <c r="B491" s="56"/>
      <c r="C491" s="56"/>
      <c r="D491" s="56"/>
      <c r="E491" s="57"/>
      <c r="F491" s="58"/>
      <c r="G491" s="59"/>
      <c r="H491" s="56"/>
      <c r="I491" s="56"/>
      <c r="J491" s="60" t="str">
        <f aca="false">IF(IsPro,IF($D491="","",IFERROR(INDEX(Items!$D$5:$D$504,U491),"")),"")</f>
        <v/>
      </c>
      <c r="K491" s="61" t="str">
        <f aca="false">IF(IsPro,IF($D491="","",IF($F491="",IFERROR(INDEX(Items!$H$5:$H$504,U491),0),$F491)),"")</f>
        <v/>
      </c>
      <c r="L491" s="61" t="str">
        <f aca="false">IF(IsPro,IF($D491="","",ROUND(N($E491)*K491*(1-N($G491)),2)),"")</f>
        <v/>
      </c>
      <c r="M491" s="62" t="str">
        <f aca="false">IF(IsPro,IF($D491="","",IFERROR(INDEX(Items!$F$5:$F$504,U491),0)),"")</f>
        <v/>
      </c>
      <c r="N491" s="61" t="str">
        <f aca="false">IF(IsPro,IF($D491="","",IF(AND(V491&lt;&gt;"",INDEX(Parties!$E$5:$E$304,V491)&lt;&gt;"",INDEX(Parties!$E$5:$E$304,V491)&lt;&gt;HomeState),0,ROUND(L491*M491/2,2))),"")</f>
        <v/>
      </c>
      <c r="O491" s="61" t="str">
        <f aca="false">IF(IsPro,IF($D491="","",N491),"")</f>
        <v/>
      </c>
      <c r="P491" s="61" t="str">
        <f aca="false">IF(IsPro,IF($D491="","",IF(AND(V491&lt;&gt;"",INDEX(Parties!$E$5:$E$304,V491)&lt;&gt;"",INDEX(Parties!$E$5:$E$304,V491)&lt;&gt;HomeState),ROUND(L491*M491,2),0)),"")</f>
        <v/>
      </c>
      <c r="Q491" s="61" t="str">
        <f aca="false">IF(IsPro,IF($D491="","",L491+N491+O491+P491),"")</f>
        <v/>
      </c>
      <c r="R491" s="61" t="str">
        <f aca="false">IF(IsPro,IF($D491="","",ROUND(N($E491)*IFERROR(INDEX(Items!$P$5:$P$504,U491),0),2)),"")</f>
        <v/>
      </c>
      <c r="S491" s="61" t="str">
        <f aca="false">IF(IsPro,IF($D491="","",L491-R491),"")</f>
        <v/>
      </c>
      <c r="T491" s="60" t="str">
        <f aca="false">IF(IsPro,IF($D491="","",IF(U491="","UNKNOWN ITEM",IF(INDEX(Items!$O$5:$O$504,U491)&lt;0,"NEG STOCK",IF(K491&lt;INDEX(Items!$P$5:$P$504,U491),"BELOW COST","OK")))),IF($D491="","","PRO PLAN"))</f>
        <v/>
      </c>
      <c r="U491" s="60" t="str">
        <f aca="false">IF(IsPro,IF($D491="","",IFERROR(MATCH($D491,Items!$A$5:$A$504,0),"")),"")</f>
        <v/>
      </c>
      <c r="V491" s="60" t="str">
        <f aca="false">IF(IsPro,IF($C491="","",IFERROR(MATCH($C491,Parties!$A$5:$A$304,0),"")),"")</f>
        <v/>
      </c>
      <c r="W491" s="60" t="str">
        <f aca="false">IF(IsPro,IF($B491="","",IFERROR(VALUE(SUBSTITUTE($B491,InvPrefix,"")),0)),"")</f>
        <v/>
      </c>
      <c r="X491" s="61" t="str">
        <f aca="false">IF(IsPro,IF($D491="","",IF(OR($H491="",$H491="Credit"),0,Q491)),"")</f>
        <v/>
      </c>
    </row>
    <row r="492" customFormat="false" ht="15" hidden="false" customHeight="false" outlineLevel="0" collapsed="false">
      <c r="A492" s="55"/>
      <c r="B492" s="56"/>
      <c r="C492" s="56"/>
      <c r="D492" s="56"/>
      <c r="E492" s="57"/>
      <c r="F492" s="58"/>
      <c r="G492" s="59"/>
      <c r="H492" s="56"/>
      <c r="I492" s="56"/>
      <c r="J492" s="60" t="str">
        <f aca="false">IF(IsPro,IF($D492="","",IFERROR(INDEX(Items!$D$5:$D$504,U492),"")),"")</f>
        <v/>
      </c>
      <c r="K492" s="61" t="str">
        <f aca="false">IF(IsPro,IF($D492="","",IF($F492="",IFERROR(INDEX(Items!$H$5:$H$504,U492),0),$F492)),"")</f>
        <v/>
      </c>
      <c r="L492" s="61" t="str">
        <f aca="false">IF(IsPro,IF($D492="","",ROUND(N($E492)*K492*(1-N($G492)),2)),"")</f>
        <v/>
      </c>
      <c r="M492" s="62" t="str">
        <f aca="false">IF(IsPro,IF($D492="","",IFERROR(INDEX(Items!$F$5:$F$504,U492),0)),"")</f>
        <v/>
      </c>
      <c r="N492" s="61" t="str">
        <f aca="false">IF(IsPro,IF($D492="","",IF(AND(V492&lt;&gt;"",INDEX(Parties!$E$5:$E$304,V492)&lt;&gt;"",INDEX(Parties!$E$5:$E$304,V492)&lt;&gt;HomeState),0,ROUND(L492*M492/2,2))),"")</f>
        <v/>
      </c>
      <c r="O492" s="61" t="str">
        <f aca="false">IF(IsPro,IF($D492="","",N492),"")</f>
        <v/>
      </c>
      <c r="P492" s="61" t="str">
        <f aca="false">IF(IsPro,IF($D492="","",IF(AND(V492&lt;&gt;"",INDEX(Parties!$E$5:$E$304,V492)&lt;&gt;"",INDEX(Parties!$E$5:$E$304,V492)&lt;&gt;HomeState),ROUND(L492*M492,2),0)),"")</f>
        <v/>
      </c>
      <c r="Q492" s="61" t="str">
        <f aca="false">IF(IsPro,IF($D492="","",L492+N492+O492+P492),"")</f>
        <v/>
      </c>
      <c r="R492" s="61" t="str">
        <f aca="false">IF(IsPro,IF($D492="","",ROUND(N($E492)*IFERROR(INDEX(Items!$P$5:$P$504,U492),0),2)),"")</f>
        <v/>
      </c>
      <c r="S492" s="61" t="str">
        <f aca="false">IF(IsPro,IF($D492="","",L492-R492),"")</f>
        <v/>
      </c>
      <c r="T492" s="60" t="str">
        <f aca="false">IF(IsPro,IF($D492="","",IF(U492="","UNKNOWN ITEM",IF(INDEX(Items!$O$5:$O$504,U492)&lt;0,"NEG STOCK",IF(K492&lt;INDEX(Items!$P$5:$P$504,U492),"BELOW COST","OK")))),IF($D492="","","PRO PLAN"))</f>
        <v/>
      </c>
      <c r="U492" s="60" t="str">
        <f aca="false">IF(IsPro,IF($D492="","",IFERROR(MATCH($D492,Items!$A$5:$A$504,0),"")),"")</f>
        <v/>
      </c>
      <c r="V492" s="60" t="str">
        <f aca="false">IF(IsPro,IF($C492="","",IFERROR(MATCH($C492,Parties!$A$5:$A$304,0),"")),"")</f>
        <v/>
      </c>
      <c r="W492" s="60" t="str">
        <f aca="false">IF(IsPro,IF($B492="","",IFERROR(VALUE(SUBSTITUTE($B492,InvPrefix,"")),0)),"")</f>
        <v/>
      </c>
      <c r="X492" s="61" t="str">
        <f aca="false">IF(IsPro,IF($D492="","",IF(OR($H492="",$H492="Credit"),0,Q492)),"")</f>
        <v/>
      </c>
    </row>
    <row r="493" customFormat="false" ht="15" hidden="false" customHeight="false" outlineLevel="0" collapsed="false">
      <c r="A493" s="55"/>
      <c r="B493" s="56"/>
      <c r="C493" s="56"/>
      <c r="D493" s="56"/>
      <c r="E493" s="57"/>
      <c r="F493" s="58"/>
      <c r="G493" s="59"/>
      <c r="H493" s="56"/>
      <c r="I493" s="56"/>
      <c r="J493" s="60" t="str">
        <f aca="false">IF(IsPro,IF($D493="","",IFERROR(INDEX(Items!$D$5:$D$504,U493),"")),"")</f>
        <v/>
      </c>
      <c r="K493" s="61" t="str">
        <f aca="false">IF(IsPro,IF($D493="","",IF($F493="",IFERROR(INDEX(Items!$H$5:$H$504,U493),0),$F493)),"")</f>
        <v/>
      </c>
      <c r="L493" s="61" t="str">
        <f aca="false">IF(IsPro,IF($D493="","",ROUND(N($E493)*K493*(1-N($G493)),2)),"")</f>
        <v/>
      </c>
      <c r="M493" s="62" t="str">
        <f aca="false">IF(IsPro,IF($D493="","",IFERROR(INDEX(Items!$F$5:$F$504,U493),0)),"")</f>
        <v/>
      </c>
      <c r="N493" s="61" t="str">
        <f aca="false">IF(IsPro,IF($D493="","",IF(AND(V493&lt;&gt;"",INDEX(Parties!$E$5:$E$304,V493)&lt;&gt;"",INDEX(Parties!$E$5:$E$304,V493)&lt;&gt;HomeState),0,ROUND(L493*M493/2,2))),"")</f>
        <v/>
      </c>
      <c r="O493" s="61" t="str">
        <f aca="false">IF(IsPro,IF($D493="","",N493),"")</f>
        <v/>
      </c>
      <c r="P493" s="61" t="str">
        <f aca="false">IF(IsPro,IF($D493="","",IF(AND(V493&lt;&gt;"",INDEX(Parties!$E$5:$E$304,V493)&lt;&gt;"",INDEX(Parties!$E$5:$E$304,V493)&lt;&gt;HomeState),ROUND(L493*M493,2),0)),"")</f>
        <v/>
      </c>
      <c r="Q493" s="61" t="str">
        <f aca="false">IF(IsPro,IF($D493="","",L493+N493+O493+P493),"")</f>
        <v/>
      </c>
      <c r="R493" s="61" t="str">
        <f aca="false">IF(IsPro,IF($D493="","",ROUND(N($E493)*IFERROR(INDEX(Items!$P$5:$P$504,U493),0),2)),"")</f>
        <v/>
      </c>
      <c r="S493" s="61" t="str">
        <f aca="false">IF(IsPro,IF($D493="","",L493-R493),"")</f>
        <v/>
      </c>
      <c r="T493" s="60" t="str">
        <f aca="false">IF(IsPro,IF($D493="","",IF(U493="","UNKNOWN ITEM",IF(INDEX(Items!$O$5:$O$504,U493)&lt;0,"NEG STOCK",IF(K493&lt;INDEX(Items!$P$5:$P$504,U493),"BELOW COST","OK")))),IF($D493="","","PRO PLAN"))</f>
        <v/>
      </c>
      <c r="U493" s="60" t="str">
        <f aca="false">IF(IsPro,IF($D493="","",IFERROR(MATCH($D493,Items!$A$5:$A$504,0),"")),"")</f>
        <v/>
      </c>
      <c r="V493" s="60" t="str">
        <f aca="false">IF(IsPro,IF($C493="","",IFERROR(MATCH($C493,Parties!$A$5:$A$304,0),"")),"")</f>
        <v/>
      </c>
      <c r="W493" s="60" t="str">
        <f aca="false">IF(IsPro,IF($B493="","",IFERROR(VALUE(SUBSTITUTE($B493,InvPrefix,"")),0)),"")</f>
        <v/>
      </c>
      <c r="X493" s="61" t="str">
        <f aca="false">IF(IsPro,IF($D493="","",IF(OR($H493="",$H493="Credit"),0,Q493)),"")</f>
        <v/>
      </c>
    </row>
    <row r="494" customFormat="false" ht="15" hidden="false" customHeight="false" outlineLevel="0" collapsed="false">
      <c r="A494" s="55"/>
      <c r="B494" s="56"/>
      <c r="C494" s="56"/>
      <c r="D494" s="56"/>
      <c r="E494" s="57"/>
      <c r="F494" s="58"/>
      <c r="G494" s="59"/>
      <c r="H494" s="56"/>
      <c r="I494" s="56"/>
      <c r="J494" s="60" t="str">
        <f aca="false">IF(IsPro,IF($D494="","",IFERROR(INDEX(Items!$D$5:$D$504,U494),"")),"")</f>
        <v/>
      </c>
      <c r="K494" s="61" t="str">
        <f aca="false">IF(IsPro,IF($D494="","",IF($F494="",IFERROR(INDEX(Items!$H$5:$H$504,U494),0),$F494)),"")</f>
        <v/>
      </c>
      <c r="L494" s="61" t="str">
        <f aca="false">IF(IsPro,IF($D494="","",ROUND(N($E494)*K494*(1-N($G494)),2)),"")</f>
        <v/>
      </c>
      <c r="M494" s="62" t="str">
        <f aca="false">IF(IsPro,IF($D494="","",IFERROR(INDEX(Items!$F$5:$F$504,U494),0)),"")</f>
        <v/>
      </c>
      <c r="N494" s="61" t="str">
        <f aca="false">IF(IsPro,IF($D494="","",IF(AND(V494&lt;&gt;"",INDEX(Parties!$E$5:$E$304,V494)&lt;&gt;"",INDEX(Parties!$E$5:$E$304,V494)&lt;&gt;HomeState),0,ROUND(L494*M494/2,2))),"")</f>
        <v/>
      </c>
      <c r="O494" s="61" t="str">
        <f aca="false">IF(IsPro,IF($D494="","",N494),"")</f>
        <v/>
      </c>
      <c r="P494" s="61" t="str">
        <f aca="false">IF(IsPro,IF($D494="","",IF(AND(V494&lt;&gt;"",INDEX(Parties!$E$5:$E$304,V494)&lt;&gt;"",INDEX(Parties!$E$5:$E$304,V494)&lt;&gt;HomeState),ROUND(L494*M494,2),0)),"")</f>
        <v/>
      </c>
      <c r="Q494" s="61" t="str">
        <f aca="false">IF(IsPro,IF($D494="","",L494+N494+O494+P494),"")</f>
        <v/>
      </c>
      <c r="R494" s="61" t="str">
        <f aca="false">IF(IsPro,IF($D494="","",ROUND(N($E494)*IFERROR(INDEX(Items!$P$5:$P$504,U494),0),2)),"")</f>
        <v/>
      </c>
      <c r="S494" s="61" t="str">
        <f aca="false">IF(IsPro,IF($D494="","",L494-R494),"")</f>
        <v/>
      </c>
      <c r="T494" s="60" t="str">
        <f aca="false">IF(IsPro,IF($D494="","",IF(U494="","UNKNOWN ITEM",IF(INDEX(Items!$O$5:$O$504,U494)&lt;0,"NEG STOCK",IF(K494&lt;INDEX(Items!$P$5:$P$504,U494),"BELOW COST","OK")))),IF($D494="","","PRO PLAN"))</f>
        <v/>
      </c>
      <c r="U494" s="60" t="str">
        <f aca="false">IF(IsPro,IF($D494="","",IFERROR(MATCH($D494,Items!$A$5:$A$504,0),"")),"")</f>
        <v/>
      </c>
      <c r="V494" s="60" t="str">
        <f aca="false">IF(IsPro,IF($C494="","",IFERROR(MATCH($C494,Parties!$A$5:$A$304,0),"")),"")</f>
        <v/>
      </c>
      <c r="W494" s="60" t="str">
        <f aca="false">IF(IsPro,IF($B494="","",IFERROR(VALUE(SUBSTITUTE($B494,InvPrefix,"")),0)),"")</f>
        <v/>
      </c>
      <c r="X494" s="61" t="str">
        <f aca="false">IF(IsPro,IF($D494="","",IF(OR($H494="",$H494="Credit"),0,Q494)),"")</f>
        <v/>
      </c>
    </row>
    <row r="495" customFormat="false" ht="15" hidden="false" customHeight="false" outlineLevel="0" collapsed="false">
      <c r="A495" s="55"/>
      <c r="B495" s="56"/>
      <c r="C495" s="56"/>
      <c r="D495" s="56"/>
      <c r="E495" s="57"/>
      <c r="F495" s="58"/>
      <c r="G495" s="59"/>
      <c r="H495" s="56"/>
      <c r="I495" s="56"/>
      <c r="J495" s="60" t="str">
        <f aca="false">IF(IsPro,IF($D495="","",IFERROR(INDEX(Items!$D$5:$D$504,U495),"")),"")</f>
        <v/>
      </c>
      <c r="K495" s="61" t="str">
        <f aca="false">IF(IsPro,IF($D495="","",IF($F495="",IFERROR(INDEX(Items!$H$5:$H$504,U495),0),$F495)),"")</f>
        <v/>
      </c>
      <c r="L495" s="61" t="str">
        <f aca="false">IF(IsPro,IF($D495="","",ROUND(N($E495)*K495*(1-N($G495)),2)),"")</f>
        <v/>
      </c>
      <c r="M495" s="62" t="str">
        <f aca="false">IF(IsPro,IF($D495="","",IFERROR(INDEX(Items!$F$5:$F$504,U495),0)),"")</f>
        <v/>
      </c>
      <c r="N495" s="61" t="str">
        <f aca="false">IF(IsPro,IF($D495="","",IF(AND(V495&lt;&gt;"",INDEX(Parties!$E$5:$E$304,V495)&lt;&gt;"",INDEX(Parties!$E$5:$E$304,V495)&lt;&gt;HomeState),0,ROUND(L495*M495/2,2))),"")</f>
        <v/>
      </c>
      <c r="O495" s="61" t="str">
        <f aca="false">IF(IsPro,IF($D495="","",N495),"")</f>
        <v/>
      </c>
      <c r="P495" s="61" t="str">
        <f aca="false">IF(IsPro,IF($D495="","",IF(AND(V495&lt;&gt;"",INDEX(Parties!$E$5:$E$304,V495)&lt;&gt;"",INDEX(Parties!$E$5:$E$304,V495)&lt;&gt;HomeState),ROUND(L495*M495,2),0)),"")</f>
        <v/>
      </c>
      <c r="Q495" s="61" t="str">
        <f aca="false">IF(IsPro,IF($D495="","",L495+N495+O495+P495),"")</f>
        <v/>
      </c>
      <c r="R495" s="61" t="str">
        <f aca="false">IF(IsPro,IF($D495="","",ROUND(N($E495)*IFERROR(INDEX(Items!$P$5:$P$504,U495),0),2)),"")</f>
        <v/>
      </c>
      <c r="S495" s="61" t="str">
        <f aca="false">IF(IsPro,IF($D495="","",L495-R495),"")</f>
        <v/>
      </c>
      <c r="T495" s="60" t="str">
        <f aca="false">IF(IsPro,IF($D495="","",IF(U495="","UNKNOWN ITEM",IF(INDEX(Items!$O$5:$O$504,U495)&lt;0,"NEG STOCK",IF(K495&lt;INDEX(Items!$P$5:$P$504,U495),"BELOW COST","OK")))),IF($D495="","","PRO PLAN"))</f>
        <v/>
      </c>
      <c r="U495" s="60" t="str">
        <f aca="false">IF(IsPro,IF($D495="","",IFERROR(MATCH($D495,Items!$A$5:$A$504,0),"")),"")</f>
        <v/>
      </c>
      <c r="V495" s="60" t="str">
        <f aca="false">IF(IsPro,IF($C495="","",IFERROR(MATCH($C495,Parties!$A$5:$A$304,0),"")),"")</f>
        <v/>
      </c>
      <c r="W495" s="60" t="str">
        <f aca="false">IF(IsPro,IF($B495="","",IFERROR(VALUE(SUBSTITUTE($B495,InvPrefix,"")),0)),"")</f>
        <v/>
      </c>
      <c r="X495" s="61" t="str">
        <f aca="false">IF(IsPro,IF($D495="","",IF(OR($H495="",$H495="Credit"),0,Q495)),"")</f>
        <v/>
      </c>
    </row>
    <row r="496" customFormat="false" ht="15" hidden="false" customHeight="false" outlineLevel="0" collapsed="false">
      <c r="A496" s="55"/>
      <c r="B496" s="56"/>
      <c r="C496" s="56"/>
      <c r="D496" s="56"/>
      <c r="E496" s="57"/>
      <c r="F496" s="58"/>
      <c r="G496" s="59"/>
      <c r="H496" s="56"/>
      <c r="I496" s="56"/>
      <c r="J496" s="60" t="str">
        <f aca="false">IF(IsPro,IF($D496="","",IFERROR(INDEX(Items!$D$5:$D$504,U496),"")),"")</f>
        <v/>
      </c>
      <c r="K496" s="61" t="str">
        <f aca="false">IF(IsPro,IF($D496="","",IF($F496="",IFERROR(INDEX(Items!$H$5:$H$504,U496),0),$F496)),"")</f>
        <v/>
      </c>
      <c r="L496" s="61" t="str">
        <f aca="false">IF(IsPro,IF($D496="","",ROUND(N($E496)*K496*(1-N($G496)),2)),"")</f>
        <v/>
      </c>
      <c r="M496" s="62" t="str">
        <f aca="false">IF(IsPro,IF($D496="","",IFERROR(INDEX(Items!$F$5:$F$504,U496),0)),"")</f>
        <v/>
      </c>
      <c r="N496" s="61" t="str">
        <f aca="false">IF(IsPro,IF($D496="","",IF(AND(V496&lt;&gt;"",INDEX(Parties!$E$5:$E$304,V496)&lt;&gt;"",INDEX(Parties!$E$5:$E$304,V496)&lt;&gt;HomeState),0,ROUND(L496*M496/2,2))),"")</f>
        <v/>
      </c>
      <c r="O496" s="61" t="str">
        <f aca="false">IF(IsPro,IF($D496="","",N496),"")</f>
        <v/>
      </c>
      <c r="P496" s="61" t="str">
        <f aca="false">IF(IsPro,IF($D496="","",IF(AND(V496&lt;&gt;"",INDEX(Parties!$E$5:$E$304,V496)&lt;&gt;"",INDEX(Parties!$E$5:$E$304,V496)&lt;&gt;HomeState),ROUND(L496*M496,2),0)),"")</f>
        <v/>
      </c>
      <c r="Q496" s="61" t="str">
        <f aca="false">IF(IsPro,IF($D496="","",L496+N496+O496+P496),"")</f>
        <v/>
      </c>
      <c r="R496" s="61" t="str">
        <f aca="false">IF(IsPro,IF($D496="","",ROUND(N($E496)*IFERROR(INDEX(Items!$P$5:$P$504,U496),0),2)),"")</f>
        <v/>
      </c>
      <c r="S496" s="61" t="str">
        <f aca="false">IF(IsPro,IF($D496="","",L496-R496),"")</f>
        <v/>
      </c>
      <c r="T496" s="60" t="str">
        <f aca="false">IF(IsPro,IF($D496="","",IF(U496="","UNKNOWN ITEM",IF(INDEX(Items!$O$5:$O$504,U496)&lt;0,"NEG STOCK",IF(K496&lt;INDEX(Items!$P$5:$P$504,U496),"BELOW COST","OK")))),IF($D496="","","PRO PLAN"))</f>
        <v/>
      </c>
      <c r="U496" s="60" t="str">
        <f aca="false">IF(IsPro,IF($D496="","",IFERROR(MATCH($D496,Items!$A$5:$A$504,0),"")),"")</f>
        <v/>
      </c>
      <c r="V496" s="60" t="str">
        <f aca="false">IF(IsPro,IF($C496="","",IFERROR(MATCH($C496,Parties!$A$5:$A$304,0),"")),"")</f>
        <v/>
      </c>
      <c r="W496" s="60" t="str">
        <f aca="false">IF(IsPro,IF($B496="","",IFERROR(VALUE(SUBSTITUTE($B496,InvPrefix,"")),0)),"")</f>
        <v/>
      </c>
      <c r="X496" s="61" t="str">
        <f aca="false">IF(IsPro,IF($D496="","",IF(OR($H496="",$H496="Credit"),0,Q496)),"")</f>
        <v/>
      </c>
    </row>
    <row r="497" customFormat="false" ht="15" hidden="false" customHeight="false" outlineLevel="0" collapsed="false">
      <c r="A497" s="55"/>
      <c r="B497" s="56"/>
      <c r="C497" s="56"/>
      <c r="D497" s="56"/>
      <c r="E497" s="57"/>
      <c r="F497" s="58"/>
      <c r="G497" s="59"/>
      <c r="H497" s="56"/>
      <c r="I497" s="56"/>
      <c r="J497" s="60" t="str">
        <f aca="false">IF(IsPro,IF($D497="","",IFERROR(INDEX(Items!$D$5:$D$504,U497),"")),"")</f>
        <v/>
      </c>
      <c r="K497" s="61" t="str">
        <f aca="false">IF(IsPro,IF($D497="","",IF($F497="",IFERROR(INDEX(Items!$H$5:$H$504,U497),0),$F497)),"")</f>
        <v/>
      </c>
      <c r="L497" s="61" t="str">
        <f aca="false">IF(IsPro,IF($D497="","",ROUND(N($E497)*K497*(1-N($G497)),2)),"")</f>
        <v/>
      </c>
      <c r="M497" s="62" t="str">
        <f aca="false">IF(IsPro,IF($D497="","",IFERROR(INDEX(Items!$F$5:$F$504,U497),0)),"")</f>
        <v/>
      </c>
      <c r="N497" s="61" t="str">
        <f aca="false">IF(IsPro,IF($D497="","",IF(AND(V497&lt;&gt;"",INDEX(Parties!$E$5:$E$304,V497)&lt;&gt;"",INDEX(Parties!$E$5:$E$304,V497)&lt;&gt;HomeState),0,ROUND(L497*M497/2,2))),"")</f>
        <v/>
      </c>
      <c r="O497" s="61" t="str">
        <f aca="false">IF(IsPro,IF($D497="","",N497),"")</f>
        <v/>
      </c>
      <c r="P497" s="61" t="str">
        <f aca="false">IF(IsPro,IF($D497="","",IF(AND(V497&lt;&gt;"",INDEX(Parties!$E$5:$E$304,V497)&lt;&gt;"",INDEX(Parties!$E$5:$E$304,V497)&lt;&gt;HomeState),ROUND(L497*M497,2),0)),"")</f>
        <v/>
      </c>
      <c r="Q497" s="61" t="str">
        <f aca="false">IF(IsPro,IF($D497="","",L497+N497+O497+P497),"")</f>
        <v/>
      </c>
      <c r="R497" s="61" t="str">
        <f aca="false">IF(IsPro,IF($D497="","",ROUND(N($E497)*IFERROR(INDEX(Items!$P$5:$P$504,U497),0),2)),"")</f>
        <v/>
      </c>
      <c r="S497" s="61" t="str">
        <f aca="false">IF(IsPro,IF($D497="","",L497-R497),"")</f>
        <v/>
      </c>
      <c r="T497" s="60" t="str">
        <f aca="false">IF(IsPro,IF($D497="","",IF(U497="","UNKNOWN ITEM",IF(INDEX(Items!$O$5:$O$504,U497)&lt;0,"NEG STOCK",IF(K497&lt;INDEX(Items!$P$5:$P$504,U497),"BELOW COST","OK")))),IF($D497="","","PRO PLAN"))</f>
        <v/>
      </c>
      <c r="U497" s="60" t="str">
        <f aca="false">IF(IsPro,IF($D497="","",IFERROR(MATCH($D497,Items!$A$5:$A$504,0),"")),"")</f>
        <v/>
      </c>
      <c r="V497" s="60" t="str">
        <f aca="false">IF(IsPro,IF($C497="","",IFERROR(MATCH($C497,Parties!$A$5:$A$304,0),"")),"")</f>
        <v/>
      </c>
      <c r="W497" s="60" t="str">
        <f aca="false">IF(IsPro,IF($B497="","",IFERROR(VALUE(SUBSTITUTE($B497,InvPrefix,"")),0)),"")</f>
        <v/>
      </c>
      <c r="X497" s="61" t="str">
        <f aca="false">IF(IsPro,IF($D497="","",IF(OR($H497="",$H497="Credit"),0,Q497)),"")</f>
        <v/>
      </c>
    </row>
    <row r="498" customFormat="false" ht="15" hidden="false" customHeight="false" outlineLevel="0" collapsed="false">
      <c r="A498" s="55"/>
      <c r="B498" s="56"/>
      <c r="C498" s="56"/>
      <c r="D498" s="56"/>
      <c r="E498" s="57"/>
      <c r="F498" s="58"/>
      <c r="G498" s="59"/>
      <c r="H498" s="56"/>
      <c r="I498" s="56"/>
      <c r="J498" s="60" t="str">
        <f aca="false">IF(IsPro,IF($D498="","",IFERROR(INDEX(Items!$D$5:$D$504,U498),"")),"")</f>
        <v/>
      </c>
      <c r="K498" s="61" t="str">
        <f aca="false">IF(IsPro,IF($D498="","",IF($F498="",IFERROR(INDEX(Items!$H$5:$H$504,U498),0),$F498)),"")</f>
        <v/>
      </c>
      <c r="L498" s="61" t="str">
        <f aca="false">IF(IsPro,IF($D498="","",ROUND(N($E498)*K498*(1-N($G498)),2)),"")</f>
        <v/>
      </c>
      <c r="M498" s="62" t="str">
        <f aca="false">IF(IsPro,IF($D498="","",IFERROR(INDEX(Items!$F$5:$F$504,U498),0)),"")</f>
        <v/>
      </c>
      <c r="N498" s="61" t="str">
        <f aca="false">IF(IsPro,IF($D498="","",IF(AND(V498&lt;&gt;"",INDEX(Parties!$E$5:$E$304,V498)&lt;&gt;"",INDEX(Parties!$E$5:$E$304,V498)&lt;&gt;HomeState),0,ROUND(L498*M498/2,2))),"")</f>
        <v/>
      </c>
      <c r="O498" s="61" t="str">
        <f aca="false">IF(IsPro,IF($D498="","",N498),"")</f>
        <v/>
      </c>
      <c r="P498" s="61" t="str">
        <f aca="false">IF(IsPro,IF($D498="","",IF(AND(V498&lt;&gt;"",INDEX(Parties!$E$5:$E$304,V498)&lt;&gt;"",INDEX(Parties!$E$5:$E$304,V498)&lt;&gt;HomeState),ROUND(L498*M498,2),0)),"")</f>
        <v/>
      </c>
      <c r="Q498" s="61" t="str">
        <f aca="false">IF(IsPro,IF($D498="","",L498+N498+O498+P498),"")</f>
        <v/>
      </c>
      <c r="R498" s="61" t="str">
        <f aca="false">IF(IsPro,IF($D498="","",ROUND(N($E498)*IFERROR(INDEX(Items!$P$5:$P$504,U498),0),2)),"")</f>
        <v/>
      </c>
      <c r="S498" s="61" t="str">
        <f aca="false">IF(IsPro,IF($D498="","",L498-R498),"")</f>
        <v/>
      </c>
      <c r="T498" s="60" t="str">
        <f aca="false">IF(IsPro,IF($D498="","",IF(U498="","UNKNOWN ITEM",IF(INDEX(Items!$O$5:$O$504,U498)&lt;0,"NEG STOCK",IF(K498&lt;INDEX(Items!$P$5:$P$504,U498),"BELOW COST","OK")))),IF($D498="","","PRO PLAN"))</f>
        <v/>
      </c>
      <c r="U498" s="60" t="str">
        <f aca="false">IF(IsPro,IF($D498="","",IFERROR(MATCH($D498,Items!$A$5:$A$504,0),"")),"")</f>
        <v/>
      </c>
      <c r="V498" s="60" t="str">
        <f aca="false">IF(IsPro,IF($C498="","",IFERROR(MATCH($C498,Parties!$A$5:$A$304,0),"")),"")</f>
        <v/>
      </c>
      <c r="W498" s="60" t="str">
        <f aca="false">IF(IsPro,IF($B498="","",IFERROR(VALUE(SUBSTITUTE($B498,InvPrefix,"")),0)),"")</f>
        <v/>
      </c>
      <c r="X498" s="61" t="str">
        <f aca="false">IF(IsPro,IF($D498="","",IF(OR($H498="",$H498="Credit"),0,Q498)),"")</f>
        <v/>
      </c>
    </row>
    <row r="499" customFormat="false" ht="15" hidden="false" customHeight="false" outlineLevel="0" collapsed="false">
      <c r="A499" s="55"/>
      <c r="B499" s="56"/>
      <c r="C499" s="56"/>
      <c r="D499" s="56"/>
      <c r="E499" s="57"/>
      <c r="F499" s="58"/>
      <c r="G499" s="59"/>
      <c r="H499" s="56"/>
      <c r="I499" s="56"/>
      <c r="J499" s="60" t="str">
        <f aca="false">IF(IsPro,IF($D499="","",IFERROR(INDEX(Items!$D$5:$D$504,U499),"")),"")</f>
        <v/>
      </c>
      <c r="K499" s="61" t="str">
        <f aca="false">IF(IsPro,IF($D499="","",IF($F499="",IFERROR(INDEX(Items!$H$5:$H$504,U499),0),$F499)),"")</f>
        <v/>
      </c>
      <c r="L499" s="61" t="str">
        <f aca="false">IF(IsPro,IF($D499="","",ROUND(N($E499)*K499*(1-N($G499)),2)),"")</f>
        <v/>
      </c>
      <c r="M499" s="62" t="str">
        <f aca="false">IF(IsPro,IF($D499="","",IFERROR(INDEX(Items!$F$5:$F$504,U499),0)),"")</f>
        <v/>
      </c>
      <c r="N499" s="61" t="str">
        <f aca="false">IF(IsPro,IF($D499="","",IF(AND(V499&lt;&gt;"",INDEX(Parties!$E$5:$E$304,V499)&lt;&gt;"",INDEX(Parties!$E$5:$E$304,V499)&lt;&gt;HomeState),0,ROUND(L499*M499/2,2))),"")</f>
        <v/>
      </c>
      <c r="O499" s="61" t="str">
        <f aca="false">IF(IsPro,IF($D499="","",N499),"")</f>
        <v/>
      </c>
      <c r="P499" s="61" t="str">
        <f aca="false">IF(IsPro,IF($D499="","",IF(AND(V499&lt;&gt;"",INDEX(Parties!$E$5:$E$304,V499)&lt;&gt;"",INDEX(Parties!$E$5:$E$304,V499)&lt;&gt;HomeState),ROUND(L499*M499,2),0)),"")</f>
        <v/>
      </c>
      <c r="Q499" s="61" t="str">
        <f aca="false">IF(IsPro,IF($D499="","",L499+N499+O499+P499),"")</f>
        <v/>
      </c>
      <c r="R499" s="61" t="str">
        <f aca="false">IF(IsPro,IF($D499="","",ROUND(N($E499)*IFERROR(INDEX(Items!$P$5:$P$504,U499),0),2)),"")</f>
        <v/>
      </c>
      <c r="S499" s="61" t="str">
        <f aca="false">IF(IsPro,IF($D499="","",L499-R499),"")</f>
        <v/>
      </c>
      <c r="T499" s="60" t="str">
        <f aca="false">IF(IsPro,IF($D499="","",IF(U499="","UNKNOWN ITEM",IF(INDEX(Items!$O$5:$O$504,U499)&lt;0,"NEG STOCK",IF(K499&lt;INDEX(Items!$P$5:$P$504,U499),"BELOW COST","OK")))),IF($D499="","","PRO PLAN"))</f>
        <v/>
      </c>
      <c r="U499" s="60" t="str">
        <f aca="false">IF(IsPro,IF($D499="","",IFERROR(MATCH($D499,Items!$A$5:$A$504,0),"")),"")</f>
        <v/>
      </c>
      <c r="V499" s="60" t="str">
        <f aca="false">IF(IsPro,IF($C499="","",IFERROR(MATCH($C499,Parties!$A$5:$A$304,0),"")),"")</f>
        <v/>
      </c>
      <c r="W499" s="60" t="str">
        <f aca="false">IF(IsPro,IF($B499="","",IFERROR(VALUE(SUBSTITUTE($B499,InvPrefix,"")),0)),"")</f>
        <v/>
      </c>
      <c r="X499" s="61" t="str">
        <f aca="false">IF(IsPro,IF($D499="","",IF(OR($H499="",$H499="Credit"),0,Q499)),"")</f>
        <v/>
      </c>
    </row>
    <row r="500" customFormat="false" ht="15" hidden="false" customHeight="false" outlineLevel="0" collapsed="false">
      <c r="A500" s="55"/>
      <c r="B500" s="56"/>
      <c r="C500" s="56"/>
      <c r="D500" s="56"/>
      <c r="E500" s="57"/>
      <c r="F500" s="58"/>
      <c r="G500" s="59"/>
      <c r="H500" s="56"/>
      <c r="I500" s="56"/>
      <c r="J500" s="60" t="str">
        <f aca="false">IF(IsPro,IF($D500="","",IFERROR(INDEX(Items!$D$5:$D$504,U500),"")),"")</f>
        <v/>
      </c>
      <c r="K500" s="61" t="str">
        <f aca="false">IF(IsPro,IF($D500="","",IF($F500="",IFERROR(INDEX(Items!$H$5:$H$504,U500),0),$F500)),"")</f>
        <v/>
      </c>
      <c r="L500" s="61" t="str">
        <f aca="false">IF(IsPro,IF($D500="","",ROUND(N($E500)*K500*(1-N($G500)),2)),"")</f>
        <v/>
      </c>
      <c r="M500" s="62" t="str">
        <f aca="false">IF(IsPro,IF($D500="","",IFERROR(INDEX(Items!$F$5:$F$504,U500),0)),"")</f>
        <v/>
      </c>
      <c r="N500" s="61" t="str">
        <f aca="false">IF(IsPro,IF($D500="","",IF(AND(V500&lt;&gt;"",INDEX(Parties!$E$5:$E$304,V500)&lt;&gt;"",INDEX(Parties!$E$5:$E$304,V500)&lt;&gt;HomeState),0,ROUND(L500*M500/2,2))),"")</f>
        <v/>
      </c>
      <c r="O500" s="61" t="str">
        <f aca="false">IF(IsPro,IF($D500="","",N500),"")</f>
        <v/>
      </c>
      <c r="P500" s="61" t="str">
        <f aca="false">IF(IsPro,IF($D500="","",IF(AND(V500&lt;&gt;"",INDEX(Parties!$E$5:$E$304,V500)&lt;&gt;"",INDEX(Parties!$E$5:$E$304,V500)&lt;&gt;HomeState),ROUND(L500*M500,2),0)),"")</f>
        <v/>
      </c>
      <c r="Q500" s="61" t="str">
        <f aca="false">IF(IsPro,IF($D500="","",L500+N500+O500+P500),"")</f>
        <v/>
      </c>
      <c r="R500" s="61" t="str">
        <f aca="false">IF(IsPro,IF($D500="","",ROUND(N($E500)*IFERROR(INDEX(Items!$P$5:$P$504,U500),0),2)),"")</f>
        <v/>
      </c>
      <c r="S500" s="61" t="str">
        <f aca="false">IF(IsPro,IF($D500="","",L500-R500),"")</f>
        <v/>
      </c>
      <c r="T500" s="60" t="str">
        <f aca="false">IF(IsPro,IF($D500="","",IF(U500="","UNKNOWN ITEM",IF(INDEX(Items!$O$5:$O$504,U500)&lt;0,"NEG STOCK",IF(K500&lt;INDEX(Items!$P$5:$P$504,U500),"BELOW COST","OK")))),IF($D500="","","PRO PLAN"))</f>
        <v/>
      </c>
      <c r="U500" s="60" t="str">
        <f aca="false">IF(IsPro,IF($D500="","",IFERROR(MATCH($D500,Items!$A$5:$A$504,0),"")),"")</f>
        <v/>
      </c>
      <c r="V500" s="60" t="str">
        <f aca="false">IF(IsPro,IF($C500="","",IFERROR(MATCH($C500,Parties!$A$5:$A$304,0),"")),"")</f>
        <v/>
      </c>
      <c r="W500" s="60" t="str">
        <f aca="false">IF(IsPro,IF($B500="","",IFERROR(VALUE(SUBSTITUTE($B500,InvPrefix,"")),0)),"")</f>
        <v/>
      </c>
      <c r="X500" s="61" t="str">
        <f aca="false">IF(IsPro,IF($D500="","",IF(OR($H500="",$H500="Credit"),0,Q500)),"")</f>
        <v/>
      </c>
    </row>
    <row r="501" customFormat="false" ht="15" hidden="false" customHeight="false" outlineLevel="0" collapsed="false">
      <c r="A501" s="55"/>
      <c r="B501" s="56"/>
      <c r="C501" s="56"/>
      <c r="D501" s="56"/>
      <c r="E501" s="57"/>
      <c r="F501" s="58"/>
      <c r="G501" s="59"/>
      <c r="H501" s="56"/>
      <c r="I501" s="56"/>
      <c r="J501" s="60" t="str">
        <f aca="false">IF(IsPro,IF($D501="","",IFERROR(INDEX(Items!$D$5:$D$504,U501),"")),"")</f>
        <v/>
      </c>
      <c r="K501" s="61" t="str">
        <f aca="false">IF(IsPro,IF($D501="","",IF($F501="",IFERROR(INDEX(Items!$H$5:$H$504,U501),0),$F501)),"")</f>
        <v/>
      </c>
      <c r="L501" s="61" t="str">
        <f aca="false">IF(IsPro,IF($D501="","",ROUND(N($E501)*K501*(1-N($G501)),2)),"")</f>
        <v/>
      </c>
      <c r="M501" s="62" t="str">
        <f aca="false">IF(IsPro,IF($D501="","",IFERROR(INDEX(Items!$F$5:$F$504,U501),0)),"")</f>
        <v/>
      </c>
      <c r="N501" s="61" t="str">
        <f aca="false">IF(IsPro,IF($D501="","",IF(AND(V501&lt;&gt;"",INDEX(Parties!$E$5:$E$304,V501)&lt;&gt;"",INDEX(Parties!$E$5:$E$304,V501)&lt;&gt;HomeState),0,ROUND(L501*M501/2,2))),"")</f>
        <v/>
      </c>
      <c r="O501" s="61" t="str">
        <f aca="false">IF(IsPro,IF($D501="","",N501),"")</f>
        <v/>
      </c>
      <c r="P501" s="61" t="str">
        <f aca="false">IF(IsPro,IF($D501="","",IF(AND(V501&lt;&gt;"",INDEX(Parties!$E$5:$E$304,V501)&lt;&gt;"",INDEX(Parties!$E$5:$E$304,V501)&lt;&gt;HomeState),ROUND(L501*M501,2),0)),"")</f>
        <v/>
      </c>
      <c r="Q501" s="61" t="str">
        <f aca="false">IF(IsPro,IF($D501="","",L501+N501+O501+P501),"")</f>
        <v/>
      </c>
      <c r="R501" s="61" t="str">
        <f aca="false">IF(IsPro,IF($D501="","",ROUND(N($E501)*IFERROR(INDEX(Items!$P$5:$P$504,U501),0),2)),"")</f>
        <v/>
      </c>
      <c r="S501" s="61" t="str">
        <f aca="false">IF(IsPro,IF($D501="","",L501-R501),"")</f>
        <v/>
      </c>
      <c r="T501" s="60" t="str">
        <f aca="false">IF(IsPro,IF($D501="","",IF(U501="","UNKNOWN ITEM",IF(INDEX(Items!$O$5:$O$504,U501)&lt;0,"NEG STOCK",IF(K501&lt;INDEX(Items!$P$5:$P$504,U501),"BELOW COST","OK")))),IF($D501="","","PRO PLAN"))</f>
        <v/>
      </c>
      <c r="U501" s="60" t="str">
        <f aca="false">IF(IsPro,IF($D501="","",IFERROR(MATCH($D501,Items!$A$5:$A$504,0),"")),"")</f>
        <v/>
      </c>
      <c r="V501" s="60" t="str">
        <f aca="false">IF(IsPro,IF($C501="","",IFERROR(MATCH($C501,Parties!$A$5:$A$304,0),"")),"")</f>
        <v/>
      </c>
      <c r="W501" s="60" t="str">
        <f aca="false">IF(IsPro,IF($B501="","",IFERROR(VALUE(SUBSTITUTE($B501,InvPrefix,"")),0)),"")</f>
        <v/>
      </c>
      <c r="X501" s="61" t="str">
        <f aca="false">IF(IsPro,IF($D501="","",IF(OR($H501="",$H501="Credit"),0,Q501)),"")</f>
        <v/>
      </c>
    </row>
    <row r="502" customFormat="false" ht="15" hidden="false" customHeight="false" outlineLevel="0" collapsed="false">
      <c r="A502" s="55"/>
      <c r="B502" s="56"/>
      <c r="C502" s="56"/>
      <c r="D502" s="56"/>
      <c r="E502" s="57"/>
      <c r="F502" s="58"/>
      <c r="G502" s="59"/>
      <c r="H502" s="56"/>
      <c r="I502" s="56"/>
      <c r="J502" s="60" t="str">
        <f aca="false">IF(IsPro,IF($D502="","",IFERROR(INDEX(Items!$D$5:$D$504,U502),"")),"")</f>
        <v/>
      </c>
      <c r="K502" s="61" t="str">
        <f aca="false">IF(IsPro,IF($D502="","",IF($F502="",IFERROR(INDEX(Items!$H$5:$H$504,U502),0),$F502)),"")</f>
        <v/>
      </c>
      <c r="L502" s="61" t="str">
        <f aca="false">IF(IsPro,IF($D502="","",ROUND(N($E502)*K502*(1-N($G502)),2)),"")</f>
        <v/>
      </c>
      <c r="M502" s="62" t="str">
        <f aca="false">IF(IsPro,IF($D502="","",IFERROR(INDEX(Items!$F$5:$F$504,U502),0)),"")</f>
        <v/>
      </c>
      <c r="N502" s="61" t="str">
        <f aca="false">IF(IsPro,IF($D502="","",IF(AND(V502&lt;&gt;"",INDEX(Parties!$E$5:$E$304,V502)&lt;&gt;"",INDEX(Parties!$E$5:$E$304,V502)&lt;&gt;HomeState),0,ROUND(L502*M502/2,2))),"")</f>
        <v/>
      </c>
      <c r="O502" s="61" t="str">
        <f aca="false">IF(IsPro,IF($D502="","",N502),"")</f>
        <v/>
      </c>
      <c r="P502" s="61" t="str">
        <f aca="false">IF(IsPro,IF($D502="","",IF(AND(V502&lt;&gt;"",INDEX(Parties!$E$5:$E$304,V502)&lt;&gt;"",INDEX(Parties!$E$5:$E$304,V502)&lt;&gt;HomeState),ROUND(L502*M502,2),0)),"")</f>
        <v/>
      </c>
      <c r="Q502" s="61" t="str">
        <f aca="false">IF(IsPro,IF($D502="","",L502+N502+O502+P502),"")</f>
        <v/>
      </c>
      <c r="R502" s="61" t="str">
        <f aca="false">IF(IsPro,IF($D502="","",ROUND(N($E502)*IFERROR(INDEX(Items!$P$5:$P$504,U502),0),2)),"")</f>
        <v/>
      </c>
      <c r="S502" s="61" t="str">
        <f aca="false">IF(IsPro,IF($D502="","",L502-R502),"")</f>
        <v/>
      </c>
      <c r="T502" s="60" t="str">
        <f aca="false">IF(IsPro,IF($D502="","",IF(U502="","UNKNOWN ITEM",IF(INDEX(Items!$O$5:$O$504,U502)&lt;0,"NEG STOCK",IF(K502&lt;INDEX(Items!$P$5:$P$504,U502),"BELOW COST","OK")))),IF($D502="","","PRO PLAN"))</f>
        <v/>
      </c>
      <c r="U502" s="60" t="str">
        <f aca="false">IF(IsPro,IF($D502="","",IFERROR(MATCH($D502,Items!$A$5:$A$504,0),"")),"")</f>
        <v/>
      </c>
      <c r="V502" s="60" t="str">
        <f aca="false">IF(IsPro,IF($C502="","",IFERROR(MATCH($C502,Parties!$A$5:$A$304,0),"")),"")</f>
        <v/>
      </c>
      <c r="W502" s="60" t="str">
        <f aca="false">IF(IsPro,IF($B502="","",IFERROR(VALUE(SUBSTITUTE($B502,InvPrefix,"")),0)),"")</f>
        <v/>
      </c>
      <c r="X502" s="61" t="str">
        <f aca="false">IF(IsPro,IF($D502="","",IF(OR($H502="",$H502="Credit"),0,Q502)),"")</f>
        <v/>
      </c>
    </row>
    <row r="503" customFormat="false" ht="15" hidden="false" customHeight="false" outlineLevel="0" collapsed="false">
      <c r="A503" s="55"/>
      <c r="B503" s="56"/>
      <c r="C503" s="56"/>
      <c r="D503" s="56"/>
      <c r="E503" s="57"/>
      <c r="F503" s="58"/>
      <c r="G503" s="59"/>
      <c r="H503" s="56"/>
      <c r="I503" s="56"/>
      <c r="J503" s="60" t="str">
        <f aca="false">IF(IsPro,IF($D503="","",IFERROR(INDEX(Items!$D$5:$D$504,U503),"")),"")</f>
        <v/>
      </c>
      <c r="K503" s="61" t="str">
        <f aca="false">IF(IsPro,IF($D503="","",IF($F503="",IFERROR(INDEX(Items!$H$5:$H$504,U503),0),$F503)),"")</f>
        <v/>
      </c>
      <c r="L503" s="61" t="str">
        <f aca="false">IF(IsPro,IF($D503="","",ROUND(N($E503)*K503*(1-N($G503)),2)),"")</f>
        <v/>
      </c>
      <c r="M503" s="62" t="str">
        <f aca="false">IF(IsPro,IF($D503="","",IFERROR(INDEX(Items!$F$5:$F$504,U503),0)),"")</f>
        <v/>
      </c>
      <c r="N503" s="61" t="str">
        <f aca="false">IF(IsPro,IF($D503="","",IF(AND(V503&lt;&gt;"",INDEX(Parties!$E$5:$E$304,V503)&lt;&gt;"",INDEX(Parties!$E$5:$E$304,V503)&lt;&gt;HomeState),0,ROUND(L503*M503/2,2))),"")</f>
        <v/>
      </c>
      <c r="O503" s="61" t="str">
        <f aca="false">IF(IsPro,IF($D503="","",N503),"")</f>
        <v/>
      </c>
      <c r="P503" s="61" t="str">
        <f aca="false">IF(IsPro,IF($D503="","",IF(AND(V503&lt;&gt;"",INDEX(Parties!$E$5:$E$304,V503)&lt;&gt;"",INDEX(Parties!$E$5:$E$304,V503)&lt;&gt;HomeState),ROUND(L503*M503,2),0)),"")</f>
        <v/>
      </c>
      <c r="Q503" s="61" t="str">
        <f aca="false">IF(IsPro,IF($D503="","",L503+N503+O503+P503),"")</f>
        <v/>
      </c>
      <c r="R503" s="61" t="str">
        <f aca="false">IF(IsPro,IF($D503="","",ROUND(N($E503)*IFERROR(INDEX(Items!$P$5:$P$504,U503),0),2)),"")</f>
        <v/>
      </c>
      <c r="S503" s="61" t="str">
        <f aca="false">IF(IsPro,IF($D503="","",L503-R503),"")</f>
        <v/>
      </c>
      <c r="T503" s="60" t="str">
        <f aca="false">IF(IsPro,IF($D503="","",IF(U503="","UNKNOWN ITEM",IF(INDEX(Items!$O$5:$O$504,U503)&lt;0,"NEG STOCK",IF(K503&lt;INDEX(Items!$P$5:$P$504,U503),"BELOW COST","OK")))),IF($D503="","","PRO PLAN"))</f>
        <v/>
      </c>
      <c r="U503" s="60" t="str">
        <f aca="false">IF(IsPro,IF($D503="","",IFERROR(MATCH($D503,Items!$A$5:$A$504,0),"")),"")</f>
        <v/>
      </c>
      <c r="V503" s="60" t="str">
        <f aca="false">IF(IsPro,IF($C503="","",IFERROR(MATCH($C503,Parties!$A$5:$A$304,0),"")),"")</f>
        <v/>
      </c>
      <c r="W503" s="60" t="str">
        <f aca="false">IF(IsPro,IF($B503="","",IFERROR(VALUE(SUBSTITUTE($B503,InvPrefix,"")),0)),"")</f>
        <v/>
      </c>
      <c r="X503" s="61" t="str">
        <f aca="false">IF(IsPro,IF($D503="","",IF(OR($H503="",$H503="Credit"),0,Q503)),"")</f>
        <v/>
      </c>
    </row>
    <row r="504" customFormat="false" ht="15" hidden="false" customHeight="false" outlineLevel="0" collapsed="false">
      <c r="A504" s="55"/>
      <c r="B504" s="56"/>
      <c r="C504" s="56"/>
      <c r="D504" s="56"/>
      <c r="E504" s="57"/>
      <c r="F504" s="58"/>
      <c r="G504" s="59"/>
      <c r="H504" s="56"/>
      <c r="I504" s="56"/>
      <c r="J504" s="60" t="str">
        <f aca="false">IF(IsPro,IF($D504="","",IFERROR(INDEX(Items!$D$5:$D$504,U504),"")),"")</f>
        <v/>
      </c>
      <c r="K504" s="61" t="str">
        <f aca="false">IF(IsPro,IF($D504="","",IF($F504="",IFERROR(INDEX(Items!$H$5:$H$504,U504),0),$F504)),"")</f>
        <v/>
      </c>
      <c r="L504" s="61" t="str">
        <f aca="false">IF(IsPro,IF($D504="","",ROUND(N($E504)*K504*(1-N($G504)),2)),"")</f>
        <v/>
      </c>
      <c r="M504" s="62" t="str">
        <f aca="false">IF(IsPro,IF($D504="","",IFERROR(INDEX(Items!$F$5:$F$504,U504),0)),"")</f>
        <v/>
      </c>
      <c r="N504" s="61" t="str">
        <f aca="false">IF(IsPro,IF($D504="","",IF(AND(V504&lt;&gt;"",INDEX(Parties!$E$5:$E$304,V504)&lt;&gt;"",INDEX(Parties!$E$5:$E$304,V504)&lt;&gt;HomeState),0,ROUND(L504*M504/2,2))),"")</f>
        <v/>
      </c>
      <c r="O504" s="61" t="str">
        <f aca="false">IF(IsPro,IF($D504="","",N504),"")</f>
        <v/>
      </c>
      <c r="P504" s="61" t="str">
        <f aca="false">IF(IsPro,IF($D504="","",IF(AND(V504&lt;&gt;"",INDEX(Parties!$E$5:$E$304,V504)&lt;&gt;"",INDEX(Parties!$E$5:$E$304,V504)&lt;&gt;HomeState),ROUND(L504*M504,2),0)),"")</f>
        <v/>
      </c>
      <c r="Q504" s="61" t="str">
        <f aca="false">IF(IsPro,IF($D504="","",L504+N504+O504+P504),"")</f>
        <v/>
      </c>
      <c r="R504" s="61" t="str">
        <f aca="false">IF(IsPro,IF($D504="","",ROUND(N($E504)*IFERROR(INDEX(Items!$P$5:$P$504,U504),0),2)),"")</f>
        <v/>
      </c>
      <c r="S504" s="61" t="str">
        <f aca="false">IF(IsPro,IF($D504="","",L504-R504),"")</f>
        <v/>
      </c>
      <c r="T504" s="60" t="str">
        <f aca="false">IF(IsPro,IF($D504="","",IF(U504="","UNKNOWN ITEM",IF(INDEX(Items!$O$5:$O$504,U504)&lt;0,"NEG STOCK",IF(K504&lt;INDEX(Items!$P$5:$P$504,U504),"BELOW COST","OK")))),IF($D504="","","PRO PLAN"))</f>
        <v/>
      </c>
      <c r="U504" s="60" t="str">
        <f aca="false">IF(IsPro,IF($D504="","",IFERROR(MATCH($D504,Items!$A$5:$A$504,0),"")),"")</f>
        <v/>
      </c>
      <c r="V504" s="60" t="str">
        <f aca="false">IF(IsPro,IF($C504="","",IFERROR(MATCH($C504,Parties!$A$5:$A$304,0),"")),"")</f>
        <v/>
      </c>
      <c r="W504" s="60" t="str">
        <f aca="false">IF(IsPro,IF($B504="","",IFERROR(VALUE(SUBSTITUTE($B504,InvPrefix,"")),0)),"")</f>
        <v/>
      </c>
      <c r="X504" s="61" t="str">
        <f aca="false">IF(IsPro,IF($D504="","",IF(OR($H504="",$H504="Credit"),0,Q504)),"")</f>
        <v/>
      </c>
    </row>
    <row r="505" customFormat="false" ht="15" hidden="false" customHeight="false" outlineLevel="0" collapsed="false">
      <c r="A505" s="55"/>
      <c r="B505" s="56"/>
      <c r="C505" s="56"/>
      <c r="D505" s="56"/>
      <c r="E505" s="57"/>
      <c r="F505" s="58"/>
      <c r="G505" s="59"/>
      <c r="H505" s="56"/>
      <c r="I505" s="56"/>
      <c r="J505" s="60" t="str">
        <f aca="false">IF(IsPro,IF($D505="","",IFERROR(INDEX(Items!$D$5:$D$504,U505),"")),"")</f>
        <v/>
      </c>
      <c r="K505" s="61" t="str">
        <f aca="false">IF(IsPro,IF($D505="","",IF($F505="",IFERROR(INDEX(Items!$H$5:$H$504,U505),0),$F505)),"")</f>
        <v/>
      </c>
      <c r="L505" s="61" t="str">
        <f aca="false">IF(IsPro,IF($D505="","",ROUND(N($E505)*K505*(1-N($G505)),2)),"")</f>
        <v/>
      </c>
      <c r="M505" s="62" t="str">
        <f aca="false">IF(IsPro,IF($D505="","",IFERROR(INDEX(Items!$F$5:$F$504,U505),0)),"")</f>
        <v/>
      </c>
      <c r="N505" s="61" t="str">
        <f aca="false">IF(IsPro,IF($D505="","",IF(AND(V505&lt;&gt;"",INDEX(Parties!$E$5:$E$304,V505)&lt;&gt;"",INDEX(Parties!$E$5:$E$304,V505)&lt;&gt;HomeState),0,ROUND(L505*M505/2,2))),"")</f>
        <v/>
      </c>
      <c r="O505" s="61" t="str">
        <f aca="false">IF(IsPro,IF($D505="","",N505),"")</f>
        <v/>
      </c>
      <c r="P505" s="61" t="str">
        <f aca="false">IF(IsPro,IF($D505="","",IF(AND(V505&lt;&gt;"",INDEX(Parties!$E$5:$E$304,V505)&lt;&gt;"",INDEX(Parties!$E$5:$E$304,V505)&lt;&gt;HomeState),ROUND(L505*M505,2),0)),"")</f>
        <v/>
      </c>
      <c r="Q505" s="61" t="str">
        <f aca="false">IF(IsPro,IF($D505="","",L505+N505+O505+P505),"")</f>
        <v/>
      </c>
      <c r="R505" s="61" t="str">
        <f aca="false">IF(IsPro,IF($D505="","",ROUND(N($E505)*IFERROR(INDEX(Items!$P$5:$P$504,U505),0),2)),"")</f>
        <v/>
      </c>
      <c r="S505" s="61" t="str">
        <f aca="false">IF(IsPro,IF($D505="","",L505-R505),"")</f>
        <v/>
      </c>
      <c r="T505" s="60" t="str">
        <f aca="false">IF(IsPro,IF($D505="","",IF(U505="","UNKNOWN ITEM",IF(INDEX(Items!$O$5:$O$504,U505)&lt;0,"NEG STOCK",IF(K505&lt;INDEX(Items!$P$5:$P$504,U505),"BELOW COST","OK")))),IF($D505="","","PRO PLAN"))</f>
        <v/>
      </c>
      <c r="U505" s="60" t="str">
        <f aca="false">IF(IsPro,IF($D505="","",IFERROR(MATCH($D505,Items!$A$5:$A$504,0),"")),"")</f>
        <v/>
      </c>
      <c r="V505" s="60" t="str">
        <f aca="false">IF(IsPro,IF($C505="","",IFERROR(MATCH($C505,Parties!$A$5:$A$304,0),"")),"")</f>
        <v/>
      </c>
      <c r="W505" s="60" t="str">
        <f aca="false">IF(IsPro,IF($B505="","",IFERROR(VALUE(SUBSTITUTE($B505,InvPrefix,"")),0)),"")</f>
        <v/>
      </c>
      <c r="X505" s="61" t="str">
        <f aca="false">IF(IsPro,IF($D505="","",IF(OR($H505="",$H505="Credit"),0,Q505)),"")</f>
        <v/>
      </c>
    </row>
    <row r="506" customFormat="false" ht="15" hidden="false" customHeight="false" outlineLevel="0" collapsed="false">
      <c r="A506" s="55"/>
      <c r="B506" s="56"/>
      <c r="C506" s="56"/>
      <c r="D506" s="56"/>
      <c r="E506" s="57"/>
      <c r="F506" s="58"/>
      <c r="G506" s="59"/>
      <c r="H506" s="56"/>
      <c r="I506" s="56"/>
      <c r="J506" s="60" t="str">
        <f aca="false">IF(IsPro,IF($D506="","",IFERROR(INDEX(Items!$D$5:$D$504,U506),"")),"")</f>
        <v/>
      </c>
      <c r="K506" s="61" t="str">
        <f aca="false">IF(IsPro,IF($D506="","",IF($F506="",IFERROR(INDEX(Items!$H$5:$H$504,U506),0),$F506)),"")</f>
        <v/>
      </c>
      <c r="L506" s="61" t="str">
        <f aca="false">IF(IsPro,IF($D506="","",ROUND(N($E506)*K506*(1-N($G506)),2)),"")</f>
        <v/>
      </c>
      <c r="M506" s="62" t="str">
        <f aca="false">IF(IsPro,IF($D506="","",IFERROR(INDEX(Items!$F$5:$F$504,U506),0)),"")</f>
        <v/>
      </c>
      <c r="N506" s="61" t="str">
        <f aca="false">IF(IsPro,IF($D506="","",IF(AND(V506&lt;&gt;"",INDEX(Parties!$E$5:$E$304,V506)&lt;&gt;"",INDEX(Parties!$E$5:$E$304,V506)&lt;&gt;HomeState),0,ROUND(L506*M506/2,2))),"")</f>
        <v/>
      </c>
      <c r="O506" s="61" t="str">
        <f aca="false">IF(IsPro,IF($D506="","",N506),"")</f>
        <v/>
      </c>
      <c r="P506" s="61" t="str">
        <f aca="false">IF(IsPro,IF($D506="","",IF(AND(V506&lt;&gt;"",INDEX(Parties!$E$5:$E$304,V506)&lt;&gt;"",INDEX(Parties!$E$5:$E$304,V506)&lt;&gt;HomeState),ROUND(L506*M506,2),0)),"")</f>
        <v/>
      </c>
      <c r="Q506" s="61" t="str">
        <f aca="false">IF(IsPro,IF($D506="","",L506+N506+O506+P506),"")</f>
        <v/>
      </c>
      <c r="R506" s="61" t="str">
        <f aca="false">IF(IsPro,IF($D506="","",ROUND(N($E506)*IFERROR(INDEX(Items!$P$5:$P$504,U506),0),2)),"")</f>
        <v/>
      </c>
      <c r="S506" s="61" t="str">
        <f aca="false">IF(IsPro,IF($D506="","",L506-R506),"")</f>
        <v/>
      </c>
      <c r="T506" s="60" t="str">
        <f aca="false">IF(IsPro,IF($D506="","",IF(U506="","UNKNOWN ITEM",IF(INDEX(Items!$O$5:$O$504,U506)&lt;0,"NEG STOCK",IF(K506&lt;INDEX(Items!$P$5:$P$504,U506),"BELOW COST","OK")))),IF($D506="","","PRO PLAN"))</f>
        <v/>
      </c>
      <c r="U506" s="60" t="str">
        <f aca="false">IF(IsPro,IF($D506="","",IFERROR(MATCH($D506,Items!$A$5:$A$504,0),"")),"")</f>
        <v/>
      </c>
      <c r="V506" s="60" t="str">
        <f aca="false">IF(IsPro,IF($C506="","",IFERROR(MATCH($C506,Parties!$A$5:$A$304,0),"")),"")</f>
        <v/>
      </c>
      <c r="W506" s="60" t="str">
        <f aca="false">IF(IsPro,IF($B506="","",IFERROR(VALUE(SUBSTITUTE($B506,InvPrefix,"")),0)),"")</f>
        <v/>
      </c>
      <c r="X506" s="61" t="str">
        <f aca="false">IF(IsPro,IF($D506="","",IF(OR($H506="",$H506="Credit"),0,Q506)),"")</f>
        <v/>
      </c>
    </row>
    <row r="507" customFormat="false" ht="15" hidden="false" customHeight="false" outlineLevel="0" collapsed="false">
      <c r="A507" s="55"/>
      <c r="B507" s="56"/>
      <c r="C507" s="56"/>
      <c r="D507" s="56"/>
      <c r="E507" s="57"/>
      <c r="F507" s="58"/>
      <c r="G507" s="59"/>
      <c r="H507" s="56"/>
      <c r="I507" s="56"/>
      <c r="J507" s="60" t="str">
        <f aca="false">IF(IsPro,IF($D507="","",IFERROR(INDEX(Items!$D$5:$D$504,U507),"")),"")</f>
        <v/>
      </c>
      <c r="K507" s="61" t="str">
        <f aca="false">IF(IsPro,IF($D507="","",IF($F507="",IFERROR(INDEX(Items!$H$5:$H$504,U507),0),$F507)),"")</f>
        <v/>
      </c>
      <c r="L507" s="61" t="str">
        <f aca="false">IF(IsPro,IF($D507="","",ROUND(N($E507)*K507*(1-N($G507)),2)),"")</f>
        <v/>
      </c>
      <c r="M507" s="62" t="str">
        <f aca="false">IF(IsPro,IF($D507="","",IFERROR(INDEX(Items!$F$5:$F$504,U507),0)),"")</f>
        <v/>
      </c>
      <c r="N507" s="61" t="str">
        <f aca="false">IF(IsPro,IF($D507="","",IF(AND(V507&lt;&gt;"",INDEX(Parties!$E$5:$E$304,V507)&lt;&gt;"",INDEX(Parties!$E$5:$E$304,V507)&lt;&gt;HomeState),0,ROUND(L507*M507/2,2))),"")</f>
        <v/>
      </c>
      <c r="O507" s="61" t="str">
        <f aca="false">IF(IsPro,IF($D507="","",N507),"")</f>
        <v/>
      </c>
      <c r="P507" s="61" t="str">
        <f aca="false">IF(IsPro,IF($D507="","",IF(AND(V507&lt;&gt;"",INDEX(Parties!$E$5:$E$304,V507)&lt;&gt;"",INDEX(Parties!$E$5:$E$304,V507)&lt;&gt;HomeState),ROUND(L507*M507,2),0)),"")</f>
        <v/>
      </c>
      <c r="Q507" s="61" t="str">
        <f aca="false">IF(IsPro,IF($D507="","",L507+N507+O507+P507),"")</f>
        <v/>
      </c>
      <c r="R507" s="61" t="str">
        <f aca="false">IF(IsPro,IF($D507="","",ROUND(N($E507)*IFERROR(INDEX(Items!$P$5:$P$504,U507),0),2)),"")</f>
        <v/>
      </c>
      <c r="S507" s="61" t="str">
        <f aca="false">IF(IsPro,IF($D507="","",L507-R507),"")</f>
        <v/>
      </c>
      <c r="T507" s="60" t="str">
        <f aca="false">IF(IsPro,IF($D507="","",IF(U507="","UNKNOWN ITEM",IF(INDEX(Items!$O$5:$O$504,U507)&lt;0,"NEG STOCK",IF(K507&lt;INDEX(Items!$P$5:$P$504,U507),"BELOW COST","OK")))),IF($D507="","","PRO PLAN"))</f>
        <v/>
      </c>
      <c r="U507" s="60" t="str">
        <f aca="false">IF(IsPro,IF($D507="","",IFERROR(MATCH($D507,Items!$A$5:$A$504,0),"")),"")</f>
        <v/>
      </c>
      <c r="V507" s="60" t="str">
        <f aca="false">IF(IsPro,IF($C507="","",IFERROR(MATCH($C507,Parties!$A$5:$A$304,0),"")),"")</f>
        <v/>
      </c>
      <c r="W507" s="60" t="str">
        <f aca="false">IF(IsPro,IF($B507="","",IFERROR(VALUE(SUBSTITUTE($B507,InvPrefix,"")),0)),"")</f>
        <v/>
      </c>
      <c r="X507" s="61" t="str">
        <f aca="false">IF(IsPro,IF($D507="","",IF(OR($H507="",$H507="Credit"),0,Q507)),"")</f>
        <v/>
      </c>
    </row>
    <row r="508" customFormat="false" ht="15" hidden="false" customHeight="false" outlineLevel="0" collapsed="false">
      <c r="A508" s="55"/>
      <c r="B508" s="56"/>
      <c r="C508" s="56"/>
      <c r="D508" s="56"/>
      <c r="E508" s="57"/>
      <c r="F508" s="58"/>
      <c r="G508" s="59"/>
      <c r="H508" s="56"/>
      <c r="I508" s="56"/>
      <c r="J508" s="60" t="str">
        <f aca="false">IF(IsPro,IF($D508="","",IFERROR(INDEX(Items!$D$5:$D$504,U508),"")),"")</f>
        <v/>
      </c>
      <c r="K508" s="61" t="str">
        <f aca="false">IF(IsPro,IF($D508="","",IF($F508="",IFERROR(INDEX(Items!$H$5:$H$504,U508),0),$F508)),"")</f>
        <v/>
      </c>
      <c r="L508" s="61" t="str">
        <f aca="false">IF(IsPro,IF($D508="","",ROUND(N($E508)*K508*(1-N($G508)),2)),"")</f>
        <v/>
      </c>
      <c r="M508" s="62" t="str">
        <f aca="false">IF(IsPro,IF($D508="","",IFERROR(INDEX(Items!$F$5:$F$504,U508),0)),"")</f>
        <v/>
      </c>
      <c r="N508" s="61" t="str">
        <f aca="false">IF(IsPro,IF($D508="","",IF(AND(V508&lt;&gt;"",INDEX(Parties!$E$5:$E$304,V508)&lt;&gt;"",INDEX(Parties!$E$5:$E$304,V508)&lt;&gt;HomeState),0,ROUND(L508*M508/2,2))),"")</f>
        <v/>
      </c>
      <c r="O508" s="61" t="str">
        <f aca="false">IF(IsPro,IF($D508="","",N508),"")</f>
        <v/>
      </c>
      <c r="P508" s="61" t="str">
        <f aca="false">IF(IsPro,IF($D508="","",IF(AND(V508&lt;&gt;"",INDEX(Parties!$E$5:$E$304,V508)&lt;&gt;"",INDEX(Parties!$E$5:$E$304,V508)&lt;&gt;HomeState),ROUND(L508*M508,2),0)),"")</f>
        <v/>
      </c>
      <c r="Q508" s="61" t="str">
        <f aca="false">IF(IsPro,IF($D508="","",L508+N508+O508+P508),"")</f>
        <v/>
      </c>
      <c r="R508" s="61" t="str">
        <f aca="false">IF(IsPro,IF($D508="","",ROUND(N($E508)*IFERROR(INDEX(Items!$P$5:$P$504,U508),0),2)),"")</f>
        <v/>
      </c>
      <c r="S508" s="61" t="str">
        <f aca="false">IF(IsPro,IF($D508="","",L508-R508),"")</f>
        <v/>
      </c>
      <c r="T508" s="60" t="str">
        <f aca="false">IF(IsPro,IF($D508="","",IF(U508="","UNKNOWN ITEM",IF(INDEX(Items!$O$5:$O$504,U508)&lt;0,"NEG STOCK",IF(K508&lt;INDEX(Items!$P$5:$P$504,U508),"BELOW COST","OK")))),IF($D508="","","PRO PLAN"))</f>
        <v/>
      </c>
      <c r="U508" s="60" t="str">
        <f aca="false">IF(IsPro,IF($D508="","",IFERROR(MATCH($D508,Items!$A$5:$A$504,0),"")),"")</f>
        <v/>
      </c>
      <c r="V508" s="60" t="str">
        <f aca="false">IF(IsPro,IF($C508="","",IFERROR(MATCH($C508,Parties!$A$5:$A$304,0),"")),"")</f>
        <v/>
      </c>
      <c r="W508" s="60" t="str">
        <f aca="false">IF(IsPro,IF($B508="","",IFERROR(VALUE(SUBSTITUTE($B508,InvPrefix,"")),0)),"")</f>
        <v/>
      </c>
      <c r="X508" s="61" t="str">
        <f aca="false">IF(IsPro,IF($D508="","",IF(OR($H508="",$H508="Credit"),0,Q508)),"")</f>
        <v/>
      </c>
    </row>
    <row r="509" customFormat="false" ht="15" hidden="false" customHeight="false" outlineLevel="0" collapsed="false">
      <c r="A509" s="55"/>
      <c r="B509" s="56"/>
      <c r="C509" s="56"/>
      <c r="D509" s="56"/>
      <c r="E509" s="57"/>
      <c r="F509" s="58"/>
      <c r="G509" s="59"/>
      <c r="H509" s="56"/>
      <c r="I509" s="56"/>
      <c r="J509" s="60" t="str">
        <f aca="false">IF(IsPro,IF($D509="","",IFERROR(INDEX(Items!$D$5:$D$504,U509),"")),"")</f>
        <v/>
      </c>
      <c r="K509" s="61" t="str">
        <f aca="false">IF(IsPro,IF($D509="","",IF($F509="",IFERROR(INDEX(Items!$H$5:$H$504,U509),0),$F509)),"")</f>
        <v/>
      </c>
      <c r="L509" s="61" t="str">
        <f aca="false">IF(IsPro,IF($D509="","",ROUND(N($E509)*K509*(1-N($G509)),2)),"")</f>
        <v/>
      </c>
      <c r="M509" s="62" t="str">
        <f aca="false">IF(IsPro,IF($D509="","",IFERROR(INDEX(Items!$F$5:$F$504,U509),0)),"")</f>
        <v/>
      </c>
      <c r="N509" s="61" t="str">
        <f aca="false">IF(IsPro,IF($D509="","",IF(AND(V509&lt;&gt;"",INDEX(Parties!$E$5:$E$304,V509)&lt;&gt;"",INDEX(Parties!$E$5:$E$304,V509)&lt;&gt;HomeState),0,ROUND(L509*M509/2,2))),"")</f>
        <v/>
      </c>
      <c r="O509" s="61" t="str">
        <f aca="false">IF(IsPro,IF($D509="","",N509),"")</f>
        <v/>
      </c>
      <c r="P509" s="61" t="str">
        <f aca="false">IF(IsPro,IF($D509="","",IF(AND(V509&lt;&gt;"",INDEX(Parties!$E$5:$E$304,V509)&lt;&gt;"",INDEX(Parties!$E$5:$E$304,V509)&lt;&gt;HomeState),ROUND(L509*M509,2),0)),"")</f>
        <v/>
      </c>
      <c r="Q509" s="61" t="str">
        <f aca="false">IF(IsPro,IF($D509="","",L509+N509+O509+P509),"")</f>
        <v/>
      </c>
      <c r="R509" s="61" t="str">
        <f aca="false">IF(IsPro,IF($D509="","",ROUND(N($E509)*IFERROR(INDEX(Items!$P$5:$P$504,U509),0),2)),"")</f>
        <v/>
      </c>
      <c r="S509" s="61" t="str">
        <f aca="false">IF(IsPro,IF($D509="","",L509-R509),"")</f>
        <v/>
      </c>
      <c r="T509" s="60" t="str">
        <f aca="false">IF(IsPro,IF($D509="","",IF(U509="","UNKNOWN ITEM",IF(INDEX(Items!$O$5:$O$504,U509)&lt;0,"NEG STOCK",IF(K509&lt;INDEX(Items!$P$5:$P$504,U509),"BELOW COST","OK")))),IF($D509="","","PRO PLAN"))</f>
        <v/>
      </c>
      <c r="U509" s="60" t="str">
        <f aca="false">IF(IsPro,IF($D509="","",IFERROR(MATCH($D509,Items!$A$5:$A$504,0),"")),"")</f>
        <v/>
      </c>
      <c r="V509" s="60" t="str">
        <f aca="false">IF(IsPro,IF($C509="","",IFERROR(MATCH($C509,Parties!$A$5:$A$304,0),"")),"")</f>
        <v/>
      </c>
      <c r="W509" s="60" t="str">
        <f aca="false">IF(IsPro,IF($B509="","",IFERROR(VALUE(SUBSTITUTE($B509,InvPrefix,"")),0)),"")</f>
        <v/>
      </c>
      <c r="X509" s="61" t="str">
        <f aca="false">IF(IsPro,IF($D509="","",IF(OR($H509="",$H509="Credit"),0,Q509)),"")</f>
        <v/>
      </c>
    </row>
    <row r="510" customFormat="false" ht="15" hidden="false" customHeight="false" outlineLevel="0" collapsed="false">
      <c r="A510" s="55"/>
      <c r="B510" s="56"/>
      <c r="C510" s="56"/>
      <c r="D510" s="56"/>
      <c r="E510" s="57"/>
      <c r="F510" s="58"/>
      <c r="G510" s="59"/>
      <c r="H510" s="56"/>
      <c r="I510" s="56"/>
      <c r="J510" s="60" t="str">
        <f aca="false">IF(IsPro,IF($D510="","",IFERROR(INDEX(Items!$D$5:$D$504,U510),"")),"")</f>
        <v/>
      </c>
      <c r="K510" s="61" t="str">
        <f aca="false">IF(IsPro,IF($D510="","",IF($F510="",IFERROR(INDEX(Items!$H$5:$H$504,U510),0),$F510)),"")</f>
        <v/>
      </c>
      <c r="L510" s="61" t="str">
        <f aca="false">IF(IsPro,IF($D510="","",ROUND(N($E510)*K510*(1-N($G510)),2)),"")</f>
        <v/>
      </c>
      <c r="M510" s="62" t="str">
        <f aca="false">IF(IsPro,IF($D510="","",IFERROR(INDEX(Items!$F$5:$F$504,U510),0)),"")</f>
        <v/>
      </c>
      <c r="N510" s="61" t="str">
        <f aca="false">IF(IsPro,IF($D510="","",IF(AND(V510&lt;&gt;"",INDEX(Parties!$E$5:$E$304,V510)&lt;&gt;"",INDEX(Parties!$E$5:$E$304,V510)&lt;&gt;HomeState),0,ROUND(L510*M510/2,2))),"")</f>
        <v/>
      </c>
      <c r="O510" s="61" t="str">
        <f aca="false">IF(IsPro,IF($D510="","",N510),"")</f>
        <v/>
      </c>
      <c r="P510" s="61" t="str">
        <f aca="false">IF(IsPro,IF($D510="","",IF(AND(V510&lt;&gt;"",INDEX(Parties!$E$5:$E$304,V510)&lt;&gt;"",INDEX(Parties!$E$5:$E$304,V510)&lt;&gt;HomeState),ROUND(L510*M510,2),0)),"")</f>
        <v/>
      </c>
      <c r="Q510" s="61" t="str">
        <f aca="false">IF(IsPro,IF($D510="","",L510+N510+O510+P510),"")</f>
        <v/>
      </c>
      <c r="R510" s="61" t="str">
        <f aca="false">IF(IsPro,IF($D510="","",ROUND(N($E510)*IFERROR(INDEX(Items!$P$5:$P$504,U510),0),2)),"")</f>
        <v/>
      </c>
      <c r="S510" s="61" t="str">
        <f aca="false">IF(IsPro,IF($D510="","",L510-R510),"")</f>
        <v/>
      </c>
      <c r="T510" s="60" t="str">
        <f aca="false">IF(IsPro,IF($D510="","",IF(U510="","UNKNOWN ITEM",IF(INDEX(Items!$O$5:$O$504,U510)&lt;0,"NEG STOCK",IF(K510&lt;INDEX(Items!$P$5:$P$504,U510),"BELOW COST","OK")))),IF($D510="","","PRO PLAN"))</f>
        <v/>
      </c>
      <c r="U510" s="60" t="str">
        <f aca="false">IF(IsPro,IF($D510="","",IFERROR(MATCH($D510,Items!$A$5:$A$504,0),"")),"")</f>
        <v/>
      </c>
      <c r="V510" s="60" t="str">
        <f aca="false">IF(IsPro,IF($C510="","",IFERROR(MATCH($C510,Parties!$A$5:$A$304,0),"")),"")</f>
        <v/>
      </c>
      <c r="W510" s="60" t="str">
        <f aca="false">IF(IsPro,IF($B510="","",IFERROR(VALUE(SUBSTITUTE($B510,InvPrefix,"")),0)),"")</f>
        <v/>
      </c>
      <c r="X510" s="61" t="str">
        <f aca="false">IF(IsPro,IF($D510="","",IF(OR($H510="",$H510="Credit"),0,Q510)),"")</f>
        <v/>
      </c>
    </row>
    <row r="511" customFormat="false" ht="15" hidden="false" customHeight="false" outlineLevel="0" collapsed="false">
      <c r="A511" s="55"/>
      <c r="B511" s="56"/>
      <c r="C511" s="56"/>
      <c r="D511" s="56"/>
      <c r="E511" s="57"/>
      <c r="F511" s="58"/>
      <c r="G511" s="59"/>
      <c r="H511" s="56"/>
      <c r="I511" s="56"/>
      <c r="J511" s="60" t="str">
        <f aca="false">IF(IsPro,IF($D511="","",IFERROR(INDEX(Items!$D$5:$D$504,U511),"")),"")</f>
        <v/>
      </c>
      <c r="K511" s="61" t="str">
        <f aca="false">IF(IsPro,IF($D511="","",IF($F511="",IFERROR(INDEX(Items!$H$5:$H$504,U511),0),$F511)),"")</f>
        <v/>
      </c>
      <c r="L511" s="61" t="str">
        <f aca="false">IF(IsPro,IF($D511="","",ROUND(N($E511)*K511*(1-N($G511)),2)),"")</f>
        <v/>
      </c>
      <c r="M511" s="62" t="str">
        <f aca="false">IF(IsPro,IF($D511="","",IFERROR(INDEX(Items!$F$5:$F$504,U511),0)),"")</f>
        <v/>
      </c>
      <c r="N511" s="61" t="str">
        <f aca="false">IF(IsPro,IF($D511="","",IF(AND(V511&lt;&gt;"",INDEX(Parties!$E$5:$E$304,V511)&lt;&gt;"",INDEX(Parties!$E$5:$E$304,V511)&lt;&gt;HomeState),0,ROUND(L511*M511/2,2))),"")</f>
        <v/>
      </c>
      <c r="O511" s="61" t="str">
        <f aca="false">IF(IsPro,IF($D511="","",N511),"")</f>
        <v/>
      </c>
      <c r="P511" s="61" t="str">
        <f aca="false">IF(IsPro,IF($D511="","",IF(AND(V511&lt;&gt;"",INDEX(Parties!$E$5:$E$304,V511)&lt;&gt;"",INDEX(Parties!$E$5:$E$304,V511)&lt;&gt;HomeState),ROUND(L511*M511,2),0)),"")</f>
        <v/>
      </c>
      <c r="Q511" s="61" t="str">
        <f aca="false">IF(IsPro,IF($D511="","",L511+N511+O511+P511),"")</f>
        <v/>
      </c>
      <c r="R511" s="61" t="str">
        <f aca="false">IF(IsPro,IF($D511="","",ROUND(N($E511)*IFERROR(INDEX(Items!$P$5:$P$504,U511),0),2)),"")</f>
        <v/>
      </c>
      <c r="S511" s="61" t="str">
        <f aca="false">IF(IsPro,IF($D511="","",L511-R511),"")</f>
        <v/>
      </c>
      <c r="T511" s="60" t="str">
        <f aca="false">IF(IsPro,IF($D511="","",IF(U511="","UNKNOWN ITEM",IF(INDEX(Items!$O$5:$O$504,U511)&lt;0,"NEG STOCK",IF(K511&lt;INDEX(Items!$P$5:$P$504,U511),"BELOW COST","OK")))),IF($D511="","","PRO PLAN"))</f>
        <v/>
      </c>
      <c r="U511" s="60" t="str">
        <f aca="false">IF(IsPro,IF($D511="","",IFERROR(MATCH($D511,Items!$A$5:$A$504,0),"")),"")</f>
        <v/>
      </c>
      <c r="V511" s="60" t="str">
        <f aca="false">IF(IsPro,IF($C511="","",IFERROR(MATCH($C511,Parties!$A$5:$A$304,0),"")),"")</f>
        <v/>
      </c>
      <c r="W511" s="60" t="str">
        <f aca="false">IF(IsPro,IF($B511="","",IFERROR(VALUE(SUBSTITUTE($B511,InvPrefix,"")),0)),"")</f>
        <v/>
      </c>
      <c r="X511" s="61" t="str">
        <f aca="false">IF(IsPro,IF($D511="","",IF(OR($H511="",$H511="Credit"),0,Q511)),"")</f>
        <v/>
      </c>
    </row>
    <row r="512" customFormat="false" ht="15" hidden="false" customHeight="false" outlineLevel="0" collapsed="false">
      <c r="A512" s="55"/>
      <c r="B512" s="56"/>
      <c r="C512" s="56"/>
      <c r="D512" s="56"/>
      <c r="E512" s="57"/>
      <c r="F512" s="58"/>
      <c r="G512" s="59"/>
      <c r="H512" s="56"/>
      <c r="I512" s="56"/>
      <c r="J512" s="60" t="str">
        <f aca="false">IF(IsPro,IF($D512="","",IFERROR(INDEX(Items!$D$5:$D$504,U512),"")),"")</f>
        <v/>
      </c>
      <c r="K512" s="61" t="str">
        <f aca="false">IF(IsPro,IF($D512="","",IF($F512="",IFERROR(INDEX(Items!$H$5:$H$504,U512),0),$F512)),"")</f>
        <v/>
      </c>
      <c r="L512" s="61" t="str">
        <f aca="false">IF(IsPro,IF($D512="","",ROUND(N($E512)*K512*(1-N($G512)),2)),"")</f>
        <v/>
      </c>
      <c r="M512" s="62" t="str">
        <f aca="false">IF(IsPro,IF($D512="","",IFERROR(INDEX(Items!$F$5:$F$504,U512),0)),"")</f>
        <v/>
      </c>
      <c r="N512" s="61" t="str">
        <f aca="false">IF(IsPro,IF($D512="","",IF(AND(V512&lt;&gt;"",INDEX(Parties!$E$5:$E$304,V512)&lt;&gt;"",INDEX(Parties!$E$5:$E$304,V512)&lt;&gt;HomeState),0,ROUND(L512*M512/2,2))),"")</f>
        <v/>
      </c>
      <c r="O512" s="61" t="str">
        <f aca="false">IF(IsPro,IF($D512="","",N512),"")</f>
        <v/>
      </c>
      <c r="P512" s="61" t="str">
        <f aca="false">IF(IsPro,IF($D512="","",IF(AND(V512&lt;&gt;"",INDEX(Parties!$E$5:$E$304,V512)&lt;&gt;"",INDEX(Parties!$E$5:$E$304,V512)&lt;&gt;HomeState),ROUND(L512*M512,2),0)),"")</f>
        <v/>
      </c>
      <c r="Q512" s="61" t="str">
        <f aca="false">IF(IsPro,IF($D512="","",L512+N512+O512+P512),"")</f>
        <v/>
      </c>
      <c r="R512" s="61" t="str">
        <f aca="false">IF(IsPro,IF($D512="","",ROUND(N($E512)*IFERROR(INDEX(Items!$P$5:$P$504,U512),0),2)),"")</f>
        <v/>
      </c>
      <c r="S512" s="61" t="str">
        <f aca="false">IF(IsPro,IF($D512="","",L512-R512),"")</f>
        <v/>
      </c>
      <c r="T512" s="60" t="str">
        <f aca="false">IF(IsPro,IF($D512="","",IF(U512="","UNKNOWN ITEM",IF(INDEX(Items!$O$5:$O$504,U512)&lt;0,"NEG STOCK",IF(K512&lt;INDEX(Items!$P$5:$P$504,U512),"BELOW COST","OK")))),IF($D512="","","PRO PLAN"))</f>
        <v/>
      </c>
      <c r="U512" s="60" t="str">
        <f aca="false">IF(IsPro,IF($D512="","",IFERROR(MATCH($D512,Items!$A$5:$A$504,0),"")),"")</f>
        <v/>
      </c>
      <c r="V512" s="60" t="str">
        <f aca="false">IF(IsPro,IF($C512="","",IFERROR(MATCH($C512,Parties!$A$5:$A$304,0),"")),"")</f>
        <v/>
      </c>
      <c r="W512" s="60" t="str">
        <f aca="false">IF(IsPro,IF($B512="","",IFERROR(VALUE(SUBSTITUTE($B512,InvPrefix,"")),0)),"")</f>
        <v/>
      </c>
      <c r="X512" s="61" t="str">
        <f aca="false">IF(IsPro,IF($D512="","",IF(OR($H512="",$H512="Credit"),0,Q512)),"")</f>
        <v/>
      </c>
    </row>
    <row r="513" customFormat="false" ht="15" hidden="false" customHeight="false" outlineLevel="0" collapsed="false">
      <c r="A513" s="55"/>
      <c r="B513" s="56"/>
      <c r="C513" s="56"/>
      <c r="D513" s="56"/>
      <c r="E513" s="57"/>
      <c r="F513" s="58"/>
      <c r="G513" s="59"/>
      <c r="H513" s="56"/>
      <c r="I513" s="56"/>
      <c r="J513" s="60" t="str">
        <f aca="false">IF(IsPro,IF($D513="","",IFERROR(INDEX(Items!$D$5:$D$504,U513),"")),"")</f>
        <v/>
      </c>
      <c r="K513" s="61" t="str">
        <f aca="false">IF(IsPro,IF($D513="","",IF($F513="",IFERROR(INDEX(Items!$H$5:$H$504,U513),0),$F513)),"")</f>
        <v/>
      </c>
      <c r="L513" s="61" t="str">
        <f aca="false">IF(IsPro,IF($D513="","",ROUND(N($E513)*K513*(1-N($G513)),2)),"")</f>
        <v/>
      </c>
      <c r="M513" s="62" t="str">
        <f aca="false">IF(IsPro,IF($D513="","",IFERROR(INDEX(Items!$F$5:$F$504,U513),0)),"")</f>
        <v/>
      </c>
      <c r="N513" s="61" t="str">
        <f aca="false">IF(IsPro,IF($D513="","",IF(AND(V513&lt;&gt;"",INDEX(Parties!$E$5:$E$304,V513)&lt;&gt;"",INDEX(Parties!$E$5:$E$304,V513)&lt;&gt;HomeState),0,ROUND(L513*M513/2,2))),"")</f>
        <v/>
      </c>
      <c r="O513" s="61" t="str">
        <f aca="false">IF(IsPro,IF($D513="","",N513),"")</f>
        <v/>
      </c>
      <c r="P513" s="61" t="str">
        <f aca="false">IF(IsPro,IF($D513="","",IF(AND(V513&lt;&gt;"",INDEX(Parties!$E$5:$E$304,V513)&lt;&gt;"",INDEX(Parties!$E$5:$E$304,V513)&lt;&gt;HomeState),ROUND(L513*M513,2),0)),"")</f>
        <v/>
      </c>
      <c r="Q513" s="61" t="str">
        <f aca="false">IF(IsPro,IF($D513="","",L513+N513+O513+P513),"")</f>
        <v/>
      </c>
      <c r="R513" s="61" t="str">
        <f aca="false">IF(IsPro,IF($D513="","",ROUND(N($E513)*IFERROR(INDEX(Items!$P$5:$P$504,U513),0),2)),"")</f>
        <v/>
      </c>
      <c r="S513" s="61" t="str">
        <f aca="false">IF(IsPro,IF($D513="","",L513-R513),"")</f>
        <v/>
      </c>
      <c r="T513" s="60" t="str">
        <f aca="false">IF(IsPro,IF($D513="","",IF(U513="","UNKNOWN ITEM",IF(INDEX(Items!$O$5:$O$504,U513)&lt;0,"NEG STOCK",IF(K513&lt;INDEX(Items!$P$5:$P$504,U513),"BELOW COST","OK")))),IF($D513="","","PRO PLAN"))</f>
        <v/>
      </c>
      <c r="U513" s="60" t="str">
        <f aca="false">IF(IsPro,IF($D513="","",IFERROR(MATCH($D513,Items!$A$5:$A$504,0),"")),"")</f>
        <v/>
      </c>
      <c r="V513" s="60" t="str">
        <f aca="false">IF(IsPro,IF($C513="","",IFERROR(MATCH($C513,Parties!$A$5:$A$304,0),"")),"")</f>
        <v/>
      </c>
      <c r="W513" s="60" t="str">
        <f aca="false">IF(IsPro,IF($B513="","",IFERROR(VALUE(SUBSTITUTE($B513,InvPrefix,"")),0)),"")</f>
        <v/>
      </c>
      <c r="X513" s="61" t="str">
        <f aca="false">IF(IsPro,IF($D513="","",IF(OR($H513="",$H513="Credit"),0,Q513)),"")</f>
        <v/>
      </c>
    </row>
    <row r="514" customFormat="false" ht="15" hidden="false" customHeight="false" outlineLevel="0" collapsed="false">
      <c r="A514" s="55"/>
      <c r="B514" s="56"/>
      <c r="C514" s="56"/>
      <c r="D514" s="56"/>
      <c r="E514" s="57"/>
      <c r="F514" s="58"/>
      <c r="G514" s="59"/>
      <c r="H514" s="56"/>
      <c r="I514" s="56"/>
      <c r="J514" s="60" t="str">
        <f aca="false">IF(IsPro,IF($D514="","",IFERROR(INDEX(Items!$D$5:$D$504,U514),"")),"")</f>
        <v/>
      </c>
      <c r="K514" s="61" t="str">
        <f aca="false">IF(IsPro,IF($D514="","",IF($F514="",IFERROR(INDEX(Items!$H$5:$H$504,U514),0),$F514)),"")</f>
        <v/>
      </c>
      <c r="L514" s="61" t="str">
        <f aca="false">IF(IsPro,IF($D514="","",ROUND(N($E514)*K514*(1-N($G514)),2)),"")</f>
        <v/>
      </c>
      <c r="M514" s="62" t="str">
        <f aca="false">IF(IsPro,IF($D514="","",IFERROR(INDEX(Items!$F$5:$F$504,U514),0)),"")</f>
        <v/>
      </c>
      <c r="N514" s="61" t="str">
        <f aca="false">IF(IsPro,IF($D514="","",IF(AND(V514&lt;&gt;"",INDEX(Parties!$E$5:$E$304,V514)&lt;&gt;"",INDEX(Parties!$E$5:$E$304,V514)&lt;&gt;HomeState),0,ROUND(L514*M514/2,2))),"")</f>
        <v/>
      </c>
      <c r="O514" s="61" t="str">
        <f aca="false">IF(IsPro,IF($D514="","",N514),"")</f>
        <v/>
      </c>
      <c r="P514" s="61" t="str">
        <f aca="false">IF(IsPro,IF($D514="","",IF(AND(V514&lt;&gt;"",INDEX(Parties!$E$5:$E$304,V514)&lt;&gt;"",INDEX(Parties!$E$5:$E$304,V514)&lt;&gt;HomeState),ROUND(L514*M514,2),0)),"")</f>
        <v/>
      </c>
      <c r="Q514" s="61" t="str">
        <f aca="false">IF(IsPro,IF($D514="","",L514+N514+O514+P514),"")</f>
        <v/>
      </c>
      <c r="R514" s="61" t="str">
        <f aca="false">IF(IsPro,IF($D514="","",ROUND(N($E514)*IFERROR(INDEX(Items!$P$5:$P$504,U514),0),2)),"")</f>
        <v/>
      </c>
      <c r="S514" s="61" t="str">
        <f aca="false">IF(IsPro,IF($D514="","",L514-R514),"")</f>
        <v/>
      </c>
      <c r="T514" s="60" t="str">
        <f aca="false">IF(IsPro,IF($D514="","",IF(U514="","UNKNOWN ITEM",IF(INDEX(Items!$O$5:$O$504,U514)&lt;0,"NEG STOCK",IF(K514&lt;INDEX(Items!$P$5:$P$504,U514),"BELOW COST","OK")))),IF($D514="","","PRO PLAN"))</f>
        <v/>
      </c>
      <c r="U514" s="60" t="str">
        <f aca="false">IF(IsPro,IF($D514="","",IFERROR(MATCH($D514,Items!$A$5:$A$504,0),"")),"")</f>
        <v/>
      </c>
      <c r="V514" s="60" t="str">
        <f aca="false">IF(IsPro,IF($C514="","",IFERROR(MATCH($C514,Parties!$A$5:$A$304,0),"")),"")</f>
        <v/>
      </c>
      <c r="W514" s="60" t="str">
        <f aca="false">IF(IsPro,IF($B514="","",IFERROR(VALUE(SUBSTITUTE($B514,InvPrefix,"")),0)),"")</f>
        <v/>
      </c>
      <c r="X514" s="61" t="str">
        <f aca="false">IF(IsPro,IF($D514="","",IF(OR($H514="",$H514="Credit"),0,Q514)),"")</f>
        <v/>
      </c>
    </row>
    <row r="515" customFormat="false" ht="15" hidden="false" customHeight="false" outlineLevel="0" collapsed="false">
      <c r="A515" s="55"/>
      <c r="B515" s="56"/>
      <c r="C515" s="56"/>
      <c r="D515" s="56"/>
      <c r="E515" s="57"/>
      <c r="F515" s="58"/>
      <c r="G515" s="59"/>
      <c r="H515" s="56"/>
      <c r="I515" s="56"/>
      <c r="J515" s="60" t="str">
        <f aca="false">IF(IsPro,IF($D515="","",IFERROR(INDEX(Items!$D$5:$D$504,U515),"")),"")</f>
        <v/>
      </c>
      <c r="K515" s="61" t="str">
        <f aca="false">IF(IsPro,IF($D515="","",IF($F515="",IFERROR(INDEX(Items!$H$5:$H$504,U515),0),$F515)),"")</f>
        <v/>
      </c>
      <c r="L515" s="61" t="str">
        <f aca="false">IF(IsPro,IF($D515="","",ROUND(N($E515)*K515*(1-N($G515)),2)),"")</f>
        <v/>
      </c>
      <c r="M515" s="62" t="str">
        <f aca="false">IF(IsPro,IF($D515="","",IFERROR(INDEX(Items!$F$5:$F$504,U515),0)),"")</f>
        <v/>
      </c>
      <c r="N515" s="61" t="str">
        <f aca="false">IF(IsPro,IF($D515="","",IF(AND(V515&lt;&gt;"",INDEX(Parties!$E$5:$E$304,V515)&lt;&gt;"",INDEX(Parties!$E$5:$E$304,V515)&lt;&gt;HomeState),0,ROUND(L515*M515/2,2))),"")</f>
        <v/>
      </c>
      <c r="O515" s="61" t="str">
        <f aca="false">IF(IsPro,IF($D515="","",N515),"")</f>
        <v/>
      </c>
      <c r="P515" s="61" t="str">
        <f aca="false">IF(IsPro,IF($D515="","",IF(AND(V515&lt;&gt;"",INDEX(Parties!$E$5:$E$304,V515)&lt;&gt;"",INDEX(Parties!$E$5:$E$304,V515)&lt;&gt;HomeState),ROUND(L515*M515,2),0)),"")</f>
        <v/>
      </c>
      <c r="Q515" s="61" t="str">
        <f aca="false">IF(IsPro,IF($D515="","",L515+N515+O515+P515),"")</f>
        <v/>
      </c>
      <c r="R515" s="61" t="str">
        <f aca="false">IF(IsPro,IF($D515="","",ROUND(N($E515)*IFERROR(INDEX(Items!$P$5:$P$504,U515),0),2)),"")</f>
        <v/>
      </c>
      <c r="S515" s="61" t="str">
        <f aca="false">IF(IsPro,IF($D515="","",L515-R515),"")</f>
        <v/>
      </c>
      <c r="T515" s="60" t="str">
        <f aca="false">IF(IsPro,IF($D515="","",IF(U515="","UNKNOWN ITEM",IF(INDEX(Items!$O$5:$O$504,U515)&lt;0,"NEG STOCK",IF(K515&lt;INDEX(Items!$P$5:$P$504,U515),"BELOW COST","OK")))),IF($D515="","","PRO PLAN"))</f>
        <v/>
      </c>
      <c r="U515" s="60" t="str">
        <f aca="false">IF(IsPro,IF($D515="","",IFERROR(MATCH($D515,Items!$A$5:$A$504,0),"")),"")</f>
        <v/>
      </c>
      <c r="V515" s="60" t="str">
        <f aca="false">IF(IsPro,IF($C515="","",IFERROR(MATCH($C515,Parties!$A$5:$A$304,0),"")),"")</f>
        <v/>
      </c>
      <c r="W515" s="60" t="str">
        <f aca="false">IF(IsPro,IF($B515="","",IFERROR(VALUE(SUBSTITUTE($B515,InvPrefix,"")),0)),"")</f>
        <v/>
      </c>
      <c r="X515" s="61" t="str">
        <f aca="false">IF(IsPro,IF($D515="","",IF(OR($H515="",$H515="Credit"),0,Q515)),"")</f>
        <v/>
      </c>
    </row>
    <row r="516" customFormat="false" ht="15" hidden="false" customHeight="false" outlineLevel="0" collapsed="false">
      <c r="A516" s="55"/>
      <c r="B516" s="56"/>
      <c r="C516" s="56"/>
      <c r="D516" s="56"/>
      <c r="E516" s="57"/>
      <c r="F516" s="58"/>
      <c r="G516" s="59"/>
      <c r="H516" s="56"/>
      <c r="I516" s="56"/>
      <c r="J516" s="60" t="str">
        <f aca="false">IF(IsPro,IF($D516="","",IFERROR(INDEX(Items!$D$5:$D$504,U516),"")),"")</f>
        <v/>
      </c>
      <c r="K516" s="61" t="str">
        <f aca="false">IF(IsPro,IF($D516="","",IF($F516="",IFERROR(INDEX(Items!$H$5:$H$504,U516),0),$F516)),"")</f>
        <v/>
      </c>
      <c r="L516" s="61" t="str">
        <f aca="false">IF(IsPro,IF($D516="","",ROUND(N($E516)*K516*(1-N($G516)),2)),"")</f>
        <v/>
      </c>
      <c r="M516" s="62" t="str">
        <f aca="false">IF(IsPro,IF($D516="","",IFERROR(INDEX(Items!$F$5:$F$504,U516),0)),"")</f>
        <v/>
      </c>
      <c r="N516" s="61" t="str">
        <f aca="false">IF(IsPro,IF($D516="","",IF(AND(V516&lt;&gt;"",INDEX(Parties!$E$5:$E$304,V516)&lt;&gt;"",INDEX(Parties!$E$5:$E$304,V516)&lt;&gt;HomeState),0,ROUND(L516*M516/2,2))),"")</f>
        <v/>
      </c>
      <c r="O516" s="61" t="str">
        <f aca="false">IF(IsPro,IF($D516="","",N516),"")</f>
        <v/>
      </c>
      <c r="P516" s="61" t="str">
        <f aca="false">IF(IsPro,IF($D516="","",IF(AND(V516&lt;&gt;"",INDEX(Parties!$E$5:$E$304,V516)&lt;&gt;"",INDEX(Parties!$E$5:$E$304,V516)&lt;&gt;HomeState),ROUND(L516*M516,2),0)),"")</f>
        <v/>
      </c>
      <c r="Q516" s="61" t="str">
        <f aca="false">IF(IsPro,IF($D516="","",L516+N516+O516+P516),"")</f>
        <v/>
      </c>
      <c r="R516" s="61" t="str">
        <f aca="false">IF(IsPro,IF($D516="","",ROUND(N($E516)*IFERROR(INDEX(Items!$P$5:$P$504,U516),0),2)),"")</f>
        <v/>
      </c>
      <c r="S516" s="61" t="str">
        <f aca="false">IF(IsPro,IF($D516="","",L516-R516),"")</f>
        <v/>
      </c>
      <c r="T516" s="60" t="str">
        <f aca="false">IF(IsPro,IF($D516="","",IF(U516="","UNKNOWN ITEM",IF(INDEX(Items!$O$5:$O$504,U516)&lt;0,"NEG STOCK",IF(K516&lt;INDEX(Items!$P$5:$P$504,U516),"BELOW COST","OK")))),IF($D516="","","PRO PLAN"))</f>
        <v/>
      </c>
      <c r="U516" s="60" t="str">
        <f aca="false">IF(IsPro,IF($D516="","",IFERROR(MATCH($D516,Items!$A$5:$A$504,0),"")),"")</f>
        <v/>
      </c>
      <c r="V516" s="60" t="str">
        <f aca="false">IF(IsPro,IF($C516="","",IFERROR(MATCH($C516,Parties!$A$5:$A$304,0),"")),"")</f>
        <v/>
      </c>
      <c r="W516" s="60" t="str">
        <f aca="false">IF(IsPro,IF($B516="","",IFERROR(VALUE(SUBSTITUTE($B516,InvPrefix,"")),0)),"")</f>
        <v/>
      </c>
      <c r="X516" s="61" t="str">
        <f aca="false">IF(IsPro,IF($D516="","",IF(OR($H516="",$H516="Credit"),0,Q516)),"")</f>
        <v/>
      </c>
    </row>
    <row r="517" customFormat="false" ht="15" hidden="false" customHeight="false" outlineLevel="0" collapsed="false">
      <c r="A517" s="55"/>
      <c r="B517" s="56"/>
      <c r="C517" s="56"/>
      <c r="D517" s="56"/>
      <c r="E517" s="57"/>
      <c r="F517" s="58"/>
      <c r="G517" s="59"/>
      <c r="H517" s="56"/>
      <c r="I517" s="56"/>
      <c r="J517" s="60" t="str">
        <f aca="false">IF(IsPro,IF($D517="","",IFERROR(INDEX(Items!$D$5:$D$504,U517),"")),"")</f>
        <v/>
      </c>
      <c r="K517" s="61" t="str">
        <f aca="false">IF(IsPro,IF($D517="","",IF($F517="",IFERROR(INDEX(Items!$H$5:$H$504,U517),0),$F517)),"")</f>
        <v/>
      </c>
      <c r="L517" s="61" t="str">
        <f aca="false">IF(IsPro,IF($D517="","",ROUND(N($E517)*K517*(1-N($G517)),2)),"")</f>
        <v/>
      </c>
      <c r="M517" s="62" t="str">
        <f aca="false">IF(IsPro,IF($D517="","",IFERROR(INDEX(Items!$F$5:$F$504,U517),0)),"")</f>
        <v/>
      </c>
      <c r="N517" s="61" t="str">
        <f aca="false">IF(IsPro,IF($D517="","",IF(AND(V517&lt;&gt;"",INDEX(Parties!$E$5:$E$304,V517)&lt;&gt;"",INDEX(Parties!$E$5:$E$304,V517)&lt;&gt;HomeState),0,ROUND(L517*M517/2,2))),"")</f>
        <v/>
      </c>
      <c r="O517" s="61" t="str">
        <f aca="false">IF(IsPro,IF($D517="","",N517),"")</f>
        <v/>
      </c>
      <c r="P517" s="61" t="str">
        <f aca="false">IF(IsPro,IF($D517="","",IF(AND(V517&lt;&gt;"",INDEX(Parties!$E$5:$E$304,V517)&lt;&gt;"",INDEX(Parties!$E$5:$E$304,V517)&lt;&gt;HomeState),ROUND(L517*M517,2),0)),"")</f>
        <v/>
      </c>
      <c r="Q517" s="61" t="str">
        <f aca="false">IF(IsPro,IF($D517="","",L517+N517+O517+P517),"")</f>
        <v/>
      </c>
      <c r="R517" s="61" t="str">
        <f aca="false">IF(IsPro,IF($D517="","",ROUND(N($E517)*IFERROR(INDEX(Items!$P$5:$P$504,U517),0),2)),"")</f>
        <v/>
      </c>
      <c r="S517" s="61" t="str">
        <f aca="false">IF(IsPro,IF($D517="","",L517-R517),"")</f>
        <v/>
      </c>
      <c r="T517" s="60" t="str">
        <f aca="false">IF(IsPro,IF($D517="","",IF(U517="","UNKNOWN ITEM",IF(INDEX(Items!$O$5:$O$504,U517)&lt;0,"NEG STOCK",IF(K517&lt;INDEX(Items!$P$5:$P$504,U517),"BELOW COST","OK")))),IF($D517="","","PRO PLAN"))</f>
        <v/>
      </c>
      <c r="U517" s="60" t="str">
        <f aca="false">IF(IsPro,IF($D517="","",IFERROR(MATCH($D517,Items!$A$5:$A$504,0),"")),"")</f>
        <v/>
      </c>
      <c r="V517" s="60" t="str">
        <f aca="false">IF(IsPro,IF($C517="","",IFERROR(MATCH($C517,Parties!$A$5:$A$304,0),"")),"")</f>
        <v/>
      </c>
      <c r="W517" s="60" t="str">
        <f aca="false">IF(IsPro,IF($B517="","",IFERROR(VALUE(SUBSTITUTE($B517,InvPrefix,"")),0)),"")</f>
        <v/>
      </c>
      <c r="X517" s="61" t="str">
        <f aca="false">IF(IsPro,IF($D517="","",IF(OR($H517="",$H517="Credit"),0,Q517)),"")</f>
        <v/>
      </c>
    </row>
    <row r="518" customFormat="false" ht="15" hidden="false" customHeight="false" outlineLevel="0" collapsed="false">
      <c r="A518" s="55"/>
      <c r="B518" s="56"/>
      <c r="C518" s="56"/>
      <c r="D518" s="56"/>
      <c r="E518" s="57"/>
      <c r="F518" s="58"/>
      <c r="G518" s="59"/>
      <c r="H518" s="56"/>
      <c r="I518" s="56"/>
      <c r="J518" s="60" t="str">
        <f aca="false">IF(IsPro,IF($D518="","",IFERROR(INDEX(Items!$D$5:$D$504,U518),"")),"")</f>
        <v/>
      </c>
      <c r="K518" s="61" t="str">
        <f aca="false">IF(IsPro,IF($D518="","",IF($F518="",IFERROR(INDEX(Items!$H$5:$H$504,U518),0),$F518)),"")</f>
        <v/>
      </c>
      <c r="L518" s="61" t="str">
        <f aca="false">IF(IsPro,IF($D518="","",ROUND(N($E518)*K518*(1-N($G518)),2)),"")</f>
        <v/>
      </c>
      <c r="M518" s="62" t="str">
        <f aca="false">IF(IsPro,IF($D518="","",IFERROR(INDEX(Items!$F$5:$F$504,U518),0)),"")</f>
        <v/>
      </c>
      <c r="N518" s="61" t="str">
        <f aca="false">IF(IsPro,IF($D518="","",IF(AND(V518&lt;&gt;"",INDEX(Parties!$E$5:$E$304,V518)&lt;&gt;"",INDEX(Parties!$E$5:$E$304,V518)&lt;&gt;HomeState),0,ROUND(L518*M518/2,2))),"")</f>
        <v/>
      </c>
      <c r="O518" s="61" t="str">
        <f aca="false">IF(IsPro,IF($D518="","",N518),"")</f>
        <v/>
      </c>
      <c r="P518" s="61" t="str">
        <f aca="false">IF(IsPro,IF($D518="","",IF(AND(V518&lt;&gt;"",INDEX(Parties!$E$5:$E$304,V518)&lt;&gt;"",INDEX(Parties!$E$5:$E$304,V518)&lt;&gt;HomeState),ROUND(L518*M518,2),0)),"")</f>
        <v/>
      </c>
      <c r="Q518" s="61" t="str">
        <f aca="false">IF(IsPro,IF($D518="","",L518+N518+O518+P518),"")</f>
        <v/>
      </c>
      <c r="R518" s="61" t="str">
        <f aca="false">IF(IsPro,IF($D518="","",ROUND(N($E518)*IFERROR(INDEX(Items!$P$5:$P$504,U518),0),2)),"")</f>
        <v/>
      </c>
      <c r="S518" s="61" t="str">
        <f aca="false">IF(IsPro,IF($D518="","",L518-R518),"")</f>
        <v/>
      </c>
      <c r="T518" s="60" t="str">
        <f aca="false">IF(IsPro,IF($D518="","",IF(U518="","UNKNOWN ITEM",IF(INDEX(Items!$O$5:$O$504,U518)&lt;0,"NEG STOCK",IF(K518&lt;INDEX(Items!$P$5:$P$504,U518),"BELOW COST","OK")))),IF($D518="","","PRO PLAN"))</f>
        <v/>
      </c>
      <c r="U518" s="60" t="str">
        <f aca="false">IF(IsPro,IF($D518="","",IFERROR(MATCH($D518,Items!$A$5:$A$504,0),"")),"")</f>
        <v/>
      </c>
      <c r="V518" s="60" t="str">
        <f aca="false">IF(IsPro,IF($C518="","",IFERROR(MATCH($C518,Parties!$A$5:$A$304,0),"")),"")</f>
        <v/>
      </c>
      <c r="W518" s="60" t="str">
        <f aca="false">IF(IsPro,IF($B518="","",IFERROR(VALUE(SUBSTITUTE($B518,InvPrefix,"")),0)),"")</f>
        <v/>
      </c>
      <c r="X518" s="61" t="str">
        <f aca="false">IF(IsPro,IF($D518="","",IF(OR($H518="",$H518="Credit"),0,Q518)),"")</f>
        <v/>
      </c>
    </row>
    <row r="519" customFormat="false" ht="15" hidden="false" customHeight="false" outlineLevel="0" collapsed="false">
      <c r="A519" s="55"/>
      <c r="B519" s="56"/>
      <c r="C519" s="56"/>
      <c r="D519" s="56"/>
      <c r="E519" s="57"/>
      <c r="F519" s="58"/>
      <c r="G519" s="59"/>
      <c r="H519" s="56"/>
      <c r="I519" s="56"/>
      <c r="J519" s="60" t="str">
        <f aca="false">IF(IsPro,IF($D519="","",IFERROR(INDEX(Items!$D$5:$D$504,U519),"")),"")</f>
        <v/>
      </c>
      <c r="K519" s="61" t="str">
        <f aca="false">IF(IsPro,IF($D519="","",IF($F519="",IFERROR(INDEX(Items!$H$5:$H$504,U519),0),$F519)),"")</f>
        <v/>
      </c>
      <c r="L519" s="61" t="str">
        <f aca="false">IF(IsPro,IF($D519="","",ROUND(N($E519)*K519*(1-N($G519)),2)),"")</f>
        <v/>
      </c>
      <c r="M519" s="62" t="str">
        <f aca="false">IF(IsPro,IF($D519="","",IFERROR(INDEX(Items!$F$5:$F$504,U519),0)),"")</f>
        <v/>
      </c>
      <c r="N519" s="61" t="str">
        <f aca="false">IF(IsPro,IF($D519="","",IF(AND(V519&lt;&gt;"",INDEX(Parties!$E$5:$E$304,V519)&lt;&gt;"",INDEX(Parties!$E$5:$E$304,V519)&lt;&gt;HomeState),0,ROUND(L519*M519/2,2))),"")</f>
        <v/>
      </c>
      <c r="O519" s="61" t="str">
        <f aca="false">IF(IsPro,IF($D519="","",N519),"")</f>
        <v/>
      </c>
      <c r="P519" s="61" t="str">
        <f aca="false">IF(IsPro,IF($D519="","",IF(AND(V519&lt;&gt;"",INDEX(Parties!$E$5:$E$304,V519)&lt;&gt;"",INDEX(Parties!$E$5:$E$304,V519)&lt;&gt;HomeState),ROUND(L519*M519,2),0)),"")</f>
        <v/>
      </c>
      <c r="Q519" s="61" t="str">
        <f aca="false">IF(IsPro,IF($D519="","",L519+N519+O519+P519),"")</f>
        <v/>
      </c>
      <c r="R519" s="61" t="str">
        <f aca="false">IF(IsPro,IF($D519="","",ROUND(N($E519)*IFERROR(INDEX(Items!$P$5:$P$504,U519),0),2)),"")</f>
        <v/>
      </c>
      <c r="S519" s="61" t="str">
        <f aca="false">IF(IsPro,IF($D519="","",L519-R519),"")</f>
        <v/>
      </c>
      <c r="T519" s="60" t="str">
        <f aca="false">IF(IsPro,IF($D519="","",IF(U519="","UNKNOWN ITEM",IF(INDEX(Items!$O$5:$O$504,U519)&lt;0,"NEG STOCK",IF(K519&lt;INDEX(Items!$P$5:$P$504,U519),"BELOW COST","OK")))),IF($D519="","","PRO PLAN"))</f>
        <v/>
      </c>
      <c r="U519" s="60" t="str">
        <f aca="false">IF(IsPro,IF($D519="","",IFERROR(MATCH($D519,Items!$A$5:$A$504,0),"")),"")</f>
        <v/>
      </c>
      <c r="V519" s="60" t="str">
        <f aca="false">IF(IsPro,IF($C519="","",IFERROR(MATCH($C519,Parties!$A$5:$A$304,0),"")),"")</f>
        <v/>
      </c>
      <c r="W519" s="60" t="str">
        <f aca="false">IF(IsPro,IF($B519="","",IFERROR(VALUE(SUBSTITUTE($B519,InvPrefix,"")),0)),"")</f>
        <v/>
      </c>
      <c r="X519" s="61" t="str">
        <f aca="false">IF(IsPro,IF($D519="","",IF(OR($H519="",$H519="Credit"),0,Q519)),"")</f>
        <v/>
      </c>
    </row>
    <row r="520" customFormat="false" ht="15" hidden="false" customHeight="false" outlineLevel="0" collapsed="false">
      <c r="A520" s="55"/>
      <c r="B520" s="56"/>
      <c r="C520" s="56"/>
      <c r="D520" s="56"/>
      <c r="E520" s="57"/>
      <c r="F520" s="58"/>
      <c r="G520" s="59"/>
      <c r="H520" s="56"/>
      <c r="I520" s="56"/>
      <c r="J520" s="60" t="str">
        <f aca="false">IF(IsPro,IF($D520="","",IFERROR(INDEX(Items!$D$5:$D$504,U520),"")),"")</f>
        <v/>
      </c>
      <c r="K520" s="61" t="str">
        <f aca="false">IF(IsPro,IF($D520="","",IF($F520="",IFERROR(INDEX(Items!$H$5:$H$504,U520),0),$F520)),"")</f>
        <v/>
      </c>
      <c r="L520" s="61" t="str">
        <f aca="false">IF(IsPro,IF($D520="","",ROUND(N($E520)*K520*(1-N($G520)),2)),"")</f>
        <v/>
      </c>
      <c r="M520" s="62" t="str">
        <f aca="false">IF(IsPro,IF($D520="","",IFERROR(INDEX(Items!$F$5:$F$504,U520),0)),"")</f>
        <v/>
      </c>
      <c r="N520" s="61" t="str">
        <f aca="false">IF(IsPro,IF($D520="","",IF(AND(V520&lt;&gt;"",INDEX(Parties!$E$5:$E$304,V520)&lt;&gt;"",INDEX(Parties!$E$5:$E$304,V520)&lt;&gt;HomeState),0,ROUND(L520*M520/2,2))),"")</f>
        <v/>
      </c>
      <c r="O520" s="61" t="str">
        <f aca="false">IF(IsPro,IF($D520="","",N520),"")</f>
        <v/>
      </c>
      <c r="P520" s="61" t="str">
        <f aca="false">IF(IsPro,IF($D520="","",IF(AND(V520&lt;&gt;"",INDEX(Parties!$E$5:$E$304,V520)&lt;&gt;"",INDEX(Parties!$E$5:$E$304,V520)&lt;&gt;HomeState),ROUND(L520*M520,2),0)),"")</f>
        <v/>
      </c>
      <c r="Q520" s="61" t="str">
        <f aca="false">IF(IsPro,IF($D520="","",L520+N520+O520+P520),"")</f>
        <v/>
      </c>
      <c r="R520" s="61" t="str">
        <f aca="false">IF(IsPro,IF($D520="","",ROUND(N($E520)*IFERROR(INDEX(Items!$P$5:$P$504,U520),0),2)),"")</f>
        <v/>
      </c>
      <c r="S520" s="61" t="str">
        <f aca="false">IF(IsPro,IF($D520="","",L520-R520),"")</f>
        <v/>
      </c>
      <c r="T520" s="60" t="str">
        <f aca="false">IF(IsPro,IF($D520="","",IF(U520="","UNKNOWN ITEM",IF(INDEX(Items!$O$5:$O$504,U520)&lt;0,"NEG STOCK",IF(K520&lt;INDEX(Items!$P$5:$P$504,U520),"BELOW COST","OK")))),IF($D520="","","PRO PLAN"))</f>
        <v/>
      </c>
      <c r="U520" s="60" t="str">
        <f aca="false">IF(IsPro,IF($D520="","",IFERROR(MATCH($D520,Items!$A$5:$A$504,0),"")),"")</f>
        <v/>
      </c>
      <c r="V520" s="60" t="str">
        <f aca="false">IF(IsPro,IF($C520="","",IFERROR(MATCH($C520,Parties!$A$5:$A$304,0),"")),"")</f>
        <v/>
      </c>
      <c r="W520" s="60" t="str">
        <f aca="false">IF(IsPro,IF($B520="","",IFERROR(VALUE(SUBSTITUTE($B520,InvPrefix,"")),0)),"")</f>
        <v/>
      </c>
      <c r="X520" s="61" t="str">
        <f aca="false">IF(IsPro,IF($D520="","",IF(OR($H520="",$H520="Credit"),0,Q520)),"")</f>
        <v/>
      </c>
    </row>
    <row r="521" customFormat="false" ht="15" hidden="false" customHeight="false" outlineLevel="0" collapsed="false">
      <c r="A521" s="55"/>
      <c r="B521" s="56"/>
      <c r="C521" s="56"/>
      <c r="D521" s="56"/>
      <c r="E521" s="57"/>
      <c r="F521" s="58"/>
      <c r="G521" s="59"/>
      <c r="H521" s="56"/>
      <c r="I521" s="56"/>
      <c r="J521" s="60" t="str">
        <f aca="false">IF(IsPro,IF($D521="","",IFERROR(INDEX(Items!$D$5:$D$504,U521),"")),"")</f>
        <v/>
      </c>
      <c r="K521" s="61" t="str">
        <f aca="false">IF(IsPro,IF($D521="","",IF($F521="",IFERROR(INDEX(Items!$H$5:$H$504,U521),0),$F521)),"")</f>
        <v/>
      </c>
      <c r="L521" s="61" t="str">
        <f aca="false">IF(IsPro,IF($D521="","",ROUND(N($E521)*K521*(1-N($G521)),2)),"")</f>
        <v/>
      </c>
      <c r="M521" s="62" t="str">
        <f aca="false">IF(IsPro,IF($D521="","",IFERROR(INDEX(Items!$F$5:$F$504,U521),0)),"")</f>
        <v/>
      </c>
      <c r="N521" s="61" t="str">
        <f aca="false">IF(IsPro,IF($D521="","",IF(AND(V521&lt;&gt;"",INDEX(Parties!$E$5:$E$304,V521)&lt;&gt;"",INDEX(Parties!$E$5:$E$304,V521)&lt;&gt;HomeState),0,ROUND(L521*M521/2,2))),"")</f>
        <v/>
      </c>
      <c r="O521" s="61" t="str">
        <f aca="false">IF(IsPro,IF($D521="","",N521),"")</f>
        <v/>
      </c>
      <c r="P521" s="61" t="str">
        <f aca="false">IF(IsPro,IF($D521="","",IF(AND(V521&lt;&gt;"",INDEX(Parties!$E$5:$E$304,V521)&lt;&gt;"",INDEX(Parties!$E$5:$E$304,V521)&lt;&gt;HomeState),ROUND(L521*M521,2),0)),"")</f>
        <v/>
      </c>
      <c r="Q521" s="61" t="str">
        <f aca="false">IF(IsPro,IF($D521="","",L521+N521+O521+P521),"")</f>
        <v/>
      </c>
      <c r="R521" s="61" t="str">
        <f aca="false">IF(IsPro,IF($D521="","",ROUND(N($E521)*IFERROR(INDEX(Items!$P$5:$P$504,U521),0),2)),"")</f>
        <v/>
      </c>
      <c r="S521" s="61" t="str">
        <f aca="false">IF(IsPro,IF($D521="","",L521-R521),"")</f>
        <v/>
      </c>
      <c r="T521" s="60" t="str">
        <f aca="false">IF(IsPro,IF($D521="","",IF(U521="","UNKNOWN ITEM",IF(INDEX(Items!$O$5:$O$504,U521)&lt;0,"NEG STOCK",IF(K521&lt;INDEX(Items!$P$5:$P$504,U521),"BELOW COST","OK")))),IF($D521="","","PRO PLAN"))</f>
        <v/>
      </c>
      <c r="U521" s="60" t="str">
        <f aca="false">IF(IsPro,IF($D521="","",IFERROR(MATCH($D521,Items!$A$5:$A$504,0),"")),"")</f>
        <v/>
      </c>
      <c r="V521" s="60" t="str">
        <f aca="false">IF(IsPro,IF($C521="","",IFERROR(MATCH($C521,Parties!$A$5:$A$304,0),"")),"")</f>
        <v/>
      </c>
      <c r="W521" s="60" t="str">
        <f aca="false">IF(IsPro,IF($B521="","",IFERROR(VALUE(SUBSTITUTE($B521,InvPrefix,"")),0)),"")</f>
        <v/>
      </c>
      <c r="X521" s="61" t="str">
        <f aca="false">IF(IsPro,IF($D521="","",IF(OR($H521="",$H521="Credit"),0,Q521)),"")</f>
        <v/>
      </c>
    </row>
    <row r="522" customFormat="false" ht="15" hidden="false" customHeight="false" outlineLevel="0" collapsed="false">
      <c r="A522" s="55"/>
      <c r="B522" s="56"/>
      <c r="C522" s="56"/>
      <c r="D522" s="56"/>
      <c r="E522" s="57"/>
      <c r="F522" s="58"/>
      <c r="G522" s="59"/>
      <c r="H522" s="56"/>
      <c r="I522" s="56"/>
      <c r="J522" s="60" t="str">
        <f aca="false">IF(IsPro,IF($D522="","",IFERROR(INDEX(Items!$D$5:$D$504,U522),"")),"")</f>
        <v/>
      </c>
      <c r="K522" s="61" t="str">
        <f aca="false">IF(IsPro,IF($D522="","",IF($F522="",IFERROR(INDEX(Items!$H$5:$H$504,U522),0),$F522)),"")</f>
        <v/>
      </c>
      <c r="L522" s="61" t="str">
        <f aca="false">IF(IsPro,IF($D522="","",ROUND(N($E522)*K522*(1-N($G522)),2)),"")</f>
        <v/>
      </c>
      <c r="M522" s="62" t="str">
        <f aca="false">IF(IsPro,IF($D522="","",IFERROR(INDEX(Items!$F$5:$F$504,U522),0)),"")</f>
        <v/>
      </c>
      <c r="N522" s="61" t="str">
        <f aca="false">IF(IsPro,IF($D522="","",IF(AND(V522&lt;&gt;"",INDEX(Parties!$E$5:$E$304,V522)&lt;&gt;"",INDEX(Parties!$E$5:$E$304,V522)&lt;&gt;HomeState),0,ROUND(L522*M522/2,2))),"")</f>
        <v/>
      </c>
      <c r="O522" s="61" t="str">
        <f aca="false">IF(IsPro,IF($D522="","",N522),"")</f>
        <v/>
      </c>
      <c r="P522" s="61" t="str">
        <f aca="false">IF(IsPro,IF($D522="","",IF(AND(V522&lt;&gt;"",INDEX(Parties!$E$5:$E$304,V522)&lt;&gt;"",INDEX(Parties!$E$5:$E$304,V522)&lt;&gt;HomeState),ROUND(L522*M522,2),0)),"")</f>
        <v/>
      </c>
      <c r="Q522" s="61" t="str">
        <f aca="false">IF(IsPro,IF($D522="","",L522+N522+O522+P522),"")</f>
        <v/>
      </c>
      <c r="R522" s="61" t="str">
        <f aca="false">IF(IsPro,IF($D522="","",ROUND(N($E522)*IFERROR(INDEX(Items!$P$5:$P$504,U522),0),2)),"")</f>
        <v/>
      </c>
      <c r="S522" s="61" t="str">
        <f aca="false">IF(IsPro,IF($D522="","",L522-R522),"")</f>
        <v/>
      </c>
      <c r="T522" s="60" t="str">
        <f aca="false">IF(IsPro,IF($D522="","",IF(U522="","UNKNOWN ITEM",IF(INDEX(Items!$O$5:$O$504,U522)&lt;0,"NEG STOCK",IF(K522&lt;INDEX(Items!$P$5:$P$504,U522),"BELOW COST","OK")))),IF($D522="","","PRO PLAN"))</f>
        <v/>
      </c>
      <c r="U522" s="60" t="str">
        <f aca="false">IF(IsPro,IF($D522="","",IFERROR(MATCH($D522,Items!$A$5:$A$504,0),"")),"")</f>
        <v/>
      </c>
      <c r="V522" s="60" t="str">
        <f aca="false">IF(IsPro,IF($C522="","",IFERROR(MATCH($C522,Parties!$A$5:$A$304,0),"")),"")</f>
        <v/>
      </c>
      <c r="W522" s="60" t="str">
        <f aca="false">IF(IsPro,IF($B522="","",IFERROR(VALUE(SUBSTITUTE($B522,InvPrefix,"")),0)),"")</f>
        <v/>
      </c>
      <c r="X522" s="61" t="str">
        <f aca="false">IF(IsPro,IF($D522="","",IF(OR($H522="",$H522="Credit"),0,Q522)),"")</f>
        <v/>
      </c>
    </row>
    <row r="523" customFormat="false" ht="15" hidden="false" customHeight="false" outlineLevel="0" collapsed="false">
      <c r="A523" s="55"/>
      <c r="B523" s="56"/>
      <c r="C523" s="56"/>
      <c r="D523" s="56"/>
      <c r="E523" s="57"/>
      <c r="F523" s="58"/>
      <c r="G523" s="59"/>
      <c r="H523" s="56"/>
      <c r="I523" s="56"/>
      <c r="J523" s="60" t="str">
        <f aca="false">IF(IsPro,IF($D523="","",IFERROR(INDEX(Items!$D$5:$D$504,U523),"")),"")</f>
        <v/>
      </c>
      <c r="K523" s="61" t="str">
        <f aca="false">IF(IsPro,IF($D523="","",IF($F523="",IFERROR(INDEX(Items!$H$5:$H$504,U523),0),$F523)),"")</f>
        <v/>
      </c>
      <c r="L523" s="61" t="str">
        <f aca="false">IF(IsPro,IF($D523="","",ROUND(N($E523)*K523*(1-N($G523)),2)),"")</f>
        <v/>
      </c>
      <c r="M523" s="62" t="str">
        <f aca="false">IF(IsPro,IF($D523="","",IFERROR(INDEX(Items!$F$5:$F$504,U523),0)),"")</f>
        <v/>
      </c>
      <c r="N523" s="61" t="str">
        <f aca="false">IF(IsPro,IF($D523="","",IF(AND(V523&lt;&gt;"",INDEX(Parties!$E$5:$E$304,V523)&lt;&gt;"",INDEX(Parties!$E$5:$E$304,V523)&lt;&gt;HomeState),0,ROUND(L523*M523/2,2))),"")</f>
        <v/>
      </c>
      <c r="O523" s="61" t="str">
        <f aca="false">IF(IsPro,IF($D523="","",N523),"")</f>
        <v/>
      </c>
      <c r="P523" s="61" t="str">
        <f aca="false">IF(IsPro,IF($D523="","",IF(AND(V523&lt;&gt;"",INDEX(Parties!$E$5:$E$304,V523)&lt;&gt;"",INDEX(Parties!$E$5:$E$304,V523)&lt;&gt;HomeState),ROUND(L523*M523,2),0)),"")</f>
        <v/>
      </c>
      <c r="Q523" s="61" t="str">
        <f aca="false">IF(IsPro,IF($D523="","",L523+N523+O523+P523),"")</f>
        <v/>
      </c>
      <c r="R523" s="61" t="str">
        <f aca="false">IF(IsPro,IF($D523="","",ROUND(N($E523)*IFERROR(INDEX(Items!$P$5:$P$504,U523),0),2)),"")</f>
        <v/>
      </c>
      <c r="S523" s="61" t="str">
        <f aca="false">IF(IsPro,IF($D523="","",L523-R523),"")</f>
        <v/>
      </c>
      <c r="T523" s="60" t="str">
        <f aca="false">IF(IsPro,IF($D523="","",IF(U523="","UNKNOWN ITEM",IF(INDEX(Items!$O$5:$O$504,U523)&lt;0,"NEG STOCK",IF(K523&lt;INDEX(Items!$P$5:$P$504,U523),"BELOW COST","OK")))),IF($D523="","","PRO PLAN"))</f>
        <v/>
      </c>
      <c r="U523" s="60" t="str">
        <f aca="false">IF(IsPro,IF($D523="","",IFERROR(MATCH($D523,Items!$A$5:$A$504,0),"")),"")</f>
        <v/>
      </c>
      <c r="V523" s="60" t="str">
        <f aca="false">IF(IsPro,IF($C523="","",IFERROR(MATCH($C523,Parties!$A$5:$A$304,0),"")),"")</f>
        <v/>
      </c>
      <c r="W523" s="60" t="str">
        <f aca="false">IF(IsPro,IF($B523="","",IFERROR(VALUE(SUBSTITUTE($B523,InvPrefix,"")),0)),"")</f>
        <v/>
      </c>
      <c r="X523" s="61" t="str">
        <f aca="false">IF(IsPro,IF($D523="","",IF(OR($H523="",$H523="Credit"),0,Q523)),"")</f>
        <v/>
      </c>
    </row>
    <row r="524" customFormat="false" ht="15" hidden="false" customHeight="false" outlineLevel="0" collapsed="false">
      <c r="A524" s="55"/>
      <c r="B524" s="56"/>
      <c r="C524" s="56"/>
      <c r="D524" s="56"/>
      <c r="E524" s="57"/>
      <c r="F524" s="58"/>
      <c r="G524" s="59"/>
      <c r="H524" s="56"/>
      <c r="I524" s="56"/>
      <c r="J524" s="60" t="str">
        <f aca="false">IF(IsPro,IF($D524="","",IFERROR(INDEX(Items!$D$5:$D$504,U524),"")),"")</f>
        <v/>
      </c>
      <c r="K524" s="61" t="str">
        <f aca="false">IF(IsPro,IF($D524="","",IF($F524="",IFERROR(INDEX(Items!$H$5:$H$504,U524),0),$F524)),"")</f>
        <v/>
      </c>
      <c r="L524" s="61" t="str">
        <f aca="false">IF(IsPro,IF($D524="","",ROUND(N($E524)*K524*(1-N($G524)),2)),"")</f>
        <v/>
      </c>
      <c r="M524" s="62" t="str">
        <f aca="false">IF(IsPro,IF($D524="","",IFERROR(INDEX(Items!$F$5:$F$504,U524),0)),"")</f>
        <v/>
      </c>
      <c r="N524" s="61" t="str">
        <f aca="false">IF(IsPro,IF($D524="","",IF(AND(V524&lt;&gt;"",INDEX(Parties!$E$5:$E$304,V524)&lt;&gt;"",INDEX(Parties!$E$5:$E$304,V524)&lt;&gt;HomeState),0,ROUND(L524*M524/2,2))),"")</f>
        <v/>
      </c>
      <c r="O524" s="61" t="str">
        <f aca="false">IF(IsPro,IF($D524="","",N524),"")</f>
        <v/>
      </c>
      <c r="P524" s="61" t="str">
        <f aca="false">IF(IsPro,IF($D524="","",IF(AND(V524&lt;&gt;"",INDEX(Parties!$E$5:$E$304,V524)&lt;&gt;"",INDEX(Parties!$E$5:$E$304,V524)&lt;&gt;HomeState),ROUND(L524*M524,2),0)),"")</f>
        <v/>
      </c>
      <c r="Q524" s="61" t="str">
        <f aca="false">IF(IsPro,IF($D524="","",L524+N524+O524+P524),"")</f>
        <v/>
      </c>
      <c r="R524" s="61" t="str">
        <f aca="false">IF(IsPro,IF($D524="","",ROUND(N($E524)*IFERROR(INDEX(Items!$P$5:$P$504,U524),0),2)),"")</f>
        <v/>
      </c>
      <c r="S524" s="61" t="str">
        <f aca="false">IF(IsPro,IF($D524="","",L524-R524),"")</f>
        <v/>
      </c>
      <c r="T524" s="60" t="str">
        <f aca="false">IF(IsPro,IF($D524="","",IF(U524="","UNKNOWN ITEM",IF(INDEX(Items!$O$5:$O$504,U524)&lt;0,"NEG STOCK",IF(K524&lt;INDEX(Items!$P$5:$P$504,U524),"BELOW COST","OK")))),IF($D524="","","PRO PLAN"))</f>
        <v/>
      </c>
      <c r="U524" s="60" t="str">
        <f aca="false">IF(IsPro,IF($D524="","",IFERROR(MATCH($D524,Items!$A$5:$A$504,0),"")),"")</f>
        <v/>
      </c>
      <c r="V524" s="60" t="str">
        <f aca="false">IF(IsPro,IF($C524="","",IFERROR(MATCH($C524,Parties!$A$5:$A$304,0),"")),"")</f>
        <v/>
      </c>
      <c r="W524" s="60" t="str">
        <f aca="false">IF(IsPro,IF($B524="","",IFERROR(VALUE(SUBSTITUTE($B524,InvPrefix,"")),0)),"")</f>
        <v/>
      </c>
      <c r="X524" s="61" t="str">
        <f aca="false">IF(IsPro,IF($D524="","",IF(OR($H524="",$H524="Credit"),0,Q524)),"")</f>
        <v/>
      </c>
    </row>
    <row r="525" customFormat="false" ht="15" hidden="false" customHeight="false" outlineLevel="0" collapsed="false">
      <c r="A525" s="55"/>
      <c r="B525" s="56"/>
      <c r="C525" s="56"/>
      <c r="D525" s="56"/>
      <c r="E525" s="57"/>
      <c r="F525" s="58"/>
      <c r="G525" s="59"/>
      <c r="H525" s="56"/>
      <c r="I525" s="56"/>
      <c r="J525" s="60" t="str">
        <f aca="false">IF(IsPro,IF($D525="","",IFERROR(INDEX(Items!$D$5:$D$504,U525),"")),"")</f>
        <v/>
      </c>
      <c r="K525" s="61" t="str">
        <f aca="false">IF(IsPro,IF($D525="","",IF($F525="",IFERROR(INDEX(Items!$H$5:$H$504,U525),0),$F525)),"")</f>
        <v/>
      </c>
      <c r="L525" s="61" t="str">
        <f aca="false">IF(IsPro,IF($D525="","",ROUND(N($E525)*K525*(1-N($G525)),2)),"")</f>
        <v/>
      </c>
      <c r="M525" s="62" t="str">
        <f aca="false">IF(IsPro,IF($D525="","",IFERROR(INDEX(Items!$F$5:$F$504,U525),0)),"")</f>
        <v/>
      </c>
      <c r="N525" s="61" t="str">
        <f aca="false">IF(IsPro,IF($D525="","",IF(AND(V525&lt;&gt;"",INDEX(Parties!$E$5:$E$304,V525)&lt;&gt;"",INDEX(Parties!$E$5:$E$304,V525)&lt;&gt;HomeState),0,ROUND(L525*M525/2,2))),"")</f>
        <v/>
      </c>
      <c r="O525" s="61" t="str">
        <f aca="false">IF(IsPro,IF($D525="","",N525),"")</f>
        <v/>
      </c>
      <c r="P525" s="61" t="str">
        <f aca="false">IF(IsPro,IF($D525="","",IF(AND(V525&lt;&gt;"",INDEX(Parties!$E$5:$E$304,V525)&lt;&gt;"",INDEX(Parties!$E$5:$E$304,V525)&lt;&gt;HomeState),ROUND(L525*M525,2),0)),"")</f>
        <v/>
      </c>
      <c r="Q525" s="61" t="str">
        <f aca="false">IF(IsPro,IF($D525="","",L525+N525+O525+P525),"")</f>
        <v/>
      </c>
      <c r="R525" s="61" t="str">
        <f aca="false">IF(IsPro,IF($D525="","",ROUND(N($E525)*IFERROR(INDEX(Items!$P$5:$P$504,U525),0),2)),"")</f>
        <v/>
      </c>
      <c r="S525" s="61" t="str">
        <f aca="false">IF(IsPro,IF($D525="","",L525-R525),"")</f>
        <v/>
      </c>
      <c r="T525" s="60" t="str">
        <f aca="false">IF(IsPro,IF($D525="","",IF(U525="","UNKNOWN ITEM",IF(INDEX(Items!$O$5:$O$504,U525)&lt;0,"NEG STOCK",IF(K525&lt;INDEX(Items!$P$5:$P$504,U525),"BELOW COST","OK")))),IF($D525="","","PRO PLAN"))</f>
        <v/>
      </c>
      <c r="U525" s="60" t="str">
        <f aca="false">IF(IsPro,IF($D525="","",IFERROR(MATCH($D525,Items!$A$5:$A$504,0),"")),"")</f>
        <v/>
      </c>
      <c r="V525" s="60" t="str">
        <f aca="false">IF(IsPro,IF($C525="","",IFERROR(MATCH($C525,Parties!$A$5:$A$304,0),"")),"")</f>
        <v/>
      </c>
      <c r="W525" s="60" t="str">
        <f aca="false">IF(IsPro,IF($B525="","",IFERROR(VALUE(SUBSTITUTE($B525,InvPrefix,"")),0)),"")</f>
        <v/>
      </c>
      <c r="X525" s="61" t="str">
        <f aca="false">IF(IsPro,IF($D525="","",IF(OR($H525="",$H525="Credit"),0,Q525)),"")</f>
        <v/>
      </c>
    </row>
    <row r="526" customFormat="false" ht="15" hidden="false" customHeight="false" outlineLevel="0" collapsed="false">
      <c r="A526" s="55"/>
      <c r="B526" s="56"/>
      <c r="C526" s="56"/>
      <c r="D526" s="56"/>
      <c r="E526" s="57"/>
      <c r="F526" s="58"/>
      <c r="G526" s="59"/>
      <c r="H526" s="56"/>
      <c r="I526" s="56"/>
      <c r="J526" s="60" t="str">
        <f aca="false">IF(IsPro,IF($D526="","",IFERROR(INDEX(Items!$D$5:$D$504,U526),"")),"")</f>
        <v/>
      </c>
      <c r="K526" s="61" t="str">
        <f aca="false">IF(IsPro,IF($D526="","",IF($F526="",IFERROR(INDEX(Items!$H$5:$H$504,U526),0),$F526)),"")</f>
        <v/>
      </c>
      <c r="L526" s="61" t="str">
        <f aca="false">IF(IsPro,IF($D526="","",ROUND(N($E526)*K526*(1-N($G526)),2)),"")</f>
        <v/>
      </c>
      <c r="M526" s="62" t="str">
        <f aca="false">IF(IsPro,IF($D526="","",IFERROR(INDEX(Items!$F$5:$F$504,U526),0)),"")</f>
        <v/>
      </c>
      <c r="N526" s="61" t="str">
        <f aca="false">IF(IsPro,IF($D526="","",IF(AND(V526&lt;&gt;"",INDEX(Parties!$E$5:$E$304,V526)&lt;&gt;"",INDEX(Parties!$E$5:$E$304,V526)&lt;&gt;HomeState),0,ROUND(L526*M526/2,2))),"")</f>
        <v/>
      </c>
      <c r="O526" s="61" t="str">
        <f aca="false">IF(IsPro,IF($D526="","",N526),"")</f>
        <v/>
      </c>
      <c r="P526" s="61" t="str">
        <f aca="false">IF(IsPro,IF($D526="","",IF(AND(V526&lt;&gt;"",INDEX(Parties!$E$5:$E$304,V526)&lt;&gt;"",INDEX(Parties!$E$5:$E$304,V526)&lt;&gt;HomeState),ROUND(L526*M526,2),0)),"")</f>
        <v/>
      </c>
      <c r="Q526" s="61" t="str">
        <f aca="false">IF(IsPro,IF($D526="","",L526+N526+O526+P526),"")</f>
        <v/>
      </c>
      <c r="R526" s="61" t="str">
        <f aca="false">IF(IsPro,IF($D526="","",ROUND(N($E526)*IFERROR(INDEX(Items!$P$5:$P$504,U526),0),2)),"")</f>
        <v/>
      </c>
      <c r="S526" s="61" t="str">
        <f aca="false">IF(IsPro,IF($D526="","",L526-R526),"")</f>
        <v/>
      </c>
      <c r="T526" s="60" t="str">
        <f aca="false">IF(IsPro,IF($D526="","",IF(U526="","UNKNOWN ITEM",IF(INDEX(Items!$O$5:$O$504,U526)&lt;0,"NEG STOCK",IF(K526&lt;INDEX(Items!$P$5:$P$504,U526),"BELOW COST","OK")))),IF($D526="","","PRO PLAN"))</f>
        <v/>
      </c>
      <c r="U526" s="60" t="str">
        <f aca="false">IF(IsPro,IF($D526="","",IFERROR(MATCH($D526,Items!$A$5:$A$504,0),"")),"")</f>
        <v/>
      </c>
      <c r="V526" s="60" t="str">
        <f aca="false">IF(IsPro,IF($C526="","",IFERROR(MATCH($C526,Parties!$A$5:$A$304,0),"")),"")</f>
        <v/>
      </c>
      <c r="W526" s="60" t="str">
        <f aca="false">IF(IsPro,IF($B526="","",IFERROR(VALUE(SUBSTITUTE($B526,InvPrefix,"")),0)),"")</f>
        <v/>
      </c>
      <c r="X526" s="61" t="str">
        <f aca="false">IF(IsPro,IF($D526="","",IF(OR($H526="",$H526="Credit"),0,Q526)),"")</f>
        <v/>
      </c>
    </row>
    <row r="527" customFormat="false" ht="15" hidden="false" customHeight="false" outlineLevel="0" collapsed="false">
      <c r="A527" s="55"/>
      <c r="B527" s="56"/>
      <c r="C527" s="56"/>
      <c r="D527" s="56"/>
      <c r="E527" s="57"/>
      <c r="F527" s="58"/>
      <c r="G527" s="59"/>
      <c r="H527" s="56"/>
      <c r="I527" s="56"/>
      <c r="J527" s="60" t="str">
        <f aca="false">IF(IsPro,IF($D527="","",IFERROR(INDEX(Items!$D$5:$D$504,U527),"")),"")</f>
        <v/>
      </c>
      <c r="K527" s="61" t="str">
        <f aca="false">IF(IsPro,IF($D527="","",IF($F527="",IFERROR(INDEX(Items!$H$5:$H$504,U527),0),$F527)),"")</f>
        <v/>
      </c>
      <c r="L527" s="61" t="str">
        <f aca="false">IF(IsPro,IF($D527="","",ROUND(N($E527)*K527*(1-N($G527)),2)),"")</f>
        <v/>
      </c>
      <c r="M527" s="62" t="str">
        <f aca="false">IF(IsPro,IF($D527="","",IFERROR(INDEX(Items!$F$5:$F$504,U527),0)),"")</f>
        <v/>
      </c>
      <c r="N527" s="61" t="str">
        <f aca="false">IF(IsPro,IF($D527="","",IF(AND(V527&lt;&gt;"",INDEX(Parties!$E$5:$E$304,V527)&lt;&gt;"",INDEX(Parties!$E$5:$E$304,V527)&lt;&gt;HomeState),0,ROUND(L527*M527/2,2))),"")</f>
        <v/>
      </c>
      <c r="O527" s="61" t="str">
        <f aca="false">IF(IsPro,IF($D527="","",N527),"")</f>
        <v/>
      </c>
      <c r="P527" s="61" t="str">
        <f aca="false">IF(IsPro,IF($D527="","",IF(AND(V527&lt;&gt;"",INDEX(Parties!$E$5:$E$304,V527)&lt;&gt;"",INDEX(Parties!$E$5:$E$304,V527)&lt;&gt;HomeState),ROUND(L527*M527,2),0)),"")</f>
        <v/>
      </c>
      <c r="Q527" s="61" t="str">
        <f aca="false">IF(IsPro,IF($D527="","",L527+N527+O527+P527),"")</f>
        <v/>
      </c>
      <c r="R527" s="61" t="str">
        <f aca="false">IF(IsPro,IF($D527="","",ROUND(N($E527)*IFERROR(INDEX(Items!$P$5:$P$504,U527),0),2)),"")</f>
        <v/>
      </c>
      <c r="S527" s="61" t="str">
        <f aca="false">IF(IsPro,IF($D527="","",L527-R527),"")</f>
        <v/>
      </c>
      <c r="T527" s="60" t="str">
        <f aca="false">IF(IsPro,IF($D527="","",IF(U527="","UNKNOWN ITEM",IF(INDEX(Items!$O$5:$O$504,U527)&lt;0,"NEG STOCK",IF(K527&lt;INDEX(Items!$P$5:$P$504,U527),"BELOW COST","OK")))),IF($D527="","","PRO PLAN"))</f>
        <v/>
      </c>
      <c r="U527" s="60" t="str">
        <f aca="false">IF(IsPro,IF($D527="","",IFERROR(MATCH($D527,Items!$A$5:$A$504,0),"")),"")</f>
        <v/>
      </c>
      <c r="V527" s="60" t="str">
        <f aca="false">IF(IsPro,IF($C527="","",IFERROR(MATCH($C527,Parties!$A$5:$A$304,0),"")),"")</f>
        <v/>
      </c>
      <c r="W527" s="60" t="str">
        <f aca="false">IF(IsPro,IF($B527="","",IFERROR(VALUE(SUBSTITUTE($B527,InvPrefix,"")),0)),"")</f>
        <v/>
      </c>
      <c r="X527" s="61" t="str">
        <f aca="false">IF(IsPro,IF($D527="","",IF(OR($H527="",$H527="Credit"),0,Q527)),"")</f>
        <v/>
      </c>
    </row>
    <row r="528" customFormat="false" ht="15" hidden="false" customHeight="false" outlineLevel="0" collapsed="false">
      <c r="A528" s="55"/>
      <c r="B528" s="56"/>
      <c r="C528" s="56"/>
      <c r="D528" s="56"/>
      <c r="E528" s="57"/>
      <c r="F528" s="58"/>
      <c r="G528" s="59"/>
      <c r="H528" s="56"/>
      <c r="I528" s="56"/>
      <c r="J528" s="60" t="str">
        <f aca="false">IF(IsPro,IF($D528="","",IFERROR(INDEX(Items!$D$5:$D$504,U528),"")),"")</f>
        <v/>
      </c>
      <c r="K528" s="61" t="str">
        <f aca="false">IF(IsPro,IF($D528="","",IF($F528="",IFERROR(INDEX(Items!$H$5:$H$504,U528),0),$F528)),"")</f>
        <v/>
      </c>
      <c r="L528" s="61" t="str">
        <f aca="false">IF(IsPro,IF($D528="","",ROUND(N($E528)*K528*(1-N($G528)),2)),"")</f>
        <v/>
      </c>
      <c r="M528" s="62" t="str">
        <f aca="false">IF(IsPro,IF($D528="","",IFERROR(INDEX(Items!$F$5:$F$504,U528),0)),"")</f>
        <v/>
      </c>
      <c r="N528" s="61" t="str">
        <f aca="false">IF(IsPro,IF($D528="","",IF(AND(V528&lt;&gt;"",INDEX(Parties!$E$5:$E$304,V528)&lt;&gt;"",INDEX(Parties!$E$5:$E$304,V528)&lt;&gt;HomeState),0,ROUND(L528*M528/2,2))),"")</f>
        <v/>
      </c>
      <c r="O528" s="61" t="str">
        <f aca="false">IF(IsPro,IF($D528="","",N528),"")</f>
        <v/>
      </c>
      <c r="P528" s="61" t="str">
        <f aca="false">IF(IsPro,IF($D528="","",IF(AND(V528&lt;&gt;"",INDEX(Parties!$E$5:$E$304,V528)&lt;&gt;"",INDEX(Parties!$E$5:$E$304,V528)&lt;&gt;HomeState),ROUND(L528*M528,2),0)),"")</f>
        <v/>
      </c>
      <c r="Q528" s="61" t="str">
        <f aca="false">IF(IsPro,IF($D528="","",L528+N528+O528+P528),"")</f>
        <v/>
      </c>
      <c r="R528" s="61" t="str">
        <f aca="false">IF(IsPro,IF($D528="","",ROUND(N($E528)*IFERROR(INDEX(Items!$P$5:$P$504,U528),0),2)),"")</f>
        <v/>
      </c>
      <c r="S528" s="61" t="str">
        <f aca="false">IF(IsPro,IF($D528="","",L528-R528),"")</f>
        <v/>
      </c>
      <c r="T528" s="60" t="str">
        <f aca="false">IF(IsPro,IF($D528="","",IF(U528="","UNKNOWN ITEM",IF(INDEX(Items!$O$5:$O$504,U528)&lt;0,"NEG STOCK",IF(K528&lt;INDEX(Items!$P$5:$P$504,U528),"BELOW COST","OK")))),IF($D528="","","PRO PLAN"))</f>
        <v/>
      </c>
      <c r="U528" s="60" t="str">
        <f aca="false">IF(IsPro,IF($D528="","",IFERROR(MATCH($D528,Items!$A$5:$A$504,0),"")),"")</f>
        <v/>
      </c>
      <c r="V528" s="60" t="str">
        <f aca="false">IF(IsPro,IF($C528="","",IFERROR(MATCH($C528,Parties!$A$5:$A$304,0),"")),"")</f>
        <v/>
      </c>
      <c r="W528" s="60" t="str">
        <f aca="false">IF(IsPro,IF($B528="","",IFERROR(VALUE(SUBSTITUTE($B528,InvPrefix,"")),0)),"")</f>
        <v/>
      </c>
      <c r="X528" s="61" t="str">
        <f aca="false">IF(IsPro,IF($D528="","",IF(OR($H528="",$H528="Credit"),0,Q528)),"")</f>
        <v/>
      </c>
    </row>
    <row r="529" customFormat="false" ht="15" hidden="false" customHeight="false" outlineLevel="0" collapsed="false">
      <c r="A529" s="55"/>
      <c r="B529" s="56"/>
      <c r="C529" s="56"/>
      <c r="D529" s="56"/>
      <c r="E529" s="57"/>
      <c r="F529" s="58"/>
      <c r="G529" s="59"/>
      <c r="H529" s="56"/>
      <c r="I529" s="56"/>
      <c r="J529" s="60" t="str">
        <f aca="false">IF(IsPro,IF($D529="","",IFERROR(INDEX(Items!$D$5:$D$504,U529),"")),"")</f>
        <v/>
      </c>
      <c r="K529" s="61" t="str">
        <f aca="false">IF(IsPro,IF($D529="","",IF($F529="",IFERROR(INDEX(Items!$H$5:$H$504,U529),0),$F529)),"")</f>
        <v/>
      </c>
      <c r="L529" s="61" t="str">
        <f aca="false">IF(IsPro,IF($D529="","",ROUND(N($E529)*K529*(1-N($G529)),2)),"")</f>
        <v/>
      </c>
      <c r="M529" s="62" t="str">
        <f aca="false">IF(IsPro,IF($D529="","",IFERROR(INDEX(Items!$F$5:$F$504,U529),0)),"")</f>
        <v/>
      </c>
      <c r="N529" s="61" t="str">
        <f aca="false">IF(IsPro,IF($D529="","",IF(AND(V529&lt;&gt;"",INDEX(Parties!$E$5:$E$304,V529)&lt;&gt;"",INDEX(Parties!$E$5:$E$304,V529)&lt;&gt;HomeState),0,ROUND(L529*M529/2,2))),"")</f>
        <v/>
      </c>
      <c r="O529" s="61" t="str">
        <f aca="false">IF(IsPro,IF($D529="","",N529),"")</f>
        <v/>
      </c>
      <c r="P529" s="61" t="str">
        <f aca="false">IF(IsPro,IF($D529="","",IF(AND(V529&lt;&gt;"",INDEX(Parties!$E$5:$E$304,V529)&lt;&gt;"",INDEX(Parties!$E$5:$E$304,V529)&lt;&gt;HomeState),ROUND(L529*M529,2),0)),"")</f>
        <v/>
      </c>
      <c r="Q529" s="61" t="str">
        <f aca="false">IF(IsPro,IF($D529="","",L529+N529+O529+P529),"")</f>
        <v/>
      </c>
      <c r="R529" s="61" t="str">
        <f aca="false">IF(IsPro,IF($D529="","",ROUND(N($E529)*IFERROR(INDEX(Items!$P$5:$P$504,U529),0),2)),"")</f>
        <v/>
      </c>
      <c r="S529" s="61" t="str">
        <f aca="false">IF(IsPro,IF($D529="","",L529-R529),"")</f>
        <v/>
      </c>
      <c r="T529" s="60" t="str">
        <f aca="false">IF(IsPro,IF($D529="","",IF(U529="","UNKNOWN ITEM",IF(INDEX(Items!$O$5:$O$504,U529)&lt;0,"NEG STOCK",IF(K529&lt;INDEX(Items!$P$5:$P$504,U529),"BELOW COST","OK")))),IF($D529="","","PRO PLAN"))</f>
        <v/>
      </c>
      <c r="U529" s="60" t="str">
        <f aca="false">IF(IsPro,IF($D529="","",IFERROR(MATCH($D529,Items!$A$5:$A$504,0),"")),"")</f>
        <v/>
      </c>
      <c r="V529" s="60" t="str">
        <f aca="false">IF(IsPro,IF($C529="","",IFERROR(MATCH($C529,Parties!$A$5:$A$304,0),"")),"")</f>
        <v/>
      </c>
      <c r="W529" s="60" t="str">
        <f aca="false">IF(IsPro,IF($B529="","",IFERROR(VALUE(SUBSTITUTE($B529,InvPrefix,"")),0)),"")</f>
        <v/>
      </c>
      <c r="X529" s="61" t="str">
        <f aca="false">IF(IsPro,IF($D529="","",IF(OR($H529="",$H529="Credit"),0,Q529)),"")</f>
        <v/>
      </c>
    </row>
    <row r="530" customFormat="false" ht="15" hidden="false" customHeight="false" outlineLevel="0" collapsed="false">
      <c r="A530" s="55"/>
      <c r="B530" s="56"/>
      <c r="C530" s="56"/>
      <c r="D530" s="56"/>
      <c r="E530" s="57"/>
      <c r="F530" s="58"/>
      <c r="G530" s="59"/>
      <c r="H530" s="56"/>
      <c r="I530" s="56"/>
      <c r="J530" s="60" t="str">
        <f aca="false">IF(IsPro,IF($D530="","",IFERROR(INDEX(Items!$D$5:$D$504,U530),"")),"")</f>
        <v/>
      </c>
      <c r="K530" s="61" t="str">
        <f aca="false">IF(IsPro,IF($D530="","",IF($F530="",IFERROR(INDEX(Items!$H$5:$H$504,U530),0),$F530)),"")</f>
        <v/>
      </c>
      <c r="L530" s="61" t="str">
        <f aca="false">IF(IsPro,IF($D530="","",ROUND(N($E530)*K530*(1-N($G530)),2)),"")</f>
        <v/>
      </c>
      <c r="M530" s="62" t="str">
        <f aca="false">IF(IsPro,IF($D530="","",IFERROR(INDEX(Items!$F$5:$F$504,U530),0)),"")</f>
        <v/>
      </c>
      <c r="N530" s="61" t="str">
        <f aca="false">IF(IsPro,IF($D530="","",IF(AND(V530&lt;&gt;"",INDEX(Parties!$E$5:$E$304,V530)&lt;&gt;"",INDEX(Parties!$E$5:$E$304,V530)&lt;&gt;HomeState),0,ROUND(L530*M530/2,2))),"")</f>
        <v/>
      </c>
      <c r="O530" s="61" t="str">
        <f aca="false">IF(IsPro,IF($D530="","",N530),"")</f>
        <v/>
      </c>
      <c r="P530" s="61" t="str">
        <f aca="false">IF(IsPro,IF($D530="","",IF(AND(V530&lt;&gt;"",INDEX(Parties!$E$5:$E$304,V530)&lt;&gt;"",INDEX(Parties!$E$5:$E$304,V530)&lt;&gt;HomeState),ROUND(L530*M530,2),0)),"")</f>
        <v/>
      </c>
      <c r="Q530" s="61" t="str">
        <f aca="false">IF(IsPro,IF($D530="","",L530+N530+O530+P530),"")</f>
        <v/>
      </c>
      <c r="R530" s="61" t="str">
        <f aca="false">IF(IsPro,IF($D530="","",ROUND(N($E530)*IFERROR(INDEX(Items!$P$5:$P$504,U530),0),2)),"")</f>
        <v/>
      </c>
      <c r="S530" s="61" t="str">
        <f aca="false">IF(IsPro,IF($D530="","",L530-R530),"")</f>
        <v/>
      </c>
      <c r="T530" s="60" t="str">
        <f aca="false">IF(IsPro,IF($D530="","",IF(U530="","UNKNOWN ITEM",IF(INDEX(Items!$O$5:$O$504,U530)&lt;0,"NEG STOCK",IF(K530&lt;INDEX(Items!$P$5:$P$504,U530),"BELOW COST","OK")))),IF($D530="","","PRO PLAN"))</f>
        <v/>
      </c>
      <c r="U530" s="60" t="str">
        <f aca="false">IF(IsPro,IF($D530="","",IFERROR(MATCH($D530,Items!$A$5:$A$504,0),"")),"")</f>
        <v/>
      </c>
      <c r="V530" s="60" t="str">
        <f aca="false">IF(IsPro,IF($C530="","",IFERROR(MATCH($C530,Parties!$A$5:$A$304,0),"")),"")</f>
        <v/>
      </c>
      <c r="W530" s="60" t="str">
        <f aca="false">IF(IsPro,IF($B530="","",IFERROR(VALUE(SUBSTITUTE($B530,InvPrefix,"")),0)),"")</f>
        <v/>
      </c>
      <c r="X530" s="61" t="str">
        <f aca="false">IF(IsPro,IF($D530="","",IF(OR($H530="",$H530="Credit"),0,Q530)),"")</f>
        <v/>
      </c>
    </row>
    <row r="531" customFormat="false" ht="15" hidden="false" customHeight="false" outlineLevel="0" collapsed="false">
      <c r="A531" s="55"/>
      <c r="B531" s="56"/>
      <c r="C531" s="56"/>
      <c r="D531" s="56"/>
      <c r="E531" s="57"/>
      <c r="F531" s="58"/>
      <c r="G531" s="59"/>
      <c r="H531" s="56"/>
      <c r="I531" s="56"/>
      <c r="J531" s="60" t="str">
        <f aca="false">IF(IsPro,IF($D531="","",IFERROR(INDEX(Items!$D$5:$D$504,U531),"")),"")</f>
        <v/>
      </c>
      <c r="K531" s="61" t="str">
        <f aca="false">IF(IsPro,IF($D531="","",IF($F531="",IFERROR(INDEX(Items!$H$5:$H$504,U531),0),$F531)),"")</f>
        <v/>
      </c>
      <c r="L531" s="61" t="str">
        <f aca="false">IF(IsPro,IF($D531="","",ROUND(N($E531)*K531*(1-N($G531)),2)),"")</f>
        <v/>
      </c>
      <c r="M531" s="62" t="str">
        <f aca="false">IF(IsPro,IF($D531="","",IFERROR(INDEX(Items!$F$5:$F$504,U531),0)),"")</f>
        <v/>
      </c>
      <c r="N531" s="61" t="str">
        <f aca="false">IF(IsPro,IF($D531="","",IF(AND(V531&lt;&gt;"",INDEX(Parties!$E$5:$E$304,V531)&lt;&gt;"",INDEX(Parties!$E$5:$E$304,V531)&lt;&gt;HomeState),0,ROUND(L531*M531/2,2))),"")</f>
        <v/>
      </c>
      <c r="O531" s="61" t="str">
        <f aca="false">IF(IsPro,IF($D531="","",N531),"")</f>
        <v/>
      </c>
      <c r="P531" s="61" t="str">
        <f aca="false">IF(IsPro,IF($D531="","",IF(AND(V531&lt;&gt;"",INDEX(Parties!$E$5:$E$304,V531)&lt;&gt;"",INDEX(Parties!$E$5:$E$304,V531)&lt;&gt;HomeState),ROUND(L531*M531,2),0)),"")</f>
        <v/>
      </c>
      <c r="Q531" s="61" t="str">
        <f aca="false">IF(IsPro,IF($D531="","",L531+N531+O531+P531),"")</f>
        <v/>
      </c>
      <c r="R531" s="61" t="str">
        <f aca="false">IF(IsPro,IF($D531="","",ROUND(N($E531)*IFERROR(INDEX(Items!$P$5:$P$504,U531),0),2)),"")</f>
        <v/>
      </c>
      <c r="S531" s="61" t="str">
        <f aca="false">IF(IsPro,IF($D531="","",L531-R531),"")</f>
        <v/>
      </c>
      <c r="T531" s="60" t="str">
        <f aca="false">IF(IsPro,IF($D531="","",IF(U531="","UNKNOWN ITEM",IF(INDEX(Items!$O$5:$O$504,U531)&lt;0,"NEG STOCK",IF(K531&lt;INDEX(Items!$P$5:$P$504,U531),"BELOW COST","OK")))),IF($D531="","","PRO PLAN"))</f>
        <v/>
      </c>
      <c r="U531" s="60" t="str">
        <f aca="false">IF(IsPro,IF($D531="","",IFERROR(MATCH($D531,Items!$A$5:$A$504,0),"")),"")</f>
        <v/>
      </c>
      <c r="V531" s="60" t="str">
        <f aca="false">IF(IsPro,IF($C531="","",IFERROR(MATCH($C531,Parties!$A$5:$A$304,0),"")),"")</f>
        <v/>
      </c>
      <c r="W531" s="60" t="str">
        <f aca="false">IF(IsPro,IF($B531="","",IFERROR(VALUE(SUBSTITUTE($B531,InvPrefix,"")),0)),"")</f>
        <v/>
      </c>
      <c r="X531" s="61" t="str">
        <f aca="false">IF(IsPro,IF($D531="","",IF(OR($H531="",$H531="Credit"),0,Q531)),"")</f>
        <v/>
      </c>
    </row>
    <row r="532" customFormat="false" ht="15" hidden="false" customHeight="false" outlineLevel="0" collapsed="false">
      <c r="A532" s="55"/>
      <c r="B532" s="56"/>
      <c r="C532" s="56"/>
      <c r="D532" s="56"/>
      <c r="E532" s="57"/>
      <c r="F532" s="58"/>
      <c r="G532" s="59"/>
      <c r="H532" s="56"/>
      <c r="I532" s="56"/>
      <c r="J532" s="60" t="str">
        <f aca="false">IF(IsPro,IF($D532="","",IFERROR(INDEX(Items!$D$5:$D$504,U532),"")),"")</f>
        <v/>
      </c>
      <c r="K532" s="61" t="str">
        <f aca="false">IF(IsPro,IF($D532="","",IF($F532="",IFERROR(INDEX(Items!$H$5:$H$504,U532),0),$F532)),"")</f>
        <v/>
      </c>
      <c r="L532" s="61" t="str">
        <f aca="false">IF(IsPro,IF($D532="","",ROUND(N($E532)*K532*(1-N($G532)),2)),"")</f>
        <v/>
      </c>
      <c r="M532" s="62" t="str">
        <f aca="false">IF(IsPro,IF($D532="","",IFERROR(INDEX(Items!$F$5:$F$504,U532),0)),"")</f>
        <v/>
      </c>
      <c r="N532" s="61" t="str">
        <f aca="false">IF(IsPro,IF($D532="","",IF(AND(V532&lt;&gt;"",INDEX(Parties!$E$5:$E$304,V532)&lt;&gt;"",INDEX(Parties!$E$5:$E$304,V532)&lt;&gt;HomeState),0,ROUND(L532*M532/2,2))),"")</f>
        <v/>
      </c>
      <c r="O532" s="61" t="str">
        <f aca="false">IF(IsPro,IF($D532="","",N532),"")</f>
        <v/>
      </c>
      <c r="P532" s="61" t="str">
        <f aca="false">IF(IsPro,IF($D532="","",IF(AND(V532&lt;&gt;"",INDEX(Parties!$E$5:$E$304,V532)&lt;&gt;"",INDEX(Parties!$E$5:$E$304,V532)&lt;&gt;HomeState),ROUND(L532*M532,2),0)),"")</f>
        <v/>
      </c>
      <c r="Q532" s="61" t="str">
        <f aca="false">IF(IsPro,IF($D532="","",L532+N532+O532+P532),"")</f>
        <v/>
      </c>
      <c r="R532" s="61" t="str">
        <f aca="false">IF(IsPro,IF($D532="","",ROUND(N($E532)*IFERROR(INDEX(Items!$P$5:$P$504,U532),0),2)),"")</f>
        <v/>
      </c>
      <c r="S532" s="61" t="str">
        <f aca="false">IF(IsPro,IF($D532="","",L532-R532),"")</f>
        <v/>
      </c>
      <c r="T532" s="60" t="str">
        <f aca="false">IF(IsPro,IF($D532="","",IF(U532="","UNKNOWN ITEM",IF(INDEX(Items!$O$5:$O$504,U532)&lt;0,"NEG STOCK",IF(K532&lt;INDEX(Items!$P$5:$P$504,U532),"BELOW COST","OK")))),IF($D532="","","PRO PLAN"))</f>
        <v/>
      </c>
      <c r="U532" s="60" t="str">
        <f aca="false">IF(IsPro,IF($D532="","",IFERROR(MATCH($D532,Items!$A$5:$A$504,0),"")),"")</f>
        <v/>
      </c>
      <c r="V532" s="60" t="str">
        <f aca="false">IF(IsPro,IF($C532="","",IFERROR(MATCH($C532,Parties!$A$5:$A$304,0),"")),"")</f>
        <v/>
      </c>
      <c r="W532" s="60" t="str">
        <f aca="false">IF(IsPro,IF($B532="","",IFERROR(VALUE(SUBSTITUTE($B532,InvPrefix,"")),0)),"")</f>
        <v/>
      </c>
      <c r="X532" s="61" t="str">
        <f aca="false">IF(IsPro,IF($D532="","",IF(OR($H532="",$H532="Credit"),0,Q532)),"")</f>
        <v/>
      </c>
    </row>
    <row r="533" customFormat="false" ht="15" hidden="false" customHeight="false" outlineLevel="0" collapsed="false">
      <c r="A533" s="55"/>
      <c r="B533" s="56"/>
      <c r="C533" s="56"/>
      <c r="D533" s="56"/>
      <c r="E533" s="57"/>
      <c r="F533" s="58"/>
      <c r="G533" s="59"/>
      <c r="H533" s="56"/>
      <c r="I533" s="56"/>
      <c r="J533" s="60" t="str">
        <f aca="false">IF(IsPro,IF($D533="","",IFERROR(INDEX(Items!$D$5:$D$504,U533),"")),"")</f>
        <v/>
      </c>
      <c r="K533" s="61" t="str">
        <f aca="false">IF(IsPro,IF($D533="","",IF($F533="",IFERROR(INDEX(Items!$H$5:$H$504,U533),0),$F533)),"")</f>
        <v/>
      </c>
      <c r="L533" s="61" t="str">
        <f aca="false">IF(IsPro,IF($D533="","",ROUND(N($E533)*K533*(1-N($G533)),2)),"")</f>
        <v/>
      </c>
      <c r="M533" s="62" t="str">
        <f aca="false">IF(IsPro,IF($D533="","",IFERROR(INDEX(Items!$F$5:$F$504,U533),0)),"")</f>
        <v/>
      </c>
      <c r="N533" s="61" t="str">
        <f aca="false">IF(IsPro,IF($D533="","",IF(AND(V533&lt;&gt;"",INDEX(Parties!$E$5:$E$304,V533)&lt;&gt;"",INDEX(Parties!$E$5:$E$304,V533)&lt;&gt;HomeState),0,ROUND(L533*M533/2,2))),"")</f>
        <v/>
      </c>
      <c r="O533" s="61" t="str">
        <f aca="false">IF(IsPro,IF($D533="","",N533),"")</f>
        <v/>
      </c>
      <c r="P533" s="61" t="str">
        <f aca="false">IF(IsPro,IF($D533="","",IF(AND(V533&lt;&gt;"",INDEX(Parties!$E$5:$E$304,V533)&lt;&gt;"",INDEX(Parties!$E$5:$E$304,V533)&lt;&gt;HomeState),ROUND(L533*M533,2),0)),"")</f>
        <v/>
      </c>
      <c r="Q533" s="61" t="str">
        <f aca="false">IF(IsPro,IF($D533="","",L533+N533+O533+P533),"")</f>
        <v/>
      </c>
      <c r="R533" s="61" t="str">
        <f aca="false">IF(IsPro,IF($D533="","",ROUND(N($E533)*IFERROR(INDEX(Items!$P$5:$P$504,U533),0),2)),"")</f>
        <v/>
      </c>
      <c r="S533" s="61" t="str">
        <f aca="false">IF(IsPro,IF($D533="","",L533-R533),"")</f>
        <v/>
      </c>
      <c r="T533" s="60" t="str">
        <f aca="false">IF(IsPro,IF($D533="","",IF(U533="","UNKNOWN ITEM",IF(INDEX(Items!$O$5:$O$504,U533)&lt;0,"NEG STOCK",IF(K533&lt;INDEX(Items!$P$5:$P$504,U533),"BELOW COST","OK")))),IF($D533="","","PRO PLAN"))</f>
        <v/>
      </c>
      <c r="U533" s="60" t="str">
        <f aca="false">IF(IsPro,IF($D533="","",IFERROR(MATCH($D533,Items!$A$5:$A$504,0),"")),"")</f>
        <v/>
      </c>
      <c r="V533" s="60" t="str">
        <f aca="false">IF(IsPro,IF($C533="","",IFERROR(MATCH($C533,Parties!$A$5:$A$304,0),"")),"")</f>
        <v/>
      </c>
      <c r="W533" s="60" t="str">
        <f aca="false">IF(IsPro,IF($B533="","",IFERROR(VALUE(SUBSTITUTE($B533,InvPrefix,"")),0)),"")</f>
        <v/>
      </c>
      <c r="X533" s="61" t="str">
        <f aca="false">IF(IsPro,IF($D533="","",IF(OR($H533="",$H533="Credit"),0,Q533)),"")</f>
        <v/>
      </c>
    </row>
    <row r="534" customFormat="false" ht="15" hidden="false" customHeight="false" outlineLevel="0" collapsed="false">
      <c r="A534" s="55"/>
      <c r="B534" s="56"/>
      <c r="C534" s="56"/>
      <c r="D534" s="56"/>
      <c r="E534" s="57"/>
      <c r="F534" s="58"/>
      <c r="G534" s="59"/>
      <c r="H534" s="56"/>
      <c r="I534" s="56"/>
      <c r="J534" s="60" t="str">
        <f aca="false">IF(IsPro,IF($D534="","",IFERROR(INDEX(Items!$D$5:$D$504,U534),"")),"")</f>
        <v/>
      </c>
      <c r="K534" s="61" t="str">
        <f aca="false">IF(IsPro,IF($D534="","",IF($F534="",IFERROR(INDEX(Items!$H$5:$H$504,U534),0),$F534)),"")</f>
        <v/>
      </c>
      <c r="L534" s="61" t="str">
        <f aca="false">IF(IsPro,IF($D534="","",ROUND(N($E534)*K534*(1-N($G534)),2)),"")</f>
        <v/>
      </c>
      <c r="M534" s="62" t="str">
        <f aca="false">IF(IsPro,IF($D534="","",IFERROR(INDEX(Items!$F$5:$F$504,U534),0)),"")</f>
        <v/>
      </c>
      <c r="N534" s="61" t="str">
        <f aca="false">IF(IsPro,IF($D534="","",IF(AND(V534&lt;&gt;"",INDEX(Parties!$E$5:$E$304,V534)&lt;&gt;"",INDEX(Parties!$E$5:$E$304,V534)&lt;&gt;HomeState),0,ROUND(L534*M534/2,2))),"")</f>
        <v/>
      </c>
      <c r="O534" s="61" t="str">
        <f aca="false">IF(IsPro,IF($D534="","",N534),"")</f>
        <v/>
      </c>
      <c r="P534" s="61" t="str">
        <f aca="false">IF(IsPro,IF($D534="","",IF(AND(V534&lt;&gt;"",INDEX(Parties!$E$5:$E$304,V534)&lt;&gt;"",INDEX(Parties!$E$5:$E$304,V534)&lt;&gt;HomeState),ROUND(L534*M534,2),0)),"")</f>
        <v/>
      </c>
      <c r="Q534" s="61" t="str">
        <f aca="false">IF(IsPro,IF($D534="","",L534+N534+O534+P534),"")</f>
        <v/>
      </c>
      <c r="R534" s="61" t="str">
        <f aca="false">IF(IsPro,IF($D534="","",ROUND(N($E534)*IFERROR(INDEX(Items!$P$5:$P$504,U534),0),2)),"")</f>
        <v/>
      </c>
      <c r="S534" s="61" t="str">
        <f aca="false">IF(IsPro,IF($D534="","",L534-R534),"")</f>
        <v/>
      </c>
      <c r="T534" s="60" t="str">
        <f aca="false">IF(IsPro,IF($D534="","",IF(U534="","UNKNOWN ITEM",IF(INDEX(Items!$O$5:$O$504,U534)&lt;0,"NEG STOCK",IF(K534&lt;INDEX(Items!$P$5:$P$504,U534),"BELOW COST","OK")))),IF($D534="","","PRO PLAN"))</f>
        <v/>
      </c>
      <c r="U534" s="60" t="str">
        <f aca="false">IF(IsPro,IF($D534="","",IFERROR(MATCH($D534,Items!$A$5:$A$504,0),"")),"")</f>
        <v/>
      </c>
      <c r="V534" s="60" t="str">
        <f aca="false">IF(IsPro,IF($C534="","",IFERROR(MATCH($C534,Parties!$A$5:$A$304,0),"")),"")</f>
        <v/>
      </c>
      <c r="W534" s="60" t="str">
        <f aca="false">IF(IsPro,IF($B534="","",IFERROR(VALUE(SUBSTITUTE($B534,InvPrefix,"")),0)),"")</f>
        <v/>
      </c>
      <c r="X534" s="61" t="str">
        <f aca="false">IF(IsPro,IF($D534="","",IF(OR($H534="",$H534="Credit"),0,Q534)),"")</f>
        <v/>
      </c>
    </row>
    <row r="535" customFormat="false" ht="15" hidden="false" customHeight="false" outlineLevel="0" collapsed="false">
      <c r="A535" s="55"/>
      <c r="B535" s="56"/>
      <c r="C535" s="56"/>
      <c r="D535" s="56"/>
      <c r="E535" s="57"/>
      <c r="F535" s="58"/>
      <c r="G535" s="59"/>
      <c r="H535" s="56"/>
      <c r="I535" s="56"/>
      <c r="J535" s="60" t="str">
        <f aca="false">IF(IsPro,IF($D535="","",IFERROR(INDEX(Items!$D$5:$D$504,U535),"")),"")</f>
        <v/>
      </c>
      <c r="K535" s="61" t="str">
        <f aca="false">IF(IsPro,IF($D535="","",IF($F535="",IFERROR(INDEX(Items!$H$5:$H$504,U535),0),$F535)),"")</f>
        <v/>
      </c>
      <c r="L535" s="61" t="str">
        <f aca="false">IF(IsPro,IF($D535="","",ROUND(N($E535)*K535*(1-N($G535)),2)),"")</f>
        <v/>
      </c>
      <c r="M535" s="62" t="str">
        <f aca="false">IF(IsPro,IF($D535="","",IFERROR(INDEX(Items!$F$5:$F$504,U535),0)),"")</f>
        <v/>
      </c>
      <c r="N535" s="61" t="str">
        <f aca="false">IF(IsPro,IF($D535="","",IF(AND(V535&lt;&gt;"",INDEX(Parties!$E$5:$E$304,V535)&lt;&gt;"",INDEX(Parties!$E$5:$E$304,V535)&lt;&gt;HomeState),0,ROUND(L535*M535/2,2))),"")</f>
        <v/>
      </c>
      <c r="O535" s="61" t="str">
        <f aca="false">IF(IsPro,IF($D535="","",N535),"")</f>
        <v/>
      </c>
      <c r="P535" s="61" t="str">
        <f aca="false">IF(IsPro,IF($D535="","",IF(AND(V535&lt;&gt;"",INDEX(Parties!$E$5:$E$304,V535)&lt;&gt;"",INDEX(Parties!$E$5:$E$304,V535)&lt;&gt;HomeState),ROUND(L535*M535,2),0)),"")</f>
        <v/>
      </c>
      <c r="Q535" s="61" t="str">
        <f aca="false">IF(IsPro,IF($D535="","",L535+N535+O535+P535),"")</f>
        <v/>
      </c>
      <c r="R535" s="61" t="str">
        <f aca="false">IF(IsPro,IF($D535="","",ROUND(N($E535)*IFERROR(INDEX(Items!$P$5:$P$504,U535),0),2)),"")</f>
        <v/>
      </c>
      <c r="S535" s="61" t="str">
        <f aca="false">IF(IsPro,IF($D535="","",L535-R535),"")</f>
        <v/>
      </c>
      <c r="T535" s="60" t="str">
        <f aca="false">IF(IsPro,IF($D535="","",IF(U535="","UNKNOWN ITEM",IF(INDEX(Items!$O$5:$O$504,U535)&lt;0,"NEG STOCK",IF(K535&lt;INDEX(Items!$P$5:$P$504,U535),"BELOW COST","OK")))),IF($D535="","","PRO PLAN"))</f>
        <v/>
      </c>
      <c r="U535" s="60" t="str">
        <f aca="false">IF(IsPro,IF($D535="","",IFERROR(MATCH($D535,Items!$A$5:$A$504,0),"")),"")</f>
        <v/>
      </c>
      <c r="V535" s="60" t="str">
        <f aca="false">IF(IsPro,IF($C535="","",IFERROR(MATCH($C535,Parties!$A$5:$A$304,0),"")),"")</f>
        <v/>
      </c>
      <c r="W535" s="60" t="str">
        <f aca="false">IF(IsPro,IF($B535="","",IFERROR(VALUE(SUBSTITUTE($B535,InvPrefix,"")),0)),"")</f>
        <v/>
      </c>
      <c r="X535" s="61" t="str">
        <f aca="false">IF(IsPro,IF($D535="","",IF(OR($H535="",$H535="Credit"),0,Q535)),"")</f>
        <v/>
      </c>
    </row>
    <row r="536" customFormat="false" ht="15" hidden="false" customHeight="false" outlineLevel="0" collapsed="false">
      <c r="A536" s="55"/>
      <c r="B536" s="56"/>
      <c r="C536" s="56"/>
      <c r="D536" s="56"/>
      <c r="E536" s="57"/>
      <c r="F536" s="58"/>
      <c r="G536" s="59"/>
      <c r="H536" s="56"/>
      <c r="I536" s="56"/>
      <c r="J536" s="60" t="str">
        <f aca="false">IF(IsPro,IF($D536="","",IFERROR(INDEX(Items!$D$5:$D$504,U536),"")),"")</f>
        <v/>
      </c>
      <c r="K536" s="61" t="str">
        <f aca="false">IF(IsPro,IF($D536="","",IF($F536="",IFERROR(INDEX(Items!$H$5:$H$504,U536),0),$F536)),"")</f>
        <v/>
      </c>
      <c r="L536" s="61" t="str">
        <f aca="false">IF(IsPro,IF($D536="","",ROUND(N($E536)*K536*(1-N($G536)),2)),"")</f>
        <v/>
      </c>
      <c r="M536" s="62" t="str">
        <f aca="false">IF(IsPro,IF($D536="","",IFERROR(INDEX(Items!$F$5:$F$504,U536),0)),"")</f>
        <v/>
      </c>
      <c r="N536" s="61" t="str">
        <f aca="false">IF(IsPro,IF($D536="","",IF(AND(V536&lt;&gt;"",INDEX(Parties!$E$5:$E$304,V536)&lt;&gt;"",INDEX(Parties!$E$5:$E$304,V536)&lt;&gt;HomeState),0,ROUND(L536*M536/2,2))),"")</f>
        <v/>
      </c>
      <c r="O536" s="61" t="str">
        <f aca="false">IF(IsPro,IF($D536="","",N536),"")</f>
        <v/>
      </c>
      <c r="P536" s="61" t="str">
        <f aca="false">IF(IsPro,IF($D536="","",IF(AND(V536&lt;&gt;"",INDEX(Parties!$E$5:$E$304,V536)&lt;&gt;"",INDEX(Parties!$E$5:$E$304,V536)&lt;&gt;HomeState),ROUND(L536*M536,2),0)),"")</f>
        <v/>
      </c>
      <c r="Q536" s="61" t="str">
        <f aca="false">IF(IsPro,IF($D536="","",L536+N536+O536+P536),"")</f>
        <v/>
      </c>
      <c r="R536" s="61" t="str">
        <f aca="false">IF(IsPro,IF($D536="","",ROUND(N($E536)*IFERROR(INDEX(Items!$P$5:$P$504,U536),0),2)),"")</f>
        <v/>
      </c>
      <c r="S536" s="61" t="str">
        <f aca="false">IF(IsPro,IF($D536="","",L536-R536),"")</f>
        <v/>
      </c>
      <c r="T536" s="60" t="str">
        <f aca="false">IF(IsPro,IF($D536="","",IF(U536="","UNKNOWN ITEM",IF(INDEX(Items!$O$5:$O$504,U536)&lt;0,"NEG STOCK",IF(K536&lt;INDEX(Items!$P$5:$P$504,U536),"BELOW COST","OK")))),IF($D536="","","PRO PLAN"))</f>
        <v/>
      </c>
      <c r="U536" s="60" t="str">
        <f aca="false">IF(IsPro,IF($D536="","",IFERROR(MATCH($D536,Items!$A$5:$A$504,0),"")),"")</f>
        <v/>
      </c>
      <c r="V536" s="60" t="str">
        <f aca="false">IF(IsPro,IF($C536="","",IFERROR(MATCH($C536,Parties!$A$5:$A$304,0),"")),"")</f>
        <v/>
      </c>
      <c r="W536" s="60" t="str">
        <f aca="false">IF(IsPro,IF($B536="","",IFERROR(VALUE(SUBSTITUTE($B536,InvPrefix,"")),0)),"")</f>
        <v/>
      </c>
      <c r="X536" s="61" t="str">
        <f aca="false">IF(IsPro,IF($D536="","",IF(OR($H536="",$H536="Credit"),0,Q536)),"")</f>
        <v/>
      </c>
    </row>
    <row r="537" customFormat="false" ht="15" hidden="false" customHeight="false" outlineLevel="0" collapsed="false">
      <c r="A537" s="55"/>
      <c r="B537" s="56"/>
      <c r="C537" s="56"/>
      <c r="D537" s="56"/>
      <c r="E537" s="57"/>
      <c r="F537" s="58"/>
      <c r="G537" s="59"/>
      <c r="H537" s="56"/>
      <c r="I537" s="56"/>
      <c r="J537" s="60" t="str">
        <f aca="false">IF(IsPro,IF($D537="","",IFERROR(INDEX(Items!$D$5:$D$504,U537),"")),"")</f>
        <v/>
      </c>
      <c r="K537" s="61" t="str">
        <f aca="false">IF(IsPro,IF($D537="","",IF($F537="",IFERROR(INDEX(Items!$H$5:$H$504,U537),0),$F537)),"")</f>
        <v/>
      </c>
      <c r="L537" s="61" t="str">
        <f aca="false">IF(IsPro,IF($D537="","",ROUND(N($E537)*K537*(1-N($G537)),2)),"")</f>
        <v/>
      </c>
      <c r="M537" s="62" t="str">
        <f aca="false">IF(IsPro,IF($D537="","",IFERROR(INDEX(Items!$F$5:$F$504,U537),0)),"")</f>
        <v/>
      </c>
      <c r="N537" s="61" t="str">
        <f aca="false">IF(IsPro,IF($D537="","",IF(AND(V537&lt;&gt;"",INDEX(Parties!$E$5:$E$304,V537)&lt;&gt;"",INDEX(Parties!$E$5:$E$304,V537)&lt;&gt;HomeState),0,ROUND(L537*M537/2,2))),"")</f>
        <v/>
      </c>
      <c r="O537" s="61" t="str">
        <f aca="false">IF(IsPro,IF($D537="","",N537),"")</f>
        <v/>
      </c>
      <c r="P537" s="61" t="str">
        <f aca="false">IF(IsPro,IF($D537="","",IF(AND(V537&lt;&gt;"",INDEX(Parties!$E$5:$E$304,V537)&lt;&gt;"",INDEX(Parties!$E$5:$E$304,V537)&lt;&gt;HomeState),ROUND(L537*M537,2),0)),"")</f>
        <v/>
      </c>
      <c r="Q537" s="61" t="str">
        <f aca="false">IF(IsPro,IF($D537="","",L537+N537+O537+P537),"")</f>
        <v/>
      </c>
      <c r="R537" s="61" t="str">
        <f aca="false">IF(IsPro,IF($D537="","",ROUND(N($E537)*IFERROR(INDEX(Items!$P$5:$P$504,U537),0),2)),"")</f>
        <v/>
      </c>
      <c r="S537" s="61" t="str">
        <f aca="false">IF(IsPro,IF($D537="","",L537-R537),"")</f>
        <v/>
      </c>
      <c r="T537" s="60" t="str">
        <f aca="false">IF(IsPro,IF($D537="","",IF(U537="","UNKNOWN ITEM",IF(INDEX(Items!$O$5:$O$504,U537)&lt;0,"NEG STOCK",IF(K537&lt;INDEX(Items!$P$5:$P$504,U537),"BELOW COST","OK")))),IF($D537="","","PRO PLAN"))</f>
        <v/>
      </c>
      <c r="U537" s="60" t="str">
        <f aca="false">IF(IsPro,IF($D537="","",IFERROR(MATCH($D537,Items!$A$5:$A$504,0),"")),"")</f>
        <v/>
      </c>
      <c r="V537" s="60" t="str">
        <f aca="false">IF(IsPro,IF($C537="","",IFERROR(MATCH($C537,Parties!$A$5:$A$304,0),"")),"")</f>
        <v/>
      </c>
      <c r="W537" s="60" t="str">
        <f aca="false">IF(IsPro,IF($B537="","",IFERROR(VALUE(SUBSTITUTE($B537,InvPrefix,"")),0)),"")</f>
        <v/>
      </c>
      <c r="X537" s="61" t="str">
        <f aca="false">IF(IsPro,IF($D537="","",IF(OR($H537="",$H537="Credit"),0,Q537)),"")</f>
        <v/>
      </c>
    </row>
    <row r="538" customFormat="false" ht="15" hidden="false" customHeight="false" outlineLevel="0" collapsed="false">
      <c r="A538" s="55"/>
      <c r="B538" s="56"/>
      <c r="C538" s="56"/>
      <c r="D538" s="56"/>
      <c r="E538" s="57"/>
      <c r="F538" s="58"/>
      <c r="G538" s="59"/>
      <c r="H538" s="56"/>
      <c r="I538" s="56"/>
      <c r="J538" s="60" t="str">
        <f aca="false">IF(IsPro,IF($D538="","",IFERROR(INDEX(Items!$D$5:$D$504,U538),"")),"")</f>
        <v/>
      </c>
      <c r="K538" s="61" t="str">
        <f aca="false">IF(IsPro,IF($D538="","",IF($F538="",IFERROR(INDEX(Items!$H$5:$H$504,U538),0),$F538)),"")</f>
        <v/>
      </c>
      <c r="L538" s="61" t="str">
        <f aca="false">IF(IsPro,IF($D538="","",ROUND(N($E538)*K538*(1-N($G538)),2)),"")</f>
        <v/>
      </c>
      <c r="M538" s="62" t="str">
        <f aca="false">IF(IsPro,IF($D538="","",IFERROR(INDEX(Items!$F$5:$F$504,U538),0)),"")</f>
        <v/>
      </c>
      <c r="N538" s="61" t="str">
        <f aca="false">IF(IsPro,IF($D538="","",IF(AND(V538&lt;&gt;"",INDEX(Parties!$E$5:$E$304,V538)&lt;&gt;"",INDEX(Parties!$E$5:$E$304,V538)&lt;&gt;HomeState),0,ROUND(L538*M538/2,2))),"")</f>
        <v/>
      </c>
      <c r="O538" s="61" t="str">
        <f aca="false">IF(IsPro,IF($D538="","",N538),"")</f>
        <v/>
      </c>
      <c r="P538" s="61" t="str">
        <f aca="false">IF(IsPro,IF($D538="","",IF(AND(V538&lt;&gt;"",INDEX(Parties!$E$5:$E$304,V538)&lt;&gt;"",INDEX(Parties!$E$5:$E$304,V538)&lt;&gt;HomeState),ROUND(L538*M538,2),0)),"")</f>
        <v/>
      </c>
      <c r="Q538" s="61" t="str">
        <f aca="false">IF(IsPro,IF($D538="","",L538+N538+O538+P538),"")</f>
        <v/>
      </c>
      <c r="R538" s="61" t="str">
        <f aca="false">IF(IsPro,IF($D538="","",ROUND(N($E538)*IFERROR(INDEX(Items!$P$5:$P$504,U538),0),2)),"")</f>
        <v/>
      </c>
      <c r="S538" s="61" t="str">
        <f aca="false">IF(IsPro,IF($D538="","",L538-R538),"")</f>
        <v/>
      </c>
      <c r="T538" s="60" t="str">
        <f aca="false">IF(IsPro,IF($D538="","",IF(U538="","UNKNOWN ITEM",IF(INDEX(Items!$O$5:$O$504,U538)&lt;0,"NEG STOCK",IF(K538&lt;INDEX(Items!$P$5:$P$504,U538),"BELOW COST","OK")))),IF($D538="","","PRO PLAN"))</f>
        <v/>
      </c>
      <c r="U538" s="60" t="str">
        <f aca="false">IF(IsPro,IF($D538="","",IFERROR(MATCH($D538,Items!$A$5:$A$504,0),"")),"")</f>
        <v/>
      </c>
      <c r="V538" s="60" t="str">
        <f aca="false">IF(IsPro,IF($C538="","",IFERROR(MATCH($C538,Parties!$A$5:$A$304,0),"")),"")</f>
        <v/>
      </c>
      <c r="W538" s="60" t="str">
        <f aca="false">IF(IsPro,IF($B538="","",IFERROR(VALUE(SUBSTITUTE($B538,InvPrefix,"")),0)),"")</f>
        <v/>
      </c>
      <c r="X538" s="61" t="str">
        <f aca="false">IF(IsPro,IF($D538="","",IF(OR($H538="",$H538="Credit"),0,Q538)),"")</f>
        <v/>
      </c>
    </row>
    <row r="539" customFormat="false" ht="15" hidden="false" customHeight="false" outlineLevel="0" collapsed="false">
      <c r="A539" s="55"/>
      <c r="B539" s="56"/>
      <c r="C539" s="56"/>
      <c r="D539" s="56"/>
      <c r="E539" s="57"/>
      <c r="F539" s="58"/>
      <c r="G539" s="59"/>
      <c r="H539" s="56"/>
      <c r="I539" s="56"/>
      <c r="J539" s="60" t="str">
        <f aca="false">IF(IsPro,IF($D539="","",IFERROR(INDEX(Items!$D$5:$D$504,U539),"")),"")</f>
        <v/>
      </c>
      <c r="K539" s="61" t="str">
        <f aca="false">IF(IsPro,IF($D539="","",IF($F539="",IFERROR(INDEX(Items!$H$5:$H$504,U539),0),$F539)),"")</f>
        <v/>
      </c>
      <c r="L539" s="61" t="str">
        <f aca="false">IF(IsPro,IF($D539="","",ROUND(N($E539)*K539*(1-N($G539)),2)),"")</f>
        <v/>
      </c>
      <c r="M539" s="62" t="str">
        <f aca="false">IF(IsPro,IF($D539="","",IFERROR(INDEX(Items!$F$5:$F$504,U539),0)),"")</f>
        <v/>
      </c>
      <c r="N539" s="61" t="str">
        <f aca="false">IF(IsPro,IF($D539="","",IF(AND(V539&lt;&gt;"",INDEX(Parties!$E$5:$E$304,V539)&lt;&gt;"",INDEX(Parties!$E$5:$E$304,V539)&lt;&gt;HomeState),0,ROUND(L539*M539/2,2))),"")</f>
        <v/>
      </c>
      <c r="O539" s="61" t="str">
        <f aca="false">IF(IsPro,IF($D539="","",N539),"")</f>
        <v/>
      </c>
      <c r="P539" s="61" t="str">
        <f aca="false">IF(IsPro,IF($D539="","",IF(AND(V539&lt;&gt;"",INDEX(Parties!$E$5:$E$304,V539)&lt;&gt;"",INDEX(Parties!$E$5:$E$304,V539)&lt;&gt;HomeState),ROUND(L539*M539,2),0)),"")</f>
        <v/>
      </c>
      <c r="Q539" s="61" t="str">
        <f aca="false">IF(IsPro,IF($D539="","",L539+N539+O539+P539),"")</f>
        <v/>
      </c>
      <c r="R539" s="61" t="str">
        <f aca="false">IF(IsPro,IF($D539="","",ROUND(N($E539)*IFERROR(INDEX(Items!$P$5:$P$504,U539),0),2)),"")</f>
        <v/>
      </c>
      <c r="S539" s="61" t="str">
        <f aca="false">IF(IsPro,IF($D539="","",L539-R539),"")</f>
        <v/>
      </c>
      <c r="T539" s="60" t="str">
        <f aca="false">IF(IsPro,IF($D539="","",IF(U539="","UNKNOWN ITEM",IF(INDEX(Items!$O$5:$O$504,U539)&lt;0,"NEG STOCK",IF(K539&lt;INDEX(Items!$P$5:$P$504,U539),"BELOW COST","OK")))),IF($D539="","","PRO PLAN"))</f>
        <v/>
      </c>
      <c r="U539" s="60" t="str">
        <f aca="false">IF(IsPro,IF($D539="","",IFERROR(MATCH($D539,Items!$A$5:$A$504,0),"")),"")</f>
        <v/>
      </c>
      <c r="V539" s="60" t="str">
        <f aca="false">IF(IsPro,IF($C539="","",IFERROR(MATCH($C539,Parties!$A$5:$A$304,0),"")),"")</f>
        <v/>
      </c>
      <c r="W539" s="60" t="str">
        <f aca="false">IF(IsPro,IF($B539="","",IFERROR(VALUE(SUBSTITUTE($B539,InvPrefix,"")),0)),"")</f>
        <v/>
      </c>
      <c r="X539" s="61" t="str">
        <f aca="false">IF(IsPro,IF($D539="","",IF(OR($H539="",$H539="Credit"),0,Q539)),"")</f>
        <v/>
      </c>
    </row>
    <row r="540" customFormat="false" ht="15" hidden="false" customHeight="false" outlineLevel="0" collapsed="false">
      <c r="A540" s="55"/>
      <c r="B540" s="56"/>
      <c r="C540" s="56"/>
      <c r="D540" s="56"/>
      <c r="E540" s="57"/>
      <c r="F540" s="58"/>
      <c r="G540" s="59"/>
      <c r="H540" s="56"/>
      <c r="I540" s="56"/>
      <c r="J540" s="60" t="str">
        <f aca="false">IF(IsPro,IF($D540="","",IFERROR(INDEX(Items!$D$5:$D$504,U540),"")),"")</f>
        <v/>
      </c>
      <c r="K540" s="61" t="str">
        <f aca="false">IF(IsPro,IF($D540="","",IF($F540="",IFERROR(INDEX(Items!$H$5:$H$504,U540),0),$F540)),"")</f>
        <v/>
      </c>
      <c r="L540" s="61" t="str">
        <f aca="false">IF(IsPro,IF($D540="","",ROUND(N($E540)*K540*(1-N($G540)),2)),"")</f>
        <v/>
      </c>
      <c r="M540" s="62" t="str">
        <f aca="false">IF(IsPro,IF($D540="","",IFERROR(INDEX(Items!$F$5:$F$504,U540),0)),"")</f>
        <v/>
      </c>
      <c r="N540" s="61" t="str">
        <f aca="false">IF(IsPro,IF($D540="","",IF(AND(V540&lt;&gt;"",INDEX(Parties!$E$5:$E$304,V540)&lt;&gt;"",INDEX(Parties!$E$5:$E$304,V540)&lt;&gt;HomeState),0,ROUND(L540*M540/2,2))),"")</f>
        <v/>
      </c>
      <c r="O540" s="61" t="str">
        <f aca="false">IF(IsPro,IF($D540="","",N540),"")</f>
        <v/>
      </c>
      <c r="P540" s="61" t="str">
        <f aca="false">IF(IsPro,IF($D540="","",IF(AND(V540&lt;&gt;"",INDEX(Parties!$E$5:$E$304,V540)&lt;&gt;"",INDEX(Parties!$E$5:$E$304,V540)&lt;&gt;HomeState),ROUND(L540*M540,2),0)),"")</f>
        <v/>
      </c>
      <c r="Q540" s="61" t="str">
        <f aca="false">IF(IsPro,IF($D540="","",L540+N540+O540+P540),"")</f>
        <v/>
      </c>
      <c r="R540" s="61" t="str">
        <f aca="false">IF(IsPro,IF($D540="","",ROUND(N($E540)*IFERROR(INDEX(Items!$P$5:$P$504,U540),0),2)),"")</f>
        <v/>
      </c>
      <c r="S540" s="61" t="str">
        <f aca="false">IF(IsPro,IF($D540="","",L540-R540),"")</f>
        <v/>
      </c>
      <c r="T540" s="60" t="str">
        <f aca="false">IF(IsPro,IF($D540="","",IF(U540="","UNKNOWN ITEM",IF(INDEX(Items!$O$5:$O$504,U540)&lt;0,"NEG STOCK",IF(K540&lt;INDEX(Items!$P$5:$P$504,U540),"BELOW COST","OK")))),IF($D540="","","PRO PLAN"))</f>
        <v/>
      </c>
      <c r="U540" s="60" t="str">
        <f aca="false">IF(IsPro,IF($D540="","",IFERROR(MATCH($D540,Items!$A$5:$A$504,0),"")),"")</f>
        <v/>
      </c>
      <c r="V540" s="60" t="str">
        <f aca="false">IF(IsPro,IF($C540="","",IFERROR(MATCH($C540,Parties!$A$5:$A$304,0),"")),"")</f>
        <v/>
      </c>
      <c r="W540" s="60" t="str">
        <f aca="false">IF(IsPro,IF($B540="","",IFERROR(VALUE(SUBSTITUTE($B540,InvPrefix,"")),0)),"")</f>
        <v/>
      </c>
      <c r="X540" s="61" t="str">
        <f aca="false">IF(IsPro,IF($D540="","",IF(OR($H540="",$H540="Credit"),0,Q540)),"")</f>
        <v/>
      </c>
    </row>
    <row r="541" customFormat="false" ht="15" hidden="false" customHeight="false" outlineLevel="0" collapsed="false">
      <c r="A541" s="55"/>
      <c r="B541" s="56"/>
      <c r="C541" s="56"/>
      <c r="D541" s="56"/>
      <c r="E541" s="57"/>
      <c r="F541" s="58"/>
      <c r="G541" s="59"/>
      <c r="H541" s="56"/>
      <c r="I541" s="56"/>
      <c r="J541" s="60" t="str">
        <f aca="false">IF(IsPro,IF($D541="","",IFERROR(INDEX(Items!$D$5:$D$504,U541),"")),"")</f>
        <v/>
      </c>
      <c r="K541" s="61" t="str">
        <f aca="false">IF(IsPro,IF($D541="","",IF($F541="",IFERROR(INDEX(Items!$H$5:$H$504,U541),0),$F541)),"")</f>
        <v/>
      </c>
      <c r="L541" s="61" t="str">
        <f aca="false">IF(IsPro,IF($D541="","",ROUND(N($E541)*K541*(1-N($G541)),2)),"")</f>
        <v/>
      </c>
      <c r="M541" s="62" t="str">
        <f aca="false">IF(IsPro,IF($D541="","",IFERROR(INDEX(Items!$F$5:$F$504,U541),0)),"")</f>
        <v/>
      </c>
      <c r="N541" s="61" t="str">
        <f aca="false">IF(IsPro,IF($D541="","",IF(AND(V541&lt;&gt;"",INDEX(Parties!$E$5:$E$304,V541)&lt;&gt;"",INDEX(Parties!$E$5:$E$304,V541)&lt;&gt;HomeState),0,ROUND(L541*M541/2,2))),"")</f>
        <v/>
      </c>
      <c r="O541" s="61" t="str">
        <f aca="false">IF(IsPro,IF($D541="","",N541),"")</f>
        <v/>
      </c>
      <c r="P541" s="61" t="str">
        <f aca="false">IF(IsPro,IF($D541="","",IF(AND(V541&lt;&gt;"",INDEX(Parties!$E$5:$E$304,V541)&lt;&gt;"",INDEX(Parties!$E$5:$E$304,V541)&lt;&gt;HomeState),ROUND(L541*M541,2),0)),"")</f>
        <v/>
      </c>
      <c r="Q541" s="61" t="str">
        <f aca="false">IF(IsPro,IF($D541="","",L541+N541+O541+P541),"")</f>
        <v/>
      </c>
      <c r="R541" s="61" t="str">
        <f aca="false">IF(IsPro,IF($D541="","",ROUND(N($E541)*IFERROR(INDEX(Items!$P$5:$P$504,U541),0),2)),"")</f>
        <v/>
      </c>
      <c r="S541" s="61" t="str">
        <f aca="false">IF(IsPro,IF($D541="","",L541-R541),"")</f>
        <v/>
      </c>
      <c r="T541" s="60" t="str">
        <f aca="false">IF(IsPro,IF($D541="","",IF(U541="","UNKNOWN ITEM",IF(INDEX(Items!$O$5:$O$504,U541)&lt;0,"NEG STOCK",IF(K541&lt;INDEX(Items!$P$5:$P$504,U541),"BELOW COST","OK")))),IF($D541="","","PRO PLAN"))</f>
        <v/>
      </c>
      <c r="U541" s="60" t="str">
        <f aca="false">IF(IsPro,IF($D541="","",IFERROR(MATCH($D541,Items!$A$5:$A$504,0),"")),"")</f>
        <v/>
      </c>
      <c r="V541" s="60" t="str">
        <f aca="false">IF(IsPro,IF($C541="","",IFERROR(MATCH($C541,Parties!$A$5:$A$304,0),"")),"")</f>
        <v/>
      </c>
      <c r="W541" s="60" t="str">
        <f aca="false">IF(IsPro,IF($B541="","",IFERROR(VALUE(SUBSTITUTE($B541,InvPrefix,"")),0)),"")</f>
        <v/>
      </c>
      <c r="X541" s="61" t="str">
        <f aca="false">IF(IsPro,IF($D541="","",IF(OR($H541="",$H541="Credit"),0,Q541)),"")</f>
        <v/>
      </c>
    </row>
    <row r="542" customFormat="false" ht="15" hidden="false" customHeight="false" outlineLevel="0" collapsed="false">
      <c r="A542" s="55"/>
      <c r="B542" s="56"/>
      <c r="C542" s="56"/>
      <c r="D542" s="56"/>
      <c r="E542" s="57"/>
      <c r="F542" s="58"/>
      <c r="G542" s="59"/>
      <c r="H542" s="56"/>
      <c r="I542" s="56"/>
      <c r="J542" s="60" t="str">
        <f aca="false">IF(IsPro,IF($D542="","",IFERROR(INDEX(Items!$D$5:$D$504,U542),"")),"")</f>
        <v/>
      </c>
      <c r="K542" s="61" t="str">
        <f aca="false">IF(IsPro,IF($D542="","",IF($F542="",IFERROR(INDEX(Items!$H$5:$H$504,U542),0),$F542)),"")</f>
        <v/>
      </c>
      <c r="L542" s="61" t="str">
        <f aca="false">IF(IsPro,IF($D542="","",ROUND(N($E542)*K542*(1-N($G542)),2)),"")</f>
        <v/>
      </c>
      <c r="M542" s="62" t="str">
        <f aca="false">IF(IsPro,IF($D542="","",IFERROR(INDEX(Items!$F$5:$F$504,U542),0)),"")</f>
        <v/>
      </c>
      <c r="N542" s="61" t="str">
        <f aca="false">IF(IsPro,IF($D542="","",IF(AND(V542&lt;&gt;"",INDEX(Parties!$E$5:$E$304,V542)&lt;&gt;"",INDEX(Parties!$E$5:$E$304,V542)&lt;&gt;HomeState),0,ROUND(L542*M542/2,2))),"")</f>
        <v/>
      </c>
      <c r="O542" s="61" t="str">
        <f aca="false">IF(IsPro,IF($D542="","",N542),"")</f>
        <v/>
      </c>
      <c r="P542" s="61" t="str">
        <f aca="false">IF(IsPro,IF($D542="","",IF(AND(V542&lt;&gt;"",INDEX(Parties!$E$5:$E$304,V542)&lt;&gt;"",INDEX(Parties!$E$5:$E$304,V542)&lt;&gt;HomeState),ROUND(L542*M542,2),0)),"")</f>
        <v/>
      </c>
      <c r="Q542" s="61" t="str">
        <f aca="false">IF(IsPro,IF($D542="","",L542+N542+O542+P542),"")</f>
        <v/>
      </c>
      <c r="R542" s="61" t="str">
        <f aca="false">IF(IsPro,IF($D542="","",ROUND(N($E542)*IFERROR(INDEX(Items!$P$5:$P$504,U542),0),2)),"")</f>
        <v/>
      </c>
      <c r="S542" s="61" t="str">
        <f aca="false">IF(IsPro,IF($D542="","",L542-R542),"")</f>
        <v/>
      </c>
      <c r="T542" s="60" t="str">
        <f aca="false">IF(IsPro,IF($D542="","",IF(U542="","UNKNOWN ITEM",IF(INDEX(Items!$O$5:$O$504,U542)&lt;0,"NEG STOCK",IF(K542&lt;INDEX(Items!$P$5:$P$504,U542),"BELOW COST","OK")))),IF($D542="","","PRO PLAN"))</f>
        <v/>
      </c>
      <c r="U542" s="60" t="str">
        <f aca="false">IF(IsPro,IF($D542="","",IFERROR(MATCH($D542,Items!$A$5:$A$504,0),"")),"")</f>
        <v/>
      </c>
      <c r="V542" s="60" t="str">
        <f aca="false">IF(IsPro,IF($C542="","",IFERROR(MATCH($C542,Parties!$A$5:$A$304,0),"")),"")</f>
        <v/>
      </c>
      <c r="W542" s="60" t="str">
        <f aca="false">IF(IsPro,IF($B542="","",IFERROR(VALUE(SUBSTITUTE($B542,InvPrefix,"")),0)),"")</f>
        <v/>
      </c>
      <c r="X542" s="61" t="str">
        <f aca="false">IF(IsPro,IF($D542="","",IF(OR($H542="",$H542="Credit"),0,Q542)),"")</f>
        <v/>
      </c>
    </row>
    <row r="543" customFormat="false" ht="15" hidden="false" customHeight="false" outlineLevel="0" collapsed="false">
      <c r="A543" s="55"/>
      <c r="B543" s="56"/>
      <c r="C543" s="56"/>
      <c r="D543" s="56"/>
      <c r="E543" s="57"/>
      <c r="F543" s="58"/>
      <c r="G543" s="59"/>
      <c r="H543" s="56"/>
      <c r="I543" s="56"/>
      <c r="J543" s="60" t="str">
        <f aca="false">IF(IsPro,IF($D543="","",IFERROR(INDEX(Items!$D$5:$D$504,U543),"")),"")</f>
        <v/>
      </c>
      <c r="K543" s="61" t="str">
        <f aca="false">IF(IsPro,IF($D543="","",IF($F543="",IFERROR(INDEX(Items!$H$5:$H$504,U543),0),$F543)),"")</f>
        <v/>
      </c>
      <c r="L543" s="61" t="str">
        <f aca="false">IF(IsPro,IF($D543="","",ROUND(N($E543)*K543*(1-N($G543)),2)),"")</f>
        <v/>
      </c>
      <c r="M543" s="62" t="str">
        <f aca="false">IF(IsPro,IF($D543="","",IFERROR(INDEX(Items!$F$5:$F$504,U543),0)),"")</f>
        <v/>
      </c>
      <c r="N543" s="61" t="str">
        <f aca="false">IF(IsPro,IF($D543="","",IF(AND(V543&lt;&gt;"",INDEX(Parties!$E$5:$E$304,V543)&lt;&gt;"",INDEX(Parties!$E$5:$E$304,V543)&lt;&gt;HomeState),0,ROUND(L543*M543/2,2))),"")</f>
        <v/>
      </c>
      <c r="O543" s="61" t="str">
        <f aca="false">IF(IsPro,IF($D543="","",N543),"")</f>
        <v/>
      </c>
      <c r="P543" s="61" t="str">
        <f aca="false">IF(IsPro,IF($D543="","",IF(AND(V543&lt;&gt;"",INDEX(Parties!$E$5:$E$304,V543)&lt;&gt;"",INDEX(Parties!$E$5:$E$304,V543)&lt;&gt;HomeState),ROUND(L543*M543,2),0)),"")</f>
        <v/>
      </c>
      <c r="Q543" s="61" t="str">
        <f aca="false">IF(IsPro,IF($D543="","",L543+N543+O543+P543),"")</f>
        <v/>
      </c>
      <c r="R543" s="61" t="str">
        <f aca="false">IF(IsPro,IF($D543="","",ROUND(N($E543)*IFERROR(INDEX(Items!$P$5:$P$504,U543),0),2)),"")</f>
        <v/>
      </c>
      <c r="S543" s="61" t="str">
        <f aca="false">IF(IsPro,IF($D543="","",L543-R543),"")</f>
        <v/>
      </c>
      <c r="T543" s="60" t="str">
        <f aca="false">IF(IsPro,IF($D543="","",IF(U543="","UNKNOWN ITEM",IF(INDEX(Items!$O$5:$O$504,U543)&lt;0,"NEG STOCK",IF(K543&lt;INDEX(Items!$P$5:$P$504,U543),"BELOW COST","OK")))),IF($D543="","","PRO PLAN"))</f>
        <v/>
      </c>
      <c r="U543" s="60" t="str">
        <f aca="false">IF(IsPro,IF($D543="","",IFERROR(MATCH($D543,Items!$A$5:$A$504,0),"")),"")</f>
        <v/>
      </c>
      <c r="V543" s="60" t="str">
        <f aca="false">IF(IsPro,IF($C543="","",IFERROR(MATCH($C543,Parties!$A$5:$A$304,0),"")),"")</f>
        <v/>
      </c>
      <c r="W543" s="60" t="str">
        <f aca="false">IF(IsPro,IF($B543="","",IFERROR(VALUE(SUBSTITUTE($B543,InvPrefix,"")),0)),"")</f>
        <v/>
      </c>
      <c r="X543" s="61" t="str">
        <f aca="false">IF(IsPro,IF($D543="","",IF(OR($H543="",$H543="Credit"),0,Q543)),"")</f>
        <v/>
      </c>
    </row>
    <row r="544" customFormat="false" ht="15" hidden="false" customHeight="false" outlineLevel="0" collapsed="false">
      <c r="A544" s="55"/>
      <c r="B544" s="56"/>
      <c r="C544" s="56"/>
      <c r="D544" s="56"/>
      <c r="E544" s="57"/>
      <c r="F544" s="58"/>
      <c r="G544" s="59"/>
      <c r="H544" s="56"/>
      <c r="I544" s="56"/>
      <c r="J544" s="60" t="str">
        <f aca="false">IF(IsPro,IF($D544="","",IFERROR(INDEX(Items!$D$5:$D$504,U544),"")),"")</f>
        <v/>
      </c>
      <c r="K544" s="61" t="str">
        <f aca="false">IF(IsPro,IF($D544="","",IF($F544="",IFERROR(INDEX(Items!$H$5:$H$504,U544),0),$F544)),"")</f>
        <v/>
      </c>
      <c r="L544" s="61" t="str">
        <f aca="false">IF(IsPro,IF($D544="","",ROUND(N($E544)*K544*(1-N($G544)),2)),"")</f>
        <v/>
      </c>
      <c r="M544" s="62" t="str">
        <f aca="false">IF(IsPro,IF($D544="","",IFERROR(INDEX(Items!$F$5:$F$504,U544),0)),"")</f>
        <v/>
      </c>
      <c r="N544" s="61" t="str">
        <f aca="false">IF(IsPro,IF($D544="","",IF(AND(V544&lt;&gt;"",INDEX(Parties!$E$5:$E$304,V544)&lt;&gt;"",INDEX(Parties!$E$5:$E$304,V544)&lt;&gt;HomeState),0,ROUND(L544*M544/2,2))),"")</f>
        <v/>
      </c>
      <c r="O544" s="61" t="str">
        <f aca="false">IF(IsPro,IF($D544="","",N544),"")</f>
        <v/>
      </c>
      <c r="P544" s="61" t="str">
        <f aca="false">IF(IsPro,IF($D544="","",IF(AND(V544&lt;&gt;"",INDEX(Parties!$E$5:$E$304,V544)&lt;&gt;"",INDEX(Parties!$E$5:$E$304,V544)&lt;&gt;HomeState),ROUND(L544*M544,2),0)),"")</f>
        <v/>
      </c>
      <c r="Q544" s="61" t="str">
        <f aca="false">IF(IsPro,IF($D544="","",L544+N544+O544+P544),"")</f>
        <v/>
      </c>
      <c r="R544" s="61" t="str">
        <f aca="false">IF(IsPro,IF($D544="","",ROUND(N($E544)*IFERROR(INDEX(Items!$P$5:$P$504,U544),0),2)),"")</f>
        <v/>
      </c>
      <c r="S544" s="61" t="str">
        <f aca="false">IF(IsPro,IF($D544="","",L544-R544),"")</f>
        <v/>
      </c>
      <c r="T544" s="60" t="str">
        <f aca="false">IF(IsPro,IF($D544="","",IF(U544="","UNKNOWN ITEM",IF(INDEX(Items!$O$5:$O$504,U544)&lt;0,"NEG STOCK",IF(K544&lt;INDEX(Items!$P$5:$P$504,U544),"BELOW COST","OK")))),IF($D544="","","PRO PLAN"))</f>
        <v/>
      </c>
      <c r="U544" s="60" t="str">
        <f aca="false">IF(IsPro,IF($D544="","",IFERROR(MATCH($D544,Items!$A$5:$A$504,0),"")),"")</f>
        <v/>
      </c>
      <c r="V544" s="60" t="str">
        <f aca="false">IF(IsPro,IF($C544="","",IFERROR(MATCH($C544,Parties!$A$5:$A$304,0),"")),"")</f>
        <v/>
      </c>
      <c r="W544" s="60" t="str">
        <f aca="false">IF(IsPro,IF($B544="","",IFERROR(VALUE(SUBSTITUTE($B544,InvPrefix,"")),0)),"")</f>
        <v/>
      </c>
      <c r="X544" s="61" t="str">
        <f aca="false">IF(IsPro,IF($D544="","",IF(OR($H544="",$H544="Credit"),0,Q544)),"")</f>
        <v/>
      </c>
    </row>
    <row r="545" customFormat="false" ht="15" hidden="false" customHeight="false" outlineLevel="0" collapsed="false">
      <c r="A545" s="55"/>
      <c r="B545" s="56"/>
      <c r="C545" s="56"/>
      <c r="D545" s="56"/>
      <c r="E545" s="57"/>
      <c r="F545" s="58"/>
      <c r="G545" s="59"/>
      <c r="H545" s="56"/>
      <c r="I545" s="56"/>
      <c r="J545" s="60" t="str">
        <f aca="false">IF(IsPro,IF($D545="","",IFERROR(INDEX(Items!$D$5:$D$504,U545),"")),"")</f>
        <v/>
      </c>
      <c r="K545" s="61" t="str">
        <f aca="false">IF(IsPro,IF($D545="","",IF($F545="",IFERROR(INDEX(Items!$H$5:$H$504,U545),0),$F545)),"")</f>
        <v/>
      </c>
      <c r="L545" s="61" t="str">
        <f aca="false">IF(IsPro,IF($D545="","",ROUND(N($E545)*K545*(1-N($G545)),2)),"")</f>
        <v/>
      </c>
      <c r="M545" s="62" t="str">
        <f aca="false">IF(IsPro,IF($D545="","",IFERROR(INDEX(Items!$F$5:$F$504,U545),0)),"")</f>
        <v/>
      </c>
      <c r="N545" s="61" t="str">
        <f aca="false">IF(IsPro,IF($D545="","",IF(AND(V545&lt;&gt;"",INDEX(Parties!$E$5:$E$304,V545)&lt;&gt;"",INDEX(Parties!$E$5:$E$304,V545)&lt;&gt;HomeState),0,ROUND(L545*M545/2,2))),"")</f>
        <v/>
      </c>
      <c r="O545" s="61" t="str">
        <f aca="false">IF(IsPro,IF($D545="","",N545),"")</f>
        <v/>
      </c>
      <c r="P545" s="61" t="str">
        <f aca="false">IF(IsPro,IF($D545="","",IF(AND(V545&lt;&gt;"",INDEX(Parties!$E$5:$E$304,V545)&lt;&gt;"",INDEX(Parties!$E$5:$E$304,V545)&lt;&gt;HomeState),ROUND(L545*M545,2),0)),"")</f>
        <v/>
      </c>
      <c r="Q545" s="61" t="str">
        <f aca="false">IF(IsPro,IF($D545="","",L545+N545+O545+P545),"")</f>
        <v/>
      </c>
      <c r="R545" s="61" t="str">
        <f aca="false">IF(IsPro,IF($D545="","",ROUND(N($E545)*IFERROR(INDEX(Items!$P$5:$P$504,U545),0),2)),"")</f>
        <v/>
      </c>
      <c r="S545" s="61" t="str">
        <f aca="false">IF(IsPro,IF($D545="","",L545-R545),"")</f>
        <v/>
      </c>
      <c r="T545" s="60" t="str">
        <f aca="false">IF(IsPro,IF($D545="","",IF(U545="","UNKNOWN ITEM",IF(INDEX(Items!$O$5:$O$504,U545)&lt;0,"NEG STOCK",IF(K545&lt;INDEX(Items!$P$5:$P$504,U545),"BELOW COST","OK")))),IF($D545="","","PRO PLAN"))</f>
        <v/>
      </c>
      <c r="U545" s="60" t="str">
        <f aca="false">IF(IsPro,IF($D545="","",IFERROR(MATCH($D545,Items!$A$5:$A$504,0),"")),"")</f>
        <v/>
      </c>
      <c r="V545" s="60" t="str">
        <f aca="false">IF(IsPro,IF($C545="","",IFERROR(MATCH($C545,Parties!$A$5:$A$304,0),"")),"")</f>
        <v/>
      </c>
      <c r="W545" s="60" t="str">
        <f aca="false">IF(IsPro,IF($B545="","",IFERROR(VALUE(SUBSTITUTE($B545,InvPrefix,"")),0)),"")</f>
        <v/>
      </c>
      <c r="X545" s="61" t="str">
        <f aca="false">IF(IsPro,IF($D545="","",IF(OR($H545="",$H545="Credit"),0,Q545)),"")</f>
        <v/>
      </c>
    </row>
    <row r="546" customFormat="false" ht="15" hidden="false" customHeight="false" outlineLevel="0" collapsed="false">
      <c r="A546" s="55"/>
      <c r="B546" s="56"/>
      <c r="C546" s="56"/>
      <c r="D546" s="56"/>
      <c r="E546" s="57"/>
      <c r="F546" s="58"/>
      <c r="G546" s="59"/>
      <c r="H546" s="56"/>
      <c r="I546" s="56"/>
      <c r="J546" s="60" t="str">
        <f aca="false">IF(IsPro,IF($D546="","",IFERROR(INDEX(Items!$D$5:$D$504,U546),"")),"")</f>
        <v/>
      </c>
      <c r="K546" s="61" t="str">
        <f aca="false">IF(IsPro,IF($D546="","",IF($F546="",IFERROR(INDEX(Items!$H$5:$H$504,U546),0),$F546)),"")</f>
        <v/>
      </c>
      <c r="L546" s="61" t="str">
        <f aca="false">IF(IsPro,IF($D546="","",ROUND(N($E546)*K546*(1-N($G546)),2)),"")</f>
        <v/>
      </c>
      <c r="M546" s="62" t="str">
        <f aca="false">IF(IsPro,IF($D546="","",IFERROR(INDEX(Items!$F$5:$F$504,U546),0)),"")</f>
        <v/>
      </c>
      <c r="N546" s="61" t="str">
        <f aca="false">IF(IsPro,IF($D546="","",IF(AND(V546&lt;&gt;"",INDEX(Parties!$E$5:$E$304,V546)&lt;&gt;"",INDEX(Parties!$E$5:$E$304,V546)&lt;&gt;HomeState),0,ROUND(L546*M546/2,2))),"")</f>
        <v/>
      </c>
      <c r="O546" s="61" t="str">
        <f aca="false">IF(IsPro,IF($D546="","",N546),"")</f>
        <v/>
      </c>
      <c r="P546" s="61" t="str">
        <f aca="false">IF(IsPro,IF($D546="","",IF(AND(V546&lt;&gt;"",INDEX(Parties!$E$5:$E$304,V546)&lt;&gt;"",INDEX(Parties!$E$5:$E$304,V546)&lt;&gt;HomeState),ROUND(L546*M546,2),0)),"")</f>
        <v/>
      </c>
      <c r="Q546" s="61" t="str">
        <f aca="false">IF(IsPro,IF($D546="","",L546+N546+O546+P546),"")</f>
        <v/>
      </c>
      <c r="R546" s="61" t="str">
        <f aca="false">IF(IsPro,IF($D546="","",ROUND(N($E546)*IFERROR(INDEX(Items!$P$5:$P$504,U546),0),2)),"")</f>
        <v/>
      </c>
      <c r="S546" s="61" t="str">
        <f aca="false">IF(IsPro,IF($D546="","",L546-R546),"")</f>
        <v/>
      </c>
      <c r="T546" s="60" t="str">
        <f aca="false">IF(IsPro,IF($D546="","",IF(U546="","UNKNOWN ITEM",IF(INDEX(Items!$O$5:$O$504,U546)&lt;0,"NEG STOCK",IF(K546&lt;INDEX(Items!$P$5:$P$504,U546),"BELOW COST","OK")))),IF($D546="","","PRO PLAN"))</f>
        <v/>
      </c>
      <c r="U546" s="60" t="str">
        <f aca="false">IF(IsPro,IF($D546="","",IFERROR(MATCH($D546,Items!$A$5:$A$504,0),"")),"")</f>
        <v/>
      </c>
      <c r="V546" s="60" t="str">
        <f aca="false">IF(IsPro,IF($C546="","",IFERROR(MATCH($C546,Parties!$A$5:$A$304,0),"")),"")</f>
        <v/>
      </c>
      <c r="W546" s="60" t="str">
        <f aca="false">IF(IsPro,IF($B546="","",IFERROR(VALUE(SUBSTITUTE($B546,InvPrefix,"")),0)),"")</f>
        <v/>
      </c>
      <c r="X546" s="61" t="str">
        <f aca="false">IF(IsPro,IF($D546="","",IF(OR($H546="",$H546="Credit"),0,Q546)),"")</f>
        <v/>
      </c>
    </row>
    <row r="547" customFormat="false" ht="15" hidden="false" customHeight="false" outlineLevel="0" collapsed="false">
      <c r="A547" s="55"/>
      <c r="B547" s="56"/>
      <c r="C547" s="56"/>
      <c r="D547" s="56"/>
      <c r="E547" s="57"/>
      <c r="F547" s="58"/>
      <c r="G547" s="59"/>
      <c r="H547" s="56"/>
      <c r="I547" s="56"/>
      <c r="J547" s="60" t="str">
        <f aca="false">IF(IsPro,IF($D547="","",IFERROR(INDEX(Items!$D$5:$D$504,U547),"")),"")</f>
        <v/>
      </c>
      <c r="K547" s="61" t="str">
        <f aca="false">IF(IsPro,IF($D547="","",IF($F547="",IFERROR(INDEX(Items!$H$5:$H$504,U547),0),$F547)),"")</f>
        <v/>
      </c>
      <c r="L547" s="61" t="str">
        <f aca="false">IF(IsPro,IF($D547="","",ROUND(N($E547)*K547*(1-N($G547)),2)),"")</f>
        <v/>
      </c>
      <c r="M547" s="62" t="str">
        <f aca="false">IF(IsPro,IF($D547="","",IFERROR(INDEX(Items!$F$5:$F$504,U547),0)),"")</f>
        <v/>
      </c>
      <c r="N547" s="61" t="str">
        <f aca="false">IF(IsPro,IF($D547="","",IF(AND(V547&lt;&gt;"",INDEX(Parties!$E$5:$E$304,V547)&lt;&gt;"",INDEX(Parties!$E$5:$E$304,V547)&lt;&gt;HomeState),0,ROUND(L547*M547/2,2))),"")</f>
        <v/>
      </c>
      <c r="O547" s="61" t="str">
        <f aca="false">IF(IsPro,IF($D547="","",N547),"")</f>
        <v/>
      </c>
      <c r="P547" s="61" t="str">
        <f aca="false">IF(IsPro,IF($D547="","",IF(AND(V547&lt;&gt;"",INDEX(Parties!$E$5:$E$304,V547)&lt;&gt;"",INDEX(Parties!$E$5:$E$304,V547)&lt;&gt;HomeState),ROUND(L547*M547,2),0)),"")</f>
        <v/>
      </c>
      <c r="Q547" s="61" t="str">
        <f aca="false">IF(IsPro,IF($D547="","",L547+N547+O547+P547),"")</f>
        <v/>
      </c>
      <c r="R547" s="61" t="str">
        <f aca="false">IF(IsPro,IF($D547="","",ROUND(N($E547)*IFERROR(INDEX(Items!$P$5:$P$504,U547),0),2)),"")</f>
        <v/>
      </c>
      <c r="S547" s="61" t="str">
        <f aca="false">IF(IsPro,IF($D547="","",L547-R547),"")</f>
        <v/>
      </c>
      <c r="T547" s="60" t="str">
        <f aca="false">IF(IsPro,IF($D547="","",IF(U547="","UNKNOWN ITEM",IF(INDEX(Items!$O$5:$O$504,U547)&lt;0,"NEG STOCK",IF(K547&lt;INDEX(Items!$P$5:$P$504,U547),"BELOW COST","OK")))),IF($D547="","","PRO PLAN"))</f>
        <v/>
      </c>
      <c r="U547" s="60" t="str">
        <f aca="false">IF(IsPro,IF($D547="","",IFERROR(MATCH($D547,Items!$A$5:$A$504,0),"")),"")</f>
        <v/>
      </c>
      <c r="V547" s="60" t="str">
        <f aca="false">IF(IsPro,IF($C547="","",IFERROR(MATCH($C547,Parties!$A$5:$A$304,0),"")),"")</f>
        <v/>
      </c>
      <c r="W547" s="60" t="str">
        <f aca="false">IF(IsPro,IF($B547="","",IFERROR(VALUE(SUBSTITUTE($B547,InvPrefix,"")),0)),"")</f>
        <v/>
      </c>
      <c r="X547" s="61" t="str">
        <f aca="false">IF(IsPro,IF($D547="","",IF(OR($H547="",$H547="Credit"),0,Q547)),"")</f>
        <v/>
      </c>
    </row>
    <row r="548" customFormat="false" ht="15" hidden="false" customHeight="false" outlineLevel="0" collapsed="false">
      <c r="A548" s="55"/>
      <c r="B548" s="56"/>
      <c r="C548" s="56"/>
      <c r="D548" s="56"/>
      <c r="E548" s="57"/>
      <c r="F548" s="58"/>
      <c r="G548" s="59"/>
      <c r="H548" s="56"/>
      <c r="I548" s="56"/>
      <c r="J548" s="60" t="str">
        <f aca="false">IF(IsPro,IF($D548="","",IFERROR(INDEX(Items!$D$5:$D$504,U548),"")),"")</f>
        <v/>
      </c>
      <c r="K548" s="61" t="str">
        <f aca="false">IF(IsPro,IF($D548="","",IF($F548="",IFERROR(INDEX(Items!$H$5:$H$504,U548),0),$F548)),"")</f>
        <v/>
      </c>
      <c r="L548" s="61" t="str">
        <f aca="false">IF(IsPro,IF($D548="","",ROUND(N($E548)*K548*(1-N($G548)),2)),"")</f>
        <v/>
      </c>
      <c r="M548" s="62" t="str">
        <f aca="false">IF(IsPro,IF($D548="","",IFERROR(INDEX(Items!$F$5:$F$504,U548),0)),"")</f>
        <v/>
      </c>
      <c r="N548" s="61" t="str">
        <f aca="false">IF(IsPro,IF($D548="","",IF(AND(V548&lt;&gt;"",INDEX(Parties!$E$5:$E$304,V548)&lt;&gt;"",INDEX(Parties!$E$5:$E$304,V548)&lt;&gt;HomeState),0,ROUND(L548*M548/2,2))),"")</f>
        <v/>
      </c>
      <c r="O548" s="61" t="str">
        <f aca="false">IF(IsPro,IF($D548="","",N548),"")</f>
        <v/>
      </c>
      <c r="P548" s="61" t="str">
        <f aca="false">IF(IsPro,IF($D548="","",IF(AND(V548&lt;&gt;"",INDEX(Parties!$E$5:$E$304,V548)&lt;&gt;"",INDEX(Parties!$E$5:$E$304,V548)&lt;&gt;HomeState),ROUND(L548*M548,2),0)),"")</f>
        <v/>
      </c>
      <c r="Q548" s="61" t="str">
        <f aca="false">IF(IsPro,IF($D548="","",L548+N548+O548+P548),"")</f>
        <v/>
      </c>
      <c r="R548" s="61" t="str">
        <f aca="false">IF(IsPro,IF($D548="","",ROUND(N($E548)*IFERROR(INDEX(Items!$P$5:$P$504,U548),0),2)),"")</f>
        <v/>
      </c>
      <c r="S548" s="61" t="str">
        <f aca="false">IF(IsPro,IF($D548="","",L548-R548),"")</f>
        <v/>
      </c>
      <c r="T548" s="60" t="str">
        <f aca="false">IF(IsPro,IF($D548="","",IF(U548="","UNKNOWN ITEM",IF(INDEX(Items!$O$5:$O$504,U548)&lt;0,"NEG STOCK",IF(K548&lt;INDEX(Items!$P$5:$P$504,U548),"BELOW COST","OK")))),IF($D548="","","PRO PLAN"))</f>
        <v/>
      </c>
      <c r="U548" s="60" t="str">
        <f aca="false">IF(IsPro,IF($D548="","",IFERROR(MATCH($D548,Items!$A$5:$A$504,0),"")),"")</f>
        <v/>
      </c>
      <c r="V548" s="60" t="str">
        <f aca="false">IF(IsPro,IF($C548="","",IFERROR(MATCH($C548,Parties!$A$5:$A$304,0),"")),"")</f>
        <v/>
      </c>
      <c r="W548" s="60" t="str">
        <f aca="false">IF(IsPro,IF($B548="","",IFERROR(VALUE(SUBSTITUTE($B548,InvPrefix,"")),0)),"")</f>
        <v/>
      </c>
      <c r="X548" s="61" t="str">
        <f aca="false">IF(IsPro,IF($D548="","",IF(OR($H548="",$H548="Credit"),0,Q548)),"")</f>
        <v/>
      </c>
    </row>
    <row r="549" customFormat="false" ht="15" hidden="false" customHeight="false" outlineLevel="0" collapsed="false">
      <c r="A549" s="55"/>
      <c r="B549" s="56"/>
      <c r="C549" s="56"/>
      <c r="D549" s="56"/>
      <c r="E549" s="57"/>
      <c r="F549" s="58"/>
      <c r="G549" s="59"/>
      <c r="H549" s="56"/>
      <c r="I549" s="56"/>
      <c r="J549" s="60" t="str">
        <f aca="false">IF(IsPro,IF($D549="","",IFERROR(INDEX(Items!$D$5:$D$504,U549),"")),"")</f>
        <v/>
      </c>
      <c r="K549" s="61" t="str">
        <f aca="false">IF(IsPro,IF($D549="","",IF($F549="",IFERROR(INDEX(Items!$H$5:$H$504,U549),0),$F549)),"")</f>
        <v/>
      </c>
      <c r="L549" s="61" t="str">
        <f aca="false">IF(IsPro,IF($D549="","",ROUND(N($E549)*K549*(1-N($G549)),2)),"")</f>
        <v/>
      </c>
      <c r="M549" s="62" t="str">
        <f aca="false">IF(IsPro,IF($D549="","",IFERROR(INDEX(Items!$F$5:$F$504,U549),0)),"")</f>
        <v/>
      </c>
      <c r="N549" s="61" t="str">
        <f aca="false">IF(IsPro,IF($D549="","",IF(AND(V549&lt;&gt;"",INDEX(Parties!$E$5:$E$304,V549)&lt;&gt;"",INDEX(Parties!$E$5:$E$304,V549)&lt;&gt;HomeState),0,ROUND(L549*M549/2,2))),"")</f>
        <v/>
      </c>
      <c r="O549" s="61" t="str">
        <f aca="false">IF(IsPro,IF($D549="","",N549),"")</f>
        <v/>
      </c>
      <c r="P549" s="61" t="str">
        <f aca="false">IF(IsPro,IF($D549="","",IF(AND(V549&lt;&gt;"",INDEX(Parties!$E$5:$E$304,V549)&lt;&gt;"",INDEX(Parties!$E$5:$E$304,V549)&lt;&gt;HomeState),ROUND(L549*M549,2),0)),"")</f>
        <v/>
      </c>
      <c r="Q549" s="61" t="str">
        <f aca="false">IF(IsPro,IF($D549="","",L549+N549+O549+P549),"")</f>
        <v/>
      </c>
      <c r="R549" s="61" t="str">
        <f aca="false">IF(IsPro,IF($D549="","",ROUND(N($E549)*IFERROR(INDEX(Items!$P$5:$P$504,U549),0),2)),"")</f>
        <v/>
      </c>
      <c r="S549" s="61" t="str">
        <f aca="false">IF(IsPro,IF($D549="","",L549-R549),"")</f>
        <v/>
      </c>
      <c r="T549" s="60" t="str">
        <f aca="false">IF(IsPro,IF($D549="","",IF(U549="","UNKNOWN ITEM",IF(INDEX(Items!$O$5:$O$504,U549)&lt;0,"NEG STOCK",IF(K549&lt;INDEX(Items!$P$5:$P$504,U549),"BELOW COST","OK")))),IF($D549="","","PRO PLAN"))</f>
        <v/>
      </c>
      <c r="U549" s="60" t="str">
        <f aca="false">IF(IsPro,IF($D549="","",IFERROR(MATCH($D549,Items!$A$5:$A$504,0),"")),"")</f>
        <v/>
      </c>
      <c r="V549" s="60" t="str">
        <f aca="false">IF(IsPro,IF($C549="","",IFERROR(MATCH($C549,Parties!$A$5:$A$304,0),"")),"")</f>
        <v/>
      </c>
      <c r="W549" s="60" t="str">
        <f aca="false">IF(IsPro,IF($B549="","",IFERROR(VALUE(SUBSTITUTE($B549,InvPrefix,"")),0)),"")</f>
        <v/>
      </c>
      <c r="X549" s="61" t="str">
        <f aca="false">IF(IsPro,IF($D549="","",IF(OR($H549="",$H549="Credit"),0,Q549)),"")</f>
        <v/>
      </c>
    </row>
    <row r="550" customFormat="false" ht="15" hidden="false" customHeight="false" outlineLevel="0" collapsed="false">
      <c r="A550" s="55"/>
      <c r="B550" s="56"/>
      <c r="C550" s="56"/>
      <c r="D550" s="56"/>
      <c r="E550" s="57"/>
      <c r="F550" s="58"/>
      <c r="G550" s="59"/>
      <c r="H550" s="56"/>
      <c r="I550" s="56"/>
      <c r="J550" s="60" t="str">
        <f aca="false">IF(IsPro,IF($D550="","",IFERROR(INDEX(Items!$D$5:$D$504,U550),"")),"")</f>
        <v/>
      </c>
      <c r="K550" s="61" t="str">
        <f aca="false">IF(IsPro,IF($D550="","",IF($F550="",IFERROR(INDEX(Items!$H$5:$H$504,U550),0),$F550)),"")</f>
        <v/>
      </c>
      <c r="L550" s="61" t="str">
        <f aca="false">IF(IsPro,IF($D550="","",ROUND(N($E550)*K550*(1-N($G550)),2)),"")</f>
        <v/>
      </c>
      <c r="M550" s="62" t="str">
        <f aca="false">IF(IsPro,IF($D550="","",IFERROR(INDEX(Items!$F$5:$F$504,U550),0)),"")</f>
        <v/>
      </c>
      <c r="N550" s="61" t="str">
        <f aca="false">IF(IsPro,IF($D550="","",IF(AND(V550&lt;&gt;"",INDEX(Parties!$E$5:$E$304,V550)&lt;&gt;"",INDEX(Parties!$E$5:$E$304,V550)&lt;&gt;HomeState),0,ROUND(L550*M550/2,2))),"")</f>
        <v/>
      </c>
      <c r="O550" s="61" t="str">
        <f aca="false">IF(IsPro,IF($D550="","",N550),"")</f>
        <v/>
      </c>
      <c r="P550" s="61" t="str">
        <f aca="false">IF(IsPro,IF($D550="","",IF(AND(V550&lt;&gt;"",INDEX(Parties!$E$5:$E$304,V550)&lt;&gt;"",INDEX(Parties!$E$5:$E$304,V550)&lt;&gt;HomeState),ROUND(L550*M550,2),0)),"")</f>
        <v/>
      </c>
      <c r="Q550" s="61" t="str">
        <f aca="false">IF(IsPro,IF($D550="","",L550+N550+O550+P550),"")</f>
        <v/>
      </c>
      <c r="R550" s="61" t="str">
        <f aca="false">IF(IsPro,IF($D550="","",ROUND(N($E550)*IFERROR(INDEX(Items!$P$5:$P$504,U550),0),2)),"")</f>
        <v/>
      </c>
      <c r="S550" s="61" t="str">
        <f aca="false">IF(IsPro,IF($D550="","",L550-R550),"")</f>
        <v/>
      </c>
      <c r="T550" s="60" t="str">
        <f aca="false">IF(IsPro,IF($D550="","",IF(U550="","UNKNOWN ITEM",IF(INDEX(Items!$O$5:$O$504,U550)&lt;0,"NEG STOCK",IF(K550&lt;INDEX(Items!$P$5:$P$504,U550),"BELOW COST","OK")))),IF($D550="","","PRO PLAN"))</f>
        <v/>
      </c>
      <c r="U550" s="60" t="str">
        <f aca="false">IF(IsPro,IF($D550="","",IFERROR(MATCH($D550,Items!$A$5:$A$504,0),"")),"")</f>
        <v/>
      </c>
      <c r="V550" s="60" t="str">
        <f aca="false">IF(IsPro,IF($C550="","",IFERROR(MATCH($C550,Parties!$A$5:$A$304,0),"")),"")</f>
        <v/>
      </c>
      <c r="W550" s="60" t="str">
        <f aca="false">IF(IsPro,IF($B550="","",IFERROR(VALUE(SUBSTITUTE($B550,InvPrefix,"")),0)),"")</f>
        <v/>
      </c>
      <c r="X550" s="61" t="str">
        <f aca="false">IF(IsPro,IF($D550="","",IF(OR($H550="",$H550="Credit"),0,Q550)),"")</f>
        <v/>
      </c>
    </row>
    <row r="551" customFormat="false" ht="15" hidden="false" customHeight="false" outlineLevel="0" collapsed="false">
      <c r="A551" s="55"/>
      <c r="B551" s="56"/>
      <c r="C551" s="56"/>
      <c r="D551" s="56"/>
      <c r="E551" s="57"/>
      <c r="F551" s="58"/>
      <c r="G551" s="59"/>
      <c r="H551" s="56"/>
      <c r="I551" s="56"/>
      <c r="J551" s="60" t="str">
        <f aca="false">IF(IsPro,IF($D551="","",IFERROR(INDEX(Items!$D$5:$D$504,U551),"")),"")</f>
        <v/>
      </c>
      <c r="K551" s="61" t="str">
        <f aca="false">IF(IsPro,IF($D551="","",IF($F551="",IFERROR(INDEX(Items!$H$5:$H$504,U551),0),$F551)),"")</f>
        <v/>
      </c>
      <c r="L551" s="61" t="str">
        <f aca="false">IF(IsPro,IF($D551="","",ROUND(N($E551)*K551*(1-N($G551)),2)),"")</f>
        <v/>
      </c>
      <c r="M551" s="62" t="str">
        <f aca="false">IF(IsPro,IF($D551="","",IFERROR(INDEX(Items!$F$5:$F$504,U551),0)),"")</f>
        <v/>
      </c>
      <c r="N551" s="61" t="str">
        <f aca="false">IF(IsPro,IF($D551="","",IF(AND(V551&lt;&gt;"",INDEX(Parties!$E$5:$E$304,V551)&lt;&gt;"",INDEX(Parties!$E$5:$E$304,V551)&lt;&gt;HomeState),0,ROUND(L551*M551/2,2))),"")</f>
        <v/>
      </c>
      <c r="O551" s="61" t="str">
        <f aca="false">IF(IsPro,IF($D551="","",N551),"")</f>
        <v/>
      </c>
      <c r="P551" s="61" t="str">
        <f aca="false">IF(IsPro,IF($D551="","",IF(AND(V551&lt;&gt;"",INDEX(Parties!$E$5:$E$304,V551)&lt;&gt;"",INDEX(Parties!$E$5:$E$304,V551)&lt;&gt;HomeState),ROUND(L551*M551,2),0)),"")</f>
        <v/>
      </c>
      <c r="Q551" s="61" t="str">
        <f aca="false">IF(IsPro,IF($D551="","",L551+N551+O551+P551),"")</f>
        <v/>
      </c>
      <c r="R551" s="61" t="str">
        <f aca="false">IF(IsPro,IF($D551="","",ROUND(N($E551)*IFERROR(INDEX(Items!$P$5:$P$504,U551),0),2)),"")</f>
        <v/>
      </c>
      <c r="S551" s="61" t="str">
        <f aca="false">IF(IsPro,IF($D551="","",L551-R551),"")</f>
        <v/>
      </c>
      <c r="T551" s="60" t="str">
        <f aca="false">IF(IsPro,IF($D551="","",IF(U551="","UNKNOWN ITEM",IF(INDEX(Items!$O$5:$O$504,U551)&lt;0,"NEG STOCK",IF(K551&lt;INDEX(Items!$P$5:$P$504,U551),"BELOW COST","OK")))),IF($D551="","","PRO PLAN"))</f>
        <v/>
      </c>
      <c r="U551" s="60" t="str">
        <f aca="false">IF(IsPro,IF($D551="","",IFERROR(MATCH($D551,Items!$A$5:$A$504,0),"")),"")</f>
        <v/>
      </c>
      <c r="V551" s="60" t="str">
        <f aca="false">IF(IsPro,IF($C551="","",IFERROR(MATCH($C551,Parties!$A$5:$A$304,0),"")),"")</f>
        <v/>
      </c>
      <c r="W551" s="60" t="str">
        <f aca="false">IF(IsPro,IF($B551="","",IFERROR(VALUE(SUBSTITUTE($B551,InvPrefix,"")),0)),"")</f>
        <v/>
      </c>
      <c r="X551" s="61" t="str">
        <f aca="false">IF(IsPro,IF($D551="","",IF(OR($H551="",$H551="Credit"),0,Q551)),"")</f>
        <v/>
      </c>
    </row>
    <row r="552" customFormat="false" ht="15" hidden="false" customHeight="false" outlineLevel="0" collapsed="false">
      <c r="A552" s="55"/>
      <c r="B552" s="56"/>
      <c r="C552" s="56"/>
      <c r="D552" s="56"/>
      <c r="E552" s="57"/>
      <c r="F552" s="58"/>
      <c r="G552" s="59"/>
      <c r="H552" s="56"/>
      <c r="I552" s="56"/>
      <c r="J552" s="60" t="str">
        <f aca="false">IF(IsPro,IF($D552="","",IFERROR(INDEX(Items!$D$5:$D$504,U552),"")),"")</f>
        <v/>
      </c>
      <c r="K552" s="61" t="str">
        <f aca="false">IF(IsPro,IF($D552="","",IF($F552="",IFERROR(INDEX(Items!$H$5:$H$504,U552),0),$F552)),"")</f>
        <v/>
      </c>
      <c r="L552" s="61" t="str">
        <f aca="false">IF(IsPro,IF($D552="","",ROUND(N($E552)*K552*(1-N($G552)),2)),"")</f>
        <v/>
      </c>
      <c r="M552" s="62" t="str">
        <f aca="false">IF(IsPro,IF($D552="","",IFERROR(INDEX(Items!$F$5:$F$504,U552),0)),"")</f>
        <v/>
      </c>
      <c r="N552" s="61" t="str">
        <f aca="false">IF(IsPro,IF($D552="","",IF(AND(V552&lt;&gt;"",INDEX(Parties!$E$5:$E$304,V552)&lt;&gt;"",INDEX(Parties!$E$5:$E$304,V552)&lt;&gt;HomeState),0,ROUND(L552*M552/2,2))),"")</f>
        <v/>
      </c>
      <c r="O552" s="61" t="str">
        <f aca="false">IF(IsPro,IF($D552="","",N552),"")</f>
        <v/>
      </c>
      <c r="P552" s="61" t="str">
        <f aca="false">IF(IsPro,IF($D552="","",IF(AND(V552&lt;&gt;"",INDEX(Parties!$E$5:$E$304,V552)&lt;&gt;"",INDEX(Parties!$E$5:$E$304,V552)&lt;&gt;HomeState),ROUND(L552*M552,2),0)),"")</f>
        <v/>
      </c>
      <c r="Q552" s="61" t="str">
        <f aca="false">IF(IsPro,IF($D552="","",L552+N552+O552+P552),"")</f>
        <v/>
      </c>
      <c r="R552" s="61" t="str">
        <f aca="false">IF(IsPro,IF($D552="","",ROUND(N($E552)*IFERROR(INDEX(Items!$P$5:$P$504,U552),0),2)),"")</f>
        <v/>
      </c>
      <c r="S552" s="61" t="str">
        <f aca="false">IF(IsPro,IF($D552="","",L552-R552),"")</f>
        <v/>
      </c>
      <c r="T552" s="60" t="str">
        <f aca="false">IF(IsPro,IF($D552="","",IF(U552="","UNKNOWN ITEM",IF(INDEX(Items!$O$5:$O$504,U552)&lt;0,"NEG STOCK",IF(K552&lt;INDEX(Items!$P$5:$P$504,U552),"BELOW COST","OK")))),IF($D552="","","PRO PLAN"))</f>
        <v/>
      </c>
      <c r="U552" s="60" t="str">
        <f aca="false">IF(IsPro,IF($D552="","",IFERROR(MATCH($D552,Items!$A$5:$A$504,0),"")),"")</f>
        <v/>
      </c>
      <c r="V552" s="60" t="str">
        <f aca="false">IF(IsPro,IF($C552="","",IFERROR(MATCH($C552,Parties!$A$5:$A$304,0),"")),"")</f>
        <v/>
      </c>
      <c r="W552" s="60" t="str">
        <f aca="false">IF(IsPro,IF($B552="","",IFERROR(VALUE(SUBSTITUTE($B552,InvPrefix,"")),0)),"")</f>
        <v/>
      </c>
      <c r="X552" s="61" t="str">
        <f aca="false">IF(IsPro,IF($D552="","",IF(OR($H552="",$H552="Credit"),0,Q552)),"")</f>
        <v/>
      </c>
    </row>
    <row r="553" customFormat="false" ht="15" hidden="false" customHeight="false" outlineLevel="0" collapsed="false">
      <c r="A553" s="55"/>
      <c r="B553" s="56"/>
      <c r="C553" s="56"/>
      <c r="D553" s="56"/>
      <c r="E553" s="57"/>
      <c r="F553" s="58"/>
      <c r="G553" s="59"/>
      <c r="H553" s="56"/>
      <c r="I553" s="56"/>
      <c r="J553" s="60" t="str">
        <f aca="false">IF(IsPro,IF($D553="","",IFERROR(INDEX(Items!$D$5:$D$504,U553),"")),"")</f>
        <v/>
      </c>
      <c r="K553" s="61" t="str">
        <f aca="false">IF(IsPro,IF($D553="","",IF($F553="",IFERROR(INDEX(Items!$H$5:$H$504,U553),0),$F553)),"")</f>
        <v/>
      </c>
      <c r="L553" s="61" t="str">
        <f aca="false">IF(IsPro,IF($D553="","",ROUND(N($E553)*K553*(1-N($G553)),2)),"")</f>
        <v/>
      </c>
      <c r="M553" s="62" t="str">
        <f aca="false">IF(IsPro,IF($D553="","",IFERROR(INDEX(Items!$F$5:$F$504,U553),0)),"")</f>
        <v/>
      </c>
      <c r="N553" s="61" t="str">
        <f aca="false">IF(IsPro,IF($D553="","",IF(AND(V553&lt;&gt;"",INDEX(Parties!$E$5:$E$304,V553)&lt;&gt;"",INDEX(Parties!$E$5:$E$304,V553)&lt;&gt;HomeState),0,ROUND(L553*M553/2,2))),"")</f>
        <v/>
      </c>
      <c r="O553" s="61" t="str">
        <f aca="false">IF(IsPro,IF($D553="","",N553),"")</f>
        <v/>
      </c>
      <c r="P553" s="61" t="str">
        <f aca="false">IF(IsPro,IF($D553="","",IF(AND(V553&lt;&gt;"",INDEX(Parties!$E$5:$E$304,V553)&lt;&gt;"",INDEX(Parties!$E$5:$E$304,V553)&lt;&gt;HomeState),ROUND(L553*M553,2),0)),"")</f>
        <v/>
      </c>
      <c r="Q553" s="61" t="str">
        <f aca="false">IF(IsPro,IF($D553="","",L553+N553+O553+P553),"")</f>
        <v/>
      </c>
      <c r="R553" s="61" t="str">
        <f aca="false">IF(IsPro,IF($D553="","",ROUND(N($E553)*IFERROR(INDEX(Items!$P$5:$P$504,U553),0),2)),"")</f>
        <v/>
      </c>
      <c r="S553" s="61" t="str">
        <f aca="false">IF(IsPro,IF($D553="","",L553-R553),"")</f>
        <v/>
      </c>
      <c r="T553" s="60" t="str">
        <f aca="false">IF(IsPro,IF($D553="","",IF(U553="","UNKNOWN ITEM",IF(INDEX(Items!$O$5:$O$504,U553)&lt;0,"NEG STOCK",IF(K553&lt;INDEX(Items!$P$5:$P$504,U553),"BELOW COST","OK")))),IF($D553="","","PRO PLAN"))</f>
        <v/>
      </c>
      <c r="U553" s="60" t="str">
        <f aca="false">IF(IsPro,IF($D553="","",IFERROR(MATCH($D553,Items!$A$5:$A$504,0),"")),"")</f>
        <v/>
      </c>
      <c r="V553" s="60" t="str">
        <f aca="false">IF(IsPro,IF($C553="","",IFERROR(MATCH($C553,Parties!$A$5:$A$304,0),"")),"")</f>
        <v/>
      </c>
      <c r="W553" s="60" t="str">
        <f aca="false">IF(IsPro,IF($B553="","",IFERROR(VALUE(SUBSTITUTE($B553,InvPrefix,"")),0)),"")</f>
        <v/>
      </c>
      <c r="X553" s="61" t="str">
        <f aca="false">IF(IsPro,IF($D553="","",IF(OR($H553="",$H553="Credit"),0,Q553)),"")</f>
        <v/>
      </c>
    </row>
    <row r="554" customFormat="false" ht="15" hidden="false" customHeight="false" outlineLevel="0" collapsed="false">
      <c r="A554" s="55"/>
      <c r="B554" s="56"/>
      <c r="C554" s="56"/>
      <c r="D554" s="56"/>
      <c r="E554" s="57"/>
      <c r="F554" s="58"/>
      <c r="G554" s="59"/>
      <c r="H554" s="56"/>
      <c r="I554" s="56"/>
      <c r="J554" s="60" t="str">
        <f aca="false">IF(IsPro,IF($D554="","",IFERROR(INDEX(Items!$D$5:$D$504,U554),"")),"")</f>
        <v/>
      </c>
      <c r="K554" s="61" t="str">
        <f aca="false">IF(IsPro,IF($D554="","",IF($F554="",IFERROR(INDEX(Items!$H$5:$H$504,U554),0),$F554)),"")</f>
        <v/>
      </c>
      <c r="L554" s="61" t="str">
        <f aca="false">IF(IsPro,IF($D554="","",ROUND(N($E554)*K554*(1-N($G554)),2)),"")</f>
        <v/>
      </c>
      <c r="M554" s="62" t="str">
        <f aca="false">IF(IsPro,IF($D554="","",IFERROR(INDEX(Items!$F$5:$F$504,U554),0)),"")</f>
        <v/>
      </c>
      <c r="N554" s="61" t="str">
        <f aca="false">IF(IsPro,IF($D554="","",IF(AND(V554&lt;&gt;"",INDEX(Parties!$E$5:$E$304,V554)&lt;&gt;"",INDEX(Parties!$E$5:$E$304,V554)&lt;&gt;HomeState),0,ROUND(L554*M554/2,2))),"")</f>
        <v/>
      </c>
      <c r="O554" s="61" t="str">
        <f aca="false">IF(IsPro,IF($D554="","",N554),"")</f>
        <v/>
      </c>
      <c r="P554" s="61" t="str">
        <f aca="false">IF(IsPro,IF($D554="","",IF(AND(V554&lt;&gt;"",INDEX(Parties!$E$5:$E$304,V554)&lt;&gt;"",INDEX(Parties!$E$5:$E$304,V554)&lt;&gt;HomeState),ROUND(L554*M554,2),0)),"")</f>
        <v/>
      </c>
      <c r="Q554" s="61" t="str">
        <f aca="false">IF(IsPro,IF($D554="","",L554+N554+O554+P554),"")</f>
        <v/>
      </c>
      <c r="R554" s="61" t="str">
        <f aca="false">IF(IsPro,IF($D554="","",ROUND(N($E554)*IFERROR(INDEX(Items!$P$5:$P$504,U554),0),2)),"")</f>
        <v/>
      </c>
      <c r="S554" s="61" t="str">
        <f aca="false">IF(IsPro,IF($D554="","",L554-R554),"")</f>
        <v/>
      </c>
      <c r="T554" s="60" t="str">
        <f aca="false">IF(IsPro,IF($D554="","",IF(U554="","UNKNOWN ITEM",IF(INDEX(Items!$O$5:$O$504,U554)&lt;0,"NEG STOCK",IF(K554&lt;INDEX(Items!$P$5:$P$504,U554),"BELOW COST","OK")))),IF($D554="","","PRO PLAN"))</f>
        <v/>
      </c>
      <c r="U554" s="60" t="str">
        <f aca="false">IF(IsPro,IF($D554="","",IFERROR(MATCH($D554,Items!$A$5:$A$504,0),"")),"")</f>
        <v/>
      </c>
      <c r="V554" s="60" t="str">
        <f aca="false">IF(IsPro,IF($C554="","",IFERROR(MATCH($C554,Parties!$A$5:$A$304,0),"")),"")</f>
        <v/>
      </c>
      <c r="W554" s="60" t="str">
        <f aca="false">IF(IsPro,IF($B554="","",IFERROR(VALUE(SUBSTITUTE($B554,InvPrefix,"")),0)),"")</f>
        <v/>
      </c>
      <c r="X554" s="61" t="str">
        <f aca="false">IF(IsPro,IF($D554="","",IF(OR($H554="",$H554="Credit"),0,Q554)),"")</f>
        <v/>
      </c>
    </row>
    <row r="555" customFormat="false" ht="15" hidden="false" customHeight="false" outlineLevel="0" collapsed="false">
      <c r="A555" s="55"/>
      <c r="B555" s="56"/>
      <c r="C555" s="56"/>
      <c r="D555" s="56"/>
      <c r="E555" s="57"/>
      <c r="F555" s="58"/>
      <c r="G555" s="59"/>
      <c r="H555" s="56"/>
      <c r="I555" s="56"/>
      <c r="J555" s="60" t="str">
        <f aca="false">IF(IsPro,IF($D555="","",IFERROR(INDEX(Items!$D$5:$D$504,U555),"")),"")</f>
        <v/>
      </c>
      <c r="K555" s="61" t="str">
        <f aca="false">IF(IsPro,IF($D555="","",IF($F555="",IFERROR(INDEX(Items!$H$5:$H$504,U555),0),$F555)),"")</f>
        <v/>
      </c>
      <c r="L555" s="61" t="str">
        <f aca="false">IF(IsPro,IF($D555="","",ROUND(N($E555)*K555*(1-N($G555)),2)),"")</f>
        <v/>
      </c>
      <c r="M555" s="62" t="str">
        <f aca="false">IF(IsPro,IF($D555="","",IFERROR(INDEX(Items!$F$5:$F$504,U555),0)),"")</f>
        <v/>
      </c>
      <c r="N555" s="61" t="str">
        <f aca="false">IF(IsPro,IF($D555="","",IF(AND(V555&lt;&gt;"",INDEX(Parties!$E$5:$E$304,V555)&lt;&gt;"",INDEX(Parties!$E$5:$E$304,V555)&lt;&gt;HomeState),0,ROUND(L555*M555/2,2))),"")</f>
        <v/>
      </c>
      <c r="O555" s="61" t="str">
        <f aca="false">IF(IsPro,IF($D555="","",N555),"")</f>
        <v/>
      </c>
      <c r="P555" s="61" t="str">
        <f aca="false">IF(IsPro,IF($D555="","",IF(AND(V555&lt;&gt;"",INDEX(Parties!$E$5:$E$304,V555)&lt;&gt;"",INDEX(Parties!$E$5:$E$304,V555)&lt;&gt;HomeState),ROUND(L555*M555,2),0)),"")</f>
        <v/>
      </c>
      <c r="Q555" s="61" t="str">
        <f aca="false">IF(IsPro,IF($D555="","",L555+N555+O555+P555),"")</f>
        <v/>
      </c>
      <c r="R555" s="61" t="str">
        <f aca="false">IF(IsPro,IF($D555="","",ROUND(N($E555)*IFERROR(INDEX(Items!$P$5:$P$504,U555),0),2)),"")</f>
        <v/>
      </c>
      <c r="S555" s="61" t="str">
        <f aca="false">IF(IsPro,IF($D555="","",L555-R555),"")</f>
        <v/>
      </c>
      <c r="T555" s="60" t="str">
        <f aca="false">IF(IsPro,IF($D555="","",IF(U555="","UNKNOWN ITEM",IF(INDEX(Items!$O$5:$O$504,U555)&lt;0,"NEG STOCK",IF(K555&lt;INDEX(Items!$P$5:$P$504,U555),"BELOW COST","OK")))),IF($D555="","","PRO PLAN"))</f>
        <v/>
      </c>
      <c r="U555" s="60" t="str">
        <f aca="false">IF(IsPro,IF($D555="","",IFERROR(MATCH($D555,Items!$A$5:$A$504,0),"")),"")</f>
        <v/>
      </c>
      <c r="V555" s="60" t="str">
        <f aca="false">IF(IsPro,IF($C555="","",IFERROR(MATCH($C555,Parties!$A$5:$A$304,0),"")),"")</f>
        <v/>
      </c>
      <c r="W555" s="60" t="str">
        <f aca="false">IF(IsPro,IF($B555="","",IFERROR(VALUE(SUBSTITUTE($B555,InvPrefix,"")),0)),"")</f>
        <v/>
      </c>
      <c r="X555" s="61" t="str">
        <f aca="false">IF(IsPro,IF($D555="","",IF(OR($H555="",$H555="Credit"),0,Q555)),"")</f>
        <v/>
      </c>
    </row>
    <row r="556" customFormat="false" ht="15" hidden="false" customHeight="false" outlineLevel="0" collapsed="false">
      <c r="A556" s="55"/>
      <c r="B556" s="56"/>
      <c r="C556" s="56"/>
      <c r="D556" s="56"/>
      <c r="E556" s="57"/>
      <c r="F556" s="58"/>
      <c r="G556" s="59"/>
      <c r="H556" s="56"/>
      <c r="I556" s="56"/>
      <c r="J556" s="60" t="str">
        <f aca="false">IF(IsPro,IF($D556="","",IFERROR(INDEX(Items!$D$5:$D$504,U556),"")),"")</f>
        <v/>
      </c>
      <c r="K556" s="61" t="str">
        <f aca="false">IF(IsPro,IF($D556="","",IF($F556="",IFERROR(INDEX(Items!$H$5:$H$504,U556),0),$F556)),"")</f>
        <v/>
      </c>
      <c r="L556" s="61" t="str">
        <f aca="false">IF(IsPro,IF($D556="","",ROUND(N($E556)*K556*(1-N($G556)),2)),"")</f>
        <v/>
      </c>
      <c r="M556" s="62" t="str">
        <f aca="false">IF(IsPro,IF($D556="","",IFERROR(INDEX(Items!$F$5:$F$504,U556),0)),"")</f>
        <v/>
      </c>
      <c r="N556" s="61" t="str">
        <f aca="false">IF(IsPro,IF($D556="","",IF(AND(V556&lt;&gt;"",INDEX(Parties!$E$5:$E$304,V556)&lt;&gt;"",INDEX(Parties!$E$5:$E$304,V556)&lt;&gt;HomeState),0,ROUND(L556*M556/2,2))),"")</f>
        <v/>
      </c>
      <c r="O556" s="61" t="str">
        <f aca="false">IF(IsPro,IF($D556="","",N556),"")</f>
        <v/>
      </c>
      <c r="P556" s="61" t="str">
        <f aca="false">IF(IsPro,IF($D556="","",IF(AND(V556&lt;&gt;"",INDEX(Parties!$E$5:$E$304,V556)&lt;&gt;"",INDEX(Parties!$E$5:$E$304,V556)&lt;&gt;HomeState),ROUND(L556*M556,2),0)),"")</f>
        <v/>
      </c>
      <c r="Q556" s="61" t="str">
        <f aca="false">IF(IsPro,IF($D556="","",L556+N556+O556+P556),"")</f>
        <v/>
      </c>
      <c r="R556" s="61" t="str">
        <f aca="false">IF(IsPro,IF($D556="","",ROUND(N($E556)*IFERROR(INDEX(Items!$P$5:$P$504,U556),0),2)),"")</f>
        <v/>
      </c>
      <c r="S556" s="61" t="str">
        <f aca="false">IF(IsPro,IF($D556="","",L556-R556),"")</f>
        <v/>
      </c>
      <c r="T556" s="60" t="str">
        <f aca="false">IF(IsPro,IF($D556="","",IF(U556="","UNKNOWN ITEM",IF(INDEX(Items!$O$5:$O$504,U556)&lt;0,"NEG STOCK",IF(K556&lt;INDEX(Items!$P$5:$P$504,U556),"BELOW COST","OK")))),IF($D556="","","PRO PLAN"))</f>
        <v/>
      </c>
      <c r="U556" s="60" t="str">
        <f aca="false">IF(IsPro,IF($D556="","",IFERROR(MATCH($D556,Items!$A$5:$A$504,0),"")),"")</f>
        <v/>
      </c>
      <c r="V556" s="60" t="str">
        <f aca="false">IF(IsPro,IF($C556="","",IFERROR(MATCH($C556,Parties!$A$5:$A$304,0),"")),"")</f>
        <v/>
      </c>
      <c r="W556" s="60" t="str">
        <f aca="false">IF(IsPro,IF($B556="","",IFERROR(VALUE(SUBSTITUTE($B556,InvPrefix,"")),0)),"")</f>
        <v/>
      </c>
      <c r="X556" s="61" t="str">
        <f aca="false">IF(IsPro,IF($D556="","",IF(OR($H556="",$H556="Credit"),0,Q556)),"")</f>
        <v/>
      </c>
    </row>
    <row r="557" customFormat="false" ht="15" hidden="false" customHeight="false" outlineLevel="0" collapsed="false">
      <c r="A557" s="55"/>
      <c r="B557" s="56"/>
      <c r="C557" s="56"/>
      <c r="D557" s="56"/>
      <c r="E557" s="57"/>
      <c r="F557" s="58"/>
      <c r="G557" s="59"/>
      <c r="H557" s="56"/>
      <c r="I557" s="56"/>
      <c r="J557" s="60" t="str">
        <f aca="false">IF(IsPro,IF($D557="","",IFERROR(INDEX(Items!$D$5:$D$504,U557),"")),"")</f>
        <v/>
      </c>
      <c r="K557" s="61" t="str">
        <f aca="false">IF(IsPro,IF($D557="","",IF($F557="",IFERROR(INDEX(Items!$H$5:$H$504,U557),0),$F557)),"")</f>
        <v/>
      </c>
      <c r="L557" s="61" t="str">
        <f aca="false">IF(IsPro,IF($D557="","",ROUND(N($E557)*K557*(1-N($G557)),2)),"")</f>
        <v/>
      </c>
      <c r="M557" s="62" t="str">
        <f aca="false">IF(IsPro,IF($D557="","",IFERROR(INDEX(Items!$F$5:$F$504,U557),0)),"")</f>
        <v/>
      </c>
      <c r="N557" s="61" t="str">
        <f aca="false">IF(IsPro,IF($D557="","",IF(AND(V557&lt;&gt;"",INDEX(Parties!$E$5:$E$304,V557)&lt;&gt;"",INDEX(Parties!$E$5:$E$304,V557)&lt;&gt;HomeState),0,ROUND(L557*M557/2,2))),"")</f>
        <v/>
      </c>
      <c r="O557" s="61" t="str">
        <f aca="false">IF(IsPro,IF($D557="","",N557),"")</f>
        <v/>
      </c>
      <c r="P557" s="61" t="str">
        <f aca="false">IF(IsPro,IF($D557="","",IF(AND(V557&lt;&gt;"",INDEX(Parties!$E$5:$E$304,V557)&lt;&gt;"",INDEX(Parties!$E$5:$E$304,V557)&lt;&gt;HomeState),ROUND(L557*M557,2),0)),"")</f>
        <v/>
      </c>
      <c r="Q557" s="61" t="str">
        <f aca="false">IF(IsPro,IF($D557="","",L557+N557+O557+P557),"")</f>
        <v/>
      </c>
      <c r="R557" s="61" t="str">
        <f aca="false">IF(IsPro,IF($D557="","",ROUND(N($E557)*IFERROR(INDEX(Items!$P$5:$P$504,U557),0),2)),"")</f>
        <v/>
      </c>
      <c r="S557" s="61" t="str">
        <f aca="false">IF(IsPro,IF($D557="","",L557-R557),"")</f>
        <v/>
      </c>
      <c r="T557" s="60" t="str">
        <f aca="false">IF(IsPro,IF($D557="","",IF(U557="","UNKNOWN ITEM",IF(INDEX(Items!$O$5:$O$504,U557)&lt;0,"NEG STOCK",IF(K557&lt;INDEX(Items!$P$5:$P$504,U557),"BELOW COST","OK")))),IF($D557="","","PRO PLAN"))</f>
        <v/>
      </c>
      <c r="U557" s="60" t="str">
        <f aca="false">IF(IsPro,IF($D557="","",IFERROR(MATCH($D557,Items!$A$5:$A$504,0),"")),"")</f>
        <v/>
      </c>
      <c r="V557" s="60" t="str">
        <f aca="false">IF(IsPro,IF($C557="","",IFERROR(MATCH($C557,Parties!$A$5:$A$304,0),"")),"")</f>
        <v/>
      </c>
      <c r="W557" s="60" t="str">
        <f aca="false">IF(IsPro,IF($B557="","",IFERROR(VALUE(SUBSTITUTE($B557,InvPrefix,"")),0)),"")</f>
        <v/>
      </c>
      <c r="X557" s="61" t="str">
        <f aca="false">IF(IsPro,IF($D557="","",IF(OR($H557="",$H557="Credit"),0,Q557)),"")</f>
        <v/>
      </c>
    </row>
    <row r="558" customFormat="false" ht="15" hidden="false" customHeight="false" outlineLevel="0" collapsed="false">
      <c r="A558" s="55"/>
      <c r="B558" s="56"/>
      <c r="C558" s="56"/>
      <c r="D558" s="56"/>
      <c r="E558" s="57"/>
      <c r="F558" s="58"/>
      <c r="G558" s="59"/>
      <c r="H558" s="56"/>
      <c r="I558" s="56"/>
      <c r="J558" s="60" t="str">
        <f aca="false">IF(IsPro,IF($D558="","",IFERROR(INDEX(Items!$D$5:$D$504,U558),"")),"")</f>
        <v/>
      </c>
      <c r="K558" s="61" t="str">
        <f aca="false">IF(IsPro,IF($D558="","",IF($F558="",IFERROR(INDEX(Items!$H$5:$H$504,U558),0),$F558)),"")</f>
        <v/>
      </c>
      <c r="L558" s="61" t="str">
        <f aca="false">IF(IsPro,IF($D558="","",ROUND(N($E558)*K558*(1-N($G558)),2)),"")</f>
        <v/>
      </c>
      <c r="M558" s="62" t="str">
        <f aca="false">IF(IsPro,IF($D558="","",IFERROR(INDEX(Items!$F$5:$F$504,U558),0)),"")</f>
        <v/>
      </c>
      <c r="N558" s="61" t="str">
        <f aca="false">IF(IsPro,IF($D558="","",IF(AND(V558&lt;&gt;"",INDEX(Parties!$E$5:$E$304,V558)&lt;&gt;"",INDEX(Parties!$E$5:$E$304,V558)&lt;&gt;HomeState),0,ROUND(L558*M558/2,2))),"")</f>
        <v/>
      </c>
      <c r="O558" s="61" t="str">
        <f aca="false">IF(IsPro,IF($D558="","",N558),"")</f>
        <v/>
      </c>
      <c r="P558" s="61" t="str">
        <f aca="false">IF(IsPro,IF($D558="","",IF(AND(V558&lt;&gt;"",INDEX(Parties!$E$5:$E$304,V558)&lt;&gt;"",INDEX(Parties!$E$5:$E$304,V558)&lt;&gt;HomeState),ROUND(L558*M558,2),0)),"")</f>
        <v/>
      </c>
      <c r="Q558" s="61" t="str">
        <f aca="false">IF(IsPro,IF($D558="","",L558+N558+O558+P558),"")</f>
        <v/>
      </c>
      <c r="R558" s="61" t="str">
        <f aca="false">IF(IsPro,IF($D558="","",ROUND(N($E558)*IFERROR(INDEX(Items!$P$5:$P$504,U558),0),2)),"")</f>
        <v/>
      </c>
      <c r="S558" s="61" t="str">
        <f aca="false">IF(IsPro,IF($D558="","",L558-R558),"")</f>
        <v/>
      </c>
      <c r="T558" s="60" t="str">
        <f aca="false">IF(IsPro,IF($D558="","",IF(U558="","UNKNOWN ITEM",IF(INDEX(Items!$O$5:$O$504,U558)&lt;0,"NEG STOCK",IF(K558&lt;INDEX(Items!$P$5:$P$504,U558),"BELOW COST","OK")))),IF($D558="","","PRO PLAN"))</f>
        <v/>
      </c>
      <c r="U558" s="60" t="str">
        <f aca="false">IF(IsPro,IF($D558="","",IFERROR(MATCH($D558,Items!$A$5:$A$504,0),"")),"")</f>
        <v/>
      </c>
      <c r="V558" s="60" t="str">
        <f aca="false">IF(IsPro,IF($C558="","",IFERROR(MATCH($C558,Parties!$A$5:$A$304,0),"")),"")</f>
        <v/>
      </c>
      <c r="W558" s="60" t="str">
        <f aca="false">IF(IsPro,IF($B558="","",IFERROR(VALUE(SUBSTITUTE($B558,InvPrefix,"")),0)),"")</f>
        <v/>
      </c>
      <c r="X558" s="61" t="str">
        <f aca="false">IF(IsPro,IF($D558="","",IF(OR($H558="",$H558="Credit"),0,Q558)),"")</f>
        <v/>
      </c>
    </row>
    <row r="559" customFormat="false" ht="15" hidden="false" customHeight="false" outlineLevel="0" collapsed="false">
      <c r="A559" s="55"/>
      <c r="B559" s="56"/>
      <c r="C559" s="56"/>
      <c r="D559" s="56"/>
      <c r="E559" s="57"/>
      <c r="F559" s="58"/>
      <c r="G559" s="59"/>
      <c r="H559" s="56"/>
      <c r="I559" s="56"/>
      <c r="J559" s="60" t="str">
        <f aca="false">IF(IsPro,IF($D559="","",IFERROR(INDEX(Items!$D$5:$D$504,U559),"")),"")</f>
        <v/>
      </c>
      <c r="K559" s="61" t="str">
        <f aca="false">IF(IsPro,IF($D559="","",IF($F559="",IFERROR(INDEX(Items!$H$5:$H$504,U559),0),$F559)),"")</f>
        <v/>
      </c>
      <c r="L559" s="61" t="str">
        <f aca="false">IF(IsPro,IF($D559="","",ROUND(N($E559)*K559*(1-N($G559)),2)),"")</f>
        <v/>
      </c>
      <c r="M559" s="62" t="str">
        <f aca="false">IF(IsPro,IF($D559="","",IFERROR(INDEX(Items!$F$5:$F$504,U559),0)),"")</f>
        <v/>
      </c>
      <c r="N559" s="61" t="str">
        <f aca="false">IF(IsPro,IF($D559="","",IF(AND(V559&lt;&gt;"",INDEX(Parties!$E$5:$E$304,V559)&lt;&gt;"",INDEX(Parties!$E$5:$E$304,V559)&lt;&gt;HomeState),0,ROUND(L559*M559/2,2))),"")</f>
        <v/>
      </c>
      <c r="O559" s="61" t="str">
        <f aca="false">IF(IsPro,IF($D559="","",N559),"")</f>
        <v/>
      </c>
      <c r="P559" s="61" t="str">
        <f aca="false">IF(IsPro,IF($D559="","",IF(AND(V559&lt;&gt;"",INDEX(Parties!$E$5:$E$304,V559)&lt;&gt;"",INDEX(Parties!$E$5:$E$304,V559)&lt;&gt;HomeState),ROUND(L559*M559,2),0)),"")</f>
        <v/>
      </c>
      <c r="Q559" s="61" t="str">
        <f aca="false">IF(IsPro,IF($D559="","",L559+N559+O559+P559),"")</f>
        <v/>
      </c>
      <c r="R559" s="61" t="str">
        <f aca="false">IF(IsPro,IF($D559="","",ROUND(N($E559)*IFERROR(INDEX(Items!$P$5:$P$504,U559),0),2)),"")</f>
        <v/>
      </c>
      <c r="S559" s="61" t="str">
        <f aca="false">IF(IsPro,IF($D559="","",L559-R559),"")</f>
        <v/>
      </c>
      <c r="T559" s="60" t="str">
        <f aca="false">IF(IsPro,IF($D559="","",IF(U559="","UNKNOWN ITEM",IF(INDEX(Items!$O$5:$O$504,U559)&lt;0,"NEG STOCK",IF(K559&lt;INDEX(Items!$P$5:$P$504,U559),"BELOW COST","OK")))),IF($D559="","","PRO PLAN"))</f>
        <v/>
      </c>
      <c r="U559" s="60" t="str">
        <f aca="false">IF(IsPro,IF($D559="","",IFERROR(MATCH($D559,Items!$A$5:$A$504,0),"")),"")</f>
        <v/>
      </c>
      <c r="V559" s="60" t="str">
        <f aca="false">IF(IsPro,IF($C559="","",IFERROR(MATCH($C559,Parties!$A$5:$A$304,0),"")),"")</f>
        <v/>
      </c>
      <c r="W559" s="60" t="str">
        <f aca="false">IF(IsPro,IF($B559="","",IFERROR(VALUE(SUBSTITUTE($B559,InvPrefix,"")),0)),"")</f>
        <v/>
      </c>
      <c r="X559" s="61" t="str">
        <f aca="false">IF(IsPro,IF($D559="","",IF(OR($H559="",$H559="Credit"),0,Q559)),"")</f>
        <v/>
      </c>
    </row>
    <row r="560" customFormat="false" ht="15" hidden="false" customHeight="false" outlineLevel="0" collapsed="false">
      <c r="A560" s="55"/>
      <c r="B560" s="56"/>
      <c r="C560" s="56"/>
      <c r="D560" s="56"/>
      <c r="E560" s="57"/>
      <c r="F560" s="58"/>
      <c r="G560" s="59"/>
      <c r="H560" s="56"/>
      <c r="I560" s="56"/>
      <c r="J560" s="60" t="str">
        <f aca="false">IF(IsPro,IF($D560="","",IFERROR(INDEX(Items!$D$5:$D$504,U560),"")),"")</f>
        <v/>
      </c>
      <c r="K560" s="61" t="str">
        <f aca="false">IF(IsPro,IF($D560="","",IF($F560="",IFERROR(INDEX(Items!$H$5:$H$504,U560),0),$F560)),"")</f>
        <v/>
      </c>
      <c r="L560" s="61" t="str">
        <f aca="false">IF(IsPro,IF($D560="","",ROUND(N($E560)*K560*(1-N($G560)),2)),"")</f>
        <v/>
      </c>
      <c r="M560" s="62" t="str">
        <f aca="false">IF(IsPro,IF($D560="","",IFERROR(INDEX(Items!$F$5:$F$504,U560),0)),"")</f>
        <v/>
      </c>
      <c r="N560" s="61" t="str">
        <f aca="false">IF(IsPro,IF($D560="","",IF(AND(V560&lt;&gt;"",INDEX(Parties!$E$5:$E$304,V560)&lt;&gt;"",INDEX(Parties!$E$5:$E$304,V560)&lt;&gt;HomeState),0,ROUND(L560*M560/2,2))),"")</f>
        <v/>
      </c>
      <c r="O560" s="61" t="str">
        <f aca="false">IF(IsPro,IF($D560="","",N560),"")</f>
        <v/>
      </c>
      <c r="P560" s="61" t="str">
        <f aca="false">IF(IsPro,IF($D560="","",IF(AND(V560&lt;&gt;"",INDEX(Parties!$E$5:$E$304,V560)&lt;&gt;"",INDEX(Parties!$E$5:$E$304,V560)&lt;&gt;HomeState),ROUND(L560*M560,2),0)),"")</f>
        <v/>
      </c>
      <c r="Q560" s="61" t="str">
        <f aca="false">IF(IsPro,IF($D560="","",L560+N560+O560+P560),"")</f>
        <v/>
      </c>
      <c r="R560" s="61" t="str">
        <f aca="false">IF(IsPro,IF($D560="","",ROUND(N($E560)*IFERROR(INDEX(Items!$P$5:$P$504,U560),0),2)),"")</f>
        <v/>
      </c>
      <c r="S560" s="61" t="str">
        <f aca="false">IF(IsPro,IF($D560="","",L560-R560),"")</f>
        <v/>
      </c>
      <c r="T560" s="60" t="str">
        <f aca="false">IF(IsPro,IF($D560="","",IF(U560="","UNKNOWN ITEM",IF(INDEX(Items!$O$5:$O$504,U560)&lt;0,"NEG STOCK",IF(K560&lt;INDEX(Items!$P$5:$P$504,U560),"BELOW COST","OK")))),IF($D560="","","PRO PLAN"))</f>
        <v/>
      </c>
      <c r="U560" s="60" t="str">
        <f aca="false">IF(IsPro,IF($D560="","",IFERROR(MATCH($D560,Items!$A$5:$A$504,0),"")),"")</f>
        <v/>
      </c>
      <c r="V560" s="60" t="str">
        <f aca="false">IF(IsPro,IF($C560="","",IFERROR(MATCH($C560,Parties!$A$5:$A$304,0),"")),"")</f>
        <v/>
      </c>
      <c r="W560" s="60" t="str">
        <f aca="false">IF(IsPro,IF($B560="","",IFERROR(VALUE(SUBSTITUTE($B560,InvPrefix,"")),0)),"")</f>
        <v/>
      </c>
      <c r="X560" s="61" t="str">
        <f aca="false">IF(IsPro,IF($D560="","",IF(OR($H560="",$H560="Credit"),0,Q560)),"")</f>
        <v/>
      </c>
    </row>
    <row r="561" customFormat="false" ht="15" hidden="false" customHeight="false" outlineLevel="0" collapsed="false">
      <c r="A561" s="55"/>
      <c r="B561" s="56"/>
      <c r="C561" s="56"/>
      <c r="D561" s="56"/>
      <c r="E561" s="57"/>
      <c r="F561" s="58"/>
      <c r="G561" s="59"/>
      <c r="H561" s="56"/>
      <c r="I561" s="56"/>
      <c r="J561" s="60" t="str">
        <f aca="false">IF(IsPro,IF($D561="","",IFERROR(INDEX(Items!$D$5:$D$504,U561),"")),"")</f>
        <v/>
      </c>
      <c r="K561" s="61" t="str">
        <f aca="false">IF(IsPro,IF($D561="","",IF($F561="",IFERROR(INDEX(Items!$H$5:$H$504,U561),0),$F561)),"")</f>
        <v/>
      </c>
      <c r="L561" s="61" t="str">
        <f aca="false">IF(IsPro,IF($D561="","",ROUND(N($E561)*K561*(1-N($G561)),2)),"")</f>
        <v/>
      </c>
      <c r="M561" s="62" t="str">
        <f aca="false">IF(IsPro,IF($D561="","",IFERROR(INDEX(Items!$F$5:$F$504,U561),0)),"")</f>
        <v/>
      </c>
      <c r="N561" s="61" t="str">
        <f aca="false">IF(IsPro,IF($D561="","",IF(AND(V561&lt;&gt;"",INDEX(Parties!$E$5:$E$304,V561)&lt;&gt;"",INDEX(Parties!$E$5:$E$304,V561)&lt;&gt;HomeState),0,ROUND(L561*M561/2,2))),"")</f>
        <v/>
      </c>
      <c r="O561" s="61" t="str">
        <f aca="false">IF(IsPro,IF($D561="","",N561),"")</f>
        <v/>
      </c>
      <c r="P561" s="61" t="str">
        <f aca="false">IF(IsPro,IF($D561="","",IF(AND(V561&lt;&gt;"",INDEX(Parties!$E$5:$E$304,V561)&lt;&gt;"",INDEX(Parties!$E$5:$E$304,V561)&lt;&gt;HomeState),ROUND(L561*M561,2),0)),"")</f>
        <v/>
      </c>
      <c r="Q561" s="61" t="str">
        <f aca="false">IF(IsPro,IF($D561="","",L561+N561+O561+P561),"")</f>
        <v/>
      </c>
      <c r="R561" s="61" t="str">
        <f aca="false">IF(IsPro,IF($D561="","",ROUND(N($E561)*IFERROR(INDEX(Items!$P$5:$P$504,U561),0),2)),"")</f>
        <v/>
      </c>
      <c r="S561" s="61" t="str">
        <f aca="false">IF(IsPro,IF($D561="","",L561-R561),"")</f>
        <v/>
      </c>
      <c r="T561" s="60" t="str">
        <f aca="false">IF(IsPro,IF($D561="","",IF(U561="","UNKNOWN ITEM",IF(INDEX(Items!$O$5:$O$504,U561)&lt;0,"NEG STOCK",IF(K561&lt;INDEX(Items!$P$5:$P$504,U561),"BELOW COST","OK")))),IF($D561="","","PRO PLAN"))</f>
        <v/>
      </c>
      <c r="U561" s="60" t="str">
        <f aca="false">IF(IsPro,IF($D561="","",IFERROR(MATCH($D561,Items!$A$5:$A$504,0),"")),"")</f>
        <v/>
      </c>
      <c r="V561" s="60" t="str">
        <f aca="false">IF(IsPro,IF($C561="","",IFERROR(MATCH($C561,Parties!$A$5:$A$304,0),"")),"")</f>
        <v/>
      </c>
      <c r="W561" s="60" t="str">
        <f aca="false">IF(IsPro,IF($B561="","",IFERROR(VALUE(SUBSTITUTE($B561,InvPrefix,"")),0)),"")</f>
        <v/>
      </c>
      <c r="X561" s="61" t="str">
        <f aca="false">IF(IsPro,IF($D561="","",IF(OR($H561="",$H561="Credit"),0,Q561)),"")</f>
        <v/>
      </c>
    </row>
    <row r="562" customFormat="false" ht="15" hidden="false" customHeight="false" outlineLevel="0" collapsed="false">
      <c r="A562" s="55"/>
      <c r="B562" s="56"/>
      <c r="C562" s="56"/>
      <c r="D562" s="56"/>
      <c r="E562" s="57"/>
      <c r="F562" s="58"/>
      <c r="G562" s="59"/>
      <c r="H562" s="56"/>
      <c r="I562" s="56"/>
      <c r="J562" s="60" t="str">
        <f aca="false">IF(IsPro,IF($D562="","",IFERROR(INDEX(Items!$D$5:$D$504,U562),"")),"")</f>
        <v/>
      </c>
      <c r="K562" s="61" t="str">
        <f aca="false">IF(IsPro,IF($D562="","",IF($F562="",IFERROR(INDEX(Items!$H$5:$H$504,U562),0),$F562)),"")</f>
        <v/>
      </c>
      <c r="L562" s="61" t="str">
        <f aca="false">IF(IsPro,IF($D562="","",ROUND(N($E562)*K562*(1-N($G562)),2)),"")</f>
        <v/>
      </c>
      <c r="M562" s="62" t="str">
        <f aca="false">IF(IsPro,IF($D562="","",IFERROR(INDEX(Items!$F$5:$F$504,U562),0)),"")</f>
        <v/>
      </c>
      <c r="N562" s="61" t="str">
        <f aca="false">IF(IsPro,IF($D562="","",IF(AND(V562&lt;&gt;"",INDEX(Parties!$E$5:$E$304,V562)&lt;&gt;"",INDEX(Parties!$E$5:$E$304,V562)&lt;&gt;HomeState),0,ROUND(L562*M562/2,2))),"")</f>
        <v/>
      </c>
      <c r="O562" s="61" t="str">
        <f aca="false">IF(IsPro,IF($D562="","",N562),"")</f>
        <v/>
      </c>
      <c r="P562" s="61" t="str">
        <f aca="false">IF(IsPro,IF($D562="","",IF(AND(V562&lt;&gt;"",INDEX(Parties!$E$5:$E$304,V562)&lt;&gt;"",INDEX(Parties!$E$5:$E$304,V562)&lt;&gt;HomeState),ROUND(L562*M562,2),0)),"")</f>
        <v/>
      </c>
      <c r="Q562" s="61" t="str">
        <f aca="false">IF(IsPro,IF($D562="","",L562+N562+O562+P562),"")</f>
        <v/>
      </c>
      <c r="R562" s="61" t="str">
        <f aca="false">IF(IsPro,IF($D562="","",ROUND(N($E562)*IFERROR(INDEX(Items!$P$5:$P$504,U562),0),2)),"")</f>
        <v/>
      </c>
      <c r="S562" s="61" t="str">
        <f aca="false">IF(IsPro,IF($D562="","",L562-R562),"")</f>
        <v/>
      </c>
      <c r="T562" s="60" t="str">
        <f aca="false">IF(IsPro,IF($D562="","",IF(U562="","UNKNOWN ITEM",IF(INDEX(Items!$O$5:$O$504,U562)&lt;0,"NEG STOCK",IF(K562&lt;INDEX(Items!$P$5:$P$504,U562),"BELOW COST","OK")))),IF($D562="","","PRO PLAN"))</f>
        <v/>
      </c>
      <c r="U562" s="60" t="str">
        <f aca="false">IF(IsPro,IF($D562="","",IFERROR(MATCH($D562,Items!$A$5:$A$504,0),"")),"")</f>
        <v/>
      </c>
      <c r="V562" s="60" t="str">
        <f aca="false">IF(IsPro,IF($C562="","",IFERROR(MATCH($C562,Parties!$A$5:$A$304,0),"")),"")</f>
        <v/>
      </c>
      <c r="W562" s="60" t="str">
        <f aca="false">IF(IsPro,IF($B562="","",IFERROR(VALUE(SUBSTITUTE($B562,InvPrefix,"")),0)),"")</f>
        <v/>
      </c>
      <c r="X562" s="61" t="str">
        <f aca="false">IF(IsPro,IF($D562="","",IF(OR($H562="",$H562="Credit"),0,Q562)),"")</f>
        <v/>
      </c>
    </row>
    <row r="563" customFormat="false" ht="15" hidden="false" customHeight="false" outlineLevel="0" collapsed="false">
      <c r="A563" s="55"/>
      <c r="B563" s="56"/>
      <c r="C563" s="56"/>
      <c r="D563" s="56"/>
      <c r="E563" s="57"/>
      <c r="F563" s="58"/>
      <c r="G563" s="59"/>
      <c r="H563" s="56"/>
      <c r="I563" s="56"/>
      <c r="J563" s="60" t="str">
        <f aca="false">IF(IsPro,IF($D563="","",IFERROR(INDEX(Items!$D$5:$D$504,U563),"")),"")</f>
        <v/>
      </c>
      <c r="K563" s="61" t="str">
        <f aca="false">IF(IsPro,IF($D563="","",IF($F563="",IFERROR(INDEX(Items!$H$5:$H$504,U563),0),$F563)),"")</f>
        <v/>
      </c>
      <c r="L563" s="61" t="str">
        <f aca="false">IF(IsPro,IF($D563="","",ROUND(N($E563)*K563*(1-N($G563)),2)),"")</f>
        <v/>
      </c>
      <c r="M563" s="62" t="str">
        <f aca="false">IF(IsPro,IF($D563="","",IFERROR(INDEX(Items!$F$5:$F$504,U563),0)),"")</f>
        <v/>
      </c>
      <c r="N563" s="61" t="str">
        <f aca="false">IF(IsPro,IF($D563="","",IF(AND(V563&lt;&gt;"",INDEX(Parties!$E$5:$E$304,V563)&lt;&gt;"",INDEX(Parties!$E$5:$E$304,V563)&lt;&gt;HomeState),0,ROUND(L563*M563/2,2))),"")</f>
        <v/>
      </c>
      <c r="O563" s="61" t="str">
        <f aca="false">IF(IsPro,IF($D563="","",N563),"")</f>
        <v/>
      </c>
      <c r="P563" s="61" t="str">
        <f aca="false">IF(IsPro,IF($D563="","",IF(AND(V563&lt;&gt;"",INDEX(Parties!$E$5:$E$304,V563)&lt;&gt;"",INDEX(Parties!$E$5:$E$304,V563)&lt;&gt;HomeState),ROUND(L563*M563,2),0)),"")</f>
        <v/>
      </c>
      <c r="Q563" s="61" t="str">
        <f aca="false">IF(IsPro,IF($D563="","",L563+N563+O563+P563),"")</f>
        <v/>
      </c>
      <c r="R563" s="61" t="str">
        <f aca="false">IF(IsPro,IF($D563="","",ROUND(N($E563)*IFERROR(INDEX(Items!$P$5:$P$504,U563),0),2)),"")</f>
        <v/>
      </c>
      <c r="S563" s="61" t="str">
        <f aca="false">IF(IsPro,IF($D563="","",L563-R563),"")</f>
        <v/>
      </c>
      <c r="T563" s="60" t="str">
        <f aca="false">IF(IsPro,IF($D563="","",IF(U563="","UNKNOWN ITEM",IF(INDEX(Items!$O$5:$O$504,U563)&lt;0,"NEG STOCK",IF(K563&lt;INDEX(Items!$P$5:$P$504,U563),"BELOW COST","OK")))),IF($D563="","","PRO PLAN"))</f>
        <v/>
      </c>
      <c r="U563" s="60" t="str">
        <f aca="false">IF(IsPro,IF($D563="","",IFERROR(MATCH($D563,Items!$A$5:$A$504,0),"")),"")</f>
        <v/>
      </c>
      <c r="V563" s="60" t="str">
        <f aca="false">IF(IsPro,IF($C563="","",IFERROR(MATCH($C563,Parties!$A$5:$A$304,0),"")),"")</f>
        <v/>
      </c>
      <c r="W563" s="60" t="str">
        <f aca="false">IF(IsPro,IF($B563="","",IFERROR(VALUE(SUBSTITUTE($B563,InvPrefix,"")),0)),"")</f>
        <v/>
      </c>
      <c r="X563" s="61" t="str">
        <f aca="false">IF(IsPro,IF($D563="","",IF(OR($H563="",$H563="Credit"),0,Q563)),"")</f>
        <v/>
      </c>
    </row>
    <row r="564" customFormat="false" ht="15" hidden="false" customHeight="false" outlineLevel="0" collapsed="false">
      <c r="A564" s="55"/>
      <c r="B564" s="56"/>
      <c r="C564" s="56"/>
      <c r="D564" s="56"/>
      <c r="E564" s="57"/>
      <c r="F564" s="58"/>
      <c r="G564" s="59"/>
      <c r="H564" s="56"/>
      <c r="I564" s="56"/>
      <c r="J564" s="60" t="str">
        <f aca="false">IF(IsPro,IF($D564="","",IFERROR(INDEX(Items!$D$5:$D$504,U564),"")),"")</f>
        <v/>
      </c>
      <c r="K564" s="61" t="str">
        <f aca="false">IF(IsPro,IF($D564="","",IF($F564="",IFERROR(INDEX(Items!$H$5:$H$504,U564),0),$F564)),"")</f>
        <v/>
      </c>
      <c r="L564" s="61" t="str">
        <f aca="false">IF(IsPro,IF($D564="","",ROUND(N($E564)*K564*(1-N($G564)),2)),"")</f>
        <v/>
      </c>
      <c r="M564" s="62" t="str">
        <f aca="false">IF(IsPro,IF($D564="","",IFERROR(INDEX(Items!$F$5:$F$504,U564),0)),"")</f>
        <v/>
      </c>
      <c r="N564" s="61" t="str">
        <f aca="false">IF(IsPro,IF($D564="","",IF(AND(V564&lt;&gt;"",INDEX(Parties!$E$5:$E$304,V564)&lt;&gt;"",INDEX(Parties!$E$5:$E$304,V564)&lt;&gt;HomeState),0,ROUND(L564*M564/2,2))),"")</f>
        <v/>
      </c>
      <c r="O564" s="61" t="str">
        <f aca="false">IF(IsPro,IF($D564="","",N564),"")</f>
        <v/>
      </c>
      <c r="P564" s="61" t="str">
        <f aca="false">IF(IsPro,IF($D564="","",IF(AND(V564&lt;&gt;"",INDEX(Parties!$E$5:$E$304,V564)&lt;&gt;"",INDEX(Parties!$E$5:$E$304,V564)&lt;&gt;HomeState),ROUND(L564*M564,2),0)),"")</f>
        <v/>
      </c>
      <c r="Q564" s="61" t="str">
        <f aca="false">IF(IsPro,IF($D564="","",L564+N564+O564+P564),"")</f>
        <v/>
      </c>
      <c r="R564" s="61" t="str">
        <f aca="false">IF(IsPro,IF($D564="","",ROUND(N($E564)*IFERROR(INDEX(Items!$P$5:$P$504,U564),0),2)),"")</f>
        <v/>
      </c>
      <c r="S564" s="61" t="str">
        <f aca="false">IF(IsPro,IF($D564="","",L564-R564),"")</f>
        <v/>
      </c>
      <c r="T564" s="60" t="str">
        <f aca="false">IF(IsPro,IF($D564="","",IF(U564="","UNKNOWN ITEM",IF(INDEX(Items!$O$5:$O$504,U564)&lt;0,"NEG STOCK",IF(K564&lt;INDEX(Items!$P$5:$P$504,U564),"BELOW COST","OK")))),IF($D564="","","PRO PLAN"))</f>
        <v/>
      </c>
      <c r="U564" s="60" t="str">
        <f aca="false">IF(IsPro,IF($D564="","",IFERROR(MATCH($D564,Items!$A$5:$A$504,0),"")),"")</f>
        <v/>
      </c>
      <c r="V564" s="60" t="str">
        <f aca="false">IF(IsPro,IF($C564="","",IFERROR(MATCH($C564,Parties!$A$5:$A$304,0),"")),"")</f>
        <v/>
      </c>
      <c r="W564" s="60" t="str">
        <f aca="false">IF(IsPro,IF($B564="","",IFERROR(VALUE(SUBSTITUTE($B564,InvPrefix,"")),0)),"")</f>
        <v/>
      </c>
      <c r="X564" s="61" t="str">
        <f aca="false">IF(IsPro,IF($D564="","",IF(OR($H564="",$H564="Credit"),0,Q564)),"")</f>
        <v/>
      </c>
    </row>
    <row r="565" customFormat="false" ht="15" hidden="false" customHeight="false" outlineLevel="0" collapsed="false">
      <c r="A565" s="55"/>
      <c r="B565" s="56"/>
      <c r="C565" s="56"/>
      <c r="D565" s="56"/>
      <c r="E565" s="57"/>
      <c r="F565" s="58"/>
      <c r="G565" s="59"/>
      <c r="H565" s="56"/>
      <c r="I565" s="56"/>
      <c r="J565" s="60" t="str">
        <f aca="false">IF(IsPro,IF($D565="","",IFERROR(INDEX(Items!$D$5:$D$504,U565),"")),"")</f>
        <v/>
      </c>
      <c r="K565" s="61" t="str">
        <f aca="false">IF(IsPro,IF($D565="","",IF($F565="",IFERROR(INDEX(Items!$H$5:$H$504,U565),0),$F565)),"")</f>
        <v/>
      </c>
      <c r="L565" s="61" t="str">
        <f aca="false">IF(IsPro,IF($D565="","",ROUND(N($E565)*K565*(1-N($G565)),2)),"")</f>
        <v/>
      </c>
      <c r="M565" s="62" t="str">
        <f aca="false">IF(IsPro,IF($D565="","",IFERROR(INDEX(Items!$F$5:$F$504,U565),0)),"")</f>
        <v/>
      </c>
      <c r="N565" s="61" t="str">
        <f aca="false">IF(IsPro,IF($D565="","",IF(AND(V565&lt;&gt;"",INDEX(Parties!$E$5:$E$304,V565)&lt;&gt;"",INDEX(Parties!$E$5:$E$304,V565)&lt;&gt;HomeState),0,ROUND(L565*M565/2,2))),"")</f>
        <v/>
      </c>
      <c r="O565" s="61" t="str">
        <f aca="false">IF(IsPro,IF($D565="","",N565),"")</f>
        <v/>
      </c>
      <c r="P565" s="61" t="str">
        <f aca="false">IF(IsPro,IF($D565="","",IF(AND(V565&lt;&gt;"",INDEX(Parties!$E$5:$E$304,V565)&lt;&gt;"",INDEX(Parties!$E$5:$E$304,V565)&lt;&gt;HomeState),ROUND(L565*M565,2),0)),"")</f>
        <v/>
      </c>
      <c r="Q565" s="61" t="str">
        <f aca="false">IF(IsPro,IF($D565="","",L565+N565+O565+P565),"")</f>
        <v/>
      </c>
      <c r="R565" s="61" t="str">
        <f aca="false">IF(IsPro,IF($D565="","",ROUND(N($E565)*IFERROR(INDEX(Items!$P$5:$P$504,U565),0),2)),"")</f>
        <v/>
      </c>
      <c r="S565" s="61" t="str">
        <f aca="false">IF(IsPro,IF($D565="","",L565-R565),"")</f>
        <v/>
      </c>
      <c r="T565" s="60" t="str">
        <f aca="false">IF(IsPro,IF($D565="","",IF(U565="","UNKNOWN ITEM",IF(INDEX(Items!$O$5:$O$504,U565)&lt;0,"NEG STOCK",IF(K565&lt;INDEX(Items!$P$5:$P$504,U565),"BELOW COST","OK")))),IF($D565="","","PRO PLAN"))</f>
        <v/>
      </c>
      <c r="U565" s="60" t="str">
        <f aca="false">IF(IsPro,IF($D565="","",IFERROR(MATCH($D565,Items!$A$5:$A$504,0),"")),"")</f>
        <v/>
      </c>
      <c r="V565" s="60" t="str">
        <f aca="false">IF(IsPro,IF($C565="","",IFERROR(MATCH($C565,Parties!$A$5:$A$304,0),"")),"")</f>
        <v/>
      </c>
      <c r="W565" s="60" t="str">
        <f aca="false">IF(IsPro,IF($B565="","",IFERROR(VALUE(SUBSTITUTE($B565,InvPrefix,"")),0)),"")</f>
        <v/>
      </c>
      <c r="X565" s="61" t="str">
        <f aca="false">IF(IsPro,IF($D565="","",IF(OR($H565="",$H565="Credit"),0,Q565)),"")</f>
        <v/>
      </c>
    </row>
    <row r="566" customFormat="false" ht="15" hidden="false" customHeight="false" outlineLevel="0" collapsed="false">
      <c r="A566" s="55"/>
      <c r="B566" s="56"/>
      <c r="C566" s="56"/>
      <c r="D566" s="56"/>
      <c r="E566" s="57"/>
      <c r="F566" s="58"/>
      <c r="G566" s="59"/>
      <c r="H566" s="56"/>
      <c r="I566" s="56"/>
      <c r="J566" s="60" t="str">
        <f aca="false">IF(IsPro,IF($D566="","",IFERROR(INDEX(Items!$D$5:$D$504,U566),"")),"")</f>
        <v/>
      </c>
      <c r="K566" s="61" t="str">
        <f aca="false">IF(IsPro,IF($D566="","",IF($F566="",IFERROR(INDEX(Items!$H$5:$H$504,U566),0),$F566)),"")</f>
        <v/>
      </c>
      <c r="L566" s="61" t="str">
        <f aca="false">IF(IsPro,IF($D566="","",ROUND(N($E566)*K566*(1-N($G566)),2)),"")</f>
        <v/>
      </c>
      <c r="M566" s="62" t="str">
        <f aca="false">IF(IsPro,IF($D566="","",IFERROR(INDEX(Items!$F$5:$F$504,U566),0)),"")</f>
        <v/>
      </c>
      <c r="N566" s="61" t="str">
        <f aca="false">IF(IsPro,IF($D566="","",IF(AND(V566&lt;&gt;"",INDEX(Parties!$E$5:$E$304,V566)&lt;&gt;"",INDEX(Parties!$E$5:$E$304,V566)&lt;&gt;HomeState),0,ROUND(L566*M566/2,2))),"")</f>
        <v/>
      </c>
      <c r="O566" s="61" t="str">
        <f aca="false">IF(IsPro,IF($D566="","",N566),"")</f>
        <v/>
      </c>
      <c r="P566" s="61" t="str">
        <f aca="false">IF(IsPro,IF($D566="","",IF(AND(V566&lt;&gt;"",INDEX(Parties!$E$5:$E$304,V566)&lt;&gt;"",INDEX(Parties!$E$5:$E$304,V566)&lt;&gt;HomeState),ROUND(L566*M566,2),0)),"")</f>
        <v/>
      </c>
      <c r="Q566" s="61" t="str">
        <f aca="false">IF(IsPro,IF($D566="","",L566+N566+O566+P566),"")</f>
        <v/>
      </c>
      <c r="R566" s="61" t="str">
        <f aca="false">IF(IsPro,IF($D566="","",ROUND(N($E566)*IFERROR(INDEX(Items!$P$5:$P$504,U566),0),2)),"")</f>
        <v/>
      </c>
      <c r="S566" s="61" t="str">
        <f aca="false">IF(IsPro,IF($D566="","",L566-R566),"")</f>
        <v/>
      </c>
      <c r="T566" s="60" t="str">
        <f aca="false">IF(IsPro,IF($D566="","",IF(U566="","UNKNOWN ITEM",IF(INDEX(Items!$O$5:$O$504,U566)&lt;0,"NEG STOCK",IF(K566&lt;INDEX(Items!$P$5:$P$504,U566),"BELOW COST","OK")))),IF($D566="","","PRO PLAN"))</f>
        <v/>
      </c>
      <c r="U566" s="60" t="str">
        <f aca="false">IF(IsPro,IF($D566="","",IFERROR(MATCH($D566,Items!$A$5:$A$504,0),"")),"")</f>
        <v/>
      </c>
      <c r="V566" s="60" t="str">
        <f aca="false">IF(IsPro,IF($C566="","",IFERROR(MATCH($C566,Parties!$A$5:$A$304,0),"")),"")</f>
        <v/>
      </c>
      <c r="W566" s="60" t="str">
        <f aca="false">IF(IsPro,IF($B566="","",IFERROR(VALUE(SUBSTITUTE($B566,InvPrefix,"")),0)),"")</f>
        <v/>
      </c>
      <c r="X566" s="61" t="str">
        <f aca="false">IF(IsPro,IF($D566="","",IF(OR($H566="",$H566="Credit"),0,Q566)),"")</f>
        <v/>
      </c>
    </row>
    <row r="567" customFormat="false" ht="15" hidden="false" customHeight="false" outlineLevel="0" collapsed="false">
      <c r="A567" s="55"/>
      <c r="B567" s="56"/>
      <c r="C567" s="56"/>
      <c r="D567" s="56"/>
      <c r="E567" s="57"/>
      <c r="F567" s="58"/>
      <c r="G567" s="59"/>
      <c r="H567" s="56"/>
      <c r="I567" s="56"/>
      <c r="J567" s="60" t="str">
        <f aca="false">IF(IsPro,IF($D567="","",IFERROR(INDEX(Items!$D$5:$D$504,U567),"")),"")</f>
        <v/>
      </c>
      <c r="K567" s="61" t="str">
        <f aca="false">IF(IsPro,IF($D567="","",IF($F567="",IFERROR(INDEX(Items!$H$5:$H$504,U567),0),$F567)),"")</f>
        <v/>
      </c>
      <c r="L567" s="61" t="str">
        <f aca="false">IF(IsPro,IF($D567="","",ROUND(N($E567)*K567*(1-N($G567)),2)),"")</f>
        <v/>
      </c>
      <c r="M567" s="62" t="str">
        <f aca="false">IF(IsPro,IF($D567="","",IFERROR(INDEX(Items!$F$5:$F$504,U567),0)),"")</f>
        <v/>
      </c>
      <c r="N567" s="61" t="str">
        <f aca="false">IF(IsPro,IF($D567="","",IF(AND(V567&lt;&gt;"",INDEX(Parties!$E$5:$E$304,V567)&lt;&gt;"",INDEX(Parties!$E$5:$E$304,V567)&lt;&gt;HomeState),0,ROUND(L567*M567/2,2))),"")</f>
        <v/>
      </c>
      <c r="O567" s="61" t="str">
        <f aca="false">IF(IsPro,IF($D567="","",N567),"")</f>
        <v/>
      </c>
      <c r="P567" s="61" t="str">
        <f aca="false">IF(IsPro,IF($D567="","",IF(AND(V567&lt;&gt;"",INDEX(Parties!$E$5:$E$304,V567)&lt;&gt;"",INDEX(Parties!$E$5:$E$304,V567)&lt;&gt;HomeState),ROUND(L567*M567,2),0)),"")</f>
        <v/>
      </c>
      <c r="Q567" s="61" t="str">
        <f aca="false">IF(IsPro,IF($D567="","",L567+N567+O567+P567),"")</f>
        <v/>
      </c>
      <c r="R567" s="61" t="str">
        <f aca="false">IF(IsPro,IF($D567="","",ROUND(N($E567)*IFERROR(INDEX(Items!$P$5:$P$504,U567),0),2)),"")</f>
        <v/>
      </c>
      <c r="S567" s="61" t="str">
        <f aca="false">IF(IsPro,IF($D567="","",L567-R567),"")</f>
        <v/>
      </c>
      <c r="T567" s="60" t="str">
        <f aca="false">IF(IsPro,IF($D567="","",IF(U567="","UNKNOWN ITEM",IF(INDEX(Items!$O$5:$O$504,U567)&lt;0,"NEG STOCK",IF(K567&lt;INDEX(Items!$P$5:$P$504,U567),"BELOW COST","OK")))),IF($D567="","","PRO PLAN"))</f>
        <v/>
      </c>
      <c r="U567" s="60" t="str">
        <f aca="false">IF(IsPro,IF($D567="","",IFERROR(MATCH($D567,Items!$A$5:$A$504,0),"")),"")</f>
        <v/>
      </c>
      <c r="V567" s="60" t="str">
        <f aca="false">IF(IsPro,IF($C567="","",IFERROR(MATCH($C567,Parties!$A$5:$A$304,0),"")),"")</f>
        <v/>
      </c>
      <c r="W567" s="60" t="str">
        <f aca="false">IF(IsPro,IF($B567="","",IFERROR(VALUE(SUBSTITUTE($B567,InvPrefix,"")),0)),"")</f>
        <v/>
      </c>
      <c r="X567" s="61" t="str">
        <f aca="false">IF(IsPro,IF($D567="","",IF(OR($H567="",$H567="Credit"),0,Q567)),"")</f>
        <v/>
      </c>
    </row>
    <row r="568" customFormat="false" ht="15" hidden="false" customHeight="false" outlineLevel="0" collapsed="false">
      <c r="A568" s="55"/>
      <c r="B568" s="56"/>
      <c r="C568" s="56"/>
      <c r="D568" s="56"/>
      <c r="E568" s="57"/>
      <c r="F568" s="58"/>
      <c r="G568" s="59"/>
      <c r="H568" s="56"/>
      <c r="I568" s="56"/>
      <c r="J568" s="60" t="str">
        <f aca="false">IF(IsPro,IF($D568="","",IFERROR(INDEX(Items!$D$5:$D$504,U568),"")),"")</f>
        <v/>
      </c>
      <c r="K568" s="61" t="str">
        <f aca="false">IF(IsPro,IF($D568="","",IF($F568="",IFERROR(INDEX(Items!$H$5:$H$504,U568),0),$F568)),"")</f>
        <v/>
      </c>
      <c r="L568" s="61" t="str">
        <f aca="false">IF(IsPro,IF($D568="","",ROUND(N($E568)*K568*(1-N($G568)),2)),"")</f>
        <v/>
      </c>
      <c r="M568" s="62" t="str">
        <f aca="false">IF(IsPro,IF($D568="","",IFERROR(INDEX(Items!$F$5:$F$504,U568),0)),"")</f>
        <v/>
      </c>
      <c r="N568" s="61" t="str">
        <f aca="false">IF(IsPro,IF($D568="","",IF(AND(V568&lt;&gt;"",INDEX(Parties!$E$5:$E$304,V568)&lt;&gt;"",INDEX(Parties!$E$5:$E$304,V568)&lt;&gt;HomeState),0,ROUND(L568*M568/2,2))),"")</f>
        <v/>
      </c>
      <c r="O568" s="61" t="str">
        <f aca="false">IF(IsPro,IF($D568="","",N568),"")</f>
        <v/>
      </c>
      <c r="P568" s="61" t="str">
        <f aca="false">IF(IsPro,IF($D568="","",IF(AND(V568&lt;&gt;"",INDEX(Parties!$E$5:$E$304,V568)&lt;&gt;"",INDEX(Parties!$E$5:$E$304,V568)&lt;&gt;HomeState),ROUND(L568*M568,2),0)),"")</f>
        <v/>
      </c>
      <c r="Q568" s="61" t="str">
        <f aca="false">IF(IsPro,IF($D568="","",L568+N568+O568+P568),"")</f>
        <v/>
      </c>
      <c r="R568" s="61" t="str">
        <f aca="false">IF(IsPro,IF($D568="","",ROUND(N($E568)*IFERROR(INDEX(Items!$P$5:$P$504,U568),0),2)),"")</f>
        <v/>
      </c>
      <c r="S568" s="61" t="str">
        <f aca="false">IF(IsPro,IF($D568="","",L568-R568),"")</f>
        <v/>
      </c>
      <c r="T568" s="60" t="str">
        <f aca="false">IF(IsPro,IF($D568="","",IF(U568="","UNKNOWN ITEM",IF(INDEX(Items!$O$5:$O$504,U568)&lt;0,"NEG STOCK",IF(K568&lt;INDEX(Items!$P$5:$P$504,U568),"BELOW COST","OK")))),IF($D568="","","PRO PLAN"))</f>
        <v/>
      </c>
      <c r="U568" s="60" t="str">
        <f aca="false">IF(IsPro,IF($D568="","",IFERROR(MATCH($D568,Items!$A$5:$A$504,0),"")),"")</f>
        <v/>
      </c>
      <c r="V568" s="60" t="str">
        <f aca="false">IF(IsPro,IF($C568="","",IFERROR(MATCH($C568,Parties!$A$5:$A$304,0),"")),"")</f>
        <v/>
      </c>
      <c r="W568" s="60" t="str">
        <f aca="false">IF(IsPro,IF($B568="","",IFERROR(VALUE(SUBSTITUTE($B568,InvPrefix,"")),0)),"")</f>
        <v/>
      </c>
      <c r="X568" s="61" t="str">
        <f aca="false">IF(IsPro,IF($D568="","",IF(OR($H568="",$H568="Credit"),0,Q568)),"")</f>
        <v/>
      </c>
    </row>
    <row r="569" customFormat="false" ht="15" hidden="false" customHeight="false" outlineLevel="0" collapsed="false">
      <c r="A569" s="55"/>
      <c r="B569" s="56"/>
      <c r="C569" s="56"/>
      <c r="D569" s="56"/>
      <c r="E569" s="57"/>
      <c r="F569" s="58"/>
      <c r="G569" s="59"/>
      <c r="H569" s="56"/>
      <c r="I569" s="56"/>
      <c r="J569" s="60" t="str">
        <f aca="false">IF(IsPro,IF($D569="","",IFERROR(INDEX(Items!$D$5:$D$504,U569),"")),"")</f>
        <v/>
      </c>
      <c r="K569" s="61" t="str">
        <f aca="false">IF(IsPro,IF($D569="","",IF($F569="",IFERROR(INDEX(Items!$H$5:$H$504,U569),0),$F569)),"")</f>
        <v/>
      </c>
      <c r="L569" s="61" t="str">
        <f aca="false">IF(IsPro,IF($D569="","",ROUND(N($E569)*K569*(1-N($G569)),2)),"")</f>
        <v/>
      </c>
      <c r="M569" s="62" t="str">
        <f aca="false">IF(IsPro,IF($D569="","",IFERROR(INDEX(Items!$F$5:$F$504,U569),0)),"")</f>
        <v/>
      </c>
      <c r="N569" s="61" t="str">
        <f aca="false">IF(IsPro,IF($D569="","",IF(AND(V569&lt;&gt;"",INDEX(Parties!$E$5:$E$304,V569)&lt;&gt;"",INDEX(Parties!$E$5:$E$304,V569)&lt;&gt;HomeState),0,ROUND(L569*M569/2,2))),"")</f>
        <v/>
      </c>
      <c r="O569" s="61" t="str">
        <f aca="false">IF(IsPro,IF($D569="","",N569),"")</f>
        <v/>
      </c>
      <c r="P569" s="61" t="str">
        <f aca="false">IF(IsPro,IF($D569="","",IF(AND(V569&lt;&gt;"",INDEX(Parties!$E$5:$E$304,V569)&lt;&gt;"",INDEX(Parties!$E$5:$E$304,V569)&lt;&gt;HomeState),ROUND(L569*M569,2),0)),"")</f>
        <v/>
      </c>
      <c r="Q569" s="61" t="str">
        <f aca="false">IF(IsPro,IF($D569="","",L569+N569+O569+P569),"")</f>
        <v/>
      </c>
      <c r="R569" s="61" t="str">
        <f aca="false">IF(IsPro,IF($D569="","",ROUND(N($E569)*IFERROR(INDEX(Items!$P$5:$P$504,U569),0),2)),"")</f>
        <v/>
      </c>
      <c r="S569" s="61" t="str">
        <f aca="false">IF(IsPro,IF($D569="","",L569-R569),"")</f>
        <v/>
      </c>
      <c r="T569" s="60" t="str">
        <f aca="false">IF(IsPro,IF($D569="","",IF(U569="","UNKNOWN ITEM",IF(INDEX(Items!$O$5:$O$504,U569)&lt;0,"NEG STOCK",IF(K569&lt;INDEX(Items!$P$5:$P$504,U569),"BELOW COST","OK")))),IF($D569="","","PRO PLAN"))</f>
        <v/>
      </c>
      <c r="U569" s="60" t="str">
        <f aca="false">IF(IsPro,IF($D569="","",IFERROR(MATCH($D569,Items!$A$5:$A$504,0),"")),"")</f>
        <v/>
      </c>
      <c r="V569" s="60" t="str">
        <f aca="false">IF(IsPro,IF($C569="","",IFERROR(MATCH($C569,Parties!$A$5:$A$304,0),"")),"")</f>
        <v/>
      </c>
      <c r="W569" s="60" t="str">
        <f aca="false">IF(IsPro,IF($B569="","",IFERROR(VALUE(SUBSTITUTE($B569,InvPrefix,"")),0)),"")</f>
        <v/>
      </c>
      <c r="X569" s="61" t="str">
        <f aca="false">IF(IsPro,IF($D569="","",IF(OR($H569="",$H569="Credit"),0,Q569)),"")</f>
        <v/>
      </c>
    </row>
    <row r="570" customFormat="false" ht="15" hidden="false" customHeight="false" outlineLevel="0" collapsed="false">
      <c r="A570" s="55"/>
      <c r="B570" s="56"/>
      <c r="C570" s="56"/>
      <c r="D570" s="56"/>
      <c r="E570" s="57"/>
      <c r="F570" s="58"/>
      <c r="G570" s="59"/>
      <c r="H570" s="56"/>
      <c r="I570" s="56"/>
      <c r="J570" s="60" t="str">
        <f aca="false">IF(IsPro,IF($D570="","",IFERROR(INDEX(Items!$D$5:$D$504,U570),"")),"")</f>
        <v/>
      </c>
      <c r="K570" s="61" t="str">
        <f aca="false">IF(IsPro,IF($D570="","",IF($F570="",IFERROR(INDEX(Items!$H$5:$H$504,U570),0),$F570)),"")</f>
        <v/>
      </c>
      <c r="L570" s="61" t="str">
        <f aca="false">IF(IsPro,IF($D570="","",ROUND(N($E570)*K570*(1-N($G570)),2)),"")</f>
        <v/>
      </c>
      <c r="M570" s="62" t="str">
        <f aca="false">IF(IsPro,IF($D570="","",IFERROR(INDEX(Items!$F$5:$F$504,U570),0)),"")</f>
        <v/>
      </c>
      <c r="N570" s="61" t="str">
        <f aca="false">IF(IsPro,IF($D570="","",IF(AND(V570&lt;&gt;"",INDEX(Parties!$E$5:$E$304,V570)&lt;&gt;"",INDEX(Parties!$E$5:$E$304,V570)&lt;&gt;HomeState),0,ROUND(L570*M570/2,2))),"")</f>
        <v/>
      </c>
      <c r="O570" s="61" t="str">
        <f aca="false">IF(IsPro,IF($D570="","",N570),"")</f>
        <v/>
      </c>
      <c r="P570" s="61" t="str">
        <f aca="false">IF(IsPro,IF($D570="","",IF(AND(V570&lt;&gt;"",INDEX(Parties!$E$5:$E$304,V570)&lt;&gt;"",INDEX(Parties!$E$5:$E$304,V570)&lt;&gt;HomeState),ROUND(L570*M570,2),0)),"")</f>
        <v/>
      </c>
      <c r="Q570" s="61" t="str">
        <f aca="false">IF(IsPro,IF($D570="","",L570+N570+O570+P570),"")</f>
        <v/>
      </c>
      <c r="R570" s="61" t="str">
        <f aca="false">IF(IsPro,IF($D570="","",ROUND(N($E570)*IFERROR(INDEX(Items!$P$5:$P$504,U570),0),2)),"")</f>
        <v/>
      </c>
      <c r="S570" s="61" t="str">
        <f aca="false">IF(IsPro,IF($D570="","",L570-R570),"")</f>
        <v/>
      </c>
      <c r="T570" s="60" t="str">
        <f aca="false">IF(IsPro,IF($D570="","",IF(U570="","UNKNOWN ITEM",IF(INDEX(Items!$O$5:$O$504,U570)&lt;0,"NEG STOCK",IF(K570&lt;INDEX(Items!$P$5:$P$504,U570),"BELOW COST","OK")))),IF($D570="","","PRO PLAN"))</f>
        <v/>
      </c>
      <c r="U570" s="60" t="str">
        <f aca="false">IF(IsPro,IF($D570="","",IFERROR(MATCH($D570,Items!$A$5:$A$504,0),"")),"")</f>
        <v/>
      </c>
      <c r="V570" s="60" t="str">
        <f aca="false">IF(IsPro,IF($C570="","",IFERROR(MATCH($C570,Parties!$A$5:$A$304,0),"")),"")</f>
        <v/>
      </c>
      <c r="W570" s="60" t="str">
        <f aca="false">IF(IsPro,IF($B570="","",IFERROR(VALUE(SUBSTITUTE($B570,InvPrefix,"")),0)),"")</f>
        <v/>
      </c>
      <c r="X570" s="61" t="str">
        <f aca="false">IF(IsPro,IF($D570="","",IF(OR($H570="",$H570="Credit"),0,Q570)),"")</f>
        <v/>
      </c>
    </row>
    <row r="571" customFormat="false" ht="15" hidden="false" customHeight="false" outlineLevel="0" collapsed="false">
      <c r="A571" s="55"/>
      <c r="B571" s="56"/>
      <c r="C571" s="56"/>
      <c r="D571" s="56"/>
      <c r="E571" s="57"/>
      <c r="F571" s="58"/>
      <c r="G571" s="59"/>
      <c r="H571" s="56"/>
      <c r="I571" s="56"/>
      <c r="J571" s="60" t="str">
        <f aca="false">IF(IsPro,IF($D571="","",IFERROR(INDEX(Items!$D$5:$D$504,U571),"")),"")</f>
        <v/>
      </c>
      <c r="K571" s="61" t="str">
        <f aca="false">IF(IsPro,IF($D571="","",IF($F571="",IFERROR(INDEX(Items!$H$5:$H$504,U571),0),$F571)),"")</f>
        <v/>
      </c>
      <c r="L571" s="61" t="str">
        <f aca="false">IF(IsPro,IF($D571="","",ROUND(N($E571)*K571*(1-N($G571)),2)),"")</f>
        <v/>
      </c>
      <c r="M571" s="62" t="str">
        <f aca="false">IF(IsPro,IF($D571="","",IFERROR(INDEX(Items!$F$5:$F$504,U571),0)),"")</f>
        <v/>
      </c>
      <c r="N571" s="61" t="str">
        <f aca="false">IF(IsPro,IF($D571="","",IF(AND(V571&lt;&gt;"",INDEX(Parties!$E$5:$E$304,V571)&lt;&gt;"",INDEX(Parties!$E$5:$E$304,V571)&lt;&gt;HomeState),0,ROUND(L571*M571/2,2))),"")</f>
        <v/>
      </c>
      <c r="O571" s="61" t="str">
        <f aca="false">IF(IsPro,IF($D571="","",N571),"")</f>
        <v/>
      </c>
      <c r="P571" s="61" t="str">
        <f aca="false">IF(IsPro,IF($D571="","",IF(AND(V571&lt;&gt;"",INDEX(Parties!$E$5:$E$304,V571)&lt;&gt;"",INDEX(Parties!$E$5:$E$304,V571)&lt;&gt;HomeState),ROUND(L571*M571,2),0)),"")</f>
        <v/>
      </c>
      <c r="Q571" s="61" t="str">
        <f aca="false">IF(IsPro,IF($D571="","",L571+N571+O571+P571),"")</f>
        <v/>
      </c>
      <c r="R571" s="61" t="str">
        <f aca="false">IF(IsPro,IF($D571="","",ROUND(N($E571)*IFERROR(INDEX(Items!$P$5:$P$504,U571),0),2)),"")</f>
        <v/>
      </c>
      <c r="S571" s="61" t="str">
        <f aca="false">IF(IsPro,IF($D571="","",L571-R571),"")</f>
        <v/>
      </c>
      <c r="T571" s="60" t="str">
        <f aca="false">IF(IsPro,IF($D571="","",IF(U571="","UNKNOWN ITEM",IF(INDEX(Items!$O$5:$O$504,U571)&lt;0,"NEG STOCK",IF(K571&lt;INDEX(Items!$P$5:$P$504,U571),"BELOW COST","OK")))),IF($D571="","","PRO PLAN"))</f>
        <v/>
      </c>
      <c r="U571" s="60" t="str">
        <f aca="false">IF(IsPro,IF($D571="","",IFERROR(MATCH($D571,Items!$A$5:$A$504,0),"")),"")</f>
        <v/>
      </c>
      <c r="V571" s="60" t="str">
        <f aca="false">IF(IsPro,IF($C571="","",IFERROR(MATCH($C571,Parties!$A$5:$A$304,0),"")),"")</f>
        <v/>
      </c>
      <c r="W571" s="60" t="str">
        <f aca="false">IF(IsPro,IF($B571="","",IFERROR(VALUE(SUBSTITUTE($B571,InvPrefix,"")),0)),"")</f>
        <v/>
      </c>
      <c r="X571" s="61" t="str">
        <f aca="false">IF(IsPro,IF($D571="","",IF(OR($H571="",$H571="Credit"),0,Q571)),"")</f>
        <v/>
      </c>
    </row>
    <row r="572" customFormat="false" ht="15" hidden="false" customHeight="false" outlineLevel="0" collapsed="false">
      <c r="A572" s="55"/>
      <c r="B572" s="56"/>
      <c r="C572" s="56"/>
      <c r="D572" s="56"/>
      <c r="E572" s="57"/>
      <c r="F572" s="58"/>
      <c r="G572" s="59"/>
      <c r="H572" s="56"/>
      <c r="I572" s="56"/>
      <c r="J572" s="60" t="str">
        <f aca="false">IF(IsPro,IF($D572="","",IFERROR(INDEX(Items!$D$5:$D$504,U572),"")),"")</f>
        <v/>
      </c>
      <c r="K572" s="61" t="str">
        <f aca="false">IF(IsPro,IF($D572="","",IF($F572="",IFERROR(INDEX(Items!$H$5:$H$504,U572),0),$F572)),"")</f>
        <v/>
      </c>
      <c r="L572" s="61" t="str">
        <f aca="false">IF(IsPro,IF($D572="","",ROUND(N($E572)*K572*(1-N($G572)),2)),"")</f>
        <v/>
      </c>
      <c r="M572" s="62" t="str">
        <f aca="false">IF(IsPro,IF($D572="","",IFERROR(INDEX(Items!$F$5:$F$504,U572),0)),"")</f>
        <v/>
      </c>
      <c r="N572" s="61" t="str">
        <f aca="false">IF(IsPro,IF($D572="","",IF(AND(V572&lt;&gt;"",INDEX(Parties!$E$5:$E$304,V572)&lt;&gt;"",INDEX(Parties!$E$5:$E$304,V572)&lt;&gt;HomeState),0,ROUND(L572*M572/2,2))),"")</f>
        <v/>
      </c>
      <c r="O572" s="61" t="str">
        <f aca="false">IF(IsPro,IF($D572="","",N572),"")</f>
        <v/>
      </c>
      <c r="P572" s="61" t="str">
        <f aca="false">IF(IsPro,IF($D572="","",IF(AND(V572&lt;&gt;"",INDEX(Parties!$E$5:$E$304,V572)&lt;&gt;"",INDEX(Parties!$E$5:$E$304,V572)&lt;&gt;HomeState),ROUND(L572*M572,2),0)),"")</f>
        <v/>
      </c>
      <c r="Q572" s="61" t="str">
        <f aca="false">IF(IsPro,IF($D572="","",L572+N572+O572+P572),"")</f>
        <v/>
      </c>
      <c r="R572" s="61" t="str">
        <f aca="false">IF(IsPro,IF($D572="","",ROUND(N($E572)*IFERROR(INDEX(Items!$P$5:$P$504,U572),0),2)),"")</f>
        <v/>
      </c>
      <c r="S572" s="61" t="str">
        <f aca="false">IF(IsPro,IF($D572="","",L572-R572),"")</f>
        <v/>
      </c>
      <c r="T572" s="60" t="str">
        <f aca="false">IF(IsPro,IF($D572="","",IF(U572="","UNKNOWN ITEM",IF(INDEX(Items!$O$5:$O$504,U572)&lt;0,"NEG STOCK",IF(K572&lt;INDEX(Items!$P$5:$P$504,U572),"BELOW COST","OK")))),IF($D572="","","PRO PLAN"))</f>
        <v/>
      </c>
      <c r="U572" s="60" t="str">
        <f aca="false">IF(IsPro,IF($D572="","",IFERROR(MATCH($D572,Items!$A$5:$A$504,0),"")),"")</f>
        <v/>
      </c>
      <c r="V572" s="60" t="str">
        <f aca="false">IF(IsPro,IF($C572="","",IFERROR(MATCH($C572,Parties!$A$5:$A$304,0),"")),"")</f>
        <v/>
      </c>
      <c r="W572" s="60" t="str">
        <f aca="false">IF(IsPro,IF($B572="","",IFERROR(VALUE(SUBSTITUTE($B572,InvPrefix,"")),0)),"")</f>
        <v/>
      </c>
      <c r="X572" s="61" t="str">
        <f aca="false">IF(IsPro,IF($D572="","",IF(OR($H572="",$H572="Credit"),0,Q572)),"")</f>
        <v/>
      </c>
    </row>
    <row r="573" customFormat="false" ht="15" hidden="false" customHeight="false" outlineLevel="0" collapsed="false">
      <c r="A573" s="55"/>
      <c r="B573" s="56"/>
      <c r="C573" s="56"/>
      <c r="D573" s="56"/>
      <c r="E573" s="57"/>
      <c r="F573" s="58"/>
      <c r="G573" s="59"/>
      <c r="H573" s="56"/>
      <c r="I573" s="56"/>
      <c r="J573" s="60" t="str">
        <f aca="false">IF(IsPro,IF($D573="","",IFERROR(INDEX(Items!$D$5:$D$504,U573),"")),"")</f>
        <v/>
      </c>
      <c r="K573" s="61" t="str">
        <f aca="false">IF(IsPro,IF($D573="","",IF($F573="",IFERROR(INDEX(Items!$H$5:$H$504,U573),0),$F573)),"")</f>
        <v/>
      </c>
      <c r="L573" s="61" t="str">
        <f aca="false">IF(IsPro,IF($D573="","",ROUND(N($E573)*K573*(1-N($G573)),2)),"")</f>
        <v/>
      </c>
      <c r="M573" s="62" t="str">
        <f aca="false">IF(IsPro,IF($D573="","",IFERROR(INDEX(Items!$F$5:$F$504,U573),0)),"")</f>
        <v/>
      </c>
      <c r="N573" s="61" t="str">
        <f aca="false">IF(IsPro,IF($D573="","",IF(AND(V573&lt;&gt;"",INDEX(Parties!$E$5:$E$304,V573)&lt;&gt;"",INDEX(Parties!$E$5:$E$304,V573)&lt;&gt;HomeState),0,ROUND(L573*M573/2,2))),"")</f>
        <v/>
      </c>
      <c r="O573" s="61" t="str">
        <f aca="false">IF(IsPro,IF($D573="","",N573),"")</f>
        <v/>
      </c>
      <c r="P573" s="61" t="str">
        <f aca="false">IF(IsPro,IF($D573="","",IF(AND(V573&lt;&gt;"",INDEX(Parties!$E$5:$E$304,V573)&lt;&gt;"",INDEX(Parties!$E$5:$E$304,V573)&lt;&gt;HomeState),ROUND(L573*M573,2),0)),"")</f>
        <v/>
      </c>
      <c r="Q573" s="61" t="str">
        <f aca="false">IF(IsPro,IF($D573="","",L573+N573+O573+P573),"")</f>
        <v/>
      </c>
      <c r="R573" s="61" t="str">
        <f aca="false">IF(IsPro,IF($D573="","",ROUND(N($E573)*IFERROR(INDEX(Items!$P$5:$P$504,U573),0),2)),"")</f>
        <v/>
      </c>
      <c r="S573" s="61" t="str">
        <f aca="false">IF(IsPro,IF($D573="","",L573-R573),"")</f>
        <v/>
      </c>
      <c r="T573" s="60" t="str">
        <f aca="false">IF(IsPro,IF($D573="","",IF(U573="","UNKNOWN ITEM",IF(INDEX(Items!$O$5:$O$504,U573)&lt;0,"NEG STOCK",IF(K573&lt;INDEX(Items!$P$5:$P$504,U573),"BELOW COST","OK")))),IF($D573="","","PRO PLAN"))</f>
        <v/>
      </c>
      <c r="U573" s="60" t="str">
        <f aca="false">IF(IsPro,IF($D573="","",IFERROR(MATCH($D573,Items!$A$5:$A$504,0),"")),"")</f>
        <v/>
      </c>
      <c r="V573" s="60" t="str">
        <f aca="false">IF(IsPro,IF($C573="","",IFERROR(MATCH($C573,Parties!$A$5:$A$304,0),"")),"")</f>
        <v/>
      </c>
      <c r="W573" s="60" t="str">
        <f aca="false">IF(IsPro,IF($B573="","",IFERROR(VALUE(SUBSTITUTE($B573,InvPrefix,"")),0)),"")</f>
        <v/>
      </c>
      <c r="X573" s="61" t="str">
        <f aca="false">IF(IsPro,IF($D573="","",IF(OR($H573="",$H573="Credit"),0,Q573)),"")</f>
        <v/>
      </c>
    </row>
    <row r="574" customFormat="false" ht="15" hidden="false" customHeight="false" outlineLevel="0" collapsed="false">
      <c r="A574" s="55"/>
      <c r="B574" s="56"/>
      <c r="C574" s="56"/>
      <c r="D574" s="56"/>
      <c r="E574" s="57"/>
      <c r="F574" s="58"/>
      <c r="G574" s="59"/>
      <c r="H574" s="56"/>
      <c r="I574" s="56"/>
      <c r="J574" s="60" t="str">
        <f aca="false">IF(IsPro,IF($D574="","",IFERROR(INDEX(Items!$D$5:$D$504,U574),"")),"")</f>
        <v/>
      </c>
      <c r="K574" s="61" t="str">
        <f aca="false">IF(IsPro,IF($D574="","",IF($F574="",IFERROR(INDEX(Items!$H$5:$H$504,U574),0),$F574)),"")</f>
        <v/>
      </c>
      <c r="L574" s="61" t="str">
        <f aca="false">IF(IsPro,IF($D574="","",ROUND(N($E574)*K574*(1-N($G574)),2)),"")</f>
        <v/>
      </c>
      <c r="M574" s="62" t="str">
        <f aca="false">IF(IsPro,IF($D574="","",IFERROR(INDEX(Items!$F$5:$F$504,U574),0)),"")</f>
        <v/>
      </c>
      <c r="N574" s="61" t="str">
        <f aca="false">IF(IsPro,IF($D574="","",IF(AND(V574&lt;&gt;"",INDEX(Parties!$E$5:$E$304,V574)&lt;&gt;"",INDEX(Parties!$E$5:$E$304,V574)&lt;&gt;HomeState),0,ROUND(L574*M574/2,2))),"")</f>
        <v/>
      </c>
      <c r="O574" s="61" t="str">
        <f aca="false">IF(IsPro,IF($D574="","",N574),"")</f>
        <v/>
      </c>
      <c r="P574" s="61" t="str">
        <f aca="false">IF(IsPro,IF($D574="","",IF(AND(V574&lt;&gt;"",INDEX(Parties!$E$5:$E$304,V574)&lt;&gt;"",INDEX(Parties!$E$5:$E$304,V574)&lt;&gt;HomeState),ROUND(L574*M574,2),0)),"")</f>
        <v/>
      </c>
      <c r="Q574" s="61" t="str">
        <f aca="false">IF(IsPro,IF($D574="","",L574+N574+O574+P574),"")</f>
        <v/>
      </c>
      <c r="R574" s="61" t="str">
        <f aca="false">IF(IsPro,IF($D574="","",ROUND(N($E574)*IFERROR(INDEX(Items!$P$5:$P$504,U574),0),2)),"")</f>
        <v/>
      </c>
      <c r="S574" s="61" t="str">
        <f aca="false">IF(IsPro,IF($D574="","",L574-R574),"")</f>
        <v/>
      </c>
      <c r="T574" s="60" t="str">
        <f aca="false">IF(IsPro,IF($D574="","",IF(U574="","UNKNOWN ITEM",IF(INDEX(Items!$O$5:$O$504,U574)&lt;0,"NEG STOCK",IF(K574&lt;INDEX(Items!$P$5:$P$504,U574),"BELOW COST","OK")))),IF($D574="","","PRO PLAN"))</f>
        <v/>
      </c>
      <c r="U574" s="60" t="str">
        <f aca="false">IF(IsPro,IF($D574="","",IFERROR(MATCH($D574,Items!$A$5:$A$504,0),"")),"")</f>
        <v/>
      </c>
      <c r="V574" s="60" t="str">
        <f aca="false">IF(IsPro,IF($C574="","",IFERROR(MATCH($C574,Parties!$A$5:$A$304,0),"")),"")</f>
        <v/>
      </c>
      <c r="W574" s="60" t="str">
        <f aca="false">IF(IsPro,IF($B574="","",IFERROR(VALUE(SUBSTITUTE($B574,InvPrefix,"")),0)),"")</f>
        <v/>
      </c>
      <c r="X574" s="61" t="str">
        <f aca="false">IF(IsPro,IF($D574="","",IF(OR($H574="",$H574="Credit"),0,Q574)),"")</f>
        <v/>
      </c>
    </row>
    <row r="575" customFormat="false" ht="15" hidden="false" customHeight="false" outlineLevel="0" collapsed="false">
      <c r="A575" s="55"/>
      <c r="B575" s="56"/>
      <c r="C575" s="56"/>
      <c r="D575" s="56"/>
      <c r="E575" s="57"/>
      <c r="F575" s="58"/>
      <c r="G575" s="59"/>
      <c r="H575" s="56"/>
      <c r="I575" s="56"/>
      <c r="J575" s="60" t="str">
        <f aca="false">IF(IsPro,IF($D575="","",IFERROR(INDEX(Items!$D$5:$D$504,U575),"")),"")</f>
        <v/>
      </c>
      <c r="K575" s="61" t="str">
        <f aca="false">IF(IsPro,IF($D575="","",IF($F575="",IFERROR(INDEX(Items!$H$5:$H$504,U575),0),$F575)),"")</f>
        <v/>
      </c>
      <c r="L575" s="61" t="str">
        <f aca="false">IF(IsPro,IF($D575="","",ROUND(N($E575)*K575*(1-N($G575)),2)),"")</f>
        <v/>
      </c>
      <c r="M575" s="62" t="str">
        <f aca="false">IF(IsPro,IF($D575="","",IFERROR(INDEX(Items!$F$5:$F$504,U575),0)),"")</f>
        <v/>
      </c>
      <c r="N575" s="61" t="str">
        <f aca="false">IF(IsPro,IF($D575="","",IF(AND(V575&lt;&gt;"",INDEX(Parties!$E$5:$E$304,V575)&lt;&gt;"",INDEX(Parties!$E$5:$E$304,V575)&lt;&gt;HomeState),0,ROUND(L575*M575/2,2))),"")</f>
        <v/>
      </c>
      <c r="O575" s="61" t="str">
        <f aca="false">IF(IsPro,IF($D575="","",N575),"")</f>
        <v/>
      </c>
      <c r="P575" s="61" t="str">
        <f aca="false">IF(IsPro,IF($D575="","",IF(AND(V575&lt;&gt;"",INDEX(Parties!$E$5:$E$304,V575)&lt;&gt;"",INDEX(Parties!$E$5:$E$304,V575)&lt;&gt;HomeState),ROUND(L575*M575,2),0)),"")</f>
        <v/>
      </c>
      <c r="Q575" s="61" t="str">
        <f aca="false">IF(IsPro,IF($D575="","",L575+N575+O575+P575),"")</f>
        <v/>
      </c>
      <c r="R575" s="61" t="str">
        <f aca="false">IF(IsPro,IF($D575="","",ROUND(N($E575)*IFERROR(INDEX(Items!$P$5:$P$504,U575),0),2)),"")</f>
        <v/>
      </c>
      <c r="S575" s="61" t="str">
        <f aca="false">IF(IsPro,IF($D575="","",L575-R575),"")</f>
        <v/>
      </c>
      <c r="T575" s="60" t="str">
        <f aca="false">IF(IsPro,IF($D575="","",IF(U575="","UNKNOWN ITEM",IF(INDEX(Items!$O$5:$O$504,U575)&lt;0,"NEG STOCK",IF(K575&lt;INDEX(Items!$P$5:$P$504,U575),"BELOW COST","OK")))),IF($D575="","","PRO PLAN"))</f>
        <v/>
      </c>
      <c r="U575" s="60" t="str">
        <f aca="false">IF(IsPro,IF($D575="","",IFERROR(MATCH($D575,Items!$A$5:$A$504,0),"")),"")</f>
        <v/>
      </c>
      <c r="V575" s="60" t="str">
        <f aca="false">IF(IsPro,IF($C575="","",IFERROR(MATCH($C575,Parties!$A$5:$A$304,0),"")),"")</f>
        <v/>
      </c>
      <c r="W575" s="60" t="str">
        <f aca="false">IF(IsPro,IF($B575="","",IFERROR(VALUE(SUBSTITUTE($B575,InvPrefix,"")),0)),"")</f>
        <v/>
      </c>
      <c r="X575" s="61" t="str">
        <f aca="false">IF(IsPro,IF($D575="","",IF(OR($H575="",$H575="Credit"),0,Q575)),"")</f>
        <v/>
      </c>
    </row>
    <row r="576" customFormat="false" ht="15" hidden="false" customHeight="false" outlineLevel="0" collapsed="false">
      <c r="A576" s="55"/>
      <c r="B576" s="56"/>
      <c r="C576" s="56"/>
      <c r="D576" s="56"/>
      <c r="E576" s="57"/>
      <c r="F576" s="58"/>
      <c r="G576" s="59"/>
      <c r="H576" s="56"/>
      <c r="I576" s="56"/>
      <c r="J576" s="60" t="str">
        <f aca="false">IF(IsPro,IF($D576="","",IFERROR(INDEX(Items!$D$5:$D$504,U576),"")),"")</f>
        <v/>
      </c>
      <c r="K576" s="61" t="str">
        <f aca="false">IF(IsPro,IF($D576="","",IF($F576="",IFERROR(INDEX(Items!$H$5:$H$504,U576),0),$F576)),"")</f>
        <v/>
      </c>
      <c r="L576" s="61" t="str">
        <f aca="false">IF(IsPro,IF($D576="","",ROUND(N($E576)*K576*(1-N($G576)),2)),"")</f>
        <v/>
      </c>
      <c r="M576" s="62" t="str">
        <f aca="false">IF(IsPro,IF($D576="","",IFERROR(INDEX(Items!$F$5:$F$504,U576),0)),"")</f>
        <v/>
      </c>
      <c r="N576" s="61" t="str">
        <f aca="false">IF(IsPro,IF($D576="","",IF(AND(V576&lt;&gt;"",INDEX(Parties!$E$5:$E$304,V576)&lt;&gt;"",INDEX(Parties!$E$5:$E$304,V576)&lt;&gt;HomeState),0,ROUND(L576*M576/2,2))),"")</f>
        <v/>
      </c>
      <c r="O576" s="61" t="str">
        <f aca="false">IF(IsPro,IF($D576="","",N576),"")</f>
        <v/>
      </c>
      <c r="P576" s="61" t="str">
        <f aca="false">IF(IsPro,IF($D576="","",IF(AND(V576&lt;&gt;"",INDEX(Parties!$E$5:$E$304,V576)&lt;&gt;"",INDEX(Parties!$E$5:$E$304,V576)&lt;&gt;HomeState),ROUND(L576*M576,2),0)),"")</f>
        <v/>
      </c>
      <c r="Q576" s="61" t="str">
        <f aca="false">IF(IsPro,IF($D576="","",L576+N576+O576+P576),"")</f>
        <v/>
      </c>
      <c r="R576" s="61" t="str">
        <f aca="false">IF(IsPro,IF($D576="","",ROUND(N($E576)*IFERROR(INDEX(Items!$P$5:$P$504,U576),0),2)),"")</f>
        <v/>
      </c>
      <c r="S576" s="61" t="str">
        <f aca="false">IF(IsPro,IF($D576="","",L576-R576),"")</f>
        <v/>
      </c>
      <c r="T576" s="60" t="str">
        <f aca="false">IF(IsPro,IF($D576="","",IF(U576="","UNKNOWN ITEM",IF(INDEX(Items!$O$5:$O$504,U576)&lt;0,"NEG STOCK",IF(K576&lt;INDEX(Items!$P$5:$P$504,U576),"BELOW COST","OK")))),IF($D576="","","PRO PLAN"))</f>
        <v/>
      </c>
      <c r="U576" s="60" t="str">
        <f aca="false">IF(IsPro,IF($D576="","",IFERROR(MATCH($D576,Items!$A$5:$A$504,0),"")),"")</f>
        <v/>
      </c>
      <c r="V576" s="60" t="str">
        <f aca="false">IF(IsPro,IF($C576="","",IFERROR(MATCH($C576,Parties!$A$5:$A$304,0),"")),"")</f>
        <v/>
      </c>
      <c r="W576" s="60" t="str">
        <f aca="false">IF(IsPro,IF($B576="","",IFERROR(VALUE(SUBSTITUTE($B576,InvPrefix,"")),0)),"")</f>
        <v/>
      </c>
      <c r="X576" s="61" t="str">
        <f aca="false">IF(IsPro,IF($D576="","",IF(OR($H576="",$H576="Credit"),0,Q576)),"")</f>
        <v/>
      </c>
    </row>
    <row r="577" customFormat="false" ht="15" hidden="false" customHeight="false" outlineLevel="0" collapsed="false">
      <c r="A577" s="55"/>
      <c r="B577" s="56"/>
      <c r="C577" s="56"/>
      <c r="D577" s="56"/>
      <c r="E577" s="57"/>
      <c r="F577" s="58"/>
      <c r="G577" s="59"/>
      <c r="H577" s="56"/>
      <c r="I577" s="56"/>
      <c r="J577" s="60" t="str">
        <f aca="false">IF(IsPro,IF($D577="","",IFERROR(INDEX(Items!$D$5:$D$504,U577),"")),"")</f>
        <v/>
      </c>
      <c r="K577" s="61" t="str">
        <f aca="false">IF(IsPro,IF($D577="","",IF($F577="",IFERROR(INDEX(Items!$H$5:$H$504,U577),0),$F577)),"")</f>
        <v/>
      </c>
      <c r="L577" s="61" t="str">
        <f aca="false">IF(IsPro,IF($D577="","",ROUND(N($E577)*K577*(1-N($G577)),2)),"")</f>
        <v/>
      </c>
      <c r="M577" s="62" t="str">
        <f aca="false">IF(IsPro,IF($D577="","",IFERROR(INDEX(Items!$F$5:$F$504,U577),0)),"")</f>
        <v/>
      </c>
      <c r="N577" s="61" t="str">
        <f aca="false">IF(IsPro,IF($D577="","",IF(AND(V577&lt;&gt;"",INDEX(Parties!$E$5:$E$304,V577)&lt;&gt;"",INDEX(Parties!$E$5:$E$304,V577)&lt;&gt;HomeState),0,ROUND(L577*M577/2,2))),"")</f>
        <v/>
      </c>
      <c r="O577" s="61" t="str">
        <f aca="false">IF(IsPro,IF($D577="","",N577),"")</f>
        <v/>
      </c>
      <c r="P577" s="61" t="str">
        <f aca="false">IF(IsPro,IF($D577="","",IF(AND(V577&lt;&gt;"",INDEX(Parties!$E$5:$E$304,V577)&lt;&gt;"",INDEX(Parties!$E$5:$E$304,V577)&lt;&gt;HomeState),ROUND(L577*M577,2),0)),"")</f>
        <v/>
      </c>
      <c r="Q577" s="61" t="str">
        <f aca="false">IF(IsPro,IF($D577="","",L577+N577+O577+P577),"")</f>
        <v/>
      </c>
      <c r="R577" s="61" t="str">
        <f aca="false">IF(IsPro,IF($D577="","",ROUND(N($E577)*IFERROR(INDEX(Items!$P$5:$P$504,U577),0),2)),"")</f>
        <v/>
      </c>
      <c r="S577" s="61" t="str">
        <f aca="false">IF(IsPro,IF($D577="","",L577-R577),"")</f>
        <v/>
      </c>
      <c r="T577" s="60" t="str">
        <f aca="false">IF(IsPro,IF($D577="","",IF(U577="","UNKNOWN ITEM",IF(INDEX(Items!$O$5:$O$504,U577)&lt;0,"NEG STOCK",IF(K577&lt;INDEX(Items!$P$5:$P$504,U577),"BELOW COST","OK")))),IF($D577="","","PRO PLAN"))</f>
        <v/>
      </c>
      <c r="U577" s="60" t="str">
        <f aca="false">IF(IsPro,IF($D577="","",IFERROR(MATCH($D577,Items!$A$5:$A$504,0),"")),"")</f>
        <v/>
      </c>
      <c r="V577" s="60" t="str">
        <f aca="false">IF(IsPro,IF($C577="","",IFERROR(MATCH($C577,Parties!$A$5:$A$304,0),"")),"")</f>
        <v/>
      </c>
      <c r="W577" s="60" t="str">
        <f aca="false">IF(IsPro,IF($B577="","",IFERROR(VALUE(SUBSTITUTE($B577,InvPrefix,"")),0)),"")</f>
        <v/>
      </c>
      <c r="X577" s="61" t="str">
        <f aca="false">IF(IsPro,IF($D577="","",IF(OR($H577="",$H577="Credit"),0,Q577)),"")</f>
        <v/>
      </c>
    </row>
    <row r="578" customFormat="false" ht="15" hidden="false" customHeight="false" outlineLevel="0" collapsed="false">
      <c r="A578" s="55"/>
      <c r="B578" s="56"/>
      <c r="C578" s="56"/>
      <c r="D578" s="56"/>
      <c r="E578" s="57"/>
      <c r="F578" s="58"/>
      <c r="G578" s="59"/>
      <c r="H578" s="56"/>
      <c r="I578" s="56"/>
      <c r="J578" s="60" t="str">
        <f aca="false">IF(IsPro,IF($D578="","",IFERROR(INDEX(Items!$D$5:$D$504,U578),"")),"")</f>
        <v/>
      </c>
      <c r="K578" s="61" t="str">
        <f aca="false">IF(IsPro,IF($D578="","",IF($F578="",IFERROR(INDEX(Items!$H$5:$H$504,U578),0),$F578)),"")</f>
        <v/>
      </c>
      <c r="L578" s="61" t="str">
        <f aca="false">IF(IsPro,IF($D578="","",ROUND(N($E578)*K578*(1-N($G578)),2)),"")</f>
        <v/>
      </c>
      <c r="M578" s="62" t="str">
        <f aca="false">IF(IsPro,IF($D578="","",IFERROR(INDEX(Items!$F$5:$F$504,U578),0)),"")</f>
        <v/>
      </c>
      <c r="N578" s="61" t="str">
        <f aca="false">IF(IsPro,IF($D578="","",IF(AND(V578&lt;&gt;"",INDEX(Parties!$E$5:$E$304,V578)&lt;&gt;"",INDEX(Parties!$E$5:$E$304,V578)&lt;&gt;HomeState),0,ROUND(L578*M578/2,2))),"")</f>
        <v/>
      </c>
      <c r="O578" s="61" t="str">
        <f aca="false">IF(IsPro,IF($D578="","",N578),"")</f>
        <v/>
      </c>
      <c r="P578" s="61" t="str">
        <f aca="false">IF(IsPro,IF($D578="","",IF(AND(V578&lt;&gt;"",INDEX(Parties!$E$5:$E$304,V578)&lt;&gt;"",INDEX(Parties!$E$5:$E$304,V578)&lt;&gt;HomeState),ROUND(L578*M578,2),0)),"")</f>
        <v/>
      </c>
      <c r="Q578" s="61" t="str">
        <f aca="false">IF(IsPro,IF($D578="","",L578+N578+O578+P578),"")</f>
        <v/>
      </c>
      <c r="R578" s="61" t="str">
        <f aca="false">IF(IsPro,IF($D578="","",ROUND(N($E578)*IFERROR(INDEX(Items!$P$5:$P$504,U578),0),2)),"")</f>
        <v/>
      </c>
      <c r="S578" s="61" t="str">
        <f aca="false">IF(IsPro,IF($D578="","",L578-R578),"")</f>
        <v/>
      </c>
      <c r="T578" s="60" t="str">
        <f aca="false">IF(IsPro,IF($D578="","",IF(U578="","UNKNOWN ITEM",IF(INDEX(Items!$O$5:$O$504,U578)&lt;0,"NEG STOCK",IF(K578&lt;INDEX(Items!$P$5:$P$504,U578),"BELOW COST","OK")))),IF($D578="","","PRO PLAN"))</f>
        <v/>
      </c>
      <c r="U578" s="60" t="str">
        <f aca="false">IF(IsPro,IF($D578="","",IFERROR(MATCH($D578,Items!$A$5:$A$504,0),"")),"")</f>
        <v/>
      </c>
      <c r="V578" s="60" t="str">
        <f aca="false">IF(IsPro,IF($C578="","",IFERROR(MATCH($C578,Parties!$A$5:$A$304,0),"")),"")</f>
        <v/>
      </c>
      <c r="W578" s="60" t="str">
        <f aca="false">IF(IsPro,IF($B578="","",IFERROR(VALUE(SUBSTITUTE($B578,InvPrefix,"")),0)),"")</f>
        <v/>
      </c>
      <c r="X578" s="61" t="str">
        <f aca="false">IF(IsPro,IF($D578="","",IF(OR($H578="",$H578="Credit"),0,Q578)),"")</f>
        <v/>
      </c>
    </row>
    <row r="579" customFormat="false" ht="15" hidden="false" customHeight="false" outlineLevel="0" collapsed="false">
      <c r="A579" s="55"/>
      <c r="B579" s="56"/>
      <c r="C579" s="56"/>
      <c r="D579" s="56"/>
      <c r="E579" s="57"/>
      <c r="F579" s="58"/>
      <c r="G579" s="59"/>
      <c r="H579" s="56"/>
      <c r="I579" s="56"/>
      <c r="J579" s="60" t="str">
        <f aca="false">IF(IsPro,IF($D579="","",IFERROR(INDEX(Items!$D$5:$D$504,U579),"")),"")</f>
        <v/>
      </c>
      <c r="K579" s="61" t="str">
        <f aca="false">IF(IsPro,IF($D579="","",IF($F579="",IFERROR(INDEX(Items!$H$5:$H$504,U579),0),$F579)),"")</f>
        <v/>
      </c>
      <c r="L579" s="61" t="str">
        <f aca="false">IF(IsPro,IF($D579="","",ROUND(N($E579)*K579*(1-N($G579)),2)),"")</f>
        <v/>
      </c>
      <c r="M579" s="62" t="str">
        <f aca="false">IF(IsPro,IF($D579="","",IFERROR(INDEX(Items!$F$5:$F$504,U579),0)),"")</f>
        <v/>
      </c>
      <c r="N579" s="61" t="str">
        <f aca="false">IF(IsPro,IF($D579="","",IF(AND(V579&lt;&gt;"",INDEX(Parties!$E$5:$E$304,V579)&lt;&gt;"",INDEX(Parties!$E$5:$E$304,V579)&lt;&gt;HomeState),0,ROUND(L579*M579/2,2))),"")</f>
        <v/>
      </c>
      <c r="O579" s="61" t="str">
        <f aca="false">IF(IsPro,IF($D579="","",N579),"")</f>
        <v/>
      </c>
      <c r="P579" s="61" t="str">
        <f aca="false">IF(IsPro,IF($D579="","",IF(AND(V579&lt;&gt;"",INDEX(Parties!$E$5:$E$304,V579)&lt;&gt;"",INDEX(Parties!$E$5:$E$304,V579)&lt;&gt;HomeState),ROUND(L579*M579,2),0)),"")</f>
        <v/>
      </c>
      <c r="Q579" s="61" t="str">
        <f aca="false">IF(IsPro,IF($D579="","",L579+N579+O579+P579),"")</f>
        <v/>
      </c>
      <c r="R579" s="61" t="str">
        <f aca="false">IF(IsPro,IF($D579="","",ROUND(N($E579)*IFERROR(INDEX(Items!$P$5:$P$504,U579),0),2)),"")</f>
        <v/>
      </c>
      <c r="S579" s="61" t="str">
        <f aca="false">IF(IsPro,IF($D579="","",L579-R579),"")</f>
        <v/>
      </c>
      <c r="T579" s="60" t="str">
        <f aca="false">IF(IsPro,IF($D579="","",IF(U579="","UNKNOWN ITEM",IF(INDEX(Items!$O$5:$O$504,U579)&lt;0,"NEG STOCK",IF(K579&lt;INDEX(Items!$P$5:$P$504,U579),"BELOW COST","OK")))),IF($D579="","","PRO PLAN"))</f>
        <v/>
      </c>
      <c r="U579" s="60" t="str">
        <f aca="false">IF(IsPro,IF($D579="","",IFERROR(MATCH($D579,Items!$A$5:$A$504,0),"")),"")</f>
        <v/>
      </c>
      <c r="V579" s="60" t="str">
        <f aca="false">IF(IsPro,IF($C579="","",IFERROR(MATCH($C579,Parties!$A$5:$A$304,0),"")),"")</f>
        <v/>
      </c>
      <c r="W579" s="60" t="str">
        <f aca="false">IF(IsPro,IF($B579="","",IFERROR(VALUE(SUBSTITUTE($B579,InvPrefix,"")),0)),"")</f>
        <v/>
      </c>
      <c r="X579" s="61" t="str">
        <f aca="false">IF(IsPro,IF($D579="","",IF(OR($H579="",$H579="Credit"),0,Q579)),"")</f>
        <v/>
      </c>
    </row>
    <row r="580" customFormat="false" ht="15" hidden="false" customHeight="false" outlineLevel="0" collapsed="false">
      <c r="A580" s="55"/>
      <c r="B580" s="56"/>
      <c r="C580" s="56"/>
      <c r="D580" s="56"/>
      <c r="E580" s="57"/>
      <c r="F580" s="58"/>
      <c r="G580" s="59"/>
      <c r="H580" s="56"/>
      <c r="I580" s="56"/>
      <c r="J580" s="60" t="str">
        <f aca="false">IF(IsPro,IF($D580="","",IFERROR(INDEX(Items!$D$5:$D$504,U580),"")),"")</f>
        <v/>
      </c>
      <c r="K580" s="61" t="str">
        <f aca="false">IF(IsPro,IF($D580="","",IF($F580="",IFERROR(INDEX(Items!$H$5:$H$504,U580),0),$F580)),"")</f>
        <v/>
      </c>
      <c r="L580" s="61" t="str">
        <f aca="false">IF(IsPro,IF($D580="","",ROUND(N($E580)*K580*(1-N($G580)),2)),"")</f>
        <v/>
      </c>
      <c r="M580" s="62" t="str">
        <f aca="false">IF(IsPro,IF($D580="","",IFERROR(INDEX(Items!$F$5:$F$504,U580),0)),"")</f>
        <v/>
      </c>
      <c r="N580" s="61" t="str">
        <f aca="false">IF(IsPro,IF($D580="","",IF(AND(V580&lt;&gt;"",INDEX(Parties!$E$5:$E$304,V580)&lt;&gt;"",INDEX(Parties!$E$5:$E$304,V580)&lt;&gt;HomeState),0,ROUND(L580*M580/2,2))),"")</f>
        <v/>
      </c>
      <c r="O580" s="61" t="str">
        <f aca="false">IF(IsPro,IF($D580="","",N580),"")</f>
        <v/>
      </c>
      <c r="P580" s="61" t="str">
        <f aca="false">IF(IsPro,IF($D580="","",IF(AND(V580&lt;&gt;"",INDEX(Parties!$E$5:$E$304,V580)&lt;&gt;"",INDEX(Parties!$E$5:$E$304,V580)&lt;&gt;HomeState),ROUND(L580*M580,2),0)),"")</f>
        <v/>
      </c>
      <c r="Q580" s="61" t="str">
        <f aca="false">IF(IsPro,IF($D580="","",L580+N580+O580+P580),"")</f>
        <v/>
      </c>
      <c r="R580" s="61" t="str">
        <f aca="false">IF(IsPro,IF($D580="","",ROUND(N($E580)*IFERROR(INDEX(Items!$P$5:$P$504,U580),0),2)),"")</f>
        <v/>
      </c>
      <c r="S580" s="61" t="str">
        <f aca="false">IF(IsPro,IF($D580="","",L580-R580),"")</f>
        <v/>
      </c>
      <c r="T580" s="60" t="str">
        <f aca="false">IF(IsPro,IF($D580="","",IF(U580="","UNKNOWN ITEM",IF(INDEX(Items!$O$5:$O$504,U580)&lt;0,"NEG STOCK",IF(K580&lt;INDEX(Items!$P$5:$P$504,U580),"BELOW COST","OK")))),IF($D580="","","PRO PLAN"))</f>
        <v/>
      </c>
      <c r="U580" s="60" t="str">
        <f aca="false">IF(IsPro,IF($D580="","",IFERROR(MATCH($D580,Items!$A$5:$A$504,0),"")),"")</f>
        <v/>
      </c>
      <c r="V580" s="60" t="str">
        <f aca="false">IF(IsPro,IF($C580="","",IFERROR(MATCH($C580,Parties!$A$5:$A$304,0),"")),"")</f>
        <v/>
      </c>
      <c r="W580" s="60" t="str">
        <f aca="false">IF(IsPro,IF($B580="","",IFERROR(VALUE(SUBSTITUTE($B580,InvPrefix,"")),0)),"")</f>
        <v/>
      </c>
      <c r="X580" s="61" t="str">
        <f aca="false">IF(IsPro,IF($D580="","",IF(OR($H580="",$H580="Credit"),0,Q580)),"")</f>
        <v/>
      </c>
    </row>
    <row r="581" customFormat="false" ht="15" hidden="false" customHeight="false" outlineLevel="0" collapsed="false">
      <c r="A581" s="55"/>
      <c r="B581" s="56"/>
      <c r="C581" s="56"/>
      <c r="D581" s="56"/>
      <c r="E581" s="57"/>
      <c r="F581" s="58"/>
      <c r="G581" s="59"/>
      <c r="H581" s="56"/>
      <c r="I581" s="56"/>
      <c r="J581" s="60" t="str">
        <f aca="false">IF(IsPro,IF($D581="","",IFERROR(INDEX(Items!$D$5:$D$504,U581),"")),"")</f>
        <v/>
      </c>
      <c r="K581" s="61" t="str">
        <f aca="false">IF(IsPro,IF($D581="","",IF($F581="",IFERROR(INDEX(Items!$H$5:$H$504,U581),0),$F581)),"")</f>
        <v/>
      </c>
      <c r="L581" s="61" t="str">
        <f aca="false">IF(IsPro,IF($D581="","",ROUND(N($E581)*K581*(1-N($G581)),2)),"")</f>
        <v/>
      </c>
      <c r="M581" s="62" t="str">
        <f aca="false">IF(IsPro,IF($D581="","",IFERROR(INDEX(Items!$F$5:$F$504,U581),0)),"")</f>
        <v/>
      </c>
      <c r="N581" s="61" t="str">
        <f aca="false">IF(IsPro,IF($D581="","",IF(AND(V581&lt;&gt;"",INDEX(Parties!$E$5:$E$304,V581)&lt;&gt;"",INDEX(Parties!$E$5:$E$304,V581)&lt;&gt;HomeState),0,ROUND(L581*M581/2,2))),"")</f>
        <v/>
      </c>
      <c r="O581" s="61" t="str">
        <f aca="false">IF(IsPro,IF($D581="","",N581),"")</f>
        <v/>
      </c>
      <c r="P581" s="61" t="str">
        <f aca="false">IF(IsPro,IF($D581="","",IF(AND(V581&lt;&gt;"",INDEX(Parties!$E$5:$E$304,V581)&lt;&gt;"",INDEX(Parties!$E$5:$E$304,V581)&lt;&gt;HomeState),ROUND(L581*M581,2),0)),"")</f>
        <v/>
      </c>
      <c r="Q581" s="61" t="str">
        <f aca="false">IF(IsPro,IF($D581="","",L581+N581+O581+P581),"")</f>
        <v/>
      </c>
      <c r="R581" s="61" t="str">
        <f aca="false">IF(IsPro,IF($D581="","",ROUND(N($E581)*IFERROR(INDEX(Items!$P$5:$P$504,U581),0),2)),"")</f>
        <v/>
      </c>
      <c r="S581" s="61" t="str">
        <f aca="false">IF(IsPro,IF($D581="","",L581-R581),"")</f>
        <v/>
      </c>
      <c r="T581" s="60" t="str">
        <f aca="false">IF(IsPro,IF($D581="","",IF(U581="","UNKNOWN ITEM",IF(INDEX(Items!$O$5:$O$504,U581)&lt;0,"NEG STOCK",IF(K581&lt;INDEX(Items!$P$5:$P$504,U581),"BELOW COST","OK")))),IF($D581="","","PRO PLAN"))</f>
        <v/>
      </c>
      <c r="U581" s="60" t="str">
        <f aca="false">IF(IsPro,IF($D581="","",IFERROR(MATCH($D581,Items!$A$5:$A$504,0),"")),"")</f>
        <v/>
      </c>
      <c r="V581" s="60" t="str">
        <f aca="false">IF(IsPro,IF($C581="","",IFERROR(MATCH($C581,Parties!$A$5:$A$304,0),"")),"")</f>
        <v/>
      </c>
      <c r="W581" s="60" t="str">
        <f aca="false">IF(IsPro,IF($B581="","",IFERROR(VALUE(SUBSTITUTE($B581,InvPrefix,"")),0)),"")</f>
        <v/>
      </c>
      <c r="X581" s="61" t="str">
        <f aca="false">IF(IsPro,IF($D581="","",IF(OR($H581="",$H581="Credit"),0,Q581)),"")</f>
        <v/>
      </c>
    </row>
    <row r="582" customFormat="false" ht="15" hidden="false" customHeight="false" outlineLevel="0" collapsed="false">
      <c r="A582" s="55"/>
      <c r="B582" s="56"/>
      <c r="C582" s="56"/>
      <c r="D582" s="56"/>
      <c r="E582" s="57"/>
      <c r="F582" s="58"/>
      <c r="G582" s="59"/>
      <c r="H582" s="56"/>
      <c r="I582" s="56"/>
      <c r="J582" s="60" t="str">
        <f aca="false">IF(IsPro,IF($D582="","",IFERROR(INDEX(Items!$D$5:$D$504,U582),"")),"")</f>
        <v/>
      </c>
      <c r="K582" s="61" t="str">
        <f aca="false">IF(IsPro,IF($D582="","",IF($F582="",IFERROR(INDEX(Items!$H$5:$H$504,U582),0),$F582)),"")</f>
        <v/>
      </c>
      <c r="L582" s="61" t="str">
        <f aca="false">IF(IsPro,IF($D582="","",ROUND(N($E582)*K582*(1-N($G582)),2)),"")</f>
        <v/>
      </c>
      <c r="M582" s="62" t="str">
        <f aca="false">IF(IsPro,IF($D582="","",IFERROR(INDEX(Items!$F$5:$F$504,U582),0)),"")</f>
        <v/>
      </c>
      <c r="N582" s="61" t="str">
        <f aca="false">IF(IsPro,IF($D582="","",IF(AND(V582&lt;&gt;"",INDEX(Parties!$E$5:$E$304,V582)&lt;&gt;"",INDEX(Parties!$E$5:$E$304,V582)&lt;&gt;HomeState),0,ROUND(L582*M582/2,2))),"")</f>
        <v/>
      </c>
      <c r="O582" s="61" t="str">
        <f aca="false">IF(IsPro,IF($D582="","",N582),"")</f>
        <v/>
      </c>
      <c r="P582" s="61" t="str">
        <f aca="false">IF(IsPro,IF($D582="","",IF(AND(V582&lt;&gt;"",INDEX(Parties!$E$5:$E$304,V582)&lt;&gt;"",INDEX(Parties!$E$5:$E$304,V582)&lt;&gt;HomeState),ROUND(L582*M582,2),0)),"")</f>
        <v/>
      </c>
      <c r="Q582" s="61" t="str">
        <f aca="false">IF(IsPro,IF($D582="","",L582+N582+O582+P582),"")</f>
        <v/>
      </c>
      <c r="R582" s="61" t="str">
        <f aca="false">IF(IsPro,IF($D582="","",ROUND(N($E582)*IFERROR(INDEX(Items!$P$5:$P$504,U582),0),2)),"")</f>
        <v/>
      </c>
      <c r="S582" s="61" t="str">
        <f aca="false">IF(IsPro,IF($D582="","",L582-R582),"")</f>
        <v/>
      </c>
      <c r="T582" s="60" t="str">
        <f aca="false">IF(IsPro,IF($D582="","",IF(U582="","UNKNOWN ITEM",IF(INDEX(Items!$O$5:$O$504,U582)&lt;0,"NEG STOCK",IF(K582&lt;INDEX(Items!$P$5:$P$504,U582),"BELOW COST","OK")))),IF($D582="","","PRO PLAN"))</f>
        <v/>
      </c>
      <c r="U582" s="60" t="str">
        <f aca="false">IF(IsPro,IF($D582="","",IFERROR(MATCH($D582,Items!$A$5:$A$504,0),"")),"")</f>
        <v/>
      </c>
      <c r="V582" s="60" t="str">
        <f aca="false">IF(IsPro,IF($C582="","",IFERROR(MATCH($C582,Parties!$A$5:$A$304,0),"")),"")</f>
        <v/>
      </c>
      <c r="W582" s="60" t="str">
        <f aca="false">IF(IsPro,IF($B582="","",IFERROR(VALUE(SUBSTITUTE($B582,InvPrefix,"")),0)),"")</f>
        <v/>
      </c>
      <c r="X582" s="61" t="str">
        <f aca="false">IF(IsPro,IF($D582="","",IF(OR($H582="",$H582="Credit"),0,Q582)),"")</f>
        <v/>
      </c>
    </row>
    <row r="583" customFormat="false" ht="15" hidden="false" customHeight="false" outlineLevel="0" collapsed="false">
      <c r="A583" s="55"/>
      <c r="B583" s="56"/>
      <c r="C583" s="56"/>
      <c r="D583" s="56"/>
      <c r="E583" s="57"/>
      <c r="F583" s="58"/>
      <c r="G583" s="59"/>
      <c r="H583" s="56"/>
      <c r="I583" s="56"/>
      <c r="J583" s="60" t="str">
        <f aca="false">IF(IsPro,IF($D583="","",IFERROR(INDEX(Items!$D$5:$D$504,U583),"")),"")</f>
        <v/>
      </c>
      <c r="K583" s="61" t="str">
        <f aca="false">IF(IsPro,IF($D583="","",IF($F583="",IFERROR(INDEX(Items!$H$5:$H$504,U583),0),$F583)),"")</f>
        <v/>
      </c>
      <c r="L583" s="61" t="str">
        <f aca="false">IF(IsPro,IF($D583="","",ROUND(N($E583)*K583*(1-N($G583)),2)),"")</f>
        <v/>
      </c>
      <c r="M583" s="62" t="str">
        <f aca="false">IF(IsPro,IF($D583="","",IFERROR(INDEX(Items!$F$5:$F$504,U583),0)),"")</f>
        <v/>
      </c>
      <c r="N583" s="61" t="str">
        <f aca="false">IF(IsPro,IF($D583="","",IF(AND(V583&lt;&gt;"",INDEX(Parties!$E$5:$E$304,V583)&lt;&gt;"",INDEX(Parties!$E$5:$E$304,V583)&lt;&gt;HomeState),0,ROUND(L583*M583/2,2))),"")</f>
        <v/>
      </c>
      <c r="O583" s="61" t="str">
        <f aca="false">IF(IsPro,IF($D583="","",N583),"")</f>
        <v/>
      </c>
      <c r="P583" s="61" t="str">
        <f aca="false">IF(IsPro,IF($D583="","",IF(AND(V583&lt;&gt;"",INDEX(Parties!$E$5:$E$304,V583)&lt;&gt;"",INDEX(Parties!$E$5:$E$304,V583)&lt;&gt;HomeState),ROUND(L583*M583,2),0)),"")</f>
        <v/>
      </c>
      <c r="Q583" s="61" t="str">
        <f aca="false">IF(IsPro,IF($D583="","",L583+N583+O583+P583),"")</f>
        <v/>
      </c>
      <c r="R583" s="61" t="str">
        <f aca="false">IF(IsPro,IF($D583="","",ROUND(N($E583)*IFERROR(INDEX(Items!$P$5:$P$504,U583),0),2)),"")</f>
        <v/>
      </c>
      <c r="S583" s="61" t="str">
        <f aca="false">IF(IsPro,IF($D583="","",L583-R583),"")</f>
        <v/>
      </c>
      <c r="T583" s="60" t="str">
        <f aca="false">IF(IsPro,IF($D583="","",IF(U583="","UNKNOWN ITEM",IF(INDEX(Items!$O$5:$O$504,U583)&lt;0,"NEG STOCK",IF(K583&lt;INDEX(Items!$P$5:$P$504,U583),"BELOW COST","OK")))),IF($D583="","","PRO PLAN"))</f>
        <v/>
      </c>
      <c r="U583" s="60" t="str">
        <f aca="false">IF(IsPro,IF($D583="","",IFERROR(MATCH($D583,Items!$A$5:$A$504,0),"")),"")</f>
        <v/>
      </c>
      <c r="V583" s="60" t="str">
        <f aca="false">IF(IsPro,IF($C583="","",IFERROR(MATCH($C583,Parties!$A$5:$A$304,0),"")),"")</f>
        <v/>
      </c>
      <c r="W583" s="60" t="str">
        <f aca="false">IF(IsPro,IF($B583="","",IFERROR(VALUE(SUBSTITUTE($B583,InvPrefix,"")),0)),"")</f>
        <v/>
      </c>
      <c r="X583" s="61" t="str">
        <f aca="false">IF(IsPro,IF($D583="","",IF(OR($H583="",$H583="Credit"),0,Q583)),"")</f>
        <v/>
      </c>
    </row>
    <row r="584" customFormat="false" ht="15" hidden="false" customHeight="false" outlineLevel="0" collapsed="false">
      <c r="A584" s="55"/>
      <c r="B584" s="56"/>
      <c r="C584" s="56"/>
      <c r="D584" s="56"/>
      <c r="E584" s="57"/>
      <c r="F584" s="58"/>
      <c r="G584" s="59"/>
      <c r="H584" s="56"/>
      <c r="I584" s="56"/>
      <c r="J584" s="60" t="str">
        <f aca="false">IF(IsPro,IF($D584="","",IFERROR(INDEX(Items!$D$5:$D$504,U584),"")),"")</f>
        <v/>
      </c>
      <c r="K584" s="61" t="str">
        <f aca="false">IF(IsPro,IF($D584="","",IF($F584="",IFERROR(INDEX(Items!$H$5:$H$504,U584),0),$F584)),"")</f>
        <v/>
      </c>
      <c r="L584" s="61" t="str">
        <f aca="false">IF(IsPro,IF($D584="","",ROUND(N($E584)*K584*(1-N($G584)),2)),"")</f>
        <v/>
      </c>
      <c r="M584" s="62" t="str">
        <f aca="false">IF(IsPro,IF($D584="","",IFERROR(INDEX(Items!$F$5:$F$504,U584),0)),"")</f>
        <v/>
      </c>
      <c r="N584" s="61" t="str">
        <f aca="false">IF(IsPro,IF($D584="","",IF(AND(V584&lt;&gt;"",INDEX(Parties!$E$5:$E$304,V584)&lt;&gt;"",INDEX(Parties!$E$5:$E$304,V584)&lt;&gt;HomeState),0,ROUND(L584*M584/2,2))),"")</f>
        <v/>
      </c>
      <c r="O584" s="61" t="str">
        <f aca="false">IF(IsPro,IF($D584="","",N584),"")</f>
        <v/>
      </c>
      <c r="P584" s="61" t="str">
        <f aca="false">IF(IsPro,IF($D584="","",IF(AND(V584&lt;&gt;"",INDEX(Parties!$E$5:$E$304,V584)&lt;&gt;"",INDEX(Parties!$E$5:$E$304,V584)&lt;&gt;HomeState),ROUND(L584*M584,2),0)),"")</f>
        <v/>
      </c>
      <c r="Q584" s="61" t="str">
        <f aca="false">IF(IsPro,IF($D584="","",L584+N584+O584+P584),"")</f>
        <v/>
      </c>
      <c r="R584" s="61" t="str">
        <f aca="false">IF(IsPro,IF($D584="","",ROUND(N($E584)*IFERROR(INDEX(Items!$P$5:$P$504,U584),0),2)),"")</f>
        <v/>
      </c>
      <c r="S584" s="61" t="str">
        <f aca="false">IF(IsPro,IF($D584="","",L584-R584),"")</f>
        <v/>
      </c>
      <c r="T584" s="60" t="str">
        <f aca="false">IF(IsPro,IF($D584="","",IF(U584="","UNKNOWN ITEM",IF(INDEX(Items!$O$5:$O$504,U584)&lt;0,"NEG STOCK",IF(K584&lt;INDEX(Items!$P$5:$P$504,U584),"BELOW COST","OK")))),IF($D584="","","PRO PLAN"))</f>
        <v/>
      </c>
      <c r="U584" s="60" t="str">
        <f aca="false">IF(IsPro,IF($D584="","",IFERROR(MATCH($D584,Items!$A$5:$A$504,0),"")),"")</f>
        <v/>
      </c>
      <c r="V584" s="60" t="str">
        <f aca="false">IF(IsPro,IF($C584="","",IFERROR(MATCH($C584,Parties!$A$5:$A$304,0),"")),"")</f>
        <v/>
      </c>
      <c r="W584" s="60" t="str">
        <f aca="false">IF(IsPro,IF($B584="","",IFERROR(VALUE(SUBSTITUTE($B584,InvPrefix,"")),0)),"")</f>
        <v/>
      </c>
      <c r="X584" s="61" t="str">
        <f aca="false">IF(IsPro,IF($D584="","",IF(OR($H584="",$H584="Credit"),0,Q584)),"")</f>
        <v/>
      </c>
    </row>
    <row r="585" customFormat="false" ht="15" hidden="false" customHeight="false" outlineLevel="0" collapsed="false">
      <c r="A585" s="55"/>
      <c r="B585" s="56"/>
      <c r="C585" s="56"/>
      <c r="D585" s="56"/>
      <c r="E585" s="57"/>
      <c r="F585" s="58"/>
      <c r="G585" s="59"/>
      <c r="H585" s="56"/>
      <c r="I585" s="56"/>
      <c r="J585" s="60" t="str">
        <f aca="false">IF(IsPro,IF($D585="","",IFERROR(INDEX(Items!$D$5:$D$504,U585),"")),"")</f>
        <v/>
      </c>
      <c r="K585" s="61" t="str">
        <f aca="false">IF(IsPro,IF($D585="","",IF($F585="",IFERROR(INDEX(Items!$H$5:$H$504,U585),0),$F585)),"")</f>
        <v/>
      </c>
      <c r="L585" s="61" t="str">
        <f aca="false">IF(IsPro,IF($D585="","",ROUND(N($E585)*K585*(1-N($G585)),2)),"")</f>
        <v/>
      </c>
      <c r="M585" s="62" t="str">
        <f aca="false">IF(IsPro,IF($D585="","",IFERROR(INDEX(Items!$F$5:$F$504,U585),0)),"")</f>
        <v/>
      </c>
      <c r="N585" s="61" t="str">
        <f aca="false">IF(IsPro,IF($D585="","",IF(AND(V585&lt;&gt;"",INDEX(Parties!$E$5:$E$304,V585)&lt;&gt;"",INDEX(Parties!$E$5:$E$304,V585)&lt;&gt;HomeState),0,ROUND(L585*M585/2,2))),"")</f>
        <v/>
      </c>
      <c r="O585" s="61" t="str">
        <f aca="false">IF(IsPro,IF($D585="","",N585),"")</f>
        <v/>
      </c>
      <c r="P585" s="61" t="str">
        <f aca="false">IF(IsPro,IF($D585="","",IF(AND(V585&lt;&gt;"",INDEX(Parties!$E$5:$E$304,V585)&lt;&gt;"",INDEX(Parties!$E$5:$E$304,V585)&lt;&gt;HomeState),ROUND(L585*M585,2),0)),"")</f>
        <v/>
      </c>
      <c r="Q585" s="61" t="str">
        <f aca="false">IF(IsPro,IF($D585="","",L585+N585+O585+P585),"")</f>
        <v/>
      </c>
      <c r="R585" s="61" t="str">
        <f aca="false">IF(IsPro,IF($D585="","",ROUND(N($E585)*IFERROR(INDEX(Items!$P$5:$P$504,U585),0),2)),"")</f>
        <v/>
      </c>
      <c r="S585" s="61" t="str">
        <f aca="false">IF(IsPro,IF($D585="","",L585-R585),"")</f>
        <v/>
      </c>
      <c r="T585" s="60" t="str">
        <f aca="false">IF(IsPro,IF($D585="","",IF(U585="","UNKNOWN ITEM",IF(INDEX(Items!$O$5:$O$504,U585)&lt;0,"NEG STOCK",IF(K585&lt;INDEX(Items!$P$5:$P$504,U585),"BELOW COST","OK")))),IF($D585="","","PRO PLAN"))</f>
        <v/>
      </c>
      <c r="U585" s="60" t="str">
        <f aca="false">IF(IsPro,IF($D585="","",IFERROR(MATCH($D585,Items!$A$5:$A$504,0),"")),"")</f>
        <v/>
      </c>
      <c r="V585" s="60" t="str">
        <f aca="false">IF(IsPro,IF($C585="","",IFERROR(MATCH($C585,Parties!$A$5:$A$304,0),"")),"")</f>
        <v/>
      </c>
      <c r="W585" s="60" t="str">
        <f aca="false">IF(IsPro,IF($B585="","",IFERROR(VALUE(SUBSTITUTE($B585,InvPrefix,"")),0)),"")</f>
        <v/>
      </c>
      <c r="X585" s="61" t="str">
        <f aca="false">IF(IsPro,IF($D585="","",IF(OR($H585="",$H585="Credit"),0,Q585)),"")</f>
        <v/>
      </c>
    </row>
    <row r="586" customFormat="false" ht="15" hidden="false" customHeight="false" outlineLevel="0" collapsed="false">
      <c r="A586" s="55"/>
      <c r="B586" s="56"/>
      <c r="C586" s="56"/>
      <c r="D586" s="56"/>
      <c r="E586" s="57"/>
      <c r="F586" s="58"/>
      <c r="G586" s="59"/>
      <c r="H586" s="56"/>
      <c r="I586" s="56"/>
      <c r="J586" s="60" t="str">
        <f aca="false">IF(IsPro,IF($D586="","",IFERROR(INDEX(Items!$D$5:$D$504,U586),"")),"")</f>
        <v/>
      </c>
      <c r="K586" s="61" t="str">
        <f aca="false">IF(IsPro,IF($D586="","",IF($F586="",IFERROR(INDEX(Items!$H$5:$H$504,U586),0),$F586)),"")</f>
        <v/>
      </c>
      <c r="L586" s="61" t="str">
        <f aca="false">IF(IsPro,IF($D586="","",ROUND(N($E586)*K586*(1-N($G586)),2)),"")</f>
        <v/>
      </c>
      <c r="M586" s="62" t="str">
        <f aca="false">IF(IsPro,IF($D586="","",IFERROR(INDEX(Items!$F$5:$F$504,U586),0)),"")</f>
        <v/>
      </c>
      <c r="N586" s="61" t="str">
        <f aca="false">IF(IsPro,IF($D586="","",IF(AND(V586&lt;&gt;"",INDEX(Parties!$E$5:$E$304,V586)&lt;&gt;"",INDEX(Parties!$E$5:$E$304,V586)&lt;&gt;HomeState),0,ROUND(L586*M586/2,2))),"")</f>
        <v/>
      </c>
      <c r="O586" s="61" t="str">
        <f aca="false">IF(IsPro,IF($D586="","",N586),"")</f>
        <v/>
      </c>
      <c r="P586" s="61" t="str">
        <f aca="false">IF(IsPro,IF($D586="","",IF(AND(V586&lt;&gt;"",INDEX(Parties!$E$5:$E$304,V586)&lt;&gt;"",INDEX(Parties!$E$5:$E$304,V586)&lt;&gt;HomeState),ROUND(L586*M586,2),0)),"")</f>
        <v/>
      </c>
      <c r="Q586" s="61" t="str">
        <f aca="false">IF(IsPro,IF($D586="","",L586+N586+O586+P586),"")</f>
        <v/>
      </c>
      <c r="R586" s="61" t="str">
        <f aca="false">IF(IsPro,IF($D586="","",ROUND(N($E586)*IFERROR(INDEX(Items!$P$5:$P$504,U586),0),2)),"")</f>
        <v/>
      </c>
      <c r="S586" s="61" t="str">
        <f aca="false">IF(IsPro,IF($D586="","",L586-R586),"")</f>
        <v/>
      </c>
      <c r="T586" s="60" t="str">
        <f aca="false">IF(IsPro,IF($D586="","",IF(U586="","UNKNOWN ITEM",IF(INDEX(Items!$O$5:$O$504,U586)&lt;0,"NEG STOCK",IF(K586&lt;INDEX(Items!$P$5:$P$504,U586),"BELOW COST","OK")))),IF($D586="","","PRO PLAN"))</f>
        <v/>
      </c>
      <c r="U586" s="60" t="str">
        <f aca="false">IF(IsPro,IF($D586="","",IFERROR(MATCH($D586,Items!$A$5:$A$504,0),"")),"")</f>
        <v/>
      </c>
      <c r="V586" s="60" t="str">
        <f aca="false">IF(IsPro,IF($C586="","",IFERROR(MATCH($C586,Parties!$A$5:$A$304,0),"")),"")</f>
        <v/>
      </c>
      <c r="W586" s="60" t="str">
        <f aca="false">IF(IsPro,IF($B586="","",IFERROR(VALUE(SUBSTITUTE($B586,InvPrefix,"")),0)),"")</f>
        <v/>
      </c>
      <c r="X586" s="61" t="str">
        <f aca="false">IF(IsPro,IF($D586="","",IF(OR($H586="",$H586="Credit"),0,Q586)),"")</f>
        <v/>
      </c>
    </row>
    <row r="587" customFormat="false" ht="15" hidden="false" customHeight="false" outlineLevel="0" collapsed="false">
      <c r="A587" s="55"/>
      <c r="B587" s="56"/>
      <c r="C587" s="56"/>
      <c r="D587" s="56"/>
      <c r="E587" s="57"/>
      <c r="F587" s="58"/>
      <c r="G587" s="59"/>
      <c r="H587" s="56"/>
      <c r="I587" s="56"/>
      <c r="J587" s="60" t="str">
        <f aca="false">IF(IsPro,IF($D587="","",IFERROR(INDEX(Items!$D$5:$D$504,U587),"")),"")</f>
        <v/>
      </c>
      <c r="K587" s="61" t="str">
        <f aca="false">IF(IsPro,IF($D587="","",IF($F587="",IFERROR(INDEX(Items!$H$5:$H$504,U587),0),$F587)),"")</f>
        <v/>
      </c>
      <c r="L587" s="61" t="str">
        <f aca="false">IF(IsPro,IF($D587="","",ROUND(N($E587)*K587*(1-N($G587)),2)),"")</f>
        <v/>
      </c>
      <c r="M587" s="62" t="str">
        <f aca="false">IF(IsPro,IF($D587="","",IFERROR(INDEX(Items!$F$5:$F$504,U587),0)),"")</f>
        <v/>
      </c>
      <c r="N587" s="61" t="str">
        <f aca="false">IF(IsPro,IF($D587="","",IF(AND(V587&lt;&gt;"",INDEX(Parties!$E$5:$E$304,V587)&lt;&gt;"",INDEX(Parties!$E$5:$E$304,V587)&lt;&gt;HomeState),0,ROUND(L587*M587/2,2))),"")</f>
        <v/>
      </c>
      <c r="O587" s="61" t="str">
        <f aca="false">IF(IsPro,IF($D587="","",N587),"")</f>
        <v/>
      </c>
      <c r="P587" s="61" t="str">
        <f aca="false">IF(IsPro,IF($D587="","",IF(AND(V587&lt;&gt;"",INDEX(Parties!$E$5:$E$304,V587)&lt;&gt;"",INDEX(Parties!$E$5:$E$304,V587)&lt;&gt;HomeState),ROUND(L587*M587,2),0)),"")</f>
        <v/>
      </c>
      <c r="Q587" s="61" t="str">
        <f aca="false">IF(IsPro,IF($D587="","",L587+N587+O587+P587),"")</f>
        <v/>
      </c>
      <c r="R587" s="61" t="str">
        <f aca="false">IF(IsPro,IF($D587="","",ROUND(N($E587)*IFERROR(INDEX(Items!$P$5:$P$504,U587),0),2)),"")</f>
        <v/>
      </c>
      <c r="S587" s="61" t="str">
        <f aca="false">IF(IsPro,IF($D587="","",L587-R587),"")</f>
        <v/>
      </c>
      <c r="T587" s="60" t="str">
        <f aca="false">IF(IsPro,IF($D587="","",IF(U587="","UNKNOWN ITEM",IF(INDEX(Items!$O$5:$O$504,U587)&lt;0,"NEG STOCK",IF(K587&lt;INDEX(Items!$P$5:$P$504,U587),"BELOW COST","OK")))),IF($D587="","","PRO PLAN"))</f>
        <v/>
      </c>
      <c r="U587" s="60" t="str">
        <f aca="false">IF(IsPro,IF($D587="","",IFERROR(MATCH($D587,Items!$A$5:$A$504,0),"")),"")</f>
        <v/>
      </c>
      <c r="V587" s="60" t="str">
        <f aca="false">IF(IsPro,IF($C587="","",IFERROR(MATCH($C587,Parties!$A$5:$A$304,0),"")),"")</f>
        <v/>
      </c>
      <c r="W587" s="60" t="str">
        <f aca="false">IF(IsPro,IF($B587="","",IFERROR(VALUE(SUBSTITUTE($B587,InvPrefix,"")),0)),"")</f>
        <v/>
      </c>
      <c r="X587" s="61" t="str">
        <f aca="false">IF(IsPro,IF($D587="","",IF(OR($H587="",$H587="Credit"),0,Q587)),"")</f>
        <v/>
      </c>
    </row>
    <row r="588" customFormat="false" ht="15" hidden="false" customHeight="false" outlineLevel="0" collapsed="false">
      <c r="A588" s="55"/>
      <c r="B588" s="56"/>
      <c r="C588" s="56"/>
      <c r="D588" s="56"/>
      <c r="E588" s="57"/>
      <c r="F588" s="58"/>
      <c r="G588" s="59"/>
      <c r="H588" s="56"/>
      <c r="I588" s="56"/>
      <c r="J588" s="60" t="str">
        <f aca="false">IF(IsPro,IF($D588="","",IFERROR(INDEX(Items!$D$5:$D$504,U588),"")),"")</f>
        <v/>
      </c>
      <c r="K588" s="61" t="str">
        <f aca="false">IF(IsPro,IF($D588="","",IF($F588="",IFERROR(INDEX(Items!$H$5:$H$504,U588),0),$F588)),"")</f>
        <v/>
      </c>
      <c r="L588" s="61" t="str">
        <f aca="false">IF(IsPro,IF($D588="","",ROUND(N($E588)*K588*(1-N($G588)),2)),"")</f>
        <v/>
      </c>
      <c r="M588" s="62" t="str">
        <f aca="false">IF(IsPro,IF($D588="","",IFERROR(INDEX(Items!$F$5:$F$504,U588),0)),"")</f>
        <v/>
      </c>
      <c r="N588" s="61" t="str">
        <f aca="false">IF(IsPro,IF($D588="","",IF(AND(V588&lt;&gt;"",INDEX(Parties!$E$5:$E$304,V588)&lt;&gt;"",INDEX(Parties!$E$5:$E$304,V588)&lt;&gt;HomeState),0,ROUND(L588*M588/2,2))),"")</f>
        <v/>
      </c>
      <c r="O588" s="61" t="str">
        <f aca="false">IF(IsPro,IF($D588="","",N588),"")</f>
        <v/>
      </c>
      <c r="P588" s="61" t="str">
        <f aca="false">IF(IsPro,IF($D588="","",IF(AND(V588&lt;&gt;"",INDEX(Parties!$E$5:$E$304,V588)&lt;&gt;"",INDEX(Parties!$E$5:$E$304,V588)&lt;&gt;HomeState),ROUND(L588*M588,2),0)),"")</f>
        <v/>
      </c>
      <c r="Q588" s="61" t="str">
        <f aca="false">IF(IsPro,IF($D588="","",L588+N588+O588+P588),"")</f>
        <v/>
      </c>
      <c r="R588" s="61" t="str">
        <f aca="false">IF(IsPro,IF($D588="","",ROUND(N($E588)*IFERROR(INDEX(Items!$P$5:$P$504,U588),0),2)),"")</f>
        <v/>
      </c>
      <c r="S588" s="61" t="str">
        <f aca="false">IF(IsPro,IF($D588="","",L588-R588),"")</f>
        <v/>
      </c>
      <c r="T588" s="60" t="str">
        <f aca="false">IF(IsPro,IF($D588="","",IF(U588="","UNKNOWN ITEM",IF(INDEX(Items!$O$5:$O$504,U588)&lt;0,"NEG STOCK",IF(K588&lt;INDEX(Items!$P$5:$P$504,U588),"BELOW COST","OK")))),IF($D588="","","PRO PLAN"))</f>
        <v/>
      </c>
      <c r="U588" s="60" t="str">
        <f aca="false">IF(IsPro,IF($D588="","",IFERROR(MATCH($D588,Items!$A$5:$A$504,0),"")),"")</f>
        <v/>
      </c>
      <c r="V588" s="60" t="str">
        <f aca="false">IF(IsPro,IF($C588="","",IFERROR(MATCH($C588,Parties!$A$5:$A$304,0),"")),"")</f>
        <v/>
      </c>
      <c r="W588" s="60" t="str">
        <f aca="false">IF(IsPro,IF($B588="","",IFERROR(VALUE(SUBSTITUTE($B588,InvPrefix,"")),0)),"")</f>
        <v/>
      </c>
      <c r="X588" s="61" t="str">
        <f aca="false">IF(IsPro,IF($D588="","",IF(OR($H588="",$H588="Credit"),0,Q588)),"")</f>
        <v/>
      </c>
    </row>
    <row r="589" customFormat="false" ht="15" hidden="false" customHeight="false" outlineLevel="0" collapsed="false">
      <c r="A589" s="55"/>
      <c r="B589" s="56"/>
      <c r="C589" s="56"/>
      <c r="D589" s="56"/>
      <c r="E589" s="57"/>
      <c r="F589" s="58"/>
      <c r="G589" s="59"/>
      <c r="H589" s="56"/>
      <c r="I589" s="56"/>
      <c r="J589" s="60" t="str">
        <f aca="false">IF(IsPro,IF($D589="","",IFERROR(INDEX(Items!$D$5:$D$504,U589),"")),"")</f>
        <v/>
      </c>
      <c r="K589" s="61" t="str">
        <f aca="false">IF(IsPro,IF($D589="","",IF($F589="",IFERROR(INDEX(Items!$H$5:$H$504,U589),0),$F589)),"")</f>
        <v/>
      </c>
      <c r="L589" s="61" t="str">
        <f aca="false">IF(IsPro,IF($D589="","",ROUND(N($E589)*K589*(1-N($G589)),2)),"")</f>
        <v/>
      </c>
      <c r="M589" s="62" t="str">
        <f aca="false">IF(IsPro,IF($D589="","",IFERROR(INDEX(Items!$F$5:$F$504,U589),0)),"")</f>
        <v/>
      </c>
      <c r="N589" s="61" t="str">
        <f aca="false">IF(IsPro,IF($D589="","",IF(AND(V589&lt;&gt;"",INDEX(Parties!$E$5:$E$304,V589)&lt;&gt;"",INDEX(Parties!$E$5:$E$304,V589)&lt;&gt;HomeState),0,ROUND(L589*M589/2,2))),"")</f>
        <v/>
      </c>
      <c r="O589" s="61" t="str">
        <f aca="false">IF(IsPro,IF($D589="","",N589),"")</f>
        <v/>
      </c>
      <c r="P589" s="61" t="str">
        <f aca="false">IF(IsPro,IF($D589="","",IF(AND(V589&lt;&gt;"",INDEX(Parties!$E$5:$E$304,V589)&lt;&gt;"",INDEX(Parties!$E$5:$E$304,V589)&lt;&gt;HomeState),ROUND(L589*M589,2),0)),"")</f>
        <v/>
      </c>
      <c r="Q589" s="61" t="str">
        <f aca="false">IF(IsPro,IF($D589="","",L589+N589+O589+P589),"")</f>
        <v/>
      </c>
      <c r="R589" s="61" t="str">
        <f aca="false">IF(IsPro,IF($D589="","",ROUND(N($E589)*IFERROR(INDEX(Items!$P$5:$P$504,U589),0),2)),"")</f>
        <v/>
      </c>
      <c r="S589" s="61" t="str">
        <f aca="false">IF(IsPro,IF($D589="","",L589-R589),"")</f>
        <v/>
      </c>
      <c r="T589" s="60" t="str">
        <f aca="false">IF(IsPro,IF($D589="","",IF(U589="","UNKNOWN ITEM",IF(INDEX(Items!$O$5:$O$504,U589)&lt;0,"NEG STOCK",IF(K589&lt;INDEX(Items!$P$5:$P$504,U589),"BELOW COST","OK")))),IF($D589="","","PRO PLAN"))</f>
        <v/>
      </c>
      <c r="U589" s="60" t="str">
        <f aca="false">IF(IsPro,IF($D589="","",IFERROR(MATCH($D589,Items!$A$5:$A$504,0),"")),"")</f>
        <v/>
      </c>
      <c r="V589" s="60" t="str">
        <f aca="false">IF(IsPro,IF($C589="","",IFERROR(MATCH($C589,Parties!$A$5:$A$304,0),"")),"")</f>
        <v/>
      </c>
      <c r="W589" s="60" t="str">
        <f aca="false">IF(IsPro,IF($B589="","",IFERROR(VALUE(SUBSTITUTE($B589,InvPrefix,"")),0)),"")</f>
        <v/>
      </c>
      <c r="X589" s="61" t="str">
        <f aca="false">IF(IsPro,IF($D589="","",IF(OR($H589="",$H589="Credit"),0,Q589)),"")</f>
        <v/>
      </c>
    </row>
    <row r="590" customFormat="false" ht="15" hidden="false" customHeight="false" outlineLevel="0" collapsed="false">
      <c r="A590" s="55"/>
      <c r="B590" s="56"/>
      <c r="C590" s="56"/>
      <c r="D590" s="56"/>
      <c r="E590" s="57"/>
      <c r="F590" s="58"/>
      <c r="G590" s="59"/>
      <c r="H590" s="56"/>
      <c r="I590" s="56"/>
      <c r="J590" s="60" t="str">
        <f aca="false">IF(IsPro,IF($D590="","",IFERROR(INDEX(Items!$D$5:$D$504,U590),"")),"")</f>
        <v/>
      </c>
      <c r="K590" s="61" t="str">
        <f aca="false">IF(IsPro,IF($D590="","",IF($F590="",IFERROR(INDEX(Items!$H$5:$H$504,U590),0),$F590)),"")</f>
        <v/>
      </c>
      <c r="L590" s="61" t="str">
        <f aca="false">IF(IsPro,IF($D590="","",ROUND(N($E590)*K590*(1-N($G590)),2)),"")</f>
        <v/>
      </c>
      <c r="M590" s="62" t="str">
        <f aca="false">IF(IsPro,IF($D590="","",IFERROR(INDEX(Items!$F$5:$F$504,U590),0)),"")</f>
        <v/>
      </c>
      <c r="N590" s="61" t="str">
        <f aca="false">IF(IsPro,IF($D590="","",IF(AND(V590&lt;&gt;"",INDEX(Parties!$E$5:$E$304,V590)&lt;&gt;"",INDEX(Parties!$E$5:$E$304,V590)&lt;&gt;HomeState),0,ROUND(L590*M590/2,2))),"")</f>
        <v/>
      </c>
      <c r="O590" s="61" t="str">
        <f aca="false">IF(IsPro,IF($D590="","",N590),"")</f>
        <v/>
      </c>
      <c r="P590" s="61" t="str">
        <f aca="false">IF(IsPro,IF($D590="","",IF(AND(V590&lt;&gt;"",INDEX(Parties!$E$5:$E$304,V590)&lt;&gt;"",INDEX(Parties!$E$5:$E$304,V590)&lt;&gt;HomeState),ROUND(L590*M590,2),0)),"")</f>
        <v/>
      </c>
      <c r="Q590" s="61" t="str">
        <f aca="false">IF(IsPro,IF($D590="","",L590+N590+O590+P590),"")</f>
        <v/>
      </c>
      <c r="R590" s="61" t="str">
        <f aca="false">IF(IsPro,IF($D590="","",ROUND(N($E590)*IFERROR(INDEX(Items!$P$5:$P$504,U590),0),2)),"")</f>
        <v/>
      </c>
      <c r="S590" s="61" t="str">
        <f aca="false">IF(IsPro,IF($D590="","",L590-R590),"")</f>
        <v/>
      </c>
      <c r="T590" s="60" t="str">
        <f aca="false">IF(IsPro,IF($D590="","",IF(U590="","UNKNOWN ITEM",IF(INDEX(Items!$O$5:$O$504,U590)&lt;0,"NEG STOCK",IF(K590&lt;INDEX(Items!$P$5:$P$504,U590),"BELOW COST","OK")))),IF($D590="","","PRO PLAN"))</f>
        <v/>
      </c>
      <c r="U590" s="60" t="str">
        <f aca="false">IF(IsPro,IF($D590="","",IFERROR(MATCH($D590,Items!$A$5:$A$504,0),"")),"")</f>
        <v/>
      </c>
      <c r="V590" s="60" t="str">
        <f aca="false">IF(IsPro,IF($C590="","",IFERROR(MATCH($C590,Parties!$A$5:$A$304,0),"")),"")</f>
        <v/>
      </c>
      <c r="W590" s="60" t="str">
        <f aca="false">IF(IsPro,IF($B590="","",IFERROR(VALUE(SUBSTITUTE($B590,InvPrefix,"")),0)),"")</f>
        <v/>
      </c>
      <c r="X590" s="61" t="str">
        <f aca="false">IF(IsPro,IF($D590="","",IF(OR($H590="",$H590="Credit"),0,Q590)),"")</f>
        <v/>
      </c>
    </row>
    <row r="591" customFormat="false" ht="15" hidden="false" customHeight="false" outlineLevel="0" collapsed="false">
      <c r="A591" s="55"/>
      <c r="B591" s="56"/>
      <c r="C591" s="56"/>
      <c r="D591" s="56"/>
      <c r="E591" s="57"/>
      <c r="F591" s="58"/>
      <c r="G591" s="59"/>
      <c r="H591" s="56"/>
      <c r="I591" s="56"/>
      <c r="J591" s="60" t="str">
        <f aca="false">IF(IsPro,IF($D591="","",IFERROR(INDEX(Items!$D$5:$D$504,U591),"")),"")</f>
        <v/>
      </c>
      <c r="K591" s="61" t="str">
        <f aca="false">IF(IsPro,IF($D591="","",IF($F591="",IFERROR(INDEX(Items!$H$5:$H$504,U591),0),$F591)),"")</f>
        <v/>
      </c>
      <c r="L591" s="61" t="str">
        <f aca="false">IF(IsPro,IF($D591="","",ROUND(N($E591)*K591*(1-N($G591)),2)),"")</f>
        <v/>
      </c>
      <c r="M591" s="62" t="str">
        <f aca="false">IF(IsPro,IF($D591="","",IFERROR(INDEX(Items!$F$5:$F$504,U591),0)),"")</f>
        <v/>
      </c>
      <c r="N591" s="61" t="str">
        <f aca="false">IF(IsPro,IF($D591="","",IF(AND(V591&lt;&gt;"",INDEX(Parties!$E$5:$E$304,V591)&lt;&gt;"",INDEX(Parties!$E$5:$E$304,V591)&lt;&gt;HomeState),0,ROUND(L591*M591/2,2))),"")</f>
        <v/>
      </c>
      <c r="O591" s="61" t="str">
        <f aca="false">IF(IsPro,IF($D591="","",N591),"")</f>
        <v/>
      </c>
      <c r="P591" s="61" t="str">
        <f aca="false">IF(IsPro,IF($D591="","",IF(AND(V591&lt;&gt;"",INDEX(Parties!$E$5:$E$304,V591)&lt;&gt;"",INDEX(Parties!$E$5:$E$304,V591)&lt;&gt;HomeState),ROUND(L591*M591,2),0)),"")</f>
        <v/>
      </c>
      <c r="Q591" s="61" t="str">
        <f aca="false">IF(IsPro,IF($D591="","",L591+N591+O591+P591),"")</f>
        <v/>
      </c>
      <c r="R591" s="61" t="str">
        <f aca="false">IF(IsPro,IF($D591="","",ROUND(N($E591)*IFERROR(INDEX(Items!$P$5:$P$504,U591),0),2)),"")</f>
        <v/>
      </c>
      <c r="S591" s="61" t="str">
        <f aca="false">IF(IsPro,IF($D591="","",L591-R591),"")</f>
        <v/>
      </c>
      <c r="T591" s="60" t="str">
        <f aca="false">IF(IsPro,IF($D591="","",IF(U591="","UNKNOWN ITEM",IF(INDEX(Items!$O$5:$O$504,U591)&lt;0,"NEG STOCK",IF(K591&lt;INDEX(Items!$P$5:$P$504,U591),"BELOW COST","OK")))),IF($D591="","","PRO PLAN"))</f>
        <v/>
      </c>
      <c r="U591" s="60" t="str">
        <f aca="false">IF(IsPro,IF($D591="","",IFERROR(MATCH($D591,Items!$A$5:$A$504,0),"")),"")</f>
        <v/>
      </c>
      <c r="V591" s="60" t="str">
        <f aca="false">IF(IsPro,IF($C591="","",IFERROR(MATCH($C591,Parties!$A$5:$A$304,0),"")),"")</f>
        <v/>
      </c>
      <c r="W591" s="60" t="str">
        <f aca="false">IF(IsPro,IF($B591="","",IFERROR(VALUE(SUBSTITUTE($B591,InvPrefix,"")),0)),"")</f>
        <v/>
      </c>
      <c r="X591" s="61" t="str">
        <f aca="false">IF(IsPro,IF($D591="","",IF(OR($H591="",$H591="Credit"),0,Q591)),"")</f>
        <v/>
      </c>
    </row>
    <row r="592" customFormat="false" ht="15" hidden="false" customHeight="false" outlineLevel="0" collapsed="false">
      <c r="A592" s="55"/>
      <c r="B592" s="56"/>
      <c r="C592" s="56"/>
      <c r="D592" s="56"/>
      <c r="E592" s="57"/>
      <c r="F592" s="58"/>
      <c r="G592" s="59"/>
      <c r="H592" s="56"/>
      <c r="I592" s="56"/>
      <c r="J592" s="60" t="str">
        <f aca="false">IF(IsPro,IF($D592="","",IFERROR(INDEX(Items!$D$5:$D$504,U592),"")),"")</f>
        <v/>
      </c>
      <c r="K592" s="61" t="str">
        <f aca="false">IF(IsPro,IF($D592="","",IF($F592="",IFERROR(INDEX(Items!$H$5:$H$504,U592),0),$F592)),"")</f>
        <v/>
      </c>
      <c r="L592" s="61" t="str">
        <f aca="false">IF(IsPro,IF($D592="","",ROUND(N($E592)*K592*(1-N($G592)),2)),"")</f>
        <v/>
      </c>
      <c r="M592" s="62" t="str">
        <f aca="false">IF(IsPro,IF($D592="","",IFERROR(INDEX(Items!$F$5:$F$504,U592),0)),"")</f>
        <v/>
      </c>
      <c r="N592" s="61" t="str">
        <f aca="false">IF(IsPro,IF($D592="","",IF(AND(V592&lt;&gt;"",INDEX(Parties!$E$5:$E$304,V592)&lt;&gt;"",INDEX(Parties!$E$5:$E$304,V592)&lt;&gt;HomeState),0,ROUND(L592*M592/2,2))),"")</f>
        <v/>
      </c>
      <c r="O592" s="61" t="str">
        <f aca="false">IF(IsPro,IF($D592="","",N592),"")</f>
        <v/>
      </c>
      <c r="P592" s="61" t="str">
        <f aca="false">IF(IsPro,IF($D592="","",IF(AND(V592&lt;&gt;"",INDEX(Parties!$E$5:$E$304,V592)&lt;&gt;"",INDEX(Parties!$E$5:$E$304,V592)&lt;&gt;HomeState),ROUND(L592*M592,2),0)),"")</f>
        <v/>
      </c>
      <c r="Q592" s="61" t="str">
        <f aca="false">IF(IsPro,IF($D592="","",L592+N592+O592+P592),"")</f>
        <v/>
      </c>
      <c r="R592" s="61" t="str">
        <f aca="false">IF(IsPro,IF($D592="","",ROUND(N($E592)*IFERROR(INDEX(Items!$P$5:$P$504,U592),0),2)),"")</f>
        <v/>
      </c>
      <c r="S592" s="61" t="str">
        <f aca="false">IF(IsPro,IF($D592="","",L592-R592),"")</f>
        <v/>
      </c>
      <c r="T592" s="60" t="str">
        <f aca="false">IF(IsPro,IF($D592="","",IF(U592="","UNKNOWN ITEM",IF(INDEX(Items!$O$5:$O$504,U592)&lt;0,"NEG STOCK",IF(K592&lt;INDEX(Items!$P$5:$P$504,U592),"BELOW COST","OK")))),IF($D592="","","PRO PLAN"))</f>
        <v/>
      </c>
      <c r="U592" s="60" t="str">
        <f aca="false">IF(IsPro,IF($D592="","",IFERROR(MATCH($D592,Items!$A$5:$A$504,0),"")),"")</f>
        <v/>
      </c>
      <c r="V592" s="60" t="str">
        <f aca="false">IF(IsPro,IF($C592="","",IFERROR(MATCH($C592,Parties!$A$5:$A$304,0),"")),"")</f>
        <v/>
      </c>
      <c r="W592" s="60" t="str">
        <f aca="false">IF(IsPro,IF($B592="","",IFERROR(VALUE(SUBSTITUTE($B592,InvPrefix,"")),0)),"")</f>
        <v/>
      </c>
      <c r="X592" s="61" t="str">
        <f aca="false">IF(IsPro,IF($D592="","",IF(OR($H592="",$H592="Credit"),0,Q592)),"")</f>
        <v/>
      </c>
    </row>
    <row r="593" customFormat="false" ht="15" hidden="false" customHeight="false" outlineLevel="0" collapsed="false">
      <c r="A593" s="55"/>
      <c r="B593" s="56"/>
      <c r="C593" s="56"/>
      <c r="D593" s="56"/>
      <c r="E593" s="57"/>
      <c r="F593" s="58"/>
      <c r="G593" s="59"/>
      <c r="H593" s="56"/>
      <c r="I593" s="56"/>
      <c r="J593" s="60" t="str">
        <f aca="false">IF(IsPro,IF($D593="","",IFERROR(INDEX(Items!$D$5:$D$504,U593),"")),"")</f>
        <v/>
      </c>
      <c r="K593" s="61" t="str">
        <f aca="false">IF(IsPro,IF($D593="","",IF($F593="",IFERROR(INDEX(Items!$H$5:$H$504,U593),0),$F593)),"")</f>
        <v/>
      </c>
      <c r="L593" s="61" t="str">
        <f aca="false">IF(IsPro,IF($D593="","",ROUND(N($E593)*K593*(1-N($G593)),2)),"")</f>
        <v/>
      </c>
      <c r="M593" s="62" t="str">
        <f aca="false">IF(IsPro,IF($D593="","",IFERROR(INDEX(Items!$F$5:$F$504,U593),0)),"")</f>
        <v/>
      </c>
      <c r="N593" s="61" t="str">
        <f aca="false">IF(IsPro,IF($D593="","",IF(AND(V593&lt;&gt;"",INDEX(Parties!$E$5:$E$304,V593)&lt;&gt;"",INDEX(Parties!$E$5:$E$304,V593)&lt;&gt;HomeState),0,ROUND(L593*M593/2,2))),"")</f>
        <v/>
      </c>
      <c r="O593" s="61" t="str">
        <f aca="false">IF(IsPro,IF($D593="","",N593),"")</f>
        <v/>
      </c>
      <c r="P593" s="61" t="str">
        <f aca="false">IF(IsPro,IF($D593="","",IF(AND(V593&lt;&gt;"",INDEX(Parties!$E$5:$E$304,V593)&lt;&gt;"",INDEX(Parties!$E$5:$E$304,V593)&lt;&gt;HomeState),ROUND(L593*M593,2),0)),"")</f>
        <v/>
      </c>
      <c r="Q593" s="61" t="str">
        <f aca="false">IF(IsPro,IF($D593="","",L593+N593+O593+P593),"")</f>
        <v/>
      </c>
      <c r="R593" s="61" t="str">
        <f aca="false">IF(IsPro,IF($D593="","",ROUND(N($E593)*IFERROR(INDEX(Items!$P$5:$P$504,U593),0),2)),"")</f>
        <v/>
      </c>
      <c r="S593" s="61" t="str">
        <f aca="false">IF(IsPro,IF($D593="","",L593-R593),"")</f>
        <v/>
      </c>
      <c r="T593" s="60" t="str">
        <f aca="false">IF(IsPro,IF($D593="","",IF(U593="","UNKNOWN ITEM",IF(INDEX(Items!$O$5:$O$504,U593)&lt;0,"NEG STOCK",IF(K593&lt;INDEX(Items!$P$5:$P$504,U593),"BELOW COST","OK")))),IF($D593="","","PRO PLAN"))</f>
        <v/>
      </c>
      <c r="U593" s="60" t="str">
        <f aca="false">IF(IsPro,IF($D593="","",IFERROR(MATCH($D593,Items!$A$5:$A$504,0),"")),"")</f>
        <v/>
      </c>
      <c r="V593" s="60" t="str">
        <f aca="false">IF(IsPro,IF($C593="","",IFERROR(MATCH($C593,Parties!$A$5:$A$304,0),"")),"")</f>
        <v/>
      </c>
      <c r="W593" s="60" t="str">
        <f aca="false">IF(IsPro,IF($B593="","",IFERROR(VALUE(SUBSTITUTE($B593,InvPrefix,"")),0)),"")</f>
        <v/>
      </c>
      <c r="X593" s="61" t="str">
        <f aca="false">IF(IsPro,IF($D593="","",IF(OR($H593="",$H593="Credit"),0,Q593)),"")</f>
        <v/>
      </c>
    </row>
    <row r="594" customFormat="false" ht="15" hidden="false" customHeight="false" outlineLevel="0" collapsed="false">
      <c r="A594" s="55"/>
      <c r="B594" s="56"/>
      <c r="C594" s="56"/>
      <c r="D594" s="56"/>
      <c r="E594" s="57"/>
      <c r="F594" s="58"/>
      <c r="G594" s="59"/>
      <c r="H594" s="56"/>
      <c r="I594" s="56"/>
      <c r="J594" s="60" t="str">
        <f aca="false">IF(IsPro,IF($D594="","",IFERROR(INDEX(Items!$D$5:$D$504,U594),"")),"")</f>
        <v/>
      </c>
      <c r="K594" s="61" t="str">
        <f aca="false">IF(IsPro,IF($D594="","",IF($F594="",IFERROR(INDEX(Items!$H$5:$H$504,U594),0),$F594)),"")</f>
        <v/>
      </c>
      <c r="L594" s="61" t="str">
        <f aca="false">IF(IsPro,IF($D594="","",ROUND(N($E594)*K594*(1-N($G594)),2)),"")</f>
        <v/>
      </c>
      <c r="M594" s="62" t="str">
        <f aca="false">IF(IsPro,IF($D594="","",IFERROR(INDEX(Items!$F$5:$F$504,U594),0)),"")</f>
        <v/>
      </c>
      <c r="N594" s="61" t="str">
        <f aca="false">IF(IsPro,IF($D594="","",IF(AND(V594&lt;&gt;"",INDEX(Parties!$E$5:$E$304,V594)&lt;&gt;"",INDEX(Parties!$E$5:$E$304,V594)&lt;&gt;HomeState),0,ROUND(L594*M594/2,2))),"")</f>
        <v/>
      </c>
      <c r="O594" s="61" t="str">
        <f aca="false">IF(IsPro,IF($D594="","",N594),"")</f>
        <v/>
      </c>
      <c r="P594" s="61" t="str">
        <f aca="false">IF(IsPro,IF($D594="","",IF(AND(V594&lt;&gt;"",INDEX(Parties!$E$5:$E$304,V594)&lt;&gt;"",INDEX(Parties!$E$5:$E$304,V594)&lt;&gt;HomeState),ROUND(L594*M594,2),0)),"")</f>
        <v/>
      </c>
      <c r="Q594" s="61" t="str">
        <f aca="false">IF(IsPro,IF($D594="","",L594+N594+O594+P594),"")</f>
        <v/>
      </c>
      <c r="R594" s="61" t="str">
        <f aca="false">IF(IsPro,IF($D594="","",ROUND(N($E594)*IFERROR(INDEX(Items!$P$5:$P$504,U594),0),2)),"")</f>
        <v/>
      </c>
      <c r="S594" s="61" t="str">
        <f aca="false">IF(IsPro,IF($D594="","",L594-R594),"")</f>
        <v/>
      </c>
      <c r="T594" s="60" t="str">
        <f aca="false">IF(IsPro,IF($D594="","",IF(U594="","UNKNOWN ITEM",IF(INDEX(Items!$O$5:$O$504,U594)&lt;0,"NEG STOCK",IF(K594&lt;INDEX(Items!$P$5:$P$504,U594),"BELOW COST","OK")))),IF($D594="","","PRO PLAN"))</f>
        <v/>
      </c>
      <c r="U594" s="60" t="str">
        <f aca="false">IF(IsPro,IF($D594="","",IFERROR(MATCH($D594,Items!$A$5:$A$504,0),"")),"")</f>
        <v/>
      </c>
      <c r="V594" s="60" t="str">
        <f aca="false">IF(IsPro,IF($C594="","",IFERROR(MATCH($C594,Parties!$A$5:$A$304,0),"")),"")</f>
        <v/>
      </c>
      <c r="W594" s="60" t="str">
        <f aca="false">IF(IsPro,IF($B594="","",IFERROR(VALUE(SUBSTITUTE($B594,InvPrefix,"")),0)),"")</f>
        <v/>
      </c>
      <c r="X594" s="61" t="str">
        <f aca="false">IF(IsPro,IF($D594="","",IF(OR($H594="",$H594="Credit"),0,Q594)),"")</f>
        <v/>
      </c>
    </row>
    <row r="595" customFormat="false" ht="15" hidden="false" customHeight="false" outlineLevel="0" collapsed="false">
      <c r="A595" s="55"/>
      <c r="B595" s="56"/>
      <c r="C595" s="56"/>
      <c r="D595" s="56"/>
      <c r="E595" s="57"/>
      <c r="F595" s="58"/>
      <c r="G595" s="59"/>
      <c r="H595" s="56"/>
      <c r="I595" s="56"/>
      <c r="J595" s="60" t="str">
        <f aca="false">IF(IsPro,IF($D595="","",IFERROR(INDEX(Items!$D$5:$D$504,U595),"")),"")</f>
        <v/>
      </c>
      <c r="K595" s="61" t="str">
        <f aca="false">IF(IsPro,IF($D595="","",IF($F595="",IFERROR(INDEX(Items!$H$5:$H$504,U595),0),$F595)),"")</f>
        <v/>
      </c>
      <c r="L595" s="61" t="str">
        <f aca="false">IF(IsPro,IF($D595="","",ROUND(N($E595)*K595*(1-N($G595)),2)),"")</f>
        <v/>
      </c>
      <c r="M595" s="62" t="str">
        <f aca="false">IF(IsPro,IF($D595="","",IFERROR(INDEX(Items!$F$5:$F$504,U595),0)),"")</f>
        <v/>
      </c>
      <c r="N595" s="61" t="str">
        <f aca="false">IF(IsPro,IF($D595="","",IF(AND(V595&lt;&gt;"",INDEX(Parties!$E$5:$E$304,V595)&lt;&gt;"",INDEX(Parties!$E$5:$E$304,V595)&lt;&gt;HomeState),0,ROUND(L595*M595/2,2))),"")</f>
        <v/>
      </c>
      <c r="O595" s="61" t="str">
        <f aca="false">IF(IsPro,IF($D595="","",N595),"")</f>
        <v/>
      </c>
      <c r="P595" s="61" t="str">
        <f aca="false">IF(IsPro,IF($D595="","",IF(AND(V595&lt;&gt;"",INDEX(Parties!$E$5:$E$304,V595)&lt;&gt;"",INDEX(Parties!$E$5:$E$304,V595)&lt;&gt;HomeState),ROUND(L595*M595,2),0)),"")</f>
        <v/>
      </c>
      <c r="Q595" s="61" t="str">
        <f aca="false">IF(IsPro,IF($D595="","",L595+N595+O595+P595),"")</f>
        <v/>
      </c>
      <c r="R595" s="61" t="str">
        <f aca="false">IF(IsPro,IF($D595="","",ROUND(N($E595)*IFERROR(INDEX(Items!$P$5:$P$504,U595),0),2)),"")</f>
        <v/>
      </c>
      <c r="S595" s="61" t="str">
        <f aca="false">IF(IsPro,IF($D595="","",L595-R595),"")</f>
        <v/>
      </c>
      <c r="T595" s="60" t="str">
        <f aca="false">IF(IsPro,IF($D595="","",IF(U595="","UNKNOWN ITEM",IF(INDEX(Items!$O$5:$O$504,U595)&lt;0,"NEG STOCK",IF(K595&lt;INDEX(Items!$P$5:$P$504,U595),"BELOW COST","OK")))),IF($D595="","","PRO PLAN"))</f>
        <v/>
      </c>
      <c r="U595" s="60" t="str">
        <f aca="false">IF(IsPro,IF($D595="","",IFERROR(MATCH($D595,Items!$A$5:$A$504,0),"")),"")</f>
        <v/>
      </c>
      <c r="V595" s="60" t="str">
        <f aca="false">IF(IsPro,IF($C595="","",IFERROR(MATCH($C595,Parties!$A$5:$A$304,0),"")),"")</f>
        <v/>
      </c>
      <c r="W595" s="60" t="str">
        <f aca="false">IF(IsPro,IF($B595="","",IFERROR(VALUE(SUBSTITUTE($B595,InvPrefix,"")),0)),"")</f>
        <v/>
      </c>
      <c r="X595" s="61" t="str">
        <f aca="false">IF(IsPro,IF($D595="","",IF(OR($H595="",$H595="Credit"),0,Q595)),"")</f>
        <v/>
      </c>
    </row>
    <row r="596" customFormat="false" ht="15" hidden="false" customHeight="false" outlineLevel="0" collapsed="false">
      <c r="A596" s="55"/>
      <c r="B596" s="56"/>
      <c r="C596" s="56"/>
      <c r="D596" s="56"/>
      <c r="E596" s="57"/>
      <c r="F596" s="58"/>
      <c r="G596" s="59"/>
      <c r="H596" s="56"/>
      <c r="I596" s="56"/>
      <c r="J596" s="60" t="str">
        <f aca="false">IF(IsPro,IF($D596="","",IFERROR(INDEX(Items!$D$5:$D$504,U596),"")),"")</f>
        <v/>
      </c>
      <c r="K596" s="61" t="str">
        <f aca="false">IF(IsPro,IF($D596="","",IF($F596="",IFERROR(INDEX(Items!$H$5:$H$504,U596),0),$F596)),"")</f>
        <v/>
      </c>
      <c r="L596" s="61" t="str">
        <f aca="false">IF(IsPro,IF($D596="","",ROUND(N($E596)*K596*(1-N($G596)),2)),"")</f>
        <v/>
      </c>
      <c r="M596" s="62" t="str">
        <f aca="false">IF(IsPro,IF($D596="","",IFERROR(INDEX(Items!$F$5:$F$504,U596),0)),"")</f>
        <v/>
      </c>
      <c r="N596" s="61" t="str">
        <f aca="false">IF(IsPro,IF($D596="","",IF(AND(V596&lt;&gt;"",INDEX(Parties!$E$5:$E$304,V596)&lt;&gt;"",INDEX(Parties!$E$5:$E$304,V596)&lt;&gt;HomeState),0,ROUND(L596*M596/2,2))),"")</f>
        <v/>
      </c>
      <c r="O596" s="61" t="str">
        <f aca="false">IF(IsPro,IF($D596="","",N596),"")</f>
        <v/>
      </c>
      <c r="P596" s="61" t="str">
        <f aca="false">IF(IsPro,IF($D596="","",IF(AND(V596&lt;&gt;"",INDEX(Parties!$E$5:$E$304,V596)&lt;&gt;"",INDEX(Parties!$E$5:$E$304,V596)&lt;&gt;HomeState),ROUND(L596*M596,2),0)),"")</f>
        <v/>
      </c>
      <c r="Q596" s="61" t="str">
        <f aca="false">IF(IsPro,IF($D596="","",L596+N596+O596+P596),"")</f>
        <v/>
      </c>
      <c r="R596" s="61" t="str">
        <f aca="false">IF(IsPro,IF($D596="","",ROUND(N($E596)*IFERROR(INDEX(Items!$P$5:$P$504,U596),0),2)),"")</f>
        <v/>
      </c>
      <c r="S596" s="61" t="str">
        <f aca="false">IF(IsPro,IF($D596="","",L596-R596),"")</f>
        <v/>
      </c>
      <c r="T596" s="60" t="str">
        <f aca="false">IF(IsPro,IF($D596="","",IF(U596="","UNKNOWN ITEM",IF(INDEX(Items!$O$5:$O$504,U596)&lt;0,"NEG STOCK",IF(K596&lt;INDEX(Items!$P$5:$P$504,U596),"BELOW COST","OK")))),IF($D596="","","PRO PLAN"))</f>
        <v/>
      </c>
      <c r="U596" s="60" t="str">
        <f aca="false">IF(IsPro,IF($D596="","",IFERROR(MATCH($D596,Items!$A$5:$A$504,0),"")),"")</f>
        <v/>
      </c>
      <c r="V596" s="60" t="str">
        <f aca="false">IF(IsPro,IF($C596="","",IFERROR(MATCH($C596,Parties!$A$5:$A$304,0),"")),"")</f>
        <v/>
      </c>
      <c r="W596" s="60" t="str">
        <f aca="false">IF(IsPro,IF($B596="","",IFERROR(VALUE(SUBSTITUTE($B596,InvPrefix,"")),0)),"")</f>
        <v/>
      </c>
      <c r="X596" s="61" t="str">
        <f aca="false">IF(IsPro,IF($D596="","",IF(OR($H596="",$H596="Credit"),0,Q596)),"")</f>
        <v/>
      </c>
    </row>
    <row r="597" customFormat="false" ht="15" hidden="false" customHeight="false" outlineLevel="0" collapsed="false">
      <c r="A597" s="55"/>
      <c r="B597" s="56"/>
      <c r="C597" s="56"/>
      <c r="D597" s="56"/>
      <c r="E597" s="57"/>
      <c r="F597" s="58"/>
      <c r="G597" s="59"/>
      <c r="H597" s="56"/>
      <c r="I597" s="56"/>
      <c r="J597" s="60" t="str">
        <f aca="false">IF(IsPro,IF($D597="","",IFERROR(INDEX(Items!$D$5:$D$504,U597),"")),"")</f>
        <v/>
      </c>
      <c r="K597" s="61" t="str">
        <f aca="false">IF(IsPro,IF($D597="","",IF($F597="",IFERROR(INDEX(Items!$H$5:$H$504,U597),0),$F597)),"")</f>
        <v/>
      </c>
      <c r="L597" s="61" t="str">
        <f aca="false">IF(IsPro,IF($D597="","",ROUND(N($E597)*K597*(1-N($G597)),2)),"")</f>
        <v/>
      </c>
      <c r="M597" s="62" t="str">
        <f aca="false">IF(IsPro,IF($D597="","",IFERROR(INDEX(Items!$F$5:$F$504,U597),0)),"")</f>
        <v/>
      </c>
      <c r="N597" s="61" t="str">
        <f aca="false">IF(IsPro,IF($D597="","",IF(AND(V597&lt;&gt;"",INDEX(Parties!$E$5:$E$304,V597)&lt;&gt;"",INDEX(Parties!$E$5:$E$304,V597)&lt;&gt;HomeState),0,ROUND(L597*M597/2,2))),"")</f>
        <v/>
      </c>
      <c r="O597" s="61" t="str">
        <f aca="false">IF(IsPro,IF($D597="","",N597),"")</f>
        <v/>
      </c>
      <c r="P597" s="61" t="str">
        <f aca="false">IF(IsPro,IF($D597="","",IF(AND(V597&lt;&gt;"",INDEX(Parties!$E$5:$E$304,V597)&lt;&gt;"",INDEX(Parties!$E$5:$E$304,V597)&lt;&gt;HomeState),ROUND(L597*M597,2),0)),"")</f>
        <v/>
      </c>
      <c r="Q597" s="61" t="str">
        <f aca="false">IF(IsPro,IF($D597="","",L597+N597+O597+P597),"")</f>
        <v/>
      </c>
      <c r="R597" s="61" t="str">
        <f aca="false">IF(IsPro,IF($D597="","",ROUND(N($E597)*IFERROR(INDEX(Items!$P$5:$P$504,U597),0),2)),"")</f>
        <v/>
      </c>
      <c r="S597" s="61" t="str">
        <f aca="false">IF(IsPro,IF($D597="","",L597-R597),"")</f>
        <v/>
      </c>
      <c r="T597" s="60" t="str">
        <f aca="false">IF(IsPro,IF($D597="","",IF(U597="","UNKNOWN ITEM",IF(INDEX(Items!$O$5:$O$504,U597)&lt;0,"NEG STOCK",IF(K597&lt;INDEX(Items!$P$5:$P$504,U597),"BELOW COST","OK")))),IF($D597="","","PRO PLAN"))</f>
        <v/>
      </c>
      <c r="U597" s="60" t="str">
        <f aca="false">IF(IsPro,IF($D597="","",IFERROR(MATCH($D597,Items!$A$5:$A$504,0),"")),"")</f>
        <v/>
      </c>
      <c r="V597" s="60" t="str">
        <f aca="false">IF(IsPro,IF($C597="","",IFERROR(MATCH($C597,Parties!$A$5:$A$304,0),"")),"")</f>
        <v/>
      </c>
      <c r="W597" s="60" t="str">
        <f aca="false">IF(IsPro,IF($B597="","",IFERROR(VALUE(SUBSTITUTE($B597,InvPrefix,"")),0)),"")</f>
        <v/>
      </c>
      <c r="X597" s="61" t="str">
        <f aca="false">IF(IsPro,IF($D597="","",IF(OR($H597="",$H597="Credit"),0,Q597)),"")</f>
        <v/>
      </c>
    </row>
    <row r="598" customFormat="false" ht="15" hidden="false" customHeight="false" outlineLevel="0" collapsed="false">
      <c r="A598" s="55"/>
      <c r="B598" s="56"/>
      <c r="C598" s="56"/>
      <c r="D598" s="56"/>
      <c r="E598" s="57"/>
      <c r="F598" s="58"/>
      <c r="G598" s="59"/>
      <c r="H598" s="56"/>
      <c r="I598" s="56"/>
      <c r="J598" s="60" t="str">
        <f aca="false">IF(IsPro,IF($D598="","",IFERROR(INDEX(Items!$D$5:$D$504,U598),"")),"")</f>
        <v/>
      </c>
      <c r="K598" s="61" t="str">
        <f aca="false">IF(IsPro,IF($D598="","",IF($F598="",IFERROR(INDEX(Items!$H$5:$H$504,U598),0),$F598)),"")</f>
        <v/>
      </c>
      <c r="L598" s="61" t="str">
        <f aca="false">IF(IsPro,IF($D598="","",ROUND(N($E598)*K598*(1-N($G598)),2)),"")</f>
        <v/>
      </c>
      <c r="M598" s="62" t="str">
        <f aca="false">IF(IsPro,IF($D598="","",IFERROR(INDEX(Items!$F$5:$F$504,U598),0)),"")</f>
        <v/>
      </c>
      <c r="N598" s="61" t="str">
        <f aca="false">IF(IsPro,IF($D598="","",IF(AND(V598&lt;&gt;"",INDEX(Parties!$E$5:$E$304,V598)&lt;&gt;"",INDEX(Parties!$E$5:$E$304,V598)&lt;&gt;HomeState),0,ROUND(L598*M598/2,2))),"")</f>
        <v/>
      </c>
      <c r="O598" s="61" t="str">
        <f aca="false">IF(IsPro,IF($D598="","",N598),"")</f>
        <v/>
      </c>
      <c r="P598" s="61" t="str">
        <f aca="false">IF(IsPro,IF($D598="","",IF(AND(V598&lt;&gt;"",INDEX(Parties!$E$5:$E$304,V598)&lt;&gt;"",INDEX(Parties!$E$5:$E$304,V598)&lt;&gt;HomeState),ROUND(L598*M598,2),0)),"")</f>
        <v/>
      </c>
      <c r="Q598" s="61" t="str">
        <f aca="false">IF(IsPro,IF($D598="","",L598+N598+O598+P598),"")</f>
        <v/>
      </c>
      <c r="R598" s="61" t="str">
        <f aca="false">IF(IsPro,IF($D598="","",ROUND(N($E598)*IFERROR(INDEX(Items!$P$5:$P$504,U598),0),2)),"")</f>
        <v/>
      </c>
      <c r="S598" s="61" t="str">
        <f aca="false">IF(IsPro,IF($D598="","",L598-R598),"")</f>
        <v/>
      </c>
      <c r="T598" s="60" t="str">
        <f aca="false">IF(IsPro,IF($D598="","",IF(U598="","UNKNOWN ITEM",IF(INDEX(Items!$O$5:$O$504,U598)&lt;0,"NEG STOCK",IF(K598&lt;INDEX(Items!$P$5:$P$504,U598),"BELOW COST","OK")))),IF($D598="","","PRO PLAN"))</f>
        <v/>
      </c>
      <c r="U598" s="60" t="str">
        <f aca="false">IF(IsPro,IF($D598="","",IFERROR(MATCH($D598,Items!$A$5:$A$504,0),"")),"")</f>
        <v/>
      </c>
      <c r="V598" s="60" t="str">
        <f aca="false">IF(IsPro,IF($C598="","",IFERROR(MATCH($C598,Parties!$A$5:$A$304,0),"")),"")</f>
        <v/>
      </c>
      <c r="W598" s="60" t="str">
        <f aca="false">IF(IsPro,IF($B598="","",IFERROR(VALUE(SUBSTITUTE($B598,InvPrefix,"")),0)),"")</f>
        <v/>
      </c>
      <c r="X598" s="61" t="str">
        <f aca="false">IF(IsPro,IF($D598="","",IF(OR($H598="",$H598="Credit"),0,Q598)),"")</f>
        <v/>
      </c>
    </row>
    <row r="599" customFormat="false" ht="15" hidden="false" customHeight="false" outlineLevel="0" collapsed="false">
      <c r="A599" s="55"/>
      <c r="B599" s="56"/>
      <c r="C599" s="56"/>
      <c r="D599" s="56"/>
      <c r="E599" s="57"/>
      <c r="F599" s="58"/>
      <c r="G599" s="59"/>
      <c r="H599" s="56"/>
      <c r="I599" s="56"/>
      <c r="J599" s="60" t="str">
        <f aca="false">IF(IsPro,IF($D599="","",IFERROR(INDEX(Items!$D$5:$D$504,U599),"")),"")</f>
        <v/>
      </c>
      <c r="K599" s="61" t="str">
        <f aca="false">IF(IsPro,IF($D599="","",IF($F599="",IFERROR(INDEX(Items!$H$5:$H$504,U599),0),$F599)),"")</f>
        <v/>
      </c>
      <c r="L599" s="61" t="str">
        <f aca="false">IF(IsPro,IF($D599="","",ROUND(N($E599)*K599*(1-N($G599)),2)),"")</f>
        <v/>
      </c>
      <c r="M599" s="62" t="str">
        <f aca="false">IF(IsPro,IF($D599="","",IFERROR(INDEX(Items!$F$5:$F$504,U599),0)),"")</f>
        <v/>
      </c>
      <c r="N599" s="61" t="str">
        <f aca="false">IF(IsPro,IF($D599="","",IF(AND(V599&lt;&gt;"",INDEX(Parties!$E$5:$E$304,V599)&lt;&gt;"",INDEX(Parties!$E$5:$E$304,V599)&lt;&gt;HomeState),0,ROUND(L599*M599/2,2))),"")</f>
        <v/>
      </c>
      <c r="O599" s="61" t="str">
        <f aca="false">IF(IsPro,IF($D599="","",N599),"")</f>
        <v/>
      </c>
      <c r="P599" s="61" t="str">
        <f aca="false">IF(IsPro,IF($D599="","",IF(AND(V599&lt;&gt;"",INDEX(Parties!$E$5:$E$304,V599)&lt;&gt;"",INDEX(Parties!$E$5:$E$304,V599)&lt;&gt;HomeState),ROUND(L599*M599,2),0)),"")</f>
        <v/>
      </c>
      <c r="Q599" s="61" t="str">
        <f aca="false">IF(IsPro,IF($D599="","",L599+N599+O599+P599),"")</f>
        <v/>
      </c>
      <c r="R599" s="61" t="str">
        <f aca="false">IF(IsPro,IF($D599="","",ROUND(N($E599)*IFERROR(INDEX(Items!$P$5:$P$504,U599),0),2)),"")</f>
        <v/>
      </c>
      <c r="S599" s="61" t="str">
        <f aca="false">IF(IsPro,IF($D599="","",L599-R599),"")</f>
        <v/>
      </c>
      <c r="T599" s="60" t="str">
        <f aca="false">IF(IsPro,IF($D599="","",IF(U599="","UNKNOWN ITEM",IF(INDEX(Items!$O$5:$O$504,U599)&lt;0,"NEG STOCK",IF(K599&lt;INDEX(Items!$P$5:$P$504,U599),"BELOW COST","OK")))),IF($D599="","","PRO PLAN"))</f>
        <v/>
      </c>
      <c r="U599" s="60" t="str">
        <f aca="false">IF(IsPro,IF($D599="","",IFERROR(MATCH($D599,Items!$A$5:$A$504,0),"")),"")</f>
        <v/>
      </c>
      <c r="V599" s="60" t="str">
        <f aca="false">IF(IsPro,IF($C599="","",IFERROR(MATCH($C599,Parties!$A$5:$A$304,0),"")),"")</f>
        <v/>
      </c>
      <c r="W599" s="60" t="str">
        <f aca="false">IF(IsPro,IF($B599="","",IFERROR(VALUE(SUBSTITUTE($B599,InvPrefix,"")),0)),"")</f>
        <v/>
      </c>
      <c r="X599" s="61" t="str">
        <f aca="false">IF(IsPro,IF($D599="","",IF(OR($H599="",$H599="Credit"),0,Q599)),"")</f>
        <v/>
      </c>
    </row>
    <row r="600" customFormat="false" ht="15" hidden="false" customHeight="false" outlineLevel="0" collapsed="false">
      <c r="A600" s="55"/>
      <c r="B600" s="56"/>
      <c r="C600" s="56"/>
      <c r="D600" s="56"/>
      <c r="E600" s="57"/>
      <c r="F600" s="58"/>
      <c r="G600" s="59"/>
      <c r="H600" s="56"/>
      <c r="I600" s="56"/>
      <c r="J600" s="60" t="str">
        <f aca="false">IF(IsPro,IF($D600="","",IFERROR(INDEX(Items!$D$5:$D$504,U600),"")),"")</f>
        <v/>
      </c>
      <c r="K600" s="61" t="str">
        <f aca="false">IF(IsPro,IF($D600="","",IF($F600="",IFERROR(INDEX(Items!$H$5:$H$504,U600),0),$F600)),"")</f>
        <v/>
      </c>
      <c r="L600" s="61" t="str">
        <f aca="false">IF(IsPro,IF($D600="","",ROUND(N($E600)*K600*(1-N($G600)),2)),"")</f>
        <v/>
      </c>
      <c r="M600" s="62" t="str">
        <f aca="false">IF(IsPro,IF($D600="","",IFERROR(INDEX(Items!$F$5:$F$504,U600),0)),"")</f>
        <v/>
      </c>
      <c r="N600" s="61" t="str">
        <f aca="false">IF(IsPro,IF($D600="","",IF(AND(V600&lt;&gt;"",INDEX(Parties!$E$5:$E$304,V600)&lt;&gt;"",INDEX(Parties!$E$5:$E$304,V600)&lt;&gt;HomeState),0,ROUND(L600*M600/2,2))),"")</f>
        <v/>
      </c>
      <c r="O600" s="61" t="str">
        <f aca="false">IF(IsPro,IF($D600="","",N600),"")</f>
        <v/>
      </c>
      <c r="P600" s="61" t="str">
        <f aca="false">IF(IsPro,IF($D600="","",IF(AND(V600&lt;&gt;"",INDEX(Parties!$E$5:$E$304,V600)&lt;&gt;"",INDEX(Parties!$E$5:$E$304,V600)&lt;&gt;HomeState),ROUND(L600*M600,2),0)),"")</f>
        <v/>
      </c>
      <c r="Q600" s="61" t="str">
        <f aca="false">IF(IsPro,IF($D600="","",L600+N600+O600+P600),"")</f>
        <v/>
      </c>
      <c r="R600" s="61" t="str">
        <f aca="false">IF(IsPro,IF($D600="","",ROUND(N($E600)*IFERROR(INDEX(Items!$P$5:$P$504,U600),0),2)),"")</f>
        <v/>
      </c>
      <c r="S600" s="61" t="str">
        <f aca="false">IF(IsPro,IF($D600="","",L600-R600),"")</f>
        <v/>
      </c>
      <c r="T600" s="60" t="str">
        <f aca="false">IF(IsPro,IF($D600="","",IF(U600="","UNKNOWN ITEM",IF(INDEX(Items!$O$5:$O$504,U600)&lt;0,"NEG STOCK",IF(K600&lt;INDEX(Items!$P$5:$P$504,U600),"BELOW COST","OK")))),IF($D600="","","PRO PLAN"))</f>
        <v/>
      </c>
      <c r="U600" s="60" t="str">
        <f aca="false">IF(IsPro,IF($D600="","",IFERROR(MATCH($D600,Items!$A$5:$A$504,0),"")),"")</f>
        <v/>
      </c>
      <c r="V600" s="60" t="str">
        <f aca="false">IF(IsPro,IF($C600="","",IFERROR(MATCH($C600,Parties!$A$5:$A$304,0),"")),"")</f>
        <v/>
      </c>
      <c r="W600" s="60" t="str">
        <f aca="false">IF(IsPro,IF($B600="","",IFERROR(VALUE(SUBSTITUTE($B600,InvPrefix,"")),0)),"")</f>
        <v/>
      </c>
      <c r="X600" s="61" t="str">
        <f aca="false">IF(IsPro,IF($D600="","",IF(OR($H600="",$H600="Credit"),0,Q600)),"")</f>
        <v/>
      </c>
    </row>
    <row r="601" customFormat="false" ht="15" hidden="false" customHeight="false" outlineLevel="0" collapsed="false">
      <c r="A601" s="55"/>
      <c r="B601" s="56"/>
      <c r="C601" s="56"/>
      <c r="D601" s="56"/>
      <c r="E601" s="57"/>
      <c r="F601" s="58"/>
      <c r="G601" s="59"/>
      <c r="H601" s="56"/>
      <c r="I601" s="56"/>
      <c r="J601" s="60" t="str">
        <f aca="false">IF(IsPro,IF($D601="","",IFERROR(INDEX(Items!$D$5:$D$504,U601),"")),"")</f>
        <v/>
      </c>
      <c r="K601" s="61" t="str">
        <f aca="false">IF(IsPro,IF($D601="","",IF($F601="",IFERROR(INDEX(Items!$H$5:$H$504,U601),0),$F601)),"")</f>
        <v/>
      </c>
      <c r="L601" s="61" t="str">
        <f aca="false">IF(IsPro,IF($D601="","",ROUND(N($E601)*K601*(1-N($G601)),2)),"")</f>
        <v/>
      </c>
      <c r="M601" s="62" t="str">
        <f aca="false">IF(IsPro,IF($D601="","",IFERROR(INDEX(Items!$F$5:$F$504,U601),0)),"")</f>
        <v/>
      </c>
      <c r="N601" s="61" t="str">
        <f aca="false">IF(IsPro,IF($D601="","",IF(AND(V601&lt;&gt;"",INDEX(Parties!$E$5:$E$304,V601)&lt;&gt;"",INDEX(Parties!$E$5:$E$304,V601)&lt;&gt;HomeState),0,ROUND(L601*M601/2,2))),"")</f>
        <v/>
      </c>
      <c r="O601" s="61" t="str">
        <f aca="false">IF(IsPro,IF($D601="","",N601),"")</f>
        <v/>
      </c>
      <c r="P601" s="61" t="str">
        <f aca="false">IF(IsPro,IF($D601="","",IF(AND(V601&lt;&gt;"",INDEX(Parties!$E$5:$E$304,V601)&lt;&gt;"",INDEX(Parties!$E$5:$E$304,V601)&lt;&gt;HomeState),ROUND(L601*M601,2),0)),"")</f>
        <v/>
      </c>
      <c r="Q601" s="61" t="str">
        <f aca="false">IF(IsPro,IF($D601="","",L601+N601+O601+P601),"")</f>
        <v/>
      </c>
      <c r="R601" s="61" t="str">
        <f aca="false">IF(IsPro,IF($D601="","",ROUND(N($E601)*IFERROR(INDEX(Items!$P$5:$P$504,U601),0),2)),"")</f>
        <v/>
      </c>
      <c r="S601" s="61" t="str">
        <f aca="false">IF(IsPro,IF($D601="","",L601-R601),"")</f>
        <v/>
      </c>
      <c r="T601" s="60" t="str">
        <f aca="false">IF(IsPro,IF($D601="","",IF(U601="","UNKNOWN ITEM",IF(INDEX(Items!$O$5:$O$504,U601)&lt;0,"NEG STOCK",IF(K601&lt;INDEX(Items!$P$5:$P$504,U601),"BELOW COST","OK")))),IF($D601="","","PRO PLAN"))</f>
        <v/>
      </c>
      <c r="U601" s="60" t="str">
        <f aca="false">IF(IsPro,IF($D601="","",IFERROR(MATCH($D601,Items!$A$5:$A$504,0),"")),"")</f>
        <v/>
      </c>
      <c r="V601" s="60" t="str">
        <f aca="false">IF(IsPro,IF($C601="","",IFERROR(MATCH($C601,Parties!$A$5:$A$304,0),"")),"")</f>
        <v/>
      </c>
      <c r="W601" s="60" t="str">
        <f aca="false">IF(IsPro,IF($B601="","",IFERROR(VALUE(SUBSTITUTE($B601,InvPrefix,"")),0)),"")</f>
        <v/>
      </c>
      <c r="X601" s="61" t="str">
        <f aca="false">IF(IsPro,IF($D601="","",IF(OR($H601="",$H601="Credit"),0,Q601)),"")</f>
        <v/>
      </c>
    </row>
    <row r="602" customFormat="false" ht="15" hidden="false" customHeight="false" outlineLevel="0" collapsed="false">
      <c r="A602" s="55"/>
      <c r="B602" s="56"/>
      <c r="C602" s="56"/>
      <c r="D602" s="56"/>
      <c r="E602" s="57"/>
      <c r="F602" s="58"/>
      <c r="G602" s="59"/>
      <c r="H602" s="56"/>
      <c r="I602" s="56"/>
      <c r="J602" s="60" t="str">
        <f aca="false">IF(IsPro,IF($D602="","",IFERROR(INDEX(Items!$D$5:$D$504,U602),"")),"")</f>
        <v/>
      </c>
      <c r="K602" s="61" t="str">
        <f aca="false">IF(IsPro,IF($D602="","",IF($F602="",IFERROR(INDEX(Items!$H$5:$H$504,U602),0),$F602)),"")</f>
        <v/>
      </c>
      <c r="L602" s="61" t="str">
        <f aca="false">IF(IsPro,IF($D602="","",ROUND(N($E602)*K602*(1-N($G602)),2)),"")</f>
        <v/>
      </c>
      <c r="M602" s="62" t="str">
        <f aca="false">IF(IsPro,IF($D602="","",IFERROR(INDEX(Items!$F$5:$F$504,U602),0)),"")</f>
        <v/>
      </c>
      <c r="N602" s="61" t="str">
        <f aca="false">IF(IsPro,IF($D602="","",IF(AND(V602&lt;&gt;"",INDEX(Parties!$E$5:$E$304,V602)&lt;&gt;"",INDEX(Parties!$E$5:$E$304,V602)&lt;&gt;HomeState),0,ROUND(L602*M602/2,2))),"")</f>
        <v/>
      </c>
      <c r="O602" s="61" t="str">
        <f aca="false">IF(IsPro,IF($D602="","",N602),"")</f>
        <v/>
      </c>
      <c r="P602" s="61" t="str">
        <f aca="false">IF(IsPro,IF($D602="","",IF(AND(V602&lt;&gt;"",INDEX(Parties!$E$5:$E$304,V602)&lt;&gt;"",INDEX(Parties!$E$5:$E$304,V602)&lt;&gt;HomeState),ROUND(L602*M602,2),0)),"")</f>
        <v/>
      </c>
      <c r="Q602" s="61" t="str">
        <f aca="false">IF(IsPro,IF($D602="","",L602+N602+O602+P602),"")</f>
        <v/>
      </c>
      <c r="R602" s="61" t="str">
        <f aca="false">IF(IsPro,IF($D602="","",ROUND(N($E602)*IFERROR(INDEX(Items!$P$5:$P$504,U602),0),2)),"")</f>
        <v/>
      </c>
      <c r="S602" s="61" t="str">
        <f aca="false">IF(IsPro,IF($D602="","",L602-R602),"")</f>
        <v/>
      </c>
      <c r="T602" s="60" t="str">
        <f aca="false">IF(IsPro,IF($D602="","",IF(U602="","UNKNOWN ITEM",IF(INDEX(Items!$O$5:$O$504,U602)&lt;0,"NEG STOCK",IF(K602&lt;INDEX(Items!$P$5:$P$504,U602),"BELOW COST","OK")))),IF($D602="","","PRO PLAN"))</f>
        <v/>
      </c>
      <c r="U602" s="60" t="str">
        <f aca="false">IF(IsPro,IF($D602="","",IFERROR(MATCH($D602,Items!$A$5:$A$504,0),"")),"")</f>
        <v/>
      </c>
      <c r="V602" s="60" t="str">
        <f aca="false">IF(IsPro,IF($C602="","",IFERROR(MATCH($C602,Parties!$A$5:$A$304,0),"")),"")</f>
        <v/>
      </c>
      <c r="W602" s="60" t="str">
        <f aca="false">IF(IsPro,IF($B602="","",IFERROR(VALUE(SUBSTITUTE($B602,InvPrefix,"")),0)),"")</f>
        <v/>
      </c>
      <c r="X602" s="61" t="str">
        <f aca="false">IF(IsPro,IF($D602="","",IF(OR($H602="",$H602="Credit"),0,Q602)),"")</f>
        <v/>
      </c>
    </row>
    <row r="603" customFormat="false" ht="15" hidden="false" customHeight="false" outlineLevel="0" collapsed="false">
      <c r="A603" s="55"/>
      <c r="B603" s="56"/>
      <c r="C603" s="56"/>
      <c r="D603" s="56"/>
      <c r="E603" s="57"/>
      <c r="F603" s="58"/>
      <c r="G603" s="59"/>
      <c r="H603" s="56"/>
      <c r="I603" s="56"/>
      <c r="J603" s="60" t="str">
        <f aca="false">IF(IsPro,IF($D603="","",IFERROR(INDEX(Items!$D$5:$D$504,U603),"")),"")</f>
        <v/>
      </c>
      <c r="K603" s="61" t="str">
        <f aca="false">IF(IsPro,IF($D603="","",IF($F603="",IFERROR(INDEX(Items!$H$5:$H$504,U603),0),$F603)),"")</f>
        <v/>
      </c>
      <c r="L603" s="61" t="str">
        <f aca="false">IF(IsPro,IF($D603="","",ROUND(N($E603)*K603*(1-N($G603)),2)),"")</f>
        <v/>
      </c>
      <c r="M603" s="62" t="str">
        <f aca="false">IF(IsPro,IF($D603="","",IFERROR(INDEX(Items!$F$5:$F$504,U603),0)),"")</f>
        <v/>
      </c>
      <c r="N603" s="61" t="str">
        <f aca="false">IF(IsPro,IF($D603="","",IF(AND(V603&lt;&gt;"",INDEX(Parties!$E$5:$E$304,V603)&lt;&gt;"",INDEX(Parties!$E$5:$E$304,V603)&lt;&gt;HomeState),0,ROUND(L603*M603/2,2))),"")</f>
        <v/>
      </c>
      <c r="O603" s="61" t="str">
        <f aca="false">IF(IsPro,IF($D603="","",N603),"")</f>
        <v/>
      </c>
      <c r="P603" s="61" t="str">
        <f aca="false">IF(IsPro,IF($D603="","",IF(AND(V603&lt;&gt;"",INDEX(Parties!$E$5:$E$304,V603)&lt;&gt;"",INDEX(Parties!$E$5:$E$304,V603)&lt;&gt;HomeState),ROUND(L603*M603,2),0)),"")</f>
        <v/>
      </c>
      <c r="Q603" s="61" t="str">
        <f aca="false">IF(IsPro,IF($D603="","",L603+N603+O603+P603),"")</f>
        <v/>
      </c>
      <c r="R603" s="61" t="str">
        <f aca="false">IF(IsPro,IF($D603="","",ROUND(N($E603)*IFERROR(INDEX(Items!$P$5:$P$504,U603),0),2)),"")</f>
        <v/>
      </c>
      <c r="S603" s="61" t="str">
        <f aca="false">IF(IsPro,IF($D603="","",L603-R603),"")</f>
        <v/>
      </c>
      <c r="T603" s="60" t="str">
        <f aca="false">IF(IsPro,IF($D603="","",IF(U603="","UNKNOWN ITEM",IF(INDEX(Items!$O$5:$O$504,U603)&lt;0,"NEG STOCK",IF(K603&lt;INDEX(Items!$P$5:$P$504,U603),"BELOW COST","OK")))),IF($D603="","","PRO PLAN"))</f>
        <v/>
      </c>
      <c r="U603" s="60" t="str">
        <f aca="false">IF(IsPro,IF($D603="","",IFERROR(MATCH($D603,Items!$A$5:$A$504,0),"")),"")</f>
        <v/>
      </c>
      <c r="V603" s="60" t="str">
        <f aca="false">IF(IsPro,IF($C603="","",IFERROR(MATCH($C603,Parties!$A$5:$A$304,0),"")),"")</f>
        <v/>
      </c>
      <c r="W603" s="60" t="str">
        <f aca="false">IF(IsPro,IF($B603="","",IFERROR(VALUE(SUBSTITUTE($B603,InvPrefix,"")),0)),"")</f>
        <v/>
      </c>
      <c r="X603" s="61" t="str">
        <f aca="false">IF(IsPro,IF($D603="","",IF(OR($H603="",$H603="Credit"),0,Q603)),"")</f>
        <v/>
      </c>
    </row>
    <row r="604" customFormat="false" ht="15" hidden="false" customHeight="false" outlineLevel="0" collapsed="false">
      <c r="A604" s="55"/>
      <c r="B604" s="56"/>
      <c r="C604" s="56"/>
      <c r="D604" s="56"/>
      <c r="E604" s="57"/>
      <c r="F604" s="58"/>
      <c r="G604" s="59"/>
      <c r="H604" s="56"/>
      <c r="I604" s="56"/>
      <c r="J604" s="60" t="str">
        <f aca="false">IF(IsPro,IF($D604="","",IFERROR(INDEX(Items!$D$5:$D$504,U604),"")),"")</f>
        <v/>
      </c>
      <c r="K604" s="61" t="str">
        <f aca="false">IF(IsPro,IF($D604="","",IF($F604="",IFERROR(INDEX(Items!$H$5:$H$504,U604),0),$F604)),"")</f>
        <v/>
      </c>
      <c r="L604" s="61" t="str">
        <f aca="false">IF(IsPro,IF($D604="","",ROUND(N($E604)*K604*(1-N($G604)),2)),"")</f>
        <v/>
      </c>
      <c r="M604" s="62" t="str">
        <f aca="false">IF(IsPro,IF($D604="","",IFERROR(INDEX(Items!$F$5:$F$504,U604),0)),"")</f>
        <v/>
      </c>
      <c r="N604" s="61" t="str">
        <f aca="false">IF(IsPro,IF($D604="","",IF(AND(V604&lt;&gt;"",INDEX(Parties!$E$5:$E$304,V604)&lt;&gt;"",INDEX(Parties!$E$5:$E$304,V604)&lt;&gt;HomeState),0,ROUND(L604*M604/2,2))),"")</f>
        <v/>
      </c>
      <c r="O604" s="61" t="str">
        <f aca="false">IF(IsPro,IF($D604="","",N604),"")</f>
        <v/>
      </c>
      <c r="P604" s="61" t="str">
        <f aca="false">IF(IsPro,IF($D604="","",IF(AND(V604&lt;&gt;"",INDEX(Parties!$E$5:$E$304,V604)&lt;&gt;"",INDEX(Parties!$E$5:$E$304,V604)&lt;&gt;HomeState),ROUND(L604*M604,2),0)),"")</f>
        <v/>
      </c>
      <c r="Q604" s="61" t="str">
        <f aca="false">IF(IsPro,IF($D604="","",L604+N604+O604+P604),"")</f>
        <v/>
      </c>
      <c r="R604" s="61" t="str">
        <f aca="false">IF(IsPro,IF($D604="","",ROUND(N($E604)*IFERROR(INDEX(Items!$P$5:$P$504,U604),0),2)),"")</f>
        <v/>
      </c>
      <c r="S604" s="61" t="str">
        <f aca="false">IF(IsPro,IF($D604="","",L604-R604),"")</f>
        <v/>
      </c>
      <c r="T604" s="60" t="str">
        <f aca="false">IF(IsPro,IF($D604="","",IF(U604="","UNKNOWN ITEM",IF(INDEX(Items!$O$5:$O$504,U604)&lt;0,"NEG STOCK",IF(K604&lt;INDEX(Items!$P$5:$P$504,U604),"BELOW COST","OK")))),IF($D604="","","PRO PLAN"))</f>
        <v/>
      </c>
      <c r="U604" s="60" t="str">
        <f aca="false">IF(IsPro,IF($D604="","",IFERROR(MATCH($D604,Items!$A$5:$A$504,0),"")),"")</f>
        <v/>
      </c>
      <c r="V604" s="60" t="str">
        <f aca="false">IF(IsPro,IF($C604="","",IFERROR(MATCH($C604,Parties!$A$5:$A$304,0),"")),"")</f>
        <v/>
      </c>
      <c r="W604" s="60" t="str">
        <f aca="false">IF(IsPro,IF($B604="","",IFERROR(VALUE(SUBSTITUTE($B604,InvPrefix,"")),0)),"")</f>
        <v/>
      </c>
      <c r="X604" s="61" t="str">
        <f aca="false">IF(IsPro,IF($D604="","",IF(OR($H604="",$H604="Credit"),0,Q604)),"")</f>
        <v/>
      </c>
    </row>
    <row r="605" customFormat="false" ht="15" hidden="false" customHeight="false" outlineLevel="0" collapsed="false">
      <c r="A605" s="55"/>
      <c r="B605" s="56"/>
      <c r="C605" s="56"/>
      <c r="D605" s="56"/>
      <c r="E605" s="57"/>
      <c r="F605" s="58"/>
      <c r="G605" s="59"/>
      <c r="H605" s="56"/>
      <c r="I605" s="56"/>
      <c r="J605" s="60" t="str">
        <f aca="false">IF(IsPro,IF($D605="","",IFERROR(INDEX(Items!$D$5:$D$504,U605),"")),"")</f>
        <v/>
      </c>
      <c r="K605" s="61" t="str">
        <f aca="false">IF(IsPro,IF($D605="","",IF($F605="",IFERROR(INDEX(Items!$H$5:$H$504,U605),0),$F605)),"")</f>
        <v/>
      </c>
      <c r="L605" s="61" t="str">
        <f aca="false">IF(IsPro,IF($D605="","",ROUND(N($E605)*K605*(1-N($G605)),2)),"")</f>
        <v/>
      </c>
      <c r="M605" s="62" t="str">
        <f aca="false">IF(IsPro,IF($D605="","",IFERROR(INDEX(Items!$F$5:$F$504,U605),0)),"")</f>
        <v/>
      </c>
      <c r="N605" s="61" t="str">
        <f aca="false">IF(IsPro,IF($D605="","",IF(AND(V605&lt;&gt;"",INDEX(Parties!$E$5:$E$304,V605)&lt;&gt;"",INDEX(Parties!$E$5:$E$304,V605)&lt;&gt;HomeState),0,ROUND(L605*M605/2,2))),"")</f>
        <v/>
      </c>
      <c r="O605" s="61" t="str">
        <f aca="false">IF(IsPro,IF($D605="","",N605),"")</f>
        <v/>
      </c>
      <c r="P605" s="61" t="str">
        <f aca="false">IF(IsPro,IF($D605="","",IF(AND(V605&lt;&gt;"",INDEX(Parties!$E$5:$E$304,V605)&lt;&gt;"",INDEX(Parties!$E$5:$E$304,V605)&lt;&gt;HomeState),ROUND(L605*M605,2),0)),"")</f>
        <v/>
      </c>
      <c r="Q605" s="61" t="str">
        <f aca="false">IF(IsPro,IF($D605="","",L605+N605+O605+P605),"")</f>
        <v/>
      </c>
      <c r="R605" s="61" t="str">
        <f aca="false">IF(IsPro,IF($D605="","",ROUND(N($E605)*IFERROR(INDEX(Items!$P$5:$P$504,U605),0),2)),"")</f>
        <v/>
      </c>
      <c r="S605" s="61" t="str">
        <f aca="false">IF(IsPro,IF($D605="","",L605-R605),"")</f>
        <v/>
      </c>
      <c r="T605" s="60" t="str">
        <f aca="false">IF(IsPro,IF($D605="","",IF(U605="","UNKNOWN ITEM",IF(INDEX(Items!$O$5:$O$504,U605)&lt;0,"NEG STOCK",IF(K605&lt;INDEX(Items!$P$5:$P$504,U605),"BELOW COST","OK")))),IF($D605="","","PRO PLAN"))</f>
        <v/>
      </c>
      <c r="U605" s="60" t="str">
        <f aca="false">IF(IsPro,IF($D605="","",IFERROR(MATCH($D605,Items!$A$5:$A$504,0),"")),"")</f>
        <v/>
      </c>
      <c r="V605" s="60" t="str">
        <f aca="false">IF(IsPro,IF($C605="","",IFERROR(MATCH($C605,Parties!$A$5:$A$304,0),"")),"")</f>
        <v/>
      </c>
      <c r="W605" s="60" t="str">
        <f aca="false">IF(IsPro,IF($B605="","",IFERROR(VALUE(SUBSTITUTE($B605,InvPrefix,"")),0)),"")</f>
        <v/>
      </c>
      <c r="X605" s="61" t="str">
        <f aca="false">IF(IsPro,IF($D605="","",IF(OR($H605="",$H605="Credit"),0,Q605)),"")</f>
        <v/>
      </c>
    </row>
    <row r="606" customFormat="false" ht="15" hidden="false" customHeight="false" outlineLevel="0" collapsed="false">
      <c r="A606" s="55"/>
      <c r="B606" s="56"/>
      <c r="C606" s="56"/>
      <c r="D606" s="56"/>
      <c r="E606" s="57"/>
      <c r="F606" s="58"/>
      <c r="G606" s="59"/>
      <c r="H606" s="56"/>
      <c r="I606" s="56"/>
      <c r="J606" s="60" t="str">
        <f aca="false">IF(IsPro,IF($D606="","",IFERROR(INDEX(Items!$D$5:$D$504,U606),"")),"")</f>
        <v/>
      </c>
      <c r="K606" s="61" t="str">
        <f aca="false">IF(IsPro,IF($D606="","",IF($F606="",IFERROR(INDEX(Items!$H$5:$H$504,U606),0),$F606)),"")</f>
        <v/>
      </c>
      <c r="L606" s="61" t="str">
        <f aca="false">IF(IsPro,IF($D606="","",ROUND(N($E606)*K606*(1-N($G606)),2)),"")</f>
        <v/>
      </c>
      <c r="M606" s="62" t="str">
        <f aca="false">IF(IsPro,IF($D606="","",IFERROR(INDEX(Items!$F$5:$F$504,U606),0)),"")</f>
        <v/>
      </c>
      <c r="N606" s="61" t="str">
        <f aca="false">IF(IsPro,IF($D606="","",IF(AND(V606&lt;&gt;"",INDEX(Parties!$E$5:$E$304,V606)&lt;&gt;"",INDEX(Parties!$E$5:$E$304,V606)&lt;&gt;HomeState),0,ROUND(L606*M606/2,2))),"")</f>
        <v/>
      </c>
      <c r="O606" s="61" t="str">
        <f aca="false">IF(IsPro,IF($D606="","",N606),"")</f>
        <v/>
      </c>
      <c r="P606" s="61" t="str">
        <f aca="false">IF(IsPro,IF($D606="","",IF(AND(V606&lt;&gt;"",INDEX(Parties!$E$5:$E$304,V606)&lt;&gt;"",INDEX(Parties!$E$5:$E$304,V606)&lt;&gt;HomeState),ROUND(L606*M606,2),0)),"")</f>
        <v/>
      </c>
      <c r="Q606" s="61" t="str">
        <f aca="false">IF(IsPro,IF($D606="","",L606+N606+O606+P606),"")</f>
        <v/>
      </c>
      <c r="R606" s="61" t="str">
        <f aca="false">IF(IsPro,IF($D606="","",ROUND(N($E606)*IFERROR(INDEX(Items!$P$5:$P$504,U606),0),2)),"")</f>
        <v/>
      </c>
      <c r="S606" s="61" t="str">
        <f aca="false">IF(IsPro,IF($D606="","",L606-R606),"")</f>
        <v/>
      </c>
      <c r="T606" s="60" t="str">
        <f aca="false">IF(IsPro,IF($D606="","",IF(U606="","UNKNOWN ITEM",IF(INDEX(Items!$O$5:$O$504,U606)&lt;0,"NEG STOCK",IF(K606&lt;INDEX(Items!$P$5:$P$504,U606),"BELOW COST","OK")))),IF($D606="","","PRO PLAN"))</f>
        <v/>
      </c>
      <c r="U606" s="60" t="str">
        <f aca="false">IF(IsPro,IF($D606="","",IFERROR(MATCH($D606,Items!$A$5:$A$504,0),"")),"")</f>
        <v/>
      </c>
      <c r="V606" s="60" t="str">
        <f aca="false">IF(IsPro,IF($C606="","",IFERROR(MATCH($C606,Parties!$A$5:$A$304,0),"")),"")</f>
        <v/>
      </c>
      <c r="W606" s="60" t="str">
        <f aca="false">IF(IsPro,IF($B606="","",IFERROR(VALUE(SUBSTITUTE($B606,InvPrefix,"")),0)),"")</f>
        <v/>
      </c>
      <c r="X606" s="61" t="str">
        <f aca="false">IF(IsPro,IF($D606="","",IF(OR($H606="",$H606="Credit"),0,Q606)),"")</f>
        <v/>
      </c>
    </row>
    <row r="607" customFormat="false" ht="15" hidden="false" customHeight="false" outlineLevel="0" collapsed="false">
      <c r="A607" s="55"/>
      <c r="B607" s="56"/>
      <c r="C607" s="56"/>
      <c r="D607" s="56"/>
      <c r="E607" s="57"/>
      <c r="F607" s="58"/>
      <c r="G607" s="59"/>
      <c r="H607" s="56"/>
      <c r="I607" s="56"/>
      <c r="J607" s="60" t="str">
        <f aca="false">IF(IsPro,IF($D607="","",IFERROR(INDEX(Items!$D$5:$D$504,U607),"")),"")</f>
        <v/>
      </c>
      <c r="K607" s="61" t="str">
        <f aca="false">IF(IsPro,IF($D607="","",IF($F607="",IFERROR(INDEX(Items!$H$5:$H$504,U607),0),$F607)),"")</f>
        <v/>
      </c>
      <c r="L607" s="61" t="str">
        <f aca="false">IF(IsPro,IF($D607="","",ROUND(N($E607)*K607*(1-N($G607)),2)),"")</f>
        <v/>
      </c>
      <c r="M607" s="62" t="str">
        <f aca="false">IF(IsPro,IF($D607="","",IFERROR(INDEX(Items!$F$5:$F$504,U607),0)),"")</f>
        <v/>
      </c>
      <c r="N607" s="61" t="str">
        <f aca="false">IF(IsPro,IF($D607="","",IF(AND(V607&lt;&gt;"",INDEX(Parties!$E$5:$E$304,V607)&lt;&gt;"",INDEX(Parties!$E$5:$E$304,V607)&lt;&gt;HomeState),0,ROUND(L607*M607/2,2))),"")</f>
        <v/>
      </c>
      <c r="O607" s="61" t="str">
        <f aca="false">IF(IsPro,IF($D607="","",N607),"")</f>
        <v/>
      </c>
      <c r="P607" s="61" t="str">
        <f aca="false">IF(IsPro,IF($D607="","",IF(AND(V607&lt;&gt;"",INDEX(Parties!$E$5:$E$304,V607)&lt;&gt;"",INDEX(Parties!$E$5:$E$304,V607)&lt;&gt;HomeState),ROUND(L607*M607,2),0)),"")</f>
        <v/>
      </c>
      <c r="Q607" s="61" t="str">
        <f aca="false">IF(IsPro,IF($D607="","",L607+N607+O607+P607),"")</f>
        <v/>
      </c>
      <c r="R607" s="61" t="str">
        <f aca="false">IF(IsPro,IF($D607="","",ROUND(N($E607)*IFERROR(INDEX(Items!$P$5:$P$504,U607),0),2)),"")</f>
        <v/>
      </c>
      <c r="S607" s="61" t="str">
        <f aca="false">IF(IsPro,IF($D607="","",L607-R607),"")</f>
        <v/>
      </c>
      <c r="T607" s="60" t="str">
        <f aca="false">IF(IsPro,IF($D607="","",IF(U607="","UNKNOWN ITEM",IF(INDEX(Items!$O$5:$O$504,U607)&lt;0,"NEG STOCK",IF(K607&lt;INDEX(Items!$P$5:$P$504,U607),"BELOW COST","OK")))),IF($D607="","","PRO PLAN"))</f>
        <v/>
      </c>
      <c r="U607" s="60" t="str">
        <f aca="false">IF(IsPro,IF($D607="","",IFERROR(MATCH($D607,Items!$A$5:$A$504,0),"")),"")</f>
        <v/>
      </c>
      <c r="V607" s="60" t="str">
        <f aca="false">IF(IsPro,IF($C607="","",IFERROR(MATCH($C607,Parties!$A$5:$A$304,0),"")),"")</f>
        <v/>
      </c>
      <c r="W607" s="60" t="str">
        <f aca="false">IF(IsPro,IF($B607="","",IFERROR(VALUE(SUBSTITUTE($B607,InvPrefix,"")),0)),"")</f>
        <v/>
      </c>
      <c r="X607" s="61" t="str">
        <f aca="false">IF(IsPro,IF($D607="","",IF(OR($H607="",$H607="Credit"),0,Q607)),"")</f>
        <v/>
      </c>
    </row>
    <row r="608" customFormat="false" ht="15" hidden="false" customHeight="false" outlineLevel="0" collapsed="false">
      <c r="A608" s="55"/>
      <c r="B608" s="56"/>
      <c r="C608" s="56"/>
      <c r="D608" s="56"/>
      <c r="E608" s="57"/>
      <c r="F608" s="58"/>
      <c r="G608" s="59"/>
      <c r="H608" s="56"/>
      <c r="I608" s="56"/>
      <c r="J608" s="60" t="str">
        <f aca="false">IF(IsPro,IF($D608="","",IFERROR(INDEX(Items!$D$5:$D$504,U608),"")),"")</f>
        <v/>
      </c>
      <c r="K608" s="61" t="str">
        <f aca="false">IF(IsPro,IF($D608="","",IF($F608="",IFERROR(INDEX(Items!$H$5:$H$504,U608),0),$F608)),"")</f>
        <v/>
      </c>
      <c r="L608" s="61" t="str">
        <f aca="false">IF(IsPro,IF($D608="","",ROUND(N($E608)*K608*(1-N($G608)),2)),"")</f>
        <v/>
      </c>
      <c r="M608" s="62" t="str">
        <f aca="false">IF(IsPro,IF($D608="","",IFERROR(INDEX(Items!$F$5:$F$504,U608),0)),"")</f>
        <v/>
      </c>
      <c r="N608" s="61" t="str">
        <f aca="false">IF(IsPro,IF($D608="","",IF(AND(V608&lt;&gt;"",INDEX(Parties!$E$5:$E$304,V608)&lt;&gt;"",INDEX(Parties!$E$5:$E$304,V608)&lt;&gt;HomeState),0,ROUND(L608*M608/2,2))),"")</f>
        <v/>
      </c>
      <c r="O608" s="61" t="str">
        <f aca="false">IF(IsPro,IF($D608="","",N608),"")</f>
        <v/>
      </c>
      <c r="P608" s="61" t="str">
        <f aca="false">IF(IsPro,IF($D608="","",IF(AND(V608&lt;&gt;"",INDEX(Parties!$E$5:$E$304,V608)&lt;&gt;"",INDEX(Parties!$E$5:$E$304,V608)&lt;&gt;HomeState),ROUND(L608*M608,2),0)),"")</f>
        <v/>
      </c>
      <c r="Q608" s="61" t="str">
        <f aca="false">IF(IsPro,IF($D608="","",L608+N608+O608+P608),"")</f>
        <v/>
      </c>
      <c r="R608" s="61" t="str">
        <f aca="false">IF(IsPro,IF($D608="","",ROUND(N($E608)*IFERROR(INDEX(Items!$P$5:$P$504,U608),0),2)),"")</f>
        <v/>
      </c>
      <c r="S608" s="61" t="str">
        <f aca="false">IF(IsPro,IF($D608="","",L608-R608),"")</f>
        <v/>
      </c>
      <c r="T608" s="60" t="str">
        <f aca="false">IF(IsPro,IF($D608="","",IF(U608="","UNKNOWN ITEM",IF(INDEX(Items!$O$5:$O$504,U608)&lt;0,"NEG STOCK",IF(K608&lt;INDEX(Items!$P$5:$P$504,U608),"BELOW COST","OK")))),IF($D608="","","PRO PLAN"))</f>
        <v/>
      </c>
      <c r="U608" s="60" t="str">
        <f aca="false">IF(IsPro,IF($D608="","",IFERROR(MATCH($D608,Items!$A$5:$A$504,0),"")),"")</f>
        <v/>
      </c>
      <c r="V608" s="60" t="str">
        <f aca="false">IF(IsPro,IF($C608="","",IFERROR(MATCH($C608,Parties!$A$5:$A$304,0),"")),"")</f>
        <v/>
      </c>
      <c r="W608" s="60" t="str">
        <f aca="false">IF(IsPro,IF($B608="","",IFERROR(VALUE(SUBSTITUTE($B608,InvPrefix,"")),0)),"")</f>
        <v/>
      </c>
      <c r="X608" s="61" t="str">
        <f aca="false">IF(IsPro,IF($D608="","",IF(OR($H608="",$H608="Credit"),0,Q608)),"")</f>
        <v/>
      </c>
    </row>
    <row r="609" customFormat="false" ht="15" hidden="false" customHeight="false" outlineLevel="0" collapsed="false">
      <c r="A609" s="55"/>
      <c r="B609" s="56"/>
      <c r="C609" s="56"/>
      <c r="D609" s="56"/>
      <c r="E609" s="57"/>
      <c r="F609" s="58"/>
      <c r="G609" s="59"/>
      <c r="H609" s="56"/>
      <c r="I609" s="56"/>
      <c r="J609" s="60" t="str">
        <f aca="false">IF(IsPro,IF($D609="","",IFERROR(INDEX(Items!$D$5:$D$504,U609),"")),"")</f>
        <v/>
      </c>
      <c r="K609" s="61" t="str">
        <f aca="false">IF(IsPro,IF($D609="","",IF($F609="",IFERROR(INDEX(Items!$H$5:$H$504,U609),0),$F609)),"")</f>
        <v/>
      </c>
      <c r="L609" s="61" t="str">
        <f aca="false">IF(IsPro,IF($D609="","",ROUND(N($E609)*K609*(1-N($G609)),2)),"")</f>
        <v/>
      </c>
      <c r="M609" s="62" t="str">
        <f aca="false">IF(IsPro,IF($D609="","",IFERROR(INDEX(Items!$F$5:$F$504,U609),0)),"")</f>
        <v/>
      </c>
      <c r="N609" s="61" t="str">
        <f aca="false">IF(IsPro,IF($D609="","",IF(AND(V609&lt;&gt;"",INDEX(Parties!$E$5:$E$304,V609)&lt;&gt;"",INDEX(Parties!$E$5:$E$304,V609)&lt;&gt;HomeState),0,ROUND(L609*M609/2,2))),"")</f>
        <v/>
      </c>
      <c r="O609" s="61" t="str">
        <f aca="false">IF(IsPro,IF($D609="","",N609),"")</f>
        <v/>
      </c>
      <c r="P609" s="61" t="str">
        <f aca="false">IF(IsPro,IF($D609="","",IF(AND(V609&lt;&gt;"",INDEX(Parties!$E$5:$E$304,V609)&lt;&gt;"",INDEX(Parties!$E$5:$E$304,V609)&lt;&gt;HomeState),ROUND(L609*M609,2),0)),"")</f>
        <v/>
      </c>
      <c r="Q609" s="61" t="str">
        <f aca="false">IF(IsPro,IF($D609="","",L609+N609+O609+P609),"")</f>
        <v/>
      </c>
      <c r="R609" s="61" t="str">
        <f aca="false">IF(IsPro,IF($D609="","",ROUND(N($E609)*IFERROR(INDEX(Items!$P$5:$P$504,U609),0),2)),"")</f>
        <v/>
      </c>
      <c r="S609" s="61" t="str">
        <f aca="false">IF(IsPro,IF($D609="","",L609-R609),"")</f>
        <v/>
      </c>
      <c r="T609" s="60" t="str">
        <f aca="false">IF(IsPro,IF($D609="","",IF(U609="","UNKNOWN ITEM",IF(INDEX(Items!$O$5:$O$504,U609)&lt;0,"NEG STOCK",IF(K609&lt;INDEX(Items!$P$5:$P$504,U609),"BELOW COST","OK")))),IF($D609="","","PRO PLAN"))</f>
        <v/>
      </c>
      <c r="U609" s="60" t="str">
        <f aca="false">IF(IsPro,IF($D609="","",IFERROR(MATCH($D609,Items!$A$5:$A$504,0),"")),"")</f>
        <v/>
      </c>
      <c r="V609" s="60" t="str">
        <f aca="false">IF(IsPro,IF($C609="","",IFERROR(MATCH($C609,Parties!$A$5:$A$304,0),"")),"")</f>
        <v/>
      </c>
      <c r="W609" s="60" t="str">
        <f aca="false">IF(IsPro,IF($B609="","",IFERROR(VALUE(SUBSTITUTE($B609,InvPrefix,"")),0)),"")</f>
        <v/>
      </c>
      <c r="X609" s="61" t="str">
        <f aca="false">IF(IsPro,IF($D609="","",IF(OR($H609="",$H609="Credit"),0,Q609)),"")</f>
        <v/>
      </c>
    </row>
    <row r="610" customFormat="false" ht="15" hidden="false" customHeight="false" outlineLevel="0" collapsed="false">
      <c r="A610" s="55"/>
      <c r="B610" s="56"/>
      <c r="C610" s="56"/>
      <c r="D610" s="56"/>
      <c r="E610" s="57"/>
      <c r="F610" s="58"/>
      <c r="G610" s="59"/>
      <c r="H610" s="56"/>
      <c r="I610" s="56"/>
      <c r="J610" s="60" t="str">
        <f aca="false">IF(IsPro,IF($D610="","",IFERROR(INDEX(Items!$D$5:$D$504,U610),"")),"")</f>
        <v/>
      </c>
      <c r="K610" s="61" t="str">
        <f aca="false">IF(IsPro,IF($D610="","",IF($F610="",IFERROR(INDEX(Items!$H$5:$H$504,U610),0),$F610)),"")</f>
        <v/>
      </c>
      <c r="L610" s="61" t="str">
        <f aca="false">IF(IsPro,IF($D610="","",ROUND(N($E610)*K610*(1-N($G610)),2)),"")</f>
        <v/>
      </c>
      <c r="M610" s="62" t="str">
        <f aca="false">IF(IsPro,IF($D610="","",IFERROR(INDEX(Items!$F$5:$F$504,U610),0)),"")</f>
        <v/>
      </c>
      <c r="N610" s="61" t="str">
        <f aca="false">IF(IsPro,IF($D610="","",IF(AND(V610&lt;&gt;"",INDEX(Parties!$E$5:$E$304,V610)&lt;&gt;"",INDEX(Parties!$E$5:$E$304,V610)&lt;&gt;HomeState),0,ROUND(L610*M610/2,2))),"")</f>
        <v/>
      </c>
      <c r="O610" s="61" t="str">
        <f aca="false">IF(IsPro,IF($D610="","",N610),"")</f>
        <v/>
      </c>
      <c r="P610" s="61" t="str">
        <f aca="false">IF(IsPro,IF($D610="","",IF(AND(V610&lt;&gt;"",INDEX(Parties!$E$5:$E$304,V610)&lt;&gt;"",INDEX(Parties!$E$5:$E$304,V610)&lt;&gt;HomeState),ROUND(L610*M610,2),0)),"")</f>
        <v/>
      </c>
      <c r="Q610" s="61" t="str">
        <f aca="false">IF(IsPro,IF($D610="","",L610+N610+O610+P610),"")</f>
        <v/>
      </c>
      <c r="R610" s="61" t="str">
        <f aca="false">IF(IsPro,IF($D610="","",ROUND(N($E610)*IFERROR(INDEX(Items!$P$5:$P$504,U610),0),2)),"")</f>
        <v/>
      </c>
      <c r="S610" s="61" t="str">
        <f aca="false">IF(IsPro,IF($D610="","",L610-R610),"")</f>
        <v/>
      </c>
      <c r="T610" s="60" t="str">
        <f aca="false">IF(IsPro,IF($D610="","",IF(U610="","UNKNOWN ITEM",IF(INDEX(Items!$O$5:$O$504,U610)&lt;0,"NEG STOCK",IF(K610&lt;INDEX(Items!$P$5:$P$504,U610),"BELOW COST","OK")))),IF($D610="","","PRO PLAN"))</f>
        <v/>
      </c>
      <c r="U610" s="60" t="str">
        <f aca="false">IF(IsPro,IF($D610="","",IFERROR(MATCH($D610,Items!$A$5:$A$504,0),"")),"")</f>
        <v/>
      </c>
      <c r="V610" s="60" t="str">
        <f aca="false">IF(IsPro,IF($C610="","",IFERROR(MATCH($C610,Parties!$A$5:$A$304,0),"")),"")</f>
        <v/>
      </c>
      <c r="W610" s="60" t="str">
        <f aca="false">IF(IsPro,IF($B610="","",IFERROR(VALUE(SUBSTITUTE($B610,InvPrefix,"")),0)),"")</f>
        <v/>
      </c>
      <c r="X610" s="61" t="str">
        <f aca="false">IF(IsPro,IF($D610="","",IF(OR($H610="",$H610="Credit"),0,Q610)),"")</f>
        <v/>
      </c>
    </row>
    <row r="611" customFormat="false" ht="15" hidden="false" customHeight="false" outlineLevel="0" collapsed="false">
      <c r="A611" s="55"/>
      <c r="B611" s="56"/>
      <c r="C611" s="56"/>
      <c r="D611" s="56"/>
      <c r="E611" s="57"/>
      <c r="F611" s="58"/>
      <c r="G611" s="59"/>
      <c r="H611" s="56"/>
      <c r="I611" s="56"/>
      <c r="J611" s="60" t="str">
        <f aca="false">IF(IsPro,IF($D611="","",IFERROR(INDEX(Items!$D$5:$D$504,U611),"")),"")</f>
        <v/>
      </c>
      <c r="K611" s="61" t="str">
        <f aca="false">IF(IsPro,IF($D611="","",IF($F611="",IFERROR(INDEX(Items!$H$5:$H$504,U611),0),$F611)),"")</f>
        <v/>
      </c>
      <c r="L611" s="61" t="str">
        <f aca="false">IF(IsPro,IF($D611="","",ROUND(N($E611)*K611*(1-N($G611)),2)),"")</f>
        <v/>
      </c>
      <c r="M611" s="62" t="str">
        <f aca="false">IF(IsPro,IF($D611="","",IFERROR(INDEX(Items!$F$5:$F$504,U611),0)),"")</f>
        <v/>
      </c>
      <c r="N611" s="61" t="str">
        <f aca="false">IF(IsPro,IF($D611="","",IF(AND(V611&lt;&gt;"",INDEX(Parties!$E$5:$E$304,V611)&lt;&gt;"",INDEX(Parties!$E$5:$E$304,V611)&lt;&gt;HomeState),0,ROUND(L611*M611/2,2))),"")</f>
        <v/>
      </c>
      <c r="O611" s="61" t="str">
        <f aca="false">IF(IsPro,IF($D611="","",N611),"")</f>
        <v/>
      </c>
      <c r="P611" s="61" t="str">
        <f aca="false">IF(IsPro,IF($D611="","",IF(AND(V611&lt;&gt;"",INDEX(Parties!$E$5:$E$304,V611)&lt;&gt;"",INDEX(Parties!$E$5:$E$304,V611)&lt;&gt;HomeState),ROUND(L611*M611,2),0)),"")</f>
        <v/>
      </c>
      <c r="Q611" s="61" t="str">
        <f aca="false">IF(IsPro,IF($D611="","",L611+N611+O611+P611),"")</f>
        <v/>
      </c>
      <c r="R611" s="61" t="str">
        <f aca="false">IF(IsPro,IF($D611="","",ROUND(N($E611)*IFERROR(INDEX(Items!$P$5:$P$504,U611),0),2)),"")</f>
        <v/>
      </c>
      <c r="S611" s="61" t="str">
        <f aca="false">IF(IsPro,IF($D611="","",L611-R611),"")</f>
        <v/>
      </c>
      <c r="T611" s="60" t="str">
        <f aca="false">IF(IsPro,IF($D611="","",IF(U611="","UNKNOWN ITEM",IF(INDEX(Items!$O$5:$O$504,U611)&lt;0,"NEG STOCK",IF(K611&lt;INDEX(Items!$P$5:$P$504,U611),"BELOW COST","OK")))),IF($D611="","","PRO PLAN"))</f>
        <v/>
      </c>
      <c r="U611" s="60" t="str">
        <f aca="false">IF(IsPro,IF($D611="","",IFERROR(MATCH($D611,Items!$A$5:$A$504,0),"")),"")</f>
        <v/>
      </c>
      <c r="V611" s="60" t="str">
        <f aca="false">IF(IsPro,IF($C611="","",IFERROR(MATCH($C611,Parties!$A$5:$A$304,0),"")),"")</f>
        <v/>
      </c>
      <c r="W611" s="60" t="str">
        <f aca="false">IF(IsPro,IF($B611="","",IFERROR(VALUE(SUBSTITUTE($B611,InvPrefix,"")),0)),"")</f>
        <v/>
      </c>
      <c r="X611" s="61" t="str">
        <f aca="false">IF(IsPro,IF($D611="","",IF(OR($H611="",$H611="Credit"),0,Q611)),"")</f>
        <v/>
      </c>
    </row>
    <row r="612" customFormat="false" ht="15" hidden="false" customHeight="false" outlineLevel="0" collapsed="false">
      <c r="A612" s="55"/>
      <c r="B612" s="56"/>
      <c r="C612" s="56"/>
      <c r="D612" s="56"/>
      <c r="E612" s="57"/>
      <c r="F612" s="58"/>
      <c r="G612" s="59"/>
      <c r="H612" s="56"/>
      <c r="I612" s="56"/>
      <c r="J612" s="60" t="str">
        <f aca="false">IF(IsPro,IF($D612="","",IFERROR(INDEX(Items!$D$5:$D$504,U612),"")),"")</f>
        <v/>
      </c>
      <c r="K612" s="61" t="str">
        <f aca="false">IF(IsPro,IF($D612="","",IF($F612="",IFERROR(INDEX(Items!$H$5:$H$504,U612),0),$F612)),"")</f>
        <v/>
      </c>
      <c r="L612" s="61" t="str">
        <f aca="false">IF(IsPro,IF($D612="","",ROUND(N($E612)*K612*(1-N($G612)),2)),"")</f>
        <v/>
      </c>
      <c r="M612" s="62" t="str">
        <f aca="false">IF(IsPro,IF($D612="","",IFERROR(INDEX(Items!$F$5:$F$504,U612),0)),"")</f>
        <v/>
      </c>
      <c r="N612" s="61" t="str">
        <f aca="false">IF(IsPro,IF($D612="","",IF(AND(V612&lt;&gt;"",INDEX(Parties!$E$5:$E$304,V612)&lt;&gt;"",INDEX(Parties!$E$5:$E$304,V612)&lt;&gt;HomeState),0,ROUND(L612*M612/2,2))),"")</f>
        <v/>
      </c>
      <c r="O612" s="61" t="str">
        <f aca="false">IF(IsPro,IF($D612="","",N612),"")</f>
        <v/>
      </c>
      <c r="P612" s="61" t="str">
        <f aca="false">IF(IsPro,IF($D612="","",IF(AND(V612&lt;&gt;"",INDEX(Parties!$E$5:$E$304,V612)&lt;&gt;"",INDEX(Parties!$E$5:$E$304,V612)&lt;&gt;HomeState),ROUND(L612*M612,2),0)),"")</f>
        <v/>
      </c>
      <c r="Q612" s="61" t="str">
        <f aca="false">IF(IsPro,IF($D612="","",L612+N612+O612+P612),"")</f>
        <v/>
      </c>
      <c r="R612" s="61" t="str">
        <f aca="false">IF(IsPro,IF($D612="","",ROUND(N($E612)*IFERROR(INDEX(Items!$P$5:$P$504,U612),0),2)),"")</f>
        <v/>
      </c>
      <c r="S612" s="61" t="str">
        <f aca="false">IF(IsPro,IF($D612="","",L612-R612),"")</f>
        <v/>
      </c>
      <c r="T612" s="60" t="str">
        <f aca="false">IF(IsPro,IF($D612="","",IF(U612="","UNKNOWN ITEM",IF(INDEX(Items!$O$5:$O$504,U612)&lt;0,"NEG STOCK",IF(K612&lt;INDEX(Items!$P$5:$P$504,U612),"BELOW COST","OK")))),IF($D612="","","PRO PLAN"))</f>
        <v/>
      </c>
      <c r="U612" s="60" t="str">
        <f aca="false">IF(IsPro,IF($D612="","",IFERROR(MATCH($D612,Items!$A$5:$A$504,0),"")),"")</f>
        <v/>
      </c>
      <c r="V612" s="60" t="str">
        <f aca="false">IF(IsPro,IF($C612="","",IFERROR(MATCH($C612,Parties!$A$5:$A$304,0),"")),"")</f>
        <v/>
      </c>
      <c r="W612" s="60" t="str">
        <f aca="false">IF(IsPro,IF($B612="","",IFERROR(VALUE(SUBSTITUTE($B612,InvPrefix,"")),0)),"")</f>
        <v/>
      </c>
      <c r="X612" s="61" t="str">
        <f aca="false">IF(IsPro,IF($D612="","",IF(OR($H612="",$H612="Credit"),0,Q612)),"")</f>
        <v/>
      </c>
    </row>
    <row r="613" customFormat="false" ht="15" hidden="false" customHeight="false" outlineLevel="0" collapsed="false">
      <c r="A613" s="55"/>
      <c r="B613" s="56"/>
      <c r="C613" s="56"/>
      <c r="D613" s="56"/>
      <c r="E613" s="57"/>
      <c r="F613" s="58"/>
      <c r="G613" s="59"/>
      <c r="H613" s="56"/>
      <c r="I613" s="56"/>
      <c r="J613" s="60" t="str">
        <f aca="false">IF(IsPro,IF($D613="","",IFERROR(INDEX(Items!$D$5:$D$504,U613),"")),"")</f>
        <v/>
      </c>
      <c r="K613" s="61" t="str">
        <f aca="false">IF(IsPro,IF($D613="","",IF($F613="",IFERROR(INDEX(Items!$H$5:$H$504,U613),0),$F613)),"")</f>
        <v/>
      </c>
      <c r="L613" s="61" t="str">
        <f aca="false">IF(IsPro,IF($D613="","",ROUND(N($E613)*K613*(1-N($G613)),2)),"")</f>
        <v/>
      </c>
      <c r="M613" s="62" t="str">
        <f aca="false">IF(IsPro,IF($D613="","",IFERROR(INDEX(Items!$F$5:$F$504,U613),0)),"")</f>
        <v/>
      </c>
      <c r="N613" s="61" t="str">
        <f aca="false">IF(IsPro,IF($D613="","",IF(AND(V613&lt;&gt;"",INDEX(Parties!$E$5:$E$304,V613)&lt;&gt;"",INDEX(Parties!$E$5:$E$304,V613)&lt;&gt;HomeState),0,ROUND(L613*M613/2,2))),"")</f>
        <v/>
      </c>
      <c r="O613" s="61" t="str">
        <f aca="false">IF(IsPro,IF($D613="","",N613),"")</f>
        <v/>
      </c>
      <c r="P613" s="61" t="str">
        <f aca="false">IF(IsPro,IF($D613="","",IF(AND(V613&lt;&gt;"",INDEX(Parties!$E$5:$E$304,V613)&lt;&gt;"",INDEX(Parties!$E$5:$E$304,V613)&lt;&gt;HomeState),ROUND(L613*M613,2),0)),"")</f>
        <v/>
      </c>
      <c r="Q613" s="61" t="str">
        <f aca="false">IF(IsPro,IF($D613="","",L613+N613+O613+P613),"")</f>
        <v/>
      </c>
      <c r="R613" s="61" t="str">
        <f aca="false">IF(IsPro,IF($D613="","",ROUND(N($E613)*IFERROR(INDEX(Items!$P$5:$P$504,U613),0),2)),"")</f>
        <v/>
      </c>
      <c r="S613" s="61" t="str">
        <f aca="false">IF(IsPro,IF($D613="","",L613-R613),"")</f>
        <v/>
      </c>
      <c r="T613" s="60" t="str">
        <f aca="false">IF(IsPro,IF($D613="","",IF(U613="","UNKNOWN ITEM",IF(INDEX(Items!$O$5:$O$504,U613)&lt;0,"NEG STOCK",IF(K613&lt;INDEX(Items!$P$5:$P$504,U613),"BELOW COST","OK")))),IF($D613="","","PRO PLAN"))</f>
        <v/>
      </c>
      <c r="U613" s="60" t="str">
        <f aca="false">IF(IsPro,IF($D613="","",IFERROR(MATCH($D613,Items!$A$5:$A$504,0),"")),"")</f>
        <v/>
      </c>
      <c r="V613" s="60" t="str">
        <f aca="false">IF(IsPro,IF($C613="","",IFERROR(MATCH($C613,Parties!$A$5:$A$304,0),"")),"")</f>
        <v/>
      </c>
      <c r="W613" s="60" t="str">
        <f aca="false">IF(IsPro,IF($B613="","",IFERROR(VALUE(SUBSTITUTE($B613,InvPrefix,"")),0)),"")</f>
        <v/>
      </c>
      <c r="X613" s="61" t="str">
        <f aca="false">IF(IsPro,IF($D613="","",IF(OR($H613="",$H613="Credit"),0,Q613)),"")</f>
        <v/>
      </c>
    </row>
    <row r="614" customFormat="false" ht="15" hidden="false" customHeight="false" outlineLevel="0" collapsed="false">
      <c r="A614" s="55"/>
      <c r="B614" s="56"/>
      <c r="C614" s="56"/>
      <c r="D614" s="56"/>
      <c r="E614" s="57"/>
      <c r="F614" s="58"/>
      <c r="G614" s="59"/>
      <c r="H614" s="56"/>
      <c r="I614" s="56"/>
      <c r="J614" s="60" t="str">
        <f aca="false">IF(IsPro,IF($D614="","",IFERROR(INDEX(Items!$D$5:$D$504,U614),"")),"")</f>
        <v/>
      </c>
      <c r="K614" s="61" t="str">
        <f aca="false">IF(IsPro,IF($D614="","",IF($F614="",IFERROR(INDEX(Items!$H$5:$H$504,U614),0),$F614)),"")</f>
        <v/>
      </c>
      <c r="L614" s="61" t="str">
        <f aca="false">IF(IsPro,IF($D614="","",ROUND(N($E614)*K614*(1-N($G614)),2)),"")</f>
        <v/>
      </c>
      <c r="M614" s="62" t="str">
        <f aca="false">IF(IsPro,IF($D614="","",IFERROR(INDEX(Items!$F$5:$F$504,U614),0)),"")</f>
        <v/>
      </c>
      <c r="N614" s="61" t="str">
        <f aca="false">IF(IsPro,IF($D614="","",IF(AND(V614&lt;&gt;"",INDEX(Parties!$E$5:$E$304,V614)&lt;&gt;"",INDEX(Parties!$E$5:$E$304,V614)&lt;&gt;HomeState),0,ROUND(L614*M614/2,2))),"")</f>
        <v/>
      </c>
      <c r="O614" s="61" t="str">
        <f aca="false">IF(IsPro,IF($D614="","",N614),"")</f>
        <v/>
      </c>
      <c r="P614" s="61" t="str">
        <f aca="false">IF(IsPro,IF($D614="","",IF(AND(V614&lt;&gt;"",INDEX(Parties!$E$5:$E$304,V614)&lt;&gt;"",INDEX(Parties!$E$5:$E$304,V614)&lt;&gt;HomeState),ROUND(L614*M614,2),0)),"")</f>
        <v/>
      </c>
      <c r="Q614" s="61" t="str">
        <f aca="false">IF(IsPro,IF($D614="","",L614+N614+O614+P614),"")</f>
        <v/>
      </c>
      <c r="R614" s="61" t="str">
        <f aca="false">IF(IsPro,IF($D614="","",ROUND(N($E614)*IFERROR(INDEX(Items!$P$5:$P$504,U614),0),2)),"")</f>
        <v/>
      </c>
      <c r="S614" s="61" t="str">
        <f aca="false">IF(IsPro,IF($D614="","",L614-R614),"")</f>
        <v/>
      </c>
      <c r="T614" s="60" t="str">
        <f aca="false">IF(IsPro,IF($D614="","",IF(U614="","UNKNOWN ITEM",IF(INDEX(Items!$O$5:$O$504,U614)&lt;0,"NEG STOCK",IF(K614&lt;INDEX(Items!$P$5:$P$504,U614),"BELOW COST","OK")))),IF($D614="","","PRO PLAN"))</f>
        <v/>
      </c>
      <c r="U614" s="60" t="str">
        <f aca="false">IF(IsPro,IF($D614="","",IFERROR(MATCH($D614,Items!$A$5:$A$504,0),"")),"")</f>
        <v/>
      </c>
      <c r="V614" s="60" t="str">
        <f aca="false">IF(IsPro,IF($C614="","",IFERROR(MATCH($C614,Parties!$A$5:$A$304,0),"")),"")</f>
        <v/>
      </c>
      <c r="W614" s="60" t="str">
        <f aca="false">IF(IsPro,IF($B614="","",IFERROR(VALUE(SUBSTITUTE($B614,InvPrefix,"")),0)),"")</f>
        <v/>
      </c>
      <c r="X614" s="61" t="str">
        <f aca="false">IF(IsPro,IF($D614="","",IF(OR($H614="",$H614="Credit"),0,Q614)),"")</f>
        <v/>
      </c>
    </row>
    <row r="615" customFormat="false" ht="15" hidden="false" customHeight="false" outlineLevel="0" collapsed="false">
      <c r="A615" s="55"/>
      <c r="B615" s="56"/>
      <c r="C615" s="56"/>
      <c r="D615" s="56"/>
      <c r="E615" s="57"/>
      <c r="F615" s="58"/>
      <c r="G615" s="59"/>
      <c r="H615" s="56"/>
      <c r="I615" s="56"/>
      <c r="J615" s="60" t="str">
        <f aca="false">IF(IsPro,IF($D615="","",IFERROR(INDEX(Items!$D$5:$D$504,U615),"")),"")</f>
        <v/>
      </c>
      <c r="K615" s="61" t="str">
        <f aca="false">IF(IsPro,IF($D615="","",IF($F615="",IFERROR(INDEX(Items!$H$5:$H$504,U615),0),$F615)),"")</f>
        <v/>
      </c>
      <c r="L615" s="61" t="str">
        <f aca="false">IF(IsPro,IF($D615="","",ROUND(N($E615)*K615*(1-N($G615)),2)),"")</f>
        <v/>
      </c>
      <c r="M615" s="62" t="str">
        <f aca="false">IF(IsPro,IF($D615="","",IFERROR(INDEX(Items!$F$5:$F$504,U615),0)),"")</f>
        <v/>
      </c>
      <c r="N615" s="61" t="str">
        <f aca="false">IF(IsPro,IF($D615="","",IF(AND(V615&lt;&gt;"",INDEX(Parties!$E$5:$E$304,V615)&lt;&gt;"",INDEX(Parties!$E$5:$E$304,V615)&lt;&gt;HomeState),0,ROUND(L615*M615/2,2))),"")</f>
        <v/>
      </c>
      <c r="O615" s="61" t="str">
        <f aca="false">IF(IsPro,IF($D615="","",N615),"")</f>
        <v/>
      </c>
      <c r="P615" s="61" t="str">
        <f aca="false">IF(IsPro,IF($D615="","",IF(AND(V615&lt;&gt;"",INDEX(Parties!$E$5:$E$304,V615)&lt;&gt;"",INDEX(Parties!$E$5:$E$304,V615)&lt;&gt;HomeState),ROUND(L615*M615,2),0)),"")</f>
        <v/>
      </c>
      <c r="Q615" s="61" t="str">
        <f aca="false">IF(IsPro,IF($D615="","",L615+N615+O615+P615),"")</f>
        <v/>
      </c>
      <c r="R615" s="61" t="str">
        <f aca="false">IF(IsPro,IF($D615="","",ROUND(N($E615)*IFERROR(INDEX(Items!$P$5:$P$504,U615),0),2)),"")</f>
        <v/>
      </c>
      <c r="S615" s="61" t="str">
        <f aca="false">IF(IsPro,IF($D615="","",L615-R615),"")</f>
        <v/>
      </c>
      <c r="T615" s="60" t="str">
        <f aca="false">IF(IsPro,IF($D615="","",IF(U615="","UNKNOWN ITEM",IF(INDEX(Items!$O$5:$O$504,U615)&lt;0,"NEG STOCK",IF(K615&lt;INDEX(Items!$P$5:$P$504,U615),"BELOW COST","OK")))),IF($D615="","","PRO PLAN"))</f>
        <v/>
      </c>
      <c r="U615" s="60" t="str">
        <f aca="false">IF(IsPro,IF($D615="","",IFERROR(MATCH($D615,Items!$A$5:$A$504,0),"")),"")</f>
        <v/>
      </c>
      <c r="V615" s="60" t="str">
        <f aca="false">IF(IsPro,IF($C615="","",IFERROR(MATCH($C615,Parties!$A$5:$A$304,0),"")),"")</f>
        <v/>
      </c>
      <c r="W615" s="60" t="str">
        <f aca="false">IF(IsPro,IF($B615="","",IFERROR(VALUE(SUBSTITUTE($B615,InvPrefix,"")),0)),"")</f>
        <v/>
      </c>
      <c r="X615" s="61" t="str">
        <f aca="false">IF(IsPro,IF($D615="","",IF(OR($H615="",$H615="Credit"),0,Q615)),"")</f>
        <v/>
      </c>
    </row>
    <row r="616" customFormat="false" ht="15" hidden="false" customHeight="false" outlineLevel="0" collapsed="false">
      <c r="A616" s="55"/>
      <c r="B616" s="56"/>
      <c r="C616" s="56"/>
      <c r="D616" s="56"/>
      <c r="E616" s="57"/>
      <c r="F616" s="58"/>
      <c r="G616" s="59"/>
      <c r="H616" s="56"/>
      <c r="I616" s="56"/>
      <c r="J616" s="60" t="str">
        <f aca="false">IF(IsPro,IF($D616="","",IFERROR(INDEX(Items!$D$5:$D$504,U616),"")),"")</f>
        <v/>
      </c>
      <c r="K616" s="61" t="str">
        <f aca="false">IF(IsPro,IF($D616="","",IF($F616="",IFERROR(INDEX(Items!$H$5:$H$504,U616),0),$F616)),"")</f>
        <v/>
      </c>
      <c r="L616" s="61" t="str">
        <f aca="false">IF(IsPro,IF($D616="","",ROUND(N($E616)*K616*(1-N($G616)),2)),"")</f>
        <v/>
      </c>
      <c r="M616" s="62" t="str">
        <f aca="false">IF(IsPro,IF($D616="","",IFERROR(INDEX(Items!$F$5:$F$504,U616),0)),"")</f>
        <v/>
      </c>
      <c r="N616" s="61" t="str">
        <f aca="false">IF(IsPro,IF($D616="","",IF(AND(V616&lt;&gt;"",INDEX(Parties!$E$5:$E$304,V616)&lt;&gt;"",INDEX(Parties!$E$5:$E$304,V616)&lt;&gt;HomeState),0,ROUND(L616*M616/2,2))),"")</f>
        <v/>
      </c>
      <c r="O616" s="61" t="str">
        <f aca="false">IF(IsPro,IF($D616="","",N616),"")</f>
        <v/>
      </c>
      <c r="P616" s="61" t="str">
        <f aca="false">IF(IsPro,IF($D616="","",IF(AND(V616&lt;&gt;"",INDEX(Parties!$E$5:$E$304,V616)&lt;&gt;"",INDEX(Parties!$E$5:$E$304,V616)&lt;&gt;HomeState),ROUND(L616*M616,2),0)),"")</f>
        <v/>
      </c>
      <c r="Q616" s="61" t="str">
        <f aca="false">IF(IsPro,IF($D616="","",L616+N616+O616+P616),"")</f>
        <v/>
      </c>
      <c r="R616" s="61" t="str">
        <f aca="false">IF(IsPro,IF($D616="","",ROUND(N($E616)*IFERROR(INDEX(Items!$P$5:$P$504,U616),0),2)),"")</f>
        <v/>
      </c>
      <c r="S616" s="61" t="str">
        <f aca="false">IF(IsPro,IF($D616="","",L616-R616),"")</f>
        <v/>
      </c>
      <c r="T616" s="60" t="str">
        <f aca="false">IF(IsPro,IF($D616="","",IF(U616="","UNKNOWN ITEM",IF(INDEX(Items!$O$5:$O$504,U616)&lt;0,"NEG STOCK",IF(K616&lt;INDEX(Items!$P$5:$P$504,U616),"BELOW COST","OK")))),IF($D616="","","PRO PLAN"))</f>
        <v/>
      </c>
      <c r="U616" s="60" t="str">
        <f aca="false">IF(IsPro,IF($D616="","",IFERROR(MATCH($D616,Items!$A$5:$A$504,0),"")),"")</f>
        <v/>
      </c>
      <c r="V616" s="60" t="str">
        <f aca="false">IF(IsPro,IF($C616="","",IFERROR(MATCH($C616,Parties!$A$5:$A$304,0),"")),"")</f>
        <v/>
      </c>
      <c r="W616" s="60" t="str">
        <f aca="false">IF(IsPro,IF($B616="","",IFERROR(VALUE(SUBSTITUTE($B616,InvPrefix,"")),0)),"")</f>
        <v/>
      </c>
      <c r="X616" s="61" t="str">
        <f aca="false">IF(IsPro,IF($D616="","",IF(OR($H616="",$H616="Credit"),0,Q616)),"")</f>
        <v/>
      </c>
    </row>
    <row r="617" customFormat="false" ht="15" hidden="false" customHeight="false" outlineLevel="0" collapsed="false">
      <c r="A617" s="55"/>
      <c r="B617" s="56"/>
      <c r="C617" s="56"/>
      <c r="D617" s="56"/>
      <c r="E617" s="57"/>
      <c r="F617" s="58"/>
      <c r="G617" s="59"/>
      <c r="H617" s="56"/>
      <c r="I617" s="56"/>
      <c r="J617" s="60" t="str">
        <f aca="false">IF(IsPro,IF($D617="","",IFERROR(INDEX(Items!$D$5:$D$504,U617),"")),"")</f>
        <v/>
      </c>
      <c r="K617" s="61" t="str">
        <f aca="false">IF(IsPro,IF($D617="","",IF($F617="",IFERROR(INDEX(Items!$H$5:$H$504,U617),0),$F617)),"")</f>
        <v/>
      </c>
      <c r="L617" s="61" t="str">
        <f aca="false">IF(IsPro,IF($D617="","",ROUND(N($E617)*K617*(1-N($G617)),2)),"")</f>
        <v/>
      </c>
      <c r="M617" s="62" t="str">
        <f aca="false">IF(IsPro,IF($D617="","",IFERROR(INDEX(Items!$F$5:$F$504,U617),0)),"")</f>
        <v/>
      </c>
      <c r="N617" s="61" t="str">
        <f aca="false">IF(IsPro,IF($D617="","",IF(AND(V617&lt;&gt;"",INDEX(Parties!$E$5:$E$304,V617)&lt;&gt;"",INDEX(Parties!$E$5:$E$304,V617)&lt;&gt;HomeState),0,ROUND(L617*M617/2,2))),"")</f>
        <v/>
      </c>
      <c r="O617" s="61" t="str">
        <f aca="false">IF(IsPro,IF($D617="","",N617),"")</f>
        <v/>
      </c>
      <c r="P617" s="61" t="str">
        <f aca="false">IF(IsPro,IF($D617="","",IF(AND(V617&lt;&gt;"",INDEX(Parties!$E$5:$E$304,V617)&lt;&gt;"",INDEX(Parties!$E$5:$E$304,V617)&lt;&gt;HomeState),ROUND(L617*M617,2),0)),"")</f>
        <v/>
      </c>
      <c r="Q617" s="61" t="str">
        <f aca="false">IF(IsPro,IF($D617="","",L617+N617+O617+P617),"")</f>
        <v/>
      </c>
      <c r="R617" s="61" t="str">
        <f aca="false">IF(IsPro,IF($D617="","",ROUND(N($E617)*IFERROR(INDEX(Items!$P$5:$P$504,U617),0),2)),"")</f>
        <v/>
      </c>
      <c r="S617" s="61" t="str">
        <f aca="false">IF(IsPro,IF($D617="","",L617-R617),"")</f>
        <v/>
      </c>
      <c r="T617" s="60" t="str">
        <f aca="false">IF(IsPro,IF($D617="","",IF(U617="","UNKNOWN ITEM",IF(INDEX(Items!$O$5:$O$504,U617)&lt;0,"NEG STOCK",IF(K617&lt;INDEX(Items!$P$5:$P$504,U617),"BELOW COST","OK")))),IF($D617="","","PRO PLAN"))</f>
        <v/>
      </c>
      <c r="U617" s="60" t="str">
        <f aca="false">IF(IsPro,IF($D617="","",IFERROR(MATCH($D617,Items!$A$5:$A$504,0),"")),"")</f>
        <v/>
      </c>
      <c r="V617" s="60" t="str">
        <f aca="false">IF(IsPro,IF($C617="","",IFERROR(MATCH($C617,Parties!$A$5:$A$304,0),"")),"")</f>
        <v/>
      </c>
      <c r="W617" s="60" t="str">
        <f aca="false">IF(IsPro,IF($B617="","",IFERROR(VALUE(SUBSTITUTE($B617,InvPrefix,"")),0)),"")</f>
        <v/>
      </c>
      <c r="X617" s="61" t="str">
        <f aca="false">IF(IsPro,IF($D617="","",IF(OR($H617="",$H617="Credit"),0,Q617)),"")</f>
        <v/>
      </c>
    </row>
    <row r="618" customFormat="false" ht="15" hidden="false" customHeight="false" outlineLevel="0" collapsed="false">
      <c r="A618" s="55"/>
      <c r="B618" s="56"/>
      <c r="C618" s="56"/>
      <c r="D618" s="56"/>
      <c r="E618" s="57"/>
      <c r="F618" s="58"/>
      <c r="G618" s="59"/>
      <c r="H618" s="56"/>
      <c r="I618" s="56"/>
      <c r="J618" s="60" t="str">
        <f aca="false">IF(IsPro,IF($D618="","",IFERROR(INDEX(Items!$D$5:$D$504,U618),"")),"")</f>
        <v/>
      </c>
      <c r="K618" s="61" t="str">
        <f aca="false">IF(IsPro,IF($D618="","",IF($F618="",IFERROR(INDEX(Items!$H$5:$H$504,U618),0),$F618)),"")</f>
        <v/>
      </c>
      <c r="L618" s="61" t="str">
        <f aca="false">IF(IsPro,IF($D618="","",ROUND(N($E618)*K618*(1-N($G618)),2)),"")</f>
        <v/>
      </c>
      <c r="M618" s="62" t="str">
        <f aca="false">IF(IsPro,IF($D618="","",IFERROR(INDEX(Items!$F$5:$F$504,U618),0)),"")</f>
        <v/>
      </c>
      <c r="N618" s="61" t="str">
        <f aca="false">IF(IsPro,IF($D618="","",IF(AND(V618&lt;&gt;"",INDEX(Parties!$E$5:$E$304,V618)&lt;&gt;"",INDEX(Parties!$E$5:$E$304,V618)&lt;&gt;HomeState),0,ROUND(L618*M618/2,2))),"")</f>
        <v/>
      </c>
      <c r="O618" s="61" t="str">
        <f aca="false">IF(IsPro,IF($D618="","",N618),"")</f>
        <v/>
      </c>
      <c r="P618" s="61" t="str">
        <f aca="false">IF(IsPro,IF($D618="","",IF(AND(V618&lt;&gt;"",INDEX(Parties!$E$5:$E$304,V618)&lt;&gt;"",INDEX(Parties!$E$5:$E$304,V618)&lt;&gt;HomeState),ROUND(L618*M618,2),0)),"")</f>
        <v/>
      </c>
      <c r="Q618" s="61" t="str">
        <f aca="false">IF(IsPro,IF($D618="","",L618+N618+O618+P618),"")</f>
        <v/>
      </c>
      <c r="R618" s="61" t="str">
        <f aca="false">IF(IsPro,IF($D618="","",ROUND(N($E618)*IFERROR(INDEX(Items!$P$5:$P$504,U618),0),2)),"")</f>
        <v/>
      </c>
      <c r="S618" s="61" t="str">
        <f aca="false">IF(IsPro,IF($D618="","",L618-R618),"")</f>
        <v/>
      </c>
      <c r="T618" s="60" t="str">
        <f aca="false">IF(IsPro,IF($D618="","",IF(U618="","UNKNOWN ITEM",IF(INDEX(Items!$O$5:$O$504,U618)&lt;0,"NEG STOCK",IF(K618&lt;INDEX(Items!$P$5:$P$504,U618),"BELOW COST","OK")))),IF($D618="","","PRO PLAN"))</f>
        <v/>
      </c>
      <c r="U618" s="60" t="str">
        <f aca="false">IF(IsPro,IF($D618="","",IFERROR(MATCH($D618,Items!$A$5:$A$504,0),"")),"")</f>
        <v/>
      </c>
      <c r="V618" s="60" t="str">
        <f aca="false">IF(IsPro,IF($C618="","",IFERROR(MATCH($C618,Parties!$A$5:$A$304,0),"")),"")</f>
        <v/>
      </c>
      <c r="W618" s="60" t="str">
        <f aca="false">IF(IsPro,IF($B618="","",IFERROR(VALUE(SUBSTITUTE($B618,InvPrefix,"")),0)),"")</f>
        <v/>
      </c>
      <c r="X618" s="61" t="str">
        <f aca="false">IF(IsPro,IF($D618="","",IF(OR($H618="",$H618="Credit"),0,Q618)),"")</f>
        <v/>
      </c>
    </row>
    <row r="619" customFormat="false" ht="15" hidden="false" customHeight="false" outlineLevel="0" collapsed="false">
      <c r="A619" s="55"/>
      <c r="B619" s="56"/>
      <c r="C619" s="56"/>
      <c r="D619" s="56"/>
      <c r="E619" s="57"/>
      <c r="F619" s="58"/>
      <c r="G619" s="59"/>
      <c r="H619" s="56"/>
      <c r="I619" s="56"/>
      <c r="J619" s="60" t="str">
        <f aca="false">IF(IsPro,IF($D619="","",IFERROR(INDEX(Items!$D$5:$D$504,U619),"")),"")</f>
        <v/>
      </c>
      <c r="K619" s="61" t="str">
        <f aca="false">IF(IsPro,IF($D619="","",IF($F619="",IFERROR(INDEX(Items!$H$5:$H$504,U619),0),$F619)),"")</f>
        <v/>
      </c>
      <c r="L619" s="61" t="str">
        <f aca="false">IF(IsPro,IF($D619="","",ROUND(N($E619)*K619*(1-N($G619)),2)),"")</f>
        <v/>
      </c>
      <c r="M619" s="62" t="str">
        <f aca="false">IF(IsPro,IF($D619="","",IFERROR(INDEX(Items!$F$5:$F$504,U619),0)),"")</f>
        <v/>
      </c>
      <c r="N619" s="61" t="str">
        <f aca="false">IF(IsPro,IF($D619="","",IF(AND(V619&lt;&gt;"",INDEX(Parties!$E$5:$E$304,V619)&lt;&gt;"",INDEX(Parties!$E$5:$E$304,V619)&lt;&gt;HomeState),0,ROUND(L619*M619/2,2))),"")</f>
        <v/>
      </c>
      <c r="O619" s="61" t="str">
        <f aca="false">IF(IsPro,IF($D619="","",N619),"")</f>
        <v/>
      </c>
      <c r="P619" s="61" t="str">
        <f aca="false">IF(IsPro,IF($D619="","",IF(AND(V619&lt;&gt;"",INDEX(Parties!$E$5:$E$304,V619)&lt;&gt;"",INDEX(Parties!$E$5:$E$304,V619)&lt;&gt;HomeState),ROUND(L619*M619,2),0)),"")</f>
        <v/>
      </c>
      <c r="Q619" s="61" t="str">
        <f aca="false">IF(IsPro,IF($D619="","",L619+N619+O619+P619),"")</f>
        <v/>
      </c>
      <c r="R619" s="61" t="str">
        <f aca="false">IF(IsPro,IF($D619="","",ROUND(N($E619)*IFERROR(INDEX(Items!$P$5:$P$504,U619),0),2)),"")</f>
        <v/>
      </c>
      <c r="S619" s="61" t="str">
        <f aca="false">IF(IsPro,IF($D619="","",L619-R619),"")</f>
        <v/>
      </c>
      <c r="T619" s="60" t="str">
        <f aca="false">IF(IsPro,IF($D619="","",IF(U619="","UNKNOWN ITEM",IF(INDEX(Items!$O$5:$O$504,U619)&lt;0,"NEG STOCK",IF(K619&lt;INDEX(Items!$P$5:$P$504,U619),"BELOW COST","OK")))),IF($D619="","","PRO PLAN"))</f>
        <v/>
      </c>
      <c r="U619" s="60" t="str">
        <f aca="false">IF(IsPro,IF($D619="","",IFERROR(MATCH($D619,Items!$A$5:$A$504,0),"")),"")</f>
        <v/>
      </c>
      <c r="V619" s="60" t="str">
        <f aca="false">IF(IsPro,IF($C619="","",IFERROR(MATCH($C619,Parties!$A$5:$A$304,0),"")),"")</f>
        <v/>
      </c>
      <c r="W619" s="60" t="str">
        <f aca="false">IF(IsPro,IF($B619="","",IFERROR(VALUE(SUBSTITUTE($B619,InvPrefix,"")),0)),"")</f>
        <v/>
      </c>
      <c r="X619" s="61" t="str">
        <f aca="false">IF(IsPro,IF($D619="","",IF(OR($H619="",$H619="Credit"),0,Q619)),"")</f>
        <v/>
      </c>
    </row>
    <row r="620" customFormat="false" ht="15" hidden="false" customHeight="false" outlineLevel="0" collapsed="false">
      <c r="A620" s="55"/>
      <c r="B620" s="56"/>
      <c r="C620" s="56"/>
      <c r="D620" s="56"/>
      <c r="E620" s="57"/>
      <c r="F620" s="58"/>
      <c r="G620" s="59"/>
      <c r="H620" s="56"/>
      <c r="I620" s="56"/>
      <c r="J620" s="60" t="str">
        <f aca="false">IF(IsPro,IF($D620="","",IFERROR(INDEX(Items!$D$5:$D$504,U620),"")),"")</f>
        <v/>
      </c>
      <c r="K620" s="61" t="str">
        <f aca="false">IF(IsPro,IF($D620="","",IF($F620="",IFERROR(INDEX(Items!$H$5:$H$504,U620),0),$F620)),"")</f>
        <v/>
      </c>
      <c r="L620" s="61" t="str">
        <f aca="false">IF(IsPro,IF($D620="","",ROUND(N($E620)*K620*(1-N($G620)),2)),"")</f>
        <v/>
      </c>
      <c r="M620" s="62" t="str">
        <f aca="false">IF(IsPro,IF($D620="","",IFERROR(INDEX(Items!$F$5:$F$504,U620),0)),"")</f>
        <v/>
      </c>
      <c r="N620" s="61" t="str">
        <f aca="false">IF(IsPro,IF($D620="","",IF(AND(V620&lt;&gt;"",INDEX(Parties!$E$5:$E$304,V620)&lt;&gt;"",INDEX(Parties!$E$5:$E$304,V620)&lt;&gt;HomeState),0,ROUND(L620*M620/2,2))),"")</f>
        <v/>
      </c>
      <c r="O620" s="61" t="str">
        <f aca="false">IF(IsPro,IF($D620="","",N620),"")</f>
        <v/>
      </c>
      <c r="P620" s="61" t="str">
        <f aca="false">IF(IsPro,IF($D620="","",IF(AND(V620&lt;&gt;"",INDEX(Parties!$E$5:$E$304,V620)&lt;&gt;"",INDEX(Parties!$E$5:$E$304,V620)&lt;&gt;HomeState),ROUND(L620*M620,2),0)),"")</f>
        <v/>
      </c>
      <c r="Q620" s="61" t="str">
        <f aca="false">IF(IsPro,IF($D620="","",L620+N620+O620+P620),"")</f>
        <v/>
      </c>
      <c r="R620" s="61" t="str">
        <f aca="false">IF(IsPro,IF($D620="","",ROUND(N($E620)*IFERROR(INDEX(Items!$P$5:$P$504,U620),0),2)),"")</f>
        <v/>
      </c>
      <c r="S620" s="61" t="str">
        <f aca="false">IF(IsPro,IF($D620="","",L620-R620),"")</f>
        <v/>
      </c>
      <c r="T620" s="60" t="str">
        <f aca="false">IF(IsPro,IF($D620="","",IF(U620="","UNKNOWN ITEM",IF(INDEX(Items!$O$5:$O$504,U620)&lt;0,"NEG STOCK",IF(K620&lt;INDEX(Items!$P$5:$P$504,U620),"BELOW COST","OK")))),IF($D620="","","PRO PLAN"))</f>
        <v/>
      </c>
      <c r="U620" s="60" t="str">
        <f aca="false">IF(IsPro,IF($D620="","",IFERROR(MATCH($D620,Items!$A$5:$A$504,0),"")),"")</f>
        <v/>
      </c>
      <c r="V620" s="60" t="str">
        <f aca="false">IF(IsPro,IF($C620="","",IFERROR(MATCH($C620,Parties!$A$5:$A$304,0),"")),"")</f>
        <v/>
      </c>
      <c r="W620" s="60" t="str">
        <f aca="false">IF(IsPro,IF($B620="","",IFERROR(VALUE(SUBSTITUTE($B620,InvPrefix,"")),0)),"")</f>
        <v/>
      </c>
      <c r="X620" s="61" t="str">
        <f aca="false">IF(IsPro,IF($D620="","",IF(OR($H620="",$H620="Credit"),0,Q620)),"")</f>
        <v/>
      </c>
    </row>
    <row r="621" customFormat="false" ht="15" hidden="false" customHeight="false" outlineLevel="0" collapsed="false">
      <c r="A621" s="55"/>
      <c r="B621" s="56"/>
      <c r="C621" s="56"/>
      <c r="D621" s="56"/>
      <c r="E621" s="57"/>
      <c r="F621" s="58"/>
      <c r="G621" s="59"/>
      <c r="H621" s="56"/>
      <c r="I621" s="56"/>
      <c r="J621" s="60" t="str">
        <f aca="false">IF(IsPro,IF($D621="","",IFERROR(INDEX(Items!$D$5:$D$504,U621),"")),"")</f>
        <v/>
      </c>
      <c r="K621" s="61" t="str">
        <f aca="false">IF(IsPro,IF($D621="","",IF($F621="",IFERROR(INDEX(Items!$H$5:$H$504,U621),0),$F621)),"")</f>
        <v/>
      </c>
      <c r="L621" s="61" t="str">
        <f aca="false">IF(IsPro,IF($D621="","",ROUND(N($E621)*K621*(1-N($G621)),2)),"")</f>
        <v/>
      </c>
      <c r="M621" s="62" t="str">
        <f aca="false">IF(IsPro,IF($D621="","",IFERROR(INDEX(Items!$F$5:$F$504,U621),0)),"")</f>
        <v/>
      </c>
      <c r="N621" s="61" t="str">
        <f aca="false">IF(IsPro,IF($D621="","",IF(AND(V621&lt;&gt;"",INDEX(Parties!$E$5:$E$304,V621)&lt;&gt;"",INDEX(Parties!$E$5:$E$304,V621)&lt;&gt;HomeState),0,ROUND(L621*M621/2,2))),"")</f>
        <v/>
      </c>
      <c r="O621" s="61" t="str">
        <f aca="false">IF(IsPro,IF($D621="","",N621),"")</f>
        <v/>
      </c>
      <c r="P621" s="61" t="str">
        <f aca="false">IF(IsPro,IF($D621="","",IF(AND(V621&lt;&gt;"",INDEX(Parties!$E$5:$E$304,V621)&lt;&gt;"",INDEX(Parties!$E$5:$E$304,V621)&lt;&gt;HomeState),ROUND(L621*M621,2),0)),"")</f>
        <v/>
      </c>
      <c r="Q621" s="61" t="str">
        <f aca="false">IF(IsPro,IF($D621="","",L621+N621+O621+P621),"")</f>
        <v/>
      </c>
      <c r="R621" s="61" t="str">
        <f aca="false">IF(IsPro,IF($D621="","",ROUND(N($E621)*IFERROR(INDEX(Items!$P$5:$P$504,U621),0),2)),"")</f>
        <v/>
      </c>
      <c r="S621" s="61" t="str">
        <f aca="false">IF(IsPro,IF($D621="","",L621-R621),"")</f>
        <v/>
      </c>
      <c r="T621" s="60" t="str">
        <f aca="false">IF(IsPro,IF($D621="","",IF(U621="","UNKNOWN ITEM",IF(INDEX(Items!$O$5:$O$504,U621)&lt;0,"NEG STOCK",IF(K621&lt;INDEX(Items!$P$5:$P$504,U621),"BELOW COST","OK")))),IF($D621="","","PRO PLAN"))</f>
        <v/>
      </c>
      <c r="U621" s="60" t="str">
        <f aca="false">IF(IsPro,IF($D621="","",IFERROR(MATCH($D621,Items!$A$5:$A$504,0),"")),"")</f>
        <v/>
      </c>
      <c r="V621" s="60" t="str">
        <f aca="false">IF(IsPro,IF($C621="","",IFERROR(MATCH($C621,Parties!$A$5:$A$304,0),"")),"")</f>
        <v/>
      </c>
      <c r="W621" s="60" t="str">
        <f aca="false">IF(IsPro,IF($B621="","",IFERROR(VALUE(SUBSTITUTE($B621,InvPrefix,"")),0)),"")</f>
        <v/>
      </c>
      <c r="X621" s="61" t="str">
        <f aca="false">IF(IsPro,IF($D621="","",IF(OR($H621="",$H621="Credit"),0,Q621)),"")</f>
        <v/>
      </c>
    </row>
    <row r="622" customFormat="false" ht="15" hidden="false" customHeight="false" outlineLevel="0" collapsed="false">
      <c r="A622" s="55"/>
      <c r="B622" s="56"/>
      <c r="C622" s="56"/>
      <c r="D622" s="56"/>
      <c r="E622" s="57"/>
      <c r="F622" s="58"/>
      <c r="G622" s="59"/>
      <c r="H622" s="56"/>
      <c r="I622" s="56"/>
      <c r="J622" s="60" t="str">
        <f aca="false">IF(IsPro,IF($D622="","",IFERROR(INDEX(Items!$D$5:$D$504,U622),"")),"")</f>
        <v/>
      </c>
      <c r="K622" s="61" t="str">
        <f aca="false">IF(IsPro,IF($D622="","",IF($F622="",IFERROR(INDEX(Items!$H$5:$H$504,U622),0),$F622)),"")</f>
        <v/>
      </c>
      <c r="L622" s="61" t="str">
        <f aca="false">IF(IsPro,IF($D622="","",ROUND(N($E622)*K622*(1-N($G622)),2)),"")</f>
        <v/>
      </c>
      <c r="M622" s="62" t="str">
        <f aca="false">IF(IsPro,IF($D622="","",IFERROR(INDEX(Items!$F$5:$F$504,U622),0)),"")</f>
        <v/>
      </c>
      <c r="N622" s="61" t="str">
        <f aca="false">IF(IsPro,IF($D622="","",IF(AND(V622&lt;&gt;"",INDEX(Parties!$E$5:$E$304,V622)&lt;&gt;"",INDEX(Parties!$E$5:$E$304,V622)&lt;&gt;HomeState),0,ROUND(L622*M622/2,2))),"")</f>
        <v/>
      </c>
      <c r="O622" s="61" t="str">
        <f aca="false">IF(IsPro,IF($D622="","",N622),"")</f>
        <v/>
      </c>
      <c r="P622" s="61" t="str">
        <f aca="false">IF(IsPro,IF($D622="","",IF(AND(V622&lt;&gt;"",INDEX(Parties!$E$5:$E$304,V622)&lt;&gt;"",INDEX(Parties!$E$5:$E$304,V622)&lt;&gt;HomeState),ROUND(L622*M622,2),0)),"")</f>
        <v/>
      </c>
      <c r="Q622" s="61" t="str">
        <f aca="false">IF(IsPro,IF($D622="","",L622+N622+O622+P622),"")</f>
        <v/>
      </c>
      <c r="R622" s="61" t="str">
        <f aca="false">IF(IsPro,IF($D622="","",ROUND(N($E622)*IFERROR(INDEX(Items!$P$5:$P$504,U622),0),2)),"")</f>
        <v/>
      </c>
      <c r="S622" s="61" t="str">
        <f aca="false">IF(IsPro,IF($D622="","",L622-R622),"")</f>
        <v/>
      </c>
      <c r="T622" s="60" t="str">
        <f aca="false">IF(IsPro,IF($D622="","",IF(U622="","UNKNOWN ITEM",IF(INDEX(Items!$O$5:$O$504,U622)&lt;0,"NEG STOCK",IF(K622&lt;INDEX(Items!$P$5:$P$504,U622),"BELOW COST","OK")))),IF($D622="","","PRO PLAN"))</f>
        <v/>
      </c>
      <c r="U622" s="60" t="str">
        <f aca="false">IF(IsPro,IF($D622="","",IFERROR(MATCH($D622,Items!$A$5:$A$504,0),"")),"")</f>
        <v/>
      </c>
      <c r="V622" s="60" t="str">
        <f aca="false">IF(IsPro,IF($C622="","",IFERROR(MATCH($C622,Parties!$A$5:$A$304,0),"")),"")</f>
        <v/>
      </c>
      <c r="W622" s="60" t="str">
        <f aca="false">IF(IsPro,IF($B622="","",IFERROR(VALUE(SUBSTITUTE($B622,InvPrefix,"")),0)),"")</f>
        <v/>
      </c>
      <c r="X622" s="61" t="str">
        <f aca="false">IF(IsPro,IF($D622="","",IF(OR($H622="",$H622="Credit"),0,Q622)),"")</f>
        <v/>
      </c>
    </row>
    <row r="623" customFormat="false" ht="15" hidden="false" customHeight="false" outlineLevel="0" collapsed="false">
      <c r="A623" s="55"/>
      <c r="B623" s="56"/>
      <c r="C623" s="56"/>
      <c r="D623" s="56"/>
      <c r="E623" s="57"/>
      <c r="F623" s="58"/>
      <c r="G623" s="59"/>
      <c r="H623" s="56"/>
      <c r="I623" s="56"/>
      <c r="J623" s="60" t="str">
        <f aca="false">IF(IsPro,IF($D623="","",IFERROR(INDEX(Items!$D$5:$D$504,U623),"")),"")</f>
        <v/>
      </c>
      <c r="K623" s="61" t="str">
        <f aca="false">IF(IsPro,IF($D623="","",IF($F623="",IFERROR(INDEX(Items!$H$5:$H$504,U623),0),$F623)),"")</f>
        <v/>
      </c>
      <c r="L623" s="61" t="str">
        <f aca="false">IF(IsPro,IF($D623="","",ROUND(N($E623)*K623*(1-N($G623)),2)),"")</f>
        <v/>
      </c>
      <c r="M623" s="62" t="str">
        <f aca="false">IF(IsPro,IF($D623="","",IFERROR(INDEX(Items!$F$5:$F$504,U623),0)),"")</f>
        <v/>
      </c>
      <c r="N623" s="61" t="str">
        <f aca="false">IF(IsPro,IF($D623="","",IF(AND(V623&lt;&gt;"",INDEX(Parties!$E$5:$E$304,V623)&lt;&gt;"",INDEX(Parties!$E$5:$E$304,V623)&lt;&gt;HomeState),0,ROUND(L623*M623/2,2))),"")</f>
        <v/>
      </c>
      <c r="O623" s="61" t="str">
        <f aca="false">IF(IsPro,IF($D623="","",N623),"")</f>
        <v/>
      </c>
      <c r="P623" s="61" t="str">
        <f aca="false">IF(IsPro,IF($D623="","",IF(AND(V623&lt;&gt;"",INDEX(Parties!$E$5:$E$304,V623)&lt;&gt;"",INDEX(Parties!$E$5:$E$304,V623)&lt;&gt;HomeState),ROUND(L623*M623,2),0)),"")</f>
        <v/>
      </c>
      <c r="Q623" s="61" t="str">
        <f aca="false">IF(IsPro,IF($D623="","",L623+N623+O623+P623),"")</f>
        <v/>
      </c>
      <c r="R623" s="61" t="str">
        <f aca="false">IF(IsPro,IF($D623="","",ROUND(N($E623)*IFERROR(INDEX(Items!$P$5:$P$504,U623),0),2)),"")</f>
        <v/>
      </c>
      <c r="S623" s="61" t="str">
        <f aca="false">IF(IsPro,IF($D623="","",L623-R623),"")</f>
        <v/>
      </c>
      <c r="T623" s="60" t="str">
        <f aca="false">IF(IsPro,IF($D623="","",IF(U623="","UNKNOWN ITEM",IF(INDEX(Items!$O$5:$O$504,U623)&lt;0,"NEG STOCK",IF(K623&lt;INDEX(Items!$P$5:$P$504,U623),"BELOW COST","OK")))),IF($D623="","","PRO PLAN"))</f>
        <v/>
      </c>
      <c r="U623" s="60" t="str">
        <f aca="false">IF(IsPro,IF($D623="","",IFERROR(MATCH($D623,Items!$A$5:$A$504,0),"")),"")</f>
        <v/>
      </c>
      <c r="V623" s="60" t="str">
        <f aca="false">IF(IsPro,IF($C623="","",IFERROR(MATCH($C623,Parties!$A$5:$A$304,0),"")),"")</f>
        <v/>
      </c>
      <c r="W623" s="60" t="str">
        <f aca="false">IF(IsPro,IF($B623="","",IFERROR(VALUE(SUBSTITUTE($B623,InvPrefix,"")),0)),"")</f>
        <v/>
      </c>
      <c r="X623" s="61" t="str">
        <f aca="false">IF(IsPro,IF($D623="","",IF(OR($H623="",$H623="Credit"),0,Q623)),"")</f>
        <v/>
      </c>
    </row>
    <row r="624" customFormat="false" ht="15" hidden="false" customHeight="false" outlineLevel="0" collapsed="false">
      <c r="A624" s="55"/>
      <c r="B624" s="56"/>
      <c r="C624" s="56"/>
      <c r="D624" s="56"/>
      <c r="E624" s="57"/>
      <c r="F624" s="58"/>
      <c r="G624" s="59"/>
      <c r="H624" s="56"/>
      <c r="I624" s="56"/>
      <c r="J624" s="60" t="str">
        <f aca="false">IF(IsPro,IF($D624="","",IFERROR(INDEX(Items!$D$5:$D$504,U624),"")),"")</f>
        <v/>
      </c>
      <c r="K624" s="61" t="str">
        <f aca="false">IF(IsPro,IF($D624="","",IF($F624="",IFERROR(INDEX(Items!$H$5:$H$504,U624),0),$F624)),"")</f>
        <v/>
      </c>
      <c r="L624" s="61" t="str">
        <f aca="false">IF(IsPro,IF($D624="","",ROUND(N($E624)*K624*(1-N($G624)),2)),"")</f>
        <v/>
      </c>
      <c r="M624" s="62" t="str">
        <f aca="false">IF(IsPro,IF($D624="","",IFERROR(INDEX(Items!$F$5:$F$504,U624),0)),"")</f>
        <v/>
      </c>
      <c r="N624" s="61" t="str">
        <f aca="false">IF(IsPro,IF($D624="","",IF(AND(V624&lt;&gt;"",INDEX(Parties!$E$5:$E$304,V624)&lt;&gt;"",INDEX(Parties!$E$5:$E$304,V624)&lt;&gt;HomeState),0,ROUND(L624*M624/2,2))),"")</f>
        <v/>
      </c>
      <c r="O624" s="61" t="str">
        <f aca="false">IF(IsPro,IF($D624="","",N624),"")</f>
        <v/>
      </c>
      <c r="P624" s="61" t="str">
        <f aca="false">IF(IsPro,IF($D624="","",IF(AND(V624&lt;&gt;"",INDEX(Parties!$E$5:$E$304,V624)&lt;&gt;"",INDEX(Parties!$E$5:$E$304,V624)&lt;&gt;HomeState),ROUND(L624*M624,2),0)),"")</f>
        <v/>
      </c>
      <c r="Q624" s="61" t="str">
        <f aca="false">IF(IsPro,IF($D624="","",L624+N624+O624+P624),"")</f>
        <v/>
      </c>
      <c r="R624" s="61" t="str">
        <f aca="false">IF(IsPro,IF($D624="","",ROUND(N($E624)*IFERROR(INDEX(Items!$P$5:$P$504,U624),0),2)),"")</f>
        <v/>
      </c>
      <c r="S624" s="61" t="str">
        <f aca="false">IF(IsPro,IF($D624="","",L624-R624),"")</f>
        <v/>
      </c>
      <c r="T624" s="60" t="str">
        <f aca="false">IF(IsPro,IF($D624="","",IF(U624="","UNKNOWN ITEM",IF(INDEX(Items!$O$5:$O$504,U624)&lt;0,"NEG STOCK",IF(K624&lt;INDEX(Items!$P$5:$P$504,U624),"BELOW COST","OK")))),IF($D624="","","PRO PLAN"))</f>
        <v/>
      </c>
      <c r="U624" s="60" t="str">
        <f aca="false">IF(IsPro,IF($D624="","",IFERROR(MATCH($D624,Items!$A$5:$A$504,0),"")),"")</f>
        <v/>
      </c>
      <c r="V624" s="60" t="str">
        <f aca="false">IF(IsPro,IF($C624="","",IFERROR(MATCH($C624,Parties!$A$5:$A$304,0),"")),"")</f>
        <v/>
      </c>
      <c r="W624" s="60" t="str">
        <f aca="false">IF(IsPro,IF($B624="","",IFERROR(VALUE(SUBSTITUTE($B624,InvPrefix,"")),0)),"")</f>
        <v/>
      </c>
      <c r="X624" s="61" t="str">
        <f aca="false">IF(IsPro,IF($D624="","",IF(OR($H624="",$H624="Credit"),0,Q624)),"")</f>
        <v/>
      </c>
    </row>
    <row r="625" customFormat="false" ht="15" hidden="false" customHeight="false" outlineLevel="0" collapsed="false">
      <c r="A625" s="55"/>
      <c r="B625" s="56"/>
      <c r="C625" s="56"/>
      <c r="D625" s="56"/>
      <c r="E625" s="57"/>
      <c r="F625" s="58"/>
      <c r="G625" s="59"/>
      <c r="H625" s="56"/>
      <c r="I625" s="56"/>
      <c r="J625" s="60" t="str">
        <f aca="false">IF(IsPro,IF($D625="","",IFERROR(INDEX(Items!$D$5:$D$504,U625),"")),"")</f>
        <v/>
      </c>
      <c r="K625" s="61" t="str">
        <f aca="false">IF(IsPro,IF($D625="","",IF($F625="",IFERROR(INDEX(Items!$H$5:$H$504,U625),0),$F625)),"")</f>
        <v/>
      </c>
      <c r="L625" s="61" t="str">
        <f aca="false">IF(IsPro,IF($D625="","",ROUND(N($E625)*K625*(1-N($G625)),2)),"")</f>
        <v/>
      </c>
      <c r="M625" s="62" t="str">
        <f aca="false">IF(IsPro,IF($D625="","",IFERROR(INDEX(Items!$F$5:$F$504,U625),0)),"")</f>
        <v/>
      </c>
      <c r="N625" s="61" t="str">
        <f aca="false">IF(IsPro,IF($D625="","",IF(AND(V625&lt;&gt;"",INDEX(Parties!$E$5:$E$304,V625)&lt;&gt;"",INDEX(Parties!$E$5:$E$304,V625)&lt;&gt;HomeState),0,ROUND(L625*M625/2,2))),"")</f>
        <v/>
      </c>
      <c r="O625" s="61" t="str">
        <f aca="false">IF(IsPro,IF($D625="","",N625),"")</f>
        <v/>
      </c>
      <c r="P625" s="61" t="str">
        <f aca="false">IF(IsPro,IF($D625="","",IF(AND(V625&lt;&gt;"",INDEX(Parties!$E$5:$E$304,V625)&lt;&gt;"",INDEX(Parties!$E$5:$E$304,V625)&lt;&gt;HomeState),ROUND(L625*M625,2),0)),"")</f>
        <v/>
      </c>
      <c r="Q625" s="61" t="str">
        <f aca="false">IF(IsPro,IF($D625="","",L625+N625+O625+P625),"")</f>
        <v/>
      </c>
      <c r="R625" s="61" t="str">
        <f aca="false">IF(IsPro,IF($D625="","",ROUND(N($E625)*IFERROR(INDEX(Items!$P$5:$P$504,U625),0),2)),"")</f>
        <v/>
      </c>
      <c r="S625" s="61" t="str">
        <f aca="false">IF(IsPro,IF($D625="","",L625-R625),"")</f>
        <v/>
      </c>
      <c r="T625" s="60" t="str">
        <f aca="false">IF(IsPro,IF($D625="","",IF(U625="","UNKNOWN ITEM",IF(INDEX(Items!$O$5:$O$504,U625)&lt;0,"NEG STOCK",IF(K625&lt;INDEX(Items!$P$5:$P$504,U625),"BELOW COST","OK")))),IF($D625="","","PRO PLAN"))</f>
        <v/>
      </c>
      <c r="U625" s="60" t="str">
        <f aca="false">IF(IsPro,IF($D625="","",IFERROR(MATCH($D625,Items!$A$5:$A$504,0),"")),"")</f>
        <v/>
      </c>
      <c r="V625" s="60" t="str">
        <f aca="false">IF(IsPro,IF($C625="","",IFERROR(MATCH($C625,Parties!$A$5:$A$304,0),"")),"")</f>
        <v/>
      </c>
      <c r="W625" s="60" t="str">
        <f aca="false">IF(IsPro,IF($B625="","",IFERROR(VALUE(SUBSTITUTE($B625,InvPrefix,"")),0)),"")</f>
        <v/>
      </c>
      <c r="X625" s="61" t="str">
        <f aca="false">IF(IsPro,IF($D625="","",IF(OR($H625="",$H625="Credit"),0,Q625)),"")</f>
        <v/>
      </c>
    </row>
    <row r="626" customFormat="false" ht="15" hidden="false" customHeight="false" outlineLevel="0" collapsed="false">
      <c r="A626" s="55"/>
      <c r="B626" s="56"/>
      <c r="C626" s="56"/>
      <c r="D626" s="56"/>
      <c r="E626" s="57"/>
      <c r="F626" s="58"/>
      <c r="G626" s="59"/>
      <c r="H626" s="56"/>
      <c r="I626" s="56"/>
      <c r="J626" s="60" t="str">
        <f aca="false">IF(IsPro,IF($D626="","",IFERROR(INDEX(Items!$D$5:$D$504,U626),"")),"")</f>
        <v/>
      </c>
      <c r="K626" s="61" t="str">
        <f aca="false">IF(IsPro,IF($D626="","",IF($F626="",IFERROR(INDEX(Items!$H$5:$H$504,U626),0),$F626)),"")</f>
        <v/>
      </c>
      <c r="L626" s="61" t="str">
        <f aca="false">IF(IsPro,IF($D626="","",ROUND(N($E626)*K626*(1-N($G626)),2)),"")</f>
        <v/>
      </c>
      <c r="M626" s="62" t="str">
        <f aca="false">IF(IsPro,IF($D626="","",IFERROR(INDEX(Items!$F$5:$F$504,U626),0)),"")</f>
        <v/>
      </c>
      <c r="N626" s="61" t="str">
        <f aca="false">IF(IsPro,IF($D626="","",IF(AND(V626&lt;&gt;"",INDEX(Parties!$E$5:$E$304,V626)&lt;&gt;"",INDEX(Parties!$E$5:$E$304,V626)&lt;&gt;HomeState),0,ROUND(L626*M626/2,2))),"")</f>
        <v/>
      </c>
      <c r="O626" s="61" t="str">
        <f aca="false">IF(IsPro,IF($D626="","",N626),"")</f>
        <v/>
      </c>
      <c r="P626" s="61" t="str">
        <f aca="false">IF(IsPro,IF($D626="","",IF(AND(V626&lt;&gt;"",INDEX(Parties!$E$5:$E$304,V626)&lt;&gt;"",INDEX(Parties!$E$5:$E$304,V626)&lt;&gt;HomeState),ROUND(L626*M626,2),0)),"")</f>
        <v/>
      </c>
      <c r="Q626" s="61" t="str">
        <f aca="false">IF(IsPro,IF($D626="","",L626+N626+O626+P626),"")</f>
        <v/>
      </c>
      <c r="R626" s="61" t="str">
        <f aca="false">IF(IsPro,IF($D626="","",ROUND(N($E626)*IFERROR(INDEX(Items!$P$5:$P$504,U626),0),2)),"")</f>
        <v/>
      </c>
      <c r="S626" s="61" t="str">
        <f aca="false">IF(IsPro,IF($D626="","",L626-R626),"")</f>
        <v/>
      </c>
      <c r="T626" s="60" t="str">
        <f aca="false">IF(IsPro,IF($D626="","",IF(U626="","UNKNOWN ITEM",IF(INDEX(Items!$O$5:$O$504,U626)&lt;0,"NEG STOCK",IF(K626&lt;INDEX(Items!$P$5:$P$504,U626),"BELOW COST","OK")))),IF($D626="","","PRO PLAN"))</f>
        <v/>
      </c>
      <c r="U626" s="60" t="str">
        <f aca="false">IF(IsPro,IF($D626="","",IFERROR(MATCH($D626,Items!$A$5:$A$504,0),"")),"")</f>
        <v/>
      </c>
      <c r="V626" s="60" t="str">
        <f aca="false">IF(IsPro,IF($C626="","",IFERROR(MATCH($C626,Parties!$A$5:$A$304,0),"")),"")</f>
        <v/>
      </c>
      <c r="W626" s="60" t="str">
        <f aca="false">IF(IsPro,IF($B626="","",IFERROR(VALUE(SUBSTITUTE($B626,InvPrefix,"")),0)),"")</f>
        <v/>
      </c>
      <c r="X626" s="61" t="str">
        <f aca="false">IF(IsPro,IF($D626="","",IF(OR($H626="",$H626="Credit"),0,Q626)),"")</f>
        <v/>
      </c>
    </row>
    <row r="627" customFormat="false" ht="15" hidden="false" customHeight="false" outlineLevel="0" collapsed="false">
      <c r="A627" s="55"/>
      <c r="B627" s="56"/>
      <c r="C627" s="56"/>
      <c r="D627" s="56"/>
      <c r="E627" s="57"/>
      <c r="F627" s="58"/>
      <c r="G627" s="59"/>
      <c r="H627" s="56"/>
      <c r="I627" s="56"/>
      <c r="J627" s="60" t="str">
        <f aca="false">IF(IsPro,IF($D627="","",IFERROR(INDEX(Items!$D$5:$D$504,U627),"")),"")</f>
        <v/>
      </c>
      <c r="K627" s="61" t="str">
        <f aca="false">IF(IsPro,IF($D627="","",IF($F627="",IFERROR(INDEX(Items!$H$5:$H$504,U627),0),$F627)),"")</f>
        <v/>
      </c>
      <c r="L627" s="61" t="str">
        <f aca="false">IF(IsPro,IF($D627="","",ROUND(N($E627)*K627*(1-N($G627)),2)),"")</f>
        <v/>
      </c>
      <c r="M627" s="62" t="str">
        <f aca="false">IF(IsPro,IF($D627="","",IFERROR(INDEX(Items!$F$5:$F$504,U627),0)),"")</f>
        <v/>
      </c>
      <c r="N627" s="61" t="str">
        <f aca="false">IF(IsPro,IF($D627="","",IF(AND(V627&lt;&gt;"",INDEX(Parties!$E$5:$E$304,V627)&lt;&gt;"",INDEX(Parties!$E$5:$E$304,V627)&lt;&gt;HomeState),0,ROUND(L627*M627/2,2))),"")</f>
        <v/>
      </c>
      <c r="O627" s="61" t="str">
        <f aca="false">IF(IsPro,IF($D627="","",N627),"")</f>
        <v/>
      </c>
      <c r="P627" s="61" t="str">
        <f aca="false">IF(IsPro,IF($D627="","",IF(AND(V627&lt;&gt;"",INDEX(Parties!$E$5:$E$304,V627)&lt;&gt;"",INDEX(Parties!$E$5:$E$304,V627)&lt;&gt;HomeState),ROUND(L627*M627,2),0)),"")</f>
        <v/>
      </c>
      <c r="Q627" s="61" t="str">
        <f aca="false">IF(IsPro,IF($D627="","",L627+N627+O627+P627),"")</f>
        <v/>
      </c>
      <c r="R627" s="61" t="str">
        <f aca="false">IF(IsPro,IF($D627="","",ROUND(N($E627)*IFERROR(INDEX(Items!$P$5:$P$504,U627),0),2)),"")</f>
        <v/>
      </c>
      <c r="S627" s="61" t="str">
        <f aca="false">IF(IsPro,IF($D627="","",L627-R627),"")</f>
        <v/>
      </c>
      <c r="T627" s="60" t="str">
        <f aca="false">IF(IsPro,IF($D627="","",IF(U627="","UNKNOWN ITEM",IF(INDEX(Items!$O$5:$O$504,U627)&lt;0,"NEG STOCK",IF(K627&lt;INDEX(Items!$P$5:$P$504,U627),"BELOW COST","OK")))),IF($D627="","","PRO PLAN"))</f>
        <v/>
      </c>
      <c r="U627" s="60" t="str">
        <f aca="false">IF(IsPro,IF($D627="","",IFERROR(MATCH($D627,Items!$A$5:$A$504,0),"")),"")</f>
        <v/>
      </c>
      <c r="V627" s="60" t="str">
        <f aca="false">IF(IsPro,IF($C627="","",IFERROR(MATCH($C627,Parties!$A$5:$A$304,0),"")),"")</f>
        <v/>
      </c>
      <c r="W627" s="60" t="str">
        <f aca="false">IF(IsPro,IF($B627="","",IFERROR(VALUE(SUBSTITUTE($B627,InvPrefix,"")),0)),"")</f>
        <v/>
      </c>
      <c r="X627" s="61" t="str">
        <f aca="false">IF(IsPro,IF($D627="","",IF(OR($H627="",$H627="Credit"),0,Q627)),"")</f>
        <v/>
      </c>
    </row>
    <row r="628" customFormat="false" ht="15" hidden="false" customHeight="false" outlineLevel="0" collapsed="false">
      <c r="A628" s="55"/>
      <c r="B628" s="56"/>
      <c r="C628" s="56"/>
      <c r="D628" s="56"/>
      <c r="E628" s="57"/>
      <c r="F628" s="58"/>
      <c r="G628" s="59"/>
      <c r="H628" s="56"/>
      <c r="I628" s="56"/>
      <c r="J628" s="60" t="str">
        <f aca="false">IF(IsPro,IF($D628="","",IFERROR(INDEX(Items!$D$5:$D$504,U628),"")),"")</f>
        <v/>
      </c>
      <c r="K628" s="61" t="str">
        <f aca="false">IF(IsPro,IF($D628="","",IF($F628="",IFERROR(INDEX(Items!$H$5:$H$504,U628),0),$F628)),"")</f>
        <v/>
      </c>
      <c r="L628" s="61" t="str">
        <f aca="false">IF(IsPro,IF($D628="","",ROUND(N($E628)*K628*(1-N($G628)),2)),"")</f>
        <v/>
      </c>
      <c r="M628" s="62" t="str">
        <f aca="false">IF(IsPro,IF($D628="","",IFERROR(INDEX(Items!$F$5:$F$504,U628),0)),"")</f>
        <v/>
      </c>
      <c r="N628" s="61" t="str">
        <f aca="false">IF(IsPro,IF($D628="","",IF(AND(V628&lt;&gt;"",INDEX(Parties!$E$5:$E$304,V628)&lt;&gt;"",INDEX(Parties!$E$5:$E$304,V628)&lt;&gt;HomeState),0,ROUND(L628*M628/2,2))),"")</f>
        <v/>
      </c>
      <c r="O628" s="61" t="str">
        <f aca="false">IF(IsPro,IF($D628="","",N628),"")</f>
        <v/>
      </c>
      <c r="P628" s="61" t="str">
        <f aca="false">IF(IsPro,IF($D628="","",IF(AND(V628&lt;&gt;"",INDEX(Parties!$E$5:$E$304,V628)&lt;&gt;"",INDEX(Parties!$E$5:$E$304,V628)&lt;&gt;HomeState),ROUND(L628*M628,2),0)),"")</f>
        <v/>
      </c>
      <c r="Q628" s="61" t="str">
        <f aca="false">IF(IsPro,IF($D628="","",L628+N628+O628+P628),"")</f>
        <v/>
      </c>
      <c r="R628" s="61" t="str">
        <f aca="false">IF(IsPro,IF($D628="","",ROUND(N($E628)*IFERROR(INDEX(Items!$P$5:$P$504,U628),0),2)),"")</f>
        <v/>
      </c>
      <c r="S628" s="61" t="str">
        <f aca="false">IF(IsPro,IF($D628="","",L628-R628),"")</f>
        <v/>
      </c>
      <c r="T628" s="60" t="str">
        <f aca="false">IF(IsPro,IF($D628="","",IF(U628="","UNKNOWN ITEM",IF(INDEX(Items!$O$5:$O$504,U628)&lt;0,"NEG STOCK",IF(K628&lt;INDEX(Items!$P$5:$P$504,U628),"BELOW COST","OK")))),IF($D628="","","PRO PLAN"))</f>
        <v/>
      </c>
      <c r="U628" s="60" t="str">
        <f aca="false">IF(IsPro,IF($D628="","",IFERROR(MATCH($D628,Items!$A$5:$A$504,0),"")),"")</f>
        <v/>
      </c>
      <c r="V628" s="60" t="str">
        <f aca="false">IF(IsPro,IF($C628="","",IFERROR(MATCH($C628,Parties!$A$5:$A$304,0),"")),"")</f>
        <v/>
      </c>
      <c r="W628" s="60" t="str">
        <f aca="false">IF(IsPro,IF($B628="","",IFERROR(VALUE(SUBSTITUTE($B628,InvPrefix,"")),0)),"")</f>
        <v/>
      </c>
      <c r="X628" s="61" t="str">
        <f aca="false">IF(IsPro,IF($D628="","",IF(OR($H628="",$H628="Credit"),0,Q628)),"")</f>
        <v/>
      </c>
    </row>
    <row r="629" customFormat="false" ht="15" hidden="false" customHeight="false" outlineLevel="0" collapsed="false">
      <c r="A629" s="55"/>
      <c r="B629" s="56"/>
      <c r="C629" s="56"/>
      <c r="D629" s="56"/>
      <c r="E629" s="57"/>
      <c r="F629" s="58"/>
      <c r="G629" s="59"/>
      <c r="H629" s="56"/>
      <c r="I629" s="56"/>
      <c r="J629" s="60" t="str">
        <f aca="false">IF(IsPro,IF($D629="","",IFERROR(INDEX(Items!$D$5:$D$504,U629),"")),"")</f>
        <v/>
      </c>
      <c r="K629" s="61" t="str">
        <f aca="false">IF(IsPro,IF($D629="","",IF($F629="",IFERROR(INDEX(Items!$H$5:$H$504,U629),0),$F629)),"")</f>
        <v/>
      </c>
      <c r="L629" s="61" t="str">
        <f aca="false">IF(IsPro,IF($D629="","",ROUND(N($E629)*K629*(1-N($G629)),2)),"")</f>
        <v/>
      </c>
      <c r="M629" s="62" t="str">
        <f aca="false">IF(IsPro,IF($D629="","",IFERROR(INDEX(Items!$F$5:$F$504,U629),0)),"")</f>
        <v/>
      </c>
      <c r="N629" s="61" t="str">
        <f aca="false">IF(IsPro,IF($D629="","",IF(AND(V629&lt;&gt;"",INDEX(Parties!$E$5:$E$304,V629)&lt;&gt;"",INDEX(Parties!$E$5:$E$304,V629)&lt;&gt;HomeState),0,ROUND(L629*M629/2,2))),"")</f>
        <v/>
      </c>
      <c r="O629" s="61" t="str">
        <f aca="false">IF(IsPro,IF($D629="","",N629),"")</f>
        <v/>
      </c>
      <c r="P629" s="61" t="str">
        <f aca="false">IF(IsPro,IF($D629="","",IF(AND(V629&lt;&gt;"",INDEX(Parties!$E$5:$E$304,V629)&lt;&gt;"",INDEX(Parties!$E$5:$E$304,V629)&lt;&gt;HomeState),ROUND(L629*M629,2),0)),"")</f>
        <v/>
      </c>
      <c r="Q629" s="61" t="str">
        <f aca="false">IF(IsPro,IF($D629="","",L629+N629+O629+P629),"")</f>
        <v/>
      </c>
      <c r="R629" s="61" t="str">
        <f aca="false">IF(IsPro,IF($D629="","",ROUND(N($E629)*IFERROR(INDEX(Items!$P$5:$P$504,U629),0),2)),"")</f>
        <v/>
      </c>
      <c r="S629" s="61" t="str">
        <f aca="false">IF(IsPro,IF($D629="","",L629-R629),"")</f>
        <v/>
      </c>
      <c r="T629" s="60" t="str">
        <f aca="false">IF(IsPro,IF($D629="","",IF(U629="","UNKNOWN ITEM",IF(INDEX(Items!$O$5:$O$504,U629)&lt;0,"NEG STOCK",IF(K629&lt;INDEX(Items!$P$5:$P$504,U629),"BELOW COST","OK")))),IF($D629="","","PRO PLAN"))</f>
        <v/>
      </c>
      <c r="U629" s="60" t="str">
        <f aca="false">IF(IsPro,IF($D629="","",IFERROR(MATCH($D629,Items!$A$5:$A$504,0),"")),"")</f>
        <v/>
      </c>
      <c r="V629" s="60" t="str">
        <f aca="false">IF(IsPro,IF($C629="","",IFERROR(MATCH($C629,Parties!$A$5:$A$304,0),"")),"")</f>
        <v/>
      </c>
      <c r="W629" s="60" t="str">
        <f aca="false">IF(IsPro,IF($B629="","",IFERROR(VALUE(SUBSTITUTE($B629,InvPrefix,"")),0)),"")</f>
        <v/>
      </c>
      <c r="X629" s="61" t="str">
        <f aca="false">IF(IsPro,IF($D629="","",IF(OR($H629="",$H629="Credit"),0,Q629)),"")</f>
        <v/>
      </c>
    </row>
    <row r="630" customFormat="false" ht="15" hidden="false" customHeight="false" outlineLevel="0" collapsed="false">
      <c r="A630" s="55"/>
      <c r="B630" s="56"/>
      <c r="C630" s="56"/>
      <c r="D630" s="56"/>
      <c r="E630" s="57"/>
      <c r="F630" s="58"/>
      <c r="G630" s="59"/>
      <c r="H630" s="56"/>
      <c r="I630" s="56"/>
      <c r="J630" s="60" t="str">
        <f aca="false">IF(IsPro,IF($D630="","",IFERROR(INDEX(Items!$D$5:$D$504,U630),"")),"")</f>
        <v/>
      </c>
      <c r="K630" s="61" t="str">
        <f aca="false">IF(IsPro,IF($D630="","",IF($F630="",IFERROR(INDEX(Items!$H$5:$H$504,U630),0),$F630)),"")</f>
        <v/>
      </c>
      <c r="L630" s="61" t="str">
        <f aca="false">IF(IsPro,IF($D630="","",ROUND(N($E630)*K630*(1-N($G630)),2)),"")</f>
        <v/>
      </c>
      <c r="M630" s="62" t="str">
        <f aca="false">IF(IsPro,IF($D630="","",IFERROR(INDEX(Items!$F$5:$F$504,U630),0)),"")</f>
        <v/>
      </c>
      <c r="N630" s="61" t="str">
        <f aca="false">IF(IsPro,IF($D630="","",IF(AND(V630&lt;&gt;"",INDEX(Parties!$E$5:$E$304,V630)&lt;&gt;"",INDEX(Parties!$E$5:$E$304,V630)&lt;&gt;HomeState),0,ROUND(L630*M630/2,2))),"")</f>
        <v/>
      </c>
      <c r="O630" s="61" t="str">
        <f aca="false">IF(IsPro,IF($D630="","",N630),"")</f>
        <v/>
      </c>
      <c r="P630" s="61" t="str">
        <f aca="false">IF(IsPro,IF($D630="","",IF(AND(V630&lt;&gt;"",INDEX(Parties!$E$5:$E$304,V630)&lt;&gt;"",INDEX(Parties!$E$5:$E$304,V630)&lt;&gt;HomeState),ROUND(L630*M630,2),0)),"")</f>
        <v/>
      </c>
      <c r="Q630" s="61" t="str">
        <f aca="false">IF(IsPro,IF($D630="","",L630+N630+O630+P630),"")</f>
        <v/>
      </c>
      <c r="R630" s="61" t="str">
        <f aca="false">IF(IsPro,IF($D630="","",ROUND(N($E630)*IFERROR(INDEX(Items!$P$5:$P$504,U630),0),2)),"")</f>
        <v/>
      </c>
      <c r="S630" s="61" t="str">
        <f aca="false">IF(IsPro,IF($D630="","",L630-R630),"")</f>
        <v/>
      </c>
      <c r="T630" s="60" t="str">
        <f aca="false">IF(IsPro,IF($D630="","",IF(U630="","UNKNOWN ITEM",IF(INDEX(Items!$O$5:$O$504,U630)&lt;0,"NEG STOCK",IF(K630&lt;INDEX(Items!$P$5:$P$504,U630),"BELOW COST","OK")))),IF($D630="","","PRO PLAN"))</f>
        <v/>
      </c>
      <c r="U630" s="60" t="str">
        <f aca="false">IF(IsPro,IF($D630="","",IFERROR(MATCH($D630,Items!$A$5:$A$504,0),"")),"")</f>
        <v/>
      </c>
      <c r="V630" s="60" t="str">
        <f aca="false">IF(IsPro,IF($C630="","",IFERROR(MATCH($C630,Parties!$A$5:$A$304,0),"")),"")</f>
        <v/>
      </c>
      <c r="W630" s="60" t="str">
        <f aca="false">IF(IsPro,IF($B630="","",IFERROR(VALUE(SUBSTITUTE($B630,InvPrefix,"")),0)),"")</f>
        <v/>
      </c>
      <c r="X630" s="61" t="str">
        <f aca="false">IF(IsPro,IF($D630="","",IF(OR($H630="",$H630="Credit"),0,Q630)),"")</f>
        <v/>
      </c>
    </row>
    <row r="631" customFormat="false" ht="15" hidden="false" customHeight="false" outlineLevel="0" collapsed="false">
      <c r="A631" s="55"/>
      <c r="B631" s="56"/>
      <c r="C631" s="56"/>
      <c r="D631" s="56"/>
      <c r="E631" s="57"/>
      <c r="F631" s="58"/>
      <c r="G631" s="59"/>
      <c r="H631" s="56"/>
      <c r="I631" s="56"/>
      <c r="J631" s="60" t="str">
        <f aca="false">IF(IsPro,IF($D631="","",IFERROR(INDEX(Items!$D$5:$D$504,U631),"")),"")</f>
        <v/>
      </c>
      <c r="K631" s="61" t="str">
        <f aca="false">IF(IsPro,IF($D631="","",IF($F631="",IFERROR(INDEX(Items!$H$5:$H$504,U631),0),$F631)),"")</f>
        <v/>
      </c>
      <c r="L631" s="61" t="str">
        <f aca="false">IF(IsPro,IF($D631="","",ROUND(N($E631)*K631*(1-N($G631)),2)),"")</f>
        <v/>
      </c>
      <c r="M631" s="62" t="str">
        <f aca="false">IF(IsPro,IF($D631="","",IFERROR(INDEX(Items!$F$5:$F$504,U631),0)),"")</f>
        <v/>
      </c>
      <c r="N631" s="61" t="str">
        <f aca="false">IF(IsPro,IF($D631="","",IF(AND(V631&lt;&gt;"",INDEX(Parties!$E$5:$E$304,V631)&lt;&gt;"",INDEX(Parties!$E$5:$E$304,V631)&lt;&gt;HomeState),0,ROUND(L631*M631/2,2))),"")</f>
        <v/>
      </c>
      <c r="O631" s="61" t="str">
        <f aca="false">IF(IsPro,IF($D631="","",N631),"")</f>
        <v/>
      </c>
      <c r="P631" s="61" t="str">
        <f aca="false">IF(IsPro,IF($D631="","",IF(AND(V631&lt;&gt;"",INDEX(Parties!$E$5:$E$304,V631)&lt;&gt;"",INDEX(Parties!$E$5:$E$304,V631)&lt;&gt;HomeState),ROUND(L631*M631,2),0)),"")</f>
        <v/>
      </c>
      <c r="Q631" s="61" t="str">
        <f aca="false">IF(IsPro,IF($D631="","",L631+N631+O631+P631),"")</f>
        <v/>
      </c>
      <c r="R631" s="61" t="str">
        <f aca="false">IF(IsPro,IF($D631="","",ROUND(N($E631)*IFERROR(INDEX(Items!$P$5:$P$504,U631),0),2)),"")</f>
        <v/>
      </c>
      <c r="S631" s="61" t="str">
        <f aca="false">IF(IsPro,IF($D631="","",L631-R631),"")</f>
        <v/>
      </c>
      <c r="T631" s="60" t="str">
        <f aca="false">IF(IsPro,IF($D631="","",IF(U631="","UNKNOWN ITEM",IF(INDEX(Items!$O$5:$O$504,U631)&lt;0,"NEG STOCK",IF(K631&lt;INDEX(Items!$P$5:$P$504,U631),"BELOW COST","OK")))),IF($D631="","","PRO PLAN"))</f>
        <v/>
      </c>
      <c r="U631" s="60" t="str">
        <f aca="false">IF(IsPro,IF($D631="","",IFERROR(MATCH($D631,Items!$A$5:$A$504,0),"")),"")</f>
        <v/>
      </c>
      <c r="V631" s="60" t="str">
        <f aca="false">IF(IsPro,IF($C631="","",IFERROR(MATCH($C631,Parties!$A$5:$A$304,0),"")),"")</f>
        <v/>
      </c>
      <c r="W631" s="60" t="str">
        <f aca="false">IF(IsPro,IF($B631="","",IFERROR(VALUE(SUBSTITUTE($B631,InvPrefix,"")),0)),"")</f>
        <v/>
      </c>
      <c r="X631" s="61" t="str">
        <f aca="false">IF(IsPro,IF($D631="","",IF(OR($H631="",$H631="Credit"),0,Q631)),"")</f>
        <v/>
      </c>
    </row>
    <row r="632" customFormat="false" ht="15" hidden="false" customHeight="false" outlineLevel="0" collapsed="false">
      <c r="A632" s="55"/>
      <c r="B632" s="56"/>
      <c r="C632" s="56"/>
      <c r="D632" s="56"/>
      <c r="E632" s="57"/>
      <c r="F632" s="58"/>
      <c r="G632" s="59"/>
      <c r="H632" s="56"/>
      <c r="I632" s="56"/>
      <c r="J632" s="60" t="str">
        <f aca="false">IF(IsPro,IF($D632="","",IFERROR(INDEX(Items!$D$5:$D$504,U632),"")),"")</f>
        <v/>
      </c>
      <c r="K632" s="61" t="str">
        <f aca="false">IF(IsPro,IF($D632="","",IF($F632="",IFERROR(INDEX(Items!$H$5:$H$504,U632),0),$F632)),"")</f>
        <v/>
      </c>
      <c r="L632" s="61" t="str">
        <f aca="false">IF(IsPro,IF($D632="","",ROUND(N($E632)*K632*(1-N($G632)),2)),"")</f>
        <v/>
      </c>
      <c r="M632" s="62" t="str">
        <f aca="false">IF(IsPro,IF($D632="","",IFERROR(INDEX(Items!$F$5:$F$504,U632),0)),"")</f>
        <v/>
      </c>
      <c r="N632" s="61" t="str">
        <f aca="false">IF(IsPro,IF($D632="","",IF(AND(V632&lt;&gt;"",INDEX(Parties!$E$5:$E$304,V632)&lt;&gt;"",INDEX(Parties!$E$5:$E$304,V632)&lt;&gt;HomeState),0,ROUND(L632*M632/2,2))),"")</f>
        <v/>
      </c>
      <c r="O632" s="61" t="str">
        <f aca="false">IF(IsPro,IF($D632="","",N632),"")</f>
        <v/>
      </c>
      <c r="P632" s="61" t="str">
        <f aca="false">IF(IsPro,IF($D632="","",IF(AND(V632&lt;&gt;"",INDEX(Parties!$E$5:$E$304,V632)&lt;&gt;"",INDEX(Parties!$E$5:$E$304,V632)&lt;&gt;HomeState),ROUND(L632*M632,2),0)),"")</f>
        <v/>
      </c>
      <c r="Q632" s="61" t="str">
        <f aca="false">IF(IsPro,IF($D632="","",L632+N632+O632+P632),"")</f>
        <v/>
      </c>
      <c r="R632" s="61" t="str">
        <f aca="false">IF(IsPro,IF($D632="","",ROUND(N($E632)*IFERROR(INDEX(Items!$P$5:$P$504,U632),0),2)),"")</f>
        <v/>
      </c>
      <c r="S632" s="61" t="str">
        <f aca="false">IF(IsPro,IF($D632="","",L632-R632),"")</f>
        <v/>
      </c>
      <c r="T632" s="60" t="str">
        <f aca="false">IF(IsPro,IF($D632="","",IF(U632="","UNKNOWN ITEM",IF(INDEX(Items!$O$5:$O$504,U632)&lt;0,"NEG STOCK",IF(K632&lt;INDEX(Items!$P$5:$P$504,U632),"BELOW COST","OK")))),IF($D632="","","PRO PLAN"))</f>
        <v/>
      </c>
      <c r="U632" s="60" t="str">
        <f aca="false">IF(IsPro,IF($D632="","",IFERROR(MATCH($D632,Items!$A$5:$A$504,0),"")),"")</f>
        <v/>
      </c>
      <c r="V632" s="60" t="str">
        <f aca="false">IF(IsPro,IF($C632="","",IFERROR(MATCH($C632,Parties!$A$5:$A$304,0),"")),"")</f>
        <v/>
      </c>
      <c r="W632" s="60" t="str">
        <f aca="false">IF(IsPro,IF($B632="","",IFERROR(VALUE(SUBSTITUTE($B632,InvPrefix,"")),0)),"")</f>
        <v/>
      </c>
      <c r="X632" s="61" t="str">
        <f aca="false">IF(IsPro,IF($D632="","",IF(OR($H632="",$H632="Credit"),0,Q632)),"")</f>
        <v/>
      </c>
    </row>
    <row r="633" customFormat="false" ht="15" hidden="false" customHeight="false" outlineLevel="0" collapsed="false">
      <c r="A633" s="55"/>
      <c r="B633" s="56"/>
      <c r="C633" s="56"/>
      <c r="D633" s="56"/>
      <c r="E633" s="57"/>
      <c r="F633" s="58"/>
      <c r="G633" s="59"/>
      <c r="H633" s="56"/>
      <c r="I633" s="56"/>
      <c r="J633" s="60" t="str">
        <f aca="false">IF(IsPro,IF($D633="","",IFERROR(INDEX(Items!$D$5:$D$504,U633),"")),"")</f>
        <v/>
      </c>
      <c r="K633" s="61" t="str">
        <f aca="false">IF(IsPro,IF($D633="","",IF($F633="",IFERROR(INDEX(Items!$H$5:$H$504,U633),0),$F633)),"")</f>
        <v/>
      </c>
      <c r="L633" s="61" t="str">
        <f aca="false">IF(IsPro,IF($D633="","",ROUND(N($E633)*K633*(1-N($G633)),2)),"")</f>
        <v/>
      </c>
      <c r="M633" s="62" t="str">
        <f aca="false">IF(IsPro,IF($D633="","",IFERROR(INDEX(Items!$F$5:$F$504,U633),0)),"")</f>
        <v/>
      </c>
      <c r="N633" s="61" t="str">
        <f aca="false">IF(IsPro,IF($D633="","",IF(AND(V633&lt;&gt;"",INDEX(Parties!$E$5:$E$304,V633)&lt;&gt;"",INDEX(Parties!$E$5:$E$304,V633)&lt;&gt;HomeState),0,ROUND(L633*M633/2,2))),"")</f>
        <v/>
      </c>
      <c r="O633" s="61" t="str">
        <f aca="false">IF(IsPro,IF($D633="","",N633),"")</f>
        <v/>
      </c>
      <c r="P633" s="61" t="str">
        <f aca="false">IF(IsPro,IF($D633="","",IF(AND(V633&lt;&gt;"",INDEX(Parties!$E$5:$E$304,V633)&lt;&gt;"",INDEX(Parties!$E$5:$E$304,V633)&lt;&gt;HomeState),ROUND(L633*M633,2),0)),"")</f>
        <v/>
      </c>
      <c r="Q633" s="61" t="str">
        <f aca="false">IF(IsPro,IF($D633="","",L633+N633+O633+P633),"")</f>
        <v/>
      </c>
      <c r="R633" s="61" t="str">
        <f aca="false">IF(IsPro,IF($D633="","",ROUND(N($E633)*IFERROR(INDEX(Items!$P$5:$P$504,U633),0),2)),"")</f>
        <v/>
      </c>
      <c r="S633" s="61" t="str">
        <f aca="false">IF(IsPro,IF($D633="","",L633-R633),"")</f>
        <v/>
      </c>
      <c r="T633" s="60" t="str">
        <f aca="false">IF(IsPro,IF($D633="","",IF(U633="","UNKNOWN ITEM",IF(INDEX(Items!$O$5:$O$504,U633)&lt;0,"NEG STOCK",IF(K633&lt;INDEX(Items!$P$5:$P$504,U633),"BELOW COST","OK")))),IF($D633="","","PRO PLAN"))</f>
        <v/>
      </c>
      <c r="U633" s="60" t="str">
        <f aca="false">IF(IsPro,IF($D633="","",IFERROR(MATCH($D633,Items!$A$5:$A$504,0),"")),"")</f>
        <v/>
      </c>
      <c r="V633" s="60" t="str">
        <f aca="false">IF(IsPro,IF($C633="","",IFERROR(MATCH($C633,Parties!$A$5:$A$304,0),"")),"")</f>
        <v/>
      </c>
      <c r="W633" s="60" t="str">
        <f aca="false">IF(IsPro,IF($B633="","",IFERROR(VALUE(SUBSTITUTE($B633,InvPrefix,"")),0)),"")</f>
        <v/>
      </c>
      <c r="X633" s="61" t="str">
        <f aca="false">IF(IsPro,IF($D633="","",IF(OR($H633="",$H633="Credit"),0,Q633)),"")</f>
        <v/>
      </c>
    </row>
    <row r="634" customFormat="false" ht="15" hidden="false" customHeight="false" outlineLevel="0" collapsed="false">
      <c r="A634" s="55"/>
      <c r="B634" s="56"/>
      <c r="C634" s="56"/>
      <c r="D634" s="56"/>
      <c r="E634" s="57"/>
      <c r="F634" s="58"/>
      <c r="G634" s="59"/>
      <c r="H634" s="56"/>
      <c r="I634" s="56"/>
      <c r="J634" s="60" t="str">
        <f aca="false">IF(IsPro,IF($D634="","",IFERROR(INDEX(Items!$D$5:$D$504,U634),"")),"")</f>
        <v/>
      </c>
      <c r="K634" s="61" t="str">
        <f aca="false">IF(IsPro,IF($D634="","",IF($F634="",IFERROR(INDEX(Items!$H$5:$H$504,U634),0),$F634)),"")</f>
        <v/>
      </c>
      <c r="L634" s="61" t="str">
        <f aca="false">IF(IsPro,IF($D634="","",ROUND(N($E634)*K634*(1-N($G634)),2)),"")</f>
        <v/>
      </c>
      <c r="M634" s="62" t="str">
        <f aca="false">IF(IsPro,IF($D634="","",IFERROR(INDEX(Items!$F$5:$F$504,U634),0)),"")</f>
        <v/>
      </c>
      <c r="N634" s="61" t="str">
        <f aca="false">IF(IsPro,IF($D634="","",IF(AND(V634&lt;&gt;"",INDEX(Parties!$E$5:$E$304,V634)&lt;&gt;"",INDEX(Parties!$E$5:$E$304,V634)&lt;&gt;HomeState),0,ROUND(L634*M634/2,2))),"")</f>
        <v/>
      </c>
      <c r="O634" s="61" t="str">
        <f aca="false">IF(IsPro,IF($D634="","",N634),"")</f>
        <v/>
      </c>
      <c r="P634" s="61" t="str">
        <f aca="false">IF(IsPro,IF($D634="","",IF(AND(V634&lt;&gt;"",INDEX(Parties!$E$5:$E$304,V634)&lt;&gt;"",INDEX(Parties!$E$5:$E$304,V634)&lt;&gt;HomeState),ROUND(L634*M634,2),0)),"")</f>
        <v/>
      </c>
      <c r="Q634" s="61" t="str">
        <f aca="false">IF(IsPro,IF($D634="","",L634+N634+O634+P634),"")</f>
        <v/>
      </c>
      <c r="R634" s="61" t="str">
        <f aca="false">IF(IsPro,IF($D634="","",ROUND(N($E634)*IFERROR(INDEX(Items!$P$5:$P$504,U634),0),2)),"")</f>
        <v/>
      </c>
      <c r="S634" s="61" t="str">
        <f aca="false">IF(IsPro,IF($D634="","",L634-R634),"")</f>
        <v/>
      </c>
      <c r="T634" s="60" t="str">
        <f aca="false">IF(IsPro,IF($D634="","",IF(U634="","UNKNOWN ITEM",IF(INDEX(Items!$O$5:$O$504,U634)&lt;0,"NEG STOCK",IF(K634&lt;INDEX(Items!$P$5:$P$504,U634),"BELOW COST","OK")))),IF($D634="","","PRO PLAN"))</f>
        <v/>
      </c>
      <c r="U634" s="60" t="str">
        <f aca="false">IF(IsPro,IF($D634="","",IFERROR(MATCH($D634,Items!$A$5:$A$504,0),"")),"")</f>
        <v/>
      </c>
      <c r="V634" s="60" t="str">
        <f aca="false">IF(IsPro,IF($C634="","",IFERROR(MATCH($C634,Parties!$A$5:$A$304,0),"")),"")</f>
        <v/>
      </c>
      <c r="W634" s="60" t="str">
        <f aca="false">IF(IsPro,IF($B634="","",IFERROR(VALUE(SUBSTITUTE($B634,InvPrefix,"")),0)),"")</f>
        <v/>
      </c>
      <c r="X634" s="61" t="str">
        <f aca="false">IF(IsPro,IF($D634="","",IF(OR($H634="",$H634="Credit"),0,Q634)),"")</f>
        <v/>
      </c>
    </row>
    <row r="635" customFormat="false" ht="15" hidden="false" customHeight="false" outlineLevel="0" collapsed="false">
      <c r="A635" s="55"/>
      <c r="B635" s="56"/>
      <c r="C635" s="56"/>
      <c r="D635" s="56"/>
      <c r="E635" s="57"/>
      <c r="F635" s="58"/>
      <c r="G635" s="59"/>
      <c r="H635" s="56"/>
      <c r="I635" s="56"/>
      <c r="J635" s="60" t="str">
        <f aca="false">IF(IsPro,IF($D635="","",IFERROR(INDEX(Items!$D$5:$D$504,U635),"")),"")</f>
        <v/>
      </c>
      <c r="K635" s="61" t="str">
        <f aca="false">IF(IsPro,IF($D635="","",IF($F635="",IFERROR(INDEX(Items!$H$5:$H$504,U635),0),$F635)),"")</f>
        <v/>
      </c>
      <c r="L635" s="61" t="str">
        <f aca="false">IF(IsPro,IF($D635="","",ROUND(N($E635)*K635*(1-N($G635)),2)),"")</f>
        <v/>
      </c>
      <c r="M635" s="62" t="str">
        <f aca="false">IF(IsPro,IF($D635="","",IFERROR(INDEX(Items!$F$5:$F$504,U635),0)),"")</f>
        <v/>
      </c>
      <c r="N635" s="61" t="str">
        <f aca="false">IF(IsPro,IF($D635="","",IF(AND(V635&lt;&gt;"",INDEX(Parties!$E$5:$E$304,V635)&lt;&gt;"",INDEX(Parties!$E$5:$E$304,V635)&lt;&gt;HomeState),0,ROUND(L635*M635/2,2))),"")</f>
        <v/>
      </c>
      <c r="O635" s="61" t="str">
        <f aca="false">IF(IsPro,IF($D635="","",N635),"")</f>
        <v/>
      </c>
      <c r="P635" s="61" t="str">
        <f aca="false">IF(IsPro,IF($D635="","",IF(AND(V635&lt;&gt;"",INDEX(Parties!$E$5:$E$304,V635)&lt;&gt;"",INDEX(Parties!$E$5:$E$304,V635)&lt;&gt;HomeState),ROUND(L635*M635,2),0)),"")</f>
        <v/>
      </c>
      <c r="Q635" s="61" t="str">
        <f aca="false">IF(IsPro,IF($D635="","",L635+N635+O635+P635),"")</f>
        <v/>
      </c>
      <c r="R635" s="61" t="str">
        <f aca="false">IF(IsPro,IF($D635="","",ROUND(N($E635)*IFERROR(INDEX(Items!$P$5:$P$504,U635),0),2)),"")</f>
        <v/>
      </c>
      <c r="S635" s="61" t="str">
        <f aca="false">IF(IsPro,IF($D635="","",L635-R635),"")</f>
        <v/>
      </c>
      <c r="T635" s="60" t="str">
        <f aca="false">IF(IsPro,IF($D635="","",IF(U635="","UNKNOWN ITEM",IF(INDEX(Items!$O$5:$O$504,U635)&lt;0,"NEG STOCK",IF(K635&lt;INDEX(Items!$P$5:$P$504,U635),"BELOW COST","OK")))),IF($D635="","","PRO PLAN"))</f>
        <v/>
      </c>
      <c r="U635" s="60" t="str">
        <f aca="false">IF(IsPro,IF($D635="","",IFERROR(MATCH($D635,Items!$A$5:$A$504,0),"")),"")</f>
        <v/>
      </c>
      <c r="V635" s="60" t="str">
        <f aca="false">IF(IsPro,IF($C635="","",IFERROR(MATCH($C635,Parties!$A$5:$A$304,0),"")),"")</f>
        <v/>
      </c>
      <c r="W635" s="60" t="str">
        <f aca="false">IF(IsPro,IF($B635="","",IFERROR(VALUE(SUBSTITUTE($B635,InvPrefix,"")),0)),"")</f>
        <v/>
      </c>
      <c r="X635" s="61" t="str">
        <f aca="false">IF(IsPro,IF($D635="","",IF(OR($H635="",$H635="Credit"),0,Q635)),"")</f>
        <v/>
      </c>
    </row>
    <row r="636" customFormat="false" ht="15" hidden="false" customHeight="false" outlineLevel="0" collapsed="false">
      <c r="A636" s="55"/>
      <c r="B636" s="56"/>
      <c r="C636" s="56"/>
      <c r="D636" s="56"/>
      <c r="E636" s="57"/>
      <c r="F636" s="58"/>
      <c r="G636" s="59"/>
      <c r="H636" s="56"/>
      <c r="I636" s="56"/>
      <c r="J636" s="60" t="str">
        <f aca="false">IF(IsPro,IF($D636="","",IFERROR(INDEX(Items!$D$5:$D$504,U636),"")),"")</f>
        <v/>
      </c>
      <c r="K636" s="61" t="str">
        <f aca="false">IF(IsPro,IF($D636="","",IF($F636="",IFERROR(INDEX(Items!$H$5:$H$504,U636),0),$F636)),"")</f>
        <v/>
      </c>
      <c r="L636" s="61" t="str">
        <f aca="false">IF(IsPro,IF($D636="","",ROUND(N($E636)*K636*(1-N($G636)),2)),"")</f>
        <v/>
      </c>
      <c r="M636" s="62" t="str">
        <f aca="false">IF(IsPro,IF($D636="","",IFERROR(INDEX(Items!$F$5:$F$504,U636),0)),"")</f>
        <v/>
      </c>
      <c r="N636" s="61" t="str">
        <f aca="false">IF(IsPro,IF($D636="","",IF(AND(V636&lt;&gt;"",INDEX(Parties!$E$5:$E$304,V636)&lt;&gt;"",INDEX(Parties!$E$5:$E$304,V636)&lt;&gt;HomeState),0,ROUND(L636*M636/2,2))),"")</f>
        <v/>
      </c>
      <c r="O636" s="61" t="str">
        <f aca="false">IF(IsPro,IF($D636="","",N636),"")</f>
        <v/>
      </c>
      <c r="P636" s="61" t="str">
        <f aca="false">IF(IsPro,IF($D636="","",IF(AND(V636&lt;&gt;"",INDEX(Parties!$E$5:$E$304,V636)&lt;&gt;"",INDEX(Parties!$E$5:$E$304,V636)&lt;&gt;HomeState),ROUND(L636*M636,2),0)),"")</f>
        <v/>
      </c>
      <c r="Q636" s="61" t="str">
        <f aca="false">IF(IsPro,IF($D636="","",L636+N636+O636+P636),"")</f>
        <v/>
      </c>
      <c r="R636" s="61" t="str">
        <f aca="false">IF(IsPro,IF($D636="","",ROUND(N($E636)*IFERROR(INDEX(Items!$P$5:$P$504,U636),0),2)),"")</f>
        <v/>
      </c>
      <c r="S636" s="61" t="str">
        <f aca="false">IF(IsPro,IF($D636="","",L636-R636),"")</f>
        <v/>
      </c>
      <c r="T636" s="60" t="str">
        <f aca="false">IF(IsPro,IF($D636="","",IF(U636="","UNKNOWN ITEM",IF(INDEX(Items!$O$5:$O$504,U636)&lt;0,"NEG STOCK",IF(K636&lt;INDEX(Items!$P$5:$P$504,U636),"BELOW COST","OK")))),IF($D636="","","PRO PLAN"))</f>
        <v/>
      </c>
      <c r="U636" s="60" t="str">
        <f aca="false">IF(IsPro,IF($D636="","",IFERROR(MATCH($D636,Items!$A$5:$A$504,0),"")),"")</f>
        <v/>
      </c>
      <c r="V636" s="60" t="str">
        <f aca="false">IF(IsPro,IF($C636="","",IFERROR(MATCH($C636,Parties!$A$5:$A$304,0),"")),"")</f>
        <v/>
      </c>
      <c r="W636" s="60" t="str">
        <f aca="false">IF(IsPro,IF($B636="","",IFERROR(VALUE(SUBSTITUTE($B636,InvPrefix,"")),0)),"")</f>
        <v/>
      </c>
      <c r="X636" s="61" t="str">
        <f aca="false">IF(IsPro,IF($D636="","",IF(OR($H636="",$H636="Credit"),0,Q636)),"")</f>
        <v/>
      </c>
    </row>
    <row r="637" customFormat="false" ht="15" hidden="false" customHeight="false" outlineLevel="0" collapsed="false">
      <c r="A637" s="55"/>
      <c r="B637" s="56"/>
      <c r="C637" s="56"/>
      <c r="D637" s="56"/>
      <c r="E637" s="57"/>
      <c r="F637" s="58"/>
      <c r="G637" s="59"/>
      <c r="H637" s="56"/>
      <c r="I637" s="56"/>
      <c r="J637" s="60" t="str">
        <f aca="false">IF(IsPro,IF($D637="","",IFERROR(INDEX(Items!$D$5:$D$504,U637),"")),"")</f>
        <v/>
      </c>
      <c r="K637" s="61" t="str">
        <f aca="false">IF(IsPro,IF($D637="","",IF($F637="",IFERROR(INDEX(Items!$H$5:$H$504,U637),0),$F637)),"")</f>
        <v/>
      </c>
      <c r="L637" s="61" t="str">
        <f aca="false">IF(IsPro,IF($D637="","",ROUND(N($E637)*K637*(1-N($G637)),2)),"")</f>
        <v/>
      </c>
      <c r="M637" s="62" t="str">
        <f aca="false">IF(IsPro,IF($D637="","",IFERROR(INDEX(Items!$F$5:$F$504,U637),0)),"")</f>
        <v/>
      </c>
      <c r="N637" s="61" t="str">
        <f aca="false">IF(IsPro,IF($D637="","",IF(AND(V637&lt;&gt;"",INDEX(Parties!$E$5:$E$304,V637)&lt;&gt;"",INDEX(Parties!$E$5:$E$304,V637)&lt;&gt;HomeState),0,ROUND(L637*M637/2,2))),"")</f>
        <v/>
      </c>
      <c r="O637" s="61" t="str">
        <f aca="false">IF(IsPro,IF($D637="","",N637),"")</f>
        <v/>
      </c>
      <c r="P637" s="61" t="str">
        <f aca="false">IF(IsPro,IF($D637="","",IF(AND(V637&lt;&gt;"",INDEX(Parties!$E$5:$E$304,V637)&lt;&gt;"",INDEX(Parties!$E$5:$E$304,V637)&lt;&gt;HomeState),ROUND(L637*M637,2),0)),"")</f>
        <v/>
      </c>
      <c r="Q637" s="61" t="str">
        <f aca="false">IF(IsPro,IF($D637="","",L637+N637+O637+P637),"")</f>
        <v/>
      </c>
      <c r="R637" s="61" t="str">
        <f aca="false">IF(IsPro,IF($D637="","",ROUND(N($E637)*IFERROR(INDEX(Items!$P$5:$P$504,U637),0),2)),"")</f>
        <v/>
      </c>
      <c r="S637" s="61" t="str">
        <f aca="false">IF(IsPro,IF($D637="","",L637-R637),"")</f>
        <v/>
      </c>
      <c r="T637" s="60" t="str">
        <f aca="false">IF(IsPro,IF($D637="","",IF(U637="","UNKNOWN ITEM",IF(INDEX(Items!$O$5:$O$504,U637)&lt;0,"NEG STOCK",IF(K637&lt;INDEX(Items!$P$5:$P$504,U637),"BELOW COST","OK")))),IF($D637="","","PRO PLAN"))</f>
        <v/>
      </c>
      <c r="U637" s="60" t="str">
        <f aca="false">IF(IsPro,IF($D637="","",IFERROR(MATCH($D637,Items!$A$5:$A$504,0),"")),"")</f>
        <v/>
      </c>
      <c r="V637" s="60" t="str">
        <f aca="false">IF(IsPro,IF($C637="","",IFERROR(MATCH($C637,Parties!$A$5:$A$304,0),"")),"")</f>
        <v/>
      </c>
      <c r="W637" s="60" t="str">
        <f aca="false">IF(IsPro,IF($B637="","",IFERROR(VALUE(SUBSTITUTE($B637,InvPrefix,"")),0)),"")</f>
        <v/>
      </c>
      <c r="X637" s="61" t="str">
        <f aca="false">IF(IsPro,IF($D637="","",IF(OR($H637="",$H637="Credit"),0,Q637)),"")</f>
        <v/>
      </c>
    </row>
    <row r="638" customFormat="false" ht="15" hidden="false" customHeight="false" outlineLevel="0" collapsed="false">
      <c r="A638" s="55"/>
      <c r="B638" s="56"/>
      <c r="C638" s="56"/>
      <c r="D638" s="56"/>
      <c r="E638" s="57"/>
      <c r="F638" s="58"/>
      <c r="G638" s="59"/>
      <c r="H638" s="56"/>
      <c r="I638" s="56"/>
      <c r="J638" s="60" t="str">
        <f aca="false">IF(IsPro,IF($D638="","",IFERROR(INDEX(Items!$D$5:$D$504,U638),"")),"")</f>
        <v/>
      </c>
      <c r="K638" s="61" t="str">
        <f aca="false">IF(IsPro,IF($D638="","",IF($F638="",IFERROR(INDEX(Items!$H$5:$H$504,U638),0),$F638)),"")</f>
        <v/>
      </c>
      <c r="L638" s="61" t="str">
        <f aca="false">IF(IsPro,IF($D638="","",ROUND(N($E638)*K638*(1-N($G638)),2)),"")</f>
        <v/>
      </c>
      <c r="M638" s="62" t="str">
        <f aca="false">IF(IsPro,IF($D638="","",IFERROR(INDEX(Items!$F$5:$F$504,U638),0)),"")</f>
        <v/>
      </c>
      <c r="N638" s="61" t="str">
        <f aca="false">IF(IsPro,IF($D638="","",IF(AND(V638&lt;&gt;"",INDEX(Parties!$E$5:$E$304,V638)&lt;&gt;"",INDEX(Parties!$E$5:$E$304,V638)&lt;&gt;HomeState),0,ROUND(L638*M638/2,2))),"")</f>
        <v/>
      </c>
      <c r="O638" s="61" t="str">
        <f aca="false">IF(IsPro,IF($D638="","",N638),"")</f>
        <v/>
      </c>
      <c r="P638" s="61" t="str">
        <f aca="false">IF(IsPro,IF($D638="","",IF(AND(V638&lt;&gt;"",INDEX(Parties!$E$5:$E$304,V638)&lt;&gt;"",INDEX(Parties!$E$5:$E$304,V638)&lt;&gt;HomeState),ROUND(L638*M638,2),0)),"")</f>
        <v/>
      </c>
      <c r="Q638" s="61" t="str">
        <f aca="false">IF(IsPro,IF($D638="","",L638+N638+O638+P638),"")</f>
        <v/>
      </c>
      <c r="R638" s="61" t="str">
        <f aca="false">IF(IsPro,IF($D638="","",ROUND(N($E638)*IFERROR(INDEX(Items!$P$5:$P$504,U638),0),2)),"")</f>
        <v/>
      </c>
      <c r="S638" s="61" t="str">
        <f aca="false">IF(IsPro,IF($D638="","",L638-R638),"")</f>
        <v/>
      </c>
      <c r="T638" s="60" t="str">
        <f aca="false">IF(IsPro,IF($D638="","",IF(U638="","UNKNOWN ITEM",IF(INDEX(Items!$O$5:$O$504,U638)&lt;0,"NEG STOCK",IF(K638&lt;INDEX(Items!$P$5:$P$504,U638),"BELOW COST","OK")))),IF($D638="","","PRO PLAN"))</f>
        <v/>
      </c>
      <c r="U638" s="60" t="str">
        <f aca="false">IF(IsPro,IF($D638="","",IFERROR(MATCH($D638,Items!$A$5:$A$504,0),"")),"")</f>
        <v/>
      </c>
      <c r="V638" s="60" t="str">
        <f aca="false">IF(IsPro,IF($C638="","",IFERROR(MATCH($C638,Parties!$A$5:$A$304,0),"")),"")</f>
        <v/>
      </c>
      <c r="W638" s="60" t="str">
        <f aca="false">IF(IsPro,IF($B638="","",IFERROR(VALUE(SUBSTITUTE($B638,InvPrefix,"")),0)),"")</f>
        <v/>
      </c>
      <c r="X638" s="61" t="str">
        <f aca="false">IF(IsPro,IF($D638="","",IF(OR($H638="",$H638="Credit"),0,Q638)),"")</f>
        <v/>
      </c>
    </row>
    <row r="639" customFormat="false" ht="15" hidden="false" customHeight="false" outlineLevel="0" collapsed="false">
      <c r="A639" s="55"/>
      <c r="B639" s="56"/>
      <c r="C639" s="56"/>
      <c r="D639" s="56"/>
      <c r="E639" s="57"/>
      <c r="F639" s="58"/>
      <c r="G639" s="59"/>
      <c r="H639" s="56"/>
      <c r="I639" s="56"/>
      <c r="J639" s="60" t="str">
        <f aca="false">IF(IsPro,IF($D639="","",IFERROR(INDEX(Items!$D$5:$D$504,U639),"")),"")</f>
        <v/>
      </c>
      <c r="K639" s="61" t="str">
        <f aca="false">IF(IsPro,IF($D639="","",IF($F639="",IFERROR(INDEX(Items!$H$5:$H$504,U639),0),$F639)),"")</f>
        <v/>
      </c>
      <c r="L639" s="61" t="str">
        <f aca="false">IF(IsPro,IF($D639="","",ROUND(N($E639)*K639*(1-N($G639)),2)),"")</f>
        <v/>
      </c>
      <c r="M639" s="62" t="str">
        <f aca="false">IF(IsPro,IF($D639="","",IFERROR(INDEX(Items!$F$5:$F$504,U639),0)),"")</f>
        <v/>
      </c>
      <c r="N639" s="61" t="str">
        <f aca="false">IF(IsPro,IF($D639="","",IF(AND(V639&lt;&gt;"",INDEX(Parties!$E$5:$E$304,V639)&lt;&gt;"",INDEX(Parties!$E$5:$E$304,V639)&lt;&gt;HomeState),0,ROUND(L639*M639/2,2))),"")</f>
        <v/>
      </c>
      <c r="O639" s="61" t="str">
        <f aca="false">IF(IsPro,IF($D639="","",N639),"")</f>
        <v/>
      </c>
      <c r="P639" s="61" t="str">
        <f aca="false">IF(IsPro,IF($D639="","",IF(AND(V639&lt;&gt;"",INDEX(Parties!$E$5:$E$304,V639)&lt;&gt;"",INDEX(Parties!$E$5:$E$304,V639)&lt;&gt;HomeState),ROUND(L639*M639,2),0)),"")</f>
        <v/>
      </c>
      <c r="Q639" s="61" t="str">
        <f aca="false">IF(IsPro,IF($D639="","",L639+N639+O639+P639),"")</f>
        <v/>
      </c>
      <c r="R639" s="61" t="str">
        <f aca="false">IF(IsPro,IF($D639="","",ROUND(N($E639)*IFERROR(INDEX(Items!$P$5:$P$504,U639),0),2)),"")</f>
        <v/>
      </c>
      <c r="S639" s="61" t="str">
        <f aca="false">IF(IsPro,IF($D639="","",L639-R639),"")</f>
        <v/>
      </c>
      <c r="T639" s="60" t="str">
        <f aca="false">IF(IsPro,IF($D639="","",IF(U639="","UNKNOWN ITEM",IF(INDEX(Items!$O$5:$O$504,U639)&lt;0,"NEG STOCK",IF(K639&lt;INDEX(Items!$P$5:$P$504,U639),"BELOW COST","OK")))),IF($D639="","","PRO PLAN"))</f>
        <v/>
      </c>
      <c r="U639" s="60" t="str">
        <f aca="false">IF(IsPro,IF($D639="","",IFERROR(MATCH($D639,Items!$A$5:$A$504,0),"")),"")</f>
        <v/>
      </c>
      <c r="V639" s="60" t="str">
        <f aca="false">IF(IsPro,IF($C639="","",IFERROR(MATCH($C639,Parties!$A$5:$A$304,0),"")),"")</f>
        <v/>
      </c>
      <c r="W639" s="60" t="str">
        <f aca="false">IF(IsPro,IF($B639="","",IFERROR(VALUE(SUBSTITUTE($B639,InvPrefix,"")),0)),"")</f>
        <v/>
      </c>
      <c r="X639" s="61" t="str">
        <f aca="false">IF(IsPro,IF($D639="","",IF(OR($H639="",$H639="Credit"),0,Q639)),"")</f>
        <v/>
      </c>
    </row>
    <row r="640" customFormat="false" ht="15" hidden="false" customHeight="false" outlineLevel="0" collapsed="false">
      <c r="A640" s="55"/>
      <c r="B640" s="56"/>
      <c r="C640" s="56"/>
      <c r="D640" s="56"/>
      <c r="E640" s="57"/>
      <c r="F640" s="58"/>
      <c r="G640" s="59"/>
      <c r="H640" s="56"/>
      <c r="I640" s="56"/>
      <c r="J640" s="60" t="str">
        <f aca="false">IF(IsPro,IF($D640="","",IFERROR(INDEX(Items!$D$5:$D$504,U640),"")),"")</f>
        <v/>
      </c>
      <c r="K640" s="61" t="str">
        <f aca="false">IF(IsPro,IF($D640="","",IF($F640="",IFERROR(INDEX(Items!$H$5:$H$504,U640),0),$F640)),"")</f>
        <v/>
      </c>
      <c r="L640" s="61" t="str">
        <f aca="false">IF(IsPro,IF($D640="","",ROUND(N($E640)*K640*(1-N($G640)),2)),"")</f>
        <v/>
      </c>
      <c r="M640" s="62" t="str">
        <f aca="false">IF(IsPro,IF($D640="","",IFERROR(INDEX(Items!$F$5:$F$504,U640),0)),"")</f>
        <v/>
      </c>
      <c r="N640" s="61" t="str">
        <f aca="false">IF(IsPro,IF($D640="","",IF(AND(V640&lt;&gt;"",INDEX(Parties!$E$5:$E$304,V640)&lt;&gt;"",INDEX(Parties!$E$5:$E$304,V640)&lt;&gt;HomeState),0,ROUND(L640*M640/2,2))),"")</f>
        <v/>
      </c>
      <c r="O640" s="61" t="str">
        <f aca="false">IF(IsPro,IF($D640="","",N640),"")</f>
        <v/>
      </c>
      <c r="P640" s="61" t="str">
        <f aca="false">IF(IsPro,IF($D640="","",IF(AND(V640&lt;&gt;"",INDEX(Parties!$E$5:$E$304,V640)&lt;&gt;"",INDEX(Parties!$E$5:$E$304,V640)&lt;&gt;HomeState),ROUND(L640*M640,2),0)),"")</f>
        <v/>
      </c>
      <c r="Q640" s="61" t="str">
        <f aca="false">IF(IsPro,IF($D640="","",L640+N640+O640+P640),"")</f>
        <v/>
      </c>
      <c r="R640" s="61" t="str">
        <f aca="false">IF(IsPro,IF($D640="","",ROUND(N($E640)*IFERROR(INDEX(Items!$P$5:$P$504,U640),0),2)),"")</f>
        <v/>
      </c>
      <c r="S640" s="61" t="str">
        <f aca="false">IF(IsPro,IF($D640="","",L640-R640),"")</f>
        <v/>
      </c>
      <c r="T640" s="60" t="str">
        <f aca="false">IF(IsPro,IF($D640="","",IF(U640="","UNKNOWN ITEM",IF(INDEX(Items!$O$5:$O$504,U640)&lt;0,"NEG STOCK",IF(K640&lt;INDEX(Items!$P$5:$P$504,U640),"BELOW COST","OK")))),IF($D640="","","PRO PLAN"))</f>
        <v/>
      </c>
      <c r="U640" s="60" t="str">
        <f aca="false">IF(IsPro,IF($D640="","",IFERROR(MATCH($D640,Items!$A$5:$A$504,0),"")),"")</f>
        <v/>
      </c>
      <c r="V640" s="60" t="str">
        <f aca="false">IF(IsPro,IF($C640="","",IFERROR(MATCH($C640,Parties!$A$5:$A$304,0),"")),"")</f>
        <v/>
      </c>
      <c r="W640" s="60" t="str">
        <f aca="false">IF(IsPro,IF($B640="","",IFERROR(VALUE(SUBSTITUTE($B640,InvPrefix,"")),0)),"")</f>
        <v/>
      </c>
      <c r="X640" s="61" t="str">
        <f aca="false">IF(IsPro,IF($D640="","",IF(OR($H640="",$H640="Credit"),0,Q640)),"")</f>
        <v/>
      </c>
    </row>
    <row r="641" customFormat="false" ht="15" hidden="false" customHeight="false" outlineLevel="0" collapsed="false">
      <c r="A641" s="55"/>
      <c r="B641" s="56"/>
      <c r="C641" s="56"/>
      <c r="D641" s="56"/>
      <c r="E641" s="57"/>
      <c r="F641" s="58"/>
      <c r="G641" s="59"/>
      <c r="H641" s="56"/>
      <c r="I641" s="56"/>
      <c r="J641" s="60" t="str">
        <f aca="false">IF(IsPro,IF($D641="","",IFERROR(INDEX(Items!$D$5:$D$504,U641),"")),"")</f>
        <v/>
      </c>
      <c r="K641" s="61" t="str">
        <f aca="false">IF(IsPro,IF($D641="","",IF($F641="",IFERROR(INDEX(Items!$H$5:$H$504,U641),0),$F641)),"")</f>
        <v/>
      </c>
      <c r="L641" s="61" t="str">
        <f aca="false">IF(IsPro,IF($D641="","",ROUND(N($E641)*K641*(1-N($G641)),2)),"")</f>
        <v/>
      </c>
      <c r="M641" s="62" t="str">
        <f aca="false">IF(IsPro,IF($D641="","",IFERROR(INDEX(Items!$F$5:$F$504,U641),0)),"")</f>
        <v/>
      </c>
      <c r="N641" s="61" t="str">
        <f aca="false">IF(IsPro,IF($D641="","",IF(AND(V641&lt;&gt;"",INDEX(Parties!$E$5:$E$304,V641)&lt;&gt;"",INDEX(Parties!$E$5:$E$304,V641)&lt;&gt;HomeState),0,ROUND(L641*M641/2,2))),"")</f>
        <v/>
      </c>
      <c r="O641" s="61" t="str">
        <f aca="false">IF(IsPro,IF($D641="","",N641),"")</f>
        <v/>
      </c>
      <c r="P641" s="61" t="str">
        <f aca="false">IF(IsPro,IF($D641="","",IF(AND(V641&lt;&gt;"",INDEX(Parties!$E$5:$E$304,V641)&lt;&gt;"",INDEX(Parties!$E$5:$E$304,V641)&lt;&gt;HomeState),ROUND(L641*M641,2),0)),"")</f>
        <v/>
      </c>
      <c r="Q641" s="61" t="str">
        <f aca="false">IF(IsPro,IF($D641="","",L641+N641+O641+P641),"")</f>
        <v/>
      </c>
      <c r="R641" s="61" t="str">
        <f aca="false">IF(IsPro,IF($D641="","",ROUND(N($E641)*IFERROR(INDEX(Items!$P$5:$P$504,U641),0),2)),"")</f>
        <v/>
      </c>
      <c r="S641" s="61" t="str">
        <f aca="false">IF(IsPro,IF($D641="","",L641-R641),"")</f>
        <v/>
      </c>
      <c r="T641" s="60" t="str">
        <f aca="false">IF(IsPro,IF($D641="","",IF(U641="","UNKNOWN ITEM",IF(INDEX(Items!$O$5:$O$504,U641)&lt;0,"NEG STOCK",IF(K641&lt;INDEX(Items!$P$5:$P$504,U641),"BELOW COST","OK")))),IF($D641="","","PRO PLAN"))</f>
        <v/>
      </c>
      <c r="U641" s="60" t="str">
        <f aca="false">IF(IsPro,IF($D641="","",IFERROR(MATCH($D641,Items!$A$5:$A$504,0),"")),"")</f>
        <v/>
      </c>
      <c r="V641" s="60" t="str">
        <f aca="false">IF(IsPro,IF($C641="","",IFERROR(MATCH($C641,Parties!$A$5:$A$304,0),"")),"")</f>
        <v/>
      </c>
      <c r="W641" s="60" t="str">
        <f aca="false">IF(IsPro,IF($B641="","",IFERROR(VALUE(SUBSTITUTE($B641,InvPrefix,"")),0)),"")</f>
        <v/>
      </c>
      <c r="X641" s="61" t="str">
        <f aca="false">IF(IsPro,IF($D641="","",IF(OR($H641="",$H641="Credit"),0,Q641)),"")</f>
        <v/>
      </c>
    </row>
    <row r="642" customFormat="false" ht="15" hidden="false" customHeight="false" outlineLevel="0" collapsed="false">
      <c r="A642" s="55"/>
      <c r="B642" s="56"/>
      <c r="C642" s="56"/>
      <c r="D642" s="56"/>
      <c r="E642" s="57"/>
      <c r="F642" s="58"/>
      <c r="G642" s="59"/>
      <c r="H642" s="56"/>
      <c r="I642" s="56"/>
      <c r="J642" s="60" t="str">
        <f aca="false">IF(IsPro,IF($D642="","",IFERROR(INDEX(Items!$D$5:$D$504,U642),"")),"")</f>
        <v/>
      </c>
      <c r="K642" s="61" t="str">
        <f aca="false">IF(IsPro,IF($D642="","",IF($F642="",IFERROR(INDEX(Items!$H$5:$H$504,U642),0),$F642)),"")</f>
        <v/>
      </c>
      <c r="L642" s="61" t="str">
        <f aca="false">IF(IsPro,IF($D642="","",ROUND(N($E642)*K642*(1-N($G642)),2)),"")</f>
        <v/>
      </c>
      <c r="M642" s="62" t="str">
        <f aca="false">IF(IsPro,IF($D642="","",IFERROR(INDEX(Items!$F$5:$F$504,U642),0)),"")</f>
        <v/>
      </c>
      <c r="N642" s="61" t="str">
        <f aca="false">IF(IsPro,IF($D642="","",IF(AND(V642&lt;&gt;"",INDEX(Parties!$E$5:$E$304,V642)&lt;&gt;"",INDEX(Parties!$E$5:$E$304,V642)&lt;&gt;HomeState),0,ROUND(L642*M642/2,2))),"")</f>
        <v/>
      </c>
      <c r="O642" s="61" t="str">
        <f aca="false">IF(IsPro,IF($D642="","",N642),"")</f>
        <v/>
      </c>
      <c r="P642" s="61" t="str">
        <f aca="false">IF(IsPro,IF($D642="","",IF(AND(V642&lt;&gt;"",INDEX(Parties!$E$5:$E$304,V642)&lt;&gt;"",INDEX(Parties!$E$5:$E$304,V642)&lt;&gt;HomeState),ROUND(L642*M642,2),0)),"")</f>
        <v/>
      </c>
      <c r="Q642" s="61" t="str">
        <f aca="false">IF(IsPro,IF($D642="","",L642+N642+O642+P642),"")</f>
        <v/>
      </c>
      <c r="R642" s="61" t="str">
        <f aca="false">IF(IsPro,IF($D642="","",ROUND(N($E642)*IFERROR(INDEX(Items!$P$5:$P$504,U642),0),2)),"")</f>
        <v/>
      </c>
      <c r="S642" s="61" t="str">
        <f aca="false">IF(IsPro,IF($D642="","",L642-R642),"")</f>
        <v/>
      </c>
      <c r="T642" s="60" t="str">
        <f aca="false">IF(IsPro,IF($D642="","",IF(U642="","UNKNOWN ITEM",IF(INDEX(Items!$O$5:$O$504,U642)&lt;0,"NEG STOCK",IF(K642&lt;INDEX(Items!$P$5:$P$504,U642),"BELOW COST","OK")))),IF($D642="","","PRO PLAN"))</f>
        <v/>
      </c>
      <c r="U642" s="60" t="str">
        <f aca="false">IF(IsPro,IF($D642="","",IFERROR(MATCH($D642,Items!$A$5:$A$504,0),"")),"")</f>
        <v/>
      </c>
      <c r="V642" s="60" t="str">
        <f aca="false">IF(IsPro,IF($C642="","",IFERROR(MATCH($C642,Parties!$A$5:$A$304,0),"")),"")</f>
        <v/>
      </c>
      <c r="W642" s="60" t="str">
        <f aca="false">IF(IsPro,IF($B642="","",IFERROR(VALUE(SUBSTITUTE($B642,InvPrefix,"")),0)),"")</f>
        <v/>
      </c>
      <c r="X642" s="61" t="str">
        <f aca="false">IF(IsPro,IF($D642="","",IF(OR($H642="",$H642="Credit"),0,Q642)),"")</f>
        <v/>
      </c>
    </row>
    <row r="643" customFormat="false" ht="15" hidden="false" customHeight="false" outlineLevel="0" collapsed="false">
      <c r="A643" s="55"/>
      <c r="B643" s="56"/>
      <c r="C643" s="56"/>
      <c r="D643" s="56"/>
      <c r="E643" s="57"/>
      <c r="F643" s="58"/>
      <c r="G643" s="59"/>
      <c r="H643" s="56"/>
      <c r="I643" s="56"/>
      <c r="J643" s="60" t="str">
        <f aca="false">IF(IsPro,IF($D643="","",IFERROR(INDEX(Items!$D$5:$D$504,U643),"")),"")</f>
        <v/>
      </c>
      <c r="K643" s="61" t="str">
        <f aca="false">IF(IsPro,IF($D643="","",IF($F643="",IFERROR(INDEX(Items!$H$5:$H$504,U643),0),$F643)),"")</f>
        <v/>
      </c>
      <c r="L643" s="61" t="str">
        <f aca="false">IF(IsPro,IF($D643="","",ROUND(N($E643)*K643*(1-N($G643)),2)),"")</f>
        <v/>
      </c>
      <c r="M643" s="62" t="str">
        <f aca="false">IF(IsPro,IF($D643="","",IFERROR(INDEX(Items!$F$5:$F$504,U643),0)),"")</f>
        <v/>
      </c>
      <c r="N643" s="61" t="str">
        <f aca="false">IF(IsPro,IF($D643="","",IF(AND(V643&lt;&gt;"",INDEX(Parties!$E$5:$E$304,V643)&lt;&gt;"",INDEX(Parties!$E$5:$E$304,V643)&lt;&gt;HomeState),0,ROUND(L643*M643/2,2))),"")</f>
        <v/>
      </c>
      <c r="O643" s="61" t="str">
        <f aca="false">IF(IsPro,IF($D643="","",N643),"")</f>
        <v/>
      </c>
      <c r="P643" s="61" t="str">
        <f aca="false">IF(IsPro,IF($D643="","",IF(AND(V643&lt;&gt;"",INDEX(Parties!$E$5:$E$304,V643)&lt;&gt;"",INDEX(Parties!$E$5:$E$304,V643)&lt;&gt;HomeState),ROUND(L643*M643,2),0)),"")</f>
        <v/>
      </c>
      <c r="Q643" s="61" t="str">
        <f aca="false">IF(IsPro,IF($D643="","",L643+N643+O643+P643),"")</f>
        <v/>
      </c>
      <c r="R643" s="61" t="str">
        <f aca="false">IF(IsPro,IF($D643="","",ROUND(N($E643)*IFERROR(INDEX(Items!$P$5:$P$504,U643),0),2)),"")</f>
        <v/>
      </c>
      <c r="S643" s="61" t="str">
        <f aca="false">IF(IsPro,IF($D643="","",L643-R643),"")</f>
        <v/>
      </c>
      <c r="T643" s="60" t="str">
        <f aca="false">IF(IsPro,IF($D643="","",IF(U643="","UNKNOWN ITEM",IF(INDEX(Items!$O$5:$O$504,U643)&lt;0,"NEG STOCK",IF(K643&lt;INDEX(Items!$P$5:$P$504,U643),"BELOW COST","OK")))),IF($D643="","","PRO PLAN"))</f>
        <v/>
      </c>
      <c r="U643" s="60" t="str">
        <f aca="false">IF(IsPro,IF($D643="","",IFERROR(MATCH($D643,Items!$A$5:$A$504,0),"")),"")</f>
        <v/>
      </c>
      <c r="V643" s="60" t="str">
        <f aca="false">IF(IsPro,IF($C643="","",IFERROR(MATCH($C643,Parties!$A$5:$A$304,0),"")),"")</f>
        <v/>
      </c>
      <c r="W643" s="60" t="str">
        <f aca="false">IF(IsPro,IF($B643="","",IFERROR(VALUE(SUBSTITUTE($B643,InvPrefix,"")),0)),"")</f>
        <v/>
      </c>
      <c r="X643" s="61" t="str">
        <f aca="false">IF(IsPro,IF($D643="","",IF(OR($H643="",$H643="Credit"),0,Q643)),"")</f>
        <v/>
      </c>
    </row>
    <row r="644" customFormat="false" ht="15" hidden="false" customHeight="false" outlineLevel="0" collapsed="false">
      <c r="A644" s="55"/>
      <c r="B644" s="56"/>
      <c r="C644" s="56"/>
      <c r="D644" s="56"/>
      <c r="E644" s="57"/>
      <c r="F644" s="58"/>
      <c r="G644" s="59"/>
      <c r="H644" s="56"/>
      <c r="I644" s="56"/>
      <c r="J644" s="60" t="str">
        <f aca="false">IF(IsPro,IF($D644="","",IFERROR(INDEX(Items!$D$5:$D$504,U644),"")),"")</f>
        <v/>
      </c>
      <c r="K644" s="61" t="str">
        <f aca="false">IF(IsPro,IF($D644="","",IF($F644="",IFERROR(INDEX(Items!$H$5:$H$504,U644),0),$F644)),"")</f>
        <v/>
      </c>
      <c r="L644" s="61" t="str">
        <f aca="false">IF(IsPro,IF($D644="","",ROUND(N($E644)*K644*(1-N($G644)),2)),"")</f>
        <v/>
      </c>
      <c r="M644" s="62" t="str">
        <f aca="false">IF(IsPro,IF($D644="","",IFERROR(INDEX(Items!$F$5:$F$504,U644),0)),"")</f>
        <v/>
      </c>
      <c r="N644" s="61" t="str">
        <f aca="false">IF(IsPro,IF($D644="","",IF(AND(V644&lt;&gt;"",INDEX(Parties!$E$5:$E$304,V644)&lt;&gt;"",INDEX(Parties!$E$5:$E$304,V644)&lt;&gt;HomeState),0,ROUND(L644*M644/2,2))),"")</f>
        <v/>
      </c>
      <c r="O644" s="61" t="str">
        <f aca="false">IF(IsPro,IF($D644="","",N644),"")</f>
        <v/>
      </c>
      <c r="P644" s="61" t="str">
        <f aca="false">IF(IsPro,IF($D644="","",IF(AND(V644&lt;&gt;"",INDEX(Parties!$E$5:$E$304,V644)&lt;&gt;"",INDEX(Parties!$E$5:$E$304,V644)&lt;&gt;HomeState),ROUND(L644*M644,2),0)),"")</f>
        <v/>
      </c>
      <c r="Q644" s="61" t="str">
        <f aca="false">IF(IsPro,IF($D644="","",L644+N644+O644+P644),"")</f>
        <v/>
      </c>
      <c r="R644" s="61" t="str">
        <f aca="false">IF(IsPro,IF($D644="","",ROUND(N($E644)*IFERROR(INDEX(Items!$P$5:$P$504,U644),0),2)),"")</f>
        <v/>
      </c>
      <c r="S644" s="61" t="str">
        <f aca="false">IF(IsPro,IF($D644="","",L644-R644),"")</f>
        <v/>
      </c>
      <c r="T644" s="60" t="str">
        <f aca="false">IF(IsPro,IF($D644="","",IF(U644="","UNKNOWN ITEM",IF(INDEX(Items!$O$5:$O$504,U644)&lt;0,"NEG STOCK",IF(K644&lt;INDEX(Items!$P$5:$P$504,U644),"BELOW COST","OK")))),IF($D644="","","PRO PLAN"))</f>
        <v/>
      </c>
      <c r="U644" s="60" t="str">
        <f aca="false">IF(IsPro,IF($D644="","",IFERROR(MATCH($D644,Items!$A$5:$A$504,0),"")),"")</f>
        <v/>
      </c>
      <c r="V644" s="60" t="str">
        <f aca="false">IF(IsPro,IF($C644="","",IFERROR(MATCH($C644,Parties!$A$5:$A$304,0),"")),"")</f>
        <v/>
      </c>
      <c r="W644" s="60" t="str">
        <f aca="false">IF(IsPro,IF($B644="","",IFERROR(VALUE(SUBSTITUTE($B644,InvPrefix,"")),0)),"")</f>
        <v/>
      </c>
      <c r="X644" s="61" t="str">
        <f aca="false">IF(IsPro,IF($D644="","",IF(OR($H644="",$H644="Credit"),0,Q644)),"")</f>
        <v/>
      </c>
    </row>
    <row r="645" customFormat="false" ht="15" hidden="false" customHeight="false" outlineLevel="0" collapsed="false">
      <c r="A645" s="55"/>
      <c r="B645" s="56"/>
      <c r="C645" s="56"/>
      <c r="D645" s="56"/>
      <c r="E645" s="57"/>
      <c r="F645" s="58"/>
      <c r="G645" s="59"/>
      <c r="H645" s="56"/>
      <c r="I645" s="56"/>
      <c r="J645" s="60" t="str">
        <f aca="false">IF(IsPro,IF($D645="","",IFERROR(INDEX(Items!$D$5:$D$504,U645),"")),"")</f>
        <v/>
      </c>
      <c r="K645" s="61" t="str">
        <f aca="false">IF(IsPro,IF($D645="","",IF($F645="",IFERROR(INDEX(Items!$H$5:$H$504,U645),0),$F645)),"")</f>
        <v/>
      </c>
      <c r="L645" s="61" t="str">
        <f aca="false">IF(IsPro,IF($D645="","",ROUND(N($E645)*K645*(1-N($G645)),2)),"")</f>
        <v/>
      </c>
      <c r="M645" s="62" t="str">
        <f aca="false">IF(IsPro,IF($D645="","",IFERROR(INDEX(Items!$F$5:$F$504,U645),0)),"")</f>
        <v/>
      </c>
      <c r="N645" s="61" t="str">
        <f aca="false">IF(IsPro,IF($D645="","",IF(AND(V645&lt;&gt;"",INDEX(Parties!$E$5:$E$304,V645)&lt;&gt;"",INDEX(Parties!$E$5:$E$304,V645)&lt;&gt;HomeState),0,ROUND(L645*M645/2,2))),"")</f>
        <v/>
      </c>
      <c r="O645" s="61" t="str">
        <f aca="false">IF(IsPro,IF($D645="","",N645),"")</f>
        <v/>
      </c>
      <c r="P645" s="61" t="str">
        <f aca="false">IF(IsPro,IF($D645="","",IF(AND(V645&lt;&gt;"",INDEX(Parties!$E$5:$E$304,V645)&lt;&gt;"",INDEX(Parties!$E$5:$E$304,V645)&lt;&gt;HomeState),ROUND(L645*M645,2),0)),"")</f>
        <v/>
      </c>
      <c r="Q645" s="61" t="str">
        <f aca="false">IF(IsPro,IF($D645="","",L645+N645+O645+P645),"")</f>
        <v/>
      </c>
      <c r="R645" s="61" t="str">
        <f aca="false">IF(IsPro,IF($D645="","",ROUND(N($E645)*IFERROR(INDEX(Items!$P$5:$P$504,U645),0),2)),"")</f>
        <v/>
      </c>
      <c r="S645" s="61" t="str">
        <f aca="false">IF(IsPro,IF($D645="","",L645-R645),"")</f>
        <v/>
      </c>
      <c r="T645" s="60" t="str">
        <f aca="false">IF(IsPro,IF($D645="","",IF(U645="","UNKNOWN ITEM",IF(INDEX(Items!$O$5:$O$504,U645)&lt;0,"NEG STOCK",IF(K645&lt;INDEX(Items!$P$5:$P$504,U645),"BELOW COST","OK")))),IF($D645="","","PRO PLAN"))</f>
        <v/>
      </c>
      <c r="U645" s="60" t="str">
        <f aca="false">IF(IsPro,IF($D645="","",IFERROR(MATCH($D645,Items!$A$5:$A$504,0),"")),"")</f>
        <v/>
      </c>
      <c r="V645" s="60" t="str">
        <f aca="false">IF(IsPro,IF($C645="","",IFERROR(MATCH($C645,Parties!$A$5:$A$304,0),"")),"")</f>
        <v/>
      </c>
      <c r="W645" s="60" t="str">
        <f aca="false">IF(IsPro,IF($B645="","",IFERROR(VALUE(SUBSTITUTE($B645,InvPrefix,"")),0)),"")</f>
        <v/>
      </c>
      <c r="X645" s="61" t="str">
        <f aca="false">IF(IsPro,IF($D645="","",IF(OR($H645="",$H645="Credit"),0,Q645)),"")</f>
        <v/>
      </c>
    </row>
    <row r="646" customFormat="false" ht="15" hidden="false" customHeight="false" outlineLevel="0" collapsed="false">
      <c r="A646" s="55"/>
      <c r="B646" s="56"/>
      <c r="C646" s="56"/>
      <c r="D646" s="56"/>
      <c r="E646" s="57"/>
      <c r="F646" s="58"/>
      <c r="G646" s="59"/>
      <c r="H646" s="56"/>
      <c r="I646" s="56"/>
      <c r="J646" s="60" t="str">
        <f aca="false">IF(IsPro,IF($D646="","",IFERROR(INDEX(Items!$D$5:$D$504,U646),"")),"")</f>
        <v/>
      </c>
      <c r="K646" s="61" t="str">
        <f aca="false">IF(IsPro,IF($D646="","",IF($F646="",IFERROR(INDEX(Items!$H$5:$H$504,U646),0),$F646)),"")</f>
        <v/>
      </c>
      <c r="L646" s="61" t="str">
        <f aca="false">IF(IsPro,IF($D646="","",ROUND(N($E646)*K646*(1-N($G646)),2)),"")</f>
        <v/>
      </c>
      <c r="M646" s="62" t="str">
        <f aca="false">IF(IsPro,IF($D646="","",IFERROR(INDEX(Items!$F$5:$F$504,U646),0)),"")</f>
        <v/>
      </c>
      <c r="N646" s="61" t="str">
        <f aca="false">IF(IsPro,IF($D646="","",IF(AND(V646&lt;&gt;"",INDEX(Parties!$E$5:$E$304,V646)&lt;&gt;"",INDEX(Parties!$E$5:$E$304,V646)&lt;&gt;HomeState),0,ROUND(L646*M646/2,2))),"")</f>
        <v/>
      </c>
      <c r="O646" s="61" t="str">
        <f aca="false">IF(IsPro,IF($D646="","",N646),"")</f>
        <v/>
      </c>
      <c r="P646" s="61" t="str">
        <f aca="false">IF(IsPro,IF($D646="","",IF(AND(V646&lt;&gt;"",INDEX(Parties!$E$5:$E$304,V646)&lt;&gt;"",INDEX(Parties!$E$5:$E$304,V646)&lt;&gt;HomeState),ROUND(L646*M646,2),0)),"")</f>
        <v/>
      </c>
      <c r="Q646" s="61" t="str">
        <f aca="false">IF(IsPro,IF($D646="","",L646+N646+O646+P646),"")</f>
        <v/>
      </c>
      <c r="R646" s="61" t="str">
        <f aca="false">IF(IsPro,IF($D646="","",ROUND(N($E646)*IFERROR(INDEX(Items!$P$5:$P$504,U646),0),2)),"")</f>
        <v/>
      </c>
      <c r="S646" s="61" t="str">
        <f aca="false">IF(IsPro,IF($D646="","",L646-R646),"")</f>
        <v/>
      </c>
      <c r="T646" s="60" t="str">
        <f aca="false">IF(IsPro,IF($D646="","",IF(U646="","UNKNOWN ITEM",IF(INDEX(Items!$O$5:$O$504,U646)&lt;0,"NEG STOCK",IF(K646&lt;INDEX(Items!$P$5:$P$504,U646),"BELOW COST","OK")))),IF($D646="","","PRO PLAN"))</f>
        <v/>
      </c>
      <c r="U646" s="60" t="str">
        <f aca="false">IF(IsPro,IF($D646="","",IFERROR(MATCH($D646,Items!$A$5:$A$504,0),"")),"")</f>
        <v/>
      </c>
      <c r="V646" s="60" t="str">
        <f aca="false">IF(IsPro,IF($C646="","",IFERROR(MATCH($C646,Parties!$A$5:$A$304,0),"")),"")</f>
        <v/>
      </c>
      <c r="W646" s="60" t="str">
        <f aca="false">IF(IsPro,IF($B646="","",IFERROR(VALUE(SUBSTITUTE($B646,InvPrefix,"")),0)),"")</f>
        <v/>
      </c>
      <c r="X646" s="61" t="str">
        <f aca="false">IF(IsPro,IF($D646="","",IF(OR($H646="",$H646="Credit"),0,Q646)),"")</f>
        <v/>
      </c>
    </row>
    <row r="647" customFormat="false" ht="15" hidden="false" customHeight="false" outlineLevel="0" collapsed="false">
      <c r="A647" s="55"/>
      <c r="B647" s="56"/>
      <c r="C647" s="56"/>
      <c r="D647" s="56"/>
      <c r="E647" s="57"/>
      <c r="F647" s="58"/>
      <c r="G647" s="59"/>
      <c r="H647" s="56"/>
      <c r="I647" s="56"/>
      <c r="J647" s="60" t="str">
        <f aca="false">IF(IsPro,IF($D647="","",IFERROR(INDEX(Items!$D$5:$D$504,U647),"")),"")</f>
        <v/>
      </c>
      <c r="K647" s="61" t="str">
        <f aca="false">IF(IsPro,IF($D647="","",IF($F647="",IFERROR(INDEX(Items!$H$5:$H$504,U647),0),$F647)),"")</f>
        <v/>
      </c>
      <c r="L647" s="61" t="str">
        <f aca="false">IF(IsPro,IF($D647="","",ROUND(N($E647)*K647*(1-N($G647)),2)),"")</f>
        <v/>
      </c>
      <c r="M647" s="62" t="str">
        <f aca="false">IF(IsPro,IF($D647="","",IFERROR(INDEX(Items!$F$5:$F$504,U647),0)),"")</f>
        <v/>
      </c>
      <c r="N647" s="61" t="str">
        <f aca="false">IF(IsPro,IF($D647="","",IF(AND(V647&lt;&gt;"",INDEX(Parties!$E$5:$E$304,V647)&lt;&gt;"",INDEX(Parties!$E$5:$E$304,V647)&lt;&gt;HomeState),0,ROUND(L647*M647/2,2))),"")</f>
        <v/>
      </c>
      <c r="O647" s="61" t="str">
        <f aca="false">IF(IsPro,IF($D647="","",N647),"")</f>
        <v/>
      </c>
      <c r="P647" s="61" t="str">
        <f aca="false">IF(IsPro,IF($D647="","",IF(AND(V647&lt;&gt;"",INDEX(Parties!$E$5:$E$304,V647)&lt;&gt;"",INDEX(Parties!$E$5:$E$304,V647)&lt;&gt;HomeState),ROUND(L647*M647,2),0)),"")</f>
        <v/>
      </c>
      <c r="Q647" s="61" t="str">
        <f aca="false">IF(IsPro,IF($D647="","",L647+N647+O647+P647),"")</f>
        <v/>
      </c>
      <c r="R647" s="61" t="str">
        <f aca="false">IF(IsPro,IF($D647="","",ROUND(N($E647)*IFERROR(INDEX(Items!$P$5:$P$504,U647),0),2)),"")</f>
        <v/>
      </c>
      <c r="S647" s="61" t="str">
        <f aca="false">IF(IsPro,IF($D647="","",L647-R647),"")</f>
        <v/>
      </c>
      <c r="T647" s="60" t="str">
        <f aca="false">IF(IsPro,IF($D647="","",IF(U647="","UNKNOWN ITEM",IF(INDEX(Items!$O$5:$O$504,U647)&lt;0,"NEG STOCK",IF(K647&lt;INDEX(Items!$P$5:$P$504,U647),"BELOW COST","OK")))),IF($D647="","","PRO PLAN"))</f>
        <v/>
      </c>
      <c r="U647" s="60" t="str">
        <f aca="false">IF(IsPro,IF($D647="","",IFERROR(MATCH($D647,Items!$A$5:$A$504,0),"")),"")</f>
        <v/>
      </c>
      <c r="V647" s="60" t="str">
        <f aca="false">IF(IsPro,IF($C647="","",IFERROR(MATCH($C647,Parties!$A$5:$A$304,0),"")),"")</f>
        <v/>
      </c>
      <c r="W647" s="60" t="str">
        <f aca="false">IF(IsPro,IF($B647="","",IFERROR(VALUE(SUBSTITUTE($B647,InvPrefix,"")),0)),"")</f>
        <v/>
      </c>
      <c r="X647" s="61" t="str">
        <f aca="false">IF(IsPro,IF($D647="","",IF(OR($H647="",$H647="Credit"),0,Q647)),"")</f>
        <v/>
      </c>
    </row>
    <row r="648" customFormat="false" ht="15" hidden="false" customHeight="false" outlineLevel="0" collapsed="false">
      <c r="A648" s="55"/>
      <c r="B648" s="56"/>
      <c r="C648" s="56"/>
      <c r="D648" s="56"/>
      <c r="E648" s="57"/>
      <c r="F648" s="58"/>
      <c r="G648" s="59"/>
      <c r="H648" s="56"/>
      <c r="I648" s="56"/>
      <c r="J648" s="60" t="str">
        <f aca="false">IF(IsPro,IF($D648="","",IFERROR(INDEX(Items!$D$5:$D$504,U648),"")),"")</f>
        <v/>
      </c>
      <c r="K648" s="61" t="str">
        <f aca="false">IF(IsPro,IF($D648="","",IF($F648="",IFERROR(INDEX(Items!$H$5:$H$504,U648),0),$F648)),"")</f>
        <v/>
      </c>
      <c r="L648" s="61" t="str">
        <f aca="false">IF(IsPro,IF($D648="","",ROUND(N($E648)*K648*(1-N($G648)),2)),"")</f>
        <v/>
      </c>
      <c r="M648" s="62" t="str">
        <f aca="false">IF(IsPro,IF($D648="","",IFERROR(INDEX(Items!$F$5:$F$504,U648),0)),"")</f>
        <v/>
      </c>
      <c r="N648" s="61" t="str">
        <f aca="false">IF(IsPro,IF($D648="","",IF(AND(V648&lt;&gt;"",INDEX(Parties!$E$5:$E$304,V648)&lt;&gt;"",INDEX(Parties!$E$5:$E$304,V648)&lt;&gt;HomeState),0,ROUND(L648*M648/2,2))),"")</f>
        <v/>
      </c>
      <c r="O648" s="61" t="str">
        <f aca="false">IF(IsPro,IF($D648="","",N648),"")</f>
        <v/>
      </c>
      <c r="P648" s="61" t="str">
        <f aca="false">IF(IsPro,IF($D648="","",IF(AND(V648&lt;&gt;"",INDEX(Parties!$E$5:$E$304,V648)&lt;&gt;"",INDEX(Parties!$E$5:$E$304,V648)&lt;&gt;HomeState),ROUND(L648*M648,2),0)),"")</f>
        <v/>
      </c>
      <c r="Q648" s="61" t="str">
        <f aca="false">IF(IsPro,IF($D648="","",L648+N648+O648+P648),"")</f>
        <v/>
      </c>
      <c r="R648" s="61" t="str">
        <f aca="false">IF(IsPro,IF($D648="","",ROUND(N($E648)*IFERROR(INDEX(Items!$P$5:$P$504,U648),0),2)),"")</f>
        <v/>
      </c>
      <c r="S648" s="61" t="str">
        <f aca="false">IF(IsPro,IF($D648="","",L648-R648),"")</f>
        <v/>
      </c>
      <c r="T648" s="60" t="str">
        <f aca="false">IF(IsPro,IF($D648="","",IF(U648="","UNKNOWN ITEM",IF(INDEX(Items!$O$5:$O$504,U648)&lt;0,"NEG STOCK",IF(K648&lt;INDEX(Items!$P$5:$P$504,U648),"BELOW COST","OK")))),IF($D648="","","PRO PLAN"))</f>
        <v/>
      </c>
      <c r="U648" s="60" t="str">
        <f aca="false">IF(IsPro,IF($D648="","",IFERROR(MATCH($D648,Items!$A$5:$A$504,0),"")),"")</f>
        <v/>
      </c>
      <c r="V648" s="60" t="str">
        <f aca="false">IF(IsPro,IF($C648="","",IFERROR(MATCH($C648,Parties!$A$5:$A$304,0),"")),"")</f>
        <v/>
      </c>
      <c r="W648" s="60" t="str">
        <f aca="false">IF(IsPro,IF($B648="","",IFERROR(VALUE(SUBSTITUTE($B648,InvPrefix,"")),0)),"")</f>
        <v/>
      </c>
      <c r="X648" s="61" t="str">
        <f aca="false">IF(IsPro,IF($D648="","",IF(OR($H648="",$H648="Credit"),0,Q648)),"")</f>
        <v/>
      </c>
    </row>
    <row r="649" customFormat="false" ht="15" hidden="false" customHeight="false" outlineLevel="0" collapsed="false">
      <c r="A649" s="55"/>
      <c r="B649" s="56"/>
      <c r="C649" s="56"/>
      <c r="D649" s="56"/>
      <c r="E649" s="57"/>
      <c r="F649" s="58"/>
      <c r="G649" s="59"/>
      <c r="H649" s="56"/>
      <c r="I649" s="56"/>
      <c r="J649" s="60" t="str">
        <f aca="false">IF(IsPro,IF($D649="","",IFERROR(INDEX(Items!$D$5:$D$504,U649),"")),"")</f>
        <v/>
      </c>
      <c r="K649" s="61" t="str">
        <f aca="false">IF(IsPro,IF($D649="","",IF($F649="",IFERROR(INDEX(Items!$H$5:$H$504,U649),0),$F649)),"")</f>
        <v/>
      </c>
      <c r="L649" s="61" t="str">
        <f aca="false">IF(IsPro,IF($D649="","",ROUND(N($E649)*K649*(1-N($G649)),2)),"")</f>
        <v/>
      </c>
      <c r="M649" s="62" t="str">
        <f aca="false">IF(IsPro,IF($D649="","",IFERROR(INDEX(Items!$F$5:$F$504,U649),0)),"")</f>
        <v/>
      </c>
      <c r="N649" s="61" t="str">
        <f aca="false">IF(IsPro,IF($D649="","",IF(AND(V649&lt;&gt;"",INDEX(Parties!$E$5:$E$304,V649)&lt;&gt;"",INDEX(Parties!$E$5:$E$304,V649)&lt;&gt;HomeState),0,ROUND(L649*M649/2,2))),"")</f>
        <v/>
      </c>
      <c r="O649" s="61" t="str">
        <f aca="false">IF(IsPro,IF($D649="","",N649),"")</f>
        <v/>
      </c>
      <c r="P649" s="61" t="str">
        <f aca="false">IF(IsPro,IF($D649="","",IF(AND(V649&lt;&gt;"",INDEX(Parties!$E$5:$E$304,V649)&lt;&gt;"",INDEX(Parties!$E$5:$E$304,V649)&lt;&gt;HomeState),ROUND(L649*M649,2),0)),"")</f>
        <v/>
      </c>
      <c r="Q649" s="61" t="str">
        <f aca="false">IF(IsPro,IF($D649="","",L649+N649+O649+P649),"")</f>
        <v/>
      </c>
      <c r="R649" s="61" t="str">
        <f aca="false">IF(IsPro,IF($D649="","",ROUND(N($E649)*IFERROR(INDEX(Items!$P$5:$P$504,U649),0),2)),"")</f>
        <v/>
      </c>
      <c r="S649" s="61" t="str">
        <f aca="false">IF(IsPro,IF($D649="","",L649-R649),"")</f>
        <v/>
      </c>
      <c r="T649" s="60" t="str">
        <f aca="false">IF(IsPro,IF($D649="","",IF(U649="","UNKNOWN ITEM",IF(INDEX(Items!$O$5:$O$504,U649)&lt;0,"NEG STOCK",IF(K649&lt;INDEX(Items!$P$5:$P$504,U649),"BELOW COST","OK")))),IF($D649="","","PRO PLAN"))</f>
        <v/>
      </c>
      <c r="U649" s="60" t="str">
        <f aca="false">IF(IsPro,IF($D649="","",IFERROR(MATCH($D649,Items!$A$5:$A$504,0),"")),"")</f>
        <v/>
      </c>
      <c r="V649" s="60" t="str">
        <f aca="false">IF(IsPro,IF($C649="","",IFERROR(MATCH($C649,Parties!$A$5:$A$304,0),"")),"")</f>
        <v/>
      </c>
      <c r="W649" s="60" t="str">
        <f aca="false">IF(IsPro,IF($B649="","",IFERROR(VALUE(SUBSTITUTE($B649,InvPrefix,"")),0)),"")</f>
        <v/>
      </c>
      <c r="X649" s="61" t="str">
        <f aca="false">IF(IsPro,IF($D649="","",IF(OR($H649="",$H649="Credit"),0,Q649)),"")</f>
        <v/>
      </c>
    </row>
    <row r="650" customFormat="false" ht="15" hidden="false" customHeight="false" outlineLevel="0" collapsed="false">
      <c r="A650" s="55"/>
      <c r="B650" s="56"/>
      <c r="C650" s="56"/>
      <c r="D650" s="56"/>
      <c r="E650" s="57"/>
      <c r="F650" s="58"/>
      <c r="G650" s="59"/>
      <c r="H650" s="56"/>
      <c r="I650" s="56"/>
      <c r="J650" s="60" t="str">
        <f aca="false">IF(IsPro,IF($D650="","",IFERROR(INDEX(Items!$D$5:$D$504,U650),"")),"")</f>
        <v/>
      </c>
      <c r="K650" s="61" t="str">
        <f aca="false">IF(IsPro,IF($D650="","",IF($F650="",IFERROR(INDEX(Items!$H$5:$H$504,U650),0),$F650)),"")</f>
        <v/>
      </c>
      <c r="L650" s="61" t="str">
        <f aca="false">IF(IsPro,IF($D650="","",ROUND(N($E650)*K650*(1-N($G650)),2)),"")</f>
        <v/>
      </c>
      <c r="M650" s="62" t="str">
        <f aca="false">IF(IsPro,IF($D650="","",IFERROR(INDEX(Items!$F$5:$F$504,U650),0)),"")</f>
        <v/>
      </c>
      <c r="N650" s="61" t="str">
        <f aca="false">IF(IsPro,IF($D650="","",IF(AND(V650&lt;&gt;"",INDEX(Parties!$E$5:$E$304,V650)&lt;&gt;"",INDEX(Parties!$E$5:$E$304,V650)&lt;&gt;HomeState),0,ROUND(L650*M650/2,2))),"")</f>
        <v/>
      </c>
      <c r="O650" s="61" t="str">
        <f aca="false">IF(IsPro,IF($D650="","",N650),"")</f>
        <v/>
      </c>
      <c r="P650" s="61" t="str">
        <f aca="false">IF(IsPro,IF($D650="","",IF(AND(V650&lt;&gt;"",INDEX(Parties!$E$5:$E$304,V650)&lt;&gt;"",INDEX(Parties!$E$5:$E$304,V650)&lt;&gt;HomeState),ROUND(L650*M650,2),0)),"")</f>
        <v/>
      </c>
      <c r="Q650" s="61" t="str">
        <f aca="false">IF(IsPro,IF($D650="","",L650+N650+O650+P650),"")</f>
        <v/>
      </c>
      <c r="R650" s="61" t="str">
        <f aca="false">IF(IsPro,IF($D650="","",ROUND(N($E650)*IFERROR(INDEX(Items!$P$5:$P$504,U650),0),2)),"")</f>
        <v/>
      </c>
      <c r="S650" s="61" t="str">
        <f aca="false">IF(IsPro,IF($D650="","",L650-R650),"")</f>
        <v/>
      </c>
      <c r="T650" s="60" t="str">
        <f aca="false">IF(IsPro,IF($D650="","",IF(U650="","UNKNOWN ITEM",IF(INDEX(Items!$O$5:$O$504,U650)&lt;0,"NEG STOCK",IF(K650&lt;INDEX(Items!$P$5:$P$504,U650),"BELOW COST","OK")))),IF($D650="","","PRO PLAN"))</f>
        <v/>
      </c>
      <c r="U650" s="60" t="str">
        <f aca="false">IF(IsPro,IF($D650="","",IFERROR(MATCH($D650,Items!$A$5:$A$504,0),"")),"")</f>
        <v/>
      </c>
      <c r="V650" s="60" t="str">
        <f aca="false">IF(IsPro,IF($C650="","",IFERROR(MATCH($C650,Parties!$A$5:$A$304,0),"")),"")</f>
        <v/>
      </c>
      <c r="W650" s="60" t="str">
        <f aca="false">IF(IsPro,IF($B650="","",IFERROR(VALUE(SUBSTITUTE($B650,InvPrefix,"")),0)),"")</f>
        <v/>
      </c>
      <c r="X650" s="61" t="str">
        <f aca="false">IF(IsPro,IF($D650="","",IF(OR($H650="",$H650="Credit"),0,Q650)),"")</f>
        <v/>
      </c>
    </row>
    <row r="651" customFormat="false" ht="15" hidden="false" customHeight="false" outlineLevel="0" collapsed="false">
      <c r="A651" s="55"/>
      <c r="B651" s="56"/>
      <c r="C651" s="56"/>
      <c r="D651" s="56"/>
      <c r="E651" s="57"/>
      <c r="F651" s="58"/>
      <c r="G651" s="59"/>
      <c r="H651" s="56"/>
      <c r="I651" s="56"/>
      <c r="J651" s="60" t="str">
        <f aca="false">IF(IsPro,IF($D651="","",IFERROR(INDEX(Items!$D$5:$D$504,U651),"")),"")</f>
        <v/>
      </c>
      <c r="K651" s="61" t="str">
        <f aca="false">IF(IsPro,IF($D651="","",IF($F651="",IFERROR(INDEX(Items!$H$5:$H$504,U651),0),$F651)),"")</f>
        <v/>
      </c>
      <c r="L651" s="61" t="str">
        <f aca="false">IF(IsPro,IF($D651="","",ROUND(N($E651)*K651*(1-N($G651)),2)),"")</f>
        <v/>
      </c>
      <c r="M651" s="62" t="str">
        <f aca="false">IF(IsPro,IF($D651="","",IFERROR(INDEX(Items!$F$5:$F$504,U651),0)),"")</f>
        <v/>
      </c>
      <c r="N651" s="61" t="str">
        <f aca="false">IF(IsPro,IF($D651="","",IF(AND(V651&lt;&gt;"",INDEX(Parties!$E$5:$E$304,V651)&lt;&gt;"",INDEX(Parties!$E$5:$E$304,V651)&lt;&gt;HomeState),0,ROUND(L651*M651/2,2))),"")</f>
        <v/>
      </c>
      <c r="O651" s="61" t="str">
        <f aca="false">IF(IsPro,IF($D651="","",N651),"")</f>
        <v/>
      </c>
      <c r="P651" s="61" t="str">
        <f aca="false">IF(IsPro,IF($D651="","",IF(AND(V651&lt;&gt;"",INDEX(Parties!$E$5:$E$304,V651)&lt;&gt;"",INDEX(Parties!$E$5:$E$304,V651)&lt;&gt;HomeState),ROUND(L651*M651,2),0)),"")</f>
        <v/>
      </c>
      <c r="Q651" s="61" t="str">
        <f aca="false">IF(IsPro,IF($D651="","",L651+N651+O651+P651),"")</f>
        <v/>
      </c>
      <c r="R651" s="61" t="str">
        <f aca="false">IF(IsPro,IF($D651="","",ROUND(N($E651)*IFERROR(INDEX(Items!$P$5:$P$504,U651),0),2)),"")</f>
        <v/>
      </c>
      <c r="S651" s="61" t="str">
        <f aca="false">IF(IsPro,IF($D651="","",L651-R651),"")</f>
        <v/>
      </c>
      <c r="T651" s="60" t="str">
        <f aca="false">IF(IsPro,IF($D651="","",IF(U651="","UNKNOWN ITEM",IF(INDEX(Items!$O$5:$O$504,U651)&lt;0,"NEG STOCK",IF(K651&lt;INDEX(Items!$P$5:$P$504,U651),"BELOW COST","OK")))),IF($D651="","","PRO PLAN"))</f>
        <v/>
      </c>
      <c r="U651" s="60" t="str">
        <f aca="false">IF(IsPro,IF($D651="","",IFERROR(MATCH($D651,Items!$A$5:$A$504,0),"")),"")</f>
        <v/>
      </c>
      <c r="V651" s="60" t="str">
        <f aca="false">IF(IsPro,IF($C651="","",IFERROR(MATCH($C651,Parties!$A$5:$A$304,0),"")),"")</f>
        <v/>
      </c>
      <c r="W651" s="60" t="str">
        <f aca="false">IF(IsPro,IF($B651="","",IFERROR(VALUE(SUBSTITUTE($B651,InvPrefix,"")),0)),"")</f>
        <v/>
      </c>
      <c r="X651" s="61" t="str">
        <f aca="false">IF(IsPro,IF($D651="","",IF(OR($H651="",$H651="Credit"),0,Q651)),"")</f>
        <v/>
      </c>
    </row>
    <row r="652" customFormat="false" ht="15" hidden="false" customHeight="false" outlineLevel="0" collapsed="false">
      <c r="A652" s="55"/>
      <c r="B652" s="56"/>
      <c r="C652" s="56"/>
      <c r="D652" s="56"/>
      <c r="E652" s="57"/>
      <c r="F652" s="58"/>
      <c r="G652" s="59"/>
      <c r="H652" s="56"/>
      <c r="I652" s="56"/>
      <c r="J652" s="60" t="str">
        <f aca="false">IF(IsPro,IF($D652="","",IFERROR(INDEX(Items!$D$5:$D$504,U652),"")),"")</f>
        <v/>
      </c>
      <c r="K652" s="61" t="str">
        <f aca="false">IF(IsPro,IF($D652="","",IF($F652="",IFERROR(INDEX(Items!$H$5:$H$504,U652),0),$F652)),"")</f>
        <v/>
      </c>
      <c r="L652" s="61" t="str">
        <f aca="false">IF(IsPro,IF($D652="","",ROUND(N($E652)*K652*(1-N($G652)),2)),"")</f>
        <v/>
      </c>
      <c r="M652" s="62" t="str">
        <f aca="false">IF(IsPro,IF($D652="","",IFERROR(INDEX(Items!$F$5:$F$504,U652),0)),"")</f>
        <v/>
      </c>
      <c r="N652" s="61" t="str">
        <f aca="false">IF(IsPro,IF($D652="","",IF(AND(V652&lt;&gt;"",INDEX(Parties!$E$5:$E$304,V652)&lt;&gt;"",INDEX(Parties!$E$5:$E$304,V652)&lt;&gt;HomeState),0,ROUND(L652*M652/2,2))),"")</f>
        <v/>
      </c>
      <c r="O652" s="61" t="str">
        <f aca="false">IF(IsPro,IF($D652="","",N652),"")</f>
        <v/>
      </c>
      <c r="P652" s="61" t="str">
        <f aca="false">IF(IsPro,IF($D652="","",IF(AND(V652&lt;&gt;"",INDEX(Parties!$E$5:$E$304,V652)&lt;&gt;"",INDEX(Parties!$E$5:$E$304,V652)&lt;&gt;HomeState),ROUND(L652*M652,2),0)),"")</f>
        <v/>
      </c>
      <c r="Q652" s="61" t="str">
        <f aca="false">IF(IsPro,IF($D652="","",L652+N652+O652+P652),"")</f>
        <v/>
      </c>
      <c r="R652" s="61" t="str">
        <f aca="false">IF(IsPro,IF($D652="","",ROUND(N($E652)*IFERROR(INDEX(Items!$P$5:$P$504,U652),0),2)),"")</f>
        <v/>
      </c>
      <c r="S652" s="61" t="str">
        <f aca="false">IF(IsPro,IF($D652="","",L652-R652),"")</f>
        <v/>
      </c>
      <c r="T652" s="60" t="str">
        <f aca="false">IF(IsPro,IF($D652="","",IF(U652="","UNKNOWN ITEM",IF(INDEX(Items!$O$5:$O$504,U652)&lt;0,"NEG STOCK",IF(K652&lt;INDEX(Items!$P$5:$P$504,U652),"BELOW COST","OK")))),IF($D652="","","PRO PLAN"))</f>
        <v/>
      </c>
      <c r="U652" s="60" t="str">
        <f aca="false">IF(IsPro,IF($D652="","",IFERROR(MATCH($D652,Items!$A$5:$A$504,0),"")),"")</f>
        <v/>
      </c>
      <c r="V652" s="60" t="str">
        <f aca="false">IF(IsPro,IF($C652="","",IFERROR(MATCH($C652,Parties!$A$5:$A$304,0),"")),"")</f>
        <v/>
      </c>
      <c r="W652" s="60" t="str">
        <f aca="false">IF(IsPro,IF($B652="","",IFERROR(VALUE(SUBSTITUTE($B652,InvPrefix,"")),0)),"")</f>
        <v/>
      </c>
      <c r="X652" s="61" t="str">
        <f aca="false">IF(IsPro,IF($D652="","",IF(OR($H652="",$H652="Credit"),0,Q652)),"")</f>
        <v/>
      </c>
    </row>
    <row r="653" customFormat="false" ht="15" hidden="false" customHeight="false" outlineLevel="0" collapsed="false">
      <c r="A653" s="55"/>
      <c r="B653" s="56"/>
      <c r="C653" s="56"/>
      <c r="D653" s="56"/>
      <c r="E653" s="57"/>
      <c r="F653" s="58"/>
      <c r="G653" s="59"/>
      <c r="H653" s="56"/>
      <c r="I653" s="56"/>
      <c r="J653" s="60" t="str">
        <f aca="false">IF(IsPro,IF($D653="","",IFERROR(INDEX(Items!$D$5:$D$504,U653),"")),"")</f>
        <v/>
      </c>
      <c r="K653" s="61" t="str">
        <f aca="false">IF(IsPro,IF($D653="","",IF($F653="",IFERROR(INDEX(Items!$H$5:$H$504,U653),0),$F653)),"")</f>
        <v/>
      </c>
      <c r="L653" s="61" t="str">
        <f aca="false">IF(IsPro,IF($D653="","",ROUND(N($E653)*K653*(1-N($G653)),2)),"")</f>
        <v/>
      </c>
      <c r="M653" s="62" t="str">
        <f aca="false">IF(IsPro,IF($D653="","",IFERROR(INDEX(Items!$F$5:$F$504,U653),0)),"")</f>
        <v/>
      </c>
      <c r="N653" s="61" t="str">
        <f aca="false">IF(IsPro,IF($D653="","",IF(AND(V653&lt;&gt;"",INDEX(Parties!$E$5:$E$304,V653)&lt;&gt;"",INDEX(Parties!$E$5:$E$304,V653)&lt;&gt;HomeState),0,ROUND(L653*M653/2,2))),"")</f>
        <v/>
      </c>
      <c r="O653" s="61" t="str">
        <f aca="false">IF(IsPro,IF($D653="","",N653),"")</f>
        <v/>
      </c>
      <c r="P653" s="61" t="str">
        <f aca="false">IF(IsPro,IF($D653="","",IF(AND(V653&lt;&gt;"",INDEX(Parties!$E$5:$E$304,V653)&lt;&gt;"",INDEX(Parties!$E$5:$E$304,V653)&lt;&gt;HomeState),ROUND(L653*M653,2),0)),"")</f>
        <v/>
      </c>
      <c r="Q653" s="61" t="str">
        <f aca="false">IF(IsPro,IF($D653="","",L653+N653+O653+P653),"")</f>
        <v/>
      </c>
      <c r="R653" s="61" t="str">
        <f aca="false">IF(IsPro,IF($D653="","",ROUND(N($E653)*IFERROR(INDEX(Items!$P$5:$P$504,U653),0),2)),"")</f>
        <v/>
      </c>
      <c r="S653" s="61" t="str">
        <f aca="false">IF(IsPro,IF($D653="","",L653-R653),"")</f>
        <v/>
      </c>
      <c r="T653" s="60" t="str">
        <f aca="false">IF(IsPro,IF($D653="","",IF(U653="","UNKNOWN ITEM",IF(INDEX(Items!$O$5:$O$504,U653)&lt;0,"NEG STOCK",IF(K653&lt;INDEX(Items!$P$5:$P$504,U653),"BELOW COST","OK")))),IF($D653="","","PRO PLAN"))</f>
        <v/>
      </c>
      <c r="U653" s="60" t="str">
        <f aca="false">IF(IsPro,IF($D653="","",IFERROR(MATCH($D653,Items!$A$5:$A$504,0),"")),"")</f>
        <v/>
      </c>
      <c r="V653" s="60" t="str">
        <f aca="false">IF(IsPro,IF($C653="","",IFERROR(MATCH($C653,Parties!$A$5:$A$304,0),"")),"")</f>
        <v/>
      </c>
      <c r="W653" s="60" t="str">
        <f aca="false">IF(IsPro,IF($B653="","",IFERROR(VALUE(SUBSTITUTE($B653,InvPrefix,"")),0)),"")</f>
        <v/>
      </c>
      <c r="X653" s="61" t="str">
        <f aca="false">IF(IsPro,IF($D653="","",IF(OR($H653="",$H653="Credit"),0,Q653)),"")</f>
        <v/>
      </c>
    </row>
    <row r="654" customFormat="false" ht="15" hidden="false" customHeight="false" outlineLevel="0" collapsed="false">
      <c r="A654" s="55"/>
      <c r="B654" s="56"/>
      <c r="C654" s="56"/>
      <c r="D654" s="56"/>
      <c r="E654" s="57"/>
      <c r="F654" s="58"/>
      <c r="G654" s="59"/>
      <c r="H654" s="56"/>
      <c r="I654" s="56"/>
      <c r="J654" s="60" t="str">
        <f aca="false">IF(IsPro,IF($D654="","",IFERROR(INDEX(Items!$D$5:$D$504,U654),"")),"")</f>
        <v/>
      </c>
      <c r="K654" s="61" t="str">
        <f aca="false">IF(IsPro,IF($D654="","",IF($F654="",IFERROR(INDEX(Items!$H$5:$H$504,U654),0),$F654)),"")</f>
        <v/>
      </c>
      <c r="L654" s="61" t="str">
        <f aca="false">IF(IsPro,IF($D654="","",ROUND(N($E654)*K654*(1-N($G654)),2)),"")</f>
        <v/>
      </c>
      <c r="M654" s="62" t="str">
        <f aca="false">IF(IsPro,IF($D654="","",IFERROR(INDEX(Items!$F$5:$F$504,U654),0)),"")</f>
        <v/>
      </c>
      <c r="N654" s="61" t="str">
        <f aca="false">IF(IsPro,IF($D654="","",IF(AND(V654&lt;&gt;"",INDEX(Parties!$E$5:$E$304,V654)&lt;&gt;"",INDEX(Parties!$E$5:$E$304,V654)&lt;&gt;HomeState),0,ROUND(L654*M654/2,2))),"")</f>
        <v/>
      </c>
      <c r="O654" s="61" t="str">
        <f aca="false">IF(IsPro,IF($D654="","",N654),"")</f>
        <v/>
      </c>
      <c r="P654" s="61" t="str">
        <f aca="false">IF(IsPro,IF($D654="","",IF(AND(V654&lt;&gt;"",INDEX(Parties!$E$5:$E$304,V654)&lt;&gt;"",INDEX(Parties!$E$5:$E$304,V654)&lt;&gt;HomeState),ROUND(L654*M654,2),0)),"")</f>
        <v/>
      </c>
      <c r="Q654" s="61" t="str">
        <f aca="false">IF(IsPro,IF($D654="","",L654+N654+O654+P654),"")</f>
        <v/>
      </c>
      <c r="R654" s="61" t="str">
        <f aca="false">IF(IsPro,IF($D654="","",ROUND(N($E654)*IFERROR(INDEX(Items!$P$5:$P$504,U654),0),2)),"")</f>
        <v/>
      </c>
      <c r="S654" s="61" t="str">
        <f aca="false">IF(IsPro,IF($D654="","",L654-R654),"")</f>
        <v/>
      </c>
      <c r="T654" s="60" t="str">
        <f aca="false">IF(IsPro,IF($D654="","",IF(U654="","UNKNOWN ITEM",IF(INDEX(Items!$O$5:$O$504,U654)&lt;0,"NEG STOCK",IF(K654&lt;INDEX(Items!$P$5:$P$504,U654),"BELOW COST","OK")))),IF($D654="","","PRO PLAN"))</f>
        <v/>
      </c>
      <c r="U654" s="60" t="str">
        <f aca="false">IF(IsPro,IF($D654="","",IFERROR(MATCH($D654,Items!$A$5:$A$504,0),"")),"")</f>
        <v/>
      </c>
      <c r="V654" s="60" t="str">
        <f aca="false">IF(IsPro,IF($C654="","",IFERROR(MATCH($C654,Parties!$A$5:$A$304,0),"")),"")</f>
        <v/>
      </c>
      <c r="W654" s="60" t="str">
        <f aca="false">IF(IsPro,IF($B654="","",IFERROR(VALUE(SUBSTITUTE($B654,InvPrefix,"")),0)),"")</f>
        <v/>
      </c>
      <c r="X654" s="61" t="str">
        <f aca="false">IF(IsPro,IF($D654="","",IF(OR($H654="",$H654="Credit"),0,Q654)),"")</f>
        <v/>
      </c>
    </row>
    <row r="655" customFormat="false" ht="15" hidden="false" customHeight="false" outlineLevel="0" collapsed="false">
      <c r="A655" s="55"/>
      <c r="B655" s="56"/>
      <c r="C655" s="56"/>
      <c r="D655" s="56"/>
      <c r="E655" s="57"/>
      <c r="F655" s="58"/>
      <c r="G655" s="59"/>
      <c r="H655" s="56"/>
      <c r="I655" s="56"/>
      <c r="J655" s="60" t="str">
        <f aca="false">IF(IsPro,IF($D655="","",IFERROR(INDEX(Items!$D$5:$D$504,U655),"")),"")</f>
        <v/>
      </c>
      <c r="K655" s="61" t="str">
        <f aca="false">IF(IsPro,IF($D655="","",IF($F655="",IFERROR(INDEX(Items!$H$5:$H$504,U655),0),$F655)),"")</f>
        <v/>
      </c>
      <c r="L655" s="61" t="str">
        <f aca="false">IF(IsPro,IF($D655="","",ROUND(N($E655)*K655*(1-N($G655)),2)),"")</f>
        <v/>
      </c>
      <c r="M655" s="62" t="str">
        <f aca="false">IF(IsPro,IF($D655="","",IFERROR(INDEX(Items!$F$5:$F$504,U655),0)),"")</f>
        <v/>
      </c>
      <c r="N655" s="61" t="str">
        <f aca="false">IF(IsPro,IF($D655="","",IF(AND(V655&lt;&gt;"",INDEX(Parties!$E$5:$E$304,V655)&lt;&gt;"",INDEX(Parties!$E$5:$E$304,V655)&lt;&gt;HomeState),0,ROUND(L655*M655/2,2))),"")</f>
        <v/>
      </c>
      <c r="O655" s="61" t="str">
        <f aca="false">IF(IsPro,IF($D655="","",N655),"")</f>
        <v/>
      </c>
      <c r="P655" s="61" t="str">
        <f aca="false">IF(IsPro,IF($D655="","",IF(AND(V655&lt;&gt;"",INDEX(Parties!$E$5:$E$304,V655)&lt;&gt;"",INDEX(Parties!$E$5:$E$304,V655)&lt;&gt;HomeState),ROUND(L655*M655,2),0)),"")</f>
        <v/>
      </c>
      <c r="Q655" s="61" t="str">
        <f aca="false">IF(IsPro,IF($D655="","",L655+N655+O655+P655),"")</f>
        <v/>
      </c>
      <c r="R655" s="61" t="str">
        <f aca="false">IF(IsPro,IF($D655="","",ROUND(N($E655)*IFERROR(INDEX(Items!$P$5:$P$504,U655),0),2)),"")</f>
        <v/>
      </c>
      <c r="S655" s="61" t="str">
        <f aca="false">IF(IsPro,IF($D655="","",L655-R655),"")</f>
        <v/>
      </c>
      <c r="T655" s="60" t="str">
        <f aca="false">IF(IsPro,IF($D655="","",IF(U655="","UNKNOWN ITEM",IF(INDEX(Items!$O$5:$O$504,U655)&lt;0,"NEG STOCK",IF(K655&lt;INDEX(Items!$P$5:$P$504,U655),"BELOW COST","OK")))),IF($D655="","","PRO PLAN"))</f>
        <v/>
      </c>
      <c r="U655" s="60" t="str">
        <f aca="false">IF(IsPro,IF($D655="","",IFERROR(MATCH($D655,Items!$A$5:$A$504,0),"")),"")</f>
        <v/>
      </c>
      <c r="V655" s="60" t="str">
        <f aca="false">IF(IsPro,IF($C655="","",IFERROR(MATCH($C655,Parties!$A$5:$A$304,0),"")),"")</f>
        <v/>
      </c>
      <c r="W655" s="60" t="str">
        <f aca="false">IF(IsPro,IF($B655="","",IFERROR(VALUE(SUBSTITUTE($B655,InvPrefix,"")),0)),"")</f>
        <v/>
      </c>
      <c r="X655" s="61" t="str">
        <f aca="false">IF(IsPro,IF($D655="","",IF(OR($H655="",$H655="Credit"),0,Q655)),"")</f>
        <v/>
      </c>
    </row>
    <row r="656" customFormat="false" ht="15" hidden="false" customHeight="false" outlineLevel="0" collapsed="false">
      <c r="A656" s="55"/>
      <c r="B656" s="56"/>
      <c r="C656" s="56"/>
      <c r="D656" s="56"/>
      <c r="E656" s="57"/>
      <c r="F656" s="58"/>
      <c r="G656" s="59"/>
      <c r="H656" s="56"/>
      <c r="I656" s="56"/>
      <c r="J656" s="60" t="str">
        <f aca="false">IF(IsPro,IF($D656="","",IFERROR(INDEX(Items!$D$5:$D$504,U656),"")),"")</f>
        <v/>
      </c>
      <c r="K656" s="61" t="str">
        <f aca="false">IF(IsPro,IF($D656="","",IF($F656="",IFERROR(INDEX(Items!$H$5:$H$504,U656),0),$F656)),"")</f>
        <v/>
      </c>
      <c r="L656" s="61" t="str">
        <f aca="false">IF(IsPro,IF($D656="","",ROUND(N($E656)*K656*(1-N($G656)),2)),"")</f>
        <v/>
      </c>
      <c r="M656" s="62" t="str">
        <f aca="false">IF(IsPro,IF($D656="","",IFERROR(INDEX(Items!$F$5:$F$504,U656),0)),"")</f>
        <v/>
      </c>
      <c r="N656" s="61" t="str">
        <f aca="false">IF(IsPro,IF($D656="","",IF(AND(V656&lt;&gt;"",INDEX(Parties!$E$5:$E$304,V656)&lt;&gt;"",INDEX(Parties!$E$5:$E$304,V656)&lt;&gt;HomeState),0,ROUND(L656*M656/2,2))),"")</f>
        <v/>
      </c>
      <c r="O656" s="61" t="str">
        <f aca="false">IF(IsPro,IF($D656="","",N656),"")</f>
        <v/>
      </c>
      <c r="P656" s="61" t="str">
        <f aca="false">IF(IsPro,IF($D656="","",IF(AND(V656&lt;&gt;"",INDEX(Parties!$E$5:$E$304,V656)&lt;&gt;"",INDEX(Parties!$E$5:$E$304,V656)&lt;&gt;HomeState),ROUND(L656*M656,2),0)),"")</f>
        <v/>
      </c>
      <c r="Q656" s="61" t="str">
        <f aca="false">IF(IsPro,IF($D656="","",L656+N656+O656+P656),"")</f>
        <v/>
      </c>
      <c r="R656" s="61" t="str">
        <f aca="false">IF(IsPro,IF($D656="","",ROUND(N($E656)*IFERROR(INDEX(Items!$P$5:$P$504,U656),0),2)),"")</f>
        <v/>
      </c>
      <c r="S656" s="61" t="str">
        <f aca="false">IF(IsPro,IF($D656="","",L656-R656),"")</f>
        <v/>
      </c>
      <c r="T656" s="60" t="str">
        <f aca="false">IF(IsPro,IF($D656="","",IF(U656="","UNKNOWN ITEM",IF(INDEX(Items!$O$5:$O$504,U656)&lt;0,"NEG STOCK",IF(K656&lt;INDEX(Items!$P$5:$P$504,U656),"BELOW COST","OK")))),IF($D656="","","PRO PLAN"))</f>
        <v/>
      </c>
      <c r="U656" s="60" t="str">
        <f aca="false">IF(IsPro,IF($D656="","",IFERROR(MATCH($D656,Items!$A$5:$A$504,0),"")),"")</f>
        <v/>
      </c>
      <c r="V656" s="60" t="str">
        <f aca="false">IF(IsPro,IF($C656="","",IFERROR(MATCH($C656,Parties!$A$5:$A$304,0),"")),"")</f>
        <v/>
      </c>
      <c r="W656" s="60" t="str">
        <f aca="false">IF(IsPro,IF($B656="","",IFERROR(VALUE(SUBSTITUTE($B656,InvPrefix,"")),0)),"")</f>
        <v/>
      </c>
      <c r="X656" s="61" t="str">
        <f aca="false">IF(IsPro,IF($D656="","",IF(OR($H656="",$H656="Credit"),0,Q656)),"")</f>
        <v/>
      </c>
    </row>
    <row r="657" customFormat="false" ht="15" hidden="false" customHeight="false" outlineLevel="0" collapsed="false">
      <c r="A657" s="55"/>
      <c r="B657" s="56"/>
      <c r="C657" s="56"/>
      <c r="D657" s="56"/>
      <c r="E657" s="57"/>
      <c r="F657" s="58"/>
      <c r="G657" s="59"/>
      <c r="H657" s="56"/>
      <c r="I657" s="56"/>
      <c r="J657" s="60" t="str">
        <f aca="false">IF(IsPro,IF($D657="","",IFERROR(INDEX(Items!$D$5:$D$504,U657),"")),"")</f>
        <v/>
      </c>
      <c r="K657" s="61" t="str">
        <f aca="false">IF(IsPro,IF($D657="","",IF($F657="",IFERROR(INDEX(Items!$H$5:$H$504,U657),0),$F657)),"")</f>
        <v/>
      </c>
      <c r="L657" s="61" t="str">
        <f aca="false">IF(IsPro,IF($D657="","",ROUND(N($E657)*K657*(1-N($G657)),2)),"")</f>
        <v/>
      </c>
      <c r="M657" s="62" t="str">
        <f aca="false">IF(IsPro,IF($D657="","",IFERROR(INDEX(Items!$F$5:$F$504,U657),0)),"")</f>
        <v/>
      </c>
      <c r="N657" s="61" t="str">
        <f aca="false">IF(IsPro,IF($D657="","",IF(AND(V657&lt;&gt;"",INDEX(Parties!$E$5:$E$304,V657)&lt;&gt;"",INDEX(Parties!$E$5:$E$304,V657)&lt;&gt;HomeState),0,ROUND(L657*M657/2,2))),"")</f>
        <v/>
      </c>
      <c r="O657" s="61" t="str">
        <f aca="false">IF(IsPro,IF($D657="","",N657),"")</f>
        <v/>
      </c>
      <c r="P657" s="61" t="str">
        <f aca="false">IF(IsPro,IF($D657="","",IF(AND(V657&lt;&gt;"",INDEX(Parties!$E$5:$E$304,V657)&lt;&gt;"",INDEX(Parties!$E$5:$E$304,V657)&lt;&gt;HomeState),ROUND(L657*M657,2),0)),"")</f>
        <v/>
      </c>
      <c r="Q657" s="61" t="str">
        <f aca="false">IF(IsPro,IF($D657="","",L657+N657+O657+P657),"")</f>
        <v/>
      </c>
      <c r="R657" s="61" t="str">
        <f aca="false">IF(IsPro,IF($D657="","",ROUND(N($E657)*IFERROR(INDEX(Items!$P$5:$P$504,U657),0),2)),"")</f>
        <v/>
      </c>
      <c r="S657" s="61" t="str">
        <f aca="false">IF(IsPro,IF($D657="","",L657-R657),"")</f>
        <v/>
      </c>
      <c r="T657" s="60" t="str">
        <f aca="false">IF(IsPro,IF($D657="","",IF(U657="","UNKNOWN ITEM",IF(INDEX(Items!$O$5:$O$504,U657)&lt;0,"NEG STOCK",IF(K657&lt;INDEX(Items!$P$5:$P$504,U657),"BELOW COST","OK")))),IF($D657="","","PRO PLAN"))</f>
        <v/>
      </c>
      <c r="U657" s="60" t="str">
        <f aca="false">IF(IsPro,IF($D657="","",IFERROR(MATCH($D657,Items!$A$5:$A$504,0),"")),"")</f>
        <v/>
      </c>
      <c r="V657" s="60" t="str">
        <f aca="false">IF(IsPro,IF($C657="","",IFERROR(MATCH($C657,Parties!$A$5:$A$304,0),"")),"")</f>
        <v/>
      </c>
      <c r="W657" s="60" t="str">
        <f aca="false">IF(IsPro,IF($B657="","",IFERROR(VALUE(SUBSTITUTE($B657,InvPrefix,"")),0)),"")</f>
        <v/>
      </c>
      <c r="X657" s="61" t="str">
        <f aca="false">IF(IsPro,IF($D657="","",IF(OR($H657="",$H657="Credit"),0,Q657)),"")</f>
        <v/>
      </c>
    </row>
    <row r="658" customFormat="false" ht="15" hidden="false" customHeight="false" outlineLevel="0" collapsed="false">
      <c r="A658" s="55"/>
      <c r="B658" s="56"/>
      <c r="C658" s="56"/>
      <c r="D658" s="56"/>
      <c r="E658" s="57"/>
      <c r="F658" s="58"/>
      <c r="G658" s="59"/>
      <c r="H658" s="56"/>
      <c r="I658" s="56"/>
      <c r="J658" s="60" t="str">
        <f aca="false">IF(IsPro,IF($D658="","",IFERROR(INDEX(Items!$D$5:$D$504,U658),"")),"")</f>
        <v/>
      </c>
      <c r="K658" s="61" t="str">
        <f aca="false">IF(IsPro,IF($D658="","",IF($F658="",IFERROR(INDEX(Items!$H$5:$H$504,U658),0),$F658)),"")</f>
        <v/>
      </c>
      <c r="L658" s="61" t="str">
        <f aca="false">IF(IsPro,IF($D658="","",ROUND(N($E658)*K658*(1-N($G658)),2)),"")</f>
        <v/>
      </c>
      <c r="M658" s="62" t="str">
        <f aca="false">IF(IsPro,IF($D658="","",IFERROR(INDEX(Items!$F$5:$F$504,U658),0)),"")</f>
        <v/>
      </c>
      <c r="N658" s="61" t="str">
        <f aca="false">IF(IsPro,IF($D658="","",IF(AND(V658&lt;&gt;"",INDEX(Parties!$E$5:$E$304,V658)&lt;&gt;"",INDEX(Parties!$E$5:$E$304,V658)&lt;&gt;HomeState),0,ROUND(L658*M658/2,2))),"")</f>
        <v/>
      </c>
      <c r="O658" s="61" t="str">
        <f aca="false">IF(IsPro,IF($D658="","",N658),"")</f>
        <v/>
      </c>
      <c r="P658" s="61" t="str">
        <f aca="false">IF(IsPro,IF($D658="","",IF(AND(V658&lt;&gt;"",INDEX(Parties!$E$5:$E$304,V658)&lt;&gt;"",INDEX(Parties!$E$5:$E$304,V658)&lt;&gt;HomeState),ROUND(L658*M658,2),0)),"")</f>
        <v/>
      </c>
      <c r="Q658" s="61" t="str">
        <f aca="false">IF(IsPro,IF($D658="","",L658+N658+O658+P658),"")</f>
        <v/>
      </c>
      <c r="R658" s="61" t="str">
        <f aca="false">IF(IsPro,IF($D658="","",ROUND(N($E658)*IFERROR(INDEX(Items!$P$5:$P$504,U658),0),2)),"")</f>
        <v/>
      </c>
      <c r="S658" s="61" t="str">
        <f aca="false">IF(IsPro,IF($D658="","",L658-R658),"")</f>
        <v/>
      </c>
      <c r="T658" s="60" t="str">
        <f aca="false">IF(IsPro,IF($D658="","",IF(U658="","UNKNOWN ITEM",IF(INDEX(Items!$O$5:$O$504,U658)&lt;0,"NEG STOCK",IF(K658&lt;INDEX(Items!$P$5:$P$504,U658),"BELOW COST","OK")))),IF($D658="","","PRO PLAN"))</f>
        <v/>
      </c>
      <c r="U658" s="60" t="str">
        <f aca="false">IF(IsPro,IF($D658="","",IFERROR(MATCH($D658,Items!$A$5:$A$504,0),"")),"")</f>
        <v/>
      </c>
      <c r="V658" s="60" t="str">
        <f aca="false">IF(IsPro,IF($C658="","",IFERROR(MATCH($C658,Parties!$A$5:$A$304,0),"")),"")</f>
        <v/>
      </c>
      <c r="W658" s="60" t="str">
        <f aca="false">IF(IsPro,IF($B658="","",IFERROR(VALUE(SUBSTITUTE($B658,InvPrefix,"")),0)),"")</f>
        <v/>
      </c>
      <c r="X658" s="61" t="str">
        <f aca="false">IF(IsPro,IF($D658="","",IF(OR($H658="",$H658="Credit"),0,Q658)),"")</f>
        <v/>
      </c>
    </row>
    <row r="659" customFormat="false" ht="15" hidden="false" customHeight="false" outlineLevel="0" collapsed="false">
      <c r="A659" s="55"/>
      <c r="B659" s="56"/>
      <c r="C659" s="56"/>
      <c r="D659" s="56"/>
      <c r="E659" s="57"/>
      <c r="F659" s="58"/>
      <c r="G659" s="59"/>
      <c r="H659" s="56"/>
      <c r="I659" s="56"/>
      <c r="J659" s="60" t="str">
        <f aca="false">IF(IsPro,IF($D659="","",IFERROR(INDEX(Items!$D$5:$D$504,U659),"")),"")</f>
        <v/>
      </c>
      <c r="K659" s="61" t="str">
        <f aca="false">IF(IsPro,IF($D659="","",IF($F659="",IFERROR(INDEX(Items!$H$5:$H$504,U659),0),$F659)),"")</f>
        <v/>
      </c>
      <c r="L659" s="61" t="str">
        <f aca="false">IF(IsPro,IF($D659="","",ROUND(N($E659)*K659*(1-N($G659)),2)),"")</f>
        <v/>
      </c>
      <c r="M659" s="62" t="str">
        <f aca="false">IF(IsPro,IF($D659="","",IFERROR(INDEX(Items!$F$5:$F$504,U659),0)),"")</f>
        <v/>
      </c>
      <c r="N659" s="61" t="str">
        <f aca="false">IF(IsPro,IF($D659="","",IF(AND(V659&lt;&gt;"",INDEX(Parties!$E$5:$E$304,V659)&lt;&gt;"",INDEX(Parties!$E$5:$E$304,V659)&lt;&gt;HomeState),0,ROUND(L659*M659/2,2))),"")</f>
        <v/>
      </c>
      <c r="O659" s="61" t="str">
        <f aca="false">IF(IsPro,IF($D659="","",N659),"")</f>
        <v/>
      </c>
      <c r="P659" s="61" t="str">
        <f aca="false">IF(IsPro,IF($D659="","",IF(AND(V659&lt;&gt;"",INDEX(Parties!$E$5:$E$304,V659)&lt;&gt;"",INDEX(Parties!$E$5:$E$304,V659)&lt;&gt;HomeState),ROUND(L659*M659,2),0)),"")</f>
        <v/>
      </c>
      <c r="Q659" s="61" t="str">
        <f aca="false">IF(IsPro,IF($D659="","",L659+N659+O659+P659),"")</f>
        <v/>
      </c>
      <c r="R659" s="61" t="str">
        <f aca="false">IF(IsPro,IF($D659="","",ROUND(N($E659)*IFERROR(INDEX(Items!$P$5:$P$504,U659),0),2)),"")</f>
        <v/>
      </c>
      <c r="S659" s="61" t="str">
        <f aca="false">IF(IsPro,IF($D659="","",L659-R659),"")</f>
        <v/>
      </c>
      <c r="T659" s="60" t="str">
        <f aca="false">IF(IsPro,IF($D659="","",IF(U659="","UNKNOWN ITEM",IF(INDEX(Items!$O$5:$O$504,U659)&lt;0,"NEG STOCK",IF(K659&lt;INDEX(Items!$P$5:$P$504,U659),"BELOW COST","OK")))),IF($D659="","","PRO PLAN"))</f>
        <v/>
      </c>
      <c r="U659" s="60" t="str">
        <f aca="false">IF(IsPro,IF($D659="","",IFERROR(MATCH($D659,Items!$A$5:$A$504,0),"")),"")</f>
        <v/>
      </c>
      <c r="V659" s="60" t="str">
        <f aca="false">IF(IsPro,IF($C659="","",IFERROR(MATCH($C659,Parties!$A$5:$A$304,0),"")),"")</f>
        <v/>
      </c>
      <c r="W659" s="60" t="str">
        <f aca="false">IF(IsPro,IF($B659="","",IFERROR(VALUE(SUBSTITUTE($B659,InvPrefix,"")),0)),"")</f>
        <v/>
      </c>
      <c r="X659" s="61" t="str">
        <f aca="false">IF(IsPro,IF($D659="","",IF(OR($H659="",$H659="Credit"),0,Q659)),"")</f>
        <v/>
      </c>
    </row>
    <row r="660" customFormat="false" ht="15" hidden="false" customHeight="false" outlineLevel="0" collapsed="false">
      <c r="A660" s="55"/>
      <c r="B660" s="56"/>
      <c r="C660" s="56"/>
      <c r="D660" s="56"/>
      <c r="E660" s="57"/>
      <c r="F660" s="58"/>
      <c r="G660" s="59"/>
      <c r="H660" s="56"/>
      <c r="I660" s="56"/>
      <c r="J660" s="60" t="str">
        <f aca="false">IF(IsPro,IF($D660="","",IFERROR(INDEX(Items!$D$5:$D$504,U660),"")),"")</f>
        <v/>
      </c>
      <c r="K660" s="61" t="str">
        <f aca="false">IF(IsPro,IF($D660="","",IF($F660="",IFERROR(INDEX(Items!$H$5:$H$504,U660),0),$F660)),"")</f>
        <v/>
      </c>
      <c r="L660" s="61" t="str">
        <f aca="false">IF(IsPro,IF($D660="","",ROUND(N($E660)*K660*(1-N($G660)),2)),"")</f>
        <v/>
      </c>
      <c r="M660" s="62" t="str">
        <f aca="false">IF(IsPro,IF($D660="","",IFERROR(INDEX(Items!$F$5:$F$504,U660),0)),"")</f>
        <v/>
      </c>
      <c r="N660" s="61" t="str">
        <f aca="false">IF(IsPro,IF($D660="","",IF(AND(V660&lt;&gt;"",INDEX(Parties!$E$5:$E$304,V660)&lt;&gt;"",INDEX(Parties!$E$5:$E$304,V660)&lt;&gt;HomeState),0,ROUND(L660*M660/2,2))),"")</f>
        <v/>
      </c>
      <c r="O660" s="61" t="str">
        <f aca="false">IF(IsPro,IF($D660="","",N660),"")</f>
        <v/>
      </c>
      <c r="P660" s="61" t="str">
        <f aca="false">IF(IsPro,IF($D660="","",IF(AND(V660&lt;&gt;"",INDEX(Parties!$E$5:$E$304,V660)&lt;&gt;"",INDEX(Parties!$E$5:$E$304,V660)&lt;&gt;HomeState),ROUND(L660*M660,2),0)),"")</f>
        <v/>
      </c>
      <c r="Q660" s="61" t="str">
        <f aca="false">IF(IsPro,IF($D660="","",L660+N660+O660+P660),"")</f>
        <v/>
      </c>
      <c r="R660" s="61" t="str">
        <f aca="false">IF(IsPro,IF($D660="","",ROUND(N($E660)*IFERROR(INDEX(Items!$P$5:$P$504,U660),0),2)),"")</f>
        <v/>
      </c>
      <c r="S660" s="61" t="str">
        <f aca="false">IF(IsPro,IF($D660="","",L660-R660),"")</f>
        <v/>
      </c>
      <c r="T660" s="60" t="str">
        <f aca="false">IF(IsPro,IF($D660="","",IF(U660="","UNKNOWN ITEM",IF(INDEX(Items!$O$5:$O$504,U660)&lt;0,"NEG STOCK",IF(K660&lt;INDEX(Items!$P$5:$P$504,U660),"BELOW COST","OK")))),IF($D660="","","PRO PLAN"))</f>
        <v/>
      </c>
      <c r="U660" s="60" t="str">
        <f aca="false">IF(IsPro,IF($D660="","",IFERROR(MATCH($D660,Items!$A$5:$A$504,0),"")),"")</f>
        <v/>
      </c>
      <c r="V660" s="60" t="str">
        <f aca="false">IF(IsPro,IF($C660="","",IFERROR(MATCH($C660,Parties!$A$5:$A$304,0),"")),"")</f>
        <v/>
      </c>
      <c r="W660" s="60" t="str">
        <f aca="false">IF(IsPro,IF($B660="","",IFERROR(VALUE(SUBSTITUTE($B660,InvPrefix,"")),0)),"")</f>
        <v/>
      </c>
      <c r="X660" s="61" t="str">
        <f aca="false">IF(IsPro,IF($D660="","",IF(OR($H660="",$H660="Credit"),0,Q660)),"")</f>
        <v/>
      </c>
    </row>
    <row r="661" customFormat="false" ht="15" hidden="false" customHeight="false" outlineLevel="0" collapsed="false">
      <c r="A661" s="55"/>
      <c r="B661" s="56"/>
      <c r="C661" s="56"/>
      <c r="D661" s="56"/>
      <c r="E661" s="57"/>
      <c r="F661" s="58"/>
      <c r="G661" s="59"/>
      <c r="H661" s="56"/>
      <c r="I661" s="56"/>
      <c r="J661" s="60" t="str">
        <f aca="false">IF(IsPro,IF($D661="","",IFERROR(INDEX(Items!$D$5:$D$504,U661),"")),"")</f>
        <v/>
      </c>
      <c r="K661" s="61" t="str">
        <f aca="false">IF(IsPro,IF($D661="","",IF($F661="",IFERROR(INDEX(Items!$H$5:$H$504,U661),0),$F661)),"")</f>
        <v/>
      </c>
      <c r="L661" s="61" t="str">
        <f aca="false">IF(IsPro,IF($D661="","",ROUND(N($E661)*K661*(1-N($G661)),2)),"")</f>
        <v/>
      </c>
      <c r="M661" s="62" t="str">
        <f aca="false">IF(IsPro,IF($D661="","",IFERROR(INDEX(Items!$F$5:$F$504,U661),0)),"")</f>
        <v/>
      </c>
      <c r="N661" s="61" t="str">
        <f aca="false">IF(IsPro,IF($D661="","",IF(AND(V661&lt;&gt;"",INDEX(Parties!$E$5:$E$304,V661)&lt;&gt;"",INDEX(Parties!$E$5:$E$304,V661)&lt;&gt;HomeState),0,ROUND(L661*M661/2,2))),"")</f>
        <v/>
      </c>
      <c r="O661" s="61" t="str">
        <f aca="false">IF(IsPro,IF($D661="","",N661),"")</f>
        <v/>
      </c>
      <c r="P661" s="61" t="str">
        <f aca="false">IF(IsPro,IF($D661="","",IF(AND(V661&lt;&gt;"",INDEX(Parties!$E$5:$E$304,V661)&lt;&gt;"",INDEX(Parties!$E$5:$E$304,V661)&lt;&gt;HomeState),ROUND(L661*M661,2),0)),"")</f>
        <v/>
      </c>
      <c r="Q661" s="61" t="str">
        <f aca="false">IF(IsPro,IF($D661="","",L661+N661+O661+P661),"")</f>
        <v/>
      </c>
      <c r="R661" s="61" t="str">
        <f aca="false">IF(IsPro,IF($D661="","",ROUND(N($E661)*IFERROR(INDEX(Items!$P$5:$P$504,U661),0),2)),"")</f>
        <v/>
      </c>
      <c r="S661" s="61" t="str">
        <f aca="false">IF(IsPro,IF($D661="","",L661-R661),"")</f>
        <v/>
      </c>
      <c r="T661" s="60" t="str">
        <f aca="false">IF(IsPro,IF($D661="","",IF(U661="","UNKNOWN ITEM",IF(INDEX(Items!$O$5:$O$504,U661)&lt;0,"NEG STOCK",IF(K661&lt;INDEX(Items!$P$5:$P$504,U661),"BELOW COST","OK")))),IF($D661="","","PRO PLAN"))</f>
        <v/>
      </c>
      <c r="U661" s="60" t="str">
        <f aca="false">IF(IsPro,IF($D661="","",IFERROR(MATCH($D661,Items!$A$5:$A$504,0),"")),"")</f>
        <v/>
      </c>
      <c r="V661" s="60" t="str">
        <f aca="false">IF(IsPro,IF($C661="","",IFERROR(MATCH($C661,Parties!$A$5:$A$304,0),"")),"")</f>
        <v/>
      </c>
      <c r="W661" s="60" t="str">
        <f aca="false">IF(IsPro,IF($B661="","",IFERROR(VALUE(SUBSTITUTE($B661,InvPrefix,"")),0)),"")</f>
        <v/>
      </c>
      <c r="X661" s="61" t="str">
        <f aca="false">IF(IsPro,IF($D661="","",IF(OR($H661="",$H661="Credit"),0,Q661)),"")</f>
        <v/>
      </c>
    </row>
    <row r="662" customFormat="false" ht="15" hidden="false" customHeight="false" outlineLevel="0" collapsed="false">
      <c r="A662" s="55"/>
      <c r="B662" s="56"/>
      <c r="C662" s="56"/>
      <c r="D662" s="56"/>
      <c r="E662" s="57"/>
      <c r="F662" s="58"/>
      <c r="G662" s="59"/>
      <c r="H662" s="56"/>
      <c r="I662" s="56"/>
      <c r="J662" s="60" t="str">
        <f aca="false">IF(IsPro,IF($D662="","",IFERROR(INDEX(Items!$D$5:$D$504,U662),"")),"")</f>
        <v/>
      </c>
      <c r="K662" s="61" t="str">
        <f aca="false">IF(IsPro,IF($D662="","",IF($F662="",IFERROR(INDEX(Items!$H$5:$H$504,U662),0),$F662)),"")</f>
        <v/>
      </c>
      <c r="L662" s="61" t="str">
        <f aca="false">IF(IsPro,IF($D662="","",ROUND(N($E662)*K662*(1-N($G662)),2)),"")</f>
        <v/>
      </c>
      <c r="M662" s="62" t="str">
        <f aca="false">IF(IsPro,IF($D662="","",IFERROR(INDEX(Items!$F$5:$F$504,U662),0)),"")</f>
        <v/>
      </c>
      <c r="N662" s="61" t="str">
        <f aca="false">IF(IsPro,IF($D662="","",IF(AND(V662&lt;&gt;"",INDEX(Parties!$E$5:$E$304,V662)&lt;&gt;"",INDEX(Parties!$E$5:$E$304,V662)&lt;&gt;HomeState),0,ROUND(L662*M662/2,2))),"")</f>
        <v/>
      </c>
      <c r="O662" s="61" t="str">
        <f aca="false">IF(IsPro,IF($D662="","",N662),"")</f>
        <v/>
      </c>
      <c r="P662" s="61" t="str">
        <f aca="false">IF(IsPro,IF($D662="","",IF(AND(V662&lt;&gt;"",INDEX(Parties!$E$5:$E$304,V662)&lt;&gt;"",INDEX(Parties!$E$5:$E$304,V662)&lt;&gt;HomeState),ROUND(L662*M662,2),0)),"")</f>
        <v/>
      </c>
      <c r="Q662" s="61" t="str">
        <f aca="false">IF(IsPro,IF($D662="","",L662+N662+O662+P662),"")</f>
        <v/>
      </c>
      <c r="R662" s="61" t="str">
        <f aca="false">IF(IsPro,IF($D662="","",ROUND(N($E662)*IFERROR(INDEX(Items!$P$5:$P$504,U662),0),2)),"")</f>
        <v/>
      </c>
      <c r="S662" s="61" t="str">
        <f aca="false">IF(IsPro,IF($D662="","",L662-R662),"")</f>
        <v/>
      </c>
      <c r="T662" s="60" t="str">
        <f aca="false">IF(IsPro,IF($D662="","",IF(U662="","UNKNOWN ITEM",IF(INDEX(Items!$O$5:$O$504,U662)&lt;0,"NEG STOCK",IF(K662&lt;INDEX(Items!$P$5:$P$504,U662),"BELOW COST","OK")))),IF($D662="","","PRO PLAN"))</f>
        <v/>
      </c>
      <c r="U662" s="60" t="str">
        <f aca="false">IF(IsPro,IF($D662="","",IFERROR(MATCH($D662,Items!$A$5:$A$504,0),"")),"")</f>
        <v/>
      </c>
      <c r="V662" s="60" t="str">
        <f aca="false">IF(IsPro,IF($C662="","",IFERROR(MATCH($C662,Parties!$A$5:$A$304,0),"")),"")</f>
        <v/>
      </c>
      <c r="W662" s="60" t="str">
        <f aca="false">IF(IsPro,IF($B662="","",IFERROR(VALUE(SUBSTITUTE($B662,InvPrefix,"")),0)),"")</f>
        <v/>
      </c>
      <c r="X662" s="61" t="str">
        <f aca="false">IF(IsPro,IF($D662="","",IF(OR($H662="",$H662="Credit"),0,Q662)),"")</f>
        <v/>
      </c>
    </row>
    <row r="663" customFormat="false" ht="15" hidden="false" customHeight="false" outlineLevel="0" collapsed="false">
      <c r="A663" s="55"/>
      <c r="B663" s="56"/>
      <c r="C663" s="56"/>
      <c r="D663" s="56"/>
      <c r="E663" s="57"/>
      <c r="F663" s="58"/>
      <c r="G663" s="59"/>
      <c r="H663" s="56"/>
      <c r="I663" s="56"/>
      <c r="J663" s="60" t="str">
        <f aca="false">IF(IsPro,IF($D663="","",IFERROR(INDEX(Items!$D$5:$D$504,U663),"")),"")</f>
        <v/>
      </c>
      <c r="K663" s="61" t="str">
        <f aca="false">IF(IsPro,IF($D663="","",IF($F663="",IFERROR(INDEX(Items!$H$5:$H$504,U663),0),$F663)),"")</f>
        <v/>
      </c>
      <c r="L663" s="61" t="str">
        <f aca="false">IF(IsPro,IF($D663="","",ROUND(N($E663)*K663*(1-N($G663)),2)),"")</f>
        <v/>
      </c>
      <c r="M663" s="62" t="str">
        <f aca="false">IF(IsPro,IF($D663="","",IFERROR(INDEX(Items!$F$5:$F$504,U663),0)),"")</f>
        <v/>
      </c>
      <c r="N663" s="61" t="str">
        <f aca="false">IF(IsPro,IF($D663="","",IF(AND(V663&lt;&gt;"",INDEX(Parties!$E$5:$E$304,V663)&lt;&gt;"",INDEX(Parties!$E$5:$E$304,V663)&lt;&gt;HomeState),0,ROUND(L663*M663/2,2))),"")</f>
        <v/>
      </c>
      <c r="O663" s="61" t="str">
        <f aca="false">IF(IsPro,IF($D663="","",N663),"")</f>
        <v/>
      </c>
      <c r="P663" s="61" t="str">
        <f aca="false">IF(IsPro,IF($D663="","",IF(AND(V663&lt;&gt;"",INDEX(Parties!$E$5:$E$304,V663)&lt;&gt;"",INDEX(Parties!$E$5:$E$304,V663)&lt;&gt;HomeState),ROUND(L663*M663,2),0)),"")</f>
        <v/>
      </c>
      <c r="Q663" s="61" t="str">
        <f aca="false">IF(IsPro,IF($D663="","",L663+N663+O663+P663),"")</f>
        <v/>
      </c>
      <c r="R663" s="61" t="str">
        <f aca="false">IF(IsPro,IF($D663="","",ROUND(N($E663)*IFERROR(INDEX(Items!$P$5:$P$504,U663),0),2)),"")</f>
        <v/>
      </c>
      <c r="S663" s="61" t="str">
        <f aca="false">IF(IsPro,IF($D663="","",L663-R663),"")</f>
        <v/>
      </c>
      <c r="T663" s="60" t="str">
        <f aca="false">IF(IsPro,IF($D663="","",IF(U663="","UNKNOWN ITEM",IF(INDEX(Items!$O$5:$O$504,U663)&lt;0,"NEG STOCK",IF(K663&lt;INDEX(Items!$P$5:$P$504,U663),"BELOW COST","OK")))),IF($D663="","","PRO PLAN"))</f>
        <v/>
      </c>
      <c r="U663" s="60" t="str">
        <f aca="false">IF(IsPro,IF($D663="","",IFERROR(MATCH($D663,Items!$A$5:$A$504,0),"")),"")</f>
        <v/>
      </c>
      <c r="V663" s="60" t="str">
        <f aca="false">IF(IsPro,IF($C663="","",IFERROR(MATCH($C663,Parties!$A$5:$A$304,0),"")),"")</f>
        <v/>
      </c>
      <c r="W663" s="60" t="str">
        <f aca="false">IF(IsPro,IF($B663="","",IFERROR(VALUE(SUBSTITUTE($B663,InvPrefix,"")),0)),"")</f>
        <v/>
      </c>
      <c r="X663" s="61" t="str">
        <f aca="false">IF(IsPro,IF($D663="","",IF(OR($H663="",$H663="Credit"),0,Q663)),"")</f>
        <v/>
      </c>
    </row>
    <row r="664" customFormat="false" ht="15" hidden="false" customHeight="false" outlineLevel="0" collapsed="false">
      <c r="A664" s="55"/>
      <c r="B664" s="56"/>
      <c r="C664" s="56"/>
      <c r="D664" s="56"/>
      <c r="E664" s="57"/>
      <c r="F664" s="58"/>
      <c r="G664" s="59"/>
      <c r="H664" s="56"/>
      <c r="I664" s="56"/>
      <c r="J664" s="60" t="str">
        <f aca="false">IF(IsPro,IF($D664="","",IFERROR(INDEX(Items!$D$5:$D$504,U664),"")),"")</f>
        <v/>
      </c>
      <c r="K664" s="61" t="str">
        <f aca="false">IF(IsPro,IF($D664="","",IF($F664="",IFERROR(INDEX(Items!$H$5:$H$504,U664),0),$F664)),"")</f>
        <v/>
      </c>
      <c r="L664" s="61" t="str">
        <f aca="false">IF(IsPro,IF($D664="","",ROUND(N($E664)*K664*(1-N($G664)),2)),"")</f>
        <v/>
      </c>
      <c r="M664" s="62" t="str">
        <f aca="false">IF(IsPro,IF($D664="","",IFERROR(INDEX(Items!$F$5:$F$504,U664),0)),"")</f>
        <v/>
      </c>
      <c r="N664" s="61" t="str">
        <f aca="false">IF(IsPro,IF($D664="","",IF(AND(V664&lt;&gt;"",INDEX(Parties!$E$5:$E$304,V664)&lt;&gt;"",INDEX(Parties!$E$5:$E$304,V664)&lt;&gt;HomeState),0,ROUND(L664*M664/2,2))),"")</f>
        <v/>
      </c>
      <c r="O664" s="61" t="str">
        <f aca="false">IF(IsPro,IF($D664="","",N664),"")</f>
        <v/>
      </c>
      <c r="P664" s="61" t="str">
        <f aca="false">IF(IsPro,IF($D664="","",IF(AND(V664&lt;&gt;"",INDEX(Parties!$E$5:$E$304,V664)&lt;&gt;"",INDEX(Parties!$E$5:$E$304,V664)&lt;&gt;HomeState),ROUND(L664*M664,2),0)),"")</f>
        <v/>
      </c>
      <c r="Q664" s="61" t="str">
        <f aca="false">IF(IsPro,IF($D664="","",L664+N664+O664+P664),"")</f>
        <v/>
      </c>
      <c r="R664" s="61" t="str">
        <f aca="false">IF(IsPro,IF($D664="","",ROUND(N($E664)*IFERROR(INDEX(Items!$P$5:$P$504,U664),0),2)),"")</f>
        <v/>
      </c>
      <c r="S664" s="61" t="str">
        <f aca="false">IF(IsPro,IF($D664="","",L664-R664),"")</f>
        <v/>
      </c>
      <c r="T664" s="60" t="str">
        <f aca="false">IF(IsPro,IF($D664="","",IF(U664="","UNKNOWN ITEM",IF(INDEX(Items!$O$5:$O$504,U664)&lt;0,"NEG STOCK",IF(K664&lt;INDEX(Items!$P$5:$P$504,U664),"BELOW COST","OK")))),IF($D664="","","PRO PLAN"))</f>
        <v/>
      </c>
      <c r="U664" s="60" t="str">
        <f aca="false">IF(IsPro,IF($D664="","",IFERROR(MATCH($D664,Items!$A$5:$A$504,0),"")),"")</f>
        <v/>
      </c>
      <c r="V664" s="60" t="str">
        <f aca="false">IF(IsPro,IF($C664="","",IFERROR(MATCH($C664,Parties!$A$5:$A$304,0),"")),"")</f>
        <v/>
      </c>
      <c r="W664" s="60" t="str">
        <f aca="false">IF(IsPro,IF($B664="","",IFERROR(VALUE(SUBSTITUTE($B664,InvPrefix,"")),0)),"")</f>
        <v/>
      </c>
      <c r="X664" s="61" t="str">
        <f aca="false">IF(IsPro,IF($D664="","",IF(OR($H664="",$H664="Credit"),0,Q664)),"")</f>
        <v/>
      </c>
    </row>
    <row r="665" customFormat="false" ht="15" hidden="false" customHeight="false" outlineLevel="0" collapsed="false">
      <c r="A665" s="55"/>
      <c r="B665" s="56"/>
      <c r="C665" s="56"/>
      <c r="D665" s="56"/>
      <c r="E665" s="57"/>
      <c r="F665" s="58"/>
      <c r="G665" s="59"/>
      <c r="H665" s="56"/>
      <c r="I665" s="56"/>
      <c r="J665" s="60" t="str">
        <f aca="false">IF(IsPro,IF($D665="","",IFERROR(INDEX(Items!$D$5:$D$504,U665),"")),"")</f>
        <v/>
      </c>
      <c r="K665" s="61" t="str">
        <f aca="false">IF(IsPro,IF($D665="","",IF($F665="",IFERROR(INDEX(Items!$H$5:$H$504,U665),0),$F665)),"")</f>
        <v/>
      </c>
      <c r="L665" s="61" t="str">
        <f aca="false">IF(IsPro,IF($D665="","",ROUND(N($E665)*K665*(1-N($G665)),2)),"")</f>
        <v/>
      </c>
      <c r="M665" s="62" t="str">
        <f aca="false">IF(IsPro,IF($D665="","",IFERROR(INDEX(Items!$F$5:$F$504,U665),0)),"")</f>
        <v/>
      </c>
      <c r="N665" s="61" t="str">
        <f aca="false">IF(IsPro,IF($D665="","",IF(AND(V665&lt;&gt;"",INDEX(Parties!$E$5:$E$304,V665)&lt;&gt;"",INDEX(Parties!$E$5:$E$304,V665)&lt;&gt;HomeState),0,ROUND(L665*M665/2,2))),"")</f>
        <v/>
      </c>
      <c r="O665" s="61" t="str">
        <f aca="false">IF(IsPro,IF($D665="","",N665),"")</f>
        <v/>
      </c>
      <c r="P665" s="61" t="str">
        <f aca="false">IF(IsPro,IF($D665="","",IF(AND(V665&lt;&gt;"",INDEX(Parties!$E$5:$E$304,V665)&lt;&gt;"",INDEX(Parties!$E$5:$E$304,V665)&lt;&gt;HomeState),ROUND(L665*M665,2),0)),"")</f>
        <v/>
      </c>
      <c r="Q665" s="61" t="str">
        <f aca="false">IF(IsPro,IF($D665="","",L665+N665+O665+P665),"")</f>
        <v/>
      </c>
      <c r="R665" s="61" t="str">
        <f aca="false">IF(IsPro,IF($D665="","",ROUND(N($E665)*IFERROR(INDEX(Items!$P$5:$P$504,U665),0),2)),"")</f>
        <v/>
      </c>
      <c r="S665" s="61" t="str">
        <f aca="false">IF(IsPro,IF($D665="","",L665-R665),"")</f>
        <v/>
      </c>
      <c r="T665" s="60" t="str">
        <f aca="false">IF(IsPro,IF($D665="","",IF(U665="","UNKNOWN ITEM",IF(INDEX(Items!$O$5:$O$504,U665)&lt;0,"NEG STOCK",IF(K665&lt;INDEX(Items!$P$5:$P$504,U665),"BELOW COST","OK")))),IF($D665="","","PRO PLAN"))</f>
        <v/>
      </c>
      <c r="U665" s="60" t="str">
        <f aca="false">IF(IsPro,IF($D665="","",IFERROR(MATCH($D665,Items!$A$5:$A$504,0),"")),"")</f>
        <v/>
      </c>
      <c r="V665" s="60" t="str">
        <f aca="false">IF(IsPro,IF($C665="","",IFERROR(MATCH($C665,Parties!$A$5:$A$304,0),"")),"")</f>
        <v/>
      </c>
      <c r="W665" s="60" t="str">
        <f aca="false">IF(IsPro,IF($B665="","",IFERROR(VALUE(SUBSTITUTE($B665,InvPrefix,"")),0)),"")</f>
        <v/>
      </c>
      <c r="X665" s="61" t="str">
        <f aca="false">IF(IsPro,IF($D665="","",IF(OR($H665="",$H665="Credit"),0,Q665)),"")</f>
        <v/>
      </c>
    </row>
    <row r="666" customFormat="false" ht="15" hidden="false" customHeight="false" outlineLevel="0" collapsed="false">
      <c r="A666" s="55"/>
      <c r="B666" s="56"/>
      <c r="C666" s="56"/>
      <c r="D666" s="56"/>
      <c r="E666" s="57"/>
      <c r="F666" s="58"/>
      <c r="G666" s="59"/>
      <c r="H666" s="56"/>
      <c r="I666" s="56"/>
      <c r="J666" s="60" t="str">
        <f aca="false">IF(IsPro,IF($D666="","",IFERROR(INDEX(Items!$D$5:$D$504,U666),"")),"")</f>
        <v/>
      </c>
      <c r="K666" s="61" t="str">
        <f aca="false">IF(IsPro,IF($D666="","",IF($F666="",IFERROR(INDEX(Items!$H$5:$H$504,U666),0),$F666)),"")</f>
        <v/>
      </c>
      <c r="L666" s="61" t="str">
        <f aca="false">IF(IsPro,IF($D666="","",ROUND(N($E666)*K666*(1-N($G666)),2)),"")</f>
        <v/>
      </c>
      <c r="M666" s="62" t="str">
        <f aca="false">IF(IsPro,IF($D666="","",IFERROR(INDEX(Items!$F$5:$F$504,U666),0)),"")</f>
        <v/>
      </c>
      <c r="N666" s="61" t="str">
        <f aca="false">IF(IsPro,IF($D666="","",IF(AND(V666&lt;&gt;"",INDEX(Parties!$E$5:$E$304,V666)&lt;&gt;"",INDEX(Parties!$E$5:$E$304,V666)&lt;&gt;HomeState),0,ROUND(L666*M666/2,2))),"")</f>
        <v/>
      </c>
      <c r="O666" s="61" t="str">
        <f aca="false">IF(IsPro,IF($D666="","",N666),"")</f>
        <v/>
      </c>
      <c r="P666" s="61" t="str">
        <f aca="false">IF(IsPro,IF($D666="","",IF(AND(V666&lt;&gt;"",INDEX(Parties!$E$5:$E$304,V666)&lt;&gt;"",INDEX(Parties!$E$5:$E$304,V666)&lt;&gt;HomeState),ROUND(L666*M666,2),0)),"")</f>
        <v/>
      </c>
      <c r="Q666" s="61" t="str">
        <f aca="false">IF(IsPro,IF($D666="","",L666+N666+O666+P666),"")</f>
        <v/>
      </c>
      <c r="R666" s="61" t="str">
        <f aca="false">IF(IsPro,IF($D666="","",ROUND(N($E666)*IFERROR(INDEX(Items!$P$5:$P$504,U666),0),2)),"")</f>
        <v/>
      </c>
      <c r="S666" s="61" t="str">
        <f aca="false">IF(IsPro,IF($D666="","",L666-R666),"")</f>
        <v/>
      </c>
      <c r="T666" s="60" t="str">
        <f aca="false">IF(IsPro,IF($D666="","",IF(U666="","UNKNOWN ITEM",IF(INDEX(Items!$O$5:$O$504,U666)&lt;0,"NEG STOCK",IF(K666&lt;INDEX(Items!$P$5:$P$504,U666),"BELOW COST","OK")))),IF($D666="","","PRO PLAN"))</f>
        <v/>
      </c>
      <c r="U666" s="60" t="str">
        <f aca="false">IF(IsPro,IF($D666="","",IFERROR(MATCH($D666,Items!$A$5:$A$504,0),"")),"")</f>
        <v/>
      </c>
      <c r="V666" s="60" t="str">
        <f aca="false">IF(IsPro,IF($C666="","",IFERROR(MATCH($C666,Parties!$A$5:$A$304,0),"")),"")</f>
        <v/>
      </c>
      <c r="W666" s="60" t="str">
        <f aca="false">IF(IsPro,IF($B666="","",IFERROR(VALUE(SUBSTITUTE($B666,InvPrefix,"")),0)),"")</f>
        <v/>
      </c>
      <c r="X666" s="61" t="str">
        <f aca="false">IF(IsPro,IF($D666="","",IF(OR($H666="",$H666="Credit"),0,Q666)),"")</f>
        <v/>
      </c>
    </row>
    <row r="667" customFormat="false" ht="15" hidden="false" customHeight="false" outlineLevel="0" collapsed="false">
      <c r="A667" s="55"/>
      <c r="B667" s="56"/>
      <c r="C667" s="56"/>
      <c r="D667" s="56"/>
      <c r="E667" s="57"/>
      <c r="F667" s="58"/>
      <c r="G667" s="59"/>
      <c r="H667" s="56"/>
      <c r="I667" s="56"/>
      <c r="J667" s="60" t="str">
        <f aca="false">IF(IsPro,IF($D667="","",IFERROR(INDEX(Items!$D$5:$D$504,U667),"")),"")</f>
        <v/>
      </c>
      <c r="K667" s="61" t="str">
        <f aca="false">IF(IsPro,IF($D667="","",IF($F667="",IFERROR(INDEX(Items!$H$5:$H$504,U667),0),$F667)),"")</f>
        <v/>
      </c>
      <c r="L667" s="61" t="str">
        <f aca="false">IF(IsPro,IF($D667="","",ROUND(N($E667)*K667*(1-N($G667)),2)),"")</f>
        <v/>
      </c>
      <c r="M667" s="62" t="str">
        <f aca="false">IF(IsPro,IF($D667="","",IFERROR(INDEX(Items!$F$5:$F$504,U667),0)),"")</f>
        <v/>
      </c>
      <c r="N667" s="61" t="str">
        <f aca="false">IF(IsPro,IF($D667="","",IF(AND(V667&lt;&gt;"",INDEX(Parties!$E$5:$E$304,V667)&lt;&gt;"",INDEX(Parties!$E$5:$E$304,V667)&lt;&gt;HomeState),0,ROUND(L667*M667/2,2))),"")</f>
        <v/>
      </c>
      <c r="O667" s="61" t="str">
        <f aca="false">IF(IsPro,IF($D667="","",N667),"")</f>
        <v/>
      </c>
      <c r="P667" s="61" t="str">
        <f aca="false">IF(IsPro,IF($D667="","",IF(AND(V667&lt;&gt;"",INDEX(Parties!$E$5:$E$304,V667)&lt;&gt;"",INDEX(Parties!$E$5:$E$304,V667)&lt;&gt;HomeState),ROUND(L667*M667,2),0)),"")</f>
        <v/>
      </c>
      <c r="Q667" s="61" t="str">
        <f aca="false">IF(IsPro,IF($D667="","",L667+N667+O667+P667),"")</f>
        <v/>
      </c>
      <c r="R667" s="61" t="str">
        <f aca="false">IF(IsPro,IF($D667="","",ROUND(N($E667)*IFERROR(INDEX(Items!$P$5:$P$504,U667),0),2)),"")</f>
        <v/>
      </c>
      <c r="S667" s="61" t="str">
        <f aca="false">IF(IsPro,IF($D667="","",L667-R667),"")</f>
        <v/>
      </c>
      <c r="T667" s="60" t="str">
        <f aca="false">IF(IsPro,IF($D667="","",IF(U667="","UNKNOWN ITEM",IF(INDEX(Items!$O$5:$O$504,U667)&lt;0,"NEG STOCK",IF(K667&lt;INDEX(Items!$P$5:$P$504,U667),"BELOW COST","OK")))),IF($D667="","","PRO PLAN"))</f>
        <v/>
      </c>
      <c r="U667" s="60" t="str">
        <f aca="false">IF(IsPro,IF($D667="","",IFERROR(MATCH($D667,Items!$A$5:$A$504,0),"")),"")</f>
        <v/>
      </c>
      <c r="V667" s="60" t="str">
        <f aca="false">IF(IsPro,IF($C667="","",IFERROR(MATCH($C667,Parties!$A$5:$A$304,0),"")),"")</f>
        <v/>
      </c>
      <c r="W667" s="60" t="str">
        <f aca="false">IF(IsPro,IF($B667="","",IFERROR(VALUE(SUBSTITUTE($B667,InvPrefix,"")),0)),"")</f>
        <v/>
      </c>
      <c r="X667" s="61" t="str">
        <f aca="false">IF(IsPro,IF($D667="","",IF(OR($H667="",$H667="Credit"),0,Q667)),"")</f>
        <v/>
      </c>
    </row>
    <row r="668" customFormat="false" ht="15" hidden="false" customHeight="false" outlineLevel="0" collapsed="false">
      <c r="A668" s="55"/>
      <c r="B668" s="56"/>
      <c r="C668" s="56"/>
      <c r="D668" s="56"/>
      <c r="E668" s="57"/>
      <c r="F668" s="58"/>
      <c r="G668" s="59"/>
      <c r="H668" s="56"/>
      <c r="I668" s="56"/>
      <c r="J668" s="60" t="str">
        <f aca="false">IF(IsPro,IF($D668="","",IFERROR(INDEX(Items!$D$5:$D$504,U668),"")),"")</f>
        <v/>
      </c>
      <c r="K668" s="61" t="str">
        <f aca="false">IF(IsPro,IF($D668="","",IF($F668="",IFERROR(INDEX(Items!$H$5:$H$504,U668),0),$F668)),"")</f>
        <v/>
      </c>
      <c r="L668" s="61" t="str">
        <f aca="false">IF(IsPro,IF($D668="","",ROUND(N($E668)*K668*(1-N($G668)),2)),"")</f>
        <v/>
      </c>
      <c r="M668" s="62" t="str">
        <f aca="false">IF(IsPro,IF($D668="","",IFERROR(INDEX(Items!$F$5:$F$504,U668),0)),"")</f>
        <v/>
      </c>
      <c r="N668" s="61" t="str">
        <f aca="false">IF(IsPro,IF($D668="","",IF(AND(V668&lt;&gt;"",INDEX(Parties!$E$5:$E$304,V668)&lt;&gt;"",INDEX(Parties!$E$5:$E$304,V668)&lt;&gt;HomeState),0,ROUND(L668*M668/2,2))),"")</f>
        <v/>
      </c>
      <c r="O668" s="61" t="str">
        <f aca="false">IF(IsPro,IF($D668="","",N668),"")</f>
        <v/>
      </c>
      <c r="P668" s="61" t="str">
        <f aca="false">IF(IsPro,IF($D668="","",IF(AND(V668&lt;&gt;"",INDEX(Parties!$E$5:$E$304,V668)&lt;&gt;"",INDEX(Parties!$E$5:$E$304,V668)&lt;&gt;HomeState),ROUND(L668*M668,2),0)),"")</f>
        <v/>
      </c>
      <c r="Q668" s="61" t="str">
        <f aca="false">IF(IsPro,IF($D668="","",L668+N668+O668+P668),"")</f>
        <v/>
      </c>
      <c r="R668" s="61" t="str">
        <f aca="false">IF(IsPro,IF($D668="","",ROUND(N($E668)*IFERROR(INDEX(Items!$P$5:$P$504,U668),0),2)),"")</f>
        <v/>
      </c>
      <c r="S668" s="61" t="str">
        <f aca="false">IF(IsPro,IF($D668="","",L668-R668),"")</f>
        <v/>
      </c>
      <c r="T668" s="60" t="str">
        <f aca="false">IF(IsPro,IF($D668="","",IF(U668="","UNKNOWN ITEM",IF(INDEX(Items!$O$5:$O$504,U668)&lt;0,"NEG STOCK",IF(K668&lt;INDEX(Items!$P$5:$P$504,U668),"BELOW COST","OK")))),IF($D668="","","PRO PLAN"))</f>
        <v/>
      </c>
      <c r="U668" s="60" t="str">
        <f aca="false">IF(IsPro,IF($D668="","",IFERROR(MATCH($D668,Items!$A$5:$A$504,0),"")),"")</f>
        <v/>
      </c>
      <c r="V668" s="60" t="str">
        <f aca="false">IF(IsPro,IF($C668="","",IFERROR(MATCH($C668,Parties!$A$5:$A$304,0),"")),"")</f>
        <v/>
      </c>
      <c r="W668" s="60" t="str">
        <f aca="false">IF(IsPro,IF($B668="","",IFERROR(VALUE(SUBSTITUTE($B668,InvPrefix,"")),0)),"")</f>
        <v/>
      </c>
      <c r="X668" s="61" t="str">
        <f aca="false">IF(IsPro,IF($D668="","",IF(OR($H668="",$H668="Credit"),0,Q668)),"")</f>
        <v/>
      </c>
    </row>
    <row r="669" customFormat="false" ht="15" hidden="false" customHeight="false" outlineLevel="0" collapsed="false">
      <c r="A669" s="55"/>
      <c r="B669" s="56"/>
      <c r="C669" s="56"/>
      <c r="D669" s="56"/>
      <c r="E669" s="57"/>
      <c r="F669" s="58"/>
      <c r="G669" s="59"/>
      <c r="H669" s="56"/>
      <c r="I669" s="56"/>
      <c r="J669" s="60" t="str">
        <f aca="false">IF(IsPro,IF($D669="","",IFERROR(INDEX(Items!$D$5:$D$504,U669),"")),"")</f>
        <v/>
      </c>
      <c r="K669" s="61" t="str">
        <f aca="false">IF(IsPro,IF($D669="","",IF($F669="",IFERROR(INDEX(Items!$H$5:$H$504,U669),0),$F669)),"")</f>
        <v/>
      </c>
      <c r="L669" s="61" t="str">
        <f aca="false">IF(IsPro,IF($D669="","",ROUND(N($E669)*K669*(1-N($G669)),2)),"")</f>
        <v/>
      </c>
      <c r="M669" s="62" t="str">
        <f aca="false">IF(IsPro,IF($D669="","",IFERROR(INDEX(Items!$F$5:$F$504,U669),0)),"")</f>
        <v/>
      </c>
      <c r="N669" s="61" t="str">
        <f aca="false">IF(IsPro,IF($D669="","",IF(AND(V669&lt;&gt;"",INDEX(Parties!$E$5:$E$304,V669)&lt;&gt;"",INDEX(Parties!$E$5:$E$304,V669)&lt;&gt;HomeState),0,ROUND(L669*M669/2,2))),"")</f>
        <v/>
      </c>
      <c r="O669" s="61" t="str">
        <f aca="false">IF(IsPro,IF($D669="","",N669),"")</f>
        <v/>
      </c>
      <c r="P669" s="61" t="str">
        <f aca="false">IF(IsPro,IF($D669="","",IF(AND(V669&lt;&gt;"",INDEX(Parties!$E$5:$E$304,V669)&lt;&gt;"",INDEX(Parties!$E$5:$E$304,V669)&lt;&gt;HomeState),ROUND(L669*M669,2),0)),"")</f>
        <v/>
      </c>
      <c r="Q669" s="61" t="str">
        <f aca="false">IF(IsPro,IF($D669="","",L669+N669+O669+P669),"")</f>
        <v/>
      </c>
      <c r="R669" s="61" t="str">
        <f aca="false">IF(IsPro,IF($D669="","",ROUND(N($E669)*IFERROR(INDEX(Items!$P$5:$P$504,U669),0),2)),"")</f>
        <v/>
      </c>
      <c r="S669" s="61" t="str">
        <f aca="false">IF(IsPro,IF($D669="","",L669-R669),"")</f>
        <v/>
      </c>
      <c r="T669" s="60" t="str">
        <f aca="false">IF(IsPro,IF($D669="","",IF(U669="","UNKNOWN ITEM",IF(INDEX(Items!$O$5:$O$504,U669)&lt;0,"NEG STOCK",IF(K669&lt;INDEX(Items!$P$5:$P$504,U669),"BELOW COST","OK")))),IF($D669="","","PRO PLAN"))</f>
        <v/>
      </c>
      <c r="U669" s="60" t="str">
        <f aca="false">IF(IsPro,IF($D669="","",IFERROR(MATCH($D669,Items!$A$5:$A$504,0),"")),"")</f>
        <v/>
      </c>
      <c r="V669" s="60" t="str">
        <f aca="false">IF(IsPro,IF($C669="","",IFERROR(MATCH($C669,Parties!$A$5:$A$304,0),"")),"")</f>
        <v/>
      </c>
      <c r="W669" s="60" t="str">
        <f aca="false">IF(IsPro,IF($B669="","",IFERROR(VALUE(SUBSTITUTE($B669,InvPrefix,"")),0)),"")</f>
        <v/>
      </c>
      <c r="X669" s="61" t="str">
        <f aca="false">IF(IsPro,IF($D669="","",IF(OR($H669="",$H669="Credit"),0,Q669)),"")</f>
        <v/>
      </c>
    </row>
    <row r="670" customFormat="false" ht="15" hidden="false" customHeight="false" outlineLevel="0" collapsed="false">
      <c r="A670" s="55"/>
      <c r="B670" s="56"/>
      <c r="C670" s="56"/>
      <c r="D670" s="56"/>
      <c r="E670" s="57"/>
      <c r="F670" s="58"/>
      <c r="G670" s="59"/>
      <c r="H670" s="56"/>
      <c r="I670" s="56"/>
      <c r="J670" s="60" t="str">
        <f aca="false">IF(IsPro,IF($D670="","",IFERROR(INDEX(Items!$D$5:$D$504,U670),"")),"")</f>
        <v/>
      </c>
      <c r="K670" s="61" t="str">
        <f aca="false">IF(IsPro,IF($D670="","",IF($F670="",IFERROR(INDEX(Items!$H$5:$H$504,U670),0),$F670)),"")</f>
        <v/>
      </c>
      <c r="L670" s="61" t="str">
        <f aca="false">IF(IsPro,IF($D670="","",ROUND(N($E670)*K670*(1-N($G670)),2)),"")</f>
        <v/>
      </c>
      <c r="M670" s="62" t="str">
        <f aca="false">IF(IsPro,IF($D670="","",IFERROR(INDEX(Items!$F$5:$F$504,U670),0)),"")</f>
        <v/>
      </c>
      <c r="N670" s="61" t="str">
        <f aca="false">IF(IsPro,IF($D670="","",IF(AND(V670&lt;&gt;"",INDEX(Parties!$E$5:$E$304,V670)&lt;&gt;"",INDEX(Parties!$E$5:$E$304,V670)&lt;&gt;HomeState),0,ROUND(L670*M670/2,2))),"")</f>
        <v/>
      </c>
      <c r="O670" s="61" t="str">
        <f aca="false">IF(IsPro,IF($D670="","",N670),"")</f>
        <v/>
      </c>
      <c r="P670" s="61" t="str">
        <f aca="false">IF(IsPro,IF($D670="","",IF(AND(V670&lt;&gt;"",INDEX(Parties!$E$5:$E$304,V670)&lt;&gt;"",INDEX(Parties!$E$5:$E$304,V670)&lt;&gt;HomeState),ROUND(L670*M670,2),0)),"")</f>
        <v/>
      </c>
      <c r="Q670" s="61" t="str">
        <f aca="false">IF(IsPro,IF($D670="","",L670+N670+O670+P670),"")</f>
        <v/>
      </c>
      <c r="R670" s="61" t="str">
        <f aca="false">IF(IsPro,IF($D670="","",ROUND(N($E670)*IFERROR(INDEX(Items!$P$5:$P$504,U670),0),2)),"")</f>
        <v/>
      </c>
      <c r="S670" s="61" t="str">
        <f aca="false">IF(IsPro,IF($D670="","",L670-R670),"")</f>
        <v/>
      </c>
      <c r="T670" s="60" t="str">
        <f aca="false">IF(IsPro,IF($D670="","",IF(U670="","UNKNOWN ITEM",IF(INDEX(Items!$O$5:$O$504,U670)&lt;0,"NEG STOCK",IF(K670&lt;INDEX(Items!$P$5:$P$504,U670),"BELOW COST","OK")))),IF($D670="","","PRO PLAN"))</f>
        <v/>
      </c>
      <c r="U670" s="60" t="str">
        <f aca="false">IF(IsPro,IF($D670="","",IFERROR(MATCH($D670,Items!$A$5:$A$504,0),"")),"")</f>
        <v/>
      </c>
      <c r="V670" s="60" t="str">
        <f aca="false">IF(IsPro,IF($C670="","",IFERROR(MATCH($C670,Parties!$A$5:$A$304,0),"")),"")</f>
        <v/>
      </c>
      <c r="W670" s="60" t="str">
        <f aca="false">IF(IsPro,IF($B670="","",IFERROR(VALUE(SUBSTITUTE($B670,InvPrefix,"")),0)),"")</f>
        <v/>
      </c>
      <c r="X670" s="61" t="str">
        <f aca="false">IF(IsPro,IF($D670="","",IF(OR($H670="",$H670="Credit"),0,Q670)),"")</f>
        <v/>
      </c>
    </row>
    <row r="671" customFormat="false" ht="15" hidden="false" customHeight="false" outlineLevel="0" collapsed="false">
      <c r="A671" s="55"/>
      <c r="B671" s="56"/>
      <c r="C671" s="56"/>
      <c r="D671" s="56"/>
      <c r="E671" s="57"/>
      <c r="F671" s="58"/>
      <c r="G671" s="59"/>
      <c r="H671" s="56"/>
      <c r="I671" s="56"/>
      <c r="J671" s="60" t="str">
        <f aca="false">IF(IsPro,IF($D671="","",IFERROR(INDEX(Items!$D$5:$D$504,U671),"")),"")</f>
        <v/>
      </c>
      <c r="K671" s="61" t="str">
        <f aca="false">IF(IsPro,IF($D671="","",IF($F671="",IFERROR(INDEX(Items!$H$5:$H$504,U671),0),$F671)),"")</f>
        <v/>
      </c>
      <c r="L671" s="61" t="str">
        <f aca="false">IF(IsPro,IF($D671="","",ROUND(N($E671)*K671*(1-N($G671)),2)),"")</f>
        <v/>
      </c>
      <c r="M671" s="62" t="str">
        <f aca="false">IF(IsPro,IF($D671="","",IFERROR(INDEX(Items!$F$5:$F$504,U671),0)),"")</f>
        <v/>
      </c>
      <c r="N671" s="61" t="str">
        <f aca="false">IF(IsPro,IF($D671="","",IF(AND(V671&lt;&gt;"",INDEX(Parties!$E$5:$E$304,V671)&lt;&gt;"",INDEX(Parties!$E$5:$E$304,V671)&lt;&gt;HomeState),0,ROUND(L671*M671/2,2))),"")</f>
        <v/>
      </c>
      <c r="O671" s="61" t="str">
        <f aca="false">IF(IsPro,IF($D671="","",N671),"")</f>
        <v/>
      </c>
      <c r="P671" s="61" t="str">
        <f aca="false">IF(IsPro,IF($D671="","",IF(AND(V671&lt;&gt;"",INDEX(Parties!$E$5:$E$304,V671)&lt;&gt;"",INDEX(Parties!$E$5:$E$304,V671)&lt;&gt;HomeState),ROUND(L671*M671,2),0)),"")</f>
        <v/>
      </c>
      <c r="Q671" s="61" t="str">
        <f aca="false">IF(IsPro,IF($D671="","",L671+N671+O671+P671),"")</f>
        <v/>
      </c>
      <c r="R671" s="61" t="str">
        <f aca="false">IF(IsPro,IF($D671="","",ROUND(N($E671)*IFERROR(INDEX(Items!$P$5:$P$504,U671),0),2)),"")</f>
        <v/>
      </c>
      <c r="S671" s="61" t="str">
        <f aca="false">IF(IsPro,IF($D671="","",L671-R671),"")</f>
        <v/>
      </c>
      <c r="T671" s="60" t="str">
        <f aca="false">IF(IsPro,IF($D671="","",IF(U671="","UNKNOWN ITEM",IF(INDEX(Items!$O$5:$O$504,U671)&lt;0,"NEG STOCK",IF(K671&lt;INDEX(Items!$P$5:$P$504,U671),"BELOW COST","OK")))),IF($D671="","","PRO PLAN"))</f>
        <v/>
      </c>
      <c r="U671" s="60" t="str">
        <f aca="false">IF(IsPro,IF($D671="","",IFERROR(MATCH($D671,Items!$A$5:$A$504,0),"")),"")</f>
        <v/>
      </c>
      <c r="V671" s="60" t="str">
        <f aca="false">IF(IsPro,IF($C671="","",IFERROR(MATCH($C671,Parties!$A$5:$A$304,0),"")),"")</f>
        <v/>
      </c>
      <c r="W671" s="60" t="str">
        <f aca="false">IF(IsPro,IF($B671="","",IFERROR(VALUE(SUBSTITUTE($B671,InvPrefix,"")),0)),"")</f>
        <v/>
      </c>
      <c r="X671" s="61" t="str">
        <f aca="false">IF(IsPro,IF($D671="","",IF(OR($H671="",$H671="Credit"),0,Q671)),"")</f>
        <v/>
      </c>
    </row>
    <row r="672" customFormat="false" ht="15" hidden="false" customHeight="false" outlineLevel="0" collapsed="false">
      <c r="A672" s="55"/>
      <c r="B672" s="56"/>
      <c r="C672" s="56"/>
      <c r="D672" s="56"/>
      <c r="E672" s="57"/>
      <c r="F672" s="58"/>
      <c r="G672" s="59"/>
      <c r="H672" s="56"/>
      <c r="I672" s="56"/>
      <c r="J672" s="60" t="str">
        <f aca="false">IF(IsPro,IF($D672="","",IFERROR(INDEX(Items!$D$5:$D$504,U672),"")),"")</f>
        <v/>
      </c>
      <c r="K672" s="61" t="str">
        <f aca="false">IF(IsPro,IF($D672="","",IF($F672="",IFERROR(INDEX(Items!$H$5:$H$504,U672),0),$F672)),"")</f>
        <v/>
      </c>
      <c r="L672" s="61" t="str">
        <f aca="false">IF(IsPro,IF($D672="","",ROUND(N($E672)*K672*(1-N($G672)),2)),"")</f>
        <v/>
      </c>
      <c r="M672" s="62" t="str">
        <f aca="false">IF(IsPro,IF($D672="","",IFERROR(INDEX(Items!$F$5:$F$504,U672),0)),"")</f>
        <v/>
      </c>
      <c r="N672" s="61" t="str">
        <f aca="false">IF(IsPro,IF($D672="","",IF(AND(V672&lt;&gt;"",INDEX(Parties!$E$5:$E$304,V672)&lt;&gt;"",INDEX(Parties!$E$5:$E$304,V672)&lt;&gt;HomeState),0,ROUND(L672*M672/2,2))),"")</f>
        <v/>
      </c>
      <c r="O672" s="61" t="str">
        <f aca="false">IF(IsPro,IF($D672="","",N672),"")</f>
        <v/>
      </c>
      <c r="P672" s="61" t="str">
        <f aca="false">IF(IsPro,IF($D672="","",IF(AND(V672&lt;&gt;"",INDEX(Parties!$E$5:$E$304,V672)&lt;&gt;"",INDEX(Parties!$E$5:$E$304,V672)&lt;&gt;HomeState),ROUND(L672*M672,2),0)),"")</f>
        <v/>
      </c>
      <c r="Q672" s="61" t="str">
        <f aca="false">IF(IsPro,IF($D672="","",L672+N672+O672+P672),"")</f>
        <v/>
      </c>
      <c r="R672" s="61" t="str">
        <f aca="false">IF(IsPro,IF($D672="","",ROUND(N($E672)*IFERROR(INDEX(Items!$P$5:$P$504,U672),0),2)),"")</f>
        <v/>
      </c>
      <c r="S672" s="61" t="str">
        <f aca="false">IF(IsPro,IF($D672="","",L672-R672),"")</f>
        <v/>
      </c>
      <c r="T672" s="60" t="str">
        <f aca="false">IF(IsPro,IF($D672="","",IF(U672="","UNKNOWN ITEM",IF(INDEX(Items!$O$5:$O$504,U672)&lt;0,"NEG STOCK",IF(K672&lt;INDEX(Items!$P$5:$P$504,U672),"BELOW COST","OK")))),IF($D672="","","PRO PLAN"))</f>
        <v/>
      </c>
      <c r="U672" s="60" t="str">
        <f aca="false">IF(IsPro,IF($D672="","",IFERROR(MATCH($D672,Items!$A$5:$A$504,0),"")),"")</f>
        <v/>
      </c>
      <c r="V672" s="60" t="str">
        <f aca="false">IF(IsPro,IF($C672="","",IFERROR(MATCH($C672,Parties!$A$5:$A$304,0),"")),"")</f>
        <v/>
      </c>
      <c r="W672" s="60" t="str">
        <f aca="false">IF(IsPro,IF($B672="","",IFERROR(VALUE(SUBSTITUTE($B672,InvPrefix,"")),0)),"")</f>
        <v/>
      </c>
      <c r="X672" s="61" t="str">
        <f aca="false">IF(IsPro,IF($D672="","",IF(OR($H672="",$H672="Credit"),0,Q672)),"")</f>
        <v/>
      </c>
    </row>
    <row r="673" customFormat="false" ht="15" hidden="false" customHeight="false" outlineLevel="0" collapsed="false">
      <c r="A673" s="55"/>
      <c r="B673" s="56"/>
      <c r="C673" s="56"/>
      <c r="D673" s="56"/>
      <c r="E673" s="57"/>
      <c r="F673" s="58"/>
      <c r="G673" s="59"/>
      <c r="H673" s="56"/>
      <c r="I673" s="56"/>
      <c r="J673" s="60" t="str">
        <f aca="false">IF(IsPro,IF($D673="","",IFERROR(INDEX(Items!$D$5:$D$504,U673),"")),"")</f>
        <v/>
      </c>
      <c r="K673" s="61" t="str">
        <f aca="false">IF(IsPro,IF($D673="","",IF($F673="",IFERROR(INDEX(Items!$H$5:$H$504,U673),0),$F673)),"")</f>
        <v/>
      </c>
      <c r="L673" s="61" t="str">
        <f aca="false">IF(IsPro,IF($D673="","",ROUND(N($E673)*K673*(1-N($G673)),2)),"")</f>
        <v/>
      </c>
      <c r="M673" s="62" t="str">
        <f aca="false">IF(IsPro,IF($D673="","",IFERROR(INDEX(Items!$F$5:$F$504,U673),0)),"")</f>
        <v/>
      </c>
      <c r="N673" s="61" t="str">
        <f aca="false">IF(IsPro,IF($D673="","",IF(AND(V673&lt;&gt;"",INDEX(Parties!$E$5:$E$304,V673)&lt;&gt;"",INDEX(Parties!$E$5:$E$304,V673)&lt;&gt;HomeState),0,ROUND(L673*M673/2,2))),"")</f>
        <v/>
      </c>
      <c r="O673" s="61" t="str">
        <f aca="false">IF(IsPro,IF($D673="","",N673),"")</f>
        <v/>
      </c>
      <c r="P673" s="61" t="str">
        <f aca="false">IF(IsPro,IF($D673="","",IF(AND(V673&lt;&gt;"",INDEX(Parties!$E$5:$E$304,V673)&lt;&gt;"",INDEX(Parties!$E$5:$E$304,V673)&lt;&gt;HomeState),ROUND(L673*M673,2),0)),"")</f>
        <v/>
      </c>
      <c r="Q673" s="61" t="str">
        <f aca="false">IF(IsPro,IF($D673="","",L673+N673+O673+P673),"")</f>
        <v/>
      </c>
      <c r="R673" s="61" t="str">
        <f aca="false">IF(IsPro,IF($D673="","",ROUND(N($E673)*IFERROR(INDEX(Items!$P$5:$P$504,U673),0),2)),"")</f>
        <v/>
      </c>
      <c r="S673" s="61" t="str">
        <f aca="false">IF(IsPro,IF($D673="","",L673-R673),"")</f>
        <v/>
      </c>
      <c r="T673" s="60" t="str">
        <f aca="false">IF(IsPro,IF($D673="","",IF(U673="","UNKNOWN ITEM",IF(INDEX(Items!$O$5:$O$504,U673)&lt;0,"NEG STOCK",IF(K673&lt;INDEX(Items!$P$5:$P$504,U673),"BELOW COST","OK")))),IF($D673="","","PRO PLAN"))</f>
        <v/>
      </c>
      <c r="U673" s="60" t="str">
        <f aca="false">IF(IsPro,IF($D673="","",IFERROR(MATCH($D673,Items!$A$5:$A$504,0),"")),"")</f>
        <v/>
      </c>
      <c r="V673" s="60" t="str">
        <f aca="false">IF(IsPro,IF($C673="","",IFERROR(MATCH($C673,Parties!$A$5:$A$304,0),"")),"")</f>
        <v/>
      </c>
      <c r="W673" s="60" t="str">
        <f aca="false">IF(IsPro,IF($B673="","",IFERROR(VALUE(SUBSTITUTE($B673,InvPrefix,"")),0)),"")</f>
        <v/>
      </c>
      <c r="X673" s="61" t="str">
        <f aca="false">IF(IsPro,IF($D673="","",IF(OR($H673="",$H673="Credit"),0,Q673)),"")</f>
        <v/>
      </c>
    </row>
    <row r="674" customFormat="false" ht="15" hidden="false" customHeight="false" outlineLevel="0" collapsed="false">
      <c r="A674" s="55"/>
      <c r="B674" s="56"/>
      <c r="C674" s="56"/>
      <c r="D674" s="56"/>
      <c r="E674" s="57"/>
      <c r="F674" s="58"/>
      <c r="G674" s="59"/>
      <c r="H674" s="56"/>
      <c r="I674" s="56"/>
      <c r="J674" s="60" t="str">
        <f aca="false">IF(IsPro,IF($D674="","",IFERROR(INDEX(Items!$D$5:$D$504,U674),"")),"")</f>
        <v/>
      </c>
      <c r="K674" s="61" t="str">
        <f aca="false">IF(IsPro,IF($D674="","",IF($F674="",IFERROR(INDEX(Items!$H$5:$H$504,U674),0),$F674)),"")</f>
        <v/>
      </c>
      <c r="L674" s="61" t="str">
        <f aca="false">IF(IsPro,IF($D674="","",ROUND(N($E674)*K674*(1-N($G674)),2)),"")</f>
        <v/>
      </c>
      <c r="M674" s="62" t="str">
        <f aca="false">IF(IsPro,IF($D674="","",IFERROR(INDEX(Items!$F$5:$F$504,U674),0)),"")</f>
        <v/>
      </c>
      <c r="N674" s="61" t="str">
        <f aca="false">IF(IsPro,IF($D674="","",IF(AND(V674&lt;&gt;"",INDEX(Parties!$E$5:$E$304,V674)&lt;&gt;"",INDEX(Parties!$E$5:$E$304,V674)&lt;&gt;HomeState),0,ROUND(L674*M674/2,2))),"")</f>
        <v/>
      </c>
      <c r="O674" s="61" t="str">
        <f aca="false">IF(IsPro,IF($D674="","",N674),"")</f>
        <v/>
      </c>
      <c r="P674" s="61" t="str">
        <f aca="false">IF(IsPro,IF($D674="","",IF(AND(V674&lt;&gt;"",INDEX(Parties!$E$5:$E$304,V674)&lt;&gt;"",INDEX(Parties!$E$5:$E$304,V674)&lt;&gt;HomeState),ROUND(L674*M674,2),0)),"")</f>
        <v/>
      </c>
      <c r="Q674" s="61" t="str">
        <f aca="false">IF(IsPro,IF($D674="","",L674+N674+O674+P674),"")</f>
        <v/>
      </c>
      <c r="R674" s="61" t="str">
        <f aca="false">IF(IsPro,IF($D674="","",ROUND(N($E674)*IFERROR(INDEX(Items!$P$5:$P$504,U674),0),2)),"")</f>
        <v/>
      </c>
      <c r="S674" s="61" t="str">
        <f aca="false">IF(IsPro,IF($D674="","",L674-R674),"")</f>
        <v/>
      </c>
      <c r="T674" s="60" t="str">
        <f aca="false">IF(IsPro,IF($D674="","",IF(U674="","UNKNOWN ITEM",IF(INDEX(Items!$O$5:$O$504,U674)&lt;0,"NEG STOCK",IF(K674&lt;INDEX(Items!$P$5:$P$504,U674),"BELOW COST","OK")))),IF($D674="","","PRO PLAN"))</f>
        <v/>
      </c>
      <c r="U674" s="60" t="str">
        <f aca="false">IF(IsPro,IF($D674="","",IFERROR(MATCH($D674,Items!$A$5:$A$504,0),"")),"")</f>
        <v/>
      </c>
      <c r="V674" s="60" t="str">
        <f aca="false">IF(IsPro,IF($C674="","",IFERROR(MATCH($C674,Parties!$A$5:$A$304,0),"")),"")</f>
        <v/>
      </c>
      <c r="W674" s="60" t="str">
        <f aca="false">IF(IsPro,IF($B674="","",IFERROR(VALUE(SUBSTITUTE($B674,InvPrefix,"")),0)),"")</f>
        <v/>
      </c>
      <c r="X674" s="61" t="str">
        <f aca="false">IF(IsPro,IF($D674="","",IF(OR($H674="",$H674="Credit"),0,Q674)),"")</f>
        <v/>
      </c>
    </row>
    <row r="675" customFormat="false" ht="15" hidden="false" customHeight="false" outlineLevel="0" collapsed="false">
      <c r="A675" s="55"/>
      <c r="B675" s="56"/>
      <c r="C675" s="56"/>
      <c r="D675" s="56"/>
      <c r="E675" s="57"/>
      <c r="F675" s="58"/>
      <c r="G675" s="59"/>
      <c r="H675" s="56"/>
      <c r="I675" s="56"/>
      <c r="J675" s="60" t="str">
        <f aca="false">IF(IsPro,IF($D675="","",IFERROR(INDEX(Items!$D$5:$D$504,U675),"")),"")</f>
        <v/>
      </c>
      <c r="K675" s="61" t="str">
        <f aca="false">IF(IsPro,IF($D675="","",IF($F675="",IFERROR(INDEX(Items!$H$5:$H$504,U675),0),$F675)),"")</f>
        <v/>
      </c>
      <c r="L675" s="61" t="str">
        <f aca="false">IF(IsPro,IF($D675="","",ROUND(N($E675)*K675*(1-N($G675)),2)),"")</f>
        <v/>
      </c>
      <c r="M675" s="62" t="str">
        <f aca="false">IF(IsPro,IF($D675="","",IFERROR(INDEX(Items!$F$5:$F$504,U675),0)),"")</f>
        <v/>
      </c>
      <c r="N675" s="61" t="str">
        <f aca="false">IF(IsPro,IF($D675="","",IF(AND(V675&lt;&gt;"",INDEX(Parties!$E$5:$E$304,V675)&lt;&gt;"",INDEX(Parties!$E$5:$E$304,V675)&lt;&gt;HomeState),0,ROUND(L675*M675/2,2))),"")</f>
        <v/>
      </c>
      <c r="O675" s="61" t="str">
        <f aca="false">IF(IsPro,IF($D675="","",N675),"")</f>
        <v/>
      </c>
      <c r="P675" s="61" t="str">
        <f aca="false">IF(IsPro,IF($D675="","",IF(AND(V675&lt;&gt;"",INDEX(Parties!$E$5:$E$304,V675)&lt;&gt;"",INDEX(Parties!$E$5:$E$304,V675)&lt;&gt;HomeState),ROUND(L675*M675,2),0)),"")</f>
        <v/>
      </c>
      <c r="Q675" s="61" t="str">
        <f aca="false">IF(IsPro,IF($D675="","",L675+N675+O675+P675),"")</f>
        <v/>
      </c>
      <c r="R675" s="61" t="str">
        <f aca="false">IF(IsPro,IF($D675="","",ROUND(N($E675)*IFERROR(INDEX(Items!$P$5:$P$504,U675),0),2)),"")</f>
        <v/>
      </c>
      <c r="S675" s="61" t="str">
        <f aca="false">IF(IsPro,IF($D675="","",L675-R675),"")</f>
        <v/>
      </c>
      <c r="T675" s="60" t="str">
        <f aca="false">IF(IsPro,IF($D675="","",IF(U675="","UNKNOWN ITEM",IF(INDEX(Items!$O$5:$O$504,U675)&lt;0,"NEG STOCK",IF(K675&lt;INDEX(Items!$P$5:$P$504,U675),"BELOW COST","OK")))),IF($D675="","","PRO PLAN"))</f>
        <v/>
      </c>
      <c r="U675" s="60" t="str">
        <f aca="false">IF(IsPro,IF($D675="","",IFERROR(MATCH($D675,Items!$A$5:$A$504,0),"")),"")</f>
        <v/>
      </c>
      <c r="V675" s="60" t="str">
        <f aca="false">IF(IsPro,IF($C675="","",IFERROR(MATCH($C675,Parties!$A$5:$A$304,0),"")),"")</f>
        <v/>
      </c>
      <c r="W675" s="60" t="str">
        <f aca="false">IF(IsPro,IF($B675="","",IFERROR(VALUE(SUBSTITUTE($B675,InvPrefix,"")),0)),"")</f>
        <v/>
      </c>
      <c r="X675" s="61" t="str">
        <f aca="false">IF(IsPro,IF($D675="","",IF(OR($H675="",$H675="Credit"),0,Q675)),"")</f>
        <v/>
      </c>
    </row>
    <row r="676" customFormat="false" ht="15" hidden="false" customHeight="false" outlineLevel="0" collapsed="false">
      <c r="A676" s="55"/>
      <c r="B676" s="56"/>
      <c r="C676" s="56"/>
      <c r="D676" s="56"/>
      <c r="E676" s="57"/>
      <c r="F676" s="58"/>
      <c r="G676" s="59"/>
      <c r="H676" s="56"/>
      <c r="I676" s="56"/>
      <c r="J676" s="60" t="str">
        <f aca="false">IF(IsPro,IF($D676="","",IFERROR(INDEX(Items!$D$5:$D$504,U676),"")),"")</f>
        <v/>
      </c>
      <c r="K676" s="61" t="str">
        <f aca="false">IF(IsPro,IF($D676="","",IF($F676="",IFERROR(INDEX(Items!$H$5:$H$504,U676),0),$F676)),"")</f>
        <v/>
      </c>
      <c r="L676" s="61" t="str">
        <f aca="false">IF(IsPro,IF($D676="","",ROUND(N($E676)*K676*(1-N($G676)),2)),"")</f>
        <v/>
      </c>
      <c r="M676" s="62" t="str">
        <f aca="false">IF(IsPro,IF($D676="","",IFERROR(INDEX(Items!$F$5:$F$504,U676),0)),"")</f>
        <v/>
      </c>
      <c r="N676" s="61" t="str">
        <f aca="false">IF(IsPro,IF($D676="","",IF(AND(V676&lt;&gt;"",INDEX(Parties!$E$5:$E$304,V676)&lt;&gt;"",INDEX(Parties!$E$5:$E$304,V676)&lt;&gt;HomeState),0,ROUND(L676*M676/2,2))),"")</f>
        <v/>
      </c>
      <c r="O676" s="61" t="str">
        <f aca="false">IF(IsPro,IF($D676="","",N676),"")</f>
        <v/>
      </c>
      <c r="P676" s="61" t="str">
        <f aca="false">IF(IsPro,IF($D676="","",IF(AND(V676&lt;&gt;"",INDEX(Parties!$E$5:$E$304,V676)&lt;&gt;"",INDEX(Parties!$E$5:$E$304,V676)&lt;&gt;HomeState),ROUND(L676*M676,2),0)),"")</f>
        <v/>
      </c>
      <c r="Q676" s="61" t="str">
        <f aca="false">IF(IsPro,IF($D676="","",L676+N676+O676+P676),"")</f>
        <v/>
      </c>
      <c r="R676" s="61" t="str">
        <f aca="false">IF(IsPro,IF($D676="","",ROUND(N($E676)*IFERROR(INDEX(Items!$P$5:$P$504,U676),0),2)),"")</f>
        <v/>
      </c>
      <c r="S676" s="61" t="str">
        <f aca="false">IF(IsPro,IF($D676="","",L676-R676),"")</f>
        <v/>
      </c>
      <c r="T676" s="60" t="str">
        <f aca="false">IF(IsPro,IF($D676="","",IF(U676="","UNKNOWN ITEM",IF(INDEX(Items!$O$5:$O$504,U676)&lt;0,"NEG STOCK",IF(K676&lt;INDEX(Items!$P$5:$P$504,U676),"BELOW COST","OK")))),IF($D676="","","PRO PLAN"))</f>
        <v/>
      </c>
      <c r="U676" s="60" t="str">
        <f aca="false">IF(IsPro,IF($D676="","",IFERROR(MATCH($D676,Items!$A$5:$A$504,0),"")),"")</f>
        <v/>
      </c>
      <c r="V676" s="60" t="str">
        <f aca="false">IF(IsPro,IF($C676="","",IFERROR(MATCH($C676,Parties!$A$5:$A$304,0),"")),"")</f>
        <v/>
      </c>
      <c r="W676" s="60" t="str">
        <f aca="false">IF(IsPro,IF($B676="","",IFERROR(VALUE(SUBSTITUTE($B676,InvPrefix,"")),0)),"")</f>
        <v/>
      </c>
      <c r="X676" s="61" t="str">
        <f aca="false">IF(IsPro,IF($D676="","",IF(OR($H676="",$H676="Credit"),0,Q676)),"")</f>
        <v/>
      </c>
    </row>
    <row r="677" customFormat="false" ht="15" hidden="false" customHeight="false" outlineLevel="0" collapsed="false">
      <c r="A677" s="55"/>
      <c r="B677" s="56"/>
      <c r="C677" s="56"/>
      <c r="D677" s="56"/>
      <c r="E677" s="57"/>
      <c r="F677" s="58"/>
      <c r="G677" s="59"/>
      <c r="H677" s="56"/>
      <c r="I677" s="56"/>
      <c r="J677" s="60" t="str">
        <f aca="false">IF(IsPro,IF($D677="","",IFERROR(INDEX(Items!$D$5:$D$504,U677),"")),"")</f>
        <v/>
      </c>
      <c r="K677" s="61" t="str">
        <f aca="false">IF(IsPro,IF($D677="","",IF($F677="",IFERROR(INDEX(Items!$H$5:$H$504,U677),0),$F677)),"")</f>
        <v/>
      </c>
      <c r="L677" s="61" t="str">
        <f aca="false">IF(IsPro,IF($D677="","",ROUND(N($E677)*K677*(1-N($G677)),2)),"")</f>
        <v/>
      </c>
      <c r="M677" s="62" t="str">
        <f aca="false">IF(IsPro,IF($D677="","",IFERROR(INDEX(Items!$F$5:$F$504,U677),0)),"")</f>
        <v/>
      </c>
      <c r="N677" s="61" t="str">
        <f aca="false">IF(IsPro,IF($D677="","",IF(AND(V677&lt;&gt;"",INDEX(Parties!$E$5:$E$304,V677)&lt;&gt;"",INDEX(Parties!$E$5:$E$304,V677)&lt;&gt;HomeState),0,ROUND(L677*M677/2,2))),"")</f>
        <v/>
      </c>
      <c r="O677" s="61" t="str">
        <f aca="false">IF(IsPro,IF($D677="","",N677),"")</f>
        <v/>
      </c>
      <c r="P677" s="61" t="str">
        <f aca="false">IF(IsPro,IF($D677="","",IF(AND(V677&lt;&gt;"",INDEX(Parties!$E$5:$E$304,V677)&lt;&gt;"",INDEX(Parties!$E$5:$E$304,V677)&lt;&gt;HomeState),ROUND(L677*M677,2),0)),"")</f>
        <v/>
      </c>
      <c r="Q677" s="61" t="str">
        <f aca="false">IF(IsPro,IF($D677="","",L677+N677+O677+P677),"")</f>
        <v/>
      </c>
      <c r="R677" s="61" t="str">
        <f aca="false">IF(IsPro,IF($D677="","",ROUND(N($E677)*IFERROR(INDEX(Items!$P$5:$P$504,U677),0),2)),"")</f>
        <v/>
      </c>
      <c r="S677" s="61" t="str">
        <f aca="false">IF(IsPro,IF($D677="","",L677-R677),"")</f>
        <v/>
      </c>
      <c r="T677" s="60" t="str">
        <f aca="false">IF(IsPro,IF($D677="","",IF(U677="","UNKNOWN ITEM",IF(INDEX(Items!$O$5:$O$504,U677)&lt;0,"NEG STOCK",IF(K677&lt;INDEX(Items!$P$5:$P$504,U677),"BELOW COST","OK")))),IF($D677="","","PRO PLAN"))</f>
        <v/>
      </c>
      <c r="U677" s="60" t="str">
        <f aca="false">IF(IsPro,IF($D677="","",IFERROR(MATCH($D677,Items!$A$5:$A$504,0),"")),"")</f>
        <v/>
      </c>
      <c r="V677" s="60" t="str">
        <f aca="false">IF(IsPro,IF($C677="","",IFERROR(MATCH($C677,Parties!$A$5:$A$304,0),"")),"")</f>
        <v/>
      </c>
      <c r="W677" s="60" t="str">
        <f aca="false">IF(IsPro,IF($B677="","",IFERROR(VALUE(SUBSTITUTE($B677,InvPrefix,"")),0)),"")</f>
        <v/>
      </c>
      <c r="X677" s="61" t="str">
        <f aca="false">IF(IsPro,IF($D677="","",IF(OR($H677="",$H677="Credit"),0,Q677)),"")</f>
        <v/>
      </c>
    </row>
    <row r="678" customFormat="false" ht="15" hidden="false" customHeight="false" outlineLevel="0" collapsed="false">
      <c r="A678" s="55"/>
      <c r="B678" s="56"/>
      <c r="C678" s="56"/>
      <c r="D678" s="56"/>
      <c r="E678" s="57"/>
      <c r="F678" s="58"/>
      <c r="G678" s="59"/>
      <c r="H678" s="56"/>
      <c r="I678" s="56"/>
      <c r="J678" s="60" t="str">
        <f aca="false">IF(IsPro,IF($D678="","",IFERROR(INDEX(Items!$D$5:$D$504,U678),"")),"")</f>
        <v/>
      </c>
      <c r="K678" s="61" t="str">
        <f aca="false">IF(IsPro,IF($D678="","",IF($F678="",IFERROR(INDEX(Items!$H$5:$H$504,U678),0),$F678)),"")</f>
        <v/>
      </c>
      <c r="L678" s="61" t="str">
        <f aca="false">IF(IsPro,IF($D678="","",ROUND(N($E678)*K678*(1-N($G678)),2)),"")</f>
        <v/>
      </c>
      <c r="M678" s="62" t="str">
        <f aca="false">IF(IsPro,IF($D678="","",IFERROR(INDEX(Items!$F$5:$F$504,U678),0)),"")</f>
        <v/>
      </c>
      <c r="N678" s="61" t="str">
        <f aca="false">IF(IsPro,IF($D678="","",IF(AND(V678&lt;&gt;"",INDEX(Parties!$E$5:$E$304,V678)&lt;&gt;"",INDEX(Parties!$E$5:$E$304,V678)&lt;&gt;HomeState),0,ROUND(L678*M678/2,2))),"")</f>
        <v/>
      </c>
      <c r="O678" s="61" t="str">
        <f aca="false">IF(IsPro,IF($D678="","",N678),"")</f>
        <v/>
      </c>
      <c r="P678" s="61" t="str">
        <f aca="false">IF(IsPro,IF($D678="","",IF(AND(V678&lt;&gt;"",INDEX(Parties!$E$5:$E$304,V678)&lt;&gt;"",INDEX(Parties!$E$5:$E$304,V678)&lt;&gt;HomeState),ROUND(L678*M678,2),0)),"")</f>
        <v/>
      </c>
      <c r="Q678" s="61" t="str">
        <f aca="false">IF(IsPro,IF($D678="","",L678+N678+O678+P678),"")</f>
        <v/>
      </c>
      <c r="R678" s="61" t="str">
        <f aca="false">IF(IsPro,IF($D678="","",ROUND(N($E678)*IFERROR(INDEX(Items!$P$5:$P$504,U678),0),2)),"")</f>
        <v/>
      </c>
      <c r="S678" s="61" t="str">
        <f aca="false">IF(IsPro,IF($D678="","",L678-R678),"")</f>
        <v/>
      </c>
      <c r="T678" s="60" t="str">
        <f aca="false">IF(IsPro,IF($D678="","",IF(U678="","UNKNOWN ITEM",IF(INDEX(Items!$O$5:$O$504,U678)&lt;0,"NEG STOCK",IF(K678&lt;INDEX(Items!$P$5:$P$504,U678),"BELOW COST","OK")))),IF($D678="","","PRO PLAN"))</f>
        <v/>
      </c>
      <c r="U678" s="60" t="str">
        <f aca="false">IF(IsPro,IF($D678="","",IFERROR(MATCH($D678,Items!$A$5:$A$504,0),"")),"")</f>
        <v/>
      </c>
      <c r="V678" s="60" t="str">
        <f aca="false">IF(IsPro,IF($C678="","",IFERROR(MATCH($C678,Parties!$A$5:$A$304,0),"")),"")</f>
        <v/>
      </c>
      <c r="W678" s="60" t="str">
        <f aca="false">IF(IsPro,IF($B678="","",IFERROR(VALUE(SUBSTITUTE($B678,InvPrefix,"")),0)),"")</f>
        <v/>
      </c>
      <c r="X678" s="61" t="str">
        <f aca="false">IF(IsPro,IF($D678="","",IF(OR($H678="",$H678="Credit"),0,Q678)),"")</f>
        <v/>
      </c>
    </row>
    <row r="679" customFormat="false" ht="15" hidden="false" customHeight="false" outlineLevel="0" collapsed="false">
      <c r="A679" s="55"/>
      <c r="B679" s="56"/>
      <c r="C679" s="56"/>
      <c r="D679" s="56"/>
      <c r="E679" s="57"/>
      <c r="F679" s="58"/>
      <c r="G679" s="59"/>
      <c r="H679" s="56"/>
      <c r="I679" s="56"/>
      <c r="J679" s="60" t="str">
        <f aca="false">IF(IsPro,IF($D679="","",IFERROR(INDEX(Items!$D$5:$D$504,U679),"")),"")</f>
        <v/>
      </c>
      <c r="K679" s="61" t="str">
        <f aca="false">IF(IsPro,IF($D679="","",IF($F679="",IFERROR(INDEX(Items!$H$5:$H$504,U679),0),$F679)),"")</f>
        <v/>
      </c>
      <c r="L679" s="61" t="str">
        <f aca="false">IF(IsPro,IF($D679="","",ROUND(N($E679)*K679*(1-N($G679)),2)),"")</f>
        <v/>
      </c>
      <c r="M679" s="62" t="str">
        <f aca="false">IF(IsPro,IF($D679="","",IFERROR(INDEX(Items!$F$5:$F$504,U679),0)),"")</f>
        <v/>
      </c>
      <c r="N679" s="61" t="str">
        <f aca="false">IF(IsPro,IF($D679="","",IF(AND(V679&lt;&gt;"",INDEX(Parties!$E$5:$E$304,V679)&lt;&gt;"",INDEX(Parties!$E$5:$E$304,V679)&lt;&gt;HomeState),0,ROUND(L679*M679/2,2))),"")</f>
        <v/>
      </c>
      <c r="O679" s="61" t="str">
        <f aca="false">IF(IsPro,IF($D679="","",N679),"")</f>
        <v/>
      </c>
      <c r="P679" s="61" t="str">
        <f aca="false">IF(IsPro,IF($D679="","",IF(AND(V679&lt;&gt;"",INDEX(Parties!$E$5:$E$304,V679)&lt;&gt;"",INDEX(Parties!$E$5:$E$304,V679)&lt;&gt;HomeState),ROUND(L679*M679,2),0)),"")</f>
        <v/>
      </c>
      <c r="Q679" s="61" t="str">
        <f aca="false">IF(IsPro,IF($D679="","",L679+N679+O679+P679),"")</f>
        <v/>
      </c>
      <c r="R679" s="61" t="str">
        <f aca="false">IF(IsPro,IF($D679="","",ROUND(N($E679)*IFERROR(INDEX(Items!$P$5:$P$504,U679),0),2)),"")</f>
        <v/>
      </c>
      <c r="S679" s="61" t="str">
        <f aca="false">IF(IsPro,IF($D679="","",L679-R679),"")</f>
        <v/>
      </c>
      <c r="T679" s="60" t="str">
        <f aca="false">IF(IsPro,IF($D679="","",IF(U679="","UNKNOWN ITEM",IF(INDEX(Items!$O$5:$O$504,U679)&lt;0,"NEG STOCK",IF(K679&lt;INDEX(Items!$P$5:$P$504,U679),"BELOW COST","OK")))),IF($D679="","","PRO PLAN"))</f>
        <v/>
      </c>
      <c r="U679" s="60" t="str">
        <f aca="false">IF(IsPro,IF($D679="","",IFERROR(MATCH($D679,Items!$A$5:$A$504,0),"")),"")</f>
        <v/>
      </c>
      <c r="V679" s="60" t="str">
        <f aca="false">IF(IsPro,IF($C679="","",IFERROR(MATCH($C679,Parties!$A$5:$A$304,0),"")),"")</f>
        <v/>
      </c>
      <c r="W679" s="60" t="str">
        <f aca="false">IF(IsPro,IF($B679="","",IFERROR(VALUE(SUBSTITUTE($B679,InvPrefix,"")),0)),"")</f>
        <v/>
      </c>
      <c r="X679" s="61" t="str">
        <f aca="false">IF(IsPro,IF($D679="","",IF(OR($H679="",$H679="Credit"),0,Q679)),"")</f>
        <v/>
      </c>
    </row>
    <row r="680" customFormat="false" ht="15" hidden="false" customHeight="false" outlineLevel="0" collapsed="false">
      <c r="A680" s="55"/>
      <c r="B680" s="56"/>
      <c r="C680" s="56"/>
      <c r="D680" s="56"/>
      <c r="E680" s="57"/>
      <c r="F680" s="58"/>
      <c r="G680" s="59"/>
      <c r="H680" s="56"/>
      <c r="I680" s="56"/>
      <c r="J680" s="60" t="str">
        <f aca="false">IF(IsPro,IF($D680="","",IFERROR(INDEX(Items!$D$5:$D$504,U680),"")),"")</f>
        <v/>
      </c>
      <c r="K680" s="61" t="str">
        <f aca="false">IF(IsPro,IF($D680="","",IF($F680="",IFERROR(INDEX(Items!$H$5:$H$504,U680),0),$F680)),"")</f>
        <v/>
      </c>
      <c r="L680" s="61" t="str">
        <f aca="false">IF(IsPro,IF($D680="","",ROUND(N($E680)*K680*(1-N($G680)),2)),"")</f>
        <v/>
      </c>
      <c r="M680" s="62" t="str">
        <f aca="false">IF(IsPro,IF($D680="","",IFERROR(INDEX(Items!$F$5:$F$504,U680),0)),"")</f>
        <v/>
      </c>
      <c r="N680" s="61" t="str">
        <f aca="false">IF(IsPro,IF($D680="","",IF(AND(V680&lt;&gt;"",INDEX(Parties!$E$5:$E$304,V680)&lt;&gt;"",INDEX(Parties!$E$5:$E$304,V680)&lt;&gt;HomeState),0,ROUND(L680*M680/2,2))),"")</f>
        <v/>
      </c>
      <c r="O680" s="61" t="str">
        <f aca="false">IF(IsPro,IF($D680="","",N680),"")</f>
        <v/>
      </c>
      <c r="P680" s="61" t="str">
        <f aca="false">IF(IsPro,IF($D680="","",IF(AND(V680&lt;&gt;"",INDEX(Parties!$E$5:$E$304,V680)&lt;&gt;"",INDEX(Parties!$E$5:$E$304,V680)&lt;&gt;HomeState),ROUND(L680*M680,2),0)),"")</f>
        <v/>
      </c>
      <c r="Q680" s="61" t="str">
        <f aca="false">IF(IsPro,IF($D680="","",L680+N680+O680+P680),"")</f>
        <v/>
      </c>
      <c r="R680" s="61" t="str">
        <f aca="false">IF(IsPro,IF($D680="","",ROUND(N($E680)*IFERROR(INDEX(Items!$P$5:$P$504,U680),0),2)),"")</f>
        <v/>
      </c>
      <c r="S680" s="61" t="str">
        <f aca="false">IF(IsPro,IF($D680="","",L680-R680),"")</f>
        <v/>
      </c>
      <c r="T680" s="60" t="str">
        <f aca="false">IF(IsPro,IF($D680="","",IF(U680="","UNKNOWN ITEM",IF(INDEX(Items!$O$5:$O$504,U680)&lt;0,"NEG STOCK",IF(K680&lt;INDEX(Items!$P$5:$P$504,U680),"BELOW COST","OK")))),IF($D680="","","PRO PLAN"))</f>
        <v/>
      </c>
      <c r="U680" s="60" t="str">
        <f aca="false">IF(IsPro,IF($D680="","",IFERROR(MATCH($D680,Items!$A$5:$A$504,0),"")),"")</f>
        <v/>
      </c>
      <c r="V680" s="60" t="str">
        <f aca="false">IF(IsPro,IF($C680="","",IFERROR(MATCH($C680,Parties!$A$5:$A$304,0),"")),"")</f>
        <v/>
      </c>
      <c r="W680" s="60" t="str">
        <f aca="false">IF(IsPro,IF($B680="","",IFERROR(VALUE(SUBSTITUTE($B680,InvPrefix,"")),0)),"")</f>
        <v/>
      </c>
      <c r="X680" s="61" t="str">
        <f aca="false">IF(IsPro,IF($D680="","",IF(OR($H680="",$H680="Credit"),0,Q680)),"")</f>
        <v/>
      </c>
    </row>
    <row r="681" customFormat="false" ht="15" hidden="false" customHeight="false" outlineLevel="0" collapsed="false">
      <c r="A681" s="55"/>
      <c r="B681" s="56"/>
      <c r="C681" s="56"/>
      <c r="D681" s="56"/>
      <c r="E681" s="57"/>
      <c r="F681" s="58"/>
      <c r="G681" s="59"/>
      <c r="H681" s="56"/>
      <c r="I681" s="56"/>
      <c r="J681" s="60" t="str">
        <f aca="false">IF(IsPro,IF($D681="","",IFERROR(INDEX(Items!$D$5:$D$504,U681),"")),"")</f>
        <v/>
      </c>
      <c r="K681" s="61" t="str">
        <f aca="false">IF(IsPro,IF($D681="","",IF($F681="",IFERROR(INDEX(Items!$H$5:$H$504,U681),0),$F681)),"")</f>
        <v/>
      </c>
      <c r="L681" s="61" t="str">
        <f aca="false">IF(IsPro,IF($D681="","",ROUND(N($E681)*K681*(1-N($G681)),2)),"")</f>
        <v/>
      </c>
      <c r="M681" s="62" t="str">
        <f aca="false">IF(IsPro,IF($D681="","",IFERROR(INDEX(Items!$F$5:$F$504,U681),0)),"")</f>
        <v/>
      </c>
      <c r="N681" s="61" t="str">
        <f aca="false">IF(IsPro,IF($D681="","",IF(AND(V681&lt;&gt;"",INDEX(Parties!$E$5:$E$304,V681)&lt;&gt;"",INDEX(Parties!$E$5:$E$304,V681)&lt;&gt;HomeState),0,ROUND(L681*M681/2,2))),"")</f>
        <v/>
      </c>
      <c r="O681" s="61" t="str">
        <f aca="false">IF(IsPro,IF($D681="","",N681),"")</f>
        <v/>
      </c>
      <c r="P681" s="61" t="str">
        <f aca="false">IF(IsPro,IF($D681="","",IF(AND(V681&lt;&gt;"",INDEX(Parties!$E$5:$E$304,V681)&lt;&gt;"",INDEX(Parties!$E$5:$E$304,V681)&lt;&gt;HomeState),ROUND(L681*M681,2),0)),"")</f>
        <v/>
      </c>
      <c r="Q681" s="61" t="str">
        <f aca="false">IF(IsPro,IF($D681="","",L681+N681+O681+P681),"")</f>
        <v/>
      </c>
      <c r="R681" s="61" t="str">
        <f aca="false">IF(IsPro,IF($D681="","",ROUND(N($E681)*IFERROR(INDEX(Items!$P$5:$P$504,U681),0),2)),"")</f>
        <v/>
      </c>
      <c r="S681" s="61" t="str">
        <f aca="false">IF(IsPro,IF($D681="","",L681-R681),"")</f>
        <v/>
      </c>
      <c r="T681" s="60" t="str">
        <f aca="false">IF(IsPro,IF($D681="","",IF(U681="","UNKNOWN ITEM",IF(INDEX(Items!$O$5:$O$504,U681)&lt;0,"NEG STOCK",IF(K681&lt;INDEX(Items!$P$5:$P$504,U681),"BELOW COST","OK")))),IF($D681="","","PRO PLAN"))</f>
        <v/>
      </c>
      <c r="U681" s="60" t="str">
        <f aca="false">IF(IsPro,IF($D681="","",IFERROR(MATCH($D681,Items!$A$5:$A$504,0),"")),"")</f>
        <v/>
      </c>
      <c r="V681" s="60" t="str">
        <f aca="false">IF(IsPro,IF($C681="","",IFERROR(MATCH($C681,Parties!$A$5:$A$304,0),"")),"")</f>
        <v/>
      </c>
      <c r="W681" s="60" t="str">
        <f aca="false">IF(IsPro,IF($B681="","",IFERROR(VALUE(SUBSTITUTE($B681,InvPrefix,"")),0)),"")</f>
        <v/>
      </c>
      <c r="X681" s="61" t="str">
        <f aca="false">IF(IsPro,IF($D681="","",IF(OR($H681="",$H681="Credit"),0,Q681)),"")</f>
        <v/>
      </c>
    </row>
    <row r="682" customFormat="false" ht="15" hidden="false" customHeight="false" outlineLevel="0" collapsed="false">
      <c r="A682" s="55"/>
      <c r="B682" s="56"/>
      <c r="C682" s="56"/>
      <c r="D682" s="56"/>
      <c r="E682" s="57"/>
      <c r="F682" s="58"/>
      <c r="G682" s="59"/>
      <c r="H682" s="56"/>
      <c r="I682" s="56"/>
      <c r="J682" s="60" t="str">
        <f aca="false">IF(IsPro,IF($D682="","",IFERROR(INDEX(Items!$D$5:$D$504,U682),"")),"")</f>
        <v/>
      </c>
      <c r="K682" s="61" t="str">
        <f aca="false">IF(IsPro,IF($D682="","",IF($F682="",IFERROR(INDEX(Items!$H$5:$H$504,U682),0),$F682)),"")</f>
        <v/>
      </c>
      <c r="L682" s="61" t="str">
        <f aca="false">IF(IsPro,IF($D682="","",ROUND(N($E682)*K682*(1-N($G682)),2)),"")</f>
        <v/>
      </c>
      <c r="M682" s="62" t="str">
        <f aca="false">IF(IsPro,IF($D682="","",IFERROR(INDEX(Items!$F$5:$F$504,U682),0)),"")</f>
        <v/>
      </c>
      <c r="N682" s="61" t="str">
        <f aca="false">IF(IsPro,IF($D682="","",IF(AND(V682&lt;&gt;"",INDEX(Parties!$E$5:$E$304,V682)&lt;&gt;"",INDEX(Parties!$E$5:$E$304,V682)&lt;&gt;HomeState),0,ROUND(L682*M682/2,2))),"")</f>
        <v/>
      </c>
      <c r="O682" s="61" t="str">
        <f aca="false">IF(IsPro,IF($D682="","",N682),"")</f>
        <v/>
      </c>
      <c r="P682" s="61" t="str">
        <f aca="false">IF(IsPro,IF($D682="","",IF(AND(V682&lt;&gt;"",INDEX(Parties!$E$5:$E$304,V682)&lt;&gt;"",INDEX(Parties!$E$5:$E$304,V682)&lt;&gt;HomeState),ROUND(L682*M682,2),0)),"")</f>
        <v/>
      </c>
      <c r="Q682" s="61" t="str">
        <f aca="false">IF(IsPro,IF($D682="","",L682+N682+O682+P682),"")</f>
        <v/>
      </c>
      <c r="R682" s="61" t="str">
        <f aca="false">IF(IsPro,IF($D682="","",ROUND(N($E682)*IFERROR(INDEX(Items!$P$5:$P$504,U682),0),2)),"")</f>
        <v/>
      </c>
      <c r="S682" s="61" t="str">
        <f aca="false">IF(IsPro,IF($D682="","",L682-R682),"")</f>
        <v/>
      </c>
      <c r="T682" s="60" t="str">
        <f aca="false">IF(IsPro,IF($D682="","",IF(U682="","UNKNOWN ITEM",IF(INDEX(Items!$O$5:$O$504,U682)&lt;0,"NEG STOCK",IF(K682&lt;INDEX(Items!$P$5:$P$504,U682),"BELOW COST","OK")))),IF($D682="","","PRO PLAN"))</f>
        <v/>
      </c>
      <c r="U682" s="60" t="str">
        <f aca="false">IF(IsPro,IF($D682="","",IFERROR(MATCH($D682,Items!$A$5:$A$504,0),"")),"")</f>
        <v/>
      </c>
      <c r="V682" s="60" t="str">
        <f aca="false">IF(IsPro,IF($C682="","",IFERROR(MATCH($C682,Parties!$A$5:$A$304,0),"")),"")</f>
        <v/>
      </c>
      <c r="W682" s="60" t="str">
        <f aca="false">IF(IsPro,IF($B682="","",IFERROR(VALUE(SUBSTITUTE($B682,InvPrefix,"")),0)),"")</f>
        <v/>
      </c>
      <c r="X682" s="61" t="str">
        <f aca="false">IF(IsPro,IF($D682="","",IF(OR($H682="",$H682="Credit"),0,Q682)),"")</f>
        <v/>
      </c>
    </row>
    <row r="683" customFormat="false" ht="15" hidden="false" customHeight="false" outlineLevel="0" collapsed="false">
      <c r="A683" s="55"/>
      <c r="B683" s="56"/>
      <c r="C683" s="56"/>
      <c r="D683" s="56"/>
      <c r="E683" s="57"/>
      <c r="F683" s="58"/>
      <c r="G683" s="59"/>
      <c r="H683" s="56"/>
      <c r="I683" s="56"/>
      <c r="J683" s="60" t="str">
        <f aca="false">IF(IsPro,IF($D683="","",IFERROR(INDEX(Items!$D$5:$D$504,U683),"")),"")</f>
        <v/>
      </c>
      <c r="K683" s="61" t="str">
        <f aca="false">IF(IsPro,IF($D683="","",IF($F683="",IFERROR(INDEX(Items!$H$5:$H$504,U683),0),$F683)),"")</f>
        <v/>
      </c>
      <c r="L683" s="61" t="str">
        <f aca="false">IF(IsPro,IF($D683="","",ROUND(N($E683)*K683*(1-N($G683)),2)),"")</f>
        <v/>
      </c>
      <c r="M683" s="62" t="str">
        <f aca="false">IF(IsPro,IF($D683="","",IFERROR(INDEX(Items!$F$5:$F$504,U683),0)),"")</f>
        <v/>
      </c>
      <c r="N683" s="61" t="str">
        <f aca="false">IF(IsPro,IF($D683="","",IF(AND(V683&lt;&gt;"",INDEX(Parties!$E$5:$E$304,V683)&lt;&gt;"",INDEX(Parties!$E$5:$E$304,V683)&lt;&gt;HomeState),0,ROUND(L683*M683/2,2))),"")</f>
        <v/>
      </c>
      <c r="O683" s="61" t="str">
        <f aca="false">IF(IsPro,IF($D683="","",N683),"")</f>
        <v/>
      </c>
      <c r="P683" s="61" t="str">
        <f aca="false">IF(IsPro,IF($D683="","",IF(AND(V683&lt;&gt;"",INDEX(Parties!$E$5:$E$304,V683)&lt;&gt;"",INDEX(Parties!$E$5:$E$304,V683)&lt;&gt;HomeState),ROUND(L683*M683,2),0)),"")</f>
        <v/>
      </c>
      <c r="Q683" s="61" t="str">
        <f aca="false">IF(IsPro,IF($D683="","",L683+N683+O683+P683),"")</f>
        <v/>
      </c>
      <c r="R683" s="61" t="str">
        <f aca="false">IF(IsPro,IF($D683="","",ROUND(N($E683)*IFERROR(INDEX(Items!$P$5:$P$504,U683),0),2)),"")</f>
        <v/>
      </c>
      <c r="S683" s="61" t="str">
        <f aca="false">IF(IsPro,IF($D683="","",L683-R683),"")</f>
        <v/>
      </c>
      <c r="T683" s="60" t="str">
        <f aca="false">IF(IsPro,IF($D683="","",IF(U683="","UNKNOWN ITEM",IF(INDEX(Items!$O$5:$O$504,U683)&lt;0,"NEG STOCK",IF(K683&lt;INDEX(Items!$P$5:$P$504,U683),"BELOW COST","OK")))),IF($D683="","","PRO PLAN"))</f>
        <v/>
      </c>
      <c r="U683" s="60" t="str">
        <f aca="false">IF(IsPro,IF($D683="","",IFERROR(MATCH($D683,Items!$A$5:$A$504,0),"")),"")</f>
        <v/>
      </c>
      <c r="V683" s="60" t="str">
        <f aca="false">IF(IsPro,IF($C683="","",IFERROR(MATCH($C683,Parties!$A$5:$A$304,0),"")),"")</f>
        <v/>
      </c>
      <c r="W683" s="60" t="str">
        <f aca="false">IF(IsPro,IF($B683="","",IFERROR(VALUE(SUBSTITUTE($B683,InvPrefix,"")),0)),"")</f>
        <v/>
      </c>
      <c r="X683" s="61" t="str">
        <f aca="false">IF(IsPro,IF($D683="","",IF(OR($H683="",$H683="Credit"),0,Q683)),"")</f>
        <v/>
      </c>
    </row>
    <row r="684" customFormat="false" ht="15" hidden="false" customHeight="false" outlineLevel="0" collapsed="false">
      <c r="A684" s="55"/>
      <c r="B684" s="56"/>
      <c r="C684" s="56"/>
      <c r="D684" s="56"/>
      <c r="E684" s="57"/>
      <c r="F684" s="58"/>
      <c r="G684" s="59"/>
      <c r="H684" s="56"/>
      <c r="I684" s="56"/>
      <c r="J684" s="60" t="str">
        <f aca="false">IF(IsPro,IF($D684="","",IFERROR(INDEX(Items!$D$5:$D$504,U684),"")),"")</f>
        <v/>
      </c>
      <c r="K684" s="61" t="str">
        <f aca="false">IF(IsPro,IF($D684="","",IF($F684="",IFERROR(INDEX(Items!$H$5:$H$504,U684),0),$F684)),"")</f>
        <v/>
      </c>
      <c r="L684" s="61" t="str">
        <f aca="false">IF(IsPro,IF($D684="","",ROUND(N($E684)*K684*(1-N($G684)),2)),"")</f>
        <v/>
      </c>
      <c r="M684" s="62" t="str">
        <f aca="false">IF(IsPro,IF($D684="","",IFERROR(INDEX(Items!$F$5:$F$504,U684),0)),"")</f>
        <v/>
      </c>
      <c r="N684" s="61" t="str">
        <f aca="false">IF(IsPro,IF($D684="","",IF(AND(V684&lt;&gt;"",INDEX(Parties!$E$5:$E$304,V684)&lt;&gt;"",INDEX(Parties!$E$5:$E$304,V684)&lt;&gt;HomeState),0,ROUND(L684*M684/2,2))),"")</f>
        <v/>
      </c>
      <c r="O684" s="61" t="str">
        <f aca="false">IF(IsPro,IF($D684="","",N684),"")</f>
        <v/>
      </c>
      <c r="P684" s="61" t="str">
        <f aca="false">IF(IsPro,IF($D684="","",IF(AND(V684&lt;&gt;"",INDEX(Parties!$E$5:$E$304,V684)&lt;&gt;"",INDEX(Parties!$E$5:$E$304,V684)&lt;&gt;HomeState),ROUND(L684*M684,2),0)),"")</f>
        <v/>
      </c>
      <c r="Q684" s="61" t="str">
        <f aca="false">IF(IsPro,IF($D684="","",L684+N684+O684+P684),"")</f>
        <v/>
      </c>
      <c r="R684" s="61" t="str">
        <f aca="false">IF(IsPro,IF($D684="","",ROUND(N($E684)*IFERROR(INDEX(Items!$P$5:$P$504,U684),0),2)),"")</f>
        <v/>
      </c>
      <c r="S684" s="61" t="str">
        <f aca="false">IF(IsPro,IF($D684="","",L684-R684),"")</f>
        <v/>
      </c>
      <c r="T684" s="60" t="str">
        <f aca="false">IF(IsPro,IF($D684="","",IF(U684="","UNKNOWN ITEM",IF(INDEX(Items!$O$5:$O$504,U684)&lt;0,"NEG STOCK",IF(K684&lt;INDEX(Items!$P$5:$P$504,U684),"BELOW COST","OK")))),IF($D684="","","PRO PLAN"))</f>
        <v/>
      </c>
      <c r="U684" s="60" t="str">
        <f aca="false">IF(IsPro,IF($D684="","",IFERROR(MATCH($D684,Items!$A$5:$A$504,0),"")),"")</f>
        <v/>
      </c>
      <c r="V684" s="60" t="str">
        <f aca="false">IF(IsPro,IF($C684="","",IFERROR(MATCH($C684,Parties!$A$5:$A$304,0),"")),"")</f>
        <v/>
      </c>
      <c r="W684" s="60" t="str">
        <f aca="false">IF(IsPro,IF($B684="","",IFERROR(VALUE(SUBSTITUTE($B684,InvPrefix,"")),0)),"")</f>
        <v/>
      </c>
      <c r="X684" s="61" t="str">
        <f aca="false">IF(IsPro,IF($D684="","",IF(OR($H684="",$H684="Credit"),0,Q684)),"")</f>
        <v/>
      </c>
    </row>
    <row r="685" customFormat="false" ht="15" hidden="false" customHeight="false" outlineLevel="0" collapsed="false">
      <c r="A685" s="55"/>
      <c r="B685" s="56"/>
      <c r="C685" s="56"/>
      <c r="D685" s="56"/>
      <c r="E685" s="57"/>
      <c r="F685" s="58"/>
      <c r="G685" s="59"/>
      <c r="H685" s="56"/>
      <c r="I685" s="56"/>
      <c r="J685" s="60" t="str">
        <f aca="false">IF(IsPro,IF($D685="","",IFERROR(INDEX(Items!$D$5:$D$504,U685),"")),"")</f>
        <v/>
      </c>
      <c r="K685" s="61" t="str">
        <f aca="false">IF(IsPro,IF($D685="","",IF($F685="",IFERROR(INDEX(Items!$H$5:$H$504,U685),0),$F685)),"")</f>
        <v/>
      </c>
      <c r="L685" s="61" t="str">
        <f aca="false">IF(IsPro,IF($D685="","",ROUND(N($E685)*K685*(1-N($G685)),2)),"")</f>
        <v/>
      </c>
      <c r="M685" s="62" t="str">
        <f aca="false">IF(IsPro,IF($D685="","",IFERROR(INDEX(Items!$F$5:$F$504,U685),0)),"")</f>
        <v/>
      </c>
      <c r="N685" s="61" t="str">
        <f aca="false">IF(IsPro,IF($D685="","",IF(AND(V685&lt;&gt;"",INDEX(Parties!$E$5:$E$304,V685)&lt;&gt;"",INDEX(Parties!$E$5:$E$304,V685)&lt;&gt;HomeState),0,ROUND(L685*M685/2,2))),"")</f>
        <v/>
      </c>
      <c r="O685" s="61" t="str">
        <f aca="false">IF(IsPro,IF($D685="","",N685),"")</f>
        <v/>
      </c>
      <c r="P685" s="61" t="str">
        <f aca="false">IF(IsPro,IF($D685="","",IF(AND(V685&lt;&gt;"",INDEX(Parties!$E$5:$E$304,V685)&lt;&gt;"",INDEX(Parties!$E$5:$E$304,V685)&lt;&gt;HomeState),ROUND(L685*M685,2),0)),"")</f>
        <v/>
      </c>
      <c r="Q685" s="61" t="str">
        <f aca="false">IF(IsPro,IF($D685="","",L685+N685+O685+P685),"")</f>
        <v/>
      </c>
      <c r="R685" s="61" t="str">
        <f aca="false">IF(IsPro,IF($D685="","",ROUND(N($E685)*IFERROR(INDEX(Items!$P$5:$P$504,U685),0),2)),"")</f>
        <v/>
      </c>
      <c r="S685" s="61" t="str">
        <f aca="false">IF(IsPro,IF($D685="","",L685-R685),"")</f>
        <v/>
      </c>
      <c r="T685" s="60" t="str">
        <f aca="false">IF(IsPro,IF($D685="","",IF(U685="","UNKNOWN ITEM",IF(INDEX(Items!$O$5:$O$504,U685)&lt;0,"NEG STOCK",IF(K685&lt;INDEX(Items!$P$5:$P$504,U685),"BELOW COST","OK")))),IF($D685="","","PRO PLAN"))</f>
        <v/>
      </c>
      <c r="U685" s="60" t="str">
        <f aca="false">IF(IsPro,IF($D685="","",IFERROR(MATCH($D685,Items!$A$5:$A$504,0),"")),"")</f>
        <v/>
      </c>
      <c r="V685" s="60" t="str">
        <f aca="false">IF(IsPro,IF($C685="","",IFERROR(MATCH($C685,Parties!$A$5:$A$304,0),"")),"")</f>
        <v/>
      </c>
      <c r="W685" s="60" t="str">
        <f aca="false">IF(IsPro,IF($B685="","",IFERROR(VALUE(SUBSTITUTE($B685,InvPrefix,"")),0)),"")</f>
        <v/>
      </c>
      <c r="X685" s="61" t="str">
        <f aca="false">IF(IsPro,IF($D685="","",IF(OR($H685="",$H685="Credit"),0,Q685)),"")</f>
        <v/>
      </c>
    </row>
    <row r="686" customFormat="false" ht="15" hidden="false" customHeight="false" outlineLevel="0" collapsed="false">
      <c r="A686" s="55"/>
      <c r="B686" s="56"/>
      <c r="C686" s="56"/>
      <c r="D686" s="56"/>
      <c r="E686" s="57"/>
      <c r="F686" s="58"/>
      <c r="G686" s="59"/>
      <c r="H686" s="56"/>
      <c r="I686" s="56"/>
      <c r="J686" s="60" t="str">
        <f aca="false">IF(IsPro,IF($D686="","",IFERROR(INDEX(Items!$D$5:$D$504,U686),"")),"")</f>
        <v/>
      </c>
      <c r="K686" s="61" t="str">
        <f aca="false">IF(IsPro,IF($D686="","",IF($F686="",IFERROR(INDEX(Items!$H$5:$H$504,U686),0),$F686)),"")</f>
        <v/>
      </c>
      <c r="L686" s="61" t="str">
        <f aca="false">IF(IsPro,IF($D686="","",ROUND(N($E686)*K686*(1-N($G686)),2)),"")</f>
        <v/>
      </c>
      <c r="M686" s="62" t="str">
        <f aca="false">IF(IsPro,IF($D686="","",IFERROR(INDEX(Items!$F$5:$F$504,U686),0)),"")</f>
        <v/>
      </c>
      <c r="N686" s="61" t="str">
        <f aca="false">IF(IsPro,IF($D686="","",IF(AND(V686&lt;&gt;"",INDEX(Parties!$E$5:$E$304,V686)&lt;&gt;"",INDEX(Parties!$E$5:$E$304,V686)&lt;&gt;HomeState),0,ROUND(L686*M686/2,2))),"")</f>
        <v/>
      </c>
      <c r="O686" s="61" t="str">
        <f aca="false">IF(IsPro,IF($D686="","",N686),"")</f>
        <v/>
      </c>
      <c r="P686" s="61" t="str">
        <f aca="false">IF(IsPro,IF($D686="","",IF(AND(V686&lt;&gt;"",INDEX(Parties!$E$5:$E$304,V686)&lt;&gt;"",INDEX(Parties!$E$5:$E$304,V686)&lt;&gt;HomeState),ROUND(L686*M686,2),0)),"")</f>
        <v/>
      </c>
      <c r="Q686" s="61" t="str">
        <f aca="false">IF(IsPro,IF($D686="","",L686+N686+O686+P686),"")</f>
        <v/>
      </c>
      <c r="R686" s="61" t="str">
        <f aca="false">IF(IsPro,IF($D686="","",ROUND(N($E686)*IFERROR(INDEX(Items!$P$5:$P$504,U686),0),2)),"")</f>
        <v/>
      </c>
      <c r="S686" s="61" t="str">
        <f aca="false">IF(IsPro,IF($D686="","",L686-R686),"")</f>
        <v/>
      </c>
      <c r="T686" s="60" t="str">
        <f aca="false">IF(IsPro,IF($D686="","",IF(U686="","UNKNOWN ITEM",IF(INDEX(Items!$O$5:$O$504,U686)&lt;0,"NEG STOCK",IF(K686&lt;INDEX(Items!$P$5:$P$504,U686),"BELOW COST","OK")))),IF($D686="","","PRO PLAN"))</f>
        <v/>
      </c>
      <c r="U686" s="60" t="str">
        <f aca="false">IF(IsPro,IF($D686="","",IFERROR(MATCH($D686,Items!$A$5:$A$504,0),"")),"")</f>
        <v/>
      </c>
      <c r="V686" s="60" t="str">
        <f aca="false">IF(IsPro,IF($C686="","",IFERROR(MATCH($C686,Parties!$A$5:$A$304,0),"")),"")</f>
        <v/>
      </c>
      <c r="W686" s="60" t="str">
        <f aca="false">IF(IsPro,IF($B686="","",IFERROR(VALUE(SUBSTITUTE($B686,InvPrefix,"")),0)),"")</f>
        <v/>
      </c>
      <c r="X686" s="61" t="str">
        <f aca="false">IF(IsPro,IF($D686="","",IF(OR($H686="",$H686="Credit"),0,Q686)),"")</f>
        <v/>
      </c>
    </row>
    <row r="687" customFormat="false" ht="15" hidden="false" customHeight="false" outlineLevel="0" collapsed="false">
      <c r="A687" s="55"/>
      <c r="B687" s="56"/>
      <c r="C687" s="56"/>
      <c r="D687" s="56"/>
      <c r="E687" s="57"/>
      <c r="F687" s="58"/>
      <c r="G687" s="59"/>
      <c r="H687" s="56"/>
      <c r="I687" s="56"/>
      <c r="J687" s="60" t="str">
        <f aca="false">IF(IsPro,IF($D687="","",IFERROR(INDEX(Items!$D$5:$D$504,U687),"")),"")</f>
        <v/>
      </c>
      <c r="K687" s="61" t="str">
        <f aca="false">IF(IsPro,IF($D687="","",IF($F687="",IFERROR(INDEX(Items!$H$5:$H$504,U687),0),$F687)),"")</f>
        <v/>
      </c>
      <c r="L687" s="61" t="str">
        <f aca="false">IF(IsPro,IF($D687="","",ROUND(N($E687)*K687*(1-N($G687)),2)),"")</f>
        <v/>
      </c>
      <c r="M687" s="62" t="str">
        <f aca="false">IF(IsPro,IF($D687="","",IFERROR(INDEX(Items!$F$5:$F$504,U687),0)),"")</f>
        <v/>
      </c>
      <c r="N687" s="61" t="str">
        <f aca="false">IF(IsPro,IF($D687="","",IF(AND(V687&lt;&gt;"",INDEX(Parties!$E$5:$E$304,V687)&lt;&gt;"",INDEX(Parties!$E$5:$E$304,V687)&lt;&gt;HomeState),0,ROUND(L687*M687/2,2))),"")</f>
        <v/>
      </c>
      <c r="O687" s="61" t="str">
        <f aca="false">IF(IsPro,IF($D687="","",N687),"")</f>
        <v/>
      </c>
      <c r="P687" s="61" t="str">
        <f aca="false">IF(IsPro,IF($D687="","",IF(AND(V687&lt;&gt;"",INDEX(Parties!$E$5:$E$304,V687)&lt;&gt;"",INDEX(Parties!$E$5:$E$304,V687)&lt;&gt;HomeState),ROUND(L687*M687,2),0)),"")</f>
        <v/>
      </c>
      <c r="Q687" s="61" t="str">
        <f aca="false">IF(IsPro,IF($D687="","",L687+N687+O687+P687),"")</f>
        <v/>
      </c>
      <c r="R687" s="61" t="str">
        <f aca="false">IF(IsPro,IF($D687="","",ROUND(N($E687)*IFERROR(INDEX(Items!$P$5:$P$504,U687),0),2)),"")</f>
        <v/>
      </c>
      <c r="S687" s="61" t="str">
        <f aca="false">IF(IsPro,IF($D687="","",L687-R687),"")</f>
        <v/>
      </c>
      <c r="T687" s="60" t="str">
        <f aca="false">IF(IsPro,IF($D687="","",IF(U687="","UNKNOWN ITEM",IF(INDEX(Items!$O$5:$O$504,U687)&lt;0,"NEG STOCK",IF(K687&lt;INDEX(Items!$P$5:$P$504,U687),"BELOW COST","OK")))),IF($D687="","","PRO PLAN"))</f>
        <v/>
      </c>
      <c r="U687" s="60" t="str">
        <f aca="false">IF(IsPro,IF($D687="","",IFERROR(MATCH($D687,Items!$A$5:$A$504,0),"")),"")</f>
        <v/>
      </c>
      <c r="V687" s="60" t="str">
        <f aca="false">IF(IsPro,IF($C687="","",IFERROR(MATCH($C687,Parties!$A$5:$A$304,0),"")),"")</f>
        <v/>
      </c>
      <c r="W687" s="60" t="str">
        <f aca="false">IF(IsPro,IF($B687="","",IFERROR(VALUE(SUBSTITUTE($B687,InvPrefix,"")),0)),"")</f>
        <v/>
      </c>
      <c r="X687" s="61" t="str">
        <f aca="false">IF(IsPro,IF($D687="","",IF(OR($H687="",$H687="Credit"),0,Q687)),"")</f>
        <v/>
      </c>
    </row>
    <row r="688" customFormat="false" ht="15" hidden="false" customHeight="false" outlineLevel="0" collapsed="false">
      <c r="A688" s="55"/>
      <c r="B688" s="56"/>
      <c r="C688" s="56"/>
      <c r="D688" s="56"/>
      <c r="E688" s="57"/>
      <c r="F688" s="58"/>
      <c r="G688" s="59"/>
      <c r="H688" s="56"/>
      <c r="I688" s="56"/>
      <c r="J688" s="60" t="str">
        <f aca="false">IF(IsPro,IF($D688="","",IFERROR(INDEX(Items!$D$5:$D$504,U688),"")),"")</f>
        <v/>
      </c>
      <c r="K688" s="61" t="str">
        <f aca="false">IF(IsPro,IF($D688="","",IF($F688="",IFERROR(INDEX(Items!$H$5:$H$504,U688),0),$F688)),"")</f>
        <v/>
      </c>
      <c r="L688" s="61" t="str">
        <f aca="false">IF(IsPro,IF($D688="","",ROUND(N($E688)*K688*(1-N($G688)),2)),"")</f>
        <v/>
      </c>
      <c r="M688" s="62" t="str">
        <f aca="false">IF(IsPro,IF($D688="","",IFERROR(INDEX(Items!$F$5:$F$504,U688),0)),"")</f>
        <v/>
      </c>
      <c r="N688" s="61" t="str">
        <f aca="false">IF(IsPro,IF($D688="","",IF(AND(V688&lt;&gt;"",INDEX(Parties!$E$5:$E$304,V688)&lt;&gt;"",INDEX(Parties!$E$5:$E$304,V688)&lt;&gt;HomeState),0,ROUND(L688*M688/2,2))),"")</f>
        <v/>
      </c>
      <c r="O688" s="61" t="str">
        <f aca="false">IF(IsPro,IF($D688="","",N688),"")</f>
        <v/>
      </c>
      <c r="P688" s="61" t="str">
        <f aca="false">IF(IsPro,IF($D688="","",IF(AND(V688&lt;&gt;"",INDEX(Parties!$E$5:$E$304,V688)&lt;&gt;"",INDEX(Parties!$E$5:$E$304,V688)&lt;&gt;HomeState),ROUND(L688*M688,2),0)),"")</f>
        <v/>
      </c>
      <c r="Q688" s="61" t="str">
        <f aca="false">IF(IsPro,IF($D688="","",L688+N688+O688+P688),"")</f>
        <v/>
      </c>
      <c r="R688" s="61" t="str">
        <f aca="false">IF(IsPro,IF($D688="","",ROUND(N($E688)*IFERROR(INDEX(Items!$P$5:$P$504,U688),0),2)),"")</f>
        <v/>
      </c>
      <c r="S688" s="61" t="str">
        <f aca="false">IF(IsPro,IF($D688="","",L688-R688),"")</f>
        <v/>
      </c>
      <c r="T688" s="60" t="str">
        <f aca="false">IF(IsPro,IF($D688="","",IF(U688="","UNKNOWN ITEM",IF(INDEX(Items!$O$5:$O$504,U688)&lt;0,"NEG STOCK",IF(K688&lt;INDEX(Items!$P$5:$P$504,U688),"BELOW COST","OK")))),IF($D688="","","PRO PLAN"))</f>
        <v/>
      </c>
      <c r="U688" s="60" t="str">
        <f aca="false">IF(IsPro,IF($D688="","",IFERROR(MATCH($D688,Items!$A$5:$A$504,0),"")),"")</f>
        <v/>
      </c>
      <c r="V688" s="60" t="str">
        <f aca="false">IF(IsPro,IF($C688="","",IFERROR(MATCH($C688,Parties!$A$5:$A$304,0),"")),"")</f>
        <v/>
      </c>
      <c r="W688" s="60" t="str">
        <f aca="false">IF(IsPro,IF($B688="","",IFERROR(VALUE(SUBSTITUTE($B688,InvPrefix,"")),0)),"")</f>
        <v/>
      </c>
      <c r="X688" s="61" t="str">
        <f aca="false">IF(IsPro,IF($D688="","",IF(OR($H688="",$H688="Credit"),0,Q688)),"")</f>
        <v/>
      </c>
    </row>
    <row r="689" customFormat="false" ht="15" hidden="false" customHeight="false" outlineLevel="0" collapsed="false">
      <c r="A689" s="55"/>
      <c r="B689" s="56"/>
      <c r="C689" s="56"/>
      <c r="D689" s="56"/>
      <c r="E689" s="57"/>
      <c r="F689" s="58"/>
      <c r="G689" s="59"/>
      <c r="H689" s="56"/>
      <c r="I689" s="56"/>
      <c r="J689" s="60" t="str">
        <f aca="false">IF(IsPro,IF($D689="","",IFERROR(INDEX(Items!$D$5:$D$504,U689),"")),"")</f>
        <v/>
      </c>
      <c r="K689" s="61" t="str">
        <f aca="false">IF(IsPro,IF($D689="","",IF($F689="",IFERROR(INDEX(Items!$H$5:$H$504,U689),0),$F689)),"")</f>
        <v/>
      </c>
      <c r="L689" s="61" t="str">
        <f aca="false">IF(IsPro,IF($D689="","",ROUND(N($E689)*K689*(1-N($G689)),2)),"")</f>
        <v/>
      </c>
      <c r="M689" s="62" t="str">
        <f aca="false">IF(IsPro,IF($D689="","",IFERROR(INDEX(Items!$F$5:$F$504,U689),0)),"")</f>
        <v/>
      </c>
      <c r="N689" s="61" t="str">
        <f aca="false">IF(IsPro,IF($D689="","",IF(AND(V689&lt;&gt;"",INDEX(Parties!$E$5:$E$304,V689)&lt;&gt;"",INDEX(Parties!$E$5:$E$304,V689)&lt;&gt;HomeState),0,ROUND(L689*M689/2,2))),"")</f>
        <v/>
      </c>
      <c r="O689" s="61" t="str">
        <f aca="false">IF(IsPro,IF($D689="","",N689),"")</f>
        <v/>
      </c>
      <c r="P689" s="61" t="str">
        <f aca="false">IF(IsPro,IF($D689="","",IF(AND(V689&lt;&gt;"",INDEX(Parties!$E$5:$E$304,V689)&lt;&gt;"",INDEX(Parties!$E$5:$E$304,V689)&lt;&gt;HomeState),ROUND(L689*M689,2),0)),"")</f>
        <v/>
      </c>
      <c r="Q689" s="61" t="str">
        <f aca="false">IF(IsPro,IF($D689="","",L689+N689+O689+P689),"")</f>
        <v/>
      </c>
      <c r="R689" s="61" t="str">
        <f aca="false">IF(IsPro,IF($D689="","",ROUND(N($E689)*IFERROR(INDEX(Items!$P$5:$P$504,U689),0),2)),"")</f>
        <v/>
      </c>
      <c r="S689" s="61" t="str">
        <f aca="false">IF(IsPro,IF($D689="","",L689-R689),"")</f>
        <v/>
      </c>
      <c r="T689" s="60" t="str">
        <f aca="false">IF(IsPro,IF($D689="","",IF(U689="","UNKNOWN ITEM",IF(INDEX(Items!$O$5:$O$504,U689)&lt;0,"NEG STOCK",IF(K689&lt;INDEX(Items!$P$5:$P$504,U689),"BELOW COST","OK")))),IF($D689="","","PRO PLAN"))</f>
        <v/>
      </c>
      <c r="U689" s="60" t="str">
        <f aca="false">IF(IsPro,IF($D689="","",IFERROR(MATCH($D689,Items!$A$5:$A$504,0),"")),"")</f>
        <v/>
      </c>
      <c r="V689" s="60" t="str">
        <f aca="false">IF(IsPro,IF($C689="","",IFERROR(MATCH($C689,Parties!$A$5:$A$304,0),"")),"")</f>
        <v/>
      </c>
      <c r="W689" s="60" t="str">
        <f aca="false">IF(IsPro,IF($B689="","",IFERROR(VALUE(SUBSTITUTE($B689,InvPrefix,"")),0)),"")</f>
        <v/>
      </c>
      <c r="X689" s="61" t="str">
        <f aca="false">IF(IsPro,IF($D689="","",IF(OR($H689="",$H689="Credit"),0,Q689)),"")</f>
        <v/>
      </c>
    </row>
    <row r="690" customFormat="false" ht="15" hidden="false" customHeight="false" outlineLevel="0" collapsed="false">
      <c r="A690" s="55"/>
      <c r="B690" s="56"/>
      <c r="C690" s="56"/>
      <c r="D690" s="56"/>
      <c r="E690" s="57"/>
      <c r="F690" s="58"/>
      <c r="G690" s="59"/>
      <c r="H690" s="56"/>
      <c r="I690" s="56"/>
      <c r="J690" s="60" t="str">
        <f aca="false">IF(IsPro,IF($D690="","",IFERROR(INDEX(Items!$D$5:$D$504,U690),"")),"")</f>
        <v/>
      </c>
      <c r="K690" s="61" t="str">
        <f aca="false">IF(IsPro,IF($D690="","",IF($F690="",IFERROR(INDEX(Items!$H$5:$H$504,U690),0),$F690)),"")</f>
        <v/>
      </c>
      <c r="L690" s="61" t="str">
        <f aca="false">IF(IsPro,IF($D690="","",ROUND(N($E690)*K690*(1-N($G690)),2)),"")</f>
        <v/>
      </c>
      <c r="M690" s="62" t="str">
        <f aca="false">IF(IsPro,IF($D690="","",IFERROR(INDEX(Items!$F$5:$F$504,U690),0)),"")</f>
        <v/>
      </c>
      <c r="N690" s="61" t="str">
        <f aca="false">IF(IsPro,IF($D690="","",IF(AND(V690&lt;&gt;"",INDEX(Parties!$E$5:$E$304,V690)&lt;&gt;"",INDEX(Parties!$E$5:$E$304,V690)&lt;&gt;HomeState),0,ROUND(L690*M690/2,2))),"")</f>
        <v/>
      </c>
      <c r="O690" s="61" t="str">
        <f aca="false">IF(IsPro,IF($D690="","",N690),"")</f>
        <v/>
      </c>
      <c r="P690" s="61" t="str">
        <f aca="false">IF(IsPro,IF($D690="","",IF(AND(V690&lt;&gt;"",INDEX(Parties!$E$5:$E$304,V690)&lt;&gt;"",INDEX(Parties!$E$5:$E$304,V690)&lt;&gt;HomeState),ROUND(L690*M690,2),0)),"")</f>
        <v/>
      </c>
      <c r="Q690" s="61" t="str">
        <f aca="false">IF(IsPro,IF($D690="","",L690+N690+O690+P690),"")</f>
        <v/>
      </c>
      <c r="R690" s="61" t="str">
        <f aca="false">IF(IsPro,IF($D690="","",ROUND(N($E690)*IFERROR(INDEX(Items!$P$5:$P$504,U690),0),2)),"")</f>
        <v/>
      </c>
      <c r="S690" s="61" t="str">
        <f aca="false">IF(IsPro,IF($D690="","",L690-R690),"")</f>
        <v/>
      </c>
      <c r="T690" s="60" t="str">
        <f aca="false">IF(IsPro,IF($D690="","",IF(U690="","UNKNOWN ITEM",IF(INDEX(Items!$O$5:$O$504,U690)&lt;0,"NEG STOCK",IF(K690&lt;INDEX(Items!$P$5:$P$504,U690),"BELOW COST","OK")))),IF($D690="","","PRO PLAN"))</f>
        <v/>
      </c>
      <c r="U690" s="60" t="str">
        <f aca="false">IF(IsPro,IF($D690="","",IFERROR(MATCH($D690,Items!$A$5:$A$504,0),"")),"")</f>
        <v/>
      </c>
      <c r="V690" s="60" t="str">
        <f aca="false">IF(IsPro,IF($C690="","",IFERROR(MATCH($C690,Parties!$A$5:$A$304,0),"")),"")</f>
        <v/>
      </c>
      <c r="W690" s="60" t="str">
        <f aca="false">IF(IsPro,IF($B690="","",IFERROR(VALUE(SUBSTITUTE($B690,InvPrefix,"")),0)),"")</f>
        <v/>
      </c>
      <c r="X690" s="61" t="str">
        <f aca="false">IF(IsPro,IF($D690="","",IF(OR($H690="",$H690="Credit"),0,Q690)),"")</f>
        <v/>
      </c>
    </row>
    <row r="691" customFormat="false" ht="15" hidden="false" customHeight="false" outlineLevel="0" collapsed="false">
      <c r="A691" s="55"/>
      <c r="B691" s="56"/>
      <c r="C691" s="56"/>
      <c r="D691" s="56"/>
      <c r="E691" s="57"/>
      <c r="F691" s="58"/>
      <c r="G691" s="59"/>
      <c r="H691" s="56"/>
      <c r="I691" s="56"/>
      <c r="J691" s="60" t="str">
        <f aca="false">IF(IsPro,IF($D691="","",IFERROR(INDEX(Items!$D$5:$D$504,U691),"")),"")</f>
        <v/>
      </c>
      <c r="K691" s="61" t="str">
        <f aca="false">IF(IsPro,IF($D691="","",IF($F691="",IFERROR(INDEX(Items!$H$5:$H$504,U691),0),$F691)),"")</f>
        <v/>
      </c>
      <c r="L691" s="61" t="str">
        <f aca="false">IF(IsPro,IF($D691="","",ROUND(N($E691)*K691*(1-N($G691)),2)),"")</f>
        <v/>
      </c>
      <c r="M691" s="62" t="str">
        <f aca="false">IF(IsPro,IF($D691="","",IFERROR(INDEX(Items!$F$5:$F$504,U691),0)),"")</f>
        <v/>
      </c>
      <c r="N691" s="61" t="str">
        <f aca="false">IF(IsPro,IF($D691="","",IF(AND(V691&lt;&gt;"",INDEX(Parties!$E$5:$E$304,V691)&lt;&gt;"",INDEX(Parties!$E$5:$E$304,V691)&lt;&gt;HomeState),0,ROUND(L691*M691/2,2))),"")</f>
        <v/>
      </c>
      <c r="O691" s="61" t="str">
        <f aca="false">IF(IsPro,IF($D691="","",N691),"")</f>
        <v/>
      </c>
      <c r="P691" s="61" t="str">
        <f aca="false">IF(IsPro,IF($D691="","",IF(AND(V691&lt;&gt;"",INDEX(Parties!$E$5:$E$304,V691)&lt;&gt;"",INDEX(Parties!$E$5:$E$304,V691)&lt;&gt;HomeState),ROUND(L691*M691,2),0)),"")</f>
        <v/>
      </c>
      <c r="Q691" s="61" t="str">
        <f aca="false">IF(IsPro,IF($D691="","",L691+N691+O691+P691),"")</f>
        <v/>
      </c>
      <c r="R691" s="61" t="str">
        <f aca="false">IF(IsPro,IF($D691="","",ROUND(N($E691)*IFERROR(INDEX(Items!$P$5:$P$504,U691),0),2)),"")</f>
        <v/>
      </c>
      <c r="S691" s="61" t="str">
        <f aca="false">IF(IsPro,IF($D691="","",L691-R691),"")</f>
        <v/>
      </c>
      <c r="T691" s="60" t="str">
        <f aca="false">IF(IsPro,IF($D691="","",IF(U691="","UNKNOWN ITEM",IF(INDEX(Items!$O$5:$O$504,U691)&lt;0,"NEG STOCK",IF(K691&lt;INDEX(Items!$P$5:$P$504,U691),"BELOW COST","OK")))),IF($D691="","","PRO PLAN"))</f>
        <v/>
      </c>
      <c r="U691" s="60" t="str">
        <f aca="false">IF(IsPro,IF($D691="","",IFERROR(MATCH($D691,Items!$A$5:$A$504,0),"")),"")</f>
        <v/>
      </c>
      <c r="V691" s="60" t="str">
        <f aca="false">IF(IsPro,IF($C691="","",IFERROR(MATCH($C691,Parties!$A$5:$A$304,0),"")),"")</f>
        <v/>
      </c>
      <c r="W691" s="60" t="str">
        <f aca="false">IF(IsPro,IF($B691="","",IFERROR(VALUE(SUBSTITUTE($B691,InvPrefix,"")),0)),"")</f>
        <v/>
      </c>
      <c r="X691" s="61" t="str">
        <f aca="false">IF(IsPro,IF($D691="","",IF(OR($H691="",$H691="Credit"),0,Q691)),"")</f>
        <v/>
      </c>
    </row>
    <row r="692" customFormat="false" ht="15" hidden="false" customHeight="false" outlineLevel="0" collapsed="false">
      <c r="A692" s="55"/>
      <c r="B692" s="56"/>
      <c r="C692" s="56"/>
      <c r="D692" s="56"/>
      <c r="E692" s="57"/>
      <c r="F692" s="58"/>
      <c r="G692" s="59"/>
      <c r="H692" s="56"/>
      <c r="I692" s="56"/>
      <c r="J692" s="60" t="str">
        <f aca="false">IF(IsPro,IF($D692="","",IFERROR(INDEX(Items!$D$5:$D$504,U692),"")),"")</f>
        <v/>
      </c>
      <c r="K692" s="61" t="str">
        <f aca="false">IF(IsPro,IF($D692="","",IF($F692="",IFERROR(INDEX(Items!$H$5:$H$504,U692),0),$F692)),"")</f>
        <v/>
      </c>
      <c r="L692" s="61" t="str">
        <f aca="false">IF(IsPro,IF($D692="","",ROUND(N($E692)*K692*(1-N($G692)),2)),"")</f>
        <v/>
      </c>
      <c r="M692" s="62" t="str">
        <f aca="false">IF(IsPro,IF($D692="","",IFERROR(INDEX(Items!$F$5:$F$504,U692),0)),"")</f>
        <v/>
      </c>
      <c r="N692" s="61" t="str">
        <f aca="false">IF(IsPro,IF($D692="","",IF(AND(V692&lt;&gt;"",INDEX(Parties!$E$5:$E$304,V692)&lt;&gt;"",INDEX(Parties!$E$5:$E$304,V692)&lt;&gt;HomeState),0,ROUND(L692*M692/2,2))),"")</f>
        <v/>
      </c>
      <c r="O692" s="61" t="str">
        <f aca="false">IF(IsPro,IF($D692="","",N692),"")</f>
        <v/>
      </c>
      <c r="P692" s="61" t="str">
        <f aca="false">IF(IsPro,IF($D692="","",IF(AND(V692&lt;&gt;"",INDEX(Parties!$E$5:$E$304,V692)&lt;&gt;"",INDEX(Parties!$E$5:$E$304,V692)&lt;&gt;HomeState),ROUND(L692*M692,2),0)),"")</f>
        <v/>
      </c>
      <c r="Q692" s="61" t="str">
        <f aca="false">IF(IsPro,IF($D692="","",L692+N692+O692+P692),"")</f>
        <v/>
      </c>
      <c r="R692" s="61" t="str">
        <f aca="false">IF(IsPro,IF($D692="","",ROUND(N($E692)*IFERROR(INDEX(Items!$P$5:$P$504,U692),0),2)),"")</f>
        <v/>
      </c>
      <c r="S692" s="61" t="str">
        <f aca="false">IF(IsPro,IF($D692="","",L692-R692),"")</f>
        <v/>
      </c>
      <c r="T692" s="60" t="str">
        <f aca="false">IF(IsPro,IF($D692="","",IF(U692="","UNKNOWN ITEM",IF(INDEX(Items!$O$5:$O$504,U692)&lt;0,"NEG STOCK",IF(K692&lt;INDEX(Items!$P$5:$P$504,U692),"BELOW COST","OK")))),IF($D692="","","PRO PLAN"))</f>
        <v/>
      </c>
      <c r="U692" s="60" t="str">
        <f aca="false">IF(IsPro,IF($D692="","",IFERROR(MATCH($D692,Items!$A$5:$A$504,0),"")),"")</f>
        <v/>
      </c>
      <c r="V692" s="60" t="str">
        <f aca="false">IF(IsPro,IF($C692="","",IFERROR(MATCH($C692,Parties!$A$5:$A$304,0),"")),"")</f>
        <v/>
      </c>
      <c r="W692" s="60" t="str">
        <f aca="false">IF(IsPro,IF($B692="","",IFERROR(VALUE(SUBSTITUTE($B692,InvPrefix,"")),0)),"")</f>
        <v/>
      </c>
      <c r="X692" s="61" t="str">
        <f aca="false">IF(IsPro,IF($D692="","",IF(OR($H692="",$H692="Credit"),0,Q692)),"")</f>
        <v/>
      </c>
    </row>
    <row r="693" customFormat="false" ht="15" hidden="false" customHeight="false" outlineLevel="0" collapsed="false">
      <c r="A693" s="55"/>
      <c r="B693" s="56"/>
      <c r="C693" s="56"/>
      <c r="D693" s="56"/>
      <c r="E693" s="57"/>
      <c r="F693" s="58"/>
      <c r="G693" s="59"/>
      <c r="H693" s="56"/>
      <c r="I693" s="56"/>
      <c r="J693" s="60" t="str">
        <f aca="false">IF(IsPro,IF($D693="","",IFERROR(INDEX(Items!$D$5:$D$504,U693),"")),"")</f>
        <v/>
      </c>
      <c r="K693" s="61" t="str">
        <f aca="false">IF(IsPro,IF($D693="","",IF($F693="",IFERROR(INDEX(Items!$H$5:$H$504,U693),0),$F693)),"")</f>
        <v/>
      </c>
      <c r="L693" s="61" t="str">
        <f aca="false">IF(IsPro,IF($D693="","",ROUND(N($E693)*K693*(1-N($G693)),2)),"")</f>
        <v/>
      </c>
      <c r="M693" s="62" t="str">
        <f aca="false">IF(IsPro,IF($D693="","",IFERROR(INDEX(Items!$F$5:$F$504,U693),0)),"")</f>
        <v/>
      </c>
      <c r="N693" s="61" t="str">
        <f aca="false">IF(IsPro,IF($D693="","",IF(AND(V693&lt;&gt;"",INDEX(Parties!$E$5:$E$304,V693)&lt;&gt;"",INDEX(Parties!$E$5:$E$304,V693)&lt;&gt;HomeState),0,ROUND(L693*M693/2,2))),"")</f>
        <v/>
      </c>
      <c r="O693" s="61" t="str">
        <f aca="false">IF(IsPro,IF($D693="","",N693),"")</f>
        <v/>
      </c>
      <c r="P693" s="61" t="str">
        <f aca="false">IF(IsPro,IF($D693="","",IF(AND(V693&lt;&gt;"",INDEX(Parties!$E$5:$E$304,V693)&lt;&gt;"",INDEX(Parties!$E$5:$E$304,V693)&lt;&gt;HomeState),ROUND(L693*M693,2),0)),"")</f>
        <v/>
      </c>
      <c r="Q693" s="61" t="str">
        <f aca="false">IF(IsPro,IF($D693="","",L693+N693+O693+P693),"")</f>
        <v/>
      </c>
      <c r="R693" s="61" t="str">
        <f aca="false">IF(IsPro,IF($D693="","",ROUND(N($E693)*IFERROR(INDEX(Items!$P$5:$P$504,U693),0),2)),"")</f>
        <v/>
      </c>
      <c r="S693" s="61" t="str">
        <f aca="false">IF(IsPro,IF($D693="","",L693-R693),"")</f>
        <v/>
      </c>
      <c r="T693" s="60" t="str">
        <f aca="false">IF(IsPro,IF($D693="","",IF(U693="","UNKNOWN ITEM",IF(INDEX(Items!$O$5:$O$504,U693)&lt;0,"NEG STOCK",IF(K693&lt;INDEX(Items!$P$5:$P$504,U693),"BELOW COST","OK")))),IF($D693="","","PRO PLAN"))</f>
        <v/>
      </c>
      <c r="U693" s="60" t="str">
        <f aca="false">IF(IsPro,IF($D693="","",IFERROR(MATCH($D693,Items!$A$5:$A$504,0),"")),"")</f>
        <v/>
      </c>
      <c r="V693" s="60" t="str">
        <f aca="false">IF(IsPro,IF($C693="","",IFERROR(MATCH($C693,Parties!$A$5:$A$304,0),"")),"")</f>
        <v/>
      </c>
      <c r="W693" s="60" t="str">
        <f aca="false">IF(IsPro,IF($B693="","",IFERROR(VALUE(SUBSTITUTE($B693,InvPrefix,"")),0)),"")</f>
        <v/>
      </c>
      <c r="X693" s="61" t="str">
        <f aca="false">IF(IsPro,IF($D693="","",IF(OR($H693="",$H693="Credit"),0,Q693)),"")</f>
        <v/>
      </c>
    </row>
    <row r="694" customFormat="false" ht="15" hidden="false" customHeight="false" outlineLevel="0" collapsed="false">
      <c r="A694" s="55"/>
      <c r="B694" s="56"/>
      <c r="C694" s="56"/>
      <c r="D694" s="56"/>
      <c r="E694" s="57"/>
      <c r="F694" s="58"/>
      <c r="G694" s="59"/>
      <c r="H694" s="56"/>
      <c r="I694" s="56"/>
      <c r="J694" s="60" t="str">
        <f aca="false">IF(IsPro,IF($D694="","",IFERROR(INDEX(Items!$D$5:$D$504,U694),"")),"")</f>
        <v/>
      </c>
      <c r="K694" s="61" t="str">
        <f aca="false">IF(IsPro,IF($D694="","",IF($F694="",IFERROR(INDEX(Items!$H$5:$H$504,U694),0),$F694)),"")</f>
        <v/>
      </c>
      <c r="L694" s="61" t="str">
        <f aca="false">IF(IsPro,IF($D694="","",ROUND(N($E694)*K694*(1-N($G694)),2)),"")</f>
        <v/>
      </c>
      <c r="M694" s="62" t="str">
        <f aca="false">IF(IsPro,IF($D694="","",IFERROR(INDEX(Items!$F$5:$F$504,U694),0)),"")</f>
        <v/>
      </c>
      <c r="N694" s="61" t="str">
        <f aca="false">IF(IsPro,IF($D694="","",IF(AND(V694&lt;&gt;"",INDEX(Parties!$E$5:$E$304,V694)&lt;&gt;"",INDEX(Parties!$E$5:$E$304,V694)&lt;&gt;HomeState),0,ROUND(L694*M694/2,2))),"")</f>
        <v/>
      </c>
      <c r="O694" s="61" t="str">
        <f aca="false">IF(IsPro,IF($D694="","",N694),"")</f>
        <v/>
      </c>
      <c r="P694" s="61" t="str">
        <f aca="false">IF(IsPro,IF($D694="","",IF(AND(V694&lt;&gt;"",INDEX(Parties!$E$5:$E$304,V694)&lt;&gt;"",INDEX(Parties!$E$5:$E$304,V694)&lt;&gt;HomeState),ROUND(L694*M694,2),0)),"")</f>
        <v/>
      </c>
      <c r="Q694" s="61" t="str">
        <f aca="false">IF(IsPro,IF($D694="","",L694+N694+O694+P694),"")</f>
        <v/>
      </c>
      <c r="R694" s="61" t="str">
        <f aca="false">IF(IsPro,IF($D694="","",ROUND(N($E694)*IFERROR(INDEX(Items!$P$5:$P$504,U694),0),2)),"")</f>
        <v/>
      </c>
      <c r="S694" s="61" t="str">
        <f aca="false">IF(IsPro,IF($D694="","",L694-R694),"")</f>
        <v/>
      </c>
      <c r="T694" s="60" t="str">
        <f aca="false">IF(IsPro,IF($D694="","",IF(U694="","UNKNOWN ITEM",IF(INDEX(Items!$O$5:$O$504,U694)&lt;0,"NEG STOCK",IF(K694&lt;INDEX(Items!$P$5:$P$504,U694),"BELOW COST","OK")))),IF($D694="","","PRO PLAN"))</f>
        <v/>
      </c>
      <c r="U694" s="60" t="str">
        <f aca="false">IF(IsPro,IF($D694="","",IFERROR(MATCH($D694,Items!$A$5:$A$504,0),"")),"")</f>
        <v/>
      </c>
      <c r="V694" s="60" t="str">
        <f aca="false">IF(IsPro,IF($C694="","",IFERROR(MATCH($C694,Parties!$A$5:$A$304,0),"")),"")</f>
        <v/>
      </c>
      <c r="W694" s="60" t="str">
        <f aca="false">IF(IsPro,IF($B694="","",IFERROR(VALUE(SUBSTITUTE($B694,InvPrefix,"")),0)),"")</f>
        <v/>
      </c>
      <c r="X694" s="61" t="str">
        <f aca="false">IF(IsPro,IF($D694="","",IF(OR($H694="",$H694="Credit"),0,Q694)),"")</f>
        <v/>
      </c>
    </row>
    <row r="695" customFormat="false" ht="15" hidden="false" customHeight="false" outlineLevel="0" collapsed="false">
      <c r="A695" s="55"/>
      <c r="B695" s="56"/>
      <c r="C695" s="56"/>
      <c r="D695" s="56"/>
      <c r="E695" s="57"/>
      <c r="F695" s="58"/>
      <c r="G695" s="59"/>
      <c r="H695" s="56"/>
      <c r="I695" s="56"/>
      <c r="J695" s="60" t="str">
        <f aca="false">IF(IsPro,IF($D695="","",IFERROR(INDEX(Items!$D$5:$D$504,U695),"")),"")</f>
        <v/>
      </c>
      <c r="K695" s="61" t="str">
        <f aca="false">IF(IsPro,IF($D695="","",IF($F695="",IFERROR(INDEX(Items!$H$5:$H$504,U695),0),$F695)),"")</f>
        <v/>
      </c>
      <c r="L695" s="61" t="str">
        <f aca="false">IF(IsPro,IF($D695="","",ROUND(N($E695)*K695*(1-N($G695)),2)),"")</f>
        <v/>
      </c>
      <c r="M695" s="62" t="str">
        <f aca="false">IF(IsPro,IF($D695="","",IFERROR(INDEX(Items!$F$5:$F$504,U695),0)),"")</f>
        <v/>
      </c>
      <c r="N695" s="61" t="str">
        <f aca="false">IF(IsPro,IF($D695="","",IF(AND(V695&lt;&gt;"",INDEX(Parties!$E$5:$E$304,V695)&lt;&gt;"",INDEX(Parties!$E$5:$E$304,V695)&lt;&gt;HomeState),0,ROUND(L695*M695/2,2))),"")</f>
        <v/>
      </c>
      <c r="O695" s="61" t="str">
        <f aca="false">IF(IsPro,IF($D695="","",N695),"")</f>
        <v/>
      </c>
      <c r="P695" s="61" t="str">
        <f aca="false">IF(IsPro,IF($D695="","",IF(AND(V695&lt;&gt;"",INDEX(Parties!$E$5:$E$304,V695)&lt;&gt;"",INDEX(Parties!$E$5:$E$304,V695)&lt;&gt;HomeState),ROUND(L695*M695,2),0)),"")</f>
        <v/>
      </c>
      <c r="Q695" s="61" t="str">
        <f aca="false">IF(IsPro,IF($D695="","",L695+N695+O695+P695),"")</f>
        <v/>
      </c>
      <c r="R695" s="61" t="str">
        <f aca="false">IF(IsPro,IF($D695="","",ROUND(N($E695)*IFERROR(INDEX(Items!$P$5:$P$504,U695),0),2)),"")</f>
        <v/>
      </c>
      <c r="S695" s="61" t="str">
        <f aca="false">IF(IsPro,IF($D695="","",L695-R695),"")</f>
        <v/>
      </c>
      <c r="T695" s="60" t="str">
        <f aca="false">IF(IsPro,IF($D695="","",IF(U695="","UNKNOWN ITEM",IF(INDEX(Items!$O$5:$O$504,U695)&lt;0,"NEG STOCK",IF(K695&lt;INDEX(Items!$P$5:$P$504,U695),"BELOW COST","OK")))),IF($D695="","","PRO PLAN"))</f>
        <v/>
      </c>
      <c r="U695" s="60" t="str">
        <f aca="false">IF(IsPro,IF($D695="","",IFERROR(MATCH($D695,Items!$A$5:$A$504,0),"")),"")</f>
        <v/>
      </c>
      <c r="V695" s="60" t="str">
        <f aca="false">IF(IsPro,IF($C695="","",IFERROR(MATCH($C695,Parties!$A$5:$A$304,0),"")),"")</f>
        <v/>
      </c>
      <c r="W695" s="60" t="str">
        <f aca="false">IF(IsPro,IF($B695="","",IFERROR(VALUE(SUBSTITUTE($B695,InvPrefix,"")),0)),"")</f>
        <v/>
      </c>
      <c r="X695" s="61" t="str">
        <f aca="false">IF(IsPro,IF($D695="","",IF(OR($H695="",$H695="Credit"),0,Q695)),"")</f>
        <v/>
      </c>
    </row>
    <row r="696" customFormat="false" ht="15" hidden="false" customHeight="false" outlineLevel="0" collapsed="false">
      <c r="A696" s="55"/>
      <c r="B696" s="56"/>
      <c r="C696" s="56"/>
      <c r="D696" s="56"/>
      <c r="E696" s="57"/>
      <c r="F696" s="58"/>
      <c r="G696" s="59"/>
      <c r="H696" s="56"/>
      <c r="I696" s="56"/>
      <c r="J696" s="60" t="str">
        <f aca="false">IF(IsPro,IF($D696="","",IFERROR(INDEX(Items!$D$5:$D$504,U696),"")),"")</f>
        <v/>
      </c>
      <c r="K696" s="61" t="str">
        <f aca="false">IF(IsPro,IF($D696="","",IF($F696="",IFERROR(INDEX(Items!$H$5:$H$504,U696),0),$F696)),"")</f>
        <v/>
      </c>
      <c r="L696" s="61" t="str">
        <f aca="false">IF(IsPro,IF($D696="","",ROUND(N($E696)*K696*(1-N($G696)),2)),"")</f>
        <v/>
      </c>
      <c r="M696" s="62" t="str">
        <f aca="false">IF(IsPro,IF($D696="","",IFERROR(INDEX(Items!$F$5:$F$504,U696),0)),"")</f>
        <v/>
      </c>
      <c r="N696" s="61" t="str">
        <f aca="false">IF(IsPro,IF($D696="","",IF(AND(V696&lt;&gt;"",INDEX(Parties!$E$5:$E$304,V696)&lt;&gt;"",INDEX(Parties!$E$5:$E$304,V696)&lt;&gt;HomeState),0,ROUND(L696*M696/2,2))),"")</f>
        <v/>
      </c>
      <c r="O696" s="61" t="str">
        <f aca="false">IF(IsPro,IF($D696="","",N696),"")</f>
        <v/>
      </c>
      <c r="P696" s="61" t="str">
        <f aca="false">IF(IsPro,IF($D696="","",IF(AND(V696&lt;&gt;"",INDEX(Parties!$E$5:$E$304,V696)&lt;&gt;"",INDEX(Parties!$E$5:$E$304,V696)&lt;&gt;HomeState),ROUND(L696*M696,2),0)),"")</f>
        <v/>
      </c>
      <c r="Q696" s="61" t="str">
        <f aca="false">IF(IsPro,IF($D696="","",L696+N696+O696+P696),"")</f>
        <v/>
      </c>
      <c r="R696" s="61" t="str">
        <f aca="false">IF(IsPro,IF($D696="","",ROUND(N($E696)*IFERROR(INDEX(Items!$P$5:$P$504,U696),0),2)),"")</f>
        <v/>
      </c>
      <c r="S696" s="61" t="str">
        <f aca="false">IF(IsPro,IF($D696="","",L696-R696),"")</f>
        <v/>
      </c>
      <c r="T696" s="60" t="str">
        <f aca="false">IF(IsPro,IF($D696="","",IF(U696="","UNKNOWN ITEM",IF(INDEX(Items!$O$5:$O$504,U696)&lt;0,"NEG STOCK",IF(K696&lt;INDEX(Items!$P$5:$P$504,U696),"BELOW COST","OK")))),IF($D696="","","PRO PLAN"))</f>
        <v/>
      </c>
      <c r="U696" s="60" t="str">
        <f aca="false">IF(IsPro,IF($D696="","",IFERROR(MATCH($D696,Items!$A$5:$A$504,0),"")),"")</f>
        <v/>
      </c>
      <c r="V696" s="60" t="str">
        <f aca="false">IF(IsPro,IF($C696="","",IFERROR(MATCH($C696,Parties!$A$5:$A$304,0),"")),"")</f>
        <v/>
      </c>
      <c r="W696" s="60" t="str">
        <f aca="false">IF(IsPro,IF($B696="","",IFERROR(VALUE(SUBSTITUTE($B696,InvPrefix,"")),0)),"")</f>
        <v/>
      </c>
      <c r="X696" s="61" t="str">
        <f aca="false">IF(IsPro,IF($D696="","",IF(OR($H696="",$H696="Credit"),0,Q696)),"")</f>
        <v/>
      </c>
    </row>
    <row r="697" customFormat="false" ht="15" hidden="false" customHeight="false" outlineLevel="0" collapsed="false">
      <c r="A697" s="55"/>
      <c r="B697" s="56"/>
      <c r="C697" s="56"/>
      <c r="D697" s="56"/>
      <c r="E697" s="57"/>
      <c r="F697" s="58"/>
      <c r="G697" s="59"/>
      <c r="H697" s="56"/>
      <c r="I697" s="56"/>
      <c r="J697" s="60" t="str">
        <f aca="false">IF(IsPro,IF($D697="","",IFERROR(INDEX(Items!$D$5:$D$504,U697),"")),"")</f>
        <v/>
      </c>
      <c r="K697" s="61" t="str">
        <f aca="false">IF(IsPro,IF($D697="","",IF($F697="",IFERROR(INDEX(Items!$H$5:$H$504,U697),0),$F697)),"")</f>
        <v/>
      </c>
      <c r="L697" s="61" t="str">
        <f aca="false">IF(IsPro,IF($D697="","",ROUND(N($E697)*K697*(1-N($G697)),2)),"")</f>
        <v/>
      </c>
      <c r="M697" s="62" t="str">
        <f aca="false">IF(IsPro,IF($D697="","",IFERROR(INDEX(Items!$F$5:$F$504,U697),0)),"")</f>
        <v/>
      </c>
      <c r="N697" s="61" t="str">
        <f aca="false">IF(IsPro,IF($D697="","",IF(AND(V697&lt;&gt;"",INDEX(Parties!$E$5:$E$304,V697)&lt;&gt;"",INDEX(Parties!$E$5:$E$304,V697)&lt;&gt;HomeState),0,ROUND(L697*M697/2,2))),"")</f>
        <v/>
      </c>
      <c r="O697" s="61" t="str">
        <f aca="false">IF(IsPro,IF($D697="","",N697),"")</f>
        <v/>
      </c>
      <c r="P697" s="61" t="str">
        <f aca="false">IF(IsPro,IF($D697="","",IF(AND(V697&lt;&gt;"",INDEX(Parties!$E$5:$E$304,V697)&lt;&gt;"",INDEX(Parties!$E$5:$E$304,V697)&lt;&gt;HomeState),ROUND(L697*M697,2),0)),"")</f>
        <v/>
      </c>
      <c r="Q697" s="61" t="str">
        <f aca="false">IF(IsPro,IF($D697="","",L697+N697+O697+P697),"")</f>
        <v/>
      </c>
      <c r="R697" s="61" t="str">
        <f aca="false">IF(IsPro,IF($D697="","",ROUND(N($E697)*IFERROR(INDEX(Items!$P$5:$P$504,U697),0),2)),"")</f>
        <v/>
      </c>
      <c r="S697" s="61" t="str">
        <f aca="false">IF(IsPro,IF($D697="","",L697-R697),"")</f>
        <v/>
      </c>
      <c r="T697" s="60" t="str">
        <f aca="false">IF(IsPro,IF($D697="","",IF(U697="","UNKNOWN ITEM",IF(INDEX(Items!$O$5:$O$504,U697)&lt;0,"NEG STOCK",IF(K697&lt;INDEX(Items!$P$5:$P$504,U697),"BELOW COST","OK")))),IF($D697="","","PRO PLAN"))</f>
        <v/>
      </c>
      <c r="U697" s="60" t="str">
        <f aca="false">IF(IsPro,IF($D697="","",IFERROR(MATCH($D697,Items!$A$5:$A$504,0),"")),"")</f>
        <v/>
      </c>
      <c r="V697" s="60" t="str">
        <f aca="false">IF(IsPro,IF($C697="","",IFERROR(MATCH($C697,Parties!$A$5:$A$304,0),"")),"")</f>
        <v/>
      </c>
      <c r="W697" s="60" t="str">
        <f aca="false">IF(IsPro,IF($B697="","",IFERROR(VALUE(SUBSTITUTE($B697,InvPrefix,"")),0)),"")</f>
        <v/>
      </c>
      <c r="X697" s="61" t="str">
        <f aca="false">IF(IsPro,IF($D697="","",IF(OR($H697="",$H697="Credit"),0,Q697)),"")</f>
        <v/>
      </c>
    </row>
    <row r="698" customFormat="false" ht="15" hidden="false" customHeight="false" outlineLevel="0" collapsed="false">
      <c r="A698" s="55"/>
      <c r="B698" s="56"/>
      <c r="C698" s="56"/>
      <c r="D698" s="56"/>
      <c r="E698" s="57"/>
      <c r="F698" s="58"/>
      <c r="G698" s="59"/>
      <c r="H698" s="56"/>
      <c r="I698" s="56"/>
      <c r="J698" s="60" t="str">
        <f aca="false">IF(IsPro,IF($D698="","",IFERROR(INDEX(Items!$D$5:$D$504,U698),"")),"")</f>
        <v/>
      </c>
      <c r="K698" s="61" t="str">
        <f aca="false">IF(IsPro,IF($D698="","",IF($F698="",IFERROR(INDEX(Items!$H$5:$H$504,U698),0),$F698)),"")</f>
        <v/>
      </c>
      <c r="L698" s="61" t="str">
        <f aca="false">IF(IsPro,IF($D698="","",ROUND(N($E698)*K698*(1-N($G698)),2)),"")</f>
        <v/>
      </c>
      <c r="M698" s="62" t="str">
        <f aca="false">IF(IsPro,IF($D698="","",IFERROR(INDEX(Items!$F$5:$F$504,U698),0)),"")</f>
        <v/>
      </c>
      <c r="N698" s="61" t="str">
        <f aca="false">IF(IsPro,IF($D698="","",IF(AND(V698&lt;&gt;"",INDEX(Parties!$E$5:$E$304,V698)&lt;&gt;"",INDEX(Parties!$E$5:$E$304,V698)&lt;&gt;HomeState),0,ROUND(L698*M698/2,2))),"")</f>
        <v/>
      </c>
      <c r="O698" s="61" t="str">
        <f aca="false">IF(IsPro,IF($D698="","",N698),"")</f>
        <v/>
      </c>
      <c r="P698" s="61" t="str">
        <f aca="false">IF(IsPro,IF($D698="","",IF(AND(V698&lt;&gt;"",INDEX(Parties!$E$5:$E$304,V698)&lt;&gt;"",INDEX(Parties!$E$5:$E$304,V698)&lt;&gt;HomeState),ROUND(L698*M698,2),0)),"")</f>
        <v/>
      </c>
      <c r="Q698" s="61" t="str">
        <f aca="false">IF(IsPro,IF($D698="","",L698+N698+O698+P698),"")</f>
        <v/>
      </c>
      <c r="R698" s="61" t="str">
        <f aca="false">IF(IsPro,IF($D698="","",ROUND(N($E698)*IFERROR(INDEX(Items!$P$5:$P$504,U698),0),2)),"")</f>
        <v/>
      </c>
      <c r="S698" s="61" t="str">
        <f aca="false">IF(IsPro,IF($D698="","",L698-R698),"")</f>
        <v/>
      </c>
      <c r="T698" s="60" t="str">
        <f aca="false">IF(IsPro,IF($D698="","",IF(U698="","UNKNOWN ITEM",IF(INDEX(Items!$O$5:$O$504,U698)&lt;0,"NEG STOCK",IF(K698&lt;INDEX(Items!$P$5:$P$504,U698),"BELOW COST","OK")))),IF($D698="","","PRO PLAN"))</f>
        <v/>
      </c>
      <c r="U698" s="60" t="str">
        <f aca="false">IF(IsPro,IF($D698="","",IFERROR(MATCH($D698,Items!$A$5:$A$504,0),"")),"")</f>
        <v/>
      </c>
      <c r="V698" s="60" t="str">
        <f aca="false">IF(IsPro,IF($C698="","",IFERROR(MATCH($C698,Parties!$A$5:$A$304,0),"")),"")</f>
        <v/>
      </c>
      <c r="W698" s="60" t="str">
        <f aca="false">IF(IsPro,IF($B698="","",IFERROR(VALUE(SUBSTITUTE($B698,InvPrefix,"")),0)),"")</f>
        <v/>
      </c>
      <c r="X698" s="61" t="str">
        <f aca="false">IF(IsPro,IF($D698="","",IF(OR($H698="",$H698="Credit"),0,Q698)),"")</f>
        <v/>
      </c>
    </row>
    <row r="699" customFormat="false" ht="15" hidden="false" customHeight="false" outlineLevel="0" collapsed="false">
      <c r="A699" s="55"/>
      <c r="B699" s="56"/>
      <c r="C699" s="56"/>
      <c r="D699" s="56"/>
      <c r="E699" s="57"/>
      <c r="F699" s="58"/>
      <c r="G699" s="59"/>
      <c r="H699" s="56"/>
      <c r="I699" s="56"/>
      <c r="J699" s="60" t="str">
        <f aca="false">IF(IsPro,IF($D699="","",IFERROR(INDEX(Items!$D$5:$D$504,U699),"")),"")</f>
        <v/>
      </c>
      <c r="K699" s="61" t="str">
        <f aca="false">IF(IsPro,IF($D699="","",IF($F699="",IFERROR(INDEX(Items!$H$5:$H$504,U699),0),$F699)),"")</f>
        <v/>
      </c>
      <c r="L699" s="61" t="str">
        <f aca="false">IF(IsPro,IF($D699="","",ROUND(N($E699)*K699*(1-N($G699)),2)),"")</f>
        <v/>
      </c>
      <c r="M699" s="62" t="str">
        <f aca="false">IF(IsPro,IF($D699="","",IFERROR(INDEX(Items!$F$5:$F$504,U699),0)),"")</f>
        <v/>
      </c>
      <c r="N699" s="61" t="str">
        <f aca="false">IF(IsPro,IF($D699="","",IF(AND(V699&lt;&gt;"",INDEX(Parties!$E$5:$E$304,V699)&lt;&gt;"",INDEX(Parties!$E$5:$E$304,V699)&lt;&gt;HomeState),0,ROUND(L699*M699/2,2))),"")</f>
        <v/>
      </c>
      <c r="O699" s="61" t="str">
        <f aca="false">IF(IsPro,IF($D699="","",N699),"")</f>
        <v/>
      </c>
      <c r="P699" s="61" t="str">
        <f aca="false">IF(IsPro,IF($D699="","",IF(AND(V699&lt;&gt;"",INDEX(Parties!$E$5:$E$304,V699)&lt;&gt;"",INDEX(Parties!$E$5:$E$304,V699)&lt;&gt;HomeState),ROUND(L699*M699,2),0)),"")</f>
        <v/>
      </c>
      <c r="Q699" s="61" t="str">
        <f aca="false">IF(IsPro,IF($D699="","",L699+N699+O699+P699),"")</f>
        <v/>
      </c>
      <c r="R699" s="61" t="str">
        <f aca="false">IF(IsPro,IF($D699="","",ROUND(N($E699)*IFERROR(INDEX(Items!$P$5:$P$504,U699),0),2)),"")</f>
        <v/>
      </c>
      <c r="S699" s="61" t="str">
        <f aca="false">IF(IsPro,IF($D699="","",L699-R699),"")</f>
        <v/>
      </c>
      <c r="T699" s="60" t="str">
        <f aca="false">IF(IsPro,IF($D699="","",IF(U699="","UNKNOWN ITEM",IF(INDEX(Items!$O$5:$O$504,U699)&lt;0,"NEG STOCK",IF(K699&lt;INDEX(Items!$P$5:$P$504,U699),"BELOW COST","OK")))),IF($D699="","","PRO PLAN"))</f>
        <v/>
      </c>
      <c r="U699" s="60" t="str">
        <f aca="false">IF(IsPro,IF($D699="","",IFERROR(MATCH($D699,Items!$A$5:$A$504,0),"")),"")</f>
        <v/>
      </c>
      <c r="V699" s="60" t="str">
        <f aca="false">IF(IsPro,IF($C699="","",IFERROR(MATCH($C699,Parties!$A$5:$A$304,0),"")),"")</f>
        <v/>
      </c>
      <c r="W699" s="60" t="str">
        <f aca="false">IF(IsPro,IF($B699="","",IFERROR(VALUE(SUBSTITUTE($B699,InvPrefix,"")),0)),"")</f>
        <v/>
      </c>
      <c r="X699" s="61" t="str">
        <f aca="false">IF(IsPro,IF($D699="","",IF(OR($H699="",$H699="Credit"),0,Q699)),"")</f>
        <v/>
      </c>
    </row>
    <row r="700" customFormat="false" ht="15" hidden="false" customHeight="false" outlineLevel="0" collapsed="false">
      <c r="A700" s="55"/>
      <c r="B700" s="56"/>
      <c r="C700" s="56"/>
      <c r="D700" s="56"/>
      <c r="E700" s="57"/>
      <c r="F700" s="58"/>
      <c r="G700" s="59"/>
      <c r="H700" s="56"/>
      <c r="I700" s="56"/>
      <c r="J700" s="60" t="str">
        <f aca="false">IF(IsPro,IF($D700="","",IFERROR(INDEX(Items!$D$5:$D$504,U700),"")),"")</f>
        <v/>
      </c>
      <c r="K700" s="61" t="str">
        <f aca="false">IF(IsPro,IF($D700="","",IF($F700="",IFERROR(INDEX(Items!$H$5:$H$504,U700),0),$F700)),"")</f>
        <v/>
      </c>
      <c r="L700" s="61" t="str">
        <f aca="false">IF(IsPro,IF($D700="","",ROUND(N($E700)*K700*(1-N($G700)),2)),"")</f>
        <v/>
      </c>
      <c r="M700" s="62" t="str">
        <f aca="false">IF(IsPro,IF($D700="","",IFERROR(INDEX(Items!$F$5:$F$504,U700),0)),"")</f>
        <v/>
      </c>
      <c r="N700" s="61" t="str">
        <f aca="false">IF(IsPro,IF($D700="","",IF(AND(V700&lt;&gt;"",INDEX(Parties!$E$5:$E$304,V700)&lt;&gt;"",INDEX(Parties!$E$5:$E$304,V700)&lt;&gt;HomeState),0,ROUND(L700*M700/2,2))),"")</f>
        <v/>
      </c>
      <c r="O700" s="61" t="str">
        <f aca="false">IF(IsPro,IF($D700="","",N700),"")</f>
        <v/>
      </c>
      <c r="P700" s="61" t="str">
        <f aca="false">IF(IsPro,IF($D700="","",IF(AND(V700&lt;&gt;"",INDEX(Parties!$E$5:$E$304,V700)&lt;&gt;"",INDEX(Parties!$E$5:$E$304,V700)&lt;&gt;HomeState),ROUND(L700*M700,2),0)),"")</f>
        <v/>
      </c>
      <c r="Q700" s="61" t="str">
        <f aca="false">IF(IsPro,IF($D700="","",L700+N700+O700+P700),"")</f>
        <v/>
      </c>
      <c r="R700" s="61" t="str">
        <f aca="false">IF(IsPro,IF($D700="","",ROUND(N($E700)*IFERROR(INDEX(Items!$P$5:$P$504,U700),0),2)),"")</f>
        <v/>
      </c>
      <c r="S700" s="61" t="str">
        <f aca="false">IF(IsPro,IF($D700="","",L700-R700),"")</f>
        <v/>
      </c>
      <c r="T700" s="60" t="str">
        <f aca="false">IF(IsPro,IF($D700="","",IF(U700="","UNKNOWN ITEM",IF(INDEX(Items!$O$5:$O$504,U700)&lt;0,"NEG STOCK",IF(K700&lt;INDEX(Items!$P$5:$P$504,U700),"BELOW COST","OK")))),IF($D700="","","PRO PLAN"))</f>
        <v/>
      </c>
      <c r="U700" s="60" t="str">
        <f aca="false">IF(IsPro,IF($D700="","",IFERROR(MATCH($D700,Items!$A$5:$A$504,0),"")),"")</f>
        <v/>
      </c>
      <c r="V700" s="60" t="str">
        <f aca="false">IF(IsPro,IF($C700="","",IFERROR(MATCH($C700,Parties!$A$5:$A$304,0),"")),"")</f>
        <v/>
      </c>
      <c r="W700" s="60" t="str">
        <f aca="false">IF(IsPro,IF($B700="","",IFERROR(VALUE(SUBSTITUTE($B700,InvPrefix,"")),0)),"")</f>
        <v/>
      </c>
      <c r="X700" s="61" t="str">
        <f aca="false">IF(IsPro,IF($D700="","",IF(OR($H700="",$H700="Credit"),0,Q700)),"")</f>
        <v/>
      </c>
    </row>
    <row r="701" customFormat="false" ht="15" hidden="false" customHeight="false" outlineLevel="0" collapsed="false">
      <c r="A701" s="55"/>
      <c r="B701" s="56"/>
      <c r="C701" s="56"/>
      <c r="D701" s="56"/>
      <c r="E701" s="57"/>
      <c r="F701" s="58"/>
      <c r="G701" s="59"/>
      <c r="H701" s="56"/>
      <c r="I701" s="56"/>
      <c r="J701" s="60" t="str">
        <f aca="false">IF(IsPro,IF($D701="","",IFERROR(INDEX(Items!$D$5:$D$504,U701),"")),"")</f>
        <v/>
      </c>
      <c r="K701" s="61" t="str">
        <f aca="false">IF(IsPro,IF($D701="","",IF($F701="",IFERROR(INDEX(Items!$H$5:$H$504,U701),0),$F701)),"")</f>
        <v/>
      </c>
      <c r="L701" s="61" t="str">
        <f aca="false">IF(IsPro,IF($D701="","",ROUND(N($E701)*K701*(1-N($G701)),2)),"")</f>
        <v/>
      </c>
      <c r="M701" s="62" t="str">
        <f aca="false">IF(IsPro,IF($D701="","",IFERROR(INDEX(Items!$F$5:$F$504,U701),0)),"")</f>
        <v/>
      </c>
      <c r="N701" s="61" t="str">
        <f aca="false">IF(IsPro,IF($D701="","",IF(AND(V701&lt;&gt;"",INDEX(Parties!$E$5:$E$304,V701)&lt;&gt;"",INDEX(Parties!$E$5:$E$304,V701)&lt;&gt;HomeState),0,ROUND(L701*M701/2,2))),"")</f>
        <v/>
      </c>
      <c r="O701" s="61" t="str">
        <f aca="false">IF(IsPro,IF($D701="","",N701),"")</f>
        <v/>
      </c>
      <c r="P701" s="61" t="str">
        <f aca="false">IF(IsPro,IF($D701="","",IF(AND(V701&lt;&gt;"",INDEX(Parties!$E$5:$E$304,V701)&lt;&gt;"",INDEX(Parties!$E$5:$E$304,V701)&lt;&gt;HomeState),ROUND(L701*M701,2),0)),"")</f>
        <v/>
      </c>
      <c r="Q701" s="61" t="str">
        <f aca="false">IF(IsPro,IF($D701="","",L701+N701+O701+P701),"")</f>
        <v/>
      </c>
      <c r="R701" s="61" t="str">
        <f aca="false">IF(IsPro,IF($D701="","",ROUND(N($E701)*IFERROR(INDEX(Items!$P$5:$P$504,U701),0),2)),"")</f>
        <v/>
      </c>
      <c r="S701" s="61" t="str">
        <f aca="false">IF(IsPro,IF($D701="","",L701-R701),"")</f>
        <v/>
      </c>
      <c r="T701" s="60" t="str">
        <f aca="false">IF(IsPro,IF($D701="","",IF(U701="","UNKNOWN ITEM",IF(INDEX(Items!$O$5:$O$504,U701)&lt;0,"NEG STOCK",IF(K701&lt;INDEX(Items!$P$5:$P$504,U701),"BELOW COST","OK")))),IF($D701="","","PRO PLAN"))</f>
        <v/>
      </c>
      <c r="U701" s="60" t="str">
        <f aca="false">IF(IsPro,IF($D701="","",IFERROR(MATCH($D701,Items!$A$5:$A$504,0),"")),"")</f>
        <v/>
      </c>
      <c r="V701" s="60" t="str">
        <f aca="false">IF(IsPro,IF($C701="","",IFERROR(MATCH($C701,Parties!$A$5:$A$304,0),"")),"")</f>
        <v/>
      </c>
      <c r="W701" s="60" t="str">
        <f aca="false">IF(IsPro,IF($B701="","",IFERROR(VALUE(SUBSTITUTE($B701,InvPrefix,"")),0)),"")</f>
        <v/>
      </c>
      <c r="X701" s="61" t="str">
        <f aca="false">IF(IsPro,IF($D701="","",IF(OR($H701="",$H701="Credit"),0,Q701)),"")</f>
        <v/>
      </c>
    </row>
    <row r="702" customFormat="false" ht="15" hidden="false" customHeight="false" outlineLevel="0" collapsed="false">
      <c r="A702" s="55"/>
      <c r="B702" s="56"/>
      <c r="C702" s="56"/>
      <c r="D702" s="56"/>
      <c r="E702" s="57"/>
      <c r="F702" s="58"/>
      <c r="G702" s="59"/>
      <c r="H702" s="56"/>
      <c r="I702" s="56"/>
      <c r="J702" s="60" t="str">
        <f aca="false">IF(IsPro,IF($D702="","",IFERROR(INDEX(Items!$D$5:$D$504,U702),"")),"")</f>
        <v/>
      </c>
      <c r="K702" s="61" t="str">
        <f aca="false">IF(IsPro,IF($D702="","",IF($F702="",IFERROR(INDEX(Items!$H$5:$H$504,U702),0),$F702)),"")</f>
        <v/>
      </c>
      <c r="L702" s="61" t="str">
        <f aca="false">IF(IsPro,IF($D702="","",ROUND(N($E702)*K702*(1-N($G702)),2)),"")</f>
        <v/>
      </c>
      <c r="M702" s="62" t="str">
        <f aca="false">IF(IsPro,IF($D702="","",IFERROR(INDEX(Items!$F$5:$F$504,U702),0)),"")</f>
        <v/>
      </c>
      <c r="N702" s="61" t="str">
        <f aca="false">IF(IsPro,IF($D702="","",IF(AND(V702&lt;&gt;"",INDEX(Parties!$E$5:$E$304,V702)&lt;&gt;"",INDEX(Parties!$E$5:$E$304,V702)&lt;&gt;HomeState),0,ROUND(L702*M702/2,2))),"")</f>
        <v/>
      </c>
      <c r="O702" s="61" t="str">
        <f aca="false">IF(IsPro,IF($D702="","",N702),"")</f>
        <v/>
      </c>
      <c r="P702" s="61" t="str">
        <f aca="false">IF(IsPro,IF($D702="","",IF(AND(V702&lt;&gt;"",INDEX(Parties!$E$5:$E$304,V702)&lt;&gt;"",INDEX(Parties!$E$5:$E$304,V702)&lt;&gt;HomeState),ROUND(L702*M702,2),0)),"")</f>
        <v/>
      </c>
      <c r="Q702" s="61" t="str">
        <f aca="false">IF(IsPro,IF($D702="","",L702+N702+O702+P702),"")</f>
        <v/>
      </c>
      <c r="R702" s="61" t="str">
        <f aca="false">IF(IsPro,IF($D702="","",ROUND(N($E702)*IFERROR(INDEX(Items!$P$5:$P$504,U702),0),2)),"")</f>
        <v/>
      </c>
      <c r="S702" s="61" t="str">
        <f aca="false">IF(IsPro,IF($D702="","",L702-R702),"")</f>
        <v/>
      </c>
      <c r="T702" s="60" t="str">
        <f aca="false">IF(IsPro,IF($D702="","",IF(U702="","UNKNOWN ITEM",IF(INDEX(Items!$O$5:$O$504,U702)&lt;0,"NEG STOCK",IF(K702&lt;INDEX(Items!$P$5:$P$504,U702),"BELOW COST","OK")))),IF($D702="","","PRO PLAN"))</f>
        <v/>
      </c>
      <c r="U702" s="60" t="str">
        <f aca="false">IF(IsPro,IF($D702="","",IFERROR(MATCH($D702,Items!$A$5:$A$504,0),"")),"")</f>
        <v/>
      </c>
      <c r="V702" s="60" t="str">
        <f aca="false">IF(IsPro,IF($C702="","",IFERROR(MATCH($C702,Parties!$A$5:$A$304,0),"")),"")</f>
        <v/>
      </c>
      <c r="W702" s="60" t="str">
        <f aca="false">IF(IsPro,IF($B702="","",IFERROR(VALUE(SUBSTITUTE($B702,InvPrefix,"")),0)),"")</f>
        <v/>
      </c>
      <c r="X702" s="61" t="str">
        <f aca="false">IF(IsPro,IF($D702="","",IF(OR($H702="",$H702="Credit"),0,Q702)),"")</f>
        <v/>
      </c>
    </row>
    <row r="703" customFormat="false" ht="15" hidden="false" customHeight="false" outlineLevel="0" collapsed="false">
      <c r="A703" s="55"/>
      <c r="B703" s="56"/>
      <c r="C703" s="56"/>
      <c r="D703" s="56"/>
      <c r="E703" s="57"/>
      <c r="F703" s="58"/>
      <c r="G703" s="59"/>
      <c r="H703" s="56"/>
      <c r="I703" s="56"/>
      <c r="J703" s="60" t="str">
        <f aca="false">IF(IsPro,IF($D703="","",IFERROR(INDEX(Items!$D$5:$D$504,U703),"")),"")</f>
        <v/>
      </c>
      <c r="K703" s="61" t="str">
        <f aca="false">IF(IsPro,IF($D703="","",IF($F703="",IFERROR(INDEX(Items!$H$5:$H$504,U703),0),$F703)),"")</f>
        <v/>
      </c>
      <c r="L703" s="61" t="str">
        <f aca="false">IF(IsPro,IF($D703="","",ROUND(N($E703)*K703*(1-N($G703)),2)),"")</f>
        <v/>
      </c>
      <c r="M703" s="62" t="str">
        <f aca="false">IF(IsPro,IF($D703="","",IFERROR(INDEX(Items!$F$5:$F$504,U703),0)),"")</f>
        <v/>
      </c>
      <c r="N703" s="61" t="str">
        <f aca="false">IF(IsPro,IF($D703="","",IF(AND(V703&lt;&gt;"",INDEX(Parties!$E$5:$E$304,V703)&lt;&gt;"",INDEX(Parties!$E$5:$E$304,V703)&lt;&gt;HomeState),0,ROUND(L703*M703/2,2))),"")</f>
        <v/>
      </c>
      <c r="O703" s="61" t="str">
        <f aca="false">IF(IsPro,IF($D703="","",N703),"")</f>
        <v/>
      </c>
      <c r="P703" s="61" t="str">
        <f aca="false">IF(IsPro,IF($D703="","",IF(AND(V703&lt;&gt;"",INDEX(Parties!$E$5:$E$304,V703)&lt;&gt;"",INDEX(Parties!$E$5:$E$304,V703)&lt;&gt;HomeState),ROUND(L703*M703,2),0)),"")</f>
        <v/>
      </c>
      <c r="Q703" s="61" t="str">
        <f aca="false">IF(IsPro,IF($D703="","",L703+N703+O703+P703),"")</f>
        <v/>
      </c>
      <c r="R703" s="61" t="str">
        <f aca="false">IF(IsPro,IF($D703="","",ROUND(N($E703)*IFERROR(INDEX(Items!$P$5:$P$504,U703),0),2)),"")</f>
        <v/>
      </c>
      <c r="S703" s="61" t="str">
        <f aca="false">IF(IsPro,IF($D703="","",L703-R703),"")</f>
        <v/>
      </c>
      <c r="T703" s="60" t="str">
        <f aca="false">IF(IsPro,IF($D703="","",IF(U703="","UNKNOWN ITEM",IF(INDEX(Items!$O$5:$O$504,U703)&lt;0,"NEG STOCK",IF(K703&lt;INDEX(Items!$P$5:$P$504,U703),"BELOW COST","OK")))),IF($D703="","","PRO PLAN"))</f>
        <v/>
      </c>
      <c r="U703" s="60" t="str">
        <f aca="false">IF(IsPro,IF($D703="","",IFERROR(MATCH($D703,Items!$A$5:$A$504,0),"")),"")</f>
        <v/>
      </c>
      <c r="V703" s="60" t="str">
        <f aca="false">IF(IsPro,IF($C703="","",IFERROR(MATCH($C703,Parties!$A$5:$A$304,0),"")),"")</f>
        <v/>
      </c>
      <c r="W703" s="60" t="str">
        <f aca="false">IF(IsPro,IF($B703="","",IFERROR(VALUE(SUBSTITUTE($B703,InvPrefix,"")),0)),"")</f>
        <v/>
      </c>
      <c r="X703" s="61" t="str">
        <f aca="false">IF(IsPro,IF($D703="","",IF(OR($H703="",$H703="Credit"),0,Q703)),"")</f>
        <v/>
      </c>
    </row>
    <row r="704" customFormat="false" ht="15" hidden="false" customHeight="false" outlineLevel="0" collapsed="false">
      <c r="A704" s="55"/>
      <c r="B704" s="56"/>
      <c r="C704" s="56"/>
      <c r="D704" s="56"/>
      <c r="E704" s="57"/>
      <c r="F704" s="58"/>
      <c r="G704" s="59"/>
      <c r="H704" s="56"/>
      <c r="I704" s="56"/>
      <c r="J704" s="60" t="str">
        <f aca="false">IF(IsPro,IF($D704="","",IFERROR(INDEX(Items!$D$5:$D$504,U704),"")),"")</f>
        <v/>
      </c>
      <c r="K704" s="61" t="str">
        <f aca="false">IF(IsPro,IF($D704="","",IF($F704="",IFERROR(INDEX(Items!$H$5:$H$504,U704),0),$F704)),"")</f>
        <v/>
      </c>
      <c r="L704" s="61" t="str">
        <f aca="false">IF(IsPro,IF($D704="","",ROUND(N($E704)*K704*(1-N($G704)),2)),"")</f>
        <v/>
      </c>
      <c r="M704" s="62" t="str">
        <f aca="false">IF(IsPro,IF($D704="","",IFERROR(INDEX(Items!$F$5:$F$504,U704),0)),"")</f>
        <v/>
      </c>
      <c r="N704" s="61" t="str">
        <f aca="false">IF(IsPro,IF($D704="","",IF(AND(V704&lt;&gt;"",INDEX(Parties!$E$5:$E$304,V704)&lt;&gt;"",INDEX(Parties!$E$5:$E$304,V704)&lt;&gt;HomeState),0,ROUND(L704*M704/2,2))),"")</f>
        <v/>
      </c>
      <c r="O704" s="61" t="str">
        <f aca="false">IF(IsPro,IF($D704="","",N704),"")</f>
        <v/>
      </c>
      <c r="P704" s="61" t="str">
        <f aca="false">IF(IsPro,IF($D704="","",IF(AND(V704&lt;&gt;"",INDEX(Parties!$E$5:$E$304,V704)&lt;&gt;"",INDEX(Parties!$E$5:$E$304,V704)&lt;&gt;HomeState),ROUND(L704*M704,2),0)),"")</f>
        <v/>
      </c>
      <c r="Q704" s="61" t="str">
        <f aca="false">IF(IsPro,IF($D704="","",L704+N704+O704+P704),"")</f>
        <v/>
      </c>
      <c r="R704" s="61" t="str">
        <f aca="false">IF(IsPro,IF($D704="","",ROUND(N($E704)*IFERROR(INDEX(Items!$P$5:$P$504,U704),0),2)),"")</f>
        <v/>
      </c>
      <c r="S704" s="61" t="str">
        <f aca="false">IF(IsPro,IF($D704="","",L704-R704),"")</f>
        <v/>
      </c>
      <c r="T704" s="60" t="str">
        <f aca="false">IF(IsPro,IF($D704="","",IF(U704="","UNKNOWN ITEM",IF(INDEX(Items!$O$5:$O$504,U704)&lt;0,"NEG STOCK",IF(K704&lt;INDEX(Items!$P$5:$P$504,U704),"BELOW COST","OK")))),IF($D704="","","PRO PLAN"))</f>
        <v/>
      </c>
      <c r="U704" s="60" t="str">
        <f aca="false">IF(IsPro,IF($D704="","",IFERROR(MATCH($D704,Items!$A$5:$A$504,0),"")),"")</f>
        <v/>
      </c>
      <c r="V704" s="60" t="str">
        <f aca="false">IF(IsPro,IF($C704="","",IFERROR(MATCH($C704,Parties!$A$5:$A$304,0),"")),"")</f>
        <v/>
      </c>
      <c r="W704" s="60" t="str">
        <f aca="false">IF(IsPro,IF($B704="","",IFERROR(VALUE(SUBSTITUTE($B704,InvPrefix,"")),0)),"")</f>
        <v/>
      </c>
      <c r="X704" s="61" t="str">
        <f aca="false">IF(IsPro,IF($D704="","",IF(OR($H704="",$H704="Credit"),0,Q704)),"")</f>
        <v/>
      </c>
    </row>
    <row r="705" customFormat="false" ht="15" hidden="false" customHeight="false" outlineLevel="0" collapsed="false">
      <c r="A705" s="55"/>
      <c r="B705" s="56"/>
      <c r="C705" s="56"/>
      <c r="D705" s="56"/>
      <c r="E705" s="57"/>
      <c r="F705" s="58"/>
      <c r="G705" s="59"/>
      <c r="H705" s="56"/>
      <c r="I705" s="56"/>
      <c r="J705" s="60" t="str">
        <f aca="false">IF(IsPro,IF($D705="","",IFERROR(INDEX(Items!$D$5:$D$504,U705),"")),"")</f>
        <v/>
      </c>
      <c r="K705" s="61" t="str">
        <f aca="false">IF(IsPro,IF($D705="","",IF($F705="",IFERROR(INDEX(Items!$H$5:$H$504,U705),0),$F705)),"")</f>
        <v/>
      </c>
      <c r="L705" s="61" t="str">
        <f aca="false">IF(IsPro,IF($D705="","",ROUND(N($E705)*K705*(1-N($G705)),2)),"")</f>
        <v/>
      </c>
      <c r="M705" s="62" t="str">
        <f aca="false">IF(IsPro,IF($D705="","",IFERROR(INDEX(Items!$F$5:$F$504,U705),0)),"")</f>
        <v/>
      </c>
      <c r="N705" s="61" t="str">
        <f aca="false">IF(IsPro,IF($D705="","",IF(AND(V705&lt;&gt;"",INDEX(Parties!$E$5:$E$304,V705)&lt;&gt;"",INDEX(Parties!$E$5:$E$304,V705)&lt;&gt;HomeState),0,ROUND(L705*M705/2,2))),"")</f>
        <v/>
      </c>
      <c r="O705" s="61" t="str">
        <f aca="false">IF(IsPro,IF($D705="","",N705),"")</f>
        <v/>
      </c>
      <c r="P705" s="61" t="str">
        <f aca="false">IF(IsPro,IF($D705="","",IF(AND(V705&lt;&gt;"",INDEX(Parties!$E$5:$E$304,V705)&lt;&gt;"",INDEX(Parties!$E$5:$E$304,V705)&lt;&gt;HomeState),ROUND(L705*M705,2),0)),"")</f>
        <v/>
      </c>
      <c r="Q705" s="61" t="str">
        <f aca="false">IF(IsPro,IF($D705="","",L705+N705+O705+P705),"")</f>
        <v/>
      </c>
      <c r="R705" s="61" t="str">
        <f aca="false">IF(IsPro,IF($D705="","",ROUND(N($E705)*IFERROR(INDEX(Items!$P$5:$P$504,U705),0),2)),"")</f>
        <v/>
      </c>
      <c r="S705" s="61" t="str">
        <f aca="false">IF(IsPro,IF($D705="","",L705-R705),"")</f>
        <v/>
      </c>
      <c r="T705" s="60" t="str">
        <f aca="false">IF(IsPro,IF($D705="","",IF(U705="","UNKNOWN ITEM",IF(INDEX(Items!$O$5:$O$504,U705)&lt;0,"NEG STOCK",IF(K705&lt;INDEX(Items!$P$5:$P$504,U705),"BELOW COST","OK")))),IF($D705="","","PRO PLAN"))</f>
        <v/>
      </c>
      <c r="U705" s="60" t="str">
        <f aca="false">IF(IsPro,IF($D705="","",IFERROR(MATCH($D705,Items!$A$5:$A$504,0),"")),"")</f>
        <v/>
      </c>
      <c r="V705" s="60" t="str">
        <f aca="false">IF(IsPro,IF($C705="","",IFERROR(MATCH($C705,Parties!$A$5:$A$304,0),"")),"")</f>
        <v/>
      </c>
      <c r="W705" s="60" t="str">
        <f aca="false">IF(IsPro,IF($B705="","",IFERROR(VALUE(SUBSTITUTE($B705,InvPrefix,"")),0)),"")</f>
        <v/>
      </c>
      <c r="X705" s="61" t="str">
        <f aca="false">IF(IsPro,IF($D705="","",IF(OR($H705="",$H705="Credit"),0,Q705)),"")</f>
        <v/>
      </c>
    </row>
    <row r="706" customFormat="false" ht="15" hidden="false" customHeight="false" outlineLevel="0" collapsed="false">
      <c r="A706" s="55"/>
      <c r="B706" s="56"/>
      <c r="C706" s="56"/>
      <c r="D706" s="56"/>
      <c r="E706" s="57"/>
      <c r="F706" s="58"/>
      <c r="G706" s="59"/>
      <c r="H706" s="56"/>
      <c r="I706" s="56"/>
      <c r="J706" s="60" t="str">
        <f aca="false">IF(IsPro,IF($D706="","",IFERROR(INDEX(Items!$D$5:$D$504,U706),"")),"")</f>
        <v/>
      </c>
      <c r="K706" s="61" t="str">
        <f aca="false">IF(IsPro,IF($D706="","",IF($F706="",IFERROR(INDEX(Items!$H$5:$H$504,U706),0),$F706)),"")</f>
        <v/>
      </c>
      <c r="L706" s="61" t="str">
        <f aca="false">IF(IsPro,IF($D706="","",ROUND(N($E706)*K706*(1-N($G706)),2)),"")</f>
        <v/>
      </c>
      <c r="M706" s="62" t="str">
        <f aca="false">IF(IsPro,IF($D706="","",IFERROR(INDEX(Items!$F$5:$F$504,U706),0)),"")</f>
        <v/>
      </c>
      <c r="N706" s="61" t="str">
        <f aca="false">IF(IsPro,IF($D706="","",IF(AND(V706&lt;&gt;"",INDEX(Parties!$E$5:$E$304,V706)&lt;&gt;"",INDEX(Parties!$E$5:$E$304,V706)&lt;&gt;HomeState),0,ROUND(L706*M706/2,2))),"")</f>
        <v/>
      </c>
      <c r="O706" s="61" t="str">
        <f aca="false">IF(IsPro,IF($D706="","",N706),"")</f>
        <v/>
      </c>
      <c r="P706" s="61" t="str">
        <f aca="false">IF(IsPro,IF($D706="","",IF(AND(V706&lt;&gt;"",INDEX(Parties!$E$5:$E$304,V706)&lt;&gt;"",INDEX(Parties!$E$5:$E$304,V706)&lt;&gt;HomeState),ROUND(L706*M706,2),0)),"")</f>
        <v/>
      </c>
      <c r="Q706" s="61" t="str">
        <f aca="false">IF(IsPro,IF($D706="","",L706+N706+O706+P706),"")</f>
        <v/>
      </c>
      <c r="R706" s="61" t="str">
        <f aca="false">IF(IsPro,IF($D706="","",ROUND(N($E706)*IFERROR(INDEX(Items!$P$5:$P$504,U706),0),2)),"")</f>
        <v/>
      </c>
      <c r="S706" s="61" t="str">
        <f aca="false">IF(IsPro,IF($D706="","",L706-R706),"")</f>
        <v/>
      </c>
      <c r="T706" s="60" t="str">
        <f aca="false">IF(IsPro,IF($D706="","",IF(U706="","UNKNOWN ITEM",IF(INDEX(Items!$O$5:$O$504,U706)&lt;0,"NEG STOCK",IF(K706&lt;INDEX(Items!$P$5:$P$504,U706),"BELOW COST","OK")))),IF($D706="","","PRO PLAN"))</f>
        <v/>
      </c>
      <c r="U706" s="60" t="str">
        <f aca="false">IF(IsPro,IF($D706="","",IFERROR(MATCH($D706,Items!$A$5:$A$504,0),"")),"")</f>
        <v/>
      </c>
      <c r="V706" s="60" t="str">
        <f aca="false">IF(IsPro,IF($C706="","",IFERROR(MATCH($C706,Parties!$A$5:$A$304,0),"")),"")</f>
        <v/>
      </c>
      <c r="W706" s="60" t="str">
        <f aca="false">IF(IsPro,IF($B706="","",IFERROR(VALUE(SUBSTITUTE($B706,InvPrefix,"")),0)),"")</f>
        <v/>
      </c>
      <c r="X706" s="61" t="str">
        <f aca="false">IF(IsPro,IF($D706="","",IF(OR($H706="",$H706="Credit"),0,Q706)),"")</f>
        <v/>
      </c>
    </row>
    <row r="707" customFormat="false" ht="15" hidden="false" customHeight="false" outlineLevel="0" collapsed="false">
      <c r="A707" s="55"/>
      <c r="B707" s="56"/>
      <c r="C707" s="56"/>
      <c r="D707" s="56"/>
      <c r="E707" s="57"/>
      <c r="F707" s="58"/>
      <c r="G707" s="59"/>
      <c r="H707" s="56"/>
      <c r="I707" s="56"/>
      <c r="J707" s="60" t="str">
        <f aca="false">IF(IsPro,IF($D707="","",IFERROR(INDEX(Items!$D$5:$D$504,U707),"")),"")</f>
        <v/>
      </c>
      <c r="K707" s="61" t="str">
        <f aca="false">IF(IsPro,IF($D707="","",IF($F707="",IFERROR(INDEX(Items!$H$5:$H$504,U707),0),$F707)),"")</f>
        <v/>
      </c>
      <c r="L707" s="61" t="str">
        <f aca="false">IF(IsPro,IF($D707="","",ROUND(N($E707)*K707*(1-N($G707)),2)),"")</f>
        <v/>
      </c>
      <c r="M707" s="62" t="str">
        <f aca="false">IF(IsPro,IF($D707="","",IFERROR(INDEX(Items!$F$5:$F$504,U707),0)),"")</f>
        <v/>
      </c>
      <c r="N707" s="61" t="str">
        <f aca="false">IF(IsPro,IF($D707="","",IF(AND(V707&lt;&gt;"",INDEX(Parties!$E$5:$E$304,V707)&lt;&gt;"",INDEX(Parties!$E$5:$E$304,V707)&lt;&gt;HomeState),0,ROUND(L707*M707/2,2))),"")</f>
        <v/>
      </c>
      <c r="O707" s="61" t="str">
        <f aca="false">IF(IsPro,IF($D707="","",N707),"")</f>
        <v/>
      </c>
      <c r="P707" s="61" t="str">
        <f aca="false">IF(IsPro,IF($D707="","",IF(AND(V707&lt;&gt;"",INDEX(Parties!$E$5:$E$304,V707)&lt;&gt;"",INDEX(Parties!$E$5:$E$304,V707)&lt;&gt;HomeState),ROUND(L707*M707,2),0)),"")</f>
        <v/>
      </c>
      <c r="Q707" s="61" t="str">
        <f aca="false">IF(IsPro,IF($D707="","",L707+N707+O707+P707),"")</f>
        <v/>
      </c>
      <c r="R707" s="61" t="str">
        <f aca="false">IF(IsPro,IF($D707="","",ROUND(N($E707)*IFERROR(INDEX(Items!$P$5:$P$504,U707),0),2)),"")</f>
        <v/>
      </c>
      <c r="S707" s="61" t="str">
        <f aca="false">IF(IsPro,IF($D707="","",L707-R707),"")</f>
        <v/>
      </c>
      <c r="T707" s="60" t="str">
        <f aca="false">IF(IsPro,IF($D707="","",IF(U707="","UNKNOWN ITEM",IF(INDEX(Items!$O$5:$O$504,U707)&lt;0,"NEG STOCK",IF(K707&lt;INDEX(Items!$P$5:$P$504,U707),"BELOW COST","OK")))),IF($D707="","","PRO PLAN"))</f>
        <v/>
      </c>
      <c r="U707" s="60" t="str">
        <f aca="false">IF(IsPro,IF($D707="","",IFERROR(MATCH($D707,Items!$A$5:$A$504,0),"")),"")</f>
        <v/>
      </c>
      <c r="V707" s="60" t="str">
        <f aca="false">IF(IsPro,IF($C707="","",IFERROR(MATCH($C707,Parties!$A$5:$A$304,0),"")),"")</f>
        <v/>
      </c>
      <c r="W707" s="60" t="str">
        <f aca="false">IF(IsPro,IF($B707="","",IFERROR(VALUE(SUBSTITUTE($B707,InvPrefix,"")),0)),"")</f>
        <v/>
      </c>
      <c r="X707" s="61" t="str">
        <f aca="false">IF(IsPro,IF($D707="","",IF(OR($H707="",$H707="Credit"),0,Q707)),"")</f>
        <v/>
      </c>
    </row>
    <row r="708" customFormat="false" ht="15" hidden="false" customHeight="false" outlineLevel="0" collapsed="false">
      <c r="A708" s="55"/>
      <c r="B708" s="56"/>
      <c r="C708" s="56"/>
      <c r="D708" s="56"/>
      <c r="E708" s="57"/>
      <c r="F708" s="58"/>
      <c r="G708" s="59"/>
      <c r="H708" s="56"/>
      <c r="I708" s="56"/>
      <c r="J708" s="60" t="str">
        <f aca="false">IF(IsPro,IF($D708="","",IFERROR(INDEX(Items!$D$5:$D$504,U708),"")),"")</f>
        <v/>
      </c>
      <c r="K708" s="61" t="str">
        <f aca="false">IF(IsPro,IF($D708="","",IF($F708="",IFERROR(INDEX(Items!$H$5:$H$504,U708),0),$F708)),"")</f>
        <v/>
      </c>
      <c r="L708" s="61" t="str">
        <f aca="false">IF(IsPro,IF($D708="","",ROUND(N($E708)*K708*(1-N($G708)),2)),"")</f>
        <v/>
      </c>
      <c r="M708" s="62" t="str">
        <f aca="false">IF(IsPro,IF($D708="","",IFERROR(INDEX(Items!$F$5:$F$504,U708),0)),"")</f>
        <v/>
      </c>
      <c r="N708" s="61" t="str">
        <f aca="false">IF(IsPro,IF($D708="","",IF(AND(V708&lt;&gt;"",INDEX(Parties!$E$5:$E$304,V708)&lt;&gt;"",INDEX(Parties!$E$5:$E$304,V708)&lt;&gt;HomeState),0,ROUND(L708*M708/2,2))),"")</f>
        <v/>
      </c>
      <c r="O708" s="61" t="str">
        <f aca="false">IF(IsPro,IF($D708="","",N708),"")</f>
        <v/>
      </c>
      <c r="P708" s="61" t="str">
        <f aca="false">IF(IsPro,IF($D708="","",IF(AND(V708&lt;&gt;"",INDEX(Parties!$E$5:$E$304,V708)&lt;&gt;"",INDEX(Parties!$E$5:$E$304,V708)&lt;&gt;HomeState),ROUND(L708*M708,2),0)),"")</f>
        <v/>
      </c>
      <c r="Q708" s="61" t="str">
        <f aca="false">IF(IsPro,IF($D708="","",L708+N708+O708+P708),"")</f>
        <v/>
      </c>
      <c r="R708" s="61" t="str">
        <f aca="false">IF(IsPro,IF($D708="","",ROUND(N($E708)*IFERROR(INDEX(Items!$P$5:$P$504,U708),0),2)),"")</f>
        <v/>
      </c>
      <c r="S708" s="61" t="str">
        <f aca="false">IF(IsPro,IF($D708="","",L708-R708),"")</f>
        <v/>
      </c>
      <c r="T708" s="60" t="str">
        <f aca="false">IF(IsPro,IF($D708="","",IF(U708="","UNKNOWN ITEM",IF(INDEX(Items!$O$5:$O$504,U708)&lt;0,"NEG STOCK",IF(K708&lt;INDEX(Items!$P$5:$P$504,U708),"BELOW COST","OK")))),IF($D708="","","PRO PLAN"))</f>
        <v/>
      </c>
      <c r="U708" s="60" t="str">
        <f aca="false">IF(IsPro,IF($D708="","",IFERROR(MATCH($D708,Items!$A$5:$A$504,0),"")),"")</f>
        <v/>
      </c>
      <c r="V708" s="60" t="str">
        <f aca="false">IF(IsPro,IF($C708="","",IFERROR(MATCH($C708,Parties!$A$5:$A$304,0),"")),"")</f>
        <v/>
      </c>
      <c r="W708" s="60" t="str">
        <f aca="false">IF(IsPro,IF($B708="","",IFERROR(VALUE(SUBSTITUTE($B708,InvPrefix,"")),0)),"")</f>
        <v/>
      </c>
      <c r="X708" s="61" t="str">
        <f aca="false">IF(IsPro,IF($D708="","",IF(OR($H708="",$H708="Credit"),0,Q708)),"")</f>
        <v/>
      </c>
    </row>
    <row r="709" customFormat="false" ht="15" hidden="false" customHeight="false" outlineLevel="0" collapsed="false">
      <c r="A709" s="55"/>
      <c r="B709" s="56"/>
      <c r="C709" s="56"/>
      <c r="D709" s="56"/>
      <c r="E709" s="57"/>
      <c r="F709" s="58"/>
      <c r="G709" s="59"/>
      <c r="H709" s="56"/>
      <c r="I709" s="56"/>
      <c r="J709" s="60" t="str">
        <f aca="false">IF(IsPro,IF($D709="","",IFERROR(INDEX(Items!$D$5:$D$504,U709),"")),"")</f>
        <v/>
      </c>
      <c r="K709" s="61" t="str">
        <f aca="false">IF(IsPro,IF($D709="","",IF($F709="",IFERROR(INDEX(Items!$H$5:$H$504,U709),0),$F709)),"")</f>
        <v/>
      </c>
      <c r="L709" s="61" t="str">
        <f aca="false">IF(IsPro,IF($D709="","",ROUND(N($E709)*K709*(1-N($G709)),2)),"")</f>
        <v/>
      </c>
      <c r="M709" s="62" t="str">
        <f aca="false">IF(IsPro,IF($D709="","",IFERROR(INDEX(Items!$F$5:$F$504,U709),0)),"")</f>
        <v/>
      </c>
      <c r="N709" s="61" t="str">
        <f aca="false">IF(IsPro,IF($D709="","",IF(AND(V709&lt;&gt;"",INDEX(Parties!$E$5:$E$304,V709)&lt;&gt;"",INDEX(Parties!$E$5:$E$304,V709)&lt;&gt;HomeState),0,ROUND(L709*M709/2,2))),"")</f>
        <v/>
      </c>
      <c r="O709" s="61" t="str">
        <f aca="false">IF(IsPro,IF($D709="","",N709),"")</f>
        <v/>
      </c>
      <c r="P709" s="61" t="str">
        <f aca="false">IF(IsPro,IF($D709="","",IF(AND(V709&lt;&gt;"",INDEX(Parties!$E$5:$E$304,V709)&lt;&gt;"",INDEX(Parties!$E$5:$E$304,V709)&lt;&gt;HomeState),ROUND(L709*M709,2),0)),"")</f>
        <v/>
      </c>
      <c r="Q709" s="61" t="str">
        <f aca="false">IF(IsPro,IF($D709="","",L709+N709+O709+P709),"")</f>
        <v/>
      </c>
      <c r="R709" s="61" t="str">
        <f aca="false">IF(IsPro,IF($D709="","",ROUND(N($E709)*IFERROR(INDEX(Items!$P$5:$P$504,U709),0),2)),"")</f>
        <v/>
      </c>
      <c r="S709" s="61" t="str">
        <f aca="false">IF(IsPro,IF($D709="","",L709-R709),"")</f>
        <v/>
      </c>
      <c r="T709" s="60" t="str">
        <f aca="false">IF(IsPro,IF($D709="","",IF(U709="","UNKNOWN ITEM",IF(INDEX(Items!$O$5:$O$504,U709)&lt;0,"NEG STOCK",IF(K709&lt;INDEX(Items!$P$5:$P$504,U709),"BELOW COST","OK")))),IF($D709="","","PRO PLAN"))</f>
        <v/>
      </c>
      <c r="U709" s="60" t="str">
        <f aca="false">IF(IsPro,IF($D709="","",IFERROR(MATCH($D709,Items!$A$5:$A$504,0),"")),"")</f>
        <v/>
      </c>
      <c r="V709" s="60" t="str">
        <f aca="false">IF(IsPro,IF($C709="","",IFERROR(MATCH($C709,Parties!$A$5:$A$304,0),"")),"")</f>
        <v/>
      </c>
      <c r="W709" s="60" t="str">
        <f aca="false">IF(IsPro,IF($B709="","",IFERROR(VALUE(SUBSTITUTE($B709,InvPrefix,"")),0)),"")</f>
        <v/>
      </c>
      <c r="X709" s="61" t="str">
        <f aca="false">IF(IsPro,IF($D709="","",IF(OR($H709="",$H709="Credit"),0,Q709)),"")</f>
        <v/>
      </c>
    </row>
    <row r="710" customFormat="false" ht="15" hidden="false" customHeight="false" outlineLevel="0" collapsed="false">
      <c r="A710" s="55"/>
      <c r="B710" s="56"/>
      <c r="C710" s="56"/>
      <c r="D710" s="56"/>
      <c r="E710" s="57"/>
      <c r="F710" s="58"/>
      <c r="G710" s="59"/>
      <c r="H710" s="56"/>
      <c r="I710" s="56"/>
      <c r="J710" s="60" t="str">
        <f aca="false">IF(IsPro,IF($D710="","",IFERROR(INDEX(Items!$D$5:$D$504,U710),"")),"")</f>
        <v/>
      </c>
      <c r="K710" s="61" t="str">
        <f aca="false">IF(IsPro,IF($D710="","",IF($F710="",IFERROR(INDEX(Items!$H$5:$H$504,U710),0),$F710)),"")</f>
        <v/>
      </c>
      <c r="L710" s="61" t="str">
        <f aca="false">IF(IsPro,IF($D710="","",ROUND(N($E710)*K710*(1-N($G710)),2)),"")</f>
        <v/>
      </c>
      <c r="M710" s="62" t="str">
        <f aca="false">IF(IsPro,IF($D710="","",IFERROR(INDEX(Items!$F$5:$F$504,U710),0)),"")</f>
        <v/>
      </c>
      <c r="N710" s="61" t="str">
        <f aca="false">IF(IsPro,IF($D710="","",IF(AND(V710&lt;&gt;"",INDEX(Parties!$E$5:$E$304,V710)&lt;&gt;"",INDEX(Parties!$E$5:$E$304,V710)&lt;&gt;HomeState),0,ROUND(L710*M710/2,2))),"")</f>
        <v/>
      </c>
      <c r="O710" s="61" t="str">
        <f aca="false">IF(IsPro,IF($D710="","",N710),"")</f>
        <v/>
      </c>
      <c r="P710" s="61" t="str">
        <f aca="false">IF(IsPro,IF($D710="","",IF(AND(V710&lt;&gt;"",INDEX(Parties!$E$5:$E$304,V710)&lt;&gt;"",INDEX(Parties!$E$5:$E$304,V710)&lt;&gt;HomeState),ROUND(L710*M710,2),0)),"")</f>
        <v/>
      </c>
      <c r="Q710" s="61" t="str">
        <f aca="false">IF(IsPro,IF($D710="","",L710+N710+O710+P710),"")</f>
        <v/>
      </c>
      <c r="R710" s="61" t="str">
        <f aca="false">IF(IsPro,IF($D710="","",ROUND(N($E710)*IFERROR(INDEX(Items!$P$5:$P$504,U710),0),2)),"")</f>
        <v/>
      </c>
      <c r="S710" s="61" t="str">
        <f aca="false">IF(IsPro,IF($D710="","",L710-R710),"")</f>
        <v/>
      </c>
      <c r="T710" s="60" t="str">
        <f aca="false">IF(IsPro,IF($D710="","",IF(U710="","UNKNOWN ITEM",IF(INDEX(Items!$O$5:$O$504,U710)&lt;0,"NEG STOCK",IF(K710&lt;INDEX(Items!$P$5:$P$504,U710),"BELOW COST","OK")))),IF($D710="","","PRO PLAN"))</f>
        <v/>
      </c>
      <c r="U710" s="60" t="str">
        <f aca="false">IF(IsPro,IF($D710="","",IFERROR(MATCH($D710,Items!$A$5:$A$504,0),"")),"")</f>
        <v/>
      </c>
      <c r="V710" s="60" t="str">
        <f aca="false">IF(IsPro,IF($C710="","",IFERROR(MATCH($C710,Parties!$A$5:$A$304,0),"")),"")</f>
        <v/>
      </c>
      <c r="W710" s="60" t="str">
        <f aca="false">IF(IsPro,IF($B710="","",IFERROR(VALUE(SUBSTITUTE($B710,InvPrefix,"")),0)),"")</f>
        <v/>
      </c>
      <c r="X710" s="61" t="str">
        <f aca="false">IF(IsPro,IF($D710="","",IF(OR($H710="",$H710="Credit"),0,Q710)),"")</f>
        <v/>
      </c>
    </row>
    <row r="711" customFormat="false" ht="15" hidden="false" customHeight="false" outlineLevel="0" collapsed="false">
      <c r="A711" s="55"/>
      <c r="B711" s="56"/>
      <c r="C711" s="56"/>
      <c r="D711" s="56"/>
      <c r="E711" s="57"/>
      <c r="F711" s="58"/>
      <c r="G711" s="59"/>
      <c r="H711" s="56"/>
      <c r="I711" s="56"/>
      <c r="J711" s="60" t="str">
        <f aca="false">IF(IsPro,IF($D711="","",IFERROR(INDEX(Items!$D$5:$D$504,U711),"")),"")</f>
        <v/>
      </c>
      <c r="K711" s="61" t="str">
        <f aca="false">IF(IsPro,IF($D711="","",IF($F711="",IFERROR(INDEX(Items!$H$5:$H$504,U711),0),$F711)),"")</f>
        <v/>
      </c>
      <c r="L711" s="61" t="str">
        <f aca="false">IF(IsPro,IF($D711="","",ROUND(N($E711)*K711*(1-N($G711)),2)),"")</f>
        <v/>
      </c>
      <c r="M711" s="62" t="str">
        <f aca="false">IF(IsPro,IF($D711="","",IFERROR(INDEX(Items!$F$5:$F$504,U711),0)),"")</f>
        <v/>
      </c>
      <c r="N711" s="61" t="str">
        <f aca="false">IF(IsPro,IF($D711="","",IF(AND(V711&lt;&gt;"",INDEX(Parties!$E$5:$E$304,V711)&lt;&gt;"",INDEX(Parties!$E$5:$E$304,V711)&lt;&gt;HomeState),0,ROUND(L711*M711/2,2))),"")</f>
        <v/>
      </c>
      <c r="O711" s="61" t="str">
        <f aca="false">IF(IsPro,IF($D711="","",N711),"")</f>
        <v/>
      </c>
      <c r="P711" s="61" t="str">
        <f aca="false">IF(IsPro,IF($D711="","",IF(AND(V711&lt;&gt;"",INDEX(Parties!$E$5:$E$304,V711)&lt;&gt;"",INDEX(Parties!$E$5:$E$304,V711)&lt;&gt;HomeState),ROUND(L711*M711,2),0)),"")</f>
        <v/>
      </c>
      <c r="Q711" s="61" t="str">
        <f aca="false">IF(IsPro,IF($D711="","",L711+N711+O711+P711),"")</f>
        <v/>
      </c>
      <c r="R711" s="61" t="str">
        <f aca="false">IF(IsPro,IF($D711="","",ROUND(N($E711)*IFERROR(INDEX(Items!$P$5:$P$504,U711),0),2)),"")</f>
        <v/>
      </c>
      <c r="S711" s="61" t="str">
        <f aca="false">IF(IsPro,IF($D711="","",L711-R711),"")</f>
        <v/>
      </c>
      <c r="T711" s="60" t="str">
        <f aca="false">IF(IsPro,IF($D711="","",IF(U711="","UNKNOWN ITEM",IF(INDEX(Items!$O$5:$O$504,U711)&lt;0,"NEG STOCK",IF(K711&lt;INDEX(Items!$P$5:$P$504,U711),"BELOW COST","OK")))),IF($D711="","","PRO PLAN"))</f>
        <v/>
      </c>
      <c r="U711" s="60" t="str">
        <f aca="false">IF(IsPro,IF($D711="","",IFERROR(MATCH($D711,Items!$A$5:$A$504,0),"")),"")</f>
        <v/>
      </c>
      <c r="V711" s="60" t="str">
        <f aca="false">IF(IsPro,IF($C711="","",IFERROR(MATCH($C711,Parties!$A$5:$A$304,0),"")),"")</f>
        <v/>
      </c>
      <c r="W711" s="60" t="str">
        <f aca="false">IF(IsPro,IF($B711="","",IFERROR(VALUE(SUBSTITUTE($B711,InvPrefix,"")),0)),"")</f>
        <v/>
      </c>
      <c r="X711" s="61" t="str">
        <f aca="false">IF(IsPro,IF($D711="","",IF(OR($H711="",$H711="Credit"),0,Q711)),"")</f>
        <v/>
      </c>
    </row>
    <row r="712" customFormat="false" ht="15" hidden="false" customHeight="false" outlineLevel="0" collapsed="false">
      <c r="A712" s="55"/>
      <c r="B712" s="56"/>
      <c r="C712" s="56"/>
      <c r="D712" s="56"/>
      <c r="E712" s="57"/>
      <c r="F712" s="58"/>
      <c r="G712" s="59"/>
      <c r="H712" s="56"/>
      <c r="I712" s="56"/>
      <c r="J712" s="60" t="str">
        <f aca="false">IF(IsPro,IF($D712="","",IFERROR(INDEX(Items!$D$5:$D$504,U712),"")),"")</f>
        <v/>
      </c>
      <c r="K712" s="61" t="str">
        <f aca="false">IF(IsPro,IF($D712="","",IF($F712="",IFERROR(INDEX(Items!$H$5:$H$504,U712),0),$F712)),"")</f>
        <v/>
      </c>
      <c r="L712" s="61" t="str">
        <f aca="false">IF(IsPro,IF($D712="","",ROUND(N($E712)*K712*(1-N($G712)),2)),"")</f>
        <v/>
      </c>
      <c r="M712" s="62" t="str">
        <f aca="false">IF(IsPro,IF($D712="","",IFERROR(INDEX(Items!$F$5:$F$504,U712),0)),"")</f>
        <v/>
      </c>
      <c r="N712" s="61" t="str">
        <f aca="false">IF(IsPro,IF($D712="","",IF(AND(V712&lt;&gt;"",INDEX(Parties!$E$5:$E$304,V712)&lt;&gt;"",INDEX(Parties!$E$5:$E$304,V712)&lt;&gt;HomeState),0,ROUND(L712*M712/2,2))),"")</f>
        <v/>
      </c>
      <c r="O712" s="61" t="str">
        <f aca="false">IF(IsPro,IF($D712="","",N712),"")</f>
        <v/>
      </c>
      <c r="P712" s="61" t="str">
        <f aca="false">IF(IsPro,IF($D712="","",IF(AND(V712&lt;&gt;"",INDEX(Parties!$E$5:$E$304,V712)&lt;&gt;"",INDEX(Parties!$E$5:$E$304,V712)&lt;&gt;HomeState),ROUND(L712*M712,2),0)),"")</f>
        <v/>
      </c>
      <c r="Q712" s="61" t="str">
        <f aca="false">IF(IsPro,IF($D712="","",L712+N712+O712+P712),"")</f>
        <v/>
      </c>
      <c r="R712" s="61" t="str">
        <f aca="false">IF(IsPro,IF($D712="","",ROUND(N($E712)*IFERROR(INDEX(Items!$P$5:$P$504,U712),0),2)),"")</f>
        <v/>
      </c>
      <c r="S712" s="61" t="str">
        <f aca="false">IF(IsPro,IF($D712="","",L712-R712),"")</f>
        <v/>
      </c>
      <c r="T712" s="60" t="str">
        <f aca="false">IF(IsPro,IF($D712="","",IF(U712="","UNKNOWN ITEM",IF(INDEX(Items!$O$5:$O$504,U712)&lt;0,"NEG STOCK",IF(K712&lt;INDEX(Items!$P$5:$P$504,U712),"BELOW COST","OK")))),IF($D712="","","PRO PLAN"))</f>
        <v/>
      </c>
      <c r="U712" s="60" t="str">
        <f aca="false">IF(IsPro,IF($D712="","",IFERROR(MATCH($D712,Items!$A$5:$A$504,0),"")),"")</f>
        <v/>
      </c>
      <c r="V712" s="60" t="str">
        <f aca="false">IF(IsPro,IF($C712="","",IFERROR(MATCH($C712,Parties!$A$5:$A$304,0),"")),"")</f>
        <v/>
      </c>
      <c r="W712" s="60" t="str">
        <f aca="false">IF(IsPro,IF($B712="","",IFERROR(VALUE(SUBSTITUTE($B712,InvPrefix,"")),0)),"")</f>
        <v/>
      </c>
      <c r="X712" s="61" t="str">
        <f aca="false">IF(IsPro,IF($D712="","",IF(OR($H712="",$H712="Credit"),0,Q712)),"")</f>
        <v/>
      </c>
    </row>
    <row r="713" customFormat="false" ht="15" hidden="false" customHeight="false" outlineLevel="0" collapsed="false">
      <c r="A713" s="55"/>
      <c r="B713" s="56"/>
      <c r="C713" s="56"/>
      <c r="D713" s="56"/>
      <c r="E713" s="57"/>
      <c r="F713" s="58"/>
      <c r="G713" s="59"/>
      <c r="H713" s="56"/>
      <c r="I713" s="56"/>
      <c r="J713" s="60" t="str">
        <f aca="false">IF(IsPro,IF($D713="","",IFERROR(INDEX(Items!$D$5:$D$504,U713),"")),"")</f>
        <v/>
      </c>
      <c r="K713" s="61" t="str">
        <f aca="false">IF(IsPro,IF($D713="","",IF($F713="",IFERROR(INDEX(Items!$H$5:$H$504,U713),0),$F713)),"")</f>
        <v/>
      </c>
      <c r="L713" s="61" t="str">
        <f aca="false">IF(IsPro,IF($D713="","",ROUND(N($E713)*K713*(1-N($G713)),2)),"")</f>
        <v/>
      </c>
      <c r="M713" s="62" t="str">
        <f aca="false">IF(IsPro,IF($D713="","",IFERROR(INDEX(Items!$F$5:$F$504,U713),0)),"")</f>
        <v/>
      </c>
      <c r="N713" s="61" t="str">
        <f aca="false">IF(IsPro,IF($D713="","",IF(AND(V713&lt;&gt;"",INDEX(Parties!$E$5:$E$304,V713)&lt;&gt;"",INDEX(Parties!$E$5:$E$304,V713)&lt;&gt;HomeState),0,ROUND(L713*M713/2,2))),"")</f>
        <v/>
      </c>
      <c r="O713" s="61" t="str">
        <f aca="false">IF(IsPro,IF($D713="","",N713),"")</f>
        <v/>
      </c>
      <c r="P713" s="61" t="str">
        <f aca="false">IF(IsPro,IF($D713="","",IF(AND(V713&lt;&gt;"",INDEX(Parties!$E$5:$E$304,V713)&lt;&gt;"",INDEX(Parties!$E$5:$E$304,V713)&lt;&gt;HomeState),ROUND(L713*M713,2),0)),"")</f>
        <v/>
      </c>
      <c r="Q713" s="61" t="str">
        <f aca="false">IF(IsPro,IF($D713="","",L713+N713+O713+P713),"")</f>
        <v/>
      </c>
      <c r="R713" s="61" t="str">
        <f aca="false">IF(IsPro,IF($D713="","",ROUND(N($E713)*IFERROR(INDEX(Items!$P$5:$P$504,U713),0),2)),"")</f>
        <v/>
      </c>
      <c r="S713" s="61" t="str">
        <f aca="false">IF(IsPro,IF($D713="","",L713-R713),"")</f>
        <v/>
      </c>
      <c r="T713" s="60" t="str">
        <f aca="false">IF(IsPro,IF($D713="","",IF(U713="","UNKNOWN ITEM",IF(INDEX(Items!$O$5:$O$504,U713)&lt;0,"NEG STOCK",IF(K713&lt;INDEX(Items!$P$5:$P$504,U713),"BELOW COST","OK")))),IF($D713="","","PRO PLAN"))</f>
        <v/>
      </c>
      <c r="U713" s="60" t="str">
        <f aca="false">IF(IsPro,IF($D713="","",IFERROR(MATCH($D713,Items!$A$5:$A$504,0),"")),"")</f>
        <v/>
      </c>
      <c r="V713" s="60" t="str">
        <f aca="false">IF(IsPro,IF($C713="","",IFERROR(MATCH($C713,Parties!$A$5:$A$304,0),"")),"")</f>
        <v/>
      </c>
      <c r="W713" s="60" t="str">
        <f aca="false">IF(IsPro,IF($B713="","",IFERROR(VALUE(SUBSTITUTE($B713,InvPrefix,"")),0)),"")</f>
        <v/>
      </c>
      <c r="X713" s="61" t="str">
        <f aca="false">IF(IsPro,IF($D713="","",IF(OR($H713="",$H713="Credit"),0,Q713)),"")</f>
        <v/>
      </c>
    </row>
    <row r="714" customFormat="false" ht="15" hidden="false" customHeight="false" outlineLevel="0" collapsed="false">
      <c r="A714" s="55"/>
      <c r="B714" s="56"/>
      <c r="C714" s="56"/>
      <c r="D714" s="56"/>
      <c r="E714" s="57"/>
      <c r="F714" s="58"/>
      <c r="G714" s="59"/>
      <c r="H714" s="56"/>
      <c r="I714" s="56"/>
      <c r="J714" s="60" t="str">
        <f aca="false">IF(IsPro,IF($D714="","",IFERROR(INDEX(Items!$D$5:$D$504,U714),"")),"")</f>
        <v/>
      </c>
      <c r="K714" s="61" t="str">
        <f aca="false">IF(IsPro,IF($D714="","",IF($F714="",IFERROR(INDEX(Items!$H$5:$H$504,U714),0),$F714)),"")</f>
        <v/>
      </c>
      <c r="L714" s="61" t="str">
        <f aca="false">IF(IsPro,IF($D714="","",ROUND(N($E714)*K714*(1-N($G714)),2)),"")</f>
        <v/>
      </c>
      <c r="M714" s="62" t="str">
        <f aca="false">IF(IsPro,IF($D714="","",IFERROR(INDEX(Items!$F$5:$F$504,U714),0)),"")</f>
        <v/>
      </c>
      <c r="N714" s="61" t="str">
        <f aca="false">IF(IsPro,IF($D714="","",IF(AND(V714&lt;&gt;"",INDEX(Parties!$E$5:$E$304,V714)&lt;&gt;"",INDEX(Parties!$E$5:$E$304,V714)&lt;&gt;HomeState),0,ROUND(L714*M714/2,2))),"")</f>
        <v/>
      </c>
      <c r="O714" s="61" t="str">
        <f aca="false">IF(IsPro,IF($D714="","",N714),"")</f>
        <v/>
      </c>
      <c r="P714" s="61" t="str">
        <f aca="false">IF(IsPro,IF($D714="","",IF(AND(V714&lt;&gt;"",INDEX(Parties!$E$5:$E$304,V714)&lt;&gt;"",INDEX(Parties!$E$5:$E$304,V714)&lt;&gt;HomeState),ROUND(L714*M714,2),0)),"")</f>
        <v/>
      </c>
      <c r="Q714" s="61" t="str">
        <f aca="false">IF(IsPro,IF($D714="","",L714+N714+O714+P714),"")</f>
        <v/>
      </c>
      <c r="R714" s="61" t="str">
        <f aca="false">IF(IsPro,IF($D714="","",ROUND(N($E714)*IFERROR(INDEX(Items!$P$5:$P$504,U714),0),2)),"")</f>
        <v/>
      </c>
      <c r="S714" s="61" t="str">
        <f aca="false">IF(IsPro,IF($D714="","",L714-R714),"")</f>
        <v/>
      </c>
      <c r="T714" s="60" t="str">
        <f aca="false">IF(IsPro,IF($D714="","",IF(U714="","UNKNOWN ITEM",IF(INDEX(Items!$O$5:$O$504,U714)&lt;0,"NEG STOCK",IF(K714&lt;INDEX(Items!$P$5:$P$504,U714),"BELOW COST","OK")))),IF($D714="","","PRO PLAN"))</f>
        <v/>
      </c>
      <c r="U714" s="60" t="str">
        <f aca="false">IF(IsPro,IF($D714="","",IFERROR(MATCH($D714,Items!$A$5:$A$504,0),"")),"")</f>
        <v/>
      </c>
      <c r="V714" s="60" t="str">
        <f aca="false">IF(IsPro,IF($C714="","",IFERROR(MATCH($C714,Parties!$A$5:$A$304,0),"")),"")</f>
        <v/>
      </c>
      <c r="W714" s="60" t="str">
        <f aca="false">IF(IsPro,IF($B714="","",IFERROR(VALUE(SUBSTITUTE($B714,InvPrefix,"")),0)),"")</f>
        <v/>
      </c>
      <c r="X714" s="61" t="str">
        <f aca="false">IF(IsPro,IF($D714="","",IF(OR($H714="",$H714="Credit"),0,Q714)),"")</f>
        <v/>
      </c>
    </row>
    <row r="715" customFormat="false" ht="15" hidden="false" customHeight="false" outlineLevel="0" collapsed="false">
      <c r="A715" s="55"/>
      <c r="B715" s="56"/>
      <c r="C715" s="56"/>
      <c r="D715" s="56"/>
      <c r="E715" s="57"/>
      <c r="F715" s="58"/>
      <c r="G715" s="59"/>
      <c r="H715" s="56"/>
      <c r="I715" s="56"/>
      <c r="J715" s="60" t="str">
        <f aca="false">IF(IsPro,IF($D715="","",IFERROR(INDEX(Items!$D$5:$D$504,U715),"")),"")</f>
        <v/>
      </c>
      <c r="K715" s="61" t="str">
        <f aca="false">IF(IsPro,IF($D715="","",IF($F715="",IFERROR(INDEX(Items!$H$5:$H$504,U715),0),$F715)),"")</f>
        <v/>
      </c>
      <c r="L715" s="61" t="str">
        <f aca="false">IF(IsPro,IF($D715="","",ROUND(N($E715)*K715*(1-N($G715)),2)),"")</f>
        <v/>
      </c>
      <c r="M715" s="62" t="str">
        <f aca="false">IF(IsPro,IF($D715="","",IFERROR(INDEX(Items!$F$5:$F$504,U715),0)),"")</f>
        <v/>
      </c>
      <c r="N715" s="61" t="str">
        <f aca="false">IF(IsPro,IF($D715="","",IF(AND(V715&lt;&gt;"",INDEX(Parties!$E$5:$E$304,V715)&lt;&gt;"",INDEX(Parties!$E$5:$E$304,V715)&lt;&gt;HomeState),0,ROUND(L715*M715/2,2))),"")</f>
        <v/>
      </c>
      <c r="O715" s="61" t="str">
        <f aca="false">IF(IsPro,IF($D715="","",N715),"")</f>
        <v/>
      </c>
      <c r="P715" s="61" t="str">
        <f aca="false">IF(IsPro,IF($D715="","",IF(AND(V715&lt;&gt;"",INDEX(Parties!$E$5:$E$304,V715)&lt;&gt;"",INDEX(Parties!$E$5:$E$304,V715)&lt;&gt;HomeState),ROUND(L715*M715,2),0)),"")</f>
        <v/>
      </c>
      <c r="Q715" s="61" t="str">
        <f aca="false">IF(IsPro,IF($D715="","",L715+N715+O715+P715),"")</f>
        <v/>
      </c>
      <c r="R715" s="61" t="str">
        <f aca="false">IF(IsPro,IF($D715="","",ROUND(N($E715)*IFERROR(INDEX(Items!$P$5:$P$504,U715),0),2)),"")</f>
        <v/>
      </c>
      <c r="S715" s="61" t="str">
        <f aca="false">IF(IsPro,IF($D715="","",L715-R715),"")</f>
        <v/>
      </c>
      <c r="T715" s="60" t="str">
        <f aca="false">IF(IsPro,IF($D715="","",IF(U715="","UNKNOWN ITEM",IF(INDEX(Items!$O$5:$O$504,U715)&lt;0,"NEG STOCK",IF(K715&lt;INDEX(Items!$P$5:$P$504,U715),"BELOW COST","OK")))),IF($D715="","","PRO PLAN"))</f>
        <v/>
      </c>
      <c r="U715" s="60" t="str">
        <f aca="false">IF(IsPro,IF($D715="","",IFERROR(MATCH($D715,Items!$A$5:$A$504,0),"")),"")</f>
        <v/>
      </c>
      <c r="V715" s="60" t="str">
        <f aca="false">IF(IsPro,IF($C715="","",IFERROR(MATCH($C715,Parties!$A$5:$A$304,0),"")),"")</f>
        <v/>
      </c>
      <c r="W715" s="60" t="str">
        <f aca="false">IF(IsPro,IF($B715="","",IFERROR(VALUE(SUBSTITUTE($B715,InvPrefix,"")),0)),"")</f>
        <v/>
      </c>
      <c r="X715" s="61" t="str">
        <f aca="false">IF(IsPro,IF($D715="","",IF(OR($H715="",$H715="Credit"),0,Q715)),"")</f>
        <v/>
      </c>
    </row>
    <row r="716" customFormat="false" ht="15" hidden="false" customHeight="false" outlineLevel="0" collapsed="false">
      <c r="A716" s="55"/>
      <c r="B716" s="56"/>
      <c r="C716" s="56"/>
      <c r="D716" s="56"/>
      <c r="E716" s="57"/>
      <c r="F716" s="58"/>
      <c r="G716" s="59"/>
      <c r="H716" s="56"/>
      <c r="I716" s="56"/>
      <c r="J716" s="60" t="str">
        <f aca="false">IF(IsPro,IF($D716="","",IFERROR(INDEX(Items!$D$5:$D$504,U716),"")),"")</f>
        <v/>
      </c>
      <c r="K716" s="61" t="str">
        <f aca="false">IF(IsPro,IF($D716="","",IF($F716="",IFERROR(INDEX(Items!$H$5:$H$504,U716),0),$F716)),"")</f>
        <v/>
      </c>
      <c r="L716" s="61" t="str">
        <f aca="false">IF(IsPro,IF($D716="","",ROUND(N($E716)*K716*(1-N($G716)),2)),"")</f>
        <v/>
      </c>
      <c r="M716" s="62" t="str">
        <f aca="false">IF(IsPro,IF($D716="","",IFERROR(INDEX(Items!$F$5:$F$504,U716),0)),"")</f>
        <v/>
      </c>
      <c r="N716" s="61" t="str">
        <f aca="false">IF(IsPro,IF($D716="","",IF(AND(V716&lt;&gt;"",INDEX(Parties!$E$5:$E$304,V716)&lt;&gt;"",INDEX(Parties!$E$5:$E$304,V716)&lt;&gt;HomeState),0,ROUND(L716*M716/2,2))),"")</f>
        <v/>
      </c>
      <c r="O716" s="61" t="str">
        <f aca="false">IF(IsPro,IF($D716="","",N716),"")</f>
        <v/>
      </c>
      <c r="P716" s="61" t="str">
        <f aca="false">IF(IsPro,IF($D716="","",IF(AND(V716&lt;&gt;"",INDEX(Parties!$E$5:$E$304,V716)&lt;&gt;"",INDEX(Parties!$E$5:$E$304,V716)&lt;&gt;HomeState),ROUND(L716*M716,2),0)),"")</f>
        <v/>
      </c>
      <c r="Q716" s="61" t="str">
        <f aca="false">IF(IsPro,IF($D716="","",L716+N716+O716+P716),"")</f>
        <v/>
      </c>
      <c r="R716" s="61" t="str">
        <f aca="false">IF(IsPro,IF($D716="","",ROUND(N($E716)*IFERROR(INDEX(Items!$P$5:$P$504,U716),0),2)),"")</f>
        <v/>
      </c>
      <c r="S716" s="61" t="str">
        <f aca="false">IF(IsPro,IF($D716="","",L716-R716),"")</f>
        <v/>
      </c>
      <c r="T716" s="60" t="str">
        <f aca="false">IF(IsPro,IF($D716="","",IF(U716="","UNKNOWN ITEM",IF(INDEX(Items!$O$5:$O$504,U716)&lt;0,"NEG STOCK",IF(K716&lt;INDEX(Items!$P$5:$P$504,U716),"BELOW COST","OK")))),IF($D716="","","PRO PLAN"))</f>
        <v/>
      </c>
      <c r="U716" s="60" t="str">
        <f aca="false">IF(IsPro,IF($D716="","",IFERROR(MATCH($D716,Items!$A$5:$A$504,0),"")),"")</f>
        <v/>
      </c>
      <c r="V716" s="60" t="str">
        <f aca="false">IF(IsPro,IF($C716="","",IFERROR(MATCH($C716,Parties!$A$5:$A$304,0),"")),"")</f>
        <v/>
      </c>
      <c r="W716" s="60" t="str">
        <f aca="false">IF(IsPro,IF($B716="","",IFERROR(VALUE(SUBSTITUTE($B716,InvPrefix,"")),0)),"")</f>
        <v/>
      </c>
      <c r="X716" s="61" t="str">
        <f aca="false">IF(IsPro,IF($D716="","",IF(OR($H716="",$H716="Credit"),0,Q716)),"")</f>
        <v/>
      </c>
    </row>
    <row r="717" customFormat="false" ht="15" hidden="false" customHeight="false" outlineLevel="0" collapsed="false">
      <c r="A717" s="55"/>
      <c r="B717" s="56"/>
      <c r="C717" s="56"/>
      <c r="D717" s="56"/>
      <c r="E717" s="57"/>
      <c r="F717" s="58"/>
      <c r="G717" s="59"/>
      <c r="H717" s="56"/>
      <c r="I717" s="56"/>
      <c r="J717" s="60" t="str">
        <f aca="false">IF(IsPro,IF($D717="","",IFERROR(INDEX(Items!$D$5:$D$504,U717),"")),"")</f>
        <v/>
      </c>
      <c r="K717" s="61" t="str">
        <f aca="false">IF(IsPro,IF($D717="","",IF($F717="",IFERROR(INDEX(Items!$H$5:$H$504,U717),0),$F717)),"")</f>
        <v/>
      </c>
      <c r="L717" s="61" t="str">
        <f aca="false">IF(IsPro,IF($D717="","",ROUND(N($E717)*K717*(1-N($G717)),2)),"")</f>
        <v/>
      </c>
      <c r="M717" s="62" t="str">
        <f aca="false">IF(IsPro,IF($D717="","",IFERROR(INDEX(Items!$F$5:$F$504,U717),0)),"")</f>
        <v/>
      </c>
      <c r="N717" s="61" t="str">
        <f aca="false">IF(IsPro,IF($D717="","",IF(AND(V717&lt;&gt;"",INDEX(Parties!$E$5:$E$304,V717)&lt;&gt;"",INDEX(Parties!$E$5:$E$304,V717)&lt;&gt;HomeState),0,ROUND(L717*M717/2,2))),"")</f>
        <v/>
      </c>
      <c r="O717" s="61" t="str">
        <f aca="false">IF(IsPro,IF($D717="","",N717),"")</f>
        <v/>
      </c>
      <c r="P717" s="61" t="str">
        <f aca="false">IF(IsPro,IF($D717="","",IF(AND(V717&lt;&gt;"",INDEX(Parties!$E$5:$E$304,V717)&lt;&gt;"",INDEX(Parties!$E$5:$E$304,V717)&lt;&gt;HomeState),ROUND(L717*M717,2),0)),"")</f>
        <v/>
      </c>
      <c r="Q717" s="61" t="str">
        <f aca="false">IF(IsPro,IF($D717="","",L717+N717+O717+P717),"")</f>
        <v/>
      </c>
      <c r="R717" s="61" t="str">
        <f aca="false">IF(IsPro,IF($D717="","",ROUND(N($E717)*IFERROR(INDEX(Items!$P$5:$P$504,U717),0),2)),"")</f>
        <v/>
      </c>
      <c r="S717" s="61" t="str">
        <f aca="false">IF(IsPro,IF($D717="","",L717-R717),"")</f>
        <v/>
      </c>
      <c r="T717" s="60" t="str">
        <f aca="false">IF(IsPro,IF($D717="","",IF(U717="","UNKNOWN ITEM",IF(INDEX(Items!$O$5:$O$504,U717)&lt;0,"NEG STOCK",IF(K717&lt;INDEX(Items!$P$5:$P$504,U717),"BELOW COST","OK")))),IF($D717="","","PRO PLAN"))</f>
        <v/>
      </c>
      <c r="U717" s="60" t="str">
        <f aca="false">IF(IsPro,IF($D717="","",IFERROR(MATCH($D717,Items!$A$5:$A$504,0),"")),"")</f>
        <v/>
      </c>
      <c r="V717" s="60" t="str">
        <f aca="false">IF(IsPro,IF($C717="","",IFERROR(MATCH($C717,Parties!$A$5:$A$304,0),"")),"")</f>
        <v/>
      </c>
      <c r="W717" s="60" t="str">
        <f aca="false">IF(IsPro,IF($B717="","",IFERROR(VALUE(SUBSTITUTE($B717,InvPrefix,"")),0)),"")</f>
        <v/>
      </c>
      <c r="X717" s="61" t="str">
        <f aca="false">IF(IsPro,IF($D717="","",IF(OR($H717="",$H717="Credit"),0,Q717)),"")</f>
        <v/>
      </c>
    </row>
    <row r="718" customFormat="false" ht="15" hidden="false" customHeight="false" outlineLevel="0" collapsed="false">
      <c r="A718" s="55"/>
      <c r="B718" s="56"/>
      <c r="C718" s="56"/>
      <c r="D718" s="56"/>
      <c r="E718" s="57"/>
      <c r="F718" s="58"/>
      <c r="G718" s="59"/>
      <c r="H718" s="56"/>
      <c r="I718" s="56"/>
      <c r="J718" s="60" t="str">
        <f aca="false">IF(IsPro,IF($D718="","",IFERROR(INDEX(Items!$D$5:$D$504,U718),"")),"")</f>
        <v/>
      </c>
      <c r="K718" s="61" t="str">
        <f aca="false">IF(IsPro,IF($D718="","",IF($F718="",IFERROR(INDEX(Items!$H$5:$H$504,U718),0),$F718)),"")</f>
        <v/>
      </c>
      <c r="L718" s="61" t="str">
        <f aca="false">IF(IsPro,IF($D718="","",ROUND(N($E718)*K718*(1-N($G718)),2)),"")</f>
        <v/>
      </c>
      <c r="M718" s="62" t="str">
        <f aca="false">IF(IsPro,IF($D718="","",IFERROR(INDEX(Items!$F$5:$F$504,U718),0)),"")</f>
        <v/>
      </c>
      <c r="N718" s="61" t="str">
        <f aca="false">IF(IsPro,IF($D718="","",IF(AND(V718&lt;&gt;"",INDEX(Parties!$E$5:$E$304,V718)&lt;&gt;"",INDEX(Parties!$E$5:$E$304,V718)&lt;&gt;HomeState),0,ROUND(L718*M718/2,2))),"")</f>
        <v/>
      </c>
      <c r="O718" s="61" t="str">
        <f aca="false">IF(IsPro,IF($D718="","",N718),"")</f>
        <v/>
      </c>
      <c r="P718" s="61" t="str">
        <f aca="false">IF(IsPro,IF($D718="","",IF(AND(V718&lt;&gt;"",INDEX(Parties!$E$5:$E$304,V718)&lt;&gt;"",INDEX(Parties!$E$5:$E$304,V718)&lt;&gt;HomeState),ROUND(L718*M718,2),0)),"")</f>
        <v/>
      </c>
      <c r="Q718" s="61" t="str">
        <f aca="false">IF(IsPro,IF($D718="","",L718+N718+O718+P718),"")</f>
        <v/>
      </c>
      <c r="R718" s="61" t="str">
        <f aca="false">IF(IsPro,IF($D718="","",ROUND(N($E718)*IFERROR(INDEX(Items!$P$5:$P$504,U718),0),2)),"")</f>
        <v/>
      </c>
      <c r="S718" s="61" t="str">
        <f aca="false">IF(IsPro,IF($D718="","",L718-R718),"")</f>
        <v/>
      </c>
      <c r="T718" s="60" t="str">
        <f aca="false">IF(IsPro,IF($D718="","",IF(U718="","UNKNOWN ITEM",IF(INDEX(Items!$O$5:$O$504,U718)&lt;0,"NEG STOCK",IF(K718&lt;INDEX(Items!$P$5:$P$504,U718),"BELOW COST","OK")))),IF($D718="","","PRO PLAN"))</f>
        <v/>
      </c>
      <c r="U718" s="60" t="str">
        <f aca="false">IF(IsPro,IF($D718="","",IFERROR(MATCH($D718,Items!$A$5:$A$504,0),"")),"")</f>
        <v/>
      </c>
      <c r="V718" s="60" t="str">
        <f aca="false">IF(IsPro,IF($C718="","",IFERROR(MATCH($C718,Parties!$A$5:$A$304,0),"")),"")</f>
        <v/>
      </c>
      <c r="W718" s="60" t="str">
        <f aca="false">IF(IsPro,IF($B718="","",IFERROR(VALUE(SUBSTITUTE($B718,InvPrefix,"")),0)),"")</f>
        <v/>
      </c>
      <c r="X718" s="61" t="str">
        <f aca="false">IF(IsPro,IF($D718="","",IF(OR($H718="",$H718="Credit"),0,Q718)),"")</f>
        <v/>
      </c>
    </row>
    <row r="719" customFormat="false" ht="15" hidden="false" customHeight="false" outlineLevel="0" collapsed="false">
      <c r="A719" s="55"/>
      <c r="B719" s="56"/>
      <c r="C719" s="56"/>
      <c r="D719" s="56"/>
      <c r="E719" s="57"/>
      <c r="F719" s="58"/>
      <c r="G719" s="59"/>
      <c r="H719" s="56"/>
      <c r="I719" s="56"/>
      <c r="J719" s="60" t="str">
        <f aca="false">IF(IsPro,IF($D719="","",IFERROR(INDEX(Items!$D$5:$D$504,U719),"")),"")</f>
        <v/>
      </c>
      <c r="K719" s="61" t="str">
        <f aca="false">IF(IsPro,IF($D719="","",IF($F719="",IFERROR(INDEX(Items!$H$5:$H$504,U719),0),$F719)),"")</f>
        <v/>
      </c>
      <c r="L719" s="61" t="str">
        <f aca="false">IF(IsPro,IF($D719="","",ROUND(N($E719)*K719*(1-N($G719)),2)),"")</f>
        <v/>
      </c>
      <c r="M719" s="62" t="str">
        <f aca="false">IF(IsPro,IF($D719="","",IFERROR(INDEX(Items!$F$5:$F$504,U719),0)),"")</f>
        <v/>
      </c>
      <c r="N719" s="61" t="str">
        <f aca="false">IF(IsPro,IF($D719="","",IF(AND(V719&lt;&gt;"",INDEX(Parties!$E$5:$E$304,V719)&lt;&gt;"",INDEX(Parties!$E$5:$E$304,V719)&lt;&gt;HomeState),0,ROUND(L719*M719/2,2))),"")</f>
        <v/>
      </c>
      <c r="O719" s="61" t="str">
        <f aca="false">IF(IsPro,IF($D719="","",N719),"")</f>
        <v/>
      </c>
      <c r="P719" s="61" t="str">
        <f aca="false">IF(IsPro,IF($D719="","",IF(AND(V719&lt;&gt;"",INDEX(Parties!$E$5:$E$304,V719)&lt;&gt;"",INDEX(Parties!$E$5:$E$304,V719)&lt;&gt;HomeState),ROUND(L719*M719,2),0)),"")</f>
        <v/>
      </c>
      <c r="Q719" s="61" t="str">
        <f aca="false">IF(IsPro,IF($D719="","",L719+N719+O719+P719),"")</f>
        <v/>
      </c>
      <c r="R719" s="61" t="str">
        <f aca="false">IF(IsPro,IF($D719="","",ROUND(N($E719)*IFERROR(INDEX(Items!$P$5:$P$504,U719),0),2)),"")</f>
        <v/>
      </c>
      <c r="S719" s="61" t="str">
        <f aca="false">IF(IsPro,IF($D719="","",L719-R719),"")</f>
        <v/>
      </c>
      <c r="T719" s="60" t="str">
        <f aca="false">IF(IsPro,IF($D719="","",IF(U719="","UNKNOWN ITEM",IF(INDEX(Items!$O$5:$O$504,U719)&lt;0,"NEG STOCK",IF(K719&lt;INDEX(Items!$P$5:$P$504,U719),"BELOW COST","OK")))),IF($D719="","","PRO PLAN"))</f>
        <v/>
      </c>
      <c r="U719" s="60" t="str">
        <f aca="false">IF(IsPro,IF($D719="","",IFERROR(MATCH($D719,Items!$A$5:$A$504,0),"")),"")</f>
        <v/>
      </c>
      <c r="V719" s="60" t="str">
        <f aca="false">IF(IsPro,IF($C719="","",IFERROR(MATCH($C719,Parties!$A$5:$A$304,0),"")),"")</f>
        <v/>
      </c>
      <c r="W719" s="60" t="str">
        <f aca="false">IF(IsPro,IF($B719="","",IFERROR(VALUE(SUBSTITUTE($B719,InvPrefix,"")),0)),"")</f>
        <v/>
      </c>
      <c r="X719" s="61" t="str">
        <f aca="false">IF(IsPro,IF($D719="","",IF(OR($H719="",$H719="Credit"),0,Q719)),"")</f>
        <v/>
      </c>
    </row>
    <row r="720" customFormat="false" ht="15" hidden="false" customHeight="false" outlineLevel="0" collapsed="false">
      <c r="A720" s="55"/>
      <c r="B720" s="56"/>
      <c r="C720" s="56"/>
      <c r="D720" s="56"/>
      <c r="E720" s="57"/>
      <c r="F720" s="58"/>
      <c r="G720" s="59"/>
      <c r="H720" s="56"/>
      <c r="I720" s="56"/>
      <c r="J720" s="60" t="str">
        <f aca="false">IF(IsPro,IF($D720="","",IFERROR(INDEX(Items!$D$5:$D$504,U720),"")),"")</f>
        <v/>
      </c>
      <c r="K720" s="61" t="str">
        <f aca="false">IF(IsPro,IF($D720="","",IF($F720="",IFERROR(INDEX(Items!$H$5:$H$504,U720),0),$F720)),"")</f>
        <v/>
      </c>
      <c r="L720" s="61" t="str">
        <f aca="false">IF(IsPro,IF($D720="","",ROUND(N($E720)*K720*(1-N($G720)),2)),"")</f>
        <v/>
      </c>
      <c r="M720" s="62" t="str">
        <f aca="false">IF(IsPro,IF($D720="","",IFERROR(INDEX(Items!$F$5:$F$504,U720),0)),"")</f>
        <v/>
      </c>
      <c r="N720" s="61" t="str">
        <f aca="false">IF(IsPro,IF($D720="","",IF(AND(V720&lt;&gt;"",INDEX(Parties!$E$5:$E$304,V720)&lt;&gt;"",INDEX(Parties!$E$5:$E$304,V720)&lt;&gt;HomeState),0,ROUND(L720*M720/2,2))),"")</f>
        <v/>
      </c>
      <c r="O720" s="61" t="str">
        <f aca="false">IF(IsPro,IF($D720="","",N720),"")</f>
        <v/>
      </c>
      <c r="P720" s="61" t="str">
        <f aca="false">IF(IsPro,IF($D720="","",IF(AND(V720&lt;&gt;"",INDEX(Parties!$E$5:$E$304,V720)&lt;&gt;"",INDEX(Parties!$E$5:$E$304,V720)&lt;&gt;HomeState),ROUND(L720*M720,2),0)),"")</f>
        <v/>
      </c>
      <c r="Q720" s="61" t="str">
        <f aca="false">IF(IsPro,IF($D720="","",L720+N720+O720+P720),"")</f>
        <v/>
      </c>
      <c r="R720" s="61" t="str">
        <f aca="false">IF(IsPro,IF($D720="","",ROUND(N($E720)*IFERROR(INDEX(Items!$P$5:$P$504,U720),0),2)),"")</f>
        <v/>
      </c>
      <c r="S720" s="61" t="str">
        <f aca="false">IF(IsPro,IF($D720="","",L720-R720),"")</f>
        <v/>
      </c>
      <c r="T720" s="60" t="str">
        <f aca="false">IF(IsPro,IF($D720="","",IF(U720="","UNKNOWN ITEM",IF(INDEX(Items!$O$5:$O$504,U720)&lt;0,"NEG STOCK",IF(K720&lt;INDEX(Items!$P$5:$P$504,U720),"BELOW COST","OK")))),IF($D720="","","PRO PLAN"))</f>
        <v/>
      </c>
      <c r="U720" s="60" t="str">
        <f aca="false">IF(IsPro,IF($D720="","",IFERROR(MATCH($D720,Items!$A$5:$A$504,0),"")),"")</f>
        <v/>
      </c>
      <c r="V720" s="60" t="str">
        <f aca="false">IF(IsPro,IF($C720="","",IFERROR(MATCH($C720,Parties!$A$5:$A$304,0),"")),"")</f>
        <v/>
      </c>
      <c r="W720" s="60" t="str">
        <f aca="false">IF(IsPro,IF($B720="","",IFERROR(VALUE(SUBSTITUTE($B720,InvPrefix,"")),0)),"")</f>
        <v/>
      </c>
      <c r="X720" s="61" t="str">
        <f aca="false">IF(IsPro,IF($D720="","",IF(OR($H720="",$H720="Credit"),0,Q720)),"")</f>
        <v/>
      </c>
    </row>
    <row r="721" customFormat="false" ht="15" hidden="false" customHeight="false" outlineLevel="0" collapsed="false">
      <c r="A721" s="55"/>
      <c r="B721" s="56"/>
      <c r="C721" s="56"/>
      <c r="D721" s="56"/>
      <c r="E721" s="57"/>
      <c r="F721" s="58"/>
      <c r="G721" s="59"/>
      <c r="H721" s="56"/>
      <c r="I721" s="56"/>
      <c r="J721" s="60" t="str">
        <f aca="false">IF(IsPro,IF($D721="","",IFERROR(INDEX(Items!$D$5:$D$504,U721),"")),"")</f>
        <v/>
      </c>
      <c r="K721" s="61" t="str">
        <f aca="false">IF(IsPro,IF($D721="","",IF($F721="",IFERROR(INDEX(Items!$H$5:$H$504,U721),0),$F721)),"")</f>
        <v/>
      </c>
      <c r="L721" s="61" t="str">
        <f aca="false">IF(IsPro,IF($D721="","",ROUND(N($E721)*K721*(1-N($G721)),2)),"")</f>
        <v/>
      </c>
      <c r="M721" s="62" t="str">
        <f aca="false">IF(IsPro,IF($D721="","",IFERROR(INDEX(Items!$F$5:$F$504,U721),0)),"")</f>
        <v/>
      </c>
      <c r="N721" s="61" t="str">
        <f aca="false">IF(IsPro,IF($D721="","",IF(AND(V721&lt;&gt;"",INDEX(Parties!$E$5:$E$304,V721)&lt;&gt;"",INDEX(Parties!$E$5:$E$304,V721)&lt;&gt;HomeState),0,ROUND(L721*M721/2,2))),"")</f>
        <v/>
      </c>
      <c r="O721" s="61" t="str">
        <f aca="false">IF(IsPro,IF($D721="","",N721),"")</f>
        <v/>
      </c>
      <c r="P721" s="61" t="str">
        <f aca="false">IF(IsPro,IF($D721="","",IF(AND(V721&lt;&gt;"",INDEX(Parties!$E$5:$E$304,V721)&lt;&gt;"",INDEX(Parties!$E$5:$E$304,V721)&lt;&gt;HomeState),ROUND(L721*M721,2),0)),"")</f>
        <v/>
      </c>
      <c r="Q721" s="61" t="str">
        <f aca="false">IF(IsPro,IF($D721="","",L721+N721+O721+P721),"")</f>
        <v/>
      </c>
      <c r="R721" s="61" t="str">
        <f aca="false">IF(IsPro,IF($D721="","",ROUND(N($E721)*IFERROR(INDEX(Items!$P$5:$P$504,U721),0),2)),"")</f>
        <v/>
      </c>
      <c r="S721" s="61" t="str">
        <f aca="false">IF(IsPro,IF($D721="","",L721-R721),"")</f>
        <v/>
      </c>
      <c r="T721" s="60" t="str">
        <f aca="false">IF(IsPro,IF($D721="","",IF(U721="","UNKNOWN ITEM",IF(INDEX(Items!$O$5:$O$504,U721)&lt;0,"NEG STOCK",IF(K721&lt;INDEX(Items!$P$5:$P$504,U721),"BELOW COST","OK")))),IF($D721="","","PRO PLAN"))</f>
        <v/>
      </c>
      <c r="U721" s="60" t="str">
        <f aca="false">IF(IsPro,IF($D721="","",IFERROR(MATCH($D721,Items!$A$5:$A$504,0),"")),"")</f>
        <v/>
      </c>
      <c r="V721" s="60" t="str">
        <f aca="false">IF(IsPro,IF($C721="","",IFERROR(MATCH($C721,Parties!$A$5:$A$304,0),"")),"")</f>
        <v/>
      </c>
      <c r="W721" s="60" t="str">
        <f aca="false">IF(IsPro,IF($B721="","",IFERROR(VALUE(SUBSTITUTE($B721,InvPrefix,"")),0)),"")</f>
        <v/>
      </c>
      <c r="X721" s="61" t="str">
        <f aca="false">IF(IsPro,IF($D721="","",IF(OR($H721="",$H721="Credit"),0,Q721)),"")</f>
        <v/>
      </c>
    </row>
    <row r="722" customFormat="false" ht="15" hidden="false" customHeight="false" outlineLevel="0" collapsed="false">
      <c r="A722" s="55"/>
      <c r="B722" s="56"/>
      <c r="C722" s="56"/>
      <c r="D722" s="56"/>
      <c r="E722" s="57"/>
      <c r="F722" s="58"/>
      <c r="G722" s="59"/>
      <c r="H722" s="56"/>
      <c r="I722" s="56"/>
      <c r="J722" s="60" t="str">
        <f aca="false">IF(IsPro,IF($D722="","",IFERROR(INDEX(Items!$D$5:$D$504,U722),"")),"")</f>
        <v/>
      </c>
      <c r="K722" s="61" t="str">
        <f aca="false">IF(IsPro,IF($D722="","",IF($F722="",IFERROR(INDEX(Items!$H$5:$H$504,U722),0),$F722)),"")</f>
        <v/>
      </c>
      <c r="L722" s="61" t="str">
        <f aca="false">IF(IsPro,IF($D722="","",ROUND(N($E722)*K722*(1-N($G722)),2)),"")</f>
        <v/>
      </c>
      <c r="M722" s="62" t="str">
        <f aca="false">IF(IsPro,IF($D722="","",IFERROR(INDEX(Items!$F$5:$F$504,U722),0)),"")</f>
        <v/>
      </c>
      <c r="N722" s="61" t="str">
        <f aca="false">IF(IsPro,IF($D722="","",IF(AND(V722&lt;&gt;"",INDEX(Parties!$E$5:$E$304,V722)&lt;&gt;"",INDEX(Parties!$E$5:$E$304,V722)&lt;&gt;HomeState),0,ROUND(L722*M722/2,2))),"")</f>
        <v/>
      </c>
      <c r="O722" s="61" t="str">
        <f aca="false">IF(IsPro,IF($D722="","",N722),"")</f>
        <v/>
      </c>
      <c r="P722" s="61" t="str">
        <f aca="false">IF(IsPro,IF($D722="","",IF(AND(V722&lt;&gt;"",INDEX(Parties!$E$5:$E$304,V722)&lt;&gt;"",INDEX(Parties!$E$5:$E$304,V722)&lt;&gt;HomeState),ROUND(L722*M722,2),0)),"")</f>
        <v/>
      </c>
      <c r="Q722" s="61" t="str">
        <f aca="false">IF(IsPro,IF($D722="","",L722+N722+O722+P722),"")</f>
        <v/>
      </c>
      <c r="R722" s="61" t="str">
        <f aca="false">IF(IsPro,IF($D722="","",ROUND(N($E722)*IFERROR(INDEX(Items!$P$5:$P$504,U722),0),2)),"")</f>
        <v/>
      </c>
      <c r="S722" s="61" t="str">
        <f aca="false">IF(IsPro,IF($D722="","",L722-R722),"")</f>
        <v/>
      </c>
      <c r="T722" s="60" t="str">
        <f aca="false">IF(IsPro,IF($D722="","",IF(U722="","UNKNOWN ITEM",IF(INDEX(Items!$O$5:$O$504,U722)&lt;0,"NEG STOCK",IF(K722&lt;INDEX(Items!$P$5:$P$504,U722),"BELOW COST","OK")))),IF($D722="","","PRO PLAN"))</f>
        <v/>
      </c>
      <c r="U722" s="60" t="str">
        <f aca="false">IF(IsPro,IF($D722="","",IFERROR(MATCH($D722,Items!$A$5:$A$504,0),"")),"")</f>
        <v/>
      </c>
      <c r="V722" s="60" t="str">
        <f aca="false">IF(IsPro,IF($C722="","",IFERROR(MATCH($C722,Parties!$A$5:$A$304,0),"")),"")</f>
        <v/>
      </c>
      <c r="W722" s="60" t="str">
        <f aca="false">IF(IsPro,IF($B722="","",IFERROR(VALUE(SUBSTITUTE($B722,InvPrefix,"")),0)),"")</f>
        <v/>
      </c>
      <c r="X722" s="61" t="str">
        <f aca="false">IF(IsPro,IF($D722="","",IF(OR($H722="",$H722="Credit"),0,Q722)),"")</f>
        <v/>
      </c>
    </row>
    <row r="723" customFormat="false" ht="15" hidden="false" customHeight="false" outlineLevel="0" collapsed="false">
      <c r="A723" s="55"/>
      <c r="B723" s="56"/>
      <c r="C723" s="56"/>
      <c r="D723" s="56"/>
      <c r="E723" s="57"/>
      <c r="F723" s="58"/>
      <c r="G723" s="59"/>
      <c r="H723" s="56"/>
      <c r="I723" s="56"/>
      <c r="J723" s="60" t="str">
        <f aca="false">IF(IsPro,IF($D723="","",IFERROR(INDEX(Items!$D$5:$D$504,U723),"")),"")</f>
        <v/>
      </c>
      <c r="K723" s="61" t="str">
        <f aca="false">IF(IsPro,IF($D723="","",IF($F723="",IFERROR(INDEX(Items!$H$5:$H$504,U723),0),$F723)),"")</f>
        <v/>
      </c>
      <c r="L723" s="61" t="str">
        <f aca="false">IF(IsPro,IF($D723="","",ROUND(N($E723)*K723*(1-N($G723)),2)),"")</f>
        <v/>
      </c>
      <c r="M723" s="62" t="str">
        <f aca="false">IF(IsPro,IF($D723="","",IFERROR(INDEX(Items!$F$5:$F$504,U723),0)),"")</f>
        <v/>
      </c>
      <c r="N723" s="61" t="str">
        <f aca="false">IF(IsPro,IF($D723="","",IF(AND(V723&lt;&gt;"",INDEX(Parties!$E$5:$E$304,V723)&lt;&gt;"",INDEX(Parties!$E$5:$E$304,V723)&lt;&gt;HomeState),0,ROUND(L723*M723/2,2))),"")</f>
        <v/>
      </c>
      <c r="O723" s="61" t="str">
        <f aca="false">IF(IsPro,IF($D723="","",N723),"")</f>
        <v/>
      </c>
      <c r="P723" s="61" t="str">
        <f aca="false">IF(IsPro,IF($D723="","",IF(AND(V723&lt;&gt;"",INDEX(Parties!$E$5:$E$304,V723)&lt;&gt;"",INDEX(Parties!$E$5:$E$304,V723)&lt;&gt;HomeState),ROUND(L723*M723,2),0)),"")</f>
        <v/>
      </c>
      <c r="Q723" s="61" t="str">
        <f aca="false">IF(IsPro,IF($D723="","",L723+N723+O723+P723),"")</f>
        <v/>
      </c>
      <c r="R723" s="61" t="str">
        <f aca="false">IF(IsPro,IF($D723="","",ROUND(N($E723)*IFERROR(INDEX(Items!$P$5:$P$504,U723),0),2)),"")</f>
        <v/>
      </c>
      <c r="S723" s="61" t="str">
        <f aca="false">IF(IsPro,IF($D723="","",L723-R723),"")</f>
        <v/>
      </c>
      <c r="T723" s="60" t="str">
        <f aca="false">IF(IsPro,IF($D723="","",IF(U723="","UNKNOWN ITEM",IF(INDEX(Items!$O$5:$O$504,U723)&lt;0,"NEG STOCK",IF(K723&lt;INDEX(Items!$P$5:$P$504,U723),"BELOW COST","OK")))),IF($D723="","","PRO PLAN"))</f>
        <v/>
      </c>
      <c r="U723" s="60" t="str">
        <f aca="false">IF(IsPro,IF($D723="","",IFERROR(MATCH($D723,Items!$A$5:$A$504,0),"")),"")</f>
        <v/>
      </c>
      <c r="V723" s="60" t="str">
        <f aca="false">IF(IsPro,IF($C723="","",IFERROR(MATCH($C723,Parties!$A$5:$A$304,0),"")),"")</f>
        <v/>
      </c>
      <c r="W723" s="60" t="str">
        <f aca="false">IF(IsPro,IF($B723="","",IFERROR(VALUE(SUBSTITUTE($B723,InvPrefix,"")),0)),"")</f>
        <v/>
      </c>
      <c r="X723" s="61" t="str">
        <f aca="false">IF(IsPro,IF($D723="","",IF(OR($H723="",$H723="Credit"),0,Q723)),"")</f>
        <v/>
      </c>
    </row>
    <row r="724" customFormat="false" ht="15" hidden="false" customHeight="false" outlineLevel="0" collapsed="false">
      <c r="A724" s="55"/>
      <c r="B724" s="56"/>
      <c r="C724" s="56"/>
      <c r="D724" s="56"/>
      <c r="E724" s="57"/>
      <c r="F724" s="58"/>
      <c r="G724" s="59"/>
      <c r="H724" s="56"/>
      <c r="I724" s="56"/>
      <c r="J724" s="60" t="str">
        <f aca="false">IF(IsPro,IF($D724="","",IFERROR(INDEX(Items!$D$5:$D$504,U724),"")),"")</f>
        <v/>
      </c>
      <c r="K724" s="61" t="str">
        <f aca="false">IF(IsPro,IF($D724="","",IF($F724="",IFERROR(INDEX(Items!$H$5:$H$504,U724),0),$F724)),"")</f>
        <v/>
      </c>
      <c r="L724" s="61" t="str">
        <f aca="false">IF(IsPro,IF($D724="","",ROUND(N($E724)*K724*(1-N($G724)),2)),"")</f>
        <v/>
      </c>
      <c r="M724" s="62" t="str">
        <f aca="false">IF(IsPro,IF($D724="","",IFERROR(INDEX(Items!$F$5:$F$504,U724),0)),"")</f>
        <v/>
      </c>
      <c r="N724" s="61" t="str">
        <f aca="false">IF(IsPro,IF($D724="","",IF(AND(V724&lt;&gt;"",INDEX(Parties!$E$5:$E$304,V724)&lt;&gt;"",INDEX(Parties!$E$5:$E$304,V724)&lt;&gt;HomeState),0,ROUND(L724*M724/2,2))),"")</f>
        <v/>
      </c>
      <c r="O724" s="61" t="str">
        <f aca="false">IF(IsPro,IF($D724="","",N724),"")</f>
        <v/>
      </c>
      <c r="P724" s="61" t="str">
        <f aca="false">IF(IsPro,IF($D724="","",IF(AND(V724&lt;&gt;"",INDEX(Parties!$E$5:$E$304,V724)&lt;&gt;"",INDEX(Parties!$E$5:$E$304,V724)&lt;&gt;HomeState),ROUND(L724*M724,2),0)),"")</f>
        <v/>
      </c>
      <c r="Q724" s="61" t="str">
        <f aca="false">IF(IsPro,IF($D724="","",L724+N724+O724+P724),"")</f>
        <v/>
      </c>
      <c r="R724" s="61" t="str">
        <f aca="false">IF(IsPro,IF($D724="","",ROUND(N($E724)*IFERROR(INDEX(Items!$P$5:$P$504,U724),0),2)),"")</f>
        <v/>
      </c>
      <c r="S724" s="61" t="str">
        <f aca="false">IF(IsPro,IF($D724="","",L724-R724),"")</f>
        <v/>
      </c>
      <c r="T724" s="60" t="str">
        <f aca="false">IF(IsPro,IF($D724="","",IF(U724="","UNKNOWN ITEM",IF(INDEX(Items!$O$5:$O$504,U724)&lt;0,"NEG STOCK",IF(K724&lt;INDEX(Items!$P$5:$P$504,U724),"BELOW COST","OK")))),IF($D724="","","PRO PLAN"))</f>
        <v/>
      </c>
      <c r="U724" s="60" t="str">
        <f aca="false">IF(IsPro,IF($D724="","",IFERROR(MATCH($D724,Items!$A$5:$A$504,0),"")),"")</f>
        <v/>
      </c>
      <c r="V724" s="60" t="str">
        <f aca="false">IF(IsPro,IF($C724="","",IFERROR(MATCH($C724,Parties!$A$5:$A$304,0),"")),"")</f>
        <v/>
      </c>
      <c r="W724" s="60" t="str">
        <f aca="false">IF(IsPro,IF($B724="","",IFERROR(VALUE(SUBSTITUTE($B724,InvPrefix,"")),0)),"")</f>
        <v/>
      </c>
      <c r="X724" s="61" t="str">
        <f aca="false">IF(IsPro,IF($D724="","",IF(OR($H724="",$H724="Credit"),0,Q724)),"")</f>
        <v/>
      </c>
    </row>
    <row r="725" customFormat="false" ht="15" hidden="false" customHeight="false" outlineLevel="0" collapsed="false">
      <c r="A725" s="55"/>
      <c r="B725" s="56"/>
      <c r="C725" s="56"/>
      <c r="D725" s="56"/>
      <c r="E725" s="57"/>
      <c r="F725" s="58"/>
      <c r="G725" s="59"/>
      <c r="H725" s="56"/>
      <c r="I725" s="56"/>
      <c r="J725" s="60" t="str">
        <f aca="false">IF(IsPro,IF($D725="","",IFERROR(INDEX(Items!$D$5:$D$504,U725),"")),"")</f>
        <v/>
      </c>
      <c r="K725" s="61" t="str">
        <f aca="false">IF(IsPro,IF($D725="","",IF($F725="",IFERROR(INDEX(Items!$H$5:$H$504,U725),0),$F725)),"")</f>
        <v/>
      </c>
      <c r="L725" s="61" t="str">
        <f aca="false">IF(IsPro,IF($D725="","",ROUND(N($E725)*K725*(1-N($G725)),2)),"")</f>
        <v/>
      </c>
      <c r="M725" s="62" t="str">
        <f aca="false">IF(IsPro,IF($D725="","",IFERROR(INDEX(Items!$F$5:$F$504,U725),0)),"")</f>
        <v/>
      </c>
      <c r="N725" s="61" t="str">
        <f aca="false">IF(IsPro,IF($D725="","",IF(AND(V725&lt;&gt;"",INDEX(Parties!$E$5:$E$304,V725)&lt;&gt;"",INDEX(Parties!$E$5:$E$304,V725)&lt;&gt;HomeState),0,ROUND(L725*M725/2,2))),"")</f>
        <v/>
      </c>
      <c r="O725" s="61" t="str">
        <f aca="false">IF(IsPro,IF($D725="","",N725),"")</f>
        <v/>
      </c>
      <c r="P725" s="61" t="str">
        <f aca="false">IF(IsPro,IF($D725="","",IF(AND(V725&lt;&gt;"",INDEX(Parties!$E$5:$E$304,V725)&lt;&gt;"",INDEX(Parties!$E$5:$E$304,V725)&lt;&gt;HomeState),ROUND(L725*M725,2),0)),"")</f>
        <v/>
      </c>
      <c r="Q725" s="61" t="str">
        <f aca="false">IF(IsPro,IF($D725="","",L725+N725+O725+P725),"")</f>
        <v/>
      </c>
      <c r="R725" s="61" t="str">
        <f aca="false">IF(IsPro,IF($D725="","",ROUND(N($E725)*IFERROR(INDEX(Items!$P$5:$P$504,U725),0),2)),"")</f>
        <v/>
      </c>
      <c r="S725" s="61" t="str">
        <f aca="false">IF(IsPro,IF($D725="","",L725-R725),"")</f>
        <v/>
      </c>
      <c r="T725" s="60" t="str">
        <f aca="false">IF(IsPro,IF($D725="","",IF(U725="","UNKNOWN ITEM",IF(INDEX(Items!$O$5:$O$504,U725)&lt;0,"NEG STOCK",IF(K725&lt;INDEX(Items!$P$5:$P$504,U725),"BELOW COST","OK")))),IF($D725="","","PRO PLAN"))</f>
        <v/>
      </c>
      <c r="U725" s="60" t="str">
        <f aca="false">IF(IsPro,IF($D725="","",IFERROR(MATCH($D725,Items!$A$5:$A$504,0),"")),"")</f>
        <v/>
      </c>
      <c r="V725" s="60" t="str">
        <f aca="false">IF(IsPro,IF($C725="","",IFERROR(MATCH($C725,Parties!$A$5:$A$304,0),"")),"")</f>
        <v/>
      </c>
      <c r="W725" s="60" t="str">
        <f aca="false">IF(IsPro,IF($B725="","",IFERROR(VALUE(SUBSTITUTE($B725,InvPrefix,"")),0)),"")</f>
        <v/>
      </c>
      <c r="X725" s="61" t="str">
        <f aca="false">IF(IsPro,IF($D725="","",IF(OR($H725="",$H725="Credit"),0,Q725)),"")</f>
        <v/>
      </c>
    </row>
    <row r="726" customFormat="false" ht="15" hidden="false" customHeight="false" outlineLevel="0" collapsed="false">
      <c r="A726" s="55"/>
      <c r="B726" s="56"/>
      <c r="C726" s="56"/>
      <c r="D726" s="56"/>
      <c r="E726" s="57"/>
      <c r="F726" s="58"/>
      <c r="G726" s="59"/>
      <c r="H726" s="56"/>
      <c r="I726" s="56"/>
      <c r="J726" s="60" t="str">
        <f aca="false">IF(IsPro,IF($D726="","",IFERROR(INDEX(Items!$D$5:$D$504,U726),"")),"")</f>
        <v/>
      </c>
      <c r="K726" s="61" t="str">
        <f aca="false">IF(IsPro,IF($D726="","",IF($F726="",IFERROR(INDEX(Items!$H$5:$H$504,U726),0),$F726)),"")</f>
        <v/>
      </c>
      <c r="L726" s="61" t="str">
        <f aca="false">IF(IsPro,IF($D726="","",ROUND(N($E726)*K726*(1-N($G726)),2)),"")</f>
        <v/>
      </c>
      <c r="M726" s="62" t="str">
        <f aca="false">IF(IsPro,IF($D726="","",IFERROR(INDEX(Items!$F$5:$F$504,U726),0)),"")</f>
        <v/>
      </c>
      <c r="N726" s="61" t="str">
        <f aca="false">IF(IsPro,IF($D726="","",IF(AND(V726&lt;&gt;"",INDEX(Parties!$E$5:$E$304,V726)&lt;&gt;"",INDEX(Parties!$E$5:$E$304,V726)&lt;&gt;HomeState),0,ROUND(L726*M726/2,2))),"")</f>
        <v/>
      </c>
      <c r="O726" s="61" t="str">
        <f aca="false">IF(IsPro,IF($D726="","",N726),"")</f>
        <v/>
      </c>
      <c r="P726" s="61" t="str">
        <f aca="false">IF(IsPro,IF($D726="","",IF(AND(V726&lt;&gt;"",INDEX(Parties!$E$5:$E$304,V726)&lt;&gt;"",INDEX(Parties!$E$5:$E$304,V726)&lt;&gt;HomeState),ROUND(L726*M726,2),0)),"")</f>
        <v/>
      </c>
      <c r="Q726" s="61" t="str">
        <f aca="false">IF(IsPro,IF($D726="","",L726+N726+O726+P726),"")</f>
        <v/>
      </c>
      <c r="R726" s="61" t="str">
        <f aca="false">IF(IsPro,IF($D726="","",ROUND(N($E726)*IFERROR(INDEX(Items!$P$5:$P$504,U726),0),2)),"")</f>
        <v/>
      </c>
      <c r="S726" s="61" t="str">
        <f aca="false">IF(IsPro,IF($D726="","",L726-R726),"")</f>
        <v/>
      </c>
      <c r="T726" s="60" t="str">
        <f aca="false">IF(IsPro,IF($D726="","",IF(U726="","UNKNOWN ITEM",IF(INDEX(Items!$O$5:$O$504,U726)&lt;0,"NEG STOCK",IF(K726&lt;INDEX(Items!$P$5:$P$504,U726),"BELOW COST","OK")))),IF($D726="","","PRO PLAN"))</f>
        <v/>
      </c>
      <c r="U726" s="60" t="str">
        <f aca="false">IF(IsPro,IF($D726="","",IFERROR(MATCH($D726,Items!$A$5:$A$504,0),"")),"")</f>
        <v/>
      </c>
      <c r="V726" s="60" t="str">
        <f aca="false">IF(IsPro,IF($C726="","",IFERROR(MATCH($C726,Parties!$A$5:$A$304,0),"")),"")</f>
        <v/>
      </c>
      <c r="W726" s="60" t="str">
        <f aca="false">IF(IsPro,IF($B726="","",IFERROR(VALUE(SUBSTITUTE($B726,InvPrefix,"")),0)),"")</f>
        <v/>
      </c>
      <c r="X726" s="61" t="str">
        <f aca="false">IF(IsPro,IF($D726="","",IF(OR($H726="",$H726="Credit"),0,Q726)),"")</f>
        <v/>
      </c>
    </row>
    <row r="727" customFormat="false" ht="15" hidden="false" customHeight="false" outlineLevel="0" collapsed="false">
      <c r="A727" s="55"/>
      <c r="B727" s="56"/>
      <c r="C727" s="56"/>
      <c r="D727" s="56"/>
      <c r="E727" s="57"/>
      <c r="F727" s="58"/>
      <c r="G727" s="59"/>
      <c r="H727" s="56"/>
      <c r="I727" s="56"/>
      <c r="J727" s="60" t="str">
        <f aca="false">IF(IsPro,IF($D727="","",IFERROR(INDEX(Items!$D$5:$D$504,U727),"")),"")</f>
        <v/>
      </c>
      <c r="K727" s="61" t="str">
        <f aca="false">IF(IsPro,IF($D727="","",IF($F727="",IFERROR(INDEX(Items!$H$5:$H$504,U727),0),$F727)),"")</f>
        <v/>
      </c>
      <c r="L727" s="61" t="str">
        <f aca="false">IF(IsPro,IF($D727="","",ROUND(N($E727)*K727*(1-N($G727)),2)),"")</f>
        <v/>
      </c>
      <c r="M727" s="62" t="str">
        <f aca="false">IF(IsPro,IF($D727="","",IFERROR(INDEX(Items!$F$5:$F$504,U727),0)),"")</f>
        <v/>
      </c>
      <c r="N727" s="61" t="str">
        <f aca="false">IF(IsPro,IF($D727="","",IF(AND(V727&lt;&gt;"",INDEX(Parties!$E$5:$E$304,V727)&lt;&gt;"",INDEX(Parties!$E$5:$E$304,V727)&lt;&gt;HomeState),0,ROUND(L727*M727/2,2))),"")</f>
        <v/>
      </c>
      <c r="O727" s="61" t="str">
        <f aca="false">IF(IsPro,IF($D727="","",N727),"")</f>
        <v/>
      </c>
      <c r="P727" s="61" t="str">
        <f aca="false">IF(IsPro,IF($D727="","",IF(AND(V727&lt;&gt;"",INDEX(Parties!$E$5:$E$304,V727)&lt;&gt;"",INDEX(Parties!$E$5:$E$304,V727)&lt;&gt;HomeState),ROUND(L727*M727,2),0)),"")</f>
        <v/>
      </c>
      <c r="Q727" s="61" t="str">
        <f aca="false">IF(IsPro,IF($D727="","",L727+N727+O727+P727),"")</f>
        <v/>
      </c>
      <c r="R727" s="61" t="str">
        <f aca="false">IF(IsPro,IF($D727="","",ROUND(N($E727)*IFERROR(INDEX(Items!$P$5:$P$504,U727),0),2)),"")</f>
        <v/>
      </c>
      <c r="S727" s="61" t="str">
        <f aca="false">IF(IsPro,IF($D727="","",L727-R727),"")</f>
        <v/>
      </c>
      <c r="T727" s="60" t="str">
        <f aca="false">IF(IsPro,IF($D727="","",IF(U727="","UNKNOWN ITEM",IF(INDEX(Items!$O$5:$O$504,U727)&lt;0,"NEG STOCK",IF(K727&lt;INDEX(Items!$P$5:$P$504,U727),"BELOW COST","OK")))),IF($D727="","","PRO PLAN"))</f>
        <v/>
      </c>
      <c r="U727" s="60" t="str">
        <f aca="false">IF(IsPro,IF($D727="","",IFERROR(MATCH($D727,Items!$A$5:$A$504,0),"")),"")</f>
        <v/>
      </c>
      <c r="V727" s="60" t="str">
        <f aca="false">IF(IsPro,IF($C727="","",IFERROR(MATCH($C727,Parties!$A$5:$A$304,0),"")),"")</f>
        <v/>
      </c>
      <c r="W727" s="60" t="str">
        <f aca="false">IF(IsPro,IF($B727="","",IFERROR(VALUE(SUBSTITUTE($B727,InvPrefix,"")),0)),"")</f>
        <v/>
      </c>
      <c r="X727" s="61" t="str">
        <f aca="false">IF(IsPro,IF($D727="","",IF(OR($H727="",$H727="Credit"),0,Q727)),"")</f>
        <v/>
      </c>
    </row>
    <row r="728" customFormat="false" ht="15" hidden="false" customHeight="false" outlineLevel="0" collapsed="false">
      <c r="A728" s="55"/>
      <c r="B728" s="56"/>
      <c r="C728" s="56"/>
      <c r="D728" s="56"/>
      <c r="E728" s="57"/>
      <c r="F728" s="58"/>
      <c r="G728" s="59"/>
      <c r="H728" s="56"/>
      <c r="I728" s="56"/>
      <c r="J728" s="60" t="str">
        <f aca="false">IF(IsPro,IF($D728="","",IFERROR(INDEX(Items!$D$5:$D$504,U728),"")),"")</f>
        <v/>
      </c>
      <c r="K728" s="61" t="str">
        <f aca="false">IF(IsPro,IF($D728="","",IF($F728="",IFERROR(INDEX(Items!$H$5:$H$504,U728),0),$F728)),"")</f>
        <v/>
      </c>
      <c r="L728" s="61" t="str">
        <f aca="false">IF(IsPro,IF($D728="","",ROUND(N($E728)*K728*(1-N($G728)),2)),"")</f>
        <v/>
      </c>
      <c r="M728" s="62" t="str">
        <f aca="false">IF(IsPro,IF($D728="","",IFERROR(INDEX(Items!$F$5:$F$504,U728),0)),"")</f>
        <v/>
      </c>
      <c r="N728" s="61" t="str">
        <f aca="false">IF(IsPro,IF($D728="","",IF(AND(V728&lt;&gt;"",INDEX(Parties!$E$5:$E$304,V728)&lt;&gt;"",INDEX(Parties!$E$5:$E$304,V728)&lt;&gt;HomeState),0,ROUND(L728*M728/2,2))),"")</f>
        <v/>
      </c>
      <c r="O728" s="61" t="str">
        <f aca="false">IF(IsPro,IF($D728="","",N728),"")</f>
        <v/>
      </c>
      <c r="P728" s="61" t="str">
        <f aca="false">IF(IsPro,IF($D728="","",IF(AND(V728&lt;&gt;"",INDEX(Parties!$E$5:$E$304,V728)&lt;&gt;"",INDEX(Parties!$E$5:$E$304,V728)&lt;&gt;HomeState),ROUND(L728*M728,2),0)),"")</f>
        <v/>
      </c>
      <c r="Q728" s="61" t="str">
        <f aca="false">IF(IsPro,IF($D728="","",L728+N728+O728+P728),"")</f>
        <v/>
      </c>
      <c r="R728" s="61" t="str">
        <f aca="false">IF(IsPro,IF($D728="","",ROUND(N($E728)*IFERROR(INDEX(Items!$P$5:$P$504,U728),0),2)),"")</f>
        <v/>
      </c>
      <c r="S728" s="61" t="str">
        <f aca="false">IF(IsPro,IF($D728="","",L728-R728),"")</f>
        <v/>
      </c>
      <c r="T728" s="60" t="str">
        <f aca="false">IF(IsPro,IF($D728="","",IF(U728="","UNKNOWN ITEM",IF(INDEX(Items!$O$5:$O$504,U728)&lt;0,"NEG STOCK",IF(K728&lt;INDEX(Items!$P$5:$P$504,U728),"BELOW COST","OK")))),IF($D728="","","PRO PLAN"))</f>
        <v/>
      </c>
      <c r="U728" s="60" t="str">
        <f aca="false">IF(IsPro,IF($D728="","",IFERROR(MATCH($D728,Items!$A$5:$A$504,0),"")),"")</f>
        <v/>
      </c>
      <c r="V728" s="60" t="str">
        <f aca="false">IF(IsPro,IF($C728="","",IFERROR(MATCH($C728,Parties!$A$5:$A$304,0),"")),"")</f>
        <v/>
      </c>
      <c r="W728" s="60" t="str">
        <f aca="false">IF(IsPro,IF($B728="","",IFERROR(VALUE(SUBSTITUTE($B728,InvPrefix,"")),0)),"")</f>
        <v/>
      </c>
      <c r="X728" s="61" t="str">
        <f aca="false">IF(IsPro,IF($D728="","",IF(OR($H728="",$H728="Credit"),0,Q728)),"")</f>
        <v/>
      </c>
    </row>
    <row r="729" customFormat="false" ht="15" hidden="false" customHeight="false" outlineLevel="0" collapsed="false">
      <c r="A729" s="55"/>
      <c r="B729" s="56"/>
      <c r="C729" s="56"/>
      <c r="D729" s="56"/>
      <c r="E729" s="57"/>
      <c r="F729" s="58"/>
      <c r="G729" s="59"/>
      <c r="H729" s="56"/>
      <c r="I729" s="56"/>
      <c r="J729" s="60" t="str">
        <f aca="false">IF(IsPro,IF($D729="","",IFERROR(INDEX(Items!$D$5:$D$504,U729),"")),"")</f>
        <v/>
      </c>
      <c r="K729" s="61" t="str">
        <f aca="false">IF(IsPro,IF($D729="","",IF($F729="",IFERROR(INDEX(Items!$H$5:$H$504,U729),0),$F729)),"")</f>
        <v/>
      </c>
      <c r="L729" s="61" t="str">
        <f aca="false">IF(IsPro,IF($D729="","",ROUND(N($E729)*K729*(1-N($G729)),2)),"")</f>
        <v/>
      </c>
      <c r="M729" s="62" t="str">
        <f aca="false">IF(IsPro,IF($D729="","",IFERROR(INDEX(Items!$F$5:$F$504,U729),0)),"")</f>
        <v/>
      </c>
      <c r="N729" s="61" t="str">
        <f aca="false">IF(IsPro,IF($D729="","",IF(AND(V729&lt;&gt;"",INDEX(Parties!$E$5:$E$304,V729)&lt;&gt;"",INDEX(Parties!$E$5:$E$304,V729)&lt;&gt;HomeState),0,ROUND(L729*M729/2,2))),"")</f>
        <v/>
      </c>
      <c r="O729" s="61" t="str">
        <f aca="false">IF(IsPro,IF($D729="","",N729),"")</f>
        <v/>
      </c>
      <c r="P729" s="61" t="str">
        <f aca="false">IF(IsPro,IF($D729="","",IF(AND(V729&lt;&gt;"",INDEX(Parties!$E$5:$E$304,V729)&lt;&gt;"",INDEX(Parties!$E$5:$E$304,V729)&lt;&gt;HomeState),ROUND(L729*M729,2),0)),"")</f>
        <v/>
      </c>
      <c r="Q729" s="61" t="str">
        <f aca="false">IF(IsPro,IF($D729="","",L729+N729+O729+P729),"")</f>
        <v/>
      </c>
      <c r="R729" s="61" t="str">
        <f aca="false">IF(IsPro,IF($D729="","",ROUND(N($E729)*IFERROR(INDEX(Items!$P$5:$P$504,U729),0),2)),"")</f>
        <v/>
      </c>
      <c r="S729" s="61" t="str">
        <f aca="false">IF(IsPro,IF($D729="","",L729-R729),"")</f>
        <v/>
      </c>
      <c r="T729" s="60" t="str">
        <f aca="false">IF(IsPro,IF($D729="","",IF(U729="","UNKNOWN ITEM",IF(INDEX(Items!$O$5:$O$504,U729)&lt;0,"NEG STOCK",IF(K729&lt;INDEX(Items!$P$5:$P$504,U729),"BELOW COST","OK")))),IF($D729="","","PRO PLAN"))</f>
        <v/>
      </c>
      <c r="U729" s="60" t="str">
        <f aca="false">IF(IsPro,IF($D729="","",IFERROR(MATCH($D729,Items!$A$5:$A$504,0),"")),"")</f>
        <v/>
      </c>
      <c r="V729" s="60" t="str">
        <f aca="false">IF(IsPro,IF($C729="","",IFERROR(MATCH($C729,Parties!$A$5:$A$304,0),"")),"")</f>
        <v/>
      </c>
      <c r="W729" s="60" t="str">
        <f aca="false">IF(IsPro,IF($B729="","",IFERROR(VALUE(SUBSTITUTE($B729,InvPrefix,"")),0)),"")</f>
        <v/>
      </c>
      <c r="X729" s="61" t="str">
        <f aca="false">IF(IsPro,IF($D729="","",IF(OR($H729="",$H729="Credit"),0,Q729)),"")</f>
        <v/>
      </c>
    </row>
    <row r="730" customFormat="false" ht="15" hidden="false" customHeight="false" outlineLevel="0" collapsed="false">
      <c r="A730" s="55"/>
      <c r="B730" s="56"/>
      <c r="C730" s="56"/>
      <c r="D730" s="56"/>
      <c r="E730" s="57"/>
      <c r="F730" s="58"/>
      <c r="G730" s="59"/>
      <c r="H730" s="56"/>
      <c r="I730" s="56"/>
      <c r="J730" s="60" t="str">
        <f aca="false">IF(IsPro,IF($D730="","",IFERROR(INDEX(Items!$D$5:$D$504,U730),"")),"")</f>
        <v/>
      </c>
      <c r="K730" s="61" t="str">
        <f aca="false">IF(IsPro,IF($D730="","",IF($F730="",IFERROR(INDEX(Items!$H$5:$H$504,U730),0),$F730)),"")</f>
        <v/>
      </c>
      <c r="L730" s="61" t="str">
        <f aca="false">IF(IsPro,IF($D730="","",ROUND(N($E730)*K730*(1-N($G730)),2)),"")</f>
        <v/>
      </c>
      <c r="M730" s="62" t="str">
        <f aca="false">IF(IsPro,IF($D730="","",IFERROR(INDEX(Items!$F$5:$F$504,U730),0)),"")</f>
        <v/>
      </c>
      <c r="N730" s="61" t="str">
        <f aca="false">IF(IsPro,IF($D730="","",IF(AND(V730&lt;&gt;"",INDEX(Parties!$E$5:$E$304,V730)&lt;&gt;"",INDEX(Parties!$E$5:$E$304,V730)&lt;&gt;HomeState),0,ROUND(L730*M730/2,2))),"")</f>
        <v/>
      </c>
      <c r="O730" s="61" t="str">
        <f aca="false">IF(IsPro,IF($D730="","",N730),"")</f>
        <v/>
      </c>
      <c r="P730" s="61" t="str">
        <f aca="false">IF(IsPro,IF($D730="","",IF(AND(V730&lt;&gt;"",INDEX(Parties!$E$5:$E$304,V730)&lt;&gt;"",INDEX(Parties!$E$5:$E$304,V730)&lt;&gt;HomeState),ROUND(L730*M730,2),0)),"")</f>
        <v/>
      </c>
      <c r="Q730" s="61" t="str">
        <f aca="false">IF(IsPro,IF($D730="","",L730+N730+O730+P730),"")</f>
        <v/>
      </c>
      <c r="R730" s="61" t="str">
        <f aca="false">IF(IsPro,IF($D730="","",ROUND(N($E730)*IFERROR(INDEX(Items!$P$5:$P$504,U730),0),2)),"")</f>
        <v/>
      </c>
      <c r="S730" s="61" t="str">
        <f aca="false">IF(IsPro,IF($D730="","",L730-R730),"")</f>
        <v/>
      </c>
      <c r="T730" s="60" t="str">
        <f aca="false">IF(IsPro,IF($D730="","",IF(U730="","UNKNOWN ITEM",IF(INDEX(Items!$O$5:$O$504,U730)&lt;0,"NEG STOCK",IF(K730&lt;INDEX(Items!$P$5:$P$504,U730),"BELOW COST","OK")))),IF($D730="","","PRO PLAN"))</f>
        <v/>
      </c>
      <c r="U730" s="60" t="str">
        <f aca="false">IF(IsPro,IF($D730="","",IFERROR(MATCH($D730,Items!$A$5:$A$504,0),"")),"")</f>
        <v/>
      </c>
      <c r="V730" s="60" t="str">
        <f aca="false">IF(IsPro,IF($C730="","",IFERROR(MATCH($C730,Parties!$A$5:$A$304,0),"")),"")</f>
        <v/>
      </c>
      <c r="W730" s="60" t="str">
        <f aca="false">IF(IsPro,IF($B730="","",IFERROR(VALUE(SUBSTITUTE($B730,InvPrefix,"")),0)),"")</f>
        <v/>
      </c>
      <c r="X730" s="61" t="str">
        <f aca="false">IF(IsPro,IF($D730="","",IF(OR($H730="",$H730="Credit"),0,Q730)),"")</f>
        <v/>
      </c>
    </row>
    <row r="731" customFormat="false" ht="15" hidden="false" customHeight="false" outlineLevel="0" collapsed="false">
      <c r="A731" s="55"/>
      <c r="B731" s="56"/>
      <c r="C731" s="56"/>
      <c r="D731" s="56"/>
      <c r="E731" s="57"/>
      <c r="F731" s="58"/>
      <c r="G731" s="59"/>
      <c r="H731" s="56"/>
      <c r="I731" s="56"/>
      <c r="J731" s="60" t="str">
        <f aca="false">IF(IsPro,IF($D731="","",IFERROR(INDEX(Items!$D$5:$D$504,U731),"")),"")</f>
        <v/>
      </c>
      <c r="K731" s="61" t="str">
        <f aca="false">IF(IsPro,IF($D731="","",IF($F731="",IFERROR(INDEX(Items!$H$5:$H$504,U731),0),$F731)),"")</f>
        <v/>
      </c>
      <c r="L731" s="61" t="str">
        <f aca="false">IF(IsPro,IF($D731="","",ROUND(N($E731)*K731*(1-N($G731)),2)),"")</f>
        <v/>
      </c>
      <c r="M731" s="62" t="str">
        <f aca="false">IF(IsPro,IF($D731="","",IFERROR(INDEX(Items!$F$5:$F$504,U731),0)),"")</f>
        <v/>
      </c>
      <c r="N731" s="61" t="str">
        <f aca="false">IF(IsPro,IF($D731="","",IF(AND(V731&lt;&gt;"",INDEX(Parties!$E$5:$E$304,V731)&lt;&gt;"",INDEX(Parties!$E$5:$E$304,V731)&lt;&gt;HomeState),0,ROUND(L731*M731/2,2))),"")</f>
        <v/>
      </c>
      <c r="O731" s="61" t="str">
        <f aca="false">IF(IsPro,IF($D731="","",N731),"")</f>
        <v/>
      </c>
      <c r="P731" s="61" t="str">
        <f aca="false">IF(IsPro,IF($D731="","",IF(AND(V731&lt;&gt;"",INDEX(Parties!$E$5:$E$304,V731)&lt;&gt;"",INDEX(Parties!$E$5:$E$304,V731)&lt;&gt;HomeState),ROUND(L731*M731,2),0)),"")</f>
        <v/>
      </c>
      <c r="Q731" s="61" t="str">
        <f aca="false">IF(IsPro,IF($D731="","",L731+N731+O731+P731),"")</f>
        <v/>
      </c>
      <c r="R731" s="61" t="str">
        <f aca="false">IF(IsPro,IF($D731="","",ROUND(N($E731)*IFERROR(INDEX(Items!$P$5:$P$504,U731),0),2)),"")</f>
        <v/>
      </c>
      <c r="S731" s="61" t="str">
        <f aca="false">IF(IsPro,IF($D731="","",L731-R731),"")</f>
        <v/>
      </c>
      <c r="T731" s="60" t="str">
        <f aca="false">IF(IsPro,IF($D731="","",IF(U731="","UNKNOWN ITEM",IF(INDEX(Items!$O$5:$O$504,U731)&lt;0,"NEG STOCK",IF(K731&lt;INDEX(Items!$P$5:$P$504,U731),"BELOW COST","OK")))),IF($D731="","","PRO PLAN"))</f>
        <v/>
      </c>
      <c r="U731" s="60" t="str">
        <f aca="false">IF(IsPro,IF($D731="","",IFERROR(MATCH($D731,Items!$A$5:$A$504,0),"")),"")</f>
        <v/>
      </c>
      <c r="V731" s="60" t="str">
        <f aca="false">IF(IsPro,IF($C731="","",IFERROR(MATCH($C731,Parties!$A$5:$A$304,0),"")),"")</f>
        <v/>
      </c>
      <c r="W731" s="60" t="str">
        <f aca="false">IF(IsPro,IF($B731="","",IFERROR(VALUE(SUBSTITUTE($B731,InvPrefix,"")),0)),"")</f>
        <v/>
      </c>
      <c r="X731" s="61" t="str">
        <f aca="false">IF(IsPro,IF($D731="","",IF(OR($H731="",$H731="Credit"),0,Q731)),"")</f>
        <v/>
      </c>
    </row>
    <row r="732" customFormat="false" ht="15" hidden="false" customHeight="false" outlineLevel="0" collapsed="false">
      <c r="A732" s="55"/>
      <c r="B732" s="56"/>
      <c r="C732" s="56"/>
      <c r="D732" s="56"/>
      <c r="E732" s="57"/>
      <c r="F732" s="58"/>
      <c r="G732" s="59"/>
      <c r="H732" s="56"/>
      <c r="I732" s="56"/>
      <c r="J732" s="60" t="str">
        <f aca="false">IF(IsPro,IF($D732="","",IFERROR(INDEX(Items!$D$5:$D$504,U732),"")),"")</f>
        <v/>
      </c>
      <c r="K732" s="61" t="str">
        <f aca="false">IF(IsPro,IF($D732="","",IF($F732="",IFERROR(INDEX(Items!$H$5:$H$504,U732),0),$F732)),"")</f>
        <v/>
      </c>
      <c r="L732" s="61" t="str">
        <f aca="false">IF(IsPro,IF($D732="","",ROUND(N($E732)*K732*(1-N($G732)),2)),"")</f>
        <v/>
      </c>
      <c r="M732" s="62" t="str">
        <f aca="false">IF(IsPro,IF($D732="","",IFERROR(INDEX(Items!$F$5:$F$504,U732),0)),"")</f>
        <v/>
      </c>
      <c r="N732" s="61" t="str">
        <f aca="false">IF(IsPro,IF($D732="","",IF(AND(V732&lt;&gt;"",INDEX(Parties!$E$5:$E$304,V732)&lt;&gt;"",INDEX(Parties!$E$5:$E$304,V732)&lt;&gt;HomeState),0,ROUND(L732*M732/2,2))),"")</f>
        <v/>
      </c>
      <c r="O732" s="61" t="str">
        <f aca="false">IF(IsPro,IF($D732="","",N732),"")</f>
        <v/>
      </c>
      <c r="P732" s="61" t="str">
        <f aca="false">IF(IsPro,IF($D732="","",IF(AND(V732&lt;&gt;"",INDEX(Parties!$E$5:$E$304,V732)&lt;&gt;"",INDEX(Parties!$E$5:$E$304,V732)&lt;&gt;HomeState),ROUND(L732*M732,2),0)),"")</f>
        <v/>
      </c>
      <c r="Q732" s="61" t="str">
        <f aca="false">IF(IsPro,IF($D732="","",L732+N732+O732+P732),"")</f>
        <v/>
      </c>
      <c r="R732" s="61" t="str">
        <f aca="false">IF(IsPro,IF($D732="","",ROUND(N($E732)*IFERROR(INDEX(Items!$P$5:$P$504,U732),0),2)),"")</f>
        <v/>
      </c>
      <c r="S732" s="61" t="str">
        <f aca="false">IF(IsPro,IF($D732="","",L732-R732),"")</f>
        <v/>
      </c>
      <c r="T732" s="60" t="str">
        <f aca="false">IF(IsPro,IF($D732="","",IF(U732="","UNKNOWN ITEM",IF(INDEX(Items!$O$5:$O$504,U732)&lt;0,"NEG STOCK",IF(K732&lt;INDEX(Items!$P$5:$P$504,U732),"BELOW COST","OK")))),IF($D732="","","PRO PLAN"))</f>
        <v/>
      </c>
      <c r="U732" s="60" t="str">
        <f aca="false">IF(IsPro,IF($D732="","",IFERROR(MATCH($D732,Items!$A$5:$A$504,0),"")),"")</f>
        <v/>
      </c>
      <c r="V732" s="60" t="str">
        <f aca="false">IF(IsPro,IF($C732="","",IFERROR(MATCH($C732,Parties!$A$5:$A$304,0),"")),"")</f>
        <v/>
      </c>
      <c r="W732" s="60" t="str">
        <f aca="false">IF(IsPro,IF($B732="","",IFERROR(VALUE(SUBSTITUTE($B732,InvPrefix,"")),0)),"")</f>
        <v/>
      </c>
      <c r="X732" s="61" t="str">
        <f aca="false">IF(IsPro,IF($D732="","",IF(OR($H732="",$H732="Credit"),0,Q732)),"")</f>
        <v/>
      </c>
    </row>
    <row r="733" customFormat="false" ht="15" hidden="false" customHeight="false" outlineLevel="0" collapsed="false">
      <c r="A733" s="55"/>
      <c r="B733" s="56"/>
      <c r="C733" s="56"/>
      <c r="D733" s="56"/>
      <c r="E733" s="57"/>
      <c r="F733" s="58"/>
      <c r="G733" s="59"/>
      <c r="H733" s="56"/>
      <c r="I733" s="56"/>
      <c r="J733" s="60" t="str">
        <f aca="false">IF(IsPro,IF($D733="","",IFERROR(INDEX(Items!$D$5:$D$504,U733),"")),"")</f>
        <v/>
      </c>
      <c r="K733" s="61" t="str">
        <f aca="false">IF(IsPro,IF($D733="","",IF($F733="",IFERROR(INDEX(Items!$H$5:$H$504,U733),0),$F733)),"")</f>
        <v/>
      </c>
      <c r="L733" s="61" t="str">
        <f aca="false">IF(IsPro,IF($D733="","",ROUND(N($E733)*K733*(1-N($G733)),2)),"")</f>
        <v/>
      </c>
      <c r="M733" s="62" t="str">
        <f aca="false">IF(IsPro,IF($D733="","",IFERROR(INDEX(Items!$F$5:$F$504,U733),0)),"")</f>
        <v/>
      </c>
      <c r="N733" s="61" t="str">
        <f aca="false">IF(IsPro,IF($D733="","",IF(AND(V733&lt;&gt;"",INDEX(Parties!$E$5:$E$304,V733)&lt;&gt;"",INDEX(Parties!$E$5:$E$304,V733)&lt;&gt;HomeState),0,ROUND(L733*M733/2,2))),"")</f>
        <v/>
      </c>
      <c r="O733" s="61" t="str">
        <f aca="false">IF(IsPro,IF($D733="","",N733),"")</f>
        <v/>
      </c>
      <c r="P733" s="61" t="str">
        <f aca="false">IF(IsPro,IF($D733="","",IF(AND(V733&lt;&gt;"",INDEX(Parties!$E$5:$E$304,V733)&lt;&gt;"",INDEX(Parties!$E$5:$E$304,V733)&lt;&gt;HomeState),ROUND(L733*M733,2),0)),"")</f>
        <v/>
      </c>
      <c r="Q733" s="61" t="str">
        <f aca="false">IF(IsPro,IF($D733="","",L733+N733+O733+P733),"")</f>
        <v/>
      </c>
      <c r="R733" s="61" t="str">
        <f aca="false">IF(IsPro,IF($D733="","",ROUND(N($E733)*IFERROR(INDEX(Items!$P$5:$P$504,U733),0),2)),"")</f>
        <v/>
      </c>
      <c r="S733" s="61" t="str">
        <f aca="false">IF(IsPro,IF($D733="","",L733-R733),"")</f>
        <v/>
      </c>
      <c r="T733" s="60" t="str">
        <f aca="false">IF(IsPro,IF($D733="","",IF(U733="","UNKNOWN ITEM",IF(INDEX(Items!$O$5:$O$504,U733)&lt;0,"NEG STOCK",IF(K733&lt;INDEX(Items!$P$5:$P$504,U733),"BELOW COST","OK")))),IF($D733="","","PRO PLAN"))</f>
        <v/>
      </c>
      <c r="U733" s="60" t="str">
        <f aca="false">IF(IsPro,IF($D733="","",IFERROR(MATCH($D733,Items!$A$5:$A$504,0),"")),"")</f>
        <v/>
      </c>
      <c r="V733" s="60" t="str">
        <f aca="false">IF(IsPro,IF($C733="","",IFERROR(MATCH($C733,Parties!$A$5:$A$304,0),"")),"")</f>
        <v/>
      </c>
      <c r="W733" s="60" t="str">
        <f aca="false">IF(IsPro,IF($B733="","",IFERROR(VALUE(SUBSTITUTE($B733,InvPrefix,"")),0)),"")</f>
        <v/>
      </c>
      <c r="X733" s="61" t="str">
        <f aca="false">IF(IsPro,IF($D733="","",IF(OR($H733="",$H733="Credit"),0,Q733)),"")</f>
        <v/>
      </c>
    </row>
    <row r="734" customFormat="false" ht="15" hidden="false" customHeight="false" outlineLevel="0" collapsed="false">
      <c r="A734" s="55"/>
      <c r="B734" s="56"/>
      <c r="C734" s="56"/>
      <c r="D734" s="56"/>
      <c r="E734" s="57"/>
      <c r="F734" s="58"/>
      <c r="G734" s="59"/>
      <c r="H734" s="56"/>
      <c r="I734" s="56"/>
      <c r="J734" s="60" t="str">
        <f aca="false">IF(IsPro,IF($D734="","",IFERROR(INDEX(Items!$D$5:$D$504,U734),"")),"")</f>
        <v/>
      </c>
      <c r="K734" s="61" t="str">
        <f aca="false">IF(IsPro,IF($D734="","",IF($F734="",IFERROR(INDEX(Items!$H$5:$H$504,U734),0),$F734)),"")</f>
        <v/>
      </c>
      <c r="L734" s="61" t="str">
        <f aca="false">IF(IsPro,IF($D734="","",ROUND(N($E734)*K734*(1-N($G734)),2)),"")</f>
        <v/>
      </c>
      <c r="M734" s="62" t="str">
        <f aca="false">IF(IsPro,IF($D734="","",IFERROR(INDEX(Items!$F$5:$F$504,U734),0)),"")</f>
        <v/>
      </c>
      <c r="N734" s="61" t="str">
        <f aca="false">IF(IsPro,IF($D734="","",IF(AND(V734&lt;&gt;"",INDEX(Parties!$E$5:$E$304,V734)&lt;&gt;"",INDEX(Parties!$E$5:$E$304,V734)&lt;&gt;HomeState),0,ROUND(L734*M734/2,2))),"")</f>
        <v/>
      </c>
      <c r="O734" s="61" t="str">
        <f aca="false">IF(IsPro,IF($D734="","",N734),"")</f>
        <v/>
      </c>
      <c r="P734" s="61" t="str">
        <f aca="false">IF(IsPro,IF($D734="","",IF(AND(V734&lt;&gt;"",INDEX(Parties!$E$5:$E$304,V734)&lt;&gt;"",INDEX(Parties!$E$5:$E$304,V734)&lt;&gt;HomeState),ROUND(L734*M734,2),0)),"")</f>
        <v/>
      </c>
      <c r="Q734" s="61" t="str">
        <f aca="false">IF(IsPro,IF($D734="","",L734+N734+O734+P734),"")</f>
        <v/>
      </c>
      <c r="R734" s="61" t="str">
        <f aca="false">IF(IsPro,IF($D734="","",ROUND(N($E734)*IFERROR(INDEX(Items!$P$5:$P$504,U734),0),2)),"")</f>
        <v/>
      </c>
      <c r="S734" s="61" t="str">
        <f aca="false">IF(IsPro,IF($D734="","",L734-R734),"")</f>
        <v/>
      </c>
      <c r="T734" s="60" t="str">
        <f aca="false">IF(IsPro,IF($D734="","",IF(U734="","UNKNOWN ITEM",IF(INDEX(Items!$O$5:$O$504,U734)&lt;0,"NEG STOCK",IF(K734&lt;INDEX(Items!$P$5:$P$504,U734),"BELOW COST","OK")))),IF($D734="","","PRO PLAN"))</f>
        <v/>
      </c>
      <c r="U734" s="60" t="str">
        <f aca="false">IF(IsPro,IF($D734="","",IFERROR(MATCH($D734,Items!$A$5:$A$504,0),"")),"")</f>
        <v/>
      </c>
      <c r="V734" s="60" t="str">
        <f aca="false">IF(IsPro,IF($C734="","",IFERROR(MATCH($C734,Parties!$A$5:$A$304,0),"")),"")</f>
        <v/>
      </c>
      <c r="W734" s="60" t="str">
        <f aca="false">IF(IsPro,IF($B734="","",IFERROR(VALUE(SUBSTITUTE($B734,InvPrefix,"")),0)),"")</f>
        <v/>
      </c>
      <c r="X734" s="61" t="str">
        <f aca="false">IF(IsPro,IF($D734="","",IF(OR($H734="",$H734="Credit"),0,Q734)),"")</f>
        <v/>
      </c>
    </row>
    <row r="735" customFormat="false" ht="15" hidden="false" customHeight="false" outlineLevel="0" collapsed="false">
      <c r="A735" s="55"/>
      <c r="B735" s="56"/>
      <c r="C735" s="56"/>
      <c r="D735" s="56"/>
      <c r="E735" s="57"/>
      <c r="F735" s="58"/>
      <c r="G735" s="59"/>
      <c r="H735" s="56"/>
      <c r="I735" s="56"/>
      <c r="J735" s="60" t="str">
        <f aca="false">IF(IsPro,IF($D735="","",IFERROR(INDEX(Items!$D$5:$D$504,U735),"")),"")</f>
        <v/>
      </c>
      <c r="K735" s="61" t="str">
        <f aca="false">IF(IsPro,IF($D735="","",IF($F735="",IFERROR(INDEX(Items!$H$5:$H$504,U735),0),$F735)),"")</f>
        <v/>
      </c>
      <c r="L735" s="61" t="str">
        <f aca="false">IF(IsPro,IF($D735="","",ROUND(N($E735)*K735*(1-N($G735)),2)),"")</f>
        <v/>
      </c>
      <c r="M735" s="62" t="str">
        <f aca="false">IF(IsPro,IF($D735="","",IFERROR(INDEX(Items!$F$5:$F$504,U735),0)),"")</f>
        <v/>
      </c>
      <c r="N735" s="61" t="str">
        <f aca="false">IF(IsPro,IF($D735="","",IF(AND(V735&lt;&gt;"",INDEX(Parties!$E$5:$E$304,V735)&lt;&gt;"",INDEX(Parties!$E$5:$E$304,V735)&lt;&gt;HomeState),0,ROUND(L735*M735/2,2))),"")</f>
        <v/>
      </c>
      <c r="O735" s="61" t="str">
        <f aca="false">IF(IsPro,IF($D735="","",N735),"")</f>
        <v/>
      </c>
      <c r="P735" s="61" t="str">
        <f aca="false">IF(IsPro,IF($D735="","",IF(AND(V735&lt;&gt;"",INDEX(Parties!$E$5:$E$304,V735)&lt;&gt;"",INDEX(Parties!$E$5:$E$304,V735)&lt;&gt;HomeState),ROUND(L735*M735,2),0)),"")</f>
        <v/>
      </c>
      <c r="Q735" s="61" t="str">
        <f aca="false">IF(IsPro,IF($D735="","",L735+N735+O735+P735),"")</f>
        <v/>
      </c>
      <c r="R735" s="61" t="str">
        <f aca="false">IF(IsPro,IF($D735="","",ROUND(N($E735)*IFERROR(INDEX(Items!$P$5:$P$504,U735),0),2)),"")</f>
        <v/>
      </c>
      <c r="S735" s="61" t="str">
        <f aca="false">IF(IsPro,IF($D735="","",L735-R735),"")</f>
        <v/>
      </c>
      <c r="T735" s="60" t="str">
        <f aca="false">IF(IsPro,IF($D735="","",IF(U735="","UNKNOWN ITEM",IF(INDEX(Items!$O$5:$O$504,U735)&lt;0,"NEG STOCK",IF(K735&lt;INDEX(Items!$P$5:$P$504,U735),"BELOW COST","OK")))),IF($D735="","","PRO PLAN"))</f>
        <v/>
      </c>
      <c r="U735" s="60" t="str">
        <f aca="false">IF(IsPro,IF($D735="","",IFERROR(MATCH($D735,Items!$A$5:$A$504,0),"")),"")</f>
        <v/>
      </c>
      <c r="V735" s="60" t="str">
        <f aca="false">IF(IsPro,IF($C735="","",IFERROR(MATCH($C735,Parties!$A$5:$A$304,0),"")),"")</f>
        <v/>
      </c>
      <c r="W735" s="60" t="str">
        <f aca="false">IF(IsPro,IF($B735="","",IFERROR(VALUE(SUBSTITUTE($B735,InvPrefix,"")),0)),"")</f>
        <v/>
      </c>
      <c r="X735" s="61" t="str">
        <f aca="false">IF(IsPro,IF($D735="","",IF(OR($H735="",$H735="Credit"),0,Q735)),"")</f>
        <v/>
      </c>
    </row>
    <row r="736" customFormat="false" ht="15" hidden="false" customHeight="false" outlineLevel="0" collapsed="false">
      <c r="A736" s="55"/>
      <c r="B736" s="56"/>
      <c r="C736" s="56"/>
      <c r="D736" s="56"/>
      <c r="E736" s="57"/>
      <c r="F736" s="58"/>
      <c r="G736" s="59"/>
      <c r="H736" s="56"/>
      <c r="I736" s="56"/>
      <c r="J736" s="60" t="str">
        <f aca="false">IF(IsPro,IF($D736="","",IFERROR(INDEX(Items!$D$5:$D$504,U736),"")),"")</f>
        <v/>
      </c>
      <c r="K736" s="61" t="str">
        <f aca="false">IF(IsPro,IF($D736="","",IF($F736="",IFERROR(INDEX(Items!$H$5:$H$504,U736),0),$F736)),"")</f>
        <v/>
      </c>
      <c r="L736" s="61" t="str">
        <f aca="false">IF(IsPro,IF($D736="","",ROUND(N($E736)*K736*(1-N($G736)),2)),"")</f>
        <v/>
      </c>
      <c r="M736" s="62" t="str">
        <f aca="false">IF(IsPro,IF($D736="","",IFERROR(INDEX(Items!$F$5:$F$504,U736),0)),"")</f>
        <v/>
      </c>
      <c r="N736" s="61" t="str">
        <f aca="false">IF(IsPro,IF($D736="","",IF(AND(V736&lt;&gt;"",INDEX(Parties!$E$5:$E$304,V736)&lt;&gt;"",INDEX(Parties!$E$5:$E$304,V736)&lt;&gt;HomeState),0,ROUND(L736*M736/2,2))),"")</f>
        <v/>
      </c>
      <c r="O736" s="61" t="str">
        <f aca="false">IF(IsPro,IF($D736="","",N736),"")</f>
        <v/>
      </c>
      <c r="P736" s="61" t="str">
        <f aca="false">IF(IsPro,IF($D736="","",IF(AND(V736&lt;&gt;"",INDEX(Parties!$E$5:$E$304,V736)&lt;&gt;"",INDEX(Parties!$E$5:$E$304,V736)&lt;&gt;HomeState),ROUND(L736*M736,2),0)),"")</f>
        <v/>
      </c>
      <c r="Q736" s="61" t="str">
        <f aca="false">IF(IsPro,IF($D736="","",L736+N736+O736+P736),"")</f>
        <v/>
      </c>
      <c r="R736" s="61" t="str">
        <f aca="false">IF(IsPro,IF($D736="","",ROUND(N($E736)*IFERROR(INDEX(Items!$P$5:$P$504,U736),0),2)),"")</f>
        <v/>
      </c>
      <c r="S736" s="61" t="str">
        <f aca="false">IF(IsPro,IF($D736="","",L736-R736),"")</f>
        <v/>
      </c>
      <c r="T736" s="60" t="str">
        <f aca="false">IF(IsPro,IF($D736="","",IF(U736="","UNKNOWN ITEM",IF(INDEX(Items!$O$5:$O$504,U736)&lt;0,"NEG STOCK",IF(K736&lt;INDEX(Items!$P$5:$P$504,U736),"BELOW COST","OK")))),IF($D736="","","PRO PLAN"))</f>
        <v/>
      </c>
      <c r="U736" s="60" t="str">
        <f aca="false">IF(IsPro,IF($D736="","",IFERROR(MATCH($D736,Items!$A$5:$A$504,0),"")),"")</f>
        <v/>
      </c>
      <c r="V736" s="60" t="str">
        <f aca="false">IF(IsPro,IF($C736="","",IFERROR(MATCH($C736,Parties!$A$5:$A$304,0),"")),"")</f>
        <v/>
      </c>
      <c r="W736" s="60" t="str">
        <f aca="false">IF(IsPro,IF($B736="","",IFERROR(VALUE(SUBSTITUTE($B736,InvPrefix,"")),0)),"")</f>
        <v/>
      </c>
      <c r="X736" s="61" t="str">
        <f aca="false">IF(IsPro,IF($D736="","",IF(OR($H736="",$H736="Credit"),0,Q736)),"")</f>
        <v/>
      </c>
    </row>
    <row r="737" customFormat="false" ht="15" hidden="false" customHeight="false" outlineLevel="0" collapsed="false">
      <c r="A737" s="55"/>
      <c r="B737" s="56"/>
      <c r="C737" s="56"/>
      <c r="D737" s="56"/>
      <c r="E737" s="57"/>
      <c r="F737" s="58"/>
      <c r="G737" s="59"/>
      <c r="H737" s="56"/>
      <c r="I737" s="56"/>
      <c r="J737" s="60" t="str">
        <f aca="false">IF(IsPro,IF($D737="","",IFERROR(INDEX(Items!$D$5:$D$504,U737),"")),"")</f>
        <v/>
      </c>
      <c r="K737" s="61" t="str">
        <f aca="false">IF(IsPro,IF($D737="","",IF($F737="",IFERROR(INDEX(Items!$H$5:$H$504,U737),0),$F737)),"")</f>
        <v/>
      </c>
      <c r="L737" s="61" t="str">
        <f aca="false">IF(IsPro,IF($D737="","",ROUND(N($E737)*K737*(1-N($G737)),2)),"")</f>
        <v/>
      </c>
      <c r="M737" s="62" t="str">
        <f aca="false">IF(IsPro,IF($D737="","",IFERROR(INDEX(Items!$F$5:$F$504,U737),0)),"")</f>
        <v/>
      </c>
      <c r="N737" s="61" t="str">
        <f aca="false">IF(IsPro,IF($D737="","",IF(AND(V737&lt;&gt;"",INDEX(Parties!$E$5:$E$304,V737)&lt;&gt;"",INDEX(Parties!$E$5:$E$304,V737)&lt;&gt;HomeState),0,ROUND(L737*M737/2,2))),"")</f>
        <v/>
      </c>
      <c r="O737" s="61" t="str">
        <f aca="false">IF(IsPro,IF($D737="","",N737),"")</f>
        <v/>
      </c>
      <c r="P737" s="61" t="str">
        <f aca="false">IF(IsPro,IF($D737="","",IF(AND(V737&lt;&gt;"",INDEX(Parties!$E$5:$E$304,V737)&lt;&gt;"",INDEX(Parties!$E$5:$E$304,V737)&lt;&gt;HomeState),ROUND(L737*M737,2),0)),"")</f>
        <v/>
      </c>
      <c r="Q737" s="61" t="str">
        <f aca="false">IF(IsPro,IF($D737="","",L737+N737+O737+P737),"")</f>
        <v/>
      </c>
      <c r="R737" s="61" t="str">
        <f aca="false">IF(IsPro,IF($D737="","",ROUND(N($E737)*IFERROR(INDEX(Items!$P$5:$P$504,U737),0),2)),"")</f>
        <v/>
      </c>
      <c r="S737" s="61" t="str">
        <f aca="false">IF(IsPro,IF($D737="","",L737-R737),"")</f>
        <v/>
      </c>
      <c r="T737" s="60" t="str">
        <f aca="false">IF(IsPro,IF($D737="","",IF(U737="","UNKNOWN ITEM",IF(INDEX(Items!$O$5:$O$504,U737)&lt;0,"NEG STOCK",IF(K737&lt;INDEX(Items!$P$5:$P$504,U737),"BELOW COST","OK")))),IF($D737="","","PRO PLAN"))</f>
        <v/>
      </c>
      <c r="U737" s="60" t="str">
        <f aca="false">IF(IsPro,IF($D737="","",IFERROR(MATCH($D737,Items!$A$5:$A$504,0),"")),"")</f>
        <v/>
      </c>
      <c r="V737" s="60" t="str">
        <f aca="false">IF(IsPro,IF($C737="","",IFERROR(MATCH($C737,Parties!$A$5:$A$304,0),"")),"")</f>
        <v/>
      </c>
      <c r="W737" s="60" t="str">
        <f aca="false">IF(IsPro,IF($B737="","",IFERROR(VALUE(SUBSTITUTE($B737,InvPrefix,"")),0)),"")</f>
        <v/>
      </c>
      <c r="X737" s="61" t="str">
        <f aca="false">IF(IsPro,IF($D737="","",IF(OR($H737="",$H737="Credit"),0,Q737)),"")</f>
        <v/>
      </c>
    </row>
    <row r="738" customFormat="false" ht="15" hidden="false" customHeight="false" outlineLevel="0" collapsed="false">
      <c r="A738" s="55"/>
      <c r="B738" s="56"/>
      <c r="C738" s="56"/>
      <c r="D738" s="56"/>
      <c r="E738" s="57"/>
      <c r="F738" s="58"/>
      <c r="G738" s="59"/>
      <c r="H738" s="56"/>
      <c r="I738" s="56"/>
      <c r="J738" s="60" t="str">
        <f aca="false">IF(IsPro,IF($D738="","",IFERROR(INDEX(Items!$D$5:$D$504,U738),"")),"")</f>
        <v/>
      </c>
      <c r="K738" s="61" t="str">
        <f aca="false">IF(IsPro,IF($D738="","",IF($F738="",IFERROR(INDEX(Items!$H$5:$H$504,U738),0),$F738)),"")</f>
        <v/>
      </c>
      <c r="L738" s="61" t="str">
        <f aca="false">IF(IsPro,IF($D738="","",ROUND(N($E738)*K738*(1-N($G738)),2)),"")</f>
        <v/>
      </c>
      <c r="M738" s="62" t="str">
        <f aca="false">IF(IsPro,IF($D738="","",IFERROR(INDEX(Items!$F$5:$F$504,U738),0)),"")</f>
        <v/>
      </c>
      <c r="N738" s="61" t="str">
        <f aca="false">IF(IsPro,IF($D738="","",IF(AND(V738&lt;&gt;"",INDEX(Parties!$E$5:$E$304,V738)&lt;&gt;"",INDEX(Parties!$E$5:$E$304,V738)&lt;&gt;HomeState),0,ROUND(L738*M738/2,2))),"")</f>
        <v/>
      </c>
      <c r="O738" s="61" t="str">
        <f aca="false">IF(IsPro,IF($D738="","",N738),"")</f>
        <v/>
      </c>
      <c r="P738" s="61" t="str">
        <f aca="false">IF(IsPro,IF($D738="","",IF(AND(V738&lt;&gt;"",INDEX(Parties!$E$5:$E$304,V738)&lt;&gt;"",INDEX(Parties!$E$5:$E$304,V738)&lt;&gt;HomeState),ROUND(L738*M738,2),0)),"")</f>
        <v/>
      </c>
      <c r="Q738" s="61" t="str">
        <f aca="false">IF(IsPro,IF($D738="","",L738+N738+O738+P738),"")</f>
        <v/>
      </c>
      <c r="R738" s="61" t="str">
        <f aca="false">IF(IsPro,IF($D738="","",ROUND(N($E738)*IFERROR(INDEX(Items!$P$5:$P$504,U738),0),2)),"")</f>
        <v/>
      </c>
      <c r="S738" s="61" t="str">
        <f aca="false">IF(IsPro,IF($D738="","",L738-R738),"")</f>
        <v/>
      </c>
      <c r="T738" s="60" t="str">
        <f aca="false">IF(IsPro,IF($D738="","",IF(U738="","UNKNOWN ITEM",IF(INDEX(Items!$O$5:$O$504,U738)&lt;0,"NEG STOCK",IF(K738&lt;INDEX(Items!$P$5:$P$504,U738),"BELOW COST","OK")))),IF($D738="","","PRO PLAN"))</f>
        <v/>
      </c>
      <c r="U738" s="60" t="str">
        <f aca="false">IF(IsPro,IF($D738="","",IFERROR(MATCH($D738,Items!$A$5:$A$504,0),"")),"")</f>
        <v/>
      </c>
      <c r="V738" s="60" t="str">
        <f aca="false">IF(IsPro,IF($C738="","",IFERROR(MATCH($C738,Parties!$A$5:$A$304,0),"")),"")</f>
        <v/>
      </c>
      <c r="W738" s="60" t="str">
        <f aca="false">IF(IsPro,IF($B738="","",IFERROR(VALUE(SUBSTITUTE($B738,InvPrefix,"")),0)),"")</f>
        <v/>
      </c>
      <c r="X738" s="61" t="str">
        <f aca="false">IF(IsPro,IF($D738="","",IF(OR($H738="",$H738="Credit"),0,Q738)),"")</f>
        <v/>
      </c>
    </row>
    <row r="739" customFormat="false" ht="15" hidden="false" customHeight="false" outlineLevel="0" collapsed="false">
      <c r="A739" s="55"/>
      <c r="B739" s="56"/>
      <c r="C739" s="56"/>
      <c r="D739" s="56"/>
      <c r="E739" s="57"/>
      <c r="F739" s="58"/>
      <c r="G739" s="59"/>
      <c r="H739" s="56"/>
      <c r="I739" s="56"/>
      <c r="J739" s="60" t="str">
        <f aca="false">IF(IsPro,IF($D739="","",IFERROR(INDEX(Items!$D$5:$D$504,U739),"")),"")</f>
        <v/>
      </c>
      <c r="K739" s="61" t="str">
        <f aca="false">IF(IsPro,IF($D739="","",IF($F739="",IFERROR(INDEX(Items!$H$5:$H$504,U739),0),$F739)),"")</f>
        <v/>
      </c>
      <c r="L739" s="61" t="str">
        <f aca="false">IF(IsPro,IF($D739="","",ROUND(N($E739)*K739*(1-N($G739)),2)),"")</f>
        <v/>
      </c>
      <c r="M739" s="62" t="str">
        <f aca="false">IF(IsPro,IF($D739="","",IFERROR(INDEX(Items!$F$5:$F$504,U739),0)),"")</f>
        <v/>
      </c>
      <c r="N739" s="61" t="str">
        <f aca="false">IF(IsPro,IF($D739="","",IF(AND(V739&lt;&gt;"",INDEX(Parties!$E$5:$E$304,V739)&lt;&gt;"",INDEX(Parties!$E$5:$E$304,V739)&lt;&gt;HomeState),0,ROUND(L739*M739/2,2))),"")</f>
        <v/>
      </c>
      <c r="O739" s="61" t="str">
        <f aca="false">IF(IsPro,IF($D739="","",N739),"")</f>
        <v/>
      </c>
      <c r="P739" s="61" t="str">
        <f aca="false">IF(IsPro,IF($D739="","",IF(AND(V739&lt;&gt;"",INDEX(Parties!$E$5:$E$304,V739)&lt;&gt;"",INDEX(Parties!$E$5:$E$304,V739)&lt;&gt;HomeState),ROUND(L739*M739,2),0)),"")</f>
        <v/>
      </c>
      <c r="Q739" s="61" t="str">
        <f aca="false">IF(IsPro,IF($D739="","",L739+N739+O739+P739),"")</f>
        <v/>
      </c>
      <c r="R739" s="61" t="str">
        <f aca="false">IF(IsPro,IF($D739="","",ROUND(N($E739)*IFERROR(INDEX(Items!$P$5:$P$504,U739),0),2)),"")</f>
        <v/>
      </c>
      <c r="S739" s="61" t="str">
        <f aca="false">IF(IsPro,IF($D739="","",L739-R739),"")</f>
        <v/>
      </c>
      <c r="T739" s="60" t="str">
        <f aca="false">IF(IsPro,IF($D739="","",IF(U739="","UNKNOWN ITEM",IF(INDEX(Items!$O$5:$O$504,U739)&lt;0,"NEG STOCK",IF(K739&lt;INDEX(Items!$P$5:$P$504,U739),"BELOW COST","OK")))),IF($D739="","","PRO PLAN"))</f>
        <v/>
      </c>
      <c r="U739" s="60" t="str">
        <f aca="false">IF(IsPro,IF($D739="","",IFERROR(MATCH($D739,Items!$A$5:$A$504,0),"")),"")</f>
        <v/>
      </c>
      <c r="V739" s="60" t="str">
        <f aca="false">IF(IsPro,IF($C739="","",IFERROR(MATCH($C739,Parties!$A$5:$A$304,0),"")),"")</f>
        <v/>
      </c>
      <c r="W739" s="60" t="str">
        <f aca="false">IF(IsPro,IF($B739="","",IFERROR(VALUE(SUBSTITUTE($B739,InvPrefix,"")),0)),"")</f>
        <v/>
      </c>
      <c r="X739" s="61" t="str">
        <f aca="false">IF(IsPro,IF($D739="","",IF(OR($H739="",$H739="Credit"),0,Q739)),"")</f>
        <v/>
      </c>
    </row>
    <row r="740" customFormat="false" ht="15" hidden="false" customHeight="false" outlineLevel="0" collapsed="false">
      <c r="A740" s="55"/>
      <c r="B740" s="56"/>
      <c r="C740" s="56"/>
      <c r="D740" s="56"/>
      <c r="E740" s="57"/>
      <c r="F740" s="58"/>
      <c r="G740" s="59"/>
      <c r="H740" s="56"/>
      <c r="I740" s="56"/>
      <c r="J740" s="60" t="str">
        <f aca="false">IF(IsPro,IF($D740="","",IFERROR(INDEX(Items!$D$5:$D$504,U740),"")),"")</f>
        <v/>
      </c>
      <c r="K740" s="61" t="str">
        <f aca="false">IF(IsPro,IF($D740="","",IF($F740="",IFERROR(INDEX(Items!$H$5:$H$504,U740),0),$F740)),"")</f>
        <v/>
      </c>
      <c r="L740" s="61" t="str">
        <f aca="false">IF(IsPro,IF($D740="","",ROUND(N($E740)*K740*(1-N($G740)),2)),"")</f>
        <v/>
      </c>
      <c r="M740" s="62" t="str">
        <f aca="false">IF(IsPro,IF($D740="","",IFERROR(INDEX(Items!$F$5:$F$504,U740),0)),"")</f>
        <v/>
      </c>
      <c r="N740" s="61" t="str">
        <f aca="false">IF(IsPro,IF($D740="","",IF(AND(V740&lt;&gt;"",INDEX(Parties!$E$5:$E$304,V740)&lt;&gt;"",INDEX(Parties!$E$5:$E$304,V740)&lt;&gt;HomeState),0,ROUND(L740*M740/2,2))),"")</f>
        <v/>
      </c>
      <c r="O740" s="61" t="str">
        <f aca="false">IF(IsPro,IF($D740="","",N740),"")</f>
        <v/>
      </c>
      <c r="P740" s="61" t="str">
        <f aca="false">IF(IsPro,IF($D740="","",IF(AND(V740&lt;&gt;"",INDEX(Parties!$E$5:$E$304,V740)&lt;&gt;"",INDEX(Parties!$E$5:$E$304,V740)&lt;&gt;HomeState),ROUND(L740*M740,2),0)),"")</f>
        <v/>
      </c>
      <c r="Q740" s="61" t="str">
        <f aca="false">IF(IsPro,IF($D740="","",L740+N740+O740+P740),"")</f>
        <v/>
      </c>
      <c r="R740" s="61" t="str">
        <f aca="false">IF(IsPro,IF($D740="","",ROUND(N($E740)*IFERROR(INDEX(Items!$P$5:$P$504,U740),0),2)),"")</f>
        <v/>
      </c>
      <c r="S740" s="61" t="str">
        <f aca="false">IF(IsPro,IF($D740="","",L740-R740),"")</f>
        <v/>
      </c>
      <c r="T740" s="60" t="str">
        <f aca="false">IF(IsPro,IF($D740="","",IF(U740="","UNKNOWN ITEM",IF(INDEX(Items!$O$5:$O$504,U740)&lt;0,"NEG STOCK",IF(K740&lt;INDEX(Items!$P$5:$P$504,U740),"BELOW COST","OK")))),IF($D740="","","PRO PLAN"))</f>
        <v/>
      </c>
      <c r="U740" s="60" t="str">
        <f aca="false">IF(IsPro,IF($D740="","",IFERROR(MATCH($D740,Items!$A$5:$A$504,0),"")),"")</f>
        <v/>
      </c>
      <c r="V740" s="60" t="str">
        <f aca="false">IF(IsPro,IF($C740="","",IFERROR(MATCH($C740,Parties!$A$5:$A$304,0),"")),"")</f>
        <v/>
      </c>
      <c r="W740" s="60" t="str">
        <f aca="false">IF(IsPro,IF($B740="","",IFERROR(VALUE(SUBSTITUTE($B740,InvPrefix,"")),0)),"")</f>
        <v/>
      </c>
      <c r="X740" s="61" t="str">
        <f aca="false">IF(IsPro,IF($D740="","",IF(OR($H740="",$H740="Credit"),0,Q740)),"")</f>
        <v/>
      </c>
    </row>
    <row r="741" customFormat="false" ht="15" hidden="false" customHeight="false" outlineLevel="0" collapsed="false">
      <c r="A741" s="55"/>
      <c r="B741" s="56"/>
      <c r="C741" s="56"/>
      <c r="D741" s="56"/>
      <c r="E741" s="57"/>
      <c r="F741" s="58"/>
      <c r="G741" s="59"/>
      <c r="H741" s="56"/>
      <c r="I741" s="56"/>
      <c r="J741" s="60" t="str">
        <f aca="false">IF(IsPro,IF($D741="","",IFERROR(INDEX(Items!$D$5:$D$504,U741),"")),"")</f>
        <v/>
      </c>
      <c r="K741" s="61" t="str">
        <f aca="false">IF(IsPro,IF($D741="","",IF($F741="",IFERROR(INDEX(Items!$H$5:$H$504,U741),0),$F741)),"")</f>
        <v/>
      </c>
      <c r="L741" s="61" t="str">
        <f aca="false">IF(IsPro,IF($D741="","",ROUND(N($E741)*K741*(1-N($G741)),2)),"")</f>
        <v/>
      </c>
      <c r="M741" s="62" t="str">
        <f aca="false">IF(IsPro,IF($D741="","",IFERROR(INDEX(Items!$F$5:$F$504,U741),0)),"")</f>
        <v/>
      </c>
      <c r="N741" s="61" t="str">
        <f aca="false">IF(IsPro,IF($D741="","",IF(AND(V741&lt;&gt;"",INDEX(Parties!$E$5:$E$304,V741)&lt;&gt;"",INDEX(Parties!$E$5:$E$304,V741)&lt;&gt;HomeState),0,ROUND(L741*M741/2,2))),"")</f>
        <v/>
      </c>
      <c r="O741" s="61" t="str">
        <f aca="false">IF(IsPro,IF($D741="","",N741),"")</f>
        <v/>
      </c>
      <c r="P741" s="61" t="str">
        <f aca="false">IF(IsPro,IF($D741="","",IF(AND(V741&lt;&gt;"",INDEX(Parties!$E$5:$E$304,V741)&lt;&gt;"",INDEX(Parties!$E$5:$E$304,V741)&lt;&gt;HomeState),ROUND(L741*M741,2),0)),"")</f>
        <v/>
      </c>
      <c r="Q741" s="61" t="str">
        <f aca="false">IF(IsPro,IF($D741="","",L741+N741+O741+P741),"")</f>
        <v/>
      </c>
      <c r="R741" s="61" t="str">
        <f aca="false">IF(IsPro,IF($D741="","",ROUND(N($E741)*IFERROR(INDEX(Items!$P$5:$P$504,U741),0),2)),"")</f>
        <v/>
      </c>
      <c r="S741" s="61" t="str">
        <f aca="false">IF(IsPro,IF($D741="","",L741-R741),"")</f>
        <v/>
      </c>
      <c r="T741" s="60" t="str">
        <f aca="false">IF(IsPro,IF($D741="","",IF(U741="","UNKNOWN ITEM",IF(INDEX(Items!$O$5:$O$504,U741)&lt;0,"NEG STOCK",IF(K741&lt;INDEX(Items!$P$5:$P$504,U741),"BELOW COST","OK")))),IF($D741="","","PRO PLAN"))</f>
        <v/>
      </c>
      <c r="U741" s="60" t="str">
        <f aca="false">IF(IsPro,IF($D741="","",IFERROR(MATCH($D741,Items!$A$5:$A$504,0),"")),"")</f>
        <v/>
      </c>
      <c r="V741" s="60" t="str">
        <f aca="false">IF(IsPro,IF($C741="","",IFERROR(MATCH($C741,Parties!$A$5:$A$304,0),"")),"")</f>
        <v/>
      </c>
      <c r="W741" s="60" t="str">
        <f aca="false">IF(IsPro,IF($B741="","",IFERROR(VALUE(SUBSTITUTE($B741,InvPrefix,"")),0)),"")</f>
        <v/>
      </c>
      <c r="X741" s="61" t="str">
        <f aca="false">IF(IsPro,IF($D741="","",IF(OR($H741="",$H741="Credit"),0,Q741)),"")</f>
        <v/>
      </c>
    </row>
    <row r="742" customFormat="false" ht="15" hidden="false" customHeight="false" outlineLevel="0" collapsed="false">
      <c r="A742" s="55"/>
      <c r="B742" s="56"/>
      <c r="C742" s="56"/>
      <c r="D742" s="56"/>
      <c r="E742" s="57"/>
      <c r="F742" s="58"/>
      <c r="G742" s="59"/>
      <c r="H742" s="56"/>
      <c r="I742" s="56"/>
      <c r="J742" s="60" t="str">
        <f aca="false">IF(IsPro,IF($D742="","",IFERROR(INDEX(Items!$D$5:$D$504,U742),"")),"")</f>
        <v/>
      </c>
      <c r="K742" s="61" t="str">
        <f aca="false">IF(IsPro,IF($D742="","",IF($F742="",IFERROR(INDEX(Items!$H$5:$H$504,U742),0),$F742)),"")</f>
        <v/>
      </c>
      <c r="L742" s="61" t="str">
        <f aca="false">IF(IsPro,IF($D742="","",ROUND(N($E742)*K742*(1-N($G742)),2)),"")</f>
        <v/>
      </c>
      <c r="M742" s="62" t="str">
        <f aca="false">IF(IsPro,IF($D742="","",IFERROR(INDEX(Items!$F$5:$F$504,U742),0)),"")</f>
        <v/>
      </c>
      <c r="N742" s="61" t="str">
        <f aca="false">IF(IsPro,IF($D742="","",IF(AND(V742&lt;&gt;"",INDEX(Parties!$E$5:$E$304,V742)&lt;&gt;"",INDEX(Parties!$E$5:$E$304,V742)&lt;&gt;HomeState),0,ROUND(L742*M742/2,2))),"")</f>
        <v/>
      </c>
      <c r="O742" s="61" t="str">
        <f aca="false">IF(IsPro,IF($D742="","",N742),"")</f>
        <v/>
      </c>
      <c r="P742" s="61" t="str">
        <f aca="false">IF(IsPro,IF($D742="","",IF(AND(V742&lt;&gt;"",INDEX(Parties!$E$5:$E$304,V742)&lt;&gt;"",INDEX(Parties!$E$5:$E$304,V742)&lt;&gt;HomeState),ROUND(L742*M742,2),0)),"")</f>
        <v/>
      </c>
      <c r="Q742" s="61" t="str">
        <f aca="false">IF(IsPro,IF($D742="","",L742+N742+O742+P742),"")</f>
        <v/>
      </c>
      <c r="R742" s="61" t="str">
        <f aca="false">IF(IsPro,IF($D742="","",ROUND(N($E742)*IFERROR(INDEX(Items!$P$5:$P$504,U742),0),2)),"")</f>
        <v/>
      </c>
      <c r="S742" s="61" t="str">
        <f aca="false">IF(IsPro,IF($D742="","",L742-R742),"")</f>
        <v/>
      </c>
      <c r="T742" s="60" t="str">
        <f aca="false">IF(IsPro,IF($D742="","",IF(U742="","UNKNOWN ITEM",IF(INDEX(Items!$O$5:$O$504,U742)&lt;0,"NEG STOCK",IF(K742&lt;INDEX(Items!$P$5:$P$504,U742),"BELOW COST","OK")))),IF($D742="","","PRO PLAN"))</f>
        <v/>
      </c>
      <c r="U742" s="60" t="str">
        <f aca="false">IF(IsPro,IF($D742="","",IFERROR(MATCH($D742,Items!$A$5:$A$504,0),"")),"")</f>
        <v/>
      </c>
      <c r="V742" s="60" t="str">
        <f aca="false">IF(IsPro,IF($C742="","",IFERROR(MATCH($C742,Parties!$A$5:$A$304,0),"")),"")</f>
        <v/>
      </c>
      <c r="W742" s="60" t="str">
        <f aca="false">IF(IsPro,IF($B742="","",IFERROR(VALUE(SUBSTITUTE($B742,InvPrefix,"")),0)),"")</f>
        <v/>
      </c>
      <c r="X742" s="61" t="str">
        <f aca="false">IF(IsPro,IF($D742="","",IF(OR($H742="",$H742="Credit"),0,Q742)),"")</f>
        <v/>
      </c>
    </row>
    <row r="743" customFormat="false" ht="15" hidden="false" customHeight="false" outlineLevel="0" collapsed="false">
      <c r="A743" s="55"/>
      <c r="B743" s="56"/>
      <c r="C743" s="56"/>
      <c r="D743" s="56"/>
      <c r="E743" s="57"/>
      <c r="F743" s="58"/>
      <c r="G743" s="59"/>
      <c r="H743" s="56"/>
      <c r="I743" s="56"/>
      <c r="J743" s="60" t="str">
        <f aca="false">IF(IsPro,IF($D743="","",IFERROR(INDEX(Items!$D$5:$D$504,U743),"")),"")</f>
        <v/>
      </c>
      <c r="K743" s="61" t="str">
        <f aca="false">IF(IsPro,IF($D743="","",IF($F743="",IFERROR(INDEX(Items!$H$5:$H$504,U743),0),$F743)),"")</f>
        <v/>
      </c>
      <c r="L743" s="61" t="str">
        <f aca="false">IF(IsPro,IF($D743="","",ROUND(N($E743)*K743*(1-N($G743)),2)),"")</f>
        <v/>
      </c>
      <c r="M743" s="62" t="str">
        <f aca="false">IF(IsPro,IF($D743="","",IFERROR(INDEX(Items!$F$5:$F$504,U743),0)),"")</f>
        <v/>
      </c>
      <c r="N743" s="61" t="str">
        <f aca="false">IF(IsPro,IF($D743="","",IF(AND(V743&lt;&gt;"",INDEX(Parties!$E$5:$E$304,V743)&lt;&gt;"",INDEX(Parties!$E$5:$E$304,V743)&lt;&gt;HomeState),0,ROUND(L743*M743/2,2))),"")</f>
        <v/>
      </c>
      <c r="O743" s="61" t="str">
        <f aca="false">IF(IsPro,IF($D743="","",N743),"")</f>
        <v/>
      </c>
      <c r="P743" s="61" t="str">
        <f aca="false">IF(IsPro,IF($D743="","",IF(AND(V743&lt;&gt;"",INDEX(Parties!$E$5:$E$304,V743)&lt;&gt;"",INDEX(Parties!$E$5:$E$304,V743)&lt;&gt;HomeState),ROUND(L743*M743,2),0)),"")</f>
        <v/>
      </c>
      <c r="Q743" s="61" t="str">
        <f aca="false">IF(IsPro,IF($D743="","",L743+N743+O743+P743),"")</f>
        <v/>
      </c>
      <c r="R743" s="61" t="str">
        <f aca="false">IF(IsPro,IF($D743="","",ROUND(N($E743)*IFERROR(INDEX(Items!$P$5:$P$504,U743),0),2)),"")</f>
        <v/>
      </c>
      <c r="S743" s="61" t="str">
        <f aca="false">IF(IsPro,IF($D743="","",L743-R743),"")</f>
        <v/>
      </c>
      <c r="T743" s="60" t="str">
        <f aca="false">IF(IsPro,IF($D743="","",IF(U743="","UNKNOWN ITEM",IF(INDEX(Items!$O$5:$O$504,U743)&lt;0,"NEG STOCK",IF(K743&lt;INDEX(Items!$P$5:$P$504,U743),"BELOW COST","OK")))),IF($D743="","","PRO PLAN"))</f>
        <v/>
      </c>
      <c r="U743" s="60" t="str">
        <f aca="false">IF(IsPro,IF($D743="","",IFERROR(MATCH($D743,Items!$A$5:$A$504,0),"")),"")</f>
        <v/>
      </c>
      <c r="V743" s="60" t="str">
        <f aca="false">IF(IsPro,IF($C743="","",IFERROR(MATCH($C743,Parties!$A$5:$A$304,0),"")),"")</f>
        <v/>
      </c>
      <c r="W743" s="60" t="str">
        <f aca="false">IF(IsPro,IF($B743="","",IFERROR(VALUE(SUBSTITUTE($B743,InvPrefix,"")),0)),"")</f>
        <v/>
      </c>
      <c r="X743" s="61" t="str">
        <f aca="false">IF(IsPro,IF($D743="","",IF(OR($H743="",$H743="Credit"),0,Q743)),"")</f>
        <v/>
      </c>
    </row>
    <row r="744" customFormat="false" ht="15" hidden="false" customHeight="false" outlineLevel="0" collapsed="false">
      <c r="A744" s="55"/>
      <c r="B744" s="56"/>
      <c r="C744" s="56"/>
      <c r="D744" s="56"/>
      <c r="E744" s="57"/>
      <c r="F744" s="58"/>
      <c r="G744" s="59"/>
      <c r="H744" s="56"/>
      <c r="I744" s="56"/>
      <c r="J744" s="60" t="str">
        <f aca="false">IF(IsPro,IF($D744="","",IFERROR(INDEX(Items!$D$5:$D$504,U744),"")),"")</f>
        <v/>
      </c>
      <c r="K744" s="61" t="str">
        <f aca="false">IF(IsPro,IF($D744="","",IF($F744="",IFERROR(INDEX(Items!$H$5:$H$504,U744),0),$F744)),"")</f>
        <v/>
      </c>
      <c r="L744" s="61" t="str">
        <f aca="false">IF(IsPro,IF($D744="","",ROUND(N($E744)*K744*(1-N($G744)),2)),"")</f>
        <v/>
      </c>
      <c r="M744" s="62" t="str">
        <f aca="false">IF(IsPro,IF($D744="","",IFERROR(INDEX(Items!$F$5:$F$504,U744),0)),"")</f>
        <v/>
      </c>
      <c r="N744" s="61" t="str">
        <f aca="false">IF(IsPro,IF($D744="","",IF(AND(V744&lt;&gt;"",INDEX(Parties!$E$5:$E$304,V744)&lt;&gt;"",INDEX(Parties!$E$5:$E$304,V744)&lt;&gt;HomeState),0,ROUND(L744*M744/2,2))),"")</f>
        <v/>
      </c>
      <c r="O744" s="61" t="str">
        <f aca="false">IF(IsPro,IF($D744="","",N744),"")</f>
        <v/>
      </c>
      <c r="P744" s="61" t="str">
        <f aca="false">IF(IsPro,IF($D744="","",IF(AND(V744&lt;&gt;"",INDEX(Parties!$E$5:$E$304,V744)&lt;&gt;"",INDEX(Parties!$E$5:$E$304,V744)&lt;&gt;HomeState),ROUND(L744*M744,2),0)),"")</f>
        <v/>
      </c>
      <c r="Q744" s="61" t="str">
        <f aca="false">IF(IsPro,IF($D744="","",L744+N744+O744+P744),"")</f>
        <v/>
      </c>
      <c r="R744" s="61" t="str">
        <f aca="false">IF(IsPro,IF($D744="","",ROUND(N($E744)*IFERROR(INDEX(Items!$P$5:$P$504,U744),0),2)),"")</f>
        <v/>
      </c>
      <c r="S744" s="61" t="str">
        <f aca="false">IF(IsPro,IF($D744="","",L744-R744),"")</f>
        <v/>
      </c>
      <c r="T744" s="60" t="str">
        <f aca="false">IF(IsPro,IF($D744="","",IF(U744="","UNKNOWN ITEM",IF(INDEX(Items!$O$5:$O$504,U744)&lt;0,"NEG STOCK",IF(K744&lt;INDEX(Items!$P$5:$P$504,U744),"BELOW COST","OK")))),IF($D744="","","PRO PLAN"))</f>
        <v/>
      </c>
      <c r="U744" s="60" t="str">
        <f aca="false">IF(IsPro,IF($D744="","",IFERROR(MATCH($D744,Items!$A$5:$A$504,0),"")),"")</f>
        <v/>
      </c>
      <c r="V744" s="60" t="str">
        <f aca="false">IF(IsPro,IF($C744="","",IFERROR(MATCH($C744,Parties!$A$5:$A$304,0),"")),"")</f>
        <v/>
      </c>
      <c r="W744" s="60" t="str">
        <f aca="false">IF(IsPro,IF($B744="","",IFERROR(VALUE(SUBSTITUTE($B744,InvPrefix,"")),0)),"")</f>
        <v/>
      </c>
      <c r="X744" s="61" t="str">
        <f aca="false">IF(IsPro,IF($D744="","",IF(OR($H744="",$H744="Credit"),0,Q744)),"")</f>
        <v/>
      </c>
    </row>
    <row r="745" customFormat="false" ht="15" hidden="false" customHeight="false" outlineLevel="0" collapsed="false">
      <c r="A745" s="55"/>
      <c r="B745" s="56"/>
      <c r="C745" s="56"/>
      <c r="D745" s="56"/>
      <c r="E745" s="57"/>
      <c r="F745" s="58"/>
      <c r="G745" s="59"/>
      <c r="H745" s="56"/>
      <c r="I745" s="56"/>
      <c r="J745" s="60" t="str">
        <f aca="false">IF(IsPro,IF($D745="","",IFERROR(INDEX(Items!$D$5:$D$504,U745),"")),"")</f>
        <v/>
      </c>
      <c r="K745" s="61" t="str">
        <f aca="false">IF(IsPro,IF($D745="","",IF($F745="",IFERROR(INDEX(Items!$H$5:$H$504,U745),0),$F745)),"")</f>
        <v/>
      </c>
      <c r="L745" s="61" t="str">
        <f aca="false">IF(IsPro,IF($D745="","",ROUND(N($E745)*K745*(1-N($G745)),2)),"")</f>
        <v/>
      </c>
      <c r="M745" s="62" t="str">
        <f aca="false">IF(IsPro,IF($D745="","",IFERROR(INDEX(Items!$F$5:$F$504,U745),0)),"")</f>
        <v/>
      </c>
      <c r="N745" s="61" t="str">
        <f aca="false">IF(IsPro,IF($D745="","",IF(AND(V745&lt;&gt;"",INDEX(Parties!$E$5:$E$304,V745)&lt;&gt;"",INDEX(Parties!$E$5:$E$304,V745)&lt;&gt;HomeState),0,ROUND(L745*M745/2,2))),"")</f>
        <v/>
      </c>
      <c r="O745" s="61" t="str">
        <f aca="false">IF(IsPro,IF($D745="","",N745),"")</f>
        <v/>
      </c>
      <c r="P745" s="61" t="str">
        <f aca="false">IF(IsPro,IF($D745="","",IF(AND(V745&lt;&gt;"",INDEX(Parties!$E$5:$E$304,V745)&lt;&gt;"",INDEX(Parties!$E$5:$E$304,V745)&lt;&gt;HomeState),ROUND(L745*M745,2),0)),"")</f>
        <v/>
      </c>
      <c r="Q745" s="61" t="str">
        <f aca="false">IF(IsPro,IF($D745="","",L745+N745+O745+P745),"")</f>
        <v/>
      </c>
      <c r="R745" s="61" t="str">
        <f aca="false">IF(IsPro,IF($D745="","",ROUND(N($E745)*IFERROR(INDEX(Items!$P$5:$P$504,U745),0),2)),"")</f>
        <v/>
      </c>
      <c r="S745" s="61" t="str">
        <f aca="false">IF(IsPro,IF($D745="","",L745-R745),"")</f>
        <v/>
      </c>
      <c r="T745" s="60" t="str">
        <f aca="false">IF(IsPro,IF($D745="","",IF(U745="","UNKNOWN ITEM",IF(INDEX(Items!$O$5:$O$504,U745)&lt;0,"NEG STOCK",IF(K745&lt;INDEX(Items!$P$5:$P$504,U745),"BELOW COST","OK")))),IF($D745="","","PRO PLAN"))</f>
        <v/>
      </c>
      <c r="U745" s="60" t="str">
        <f aca="false">IF(IsPro,IF($D745="","",IFERROR(MATCH($D745,Items!$A$5:$A$504,0),"")),"")</f>
        <v/>
      </c>
      <c r="V745" s="60" t="str">
        <f aca="false">IF(IsPro,IF($C745="","",IFERROR(MATCH($C745,Parties!$A$5:$A$304,0),"")),"")</f>
        <v/>
      </c>
      <c r="W745" s="60" t="str">
        <f aca="false">IF(IsPro,IF($B745="","",IFERROR(VALUE(SUBSTITUTE($B745,InvPrefix,"")),0)),"")</f>
        <v/>
      </c>
      <c r="X745" s="61" t="str">
        <f aca="false">IF(IsPro,IF($D745="","",IF(OR($H745="",$H745="Credit"),0,Q745)),"")</f>
        <v/>
      </c>
    </row>
    <row r="746" customFormat="false" ht="15" hidden="false" customHeight="false" outlineLevel="0" collapsed="false">
      <c r="A746" s="55"/>
      <c r="B746" s="56"/>
      <c r="C746" s="56"/>
      <c r="D746" s="56"/>
      <c r="E746" s="57"/>
      <c r="F746" s="58"/>
      <c r="G746" s="59"/>
      <c r="H746" s="56"/>
      <c r="I746" s="56"/>
      <c r="J746" s="60" t="str">
        <f aca="false">IF(IsPro,IF($D746="","",IFERROR(INDEX(Items!$D$5:$D$504,U746),"")),"")</f>
        <v/>
      </c>
      <c r="K746" s="61" t="str">
        <f aca="false">IF(IsPro,IF($D746="","",IF($F746="",IFERROR(INDEX(Items!$H$5:$H$504,U746),0),$F746)),"")</f>
        <v/>
      </c>
      <c r="L746" s="61" t="str">
        <f aca="false">IF(IsPro,IF($D746="","",ROUND(N($E746)*K746*(1-N($G746)),2)),"")</f>
        <v/>
      </c>
      <c r="M746" s="62" t="str">
        <f aca="false">IF(IsPro,IF($D746="","",IFERROR(INDEX(Items!$F$5:$F$504,U746),0)),"")</f>
        <v/>
      </c>
      <c r="N746" s="61" t="str">
        <f aca="false">IF(IsPro,IF($D746="","",IF(AND(V746&lt;&gt;"",INDEX(Parties!$E$5:$E$304,V746)&lt;&gt;"",INDEX(Parties!$E$5:$E$304,V746)&lt;&gt;HomeState),0,ROUND(L746*M746/2,2))),"")</f>
        <v/>
      </c>
      <c r="O746" s="61" t="str">
        <f aca="false">IF(IsPro,IF($D746="","",N746),"")</f>
        <v/>
      </c>
      <c r="P746" s="61" t="str">
        <f aca="false">IF(IsPro,IF($D746="","",IF(AND(V746&lt;&gt;"",INDEX(Parties!$E$5:$E$304,V746)&lt;&gt;"",INDEX(Parties!$E$5:$E$304,V746)&lt;&gt;HomeState),ROUND(L746*M746,2),0)),"")</f>
        <v/>
      </c>
      <c r="Q746" s="61" t="str">
        <f aca="false">IF(IsPro,IF($D746="","",L746+N746+O746+P746),"")</f>
        <v/>
      </c>
      <c r="R746" s="61" t="str">
        <f aca="false">IF(IsPro,IF($D746="","",ROUND(N($E746)*IFERROR(INDEX(Items!$P$5:$P$504,U746),0),2)),"")</f>
        <v/>
      </c>
      <c r="S746" s="61" t="str">
        <f aca="false">IF(IsPro,IF($D746="","",L746-R746),"")</f>
        <v/>
      </c>
      <c r="T746" s="60" t="str">
        <f aca="false">IF(IsPro,IF($D746="","",IF(U746="","UNKNOWN ITEM",IF(INDEX(Items!$O$5:$O$504,U746)&lt;0,"NEG STOCK",IF(K746&lt;INDEX(Items!$P$5:$P$504,U746),"BELOW COST","OK")))),IF($D746="","","PRO PLAN"))</f>
        <v/>
      </c>
      <c r="U746" s="60" t="str">
        <f aca="false">IF(IsPro,IF($D746="","",IFERROR(MATCH($D746,Items!$A$5:$A$504,0),"")),"")</f>
        <v/>
      </c>
      <c r="V746" s="60" t="str">
        <f aca="false">IF(IsPro,IF($C746="","",IFERROR(MATCH($C746,Parties!$A$5:$A$304,0),"")),"")</f>
        <v/>
      </c>
      <c r="W746" s="60" t="str">
        <f aca="false">IF(IsPro,IF($B746="","",IFERROR(VALUE(SUBSTITUTE($B746,InvPrefix,"")),0)),"")</f>
        <v/>
      </c>
      <c r="X746" s="61" t="str">
        <f aca="false">IF(IsPro,IF($D746="","",IF(OR($H746="",$H746="Credit"),0,Q746)),"")</f>
        <v/>
      </c>
    </row>
    <row r="747" customFormat="false" ht="15" hidden="false" customHeight="false" outlineLevel="0" collapsed="false">
      <c r="A747" s="55"/>
      <c r="B747" s="56"/>
      <c r="C747" s="56"/>
      <c r="D747" s="56"/>
      <c r="E747" s="57"/>
      <c r="F747" s="58"/>
      <c r="G747" s="59"/>
      <c r="H747" s="56"/>
      <c r="I747" s="56"/>
      <c r="J747" s="60" t="str">
        <f aca="false">IF(IsPro,IF($D747="","",IFERROR(INDEX(Items!$D$5:$D$504,U747),"")),"")</f>
        <v/>
      </c>
      <c r="K747" s="61" t="str">
        <f aca="false">IF(IsPro,IF($D747="","",IF($F747="",IFERROR(INDEX(Items!$H$5:$H$504,U747),0),$F747)),"")</f>
        <v/>
      </c>
      <c r="L747" s="61" t="str">
        <f aca="false">IF(IsPro,IF($D747="","",ROUND(N($E747)*K747*(1-N($G747)),2)),"")</f>
        <v/>
      </c>
      <c r="M747" s="62" t="str">
        <f aca="false">IF(IsPro,IF($D747="","",IFERROR(INDEX(Items!$F$5:$F$504,U747),0)),"")</f>
        <v/>
      </c>
      <c r="N747" s="61" t="str">
        <f aca="false">IF(IsPro,IF($D747="","",IF(AND(V747&lt;&gt;"",INDEX(Parties!$E$5:$E$304,V747)&lt;&gt;"",INDEX(Parties!$E$5:$E$304,V747)&lt;&gt;HomeState),0,ROUND(L747*M747/2,2))),"")</f>
        <v/>
      </c>
      <c r="O747" s="61" t="str">
        <f aca="false">IF(IsPro,IF($D747="","",N747),"")</f>
        <v/>
      </c>
      <c r="P747" s="61" t="str">
        <f aca="false">IF(IsPro,IF($D747="","",IF(AND(V747&lt;&gt;"",INDEX(Parties!$E$5:$E$304,V747)&lt;&gt;"",INDEX(Parties!$E$5:$E$304,V747)&lt;&gt;HomeState),ROUND(L747*M747,2),0)),"")</f>
        <v/>
      </c>
      <c r="Q747" s="61" t="str">
        <f aca="false">IF(IsPro,IF($D747="","",L747+N747+O747+P747),"")</f>
        <v/>
      </c>
      <c r="R747" s="61" t="str">
        <f aca="false">IF(IsPro,IF($D747="","",ROUND(N($E747)*IFERROR(INDEX(Items!$P$5:$P$504,U747),0),2)),"")</f>
        <v/>
      </c>
      <c r="S747" s="61" t="str">
        <f aca="false">IF(IsPro,IF($D747="","",L747-R747),"")</f>
        <v/>
      </c>
      <c r="T747" s="60" t="str">
        <f aca="false">IF(IsPro,IF($D747="","",IF(U747="","UNKNOWN ITEM",IF(INDEX(Items!$O$5:$O$504,U747)&lt;0,"NEG STOCK",IF(K747&lt;INDEX(Items!$P$5:$P$504,U747),"BELOW COST","OK")))),IF($D747="","","PRO PLAN"))</f>
        <v/>
      </c>
      <c r="U747" s="60" t="str">
        <f aca="false">IF(IsPro,IF($D747="","",IFERROR(MATCH($D747,Items!$A$5:$A$504,0),"")),"")</f>
        <v/>
      </c>
      <c r="V747" s="60" t="str">
        <f aca="false">IF(IsPro,IF($C747="","",IFERROR(MATCH($C747,Parties!$A$5:$A$304,0),"")),"")</f>
        <v/>
      </c>
      <c r="W747" s="60" t="str">
        <f aca="false">IF(IsPro,IF($B747="","",IFERROR(VALUE(SUBSTITUTE($B747,InvPrefix,"")),0)),"")</f>
        <v/>
      </c>
      <c r="X747" s="61" t="str">
        <f aca="false">IF(IsPro,IF($D747="","",IF(OR($H747="",$H747="Credit"),0,Q747)),"")</f>
        <v/>
      </c>
    </row>
    <row r="748" customFormat="false" ht="15" hidden="false" customHeight="false" outlineLevel="0" collapsed="false">
      <c r="A748" s="55"/>
      <c r="B748" s="56"/>
      <c r="C748" s="56"/>
      <c r="D748" s="56"/>
      <c r="E748" s="57"/>
      <c r="F748" s="58"/>
      <c r="G748" s="59"/>
      <c r="H748" s="56"/>
      <c r="I748" s="56"/>
      <c r="J748" s="60" t="str">
        <f aca="false">IF(IsPro,IF($D748="","",IFERROR(INDEX(Items!$D$5:$D$504,U748),"")),"")</f>
        <v/>
      </c>
      <c r="K748" s="61" t="str">
        <f aca="false">IF(IsPro,IF($D748="","",IF($F748="",IFERROR(INDEX(Items!$H$5:$H$504,U748),0),$F748)),"")</f>
        <v/>
      </c>
      <c r="L748" s="61" t="str">
        <f aca="false">IF(IsPro,IF($D748="","",ROUND(N($E748)*K748*(1-N($G748)),2)),"")</f>
        <v/>
      </c>
      <c r="M748" s="62" t="str">
        <f aca="false">IF(IsPro,IF($D748="","",IFERROR(INDEX(Items!$F$5:$F$504,U748),0)),"")</f>
        <v/>
      </c>
      <c r="N748" s="61" t="str">
        <f aca="false">IF(IsPro,IF($D748="","",IF(AND(V748&lt;&gt;"",INDEX(Parties!$E$5:$E$304,V748)&lt;&gt;"",INDEX(Parties!$E$5:$E$304,V748)&lt;&gt;HomeState),0,ROUND(L748*M748/2,2))),"")</f>
        <v/>
      </c>
      <c r="O748" s="61" t="str">
        <f aca="false">IF(IsPro,IF($D748="","",N748),"")</f>
        <v/>
      </c>
      <c r="P748" s="61" t="str">
        <f aca="false">IF(IsPro,IF($D748="","",IF(AND(V748&lt;&gt;"",INDEX(Parties!$E$5:$E$304,V748)&lt;&gt;"",INDEX(Parties!$E$5:$E$304,V748)&lt;&gt;HomeState),ROUND(L748*M748,2),0)),"")</f>
        <v/>
      </c>
      <c r="Q748" s="61" t="str">
        <f aca="false">IF(IsPro,IF($D748="","",L748+N748+O748+P748),"")</f>
        <v/>
      </c>
      <c r="R748" s="61" t="str">
        <f aca="false">IF(IsPro,IF($D748="","",ROUND(N($E748)*IFERROR(INDEX(Items!$P$5:$P$504,U748),0),2)),"")</f>
        <v/>
      </c>
      <c r="S748" s="61" t="str">
        <f aca="false">IF(IsPro,IF($D748="","",L748-R748),"")</f>
        <v/>
      </c>
      <c r="T748" s="60" t="str">
        <f aca="false">IF(IsPro,IF($D748="","",IF(U748="","UNKNOWN ITEM",IF(INDEX(Items!$O$5:$O$504,U748)&lt;0,"NEG STOCK",IF(K748&lt;INDEX(Items!$P$5:$P$504,U748),"BELOW COST","OK")))),IF($D748="","","PRO PLAN"))</f>
        <v/>
      </c>
      <c r="U748" s="60" t="str">
        <f aca="false">IF(IsPro,IF($D748="","",IFERROR(MATCH($D748,Items!$A$5:$A$504,0),"")),"")</f>
        <v/>
      </c>
      <c r="V748" s="60" t="str">
        <f aca="false">IF(IsPro,IF($C748="","",IFERROR(MATCH($C748,Parties!$A$5:$A$304,0),"")),"")</f>
        <v/>
      </c>
      <c r="W748" s="60" t="str">
        <f aca="false">IF(IsPro,IF($B748="","",IFERROR(VALUE(SUBSTITUTE($B748,InvPrefix,"")),0)),"")</f>
        <v/>
      </c>
      <c r="X748" s="61" t="str">
        <f aca="false">IF(IsPro,IF($D748="","",IF(OR($H748="",$H748="Credit"),0,Q748)),"")</f>
        <v/>
      </c>
    </row>
    <row r="749" customFormat="false" ht="15" hidden="false" customHeight="false" outlineLevel="0" collapsed="false">
      <c r="A749" s="55"/>
      <c r="B749" s="56"/>
      <c r="C749" s="56"/>
      <c r="D749" s="56"/>
      <c r="E749" s="57"/>
      <c r="F749" s="58"/>
      <c r="G749" s="59"/>
      <c r="H749" s="56"/>
      <c r="I749" s="56"/>
      <c r="J749" s="60" t="str">
        <f aca="false">IF(IsPro,IF($D749="","",IFERROR(INDEX(Items!$D$5:$D$504,U749),"")),"")</f>
        <v/>
      </c>
      <c r="K749" s="61" t="str">
        <f aca="false">IF(IsPro,IF($D749="","",IF($F749="",IFERROR(INDEX(Items!$H$5:$H$504,U749),0),$F749)),"")</f>
        <v/>
      </c>
      <c r="L749" s="61" t="str">
        <f aca="false">IF(IsPro,IF($D749="","",ROUND(N($E749)*K749*(1-N($G749)),2)),"")</f>
        <v/>
      </c>
      <c r="M749" s="62" t="str">
        <f aca="false">IF(IsPro,IF($D749="","",IFERROR(INDEX(Items!$F$5:$F$504,U749),0)),"")</f>
        <v/>
      </c>
      <c r="N749" s="61" t="str">
        <f aca="false">IF(IsPro,IF($D749="","",IF(AND(V749&lt;&gt;"",INDEX(Parties!$E$5:$E$304,V749)&lt;&gt;"",INDEX(Parties!$E$5:$E$304,V749)&lt;&gt;HomeState),0,ROUND(L749*M749/2,2))),"")</f>
        <v/>
      </c>
      <c r="O749" s="61" t="str">
        <f aca="false">IF(IsPro,IF($D749="","",N749),"")</f>
        <v/>
      </c>
      <c r="P749" s="61" t="str">
        <f aca="false">IF(IsPro,IF($D749="","",IF(AND(V749&lt;&gt;"",INDEX(Parties!$E$5:$E$304,V749)&lt;&gt;"",INDEX(Parties!$E$5:$E$304,V749)&lt;&gt;HomeState),ROUND(L749*M749,2),0)),"")</f>
        <v/>
      </c>
      <c r="Q749" s="61" t="str">
        <f aca="false">IF(IsPro,IF($D749="","",L749+N749+O749+P749),"")</f>
        <v/>
      </c>
      <c r="R749" s="61" t="str">
        <f aca="false">IF(IsPro,IF($D749="","",ROUND(N($E749)*IFERROR(INDEX(Items!$P$5:$P$504,U749),0),2)),"")</f>
        <v/>
      </c>
      <c r="S749" s="61" t="str">
        <f aca="false">IF(IsPro,IF($D749="","",L749-R749),"")</f>
        <v/>
      </c>
      <c r="T749" s="60" t="str">
        <f aca="false">IF(IsPro,IF($D749="","",IF(U749="","UNKNOWN ITEM",IF(INDEX(Items!$O$5:$O$504,U749)&lt;0,"NEG STOCK",IF(K749&lt;INDEX(Items!$P$5:$P$504,U749),"BELOW COST","OK")))),IF($D749="","","PRO PLAN"))</f>
        <v/>
      </c>
      <c r="U749" s="60" t="str">
        <f aca="false">IF(IsPro,IF($D749="","",IFERROR(MATCH($D749,Items!$A$5:$A$504,0),"")),"")</f>
        <v/>
      </c>
      <c r="V749" s="60" t="str">
        <f aca="false">IF(IsPro,IF($C749="","",IFERROR(MATCH($C749,Parties!$A$5:$A$304,0),"")),"")</f>
        <v/>
      </c>
      <c r="W749" s="60" t="str">
        <f aca="false">IF(IsPro,IF($B749="","",IFERROR(VALUE(SUBSTITUTE($B749,InvPrefix,"")),0)),"")</f>
        <v/>
      </c>
      <c r="X749" s="61" t="str">
        <f aca="false">IF(IsPro,IF($D749="","",IF(OR($H749="",$H749="Credit"),0,Q749)),"")</f>
        <v/>
      </c>
    </row>
    <row r="750" customFormat="false" ht="15" hidden="false" customHeight="false" outlineLevel="0" collapsed="false">
      <c r="A750" s="55"/>
      <c r="B750" s="56"/>
      <c r="C750" s="56"/>
      <c r="D750" s="56"/>
      <c r="E750" s="57"/>
      <c r="F750" s="58"/>
      <c r="G750" s="59"/>
      <c r="H750" s="56"/>
      <c r="I750" s="56"/>
      <c r="J750" s="60" t="str">
        <f aca="false">IF(IsPro,IF($D750="","",IFERROR(INDEX(Items!$D$5:$D$504,U750),"")),"")</f>
        <v/>
      </c>
      <c r="K750" s="61" t="str">
        <f aca="false">IF(IsPro,IF($D750="","",IF($F750="",IFERROR(INDEX(Items!$H$5:$H$504,U750),0),$F750)),"")</f>
        <v/>
      </c>
      <c r="L750" s="61" t="str">
        <f aca="false">IF(IsPro,IF($D750="","",ROUND(N($E750)*K750*(1-N($G750)),2)),"")</f>
        <v/>
      </c>
      <c r="M750" s="62" t="str">
        <f aca="false">IF(IsPro,IF($D750="","",IFERROR(INDEX(Items!$F$5:$F$504,U750),0)),"")</f>
        <v/>
      </c>
      <c r="N750" s="61" t="str">
        <f aca="false">IF(IsPro,IF($D750="","",IF(AND(V750&lt;&gt;"",INDEX(Parties!$E$5:$E$304,V750)&lt;&gt;"",INDEX(Parties!$E$5:$E$304,V750)&lt;&gt;HomeState),0,ROUND(L750*M750/2,2))),"")</f>
        <v/>
      </c>
      <c r="O750" s="61" t="str">
        <f aca="false">IF(IsPro,IF($D750="","",N750),"")</f>
        <v/>
      </c>
      <c r="P750" s="61" t="str">
        <f aca="false">IF(IsPro,IF($D750="","",IF(AND(V750&lt;&gt;"",INDEX(Parties!$E$5:$E$304,V750)&lt;&gt;"",INDEX(Parties!$E$5:$E$304,V750)&lt;&gt;HomeState),ROUND(L750*M750,2),0)),"")</f>
        <v/>
      </c>
      <c r="Q750" s="61" t="str">
        <f aca="false">IF(IsPro,IF($D750="","",L750+N750+O750+P750),"")</f>
        <v/>
      </c>
      <c r="R750" s="61" t="str">
        <f aca="false">IF(IsPro,IF($D750="","",ROUND(N($E750)*IFERROR(INDEX(Items!$P$5:$P$504,U750),0),2)),"")</f>
        <v/>
      </c>
      <c r="S750" s="61" t="str">
        <f aca="false">IF(IsPro,IF($D750="","",L750-R750),"")</f>
        <v/>
      </c>
      <c r="T750" s="60" t="str">
        <f aca="false">IF(IsPro,IF($D750="","",IF(U750="","UNKNOWN ITEM",IF(INDEX(Items!$O$5:$O$504,U750)&lt;0,"NEG STOCK",IF(K750&lt;INDEX(Items!$P$5:$P$504,U750),"BELOW COST","OK")))),IF($D750="","","PRO PLAN"))</f>
        <v/>
      </c>
      <c r="U750" s="60" t="str">
        <f aca="false">IF(IsPro,IF($D750="","",IFERROR(MATCH($D750,Items!$A$5:$A$504,0),"")),"")</f>
        <v/>
      </c>
      <c r="V750" s="60" t="str">
        <f aca="false">IF(IsPro,IF($C750="","",IFERROR(MATCH($C750,Parties!$A$5:$A$304,0),"")),"")</f>
        <v/>
      </c>
      <c r="W750" s="60" t="str">
        <f aca="false">IF(IsPro,IF($B750="","",IFERROR(VALUE(SUBSTITUTE($B750,InvPrefix,"")),0)),"")</f>
        <v/>
      </c>
      <c r="X750" s="61" t="str">
        <f aca="false">IF(IsPro,IF($D750="","",IF(OR($H750="",$H750="Credit"),0,Q750)),"")</f>
        <v/>
      </c>
    </row>
    <row r="751" customFormat="false" ht="15" hidden="false" customHeight="false" outlineLevel="0" collapsed="false">
      <c r="A751" s="55"/>
      <c r="B751" s="56"/>
      <c r="C751" s="56"/>
      <c r="D751" s="56"/>
      <c r="E751" s="57"/>
      <c r="F751" s="58"/>
      <c r="G751" s="59"/>
      <c r="H751" s="56"/>
      <c r="I751" s="56"/>
      <c r="J751" s="60" t="str">
        <f aca="false">IF(IsPro,IF($D751="","",IFERROR(INDEX(Items!$D$5:$D$504,U751),"")),"")</f>
        <v/>
      </c>
      <c r="K751" s="61" t="str">
        <f aca="false">IF(IsPro,IF($D751="","",IF($F751="",IFERROR(INDEX(Items!$H$5:$H$504,U751),0),$F751)),"")</f>
        <v/>
      </c>
      <c r="L751" s="61" t="str">
        <f aca="false">IF(IsPro,IF($D751="","",ROUND(N($E751)*K751*(1-N($G751)),2)),"")</f>
        <v/>
      </c>
      <c r="M751" s="62" t="str">
        <f aca="false">IF(IsPro,IF($D751="","",IFERROR(INDEX(Items!$F$5:$F$504,U751),0)),"")</f>
        <v/>
      </c>
      <c r="N751" s="61" t="str">
        <f aca="false">IF(IsPro,IF($D751="","",IF(AND(V751&lt;&gt;"",INDEX(Parties!$E$5:$E$304,V751)&lt;&gt;"",INDEX(Parties!$E$5:$E$304,V751)&lt;&gt;HomeState),0,ROUND(L751*M751/2,2))),"")</f>
        <v/>
      </c>
      <c r="O751" s="61" t="str">
        <f aca="false">IF(IsPro,IF($D751="","",N751),"")</f>
        <v/>
      </c>
      <c r="P751" s="61" t="str">
        <f aca="false">IF(IsPro,IF($D751="","",IF(AND(V751&lt;&gt;"",INDEX(Parties!$E$5:$E$304,V751)&lt;&gt;"",INDEX(Parties!$E$5:$E$304,V751)&lt;&gt;HomeState),ROUND(L751*M751,2),0)),"")</f>
        <v/>
      </c>
      <c r="Q751" s="61" t="str">
        <f aca="false">IF(IsPro,IF($D751="","",L751+N751+O751+P751),"")</f>
        <v/>
      </c>
      <c r="R751" s="61" t="str">
        <f aca="false">IF(IsPro,IF($D751="","",ROUND(N($E751)*IFERROR(INDEX(Items!$P$5:$P$504,U751),0),2)),"")</f>
        <v/>
      </c>
      <c r="S751" s="61" t="str">
        <f aca="false">IF(IsPro,IF($D751="","",L751-R751),"")</f>
        <v/>
      </c>
      <c r="T751" s="60" t="str">
        <f aca="false">IF(IsPro,IF($D751="","",IF(U751="","UNKNOWN ITEM",IF(INDEX(Items!$O$5:$O$504,U751)&lt;0,"NEG STOCK",IF(K751&lt;INDEX(Items!$P$5:$P$504,U751),"BELOW COST","OK")))),IF($D751="","","PRO PLAN"))</f>
        <v/>
      </c>
      <c r="U751" s="60" t="str">
        <f aca="false">IF(IsPro,IF($D751="","",IFERROR(MATCH($D751,Items!$A$5:$A$504,0),"")),"")</f>
        <v/>
      </c>
      <c r="V751" s="60" t="str">
        <f aca="false">IF(IsPro,IF($C751="","",IFERROR(MATCH($C751,Parties!$A$5:$A$304,0),"")),"")</f>
        <v/>
      </c>
      <c r="W751" s="60" t="str">
        <f aca="false">IF(IsPro,IF($B751="","",IFERROR(VALUE(SUBSTITUTE($B751,InvPrefix,"")),0)),"")</f>
        <v/>
      </c>
      <c r="X751" s="61" t="str">
        <f aca="false">IF(IsPro,IF($D751="","",IF(OR($H751="",$H751="Credit"),0,Q751)),"")</f>
        <v/>
      </c>
    </row>
    <row r="752" customFormat="false" ht="15" hidden="false" customHeight="false" outlineLevel="0" collapsed="false">
      <c r="A752" s="55"/>
      <c r="B752" s="56"/>
      <c r="C752" s="56"/>
      <c r="D752" s="56"/>
      <c r="E752" s="57"/>
      <c r="F752" s="58"/>
      <c r="G752" s="59"/>
      <c r="H752" s="56"/>
      <c r="I752" s="56"/>
      <c r="J752" s="60" t="str">
        <f aca="false">IF(IsPro,IF($D752="","",IFERROR(INDEX(Items!$D$5:$D$504,U752),"")),"")</f>
        <v/>
      </c>
      <c r="K752" s="61" t="str">
        <f aca="false">IF(IsPro,IF($D752="","",IF($F752="",IFERROR(INDEX(Items!$H$5:$H$504,U752),0),$F752)),"")</f>
        <v/>
      </c>
      <c r="L752" s="61" t="str">
        <f aca="false">IF(IsPro,IF($D752="","",ROUND(N($E752)*K752*(1-N($G752)),2)),"")</f>
        <v/>
      </c>
      <c r="M752" s="62" t="str">
        <f aca="false">IF(IsPro,IF($D752="","",IFERROR(INDEX(Items!$F$5:$F$504,U752),0)),"")</f>
        <v/>
      </c>
      <c r="N752" s="61" t="str">
        <f aca="false">IF(IsPro,IF($D752="","",IF(AND(V752&lt;&gt;"",INDEX(Parties!$E$5:$E$304,V752)&lt;&gt;"",INDEX(Parties!$E$5:$E$304,V752)&lt;&gt;HomeState),0,ROUND(L752*M752/2,2))),"")</f>
        <v/>
      </c>
      <c r="O752" s="61" t="str">
        <f aca="false">IF(IsPro,IF($D752="","",N752),"")</f>
        <v/>
      </c>
      <c r="P752" s="61" t="str">
        <f aca="false">IF(IsPro,IF($D752="","",IF(AND(V752&lt;&gt;"",INDEX(Parties!$E$5:$E$304,V752)&lt;&gt;"",INDEX(Parties!$E$5:$E$304,V752)&lt;&gt;HomeState),ROUND(L752*M752,2),0)),"")</f>
        <v/>
      </c>
      <c r="Q752" s="61" t="str">
        <f aca="false">IF(IsPro,IF($D752="","",L752+N752+O752+P752),"")</f>
        <v/>
      </c>
      <c r="R752" s="61" t="str">
        <f aca="false">IF(IsPro,IF($D752="","",ROUND(N($E752)*IFERROR(INDEX(Items!$P$5:$P$504,U752),0),2)),"")</f>
        <v/>
      </c>
      <c r="S752" s="61" t="str">
        <f aca="false">IF(IsPro,IF($D752="","",L752-R752),"")</f>
        <v/>
      </c>
      <c r="T752" s="60" t="str">
        <f aca="false">IF(IsPro,IF($D752="","",IF(U752="","UNKNOWN ITEM",IF(INDEX(Items!$O$5:$O$504,U752)&lt;0,"NEG STOCK",IF(K752&lt;INDEX(Items!$P$5:$P$504,U752),"BELOW COST","OK")))),IF($D752="","","PRO PLAN"))</f>
        <v/>
      </c>
      <c r="U752" s="60" t="str">
        <f aca="false">IF(IsPro,IF($D752="","",IFERROR(MATCH($D752,Items!$A$5:$A$504,0),"")),"")</f>
        <v/>
      </c>
      <c r="V752" s="60" t="str">
        <f aca="false">IF(IsPro,IF($C752="","",IFERROR(MATCH($C752,Parties!$A$5:$A$304,0),"")),"")</f>
        <v/>
      </c>
      <c r="W752" s="60" t="str">
        <f aca="false">IF(IsPro,IF($B752="","",IFERROR(VALUE(SUBSTITUTE($B752,InvPrefix,"")),0)),"")</f>
        <v/>
      </c>
      <c r="X752" s="61" t="str">
        <f aca="false">IF(IsPro,IF($D752="","",IF(OR($H752="",$H752="Credit"),0,Q752)),"")</f>
        <v/>
      </c>
    </row>
    <row r="753" customFormat="false" ht="15" hidden="false" customHeight="false" outlineLevel="0" collapsed="false">
      <c r="A753" s="55"/>
      <c r="B753" s="56"/>
      <c r="C753" s="56"/>
      <c r="D753" s="56"/>
      <c r="E753" s="57"/>
      <c r="F753" s="58"/>
      <c r="G753" s="59"/>
      <c r="H753" s="56"/>
      <c r="I753" s="56"/>
      <c r="J753" s="60" t="str">
        <f aca="false">IF(IsPro,IF($D753="","",IFERROR(INDEX(Items!$D$5:$D$504,U753),"")),"")</f>
        <v/>
      </c>
      <c r="K753" s="61" t="str">
        <f aca="false">IF(IsPro,IF($D753="","",IF($F753="",IFERROR(INDEX(Items!$H$5:$H$504,U753),0),$F753)),"")</f>
        <v/>
      </c>
      <c r="L753" s="61" t="str">
        <f aca="false">IF(IsPro,IF($D753="","",ROUND(N($E753)*K753*(1-N($G753)),2)),"")</f>
        <v/>
      </c>
      <c r="M753" s="62" t="str">
        <f aca="false">IF(IsPro,IF($D753="","",IFERROR(INDEX(Items!$F$5:$F$504,U753),0)),"")</f>
        <v/>
      </c>
      <c r="N753" s="61" t="str">
        <f aca="false">IF(IsPro,IF($D753="","",IF(AND(V753&lt;&gt;"",INDEX(Parties!$E$5:$E$304,V753)&lt;&gt;"",INDEX(Parties!$E$5:$E$304,V753)&lt;&gt;HomeState),0,ROUND(L753*M753/2,2))),"")</f>
        <v/>
      </c>
      <c r="O753" s="61" t="str">
        <f aca="false">IF(IsPro,IF($D753="","",N753),"")</f>
        <v/>
      </c>
      <c r="P753" s="61" t="str">
        <f aca="false">IF(IsPro,IF($D753="","",IF(AND(V753&lt;&gt;"",INDEX(Parties!$E$5:$E$304,V753)&lt;&gt;"",INDEX(Parties!$E$5:$E$304,V753)&lt;&gt;HomeState),ROUND(L753*M753,2),0)),"")</f>
        <v/>
      </c>
      <c r="Q753" s="61" t="str">
        <f aca="false">IF(IsPro,IF($D753="","",L753+N753+O753+P753),"")</f>
        <v/>
      </c>
      <c r="R753" s="61" t="str">
        <f aca="false">IF(IsPro,IF($D753="","",ROUND(N($E753)*IFERROR(INDEX(Items!$P$5:$P$504,U753),0),2)),"")</f>
        <v/>
      </c>
      <c r="S753" s="61" t="str">
        <f aca="false">IF(IsPro,IF($D753="","",L753-R753),"")</f>
        <v/>
      </c>
      <c r="T753" s="60" t="str">
        <f aca="false">IF(IsPro,IF($D753="","",IF(U753="","UNKNOWN ITEM",IF(INDEX(Items!$O$5:$O$504,U753)&lt;0,"NEG STOCK",IF(K753&lt;INDEX(Items!$P$5:$P$504,U753),"BELOW COST","OK")))),IF($D753="","","PRO PLAN"))</f>
        <v/>
      </c>
      <c r="U753" s="60" t="str">
        <f aca="false">IF(IsPro,IF($D753="","",IFERROR(MATCH($D753,Items!$A$5:$A$504,0),"")),"")</f>
        <v/>
      </c>
      <c r="V753" s="60" t="str">
        <f aca="false">IF(IsPro,IF($C753="","",IFERROR(MATCH($C753,Parties!$A$5:$A$304,0),"")),"")</f>
        <v/>
      </c>
      <c r="W753" s="60" t="str">
        <f aca="false">IF(IsPro,IF($B753="","",IFERROR(VALUE(SUBSTITUTE($B753,InvPrefix,"")),0)),"")</f>
        <v/>
      </c>
      <c r="X753" s="61" t="str">
        <f aca="false">IF(IsPro,IF($D753="","",IF(OR($H753="",$H753="Credit"),0,Q753)),"")</f>
        <v/>
      </c>
    </row>
    <row r="754" customFormat="false" ht="15" hidden="false" customHeight="false" outlineLevel="0" collapsed="false">
      <c r="A754" s="55"/>
      <c r="B754" s="56"/>
      <c r="C754" s="56"/>
      <c r="D754" s="56"/>
      <c r="E754" s="57"/>
      <c r="F754" s="58"/>
      <c r="G754" s="59"/>
      <c r="H754" s="56"/>
      <c r="I754" s="56"/>
      <c r="J754" s="60" t="str">
        <f aca="false">IF(IsPro,IF($D754="","",IFERROR(INDEX(Items!$D$5:$D$504,U754),"")),"")</f>
        <v/>
      </c>
      <c r="K754" s="61" t="str">
        <f aca="false">IF(IsPro,IF($D754="","",IF($F754="",IFERROR(INDEX(Items!$H$5:$H$504,U754),0),$F754)),"")</f>
        <v/>
      </c>
      <c r="L754" s="61" t="str">
        <f aca="false">IF(IsPro,IF($D754="","",ROUND(N($E754)*K754*(1-N($G754)),2)),"")</f>
        <v/>
      </c>
      <c r="M754" s="62" t="str">
        <f aca="false">IF(IsPro,IF($D754="","",IFERROR(INDEX(Items!$F$5:$F$504,U754),0)),"")</f>
        <v/>
      </c>
      <c r="N754" s="61" t="str">
        <f aca="false">IF(IsPro,IF($D754="","",IF(AND(V754&lt;&gt;"",INDEX(Parties!$E$5:$E$304,V754)&lt;&gt;"",INDEX(Parties!$E$5:$E$304,V754)&lt;&gt;HomeState),0,ROUND(L754*M754/2,2))),"")</f>
        <v/>
      </c>
      <c r="O754" s="61" t="str">
        <f aca="false">IF(IsPro,IF($D754="","",N754),"")</f>
        <v/>
      </c>
      <c r="P754" s="61" t="str">
        <f aca="false">IF(IsPro,IF($D754="","",IF(AND(V754&lt;&gt;"",INDEX(Parties!$E$5:$E$304,V754)&lt;&gt;"",INDEX(Parties!$E$5:$E$304,V754)&lt;&gt;HomeState),ROUND(L754*M754,2),0)),"")</f>
        <v/>
      </c>
      <c r="Q754" s="61" t="str">
        <f aca="false">IF(IsPro,IF($D754="","",L754+N754+O754+P754),"")</f>
        <v/>
      </c>
      <c r="R754" s="61" t="str">
        <f aca="false">IF(IsPro,IF($D754="","",ROUND(N($E754)*IFERROR(INDEX(Items!$P$5:$P$504,U754),0),2)),"")</f>
        <v/>
      </c>
      <c r="S754" s="61" t="str">
        <f aca="false">IF(IsPro,IF($D754="","",L754-R754),"")</f>
        <v/>
      </c>
      <c r="T754" s="60" t="str">
        <f aca="false">IF(IsPro,IF($D754="","",IF(U754="","UNKNOWN ITEM",IF(INDEX(Items!$O$5:$O$504,U754)&lt;0,"NEG STOCK",IF(K754&lt;INDEX(Items!$P$5:$P$504,U754),"BELOW COST","OK")))),IF($D754="","","PRO PLAN"))</f>
        <v/>
      </c>
      <c r="U754" s="60" t="str">
        <f aca="false">IF(IsPro,IF($D754="","",IFERROR(MATCH($D754,Items!$A$5:$A$504,0),"")),"")</f>
        <v/>
      </c>
      <c r="V754" s="60" t="str">
        <f aca="false">IF(IsPro,IF($C754="","",IFERROR(MATCH($C754,Parties!$A$5:$A$304,0),"")),"")</f>
        <v/>
      </c>
      <c r="W754" s="60" t="str">
        <f aca="false">IF(IsPro,IF($B754="","",IFERROR(VALUE(SUBSTITUTE($B754,InvPrefix,"")),0)),"")</f>
        <v/>
      </c>
      <c r="X754" s="61" t="str">
        <f aca="false">IF(IsPro,IF($D754="","",IF(OR($H754="",$H754="Credit"),0,Q754)),"")</f>
        <v/>
      </c>
    </row>
    <row r="755" customFormat="false" ht="15" hidden="false" customHeight="false" outlineLevel="0" collapsed="false">
      <c r="A755" s="55"/>
      <c r="B755" s="56"/>
      <c r="C755" s="56"/>
      <c r="D755" s="56"/>
      <c r="E755" s="57"/>
      <c r="F755" s="58"/>
      <c r="G755" s="59"/>
      <c r="H755" s="56"/>
      <c r="I755" s="56"/>
      <c r="J755" s="60" t="str">
        <f aca="false">IF(IsPro,IF($D755="","",IFERROR(INDEX(Items!$D$5:$D$504,U755),"")),"")</f>
        <v/>
      </c>
      <c r="K755" s="61" t="str">
        <f aca="false">IF(IsPro,IF($D755="","",IF($F755="",IFERROR(INDEX(Items!$H$5:$H$504,U755),0),$F755)),"")</f>
        <v/>
      </c>
      <c r="L755" s="61" t="str">
        <f aca="false">IF(IsPro,IF($D755="","",ROUND(N($E755)*K755*(1-N($G755)),2)),"")</f>
        <v/>
      </c>
      <c r="M755" s="62" t="str">
        <f aca="false">IF(IsPro,IF($D755="","",IFERROR(INDEX(Items!$F$5:$F$504,U755),0)),"")</f>
        <v/>
      </c>
      <c r="N755" s="61" t="str">
        <f aca="false">IF(IsPro,IF($D755="","",IF(AND(V755&lt;&gt;"",INDEX(Parties!$E$5:$E$304,V755)&lt;&gt;"",INDEX(Parties!$E$5:$E$304,V755)&lt;&gt;HomeState),0,ROUND(L755*M755/2,2))),"")</f>
        <v/>
      </c>
      <c r="O755" s="61" t="str">
        <f aca="false">IF(IsPro,IF($D755="","",N755),"")</f>
        <v/>
      </c>
      <c r="P755" s="61" t="str">
        <f aca="false">IF(IsPro,IF($D755="","",IF(AND(V755&lt;&gt;"",INDEX(Parties!$E$5:$E$304,V755)&lt;&gt;"",INDEX(Parties!$E$5:$E$304,V755)&lt;&gt;HomeState),ROUND(L755*M755,2),0)),"")</f>
        <v/>
      </c>
      <c r="Q755" s="61" t="str">
        <f aca="false">IF(IsPro,IF($D755="","",L755+N755+O755+P755),"")</f>
        <v/>
      </c>
      <c r="R755" s="61" t="str">
        <f aca="false">IF(IsPro,IF($D755="","",ROUND(N($E755)*IFERROR(INDEX(Items!$P$5:$P$504,U755),0),2)),"")</f>
        <v/>
      </c>
      <c r="S755" s="61" t="str">
        <f aca="false">IF(IsPro,IF($D755="","",L755-R755),"")</f>
        <v/>
      </c>
      <c r="T755" s="60" t="str">
        <f aca="false">IF(IsPro,IF($D755="","",IF(U755="","UNKNOWN ITEM",IF(INDEX(Items!$O$5:$O$504,U755)&lt;0,"NEG STOCK",IF(K755&lt;INDEX(Items!$P$5:$P$504,U755),"BELOW COST","OK")))),IF($D755="","","PRO PLAN"))</f>
        <v/>
      </c>
      <c r="U755" s="60" t="str">
        <f aca="false">IF(IsPro,IF($D755="","",IFERROR(MATCH($D755,Items!$A$5:$A$504,0),"")),"")</f>
        <v/>
      </c>
      <c r="V755" s="60" t="str">
        <f aca="false">IF(IsPro,IF($C755="","",IFERROR(MATCH($C755,Parties!$A$5:$A$304,0),"")),"")</f>
        <v/>
      </c>
      <c r="W755" s="60" t="str">
        <f aca="false">IF(IsPro,IF($B755="","",IFERROR(VALUE(SUBSTITUTE($B755,InvPrefix,"")),0)),"")</f>
        <v/>
      </c>
      <c r="X755" s="61" t="str">
        <f aca="false">IF(IsPro,IF($D755="","",IF(OR($H755="",$H755="Credit"),0,Q755)),"")</f>
        <v/>
      </c>
    </row>
    <row r="756" customFormat="false" ht="15" hidden="false" customHeight="false" outlineLevel="0" collapsed="false">
      <c r="A756" s="55"/>
      <c r="B756" s="56"/>
      <c r="C756" s="56"/>
      <c r="D756" s="56"/>
      <c r="E756" s="57"/>
      <c r="F756" s="58"/>
      <c r="G756" s="59"/>
      <c r="H756" s="56"/>
      <c r="I756" s="56"/>
      <c r="J756" s="60" t="str">
        <f aca="false">IF(IsPro,IF($D756="","",IFERROR(INDEX(Items!$D$5:$D$504,U756),"")),"")</f>
        <v/>
      </c>
      <c r="K756" s="61" t="str">
        <f aca="false">IF(IsPro,IF($D756="","",IF($F756="",IFERROR(INDEX(Items!$H$5:$H$504,U756),0),$F756)),"")</f>
        <v/>
      </c>
      <c r="L756" s="61" t="str">
        <f aca="false">IF(IsPro,IF($D756="","",ROUND(N($E756)*K756*(1-N($G756)),2)),"")</f>
        <v/>
      </c>
      <c r="M756" s="62" t="str">
        <f aca="false">IF(IsPro,IF($D756="","",IFERROR(INDEX(Items!$F$5:$F$504,U756),0)),"")</f>
        <v/>
      </c>
      <c r="N756" s="61" t="str">
        <f aca="false">IF(IsPro,IF($D756="","",IF(AND(V756&lt;&gt;"",INDEX(Parties!$E$5:$E$304,V756)&lt;&gt;"",INDEX(Parties!$E$5:$E$304,V756)&lt;&gt;HomeState),0,ROUND(L756*M756/2,2))),"")</f>
        <v/>
      </c>
      <c r="O756" s="61" t="str">
        <f aca="false">IF(IsPro,IF($D756="","",N756),"")</f>
        <v/>
      </c>
      <c r="P756" s="61" t="str">
        <f aca="false">IF(IsPro,IF($D756="","",IF(AND(V756&lt;&gt;"",INDEX(Parties!$E$5:$E$304,V756)&lt;&gt;"",INDEX(Parties!$E$5:$E$304,V756)&lt;&gt;HomeState),ROUND(L756*M756,2),0)),"")</f>
        <v/>
      </c>
      <c r="Q756" s="61" t="str">
        <f aca="false">IF(IsPro,IF($D756="","",L756+N756+O756+P756),"")</f>
        <v/>
      </c>
      <c r="R756" s="61" t="str">
        <f aca="false">IF(IsPro,IF($D756="","",ROUND(N($E756)*IFERROR(INDEX(Items!$P$5:$P$504,U756),0),2)),"")</f>
        <v/>
      </c>
      <c r="S756" s="61" t="str">
        <f aca="false">IF(IsPro,IF($D756="","",L756-R756),"")</f>
        <v/>
      </c>
      <c r="T756" s="60" t="str">
        <f aca="false">IF(IsPro,IF($D756="","",IF(U756="","UNKNOWN ITEM",IF(INDEX(Items!$O$5:$O$504,U756)&lt;0,"NEG STOCK",IF(K756&lt;INDEX(Items!$P$5:$P$504,U756),"BELOW COST","OK")))),IF($D756="","","PRO PLAN"))</f>
        <v/>
      </c>
      <c r="U756" s="60" t="str">
        <f aca="false">IF(IsPro,IF($D756="","",IFERROR(MATCH($D756,Items!$A$5:$A$504,0),"")),"")</f>
        <v/>
      </c>
      <c r="V756" s="60" t="str">
        <f aca="false">IF(IsPro,IF($C756="","",IFERROR(MATCH($C756,Parties!$A$5:$A$304,0),"")),"")</f>
        <v/>
      </c>
      <c r="W756" s="60" t="str">
        <f aca="false">IF(IsPro,IF($B756="","",IFERROR(VALUE(SUBSTITUTE($B756,InvPrefix,"")),0)),"")</f>
        <v/>
      </c>
      <c r="X756" s="61" t="str">
        <f aca="false">IF(IsPro,IF($D756="","",IF(OR($H756="",$H756="Credit"),0,Q756)),"")</f>
        <v/>
      </c>
    </row>
    <row r="757" customFormat="false" ht="15" hidden="false" customHeight="false" outlineLevel="0" collapsed="false">
      <c r="A757" s="55"/>
      <c r="B757" s="56"/>
      <c r="C757" s="56"/>
      <c r="D757" s="56"/>
      <c r="E757" s="57"/>
      <c r="F757" s="58"/>
      <c r="G757" s="59"/>
      <c r="H757" s="56"/>
      <c r="I757" s="56"/>
      <c r="J757" s="60" t="str">
        <f aca="false">IF(IsPro,IF($D757="","",IFERROR(INDEX(Items!$D$5:$D$504,U757),"")),"")</f>
        <v/>
      </c>
      <c r="K757" s="61" t="str">
        <f aca="false">IF(IsPro,IF($D757="","",IF($F757="",IFERROR(INDEX(Items!$H$5:$H$504,U757),0),$F757)),"")</f>
        <v/>
      </c>
      <c r="L757" s="61" t="str">
        <f aca="false">IF(IsPro,IF($D757="","",ROUND(N($E757)*K757*(1-N($G757)),2)),"")</f>
        <v/>
      </c>
      <c r="M757" s="62" t="str">
        <f aca="false">IF(IsPro,IF($D757="","",IFERROR(INDEX(Items!$F$5:$F$504,U757),0)),"")</f>
        <v/>
      </c>
      <c r="N757" s="61" t="str">
        <f aca="false">IF(IsPro,IF($D757="","",IF(AND(V757&lt;&gt;"",INDEX(Parties!$E$5:$E$304,V757)&lt;&gt;"",INDEX(Parties!$E$5:$E$304,V757)&lt;&gt;HomeState),0,ROUND(L757*M757/2,2))),"")</f>
        <v/>
      </c>
      <c r="O757" s="61" t="str">
        <f aca="false">IF(IsPro,IF($D757="","",N757),"")</f>
        <v/>
      </c>
      <c r="P757" s="61" t="str">
        <f aca="false">IF(IsPro,IF($D757="","",IF(AND(V757&lt;&gt;"",INDEX(Parties!$E$5:$E$304,V757)&lt;&gt;"",INDEX(Parties!$E$5:$E$304,V757)&lt;&gt;HomeState),ROUND(L757*M757,2),0)),"")</f>
        <v/>
      </c>
      <c r="Q757" s="61" t="str">
        <f aca="false">IF(IsPro,IF($D757="","",L757+N757+O757+P757),"")</f>
        <v/>
      </c>
      <c r="R757" s="61" t="str">
        <f aca="false">IF(IsPro,IF($D757="","",ROUND(N($E757)*IFERROR(INDEX(Items!$P$5:$P$504,U757),0),2)),"")</f>
        <v/>
      </c>
      <c r="S757" s="61" t="str">
        <f aca="false">IF(IsPro,IF($D757="","",L757-R757),"")</f>
        <v/>
      </c>
      <c r="T757" s="60" t="str">
        <f aca="false">IF(IsPro,IF($D757="","",IF(U757="","UNKNOWN ITEM",IF(INDEX(Items!$O$5:$O$504,U757)&lt;0,"NEG STOCK",IF(K757&lt;INDEX(Items!$P$5:$P$504,U757),"BELOW COST","OK")))),IF($D757="","","PRO PLAN"))</f>
        <v/>
      </c>
      <c r="U757" s="60" t="str">
        <f aca="false">IF(IsPro,IF($D757="","",IFERROR(MATCH($D757,Items!$A$5:$A$504,0),"")),"")</f>
        <v/>
      </c>
      <c r="V757" s="60" t="str">
        <f aca="false">IF(IsPro,IF($C757="","",IFERROR(MATCH($C757,Parties!$A$5:$A$304,0),"")),"")</f>
        <v/>
      </c>
      <c r="W757" s="60" t="str">
        <f aca="false">IF(IsPro,IF($B757="","",IFERROR(VALUE(SUBSTITUTE($B757,InvPrefix,"")),0)),"")</f>
        <v/>
      </c>
      <c r="X757" s="61" t="str">
        <f aca="false">IF(IsPro,IF($D757="","",IF(OR($H757="",$H757="Credit"),0,Q757)),"")</f>
        <v/>
      </c>
    </row>
    <row r="758" customFormat="false" ht="15" hidden="false" customHeight="false" outlineLevel="0" collapsed="false">
      <c r="A758" s="55"/>
      <c r="B758" s="56"/>
      <c r="C758" s="56"/>
      <c r="D758" s="56"/>
      <c r="E758" s="57"/>
      <c r="F758" s="58"/>
      <c r="G758" s="59"/>
      <c r="H758" s="56"/>
      <c r="I758" s="56"/>
      <c r="J758" s="60" t="str">
        <f aca="false">IF(IsPro,IF($D758="","",IFERROR(INDEX(Items!$D$5:$D$504,U758),"")),"")</f>
        <v/>
      </c>
      <c r="K758" s="61" t="str">
        <f aca="false">IF(IsPro,IF($D758="","",IF($F758="",IFERROR(INDEX(Items!$H$5:$H$504,U758),0),$F758)),"")</f>
        <v/>
      </c>
      <c r="L758" s="61" t="str">
        <f aca="false">IF(IsPro,IF($D758="","",ROUND(N($E758)*K758*(1-N($G758)),2)),"")</f>
        <v/>
      </c>
      <c r="M758" s="62" t="str">
        <f aca="false">IF(IsPro,IF($D758="","",IFERROR(INDEX(Items!$F$5:$F$504,U758),0)),"")</f>
        <v/>
      </c>
      <c r="N758" s="61" t="str">
        <f aca="false">IF(IsPro,IF($D758="","",IF(AND(V758&lt;&gt;"",INDEX(Parties!$E$5:$E$304,V758)&lt;&gt;"",INDEX(Parties!$E$5:$E$304,V758)&lt;&gt;HomeState),0,ROUND(L758*M758/2,2))),"")</f>
        <v/>
      </c>
      <c r="O758" s="61" t="str">
        <f aca="false">IF(IsPro,IF($D758="","",N758),"")</f>
        <v/>
      </c>
      <c r="P758" s="61" t="str">
        <f aca="false">IF(IsPro,IF($D758="","",IF(AND(V758&lt;&gt;"",INDEX(Parties!$E$5:$E$304,V758)&lt;&gt;"",INDEX(Parties!$E$5:$E$304,V758)&lt;&gt;HomeState),ROUND(L758*M758,2),0)),"")</f>
        <v/>
      </c>
      <c r="Q758" s="61" t="str">
        <f aca="false">IF(IsPro,IF($D758="","",L758+N758+O758+P758),"")</f>
        <v/>
      </c>
      <c r="R758" s="61" t="str">
        <f aca="false">IF(IsPro,IF($D758="","",ROUND(N($E758)*IFERROR(INDEX(Items!$P$5:$P$504,U758),0),2)),"")</f>
        <v/>
      </c>
      <c r="S758" s="61" t="str">
        <f aca="false">IF(IsPro,IF($D758="","",L758-R758),"")</f>
        <v/>
      </c>
      <c r="T758" s="60" t="str">
        <f aca="false">IF(IsPro,IF($D758="","",IF(U758="","UNKNOWN ITEM",IF(INDEX(Items!$O$5:$O$504,U758)&lt;0,"NEG STOCK",IF(K758&lt;INDEX(Items!$P$5:$P$504,U758),"BELOW COST","OK")))),IF($D758="","","PRO PLAN"))</f>
        <v/>
      </c>
      <c r="U758" s="60" t="str">
        <f aca="false">IF(IsPro,IF($D758="","",IFERROR(MATCH($D758,Items!$A$5:$A$504,0),"")),"")</f>
        <v/>
      </c>
      <c r="V758" s="60" t="str">
        <f aca="false">IF(IsPro,IF($C758="","",IFERROR(MATCH($C758,Parties!$A$5:$A$304,0),"")),"")</f>
        <v/>
      </c>
      <c r="W758" s="60" t="str">
        <f aca="false">IF(IsPro,IF($B758="","",IFERROR(VALUE(SUBSTITUTE($B758,InvPrefix,"")),0)),"")</f>
        <v/>
      </c>
      <c r="X758" s="61" t="str">
        <f aca="false">IF(IsPro,IF($D758="","",IF(OR($H758="",$H758="Credit"),0,Q758)),"")</f>
        <v/>
      </c>
    </row>
    <row r="759" customFormat="false" ht="15" hidden="false" customHeight="false" outlineLevel="0" collapsed="false">
      <c r="A759" s="55"/>
      <c r="B759" s="56"/>
      <c r="C759" s="56"/>
      <c r="D759" s="56"/>
      <c r="E759" s="57"/>
      <c r="F759" s="58"/>
      <c r="G759" s="59"/>
      <c r="H759" s="56"/>
      <c r="I759" s="56"/>
      <c r="J759" s="60" t="str">
        <f aca="false">IF(IsPro,IF($D759="","",IFERROR(INDEX(Items!$D$5:$D$504,U759),"")),"")</f>
        <v/>
      </c>
      <c r="K759" s="61" t="str">
        <f aca="false">IF(IsPro,IF($D759="","",IF($F759="",IFERROR(INDEX(Items!$H$5:$H$504,U759),0),$F759)),"")</f>
        <v/>
      </c>
      <c r="L759" s="61" t="str">
        <f aca="false">IF(IsPro,IF($D759="","",ROUND(N($E759)*K759*(1-N($G759)),2)),"")</f>
        <v/>
      </c>
      <c r="M759" s="62" t="str">
        <f aca="false">IF(IsPro,IF($D759="","",IFERROR(INDEX(Items!$F$5:$F$504,U759),0)),"")</f>
        <v/>
      </c>
      <c r="N759" s="61" t="str">
        <f aca="false">IF(IsPro,IF($D759="","",IF(AND(V759&lt;&gt;"",INDEX(Parties!$E$5:$E$304,V759)&lt;&gt;"",INDEX(Parties!$E$5:$E$304,V759)&lt;&gt;HomeState),0,ROUND(L759*M759/2,2))),"")</f>
        <v/>
      </c>
      <c r="O759" s="61" t="str">
        <f aca="false">IF(IsPro,IF($D759="","",N759),"")</f>
        <v/>
      </c>
      <c r="P759" s="61" t="str">
        <f aca="false">IF(IsPro,IF($D759="","",IF(AND(V759&lt;&gt;"",INDEX(Parties!$E$5:$E$304,V759)&lt;&gt;"",INDEX(Parties!$E$5:$E$304,V759)&lt;&gt;HomeState),ROUND(L759*M759,2),0)),"")</f>
        <v/>
      </c>
      <c r="Q759" s="61" t="str">
        <f aca="false">IF(IsPro,IF($D759="","",L759+N759+O759+P759),"")</f>
        <v/>
      </c>
      <c r="R759" s="61" t="str">
        <f aca="false">IF(IsPro,IF($D759="","",ROUND(N($E759)*IFERROR(INDEX(Items!$P$5:$P$504,U759),0),2)),"")</f>
        <v/>
      </c>
      <c r="S759" s="61" t="str">
        <f aca="false">IF(IsPro,IF($D759="","",L759-R759),"")</f>
        <v/>
      </c>
      <c r="T759" s="60" t="str">
        <f aca="false">IF(IsPro,IF($D759="","",IF(U759="","UNKNOWN ITEM",IF(INDEX(Items!$O$5:$O$504,U759)&lt;0,"NEG STOCK",IF(K759&lt;INDEX(Items!$P$5:$P$504,U759),"BELOW COST","OK")))),IF($D759="","","PRO PLAN"))</f>
        <v/>
      </c>
      <c r="U759" s="60" t="str">
        <f aca="false">IF(IsPro,IF($D759="","",IFERROR(MATCH($D759,Items!$A$5:$A$504,0),"")),"")</f>
        <v/>
      </c>
      <c r="V759" s="60" t="str">
        <f aca="false">IF(IsPro,IF($C759="","",IFERROR(MATCH($C759,Parties!$A$5:$A$304,0),"")),"")</f>
        <v/>
      </c>
      <c r="W759" s="60" t="str">
        <f aca="false">IF(IsPro,IF($B759="","",IFERROR(VALUE(SUBSTITUTE($B759,InvPrefix,"")),0)),"")</f>
        <v/>
      </c>
      <c r="X759" s="61" t="str">
        <f aca="false">IF(IsPro,IF($D759="","",IF(OR($H759="",$H759="Credit"),0,Q759)),"")</f>
        <v/>
      </c>
    </row>
    <row r="760" customFormat="false" ht="15" hidden="false" customHeight="false" outlineLevel="0" collapsed="false">
      <c r="A760" s="55"/>
      <c r="B760" s="56"/>
      <c r="C760" s="56"/>
      <c r="D760" s="56"/>
      <c r="E760" s="57"/>
      <c r="F760" s="58"/>
      <c r="G760" s="59"/>
      <c r="H760" s="56"/>
      <c r="I760" s="56"/>
      <c r="J760" s="60" t="str">
        <f aca="false">IF(IsPro,IF($D760="","",IFERROR(INDEX(Items!$D$5:$D$504,U760),"")),"")</f>
        <v/>
      </c>
      <c r="K760" s="61" t="str">
        <f aca="false">IF(IsPro,IF($D760="","",IF($F760="",IFERROR(INDEX(Items!$H$5:$H$504,U760),0),$F760)),"")</f>
        <v/>
      </c>
      <c r="L760" s="61" t="str">
        <f aca="false">IF(IsPro,IF($D760="","",ROUND(N($E760)*K760*(1-N($G760)),2)),"")</f>
        <v/>
      </c>
      <c r="M760" s="62" t="str">
        <f aca="false">IF(IsPro,IF($D760="","",IFERROR(INDEX(Items!$F$5:$F$504,U760),0)),"")</f>
        <v/>
      </c>
      <c r="N760" s="61" t="str">
        <f aca="false">IF(IsPro,IF($D760="","",IF(AND(V760&lt;&gt;"",INDEX(Parties!$E$5:$E$304,V760)&lt;&gt;"",INDEX(Parties!$E$5:$E$304,V760)&lt;&gt;HomeState),0,ROUND(L760*M760/2,2))),"")</f>
        <v/>
      </c>
      <c r="O760" s="61" t="str">
        <f aca="false">IF(IsPro,IF($D760="","",N760),"")</f>
        <v/>
      </c>
      <c r="P760" s="61" t="str">
        <f aca="false">IF(IsPro,IF($D760="","",IF(AND(V760&lt;&gt;"",INDEX(Parties!$E$5:$E$304,V760)&lt;&gt;"",INDEX(Parties!$E$5:$E$304,V760)&lt;&gt;HomeState),ROUND(L760*M760,2),0)),"")</f>
        <v/>
      </c>
      <c r="Q760" s="61" t="str">
        <f aca="false">IF(IsPro,IF($D760="","",L760+N760+O760+P760),"")</f>
        <v/>
      </c>
      <c r="R760" s="61" t="str">
        <f aca="false">IF(IsPro,IF($D760="","",ROUND(N($E760)*IFERROR(INDEX(Items!$P$5:$P$504,U760),0),2)),"")</f>
        <v/>
      </c>
      <c r="S760" s="61" t="str">
        <f aca="false">IF(IsPro,IF($D760="","",L760-R760),"")</f>
        <v/>
      </c>
      <c r="T760" s="60" t="str">
        <f aca="false">IF(IsPro,IF($D760="","",IF(U760="","UNKNOWN ITEM",IF(INDEX(Items!$O$5:$O$504,U760)&lt;0,"NEG STOCK",IF(K760&lt;INDEX(Items!$P$5:$P$504,U760),"BELOW COST","OK")))),IF($D760="","","PRO PLAN"))</f>
        <v/>
      </c>
      <c r="U760" s="60" t="str">
        <f aca="false">IF(IsPro,IF($D760="","",IFERROR(MATCH($D760,Items!$A$5:$A$504,0),"")),"")</f>
        <v/>
      </c>
      <c r="V760" s="60" t="str">
        <f aca="false">IF(IsPro,IF($C760="","",IFERROR(MATCH($C760,Parties!$A$5:$A$304,0),"")),"")</f>
        <v/>
      </c>
      <c r="W760" s="60" t="str">
        <f aca="false">IF(IsPro,IF($B760="","",IFERROR(VALUE(SUBSTITUTE($B760,InvPrefix,"")),0)),"")</f>
        <v/>
      </c>
      <c r="X760" s="61" t="str">
        <f aca="false">IF(IsPro,IF($D760="","",IF(OR($H760="",$H760="Credit"),0,Q760)),"")</f>
        <v/>
      </c>
    </row>
    <row r="761" customFormat="false" ht="15" hidden="false" customHeight="false" outlineLevel="0" collapsed="false">
      <c r="A761" s="55"/>
      <c r="B761" s="56"/>
      <c r="C761" s="56"/>
      <c r="D761" s="56"/>
      <c r="E761" s="57"/>
      <c r="F761" s="58"/>
      <c r="G761" s="59"/>
      <c r="H761" s="56"/>
      <c r="I761" s="56"/>
      <c r="J761" s="60" t="str">
        <f aca="false">IF(IsPro,IF($D761="","",IFERROR(INDEX(Items!$D$5:$D$504,U761),"")),"")</f>
        <v/>
      </c>
      <c r="K761" s="61" t="str">
        <f aca="false">IF(IsPro,IF($D761="","",IF($F761="",IFERROR(INDEX(Items!$H$5:$H$504,U761),0),$F761)),"")</f>
        <v/>
      </c>
      <c r="L761" s="61" t="str">
        <f aca="false">IF(IsPro,IF($D761="","",ROUND(N($E761)*K761*(1-N($G761)),2)),"")</f>
        <v/>
      </c>
      <c r="M761" s="62" t="str">
        <f aca="false">IF(IsPro,IF($D761="","",IFERROR(INDEX(Items!$F$5:$F$504,U761),0)),"")</f>
        <v/>
      </c>
      <c r="N761" s="61" t="str">
        <f aca="false">IF(IsPro,IF($D761="","",IF(AND(V761&lt;&gt;"",INDEX(Parties!$E$5:$E$304,V761)&lt;&gt;"",INDEX(Parties!$E$5:$E$304,V761)&lt;&gt;HomeState),0,ROUND(L761*M761/2,2))),"")</f>
        <v/>
      </c>
      <c r="O761" s="61" t="str">
        <f aca="false">IF(IsPro,IF($D761="","",N761),"")</f>
        <v/>
      </c>
      <c r="P761" s="61" t="str">
        <f aca="false">IF(IsPro,IF($D761="","",IF(AND(V761&lt;&gt;"",INDEX(Parties!$E$5:$E$304,V761)&lt;&gt;"",INDEX(Parties!$E$5:$E$304,V761)&lt;&gt;HomeState),ROUND(L761*M761,2),0)),"")</f>
        <v/>
      </c>
      <c r="Q761" s="61" t="str">
        <f aca="false">IF(IsPro,IF($D761="","",L761+N761+O761+P761),"")</f>
        <v/>
      </c>
      <c r="R761" s="61" t="str">
        <f aca="false">IF(IsPro,IF($D761="","",ROUND(N($E761)*IFERROR(INDEX(Items!$P$5:$P$504,U761),0),2)),"")</f>
        <v/>
      </c>
      <c r="S761" s="61" t="str">
        <f aca="false">IF(IsPro,IF($D761="","",L761-R761),"")</f>
        <v/>
      </c>
      <c r="T761" s="60" t="str">
        <f aca="false">IF(IsPro,IF($D761="","",IF(U761="","UNKNOWN ITEM",IF(INDEX(Items!$O$5:$O$504,U761)&lt;0,"NEG STOCK",IF(K761&lt;INDEX(Items!$P$5:$P$504,U761),"BELOW COST","OK")))),IF($D761="","","PRO PLAN"))</f>
        <v/>
      </c>
      <c r="U761" s="60" t="str">
        <f aca="false">IF(IsPro,IF($D761="","",IFERROR(MATCH($D761,Items!$A$5:$A$504,0),"")),"")</f>
        <v/>
      </c>
      <c r="V761" s="60" t="str">
        <f aca="false">IF(IsPro,IF($C761="","",IFERROR(MATCH($C761,Parties!$A$5:$A$304,0),"")),"")</f>
        <v/>
      </c>
      <c r="W761" s="60" t="str">
        <f aca="false">IF(IsPro,IF($B761="","",IFERROR(VALUE(SUBSTITUTE($B761,InvPrefix,"")),0)),"")</f>
        <v/>
      </c>
      <c r="X761" s="61" t="str">
        <f aca="false">IF(IsPro,IF($D761="","",IF(OR($H761="",$H761="Credit"),0,Q761)),"")</f>
        <v/>
      </c>
    </row>
    <row r="762" customFormat="false" ht="15" hidden="false" customHeight="false" outlineLevel="0" collapsed="false">
      <c r="A762" s="55"/>
      <c r="B762" s="56"/>
      <c r="C762" s="56"/>
      <c r="D762" s="56"/>
      <c r="E762" s="57"/>
      <c r="F762" s="58"/>
      <c r="G762" s="59"/>
      <c r="H762" s="56"/>
      <c r="I762" s="56"/>
      <c r="J762" s="60" t="str">
        <f aca="false">IF(IsPro,IF($D762="","",IFERROR(INDEX(Items!$D$5:$D$504,U762),"")),"")</f>
        <v/>
      </c>
      <c r="K762" s="61" t="str">
        <f aca="false">IF(IsPro,IF($D762="","",IF($F762="",IFERROR(INDEX(Items!$H$5:$H$504,U762),0),$F762)),"")</f>
        <v/>
      </c>
      <c r="L762" s="61" t="str">
        <f aca="false">IF(IsPro,IF($D762="","",ROUND(N($E762)*K762*(1-N($G762)),2)),"")</f>
        <v/>
      </c>
      <c r="M762" s="62" t="str">
        <f aca="false">IF(IsPro,IF($D762="","",IFERROR(INDEX(Items!$F$5:$F$504,U762),0)),"")</f>
        <v/>
      </c>
      <c r="N762" s="61" t="str">
        <f aca="false">IF(IsPro,IF($D762="","",IF(AND(V762&lt;&gt;"",INDEX(Parties!$E$5:$E$304,V762)&lt;&gt;"",INDEX(Parties!$E$5:$E$304,V762)&lt;&gt;HomeState),0,ROUND(L762*M762/2,2))),"")</f>
        <v/>
      </c>
      <c r="O762" s="61" t="str">
        <f aca="false">IF(IsPro,IF($D762="","",N762),"")</f>
        <v/>
      </c>
      <c r="P762" s="61" t="str">
        <f aca="false">IF(IsPro,IF($D762="","",IF(AND(V762&lt;&gt;"",INDEX(Parties!$E$5:$E$304,V762)&lt;&gt;"",INDEX(Parties!$E$5:$E$304,V762)&lt;&gt;HomeState),ROUND(L762*M762,2),0)),"")</f>
        <v/>
      </c>
      <c r="Q762" s="61" t="str">
        <f aca="false">IF(IsPro,IF($D762="","",L762+N762+O762+P762),"")</f>
        <v/>
      </c>
      <c r="R762" s="61" t="str">
        <f aca="false">IF(IsPro,IF($D762="","",ROUND(N($E762)*IFERROR(INDEX(Items!$P$5:$P$504,U762),0),2)),"")</f>
        <v/>
      </c>
      <c r="S762" s="61" t="str">
        <f aca="false">IF(IsPro,IF($D762="","",L762-R762),"")</f>
        <v/>
      </c>
      <c r="T762" s="60" t="str">
        <f aca="false">IF(IsPro,IF($D762="","",IF(U762="","UNKNOWN ITEM",IF(INDEX(Items!$O$5:$O$504,U762)&lt;0,"NEG STOCK",IF(K762&lt;INDEX(Items!$P$5:$P$504,U762),"BELOW COST","OK")))),IF($D762="","","PRO PLAN"))</f>
        <v/>
      </c>
      <c r="U762" s="60" t="str">
        <f aca="false">IF(IsPro,IF($D762="","",IFERROR(MATCH($D762,Items!$A$5:$A$504,0),"")),"")</f>
        <v/>
      </c>
      <c r="V762" s="60" t="str">
        <f aca="false">IF(IsPro,IF($C762="","",IFERROR(MATCH($C762,Parties!$A$5:$A$304,0),"")),"")</f>
        <v/>
      </c>
      <c r="W762" s="60" t="str">
        <f aca="false">IF(IsPro,IF($B762="","",IFERROR(VALUE(SUBSTITUTE($B762,InvPrefix,"")),0)),"")</f>
        <v/>
      </c>
      <c r="X762" s="61" t="str">
        <f aca="false">IF(IsPro,IF($D762="","",IF(OR($H762="",$H762="Credit"),0,Q762)),"")</f>
        <v/>
      </c>
    </row>
    <row r="763" customFormat="false" ht="15" hidden="false" customHeight="false" outlineLevel="0" collapsed="false">
      <c r="A763" s="55"/>
      <c r="B763" s="56"/>
      <c r="C763" s="56"/>
      <c r="D763" s="56"/>
      <c r="E763" s="57"/>
      <c r="F763" s="58"/>
      <c r="G763" s="59"/>
      <c r="H763" s="56"/>
      <c r="I763" s="56"/>
      <c r="J763" s="60" t="str">
        <f aca="false">IF(IsPro,IF($D763="","",IFERROR(INDEX(Items!$D$5:$D$504,U763),"")),"")</f>
        <v/>
      </c>
      <c r="K763" s="61" t="str">
        <f aca="false">IF(IsPro,IF($D763="","",IF($F763="",IFERROR(INDEX(Items!$H$5:$H$504,U763),0),$F763)),"")</f>
        <v/>
      </c>
      <c r="L763" s="61" t="str">
        <f aca="false">IF(IsPro,IF($D763="","",ROUND(N($E763)*K763*(1-N($G763)),2)),"")</f>
        <v/>
      </c>
      <c r="M763" s="62" t="str">
        <f aca="false">IF(IsPro,IF($D763="","",IFERROR(INDEX(Items!$F$5:$F$504,U763),0)),"")</f>
        <v/>
      </c>
      <c r="N763" s="61" t="str">
        <f aca="false">IF(IsPro,IF($D763="","",IF(AND(V763&lt;&gt;"",INDEX(Parties!$E$5:$E$304,V763)&lt;&gt;"",INDEX(Parties!$E$5:$E$304,V763)&lt;&gt;HomeState),0,ROUND(L763*M763/2,2))),"")</f>
        <v/>
      </c>
      <c r="O763" s="61" t="str">
        <f aca="false">IF(IsPro,IF($D763="","",N763),"")</f>
        <v/>
      </c>
      <c r="P763" s="61" t="str">
        <f aca="false">IF(IsPro,IF($D763="","",IF(AND(V763&lt;&gt;"",INDEX(Parties!$E$5:$E$304,V763)&lt;&gt;"",INDEX(Parties!$E$5:$E$304,V763)&lt;&gt;HomeState),ROUND(L763*M763,2),0)),"")</f>
        <v/>
      </c>
      <c r="Q763" s="61" t="str">
        <f aca="false">IF(IsPro,IF($D763="","",L763+N763+O763+P763),"")</f>
        <v/>
      </c>
      <c r="R763" s="61" t="str">
        <f aca="false">IF(IsPro,IF($D763="","",ROUND(N($E763)*IFERROR(INDEX(Items!$P$5:$P$504,U763),0),2)),"")</f>
        <v/>
      </c>
      <c r="S763" s="61" t="str">
        <f aca="false">IF(IsPro,IF($D763="","",L763-R763),"")</f>
        <v/>
      </c>
      <c r="T763" s="60" t="str">
        <f aca="false">IF(IsPro,IF($D763="","",IF(U763="","UNKNOWN ITEM",IF(INDEX(Items!$O$5:$O$504,U763)&lt;0,"NEG STOCK",IF(K763&lt;INDEX(Items!$P$5:$P$504,U763),"BELOW COST","OK")))),IF($D763="","","PRO PLAN"))</f>
        <v/>
      </c>
      <c r="U763" s="60" t="str">
        <f aca="false">IF(IsPro,IF($D763="","",IFERROR(MATCH($D763,Items!$A$5:$A$504,0),"")),"")</f>
        <v/>
      </c>
      <c r="V763" s="60" t="str">
        <f aca="false">IF(IsPro,IF($C763="","",IFERROR(MATCH($C763,Parties!$A$5:$A$304,0),"")),"")</f>
        <v/>
      </c>
      <c r="W763" s="60" t="str">
        <f aca="false">IF(IsPro,IF($B763="","",IFERROR(VALUE(SUBSTITUTE($B763,InvPrefix,"")),0)),"")</f>
        <v/>
      </c>
      <c r="X763" s="61" t="str">
        <f aca="false">IF(IsPro,IF($D763="","",IF(OR($H763="",$H763="Credit"),0,Q763)),"")</f>
        <v/>
      </c>
    </row>
    <row r="764" customFormat="false" ht="15" hidden="false" customHeight="false" outlineLevel="0" collapsed="false">
      <c r="A764" s="55"/>
      <c r="B764" s="56"/>
      <c r="C764" s="56"/>
      <c r="D764" s="56"/>
      <c r="E764" s="57"/>
      <c r="F764" s="58"/>
      <c r="G764" s="59"/>
      <c r="H764" s="56"/>
      <c r="I764" s="56"/>
      <c r="J764" s="60" t="str">
        <f aca="false">IF(IsPro,IF($D764="","",IFERROR(INDEX(Items!$D$5:$D$504,U764),"")),"")</f>
        <v/>
      </c>
      <c r="K764" s="61" t="str">
        <f aca="false">IF(IsPro,IF($D764="","",IF($F764="",IFERROR(INDEX(Items!$H$5:$H$504,U764),0),$F764)),"")</f>
        <v/>
      </c>
      <c r="L764" s="61" t="str">
        <f aca="false">IF(IsPro,IF($D764="","",ROUND(N($E764)*K764*(1-N($G764)),2)),"")</f>
        <v/>
      </c>
      <c r="M764" s="62" t="str">
        <f aca="false">IF(IsPro,IF($D764="","",IFERROR(INDEX(Items!$F$5:$F$504,U764),0)),"")</f>
        <v/>
      </c>
      <c r="N764" s="61" t="str">
        <f aca="false">IF(IsPro,IF($D764="","",IF(AND(V764&lt;&gt;"",INDEX(Parties!$E$5:$E$304,V764)&lt;&gt;"",INDEX(Parties!$E$5:$E$304,V764)&lt;&gt;HomeState),0,ROUND(L764*M764/2,2))),"")</f>
        <v/>
      </c>
      <c r="O764" s="61" t="str">
        <f aca="false">IF(IsPro,IF($D764="","",N764),"")</f>
        <v/>
      </c>
      <c r="P764" s="61" t="str">
        <f aca="false">IF(IsPro,IF($D764="","",IF(AND(V764&lt;&gt;"",INDEX(Parties!$E$5:$E$304,V764)&lt;&gt;"",INDEX(Parties!$E$5:$E$304,V764)&lt;&gt;HomeState),ROUND(L764*M764,2),0)),"")</f>
        <v/>
      </c>
      <c r="Q764" s="61" t="str">
        <f aca="false">IF(IsPro,IF($D764="","",L764+N764+O764+P764),"")</f>
        <v/>
      </c>
      <c r="R764" s="61" t="str">
        <f aca="false">IF(IsPro,IF($D764="","",ROUND(N($E764)*IFERROR(INDEX(Items!$P$5:$P$504,U764),0),2)),"")</f>
        <v/>
      </c>
      <c r="S764" s="61" t="str">
        <f aca="false">IF(IsPro,IF($D764="","",L764-R764),"")</f>
        <v/>
      </c>
      <c r="T764" s="60" t="str">
        <f aca="false">IF(IsPro,IF($D764="","",IF(U764="","UNKNOWN ITEM",IF(INDEX(Items!$O$5:$O$504,U764)&lt;0,"NEG STOCK",IF(K764&lt;INDEX(Items!$P$5:$P$504,U764),"BELOW COST","OK")))),IF($D764="","","PRO PLAN"))</f>
        <v/>
      </c>
      <c r="U764" s="60" t="str">
        <f aca="false">IF(IsPro,IF($D764="","",IFERROR(MATCH($D764,Items!$A$5:$A$504,0),"")),"")</f>
        <v/>
      </c>
      <c r="V764" s="60" t="str">
        <f aca="false">IF(IsPro,IF($C764="","",IFERROR(MATCH($C764,Parties!$A$5:$A$304,0),"")),"")</f>
        <v/>
      </c>
      <c r="W764" s="60" t="str">
        <f aca="false">IF(IsPro,IF($B764="","",IFERROR(VALUE(SUBSTITUTE($B764,InvPrefix,"")),0)),"")</f>
        <v/>
      </c>
      <c r="X764" s="61" t="str">
        <f aca="false">IF(IsPro,IF($D764="","",IF(OR($H764="",$H764="Credit"),0,Q764)),"")</f>
        <v/>
      </c>
    </row>
    <row r="765" customFormat="false" ht="15" hidden="false" customHeight="false" outlineLevel="0" collapsed="false">
      <c r="A765" s="55"/>
      <c r="B765" s="56"/>
      <c r="C765" s="56"/>
      <c r="D765" s="56"/>
      <c r="E765" s="57"/>
      <c r="F765" s="58"/>
      <c r="G765" s="59"/>
      <c r="H765" s="56"/>
      <c r="I765" s="56"/>
      <c r="J765" s="60" t="str">
        <f aca="false">IF(IsPro,IF($D765="","",IFERROR(INDEX(Items!$D$5:$D$504,U765),"")),"")</f>
        <v/>
      </c>
      <c r="K765" s="61" t="str">
        <f aca="false">IF(IsPro,IF($D765="","",IF($F765="",IFERROR(INDEX(Items!$H$5:$H$504,U765),0),$F765)),"")</f>
        <v/>
      </c>
      <c r="L765" s="61" t="str">
        <f aca="false">IF(IsPro,IF($D765="","",ROUND(N($E765)*K765*(1-N($G765)),2)),"")</f>
        <v/>
      </c>
      <c r="M765" s="62" t="str">
        <f aca="false">IF(IsPro,IF($D765="","",IFERROR(INDEX(Items!$F$5:$F$504,U765),0)),"")</f>
        <v/>
      </c>
      <c r="N765" s="61" t="str">
        <f aca="false">IF(IsPro,IF($D765="","",IF(AND(V765&lt;&gt;"",INDEX(Parties!$E$5:$E$304,V765)&lt;&gt;"",INDEX(Parties!$E$5:$E$304,V765)&lt;&gt;HomeState),0,ROUND(L765*M765/2,2))),"")</f>
        <v/>
      </c>
      <c r="O765" s="61" t="str">
        <f aca="false">IF(IsPro,IF($D765="","",N765),"")</f>
        <v/>
      </c>
      <c r="P765" s="61" t="str">
        <f aca="false">IF(IsPro,IF($D765="","",IF(AND(V765&lt;&gt;"",INDEX(Parties!$E$5:$E$304,V765)&lt;&gt;"",INDEX(Parties!$E$5:$E$304,V765)&lt;&gt;HomeState),ROUND(L765*M765,2),0)),"")</f>
        <v/>
      </c>
      <c r="Q765" s="61" t="str">
        <f aca="false">IF(IsPro,IF($D765="","",L765+N765+O765+P765),"")</f>
        <v/>
      </c>
      <c r="R765" s="61" t="str">
        <f aca="false">IF(IsPro,IF($D765="","",ROUND(N($E765)*IFERROR(INDEX(Items!$P$5:$P$504,U765),0),2)),"")</f>
        <v/>
      </c>
      <c r="S765" s="61" t="str">
        <f aca="false">IF(IsPro,IF($D765="","",L765-R765),"")</f>
        <v/>
      </c>
      <c r="T765" s="60" t="str">
        <f aca="false">IF(IsPro,IF($D765="","",IF(U765="","UNKNOWN ITEM",IF(INDEX(Items!$O$5:$O$504,U765)&lt;0,"NEG STOCK",IF(K765&lt;INDEX(Items!$P$5:$P$504,U765),"BELOW COST","OK")))),IF($D765="","","PRO PLAN"))</f>
        <v/>
      </c>
      <c r="U765" s="60" t="str">
        <f aca="false">IF(IsPro,IF($D765="","",IFERROR(MATCH($D765,Items!$A$5:$A$504,0),"")),"")</f>
        <v/>
      </c>
      <c r="V765" s="60" t="str">
        <f aca="false">IF(IsPro,IF($C765="","",IFERROR(MATCH($C765,Parties!$A$5:$A$304,0),"")),"")</f>
        <v/>
      </c>
      <c r="W765" s="60" t="str">
        <f aca="false">IF(IsPro,IF($B765="","",IFERROR(VALUE(SUBSTITUTE($B765,InvPrefix,"")),0)),"")</f>
        <v/>
      </c>
      <c r="X765" s="61" t="str">
        <f aca="false">IF(IsPro,IF($D765="","",IF(OR($H765="",$H765="Credit"),0,Q765)),"")</f>
        <v/>
      </c>
    </row>
    <row r="766" customFormat="false" ht="15" hidden="false" customHeight="false" outlineLevel="0" collapsed="false">
      <c r="A766" s="55"/>
      <c r="B766" s="56"/>
      <c r="C766" s="56"/>
      <c r="D766" s="56"/>
      <c r="E766" s="57"/>
      <c r="F766" s="58"/>
      <c r="G766" s="59"/>
      <c r="H766" s="56"/>
      <c r="I766" s="56"/>
      <c r="J766" s="60" t="str">
        <f aca="false">IF(IsPro,IF($D766="","",IFERROR(INDEX(Items!$D$5:$D$504,U766),"")),"")</f>
        <v/>
      </c>
      <c r="K766" s="61" t="str">
        <f aca="false">IF(IsPro,IF($D766="","",IF($F766="",IFERROR(INDEX(Items!$H$5:$H$504,U766),0),$F766)),"")</f>
        <v/>
      </c>
      <c r="L766" s="61" t="str">
        <f aca="false">IF(IsPro,IF($D766="","",ROUND(N($E766)*K766*(1-N($G766)),2)),"")</f>
        <v/>
      </c>
      <c r="M766" s="62" t="str">
        <f aca="false">IF(IsPro,IF($D766="","",IFERROR(INDEX(Items!$F$5:$F$504,U766),0)),"")</f>
        <v/>
      </c>
      <c r="N766" s="61" t="str">
        <f aca="false">IF(IsPro,IF($D766="","",IF(AND(V766&lt;&gt;"",INDEX(Parties!$E$5:$E$304,V766)&lt;&gt;"",INDEX(Parties!$E$5:$E$304,V766)&lt;&gt;HomeState),0,ROUND(L766*M766/2,2))),"")</f>
        <v/>
      </c>
      <c r="O766" s="61" t="str">
        <f aca="false">IF(IsPro,IF($D766="","",N766),"")</f>
        <v/>
      </c>
      <c r="P766" s="61" t="str">
        <f aca="false">IF(IsPro,IF($D766="","",IF(AND(V766&lt;&gt;"",INDEX(Parties!$E$5:$E$304,V766)&lt;&gt;"",INDEX(Parties!$E$5:$E$304,V766)&lt;&gt;HomeState),ROUND(L766*M766,2),0)),"")</f>
        <v/>
      </c>
      <c r="Q766" s="61" t="str">
        <f aca="false">IF(IsPro,IF($D766="","",L766+N766+O766+P766),"")</f>
        <v/>
      </c>
      <c r="R766" s="61" t="str">
        <f aca="false">IF(IsPro,IF($D766="","",ROUND(N($E766)*IFERROR(INDEX(Items!$P$5:$P$504,U766),0),2)),"")</f>
        <v/>
      </c>
      <c r="S766" s="61" t="str">
        <f aca="false">IF(IsPro,IF($D766="","",L766-R766),"")</f>
        <v/>
      </c>
      <c r="T766" s="60" t="str">
        <f aca="false">IF(IsPro,IF($D766="","",IF(U766="","UNKNOWN ITEM",IF(INDEX(Items!$O$5:$O$504,U766)&lt;0,"NEG STOCK",IF(K766&lt;INDEX(Items!$P$5:$P$504,U766),"BELOW COST","OK")))),IF($D766="","","PRO PLAN"))</f>
        <v/>
      </c>
      <c r="U766" s="60" t="str">
        <f aca="false">IF(IsPro,IF($D766="","",IFERROR(MATCH($D766,Items!$A$5:$A$504,0),"")),"")</f>
        <v/>
      </c>
      <c r="V766" s="60" t="str">
        <f aca="false">IF(IsPro,IF($C766="","",IFERROR(MATCH($C766,Parties!$A$5:$A$304,0),"")),"")</f>
        <v/>
      </c>
      <c r="W766" s="60" t="str">
        <f aca="false">IF(IsPro,IF($B766="","",IFERROR(VALUE(SUBSTITUTE($B766,InvPrefix,"")),0)),"")</f>
        <v/>
      </c>
      <c r="X766" s="61" t="str">
        <f aca="false">IF(IsPro,IF($D766="","",IF(OR($H766="",$H766="Credit"),0,Q766)),"")</f>
        <v/>
      </c>
    </row>
    <row r="767" customFormat="false" ht="15" hidden="false" customHeight="false" outlineLevel="0" collapsed="false">
      <c r="A767" s="55"/>
      <c r="B767" s="56"/>
      <c r="C767" s="56"/>
      <c r="D767" s="56"/>
      <c r="E767" s="57"/>
      <c r="F767" s="58"/>
      <c r="G767" s="59"/>
      <c r="H767" s="56"/>
      <c r="I767" s="56"/>
      <c r="J767" s="60" t="str">
        <f aca="false">IF(IsPro,IF($D767="","",IFERROR(INDEX(Items!$D$5:$D$504,U767),"")),"")</f>
        <v/>
      </c>
      <c r="K767" s="61" t="str">
        <f aca="false">IF(IsPro,IF($D767="","",IF($F767="",IFERROR(INDEX(Items!$H$5:$H$504,U767),0),$F767)),"")</f>
        <v/>
      </c>
      <c r="L767" s="61" t="str">
        <f aca="false">IF(IsPro,IF($D767="","",ROUND(N($E767)*K767*(1-N($G767)),2)),"")</f>
        <v/>
      </c>
      <c r="M767" s="62" t="str">
        <f aca="false">IF(IsPro,IF($D767="","",IFERROR(INDEX(Items!$F$5:$F$504,U767),0)),"")</f>
        <v/>
      </c>
      <c r="N767" s="61" t="str">
        <f aca="false">IF(IsPro,IF($D767="","",IF(AND(V767&lt;&gt;"",INDEX(Parties!$E$5:$E$304,V767)&lt;&gt;"",INDEX(Parties!$E$5:$E$304,V767)&lt;&gt;HomeState),0,ROUND(L767*M767/2,2))),"")</f>
        <v/>
      </c>
      <c r="O767" s="61" t="str">
        <f aca="false">IF(IsPro,IF($D767="","",N767),"")</f>
        <v/>
      </c>
      <c r="P767" s="61" t="str">
        <f aca="false">IF(IsPro,IF($D767="","",IF(AND(V767&lt;&gt;"",INDEX(Parties!$E$5:$E$304,V767)&lt;&gt;"",INDEX(Parties!$E$5:$E$304,V767)&lt;&gt;HomeState),ROUND(L767*M767,2),0)),"")</f>
        <v/>
      </c>
      <c r="Q767" s="61" t="str">
        <f aca="false">IF(IsPro,IF($D767="","",L767+N767+O767+P767),"")</f>
        <v/>
      </c>
      <c r="R767" s="61" t="str">
        <f aca="false">IF(IsPro,IF($D767="","",ROUND(N($E767)*IFERROR(INDEX(Items!$P$5:$P$504,U767),0),2)),"")</f>
        <v/>
      </c>
      <c r="S767" s="61" t="str">
        <f aca="false">IF(IsPro,IF($D767="","",L767-R767),"")</f>
        <v/>
      </c>
      <c r="T767" s="60" t="str">
        <f aca="false">IF(IsPro,IF($D767="","",IF(U767="","UNKNOWN ITEM",IF(INDEX(Items!$O$5:$O$504,U767)&lt;0,"NEG STOCK",IF(K767&lt;INDEX(Items!$P$5:$P$504,U767),"BELOW COST","OK")))),IF($D767="","","PRO PLAN"))</f>
        <v/>
      </c>
      <c r="U767" s="60" t="str">
        <f aca="false">IF(IsPro,IF($D767="","",IFERROR(MATCH($D767,Items!$A$5:$A$504,0),"")),"")</f>
        <v/>
      </c>
      <c r="V767" s="60" t="str">
        <f aca="false">IF(IsPro,IF($C767="","",IFERROR(MATCH($C767,Parties!$A$5:$A$304,0),"")),"")</f>
        <v/>
      </c>
      <c r="W767" s="60" t="str">
        <f aca="false">IF(IsPro,IF($B767="","",IFERROR(VALUE(SUBSTITUTE($B767,InvPrefix,"")),0)),"")</f>
        <v/>
      </c>
      <c r="X767" s="61" t="str">
        <f aca="false">IF(IsPro,IF($D767="","",IF(OR($H767="",$H767="Credit"),0,Q767)),"")</f>
        <v/>
      </c>
    </row>
    <row r="768" customFormat="false" ht="15" hidden="false" customHeight="false" outlineLevel="0" collapsed="false">
      <c r="A768" s="55"/>
      <c r="B768" s="56"/>
      <c r="C768" s="56"/>
      <c r="D768" s="56"/>
      <c r="E768" s="57"/>
      <c r="F768" s="58"/>
      <c r="G768" s="59"/>
      <c r="H768" s="56"/>
      <c r="I768" s="56"/>
      <c r="J768" s="60" t="str">
        <f aca="false">IF(IsPro,IF($D768="","",IFERROR(INDEX(Items!$D$5:$D$504,U768),"")),"")</f>
        <v/>
      </c>
      <c r="K768" s="61" t="str">
        <f aca="false">IF(IsPro,IF($D768="","",IF($F768="",IFERROR(INDEX(Items!$H$5:$H$504,U768),0),$F768)),"")</f>
        <v/>
      </c>
      <c r="L768" s="61" t="str">
        <f aca="false">IF(IsPro,IF($D768="","",ROUND(N($E768)*K768*(1-N($G768)),2)),"")</f>
        <v/>
      </c>
      <c r="M768" s="62" t="str">
        <f aca="false">IF(IsPro,IF($D768="","",IFERROR(INDEX(Items!$F$5:$F$504,U768),0)),"")</f>
        <v/>
      </c>
      <c r="N768" s="61" t="str">
        <f aca="false">IF(IsPro,IF($D768="","",IF(AND(V768&lt;&gt;"",INDEX(Parties!$E$5:$E$304,V768)&lt;&gt;"",INDEX(Parties!$E$5:$E$304,V768)&lt;&gt;HomeState),0,ROUND(L768*M768/2,2))),"")</f>
        <v/>
      </c>
      <c r="O768" s="61" t="str">
        <f aca="false">IF(IsPro,IF($D768="","",N768),"")</f>
        <v/>
      </c>
      <c r="P768" s="61" t="str">
        <f aca="false">IF(IsPro,IF($D768="","",IF(AND(V768&lt;&gt;"",INDEX(Parties!$E$5:$E$304,V768)&lt;&gt;"",INDEX(Parties!$E$5:$E$304,V768)&lt;&gt;HomeState),ROUND(L768*M768,2),0)),"")</f>
        <v/>
      </c>
      <c r="Q768" s="61" t="str">
        <f aca="false">IF(IsPro,IF($D768="","",L768+N768+O768+P768),"")</f>
        <v/>
      </c>
      <c r="R768" s="61" t="str">
        <f aca="false">IF(IsPro,IF($D768="","",ROUND(N($E768)*IFERROR(INDEX(Items!$P$5:$P$504,U768),0),2)),"")</f>
        <v/>
      </c>
      <c r="S768" s="61" t="str">
        <f aca="false">IF(IsPro,IF($D768="","",L768-R768),"")</f>
        <v/>
      </c>
      <c r="T768" s="60" t="str">
        <f aca="false">IF(IsPro,IF($D768="","",IF(U768="","UNKNOWN ITEM",IF(INDEX(Items!$O$5:$O$504,U768)&lt;0,"NEG STOCK",IF(K768&lt;INDEX(Items!$P$5:$P$504,U768),"BELOW COST","OK")))),IF($D768="","","PRO PLAN"))</f>
        <v/>
      </c>
      <c r="U768" s="60" t="str">
        <f aca="false">IF(IsPro,IF($D768="","",IFERROR(MATCH($D768,Items!$A$5:$A$504,0),"")),"")</f>
        <v/>
      </c>
      <c r="V768" s="60" t="str">
        <f aca="false">IF(IsPro,IF($C768="","",IFERROR(MATCH($C768,Parties!$A$5:$A$304,0),"")),"")</f>
        <v/>
      </c>
      <c r="W768" s="60" t="str">
        <f aca="false">IF(IsPro,IF($B768="","",IFERROR(VALUE(SUBSTITUTE($B768,InvPrefix,"")),0)),"")</f>
        <v/>
      </c>
      <c r="X768" s="61" t="str">
        <f aca="false">IF(IsPro,IF($D768="","",IF(OR($H768="",$H768="Credit"),0,Q768)),"")</f>
        <v/>
      </c>
    </row>
    <row r="769" customFormat="false" ht="15" hidden="false" customHeight="false" outlineLevel="0" collapsed="false">
      <c r="A769" s="55"/>
      <c r="B769" s="56"/>
      <c r="C769" s="56"/>
      <c r="D769" s="56"/>
      <c r="E769" s="57"/>
      <c r="F769" s="58"/>
      <c r="G769" s="59"/>
      <c r="H769" s="56"/>
      <c r="I769" s="56"/>
      <c r="J769" s="60" t="str">
        <f aca="false">IF(IsPro,IF($D769="","",IFERROR(INDEX(Items!$D$5:$D$504,U769),"")),"")</f>
        <v/>
      </c>
      <c r="K769" s="61" t="str">
        <f aca="false">IF(IsPro,IF($D769="","",IF($F769="",IFERROR(INDEX(Items!$H$5:$H$504,U769),0),$F769)),"")</f>
        <v/>
      </c>
      <c r="L769" s="61" t="str">
        <f aca="false">IF(IsPro,IF($D769="","",ROUND(N($E769)*K769*(1-N($G769)),2)),"")</f>
        <v/>
      </c>
      <c r="M769" s="62" t="str">
        <f aca="false">IF(IsPro,IF($D769="","",IFERROR(INDEX(Items!$F$5:$F$504,U769),0)),"")</f>
        <v/>
      </c>
      <c r="N769" s="61" t="str">
        <f aca="false">IF(IsPro,IF($D769="","",IF(AND(V769&lt;&gt;"",INDEX(Parties!$E$5:$E$304,V769)&lt;&gt;"",INDEX(Parties!$E$5:$E$304,V769)&lt;&gt;HomeState),0,ROUND(L769*M769/2,2))),"")</f>
        <v/>
      </c>
      <c r="O769" s="61" t="str">
        <f aca="false">IF(IsPro,IF($D769="","",N769),"")</f>
        <v/>
      </c>
      <c r="P769" s="61" t="str">
        <f aca="false">IF(IsPro,IF($D769="","",IF(AND(V769&lt;&gt;"",INDEX(Parties!$E$5:$E$304,V769)&lt;&gt;"",INDEX(Parties!$E$5:$E$304,V769)&lt;&gt;HomeState),ROUND(L769*M769,2),0)),"")</f>
        <v/>
      </c>
      <c r="Q769" s="61" t="str">
        <f aca="false">IF(IsPro,IF($D769="","",L769+N769+O769+P769),"")</f>
        <v/>
      </c>
      <c r="R769" s="61" t="str">
        <f aca="false">IF(IsPro,IF($D769="","",ROUND(N($E769)*IFERROR(INDEX(Items!$P$5:$P$504,U769),0),2)),"")</f>
        <v/>
      </c>
      <c r="S769" s="61" t="str">
        <f aca="false">IF(IsPro,IF($D769="","",L769-R769),"")</f>
        <v/>
      </c>
      <c r="T769" s="60" t="str">
        <f aca="false">IF(IsPro,IF($D769="","",IF(U769="","UNKNOWN ITEM",IF(INDEX(Items!$O$5:$O$504,U769)&lt;0,"NEG STOCK",IF(K769&lt;INDEX(Items!$P$5:$P$504,U769),"BELOW COST","OK")))),IF($D769="","","PRO PLAN"))</f>
        <v/>
      </c>
      <c r="U769" s="60" t="str">
        <f aca="false">IF(IsPro,IF($D769="","",IFERROR(MATCH($D769,Items!$A$5:$A$504,0),"")),"")</f>
        <v/>
      </c>
      <c r="V769" s="60" t="str">
        <f aca="false">IF(IsPro,IF($C769="","",IFERROR(MATCH($C769,Parties!$A$5:$A$304,0),"")),"")</f>
        <v/>
      </c>
      <c r="W769" s="60" t="str">
        <f aca="false">IF(IsPro,IF($B769="","",IFERROR(VALUE(SUBSTITUTE($B769,InvPrefix,"")),0)),"")</f>
        <v/>
      </c>
      <c r="X769" s="61" t="str">
        <f aca="false">IF(IsPro,IF($D769="","",IF(OR($H769="",$H769="Credit"),0,Q769)),"")</f>
        <v/>
      </c>
    </row>
    <row r="770" customFormat="false" ht="15" hidden="false" customHeight="false" outlineLevel="0" collapsed="false">
      <c r="A770" s="55"/>
      <c r="B770" s="56"/>
      <c r="C770" s="56"/>
      <c r="D770" s="56"/>
      <c r="E770" s="57"/>
      <c r="F770" s="58"/>
      <c r="G770" s="59"/>
      <c r="H770" s="56"/>
      <c r="I770" s="56"/>
      <c r="J770" s="60" t="str">
        <f aca="false">IF(IsPro,IF($D770="","",IFERROR(INDEX(Items!$D$5:$D$504,U770),"")),"")</f>
        <v/>
      </c>
      <c r="K770" s="61" t="str">
        <f aca="false">IF(IsPro,IF($D770="","",IF($F770="",IFERROR(INDEX(Items!$H$5:$H$504,U770),0),$F770)),"")</f>
        <v/>
      </c>
      <c r="L770" s="61" t="str">
        <f aca="false">IF(IsPro,IF($D770="","",ROUND(N($E770)*K770*(1-N($G770)),2)),"")</f>
        <v/>
      </c>
      <c r="M770" s="62" t="str">
        <f aca="false">IF(IsPro,IF($D770="","",IFERROR(INDEX(Items!$F$5:$F$504,U770),0)),"")</f>
        <v/>
      </c>
      <c r="N770" s="61" t="str">
        <f aca="false">IF(IsPro,IF($D770="","",IF(AND(V770&lt;&gt;"",INDEX(Parties!$E$5:$E$304,V770)&lt;&gt;"",INDEX(Parties!$E$5:$E$304,V770)&lt;&gt;HomeState),0,ROUND(L770*M770/2,2))),"")</f>
        <v/>
      </c>
      <c r="O770" s="61" t="str">
        <f aca="false">IF(IsPro,IF($D770="","",N770),"")</f>
        <v/>
      </c>
      <c r="P770" s="61" t="str">
        <f aca="false">IF(IsPro,IF($D770="","",IF(AND(V770&lt;&gt;"",INDEX(Parties!$E$5:$E$304,V770)&lt;&gt;"",INDEX(Parties!$E$5:$E$304,V770)&lt;&gt;HomeState),ROUND(L770*M770,2),0)),"")</f>
        <v/>
      </c>
      <c r="Q770" s="61" t="str">
        <f aca="false">IF(IsPro,IF($D770="","",L770+N770+O770+P770),"")</f>
        <v/>
      </c>
      <c r="R770" s="61" t="str">
        <f aca="false">IF(IsPro,IF($D770="","",ROUND(N($E770)*IFERROR(INDEX(Items!$P$5:$P$504,U770),0),2)),"")</f>
        <v/>
      </c>
      <c r="S770" s="61" t="str">
        <f aca="false">IF(IsPro,IF($D770="","",L770-R770),"")</f>
        <v/>
      </c>
      <c r="T770" s="60" t="str">
        <f aca="false">IF(IsPro,IF($D770="","",IF(U770="","UNKNOWN ITEM",IF(INDEX(Items!$O$5:$O$504,U770)&lt;0,"NEG STOCK",IF(K770&lt;INDEX(Items!$P$5:$P$504,U770),"BELOW COST","OK")))),IF($D770="","","PRO PLAN"))</f>
        <v/>
      </c>
      <c r="U770" s="60" t="str">
        <f aca="false">IF(IsPro,IF($D770="","",IFERROR(MATCH($D770,Items!$A$5:$A$504,0),"")),"")</f>
        <v/>
      </c>
      <c r="V770" s="60" t="str">
        <f aca="false">IF(IsPro,IF($C770="","",IFERROR(MATCH($C770,Parties!$A$5:$A$304,0),"")),"")</f>
        <v/>
      </c>
      <c r="W770" s="60" t="str">
        <f aca="false">IF(IsPro,IF($B770="","",IFERROR(VALUE(SUBSTITUTE($B770,InvPrefix,"")),0)),"")</f>
        <v/>
      </c>
      <c r="X770" s="61" t="str">
        <f aca="false">IF(IsPro,IF($D770="","",IF(OR($H770="",$H770="Credit"),0,Q770)),"")</f>
        <v/>
      </c>
    </row>
    <row r="771" customFormat="false" ht="15" hidden="false" customHeight="false" outlineLevel="0" collapsed="false">
      <c r="A771" s="55"/>
      <c r="B771" s="56"/>
      <c r="C771" s="56"/>
      <c r="D771" s="56"/>
      <c r="E771" s="57"/>
      <c r="F771" s="58"/>
      <c r="G771" s="59"/>
      <c r="H771" s="56"/>
      <c r="I771" s="56"/>
      <c r="J771" s="60" t="str">
        <f aca="false">IF(IsPro,IF($D771="","",IFERROR(INDEX(Items!$D$5:$D$504,U771),"")),"")</f>
        <v/>
      </c>
      <c r="K771" s="61" t="str">
        <f aca="false">IF(IsPro,IF($D771="","",IF($F771="",IFERROR(INDEX(Items!$H$5:$H$504,U771),0),$F771)),"")</f>
        <v/>
      </c>
      <c r="L771" s="61" t="str">
        <f aca="false">IF(IsPro,IF($D771="","",ROUND(N($E771)*K771*(1-N($G771)),2)),"")</f>
        <v/>
      </c>
      <c r="M771" s="62" t="str">
        <f aca="false">IF(IsPro,IF($D771="","",IFERROR(INDEX(Items!$F$5:$F$504,U771),0)),"")</f>
        <v/>
      </c>
      <c r="N771" s="61" t="str">
        <f aca="false">IF(IsPro,IF($D771="","",IF(AND(V771&lt;&gt;"",INDEX(Parties!$E$5:$E$304,V771)&lt;&gt;"",INDEX(Parties!$E$5:$E$304,V771)&lt;&gt;HomeState),0,ROUND(L771*M771/2,2))),"")</f>
        <v/>
      </c>
      <c r="O771" s="61" t="str">
        <f aca="false">IF(IsPro,IF($D771="","",N771),"")</f>
        <v/>
      </c>
      <c r="P771" s="61" t="str">
        <f aca="false">IF(IsPro,IF($D771="","",IF(AND(V771&lt;&gt;"",INDEX(Parties!$E$5:$E$304,V771)&lt;&gt;"",INDEX(Parties!$E$5:$E$304,V771)&lt;&gt;HomeState),ROUND(L771*M771,2),0)),"")</f>
        <v/>
      </c>
      <c r="Q771" s="61" t="str">
        <f aca="false">IF(IsPro,IF($D771="","",L771+N771+O771+P771),"")</f>
        <v/>
      </c>
      <c r="R771" s="61" t="str">
        <f aca="false">IF(IsPro,IF($D771="","",ROUND(N($E771)*IFERROR(INDEX(Items!$P$5:$P$504,U771),0),2)),"")</f>
        <v/>
      </c>
      <c r="S771" s="61" t="str">
        <f aca="false">IF(IsPro,IF($D771="","",L771-R771),"")</f>
        <v/>
      </c>
      <c r="T771" s="60" t="str">
        <f aca="false">IF(IsPro,IF($D771="","",IF(U771="","UNKNOWN ITEM",IF(INDEX(Items!$O$5:$O$504,U771)&lt;0,"NEG STOCK",IF(K771&lt;INDEX(Items!$P$5:$P$504,U771),"BELOW COST","OK")))),IF($D771="","","PRO PLAN"))</f>
        <v/>
      </c>
      <c r="U771" s="60" t="str">
        <f aca="false">IF(IsPro,IF($D771="","",IFERROR(MATCH($D771,Items!$A$5:$A$504,0),"")),"")</f>
        <v/>
      </c>
      <c r="V771" s="60" t="str">
        <f aca="false">IF(IsPro,IF($C771="","",IFERROR(MATCH($C771,Parties!$A$5:$A$304,0),"")),"")</f>
        <v/>
      </c>
      <c r="W771" s="60" t="str">
        <f aca="false">IF(IsPro,IF($B771="","",IFERROR(VALUE(SUBSTITUTE($B771,InvPrefix,"")),0)),"")</f>
        <v/>
      </c>
      <c r="X771" s="61" t="str">
        <f aca="false">IF(IsPro,IF($D771="","",IF(OR($H771="",$H771="Credit"),0,Q771)),"")</f>
        <v/>
      </c>
    </row>
    <row r="772" customFormat="false" ht="15" hidden="false" customHeight="false" outlineLevel="0" collapsed="false">
      <c r="A772" s="55"/>
      <c r="B772" s="56"/>
      <c r="C772" s="56"/>
      <c r="D772" s="56"/>
      <c r="E772" s="57"/>
      <c r="F772" s="58"/>
      <c r="G772" s="59"/>
      <c r="H772" s="56"/>
      <c r="I772" s="56"/>
      <c r="J772" s="60" t="str">
        <f aca="false">IF(IsPro,IF($D772="","",IFERROR(INDEX(Items!$D$5:$D$504,U772),"")),"")</f>
        <v/>
      </c>
      <c r="K772" s="61" t="str">
        <f aca="false">IF(IsPro,IF($D772="","",IF($F772="",IFERROR(INDEX(Items!$H$5:$H$504,U772),0),$F772)),"")</f>
        <v/>
      </c>
      <c r="L772" s="61" t="str">
        <f aca="false">IF(IsPro,IF($D772="","",ROUND(N($E772)*K772*(1-N($G772)),2)),"")</f>
        <v/>
      </c>
      <c r="M772" s="62" t="str">
        <f aca="false">IF(IsPro,IF($D772="","",IFERROR(INDEX(Items!$F$5:$F$504,U772),0)),"")</f>
        <v/>
      </c>
      <c r="N772" s="61" t="str">
        <f aca="false">IF(IsPro,IF($D772="","",IF(AND(V772&lt;&gt;"",INDEX(Parties!$E$5:$E$304,V772)&lt;&gt;"",INDEX(Parties!$E$5:$E$304,V772)&lt;&gt;HomeState),0,ROUND(L772*M772/2,2))),"")</f>
        <v/>
      </c>
      <c r="O772" s="61" t="str">
        <f aca="false">IF(IsPro,IF($D772="","",N772),"")</f>
        <v/>
      </c>
      <c r="P772" s="61" t="str">
        <f aca="false">IF(IsPro,IF($D772="","",IF(AND(V772&lt;&gt;"",INDEX(Parties!$E$5:$E$304,V772)&lt;&gt;"",INDEX(Parties!$E$5:$E$304,V772)&lt;&gt;HomeState),ROUND(L772*M772,2),0)),"")</f>
        <v/>
      </c>
      <c r="Q772" s="61" t="str">
        <f aca="false">IF(IsPro,IF($D772="","",L772+N772+O772+P772),"")</f>
        <v/>
      </c>
      <c r="R772" s="61" t="str">
        <f aca="false">IF(IsPro,IF($D772="","",ROUND(N($E772)*IFERROR(INDEX(Items!$P$5:$P$504,U772),0),2)),"")</f>
        <v/>
      </c>
      <c r="S772" s="61" t="str">
        <f aca="false">IF(IsPro,IF($D772="","",L772-R772),"")</f>
        <v/>
      </c>
      <c r="T772" s="60" t="str">
        <f aca="false">IF(IsPro,IF($D772="","",IF(U772="","UNKNOWN ITEM",IF(INDEX(Items!$O$5:$O$504,U772)&lt;0,"NEG STOCK",IF(K772&lt;INDEX(Items!$P$5:$P$504,U772),"BELOW COST","OK")))),IF($D772="","","PRO PLAN"))</f>
        <v/>
      </c>
      <c r="U772" s="60" t="str">
        <f aca="false">IF(IsPro,IF($D772="","",IFERROR(MATCH($D772,Items!$A$5:$A$504,0),"")),"")</f>
        <v/>
      </c>
      <c r="V772" s="60" t="str">
        <f aca="false">IF(IsPro,IF($C772="","",IFERROR(MATCH($C772,Parties!$A$5:$A$304,0),"")),"")</f>
        <v/>
      </c>
      <c r="W772" s="60" t="str">
        <f aca="false">IF(IsPro,IF($B772="","",IFERROR(VALUE(SUBSTITUTE($B772,InvPrefix,"")),0)),"")</f>
        <v/>
      </c>
      <c r="X772" s="61" t="str">
        <f aca="false">IF(IsPro,IF($D772="","",IF(OR($H772="",$H772="Credit"),0,Q772)),"")</f>
        <v/>
      </c>
    </row>
    <row r="773" customFormat="false" ht="15" hidden="false" customHeight="false" outlineLevel="0" collapsed="false">
      <c r="A773" s="55"/>
      <c r="B773" s="56"/>
      <c r="C773" s="56"/>
      <c r="D773" s="56"/>
      <c r="E773" s="57"/>
      <c r="F773" s="58"/>
      <c r="G773" s="59"/>
      <c r="H773" s="56"/>
      <c r="I773" s="56"/>
      <c r="J773" s="60" t="str">
        <f aca="false">IF(IsPro,IF($D773="","",IFERROR(INDEX(Items!$D$5:$D$504,U773),"")),"")</f>
        <v/>
      </c>
      <c r="K773" s="61" t="str">
        <f aca="false">IF(IsPro,IF($D773="","",IF($F773="",IFERROR(INDEX(Items!$H$5:$H$504,U773),0),$F773)),"")</f>
        <v/>
      </c>
      <c r="L773" s="61" t="str">
        <f aca="false">IF(IsPro,IF($D773="","",ROUND(N($E773)*K773*(1-N($G773)),2)),"")</f>
        <v/>
      </c>
      <c r="M773" s="62" t="str">
        <f aca="false">IF(IsPro,IF($D773="","",IFERROR(INDEX(Items!$F$5:$F$504,U773),0)),"")</f>
        <v/>
      </c>
      <c r="N773" s="61" t="str">
        <f aca="false">IF(IsPro,IF($D773="","",IF(AND(V773&lt;&gt;"",INDEX(Parties!$E$5:$E$304,V773)&lt;&gt;"",INDEX(Parties!$E$5:$E$304,V773)&lt;&gt;HomeState),0,ROUND(L773*M773/2,2))),"")</f>
        <v/>
      </c>
      <c r="O773" s="61" t="str">
        <f aca="false">IF(IsPro,IF($D773="","",N773),"")</f>
        <v/>
      </c>
      <c r="P773" s="61" t="str">
        <f aca="false">IF(IsPro,IF($D773="","",IF(AND(V773&lt;&gt;"",INDEX(Parties!$E$5:$E$304,V773)&lt;&gt;"",INDEX(Parties!$E$5:$E$304,V773)&lt;&gt;HomeState),ROUND(L773*M773,2),0)),"")</f>
        <v/>
      </c>
      <c r="Q773" s="61" t="str">
        <f aca="false">IF(IsPro,IF($D773="","",L773+N773+O773+P773),"")</f>
        <v/>
      </c>
      <c r="R773" s="61" t="str">
        <f aca="false">IF(IsPro,IF($D773="","",ROUND(N($E773)*IFERROR(INDEX(Items!$P$5:$P$504,U773),0),2)),"")</f>
        <v/>
      </c>
      <c r="S773" s="61" t="str">
        <f aca="false">IF(IsPro,IF($D773="","",L773-R773),"")</f>
        <v/>
      </c>
      <c r="T773" s="60" t="str">
        <f aca="false">IF(IsPro,IF($D773="","",IF(U773="","UNKNOWN ITEM",IF(INDEX(Items!$O$5:$O$504,U773)&lt;0,"NEG STOCK",IF(K773&lt;INDEX(Items!$P$5:$P$504,U773),"BELOW COST","OK")))),IF($D773="","","PRO PLAN"))</f>
        <v/>
      </c>
      <c r="U773" s="60" t="str">
        <f aca="false">IF(IsPro,IF($D773="","",IFERROR(MATCH($D773,Items!$A$5:$A$504,0),"")),"")</f>
        <v/>
      </c>
      <c r="V773" s="60" t="str">
        <f aca="false">IF(IsPro,IF($C773="","",IFERROR(MATCH($C773,Parties!$A$5:$A$304,0),"")),"")</f>
        <v/>
      </c>
      <c r="W773" s="60" t="str">
        <f aca="false">IF(IsPro,IF($B773="","",IFERROR(VALUE(SUBSTITUTE($B773,InvPrefix,"")),0)),"")</f>
        <v/>
      </c>
      <c r="X773" s="61" t="str">
        <f aca="false">IF(IsPro,IF($D773="","",IF(OR($H773="",$H773="Credit"),0,Q773)),"")</f>
        <v/>
      </c>
    </row>
    <row r="774" customFormat="false" ht="15" hidden="false" customHeight="false" outlineLevel="0" collapsed="false">
      <c r="A774" s="55"/>
      <c r="B774" s="56"/>
      <c r="C774" s="56"/>
      <c r="D774" s="56"/>
      <c r="E774" s="57"/>
      <c r="F774" s="58"/>
      <c r="G774" s="59"/>
      <c r="H774" s="56"/>
      <c r="I774" s="56"/>
      <c r="J774" s="60" t="str">
        <f aca="false">IF(IsPro,IF($D774="","",IFERROR(INDEX(Items!$D$5:$D$504,U774),"")),"")</f>
        <v/>
      </c>
      <c r="K774" s="61" t="str">
        <f aca="false">IF(IsPro,IF($D774="","",IF($F774="",IFERROR(INDEX(Items!$H$5:$H$504,U774),0),$F774)),"")</f>
        <v/>
      </c>
      <c r="L774" s="61" t="str">
        <f aca="false">IF(IsPro,IF($D774="","",ROUND(N($E774)*K774*(1-N($G774)),2)),"")</f>
        <v/>
      </c>
      <c r="M774" s="62" t="str">
        <f aca="false">IF(IsPro,IF($D774="","",IFERROR(INDEX(Items!$F$5:$F$504,U774),0)),"")</f>
        <v/>
      </c>
      <c r="N774" s="61" t="str">
        <f aca="false">IF(IsPro,IF($D774="","",IF(AND(V774&lt;&gt;"",INDEX(Parties!$E$5:$E$304,V774)&lt;&gt;"",INDEX(Parties!$E$5:$E$304,V774)&lt;&gt;HomeState),0,ROUND(L774*M774/2,2))),"")</f>
        <v/>
      </c>
      <c r="O774" s="61" t="str">
        <f aca="false">IF(IsPro,IF($D774="","",N774),"")</f>
        <v/>
      </c>
      <c r="P774" s="61" t="str">
        <f aca="false">IF(IsPro,IF($D774="","",IF(AND(V774&lt;&gt;"",INDEX(Parties!$E$5:$E$304,V774)&lt;&gt;"",INDEX(Parties!$E$5:$E$304,V774)&lt;&gt;HomeState),ROUND(L774*M774,2),0)),"")</f>
        <v/>
      </c>
      <c r="Q774" s="61" t="str">
        <f aca="false">IF(IsPro,IF($D774="","",L774+N774+O774+P774),"")</f>
        <v/>
      </c>
      <c r="R774" s="61" t="str">
        <f aca="false">IF(IsPro,IF($D774="","",ROUND(N($E774)*IFERROR(INDEX(Items!$P$5:$P$504,U774),0),2)),"")</f>
        <v/>
      </c>
      <c r="S774" s="61" t="str">
        <f aca="false">IF(IsPro,IF($D774="","",L774-R774),"")</f>
        <v/>
      </c>
      <c r="T774" s="60" t="str">
        <f aca="false">IF(IsPro,IF($D774="","",IF(U774="","UNKNOWN ITEM",IF(INDEX(Items!$O$5:$O$504,U774)&lt;0,"NEG STOCK",IF(K774&lt;INDEX(Items!$P$5:$P$504,U774),"BELOW COST","OK")))),IF($D774="","","PRO PLAN"))</f>
        <v/>
      </c>
      <c r="U774" s="60" t="str">
        <f aca="false">IF(IsPro,IF($D774="","",IFERROR(MATCH($D774,Items!$A$5:$A$504,0),"")),"")</f>
        <v/>
      </c>
      <c r="V774" s="60" t="str">
        <f aca="false">IF(IsPro,IF($C774="","",IFERROR(MATCH($C774,Parties!$A$5:$A$304,0),"")),"")</f>
        <v/>
      </c>
      <c r="W774" s="60" t="str">
        <f aca="false">IF(IsPro,IF($B774="","",IFERROR(VALUE(SUBSTITUTE($B774,InvPrefix,"")),0)),"")</f>
        <v/>
      </c>
      <c r="X774" s="61" t="str">
        <f aca="false">IF(IsPro,IF($D774="","",IF(OR($H774="",$H774="Credit"),0,Q774)),"")</f>
        <v/>
      </c>
    </row>
    <row r="775" customFormat="false" ht="15" hidden="false" customHeight="false" outlineLevel="0" collapsed="false">
      <c r="A775" s="55"/>
      <c r="B775" s="56"/>
      <c r="C775" s="56"/>
      <c r="D775" s="56"/>
      <c r="E775" s="57"/>
      <c r="F775" s="58"/>
      <c r="G775" s="59"/>
      <c r="H775" s="56"/>
      <c r="I775" s="56"/>
      <c r="J775" s="60" t="str">
        <f aca="false">IF(IsPro,IF($D775="","",IFERROR(INDEX(Items!$D$5:$D$504,U775),"")),"")</f>
        <v/>
      </c>
      <c r="K775" s="61" t="str">
        <f aca="false">IF(IsPro,IF($D775="","",IF($F775="",IFERROR(INDEX(Items!$H$5:$H$504,U775),0),$F775)),"")</f>
        <v/>
      </c>
      <c r="L775" s="61" t="str">
        <f aca="false">IF(IsPro,IF($D775="","",ROUND(N($E775)*K775*(1-N($G775)),2)),"")</f>
        <v/>
      </c>
      <c r="M775" s="62" t="str">
        <f aca="false">IF(IsPro,IF($D775="","",IFERROR(INDEX(Items!$F$5:$F$504,U775),0)),"")</f>
        <v/>
      </c>
      <c r="N775" s="61" t="str">
        <f aca="false">IF(IsPro,IF($D775="","",IF(AND(V775&lt;&gt;"",INDEX(Parties!$E$5:$E$304,V775)&lt;&gt;"",INDEX(Parties!$E$5:$E$304,V775)&lt;&gt;HomeState),0,ROUND(L775*M775/2,2))),"")</f>
        <v/>
      </c>
      <c r="O775" s="61" t="str">
        <f aca="false">IF(IsPro,IF($D775="","",N775),"")</f>
        <v/>
      </c>
      <c r="P775" s="61" t="str">
        <f aca="false">IF(IsPro,IF($D775="","",IF(AND(V775&lt;&gt;"",INDEX(Parties!$E$5:$E$304,V775)&lt;&gt;"",INDEX(Parties!$E$5:$E$304,V775)&lt;&gt;HomeState),ROUND(L775*M775,2),0)),"")</f>
        <v/>
      </c>
      <c r="Q775" s="61" t="str">
        <f aca="false">IF(IsPro,IF($D775="","",L775+N775+O775+P775),"")</f>
        <v/>
      </c>
      <c r="R775" s="61" t="str">
        <f aca="false">IF(IsPro,IF($D775="","",ROUND(N($E775)*IFERROR(INDEX(Items!$P$5:$P$504,U775),0),2)),"")</f>
        <v/>
      </c>
      <c r="S775" s="61" t="str">
        <f aca="false">IF(IsPro,IF($D775="","",L775-R775),"")</f>
        <v/>
      </c>
      <c r="T775" s="60" t="str">
        <f aca="false">IF(IsPro,IF($D775="","",IF(U775="","UNKNOWN ITEM",IF(INDEX(Items!$O$5:$O$504,U775)&lt;0,"NEG STOCK",IF(K775&lt;INDEX(Items!$P$5:$P$504,U775),"BELOW COST","OK")))),IF($D775="","","PRO PLAN"))</f>
        <v/>
      </c>
      <c r="U775" s="60" t="str">
        <f aca="false">IF(IsPro,IF($D775="","",IFERROR(MATCH($D775,Items!$A$5:$A$504,0),"")),"")</f>
        <v/>
      </c>
      <c r="V775" s="60" t="str">
        <f aca="false">IF(IsPro,IF($C775="","",IFERROR(MATCH($C775,Parties!$A$5:$A$304,0),"")),"")</f>
        <v/>
      </c>
      <c r="W775" s="60" t="str">
        <f aca="false">IF(IsPro,IF($B775="","",IFERROR(VALUE(SUBSTITUTE($B775,InvPrefix,"")),0)),"")</f>
        <v/>
      </c>
      <c r="X775" s="61" t="str">
        <f aca="false">IF(IsPro,IF($D775="","",IF(OR($H775="",$H775="Credit"),0,Q775)),"")</f>
        <v/>
      </c>
    </row>
    <row r="776" customFormat="false" ht="15" hidden="false" customHeight="false" outlineLevel="0" collapsed="false">
      <c r="A776" s="55"/>
      <c r="B776" s="56"/>
      <c r="C776" s="56"/>
      <c r="D776" s="56"/>
      <c r="E776" s="57"/>
      <c r="F776" s="58"/>
      <c r="G776" s="59"/>
      <c r="H776" s="56"/>
      <c r="I776" s="56"/>
      <c r="J776" s="60" t="str">
        <f aca="false">IF(IsPro,IF($D776="","",IFERROR(INDEX(Items!$D$5:$D$504,U776),"")),"")</f>
        <v/>
      </c>
      <c r="K776" s="61" t="str">
        <f aca="false">IF(IsPro,IF($D776="","",IF($F776="",IFERROR(INDEX(Items!$H$5:$H$504,U776),0),$F776)),"")</f>
        <v/>
      </c>
      <c r="L776" s="61" t="str">
        <f aca="false">IF(IsPro,IF($D776="","",ROUND(N($E776)*K776*(1-N($G776)),2)),"")</f>
        <v/>
      </c>
      <c r="M776" s="62" t="str">
        <f aca="false">IF(IsPro,IF($D776="","",IFERROR(INDEX(Items!$F$5:$F$504,U776),0)),"")</f>
        <v/>
      </c>
      <c r="N776" s="61" t="str">
        <f aca="false">IF(IsPro,IF($D776="","",IF(AND(V776&lt;&gt;"",INDEX(Parties!$E$5:$E$304,V776)&lt;&gt;"",INDEX(Parties!$E$5:$E$304,V776)&lt;&gt;HomeState),0,ROUND(L776*M776/2,2))),"")</f>
        <v/>
      </c>
      <c r="O776" s="61" t="str">
        <f aca="false">IF(IsPro,IF($D776="","",N776),"")</f>
        <v/>
      </c>
      <c r="P776" s="61" t="str">
        <f aca="false">IF(IsPro,IF($D776="","",IF(AND(V776&lt;&gt;"",INDEX(Parties!$E$5:$E$304,V776)&lt;&gt;"",INDEX(Parties!$E$5:$E$304,V776)&lt;&gt;HomeState),ROUND(L776*M776,2),0)),"")</f>
        <v/>
      </c>
      <c r="Q776" s="61" t="str">
        <f aca="false">IF(IsPro,IF($D776="","",L776+N776+O776+P776),"")</f>
        <v/>
      </c>
      <c r="R776" s="61" t="str">
        <f aca="false">IF(IsPro,IF($D776="","",ROUND(N($E776)*IFERROR(INDEX(Items!$P$5:$P$504,U776),0),2)),"")</f>
        <v/>
      </c>
      <c r="S776" s="61" t="str">
        <f aca="false">IF(IsPro,IF($D776="","",L776-R776),"")</f>
        <v/>
      </c>
      <c r="T776" s="60" t="str">
        <f aca="false">IF(IsPro,IF($D776="","",IF(U776="","UNKNOWN ITEM",IF(INDEX(Items!$O$5:$O$504,U776)&lt;0,"NEG STOCK",IF(K776&lt;INDEX(Items!$P$5:$P$504,U776),"BELOW COST","OK")))),IF($D776="","","PRO PLAN"))</f>
        <v/>
      </c>
      <c r="U776" s="60" t="str">
        <f aca="false">IF(IsPro,IF($D776="","",IFERROR(MATCH($D776,Items!$A$5:$A$504,0),"")),"")</f>
        <v/>
      </c>
      <c r="V776" s="60" t="str">
        <f aca="false">IF(IsPro,IF($C776="","",IFERROR(MATCH($C776,Parties!$A$5:$A$304,0),"")),"")</f>
        <v/>
      </c>
      <c r="W776" s="60" t="str">
        <f aca="false">IF(IsPro,IF($B776="","",IFERROR(VALUE(SUBSTITUTE($B776,InvPrefix,"")),0)),"")</f>
        <v/>
      </c>
      <c r="X776" s="61" t="str">
        <f aca="false">IF(IsPro,IF($D776="","",IF(OR($H776="",$H776="Credit"),0,Q776)),"")</f>
        <v/>
      </c>
    </row>
    <row r="777" customFormat="false" ht="15" hidden="false" customHeight="false" outlineLevel="0" collapsed="false">
      <c r="A777" s="55"/>
      <c r="B777" s="56"/>
      <c r="C777" s="56"/>
      <c r="D777" s="56"/>
      <c r="E777" s="57"/>
      <c r="F777" s="58"/>
      <c r="G777" s="59"/>
      <c r="H777" s="56"/>
      <c r="I777" s="56"/>
      <c r="J777" s="60" t="str">
        <f aca="false">IF(IsPro,IF($D777="","",IFERROR(INDEX(Items!$D$5:$D$504,U777),"")),"")</f>
        <v/>
      </c>
      <c r="K777" s="61" t="str">
        <f aca="false">IF(IsPro,IF($D777="","",IF($F777="",IFERROR(INDEX(Items!$H$5:$H$504,U777),0),$F777)),"")</f>
        <v/>
      </c>
      <c r="L777" s="61" t="str">
        <f aca="false">IF(IsPro,IF($D777="","",ROUND(N($E777)*K777*(1-N($G777)),2)),"")</f>
        <v/>
      </c>
      <c r="M777" s="62" t="str">
        <f aca="false">IF(IsPro,IF($D777="","",IFERROR(INDEX(Items!$F$5:$F$504,U777),0)),"")</f>
        <v/>
      </c>
      <c r="N777" s="61" t="str">
        <f aca="false">IF(IsPro,IF($D777="","",IF(AND(V777&lt;&gt;"",INDEX(Parties!$E$5:$E$304,V777)&lt;&gt;"",INDEX(Parties!$E$5:$E$304,V777)&lt;&gt;HomeState),0,ROUND(L777*M777/2,2))),"")</f>
        <v/>
      </c>
      <c r="O777" s="61" t="str">
        <f aca="false">IF(IsPro,IF($D777="","",N777),"")</f>
        <v/>
      </c>
      <c r="P777" s="61" t="str">
        <f aca="false">IF(IsPro,IF($D777="","",IF(AND(V777&lt;&gt;"",INDEX(Parties!$E$5:$E$304,V777)&lt;&gt;"",INDEX(Parties!$E$5:$E$304,V777)&lt;&gt;HomeState),ROUND(L777*M777,2),0)),"")</f>
        <v/>
      </c>
      <c r="Q777" s="61" t="str">
        <f aca="false">IF(IsPro,IF($D777="","",L777+N777+O777+P777),"")</f>
        <v/>
      </c>
      <c r="R777" s="61" t="str">
        <f aca="false">IF(IsPro,IF($D777="","",ROUND(N($E777)*IFERROR(INDEX(Items!$P$5:$P$504,U777),0),2)),"")</f>
        <v/>
      </c>
      <c r="S777" s="61" t="str">
        <f aca="false">IF(IsPro,IF($D777="","",L777-R777),"")</f>
        <v/>
      </c>
      <c r="T777" s="60" t="str">
        <f aca="false">IF(IsPro,IF($D777="","",IF(U777="","UNKNOWN ITEM",IF(INDEX(Items!$O$5:$O$504,U777)&lt;0,"NEG STOCK",IF(K777&lt;INDEX(Items!$P$5:$P$504,U777),"BELOW COST","OK")))),IF($D777="","","PRO PLAN"))</f>
        <v/>
      </c>
      <c r="U777" s="60" t="str">
        <f aca="false">IF(IsPro,IF($D777="","",IFERROR(MATCH($D777,Items!$A$5:$A$504,0),"")),"")</f>
        <v/>
      </c>
      <c r="V777" s="60" t="str">
        <f aca="false">IF(IsPro,IF($C777="","",IFERROR(MATCH($C777,Parties!$A$5:$A$304,0),"")),"")</f>
        <v/>
      </c>
      <c r="W777" s="60" t="str">
        <f aca="false">IF(IsPro,IF($B777="","",IFERROR(VALUE(SUBSTITUTE($B777,InvPrefix,"")),0)),"")</f>
        <v/>
      </c>
      <c r="X777" s="61" t="str">
        <f aca="false">IF(IsPro,IF($D777="","",IF(OR($H777="",$H777="Credit"),0,Q777)),"")</f>
        <v/>
      </c>
    </row>
    <row r="778" customFormat="false" ht="15" hidden="false" customHeight="false" outlineLevel="0" collapsed="false">
      <c r="A778" s="55"/>
      <c r="B778" s="56"/>
      <c r="C778" s="56"/>
      <c r="D778" s="56"/>
      <c r="E778" s="57"/>
      <c r="F778" s="58"/>
      <c r="G778" s="59"/>
      <c r="H778" s="56"/>
      <c r="I778" s="56"/>
      <c r="J778" s="60" t="str">
        <f aca="false">IF(IsPro,IF($D778="","",IFERROR(INDEX(Items!$D$5:$D$504,U778),"")),"")</f>
        <v/>
      </c>
      <c r="K778" s="61" t="str">
        <f aca="false">IF(IsPro,IF($D778="","",IF($F778="",IFERROR(INDEX(Items!$H$5:$H$504,U778),0),$F778)),"")</f>
        <v/>
      </c>
      <c r="L778" s="61" t="str">
        <f aca="false">IF(IsPro,IF($D778="","",ROUND(N($E778)*K778*(1-N($G778)),2)),"")</f>
        <v/>
      </c>
      <c r="M778" s="62" t="str">
        <f aca="false">IF(IsPro,IF($D778="","",IFERROR(INDEX(Items!$F$5:$F$504,U778),0)),"")</f>
        <v/>
      </c>
      <c r="N778" s="61" t="str">
        <f aca="false">IF(IsPro,IF($D778="","",IF(AND(V778&lt;&gt;"",INDEX(Parties!$E$5:$E$304,V778)&lt;&gt;"",INDEX(Parties!$E$5:$E$304,V778)&lt;&gt;HomeState),0,ROUND(L778*M778/2,2))),"")</f>
        <v/>
      </c>
      <c r="O778" s="61" t="str">
        <f aca="false">IF(IsPro,IF($D778="","",N778),"")</f>
        <v/>
      </c>
      <c r="P778" s="61" t="str">
        <f aca="false">IF(IsPro,IF($D778="","",IF(AND(V778&lt;&gt;"",INDEX(Parties!$E$5:$E$304,V778)&lt;&gt;"",INDEX(Parties!$E$5:$E$304,V778)&lt;&gt;HomeState),ROUND(L778*M778,2),0)),"")</f>
        <v/>
      </c>
      <c r="Q778" s="61" t="str">
        <f aca="false">IF(IsPro,IF($D778="","",L778+N778+O778+P778),"")</f>
        <v/>
      </c>
      <c r="R778" s="61" t="str">
        <f aca="false">IF(IsPro,IF($D778="","",ROUND(N($E778)*IFERROR(INDEX(Items!$P$5:$P$504,U778),0),2)),"")</f>
        <v/>
      </c>
      <c r="S778" s="61" t="str">
        <f aca="false">IF(IsPro,IF($D778="","",L778-R778),"")</f>
        <v/>
      </c>
      <c r="T778" s="60" t="str">
        <f aca="false">IF(IsPro,IF($D778="","",IF(U778="","UNKNOWN ITEM",IF(INDEX(Items!$O$5:$O$504,U778)&lt;0,"NEG STOCK",IF(K778&lt;INDEX(Items!$P$5:$P$504,U778),"BELOW COST","OK")))),IF($D778="","","PRO PLAN"))</f>
        <v/>
      </c>
      <c r="U778" s="60" t="str">
        <f aca="false">IF(IsPro,IF($D778="","",IFERROR(MATCH($D778,Items!$A$5:$A$504,0),"")),"")</f>
        <v/>
      </c>
      <c r="V778" s="60" t="str">
        <f aca="false">IF(IsPro,IF($C778="","",IFERROR(MATCH($C778,Parties!$A$5:$A$304,0),"")),"")</f>
        <v/>
      </c>
      <c r="W778" s="60" t="str">
        <f aca="false">IF(IsPro,IF($B778="","",IFERROR(VALUE(SUBSTITUTE($B778,InvPrefix,"")),0)),"")</f>
        <v/>
      </c>
      <c r="X778" s="61" t="str">
        <f aca="false">IF(IsPro,IF($D778="","",IF(OR($H778="",$H778="Credit"),0,Q778)),"")</f>
        <v/>
      </c>
    </row>
    <row r="779" customFormat="false" ht="15" hidden="false" customHeight="false" outlineLevel="0" collapsed="false">
      <c r="A779" s="55"/>
      <c r="B779" s="56"/>
      <c r="C779" s="56"/>
      <c r="D779" s="56"/>
      <c r="E779" s="57"/>
      <c r="F779" s="58"/>
      <c r="G779" s="59"/>
      <c r="H779" s="56"/>
      <c r="I779" s="56"/>
      <c r="J779" s="60" t="str">
        <f aca="false">IF(IsPro,IF($D779="","",IFERROR(INDEX(Items!$D$5:$D$504,U779),"")),"")</f>
        <v/>
      </c>
      <c r="K779" s="61" t="str">
        <f aca="false">IF(IsPro,IF($D779="","",IF($F779="",IFERROR(INDEX(Items!$H$5:$H$504,U779),0),$F779)),"")</f>
        <v/>
      </c>
      <c r="L779" s="61" t="str">
        <f aca="false">IF(IsPro,IF($D779="","",ROUND(N($E779)*K779*(1-N($G779)),2)),"")</f>
        <v/>
      </c>
      <c r="M779" s="62" t="str">
        <f aca="false">IF(IsPro,IF($D779="","",IFERROR(INDEX(Items!$F$5:$F$504,U779),0)),"")</f>
        <v/>
      </c>
      <c r="N779" s="61" t="str">
        <f aca="false">IF(IsPro,IF($D779="","",IF(AND(V779&lt;&gt;"",INDEX(Parties!$E$5:$E$304,V779)&lt;&gt;"",INDEX(Parties!$E$5:$E$304,V779)&lt;&gt;HomeState),0,ROUND(L779*M779/2,2))),"")</f>
        <v/>
      </c>
      <c r="O779" s="61" t="str">
        <f aca="false">IF(IsPro,IF($D779="","",N779),"")</f>
        <v/>
      </c>
      <c r="P779" s="61" t="str">
        <f aca="false">IF(IsPro,IF($D779="","",IF(AND(V779&lt;&gt;"",INDEX(Parties!$E$5:$E$304,V779)&lt;&gt;"",INDEX(Parties!$E$5:$E$304,V779)&lt;&gt;HomeState),ROUND(L779*M779,2),0)),"")</f>
        <v/>
      </c>
      <c r="Q779" s="61" t="str">
        <f aca="false">IF(IsPro,IF($D779="","",L779+N779+O779+P779),"")</f>
        <v/>
      </c>
      <c r="R779" s="61" t="str">
        <f aca="false">IF(IsPro,IF($D779="","",ROUND(N($E779)*IFERROR(INDEX(Items!$P$5:$P$504,U779),0),2)),"")</f>
        <v/>
      </c>
      <c r="S779" s="61" t="str">
        <f aca="false">IF(IsPro,IF($D779="","",L779-R779),"")</f>
        <v/>
      </c>
      <c r="T779" s="60" t="str">
        <f aca="false">IF(IsPro,IF($D779="","",IF(U779="","UNKNOWN ITEM",IF(INDEX(Items!$O$5:$O$504,U779)&lt;0,"NEG STOCK",IF(K779&lt;INDEX(Items!$P$5:$P$504,U779),"BELOW COST","OK")))),IF($D779="","","PRO PLAN"))</f>
        <v/>
      </c>
      <c r="U779" s="60" t="str">
        <f aca="false">IF(IsPro,IF($D779="","",IFERROR(MATCH($D779,Items!$A$5:$A$504,0),"")),"")</f>
        <v/>
      </c>
      <c r="V779" s="60" t="str">
        <f aca="false">IF(IsPro,IF($C779="","",IFERROR(MATCH($C779,Parties!$A$5:$A$304,0),"")),"")</f>
        <v/>
      </c>
      <c r="W779" s="60" t="str">
        <f aca="false">IF(IsPro,IF($B779="","",IFERROR(VALUE(SUBSTITUTE($B779,InvPrefix,"")),0)),"")</f>
        <v/>
      </c>
      <c r="X779" s="61" t="str">
        <f aca="false">IF(IsPro,IF($D779="","",IF(OR($H779="",$H779="Credit"),0,Q779)),"")</f>
        <v/>
      </c>
    </row>
    <row r="780" customFormat="false" ht="15" hidden="false" customHeight="false" outlineLevel="0" collapsed="false">
      <c r="A780" s="55"/>
      <c r="B780" s="56"/>
      <c r="C780" s="56"/>
      <c r="D780" s="56"/>
      <c r="E780" s="57"/>
      <c r="F780" s="58"/>
      <c r="G780" s="59"/>
      <c r="H780" s="56"/>
      <c r="I780" s="56"/>
      <c r="J780" s="60" t="str">
        <f aca="false">IF(IsPro,IF($D780="","",IFERROR(INDEX(Items!$D$5:$D$504,U780),"")),"")</f>
        <v/>
      </c>
      <c r="K780" s="61" t="str">
        <f aca="false">IF(IsPro,IF($D780="","",IF($F780="",IFERROR(INDEX(Items!$H$5:$H$504,U780),0),$F780)),"")</f>
        <v/>
      </c>
      <c r="L780" s="61" t="str">
        <f aca="false">IF(IsPro,IF($D780="","",ROUND(N($E780)*K780*(1-N($G780)),2)),"")</f>
        <v/>
      </c>
      <c r="M780" s="62" t="str">
        <f aca="false">IF(IsPro,IF($D780="","",IFERROR(INDEX(Items!$F$5:$F$504,U780),0)),"")</f>
        <v/>
      </c>
      <c r="N780" s="61" t="str">
        <f aca="false">IF(IsPro,IF($D780="","",IF(AND(V780&lt;&gt;"",INDEX(Parties!$E$5:$E$304,V780)&lt;&gt;"",INDEX(Parties!$E$5:$E$304,V780)&lt;&gt;HomeState),0,ROUND(L780*M780/2,2))),"")</f>
        <v/>
      </c>
      <c r="O780" s="61" t="str">
        <f aca="false">IF(IsPro,IF($D780="","",N780),"")</f>
        <v/>
      </c>
      <c r="P780" s="61" t="str">
        <f aca="false">IF(IsPro,IF($D780="","",IF(AND(V780&lt;&gt;"",INDEX(Parties!$E$5:$E$304,V780)&lt;&gt;"",INDEX(Parties!$E$5:$E$304,V780)&lt;&gt;HomeState),ROUND(L780*M780,2),0)),"")</f>
        <v/>
      </c>
      <c r="Q780" s="61" t="str">
        <f aca="false">IF(IsPro,IF($D780="","",L780+N780+O780+P780),"")</f>
        <v/>
      </c>
      <c r="R780" s="61" t="str">
        <f aca="false">IF(IsPro,IF($D780="","",ROUND(N($E780)*IFERROR(INDEX(Items!$P$5:$P$504,U780),0),2)),"")</f>
        <v/>
      </c>
      <c r="S780" s="61" t="str">
        <f aca="false">IF(IsPro,IF($D780="","",L780-R780),"")</f>
        <v/>
      </c>
      <c r="T780" s="60" t="str">
        <f aca="false">IF(IsPro,IF($D780="","",IF(U780="","UNKNOWN ITEM",IF(INDEX(Items!$O$5:$O$504,U780)&lt;0,"NEG STOCK",IF(K780&lt;INDEX(Items!$P$5:$P$504,U780),"BELOW COST","OK")))),IF($D780="","","PRO PLAN"))</f>
        <v/>
      </c>
      <c r="U780" s="60" t="str">
        <f aca="false">IF(IsPro,IF($D780="","",IFERROR(MATCH($D780,Items!$A$5:$A$504,0),"")),"")</f>
        <v/>
      </c>
      <c r="V780" s="60" t="str">
        <f aca="false">IF(IsPro,IF($C780="","",IFERROR(MATCH($C780,Parties!$A$5:$A$304,0),"")),"")</f>
        <v/>
      </c>
      <c r="W780" s="60" t="str">
        <f aca="false">IF(IsPro,IF($B780="","",IFERROR(VALUE(SUBSTITUTE($B780,InvPrefix,"")),0)),"")</f>
        <v/>
      </c>
      <c r="X780" s="61" t="str">
        <f aca="false">IF(IsPro,IF($D780="","",IF(OR($H780="",$H780="Credit"),0,Q780)),"")</f>
        <v/>
      </c>
    </row>
    <row r="781" customFormat="false" ht="15" hidden="false" customHeight="false" outlineLevel="0" collapsed="false">
      <c r="A781" s="55"/>
      <c r="B781" s="56"/>
      <c r="C781" s="56"/>
      <c r="D781" s="56"/>
      <c r="E781" s="57"/>
      <c r="F781" s="58"/>
      <c r="G781" s="59"/>
      <c r="H781" s="56"/>
      <c r="I781" s="56"/>
      <c r="J781" s="60" t="str">
        <f aca="false">IF(IsPro,IF($D781="","",IFERROR(INDEX(Items!$D$5:$D$504,U781),"")),"")</f>
        <v/>
      </c>
      <c r="K781" s="61" t="str">
        <f aca="false">IF(IsPro,IF($D781="","",IF($F781="",IFERROR(INDEX(Items!$H$5:$H$504,U781),0),$F781)),"")</f>
        <v/>
      </c>
      <c r="L781" s="61" t="str">
        <f aca="false">IF(IsPro,IF($D781="","",ROUND(N($E781)*K781*(1-N($G781)),2)),"")</f>
        <v/>
      </c>
      <c r="M781" s="62" t="str">
        <f aca="false">IF(IsPro,IF($D781="","",IFERROR(INDEX(Items!$F$5:$F$504,U781),0)),"")</f>
        <v/>
      </c>
      <c r="N781" s="61" t="str">
        <f aca="false">IF(IsPro,IF($D781="","",IF(AND(V781&lt;&gt;"",INDEX(Parties!$E$5:$E$304,V781)&lt;&gt;"",INDEX(Parties!$E$5:$E$304,V781)&lt;&gt;HomeState),0,ROUND(L781*M781/2,2))),"")</f>
        <v/>
      </c>
      <c r="O781" s="61" t="str">
        <f aca="false">IF(IsPro,IF($D781="","",N781),"")</f>
        <v/>
      </c>
      <c r="P781" s="61" t="str">
        <f aca="false">IF(IsPro,IF($D781="","",IF(AND(V781&lt;&gt;"",INDEX(Parties!$E$5:$E$304,V781)&lt;&gt;"",INDEX(Parties!$E$5:$E$304,V781)&lt;&gt;HomeState),ROUND(L781*M781,2),0)),"")</f>
        <v/>
      </c>
      <c r="Q781" s="61" t="str">
        <f aca="false">IF(IsPro,IF($D781="","",L781+N781+O781+P781),"")</f>
        <v/>
      </c>
      <c r="R781" s="61" t="str">
        <f aca="false">IF(IsPro,IF($D781="","",ROUND(N($E781)*IFERROR(INDEX(Items!$P$5:$P$504,U781),0),2)),"")</f>
        <v/>
      </c>
      <c r="S781" s="61" t="str">
        <f aca="false">IF(IsPro,IF($D781="","",L781-R781),"")</f>
        <v/>
      </c>
      <c r="T781" s="60" t="str">
        <f aca="false">IF(IsPro,IF($D781="","",IF(U781="","UNKNOWN ITEM",IF(INDEX(Items!$O$5:$O$504,U781)&lt;0,"NEG STOCK",IF(K781&lt;INDEX(Items!$P$5:$P$504,U781),"BELOW COST","OK")))),IF($D781="","","PRO PLAN"))</f>
        <v/>
      </c>
      <c r="U781" s="60" t="str">
        <f aca="false">IF(IsPro,IF($D781="","",IFERROR(MATCH($D781,Items!$A$5:$A$504,0),"")),"")</f>
        <v/>
      </c>
      <c r="V781" s="60" t="str">
        <f aca="false">IF(IsPro,IF($C781="","",IFERROR(MATCH($C781,Parties!$A$5:$A$304,0),"")),"")</f>
        <v/>
      </c>
      <c r="W781" s="60" t="str">
        <f aca="false">IF(IsPro,IF($B781="","",IFERROR(VALUE(SUBSTITUTE($B781,InvPrefix,"")),0)),"")</f>
        <v/>
      </c>
      <c r="X781" s="61" t="str">
        <f aca="false">IF(IsPro,IF($D781="","",IF(OR($H781="",$H781="Credit"),0,Q781)),"")</f>
        <v/>
      </c>
    </row>
    <row r="782" customFormat="false" ht="15" hidden="false" customHeight="false" outlineLevel="0" collapsed="false">
      <c r="A782" s="55"/>
      <c r="B782" s="56"/>
      <c r="C782" s="56"/>
      <c r="D782" s="56"/>
      <c r="E782" s="57"/>
      <c r="F782" s="58"/>
      <c r="G782" s="59"/>
      <c r="H782" s="56"/>
      <c r="I782" s="56"/>
      <c r="J782" s="60" t="str">
        <f aca="false">IF(IsPro,IF($D782="","",IFERROR(INDEX(Items!$D$5:$D$504,U782),"")),"")</f>
        <v/>
      </c>
      <c r="K782" s="61" t="str">
        <f aca="false">IF(IsPro,IF($D782="","",IF($F782="",IFERROR(INDEX(Items!$H$5:$H$504,U782),0),$F782)),"")</f>
        <v/>
      </c>
      <c r="L782" s="61" t="str">
        <f aca="false">IF(IsPro,IF($D782="","",ROUND(N($E782)*K782*(1-N($G782)),2)),"")</f>
        <v/>
      </c>
      <c r="M782" s="62" t="str">
        <f aca="false">IF(IsPro,IF($D782="","",IFERROR(INDEX(Items!$F$5:$F$504,U782),0)),"")</f>
        <v/>
      </c>
      <c r="N782" s="61" t="str">
        <f aca="false">IF(IsPro,IF($D782="","",IF(AND(V782&lt;&gt;"",INDEX(Parties!$E$5:$E$304,V782)&lt;&gt;"",INDEX(Parties!$E$5:$E$304,V782)&lt;&gt;HomeState),0,ROUND(L782*M782/2,2))),"")</f>
        <v/>
      </c>
      <c r="O782" s="61" t="str">
        <f aca="false">IF(IsPro,IF($D782="","",N782),"")</f>
        <v/>
      </c>
      <c r="P782" s="61" t="str">
        <f aca="false">IF(IsPro,IF($D782="","",IF(AND(V782&lt;&gt;"",INDEX(Parties!$E$5:$E$304,V782)&lt;&gt;"",INDEX(Parties!$E$5:$E$304,V782)&lt;&gt;HomeState),ROUND(L782*M782,2),0)),"")</f>
        <v/>
      </c>
      <c r="Q782" s="61" t="str">
        <f aca="false">IF(IsPro,IF($D782="","",L782+N782+O782+P782),"")</f>
        <v/>
      </c>
      <c r="R782" s="61" t="str">
        <f aca="false">IF(IsPro,IF($D782="","",ROUND(N($E782)*IFERROR(INDEX(Items!$P$5:$P$504,U782),0),2)),"")</f>
        <v/>
      </c>
      <c r="S782" s="61" t="str">
        <f aca="false">IF(IsPro,IF($D782="","",L782-R782),"")</f>
        <v/>
      </c>
      <c r="T782" s="60" t="str">
        <f aca="false">IF(IsPro,IF($D782="","",IF(U782="","UNKNOWN ITEM",IF(INDEX(Items!$O$5:$O$504,U782)&lt;0,"NEG STOCK",IF(K782&lt;INDEX(Items!$P$5:$P$504,U782),"BELOW COST","OK")))),IF($D782="","","PRO PLAN"))</f>
        <v/>
      </c>
      <c r="U782" s="60" t="str">
        <f aca="false">IF(IsPro,IF($D782="","",IFERROR(MATCH($D782,Items!$A$5:$A$504,0),"")),"")</f>
        <v/>
      </c>
      <c r="V782" s="60" t="str">
        <f aca="false">IF(IsPro,IF($C782="","",IFERROR(MATCH($C782,Parties!$A$5:$A$304,0),"")),"")</f>
        <v/>
      </c>
      <c r="W782" s="60" t="str">
        <f aca="false">IF(IsPro,IF($B782="","",IFERROR(VALUE(SUBSTITUTE($B782,InvPrefix,"")),0)),"")</f>
        <v/>
      </c>
      <c r="X782" s="61" t="str">
        <f aca="false">IF(IsPro,IF($D782="","",IF(OR($H782="",$H782="Credit"),0,Q782)),"")</f>
        <v/>
      </c>
    </row>
    <row r="783" customFormat="false" ht="15" hidden="false" customHeight="false" outlineLevel="0" collapsed="false">
      <c r="A783" s="55"/>
      <c r="B783" s="56"/>
      <c r="C783" s="56"/>
      <c r="D783" s="56"/>
      <c r="E783" s="57"/>
      <c r="F783" s="58"/>
      <c r="G783" s="59"/>
      <c r="H783" s="56"/>
      <c r="I783" s="56"/>
      <c r="J783" s="60" t="str">
        <f aca="false">IF(IsPro,IF($D783="","",IFERROR(INDEX(Items!$D$5:$D$504,U783),"")),"")</f>
        <v/>
      </c>
      <c r="K783" s="61" t="str">
        <f aca="false">IF(IsPro,IF($D783="","",IF($F783="",IFERROR(INDEX(Items!$H$5:$H$504,U783),0),$F783)),"")</f>
        <v/>
      </c>
      <c r="L783" s="61" t="str">
        <f aca="false">IF(IsPro,IF($D783="","",ROUND(N($E783)*K783*(1-N($G783)),2)),"")</f>
        <v/>
      </c>
      <c r="M783" s="62" t="str">
        <f aca="false">IF(IsPro,IF($D783="","",IFERROR(INDEX(Items!$F$5:$F$504,U783),0)),"")</f>
        <v/>
      </c>
      <c r="N783" s="61" t="str">
        <f aca="false">IF(IsPro,IF($D783="","",IF(AND(V783&lt;&gt;"",INDEX(Parties!$E$5:$E$304,V783)&lt;&gt;"",INDEX(Parties!$E$5:$E$304,V783)&lt;&gt;HomeState),0,ROUND(L783*M783/2,2))),"")</f>
        <v/>
      </c>
      <c r="O783" s="61" t="str">
        <f aca="false">IF(IsPro,IF($D783="","",N783),"")</f>
        <v/>
      </c>
      <c r="P783" s="61" t="str">
        <f aca="false">IF(IsPro,IF($D783="","",IF(AND(V783&lt;&gt;"",INDEX(Parties!$E$5:$E$304,V783)&lt;&gt;"",INDEX(Parties!$E$5:$E$304,V783)&lt;&gt;HomeState),ROUND(L783*M783,2),0)),"")</f>
        <v/>
      </c>
      <c r="Q783" s="61" t="str">
        <f aca="false">IF(IsPro,IF($D783="","",L783+N783+O783+P783),"")</f>
        <v/>
      </c>
      <c r="R783" s="61" t="str">
        <f aca="false">IF(IsPro,IF($D783="","",ROUND(N($E783)*IFERROR(INDEX(Items!$P$5:$P$504,U783),0),2)),"")</f>
        <v/>
      </c>
      <c r="S783" s="61" t="str">
        <f aca="false">IF(IsPro,IF($D783="","",L783-R783),"")</f>
        <v/>
      </c>
      <c r="T783" s="60" t="str">
        <f aca="false">IF(IsPro,IF($D783="","",IF(U783="","UNKNOWN ITEM",IF(INDEX(Items!$O$5:$O$504,U783)&lt;0,"NEG STOCK",IF(K783&lt;INDEX(Items!$P$5:$P$504,U783),"BELOW COST","OK")))),IF($D783="","","PRO PLAN"))</f>
        <v/>
      </c>
      <c r="U783" s="60" t="str">
        <f aca="false">IF(IsPro,IF($D783="","",IFERROR(MATCH($D783,Items!$A$5:$A$504,0),"")),"")</f>
        <v/>
      </c>
      <c r="V783" s="60" t="str">
        <f aca="false">IF(IsPro,IF($C783="","",IFERROR(MATCH($C783,Parties!$A$5:$A$304,0),"")),"")</f>
        <v/>
      </c>
      <c r="W783" s="60" t="str">
        <f aca="false">IF(IsPro,IF($B783="","",IFERROR(VALUE(SUBSTITUTE($B783,InvPrefix,"")),0)),"")</f>
        <v/>
      </c>
      <c r="X783" s="61" t="str">
        <f aca="false">IF(IsPro,IF($D783="","",IF(OR($H783="",$H783="Credit"),0,Q783)),"")</f>
        <v/>
      </c>
    </row>
    <row r="784" customFormat="false" ht="15" hidden="false" customHeight="false" outlineLevel="0" collapsed="false">
      <c r="A784" s="55"/>
      <c r="B784" s="56"/>
      <c r="C784" s="56"/>
      <c r="D784" s="56"/>
      <c r="E784" s="57"/>
      <c r="F784" s="58"/>
      <c r="G784" s="59"/>
      <c r="H784" s="56"/>
      <c r="I784" s="56"/>
      <c r="J784" s="60" t="str">
        <f aca="false">IF(IsPro,IF($D784="","",IFERROR(INDEX(Items!$D$5:$D$504,U784),"")),"")</f>
        <v/>
      </c>
      <c r="K784" s="61" t="str">
        <f aca="false">IF(IsPro,IF($D784="","",IF($F784="",IFERROR(INDEX(Items!$H$5:$H$504,U784),0),$F784)),"")</f>
        <v/>
      </c>
      <c r="L784" s="61" t="str">
        <f aca="false">IF(IsPro,IF($D784="","",ROUND(N($E784)*K784*(1-N($G784)),2)),"")</f>
        <v/>
      </c>
      <c r="M784" s="62" t="str">
        <f aca="false">IF(IsPro,IF($D784="","",IFERROR(INDEX(Items!$F$5:$F$504,U784),0)),"")</f>
        <v/>
      </c>
      <c r="N784" s="61" t="str">
        <f aca="false">IF(IsPro,IF($D784="","",IF(AND(V784&lt;&gt;"",INDEX(Parties!$E$5:$E$304,V784)&lt;&gt;"",INDEX(Parties!$E$5:$E$304,V784)&lt;&gt;HomeState),0,ROUND(L784*M784/2,2))),"")</f>
        <v/>
      </c>
      <c r="O784" s="61" t="str">
        <f aca="false">IF(IsPro,IF($D784="","",N784),"")</f>
        <v/>
      </c>
      <c r="P784" s="61" t="str">
        <f aca="false">IF(IsPro,IF($D784="","",IF(AND(V784&lt;&gt;"",INDEX(Parties!$E$5:$E$304,V784)&lt;&gt;"",INDEX(Parties!$E$5:$E$304,V784)&lt;&gt;HomeState),ROUND(L784*M784,2),0)),"")</f>
        <v/>
      </c>
      <c r="Q784" s="61" t="str">
        <f aca="false">IF(IsPro,IF($D784="","",L784+N784+O784+P784),"")</f>
        <v/>
      </c>
      <c r="R784" s="61" t="str">
        <f aca="false">IF(IsPro,IF($D784="","",ROUND(N($E784)*IFERROR(INDEX(Items!$P$5:$P$504,U784),0),2)),"")</f>
        <v/>
      </c>
      <c r="S784" s="61" t="str">
        <f aca="false">IF(IsPro,IF($D784="","",L784-R784),"")</f>
        <v/>
      </c>
      <c r="T784" s="60" t="str">
        <f aca="false">IF(IsPro,IF($D784="","",IF(U784="","UNKNOWN ITEM",IF(INDEX(Items!$O$5:$O$504,U784)&lt;0,"NEG STOCK",IF(K784&lt;INDEX(Items!$P$5:$P$504,U784),"BELOW COST","OK")))),IF($D784="","","PRO PLAN"))</f>
        <v/>
      </c>
      <c r="U784" s="60" t="str">
        <f aca="false">IF(IsPro,IF($D784="","",IFERROR(MATCH($D784,Items!$A$5:$A$504,0),"")),"")</f>
        <v/>
      </c>
      <c r="V784" s="60" t="str">
        <f aca="false">IF(IsPro,IF($C784="","",IFERROR(MATCH($C784,Parties!$A$5:$A$304,0),"")),"")</f>
        <v/>
      </c>
      <c r="W784" s="60" t="str">
        <f aca="false">IF(IsPro,IF($B784="","",IFERROR(VALUE(SUBSTITUTE($B784,InvPrefix,"")),0)),"")</f>
        <v/>
      </c>
      <c r="X784" s="61" t="str">
        <f aca="false">IF(IsPro,IF($D784="","",IF(OR($H784="",$H784="Credit"),0,Q784)),"")</f>
        <v/>
      </c>
    </row>
    <row r="785" customFormat="false" ht="15" hidden="false" customHeight="false" outlineLevel="0" collapsed="false">
      <c r="A785" s="55"/>
      <c r="B785" s="56"/>
      <c r="C785" s="56"/>
      <c r="D785" s="56"/>
      <c r="E785" s="57"/>
      <c r="F785" s="58"/>
      <c r="G785" s="59"/>
      <c r="H785" s="56"/>
      <c r="I785" s="56"/>
      <c r="J785" s="60" t="str">
        <f aca="false">IF(IsPro,IF($D785="","",IFERROR(INDEX(Items!$D$5:$D$504,U785),"")),"")</f>
        <v/>
      </c>
      <c r="K785" s="61" t="str">
        <f aca="false">IF(IsPro,IF($D785="","",IF($F785="",IFERROR(INDEX(Items!$H$5:$H$504,U785),0),$F785)),"")</f>
        <v/>
      </c>
      <c r="L785" s="61" t="str">
        <f aca="false">IF(IsPro,IF($D785="","",ROUND(N($E785)*K785*(1-N($G785)),2)),"")</f>
        <v/>
      </c>
      <c r="M785" s="62" t="str">
        <f aca="false">IF(IsPro,IF($D785="","",IFERROR(INDEX(Items!$F$5:$F$504,U785),0)),"")</f>
        <v/>
      </c>
      <c r="N785" s="61" t="str">
        <f aca="false">IF(IsPro,IF($D785="","",IF(AND(V785&lt;&gt;"",INDEX(Parties!$E$5:$E$304,V785)&lt;&gt;"",INDEX(Parties!$E$5:$E$304,V785)&lt;&gt;HomeState),0,ROUND(L785*M785/2,2))),"")</f>
        <v/>
      </c>
      <c r="O785" s="61" t="str">
        <f aca="false">IF(IsPro,IF($D785="","",N785),"")</f>
        <v/>
      </c>
      <c r="P785" s="61" t="str">
        <f aca="false">IF(IsPro,IF($D785="","",IF(AND(V785&lt;&gt;"",INDEX(Parties!$E$5:$E$304,V785)&lt;&gt;"",INDEX(Parties!$E$5:$E$304,V785)&lt;&gt;HomeState),ROUND(L785*M785,2),0)),"")</f>
        <v/>
      </c>
      <c r="Q785" s="61" t="str">
        <f aca="false">IF(IsPro,IF($D785="","",L785+N785+O785+P785),"")</f>
        <v/>
      </c>
      <c r="R785" s="61" t="str">
        <f aca="false">IF(IsPro,IF($D785="","",ROUND(N($E785)*IFERROR(INDEX(Items!$P$5:$P$504,U785),0),2)),"")</f>
        <v/>
      </c>
      <c r="S785" s="61" t="str">
        <f aca="false">IF(IsPro,IF($D785="","",L785-R785),"")</f>
        <v/>
      </c>
      <c r="T785" s="60" t="str">
        <f aca="false">IF(IsPro,IF($D785="","",IF(U785="","UNKNOWN ITEM",IF(INDEX(Items!$O$5:$O$504,U785)&lt;0,"NEG STOCK",IF(K785&lt;INDEX(Items!$P$5:$P$504,U785),"BELOW COST","OK")))),IF($D785="","","PRO PLAN"))</f>
        <v/>
      </c>
      <c r="U785" s="60" t="str">
        <f aca="false">IF(IsPro,IF($D785="","",IFERROR(MATCH($D785,Items!$A$5:$A$504,0),"")),"")</f>
        <v/>
      </c>
      <c r="V785" s="60" t="str">
        <f aca="false">IF(IsPro,IF($C785="","",IFERROR(MATCH($C785,Parties!$A$5:$A$304,0),"")),"")</f>
        <v/>
      </c>
      <c r="W785" s="60" t="str">
        <f aca="false">IF(IsPro,IF($B785="","",IFERROR(VALUE(SUBSTITUTE($B785,InvPrefix,"")),0)),"")</f>
        <v/>
      </c>
      <c r="X785" s="61" t="str">
        <f aca="false">IF(IsPro,IF($D785="","",IF(OR($H785="",$H785="Credit"),0,Q785)),"")</f>
        <v/>
      </c>
    </row>
    <row r="786" customFormat="false" ht="15" hidden="false" customHeight="false" outlineLevel="0" collapsed="false">
      <c r="A786" s="55"/>
      <c r="B786" s="56"/>
      <c r="C786" s="56"/>
      <c r="D786" s="56"/>
      <c r="E786" s="57"/>
      <c r="F786" s="58"/>
      <c r="G786" s="59"/>
      <c r="H786" s="56"/>
      <c r="I786" s="56"/>
      <c r="J786" s="60" t="str">
        <f aca="false">IF(IsPro,IF($D786="","",IFERROR(INDEX(Items!$D$5:$D$504,U786),"")),"")</f>
        <v/>
      </c>
      <c r="K786" s="61" t="str">
        <f aca="false">IF(IsPro,IF($D786="","",IF($F786="",IFERROR(INDEX(Items!$H$5:$H$504,U786),0),$F786)),"")</f>
        <v/>
      </c>
      <c r="L786" s="61" t="str">
        <f aca="false">IF(IsPro,IF($D786="","",ROUND(N($E786)*K786*(1-N($G786)),2)),"")</f>
        <v/>
      </c>
      <c r="M786" s="62" t="str">
        <f aca="false">IF(IsPro,IF($D786="","",IFERROR(INDEX(Items!$F$5:$F$504,U786),0)),"")</f>
        <v/>
      </c>
      <c r="N786" s="61" t="str">
        <f aca="false">IF(IsPro,IF($D786="","",IF(AND(V786&lt;&gt;"",INDEX(Parties!$E$5:$E$304,V786)&lt;&gt;"",INDEX(Parties!$E$5:$E$304,V786)&lt;&gt;HomeState),0,ROUND(L786*M786/2,2))),"")</f>
        <v/>
      </c>
      <c r="O786" s="61" t="str">
        <f aca="false">IF(IsPro,IF($D786="","",N786),"")</f>
        <v/>
      </c>
      <c r="P786" s="61" t="str">
        <f aca="false">IF(IsPro,IF($D786="","",IF(AND(V786&lt;&gt;"",INDEX(Parties!$E$5:$E$304,V786)&lt;&gt;"",INDEX(Parties!$E$5:$E$304,V786)&lt;&gt;HomeState),ROUND(L786*M786,2),0)),"")</f>
        <v/>
      </c>
      <c r="Q786" s="61" t="str">
        <f aca="false">IF(IsPro,IF($D786="","",L786+N786+O786+P786),"")</f>
        <v/>
      </c>
      <c r="R786" s="61" t="str">
        <f aca="false">IF(IsPro,IF($D786="","",ROUND(N($E786)*IFERROR(INDEX(Items!$P$5:$P$504,U786),0),2)),"")</f>
        <v/>
      </c>
      <c r="S786" s="61" t="str">
        <f aca="false">IF(IsPro,IF($D786="","",L786-R786),"")</f>
        <v/>
      </c>
      <c r="T786" s="60" t="str">
        <f aca="false">IF(IsPro,IF($D786="","",IF(U786="","UNKNOWN ITEM",IF(INDEX(Items!$O$5:$O$504,U786)&lt;0,"NEG STOCK",IF(K786&lt;INDEX(Items!$P$5:$P$504,U786),"BELOW COST","OK")))),IF($D786="","","PRO PLAN"))</f>
        <v/>
      </c>
      <c r="U786" s="60" t="str">
        <f aca="false">IF(IsPro,IF($D786="","",IFERROR(MATCH($D786,Items!$A$5:$A$504,0),"")),"")</f>
        <v/>
      </c>
      <c r="V786" s="60" t="str">
        <f aca="false">IF(IsPro,IF($C786="","",IFERROR(MATCH($C786,Parties!$A$5:$A$304,0),"")),"")</f>
        <v/>
      </c>
      <c r="W786" s="60" t="str">
        <f aca="false">IF(IsPro,IF($B786="","",IFERROR(VALUE(SUBSTITUTE($B786,InvPrefix,"")),0)),"")</f>
        <v/>
      </c>
      <c r="X786" s="61" t="str">
        <f aca="false">IF(IsPro,IF($D786="","",IF(OR($H786="",$H786="Credit"),0,Q786)),"")</f>
        <v/>
      </c>
    </row>
    <row r="787" customFormat="false" ht="15" hidden="false" customHeight="false" outlineLevel="0" collapsed="false">
      <c r="A787" s="55"/>
      <c r="B787" s="56"/>
      <c r="C787" s="56"/>
      <c r="D787" s="56"/>
      <c r="E787" s="57"/>
      <c r="F787" s="58"/>
      <c r="G787" s="59"/>
      <c r="H787" s="56"/>
      <c r="I787" s="56"/>
      <c r="J787" s="60" t="str">
        <f aca="false">IF(IsPro,IF($D787="","",IFERROR(INDEX(Items!$D$5:$D$504,U787),"")),"")</f>
        <v/>
      </c>
      <c r="K787" s="61" t="str">
        <f aca="false">IF(IsPro,IF($D787="","",IF($F787="",IFERROR(INDEX(Items!$H$5:$H$504,U787),0),$F787)),"")</f>
        <v/>
      </c>
      <c r="L787" s="61" t="str">
        <f aca="false">IF(IsPro,IF($D787="","",ROUND(N($E787)*K787*(1-N($G787)),2)),"")</f>
        <v/>
      </c>
      <c r="M787" s="62" t="str">
        <f aca="false">IF(IsPro,IF($D787="","",IFERROR(INDEX(Items!$F$5:$F$504,U787),0)),"")</f>
        <v/>
      </c>
      <c r="N787" s="61" t="str">
        <f aca="false">IF(IsPro,IF($D787="","",IF(AND(V787&lt;&gt;"",INDEX(Parties!$E$5:$E$304,V787)&lt;&gt;"",INDEX(Parties!$E$5:$E$304,V787)&lt;&gt;HomeState),0,ROUND(L787*M787/2,2))),"")</f>
        <v/>
      </c>
      <c r="O787" s="61" t="str">
        <f aca="false">IF(IsPro,IF($D787="","",N787),"")</f>
        <v/>
      </c>
      <c r="P787" s="61" t="str">
        <f aca="false">IF(IsPro,IF($D787="","",IF(AND(V787&lt;&gt;"",INDEX(Parties!$E$5:$E$304,V787)&lt;&gt;"",INDEX(Parties!$E$5:$E$304,V787)&lt;&gt;HomeState),ROUND(L787*M787,2),0)),"")</f>
        <v/>
      </c>
      <c r="Q787" s="61" t="str">
        <f aca="false">IF(IsPro,IF($D787="","",L787+N787+O787+P787),"")</f>
        <v/>
      </c>
      <c r="R787" s="61" t="str">
        <f aca="false">IF(IsPro,IF($D787="","",ROUND(N($E787)*IFERROR(INDEX(Items!$P$5:$P$504,U787),0),2)),"")</f>
        <v/>
      </c>
      <c r="S787" s="61" t="str">
        <f aca="false">IF(IsPro,IF($D787="","",L787-R787),"")</f>
        <v/>
      </c>
      <c r="T787" s="60" t="str">
        <f aca="false">IF(IsPro,IF($D787="","",IF(U787="","UNKNOWN ITEM",IF(INDEX(Items!$O$5:$O$504,U787)&lt;0,"NEG STOCK",IF(K787&lt;INDEX(Items!$P$5:$P$504,U787),"BELOW COST","OK")))),IF($D787="","","PRO PLAN"))</f>
        <v/>
      </c>
      <c r="U787" s="60" t="str">
        <f aca="false">IF(IsPro,IF($D787="","",IFERROR(MATCH($D787,Items!$A$5:$A$504,0),"")),"")</f>
        <v/>
      </c>
      <c r="V787" s="60" t="str">
        <f aca="false">IF(IsPro,IF($C787="","",IFERROR(MATCH($C787,Parties!$A$5:$A$304,0),"")),"")</f>
        <v/>
      </c>
      <c r="W787" s="60" t="str">
        <f aca="false">IF(IsPro,IF($B787="","",IFERROR(VALUE(SUBSTITUTE($B787,InvPrefix,"")),0)),"")</f>
        <v/>
      </c>
      <c r="X787" s="61" t="str">
        <f aca="false">IF(IsPro,IF($D787="","",IF(OR($H787="",$H787="Credit"),0,Q787)),"")</f>
        <v/>
      </c>
    </row>
    <row r="788" customFormat="false" ht="15" hidden="false" customHeight="false" outlineLevel="0" collapsed="false">
      <c r="A788" s="55"/>
      <c r="B788" s="56"/>
      <c r="C788" s="56"/>
      <c r="D788" s="56"/>
      <c r="E788" s="57"/>
      <c r="F788" s="58"/>
      <c r="G788" s="59"/>
      <c r="H788" s="56"/>
      <c r="I788" s="56"/>
      <c r="J788" s="60" t="str">
        <f aca="false">IF(IsPro,IF($D788="","",IFERROR(INDEX(Items!$D$5:$D$504,U788),"")),"")</f>
        <v/>
      </c>
      <c r="K788" s="61" t="str">
        <f aca="false">IF(IsPro,IF($D788="","",IF($F788="",IFERROR(INDEX(Items!$H$5:$H$504,U788),0),$F788)),"")</f>
        <v/>
      </c>
      <c r="L788" s="61" t="str">
        <f aca="false">IF(IsPro,IF($D788="","",ROUND(N($E788)*K788*(1-N($G788)),2)),"")</f>
        <v/>
      </c>
      <c r="M788" s="62" t="str">
        <f aca="false">IF(IsPro,IF($D788="","",IFERROR(INDEX(Items!$F$5:$F$504,U788),0)),"")</f>
        <v/>
      </c>
      <c r="N788" s="61" t="str">
        <f aca="false">IF(IsPro,IF($D788="","",IF(AND(V788&lt;&gt;"",INDEX(Parties!$E$5:$E$304,V788)&lt;&gt;"",INDEX(Parties!$E$5:$E$304,V788)&lt;&gt;HomeState),0,ROUND(L788*M788/2,2))),"")</f>
        <v/>
      </c>
      <c r="O788" s="61" t="str">
        <f aca="false">IF(IsPro,IF($D788="","",N788),"")</f>
        <v/>
      </c>
      <c r="P788" s="61" t="str">
        <f aca="false">IF(IsPro,IF($D788="","",IF(AND(V788&lt;&gt;"",INDEX(Parties!$E$5:$E$304,V788)&lt;&gt;"",INDEX(Parties!$E$5:$E$304,V788)&lt;&gt;HomeState),ROUND(L788*M788,2),0)),"")</f>
        <v/>
      </c>
      <c r="Q788" s="61" t="str">
        <f aca="false">IF(IsPro,IF($D788="","",L788+N788+O788+P788),"")</f>
        <v/>
      </c>
      <c r="R788" s="61" t="str">
        <f aca="false">IF(IsPro,IF($D788="","",ROUND(N($E788)*IFERROR(INDEX(Items!$P$5:$P$504,U788),0),2)),"")</f>
        <v/>
      </c>
      <c r="S788" s="61" t="str">
        <f aca="false">IF(IsPro,IF($D788="","",L788-R788),"")</f>
        <v/>
      </c>
      <c r="T788" s="60" t="str">
        <f aca="false">IF(IsPro,IF($D788="","",IF(U788="","UNKNOWN ITEM",IF(INDEX(Items!$O$5:$O$504,U788)&lt;0,"NEG STOCK",IF(K788&lt;INDEX(Items!$P$5:$P$504,U788),"BELOW COST","OK")))),IF($D788="","","PRO PLAN"))</f>
        <v/>
      </c>
      <c r="U788" s="60" t="str">
        <f aca="false">IF(IsPro,IF($D788="","",IFERROR(MATCH($D788,Items!$A$5:$A$504,0),"")),"")</f>
        <v/>
      </c>
      <c r="V788" s="60" t="str">
        <f aca="false">IF(IsPro,IF($C788="","",IFERROR(MATCH($C788,Parties!$A$5:$A$304,0),"")),"")</f>
        <v/>
      </c>
      <c r="W788" s="60" t="str">
        <f aca="false">IF(IsPro,IF($B788="","",IFERROR(VALUE(SUBSTITUTE($B788,InvPrefix,"")),0)),"")</f>
        <v/>
      </c>
      <c r="X788" s="61" t="str">
        <f aca="false">IF(IsPro,IF($D788="","",IF(OR($H788="",$H788="Credit"),0,Q788)),"")</f>
        <v/>
      </c>
    </row>
    <row r="789" customFormat="false" ht="15" hidden="false" customHeight="false" outlineLevel="0" collapsed="false">
      <c r="A789" s="55"/>
      <c r="B789" s="56"/>
      <c r="C789" s="56"/>
      <c r="D789" s="56"/>
      <c r="E789" s="57"/>
      <c r="F789" s="58"/>
      <c r="G789" s="59"/>
      <c r="H789" s="56"/>
      <c r="I789" s="56"/>
      <c r="J789" s="60" t="str">
        <f aca="false">IF(IsPro,IF($D789="","",IFERROR(INDEX(Items!$D$5:$D$504,U789),"")),"")</f>
        <v/>
      </c>
      <c r="K789" s="61" t="str">
        <f aca="false">IF(IsPro,IF($D789="","",IF($F789="",IFERROR(INDEX(Items!$H$5:$H$504,U789),0),$F789)),"")</f>
        <v/>
      </c>
      <c r="L789" s="61" t="str">
        <f aca="false">IF(IsPro,IF($D789="","",ROUND(N($E789)*K789*(1-N($G789)),2)),"")</f>
        <v/>
      </c>
      <c r="M789" s="62" t="str">
        <f aca="false">IF(IsPro,IF($D789="","",IFERROR(INDEX(Items!$F$5:$F$504,U789),0)),"")</f>
        <v/>
      </c>
      <c r="N789" s="61" t="str">
        <f aca="false">IF(IsPro,IF($D789="","",IF(AND(V789&lt;&gt;"",INDEX(Parties!$E$5:$E$304,V789)&lt;&gt;"",INDEX(Parties!$E$5:$E$304,V789)&lt;&gt;HomeState),0,ROUND(L789*M789/2,2))),"")</f>
        <v/>
      </c>
      <c r="O789" s="61" t="str">
        <f aca="false">IF(IsPro,IF($D789="","",N789),"")</f>
        <v/>
      </c>
      <c r="P789" s="61" t="str">
        <f aca="false">IF(IsPro,IF($D789="","",IF(AND(V789&lt;&gt;"",INDEX(Parties!$E$5:$E$304,V789)&lt;&gt;"",INDEX(Parties!$E$5:$E$304,V789)&lt;&gt;HomeState),ROUND(L789*M789,2),0)),"")</f>
        <v/>
      </c>
      <c r="Q789" s="61" t="str">
        <f aca="false">IF(IsPro,IF($D789="","",L789+N789+O789+P789),"")</f>
        <v/>
      </c>
      <c r="R789" s="61" t="str">
        <f aca="false">IF(IsPro,IF($D789="","",ROUND(N($E789)*IFERROR(INDEX(Items!$P$5:$P$504,U789),0),2)),"")</f>
        <v/>
      </c>
      <c r="S789" s="61" t="str">
        <f aca="false">IF(IsPro,IF($D789="","",L789-R789),"")</f>
        <v/>
      </c>
      <c r="T789" s="60" t="str">
        <f aca="false">IF(IsPro,IF($D789="","",IF(U789="","UNKNOWN ITEM",IF(INDEX(Items!$O$5:$O$504,U789)&lt;0,"NEG STOCK",IF(K789&lt;INDEX(Items!$P$5:$P$504,U789),"BELOW COST","OK")))),IF($D789="","","PRO PLAN"))</f>
        <v/>
      </c>
      <c r="U789" s="60" t="str">
        <f aca="false">IF(IsPro,IF($D789="","",IFERROR(MATCH($D789,Items!$A$5:$A$504,0),"")),"")</f>
        <v/>
      </c>
      <c r="V789" s="60" t="str">
        <f aca="false">IF(IsPro,IF($C789="","",IFERROR(MATCH($C789,Parties!$A$5:$A$304,0),"")),"")</f>
        <v/>
      </c>
      <c r="W789" s="60" t="str">
        <f aca="false">IF(IsPro,IF($B789="","",IFERROR(VALUE(SUBSTITUTE($B789,InvPrefix,"")),0)),"")</f>
        <v/>
      </c>
      <c r="X789" s="61" t="str">
        <f aca="false">IF(IsPro,IF($D789="","",IF(OR($H789="",$H789="Credit"),0,Q789)),"")</f>
        <v/>
      </c>
    </row>
    <row r="790" customFormat="false" ht="15" hidden="false" customHeight="false" outlineLevel="0" collapsed="false">
      <c r="A790" s="55"/>
      <c r="B790" s="56"/>
      <c r="C790" s="56"/>
      <c r="D790" s="56"/>
      <c r="E790" s="57"/>
      <c r="F790" s="58"/>
      <c r="G790" s="59"/>
      <c r="H790" s="56"/>
      <c r="I790" s="56"/>
      <c r="J790" s="60" t="str">
        <f aca="false">IF(IsPro,IF($D790="","",IFERROR(INDEX(Items!$D$5:$D$504,U790),"")),"")</f>
        <v/>
      </c>
      <c r="K790" s="61" t="str">
        <f aca="false">IF(IsPro,IF($D790="","",IF($F790="",IFERROR(INDEX(Items!$H$5:$H$504,U790),0),$F790)),"")</f>
        <v/>
      </c>
      <c r="L790" s="61" t="str">
        <f aca="false">IF(IsPro,IF($D790="","",ROUND(N($E790)*K790*(1-N($G790)),2)),"")</f>
        <v/>
      </c>
      <c r="M790" s="62" t="str">
        <f aca="false">IF(IsPro,IF($D790="","",IFERROR(INDEX(Items!$F$5:$F$504,U790),0)),"")</f>
        <v/>
      </c>
      <c r="N790" s="61" t="str">
        <f aca="false">IF(IsPro,IF($D790="","",IF(AND(V790&lt;&gt;"",INDEX(Parties!$E$5:$E$304,V790)&lt;&gt;"",INDEX(Parties!$E$5:$E$304,V790)&lt;&gt;HomeState),0,ROUND(L790*M790/2,2))),"")</f>
        <v/>
      </c>
      <c r="O790" s="61" t="str">
        <f aca="false">IF(IsPro,IF($D790="","",N790),"")</f>
        <v/>
      </c>
      <c r="P790" s="61" t="str">
        <f aca="false">IF(IsPro,IF($D790="","",IF(AND(V790&lt;&gt;"",INDEX(Parties!$E$5:$E$304,V790)&lt;&gt;"",INDEX(Parties!$E$5:$E$304,V790)&lt;&gt;HomeState),ROUND(L790*M790,2),0)),"")</f>
        <v/>
      </c>
      <c r="Q790" s="61" t="str">
        <f aca="false">IF(IsPro,IF($D790="","",L790+N790+O790+P790),"")</f>
        <v/>
      </c>
      <c r="R790" s="61" t="str">
        <f aca="false">IF(IsPro,IF($D790="","",ROUND(N($E790)*IFERROR(INDEX(Items!$P$5:$P$504,U790),0),2)),"")</f>
        <v/>
      </c>
      <c r="S790" s="61" t="str">
        <f aca="false">IF(IsPro,IF($D790="","",L790-R790),"")</f>
        <v/>
      </c>
      <c r="T790" s="60" t="str">
        <f aca="false">IF(IsPro,IF($D790="","",IF(U790="","UNKNOWN ITEM",IF(INDEX(Items!$O$5:$O$504,U790)&lt;0,"NEG STOCK",IF(K790&lt;INDEX(Items!$P$5:$P$504,U790),"BELOW COST","OK")))),IF($D790="","","PRO PLAN"))</f>
        <v/>
      </c>
      <c r="U790" s="60" t="str">
        <f aca="false">IF(IsPro,IF($D790="","",IFERROR(MATCH($D790,Items!$A$5:$A$504,0),"")),"")</f>
        <v/>
      </c>
      <c r="V790" s="60" t="str">
        <f aca="false">IF(IsPro,IF($C790="","",IFERROR(MATCH($C790,Parties!$A$5:$A$304,0),"")),"")</f>
        <v/>
      </c>
      <c r="W790" s="60" t="str">
        <f aca="false">IF(IsPro,IF($B790="","",IFERROR(VALUE(SUBSTITUTE($B790,InvPrefix,"")),0)),"")</f>
        <v/>
      </c>
      <c r="X790" s="61" t="str">
        <f aca="false">IF(IsPro,IF($D790="","",IF(OR($H790="",$H790="Credit"),0,Q790)),"")</f>
        <v/>
      </c>
    </row>
    <row r="791" customFormat="false" ht="15" hidden="false" customHeight="false" outlineLevel="0" collapsed="false">
      <c r="A791" s="55"/>
      <c r="B791" s="56"/>
      <c r="C791" s="56"/>
      <c r="D791" s="56"/>
      <c r="E791" s="57"/>
      <c r="F791" s="58"/>
      <c r="G791" s="59"/>
      <c r="H791" s="56"/>
      <c r="I791" s="56"/>
      <c r="J791" s="60" t="str">
        <f aca="false">IF(IsPro,IF($D791="","",IFERROR(INDEX(Items!$D$5:$D$504,U791),"")),"")</f>
        <v/>
      </c>
      <c r="K791" s="61" t="str">
        <f aca="false">IF(IsPro,IF($D791="","",IF($F791="",IFERROR(INDEX(Items!$H$5:$H$504,U791),0),$F791)),"")</f>
        <v/>
      </c>
      <c r="L791" s="61" t="str">
        <f aca="false">IF(IsPro,IF($D791="","",ROUND(N($E791)*K791*(1-N($G791)),2)),"")</f>
        <v/>
      </c>
      <c r="M791" s="62" t="str">
        <f aca="false">IF(IsPro,IF($D791="","",IFERROR(INDEX(Items!$F$5:$F$504,U791),0)),"")</f>
        <v/>
      </c>
      <c r="N791" s="61" t="str">
        <f aca="false">IF(IsPro,IF($D791="","",IF(AND(V791&lt;&gt;"",INDEX(Parties!$E$5:$E$304,V791)&lt;&gt;"",INDEX(Parties!$E$5:$E$304,V791)&lt;&gt;HomeState),0,ROUND(L791*M791/2,2))),"")</f>
        <v/>
      </c>
      <c r="O791" s="61" t="str">
        <f aca="false">IF(IsPro,IF($D791="","",N791),"")</f>
        <v/>
      </c>
      <c r="P791" s="61" t="str">
        <f aca="false">IF(IsPro,IF($D791="","",IF(AND(V791&lt;&gt;"",INDEX(Parties!$E$5:$E$304,V791)&lt;&gt;"",INDEX(Parties!$E$5:$E$304,V791)&lt;&gt;HomeState),ROUND(L791*M791,2),0)),"")</f>
        <v/>
      </c>
      <c r="Q791" s="61" t="str">
        <f aca="false">IF(IsPro,IF($D791="","",L791+N791+O791+P791),"")</f>
        <v/>
      </c>
      <c r="R791" s="61" t="str">
        <f aca="false">IF(IsPro,IF($D791="","",ROUND(N($E791)*IFERROR(INDEX(Items!$P$5:$P$504,U791),0),2)),"")</f>
        <v/>
      </c>
      <c r="S791" s="61" t="str">
        <f aca="false">IF(IsPro,IF($D791="","",L791-R791),"")</f>
        <v/>
      </c>
      <c r="T791" s="60" t="str">
        <f aca="false">IF(IsPro,IF($D791="","",IF(U791="","UNKNOWN ITEM",IF(INDEX(Items!$O$5:$O$504,U791)&lt;0,"NEG STOCK",IF(K791&lt;INDEX(Items!$P$5:$P$504,U791),"BELOW COST","OK")))),IF($D791="","","PRO PLAN"))</f>
        <v/>
      </c>
      <c r="U791" s="60" t="str">
        <f aca="false">IF(IsPro,IF($D791="","",IFERROR(MATCH($D791,Items!$A$5:$A$504,0),"")),"")</f>
        <v/>
      </c>
      <c r="V791" s="60" t="str">
        <f aca="false">IF(IsPro,IF($C791="","",IFERROR(MATCH($C791,Parties!$A$5:$A$304,0),"")),"")</f>
        <v/>
      </c>
      <c r="W791" s="60" t="str">
        <f aca="false">IF(IsPro,IF($B791="","",IFERROR(VALUE(SUBSTITUTE($B791,InvPrefix,"")),0)),"")</f>
        <v/>
      </c>
      <c r="X791" s="61" t="str">
        <f aca="false">IF(IsPro,IF($D791="","",IF(OR($H791="",$H791="Credit"),0,Q791)),"")</f>
        <v/>
      </c>
    </row>
    <row r="792" customFormat="false" ht="15" hidden="false" customHeight="false" outlineLevel="0" collapsed="false">
      <c r="A792" s="55"/>
      <c r="B792" s="56"/>
      <c r="C792" s="56"/>
      <c r="D792" s="56"/>
      <c r="E792" s="57"/>
      <c r="F792" s="58"/>
      <c r="G792" s="59"/>
      <c r="H792" s="56"/>
      <c r="I792" s="56"/>
      <c r="J792" s="60" t="str">
        <f aca="false">IF(IsPro,IF($D792="","",IFERROR(INDEX(Items!$D$5:$D$504,U792),"")),"")</f>
        <v/>
      </c>
      <c r="K792" s="61" t="str">
        <f aca="false">IF(IsPro,IF($D792="","",IF($F792="",IFERROR(INDEX(Items!$H$5:$H$504,U792),0),$F792)),"")</f>
        <v/>
      </c>
      <c r="L792" s="61" t="str">
        <f aca="false">IF(IsPro,IF($D792="","",ROUND(N($E792)*K792*(1-N($G792)),2)),"")</f>
        <v/>
      </c>
      <c r="M792" s="62" t="str">
        <f aca="false">IF(IsPro,IF($D792="","",IFERROR(INDEX(Items!$F$5:$F$504,U792),0)),"")</f>
        <v/>
      </c>
      <c r="N792" s="61" t="str">
        <f aca="false">IF(IsPro,IF($D792="","",IF(AND(V792&lt;&gt;"",INDEX(Parties!$E$5:$E$304,V792)&lt;&gt;"",INDEX(Parties!$E$5:$E$304,V792)&lt;&gt;HomeState),0,ROUND(L792*M792/2,2))),"")</f>
        <v/>
      </c>
      <c r="O792" s="61" t="str">
        <f aca="false">IF(IsPro,IF($D792="","",N792),"")</f>
        <v/>
      </c>
      <c r="P792" s="61" t="str">
        <f aca="false">IF(IsPro,IF($D792="","",IF(AND(V792&lt;&gt;"",INDEX(Parties!$E$5:$E$304,V792)&lt;&gt;"",INDEX(Parties!$E$5:$E$304,V792)&lt;&gt;HomeState),ROUND(L792*M792,2),0)),"")</f>
        <v/>
      </c>
      <c r="Q792" s="61" t="str">
        <f aca="false">IF(IsPro,IF($D792="","",L792+N792+O792+P792),"")</f>
        <v/>
      </c>
      <c r="R792" s="61" t="str">
        <f aca="false">IF(IsPro,IF($D792="","",ROUND(N($E792)*IFERROR(INDEX(Items!$P$5:$P$504,U792),0),2)),"")</f>
        <v/>
      </c>
      <c r="S792" s="61" t="str">
        <f aca="false">IF(IsPro,IF($D792="","",L792-R792),"")</f>
        <v/>
      </c>
      <c r="T792" s="60" t="str">
        <f aca="false">IF(IsPro,IF($D792="","",IF(U792="","UNKNOWN ITEM",IF(INDEX(Items!$O$5:$O$504,U792)&lt;0,"NEG STOCK",IF(K792&lt;INDEX(Items!$P$5:$P$504,U792),"BELOW COST","OK")))),IF($D792="","","PRO PLAN"))</f>
        <v/>
      </c>
      <c r="U792" s="60" t="str">
        <f aca="false">IF(IsPro,IF($D792="","",IFERROR(MATCH($D792,Items!$A$5:$A$504,0),"")),"")</f>
        <v/>
      </c>
      <c r="V792" s="60" t="str">
        <f aca="false">IF(IsPro,IF($C792="","",IFERROR(MATCH($C792,Parties!$A$5:$A$304,0),"")),"")</f>
        <v/>
      </c>
      <c r="W792" s="60" t="str">
        <f aca="false">IF(IsPro,IF($B792="","",IFERROR(VALUE(SUBSTITUTE($B792,InvPrefix,"")),0)),"")</f>
        <v/>
      </c>
      <c r="X792" s="61" t="str">
        <f aca="false">IF(IsPro,IF($D792="","",IF(OR($H792="",$H792="Credit"),0,Q792)),"")</f>
        <v/>
      </c>
    </row>
    <row r="793" customFormat="false" ht="15" hidden="false" customHeight="false" outlineLevel="0" collapsed="false">
      <c r="A793" s="55"/>
      <c r="B793" s="56"/>
      <c r="C793" s="56"/>
      <c r="D793" s="56"/>
      <c r="E793" s="57"/>
      <c r="F793" s="58"/>
      <c r="G793" s="59"/>
      <c r="H793" s="56"/>
      <c r="I793" s="56"/>
      <c r="J793" s="60" t="str">
        <f aca="false">IF(IsPro,IF($D793="","",IFERROR(INDEX(Items!$D$5:$D$504,U793),"")),"")</f>
        <v/>
      </c>
      <c r="K793" s="61" t="str">
        <f aca="false">IF(IsPro,IF($D793="","",IF($F793="",IFERROR(INDEX(Items!$H$5:$H$504,U793),0),$F793)),"")</f>
        <v/>
      </c>
      <c r="L793" s="61" t="str">
        <f aca="false">IF(IsPro,IF($D793="","",ROUND(N($E793)*K793*(1-N($G793)),2)),"")</f>
        <v/>
      </c>
      <c r="M793" s="62" t="str">
        <f aca="false">IF(IsPro,IF($D793="","",IFERROR(INDEX(Items!$F$5:$F$504,U793),0)),"")</f>
        <v/>
      </c>
      <c r="N793" s="61" t="str">
        <f aca="false">IF(IsPro,IF($D793="","",IF(AND(V793&lt;&gt;"",INDEX(Parties!$E$5:$E$304,V793)&lt;&gt;"",INDEX(Parties!$E$5:$E$304,V793)&lt;&gt;HomeState),0,ROUND(L793*M793/2,2))),"")</f>
        <v/>
      </c>
      <c r="O793" s="61" t="str">
        <f aca="false">IF(IsPro,IF($D793="","",N793),"")</f>
        <v/>
      </c>
      <c r="P793" s="61" t="str">
        <f aca="false">IF(IsPro,IF($D793="","",IF(AND(V793&lt;&gt;"",INDEX(Parties!$E$5:$E$304,V793)&lt;&gt;"",INDEX(Parties!$E$5:$E$304,V793)&lt;&gt;HomeState),ROUND(L793*M793,2),0)),"")</f>
        <v/>
      </c>
      <c r="Q793" s="61" t="str">
        <f aca="false">IF(IsPro,IF($D793="","",L793+N793+O793+P793),"")</f>
        <v/>
      </c>
      <c r="R793" s="61" t="str">
        <f aca="false">IF(IsPro,IF($D793="","",ROUND(N($E793)*IFERROR(INDEX(Items!$P$5:$P$504,U793),0),2)),"")</f>
        <v/>
      </c>
      <c r="S793" s="61" t="str">
        <f aca="false">IF(IsPro,IF($D793="","",L793-R793),"")</f>
        <v/>
      </c>
      <c r="T793" s="60" t="str">
        <f aca="false">IF(IsPro,IF($D793="","",IF(U793="","UNKNOWN ITEM",IF(INDEX(Items!$O$5:$O$504,U793)&lt;0,"NEG STOCK",IF(K793&lt;INDEX(Items!$P$5:$P$504,U793),"BELOW COST","OK")))),IF($D793="","","PRO PLAN"))</f>
        <v/>
      </c>
      <c r="U793" s="60" t="str">
        <f aca="false">IF(IsPro,IF($D793="","",IFERROR(MATCH($D793,Items!$A$5:$A$504,0),"")),"")</f>
        <v/>
      </c>
      <c r="V793" s="60" t="str">
        <f aca="false">IF(IsPro,IF($C793="","",IFERROR(MATCH($C793,Parties!$A$5:$A$304,0),"")),"")</f>
        <v/>
      </c>
      <c r="W793" s="60" t="str">
        <f aca="false">IF(IsPro,IF($B793="","",IFERROR(VALUE(SUBSTITUTE($B793,InvPrefix,"")),0)),"")</f>
        <v/>
      </c>
      <c r="X793" s="61" t="str">
        <f aca="false">IF(IsPro,IF($D793="","",IF(OR($H793="",$H793="Credit"),0,Q793)),"")</f>
        <v/>
      </c>
    </row>
    <row r="794" customFormat="false" ht="15" hidden="false" customHeight="false" outlineLevel="0" collapsed="false">
      <c r="A794" s="55"/>
      <c r="B794" s="56"/>
      <c r="C794" s="56"/>
      <c r="D794" s="56"/>
      <c r="E794" s="57"/>
      <c r="F794" s="58"/>
      <c r="G794" s="59"/>
      <c r="H794" s="56"/>
      <c r="I794" s="56"/>
      <c r="J794" s="60" t="str">
        <f aca="false">IF(IsPro,IF($D794="","",IFERROR(INDEX(Items!$D$5:$D$504,U794),"")),"")</f>
        <v/>
      </c>
      <c r="K794" s="61" t="str">
        <f aca="false">IF(IsPro,IF($D794="","",IF($F794="",IFERROR(INDEX(Items!$H$5:$H$504,U794),0),$F794)),"")</f>
        <v/>
      </c>
      <c r="L794" s="61" t="str">
        <f aca="false">IF(IsPro,IF($D794="","",ROUND(N($E794)*K794*(1-N($G794)),2)),"")</f>
        <v/>
      </c>
      <c r="M794" s="62" t="str">
        <f aca="false">IF(IsPro,IF($D794="","",IFERROR(INDEX(Items!$F$5:$F$504,U794),0)),"")</f>
        <v/>
      </c>
      <c r="N794" s="61" t="str">
        <f aca="false">IF(IsPro,IF($D794="","",IF(AND(V794&lt;&gt;"",INDEX(Parties!$E$5:$E$304,V794)&lt;&gt;"",INDEX(Parties!$E$5:$E$304,V794)&lt;&gt;HomeState),0,ROUND(L794*M794/2,2))),"")</f>
        <v/>
      </c>
      <c r="O794" s="61" t="str">
        <f aca="false">IF(IsPro,IF($D794="","",N794),"")</f>
        <v/>
      </c>
      <c r="P794" s="61" t="str">
        <f aca="false">IF(IsPro,IF($D794="","",IF(AND(V794&lt;&gt;"",INDEX(Parties!$E$5:$E$304,V794)&lt;&gt;"",INDEX(Parties!$E$5:$E$304,V794)&lt;&gt;HomeState),ROUND(L794*M794,2),0)),"")</f>
        <v/>
      </c>
      <c r="Q794" s="61" t="str">
        <f aca="false">IF(IsPro,IF($D794="","",L794+N794+O794+P794),"")</f>
        <v/>
      </c>
      <c r="R794" s="61" t="str">
        <f aca="false">IF(IsPro,IF($D794="","",ROUND(N($E794)*IFERROR(INDEX(Items!$P$5:$P$504,U794),0),2)),"")</f>
        <v/>
      </c>
      <c r="S794" s="61" t="str">
        <f aca="false">IF(IsPro,IF($D794="","",L794-R794),"")</f>
        <v/>
      </c>
      <c r="T794" s="60" t="str">
        <f aca="false">IF(IsPro,IF($D794="","",IF(U794="","UNKNOWN ITEM",IF(INDEX(Items!$O$5:$O$504,U794)&lt;0,"NEG STOCK",IF(K794&lt;INDEX(Items!$P$5:$P$504,U794),"BELOW COST","OK")))),IF($D794="","","PRO PLAN"))</f>
        <v/>
      </c>
      <c r="U794" s="60" t="str">
        <f aca="false">IF(IsPro,IF($D794="","",IFERROR(MATCH($D794,Items!$A$5:$A$504,0),"")),"")</f>
        <v/>
      </c>
      <c r="V794" s="60" t="str">
        <f aca="false">IF(IsPro,IF($C794="","",IFERROR(MATCH($C794,Parties!$A$5:$A$304,0),"")),"")</f>
        <v/>
      </c>
      <c r="W794" s="60" t="str">
        <f aca="false">IF(IsPro,IF($B794="","",IFERROR(VALUE(SUBSTITUTE($B794,InvPrefix,"")),0)),"")</f>
        <v/>
      </c>
      <c r="X794" s="61" t="str">
        <f aca="false">IF(IsPro,IF($D794="","",IF(OR($H794="",$H794="Credit"),0,Q794)),"")</f>
        <v/>
      </c>
    </row>
    <row r="795" customFormat="false" ht="15" hidden="false" customHeight="false" outlineLevel="0" collapsed="false">
      <c r="A795" s="55"/>
      <c r="B795" s="56"/>
      <c r="C795" s="56"/>
      <c r="D795" s="56"/>
      <c r="E795" s="57"/>
      <c r="F795" s="58"/>
      <c r="G795" s="59"/>
      <c r="H795" s="56"/>
      <c r="I795" s="56"/>
      <c r="J795" s="60" t="str">
        <f aca="false">IF(IsPro,IF($D795="","",IFERROR(INDEX(Items!$D$5:$D$504,U795),"")),"")</f>
        <v/>
      </c>
      <c r="K795" s="61" t="str">
        <f aca="false">IF(IsPro,IF($D795="","",IF($F795="",IFERROR(INDEX(Items!$H$5:$H$504,U795),0),$F795)),"")</f>
        <v/>
      </c>
      <c r="L795" s="61" t="str">
        <f aca="false">IF(IsPro,IF($D795="","",ROUND(N($E795)*K795*(1-N($G795)),2)),"")</f>
        <v/>
      </c>
      <c r="M795" s="62" t="str">
        <f aca="false">IF(IsPro,IF($D795="","",IFERROR(INDEX(Items!$F$5:$F$504,U795),0)),"")</f>
        <v/>
      </c>
      <c r="N795" s="61" t="str">
        <f aca="false">IF(IsPro,IF($D795="","",IF(AND(V795&lt;&gt;"",INDEX(Parties!$E$5:$E$304,V795)&lt;&gt;"",INDEX(Parties!$E$5:$E$304,V795)&lt;&gt;HomeState),0,ROUND(L795*M795/2,2))),"")</f>
        <v/>
      </c>
      <c r="O795" s="61" t="str">
        <f aca="false">IF(IsPro,IF($D795="","",N795),"")</f>
        <v/>
      </c>
      <c r="P795" s="61" t="str">
        <f aca="false">IF(IsPro,IF($D795="","",IF(AND(V795&lt;&gt;"",INDEX(Parties!$E$5:$E$304,V795)&lt;&gt;"",INDEX(Parties!$E$5:$E$304,V795)&lt;&gt;HomeState),ROUND(L795*M795,2),0)),"")</f>
        <v/>
      </c>
      <c r="Q795" s="61" t="str">
        <f aca="false">IF(IsPro,IF($D795="","",L795+N795+O795+P795),"")</f>
        <v/>
      </c>
      <c r="R795" s="61" t="str">
        <f aca="false">IF(IsPro,IF($D795="","",ROUND(N($E795)*IFERROR(INDEX(Items!$P$5:$P$504,U795),0),2)),"")</f>
        <v/>
      </c>
      <c r="S795" s="61" t="str">
        <f aca="false">IF(IsPro,IF($D795="","",L795-R795),"")</f>
        <v/>
      </c>
      <c r="T795" s="60" t="str">
        <f aca="false">IF(IsPro,IF($D795="","",IF(U795="","UNKNOWN ITEM",IF(INDEX(Items!$O$5:$O$504,U795)&lt;0,"NEG STOCK",IF(K795&lt;INDEX(Items!$P$5:$P$504,U795),"BELOW COST","OK")))),IF($D795="","","PRO PLAN"))</f>
        <v/>
      </c>
      <c r="U795" s="60" t="str">
        <f aca="false">IF(IsPro,IF($D795="","",IFERROR(MATCH($D795,Items!$A$5:$A$504,0),"")),"")</f>
        <v/>
      </c>
      <c r="V795" s="60" t="str">
        <f aca="false">IF(IsPro,IF($C795="","",IFERROR(MATCH($C795,Parties!$A$5:$A$304,0),"")),"")</f>
        <v/>
      </c>
      <c r="W795" s="60" t="str">
        <f aca="false">IF(IsPro,IF($B795="","",IFERROR(VALUE(SUBSTITUTE($B795,InvPrefix,"")),0)),"")</f>
        <v/>
      </c>
      <c r="X795" s="61" t="str">
        <f aca="false">IF(IsPro,IF($D795="","",IF(OR($H795="",$H795="Credit"),0,Q795)),"")</f>
        <v/>
      </c>
    </row>
    <row r="796" customFormat="false" ht="15" hidden="false" customHeight="false" outlineLevel="0" collapsed="false">
      <c r="A796" s="55"/>
      <c r="B796" s="56"/>
      <c r="C796" s="56"/>
      <c r="D796" s="56"/>
      <c r="E796" s="57"/>
      <c r="F796" s="58"/>
      <c r="G796" s="59"/>
      <c r="H796" s="56"/>
      <c r="I796" s="56"/>
      <c r="J796" s="60" t="str">
        <f aca="false">IF(IsPro,IF($D796="","",IFERROR(INDEX(Items!$D$5:$D$504,U796),"")),"")</f>
        <v/>
      </c>
      <c r="K796" s="61" t="str">
        <f aca="false">IF(IsPro,IF($D796="","",IF($F796="",IFERROR(INDEX(Items!$H$5:$H$504,U796),0),$F796)),"")</f>
        <v/>
      </c>
      <c r="L796" s="61" t="str">
        <f aca="false">IF(IsPro,IF($D796="","",ROUND(N($E796)*K796*(1-N($G796)),2)),"")</f>
        <v/>
      </c>
      <c r="M796" s="62" t="str">
        <f aca="false">IF(IsPro,IF($D796="","",IFERROR(INDEX(Items!$F$5:$F$504,U796),0)),"")</f>
        <v/>
      </c>
      <c r="N796" s="61" t="str">
        <f aca="false">IF(IsPro,IF($D796="","",IF(AND(V796&lt;&gt;"",INDEX(Parties!$E$5:$E$304,V796)&lt;&gt;"",INDEX(Parties!$E$5:$E$304,V796)&lt;&gt;HomeState),0,ROUND(L796*M796/2,2))),"")</f>
        <v/>
      </c>
      <c r="O796" s="61" t="str">
        <f aca="false">IF(IsPro,IF($D796="","",N796),"")</f>
        <v/>
      </c>
      <c r="P796" s="61" t="str">
        <f aca="false">IF(IsPro,IF($D796="","",IF(AND(V796&lt;&gt;"",INDEX(Parties!$E$5:$E$304,V796)&lt;&gt;"",INDEX(Parties!$E$5:$E$304,V796)&lt;&gt;HomeState),ROUND(L796*M796,2),0)),"")</f>
        <v/>
      </c>
      <c r="Q796" s="61" t="str">
        <f aca="false">IF(IsPro,IF($D796="","",L796+N796+O796+P796),"")</f>
        <v/>
      </c>
      <c r="R796" s="61" t="str">
        <f aca="false">IF(IsPro,IF($D796="","",ROUND(N($E796)*IFERROR(INDEX(Items!$P$5:$P$504,U796),0),2)),"")</f>
        <v/>
      </c>
      <c r="S796" s="61" t="str">
        <f aca="false">IF(IsPro,IF($D796="","",L796-R796),"")</f>
        <v/>
      </c>
      <c r="T796" s="60" t="str">
        <f aca="false">IF(IsPro,IF($D796="","",IF(U796="","UNKNOWN ITEM",IF(INDEX(Items!$O$5:$O$504,U796)&lt;0,"NEG STOCK",IF(K796&lt;INDEX(Items!$P$5:$P$504,U796),"BELOW COST","OK")))),IF($D796="","","PRO PLAN"))</f>
        <v/>
      </c>
      <c r="U796" s="60" t="str">
        <f aca="false">IF(IsPro,IF($D796="","",IFERROR(MATCH($D796,Items!$A$5:$A$504,0),"")),"")</f>
        <v/>
      </c>
      <c r="V796" s="60" t="str">
        <f aca="false">IF(IsPro,IF($C796="","",IFERROR(MATCH($C796,Parties!$A$5:$A$304,0),"")),"")</f>
        <v/>
      </c>
      <c r="W796" s="60" t="str">
        <f aca="false">IF(IsPro,IF($B796="","",IFERROR(VALUE(SUBSTITUTE($B796,InvPrefix,"")),0)),"")</f>
        <v/>
      </c>
      <c r="X796" s="61" t="str">
        <f aca="false">IF(IsPro,IF($D796="","",IF(OR($H796="",$H796="Credit"),0,Q796)),"")</f>
        <v/>
      </c>
    </row>
    <row r="797" customFormat="false" ht="15" hidden="false" customHeight="false" outlineLevel="0" collapsed="false">
      <c r="A797" s="55"/>
      <c r="B797" s="56"/>
      <c r="C797" s="56"/>
      <c r="D797" s="56"/>
      <c r="E797" s="57"/>
      <c r="F797" s="58"/>
      <c r="G797" s="59"/>
      <c r="H797" s="56"/>
      <c r="I797" s="56"/>
      <c r="J797" s="60" t="str">
        <f aca="false">IF(IsPro,IF($D797="","",IFERROR(INDEX(Items!$D$5:$D$504,U797),"")),"")</f>
        <v/>
      </c>
      <c r="K797" s="61" t="str">
        <f aca="false">IF(IsPro,IF($D797="","",IF($F797="",IFERROR(INDEX(Items!$H$5:$H$504,U797),0),$F797)),"")</f>
        <v/>
      </c>
      <c r="L797" s="61" t="str">
        <f aca="false">IF(IsPro,IF($D797="","",ROUND(N($E797)*K797*(1-N($G797)),2)),"")</f>
        <v/>
      </c>
      <c r="M797" s="62" t="str">
        <f aca="false">IF(IsPro,IF($D797="","",IFERROR(INDEX(Items!$F$5:$F$504,U797),0)),"")</f>
        <v/>
      </c>
      <c r="N797" s="61" t="str">
        <f aca="false">IF(IsPro,IF($D797="","",IF(AND(V797&lt;&gt;"",INDEX(Parties!$E$5:$E$304,V797)&lt;&gt;"",INDEX(Parties!$E$5:$E$304,V797)&lt;&gt;HomeState),0,ROUND(L797*M797/2,2))),"")</f>
        <v/>
      </c>
      <c r="O797" s="61" t="str">
        <f aca="false">IF(IsPro,IF($D797="","",N797),"")</f>
        <v/>
      </c>
      <c r="P797" s="61" t="str">
        <f aca="false">IF(IsPro,IF($D797="","",IF(AND(V797&lt;&gt;"",INDEX(Parties!$E$5:$E$304,V797)&lt;&gt;"",INDEX(Parties!$E$5:$E$304,V797)&lt;&gt;HomeState),ROUND(L797*M797,2),0)),"")</f>
        <v/>
      </c>
      <c r="Q797" s="61" t="str">
        <f aca="false">IF(IsPro,IF($D797="","",L797+N797+O797+P797),"")</f>
        <v/>
      </c>
      <c r="R797" s="61" t="str">
        <f aca="false">IF(IsPro,IF($D797="","",ROUND(N($E797)*IFERROR(INDEX(Items!$P$5:$P$504,U797),0),2)),"")</f>
        <v/>
      </c>
      <c r="S797" s="61" t="str">
        <f aca="false">IF(IsPro,IF($D797="","",L797-R797),"")</f>
        <v/>
      </c>
      <c r="T797" s="60" t="str">
        <f aca="false">IF(IsPro,IF($D797="","",IF(U797="","UNKNOWN ITEM",IF(INDEX(Items!$O$5:$O$504,U797)&lt;0,"NEG STOCK",IF(K797&lt;INDEX(Items!$P$5:$P$504,U797),"BELOW COST","OK")))),IF($D797="","","PRO PLAN"))</f>
        <v/>
      </c>
      <c r="U797" s="60" t="str">
        <f aca="false">IF(IsPro,IF($D797="","",IFERROR(MATCH($D797,Items!$A$5:$A$504,0),"")),"")</f>
        <v/>
      </c>
      <c r="V797" s="60" t="str">
        <f aca="false">IF(IsPro,IF($C797="","",IFERROR(MATCH($C797,Parties!$A$5:$A$304,0),"")),"")</f>
        <v/>
      </c>
      <c r="W797" s="60" t="str">
        <f aca="false">IF(IsPro,IF($B797="","",IFERROR(VALUE(SUBSTITUTE($B797,InvPrefix,"")),0)),"")</f>
        <v/>
      </c>
      <c r="X797" s="61" t="str">
        <f aca="false">IF(IsPro,IF($D797="","",IF(OR($H797="",$H797="Credit"),0,Q797)),"")</f>
        <v/>
      </c>
    </row>
    <row r="798" customFormat="false" ht="15" hidden="false" customHeight="false" outlineLevel="0" collapsed="false">
      <c r="A798" s="55"/>
      <c r="B798" s="56"/>
      <c r="C798" s="56"/>
      <c r="D798" s="56"/>
      <c r="E798" s="57"/>
      <c r="F798" s="58"/>
      <c r="G798" s="59"/>
      <c r="H798" s="56"/>
      <c r="I798" s="56"/>
      <c r="J798" s="60" t="str">
        <f aca="false">IF(IsPro,IF($D798="","",IFERROR(INDEX(Items!$D$5:$D$504,U798),"")),"")</f>
        <v/>
      </c>
      <c r="K798" s="61" t="str">
        <f aca="false">IF(IsPro,IF($D798="","",IF($F798="",IFERROR(INDEX(Items!$H$5:$H$504,U798),0),$F798)),"")</f>
        <v/>
      </c>
      <c r="L798" s="61" t="str">
        <f aca="false">IF(IsPro,IF($D798="","",ROUND(N($E798)*K798*(1-N($G798)),2)),"")</f>
        <v/>
      </c>
      <c r="M798" s="62" t="str">
        <f aca="false">IF(IsPro,IF($D798="","",IFERROR(INDEX(Items!$F$5:$F$504,U798),0)),"")</f>
        <v/>
      </c>
      <c r="N798" s="61" t="str">
        <f aca="false">IF(IsPro,IF($D798="","",IF(AND(V798&lt;&gt;"",INDEX(Parties!$E$5:$E$304,V798)&lt;&gt;"",INDEX(Parties!$E$5:$E$304,V798)&lt;&gt;HomeState),0,ROUND(L798*M798/2,2))),"")</f>
        <v/>
      </c>
      <c r="O798" s="61" t="str">
        <f aca="false">IF(IsPro,IF($D798="","",N798),"")</f>
        <v/>
      </c>
      <c r="P798" s="61" t="str">
        <f aca="false">IF(IsPro,IF($D798="","",IF(AND(V798&lt;&gt;"",INDEX(Parties!$E$5:$E$304,V798)&lt;&gt;"",INDEX(Parties!$E$5:$E$304,V798)&lt;&gt;HomeState),ROUND(L798*M798,2),0)),"")</f>
        <v/>
      </c>
      <c r="Q798" s="61" t="str">
        <f aca="false">IF(IsPro,IF($D798="","",L798+N798+O798+P798),"")</f>
        <v/>
      </c>
      <c r="R798" s="61" t="str">
        <f aca="false">IF(IsPro,IF($D798="","",ROUND(N($E798)*IFERROR(INDEX(Items!$P$5:$P$504,U798),0),2)),"")</f>
        <v/>
      </c>
      <c r="S798" s="61" t="str">
        <f aca="false">IF(IsPro,IF($D798="","",L798-R798),"")</f>
        <v/>
      </c>
      <c r="T798" s="60" t="str">
        <f aca="false">IF(IsPro,IF($D798="","",IF(U798="","UNKNOWN ITEM",IF(INDEX(Items!$O$5:$O$504,U798)&lt;0,"NEG STOCK",IF(K798&lt;INDEX(Items!$P$5:$P$504,U798),"BELOW COST","OK")))),IF($D798="","","PRO PLAN"))</f>
        <v/>
      </c>
      <c r="U798" s="60" t="str">
        <f aca="false">IF(IsPro,IF($D798="","",IFERROR(MATCH($D798,Items!$A$5:$A$504,0),"")),"")</f>
        <v/>
      </c>
      <c r="V798" s="60" t="str">
        <f aca="false">IF(IsPro,IF($C798="","",IFERROR(MATCH($C798,Parties!$A$5:$A$304,0),"")),"")</f>
        <v/>
      </c>
      <c r="W798" s="60" t="str">
        <f aca="false">IF(IsPro,IF($B798="","",IFERROR(VALUE(SUBSTITUTE($B798,InvPrefix,"")),0)),"")</f>
        <v/>
      </c>
      <c r="X798" s="61" t="str">
        <f aca="false">IF(IsPro,IF($D798="","",IF(OR($H798="",$H798="Credit"),0,Q798)),"")</f>
        <v/>
      </c>
    </row>
    <row r="799" customFormat="false" ht="15" hidden="false" customHeight="false" outlineLevel="0" collapsed="false">
      <c r="A799" s="55"/>
      <c r="B799" s="56"/>
      <c r="C799" s="56"/>
      <c r="D799" s="56"/>
      <c r="E799" s="57"/>
      <c r="F799" s="58"/>
      <c r="G799" s="59"/>
      <c r="H799" s="56"/>
      <c r="I799" s="56"/>
      <c r="J799" s="60" t="str">
        <f aca="false">IF(IsPro,IF($D799="","",IFERROR(INDEX(Items!$D$5:$D$504,U799),"")),"")</f>
        <v/>
      </c>
      <c r="K799" s="61" t="str">
        <f aca="false">IF(IsPro,IF($D799="","",IF($F799="",IFERROR(INDEX(Items!$H$5:$H$504,U799),0),$F799)),"")</f>
        <v/>
      </c>
      <c r="L799" s="61" t="str">
        <f aca="false">IF(IsPro,IF($D799="","",ROUND(N($E799)*K799*(1-N($G799)),2)),"")</f>
        <v/>
      </c>
      <c r="M799" s="62" t="str">
        <f aca="false">IF(IsPro,IF($D799="","",IFERROR(INDEX(Items!$F$5:$F$504,U799),0)),"")</f>
        <v/>
      </c>
      <c r="N799" s="61" t="str">
        <f aca="false">IF(IsPro,IF($D799="","",IF(AND(V799&lt;&gt;"",INDEX(Parties!$E$5:$E$304,V799)&lt;&gt;"",INDEX(Parties!$E$5:$E$304,V799)&lt;&gt;HomeState),0,ROUND(L799*M799/2,2))),"")</f>
        <v/>
      </c>
      <c r="O799" s="61" t="str">
        <f aca="false">IF(IsPro,IF($D799="","",N799),"")</f>
        <v/>
      </c>
      <c r="P799" s="61" t="str">
        <f aca="false">IF(IsPro,IF($D799="","",IF(AND(V799&lt;&gt;"",INDEX(Parties!$E$5:$E$304,V799)&lt;&gt;"",INDEX(Parties!$E$5:$E$304,V799)&lt;&gt;HomeState),ROUND(L799*M799,2),0)),"")</f>
        <v/>
      </c>
      <c r="Q799" s="61" t="str">
        <f aca="false">IF(IsPro,IF($D799="","",L799+N799+O799+P799),"")</f>
        <v/>
      </c>
      <c r="R799" s="61" t="str">
        <f aca="false">IF(IsPro,IF($D799="","",ROUND(N($E799)*IFERROR(INDEX(Items!$P$5:$P$504,U799),0),2)),"")</f>
        <v/>
      </c>
      <c r="S799" s="61" t="str">
        <f aca="false">IF(IsPro,IF($D799="","",L799-R799),"")</f>
        <v/>
      </c>
      <c r="T799" s="60" t="str">
        <f aca="false">IF(IsPro,IF($D799="","",IF(U799="","UNKNOWN ITEM",IF(INDEX(Items!$O$5:$O$504,U799)&lt;0,"NEG STOCK",IF(K799&lt;INDEX(Items!$P$5:$P$504,U799),"BELOW COST","OK")))),IF($D799="","","PRO PLAN"))</f>
        <v/>
      </c>
      <c r="U799" s="60" t="str">
        <f aca="false">IF(IsPro,IF($D799="","",IFERROR(MATCH($D799,Items!$A$5:$A$504,0),"")),"")</f>
        <v/>
      </c>
      <c r="V799" s="60" t="str">
        <f aca="false">IF(IsPro,IF($C799="","",IFERROR(MATCH($C799,Parties!$A$5:$A$304,0),"")),"")</f>
        <v/>
      </c>
      <c r="W799" s="60" t="str">
        <f aca="false">IF(IsPro,IF($B799="","",IFERROR(VALUE(SUBSTITUTE($B799,InvPrefix,"")),0)),"")</f>
        <v/>
      </c>
      <c r="X799" s="61" t="str">
        <f aca="false">IF(IsPro,IF($D799="","",IF(OR($H799="",$H799="Credit"),0,Q799)),"")</f>
        <v/>
      </c>
    </row>
    <row r="800" customFormat="false" ht="15" hidden="false" customHeight="false" outlineLevel="0" collapsed="false">
      <c r="A800" s="55"/>
      <c r="B800" s="56"/>
      <c r="C800" s="56"/>
      <c r="D800" s="56"/>
      <c r="E800" s="57"/>
      <c r="F800" s="58"/>
      <c r="G800" s="59"/>
      <c r="H800" s="56"/>
      <c r="I800" s="56"/>
      <c r="J800" s="60" t="str">
        <f aca="false">IF(IsPro,IF($D800="","",IFERROR(INDEX(Items!$D$5:$D$504,U800),"")),"")</f>
        <v/>
      </c>
      <c r="K800" s="61" t="str">
        <f aca="false">IF(IsPro,IF($D800="","",IF($F800="",IFERROR(INDEX(Items!$H$5:$H$504,U800),0),$F800)),"")</f>
        <v/>
      </c>
      <c r="L800" s="61" t="str">
        <f aca="false">IF(IsPro,IF($D800="","",ROUND(N($E800)*K800*(1-N($G800)),2)),"")</f>
        <v/>
      </c>
      <c r="M800" s="62" t="str">
        <f aca="false">IF(IsPro,IF($D800="","",IFERROR(INDEX(Items!$F$5:$F$504,U800),0)),"")</f>
        <v/>
      </c>
      <c r="N800" s="61" t="str">
        <f aca="false">IF(IsPro,IF($D800="","",IF(AND(V800&lt;&gt;"",INDEX(Parties!$E$5:$E$304,V800)&lt;&gt;"",INDEX(Parties!$E$5:$E$304,V800)&lt;&gt;HomeState),0,ROUND(L800*M800/2,2))),"")</f>
        <v/>
      </c>
      <c r="O800" s="61" t="str">
        <f aca="false">IF(IsPro,IF($D800="","",N800),"")</f>
        <v/>
      </c>
      <c r="P800" s="61" t="str">
        <f aca="false">IF(IsPro,IF($D800="","",IF(AND(V800&lt;&gt;"",INDEX(Parties!$E$5:$E$304,V800)&lt;&gt;"",INDEX(Parties!$E$5:$E$304,V800)&lt;&gt;HomeState),ROUND(L800*M800,2),0)),"")</f>
        <v/>
      </c>
      <c r="Q800" s="61" t="str">
        <f aca="false">IF(IsPro,IF($D800="","",L800+N800+O800+P800),"")</f>
        <v/>
      </c>
      <c r="R800" s="61" t="str">
        <f aca="false">IF(IsPro,IF($D800="","",ROUND(N($E800)*IFERROR(INDEX(Items!$P$5:$P$504,U800),0),2)),"")</f>
        <v/>
      </c>
      <c r="S800" s="61" t="str">
        <f aca="false">IF(IsPro,IF($D800="","",L800-R800),"")</f>
        <v/>
      </c>
      <c r="T800" s="60" t="str">
        <f aca="false">IF(IsPro,IF($D800="","",IF(U800="","UNKNOWN ITEM",IF(INDEX(Items!$O$5:$O$504,U800)&lt;0,"NEG STOCK",IF(K800&lt;INDEX(Items!$P$5:$P$504,U800),"BELOW COST","OK")))),IF($D800="","","PRO PLAN"))</f>
        <v/>
      </c>
      <c r="U800" s="60" t="str">
        <f aca="false">IF(IsPro,IF($D800="","",IFERROR(MATCH($D800,Items!$A$5:$A$504,0),"")),"")</f>
        <v/>
      </c>
      <c r="V800" s="60" t="str">
        <f aca="false">IF(IsPro,IF($C800="","",IFERROR(MATCH($C800,Parties!$A$5:$A$304,0),"")),"")</f>
        <v/>
      </c>
      <c r="W800" s="60" t="str">
        <f aca="false">IF(IsPro,IF($B800="","",IFERROR(VALUE(SUBSTITUTE($B800,InvPrefix,"")),0)),"")</f>
        <v/>
      </c>
      <c r="X800" s="61" t="str">
        <f aca="false">IF(IsPro,IF($D800="","",IF(OR($H800="",$H800="Credit"),0,Q800)),"")</f>
        <v/>
      </c>
    </row>
    <row r="801" customFormat="false" ht="15" hidden="false" customHeight="false" outlineLevel="0" collapsed="false">
      <c r="A801" s="55"/>
      <c r="B801" s="56"/>
      <c r="C801" s="56"/>
      <c r="D801" s="56"/>
      <c r="E801" s="57"/>
      <c r="F801" s="58"/>
      <c r="G801" s="59"/>
      <c r="H801" s="56"/>
      <c r="I801" s="56"/>
      <c r="J801" s="60" t="str">
        <f aca="false">IF(IsPro,IF($D801="","",IFERROR(INDEX(Items!$D$5:$D$504,U801),"")),"")</f>
        <v/>
      </c>
      <c r="K801" s="61" t="str">
        <f aca="false">IF(IsPro,IF($D801="","",IF($F801="",IFERROR(INDEX(Items!$H$5:$H$504,U801),0),$F801)),"")</f>
        <v/>
      </c>
      <c r="L801" s="61" t="str">
        <f aca="false">IF(IsPro,IF($D801="","",ROUND(N($E801)*K801*(1-N($G801)),2)),"")</f>
        <v/>
      </c>
      <c r="M801" s="62" t="str">
        <f aca="false">IF(IsPro,IF($D801="","",IFERROR(INDEX(Items!$F$5:$F$504,U801),0)),"")</f>
        <v/>
      </c>
      <c r="N801" s="61" t="str">
        <f aca="false">IF(IsPro,IF($D801="","",IF(AND(V801&lt;&gt;"",INDEX(Parties!$E$5:$E$304,V801)&lt;&gt;"",INDEX(Parties!$E$5:$E$304,V801)&lt;&gt;HomeState),0,ROUND(L801*M801/2,2))),"")</f>
        <v/>
      </c>
      <c r="O801" s="61" t="str">
        <f aca="false">IF(IsPro,IF($D801="","",N801),"")</f>
        <v/>
      </c>
      <c r="P801" s="61" t="str">
        <f aca="false">IF(IsPro,IF($D801="","",IF(AND(V801&lt;&gt;"",INDEX(Parties!$E$5:$E$304,V801)&lt;&gt;"",INDEX(Parties!$E$5:$E$304,V801)&lt;&gt;HomeState),ROUND(L801*M801,2),0)),"")</f>
        <v/>
      </c>
      <c r="Q801" s="61" t="str">
        <f aca="false">IF(IsPro,IF($D801="","",L801+N801+O801+P801),"")</f>
        <v/>
      </c>
      <c r="R801" s="61" t="str">
        <f aca="false">IF(IsPro,IF($D801="","",ROUND(N($E801)*IFERROR(INDEX(Items!$P$5:$P$504,U801),0),2)),"")</f>
        <v/>
      </c>
      <c r="S801" s="61" t="str">
        <f aca="false">IF(IsPro,IF($D801="","",L801-R801),"")</f>
        <v/>
      </c>
      <c r="T801" s="60" t="str">
        <f aca="false">IF(IsPro,IF($D801="","",IF(U801="","UNKNOWN ITEM",IF(INDEX(Items!$O$5:$O$504,U801)&lt;0,"NEG STOCK",IF(K801&lt;INDEX(Items!$P$5:$P$504,U801),"BELOW COST","OK")))),IF($D801="","","PRO PLAN"))</f>
        <v/>
      </c>
      <c r="U801" s="60" t="str">
        <f aca="false">IF(IsPro,IF($D801="","",IFERROR(MATCH($D801,Items!$A$5:$A$504,0),"")),"")</f>
        <v/>
      </c>
      <c r="V801" s="60" t="str">
        <f aca="false">IF(IsPro,IF($C801="","",IFERROR(MATCH($C801,Parties!$A$5:$A$304,0),"")),"")</f>
        <v/>
      </c>
      <c r="W801" s="60" t="str">
        <f aca="false">IF(IsPro,IF($B801="","",IFERROR(VALUE(SUBSTITUTE($B801,InvPrefix,"")),0)),"")</f>
        <v/>
      </c>
      <c r="X801" s="61" t="str">
        <f aca="false">IF(IsPro,IF($D801="","",IF(OR($H801="",$H801="Credit"),0,Q801)),"")</f>
        <v/>
      </c>
    </row>
    <row r="802" customFormat="false" ht="15" hidden="false" customHeight="false" outlineLevel="0" collapsed="false">
      <c r="A802" s="55"/>
      <c r="B802" s="56"/>
      <c r="C802" s="56"/>
      <c r="D802" s="56"/>
      <c r="E802" s="57"/>
      <c r="F802" s="58"/>
      <c r="G802" s="59"/>
      <c r="H802" s="56"/>
      <c r="I802" s="56"/>
      <c r="J802" s="60" t="str">
        <f aca="false">IF(IsPro,IF($D802="","",IFERROR(INDEX(Items!$D$5:$D$504,U802),"")),"")</f>
        <v/>
      </c>
      <c r="K802" s="61" t="str">
        <f aca="false">IF(IsPro,IF($D802="","",IF($F802="",IFERROR(INDEX(Items!$H$5:$H$504,U802),0),$F802)),"")</f>
        <v/>
      </c>
      <c r="L802" s="61" t="str">
        <f aca="false">IF(IsPro,IF($D802="","",ROUND(N($E802)*K802*(1-N($G802)),2)),"")</f>
        <v/>
      </c>
      <c r="M802" s="62" t="str">
        <f aca="false">IF(IsPro,IF($D802="","",IFERROR(INDEX(Items!$F$5:$F$504,U802),0)),"")</f>
        <v/>
      </c>
      <c r="N802" s="61" t="str">
        <f aca="false">IF(IsPro,IF($D802="","",IF(AND(V802&lt;&gt;"",INDEX(Parties!$E$5:$E$304,V802)&lt;&gt;"",INDEX(Parties!$E$5:$E$304,V802)&lt;&gt;HomeState),0,ROUND(L802*M802/2,2))),"")</f>
        <v/>
      </c>
      <c r="O802" s="61" t="str">
        <f aca="false">IF(IsPro,IF($D802="","",N802),"")</f>
        <v/>
      </c>
      <c r="P802" s="61" t="str">
        <f aca="false">IF(IsPro,IF($D802="","",IF(AND(V802&lt;&gt;"",INDEX(Parties!$E$5:$E$304,V802)&lt;&gt;"",INDEX(Parties!$E$5:$E$304,V802)&lt;&gt;HomeState),ROUND(L802*M802,2),0)),"")</f>
        <v/>
      </c>
      <c r="Q802" s="61" t="str">
        <f aca="false">IF(IsPro,IF($D802="","",L802+N802+O802+P802),"")</f>
        <v/>
      </c>
      <c r="R802" s="61" t="str">
        <f aca="false">IF(IsPro,IF($D802="","",ROUND(N($E802)*IFERROR(INDEX(Items!$P$5:$P$504,U802),0),2)),"")</f>
        <v/>
      </c>
      <c r="S802" s="61" t="str">
        <f aca="false">IF(IsPro,IF($D802="","",L802-R802),"")</f>
        <v/>
      </c>
      <c r="T802" s="60" t="str">
        <f aca="false">IF(IsPro,IF($D802="","",IF(U802="","UNKNOWN ITEM",IF(INDEX(Items!$O$5:$O$504,U802)&lt;0,"NEG STOCK",IF(K802&lt;INDEX(Items!$P$5:$P$504,U802),"BELOW COST","OK")))),IF($D802="","","PRO PLAN"))</f>
        <v/>
      </c>
      <c r="U802" s="60" t="str">
        <f aca="false">IF(IsPro,IF($D802="","",IFERROR(MATCH($D802,Items!$A$5:$A$504,0),"")),"")</f>
        <v/>
      </c>
      <c r="V802" s="60" t="str">
        <f aca="false">IF(IsPro,IF($C802="","",IFERROR(MATCH($C802,Parties!$A$5:$A$304,0),"")),"")</f>
        <v/>
      </c>
      <c r="W802" s="60" t="str">
        <f aca="false">IF(IsPro,IF($B802="","",IFERROR(VALUE(SUBSTITUTE($B802,InvPrefix,"")),0)),"")</f>
        <v/>
      </c>
      <c r="X802" s="61" t="str">
        <f aca="false">IF(IsPro,IF($D802="","",IF(OR($H802="",$H802="Credit"),0,Q802)),"")</f>
        <v/>
      </c>
    </row>
    <row r="803" customFormat="false" ht="15" hidden="false" customHeight="false" outlineLevel="0" collapsed="false">
      <c r="A803" s="55"/>
      <c r="B803" s="56"/>
      <c r="C803" s="56"/>
      <c r="D803" s="56"/>
      <c r="E803" s="57"/>
      <c r="F803" s="58"/>
      <c r="G803" s="59"/>
      <c r="H803" s="56"/>
      <c r="I803" s="56"/>
      <c r="J803" s="60" t="str">
        <f aca="false">IF(IsPro,IF($D803="","",IFERROR(INDEX(Items!$D$5:$D$504,U803),"")),"")</f>
        <v/>
      </c>
      <c r="K803" s="61" t="str">
        <f aca="false">IF(IsPro,IF($D803="","",IF($F803="",IFERROR(INDEX(Items!$H$5:$H$504,U803),0),$F803)),"")</f>
        <v/>
      </c>
      <c r="L803" s="61" t="str">
        <f aca="false">IF(IsPro,IF($D803="","",ROUND(N($E803)*K803*(1-N($G803)),2)),"")</f>
        <v/>
      </c>
      <c r="M803" s="62" t="str">
        <f aca="false">IF(IsPro,IF($D803="","",IFERROR(INDEX(Items!$F$5:$F$504,U803),0)),"")</f>
        <v/>
      </c>
      <c r="N803" s="61" t="str">
        <f aca="false">IF(IsPro,IF($D803="","",IF(AND(V803&lt;&gt;"",INDEX(Parties!$E$5:$E$304,V803)&lt;&gt;"",INDEX(Parties!$E$5:$E$304,V803)&lt;&gt;HomeState),0,ROUND(L803*M803/2,2))),"")</f>
        <v/>
      </c>
      <c r="O803" s="61" t="str">
        <f aca="false">IF(IsPro,IF($D803="","",N803),"")</f>
        <v/>
      </c>
      <c r="P803" s="61" t="str">
        <f aca="false">IF(IsPro,IF($D803="","",IF(AND(V803&lt;&gt;"",INDEX(Parties!$E$5:$E$304,V803)&lt;&gt;"",INDEX(Parties!$E$5:$E$304,V803)&lt;&gt;HomeState),ROUND(L803*M803,2),0)),"")</f>
        <v/>
      </c>
      <c r="Q803" s="61" t="str">
        <f aca="false">IF(IsPro,IF($D803="","",L803+N803+O803+P803),"")</f>
        <v/>
      </c>
      <c r="R803" s="61" t="str">
        <f aca="false">IF(IsPro,IF($D803="","",ROUND(N($E803)*IFERROR(INDEX(Items!$P$5:$P$504,U803),0),2)),"")</f>
        <v/>
      </c>
      <c r="S803" s="61" t="str">
        <f aca="false">IF(IsPro,IF($D803="","",L803-R803),"")</f>
        <v/>
      </c>
      <c r="T803" s="60" t="str">
        <f aca="false">IF(IsPro,IF($D803="","",IF(U803="","UNKNOWN ITEM",IF(INDEX(Items!$O$5:$O$504,U803)&lt;0,"NEG STOCK",IF(K803&lt;INDEX(Items!$P$5:$P$504,U803),"BELOW COST","OK")))),IF($D803="","","PRO PLAN"))</f>
        <v/>
      </c>
      <c r="U803" s="60" t="str">
        <f aca="false">IF(IsPro,IF($D803="","",IFERROR(MATCH($D803,Items!$A$5:$A$504,0),"")),"")</f>
        <v/>
      </c>
      <c r="V803" s="60" t="str">
        <f aca="false">IF(IsPro,IF($C803="","",IFERROR(MATCH($C803,Parties!$A$5:$A$304,0),"")),"")</f>
        <v/>
      </c>
      <c r="W803" s="60" t="str">
        <f aca="false">IF(IsPro,IF($B803="","",IFERROR(VALUE(SUBSTITUTE($B803,InvPrefix,"")),0)),"")</f>
        <v/>
      </c>
      <c r="X803" s="61" t="str">
        <f aca="false">IF(IsPro,IF($D803="","",IF(OR($H803="",$H803="Credit"),0,Q803)),"")</f>
        <v/>
      </c>
    </row>
    <row r="804" customFormat="false" ht="15" hidden="false" customHeight="false" outlineLevel="0" collapsed="false">
      <c r="A804" s="55"/>
      <c r="B804" s="56"/>
      <c r="C804" s="56"/>
      <c r="D804" s="56"/>
      <c r="E804" s="57"/>
      <c r="F804" s="58"/>
      <c r="G804" s="59"/>
      <c r="H804" s="56"/>
      <c r="I804" s="56"/>
      <c r="J804" s="60" t="str">
        <f aca="false">IF(IsPro,IF($D804="","",IFERROR(INDEX(Items!$D$5:$D$504,U804),"")),"")</f>
        <v/>
      </c>
      <c r="K804" s="61" t="str">
        <f aca="false">IF(IsPro,IF($D804="","",IF($F804="",IFERROR(INDEX(Items!$H$5:$H$504,U804),0),$F804)),"")</f>
        <v/>
      </c>
      <c r="L804" s="61" t="str">
        <f aca="false">IF(IsPro,IF($D804="","",ROUND(N($E804)*K804*(1-N($G804)),2)),"")</f>
        <v/>
      </c>
      <c r="M804" s="62" t="str">
        <f aca="false">IF(IsPro,IF($D804="","",IFERROR(INDEX(Items!$F$5:$F$504,U804),0)),"")</f>
        <v/>
      </c>
      <c r="N804" s="61" t="str">
        <f aca="false">IF(IsPro,IF($D804="","",IF(AND(V804&lt;&gt;"",INDEX(Parties!$E$5:$E$304,V804)&lt;&gt;"",INDEX(Parties!$E$5:$E$304,V804)&lt;&gt;HomeState),0,ROUND(L804*M804/2,2))),"")</f>
        <v/>
      </c>
      <c r="O804" s="61" t="str">
        <f aca="false">IF(IsPro,IF($D804="","",N804),"")</f>
        <v/>
      </c>
      <c r="P804" s="61" t="str">
        <f aca="false">IF(IsPro,IF($D804="","",IF(AND(V804&lt;&gt;"",INDEX(Parties!$E$5:$E$304,V804)&lt;&gt;"",INDEX(Parties!$E$5:$E$304,V804)&lt;&gt;HomeState),ROUND(L804*M804,2),0)),"")</f>
        <v/>
      </c>
      <c r="Q804" s="61" t="str">
        <f aca="false">IF(IsPro,IF($D804="","",L804+N804+O804+P804),"")</f>
        <v/>
      </c>
      <c r="R804" s="61" t="str">
        <f aca="false">IF(IsPro,IF($D804="","",ROUND(N($E804)*IFERROR(INDEX(Items!$P$5:$P$504,U804),0),2)),"")</f>
        <v/>
      </c>
      <c r="S804" s="61" t="str">
        <f aca="false">IF(IsPro,IF($D804="","",L804-R804),"")</f>
        <v/>
      </c>
      <c r="T804" s="60" t="str">
        <f aca="false">IF(IsPro,IF($D804="","",IF(U804="","UNKNOWN ITEM",IF(INDEX(Items!$O$5:$O$504,U804)&lt;0,"NEG STOCK",IF(K804&lt;INDEX(Items!$P$5:$P$504,U804),"BELOW COST","OK")))),IF($D804="","","PRO PLAN"))</f>
        <v/>
      </c>
      <c r="U804" s="60" t="str">
        <f aca="false">IF(IsPro,IF($D804="","",IFERROR(MATCH($D804,Items!$A$5:$A$504,0),"")),"")</f>
        <v/>
      </c>
      <c r="V804" s="60" t="str">
        <f aca="false">IF(IsPro,IF($C804="","",IFERROR(MATCH($C804,Parties!$A$5:$A$304,0),"")),"")</f>
        <v/>
      </c>
      <c r="W804" s="60" t="str">
        <f aca="false">IF(IsPro,IF($B804="","",IFERROR(VALUE(SUBSTITUTE($B804,InvPrefix,"")),0)),"")</f>
        <v/>
      </c>
      <c r="X804" s="61" t="str">
        <f aca="false">IF(IsPro,IF($D804="","",IF(OR($H804="",$H804="Credit"),0,Q804)),"")</f>
        <v/>
      </c>
    </row>
    <row r="805" customFormat="false" ht="15" hidden="false" customHeight="false" outlineLevel="0" collapsed="false">
      <c r="A805" s="55"/>
      <c r="B805" s="56"/>
      <c r="C805" s="56"/>
      <c r="D805" s="56"/>
      <c r="E805" s="57"/>
      <c r="F805" s="58"/>
      <c r="G805" s="59"/>
      <c r="H805" s="56"/>
      <c r="I805" s="56"/>
      <c r="J805" s="60" t="str">
        <f aca="false">IF(IsPro,IF($D805="","",IFERROR(INDEX(Items!$D$5:$D$504,U805),"")),"")</f>
        <v/>
      </c>
      <c r="K805" s="61" t="str">
        <f aca="false">IF(IsPro,IF($D805="","",IF($F805="",IFERROR(INDEX(Items!$H$5:$H$504,U805),0),$F805)),"")</f>
        <v/>
      </c>
      <c r="L805" s="61" t="str">
        <f aca="false">IF(IsPro,IF($D805="","",ROUND(N($E805)*K805*(1-N($G805)),2)),"")</f>
        <v/>
      </c>
      <c r="M805" s="62" t="str">
        <f aca="false">IF(IsPro,IF($D805="","",IFERROR(INDEX(Items!$F$5:$F$504,U805),0)),"")</f>
        <v/>
      </c>
      <c r="N805" s="61" t="str">
        <f aca="false">IF(IsPro,IF($D805="","",IF(AND(V805&lt;&gt;"",INDEX(Parties!$E$5:$E$304,V805)&lt;&gt;"",INDEX(Parties!$E$5:$E$304,V805)&lt;&gt;HomeState),0,ROUND(L805*M805/2,2))),"")</f>
        <v/>
      </c>
      <c r="O805" s="61" t="str">
        <f aca="false">IF(IsPro,IF($D805="","",N805),"")</f>
        <v/>
      </c>
      <c r="P805" s="61" t="str">
        <f aca="false">IF(IsPro,IF($D805="","",IF(AND(V805&lt;&gt;"",INDEX(Parties!$E$5:$E$304,V805)&lt;&gt;"",INDEX(Parties!$E$5:$E$304,V805)&lt;&gt;HomeState),ROUND(L805*M805,2),0)),"")</f>
        <v/>
      </c>
      <c r="Q805" s="61" t="str">
        <f aca="false">IF(IsPro,IF($D805="","",L805+N805+O805+P805),"")</f>
        <v/>
      </c>
      <c r="R805" s="61" t="str">
        <f aca="false">IF(IsPro,IF($D805="","",ROUND(N($E805)*IFERROR(INDEX(Items!$P$5:$P$504,U805),0),2)),"")</f>
        <v/>
      </c>
      <c r="S805" s="61" t="str">
        <f aca="false">IF(IsPro,IF($D805="","",L805-R805),"")</f>
        <v/>
      </c>
      <c r="T805" s="60" t="str">
        <f aca="false">IF(IsPro,IF($D805="","",IF(U805="","UNKNOWN ITEM",IF(INDEX(Items!$O$5:$O$504,U805)&lt;0,"NEG STOCK",IF(K805&lt;INDEX(Items!$P$5:$P$504,U805),"BELOW COST","OK")))),IF($D805="","","PRO PLAN"))</f>
        <v/>
      </c>
      <c r="U805" s="60" t="str">
        <f aca="false">IF(IsPro,IF($D805="","",IFERROR(MATCH($D805,Items!$A$5:$A$504,0),"")),"")</f>
        <v/>
      </c>
      <c r="V805" s="60" t="str">
        <f aca="false">IF(IsPro,IF($C805="","",IFERROR(MATCH($C805,Parties!$A$5:$A$304,0),"")),"")</f>
        <v/>
      </c>
      <c r="W805" s="60" t="str">
        <f aca="false">IF(IsPro,IF($B805="","",IFERROR(VALUE(SUBSTITUTE($B805,InvPrefix,"")),0)),"")</f>
        <v/>
      </c>
      <c r="X805" s="61" t="str">
        <f aca="false">IF(IsPro,IF($D805="","",IF(OR($H805="",$H805="Credit"),0,Q805)),"")</f>
        <v/>
      </c>
    </row>
    <row r="806" customFormat="false" ht="15" hidden="false" customHeight="false" outlineLevel="0" collapsed="false">
      <c r="A806" s="55"/>
      <c r="B806" s="56"/>
      <c r="C806" s="56"/>
      <c r="D806" s="56"/>
      <c r="E806" s="57"/>
      <c r="F806" s="58"/>
      <c r="G806" s="59"/>
      <c r="H806" s="56"/>
      <c r="I806" s="56"/>
      <c r="J806" s="60" t="str">
        <f aca="false">IF(IsPro,IF($D806="","",IFERROR(INDEX(Items!$D$5:$D$504,U806),"")),"")</f>
        <v/>
      </c>
      <c r="K806" s="61" t="str">
        <f aca="false">IF(IsPro,IF($D806="","",IF($F806="",IFERROR(INDEX(Items!$H$5:$H$504,U806),0),$F806)),"")</f>
        <v/>
      </c>
      <c r="L806" s="61" t="str">
        <f aca="false">IF(IsPro,IF($D806="","",ROUND(N($E806)*K806*(1-N($G806)),2)),"")</f>
        <v/>
      </c>
      <c r="M806" s="62" t="str">
        <f aca="false">IF(IsPro,IF($D806="","",IFERROR(INDEX(Items!$F$5:$F$504,U806),0)),"")</f>
        <v/>
      </c>
      <c r="N806" s="61" t="str">
        <f aca="false">IF(IsPro,IF($D806="","",IF(AND(V806&lt;&gt;"",INDEX(Parties!$E$5:$E$304,V806)&lt;&gt;"",INDEX(Parties!$E$5:$E$304,V806)&lt;&gt;HomeState),0,ROUND(L806*M806/2,2))),"")</f>
        <v/>
      </c>
      <c r="O806" s="61" t="str">
        <f aca="false">IF(IsPro,IF($D806="","",N806),"")</f>
        <v/>
      </c>
      <c r="P806" s="61" t="str">
        <f aca="false">IF(IsPro,IF($D806="","",IF(AND(V806&lt;&gt;"",INDEX(Parties!$E$5:$E$304,V806)&lt;&gt;"",INDEX(Parties!$E$5:$E$304,V806)&lt;&gt;HomeState),ROUND(L806*M806,2),0)),"")</f>
        <v/>
      </c>
      <c r="Q806" s="61" t="str">
        <f aca="false">IF(IsPro,IF($D806="","",L806+N806+O806+P806),"")</f>
        <v/>
      </c>
      <c r="R806" s="61" t="str">
        <f aca="false">IF(IsPro,IF($D806="","",ROUND(N($E806)*IFERROR(INDEX(Items!$P$5:$P$504,U806),0),2)),"")</f>
        <v/>
      </c>
      <c r="S806" s="61" t="str">
        <f aca="false">IF(IsPro,IF($D806="","",L806-R806),"")</f>
        <v/>
      </c>
      <c r="T806" s="60" t="str">
        <f aca="false">IF(IsPro,IF($D806="","",IF(U806="","UNKNOWN ITEM",IF(INDEX(Items!$O$5:$O$504,U806)&lt;0,"NEG STOCK",IF(K806&lt;INDEX(Items!$P$5:$P$504,U806),"BELOW COST","OK")))),IF($D806="","","PRO PLAN"))</f>
        <v/>
      </c>
      <c r="U806" s="60" t="str">
        <f aca="false">IF(IsPro,IF($D806="","",IFERROR(MATCH($D806,Items!$A$5:$A$504,0),"")),"")</f>
        <v/>
      </c>
      <c r="V806" s="60" t="str">
        <f aca="false">IF(IsPro,IF($C806="","",IFERROR(MATCH($C806,Parties!$A$5:$A$304,0),"")),"")</f>
        <v/>
      </c>
      <c r="W806" s="60" t="str">
        <f aca="false">IF(IsPro,IF($B806="","",IFERROR(VALUE(SUBSTITUTE($B806,InvPrefix,"")),0)),"")</f>
        <v/>
      </c>
      <c r="X806" s="61" t="str">
        <f aca="false">IF(IsPro,IF($D806="","",IF(OR($H806="",$H806="Credit"),0,Q806)),"")</f>
        <v/>
      </c>
    </row>
    <row r="807" customFormat="false" ht="15" hidden="false" customHeight="false" outlineLevel="0" collapsed="false">
      <c r="A807" s="55"/>
      <c r="B807" s="56"/>
      <c r="C807" s="56"/>
      <c r="D807" s="56"/>
      <c r="E807" s="57"/>
      <c r="F807" s="58"/>
      <c r="G807" s="59"/>
      <c r="H807" s="56"/>
      <c r="I807" s="56"/>
      <c r="J807" s="60" t="str">
        <f aca="false">IF(IsPro,IF($D807="","",IFERROR(INDEX(Items!$D$5:$D$504,U807),"")),"")</f>
        <v/>
      </c>
      <c r="K807" s="61" t="str">
        <f aca="false">IF(IsPro,IF($D807="","",IF($F807="",IFERROR(INDEX(Items!$H$5:$H$504,U807),0),$F807)),"")</f>
        <v/>
      </c>
      <c r="L807" s="61" t="str">
        <f aca="false">IF(IsPro,IF($D807="","",ROUND(N($E807)*K807*(1-N($G807)),2)),"")</f>
        <v/>
      </c>
      <c r="M807" s="62" t="str">
        <f aca="false">IF(IsPro,IF($D807="","",IFERROR(INDEX(Items!$F$5:$F$504,U807),0)),"")</f>
        <v/>
      </c>
      <c r="N807" s="61" t="str">
        <f aca="false">IF(IsPro,IF($D807="","",IF(AND(V807&lt;&gt;"",INDEX(Parties!$E$5:$E$304,V807)&lt;&gt;"",INDEX(Parties!$E$5:$E$304,V807)&lt;&gt;HomeState),0,ROUND(L807*M807/2,2))),"")</f>
        <v/>
      </c>
      <c r="O807" s="61" t="str">
        <f aca="false">IF(IsPro,IF($D807="","",N807),"")</f>
        <v/>
      </c>
      <c r="P807" s="61" t="str">
        <f aca="false">IF(IsPro,IF($D807="","",IF(AND(V807&lt;&gt;"",INDEX(Parties!$E$5:$E$304,V807)&lt;&gt;"",INDEX(Parties!$E$5:$E$304,V807)&lt;&gt;HomeState),ROUND(L807*M807,2),0)),"")</f>
        <v/>
      </c>
      <c r="Q807" s="61" t="str">
        <f aca="false">IF(IsPro,IF($D807="","",L807+N807+O807+P807),"")</f>
        <v/>
      </c>
      <c r="R807" s="61" t="str">
        <f aca="false">IF(IsPro,IF($D807="","",ROUND(N($E807)*IFERROR(INDEX(Items!$P$5:$P$504,U807),0),2)),"")</f>
        <v/>
      </c>
      <c r="S807" s="61" t="str">
        <f aca="false">IF(IsPro,IF($D807="","",L807-R807),"")</f>
        <v/>
      </c>
      <c r="T807" s="60" t="str">
        <f aca="false">IF(IsPro,IF($D807="","",IF(U807="","UNKNOWN ITEM",IF(INDEX(Items!$O$5:$O$504,U807)&lt;0,"NEG STOCK",IF(K807&lt;INDEX(Items!$P$5:$P$504,U807),"BELOW COST","OK")))),IF($D807="","","PRO PLAN"))</f>
        <v/>
      </c>
      <c r="U807" s="60" t="str">
        <f aca="false">IF(IsPro,IF($D807="","",IFERROR(MATCH($D807,Items!$A$5:$A$504,0),"")),"")</f>
        <v/>
      </c>
      <c r="V807" s="60" t="str">
        <f aca="false">IF(IsPro,IF($C807="","",IFERROR(MATCH($C807,Parties!$A$5:$A$304,0),"")),"")</f>
        <v/>
      </c>
      <c r="W807" s="60" t="str">
        <f aca="false">IF(IsPro,IF($B807="","",IFERROR(VALUE(SUBSTITUTE($B807,InvPrefix,"")),0)),"")</f>
        <v/>
      </c>
      <c r="X807" s="61" t="str">
        <f aca="false">IF(IsPro,IF($D807="","",IF(OR($H807="",$H807="Credit"),0,Q807)),"")</f>
        <v/>
      </c>
    </row>
    <row r="808" customFormat="false" ht="15" hidden="false" customHeight="false" outlineLevel="0" collapsed="false">
      <c r="A808" s="55"/>
      <c r="B808" s="56"/>
      <c r="C808" s="56"/>
      <c r="D808" s="56"/>
      <c r="E808" s="57"/>
      <c r="F808" s="58"/>
      <c r="G808" s="59"/>
      <c r="H808" s="56"/>
      <c r="I808" s="56"/>
      <c r="J808" s="60" t="str">
        <f aca="false">IF(IsPro,IF($D808="","",IFERROR(INDEX(Items!$D$5:$D$504,U808),"")),"")</f>
        <v/>
      </c>
      <c r="K808" s="61" t="str">
        <f aca="false">IF(IsPro,IF($D808="","",IF($F808="",IFERROR(INDEX(Items!$H$5:$H$504,U808),0),$F808)),"")</f>
        <v/>
      </c>
      <c r="L808" s="61" t="str">
        <f aca="false">IF(IsPro,IF($D808="","",ROUND(N($E808)*K808*(1-N($G808)),2)),"")</f>
        <v/>
      </c>
      <c r="M808" s="62" t="str">
        <f aca="false">IF(IsPro,IF($D808="","",IFERROR(INDEX(Items!$F$5:$F$504,U808),0)),"")</f>
        <v/>
      </c>
      <c r="N808" s="61" t="str">
        <f aca="false">IF(IsPro,IF($D808="","",IF(AND(V808&lt;&gt;"",INDEX(Parties!$E$5:$E$304,V808)&lt;&gt;"",INDEX(Parties!$E$5:$E$304,V808)&lt;&gt;HomeState),0,ROUND(L808*M808/2,2))),"")</f>
        <v/>
      </c>
      <c r="O808" s="61" t="str">
        <f aca="false">IF(IsPro,IF($D808="","",N808),"")</f>
        <v/>
      </c>
      <c r="P808" s="61" t="str">
        <f aca="false">IF(IsPro,IF($D808="","",IF(AND(V808&lt;&gt;"",INDEX(Parties!$E$5:$E$304,V808)&lt;&gt;"",INDEX(Parties!$E$5:$E$304,V808)&lt;&gt;HomeState),ROUND(L808*M808,2),0)),"")</f>
        <v/>
      </c>
      <c r="Q808" s="61" t="str">
        <f aca="false">IF(IsPro,IF($D808="","",L808+N808+O808+P808),"")</f>
        <v/>
      </c>
      <c r="R808" s="61" t="str">
        <f aca="false">IF(IsPro,IF($D808="","",ROUND(N($E808)*IFERROR(INDEX(Items!$P$5:$P$504,U808),0),2)),"")</f>
        <v/>
      </c>
      <c r="S808" s="61" t="str">
        <f aca="false">IF(IsPro,IF($D808="","",L808-R808),"")</f>
        <v/>
      </c>
      <c r="T808" s="60" t="str">
        <f aca="false">IF(IsPro,IF($D808="","",IF(U808="","UNKNOWN ITEM",IF(INDEX(Items!$O$5:$O$504,U808)&lt;0,"NEG STOCK",IF(K808&lt;INDEX(Items!$P$5:$P$504,U808),"BELOW COST","OK")))),IF($D808="","","PRO PLAN"))</f>
        <v/>
      </c>
      <c r="U808" s="60" t="str">
        <f aca="false">IF(IsPro,IF($D808="","",IFERROR(MATCH($D808,Items!$A$5:$A$504,0),"")),"")</f>
        <v/>
      </c>
      <c r="V808" s="60" t="str">
        <f aca="false">IF(IsPro,IF($C808="","",IFERROR(MATCH($C808,Parties!$A$5:$A$304,0),"")),"")</f>
        <v/>
      </c>
      <c r="W808" s="60" t="str">
        <f aca="false">IF(IsPro,IF($B808="","",IFERROR(VALUE(SUBSTITUTE($B808,InvPrefix,"")),0)),"")</f>
        <v/>
      </c>
      <c r="X808" s="61" t="str">
        <f aca="false">IF(IsPro,IF($D808="","",IF(OR($H808="",$H808="Credit"),0,Q808)),"")</f>
        <v/>
      </c>
    </row>
    <row r="809" customFormat="false" ht="15" hidden="false" customHeight="false" outlineLevel="0" collapsed="false">
      <c r="A809" s="55"/>
      <c r="B809" s="56"/>
      <c r="C809" s="56"/>
      <c r="D809" s="56"/>
      <c r="E809" s="57"/>
      <c r="F809" s="58"/>
      <c r="G809" s="59"/>
      <c r="H809" s="56"/>
      <c r="I809" s="56"/>
      <c r="J809" s="60" t="str">
        <f aca="false">IF(IsPro,IF($D809="","",IFERROR(INDEX(Items!$D$5:$D$504,U809),"")),"")</f>
        <v/>
      </c>
      <c r="K809" s="61" t="str">
        <f aca="false">IF(IsPro,IF($D809="","",IF($F809="",IFERROR(INDEX(Items!$H$5:$H$504,U809),0),$F809)),"")</f>
        <v/>
      </c>
      <c r="L809" s="61" t="str">
        <f aca="false">IF(IsPro,IF($D809="","",ROUND(N($E809)*K809*(1-N($G809)),2)),"")</f>
        <v/>
      </c>
      <c r="M809" s="62" t="str">
        <f aca="false">IF(IsPro,IF($D809="","",IFERROR(INDEX(Items!$F$5:$F$504,U809),0)),"")</f>
        <v/>
      </c>
      <c r="N809" s="61" t="str">
        <f aca="false">IF(IsPro,IF($D809="","",IF(AND(V809&lt;&gt;"",INDEX(Parties!$E$5:$E$304,V809)&lt;&gt;"",INDEX(Parties!$E$5:$E$304,V809)&lt;&gt;HomeState),0,ROUND(L809*M809/2,2))),"")</f>
        <v/>
      </c>
      <c r="O809" s="61" t="str">
        <f aca="false">IF(IsPro,IF($D809="","",N809),"")</f>
        <v/>
      </c>
      <c r="P809" s="61" t="str">
        <f aca="false">IF(IsPro,IF($D809="","",IF(AND(V809&lt;&gt;"",INDEX(Parties!$E$5:$E$304,V809)&lt;&gt;"",INDEX(Parties!$E$5:$E$304,V809)&lt;&gt;HomeState),ROUND(L809*M809,2),0)),"")</f>
        <v/>
      </c>
      <c r="Q809" s="61" t="str">
        <f aca="false">IF(IsPro,IF($D809="","",L809+N809+O809+P809),"")</f>
        <v/>
      </c>
      <c r="R809" s="61" t="str">
        <f aca="false">IF(IsPro,IF($D809="","",ROUND(N($E809)*IFERROR(INDEX(Items!$P$5:$P$504,U809),0),2)),"")</f>
        <v/>
      </c>
      <c r="S809" s="61" t="str">
        <f aca="false">IF(IsPro,IF($D809="","",L809-R809),"")</f>
        <v/>
      </c>
      <c r="T809" s="60" t="str">
        <f aca="false">IF(IsPro,IF($D809="","",IF(U809="","UNKNOWN ITEM",IF(INDEX(Items!$O$5:$O$504,U809)&lt;0,"NEG STOCK",IF(K809&lt;INDEX(Items!$P$5:$P$504,U809),"BELOW COST","OK")))),IF($D809="","","PRO PLAN"))</f>
        <v/>
      </c>
      <c r="U809" s="60" t="str">
        <f aca="false">IF(IsPro,IF($D809="","",IFERROR(MATCH($D809,Items!$A$5:$A$504,0),"")),"")</f>
        <v/>
      </c>
      <c r="V809" s="60" t="str">
        <f aca="false">IF(IsPro,IF($C809="","",IFERROR(MATCH($C809,Parties!$A$5:$A$304,0),"")),"")</f>
        <v/>
      </c>
      <c r="W809" s="60" t="str">
        <f aca="false">IF(IsPro,IF($B809="","",IFERROR(VALUE(SUBSTITUTE($B809,InvPrefix,"")),0)),"")</f>
        <v/>
      </c>
      <c r="X809" s="61" t="str">
        <f aca="false">IF(IsPro,IF($D809="","",IF(OR($H809="",$H809="Credit"),0,Q809)),"")</f>
        <v/>
      </c>
    </row>
    <row r="810" customFormat="false" ht="15" hidden="false" customHeight="false" outlineLevel="0" collapsed="false">
      <c r="A810" s="55"/>
      <c r="B810" s="56"/>
      <c r="C810" s="56"/>
      <c r="D810" s="56"/>
      <c r="E810" s="57"/>
      <c r="F810" s="58"/>
      <c r="G810" s="59"/>
      <c r="H810" s="56"/>
      <c r="I810" s="56"/>
      <c r="J810" s="60" t="str">
        <f aca="false">IF(IsPro,IF($D810="","",IFERROR(INDEX(Items!$D$5:$D$504,U810),"")),"")</f>
        <v/>
      </c>
      <c r="K810" s="61" t="str">
        <f aca="false">IF(IsPro,IF($D810="","",IF($F810="",IFERROR(INDEX(Items!$H$5:$H$504,U810),0),$F810)),"")</f>
        <v/>
      </c>
      <c r="L810" s="61" t="str">
        <f aca="false">IF(IsPro,IF($D810="","",ROUND(N($E810)*K810*(1-N($G810)),2)),"")</f>
        <v/>
      </c>
      <c r="M810" s="62" t="str">
        <f aca="false">IF(IsPro,IF($D810="","",IFERROR(INDEX(Items!$F$5:$F$504,U810),0)),"")</f>
        <v/>
      </c>
      <c r="N810" s="61" t="str">
        <f aca="false">IF(IsPro,IF($D810="","",IF(AND(V810&lt;&gt;"",INDEX(Parties!$E$5:$E$304,V810)&lt;&gt;"",INDEX(Parties!$E$5:$E$304,V810)&lt;&gt;HomeState),0,ROUND(L810*M810/2,2))),"")</f>
        <v/>
      </c>
      <c r="O810" s="61" t="str">
        <f aca="false">IF(IsPro,IF($D810="","",N810),"")</f>
        <v/>
      </c>
      <c r="P810" s="61" t="str">
        <f aca="false">IF(IsPro,IF($D810="","",IF(AND(V810&lt;&gt;"",INDEX(Parties!$E$5:$E$304,V810)&lt;&gt;"",INDEX(Parties!$E$5:$E$304,V810)&lt;&gt;HomeState),ROUND(L810*M810,2),0)),"")</f>
        <v/>
      </c>
      <c r="Q810" s="61" t="str">
        <f aca="false">IF(IsPro,IF($D810="","",L810+N810+O810+P810),"")</f>
        <v/>
      </c>
      <c r="R810" s="61" t="str">
        <f aca="false">IF(IsPro,IF($D810="","",ROUND(N($E810)*IFERROR(INDEX(Items!$P$5:$P$504,U810),0),2)),"")</f>
        <v/>
      </c>
      <c r="S810" s="61" t="str">
        <f aca="false">IF(IsPro,IF($D810="","",L810-R810),"")</f>
        <v/>
      </c>
      <c r="T810" s="60" t="str">
        <f aca="false">IF(IsPro,IF($D810="","",IF(U810="","UNKNOWN ITEM",IF(INDEX(Items!$O$5:$O$504,U810)&lt;0,"NEG STOCK",IF(K810&lt;INDEX(Items!$P$5:$P$504,U810),"BELOW COST","OK")))),IF($D810="","","PRO PLAN"))</f>
        <v/>
      </c>
      <c r="U810" s="60" t="str">
        <f aca="false">IF(IsPro,IF($D810="","",IFERROR(MATCH($D810,Items!$A$5:$A$504,0),"")),"")</f>
        <v/>
      </c>
      <c r="V810" s="60" t="str">
        <f aca="false">IF(IsPro,IF($C810="","",IFERROR(MATCH($C810,Parties!$A$5:$A$304,0),"")),"")</f>
        <v/>
      </c>
      <c r="W810" s="60" t="str">
        <f aca="false">IF(IsPro,IF($B810="","",IFERROR(VALUE(SUBSTITUTE($B810,InvPrefix,"")),0)),"")</f>
        <v/>
      </c>
      <c r="X810" s="61" t="str">
        <f aca="false">IF(IsPro,IF($D810="","",IF(OR($H810="",$H810="Credit"),0,Q810)),"")</f>
        <v/>
      </c>
    </row>
    <row r="811" customFormat="false" ht="15" hidden="false" customHeight="false" outlineLevel="0" collapsed="false">
      <c r="A811" s="55"/>
      <c r="B811" s="56"/>
      <c r="C811" s="56"/>
      <c r="D811" s="56"/>
      <c r="E811" s="57"/>
      <c r="F811" s="58"/>
      <c r="G811" s="59"/>
      <c r="H811" s="56"/>
      <c r="I811" s="56"/>
      <c r="J811" s="60" t="str">
        <f aca="false">IF(IsPro,IF($D811="","",IFERROR(INDEX(Items!$D$5:$D$504,U811),"")),"")</f>
        <v/>
      </c>
      <c r="K811" s="61" t="str">
        <f aca="false">IF(IsPro,IF($D811="","",IF($F811="",IFERROR(INDEX(Items!$H$5:$H$504,U811),0),$F811)),"")</f>
        <v/>
      </c>
      <c r="L811" s="61" t="str">
        <f aca="false">IF(IsPro,IF($D811="","",ROUND(N($E811)*K811*(1-N($G811)),2)),"")</f>
        <v/>
      </c>
      <c r="M811" s="62" t="str">
        <f aca="false">IF(IsPro,IF($D811="","",IFERROR(INDEX(Items!$F$5:$F$504,U811),0)),"")</f>
        <v/>
      </c>
      <c r="N811" s="61" t="str">
        <f aca="false">IF(IsPro,IF($D811="","",IF(AND(V811&lt;&gt;"",INDEX(Parties!$E$5:$E$304,V811)&lt;&gt;"",INDEX(Parties!$E$5:$E$304,V811)&lt;&gt;HomeState),0,ROUND(L811*M811/2,2))),"")</f>
        <v/>
      </c>
      <c r="O811" s="61" t="str">
        <f aca="false">IF(IsPro,IF($D811="","",N811),"")</f>
        <v/>
      </c>
      <c r="P811" s="61" t="str">
        <f aca="false">IF(IsPro,IF($D811="","",IF(AND(V811&lt;&gt;"",INDEX(Parties!$E$5:$E$304,V811)&lt;&gt;"",INDEX(Parties!$E$5:$E$304,V811)&lt;&gt;HomeState),ROUND(L811*M811,2),0)),"")</f>
        <v/>
      </c>
      <c r="Q811" s="61" t="str">
        <f aca="false">IF(IsPro,IF($D811="","",L811+N811+O811+P811),"")</f>
        <v/>
      </c>
      <c r="R811" s="61" t="str">
        <f aca="false">IF(IsPro,IF($D811="","",ROUND(N($E811)*IFERROR(INDEX(Items!$P$5:$P$504,U811),0),2)),"")</f>
        <v/>
      </c>
      <c r="S811" s="61" t="str">
        <f aca="false">IF(IsPro,IF($D811="","",L811-R811),"")</f>
        <v/>
      </c>
      <c r="T811" s="60" t="str">
        <f aca="false">IF(IsPro,IF($D811="","",IF(U811="","UNKNOWN ITEM",IF(INDEX(Items!$O$5:$O$504,U811)&lt;0,"NEG STOCK",IF(K811&lt;INDEX(Items!$P$5:$P$504,U811),"BELOW COST","OK")))),IF($D811="","","PRO PLAN"))</f>
        <v/>
      </c>
      <c r="U811" s="60" t="str">
        <f aca="false">IF(IsPro,IF($D811="","",IFERROR(MATCH($D811,Items!$A$5:$A$504,0),"")),"")</f>
        <v/>
      </c>
      <c r="V811" s="60" t="str">
        <f aca="false">IF(IsPro,IF($C811="","",IFERROR(MATCH($C811,Parties!$A$5:$A$304,0),"")),"")</f>
        <v/>
      </c>
      <c r="W811" s="60" t="str">
        <f aca="false">IF(IsPro,IF($B811="","",IFERROR(VALUE(SUBSTITUTE($B811,InvPrefix,"")),0)),"")</f>
        <v/>
      </c>
      <c r="X811" s="61" t="str">
        <f aca="false">IF(IsPro,IF($D811="","",IF(OR($H811="",$H811="Credit"),0,Q811)),"")</f>
        <v/>
      </c>
    </row>
    <row r="812" customFormat="false" ht="15" hidden="false" customHeight="false" outlineLevel="0" collapsed="false">
      <c r="A812" s="55"/>
      <c r="B812" s="56"/>
      <c r="C812" s="56"/>
      <c r="D812" s="56"/>
      <c r="E812" s="57"/>
      <c r="F812" s="58"/>
      <c r="G812" s="59"/>
      <c r="H812" s="56"/>
      <c r="I812" s="56"/>
      <c r="J812" s="60" t="str">
        <f aca="false">IF(IsPro,IF($D812="","",IFERROR(INDEX(Items!$D$5:$D$504,U812),"")),"")</f>
        <v/>
      </c>
      <c r="K812" s="61" t="str">
        <f aca="false">IF(IsPro,IF($D812="","",IF($F812="",IFERROR(INDEX(Items!$H$5:$H$504,U812),0),$F812)),"")</f>
        <v/>
      </c>
      <c r="L812" s="61" t="str">
        <f aca="false">IF(IsPro,IF($D812="","",ROUND(N($E812)*K812*(1-N($G812)),2)),"")</f>
        <v/>
      </c>
      <c r="M812" s="62" t="str">
        <f aca="false">IF(IsPro,IF($D812="","",IFERROR(INDEX(Items!$F$5:$F$504,U812),0)),"")</f>
        <v/>
      </c>
      <c r="N812" s="61" t="str">
        <f aca="false">IF(IsPro,IF($D812="","",IF(AND(V812&lt;&gt;"",INDEX(Parties!$E$5:$E$304,V812)&lt;&gt;"",INDEX(Parties!$E$5:$E$304,V812)&lt;&gt;HomeState),0,ROUND(L812*M812/2,2))),"")</f>
        <v/>
      </c>
      <c r="O812" s="61" t="str">
        <f aca="false">IF(IsPro,IF($D812="","",N812),"")</f>
        <v/>
      </c>
      <c r="P812" s="61" t="str">
        <f aca="false">IF(IsPro,IF($D812="","",IF(AND(V812&lt;&gt;"",INDEX(Parties!$E$5:$E$304,V812)&lt;&gt;"",INDEX(Parties!$E$5:$E$304,V812)&lt;&gt;HomeState),ROUND(L812*M812,2),0)),"")</f>
        <v/>
      </c>
      <c r="Q812" s="61" t="str">
        <f aca="false">IF(IsPro,IF($D812="","",L812+N812+O812+P812),"")</f>
        <v/>
      </c>
      <c r="R812" s="61" t="str">
        <f aca="false">IF(IsPro,IF($D812="","",ROUND(N($E812)*IFERROR(INDEX(Items!$P$5:$P$504,U812),0),2)),"")</f>
        <v/>
      </c>
      <c r="S812" s="61" t="str">
        <f aca="false">IF(IsPro,IF($D812="","",L812-R812),"")</f>
        <v/>
      </c>
      <c r="T812" s="60" t="str">
        <f aca="false">IF(IsPro,IF($D812="","",IF(U812="","UNKNOWN ITEM",IF(INDEX(Items!$O$5:$O$504,U812)&lt;0,"NEG STOCK",IF(K812&lt;INDEX(Items!$P$5:$P$504,U812),"BELOW COST","OK")))),IF($D812="","","PRO PLAN"))</f>
        <v/>
      </c>
      <c r="U812" s="60" t="str">
        <f aca="false">IF(IsPro,IF($D812="","",IFERROR(MATCH($D812,Items!$A$5:$A$504,0),"")),"")</f>
        <v/>
      </c>
      <c r="V812" s="60" t="str">
        <f aca="false">IF(IsPro,IF($C812="","",IFERROR(MATCH($C812,Parties!$A$5:$A$304,0),"")),"")</f>
        <v/>
      </c>
      <c r="W812" s="60" t="str">
        <f aca="false">IF(IsPro,IF($B812="","",IFERROR(VALUE(SUBSTITUTE($B812,InvPrefix,"")),0)),"")</f>
        <v/>
      </c>
      <c r="X812" s="61" t="str">
        <f aca="false">IF(IsPro,IF($D812="","",IF(OR($H812="",$H812="Credit"),0,Q812)),"")</f>
        <v/>
      </c>
    </row>
    <row r="813" customFormat="false" ht="15" hidden="false" customHeight="false" outlineLevel="0" collapsed="false">
      <c r="A813" s="55"/>
      <c r="B813" s="56"/>
      <c r="C813" s="56"/>
      <c r="D813" s="56"/>
      <c r="E813" s="57"/>
      <c r="F813" s="58"/>
      <c r="G813" s="59"/>
      <c r="H813" s="56"/>
      <c r="I813" s="56"/>
      <c r="J813" s="60" t="str">
        <f aca="false">IF(IsPro,IF($D813="","",IFERROR(INDEX(Items!$D$5:$D$504,U813),"")),"")</f>
        <v/>
      </c>
      <c r="K813" s="61" t="str">
        <f aca="false">IF(IsPro,IF($D813="","",IF($F813="",IFERROR(INDEX(Items!$H$5:$H$504,U813),0),$F813)),"")</f>
        <v/>
      </c>
      <c r="L813" s="61" t="str">
        <f aca="false">IF(IsPro,IF($D813="","",ROUND(N($E813)*K813*(1-N($G813)),2)),"")</f>
        <v/>
      </c>
      <c r="M813" s="62" t="str">
        <f aca="false">IF(IsPro,IF($D813="","",IFERROR(INDEX(Items!$F$5:$F$504,U813),0)),"")</f>
        <v/>
      </c>
      <c r="N813" s="61" t="str">
        <f aca="false">IF(IsPro,IF($D813="","",IF(AND(V813&lt;&gt;"",INDEX(Parties!$E$5:$E$304,V813)&lt;&gt;"",INDEX(Parties!$E$5:$E$304,V813)&lt;&gt;HomeState),0,ROUND(L813*M813/2,2))),"")</f>
        <v/>
      </c>
      <c r="O813" s="61" t="str">
        <f aca="false">IF(IsPro,IF($D813="","",N813),"")</f>
        <v/>
      </c>
      <c r="P813" s="61" t="str">
        <f aca="false">IF(IsPro,IF($D813="","",IF(AND(V813&lt;&gt;"",INDEX(Parties!$E$5:$E$304,V813)&lt;&gt;"",INDEX(Parties!$E$5:$E$304,V813)&lt;&gt;HomeState),ROUND(L813*M813,2),0)),"")</f>
        <v/>
      </c>
      <c r="Q813" s="61" t="str">
        <f aca="false">IF(IsPro,IF($D813="","",L813+N813+O813+P813),"")</f>
        <v/>
      </c>
      <c r="R813" s="61" t="str">
        <f aca="false">IF(IsPro,IF($D813="","",ROUND(N($E813)*IFERROR(INDEX(Items!$P$5:$P$504,U813),0),2)),"")</f>
        <v/>
      </c>
      <c r="S813" s="61" t="str">
        <f aca="false">IF(IsPro,IF($D813="","",L813-R813),"")</f>
        <v/>
      </c>
      <c r="T813" s="60" t="str">
        <f aca="false">IF(IsPro,IF($D813="","",IF(U813="","UNKNOWN ITEM",IF(INDEX(Items!$O$5:$O$504,U813)&lt;0,"NEG STOCK",IF(K813&lt;INDEX(Items!$P$5:$P$504,U813),"BELOW COST","OK")))),IF($D813="","","PRO PLAN"))</f>
        <v/>
      </c>
      <c r="U813" s="60" t="str">
        <f aca="false">IF(IsPro,IF($D813="","",IFERROR(MATCH($D813,Items!$A$5:$A$504,0),"")),"")</f>
        <v/>
      </c>
      <c r="V813" s="60" t="str">
        <f aca="false">IF(IsPro,IF($C813="","",IFERROR(MATCH($C813,Parties!$A$5:$A$304,0),"")),"")</f>
        <v/>
      </c>
      <c r="W813" s="60" t="str">
        <f aca="false">IF(IsPro,IF($B813="","",IFERROR(VALUE(SUBSTITUTE($B813,InvPrefix,"")),0)),"")</f>
        <v/>
      </c>
      <c r="X813" s="61" t="str">
        <f aca="false">IF(IsPro,IF($D813="","",IF(OR($H813="",$H813="Credit"),0,Q813)),"")</f>
        <v/>
      </c>
    </row>
    <row r="814" customFormat="false" ht="15" hidden="false" customHeight="false" outlineLevel="0" collapsed="false">
      <c r="A814" s="55"/>
      <c r="B814" s="56"/>
      <c r="C814" s="56"/>
      <c r="D814" s="56"/>
      <c r="E814" s="57"/>
      <c r="F814" s="58"/>
      <c r="G814" s="59"/>
      <c r="H814" s="56"/>
      <c r="I814" s="56"/>
      <c r="J814" s="60" t="str">
        <f aca="false">IF(IsPro,IF($D814="","",IFERROR(INDEX(Items!$D$5:$D$504,U814),"")),"")</f>
        <v/>
      </c>
      <c r="K814" s="61" t="str">
        <f aca="false">IF(IsPro,IF($D814="","",IF($F814="",IFERROR(INDEX(Items!$H$5:$H$504,U814),0),$F814)),"")</f>
        <v/>
      </c>
      <c r="L814" s="61" t="str">
        <f aca="false">IF(IsPro,IF($D814="","",ROUND(N($E814)*K814*(1-N($G814)),2)),"")</f>
        <v/>
      </c>
      <c r="M814" s="62" t="str">
        <f aca="false">IF(IsPro,IF($D814="","",IFERROR(INDEX(Items!$F$5:$F$504,U814),0)),"")</f>
        <v/>
      </c>
      <c r="N814" s="61" t="str">
        <f aca="false">IF(IsPro,IF($D814="","",IF(AND(V814&lt;&gt;"",INDEX(Parties!$E$5:$E$304,V814)&lt;&gt;"",INDEX(Parties!$E$5:$E$304,V814)&lt;&gt;HomeState),0,ROUND(L814*M814/2,2))),"")</f>
        <v/>
      </c>
      <c r="O814" s="61" t="str">
        <f aca="false">IF(IsPro,IF($D814="","",N814),"")</f>
        <v/>
      </c>
      <c r="P814" s="61" t="str">
        <f aca="false">IF(IsPro,IF($D814="","",IF(AND(V814&lt;&gt;"",INDEX(Parties!$E$5:$E$304,V814)&lt;&gt;"",INDEX(Parties!$E$5:$E$304,V814)&lt;&gt;HomeState),ROUND(L814*M814,2),0)),"")</f>
        <v/>
      </c>
      <c r="Q814" s="61" t="str">
        <f aca="false">IF(IsPro,IF($D814="","",L814+N814+O814+P814),"")</f>
        <v/>
      </c>
      <c r="R814" s="61" t="str">
        <f aca="false">IF(IsPro,IF($D814="","",ROUND(N($E814)*IFERROR(INDEX(Items!$P$5:$P$504,U814),0),2)),"")</f>
        <v/>
      </c>
      <c r="S814" s="61" t="str">
        <f aca="false">IF(IsPro,IF($D814="","",L814-R814),"")</f>
        <v/>
      </c>
      <c r="T814" s="60" t="str">
        <f aca="false">IF(IsPro,IF($D814="","",IF(U814="","UNKNOWN ITEM",IF(INDEX(Items!$O$5:$O$504,U814)&lt;0,"NEG STOCK",IF(K814&lt;INDEX(Items!$P$5:$P$504,U814),"BELOW COST","OK")))),IF($D814="","","PRO PLAN"))</f>
        <v/>
      </c>
      <c r="U814" s="60" t="str">
        <f aca="false">IF(IsPro,IF($D814="","",IFERROR(MATCH($D814,Items!$A$5:$A$504,0),"")),"")</f>
        <v/>
      </c>
      <c r="V814" s="60" t="str">
        <f aca="false">IF(IsPro,IF($C814="","",IFERROR(MATCH($C814,Parties!$A$5:$A$304,0),"")),"")</f>
        <v/>
      </c>
      <c r="W814" s="60" t="str">
        <f aca="false">IF(IsPro,IF($B814="","",IFERROR(VALUE(SUBSTITUTE($B814,InvPrefix,"")),0)),"")</f>
        <v/>
      </c>
      <c r="X814" s="61" t="str">
        <f aca="false">IF(IsPro,IF($D814="","",IF(OR($H814="",$H814="Credit"),0,Q814)),"")</f>
        <v/>
      </c>
    </row>
    <row r="815" customFormat="false" ht="15" hidden="false" customHeight="false" outlineLevel="0" collapsed="false">
      <c r="A815" s="55"/>
      <c r="B815" s="56"/>
      <c r="C815" s="56"/>
      <c r="D815" s="56"/>
      <c r="E815" s="57"/>
      <c r="F815" s="58"/>
      <c r="G815" s="59"/>
      <c r="H815" s="56"/>
      <c r="I815" s="56"/>
      <c r="J815" s="60" t="str">
        <f aca="false">IF(IsPro,IF($D815="","",IFERROR(INDEX(Items!$D$5:$D$504,U815),"")),"")</f>
        <v/>
      </c>
      <c r="K815" s="61" t="str">
        <f aca="false">IF(IsPro,IF($D815="","",IF($F815="",IFERROR(INDEX(Items!$H$5:$H$504,U815),0),$F815)),"")</f>
        <v/>
      </c>
      <c r="L815" s="61" t="str">
        <f aca="false">IF(IsPro,IF($D815="","",ROUND(N($E815)*K815*(1-N($G815)),2)),"")</f>
        <v/>
      </c>
      <c r="M815" s="62" t="str">
        <f aca="false">IF(IsPro,IF($D815="","",IFERROR(INDEX(Items!$F$5:$F$504,U815),0)),"")</f>
        <v/>
      </c>
      <c r="N815" s="61" t="str">
        <f aca="false">IF(IsPro,IF($D815="","",IF(AND(V815&lt;&gt;"",INDEX(Parties!$E$5:$E$304,V815)&lt;&gt;"",INDEX(Parties!$E$5:$E$304,V815)&lt;&gt;HomeState),0,ROUND(L815*M815/2,2))),"")</f>
        <v/>
      </c>
      <c r="O815" s="61" t="str">
        <f aca="false">IF(IsPro,IF($D815="","",N815),"")</f>
        <v/>
      </c>
      <c r="P815" s="61" t="str">
        <f aca="false">IF(IsPro,IF($D815="","",IF(AND(V815&lt;&gt;"",INDEX(Parties!$E$5:$E$304,V815)&lt;&gt;"",INDEX(Parties!$E$5:$E$304,V815)&lt;&gt;HomeState),ROUND(L815*M815,2),0)),"")</f>
        <v/>
      </c>
      <c r="Q815" s="61" t="str">
        <f aca="false">IF(IsPro,IF($D815="","",L815+N815+O815+P815),"")</f>
        <v/>
      </c>
      <c r="R815" s="61" t="str">
        <f aca="false">IF(IsPro,IF($D815="","",ROUND(N($E815)*IFERROR(INDEX(Items!$P$5:$P$504,U815),0),2)),"")</f>
        <v/>
      </c>
      <c r="S815" s="61" t="str">
        <f aca="false">IF(IsPro,IF($D815="","",L815-R815),"")</f>
        <v/>
      </c>
      <c r="T815" s="60" t="str">
        <f aca="false">IF(IsPro,IF($D815="","",IF(U815="","UNKNOWN ITEM",IF(INDEX(Items!$O$5:$O$504,U815)&lt;0,"NEG STOCK",IF(K815&lt;INDEX(Items!$P$5:$P$504,U815),"BELOW COST","OK")))),IF($D815="","","PRO PLAN"))</f>
        <v/>
      </c>
      <c r="U815" s="60" t="str">
        <f aca="false">IF(IsPro,IF($D815="","",IFERROR(MATCH($D815,Items!$A$5:$A$504,0),"")),"")</f>
        <v/>
      </c>
      <c r="V815" s="60" t="str">
        <f aca="false">IF(IsPro,IF($C815="","",IFERROR(MATCH($C815,Parties!$A$5:$A$304,0),"")),"")</f>
        <v/>
      </c>
      <c r="W815" s="60" t="str">
        <f aca="false">IF(IsPro,IF($B815="","",IFERROR(VALUE(SUBSTITUTE($B815,InvPrefix,"")),0)),"")</f>
        <v/>
      </c>
      <c r="X815" s="61" t="str">
        <f aca="false">IF(IsPro,IF($D815="","",IF(OR($H815="",$H815="Credit"),0,Q815)),"")</f>
        <v/>
      </c>
    </row>
    <row r="816" customFormat="false" ht="15" hidden="false" customHeight="false" outlineLevel="0" collapsed="false">
      <c r="A816" s="55"/>
      <c r="B816" s="56"/>
      <c r="C816" s="56"/>
      <c r="D816" s="56"/>
      <c r="E816" s="57"/>
      <c r="F816" s="58"/>
      <c r="G816" s="59"/>
      <c r="H816" s="56"/>
      <c r="I816" s="56"/>
      <c r="J816" s="60" t="str">
        <f aca="false">IF(IsPro,IF($D816="","",IFERROR(INDEX(Items!$D$5:$D$504,U816),"")),"")</f>
        <v/>
      </c>
      <c r="K816" s="61" t="str">
        <f aca="false">IF(IsPro,IF($D816="","",IF($F816="",IFERROR(INDEX(Items!$H$5:$H$504,U816),0),$F816)),"")</f>
        <v/>
      </c>
      <c r="L816" s="61" t="str">
        <f aca="false">IF(IsPro,IF($D816="","",ROUND(N($E816)*K816*(1-N($G816)),2)),"")</f>
        <v/>
      </c>
      <c r="M816" s="62" t="str">
        <f aca="false">IF(IsPro,IF($D816="","",IFERROR(INDEX(Items!$F$5:$F$504,U816),0)),"")</f>
        <v/>
      </c>
      <c r="N816" s="61" t="str">
        <f aca="false">IF(IsPro,IF($D816="","",IF(AND(V816&lt;&gt;"",INDEX(Parties!$E$5:$E$304,V816)&lt;&gt;"",INDEX(Parties!$E$5:$E$304,V816)&lt;&gt;HomeState),0,ROUND(L816*M816/2,2))),"")</f>
        <v/>
      </c>
      <c r="O816" s="61" t="str">
        <f aca="false">IF(IsPro,IF($D816="","",N816),"")</f>
        <v/>
      </c>
      <c r="P816" s="61" t="str">
        <f aca="false">IF(IsPro,IF($D816="","",IF(AND(V816&lt;&gt;"",INDEX(Parties!$E$5:$E$304,V816)&lt;&gt;"",INDEX(Parties!$E$5:$E$304,V816)&lt;&gt;HomeState),ROUND(L816*M816,2),0)),"")</f>
        <v/>
      </c>
      <c r="Q816" s="61" t="str">
        <f aca="false">IF(IsPro,IF($D816="","",L816+N816+O816+P816),"")</f>
        <v/>
      </c>
      <c r="R816" s="61" t="str">
        <f aca="false">IF(IsPro,IF($D816="","",ROUND(N($E816)*IFERROR(INDEX(Items!$P$5:$P$504,U816),0),2)),"")</f>
        <v/>
      </c>
      <c r="S816" s="61" t="str">
        <f aca="false">IF(IsPro,IF($D816="","",L816-R816),"")</f>
        <v/>
      </c>
      <c r="T816" s="60" t="str">
        <f aca="false">IF(IsPro,IF($D816="","",IF(U816="","UNKNOWN ITEM",IF(INDEX(Items!$O$5:$O$504,U816)&lt;0,"NEG STOCK",IF(K816&lt;INDEX(Items!$P$5:$P$504,U816),"BELOW COST","OK")))),IF($D816="","","PRO PLAN"))</f>
        <v/>
      </c>
      <c r="U816" s="60" t="str">
        <f aca="false">IF(IsPro,IF($D816="","",IFERROR(MATCH($D816,Items!$A$5:$A$504,0),"")),"")</f>
        <v/>
      </c>
      <c r="V816" s="60" t="str">
        <f aca="false">IF(IsPro,IF($C816="","",IFERROR(MATCH($C816,Parties!$A$5:$A$304,0),"")),"")</f>
        <v/>
      </c>
      <c r="W816" s="60" t="str">
        <f aca="false">IF(IsPro,IF($B816="","",IFERROR(VALUE(SUBSTITUTE($B816,InvPrefix,"")),0)),"")</f>
        <v/>
      </c>
      <c r="X816" s="61" t="str">
        <f aca="false">IF(IsPro,IF($D816="","",IF(OR($H816="",$H816="Credit"),0,Q816)),"")</f>
        <v/>
      </c>
    </row>
    <row r="817" customFormat="false" ht="15" hidden="false" customHeight="false" outlineLevel="0" collapsed="false">
      <c r="A817" s="55"/>
      <c r="B817" s="56"/>
      <c r="C817" s="56"/>
      <c r="D817" s="56"/>
      <c r="E817" s="57"/>
      <c r="F817" s="58"/>
      <c r="G817" s="59"/>
      <c r="H817" s="56"/>
      <c r="I817" s="56"/>
      <c r="J817" s="60" t="str">
        <f aca="false">IF(IsPro,IF($D817="","",IFERROR(INDEX(Items!$D$5:$D$504,U817),"")),"")</f>
        <v/>
      </c>
      <c r="K817" s="61" t="str">
        <f aca="false">IF(IsPro,IF($D817="","",IF($F817="",IFERROR(INDEX(Items!$H$5:$H$504,U817),0),$F817)),"")</f>
        <v/>
      </c>
      <c r="L817" s="61" t="str">
        <f aca="false">IF(IsPro,IF($D817="","",ROUND(N($E817)*K817*(1-N($G817)),2)),"")</f>
        <v/>
      </c>
      <c r="M817" s="62" t="str">
        <f aca="false">IF(IsPro,IF($D817="","",IFERROR(INDEX(Items!$F$5:$F$504,U817),0)),"")</f>
        <v/>
      </c>
      <c r="N817" s="61" t="str">
        <f aca="false">IF(IsPro,IF($D817="","",IF(AND(V817&lt;&gt;"",INDEX(Parties!$E$5:$E$304,V817)&lt;&gt;"",INDEX(Parties!$E$5:$E$304,V817)&lt;&gt;HomeState),0,ROUND(L817*M817/2,2))),"")</f>
        <v/>
      </c>
      <c r="O817" s="61" t="str">
        <f aca="false">IF(IsPro,IF($D817="","",N817),"")</f>
        <v/>
      </c>
      <c r="P817" s="61" t="str">
        <f aca="false">IF(IsPro,IF($D817="","",IF(AND(V817&lt;&gt;"",INDEX(Parties!$E$5:$E$304,V817)&lt;&gt;"",INDEX(Parties!$E$5:$E$304,V817)&lt;&gt;HomeState),ROUND(L817*M817,2),0)),"")</f>
        <v/>
      </c>
      <c r="Q817" s="61" t="str">
        <f aca="false">IF(IsPro,IF($D817="","",L817+N817+O817+P817),"")</f>
        <v/>
      </c>
      <c r="R817" s="61" t="str">
        <f aca="false">IF(IsPro,IF($D817="","",ROUND(N($E817)*IFERROR(INDEX(Items!$P$5:$P$504,U817),0),2)),"")</f>
        <v/>
      </c>
      <c r="S817" s="61" t="str">
        <f aca="false">IF(IsPro,IF($D817="","",L817-R817),"")</f>
        <v/>
      </c>
      <c r="T817" s="60" t="str">
        <f aca="false">IF(IsPro,IF($D817="","",IF(U817="","UNKNOWN ITEM",IF(INDEX(Items!$O$5:$O$504,U817)&lt;0,"NEG STOCK",IF(K817&lt;INDEX(Items!$P$5:$P$504,U817),"BELOW COST","OK")))),IF($D817="","","PRO PLAN"))</f>
        <v/>
      </c>
      <c r="U817" s="60" t="str">
        <f aca="false">IF(IsPro,IF($D817="","",IFERROR(MATCH($D817,Items!$A$5:$A$504,0),"")),"")</f>
        <v/>
      </c>
      <c r="V817" s="60" t="str">
        <f aca="false">IF(IsPro,IF($C817="","",IFERROR(MATCH($C817,Parties!$A$5:$A$304,0),"")),"")</f>
        <v/>
      </c>
      <c r="W817" s="60" t="str">
        <f aca="false">IF(IsPro,IF($B817="","",IFERROR(VALUE(SUBSTITUTE($B817,InvPrefix,"")),0)),"")</f>
        <v/>
      </c>
      <c r="X817" s="61" t="str">
        <f aca="false">IF(IsPro,IF($D817="","",IF(OR($H817="",$H817="Credit"),0,Q817)),"")</f>
        <v/>
      </c>
    </row>
    <row r="818" customFormat="false" ht="15" hidden="false" customHeight="false" outlineLevel="0" collapsed="false">
      <c r="A818" s="55"/>
      <c r="B818" s="56"/>
      <c r="C818" s="56"/>
      <c r="D818" s="56"/>
      <c r="E818" s="57"/>
      <c r="F818" s="58"/>
      <c r="G818" s="59"/>
      <c r="H818" s="56"/>
      <c r="I818" s="56"/>
      <c r="J818" s="60" t="str">
        <f aca="false">IF(IsPro,IF($D818="","",IFERROR(INDEX(Items!$D$5:$D$504,U818),"")),"")</f>
        <v/>
      </c>
      <c r="K818" s="61" t="str">
        <f aca="false">IF(IsPro,IF($D818="","",IF($F818="",IFERROR(INDEX(Items!$H$5:$H$504,U818),0),$F818)),"")</f>
        <v/>
      </c>
      <c r="L818" s="61" t="str">
        <f aca="false">IF(IsPro,IF($D818="","",ROUND(N($E818)*K818*(1-N($G818)),2)),"")</f>
        <v/>
      </c>
      <c r="M818" s="62" t="str">
        <f aca="false">IF(IsPro,IF($D818="","",IFERROR(INDEX(Items!$F$5:$F$504,U818),0)),"")</f>
        <v/>
      </c>
      <c r="N818" s="61" t="str">
        <f aca="false">IF(IsPro,IF($D818="","",IF(AND(V818&lt;&gt;"",INDEX(Parties!$E$5:$E$304,V818)&lt;&gt;"",INDEX(Parties!$E$5:$E$304,V818)&lt;&gt;HomeState),0,ROUND(L818*M818/2,2))),"")</f>
        <v/>
      </c>
      <c r="O818" s="61" t="str">
        <f aca="false">IF(IsPro,IF($D818="","",N818),"")</f>
        <v/>
      </c>
      <c r="P818" s="61" t="str">
        <f aca="false">IF(IsPro,IF($D818="","",IF(AND(V818&lt;&gt;"",INDEX(Parties!$E$5:$E$304,V818)&lt;&gt;"",INDEX(Parties!$E$5:$E$304,V818)&lt;&gt;HomeState),ROUND(L818*M818,2),0)),"")</f>
        <v/>
      </c>
      <c r="Q818" s="61" t="str">
        <f aca="false">IF(IsPro,IF($D818="","",L818+N818+O818+P818),"")</f>
        <v/>
      </c>
      <c r="R818" s="61" t="str">
        <f aca="false">IF(IsPro,IF($D818="","",ROUND(N($E818)*IFERROR(INDEX(Items!$P$5:$P$504,U818),0),2)),"")</f>
        <v/>
      </c>
      <c r="S818" s="61" t="str">
        <f aca="false">IF(IsPro,IF($D818="","",L818-R818),"")</f>
        <v/>
      </c>
      <c r="T818" s="60" t="str">
        <f aca="false">IF(IsPro,IF($D818="","",IF(U818="","UNKNOWN ITEM",IF(INDEX(Items!$O$5:$O$504,U818)&lt;0,"NEG STOCK",IF(K818&lt;INDEX(Items!$P$5:$P$504,U818),"BELOW COST","OK")))),IF($D818="","","PRO PLAN"))</f>
        <v/>
      </c>
      <c r="U818" s="60" t="str">
        <f aca="false">IF(IsPro,IF($D818="","",IFERROR(MATCH($D818,Items!$A$5:$A$504,0),"")),"")</f>
        <v/>
      </c>
      <c r="V818" s="60" t="str">
        <f aca="false">IF(IsPro,IF($C818="","",IFERROR(MATCH($C818,Parties!$A$5:$A$304,0),"")),"")</f>
        <v/>
      </c>
      <c r="W818" s="60" t="str">
        <f aca="false">IF(IsPro,IF($B818="","",IFERROR(VALUE(SUBSTITUTE($B818,InvPrefix,"")),0)),"")</f>
        <v/>
      </c>
      <c r="X818" s="61" t="str">
        <f aca="false">IF(IsPro,IF($D818="","",IF(OR($H818="",$H818="Credit"),0,Q818)),"")</f>
        <v/>
      </c>
    </row>
    <row r="819" customFormat="false" ht="15" hidden="false" customHeight="false" outlineLevel="0" collapsed="false">
      <c r="A819" s="55"/>
      <c r="B819" s="56"/>
      <c r="C819" s="56"/>
      <c r="D819" s="56"/>
      <c r="E819" s="57"/>
      <c r="F819" s="58"/>
      <c r="G819" s="59"/>
      <c r="H819" s="56"/>
      <c r="I819" s="56"/>
      <c r="J819" s="60" t="str">
        <f aca="false">IF(IsPro,IF($D819="","",IFERROR(INDEX(Items!$D$5:$D$504,U819),"")),"")</f>
        <v/>
      </c>
      <c r="K819" s="61" t="str">
        <f aca="false">IF(IsPro,IF($D819="","",IF($F819="",IFERROR(INDEX(Items!$H$5:$H$504,U819),0),$F819)),"")</f>
        <v/>
      </c>
      <c r="L819" s="61" t="str">
        <f aca="false">IF(IsPro,IF($D819="","",ROUND(N($E819)*K819*(1-N($G819)),2)),"")</f>
        <v/>
      </c>
      <c r="M819" s="62" t="str">
        <f aca="false">IF(IsPro,IF($D819="","",IFERROR(INDEX(Items!$F$5:$F$504,U819),0)),"")</f>
        <v/>
      </c>
      <c r="N819" s="61" t="str">
        <f aca="false">IF(IsPro,IF($D819="","",IF(AND(V819&lt;&gt;"",INDEX(Parties!$E$5:$E$304,V819)&lt;&gt;"",INDEX(Parties!$E$5:$E$304,V819)&lt;&gt;HomeState),0,ROUND(L819*M819/2,2))),"")</f>
        <v/>
      </c>
      <c r="O819" s="61" t="str">
        <f aca="false">IF(IsPro,IF($D819="","",N819),"")</f>
        <v/>
      </c>
      <c r="P819" s="61" t="str">
        <f aca="false">IF(IsPro,IF($D819="","",IF(AND(V819&lt;&gt;"",INDEX(Parties!$E$5:$E$304,V819)&lt;&gt;"",INDEX(Parties!$E$5:$E$304,V819)&lt;&gt;HomeState),ROUND(L819*M819,2),0)),"")</f>
        <v/>
      </c>
      <c r="Q819" s="61" t="str">
        <f aca="false">IF(IsPro,IF($D819="","",L819+N819+O819+P819),"")</f>
        <v/>
      </c>
      <c r="R819" s="61" t="str">
        <f aca="false">IF(IsPro,IF($D819="","",ROUND(N($E819)*IFERROR(INDEX(Items!$P$5:$P$504,U819),0),2)),"")</f>
        <v/>
      </c>
      <c r="S819" s="61" t="str">
        <f aca="false">IF(IsPro,IF($D819="","",L819-R819),"")</f>
        <v/>
      </c>
      <c r="T819" s="60" t="str">
        <f aca="false">IF(IsPro,IF($D819="","",IF(U819="","UNKNOWN ITEM",IF(INDEX(Items!$O$5:$O$504,U819)&lt;0,"NEG STOCK",IF(K819&lt;INDEX(Items!$P$5:$P$504,U819),"BELOW COST","OK")))),IF($D819="","","PRO PLAN"))</f>
        <v/>
      </c>
      <c r="U819" s="60" t="str">
        <f aca="false">IF(IsPro,IF($D819="","",IFERROR(MATCH($D819,Items!$A$5:$A$504,0),"")),"")</f>
        <v/>
      </c>
      <c r="V819" s="60" t="str">
        <f aca="false">IF(IsPro,IF($C819="","",IFERROR(MATCH($C819,Parties!$A$5:$A$304,0),"")),"")</f>
        <v/>
      </c>
      <c r="W819" s="60" t="str">
        <f aca="false">IF(IsPro,IF($B819="","",IFERROR(VALUE(SUBSTITUTE($B819,InvPrefix,"")),0)),"")</f>
        <v/>
      </c>
      <c r="X819" s="61" t="str">
        <f aca="false">IF(IsPro,IF($D819="","",IF(OR($H819="",$H819="Credit"),0,Q819)),"")</f>
        <v/>
      </c>
    </row>
    <row r="820" customFormat="false" ht="15" hidden="false" customHeight="false" outlineLevel="0" collapsed="false">
      <c r="A820" s="55"/>
      <c r="B820" s="56"/>
      <c r="C820" s="56"/>
      <c r="D820" s="56"/>
      <c r="E820" s="57"/>
      <c r="F820" s="58"/>
      <c r="G820" s="59"/>
      <c r="H820" s="56"/>
      <c r="I820" s="56"/>
      <c r="J820" s="60" t="str">
        <f aca="false">IF(IsPro,IF($D820="","",IFERROR(INDEX(Items!$D$5:$D$504,U820),"")),"")</f>
        <v/>
      </c>
      <c r="K820" s="61" t="str">
        <f aca="false">IF(IsPro,IF($D820="","",IF($F820="",IFERROR(INDEX(Items!$H$5:$H$504,U820),0),$F820)),"")</f>
        <v/>
      </c>
      <c r="L820" s="61" t="str">
        <f aca="false">IF(IsPro,IF($D820="","",ROUND(N($E820)*K820*(1-N($G820)),2)),"")</f>
        <v/>
      </c>
      <c r="M820" s="62" t="str">
        <f aca="false">IF(IsPro,IF($D820="","",IFERROR(INDEX(Items!$F$5:$F$504,U820),0)),"")</f>
        <v/>
      </c>
      <c r="N820" s="61" t="str">
        <f aca="false">IF(IsPro,IF($D820="","",IF(AND(V820&lt;&gt;"",INDEX(Parties!$E$5:$E$304,V820)&lt;&gt;"",INDEX(Parties!$E$5:$E$304,V820)&lt;&gt;HomeState),0,ROUND(L820*M820/2,2))),"")</f>
        <v/>
      </c>
      <c r="O820" s="61" t="str">
        <f aca="false">IF(IsPro,IF($D820="","",N820),"")</f>
        <v/>
      </c>
      <c r="P820" s="61" t="str">
        <f aca="false">IF(IsPro,IF($D820="","",IF(AND(V820&lt;&gt;"",INDEX(Parties!$E$5:$E$304,V820)&lt;&gt;"",INDEX(Parties!$E$5:$E$304,V820)&lt;&gt;HomeState),ROUND(L820*M820,2),0)),"")</f>
        <v/>
      </c>
      <c r="Q820" s="61" t="str">
        <f aca="false">IF(IsPro,IF($D820="","",L820+N820+O820+P820),"")</f>
        <v/>
      </c>
      <c r="R820" s="61" t="str">
        <f aca="false">IF(IsPro,IF($D820="","",ROUND(N($E820)*IFERROR(INDEX(Items!$P$5:$P$504,U820),0),2)),"")</f>
        <v/>
      </c>
      <c r="S820" s="61" t="str">
        <f aca="false">IF(IsPro,IF($D820="","",L820-R820),"")</f>
        <v/>
      </c>
      <c r="T820" s="60" t="str">
        <f aca="false">IF(IsPro,IF($D820="","",IF(U820="","UNKNOWN ITEM",IF(INDEX(Items!$O$5:$O$504,U820)&lt;0,"NEG STOCK",IF(K820&lt;INDEX(Items!$P$5:$P$504,U820),"BELOW COST","OK")))),IF($D820="","","PRO PLAN"))</f>
        <v/>
      </c>
      <c r="U820" s="60" t="str">
        <f aca="false">IF(IsPro,IF($D820="","",IFERROR(MATCH($D820,Items!$A$5:$A$504,0),"")),"")</f>
        <v/>
      </c>
      <c r="V820" s="60" t="str">
        <f aca="false">IF(IsPro,IF($C820="","",IFERROR(MATCH($C820,Parties!$A$5:$A$304,0),"")),"")</f>
        <v/>
      </c>
      <c r="W820" s="60" t="str">
        <f aca="false">IF(IsPro,IF($B820="","",IFERROR(VALUE(SUBSTITUTE($B820,InvPrefix,"")),0)),"")</f>
        <v/>
      </c>
      <c r="X820" s="61" t="str">
        <f aca="false">IF(IsPro,IF($D820="","",IF(OR($H820="",$H820="Credit"),0,Q820)),"")</f>
        <v/>
      </c>
    </row>
    <row r="821" customFormat="false" ht="15" hidden="false" customHeight="false" outlineLevel="0" collapsed="false">
      <c r="A821" s="55"/>
      <c r="B821" s="56"/>
      <c r="C821" s="56"/>
      <c r="D821" s="56"/>
      <c r="E821" s="57"/>
      <c r="F821" s="58"/>
      <c r="G821" s="59"/>
      <c r="H821" s="56"/>
      <c r="I821" s="56"/>
      <c r="J821" s="60" t="str">
        <f aca="false">IF(IsPro,IF($D821="","",IFERROR(INDEX(Items!$D$5:$D$504,U821),"")),"")</f>
        <v/>
      </c>
      <c r="K821" s="61" t="str">
        <f aca="false">IF(IsPro,IF($D821="","",IF($F821="",IFERROR(INDEX(Items!$H$5:$H$504,U821),0),$F821)),"")</f>
        <v/>
      </c>
      <c r="L821" s="61" t="str">
        <f aca="false">IF(IsPro,IF($D821="","",ROUND(N($E821)*K821*(1-N($G821)),2)),"")</f>
        <v/>
      </c>
      <c r="M821" s="62" t="str">
        <f aca="false">IF(IsPro,IF($D821="","",IFERROR(INDEX(Items!$F$5:$F$504,U821),0)),"")</f>
        <v/>
      </c>
      <c r="N821" s="61" t="str">
        <f aca="false">IF(IsPro,IF($D821="","",IF(AND(V821&lt;&gt;"",INDEX(Parties!$E$5:$E$304,V821)&lt;&gt;"",INDEX(Parties!$E$5:$E$304,V821)&lt;&gt;HomeState),0,ROUND(L821*M821/2,2))),"")</f>
        <v/>
      </c>
      <c r="O821" s="61" t="str">
        <f aca="false">IF(IsPro,IF($D821="","",N821),"")</f>
        <v/>
      </c>
      <c r="P821" s="61" t="str">
        <f aca="false">IF(IsPro,IF($D821="","",IF(AND(V821&lt;&gt;"",INDEX(Parties!$E$5:$E$304,V821)&lt;&gt;"",INDEX(Parties!$E$5:$E$304,V821)&lt;&gt;HomeState),ROUND(L821*M821,2),0)),"")</f>
        <v/>
      </c>
      <c r="Q821" s="61" t="str">
        <f aca="false">IF(IsPro,IF($D821="","",L821+N821+O821+P821),"")</f>
        <v/>
      </c>
      <c r="R821" s="61" t="str">
        <f aca="false">IF(IsPro,IF($D821="","",ROUND(N($E821)*IFERROR(INDEX(Items!$P$5:$P$504,U821),0),2)),"")</f>
        <v/>
      </c>
      <c r="S821" s="61" t="str">
        <f aca="false">IF(IsPro,IF($D821="","",L821-R821),"")</f>
        <v/>
      </c>
      <c r="T821" s="60" t="str">
        <f aca="false">IF(IsPro,IF($D821="","",IF(U821="","UNKNOWN ITEM",IF(INDEX(Items!$O$5:$O$504,U821)&lt;0,"NEG STOCK",IF(K821&lt;INDEX(Items!$P$5:$P$504,U821),"BELOW COST","OK")))),IF($D821="","","PRO PLAN"))</f>
        <v/>
      </c>
      <c r="U821" s="60" t="str">
        <f aca="false">IF(IsPro,IF($D821="","",IFERROR(MATCH($D821,Items!$A$5:$A$504,0),"")),"")</f>
        <v/>
      </c>
      <c r="V821" s="60" t="str">
        <f aca="false">IF(IsPro,IF($C821="","",IFERROR(MATCH($C821,Parties!$A$5:$A$304,0),"")),"")</f>
        <v/>
      </c>
      <c r="W821" s="60" t="str">
        <f aca="false">IF(IsPro,IF($B821="","",IFERROR(VALUE(SUBSTITUTE($B821,InvPrefix,"")),0)),"")</f>
        <v/>
      </c>
      <c r="X821" s="61" t="str">
        <f aca="false">IF(IsPro,IF($D821="","",IF(OR($H821="",$H821="Credit"),0,Q821)),"")</f>
        <v/>
      </c>
    </row>
    <row r="822" customFormat="false" ht="15" hidden="false" customHeight="false" outlineLevel="0" collapsed="false">
      <c r="A822" s="55"/>
      <c r="B822" s="56"/>
      <c r="C822" s="56"/>
      <c r="D822" s="56"/>
      <c r="E822" s="57"/>
      <c r="F822" s="58"/>
      <c r="G822" s="59"/>
      <c r="H822" s="56"/>
      <c r="I822" s="56"/>
      <c r="J822" s="60" t="str">
        <f aca="false">IF(IsPro,IF($D822="","",IFERROR(INDEX(Items!$D$5:$D$504,U822),"")),"")</f>
        <v/>
      </c>
      <c r="K822" s="61" t="str">
        <f aca="false">IF(IsPro,IF($D822="","",IF($F822="",IFERROR(INDEX(Items!$H$5:$H$504,U822),0),$F822)),"")</f>
        <v/>
      </c>
      <c r="L822" s="61" t="str">
        <f aca="false">IF(IsPro,IF($D822="","",ROUND(N($E822)*K822*(1-N($G822)),2)),"")</f>
        <v/>
      </c>
      <c r="M822" s="62" t="str">
        <f aca="false">IF(IsPro,IF($D822="","",IFERROR(INDEX(Items!$F$5:$F$504,U822),0)),"")</f>
        <v/>
      </c>
      <c r="N822" s="61" t="str">
        <f aca="false">IF(IsPro,IF($D822="","",IF(AND(V822&lt;&gt;"",INDEX(Parties!$E$5:$E$304,V822)&lt;&gt;"",INDEX(Parties!$E$5:$E$304,V822)&lt;&gt;HomeState),0,ROUND(L822*M822/2,2))),"")</f>
        <v/>
      </c>
      <c r="O822" s="61" t="str">
        <f aca="false">IF(IsPro,IF($D822="","",N822),"")</f>
        <v/>
      </c>
      <c r="P822" s="61" t="str">
        <f aca="false">IF(IsPro,IF($D822="","",IF(AND(V822&lt;&gt;"",INDEX(Parties!$E$5:$E$304,V822)&lt;&gt;"",INDEX(Parties!$E$5:$E$304,V822)&lt;&gt;HomeState),ROUND(L822*M822,2),0)),"")</f>
        <v/>
      </c>
      <c r="Q822" s="61" t="str">
        <f aca="false">IF(IsPro,IF($D822="","",L822+N822+O822+P822),"")</f>
        <v/>
      </c>
      <c r="R822" s="61" t="str">
        <f aca="false">IF(IsPro,IF($D822="","",ROUND(N($E822)*IFERROR(INDEX(Items!$P$5:$P$504,U822),0),2)),"")</f>
        <v/>
      </c>
      <c r="S822" s="61" t="str">
        <f aca="false">IF(IsPro,IF($D822="","",L822-R822),"")</f>
        <v/>
      </c>
      <c r="T822" s="60" t="str">
        <f aca="false">IF(IsPro,IF($D822="","",IF(U822="","UNKNOWN ITEM",IF(INDEX(Items!$O$5:$O$504,U822)&lt;0,"NEG STOCK",IF(K822&lt;INDEX(Items!$P$5:$P$504,U822),"BELOW COST","OK")))),IF($D822="","","PRO PLAN"))</f>
        <v/>
      </c>
      <c r="U822" s="60" t="str">
        <f aca="false">IF(IsPro,IF($D822="","",IFERROR(MATCH($D822,Items!$A$5:$A$504,0),"")),"")</f>
        <v/>
      </c>
      <c r="V822" s="60" t="str">
        <f aca="false">IF(IsPro,IF($C822="","",IFERROR(MATCH($C822,Parties!$A$5:$A$304,0),"")),"")</f>
        <v/>
      </c>
      <c r="W822" s="60" t="str">
        <f aca="false">IF(IsPro,IF($B822="","",IFERROR(VALUE(SUBSTITUTE($B822,InvPrefix,"")),0)),"")</f>
        <v/>
      </c>
      <c r="X822" s="61" t="str">
        <f aca="false">IF(IsPro,IF($D822="","",IF(OR($H822="",$H822="Credit"),0,Q822)),"")</f>
        <v/>
      </c>
    </row>
    <row r="823" customFormat="false" ht="15" hidden="false" customHeight="false" outlineLevel="0" collapsed="false">
      <c r="A823" s="55"/>
      <c r="B823" s="56"/>
      <c r="C823" s="56"/>
      <c r="D823" s="56"/>
      <c r="E823" s="57"/>
      <c r="F823" s="58"/>
      <c r="G823" s="59"/>
      <c r="H823" s="56"/>
      <c r="I823" s="56"/>
      <c r="J823" s="60" t="str">
        <f aca="false">IF(IsPro,IF($D823="","",IFERROR(INDEX(Items!$D$5:$D$504,U823),"")),"")</f>
        <v/>
      </c>
      <c r="K823" s="61" t="str">
        <f aca="false">IF(IsPro,IF($D823="","",IF($F823="",IFERROR(INDEX(Items!$H$5:$H$504,U823),0),$F823)),"")</f>
        <v/>
      </c>
      <c r="L823" s="61" t="str">
        <f aca="false">IF(IsPro,IF($D823="","",ROUND(N($E823)*K823*(1-N($G823)),2)),"")</f>
        <v/>
      </c>
      <c r="M823" s="62" t="str">
        <f aca="false">IF(IsPro,IF($D823="","",IFERROR(INDEX(Items!$F$5:$F$504,U823),0)),"")</f>
        <v/>
      </c>
      <c r="N823" s="61" t="str">
        <f aca="false">IF(IsPro,IF($D823="","",IF(AND(V823&lt;&gt;"",INDEX(Parties!$E$5:$E$304,V823)&lt;&gt;"",INDEX(Parties!$E$5:$E$304,V823)&lt;&gt;HomeState),0,ROUND(L823*M823/2,2))),"")</f>
        <v/>
      </c>
      <c r="O823" s="61" t="str">
        <f aca="false">IF(IsPro,IF($D823="","",N823),"")</f>
        <v/>
      </c>
      <c r="P823" s="61" t="str">
        <f aca="false">IF(IsPro,IF($D823="","",IF(AND(V823&lt;&gt;"",INDEX(Parties!$E$5:$E$304,V823)&lt;&gt;"",INDEX(Parties!$E$5:$E$304,V823)&lt;&gt;HomeState),ROUND(L823*M823,2),0)),"")</f>
        <v/>
      </c>
      <c r="Q823" s="61" t="str">
        <f aca="false">IF(IsPro,IF($D823="","",L823+N823+O823+P823),"")</f>
        <v/>
      </c>
      <c r="R823" s="61" t="str">
        <f aca="false">IF(IsPro,IF($D823="","",ROUND(N($E823)*IFERROR(INDEX(Items!$P$5:$P$504,U823),0),2)),"")</f>
        <v/>
      </c>
      <c r="S823" s="61" t="str">
        <f aca="false">IF(IsPro,IF($D823="","",L823-R823),"")</f>
        <v/>
      </c>
      <c r="T823" s="60" t="str">
        <f aca="false">IF(IsPro,IF($D823="","",IF(U823="","UNKNOWN ITEM",IF(INDEX(Items!$O$5:$O$504,U823)&lt;0,"NEG STOCK",IF(K823&lt;INDEX(Items!$P$5:$P$504,U823),"BELOW COST","OK")))),IF($D823="","","PRO PLAN"))</f>
        <v/>
      </c>
      <c r="U823" s="60" t="str">
        <f aca="false">IF(IsPro,IF($D823="","",IFERROR(MATCH($D823,Items!$A$5:$A$504,0),"")),"")</f>
        <v/>
      </c>
      <c r="V823" s="60" t="str">
        <f aca="false">IF(IsPro,IF($C823="","",IFERROR(MATCH($C823,Parties!$A$5:$A$304,0),"")),"")</f>
        <v/>
      </c>
      <c r="W823" s="60" t="str">
        <f aca="false">IF(IsPro,IF($B823="","",IFERROR(VALUE(SUBSTITUTE($B823,InvPrefix,"")),0)),"")</f>
        <v/>
      </c>
      <c r="X823" s="61" t="str">
        <f aca="false">IF(IsPro,IF($D823="","",IF(OR($H823="",$H823="Credit"),0,Q823)),"")</f>
        <v/>
      </c>
    </row>
    <row r="824" customFormat="false" ht="15" hidden="false" customHeight="false" outlineLevel="0" collapsed="false">
      <c r="A824" s="55"/>
      <c r="B824" s="56"/>
      <c r="C824" s="56"/>
      <c r="D824" s="56"/>
      <c r="E824" s="57"/>
      <c r="F824" s="58"/>
      <c r="G824" s="59"/>
      <c r="H824" s="56"/>
      <c r="I824" s="56"/>
      <c r="J824" s="60" t="str">
        <f aca="false">IF(IsPro,IF($D824="","",IFERROR(INDEX(Items!$D$5:$D$504,U824),"")),"")</f>
        <v/>
      </c>
      <c r="K824" s="61" t="str">
        <f aca="false">IF(IsPro,IF($D824="","",IF($F824="",IFERROR(INDEX(Items!$H$5:$H$504,U824),0),$F824)),"")</f>
        <v/>
      </c>
      <c r="L824" s="61" t="str">
        <f aca="false">IF(IsPro,IF($D824="","",ROUND(N($E824)*K824*(1-N($G824)),2)),"")</f>
        <v/>
      </c>
      <c r="M824" s="62" t="str">
        <f aca="false">IF(IsPro,IF($D824="","",IFERROR(INDEX(Items!$F$5:$F$504,U824),0)),"")</f>
        <v/>
      </c>
      <c r="N824" s="61" t="str">
        <f aca="false">IF(IsPro,IF($D824="","",IF(AND(V824&lt;&gt;"",INDEX(Parties!$E$5:$E$304,V824)&lt;&gt;"",INDEX(Parties!$E$5:$E$304,V824)&lt;&gt;HomeState),0,ROUND(L824*M824/2,2))),"")</f>
        <v/>
      </c>
      <c r="O824" s="61" t="str">
        <f aca="false">IF(IsPro,IF($D824="","",N824),"")</f>
        <v/>
      </c>
      <c r="P824" s="61" t="str">
        <f aca="false">IF(IsPro,IF($D824="","",IF(AND(V824&lt;&gt;"",INDEX(Parties!$E$5:$E$304,V824)&lt;&gt;"",INDEX(Parties!$E$5:$E$304,V824)&lt;&gt;HomeState),ROUND(L824*M824,2),0)),"")</f>
        <v/>
      </c>
      <c r="Q824" s="61" t="str">
        <f aca="false">IF(IsPro,IF($D824="","",L824+N824+O824+P824),"")</f>
        <v/>
      </c>
      <c r="R824" s="61" t="str">
        <f aca="false">IF(IsPro,IF($D824="","",ROUND(N($E824)*IFERROR(INDEX(Items!$P$5:$P$504,U824),0),2)),"")</f>
        <v/>
      </c>
      <c r="S824" s="61" t="str">
        <f aca="false">IF(IsPro,IF($D824="","",L824-R824),"")</f>
        <v/>
      </c>
      <c r="T824" s="60" t="str">
        <f aca="false">IF(IsPro,IF($D824="","",IF(U824="","UNKNOWN ITEM",IF(INDEX(Items!$O$5:$O$504,U824)&lt;0,"NEG STOCK",IF(K824&lt;INDEX(Items!$P$5:$P$504,U824),"BELOW COST","OK")))),IF($D824="","","PRO PLAN"))</f>
        <v/>
      </c>
      <c r="U824" s="60" t="str">
        <f aca="false">IF(IsPro,IF($D824="","",IFERROR(MATCH($D824,Items!$A$5:$A$504,0),"")),"")</f>
        <v/>
      </c>
      <c r="V824" s="60" t="str">
        <f aca="false">IF(IsPro,IF($C824="","",IFERROR(MATCH($C824,Parties!$A$5:$A$304,0),"")),"")</f>
        <v/>
      </c>
      <c r="W824" s="60" t="str">
        <f aca="false">IF(IsPro,IF($B824="","",IFERROR(VALUE(SUBSTITUTE($B824,InvPrefix,"")),0)),"")</f>
        <v/>
      </c>
      <c r="X824" s="61" t="str">
        <f aca="false">IF(IsPro,IF($D824="","",IF(OR($H824="",$H824="Credit"),0,Q824)),"")</f>
        <v/>
      </c>
    </row>
    <row r="825" customFormat="false" ht="15" hidden="false" customHeight="false" outlineLevel="0" collapsed="false">
      <c r="A825" s="55"/>
      <c r="B825" s="56"/>
      <c r="C825" s="56"/>
      <c r="D825" s="56"/>
      <c r="E825" s="57"/>
      <c r="F825" s="58"/>
      <c r="G825" s="59"/>
      <c r="H825" s="56"/>
      <c r="I825" s="56"/>
      <c r="J825" s="60" t="str">
        <f aca="false">IF(IsPro,IF($D825="","",IFERROR(INDEX(Items!$D$5:$D$504,U825),"")),"")</f>
        <v/>
      </c>
      <c r="K825" s="61" t="str">
        <f aca="false">IF(IsPro,IF($D825="","",IF($F825="",IFERROR(INDEX(Items!$H$5:$H$504,U825),0),$F825)),"")</f>
        <v/>
      </c>
      <c r="L825" s="61" t="str">
        <f aca="false">IF(IsPro,IF($D825="","",ROUND(N($E825)*K825*(1-N($G825)),2)),"")</f>
        <v/>
      </c>
      <c r="M825" s="62" t="str">
        <f aca="false">IF(IsPro,IF($D825="","",IFERROR(INDEX(Items!$F$5:$F$504,U825),0)),"")</f>
        <v/>
      </c>
      <c r="N825" s="61" t="str">
        <f aca="false">IF(IsPro,IF($D825="","",IF(AND(V825&lt;&gt;"",INDEX(Parties!$E$5:$E$304,V825)&lt;&gt;"",INDEX(Parties!$E$5:$E$304,V825)&lt;&gt;HomeState),0,ROUND(L825*M825/2,2))),"")</f>
        <v/>
      </c>
      <c r="O825" s="61" t="str">
        <f aca="false">IF(IsPro,IF($D825="","",N825),"")</f>
        <v/>
      </c>
      <c r="P825" s="61" t="str">
        <f aca="false">IF(IsPro,IF($D825="","",IF(AND(V825&lt;&gt;"",INDEX(Parties!$E$5:$E$304,V825)&lt;&gt;"",INDEX(Parties!$E$5:$E$304,V825)&lt;&gt;HomeState),ROUND(L825*M825,2),0)),"")</f>
        <v/>
      </c>
      <c r="Q825" s="61" t="str">
        <f aca="false">IF(IsPro,IF($D825="","",L825+N825+O825+P825),"")</f>
        <v/>
      </c>
      <c r="R825" s="61" t="str">
        <f aca="false">IF(IsPro,IF($D825="","",ROUND(N($E825)*IFERROR(INDEX(Items!$P$5:$P$504,U825),0),2)),"")</f>
        <v/>
      </c>
      <c r="S825" s="61" t="str">
        <f aca="false">IF(IsPro,IF($D825="","",L825-R825),"")</f>
        <v/>
      </c>
      <c r="T825" s="60" t="str">
        <f aca="false">IF(IsPro,IF($D825="","",IF(U825="","UNKNOWN ITEM",IF(INDEX(Items!$O$5:$O$504,U825)&lt;0,"NEG STOCK",IF(K825&lt;INDEX(Items!$P$5:$P$504,U825),"BELOW COST","OK")))),IF($D825="","","PRO PLAN"))</f>
        <v/>
      </c>
      <c r="U825" s="60" t="str">
        <f aca="false">IF(IsPro,IF($D825="","",IFERROR(MATCH($D825,Items!$A$5:$A$504,0),"")),"")</f>
        <v/>
      </c>
      <c r="V825" s="60" t="str">
        <f aca="false">IF(IsPro,IF($C825="","",IFERROR(MATCH($C825,Parties!$A$5:$A$304,0),"")),"")</f>
        <v/>
      </c>
      <c r="W825" s="60" t="str">
        <f aca="false">IF(IsPro,IF($B825="","",IFERROR(VALUE(SUBSTITUTE($B825,InvPrefix,"")),0)),"")</f>
        <v/>
      </c>
      <c r="X825" s="61" t="str">
        <f aca="false">IF(IsPro,IF($D825="","",IF(OR($H825="",$H825="Credit"),0,Q825)),"")</f>
        <v/>
      </c>
    </row>
    <row r="826" customFormat="false" ht="15" hidden="false" customHeight="false" outlineLevel="0" collapsed="false">
      <c r="A826" s="55"/>
      <c r="B826" s="56"/>
      <c r="C826" s="56"/>
      <c r="D826" s="56"/>
      <c r="E826" s="57"/>
      <c r="F826" s="58"/>
      <c r="G826" s="59"/>
      <c r="H826" s="56"/>
      <c r="I826" s="56"/>
      <c r="J826" s="60" t="str">
        <f aca="false">IF(IsPro,IF($D826="","",IFERROR(INDEX(Items!$D$5:$D$504,U826),"")),"")</f>
        <v/>
      </c>
      <c r="K826" s="61" t="str">
        <f aca="false">IF(IsPro,IF($D826="","",IF($F826="",IFERROR(INDEX(Items!$H$5:$H$504,U826),0),$F826)),"")</f>
        <v/>
      </c>
      <c r="L826" s="61" t="str">
        <f aca="false">IF(IsPro,IF($D826="","",ROUND(N($E826)*K826*(1-N($G826)),2)),"")</f>
        <v/>
      </c>
      <c r="M826" s="62" t="str">
        <f aca="false">IF(IsPro,IF($D826="","",IFERROR(INDEX(Items!$F$5:$F$504,U826),0)),"")</f>
        <v/>
      </c>
      <c r="N826" s="61" t="str">
        <f aca="false">IF(IsPro,IF($D826="","",IF(AND(V826&lt;&gt;"",INDEX(Parties!$E$5:$E$304,V826)&lt;&gt;"",INDEX(Parties!$E$5:$E$304,V826)&lt;&gt;HomeState),0,ROUND(L826*M826/2,2))),"")</f>
        <v/>
      </c>
      <c r="O826" s="61" t="str">
        <f aca="false">IF(IsPro,IF($D826="","",N826),"")</f>
        <v/>
      </c>
      <c r="P826" s="61" t="str">
        <f aca="false">IF(IsPro,IF($D826="","",IF(AND(V826&lt;&gt;"",INDEX(Parties!$E$5:$E$304,V826)&lt;&gt;"",INDEX(Parties!$E$5:$E$304,V826)&lt;&gt;HomeState),ROUND(L826*M826,2),0)),"")</f>
        <v/>
      </c>
      <c r="Q826" s="61" t="str">
        <f aca="false">IF(IsPro,IF($D826="","",L826+N826+O826+P826),"")</f>
        <v/>
      </c>
      <c r="R826" s="61" t="str">
        <f aca="false">IF(IsPro,IF($D826="","",ROUND(N($E826)*IFERROR(INDEX(Items!$P$5:$P$504,U826),0),2)),"")</f>
        <v/>
      </c>
      <c r="S826" s="61" t="str">
        <f aca="false">IF(IsPro,IF($D826="","",L826-R826),"")</f>
        <v/>
      </c>
      <c r="T826" s="60" t="str">
        <f aca="false">IF(IsPro,IF($D826="","",IF(U826="","UNKNOWN ITEM",IF(INDEX(Items!$O$5:$O$504,U826)&lt;0,"NEG STOCK",IF(K826&lt;INDEX(Items!$P$5:$P$504,U826),"BELOW COST","OK")))),IF($D826="","","PRO PLAN"))</f>
        <v/>
      </c>
      <c r="U826" s="60" t="str">
        <f aca="false">IF(IsPro,IF($D826="","",IFERROR(MATCH($D826,Items!$A$5:$A$504,0),"")),"")</f>
        <v/>
      </c>
      <c r="V826" s="60" t="str">
        <f aca="false">IF(IsPro,IF($C826="","",IFERROR(MATCH($C826,Parties!$A$5:$A$304,0),"")),"")</f>
        <v/>
      </c>
      <c r="W826" s="60" t="str">
        <f aca="false">IF(IsPro,IF($B826="","",IFERROR(VALUE(SUBSTITUTE($B826,InvPrefix,"")),0)),"")</f>
        <v/>
      </c>
      <c r="X826" s="61" t="str">
        <f aca="false">IF(IsPro,IF($D826="","",IF(OR($H826="",$H826="Credit"),0,Q826)),"")</f>
        <v/>
      </c>
    </row>
    <row r="827" customFormat="false" ht="15" hidden="false" customHeight="false" outlineLevel="0" collapsed="false">
      <c r="A827" s="55"/>
      <c r="B827" s="56"/>
      <c r="C827" s="56"/>
      <c r="D827" s="56"/>
      <c r="E827" s="57"/>
      <c r="F827" s="58"/>
      <c r="G827" s="59"/>
      <c r="H827" s="56"/>
      <c r="I827" s="56"/>
      <c r="J827" s="60" t="str">
        <f aca="false">IF(IsPro,IF($D827="","",IFERROR(INDEX(Items!$D$5:$D$504,U827),"")),"")</f>
        <v/>
      </c>
      <c r="K827" s="61" t="str">
        <f aca="false">IF(IsPro,IF($D827="","",IF($F827="",IFERROR(INDEX(Items!$H$5:$H$504,U827),0),$F827)),"")</f>
        <v/>
      </c>
      <c r="L827" s="61" t="str">
        <f aca="false">IF(IsPro,IF($D827="","",ROUND(N($E827)*K827*(1-N($G827)),2)),"")</f>
        <v/>
      </c>
      <c r="M827" s="62" t="str">
        <f aca="false">IF(IsPro,IF($D827="","",IFERROR(INDEX(Items!$F$5:$F$504,U827),0)),"")</f>
        <v/>
      </c>
      <c r="N827" s="61" t="str">
        <f aca="false">IF(IsPro,IF($D827="","",IF(AND(V827&lt;&gt;"",INDEX(Parties!$E$5:$E$304,V827)&lt;&gt;"",INDEX(Parties!$E$5:$E$304,V827)&lt;&gt;HomeState),0,ROUND(L827*M827/2,2))),"")</f>
        <v/>
      </c>
      <c r="O827" s="61" t="str">
        <f aca="false">IF(IsPro,IF($D827="","",N827),"")</f>
        <v/>
      </c>
      <c r="P827" s="61" t="str">
        <f aca="false">IF(IsPro,IF($D827="","",IF(AND(V827&lt;&gt;"",INDEX(Parties!$E$5:$E$304,V827)&lt;&gt;"",INDEX(Parties!$E$5:$E$304,V827)&lt;&gt;HomeState),ROUND(L827*M827,2),0)),"")</f>
        <v/>
      </c>
      <c r="Q827" s="61" t="str">
        <f aca="false">IF(IsPro,IF($D827="","",L827+N827+O827+P827),"")</f>
        <v/>
      </c>
      <c r="R827" s="61" t="str">
        <f aca="false">IF(IsPro,IF($D827="","",ROUND(N($E827)*IFERROR(INDEX(Items!$P$5:$P$504,U827),0),2)),"")</f>
        <v/>
      </c>
      <c r="S827" s="61" t="str">
        <f aca="false">IF(IsPro,IF($D827="","",L827-R827),"")</f>
        <v/>
      </c>
      <c r="T827" s="60" t="str">
        <f aca="false">IF(IsPro,IF($D827="","",IF(U827="","UNKNOWN ITEM",IF(INDEX(Items!$O$5:$O$504,U827)&lt;0,"NEG STOCK",IF(K827&lt;INDEX(Items!$P$5:$P$504,U827),"BELOW COST","OK")))),IF($D827="","","PRO PLAN"))</f>
        <v/>
      </c>
      <c r="U827" s="60" t="str">
        <f aca="false">IF(IsPro,IF($D827="","",IFERROR(MATCH($D827,Items!$A$5:$A$504,0),"")),"")</f>
        <v/>
      </c>
      <c r="V827" s="60" t="str">
        <f aca="false">IF(IsPro,IF($C827="","",IFERROR(MATCH($C827,Parties!$A$5:$A$304,0),"")),"")</f>
        <v/>
      </c>
      <c r="W827" s="60" t="str">
        <f aca="false">IF(IsPro,IF($B827="","",IFERROR(VALUE(SUBSTITUTE($B827,InvPrefix,"")),0)),"")</f>
        <v/>
      </c>
      <c r="X827" s="61" t="str">
        <f aca="false">IF(IsPro,IF($D827="","",IF(OR($H827="",$H827="Credit"),0,Q827)),"")</f>
        <v/>
      </c>
    </row>
    <row r="828" customFormat="false" ht="15" hidden="false" customHeight="false" outlineLevel="0" collapsed="false">
      <c r="A828" s="55"/>
      <c r="B828" s="56"/>
      <c r="C828" s="56"/>
      <c r="D828" s="56"/>
      <c r="E828" s="57"/>
      <c r="F828" s="58"/>
      <c r="G828" s="59"/>
      <c r="H828" s="56"/>
      <c r="I828" s="56"/>
      <c r="J828" s="60" t="str">
        <f aca="false">IF(IsPro,IF($D828="","",IFERROR(INDEX(Items!$D$5:$D$504,U828),"")),"")</f>
        <v/>
      </c>
      <c r="K828" s="61" t="str">
        <f aca="false">IF(IsPro,IF($D828="","",IF($F828="",IFERROR(INDEX(Items!$H$5:$H$504,U828),0),$F828)),"")</f>
        <v/>
      </c>
      <c r="L828" s="61" t="str">
        <f aca="false">IF(IsPro,IF($D828="","",ROUND(N($E828)*K828*(1-N($G828)),2)),"")</f>
        <v/>
      </c>
      <c r="M828" s="62" t="str">
        <f aca="false">IF(IsPro,IF($D828="","",IFERROR(INDEX(Items!$F$5:$F$504,U828),0)),"")</f>
        <v/>
      </c>
      <c r="N828" s="61" t="str">
        <f aca="false">IF(IsPro,IF($D828="","",IF(AND(V828&lt;&gt;"",INDEX(Parties!$E$5:$E$304,V828)&lt;&gt;"",INDEX(Parties!$E$5:$E$304,V828)&lt;&gt;HomeState),0,ROUND(L828*M828/2,2))),"")</f>
        <v/>
      </c>
      <c r="O828" s="61" t="str">
        <f aca="false">IF(IsPro,IF($D828="","",N828),"")</f>
        <v/>
      </c>
      <c r="P828" s="61" t="str">
        <f aca="false">IF(IsPro,IF($D828="","",IF(AND(V828&lt;&gt;"",INDEX(Parties!$E$5:$E$304,V828)&lt;&gt;"",INDEX(Parties!$E$5:$E$304,V828)&lt;&gt;HomeState),ROUND(L828*M828,2),0)),"")</f>
        <v/>
      </c>
      <c r="Q828" s="61" t="str">
        <f aca="false">IF(IsPro,IF($D828="","",L828+N828+O828+P828),"")</f>
        <v/>
      </c>
      <c r="R828" s="61" t="str">
        <f aca="false">IF(IsPro,IF($D828="","",ROUND(N($E828)*IFERROR(INDEX(Items!$P$5:$P$504,U828),0),2)),"")</f>
        <v/>
      </c>
      <c r="S828" s="61" t="str">
        <f aca="false">IF(IsPro,IF($D828="","",L828-R828),"")</f>
        <v/>
      </c>
      <c r="T828" s="60" t="str">
        <f aca="false">IF(IsPro,IF($D828="","",IF(U828="","UNKNOWN ITEM",IF(INDEX(Items!$O$5:$O$504,U828)&lt;0,"NEG STOCK",IF(K828&lt;INDEX(Items!$P$5:$P$504,U828),"BELOW COST","OK")))),IF($D828="","","PRO PLAN"))</f>
        <v/>
      </c>
      <c r="U828" s="60" t="str">
        <f aca="false">IF(IsPro,IF($D828="","",IFERROR(MATCH($D828,Items!$A$5:$A$504,0),"")),"")</f>
        <v/>
      </c>
      <c r="V828" s="60" t="str">
        <f aca="false">IF(IsPro,IF($C828="","",IFERROR(MATCH($C828,Parties!$A$5:$A$304,0),"")),"")</f>
        <v/>
      </c>
      <c r="W828" s="60" t="str">
        <f aca="false">IF(IsPro,IF($B828="","",IFERROR(VALUE(SUBSTITUTE($B828,InvPrefix,"")),0)),"")</f>
        <v/>
      </c>
      <c r="X828" s="61" t="str">
        <f aca="false">IF(IsPro,IF($D828="","",IF(OR($H828="",$H828="Credit"),0,Q828)),"")</f>
        <v/>
      </c>
    </row>
    <row r="829" customFormat="false" ht="15" hidden="false" customHeight="false" outlineLevel="0" collapsed="false">
      <c r="A829" s="55"/>
      <c r="B829" s="56"/>
      <c r="C829" s="56"/>
      <c r="D829" s="56"/>
      <c r="E829" s="57"/>
      <c r="F829" s="58"/>
      <c r="G829" s="59"/>
      <c r="H829" s="56"/>
      <c r="I829" s="56"/>
      <c r="J829" s="60" t="str">
        <f aca="false">IF(IsPro,IF($D829="","",IFERROR(INDEX(Items!$D$5:$D$504,U829),"")),"")</f>
        <v/>
      </c>
      <c r="K829" s="61" t="str">
        <f aca="false">IF(IsPro,IF($D829="","",IF($F829="",IFERROR(INDEX(Items!$H$5:$H$504,U829),0),$F829)),"")</f>
        <v/>
      </c>
      <c r="L829" s="61" t="str">
        <f aca="false">IF(IsPro,IF($D829="","",ROUND(N($E829)*K829*(1-N($G829)),2)),"")</f>
        <v/>
      </c>
      <c r="M829" s="62" t="str">
        <f aca="false">IF(IsPro,IF($D829="","",IFERROR(INDEX(Items!$F$5:$F$504,U829),0)),"")</f>
        <v/>
      </c>
      <c r="N829" s="61" t="str">
        <f aca="false">IF(IsPro,IF($D829="","",IF(AND(V829&lt;&gt;"",INDEX(Parties!$E$5:$E$304,V829)&lt;&gt;"",INDEX(Parties!$E$5:$E$304,V829)&lt;&gt;HomeState),0,ROUND(L829*M829/2,2))),"")</f>
        <v/>
      </c>
      <c r="O829" s="61" t="str">
        <f aca="false">IF(IsPro,IF($D829="","",N829),"")</f>
        <v/>
      </c>
      <c r="P829" s="61" t="str">
        <f aca="false">IF(IsPro,IF($D829="","",IF(AND(V829&lt;&gt;"",INDEX(Parties!$E$5:$E$304,V829)&lt;&gt;"",INDEX(Parties!$E$5:$E$304,V829)&lt;&gt;HomeState),ROUND(L829*M829,2),0)),"")</f>
        <v/>
      </c>
      <c r="Q829" s="61" t="str">
        <f aca="false">IF(IsPro,IF($D829="","",L829+N829+O829+P829),"")</f>
        <v/>
      </c>
      <c r="R829" s="61" t="str">
        <f aca="false">IF(IsPro,IF($D829="","",ROUND(N($E829)*IFERROR(INDEX(Items!$P$5:$P$504,U829),0),2)),"")</f>
        <v/>
      </c>
      <c r="S829" s="61" t="str">
        <f aca="false">IF(IsPro,IF($D829="","",L829-R829),"")</f>
        <v/>
      </c>
      <c r="T829" s="60" t="str">
        <f aca="false">IF(IsPro,IF($D829="","",IF(U829="","UNKNOWN ITEM",IF(INDEX(Items!$O$5:$O$504,U829)&lt;0,"NEG STOCK",IF(K829&lt;INDEX(Items!$P$5:$P$504,U829),"BELOW COST","OK")))),IF($D829="","","PRO PLAN"))</f>
        <v/>
      </c>
      <c r="U829" s="60" t="str">
        <f aca="false">IF(IsPro,IF($D829="","",IFERROR(MATCH($D829,Items!$A$5:$A$504,0),"")),"")</f>
        <v/>
      </c>
      <c r="V829" s="60" t="str">
        <f aca="false">IF(IsPro,IF($C829="","",IFERROR(MATCH($C829,Parties!$A$5:$A$304,0),"")),"")</f>
        <v/>
      </c>
      <c r="W829" s="60" t="str">
        <f aca="false">IF(IsPro,IF($B829="","",IFERROR(VALUE(SUBSTITUTE($B829,InvPrefix,"")),0)),"")</f>
        <v/>
      </c>
      <c r="X829" s="61" t="str">
        <f aca="false">IF(IsPro,IF($D829="","",IF(OR($H829="",$H829="Credit"),0,Q829)),"")</f>
        <v/>
      </c>
    </row>
    <row r="830" customFormat="false" ht="15" hidden="false" customHeight="false" outlineLevel="0" collapsed="false">
      <c r="A830" s="55"/>
      <c r="B830" s="56"/>
      <c r="C830" s="56"/>
      <c r="D830" s="56"/>
      <c r="E830" s="57"/>
      <c r="F830" s="58"/>
      <c r="G830" s="59"/>
      <c r="H830" s="56"/>
      <c r="I830" s="56"/>
      <c r="J830" s="60" t="str">
        <f aca="false">IF(IsPro,IF($D830="","",IFERROR(INDEX(Items!$D$5:$D$504,U830),"")),"")</f>
        <v/>
      </c>
      <c r="K830" s="61" t="str">
        <f aca="false">IF(IsPro,IF($D830="","",IF($F830="",IFERROR(INDEX(Items!$H$5:$H$504,U830),0),$F830)),"")</f>
        <v/>
      </c>
      <c r="L830" s="61" t="str">
        <f aca="false">IF(IsPro,IF($D830="","",ROUND(N($E830)*K830*(1-N($G830)),2)),"")</f>
        <v/>
      </c>
      <c r="M830" s="62" t="str">
        <f aca="false">IF(IsPro,IF($D830="","",IFERROR(INDEX(Items!$F$5:$F$504,U830),0)),"")</f>
        <v/>
      </c>
      <c r="N830" s="61" t="str">
        <f aca="false">IF(IsPro,IF($D830="","",IF(AND(V830&lt;&gt;"",INDEX(Parties!$E$5:$E$304,V830)&lt;&gt;"",INDEX(Parties!$E$5:$E$304,V830)&lt;&gt;HomeState),0,ROUND(L830*M830/2,2))),"")</f>
        <v/>
      </c>
      <c r="O830" s="61" t="str">
        <f aca="false">IF(IsPro,IF($D830="","",N830),"")</f>
        <v/>
      </c>
      <c r="P830" s="61" t="str">
        <f aca="false">IF(IsPro,IF($D830="","",IF(AND(V830&lt;&gt;"",INDEX(Parties!$E$5:$E$304,V830)&lt;&gt;"",INDEX(Parties!$E$5:$E$304,V830)&lt;&gt;HomeState),ROUND(L830*M830,2),0)),"")</f>
        <v/>
      </c>
      <c r="Q830" s="61" t="str">
        <f aca="false">IF(IsPro,IF($D830="","",L830+N830+O830+P830),"")</f>
        <v/>
      </c>
      <c r="R830" s="61" t="str">
        <f aca="false">IF(IsPro,IF($D830="","",ROUND(N($E830)*IFERROR(INDEX(Items!$P$5:$P$504,U830),0),2)),"")</f>
        <v/>
      </c>
      <c r="S830" s="61" t="str">
        <f aca="false">IF(IsPro,IF($D830="","",L830-R830),"")</f>
        <v/>
      </c>
      <c r="T830" s="60" t="str">
        <f aca="false">IF(IsPro,IF($D830="","",IF(U830="","UNKNOWN ITEM",IF(INDEX(Items!$O$5:$O$504,U830)&lt;0,"NEG STOCK",IF(K830&lt;INDEX(Items!$P$5:$P$504,U830),"BELOW COST","OK")))),IF($D830="","","PRO PLAN"))</f>
        <v/>
      </c>
      <c r="U830" s="60" t="str">
        <f aca="false">IF(IsPro,IF($D830="","",IFERROR(MATCH($D830,Items!$A$5:$A$504,0),"")),"")</f>
        <v/>
      </c>
      <c r="V830" s="60" t="str">
        <f aca="false">IF(IsPro,IF($C830="","",IFERROR(MATCH($C830,Parties!$A$5:$A$304,0),"")),"")</f>
        <v/>
      </c>
      <c r="W830" s="60" t="str">
        <f aca="false">IF(IsPro,IF($B830="","",IFERROR(VALUE(SUBSTITUTE($B830,InvPrefix,"")),0)),"")</f>
        <v/>
      </c>
      <c r="X830" s="61" t="str">
        <f aca="false">IF(IsPro,IF($D830="","",IF(OR($H830="",$H830="Credit"),0,Q830)),"")</f>
        <v/>
      </c>
    </row>
    <row r="831" customFormat="false" ht="15" hidden="false" customHeight="false" outlineLevel="0" collapsed="false">
      <c r="A831" s="55"/>
      <c r="B831" s="56"/>
      <c r="C831" s="56"/>
      <c r="D831" s="56"/>
      <c r="E831" s="57"/>
      <c r="F831" s="58"/>
      <c r="G831" s="59"/>
      <c r="H831" s="56"/>
      <c r="I831" s="56"/>
      <c r="J831" s="60" t="str">
        <f aca="false">IF(IsPro,IF($D831="","",IFERROR(INDEX(Items!$D$5:$D$504,U831),"")),"")</f>
        <v/>
      </c>
      <c r="K831" s="61" t="str">
        <f aca="false">IF(IsPro,IF($D831="","",IF($F831="",IFERROR(INDEX(Items!$H$5:$H$504,U831),0),$F831)),"")</f>
        <v/>
      </c>
      <c r="L831" s="61" t="str">
        <f aca="false">IF(IsPro,IF($D831="","",ROUND(N($E831)*K831*(1-N($G831)),2)),"")</f>
        <v/>
      </c>
      <c r="M831" s="62" t="str">
        <f aca="false">IF(IsPro,IF($D831="","",IFERROR(INDEX(Items!$F$5:$F$504,U831),0)),"")</f>
        <v/>
      </c>
      <c r="N831" s="61" t="str">
        <f aca="false">IF(IsPro,IF($D831="","",IF(AND(V831&lt;&gt;"",INDEX(Parties!$E$5:$E$304,V831)&lt;&gt;"",INDEX(Parties!$E$5:$E$304,V831)&lt;&gt;HomeState),0,ROUND(L831*M831/2,2))),"")</f>
        <v/>
      </c>
      <c r="O831" s="61" t="str">
        <f aca="false">IF(IsPro,IF($D831="","",N831),"")</f>
        <v/>
      </c>
      <c r="P831" s="61" t="str">
        <f aca="false">IF(IsPro,IF($D831="","",IF(AND(V831&lt;&gt;"",INDEX(Parties!$E$5:$E$304,V831)&lt;&gt;"",INDEX(Parties!$E$5:$E$304,V831)&lt;&gt;HomeState),ROUND(L831*M831,2),0)),"")</f>
        <v/>
      </c>
      <c r="Q831" s="61" t="str">
        <f aca="false">IF(IsPro,IF($D831="","",L831+N831+O831+P831),"")</f>
        <v/>
      </c>
      <c r="R831" s="61" t="str">
        <f aca="false">IF(IsPro,IF($D831="","",ROUND(N($E831)*IFERROR(INDEX(Items!$P$5:$P$504,U831),0),2)),"")</f>
        <v/>
      </c>
      <c r="S831" s="61" t="str">
        <f aca="false">IF(IsPro,IF($D831="","",L831-R831),"")</f>
        <v/>
      </c>
      <c r="T831" s="60" t="str">
        <f aca="false">IF(IsPro,IF($D831="","",IF(U831="","UNKNOWN ITEM",IF(INDEX(Items!$O$5:$O$504,U831)&lt;0,"NEG STOCK",IF(K831&lt;INDEX(Items!$P$5:$P$504,U831),"BELOW COST","OK")))),IF($D831="","","PRO PLAN"))</f>
        <v/>
      </c>
      <c r="U831" s="60" t="str">
        <f aca="false">IF(IsPro,IF($D831="","",IFERROR(MATCH($D831,Items!$A$5:$A$504,0),"")),"")</f>
        <v/>
      </c>
      <c r="V831" s="60" t="str">
        <f aca="false">IF(IsPro,IF($C831="","",IFERROR(MATCH($C831,Parties!$A$5:$A$304,0),"")),"")</f>
        <v/>
      </c>
      <c r="W831" s="60" t="str">
        <f aca="false">IF(IsPro,IF($B831="","",IFERROR(VALUE(SUBSTITUTE($B831,InvPrefix,"")),0)),"")</f>
        <v/>
      </c>
      <c r="X831" s="61" t="str">
        <f aca="false">IF(IsPro,IF($D831="","",IF(OR($H831="",$H831="Credit"),0,Q831)),"")</f>
        <v/>
      </c>
    </row>
    <row r="832" customFormat="false" ht="15" hidden="false" customHeight="false" outlineLevel="0" collapsed="false">
      <c r="A832" s="55"/>
      <c r="B832" s="56"/>
      <c r="C832" s="56"/>
      <c r="D832" s="56"/>
      <c r="E832" s="57"/>
      <c r="F832" s="58"/>
      <c r="G832" s="59"/>
      <c r="H832" s="56"/>
      <c r="I832" s="56"/>
      <c r="J832" s="60" t="str">
        <f aca="false">IF(IsPro,IF($D832="","",IFERROR(INDEX(Items!$D$5:$D$504,U832),"")),"")</f>
        <v/>
      </c>
      <c r="K832" s="61" t="str">
        <f aca="false">IF(IsPro,IF($D832="","",IF($F832="",IFERROR(INDEX(Items!$H$5:$H$504,U832),0),$F832)),"")</f>
        <v/>
      </c>
      <c r="L832" s="61" t="str">
        <f aca="false">IF(IsPro,IF($D832="","",ROUND(N($E832)*K832*(1-N($G832)),2)),"")</f>
        <v/>
      </c>
      <c r="M832" s="62" t="str">
        <f aca="false">IF(IsPro,IF($D832="","",IFERROR(INDEX(Items!$F$5:$F$504,U832),0)),"")</f>
        <v/>
      </c>
      <c r="N832" s="61" t="str">
        <f aca="false">IF(IsPro,IF($D832="","",IF(AND(V832&lt;&gt;"",INDEX(Parties!$E$5:$E$304,V832)&lt;&gt;"",INDEX(Parties!$E$5:$E$304,V832)&lt;&gt;HomeState),0,ROUND(L832*M832/2,2))),"")</f>
        <v/>
      </c>
      <c r="O832" s="61" t="str">
        <f aca="false">IF(IsPro,IF($D832="","",N832),"")</f>
        <v/>
      </c>
      <c r="P832" s="61" t="str">
        <f aca="false">IF(IsPro,IF($D832="","",IF(AND(V832&lt;&gt;"",INDEX(Parties!$E$5:$E$304,V832)&lt;&gt;"",INDEX(Parties!$E$5:$E$304,V832)&lt;&gt;HomeState),ROUND(L832*M832,2),0)),"")</f>
        <v/>
      </c>
      <c r="Q832" s="61" t="str">
        <f aca="false">IF(IsPro,IF($D832="","",L832+N832+O832+P832),"")</f>
        <v/>
      </c>
      <c r="R832" s="61" t="str">
        <f aca="false">IF(IsPro,IF($D832="","",ROUND(N($E832)*IFERROR(INDEX(Items!$P$5:$P$504,U832),0),2)),"")</f>
        <v/>
      </c>
      <c r="S832" s="61" t="str">
        <f aca="false">IF(IsPro,IF($D832="","",L832-R832),"")</f>
        <v/>
      </c>
      <c r="T832" s="60" t="str">
        <f aca="false">IF(IsPro,IF($D832="","",IF(U832="","UNKNOWN ITEM",IF(INDEX(Items!$O$5:$O$504,U832)&lt;0,"NEG STOCK",IF(K832&lt;INDEX(Items!$P$5:$P$504,U832),"BELOW COST","OK")))),IF($D832="","","PRO PLAN"))</f>
        <v/>
      </c>
      <c r="U832" s="60" t="str">
        <f aca="false">IF(IsPro,IF($D832="","",IFERROR(MATCH($D832,Items!$A$5:$A$504,0),"")),"")</f>
        <v/>
      </c>
      <c r="V832" s="60" t="str">
        <f aca="false">IF(IsPro,IF($C832="","",IFERROR(MATCH($C832,Parties!$A$5:$A$304,0),"")),"")</f>
        <v/>
      </c>
      <c r="W832" s="60" t="str">
        <f aca="false">IF(IsPro,IF($B832="","",IFERROR(VALUE(SUBSTITUTE($B832,InvPrefix,"")),0)),"")</f>
        <v/>
      </c>
      <c r="X832" s="61" t="str">
        <f aca="false">IF(IsPro,IF($D832="","",IF(OR($H832="",$H832="Credit"),0,Q832)),"")</f>
        <v/>
      </c>
    </row>
    <row r="833" customFormat="false" ht="15" hidden="false" customHeight="false" outlineLevel="0" collapsed="false">
      <c r="A833" s="55"/>
      <c r="B833" s="56"/>
      <c r="C833" s="56"/>
      <c r="D833" s="56"/>
      <c r="E833" s="57"/>
      <c r="F833" s="58"/>
      <c r="G833" s="59"/>
      <c r="H833" s="56"/>
      <c r="I833" s="56"/>
      <c r="J833" s="60" t="str">
        <f aca="false">IF(IsPro,IF($D833="","",IFERROR(INDEX(Items!$D$5:$D$504,U833),"")),"")</f>
        <v/>
      </c>
      <c r="K833" s="61" t="str">
        <f aca="false">IF(IsPro,IF($D833="","",IF($F833="",IFERROR(INDEX(Items!$H$5:$H$504,U833),0),$F833)),"")</f>
        <v/>
      </c>
      <c r="L833" s="61" t="str">
        <f aca="false">IF(IsPro,IF($D833="","",ROUND(N($E833)*K833*(1-N($G833)),2)),"")</f>
        <v/>
      </c>
      <c r="M833" s="62" t="str">
        <f aca="false">IF(IsPro,IF($D833="","",IFERROR(INDEX(Items!$F$5:$F$504,U833),0)),"")</f>
        <v/>
      </c>
      <c r="N833" s="61" t="str">
        <f aca="false">IF(IsPro,IF($D833="","",IF(AND(V833&lt;&gt;"",INDEX(Parties!$E$5:$E$304,V833)&lt;&gt;"",INDEX(Parties!$E$5:$E$304,V833)&lt;&gt;HomeState),0,ROUND(L833*M833/2,2))),"")</f>
        <v/>
      </c>
      <c r="O833" s="61" t="str">
        <f aca="false">IF(IsPro,IF($D833="","",N833),"")</f>
        <v/>
      </c>
      <c r="P833" s="61" t="str">
        <f aca="false">IF(IsPro,IF($D833="","",IF(AND(V833&lt;&gt;"",INDEX(Parties!$E$5:$E$304,V833)&lt;&gt;"",INDEX(Parties!$E$5:$E$304,V833)&lt;&gt;HomeState),ROUND(L833*M833,2),0)),"")</f>
        <v/>
      </c>
      <c r="Q833" s="61" t="str">
        <f aca="false">IF(IsPro,IF($D833="","",L833+N833+O833+P833),"")</f>
        <v/>
      </c>
      <c r="R833" s="61" t="str">
        <f aca="false">IF(IsPro,IF($D833="","",ROUND(N($E833)*IFERROR(INDEX(Items!$P$5:$P$504,U833),0),2)),"")</f>
        <v/>
      </c>
      <c r="S833" s="61" t="str">
        <f aca="false">IF(IsPro,IF($D833="","",L833-R833),"")</f>
        <v/>
      </c>
      <c r="T833" s="60" t="str">
        <f aca="false">IF(IsPro,IF($D833="","",IF(U833="","UNKNOWN ITEM",IF(INDEX(Items!$O$5:$O$504,U833)&lt;0,"NEG STOCK",IF(K833&lt;INDEX(Items!$P$5:$P$504,U833),"BELOW COST","OK")))),IF($D833="","","PRO PLAN"))</f>
        <v/>
      </c>
      <c r="U833" s="60" t="str">
        <f aca="false">IF(IsPro,IF($D833="","",IFERROR(MATCH($D833,Items!$A$5:$A$504,0),"")),"")</f>
        <v/>
      </c>
      <c r="V833" s="60" t="str">
        <f aca="false">IF(IsPro,IF($C833="","",IFERROR(MATCH($C833,Parties!$A$5:$A$304,0),"")),"")</f>
        <v/>
      </c>
      <c r="W833" s="60" t="str">
        <f aca="false">IF(IsPro,IF($B833="","",IFERROR(VALUE(SUBSTITUTE($B833,InvPrefix,"")),0)),"")</f>
        <v/>
      </c>
      <c r="X833" s="61" t="str">
        <f aca="false">IF(IsPro,IF($D833="","",IF(OR($H833="",$H833="Credit"),0,Q833)),"")</f>
        <v/>
      </c>
    </row>
    <row r="834" customFormat="false" ht="15" hidden="false" customHeight="false" outlineLevel="0" collapsed="false">
      <c r="A834" s="55"/>
      <c r="B834" s="56"/>
      <c r="C834" s="56"/>
      <c r="D834" s="56"/>
      <c r="E834" s="57"/>
      <c r="F834" s="58"/>
      <c r="G834" s="59"/>
      <c r="H834" s="56"/>
      <c r="I834" s="56"/>
      <c r="J834" s="60" t="str">
        <f aca="false">IF(IsPro,IF($D834="","",IFERROR(INDEX(Items!$D$5:$D$504,U834),"")),"")</f>
        <v/>
      </c>
      <c r="K834" s="61" t="str">
        <f aca="false">IF(IsPro,IF($D834="","",IF($F834="",IFERROR(INDEX(Items!$H$5:$H$504,U834),0),$F834)),"")</f>
        <v/>
      </c>
      <c r="L834" s="61" t="str">
        <f aca="false">IF(IsPro,IF($D834="","",ROUND(N($E834)*K834*(1-N($G834)),2)),"")</f>
        <v/>
      </c>
      <c r="M834" s="62" t="str">
        <f aca="false">IF(IsPro,IF($D834="","",IFERROR(INDEX(Items!$F$5:$F$504,U834),0)),"")</f>
        <v/>
      </c>
      <c r="N834" s="61" t="str">
        <f aca="false">IF(IsPro,IF($D834="","",IF(AND(V834&lt;&gt;"",INDEX(Parties!$E$5:$E$304,V834)&lt;&gt;"",INDEX(Parties!$E$5:$E$304,V834)&lt;&gt;HomeState),0,ROUND(L834*M834/2,2))),"")</f>
        <v/>
      </c>
      <c r="O834" s="61" t="str">
        <f aca="false">IF(IsPro,IF($D834="","",N834),"")</f>
        <v/>
      </c>
      <c r="P834" s="61" t="str">
        <f aca="false">IF(IsPro,IF($D834="","",IF(AND(V834&lt;&gt;"",INDEX(Parties!$E$5:$E$304,V834)&lt;&gt;"",INDEX(Parties!$E$5:$E$304,V834)&lt;&gt;HomeState),ROUND(L834*M834,2),0)),"")</f>
        <v/>
      </c>
      <c r="Q834" s="61" t="str">
        <f aca="false">IF(IsPro,IF($D834="","",L834+N834+O834+P834),"")</f>
        <v/>
      </c>
      <c r="R834" s="61" t="str">
        <f aca="false">IF(IsPro,IF($D834="","",ROUND(N($E834)*IFERROR(INDEX(Items!$P$5:$P$504,U834),0),2)),"")</f>
        <v/>
      </c>
      <c r="S834" s="61" t="str">
        <f aca="false">IF(IsPro,IF($D834="","",L834-R834),"")</f>
        <v/>
      </c>
      <c r="T834" s="60" t="str">
        <f aca="false">IF(IsPro,IF($D834="","",IF(U834="","UNKNOWN ITEM",IF(INDEX(Items!$O$5:$O$504,U834)&lt;0,"NEG STOCK",IF(K834&lt;INDEX(Items!$P$5:$P$504,U834),"BELOW COST","OK")))),IF($D834="","","PRO PLAN"))</f>
        <v/>
      </c>
      <c r="U834" s="60" t="str">
        <f aca="false">IF(IsPro,IF($D834="","",IFERROR(MATCH($D834,Items!$A$5:$A$504,0),"")),"")</f>
        <v/>
      </c>
      <c r="V834" s="60" t="str">
        <f aca="false">IF(IsPro,IF($C834="","",IFERROR(MATCH($C834,Parties!$A$5:$A$304,0),"")),"")</f>
        <v/>
      </c>
      <c r="W834" s="60" t="str">
        <f aca="false">IF(IsPro,IF($B834="","",IFERROR(VALUE(SUBSTITUTE($B834,InvPrefix,"")),0)),"")</f>
        <v/>
      </c>
      <c r="X834" s="61" t="str">
        <f aca="false">IF(IsPro,IF($D834="","",IF(OR($H834="",$H834="Credit"),0,Q834)),"")</f>
        <v/>
      </c>
    </row>
    <row r="835" customFormat="false" ht="15" hidden="false" customHeight="false" outlineLevel="0" collapsed="false">
      <c r="A835" s="55"/>
      <c r="B835" s="56"/>
      <c r="C835" s="56"/>
      <c r="D835" s="56"/>
      <c r="E835" s="57"/>
      <c r="F835" s="58"/>
      <c r="G835" s="59"/>
      <c r="H835" s="56"/>
      <c r="I835" s="56"/>
      <c r="J835" s="60" t="str">
        <f aca="false">IF(IsPro,IF($D835="","",IFERROR(INDEX(Items!$D$5:$D$504,U835),"")),"")</f>
        <v/>
      </c>
      <c r="K835" s="61" t="str">
        <f aca="false">IF(IsPro,IF($D835="","",IF($F835="",IFERROR(INDEX(Items!$H$5:$H$504,U835),0),$F835)),"")</f>
        <v/>
      </c>
      <c r="L835" s="61" t="str">
        <f aca="false">IF(IsPro,IF($D835="","",ROUND(N($E835)*K835*(1-N($G835)),2)),"")</f>
        <v/>
      </c>
      <c r="M835" s="62" t="str">
        <f aca="false">IF(IsPro,IF($D835="","",IFERROR(INDEX(Items!$F$5:$F$504,U835),0)),"")</f>
        <v/>
      </c>
      <c r="N835" s="61" t="str">
        <f aca="false">IF(IsPro,IF($D835="","",IF(AND(V835&lt;&gt;"",INDEX(Parties!$E$5:$E$304,V835)&lt;&gt;"",INDEX(Parties!$E$5:$E$304,V835)&lt;&gt;HomeState),0,ROUND(L835*M835/2,2))),"")</f>
        <v/>
      </c>
      <c r="O835" s="61" t="str">
        <f aca="false">IF(IsPro,IF($D835="","",N835),"")</f>
        <v/>
      </c>
      <c r="P835" s="61" t="str">
        <f aca="false">IF(IsPro,IF($D835="","",IF(AND(V835&lt;&gt;"",INDEX(Parties!$E$5:$E$304,V835)&lt;&gt;"",INDEX(Parties!$E$5:$E$304,V835)&lt;&gt;HomeState),ROUND(L835*M835,2),0)),"")</f>
        <v/>
      </c>
      <c r="Q835" s="61" t="str">
        <f aca="false">IF(IsPro,IF($D835="","",L835+N835+O835+P835),"")</f>
        <v/>
      </c>
      <c r="R835" s="61" t="str">
        <f aca="false">IF(IsPro,IF($D835="","",ROUND(N($E835)*IFERROR(INDEX(Items!$P$5:$P$504,U835),0),2)),"")</f>
        <v/>
      </c>
      <c r="S835" s="61" t="str">
        <f aca="false">IF(IsPro,IF($D835="","",L835-R835),"")</f>
        <v/>
      </c>
      <c r="T835" s="60" t="str">
        <f aca="false">IF(IsPro,IF($D835="","",IF(U835="","UNKNOWN ITEM",IF(INDEX(Items!$O$5:$O$504,U835)&lt;0,"NEG STOCK",IF(K835&lt;INDEX(Items!$P$5:$P$504,U835),"BELOW COST","OK")))),IF($D835="","","PRO PLAN"))</f>
        <v/>
      </c>
      <c r="U835" s="60" t="str">
        <f aca="false">IF(IsPro,IF($D835="","",IFERROR(MATCH($D835,Items!$A$5:$A$504,0),"")),"")</f>
        <v/>
      </c>
      <c r="V835" s="60" t="str">
        <f aca="false">IF(IsPro,IF($C835="","",IFERROR(MATCH($C835,Parties!$A$5:$A$304,0),"")),"")</f>
        <v/>
      </c>
      <c r="W835" s="60" t="str">
        <f aca="false">IF(IsPro,IF($B835="","",IFERROR(VALUE(SUBSTITUTE($B835,InvPrefix,"")),0)),"")</f>
        <v/>
      </c>
      <c r="X835" s="61" t="str">
        <f aca="false">IF(IsPro,IF($D835="","",IF(OR($H835="",$H835="Credit"),0,Q835)),"")</f>
        <v/>
      </c>
    </row>
    <row r="836" customFormat="false" ht="15" hidden="false" customHeight="false" outlineLevel="0" collapsed="false">
      <c r="A836" s="55"/>
      <c r="B836" s="56"/>
      <c r="C836" s="56"/>
      <c r="D836" s="56"/>
      <c r="E836" s="57"/>
      <c r="F836" s="58"/>
      <c r="G836" s="59"/>
      <c r="H836" s="56"/>
      <c r="I836" s="56"/>
      <c r="J836" s="60" t="str">
        <f aca="false">IF(IsPro,IF($D836="","",IFERROR(INDEX(Items!$D$5:$D$504,U836),"")),"")</f>
        <v/>
      </c>
      <c r="K836" s="61" t="str">
        <f aca="false">IF(IsPro,IF($D836="","",IF($F836="",IFERROR(INDEX(Items!$H$5:$H$504,U836),0),$F836)),"")</f>
        <v/>
      </c>
      <c r="L836" s="61" t="str">
        <f aca="false">IF(IsPro,IF($D836="","",ROUND(N($E836)*K836*(1-N($G836)),2)),"")</f>
        <v/>
      </c>
      <c r="M836" s="62" t="str">
        <f aca="false">IF(IsPro,IF($D836="","",IFERROR(INDEX(Items!$F$5:$F$504,U836),0)),"")</f>
        <v/>
      </c>
      <c r="N836" s="61" t="str">
        <f aca="false">IF(IsPro,IF($D836="","",IF(AND(V836&lt;&gt;"",INDEX(Parties!$E$5:$E$304,V836)&lt;&gt;"",INDEX(Parties!$E$5:$E$304,V836)&lt;&gt;HomeState),0,ROUND(L836*M836/2,2))),"")</f>
        <v/>
      </c>
      <c r="O836" s="61" t="str">
        <f aca="false">IF(IsPro,IF($D836="","",N836),"")</f>
        <v/>
      </c>
      <c r="P836" s="61" t="str">
        <f aca="false">IF(IsPro,IF($D836="","",IF(AND(V836&lt;&gt;"",INDEX(Parties!$E$5:$E$304,V836)&lt;&gt;"",INDEX(Parties!$E$5:$E$304,V836)&lt;&gt;HomeState),ROUND(L836*M836,2),0)),"")</f>
        <v/>
      </c>
      <c r="Q836" s="61" t="str">
        <f aca="false">IF(IsPro,IF($D836="","",L836+N836+O836+P836),"")</f>
        <v/>
      </c>
      <c r="R836" s="61" t="str">
        <f aca="false">IF(IsPro,IF($D836="","",ROUND(N($E836)*IFERROR(INDEX(Items!$P$5:$P$504,U836),0),2)),"")</f>
        <v/>
      </c>
      <c r="S836" s="61" t="str">
        <f aca="false">IF(IsPro,IF($D836="","",L836-R836),"")</f>
        <v/>
      </c>
      <c r="T836" s="60" t="str">
        <f aca="false">IF(IsPro,IF($D836="","",IF(U836="","UNKNOWN ITEM",IF(INDEX(Items!$O$5:$O$504,U836)&lt;0,"NEG STOCK",IF(K836&lt;INDEX(Items!$P$5:$P$504,U836),"BELOW COST","OK")))),IF($D836="","","PRO PLAN"))</f>
        <v/>
      </c>
      <c r="U836" s="60" t="str">
        <f aca="false">IF(IsPro,IF($D836="","",IFERROR(MATCH($D836,Items!$A$5:$A$504,0),"")),"")</f>
        <v/>
      </c>
      <c r="V836" s="60" t="str">
        <f aca="false">IF(IsPro,IF($C836="","",IFERROR(MATCH($C836,Parties!$A$5:$A$304,0),"")),"")</f>
        <v/>
      </c>
      <c r="W836" s="60" t="str">
        <f aca="false">IF(IsPro,IF($B836="","",IFERROR(VALUE(SUBSTITUTE($B836,InvPrefix,"")),0)),"")</f>
        <v/>
      </c>
      <c r="X836" s="61" t="str">
        <f aca="false">IF(IsPro,IF($D836="","",IF(OR($H836="",$H836="Credit"),0,Q836)),"")</f>
        <v/>
      </c>
    </row>
    <row r="837" customFormat="false" ht="15" hidden="false" customHeight="false" outlineLevel="0" collapsed="false">
      <c r="A837" s="55"/>
      <c r="B837" s="56"/>
      <c r="C837" s="56"/>
      <c r="D837" s="56"/>
      <c r="E837" s="57"/>
      <c r="F837" s="58"/>
      <c r="G837" s="59"/>
      <c r="H837" s="56"/>
      <c r="I837" s="56"/>
      <c r="J837" s="60" t="str">
        <f aca="false">IF(IsPro,IF($D837="","",IFERROR(INDEX(Items!$D$5:$D$504,U837),"")),"")</f>
        <v/>
      </c>
      <c r="K837" s="61" t="str">
        <f aca="false">IF(IsPro,IF($D837="","",IF($F837="",IFERROR(INDEX(Items!$H$5:$H$504,U837),0),$F837)),"")</f>
        <v/>
      </c>
      <c r="L837" s="61" t="str">
        <f aca="false">IF(IsPro,IF($D837="","",ROUND(N($E837)*K837*(1-N($G837)),2)),"")</f>
        <v/>
      </c>
      <c r="M837" s="62" t="str">
        <f aca="false">IF(IsPro,IF($D837="","",IFERROR(INDEX(Items!$F$5:$F$504,U837),0)),"")</f>
        <v/>
      </c>
      <c r="N837" s="61" t="str">
        <f aca="false">IF(IsPro,IF($D837="","",IF(AND(V837&lt;&gt;"",INDEX(Parties!$E$5:$E$304,V837)&lt;&gt;"",INDEX(Parties!$E$5:$E$304,V837)&lt;&gt;HomeState),0,ROUND(L837*M837/2,2))),"")</f>
        <v/>
      </c>
      <c r="O837" s="61" t="str">
        <f aca="false">IF(IsPro,IF($D837="","",N837),"")</f>
        <v/>
      </c>
      <c r="P837" s="61" t="str">
        <f aca="false">IF(IsPro,IF($D837="","",IF(AND(V837&lt;&gt;"",INDEX(Parties!$E$5:$E$304,V837)&lt;&gt;"",INDEX(Parties!$E$5:$E$304,V837)&lt;&gt;HomeState),ROUND(L837*M837,2),0)),"")</f>
        <v/>
      </c>
      <c r="Q837" s="61" t="str">
        <f aca="false">IF(IsPro,IF($D837="","",L837+N837+O837+P837),"")</f>
        <v/>
      </c>
      <c r="R837" s="61" t="str">
        <f aca="false">IF(IsPro,IF($D837="","",ROUND(N($E837)*IFERROR(INDEX(Items!$P$5:$P$504,U837),0),2)),"")</f>
        <v/>
      </c>
      <c r="S837" s="61" t="str">
        <f aca="false">IF(IsPro,IF($D837="","",L837-R837),"")</f>
        <v/>
      </c>
      <c r="T837" s="60" t="str">
        <f aca="false">IF(IsPro,IF($D837="","",IF(U837="","UNKNOWN ITEM",IF(INDEX(Items!$O$5:$O$504,U837)&lt;0,"NEG STOCK",IF(K837&lt;INDEX(Items!$P$5:$P$504,U837),"BELOW COST","OK")))),IF($D837="","","PRO PLAN"))</f>
        <v/>
      </c>
      <c r="U837" s="60" t="str">
        <f aca="false">IF(IsPro,IF($D837="","",IFERROR(MATCH($D837,Items!$A$5:$A$504,0),"")),"")</f>
        <v/>
      </c>
      <c r="V837" s="60" t="str">
        <f aca="false">IF(IsPro,IF($C837="","",IFERROR(MATCH($C837,Parties!$A$5:$A$304,0),"")),"")</f>
        <v/>
      </c>
      <c r="W837" s="60" t="str">
        <f aca="false">IF(IsPro,IF($B837="","",IFERROR(VALUE(SUBSTITUTE($B837,InvPrefix,"")),0)),"")</f>
        <v/>
      </c>
      <c r="X837" s="61" t="str">
        <f aca="false">IF(IsPro,IF($D837="","",IF(OR($H837="",$H837="Credit"),0,Q837)),"")</f>
        <v/>
      </c>
    </row>
    <row r="838" customFormat="false" ht="15" hidden="false" customHeight="false" outlineLevel="0" collapsed="false">
      <c r="A838" s="55"/>
      <c r="B838" s="56"/>
      <c r="C838" s="56"/>
      <c r="D838" s="56"/>
      <c r="E838" s="57"/>
      <c r="F838" s="58"/>
      <c r="G838" s="59"/>
      <c r="H838" s="56"/>
      <c r="I838" s="56"/>
      <c r="J838" s="60" t="str">
        <f aca="false">IF(IsPro,IF($D838="","",IFERROR(INDEX(Items!$D$5:$D$504,U838),"")),"")</f>
        <v/>
      </c>
      <c r="K838" s="61" t="str">
        <f aca="false">IF(IsPro,IF($D838="","",IF($F838="",IFERROR(INDEX(Items!$H$5:$H$504,U838),0),$F838)),"")</f>
        <v/>
      </c>
      <c r="L838" s="61" t="str">
        <f aca="false">IF(IsPro,IF($D838="","",ROUND(N($E838)*K838*(1-N($G838)),2)),"")</f>
        <v/>
      </c>
      <c r="M838" s="62" t="str">
        <f aca="false">IF(IsPro,IF($D838="","",IFERROR(INDEX(Items!$F$5:$F$504,U838),0)),"")</f>
        <v/>
      </c>
      <c r="N838" s="61" t="str">
        <f aca="false">IF(IsPro,IF($D838="","",IF(AND(V838&lt;&gt;"",INDEX(Parties!$E$5:$E$304,V838)&lt;&gt;"",INDEX(Parties!$E$5:$E$304,V838)&lt;&gt;HomeState),0,ROUND(L838*M838/2,2))),"")</f>
        <v/>
      </c>
      <c r="O838" s="61" t="str">
        <f aca="false">IF(IsPro,IF($D838="","",N838),"")</f>
        <v/>
      </c>
      <c r="P838" s="61" t="str">
        <f aca="false">IF(IsPro,IF($D838="","",IF(AND(V838&lt;&gt;"",INDEX(Parties!$E$5:$E$304,V838)&lt;&gt;"",INDEX(Parties!$E$5:$E$304,V838)&lt;&gt;HomeState),ROUND(L838*M838,2),0)),"")</f>
        <v/>
      </c>
      <c r="Q838" s="61" t="str">
        <f aca="false">IF(IsPro,IF($D838="","",L838+N838+O838+P838),"")</f>
        <v/>
      </c>
      <c r="R838" s="61" t="str">
        <f aca="false">IF(IsPro,IF($D838="","",ROUND(N($E838)*IFERROR(INDEX(Items!$P$5:$P$504,U838),0),2)),"")</f>
        <v/>
      </c>
      <c r="S838" s="61" t="str">
        <f aca="false">IF(IsPro,IF($D838="","",L838-R838),"")</f>
        <v/>
      </c>
      <c r="T838" s="60" t="str">
        <f aca="false">IF(IsPro,IF($D838="","",IF(U838="","UNKNOWN ITEM",IF(INDEX(Items!$O$5:$O$504,U838)&lt;0,"NEG STOCK",IF(K838&lt;INDEX(Items!$P$5:$P$504,U838),"BELOW COST","OK")))),IF($D838="","","PRO PLAN"))</f>
        <v/>
      </c>
      <c r="U838" s="60" t="str">
        <f aca="false">IF(IsPro,IF($D838="","",IFERROR(MATCH($D838,Items!$A$5:$A$504,0),"")),"")</f>
        <v/>
      </c>
      <c r="V838" s="60" t="str">
        <f aca="false">IF(IsPro,IF($C838="","",IFERROR(MATCH($C838,Parties!$A$5:$A$304,0),"")),"")</f>
        <v/>
      </c>
      <c r="W838" s="60" t="str">
        <f aca="false">IF(IsPro,IF($B838="","",IFERROR(VALUE(SUBSTITUTE($B838,InvPrefix,"")),0)),"")</f>
        <v/>
      </c>
      <c r="X838" s="61" t="str">
        <f aca="false">IF(IsPro,IF($D838="","",IF(OR($H838="",$H838="Credit"),0,Q838)),"")</f>
        <v/>
      </c>
    </row>
    <row r="839" customFormat="false" ht="15" hidden="false" customHeight="false" outlineLevel="0" collapsed="false">
      <c r="A839" s="55"/>
      <c r="B839" s="56"/>
      <c r="C839" s="56"/>
      <c r="D839" s="56"/>
      <c r="E839" s="57"/>
      <c r="F839" s="58"/>
      <c r="G839" s="59"/>
      <c r="H839" s="56"/>
      <c r="I839" s="56"/>
      <c r="J839" s="60" t="str">
        <f aca="false">IF(IsPro,IF($D839="","",IFERROR(INDEX(Items!$D$5:$D$504,U839),"")),"")</f>
        <v/>
      </c>
      <c r="K839" s="61" t="str">
        <f aca="false">IF(IsPro,IF($D839="","",IF($F839="",IFERROR(INDEX(Items!$H$5:$H$504,U839),0),$F839)),"")</f>
        <v/>
      </c>
      <c r="L839" s="61" t="str">
        <f aca="false">IF(IsPro,IF($D839="","",ROUND(N($E839)*K839*(1-N($G839)),2)),"")</f>
        <v/>
      </c>
      <c r="M839" s="62" t="str">
        <f aca="false">IF(IsPro,IF($D839="","",IFERROR(INDEX(Items!$F$5:$F$504,U839),0)),"")</f>
        <v/>
      </c>
      <c r="N839" s="61" t="str">
        <f aca="false">IF(IsPro,IF($D839="","",IF(AND(V839&lt;&gt;"",INDEX(Parties!$E$5:$E$304,V839)&lt;&gt;"",INDEX(Parties!$E$5:$E$304,V839)&lt;&gt;HomeState),0,ROUND(L839*M839/2,2))),"")</f>
        <v/>
      </c>
      <c r="O839" s="61" t="str">
        <f aca="false">IF(IsPro,IF($D839="","",N839),"")</f>
        <v/>
      </c>
      <c r="P839" s="61" t="str">
        <f aca="false">IF(IsPro,IF($D839="","",IF(AND(V839&lt;&gt;"",INDEX(Parties!$E$5:$E$304,V839)&lt;&gt;"",INDEX(Parties!$E$5:$E$304,V839)&lt;&gt;HomeState),ROUND(L839*M839,2),0)),"")</f>
        <v/>
      </c>
      <c r="Q839" s="61" t="str">
        <f aca="false">IF(IsPro,IF($D839="","",L839+N839+O839+P839),"")</f>
        <v/>
      </c>
      <c r="R839" s="61" t="str">
        <f aca="false">IF(IsPro,IF($D839="","",ROUND(N($E839)*IFERROR(INDEX(Items!$P$5:$P$504,U839),0),2)),"")</f>
        <v/>
      </c>
      <c r="S839" s="61" t="str">
        <f aca="false">IF(IsPro,IF($D839="","",L839-R839),"")</f>
        <v/>
      </c>
      <c r="T839" s="60" t="str">
        <f aca="false">IF(IsPro,IF($D839="","",IF(U839="","UNKNOWN ITEM",IF(INDEX(Items!$O$5:$O$504,U839)&lt;0,"NEG STOCK",IF(K839&lt;INDEX(Items!$P$5:$P$504,U839),"BELOW COST","OK")))),IF($D839="","","PRO PLAN"))</f>
        <v/>
      </c>
      <c r="U839" s="60" t="str">
        <f aca="false">IF(IsPro,IF($D839="","",IFERROR(MATCH($D839,Items!$A$5:$A$504,0),"")),"")</f>
        <v/>
      </c>
      <c r="V839" s="60" t="str">
        <f aca="false">IF(IsPro,IF($C839="","",IFERROR(MATCH($C839,Parties!$A$5:$A$304,0),"")),"")</f>
        <v/>
      </c>
      <c r="W839" s="60" t="str">
        <f aca="false">IF(IsPro,IF($B839="","",IFERROR(VALUE(SUBSTITUTE($B839,InvPrefix,"")),0)),"")</f>
        <v/>
      </c>
      <c r="X839" s="61" t="str">
        <f aca="false">IF(IsPro,IF($D839="","",IF(OR($H839="",$H839="Credit"),0,Q839)),"")</f>
        <v/>
      </c>
    </row>
    <row r="840" customFormat="false" ht="15" hidden="false" customHeight="false" outlineLevel="0" collapsed="false">
      <c r="A840" s="55"/>
      <c r="B840" s="56"/>
      <c r="C840" s="56"/>
      <c r="D840" s="56"/>
      <c r="E840" s="57"/>
      <c r="F840" s="58"/>
      <c r="G840" s="59"/>
      <c r="H840" s="56"/>
      <c r="I840" s="56"/>
      <c r="J840" s="60" t="str">
        <f aca="false">IF(IsPro,IF($D840="","",IFERROR(INDEX(Items!$D$5:$D$504,U840),"")),"")</f>
        <v/>
      </c>
      <c r="K840" s="61" t="str">
        <f aca="false">IF(IsPro,IF($D840="","",IF($F840="",IFERROR(INDEX(Items!$H$5:$H$504,U840),0),$F840)),"")</f>
        <v/>
      </c>
      <c r="L840" s="61" t="str">
        <f aca="false">IF(IsPro,IF($D840="","",ROUND(N($E840)*K840*(1-N($G840)),2)),"")</f>
        <v/>
      </c>
      <c r="M840" s="62" t="str">
        <f aca="false">IF(IsPro,IF($D840="","",IFERROR(INDEX(Items!$F$5:$F$504,U840),0)),"")</f>
        <v/>
      </c>
      <c r="N840" s="61" t="str">
        <f aca="false">IF(IsPro,IF($D840="","",IF(AND(V840&lt;&gt;"",INDEX(Parties!$E$5:$E$304,V840)&lt;&gt;"",INDEX(Parties!$E$5:$E$304,V840)&lt;&gt;HomeState),0,ROUND(L840*M840/2,2))),"")</f>
        <v/>
      </c>
      <c r="O840" s="61" t="str">
        <f aca="false">IF(IsPro,IF($D840="","",N840),"")</f>
        <v/>
      </c>
      <c r="P840" s="61" t="str">
        <f aca="false">IF(IsPro,IF($D840="","",IF(AND(V840&lt;&gt;"",INDEX(Parties!$E$5:$E$304,V840)&lt;&gt;"",INDEX(Parties!$E$5:$E$304,V840)&lt;&gt;HomeState),ROUND(L840*M840,2),0)),"")</f>
        <v/>
      </c>
      <c r="Q840" s="61" t="str">
        <f aca="false">IF(IsPro,IF($D840="","",L840+N840+O840+P840),"")</f>
        <v/>
      </c>
      <c r="R840" s="61" t="str">
        <f aca="false">IF(IsPro,IF($D840="","",ROUND(N($E840)*IFERROR(INDEX(Items!$P$5:$P$504,U840),0),2)),"")</f>
        <v/>
      </c>
      <c r="S840" s="61" t="str">
        <f aca="false">IF(IsPro,IF($D840="","",L840-R840),"")</f>
        <v/>
      </c>
      <c r="T840" s="60" t="str">
        <f aca="false">IF(IsPro,IF($D840="","",IF(U840="","UNKNOWN ITEM",IF(INDEX(Items!$O$5:$O$504,U840)&lt;0,"NEG STOCK",IF(K840&lt;INDEX(Items!$P$5:$P$504,U840),"BELOW COST","OK")))),IF($D840="","","PRO PLAN"))</f>
        <v/>
      </c>
      <c r="U840" s="60" t="str">
        <f aca="false">IF(IsPro,IF($D840="","",IFERROR(MATCH($D840,Items!$A$5:$A$504,0),"")),"")</f>
        <v/>
      </c>
      <c r="V840" s="60" t="str">
        <f aca="false">IF(IsPro,IF($C840="","",IFERROR(MATCH($C840,Parties!$A$5:$A$304,0),"")),"")</f>
        <v/>
      </c>
      <c r="W840" s="60" t="str">
        <f aca="false">IF(IsPro,IF($B840="","",IFERROR(VALUE(SUBSTITUTE($B840,InvPrefix,"")),0)),"")</f>
        <v/>
      </c>
      <c r="X840" s="61" t="str">
        <f aca="false">IF(IsPro,IF($D840="","",IF(OR($H840="",$H840="Credit"),0,Q840)),"")</f>
        <v/>
      </c>
    </row>
    <row r="841" customFormat="false" ht="15" hidden="false" customHeight="false" outlineLevel="0" collapsed="false">
      <c r="A841" s="55"/>
      <c r="B841" s="56"/>
      <c r="C841" s="56"/>
      <c r="D841" s="56"/>
      <c r="E841" s="57"/>
      <c r="F841" s="58"/>
      <c r="G841" s="59"/>
      <c r="H841" s="56"/>
      <c r="I841" s="56"/>
      <c r="J841" s="60" t="str">
        <f aca="false">IF(IsPro,IF($D841="","",IFERROR(INDEX(Items!$D$5:$D$504,U841),"")),"")</f>
        <v/>
      </c>
      <c r="K841" s="61" t="str">
        <f aca="false">IF(IsPro,IF($D841="","",IF($F841="",IFERROR(INDEX(Items!$H$5:$H$504,U841),0),$F841)),"")</f>
        <v/>
      </c>
      <c r="L841" s="61" t="str">
        <f aca="false">IF(IsPro,IF($D841="","",ROUND(N($E841)*K841*(1-N($G841)),2)),"")</f>
        <v/>
      </c>
      <c r="M841" s="62" t="str">
        <f aca="false">IF(IsPro,IF($D841="","",IFERROR(INDEX(Items!$F$5:$F$504,U841),0)),"")</f>
        <v/>
      </c>
      <c r="N841" s="61" t="str">
        <f aca="false">IF(IsPro,IF($D841="","",IF(AND(V841&lt;&gt;"",INDEX(Parties!$E$5:$E$304,V841)&lt;&gt;"",INDEX(Parties!$E$5:$E$304,V841)&lt;&gt;HomeState),0,ROUND(L841*M841/2,2))),"")</f>
        <v/>
      </c>
      <c r="O841" s="61" t="str">
        <f aca="false">IF(IsPro,IF($D841="","",N841),"")</f>
        <v/>
      </c>
      <c r="P841" s="61" t="str">
        <f aca="false">IF(IsPro,IF($D841="","",IF(AND(V841&lt;&gt;"",INDEX(Parties!$E$5:$E$304,V841)&lt;&gt;"",INDEX(Parties!$E$5:$E$304,V841)&lt;&gt;HomeState),ROUND(L841*M841,2),0)),"")</f>
        <v/>
      </c>
      <c r="Q841" s="61" t="str">
        <f aca="false">IF(IsPro,IF($D841="","",L841+N841+O841+P841),"")</f>
        <v/>
      </c>
      <c r="R841" s="61" t="str">
        <f aca="false">IF(IsPro,IF($D841="","",ROUND(N($E841)*IFERROR(INDEX(Items!$P$5:$P$504,U841),0),2)),"")</f>
        <v/>
      </c>
      <c r="S841" s="61" t="str">
        <f aca="false">IF(IsPro,IF($D841="","",L841-R841),"")</f>
        <v/>
      </c>
      <c r="T841" s="60" t="str">
        <f aca="false">IF(IsPro,IF($D841="","",IF(U841="","UNKNOWN ITEM",IF(INDEX(Items!$O$5:$O$504,U841)&lt;0,"NEG STOCK",IF(K841&lt;INDEX(Items!$P$5:$P$504,U841),"BELOW COST","OK")))),IF($D841="","","PRO PLAN"))</f>
        <v/>
      </c>
      <c r="U841" s="60" t="str">
        <f aca="false">IF(IsPro,IF($D841="","",IFERROR(MATCH($D841,Items!$A$5:$A$504,0),"")),"")</f>
        <v/>
      </c>
      <c r="V841" s="60" t="str">
        <f aca="false">IF(IsPro,IF($C841="","",IFERROR(MATCH($C841,Parties!$A$5:$A$304,0),"")),"")</f>
        <v/>
      </c>
      <c r="W841" s="60" t="str">
        <f aca="false">IF(IsPro,IF($B841="","",IFERROR(VALUE(SUBSTITUTE($B841,InvPrefix,"")),0)),"")</f>
        <v/>
      </c>
      <c r="X841" s="61" t="str">
        <f aca="false">IF(IsPro,IF($D841="","",IF(OR($H841="",$H841="Credit"),0,Q841)),"")</f>
        <v/>
      </c>
    </row>
    <row r="842" customFormat="false" ht="15" hidden="false" customHeight="false" outlineLevel="0" collapsed="false">
      <c r="A842" s="55"/>
      <c r="B842" s="56"/>
      <c r="C842" s="56"/>
      <c r="D842" s="56"/>
      <c r="E842" s="57"/>
      <c r="F842" s="58"/>
      <c r="G842" s="59"/>
      <c r="H842" s="56"/>
      <c r="I842" s="56"/>
      <c r="J842" s="60" t="str">
        <f aca="false">IF(IsPro,IF($D842="","",IFERROR(INDEX(Items!$D$5:$D$504,U842),"")),"")</f>
        <v/>
      </c>
      <c r="K842" s="61" t="str">
        <f aca="false">IF(IsPro,IF($D842="","",IF($F842="",IFERROR(INDEX(Items!$H$5:$H$504,U842),0),$F842)),"")</f>
        <v/>
      </c>
      <c r="L842" s="61" t="str">
        <f aca="false">IF(IsPro,IF($D842="","",ROUND(N($E842)*K842*(1-N($G842)),2)),"")</f>
        <v/>
      </c>
      <c r="M842" s="62" t="str">
        <f aca="false">IF(IsPro,IF($D842="","",IFERROR(INDEX(Items!$F$5:$F$504,U842),0)),"")</f>
        <v/>
      </c>
      <c r="N842" s="61" t="str">
        <f aca="false">IF(IsPro,IF($D842="","",IF(AND(V842&lt;&gt;"",INDEX(Parties!$E$5:$E$304,V842)&lt;&gt;"",INDEX(Parties!$E$5:$E$304,V842)&lt;&gt;HomeState),0,ROUND(L842*M842/2,2))),"")</f>
        <v/>
      </c>
      <c r="O842" s="61" t="str">
        <f aca="false">IF(IsPro,IF($D842="","",N842),"")</f>
        <v/>
      </c>
      <c r="P842" s="61" t="str">
        <f aca="false">IF(IsPro,IF($D842="","",IF(AND(V842&lt;&gt;"",INDEX(Parties!$E$5:$E$304,V842)&lt;&gt;"",INDEX(Parties!$E$5:$E$304,V842)&lt;&gt;HomeState),ROUND(L842*M842,2),0)),"")</f>
        <v/>
      </c>
      <c r="Q842" s="61" t="str">
        <f aca="false">IF(IsPro,IF($D842="","",L842+N842+O842+P842),"")</f>
        <v/>
      </c>
      <c r="R842" s="61" t="str">
        <f aca="false">IF(IsPro,IF($D842="","",ROUND(N($E842)*IFERROR(INDEX(Items!$P$5:$P$504,U842),0),2)),"")</f>
        <v/>
      </c>
      <c r="S842" s="61" t="str">
        <f aca="false">IF(IsPro,IF($D842="","",L842-R842),"")</f>
        <v/>
      </c>
      <c r="T842" s="60" t="str">
        <f aca="false">IF(IsPro,IF($D842="","",IF(U842="","UNKNOWN ITEM",IF(INDEX(Items!$O$5:$O$504,U842)&lt;0,"NEG STOCK",IF(K842&lt;INDEX(Items!$P$5:$P$504,U842),"BELOW COST","OK")))),IF($D842="","","PRO PLAN"))</f>
        <v/>
      </c>
      <c r="U842" s="60" t="str">
        <f aca="false">IF(IsPro,IF($D842="","",IFERROR(MATCH($D842,Items!$A$5:$A$504,0),"")),"")</f>
        <v/>
      </c>
      <c r="V842" s="60" t="str">
        <f aca="false">IF(IsPro,IF($C842="","",IFERROR(MATCH($C842,Parties!$A$5:$A$304,0),"")),"")</f>
        <v/>
      </c>
      <c r="W842" s="60" t="str">
        <f aca="false">IF(IsPro,IF($B842="","",IFERROR(VALUE(SUBSTITUTE($B842,InvPrefix,"")),0)),"")</f>
        <v/>
      </c>
      <c r="X842" s="61" t="str">
        <f aca="false">IF(IsPro,IF($D842="","",IF(OR($H842="",$H842="Credit"),0,Q842)),"")</f>
        <v/>
      </c>
    </row>
    <row r="843" customFormat="false" ht="15" hidden="false" customHeight="false" outlineLevel="0" collapsed="false">
      <c r="A843" s="55"/>
      <c r="B843" s="56"/>
      <c r="C843" s="56"/>
      <c r="D843" s="56"/>
      <c r="E843" s="57"/>
      <c r="F843" s="58"/>
      <c r="G843" s="59"/>
      <c r="H843" s="56"/>
      <c r="I843" s="56"/>
      <c r="J843" s="60" t="str">
        <f aca="false">IF(IsPro,IF($D843="","",IFERROR(INDEX(Items!$D$5:$D$504,U843),"")),"")</f>
        <v/>
      </c>
      <c r="K843" s="61" t="str">
        <f aca="false">IF(IsPro,IF($D843="","",IF($F843="",IFERROR(INDEX(Items!$H$5:$H$504,U843),0),$F843)),"")</f>
        <v/>
      </c>
      <c r="L843" s="61" t="str">
        <f aca="false">IF(IsPro,IF($D843="","",ROUND(N($E843)*K843*(1-N($G843)),2)),"")</f>
        <v/>
      </c>
      <c r="M843" s="62" t="str">
        <f aca="false">IF(IsPro,IF($D843="","",IFERROR(INDEX(Items!$F$5:$F$504,U843),0)),"")</f>
        <v/>
      </c>
      <c r="N843" s="61" t="str">
        <f aca="false">IF(IsPro,IF($D843="","",IF(AND(V843&lt;&gt;"",INDEX(Parties!$E$5:$E$304,V843)&lt;&gt;"",INDEX(Parties!$E$5:$E$304,V843)&lt;&gt;HomeState),0,ROUND(L843*M843/2,2))),"")</f>
        <v/>
      </c>
      <c r="O843" s="61" t="str">
        <f aca="false">IF(IsPro,IF($D843="","",N843),"")</f>
        <v/>
      </c>
      <c r="P843" s="61" t="str">
        <f aca="false">IF(IsPro,IF($D843="","",IF(AND(V843&lt;&gt;"",INDEX(Parties!$E$5:$E$304,V843)&lt;&gt;"",INDEX(Parties!$E$5:$E$304,V843)&lt;&gt;HomeState),ROUND(L843*M843,2),0)),"")</f>
        <v/>
      </c>
      <c r="Q843" s="61" t="str">
        <f aca="false">IF(IsPro,IF($D843="","",L843+N843+O843+P843),"")</f>
        <v/>
      </c>
      <c r="R843" s="61" t="str">
        <f aca="false">IF(IsPro,IF($D843="","",ROUND(N($E843)*IFERROR(INDEX(Items!$P$5:$P$504,U843),0),2)),"")</f>
        <v/>
      </c>
      <c r="S843" s="61" t="str">
        <f aca="false">IF(IsPro,IF($D843="","",L843-R843),"")</f>
        <v/>
      </c>
      <c r="T843" s="60" t="str">
        <f aca="false">IF(IsPro,IF($D843="","",IF(U843="","UNKNOWN ITEM",IF(INDEX(Items!$O$5:$O$504,U843)&lt;0,"NEG STOCK",IF(K843&lt;INDEX(Items!$P$5:$P$504,U843),"BELOW COST","OK")))),IF($D843="","","PRO PLAN"))</f>
        <v/>
      </c>
      <c r="U843" s="60" t="str">
        <f aca="false">IF(IsPro,IF($D843="","",IFERROR(MATCH($D843,Items!$A$5:$A$504,0),"")),"")</f>
        <v/>
      </c>
      <c r="V843" s="60" t="str">
        <f aca="false">IF(IsPro,IF($C843="","",IFERROR(MATCH($C843,Parties!$A$5:$A$304,0),"")),"")</f>
        <v/>
      </c>
      <c r="W843" s="60" t="str">
        <f aca="false">IF(IsPro,IF($B843="","",IFERROR(VALUE(SUBSTITUTE($B843,InvPrefix,"")),0)),"")</f>
        <v/>
      </c>
      <c r="X843" s="61" t="str">
        <f aca="false">IF(IsPro,IF($D843="","",IF(OR($H843="",$H843="Credit"),0,Q843)),"")</f>
        <v/>
      </c>
    </row>
    <row r="844" customFormat="false" ht="15" hidden="false" customHeight="false" outlineLevel="0" collapsed="false">
      <c r="A844" s="55"/>
      <c r="B844" s="56"/>
      <c r="C844" s="56"/>
      <c r="D844" s="56"/>
      <c r="E844" s="57"/>
      <c r="F844" s="58"/>
      <c r="G844" s="59"/>
      <c r="H844" s="56"/>
      <c r="I844" s="56"/>
      <c r="J844" s="60" t="str">
        <f aca="false">IF(IsPro,IF($D844="","",IFERROR(INDEX(Items!$D$5:$D$504,U844),"")),"")</f>
        <v/>
      </c>
      <c r="K844" s="61" t="str">
        <f aca="false">IF(IsPro,IF($D844="","",IF($F844="",IFERROR(INDEX(Items!$H$5:$H$504,U844),0),$F844)),"")</f>
        <v/>
      </c>
      <c r="L844" s="61" t="str">
        <f aca="false">IF(IsPro,IF($D844="","",ROUND(N($E844)*K844*(1-N($G844)),2)),"")</f>
        <v/>
      </c>
      <c r="M844" s="62" t="str">
        <f aca="false">IF(IsPro,IF($D844="","",IFERROR(INDEX(Items!$F$5:$F$504,U844),0)),"")</f>
        <v/>
      </c>
      <c r="N844" s="61" t="str">
        <f aca="false">IF(IsPro,IF($D844="","",IF(AND(V844&lt;&gt;"",INDEX(Parties!$E$5:$E$304,V844)&lt;&gt;"",INDEX(Parties!$E$5:$E$304,V844)&lt;&gt;HomeState),0,ROUND(L844*M844/2,2))),"")</f>
        <v/>
      </c>
      <c r="O844" s="61" t="str">
        <f aca="false">IF(IsPro,IF($D844="","",N844),"")</f>
        <v/>
      </c>
      <c r="P844" s="61" t="str">
        <f aca="false">IF(IsPro,IF($D844="","",IF(AND(V844&lt;&gt;"",INDEX(Parties!$E$5:$E$304,V844)&lt;&gt;"",INDEX(Parties!$E$5:$E$304,V844)&lt;&gt;HomeState),ROUND(L844*M844,2),0)),"")</f>
        <v/>
      </c>
      <c r="Q844" s="61" t="str">
        <f aca="false">IF(IsPro,IF($D844="","",L844+N844+O844+P844),"")</f>
        <v/>
      </c>
      <c r="R844" s="61" t="str">
        <f aca="false">IF(IsPro,IF($D844="","",ROUND(N($E844)*IFERROR(INDEX(Items!$P$5:$P$504,U844),0),2)),"")</f>
        <v/>
      </c>
      <c r="S844" s="61" t="str">
        <f aca="false">IF(IsPro,IF($D844="","",L844-R844),"")</f>
        <v/>
      </c>
      <c r="T844" s="60" t="str">
        <f aca="false">IF(IsPro,IF($D844="","",IF(U844="","UNKNOWN ITEM",IF(INDEX(Items!$O$5:$O$504,U844)&lt;0,"NEG STOCK",IF(K844&lt;INDEX(Items!$P$5:$P$504,U844),"BELOW COST","OK")))),IF($D844="","","PRO PLAN"))</f>
        <v/>
      </c>
      <c r="U844" s="60" t="str">
        <f aca="false">IF(IsPro,IF($D844="","",IFERROR(MATCH($D844,Items!$A$5:$A$504,0),"")),"")</f>
        <v/>
      </c>
      <c r="V844" s="60" t="str">
        <f aca="false">IF(IsPro,IF($C844="","",IFERROR(MATCH($C844,Parties!$A$5:$A$304,0),"")),"")</f>
        <v/>
      </c>
      <c r="W844" s="60" t="str">
        <f aca="false">IF(IsPro,IF($B844="","",IFERROR(VALUE(SUBSTITUTE($B844,InvPrefix,"")),0)),"")</f>
        <v/>
      </c>
      <c r="X844" s="61" t="str">
        <f aca="false">IF(IsPro,IF($D844="","",IF(OR($H844="",$H844="Credit"),0,Q844)),"")</f>
        <v/>
      </c>
    </row>
    <row r="845" customFormat="false" ht="15" hidden="false" customHeight="false" outlineLevel="0" collapsed="false">
      <c r="A845" s="55"/>
      <c r="B845" s="56"/>
      <c r="C845" s="56"/>
      <c r="D845" s="56"/>
      <c r="E845" s="57"/>
      <c r="F845" s="58"/>
      <c r="G845" s="59"/>
      <c r="H845" s="56"/>
      <c r="I845" s="56"/>
      <c r="J845" s="60" t="str">
        <f aca="false">IF(IsPro,IF($D845="","",IFERROR(INDEX(Items!$D$5:$D$504,U845),"")),"")</f>
        <v/>
      </c>
      <c r="K845" s="61" t="str">
        <f aca="false">IF(IsPro,IF($D845="","",IF($F845="",IFERROR(INDEX(Items!$H$5:$H$504,U845),0),$F845)),"")</f>
        <v/>
      </c>
      <c r="L845" s="61" t="str">
        <f aca="false">IF(IsPro,IF($D845="","",ROUND(N($E845)*K845*(1-N($G845)),2)),"")</f>
        <v/>
      </c>
      <c r="M845" s="62" t="str">
        <f aca="false">IF(IsPro,IF($D845="","",IFERROR(INDEX(Items!$F$5:$F$504,U845),0)),"")</f>
        <v/>
      </c>
      <c r="N845" s="61" t="str">
        <f aca="false">IF(IsPro,IF($D845="","",IF(AND(V845&lt;&gt;"",INDEX(Parties!$E$5:$E$304,V845)&lt;&gt;"",INDEX(Parties!$E$5:$E$304,V845)&lt;&gt;HomeState),0,ROUND(L845*M845/2,2))),"")</f>
        <v/>
      </c>
      <c r="O845" s="61" t="str">
        <f aca="false">IF(IsPro,IF($D845="","",N845),"")</f>
        <v/>
      </c>
      <c r="P845" s="61" t="str">
        <f aca="false">IF(IsPro,IF($D845="","",IF(AND(V845&lt;&gt;"",INDEX(Parties!$E$5:$E$304,V845)&lt;&gt;"",INDEX(Parties!$E$5:$E$304,V845)&lt;&gt;HomeState),ROUND(L845*M845,2),0)),"")</f>
        <v/>
      </c>
      <c r="Q845" s="61" t="str">
        <f aca="false">IF(IsPro,IF($D845="","",L845+N845+O845+P845),"")</f>
        <v/>
      </c>
      <c r="R845" s="61" t="str">
        <f aca="false">IF(IsPro,IF($D845="","",ROUND(N($E845)*IFERROR(INDEX(Items!$P$5:$P$504,U845),0),2)),"")</f>
        <v/>
      </c>
      <c r="S845" s="61" t="str">
        <f aca="false">IF(IsPro,IF($D845="","",L845-R845),"")</f>
        <v/>
      </c>
      <c r="T845" s="60" t="str">
        <f aca="false">IF(IsPro,IF($D845="","",IF(U845="","UNKNOWN ITEM",IF(INDEX(Items!$O$5:$O$504,U845)&lt;0,"NEG STOCK",IF(K845&lt;INDEX(Items!$P$5:$P$504,U845),"BELOW COST","OK")))),IF($D845="","","PRO PLAN"))</f>
        <v/>
      </c>
      <c r="U845" s="60" t="str">
        <f aca="false">IF(IsPro,IF($D845="","",IFERROR(MATCH($D845,Items!$A$5:$A$504,0),"")),"")</f>
        <v/>
      </c>
      <c r="V845" s="60" t="str">
        <f aca="false">IF(IsPro,IF($C845="","",IFERROR(MATCH($C845,Parties!$A$5:$A$304,0),"")),"")</f>
        <v/>
      </c>
      <c r="W845" s="60" t="str">
        <f aca="false">IF(IsPro,IF($B845="","",IFERROR(VALUE(SUBSTITUTE($B845,InvPrefix,"")),0)),"")</f>
        <v/>
      </c>
      <c r="X845" s="61" t="str">
        <f aca="false">IF(IsPro,IF($D845="","",IF(OR($H845="",$H845="Credit"),0,Q845)),"")</f>
        <v/>
      </c>
    </row>
    <row r="846" customFormat="false" ht="15" hidden="false" customHeight="false" outlineLevel="0" collapsed="false">
      <c r="A846" s="55"/>
      <c r="B846" s="56"/>
      <c r="C846" s="56"/>
      <c r="D846" s="56"/>
      <c r="E846" s="57"/>
      <c r="F846" s="58"/>
      <c r="G846" s="59"/>
      <c r="H846" s="56"/>
      <c r="I846" s="56"/>
      <c r="J846" s="60" t="str">
        <f aca="false">IF(IsPro,IF($D846="","",IFERROR(INDEX(Items!$D$5:$D$504,U846),"")),"")</f>
        <v/>
      </c>
      <c r="K846" s="61" t="str">
        <f aca="false">IF(IsPro,IF($D846="","",IF($F846="",IFERROR(INDEX(Items!$H$5:$H$504,U846),0),$F846)),"")</f>
        <v/>
      </c>
      <c r="L846" s="61" t="str">
        <f aca="false">IF(IsPro,IF($D846="","",ROUND(N($E846)*K846*(1-N($G846)),2)),"")</f>
        <v/>
      </c>
      <c r="M846" s="62" t="str">
        <f aca="false">IF(IsPro,IF($D846="","",IFERROR(INDEX(Items!$F$5:$F$504,U846),0)),"")</f>
        <v/>
      </c>
      <c r="N846" s="61" t="str">
        <f aca="false">IF(IsPro,IF($D846="","",IF(AND(V846&lt;&gt;"",INDEX(Parties!$E$5:$E$304,V846)&lt;&gt;"",INDEX(Parties!$E$5:$E$304,V846)&lt;&gt;HomeState),0,ROUND(L846*M846/2,2))),"")</f>
        <v/>
      </c>
      <c r="O846" s="61" t="str">
        <f aca="false">IF(IsPro,IF($D846="","",N846),"")</f>
        <v/>
      </c>
      <c r="P846" s="61" t="str">
        <f aca="false">IF(IsPro,IF($D846="","",IF(AND(V846&lt;&gt;"",INDEX(Parties!$E$5:$E$304,V846)&lt;&gt;"",INDEX(Parties!$E$5:$E$304,V846)&lt;&gt;HomeState),ROUND(L846*M846,2),0)),"")</f>
        <v/>
      </c>
      <c r="Q846" s="61" t="str">
        <f aca="false">IF(IsPro,IF($D846="","",L846+N846+O846+P846),"")</f>
        <v/>
      </c>
      <c r="R846" s="61" t="str">
        <f aca="false">IF(IsPro,IF($D846="","",ROUND(N($E846)*IFERROR(INDEX(Items!$P$5:$P$504,U846),0),2)),"")</f>
        <v/>
      </c>
      <c r="S846" s="61" t="str">
        <f aca="false">IF(IsPro,IF($D846="","",L846-R846),"")</f>
        <v/>
      </c>
      <c r="T846" s="60" t="str">
        <f aca="false">IF(IsPro,IF($D846="","",IF(U846="","UNKNOWN ITEM",IF(INDEX(Items!$O$5:$O$504,U846)&lt;0,"NEG STOCK",IF(K846&lt;INDEX(Items!$P$5:$P$504,U846),"BELOW COST","OK")))),IF($D846="","","PRO PLAN"))</f>
        <v/>
      </c>
      <c r="U846" s="60" t="str">
        <f aca="false">IF(IsPro,IF($D846="","",IFERROR(MATCH($D846,Items!$A$5:$A$504,0),"")),"")</f>
        <v/>
      </c>
      <c r="V846" s="60" t="str">
        <f aca="false">IF(IsPro,IF($C846="","",IFERROR(MATCH($C846,Parties!$A$5:$A$304,0),"")),"")</f>
        <v/>
      </c>
      <c r="W846" s="60" t="str">
        <f aca="false">IF(IsPro,IF($B846="","",IFERROR(VALUE(SUBSTITUTE($B846,InvPrefix,"")),0)),"")</f>
        <v/>
      </c>
      <c r="X846" s="61" t="str">
        <f aca="false">IF(IsPro,IF($D846="","",IF(OR($H846="",$H846="Credit"),0,Q846)),"")</f>
        <v/>
      </c>
    </row>
    <row r="847" customFormat="false" ht="15" hidden="false" customHeight="false" outlineLevel="0" collapsed="false">
      <c r="A847" s="55"/>
      <c r="B847" s="56"/>
      <c r="C847" s="56"/>
      <c r="D847" s="56"/>
      <c r="E847" s="57"/>
      <c r="F847" s="58"/>
      <c r="G847" s="59"/>
      <c r="H847" s="56"/>
      <c r="I847" s="56"/>
      <c r="J847" s="60" t="str">
        <f aca="false">IF(IsPro,IF($D847="","",IFERROR(INDEX(Items!$D$5:$D$504,U847),"")),"")</f>
        <v/>
      </c>
      <c r="K847" s="61" t="str">
        <f aca="false">IF(IsPro,IF($D847="","",IF($F847="",IFERROR(INDEX(Items!$H$5:$H$504,U847),0),$F847)),"")</f>
        <v/>
      </c>
      <c r="L847" s="61" t="str">
        <f aca="false">IF(IsPro,IF($D847="","",ROUND(N($E847)*K847*(1-N($G847)),2)),"")</f>
        <v/>
      </c>
      <c r="M847" s="62" t="str">
        <f aca="false">IF(IsPro,IF($D847="","",IFERROR(INDEX(Items!$F$5:$F$504,U847),0)),"")</f>
        <v/>
      </c>
      <c r="N847" s="61" t="str">
        <f aca="false">IF(IsPro,IF($D847="","",IF(AND(V847&lt;&gt;"",INDEX(Parties!$E$5:$E$304,V847)&lt;&gt;"",INDEX(Parties!$E$5:$E$304,V847)&lt;&gt;HomeState),0,ROUND(L847*M847/2,2))),"")</f>
        <v/>
      </c>
      <c r="O847" s="61" t="str">
        <f aca="false">IF(IsPro,IF($D847="","",N847),"")</f>
        <v/>
      </c>
      <c r="P847" s="61" t="str">
        <f aca="false">IF(IsPro,IF($D847="","",IF(AND(V847&lt;&gt;"",INDEX(Parties!$E$5:$E$304,V847)&lt;&gt;"",INDEX(Parties!$E$5:$E$304,V847)&lt;&gt;HomeState),ROUND(L847*M847,2),0)),"")</f>
        <v/>
      </c>
      <c r="Q847" s="61" t="str">
        <f aca="false">IF(IsPro,IF($D847="","",L847+N847+O847+P847),"")</f>
        <v/>
      </c>
      <c r="R847" s="61" t="str">
        <f aca="false">IF(IsPro,IF($D847="","",ROUND(N($E847)*IFERROR(INDEX(Items!$P$5:$P$504,U847),0),2)),"")</f>
        <v/>
      </c>
      <c r="S847" s="61" t="str">
        <f aca="false">IF(IsPro,IF($D847="","",L847-R847),"")</f>
        <v/>
      </c>
      <c r="T847" s="60" t="str">
        <f aca="false">IF(IsPro,IF($D847="","",IF(U847="","UNKNOWN ITEM",IF(INDEX(Items!$O$5:$O$504,U847)&lt;0,"NEG STOCK",IF(K847&lt;INDEX(Items!$P$5:$P$504,U847),"BELOW COST","OK")))),IF($D847="","","PRO PLAN"))</f>
        <v/>
      </c>
      <c r="U847" s="60" t="str">
        <f aca="false">IF(IsPro,IF($D847="","",IFERROR(MATCH($D847,Items!$A$5:$A$504,0),"")),"")</f>
        <v/>
      </c>
      <c r="V847" s="60" t="str">
        <f aca="false">IF(IsPro,IF($C847="","",IFERROR(MATCH($C847,Parties!$A$5:$A$304,0),"")),"")</f>
        <v/>
      </c>
      <c r="W847" s="60" t="str">
        <f aca="false">IF(IsPro,IF($B847="","",IFERROR(VALUE(SUBSTITUTE($B847,InvPrefix,"")),0)),"")</f>
        <v/>
      </c>
      <c r="X847" s="61" t="str">
        <f aca="false">IF(IsPro,IF($D847="","",IF(OR($H847="",$H847="Credit"),0,Q847)),"")</f>
        <v/>
      </c>
    </row>
    <row r="848" customFormat="false" ht="15" hidden="false" customHeight="false" outlineLevel="0" collapsed="false">
      <c r="A848" s="55"/>
      <c r="B848" s="56"/>
      <c r="C848" s="56"/>
      <c r="D848" s="56"/>
      <c r="E848" s="57"/>
      <c r="F848" s="58"/>
      <c r="G848" s="59"/>
      <c r="H848" s="56"/>
      <c r="I848" s="56"/>
      <c r="J848" s="60" t="str">
        <f aca="false">IF(IsPro,IF($D848="","",IFERROR(INDEX(Items!$D$5:$D$504,U848),"")),"")</f>
        <v/>
      </c>
      <c r="K848" s="61" t="str">
        <f aca="false">IF(IsPro,IF($D848="","",IF($F848="",IFERROR(INDEX(Items!$H$5:$H$504,U848),0),$F848)),"")</f>
        <v/>
      </c>
      <c r="L848" s="61" t="str">
        <f aca="false">IF(IsPro,IF($D848="","",ROUND(N($E848)*K848*(1-N($G848)),2)),"")</f>
        <v/>
      </c>
      <c r="M848" s="62" t="str">
        <f aca="false">IF(IsPro,IF($D848="","",IFERROR(INDEX(Items!$F$5:$F$504,U848),0)),"")</f>
        <v/>
      </c>
      <c r="N848" s="61" t="str">
        <f aca="false">IF(IsPro,IF($D848="","",IF(AND(V848&lt;&gt;"",INDEX(Parties!$E$5:$E$304,V848)&lt;&gt;"",INDEX(Parties!$E$5:$E$304,V848)&lt;&gt;HomeState),0,ROUND(L848*M848/2,2))),"")</f>
        <v/>
      </c>
      <c r="O848" s="61" t="str">
        <f aca="false">IF(IsPro,IF($D848="","",N848),"")</f>
        <v/>
      </c>
      <c r="P848" s="61" t="str">
        <f aca="false">IF(IsPro,IF($D848="","",IF(AND(V848&lt;&gt;"",INDEX(Parties!$E$5:$E$304,V848)&lt;&gt;"",INDEX(Parties!$E$5:$E$304,V848)&lt;&gt;HomeState),ROUND(L848*M848,2),0)),"")</f>
        <v/>
      </c>
      <c r="Q848" s="61" t="str">
        <f aca="false">IF(IsPro,IF($D848="","",L848+N848+O848+P848),"")</f>
        <v/>
      </c>
      <c r="R848" s="61" t="str">
        <f aca="false">IF(IsPro,IF($D848="","",ROUND(N($E848)*IFERROR(INDEX(Items!$P$5:$P$504,U848),0),2)),"")</f>
        <v/>
      </c>
      <c r="S848" s="61" t="str">
        <f aca="false">IF(IsPro,IF($D848="","",L848-R848),"")</f>
        <v/>
      </c>
      <c r="T848" s="60" t="str">
        <f aca="false">IF(IsPro,IF($D848="","",IF(U848="","UNKNOWN ITEM",IF(INDEX(Items!$O$5:$O$504,U848)&lt;0,"NEG STOCK",IF(K848&lt;INDEX(Items!$P$5:$P$504,U848),"BELOW COST","OK")))),IF($D848="","","PRO PLAN"))</f>
        <v/>
      </c>
      <c r="U848" s="60" t="str">
        <f aca="false">IF(IsPro,IF($D848="","",IFERROR(MATCH($D848,Items!$A$5:$A$504,0),"")),"")</f>
        <v/>
      </c>
      <c r="V848" s="60" t="str">
        <f aca="false">IF(IsPro,IF($C848="","",IFERROR(MATCH($C848,Parties!$A$5:$A$304,0),"")),"")</f>
        <v/>
      </c>
      <c r="W848" s="60" t="str">
        <f aca="false">IF(IsPro,IF($B848="","",IFERROR(VALUE(SUBSTITUTE($B848,InvPrefix,"")),0)),"")</f>
        <v/>
      </c>
      <c r="X848" s="61" t="str">
        <f aca="false">IF(IsPro,IF($D848="","",IF(OR($H848="",$H848="Credit"),0,Q848)),"")</f>
        <v/>
      </c>
    </row>
    <row r="849" customFormat="false" ht="15" hidden="false" customHeight="false" outlineLevel="0" collapsed="false">
      <c r="A849" s="55"/>
      <c r="B849" s="56"/>
      <c r="C849" s="56"/>
      <c r="D849" s="56"/>
      <c r="E849" s="57"/>
      <c r="F849" s="58"/>
      <c r="G849" s="59"/>
      <c r="H849" s="56"/>
      <c r="I849" s="56"/>
      <c r="J849" s="60" t="str">
        <f aca="false">IF(IsPro,IF($D849="","",IFERROR(INDEX(Items!$D$5:$D$504,U849),"")),"")</f>
        <v/>
      </c>
      <c r="K849" s="61" t="str">
        <f aca="false">IF(IsPro,IF($D849="","",IF($F849="",IFERROR(INDEX(Items!$H$5:$H$504,U849),0),$F849)),"")</f>
        <v/>
      </c>
      <c r="L849" s="61" t="str">
        <f aca="false">IF(IsPro,IF($D849="","",ROUND(N($E849)*K849*(1-N($G849)),2)),"")</f>
        <v/>
      </c>
      <c r="M849" s="62" t="str">
        <f aca="false">IF(IsPro,IF($D849="","",IFERROR(INDEX(Items!$F$5:$F$504,U849),0)),"")</f>
        <v/>
      </c>
      <c r="N849" s="61" t="str">
        <f aca="false">IF(IsPro,IF($D849="","",IF(AND(V849&lt;&gt;"",INDEX(Parties!$E$5:$E$304,V849)&lt;&gt;"",INDEX(Parties!$E$5:$E$304,V849)&lt;&gt;HomeState),0,ROUND(L849*M849/2,2))),"")</f>
        <v/>
      </c>
      <c r="O849" s="61" t="str">
        <f aca="false">IF(IsPro,IF($D849="","",N849),"")</f>
        <v/>
      </c>
      <c r="P849" s="61" t="str">
        <f aca="false">IF(IsPro,IF($D849="","",IF(AND(V849&lt;&gt;"",INDEX(Parties!$E$5:$E$304,V849)&lt;&gt;"",INDEX(Parties!$E$5:$E$304,V849)&lt;&gt;HomeState),ROUND(L849*M849,2),0)),"")</f>
        <v/>
      </c>
      <c r="Q849" s="61" t="str">
        <f aca="false">IF(IsPro,IF($D849="","",L849+N849+O849+P849),"")</f>
        <v/>
      </c>
      <c r="R849" s="61" t="str">
        <f aca="false">IF(IsPro,IF($D849="","",ROUND(N($E849)*IFERROR(INDEX(Items!$P$5:$P$504,U849),0),2)),"")</f>
        <v/>
      </c>
      <c r="S849" s="61" t="str">
        <f aca="false">IF(IsPro,IF($D849="","",L849-R849),"")</f>
        <v/>
      </c>
      <c r="T849" s="60" t="str">
        <f aca="false">IF(IsPro,IF($D849="","",IF(U849="","UNKNOWN ITEM",IF(INDEX(Items!$O$5:$O$504,U849)&lt;0,"NEG STOCK",IF(K849&lt;INDEX(Items!$P$5:$P$504,U849),"BELOW COST","OK")))),IF($D849="","","PRO PLAN"))</f>
        <v/>
      </c>
      <c r="U849" s="60" t="str">
        <f aca="false">IF(IsPro,IF($D849="","",IFERROR(MATCH($D849,Items!$A$5:$A$504,0),"")),"")</f>
        <v/>
      </c>
      <c r="V849" s="60" t="str">
        <f aca="false">IF(IsPro,IF($C849="","",IFERROR(MATCH($C849,Parties!$A$5:$A$304,0),"")),"")</f>
        <v/>
      </c>
      <c r="W849" s="60" t="str">
        <f aca="false">IF(IsPro,IF($B849="","",IFERROR(VALUE(SUBSTITUTE($B849,InvPrefix,"")),0)),"")</f>
        <v/>
      </c>
      <c r="X849" s="61" t="str">
        <f aca="false">IF(IsPro,IF($D849="","",IF(OR($H849="",$H849="Credit"),0,Q849)),"")</f>
        <v/>
      </c>
    </row>
    <row r="850" customFormat="false" ht="15" hidden="false" customHeight="false" outlineLevel="0" collapsed="false">
      <c r="A850" s="55"/>
      <c r="B850" s="56"/>
      <c r="C850" s="56"/>
      <c r="D850" s="56"/>
      <c r="E850" s="57"/>
      <c r="F850" s="58"/>
      <c r="G850" s="59"/>
      <c r="H850" s="56"/>
      <c r="I850" s="56"/>
      <c r="J850" s="60" t="str">
        <f aca="false">IF(IsPro,IF($D850="","",IFERROR(INDEX(Items!$D$5:$D$504,U850),"")),"")</f>
        <v/>
      </c>
      <c r="K850" s="61" t="str">
        <f aca="false">IF(IsPro,IF($D850="","",IF($F850="",IFERROR(INDEX(Items!$H$5:$H$504,U850),0),$F850)),"")</f>
        <v/>
      </c>
      <c r="L850" s="61" t="str">
        <f aca="false">IF(IsPro,IF($D850="","",ROUND(N($E850)*K850*(1-N($G850)),2)),"")</f>
        <v/>
      </c>
      <c r="M850" s="62" t="str">
        <f aca="false">IF(IsPro,IF($D850="","",IFERROR(INDEX(Items!$F$5:$F$504,U850),0)),"")</f>
        <v/>
      </c>
      <c r="N850" s="61" t="str">
        <f aca="false">IF(IsPro,IF($D850="","",IF(AND(V850&lt;&gt;"",INDEX(Parties!$E$5:$E$304,V850)&lt;&gt;"",INDEX(Parties!$E$5:$E$304,V850)&lt;&gt;HomeState),0,ROUND(L850*M850/2,2))),"")</f>
        <v/>
      </c>
      <c r="O850" s="61" t="str">
        <f aca="false">IF(IsPro,IF($D850="","",N850),"")</f>
        <v/>
      </c>
      <c r="P850" s="61" t="str">
        <f aca="false">IF(IsPro,IF($D850="","",IF(AND(V850&lt;&gt;"",INDEX(Parties!$E$5:$E$304,V850)&lt;&gt;"",INDEX(Parties!$E$5:$E$304,V850)&lt;&gt;HomeState),ROUND(L850*M850,2),0)),"")</f>
        <v/>
      </c>
      <c r="Q850" s="61" t="str">
        <f aca="false">IF(IsPro,IF($D850="","",L850+N850+O850+P850),"")</f>
        <v/>
      </c>
      <c r="R850" s="61" t="str">
        <f aca="false">IF(IsPro,IF($D850="","",ROUND(N($E850)*IFERROR(INDEX(Items!$P$5:$P$504,U850),0),2)),"")</f>
        <v/>
      </c>
      <c r="S850" s="61" t="str">
        <f aca="false">IF(IsPro,IF($D850="","",L850-R850),"")</f>
        <v/>
      </c>
      <c r="T850" s="60" t="str">
        <f aca="false">IF(IsPro,IF($D850="","",IF(U850="","UNKNOWN ITEM",IF(INDEX(Items!$O$5:$O$504,U850)&lt;0,"NEG STOCK",IF(K850&lt;INDEX(Items!$P$5:$P$504,U850),"BELOW COST","OK")))),IF($D850="","","PRO PLAN"))</f>
        <v/>
      </c>
      <c r="U850" s="60" t="str">
        <f aca="false">IF(IsPro,IF($D850="","",IFERROR(MATCH($D850,Items!$A$5:$A$504,0),"")),"")</f>
        <v/>
      </c>
      <c r="V850" s="60" t="str">
        <f aca="false">IF(IsPro,IF($C850="","",IFERROR(MATCH($C850,Parties!$A$5:$A$304,0),"")),"")</f>
        <v/>
      </c>
      <c r="W850" s="60" t="str">
        <f aca="false">IF(IsPro,IF($B850="","",IFERROR(VALUE(SUBSTITUTE($B850,InvPrefix,"")),0)),"")</f>
        <v/>
      </c>
      <c r="X850" s="61" t="str">
        <f aca="false">IF(IsPro,IF($D850="","",IF(OR($H850="",$H850="Credit"),0,Q850)),"")</f>
        <v/>
      </c>
    </row>
    <row r="851" customFormat="false" ht="15" hidden="false" customHeight="false" outlineLevel="0" collapsed="false">
      <c r="A851" s="55"/>
      <c r="B851" s="56"/>
      <c r="C851" s="56"/>
      <c r="D851" s="56"/>
      <c r="E851" s="57"/>
      <c r="F851" s="58"/>
      <c r="G851" s="59"/>
      <c r="H851" s="56"/>
      <c r="I851" s="56"/>
      <c r="J851" s="60" t="str">
        <f aca="false">IF(IsPro,IF($D851="","",IFERROR(INDEX(Items!$D$5:$D$504,U851),"")),"")</f>
        <v/>
      </c>
      <c r="K851" s="61" t="str">
        <f aca="false">IF(IsPro,IF($D851="","",IF($F851="",IFERROR(INDEX(Items!$H$5:$H$504,U851),0),$F851)),"")</f>
        <v/>
      </c>
      <c r="L851" s="61" t="str">
        <f aca="false">IF(IsPro,IF($D851="","",ROUND(N($E851)*K851*(1-N($G851)),2)),"")</f>
        <v/>
      </c>
      <c r="M851" s="62" t="str">
        <f aca="false">IF(IsPro,IF($D851="","",IFERROR(INDEX(Items!$F$5:$F$504,U851),0)),"")</f>
        <v/>
      </c>
      <c r="N851" s="61" t="str">
        <f aca="false">IF(IsPro,IF($D851="","",IF(AND(V851&lt;&gt;"",INDEX(Parties!$E$5:$E$304,V851)&lt;&gt;"",INDEX(Parties!$E$5:$E$304,V851)&lt;&gt;HomeState),0,ROUND(L851*M851/2,2))),"")</f>
        <v/>
      </c>
      <c r="O851" s="61" t="str">
        <f aca="false">IF(IsPro,IF($D851="","",N851),"")</f>
        <v/>
      </c>
      <c r="P851" s="61" t="str">
        <f aca="false">IF(IsPro,IF($D851="","",IF(AND(V851&lt;&gt;"",INDEX(Parties!$E$5:$E$304,V851)&lt;&gt;"",INDEX(Parties!$E$5:$E$304,V851)&lt;&gt;HomeState),ROUND(L851*M851,2),0)),"")</f>
        <v/>
      </c>
      <c r="Q851" s="61" t="str">
        <f aca="false">IF(IsPro,IF($D851="","",L851+N851+O851+P851),"")</f>
        <v/>
      </c>
      <c r="R851" s="61" t="str">
        <f aca="false">IF(IsPro,IF($D851="","",ROUND(N($E851)*IFERROR(INDEX(Items!$P$5:$P$504,U851),0),2)),"")</f>
        <v/>
      </c>
      <c r="S851" s="61" t="str">
        <f aca="false">IF(IsPro,IF($D851="","",L851-R851),"")</f>
        <v/>
      </c>
      <c r="T851" s="60" t="str">
        <f aca="false">IF(IsPro,IF($D851="","",IF(U851="","UNKNOWN ITEM",IF(INDEX(Items!$O$5:$O$504,U851)&lt;0,"NEG STOCK",IF(K851&lt;INDEX(Items!$P$5:$P$504,U851),"BELOW COST","OK")))),IF($D851="","","PRO PLAN"))</f>
        <v/>
      </c>
      <c r="U851" s="60" t="str">
        <f aca="false">IF(IsPro,IF($D851="","",IFERROR(MATCH($D851,Items!$A$5:$A$504,0),"")),"")</f>
        <v/>
      </c>
      <c r="V851" s="60" t="str">
        <f aca="false">IF(IsPro,IF($C851="","",IFERROR(MATCH($C851,Parties!$A$5:$A$304,0),"")),"")</f>
        <v/>
      </c>
      <c r="W851" s="60" t="str">
        <f aca="false">IF(IsPro,IF($B851="","",IFERROR(VALUE(SUBSTITUTE($B851,InvPrefix,"")),0)),"")</f>
        <v/>
      </c>
      <c r="X851" s="61" t="str">
        <f aca="false">IF(IsPro,IF($D851="","",IF(OR($H851="",$H851="Credit"),0,Q851)),"")</f>
        <v/>
      </c>
    </row>
    <row r="852" customFormat="false" ht="15" hidden="false" customHeight="false" outlineLevel="0" collapsed="false">
      <c r="A852" s="55"/>
      <c r="B852" s="56"/>
      <c r="C852" s="56"/>
      <c r="D852" s="56"/>
      <c r="E852" s="57"/>
      <c r="F852" s="58"/>
      <c r="G852" s="59"/>
      <c r="H852" s="56"/>
      <c r="I852" s="56"/>
      <c r="J852" s="60" t="str">
        <f aca="false">IF(IsPro,IF($D852="","",IFERROR(INDEX(Items!$D$5:$D$504,U852),"")),"")</f>
        <v/>
      </c>
      <c r="K852" s="61" t="str">
        <f aca="false">IF(IsPro,IF($D852="","",IF($F852="",IFERROR(INDEX(Items!$H$5:$H$504,U852),0),$F852)),"")</f>
        <v/>
      </c>
      <c r="L852" s="61" t="str">
        <f aca="false">IF(IsPro,IF($D852="","",ROUND(N($E852)*K852*(1-N($G852)),2)),"")</f>
        <v/>
      </c>
      <c r="M852" s="62" t="str">
        <f aca="false">IF(IsPro,IF($D852="","",IFERROR(INDEX(Items!$F$5:$F$504,U852),0)),"")</f>
        <v/>
      </c>
      <c r="N852" s="61" t="str">
        <f aca="false">IF(IsPro,IF($D852="","",IF(AND(V852&lt;&gt;"",INDEX(Parties!$E$5:$E$304,V852)&lt;&gt;"",INDEX(Parties!$E$5:$E$304,V852)&lt;&gt;HomeState),0,ROUND(L852*M852/2,2))),"")</f>
        <v/>
      </c>
      <c r="O852" s="61" t="str">
        <f aca="false">IF(IsPro,IF($D852="","",N852),"")</f>
        <v/>
      </c>
      <c r="P852" s="61" t="str">
        <f aca="false">IF(IsPro,IF($D852="","",IF(AND(V852&lt;&gt;"",INDEX(Parties!$E$5:$E$304,V852)&lt;&gt;"",INDEX(Parties!$E$5:$E$304,V852)&lt;&gt;HomeState),ROUND(L852*M852,2),0)),"")</f>
        <v/>
      </c>
      <c r="Q852" s="61" t="str">
        <f aca="false">IF(IsPro,IF($D852="","",L852+N852+O852+P852),"")</f>
        <v/>
      </c>
      <c r="R852" s="61" t="str">
        <f aca="false">IF(IsPro,IF($D852="","",ROUND(N($E852)*IFERROR(INDEX(Items!$P$5:$P$504,U852),0),2)),"")</f>
        <v/>
      </c>
      <c r="S852" s="61" t="str">
        <f aca="false">IF(IsPro,IF($D852="","",L852-R852),"")</f>
        <v/>
      </c>
      <c r="T852" s="60" t="str">
        <f aca="false">IF(IsPro,IF($D852="","",IF(U852="","UNKNOWN ITEM",IF(INDEX(Items!$O$5:$O$504,U852)&lt;0,"NEG STOCK",IF(K852&lt;INDEX(Items!$P$5:$P$504,U852),"BELOW COST","OK")))),IF($D852="","","PRO PLAN"))</f>
        <v/>
      </c>
      <c r="U852" s="60" t="str">
        <f aca="false">IF(IsPro,IF($D852="","",IFERROR(MATCH($D852,Items!$A$5:$A$504,0),"")),"")</f>
        <v/>
      </c>
      <c r="V852" s="60" t="str">
        <f aca="false">IF(IsPro,IF($C852="","",IFERROR(MATCH($C852,Parties!$A$5:$A$304,0),"")),"")</f>
        <v/>
      </c>
      <c r="W852" s="60" t="str">
        <f aca="false">IF(IsPro,IF($B852="","",IFERROR(VALUE(SUBSTITUTE($B852,InvPrefix,"")),0)),"")</f>
        <v/>
      </c>
      <c r="X852" s="61" t="str">
        <f aca="false">IF(IsPro,IF($D852="","",IF(OR($H852="",$H852="Credit"),0,Q852)),"")</f>
        <v/>
      </c>
    </row>
    <row r="853" customFormat="false" ht="15" hidden="false" customHeight="false" outlineLevel="0" collapsed="false">
      <c r="A853" s="55"/>
      <c r="B853" s="56"/>
      <c r="C853" s="56"/>
      <c r="D853" s="56"/>
      <c r="E853" s="57"/>
      <c r="F853" s="58"/>
      <c r="G853" s="59"/>
      <c r="H853" s="56"/>
      <c r="I853" s="56"/>
      <c r="J853" s="60" t="str">
        <f aca="false">IF(IsPro,IF($D853="","",IFERROR(INDEX(Items!$D$5:$D$504,U853),"")),"")</f>
        <v/>
      </c>
      <c r="K853" s="61" t="str">
        <f aca="false">IF(IsPro,IF($D853="","",IF($F853="",IFERROR(INDEX(Items!$H$5:$H$504,U853),0),$F853)),"")</f>
        <v/>
      </c>
      <c r="L853" s="61" t="str">
        <f aca="false">IF(IsPro,IF($D853="","",ROUND(N($E853)*K853*(1-N($G853)),2)),"")</f>
        <v/>
      </c>
      <c r="M853" s="62" t="str">
        <f aca="false">IF(IsPro,IF($D853="","",IFERROR(INDEX(Items!$F$5:$F$504,U853),0)),"")</f>
        <v/>
      </c>
      <c r="N853" s="61" t="str">
        <f aca="false">IF(IsPro,IF($D853="","",IF(AND(V853&lt;&gt;"",INDEX(Parties!$E$5:$E$304,V853)&lt;&gt;"",INDEX(Parties!$E$5:$E$304,V853)&lt;&gt;HomeState),0,ROUND(L853*M853/2,2))),"")</f>
        <v/>
      </c>
      <c r="O853" s="61" t="str">
        <f aca="false">IF(IsPro,IF($D853="","",N853),"")</f>
        <v/>
      </c>
      <c r="P853" s="61" t="str">
        <f aca="false">IF(IsPro,IF($D853="","",IF(AND(V853&lt;&gt;"",INDEX(Parties!$E$5:$E$304,V853)&lt;&gt;"",INDEX(Parties!$E$5:$E$304,V853)&lt;&gt;HomeState),ROUND(L853*M853,2),0)),"")</f>
        <v/>
      </c>
      <c r="Q853" s="61" t="str">
        <f aca="false">IF(IsPro,IF($D853="","",L853+N853+O853+P853),"")</f>
        <v/>
      </c>
      <c r="R853" s="61" t="str">
        <f aca="false">IF(IsPro,IF($D853="","",ROUND(N($E853)*IFERROR(INDEX(Items!$P$5:$P$504,U853),0),2)),"")</f>
        <v/>
      </c>
      <c r="S853" s="61" t="str">
        <f aca="false">IF(IsPro,IF($D853="","",L853-R853),"")</f>
        <v/>
      </c>
      <c r="T853" s="60" t="str">
        <f aca="false">IF(IsPro,IF($D853="","",IF(U853="","UNKNOWN ITEM",IF(INDEX(Items!$O$5:$O$504,U853)&lt;0,"NEG STOCK",IF(K853&lt;INDEX(Items!$P$5:$P$504,U853),"BELOW COST","OK")))),IF($D853="","","PRO PLAN"))</f>
        <v/>
      </c>
      <c r="U853" s="60" t="str">
        <f aca="false">IF(IsPro,IF($D853="","",IFERROR(MATCH($D853,Items!$A$5:$A$504,0),"")),"")</f>
        <v/>
      </c>
      <c r="V853" s="60" t="str">
        <f aca="false">IF(IsPro,IF($C853="","",IFERROR(MATCH($C853,Parties!$A$5:$A$304,0),"")),"")</f>
        <v/>
      </c>
      <c r="W853" s="60" t="str">
        <f aca="false">IF(IsPro,IF($B853="","",IFERROR(VALUE(SUBSTITUTE($B853,InvPrefix,"")),0)),"")</f>
        <v/>
      </c>
      <c r="X853" s="61" t="str">
        <f aca="false">IF(IsPro,IF($D853="","",IF(OR($H853="",$H853="Credit"),0,Q853)),"")</f>
        <v/>
      </c>
    </row>
    <row r="854" customFormat="false" ht="15" hidden="false" customHeight="false" outlineLevel="0" collapsed="false">
      <c r="A854" s="55"/>
      <c r="B854" s="56"/>
      <c r="C854" s="56"/>
      <c r="D854" s="56"/>
      <c r="E854" s="57"/>
      <c r="F854" s="58"/>
      <c r="G854" s="59"/>
      <c r="H854" s="56"/>
      <c r="I854" s="56"/>
      <c r="J854" s="60" t="str">
        <f aca="false">IF(IsPro,IF($D854="","",IFERROR(INDEX(Items!$D$5:$D$504,U854),"")),"")</f>
        <v/>
      </c>
      <c r="K854" s="61" t="str">
        <f aca="false">IF(IsPro,IF($D854="","",IF($F854="",IFERROR(INDEX(Items!$H$5:$H$504,U854),0),$F854)),"")</f>
        <v/>
      </c>
      <c r="L854" s="61" t="str">
        <f aca="false">IF(IsPro,IF($D854="","",ROUND(N($E854)*K854*(1-N($G854)),2)),"")</f>
        <v/>
      </c>
      <c r="M854" s="62" t="str">
        <f aca="false">IF(IsPro,IF($D854="","",IFERROR(INDEX(Items!$F$5:$F$504,U854),0)),"")</f>
        <v/>
      </c>
      <c r="N854" s="61" t="str">
        <f aca="false">IF(IsPro,IF($D854="","",IF(AND(V854&lt;&gt;"",INDEX(Parties!$E$5:$E$304,V854)&lt;&gt;"",INDEX(Parties!$E$5:$E$304,V854)&lt;&gt;HomeState),0,ROUND(L854*M854/2,2))),"")</f>
        <v/>
      </c>
      <c r="O854" s="61" t="str">
        <f aca="false">IF(IsPro,IF($D854="","",N854),"")</f>
        <v/>
      </c>
      <c r="P854" s="61" t="str">
        <f aca="false">IF(IsPro,IF($D854="","",IF(AND(V854&lt;&gt;"",INDEX(Parties!$E$5:$E$304,V854)&lt;&gt;"",INDEX(Parties!$E$5:$E$304,V854)&lt;&gt;HomeState),ROUND(L854*M854,2),0)),"")</f>
        <v/>
      </c>
      <c r="Q854" s="61" t="str">
        <f aca="false">IF(IsPro,IF($D854="","",L854+N854+O854+P854),"")</f>
        <v/>
      </c>
      <c r="R854" s="61" t="str">
        <f aca="false">IF(IsPro,IF($D854="","",ROUND(N($E854)*IFERROR(INDEX(Items!$P$5:$P$504,U854),0),2)),"")</f>
        <v/>
      </c>
      <c r="S854" s="61" t="str">
        <f aca="false">IF(IsPro,IF($D854="","",L854-R854),"")</f>
        <v/>
      </c>
      <c r="T854" s="60" t="str">
        <f aca="false">IF(IsPro,IF($D854="","",IF(U854="","UNKNOWN ITEM",IF(INDEX(Items!$O$5:$O$504,U854)&lt;0,"NEG STOCK",IF(K854&lt;INDEX(Items!$P$5:$P$504,U854),"BELOW COST","OK")))),IF($D854="","","PRO PLAN"))</f>
        <v/>
      </c>
      <c r="U854" s="60" t="str">
        <f aca="false">IF(IsPro,IF($D854="","",IFERROR(MATCH($D854,Items!$A$5:$A$504,0),"")),"")</f>
        <v/>
      </c>
      <c r="V854" s="60" t="str">
        <f aca="false">IF(IsPro,IF($C854="","",IFERROR(MATCH($C854,Parties!$A$5:$A$304,0),"")),"")</f>
        <v/>
      </c>
      <c r="W854" s="60" t="str">
        <f aca="false">IF(IsPro,IF($B854="","",IFERROR(VALUE(SUBSTITUTE($B854,InvPrefix,"")),0)),"")</f>
        <v/>
      </c>
      <c r="X854" s="61" t="str">
        <f aca="false">IF(IsPro,IF($D854="","",IF(OR($H854="",$H854="Credit"),0,Q854)),"")</f>
        <v/>
      </c>
    </row>
    <row r="855" customFormat="false" ht="15" hidden="false" customHeight="false" outlineLevel="0" collapsed="false">
      <c r="A855" s="55"/>
      <c r="B855" s="56"/>
      <c r="C855" s="56"/>
      <c r="D855" s="56"/>
      <c r="E855" s="57"/>
      <c r="F855" s="58"/>
      <c r="G855" s="59"/>
      <c r="H855" s="56"/>
      <c r="I855" s="56"/>
      <c r="J855" s="60" t="str">
        <f aca="false">IF(IsPro,IF($D855="","",IFERROR(INDEX(Items!$D$5:$D$504,U855),"")),"")</f>
        <v/>
      </c>
      <c r="K855" s="61" t="str">
        <f aca="false">IF(IsPro,IF($D855="","",IF($F855="",IFERROR(INDEX(Items!$H$5:$H$504,U855),0),$F855)),"")</f>
        <v/>
      </c>
      <c r="L855" s="61" t="str">
        <f aca="false">IF(IsPro,IF($D855="","",ROUND(N($E855)*K855*(1-N($G855)),2)),"")</f>
        <v/>
      </c>
      <c r="M855" s="62" t="str">
        <f aca="false">IF(IsPro,IF($D855="","",IFERROR(INDEX(Items!$F$5:$F$504,U855),0)),"")</f>
        <v/>
      </c>
      <c r="N855" s="61" t="str">
        <f aca="false">IF(IsPro,IF($D855="","",IF(AND(V855&lt;&gt;"",INDEX(Parties!$E$5:$E$304,V855)&lt;&gt;"",INDEX(Parties!$E$5:$E$304,V855)&lt;&gt;HomeState),0,ROUND(L855*M855/2,2))),"")</f>
        <v/>
      </c>
      <c r="O855" s="61" t="str">
        <f aca="false">IF(IsPro,IF($D855="","",N855),"")</f>
        <v/>
      </c>
      <c r="P855" s="61" t="str">
        <f aca="false">IF(IsPro,IF($D855="","",IF(AND(V855&lt;&gt;"",INDEX(Parties!$E$5:$E$304,V855)&lt;&gt;"",INDEX(Parties!$E$5:$E$304,V855)&lt;&gt;HomeState),ROUND(L855*M855,2),0)),"")</f>
        <v/>
      </c>
      <c r="Q855" s="61" t="str">
        <f aca="false">IF(IsPro,IF($D855="","",L855+N855+O855+P855),"")</f>
        <v/>
      </c>
      <c r="R855" s="61" t="str">
        <f aca="false">IF(IsPro,IF($D855="","",ROUND(N($E855)*IFERROR(INDEX(Items!$P$5:$P$504,U855),0),2)),"")</f>
        <v/>
      </c>
      <c r="S855" s="61" t="str">
        <f aca="false">IF(IsPro,IF($D855="","",L855-R855),"")</f>
        <v/>
      </c>
      <c r="T855" s="60" t="str">
        <f aca="false">IF(IsPro,IF($D855="","",IF(U855="","UNKNOWN ITEM",IF(INDEX(Items!$O$5:$O$504,U855)&lt;0,"NEG STOCK",IF(K855&lt;INDEX(Items!$P$5:$P$504,U855),"BELOW COST","OK")))),IF($D855="","","PRO PLAN"))</f>
        <v/>
      </c>
      <c r="U855" s="60" t="str">
        <f aca="false">IF(IsPro,IF($D855="","",IFERROR(MATCH($D855,Items!$A$5:$A$504,0),"")),"")</f>
        <v/>
      </c>
      <c r="V855" s="60" t="str">
        <f aca="false">IF(IsPro,IF($C855="","",IFERROR(MATCH($C855,Parties!$A$5:$A$304,0),"")),"")</f>
        <v/>
      </c>
      <c r="W855" s="60" t="str">
        <f aca="false">IF(IsPro,IF($B855="","",IFERROR(VALUE(SUBSTITUTE($B855,InvPrefix,"")),0)),"")</f>
        <v/>
      </c>
      <c r="X855" s="61" t="str">
        <f aca="false">IF(IsPro,IF($D855="","",IF(OR($H855="",$H855="Credit"),0,Q855)),"")</f>
        <v/>
      </c>
    </row>
    <row r="856" customFormat="false" ht="15" hidden="false" customHeight="false" outlineLevel="0" collapsed="false">
      <c r="A856" s="55"/>
      <c r="B856" s="56"/>
      <c r="C856" s="56"/>
      <c r="D856" s="56"/>
      <c r="E856" s="57"/>
      <c r="F856" s="58"/>
      <c r="G856" s="59"/>
      <c r="H856" s="56"/>
      <c r="I856" s="56"/>
      <c r="J856" s="60" t="str">
        <f aca="false">IF(IsPro,IF($D856="","",IFERROR(INDEX(Items!$D$5:$D$504,U856),"")),"")</f>
        <v/>
      </c>
      <c r="K856" s="61" t="str">
        <f aca="false">IF(IsPro,IF($D856="","",IF($F856="",IFERROR(INDEX(Items!$H$5:$H$504,U856),0),$F856)),"")</f>
        <v/>
      </c>
      <c r="L856" s="61" t="str">
        <f aca="false">IF(IsPro,IF($D856="","",ROUND(N($E856)*K856*(1-N($G856)),2)),"")</f>
        <v/>
      </c>
      <c r="M856" s="62" t="str">
        <f aca="false">IF(IsPro,IF($D856="","",IFERROR(INDEX(Items!$F$5:$F$504,U856),0)),"")</f>
        <v/>
      </c>
      <c r="N856" s="61" t="str">
        <f aca="false">IF(IsPro,IF($D856="","",IF(AND(V856&lt;&gt;"",INDEX(Parties!$E$5:$E$304,V856)&lt;&gt;"",INDEX(Parties!$E$5:$E$304,V856)&lt;&gt;HomeState),0,ROUND(L856*M856/2,2))),"")</f>
        <v/>
      </c>
      <c r="O856" s="61" t="str">
        <f aca="false">IF(IsPro,IF($D856="","",N856),"")</f>
        <v/>
      </c>
      <c r="P856" s="61" t="str">
        <f aca="false">IF(IsPro,IF($D856="","",IF(AND(V856&lt;&gt;"",INDEX(Parties!$E$5:$E$304,V856)&lt;&gt;"",INDEX(Parties!$E$5:$E$304,V856)&lt;&gt;HomeState),ROUND(L856*M856,2),0)),"")</f>
        <v/>
      </c>
      <c r="Q856" s="61" t="str">
        <f aca="false">IF(IsPro,IF($D856="","",L856+N856+O856+P856),"")</f>
        <v/>
      </c>
      <c r="R856" s="61" t="str">
        <f aca="false">IF(IsPro,IF($D856="","",ROUND(N($E856)*IFERROR(INDEX(Items!$P$5:$P$504,U856),0),2)),"")</f>
        <v/>
      </c>
      <c r="S856" s="61" t="str">
        <f aca="false">IF(IsPro,IF($D856="","",L856-R856),"")</f>
        <v/>
      </c>
      <c r="T856" s="60" t="str">
        <f aca="false">IF(IsPro,IF($D856="","",IF(U856="","UNKNOWN ITEM",IF(INDEX(Items!$O$5:$O$504,U856)&lt;0,"NEG STOCK",IF(K856&lt;INDEX(Items!$P$5:$P$504,U856),"BELOW COST","OK")))),IF($D856="","","PRO PLAN"))</f>
        <v/>
      </c>
      <c r="U856" s="60" t="str">
        <f aca="false">IF(IsPro,IF($D856="","",IFERROR(MATCH($D856,Items!$A$5:$A$504,0),"")),"")</f>
        <v/>
      </c>
      <c r="V856" s="60" t="str">
        <f aca="false">IF(IsPro,IF($C856="","",IFERROR(MATCH($C856,Parties!$A$5:$A$304,0),"")),"")</f>
        <v/>
      </c>
      <c r="W856" s="60" t="str">
        <f aca="false">IF(IsPro,IF($B856="","",IFERROR(VALUE(SUBSTITUTE($B856,InvPrefix,"")),0)),"")</f>
        <v/>
      </c>
      <c r="X856" s="61" t="str">
        <f aca="false">IF(IsPro,IF($D856="","",IF(OR($H856="",$H856="Credit"),0,Q856)),"")</f>
        <v/>
      </c>
    </row>
    <row r="857" customFormat="false" ht="15" hidden="false" customHeight="false" outlineLevel="0" collapsed="false">
      <c r="A857" s="55"/>
      <c r="B857" s="56"/>
      <c r="C857" s="56"/>
      <c r="D857" s="56"/>
      <c r="E857" s="57"/>
      <c r="F857" s="58"/>
      <c r="G857" s="59"/>
      <c r="H857" s="56"/>
      <c r="I857" s="56"/>
      <c r="J857" s="60" t="str">
        <f aca="false">IF(IsPro,IF($D857="","",IFERROR(INDEX(Items!$D$5:$D$504,U857),"")),"")</f>
        <v/>
      </c>
      <c r="K857" s="61" t="str">
        <f aca="false">IF(IsPro,IF($D857="","",IF($F857="",IFERROR(INDEX(Items!$H$5:$H$504,U857),0),$F857)),"")</f>
        <v/>
      </c>
      <c r="L857" s="61" t="str">
        <f aca="false">IF(IsPro,IF($D857="","",ROUND(N($E857)*K857*(1-N($G857)),2)),"")</f>
        <v/>
      </c>
      <c r="M857" s="62" t="str">
        <f aca="false">IF(IsPro,IF($D857="","",IFERROR(INDEX(Items!$F$5:$F$504,U857),0)),"")</f>
        <v/>
      </c>
      <c r="N857" s="61" t="str">
        <f aca="false">IF(IsPro,IF($D857="","",IF(AND(V857&lt;&gt;"",INDEX(Parties!$E$5:$E$304,V857)&lt;&gt;"",INDEX(Parties!$E$5:$E$304,V857)&lt;&gt;HomeState),0,ROUND(L857*M857/2,2))),"")</f>
        <v/>
      </c>
      <c r="O857" s="61" t="str">
        <f aca="false">IF(IsPro,IF($D857="","",N857),"")</f>
        <v/>
      </c>
      <c r="P857" s="61" t="str">
        <f aca="false">IF(IsPro,IF($D857="","",IF(AND(V857&lt;&gt;"",INDEX(Parties!$E$5:$E$304,V857)&lt;&gt;"",INDEX(Parties!$E$5:$E$304,V857)&lt;&gt;HomeState),ROUND(L857*M857,2),0)),"")</f>
        <v/>
      </c>
      <c r="Q857" s="61" t="str">
        <f aca="false">IF(IsPro,IF($D857="","",L857+N857+O857+P857),"")</f>
        <v/>
      </c>
      <c r="R857" s="61" t="str">
        <f aca="false">IF(IsPro,IF($D857="","",ROUND(N($E857)*IFERROR(INDEX(Items!$P$5:$P$504,U857),0),2)),"")</f>
        <v/>
      </c>
      <c r="S857" s="61" t="str">
        <f aca="false">IF(IsPro,IF($D857="","",L857-R857),"")</f>
        <v/>
      </c>
      <c r="T857" s="60" t="str">
        <f aca="false">IF(IsPro,IF($D857="","",IF(U857="","UNKNOWN ITEM",IF(INDEX(Items!$O$5:$O$504,U857)&lt;0,"NEG STOCK",IF(K857&lt;INDEX(Items!$P$5:$P$504,U857),"BELOW COST","OK")))),IF($D857="","","PRO PLAN"))</f>
        <v/>
      </c>
      <c r="U857" s="60" t="str">
        <f aca="false">IF(IsPro,IF($D857="","",IFERROR(MATCH($D857,Items!$A$5:$A$504,0),"")),"")</f>
        <v/>
      </c>
      <c r="V857" s="60" t="str">
        <f aca="false">IF(IsPro,IF($C857="","",IFERROR(MATCH($C857,Parties!$A$5:$A$304,0),"")),"")</f>
        <v/>
      </c>
      <c r="W857" s="60" t="str">
        <f aca="false">IF(IsPro,IF($B857="","",IFERROR(VALUE(SUBSTITUTE($B857,InvPrefix,"")),0)),"")</f>
        <v/>
      </c>
      <c r="X857" s="61" t="str">
        <f aca="false">IF(IsPro,IF($D857="","",IF(OR($H857="",$H857="Credit"),0,Q857)),"")</f>
        <v/>
      </c>
    </row>
    <row r="858" customFormat="false" ht="15" hidden="false" customHeight="false" outlineLevel="0" collapsed="false">
      <c r="A858" s="55"/>
      <c r="B858" s="56"/>
      <c r="C858" s="56"/>
      <c r="D858" s="56"/>
      <c r="E858" s="57"/>
      <c r="F858" s="58"/>
      <c r="G858" s="59"/>
      <c r="H858" s="56"/>
      <c r="I858" s="56"/>
      <c r="J858" s="60" t="str">
        <f aca="false">IF(IsPro,IF($D858="","",IFERROR(INDEX(Items!$D$5:$D$504,U858),"")),"")</f>
        <v/>
      </c>
      <c r="K858" s="61" t="str">
        <f aca="false">IF(IsPro,IF($D858="","",IF($F858="",IFERROR(INDEX(Items!$H$5:$H$504,U858),0),$F858)),"")</f>
        <v/>
      </c>
      <c r="L858" s="61" t="str">
        <f aca="false">IF(IsPro,IF($D858="","",ROUND(N($E858)*K858*(1-N($G858)),2)),"")</f>
        <v/>
      </c>
      <c r="M858" s="62" t="str">
        <f aca="false">IF(IsPro,IF($D858="","",IFERROR(INDEX(Items!$F$5:$F$504,U858),0)),"")</f>
        <v/>
      </c>
      <c r="N858" s="61" t="str">
        <f aca="false">IF(IsPro,IF($D858="","",IF(AND(V858&lt;&gt;"",INDEX(Parties!$E$5:$E$304,V858)&lt;&gt;"",INDEX(Parties!$E$5:$E$304,V858)&lt;&gt;HomeState),0,ROUND(L858*M858/2,2))),"")</f>
        <v/>
      </c>
      <c r="O858" s="61" t="str">
        <f aca="false">IF(IsPro,IF($D858="","",N858),"")</f>
        <v/>
      </c>
      <c r="P858" s="61" t="str">
        <f aca="false">IF(IsPro,IF($D858="","",IF(AND(V858&lt;&gt;"",INDEX(Parties!$E$5:$E$304,V858)&lt;&gt;"",INDEX(Parties!$E$5:$E$304,V858)&lt;&gt;HomeState),ROUND(L858*M858,2),0)),"")</f>
        <v/>
      </c>
      <c r="Q858" s="61" t="str">
        <f aca="false">IF(IsPro,IF($D858="","",L858+N858+O858+P858),"")</f>
        <v/>
      </c>
      <c r="R858" s="61" t="str">
        <f aca="false">IF(IsPro,IF($D858="","",ROUND(N($E858)*IFERROR(INDEX(Items!$P$5:$P$504,U858),0),2)),"")</f>
        <v/>
      </c>
      <c r="S858" s="61" t="str">
        <f aca="false">IF(IsPro,IF($D858="","",L858-R858),"")</f>
        <v/>
      </c>
      <c r="T858" s="60" t="str">
        <f aca="false">IF(IsPro,IF($D858="","",IF(U858="","UNKNOWN ITEM",IF(INDEX(Items!$O$5:$O$504,U858)&lt;0,"NEG STOCK",IF(K858&lt;INDEX(Items!$P$5:$P$504,U858),"BELOW COST","OK")))),IF($D858="","","PRO PLAN"))</f>
        <v/>
      </c>
      <c r="U858" s="60" t="str">
        <f aca="false">IF(IsPro,IF($D858="","",IFERROR(MATCH($D858,Items!$A$5:$A$504,0),"")),"")</f>
        <v/>
      </c>
      <c r="V858" s="60" t="str">
        <f aca="false">IF(IsPro,IF($C858="","",IFERROR(MATCH($C858,Parties!$A$5:$A$304,0),"")),"")</f>
        <v/>
      </c>
      <c r="W858" s="60" t="str">
        <f aca="false">IF(IsPro,IF($B858="","",IFERROR(VALUE(SUBSTITUTE($B858,InvPrefix,"")),0)),"")</f>
        <v/>
      </c>
      <c r="X858" s="61" t="str">
        <f aca="false">IF(IsPro,IF($D858="","",IF(OR($H858="",$H858="Credit"),0,Q858)),"")</f>
        <v/>
      </c>
    </row>
    <row r="859" customFormat="false" ht="15" hidden="false" customHeight="false" outlineLevel="0" collapsed="false">
      <c r="A859" s="55"/>
      <c r="B859" s="56"/>
      <c r="C859" s="56"/>
      <c r="D859" s="56"/>
      <c r="E859" s="57"/>
      <c r="F859" s="58"/>
      <c r="G859" s="59"/>
      <c r="H859" s="56"/>
      <c r="I859" s="56"/>
      <c r="J859" s="60" t="str">
        <f aca="false">IF(IsPro,IF($D859="","",IFERROR(INDEX(Items!$D$5:$D$504,U859),"")),"")</f>
        <v/>
      </c>
      <c r="K859" s="61" t="str">
        <f aca="false">IF(IsPro,IF($D859="","",IF($F859="",IFERROR(INDEX(Items!$H$5:$H$504,U859),0),$F859)),"")</f>
        <v/>
      </c>
      <c r="L859" s="61" t="str">
        <f aca="false">IF(IsPro,IF($D859="","",ROUND(N($E859)*K859*(1-N($G859)),2)),"")</f>
        <v/>
      </c>
      <c r="M859" s="62" t="str">
        <f aca="false">IF(IsPro,IF($D859="","",IFERROR(INDEX(Items!$F$5:$F$504,U859),0)),"")</f>
        <v/>
      </c>
      <c r="N859" s="61" t="str">
        <f aca="false">IF(IsPro,IF($D859="","",IF(AND(V859&lt;&gt;"",INDEX(Parties!$E$5:$E$304,V859)&lt;&gt;"",INDEX(Parties!$E$5:$E$304,V859)&lt;&gt;HomeState),0,ROUND(L859*M859/2,2))),"")</f>
        <v/>
      </c>
      <c r="O859" s="61" t="str">
        <f aca="false">IF(IsPro,IF($D859="","",N859),"")</f>
        <v/>
      </c>
      <c r="P859" s="61" t="str">
        <f aca="false">IF(IsPro,IF($D859="","",IF(AND(V859&lt;&gt;"",INDEX(Parties!$E$5:$E$304,V859)&lt;&gt;"",INDEX(Parties!$E$5:$E$304,V859)&lt;&gt;HomeState),ROUND(L859*M859,2),0)),"")</f>
        <v/>
      </c>
      <c r="Q859" s="61" t="str">
        <f aca="false">IF(IsPro,IF($D859="","",L859+N859+O859+P859),"")</f>
        <v/>
      </c>
      <c r="R859" s="61" t="str">
        <f aca="false">IF(IsPro,IF($D859="","",ROUND(N($E859)*IFERROR(INDEX(Items!$P$5:$P$504,U859),0),2)),"")</f>
        <v/>
      </c>
      <c r="S859" s="61" t="str">
        <f aca="false">IF(IsPro,IF($D859="","",L859-R859),"")</f>
        <v/>
      </c>
      <c r="T859" s="60" t="str">
        <f aca="false">IF(IsPro,IF($D859="","",IF(U859="","UNKNOWN ITEM",IF(INDEX(Items!$O$5:$O$504,U859)&lt;0,"NEG STOCK",IF(K859&lt;INDEX(Items!$P$5:$P$504,U859),"BELOW COST","OK")))),IF($D859="","","PRO PLAN"))</f>
        <v/>
      </c>
      <c r="U859" s="60" t="str">
        <f aca="false">IF(IsPro,IF($D859="","",IFERROR(MATCH($D859,Items!$A$5:$A$504,0),"")),"")</f>
        <v/>
      </c>
      <c r="V859" s="60" t="str">
        <f aca="false">IF(IsPro,IF($C859="","",IFERROR(MATCH($C859,Parties!$A$5:$A$304,0),"")),"")</f>
        <v/>
      </c>
      <c r="W859" s="60" t="str">
        <f aca="false">IF(IsPro,IF($B859="","",IFERROR(VALUE(SUBSTITUTE($B859,InvPrefix,"")),0)),"")</f>
        <v/>
      </c>
      <c r="X859" s="61" t="str">
        <f aca="false">IF(IsPro,IF($D859="","",IF(OR($H859="",$H859="Credit"),0,Q859)),"")</f>
        <v/>
      </c>
    </row>
    <row r="860" customFormat="false" ht="15" hidden="false" customHeight="false" outlineLevel="0" collapsed="false">
      <c r="A860" s="55"/>
      <c r="B860" s="56"/>
      <c r="C860" s="56"/>
      <c r="D860" s="56"/>
      <c r="E860" s="57"/>
      <c r="F860" s="58"/>
      <c r="G860" s="59"/>
      <c r="H860" s="56"/>
      <c r="I860" s="56"/>
      <c r="J860" s="60" t="str">
        <f aca="false">IF(IsPro,IF($D860="","",IFERROR(INDEX(Items!$D$5:$D$504,U860),"")),"")</f>
        <v/>
      </c>
      <c r="K860" s="61" t="str">
        <f aca="false">IF(IsPro,IF($D860="","",IF($F860="",IFERROR(INDEX(Items!$H$5:$H$504,U860),0),$F860)),"")</f>
        <v/>
      </c>
      <c r="L860" s="61" t="str">
        <f aca="false">IF(IsPro,IF($D860="","",ROUND(N($E860)*K860*(1-N($G860)),2)),"")</f>
        <v/>
      </c>
      <c r="M860" s="62" t="str">
        <f aca="false">IF(IsPro,IF($D860="","",IFERROR(INDEX(Items!$F$5:$F$504,U860),0)),"")</f>
        <v/>
      </c>
      <c r="N860" s="61" t="str">
        <f aca="false">IF(IsPro,IF($D860="","",IF(AND(V860&lt;&gt;"",INDEX(Parties!$E$5:$E$304,V860)&lt;&gt;"",INDEX(Parties!$E$5:$E$304,V860)&lt;&gt;HomeState),0,ROUND(L860*M860/2,2))),"")</f>
        <v/>
      </c>
      <c r="O860" s="61" t="str">
        <f aca="false">IF(IsPro,IF($D860="","",N860),"")</f>
        <v/>
      </c>
      <c r="P860" s="61" t="str">
        <f aca="false">IF(IsPro,IF($D860="","",IF(AND(V860&lt;&gt;"",INDEX(Parties!$E$5:$E$304,V860)&lt;&gt;"",INDEX(Parties!$E$5:$E$304,V860)&lt;&gt;HomeState),ROUND(L860*M860,2),0)),"")</f>
        <v/>
      </c>
      <c r="Q860" s="61" t="str">
        <f aca="false">IF(IsPro,IF($D860="","",L860+N860+O860+P860),"")</f>
        <v/>
      </c>
      <c r="R860" s="61" t="str">
        <f aca="false">IF(IsPro,IF($D860="","",ROUND(N($E860)*IFERROR(INDEX(Items!$P$5:$P$504,U860),0),2)),"")</f>
        <v/>
      </c>
      <c r="S860" s="61" t="str">
        <f aca="false">IF(IsPro,IF($D860="","",L860-R860),"")</f>
        <v/>
      </c>
      <c r="T860" s="60" t="str">
        <f aca="false">IF(IsPro,IF($D860="","",IF(U860="","UNKNOWN ITEM",IF(INDEX(Items!$O$5:$O$504,U860)&lt;0,"NEG STOCK",IF(K860&lt;INDEX(Items!$P$5:$P$504,U860),"BELOW COST","OK")))),IF($D860="","","PRO PLAN"))</f>
        <v/>
      </c>
      <c r="U860" s="60" t="str">
        <f aca="false">IF(IsPro,IF($D860="","",IFERROR(MATCH($D860,Items!$A$5:$A$504,0),"")),"")</f>
        <v/>
      </c>
      <c r="V860" s="60" t="str">
        <f aca="false">IF(IsPro,IF($C860="","",IFERROR(MATCH($C860,Parties!$A$5:$A$304,0),"")),"")</f>
        <v/>
      </c>
      <c r="W860" s="60" t="str">
        <f aca="false">IF(IsPro,IF($B860="","",IFERROR(VALUE(SUBSTITUTE($B860,InvPrefix,"")),0)),"")</f>
        <v/>
      </c>
      <c r="X860" s="61" t="str">
        <f aca="false">IF(IsPro,IF($D860="","",IF(OR($H860="",$H860="Credit"),0,Q860)),"")</f>
        <v/>
      </c>
    </row>
    <row r="861" customFormat="false" ht="15" hidden="false" customHeight="false" outlineLevel="0" collapsed="false">
      <c r="A861" s="55"/>
      <c r="B861" s="56"/>
      <c r="C861" s="56"/>
      <c r="D861" s="56"/>
      <c r="E861" s="57"/>
      <c r="F861" s="58"/>
      <c r="G861" s="59"/>
      <c r="H861" s="56"/>
      <c r="I861" s="56"/>
      <c r="J861" s="60" t="str">
        <f aca="false">IF(IsPro,IF($D861="","",IFERROR(INDEX(Items!$D$5:$D$504,U861),"")),"")</f>
        <v/>
      </c>
      <c r="K861" s="61" t="str">
        <f aca="false">IF(IsPro,IF($D861="","",IF($F861="",IFERROR(INDEX(Items!$H$5:$H$504,U861),0),$F861)),"")</f>
        <v/>
      </c>
      <c r="L861" s="61" t="str">
        <f aca="false">IF(IsPro,IF($D861="","",ROUND(N($E861)*K861*(1-N($G861)),2)),"")</f>
        <v/>
      </c>
      <c r="M861" s="62" t="str">
        <f aca="false">IF(IsPro,IF($D861="","",IFERROR(INDEX(Items!$F$5:$F$504,U861),0)),"")</f>
        <v/>
      </c>
      <c r="N861" s="61" t="str">
        <f aca="false">IF(IsPro,IF($D861="","",IF(AND(V861&lt;&gt;"",INDEX(Parties!$E$5:$E$304,V861)&lt;&gt;"",INDEX(Parties!$E$5:$E$304,V861)&lt;&gt;HomeState),0,ROUND(L861*M861/2,2))),"")</f>
        <v/>
      </c>
      <c r="O861" s="61" t="str">
        <f aca="false">IF(IsPro,IF($D861="","",N861),"")</f>
        <v/>
      </c>
      <c r="P861" s="61" t="str">
        <f aca="false">IF(IsPro,IF($D861="","",IF(AND(V861&lt;&gt;"",INDEX(Parties!$E$5:$E$304,V861)&lt;&gt;"",INDEX(Parties!$E$5:$E$304,V861)&lt;&gt;HomeState),ROUND(L861*M861,2),0)),"")</f>
        <v/>
      </c>
      <c r="Q861" s="61" t="str">
        <f aca="false">IF(IsPro,IF($D861="","",L861+N861+O861+P861),"")</f>
        <v/>
      </c>
      <c r="R861" s="61" t="str">
        <f aca="false">IF(IsPro,IF($D861="","",ROUND(N($E861)*IFERROR(INDEX(Items!$P$5:$P$504,U861),0),2)),"")</f>
        <v/>
      </c>
      <c r="S861" s="61" t="str">
        <f aca="false">IF(IsPro,IF($D861="","",L861-R861),"")</f>
        <v/>
      </c>
      <c r="T861" s="60" t="str">
        <f aca="false">IF(IsPro,IF($D861="","",IF(U861="","UNKNOWN ITEM",IF(INDEX(Items!$O$5:$O$504,U861)&lt;0,"NEG STOCK",IF(K861&lt;INDEX(Items!$P$5:$P$504,U861),"BELOW COST","OK")))),IF($D861="","","PRO PLAN"))</f>
        <v/>
      </c>
      <c r="U861" s="60" t="str">
        <f aca="false">IF(IsPro,IF($D861="","",IFERROR(MATCH($D861,Items!$A$5:$A$504,0),"")),"")</f>
        <v/>
      </c>
      <c r="V861" s="60" t="str">
        <f aca="false">IF(IsPro,IF($C861="","",IFERROR(MATCH($C861,Parties!$A$5:$A$304,0),"")),"")</f>
        <v/>
      </c>
      <c r="W861" s="60" t="str">
        <f aca="false">IF(IsPro,IF($B861="","",IFERROR(VALUE(SUBSTITUTE($B861,InvPrefix,"")),0)),"")</f>
        <v/>
      </c>
      <c r="X861" s="61" t="str">
        <f aca="false">IF(IsPro,IF($D861="","",IF(OR($H861="",$H861="Credit"),0,Q861)),"")</f>
        <v/>
      </c>
    </row>
    <row r="862" customFormat="false" ht="15" hidden="false" customHeight="false" outlineLevel="0" collapsed="false">
      <c r="A862" s="55"/>
      <c r="B862" s="56"/>
      <c r="C862" s="56"/>
      <c r="D862" s="56"/>
      <c r="E862" s="57"/>
      <c r="F862" s="58"/>
      <c r="G862" s="59"/>
      <c r="H862" s="56"/>
      <c r="I862" s="56"/>
      <c r="J862" s="60" t="str">
        <f aca="false">IF(IsPro,IF($D862="","",IFERROR(INDEX(Items!$D$5:$D$504,U862),"")),"")</f>
        <v/>
      </c>
      <c r="K862" s="61" t="str">
        <f aca="false">IF(IsPro,IF($D862="","",IF($F862="",IFERROR(INDEX(Items!$H$5:$H$504,U862),0),$F862)),"")</f>
        <v/>
      </c>
      <c r="L862" s="61" t="str">
        <f aca="false">IF(IsPro,IF($D862="","",ROUND(N($E862)*K862*(1-N($G862)),2)),"")</f>
        <v/>
      </c>
      <c r="M862" s="62" t="str">
        <f aca="false">IF(IsPro,IF($D862="","",IFERROR(INDEX(Items!$F$5:$F$504,U862),0)),"")</f>
        <v/>
      </c>
      <c r="N862" s="61" t="str">
        <f aca="false">IF(IsPro,IF($D862="","",IF(AND(V862&lt;&gt;"",INDEX(Parties!$E$5:$E$304,V862)&lt;&gt;"",INDEX(Parties!$E$5:$E$304,V862)&lt;&gt;HomeState),0,ROUND(L862*M862/2,2))),"")</f>
        <v/>
      </c>
      <c r="O862" s="61" t="str">
        <f aca="false">IF(IsPro,IF($D862="","",N862),"")</f>
        <v/>
      </c>
      <c r="P862" s="61" t="str">
        <f aca="false">IF(IsPro,IF($D862="","",IF(AND(V862&lt;&gt;"",INDEX(Parties!$E$5:$E$304,V862)&lt;&gt;"",INDEX(Parties!$E$5:$E$304,V862)&lt;&gt;HomeState),ROUND(L862*M862,2),0)),"")</f>
        <v/>
      </c>
      <c r="Q862" s="61" t="str">
        <f aca="false">IF(IsPro,IF($D862="","",L862+N862+O862+P862),"")</f>
        <v/>
      </c>
      <c r="R862" s="61" t="str">
        <f aca="false">IF(IsPro,IF($D862="","",ROUND(N($E862)*IFERROR(INDEX(Items!$P$5:$P$504,U862),0),2)),"")</f>
        <v/>
      </c>
      <c r="S862" s="61" t="str">
        <f aca="false">IF(IsPro,IF($D862="","",L862-R862),"")</f>
        <v/>
      </c>
      <c r="T862" s="60" t="str">
        <f aca="false">IF(IsPro,IF($D862="","",IF(U862="","UNKNOWN ITEM",IF(INDEX(Items!$O$5:$O$504,U862)&lt;0,"NEG STOCK",IF(K862&lt;INDEX(Items!$P$5:$P$504,U862),"BELOW COST","OK")))),IF($D862="","","PRO PLAN"))</f>
        <v/>
      </c>
      <c r="U862" s="60" t="str">
        <f aca="false">IF(IsPro,IF($D862="","",IFERROR(MATCH($D862,Items!$A$5:$A$504,0),"")),"")</f>
        <v/>
      </c>
      <c r="V862" s="60" t="str">
        <f aca="false">IF(IsPro,IF($C862="","",IFERROR(MATCH($C862,Parties!$A$5:$A$304,0),"")),"")</f>
        <v/>
      </c>
      <c r="W862" s="60" t="str">
        <f aca="false">IF(IsPro,IF($B862="","",IFERROR(VALUE(SUBSTITUTE($B862,InvPrefix,"")),0)),"")</f>
        <v/>
      </c>
      <c r="X862" s="61" t="str">
        <f aca="false">IF(IsPro,IF($D862="","",IF(OR($H862="",$H862="Credit"),0,Q862)),"")</f>
        <v/>
      </c>
    </row>
    <row r="863" customFormat="false" ht="15" hidden="false" customHeight="false" outlineLevel="0" collapsed="false">
      <c r="A863" s="55"/>
      <c r="B863" s="56"/>
      <c r="C863" s="56"/>
      <c r="D863" s="56"/>
      <c r="E863" s="57"/>
      <c r="F863" s="58"/>
      <c r="G863" s="59"/>
      <c r="H863" s="56"/>
      <c r="I863" s="56"/>
      <c r="J863" s="60" t="str">
        <f aca="false">IF(IsPro,IF($D863="","",IFERROR(INDEX(Items!$D$5:$D$504,U863),"")),"")</f>
        <v/>
      </c>
      <c r="K863" s="61" t="str">
        <f aca="false">IF(IsPro,IF($D863="","",IF($F863="",IFERROR(INDEX(Items!$H$5:$H$504,U863),0),$F863)),"")</f>
        <v/>
      </c>
      <c r="L863" s="61" t="str">
        <f aca="false">IF(IsPro,IF($D863="","",ROUND(N($E863)*K863*(1-N($G863)),2)),"")</f>
        <v/>
      </c>
      <c r="M863" s="62" t="str">
        <f aca="false">IF(IsPro,IF($D863="","",IFERROR(INDEX(Items!$F$5:$F$504,U863),0)),"")</f>
        <v/>
      </c>
      <c r="N863" s="61" t="str">
        <f aca="false">IF(IsPro,IF($D863="","",IF(AND(V863&lt;&gt;"",INDEX(Parties!$E$5:$E$304,V863)&lt;&gt;"",INDEX(Parties!$E$5:$E$304,V863)&lt;&gt;HomeState),0,ROUND(L863*M863/2,2))),"")</f>
        <v/>
      </c>
      <c r="O863" s="61" t="str">
        <f aca="false">IF(IsPro,IF($D863="","",N863),"")</f>
        <v/>
      </c>
      <c r="P863" s="61" t="str">
        <f aca="false">IF(IsPro,IF($D863="","",IF(AND(V863&lt;&gt;"",INDEX(Parties!$E$5:$E$304,V863)&lt;&gt;"",INDEX(Parties!$E$5:$E$304,V863)&lt;&gt;HomeState),ROUND(L863*M863,2),0)),"")</f>
        <v/>
      </c>
      <c r="Q863" s="61" t="str">
        <f aca="false">IF(IsPro,IF($D863="","",L863+N863+O863+P863),"")</f>
        <v/>
      </c>
      <c r="R863" s="61" t="str">
        <f aca="false">IF(IsPro,IF($D863="","",ROUND(N($E863)*IFERROR(INDEX(Items!$P$5:$P$504,U863),0),2)),"")</f>
        <v/>
      </c>
      <c r="S863" s="61" t="str">
        <f aca="false">IF(IsPro,IF($D863="","",L863-R863),"")</f>
        <v/>
      </c>
      <c r="T863" s="60" t="str">
        <f aca="false">IF(IsPro,IF($D863="","",IF(U863="","UNKNOWN ITEM",IF(INDEX(Items!$O$5:$O$504,U863)&lt;0,"NEG STOCK",IF(K863&lt;INDEX(Items!$P$5:$P$504,U863),"BELOW COST","OK")))),IF($D863="","","PRO PLAN"))</f>
        <v/>
      </c>
      <c r="U863" s="60" t="str">
        <f aca="false">IF(IsPro,IF($D863="","",IFERROR(MATCH($D863,Items!$A$5:$A$504,0),"")),"")</f>
        <v/>
      </c>
      <c r="V863" s="60" t="str">
        <f aca="false">IF(IsPro,IF($C863="","",IFERROR(MATCH($C863,Parties!$A$5:$A$304,0),"")),"")</f>
        <v/>
      </c>
      <c r="W863" s="60" t="str">
        <f aca="false">IF(IsPro,IF($B863="","",IFERROR(VALUE(SUBSTITUTE($B863,InvPrefix,"")),0)),"")</f>
        <v/>
      </c>
      <c r="X863" s="61" t="str">
        <f aca="false">IF(IsPro,IF($D863="","",IF(OR($H863="",$H863="Credit"),0,Q863)),"")</f>
        <v/>
      </c>
    </row>
    <row r="864" customFormat="false" ht="15" hidden="false" customHeight="false" outlineLevel="0" collapsed="false">
      <c r="A864" s="55"/>
      <c r="B864" s="56"/>
      <c r="C864" s="56"/>
      <c r="D864" s="56"/>
      <c r="E864" s="57"/>
      <c r="F864" s="58"/>
      <c r="G864" s="59"/>
      <c r="H864" s="56"/>
      <c r="I864" s="56"/>
      <c r="J864" s="60" t="str">
        <f aca="false">IF(IsPro,IF($D864="","",IFERROR(INDEX(Items!$D$5:$D$504,U864),"")),"")</f>
        <v/>
      </c>
      <c r="K864" s="61" t="str">
        <f aca="false">IF(IsPro,IF($D864="","",IF($F864="",IFERROR(INDEX(Items!$H$5:$H$504,U864),0),$F864)),"")</f>
        <v/>
      </c>
      <c r="L864" s="61" t="str">
        <f aca="false">IF(IsPro,IF($D864="","",ROUND(N($E864)*K864*(1-N($G864)),2)),"")</f>
        <v/>
      </c>
      <c r="M864" s="62" t="str">
        <f aca="false">IF(IsPro,IF($D864="","",IFERROR(INDEX(Items!$F$5:$F$504,U864),0)),"")</f>
        <v/>
      </c>
      <c r="N864" s="61" t="str">
        <f aca="false">IF(IsPro,IF($D864="","",IF(AND(V864&lt;&gt;"",INDEX(Parties!$E$5:$E$304,V864)&lt;&gt;"",INDEX(Parties!$E$5:$E$304,V864)&lt;&gt;HomeState),0,ROUND(L864*M864/2,2))),"")</f>
        <v/>
      </c>
      <c r="O864" s="61" t="str">
        <f aca="false">IF(IsPro,IF($D864="","",N864),"")</f>
        <v/>
      </c>
      <c r="P864" s="61" t="str">
        <f aca="false">IF(IsPro,IF($D864="","",IF(AND(V864&lt;&gt;"",INDEX(Parties!$E$5:$E$304,V864)&lt;&gt;"",INDEX(Parties!$E$5:$E$304,V864)&lt;&gt;HomeState),ROUND(L864*M864,2),0)),"")</f>
        <v/>
      </c>
      <c r="Q864" s="61" t="str">
        <f aca="false">IF(IsPro,IF($D864="","",L864+N864+O864+P864),"")</f>
        <v/>
      </c>
      <c r="R864" s="61" t="str">
        <f aca="false">IF(IsPro,IF($D864="","",ROUND(N($E864)*IFERROR(INDEX(Items!$P$5:$P$504,U864),0),2)),"")</f>
        <v/>
      </c>
      <c r="S864" s="61" t="str">
        <f aca="false">IF(IsPro,IF($D864="","",L864-R864),"")</f>
        <v/>
      </c>
      <c r="T864" s="60" t="str">
        <f aca="false">IF(IsPro,IF($D864="","",IF(U864="","UNKNOWN ITEM",IF(INDEX(Items!$O$5:$O$504,U864)&lt;0,"NEG STOCK",IF(K864&lt;INDEX(Items!$P$5:$P$504,U864),"BELOW COST","OK")))),IF($D864="","","PRO PLAN"))</f>
        <v/>
      </c>
      <c r="U864" s="60" t="str">
        <f aca="false">IF(IsPro,IF($D864="","",IFERROR(MATCH($D864,Items!$A$5:$A$504,0),"")),"")</f>
        <v/>
      </c>
      <c r="V864" s="60" t="str">
        <f aca="false">IF(IsPro,IF($C864="","",IFERROR(MATCH($C864,Parties!$A$5:$A$304,0),"")),"")</f>
        <v/>
      </c>
      <c r="W864" s="60" t="str">
        <f aca="false">IF(IsPro,IF($B864="","",IFERROR(VALUE(SUBSTITUTE($B864,InvPrefix,"")),0)),"")</f>
        <v/>
      </c>
      <c r="X864" s="61" t="str">
        <f aca="false">IF(IsPro,IF($D864="","",IF(OR($H864="",$H864="Credit"),0,Q864)),"")</f>
        <v/>
      </c>
    </row>
    <row r="865" customFormat="false" ht="15" hidden="false" customHeight="false" outlineLevel="0" collapsed="false">
      <c r="A865" s="55"/>
      <c r="B865" s="56"/>
      <c r="C865" s="56"/>
      <c r="D865" s="56"/>
      <c r="E865" s="57"/>
      <c r="F865" s="58"/>
      <c r="G865" s="59"/>
      <c r="H865" s="56"/>
      <c r="I865" s="56"/>
      <c r="J865" s="60" t="str">
        <f aca="false">IF(IsPro,IF($D865="","",IFERROR(INDEX(Items!$D$5:$D$504,U865),"")),"")</f>
        <v/>
      </c>
      <c r="K865" s="61" t="str">
        <f aca="false">IF(IsPro,IF($D865="","",IF($F865="",IFERROR(INDEX(Items!$H$5:$H$504,U865),0),$F865)),"")</f>
        <v/>
      </c>
      <c r="L865" s="61" t="str">
        <f aca="false">IF(IsPro,IF($D865="","",ROUND(N($E865)*K865*(1-N($G865)),2)),"")</f>
        <v/>
      </c>
      <c r="M865" s="62" t="str">
        <f aca="false">IF(IsPro,IF($D865="","",IFERROR(INDEX(Items!$F$5:$F$504,U865),0)),"")</f>
        <v/>
      </c>
      <c r="N865" s="61" t="str">
        <f aca="false">IF(IsPro,IF($D865="","",IF(AND(V865&lt;&gt;"",INDEX(Parties!$E$5:$E$304,V865)&lt;&gt;"",INDEX(Parties!$E$5:$E$304,V865)&lt;&gt;HomeState),0,ROUND(L865*M865/2,2))),"")</f>
        <v/>
      </c>
      <c r="O865" s="61" t="str">
        <f aca="false">IF(IsPro,IF($D865="","",N865),"")</f>
        <v/>
      </c>
      <c r="P865" s="61" t="str">
        <f aca="false">IF(IsPro,IF($D865="","",IF(AND(V865&lt;&gt;"",INDEX(Parties!$E$5:$E$304,V865)&lt;&gt;"",INDEX(Parties!$E$5:$E$304,V865)&lt;&gt;HomeState),ROUND(L865*M865,2),0)),"")</f>
        <v/>
      </c>
      <c r="Q865" s="61" t="str">
        <f aca="false">IF(IsPro,IF($D865="","",L865+N865+O865+P865),"")</f>
        <v/>
      </c>
      <c r="R865" s="61" t="str">
        <f aca="false">IF(IsPro,IF($D865="","",ROUND(N($E865)*IFERROR(INDEX(Items!$P$5:$P$504,U865),0),2)),"")</f>
        <v/>
      </c>
      <c r="S865" s="61" t="str">
        <f aca="false">IF(IsPro,IF($D865="","",L865-R865),"")</f>
        <v/>
      </c>
      <c r="T865" s="60" t="str">
        <f aca="false">IF(IsPro,IF($D865="","",IF(U865="","UNKNOWN ITEM",IF(INDEX(Items!$O$5:$O$504,U865)&lt;0,"NEG STOCK",IF(K865&lt;INDEX(Items!$P$5:$P$504,U865),"BELOW COST","OK")))),IF($D865="","","PRO PLAN"))</f>
        <v/>
      </c>
      <c r="U865" s="60" t="str">
        <f aca="false">IF(IsPro,IF($D865="","",IFERROR(MATCH($D865,Items!$A$5:$A$504,0),"")),"")</f>
        <v/>
      </c>
      <c r="V865" s="60" t="str">
        <f aca="false">IF(IsPro,IF($C865="","",IFERROR(MATCH($C865,Parties!$A$5:$A$304,0),"")),"")</f>
        <v/>
      </c>
      <c r="W865" s="60" t="str">
        <f aca="false">IF(IsPro,IF($B865="","",IFERROR(VALUE(SUBSTITUTE($B865,InvPrefix,"")),0)),"")</f>
        <v/>
      </c>
      <c r="X865" s="61" t="str">
        <f aca="false">IF(IsPro,IF($D865="","",IF(OR($H865="",$H865="Credit"),0,Q865)),"")</f>
        <v/>
      </c>
    </row>
    <row r="866" customFormat="false" ht="15" hidden="false" customHeight="false" outlineLevel="0" collapsed="false">
      <c r="A866" s="55"/>
      <c r="B866" s="56"/>
      <c r="C866" s="56"/>
      <c r="D866" s="56"/>
      <c r="E866" s="57"/>
      <c r="F866" s="58"/>
      <c r="G866" s="59"/>
      <c r="H866" s="56"/>
      <c r="I866" s="56"/>
      <c r="J866" s="60" t="str">
        <f aca="false">IF(IsPro,IF($D866="","",IFERROR(INDEX(Items!$D$5:$D$504,U866),"")),"")</f>
        <v/>
      </c>
      <c r="K866" s="61" t="str">
        <f aca="false">IF(IsPro,IF($D866="","",IF($F866="",IFERROR(INDEX(Items!$H$5:$H$504,U866),0),$F866)),"")</f>
        <v/>
      </c>
      <c r="L866" s="61" t="str">
        <f aca="false">IF(IsPro,IF($D866="","",ROUND(N($E866)*K866*(1-N($G866)),2)),"")</f>
        <v/>
      </c>
      <c r="M866" s="62" t="str">
        <f aca="false">IF(IsPro,IF($D866="","",IFERROR(INDEX(Items!$F$5:$F$504,U866),0)),"")</f>
        <v/>
      </c>
      <c r="N866" s="61" t="str">
        <f aca="false">IF(IsPro,IF($D866="","",IF(AND(V866&lt;&gt;"",INDEX(Parties!$E$5:$E$304,V866)&lt;&gt;"",INDEX(Parties!$E$5:$E$304,V866)&lt;&gt;HomeState),0,ROUND(L866*M866/2,2))),"")</f>
        <v/>
      </c>
      <c r="O866" s="61" t="str">
        <f aca="false">IF(IsPro,IF($D866="","",N866),"")</f>
        <v/>
      </c>
      <c r="P866" s="61" t="str">
        <f aca="false">IF(IsPro,IF($D866="","",IF(AND(V866&lt;&gt;"",INDEX(Parties!$E$5:$E$304,V866)&lt;&gt;"",INDEX(Parties!$E$5:$E$304,V866)&lt;&gt;HomeState),ROUND(L866*M866,2),0)),"")</f>
        <v/>
      </c>
      <c r="Q866" s="61" t="str">
        <f aca="false">IF(IsPro,IF($D866="","",L866+N866+O866+P866),"")</f>
        <v/>
      </c>
      <c r="R866" s="61" t="str">
        <f aca="false">IF(IsPro,IF($D866="","",ROUND(N($E866)*IFERROR(INDEX(Items!$P$5:$P$504,U866),0),2)),"")</f>
        <v/>
      </c>
      <c r="S866" s="61" t="str">
        <f aca="false">IF(IsPro,IF($D866="","",L866-R866),"")</f>
        <v/>
      </c>
      <c r="T866" s="60" t="str">
        <f aca="false">IF(IsPro,IF($D866="","",IF(U866="","UNKNOWN ITEM",IF(INDEX(Items!$O$5:$O$504,U866)&lt;0,"NEG STOCK",IF(K866&lt;INDEX(Items!$P$5:$P$504,U866),"BELOW COST","OK")))),IF($D866="","","PRO PLAN"))</f>
        <v/>
      </c>
      <c r="U866" s="60" t="str">
        <f aca="false">IF(IsPro,IF($D866="","",IFERROR(MATCH($D866,Items!$A$5:$A$504,0),"")),"")</f>
        <v/>
      </c>
      <c r="V866" s="60" t="str">
        <f aca="false">IF(IsPro,IF($C866="","",IFERROR(MATCH($C866,Parties!$A$5:$A$304,0),"")),"")</f>
        <v/>
      </c>
      <c r="W866" s="60" t="str">
        <f aca="false">IF(IsPro,IF($B866="","",IFERROR(VALUE(SUBSTITUTE($B866,InvPrefix,"")),0)),"")</f>
        <v/>
      </c>
      <c r="X866" s="61" t="str">
        <f aca="false">IF(IsPro,IF($D866="","",IF(OR($H866="",$H866="Credit"),0,Q866)),"")</f>
        <v/>
      </c>
    </row>
    <row r="867" customFormat="false" ht="15" hidden="false" customHeight="false" outlineLevel="0" collapsed="false">
      <c r="A867" s="55"/>
      <c r="B867" s="56"/>
      <c r="C867" s="56"/>
      <c r="D867" s="56"/>
      <c r="E867" s="57"/>
      <c r="F867" s="58"/>
      <c r="G867" s="59"/>
      <c r="H867" s="56"/>
      <c r="I867" s="56"/>
      <c r="J867" s="60" t="str">
        <f aca="false">IF(IsPro,IF($D867="","",IFERROR(INDEX(Items!$D$5:$D$504,U867),"")),"")</f>
        <v/>
      </c>
      <c r="K867" s="61" t="str">
        <f aca="false">IF(IsPro,IF($D867="","",IF($F867="",IFERROR(INDEX(Items!$H$5:$H$504,U867),0),$F867)),"")</f>
        <v/>
      </c>
      <c r="L867" s="61" t="str">
        <f aca="false">IF(IsPro,IF($D867="","",ROUND(N($E867)*K867*(1-N($G867)),2)),"")</f>
        <v/>
      </c>
      <c r="M867" s="62" t="str">
        <f aca="false">IF(IsPro,IF($D867="","",IFERROR(INDEX(Items!$F$5:$F$504,U867),0)),"")</f>
        <v/>
      </c>
      <c r="N867" s="61" t="str">
        <f aca="false">IF(IsPro,IF($D867="","",IF(AND(V867&lt;&gt;"",INDEX(Parties!$E$5:$E$304,V867)&lt;&gt;"",INDEX(Parties!$E$5:$E$304,V867)&lt;&gt;HomeState),0,ROUND(L867*M867/2,2))),"")</f>
        <v/>
      </c>
      <c r="O867" s="61" t="str">
        <f aca="false">IF(IsPro,IF($D867="","",N867),"")</f>
        <v/>
      </c>
      <c r="P867" s="61" t="str">
        <f aca="false">IF(IsPro,IF($D867="","",IF(AND(V867&lt;&gt;"",INDEX(Parties!$E$5:$E$304,V867)&lt;&gt;"",INDEX(Parties!$E$5:$E$304,V867)&lt;&gt;HomeState),ROUND(L867*M867,2),0)),"")</f>
        <v/>
      </c>
      <c r="Q867" s="61" t="str">
        <f aca="false">IF(IsPro,IF($D867="","",L867+N867+O867+P867),"")</f>
        <v/>
      </c>
      <c r="R867" s="61" t="str">
        <f aca="false">IF(IsPro,IF($D867="","",ROUND(N($E867)*IFERROR(INDEX(Items!$P$5:$P$504,U867),0),2)),"")</f>
        <v/>
      </c>
      <c r="S867" s="61" t="str">
        <f aca="false">IF(IsPro,IF($D867="","",L867-R867),"")</f>
        <v/>
      </c>
      <c r="T867" s="60" t="str">
        <f aca="false">IF(IsPro,IF($D867="","",IF(U867="","UNKNOWN ITEM",IF(INDEX(Items!$O$5:$O$504,U867)&lt;0,"NEG STOCK",IF(K867&lt;INDEX(Items!$P$5:$P$504,U867),"BELOW COST","OK")))),IF($D867="","","PRO PLAN"))</f>
        <v/>
      </c>
      <c r="U867" s="60" t="str">
        <f aca="false">IF(IsPro,IF($D867="","",IFERROR(MATCH($D867,Items!$A$5:$A$504,0),"")),"")</f>
        <v/>
      </c>
      <c r="V867" s="60" t="str">
        <f aca="false">IF(IsPro,IF($C867="","",IFERROR(MATCH($C867,Parties!$A$5:$A$304,0),"")),"")</f>
        <v/>
      </c>
      <c r="W867" s="60" t="str">
        <f aca="false">IF(IsPro,IF($B867="","",IFERROR(VALUE(SUBSTITUTE($B867,InvPrefix,"")),0)),"")</f>
        <v/>
      </c>
      <c r="X867" s="61" t="str">
        <f aca="false">IF(IsPro,IF($D867="","",IF(OR($H867="",$H867="Credit"),0,Q867)),"")</f>
        <v/>
      </c>
    </row>
    <row r="868" customFormat="false" ht="15" hidden="false" customHeight="false" outlineLevel="0" collapsed="false">
      <c r="A868" s="55"/>
      <c r="B868" s="56"/>
      <c r="C868" s="56"/>
      <c r="D868" s="56"/>
      <c r="E868" s="57"/>
      <c r="F868" s="58"/>
      <c r="G868" s="59"/>
      <c r="H868" s="56"/>
      <c r="I868" s="56"/>
      <c r="J868" s="60" t="str">
        <f aca="false">IF(IsPro,IF($D868="","",IFERROR(INDEX(Items!$D$5:$D$504,U868),"")),"")</f>
        <v/>
      </c>
      <c r="K868" s="61" t="str">
        <f aca="false">IF(IsPro,IF($D868="","",IF($F868="",IFERROR(INDEX(Items!$H$5:$H$504,U868),0),$F868)),"")</f>
        <v/>
      </c>
      <c r="L868" s="61" t="str">
        <f aca="false">IF(IsPro,IF($D868="","",ROUND(N($E868)*K868*(1-N($G868)),2)),"")</f>
        <v/>
      </c>
      <c r="M868" s="62" t="str">
        <f aca="false">IF(IsPro,IF($D868="","",IFERROR(INDEX(Items!$F$5:$F$504,U868),0)),"")</f>
        <v/>
      </c>
      <c r="N868" s="61" t="str">
        <f aca="false">IF(IsPro,IF($D868="","",IF(AND(V868&lt;&gt;"",INDEX(Parties!$E$5:$E$304,V868)&lt;&gt;"",INDEX(Parties!$E$5:$E$304,V868)&lt;&gt;HomeState),0,ROUND(L868*M868/2,2))),"")</f>
        <v/>
      </c>
      <c r="O868" s="61" t="str">
        <f aca="false">IF(IsPro,IF($D868="","",N868),"")</f>
        <v/>
      </c>
      <c r="P868" s="61" t="str">
        <f aca="false">IF(IsPro,IF($D868="","",IF(AND(V868&lt;&gt;"",INDEX(Parties!$E$5:$E$304,V868)&lt;&gt;"",INDEX(Parties!$E$5:$E$304,V868)&lt;&gt;HomeState),ROUND(L868*M868,2),0)),"")</f>
        <v/>
      </c>
      <c r="Q868" s="61" t="str">
        <f aca="false">IF(IsPro,IF($D868="","",L868+N868+O868+P868),"")</f>
        <v/>
      </c>
      <c r="R868" s="61" t="str">
        <f aca="false">IF(IsPro,IF($D868="","",ROUND(N($E868)*IFERROR(INDEX(Items!$P$5:$P$504,U868),0),2)),"")</f>
        <v/>
      </c>
      <c r="S868" s="61" t="str">
        <f aca="false">IF(IsPro,IF($D868="","",L868-R868),"")</f>
        <v/>
      </c>
      <c r="T868" s="60" t="str">
        <f aca="false">IF(IsPro,IF($D868="","",IF(U868="","UNKNOWN ITEM",IF(INDEX(Items!$O$5:$O$504,U868)&lt;0,"NEG STOCK",IF(K868&lt;INDEX(Items!$P$5:$P$504,U868),"BELOW COST","OK")))),IF($D868="","","PRO PLAN"))</f>
        <v/>
      </c>
      <c r="U868" s="60" t="str">
        <f aca="false">IF(IsPro,IF($D868="","",IFERROR(MATCH($D868,Items!$A$5:$A$504,0),"")),"")</f>
        <v/>
      </c>
      <c r="V868" s="60" t="str">
        <f aca="false">IF(IsPro,IF($C868="","",IFERROR(MATCH($C868,Parties!$A$5:$A$304,0),"")),"")</f>
        <v/>
      </c>
      <c r="W868" s="60" t="str">
        <f aca="false">IF(IsPro,IF($B868="","",IFERROR(VALUE(SUBSTITUTE($B868,InvPrefix,"")),0)),"")</f>
        <v/>
      </c>
      <c r="X868" s="61" t="str">
        <f aca="false">IF(IsPro,IF($D868="","",IF(OR($H868="",$H868="Credit"),0,Q868)),"")</f>
        <v/>
      </c>
    </row>
    <row r="869" customFormat="false" ht="15" hidden="false" customHeight="false" outlineLevel="0" collapsed="false">
      <c r="A869" s="55"/>
      <c r="B869" s="56"/>
      <c r="C869" s="56"/>
      <c r="D869" s="56"/>
      <c r="E869" s="57"/>
      <c r="F869" s="58"/>
      <c r="G869" s="59"/>
      <c r="H869" s="56"/>
      <c r="I869" s="56"/>
      <c r="J869" s="60" t="str">
        <f aca="false">IF(IsPro,IF($D869="","",IFERROR(INDEX(Items!$D$5:$D$504,U869),"")),"")</f>
        <v/>
      </c>
      <c r="K869" s="61" t="str">
        <f aca="false">IF(IsPro,IF($D869="","",IF($F869="",IFERROR(INDEX(Items!$H$5:$H$504,U869),0),$F869)),"")</f>
        <v/>
      </c>
      <c r="L869" s="61" t="str">
        <f aca="false">IF(IsPro,IF($D869="","",ROUND(N($E869)*K869*(1-N($G869)),2)),"")</f>
        <v/>
      </c>
      <c r="M869" s="62" t="str">
        <f aca="false">IF(IsPro,IF($D869="","",IFERROR(INDEX(Items!$F$5:$F$504,U869),0)),"")</f>
        <v/>
      </c>
      <c r="N869" s="61" t="str">
        <f aca="false">IF(IsPro,IF($D869="","",IF(AND(V869&lt;&gt;"",INDEX(Parties!$E$5:$E$304,V869)&lt;&gt;"",INDEX(Parties!$E$5:$E$304,V869)&lt;&gt;HomeState),0,ROUND(L869*M869/2,2))),"")</f>
        <v/>
      </c>
      <c r="O869" s="61" t="str">
        <f aca="false">IF(IsPro,IF($D869="","",N869),"")</f>
        <v/>
      </c>
      <c r="P869" s="61" t="str">
        <f aca="false">IF(IsPro,IF($D869="","",IF(AND(V869&lt;&gt;"",INDEX(Parties!$E$5:$E$304,V869)&lt;&gt;"",INDEX(Parties!$E$5:$E$304,V869)&lt;&gt;HomeState),ROUND(L869*M869,2),0)),"")</f>
        <v/>
      </c>
      <c r="Q869" s="61" t="str">
        <f aca="false">IF(IsPro,IF($D869="","",L869+N869+O869+P869),"")</f>
        <v/>
      </c>
      <c r="R869" s="61" t="str">
        <f aca="false">IF(IsPro,IF($D869="","",ROUND(N($E869)*IFERROR(INDEX(Items!$P$5:$P$504,U869),0),2)),"")</f>
        <v/>
      </c>
      <c r="S869" s="61" t="str">
        <f aca="false">IF(IsPro,IF($D869="","",L869-R869),"")</f>
        <v/>
      </c>
      <c r="T869" s="60" t="str">
        <f aca="false">IF(IsPro,IF($D869="","",IF(U869="","UNKNOWN ITEM",IF(INDEX(Items!$O$5:$O$504,U869)&lt;0,"NEG STOCK",IF(K869&lt;INDEX(Items!$P$5:$P$504,U869),"BELOW COST","OK")))),IF($D869="","","PRO PLAN"))</f>
        <v/>
      </c>
      <c r="U869" s="60" t="str">
        <f aca="false">IF(IsPro,IF($D869="","",IFERROR(MATCH($D869,Items!$A$5:$A$504,0),"")),"")</f>
        <v/>
      </c>
      <c r="V869" s="60" t="str">
        <f aca="false">IF(IsPro,IF($C869="","",IFERROR(MATCH($C869,Parties!$A$5:$A$304,0),"")),"")</f>
        <v/>
      </c>
      <c r="W869" s="60" t="str">
        <f aca="false">IF(IsPro,IF($B869="","",IFERROR(VALUE(SUBSTITUTE($B869,InvPrefix,"")),0)),"")</f>
        <v/>
      </c>
      <c r="X869" s="61" t="str">
        <f aca="false">IF(IsPro,IF($D869="","",IF(OR($H869="",$H869="Credit"),0,Q869)),"")</f>
        <v/>
      </c>
    </row>
    <row r="870" customFormat="false" ht="15" hidden="false" customHeight="false" outlineLevel="0" collapsed="false">
      <c r="A870" s="55"/>
      <c r="B870" s="56"/>
      <c r="C870" s="56"/>
      <c r="D870" s="56"/>
      <c r="E870" s="57"/>
      <c r="F870" s="58"/>
      <c r="G870" s="59"/>
      <c r="H870" s="56"/>
      <c r="I870" s="56"/>
      <c r="J870" s="60" t="str">
        <f aca="false">IF(IsPro,IF($D870="","",IFERROR(INDEX(Items!$D$5:$D$504,U870),"")),"")</f>
        <v/>
      </c>
      <c r="K870" s="61" t="str">
        <f aca="false">IF(IsPro,IF($D870="","",IF($F870="",IFERROR(INDEX(Items!$H$5:$H$504,U870),0),$F870)),"")</f>
        <v/>
      </c>
      <c r="L870" s="61" t="str">
        <f aca="false">IF(IsPro,IF($D870="","",ROUND(N($E870)*K870*(1-N($G870)),2)),"")</f>
        <v/>
      </c>
      <c r="M870" s="62" t="str">
        <f aca="false">IF(IsPro,IF($D870="","",IFERROR(INDEX(Items!$F$5:$F$504,U870),0)),"")</f>
        <v/>
      </c>
      <c r="N870" s="61" t="str">
        <f aca="false">IF(IsPro,IF($D870="","",IF(AND(V870&lt;&gt;"",INDEX(Parties!$E$5:$E$304,V870)&lt;&gt;"",INDEX(Parties!$E$5:$E$304,V870)&lt;&gt;HomeState),0,ROUND(L870*M870/2,2))),"")</f>
        <v/>
      </c>
      <c r="O870" s="61" t="str">
        <f aca="false">IF(IsPro,IF($D870="","",N870),"")</f>
        <v/>
      </c>
      <c r="P870" s="61" t="str">
        <f aca="false">IF(IsPro,IF($D870="","",IF(AND(V870&lt;&gt;"",INDEX(Parties!$E$5:$E$304,V870)&lt;&gt;"",INDEX(Parties!$E$5:$E$304,V870)&lt;&gt;HomeState),ROUND(L870*M870,2),0)),"")</f>
        <v/>
      </c>
      <c r="Q870" s="61" t="str">
        <f aca="false">IF(IsPro,IF($D870="","",L870+N870+O870+P870),"")</f>
        <v/>
      </c>
      <c r="R870" s="61" t="str">
        <f aca="false">IF(IsPro,IF($D870="","",ROUND(N($E870)*IFERROR(INDEX(Items!$P$5:$P$504,U870),0),2)),"")</f>
        <v/>
      </c>
      <c r="S870" s="61" t="str">
        <f aca="false">IF(IsPro,IF($D870="","",L870-R870),"")</f>
        <v/>
      </c>
      <c r="T870" s="60" t="str">
        <f aca="false">IF(IsPro,IF($D870="","",IF(U870="","UNKNOWN ITEM",IF(INDEX(Items!$O$5:$O$504,U870)&lt;0,"NEG STOCK",IF(K870&lt;INDEX(Items!$P$5:$P$504,U870),"BELOW COST","OK")))),IF($D870="","","PRO PLAN"))</f>
        <v/>
      </c>
      <c r="U870" s="60" t="str">
        <f aca="false">IF(IsPro,IF($D870="","",IFERROR(MATCH($D870,Items!$A$5:$A$504,0),"")),"")</f>
        <v/>
      </c>
      <c r="V870" s="60" t="str">
        <f aca="false">IF(IsPro,IF($C870="","",IFERROR(MATCH($C870,Parties!$A$5:$A$304,0),"")),"")</f>
        <v/>
      </c>
      <c r="W870" s="60" t="str">
        <f aca="false">IF(IsPro,IF($B870="","",IFERROR(VALUE(SUBSTITUTE($B870,InvPrefix,"")),0)),"")</f>
        <v/>
      </c>
      <c r="X870" s="61" t="str">
        <f aca="false">IF(IsPro,IF($D870="","",IF(OR($H870="",$H870="Credit"),0,Q870)),"")</f>
        <v/>
      </c>
    </row>
    <row r="871" customFormat="false" ht="15" hidden="false" customHeight="false" outlineLevel="0" collapsed="false">
      <c r="A871" s="55"/>
      <c r="B871" s="56"/>
      <c r="C871" s="56"/>
      <c r="D871" s="56"/>
      <c r="E871" s="57"/>
      <c r="F871" s="58"/>
      <c r="G871" s="59"/>
      <c r="H871" s="56"/>
      <c r="I871" s="56"/>
      <c r="J871" s="60" t="str">
        <f aca="false">IF(IsPro,IF($D871="","",IFERROR(INDEX(Items!$D$5:$D$504,U871),"")),"")</f>
        <v/>
      </c>
      <c r="K871" s="61" t="str">
        <f aca="false">IF(IsPro,IF($D871="","",IF($F871="",IFERROR(INDEX(Items!$H$5:$H$504,U871),0),$F871)),"")</f>
        <v/>
      </c>
      <c r="L871" s="61" t="str">
        <f aca="false">IF(IsPro,IF($D871="","",ROUND(N($E871)*K871*(1-N($G871)),2)),"")</f>
        <v/>
      </c>
      <c r="M871" s="62" t="str">
        <f aca="false">IF(IsPro,IF($D871="","",IFERROR(INDEX(Items!$F$5:$F$504,U871),0)),"")</f>
        <v/>
      </c>
      <c r="N871" s="61" t="str">
        <f aca="false">IF(IsPro,IF($D871="","",IF(AND(V871&lt;&gt;"",INDEX(Parties!$E$5:$E$304,V871)&lt;&gt;"",INDEX(Parties!$E$5:$E$304,V871)&lt;&gt;HomeState),0,ROUND(L871*M871/2,2))),"")</f>
        <v/>
      </c>
      <c r="O871" s="61" t="str">
        <f aca="false">IF(IsPro,IF($D871="","",N871),"")</f>
        <v/>
      </c>
      <c r="P871" s="61" t="str">
        <f aca="false">IF(IsPro,IF($D871="","",IF(AND(V871&lt;&gt;"",INDEX(Parties!$E$5:$E$304,V871)&lt;&gt;"",INDEX(Parties!$E$5:$E$304,V871)&lt;&gt;HomeState),ROUND(L871*M871,2),0)),"")</f>
        <v/>
      </c>
      <c r="Q871" s="61" t="str">
        <f aca="false">IF(IsPro,IF($D871="","",L871+N871+O871+P871),"")</f>
        <v/>
      </c>
      <c r="R871" s="61" t="str">
        <f aca="false">IF(IsPro,IF($D871="","",ROUND(N($E871)*IFERROR(INDEX(Items!$P$5:$P$504,U871),0),2)),"")</f>
        <v/>
      </c>
      <c r="S871" s="61" t="str">
        <f aca="false">IF(IsPro,IF($D871="","",L871-R871),"")</f>
        <v/>
      </c>
      <c r="T871" s="60" t="str">
        <f aca="false">IF(IsPro,IF($D871="","",IF(U871="","UNKNOWN ITEM",IF(INDEX(Items!$O$5:$O$504,U871)&lt;0,"NEG STOCK",IF(K871&lt;INDEX(Items!$P$5:$P$504,U871),"BELOW COST","OK")))),IF($D871="","","PRO PLAN"))</f>
        <v/>
      </c>
      <c r="U871" s="60" t="str">
        <f aca="false">IF(IsPro,IF($D871="","",IFERROR(MATCH($D871,Items!$A$5:$A$504,0),"")),"")</f>
        <v/>
      </c>
      <c r="V871" s="60" t="str">
        <f aca="false">IF(IsPro,IF($C871="","",IFERROR(MATCH($C871,Parties!$A$5:$A$304,0),"")),"")</f>
        <v/>
      </c>
      <c r="W871" s="60" t="str">
        <f aca="false">IF(IsPro,IF($B871="","",IFERROR(VALUE(SUBSTITUTE($B871,InvPrefix,"")),0)),"")</f>
        <v/>
      </c>
      <c r="X871" s="61" t="str">
        <f aca="false">IF(IsPro,IF($D871="","",IF(OR($H871="",$H871="Credit"),0,Q871)),"")</f>
        <v/>
      </c>
    </row>
    <row r="872" customFormat="false" ht="15" hidden="false" customHeight="false" outlineLevel="0" collapsed="false">
      <c r="A872" s="55"/>
      <c r="B872" s="56"/>
      <c r="C872" s="56"/>
      <c r="D872" s="56"/>
      <c r="E872" s="57"/>
      <c r="F872" s="58"/>
      <c r="G872" s="59"/>
      <c r="H872" s="56"/>
      <c r="I872" s="56"/>
      <c r="J872" s="60" t="str">
        <f aca="false">IF(IsPro,IF($D872="","",IFERROR(INDEX(Items!$D$5:$D$504,U872),"")),"")</f>
        <v/>
      </c>
      <c r="K872" s="61" t="str">
        <f aca="false">IF(IsPro,IF($D872="","",IF($F872="",IFERROR(INDEX(Items!$H$5:$H$504,U872),0),$F872)),"")</f>
        <v/>
      </c>
      <c r="L872" s="61" t="str">
        <f aca="false">IF(IsPro,IF($D872="","",ROUND(N($E872)*K872*(1-N($G872)),2)),"")</f>
        <v/>
      </c>
      <c r="M872" s="62" t="str">
        <f aca="false">IF(IsPro,IF($D872="","",IFERROR(INDEX(Items!$F$5:$F$504,U872),0)),"")</f>
        <v/>
      </c>
      <c r="N872" s="61" t="str">
        <f aca="false">IF(IsPro,IF($D872="","",IF(AND(V872&lt;&gt;"",INDEX(Parties!$E$5:$E$304,V872)&lt;&gt;"",INDEX(Parties!$E$5:$E$304,V872)&lt;&gt;HomeState),0,ROUND(L872*M872/2,2))),"")</f>
        <v/>
      </c>
      <c r="O872" s="61" t="str">
        <f aca="false">IF(IsPro,IF($D872="","",N872),"")</f>
        <v/>
      </c>
      <c r="P872" s="61" t="str">
        <f aca="false">IF(IsPro,IF($D872="","",IF(AND(V872&lt;&gt;"",INDEX(Parties!$E$5:$E$304,V872)&lt;&gt;"",INDEX(Parties!$E$5:$E$304,V872)&lt;&gt;HomeState),ROUND(L872*M872,2),0)),"")</f>
        <v/>
      </c>
      <c r="Q872" s="61" t="str">
        <f aca="false">IF(IsPro,IF($D872="","",L872+N872+O872+P872),"")</f>
        <v/>
      </c>
      <c r="R872" s="61" t="str">
        <f aca="false">IF(IsPro,IF($D872="","",ROUND(N($E872)*IFERROR(INDEX(Items!$P$5:$P$504,U872),0),2)),"")</f>
        <v/>
      </c>
      <c r="S872" s="61" t="str">
        <f aca="false">IF(IsPro,IF($D872="","",L872-R872),"")</f>
        <v/>
      </c>
      <c r="T872" s="60" t="str">
        <f aca="false">IF(IsPro,IF($D872="","",IF(U872="","UNKNOWN ITEM",IF(INDEX(Items!$O$5:$O$504,U872)&lt;0,"NEG STOCK",IF(K872&lt;INDEX(Items!$P$5:$P$504,U872),"BELOW COST","OK")))),IF($D872="","","PRO PLAN"))</f>
        <v/>
      </c>
      <c r="U872" s="60" t="str">
        <f aca="false">IF(IsPro,IF($D872="","",IFERROR(MATCH($D872,Items!$A$5:$A$504,0),"")),"")</f>
        <v/>
      </c>
      <c r="V872" s="60" t="str">
        <f aca="false">IF(IsPro,IF($C872="","",IFERROR(MATCH($C872,Parties!$A$5:$A$304,0),"")),"")</f>
        <v/>
      </c>
      <c r="W872" s="60" t="str">
        <f aca="false">IF(IsPro,IF($B872="","",IFERROR(VALUE(SUBSTITUTE($B872,InvPrefix,"")),0)),"")</f>
        <v/>
      </c>
      <c r="X872" s="61" t="str">
        <f aca="false">IF(IsPro,IF($D872="","",IF(OR($H872="",$H872="Credit"),0,Q872)),"")</f>
        <v/>
      </c>
    </row>
    <row r="873" customFormat="false" ht="15" hidden="false" customHeight="false" outlineLevel="0" collapsed="false">
      <c r="A873" s="55"/>
      <c r="B873" s="56"/>
      <c r="C873" s="56"/>
      <c r="D873" s="56"/>
      <c r="E873" s="57"/>
      <c r="F873" s="58"/>
      <c r="G873" s="59"/>
      <c r="H873" s="56"/>
      <c r="I873" s="56"/>
      <c r="J873" s="60" t="str">
        <f aca="false">IF(IsPro,IF($D873="","",IFERROR(INDEX(Items!$D$5:$D$504,U873),"")),"")</f>
        <v/>
      </c>
      <c r="K873" s="61" t="str">
        <f aca="false">IF(IsPro,IF($D873="","",IF($F873="",IFERROR(INDEX(Items!$H$5:$H$504,U873),0),$F873)),"")</f>
        <v/>
      </c>
      <c r="L873" s="61" t="str">
        <f aca="false">IF(IsPro,IF($D873="","",ROUND(N($E873)*K873*(1-N($G873)),2)),"")</f>
        <v/>
      </c>
      <c r="M873" s="62" t="str">
        <f aca="false">IF(IsPro,IF($D873="","",IFERROR(INDEX(Items!$F$5:$F$504,U873),0)),"")</f>
        <v/>
      </c>
      <c r="N873" s="61" t="str">
        <f aca="false">IF(IsPro,IF($D873="","",IF(AND(V873&lt;&gt;"",INDEX(Parties!$E$5:$E$304,V873)&lt;&gt;"",INDEX(Parties!$E$5:$E$304,V873)&lt;&gt;HomeState),0,ROUND(L873*M873/2,2))),"")</f>
        <v/>
      </c>
      <c r="O873" s="61" t="str">
        <f aca="false">IF(IsPro,IF($D873="","",N873),"")</f>
        <v/>
      </c>
      <c r="P873" s="61" t="str">
        <f aca="false">IF(IsPro,IF($D873="","",IF(AND(V873&lt;&gt;"",INDEX(Parties!$E$5:$E$304,V873)&lt;&gt;"",INDEX(Parties!$E$5:$E$304,V873)&lt;&gt;HomeState),ROUND(L873*M873,2),0)),"")</f>
        <v/>
      </c>
      <c r="Q873" s="61" t="str">
        <f aca="false">IF(IsPro,IF($D873="","",L873+N873+O873+P873),"")</f>
        <v/>
      </c>
      <c r="R873" s="61" t="str">
        <f aca="false">IF(IsPro,IF($D873="","",ROUND(N($E873)*IFERROR(INDEX(Items!$P$5:$P$504,U873),0),2)),"")</f>
        <v/>
      </c>
      <c r="S873" s="61" t="str">
        <f aca="false">IF(IsPro,IF($D873="","",L873-R873),"")</f>
        <v/>
      </c>
      <c r="T873" s="60" t="str">
        <f aca="false">IF(IsPro,IF($D873="","",IF(U873="","UNKNOWN ITEM",IF(INDEX(Items!$O$5:$O$504,U873)&lt;0,"NEG STOCK",IF(K873&lt;INDEX(Items!$P$5:$P$504,U873),"BELOW COST","OK")))),IF($D873="","","PRO PLAN"))</f>
        <v/>
      </c>
      <c r="U873" s="60" t="str">
        <f aca="false">IF(IsPro,IF($D873="","",IFERROR(MATCH($D873,Items!$A$5:$A$504,0),"")),"")</f>
        <v/>
      </c>
      <c r="V873" s="60" t="str">
        <f aca="false">IF(IsPro,IF($C873="","",IFERROR(MATCH($C873,Parties!$A$5:$A$304,0),"")),"")</f>
        <v/>
      </c>
      <c r="W873" s="60" t="str">
        <f aca="false">IF(IsPro,IF($B873="","",IFERROR(VALUE(SUBSTITUTE($B873,InvPrefix,"")),0)),"")</f>
        <v/>
      </c>
      <c r="X873" s="61" t="str">
        <f aca="false">IF(IsPro,IF($D873="","",IF(OR($H873="",$H873="Credit"),0,Q873)),"")</f>
        <v/>
      </c>
    </row>
    <row r="874" customFormat="false" ht="15" hidden="false" customHeight="false" outlineLevel="0" collapsed="false">
      <c r="A874" s="55"/>
      <c r="B874" s="56"/>
      <c r="C874" s="56"/>
      <c r="D874" s="56"/>
      <c r="E874" s="57"/>
      <c r="F874" s="58"/>
      <c r="G874" s="59"/>
      <c r="H874" s="56"/>
      <c r="I874" s="56"/>
      <c r="J874" s="60" t="str">
        <f aca="false">IF(IsPro,IF($D874="","",IFERROR(INDEX(Items!$D$5:$D$504,U874),"")),"")</f>
        <v/>
      </c>
      <c r="K874" s="61" t="str">
        <f aca="false">IF(IsPro,IF($D874="","",IF($F874="",IFERROR(INDEX(Items!$H$5:$H$504,U874),0),$F874)),"")</f>
        <v/>
      </c>
      <c r="L874" s="61" t="str">
        <f aca="false">IF(IsPro,IF($D874="","",ROUND(N($E874)*K874*(1-N($G874)),2)),"")</f>
        <v/>
      </c>
      <c r="M874" s="62" t="str">
        <f aca="false">IF(IsPro,IF($D874="","",IFERROR(INDEX(Items!$F$5:$F$504,U874),0)),"")</f>
        <v/>
      </c>
      <c r="N874" s="61" t="str">
        <f aca="false">IF(IsPro,IF($D874="","",IF(AND(V874&lt;&gt;"",INDEX(Parties!$E$5:$E$304,V874)&lt;&gt;"",INDEX(Parties!$E$5:$E$304,V874)&lt;&gt;HomeState),0,ROUND(L874*M874/2,2))),"")</f>
        <v/>
      </c>
      <c r="O874" s="61" t="str">
        <f aca="false">IF(IsPro,IF($D874="","",N874),"")</f>
        <v/>
      </c>
      <c r="P874" s="61" t="str">
        <f aca="false">IF(IsPro,IF($D874="","",IF(AND(V874&lt;&gt;"",INDEX(Parties!$E$5:$E$304,V874)&lt;&gt;"",INDEX(Parties!$E$5:$E$304,V874)&lt;&gt;HomeState),ROUND(L874*M874,2),0)),"")</f>
        <v/>
      </c>
      <c r="Q874" s="61" t="str">
        <f aca="false">IF(IsPro,IF($D874="","",L874+N874+O874+P874),"")</f>
        <v/>
      </c>
      <c r="R874" s="61" t="str">
        <f aca="false">IF(IsPro,IF($D874="","",ROUND(N($E874)*IFERROR(INDEX(Items!$P$5:$P$504,U874),0),2)),"")</f>
        <v/>
      </c>
      <c r="S874" s="61" t="str">
        <f aca="false">IF(IsPro,IF($D874="","",L874-R874),"")</f>
        <v/>
      </c>
      <c r="T874" s="60" t="str">
        <f aca="false">IF(IsPro,IF($D874="","",IF(U874="","UNKNOWN ITEM",IF(INDEX(Items!$O$5:$O$504,U874)&lt;0,"NEG STOCK",IF(K874&lt;INDEX(Items!$P$5:$P$504,U874),"BELOW COST","OK")))),IF($D874="","","PRO PLAN"))</f>
        <v/>
      </c>
      <c r="U874" s="60" t="str">
        <f aca="false">IF(IsPro,IF($D874="","",IFERROR(MATCH($D874,Items!$A$5:$A$504,0),"")),"")</f>
        <v/>
      </c>
      <c r="V874" s="60" t="str">
        <f aca="false">IF(IsPro,IF($C874="","",IFERROR(MATCH($C874,Parties!$A$5:$A$304,0),"")),"")</f>
        <v/>
      </c>
      <c r="W874" s="60" t="str">
        <f aca="false">IF(IsPro,IF($B874="","",IFERROR(VALUE(SUBSTITUTE($B874,InvPrefix,"")),0)),"")</f>
        <v/>
      </c>
      <c r="X874" s="61" t="str">
        <f aca="false">IF(IsPro,IF($D874="","",IF(OR($H874="",$H874="Credit"),0,Q874)),"")</f>
        <v/>
      </c>
    </row>
    <row r="875" customFormat="false" ht="15" hidden="false" customHeight="false" outlineLevel="0" collapsed="false">
      <c r="A875" s="55"/>
      <c r="B875" s="56"/>
      <c r="C875" s="56"/>
      <c r="D875" s="56"/>
      <c r="E875" s="57"/>
      <c r="F875" s="58"/>
      <c r="G875" s="59"/>
      <c r="H875" s="56"/>
      <c r="I875" s="56"/>
      <c r="J875" s="60" t="str">
        <f aca="false">IF(IsPro,IF($D875="","",IFERROR(INDEX(Items!$D$5:$D$504,U875),"")),"")</f>
        <v/>
      </c>
      <c r="K875" s="61" t="str">
        <f aca="false">IF(IsPro,IF($D875="","",IF($F875="",IFERROR(INDEX(Items!$H$5:$H$504,U875),0),$F875)),"")</f>
        <v/>
      </c>
      <c r="L875" s="61" t="str">
        <f aca="false">IF(IsPro,IF($D875="","",ROUND(N($E875)*K875*(1-N($G875)),2)),"")</f>
        <v/>
      </c>
      <c r="M875" s="62" t="str">
        <f aca="false">IF(IsPro,IF($D875="","",IFERROR(INDEX(Items!$F$5:$F$504,U875),0)),"")</f>
        <v/>
      </c>
      <c r="N875" s="61" t="str">
        <f aca="false">IF(IsPro,IF($D875="","",IF(AND(V875&lt;&gt;"",INDEX(Parties!$E$5:$E$304,V875)&lt;&gt;"",INDEX(Parties!$E$5:$E$304,V875)&lt;&gt;HomeState),0,ROUND(L875*M875/2,2))),"")</f>
        <v/>
      </c>
      <c r="O875" s="61" t="str">
        <f aca="false">IF(IsPro,IF($D875="","",N875),"")</f>
        <v/>
      </c>
      <c r="P875" s="61" t="str">
        <f aca="false">IF(IsPro,IF($D875="","",IF(AND(V875&lt;&gt;"",INDEX(Parties!$E$5:$E$304,V875)&lt;&gt;"",INDEX(Parties!$E$5:$E$304,V875)&lt;&gt;HomeState),ROUND(L875*M875,2),0)),"")</f>
        <v/>
      </c>
      <c r="Q875" s="61" t="str">
        <f aca="false">IF(IsPro,IF($D875="","",L875+N875+O875+P875),"")</f>
        <v/>
      </c>
      <c r="R875" s="61" t="str">
        <f aca="false">IF(IsPro,IF($D875="","",ROUND(N($E875)*IFERROR(INDEX(Items!$P$5:$P$504,U875),0),2)),"")</f>
        <v/>
      </c>
      <c r="S875" s="61" t="str">
        <f aca="false">IF(IsPro,IF($D875="","",L875-R875),"")</f>
        <v/>
      </c>
      <c r="T875" s="60" t="str">
        <f aca="false">IF(IsPro,IF($D875="","",IF(U875="","UNKNOWN ITEM",IF(INDEX(Items!$O$5:$O$504,U875)&lt;0,"NEG STOCK",IF(K875&lt;INDEX(Items!$P$5:$P$504,U875),"BELOW COST","OK")))),IF($D875="","","PRO PLAN"))</f>
        <v/>
      </c>
      <c r="U875" s="60" t="str">
        <f aca="false">IF(IsPro,IF($D875="","",IFERROR(MATCH($D875,Items!$A$5:$A$504,0),"")),"")</f>
        <v/>
      </c>
      <c r="V875" s="60" t="str">
        <f aca="false">IF(IsPro,IF($C875="","",IFERROR(MATCH($C875,Parties!$A$5:$A$304,0),"")),"")</f>
        <v/>
      </c>
      <c r="W875" s="60" t="str">
        <f aca="false">IF(IsPro,IF($B875="","",IFERROR(VALUE(SUBSTITUTE($B875,InvPrefix,"")),0)),"")</f>
        <v/>
      </c>
      <c r="X875" s="61" t="str">
        <f aca="false">IF(IsPro,IF($D875="","",IF(OR($H875="",$H875="Credit"),0,Q875)),"")</f>
        <v/>
      </c>
    </row>
    <row r="876" customFormat="false" ht="15" hidden="false" customHeight="false" outlineLevel="0" collapsed="false">
      <c r="A876" s="55"/>
      <c r="B876" s="56"/>
      <c r="C876" s="56"/>
      <c r="D876" s="56"/>
      <c r="E876" s="57"/>
      <c r="F876" s="58"/>
      <c r="G876" s="59"/>
      <c r="H876" s="56"/>
      <c r="I876" s="56"/>
      <c r="J876" s="60" t="str">
        <f aca="false">IF(IsPro,IF($D876="","",IFERROR(INDEX(Items!$D$5:$D$504,U876),"")),"")</f>
        <v/>
      </c>
      <c r="K876" s="61" t="str">
        <f aca="false">IF(IsPro,IF($D876="","",IF($F876="",IFERROR(INDEX(Items!$H$5:$H$504,U876),0),$F876)),"")</f>
        <v/>
      </c>
      <c r="L876" s="61" t="str">
        <f aca="false">IF(IsPro,IF($D876="","",ROUND(N($E876)*K876*(1-N($G876)),2)),"")</f>
        <v/>
      </c>
      <c r="M876" s="62" t="str">
        <f aca="false">IF(IsPro,IF($D876="","",IFERROR(INDEX(Items!$F$5:$F$504,U876),0)),"")</f>
        <v/>
      </c>
      <c r="N876" s="61" t="str">
        <f aca="false">IF(IsPro,IF($D876="","",IF(AND(V876&lt;&gt;"",INDEX(Parties!$E$5:$E$304,V876)&lt;&gt;"",INDEX(Parties!$E$5:$E$304,V876)&lt;&gt;HomeState),0,ROUND(L876*M876/2,2))),"")</f>
        <v/>
      </c>
      <c r="O876" s="61" t="str">
        <f aca="false">IF(IsPro,IF($D876="","",N876),"")</f>
        <v/>
      </c>
      <c r="P876" s="61" t="str">
        <f aca="false">IF(IsPro,IF($D876="","",IF(AND(V876&lt;&gt;"",INDEX(Parties!$E$5:$E$304,V876)&lt;&gt;"",INDEX(Parties!$E$5:$E$304,V876)&lt;&gt;HomeState),ROUND(L876*M876,2),0)),"")</f>
        <v/>
      </c>
      <c r="Q876" s="61" t="str">
        <f aca="false">IF(IsPro,IF($D876="","",L876+N876+O876+P876),"")</f>
        <v/>
      </c>
      <c r="R876" s="61" t="str">
        <f aca="false">IF(IsPro,IF($D876="","",ROUND(N($E876)*IFERROR(INDEX(Items!$P$5:$P$504,U876),0),2)),"")</f>
        <v/>
      </c>
      <c r="S876" s="61" t="str">
        <f aca="false">IF(IsPro,IF($D876="","",L876-R876),"")</f>
        <v/>
      </c>
      <c r="T876" s="60" t="str">
        <f aca="false">IF(IsPro,IF($D876="","",IF(U876="","UNKNOWN ITEM",IF(INDEX(Items!$O$5:$O$504,U876)&lt;0,"NEG STOCK",IF(K876&lt;INDEX(Items!$P$5:$P$504,U876),"BELOW COST","OK")))),IF($D876="","","PRO PLAN"))</f>
        <v/>
      </c>
      <c r="U876" s="60" t="str">
        <f aca="false">IF(IsPro,IF($D876="","",IFERROR(MATCH($D876,Items!$A$5:$A$504,0),"")),"")</f>
        <v/>
      </c>
      <c r="V876" s="60" t="str">
        <f aca="false">IF(IsPro,IF($C876="","",IFERROR(MATCH($C876,Parties!$A$5:$A$304,0),"")),"")</f>
        <v/>
      </c>
      <c r="W876" s="60" t="str">
        <f aca="false">IF(IsPro,IF($B876="","",IFERROR(VALUE(SUBSTITUTE($B876,InvPrefix,"")),0)),"")</f>
        <v/>
      </c>
      <c r="X876" s="61" t="str">
        <f aca="false">IF(IsPro,IF($D876="","",IF(OR($H876="",$H876="Credit"),0,Q876)),"")</f>
        <v/>
      </c>
    </row>
    <row r="877" customFormat="false" ht="15" hidden="false" customHeight="false" outlineLevel="0" collapsed="false">
      <c r="A877" s="55"/>
      <c r="B877" s="56"/>
      <c r="C877" s="56"/>
      <c r="D877" s="56"/>
      <c r="E877" s="57"/>
      <c r="F877" s="58"/>
      <c r="G877" s="59"/>
      <c r="H877" s="56"/>
      <c r="I877" s="56"/>
      <c r="J877" s="60" t="str">
        <f aca="false">IF(IsPro,IF($D877="","",IFERROR(INDEX(Items!$D$5:$D$504,U877),"")),"")</f>
        <v/>
      </c>
      <c r="K877" s="61" t="str">
        <f aca="false">IF(IsPro,IF($D877="","",IF($F877="",IFERROR(INDEX(Items!$H$5:$H$504,U877),0),$F877)),"")</f>
        <v/>
      </c>
      <c r="L877" s="61" t="str">
        <f aca="false">IF(IsPro,IF($D877="","",ROUND(N($E877)*K877*(1-N($G877)),2)),"")</f>
        <v/>
      </c>
      <c r="M877" s="62" t="str">
        <f aca="false">IF(IsPro,IF($D877="","",IFERROR(INDEX(Items!$F$5:$F$504,U877),0)),"")</f>
        <v/>
      </c>
      <c r="N877" s="61" t="str">
        <f aca="false">IF(IsPro,IF($D877="","",IF(AND(V877&lt;&gt;"",INDEX(Parties!$E$5:$E$304,V877)&lt;&gt;"",INDEX(Parties!$E$5:$E$304,V877)&lt;&gt;HomeState),0,ROUND(L877*M877/2,2))),"")</f>
        <v/>
      </c>
      <c r="O877" s="61" t="str">
        <f aca="false">IF(IsPro,IF($D877="","",N877),"")</f>
        <v/>
      </c>
      <c r="P877" s="61" t="str">
        <f aca="false">IF(IsPro,IF($D877="","",IF(AND(V877&lt;&gt;"",INDEX(Parties!$E$5:$E$304,V877)&lt;&gt;"",INDEX(Parties!$E$5:$E$304,V877)&lt;&gt;HomeState),ROUND(L877*M877,2),0)),"")</f>
        <v/>
      </c>
      <c r="Q877" s="61" t="str">
        <f aca="false">IF(IsPro,IF($D877="","",L877+N877+O877+P877),"")</f>
        <v/>
      </c>
      <c r="R877" s="61" t="str">
        <f aca="false">IF(IsPro,IF($D877="","",ROUND(N($E877)*IFERROR(INDEX(Items!$P$5:$P$504,U877),0),2)),"")</f>
        <v/>
      </c>
      <c r="S877" s="61" t="str">
        <f aca="false">IF(IsPro,IF($D877="","",L877-R877),"")</f>
        <v/>
      </c>
      <c r="T877" s="60" t="str">
        <f aca="false">IF(IsPro,IF($D877="","",IF(U877="","UNKNOWN ITEM",IF(INDEX(Items!$O$5:$O$504,U877)&lt;0,"NEG STOCK",IF(K877&lt;INDEX(Items!$P$5:$P$504,U877),"BELOW COST","OK")))),IF($D877="","","PRO PLAN"))</f>
        <v/>
      </c>
      <c r="U877" s="60" t="str">
        <f aca="false">IF(IsPro,IF($D877="","",IFERROR(MATCH($D877,Items!$A$5:$A$504,0),"")),"")</f>
        <v/>
      </c>
      <c r="V877" s="60" t="str">
        <f aca="false">IF(IsPro,IF($C877="","",IFERROR(MATCH($C877,Parties!$A$5:$A$304,0),"")),"")</f>
        <v/>
      </c>
      <c r="W877" s="60" t="str">
        <f aca="false">IF(IsPro,IF($B877="","",IFERROR(VALUE(SUBSTITUTE($B877,InvPrefix,"")),0)),"")</f>
        <v/>
      </c>
      <c r="X877" s="61" t="str">
        <f aca="false">IF(IsPro,IF($D877="","",IF(OR($H877="",$H877="Credit"),0,Q877)),"")</f>
        <v/>
      </c>
    </row>
    <row r="878" customFormat="false" ht="15" hidden="false" customHeight="false" outlineLevel="0" collapsed="false">
      <c r="A878" s="55"/>
      <c r="B878" s="56"/>
      <c r="C878" s="56"/>
      <c r="D878" s="56"/>
      <c r="E878" s="57"/>
      <c r="F878" s="58"/>
      <c r="G878" s="59"/>
      <c r="H878" s="56"/>
      <c r="I878" s="56"/>
      <c r="J878" s="60" t="str">
        <f aca="false">IF(IsPro,IF($D878="","",IFERROR(INDEX(Items!$D$5:$D$504,U878),"")),"")</f>
        <v/>
      </c>
      <c r="K878" s="61" t="str">
        <f aca="false">IF(IsPro,IF($D878="","",IF($F878="",IFERROR(INDEX(Items!$H$5:$H$504,U878),0),$F878)),"")</f>
        <v/>
      </c>
      <c r="L878" s="61" t="str">
        <f aca="false">IF(IsPro,IF($D878="","",ROUND(N($E878)*K878*(1-N($G878)),2)),"")</f>
        <v/>
      </c>
      <c r="M878" s="62" t="str">
        <f aca="false">IF(IsPro,IF($D878="","",IFERROR(INDEX(Items!$F$5:$F$504,U878),0)),"")</f>
        <v/>
      </c>
      <c r="N878" s="61" t="str">
        <f aca="false">IF(IsPro,IF($D878="","",IF(AND(V878&lt;&gt;"",INDEX(Parties!$E$5:$E$304,V878)&lt;&gt;"",INDEX(Parties!$E$5:$E$304,V878)&lt;&gt;HomeState),0,ROUND(L878*M878/2,2))),"")</f>
        <v/>
      </c>
      <c r="O878" s="61" t="str">
        <f aca="false">IF(IsPro,IF($D878="","",N878),"")</f>
        <v/>
      </c>
      <c r="P878" s="61" t="str">
        <f aca="false">IF(IsPro,IF($D878="","",IF(AND(V878&lt;&gt;"",INDEX(Parties!$E$5:$E$304,V878)&lt;&gt;"",INDEX(Parties!$E$5:$E$304,V878)&lt;&gt;HomeState),ROUND(L878*M878,2),0)),"")</f>
        <v/>
      </c>
      <c r="Q878" s="61" t="str">
        <f aca="false">IF(IsPro,IF($D878="","",L878+N878+O878+P878),"")</f>
        <v/>
      </c>
      <c r="R878" s="61" t="str">
        <f aca="false">IF(IsPro,IF($D878="","",ROUND(N($E878)*IFERROR(INDEX(Items!$P$5:$P$504,U878),0),2)),"")</f>
        <v/>
      </c>
      <c r="S878" s="61" t="str">
        <f aca="false">IF(IsPro,IF($D878="","",L878-R878),"")</f>
        <v/>
      </c>
      <c r="T878" s="60" t="str">
        <f aca="false">IF(IsPro,IF($D878="","",IF(U878="","UNKNOWN ITEM",IF(INDEX(Items!$O$5:$O$504,U878)&lt;0,"NEG STOCK",IF(K878&lt;INDEX(Items!$P$5:$P$504,U878),"BELOW COST","OK")))),IF($D878="","","PRO PLAN"))</f>
        <v/>
      </c>
      <c r="U878" s="60" t="str">
        <f aca="false">IF(IsPro,IF($D878="","",IFERROR(MATCH($D878,Items!$A$5:$A$504,0),"")),"")</f>
        <v/>
      </c>
      <c r="V878" s="60" t="str">
        <f aca="false">IF(IsPro,IF($C878="","",IFERROR(MATCH($C878,Parties!$A$5:$A$304,0),"")),"")</f>
        <v/>
      </c>
      <c r="W878" s="60" t="str">
        <f aca="false">IF(IsPro,IF($B878="","",IFERROR(VALUE(SUBSTITUTE($B878,InvPrefix,"")),0)),"")</f>
        <v/>
      </c>
      <c r="X878" s="61" t="str">
        <f aca="false">IF(IsPro,IF($D878="","",IF(OR($H878="",$H878="Credit"),0,Q878)),"")</f>
        <v/>
      </c>
    </row>
    <row r="879" customFormat="false" ht="15" hidden="false" customHeight="false" outlineLevel="0" collapsed="false">
      <c r="A879" s="55"/>
      <c r="B879" s="56"/>
      <c r="C879" s="56"/>
      <c r="D879" s="56"/>
      <c r="E879" s="57"/>
      <c r="F879" s="58"/>
      <c r="G879" s="59"/>
      <c r="H879" s="56"/>
      <c r="I879" s="56"/>
      <c r="J879" s="60" t="str">
        <f aca="false">IF(IsPro,IF($D879="","",IFERROR(INDEX(Items!$D$5:$D$504,U879),"")),"")</f>
        <v/>
      </c>
      <c r="K879" s="61" t="str">
        <f aca="false">IF(IsPro,IF($D879="","",IF($F879="",IFERROR(INDEX(Items!$H$5:$H$504,U879),0),$F879)),"")</f>
        <v/>
      </c>
      <c r="L879" s="61" t="str">
        <f aca="false">IF(IsPro,IF($D879="","",ROUND(N($E879)*K879*(1-N($G879)),2)),"")</f>
        <v/>
      </c>
      <c r="M879" s="62" t="str">
        <f aca="false">IF(IsPro,IF($D879="","",IFERROR(INDEX(Items!$F$5:$F$504,U879),0)),"")</f>
        <v/>
      </c>
      <c r="N879" s="61" t="str">
        <f aca="false">IF(IsPro,IF($D879="","",IF(AND(V879&lt;&gt;"",INDEX(Parties!$E$5:$E$304,V879)&lt;&gt;"",INDEX(Parties!$E$5:$E$304,V879)&lt;&gt;HomeState),0,ROUND(L879*M879/2,2))),"")</f>
        <v/>
      </c>
      <c r="O879" s="61" t="str">
        <f aca="false">IF(IsPro,IF($D879="","",N879),"")</f>
        <v/>
      </c>
      <c r="P879" s="61" t="str">
        <f aca="false">IF(IsPro,IF($D879="","",IF(AND(V879&lt;&gt;"",INDEX(Parties!$E$5:$E$304,V879)&lt;&gt;"",INDEX(Parties!$E$5:$E$304,V879)&lt;&gt;HomeState),ROUND(L879*M879,2),0)),"")</f>
        <v/>
      </c>
      <c r="Q879" s="61" t="str">
        <f aca="false">IF(IsPro,IF($D879="","",L879+N879+O879+P879),"")</f>
        <v/>
      </c>
      <c r="R879" s="61" t="str">
        <f aca="false">IF(IsPro,IF($D879="","",ROUND(N($E879)*IFERROR(INDEX(Items!$P$5:$P$504,U879),0),2)),"")</f>
        <v/>
      </c>
      <c r="S879" s="61" t="str">
        <f aca="false">IF(IsPro,IF($D879="","",L879-R879),"")</f>
        <v/>
      </c>
      <c r="T879" s="60" t="str">
        <f aca="false">IF(IsPro,IF($D879="","",IF(U879="","UNKNOWN ITEM",IF(INDEX(Items!$O$5:$O$504,U879)&lt;0,"NEG STOCK",IF(K879&lt;INDEX(Items!$P$5:$P$504,U879),"BELOW COST","OK")))),IF($D879="","","PRO PLAN"))</f>
        <v/>
      </c>
      <c r="U879" s="60" t="str">
        <f aca="false">IF(IsPro,IF($D879="","",IFERROR(MATCH($D879,Items!$A$5:$A$504,0),"")),"")</f>
        <v/>
      </c>
      <c r="V879" s="60" t="str">
        <f aca="false">IF(IsPro,IF($C879="","",IFERROR(MATCH($C879,Parties!$A$5:$A$304,0),"")),"")</f>
        <v/>
      </c>
      <c r="W879" s="60" t="str">
        <f aca="false">IF(IsPro,IF($B879="","",IFERROR(VALUE(SUBSTITUTE($B879,InvPrefix,"")),0)),"")</f>
        <v/>
      </c>
      <c r="X879" s="61" t="str">
        <f aca="false">IF(IsPro,IF($D879="","",IF(OR($H879="",$H879="Credit"),0,Q879)),"")</f>
        <v/>
      </c>
    </row>
    <row r="880" customFormat="false" ht="15" hidden="false" customHeight="false" outlineLevel="0" collapsed="false">
      <c r="A880" s="55"/>
      <c r="B880" s="56"/>
      <c r="C880" s="56"/>
      <c r="D880" s="56"/>
      <c r="E880" s="57"/>
      <c r="F880" s="58"/>
      <c r="G880" s="59"/>
      <c r="H880" s="56"/>
      <c r="I880" s="56"/>
      <c r="J880" s="60" t="str">
        <f aca="false">IF(IsPro,IF($D880="","",IFERROR(INDEX(Items!$D$5:$D$504,U880),"")),"")</f>
        <v/>
      </c>
      <c r="K880" s="61" t="str">
        <f aca="false">IF(IsPro,IF($D880="","",IF($F880="",IFERROR(INDEX(Items!$H$5:$H$504,U880),0),$F880)),"")</f>
        <v/>
      </c>
      <c r="L880" s="61" t="str">
        <f aca="false">IF(IsPro,IF($D880="","",ROUND(N($E880)*K880*(1-N($G880)),2)),"")</f>
        <v/>
      </c>
      <c r="M880" s="62" t="str">
        <f aca="false">IF(IsPro,IF($D880="","",IFERROR(INDEX(Items!$F$5:$F$504,U880),0)),"")</f>
        <v/>
      </c>
      <c r="N880" s="61" t="str">
        <f aca="false">IF(IsPro,IF($D880="","",IF(AND(V880&lt;&gt;"",INDEX(Parties!$E$5:$E$304,V880)&lt;&gt;"",INDEX(Parties!$E$5:$E$304,V880)&lt;&gt;HomeState),0,ROUND(L880*M880/2,2))),"")</f>
        <v/>
      </c>
      <c r="O880" s="61" t="str">
        <f aca="false">IF(IsPro,IF($D880="","",N880),"")</f>
        <v/>
      </c>
      <c r="P880" s="61" t="str">
        <f aca="false">IF(IsPro,IF($D880="","",IF(AND(V880&lt;&gt;"",INDEX(Parties!$E$5:$E$304,V880)&lt;&gt;"",INDEX(Parties!$E$5:$E$304,V880)&lt;&gt;HomeState),ROUND(L880*M880,2),0)),"")</f>
        <v/>
      </c>
      <c r="Q880" s="61" t="str">
        <f aca="false">IF(IsPro,IF($D880="","",L880+N880+O880+P880),"")</f>
        <v/>
      </c>
      <c r="R880" s="61" t="str">
        <f aca="false">IF(IsPro,IF($D880="","",ROUND(N($E880)*IFERROR(INDEX(Items!$P$5:$P$504,U880),0),2)),"")</f>
        <v/>
      </c>
      <c r="S880" s="61" t="str">
        <f aca="false">IF(IsPro,IF($D880="","",L880-R880),"")</f>
        <v/>
      </c>
      <c r="T880" s="60" t="str">
        <f aca="false">IF(IsPro,IF($D880="","",IF(U880="","UNKNOWN ITEM",IF(INDEX(Items!$O$5:$O$504,U880)&lt;0,"NEG STOCK",IF(K880&lt;INDEX(Items!$P$5:$P$504,U880),"BELOW COST","OK")))),IF($D880="","","PRO PLAN"))</f>
        <v/>
      </c>
      <c r="U880" s="60" t="str">
        <f aca="false">IF(IsPro,IF($D880="","",IFERROR(MATCH($D880,Items!$A$5:$A$504,0),"")),"")</f>
        <v/>
      </c>
      <c r="V880" s="60" t="str">
        <f aca="false">IF(IsPro,IF($C880="","",IFERROR(MATCH($C880,Parties!$A$5:$A$304,0),"")),"")</f>
        <v/>
      </c>
      <c r="W880" s="60" t="str">
        <f aca="false">IF(IsPro,IF($B880="","",IFERROR(VALUE(SUBSTITUTE($B880,InvPrefix,"")),0)),"")</f>
        <v/>
      </c>
      <c r="X880" s="61" t="str">
        <f aca="false">IF(IsPro,IF($D880="","",IF(OR($H880="",$H880="Credit"),0,Q880)),"")</f>
        <v/>
      </c>
    </row>
    <row r="881" customFormat="false" ht="15" hidden="false" customHeight="false" outlineLevel="0" collapsed="false">
      <c r="A881" s="55"/>
      <c r="B881" s="56"/>
      <c r="C881" s="56"/>
      <c r="D881" s="56"/>
      <c r="E881" s="57"/>
      <c r="F881" s="58"/>
      <c r="G881" s="59"/>
      <c r="H881" s="56"/>
      <c r="I881" s="56"/>
      <c r="J881" s="60" t="str">
        <f aca="false">IF(IsPro,IF($D881="","",IFERROR(INDEX(Items!$D$5:$D$504,U881),"")),"")</f>
        <v/>
      </c>
      <c r="K881" s="61" t="str">
        <f aca="false">IF(IsPro,IF($D881="","",IF($F881="",IFERROR(INDEX(Items!$H$5:$H$504,U881),0),$F881)),"")</f>
        <v/>
      </c>
      <c r="L881" s="61" t="str">
        <f aca="false">IF(IsPro,IF($D881="","",ROUND(N($E881)*K881*(1-N($G881)),2)),"")</f>
        <v/>
      </c>
      <c r="M881" s="62" t="str">
        <f aca="false">IF(IsPro,IF($D881="","",IFERROR(INDEX(Items!$F$5:$F$504,U881),0)),"")</f>
        <v/>
      </c>
      <c r="N881" s="61" t="str">
        <f aca="false">IF(IsPro,IF($D881="","",IF(AND(V881&lt;&gt;"",INDEX(Parties!$E$5:$E$304,V881)&lt;&gt;"",INDEX(Parties!$E$5:$E$304,V881)&lt;&gt;HomeState),0,ROUND(L881*M881/2,2))),"")</f>
        <v/>
      </c>
      <c r="O881" s="61" t="str">
        <f aca="false">IF(IsPro,IF($D881="","",N881),"")</f>
        <v/>
      </c>
      <c r="P881" s="61" t="str">
        <f aca="false">IF(IsPro,IF($D881="","",IF(AND(V881&lt;&gt;"",INDEX(Parties!$E$5:$E$304,V881)&lt;&gt;"",INDEX(Parties!$E$5:$E$304,V881)&lt;&gt;HomeState),ROUND(L881*M881,2),0)),"")</f>
        <v/>
      </c>
      <c r="Q881" s="61" t="str">
        <f aca="false">IF(IsPro,IF($D881="","",L881+N881+O881+P881),"")</f>
        <v/>
      </c>
      <c r="R881" s="61" t="str">
        <f aca="false">IF(IsPro,IF($D881="","",ROUND(N($E881)*IFERROR(INDEX(Items!$P$5:$P$504,U881),0),2)),"")</f>
        <v/>
      </c>
      <c r="S881" s="61" t="str">
        <f aca="false">IF(IsPro,IF($D881="","",L881-R881),"")</f>
        <v/>
      </c>
      <c r="T881" s="60" t="str">
        <f aca="false">IF(IsPro,IF($D881="","",IF(U881="","UNKNOWN ITEM",IF(INDEX(Items!$O$5:$O$504,U881)&lt;0,"NEG STOCK",IF(K881&lt;INDEX(Items!$P$5:$P$504,U881),"BELOW COST","OK")))),IF($D881="","","PRO PLAN"))</f>
        <v/>
      </c>
      <c r="U881" s="60" t="str">
        <f aca="false">IF(IsPro,IF($D881="","",IFERROR(MATCH($D881,Items!$A$5:$A$504,0),"")),"")</f>
        <v/>
      </c>
      <c r="V881" s="60" t="str">
        <f aca="false">IF(IsPro,IF($C881="","",IFERROR(MATCH($C881,Parties!$A$5:$A$304,0),"")),"")</f>
        <v/>
      </c>
      <c r="W881" s="60" t="str">
        <f aca="false">IF(IsPro,IF($B881="","",IFERROR(VALUE(SUBSTITUTE($B881,InvPrefix,"")),0)),"")</f>
        <v/>
      </c>
      <c r="X881" s="61" t="str">
        <f aca="false">IF(IsPro,IF($D881="","",IF(OR($H881="",$H881="Credit"),0,Q881)),"")</f>
        <v/>
      </c>
    </row>
    <row r="882" customFormat="false" ht="15" hidden="false" customHeight="false" outlineLevel="0" collapsed="false">
      <c r="A882" s="55"/>
      <c r="B882" s="56"/>
      <c r="C882" s="56"/>
      <c r="D882" s="56"/>
      <c r="E882" s="57"/>
      <c r="F882" s="58"/>
      <c r="G882" s="59"/>
      <c r="H882" s="56"/>
      <c r="I882" s="56"/>
      <c r="J882" s="60" t="str">
        <f aca="false">IF(IsPro,IF($D882="","",IFERROR(INDEX(Items!$D$5:$D$504,U882),"")),"")</f>
        <v/>
      </c>
      <c r="K882" s="61" t="str">
        <f aca="false">IF(IsPro,IF($D882="","",IF($F882="",IFERROR(INDEX(Items!$H$5:$H$504,U882),0),$F882)),"")</f>
        <v/>
      </c>
      <c r="L882" s="61" t="str">
        <f aca="false">IF(IsPro,IF($D882="","",ROUND(N($E882)*K882*(1-N($G882)),2)),"")</f>
        <v/>
      </c>
      <c r="M882" s="62" t="str">
        <f aca="false">IF(IsPro,IF($D882="","",IFERROR(INDEX(Items!$F$5:$F$504,U882),0)),"")</f>
        <v/>
      </c>
      <c r="N882" s="61" t="str">
        <f aca="false">IF(IsPro,IF($D882="","",IF(AND(V882&lt;&gt;"",INDEX(Parties!$E$5:$E$304,V882)&lt;&gt;"",INDEX(Parties!$E$5:$E$304,V882)&lt;&gt;HomeState),0,ROUND(L882*M882/2,2))),"")</f>
        <v/>
      </c>
      <c r="O882" s="61" t="str">
        <f aca="false">IF(IsPro,IF($D882="","",N882),"")</f>
        <v/>
      </c>
      <c r="P882" s="61" t="str">
        <f aca="false">IF(IsPro,IF($D882="","",IF(AND(V882&lt;&gt;"",INDEX(Parties!$E$5:$E$304,V882)&lt;&gt;"",INDEX(Parties!$E$5:$E$304,V882)&lt;&gt;HomeState),ROUND(L882*M882,2),0)),"")</f>
        <v/>
      </c>
      <c r="Q882" s="61" t="str">
        <f aca="false">IF(IsPro,IF($D882="","",L882+N882+O882+P882),"")</f>
        <v/>
      </c>
      <c r="R882" s="61" t="str">
        <f aca="false">IF(IsPro,IF($D882="","",ROUND(N($E882)*IFERROR(INDEX(Items!$P$5:$P$504,U882),0),2)),"")</f>
        <v/>
      </c>
      <c r="S882" s="61" t="str">
        <f aca="false">IF(IsPro,IF($D882="","",L882-R882),"")</f>
        <v/>
      </c>
      <c r="T882" s="60" t="str">
        <f aca="false">IF(IsPro,IF($D882="","",IF(U882="","UNKNOWN ITEM",IF(INDEX(Items!$O$5:$O$504,U882)&lt;0,"NEG STOCK",IF(K882&lt;INDEX(Items!$P$5:$P$504,U882),"BELOW COST","OK")))),IF($D882="","","PRO PLAN"))</f>
        <v/>
      </c>
      <c r="U882" s="60" t="str">
        <f aca="false">IF(IsPro,IF($D882="","",IFERROR(MATCH($D882,Items!$A$5:$A$504,0),"")),"")</f>
        <v/>
      </c>
      <c r="V882" s="60" t="str">
        <f aca="false">IF(IsPro,IF($C882="","",IFERROR(MATCH($C882,Parties!$A$5:$A$304,0),"")),"")</f>
        <v/>
      </c>
      <c r="W882" s="60" t="str">
        <f aca="false">IF(IsPro,IF($B882="","",IFERROR(VALUE(SUBSTITUTE($B882,InvPrefix,"")),0)),"")</f>
        <v/>
      </c>
      <c r="X882" s="61" t="str">
        <f aca="false">IF(IsPro,IF($D882="","",IF(OR($H882="",$H882="Credit"),0,Q882)),"")</f>
        <v/>
      </c>
    </row>
    <row r="883" customFormat="false" ht="15" hidden="false" customHeight="false" outlineLevel="0" collapsed="false">
      <c r="A883" s="55"/>
      <c r="B883" s="56"/>
      <c r="C883" s="56"/>
      <c r="D883" s="56"/>
      <c r="E883" s="57"/>
      <c r="F883" s="58"/>
      <c r="G883" s="59"/>
      <c r="H883" s="56"/>
      <c r="I883" s="56"/>
      <c r="J883" s="60" t="str">
        <f aca="false">IF(IsPro,IF($D883="","",IFERROR(INDEX(Items!$D$5:$D$504,U883),"")),"")</f>
        <v/>
      </c>
      <c r="K883" s="61" t="str">
        <f aca="false">IF(IsPro,IF($D883="","",IF($F883="",IFERROR(INDEX(Items!$H$5:$H$504,U883),0),$F883)),"")</f>
        <v/>
      </c>
      <c r="L883" s="61" t="str">
        <f aca="false">IF(IsPro,IF($D883="","",ROUND(N($E883)*K883*(1-N($G883)),2)),"")</f>
        <v/>
      </c>
      <c r="M883" s="62" t="str">
        <f aca="false">IF(IsPro,IF($D883="","",IFERROR(INDEX(Items!$F$5:$F$504,U883),0)),"")</f>
        <v/>
      </c>
      <c r="N883" s="61" t="str">
        <f aca="false">IF(IsPro,IF($D883="","",IF(AND(V883&lt;&gt;"",INDEX(Parties!$E$5:$E$304,V883)&lt;&gt;"",INDEX(Parties!$E$5:$E$304,V883)&lt;&gt;HomeState),0,ROUND(L883*M883/2,2))),"")</f>
        <v/>
      </c>
      <c r="O883" s="61" t="str">
        <f aca="false">IF(IsPro,IF($D883="","",N883),"")</f>
        <v/>
      </c>
      <c r="P883" s="61" t="str">
        <f aca="false">IF(IsPro,IF($D883="","",IF(AND(V883&lt;&gt;"",INDEX(Parties!$E$5:$E$304,V883)&lt;&gt;"",INDEX(Parties!$E$5:$E$304,V883)&lt;&gt;HomeState),ROUND(L883*M883,2),0)),"")</f>
        <v/>
      </c>
      <c r="Q883" s="61" t="str">
        <f aca="false">IF(IsPro,IF($D883="","",L883+N883+O883+P883),"")</f>
        <v/>
      </c>
      <c r="R883" s="61" t="str">
        <f aca="false">IF(IsPro,IF($D883="","",ROUND(N($E883)*IFERROR(INDEX(Items!$P$5:$P$504,U883),0),2)),"")</f>
        <v/>
      </c>
      <c r="S883" s="61" t="str">
        <f aca="false">IF(IsPro,IF($D883="","",L883-R883),"")</f>
        <v/>
      </c>
      <c r="T883" s="60" t="str">
        <f aca="false">IF(IsPro,IF($D883="","",IF(U883="","UNKNOWN ITEM",IF(INDEX(Items!$O$5:$O$504,U883)&lt;0,"NEG STOCK",IF(K883&lt;INDEX(Items!$P$5:$P$504,U883),"BELOW COST","OK")))),IF($D883="","","PRO PLAN"))</f>
        <v/>
      </c>
      <c r="U883" s="60" t="str">
        <f aca="false">IF(IsPro,IF($D883="","",IFERROR(MATCH($D883,Items!$A$5:$A$504,0),"")),"")</f>
        <v/>
      </c>
      <c r="V883" s="60" t="str">
        <f aca="false">IF(IsPro,IF($C883="","",IFERROR(MATCH($C883,Parties!$A$5:$A$304,0),"")),"")</f>
        <v/>
      </c>
      <c r="W883" s="60" t="str">
        <f aca="false">IF(IsPro,IF($B883="","",IFERROR(VALUE(SUBSTITUTE($B883,InvPrefix,"")),0)),"")</f>
        <v/>
      </c>
      <c r="X883" s="61" t="str">
        <f aca="false">IF(IsPro,IF($D883="","",IF(OR($H883="",$H883="Credit"),0,Q883)),"")</f>
        <v/>
      </c>
    </row>
    <row r="884" customFormat="false" ht="15" hidden="false" customHeight="false" outlineLevel="0" collapsed="false">
      <c r="A884" s="55"/>
      <c r="B884" s="56"/>
      <c r="C884" s="56"/>
      <c r="D884" s="56"/>
      <c r="E884" s="57"/>
      <c r="F884" s="58"/>
      <c r="G884" s="59"/>
      <c r="H884" s="56"/>
      <c r="I884" s="56"/>
      <c r="J884" s="60" t="str">
        <f aca="false">IF(IsPro,IF($D884="","",IFERROR(INDEX(Items!$D$5:$D$504,U884),"")),"")</f>
        <v/>
      </c>
      <c r="K884" s="61" t="str">
        <f aca="false">IF(IsPro,IF($D884="","",IF($F884="",IFERROR(INDEX(Items!$H$5:$H$504,U884),0),$F884)),"")</f>
        <v/>
      </c>
      <c r="L884" s="61" t="str">
        <f aca="false">IF(IsPro,IF($D884="","",ROUND(N($E884)*K884*(1-N($G884)),2)),"")</f>
        <v/>
      </c>
      <c r="M884" s="62" t="str">
        <f aca="false">IF(IsPro,IF($D884="","",IFERROR(INDEX(Items!$F$5:$F$504,U884),0)),"")</f>
        <v/>
      </c>
      <c r="N884" s="61" t="str">
        <f aca="false">IF(IsPro,IF($D884="","",IF(AND(V884&lt;&gt;"",INDEX(Parties!$E$5:$E$304,V884)&lt;&gt;"",INDEX(Parties!$E$5:$E$304,V884)&lt;&gt;HomeState),0,ROUND(L884*M884/2,2))),"")</f>
        <v/>
      </c>
      <c r="O884" s="61" t="str">
        <f aca="false">IF(IsPro,IF($D884="","",N884),"")</f>
        <v/>
      </c>
      <c r="P884" s="61" t="str">
        <f aca="false">IF(IsPro,IF($D884="","",IF(AND(V884&lt;&gt;"",INDEX(Parties!$E$5:$E$304,V884)&lt;&gt;"",INDEX(Parties!$E$5:$E$304,V884)&lt;&gt;HomeState),ROUND(L884*M884,2),0)),"")</f>
        <v/>
      </c>
      <c r="Q884" s="61" t="str">
        <f aca="false">IF(IsPro,IF($D884="","",L884+N884+O884+P884),"")</f>
        <v/>
      </c>
      <c r="R884" s="61" t="str">
        <f aca="false">IF(IsPro,IF($D884="","",ROUND(N($E884)*IFERROR(INDEX(Items!$P$5:$P$504,U884),0),2)),"")</f>
        <v/>
      </c>
      <c r="S884" s="61" t="str">
        <f aca="false">IF(IsPro,IF($D884="","",L884-R884),"")</f>
        <v/>
      </c>
      <c r="T884" s="60" t="str">
        <f aca="false">IF(IsPro,IF($D884="","",IF(U884="","UNKNOWN ITEM",IF(INDEX(Items!$O$5:$O$504,U884)&lt;0,"NEG STOCK",IF(K884&lt;INDEX(Items!$P$5:$P$504,U884),"BELOW COST","OK")))),IF($D884="","","PRO PLAN"))</f>
        <v/>
      </c>
      <c r="U884" s="60" t="str">
        <f aca="false">IF(IsPro,IF($D884="","",IFERROR(MATCH($D884,Items!$A$5:$A$504,0),"")),"")</f>
        <v/>
      </c>
      <c r="V884" s="60" t="str">
        <f aca="false">IF(IsPro,IF($C884="","",IFERROR(MATCH($C884,Parties!$A$5:$A$304,0),"")),"")</f>
        <v/>
      </c>
      <c r="W884" s="60" t="str">
        <f aca="false">IF(IsPro,IF($B884="","",IFERROR(VALUE(SUBSTITUTE($B884,InvPrefix,"")),0)),"")</f>
        <v/>
      </c>
      <c r="X884" s="61" t="str">
        <f aca="false">IF(IsPro,IF($D884="","",IF(OR($H884="",$H884="Credit"),0,Q884)),"")</f>
        <v/>
      </c>
    </row>
    <row r="885" customFormat="false" ht="15" hidden="false" customHeight="false" outlineLevel="0" collapsed="false">
      <c r="A885" s="55"/>
      <c r="B885" s="56"/>
      <c r="C885" s="56"/>
      <c r="D885" s="56"/>
      <c r="E885" s="57"/>
      <c r="F885" s="58"/>
      <c r="G885" s="59"/>
      <c r="H885" s="56"/>
      <c r="I885" s="56"/>
      <c r="J885" s="60" t="str">
        <f aca="false">IF(IsPro,IF($D885="","",IFERROR(INDEX(Items!$D$5:$D$504,U885),"")),"")</f>
        <v/>
      </c>
      <c r="K885" s="61" t="str">
        <f aca="false">IF(IsPro,IF($D885="","",IF($F885="",IFERROR(INDEX(Items!$H$5:$H$504,U885),0),$F885)),"")</f>
        <v/>
      </c>
      <c r="L885" s="61" t="str">
        <f aca="false">IF(IsPro,IF($D885="","",ROUND(N($E885)*K885*(1-N($G885)),2)),"")</f>
        <v/>
      </c>
      <c r="M885" s="62" t="str">
        <f aca="false">IF(IsPro,IF($D885="","",IFERROR(INDEX(Items!$F$5:$F$504,U885),0)),"")</f>
        <v/>
      </c>
      <c r="N885" s="61" t="str">
        <f aca="false">IF(IsPro,IF($D885="","",IF(AND(V885&lt;&gt;"",INDEX(Parties!$E$5:$E$304,V885)&lt;&gt;"",INDEX(Parties!$E$5:$E$304,V885)&lt;&gt;HomeState),0,ROUND(L885*M885/2,2))),"")</f>
        <v/>
      </c>
      <c r="O885" s="61" t="str">
        <f aca="false">IF(IsPro,IF($D885="","",N885),"")</f>
        <v/>
      </c>
      <c r="P885" s="61" t="str">
        <f aca="false">IF(IsPro,IF($D885="","",IF(AND(V885&lt;&gt;"",INDEX(Parties!$E$5:$E$304,V885)&lt;&gt;"",INDEX(Parties!$E$5:$E$304,V885)&lt;&gt;HomeState),ROUND(L885*M885,2),0)),"")</f>
        <v/>
      </c>
      <c r="Q885" s="61" t="str">
        <f aca="false">IF(IsPro,IF($D885="","",L885+N885+O885+P885),"")</f>
        <v/>
      </c>
      <c r="R885" s="61" t="str">
        <f aca="false">IF(IsPro,IF($D885="","",ROUND(N($E885)*IFERROR(INDEX(Items!$P$5:$P$504,U885),0),2)),"")</f>
        <v/>
      </c>
      <c r="S885" s="61" t="str">
        <f aca="false">IF(IsPro,IF($D885="","",L885-R885),"")</f>
        <v/>
      </c>
      <c r="T885" s="60" t="str">
        <f aca="false">IF(IsPro,IF($D885="","",IF(U885="","UNKNOWN ITEM",IF(INDEX(Items!$O$5:$O$504,U885)&lt;0,"NEG STOCK",IF(K885&lt;INDEX(Items!$P$5:$P$504,U885),"BELOW COST","OK")))),IF($D885="","","PRO PLAN"))</f>
        <v/>
      </c>
      <c r="U885" s="60" t="str">
        <f aca="false">IF(IsPro,IF($D885="","",IFERROR(MATCH($D885,Items!$A$5:$A$504,0),"")),"")</f>
        <v/>
      </c>
      <c r="V885" s="60" t="str">
        <f aca="false">IF(IsPro,IF($C885="","",IFERROR(MATCH($C885,Parties!$A$5:$A$304,0),"")),"")</f>
        <v/>
      </c>
      <c r="W885" s="60" t="str">
        <f aca="false">IF(IsPro,IF($B885="","",IFERROR(VALUE(SUBSTITUTE($B885,InvPrefix,"")),0)),"")</f>
        <v/>
      </c>
      <c r="X885" s="61" t="str">
        <f aca="false">IF(IsPro,IF($D885="","",IF(OR($H885="",$H885="Credit"),0,Q885)),"")</f>
        <v/>
      </c>
    </row>
    <row r="886" customFormat="false" ht="15" hidden="false" customHeight="false" outlineLevel="0" collapsed="false">
      <c r="A886" s="55"/>
      <c r="B886" s="56"/>
      <c r="C886" s="56"/>
      <c r="D886" s="56"/>
      <c r="E886" s="57"/>
      <c r="F886" s="58"/>
      <c r="G886" s="59"/>
      <c r="H886" s="56"/>
      <c r="I886" s="56"/>
      <c r="J886" s="60" t="str">
        <f aca="false">IF(IsPro,IF($D886="","",IFERROR(INDEX(Items!$D$5:$D$504,U886),"")),"")</f>
        <v/>
      </c>
      <c r="K886" s="61" t="str">
        <f aca="false">IF(IsPro,IF($D886="","",IF($F886="",IFERROR(INDEX(Items!$H$5:$H$504,U886),0),$F886)),"")</f>
        <v/>
      </c>
      <c r="L886" s="61" t="str">
        <f aca="false">IF(IsPro,IF($D886="","",ROUND(N($E886)*K886*(1-N($G886)),2)),"")</f>
        <v/>
      </c>
      <c r="M886" s="62" t="str">
        <f aca="false">IF(IsPro,IF($D886="","",IFERROR(INDEX(Items!$F$5:$F$504,U886),0)),"")</f>
        <v/>
      </c>
      <c r="N886" s="61" t="str">
        <f aca="false">IF(IsPro,IF($D886="","",IF(AND(V886&lt;&gt;"",INDEX(Parties!$E$5:$E$304,V886)&lt;&gt;"",INDEX(Parties!$E$5:$E$304,V886)&lt;&gt;HomeState),0,ROUND(L886*M886/2,2))),"")</f>
        <v/>
      </c>
      <c r="O886" s="61" t="str">
        <f aca="false">IF(IsPro,IF($D886="","",N886),"")</f>
        <v/>
      </c>
      <c r="P886" s="61" t="str">
        <f aca="false">IF(IsPro,IF($D886="","",IF(AND(V886&lt;&gt;"",INDEX(Parties!$E$5:$E$304,V886)&lt;&gt;"",INDEX(Parties!$E$5:$E$304,V886)&lt;&gt;HomeState),ROUND(L886*M886,2),0)),"")</f>
        <v/>
      </c>
      <c r="Q886" s="61" t="str">
        <f aca="false">IF(IsPro,IF($D886="","",L886+N886+O886+P886),"")</f>
        <v/>
      </c>
      <c r="R886" s="61" t="str">
        <f aca="false">IF(IsPro,IF($D886="","",ROUND(N($E886)*IFERROR(INDEX(Items!$P$5:$P$504,U886),0),2)),"")</f>
        <v/>
      </c>
      <c r="S886" s="61" t="str">
        <f aca="false">IF(IsPro,IF($D886="","",L886-R886),"")</f>
        <v/>
      </c>
      <c r="T886" s="60" t="str">
        <f aca="false">IF(IsPro,IF($D886="","",IF(U886="","UNKNOWN ITEM",IF(INDEX(Items!$O$5:$O$504,U886)&lt;0,"NEG STOCK",IF(K886&lt;INDEX(Items!$P$5:$P$504,U886),"BELOW COST","OK")))),IF($D886="","","PRO PLAN"))</f>
        <v/>
      </c>
      <c r="U886" s="60" t="str">
        <f aca="false">IF(IsPro,IF($D886="","",IFERROR(MATCH($D886,Items!$A$5:$A$504,0),"")),"")</f>
        <v/>
      </c>
      <c r="V886" s="60" t="str">
        <f aca="false">IF(IsPro,IF($C886="","",IFERROR(MATCH($C886,Parties!$A$5:$A$304,0),"")),"")</f>
        <v/>
      </c>
      <c r="W886" s="60" t="str">
        <f aca="false">IF(IsPro,IF($B886="","",IFERROR(VALUE(SUBSTITUTE($B886,InvPrefix,"")),0)),"")</f>
        <v/>
      </c>
      <c r="X886" s="61" t="str">
        <f aca="false">IF(IsPro,IF($D886="","",IF(OR($H886="",$H886="Credit"),0,Q886)),"")</f>
        <v/>
      </c>
    </row>
    <row r="887" customFormat="false" ht="15" hidden="false" customHeight="false" outlineLevel="0" collapsed="false">
      <c r="A887" s="55"/>
      <c r="B887" s="56"/>
      <c r="C887" s="56"/>
      <c r="D887" s="56"/>
      <c r="E887" s="57"/>
      <c r="F887" s="58"/>
      <c r="G887" s="59"/>
      <c r="H887" s="56"/>
      <c r="I887" s="56"/>
      <c r="J887" s="60" t="str">
        <f aca="false">IF(IsPro,IF($D887="","",IFERROR(INDEX(Items!$D$5:$D$504,U887),"")),"")</f>
        <v/>
      </c>
      <c r="K887" s="61" t="str">
        <f aca="false">IF(IsPro,IF($D887="","",IF($F887="",IFERROR(INDEX(Items!$H$5:$H$504,U887),0),$F887)),"")</f>
        <v/>
      </c>
      <c r="L887" s="61" t="str">
        <f aca="false">IF(IsPro,IF($D887="","",ROUND(N($E887)*K887*(1-N($G887)),2)),"")</f>
        <v/>
      </c>
      <c r="M887" s="62" t="str">
        <f aca="false">IF(IsPro,IF($D887="","",IFERROR(INDEX(Items!$F$5:$F$504,U887),0)),"")</f>
        <v/>
      </c>
      <c r="N887" s="61" t="str">
        <f aca="false">IF(IsPro,IF($D887="","",IF(AND(V887&lt;&gt;"",INDEX(Parties!$E$5:$E$304,V887)&lt;&gt;"",INDEX(Parties!$E$5:$E$304,V887)&lt;&gt;HomeState),0,ROUND(L887*M887/2,2))),"")</f>
        <v/>
      </c>
      <c r="O887" s="61" t="str">
        <f aca="false">IF(IsPro,IF($D887="","",N887),"")</f>
        <v/>
      </c>
      <c r="P887" s="61" t="str">
        <f aca="false">IF(IsPro,IF($D887="","",IF(AND(V887&lt;&gt;"",INDEX(Parties!$E$5:$E$304,V887)&lt;&gt;"",INDEX(Parties!$E$5:$E$304,V887)&lt;&gt;HomeState),ROUND(L887*M887,2),0)),"")</f>
        <v/>
      </c>
      <c r="Q887" s="61" t="str">
        <f aca="false">IF(IsPro,IF($D887="","",L887+N887+O887+P887),"")</f>
        <v/>
      </c>
      <c r="R887" s="61" t="str">
        <f aca="false">IF(IsPro,IF($D887="","",ROUND(N($E887)*IFERROR(INDEX(Items!$P$5:$P$504,U887),0),2)),"")</f>
        <v/>
      </c>
      <c r="S887" s="61" t="str">
        <f aca="false">IF(IsPro,IF($D887="","",L887-R887),"")</f>
        <v/>
      </c>
      <c r="T887" s="60" t="str">
        <f aca="false">IF(IsPro,IF($D887="","",IF(U887="","UNKNOWN ITEM",IF(INDEX(Items!$O$5:$O$504,U887)&lt;0,"NEG STOCK",IF(K887&lt;INDEX(Items!$P$5:$P$504,U887),"BELOW COST","OK")))),IF($D887="","","PRO PLAN"))</f>
        <v/>
      </c>
      <c r="U887" s="60" t="str">
        <f aca="false">IF(IsPro,IF($D887="","",IFERROR(MATCH($D887,Items!$A$5:$A$504,0),"")),"")</f>
        <v/>
      </c>
      <c r="V887" s="60" t="str">
        <f aca="false">IF(IsPro,IF($C887="","",IFERROR(MATCH($C887,Parties!$A$5:$A$304,0),"")),"")</f>
        <v/>
      </c>
      <c r="W887" s="60" t="str">
        <f aca="false">IF(IsPro,IF($B887="","",IFERROR(VALUE(SUBSTITUTE($B887,InvPrefix,"")),0)),"")</f>
        <v/>
      </c>
      <c r="X887" s="61" t="str">
        <f aca="false">IF(IsPro,IF($D887="","",IF(OR($H887="",$H887="Credit"),0,Q887)),"")</f>
        <v/>
      </c>
    </row>
    <row r="888" customFormat="false" ht="15" hidden="false" customHeight="false" outlineLevel="0" collapsed="false">
      <c r="A888" s="55"/>
      <c r="B888" s="56"/>
      <c r="C888" s="56"/>
      <c r="D888" s="56"/>
      <c r="E888" s="57"/>
      <c r="F888" s="58"/>
      <c r="G888" s="59"/>
      <c r="H888" s="56"/>
      <c r="I888" s="56"/>
      <c r="J888" s="60" t="str">
        <f aca="false">IF(IsPro,IF($D888="","",IFERROR(INDEX(Items!$D$5:$D$504,U888),"")),"")</f>
        <v/>
      </c>
      <c r="K888" s="61" t="str">
        <f aca="false">IF(IsPro,IF($D888="","",IF($F888="",IFERROR(INDEX(Items!$H$5:$H$504,U888),0),$F888)),"")</f>
        <v/>
      </c>
      <c r="L888" s="61" t="str">
        <f aca="false">IF(IsPro,IF($D888="","",ROUND(N($E888)*K888*(1-N($G888)),2)),"")</f>
        <v/>
      </c>
      <c r="M888" s="62" t="str">
        <f aca="false">IF(IsPro,IF($D888="","",IFERROR(INDEX(Items!$F$5:$F$504,U888),0)),"")</f>
        <v/>
      </c>
      <c r="N888" s="61" t="str">
        <f aca="false">IF(IsPro,IF($D888="","",IF(AND(V888&lt;&gt;"",INDEX(Parties!$E$5:$E$304,V888)&lt;&gt;"",INDEX(Parties!$E$5:$E$304,V888)&lt;&gt;HomeState),0,ROUND(L888*M888/2,2))),"")</f>
        <v/>
      </c>
      <c r="O888" s="61" t="str">
        <f aca="false">IF(IsPro,IF($D888="","",N888),"")</f>
        <v/>
      </c>
      <c r="P888" s="61" t="str">
        <f aca="false">IF(IsPro,IF($D888="","",IF(AND(V888&lt;&gt;"",INDEX(Parties!$E$5:$E$304,V888)&lt;&gt;"",INDEX(Parties!$E$5:$E$304,V888)&lt;&gt;HomeState),ROUND(L888*M888,2),0)),"")</f>
        <v/>
      </c>
      <c r="Q888" s="61" t="str">
        <f aca="false">IF(IsPro,IF($D888="","",L888+N888+O888+P888),"")</f>
        <v/>
      </c>
      <c r="R888" s="61" t="str">
        <f aca="false">IF(IsPro,IF($D888="","",ROUND(N($E888)*IFERROR(INDEX(Items!$P$5:$P$504,U888),0),2)),"")</f>
        <v/>
      </c>
      <c r="S888" s="61" t="str">
        <f aca="false">IF(IsPro,IF($D888="","",L888-R888),"")</f>
        <v/>
      </c>
      <c r="T888" s="60" t="str">
        <f aca="false">IF(IsPro,IF($D888="","",IF(U888="","UNKNOWN ITEM",IF(INDEX(Items!$O$5:$O$504,U888)&lt;0,"NEG STOCK",IF(K888&lt;INDEX(Items!$P$5:$P$504,U888),"BELOW COST","OK")))),IF($D888="","","PRO PLAN"))</f>
        <v/>
      </c>
      <c r="U888" s="60" t="str">
        <f aca="false">IF(IsPro,IF($D888="","",IFERROR(MATCH($D888,Items!$A$5:$A$504,0),"")),"")</f>
        <v/>
      </c>
      <c r="V888" s="60" t="str">
        <f aca="false">IF(IsPro,IF($C888="","",IFERROR(MATCH($C888,Parties!$A$5:$A$304,0),"")),"")</f>
        <v/>
      </c>
      <c r="W888" s="60" t="str">
        <f aca="false">IF(IsPro,IF($B888="","",IFERROR(VALUE(SUBSTITUTE($B888,InvPrefix,"")),0)),"")</f>
        <v/>
      </c>
      <c r="X888" s="61" t="str">
        <f aca="false">IF(IsPro,IF($D888="","",IF(OR($H888="",$H888="Credit"),0,Q888)),"")</f>
        <v/>
      </c>
    </row>
    <row r="889" customFormat="false" ht="15" hidden="false" customHeight="false" outlineLevel="0" collapsed="false">
      <c r="A889" s="55"/>
      <c r="B889" s="56"/>
      <c r="C889" s="56"/>
      <c r="D889" s="56"/>
      <c r="E889" s="57"/>
      <c r="F889" s="58"/>
      <c r="G889" s="59"/>
      <c r="H889" s="56"/>
      <c r="I889" s="56"/>
      <c r="J889" s="60" t="str">
        <f aca="false">IF(IsPro,IF($D889="","",IFERROR(INDEX(Items!$D$5:$D$504,U889),"")),"")</f>
        <v/>
      </c>
      <c r="K889" s="61" t="str">
        <f aca="false">IF(IsPro,IF($D889="","",IF($F889="",IFERROR(INDEX(Items!$H$5:$H$504,U889),0),$F889)),"")</f>
        <v/>
      </c>
      <c r="L889" s="61" t="str">
        <f aca="false">IF(IsPro,IF($D889="","",ROUND(N($E889)*K889*(1-N($G889)),2)),"")</f>
        <v/>
      </c>
      <c r="M889" s="62" t="str">
        <f aca="false">IF(IsPro,IF($D889="","",IFERROR(INDEX(Items!$F$5:$F$504,U889),0)),"")</f>
        <v/>
      </c>
      <c r="N889" s="61" t="str">
        <f aca="false">IF(IsPro,IF($D889="","",IF(AND(V889&lt;&gt;"",INDEX(Parties!$E$5:$E$304,V889)&lt;&gt;"",INDEX(Parties!$E$5:$E$304,V889)&lt;&gt;HomeState),0,ROUND(L889*M889/2,2))),"")</f>
        <v/>
      </c>
      <c r="O889" s="61" t="str">
        <f aca="false">IF(IsPro,IF($D889="","",N889),"")</f>
        <v/>
      </c>
      <c r="P889" s="61" t="str">
        <f aca="false">IF(IsPro,IF($D889="","",IF(AND(V889&lt;&gt;"",INDEX(Parties!$E$5:$E$304,V889)&lt;&gt;"",INDEX(Parties!$E$5:$E$304,V889)&lt;&gt;HomeState),ROUND(L889*M889,2),0)),"")</f>
        <v/>
      </c>
      <c r="Q889" s="61" t="str">
        <f aca="false">IF(IsPro,IF($D889="","",L889+N889+O889+P889),"")</f>
        <v/>
      </c>
      <c r="R889" s="61" t="str">
        <f aca="false">IF(IsPro,IF($D889="","",ROUND(N($E889)*IFERROR(INDEX(Items!$P$5:$P$504,U889),0),2)),"")</f>
        <v/>
      </c>
      <c r="S889" s="61" t="str">
        <f aca="false">IF(IsPro,IF($D889="","",L889-R889),"")</f>
        <v/>
      </c>
      <c r="T889" s="60" t="str">
        <f aca="false">IF(IsPro,IF($D889="","",IF(U889="","UNKNOWN ITEM",IF(INDEX(Items!$O$5:$O$504,U889)&lt;0,"NEG STOCK",IF(K889&lt;INDEX(Items!$P$5:$P$504,U889),"BELOW COST","OK")))),IF($D889="","","PRO PLAN"))</f>
        <v/>
      </c>
      <c r="U889" s="60" t="str">
        <f aca="false">IF(IsPro,IF($D889="","",IFERROR(MATCH($D889,Items!$A$5:$A$504,0),"")),"")</f>
        <v/>
      </c>
      <c r="V889" s="60" t="str">
        <f aca="false">IF(IsPro,IF($C889="","",IFERROR(MATCH($C889,Parties!$A$5:$A$304,0),"")),"")</f>
        <v/>
      </c>
      <c r="W889" s="60" t="str">
        <f aca="false">IF(IsPro,IF($B889="","",IFERROR(VALUE(SUBSTITUTE($B889,InvPrefix,"")),0)),"")</f>
        <v/>
      </c>
      <c r="X889" s="61" t="str">
        <f aca="false">IF(IsPro,IF($D889="","",IF(OR($H889="",$H889="Credit"),0,Q889)),"")</f>
        <v/>
      </c>
    </row>
    <row r="890" customFormat="false" ht="15" hidden="false" customHeight="false" outlineLevel="0" collapsed="false">
      <c r="A890" s="55"/>
      <c r="B890" s="56"/>
      <c r="C890" s="56"/>
      <c r="D890" s="56"/>
      <c r="E890" s="57"/>
      <c r="F890" s="58"/>
      <c r="G890" s="59"/>
      <c r="H890" s="56"/>
      <c r="I890" s="56"/>
      <c r="J890" s="60" t="str">
        <f aca="false">IF(IsPro,IF($D890="","",IFERROR(INDEX(Items!$D$5:$D$504,U890),"")),"")</f>
        <v/>
      </c>
      <c r="K890" s="61" t="str">
        <f aca="false">IF(IsPro,IF($D890="","",IF($F890="",IFERROR(INDEX(Items!$H$5:$H$504,U890),0),$F890)),"")</f>
        <v/>
      </c>
      <c r="L890" s="61" t="str">
        <f aca="false">IF(IsPro,IF($D890="","",ROUND(N($E890)*K890*(1-N($G890)),2)),"")</f>
        <v/>
      </c>
      <c r="M890" s="62" t="str">
        <f aca="false">IF(IsPro,IF($D890="","",IFERROR(INDEX(Items!$F$5:$F$504,U890),0)),"")</f>
        <v/>
      </c>
      <c r="N890" s="61" t="str">
        <f aca="false">IF(IsPro,IF($D890="","",IF(AND(V890&lt;&gt;"",INDEX(Parties!$E$5:$E$304,V890)&lt;&gt;"",INDEX(Parties!$E$5:$E$304,V890)&lt;&gt;HomeState),0,ROUND(L890*M890/2,2))),"")</f>
        <v/>
      </c>
      <c r="O890" s="61" t="str">
        <f aca="false">IF(IsPro,IF($D890="","",N890),"")</f>
        <v/>
      </c>
      <c r="P890" s="61" t="str">
        <f aca="false">IF(IsPro,IF($D890="","",IF(AND(V890&lt;&gt;"",INDEX(Parties!$E$5:$E$304,V890)&lt;&gt;"",INDEX(Parties!$E$5:$E$304,V890)&lt;&gt;HomeState),ROUND(L890*M890,2),0)),"")</f>
        <v/>
      </c>
      <c r="Q890" s="61" t="str">
        <f aca="false">IF(IsPro,IF($D890="","",L890+N890+O890+P890),"")</f>
        <v/>
      </c>
      <c r="R890" s="61" t="str">
        <f aca="false">IF(IsPro,IF($D890="","",ROUND(N($E890)*IFERROR(INDEX(Items!$P$5:$P$504,U890),0),2)),"")</f>
        <v/>
      </c>
      <c r="S890" s="61" t="str">
        <f aca="false">IF(IsPro,IF($D890="","",L890-R890),"")</f>
        <v/>
      </c>
      <c r="T890" s="60" t="str">
        <f aca="false">IF(IsPro,IF($D890="","",IF(U890="","UNKNOWN ITEM",IF(INDEX(Items!$O$5:$O$504,U890)&lt;0,"NEG STOCK",IF(K890&lt;INDEX(Items!$P$5:$P$504,U890),"BELOW COST","OK")))),IF($D890="","","PRO PLAN"))</f>
        <v/>
      </c>
      <c r="U890" s="60" t="str">
        <f aca="false">IF(IsPro,IF($D890="","",IFERROR(MATCH($D890,Items!$A$5:$A$504,0),"")),"")</f>
        <v/>
      </c>
      <c r="V890" s="60" t="str">
        <f aca="false">IF(IsPro,IF($C890="","",IFERROR(MATCH($C890,Parties!$A$5:$A$304,0),"")),"")</f>
        <v/>
      </c>
      <c r="W890" s="60" t="str">
        <f aca="false">IF(IsPro,IF($B890="","",IFERROR(VALUE(SUBSTITUTE($B890,InvPrefix,"")),0)),"")</f>
        <v/>
      </c>
      <c r="X890" s="61" t="str">
        <f aca="false">IF(IsPro,IF($D890="","",IF(OR($H890="",$H890="Credit"),0,Q890)),"")</f>
        <v/>
      </c>
    </row>
    <row r="891" customFormat="false" ht="15" hidden="false" customHeight="false" outlineLevel="0" collapsed="false">
      <c r="A891" s="55"/>
      <c r="B891" s="56"/>
      <c r="C891" s="56"/>
      <c r="D891" s="56"/>
      <c r="E891" s="57"/>
      <c r="F891" s="58"/>
      <c r="G891" s="59"/>
      <c r="H891" s="56"/>
      <c r="I891" s="56"/>
      <c r="J891" s="60" t="str">
        <f aca="false">IF(IsPro,IF($D891="","",IFERROR(INDEX(Items!$D$5:$D$504,U891),"")),"")</f>
        <v/>
      </c>
      <c r="K891" s="61" t="str">
        <f aca="false">IF(IsPro,IF($D891="","",IF($F891="",IFERROR(INDEX(Items!$H$5:$H$504,U891),0),$F891)),"")</f>
        <v/>
      </c>
      <c r="L891" s="61" t="str">
        <f aca="false">IF(IsPro,IF($D891="","",ROUND(N($E891)*K891*(1-N($G891)),2)),"")</f>
        <v/>
      </c>
      <c r="M891" s="62" t="str">
        <f aca="false">IF(IsPro,IF($D891="","",IFERROR(INDEX(Items!$F$5:$F$504,U891),0)),"")</f>
        <v/>
      </c>
      <c r="N891" s="61" t="str">
        <f aca="false">IF(IsPro,IF($D891="","",IF(AND(V891&lt;&gt;"",INDEX(Parties!$E$5:$E$304,V891)&lt;&gt;"",INDEX(Parties!$E$5:$E$304,V891)&lt;&gt;HomeState),0,ROUND(L891*M891/2,2))),"")</f>
        <v/>
      </c>
      <c r="O891" s="61" t="str">
        <f aca="false">IF(IsPro,IF($D891="","",N891),"")</f>
        <v/>
      </c>
      <c r="P891" s="61" t="str">
        <f aca="false">IF(IsPro,IF($D891="","",IF(AND(V891&lt;&gt;"",INDEX(Parties!$E$5:$E$304,V891)&lt;&gt;"",INDEX(Parties!$E$5:$E$304,V891)&lt;&gt;HomeState),ROUND(L891*M891,2),0)),"")</f>
        <v/>
      </c>
      <c r="Q891" s="61" t="str">
        <f aca="false">IF(IsPro,IF($D891="","",L891+N891+O891+P891),"")</f>
        <v/>
      </c>
      <c r="R891" s="61" t="str">
        <f aca="false">IF(IsPro,IF($D891="","",ROUND(N($E891)*IFERROR(INDEX(Items!$P$5:$P$504,U891),0),2)),"")</f>
        <v/>
      </c>
      <c r="S891" s="61" t="str">
        <f aca="false">IF(IsPro,IF($D891="","",L891-R891),"")</f>
        <v/>
      </c>
      <c r="T891" s="60" t="str">
        <f aca="false">IF(IsPro,IF($D891="","",IF(U891="","UNKNOWN ITEM",IF(INDEX(Items!$O$5:$O$504,U891)&lt;0,"NEG STOCK",IF(K891&lt;INDEX(Items!$P$5:$P$504,U891),"BELOW COST","OK")))),IF($D891="","","PRO PLAN"))</f>
        <v/>
      </c>
      <c r="U891" s="60" t="str">
        <f aca="false">IF(IsPro,IF($D891="","",IFERROR(MATCH($D891,Items!$A$5:$A$504,0),"")),"")</f>
        <v/>
      </c>
      <c r="V891" s="60" t="str">
        <f aca="false">IF(IsPro,IF($C891="","",IFERROR(MATCH($C891,Parties!$A$5:$A$304,0),"")),"")</f>
        <v/>
      </c>
      <c r="W891" s="60" t="str">
        <f aca="false">IF(IsPro,IF($B891="","",IFERROR(VALUE(SUBSTITUTE($B891,InvPrefix,"")),0)),"")</f>
        <v/>
      </c>
      <c r="X891" s="61" t="str">
        <f aca="false">IF(IsPro,IF($D891="","",IF(OR($H891="",$H891="Credit"),0,Q891)),"")</f>
        <v/>
      </c>
    </row>
    <row r="892" customFormat="false" ht="15" hidden="false" customHeight="false" outlineLevel="0" collapsed="false">
      <c r="A892" s="55"/>
      <c r="B892" s="56"/>
      <c r="C892" s="56"/>
      <c r="D892" s="56"/>
      <c r="E892" s="57"/>
      <c r="F892" s="58"/>
      <c r="G892" s="59"/>
      <c r="H892" s="56"/>
      <c r="I892" s="56"/>
      <c r="J892" s="60" t="str">
        <f aca="false">IF(IsPro,IF($D892="","",IFERROR(INDEX(Items!$D$5:$D$504,U892),"")),"")</f>
        <v/>
      </c>
      <c r="K892" s="61" t="str">
        <f aca="false">IF(IsPro,IF($D892="","",IF($F892="",IFERROR(INDEX(Items!$H$5:$H$504,U892),0),$F892)),"")</f>
        <v/>
      </c>
      <c r="L892" s="61" t="str">
        <f aca="false">IF(IsPro,IF($D892="","",ROUND(N($E892)*K892*(1-N($G892)),2)),"")</f>
        <v/>
      </c>
      <c r="M892" s="62" t="str">
        <f aca="false">IF(IsPro,IF($D892="","",IFERROR(INDEX(Items!$F$5:$F$504,U892),0)),"")</f>
        <v/>
      </c>
      <c r="N892" s="61" t="str">
        <f aca="false">IF(IsPro,IF($D892="","",IF(AND(V892&lt;&gt;"",INDEX(Parties!$E$5:$E$304,V892)&lt;&gt;"",INDEX(Parties!$E$5:$E$304,V892)&lt;&gt;HomeState),0,ROUND(L892*M892/2,2))),"")</f>
        <v/>
      </c>
      <c r="O892" s="61" t="str">
        <f aca="false">IF(IsPro,IF($D892="","",N892),"")</f>
        <v/>
      </c>
      <c r="P892" s="61" t="str">
        <f aca="false">IF(IsPro,IF($D892="","",IF(AND(V892&lt;&gt;"",INDEX(Parties!$E$5:$E$304,V892)&lt;&gt;"",INDEX(Parties!$E$5:$E$304,V892)&lt;&gt;HomeState),ROUND(L892*M892,2),0)),"")</f>
        <v/>
      </c>
      <c r="Q892" s="61" t="str">
        <f aca="false">IF(IsPro,IF($D892="","",L892+N892+O892+P892),"")</f>
        <v/>
      </c>
      <c r="R892" s="61" t="str">
        <f aca="false">IF(IsPro,IF($D892="","",ROUND(N($E892)*IFERROR(INDEX(Items!$P$5:$P$504,U892),0),2)),"")</f>
        <v/>
      </c>
      <c r="S892" s="61" t="str">
        <f aca="false">IF(IsPro,IF($D892="","",L892-R892),"")</f>
        <v/>
      </c>
      <c r="T892" s="60" t="str">
        <f aca="false">IF(IsPro,IF($D892="","",IF(U892="","UNKNOWN ITEM",IF(INDEX(Items!$O$5:$O$504,U892)&lt;0,"NEG STOCK",IF(K892&lt;INDEX(Items!$P$5:$P$504,U892),"BELOW COST","OK")))),IF($D892="","","PRO PLAN"))</f>
        <v/>
      </c>
      <c r="U892" s="60" t="str">
        <f aca="false">IF(IsPro,IF($D892="","",IFERROR(MATCH($D892,Items!$A$5:$A$504,0),"")),"")</f>
        <v/>
      </c>
      <c r="V892" s="60" t="str">
        <f aca="false">IF(IsPro,IF($C892="","",IFERROR(MATCH($C892,Parties!$A$5:$A$304,0),"")),"")</f>
        <v/>
      </c>
      <c r="W892" s="60" t="str">
        <f aca="false">IF(IsPro,IF($B892="","",IFERROR(VALUE(SUBSTITUTE($B892,InvPrefix,"")),0)),"")</f>
        <v/>
      </c>
      <c r="X892" s="61" t="str">
        <f aca="false">IF(IsPro,IF($D892="","",IF(OR($H892="",$H892="Credit"),0,Q892)),"")</f>
        <v/>
      </c>
    </row>
    <row r="893" customFormat="false" ht="15" hidden="false" customHeight="false" outlineLevel="0" collapsed="false">
      <c r="A893" s="55"/>
      <c r="B893" s="56"/>
      <c r="C893" s="56"/>
      <c r="D893" s="56"/>
      <c r="E893" s="57"/>
      <c r="F893" s="58"/>
      <c r="G893" s="59"/>
      <c r="H893" s="56"/>
      <c r="I893" s="56"/>
      <c r="J893" s="60" t="str">
        <f aca="false">IF(IsPro,IF($D893="","",IFERROR(INDEX(Items!$D$5:$D$504,U893),"")),"")</f>
        <v/>
      </c>
      <c r="K893" s="61" t="str">
        <f aca="false">IF(IsPro,IF($D893="","",IF($F893="",IFERROR(INDEX(Items!$H$5:$H$504,U893),0),$F893)),"")</f>
        <v/>
      </c>
      <c r="L893" s="61" t="str">
        <f aca="false">IF(IsPro,IF($D893="","",ROUND(N($E893)*K893*(1-N($G893)),2)),"")</f>
        <v/>
      </c>
      <c r="M893" s="62" t="str">
        <f aca="false">IF(IsPro,IF($D893="","",IFERROR(INDEX(Items!$F$5:$F$504,U893),0)),"")</f>
        <v/>
      </c>
      <c r="N893" s="61" t="str">
        <f aca="false">IF(IsPro,IF($D893="","",IF(AND(V893&lt;&gt;"",INDEX(Parties!$E$5:$E$304,V893)&lt;&gt;"",INDEX(Parties!$E$5:$E$304,V893)&lt;&gt;HomeState),0,ROUND(L893*M893/2,2))),"")</f>
        <v/>
      </c>
      <c r="O893" s="61" t="str">
        <f aca="false">IF(IsPro,IF($D893="","",N893),"")</f>
        <v/>
      </c>
      <c r="P893" s="61" t="str">
        <f aca="false">IF(IsPro,IF($D893="","",IF(AND(V893&lt;&gt;"",INDEX(Parties!$E$5:$E$304,V893)&lt;&gt;"",INDEX(Parties!$E$5:$E$304,V893)&lt;&gt;HomeState),ROUND(L893*M893,2),0)),"")</f>
        <v/>
      </c>
      <c r="Q893" s="61" t="str">
        <f aca="false">IF(IsPro,IF($D893="","",L893+N893+O893+P893),"")</f>
        <v/>
      </c>
      <c r="R893" s="61" t="str">
        <f aca="false">IF(IsPro,IF($D893="","",ROUND(N($E893)*IFERROR(INDEX(Items!$P$5:$P$504,U893),0),2)),"")</f>
        <v/>
      </c>
      <c r="S893" s="61" t="str">
        <f aca="false">IF(IsPro,IF($D893="","",L893-R893),"")</f>
        <v/>
      </c>
      <c r="T893" s="60" t="str">
        <f aca="false">IF(IsPro,IF($D893="","",IF(U893="","UNKNOWN ITEM",IF(INDEX(Items!$O$5:$O$504,U893)&lt;0,"NEG STOCK",IF(K893&lt;INDEX(Items!$P$5:$P$504,U893),"BELOW COST","OK")))),IF($D893="","","PRO PLAN"))</f>
        <v/>
      </c>
      <c r="U893" s="60" t="str">
        <f aca="false">IF(IsPro,IF($D893="","",IFERROR(MATCH($D893,Items!$A$5:$A$504,0),"")),"")</f>
        <v/>
      </c>
      <c r="V893" s="60" t="str">
        <f aca="false">IF(IsPro,IF($C893="","",IFERROR(MATCH($C893,Parties!$A$5:$A$304,0),"")),"")</f>
        <v/>
      </c>
      <c r="W893" s="60" t="str">
        <f aca="false">IF(IsPro,IF($B893="","",IFERROR(VALUE(SUBSTITUTE($B893,InvPrefix,"")),0)),"")</f>
        <v/>
      </c>
      <c r="X893" s="61" t="str">
        <f aca="false">IF(IsPro,IF($D893="","",IF(OR($H893="",$H893="Credit"),0,Q893)),"")</f>
        <v/>
      </c>
    </row>
    <row r="894" customFormat="false" ht="15" hidden="false" customHeight="false" outlineLevel="0" collapsed="false">
      <c r="A894" s="55"/>
      <c r="B894" s="56"/>
      <c r="C894" s="56"/>
      <c r="D894" s="56"/>
      <c r="E894" s="57"/>
      <c r="F894" s="58"/>
      <c r="G894" s="59"/>
      <c r="H894" s="56"/>
      <c r="I894" s="56"/>
      <c r="J894" s="60" t="str">
        <f aca="false">IF(IsPro,IF($D894="","",IFERROR(INDEX(Items!$D$5:$D$504,U894),"")),"")</f>
        <v/>
      </c>
      <c r="K894" s="61" t="str">
        <f aca="false">IF(IsPro,IF($D894="","",IF($F894="",IFERROR(INDEX(Items!$H$5:$H$504,U894),0),$F894)),"")</f>
        <v/>
      </c>
      <c r="L894" s="61" t="str">
        <f aca="false">IF(IsPro,IF($D894="","",ROUND(N($E894)*K894*(1-N($G894)),2)),"")</f>
        <v/>
      </c>
      <c r="M894" s="62" t="str">
        <f aca="false">IF(IsPro,IF($D894="","",IFERROR(INDEX(Items!$F$5:$F$504,U894),0)),"")</f>
        <v/>
      </c>
      <c r="N894" s="61" t="str">
        <f aca="false">IF(IsPro,IF($D894="","",IF(AND(V894&lt;&gt;"",INDEX(Parties!$E$5:$E$304,V894)&lt;&gt;"",INDEX(Parties!$E$5:$E$304,V894)&lt;&gt;HomeState),0,ROUND(L894*M894/2,2))),"")</f>
        <v/>
      </c>
      <c r="O894" s="61" t="str">
        <f aca="false">IF(IsPro,IF($D894="","",N894),"")</f>
        <v/>
      </c>
      <c r="P894" s="61" t="str">
        <f aca="false">IF(IsPro,IF($D894="","",IF(AND(V894&lt;&gt;"",INDEX(Parties!$E$5:$E$304,V894)&lt;&gt;"",INDEX(Parties!$E$5:$E$304,V894)&lt;&gt;HomeState),ROUND(L894*M894,2),0)),"")</f>
        <v/>
      </c>
      <c r="Q894" s="61" t="str">
        <f aca="false">IF(IsPro,IF($D894="","",L894+N894+O894+P894),"")</f>
        <v/>
      </c>
      <c r="R894" s="61" t="str">
        <f aca="false">IF(IsPro,IF($D894="","",ROUND(N($E894)*IFERROR(INDEX(Items!$P$5:$P$504,U894),0),2)),"")</f>
        <v/>
      </c>
      <c r="S894" s="61" t="str">
        <f aca="false">IF(IsPro,IF($D894="","",L894-R894),"")</f>
        <v/>
      </c>
      <c r="T894" s="60" t="str">
        <f aca="false">IF(IsPro,IF($D894="","",IF(U894="","UNKNOWN ITEM",IF(INDEX(Items!$O$5:$O$504,U894)&lt;0,"NEG STOCK",IF(K894&lt;INDEX(Items!$P$5:$P$504,U894),"BELOW COST","OK")))),IF($D894="","","PRO PLAN"))</f>
        <v/>
      </c>
      <c r="U894" s="60" t="str">
        <f aca="false">IF(IsPro,IF($D894="","",IFERROR(MATCH($D894,Items!$A$5:$A$504,0),"")),"")</f>
        <v/>
      </c>
      <c r="V894" s="60" t="str">
        <f aca="false">IF(IsPro,IF($C894="","",IFERROR(MATCH($C894,Parties!$A$5:$A$304,0),"")),"")</f>
        <v/>
      </c>
      <c r="W894" s="60" t="str">
        <f aca="false">IF(IsPro,IF($B894="","",IFERROR(VALUE(SUBSTITUTE($B894,InvPrefix,"")),0)),"")</f>
        <v/>
      </c>
      <c r="X894" s="61" t="str">
        <f aca="false">IF(IsPro,IF($D894="","",IF(OR($H894="",$H894="Credit"),0,Q894)),"")</f>
        <v/>
      </c>
    </row>
    <row r="895" customFormat="false" ht="15" hidden="false" customHeight="false" outlineLevel="0" collapsed="false">
      <c r="A895" s="55"/>
      <c r="B895" s="56"/>
      <c r="C895" s="56"/>
      <c r="D895" s="56"/>
      <c r="E895" s="57"/>
      <c r="F895" s="58"/>
      <c r="G895" s="59"/>
      <c r="H895" s="56"/>
      <c r="I895" s="56"/>
      <c r="J895" s="60" t="str">
        <f aca="false">IF(IsPro,IF($D895="","",IFERROR(INDEX(Items!$D$5:$D$504,U895),"")),"")</f>
        <v/>
      </c>
      <c r="K895" s="61" t="str">
        <f aca="false">IF(IsPro,IF($D895="","",IF($F895="",IFERROR(INDEX(Items!$H$5:$H$504,U895),0),$F895)),"")</f>
        <v/>
      </c>
      <c r="L895" s="61" t="str">
        <f aca="false">IF(IsPro,IF($D895="","",ROUND(N($E895)*K895*(1-N($G895)),2)),"")</f>
        <v/>
      </c>
      <c r="M895" s="62" t="str">
        <f aca="false">IF(IsPro,IF($D895="","",IFERROR(INDEX(Items!$F$5:$F$504,U895),0)),"")</f>
        <v/>
      </c>
      <c r="N895" s="61" t="str">
        <f aca="false">IF(IsPro,IF($D895="","",IF(AND(V895&lt;&gt;"",INDEX(Parties!$E$5:$E$304,V895)&lt;&gt;"",INDEX(Parties!$E$5:$E$304,V895)&lt;&gt;HomeState),0,ROUND(L895*M895/2,2))),"")</f>
        <v/>
      </c>
      <c r="O895" s="61" t="str">
        <f aca="false">IF(IsPro,IF($D895="","",N895),"")</f>
        <v/>
      </c>
      <c r="P895" s="61" t="str">
        <f aca="false">IF(IsPro,IF($D895="","",IF(AND(V895&lt;&gt;"",INDEX(Parties!$E$5:$E$304,V895)&lt;&gt;"",INDEX(Parties!$E$5:$E$304,V895)&lt;&gt;HomeState),ROUND(L895*M895,2),0)),"")</f>
        <v/>
      </c>
      <c r="Q895" s="61" t="str">
        <f aca="false">IF(IsPro,IF($D895="","",L895+N895+O895+P895),"")</f>
        <v/>
      </c>
      <c r="R895" s="61" t="str">
        <f aca="false">IF(IsPro,IF($D895="","",ROUND(N($E895)*IFERROR(INDEX(Items!$P$5:$P$504,U895),0),2)),"")</f>
        <v/>
      </c>
      <c r="S895" s="61" t="str">
        <f aca="false">IF(IsPro,IF($D895="","",L895-R895),"")</f>
        <v/>
      </c>
      <c r="T895" s="60" t="str">
        <f aca="false">IF(IsPro,IF($D895="","",IF(U895="","UNKNOWN ITEM",IF(INDEX(Items!$O$5:$O$504,U895)&lt;0,"NEG STOCK",IF(K895&lt;INDEX(Items!$P$5:$P$504,U895),"BELOW COST","OK")))),IF($D895="","","PRO PLAN"))</f>
        <v/>
      </c>
      <c r="U895" s="60" t="str">
        <f aca="false">IF(IsPro,IF($D895="","",IFERROR(MATCH($D895,Items!$A$5:$A$504,0),"")),"")</f>
        <v/>
      </c>
      <c r="V895" s="60" t="str">
        <f aca="false">IF(IsPro,IF($C895="","",IFERROR(MATCH($C895,Parties!$A$5:$A$304,0),"")),"")</f>
        <v/>
      </c>
      <c r="W895" s="60" t="str">
        <f aca="false">IF(IsPro,IF($B895="","",IFERROR(VALUE(SUBSTITUTE($B895,InvPrefix,"")),0)),"")</f>
        <v/>
      </c>
      <c r="X895" s="61" t="str">
        <f aca="false">IF(IsPro,IF($D895="","",IF(OR($H895="",$H895="Credit"),0,Q895)),"")</f>
        <v/>
      </c>
    </row>
    <row r="896" customFormat="false" ht="15" hidden="false" customHeight="false" outlineLevel="0" collapsed="false">
      <c r="A896" s="55"/>
      <c r="B896" s="56"/>
      <c r="C896" s="56"/>
      <c r="D896" s="56"/>
      <c r="E896" s="57"/>
      <c r="F896" s="58"/>
      <c r="G896" s="59"/>
      <c r="H896" s="56"/>
      <c r="I896" s="56"/>
      <c r="J896" s="60" t="str">
        <f aca="false">IF(IsPro,IF($D896="","",IFERROR(INDEX(Items!$D$5:$D$504,U896),"")),"")</f>
        <v/>
      </c>
      <c r="K896" s="61" t="str">
        <f aca="false">IF(IsPro,IF($D896="","",IF($F896="",IFERROR(INDEX(Items!$H$5:$H$504,U896),0),$F896)),"")</f>
        <v/>
      </c>
      <c r="L896" s="61" t="str">
        <f aca="false">IF(IsPro,IF($D896="","",ROUND(N($E896)*K896*(1-N($G896)),2)),"")</f>
        <v/>
      </c>
      <c r="M896" s="62" t="str">
        <f aca="false">IF(IsPro,IF($D896="","",IFERROR(INDEX(Items!$F$5:$F$504,U896),0)),"")</f>
        <v/>
      </c>
      <c r="N896" s="61" t="str">
        <f aca="false">IF(IsPro,IF($D896="","",IF(AND(V896&lt;&gt;"",INDEX(Parties!$E$5:$E$304,V896)&lt;&gt;"",INDEX(Parties!$E$5:$E$304,V896)&lt;&gt;HomeState),0,ROUND(L896*M896/2,2))),"")</f>
        <v/>
      </c>
      <c r="O896" s="61" t="str">
        <f aca="false">IF(IsPro,IF($D896="","",N896),"")</f>
        <v/>
      </c>
      <c r="P896" s="61" t="str">
        <f aca="false">IF(IsPro,IF($D896="","",IF(AND(V896&lt;&gt;"",INDEX(Parties!$E$5:$E$304,V896)&lt;&gt;"",INDEX(Parties!$E$5:$E$304,V896)&lt;&gt;HomeState),ROUND(L896*M896,2),0)),"")</f>
        <v/>
      </c>
      <c r="Q896" s="61" t="str">
        <f aca="false">IF(IsPro,IF($D896="","",L896+N896+O896+P896),"")</f>
        <v/>
      </c>
      <c r="R896" s="61" t="str">
        <f aca="false">IF(IsPro,IF($D896="","",ROUND(N($E896)*IFERROR(INDEX(Items!$P$5:$P$504,U896),0),2)),"")</f>
        <v/>
      </c>
      <c r="S896" s="61" t="str">
        <f aca="false">IF(IsPro,IF($D896="","",L896-R896),"")</f>
        <v/>
      </c>
      <c r="T896" s="60" t="str">
        <f aca="false">IF(IsPro,IF($D896="","",IF(U896="","UNKNOWN ITEM",IF(INDEX(Items!$O$5:$O$504,U896)&lt;0,"NEG STOCK",IF(K896&lt;INDEX(Items!$P$5:$P$504,U896),"BELOW COST","OK")))),IF($D896="","","PRO PLAN"))</f>
        <v/>
      </c>
      <c r="U896" s="60" t="str">
        <f aca="false">IF(IsPro,IF($D896="","",IFERROR(MATCH($D896,Items!$A$5:$A$504,0),"")),"")</f>
        <v/>
      </c>
      <c r="V896" s="60" t="str">
        <f aca="false">IF(IsPro,IF($C896="","",IFERROR(MATCH($C896,Parties!$A$5:$A$304,0),"")),"")</f>
        <v/>
      </c>
      <c r="W896" s="60" t="str">
        <f aca="false">IF(IsPro,IF($B896="","",IFERROR(VALUE(SUBSTITUTE($B896,InvPrefix,"")),0)),"")</f>
        <v/>
      </c>
      <c r="X896" s="61" t="str">
        <f aca="false">IF(IsPro,IF($D896="","",IF(OR($H896="",$H896="Credit"),0,Q896)),"")</f>
        <v/>
      </c>
    </row>
    <row r="897" customFormat="false" ht="15" hidden="false" customHeight="false" outlineLevel="0" collapsed="false">
      <c r="A897" s="55"/>
      <c r="B897" s="56"/>
      <c r="C897" s="56"/>
      <c r="D897" s="56"/>
      <c r="E897" s="57"/>
      <c r="F897" s="58"/>
      <c r="G897" s="59"/>
      <c r="H897" s="56"/>
      <c r="I897" s="56"/>
      <c r="J897" s="60" t="str">
        <f aca="false">IF(IsPro,IF($D897="","",IFERROR(INDEX(Items!$D$5:$D$504,U897),"")),"")</f>
        <v/>
      </c>
      <c r="K897" s="61" t="str">
        <f aca="false">IF(IsPro,IF($D897="","",IF($F897="",IFERROR(INDEX(Items!$H$5:$H$504,U897),0),$F897)),"")</f>
        <v/>
      </c>
      <c r="L897" s="61" t="str">
        <f aca="false">IF(IsPro,IF($D897="","",ROUND(N($E897)*K897*(1-N($G897)),2)),"")</f>
        <v/>
      </c>
      <c r="M897" s="62" t="str">
        <f aca="false">IF(IsPro,IF($D897="","",IFERROR(INDEX(Items!$F$5:$F$504,U897),0)),"")</f>
        <v/>
      </c>
      <c r="N897" s="61" t="str">
        <f aca="false">IF(IsPro,IF($D897="","",IF(AND(V897&lt;&gt;"",INDEX(Parties!$E$5:$E$304,V897)&lt;&gt;"",INDEX(Parties!$E$5:$E$304,V897)&lt;&gt;HomeState),0,ROUND(L897*M897/2,2))),"")</f>
        <v/>
      </c>
      <c r="O897" s="61" t="str">
        <f aca="false">IF(IsPro,IF($D897="","",N897),"")</f>
        <v/>
      </c>
      <c r="P897" s="61" t="str">
        <f aca="false">IF(IsPro,IF($D897="","",IF(AND(V897&lt;&gt;"",INDEX(Parties!$E$5:$E$304,V897)&lt;&gt;"",INDEX(Parties!$E$5:$E$304,V897)&lt;&gt;HomeState),ROUND(L897*M897,2),0)),"")</f>
        <v/>
      </c>
      <c r="Q897" s="61" t="str">
        <f aca="false">IF(IsPro,IF($D897="","",L897+N897+O897+P897),"")</f>
        <v/>
      </c>
      <c r="R897" s="61" t="str">
        <f aca="false">IF(IsPro,IF($D897="","",ROUND(N($E897)*IFERROR(INDEX(Items!$P$5:$P$504,U897),0),2)),"")</f>
        <v/>
      </c>
      <c r="S897" s="61" t="str">
        <f aca="false">IF(IsPro,IF($D897="","",L897-R897),"")</f>
        <v/>
      </c>
      <c r="T897" s="60" t="str">
        <f aca="false">IF(IsPro,IF($D897="","",IF(U897="","UNKNOWN ITEM",IF(INDEX(Items!$O$5:$O$504,U897)&lt;0,"NEG STOCK",IF(K897&lt;INDEX(Items!$P$5:$P$504,U897),"BELOW COST","OK")))),IF($D897="","","PRO PLAN"))</f>
        <v/>
      </c>
      <c r="U897" s="60" t="str">
        <f aca="false">IF(IsPro,IF($D897="","",IFERROR(MATCH($D897,Items!$A$5:$A$504,0),"")),"")</f>
        <v/>
      </c>
      <c r="V897" s="60" t="str">
        <f aca="false">IF(IsPro,IF($C897="","",IFERROR(MATCH($C897,Parties!$A$5:$A$304,0),"")),"")</f>
        <v/>
      </c>
      <c r="W897" s="60" t="str">
        <f aca="false">IF(IsPro,IF($B897="","",IFERROR(VALUE(SUBSTITUTE($B897,InvPrefix,"")),0)),"")</f>
        <v/>
      </c>
      <c r="X897" s="61" t="str">
        <f aca="false">IF(IsPro,IF($D897="","",IF(OR($H897="",$H897="Credit"),0,Q897)),"")</f>
        <v/>
      </c>
    </row>
    <row r="898" customFormat="false" ht="15" hidden="false" customHeight="false" outlineLevel="0" collapsed="false">
      <c r="A898" s="55"/>
      <c r="B898" s="56"/>
      <c r="C898" s="56"/>
      <c r="D898" s="56"/>
      <c r="E898" s="57"/>
      <c r="F898" s="58"/>
      <c r="G898" s="59"/>
      <c r="H898" s="56"/>
      <c r="I898" s="56"/>
      <c r="J898" s="60" t="str">
        <f aca="false">IF(IsPro,IF($D898="","",IFERROR(INDEX(Items!$D$5:$D$504,U898),"")),"")</f>
        <v/>
      </c>
      <c r="K898" s="61" t="str">
        <f aca="false">IF(IsPro,IF($D898="","",IF($F898="",IFERROR(INDEX(Items!$H$5:$H$504,U898),0),$F898)),"")</f>
        <v/>
      </c>
      <c r="L898" s="61" t="str">
        <f aca="false">IF(IsPro,IF($D898="","",ROUND(N($E898)*K898*(1-N($G898)),2)),"")</f>
        <v/>
      </c>
      <c r="M898" s="62" t="str">
        <f aca="false">IF(IsPro,IF($D898="","",IFERROR(INDEX(Items!$F$5:$F$504,U898),0)),"")</f>
        <v/>
      </c>
      <c r="N898" s="61" t="str">
        <f aca="false">IF(IsPro,IF($D898="","",IF(AND(V898&lt;&gt;"",INDEX(Parties!$E$5:$E$304,V898)&lt;&gt;"",INDEX(Parties!$E$5:$E$304,V898)&lt;&gt;HomeState),0,ROUND(L898*M898/2,2))),"")</f>
        <v/>
      </c>
      <c r="O898" s="61" t="str">
        <f aca="false">IF(IsPro,IF($D898="","",N898),"")</f>
        <v/>
      </c>
      <c r="P898" s="61" t="str">
        <f aca="false">IF(IsPro,IF($D898="","",IF(AND(V898&lt;&gt;"",INDEX(Parties!$E$5:$E$304,V898)&lt;&gt;"",INDEX(Parties!$E$5:$E$304,V898)&lt;&gt;HomeState),ROUND(L898*M898,2),0)),"")</f>
        <v/>
      </c>
      <c r="Q898" s="61" t="str">
        <f aca="false">IF(IsPro,IF($D898="","",L898+N898+O898+P898),"")</f>
        <v/>
      </c>
      <c r="R898" s="61" t="str">
        <f aca="false">IF(IsPro,IF($D898="","",ROUND(N($E898)*IFERROR(INDEX(Items!$P$5:$P$504,U898),0),2)),"")</f>
        <v/>
      </c>
      <c r="S898" s="61" t="str">
        <f aca="false">IF(IsPro,IF($D898="","",L898-R898),"")</f>
        <v/>
      </c>
      <c r="T898" s="60" t="str">
        <f aca="false">IF(IsPro,IF($D898="","",IF(U898="","UNKNOWN ITEM",IF(INDEX(Items!$O$5:$O$504,U898)&lt;0,"NEG STOCK",IF(K898&lt;INDEX(Items!$P$5:$P$504,U898),"BELOW COST","OK")))),IF($D898="","","PRO PLAN"))</f>
        <v/>
      </c>
      <c r="U898" s="60" t="str">
        <f aca="false">IF(IsPro,IF($D898="","",IFERROR(MATCH($D898,Items!$A$5:$A$504,0),"")),"")</f>
        <v/>
      </c>
      <c r="V898" s="60" t="str">
        <f aca="false">IF(IsPro,IF($C898="","",IFERROR(MATCH($C898,Parties!$A$5:$A$304,0),"")),"")</f>
        <v/>
      </c>
      <c r="W898" s="60" t="str">
        <f aca="false">IF(IsPro,IF($B898="","",IFERROR(VALUE(SUBSTITUTE($B898,InvPrefix,"")),0)),"")</f>
        <v/>
      </c>
      <c r="X898" s="61" t="str">
        <f aca="false">IF(IsPro,IF($D898="","",IF(OR($H898="",$H898="Credit"),0,Q898)),"")</f>
        <v/>
      </c>
    </row>
    <row r="899" customFormat="false" ht="15" hidden="false" customHeight="false" outlineLevel="0" collapsed="false">
      <c r="A899" s="55"/>
      <c r="B899" s="56"/>
      <c r="C899" s="56"/>
      <c r="D899" s="56"/>
      <c r="E899" s="57"/>
      <c r="F899" s="58"/>
      <c r="G899" s="59"/>
      <c r="H899" s="56"/>
      <c r="I899" s="56"/>
      <c r="J899" s="60" t="str">
        <f aca="false">IF(IsPro,IF($D899="","",IFERROR(INDEX(Items!$D$5:$D$504,U899),"")),"")</f>
        <v/>
      </c>
      <c r="K899" s="61" t="str">
        <f aca="false">IF(IsPro,IF($D899="","",IF($F899="",IFERROR(INDEX(Items!$H$5:$H$504,U899),0),$F899)),"")</f>
        <v/>
      </c>
      <c r="L899" s="61" t="str">
        <f aca="false">IF(IsPro,IF($D899="","",ROUND(N($E899)*K899*(1-N($G899)),2)),"")</f>
        <v/>
      </c>
      <c r="M899" s="62" t="str">
        <f aca="false">IF(IsPro,IF($D899="","",IFERROR(INDEX(Items!$F$5:$F$504,U899),0)),"")</f>
        <v/>
      </c>
      <c r="N899" s="61" t="str">
        <f aca="false">IF(IsPro,IF($D899="","",IF(AND(V899&lt;&gt;"",INDEX(Parties!$E$5:$E$304,V899)&lt;&gt;"",INDEX(Parties!$E$5:$E$304,V899)&lt;&gt;HomeState),0,ROUND(L899*M899/2,2))),"")</f>
        <v/>
      </c>
      <c r="O899" s="61" t="str">
        <f aca="false">IF(IsPro,IF($D899="","",N899),"")</f>
        <v/>
      </c>
      <c r="P899" s="61" t="str">
        <f aca="false">IF(IsPro,IF($D899="","",IF(AND(V899&lt;&gt;"",INDEX(Parties!$E$5:$E$304,V899)&lt;&gt;"",INDEX(Parties!$E$5:$E$304,V899)&lt;&gt;HomeState),ROUND(L899*M899,2),0)),"")</f>
        <v/>
      </c>
      <c r="Q899" s="61" t="str">
        <f aca="false">IF(IsPro,IF($D899="","",L899+N899+O899+P899),"")</f>
        <v/>
      </c>
      <c r="R899" s="61" t="str">
        <f aca="false">IF(IsPro,IF($D899="","",ROUND(N($E899)*IFERROR(INDEX(Items!$P$5:$P$504,U899),0),2)),"")</f>
        <v/>
      </c>
      <c r="S899" s="61" t="str">
        <f aca="false">IF(IsPro,IF($D899="","",L899-R899),"")</f>
        <v/>
      </c>
      <c r="T899" s="60" t="str">
        <f aca="false">IF(IsPro,IF($D899="","",IF(U899="","UNKNOWN ITEM",IF(INDEX(Items!$O$5:$O$504,U899)&lt;0,"NEG STOCK",IF(K899&lt;INDEX(Items!$P$5:$P$504,U899),"BELOW COST","OK")))),IF($D899="","","PRO PLAN"))</f>
        <v/>
      </c>
      <c r="U899" s="60" t="str">
        <f aca="false">IF(IsPro,IF($D899="","",IFERROR(MATCH($D899,Items!$A$5:$A$504,0),"")),"")</f>
        <v/>
      </c>
      <c r="V899" s="60" t="str">
        <f aca="false">IF(IsPro,IF($C899="","",IFERROR(MATCH($C899,Parties!$A$5:$A$304,0),"")),"")</f>
        <v/>
      </c>
      <c r="W899" s="60" t="str">
        <f aca="false">IF(IsPro,IF($B899="","",IFERROR(VALUE(SUBSTITUTE($B899,InvPrefix,"")),0)),"")</f>
        <v/>
      </c>
      <c r="X899" s="61" t="str">
        <f aca="false">IF(IsPro,IF($D899="","",IF(OR($H899="",$H899="Credit"),0,Q899)),"")</f>
        <v/>
      </c>
    </row>
    <row r="900" customFormat="false" ht="15" hidden="false" customHeight="false" outlineLevel="0" collapsed="false">
      <c r="A900" s="55"/>
      <c r="B900" s="56"/>
      <c r="C900" s="56"/>
      <c r="D900" s="56"/>
      <c r="E900" s="57"/>
      <c r="F900" s="58"/>
      <c r="G900" s="59"/>
      <c r="H900" s="56"/>
      <c r="I900" s="56"/>
      <c r="J900" s="60" t="str">
        <f aca="false">IF(IsPro,IF($D900="","",IFERROR(INDEX(Items!$D$5:$D$504,U900),"")),"")</f>
        <v/>
      </c>
      <c r="K900" s="61" t="str">
        <f aca="false">IF(IsPro,IF($D900="","",IF($F900="",IFERROR(INDEX(Items!$H$5:$H$504,U900),0),$F900)),"")</f>
        <v/>
      </c>
      <c r="L900" s="61" t="str">
        <f aca="false">IF(IsPro,IF($D900="","",ROUND(N($E900)*K900*(1-N($G900)),2)),"")</f>
        <v/>
      </c>
      <c r="M900" s="62" t="str">
        <f aca="false">IF(IsPro,IF($D900="","",IFERROR(INDEX(Items!$F$5:$F$504,U900),0)),"")</f>
        <v/>
      </c>
      <c r="N900" s="61" t="str">
        <f aca="false">IF(IsPro,IF($D900="","",IF(AND(V900&lt;&gt;"",INDEX(Parties!$E$5:$E$304,V900)&lt;&gt;"",INDEX(Parties!$E$5:$E$304,V900)&lt;&gt;HomeState),0,ROUND(L900*M900/2,2))),"")</f>
        <v/>
      </c>
      <c r="O900" s="61" t="str">
        <f aca="false">IF(IsPro,IF($D900="","",N900),"")</f>
        <v/>
      </c>
      <c r="P900" s="61" t="str">
        <f aca="false">IF(IsPro,IF($D900="","",IF(AND(V900&lt;&gt;"",INDEX(Parties!$E$5:$E$304,V900)&lt;&gt;"",INDEX(Parties!$E$5:$E$304,V900)&lt;&gt;HomeState),ROUND(L900*M900,2),0)),"")</f>
        <v/>
      </c>
      <c r="Q900" s="61" t="str">
        <f aca="false">IF(IsPro,IF($D900="","",L900+N900+O900+P900),"")</f>
        <v/>
      </c>
      <c r="R900" s="61" t="str">
        <f aca="false">IF(IsPro,IF($D900="","",ROUND(N($E900)*IFERROR(INDEX(Items!$P$5:$P$504,U900),0),2)),"")</f>
        <v/>
      </c>
      <c r="S900" s="61" t="str">
        <f aca="false">IF(IsPro,IF($D900="","",L900-R900),"")</f>
        <v/>
      </c>
      <c r="T900" s="60" t="str">
        <f aca="false">IF(IsPro,IF($D900="","",IF(U900="","UNKNOWN ITEM",IF(INDEX(Items!$O$5:$O$504,U900)&lt;0,"NEG STOCK",IF(K900&lt;INDEX(Items!$P$5:$P$504,U900),"BELOW COST","OK")))),IF($D900="","","PRO PLAN"))</f>
        <v/>
      </c>
      <c r="U900" s="60" t="str">
        <f aca="false">IF(IsPro,IF($D900="","",IFERROR(MATCH($D900,Items!$A$5:$A$504,0),"")),"")</f>
        <v/>
      </c>
      <c r="V900" s="60" t="str">
        <f aca="false">IF(IsPro,IF($C900="","",IFERROR(MATCH($C900,Parties!$A$5:$A$304,0),"")),"")</f>
        <v/>
      </c>
      <c r="W900" s="60" t="str">
        <f aca="false">IF(IsPro,IF($B900="","",IFERROR(VALUE(SUBSTITUTE($B900,InvPrefix,"")),0)),"")</f>
        <v/>
      </c>
      <c r="X900" s="61" t="str">
        <f aca="false">IF(IsPro,IF($D900="","",IF(OR($H900="",$H900="Credit"),0,Q900)),"")</f>
        <v/>
      </c>
    </row>
    <row r="901" customFormat="false" ht="15" hidden="false" customHeight="false" outlineLevel="0" collapsed="false">
      <c r="A901" s="55"/>
      <c r="B901" s="56"/>
      <c r="C901" s="56"/>
      <c r="D901" s="56"/>
      <c r="E901" s="57"/>
      <c r="F901" s="58"/>
      <c r="G901" s="59"/>
      <c r="H901" s="56"/>
      <c r="I901" s="56"/>
      <c r="J901" s="60" t="str">
        <f aca="false">IF(IsPro,IF($D901="","",IFERROR(INDEX(Items!$D$5:$D$504,U901),"")),"")</f>
        <v/>
      </c>
      <c r="K901" s="61" t="str">
        <f aca="false">IF(IsPro,IF($D901="","",IF($F901="",IFERROR(INDEX(Items!$H$5:$H$504,U901),0),$F901)),"")</f>
        <v/>
      </c>
      <c r="L901" s="61" t="str">
        <f aca="false">IF(IsPro,IF($D901="","",ROUND(N($E901)*K901*(1-N($G901)),2)),"")</f>
        <v/>
      </c>
      <c r="M901" s="62" t="str">
        <f aca="false">IF(IsPro,IF($D901="","",IFERROR(INDEX(Items!$F$5:$F$504,U901),0)),"")</f>
        <v/>
      </c>
      <c r="N901" s="61" t="str">
        <f aca="false">IF(IsPro,IF($D901="","",IF(AND(V901&lt;&gt;"",INDEX(Parties!$E$5:$E$304,V901)&lt;&gt;"",INDEX(Parties!$E$5:$E$304,V901)&lt;&gt;HomeState),0,ROUND(L901*M901/2,2))),"")</f>
        <v/>
      </c>
      <c r="O901" s="61" t="str">
        <f aca="false">IF(IsPro,IF($D901="","",N901),"")</f>
        <v/>
      </c>
      <c r="P901" s="61" t="str">
        <f aca="false">IF(IsPro,IF($D901="","",IF(AND(V901&lt;&gt;"",INDEX(Parties!$E$5:$E$304,V901)&lt;&gt;"",INDEX(Parties!$E$5:$E$304,V901)&lt;&gt;HomeState),ROUND(L901*M901,2),0)),"")</f>
        <v/>
      </c>
      <c r="Q901" s="61" t="str">
        <f aca="false">IF(IsPro,IF($D901="","",L901+N901+O901+P901),"")</f>
        <v/>
      </c>
      <c r="R901" s="61" t="str">
        <f aca="false">IF(IsPro,IF($D901="","",ROUND(N($E901)*IFERROR(INDEX(Items!$P$5:$P$504,U901),0),2)),"")</f>
        <v/>
      </c>
      <c r="S901" s="61" t="str">
        <f aca="false">IF(IsPro,IF($D901="","",L901-R901),"")</f>
        <v/>
      </c>
      <c r="T901" s="60" t="str">
        <f aca="false">IF(IsPro,IF($D901="","",IF(U901="","UNKNOWN ITEM",IF(INDEX(Items!$O$5:$O$504,U901)&lt;0,"NEG STOCK",IF(K901&lt;INDEX(Items!$P$5:$P$504,U901),"BELOW COST","OK")))),IF($D901="","","PRO PLAN"))</f>
        <v/>
      </c>
      <c r="U901" s="60" t="str">
        <f aca="false">IF(IsPro,IF($D901="","",IFERROR(MATCH($D901,Items!$A$5:$A$504,0),"")),"")</f>
        <v/>
      </c>
      <c r="V901" s="60" t="str">
        <f aca="false">IF(IsPro,IF($C901="","",IFERROR(MATCH($C901,Parties!$A$5:$A$304,0),"")),"")</f>
        <v/>
      </c>
      <c r="W901" s="60" t="str">
        <f aca="false">IF(IsPro,IF($B901="","",IFERROR(VALUE(SUBSTITUTE($B901,InvPrefix,"")),0)),"")</f>
        <v/>
      </c>
      <c r="X901" s="61" t="str">
        <f aca="false">IF(IsPro,IF($D901="","",IF(OR($H901="",$H901="Credit"),0,Q901)),"")</f>
        <v/>
      </c>
    </row>
    <row r="902" customFormat="false" ht="15" hidden="false" customHeight="false" outlineLevel="0" collapsed="false">
      <c r="A902" s="55"/>
      <c r="B902" s="56"/>
      <c r="C902" s="56"/>
      <c r="D902" s="56"/>
      <c r="E902" s="57"/>
      <c r="F902" s="58"/>
      <c r="G902" s="59"/>
      <c r="H902" s="56"/>
      <c r="I902" s="56"/>
      <c r="J902" s="60" t="str">
        <f aca="false">IF(IsPro,IF($D902="","",IFERROR(INDEX(Items!$D$5:$D$504,U902),"")),"")</f>
        <v/>
      </c>
      <c r="K902" s="61" t="str">
        <f aca="false">IF(IsPro,IF($D902="","",IF($F902="",IFERROR(INDEX(Items!$H$5:$H$504,U902),0),$F902)),"")</f>
        <v/>
      </c>
      <c r="L902" s="61" t="str">
        <f aca="false">IF(IsPro,IF($D902="","",ROUND(N($E902)*K902*(1-N($G902)),2)),"")</f>
        <v/>
      </c>
      <c r="M902" s="62" t="str">
        <f aca="false">IF(IsPro,IF($D902="","",IFERROR(INDEX(Items!$F$5:$F$504,U902),0)),"")</f>
        <v/>
      </c>
      <c r="N902" s="61" t="str">
        <f aca="false">IF(IsPro,IF($D902="","",IF(AND(V902&lt;&gt;"",INDEX(Parties!$E$5:$E$304,V902)&lt;&gt;"",INDEX(Parties!$E$5:$E$304,V902)&lt;&gt;HomeState),0,ROUND(L902*M902/2,2))),"")</f>
        <v/>
      </c>
      <c r="O902" s="61" t="str">
        <f aca="false">IF(IsPro,IF($D902="","",N902),"")</f>
        <v/>
      </c>
      <c r="P902" s="61" t="str">
        <f aca="false">IF(IsPro,IF($D902="","",IF(AND(V902&lt;&gt;"",INDEX(Parties!$E$5:$E$304,V902)&lt;&gt;"",INDEX(Parties!$E$5:$E$304,V902)&lt;&gt;HomeState),ROUND(L902*M902,2),0)),"")</f>
        <v/>
      </c>
      <c r="Q902" s="61" t="str">
        <f aca="false">IF(IsPro,IF($D902="","",L902+N902+O902+P902),"")</f>
        <v/>
      </c>
      <c r="R902" s="61" t="str">
        <f aca="false">IF(IsPro,IF($D902="","",ROUND(N($E902)*IFERROR(INDEX(Items!$P$5:$P$504,U902),0),2)),"")</f>
        <v/>
      </c>
      <c r="S902" s="61" t="str">
        <f aca="false">IF(IsPro,IF($D902="","",L902-R902),"")</f>
        <v/>
      </c>
      <c r="T902" s="60" t="str">
        <f aca="false">IF(IsPro,IF($D902="","",IF(U902="","UNKNOWN ITEM",IF(INDEX(Items!$O$5:$O$504,U902)&lt;0,"NEG STOCK",IF(K902&lt;INDEX(Items!$P$5:$P$504,U902),"BELOW COST","OK")))),IF($D902="","","PRO PLAN"))</f>
        <v/>
      </c>
      <c r="U902" s="60" t="str">
        <f aca="false">IF(IsPro,IF($D902="","",IFERROR(MATCH($D902,Items!$A$5:$A$504,0),"")),"")</f>
        <v/>
      </c>
      <c r="V902" s="60" t="str">
        <f aca="false">IF(IsPro,IF($C902="","",IFERROR(MATCH($C902,Parties!$A$5:$A$304,0),"")),"")</f>
        <v/>
      </c>
      <c r="W902" s="60" t="str">
        <f aca="false">IF(IsPro,IF($B902="","",IFERROR(VALUE(SUBSTITUTE($B902,InvPrefix,"")),0)),"")</f>
        <v/>
      </c>
      <c r="X902" s="61" t="str">
        <f aca="false">IF(IsPro,IF($D902="","",IF(OR($H902="",$H902="Credit"),0,Q902)),"")</f>
        <v/>
      </c>
    </row>
    <row r="903" customFormat="false" ht="15" hidden="false" customHeight="false" outlineLevel="0" collapsed="false">
      <c r="A903" s="55"/>
      <c r="B903" s="56"/>
      <c r="C903" s="56"/>
      <c r="D903" s="56"/>
      <c r="E903" s="57"/>
      <c r="F903" s="58"/>
      <c r="G903" s="59"/>
      <c r="H903" s="56"/>
      <c r="I903" s="56"/>
      <c r="J903" s="60" t="str">
        <f aca="false">IF(IsPro,IF($D903="","",IFERROR(INDEX(Items!$D$5:$D$504,U903),"")),"")</f>
        <v/>
      </c>
      <c r="K903" s="61" t="str">
        <f aca="false">IF(IsPro,IF($D903="","",IF($F903="",IFERROR(INDEX(Items!$H$5:$H$504,U903),0),$F903)),"")</f>
        <v/>
      </c>
      <c r="L903" s="61" t="str">
        <f aca="false">IF(IsPro,IF($D903="","",ROUND(N($E903)*K903*(1-N($G903)),2)),"")</f>
        <v/>
      </c>
      <c r="M903" s="62" t="str">
        <f aca="false">IF(IsPro,IF($D903="","",IFERROR(INDEX(Items!$F$5:$F$504,U903),0)),"")</f>
        <v/>
      </c>
      <c r="N903" s="61" t="str">
        <f aca="false">IF(IsPro,IF($D903="","",IF(AND(V903&lt;&gt;"",INDEX(Parties!$E$5:$E$304,V903)&lt;&gt;"",INDEX(Parties!$E$5:$E$304,V903)&lt;&gt;HomeState),0,ROUND(L903*M903/2,2))),"")</f>
        <v/>
      </c>
      <c r="O903" s="61" t="str">
        <f aca="false">IF(IsPro,IF($D903="","",N903),"")</f>
        <v/>
      </c>
      <c r="P903" s="61" t="str">
        <f aca="false">IF(IsPro,IF($D903="","",IF(AND(V903&lt;&gt;"",INDEX(Parties!$E$5:$E$304,V903)&lt;&gt;"",INDEX(Parties!$E$5:$E$304,V903)&lt;&gt;HomeState),ROUND(L903*M903,2),0)),"")</f>
        <v/>
      </c>
      <c r="Q903" s="61" t="str">
        <f aca="false">IF(IsPro,IF($D903="","",L903+N903+O903+P903),"")</f>
        <v/>
      </c>
      <c r="R903" s="61" t="str">
        <f aca="false">IF(IsPro,IF($D903="","",ROUND(N($E903)*IFERROR(INDEX(Items!$P$5:$P$504,U903),0),2)),"")</f>
        <v/>
      </c>
      <c r="S903" s="61" t="str">
        <f aca="false">IF(IsPro,IF($D903="","",L903-R903),"")</f>
        <v/>
      </c>
      <c r="T903" s="60" t="str">
        <f aca="false">IF(IsPro,IF($D903="","",IF(U903="","UNKNOWN ITEM",IF(INDEX(Items!$O$5:$O$504,U903)&lt;0,"NEG STOCK",IF(K903&lt;INDEX(Items!$P$5:$P$504,U903),"BELOW COST","OK")))),IF($D903="","","PRO PLAN"))</f>
        <v/>
      </c>
      <c r="U903" s="60" t="str">
        <f aca="false">IF(IsPro,IF($D903="","",IFERROR(MATCH($D903,Items!$A$5:$A$504,0),"")),"")</f>
        <v/>
      </c>
      <c r="V903" s="60" t="str">
        <f aca="false">IF(IsPro,IF($C903="","",IFERROR(MATCH($C903,Parties!$A$5:$A$304,0),"")),"")</f>
        <v/>
      </c>
      <c r="W903" s="60" t="str">
        <f aca="false">IF(IsPro,IF($B903="","",IFERROR(VALUE(SUBSTITUTE($B903,InvPrefix,"")),0)),"")</f>
        <v/>
      </c>
      <c r="X903" s="61" t="str">
        <f aca="false">IF(IsPro,IF($D903="","",IF(OR($H903="",$H903="Credit"),0,Q903)),"")</f>
        <v/>
      </c>
    </row>
    <row r="904" customFormat="false" ht="15" hidden="false" customHeight="false" outlineLevel="0" collapsed="false">
      <c r="A904" s="55"/>
      <c r="B904" s="56"/>
      <c r="C904" s="56"/>
      <c r="D904" s="56"/>
      <c r="E904" s="57"/>
      <c r="F904" s="58"/>
      <c r="G904" s="59"/>
      <c r="H904" s="56"/>
      <c r="I904" s="56"/>
      <c r="J904" s="60" t="str">
        <f aca="false">IF(IsPro,IF($D904="","",IFERROR(INDEX(Items!$D$5:$D$504,U904),"")),"")</f>
        <v/>
      </c>
      <c r="K904" s="61" t="str">
        <f aca="false">IF(IsPro,IF($D904="","",IF($F904="",IFERROR(INDEX(Items!$H$5:$H$504,U904),0),$F904)),"")</f>
        <v/>
      </c>
      <c r="L904" s="61" t="str">
        <f aca="false">IF(IsPro,IF($D904="","",ROUND(N($E904)*K904*(1-N($G904)),2)),"")</f>
        <v/>
      </c>
      <c r="M904" s="62" t="str">
        <f aca="false">IF(IsPro,IF($D904="","",IFERROR(INDEX(Items!$F$5:$F$504,U904),0)),"")</f>
        <v/>
      </c>
      <c r="N904" s="61" t="str">
        <f aca="false">IF(IsPro,IF($D904="","",IF(AND(V904&lt;&gt;"",INDEX(Parties!$E$5:$E$304,V904)&lt;&gt;"",INDEX(Parties!$E$5:$E$304,V904)&lt;&gt;HomeState),0,ROUND(L904*M904/2,2))),"")</f>
        <v/>
      </c>
      <c r="O904" s="61" t="str">
        <f aca="false">IF(IsPro,IF($D904="","",N904),"")</f>
        <v/>
      </c>
      <c r="P904" s="61" t="str">
        <f aca="false">IF(IsPro,IF($D904="","",IF(AND(V904&lt;&gt;"",INDEX(Parties!$E$5:$E$304,V904)&lt;&gt;"",INDEX(Parties!$E$5:$E$304,V904)&lt;&gt;HomeState),ROUND(L904*M904,2),0)),"")</f>
        <v/>
      </c>
      <c r="Q904" s="61" t="str">
        <f aca="false">IF(IsPro,IF($D904="","",L904+N904+O904+P904),"")</f>
        <v/>
      </c>
      <c r="R904" s="61" t="str">
        <f aca="false">IF(IsPro,IF($D904="","",ROUND(N($E904)*IFERROR(INDEX(Items!$P$5:$P$504,U904),0),2)),"")</f>
        <v/>
      </c>
      <c r="S904" s="61" t="str">
        <f aca="false">IF(IsPro,IF($D904="","",L904-R904),"")</f>
        <v/>
      </c>
      <c r="T904" s="60" t="str">
        <f aca="false">IF(IsPro,IF($D904="","",IF(U904="","UNKNOWN ITEM",IF(INDEX(Items!$O$5:$O$504,U904)&lt;0,"NEG STOCK",IF(K904&lt;INDEX(Items!$P$5:$P$504,U904),"BELOW COST","OK")))),IF($D904="","","PRO PLAN"))</f>
        <v/>
      </c>
      <c r="U904" s="60" t="str">
        <f aca="false">IF(IsPro,IF($D904="","",IFERROR(MATCH($D904,Items!$A$5:$A$504,0),"")),"")</f>
        <v/>
      </c>
      <c r="V904" s="60" t="str">
        <f aca="false">IF(IsPro,IF($C904="","",IFERROR(MATCH($C904,Parties!$A$5:$A$304,0),"")),"")</f>
        <v/>
      </c>
      <c r="W904" s="60" t="str">
        <f aca="false">IF(IsPro,IF($B904="","",IFERROR(VALUE(SUBSTITUTE($B904,InvPrefix,"")),0)),"")</f>
        <v/>
      </c>
      <c r="X904" s="61" t="str">
        <f aca="false">IF(IsPro,IF($D904="","",IF(OR($H904="",$H904="Credit"),0,Q904)),"")</f>
        <v/>
      </c>
    </row>
    <row r="905" customFormat="false" ht="15" hidden="false" customHeight="false" outlineLevel="0" collapsed="false">
      <c r="A905" s="55"/>
      <c r="B905" s="56"/>
      <c r="C905" s="56"/>
      <c r="D905" s="56"/>
      <c r="E905" s="57"/>
      <c r="F905" s="58"/>
      <c r="G905" s="59"/>
      <c r="H905" s="56"/>
      <c r="I905" s="56"/>
      <c r="J905" s="60" t="str">
        <f aca="false">IF(IsPro,IF($D905="","",IFERROR(INDEX(Items!$D$5:$D$504,U905),"")),"")</f>
        <v/>
      </c>
      <c r="K905" s="61" t="str">
        <f aca="false">IF(IsPro,IF($D905="","",IF($F905="",IFERROR(INDEX(Items!$H$5:$H$504,U905),0),$F905)),"")</f>
        <v/>
      </c>
      <c r="L905" s="61" t="str">
        <f aca="false">IF(IsPro,IF($D905="","",ROUND(N($E905)*K905*(1-N($G905)),2)),"")</f>
        <v/>
      </c>
      <c r="M905" s="62" t="str">
        <f aca="false">IF(IsPro,IF($D905="","",IFERROR(INDEX(Items!$F$5:$F$504,U905),0)),"")</f>
        <v/>
      </c>
      <c r="N905" s="61" t="str">
        <f aca="false">IF(IsPro,IF($D905="","",IF(AND(V905&lt;&gt;"",INDEX(Parties!$E$5:$E$304,V905)&lt;&gt;"",INDEX(Parties!$E$5:$E$304,V905)&lt;&gt;HomeState),0,ROUND(L905*M905/2,2))),"")</f>
        <v/>
      </c>
      <c r="O905" s="61" t="str">
        <f aca="false">IF(IsPro,IF($D905="","",N905),"")</f>
        <v/>
      </c>
      <c r="P905" s="61" t="str">
        <f aca="false">IF(IsPro,IF($D905="","",IF(AND(V905&lt;&gt;"",INDEX(Parties!$E$5:$E$304,V905)&lt;&gt;"",INDEX(Parties!$E$5:$E$304,V905)&lt;&gt;HomeState),ROUND(L905*M905,2),0)),"")</f>
        <v/>
      </c>
      <c r="Q905" s="61" t="str">
        <f aca="false">IF(IsPro,IF($D905="","",L905+N905+O905+P905),"")</f>
        <v/>
      </c>
      <c r="R905" s="61" t="str">
        <f aca="false">IF(IsPro,IF($D905="","",ROUND(N($E905)*IFERROR(INDEX(Items!$P$5:$P$504,U905),0),2)),"")</f>
        <v/>
      </c>
      <c r="S905" s="61" t="str">
        <f aca="false">IF(IsPro,IF($D905="","",L905-R905),"")</f>
        <v/>
      </c>
      <c r="T905" s="60" t="str">
        <f aca="false">IF(IsPro,IF($D905="","",IF(U905="","UNKNOWN ITEM",IF(INDEX(Items!$O$5:$O$504,U905)&lt;0,"NEG STOCK",IF(K905&lt;INDEX(Items!$P$5:$P$504,U905),"BELOW COST","OK")))),IF($D905="","","PRO PLAN"))</f>
        <v/>
      </c>
      <c r="U905" s="60" t="str">
        <f aca="false">IF(IsPro,IF($D905="","",IFERROR(MATCH($D905,Items!$A$5:$A$504,0),"")),"")</f>
        <v/>
      </c>
      <c r="V905" s="60" t="str">
        <f aca="false">IF(IsPro,IF($C905="","",IFERROR(MATCH($C905,Parties!$A$5:$A$304,0),"")),"")</f>
        <v/>
      </c>
      <c r="W905" s="60" t="str">
        <f aca="false">IF(IsPro,IF($B905="","",IFERROR(VALUE(SUBSTITUTE($B905,InvPrefix,"")),0)),"")</f>
        <v/>
      </c>
      <c r="X905" s="61" t="str">
        <f aca="false">IF(IsPro,IF($D905="","",IF(OR($H905="",$H905="Credit"),0,Q905)),"")</f>
        <v/>
      </c>
    </row>
    <row r="906" customFormat="false" ht="15" hidden="false" customHeight="false" outlineLevel="0" collapsed="false">
      <c r="A906" s="55"/>
      <c r="B906" s="56"/>
      <c r="C906" s="56"/>
      <c r="D906" s="56"/>
      <c r="E906" s="57"/>
      <c r="F906" s="58"/>
      <c r="G906" s="59"/>
      <c r="H906" s="56"/>
      <c r="I906" s="56"/>
      <c r="J906" s="60" t="str">
        <f aca="false">IF(IsPro,IF($D906="","",IFERROR(INDEX(Items!$D$5:$D$504,U906),"")),"")</f>
        <v/>
      </c>
      <c r="K906" s="61" t="str">
        <f aca="false">IF(IsPro,IF($D906="","",IF($F906="",IFERROR(INDEX(Items!$H$5:$H$504,U906),0),$F906)),"")</f>
        <v/>
      </c>
      <c r="L906" s="61" t="str">
        <f aca="false">IF(IsPro,IF($D906="","",ROUND(N($E906)*K906*(1-N($G906)),2)),"")</f>
        <v/>
      </c>
      <c r="M906" s="62" t="str">
        <f aca="false">IF(IsPro,IF($D906="","",IFERROR(INDEX(Items!$F$5:$F$504,U906),0)),"")</f>
        <v/>
      </c>
      <c r="N906" s="61" t="str">
        <f aca="false">IF(IsPro,IF($D906="","",IF(AND(V906&lt;&gt;"",INDEX(Parties!$E$5:$E$304,V906)&lt;&gt;"",INDEX(Parties!$E$5:$E$304,V906)&lt;&gt;HomeState),0,ROUND(L906*M906/2,2))),"")</f>
        <v/>
      </c>
      <c r="O906" s="61" t="str">
        <f aca="false">IF(IsPro,IF($D906="","",N906),"")</f>
        <v/>
      </c>
      <c r="P906" s="61" t="str">
        <f aca="false">IF(IsPro,IF($D906="","",IF(AND(V906&lt;&gt;"",INDEX(Parties!$E$5:$E$304,V906)&lt;&gt;"",INDEX(Parties!$E$5:$E$304,V906)&lt;&gt;HomeState),ROUND(L906*M906,2),0)),"")</f>
        <v/>
      </c>
      <c r="Q906" s="61" t="str">
        <f aca="false">IF(IsPro,IF($D906="","",L906+N906+O906+P906),"")</f>
        <v/>
      </c>
      <c r="R906" s="61" t="str">
        <f aca="false">IF(IsPro,IF($D906="","",ROUND(N($E906)*IFERROR(INDEX(Items!$P$5:$P$504,U906),0),2)),"")</f>
        <v/>
      </c>
      <c r="S906" s="61" t="str">
        <f aca="false">IF(IsPro,IF($D906="","",L906-R906),"")</f>
        <v/>
      </c>
      <c r="T906" s="60" t="str">
        <f aca="false">IF(IsPro,IF($D906="","",IF(U906="","UNKNOWN ITEM",IF(INDEX(Items!$O$5:$O$504,U906)&lt;0,"NEG STOCK",IF(K906&lt;INDEX(Items!$P$5:$P$504,U906),"BELOW COST","OK")))),IF($D906="","","PRO PLAN"))</f>
        <v/>
      </c>
      <c r="U906" s="60" t="str">
        <f aca="false">IF(IsPro,IF($D906="","",IFERROR(MATCH($D906,Items!$A$5:$A$504,0),"")),"")</f>
        <v/>
      </c>
      <c r="V906" s="60" t="str">
        <f aca="false">IF(IsPro,IF($C906="","",IFERROR(MATCH($C906,Parties!$A$5:$A$304,0),"")),"")</f>
        <v/>
      </c>
      <c r="W906" s="60" t="str">
        <f aca="false">IF(IsPro,IF($B906="","",IFERROR(VALUE(SUBSTITUTE($B906,InvPrefix,"")),0)),"")</f>
        <v/>
      </c>
      <c r="X906" s="61" t="str">
        <f aca="false">IF(IsPro,IF($D906="","",IF(OR($H906="",$H906="Credit"),0,Q906)),"")</f>
        <v/>
      </c>
    </row>
    <row r="907" customFormat="false" ht="15" hidden="false" customHeight="false" outlineLevel="0" collapsed="false">
      <c r="A907" s="55"/>
      <c r="B907" s="56"/>
      <c r="C907" s="56"/>
      <c r="D907" s="56"/>
      <c r="E907" s="57"/>
      <c r="F907" s="58"/>
      <c r="G907" s="59"/>
      <c r="H907" s="56"/>
      <c r="I907" s="56"/>
      <c r="J907" s="60" t="str">
        <f aca="false">IF(IsPro,IF($D907="","",IFERROR(INDEX(Items!$D$5:$D$504,U907),"")),"")</f>
        <v/>
      </c>
      <c r="K907" s="61" t="str">
        <f aca="false">IF(IsPro,IF($D907="","",IF($F907="",IFERROR(INDEX(Items!$H$5:$H$504,U907),0),$F907)),"")</f>
        <v/>
      </c>
      <c r="L907" s="61" t="str">
        <f aca="false">IF(IsPro,IF($D907="","",ROUND(N($E907)*K907*(1-N($G907)),2)),"")</f>
        <v/>
      </c>
      <c r="M907" s="62" t="str">
        <f aca="false">IF(IsPro,IF($D907="","",IFERROR(INDEX(Items!$F$5:$F$504,U907),0)),"")</f>
        <v/>
      </c>
      <c r="N907" s="61" t="str">
        <f aca="false">IF(IsPro,IF($D907="","",IF(AND(V907&lt;&gt;"",INDEX(Parties!$E$5:$E$304,V907)&lt;&gt;"",INDEX(Parties!$E$5:$E$304,V907)&lt;&gt;HomeState),0,ROUND(L907*M907/2,2))),"")</f>
        <v/>
      </c>
      <c r="O907" s="61" t="str">
        <f aca="false">IF(IsPro,IF($D907="","",N907),"")</f>
        <v/>
      </c>
      <c r="P907" s="61" t="str">
        <f aca="false">IF(IsPro,IF($D907="","",IF(AND(V907&lt;&gt;"",INDEX(Parties!$E$5:$E$304,V907)&lt;&gt;"",INDEX(Parties!$E$5:$E$304,V907)&lt;&gt;HomeState),ROUND(L907*M907,2),0)),"")</f>
        <v/>
      </c>
      <c r="Q907" s="61" t="str">
        <f aca="false">IF(IsPro,IF($D907="","",L907+N907+O907+P907),"")</f>
        <v/>
      </c>
      <c r="R907" s="61" t="str">
        <f aca="false">IF(IsPro,IF($D907="","",ROUND(N($E907)*IFERROR(INDEX(Items!$P$5:$P$504,U907),0),2)),"")</f>
        <v/>
      </c>
      <c r="S907" s="61" t="str">
        <f aca="false">IF(IsPro,IF($D907="","",L907-R907),"")</f>
        <v/>
      </c>
      <c r="T907" s="60" t="str">
        <f aca="false">IF(IsPro,IF($D907="","",IF(U907="","UNKNOWN ITEM",IF(INDEX(Items!$O$5:$O$504,U907)&lt;0,"NEG STOCK",IF(K907&lt;INDEX(Items!$P$5:$P$504,U907),"BELOW COST","OK")))),IF($D907="","","PRO PLAN"))</f>
        <v/>
      </c>
      <c r="U907" s="60" t="str">
        <f aca="false">IF(IsPro,IF($D907="","",IFERROR(MATCH($D907,Items!$A$5:$A$504,0),"")),"")</f>
        <v/>
      </c>
      <c r="V907" s="60" t="str">
        <f aca="false">IF(IsPro,IF($C907="","",IFERROR(MATCH($C907,Parties!$A$5:$A$304,0),"")),"")</f>
        <v/>
      </c>
      <c r="W907" s="60" t="str">
        <f aca="false">IF(IsPro,IF($B907="","",IFERROR(VALUE(SUBSTITUTE($B907,InvPrefix,"")),0)),"")</f>
        <v/>
      </c>
      <c r="X907" s="61" t="str">
        <f aca="false">IF(IsPro,IF($D907="","",IF(OR($H907="",$H907="Credit"),0,Q907)),"")</f>
        <v/>
      </c>
    </row>
    <row r="908" customFormat="false" ht="15" hidden="false" customHeight="false" outlineLevel="0" collapsed="false">
      <c r="A908" s="55"/>
      <c r="B908" s="56"/>
      <c r="C908" s="56"/>
      <c r="D908" s="56"/>
      <c r="E908" s="57"/>
      <c r="F908" s="58"/>
      <c r="G908" s="59"/>
      <c r="H908" s="56"/>
      <c r="I908" s="56"/>
      <c r="J908" s="60" t="str">
        <f aca="false">IF(IsPro,IF($D908="","",IFERROR(INDEX(Items!$D$5:$D$504,U908),"")),"")</f>
        <v/>
      </c>
      <c r="K908" s="61" t="str">
        <f aca="false">IF(IsPro,IF($D908="","",IF($F908="",IFERROR(INDEX(Items!$H$5:$H$504,U908),0),$F908)),"")</f>
        <v/>
      </c>
      <c r="L908" s="61" t="str">
        <f aca="false">IF(IsPro,IF($D908="","",ROUND(N($E908)*K908*(1-N($G908)),2)),"")</f>
        <v/>
      </c>
      <c r="M908" s="62" t="str">
        <f aca="false">IF(IsPro,IF($D908="","",IFERROR(INDEX(Items!$F$5:$F$504,U908),0)),"")</f>
        <v/>
      </c>
      <c r="N908" s="61" t="str">
        <f aca="false">IF(IsPro,IF($D908="","",IF(AND(V908&lt;&gt;"",INDEX(Parties!$E$5:$E$304,V908)&lt;&gt;"",INDEX(Parties!$E$5:$E$304,V908)&lt;&gt;HomeState),0,ROUND(L908*M908/2,2))),"")</f>
        <v/>
      </c>
      <c r="O908" s="61" t="str">
        <f aca="false">IF(IsPro,IF($D908="","",N908),"")</f>
        <v/>
      </c>
      <c r="P908" s="61" t="str">
        <f aca="false">IF(IsPro,IF($D908="","",IF(AND(V908&lt;&gt;"",INDEX(Parties!$E$5:$E$304,V908)&lt;&gt;"",INDEX(Parties!$E$5:$E$304,V908)&lt;&gt;HomeState),ROUND(L908*M908,2),0)),"")</f>
        <v/>
      </c>
      <c r="Q908" s="61" t="str">
        <f aca="false">IF(IsPro,IF($D908="","",L908+N908+O908+P908),"")</f>
        <v/>
      </c>
      <c r="R908" s="61" t="str">
        <f aca="false">IF(IsPro,IF($D908="","",ROUND(N($E908)*IFERROR(INDEX(Items!$P$5:$P$504,U908),0),2)),"")</f>
        <v/>
      </c>
      <c r="S908" s="61" t="str">
        <f aca="false">IF(IsPro,IF($D908="","",L908-R908),"")</f>
        <v/>
      </c>
      <c r="T908" s="60" t="str">
        <f aca="false">IF(IsPro,IF($D908="","",IF(U908="","UNKNOWN ITEM",IF(INDEX(Items!$O$5:$O$504,U908)&lt;0,"NEG STOCK",IF(K908&lt;INDEX(Items!$P$5:$P$504,U908),"BELOW COST","OK")))),IF($D908="","","PRO PLAN"))</f>
        <v/>
      </c>
      <c r="U908" s="60" t="str">
        <f aca="false">IF(IsPro,IF($D908="","",IFERROR(MATCH($D908,Items!$A$5:$A$504,0),"")),"")</f>
        <v/>
      </c>
      <c r="V908" s="60" t="str">
        <f aca="false">IF(IsPro,IF($C908="","",IFERROR(MATCH($C908,Parties!$A$5:$A$304,0),"")),"")</f>
        <v/>
      </c>
      <c r="W908" s="60" t="str">
        <f aca="false">IF(IsPro,IF($B908="","",IFERROR(VALUE(SUBSTITUTE($B908,InvPrefix,"")),0)),"")</f>
        <v/>
      </c>
      <c r="X908" s="61" t="str">
        <f aca="false">IF(IsPro,IF($D908="","",IF(OR($H908="",$H908="Credit"),0,Q908)),"")</f>
        <v/>
      </c>
    </row>
    <row r="909" customFormat="false" ht="15" hidden="false" customHeight="false" outlineLevel="0" collapsed="false">
      <c r="A909" s="55"/>
      <c r="B909" s="56"/>
      <c r="C909" s="56"/>
      <c r="D909" s="56"/>
      <c r="E909" s="57"/>
      <c r="F909" s="58"/>
      <c r="G909" s="59"/>
      <c r="H909" s="56"/>
      <c r="I909" s="56"/>
      <c r="J909" s="60" t="str">
        <f aca="false">IF(IsPro,IF($D909="","",IFERROR(INDEX(Items!$D$5:$D$504,U909),"")),"")</f>
        <v/>
      </c>
      <c r="K909" s="61" t="str">
        <f aca="false">IF(IsPro,IF($D909="","",IF($F909="",IFERROR(INDEX(Items!$H$5:$H$504,U909),0),$F909)),"")</f>
        <v/>
      </c>
      <c r="L909" s="61" t="str">
        <f aca="false">IF(IsPro,IF($D909="","",ROUND(N($E909)*K909*(1-N($G909)),2)),"")</f>
        <v/>
      </c>
      <c r="M909" s="62" t="str">
        <f aca="false">IF(IsPro,IF($D909="","",IFERROR(INDEX(Items!$F$5:$F$504,U909),0)),"")</f>
        <v/>
      </c>
      <c r="N909" s="61" t="str">
        <f aca="false">IF(IsPro,IF($D909="","",IF(AND(V909&lt;&gt;"",INDEX(Parties!$E$5:$E$304,V909)&lt;&gt;"",INDEX(Parties!$E$5:$E$304,V909)&lt;&gt;HomeState),0,ROUND(L909*M909/2,2))),"")</f>
        <v/>
      </c>
      <c r="O909" s="61" t="str">
        <f aca="false">IF(IsPro,IF($D909="","",N909),"")</f>
        <v/>
      </c>
      <c r="P909" s="61" t="str">
        <f aca="false">IF(IsPro,IF($D909="","",IF(AND(V909&lt;&gt;"",INDEX(Parties!$E$5:$E$304,V909)&lt;&gt;"",INDEX(Parties!$E$5:$E$304,V909)&lt;&gt;HomeState),ROUND(L909*M909,2),0)),"")</f>
        <v/>
      </c>
      <c r="Q909" s="61" t="str">
        <f aca="false">IF(IsPro,IF($D909="","",L909+N909+O909+P909),"")</f>
        <v/>
      </c>
      <c r="R909" s="61" t="str">
        <f aca="false">IF(IsPro,IF($D909="","",ROUND(N($E909)*IFERROR(INDEX(Items!$P$5:$P$504,U909),0),2)),"")</f>
        <v/>
      </c>
      <c r="S909" s="61" t="str">
        <f aca="false">IF(IsPro,IF($D909="","",L909-R909),"")</f>
        <v/>
      </c>
      <c r="T909" s="60" t="str">
        <f aca="false">IF(IsPro,IF($D909="","",IF(U909="","UNKNOWN ITEM",IF(INDEX(Items!$O$5:$O$504,U909)&lt;0,"NEG STOCK",IF(K909&lt;INDEX(Items!$P$5:$P$504,U909),"BELOW COST","OK")))),IF($D909="","","PRO PLAN"))</f>
        <v/>
      </c>
      <c r="U909" s="60" t="str">
        <f aca="false">IF(IsPro,IF($D909="","",IFERROR(MATCH($D909,Items!$A$5:$A$504,0),"")),"")</f>
        <v/>
      </c>
      <c r="V909" s="60" t="str">
        <f aca="false">IF(IsPro,IF($C909="","",IFERROR(MATCH($C909,Parties!$A$5:$A$304,0),"")),"")</f>
        <v/>
      </c>
      <c r="W909" s="60" t="str">
        <f aca="false">IF(IsPro,IF($B909="","",IFERROR(VALUE(SUBSTITUTE($B909,InvPrefix,"")),0)),"")</f>
        <v/>
      </c>
      <c r="X909" s="61" t="str">
        <f aca="false">IF(IsPro,IF($D909="","",IF(OR($H909="",$H909="Credit"),0,Q909)),"")</f>
        <v/>
      </c>
    </row>
    <row r="910" customFormat="false" ht="15" hidden="false" customHeight="false" outlineLevel="0" collapsed="false">
      <c r="A910" s="55"/>
      <c r="B910" s="56"/>
      <c r="C910" s="56"/>
      <c r="D910" s="56"/>
      <c r="E910" s="57"/>
      <c r="F910" s="58"/>
      <c r="G910" s="59"/>
      <c r="H910" s="56"/>
      <c r="I910" s="56"/>
      <c r="J910" s="60" t="str">
        <f aca="false">IF(IsPro,IF($D910="","",IFERROR(INDEX(Items!$D$5:$D$504,U910),"")),"")</f>
        <v/>
      </c>
      <c r="K910" s="61" t="str">
        <f aca="false">IF(IsPro,IF($D910="","",IF($F910="",IFERROR(INDEX(Items!$H$5:$H$504,U910),0),$F910)),"")</f>
        <v/>
      </c>
      <c r="L910" s="61" t="str">
        <f aca="false">IF(IsPro,IF($D910="","",ROUND(N($E910)*K910*(1-N($G910)),2)),"")</f>
        <v/>
      </c>
      <c r="M910" s="62" t="str">
        <f aca="false">IF(IsPro,IF($D910="","",IFERROR(INDEX(Items!$F$5:$F$504,U910),0)),"")</f>
        <v/>
      </c>
      <c r="N910" s="61" t="str">
        <f aca="false">IF(IsPro,IF($D910="","",IF(AND(V910&lt;&gt;"",INDEX(Parties!$E$5:$E$304,V910)&lt;&gt;"",INDEX(Parties!$E$5:$E$304,V910)&lt;&gt;HomeState),0,ROUND(L910*M910/2,2))),"")</f>
        <v/>
      </c>
      <c r="O910" s="61" t="str">
        <f aca="false">IF(IsPro,IF($D910="","",N910),"")</f>
        <v/>
      </c>
      <c r="P910" s="61" t="str">
        <f aca="false">IF(IsPro,IF($D910="","",IF(AND(V910&lt;&gt;"",INDEX(Parties!$E$5:$E$304,V910)&lt;&gt;"",INDEX(Parties!$E$5:$E$304,V910)&lt;&gt;HomeState),ROUND(L910*M910,2),0)),"")</f>
        <v/>
      </c>
      <c r="Q910" s="61" t="str">
        <f aca="false">IF(IsPro,IF($D910="","",L910+N910+O910+P910),"")</f>
        <v/>
      </c>
      <c r="R910" s="61" t="str">
        <f aca="false">IF(IsPro,IF($D910="","",ROUND(N($E910)*IFERROR(INDEX(Items!$P$5:$P$504,U910),0),2)),"")</f>
        <v/>
      </c>
      <c r="S910" s="61" t="str">
        <f aca="false">IF(IsPro,IF($D910="","",L910-R910),"")</f>
        <v/>
      </c>
      <c r="T910" s="60" t="str">
        <f aca="false">IF(IsPro,IF($D910="","",IF(U910="","UNKNOWN ITEM",IF(INDEX(Items!$O$5:$O$504,U910)&lt;0,"NEG STOCK",IF(K910&lt;INDEX(Items!$P$5:$P$504,U910),"BELOW COST","OK")))),IF($D910="","","PRO PLAN"))</f>
        <v/>
      </c>
      <c r="U910" s="60" t="str">
        <f aca="false">IF(IsPro,IF($D910="","",IFERROR(MATCH($D910,Items!$A$5:$A$504,0),"")),"")</f>
        <v/>
      </c>
      <c r="V910" s="60" t="str">
        <f aca="false">IF(IsPro,IF($C910="","",IFERROR(MATCH($C910,Parties!$A$5:$A$304,0),"")),"")</f>
        <v/>
      </c>
      <c r="W910" s="60" t="str">
        <f aca="false">IF(IsPro,IF($B910="","",IFERROR(VALUE(SUBSTITUTE($B910,InvPrefix,"")),0)),"")</f>
        <v/>
      </c>
      <c r="X910" s="61" t="str">
        <f aca="false">IF(IsPro,IF($D910="","",IF(OR($H910="",$H910="Credit"),0,Q910)),"")</f>
        <v/>
      </c>
    </row>
    <row r="911" customFormat="false" ht="15" hidden="false" customHeight="false" outlineLevel="0" collapsed="false">
      <c r="A911" s="55"/>
      <c r="B911" s="56"/>
      <c r="C911" s="56"/>
      <c r="D911" s="56"/>
      <c r="E911" s="57"/>
      <c r="F911" s="58"/>
      <c r="G911" s="59"/>
      <c r="H911" s="56"/>
      <c r="I911" s="56"/>
      <c r="J911" s="60" t="str">
        <f aca="false">IF(IsPro,IF($D911="","",IFERROR(INDEX(Items!$D$5:$D$504,U911),"")),"")</f>
        <v/>
      </c>
      <c r="K911" s="61" t="str">
        <f aca="false">IF(IsPro,IF($D911="","",IF($F911="",IFERROR(INDEX(Items!$H$5:$H$504,U911),0),$F911)),"")</f>
        <v/>
      </c>
      <c r="L911" s="61" t="str">
        <f aca="false">IF(IsPro,IF($D911="","",ROUND(N($E911)*K911*(1-N($G911)),2)),"")</f>
        <v/>
      </c>
      <c r="M911" s="62" t="str">
        <f aca="false">IF(IsPro,IF($D911="","",IFERROR(INDEX(Items!$F$5:$F$504,U911),0)),"")</f>
        <v/>
      </c>
      <c r="N911" s="61" t="str">
        <f aca="false">IF(IsPro,IF($D911="","",IF(AND(V911&lt;&gt;"",INDEX(Parties!$E$5:$E$304,V911)&lt;&gt;"",INDEX(Parties!$E$5:$E$304,V911)&lt;&gt;HomeState),0,ROUND(L911*M911/2,2))),"")</f>
        <v/>
      </c>
      <c r="O911" s="61" t="str">
        <f aca="false">IF(IsPro,IF($D911="","",N911),"")</f>
        <v/>
      </c>
      <c r="P911" s="61" t="str">
        <f aca="false">IF(IsPro,IF($D911="","",IF(AND(V911&lt;&gt;"",INDEX(Parties!$E$5:$E$304,V911)&lt;&gt;"",INDEX(Parties!$E$5:$E$304,V911)&lt;&gt;HomeState),ROUND(L911*M911,2),0)),"")</f>
        <v/>
      </c>
      <c r="Q911" s="61" t="str">
        <f aca="false">IF(IsPro,IF($D911="","",L911+N911+O911+P911),"")</f>
        <v/>
      </c>
      <c r="R911" s="61" t="str">
        <f aca="false">IF(IsPro,IF($D911="","",ROUND(N($E911)*IFERROR(INDEX(Items!$P$5:$P$504,U911),0),2)),"")</f>
        <v/>
      </c>
      <c r="S911" s="61" t="str">
        <f aca="false">IF(IsPro,IF($D911="","",L911-R911),"")</f>
        <v/>
      </c>
      <c r="T911" s="60" t="str">
        <f aca="false">IF(IsPro,IF($D911="","",IF(U911="","UNKNOWN ITEM",IF(INDEX(Items!$O$5:$O$504,U911)&lt;0,"NEG STOCK",IF(K911&lt;INDEX(Items!$P$5:$P$504,U911),"BELOW COST","OK")))),IF($D911="","","PRO PLAN"))</f>
        <v/>
      </c>
      <c r="U911" s="60" t="str">
        <f aca="false">IF(IsPro,IF($D911="","",IFERROR(MATCH($D911,Items!$A$5:$A$504,0),"")),"")</f>
        <v/>
      </c>
      <c r="V911" s="60" t="str">
        <f aca="false">IF(IsPro,IF($C911="","",IFERROR(MATCH($C911,Parties!$A$5:$A$304,0),"")),"")</f>
        <v/>
      </c>
      <c r="W911" s="60" t="str">
        <f aca="false">IF(IsPro,IF($B911="","",IFERROR(VALUE(SUBSTITUTE($B911,InvPrefix,"")),0)),"")</f>
        <v/>
      </c>
      <c r="X911" s="61" t="str">
        <f aca="false">IF(IsPro,IF($D911="","",IF(OR($H911="",$H911="Credit"),0,Q911)),"")</f>
        <v/>
      </c>
    </row>
    <row r="912" customFormat="false" ht="15" hidden="false" customHeight="false" outlineLevel="0" collapsed="false">
      <c r="A912" s="55"/>
      <c r="B912" s="56"/>
      <c r="C912" s="56"/>
      <c r="D912" s="56"/>
      <c r="E912" s="57"/>
      <c r="F912" s="58"/>
      <c r="G912" s="59"/>
      <c r="H912" s="56"/>
      <c r="I912" s="56"/>
      <c r="J912" s="60" t="str">
        <f aca="false">IF(IsPro,IF($D912="","",IFERROR(INDEX(Items!$D$5:$D$504,U912),"")),"")</f>
        <v/>
      </c>
      <c r="K912" s="61" t="str">
        <f aca="false">IF(IsPro,IF($D912="","",IF($F912="",IFERROR(INDEX(Items!$H$5:$H$504,U912),0),$F912)),"")</f>
        <v/>
      </c>
      <c r="L912" s="61" t="str">
        <f aca="false">IF(IsPro,IF($D912="","",ROUND(N($E912)*K912*(1-N($G912)),2)),"")</f>
        <v/>
      </c>
      <c r="M912" s="62" t="str">
        <f aca="false">IF(IsPro,IF($D912="","",IFERROR(INDEX(Items!$F$5:$F$504,U912),0)),"")</f>
        <v/>
      </c>
      <c r="N912" s="61" t="str">
        <f aca="false">IF(IsPro,IF($D912="","",IF(AND(V912&lt;&gt;"",INDEX(Parties!$E$5:$E$304,V912)&lt;&gt;"",INDEX(Parties!$E$5:$E$304,V912)&lt;&gt;HomeState),0,ROUND(L912*M912/2,2))),"")</f>
        <v/>
      </c>
      <c r="O912" s="61" t="str">
        <f aca="false">IF(IsPro,IF($D912="","",N912),"")</f>
        <v/>
      </c>
      <c r="P912" s="61" t="str">
        <f aca="false">IF(IsPro,IF($D912="","",IF(AND(V912&lt;&gt;"",INDEX(Parties!$E$5:$E$304,V912)&lt;&gt;"",INDEX(Parties!$E$5:$E$304,V912)&lt;&gt;HomeState),ROUND(L912*M912,2),0)),"")</f>
        <v/>
      </c>
      <c r="Q912" s="61" t="str">
        <f aca="false">IF(IsPro,IF($D912="","",L912+N912+O912+P912),"")</f>
        <v/>
      </c>
      <c r="R912" s="61" t="str">
        <f aca="false">IF(IsPro,IF($D912="","",ROUND(N($E912)*IFERROR(INDEX(Items!$P$5:$P$504,U912),0),2)),"")</f>
        <v/>
      </c>
      <c r="S912" s="61" t="str">
        <f aca="false">IF(IsPro,IF($D912="","",L912-R912),"")</f>
        <v/>
      </c>
      <c r="T912" s="60" t="str">
        <f aca="false">IF(IsPro,IF($D912="","",IF(U912="","UNKNOWN ITEM",IF(INDEX(Items!$O$5:$O$504,U912)&lt;0,"NEG STOCK",IF(K912&lt;INDEX(Items!$P$5:$P$504,U912),"BELOW COST","OK")))),IF($D912="","","PRO PLAN"))</f>
        <v/>
      </c>
      <c r="U912" s="60" t="str">
        <f aca="false">IF(IsPro,IF($D912="","",IFERROR(MATCH($D912,Items!$A$5:$A$504,0),"")),"")</f>
        <v/>
      </c>
      <c r="V912" s="60" t="str">
        <f aca="false">IF(IsPro,IF($C912="","",IFERROR(MATCH($C912,Parties!$A$5:$A$304,0),"")),"")</f>
        <v/>
      </c>
      <c r="W912" s="60" t="str">
        <f aca="false">IF(IsPro,IF($B912="","",IFERROR(VALUE(SUBSTITUTE($B912,InvPrefix,"")),0)),"")</f>
        <v/>
      </c>
      <c r="X912" s="61" t="str">
        <f aca="false">IF(IsPro,IF($D912="","",IF(OR($H912="",$H912="Credit"),0,Q912)),"")</f>
        <v/>
      </c>
    </row>
    <row r="913" customFormat="false" ht="15" hidden="false" customHeight="false" outlineLevel="0" collapsed="false">
      <c r="A913" s="55"/>
      <c r="B913" s="56"/>
      <c r="C913" s="56"/>
      <c r="D913" s="56"/>
      <c r="E913" s="57"/>
      <c r="F913" s="58"/>
      <c r="G913" s="59"/>
      <c r="H913" s="56"/>
      <c r="I913" s="56"/>
      <c r="J913" s="60" t="str">
        <f aca="false">IF(IsPro,IF($D913="","",IFERROR(INDEX(Items!$D$5:$D$504,U913),"")),"")</f>
        <v/>
      </c>
      <c r="K913" s="61" t="str">
        <f aca="false">IF(IsPro,IF($D913="","",IF($F913="",IFERROR(INDEX(Items!$H$5:$H$504,U913),0),$F913)),"")</f>
        <v/>
      </c>
      <c r="L913" s="61" t="str">
        <f aca="false">IF(IsPro,IF($D913="","",ROUND(N($E913)*K913*(1-N($G913)),2)),"")</f>
        <v/>
      </c>
      <c r="M913" s="62" t="str">
        <f aca="false">IF(IsPro,IF($D913="","",IFERROR(INDEX(Items!$F$5:$F$504,U913),0)),"")</f>
        <v/>
      </c>
      <c r="N913" s="61" t="str">
        <f aca="false">IF(IsPro,IF($D913="","",IF(AND(V913&lt;&gt;"",INDEX(Parties!$E$5:$E$304,V913)&lt;&gt;"",INDEX(Parties!$E$5:$E$304,V913)&lt;&gt;HomeState),0,ROUND(L913*M913/2,2))),"")</f>
        <v/>
      </c>
      <c r="O913" s="61" t="str">
        <f aca="false">IF(IsPro,IF($D913="","",N913),"")</f>
        <v/>
      </c>
      <c r="P913" s="61" t="str">
        <f aca="false">IF(IsPro,IF($D913="","",IF(AND(V913&lt;&gt;"",INDEX(Parties!$E$5:$E$304,V913)&lt;&gt;"",INDEX(Parties!$E$5:$E$304,V913)&lt;&gt;HomeState),ROUND(L913*M913,2),0)),"")</f>
        <v/>
      </c>
      <c r="Q913" s="61" t="str">
        <f aca="false">IF(IsPro,IF($D913="","",L913+N913+O913+P913),"")</f>
        <v/>
      </c>
      <c r="R913" s="61" t="str">
        <f aca="false">IF(IsPro,IF($D913="","",ROUND(N($E913)*IFERROR(INDEX(Items!$P$5:$P$504,U913),0),2)),"")</f>
        <v/>
      </c>
      <c r="S913" s="61" t="str">
        <f aca="false">IF(IsPro,IF($D913="","",L913-R913),"")</f>
        <v/>
      </c>
      <c r="T913" s="60" t="str">
        <f aca="false">IF(IsPro,IF($D913="","",IF(U913="","UNKNOWN ITEM",IF(INDEX(Items!$O$5:$O$504,U913)&lt;0,"NEG STOCK",IF(K913&lt;INDEX(Items!$P$5:$P$504,U913),"BELOW COST","OK")))),IF($D913="","","PRO PLAN"))</f>
        <v/>
      </c>
      <c r="U913" s="60" t="str">
        <f aca="false">IF(IsPro,IF($D913="","",IFERROR(MATCH($D913,Items!$A$5:$A$504,0),"")),"")</f>
        <v/>
      </c>
      <c r="V913" s="60" t="str">
        <f aca="false">IF(IsPro,IF($C913="","",IFERROR(MATCH($C913,Parties!$A$5:$A$304,0),"")),"")</f>
        <v/>
      </c>
      <c r="W913" s="60" t="str">
        <f aca="false">IF(IsPro,IF($B913="","",IFERROR(VALUE(SUBSTITUTE($B913,InvPrefix,"")),0)),"")</f>
        <v/>
      </c>
      <c r="X913" s="61" t="str">
        <f aca="false">IF(IsPro,IF($D913="","",IF(OR($H913="",$H913="Credit"),0,Q913)),"")</f>
        <v/>
      </c>
    </row>
    <row r="914" customFormat="false" ht="15" hidden="false" customHeight="false" outlineLevel="0" collapsed="false">
      <c r="A914" s="55"/>
      <c r="B914" s="56"/>
      <c r="C914" s="56"/>
      <c r="D914" s="56"/>
      <c r="E914" s="57"/>
      <c r="F914" s="58"/>
      <c r="G914" s="59"/>
      <c r="H914" s="56"/>
      <c r="I914" s="56"/>
      <c r="J914" s="60" t="str">
        <f aca="false">IF(IsPro,IF($D914="","",IFERROR(INDEX(Items!$D$5:$D$504,U914),"")),"")</f>
        <v/>
      </c>
      <c r="K914" s="61" t="str">
        <f aca="false">IF(IsPro,IF($D914="","",IF($F914="",IFERROR(INDEX(Items!$H$5:$H$504,U914),0),$F914)),"")</f>
        <v/>
      </c>
      <c r="L914" s="61" t="str">
        <f aca="false">IF(IsPro,IF($D914="","",ROUND(N($E914)*K914*(1-N($G914)),2)),"")</f>
        <v/>
      </c>
      <c r="M914" s="62" t="str">
        <f aca="false">IF(IsPro,IF($D914="","",IFERROR(INDEX(Items!$F$5:$F$504,U914),0)),"")</f>
        <v/>
      </c>
      <c r="N914" s="61" t="str">
        <f aca="false">IF(IsPro,IF($D914="","",IF(AND(V914&lt;&gt;"",INDEX(Parties!$E$5:$E$304,V914)&lt;&gt;"",INDEX(Parties!$E$5:$E$304,V914)&lt;&gt;HomeState),0,ROUND(L914*M914/2,2))),"")</f>
        <v/>
      </c>
      <c r="O914" s="61" t="str">
        <f aca="false">IF(IsPro,IF($D914="","",N914),"")</f>
        <v/>
      </c>
      <c r="P914" s="61" t="str">
        <f aca="false">IF(IsPro,IF($D914="","",IF(AND(V914&lt;&gt;"",INDEX(Parties!$E$5:$E$304,V914)&lt;&gt;"",INDEX(Parties!$E$5:$E$304,V914)&lt;&gt;HomeState),ROUND(L914*M914,2),0)),"")</f>
        <v/>
      </c>
      <c r="Q914" s="61" t="str">
        <f aca="false">IF(IsPro,IF($D914="","",L914+N914+O914+P914),"")</f>
        <v/>
      </c>
      <c r="R914" s="61" t="str">
        <f aca="false">IF(IsPro,IF($D914="","",ROUND(N($E914)*IFERROR(INDEX(Items!$P$5:$P$504,U914),0),2)),"")</f>
        <v/>
      </c>
      <c r="S914" s="61" t="str">
        <f aca="false">IF(IsPro,IF($D914="","",L914-R914),"")</f>
        <v/>
      </c>
      <c r="T914" s="60" t="str">
        <f aca="false">IF(IsPro,IF($D914="","",IF(U914="","UNKNOWN ITEM",IF(INDEX(Items!$O$5:$O$504,U914)&lt;0,"NEG STOCK",IF(K914&lt;INDEX(Items!$P$5:$P$504,U914),"BELOW COST","OK")))),IF($D914="","","PRO PLAN"))</f>
        <v/>
      </c>
      <c r="U914" s="60" t="str">
        <f aca="false">IF(IsPro,IF($D914="","",IFERROR(MATCH($D914,Items!$A$5:$A$504,0),"")),"")</f>
        <v/>
      </c>
      <c r="V914" s="60" t="str">
        <f aca="false">IF(IsPro,IF($C914="","",IFERROR(MATCH($C914,Parties!$A$5:$A$304,0),"")),"")</f>
        <v/>
      </c>
      <c r="W914" s="60" t="str">
        <f aca="false">IF(IsPro,IF($B914="","",IFERROR(VALUE(SUBSTITUTE($B914,InvPrefix,"")),0)),"")</f>
        <v/>
      </c>
      <c r="X914" s="61" t="str">
        <f aca="false">IF(IsPro,IF($D914="","",IF(OR($H914="",$H914="Credit"),0,Q914)),"")</f>
        <v/>
      </c>
    </row>
    <row r="915" customFormat="false" ht="15" hidden="false" customHeight="false" outlineLevel="0" collapsed="false">
      <c r="A915" s="55"/>
      <c r="B915" s="56"/>
      <c r="C915" s="56"/>
      <c r="D915" s="56"/>
      <c r="E915" s="57"/>
      <c r="F915" s="58"/>
      <c r="G915" s="59"/>
      <c r="H915" s="56"/>
      <c r="I915" s="56"/>
      <c r="J915" s="60" t="str">
        <f aca="false">IF(IsPro,IF($D915="","",IFERROR(INDEX(Items!$D$5:$D$504,U915),"")),"")</f>
        <v/>
      </c>
      <c r="K915" s="61" t="str">
        <f aca="false">IF(IsPro,IF($D915="","",IF($F915="",IFERROR(INDEX(Items!$H$5:$H$504,U915),0),$F915)),"")</f>
        <v/>
      </c>
      <c r="L915" s="61" t="str">
        <f aca="false">IF(IsPro,IF($D915="","",ROUND(N($E915)*K915*(1-N($G915)),2)),"")</f>
        <v/>
      </c>
      <c r="M915" s="62" t="str">
        <f aca="false">IF(IsPro,IF($D915="","",IFERROR(INDEX(Items!$F$5:$F$504,U915),0)),"")</f>
        <v/>
      </c>
      <c r="N915" s="61" t="str">
        <f aca="false">IF(IsPro,IF($D915="","",IF(AND(V915&lt;&gt;"",INDEX(Parties!$E$5:$E$304,V915)&lt;&gt;"",INDEX(Parties!$E$5:$E$304,V915)&lt;&gt;HomeState),0,ROUND(L915*M915/2,2))),"")</f>
        <v/>
      </c>
      <c r="O915" s="61" t="str">
        <f aca="false">IF(IsPro,IF($D915="","",N915),"")</f>
        <v/>
      </c>
      <c r="P915" s="61" t="str">
        <f aca="false">IF(IsPro,IF($D915="","",IF(AND(V915&lt;&gt;"",INDEX(Parties!$E$5:$E$304,V915)&lt;&gt;"",INDEX(Parties!$E$5:$E$304,V915)&lt;&gt;HomeState),ROUND(L915*M915,2),0)),"")</f>
        <v/>
      </c>
      <c r="Q915" s="61" t="str">
        <f aca="false">IF(IsPro,IF($D915="","",L915+N915+O915+P915),"")</f>
        <v/>
      </c>
      <c r="R915" s="61" t="str">
        <f aca="false">IF(IsPro,IF($D915="","",ROUND(N($E915)*IFERROR(INDEX(Items!$P$5:$P$504,U915),0),2)),"")</f>
        <v/>
      </c>
      <c r="S915" s="61" t="str">
        <f aca="false">IF(IsPro,IF($D915="","",L915-R915),"")</f>
        <v/>
      </c>
      <c r="T915" s="60" t="str">
        <f aca="false">IF(IsPro,IF($D915="","",IF(U915="","UNKNOWN ITEM",IF(INDEX(Items!$O$5:$O$504,U915)&lt;0,"NEG STOCK",IF(K915&lt;INDEX(Items!$P$5:$P$504,U915),"BELOW COST","OK")))),IF($D915="","","PRO PLAN"))</f>
        <v/>
      </c>
      <c r="U915" s="60" t="str">
        <f aca="false">IF(IsPro,IF($D915="","",IFERROR(MATCH($D915,Items!$A$5:$A$504,0),"")),"")</f>
        <v/>
      </c>
      <c r="V915" s="60" t="str">
        <f aca="false">IF(IsPro,IF($C915="","",IFERROR(MATCH($C915,Parties!$A$5:$A$304,0),"")),"")</f>
        <v/>
      </c>
      <c r="W915" s="60" t="str">
        <f aca="false">IF(IsPro,IF($B915="","",IFERROR(VALUE(SUBSTITUTE($B915,InvPrefix,"")),0)),"")</f>
        <v/>
      </c>
      <c r="X915" s="61" t="str">
        <f aca="false">IF(IsPro,IF($D915="","",IF(OR($H915="",$H915="Credit"),0,Q915)),"")</f>
        <v/>
      </c>
    </row>
    <row r="916" customFormat="false" ht="15" hidden="false" customHeight="false" outlineLevel="0" collapsed="false">
      <c r="A916" s="55"/>
      <c r="B916" s="56"/>
      <c r="C916" s="56"/>
      <c r="D916" s="56"/>
      <c r="E916" s="57"/>
      <c r="F916" s="58"/>
      <c r="G916" s="59"/>
      <c r="H916" s="56"/>
      <c r="I916" s="56"/>
      <c r="J916" s="60" t="str">
        <f aca="false">IF(IsPro,IF($D916="","",IFERROR(INDEX(Items!$D$5:$D$504,U916),"")),"")</f>
        <v/>
      </c>
      <c r="K916" s="61" t="str">
        <f aca="false">IF(IsPro,IF($D916="","",IF($F916="",IFERROR(INDEX(Items!$H$5:$H$504,U916),0),$F916)),"")</f>
        <v/>
      </c>
      <c r="L916" s="61" t="str">
        <f aca="false">IF(IsPro,IF($D916="","",ROUND(N($E916)*K916*(1-N($G916)),2)),"")</f>
        <v/>
      </c>
      <c r="M916" s="62" t="str">
        <f aca="false">IF(IsPro,IF($D916="","",IFERROR(INDEX(Items!$F$5:$F$504,U916),0)),"")</f>
        <v/>
      </c>
      <c r="N916" s="61" t="str">
        <f aca="false">IF(IsPro,IF($D916="","",IF(AND(V916&lt;&gt;"",INDEX(Parties!$E$5:$E$304,V916)&lt;&gt;"",INDEX(Parties!$E$5:$E$304,V916)&lt;&gt;HomeState),0,ROUND(L916*M916/2,2))),"")</f>
        <v/>
      </c>
      <c r="O916" s="61" t="str">
        <f aca="false">IF(IsPro,IF($D916="","",N916),"")</f>
        <v/>
      </c>
      <c r="P916" s="61" t="str">
        <f aca="false">IF(IsPro,IF($D916="","",IF(AND(V916&lt;&gt;"",INDEX(Parties!$E$5:$E$304,V916)&lt;&gt;"",INDEX(Parties!$E$5:$E$304,V916)&lt;&gt;HomeState),ROUND(L916*M916,2),0)),"")</f>
        <v/>
      </c>
      <c r="Q916" s="61" t="str">
        <f aca="false">IF(IsPro,IF($D916="","",L916+N916+O916+P916),"")</f>
        <v/>
      </c>
      <c r="R916" s="61" t="str">
        <f aca="false">IF(IsPro,IF($D916="","",ROUND(N($E916)*IFERROR(INDEX(Items!$P$5:$P$504,U916),0),2)),"")</f>
        <v/>
      </c>
      <c r="S916" s="61" t="str">
        <f aca="false">IF(IsPro,IF($D916="","",L916-R916),"")</f>
        <v/>
      </c>
      <c r="T916" s="60" t="str">
        <f aca="false">IF(IsPro,IF($D916="","",IF(U916="","UNKNOWN ITEM",IF(INDEX(Items!$O$5:$O$504,U916)&lt;0,"NEG STOCK",IF(K916&lt;INDEX(Items!$P$5:$P$504,U916),"BELOW COST","OK")))),IF($D916="","","PRO PLAN"))</f>
        <v/>
      </c>
      <c r="U916" s="60" t="str">
        <f aca="false">IF(IsPro,IF($D916="","",IFERROR(MATCH($D916,Items!$A$5:$A$504,0),"")),"")</f>
        <v/>
      </c>
      <c r="V916" s="60" t="str">
        <f aca="false">IF(IsPro,IF($C916="","",IFERROR(MATCH($C916,Parties!$A$5:$A$304,0),"")),"")</f>
        <v/>
      </c>
      <c r="W916" s="60" t="str">
        <f aca="false">IF(IsPro,IF($B916="","",IFERROR(VALUE(SUBSTITUTE($B916,InvPrefix,"")),0)),"")</f>
        <v/>
      </c>
      <c r="X916" s="61" t="str">
        <f aca="false">IF(IsPro,IF($D916="","",IF(OR($H916="",$H916="Credit"),0,Q916)),"")</f>
        <v/>
      </c>
    </row>
    <row r="917" customFormat="false" ht="15" hidden="false" customHeight="false" outlineLevel="0" collapsed="false">
      <c r="A917" s="55"/>
      <c r="B917" s="56"/>
      <c r="C917" s="56"/>
      <c r="D917" s="56"/>
      <c r="E917" s="57"/>
      <c r="F917" s="58"/>
      <c r="G917" s="59"/>
      <c r="H917" s="56"/>
      <c r="I917" s="56"/>
      <c r="J917" s="60" t="str">
        <f aca="false">IF(IsPro,IF($D917="","",IFERROR(INDEX(Items!$D$5:$D$504,U917),"")),"")</f>
        <v/>
      </c>
      <c r="K917" s="61" t="str">
        <f aca="false">IF(IsPro,IF($D917="","",IF($F917="",IFERROR(INDEX(Items!$H$5:$H$504,U917),0),$F917)),"")</f>
        <v/>
      </c>
      <c r="L917" s="61" t="str">
        <f aca="false">IF(IsPro,IF($D917="","",ROUND(N($E917)*K917*(1-N($G917)),2)),"")</f>
        <v/>
      </c>
      <c r="M917" s="62" t="str">
        <f aca="false">IF(IsPro,IF($D917="","",IFERROR(INDEX(Items!$F$5:$F$504,U917),0)),"")</f>
        <v/>
      </c>
      <c r="N917" s="61" t="str">
        <f aca="false">IF(IsPro,IF($D917="","",IF(AND(V917&lt;&gt;"",INDEX(Parties!$E$5:$E$304,V917)&lt;&gt;"",INDEX(Parties!$E$5:$E$304,V917)&lt;&gt;HomeState),0,ROUND(L917*M917/2,2))),"")</f>
        <v/>
      </c>
      <c r="O917" s="61" t="str">
        <f aca="false">IF(IsPro,IF($D917="","",N917),"")</f>
        <v/>
      </c>
      <c r="P917" s="61" t="str">
        <f aca="false">IF(IsPro,IF($D917="","",IF(AND(V917&lt;&gt;"",INDEX(Parties!$E$5:$E$304,V917)&lt;&gt;"",INDEX(Parties!$E$5:$E$304,V917)&lt;&gt;HomeState),ROUND(L917*M917,2),0)),"")</f>
        <v/>
      </c>
      <c r="Q917" s="61" t="str">
        <f aca="false">IF(IsPro,IF($D917="","",L917+N917+O917+P917),"")</f>
        <v/>
      </c>
      <c r="R917" s="61" t="str">
        <f aca="false">IF(IsPro,IF($D917="","",ROUND(N($E917)*IFERROR(INDEX(Items!$P$5:$P$504,U917),0),2)),"")</f>
        <v/>
      </c>
      <c r="S917" s="61" t="str">
        <f aca="false">IF(IsPro,IF($D917="","",L917-R917),"")</f>
        <v/>
      </c>
      <c r="T917" s="60" t="str">
        <f aca="false">IF(IsPro,IF($D917="","",IF(U917="","UNKNOWN ITEM",IF(INDEX(Items!$O$5:$O$504,U917)&lt;0,"NEG STOCK",IF(K917&lt;INDEX(Items!$P$5:$P$504,U917),"BELOW COST","OK")))),IF($D917="","","PRO PLAN"))</f>
        <v/>
      </c>
      <c r="U917" s="60" t="str">
        <f aca="false">IF(IsPro,IF($D917="","",IFERROR(MATCH($D917,Items!$A$5:$A$504,0),"")),"")</f>
        <v/>
      </c>
      <c r="V917" s="60" t="str">
        <f aca="false">IF(IsPro,IF($C917="","",IFERROR(MATCH($C917,Parties!$A$5:$A$304,0),"")),"")</f>
        <v/>
      </c>
      <c r="W917" s="60" t="str">
        <f aca="false">IF(IsPro,IF($B917="","",IFERROR(VALUE(SUBSTITUTE($B917,InvPrefix,"")),0)),"")</f>
        <v/>
      </c>
      <c r="X917" s="61" t="str">
        <f aca="false">IF(IsPro,IF($D917="","",IF(OR($H917="",$H917="Credit"),0,Q917)),"")</f>
        <v/>
      </c>
    </row>
    <row r="918" customFormat="false" ht="15" hidden="false" customHeight="false" outlineLevel="0" collapsed="false">
      <c r="A918" s="55"/>
      <c r="B918" s="56"/>
      <c r="C918" s="56"/>
      <c r="D918" s="56"/>
      <c r="E918" s="57"/>
      <c r="F918" s="58"/>
      <c r="G918" s="59"/>
      <c r="H918" s="56"/>
      <c r="I918" s="56"/>
      <c r="J918" s="60" t="str">
        <f aca="false">IF(IsPro,IF($D918="","",IFERROR(INDEX(Items!$D$5:$D$504,U918),"")),"")</f>
        <v/>
      </c>
      <c r="K918" s="61" t="str">
        <f aca="false">IF(IsPro,IF($D918="","",IF($F918="",IFERROR(INDEX(Items!$H$5:$H$504,U918),0),$F918)),"")</f>
        <v/>
      </c>
      <c r="L918" s="61" t="str">
        <f aca="false">IF(IsPro,IF($D918="","",ROUND(N($E918)*K918*(1-N($G918)),2)),"")</f>
        <v/>
      </c>
      <c r="M918" s="62" t="str">
        <f aca="false">IF(IsPro,IF($D918="","",IFERROR(INDEX(Items!$F$5:$F$504,U918),0)),"")</f>
        <v/>
      </c>
      <c r="N918" s="61" t="str">
        <f aca="false">IF(IsPro,IF($D918="","",IF(AND(V918&lt;&gt;"",INDEX(Parties!$E$5:$E$304,V918)&lt;&gt;"",INDEX(Parties!$E$5:$E$304,V918)&lt;&gt;HomeState),0,ROUND(L918*M918/2,2))),"")</f>
        <v/>
      </c>
      <c r="O918" s="61" t="str">
        <f aca="false">IF(IsPro,IF($D918="","",N918),"")</f>
        <v/>
      </c>
      <c r="P918" s="61" t="str">
        <f aca="false">IF(IsPro,IF($D918="","",IF(AND(V918&lt;&gt;"",INDEX(Parties!$E$5:$E$304,V918)&lt;&gt;"",INDEX(Parties!$E$5:$E$304,V918)&lt;&gt;HomeState),ROUND(L918*M918,2),0)),"")</f>
        <v/>
      </c>
      <c r="Q918" s="61" t="str">
        <f aca="false">IF(IsPro,IF($D918="","",L918+N918+O918+P918),"")</f>
        <v/>
      </c>
      <c r="R918" s="61" t="str">
        <f aca="false">IF(IsPro,IF($D918="","",ROUND(N($E918)*IFERROR(INDEX(Items!$P$5:$P$504,U918),0),2)),"")</f>
        <v/>
      </c>
      <c r="S918" s="61" t="str">
        <f aca="false">IF(IsPro,IF($D918="","",L918-R918),"")</f>
        <v/>
      </c>
      <c r="T918" s="60" t="str">
        <f aca="false">IF(IsPro,IF($D918="","",IF(U918="","UNKNOWN ITEM",IF(INDEX(Items!$O$5:$O$504,U918)&lt;0,"NEG STOCK",IF(K918&lt;INDEX(Items!$P$5:$P$504,U918),"BELOW COST","OK")))),IF($D918="","","PRO PLAN"))</f>
        <v/>
      </c>
      <c r="U918" s="60" t="str">
        <f aca="false">IF(IsPro,IF($D918="","",IFERROR(MATCH($D918,Items!$A$5:$A$504,0),"")),"")</f>
        <v/>
      </c>
      <c r="V918" s="60" t="str">
        <f aca="false">IF(IsPro,IF($C918="","",IFERROR(MATCH($C918,Parties!$A$5:$A$304,0),"")),"")</f>
        <v/>
      </c>
      <c r="W918" s="60" t="str">
        <f aca="false">IF(IsPro,IF($B918="","",IFERROR(VALUE(SUBSTITUTE($B918,InvPrefix,"")),0)),"")</f>
        <v/>
      </c>
      <c r="X918" s="61" t="str">
        <f aca="false">IF(IsPro,IF($D918="","",IF(OR($H918="",$H918="Credit"),0,Q918)),"")</f>
        <v/>
      </c>
    </row>
    <row r="919" customFormat="false" ht="15" hidden="false" customHeight="false" outlineLevel="0" collapsed="false">
      <c r="A919" s="55"/>
      <c r="B919" s="56"/>
      <c r="C919" s="56"/>
      <c r="D919" s="56"/>
      <c r="E919" s="57"/>
      <c r="F919" s="58"/>
      <c r="G919" s="59"/>
      <c r="H919" s="56"/>
      <c r="I919" s="56"/>
      <c r="J919" s="60" t="str">
        <f aca="false">IF(IsPro,IF($D919="","",IFERROR(INDEX(Items!$D$5:$D$504,U919),"")),"")</f>
        <v/>
      </c>
      <c r="K919" s="61" t="str">
        <f aca="false">IF(IsPro,IF($D919="","",IF($F919="",IFERROR(INDEX(Items!$H$5:$H$504,U919),0),$F919)),"")</f>
        <v/>
      </c>
      <c r="L919" s="61" t="str">
        <f aca="false">IF(IsPro,IF($D919="","",ROUND(N($E919)*K919*(1-N($G919)),2)),"")</f>
        <v/>
      </c>
      <c r="M919" s="62" t="str">
        <f aca="false">IF(IsPro,IF($D919="","",IFERROR(INDEX(Items!$F$5:$F$504,U919),0)),"")</f>
        <v/>
      </c>
      <c r="N919" s="61" t="str">
        <f aca="false">IF(IsPro,IF($D919="","",IF(AND(V919&lt;&gt;"",INDEX(Parties!$E$5:$E$304,V919)&lt;&gt;"",INDEX(Parties!$E$5:$E$304,V919)&lt;&gt;HomeState),0,ROUND(L919*M919/2,2))),"")</f>
        <v/>
      </c>
      <c r="O919" s="61" t="str">
        <f aca="false">IF(IsPro,IF($D919="","",N919),"")</f>
        <v/>
      </c>
      <c r="P919" s="61" t="str">
        <f aca="false">IF(IsPro,IF($D919="","",IF(AND(V919&lt;&gt;"",INDEX(Parties!$E$5:$E$304,V919)&lt;&gt;"",INDEX(Parties!$E$5:$E$304,V919)&lt;&gt;HomeState),ROUND(L919*M919,2),0)),"")</f>
        <v/>
      </c>
      <c r="Q919" s="61" t="str">
        <f aca="false">IF(IsPro,IF($D919="","",L919+N919+O919+P919),"")</f>
        <v/>
      </c>
      <c r="R919" s="61" t="str">
        <f aca="false">IF(IsPro,IF($D919="","",ROUND(N($E919)*IFERROR(INDEX(Items!$P$5:$P$504,U919),0),2)),"")</f>
        <v/>
      </c>
      <c r="S919" s="61" t="str">
        <f aca="false">IF(IsPro,IF($D919="","",L919-R919),"")</f>
        <v/>
      </c>
      <c r="T919" s="60" t="str">
        <f aca="false">IF(IsPro,IF($D919="","",IF(U919="","UNKNOWN ITEM",IF(INDEX(Items!$O$5:$O$504,U919)&lt;0,"NEG STOCK",IF(K919&lt;INDEX(Items!$P$5:$P$504,U919),"BELOW COST","OK")))),IF($D919="","","PRO PLAN"))</f>
        <v/>
      </c>
      <c r="U919" s="60" t="str">
        <f aca="false">IF(IsPro,IF($D919="","",IFERROR(MATCH($D919,Items!$A$5:$A$504,0),"")),"")</f>
        <v/>
      </c>
      <c r="V919" s="60" t="str">
        <f aca="false">IF(IsPro,IF($C919="","",IFERROR(MATCH($C919,Parties!$A$5:$A$304,0),"")),"")</f>
        <v/>
      </c>
      <c r="W919" s="60" t="str">
        <f aca="false">IF(IsPro,IF($B919="","",IFERROR(VALUE(SUBSTITUTE($B919,InvPrefix,"")),0)),"")</f>
        <v/>
      </c>
      <c r="X919" s="61" t="str">
        <f aca="false">IF(IsPro,IF($D919="","",IF(OR($H919="",$H919="Credit"),0,Q919)),"")</f>
        <v/>
      </c>
    </row>
    <row r="920" customFormat="false" ht="15" hidden="false" customHeight="false" outlineLevel="0" collapsed="false">
      <c r="A920" s="55"/>
      <c r="B920" s="56"/>
      <c r="C920" s="56"/>
      <c r="D920" s="56"/>
      <c r="E920" s="57"/>
      <c r="F920" s="58"/>
      <c r="G920" s="59"/>
      <c r="H920" s="56"/>
      <c r="I920" s="56"/>
      <c r="J920" s="60" t="str">
        <f aca="false">IF(IsPro,IF($D920="","",IFERROR(INDEX(Items!$D$5:$D$504,U920),"")),"")</f>
        <v/>
      </c>
      <c r="K920" s="61" t="str">
        <f aca="false">IF(IsPro,IF($D920="","",IF($F920="",IFERROR(INDEX(Items!$H$5:$H$504,U920),0),$F920)),"")</f>
        <v/>
      </c>
      <c r="L920" s="61" t="str">
        <f aca="false">IF(IsPro,IF($D920="","",ROUND(N($E920)*K920*(1-N($G920)),2)),"")</f>
        <v/>
      </c>
      <c r="M920" s="62" t="str">
        <f aca="false">IF(IsPro,IF($D920="","",IFERROR(INDEX(Items!$F$5:$F$504,U920),0)),"")</f>
        <v/>
      </c>
      <c r="N920" s="61" t="str">
        <f aca="false">IF(IsPro,IF($D920="","",IF(AND(V920&lt;&gt;"",INDEX(Parties!$E$5:$E$304,V920)&lt;&gt;"",INDEX(Parties!$E$5:$E$304,V920)&lt;&gt;HomeState),0,ROUND(L920*M920/2,2))),"")</f>
        <v/>
      </c>
      <c r="O920" s="61" t="str">
        <f aca="false">IF(IsPro,IF($D920="","",N920),"")</f>
        <v/>
      </c>
      <c r="P920" s="61" t="str">
        <f aca="false">IF(IsPro,IF($D920="","",IF(AND(V920&lt;&gt;"",INDEX(Parties!$E$5:$E$304,V920)&lt;&gt;"",INDEX(Parties!$E$5:$E$304,V920)&lt;&gt;HomeState),ROUND(L920*M920,2),0)),"")</f>
        <v/>
      </c>
      <c r="Q920" s="61" t="str">
        <f aca="false">IF(IsPro,IF($D920="","",L920+N920+O920+P920),"")</f>
        <v/>
      </c>
      <c r="R920" s="61" t="str">
        <f aca="false">IF(IsPro,IF($D920="","",ROUND(N($E920)*IFERROR(INDEX(Items!$P$5:$P$504,U920),0),2)),"")</f>
        <v/>
      </c>
      <c r="S920" s="61" t="str">
        <f aca="false">IF(IsPro,IF($D920="","",L920-R920),"")</f>
        <v/>
      </c>
      <c r="T920" s="60" t="str">
        <f aca="false">IF(IsPro,IF($D920="","",IF(U920="","UNKNOWN ITEM",IF(INDEX(Items!$O$5:$O$504,U920)&lt;0,"NEG STOCK",IF(K920&lt;INDEX(Items!$P$5:$P$504,U920),"BELOW COST","OK")))),IF($D920="","","PRO PLAN"))</f>
        <v/>
      </c>
      <c r="U920" s="60" t="str">
        <f aca="false">IF(IsPro,IF($D920="","",IFERROR(MATCH($D920,Items!$A$5:$A$504,0),"")),"")</f>
        <v/>
      </c>
      <c r="V920" s="60" t="str">
        <f aca="false">IF(IsPro,IF($C920="","",IFERROR(MATCH($C920,Parties!$A$5:$A$304,0),"")),"")</f>
        <v/>
      </c>
      <c r="W920" s="60" t="str">
        <f aca="false">IF(IsPro,IF($B920="","",IFERROR(VALUE(SUBSTITUTE($B920,InvPrefix,"")),0)),"")</f>
        <v/>
      </c>
      <c r="X920" s="61" t="str">
        <f aca="false">IF(IsPro,IF($D920="","",IF(OR($H920="",$H920="Credit"),0,Q920)),"")</f>
        <v/>
      </c>
    </row>
    <row r="921" customFormat="false" ht="15" hidden="false" customHeight="false" outlineLevel="0" collapsed="false">
      <c r="A921" s="55"/>
      <c r="B921" s="56"/>
      <c r="C921" s="56"/>
      <c r="D921" s="56"/>
      <c r="E921" s="57"/>
      <c r="F921" s="58"/>
      <c r="G921" s="59"/>
      <c r="H921" s="56"/>
      <c r="I921" s="56"/>
      <c r="J921" s="60" t="str">
        <f aca="false">IF(IsPro,IF($D921="","",IFERROR(INDEX(Items!$D$5:$D$504,U921),"")),"")</f>
        <v/>
      </c>
      <c r="K921" s="61" t="str">
        <f aca="false">IF(IsPro,IF($D921="","",IF($F921="",IFERROR(INDEX(Items!$H$5:$H$504,U921),0),$F921)),"")</f>
        <v/>
      </c>
      <c r="L921" s="61" t="str">
        <f aca="false">IF(IsPro,IF($D921="","",ROUND(N($E921)*K921*(1-N($G921)),2)),"")</f>
        <v/>
      </c>
      <c r="M921" s="62" t="str">
        <f aca="false">IF(IsPro,IF($D921="","",IFERROR(INDEX(Items!$F$5:$F$504,U921),0)),"")</f>
        <v/>
      </c>
      <c r="N921" s="61" t="str">
        <f aca="false">IF(IsPro,IF($D921="","",IF(AND(V921&lt;&gt;"",INDEX(Parties!$E$5:$E$304,V921)&lt;&gt;"",INDEX(Parties!$E$5:$E$304,V921)&lt;&gt;HomeState),0,ROUND(L921*M921/2,2))),"")</f>
        <v/>
      </c>
      <c r="O921" s="61" t="str">
        <f aca="false">IF(IsPro,IF($D921="","",N921),"")</f>
        <v/>
      </c>
      <c r="P921" s="61" t="str">
        <f aca="false">IF(IsPro,IF($D921="","",IF(AND(V921&lt;&gt;"",INDEX(Parties!$E$5:$E$304,V921)&lt;&gt;"",INDEX(Parties!$E$5:$E$304,V921)&lt;&gt;HomeState),ROUND(L921*M921,2),0)),"")</f>
        <v/>
      </c>
      <c r="Q921" s="61" t="str">
        <f aca="false">IF(IsPro,IF($D921="","",L921+N921+O921+P921),"")</f>
        <v/>
      </c>
      <c r="R921" s="61" t="str">
        <f aca="false">IF(IsPro,IF($D921="","",ROUND(N($E921)*IFERROR(INDEX(Items!$P$5:$P$504,U921),0),2)),"")</f>
        <v/>
      </c>
      <c r="S921" s="61" t="str">
        <f aca="false">IF(IsPro,IF($D921="","",L921-R921),"")</f>
        <v/>
      </c>
      <c r="T921" s="60" t="str">
        <f aca="false">IF(IsPro,IF($D921="","",IF(U921="","UNKNOWN ITEM",IF(INDEX(Items!$O$5:$O$504,U921)&lt;0,"NEG STOCK",IF(K921&lt;INDEX(Items!$P$5:$P$504,U921),"BELOW COST","OK")))),IF($D921="","","PRO PLAN"))</f>
        <v/>
      </c>
      <c r="U921" s="60" t="str">
        <f aca="false">IF(IsPro,IF($D921="","",IFERROR(MATCH($D921,Items!$A$5:$A$504,0),"")),"")</f>
        <v/>
      </c>
      <c r="V921" s="60" t="str">
        <f aca="false">IF(IsPro,IF($C921="","",IFERROR(MATCH($C921,Parties!$A$5:$A$304,0),"")),"")</f>
        <v/>
      </c>
      <c r="W921" s="60" t="str">
        <f aca="false">IF(IsPro,IF($B921="","",IFERROR(VALUE(SUBSTITUTE($B921,InvPrefix,"")),0)),"")</f>
        <v/>
      </c>
      <c r="X921" s="61" t="str">
        <f aca="false">IF(IsPro,IF($D921="","",IF(OR($H921="",$H921="Credit"),0,Q921)),"")</f>
        <v/>
      </c>
    </row>
    <row r="922" customFormat="false" ht="15" hidden="false" customHeight="false" outlineLevel="0" collapsed="false">
      <c r="A922" s="55"/>
      <c r="B922" s="56"/>
      <c r="C922" s="56"/>
      <c r="D922" s="56"/>
      <c r="E922" s="57"/>
      <c r="F922" s="58"/>
      <c r="G922" s="59"/>
      <c r="H922" s="56"/>
      <c r="I922" s="56"/>
      <c r="J922" s="60" t="str">
        <f aca="false">IF(IsPro,IF($D922="","",IFERROR(INDEX(Items!$D$5:$D$504,U922),"")),"")</f>
        <v/>
      </c>
      <c r="K922" s="61" t="str">
        <f aca="false">IF(IsPro,IF($D922="","",IF($F922="",IFERROR(INDEX(Items!$H$5:$H$504,U922),0),$F922)),"")</f>
        <v/>
      </c>
      <c r="L922" s="61" t="str">
        <f aca="false">IF(IsPro,IF($D922="","",ROUND(N($E922)*K922*(1-N($G922)),2)),"")</f>
        <v/>
      </c>
      <c r="M922" s="62" t="str">
        <f aca="false">IF(IsPro,IF($D922="","",IFERROR(INDEX(Items!$F$5:$F$504,U922),0)),"")</f>
        <v/>
      </c>
      <c r="N922" s="61" t="str">
        <f aca="false">IF(IsPro,IF($D922="","",IF(AND(V922&lt;&gt;"",INDEX(Parties!$E$5:$E$304,V922)&lt;&gt;"",INDEX(Parties!$E$5:$E$304,V922)&lt;&gt;HomeState),0,ROUND(L922*M922/2,2))),"")</f>
        <v/>
      </c>
      <c r="O922" s="61" t="str">
        <f aca="false">IF(IsPro,IF($D922="","",N922),"")</f>
        <v/>
      </c>
      <c r="P922" s="61" t="str">
        <f aca="false">IF(IsPro,IF($D922="","",IF(AND(V922&lt;&gt;"",INDEX(Parties!$E$5:$E$304,V922)&lt;&gt;"",INDEX(Parties!$E$5:$E$304,V922)&lt;&gt;HomeState),ROUND(L922*M922,2),0)),"")</f>
        <v/>
      </c>
      <c r="Q922" s="61" t="str">
        <f aca="false">IF(IsPro,IF($D922="","",L922+N922+O922+P922),"")</f>
        <v/>
      </c>
      <c r="R922" s="61" t="str">
        <f aca="false">IF(IsPro,IF($D922="","",ROUND(N($E922)*IFERROR(INDEX(Items!$P$5:$P$504,U922),0),2)),"")</f>
        <v/>
      </c>
      <c r="S922" s="61" t="str">
        <f aca="false">IF(IsPro,IF($D922="","",L922-R922),"")</f>
        <v/>
      </c>
      <c r="T922" s="60" t="str">
        <f aca="false">IF(IsPro,IF($D922="","",IF(U922="","UNKNOWN ITEM",IF(INDEX(Items!$O$5:$O$504,U922)&lt;0,"NEG STOCK",IF(K922&lt;INDEX(Items!$P$5:$P$504,U922),"BELOW COST","OK")))),IF($D922="","","PRO PLAN"))</f>
        <v/>
      </c>
      <c r="U922" s="60" t="str">
        <f aca="false">IF(IsPro,IF($D922="","",IFERROR(MATCH($D922,Items!$A$5:$A$504,0),"")),"")</f>
        <v/>
      </c>
      <c r="V922" s="60" t="str">
        <f aca="false">IF(IsPro,IF($C922="","",IFERROR(MATCH($C922,Parties!$A$5:$A$304,0),"")),"")</f>
        <v/>
      </c>
      <c r="W922" s="60" t="str">
        <f aca="false">IF(IsPro,IF($B922="","",IFERROR(VALUE(SUBSTITUTE($B922,InvPrefix,"")),0)),"")</f>
        <v/>
      </c>
      <c r="X922" s="61" t="str">
        <f aca="false">IF(IsPro,IF($D922="","",IF(OR($H922="",$H922="Credit"),0,Q922)),"")</f>
        <v/>
      </c>
    </row>
    <row r="923" customFormat="false" ht="15" hidden="false" customHeight="false" outlineLevel="0" collapsed="false">
      <c r="A923" s="55"/>
      <c r="B923" s="56"/>
      <c r="C923" s="56"/>
      <c r="D923" s="56"/>
      <c r="E923" s="57"/>
      <c r="F923" s="58"/>
      <c r="G923" s="59"/>
      <c r="H923" s="56"/>
      <c r="I923" s="56"/>
      <c r="J923" s="60" t="str">
        <f aca="false">IF(IsPro,IF($D923="","",IFERROR(INDEX(Items!$D$5:$D$504,U923),"")),"")</f>
        <v/>
      </c>
      <c r="K923" s="61" t="str">
        <f aca="false">IF(IsPro,IF($D923="","",IF($F923="",IFERROR(INDEX(Items!$H$5:$H$504,U923),0),$F923)),"")</f>
        <v/>
      </c>
      <c r="L923" s="61" t="str">
        <f aca="false">IF(IsPro,IF($D923="","",ROUND(N($E923)*K923*(1-N($G923)),2)),"")</f>
        <v/>
      </c>
      <c r="M923" s="62" t="str">
        <f aca="false">IF(IsPro,IF($D923="","",IFERROR(INDEX(Items!$F$5:$F$504,U923),0)),"")</f>
        <v/>
      </c>
      <c r="N923" s="61" t="str">
        <f aca="false">IF(IsPro,IF($D923="","",IF(AND(V923&lt;&gt;"",INDEX(Parties!$E$5:$E$304,V923)&lt;&gt;"",INDEX(Parties!$E$5:$E$304,V923)&lt;&gt;HomeState),0,ROUND(L923*M923/2,2))),"")</f>
        <v/>
      </c>
      <c r="O923" s="61" t="str">
        <f aca="false">IF(IsPro,IF($D923="","",N923),"")</f>
        <v/>
      </c>
      <c r="P923" s="61" t="str">
        <f aca="false">IF(IsPro,IF($D923="","",IF(AND(V923&lt;&gt;"",INDEX(Parties!$E$5:$E$304,V923)&lt;&gt;"",INDEX(Parties!$E$5:$E$304,V923)&lt;&gt;HomeState),ROUND(L923*M923,2),0)),"")</f>
        <v/>
      </c>
      <c r="Q923" s="61" t="str">
        <f aca="false">IF(IsPro,IF($D923="","",L923+N923+O923+P923),"")</f>
        <v/>
      </c>
      <c r="R923" s="61" t="str">
        <f aca="false">IF(IsPro,IF($D923="","",ROUND(N($E923)*IFERROR(INDEX(Items!$P$5:$P$504,U923),0),2)),"")</f>
        <v/>
      </c>
      <c r="S923" s="61" t="str">
        <f aca="false">IF(IsPro,IF($D923="","",L923-R923),"")</f>
        <v/>
      </c>
      <c r="T923" s="60" t="str">
        <f aca="false">IF(IsPro,IF($D923="","",IF(U923="","UNKNOWN ITEM",IF(INDEX(Items!$O$5:$O$504,U923)&lt;0,"NEG STOCK",IF(K923&lt;INDEX(Items!$P$5:$P$504,U923),"BELOW COST","OK")))),IF($D923="","","PRO PLAN"))</f>
        <v/>
      </c>
      <c r="U923" s="60" t="str">
        <f aca="false">IF(IsPro,IF($D923="","",IFERROR(MATCH($D923,Items!$A$5:$A$504,0),"")),"")</f>
        <v/>
      </c>
      <c r="V923" s="60" t="str">
        <f aca="false">IF(IsPro,IF($C923="","",IFERROR(MATCH($C923,Parties!$A$5:$A$304,0),"")),"")</f>
        <v/>
      </c>
      <c r="W923" s="60" t="str">
        <f aca="false">IF(IsPro,IF($B923="","",IFERROR(VALUE(SUBSTITUTE($B923,InvPrefix,"")),0)),"")</f>
        <v/>
      </c>
      <c r="X923" s="61" t="str">
        <f aca="false">IF(IsPro,IF($D923="","",IF(OR($H923="",$H923="Credit"),0,Q923)),"")</f>
        <v/>
      </c>
    </row>
    <row r="924" customFormat="false" ht="15" hidden="false" customHeight="false" outlineLevel="0" collapsed="false">
      <c r="A924" s="55"/>
      <c r="B924" s="56"/>
      <c r="C924" s="56"/>
      <c r="D924" s="56"/>
      <c r="E924" s="57"/>
      <c r="F924" s="58"/>
      <c r="G924" s="59"/>
      <c r="H924" s="56"/>
      <c r="I924" s="56"/>
      <c r="J924" s="60" t="str">
        <f aca="false">IF(IsPro,IF($D924="","",IFERROR(INDEX(Items!$D$5:$D$504,U924),"")),"")</f>
        <v/>
      </c>
      <c r="K924" s="61" t="str">
        <f aca="false">IF(IsPro,IF($D924="","",IF($F924="",IFERROR(INDEX(Items!$H$5:$H$504,U924),0),$F924)),"")</f>
        <v/>
      </c>
      <c r="L924" s="61" t="str">
        <f aca="false">IF(IsPro,IF($D924="","",ROUND(N($E924)*K924*(1-N($G924)),2)),"")</f>
        <v/>
      </c>
      <c r="M924" s="62" t="str">
        <f aca="false">IF(IsPro,IF($D924="","",IFERROR(INDEX(Items!$F$5:$F$504,U924),0)),"")</f>
        <v/>
      </c>
      <c r="N924" s="61" t="str">
        <f aca="false">IF(IsPro,IF($D924="","",IF(AND(V924&lt;&gt;"",INDEX(Parties!$E$5:$E$304,V924)&lt;&gt;"",INDEX(Parties!$E$5:$E$304,V924)&lt;&gt;HomeState),0,ROUND(L924*M924/2,2))),"")</f>
        <v/>
      </c>
      <c r="O924" s="61" t="str">
        <f aca="false">IF(IsPro,IF($D924="","",N924),"")</f>
        <v/>
      </c>
      <c r="P924" s="61" t="str">
        <f aca="false">IF(IsPro,IF($D924="","",IF(AND(V924&lt;&gt;"",INDEX(Parties!$E$5:$E$304,V924)&lt;&gt;"",INDEX(Parties!$E$5:$E$304,V924)&lt;&gt;HomeState),ROUND(L924*M924,2),0)),"")</f>
        <v/>
      </c>
      <c r="Q924" s="61" t="str">
        <f aca="false">IF(IsPro,IF($D924="","",L924+N924+O924+P924),"")</f>
        <v/>
      </c>
      <c r="R924" s="61" t="str">
        <f aca="false">IF(IsPro,IF($D924="","",ROUND(N($E924)*IFERROR(INDEX(Items!$P$5:$P$504,U924),0),2)),"")</f>
        <v/>
      </c>
      <c r="S924" s="61" t="str">
        <f aca="false">IF(IsPro,IF($D924="","",L924-R924),"")</f>
        <v/>
      </c>
      <c r="T924" s="60" t="str">
        <f aca="false">IF(IsPro,IF($D924="","",IF(U924="","UNKNOWN ITEM",IF(INDEX(Items!$O$5:$O$504,U924)&lt;0,"NEG STOCK",IF(K924&lt;INDEX(Items!$P$5:$P$504,U924),"BELOW COST","OK")))),IF($D924="","","PRO PLAN"))</f>
        <v/>
      </c>
      <c r="U924" s="60" t="str">
        <f aca="false">IF(IsPro,IF($D924="","",IFERROR(MATCH($D924,Items!$A$5:$A$504,0),"")),"")</f>
        <v/>
      </c>
      <c r="V924" s="60" t="str">
        <f aca="false">IF(IsPro,IF($C924="","",IFERROR(MATCH($C924,Parties!$A$5:$A$304,0),"")),"")</f>
        <v/>
      </c>
      <c r="W924" s="60" t="str">
        <f aca="false">IF(IsPro,IF($B924="","",IFERROR(VALUE(SUBSTITUTE($B924,InvPrefix,"")),0)),"")</f>
        <v/>
      </c>
      <c r="X924" s="61" t="str">
        <f aca="false">IF(IsPro,IF($D924="","",IF(OR($H924="",$H924="Credit"),0,Q924)),"")</f>
        <v/>
      </c>
    </row>
    <row r="925" customFormat="false" ht="15" hidden="false" customHeight="false" outlineLevel="0" collapsed="false">
      <c r="A925" s="55"/>
      <c r="B925" s="56"/>
      <c r="C925" s="56"/>
      <c r="D925" s="56"/>
      <c r="E925" s="57"/>
      <c r="F925" s="58"/>
      <c r="G925" s="59"/>
      <c r="H925" s="56"/>
      <c r="I925" s="56"/>
      <c r="J925" s="60" t="str">
        <f aca="false">IF(IsPro,IF($D925="","",IFERROR(INDEX(Items!$D$5:$D$504,U925),"")),"")</f>
        <v/>
      </c>
      <c r="K925" s="61" t="str">
        <f aca="false">IF(IsPro,IF($D925="","",IF($F925="",IFERROR(INDEX(Items!$H$5:$H$504,U925),0),$F925)),"")</f>
        <v/>
      </c>
      <c r="L925" s="61" t="str">
        <f aca="false">IF(IsPro,IF($D925="","",ROUND(N($E925)*K925*(1-N($G925)),2)),"")</f>
        <v/>
      </c>
      <c r="M925" s="62" t="str">
        <f aca="false">IF(IsPro,IF($D925="","",IFERROR(INDEX(Items!$F$5:$F$504,U925),0)),"")</f>
        <v/>
      </c>
      <c r="N925" s="61" t="str">
        <f aca="false">IF(IsPro,IF($D925="","",IF(AND(V925&lt;&gt;"",INDEX(Parties!$E$5:$E$304,V925)&lt;&gt;"",INDEX(Parties!$E$5:$E$304,V925)&lt;&gt;HomeState),0,ROUND(L925*M925/2,2))),"")</f>
        <v/>
      </c>
      <c r="O925" s="61" t="str">
        <f aca="false">IF(IsPro,IF($D925="","",N925),"")</f>
        <v/>
      </c>
      <c r="P925" s="61" t="str">
        <f aca="false">IF(IsPro,IF($D925="","",IF(AND(V925&lt;&gt;"",INDEX(Parties!$E$5:$E$304,V925)&lt;&gt;"",INDEX(Parties!$E$5:$E$304,V925)&lt;&gt;HomeState),ROUND(L925*M925,2),0)),"")</f>
        <v/>
      </c>
      <c r="Q925" s="61" t="str">
        <f aca="false">IF(IsPro,IF($D925="","",L925+N925+O925+P925),"")</f>
        <v/>
      </c>
      <c r="R925" s="61" t="str">
        <f aca="false">IF(IsPro,IF($D925="","",ROUND(N($E925)*IFERROR(INDEX(Items!$P$5:$P$504,U925),0),2)),"")</f>
        <v/>
      </c>
      <c r="S925" s="61" t="str">
        <f aca="false">IF(IsPro,IF($D925="","",L925-R925),"")</f>
        <v/>
      </c>
      <c r="T925" s="60" t="str">
        <f aca="false">IF(IsPro,IF($D925="","",IF(U925="","UNKNOWN ITEM",IF(INDEX(Items!$O$5:$O$504,U925)&lt;0,"NEG STOCK",IF(K925&lt;INDEX(Items!$P$5:$P$504,U925),"BELOW COST","OK")))),IF($D925="","","PRO PLAN"))</f>
        <v/>
      </c>
      <c r="U925" s="60" t="str">
        <f aca="false">IF(IsPro,IF($D925="","",IFERROR(MATCH($D925,Items!$A$5:$A$504,0),"")),"")</f>
        <v/>
      </c>
      <c r="V925" s="60" t="str">
        <f aca="false">IF(IsPro,IF($C925="","",IFERROR(MATCH($C925,Parties!$A$5:$A$304,0),"")),"")</f>
        <v/>
      </c>
      <c r="W925" s="60" t="str">
        <f aca="false">IF(IsPro,IF($B925="","",IFERROR(VALUE(SUBSTITUTE($B925,InvPrefix,"")),0)),"")</f>
        <v/>
      </c>
      <c r="X925" s="61" t="str">
        <f aca="false">IF(IsPro,IF($D925="","",IF(OR($H925="",$H925="Credit"),0,Q925)),"")</f>
        <v/>
      </c>
    </row>
    <row r="926" customFormat="false" ht="15" hidden="false" customHeight="false" outlineLevel="0" collapsed="false">
      <c r="A926" s="55"/>
      <c r="B926" s="56"/>
      <c r="C926" s="56"/>
      <c r="D926" s="56"/>
      <c r="E926" s="57"/>
      <c r="F926" s="58"/>
      <c r="G926" s="59"/>
      <c r="H926" s="56"/>
      <c r="I926" s="56"/>
      <c r="J926" s="60" t="str">
        <f aca="false">IF(IsPro,IF($D926="","",IFERROR(INDEX(Items!$D$5:$D$504,U926),"")),"")</f>
        <v/>
      </c>
      <c r="K926" s="61" t="str">
        <f aca="false">IF(IsPro,IF($D926="","",IF($F926="",IFERROR(INDEX(Items!$H$5:$H$504,U926),0),$F926)),"")</f>
        <v/>
      </c>
      <c r="L926" s="61" t="str">
        <f aca="false">IF(IsPro,IF($D926="","",ROUND(N($E926)*K926*(1-N($G926)),2)),"")</f>
        <v/>
      </c>
      <c r="M926" s="62" t="str">
        <f aca="false">IF(IsPro,IF($D926="","",IFERROR(INDEX(Items!$F$5:$F$504,U926),0)),"")</f>
        <v/>
      </c>
      <c r="N926" s="61" t="str">
        <f aca="false">IF(IsPro,IF($D926="","",IF(AND(V926&lt;&gt;"",INDEX(Parties!$E$5:$E$304,V926)&lt;&gt;"",INDEX(Parties!$E$5:$E$304,V926)&lt;&gt;HomeState),0,ROUND(L926*M926/2,2))),"")</f>
        <v/>
      </c>
      <c r="O926" s="61" t="str">
        <f aca="false">IF(IsPro,IF($D926="","",N926),"")</f>
        <v/>
      </c>
      <c r="P926" s="61" t="str">
        <f aca="false">IF(IsPro,IF($D926="","",IF(AND(V926&lt;&gt;"",INDEX(Parties!$E$5:$E$304,V926)&lt;&gt;"",INDEX(Parties!$E$5:$E$304,V926)&lt;&gt;HomeState),ROUND(L926*M926,2),0)),"")</f>
        <v/>
      </c>
      <c r="Q926" s="61" t="str">
        <f aca="false">IF(IsPro,IF($D926="","",L926+N926+O926+P926),"")</f>
        <v/>
      </c>
      <c r="R926" s="61" t="str">
        <f aca="false">IF(IsPro,IF($D926="","",ROUND(N($E926)*IFERROR(INDEX(Items!$P$5:$P$504,U926),0),2)),"")</f>
        <v/>
      </c>
      <c r="S926" s="61" t="str">
        <f aca="false">IF(IsPro,IF($D926="","",L926-R926),"")</f>
        <v/>
      </c>
      <c r="T926" s="60" t="str">
        <f aca="false">IF(IsPro,IF($D926="","",IF(U926="","UNKNOWN ITEM",IF(INDEX(Items!$O$5:$O$504,U926)&lt;0,"NEG STOCK",IF(K926&lt;INDEX(Items!$P$5:$P$504,U926),"BELOW COST","OK")))),IF($D926="","","PRO PLAN"))</f>
        <v/>
      </c>
      <c r="U926" s="60" t="str">
        <f aca="false">IF(IsPro,IF($D926="","",IFERROR(MATCH($D926,Items!$A$5:$A$504,0),"")),"")</f>
        <v/>
      </c>
      <c r="V926" s="60" t="str">
        <f aca="false">IF(IsPro,IF($C926="","",IFERROR(MATCH($C926,Parties!$A$5:$A$304,0),"")),"")</f>
        <v/>
      </c>
      <c r="W926" s="60" t="str">
        <f aca="false">IF(IsPro,IF($B926="","",IFERROR(VALUE(SUBSTITUTE($B926,InvPrefix,"")),0)),"")</f>
        <v/>
      </c>
      <c r="X926" s="61" t="str">
        <f aca="false">IF(IsPro,IF($D926="","",IF(OR($H926="",$H926="Credit"),0,Q926)),"")</f>
        <v/>
      </c>
    </row>
    <row r="927" customFormat="false" ht="15" hidden="false" customHeight="false" outlineLevel="0" collapsed="false">
      <c r="A927" s="55"/>
      <c r="B927" s="56"/>
      <c r="C927" s="56"/>
      <c r="D927" s="56"/>
      <c r="E927" s="57"/>
      <c r="F927" s="58"/>
      <c r="G927" s="59"/>
      <c r="H927" s="56"/>
      <c r="I927" s="56"/>
      <c r="J927" s="60" t="str">
        <f aca="false">IF(IsPro,IF($D927="","",IFERROR(INDEX(Items!$D$5:$D$504,U927),"")),"")</f>
        <v/>
      </c>
      <c r="K927" s="61" t="str">
        <f aca="false">IF(IsPro,IF($D927="","",IF($F927="",IFERROR(INDEX(Items!$H$5:$H$504,U927),0),$F927)),"")</f>
        <v/>
      </c>
      <c r="L927" s="61" t="str">
        <f aca="false">IF(IsPro,IF($D927="","",ROUND(N($E927)*K927*(1-N($G927)),2)),"")</f>
        <v/>
      </c>
      <c r="M927" s="62" t="str">
        <f aca="false">IF(IsPro,IF($D927="","",IFERROR(INDEX(Items!$F$5:$F$504,U927),0)),"")</f>
        <v/>
      </c>
      <c r="N927" s="61" t="str">
        <f aca="false">IF(IsPro,IF($D927="","",IF(AND(V927&lt;&gt;"",INDEX(Parties!$E$5:$E$304,V927)&lt;&gt;"",INDEX(Parties!$E$5:$E$304,V927)&lt;&gt;HomeState),0,ROUND(L927*M927/2,2))),"")</f>
        <v/>
      </c>
      <c r="O927" s="61" t="str">
        <f aca="false">IF(IsPro,IF($D927="","",N927),"")</f>
        <v/>
      </c>
      <c r="P927" s="61" t="str">
        <f aca="false">IF(IsPro,IF($D927="","",IF(AND(V927&lt;&gt;"",INDEX(Parties!$E$5:$E$304,V927)&lt;&gt;"",INDEX(Parties!$E$5:$E$304,V927)&lt;&gt;HomeState),ROUND(L927*M927,2),0)),"")</f>
        <v/>
      </c>
      <c r="Q927" s="61" t="str">
        <f aca="false">IF(IsPro,IF($D927="","",L927+N927+O927+P927),"")</f>
        <v/>
      </c>
      <c r="R927" s="61" t="str">
        <f aca="false">IF(IsPro,IF($D927="","",ROUND(N($E927)*IFERROR(INDEX(Items!$P$5:$P$504,U927),0),2)),"")</f>
        <v/>
      </c>
      <c r="S927" s="61" t="str">
        <f aca="false">IF(IsPro,IF($D927="","",L927-R927),"")</f>
        <v/>
      </c>
      <c r="T927" s="60" t="str">
        <f aca="false">IF(IsPro,IF($D927="","",IF(U927="","UNKNOWN ITEM",IF(INDEX(Items!$O$5:$O$504,U927)&lt;0,"NEG STOCK",IF(K927&lt;INDEX(Items!$P$5:$P$504,U927),"BELOW COST","OK")))),IF($D927="","","PRO PLAN"))</f>
        <v/>
      </c>
      <c r="U927" s="60" t="str">
        <f aca="false">IF(IsPro,IF($D927="","",IFERROR(MATCH($D927,Items!$A$5:$A$504,0),"")),"")</f>
        <v/>
      </c>
      <c r="V927" s="60" t="str">
        <f aca="false">IF(IsPro,IF($C927="","",IFERROR(MATCH($C927,Parties!$A$5:$A$304,0),"")),"")</f>
        <v/>
      </c>
      <c r="W927" s="60" t="str">
        <f aca="false">IF(IsPro,IF($B927="","",IFERROR(VALUE(SUBSTITUTE($B927,InvPrefix,"")),0)),"")</f>
        <v/>
      </c>
      <c r="X927" s="61" t="str">
        <f aca="false">IF(IsPro,IF($D927="","",IF(OR($H927="",$H927="Credit"),0,Q927)),"")</f>
        <v/>
      </c>
    </row>
    <row r="928" customFormat="false" ht="15" hidden="false" customHeight="false" outlineLevel="0" collapsed="false">
      <c r="A928" s="55"/>
      <c r="B928" s="56"/>
      <c r="C928" s="56"/>
      <c r="D928" s="56"/>
      <c r="E928" s="57"/>
      <c r="F928" s="58"/>
      <c r="G928" s="59"/>
      <c r="H928" s="56"/>
      <c r="I928" s="56"/>
      <c r="J928" s="60" t="str">
        <f aca="false">IF(IsPro,IF($D928="","",IFERROR(INDEX(Items!$D$5:$D$504,U928),"")),"")</f>
        <v/>
      </c>
      <c r="K928" s="61" t="str">
        <f aca="false">IF(IsPro,IF($D928="","",IF($F928="",IFERROR(INDEX(Items!$H$5:$H$504,U928),0),$F928)),"")</f>
        <v/>
      </c>
      <c r="L928" s="61" t="str">
        <f aca="false">IF(IsPro,IF($D928="","",ROUND(N($E928)*K928*(1-N($G928)),2)),"")</f>
        <v/>
      </c>
      <c r="M928" s="62" t="str">
        <f aca="false">IF(IsPro,IF($D928="","",IFERROR(INDEX(Items!$F$5:$F$504,U928),0)),"")</f>
        <v/>
      </c>
      <c r="N928" s="61" t="str">
        <f aca="false">IF(IsPro,IF($D928="","",IF(AND(V928&lt;&gt;"",INDEX(Parties!$E$5:$E$304,V928)&lt;&gt;"",INDEX(Parties!$E$5:$E$304,V928)&lt;&gt;HomeState),0,ROUND(L928*M928/2,2))),"")</f>
        <v/>
      </c>
      <c r="O928" s="61" t="str">
        <f aca="false">IF(IsPro,IF($D928="","",N928),"")</f>
        <v/>
      </c>
      <c r="P928" s="61" t="str">
        <f aca="false">IF(IsPro,IF($D928="","",IF(AND(V928&lt;&gt;"",INDEX(Parties!$E$5:$E$304,V928)&lt;&gt;"",INDEX(Parties!$E$5:$E$304,V928)&lt;&gt;HomeState),ROUND(L928*M928,2),0)),"")</f>
        <v/>
      </c>
      <c r="Q928" s="61" t="str">
        <f aca="false">IF(IsPro,IF($D928="","",L928+N928+O928+P928),"")</f>
        <v/>
      </c>
      <c r="R928" s="61" t="str">
        <f aca="false">IF(IsPro,IF($D928="","",ROUND(N($E928)*IFERROR(INDEX(Items!$P$5:$P$504,U928),0),2)),"")</f>
        <v/>
      </c>
      <c r="S928" s="61" t="str">
        <f aca="false">IF(IsPro,IF($D928="","",L928-R928),"")</f>
        <v/>
      </c>
      <c r="T928" s="60" t="str">
        <f aca="false">IF(IsPro,IF($D928="","",IF(U928="","UNKNOWN ITEM",IF(INDEX(Items!$O$5:$O$504,U928)&lt;0,"NEG STOCK",IF(K928&lt;INDEX(Items!$P$5:$P$504,U928),"BELOW COST","OK")))),IF($D928="","","PRO PLAN"))</f>
        <v/>
      </c>
      <c r="U928" s="60" t="str">
        <f aca="false">IF(IsPro,IF($D928="","",IFERROR(MATCH($D928,Items!$A$5:$A$504,0),"")),"")</f>
        <v/>
      </c>
      <c r="V928" s="60" t="str">
        <f aca="false">IF(IsPro,IF($C928="","",IFERROR(MATCH($C928,Parties!$A$5:$A$304,0),"")),"")</f>
        <v/>
      </c>
      <c r="W928" s="60" t="str">
        <f aca="false">IF(IsPro,IF($B928="","",IFERROR(VALUE(SUBSTITUTE($B928,InvPrefix,"")),0)),"")</f>
        <v/>
      </c>
      <c r="X928" s="61" t="str">
        <f aca="false">IF(IsPro,IF($D928="","",IF(OR($H928="",$H928="Credit"),0,Q928)),"")</f>
        <v/>
      </c>
    </row>
    <row r="929" customFormat="false" ht="15" hidden="false" customHeight="false" outlineLevel="0" collapsed="false">
      <c r="A929" s="55"/>
      <c r="B929" s="56"/>
      <c r="C929" s="56"/>
      <c r="D929" s="56"/>
      <c r="E929" s="57"/>
      <c r="F929" s="58"/>
      <c r="G929" s="59"/>
      <c r="H929" s="56"/>
      <c r="I929" s="56"/>
      <c r="J929" s="60" t="str">
        <f aca="false">IF(IsPro,IF($D929="","",IFERROR(INDEX(Items!$D$5:$D$504,U929),"")),"")</f>
        <v/>
      </c>
      <c r="K929" s="61" t="str">
        <f aca="false">IF(IsPro,IF($D929="","",IF($F929="",IFERROR(INDEX(Items!$H$5:$H$504,U929),0),$F929)),"")</f>
        <v/>
      </c>
      <c r="L929" s="61" t="str">
        <f aca="false">IF(IsPro,IF($D929="","",ROUND(N($E929)*K929*(1-N($G929)),2)),"")</f>
        <v/>
      </c>
      <c r="M929" s="62" t="str">
        <f aca="false">IF(IsPro,IF($D929="","",IFERROR(INDEX(Items!$F$5:$F$504,U929),0)),"")</f>
        <v/>
      </c>
      <c r="N929" s="61" t="str">
        <f aca="false">IF(IsPro,IF($D929="","",IF(AND(V929&lt;&gt;"",INDEX(Parties!$E$5:$E$304,V929)&lt;&gt;"",INDEX(Parties!$E$5:$E$304,V929)&lt;&gt;HomeState),0,ROUND(L929*M929/2,2))),"")</f>
        <v/>
      </c>
      <c r="O929" s="61" t="str">
        <f aca="false">IF(IsPro,IF($D929="","",N929),"")</f>
        <v/>
      </c>
      <c r="P929" s="61" t="str">
        <f aca="false">IF(IsPro,IF($D929="","",IF(AND(V929&lt;&gt;"",INDEX(Parties!$E$5:$E$304,V929)&lt;&gt;"",INDEX(Parties!$E$5:$E$304,V929)&lt;&gt;HomeState),ROUND(L929*M929,2),0)),"")</f>
        <v/>
      </c>
      <c r="Q929" s="61" t="str">
        <f aca="false">IF(IsPro,IF($D929="","",L929+N929+O929+P929),"")</f>
        <v/>
      </c>
      <c r="R929" s="61" t="str">
        <f aca="false">IF(IsPro,IF($D929="","",ROUND(N($E929)*IFERROR(INDEX(Items!$P$5:$P$504,U929),0),2)),"")</f>
        <v/>
      </c>
      <c r="S929" s="61" t="str">
        <f aca="false">IF(IsPro,IF($D929="","",L929-R929),"")</f>
        <v/>
      </c>
      <c r="T929" s="60" t="str">
        <f aca="false">IF(IsPro,IF($D929="","",IF(U929="","UNKNOWN ITEM",IF(INDEX(Items!$O$5:$O$504,U929)&lt;0,"NEG STOCK",IF(K929&lt;INDEX(Items!$P$5:$P$504,U929),"BELOW COST","OK")))),IF($D929="","","PRO PLAN"))</f>
        <v/>
      </c>
      <c r="U929" s="60" t="str">
        <f aca="false">IF(IsPro,IF($D929="","",IFERROR(MATCH($D929,Items!$A$5:$A$504,0),"")),"")</f>
        <v/>
      </c>
      <c r="V929" s="60" t="str">
        <f aca="false">IF(IsPro,IF($C929="","",IFERROR(MATCH($C929,Parties!$A$5:$A$304,0),"")),"")</f>
        <v/>
      </c>
      <c r="W929" s="60" t="str">
        <f aca="false">IF(IsPro,IF($B929="","",IFERROR(VALUE(SUBSTITUTE($B929,InvPrefix,"")),0)),"")</f>
        <v/>
      </c>
      <c r="X929" s="61" t="str">
        <f aca="false">IF(IsPro,IF($D929="","",IF(OR($H929="",$H929="Credit"),0,Q929)),"")</f>
        <v/>
      </c>
    </row>
    <row r="930" customFormat="false" ht="15" hidden="false" customHeight="false" outlineLevel="0" collapsed="false">
      <c r="A930" s="55"/>
      <c r="B930" s="56"/>
      <c r="C930" s="56"/>
      <c r="D930" s="56"/>
      <c r="E930" s="57"/>
      <c r="F930" s="58"/>
      <c r="G930" s="59"/>
      <c r="H930" s="56"/>
      <c r="I930" s="56"/>
      <c r="J930" s="60" t="str">
        <f aca="false">IF(IsPro,IF($D930="","",IFERROR(INDEX(Items!$D$5:$D$504,U930),"")),"")</f>
        <v/>
      </c>
      <c r="K930" s="61" t="str">
        <f aca="false">IF(IsPro,IF($D930="","",IF($F930="",IFERROR(INDEX(Items!$H$5:$H$504,U930),0),$F930)),"")</f>
        <v/>
      </c>
      <c r="L930" s="61" t="str">
        <f aca="false">IF(IsPro,IF($D930="","",ROUND(N($E930)*K930*(1-N($G930)),2)),"")</f>
        <v/>
      </c>
      <c r="M930" s="62" t="str">
        <f aca="false">IF(IsPro,IF($D930="","",IFERROR(INDEX(Items!$F$5:$F$504,U930),0)),"")</f>
        <v/>
      </c>
      <c r="N930" s="61" t="str">
        <f aca="false">IF(IsPro,IF($D930="","",IF(AND(V930&lt;&gt;"",INDEX(Parties!$E$5:$E$304,V930)&lt;&gt;"",INDEX(Parties!$E$5:$E$304,V930)&lt;&gt;HomeState),0,ROUND(L930*M930/2,2))),"")</f>
        <v/>
      </c>
      <c r="O930" s="61" t="str">
        <f aca="false">IF(IsPro,IF($D930="","",N930),"")</f>
        <v/>
      </c>
      <c r="P930" s="61" t="str">
        <f aca="false">IF(IsPro,IF($D930="","",IF(AND(V930&lt;&gt;"",INDEX(Parties!$E$5:$E$304,V930)&lt;&gt;"",INDEX(Parties!$E$5:$E$304,V930)&lt;&gt;HomeState),ROUND(L930*M930,2),0)),"")</f>
        <v/>
      </c>
      <c r="Q930" s="61" t="str">
        <f aca="false">IF(IsPro,IF($D930="","",L930+N930+O930+P930),"")</f>
        <v/>
      </c>
      <c r="R930" s="61" t="str">
        <f aca="false">IF(IsPro,IF($D930="","",ROUND(N($E930)*IFERROR(INDEX(Items!$P$5:$P$504,U930),0),2)),"")</f>
        <v/>
      </c>
      <c r="S930" s="61" t="str">
        <f aca="false">IF(IsPro,IF($D930="","",L930-R930),"")</f>
        <v/>
      </c>
      <c r="T930" s="60" t="str">
        <f aca="false">IF(IsPro,IF($D930="","",IF(U930="","UNKNOWN ITEM",IF(INDEX(Items!$O$5:$O$504,U930)&lt;0,"NEG STOCK",IF(K930&lt;INDEX(Items!$P$5:$P$504,U930),"BELOW COST","OK")))),IF($D930="","","PRO PLAN"))</f>
        <v/>
      </c>
      <c r="U930" s="60" t="str">
        <f aca="false">IF(IsPro,IF($D930="","",IFERROR(MATCH($D930,Items!$A$5:$A$504,0),"")),"")</f>
        <v/>
      </c>
      <c r="V930" s="60" t="str">
        <f aca="false">IF(IsPro,IF($C930="","",IFERROR(MATCH($C930,Parties!$A$5:$A$304,0),"")),"")</f>
        <v/>
      </c>
      <c r="W930" s="60" t="str">
        <f aca="false">IF(IsPro,IF($B930="","",IFERROR(VALUE(SUBSTITUTE($B930,InvPrefix,"")),0)),"")</f>
        <v/>
      </c>
      <c r="X930" s="61" t="str">
        <f aca="false">IF(IsPro,IF($D930="","",IF(OR($H930="",$H930="Credit"),0,Q930)),"")</f>
        <v/>
      </c>
    </row>
    <row r="931" customFormat="false" ht="15" hidden="false" customHeight="false" outlineLevel="0" collapsed="false">
      <c r="A931" s="55"/>
      <c r="B931" s="56"/>
      <c r="C931" s="56"/>
      <c r="D931" s="56"/>
      <c r="E931" s="57"/>
      <c r="F931" s="58"/>
      <c r="G931" s="59"/>
      <c r="H931" s="56"/>
      <c r="I931" s="56"/>
      <c r="J931" s="60" t="str">
        <f aca="false">IF(IsPro,IF($D931="","",IFERROR(INDEX(Items!$D$5:$D$504,U931),"")),"")</f>
        <v/>
      </c>
      <c r="K931" s="61" t="str">
        <f aca="false">IF(IsPro,IF($D931="","",IF($F931="",IFERROR(INDEX(Items!$H$5:$H$504,U931),0),$F931)),"")</f>
        <v/>
      </c>
      <c r="L931" s="61" t="str">
        <f aca="false">IF(IsPro,IF($D931="","",ROUND(N($E931)*K931*(1-N($G931)),2)),"")</f>
        <v/>
      </c>
      <c r="M931" s="62" t="str">
        <f aca="false">IF(IsPro,IF($D931="","",IFERROR(INDEX(Items!$F$5:$F$504,U931),0)),"")</f>
        <v/>
      </c>
      <c r="N931" s="61" t="str">
        <f aca="false">IF(IsPro,IF($D931="","",IF(AND(V931&lt;&gt;"",INDEX(Parties!$E$5:$E$304,V931)&lt;&gt;"",INDEX(Parties!$E$5:$E$304,V931)&lt;&gt;HomeState),0,ROUND(L931*M931/2,2))),"")</f>
        <v/>
      </c>
      <c r="O931" s="61" t="str">
        <f aca="false">IF(IsPro,IF($D931="","",N931),"")</f>
        <v/>
      </c>
      <c r="P931" s="61" t="str">
        <f aca="false">IF(IsPro,IF($D931="","",IF(AND(V931&lt;&gt;"",INDEX(Parties!$E$5:$E$304,V931)&lt;&gt;"",INDEX(Parties!$E$5:$E$304,V931)&lt;&gt;HomeState),ROUND(L931*M931,2),0)),"")</f>
        <v/>
      </c>
      <c r="Q931" s="61" t="str">
        <f aca="false">IF(IsPro,IF($D931="","",L931+N931+O931+P931),"")</f>
        <v/>
      </c>
      <c r="R931" s="61" t="str">
        <f aca="false">IF(IsPro,IF($D931="","",ROUND(N($E931)*IFERROR(INDEX(Items!$P$5:$P$504,U931),0),2)),"")</f>
        <v/>
      </c>
      <c r="S931" s="61" t="str">
        <f aca="false">IF(IsPro,IF($D931="","",L931-R931),"")</f>
        <v/>
      </c>
      <c r="T931" s="60" t="str">
        <f aca="false">IF(IsPro,IF($D931="","",IF(U931="","UNKNOWN ITEM",IF(INDEX(Items!$O$5:$O$504,U931)&lt;0,"NEG STOCK",IF(K931&lt;INDEX(Items!$P$5:$P$504,U931),"BELOW COST","OK")))),IF($D931="","","PRO PLAN"))</f>
        <v/>
      </c>
      <c r="U931" s="60" t="str">
        <f aca="false">IF(IsPro,IF($D931="","",IFERROR(MATCH($D931,Items!$A$5:$A$504,0),"")),"")</f>
        <v/>
      </c>
      <c r="V931" s="60" t="str">
        <f aca="false">IF(IsPro,IF($C931="","",IFERROR(MATCH($C931,Parties!$A$5:$A$304,0),"")),"")</f>
        <v/>
      </c>
      <c r="W931" s="60" t="str">
        <f aca="false">IF(IsPro,IF($B931="","",IFERROR(VALUE(SUBSTITUTE($B931,InvPrefix,"")),0)),"")</f>
        <v/>
      </c>
      <c r="X931" s="61" t="str">
        <f aca="false">IF(IsPro,IF($D931="","",IF(OR($H931="",$H931="Credit"),0,Q931)),"")</f>
        <v/>
      </c>
    </row>
    <row r="932" customFormat="false" ht="15" hidden="false" customHeight="false" outlineLevel="0" collapsed="false">
      <c r="A932" s="55"/>
      <c r="B932" s="56"/>
      <c r="C932" s="56"/>
      <c r="D932" s="56"/>
      <c r="E932" s="57"/>
      <c r="F932" s="58"/>
      <c r="G932" s="59"/>
      <c r="H932" s="56"/>
      <c r="I932" s="56"/>
      <c r="J932" s="60" t="str">
        <f aca="false">IF(IsPro,IF($D932="","",IFERROR(INDEX(Items!$D$5:$D$504,U932),"")),"")</f>
        <v/>
      </c>
      <c r="K932" s="61" t="str">
        <f aca="false">IF(IsPro,IF($D932="","",IF($F932="",IFERROR(INDEX(Items!$H$5:$H$504,U932),0),$F932)),"")</f>
        <v/>
      </c>
      <c r="L932" s="61" t="str">
        <f aca="false">IF(IsPro,IF($D932="","",ROUND(N($E932)*K932*(1-N($G932)),2)),"")</f>
        <v/>
      </c>
      <c r="M932" s="62" t="str">
        <f aca="false">IF(IsPro,IF($D932="","",IFERROR(INDEX(Items!$F$5:$F$504,U932),0)),"")</f>
        <v/>
      </c>
      <c r="N932" s="61" t="str">
        <f aca="false">IF(IsPro,IF($D932="","",IF(AND(V932&lt;&gt;"",INDEX(Parties!$E$5:$E$304,V932)&lt;&gt;"",INDEX(Parties!$E$5:$E$304,V932)&lt;&gt;HomeState),0,ROUND(L932*M932/2,2))),"")</f>
        <v/>
      </c>
      <c r="O932" s="61" t="str">
        <f aca="false">IF(IsPro,IF($D932="","",N932),"")</f>
        <v/>
      </c>
      <c r="P932" s="61" t="str">
        <f aca="false">IF(IsPro,IF($D932="","",IF(AND(V932&lt;&gt;"",INDEX(Parties!$E$5:$E$304,V932)&lt;&gt;"",INDEX(Parties!$E$5:$E$304,V932)&lt;&gt;HomeState),ROUND(L932*M932,2),0)),"")</f>
        <v/>
      </c>
      <c r="Q932" s="61" t="str">
        <f aca="false">IF(IsPro,IF($D932="","",L932+N932+O932+P932),"")</f>
        <v/>
      </c>
      <c r="R932" s="61" t="str">
        <f aca="false">IF(IsPro,IF($D932="","",ROUND(N($E932)*IFERROR(INDEX(Items!$P$5:$P$504,U932),0),2)),"")</f>
        <v/>
      </c>
      <c r="S932" s="61" t="str">
        <f aca="false">IF(IsPro,IF($D932="","",L932-R932),"")</f>
        <v/>
      </c>
      <c r="T932" s="60" t="str">
        <f aca="false">IF(IsPro,IF($D932="","",IF(U932="","UNKNOWN ITEM",IF(INDEX(Items!$O$5:$O$504,U932)&lt;0,"NEG STOCK",IF(K932&lt;INDEX(Items!$P$5:$P$504,U932),"BELOW COST","OK")))),IF($D932="","","PRO PLAN"))</f>
        <v/>
      </c>
      <c r="U932" s="60" t="str">
        <f aca="false">IF(IsPro,IF($D932="","",IFERROR(MATCH($D932,Items!$A$5:$A$504,0),"")),"")</f>
        <v/>
      </c>
      <c r="V932" s="60" t="str">
        <f aca="false">IF(IsPro,IF($C932="","",IFERROR(MATCH($C932,Parties!$A$5:$A$304,0),"")),"")</f>
        <v/>
      </c>
      <c r="W932" s="60" t="str">
        <f aca="false">IF(IsPro,IF($B932="","",IFERROR(VALUE(SUBSTITUTE($B932,InvPrefix,"")),0)),"")</f>
        <v/>
      </c>
      <c r="X932" s="61" t="str">
        <f aca="false">IF(IsPro,IF($D932="","",IF(OR($H932="",$H932="Credit"),0,Q932)),"")</f>
        <v/>
      </c>
    </row>
    <row r="933" customFormat="false" ht="15" hidden="false" customHeight="false" outlineLevel="0" collapsed="false">
      <c r="A933" s="55"/>
      <c r="B933" s="56"/>
      <c r="C933" s="56"/>
      <c r="D933" s="56"/>
      <c r="E933" s="57"/>
      <c r="F933" s="58"/>
      <c r="G933" s="59"/>
      <c r="H933" s="56"/>
      <c r="I933" s="56"/>
      <c r="J933" s="60" t="str">
        <f aca="false">IF(IsPro,IF($D933="","",IFERROR(INDEX(Items!$D$5:$D$504,U933),"")),"")</f>
        <v/>
      </c>
      <c r="K933" s="61" t="str">
        <f aca="false">IF(IsPro,IF($D933="","",IF($F933="",IFERROR(INDEX(Items!$H$5:$H$504,U933),0),$F933)),"")</f>
        <v/>
      </c>
      <c r="L933" s="61" t="str">
        <f aca="false">IF(IsPro,IF($D933="","",ROUND(N($E933)*K933*(1-N($G933)),2)),"")</f>
        <v/>
      </c>
      <c r="M933" s="62" t="str">
        <f aca="false">IF(IsPro,IF($D933="","",IFERROR(INDEX(Items!$F$5:$F$504,U933),0)),"")</f>
        <v/>
      </c>
      <c r="N933" s="61" t="str">
        <f aca="false">IF(IsPro,IF($D933="","",IF(AND(V933&lt;&gt;"",INDEX(Parties!$E$5:$E$304,V933)&lt;&gt;"",INDEX(Parties!$E$5:$E$304,V933)&lt;&gt;HomeState),0,ROUND(L933*M933/2,2))),"")</f>
        <v/>
      </c>
      <c r="O933" s="61" t="str">
        <f aca="false">IF(IsPro,IF($D933="","",N933),"")</f>
        <v/>
      </c>
      <c r="P933" s="61" t="str">
        <f aca="false">IF(IsPro,IF($D933="","",IF(AND(V933&lt;&gt;"",INDEX(Parties!$E$5:$E$304,V933)&lt;&gt;"",INDEX(Parties!$E$5:$E$304,V933)&lt;&gt;HomeState),ROUND(L933*M933,2),0)),"")</f>
        <v/>
      </c>
      <c r="Q933" s="61" t="str">
        <f aca="false">IF(IsPro,IF($D933="","",L933+N933+O933+P933),"")</f>
        <v/>
      </c>
      <c r="R933" s="61" t="str">
        <f aca="false">IF(IsPro,IF($D933="","",ROUND(N($E933)*IFERROR(INDEX(Items!$P$5:$P$504,U933),0),2)),"")</f>
        <v/>
      </c>
      <c r="S933" s="61" t="str">
        <f aca="false">IF(IsPro,IF($D933="","",L933-R933),"")</f>
        <v/>
      </c>
      <c r="T933" s="60" t="str">
        <f aca="false">IF(IsPro,IF($D933="","",IF(U933="","UNKNOWN ITEM",IF(INDEX(Items!$O$5:$O$504,U933)&lt;0,"NEG STOCK",IF(K933&lt;INDEX(Items!$P$5:$P$504,U933),"BELOW COST","OK")))),IF($D933="","","PRO PLAN"))</f>
        <v/>
      </c>
      <c r="U933" s="60" t="str">
        <f aca="false">IF(IsPro,IF($D933="","",IFERROR(MATCH($D933,Items!$A$5:$A$504,0),"")),"")</f>
        <v/>
      </c>
      <c r="V933" s="60" t="str">
        <f aca="false">IF(IsPro,IF($C933="","",IFERROR(MATCH($C933,Parties!$A$5:$A$304,0),"")),"")</f>
        <v/>
      </c>
      <c r="W933" s="60" t="str">
        <f aca="false">IF(IsPro,IF($B933="","",IFERROR(VALUE(SUBSTITUTE($B933,InvPrefix,"")),0)),"")</f>
        <v/>
      </c>
      <c r="X933" s="61" t="str">
        <f aca="false">IF(IsPro,IF($D933="","",IF(OR($H933="",$H933="Credit"),0,Q933)),"")</f>
        <v/>
      </c>
    </row>
    <row r="934" customFormat="false" ht="15" hidden="false" customHeight="false" outlineLevel="0" collapsed="false">
      <c r="A934" s="55"/>
      <c r="B934" s="56"/>
      <c r="C934" s="56"/>
      <c r="D934" s="56"/>
      <c r="E934" s="57"/>
      <c r="F934" s="58"/>
      <c r="G934" s="59"/>
      <c r="H934" s="56"/>
      <c r="I934" s="56"/>
      <c r="J934" s="60" t="str">
        <f aca="false">IF(IsPro,IF($D934="","",IFERROR(INDEX(Items!$D$5:$D$504,U934),"")),"")</f>
        <v/>
      </c>
      <c r="K934" s="61" t="str">
        <f aca="false">IF(IsPro,IF($D934="","",IF($F934="",IFERROR(INDEX(Items!$H$5:$H$504,U934),0),$F934)),"")</f>
        <v/>
      </c>
      <c r="L934" s="61" t="str">
        <f aca="false">IF(IsPro,IF($D934="","",ROUND(N($E934)*K934*(1-N($G934)),2)),"")</f>
        <v/>
      </c>
      <c r="M934" s="62" t="str">
        <f aca="false">IF(IsPro,IF($D934="","",IFERROR(INDEX(Items!$F$5:$F$504,U934),0)),"")</f>
        <v/>
      </c>
      <c r="N934" s="61" t="str">
        <f aca="false">IF(IsPro,IF($D934="","",IF(AND(V934&lt;&gt;"",INDEX(Parties!$E$5:$E$304,V934)&lt;&gt;"",INDEX(Parties!$E$5:$E$304,V934)&lt;&gt;HomeState),0,ROUND(L934*M934/2,2))),"")</f>
        <v/>
      </c>
      <c r="O934" s="61" t="str">
        <f aca="false">IF(IsPro,IF($D934="","",N934),"")</f>
        <v/>
      </c>
      <c r="P934" s="61" t="str">
        <f aca="false">IF(IsPro,IF($D934="","",IF(AND(V934&lt;&gt;"",INDEX(Parties!$E$5:$E$304,V934)&lt;&gt;"",INDEX(Parties!$E$5:$E$304,V934)&lt;&gt;HomeState),ROUND(L934*M934,2),0)),"")</f>
        <v/>
      </c>
      <c r="Q934" s="61" t="str">
        <f aca="false">IF(IsPro,IF($D934="","",L934+N934+O934+P934),"")</f>
        <v/>
      </c>
      <c r="R934" s="61" t="str">
        <f aca="false">IF(IsPro,IF($D934="","",ROUND(N($E934)*IFERROR(INDEX(Items!$P$5:$P$504,U934),0),2)),"")</f>
        <v/>
      </c>
      <c r="S934" s="61" t="str">
        <f aca="false">IF(IsPro,IF($D934="","",L934-R934),"")</f>
        <v/>
      </c>
      <c r="T934" s="60" t="str">
        <f aca="false">IF(IsPro,IF($D934="","",IF(U934="","UNKNOWN ITEM",IF(INDEX(Items!$O$5:$O$504,U934)&lt;0,"NEG STOCK",IF(K934&lt;INDEX(Items!$P$5:$P$504,U934),"BELOW COST","OK")))),IF($D934="","","PRO PLAN"))</f>
        <v/>
      </c>
      <c r="U934" s="60" t="str">
        <f aca="false">IF(IsPro,IF($D934="","",IFERROR(MATCH($D934,Items!$A$5:$A$504,0),"")),"")</f>
        <v/>
      </c>
      <c r="V934" s="60" t="str">
        <f aca="false">IF(IsPro,IF($C934="","",IFERROR(MATCH($C934,Parties!$A$5:$A$304,0),"")),"")</f>
        <v/>
      </c>
      <c r="W934" s="60" t="str">
        <f aca="false">IF(IsPro,IF($B934="","",IFERROR(VALUE(SUBSTITUTE($B934,InvPrefix,"")),0)),"")</f>
        <v/>
      </c>
      <c r="X934" s="61" t="str">
        <f aca="false">IF(IsPro,IF($D934="","",IF(OR($H934="",$H934="Credit"),0,Q934)),"")</f>
        <v/>
      </c>
    </row>
    <row r="935" customFormat="false" ht="15" hidden="false" customHeight="false" outlineLevel="0" collapsed="false">
      <c r="A935" s="55"/>
      <c r="B935" s="56"/>
      <c r="C935" s="56"/>
      <c r="D935" s="56"/>
      <c r="E935" s="57"/>
      <c r="F935" s="58"/>
      <c r="G935" s="59"/>
      <c r="H935" s="56"/>
      <c r="I935" s="56"/>
      <c r="J935" s="60" t="str">
        <f aca="false">IF(IsPro,IF($D935="","",IFERROR(INDEX(Items!$D$5:$D$504,U935),"")),"")</f>
        <v/>
      </c>
      <c r="K935" s="61" t="str">
        <f aca="false">IF(IsPro,IF($D935="","",IF($F935="",IFERROR(INDEX(Items!$H$5:$H$504,U935),0),$F935)),"")</f>
        <v/>
      </c>
      <c r="L935" s="61" t="str">
        <f aca="false">IF(IsPro,IF($D935="","",ROUND(N($E935)*K935*(1-N($G935)),2)),"")</f>
        <v/>
      </c>
      <c r="M935" s="62" t="str">
        <f aca="false">IF(IsPro,IF($D935="","",IFERROR(INDEX(Items!$F$5:$F$504,U935),0)),"")</f>
        <v/>
      </c>
      <c r="N935" s="61" t="str">
        <f aca="false">IF(IsPro,IF($D935="","",IF(AND(V935&lt;&gt;"",INDEX(Parties!$E$5:$E$304,V935)&lt;&gt;"",INDEX(Parties!$E$5:$E$304,V935)&lt;&gt;HomeState),0,ROUND(L935*M935/2,2))),"")</f>
        <v/>
      </c>
      <c r="O935" s="61" t="str">
        <f aca="false">IF(IsPro,IF($D935="","",N935),"")</f>
        <v/>
      </c>
      <c r="P935" s="61" t="str">
        <f aca="false">IF(IsPro,IF($D935="","",IF(AND(V935&lt;&gt;"",INDEX(Parties!$E$5:$E$304,V935)&lt;&gt;"",INDEX(Parties!$E$5:$E$304,V935)&lt;&gt;HomeState),ROUND(L935*M935,2),0)),"")</f>
        <v/>
      </c>
      <c r="Q935" s="61" t="str">
        <f aca="false">IF(IsPro,IF($D935="","",L935+N935+O935+P935),"")</f>
        <v/>
      </c>
      <c r="R935" s="61" t="str">
        <f aca="false">IF(IsPro,IF($D935="","",ROUND(N($E935)*IFERROR(INDEX(Items!$P$5:$P$504,U935),0),2)),"")</f>
        <v/>
      </c>
      <c r="S935" s="61" t="str">
        <f aca="false">IF(IsPro,IF($D935="","",L935-R935),"")</f>
        <v/>
      </c>
      <c r="T935" s="60" t="str">
        <f aca="false">IF(IsPro,IF($D935="","",IF(U935="","UNKNOWN ITEM",IF(INDEX(Items!$O$5:$O$504,U935)&lt;0,"NEG STOCK",IF(K935&lt;INDEX(Items!$P$5:$P$504,U935),"BELOW COST","OK")))),IF($D935="","","PRO PLAN"))</f>
        <v/>
      </c>
      <c r="U935" s="60" t="str">
        <f aca="false">IF(IsPro,IF($D935="","",IFERROR(MATCH($D935,Items!$A$5:$A$504,0),"")),"")</f>
        <v/>
      </c>
      <c r="V935" s="60" t="str">
        <f aca="false">IF(IsPro,IF($C935="","",IFERROR(MATCH($C935,Parties!$A$5:$A$304,0),"")),"")</f>
        <v/>
      </c>
      <c r="W935" s="60" t="str">
        <f aca="false">IF(IsPro,IF($B935="","",IFERROR(VALUE(SUBSTITUTE($B935,InvPrefix,"")),0)),"")</f>
        <v/>
      </c>
      <c r="X935" s="61" t="str">
        <f aca="false">IF(IsPro,IF($D935="","",IF(OR($H935="",$H935="Credit"),0,Q935)),"")</f>
        <v/>
      </c>
    </row>
    <row r="936" customFormat="false" ht="15" hidden="false" customHeight="false" outlineLevel="0" collapsed="false">
      <c r="A936" s="55"/>
      <c r="B936" s="56"/>
      <c r="C936" s="56"/>
      <c r="D936" s="56"/>
      <c r="E936" s="57"/>
      <c r="F936" s="58"/>
      <c r="G936" s="59"/>
      <c r="H936" s="56"/>
      <c r="I936" s="56"/>
      <c r="J936" s="60" t="str">
        <f aca="false">IF(IsPro,IF($D936="","",IFERROR(INDEX(Items!$D$5:$D$504,U936),"")),"")</f>
        <v/>
      </c>
      <c r="K936" s="61" t="str">
        <f aca="false">IF(IsPro,IF($D936="","",IF($F936="",IFERROR(INDEX(Items!$H$5:$H$504,U936),0),$F936)),"")</f>
        <v/>
      </c>
      <c r="L936" s="61" t="str">
        <f aca="false">IF(IsPro,IF($D936="","",ROUND(N($E936)*K936*(1-N($G936)),2)),"")</f>
        <v/>
      </c>
      <c r="M936" s="62" t="str">
        <f aca="false">IF(IsPro,IF($D936="","",IFERROR(INDEX(Items!$F$5:$F$504,U936),0)),"")</f>
        <v/>
      </c>
      <c r="N936" s="61" t="str">
        <f aca="false">IF(IsPro,IF($D936="","",IF(AND(V936&lt;&gt;"",INDEX(Parties!$E$5:$E$304,V936)&lt;&gt;"",INDEX(Parties!$E$5:$E$304,V936)&lt;&gt;HomeState),0,ROUND(L936*M936/2,2))),"")</f>
        <v/>
      </c>
      <c r="O936" s="61" t="str">
        <f aca="false">IF(IsPro,IF($D936="","",N936),"")</f>
        <v/>
      </c>
      <c r="P936" s="61" t="str">
        <f aca="false">IF(IsPro,IF($D936="","",IF(AND(V936&lt;&gt;"",INDEX(Parties!$E$5:$E$304,V936)&lt;&gt;"",INDEX(Parties!$E$5:$E$304,V936)&lt;&gt;HomeState),ROUND(L936*M936,2),0)),"")</f>
        <v/>
      </c>
      <c r="Q936" s="61" t="str">
        <f aca="false">IF(IsPro,IF($D936="","",L936+N936+O936+P936),"")</f>
        <v/>
      </c>
      <c r="R936" s="61" t="str">
        <f aca="false">IF(IsPro,IF($D936="","",ROUND(N($E936)*IFERROR(INDEX(Items!$P$5:$P$504,U936),0),2)),"")</f>
        <v/>
      </c>
      <c r="S936" s="61" t="str">
        <f aca="false">IF(IsPro,IF($D936="","",L936-R936),"")</f>
        <v/>
      </c>
      <c r="T936" s="60" t="str">
        <f aca="false">IF(IsPro,IF($D936="","",IF(U936="","UNKNOWN ITEM",IF(INDEX(Items!$O$5:$O$504,U936)&lt;0,"NEG STOCK",IF(K936&lt;INDEX(Items!$P$5:$P$504,U936),"BELOW COST","OK")))),IF($D936="","","PRO PLAN"))</f>
        <v/>
      </c>
      <c r="U936" s="60" t="str">
        <f aca="false">IF(IsPro,IF($D936="","",IFERROR(MATCH($D936,Items!$A$5:$A$504,0),"")),"")</f>
        <v/>
      </c>
      <c r="V936" s="60" t="str">
        <f aca="false">IF(IsPro,IF($C936="","",IFERROR(MATCH($C936,Parties!$A$5:$A$304,0),"")),"")</f>
        <v/>
      </c>
      <c r="W936" s="60" t="str">
        <f aca="false">IF(IsPro,IF($B936="","",IFERROR(VALUE(SUBSTITUTE($B936,InvPrefix,"")),0)),"")</f>
        <v/>
      </c>
      <c r="X936" s="61" t="str">
        <f aca="false">IF(IsPro,IF($D936="","",IF(OR($H936="",$H936="Credit"),0,Q936)),"")</f>
        <v/>
      </c>
    </row>
    <row r="937" customFormat="false" ht="15" hidden="false" customHeight="false" outlineLevel="0" collapsed="false">
      <c r="A937" s="55"/>
      <c r="B937" s="56"/>
      <c r="C937" s="56"/>
      <c r="D937" s="56"/>
      <c r="E937" s="57"/>
      <c r="F937" s="58"/>
      <c r="G937" s="59"/>
      <c r="H937" s="56"/>
      <c r="I937" s="56"/>
      <c r="J937" s="60" t="str">
        <f aca="false">IF(IsPro,IF($D937="","",IFERROR(INDEX(Items!$D$5:$D$504,U937),"")),"")</f>
        <v/>
      </c>
      <c r="K937" s="61" t="str">
        <f aca="false">IF(IsPro,IF($D937="","",IF($F937="",IFERROR(INDEX(Items!$H$5:$H$504,U937),0),$F937)),"")</f>
        <v/>
      </c>
      <c r="L937" s="61" t="str">
        <f aca="false">IF(IsPro,IF($D937="","",ROUND(N($E937)*K937*(1-N($G937)),2)),"")</f>
        <v/>
      </c>
      <c r="M937" s="62" t="str">
        <f aca="false">IF(IsPro,IF($D937="","",IFERROR(INDEX(Items!$F$5:$F$504,U937),0)),"")</f>
        <v/>
      </c>
      <c r="N937" s="61" t="str">
        <f aca="false">IF(IsPro,IF($D937="","",IF(AND(V937&lt;&gt;"",INDEX(Parties!$E$5:$E$304,V937)&lt;&gt;"",INDEX(Parties!$E$5:$E$304,V937)&lt;&gt;HomeState),0,ROUND(L937*M937/2,2))),"")</f>
        <v/>
      </c>
      <c r="O937" s="61" t="str">
        <f aca="false">IF(IsPro,IF($D937="","",N937),"")</f>
        <v/>
      </c>
      <c r="P937" s="61" t="str">
        <f aca="false">IF(IsPro,IF($D937="","",IF(AND(V937&lt;&gt;"",INDEX(Parties!$E$5:$E$304,V937)&lt;&gt;"",INDEX(Parties!$E$5:$E$304,V937)&lt;&gt;HomeState),ROUND(L937*M937,2),0)),"")</f>
        <v/>
      </c>
      <c r="Q937" s="61" t="str">
        <f aca="false">IF(IsPro,IF($D937="","",L937+N937+O937+P937),"")</f>
        <v/>
      </c>
      <c r="R937" s="61" t="str">
        <f aca="false">IF(IsPro,IF($D937="","",ROUND(N($E937)*IFERROR(INDEX(Items!$P$5:$P$504,U937),0),2)),"")</f>
        <v/>
      </c>
      <c r="S937" s="61" t="str">
        <f aca="false">IF(IsPro,IF($D937="","",L937-R937),"")</f>
        <v/>
      </c>
      <c r="T937" s="60" t="str">
        <f aca="false">IF(IsPro,IF($D937="","",IF(U937="","UNKNOWN ITEM",IF(INDEX(Items!$O$5:$O$504,U937)&lt;0,"NEG STOCK",IF(K937&lt;INDEX(Items!$P$5:$P$504,U937),"BELOW COST","OK")))),IF($D937="","","PRO PLAN"))</f>
        <v/>
      </c>
      <c r="U937" s="60" t="str">
        <f aca="false">IF(IsPro,IF($D937="","",IFERROR(MATCH($D937,Items!$A$5:$A$504,0),"")),"")</f>
        <v/>
      </c>
      <c r="V937" s="60" t="str">
        <f aca="false">IF(IsPro,IF($C937="","",IFERROR(MATCH($C937,Parties!$A$5:$A$304,0),"")),"")</f>
        <v/>
      </c>
      <c r="W937" s="60" t="str">
        <f aca="false">IF(IsPro,IF($B937="","",IFERROR(VALUE(SUBSTITUTE($B937,InvPrefix,"")),0)),"")</f>
        <v/>
      </c>
      <c r="X937" s="61" t="str">
        <f aca="false">IF(IsPro,IF($D937="","",IF(OR($H937="",$H937="Credit"),0,Q937)),"")</f>
        <v/>
      </c>
    </row>
    <row r="938" customFormat="false" ht="15" hidden="false" customHeight="false" outlineLevel="0" collapsed="false">
      <c r="A938" s="55"/>
      <c r="B938" s="56"/>
      <c r="C938" s="56"/>
      <c r="D938" s="56"/>
      <c r="E938" s="57"/>
      <c r="F938" s="58"/>
      <c r="G938" s="59"/>
      <c r="H938" s="56"/>
      <c r="I938" s="56"/>
      <c r="J938" s="60" t="str">
        <f aca="false">IF(IsPro,IF($D938="","",IFERROR(INDEX(Items!$D$5:$D$504,U938),"")),"")</f>
        <v/>
      </c>
      <c r="K938" s="61" t="str">
        <f aca="false">IF(IsPro,IF($D938="","",IF($F938="",IFERROR(INDEX(Items!$H$5:$H$504,U938),0),$F938)),"")</f>
        <v/>
      </c>
      <c r="L938" s="61" t="str">
        <f aca="false">IF(IsPro,IF($D938="","",ROUND(N($E938)*K938*(1-N($G938)),2)),"")</f>
        <v/>
      </c>
      <c r="M938" s="62" t="str">
        <f aca="false">IF(IsPro,IF($D938="","",IFERROR(INDEX(Items!$F$5:$F$504,U938),0)),"")</f>
        <v/>
      </c>
      <c r="N938" s="61" t="str">
        <f aca="false">IF(IsPro,IF($D938="","",IF(AND(V938&lt;&gt;"",INDEX(Parties!$E$5:$E$304,V938)&lt;&gt;"",INDEX(Parties!$E$5:$E$304,V938)&lt;&gt;HomeState),0,ROUND(L938*M938/2,2))),"")</f>
        <v/>
      </c>
      <c r="O938" s="61" t="str">
        <f aca="false">IF(IsPro,IF($D938="","",N938),"")</f>
        <v/>
      </c>
      <c r="P938" s="61" t="str">
        <f aca="false">IF(IsPro,IF($D938="","",IF(AND(V938&lt;&gt;"",INDEX(Parties!$E$5:$E$304,V938)&lt;&gt;"",INDEX(Parties!$E$5:$E$304,V938)&lt;&gt;HomeState),ROUND(L938*M938,2),0)),"")</f>
        <v/>
      </c>
      <c r="Q938" s="61" t="str">
        <f aca="false">IF(IsPro,IF($D938="","",L938+N938+O938+P938),"")</f>
        <v/>
      </c>
      <c r="R938" s="61" t="str">
        <f aca="false">IF(IsPro,IF($D938="","",ROUND(N($E938)*IFERROR(INDEX(Items!$P$5:$P$504,U938),0),2)),"")</f>
        <v/>
      </c>
      <c r="S938" s="61" t="str">
        <f aca="false">IF(IsPro,IF($D938="","",L938-R938),"")</f>
        <v/>
      </c>
      <c r="T938" s="60" t="str">
        <f aca="false">IF(IsPro,IF($D938="","",IF(U938="","UNKNOWN ITEM",IF(INDEX(Items!$O$5:$O$504,U938)&lt;0,"NEG STOCK",IF(K938&lt;INDEX(Items!$P$5:$P$504,U938),"BELOW COST","OK")))),IF($D938="","","PRO PLAN"))</f>
        <v/>
      </c>
      <c r="U938" s="60" t="str">
        <f aca="false">IF(IsPro,IF($D938="","",IFERROR(MATCH($D938,Items!$A$5:$A$504,0),"")),"")</f>
        <v/>
      </c>
      <c r="V938" s="60" t="str">
        <f aca="false">IF(IsPro,IF($C938="","",IFERROR(MATCH($C938,Parties!$A$5:$A$304,0),"")),"")</f>
        <v/>
      </c>
      <c r="W938" s="60" t="str">
        <f aca="false">IF(IsPro,IF($B938="","",IFERROR(VALUE(SUBSTITUTE($B938,InvPrefix,"")),0)),"")</f>
        <v/>
      </c>
      <c r="X938" s="61" t="str">
        <f aca="false">IF(IsPro,IF($D938="","",IF(OR($H938="",$H938="Credit"),0,Q938)),"")</f>
        <v/>
      </c>
    </row>
    <row r="939" customFormat="false" ht="15" hidden="false" customHeight="false" outlineLevel="0" collapsed="false">
      <c r="A939" s="55"/>
      <c r="B939" s="56"/>
      <c r="C939" s="56"/>
      <c r="D939" s="56"/>
      <c r="E939" s="57"/>
      <c r="F939" s="58"/>
      <c r="G939" s="59"/>
      <c r="H939" s="56"/>
      <c r="I939" s="56"/>
      <c r="J939" s="60" t="str">
        <f aca="false">IF(IsPro,IF($D939="","",IFERROR(INDEX(Items!$D$5:$D$504,U939),"")),"")</f>
        <v/>
      </c>
      <c r="K939" s="61" t="str">
        <f aca="false">IF(IsPro,IF($D939="","",IF($F939="",IFERROR(INDEX(Items!$H$5:$H$504,U939),0),$F939)),"")</f>
        <v/>
      </c>
      <c r="L939" s="61" t="str">
        <f aca="false">IF(IsPro,IF($D939="","",ROUND(N($E939)*K939*(1-N($G939)),2)),"")</f>
        <v/>
      </c>
      <c r="M939" s="62" t="str">
        <f aca="false">IF(IsPro,IF($D939="","",IFERROR(INDEX(Items!$F$5:$F$504,U939),0)),"")</f>
        <v/>
      </c>
      <c r="N939" s="61" t="str">
        <f aca="false">IF(IsPro,IF($D939="","",IF(AND(V939&lt;&gt;"",INDEX(Parties!$E$5:$E$304,V939)&lt;&gt;"",INDEX(Parties!$E$5:$E$304,V939)&lt;&gt;HomeState),0,ROUND(L939*M939/2,2))),"")</f>
        <v/>
      </c>
      <c r="O939" s="61" t="str">
        <f aca="false">IF(IsPro,IF($D939="","",N939),"")</f>
        <v/>
      </c>
      <c r="P939" s="61" t="str">
        <f aca="false">IF(IsPro,IF($D939="","",IF(AND(V939&lt;&gt;"",INDEX(Parties!$E$5:$E$304,V939)&lt;&gt;"",INDEX(Parties!$E$5:$E$304,V939)&lt;&gt;HomeState),ROUND(L939*M939,2),0)),"")</f>
        <v/>
      </c>
      <c r="Q939" s="61" t="str">
        <f aca="false">IF(IsPro,IF($D939="","",L939+N939+O939+P939),"")</f>
        <v/>
      </c>
      <c r="R939" s="61" t="str">
        <f aca="false">IF(IsPro,IF($D939="","",ROUND(N($E939)*IFERROR(INDEX(Items!$P$5:$P$504,U939),0),2)),"")</f>
        <v/>
      </c>
      <c r="S939" s="61" t="str">
        <f aca="false">IF(IsPro,IF($D939="","",L939-R939),"")</f>
        <v/>
      </c>
      <c r="T939" s="60" t="str">
        <f aca="false">IF(IsPro,IF($D939="","",IF(U939="","UNKNOWN ITEM",IF(INDEX(Items!$O$5:$O$504,U939)&lt;0,"NEG STOCK",IF(K939&lt;INDEX(Items!$P$5:$P$504,U939),"BELOW COST","OK")))),IF($D939="","","PRO PLAN"))</f>
        <v/>
      </c>
      <c r="U939" s="60" t="str">
        <f aca="false">IF(IsPro,IF($D939="","",IFERROR(MATCH($D939,Items!$A$5:$A$504,0),"")),"")</f>
        <v/>
      </c>
      <c r="V939" s="60" t="str">
        <f aca="false">IF(IsPro,IF($C939="","",IFERROR(MATCH($C939,Parties!$A$5:$A$304,0),"")),"")</f>
        <v/>
      </c>
      <c r="W939" s="60" t="str">
        <f aca="false">IF(IsPro,IF($B939="","",IFERROR(VALUE(SUBSTITUTE($B939,InvPrefix,"")),0)),"")</f>
        <v/>
      </c>
      <c r="X939" s="61" t="str">
        <f aca="false">IF(IsPro,IF($D939="","",IF(OR($H939="",$H939="Credit"),0,Q939)),"")</f>
        <v/>
      </c>
    </row>
    <row r="940" customFormat="false" ht="15" hidden="false" customHeight="false" outlineLevel="0" collapsed="false">
      <c r="A940" s="55"/>
      <c r="B940" s="56"/>
      <c r="C940" s="56"/>
      <c r="D940" s="56"/>
      <c r="E940" s="57"/>
      <c r="F940" s="58"/>
      <c r="G940" s="59"/>
      <c r="H940" s="56"/>
      <c r="I940" s="56"/>
      <c r="J940" s="60" t="str">
        <f aca="false">IF(IsPro,IF($D940="","",IFERROR(INDEX(Items!$D$5:$D$504,U940),"")),"")</f>
        <v/>
      </c>
      <c r="K940" s="61" t="str">
        <f aca="false">IF(IsPro,IF($D940="","",IF($F940="",IFERROR(INDEX(Items!$H$5:$H$504,U940),0),$F940)),"")</f>
        <v/>
      </c>
      <c r="L940" s="61" t="str">
        <f aca="false">IF(IsPro,IF($D940="","",ROUND(N($E940)*K940*(1-N($G940)),2)),"")</f>
        <v/>
      </c>
      <c r="M940" s="62" t="str">
        <f aca="false">IF(IsPro,IF($D940="","",IFERROR(INDEX(Items!$F$5:$F$504,U940),0)),"")</f>
        <v/>
      </c>
      <c r="N940" s="61" t="str">
        <f aca="false">IF(IsPro,IF($D940="","",IF(AND(V940&lt;&gt;"",INDEX(Parties!$E$5:$E$304,V940)&lt;&gt;"",INDEX(Parties!$E$5:$E$304,V940)&lt;&gt;HomeState),0,ROUND(L940*M940/2,2))),"")</f>
        <v/>
      </c>
      <c r="O940" s="61" t="str">
        <f aca="false">IF(IsPro,IF($D940="","",N940),"")</f>
        <v/>
      </c>
      <c r="P940" s="61" t="str">
        <f aca="false">IF(IsPro,IF($D940="","",IF(AND(V940&lt;&gt;"",INDEX(Parties!$E$5:$E$304,V940)&lt;&gt;"",INDEX(Parties!$E$5:$E$304,V940)&lt;&gt;HomeState),ROUND(L940*M940,2),0)),"")</f>
        <v/>
      </c>
      <c r="Q940" s="61" t="str">
        <f aca="false">IF(IsPro,IF($D940="","",L940+N940+O940+P940),"")</f>
        <v/>
      </c>
      <c r="R940" s="61" t="str">
        <f aca="false">IF(IsPro,IF($D940="","",ROUND(N($E940)*IFERROR(INDEX(Items!$P$5:$P$504,U940),0),2)),"")</f>
        <v/>
      </c>
      <c r="S940" s="61" t="str">
        <f aca="false">IF(IsPro,IF($D940="","",L940-R940),"")</f>
        <v/>
      </c>
      <c r="T940" s="60" t="str">
        <f aca="false">IF(IsPro,IF($D940="","",IF(U940="","UNKNOWN ITEM",IF(INDEX(Items!$O$5:$O$504,U940)&lt;0,"NEG STOCK",IF(K940&lt;INDEX(Items!$P$5:$P$504,U940),"BELOW COST","OK")))),IF($D940="","","PRO PLAN"))</f>
        <v/>
      </c>
      <c r="U940" s="60" t="str">
        <f aca="false">IF(IsPro,IF($D940="","",IFERROR(MATCH($D940,Items!$A$5:$A$504,0),"")),"")</f>
        <v/>
      </c>
      <c r="V940" s="60" t="str">
        <f aca="false">IF(IsPro,IF($C940="","",IFERROR(MATCH($C940,Parties!$A$5:$A$304,0),"")),"")</f>
        <v/>
      </c>
      <c r="W940" s="60" t="str">
        <f aca="false">IF(IsPro,IF($B940="","",IFERROR(VALUE(SUBSTITUTE($B940,InvPrefix,"")),0)),"")</f>
        <v/>
      </c>
      <c r="X940" s="61" t="str">
        <f aca="false">IF(IsPro,IF($D940="","",IF(OR($H940="",$H940="Credit"),0,Q940)),"")</f>
        <v/>
      </c>
    </row>
    <row r="941" customFormat="false" ht="15" hidden="false" customHeight="false" outlineLevel="0" collapsed="false">
      <c r="A941" s="55"/>
      <c r="B941" s="56"/>
      <c r="C941" s="56"/>
      <c r="D941" s="56"/>
      <c r="E941" s="57"/>
      <c r="F941" s="58"/>
      <c r="G941" s="59"/>
      <c r="H941" s="56"/>
      <c r="I941" s="56"/>
      <c r="J941" s="60" t="str">
        <f aca="false">IF(IsPro,IF($D941="","",IFERROR(INDEX(Items!$D$5:$D$504,U941),"")),"")</f>
        <v/>
      </c>
      <c r="K941" s="61" t="str">
        <f aca="false">IF(IsPro,IF($D941="","",IF($F941="",IFERROR(INDEX(Items!$H$5:$H$504,U941),0),$F941)),"")</f>
        <v/>
      </c>
      <c r="L941" s="61" t="str">
        <f aca="false">IF(IsPro,IF($D941="","",ROUND(N($E941)*K941*(1-N($G941)),2)),"")</f>
        <v/>
      </c>
      <c r="M941" s="62" t="str">
        <f aca="false">IF(IsPro,IF($D941="","",IFERROR(INDEX(Items!$F$5:$F$504,U941),0)),"")</f>
        <v/>
      </c>
      <c r="N941" s="61" t="str">
        <f aca="false">IF(IsPro,IF($D941="","",IF(AND(V941&lt;&gt;"",INDEX(Parties!$E$5:$E$304,V941)&lt;&gt;"",INDEX(Parties!$E$5:$E$304,V941)&lt;&gt;HomeState),0,ROUND(L941*M941/2,2))),"")</f>
        <v/>
      </c>
      <c r="O941" s="61" t="str">
        <f aca="false">IF(IsPro,IF($D941="","",N941),"")</f>
        <v/>
      </c>
      <c r="P941" s="61" t="str">
        <f aca="false">IF(IsPro,IF($D941="","",IF(AND(V941&lt;&gt;"",INDEX(Parties!$E$5:$E$304,V941)&lt;&gt;"",INDEX(Parties!$E$5:$E$304,V941)&lt;&gt;HomeState),ROUND(L941*M941,2),0)),"")</f>
        <v/>
      </c>
      <c r="Q941" s="61" t="str">
        <f aca="false">IF(IsPro,IF($D941="","",L941+N941+O941+P941),"")</f>
        <v/>
      </c>
      <c r="R941" s="61" t="str">
        <f aca="false">IF(IsPro,IF($D941="","",ROUND(N($E941)*IFERROR(INDEX(Items!$P$5:$P$504,U941),0),2)),"")</f>
        <v/>
      </c>
      <c r="S941" s="61" t="str">
        <f aca="false">IF(IsPro,IF($D941="","",L941-R941),"")</f>
        <v/>
      </c>
      <c r="T941" s="60" t="str">
        <f aca="false">IF(IsPro,IF($D941="","",IF(U941="","UNKNOWN ITEM",IF(INDEX(Items!$O$5:$O$504,U941)&lt;0,"NEG STOCK",IF(K941&lt;INDEX(Items!$P$5:$P$504,U941),"BELOW COST","OK")))),IF($D941="","","PRO PLAN"))</f>
        <v/>
      </c>
      <c r="U941" s="60" t="str">
        <f aca="false">IF(IsPro,IF($D941="","",IFERROR(MATCH($D941,Items!$A$5:$A$504,0),"")),"")</f>
        <v/>
      </c>
      <c r="V941" s="60" t="str">
        <f aca="false">IF(IsPro,IF($C941="","",IFERROR(MATCH($C941,Parties!$A$5:$A$304,0),"")),"")</f>
        <v/>
      </c>
      <c r="W941" s="60" t="str">
        <f aca="false">IF(IsPro,IF($B941="","",IFERROR(VALUE(SUBSTITUTE($B941,InvPrefix,"")),0)),"")</f>
        <v/>
      </c>
      <c r="X941" s="61" t="str">
        <f aca="false">IF(IsPro,IF($D941="","",IF(OR($H941="",$H941="Credit"),0,Q941)),"")</f>
        <v/>
      </c>
    </row>
    <row r="942" customFormat="false" ht="15" hidden="false" customHeight="false" outlineLevel="0" collapsed="false">
      <c r="A942" s="55"/>
      <c r="B942" s="56"/>
      <c r="C942" s="56"/>
      <c r="D942" s="56"/>
      <c r="E942" s="57"/>
      <c r="F942" s="58"/>
      <c r="G942" s="59"/>
      <c r="H942" s="56"/>
      <c r="I942" s="56"/>
      <c r="J942" s="60" t="str">
        <f aca="false">IF(IsPro,IF($D942="","",IFERROR(INDEX(Items!$D$5:$D$504,U942),"")),"")</f>
        <v/>
      </c>
      <c r="K942" s="61" t="str">
        <f aca="false">IF(IsPro,IF($D942="","",IF($F942="",IFERROR(INDEX(Items!$H$5:$H$504,U942),0),$F942)),"")</f>
        <v/>
      </c>
      <c r="L942" s="61" t="str">
        <f aca="false">IF(IsPro,IF($D942="","",ROUND(N($E942)*K942*(1-N($G942)),2)),"")</f>
        <v/>
      </c>
      <c r="M942" s="62" t="str">
        <f aca="false">IF(IsPro,IF($D942="","",IFERROR(INDEX(Items!$F$5:$F$504,U942),0)),"")</f>
        <v/>
      </c>
      <c r="N942" s="61" t="str">
        <f aca="false">IF(IsPro,IF($D942="","",IF(AND(V942&lt;&gt;"",INDEX(Parties!$E$5:$E$304,V942)&lt;&gt;"",INDEX(Parties!$E$5:$E$304,V942)&lt;&gt;HomeState),0,ROUND(L942*M942/2,2))),"")</f>
        <v/>
      </c>
      <c r="O942" s="61" t="str">
        <f aca="false">IF(IsPro,IF($D942="","",N942),"")</f>
        <v/>
      </c>
      <c r="P942" s="61" t="str">
        <f aca="false">IF(IsPro,IF($D942="","",IF(AND(V942&lt;&gt;"",INDEX(Parties!$E$5:$E$304,V942)&lt;&gt;"",INDEX(Parties!$E$5:$E$304,V942)&lt;&gt;HomeState),ROUND(L942*M942,2),0)),"")</f>
        <v/>
      </c>
      <c r="Q942" s="61" t="str">
        <f aca="false">IF(IsPro,IF($D942="","",L942+N942+O942+P942),"")</f>
        <v/>
      </c>
      <c r="R942" s="61" t="str">
        <f aca="false">IF(IsPro,IF($D942="","",ROUND(N($E942)*IFERROR(INDEX(Items!$P$5:$P$504,U942),0),2)),"")</f>
        <v/>
      </c>
      <c r="S942" s="61" t="str">
        <f aca="false">IF(IsPro,IF($D942="","",L942-R942),"")</f>
        <v/>
      </c>
      <c r="T942" s="60" t="str">
        <f aca="false">IF(IsPro,IF($D942="","",IF(U942="","UNKNOWN ITEM",IF(INDEX(Items!$O$5:$O$504,U942)&lt;0,"NEG STOCK",IF(K942&lt;INDEX(Items!$P$5:$P$504,U942),"BELOW COST","OK")))),IF($D942="","","PRO PLAN"))</f>
        <v/>
      </c>
      <c r="U942" s="60" t="str">
        <f aca="false">IF(IsPro,IF($D942="","",IFERROR(MATCH($D942,Items!$A$5:$A$504,0),"")),"")</f>
        <v/>
      </c>
      <c r="V942" s="60" t="str">
        <f aca="false">IF(IsPro,IF($C942="","",IFERROR(MATCH($C942,Parties!$A$5:$A$304,0),"")),"")</f>
        <v/>
      </c>
      <c r="W942" s="60" t="str">
        <f aca="false">IF(IsPro,IF($B942="","",IFERROR(VALUE(SUBSTITUTE($B942,InvPrefix,"")),0)),"")</f>
        <v/>
      </c>
      <c r="X942" s="61" t="str">
        <f aca="false">IF(IsPro,IF($D942="","",IF(OR($H942="",$H942="Credit"),0,Q942)),"")</f>
        <v/>
      </c>
    </row>
    <row r="943" customFormat="false" ht="15" hidden="false" customHeight="false" outlineLevel="0" collapsed="false">
      <c r="A943" s="55"/>
      <c r="B943" s="56"/>
      <c r="C943" s="56"/>
      <c r="D943" s="56"/>
      <c r="E943" s="57"/>
      <c r="F943" s="58"/>
      <c r="G943" s="59"/>
      <c r="H943" s="56"/>
      <c r="I943" s="56"/>
      <c r="J943" s="60" t="str">
        <f aca="false">IF(IsPro,IF($D943="","",IFERROR(INDEX(Items!$D$5:$D$504,U943),"")),"")</f>
        <v/>
      </c>
      <c r="K943" s="61" t="str">
        <f aca="false">IF(IsPro,IF($D943="","",IF($F943="",IFERROR(INDEX(Items!$H$5:$H$504,U943),0),$F943)),"")</f>
        <v/>
      </c>
      <c r="L943" s="61" t="str">
        <f aca="false">IF(IsPro,IF($D943="","",ROUND(N($E943)*K943*(1-N($G943)),2)),"")</f>
        <v/>
      </c>
      <c r="M943" s="62" t="str">
        <f aca="false">IF(IsPro,IF($D943="","",IFERROR(INDEX(Items!$F$5:$F$504,U943),0)),"")</f>
        <v/>
      </c>
      <c r="N943" s="61" t="str">
        <f aca="false">IF(IsPro,IF($D943="","",IF(AND(V943&lt;&gt;"",INDEX(Parties!$E$5:$E$304,V943)&lt;&gt;"",INDEX(Parties!$E$5:$E$304,V943)&lt;&gt;HomeState),0,ROUND(L943*M943/2,2))),"")</f>
        <v/>
      </c>
      <c r="O943" s="61" t="str">
        <f aca="false">IF(IsPro,IF($D943="","",N943),"")</f>
        <v/>
      </c>
      <c r="P943" s="61" t="str">
        <f aca="false">IF(IsPro,IF($D943="","",IF(AND(V943&lt;&gt;"",INDEX(Parties!$E$5:$E$304,V943)&lt;&gt;"",INDEX(Parties!$E$5:$E$304,V943)&lt;&gt;HomeState),ROUND(L943*M943,2),0)),"")</f>
        <v/>
      </c>
      <c r="Q943" s="61" t="str">
        <f aca="false">IF(IsPro,IF($D943="","",L943+N943+O943+P943),"")</f>
        <v/>
      </c>
      <c r="R943" s="61" t="str">
        <f aca="false">IF(IsPro,IF($D943="","",ROUND(N($E943)*IFERROR(INDEX(Items!$P$5:$P$504,U943),0),2)),"")</f>
        <v/>
      </c>
      <c r="S943" s="61" t="str">
        <f aca="false">IF(IsPro,IF($D943="","",L943-R943),"")</f>
        <v/>
      </c>
      <c r="T943" s="60" t="str">
        <f aca="false">IF(IsPro,IF($D943="","",IF(U943="","UNKNOWN ITEM",IF(INDEX(Items!$O$5:$O$504,U943)&lt;0,"NEG STOCK",IF(K943&lt;INDEX(Items!$P$5:$P$504,U943),"BELOW COST","OK")))),IF($D943="","","PRO PLAN"))</f>
        <v/>
      </c>
      <c r="U943" s="60" t="str">
        <f aca="false">IF(IsPro,IF($D943="","",IFERROR(MATCH($D943,Items!$A$5:$A$504,0),"")),"")</f>
        <v/>
      </c>
      <c r="V943" s="60" t="str">
        <f aca="false">IF(IsPro,IF($C943="","",IFERROR(MATCH($C943,Parties!$A$5:$A$304,0),"")),"")</f>
        <v/>
      </c>
      <c r="W943" s="60" t="str">
        <f aca="false">IF(IsPro,IF($B943="","",IFERROR(VALUE(SUBSTITUTE($B943,InvPrefix,"")),0)),"")</f>
        <v/>
      </c>
      <c r="X943" s="61" t="str">
        <f aca="false">IF(IsPro,IF($D943="","",IF(OR($H943="",$H943="Credit"),0,Q943)),"")</f>
        <v/>
      </c>
    </row>
    <row r="944" customFormat="false" ht="15" hidden="false" customHeight="false" outlineLevel="0" collapsed="false">
      <c r="A944" s="55"/>
      <c r="B944" s="56"/>
      <c r="C944" s="56"/>
      <c r="D944" s="56"/>
      <c r="E944" s="57"/>
      <c r="F944" s="58"/>
      <c r="G944" s="59"/>
      <c r="H944" s="56"/>
      <c r="I944" s="56"/>
      <c r="J944" s="60" t="str">
        <f aca="false">IF(IsPro,IF($D944="","",IFERROR(INDEX(Items!$D$5:$D$504,U944),"")),"")</f>
        <v/>
      </c>
      <c r="K944" s="61" t="str">
        <f aca="false">IF(IsPro,IF($D944="","",IF($F944="",IFERROR(INDEX(Items!$H$5:$H$504,U944),0),$F944)),"")</f>
        <v/>
      </c>
      <c r="L944" s="61" t="str">
        <f aca="false">IF(IsPro,IF($D944="","",ROUND(N($E944)*K944*(1-N($G944)),2)),"")</f>
        <v/>
      </c>
      <c r="M944" s="62" t="str">
        <f aca="false">IF(IsPro,IF($D944="","",IFERROR(INDEX(Items!$F$5:$F$504,U944),0)),"")</f>
        <v/>
      </c>
      <c r="N944" s="61" t="str">
        <f aca="false">IF(IsPro,IF($D944="","",IF(AND(V944&lt;&gt;"",INDEX(Parties!$E$5:$E$304,V944)&lt;&gt;"",INDEX(Parties!$E$5:$E$304,V944)&lt;&gt;HomeState),0,ROUND(L944*M944/2,2))),"")</f>
        <v/>
      </c>
      <c r="O944" s="61" t="str">
        <f aca="false">IF(IsPro,IF($D944="","",N944),"")</f>
        <v/>
      </c>
      <c r="P944" s="61" t="str">
        <f aca="false">IF(IsPro,IF($D944="","",IF(AND(V944&lt;&gt;"",INDEX(Parties!$E$5:$E$304,V944)&lt;&gt;"",INDEX(Parties!$E$5:$E$304,V944)&lt;&gt;HomeState),ROUND(L944*M944,2),0)),"")</f>
        <v/>
      </c>
      <c r="Q944" s="61" t="str">
        <f aca="false">IF(IsPro,IF($D944="","",L944+N944+O944+P944),"")</f>
        <v/>
      </c>
      <c r="R944" s="61" t="str">
        <f aca="false">IF(IsPro,IF($D944="","",ROUND(N($E944)*IFERROR(INDEX(Items!$P$5:$P$504,U944),0),2)),"")</f>
        <v/>
      </c>
      <c r="S944" s="61" t="str">
        <f aca="false">IF(IsPro,IF($D944="","",L944-R944),"")</f>
        <v/>
      </c>
      <c r="T944" s="60" t="str">
        <f aca="false">IF(IsPro,IF($D944="","",IF(U944="","UNKNOWN ITEM",IF(INDEX(Items!$O$5:$O$504,U944)&lt;0,"NEG STOCK",IF(K944&lt;INDEX(Items!$P$5:$P$504,U944),"BELOW COST","OK")))),IF($D944="","","PRO PLAN"))</f>
        <v/>
      </c>
      <c r="U944" s="60" t="str">
        <f aca="false">IF(IsPro,IF($D944="","",IFERROR(MATCH($D944,Items!$A$5:$A$504,0),"")),"")</f>
        <v/>
      </c>
      <c r="V944" s="60" t="str">
        <f aca="false">IF(IsPro,IF($C944="","",IFERROR(MATCH($C944,Parties!$A$5:$A$304,0),"")),"")</f>
        <v/>
      </c>
      <c r="W944" s="60" t="str">
        <f aca="false">IF(IsPro,IF($B944="","",IFERROR(VALUE(SUBSTITUTE($B944,InvPrefix,"")),0)),"")</f>
        <v/>
      </c>
      <c r="X944" s="61" t="str">
        <f aca="false">IF(IsPro,IF($D944="","",IF(OR($H944="",$H944="Credit"),0,Q944)),"")</f>
        <v/>
      </c>
    </row>
    <row r="945" customFormat="false" ht="15" hidden="false" customHeight="false" outlineLevel="0" collapsed="false">
      <c r="A945" s="55"/>
      <c r="B945" s="56"/>
      <c r="C945" s="56"/>
      <c r="D945" s="56"/>
      <c r="E945" s="57"/>
      <c r="F945" s="58"/>
      <c r="G945" s="59"/>
      <c r="H945" s="56"/>
      <c r="I945" s="56"/>
      <c r="J945" s="60" t="str">
        <f aca="false">IF(IsPro,IF($D945="","",IFERROR(INDEX(Items!$D$5:$D$504,U945),"")),"")</f>
        <v/>
      </c>
      <c r="K945" s="61" t="str">
        <f aca="false">IF(IsPro,IF($D945="","",IF($F945="",IFERROR(INDEX(Items!$H$5:$H$504,U945),0),$F945)),"")</f>
        <v/>
      </c>
      <c r="L945" s="61" t="str">
        <f aca="false">IF(IsPro,IF($D945="","",ROUND(N($E945)*K945*(1-N($G945)),2)),"")</f>
        <v/>
      </c>
      <c r="M945" s="62" t="str">
        <f aca="false">IF(IsPro,IF($D945="","",IFERROR(INDEX(Items!$F$5:$F$504,U945),0)),"")</f>
        <v/>
      </c>
      <c r="N945" s="61" t="str">
        <f aca="false">IF(IsPro,IF($D945="","",IF(AND(V945&lt;&gt;"",INDEX(Parties!$E$5:$E$304,V945)&lt;&gt;"",INDEX(Parties!$E$5:$E$304,V945)&lt;&gt;HomeState),0,ROUND(L945*M945/2,2))),"")</f>
        <v/>
      </c>
      <c r="O945" s="61" t="str">
        <f aca="false">IF(IsPro,IF($D945="","",N945),"")</f>
        <v/>
      </c>
      <c r="P945" s="61" t="str">
        <f aca="false">IF(IsPro,IF($D945="","",IF(AND(V945&lt;&gt;"",INDEX(Parties!$E$5:$E$304,V945)&lt;&gt;"",INDEX(Parties!$E$5:$E$304,V945)&lt;&gt;HomeState),ROUND(L945*M945,2),0)),"")</f>
        <v/>
      </c>
      <c r="Q945" s="61" t="str">
        <f aca="false">IF(IsPro,IF($D945="","",L945+N945+O945+P945),"")</f>
        <v/>
      </c>
      <c r="R945" s="61" t="str">
        <f aca="false">IF(IsPro,IF($D945="","",ROUND(N($E945)*IFERROR(INDEX(Items!$P$5:$P$504,U945),0),2)),"")</f>
        <v/>
      </c>
      <c r="S945" s="61" t="str">
        <f aca="false">IF(IsPro,IF($D945="","",L945-R945),"")</f>
        <v/>
      </c>
      <c r="T945" s="60" t="str">
        <f aca="false">IF(IsPro,IF($D945="","",IF(U945="","UNKNOWN ITEM",IF(INDEX(Items!$O$5:$O$504,U945)&lt;0,"NEG STOCK",IF(K945&lt;INDEX(Items!$P$5:$P$504,U945),"BELOW COST","OK")))),IF($D945="","","PRO PLAN"))</f>
        <v/>
      </c>
      <c r="U945" s="60" t="str">
        <f aca="false">IF(IsPro,IF($D945="","",IFERROR(MATCH($D945,Items!$A$5:$A$504,0),"")),"")</f>
        <v/>
      </c>
      <c r="V945" s="60" t="str">
        <f aca="false">IF(IsPro,IF($C945="","",IFERROR(MATCH($C945,Parties!$A$5:$A$304,0),"")),"")</f>
        <v/>
      </c>
      <c r="W945" s="60" t="str">
        <f aca="false">IF(IsPro,IF($B945="","",IFERROR(VALUE(SUBSTITUTE($B945,InvPrefix,"")),0)),"")</f>
        <v/>
      </c>
      <c r="X945" s="61" t="str">
        <f aca="false">IF(IsPro,IF($D945="","",IF(OR($H945="",$H945="Credit"),0,Q945)),"")</f>
        <v/>
      </c>
    </row>
    <row r="946" customFormat="false" ht="15" hidden="false" customHeight="false" outlineLevel="0" collapsed="false">
      <c r="A946" s="55"/>
      <c r="B946" s="56"/>
      <c r="C946" s="56"/>
      <c r="D946" s="56"/>
      <c r="E946" s="57"/>
      <c r="F946" s="58"/>
      <c r="G946" s="59"/>
      <c r="H946" s="56"/>
      <c r="I946" s="56"/>
      <c r="J946" s="60" t="str">
        <f aca="false">IF(IsPro,IF($D946="","",IFERROR(INDEX(Items!$D$5:$D$504,U946),"")),"")</f>
        <v/>
      </c>
      <c r="K946" s="61" t="str">
        <f aca="false">IF(IsPro,IF($D946="","",IF($F946="",IFERROR(INDEX(Items!$H$5:$H$504,U946),0),$F946)),"")</f>
        <v/>
      </c>
      <c r="L946" s="61" t="str">
        <f aca="false">IF(IsPro,IF($D946="","",ROUND(N($E946)*K946*(1-N($G946)),2)),"")</f>
        <v/>
      </c>
      <c r="M946" s="62" t="str">
        <f aca="false">IF(IsPro,IF($D946="","",IFERROR(INDEX(Items!$F$5:$F$504,U946),0)),"")</f>
        <v/>
      </c>
      <c r="N946" s="61" t="str">
        <f aca="false">IF(IsPro,IF($D946="","",IF(AND(V946&lt;&gt;"",INDEX(Parties!$E$5:$E$304,V946)&lt;&gt;"",INDEX(Parties!$E$5:$E$304,V946)&lt;&gt;HomeState),0,ROUND(L946*M946/2,2))),"")</f>
        <v/>
      </c>
      <c r="O946" s="61" t="str">
        <f aca="false">IF(IsPro,IF($D946="","",N946),"")</f>
        <v/>
      </c>
      <c r="P946" s="61" t="str">
        <f aca="false">IF(IsPro,IF($D946="","",IF(AND(V946&lt;&gt;"",INDEX(Parties!$E$5:$E$304,V946)&lt;&gt;"",INDEX(Parties!$E$5:$E$304,V946)&lt;&gt;HomeState),ROUND(L946*M946,2),0)),"")</f>
        <v/>
      </c>
      <c r="Q946" s="61" t="str">
        <f aca="false">IF(IsPro,IF($D946="","",L946+N946+O946+P946),"")</f>
        <v/>
      </c>
      <c r="R946" s="61" t="str">
        <f aca="false">IF(IsPro,IF($D946="","",ROUND(N($E946)*IFERROR(INDEX(Items!$P$5:$P$504,U946),0),2)),"")</f>
        <v/>
      </c>
      <c r="S946" s="61" t="str">
        <f aca="false">IF(IsPro,IF($D946="","",L946-R946),"")</f>
        <v/>
      </c>
      <c r="T946" s="60" t="str">
        <f aca="false">IF(IsPro,IF($D946="","",IF(U946="","UNKNOWN ITEM",IF(INDEX(Items!$O$5:$O$504,U946)&lt;0,"NEG STOCK",IF(K946&lt;INDEX(Items!$P$5:$P$504,U946),"BELOW COST","OK")))),IF($D946="","","PRO PLAN"))</f>
        <v/>
      </c>
      <c r="U946" s="60" t="str">
        <f aca="false">IF(IsPro,IF($D946="","",IFERROR(MATCH($D946,Items!$A$5:$A$504,0),"")),"")</f>
        <v/>
      </c>
      <c r="V946" s="60" t="str">
        <f aca="false">IF(IsPro,IF($C946="","",IFERROR(MATCH($C946,Parties!$A$5:$A$304,0),"")),"")</f>
        <v/>
      </c>
      <c r="W946" s="60" t="str">
        <f aca="false">IF(IsPro,IF($B946="","",IFERROR(VALUE(SUBSTITUTE($B946,InvPrefix,"")),0)),"")</f>
        <v/>
      </c>
      <c r="X946" s="61" t="str">
        <f aca="false">IF(IsPro,IF($D946="","",IF(OR($H946="",$H946="Credit"),0,Q946)),"")</f>
        <v/>
      </c>
    </row>
    <row r="947" customFormat="false" ht="15" hidden="false" customHeight="false" outlineLevel="0" collapsed="false">
      <c r="A947" s="55"/>
      <c r="B947" s="56"/>
      <c r="C947" s="56"/>
      <c r="D947" s="56"/>
      <c r="E947" s="57"/>
      <c r="F947" s="58"/>
      <c r="G947" s="59"/>
      <c r="H947" s="56"/>
      <c r="I947" s="56"/>
      <c r="J947" s="60" t="str">
        <f aca="false">IF(IsPro,IF($D947="","",IFERROR(INDEX(Items!$D$5:$D$504,U947),"")),"")</f>
        <v/>
      </c>
      <c r="K947" s="61" t="str">
        <f aca="false">IF(IsPro,IF($D947="","",IF($F947="",IFERROR(INDEX(Items!$H$5:$H$504,U947),0),$F947)),"")</f>
        <v/>
      </c>
      <c r="L947" s="61" t="str">
        <f aca="false">IF(IsPro,IF($D947="","",ROUND(N($E947)*K947*(1-N($G947)),2)),"")</f>
        <v/>
      </c>
      <c r="M947" s="62" t="str">
        <f aca="false">IF(IsPro,IF($D947="","",IFERROR(INDEX(Items!$F$5:$F$504,U947),0)),"")</f>
        <v/>
      </c>
      <c r="N947" s="61" t="str">
        <f aca="false">IF(IsPro,IF($D947="","",IF(AND(V947&lt;&gt;"",INDEX(Parties!$E$5:$E$304,V947)&lt;&gt;"",INDEX(Parties!$E$5:$E$304,V947)&lt;&gt;HomeState),0,ROUND(L947*M947/2,2))),"")</f>
        <v/>
      </c>
      <c r="O947" s="61" t="str">
        <f aca="false">IF(IsPro,IF($D947="","",N947),"")</f>
        <v/>
      </c>
      <c r="P947" s="61" t="str">
        <f aca="false">IF(IsPro,IF($D947="","",IF(AND(V947&lt;&gt;"",INDEX(Parties!$E$5:$E$304,V947)&lt;&gt;"",INDEX(Parties!$E$5:$E$304,V947)&lt;&gt;HomeState),ROUND(L947*M947,2),0)),"")</f>
        <v/>
      </c>
      <c r="Q947" s="61" t="str">
        <f aca="false">IF(IsPro,IF($D947="","",L947+N947+O947+P947),"")</f>
        <v/>
      </c>
      <c r="R947" s="61" t="str">
        <f aca="false">IF(IsPro,IF($D947="","",ROUND(N($E947)*IFERROR(INDEX(Items!$P$5:$P$504,U947),0),2)),"")</f>
        <v/>
      </c>
      <c r="S947" s="61" t="str">
        <f aca="false">IF(IsPro,IF($D947="","",L947-R947),"")</f>
        <v/>
      </c>
      <c r="T947" s="60" t="str">
        <f aca="false">IF(IsPro,IF($D947="","",IF(U947="","UNKNOWN ITEM",IF(INDEX(Items!$O$5:$O$504,U947)&lt;0,"NEG STOCK",IF(K947&lt;INDEX(Items!$P$5:$P$504,U947),"BELOW COST","OK")))),IF($D947="","","PRO PLAN"))</f>
        <v/>
      </c>
      <c r="U947" s="60" t="str">
        <f aca="false">IF(IsPro,IF($D947="","",IFERROR(MATCH($D947,Items!$A$5:$A$504,0),"")),"")</f>
        <v/>
      </c>
      <c r="V947" s="60" t="str">
        <f aca="false">IF(IsPro,IF($C947="","",IFERROR(MATCH($C947,Parties!$A$5:$A$304,0),"")),"")</f>
        <v/>
      </c>
      <c r="W947" s="60" t="str">
        <f aca="false">IF(IsPro,IF($B947="","",IFERROR(VALUE(SUBSTITUTE($B947,InvPrefix,"")),0)),"")</f>
        <v/>
      </c>
      <c r="X947" s="61" t="str">
        <f aca="false">IF(IsPro,IF($D947="","",IF(OR($H947="",$H947="Credit"),0,Q947)),"")</f>
        <v/>
      </c>
    </row>
    <row r="948" customFormat="false" ht="15" hidden="false" customHeight="false" outlineLevel="0" collapsed="false">
      <c r="A948" s="55"/>
      <c r="B948" s="56"/>
      <c r="C948" s="56"/>
      <c r="D948" s="56"/>
      <c r="E948" s="57"/>
      <c r="F948" s="58"/>
      <c r="G948" s="59"/>
      <c r="H948" s="56"/>
      <c r="I948" s="56"/>
      <c r="J948" s="60" t="str">
        <f aca="false">IF(IsPro,IF($D948="","",IFERROR(INDEX(Items!$D$5:$D$504,U948),"")),"")</f>
        <v/>
      </c>
      <c r="K948" s="61" t="str">
        <f aca="false">IF(IsPro,IF($D948="","",IF($F948="",IFERROR(INDEX(Items!$H$5:$H$504,U948),0),$F948)),"")</f>
        <v/>
      </c>
      <c r="L948" s="61" t="str">
        <f aca="false">IF(IsPro,IF($D948="","",ROUND(N($E948)*K948*(1-N($G948)),2)),"")</f>
        <v/>
      </c>
      <c r="M948" s="62" t="str">
        <f aca="false">IF(IsPro,IF($D948="","",IFERROR(INDEX(Items!$F$5:$F$504,U948),0)),"")</f>
        <v/>
      </c>
      <c r="N948" s="61" t="str">
        <f aca="false">IF(IsPro,IF($D948="","",IF(AND(V948&lt;&gt;"",INDEX(Parties!$E$5:$E$304,V948)&lt;&gt;"",INDEX(Parties!$E$5:$E$304,V948)&lt;&gt;HomeState),0,ROUND(L948*M948/2,2))),"")</f>
        <v/>
      </c>
      <c r="O948" s="61" t="str">
        <f aca="false">IF(IsPro,IF($D948="","",N948),"")</f>
        <v/>
      </c>
      <c r="P948" s="61" t="str">
        <f aca="false">IF(IsPro,IF($D948="","",IF(AND(V948&lt;&gt;"",INDEX(Parties!$E$5:$E$304,V948)&lt;&gt;"",INDEX(Parties!$E$5:$E$304,V948)&lt;&gt;HomeState),ROUND(L948*M948,2),0)),"")</f>
        <v/>
      </c>
      <c r="Q948" s="61" t="str">
        <f aca="false">IF(IsPro,IF($D948="","",L948+N948+O948+P948),"")</f>
        <v/>
      </c>
      <c r="R948" s="61" t="str">
        <f aca="false">IF(IsPro,IF($D948="","",ROUND(N($E948)*IFERROR(INDEX(Items!$P$5:$P$504,U948),0),2)),"")</f>
        <v/>
      </c>
      <c r="S948" s="61" t="str">
        <f aca="false">IF(IsPro,IF($D948="","",L948-R948),"")</f>
        <v/>
      </c>
      <c r="T948" s="60" t="str">
        <f aca="false">IF(IsPro,IF($D948="","",IF(U948="","UNKNOWN ITEM",IF(INDEX(Items!$O$5:$O$504,U948)&lt;0,"NEG STOCK",IF(K948&lt;INDEX(Items!$P$5:$P$504,U948),"BELOW COST","OK")))),IF($D948="","","PRO PLAN"))</f>
        <v/>
      </c>
      <c r="U948" s="60" t="str">
        <f aca="false">IF(IsPro,IF($D948="","",IFERROR(MATCH($D948,Items!$A$5:$A$504,0),"")),"")</f>
        <v/>
      </c>
      <c r="V948" s="60" t="str">
        <f aca="false">IF(IsPro,IF($C948="","",IFERROR(MATCH($C948,Parties!$A$5:$A$304,0),"")),"")</f>
        <v/>
      </c>
      <c r="W948" s="60" t="str">
        <f aca="false">IF(IsPro,IF($B948="","",IFERROR(VALUE(SUBSTITUTE($B948,InvPrefix,"")),0)),"")</f>
        <v/>
      </c>
      <c r="X948" s="61" t="str">
        <f aca="false">IF(IsPro,IF($D948="","",IF(OR($H948="",$H948="Credit"),0,Q948)),"")</f>
        <v/>
      </c>
    </row>
    <row r="949" customFormat="false" ht="15" hidden="false" customHeight="false" outlineLevel="0" collapsed="false">
      <c r="A949" s="55"/>
      <c r="B949" s="56"/>
      <c r="C949" s="56"/>
      <c r="D949" s="56"/>
      <c r="E949" s="57"/>
      <c r="F949" s="58"/>
      <c r="G949" s="59"/>
      <c r="H949" s="56"/>
      <c r="I949" s="56"/>
      <c r="J949" s="60" t="str">
        <f aca="false">IF(IsPro,IF($D949="","",IFERROR(INDEX(Items!$D$5:$D$504,U949),"")),"")</f>
        <v/>
      </c>
      <c r="K949" s="61" t="str">
        <f aca="false">IF(IsPro,IF($D949="","",IF($F949="",IFERROR(INDEX(Items!$H$5:$H$504,U949),0),$F949)),"")</f>
        <v/>
      </c>
      <c r="L949" s="61" t="str">
        <f aca="false">IF(IsPro,IF($D949="","",ROUND(N($E949)*K949*(1-N($G949)),2)),"")</f>
        <v/>
      </c>
      <c r="M949" s="62" t="str">
        <f aca="false">IF(IsPro,IF($D949="","",IFERROR(INDEX(Items!$F$5:$F$504,U949),0)),"")</f>
        <v/>
      </c>
      <c r="N949" s="61" t="str">
        <f aca="false">IF(IsPro,IF($D949="","",IF(AND(V949&lt;&gt;"",INDEX(Parties!$E$5:$E$304,V949)&lt;&gt;"",INDEX(Parties!$E$5:$E$304,V949)&lt;&gt;HomeState),0,ROUND(L949*M949/2,2))),"")</f>
        <v/>
      </c>
      <c r="O949" s="61" t="str">
        <f aca="false">IF(IsPro,IF($D949="","",N949),"")</f>
        <v/>
      </c>
      <c r="P949" s="61" t="str">
        <f aca="false">IF(IsPro,IF($D949="","",IF(AND(V949&lt;&gt;"",INDEX(Parties!$E$5:$E$304,V949)&lt;&gt;"",INDEX(Parties!$E$5:$E$304,V949)&lt;&gt;HomeState),ROUND(L949*M949,2),0)),"")</f>
        <v/>
      </c>
      <c r="Q949" s="61" t="str">
        <f aca="false">IF(IsPro,IF($D949="","",L949+N949+O949+P949),"")</f>
        <v/>
      </c>
      <c r="R949" s="61" t="str">
        <f aca="false">IF(IsPro,IF($D949="","",ROUND(N($E949)*IFERROR(INDEX(Items!$P$5:$P$504,U949),0),2)),"")</f>
        <v/>
      </c>
      <c r="S949" s="61" t="str">
        <f aca="false">IF(IsPro,IF($D949="","",L949-R949),"")</f>
        <v/>
      </c>
      <c r="T949" s="60" t="str">
        <f aca="false">IF(IsPro,IF($D949="","",IF(U949="","UNKNOWN ITEM",IF(INDEX(Items!$O$5:$O$504,U949)&lt;0,"NEG STOCK",IF(K949&lt;INDEX(Items!$P$5:$P$504,U949),"BELOW COST","OK")))),IF($D949="","","PRO PLAN"))</f>
        <v/>
      </c>
      <c r="U949" s="60" t="str">
        <f aca="false">IF(IsPro,IF($D949="","",IFERROR(MATCH($D949,Items!$A$5:$A$504,0),"")),"")</f>
        <v/>
      </c>
      <c r="V949" s="60" t="str">
        <f aca="false">IF(IsPro,IF($C949="","",IFERROR(MATCH($C949,Parties!$A$5:$A$304,0),"")),"")</f>
        <v/>
      </c>
      <c r="W949" s="60" t="str">
        <f aca="false">IF(IsPro,IF($B949="","",IFERROR(VALUE(SUBSTITUTE($B949,InvPrefix,"")),0)),"")</f>
        <v/>
      </c>
      <c r="X949" s="61" t="str">
        <f aca="false">IF(IsPro,IF($D949="","",IF(OR($H949="",$H949="Credit"),0,Q949)),"")</f>
        <v/>
      </c>
    </row>
    <row r="950" customFormat="false" ht="15" hidden="false" customHeight="false" outlineLevel="0" collapsed="false">
      <c r="A950" s="55"/>
      <c r="B950" s="56"/>
      <c r="C950" s="56"/>
      <c r="D950" s="56"/>
      <c r="E950" s="57"/>
      <c r="F950" s="58"/>
      <c r="G950" s="59"/>
      <c r="H950" s="56"/>
      <c r="I950" s="56"/>
      <c r="J950" s="60" t="str">
        <f aca="false">IF(IsPro,IF($D950="","",IFERROR(INDEX(Items!$D$5:$D$504,U950),"")),"")</f>
        <v/>
      </c>
      <c r="K950" s="61" t="str">
        <f aca="false">IF(IsPro,IF($D950="","",IF($F950="",IFERROR(INDEX(Items!$H$5:$H$504,U950),0),$F950)),"")</f>
        <v/>
      </c>
      <c r="L950" s="61" t="str">
        <f aca="false">IF(IsPro,IF($D950="","",ROUND(N($E950)*K950*(1-N($G950)),2)),"")</f>
        <v/>
      </c>
      <c r="M950" s="62" t="str">
        <f aca="false">IF(IsPro,IF($D950="","",IFERROR(INDEX(Items!$F$5:$F$504,U950),0)),"")</f>
        <v/>
      </c>
      <c r="N950" s="61" t="str">
        <f aca="false">IF(IsPro,IF($D950="","",IF(AND(V950&lt;&gt;"",INDEX(Parties!$E$5:$E$304,V950)&lt;&gt;"",INDEX(Parties!$E$5:$E$304,V950)&lt;&gt;HomeState),0,ROUND(L950*M950/2,2))),"")</f>
        <v/>
      </c>
      <c r="O950" s="61" t="str">
        <f aca="false">IF(IsPro,IF($D950="","",N950),"")</f>
        <v/>
      </c>
      <c r="P950" s="61" t="str">
        <f aca="false">IF(IsPro,IF($D950="","",IF(AND(V950&lt;&gt;"",INDEX(Parties!$E$5:$E$304,V950)&lt;&gt;"",INDEX(Parties!$E$5:$E$304,V950)&lt;&gt;HomeState),ROUND(L950*M950,2),0)),"")</f>
        <v/>
      </c>
      <c r="Q950" s="61" t="str">
        <f aca="false">IF(IsPro,IF($D950="","",L950+N950+O950+P950),"")</f>
        <v/>
      </c>
      <c r="R950" s="61" t="str">
        <f aca="false">IF(IsPro,IF($D950="","",ROUND(N($E950)*IFERROR(INDEX(Items!$P$5:$P$504,U950),0),2)),"")</f>
        <v/>
      </c>
      <c r="S950" s="61" t="str">
        <f aca="false">IF(IsPro,IF($D950="","",L950-R950),"")</f>
        <v/>
      </c>
      <c r="T950" s="60" t="str">
        <f aca="false">IF(IsPro,IF($D950="","",IF(U950="","UNKNOWN ITEM",IF(INDEX(Items!$O$5:$O$504,U950)&lt;0,"NEG STOCK",IF(K950&lt;INDEX(Items!$P$5:$P$504,U950),"BELOW COST","OK")))),IF($D950="","","PRO PLAN"))</f>
        <v/>
      </c>
      <c r="U950" s="60" t="str">
        <f aca="false">IF(IsPro,IF($D950="","",IFERROR(MATCH($D950,Items!$A$5:$A$504,0),"")),"")</f>
        <v/>
      </c>
      <c r="V950" s="60" t="str">
        <f aca="false">IF(IsPro,IF($C950="","",IFERROR(MATCH($C950,Parties!$A$5:$A$304,0),"")),"")</f>
        <v/>
      </c>
      <c r="W950" s="60" t="str">
        <f aca="false">IF(IsPro,IF($B950="","",IFERROR(VALUE(SUBSTITUTE($B950,InvPrefix,"")),0)),"")</f>
        <v/>
      </c>
      <c r="X950" s="61" t="str">
        <f aca="false">IF(IsPro,IF($D950="","",IF(OR($H950="",$H950="Credit"),0,Q950)),"")</f>
        <v/>
      </c>
    </row>
    <row r="951" customFormat="false" ht="15" hidden="false" customHeight="false" outlineLevel="0" collapsed="false">
      <c r="A951" s="55"/>
      <c r="B951" s="56"/>
      <c r="C951" s="56"/>
      <c r="D951" s="56"/>
      <c r="E951" s="57"/>
      <c r="F951" s="58"/>
      <c r="G951" s="59"/>
      <c r="H951" s="56"/>
      <c r="I951" s="56"/>
      <c r="J951" s="60" t="str">
        <f aca="false">IF(IsPro,IF($D951="","",IFERROR(INDEX(Items!$D$5:$D$504,U951),"")),"")</f>
        <v/>
      </c>
      <c r="K951" s="61" t="str">
        <f aca="false">IF(IsPro,IF($D951="","",IF($F951="",IFERROR(INDEX(Items!$H$5:$H$504,U951),0),$F951)),"")</f>
        <v/>
      </c>
      <c r="L951" s="61" t="str">
        <f aca="false">IF(IsPro,IF($D951="","",ROUND(N($E951)*K951*(1-N($G951)),2)),"")</f>
        <v/>
      </c>
      <c r="M951" s="62" t="str">
        <f aca="false">IF(IsPro,IF($D951="","",IFERROR(INDEX(Items!$F$5:$F$504,U951),0)),"")</f>
        <v/>
      </c>
      <c r="N951" s="61" t="str">
        <f aca="false">IF(IsPro,IF($D951="","",IF(AND(V951&lt;&gt;"",INDEX(Parties!$E$5:$E$304,V951)&lt;&gt;"",INDEX(Parties!$E$5:$E$304,V951)&lt;&gt;HomeState),0,ROUND(L951*M951/2,2))),"")</f>
        <v/>
      </c>
      <c r="O951" s="61" t="str">
        <f aca="false">IF(IsPro,IF($D951="","",N951),"")</f>
        <v/>
      </c>
      <c r="P951" s="61" t="str">
        <f aca="false">IF(IsPro,IF($D951="","",IF(AND(V951&lt;&gt;"",INDEX(Parties!$E$5:$E$304,V951)&lt;&gt;"",INDEX(Parties!$E$5:$E$304,V951)&lt;&gt;HomeState),ROUND(L951*M951,2),0)),"")</f>
        <v/>
      </c>
      <c r="Q951" s="61" t="str">
        <f aca="false">IF(IsPro,IF($D951="","",L951+N951+O951+P951),"")</f>
        <v/>
      </c>
      <c r="R951" s="61" t="str">
        <f aca="false">IF(IsPro,IF($D951="","",ROUND(N($E951)*IFERROR(INDEX(Items!$P$5:$P$504,U951),0),2)),"")</f>
        <v/>
      </c>
      <c r="S951" s="61" t="str">
        <f aca="false">IF(IsPro,IF($D951="","",L951-R951),"")</f>
        <v/>
      </c>
      <c r="T951" s="60" t="str">
        <f aca="false">IF(IsPro,IF($D951="","",IF(U951="","UNKNOWN ITEM",IF(INDEX(Items!$O$5:$O$504,U951)&lt;0,"NEG STOCK",IF(K951&lt;INDEX(Items!$P$5:$P$504,U951),"BELOW COST","OK")))),IF($D951="","","PRO PLAN"))</f>
        <v/>
      </c>
      <c r="U951" s="60" t="str">
        <f aca="false">IF(IsPro,IF($D951="","",IFERROR(MATCH($D951,Items!$A$5:$A$504,0),"")),"")</f>
        <v/>
      </c>
      <c r="V951" s="60" t="str">
        <f aca="false">IF(IsPro,IF($C951="","",IFERROR(MATCH($C951,Parties!$A$5:$A$304,0),"")),"")</f>
        <v/>
      </c>
      <c r="W951" s="60" t="str">
        <f aca="false">IF(IsPro,IF($B951="","",IFERROR(VALUE(SUBSTITUTE($B951,InvPrefix,"")),0)),"")</f>
        <v/>
      </c>
      <c r="X951" s="61" t="str">
        <f aca="false">IF(IsPro,IF($D951="","",IF(OR($H951="",$H951="Credit"),0,Q951)),"")</f>
        <v/>
      </c>
    </row>
    <row r="952" customFormat="false" ht="15" hidden="false" customHeight="false" outlineLevel="0" collapsed="false">
      <c r="A952" s="55"/>
      <c r="B952" s="56"/>
      <c r="C952" s="56"/>
      <c r="D952" s="56"/>
      <c r="E952" s="57"/>
      <c r="F952" s="58"/>
      <c r="G952" s="59"/>
      <c r="H952" s="56"/>
      <c r="I952" s="56"/>
      <c r="J952" s="60" t="str">
        <f aca="false">IF(IsPro,IF($D952="","",IFERROR(INDEX(Items!$D$5:$D$504,U952),"")),"")</f>
        <v/>
      </c>
      <c r="K952" s="61" t="str">
        <f aca="false">IF(IsPro,IF($D952="","",IF($F952="",IFERROR(INDEX(Items!$H$5:$H$504,U952),0),$F952)),"")</f>
        <v/>
      </c>
      <c r="L952" s="61" t="str">
        <f aca="false">IF(IsPro,IF($D952="","",ROUND(N($E952)*K952*(1-N($G952)),2)),"")</f>
        <v/>
      </c>
      <c r="M952" s="62" t="str">
        <f aca="false">IF(IsPro,IF($D952="","",IFERROR(INDEX(Items!$F$5:$F$504,U952),0)),"")</f>
        <v/>
      </c>
      <c r="N952" s="61" t="str">
        <f aca="false">IF(IsPro,IF($D952="","",IF(AND(V952&lt;&gt;"",INDEX(Parties!$E$5:$E$304,V952)&lt;&gt;"",INDEX(Parties!$E$5:$E$304,V952)&lt;&gt;HomeState),0,ROUND(L952*M952/2,2))),"")</f>
        <v/>
      </c>
      <c r="O952" s="61" t="str">
        <f aca="false">IF(IsPro,IF($D952="","",N952),"")</f>
        <v/>
      </c>
      <c r="P952" s="61" t="str">
        <f aca="false">IF(IsPro,IF($D952="","",IF(AND(V952&lt;&gt;"",INDEX(Parties!$E$5:$E$304,V952)&lt;&gt;"",INDEX(Parties!$E$5:$E$304,V952)&lt;&gt;HomeState),ROUND(L952*M952,2),0)),"")</f>
        <v/>
      </c>
      <c r="Q952" s="61" t="str">
        <f aca="false">IF(IsPro,IF($D952="","",L952+N952+O952+P952),"")</f>
        <v/>
      </c>
      <c r="R952" s="61" t="str">
        <f aca="false">IF(IsPro,IF($D952="","",ROUND(N($E952)*IFERROR(INDEX(Items!$P$5:$P$504,U952),0),2)),"")</f>
        <v/>
      </c>
      <c r="S952" s="61" t="str">
        <f aca="false">IF(IsPro,IF($D952="","",L952-R952),"")</f>
        <v/>
      </c>
      <c r="T952" s="60" t="str">
        <f aca="false">IF(IsPro,IF($D952="","",IF(U952="","UNKNOWN ITEM",IF(INDEX(Items!$O$5:$O$504,U952)&lt;0,"NEG STOCK",IF(K952&lt;INDEX(Items!$P$5:$P$504,U952),"BELOW COST","OK")))),IF($D952="","","PRO PLAN"))</f>
        <v/>
      </c>
      <c r="U952" s="60" t="str">
        <f aca="false">IF(IsPro,IF($D952="","",IFERROR(MATCH($D952,Items!$A$5:$A$504,0),"")),"")</f>
        <v/>
      </c>
      <c r="V952" s="60" t="str">
        <f aca="false">IF(IsPro,IF($C952="","",IFERROR(MATCH($C952,Parties!$A$5:$A$304,0),"")),"")</f>
        <v/>
      </c>
      <c r="W952" s="60" t="str">
        <f aca="false">IF(IsPro,IF($B952="","",IFERROR(VALUE(SUBSTITUTE($B952,InvPrefix,"")),0)),"")</f>
        <v/>
      </c>
      <c r="X952" s="61" t="str">
        <f aca="false">IF(IsPro,IF($D952="","",IF(OR($H952="",$H952="Credit"),0,Q952)),"")</f>
        <v/>
      </c>
    </row>
    <row r="953" customFormat="false" ht="15" hidden="false" customHeight="false" outlineLevel="0" collapsed="false">
      <c r="A953" s="55"/>
      <c r="B953" s="56"/>
      <c r="C953" s="56"/>
      <c r="D953" s="56"/>
      <c r="E953" s="57"/>
      <c r="F953" s="58"/>
      <c r="G953" s="59"/>
      <c r="H953" s="56"/>
      <c r="I953" s="56"/>
      <c r="J953" s="60" t="str">
        <f aca="false">IF(IsPro,IF($D953="","",IFERROR(INDEX(Items!$D$5:$D$504,U953),"")),"")</f>
        <v/>
      </c>
      <c r="K953" s="61" t="str">
        <f aca="false">IF(IsPro,IF($D953="","",IF($F953="",IFERROR(INDEX(Items!$H$5:$H$504,U953),0),$F953)),"")</f>
        <v/>
      </c>
      <c r="L953" s="61" t="str">
        <f aca="false">IF(IsPro,IF($D953="","",ROUND(N($E953)*K953*(1-N($G953)),2)),"")</f>
        <v/>
      </c>
      <c r="M953" s="62" t="str">
        <f aca="false">IF(IsPro,IF($D953="","",IFERROR(INDEX(Items!$F$5:$F$504,U953),0)),"")</f>
        <v/>
      </c>
      <c r="N953" s="61" t="str">
        <f aca="false">IF(IsPro,IF($D953="","",IF(AND(V953&lt;&gt;"",INDEX(Parties!$E$5:$E$304,V953)&lt;&gt;"",INDEX(Parties!$E$5:$E$304,V953)&lt;&gt;HomeState),0,ROUND(L953*M953/2,2))),"")</f>
        <v/>
      </c>
      <c r="O953" s="61" t="str">
        <f aca="false">IF(IsPro,IF($D953="","",N953),"")</f>
        <v/>
      </c>
      <c r="P953" s="61" t="str">
        <f aca="false">IF(IsPro,IF($D953="","",IF(AND(V953&lt;&gt;"",INDEX(Parties!$E$5:$E$304,V953)&lt;&gt;"",INDEX(Parties!$E$5:$E$304,V953)&lt;&gt;HomeState),ROUND(L953*M953,2),0)),"")</f>
        <v/>
      </c>
      <c r="Q953" s="61" t="str">
        <f aca="false">IF(IsPro,IF($D953="","",L953+N953+O953+P953),"")</f>
        <v/>
      </c>
      <c r="R953" s="61" t="str">
        <f aca="false">IF(IsPro,IF($D953="","",ROUND(N($E953)*IFERROR(INDEX(Items!$P$5:$P$504,U953),0),2)),"")</f>
        <v/>
      </c>
      <c r="S953" s="61" t="str">
        <f aca="false">IF(IsPro,IF($D953="","",L953-R953),"")</f>
        <v/>
      </c>
      <c r="T953" s="60" t="str">
        <f aca="false">IF(IsPro,IF($D953="","",IF(U953="","UNKNOWN ITEM",IF(INDEX(Items!$O$5:$O$504,U953)&lt;0,"NEG STOCK",IF(K953&lt;INDEX(Items!$P$5:$P$504,U953),"BELOW COST","OK")))),IF($D953="","","PRO PLAN"))</f>
        <v/>
      </c>
      <c r="U953" s="60" t="str">
        <f aca="false">IF(IsPro,IF($D953="","",IFERROR(MATCH($D953,Items!$A$5:$A$504,0),"")),"")</f>
        <v/>
      </c>
      <c r="V953" s="60" t="str">
        <f aca="false">IF(IsPro,IF($C953="","",IFERROR(MATCH($C953,Parties!$A$5:$A$304,0),"")),"")</f>
        <v/>
      </c>
      <c r="W953" s="60" t="str">
        <f aca="false">IF(IsPro,IF($B953="","",IFERROR(VALUE(SUBSTITUTE($B953,InvPrefix,"")),0)),"")</f>
        <v/>
      </c>
      <c r="X953" s="61" t="str">
        <f aca="false">IF(IsPro,IF($D953="","",IF(OR($H953="",$H953="Credit"),0,Q953)),"")</f>
        <v/>
      </c>
    </row>
    <row r="954" customFormat="false" ht="15" hidden="false" customHeight="false" outlineLevel="0" collapsed="false">
      <c r="A954" s="55"/>
      <c r="B954" s="56"/>
      <c r="C954" s="56"/>
      <c r="D954" s="56"/>
      <c r="E954" s="57"/>
      <c r="F954" s="58"/>
      <c r="G954" s="59"/>
      <c r="H954" s="56"/>
      <c r="I954" s="56"/>
      <c r="J954" s="60" t="str">
        <f aca="false">IF(IsPro,IF($D954="","",IFERROR(INDEX(Items!$D$5:$D$504,U954),"")),"")</f>
        <v/>
      </c>
      <c r="K954" s="61" t="str">
        <f aca="false">IF(IsPro,IF($D954="","",IF($F954="",IFERROR(INDEX(Items!$H$5:$H$504,U954),0),$F954)),"")</f>
        <v/>
      </c>
      <c r="L954" s="61" t="str">
        <f aca="false">IF(IsPro,IF($D954="","",ROUND(N($E954)*K954*(1-N($G954)),2)),"")</f>
        <v/>
      </c>
      <c r="M954" s="62" t="str">
        <f aca="false">IF(IsPro,IF($D954="","",IFERROR(INDEX(Items!$F$5:$F$504,U954),0)),"")</f>
        <v/>
      </c>
      <c r="N954" s="61" t="str">
        <f aca="false">IF(IsPro,IF($D954="","",IF(AND(V954&lt;&gt;"",INDEX(Parties!$E$5:$E$304,V954)&lt;&gt;"",INDEX(Parties!$E$5:$E$304,V954)&lt;&gt;HomeState),0,ROUND(L954*M954/2,2))),"")</f>
        <v/>
      </c>
      <c r="O954" s="61" t="str">
        <f aca="false">IF(IsPro,IF($D954="","",N954),"")</f>
        <v/>
      </c>
      <c r="P954" s="61" t="str">
        <f aca="false">IF(IsPro,IF($D954="","",IF(AND(V954&lt;&gt;"",INDEX(Parties!$E$5:$E$304,V954)&lt;&gt;"",INDEX(Parties!$E$5:$E$304,V954)&lt;&gt;HomeState),ROUND(L954*M954,2),0)),"")</f>
        <v/>
      </c>
      <c r="Q954" s="61" t="str">
        <f aca="false">IF(IsPro,IF($D954="","",L954+N954+O954+P954),"")</f>
        <v/>
      </c>
      <c r="R954" s="61" t="str">
        <f aca="false">IF(IsPro,IF($D954="","",ROUND(N($E954)*IFERROR(INDEX(Items!$P$5:$P$504,U954),0),2)),"")</f>
        <v/>
      </c>
      <c r="S954" s="61" t="str">
        <f aca="false">IF(IsPro,IF($D954="","",L954-R954),"")</f>
        <v/>
      </c>
      <c r="T954" s="60" t="str">
        <f aca="false">IF(IsPro,IF($D954="","",IF(U954="","UNKNOWN ITEM",IF(INDEX(Items!$O$5:$O$504,U954)&lt;0,"NEG STOCK",IF(K954&lt;INDEX(Items!$P$5:$P$504,U954),"BELOW COST","OK")))),IF($D954="","","PRO PLAN"))</f>
        <v/>
      </c>
      <c r="U954" s="60" t="str">
        <f aca="false">IF(IsPro,IF($D954="","",IFERROR(MATCH($D954,Items!$A$5:$A$504,0),"")),"")</f>
        <v/>
      </c>
      <c r="V954" s="60" t="str">
        <f aca="false">IF(IsPro,IF($C954="","",IFERROR(MATCH($C954,Parties!$A$5:$A$304,0),"")),"")</f>
        <v/>
      </c>
      <c r="W954" s="60" t="str">
        <f aca="false">IF(IsPro,IF($B954="","",IFERROR(VALUE(SUBSTITUTE($B954,InvPrefix,"")),0)),"")</f>
        <v/>
      </c>
      <c r="X954" s="61" t="str">
        <f aca="false">IF(IsPro,IF($D954="","",IF(OR($H954="",$H954="Credit"),0,Q954)),"")</f>
        <v/>
      </c>
    </row>
    <row r="955" customFormat="false" ht="15" hidden="false" customHeight="false" outlineLevel="0" collapsed="false">
      <c r="A955" s="55"/>
      <c r="B955" s="56"/>
      <c r="C955" s="56"/>
      <c r="D955" s="56"/>
      <c r="E955" s="57"/>
      <c r="F955" s="58"/>
      <c r="G955" s="59"/>
      <c r="H955" s="56"/>
      <c r="I955" s="56"/>
      <c r="J955" s="60" t="str">
        <f aca="false">IF(IsPro,IF($D955="","",IFERROR(INDEX(Items!$D$5:$D$504,U955),"")),"")</f>
        <v/>
      </c>
      <c r="K955" s="61" t="str">
        <f aca="false">IF(IsPro,IF($D955="","",IF($F955="",IFERROR(INDEX(Items!$H$5:$H$504,U955),0),$F955)),"")</f>
        <v/>
      </c>
      <c r="L955" s="61" t="str">
        <f aca="false">IF(IsPro,IF($D955="","",ROUND(N($E955)*K955*(1-N($G955)),2)),"")</f>
        <v/>
      </c>
      <c r="M955" s="62" t="str">
        <f aca="false">IF(IsPro,IF($D955="","",IFERROR(INDEX(Items!$F$5:$F$504,U955),0)),"")</f>
        <v/>
      </c>
      <c r="N955" s="61" t="str">
        <f aca="false">IF(IsPro,IF($D955="","",IF(AND(V955&lt;&gt;"",INDEX(Parties!$E$5:$E$304,V955)&lt;&gt;"",INDEX(Parties!$E$5:$E$304,V955)&lt;&gt;HomeState),0,ROUND(L955*M955/2,2))),"")</f>
        <v/>
      </c>
      <c r="O955" s="61" t="str">
        <f aca="false">IF(IsPro,IF($D955="","",N955),"")</f>
        <v/>
      </c>
      <c r="P955" s="61" t="str">
        <f aca="false">IF(IsPro,IF($D955="","",IF(AND(V955&lt;&gt;"",INDEX(Parties!$E$5:$E$304,V955)&lt;&gt;"",INDEX(Parties!$E$5:$E$304,V955)&lt;&gt;HomeState),ROUND(L955*M955,2),0)),"")</f>
        <v/>
      </c>
      <c r="Q955" s="61" t="str">
        <f aca="false">IF(IsPro,IF($D955="","",L955+N955+O955+P955),"")</f>
        <v/>
      </c>
      <c r="R955" s="61" t="str">
        <f aca="false">IF(IsPro,IF($D955="","",ROUND(N($E955)*IFERROR(INDEX(Items!$P$5:$P$504,U955),0),2)),"")</f>
        <v/>
      </c>
      <c r="S955" s="61" t="str">
        <f aca="false">IF(IsPro,IF($D955="","",L955-R955),"")</f>
        <v/>
      </c>
      <c r="T955" s="60" t="str">
        <f aca="false">IF(IsPro,IF($D955="","",IF(U955="","UNKNOWN ITEM",IF(INDEX(Items!$O$5:$O$504,U955)&lt;0,"NEG STOCK",IF(K955&lt;INDEX(Items!$P$5:$P$504,U955),"BELOW COST","OK")))),IF($D955="","","PRO PLAN"))</f>
        <v/>
      </c>
      <c r="U955" s="60" t="str">
        <f aca="false">IF(IsPro,IF($D955="","",IFERROR(MATCH($D955,Items!$A$5:$A$504,0),"")),"")</f>
        <v/>
      </c>
      <c r="V955" s="60" t="str">
        <f aca="false">IF(IsPro,IF($C955="","",IFERROR(MATCH($C955,Parties!$A$5:$A$304,0),"")),"")</f>
        <v/>
      </c>
      <c r="W955" s="60" t="str">
        <f aca="false">IF(IsPro,IF($B955="","",IFERROR(VALUE(SUBSTITUTE($B955,InvPrefix,"")),0)),"")</f>
        <v/>
      </c>
      <c r="X955" s="61" t="str">
        <f aca="false">IF(IsPro,IF($D955="","",IF(OR($H955="",$H955="Credit"),0,Q955)),"")</f>
        <v/>
      </c>
    </row>
    <row r="956" customFormat="false" ht="15" hidden="false" customHeight="false" outlineLevel="0" collapsed="false">
      <c r="A956" s="55"/>
      <c r="B956" s="56"/>
      <c r="C956" s="56"/>
      <c r="D956" s="56"/>
      <c r="E956" s="57"/>
      <c r="F956" s="58"/>
      <c r="G956" s="59"/>
      <c r="H956" s="56"/>
      <c r="I956" s="56"/>
      <c r="J956" s="60" t="str">
        <f aca="false">IF(IsPro,IF($D956="","",IFERROR(INDEX(Items!$D$5:$D$504,U956),"")),"")</f>
        <v/>
      </c>
      <c r="K956" s="61" t="str">
        <f aca="false">IF(IsPro,IF($D956="","",IF($F956="",IFERROR(INDEX(Items!$H$5:$H$504,U956),0),$F956)),"")</f>
        <v/>
      </c>
      <c r="L956" s="61" t="str">
        <f aca="false">IF(IsPro,IF($D956="","",ROUND(N($E956)*K956*(1-N($G956)),2)),"")</f>
        <v/>
      </c>
      <c r="M956" s="62" t="str">
        <f aca="false">IF(IsPro,IF($D956="","",IFERROR(INDEX(Items!$F$5:$F$504,U956),0)),"")</f>
        <v/>
      </c>
      <c r="N956" s="61" t="str">
        <f aca="false">IF(IsPro,IF($D956="","",IF(AND(V956&lt;&gt;"",INDEX(Parties!$E$5:$E$304,V956)&lt;&gt;"",INDEX(Parties!$E$5:$E$304,V956)&lt;&gt;HomeState),0,ROUND(L956*M956/2,2))),"")</f>
        <v/>
      </c>
      <c r="O956" s="61" t="str">
        <f aca="false">IF(IsPro,IF($D956="","",N956),"")</f>
        <v/>
      </c>
      <c r="P956" s="61" t="str">
        <f aca="false">IF(IsPro,IF($D956="","",IF(AND(V956&lt;&gt;"",INDEX(Parties!$E$5:$E$304,V956)&lt;&gt;"",INDEX(Parties!$E$5:$E$304,V956)&lt;&gt;HomeState),ROUND(L956*M956,2),0)),"")</f>
        <v/>
      </c>
      <c r="Q956" s="61" t="str">
        <f aca="false">IF(IsPro,IF($D956="","",L956+N956+O956+P956),"")</f>
        <v/>
      </c>
      <c r="R956" s="61" t="str">
        <f aca="false">IF(IsPro,IF($D956="","",ROUND(N($E956)*IFERROR(INDEX(Items!$P$5:$P$504,U956),0),2)),"")</f>
        <v/>
      </c>
      <c r="S956" s="61" t="str">
        <f aca="false">IF(IsPro,IF($D956="","",L956-R956),"")</f>
        <v/>
      </c>
      <c r="T956" s="60" t="str">
        <f aca="false">IF(IsPro,IF($D956="","",IF(U956="","UNKNOWN ITEM",IF(INDEX(Items!$O$5:$O$504,U956)&lt;0,"NEG STOCK",IF(K956&lt;INDEX(Items!$P$5:$P$504,U956),"BELOW COST","OK")))),IF($D956="","","PRO PLAN"))</f>
        <v/>
      </c>
      <c r="U956" s="60" t="str">
        <f aca="false">IF(IsPro,IF($D956="","",IFERROR(MATCH($D956,Items!$A$5:$A$504,0),"")),"")</f>
        <v/>
      </c>
      <c r="V956" s="60" t="str">
        <f aca="false">IF(IsPro,IF($C956="","",IFERROR(MATCH($C956,Parties!$A$5:$A$304,0),"")),"")</f>
        <v/>
      </c>
      <c r="W956" s="60" t="str">
        <f aca="false">IF(IsPro,IF($B956="","",IFERROR(VALUE(SUBSTITUTE($B956,InvPrefix,"")),0)),"")</f>
        <v/>
      </c>
      <c r="X956" s="61" t="str">
        <f aca="false">IF(IsPro,IF($D956="","",IF(OR($H956="",$H956="Credit"),0,Q956)),"")</f>
        <v/>
      </c>
    </row>
    <row r="957" customFormat="false" ht="15" hidden="false" customHeight="false" outlineLevel="0" collapsed="false">
      <c r="A957" s="55"/>
      <c r="B957" s="56"/>
      <c r="C957" s="56"/>
      <c r="D957" s="56"/>
      <c r="E957" s="57"/>
      <c r="F957" s="58"/>
      <c r="G957" s="59"/>
      <c r="H957" s="56"/>
      <c r="I957" s="56"/>
      <c r="J957" s="60" t="str">
        <f aca="false">IF(IsPro,IF($D957="","",IFERROR(INDEX(Items!$D$5:$D$504,U957),"")),"")</f>
        <v/>
      </c>
      <c r="K957" s="61" t="str">
        <f aca="false">IF(IsPro,IF($D957="","",IF($F957="",IFERROR(INDEX(Items!$H$5:$H$504,U957),0),$F957)),"")</f>
        <v/>
      </c>
      <c r="L957" s="61" t="str">
        <f aca="false">IF(IsPro,IF($D957="","",ROUND(N($E957)*K957*(1-N($G957)),2)),"")</f>
        <v/>
      </c>
      <c r="M957" s="62" t="str">
        <f aca="false">IF(IsPro,IF($D957="","",IFERROR(INDEX(Items!$F$5:$F$504,U957),0)),"")</f>
        <v/>
      </c>
      <c r="N957" s="61" t="str">
        <f aca="false">IF(IsPro,IF($D957="","",IF(AND(V957&lt;&gt;"",INDEX(Parties!$E$5:$E$304,V957)&lt;&gt;"",INDEX(Parties!$E$5:$E$304,V957)&lt;&gt;HomeState),0,ROUND(L957*M957/2,2))),"")</f>
        <v/>
      </c>
      <c r="O957" s="61" t="str">
        <f aca="false">IF(IsPro,IF($D957="","",N957),"")</f>
        <v/>
      </c>
      <c r="P957" s="61" t="str">
        <f aca="false">IF(IsPro,IF($D957="","",IF(AND(V957&lt;&gt;"",INDEX(Parties!$E$5:$E$304,V957)&lt;&gt;"",INDEX(Parties!$E$5:$E$304,V957)&lt;&gt;HomeState),ROUND(L957*M957,2),0)),"")</f>
        <v/>
      </c>
      <c r="Q957" s="61" t="str">
        <f aca="false">IF(IsPro,IF($D957="","",L957+N957+O957+P957),"")</f>
        <v/>
      </c>
      <c r="R957" s="61" t="str">
        <f aca="false">IF(IsPro,IF($D957="","",ROUND(N($E957)*IFERROR(INDEX(Items!$P$5:$P$504,U957),0),2)),"")</f>
        <v/>
      </c>
      <c r="S957" s="61" t="str">
        <f aca="false">IF(IsPro,IF($D957="","",L957-R957),"")</f>
        <v/>
      </c>
      <c r="T957" s="60" t="str">
        <f aca="false">IF(IsPro,IF($D957="","",IF(U957="","UNKNOWN ITEM",IF(INDEX(Items!$O$5:$O$504,U957)&lt;0,"NEG STOCK",IF(K957&lt;INDEX(Items!$P$5:$P$504,U957),"BELOW COST","OK")))),IF($D957="","","PRO PLAN"))</f>
        <v/>
      </c>
      <c r="U957" s="60" t="str">
        <f aca="false">IF(IsPro,IF($D957="","",IFERROR(MATCH($D957,Items!$A$5:$A$504,0),"")),"")</f>
        <v/>
      </c>
      <c r="V957" s="60" t="str">
        <f aca="false">IF(IsPro,IF($C957="","",IFERROR(MATCH($C957,Parties!$A$5:$A$304,0),"")),"")</f>
        <v/>
      </c>
      <c r="W957" s="60" t="str">
        <f aca="false">IF(IsPro,IF($B957="","",IFERROR(VALUE(SUBSTITUTE($B957,InvPrefix,"")),0)),"")</f>
        <v/>
      </c>
      <c r="X957" s="61" t="str">
        <f aca="false">IF(IsPro,IF($D957="","",IF(OR($H957="",$H957="Credit"),0,Q957)),"")</f>
        <v/>
      </c>
    </row>
    <row r="958" customFormat="false" ht="15" hidden="false" customHeight="false" outlineLevel="0" collapsed="false">
      <c r="A958" s="55"/>
      <c r="B958" s="56"/>
      <c r="C958" s="56"/>
      <c r="D958" s="56"/>
      <c r="E958" s="57"/>
      <c r="F958" s="58"/>
      <c r="G958" s="59"/>
      <c r="H958" s="56"/>
      <c r="I958" s="56"/>
      <c r="J958" s="60" t="str">
        <f aca="false">IF(IsPro,IF($D958="","",IFERROR(INDEX(Items!$D$5:$D$504,U958),"")),"")</f>
        <v/>
      </c>
      <c r="K958" s="61" t="str">
        <f aca="false">IF(IsPro,IF($D958="","",IF($F958="",IFERROR(INDEX(Items!$H$5:$H$504,U958),0),$F958)),"")</f>
        <v/>
      </c>
      <c r="L958" s="61" t="str">
        <f aca="false">IF(IsPro,IF($D958="","",ROUND(N($E958)*K958*(1-N($G958)),2)),"")</f>
        <v/>
      </c>
      <c r="M958" s="62" t="str">
        <f aca="false">IF(IsPro,IF($D958="","",IFERROR(INDEX(Items!$F$5:$F$504,U958),0)),"")</f>
        <v/>
      </c>
      <c r="N958" s="61" t="str">
        <f aca="false">IF(IsPro,IF($D958="","",IF(AND(V958&lt;&gt;"",INDEX(Parties!$E$5:$E$304,V958)&lt;&gt;"",INDEX(Parties!$E$5:$E$304,V958)&lt;&gt;HomeState),0,ROUND(L958*M958/2,2))),"")</f>
        <v/>
      </c>
      <c r="O958" s="61" t="str">
        <f aca="false">IF(IsPro,IF($D958="","",N958),"")</f>
        <v/>
      </c>
      <c r="P958" s="61" t="str">
        <f aca="false">IF(IsPro,IF($D958="","",IF(AND(V958&lt;&gt;"",INDEX(Parties!$E$5:$E$304,V958)&lt;&gt;"",INDEX(Parties!$E$5:$E$304,V958)&lt;&gt;HomeState),ROUND(L958*M958,2),0)),"")</f>
        <v/>
      </c>
      <c r="Q958" s="61" t="str">
        <f aca="false">IF(IsPro,IF($D958="","",L958+N958+O958+P958),"")</f>
        <v/>
      </c>
      <c r="R958" s="61" t="str">
        <f aca="false">IF(IsPro,IF($D958="","",ROUND(N($E958)*IFERROR(INDEX(Items!$P$5:$P$504,U958),0),2)),"")</f>
        <v/>
      </c>
      <c r="S958" s="61" t="str">
        <f aca="false">IF(IsPro,IF($D958="","",L958-R958),"")</f>
        <v/>
      </c>
      <c r="T958" s="60" t="str">
        <f aca="false">IF(IsPro,IF($D958="","",IF(U958="","UNKNOWN ITEM",IF(INDEX(Items!$O$5:$O$504,U958)&lt;0,"NEG STOCK",IF(K958&lt;INDEX(Items!$P$5:$P$504,U958),"BELOW COST","OK")))),IF($D958="","","PRO PLAN"))</f>
        <v/>
      </c>
      <c r="U958" s="60" t="str">
        <f aca="false">IF(IsPro,IF($D958="","",IFERROR(MATCH($D958,Items!$A$5:$A$504,0),"")),"")</f>
        <v/>
      </c>
      <c r="V958" s="60" t="str">
        <f aca="false">IF(IsPro,IF($C958="","",IFERROR(MATCH($C958,Parties!$A$5:$A$304,0),"")),"")</f>
        <v/>
      </c>
      <c r="W958" s="60" t="str">
        <f aca="false">IF(IsPro,IF($B958="","",IFERROR(VALUE(SUBSTITUTE($B958,InvPrefix,"")),0)),"")</f>
        <v/>
      </c>
      <c r="X958" s="61" t="str">
        <f aca="false">IF(IsPro,IF($D958="","",IF(OR($H958="",$H958="Credit"),0,Q958)),"")</f>
        <v/>
      </c>
    </row>
    <row r="959" customFormat="false" ht="15" hidden="false" customHeight="false" outlineLevel="0" collapsed="false">
      <c r="A959" s="55"/>
      <c r="B959" s="56"/>
      <c r="C959" s="56"/>
      <c r="D959" s="56"/>
      <c r="E959" s="57"/>
      <c r="F959" s="58"/>
      <c r="G959" s="59"/>
      <c r="H959" s="56"/>
      <c r="I959" s="56"/>
      <c r="J959" s="60" t="str">
        <f aca="false">IF(IsPro,IF($D959="","",IFERROR(INDEX(Items!$D$5:$D$504,U959),"")),"")</f>
        <v/>
      </c>
      <c r="K959" s="61" t="str">
        <f aca="false">IF(IsPro,IF($D959="","",IF($F959="",IFERROR(INDEX(Items!$H$5:$H$504,U959),0),$F959)),"")</f>
        <v/>
      </c>
      <c r="L959" s="61" t="str">
        <f aca="false">IF(IsPro,IF($D959="","",ROUND(N($E959)*K959*(1-N($G959)),2)),"")</f>
        <v/>
      </c>
      <c r="M959" s="62" t="str">
        <f aca="false">IF(IsPro,IF($D959="","",IFERROR(INDEX(Items!$F$5:$F$504,U959),0)),"")</f>
        <v/>
      </c>
      <c r="N959" s="61" t="str">
        <f aca="false">IF(IsPro,IF($D959="","",IF(AND(V959&lt;&gt;"",INDEX(Parties!$E$5:$E$304,V959)&lt;&gt;"",INDEX(Parties!$E$5:$E$304,V959)&lt;&gt;HomeState),0,ROUND(L959*M959/2,2))),"")</f>
        <v/>
      </c>
      <c r="O959" s="61" t="str">
        <f aca="false">IF(IsPro,IF($D959="","",N959),"")</f>
        <v/>
      </c>
      <c r="P959" s="61" t="str">
        <f aca="false">IF(IsPro,IF($D959="","",IF(AND(V959&lt;&gt;"",INDEX(Parties!$E$5:$E$304,V959)&lt;&gt;"",INDEX(Parties!$E$5:$E$304,V959)&lt;&gt;HomeState),ROUND(L959*M959,2),0)),"")</f>
        <v/>
      </c>
      <c r="Q959" s="61" t="str">
        <f aca="false">IF(IsPro,IF($D959="","",L959+N959+O959+P959),"")</f>
        <v/>
      </c>
      <c r="R959" s="61" t="str">
        <f aca="false">IF(IsPro,IF($D959="","",ROUND(N($E959)*IFERROR(INDEX(Items!$P$5:$P$504,U959),0),2)),"")</f>
        <v/>
      </c>
      <c r="S959" s="61" t="str">
        <f aca="false">IF(IsPro,IF($D959="","",L959-R959),"")</f>
        <v/>
      </c>
      <c r="T959" s="60" t="str">
        <f aca="false">IF(IsPro,IF($D959="","",IF(U959="","UNKNOWN ITEM",IF(INDEX(Items!$O$5:$O$504,U959)&lt;0,"NEG STOCK",IF(K959&lt;INDEX(Items!$P$5:$P$504,U959),"BELOW COST","OK")))),IF($D959="","","PRO PLAN"))</f>
        <v/>
      </c>
      <c r="U959" s="60" t="str">
        <f aca="false">IF(IsPro,IF($D959="","",IFERROR(MATCH($D959,Items!$A$5:$A$504,0),"")),"")</f>
        <v/>
      </c>
      <c r="V959" s="60" t="str">
        <f aca="false">IF(IsPro,IF($C959="","",IFERROR(MATCH($C959,Parties!$A$5:$A$304,0),"")),"")</f>
        <v/>
      </c>
      <c r="W959" s="60" t="str">
        <f aca="false">IF(IsPro,IF($B959="","",IFERROR(VALUE(SUBSTITUTE($B959,InvPrefix,"")),0)),"")</f>
        <v/>
      </c>
      <c r="X959" s="61" t="str">
        <f aca="false">IF(IsPro,IF($D959="","",IF(OR($H959="",$H959="Credit"),0,Q959)),"")</f>
        <v/>
      </c>
    </row>
    <row r="960" customFormat="false" ht="15" hidden="false" customHeight="false" outlineLevel="0" collapsed="false">
      <c r="A960" s="55"/>
      <c r="B960" s="56"/>
      <c r="C960" s="56"/>
      <c r="D960" s="56"/>
      <c r="E960" s="57"/>
      <c r="F960" s="58"/>
      <c r="G960" s="59"/>
      <c r="H960" s="56"/>
      <c r="I960" s="56"/>
      <c r="J960" s="60" t="str">
        <f aca="false">IF(IsPro,IF($D960="","",IFERROR(INDEX(Items!$D$5:$D$504,U960),"")),"")</f>
        <v/>
      </c>
      <c r="K960" s="61" t="str">
        <f aca="false">IF(IsPro,IF($D960="","",IF($F960="",IFERROR(INDEX(Items!$H$5:$H$504,U960),0),$F960)),"")</f>
        <v/>
      </c>
      <c r="L960" s="61" t="str">
        <f aca="false">IF(IsPro,IF($D960="","",ROUND(N($E960)*K960*(1-N($G960)),2)),"")</f>
        <v/>
      </c>
      <c r="M960" s="62" t="str">
        <f aca="false">IF(IsPro,IF($D960="","",IFERROR(INDEX(Items!$F$5:$F$504,U960),0)),"")</f>
        <v/>
      </c>
      <c r="N960" s="61" t="str">
        <f aca="false">IF(IsPro,IF($D960="","",IF(AND(V960&lt;&gt;"",INDEX(Parties!$E$5:$E$304,V960)&lt;&gt;"",INDEX(Parties!$E$5:$E$304,V960)&lt;&gt;HomeState),0,ROUND(L960*M960/2,2))),"")</f>
        <v/>
      </c>
      <c r="O960" s="61" t="str">
        <f aca="false">IF(IsPro,IF($D960="","",N960),"")</f>
        <v/>
      </c>
      <c r="P960" s="61" t="str">
        <f aca="false">IF(IsPro,IF($D960="","",IF(AND(V960&lt;&gt;"",INDEX(Parties!$E$5:$E$304,V960)&lt;&gt;"",INDEX(Parties!$E$5:$E$304,V960)&lt;&gt;HomeState),ROUND(L960*M960,2),0)),"")</f>
        <v/>
      </c>
      <c r="Q960" s="61" t="str">
        <f aca="false">IF(IsPro,IF($D960="","",L960+N960+O960+P960),"")</f>
        <v/>
      </c>
      <c r="R960" s="61" t="str">
        <f aca="false">IF(IsPro,IF($D960="","",ROUND(N($E960)*IFERROR(INDEX(Items!$P$5:$P$504,U960),0),2)),"")</f>
        <v/>
      </c>
      <c r="S960" s="61" t="str">
        <f aca="false">IF(IsPro,IF($D960="","",L960-R960),"")</f>
        <v/>
      </c>
      <c r="T960" s="60" t="str">
        <f aca="false">IF(IsPro,IF($D960="","",IF(U960="","UNKNOWN ITEM",IF(INDEX(Items!$O$5:$O$504,U960)&lt;0,"NEG STOCK",IF(K960&lt;INDEX(Items!$P$5:$P$504,U960),"BELOW COST","OK")))),IF($D960="","","PRO PLAN"))</f>
        <v/>
      </c>
      <c r="U960" s="60" t="str">
        <f aca="false">IF(IsPro,IF($D960="","",IFERROR(MATCH($D960,Items!$A$5:$A$504,0),"")),"")</f>
        <v/>
      </c>
      <c r="V960" s="60" t="str">
        <f aca="false">IF(IsPro,IF($C960="","",IFERROR(MATCH($C960,Parties!$A$5:$A$304,0),"")),"")</f>
        <v/>
      </c>
      <c r="W960" s="60" t="str">
        <f aca="false">IF(IsPro,IF($B960="","",IFERROR(VALUE(SUBSTITUTE($B960,InvPrefix,"")),0)),"")</f>
        <v/>
      </c>
      <c r="X960" s="61" t="str">
        <f aca="false">IF(IsPro,IF($D960="","",IF(OR($H960="",$H960="Credit"),0,Q960)),"")</f>
        <v/>
      </c>
    </row>
    <row r="961" customFormat="false" ht="15" hidden="false" customHeight="false" outlineLevel="0" collapsed="false">
      <c r="A961" s="55"/>
      <c r="B961" s="56"/>
      <c r="C961" s="56"/>
      <c r="D961" s="56"/>
      <c r="E961" s="57"/>
      <c r="F961" s="58"/>
      <c r="G961" s="59"/>
      <c r="H961" s="56"/>
      <c r="I961" s="56"/>
      <c r="J961" s="60" t="str">
        <f aca="false">IF(IsPro,IF($D961="","",IFERROR(INDEX(Items!$D$5:$D$504,U961),"")),"")</f>
        <v/>
      </c>
      <c r="K961" s="61" t="str">
        <f aca="false">IF(IsPro,IF($D961="","",IF($F961="",IFERROR(INDEX(Items!$H$5:$H$504,U961),0),$F961)),"")</f>
        <v/>
      </c>
      <c r="L961" s="61" t="str">
        <f aca="false">IF(IsPro,IF($D961="","",ROUND(N($E961)*K961*(1-N($G961)),2)),"")</f>
        <v/>
      </c>
      <c r="M961" s="62" t="str">
        <f aca="false">IF(IsPro,IF($D961="","",IFERROR(INDEX(Items!$F$5:$F$504,U961),0)),"")</f>
        <v/>
      </c>
      <c r="N961" s="61" t="str">
        <f aca="false">IF(IsPro,IF($D961="","",IF(AND(V961&lt;&gt;"",INDEX(Parties!$E$5:$E$304,V961)&lt;&gt;"",INDEX(Parties!$E$5:$E$304,V961)&lt;&gt;HomeState),0,ROUND(L961*M961/2,2))),"")</f>
        <v/>
      </c>
      <c r="O961" s="61" t="str">
        <f aca="false">IF(IsPro,IF($D961="","",N961),"")</f>
        <v/>
      </c>
      <c r="P961" s="61" t="str">
        <f aca="false">IF(IsPro,IF($D961="","",IF(AND(V961&lt;&gt;"",INDEX(Parties!$E$5:$E$304,V961)&lt;&gt;"",INDEX(Parties!$E$5:$E$304,V961)&lt;&gt;HomeState),ROUND(L961*M961,2),0)),"")</f>
        <v/>
      </c>
      <c r="Q961" s="61" t="str">
        <f aca="false">IF(IsPro,IF($D961="","",L961+N961+O961+P961),"")</f>
        <v/>
      </c>
      <c r="R961" s="61" t="str">
        <f aca="false">IF(IsPro,IF($D961="","",ROUND(N($E961)*IFERROR(INDEX(Items!$P$5:$P$504,U961),0),2)),"")</f>
        <v/>
      </c>
      <c r="S961" s="61" t="str">
        <f aca="false">IF(IsPro,IF($D961="","",L961-R961),"")</f>
        <v/>
      </c>
      <c r="T961" s="60" t="str">
        <f aca="false">IF(IsPro,IF($D961="","",IF(U961="","UNKNOWN ITEM",IF(INDEX(Items!$O$5:$O$504,U961)&lt;0,"NEG STOCK",IF(K961&lt;INDEX(Items!$P$5:$P$504,U961),"BELOW COST","OK")))),IF($D961="","","PRO PLAN"))</f>
        <v/>
      </c>
      <c r="U961" s="60" t="str">
        <f aca="false">IF(IsPro,IF($D961="","",IFERROR(MATCH($D961,Items!$A$5:$A$504,0),"")),"")</f>
        <v/>
      </c>
      <c r="V961" s="60" t="str">
        <f aca="false">IF(IsPro,IF($C961="","",IFERROR(MATCH($C961,Parties!$A$5:$A$304,0),"")),"")</f>
        <v/>
      </c>
      <c r="W961" s="60" t="str">
        <f aca="false">IF(IsPro,IF($B961="","",IFERROR(VALUE(SUBSTITUTE($B961,InvPrefix,"")),0)),"")</f>
        <v/>
      </c>
      <c r="X961" s="61" t="str">
        <f aca="false">IF(IsPro,IF($D961="","",IF(OR($H961="",$H961="Credit"),0,Q961)),"")</f>
        <v/>
      </c>
    </row>
    <row r="962" customFormat="false" ht="15" hidden="false" customHeight="false" outlineLevel="0" collapsed="false">
      <c r="A962" s="55"/>
      <c r="B962" s="56"/>
      <c r="C962" s="56"/>
      <c r="D962" s="56"/>
      <c r="E962" s="57"/>
      <c r="F962" s="58"/>
      <c r="G962" s="59"/>
      <c r="H962" s="56"/>
      <c r="I962" s="56"/>
      <c r="J962" s="60" t="str">
        <f aca="false">IF(IsPro,IF($D962="","",IFERROR(INDEX(Items!$D$5:$D$504,U962),"")),"")</f>
        <v/>
      </c>
      <c r="K962" s="61" t="str">
        <f aca="false">IF(IsPro,IF($D962="","",IF($F962="",IFERROR(INDEX(Items!$H$5:$H$504,U962),0),$F962)),"")</f>
        <v/>
      </c>
      <c r="L962" s="61" t="str">
        <f aca="false">IF(IsPro,IF($D962="","",ROUND(N($E962)*K962*(1-N($G962)),2)),"")</f>
        <v/>
      </c>
      <c r="M962" s="62" t="str">
        <f aca="false">IF(IsPro,IF($D962="","",IFERROR(INDEX(Items!$F$5:$F$504,U962),0)),"")</f>
        <v/>
      </c>
      <c r="N962" s="61" t="str">
        <f aca="false">IF(IsPro,IF($D962="","",IF(AND(V962&lt;&gt;"",INDEX(Parties!$E$5:$E$304,V962)&lt;&gt;"",INDEX(Parties!$E$5:$E$304,V962)&lt;&gt;HomeState),0,ROUND(L962*M962/2,2))),"")</f>
        <v/>
      </c>
      <c r="O962" s="61" t="str">
        <f aca="false">IF(IsPro,IF($D962="","",N962),"")</f>
        <v/>
      </c>
      <c r="P962" s="61" t="str">
        <f aca="false">IF(IsPro,IF($D962="","",IF(AND(V962&lt;&gt;"",INDEX(Parties!$E$5:$E$304,V962)&lt;&gt;"",INDEX(Parties!$E$5:$E$304,V962)&lt;&gt;HomeState),ROUND(L962*M962,2),0)),"")</f>
        <v/>
      </c>
      <c r="Q962" s="61" t="str">
        <f aca="false">IF(IsPro,IF($D962="","",L962+N962+O962+P962),"")</f>
        <v/>
      </c>
      <c r="R962" s="61" t="str">
        <f aca="false">IF(IsPro,IF($D962="","",ROUND(N($E962)*IFERROR(INDEX(Items!$P$5:$P$504,U962),0),2)),"")</f>
        <v/>
      </c>
      <c r="S962" s="61" t="str">
        <f aca="false">IF(IsPro,IF($D962="","",L962-R962),"")</f>
        <v/>
      </c>
      <c r="T962" s="60" t="str">
        <f aca="false">IF(IsPro,IF($D962="","",IF(U962="","UNKNOWN ITEM",IF(INDEX(Items!$O$5:$O$504,U962)&lt;0,"NEG STOCK",IF(K962&lt;INDEX(Items!$P$5:$P$504,U962),"BELOW COST","OK")))),IF($D962="","","PRO PLAN"))</f>
        <v/>
      </c>
      <c r="U962" s="60" t="str">
        <f aca="false">IF(IsPro,IF($D962="","",IFERROR(MATCH($D962,Items!$A$5:$A$504,0),"")),"")</f>
        <v/>
      </c>
      <c r="V962" s="60" t="str">
        <f aca="false">IF(IsPro,IF($C962="","",IFERROR(MATCH($C962,Parties!$A$5:$A$304,0),"")),"")</f>
        <v/>
      </c>
      <c r="W962" s="60" t="str">
        <f aca="false">IF(IsPro,IF($B962="","",IFERROR(VALUE(SUBSTITUTE($B962,InvPrefix,"")),0)),"")</f>
        <v/>
      </c>
      <c r="X962" s="61" t="str">
        <f aca="false">IF(IsPro,IF($D962="","",IF(OR($H962="",$H962="Credit"),0,Q962)),"")</f>
        <v/>
      </c>
    </row>
    <row r="963" customFormat="false" ht="15" hidden="false" customHeight="false" outlineLevel="0" collapsed="false">
      <c r="A963" s="55"/>
      <c r="B963" s="56"/>
      <c r="C963" s="56"/>
      <c r="D963" s="56"/>
      <c r="E963" s="57"/>
      <c r="F963" s="58"/>
      <c r="G963" s="59"/>
      <c r="H963" s="56"/>
      <c r="I963" s="56"/>
      <c r="J963" s="60" t="str">
        <f aca="false">IF(IsPro,IF($D963="","",IFERROR(INDEX(Items!$D$5:$D$504,U963),"")),"")</f>
        <v/>
      </c>
      <c r="K963" s="61" t="str">
        <f aca="false">IF(IsPro,IF($D963="","",IF($F963="",IFERROR(INDEX(Items!$H$5:$H$504,U963),0),$F963)),"")</f>
        <v/>
      </c>
      <c r="L963" s="61" t="str">
        <f aca="false">IF(IsPro,IF($D963="","",ROUND(N($E963)*K963*(1-N($G963)),2)),"")</f>
        <v/>
      </c>
      <c r="M963" s="62" t="str">
        <f aca="false">IF(IsPro,IF($D963="","",IFERROR(INDEX(Items!$F$5:$F$504,U963),0)),"")</f>
        <v/>
      </c>
      <c r="N963" s="61" t="str">
        <f aca="false">IF(IsPro,IF($D963="","",IF(AND(V963&lt;&gt;"",INDEX(Parties!$E$5:$E$304,V963)&lt;&gt;"",INDEX(Parties!$E$5:$E$304,V963)&lt;&gt;HomeState),0,ROUND(L963*M963/2,2))),"")</f>
        <v/>
      </c>
      <c r="O963" s="61" t="str">
        <f aca="false">IF(IsPro,IF($D963="","",N963),"")</f>
        <v/>
      </c>
      <c r="P963" s="61" t="str">
        <f aca="false">IF(IsPro,IF($D963="","",IF(AND(V963&lt;&gt;"",INDEX(Parties!$E$5:$E$304,V963)&lt;&gt;"",INDEX(Parties!$E$5:$E$304,V963)&lt;&gt;HomeState),ROUND(L963*M963,2),0)),"")</f>
        <v/>
      </c>
      <c r="Q963" s="61" t="str">
        <f aca="false">IF(IsPro,IF($D963="","",L963+N963+O963+P963),"")</f>
        <v/>
      </c>
      <c r="R963" s="61" t="str">
        <f aca="false">IF(IsPro,IF($D963="","",ROUND(N($E963)*IFERROR(INDEX(Items!$P$5:$P$504,U963),0),2)),"")</f>
        <v/>
      </c>
      <c r="S963" s="61" t="str">
        <f aca="false">IF(IsPro,IF($D963="","",L963-R963),"")</f>
        <v/>
      </c>
      <c r="T963" s="60" t="str">
        <f aca="false">IF(IsPro,IF($D963="","",IF(U963="","UNKNOWN ITEM",IF(INDEX(Items!$O$5:$O$504,U963)&lt;0,"NEG STOCK",IF(K963&lt;INDEX(Items!$P$5:$P$504,U963),"BELOW COST","OK")))),IF($D963="","","PRO PLAN"))</f>
        <v/>
      </c>
      <c r="U963" s="60" t="str">
        <f aca="false">IF(IsPro,IF($D963="","",IFERROR(MATCH($D963,Items!$A$5:$A$504,0),"")),"")</f>
        <v/>
      </c>
      <c r="V963" s="60" t="str">
        <f aca="false">IF(IsPro,IF($C963="","",IFERROR(MATCH($C963,Parties!$A$5:$A$304,0),"")),"")</f>
        <v/>
      </c>
      <c r="W963" s="60" t="str">
        <f aca="false">IF(IsPro,IF($B963="","",IFERROR(VALUE(SUBSTITUTE($B963,InvPrefix,"")),0)),"")</f>
        <v/>
      </c>
      <c r="X963" s="61" t="str">
        <f aca="false">IF(IsPro,IF($D963="","",IF(OR($H963="",$H963="Credit"),0,Q963)),"")</f>
        <v/>
      </c>
    </row>
    <row r="964" customFormat="false" ht="15" hidden="false" customHeight="false" outlineLevel="0" collapsed="false">
      <c r="A964" s="55"/>
      <c r="B964" s="56"/>
      <c r="C964" s="56"/>
      <c r="D964" s="56"/>
      <c r="E964" s="57"/>
      <c r="F964" s="58"/>
      <c r="G964" s="59"/>
      <c r="H964" s="56"/>
      <c r="I964" s="56"/>
      <c r="J964" s="60" t="str">
        <f aca="false">IF(IsPro,IF($D964="","",IFERROR(INDEX(Items!$D$5:$D$504,U964),"")),"")</f>
        <v/>
      </c>
      <c r="K964" s="61" t="str">
        <f aca="false">IF(IsPro,IF($D964="","",IF($F964="",IFERROR(INDEX(Items!$H$5:$H$504,U964),0),$F964)),"")</f>
        <v/>
      </c>
      <c r="L964" s="61" t="str">
        <f aca="false">IF(IsPro,IF($D964="","",ROUND(N($E964)*K964*(1-N($G964)),2)),"")</f>
        <v/>
      </c>
      <c r="M964" s="62" t="str">
        <f aca="false">IF(IsPro,IF($D964="","",IFERROR(INDEX(Items!$F$5:$F$504,U964),0)),"")</f>
        <v/>
      </c>
      <c r="N964" s="61" t="str">
        <f aca="false">IF(IsPro,IF($D964="","",IF(AND(V964&lt;&gt;"",INDEX(Parties!$E$5:$E$304,V964)&lt;&gt;"",INDEX(Parties!$E$5:$E$304,V964)&lt;&gt;HomeState),0,ROUND(L964*M964/2,2))),"")</f>
        <v/>
      </c>
      <c r="O964" s="61" t="str">
        <f aca="false">IF(IsPro,IF($D964="","",N964),"")</f>
        <v/>
      </c>
      <c r="P964" s="61" t="str">
        <f aca="false">IF(IsPro,IF($D964="","",IF(AND(V964&lt;&gt;"",INDEX(Parties!$E$5:$E$304,V964)&lt;&gt;"",INDEX(Parties!$E$5:$E$304,V964)&lt;&gt;HomeState),ROUND(L964*M964,2),0)),"")</f>
        <v/>
      </c>
      <c r="Q964" s="61" t="str">
        <f aca="false">IF(IsPro,IF($D964="","",L964+N964+O964+P964),"")</f>
        <v/>
      </c>
      <c r="R964" s="61" t="str">
        <f aca="false">IF(IsPro,IF($D964="","",ROUND(N($E964)*IFERROR(INDEX(Items!$P$5:$P$504,U964),0),2)),"")</f>
        <v/>
      </c>
      <c r="S964" s="61" t="str">
        <f aca="false">IF(IsPro,IF($D964="","",L964-R964),"")</f>
        <v/>
      </c>
      <c r="T964" s="60" t="str">
        <f aca="false">IF(IsPro,IF($D964="","",IF(U964="","UNKNOWN ITEM",IF(INDEX(Items!$O$5:$O$504,U964)&lt;0,"NEG STOCK",IF(K964&lt;INDEX(Items!$P$5:$P$504,U964),"BELOW COST","OK")))),IF($D964="","","PRO PLAN"))</f>
        <v/>
      </c>
      <c r="U964" s="60" t="str">
        <f aca="false">IF(IsPro,IF($D964="","",IFERROR(MATCH($D964,Items!$A$5:$A$504,0),"")),"")</f>
        <v/>
      </c>
      <c r="V964" s="60" t="str">
        <f aca="false">IF(IsPro,IF($C964="","",IFERROR(MATCH($C964,Parties!$A$5:$A$304,0),"")),"")</f>
        <v/>
      </c>
      <c r="W964" s="60" t="str">
        <f aca="false">IF(IsPro,IF($B964="","",IFERROR(VALUE(SUBSTITUTE($B964,InvPrefix,"")),0)),"")</f>
        <v/>
      </c>
      <c r="X964" s="61" t="str">
        <f aca="false">IF(IsPro,IF($D964="","",IF(OR($H964="",$H964="Credit"),0,Q964)),"")</f>
        <v/>
      </c>
    </row>
    <row r="965" customFormat="false" ht="15" hidden="false" customHeight="false" outlineLevel="0" collapsed="false">
      <c r="A965" s="55"/>
      <c r="B965" s="56"/>
      <c r="C965" s="56"/>
      <c r="D965" s="56"/>
      <c r="E965" s="57"/>
      <c r="F965" s="58"/>
      <c r="G965" s="59"/>
      <c r="H965" s="56"/>
      <c r="I965" s="56"/>
      <c r="J965" s="60" t="str">
        <f aca="false">IF(IsPro,IF($D965="","",IFERROR(INDEX(Items!$D$5:$D$504,U965),"")),"")</f>
        <v/>
      </c>
      <c r="K965" s="61" t="str">
        <f aca="false">IF(IsPro,IF($D965="","",IF($F965="",IFERROR(INDEX(Items!$H$5:$H$504,U965),0),$F965)),"")</f>
        <v/>
      </c>
      <c r="L965" s="61" t="str">
        <f aca="false">IF(IsPro,IF($D965="","",ROUND(N($E965)*K965*(1-N($G965)),2)),"")</f>
        <v/>
      </c>
      <c r="M965" s="62" t="str">
        <f aca="false">IF(IsPro,IF($D965="","",IFERROR(INDEX(Items!$F$5:$F$504,U965),0)),"")</f>
        <v/>
      </c>
      <c r="N965" s="61" t="str">
        <f aca="false">IF(IsPro,IF($D965="","",IF(AND(V965&lt;&gt;"",INDEX(Parties!$E$5:$E$304,V965)&lt;&gt;"",INDEX(Parties!$E$5:$E$304,V965)&lt;&gt;HomeState),0,ROUND(L965*M965/2,2))),"")</f>
        <v/>
      </c>
      <c r="O965" s="61" t="str">
        <f aca="false">IF(IsPro,IF($D965="","",N965),"")</f>
        <v/>
      </c>
      <c r="P965" s="61" t="str">
        <f aca="false">IF(IsPro,IF($D965="","",IF(AND(V965&lt;&gt;"",INDEX(Parties!$E$5:$E$304,V965)&lt;&gt;"",INDEX(Parties!$E$5:$E$304,V965)&lt;&gt;HomeState),ROUND(L965*M965,2),0)),"")</f>
        <v/>
      </c>
      <c r="Q965" s="61" t="str">
        <f aca="false">IF(IsPro,IF($D965="","",L965+N965+O965+P965),"")</f>
        <v/>
      </c>
      <c r="R965" s="61" t="str">
        <f aca="false">IF(IsPro,IF($D965="","",ROUND(N($E965)*IFERROR(INDEX(Items!$P$5:$P$504,U965),0),2)),"")</f>
        <v/>
      </c>
      <c r="S965" s="61" t="str">
        <f aca="false">IF(IsPro,IF($D965="","",L965-R965),"")</f>
        <v/>
      </c>
      <c r="T965" s="60" t="str">
        <f aca="false">IF(IsPro,IF($D965="","",IF(U965="","UNKNOWN ITEM",IF(INDEX(Items!$O$5:$O$504,U965)&lt;0,"NEG STOCK",IF(K965&lt;INDEX(Items!$P$5:$P$504,U965),"BELOW COST","OK")))),IF($D965="","","PRO PLAN"))</f>
        <v/>
      </c>
      <c r="U965" s="60" t="str">
        <f aca="false">IF(IsPro,IF($D965="","",IFERROR(MATCH($D965,Items!$A$5:$A$504,0),"")),"")</f>
        <v/>
      </c>
      <c r="V965" s="60" t="str">
        <f aca="false">IF(IsPro,IF($C965="","",IFERROR(MATCH($C965,Parties!$A$5:$A$304,0),"")),"")</f>
        <v/>
      </c>
      <c r="W965" s="60" t="str">
        <f aca="false">IF(IsPro,IF($B965="","",IFERROR(VALUE(SUBSTITUTE($B965,InvPrefix,"")),0)),"")</f>
        <v/>
      </c>
      <c r="X965" s="61" t="str">
        <f aca="false">IF(IsPro,IF($D965="","",IF(OR($H965="",$H965="Credit"),0,Q965)),"")</f>
        <v/>
      </c>
    </row>
    <row r="966" customFormat="false" ht="15" hidden="false" customHeight="false" outlineLevel="0" collapsed="false">
      <c r="A966" s="55"/>
      <c r="B966" s="56"/>
      <c r="C966" s="56"/>
      <c r="D966" s="56"/>
      <c r="E966" s="57"/>
      <c r="F966" s="58"/>
      <c r="G966" s="59"/>
      <c r="H966" s="56"/>
      <c r="I966" s="56"/>
      <c r="J966" s="60" t="str">
        <f aca="false">IF(IsPro,IF($D966="","",IFERROR(INDEX(Items!$D$5:$D$504,U966),"")),"")</f>
        <v/>
      </c>
      <c r="K966" s="61" t="str">
        <f aca="false">IF(IsPro,IF($D966="","",IF($F966="",IFERROR(INDEX(Items!$H$5:$H$504,U966),0),$F966)),"")</f>
        <v/>
      </c>
      <c r="L966" s="61" t="str">
        <f aca="false">IF(IsPro,IF($D966="","",ROUND(N($E966)*K966*(1-N($G966)),2)),"")</f>
        <v/>
      </c>
      <c r="M966" s="62" t="str">
        <f aca="false">IF(IsPro,IF($D966="","",IFERROR(INDEX(Items!$F$5:$F$504,U966),0)),"")</f>
        <v/>
      </c>
      <c r="N966" s="61" t="str">
        <f aca="false">IF(IsPro,IF($D966="","",IF(AND(V966&lt;&gt;"",INDEX(Parties!$E$5:$E$304,V966)&lt;&gt;"",INDEX(Parties!$E$5:$E$304,V966)&lt;&gt;HomeState),0,ROUND(L966*M966/2,2))),"")</f>
        <v/>
      </c>
      <c r="O966" s="61" t="str">
        <f aca="false">IF(IsPro,IF($D966="","",N966),"")</f>
        <v/>
      </c>
      <c r="P966" s="61" t="str">
        <f aca="false">IF(IsPro,IF($D966="","",IF(AND(V966&lt;&gt;"",INDEX(Parties!$E$5:$E$304,V966)&lt;&gt;"",INDEX(Parties!$E$5:$E$304,V966)&lt;&gt;HomeState),ROUND(L966*M966,2),0)),"")</f>
        <v/>
      </c>
      <c r="Q966" s="61" t="str">
        <f aca="false">IF(IsPro,IF($D966="","",L966+N966+O966+P966),"")</f>
        <v/>
      </c>
      <c r="R966" s="61" t="str">
        <f aca="false">IF(IsPro,IF($D966="","",ROUND(N($E966)*IFERROR(INDEX(Items!$P$5:$P$504,U966),0),2)),"")</f>
        <v/>
      </c>
      <c r="S966" s="61" t="str">
        <f aca="false">IF(IsPro,IF($D966="","",L966-R966),"")</f>
        <v/>
      </c>
      <c r="T966" s="60" t="str">
        <f aca="false">IF(IsPro,IF($D966="","",IF(U966="","UNKNOWN ITEM",IF(INDEX(Items!$O$5:$O$504,U966)&lt;0,"NEG STOCK",IF(K966&lt;INDEX(Items!$P$5:$P$504,U966),"BELOW COST","OK")))),IF($D966="","","PRO PLAN"))</f>
        <v/>
      </c>
      <c r="U966" s="60" t="str">
        <f aca="false">IF(IsPro,IF($D966="","",IFERROR(MATCH($D966,Items!$A$5:$A$504,0),"")),"")</f>
        <v/>
      </c>
      <c r="V966" s="60" t="str">
        <f aca="false">IF(IsPro,IF($C966="","",IFERROR(MATCH($C966,Parties!$A$5:$A$304,0),"")),"")</f>
        <v/>
      </c>
      <c r="W966" s="60" t="str">
        <f aca="false">IF(IsPro,IF($B966="","",IFERROR(VALUE(SUBSTITUTE($B966,InvPrefix,"")),0)),"")</f>
        <v/>
      </c>
      <c r="X966" s="61" t="str">
        <f aca="false">IF(IsPro,IF($D966="","",IF(OR($H966="",$H966="Credit"),0,Q966)),"")</f>
        <v/>
      </c>
    </row>
    <row r="967" customFormat="false" ht="15" hidden="false" customHeight="false" outlineLevel="0" collapsed="false">
      <c r="A967" s="55"/>
      <c r="B967" s="56"/>
      <c r="C967" s="56"/>
      <c r="D967" s="56"/>
      <c r="E967" s="57"/>
      <c r="F967" s="58"/>
      <c r="G967" s="59"/>
      <c r="H967" s="56"/>
      <c r="I967" s="56"/>
      <c r="J967" s="60" t="str">
        <f aca="false">IF(IsPro,IF($D967="","",IFERROR(INDEX(Items!$D$5:$D$504,U967),"")),"")</f>
        <v/>
      </c>
      <c r="K967" s="61" t="str">
        <f aca="false">IF(IsPro,IF($D967="","",IF($F967="",IFERROR(INDEX(Items!$H$5:$H$504,U967),0),$F967)),"")</f>
        <v/>
      </c>
      <c r="L967" s="61" t="str">
        <f aca="false">IF(IsPro,IF($D967="","",ROUND(N($E967)*K967*(1-N($G967)),2)),"")</f>
        <v/>
      </c>
      <c r="M967" s="62" t="str">
        <f aca="false">IF(IsPro,IF($D967="","",IFERROR(INDEX(Items!$F$5:$F$504,U967),0)),"")</f>
        <v/>
      </c>
      <c r="N967" s="61" t="str">
        <f aca="false">IF(IsPro,IF($D967="","",IF(AND(V967&lt;&gt;"",INDEX(Parties!$E$5:$E$304,V967)&lt;&gt;"",INDEX(Parties!$E$5:$E$304,V967)&lt;&gt;HomeState),0,ROUND(L967*M967/2,2))),"")</f>
        <v/>
      </c>
      <c r="O967" s="61" t="str">
        <f aca="false">IF(IsPro,IF($D967="","",N967),"")</f>
        <v/>
      </c>
      <c r="P967" s="61" t="str">
        <f aca="false">IF(IsPro,IF($D967="","",IF(AND(V967&lt;&gt;"",INDEX(Parties!$E$5:$E$304,V967)&lt;&gt;"",INDEX(Parties!$E$5:$E$304,V967)&lt;&gt;HomeState),ROUND(L967*M967,2),0)),"")</f>
        <v/>
      </c>
      <c r="Q967" s="61" t="str">
        <f aca="false">IF(IsPro,IF($D967="","",L967+N967+O967+P967),"")</f>
        <v/>
      </c>
      <c r="R967" s="61" t="str">
        <f aca="false">IF(IsPro,IF($D967="","",ROUND(N($E967)*IFERROR(INDEX(Items!$P$5:$P$504,U967),0),2)),"")</f>
        <v/>
      </c>
      <c r="S967" s="61" t="str">
        <f aca="false">IF(IsPro,IF($D967="","",L967-R967),"")</f>
        <v/>
      </c>
      <c r="T967" s="60" t="str">
        <f aca="false">IF(IsPro,IF($D967="","",IF(U967="","UNKNOWN ITEM",IF(INDEX(Items!$O$5:$O$504,U967)&lt;0,"NEG STOCK",IF(K967&lt;INDEX(Items!$P$5:$P$504,U967),"BELOW COST","OK")))),IF($D967="","","PRO PLAN"))</f>
        <v/>
      </c>
      <c r="U967" s="60" t="str">
        <f aca="false">IF(IsPro,IF($D967="","",IFERROR(MATCH($D967,Items!$A$5:$A$504,0),"")),"")</f>
        <v/>
      </c>
      <c r="V967" s="60" t="str">
        <f aca="false">IF(IsPro,IF($C967="","",IFERROR(MATCH($C967,Parties!$A$5:$A$304,0),"")),"")</f>
        <v/>
      </c>
      <c r="W967" s="60" t="str">
        <f aca="false">IF(IsPro,IF($B967="","",IFERROR(VALUE(SUBSTITUTE($B967,InvPrefix,"")),0)),"")</f>
        <v/>
      </c>
      <c r="X967" s="61" t="str">
        <f aca="false">IF(IsPro,IF($D967="","",IF(OR($H967="",$H967="Credit"),0,Q967)),"")</f>
        <v/>
      </c>
    </row>
    <row r="968" customFormat="false" ht="15" hidden="false" customHeight="false" outlineLevel="0" collapsed="false">
      <c r="A968" s="55"/>
      <c r="B968" s="56"/>
      <c r="C968" s="56"/>
      <c r="D968" s="56"/>
      <c r="E968" s="57"/>
      <c r="F968" s="58"/>
      <c r="G968" s="59"/>
      <c r="H968" s="56"/>
      <c r="I968" s="56"/>
      <c r="J968" s="60" t="str">
        <f aca="false">IF(IsPro,IF($D968="","",IFERROR(INDEX(Items!$D$5:$D$504,U968),"")),"")</f>
        <v/>
      </c>
      <c r="K968" s="61" t="str">
        <f aca="false">IF(IsPro,IF($D968="","",IF($F968="",IFERROR(INDEX(Items!$H$5:$H$504,U968),0),$F968)),"")</f>
        <v/>
      </c>
      <c r="L968" s="61" t="str">
        <f aca="false">IF(IsPro,IF($D968="","",ROUND(N($E968)*K968*(1-N($G968)),2)),"")</f>
        <v/>
      </c>
      <c r="M968" s="62" t="str">
        <f aca="false">IF(IsPro,IF($D968="","",IFERROR(INDEX(Items!$F$5:$F$504,U968),0)),"")</f>
        <v/>
      </c>
      <c r="N968" s="61" t="str">
        <f aca="false">IF(IsPro,IF($D968="","",IF(AND(V968&lt;&gt;"",INDEX(Parties!$E$5:$E$304,V968)&lt;&gt;"",INDEX(Parties!$E$5:$E$304,V968)&lt;&gt;HomeState),0,ROUND(L968*M968/2,2))),"")</f>
        <v/>
      </c>
      <c r="O968" s="61" t="str">
        <f aca="false">IF(IsPro,IF($D968="","",N968),"")</f>
        <v/>
      </c>
      <c r="P968" s="61" t="str">
        <f aca="false">IF(IsPro,IF($D968="","",IF(AND(V968&lt;&gt;"",INDEX(Parties!$E$5:$E$304,V968)&lt;&gt;"",INDEX(Parties!$E$5:$E$304,V968)&lt;&gt;HomeState),ROUND(L968*M968,2),0)),"")</f>
        <v/>
      </c>
      <c r="Q968" s="61" t="str">
        <f aca="false">IF(IsPro,IF($D968="","",L968+N968+O968+P968),"")</f>
        <v/>
      </c>
      <c r="R968" s="61" t="str">
        <f aca="false">IF(IsPro,IF($D968="","",ROUND(N($E968)*IFERROR(INDEX(Items!$P$5:$P$504,U968),0),2)),"")</f>
        <v/>
      </c>
      <c r="S968" s="61" t="str">
        <f aca="false">IF(IsPro,IF($D968="","",L968-R968),"")</f>
        <v/>
      </c>
      <c r="T968" s="60" t="str">
        <f aca="false">IF(IsPro,IF($D968="","",IF(U968="","UNKNOWN ITEM",IF(INDEX(Items!$O$5:$O$504,U968)&lt;0,"NEG STOCK",IF(K968&lt;INDEX(Items!$P$5:$P$504,U968),"BELOW COST","OK")))),IF($D968="","","PRO PLAN"))</f>
        <v/>
      </c>
      <c r="U968" s="60" t="str">
        <f aca="false">IF(IsPro,IF($D968="","",IFERROR(MATCH($D968,Items!$A$5:$A$504,0),"")),"")</f>
        <v/>
      </c>
      <c r="V968" s="60" t="str">
        <f aca="false">IF(IsPro,IF($C968="","",IFERROR(MATCH($C968,Parties!$A$5:$A$304,0),"")),"")</f>
        <v/>
      </c>
      <c r="W968" s="60" t="str">
        <f aca="false">IF(IsPro,IF($B968="","",IFERROR(VALUE(SUBSTITUTE($B968,InvPrefix,"")),0)),"")</f>
        <v/>
      </c>
      <c r="X968" s="61" t="str">
        <f aca="false">IF(IsPro,IF($D968="","",IF(OR($H968="",$H968="Credit"),0,Q968)),"")</f>
        <v/>
      </c>
    </row>
    <row r="969" customFormat="false" ht="15" hidden="false" customHeight="false" outlineLevel="0" collapsed="false">
      <c r="A969" s="55"/>
      <c r="B969" s="56"/>
      <c r="C969" s="56"/>
      <c r="D969" s="56"/>
      <c r="E969" s="57"/>
      <c r="F969" s="58"/>
      <c r="G969" s="59"/>
      <c r="H969" s="56"/>
      <c r="I969" s="56"/>
      <c r="J969" s="60" t="str">
        <f aca="false">IF(IsPro,IF($D969="","",IFERROR(INDEX(Items!$D$5:$D$504,U969),"")),"")</f>
        <v/>
      </c>
      <c r="K969" s="61" t="str">
        <f aca="false">IF(IsPro,IF($D969="","",IF($F969="",IFERROR(INDEX(Items!$H$5:$H$504,U969),0),$F969)),"")</f>
        <v/>
      </c>
      <c r="L969" s="61" t="str">
        <f aca="false">IF(IsPro,IF($D969="","",ROUND(N($E969)*K969*(1-N($G969)),2)),"")</f>
        <v/>
      </c>
      <c r="M969" s="62" t="str">
        <f aca="false">IF(IsPro,IF($D969="","",IFERROR(INDEX(Items!$F$5:$F$504,U969),0)),"")</f>
        <v/>
      </c>
      <c r="N969" s="61" t="str">
        <f aca="false">IF(IsPro,IF($D969="","",IF(AND(V969&lt;&gt;"",INDEX(Parties!$E$5:$E$304,V969)&lt;&gt;"",INDEX(Parties!$E$5:$E$304,V969)&lt;&gt;HomeState),0,ROUND(L969*M969/2,2))),"")</f>
        <v/>
      </c>
      <c r="O969" s="61" t="str">
        <f aca="false">IF(IsPro,IF($D969="","",N969),"")</f>
        <v/>
      </c>
      <c r="P969" s="61" t="str">
        <f aca="false">IF(IsPro,IF($D969="","",IF(AND(V969&lt;&gt;"",INDEX(Parties!$E$5:$E$304,V969)&lt;&gt;"",INDEX(Parties!$E$5:$E$304,V969)&lt;&gt;HomeState),ROUND(L969*M969,2),0)),"")</f>
        <v/>
      </c>
      <c r="Q969" s="61" t="str">
        <f aca="false">IF(IsPro,IF($D969="","",L969+N969+O969+P969),"")</f>
        <v/>
      </c>
      <c r="R969" s="61" t="str">
        <f aca="false">IF(IsPro,IF($D969="","",ROUND(N($E969)*IFERROR(INDEX(Items!$P$5:$P$504,U969),0),2)),"")</f>
        <v/>
      </c>
      <c r="S969" s="61" t="str">
        <f aca="false">IF(IsPro,IF($D969="","",L969-R969),"")</f>
        <v/>
      </c>
      <c r="T969" s="60" t="str">
        <f aca="false">IF(IsPro,IF($D969="","",IF(U969="","UNKNOWN ITEM",IF(INDEX(Items!$O$5:$O$504,U969)&lt;0,"NEG STOCK",IF(K969&lt;INDEX(Items!$P$5:$P$504,U969),"BELOW COST","OK")))),IF($D969="","","PRO PLAN"))</f>
        <v/>
      </c>
      <c r="U969" s="60" t="str">
        <f aca="false">IF(IsPro,IF($D969="","",IFERROR(MATCH($D969,Items!$A$5:$A$504,0),"")),"")</f>
        <v/>
      </c>
      <c r="V969" s="60" t="str">
        <f aca="false">IF(IsPro,IF($C969="","",IFERROR(MATCH($C969,Parties!$A$5:$A$304,0),"")),"")</f>
        <v/>
      </c>
      <c r="W969" s="60" t="str">
        <f aca="false">IF(IsPro,IF($B969="","",IFERROR(VALUE(SUBSTITUTE($B969,InvPrefix,"")),0)),"")</f>
        <v/>
      </c>
      <c r="X969" s="61" t="str">
        <f aca="false">IF(IsPro,IF($D969="","",IF(OR($H969="",$H969="Credit"),0,Q969)),"")</f>
        <v/>
      </c>
    </row>
    <row r="970" customFormat="false" ht="15" hidden="false" customHeight="false" outlineLevel="0" collapsed="false">
      <c r="A970" s="55"/>
      <c r="B970" s="56"/>
      <c r="C970" s="56"/>
      <c r="D970" s="56"/>
      <c r="E970" s="57"/>
      <c r="F970" s="58"/>
      <c r="G970" s="59"/>
      <c r="H970" s="56"/>
      <c r="I970" s="56"/>
      <c r="J970" s="60" t="str">
        <f aca="false">IF(IsPro,IF($D970="","",IFERROR(INDEX(Items!$D$5:$D$504,U970),"")),"")</f>
        <v/>
      </c>
      <c r="K970" s="61" t="str">
        <f aca="false">IF(IsPro,IF($D970="","",IF($F970="",IFERROR(INDEX(Items!$H$5:$H$504,U970),0),$F970)),"")</f>
        <v/>
      </c>
      <c r="L970" s="61" t="str">
        <f aca="false">IF(IsPro,IF($D970="","",ROUND(N($E970)*K970*(1-N($G970)),2)),"")</f>
        <v/>
      </c>
      <c r="M970" s="62" t="str">
        <f aca="false">IF(IsPro,IF($D970="","",IFERROR(INDEX(Items!$F$5:$F$504,U970),0)),"")</f>
        <v/>
      </c>
      <c r="N970" s="61" t="str">
        <f aca="false">IF(IsPro,IF($D970="","",IF(AND(V970&lt;&gt;"",INDEX(Parties!$E$5:$E$304,V970)&lt;&gt;"",INDEX(Parties!$E$5:$E$304,V970)&lt;&gt;HomeState),0,ROUND(L970*M970/2,2))),"")</f>
        <v/>
      </c>
      <c r="O970" s="61" t="str">
        <f aca="false">IF(IsPro,IF($D970="","",N970),"")</f>
        <v/>
      </c>
      <c r="P970" s="61" t="str">
        <f aca="false">IF(IsPro,IF($D970="","",IF(AND(V970&lt;&gt;"",INDEX(Parties!$E$5:$E$304,V970)&lt;&gt;"",INDEX(Parties!$E$5:$E$304,V970)&lt;&gt;HomeState),ROUND(L970*M970,2),0)),"")</f>
        <v/>
      </c>
      <c r="Q970" s="61" t="str">
        <f aca="false">IF(IsPro,IF($D970="","",L970+N970+O970+P970),"")</f>
        <v/>
      </c>
      <c r="R970" s="61" t="str">
        <f aca="false">IF(IsPro,IF($D970="","",ROUND(N($E970)*IFERROR(INDEX(Items!$P$5:$P$504,U970),0),2)),"")</f>
        <v/>
      </c>
      <c r="S970" s="61" t="str">
        <f aca="false">IF(IsPro,IF($D970="","",L970-R970),"")</f>
        <v/>
      </c>
      <c r="T970" s="60" t="str">
        <f aca="false">IF(IsPro,IF($D970="","",IF(U970="","UNKNOWN ITEM",IF(INDEX(Items!$O$5:$O$504,U970)&lt;0,"NEG STOCK",IF(K970&lt;INDEX(Items!$P$5:$P$504,U970),"BELOW COST","OK")))),IF($D970="","","PRO PLAN"))</f>
        <v/>
      </c>
      <c r="U970" s="60" t="str">
        <f aca="false">IF(IsPro,IF($D970="","",IFERROR(MATCH($D970,Items!$A$5:$A$504,0),"")),"")</f>
        <v/>
      </c>
      <c r="V970" s="60" t="str">
        <f aca="false">IF(IsPro,IF($C970="","",IFERROR(MATCH($C970,Parties!$A$5:$A$304,0),"")),"")</f>
        <v/>
      </c>
      <c r="W970" s="60" t="str">
        <f aca="false">IF(IsPro,IF($B970="","",IFERROR(VALUE(SUBSTITUTE($B970,InvPrefix,"")),0)),"")</f>
        <v/>
      </c>
      <c r="X970" s="61" t="str">
        <f aca="false">IF(IsPro,IF($D970="","",IF(OR($H970="",$H970="Credit"),0,Q970)),"")</f>
        <v/>
      </c>
    </row>
    <row r="971" customFormat="false" ht="15" hidden="false" customHeight="false" outlineLevel="0" collapsed="false">
      <c r="A971" s="55"/>
      <c r="B971" s="56"/>
      <c r="C971" s="56"/>
      <c r="D971" s="56"/>
      <c r="E971" s="57"/>
      <c r="F971" s="58"/>
      <c r="G971" s="59"/>
      <c r="H971" s="56"/>
      <c r="I971" s="56"/>
      <c r="J971" s="60" t="str">
        <f aca="false">IF(IsPro,IF($D971="","",IFERROR(INDEX(Items!$D$5:$D$504,U971),"")),"")</f>
        <v/>
      </c>
      <c r="K971" s="61" t="str">
        <f aca="false">IF(IsPro,IF($D971="","",IF($F971="",IFERROR(INDEX(Items!$H$5:$H$504,U971),0),$F971)),"")</f>
        <v/>
      </c>
      <c r="L971" s="61" t="str">
        <f aca="false">IF(IsPro,IF($D971="","",ROUND(N($E971)*K971*(1-N($G971)),2)),"")</f>
        <v/>
      </c>
      <c r="M971" s="62" t="str">
        <f aca="false">IF(IsPro,IF($D971="","",IFERROR(INDEX(Items!$F$5:$F$504,U971),0)),"")</f>
        <v/>
      </c>
      <c r="N971" s="61" t="str">
        <f aca="false">IF(IsPro,IF($D971="","",IF(AND(V971&lt;&gt;"",INDEX(Parties!$E$5:$E$304,V971)&lt;&gt;"",INDEX(Parties!$E$5:$E$304,V971)&lt;&gt;HomeState),0,ROUND(L971*M971/2,2))),"")</f>
        <v/>
      </c>
      <c r="O971" s="61" t="str">
        <f aca="false">IF(IsPro,IF($D971="","",N971),"")</f>
        <v/>
      </c>
      <c r="P971" s="61" t="str">
        <f aca="false">IF(IsPro,IF($D971="","",IF(AND(V971&lt;&gt;"",INDEX(Parties!$E$5:$E$304,V971)&lt;&gt;"",INDEX(Parties!$E$5:$E$304,V971)&lt;&gt;HomeState),ROUND(L971*M971,2),0)),"")</f>
        <v/>
      </c>
      <c r="Q971" s="61" t="str">
        <f aca="false">IF(IsPro,IF($D971="","",L971+N971+O971+P971),"")</f>
        <v/>
      </c>
      <c r="R971" s="61" t="str">
        <f aca="false">IF(IsPro,IF($D971="","",ROUND(N($E971)*IFERROR(INDEX(Items!$P$5:$P$504,U971),0),2)),"")</f>
        <v/>
      </c>
      <c r="S971" s="61" t="str">
        <f aca="false">IF(IsPro,IF($D971="","",L971-R971),"")</f>
        <v/>
      </c>
      <c r="T971" s="60" t="str">
        <f aca="false">IF(IsPro,IF($D971="","",IF(U971="","UNKNOWN ITEM",IF(INDEX(Items!$O$5:$O$504,U971)&lt;0,"NEG STOCK",IF(K971&lt;INDEX(Items!$P$5:$P$504,U971),"BELOW COST","OK")))),IF($D971="","","PRO PLAN"))</f>
        <v/>
      </c>
      <c r="U971" s="60" t="str">
        <f aca="false">IF(IsPro,IF($D971="","",IFERROR(MATCH($D971,Items!$A$5:$A$504,0),"")),"")</f>
        <v/>
      </c>
      <c r="V971" s="60" t="str">
        <f aca="false">IF(IsPro,IF($C971="","",IFERROR(MATCH($C971,Parties!$A$5:$A$304,0),"")),"")</f>
        <v/>
      </c>
      <c r="W971" s="60" t="str">
        <f aca="false">IF(IsPro,IF($B971="","",IFERROR(VALUE(SUBSTITUTE($B971,InvPrefix,"")),0)),"")</f>
        <v/>
      </c>
      <c r="X971" s="61" t="str">
        <f aca="false">IF(IsPro,IF($D971="","",IF(OR($H971="",$H971="Credit"),0,Q971)),"")</f>
        <v/>
      </c>
    </row>
    <row r="972" customFormat="false" ht="15" hidden="false" customHeight="false" outlineLevel="0" collapsed="false">
      <c r="A972" s="55"/>
      <c r="B972" s="56"/>
      <c r="C972" s="56"/>
      <c r="D972" s="56"/>
      <c r="E972" s="57"/>
      <c r="F972" s="58"/>
      <c r="G972" s="59"/>
      <c r="H972" s="56"/>
      <c r="I972" s="56"/>
      <c r="J972" s="60" t="str">
        <f aca="false">IF(IsPro,IF($D972="","",IFERROR(INDEX(Items!$D$5:$D$504,U972),"")),"")</f>
        <v/>
      </c>
      <c r="K972" s="61" t="str">
        <f aca="false">IF(IsPro,IF($D972="","",IF($F972="",IFERROR(INDEX(Items!$H$5:$H$504,U972),0),$F972)),"")</f>
        <v/>
      </c>
      <c r="L972" s="61" t="str">
        <f aca="false">IF(IsPro,IF($D972="","",ROUND(N($E972)*K972*(1-N($G972)),2)),"")</f>
        <v/>
      </c>
      <c r="M972" s="62" t="str">
        <f aca="false">IF(IsPro,IF($D972="","",IFERROR(INDEX(Items!$F$5:$F$504,U972),0)),"")</f>
        <v/>
      </c>
      <c r="N972" s="61" t="str">
        <f aca="false">IF(IsPro,IF($D972="","",IF(AND(V972&lt;&gt;"",INDEX(Parties!$E$5:$E$304,V972)&lt;&gt;"",INDEX(Parties!$E$5:$E$304,V972)&lt;&gt;HomeState),0,ROUND(L972*M972/2,2))),"")</f>
        <v/>
      </c>
      <c r="O972" s="61" t="str">
        <f aca="false">IF(IsPro,IF($D972="","",N972),"")</f>
        <v/>
      </c>
      <c r="P972" s="61" t="str">
        <f aca="false">IF(IsPro,IF($D972="","",IF(AND(V972&lt;&gt;"",INDEX(Parties!$E$5:$E$304,V972)&lt;&gt;"",INDEX(Parties!$E$5:$E$304,V972)&lt;&gt;HomeState),ROUND(L972*M972,2),0)),"")</f>
        <v/>
      </c>
      <c r="Q972" s="61" t="str">
        <f aca="false">IF(IsPro,IF($D972="","",L972+N972+O972+P972),"")</f>
        <v/>
      </c>
      <c r="R972" s="61" t="str">
        <f aca="false">IF(IsPro,IF($D972="","",ROUND(N($E972)*IFERROR(INDEX(Items!$P$5:$P$504,U972),0),2)),"")</f>
        <v/>
      </c>
      <c r="S972" s="61" t="str">
        <f aca="false">IF(IsPro,IF($D972="","",L972-R972),"")</f>
        <v/>
      </c>
      <c r="T972" s="60" t="str">
        <f aca="false">IF(IsPro,IF($D972="","",IF(U972="","UNKNOWN ITEM",IF(INDEX(Items!$O$5:$O$504,U972)&lt;0,"NEG STOCK",IF(K972&lt;INDEX(Items!$P$5:$P$504,U972),"BELOW COST","OK")))),IF($D972="","","PRO PLAN"))</f>
        <v/>
      </c>
      <c r="U972" s="60" t="str">
        <f aca="false">IF(IsPro,IF($D972="","",IFERROR(MATCH($D972,Items!$A$5:$A$504,0),"")),"")</f>
        <v/>
      </c>
      <c r="V972" s="60" t="str">
        <f aca="false">IF(IsPro,IF($C972="","",IFERROR(MATCH($C972,Parties!$A$5:$A$304,0),"")),"")</f>
        <v/>
      </c>
      <c r="W972" s="60" t="str">
        <f aca="false">IF(IsPro,IF($B972="","",IFERROR(VALUE(SUBSTITUTE($B972,InvPrefix,"")),0)),"")</f>
        <v/>
      </c>
      <c r="X972" s="61" t="str">
        <f aca="false">IF(IsPro,IF($D972="","",IF(OR($H972="",$H972="Credit"),0,Q972)),"")</f>
        <v/>
      </c>
    </row>
    <row r="973" customFormat="false" ht="15" hidden="false" customHeight="false" outlineLevel="0" collapsed="false">
      <c r="A973" s="55"/>
      <c r="B973" s="56"/>
      <c r="C973" s="56"/>
      <c r="D973" s="56"/>
      <c r="E973" s="57"/>
      <c r="F973" s="58"/>
      <c r="G973" s="59"/>
      <c r="H973" s="56"/>
      <c r="I973" s="56"/>
      <c r="J973" s="60" t="str">
        <f aca="false">IF(IsPro,IF($D973="","",IFERROR(INDEX(Items!$D$5:$D$504,U973),"")),"")</f>
        <v/>
      </c>
      <c r="K973" s="61" t="str">
        <f aca="false">IF(IsPro,IF($D973="","",IF($F973="",IFERROR(INDEX(Items!$H$5:$H$504,U973),0),$F973)),"")</f>
        <v/>
      </c>
      <c r="L973" s="61" t="str">
        <f aca="false">IF(IsPro,IF($D973="","",ROUND(N($E973)*K973*(1-N($G973)),2)),"")</f>
        <v/>
      </c>
      <c r="M973" s="62" t="str">
        <f aca="false">IF(IsPro,IF($D973="","",IFERROR(INDEX(Items!$F$5:$F$504,U973),0)),"")</f>
        <v/>
      </c>
      <c r="N973" s="61" t="str">
        <f aca="false">IF(IsPro,IF($D973="","",IF(AND(V973&lt;&gt;"",INDEX(Parties!$E$5:$E$304,V973)&lt;&gt;"",INDEX(Parties!$E$5:$E$304,V973)&lt;&gt;HomeState),0,ROUND(L973*M973/2,2))),"")</f>
        <v/>
      </c>
      <c r="O973" s="61" t="str">
        <f aca="false">IF(IsPro,IF($D973="","",N973),"")</f>
        <v/>
      </c>
      <c r="P973" s="61" t="str">
        <f aca="false">IF(IsPro,IF($D973="","",IF(AND(V973&lt;&gt;"",INDEX(Parties!$E$5:$E$304,V973)&lt;&gt;"",INDEX(Parties!$E$5:$E$304,V973)&lt;&gt;HomeState),ROUND(L973*M973,2),0)),"")</f>
        <v/>
      </c>
      <c r="Q973" s="61" t="str">
        <f aca="false">IF(IsPro,IF($D973="","",L973+N973+O973+P973),"")</f>
        <v/>
      </c>
      <c r="R973" s="61" t="str">
        <f aca="false">IF(IsPro,IF($D973="","",ROUND(N($E973)*IFERROR(INDEX(Items!$P$5:$P$504,U973),0),2)),"")</f>
        <v/>
      </c>
      <c r="S973" s="61" t="str">
        <f aca="false">IF(IsPro,IF($D973="","",L973-R973),"")</f>
        <v/>
      </c>
      <c r="T973" s="60" t="str">
        <f aca="false">IF(IsPro,IF($D973="","",IF(U973="","UNKNOWN ITEM",IF(INDEX(Items!$O$5:$O$504,U973)&lt;0,"NEG STOCK",IF(K973&lt;INDEX(Items!$P$5:$P$504,U973),"BELOW COST","OK")))),IF($D973="","","PRO PLAN"))</f>
        <v/>
      </c>
      <c r="U973" s="60" t="str">
        <f aca="false">IF(IsPro,IF($D973="","",IFERROR(MATCH($D973,Items!$A$5:$A$504,0),"")),"")</f>
        <v/>
      </c>
      <c r="V973" s="60" t="str">
        <f aca="false">IF(IsPro,IF($C973="","",IFERROR(MATCH($C973,Parties!$A$5:$A$304,0),"")),"")</f>
        <v/>
      </c>
      <c r="W973" s="60" t="str">
        <f aca="false">IF(IsPro,IF($B973="","",IFERROR(VALUE(SUBSTITUTE($B973,InvPrefix,"")),0)),"")</f>
        <v/>
      </c>
      <c r="X973" s="61" t="str">
        <f aca="false">IF(IsPro,IF($D973="","",IF(OR($H973="",$H973="Credit"),0,Q973)),"")</f>
        <v/>
      </c>
    </row>
    <row r="974" customFormat="false" ht="15" hidden="false" customHeight="false" outlineLevel="0" collapsed="false">
      <c r="A974" s="55"/>
      <c r="B974" s="56"/>
      <c r="C974" s="56"/>
      <c r="D974" s="56"/>
      <c r="E974" s="57"/>
      <c r="F974" s="58"/>
      <c r="G974" s="59"/>
      <c r="H974" s="56"/>
      <c r="I974" s="56"/>
      <c r="J974" s="60" t="str">
        <f aca="false">IF(IsPro,IF($D974="","",IFERROR(INDEX(Items!$D$5:$D$504,U974),"")),"")</f>
        <v/>
      </c>
      <c r="K974" s="61" t="str">
        <f aca="false">IF(IsPro,IF($D974="","",IF($F974="",IFERROR(INDEX(Items!$H$5:$H$504,U974),0),$F974)),"")</f>
        <v/>
      </c>
      <c r="L974" s="61" t="str">
        <f aca="false">IF(IsPro,IF($D974="","",ROUND(N($E974)*K974*(1-N($G974)),2)),"")</f>
        <v/>
      </c>
      <c r="M974" s="62" t="str">
        <f aca="false">IF(IsPro,IF($D974="","",IFERROR(INDEX(Items!$F$5:$F$504,U974),0)),"")</f>
        <v/>
      </c>
      <c r="N974" s="61" t="str">
        <f aca="false">IF(IsPro,IF($D974="","",IF(AND(V974&lt;&gt;"",INDEX(Parties!$E$5:$E$304,V974)&lt;&gt;"",INDEX(Parties!$E$5:$E$304,V974)&lt;&gt;HomeState),0,ROUND(L974*M974/2,2))),"")</f>
        <v/>
      </c>
      <c r="O974" s="61" t="str">
        <f aca="false">IF(IsPro,IF($D974="","",N974),"")</f>
        <v/>
      </c>
      <c r="P974" s="61" t="str">
        <f aca="false">IF(IsPro,IF($D974="","",IF(AND(V974&lt;&gt;"",INDEX(Parties!$E$5:$E$304,V974)&lt;&gt;"",INDEX(Parties!$E$5:$E$304,V974)&lt;&gt;HomeState),ROUND(L974*M974,2),0)),"")</f>
        <v/>
      </c>
      <c r="Q974" s="61" t="str">
        <f aca="false">IF(IsPro,IF($D974="","",L974+N974+O974+P974),"")</f>
        <v/>
      </c>
      <c r="R974" s="61" t="str">
        <f aca="false">IF(IsPro,IF($D974="","",ROUND(N($E974)*IFERROR(INDEX(Items!$P$5:$P$504,U974),0),2)),"")</f>
        <v/>
      </c>
      <c r="S974" s="61" t="str">
        <f aca="false">IF(IsPro,IF($D974="","",L974-R974),"")</f>
        <v/>
      </c>
      <c r="T974" s="60" t="str">
        <f aca="false">IF(IsPro,IF($D974="","",IF(U974="","UNKNOWN ITEM",IF(INDEX(Items!$O$5:$O$504,U974)&lt;0,"NEG STOCK",IF(K974&lt;INDEX(Items!$P$5:$P$504,U974),"BELOW COST","OK")))),IF($D974="","","PRO PLAN"))</f>
        <v/>
      </c>
      <c r="U974" s="60" t="str">
        <f aca="false">IF(IsPro,IF($D974="","",IFERROR(MATCH($D974,Items!$A$5:$A$504,0),"")),"")</f>
        <v/>
      </c>
      <c r="V974" s="60" t="str">
        <f aca="false">IF(IsPro,IF($C974="","",IFERROR(MATCH($C974,Parties!$A$5:$A$304,0),"")),"")</f>
        <v/>
      </c>
      <c r="W974" s="60" t="str">
        <f aca="false">IF(IsPro,IF($B974="","",IFERROR(VALUE(SUBSTITUTE($B974,InvPrefix,"")),0)),"")</f>
        <v/>
      </c>
      <c r="X974" s="61" t="str">
        <f aca="false">IF(IsPro,IF($D974="","",IF(OR($H974="",$H974="Credit"),0,Q974)),"")</f>
        <v/>
      </c>
    </row>
    <row r="975" customFormat="false" ht="15" hidden="false" customHeight="false" outlineLevel="0" collapsed="false">
      <c r="A975" s="55"/>
      <c r="B975" s="56"/>
      <c r="C975" s="56"/>
      <c r="D975" s="56"/>
      <c r="E975" s="57"/>
      <c r="F975" s="58"/>
      <c r="G975" s="59"/>
      <c r="H975" s="56"/>
      <c r="I975" s="56"/>
      <c r="J975" s="60" t="str">
        <f aca="false">IF(IsPro,IF($D975="","",IFERROR(INDEX(Items!$D$5:$D$504,U975),"")),"")</f>
        <v/>
      </c>
      <c r="K975" s="61" t="str">
        <f aca="false">IF(IsPro,IF($D975="","",IF($F975="",IFERROR(INDEX(Items!$H$5:$H$504,U975),0),$F975)),"")</f>
        <v/>
      </c>
      <c r="L975" s="61" t="str">
        <f aca="false">IF(IsPro,IF($D975="","",ROUND(N($E975)*K975*(1-N($G975)),2)),"")</f>
        <v/>
      </c>
      <c r="M975" s="62" t="str">
        <f aca="false">IF(IsPro,IF($D975="","",IFERROR(INDEX(Items!$F$5:$F$504,U975),0)),"")</f>
        <v/>
      </c>
      <c r="N975" s="61" t="str">
        <f aca="false">IF(IsPro,IF($D975="","",IF(AND(V975&lt;&gt;"",INDEX(Parties!$E$5:$E$304,V975)&lt;&gt;"",INDEX(Parties!$E$5:$E$304,V975)&lt;&gt;HomeState),0,ROUND(L975*M975/2,2))),"")</f>
        <v/>
      </c>
      <c r="O975" s="61" t="str">
        <f aca="false">IF(IsPro,IF($D975="","",N975),"")</f>
        <v/>
      </c>
      <c r="P975" s="61" t="str">
        <f aca="false">IF(IsPro,IF($D975="","",IF(AND(V975&lt;&gt;"",INDEX(Parties!$E$5:$E$304,V975)&lt;&gt;"",INDEX(Parties!$E$5:$E$304,V975)&lt;&gt;HomeState),ROUND(L975*M975,2),0)),"")</f>
        <v/>
      </c>
      <c r="Q975" s="61" t="str">
        <f aca="false">IF(IsPro,IF($D975="","",L975+N975+O975+P975),"")</f>
        <v/>
      </c>
      <c r="R975" s="61" t="str">
        <f aca="false">IF(IsPro,IF($D975="","",ROUND(N($E975)*IFERROR(INDEX(Items!$P$5:$P$504,U975),0),2)),"")</f>
        <v/>
      </c>
      <c r="S975" s="61" t="str">
        <f aca="false">IF(IsPro,IF($D975="","",L975-R975),"")</f>
        <v/>
      </c>
      <c r="T975" s="60" t="str">
        <f aca="false">IF(IsPro,IF($D975="","",IF(U975="","UNKNOWN ITEM",IF(INDEX(Items!$O$5:$O$504,U975)&lt;0,"NEG STOCK",IF(K975&lt;INDEX(Items!$P$5:$P$504,U975),"BELOW COST","OK")))),IF($D975="","","PRO PLAN"))</f>
        <v/>
      </c>
      <c r="U975" s="60" t="str">
        <f aca="false">IF(IsPro,IF($D975="","",IFERROR(MATCH($D975,Items!$A$5:$A$504,0),"")),"")</f>
        <v/>
      </c>
      <c r="V975" s="60" t="str">
        <f aca="false">IF(IsPro,IF($C975="","",IFERROR(MATCH($C975,Parties!$A$5:$A$304,0),"")),"")</f>
        <v/>
      </c>
      <c r="W975" s="60" t="str">
        <f aca="false">IF(IsPro,IF($B975="","",IFERROR(VALUE(SUBSTITUTE($B975,InvPrefix,"")),0)),"")</f>
        <v/>
      </c>
      <c r="X975" s="61" t="str">
        <f aca="false">IF(IsPro,IF($D975="","",IF(OR($H975="",$H975="Credit"),0,Q975)),"")</f>
        <v/>
      </c>
    </row>
    <row r="976" customFormat="false" ht="15" hidden="false" customHeight="false" outlineLevel="0" collapsed="false">
      <c r="A976" s="55"/>
      <c r="B976" s="56"/>
      <c r="C976" s="56"/>
      <c r="D976" s="56"/>
      <c r="E976" s="57"/>
      <c r="F976" s="58"/>
      <c r="G976" s="59"/>
      <c r="H976" s="56"/>
      <c r="I976" s="56"/>
      <c r="J976" s="60" t="str">
        <f aca="false">IF(IsPro,IF($D976="","",IFERROR(INDEX(Items!$D$5:$D$504,U976),"")),"")</f>
        <v/>
      </c>
      <c r="K976" s="61" t="str">
        <f aca="false">IF(IsPro,IF($D976="","",IF($F976="",IFERROR(INDEX(Items!$H$5:$H$504,U976),0),$F976)),"")</f>
        <v/>
      </c>
      <c r="L976" s="61" t="str">
        <f aca="false">IF(IsPro,IF($D976="","",ROUND(N($E976)*K976*(1-N($G976)),2)),"")</f>
        <v/>
      </c>
      <c r="M976" s="62" t="str">
        <f aca="false">IF(IsPro,IF($D976="","",IFERROR(INDEX(Items!$F$5:$F$504,U976),0)),"")</f>
        <v/>
      </c>
      <c r="N976" s="61" t="str">
        <f aca="false">IF(IsPro,IF($D976="","",IF(AND(V976&lt;&gt;"",INDEX(Parties!$E$5:$E$304,V976)&lt;&gt;"",INDEX(Parties!$E$5:$E$304,V976)&lt;&gt;HomeState),0,ROUND(L976*M976/2,2))),"")</f>
        <v/>
      </c>
      <c r="O976" s="61" t="str">
        <f aca="false">IF(IsPro,IF($D976="","",N976),"")</f>
        <v/>
      </c>
      <c r="P976" s="61" t="str">
        <f aca="false">IF(IsPro,IF($D976="","",IF(AND(V976&lt;&gt;"",INDEX(Parties!$E$5:$E$304,V976)&lt;&gt;"",INDEX(Parties!$E$5:$E$304,V976)&lt;&gt;HomeState),ROUND(L976*M976,2),0)),"")</f>
        <v/>
      </c>
      <c r="Q976" s="61" t="str">
        <f aca="false">IF(IsPro,IF($D976="","",L976+N976+O976+P976),"")</f>
        <v/>
      </c>
      <c r="R976" s="61" t="str">
        <f aca="false">IF(IsPro,IF($D976="","",ROUND(N($E976)*IFERROR(INDEX(Items!$P$5:$P$504,U976),0),2)),"")</f>
        <v/>
      </c>
      <c r="S976" s="61" t="str">
        <f aca="false">IF(IsPro,IF($D976="","",L976-R976),"")</f>
        <v/>
      </c>
      <c r="T976" s="60" t="str">
        <f aca="false">IF(IsPro,IF($D976="","",IF(U976="","UNKNOWN ITEM",IF(INDEX(Items!$O$5:$O$504,U976)&lt;0,"NEG STOCK",IF(K976&lt;INDEX(Items!$P$5:$P$504,U976),"BELOW COST","OK")))),IF($D976="","","PRO PLAN"))</f>
        <v/>
      </c>
      <c r="U976" s="60" t="str">
        <f aca="false">IF(IsPro,IF($D976="","",IFERROR(MATCH($D976,Items!$A$5:$A$504,0),"")),"")</f>
        <v/>
      </c>
      <c r="V976" s="60" t="str">
        <f aca="false">IF(IsPro,IF($C976="","",IFERROR(MATCH($C976,Parties!$A$5:$A$304,0),"")),"")</f>
        <v/>
      </c>
      <c r="W976" s="60" t="str">
        <f aca="false">IF(IsPro,IF($B976="","",IFERROR(VALUE(SUBSTITUTE($B976,InvPrefix,"")),0)),"")</f>
        <v/>
      </c>
      <c r="X976" s="61" t="str">
        <f aca="false">IF(IsPro,IF($D976="","",IF(OR($H976="",$H976="Credit"),0,Q976)),"")</f>
        <v/>
      </c>
    </row>
    <row r="977" customFormat="false" ht="15" hidden="false" customHeight="false" outlineLevel="0" collapsed="false">
      <c r="A977" s="55"/>
      <c r="B977" s="56"/>
      <c r="C977" s="56"/>
      <c r="D977" s="56"/>
      <c r="E977" s="57"/>
      <c r="F977" s="58"/>
      <c r="G977" s="59"/>
      <c r="H977" s="56"/>
      <c r="I977" s="56"/>
      <c r="J977" s="60" t="str">
        <f aca="false">IF(IsPro,IF($D977="","",IFERROR(INDEX(Items!$D$5:$D$504,U977),"")),"")</f>
        <v/>
      </c>
      <c r="K977" s="61" t="str">
        <f aca="false">IF(IsPro,IF($D977="","",IF($F977="",IFERROR(INDEX(Items!$H$5:$H$504,U977),0),$F977)),"")</f>
        <v/>
      </c>
      <c r="L977" s="61" t="str">
        <f aca="false">IF(IsPro,IF($D977="","",ROUND(N($E977)*K977*(1-N($G977)),2)),"")</f>
        <v/>
      </c>
      <c r="M977" s="62" t="str">
        <f aca="false">IF(IsPro,IF($D977="","",IFERROR(INDEX(Items!$F$5:$F$504,U977),0)),"")</f>
        <v/>
      </c>
      <c r="N977" s="61" t="str">
        <f aca="false">IF(IsPro,IF($D977="","",IF(AND(V977&lt;&gt;"",INDEX(Parties!$E$5:$E$304,V977)&lt;&gt;"",INDEX(Parties!$E$5:$E$304,V977)&lt;&gt;HomeState),0,ROUND(L977*M977/2,2))),"")</f>
        <v/>
      </c>
      <c r="O977" s="61" t="str">
        <f aca="false">IF(IsPro,IF($D977="","",N977),"")</f>
        <v/>
      </c>
      <c r="P977" s="61" t="str">
        <f aca="false">IF(IsPro,IF($D977="","",IF(AND(V977&lt;&gt;"",INDEX(Parties!$E$5:$E$304,V977)&lt;&gt;"",INDEX(Parties!$E$5:$E$304,V977)&lt;&gt;HomeState),ROUND(L977*M977,2),0)),"")</f>
        <v/>
      </c>
      <c r="Q977" s="61" t="str">
        <f aca="false">IF(IsPro,IF($D977="","",L977+N977+O977+P977),"")</f>
        <v/>
      </c>
      <c r="R977" s="61" t="str">
        <f aca="false">IF(IsPro,IF($D977="","",ROUND(N($E977)*IFERROR(INDEX(Items!$P$5:$P$504,U977),0),2)),"")</f>
        <v/>
      </c>
      <c r="S977" s="61" t="str">
        <f aca="false">IF(IsPro,IF($D977="","",L977-R977),"")</f>
        <v/>
      </c>
      <c r="T977" s="60" t="str">
        <f aca="false">IF(IsPro,IF($D977="","",IF(U977="","UNKNOWN ITEM",IF(INDEX(Items!$O$5:$O$504,U977)&lt;0,"NEG STOCK",IF(K977&lt;INDEX(Items!$P$5:$P$504,U977),"BELOW COST","OK")))),IF($D977="","","PRO PLAN"))</f>
        <v/>
      </c>
      <c r="U977" s="60" t="str">
        <f aca="false">IF(IsPro,IF($D977="","",IFERROR(MATCH($D977,Items!$A$5:$A$504,0),"")),"")</f>
        <v/>
      </c>
      <c r="V977" s="60" t="str">
        <f aca="false">IF(IsPro,IF($C977="","",IFERROR(MATCH($C977,Parties!$A$5:$A$304,0),"")),"")</f>
        <v/>
      </c>
      <c r="W977" s="60" t="str">
        <f aca="false">IF(IsPro,IF($B977="","",IFERROR(VALUE(SUBSTITUTE($B977,InvPrefix,"")),0)),"")</f>
        <v/>
      </c>
      <c r="X977" s="61" t="str">
        <f aca="false">IF(IsPro,IF($D977="","",IF(OR($H977="",$H977="Credit"),0,Q977)),"")</f>
        <v/>
      </c>
    </row>
    <row r="978" customFormat="false" ht="15" hidden="false" customHeight="false" outlineLevel="0" collapsed="false">
      <c r="A978" s="55"/>
      <c r="B978" s="56"/>
      <c r="C978" s="56"/>
      <c r="D978" s="56"/>
      <c r="E978" s="57"/>
      <c r="F978" s="58"/>
      <c r="G978" s="59"/>
      <c r="H978" s="56"/>
      <c r="I978" s="56"/>
      <c r="J978" s="60" t="str">
        <f aca="false">IF(IsPro,IF($D978="","",IFERROR(INDEX(Items!$D$5:$D$504,U978),"")),"")</f>
        <v/>
      </c>
      <c r="K978" s="61" t="str">
        <f aca="false">IF(IsPro,IF($D978="","",IF($F978="",IFERROR(INDEX(Items!$H$5:$H$504,U978),0),$F978)),"")</f>
        <v/>
      </c>
      <c r="L978" s="61" t="str">
        <f aca="false">IF(IsPro,IF($D978="","",ROUND(N($E978)*K978*(1-N($G978)),2)),"")</f>
        <v/>
      </c>
      <c r="M978" s="62" t="str">
        <f aca="false">IF(IsPro,IF($D978="","",IFERROR(INDEX(Items!$F$5:$F$504,U978),0)),"")</f>
        <v/>
      </c>
      <c r="N978" s="61" t="str">
        <f aca="false">IF(IsPro,IF($D978="","",IF(AND(V978&lt;&gt;"",INDEX(Parties!$E$5:$E$304,V978)&lt;&gt;"",INDEX(Parties!$E$5:$E$304,V978)&lt;&gt;HomeState),0,ROUND(L978*M978/2,2))),"")</f>
        <v/>
      </c>
      <c r="O978" s="61" t="str">
        <f aca="false">IF(IsPro,IF($D978="","",N978),"")</f>
        <v/>
      </c>
      <c r="P978" s="61" t="str">
        <f aca="false">IF(IsPro,IF($D978="","",IF(AND(V978&lt;&gt;"",INDEX(Parties!$E$5:$E$304,V978)&lt;&gt;"",INDEX(Parties!$E$5:$E$304,V978)&lt;&gt;HomeState),ROUND(L978*M978,2),0)),"")</f>
        <v/>
      </c>
      <c r="Q978" s="61" t="str">
        <f aca="false">IF(IsPro,IF($D978="","",L978+N978+O978+P978),"")</f>
        <v/>
      </c>
      <c r="R978" s="61" t="str">
        <f aca="false">IF(IsPro,IF($D978="","",ROUND(N($E978)*IFERROR(INDEX(Items!$P$5:$P$504,U978),0),2)),"")</f>
        <v/>
      </c>
      <c r="S978" s="61" t="str">
        <f aca="false">IF(IsPro,IF($D978="","",L978-R978),"")</f>
        <v/>
      </c>
      <c r="T978" s="60" t="str">
        <f aca="false">IF(IsPro,IF($D978="","",IF(U978="","UNKNOWN ITEM",IF(INDEX(Items!$O$5:$O$504,U978)&lt;0,"NEG STOCK",IF(K978&lt;INDEX(Items!$P$5:$P$504,U978),"BELOW COST","OK")))),IF($D978="","","PRO PLAN"))</f>
        <v/>
      </c>
      <c r="U978" s="60" t="str">
        <f aca="false">IF(IsPro,IF($D978="","",IFERROR(MATCH($D978,Items!$A$5:$A$504,0),"")),"")</f>
        <v/>
      </c>
      <c r="V978" s="60" t="str">
        <f aca="false">IF(IsPro,IF($C978="","",IFERROR(MATCH($C978,Parties!$A$5:$A$304,0),"")),"")</f>
        <v/>
      </c>
      <c r="W978" s="60" t="str">
        <f aca="false">IF(IsPro,IF($B978="","",IFERROR(VALUE(SUBSTITUTE($B978,InvPrefix,"")),0)),"")</f>
        <v/>
      </c>
      <c r="X978" s="61" t="str">
        <f aca="false">IF(IsPro,IF($D978="","",IF(OR($H978="",$H978="Credit"),0,Q978)),"")</f>
        <v/>
      </c>
    </row>
    <row r="979" customFormat="false" ht="15" hidden="false" customHeight="false" outlineLevel="0" collapsed="false">
      <c r="A979" s="55"/>
      <c r="B979" s="56"/>
      <c r="C979" s="56"/>
      <c r="D979" s="56"/>
      <c r="E979" s="57"/>
      <c r="F979" s="58"/>
      <c r="G979" s="59"/>
      <c r="H979" s="56"/>
      <c r="I979" s="56"/>
      <c r="J979" s="60" t="str">
        <f aca="false">IF(IsPro,IF($D979="","",IFERROR(INDEX(Items!$D$5:$D$504,U979),"")),"")</f>
        <v/>
      </c>
      <c r="K979" s="61" t="str">
        <f aca="false">IF(IsPro,IF($D979="","",IF($F979="",IFERROR(INDEX(Items!$H$5:$H$504,U979),0),$F979)),"")</f>
        <v/>
      </c>
      <c r="L979" s="61" t="str">
        <f aca="false">IF(IsPro,IF($D979="","",ROUND(N($E979)*K979*(1-N($G979)),2)),"")</f>
        <v/>
      </c>
      <c r="M979" s="62" t="str">
        <f aca="false">IF(IsPro,IF($D979="","",IFERROR(INDEX(Items!$F$5:$F$504,U979),0)),"")</f>
        <v/>
      </c>
      <c r="N979" s="61" t="str">
        <f aca="false">IF(IsPro,IF($D979="","",IF(AND(V979&lt;&gt;"",INDEX(Parties!$E$5:$E$304,V979)&lt;&gt;"",INDEX(Parties!$E$5:$E$304,V979)&lt;&gt;HomeState),0,ROUND(L979*M979/2,2))),"")</f>
        <v/>
      </c>
      <c r="O979" s="61" t="str">
        <f aca="false">IF(IsPro,IF($D979="","",N979),"")</f>
        <v/>
      </c>
      <c r="P979" s="61" t="str">
        <f aca="false">IF(IsPro,IF($D979="","",IF(AND(V979&lt;&gt;"",INDEX(Parties!$E$5:$E$304,V979)&lt;&gt;"",INDEX(Parties!$E$5:$E$304,V979)&lt;&gt;HomeState),ROUND(L979*M979,2),0)),"")</f>
        <v/>
      </c>
      <c r="Q979" s="61" t="str">
        <f aca="false">IF(IsPro,IF($D979="","",L979+N979+O979+P979),"")</f>
        <v/>
      </c>
      <c r="R979" s="61" t="str">
        <f aca="false">IF(IsPro,IF($D979="","",ROUND(N($E979)*IFERROR(INDEX(Items!$P$5:$P$504,U979),0),2)),"")</f>
        <v/>
      </c>
      <c r="S979" s="61" t="str">
        <f aca="false">IF(IsPro,IF($D979="","",L979-R979),"")</f>
        <v/>
      </c>
      <c r="T979" s="60" t="str">
        <f aca="false">IF(IsPro,IF($D979="","",IF(U979="","UNKNOWN ITEM",IF(INDEX(Items!$O$5:$O$504,U979)&lt;0,"NEG STOCK",IF(K979&lt;INDEX(Items!$P$5:$P$504,U979),"BELOW COST","OK")))),IF($D979="","","PRO PLAN"))</f>
        <v/>
      </c>
      <c r="U979" s="60" t="str">
        <f aca="false">IF(IsPro,IF($D979="","",IFERROR(MATCH($D979,Items!$A$5:$A$504,0),"")),"")</f>
        <v/>
      </c>
      <c r="V979" s="60" t="str">
        <f aca="false">IF(IsPro,IF($C979="","",IFERROR(MATCH($C979,Parties!$A$5:$A$304,0),"")),"")</f>
        <v/>
      </c>
      <c r="W979" s="60" t="str">
        <f aca="false">IF(IsPro,IF($B979="","",IFERROR(VALUE(SUBSTITUTE($B979,InvPrefix,"")),0)),"")</f>
        <v/>
      </c>
      <c r="X979" s="61" t="str">
        <f aca="false">IF(IsPro,IF($D979="","",IF(OR($H979="",$H979="Credit"),0,Q979)),"")</f>
        <v/>
      </c>
    </row>
    <row r="980" customFormat="false" ht="15" hidden="false" customHeight="false" outlineLevel="0" collapsed="false">
      <c r="A980" s="55"/>
      <c r="B980" s="56"/>
      <c r="C980" s="56"/>
      <c r="D980" s="56"/>
      <c r="E980" s="57"/>
      <c r="F980" s="58"/>
      <c r="G980" s="59"/>
      <c r="H980" s="56"/>
      <c r="I980" s="56"/>
      <c r="J980" s="60" t="str">
        <f aca="false">IF(IsPro,IF($D980="","",IFERROR(INDEX(Items!$D$5:$D$504,U980),"")),"")</f>
        <v/>
      </c>
      <c r="K980" s="61" t="str">
        <f aca="false">IF(IsPro,IF($D980="","",IF($F980="",IFERROR(INDEX(Items!$H$5:$H$504,U980),0),$F980)),"")</f>
        <v/>
      </c>
      <c r="L980" s="61" t="str">
        <f aca="false">IF(IsPro,IF($D980="","",ROUND(N($E980)*K980*(1-N($G980)),2)),"")</f>
        <v/>
      </c>
      <c r="M980" s="62" t="str">
        <f aca="false">IF(IsPro,IF($D980="","",IFERROR(INDEX(Items!$F$5:$F$504,U980),0)),"")</f>
        <v/>
      </c>
      <c r="N980" s="61" t="str">
        <f aca="false">IF(IsPro,IF($D980="","",IF(AND(V980&lt;&gt;"",INDEX(Parties!$E$5:$E$304,V980)&lt;&gt;"",INDEX(Parties!$E$5:$E$304,V980)&lt;&gt;HomeState),0,ROUND(L980*M980/2,2))),"")</f>
        <v/>
      </c>
      <c r="O980" s="61" t="str">
        <f aca="false">IF(IsPro,IF($D980="","",N980),"")</f>
        <v/>
      </c>
      <c r="P980" s="61" t="str">
        <f aca="false">IF(IsPro,IF($D980="","",IF(AND(V980&lt;&gt;"",INDEX(Parties!$E$5:$E$304,V980)&lt;&gt;"",INDEX(Parties!$E$5:$E$304,V980)&lt;&gt;HomeState),ROUND(L980*M980,2),0)),"")</f>
        <v/>
      </c>
      <c r="Q980" s="61" t="str">
        <f aca="false">IF(IsPro,IF($D980="","",L980+N980+O980+P980),"")</f>
        <v/>
      </c>
      <c r="R980" s="61" t="str">
        <f aca="false">IF(IsPro,IF($D980="","",ROUND(N($E980)*IFERROR(INDEX(Items!$P$5:$P$504,U980),0),2)),"")</f>
        <v/>
      </c>
      <c r="S980" s="61" t="str">
        <f aca="false">IF(IsPro,IF($D980="","",L980-R980),"")</f>
        <v/>
      </c>
      <c r="T980" s="60" t="str">
        <f aca="false">IF(IsPro,IF($D980="","",IF(U980="","UNKNOWN ITEM",IF(INDEX(Items!$O$5:$O$504,U980)&lt;0,"NEG STOCK",IF(K980&lt;INDEX(Items!$P$5:$P$504,U980),"BELOW COST","OK")))),IF($D980="","","PRO PLAN"))</f>
        <v/>
      </c>
      <c r="U980" s="60" t="str">
        <f aca="false">IF(IsPro,IF($D980="","",IFERROR(MATCH($D980,Items!$A$5:$A$504,0),"")),"")</f>
        <v/>
      </c>
      <c r="V980" s="60" t="str">
        <f aca="false">IF(IsPro,IF($C980="","",IFERROR(MATCH($C980,Parties!$A$5:$A$304,0),"")),"")</f>
        <v/>
      </c>
      <c r="W980" s="60" t="str">
        <f aca="false">IF(IsPro,IF($B980="","",IFERROR(VALUE(SUBSTITUTE($B980,InvPrefix,"")),0)),"")</f>
        <v/>
      </c>
      <c r="X980" s="61" t="str">
        <f aca="false">IF(IsPro,IF($D980="","",IF(OR($H980="",$H980="Credit"),0,Q980)),"")</f>
        <v/>
      </c>
    </row>
    <row r="981" customFormat="false" ht="15" hidden="false" customHeight="false" outlineLevel="0" collapsed="false">
      <c r="A981" s="55"/>
      <c r="B981" s="56"/>
      <c r="C981" s="56"/>
      <c r="D981" s="56"/>
      <c r="E981" s="57"/>
      <c r="F981" s="58"/>
      <c r="G981" s="59"/>
      <c r="H981" s="56"/>
      <c r="I981" s="56"/>
      <c r="J981" s="60" t="str">
        <f aca="false">IF(IsPro,IF($D981="","",IFERROR(INDEX(Items!$D$5:$D$504,U981),"")),"")</f>
        <v/>
      </c>
      <c r="K981" s="61" t="str">
        <f aca="false">IF(IsPro,IF($D981="","",IF($F981="",IFERROR(INDEX(Items!$H$5:$H$504,U981),0),$F981)),"")</f>
        <v/>
      </c>
      <c r="L981" s="61" t="str">
        <f aca="false">IF(IsPro,IF($D981="","",ROUND(N($E981)*K981*(1-N($G981)),2)),"")</f>
        <v/>
      </c>
      <c r="M981" s="62" t="str">
        <f aca="false">IF(IsPro,IF($D981="","",IFERROR(INDEX(Items!$F$5:$F$504,U981),0)),"")</f>
        <v/>
      </c>
      <c r="N981" s="61" t="str">
        <f aca="false">IF(IsPro,IF($D981="","",IF(AND(V981&lt;&gt;"",INDEX(Parties!$E$5:$E$304,V981)&lt;&gt;"",INDEX(Parties!$E$5:$E$304,V981)&lt;&gt;HomeState),0,ROUND(L981*M981/2,2))),"")</f>
        <v/>
      </c>
      <c r="O981" s="61" t="str">
        <f aca="false">IF(IsPro,IF($D981="","",N981),"")</f>
        <v/>
      </c>
      <c r="P981" s="61" t="str">
        <f aca="false">IF(IsPro,IF($D981="","",IF(AND(V981&lt;&gt;"",INDEX(Parties!$E$5:$E$304,V981)&lt;&gt;"",INDEX(Parties!$E$5:$E$304,V981)&lt;&gt;HomeState),ROUND(L981*M981,2),0)),"")</f>
        <v/>
      </c>
      <c r="Q981" s="61" t="str">
        <f aca="false">IF(IsPro,IF($D981="","",L981+N981+O981+P981),"")</f>
        <v/>
      </c>
      <c r="R981" s="61" t="str">
        <f aca="false">IF(IsPro,IF($D981="","",ROUND(N($E981)*IFERROR(INDEX(Items!$P$5:$P$504,U981),0),2)),"")</f>
        <v/>
      </c>
      <c r="S981" s="61" t="str">
        <f aca="false">IF(IsPro,IF($D981="","",L981-R981),"")</f>
        <v/>
      </c>
      <c r="T981" s="60" t="str">
        <f aca="false">IF(IsPro,IF($D981="","",IF(U981="","UNKNOWN ITEM",IF(INDEX(Items!$O$5:$O$504,U981)&lt;0,"NEG STOCK",IF(K981&lt;INDEX(Items!$P$5:$P$504,U981),"BELOW COST","OK")))),IF($D981="","","PRO PLAN"))</f>
        <v/>
      </c>
      <c r="U981" s="60" t="str">
        <f aca="false">IF(IsPro,IF($D981="","",IFERROR(MATCH($D981,Items!$A$5:$A$504,0),"")),"")</f>
        <v/>
      </c>
      <c r="V981" s="60" t="str">
        <f aca="false">IF(IsPro,IF($C981="","",IFERROR(MATCH($C981,Parties!$A$5:$A$304,0),"")),"")</f>
        <v/>
      </c>
      <c r="W981" s="60" t="str">
        <f aca="false">IF(IsPro,IF($B981="","",IFERROR(VALUE(SUBSTITUTE($B981,InvPrefix,"")),0)),"")</f>
        <v/>
      </c>
      <c r="X981" s="61" t="str">
        <f aca="false">IF(IsPro,IF($D981="","",IF(OR($H981="",$H981="Credit"),0,Q981)),"")</f>
        <v/>
      </c>
    </row>
    <row r="982" customFormat="false" ht="15" hidden="false" customHeight="false" outlineLevel="0" collapsed="false">
      <c r="A982" s="55"/>
      <c r="B982" s="56"/>
      <c r="C982" s="56"/>
      <c r="D982" s="56"/>
      <c r="E982" s="57"/>
      <c r="F982" s="58"/>
      <c r="G982" s="59"/>
      <c r="H982" s="56"/>
      <c r="I982" s="56"/>
      <c r="J982" s="60" t="str">
        <f aca="false">IF(IsPro,IF($D982="","",IFERROR(INDEX(Items!$D$5:$D$504,U982),"")),"")</f>
        <v/>
      </c>
      <c r="K982" s="61" t="str">
        <f aca="false">IF(IsPro,IF($D982="","",IF($F982="",IFERROR(INDEX(Items!$H$5:$H$504,U982),0),$F982)),"")</f>
        <v/>
      </c>
      <c r="L982" s="61" t="str">
        <f aca="false">IF(IsPro,IF($D982="","",ROUND(N($E982)*K982*(1-N($G982)),2)),"")</f>
        <v/>
      </c>
      <c r="M982" s="62" t="str">
        <f aca="false">IF(IsPro,IF($D982="","",IFERROR(INDEX(Items!$F$5:$F$504,U982),0)),"")</f>
        <v/>
      </c>
      <c r="N982" s="61" t="str">
        <f aca="false">IF(IsPro,IF($D982="","",IF(AND(V982&lt;&gt;"",INDEX(Parties!$E$5:$E$304,V982)&lt;&gt;"",INDEX(Parties!$E$5:$E$304,V982)&lt;&gt;HomeState),0,ROUND(L982*M982/2,2))),"")</f>
        <v/>
      </c>
      <c r="O982" s="61" t="str">
        <f aca="false">IF(IsPro,IF($D982="","",N982),"")</f>
        <v/>
      </c>
      <c r="P982" s="61" t="str">
        <f aca="false">IF(IsPro,IF($D982="","",IF(AND(V982&lt;&gt;"",INDEX(Parties!$E$5:$E$304,V982)&lt;&gt;"",INDEX(Parties!$E$5:$E$304,V982)&lt;&gt;HomeState),ROUND(L982*M982,2),0)),"")</f>
        <v/>
      </c>
      <c r="Q982" s="61" t="str">
        <f aca="false">IF(IsPro,IF($D982="","",L982+N982+O982+P982),"")</f>
        <v/>
      </c>
      <c r="R982" s="61" t="str">
        <f aca="false">IF(IsPro,IF($D982="","",ROUND(N($E982)*IFERROR(INDEX(Items!$P$5:$P$504,U982),0),2)),"")</f>
        <v/>
      </c>
      <c r="S982" s="61" t="str">
        <f aca="false">IF(IsPro,IF($D982="","",L982-R982),"")</f>
        <v/>
      </c>
      <c r="T982" s="60" t="str">
        <f aca="false">IF(IsPro,IF($D982="","",IF(U982="","UNKNOWN ITEM",IF(INDEX(Items!$O$5:$O$504,U982)&lt;0,"NEG STOCK",IF(K982&lt;INDEX(Items!$P$5:$P$504,U982),"BELOW COST","OK")))),IF($D982="","","PRO PLAN"))</f>
        <v/>
      </c>
      <c r="U982" s="60" t="str">
        <f aca="false">IF(IsPro,IF($D982="","",IFERROR(MATCH($D982,Items!$A$5:$A$504,0),"")),"")</f>
        <v/>
      </c>
      <c r="V982" s="60" t="str">
        <f aca="false">IF(IsPro,IF($C982="","",IFERROR(MATCH($C982,Parties!$A$5:$A$304,0),"")),"")</f>
        <v/>
      </c>
      <c r="W982" s="60" t="str">
        <f aca="false">IF(IsPro,IF($B982="","",IFERROR(VALUE(SUBSTITUTE($B982,InvPrefix,"")),0)),"")</f>
        <v/>
      </c>
      <c r="X982" s="61" t="str">
        <f aca="false">IF(IsPro,IF($D982="","",IF(OR($H982="",$H982="Credit"),0,Q982)),"")</f>
        <v/>
      </c>
    </row>
    <row r="983" customFormat="false" ht="15" hidden="false" customHeight="false" outlineLevel="0" collapsed="false">
      <c r="A983" s="55"/>
      <c r="B983" s="56"/>
      <c r="C983" s="56"/>
      <c r="D983" s="56"/>
      <c r="E983" s="57"/>
      <c r="F983" s="58"/>
      <c r="G983" s="59"/>
      <c r="H983" s="56"/>
      <c r="I983" s="56"/>
      <c r="J983" s="60" t="str">
        <f aca="false">IF(IsPro,IF($D983="","",IFERROR(INDEX(Items!$D$5:$D$504,U983),"")),"")</f>
        <v/>
      </c>
      <c r="K983" s="61" t="str">
        <f aca="false">IF(IsPro,IF($D983="","",IF($F983="",IFERROR(INDEX(Items!$H$5:$H$504,U983),0),$F983)),"")</f>
        <v/>
      </c>
      <c r="L983" s="61" t="str">
        <f aca="false">IF(IsPro,IF($D983="","",ROUND(N($E983)*K983*(1-N($G983)),2)),"")</f>
        <v/>
      </c>
      <c r="M983" s="62" t="str">
        <f aca="false">IF(IsPro,IF($D983="","",IFERROR(INDEX(Items!$F$5:$F$504,U983),0)),"")</f>
        <v/>
      </c>
      <c r="N983" s="61" t="str">
        <f aca="false">IF(IsPro,IF($D983="","",IF(AND(V983&lt;&gt;"",INDEX(Parties!$E$5:$E$304,V983)&lt;&gt;"",INDEX(Parties!$E$5:$E$304,V983)&lt;&gt;HomeState),0,ROUND(L983*M983/2,2))),"")</f>
        <v/>
      </c>
      <c r="O983" s="61" t="str">
        <f aca="false">IF(IsPro,IF($D983="","",N983),"")</f>
        <v/>
      </c>
      <c r="P983" s="61" t="str">
        <f aca="false">IF(IsPro,IF($D983="","",IF(AND(V983&lt;&gt;"",INDEX(Parties!$E$5:$E$304,V983)&lt;&gt;"",INDEX(Parties!$E$5:$E$304,V983)&lt;&gt;HomeState),ROUND(L983*M983,2),0)),"")</f>
        <v/>
      </c>
      <c r="Q983" s="61" t="str">
        <f aca="false">IF(IsPro,IF($D983="","",L983+N983+O983+P983),"")</f>
        <v/>
      </c>
      <c r="R983" s="61" t="str">
        <f aca="false">IF(IsPro,IF($D983="","",ROUND(N($E983)*IFERROR(INDEX(Items!$P$5:$P$504,U983),0),2)),"")</f>
        <v/>
      </c>
      <c r="S983" s="61" t="str">
        <f aca="false">IF(IsPro,IF($D983="","",L983-R983),"")</f>
        <v/>
      </c>
      <c r="T983" s="60" t="str">
        <f aca="false">IF(IsPro,IF($D983="","",IF(U983="","UNKNOWN ITEM",IF(INDEX(Items!$O$5:$O$504,U983)&lt;0,"NEG STOCK",IF(K983&lt;INDEX(Items!$P$5:$P$504,U983),"BELOW COST","OK")))),IF($D983="","","PRO PLAN"))</f>
        <v/>
      </c>
      <c r="U983" s="60" t="str">
        <f aca="false">IF(IsPro,IF($D983="","",IFERROR(MATCH($D983,Items!$A$5:$A$504,0),"")),"")</f>
        <v/>
      </c>
      <c r="V983" s="60" t="str">
        <f aca="false">IF(IsPro,IF($C983="","",IFERROR(MATCH($C983,Parties!$A$5:$A$304,0),"")),"")</f>
        <v/>
      </c>
      <c r="W983" s="60" t="str">
        <f aca="false">IF(IsPro,IF($B983="","",IFERROR(VALUE(SUBSTITUTE($B983,InvPrefix,"")),0)),"")</f>
        <v/>
      </c>
      <c r="X983" s="61" t="str">
        <f aca="false">IF(IsPro,IF($D983="","",IF(OR($H983="",$H983="Credit"),0,Q983)),"")</f>
        <v/>
      </c>
    </row>
    <row r="984" customFormat="false" ht="15" hidden="false" customHeight="false" outlineLevel="0" collapsed="false">
      <c r="A984" s="55"/>
      <c r="B984" s="56"/>
      <c r="C984" s="56"/>
      <c r="D984" s="56"/>
      <c r="E984" s="57"/>
      <c r="F984" s="58"/>
      <c r="G984" s="59"/>
      <c r="H984" s="56"/>
      <c r="I984" s="56"/>
      <c r="J984" s="60" t="str">
        <f aca="false">IF(IsPro,IF($D984="","",IFERROR(INDEX(Items!$D$5:$D$504,U984),"")),"")</f>
        <v/>
      </c>
      <c r="K984" s="61" t="str">
        <f aca="false">IF(IsPro,IF($D984="","",IF($F984="",IFERROR(INDEX(Items!$H$5:$H$504,U984),0),$F984)),"")</f>
        <v/>
      </c>
      <c r="L984" s="61" t="str">
        <f aca="false">IF(IsPro,IF($D984="","",ROUND(N($E984)*K984*(1-N($G984)),2)),"")</f>
        <v/>
      </c>
      <c r="M984" s="62" t="str">
        <f aca="false">IF(IsPro,IF($D984="","",IFERROR(INDEX(Items!$F$5:$F$504,U984),0)),"")</f>
        <v/>
      </c>
      <c r="N984" s="61" t="str">
        <f aca="false">IF(IsPro,IF($D984="","",IF(AND(V984&lt;&gt;"",INDEX(Parties!$E$5:$E$304,V984)&lt;&gt;"",INDEX(Parties!$E$5:$E$304,V984)&lt;&gt;HomeState),0,ROUND(L984*M984/2,2))),"")</f>
        <v/>
      </c>
      <c r="O984" s="61" t="str">
        <f aca="false">IF(IsPro,IF($D984="","",N984),"")</f>
        <v/>
      </c>
      <c r="P984" s="61" t="str">
        <f aca="false">IF(IsPro,IF($D984="","",IF(AND(V984&lt;&gt;"",INDEX(Parties!$E$5:$E$304,V984)&lt;&gt;"",INDEX(Parties!$E$5:$E$304,V984)&lt;&gt;HomeState),ROUND(L984*M984,2),0)),"")</f>
        <v/>
      </c>
      <c r="Q984" s="61" t="str">
        <f aca="false">IF(IsPro,IF($D984="","",L984+N984+O984+P984),"")</f>
        <v/>
      </c>
      <c r="R984" s="61" t="str">
        <f aca="false">IF(IsPro,IF($D984="","",ROUND(N($E984)*IFERROR(INDEX(Items!$P$5:$P$504,U984),0),2)),"")</f>
        <v/>
      </c>
      <c r="S984" s="61" t="str">
        <f aca="false">IF(IsPro,IF($D984="","",L984-R984),"")</f>
        <v/>
      </c>
      <c r="T984" s="60" t="str">
        <f aca="false">IF(IsPro,IF($D984="","",IF(U984="","UNKNOWN ITEM",IF(INDEX(Items!$O$5:$O$504,U984)&lt;0,"NEG STOCK",IF(K984&lt;INDEX(Items!$P$5:$P$504,U984),"BELOW COST","OK")))),IF($D984="","","PRO PLAN"))</f>
        <v/>
      </c>
      <c r="U984" s="60" t="str">
        <f aca="false">IF(IsPro,IF($D984="","",IFERROR(MATCH($D984,Items!$A$5:$A$504,0),"")),"")</f>
        <v/>
      </c>
      <c r="V984" s="60" t="str">
        <f aca="false">IF(IsPro,IF($C984="","",IFERROR(MATCH($C984,Parties!$A$5:$A$304,0),"")),"")</f>
        <v/>
      </c>
      <c r="W984" s="60" t="str">
        <f aca="false">IF(IsPro,IF($B984="","",IFERROR(VALUE(SUBSTITUTE($B984,InvPrefix,"")),0)),"")</f>
        <v/>
      </c>
      <c r="X984" s="61" t="str">
        <f aca="false">IF(IsPro,IF($D984="","",IF(OR($H984="",$H984="Credit"),0,Q984)),"")</f>
        <v/>
      </c>
    </row>
    <row r="985" customFormat="false" ht="15" hidden="false" customHeight="false" outlineLevel="0" collapsed="false">
      <c r="A985" s="55"/>
      <c r="B985" s="56"/>
      <c r="C985" s="56"/>
      <c r="D985" s="56"/>
      <c r="E985" s="57"/>
      <c r="F985" s="58"/>
      <c r="G985" s="59"/>
      <c r="H985" s="56"/>
      <c r="I985" s="56"/>
      <c r="J985" s="60" t="str">
        <f aca="false">IF(IsPro,IF($D985="","",IFERROR(INDEX(Items!$D$5:$D$504,U985),"")),"")</f>
        <v/>
      </c>
      <c r="K985" s="61" t="str">
        <f aca="false">IF(IsPro,IF($D985="","",IF($F985="",IFERROR(INDEX(Items!$H$5:$H$504,U985),0),$F985)),"")</f>
        <v/>
      </c>
      <c r="L985" s="61" t="str">
        <f aca="false">IF(IsPro,IF($D985="","",ROUND(N($E985)*K985*(1-N($G985)),2)),"")</f>
        <v/>
      </c>
      <c r="M985" s="62" t="str">
        <f aca="false">IF(IsPro,IF($D985="","",IFERROR(INDEX(Items!$F$5:$F$504,U985),0)),"")</f>
        <v/>
      </c>
      <c r="N985" s="61" t="str">
        <f aca="false">IF(IsPro,IF($D985="","",IF(AND(V985&lt;&gt;"",INDEX(Parties!$E$5:$E$304,V985)&lt;&gt;"",INDEX(Parties!$E$5:$E$304,V985)&lt;&gt;HomeState),0,ROUND(L985*M985/2,2))),"")</f>
        <v/>
      </c>
      <c r="O985" s="61" t="str">
        <f aca="false">IF(IsPro,IF($D985="","",N985),"")</f>
        <v/>
      </c>
      <c r="P985" s="61" t="str">
        <f aca="false">IF(IsPro,IF($D985="","",IF(AND(V985&lt;&gt;"",INDEX(Parties!$E$5:$E$304,V985)&lt;&gt;"",INDEX(Parties!$E$5:$E$304,V985)&lt;&gt;HomeState),ROUND(L985*M985,2),0)),"")</f>
        <v/>
      </c>
      <c r="Q985" s="61" t="str">
        <f aca="false">IF(IsPro,IF($D985="","",L985+N985+O985+P985),"")</f>
        <v/>
      </c>
      <c r="R985" s="61" t="str">
        <f aca="false">IF(IsPro,IF($D985="","",ROUND(N($E985)*IFERROR(INDEX(Items!$P$5:$P$504,U985),0),2)),"")</f>
        <v/>
      </c>
      <c r="S985" s="61" t="str">
        <f aca="false">IF(IsPro,IF($D985="","",L985-R985),"")</f>
        <v/>
      </c>
      <c r="T985" s="60" t="str">
        <f aca="false">IF(IsPro,IF($D985="","",IF(U985="","UNKNOWN ITEM",IF(INDEX(Items!$O$5:$O$504,U985)&lt;0,"NEG STOCK",IF(K985&lt;INDEX(Items!$P$5:$P$504,U985),"BELOW COST","OK")))),IF($D985="","","PRO PLAN"))</f>
        <v/>
      </c>
      <c r="U985" s="60" t="str">
        <f aca="false">IF(IsPro,IF($D985="","",IFERROR(MATCH($D985,Items!$A$5:$A$504,0),"")),"")</f>
        <v/>
      </c>
      <c r="V985" s="60" t="str">
        <f aca="false">IF(IsPro,IF($C985="","",IFERROR(MATCH($C985,Parties!$A$5:$A$304,0),"")),"")</f>
        <v/>
      </c>
      <c r="W985" s="60" t="str">
        <f aca="false">IF(IsPro,IF($B985="","",IFERROR(VALUE(SUBSTITUTE($B985,InvPrefix,"")),0)),"")</f>
        <v/>
      </c>
      <c r="X985" s="61" t="str">
        <f aca="false">IF(IsPro,IF($D985="","",IF(OR($H985="",$H985="Credit"),0,Q985)),"")</f>
        <v/>
      </c>
    </row>
    <row r="986" customFormat="false" ht="15" hidden="false" customHeight="false" outlineLevel="0" collapsed="false">
      <c r="A986" s="55"/>
      <c r="B986" s="56"/>
      <c r="C986" s="56"/>
      <c r="D986" s="56"/>
      <c r="E986" s="57"/>
      <c r="F986" s="58"/>
      <c r="G986" s="59"/>
      <c r="H986" s="56"/>
      <c r="I986" s="56"/>
      <c r="J986" s="60" t="str">
        <f aca="false">IF(IsPro,IF($D986="","",IFERROR(INDEX(Items!$D$5:$D$504,U986),"")),"")</f>
        <v/>
      </c>
      <c r="K986" s="61" t="str">
        <f aca="false">IF(IsPro,IF($D986="","",IF($F986="",IFERROR(INDEX(Items!$H$5:$H$504,U986),0),$F986)),"")</f>
        <v/>
      </c>
      <c r="L986" s="61" t="str">
        <f aca="false">IF(IsPro,IF($D986="","",ROUND(N($E986)*K986*(1-N($G986)),2)),"")</f>
        <v/>
      </c>
      <c r="M986" s="62" t="str">
        <f aca="false">IF(IsPro,IF($D986="","",IFERROR(INDEX(Items!$F$5:$F$504,U986),0)),"")</f>
        <v/>
      </c>
      <c r="N986" s="61" t="str">
        <f aca="false">IF(IsPro,IF($D986="","",IF(AND(V986&lt;&gt;"",INDEX(Parties!$E$5:$E$304,V986)&lt;&gt;"",INDEX(Parties!$E$5:$E$304,V986)&lt;&gt;HomeState),0,ROUND(L986*M986/2,2))),"")</f>
        <v/>
      </c>
      <c r="O986" s="61" t="str">
        <f aca="false">IF(IsPro,IF($D986="","",N986),"")</f>
        <v/>
      </c>
      <c r="P986" s="61" t="str">
        <f aca="false">IF(IsPro,IF($D986="","",IF(AND(V986&lt;&gt;"",INDEX(Parties!$E$5:$E$304,V986)&lt;&gt;"",INDEX(Parties!$E$5:$E$304,V986)&lt;&gt;HomeState),ROUND(L986*M986,2),0)),"")</f>
        <v/>
      </c>
      <c r="Q986" s="61" t="str">
        <f aca="false">IF(IsPro,IF($D986="","",L986+N986+O986+P986),"")</f>
        <v/>
      </c>
      <c r="R986" s="61" t="str">
        <f aca="false">IF(IsPro,IF($D986="","",ROUND(N($E986)*IFERROR(INDEX(Items!$P$5:$P$504,U986),0),2)),"")</f>
        <v/>
      </c>
      <c r="S986" s="61" t="str">
        <f aca="false">IF(IsPro,IF($D986="","",L986-R986),"")</f>
        <v/>
      </c>
      <c r="T986" s="60" t="str">
        <f aca="false">IF(IsPro,IF($D986="","",IF(U986="","UNKNOWN ITEM",IF(INDEX(Items!$O$5:$O$504,U986)&lt;0,"NEG STOCK",IF(K986&lt;INDEX(Items!$P$5:$P$504,U986),"BELOW COST","OK")))),IF($D986="","","PRO PLAN"))</f>
        <v/>
      </c>
      <c r="U986" s="60" t="str">
        <f aca="false">IF(IsPro,IF($D986="","",IFERROR(MATCH($D986,Items!$A$5:$A$504,0),"")),"")</f>
        <v/>
      </c>
      <c r="V986" s="60" t="str">
        <f aca="false">IF(IsPro,IF($C986="","",IFERROR(MATCH($C986,Parties!$A$5:$A$304,0),"")),"")</f>
        <v/>
      </c>
      <c r="W986" s="60" t="str">
        <f aca="false">IF(IsPro,IF($B986="","",IFERROR(VALUE(SUBSTITUTE($B986,InvPrefix,"")),0)),"")</f>
        <v/>
      </c>
      <c r="X986" s="61" t="str">
        <f aca="false">IF(IsPro,IF($D986="","",IF(OR($H986="",$H986="Credit"),0,Q986)),"")</f>
        <v/>
      </c>
    </row>
    <row r="987" customFormat="false" ht="15" hidden="false" customHeight="false" outlineLevel="0" collapsed="false">
      <c r="A987" s="55"/>
      <c r="B987" s="56"/>
      <c r="C987" s="56"/>
      <c r="D987" s="56"/>
      <c r="E987" s="57"/>
      <c r="F987" s="58"/>
      <c r="G987" s="59"/>
      <c r="H987" s="56"/>
      <c r="I987" s="56"/>
      <c r="J987" s="60" t="str">
        <f aca="false">IF(IsPro,IF($D987="","",IFERROR(INDEX(Items!$D$5:$D$504,U987),"")),"")</f>
        <v/>
      </c>
      <c r="K987" s="61" t="str">
        <f aca="false">IF(IsPro,IF($D987="","",IF($F987="",IFERROR(INDEX(Items!$H$5:$H$504,U987),0),$F987)),"")</f>
        <v/>
      </c>
      <c r="L987" s="61" t="str">
        <f aca="false">IF(IsPro,IF($D987="","",ROUND(N($E987)*K987*(1-N($G987)),2)),"")</f>
        <v/>
      </c>
      <c r="M987" s="62" t="str">
        <f aca="false">IF(IsPro,IF($D987="","",IFERROR(INDEX(Items!$F$5:$F$504,U987),0)),"")</f>
        <v/>
      </c>
      <c r="N987" s="61" t="str">
        <f aca="false">IF(IsPro,IF($D987="","",IF(AND(V987&lt;&gt;"",INDEX(Parties!$E$5:$E$304,V987)&lt;&gt;"",INDEX(Parties!$E$5:$E$304,V987)&lt;&gt;HomeState),0,ROUND(L987*M987/2,2))),"")</f>
        <v/>
      </c>
      <c r="O987" s="61" t="str">
        <f aca="false">IF(IsPro,IF($D987="","",N987),"")</f>
        <v/>
      </c>
      <c r="P987" s="61" t="str">
        <f aca="false">IF(IsPro,IF($D987="","",IF(AND(V987&lt;&gt;"",INDEX(Parties!$E$5:$E$304,V987)&lt;&gt;"",INDEX(Parties!$E$5:$E$304,V987)&lt;&gt;HomeState),ROUND(L987*M987,2),0)),"")</f>
        <v/>
      </c>
      <c r="Q987" s="61" t="str">
        <f aca="false">IF(IsPro,IF($D987="","",L987+N987+O987+P987),"")</f>
        <v/>
      </c>
      <c r="R987" s="61" t="str">
        <f aca="false">IF(IsPro,IF($D987="","",ROUND(N($E987)*IFERROR(INDEX(Items!$P$5:$P$504,U987),0),2)),"")</f>
        <v/>
      </c>
      <c r="S987" s="61" t="str">
        <f aca="false">IF(IsPro,IF($D987="","",L987-R987),"")</f>
        <v/>
      </c>
      <c r="T987" s="60" t="str">
        <f aca="false">IF(IsPro,IF($D987="","",IF(U987="","UNKNOWN ITEM",IF(INDEX(Items!$O$5:$O$504,U987)&lt;0,"NEG STOCK",IF(K987&lt;INDEX(Items!$P$5:$P$504,U987),"BELOW COST","OK")))),IF($D987="","","PRO PLAN"))</f>
        <v/>
      </c>
      <c r="U987" s="60" t="str">
        <f aca="false">IF(IsPro,IF($D987="","",IFERROR(MATCH($D987,Items!$A$5:$A$504,0),"")),"")</f>
        <v/>
      </c>
      <c r="V987" s="60" t="str">
        <f aca="false">IF(IsPro,IF($C987="","",IFERROR(MATCH($C987,Parties!$A$5:$A$304,0),"")),"")</f>
        <v/>
      </c>
      <c r="W987" s="60" t="str">
        <f aca="false">IF(IsPro,IF($B987="","",IFERROR(VALUE(SUBSTITUTE($B987,InvPrefix,"")),0)),"")</f>
        <v/>
      </c>
      <c r="X987" s="61" t="str">
        <f aca="false">IF(IsPro,IF($D987="","",IF(OR($H987="",$H987="Credit"),0,Q987)),"")</f>
        <v/>
      </c>
    </row>
    <row r="988" customFormat="false" ht="15" hidden="false" customHeight="false" outlineLevel="0" collapsed="false">
      <c r="A988" s="55"/>
      <c r="B988" s="56"/>
      <c r="C988" s="56"/>
      <c r="D988" s="56"/>
      <c r="E988" s="57"/>
      <c r="F988" s="58"/>
      <c r="G988" s="59"/>
      <c r="H988" s="56"/>
      <c r="I988" s="56"/>
      <c r="J988" s="60" t="str">
        <f aca="false">IF(IsPro,IF($D988="","",IFERROR(INDEX(Items!$D$5:$D$504,U988),"")),"")</f>
        <v/>
      </c>
      <c r="K988" s="61" t="str">
        <f aca="false">IF(IsPro,IF($D988="","",IF($F988="",IFERROR(INDEX(Items!$H$5:$H$504,U988),0),$F988)),"")</f>
        <v/>
      </c>
      <c r="L988" s="61" t="str">
        <f aca="false">IF(IsPro,IF($D988="","",ROUND(N($E988)*K988*(1-N($G988)),2)),"")</f>
        <v/>
      </c>
      <c r="M988" s="62" t="str">
        <f aca="false">IF(IsPro,IF($D988="","",IFERROR(INDEX(Items!$F$5:$F$504,U988),0)),"")</f>
        <v/>
      </c>
      <c r="N988" s="61" t="str">
        <f aca="false">IF(IsPro,IF($D988="","",IF(AND(V988&lt;&gt;"",INDEX(Parties!$E$5:$E$304,V988)&lt;&gt;"",INDEX(Parties!$E$5:$E$304,V988)&lt;&gt;HomeState),0,ROUND(L988*M988/2,2))),"")</f>
        <v/>
      </c>
      <c r="O988" s="61" t="str">
        <f aca="false">IF(IsPro,IF($D988="","",N988),"")</f>
        <v/>
      </c>
      <c r="P988" s="61" t="str">
        <f aca="false">IF(IsPro,IF($D988="","",IF(AND(V988&lt;&gt;"",INDEX(Parties!$E$5:$E$304,V988)&lt;&gt;"",INDEX(Parties!$E$5:$E$304,V988)&lt;&gt;HomeState),ROUND(L988*M988,2),0)),"")</f>
        <v/>
      </c>
      <c r="Q988" s="61" t="str">
        <f aca="false">IF(IsPro,IF($D988="","",L988+N988+O988+P988),"")</f>
        <v/>
      </c>
      <c r="R988" s="61" t="str">
        <f aca="false">IF(IsPro,IF($D988="","",ROUND(N($E988)*IFERROR(INDEX(Items!$P$5:$P$504,U988),0),2)),"")</f>
        <v/>
      </c>
      <c r="S988" s="61" t="str">
        <f aca="false">IF(IsPro,IF($D988="","",L988-R988),"")</f>
        <v/>
      </c>
      <c r="T988" s="60" t="str">
        <f aca="false">IF(IsPro,IF($D988="","",IF(U988="","UNKNOWN ITEM",IF(INDEX(Items!$O$5:$O$504,U988)&lt;0,"NEG STOCK",IF(K988&lt;INDEX(Items!$P$5:$P$504,U988),"BELOW COST","OK")))),IF($D988="","","PRO PLAN"))</f>
        <v/>
      </c>
      <c r="U988" s="60" t="str">
        <f aca="false">IF(IsPro,IF($D988="","",IFERROR(MATCH($D988,Items!$A$5:$A$504,0),"")),"")</f>
        <v/>
      </c>
      <c r="V988" s="60" t="str">
        <f aca="false">IF(IsPro,IF($C988="","",IFERROR(MATCH($C988,Parties!$A$5:$A$304,0),"")),"")</f>
        <v/>
      </c>
      <c r="W988" s="60" t="str">
        <f aca="false">IF(IsPro,IF($B988="","",IFERROR(VALUE(SUBSTITUTE($B988,InvPrefix,"")),0)),"")</f>
        <v/>
      </c>
      <c r="X988" s="61" t="str">
        <f aca="false">IF(IsPro,IF($D988="","",IF(OR($H988="",$H988="Credit"),0,Q988)),"")</f>
        <v/>
      </c>
    </row>
    <row r="989" customFormat="false" ht="15" hidden="false" customHeight="false" outlineLevel="0" collapsed="false">
      <c r="A989" s="55"/>
      <c r="B989" s="56"/>
      <c r="C989" s="56"/>
      <c r="D989" s="56"/>
      <c r="E989" s="57"/>
      <c r="F989" s="58"/>
      <c r="G989" s="59"/>
      <c r="H989" s="56"/>
      <c r="I989" s="56"/>
      <c r="J989" s="60" t="str">
        <f aca="false">IF(IsPro,IF($D989="","",IFERROR(INDEX(Items!$D$5:$D$504,U989),"")),"")</f>
        <v/>
      </c>
      <c r="K989" s="61" t="str">
        <f aca="false">IF(IsPro,IF($D989="","",IF($F989="",IFERROR(INDEX(Items!$H$5:$H$504,U989),0),$F989)),"")</f>
        <v/>
      </c>
      <c r="L989" s="61" t="str">
        <f aca="false">IF(IsPro,IF($D989="","",ROUND(N($E989)*K989*(1-N($G989)),2)),"")</f>
        <v/>
      </c>
      <c r="M989" s="62" t="str">
        <f aca="false">IF(IsPro,IF($D989="","",IFERROR(INDEX(Items!$F$5:$F$504,U989),0)),"")</f>
        <v/>
      </c>
      <c r="N989" s="61" t="str">
        <f aca="false">IF(IsPro,IF($D989="","",IF(AND(V989&lt;&gt;"",INDEX(Parties!$E$5:$E$304,V989)&lt;&gt;"",INDEX(Parties!$E$5:$E$304,V989)&lt;&gt;HomeState),0,ROUND(L989*M989/2,2))),"")</f>
        <v/>
      </c>
      <c r="O989" s="61" t="str">
        <f aca="false">IF(IsPro,IF($D989="","",N989),"")</f>
        <v/>
      </c>
      <c r="P989" s="61" t="str">
        <f aca="false">IF(IsPro,IF($D989="","",IF(AND(V989&lt;&gt;"",INDEX(Parties!$E$5:$E$304,V989)&lt;&gt;"",INDEX(Parties!$E$5:$E$304,V989)&lt;&gt;HomeState),ROUND(L989*M989,2),0)),"")</f>
        <v/>
      </c>
      <c r="Q989" s="61" t="str">
        <f aca="false">IF(IsPro,IF($D989="","",L989+N989+O989+P989),"")</f>
        <v/>
      </c>
      <c r="R989" s="61" t="str">
        <f aca="false">IF(IsPro,IF($D989="","",ROUND(N($E989)*IFERROR(INDEX(Items!$P$5:$P$504,U989),0),2)),"")</f>
        <v/>
      </c>
      <c r="S989" s="61" t="str">
        <f aca="false">IF(IsPro,IF($D989="","",L989-R989),"")</f>
        <v/>
      </c>
      <c r="T989" s="60" t="str">
        <f aca="false">IF(IsPro,IF($D989="","",IF(U989="","UNKNOWN ITEM",IF(INDEX(Items!$O$5:$O$504,U989)&lt;0,"NEG STOCK",IF(K989&lt;INDEX(Items!$P$5:$P$504,U989),"BELOW COST","OK")))),IF($D989="","","PRO PLAN"))</f>
        <v/>
      </c>
      <c r="U989" s="60" t="str">
        <f aca="false">IF(IsPro,IF($D989="","",IFERROR(MATCH($D989,Items!$A$5:$A$504,0),"")),"")</f>
        <v/>
      </c>
      <c r="V989" s="60" t="str">
        <f aca="false">IF(IsPro,IF($C989="","",IFERROR(MATCH($C989,Parties!$A$5:$A$304,0),"")),"")</f>
        <v/>
      </c>
      <c r="W989" s="60" t="str">
        <f aca="false">IF(IsPro,IF($B989="","",IFERROR(VALUE(SUBSTITUTE($B989,InvPrefix,"")),0)),"")</f>
        <v/>
      </c>
      <c r="X989" s="61" t="str">
        <f aca="false">IF(IsPro,IF($D989="","",IF(OR($H989="",$H989="Credit"),0,Q989)),"")</f>
        <v/>
      </c>
    </row>
    <row r="990" customFormat="false" ht="15" hidden="false" customHeight="false" outlineLevel="0" collapsed="false">
      <c r="A990" s="55"/>
      <c r="B990" s="56"/>
      <c r="C990" s="56"/>
      <c r="D990" s="56"/>
      <c r="E990" s="57"/>
      <c r="F990" s="58"/>
      <c r="G990" s="59"/>
      <c r="H990" s="56"/>
      <c r="I990" s="56"/>
      <c r="J990" s="60" t="str">
        <f aca="false">IF(IsPro,IF($D990="","",IFERROR(INDEX(Items!$D$5:$D$504,U990),"")),"")</f>
        <v/>
      </c>
      <c r="K990" s="61" t="str">
        <f aca="false">IF(IsPro,IF($D990="","",IF($F990="",IFERROR(INDEX(Items!$H$5:$H$504,U990),0),$F990)),"")</f>
        <v/>
      </c>
      <c r="L990" s="61" t="str">
        <f aca="false">IF(IsPro,IF($D990="","",ROUND(N($E990)*K990*(1-N($G990)),2)),"")</f>
        <v/>
      </c>
      <c r="M990" s="62" t="str">
        <f aca="false">IF(IsPro,IF($D990="","",IFERROR(INDEX(Items!$F$5:$F$504,U990),0)),"")</f>
        <v/>
      </c>
      <c r="N990" s="61" t="str">
        <f aca="false">IF(IsPro,IF($D990="","",IF(AND(V990&lt;&gt;"",INDEX(Parties!$E$5:$E$304,V990)&lt;&gt;"",INDEX(Parties!$E$5:$E$304,V990)&lt;&gt;HomeState),0,ROUND(L990*M990/2,2))),"")</f>
        <v/>
      </c>
      <c r="O990" s="61" t="str">
        <f aca="false">IF(IsPro,IF($D990="","",N990),"")</f>
        <v/>
      </c>
      <c r="P990" s="61" t="str">
        <f aca="false">IF(IsPro,IF($D990="","",IF(AND(V990&lt;&gt;"",INDEX(Parties!$E$5:$E$304,V990)&lt;&gt;"",INDEX(Parties!$E$5:$E$304,V990)&lt;&gt;HomeState),ROUND(L990*M990,2),0)),"")</f>
        <v/>
      </c>
      <c r="Q990" s="61" t="str">
        <f aca="false">IF(IsPro,IF($D990="","",L990+N990+O990+P990),"")</f>
        <v/>
      </c>
      <c r="R990" s="61" t="str">
        <f aca="false">IF(IsPro,IF($D990="","",ROUND(N($E990)*IFERROR(INDEX(Items!$P$5:$P$504,U990),0),2)),"")</f>
        <v/>
      </c>
      <c r="S990" s="61" t="str">
        <f aca="false">IF(IsPro,IF($D990="","",L990-R990),"")</f>
        <v/>
      </c>
      <c r="T990" s="60" t="str">
        <f aca="false">IF(IsPro,IF($D990="","",IF(U990="","UNKNOWN ITEM",IF(INDEX(Items!$O$5:$O$504,U990)&lt;0,"NEG STOCK",IF(K990&lt;INDEX(Items!$P$5:$P$504,U990),"BELOW COST","OK")))),IF($D990="","","PRO PLAN"))</f>
        <v/>
      </c>
      <c r="U990" s="60" t="str">
        <f aca="false">IF(IsPro,IF($D990="","",IFERROR(MATCH($D990,Items!$A$5:$A$504,0),"")),"")</f>
        <v/>
      </c>
      <c r="V990" s="60" t="str">
        <f aca="false">IF(IsPro,IF($C990="","",IFERROR(MATCH($C990,Parties!$A$5:$A$304,0),"")),"")</f>
        <v/>
      </c>
      <c r="W990" s="60" t="str">
        <f aca="false">IF(IsPro,IF($B990="","",IFERROR(VALUE(SUBSTITUTE($B990,InvPrefix,"")),0)),"")</f>
        <v/>
      </c>
      <c r="X990" s="61" t="str">
        <f aca="false">IF(IsPro,IF($D990="","",IF(OR($H990="",$H990="Credit"),0,Q990)),"")</f>
        <v/>
      </c>
    </row>
    <row r="991" customFormat="false" ht="15" hidden="false" customHeight="false" outlineLevel="0" collapsed="false">
      <c r="A991" s="55"/>
      <c r="B991" s="56"/>
      <c r="C991" s="56"/>
      <c r="D991" s="56"/>
      <c r="E991" s="57"/>
      <c r="F991" s="58"/>
      <c r="G991" s="59"/>
      <c r="H991" s="56"/>
      <c r="I991" s="56"/>
      <c r="J991" s="60" t="str">
        <f aca="false">IF(IsPro,IF($D991="","",IFERROR(INDEX(Items!$D$5:$D$504,U991),"")),"")</f>
        <v/>
      </c>
      <c r="K991" s="61" t="str">
        <f aca="false">IF(IsPro,IF($D991="","",IF($F991="",IFERROR(INDEX(Items!$H$5:$H$504,U991),0),$F991)),"")</f>
        <v/>
      </c>
      <c r="L991" s="61" t="str">
        <f aca="false">IF(IsPro,IF($D991="","",ROUND(N($E991)*K991*(1-N($G991)),2)),"")</f>
        <v/>
      </c>
      <c r="M991" s="62" t="str">
        <f aca="false">IF(IsPro,IF($D991="","",IFERROR(INDEX(Items!$F$5:$F$504,U991),0)),"")</f>
        <v/>
      </c>
      <c r="N991" s="61" t="str">
        <f aca="false">IF(IsPro,IF($D991="","",IF(AND(V991&lt;&gt;"",INDEX(Parties!$E$5:$E$304,V991)&lt;&gt;"",INDEX(Parties!$E$5:$E$304,V991)&lt;&gt;HomeState),0,ROUND(L991*M991/2,2))),"")</f>
        <v/>
      </c>
      <c r="O991" s="61" t="str">
        <f aca="false">IF(IsPro,IF($D991="","",N991),"")</f>
        <v/>
      </c>
      <c r="P991" s="61" t="str">
        <f aca="false">IF(IsPro,IF($D991="","",IF(AND(V991&lt;&gt;"",INDEX(Parties!$E$5:$E$304,V991)&lt;&gt;"",INDEX(Parties!$E$5:$E$304,V991)&lt;&gt;HomeState),ROUND(L991*M991,2),0)),"")</f>
        <v/>
      </c>
      <c r="Q991" s="61" t="str">
        <f aca="false">IF(IsPro,IF($D991="","",L991+N991+O991+P991),"")</f>
        <v/>
      </c>
      <c r="R991" s="61" t="str">
        <f aca="false">IF(IsPro,IF($D991="","",ROUND(N($E991)*IFERROR(INDEX(Items!$P$5:$P$504,U991),0),2)),"")</f>
        <v/>
      </c>
      <c r="S991" s="61" t="str">
        <f aca="false">IF(IsPro,IF($D991="","",L991-R991),"")</f>
        <v/>
      </c>
      <c r="T991" s="60" t="str">
        <f aca="false">IF(IsPro,IF($D991="","",IF(U991="","UNKNOWN ITEM",IF(INDEX(Items!$O$5:$O$504,U991)&lt;0,"NEG STOCK",IF(K991&lt;INDEX(Items!$P$5:$P$504,U991),"BELOW COST","OK")))),IF($D991="","","PRO PLAN"))</f>
        <v/>
      </c>
      <c r="U991" s="60" t="str">
        <f aca="false">IF(IsPro,IF($D991="","",IFERROR(MATCH($D991,Items!$A$5:$A$504,0),"")),"")</f>
        <v/>
      </c>
      <c r="V991" s="60" t="str">
        <f aca="false">IF(IsPro,IF($C991="","",IFERROR(MATCH($C991,Parties!$A$5:$A$304,0),"")),"")</f>
        <v/>
      </c>
      <c r="W991" s="60" t="str">
        <f aca="false">IF(IsPro,IF($B991="","",IFERROR(VALUE(SUBSTITUTE($B991,InvPrefix,"")),0)),"")</f>
        <v/>
      </c>
      <c r="X991" s="61" t="str">
        <f aca="false">IF(IsPro,IF($D991="","",IF(OR($H991="",$H991="Credit"),0,Q991)),"")</f>
        <v/>
      </c>
    </row>
    <row r="992" customFormat="false" ht="15" hidden="false" customHeight="false" outlineLevel="0" collapsed="false">
      <c r="A992" s="55"/>
      <c r="B992" s="56"/>
      <c r="C992" s="56"/>
      <c r="D992" s="56"/>
      <c r="E992" s="57"/>
      <c r="F992" s="58"/>
      <c r="G992" s="59"/>
      <c r="H992" s="56"/>
      <c r="I992" s="56"/>
      <c r="J992" s="60" t="str">
        <f aca="false">IF(IsPro,IF($D992="","",IFERROR(INDEX(Items!$D$5:$D$504,U992),"")),"")</f>
        <v/>
      </c>
      <c r="K992" s="61" t="str">
        <f aca="false">IF(IsPro,IF($D992="","",IF($F992="",IFERROR(INDEX(Items!$H$5:$H$504,U992),0),$F992)),"")</f>
        <v/>
      </c>
      <c r="L992" s="61" t="str">
        <f aca="false">IF(IsPro,IF($D992="","",ROUND(N($E992)*K992*(1-N($G992)),2)),"")</f>
        <v/>
      </c>
      <c r="M992" s="62" t="str">
        <f aca="false">IF(IsPro,IF($D992="","",IFERROR(INDEX(Items!$F$5:$F$504,U992),0)),"")</f>
        <v/>
      </c>
      <c r="N992" s="61" t="str">
        <f aca="false">IF(IsPro,IF($D992="","",IF(AND(V992&lt;&gt;"",INDEX(Parties!$E$5:$E$304,V992)&lt;&gt;"",INDEX(Parties!$E$5:$E$304,V992)&lt;&gt;HomeState),0,ROUND(L992*M992/2,2))),"")</f>
        <v/>
      </c>
      <c r="O992" s="61" t="str">
        <f aca="false">IF(IsPro,IF($D992="","",N992),"")</f>
        <v/>
      </c>
      <c r="P992" s="61" t="str">
        <f aca="false">IF(IsPro,IF($D992="","",IF(AND(V992&lt;&gt;"",INDEX(Parties!$E$5:$E$304,V992)&lt;&gt;"",INDEX(Parties!$E$5:$E$304,V992)&lt;&gt;HomeState),ROUND(L992*M992,2),0)),"")</f>
        <v/>
      </c>
      <c r="Q992" s="61" t="str">
        <f aca="false">IF(IsPro,IF($D992="","",L992+N992+O992+P992),"")</f>
        <v/>
      </c>
      <c r="R992" s="61" t="str">
        <f aca="false">IF(IsPro,IF($D992="","",ROUND(N($E992)*IFERROR(INDEX(Items!$P$5:$P$504,U992),0),2)),"")</f>
        <v/>
      </c>
      <c r="S992" s="61" t="str">
        <f aca="false">IF(IsPro,IF($D992="","",L992-R992),"")</f>
        <v/>
      </c>
      <c r="T992" s="60" t="str">
        <f aca="false">IF(IsPro,IF($D992="","",IF(U992="","UNKNOWN ITEM",IF(INDEX(Items!$O$5:$O$504,U992)&lt;0,"NEG STOCK",IF(K992&lt;INDEX(Items!$P$5:$P$504,U992),"BELOW COST","OK")))),IF($D992="","","PRO PLAN"))</f>
        <v/>
      </c>
      <c r="U992" s="60" t="str">
        <f aca="false">IF(IsPro,IF($D992="","",IFERROR(MATCH($D992,Items!$A$5:$A$504,0),"")),"")</f>
        <v/>
      </c>
      <c r="V992" s="60" t="str">
        <f aca="false">IF(IsPro,IF($C992="","",IFERROR(MATCH($C992,Parties!$A$5:$A$304,0),"")),"")</f>
        <v/>
      </c>
      <c r="W992" s="60" t="str">
        <f aca="false">IF(IsPro,IF($B992="","",IFERROR(VALUE(SUBSTITUTE($B992,InvPrefix,"")),0)),"")</f>
        <v/>
      </c>
      <c r="X992" s="61" t="str">
        <f aca="false">IF(IsPro,IF($D992="","",IF(OR($H992="",$H992="Credit"),0,Q992)),"")</f>
        <v/>
      </c>
    </row>
    <row r="993" customFormat="false" ht="15" hidden="false" customHeight="false" outlineLevel="0" collapsed="false">
      <c r="A993" s="55"/>
      <c r="B993" s="56"/>
      <c r="C993" s="56"/>
      <c r="D993" s="56"/>
      <c r="E993" s="57"/>
      <c r="F993" s="58"/>
      <c r="G993" s="59"/>
      <c r="H993" s="56"/>
      <c r="I993" s="56"/>
      <c r="J993" s="60" t="str">
        <f aca="false">IF(IsPro,IF($D993="","",IFERROR(INDEX(Items!$D$5:$D$504,U993),"")),"")</f>
        <v/>
      </c>
      <c r="K993" s="61" t="str">
        <f aca="false">IF(IsPro,IF($D993="","",IF($F993="",IFERROR(INDEX(Items!$H$5:$H$504,U993),0),$F993)),"")</f>
        <v/>
      </c>
      <c r="L993" s="61" t="str">
        <f aca="false">IF(IsPro,IF($D993="","",ROUND(N($E993)*K993*(1-N($G993)),2)),"")</f>
        <v/>
      </c>
      <c r="M993" s="62" t="str">
        <f aca="false">IF(IsPro,IF($D993="","",IFERROR(INDEX(Items!$F$5:$F$504,U993),0)),"")</f>
        <v/>
      </c>
      <c r="N993" s="61" t="str">
        <f aca="false">IF(IsPro,IF($D993="","",IF(AND(V993&lt;&gt;"",INDEX(Parties!$E$5:$E$304,V993)&lt;&gt;"",INDEX(Parties!$E$5:$E$304,V993)&lt;&gt;HomeState),0,ROUND(L993*M993/2,2))),"")</f>
        <v/>
      </c>
      <c r="O993" s="61" t="str">
        <f aca="false">IF(IsPro,IF($D993="","",N993),"")</f>
        <v/>
      </c>
      <c r="P993" s="61" t="str">
        <f aca="false">IF(IsPro,IF($D993="","",IF(AND(V993&lt;&gt;"",INDEX(Parties!$E$5:$E$304,V993)&lt;&gt;"",INDEX(Parties!$E$5:$E$304,V993)&lt;&gt;HomeState),ROUND(L993*M993,2),0)),"")</f>
        <v/>
      </c>
      <c r="Q993" s="61" t="str">
        <f aca="false">IF(IsPro,IF($D993="","",L993+N993+O993+P993),"")</f>
        <v/>
      </c>
      <c r="R993" s="61" t="str">
        <f aca="false">IF(IsPro,IF($D993="","",ROUND(N($E993)*IFERROR(INDEX(Items!$P$5:$P$504,U993),0),2)),"")</f>
        <v/>
      </c>
      <c r="S993" s="61" t="str">
        <f aca="false">IF(IsPro,IF($D993="","",L993-R993),"")</f>
        <v/>
      </c>
      <c r="T993" s="60" t="str">
        <f aca="false">IF(IsPro,IF($D993="","",IF(U993="","UNKNOWN ITEM",IF(INDEX(Items!$O$5:$O$504,U993)&lt;0,"NEG STOCK",IF(K993&lt;INDEX(Items!$P$5:$P$504,U993),"BELOW COST","OK")))),IF($D993="","","PRO PLAN"))</f>
        <v/>
      </c>
      <c r="U993" s="60" t="str">
        <f aca="false">IF(IsPro,IF($D993="","",IFERROR(MATCH($D993,Items!$A$5:$A$504,0),"")),"")</f>
        <v/>
      </c>
      <c r="V993" s="60" t="str">
        <f aca="false">IF(IsPro,IF($C993="","",IFERROR(MATCH($C993,Parties!$A$5:$A$304,0),"")),"")</f>
        <v/>
      </c>
      <c r="W993" s="60" t="str">
        <f aca="false">IF(IsPro,IF($B993="","",IFERROR(VALUE(SUBSTITUTE($B993,InvPrefix,"")),0)),"")</f>
        <v/>
      </c>
      <c r="X993" s="61" t="str">
        <f aca="false">IF(IsPro,IF($D993="","",IF(OR($H993="",$H993="Credit"),0,Q993)),"")</f>
        <v/>
      </c>
    </row>
    <row r="994" customFormat="false" ht="15" hidden="false" customHeight="false" outlineLevel="0" collapsed="false">
      <c r="A994" s="55"/>
      <c r="B994" s="56"/>
      <c r="C994" s="56"/>
      <c r="D994" s="56"/>
      <c r="E994" s="57"/>
      <c r="F994" s="58"/>
      <c r="G994" s="59"/>
      <c r="H994" s="56"/>
      <c r="I994" s="56"/>
      <c r="J994" s="60" t="str">
        <f aca="false">IF(IsPro,IF($D994="","",IFERROR(INDEX(Items!$D$5:$D$504,U994),"")),"")</f>
        <v/>
      </c>
      <c r="K994" s="61" t="str">
        <f aca="false">IF(IsPro,IF($D994="","",IF($F994="",IFERROR(INDEX(Items!$H$5:$H$504,U994),0),$F994)),"")</f>
        <v/>
      </c>
      <c r="L994" s="61" t="str">
        <f aca="false">IF(IsPro,IF($D994="","",ROUND(N($E994)*K994*(1-N($G994)),2)),"")</f>
        <v/>
      </c>
      <c r="M994" s="62" t="str">
        <f aca="false">IF(IsPro,IF($D994="","",IFERROR(INDEX(Items!$F$5:$F$504,U994),0)),"")</f>
        <v/>
      </c>
      <c r="N994" s="61" t="str">
        <f aca="false">IF(IsPro,IF($D994="","",IF(AND(V994&lt;&gt;"",INDEX(Parties!$E$5:$E$304,V994)&lt;&gt;"",INDEX(Parties!$E$5:$E$304,V994)&lt;&gt;HomeState),0,ROUND(L994*M994/2,2))),"")</f>
        <v/>
      </c>
      <c r="O994" s="61" t="str">
        <f aca="false">IF(IsPro,IF($D994="","",N994),"")</f>
        <v/>
      </c>
      <c r="P994" s="61" t="str">
        <f aca="false">IF(IsPro,IF($D994="","",IF(AND(V994&lt;&gt;"",INDEX(Parties!$E$5:$E$304,V994)&lt;&gt;"",INDEX(Parties!$E$5:$E$304,V994)&lt;&gt;HomeState),ROUND(L994*M994,2),0)),"")</f>
        <v/>
      </c>
      <c r="Q994" s="61" t="str">
        <f aca="false">IF(IsPro,IF($D994="","",L994+N994+O994+P994),"")</f>
        <v/>
      </c>
      <c r="R994" s="61" t="str">
        <f aca="false">IF(IsPro,IF($D994="","",ROUND(N($E994)*IFERROR(INDEX(Items!$P$5:$P$504,U994),0),2)),"")</f>
        <v/>
      </c>
      <c r="S994" s="61" t="str">
        <f aca="false">IF(IsPro,IF($D994="","",L994-R994),"")</f>
        <v/>
      </c>
      <c r="T994" s="60" t="str">
        <f aca="false">IF(IsPro,IF($D994="","",IF(U994="","UNKNOWN ITEM",IF(INDEX(Items!$O$5:$O$504,U994)&lt;0,"NEG STOCK",IF(K994&lt;INDEX(Items!$P$5:$P$504,U994),"BELOW COST","OK")))),IF($D994="","","PRO PLAN"))</f>
        <v/>
      </c>
      <c r="U994" s="60" t="str">
        <f aca="false">IF(IsPro,IF($D994="","",IFERROR(MATCH($D994,Items!$A$5:$A$504,0),"")),"")</f>
        <v/>
      </c>
      <c r="V994" s="60" t="str">
        <f aca="false">IF(IsPro,IF($C994="","",IFERROR(MATCH($C994,Parties!$A$5:$A$304,0),"")),"")</f>
        <v/>
      </c>
      <c r="W994" s="60" t="str">
        <f aca="false">IF(IsPro,IF($B994="","",IFERROR(VALUE(SUBSTITUTE($B994,InvPrefix,"")),0)),"")</f>
        <v/>
      </c>
      <c r="X994" s="61" t="str">
        <f aca="false">IF(IsPro,IF($D994="","",IF(OR($H994="",$H994="Credit"),0,Q994)),"")</f>
        <v/>
      </c>
    </row>
    <row r="995" customFormat="false" ht="15" hidden="false" customHeight="false" outlineLevel="0" collapsed="false">
      <c r="A995" s="55"/>
      <c r="B995" s="56"/>
      <c r="C995" s="56"/>
      <c r="D995" s="56"/>
      <c r="E995" s="57"/>
      <c r="F995" s="58"/>
      <c r="G995" s="59"/>
      <c r="H995" s="56"/>
      <c r="I995" s="56"/>
      <c r="J995" s="60" t="str">
        <f aca="false">IF(IsPro,IF($D995="","",IFERROR(INDEX(Items!$D$5:$D$504,U995),"")),"")</f>
        <v/>
      </c>
      <c r="K995" s="61" t="str">
        <f aca="false">IF(IsPro,IF($D995="","",IF($F995="",IFERROR(INDEX(Items!$H$5:$H$504,U995),0),$F995)),"")</f>
        <v/>
      </c>
      <c r="L995" s="61" t="str">
        <f aca="false">IF(IsPro,IF($D995="","",ROUND(N($E995)*K995*(1-N($G995)),2)),"")</f>
        <v/>
      </c>
      <c r="M995" s="62" t="str">
        <f aca="false">IF(IsPro,IF($D995="","",IFERROR(INDEX(Items!$F$5:$F$504,U995),0)),"")</f>
        <v/>
      </c>
      <c r="N995" s="61" t="str">
        <f aca="false">IF(IsPro,IF($D995="","",IF(AND(V995&lt;&gt;"",INDEX(Parties!$E$5:$E$304,V995)&lt;&gt;"",INDEX(Parties!$E$5:$E$304,V995)&lt;&gt;HomeState),0,ROUND(L995*M995/2,2))),"")</f>
        <v/>
      </c>
      <c r="O995" s="61" t="str">
        <f aca="false">IF(IsPro,IF($D995="","",N995),"")</f>
        <v/>
      </c>
      <c r="P995" s="61" t="str">
        <f aca="false">IF(IsPro,IF($D995="","",IF(AND(V995&lt;&gt;"",INDEX(Parties!$E$5:$E$304,V995)&lt;&gt;"",INDEX(Parties!$E$5:$E$304,V995)&lt;&gt;HomeState),ROUND(L995*M995,2),0)),"")</f>
        <v/>
      </c>
      <c r="Q995" s="61" t="str">
        <f aca="false">IF(IsPro,IF($D995="","",L995+N995+O995+P995),"")</f>
        <v/>
      </c>
      <c r="R995" s="61" t="str">
        <f aca="false">IF(IsPro,IF($D995="","",ROUND(N($E995)*IFERROR(INDEX(Items!$P$5:$P$504,U995),0),2)),"")</f>
        <v/>
      </c>
      <c r="S995" s="61" t="str">
        <f aca="false">IF(IsPro,IF($D995="","",L995-R995),"")</f>
        <v/>
      </c>
      <c r="T995" s="60" t="str">
        <f aca="false">IF(IsPro,IF($D995="","",IF(U995="","UNKNOWN ITEM",IF(INDEX(Items!$O$5:$O$504,U995)&lt;0,"NEG STOCK",IF(K995&lt;INDEX(Items!$P$5:$P$504,U995),"BELOW COST","OK")))),IF($D995="","","PRO PLAN"))</f>
        <v/>
      </c>
      <c r="U995" s="60" t="str">
        <f aca="false">IF(IsPro,IF($D995="","",IFERROR(MATCH($D995,Items!$A$5:$A$504,0),"")),"")</f>
        <v/>
      </c>
      <c r="V995" s="60" t="str">
        <f aca="false">IF(IsPro,IF($C995="","",IFERROR(MATCH($C995,Parties!$A$5:$A$304,0),"")),"")</f>
        <v/>
      </c>
      <c r="W995" s="60" t="str">
        <f aca="false">IF(IsPro,IF($B995="","",IFERROR(VALUE(SUBSTITUTE($B995,InvPrefix,"")),0)),"")</f>
        <v/>
      </c>
      <c r="X995" s="61" t="str">
        <f aca="false">IF(IsPro,IF($D995="","",IF(OR($H995="",$H995="Credit"),0,Q995)),"")</f>
        <v/>
      </c>
    </row>
    <row r="996" customFormat="false" ht="15" hidden="false" customHeight="false" outlineLevel="0" collapsed="false">
      <c r="A996" s="55"/>
      <c r="B996" s="56"/>
      <c r="C996" s="56"/>
      <c r="D996" s="56"/>
      <c r="E996" s="57"/>
      <c r="F996" s="58"/>
      <c r="G996" s="59"/>
      <c r="H996" s="56"/>
      <c r="I996" s="56"/>
      <c r="J996" s="60" t="str">
        <f aca="false">IF(IsPro,IF($D996="","",IFERROR(INDEX(Items!$D$5:$D$504,U996),"")),"")</f>
        <v/>
      </c>
      <c r="K996" s="61" t="str">
        <f aca="false">IF(IsPro,IF($D996="","",IF($F996="",IFERROR(INDEX(Items!$H$5:$H$504,U996),0),$F996)),"")</f>
        <v/>
      </c>
      <c r="L996" s="61" t="str">
        <f aca="false">IF(IsPro,IF($D996="","",ROUND(N($E996)*K996*(1-N($G996)),2)),"")</f>
        <v/>
      </c>
      <c r="M996" s="62" t="str">
        <f aca="false">IF(IsPro,IF($D996="","",IFERROR(INDEX(Items!$F$5:$F$504,U996),0)),"")</f>
        <v/>
      </c>
      <c r="N996" s="61" t="str">
        <f aca="false">IF(IsPro,IF($D996="","",IF(AND(V996&lt;&gt;"",INDEX(Parties!$E$5:$E$304,V996)&lt;&gt;"",INDEX(Parties!$E$5:$E$304,V996)&lt;&gt;HomeState),0,ROUND(L996*M996/2,2))),"")</f>
        <v/>
      </c>
      <c r="O996" s="61" t="str">
        <f aca="false">IF(IsPro,IF($D996="","",N996),"")</f>
        <v/>
      </c>
      <c r="P996" s="61" t="str">
        <f aca="false">IF(IsPro,IF($D996="","",IF(AND(V996&lt;&gt;"",INDEX(Parties!$E$5:$E$304,V996)&lt;&gt;"",INDEX(Parties!$E$5:$E$304,V996)&lt;&gt;HomeState),ROUND(L996*M996,2),0)),"")</f>
        <v/>
      </c>
      <c r="Q996" s="61" t="str">
        <f aca="false">IF(IsPro,IF($D996="","",L996+N996+O996+P996),"")</f>
        <v/>
      </c>
      <c r="R996" s="61" t="str">
        <f aca="false">IF(IsPro,IF($D996="","",ROUND(N($E996)*IFERROR(INDEX(Items!$P$5:$P$504,U996),0),2)),"")</f>
        <v/>
      </c>
      <c r="S996" s="61" t="str">
        <f aca="false">IF(IsPro,IF($D996="","",L996-R996),"")</f>
        <v/>
      </c>
      <c r="T996" s="60" t="str">
        <f aca="false">IF(IsPro,IF($D996="","",IF(U996="","UNKNOWN ITEM",IF(INDEX(Items!$O$5:$O$504,U996)&lt;0,"NEG STOCK",IF(K996&lt;INDEX(Items!$P$5:$P$504,U996),"BELOW COST","OK")))),IF($D996="","","PRO PLAN"))</f>
        <v/>
      </c>
      <c r="U996" s="60" t="str">
        <f aca="false">IF(IsPro,IF($D996="","",IFERROR(MATCH($D996,Items!$A$5:$A$504,0),"")),"")</f>
        <v/>
      </c>
      <c r="V996" s="60" t="str">
        <f aca="false">IF(IsPro,IF($C996="","",IFERROR(MATCH($C996,Parties!$A$5:$A$304,0),"")),"")</f>
        <v/>
      </c>
      <c r="W996" s="60" t="str">
        <f aca="false">IF(IsPro,IF($B996="","",IFERROR(VALUE(SUBSTITUTE($B996,InvPrefix,"")),0)),"")</f>
        <v/>
      </c>
      <c r="X996" s="61" t="str">
        <f aca="false">IF(IsPro,IF($D996="","",IF(OR($H996="",$H996="Credit"),0,Q996)),"")</f>
        <v/>
      </c>
    </row>
    <row r="997" customFormat="false" ht="15" hidden="false" customHeight="false" outlineLevel="0" collapsed="false">
      <c r="A997" s="55"/>
      <c r="B997" s="56"/>
      <c r="C997" s="56"/>
      <c r="D997" s="56"/>
      <c r="E997" s="57"/>
      <c r="F997" s="58"/>
      <c r="G997" s="59"/>
      <c r="H997" s="56"/>
      <c r="I997" s="56"/>
      <c r="J997" s="60" t="str">
        <f aca="false">IF(IsPro,IF($D997="","",IFERROR(INDEX(Items!$D$5:$D$504,U997),"")),"")</f>
        <v/>
      </c>
      <c r="K997" s="61" t="str">
        <f aca="false">IF(IsPro,IF($D997="","",IF($F997="",IFERROR(INDEX(Items!$H$5:$H$504,U997),0),$F997)),"")</f>
        <v/>
      </c>
      <c r="L997" s="61" t="str">
        <f aca="false">IF(IsPro,IF($D997="","",ROUND(N($E997)*K997*(1-N($G997)),2)),"")</f>
        <v/>
      </c>
      <c r="M997" s="62" t="str">
        <f aca="false">IF(IsPro,IF($D997="","",IFERROR(INDEX(Items!$F$5:$F$504,U997),0)),"")</f>
        <v/>
      </c>
      <c r="N997" s="61" t="str">
        <f aca="false">IF(IsPro,IF($D997="","",IF(AND(V997&lt;&gt;"",INDEX(Parties!$E$5:$E$304,V997)&lt;&gt;"",INDEX(Parties!$E$5:$E$304,V997)&lt;&gt;HomeState),0,ROUND(L997*M997/2,2))),"")</f>
        <v/>
      </c>
      <c r="O997" s="61" t="str">
        <f aca="false">IF(IsPro,IF($D997="","",N997),"")</f>
        <v/>
      </c>
      <c r="P997" s="61" t="str">
        <f aca="false">IF(IsPro,IF($D997="","",IF(AND(V997&lt;&gt;"",INDEX(Parties!$E$5:$E$304,V997)&lt;&gt;"",INDEX(Parties!$E$5:$E$304,V997)&lt;&gt;HomeState),ROUND(L997*M997,2),0)),"")</f>
        <v/>
      </c>
      <c r="Q997" s="61" t="str">
        <f aca="false">IF(IsPro,IF($D997="","",L997+N997+O997+P997),"")</f>
        <v/>
      </c>
      <c r="R997" s="61" t="str">
        <f aca="false">IF(IsPro,IF($D997="","",ROUND(N($E997)*IFERROR(INDEX(Items!$P$5:$P$504,U997),0),2)),"")</f>
        <v/>
      </c>
      <c r="S997" s="61" t="str">
        <f aca="false">IF(IsPro,IF($D997="","",L997-R997),"")</f>
        <v/>
      </c>
      <c r="T997" s="60" t="str">
        <f aca="false">IF(IsPro,IF($D997="","",IF(U997="","UNKNOWN ITEM",IF(INDEX(Items!$O$5:$O$504,U997)&lt;0,"NEG STOCK",IF(K997&lt;INDEX(Items!$P$5:$P$504,U997),"BELOW COST","OK")))),IF($D997="","","PRO PLAN"))</f>
        <v/>
      </c>
      <c r="U997" s="60" t="str">
        <f aca="false">IF(IsPro,IF($D997="","",IFERROR(MATCH($D997,Items!$A$5:$A$504,0),"")),"")</f>
        <v/>
      </c>
      <c r="V997" s="60" t="str">
        <f aca="false">IF(IsPro,IF($C997="","",IFERROR(MATCH($C997,Parties!$A$5:$A$304,0),"")),"")</f>
        <v/>
      </c>
      <c r="W997" s="60" t="str">
        <f aca="false">IF(IsPro,IF($B997="","",IFERROR(VALUE(SUBSTITUTE($B997,InvPrefix,"")),0)),"")</f>
        <v/>
      </c>
      <c r="X997" s="61" t="str">
        <f aca="false">IF(IsPro,IF($D997="","",IF(OR($H997="",$H997="Credit"),0,Q997)),"")</f>
        <v/>
      </c>
    </row>
    <row r="998" customFormat="false" ht="15" hidden="false" customHeight="false" outlineLevel="0" collapsed="false">
      <c r="A998" s="55"/>
      <c r="B998" s="56"/>
      <c r="C998" s="56"/>
      <c r="D998" s="56"/>
      <c r="E998" s="57"/>
      <c r="F998" s="58"/>
      <c r="G998" s="59"/>
      <c r="H998" s="56"/>
      <c r="I998" s="56"/>
      <c r="J998" s="60" t="str">
        <f aca="false">IF(IsPro,IF($D998="","",IFERROR(INDEX(Items!$D$5:$D$504,U998),"")),"")</f>
        <v/>
      </c>
      <c r="K998" s="61" t="str">
        <f aca="false">IF(IsPro,IF($D998="","",IF($F998="",IFERROR(INDEX(Items!$H$5:$H$504,U998),0),$F998)),"")</f>
        <v/>
      </c>
      <c r="L998" s="61" t="str">
        <f aca="false">IF(IsPro,IF($D998="","",ROUND(N($E998)*K998*(1-N($G998)),2)),"")</f>
        <v/>
      </c>
      <c r="M998" s="62" t="str">
        <f aca="false">IF(IsPro,IF($D998="","",IFERROR(INDEX(Items!$F$5:$F$504,U998),0)),"")</f>
        <v/>
      </c>
      <c r="N998" s="61" t="str">
        <f aca="false">IF(IsPro,IF($D998="","",IF(AND(V998&lt;&gt;"",INDEX(Parties!$E$5:$E$304,V998)&lt;&gt;"",INDEX(Parties!$E$5:$E$304,V998)&lt;&gt;HomeState),0,ROUND(L998*M998/2,2))),"")</f>
        <v/>
      </c>
      <c r="O998" s="61" t="str">
        <f aca="false">IF(IsPro,IF($D998="","",N998),"")</f>
        <v/>
      </c>
      <c r="P998" s="61" t="str">
        <f aca="false">IF(IsPro,IF($D998="","",IF(AND(V998&lt;&gt;"",INDEX(Parties!$E$5:$E$304,V998)&lt;&gt;"",INDEX(Parties!$E$5:$E$304,V998)&lt;&gt;HomeState),ROUND(L998*M998,2),0)),"")</f>
        <v/>
      </c>
      <c r="Q998" s="61" t="str">
        <f aca="false">IF(IsPro,IF($D998="","",L998+N998+O998+P998),"")</f>
        <v/>
      </c>
      <c r="R998" s="61" t="str">
        <f aca="false">IF(IsPro,IF($D998="","",ROUND(N($E998)*IFERROR(INDEX(Items!$P$5:$P$504,U998),0),2)),"")</f>
        <v/>
      </c>
      <c r="S998" s="61" t="str">
        <f aca="false">IF(IsPro,IF($D998="","",L998-R998),"")</f>
        <v/>
      </c>
      <c r="T998" s="60" t="str">
        <f aca="false">IF(IsPro,IF($D998="","",IF(U998="","UNKNOWN ITEM",IF(INDEX(Items!$O$5:$O$504,U998)&lt;0,"NEG STOCK",IF(K998&lt;INDEX(Items!$P$5:$P$504,U998),"BELOW COST","OK")))),IF($D998="","","PRO PLAN"))</f>
        <v/>
      </c>
      <c r="U998" s="60" t="str">
        <f aca="false">IF(IsPro,IF($D998="","",IFERROR(MATCH($D998,Items!$A$5:$A$504,0),"")),"")</f>
        <v/>
      </c>
      <c r="V998" s="60" t="str">
        <f aca="false">IF(IsPro,IF($C998="","",IFERROR(MATCH($C998,Parties!$A$5:$A$304,0),"")),"")</f>
        <v/>
      </c>
      <c r="W998" s="60" t="str">
        <f aca="false">IF(IsPro,IF($B998="","",IFERROR(VALUE(SUBSTITUTE($B998,InvPrefix,"")),0)),"")</f>
        <v/>
      </c>
      <c r="X998" s="61" t="str">
        <f aca="false">IF(IsPro,IF($D998="","",IF(OR($H998="",$H998="Credit"),0,Q998)),"")</f>
        <v/>
      </c>
    </row>
    <row r="999" customFormat="false" ht="15" hidden="false" customHeight="false" outlineLevel="0" collapsed="false">
      <c r="A999" s="55"/>
      <c r="B999" s="56"/>
      <c r="C999" s="56"/>
      <c r="D999" s="56"/>
      <c r="E999" s="57"/>
      <c r="F999" s="58"/>
      <c r="G999" s="59"/>
      <c r="H999" s="56"/>
      <c r="I999" s="56"/>
      <c r="J999" s="60" t="str">
        <f aca="false">IF(IsPro,IF($D999="","",IFERROR(INDEX(Items!$D$5:$D$504,U999),"")),"")</f>
        <v/>
      </c>
      <c r="K999" s="61" t="str">
        <f aca="false">IF(IsPro,IF($D999="","",IF($F999="",IFERROR(INDEX(Items!$H$5:$H$504,U999),0),$F999)),"")</f>
        <v/>
      </c>
      <c r="L999" s="61" t="str">
        <f aca="false">IF(IsPro,IF($D999="","",ROUND(N($E999)*K999*(1-N($G999)),2)),"")</f>
        <v/>
      </c>
      <c r="M999" s="62" t="str">
        <f aca="false">IF(IsPro,IF($D999="","",IFERROR(INDEX(Items!$F$5:$F$504,U999),0)),"")</f>
        <v/>
      </c>
      <c r="N999" s="61" t="str">
        <f aca="false">IF(IsPro,IF($D999="","",IF(AND(V999&lt;&gt;"",INDEX(Parties!$E$5:$E$304,V999)&lt;&gt;"",INDEX(Parties!$E$5:$E$304,V999)&lt;&gt;HomeState),0,ROUND(L999*M999/2,2))),"")</f>
        <v/>
      </c>
      <c r="O999" s="61" t="str">
        <f aca="false">IF(IsPro,IF($D999="","",N999),"")</f>
        <v/>
      </c>
      <c r="P999" s="61" t="str">
        <f aca="false">IF(IsPro,IF($D999="","",IF(AND(V999&lt;&gt;"",INDEX(Parties!$E$5:$E$304,V999)&lt;&gt;"",INDEX(Parties!$E$5:$E$304,V999)&lt;&gt;HomeState),ROUND(L999*M999,2),0)),"")</f>
        <v/>
      </c>
      <c r="Q999" s="61" t="str">
        <f aca="false">IF(IsPro,IF($D999="","",L999+N999+O999+P999),"")</f>
        <v/>
      </c>
      <c r="R999" s="61" t="str">
        <f aca="false">IF(IsPro,IF($D999="","",ROUND(N($E999)*IFERROR(INDEX(Items!$P$5:$P$504,U999),0),2)),"")</f>
        <v/>
      </c>
      <c r="S999" s="61" t="str">
        <f aca="false">IF(IsPro,IF($D999="","",L999-R999),"")</f>
        <v/>
      </c>
      <c r="T999" s="60" t="str">
        <f aca="false">IF(IsPro,IF($D999="","",IF(U999="","UNKNOWN ITEM",IF(INDEX(Items!$O$5:$O$504,U999)&lt;0,"NEG STOCK",IF(K999&lt;INDEX(Items!$P$5:$P$504,U999),"BELOW COST","OK")))),IF($D999="","","PRO PLAN"))</f>
        <v/>
      </c>
      <c r="U999" s="60" t="str">
        <f aca="false">IF(IsPro,IF($D999="","",IFERROR(MATCH($D999,Items!$A$5:$A$504,0),"")),"")</f>
        <v/>
      </c>
      <c r="V999" s="60" t="str">
        <f aca="false">IF(IsPro,IF($C999="","",IFERROR(MATCH($C999,Parties!$A$5:$A$304,0),"")),"")</f>
        <v/>
      </c>
      <c r="W999" s="60" t="str">
        <f aca="false">IF(IsPro,IF($B999="","",IFERROR(VALUE(SUBSTITUTE($B999,InvPrefix,"")),0)),"")</f>
        <v/>
      </c>
      <c r="X999" s="61" t="str">
        <f aca="false">IF(IsPro,IF($D999="","",IF(OR($H999="",$H999="Credit"),0,Q999)),"")</f>
        <v/>
      </c>
    </row>
    <row r="1000" customFormat="false" ht="15" hidden="false" customHeight="false" outlineLevel="0" collapsed="false">
      <c r="A1000" s="55"/>
      <c r="B1000" s="56"/>
      <c r="C1000" s="56"/>
      <c r="D1000" s="56"/>
      <c r="E1000" s="57"/>
      <c r="F1000" s="58"/>
      <c r="G1000" s="59"/>
      <c r="H1000" s="56"/>
      <c r="I1000" s="56"/>
      <c r="J1000" s="60" t="str">
        <f aca="false">IF(IsPro,IF($D1000="","",IFERROR(INDEX(Items!$D$5:$D$504,U1000),"")),"")</f>
        <v/>
      </c>
      <c r="K1000" s="61" t="str">
        <f aca="false">IF(IsPro,IF($D1000="","",IF($F1000="",IFERROR(INDEX(Items!$H$5:$H$504,U1000),0),$F1000)),"")</f>
        <v/>
      </c>
      <c r="L1000" s="61" t="str">
        <f aca="false">IF(IsPro,IF($D1000="","",ROUND(N($E1000)*K1000*(1-N($G1000)),2)),"")</f>
        <v/>
      </c>
      <c r="M1000" s="62" t="str">
        <f aca="false">IF(IsPro,IF($D1000="","",IFERROR(INDEX(Items!$F$5:$F$504,U1000),0)),"")</f>
        <v/>
      </c>
      <c r="N1000" s="61" t="str">
        <f aca="false">IF(IsPro,IF($D1000="","",IF(AND(V1000&lt;&gt;"",INDEX(Parties!$E$5:$E$304,V1000)&lt;&gt;"",INDEX(Parties!$E$5:$E$304,V1000)&lt;&gt;HomeState),0,ROUND(L1000*M1000/2,2))),"")</f>
        <v/>
      </c>
      <c r="O1000" s="61" t="str">
        <f aca="false">IF(IsPro,IF($D1000="","",N1000),"")</f>
        <v/>
      </c>
      <c r="P1000" s="61" t="str">
        <f aca="false">IF(IsPro,IF($D1000="","",IF(AND(V1000&lt;&gt;"",INDEX(Parties!$E$5:$E$304,V1000)&lt;&gt;"",INDEX(Parties!$E$5:$E$304,V1000)&lt;&gt;HomeState),ROUND(L1000*M1000,2),0)),"")</f>
        <v/>
      </c>
      <c r="Q1000" s="61" t="str">
        <f aca="false">IF(IsPro,IF($D1000="","",L1000+N1000+O1000+P1000),"")</f>
        <v/>
      </c>
      <c r="R1000" s="61" t="str">
        <f aca="false">IF(IsPro,IF($D1000="","",ROUND(N($E1000)*IFERROR(INDEX(Items!$P$5:$P$504,U1000),0),2)),"")</f>
        <v/>
      </c>
      <c r="S1000" s="61" t="str">
        <f aca="false">IF(IsPro,IF($D1000="","",L1000-R1000),"")</f>
        <v/>
      </c>
      <c r="T1000" s="60" t="str">
        <f aca="false">IF(IsPro,IF($D1000="","",IF(U1000="","UNKNOWN ITEM",IF(INDEX(Items!$O$5:$O$504,U1000)&lt;0,"NEG STOCK",IF(K1000&lt;INDEX(Items!$P$5:$P$504,U1000),"BELOW COST","OK")))),IF($D1000="","","PRO PLAN"))</f>
        <v/>
      </c>
      <c r="U1000" s="60" t="str">
        <f aca="false">IF(IsPro,IF($D1000="","",IFERROR(MATCH($D1000,Items!$A$5:$A$504,0),"")),"")</f>
        <v/>
      </c>
      <c r="V1000" s="60" t="str">
        <f aca="false">IF(IsPro,IF($C1000="","",IFERROR(MATCH($C1000,Parties!$A$5:$A$304,0),"")),"")</f>
        <v/>
      </c>
      <c r="W1000" s="60" t="str">
        <f aca="false">IF(IsPro,IF($B1000="","",IFERROR(VALUE(SUBSTITUTE($B1000,InvPrefix,"")),0)),"")</f>
        <v/>
      </c>
      <c r="X1000" s="61" t="str">
        <f aca="false">IF(IsPro,IF($D1000="","",IF(OR($H1000="",$H1000="Credit"),0,Q1000)),"")</f>
        <v/>
      </c>
    </row>
    <row r="1001" customFormat="false" ht="15" hidden="false" customHeight="false" outlineLevel="0" collapsed="false">
      <c r="A1001" s="55"/>
      <c r="B1001" s="56"/>
      <c r="C1001" s="56"/>
      <c r="D1001" s="56"/>
      <c r="E1001" s="57"/>
      <c r="F1001" s="58"/>
      <c r="G1001" s="59"/>
      <c r="H1001" s="56"/>
      <c r="I1001" s="56"/>
      <c r="J1001" s="60" t="str">
        <f aca="false">IF(IsPro,IF($D1001="","",IFERROR(INDEX(Items!$D$5:$D$504,U1001),"")),"")</f>
        <v/>
      </c>
      <c r="K1001" s="61" t="str">
        <f aca="false">IF(IsPro,IF($D1001="","",IF($F1001="",IFERROR(INDEX(Items!$H$5:$H$504,U1001),0),$F1001)),"")</f>
        <v/>
      </c>
      <c r="L1001" s="61" t="str">
        <f aca="false">IF(IsPro,IF($D1001="","",ROUND(N($E1001)*K1001*(1-N($G1001)),2)),"")</f>
        <v/>
      </c>
      <c r="M1001" s="62" t="str">
        <f aca="false">IF(IsPro,IF($D1001="","",IFERROR(INDEX(Items!$F$5:$F$504,U1001),0)),"")</f>
        <v/>
      </c>
      <c r="N1001" s="61" t="str">
        <f aca="false">IF(IsPro,IF($D1001="","",IF(AND(V1001&lt;&gt;"",INDEX(Parties!$E$5:$E$304,V1001)&lt;&gt;"",INDEX(Parties!$E$5:$E$304,V1001)&lt;&gt;HomeState),0,ROUND(L1001*M1001/2,2))),"")</f>
        <v/>
      </c>
      <c r="O1001" s="61" t="str">
        <f aca="false">IF(IsPro,IF($D1001="","",N1001),"")</f>
        <v/>
      </c>
      <c r="P1001" s="61" t="str">
        <f aca="false">IF(IsPro,IF($D1001="","",IF(AND(V1001&lt;&gt;"",INDEX(Parties!$E$5:$E$304,V1001)&lt;&gt;"",INDEX(Parties!$E$5:$E$304,V1001)&lt;&gt;HomeState),ROUND(L1001*M1001,2),0)),"")</f>
        <v/>
      </c>
      <c r="Q1001" s="61" t="str">
        <f aca="false">IF(IsPro,IF($D1001="","",L1001+N1001+O1001+P1001),"")</f>
        <v/>
      </c>
      <c r="R1001" s="61" t="str">
        <f aca="false">IF(IsPro,IF($D1001="","",ROUND(N($E1001)*IFERROR(INDEX(Items!$P$5:$P$504,U1001),0),2)),"")</f>
        <v/>
      </c>
      <c r="S1001" s="61" t="str">
        <f aca="false">IF(IsPro,IF($D1001="","",L1001-R1001),"")</f>
        <v/>
      </c>
      <c r="T1001" s="60" t="str">
        <f aca="false">IF(IsPro,IF($D1001="","",IF(U1001="","UNKNOWN ITEM",IF(INDEX(Items!$O$5:$O$504,U1001)&lt;0,"NEG STOCK",IF(K1001&lt;INDEX(Items!$P$5:$P$504,U1001),"BELOW COST","OK")))),IF($D1001="","","PRO PLAN"))</f>
        <v/>
      </c>
      <c r="U1001" s="60" t="str">
        <f aca="false">IF(IsPro,IF($D1001="","",IFERROR(MATCH($D1001,Items!$A$5:$A$504,0),"")),"")</f>
        <v/>
      </c>
      <c r="V1001" s="60" t="str">
        <f aca="false">IF(IsPro,IF($C1001="","",IFERROR(MATCH($C1001,Parties!$A$5:$A$304,0),"")),"")</f>
        <v/>
      </c>
      <c r="W1001" s="60" t="str">
        <f aca="false">IF(IsPro,IF($B1001="","",IFERROR(VALUE(SUBSTITUTE($B1001,InvPrefix,"")),0)),"")</f>
        <v/>
      </c>
      <c r="X1001" s="61" t="str">
        <f aca="false">IF(IsPro,IF($D1001="","",IF(OR($H1001="",$H1001="Credit"),0,Q1001)),"")</f>
        <v/>
      </c>
    </row>
    <row r="1002" customFormat="false" ht="15" hidden="false" customHeight="false" outlineLevel="0" collapsed="false">
      <c r="A1002" s="55"/>
      <c r="B1002" s="56"/>
      <c r="C1002" s="56"/>
      <c r="D1002" s="56"/>
      <c r="E1002" s="57"/>
      <c r="F1002" s="58"/>
      <c r="G1002" s="59"/>
      <c r="H1002" s="56"/>
      <c r="I1002" s="56"/>
      <c r="J1002" s="60" t="str">
        <f aca="false">IF(IsPro,IF($D1002="","",IFERROR(INDEX(Items!$D$5:$D$504,U1002),"")),"")</f>
        <v/>
      </c>
      <c r="K1002" s="61" t="str">
        <f aca="false">IF(IsPro,IF($D1002="","",IF($F1002="",IFERROR(INDEX(Items!$H$5:$H$504,U1002),0),$F1002)),"")</f>
        <v/>
      </c>
      <c r="L1002" s="61" t="str">
        <f aca="false">IF(IsPro,IF($D1002="","",ROUND(N($E1002)*K1002*(1-N($G1002)),2)),"")</f>
        <v/>
      </c>
      <c r="M1002" s="62" t="str">
        <f aca="false">IF(IsPro,IF($D1002="","",IFERROR(INDEX(Items!$F$5:$F$504,U1002),0)),"")</f>
        <v/>
      </c>
      <c r="N1002" s="61" t="str">
        <f aca="false">IF(IsPro,IF($D1002="","",IF(AND(V1002&lt;&gt;"",INDEX(Parties!$E$5:$E$304,V1002)&lt;&gt;"",INDEX(Parties!$E$5:$E$304,V1002)&lt;&gt;HomeState),0,ROUND(L1002*M1002/2,2))),"")</f>
        <v/>
      </c>
      <c r="O1002" s="61" t="str">
        <f aca="false">IF(IsPro,IF($D1002="","",N1002),"")</f>
        <v/>
      </c>
      <c r="P1002" s="61" t="str">
        <f aca="false">IF(IsPro,IF($D1002="","",IF(AND(V1002&lt;&gt;"",INDEX(Parties!$E$5:$E$304,V1002)&lt;&gt;"",INDEX(Parties!$E$5:$E$304,V1002)&lt;&gt;HomeState),ROUND(L1002*M1002,2),0)),"")</f>
        <v/>
      </c>
      <c r="Q1002" s="61" t="str">
        <f aca="false">IF(IsPro,IF($D1002="","",L1002+N1002+O1002+P1002),"")</f>
        <v/>
      </c>
      <c r="R1002" s="61" t="str">
        <f aca="false">IF(IsPro,IF($D1002="","",ROUND(N($E1002)*IFERROR(INDEX(Items!$P$5:$P$504,U1002),0),2)),"")</f>
        <v/>
      </c>
      <c r="S1002" s="61" t="str">
        <f aca="false">IF(IsPro,IF($D1002="","",L1002-R1002),"")</f>
        <v/>
      </c>
      <c r="T1002" s="60" t="str">
        <f aca="false">IF(IsPro,IF($D1002="","",IF(U1002="","UNKNOWN ITEM",IF(INDEX(Items!$O$5:$O$504,U1002)&lt;0,"NEG STOCK",IF(K1002&lt;INDEX(Items!$P$5:$P$504,U1002),"BELOW COST","OK")))),IF($D1002="","","PRO PLAN"))</f>
        <v/>
      </c>
      <c r="U1002" s="60" t="str">
        <f aca="false">IF(IsPro,IF($D1002="","",IFERROR(MATCH($D1002,Items!$A$5:$A$504,0),"")),"")</f>
        <v/>
      </c>
      <c r="V1002" s="60" t="str">
        <f aca="false">IF(IsPro,IF($C1002="","",IFERROR(MATCH($C1002,Parties!$A$5:$A$304,0),"")),"")</f>
        <v/>
      </c>
      <c r="W1002" s="60" t="str">
        <f aca="false">IF(IsPro,IF($B1002="","",IFERROR(VALUE(SUBSTITUTE($B1002,InvPrefix,"")),0)),"")</f>
        <v/>
      </c>
      <c r="X1002" s="61" t="str">
        <f aca="false">IF(IsPro,IF($D1002="","",IF(OR($H1002="",$H1002="Credit"),0,Q1002)),"")</f>
        <v/>
      </c>
    </row>
    <row r="1003" customFormat="false" ht="15" hidden="false" customHeight="false" outlineLevel="0" collapsed="false">
      <c r="A1003" s="55"/>
      <c r="B1003" s="56"/>
      <c r="C1003" s="56"/>
      <c r="D1003" s="56"/>
      <c r="E1003" s="57"/>
      <c r="F1003" s="58"/>
      <c r="G1003" s="59"/>
      <c r="H1003" s="56"/>
      <c r="I1003" s="56"/>
      <c r="J1003" s="60" t="str">
        <f aca="false">IF(IsPro,IF($D1003="","",IFERROR(INDEX(Items!$D$5:$D$504,U1003),"")),"")</f>
        <v/>
      </c>
      <c r="K1003" s="61" t="str">
        <f aca="false">IF(IsPro,IF($D1003="","",IF($F1003="",IFERROR(INDEX(Items!$H$5:$H$504,U1003),0),$F1003)),"")</f>
        <v/>
      </c>
      <c r="L1003" s="61" t="str">
        <f aca="false">IF(IsPro,IF($D1003="","",ROUND(N($E1003)*K1003*(1-N($G1003)),2)),"")</f>
        <v/>
      </c>
      <c r="M1003" s="62" t="str">
        <f aca="false">IF(IsPro,IF($D1003="","",IFERROR(INDEX(Items!$F$5:$F$504,U1003),0)),"")</f>
        <v/>
      </c>
      <c r="N1003" s="61" t="str">
        <f aca="false">IF(IsPro,IF($D1003="","",IF(AND(V1003&lt;&gt;"",INDEX(Parties!$E$5:$E$304,V1003)&lt;&gt;"",INDEX(Parties!$E$5:$E$304,V1003)&lt;&gt;HomeState),0,ROUND(L1003*M1003/2,2))),"")</f>
        <v/>
      </c>
      <c r="O1003" s="61" t="str">
        <f aca="false">IF(IsPro,IF($D1003="","",N1003),"")</f>
        <v/>
      </c>
      <c r="P1003" s="61" t="str">
        <f aca="false">IF(IsPro,IF($D1003="","",IF(AND(V1003&lt;&gt;"",INDEX(Parties!$E$5:$E$304,V1003)&lt;&gt;"",INDEX(Parties!$E$5:$E$304,V1003)&lt;&gt;HomeState),ROUND(L1003*M1003,2),0)),"")</f>
        <v/>
      </c>
      <c r="Q1003" s="61" t="str">
        <f aca="false">IF(IsPro,IF($D1003="","",L1003+N1003+O1003+P1003),"")</f>
        <v/>
      </c>
      <c r="R1003" s="61" t="str">
        <f aca="false">IF(IsPro,IF($D1003="","",ROUND(N($E1003)*IFERROR(INDEX(Items!$P$5:$P$504,U1003),0),2)),"")</f>
        <v/>
      </c>
      <c r="S1003" s="61" t="str">
        <f aca="false">IF(IsPro,IF($D1003="","",L1003-R1003),"")</f>
        <v/>
      </c>
      <c r="T1003" s="60" t="str">
        <f aca="false">IF(IsPro,IF($D1003="","",IF(U1003="","UNKNOWN ITEM",IF(INDEX(Items!$O$5:$O$504,U1003)&lt;0,"NEG STOCK",IF(K1003&lt;INDEX(Items!$P$5:$P$504,U1003),"BELOW COST","OK")))),IF($D1003="","","PRO PLAN"))</f>
        <v/>
      </c>
      <c r="U1003" s="60" t="str">
        <f aca="false">IF(IsPro,IF($D1003="","",IFERROR(MATCH($D1003,Items!$A$5:$A$504,0),"")),"")</f>
        <v/>
      </c>
      <c r="V1003" s="60" t="str">
        <f aca="false">IF(IsPro,IF($C1003="","",IFERROR(MATCH($C1003,Parties!$A$5:$A$304,0),"")),"")</f>
        <v/>
      </c>
      <c r="W1003" s="60" t="str">
        <f aca="false">IF(IsPro,IF($B1003="","",IFERROR(VALUE(SUBSTITUTE($B1003,InvPrefix,"")),0)),"")</f>
        <v/>
      </c>
      <c r="X1003" s="61" t="str">
        <f aca="false">IF(IsPro,IF($D1003="","",IF(OR($H1003="",$H1003="Credit"),0,Q1003)),"")</f>
        <v/>
      </c>
    </row>
    <row r="1004" customFormat="false" ht="15" hidden="false" customHeight="false" outlineLevel="0" collapsed="false">
      <c r="A1004" s="55"/>
      <c r="B1004" s="56"/>
      <c r="C1004" s="56"/>
      <c r="D1004" s="56"/>
      <c r="E1004" s="57"/>
      <c r="F1004" s="58"/>
      <c r="G1004" s="59"/>
      <c r="H1004" s="56"/>
      <c r="I1004" s="56"/>
      <c r="J1004" s="60" t="str">
        <f aca="false">IF(IsPro,IF($D1004="","",IFERROR(INDEX(Items!$D$5:$D$504,U1004),"")),"")</f>
        <v/>
      </c>
      <c r="K1004" s="61" t="str">
        <f aca="false">IF(IsPro,IF($D1004="","",IF($F1004="",IFERROR(INDEX(Items!$H$5:$H$504,U1004),0),$F1004)),"")</f>
        <v/>
      </c>
      <c r="L1004" s="61" t="str">
        <f aca="false">IF(IsPro,IF($D1004="","",ROUND(N($E1004)*K1004*(1-N($G1004)),2)),"")</f>
        <v/>
      </c>
      <c r="M1004" s="62" t="str">
        <f aca="false">IF(IsPro,IF($D1004="","",IFERROR(INDEX(Items!$F$5:$F$504,U1004),0)),"")</f>
        <v/>
      </c>
      <c r="N1004" s="61" t="str">
        <f aca="false">IF(IsPro,IF($D1004="","",IF(AND(V1004&lt;&gt;"",INDEX(Parties!$E$5:$E$304,V1004)&lt;&gt;"",INDEX(Parties!$E$5:$E$304,V1004)&lt;&gt;HomeState),0,ROUND(L1004*M1004/2,2))),"")</f>
        <v/>
      </c>
      <c r="O1004" s="61" t="str">
        <f aca="false">IF(IsPro,IF($D1004="","",N1004),"")</f>
        <v/>
      </c>
      <c r="P1004" s="61" t="str">
        <f aca="false">IF(IsPro,IF($D1004="","",IF(AND(V1004&lt;&gt;"",INDEX(Parties!$E$5:$E$304,V1004)&lt;&gt;"",INDEX(Parties!$E$5:$E$304,V1004)&lt;&gt;HomeState),ROUND(L1004*M1004,2),0)),"")</f>
        <v/>
      </c>
      <c r="Q1004" s="61" t="str">
        <f aca="false">IF(IsPro,IF($D1004="","",L1004+N1004+O1004+P1004),"")</f>
        <v/>
      </c>
      <c r="R1004" s="61" t="str">
        <f aca="false">IF(IsPro,IF($D1004="","",ROUND(N($E1004)*IFERROR(INDEX(Items!$P$5:$P$504,U1004),0),2)),"")</f>
        <v/>
      </c>
      <c r="S1004" s="61" t="str">
        <f aca="false">IF(IsPro,IF($D1004="","",L1004-R1004),"")</f>
        <v/>
      </c>
      <c r="T1004" s="60" t="str">
        <f aca="false">IF(IsPro,IF($D1004="","",IF(U1004="","UNKNOWN ITEM",IF(INDEX(Items!$O$5:$O$504,U1004)&lt;0,"NEG STOCK",IF(K1004&lt;INDEX(Items!$P$5:$P$504,U1004),"BELOW COST","OK")))),IF($D1004="","","PRO PLAN"))</f>
        <v/>
      </c>
      <c r="U1004" s="60" t="str">
        <f aca="false">IF(IsPro,IF($D1004="","",IFERROR(MATCH($D1004,Items!$A$5:$A$504,0),"")),"")</f>
        <v/>
      </c>
      <c r="V1004" s="60" t="str">
        <f aca="false">IF(IsPro,IF($C1004="","",IFERROR(MATCH($C1004,Parties!$A$5:$A$304,0),"")),"")</f>
        <v/>
      </c>
      <c r="W1004" s="60" t="str">
        <f aca="false">IF(IsPro,IF($B1004="","",IFERROR(VALUE(SUBSTITUTE($B1004,InvPrefix,"")),0)),"")</f>
        <v/>
      </c>
      <c r="X1004" s="61" t="str">
        <f aca="false">IF(IsPro,IF($D1004="","",IF(OR($H1004="",$H1004="Credit"),0,Q1004)),"")</f>
        <v/>
      </c>
    </row>
    <row r="1005" customFormat="false" ht="15" hidden="false" customHeight="false" outlineLevel="0" collapsed="false">
      <c r="A1005" s="55"/>
      <c r="B1005" s="56"/>
      <c r="C1005" s="56"/>
      <c r="D1005" s="56"/>
      <c r="E1005" s="57"/>
      <c r="F1005" s="58"/>
      <c r="G1005" s="59"/>
      <c r="H1005" s="56"/>
      <c r="I1005" s="56"/>
      <c r="J1005" s="60" t="str">
        <f aca="false">IF(IsPro,IF($D1005="","",IFERROR(INDEX(Items!$D$5:$D$504,U1005),"")),"")</f>
        <v/>
      </c>
      <c r="K1005" s="61" t="str">
        <f aca="false">IF(IsPro,IF($D1005="","",IF($F1005="",IFERROR(INDEX(Items!$H$5:$H$504,U1005),0),$F1005)),"")</f>
        <v/>
      </c>
      <c r="L1005" s="61" t="str">
        <f aca="false">IF(IsPro,IF($D1005="","",ROUND(N($E1005)*K1005*(1-N($G1005)),2)),"")</f>
        <v/>
      </c>
      <c r="M1005" s="62" t="str">
        <f aca="false">IF(IsPro,IF($D1005="","",IFERROR(INDEX(Items!$F$5:$F$504,U1005),0)),"")</f>
        <v/>
      </c>
      <c r="N1005" s="61" t="str">
        <f aca="false">IF(IsPro,IF($D1005="","",IF(AND(V1005&lt;&gt;"",INDEX(Parties!$E$5:$E$304,V1005)&lt;&gt;"",INDEX(Parties!$E$5:$E$304,V1005)&lt;&gt;HomeState),0,ROUND(L1005*M1005/2,2))),"")</f>
        <v/>
      </c>
      <c r="O1005" s="61" t="str">
        <f aca="false">IF(IsPro,IF($D1005="","",N1005),"")</f>
        <v/>
      </c>
      <c r="P1005" s="61" t="str">
        <f aca="false">IF(IsPro,IF($D1005="","",IF(AND(V1005&lt;&gt;"",INDEX(Parties!$E$5:$E$304,V1005)&lt;&gt;"",INDEX(Parties!$E$5:$E$304,V1005)&lt;&gt;HomeState),ROUND(L1005*M1005,2),0)),"")</f>
        <v/>
      </c>
      <c r="Q1005" s="61" t="str">
        <f aca="false">IF(IsPro,IF($D1005="","",L1005+N1005+O1005+P1005),"")</f>
        <v/>
      </c>
      <c r="R1005" s="61" t="str">
        <f aca="false">IF(IsPro,IF($D1005="","",ROUND(N($E1005)*IFERROR(INDEX(Items!$P$5:$P$504,U1005),0),2)),"")</f>
        <v/>
      </c>
      <c r="S1005" s="61" t="str">
        <f aca="false">IF(IsPro,IF($D1005="","",L1005-R1005),"")</f>
        <v/>
      </c>
      <c r="T1005" s="60" t="str">
        <f aca="false">IF(IsPro,IF($D1005="","",IF(U1005="","UNKNOWN ITEM",IF(INDEX(Items!$O$5:$O$504,U1005)&lt;0,"NEG STOCK",IF(K1005&lt;INDEX(Items!$P$5:$P$504,U1005),"BELOW COST","OK")))),IF($D1005="","","PRO PLAN"))</f>
        <v/>
      </c>
      <c r="U1005" s="60" t="str">
        <f aca="false">IF(IsPro,IF($D1005="","",IFERROR(MATCH($D1005,Items!$A$5:$A$504,0),"")),"")</f>
        <v/>
      </c>
      <c r="V1005" s="60" t="str">
        <f aca="false">IF(IsPro,IF($C1005="","",IFERROR(MATCH($C1005,Parties!$A$5:$A$304,0),"")),"")</f>
        <v/>
      </c>
      <c r="W1005" s="60" t="str">
        <f aca="false">IF(IsPro,IF($B1005="","",IFERROR(VALUE(SUBSTITUTE($B1005,InvPrefix,"")),0)),"")</f>
        <v/>
      </c>
      <c r="X1005" s="61" t="str">
        <f aca="false">IF(IsPro,IF($D1005="","",IF(OR($H1005="",$H1005="Credit"),0,Q1005)),"")</f>
        <v/>
      </c>
    </row>
    <row r="1006" customFormat="false" ht="15" hidden="false" customHeight="false" outlineLevel="0" collapsed="false">
      <c r="A1006" s="55"/>
      <c r="B1006" s="56"/>
      <c r="C1006" s="56"/>
      <c r="D1006" s="56"/>
      <c r="E1006" s="57"/>
      <c r="F1006" s="58"/>
      <c r="G1006" s="59"/>
      <c r="H1006" s="56"/>
      <c r="I1006" s="56"/>
      <c r="J1006" s="60" t="str">
        <f aca="false">IF(IsPro,IF($D1006="","",IFERROR(INDEX(Items!$D$5:$D$504,U1006),"")),"")</f>
        <v/>
      </c>
      <c r="K1006" s="61" t="str">
        <f aca="false">IF(IsPro,IF($D1006="","",IF($F1006="",IFERROR(INDEX(Items!$H$5:$H$504,U1006),0),$F1006)),"")</f>
        <v/>
      </c>
      <c r="L1006" s="61" t="str">
        <f aca="false">IF(IsPro,IF($D1006="","",ROUND(N($E1006)*K1006*(1-N($G1006)),2)),"")</f>
        <v/>
      </c>
      <c r="M1006" s="62" t="str">
        <f aca="false">IF(IsPro,IF($D1006="","",IFERROR(INDEX(Items!$F$5:$F$504,U1006),0)),"")</f>
        <v/>
      </c>
      <c r="N1006" s="61" t="str">
        <f aca="false">IF(IsPro,IF($D1006="","",IF(AND(V1006&lt;&gt;"",INDEX(Parties!$E$5:$E$304,V1006)&lt;&gt;"",INDEX(Parties!$E$5:$E$304,V1006)&lt;&gt;HomeState),0,ROUND(L1006*M1006/2,2))),"")</f>
        <v/>
      </c>
      <c r="O1006" s="61" t="str">
        <f aca="false">IF(IsPro,IF($D1006="","",N1006),"")</f>
        <v/>
      </c>
      <c r="P1006" s="61" t="str">
        <f aca="false">IF(IsPro,IF($D1006="","",IF(AND(V1006&lt;&gt;"",INDEX(Parties!$E$5:$E$304,V1006)&lt;&gt;"",INDEX(Parties!$E$5:$E$304,V1006)&lt;&gt;HomeState),ROUND(L1006*M1006,2),0)),"")</f>
        <v/>
      </c>
      <c r="Q1006" s="61" t="str">
        <f aca="false">IF(IsPro,IF($D1006="","",L1006+N1006+O1006+P1006),"")</f>
        <v/>
      </c>
      <c r="R1006" s="61" t="str">
        <f aca="false">IF(IsPro,IF($D1006="","",ROUND(N($E1006)*IFERROR(INDEX(Items!$P$5:$P$504,U1006),0),2)),"")</f>
        <v/>
      </c>
      <c r="S1006" s="61" t="str">
        <f aca="false">IF(IsPro,IF($D1006="","",L1006-R1006),"")</f>
        <v/>
      </c>
      <c r="T1006" s="60" t="str">
        <f aca="false">IF(IsPro,IF($D1006="","",IF(U1006="","UNKNOWN ITEM",IF(INDEX(Items!$O$5:$O$504,U1006)&lt;0,"NEG STOCK",IF(K1006&lt;INDEX(Items!$P$5:$P$504,U1006),"BELOW COST","OK")))),IF($D1006="","","PRO PLAN"))</f>
        <v/>
      </c>
      <c r="U1006" s="60" t="str">
        <f aca="false">IF(IsPro,IF($D1006="","",IFERROR(MATCH($D1006,Items!$A$5:$A$504,0),"")),"")</f>
        <v/>
      </c>
      <c r="V1006" s="60" t="str">
        <f aca="false">IF(IsPro,IF($C1006="","",IFERROR(MATCH($C1006,Parties!$A$5:$A$304,0),"")),"")</f>
        <v/>
      </c>
      <c r="W1006" s="60" t="str">
        <f aca="false">IF(IsPro,IF($B1006="","",IFERROR(VALUE(SUBSTITUTE($B1006,InvPrefix,"")),0)),"")</f>
        <v/>
      </c>
      <c r="X1006" s="61" t="str">
        <f aca="false">IF(IsPro,IF($D1006="","",IF(OR($H1006="",$H1006="Credit"),0,Q1006)),"")</f>
        <v/>
      </c>
    </row>
    <row r="1007" customFormat="false" ht="15" hidden="false" customHeight="false" outlineLevel="0" collapsed="false">
      <c r="A1007" s="55"/>
      <c r="B1007" s="56"/>
      <c r="C1007" s="56"/>
      <c r="D1007" s="56"/>
      <c r="E1007" s="57"/>
      <c r="F1007" s="58"/>
      <c r="G1007" s="59"/>
      <c r="H1007" s="56"/>
      <c r="I1007" s="56"/>
      <c r="J1007" s="60" t="str">
        <f aca="false">IF(IsPro,IF($D1007="","",IFERROR(INDEX(Items!$D$5:$D$504,U1007),"")),"")</f>
        <v/>
      </c>
      <c r="K1007" s="61" t="str">
        <f aca="false">IF(IsPro,IF($D1007="","",IF($F1007="",IFERROR(INDEX(Items!$H$5:$H$504,U1007),0),$F1007)),"")</f>
        <v/>
      </c>
      <c r="L1007" s="61" t="str">
        <f aca="false">IF(IsPro,IF($D1007="","",ROUND(N($E1007)*K1007*(1-N($G1007)),2)),"")</f>
        <v/>
      </c>
      <c r="M1007" s="62" t="str">
        <f aca="false">IF(IsPro,IF($D1007="","",IFERROR(INDEX(Items!$F$5:$F$504,U1007),0)),"")</f>
        <v/>
      </c>
      <c r="N1007" s="61" t="str">
        <f aca="false">IF(IsPro,IF($D1007="","",IF(AND(V1007&lt;&gt;"",INDEX(Parties!$E$5:$E$304,V1007)&lt;&gt;"",INDEX(Parties!$E$5:$E$304,V1007)&lt;&gt;HomeState),0,ROUND(L1007*M1007/2,2))),"")</f>
        <v/>
      </c>
      <c r="O1007" s="61" t="str">
        <f aca="false">IF(IsPro,IF($D1007="","",N1007),"")</f>
        <v/>
      </c>
      <c r="P1007" s="61" t="str">
        <f aca="false">IF(IsPro,IF($D1007="","",IF(AND(V1007&lt;&gt;"",INDEX(Parties!$E$5:$E$304,V1007)&lt;&gt;"",INDEX(Parties!$E$5:$E$304,V1007)&lt;&gt;HomeState),ROUND(L1007*M1007,2),0)),"")</f>
        <v/>
      </c>
      <c r="Q1007" s="61" t="str">
        <f aca="false">IF(IsPro,IF($D1007="","",L1007+N1007+O1007+P1007),"")</f>
        <v/>
      </c>
      <c r="R1007" s="61" t="str">
        <f aca="false">IF(IsPro,IF($D1007="","",ROUND(N($E1007)*IFERROR(INDEX(Items!$P$5:$P$504,U1007),0),2)),"")</f>
        <v/>
      </c>
      <c r="S1007" s="61" t="str">
        <f aca="false">IF(IsPro,IF($D1007="","",L1007-R1007),"")</f>
        <v/>
      </c>
      <c r="T1007" s="60" t="str">
        <f aca="false">IF(IsPro,IF($D1007="","",IF(U1007="","UNKNOWN ITEM",IF(INDEX(Items!$O$5:$O$504,U1007)&lt;0,"NEG STOCK",IF(K1007&lt;INDEX(Items!$P$5:$P$504,U1007),"BELOW COST","OK")))),IF($D1007="","","PRO PLAN"))</f>
        <v/>
      </c>
      <c r="U1007" s="60" t="str">
        <f aca="false">IF(IsPro,IF($D1007="","",IFERROR(MATCH($D1007,Items!$A$5:$A$504,0),"")),"")</f>
        <v/>
      </c>
      <c r="V1007" s="60" t="str">
        <f aca="false">IF(IsPro,IF($C1007="","",IFERROR(MATCH($C1007,Parties!$A$5:$A$304,0),"")),"")</f>
        <v/>
      </c>
      <c r="W1007" s="60" t="str">
        <f aca="false">IF(IsPro,IF($B1007="","",IFERROR(VALUE(SUBSTITUTE($B1007,InvPrefix,"")),0)),"")</f>
        <v/>
      </c>
      <c r="X1007" s="61" t="str">
        <f aca="false">IF(IsPro,IF($D1007="","",IF(OR($H1007="",$H1007="Credit"),0,Q1007)),"")</f>
        <v/>
      </c>
    </row>
    <row r="1008" customFormat="false" ht="15" hidden="false" customHeight="false" outlineLevel="0" collapsed="false">
      <c r="A1008" s="55"/>
      <c r="B1008" s="56"/>
      <c r="C1008" s="56"/>
      <c r="D1008" s="56"/>
      <c r="E1008" s="57"/>
      <c r="F1008" s="58"/>
      <c r="G1008" s="59"/>
      <c r="H1008" s="56"/>
      <c r="I1008" s="56"/>
      <c r="J1008" s="60" t="str">
        <f aca="false">IF(IsPro,IF($D1008="","",IFERROR(INDEX(Items!$D$5:$D$504,U1008),"")),"")</f>
        <v/>
      </c>
      <c r="K1008" s="61" t="str">
        <f aca="false">IF(IsPro,IF($D1008="","",IF($F1008="",IFERROR(INDEX(Items!$H$5:$H$504,U1008),0),$F1008)),"")</f>
        <v/>
      </c>
      <c r="L1008" s="61" t="str">
        <f aca="false">IF(IsPro,IF($D1008="","",ROUND(N($E1008)*K1008*(1-N($G1008)),2)),"")</f>
        <v/>
      </c>
      <c r="M1008" s="62" t="str">
        <f aca="false">IF(IsPro,IF($D1008="","",IFERROR(INDEX(Items!$F$5:$F$504,U1008),0)),"")</f>
        <v/>
      </c>
      <c r="N1008" s="61" t="str">
        <f aca="false">IF(IsPro,IF($D1008="","",IF(AND(V1008&lt;&gt;"",INDEX(Parties!$E$5:$E$304,V1008)&lt;&gt;"",INDEX(Parties!$E$5:$E$304,V1008)&lt;&gt;HomeState),0,ROUND(L1008*M1008/2,2))),"")</f>
        <v/>
      </c>
      <c r="O1008" s="61" t="str">
        <f aca="false">IF(IsPro,IF($D1008="","",N1008),"")</f>
        <v/>
      </c>
      <c r="P1008" s="61" t="str">
        <f aca="false">IF(IsPro,IF($D1008="","",IF(AND(V1008&lt;&gt;"",INDEX(Parties!$E$5:$E$304,V1008)&lt;&gt;"",INDEX(Parties!$E$5:$E$304,V1008)&lt;&gt;HomeState),ROUND(L1008*M1008,2),0)),"")</f>
        <v/>
      </c>
      <c r="Q1008" s="61" t="str">
        <f aca="false">IF(IsPro,IF($D1008="","",L1008+N1008+O1008+P1008),"")</f>
        <v/>
      </c>
      <c r="R1008" s="61" t="str">
        <f aca="false">IF(IsPro,IF($D1008="","",ROUND(N($E1008)*IFERROR(INDEX(Items!$P$5:$P$504,U1008),0),2)),"")</f>
        <v/>
      </c>
      <c r="S1008" s="61" t="str">
        <f aca="false">IF(IsPro,IF($D1008="","",L1008-R1008),"")</f>
        <v/>
      </c>
      <c r="T1008" s="60" t="str">
        <f aca="false">IF(IsPro,IF($D1008="","",IF(U1008="","UNKNOWN ITEM",IF(INDEX(Items!$O$5:$O$504,U1008)&lt;0,"NEG STOCK",IF(K1008&lt;INDEX(Items!$P$5:$P$504,U1008),"BELOW COST","OK")))),IF($D1008="","","PRO PLAN"))</f>
        <v/>
      </c>
      <c r="U1008" s="60" t="str">
        <f aca="false">IF(IsPro,IF($D1008="","",IFERROR(MATCH($D1008,Items!$A$5:$A$504,0),"")),"")</f>
        <v/>
      </c>
      <c r="V1008" s="60" t="str">
        <f aca="false">IF(IsPro,IF($C1008="","",IFERROR(MATCH($C1008,Parties!$A$5:$A$304,0),"")),"")</f>
        <v/>
      </c>
      <c r="W1008" s="60" t="str">
        <f aca="false">IF(IsPro,IF($B1008="","",IFERROR(VALUE(SUBSTITUTE($B1008,InvPrefix,"")),0)),"")</f>
        <v/>
      </c>
      <c r="X1008" s="61" t="str">
        <f aca="false">IF(IsPro,IF($D1008="","",IF(OR($H1008="",$H1008="Credit"),0,Q1008)),"")</f>
        <v/>
      </c>
    </row>
    <row r="1009" customFormat="false" ht="15" hidden="false" customHeight="false" outlineLevel="0" collapsed="false">
      <c r="A1009" s="55"/>
      <c r="B1009" s="56"/>
      <c r="C1009" s="56"/>
      <c r="D1009" s="56"/>
      <c r="E1009" s="57"/>
      <c r="F1009" s="58"/>
      <c r="G1009" s="59"/>
      <c r="H1009" s="56"/>
      <c r="I1009" s="56"/>
      <c r="J1009" s="60" t="str">
        <f aca="false">IF(IsPro,IF($D1009="","",IFERROR(INDEX(Items!$D$5:$D$504,U1009),"")),"")</f>
        <v/>
      </c>
      <c r="K1009" s="61" t="str">
        <f aca="false">IF(IsPro,IF($D1009="","",IF($F1009="",IFERROR(INDEX(Items!$H$5:$H$504,U1009),0),$F1009)),"")</f>
        <v/>
      </c>
      <c r="L1009" s="61" t="str">
        <f aca="false">IF(IsPro,IF($D1009="","",ROUND(N($E1009)*K1009*(1-N($G1009)),2)),"")</f>
        <v/>
      </c>
      <c r="M1009" s="62" t="str">
        <f aca="false">IF(IsPro,IF($D1009="","",IFERROR(INDEX(Items!$F$5:$F$504,U1009),0)),"")</f>
        <v/>
      </c>
      <c r="N1009" s="61" t="str">
        <f aca="false">IF(IsPro,IF($D1009="","",IF(AND(V1009&lt;&gt;"",INDEX(Parties!$E$5:$E$304,V1009)&lt;&gt;"",INDEX(Parties!$E$5:$E$304,V1009)&lt;&gt;HomeState),0,ROUND(L1009*M1009/2,2))),"")</f>
        <v/>
      </c>
      <c r="O1009" s="61" t="str">
        <f aca="false">IF(IsPro,IF($D1009="","",N1009),"")</f>
        <v/>
      </c>
      <c r="P1009" s="61" t="str">
        <f aca="false">IF(IsPro,IF($D1009="","",IF(AND(V1009&lt;&gt;"",INDEX(Parties!$E$5:$E$304,V1009)&lt;&gt;"",INDEX(Parties!$E$5:$E$304,V1009)&lt;&gt;HomeState),ROUND(L1009*M1009,2),0)),"")</f>
        <v/>
      </c>
      <c r="Q1009" s="61" t="str">
        <f aca="false">IF(IsPro,IF($D1009="","",L1009+N1009+O1009+P1009),"")</f>
        <v/>
      </c>
      <c r="R1009" s="61" t="str">
        <f aca="false">IF(IsPro,IF($D1009="","",ROUND(N($E1009)*IFERROR(INDEX(Items!$P$5:$P$504,U1009),0),2)),"")</f>
        <v/>
      </c>
      <c r="S1009" s="61" t="str">
        <f aca="false">IF(IsPro,IF($D1009="","",L1009-R1009),"")</f>
        <v/>
      </c>
      <c r="T1009" s="60" t="str">
        <f aca="false">IF(IsPro,IF($D1009="","",IF(U1009="","UNKNOWN ITEM",IF(INDEX(Items!$O$5:$O$504,U1009)&lt;0,"NEG STOCK",IF(K1009&lt;INDEX(Items!$P$5:$P$504,U1009),"BELOW COST","OK")))),IF($D1009="","","PRO PLAN"))</f>
        <v/>
      </c>
      <c r="U1009" s="60" t="str">
        <f aca="false">IF(IsPro,IF($D1009="","",IFERROR(MATCH($D1009,Items!$A$5:$A$504,0),"")),"")</f>
        <v/>
      </c>
      <c r="V1009" s="60" t="str">
        <f aca="false">IF(IsPro,IF($C1009="","",IFERROR(MATCH($C1009,Parties!$A$5:$A$304,0),"")),"")</f>
        <v/>
      </c>
      <c r="W1009" s="60" t="str">
        <f aca="false">IF(IsPro,IF($B1009="","",IFERROR(VALUE(SUBSTITUTE($B1009,InvPrefix,"")),0)),"")</f>
        <v/>
      </c>
      <c r="X1009" s="61" t="str">
        <f aca="false">IF(IsPro,IF($D1009="","",IF(OR($H1009="",$H1009="Credit"),0,Q1009)),"")</f>
        <v/>
      </c>
    </row>
    <row r="1010" customFormat="false" ht="15" hidden="false" customHeight="false" outlineLevel="0" collapsed="false">
      <c r="A1010" s="55"/>
      <c r="B1010" s="56"/>
      <c r="C1010" s="56"/>
      <c r="D1010" s="56"/>
      <c r="E1010" s="57"/>
      <c r="F1010" s="58"/>
      <c r="G1010" s="59"/>
      <c r="H1010" s="56"/>
      <c r="I1010" s="56"/>
      <c r="J1010" s="60" t="str">
        <f aca="false">IF(IsPro,IF($D1010="","",IFERROR(INDEX(Items!$D$5:$D$504,U1010),"")),"")</f>
        <v/>
      </c>
      <c r="K1010" s="61" t="str">
        <f aca="false">IF(IsPro,IF($D1010="","",IF($F1010="",IFERROR(INDEX(Items!$H$5:$H$504,U1010),0),$F1010)),"")</f>
        <v/>
      </c>
      <c r="L1010" s="61" t="str">
        <f aca="false">IF(IsPro,IF($D1010="","",ROUND(N($E1010)*K1010*(1-N($G1010)),2)),"")</f>
        <v/>
      </c>
      <c r="M1010" s="62" t="str">
        <f aca="false">IF(IsPro,IF($D1010="","",IFERROR(INDEX(Items!$F$5:$F$504,U1010),0)),"")</f>
        <v/>
      </c>
      <c r="N1010" s="61" t="str">
        <f aca="false">IF(IsPro,IF($D1010="","",IF(AND(V1010&lt;&gt;"",INDEX(Parties!$E$5:$E$304,V1010)&lt;&gt;"",INDEX(Parties!$E$5:$E$304,V1010)&lt;&gt;HomeState),0,ROUND(L1010*M1010/2,2))),"")</f>
        <v/>
      </c>
      <c r="O1010" s="61" t="str">
        <f aca="false">IF(IsPro,IF($D1010="","",N1010),"")</f>
        <v/>
      </c>
      <c r="P1010" s="61" t="str">
        <f aca="false">IF(IsPro,IF($D1010="","",IF(AND(V1010&lt;&gt;"",INDEX(Parties!$E$5:$E$304,V1010)&lt;&gt;"",INDEX(Parties!$E$5:$E$304,V1010)&lt;&gt;HomeState),ROUND(L1010*M1010,2),0)),"")</f>
        <v/>
      </c>
      <c r="Q1010" s="61" t="str">
        <f aca="false">IF(IsPro,IF($D1010="","",L1010+N1010+O1010+P1010),"")</f>
        <v/>
      </c>
      <c r="R1010" s="61" t="str">
        <f aca="false">IF(IsPro,IF($D1010="","",ROUND(N($E1010)*IFERROR(INDEX(Items!$P$5:$P$504,U1010),0),2)),"")</f>
        <v/>
      </c>
      <c r="S1010" s="61" t="str">
        <f aca="false">IF(IsPro,IF($D1010="","",L1010-R1010),"")</f>
        <v/>
      </c>
      <c r="T1010" s="60" t="str">
        <f aca="false">IF(IsPro,IF($D1010="","",IF(U1010="","UNKNOWN ITEM",IF(INDEX(Items!$O$5:$O$504,U1010)&lt;0,"NEG STOCK",IF(K1010&lt;INDEX(Items!$P$5:$P$504,U1010),"BELOW COST","OK")))),IF($D1010="","","PRO PLAN"))</f>
        <v/>
      </c>
      <c r="U1010" s="60" t="str">
        <f aca="false">IF(IsPro,IF($D1010="","",IFERROR(MATCH($D1010,Items!$A$5:$A$504,0),"")),"")</f>
        <v/>
      </c>
      <c r="V1010" s="60" t="str">
        <f aca="false">IF(IsPro,IF($C1010="","",IFERROR(MATCH($C1010,Parties!$A$5:$A$304,0),"")),"")</f>
        <v/>
      </c>
      <c r="W1010" s="60" t="str">
        <f aca="false">IF(IsPro,IF($B1010="","",IFERROR(VALUE(SUBSTITUTE($B1010,InvPrefix,"")),0)),"")</f>
        <v/>
      </c>
      <c r="X1010" s="61" t="str">
        <f aca="false">IF(IsPro,IF($D1010="","",IF(OR($H1010="",$H1010="Credit"),0,Q1010)),"")</f>
        <v/>
      </c>
    </row>
    <row r="1011" customFormat="false" ht="15" hidden="false" customHeight="false" outlineLevel="0" collapsed="false">
      <c r="A1011" s="55"/>
      <c r="B1011" s="56"/>
      <c r="C1011" s="56"/>
      <c r="D1011" s="56"/>
      <c r="E1011" s="57"/>
      <c r="F1011" s="58"/>
      <c r="G1011" s="59"/>
      <c r="H1011" s="56"/>
      <c r="I1011" s="56"/>
      <c r="J1011" s="60" t="str">
        <f aca="false">IF(IsPro,IF($D1011="","",IFERROR(INDEX(Items!$D$5:$D$504,U1011),"")),"")</f>
        <v/>
      </c>
      <c r="K1011" s="61" t="str">
        <f aca="false">IF(IsPro,IF($D1011="","",IF($F1011="",IFERROR(INDEX(Items!$H$5:$H$504,U1011),0),$F1011)),"")</f>
        <v/>
      </c>
      <c r="L1011" s="61" t="str">
        <f aca="false">IF(IsPro,IF($D1011="","",ROUND(N($E1011)*K1011*(1-N($G1011)),2)),"")</f>
        <v/>
      </c>
      <c r="M1011" s="62" t="str">
        <f aca="false">IF(IsPro,IF($D1011="","",IFERROR(INDEX(Items!$F$5:$F$504,U1011),0)),"")</f>
        <v/>
      </c>
      <c r="N1011" s="61" t="str">
        <f aca="false">IF(IsPro,IF($D1011="","",IF(AND(V1011&lt;&gt;"",INDEX(Parties!$E$5:$E$304,V1011)&lt;&gt;"",INDEX(Parties!$E$5:$E$304,V1011)&lt;&gt;HomeState),0,ROUND(L1011*M1011/2,2))),"")</f>
        <v/>
      </c>
      <c r="O1011" s="61" t="str">
        <f aca="false">IF(IsPro,IF($D1011="","",N1011),"")</f>
        <v/>
      </c>
      <c r="P1011" s="61" t="str">
        <f aca="false">IF(IsPro,IF($D1011="","",IF(AND(V1011&lt;&gt;"",INDEX(Parties!$E$5:$E$304,V1011)&lt;&gt;"",INDEX(Parties!$E$5:$E$304,V1011)&lt;&gt;HomeState),ROUND(L1011*M1011,2),0)),"")</f>
        <v/>
      </c>
      <c r="Q1011" s="61" t="str">
        <f aca="false">IF(IsPro,IF($D1011="","",L1011+N1011+O1011+P1011),"")</f>
        <v/>
      </c>
      <c r="R1011" s="61" t="str">
        <f aca="false">IF(IsPro,IF($D1011="","",ROUND(N($E1011)*IFERROR(INDEX(Items!$P$5:$P$504,U1011),0),2)),"")</f>
        <v/>
      </c>
      <c r="S1011" s="61" t="str">
        <f aca="false">IF(IsPro,IF($D1011="","",L1011-R1011),"")</f>
        <v/>
      </c>
      <c r="T1011" s="60" t="str">
        <f aca="false">IF(IsPro,IF($D1011="","",IF(U1011="","UNKNOWN ITEM",IF(INDEX(Items!$O$5:$O$504,U1011)&lt;0,"NEG STOCK",IF(K1011&lt;INDEX(Items!$P$5:$P$504,U1011),"BELOW COST","OK")))),IF($D1011="","","PRO PLAN"))</f>
        <v/>
      </c>
      <c r="U1011" s="60" t="str">
        <f aca="false">IF(IsPro,IF($D1011="","",IFERROR(MATCH($D1011,Items!$A$5:$A$504,0),"")),"")</f>
        <v/>
      </c>
      <c r="V1011" s="60" t="str">
        <f aca="false">IF(IsPro,IF($C1011="","",IFERROR(MATCH($C1011,Parties!$A$5:$A$304,0),"")),"")</f>
        <v/>
      </c>
      <c r="W1011" s="60" t="str">
        <f aca="false">IF(IsPro,IF($B1011="","",IFERROR(VALUE(SUBSTITUTE($B1011,InvPrefix,"")),0)),"")</f>
        <v/>
      </c>
      <c r="X1011" s="61" t="str">
        <f aca="false">IF(IsPro,IF($D1011="","",IF(OR($H1011="",$H1011="Credit"),0,Q1011)),"")</f>
        <v/>
      </c>
    </row>
    <row r="1012" customFormat="false" ht="15" hidden="false" customHeight="false" outlineLevel="0" collapsed="false">
      <c r="A1012" s="55"/>
      <c r="B1012" s="56"/>
      <c r="C1012" s="56"/>
      <c r="D1012" s="56"/>
      <c r="E1012" s="57"/>
      <c r="F1012" s="58"/>
      <c r="G1012" s="59"/>
      <c r="H1012" s="56"/>
      <c r="I1012" s="56"/>
      <c r="J1012" s="60" t="str">
        <f aca="false">IF(IsPro,IF($D1012="","",IFERROR(INDEX(Items!$D$5:$D$504,U1012),"")),"")</f>
        <v/>
      </c>
      <c r="K1012" s="61" t="str">
        <f aca="false">IF(IsPro,IF($D1012="","",IF($F1012="",IFERROR(INDEX(Items!$H$5:$H$504,U1012),0),$F1012)),"")</f>
        <v/>
      </c>
      <c r="L1012" s="61" t="str">
        <f aca="false">IF(IsPro,IF($D1012="","",ROUND(N($E1012)*K1012*(1-N($G1012)),2)),"")</f>
        <v/>
      </c>
      <c r="M1012" s="62" t="str">
        <f aca="false">IF(IsPro,IF($D1012="","",IFERROR(INDEX(Items!$F$5:$F$504,U1012),0)),"")</f>
        <v/>
      </c>
      <c r="N1012" s="61" t="str">
        <f aca="false">IF(IsPro,IF($D1012="","",IF(AND(V1012&lt;&gt;"",INDEX(Parties!$E$5:$E$304,V1012)&lt;&gt;"",INDEX(Parties!$E$5:$E$304,V1012)&lt;&gt;HomeState),0,ROUND(L1012*M1012/2,2))),"")</f>
        <v/>
      </c>
      <c r="O1012" s="61" t="str">
        <f aca="false">IF(IsPro,IF($D1012="","",N1012),"")</f>
        <v/>
      </c>
      <c r="P1012" s="61" t="str">
        <f aca="false">IF(IsPro,IF($D1012="","",IF(AND(V1012&lt;&gt;"",INDEX(Parties!$E$5:$E$304,V1012)&lt;&gt;"",INDEX(Parties!$E$5:$E$304,V1012)&lt;&gt;HomeState),ROUND(L1012*M1012,2),0)),"")</f>
        <v/>
      </c>
      <c r="Q1012" s="61" t="str">
        <f aca="false">IF(IsPro,IF($D1012="","",L1012+N1012+O1012+P1012),"")</f>
        <v/>
      </c>
      <c r="R1012" s="61" t="str">
        <f aca="false">IF(IsPro,IF($D1012="","",ROUND(N($E1012)*IFERROR(INDEX(Items!$P$5:$P$504,U1012),0),2)),"")</f>
        <v/>
      </c>
      <c r="S1012" s="61" t="str">
        <f aca="false">IF(IsPro,IF($D1012="","",L1012-R1012),"")</f>
        <v/>
      </c>
      <c r="T1012" s="60" t="str">
        <f aca="false">IF(IsPro,IF($D1012="","",IF(U1012="","UNKNOWN ITEM",IF(INDEX(Items!$O$5:$O$504,U1012)&lt;0,"NEG STOCK",IF(K1012&lt;INDEX(Items!$P$5:$P$504,U1012),"BELOW COST","OK")))),IF($D1012="","","PRO PLAN"))</f>
        <v/>
      </c>
      <c r="U1012" s="60" t="str">
        <f aca="false">IF(IsPro,IF($D1012="","",IFERROR(MATCH($D1012,Items!$A$5:$A$504,0),"")),"")</f>
        <v/>
      </c>
      <c r="V1012" s="60" t="str">
        <f aca="false">IF(IsPro,IF($C1012="","",IFERROR(MATCH($C1012,Parties!$A$5:$A$304,0),"")),"")</f>
        <v/>
      </c>
      <c r="W1012" s="60" t="str">
        <f aca="false">IF(IsPro,IF($B1012="","",IFERROR(VALUE(SUBSTITUTE($B1012,InvPrefix,"")),0)),"")</f>
        <v/>
      </c>
      <c r="X1012" s="61" t="str">
        <f aca="false">IF(IsPro,IF($D1012="","",IF(OR($H1012="",$H1012="Credit"),0,Q1012)),"")</f>
        <v/>
      </c>
    </row>
    <row r="1013" customFormat="false" ht="15" hidden="false" customHeight="false" outlineLevel="0" collapsed="false">
      <c r="A1013" s="55"/>
      <c r="B1013" s="56"/>
      <c r="C1013" s="56"/>
      <c r="D1013" s="56"/>
      <c r="E1013" s="57"/>
      <c r="F1013" s="58"/>
      <c r="G1013" s="59"/>
      <c r="H1013" s="56"/>
      <c r="I1013" s="56"/>
      <c r="J1013" s="60" t="str">
        <f aca="false">IF(IsPro,IF($D1013="","",IFERROR(INDEX(Items!$D$5:$D$504,U1013),"")),"")</f>
        <v/>
      </c>
      <c r="K1013" s="61" t="str">
        <f aca="false">IF(IsPro,IF($D1013="","",IF($F1013="",IFERROR(INDEX(Items!$H$5:$H$504,U1013),0),$F1013)),"")</f>
        <v/>
      </c>
      <c r="L1013" s="61" t="str">
        <f aca="false">IF(IsPro,IF($D1013="","",ROUND(N($E1013)*K1013*(1-N($G1013)),2)),"")</f>
        <v/>
      </c>
      <c r="M1013" s="62" t="str">
        <f aca="false">IF(IsPro,IF($D1013="","",IFERROR(INDEX(Items!$F$5:$F$504,U1013),0)),"")</f>
        <v/>
      </c>
      <c r="N1013" s="61" t="str">
        <f aca="false">IF(IsPro,IF($D1013="","",IF(AND(V1013&lt;&gt;"",INDEX(Parties!$E$5:$E$304,V1013)&lt;&gt;"",INDEX(Parties!$E$5:$E$304,V1013)&lt;&gt;HomeState),0,ROUND(L1013*M1013/2,2))),"")</f>
        <v/>
      </c>
      <c r="O1013" s="61" t="str">
        <f aca="false">IF(IsPro,IF($D1013="","",N1013),"")</f>
        <v/>
      </c>
      <c r="P1013" s="61" t="str">
        <f aca="false">IF(IsPro,IF($D1013="","",IF(AND(V1013&lt;&gt;"",INDEX(Parties!$E$5:$E$304,V1013)&lt;&gt;"",INDEX(Parties!$E$5:$E$304,V1013)&lt;&gt;HomeState),ROUND(L1013*M1013,2),0)),"")</f>
        <v/>
      </c>
      <c r="Q1013" s="61" t="str">
        <f aca="false">IF(IsPro,IF($D1013="","",L1013+N1013+O1013+P1013),"")</f>
        <v/>
      </c>
      <c r="R1013" s="61" t="str">
        <f aca="false">IF(IsPro,IF($D1013="","",ROUND(N($E1013)*IFERROR(INDEX(Items!$P$5:$P$504,U1013),0),2)),"")</f>
        <v/>
      </c>
      <c r="S1013" s="61" t="str">
        <f aca="false">IF(IsPro,IF($D1013="","",L1013-R1013),"")</f>
        <v/>
      </c>
      <c r="T1013" s="60" t="str">
        <f aca="false">IF(IsPro,IF($D1013="","",IF(U1013="","UNKNOWN ITEM",IF(INDEX(Items!$O$5:$O$504,U1013)&lt;0,"NEG STOCK",IF(K1013&lt;INDEX(Items!$P$5:$P$504,U1013),"BELOW COST","OK")))),IF($D1013="","","PRO PLAN"))</f>
        <v/>
      </c>
      <c r="U1013" s="60" t="str">
        <f aca="false">IF(IsPro,IF($D1013="","",IFERROR(MATCH($D1013,Items!$A$5:$A$504,0),"")),"")</f>
        <v/>
      </c>
      <c r="V1013" s="60" t="str">
        <f aca="false">IF(IsPro,IF($C1013="","",IFERROR(MATCH($C1013,Parties!$A$5:$A$304,0),"")),"")</f>
        <v/>
      </c>
      <c r="W1013" s="60" t="str">
        <f aca="false">IF(IsPro,IF($B1013="","",IFERROR(VALUE(SUBSTITUTE($B1013,InvPrefix,"")),0)),"")</f>
        <v/>
      </c>
      <c r="X1013" s="61" t="str">
        <f aca="false">IF(IsPro,IF($D1013="","",IF(OR($H1013="",$H1013="Credit"),0,Q1013)),"")</f>
        <v/>
      </c>
    </row>
    <row r="1014" customFormat="false" ht="15" hidden="false" customHeight="false" outlineLevel="0" collapsed="false">
      <c r="A1014" s="55"/>
      <c r="B1014" s="56"/>
      <c r="C1014" s="56"/>
      <c r="D1014" s="56"/>
      <c r="E1014" s="57"/>
      <c r="F1014" s="58"/>
      <c r="G1014" s="59"/>
      <c r="H1014" s="56"/>
      <c r="I1014" s="56"/>
      <c r="J1014" s="60" t="str">
        <f aca="false">IF(IsPro,IF($D1014="","",IFERROR(INDEX(Items!$D$5:$D$504,U1014),"")),"")</f>
        <v/>
      </c>
      <c r="K1014" s="61" t="str">
        <f aca="false">IF(IsPro,IF($D1014="","",IF($F1014="",IFERROR(INDEX(Items!$H$5:$H$504,U1014),0),$F1014)),"")</f>
        <v/>
      </c>
      <c r="L1014" s="61" t="str">
        <f aca="false">IF(IsPro,IF($D1014="","",ROUND(N($E1014)*K1014*(1-N($G1014)),2)),"")</f>
        <v/>
      </c>
      <c r="M1014" s="62" t="str">
        <f aca="false">IF(IsPro,IF($D1014="","",IFERROR(INDEX(Items!$F$5:$F$504,U1014),0)),"")</f>
        <v/>
      </c>
      <c r="N1014" s="61" t="str">
        <f aca="false">IF(IsPro,IF($D1014="","",IF(AND(V1014&lt;&gt;"",INDEX(Parties!$E$5:$E$304,V1014)&lt;&gt;"",INDEX(Parties!$E$5:$E$304,V1014)&lt;&gt;HomeState),0,ROUND(L1014*M1014/2,2))),"")</f>
        <v/>
      </c>
      <c r="O1014" s="61" t="str">
        <f aca="false">IF(IsPro,IF($D1014="","",N1014),"")</f>
        <v/>
      </c>
      <c r="P1014" s="61" t="str">
        <f aca="false">IF(IsPro,IF($D1014="","",IF(AND(V1014&lt;&gt;"",INDEX(Parties!$E$5:$E$304,V1014)&lt;&gt;"",INDEX(Parties!$E$5:$E$304,V1014)&lt;&gt;HomeState),ROUND(L1014*M1014,2),0)),"")</f>
        <v/>
      </c>
      <c r="Q1014" s="61" t="str">
        <f aca="false">IF(IsPro,IF($D1014="","",L1014+N1014+O1014+P1014),"")</f>
        <v/>
      </c>
      <c r="R1014" s="61" t="str">
        <f aca="false">IF(IsPro,IF($D1014="","",ROUND(N($E1014)*IFERROR(INDEX(Items!$P$5:$P$504,U1014),0),2)),"")</f>
        <v/>
      </c>
      <c r="S1014" s="61" t="str">
        <f aca="false">IF(IsPro,IF($D1014="","",L1014-R1014),"")</f>
        <v/>
      </c>
      <c r="T1014" s="60" t="str">
        <f aca="false">IF(IsPro,IF($D1014="","",IF(U1014="","UNKNOWN ITEM",IF(INDEX(Items!$O$5:$O$504,U1014)&lt;0,"NEG STOCK",IF(K1014&lt;INDEX(Items!$P$5:$P$504,U1014),"BELOW COST","OK")))),IF($D1014="","","PRO PLAN"))</f>
        <v/>
      </c>
      <c r="U1014" s="60" t="str">
        <f aca="false">IF(IsPro,IF($D1014="","",IFERROR(MATCH($D1014,Items!$A$5:$A$504,0),"")),"")</f>
        <v/>
      </c>
      <c r="V1014" s="60" t="str">
        <f aca="false">IF(IsPro,IF($C1014="","",IFERROR(MATCH($C1014,Parties!$A$5:$A$304,0),"")),"")</f>
        <v/>
      </c>
      <c r="W1014" s="60" t="str">
        <f aca="false">IF(IsPro,IF($B1014="","",IFERROR(VALUE(SUBSTITUTE($B1014,InvPrefix,"")),0)),"")</f>
        <v/>
      </c>
      <c r="X1014" s="61" t="str">
        <f aca="false">IF(IsPro,IF($D1014="","",IF(OR($H1014="",$H1014="Credit"),0,Q1014)),"")</f>
        <v/>
      </c>
    </row>
    <row r="1015" customFormat="false" ht="15" hidden="false" customHeight="false" outlineLevel="0" collapsed="false">
      <c r="A1015" s="55"/>
      <c r="B1015" s="56"/>
      <c r="C1015" s="56"/>
      <c r="D1015" s="56"/>
      <c r="E1015" s="57"/>
      <c r="F1015" s="58"/>
      <c r="G1015" s="59"/>
      <c r="H1015" s="56"/>
      <c r="I1015" s="56"/>
      <c r="J1015" s="60" t="str">
        <f aca="false">IF(IsPro,IF($D1015="","",IFERROR(INDEX(Items!$D$5:$D$504,U1015),"")),"")</f>
        <v/>
      </c>
      <c r="K1015" s="61" t="str">
        <f aca="false">IF(IsPro,IF($D1015="","",IF($F1015="",IFERROR(INDEX(Items!$H$5:$H$504,U1015),0),$F1015)),"")</f>
        <v/>
      </c>
      <c r="L1015" s="61" t="str">
        <f aca="false">IF(IsPro,IF($D1015="","",ROUND(N($E1015)*K1015*(1-N($G1015)),2)),"")</f>
        <v/>
      </c>
      <c r="M1015" s="62" t="str">
        <f aca="false">IF(IsPro,IF($D1015="","",IFERROR(INDEX(Items!$F$5:$F$504,U1015),0)),"")</f>
        <v/>
      </c>
      <c r="N1015" s="61" t="str">
        <f aca="false">IF(IsPro,IF($D1015="","",IF(AND(V1015&lt;&gt;"",INDEX(Parties!$E$5:$E$304,V1015)&lt;&gt;"",INDEX(Parties!$E$5:$E$304,V1015)&lt;&gt;HomeState),0,ROUND(L1015*M1015/2,2))),"")</f>
        <v/>
      </c>
      <c r="O1015" s="61" t="str">
        <f aca="false">IF(IsPro,IF($D1015="","",N1015),"")</f>
        <v/>
      </c>
      <c r="P1015" s="61" t="str">
        <f aca="false">IF(IsPro,IF($D1015="","",IF(AND(V1015&lt;&gt;"",INDEX(Parties!$E$5:$E$304,V1015)&lt;&gt;"",INDEX(Parties!$E$5:$E$304,V1015)&lt;&gt;HomeState),ROUND(L1015*M1015,2),0)),"")</f>
        <v/>
      </c>
      <c r="Q1015" s="61" t="str">
        <f aca="false">IF(IsPro,IF($D1015="","",L1015+N1015+O1015+P1015),"")</f>
        <v/>
      </c>
      <c r="R1015" s="61" t="str">
        <f aca="false">IF(IsPro,IF($D1015="","",ROUND(N($E1015)*IFERROR(INDEX(Items!$P$5:$P$504,U1015),0),2)),"")</f>
        <v/>
      </c>
      <c r="S1015" s="61" t="str">
        <f aca="false">IF(IsPro,IF($D1015="","",L1015-R1015),"")</f>
        <v/>
      </c>
      <c r="T1015" s="60" t="str">
        <f aca="false">IF(IsPro,IF($D1015="","",IF(U1015="","UNKNOWN ITEM",IF(INDEX(Items!$O$5:$O$504,U1015)&lt;0,"NEG STOCK",IF(K1015&lt;INDEX(Items!$P$5:$P$504,U1015),"BELOW COST","OK")))),IF($D1015="","","PRO PLAN"))</f>
        <v/>
      </c>
      <c r="U1015" s="60" t="str">
        <f aca="false">IF(IsPro,IF($D1015="","",IFERROR(MATCH($D1015,Items!$A$5:$A$504,0),"")),"")</f>
        <v/>
      </c>
      <c r="V1015" s="60" t="str">
        <f aca="false">IF(IsPro,IF($C1015="","",IFERROR(MATCH($C1015,Parties!$A$5:$A$304,0),"")),"")</f>
        <v/>
      </c>
      <c r="W1015" s="60" t="str">
        <f aca="false">IF(IsPro,IF($B1015="","",IFERROR(VALUE(SUBSTITUTE($B1015,InvPrefix,"")),0)),"")</f>
        <v/>
      </c>
      <c r="X1015" s="61" t="str">
        <f aca="false">IF(IsPro,IF($D1015="","",IF(OR($H1015="",$H1015="Credit"),0,Q1015)),"")</f>
        <v/>
      </c>
    </row>
    <row r="1016" customFormat="false" ht="15" hidden="false" customHeight="false" outlineLevel="0" collapsed="false">
      <c r="A1016" s="55"/>
      <c r="B1016" s="56"/>
      <c r="C1016" s="56"/>
      <c r="D1016" s="56"/>
      <c r="E1016" s="57"/>
      <c r="F1016" s="58"/>
      <c r="G1016" s="59"/>
      <c r="H1016" s="56"/>
      <c r="I1016" s="56"/>
      <c r="J1016" s="60" t="str">
        <f aca="false">IF(IsPro,IF($D1016="","",IFERROR(INDEX(Items!$D$5:$D$504,U1016),"")),"")</f>
        <v/>
      </c>
      <c r="K1016" s="61" t="str">
        <f aca="false">IF(IsPro,IF($D1016="","",IF($F1016="",IFERROR(INDEX(Items!$H$5:$H$504,U1016),0),$F1016)),"")</f>
        <v/>
      </c>
      <c r="L1016" s="61" t="str">
        <f aca="false">IF(IsPro,IF($D1016="","",ROUND(N($E1016)*K1016*(1-N($G1016)),2)),"")</f>
        <v/>
      </c>
      <c r="M1016" s="62" t="str">
        <f aca="false">IF(IsPro,IF($D1016="","",IFERROR(INDEX(Items!$F$5:$F$504,U1016),0)),"")</f>
        <v/>
      </c>
      <c r="N1016" s="61" t="str">
        <f aca="false">IF(IsPro,IF($D1016="","",IF(AND(V1016&lt;&gt;"",INDEX(Parties!$E$5:$E$304,V1016)&lt;&gt;"",INDEX(Parties!$E$5:$E$304,V1016)&lt;&gt;HomeState),0,ROUND(L1016*M1016/2,2))),"")</f>
        <v/>
      </c>
      <c r="O1016" s="61" t="str">
        <f aca="false">IF(IsPro,IF($D1016="","",N1016),"")</f>
        <v/>
      </c>
      <c r="P1016" s="61" t="str">
        <f aca="false">IF(IsPro,IF($D1016="","",IF(AND(V1016&lt;&gt;"",INDEX(Parties!$E$5:$E$304,V1016)&lt;&gt;"",INDEX(Parties!$E$5:$E$304,V1016)&lt;&gt;HomeState),ROUND(L1016*M1016,2),0)),"")</f>
        <v/>
      </c>
      <c r="Q1016" s="61" t="str">
        <f aca="false">IF(IsPro,IF($D1016="","",L1016+N1016+O1016+P1016),"")</f>
        <v/>
      </c>
      <c r="R1016" s="61" t="str">
        <f aca="false">IF(IsPro,IF($D1016="","",ROUND(N($E1016)*IFERROR(INDEX(Items!$P$5:$P$504,U1016),0),2)),"")</f>
        <v/>
      </c>
      <c r="S1016" s="61" t="str">
        <f aca="false">IF(IsPro,IF($D1016="","",L1016-R1016),"")</f>
        <v/>
      </c>
      <c r="T1016" s="60" t="str">
        <f aca="false">IF(IsPro,IF($D1016="","",IF(U1016="","UNKNOWN ITEM",IF(INDEX(Items!$O$5:$O$504,U1016)&lt;0,"NEG STOCK",IF(K1016&lt;INDEX(Items!$P$5:$P$504,U1016),"BELOW COST","OK")))),IF($D1016="","","PRO PLAN"))</f>
        <v/>
      </c>
      <c r="U1016" s="60" t="str">
        <f aca="false">IF(IsPro,IF($D1016="","",IFERROR(MATCH($D1016,Items!$A$5:$A$504,0),"")),"")</f>
        <v/>
      </c>
      <c r="V1016" s="60" t="str">
        <f aca="false">IF(IsPro,IF($C1016="","",IFERROR(MATCH($C1016,Parties!$A$5:$A$304,0),"")),"")</f>
        <v/>
      </c>
      <c r="W1016" s="60" t="str">
        <f aca="false">IF(IsPro,IF($B1016="","",IFERROR(VALUE(SUBSTITUTE($B1016,InvPrefix,"")),0)),"")</f>
        <v/>
      </c>
      <c r="X1016" s="61" t="str">
        <f aca="false">IF(IsPro,IF($D1016="","",IF(OR($H1016="",$H1016="Credit"),0,Q1016)),"")</f>
        <v/>
      </c>
    </row>
    <row r="1017" customFormat="false" ht="15" hidden="false" customHeight="false" outlineLevel="0" collapsed="false">
      <c r="A1017" s="55"/>
      <c r="B1017" s="56"/>
      <c r="C1017" s="56"/>
      <c r="D1017" s="56"/>
      <c r="E1017" s="57"/>
      <c r="F1017" s="58"/>
      <c r="G1017" s="59"/>
      <c r="H1017" s="56"/>
      <c r="I1017" s="56"/>
      <c r="J1017" s="60" t="str">
        <f aca="false">IF(IsPro,IF($D1017="","",IFERROR(INDEX(Items!$D$5:$D$504,U1017),"")),"")</f>
        <v/>
      </c>
      <c r="K1017" s="61" t="str">
        <f aca="false">IF(IsPro,IF($D1017="","",IF($F1017="",IFERROR(INDEX(Items!$H$5:$H$504,U1017),0),$F1017)),"")</f>
        <v/>
      </c>
      <c r="L1017" s="61" t="str">
        <f aca="false">IF(IsPro,IF($D1017="","",ROUND(N($E1017)*K1017*(1-N($G1017)),2)),"")</f>
        <v/>
      </c>
      <c r="M1017" s="62" t="str">
        <f aca="false">IF(IsPro,IF($D1017="","",IFERROR(INDEX(Items!$F$5:$F$504,U1017),0)),"")</f>
        <v/>
      </c>
      <c r="N1017" s="61" t="str">
        <f aca="false">IF(IsPro,IF($D1017="","",IF(AND(V1017&lt;&gt;"",INDEX(Parties!$E$5:$E$304,V1017)&lt;&gt;"",INDEX(Parties!$E$5:$E$304,V1017)&lt;&gt;HomeState),0,ROUND(L1017*M1017/2,2))),"")</f>
        <v/>
      </c>
      <c r="O1017" s="61" t="str">
        <f aca="false">IF(IsPro,IF($D1017="","",N1017),"")</f>
        <v/>
      </c>
      <c r="P1017" s="61" t="str">
        <f aca="false">IF(IsPro,IF($D1017="","",IF(AND(V1017&lt;&gt;"",INDEX(Parties!$E$5:$E$304,V1017)&lt;&gt;"",INDEX(Parties!$E$5:$E$304,V1017)&lt;&gt;HomeState),ROUND(L1017*M1017,2),0)),"")</f>
        <v/>
      </c>
      <c r="Q1017" s="61" t="str">
        <f aca="false">IF(IsPro,IF($D1017="","",L1017+N1017+O1017+P1017),"")</f>
        <v/>
      </c>
      <c r="R1017" s="61" t="str">
        <f aca="false">IF(IsPro,IF($D1017="","",ROUND(N($E1017)*IFERROR(INDEX(Items!$P$5:$P$504,U1017),0),2)),"")</f>
        <v/>
      </c>
      <c r="S1017" s="61" t="str">
        <f aca="false">IF(IsPro,IF($D1017="","",L1017-R1017),"")</f>
        <v/>
      </c>
      <c r="T1017" s="60" t="str">
        <f aca="false">IF(IsPro,IF($D1017="","",IF(U1017="","UNKNOWN ITEM",IF(INDEX(Items!$O$5:$O$504,U1017)&lt;0,"NEG STOCK",IF(K1017&lt;INDEX(Items!$P$5:$P$504,U1017),"BELOW COST","OK")))),IF($D1017="","","PRO PLAN"))</f>
        <v/>
      </c>
      <c r="U1017" s="60" t="str">
        <f aca="false">IF(IsPro,IF($D1017="","",IFERROR(MATCH($D1017,Items!$A$5:$A$504,0),"")),"")</f>
        <v/>
      </c>
      <c r="V1017" s="60" t="str">
        <f aca="false">IF(IsPro,IF($C1017="","",IFERROR(MATCH($C1017,Parties!$A$5:$A$304,0),"")),"")</f>
        <v/>
      </c>
      <c r="W1017" s="60" t="str">
        <f aca="false">IF(IsPro,IF($B1017="","",IFERROR(VALUE(SUBSTITUTE($B1017,InvPrefix,"")),0)),"")</f>
        <v/>
      </c>
      <c r="X1017" s="61" t="str">
        <f aca="false">IF(IsPro,IF($D1017="","",IF(OR($H1017="",$H1017="Credit"),0,Q1017)),"")</f>
        <v/>
      </c>
    </row>
    <row r="1018" customFormat="false" ht="15" hidden="false" customHeight="false" outlineLevel="0" collapsed="false">
      <c r="A1018" s="55"/>
      <c r="B1018" s="56"/>
      <c r="C1018" s="56"/>
      <c r="D1018" s="56"/>
      <c r="E1018" s="57"/>
      <c r="F1018" s="58"/>
      <c r="G1018" s="59"/>
      <c r="H1018" s="56"/>
      <c r="I1018" s="56"/>
      <c r="J1018" s="60" t="str">
        <f aca="false">IF(IsPro,IF($D1018="","",IFERROR(INDEX(Items!$D$5:$D$504,U1018),"")),"")</f>
        <v/>
      </c>
      <c r="K1018" s="61" t="str">
        <f aca="false">IF(IsPro,IF($D1018="","",IF($F1018="",IFERROR(INDEX(Items!$H$5:$H$504,U1018),0),$F1018)),"")</f>
        <v/>
      </c>
      <c r="L1018" s="61" t="str">
        <f aca="false">IF(IsPro,IF($D1018="","",ROUND(N($E1018)*K1018*(1-N($G1018)),2)),"")</f>
        <v/>
      </c>
      <c r="M1018" s="62" t="str">
        <f aca="false">IF(IsPro,IF($D1018="","",IFERROR(INDEX(Items!$F$5:$F$504,U1018),0)),"")</f>
        <v/>
      </c>
      <c r="N1018" s="61" t="str">
        <f aca="false">IF(IsPro,IF($D1018="","",IF(AND(V1018&lt;&gt;"",INDEX(Parties!$E$5:$E$304,V1018)&lt;&gt;"",INDEX(Parties!$E$5:$E$304,V1018)&lt;&gt;HomeState),0,ROUND(L1018*M1018/2,2))),"")</f>
        <v/>
      </c>
      <c r="O1018" s="61" t="str">
        <f aca="false">IF(IsPro,IF($D1018="","",N1018),"")</f>
        <v/>
      </c>
      <c r="P1018" s="61" t="str">
        <f aca="false">IF(IsPro,IF($D1018="","",IF(AND(V1018&lt;&gt;"",INDEX(Parties!$E$5:$E$304,V1018)&lt;&gt;"",INDEX(Parties!$E$5:$E$304,V1018)&lt;&gt;HomeState),ROUND(L1018*M1018,2),0)),"")</f>
        <v/>
      </c>
      <c r="Q1018" s="61" t="str">
        <f aca="false">IF(IsPro,IF($D1018="","",L1018+N1018+O1018+P1018),"")</f>
        <v/>
      </c>
      <c r="R1018" s="61" t="str">
        <f aca="false">IF(IsPro,IF($D1018="","",ROUND(N($E1018)*IFERROR(INDEX(Items!$P$5:$P$504,U1018),0),2)),"")</f>
        <v/>
      </c>
      <c r="S1018" s="61" t="str">
        <f aca="false">IF(IsPro,IF($D1018="","",L1018-R1018),"")</f>
        <v/>
      </c>
      <c r="T1018" s="60" t="str">
        <f aca="false">IF(IsPro,IF($D1018="","",IF(U1018="","UNKNOWN ITEM",IF(INDEX(Items!$O$5:$O$504,U1018)&lt;0,"NEG STOCK",IF(K1018&lt;INDEX(Items!$P$5:$P$504,U1018),"BELOW COST","OK")))),IF($D1018="","","PRO PLAN"))</f>
        <v/>
      </c>
      <c r="U1018" s="60" t="str">
        <f aca="false">IF(IsPro,IF($D1018="","",IFERROR(MATCH($D1018,Items!$A$5:$A$504,0),"")),"")</f>
        <v/>
      </c>
      <c r="V1018" s="60" t="str">
        <f aca="false">IF(IsPro,IF($C1018="","",IFERROR(MATCH($C1018,Parties!$A$5:$A$304,0),"")),"")</f>
        <v/>
      </c>
      <c r="W1018" s="60" t="str">
        <f aca="false">IF(IsPro,IF($B1018="","",IFERROR(VALUE(SUBSTITUTE($B1018,InvPrefix,"")),0)),"")</f>
        <v/>
      </c>
      <c r="X1018" s="61" t="str">
        <f aca="false">IF(IsPro,IF($D1018="","",IF(OR($H1018="",$H1018="Credit"),0,Q1018)),"")</f>
        <v/>
      </c>
    </row>
    <row r="1019" customFormat="false" ht="15" hidden="false" customHeight="false" outlineLevel="0" collapsed="false">
      <c r="A1019" s="55"/>
      <c r="B1019" s="56"/>
      <c r="C1019" s="56"/>
      <c r="D1019" s="56"/>
      <c r="E1019" s="57"/>
      <c r="F1019" s="58"/>
      <c r="G1019" s="59"/>
      <c r="H1019" s="56"/>
      <c r="I1019" s="56"/>
      <c r="J1019" s="60" t="str">
        <f aca="false">IF(IsPro,IF($D1019="","",IFERROR(INDEX(Items!$D$5:$D$504,U1019),"")),"")</f>
        <v/>
      </c>
      <c r="K1019" s="61" t="str">
        <f aca="false">IF(IsPro,IF($D1019="","",IF($F1019="",IFERROR(INDEX(Items!$H$5:$H$504,U1019),0),$F1019)),"")</f>
        <v/>
      </c>
      <c r="L1019" s="61" t="str">
        <f aca="false">IF(IsPro,IF($D1019="","",ROUND(N($E1019)*K1019*(1-N($G1019)),2)),"")</f>
        <v/>
      </c>
      <c r="M1019" s="62" t="str">
        <f aca="false">IF(IsPro,IF($D1019="","",IFERROR(INDEX(Items!$F$5:$F$504,U1019),0)),"")</f>
        <v/>
      </c>
      <c r="N1019" s="61" t="str">
        <f aca="false">IF(IsPro,IF($D1019="","",IF(AND(V1019&lt;&gt;"",INDEX(Parties!$E$5:$E$304,V1019)&lt;&gt;"",INDEX(Parties!$E$5:$E$304,V1019)&lt;&gt;HomeState),0,ROUND(L1019*M1019/2,2))),"")</f>
        <v/>
      </c>
      <c r="O1019" s="61" t="str">
        <f aca="false">IF(IsPro,IF($D1019="","",N1019),"")</f>
        <v/>
      </c>
      <c r="P1019" s="61" t="str">
        <f aca="false">IF(IsPro,IF($D1019="","",IF(AND(V1019&lt;&gt;"",INDEX(Parties!$E$5:$E$304,V1019)&lt;&gt;"",INDEX(Parties!$E$5:$E$304,V1019)&lt;&gt;HomeState),ROUND(L1019*M1019,2),0)),"")</f>
        <v/>
      </c>
      <c r="Q1019" s="61" t="str">
        <f aca="false">IF(IsPro,IF($D1019="","",L1019+N1019+O1019+P1019),"")</f>
        <v/>
      </c>
      <c r="R1019" s="61" t="str">
        <f aca="false">IF(IsPro,IF($D1019="","",ROUND(N($E1019)*IFERROR(INDEX(Items!$P$5:$P$504,U1019),0),2)),"")</f>
        <v/>
      </c>
      <c r="S1019" s="61" t="str">
        <f aca="false">IF(IsPro,IF($D1019="","",L1019-R1019),"")</f>
        <v/>
      </c>
      <c r="T1019" s="60" t="str">
        <f aca="false">IF(IsPro,IF($D1019="","",IF(U1019="","UNKNOWN ITEM",IF(INDEX(Items!$O$5:$O$504,U1019)&lt;0,"NEG STOCK",IF(K1019&lt;INDEX(Items!$P$5:$P$504,U1019),"BELOW COST","OK")))),IF($D1019="","","PRO PLAN"))</f>
        <v/>
      </c>
      <c r="U1019" s="60" t="str">
        <f aca="false">IF(IsPro,IF($D1019="","",IFERROR(MATCH($D1019,Items!$A$5:$A$504,0),"")),"")</f>
        <v/>
      </c>
      <c r="V1019" s="60" t="str">
        <f aca="false">IF(IsPro,IF($C1019="","",IFERROR(MATCH($C1019,Parties!$A$5:$A$304,0),"")),"")</f>
        <v/>
      </c>
      <c r="W1019" s="60" t="str">
        <f aca="false">IF(IsPro,IF($B1019="","",IFERROR(VALUE(SUBSTITUTE($B1019,InvPrefix,"")),0)),"")</f>
        <v/>
      </c>
      <c r="X1019" s="61" t="str">
        <f aca="false">IF(IsPro,IF($D1019="","",IF(OR($H1019="",$H1019="Credit"),0,Q1019)),"")</f>
        <v/>
      </c>
    </row>
    <row r="1020" customFormat="false" ht="15" hidden="false" customHeight="false" outlineLevel="0" collapsed="false">
      <c r="A1020" s="55"/>
      <c r="B1020" s="56"/>
      <c r="C1020" s="56"/>
      <c r="D1020" s="56"/>
      <c r="E1020" s="57"/>
      <c r="F1020" s="58"/>
      <c r="G1020" s="59"/>
      <c r="H1020" s="56"/>
      <c r="I1020" s="56"/>
      <c r="J1020" s="60" t="str">
        <f aca="false">IF(IsPro,IF($D1020="","",IFERROR(INDEX(Items!$D$5:$D$504,U1020),"")),"")</f>
        <v/>
      </c>
      <c r="K1020" s="61" t="str">
        <f aca="false">IF(IsPro,IF($D1020="","",IF($F1020="",IFERROR(INDEX(Items!$H$5:$H$504,U1020),0),$F1020)),"")</f>
        <v/>
      </c>
      <c r="L1020" s="61" t="str">
        <f aca="false">IF(IsPro,IF($D1020="","",ROUND(N($E1020)*K1020*(1-N($G1020)),2)),"")</f>
        <v/>
      </c>
      <c r="M1020" s="62" t="str">
        <f aca="false">IF(IsPro,IF($D1020="","",IFERROR(INDEX(Items!$F$5:$F$504,U1020),0)),"")</f>
        <v/>
      </c>
      <c r="N1020" s="61" t="str">
        <f aca="false">IF(IsPro,IF($D1020="","",IF(AND(V1020&lt;&gt;"",INDEX(Parties!$E$5:$E$304,V1020)&lt;&gt;"",INDEX(Parties!$E$5:$E$304,V1020)&lt;&gt;HomeState),0,ROUND(L1020*M1020/2,2))),"")</f>
        <v/>
      </c>
      <c r="O1020" s="61" t="str">
        <f aca="false">IF(IsPro,IF($D1020="","",N1020),"")</f>
        <v/>
      </c>
      <c r="P1020" s="61" t="str">
        <f aca="false">IF(IsPro,IF($D1020="","",IF(AND(V1020&lt;&gt;"",INDEX(Parties!$E$5:$E$304,V1020)&lt;&gt;"",INDEX(Parties!$E$5:$E$304,V1020)&lt;&gt;HomeState),ROUND(L1020*M1020,2),0)),"")</f>
        <v/>
      </c>
      <c r="Q1020" s="61" t="str">
        <f aca="false">IF(IsPro,IF($D1020="","",L1020+N1020+O1020+P1020),"")</f>
        <v/>
      </c>
      <c r="R1020" s="61" t="str">
        <f aca="false">IF(IsPro,IF($D1020="","",ROUND(N($E1020)*IFERROR(INDEX(Items!$P$5:$P$504,U1020),0),2)),"")</f>
        <v/>
      </c>
      <c r="S1020" s="61" t="str">
        <f aca="false">IF(IsPro,IF($D1020="","",L1020-R1020),"")</f>
        <v/>
      </c>
      <c r="T1020" s="60" t="str">
        <f aca="false">IF(IsPro,IF($D1020="","",IF(U1020="","UNKNOWN ITEM",IF(INDEX(Items!$O$5:$O$504,U1020)&lt;0,"NEG STOCK",IF(K1020&lt;INDEX(Items!$P$5:$P$504,U1020),"BELOW COST","OK")))),IF($D1020="","","PRO PLAN"))</f>
        <v/>
      </c>
      <c r="U1020" s="60" t="str">
        <f aca="false">IF(IsPro,IF($D1020="","",IFERROR(MATCH($D1020,Items!$A$5:$A$504,0),"")),"")</f>
        <v/>
      </c>
      <c r="V1020" s="60" t="str">
        <f aca="false">IF(IsPro,IF($C1020="","",IFERROR(MATCH($C1020,Parties!$A$5:$A$304,0),"")),"")</f>
        <v/>
      </c>
      <c r="W1020" s="60" t="str">
        <f aca="false">IF(IsPro,IF($B1020="","",IFERROR(VALUE(SUBSTITUTE($B1020,InvPrefix,"")),0)),"")</f>
        <v/>
      </c>
      <c r="X1020" s="61" t="str">
        <f aca="false">IF(IsPro,IF($D1020="","",IF(OR($H1020="",$H1020="Credit"),0,Q1020)),"")</f>
        <v/>
      </c>
    </row>
    <row r="1021" customFormat="false" ht="15" hidden="false" customHeight="false" outlineLevel="0" collapsed="false">
      <c r="A1021" s="55"/>
      <c r="B1021" s="56"/>
      <c r="C1021" s="56"/>
      <c r="D1021" s="56"/>
      <c r="E1021" s="57"/>
      <c r="F1021" s="58"/>
      <c r="G1021" s="59"/>
      <c r="H1021" s="56"/>
      <c r="I1021" s="56"/>
      <c r="J1021" s="60" t="str">
        <f aca="false">IF(IsPro,IF($D1021="","",IFERROR(INDEX(Items!$D$5:$D$504,U1021),"")),"")</f>
        <v/>
      </c>
      <c r="K1021" s="61" t="str">
        <f aca="false">IF(IsPro,IF($D1021="","",IF($F1021="",IFERROR(INDEX(Items!$H$5:$H$504,U1021),0),$F1021)),"")</f>
        <v/>
      </c>
      <c r="L1021" s="61" t="str">
        <f aca="false">IF(IsPro,IF($D1021="","",ROUND(N($E1021)*K1021*(1-N($G1021)),2)),"")</f>
        <v/>
      </c>
      <c r="M1021" s="62" t="str">
        <f aca="false">IF(IsPro,IF($D1021="","",IFERROR(INDEX(Items!$F$5:$F$504,U1021),0)),"")</f>
        <v/>
      </c>
      <c r="N1021" s="61" t="str">
        <f aca="false">IF(IsPro,IF($D1021="","",IF(AND(V1021&lt;&gt;"",INDEX(Parties!$E$5:$E$304,V1021)&lt;&gt;"",INDEX(Parties!$E$5:$E$304,V1021)&lt;&gt;HomeState),0,ROUND(L1021*M1021/2,2))),"")</f>
        <v/>
      </c>
      <c r="O1021" s="61" t="str">
        <f aca="false">IF(IsPro,IF($D1021="","",N1021),"")</f>
        <v/>
      </c>
      <c r="P1021" s="61" t="str">
        <f aca="false">IF(IsPro,IF($D1021="","",IF(AND(V1021&lt;&gt;"",INDEX(Parties!$E$5:$E$304,V1021)&lt;&gt;"",INDEX(Parties!$E$5:$E$304,V1021)&lt;&gt;HomeState),ROUND(L1021*M1021,2),0)),"")</f>
        <v/>
      </c>
      <c r="Q1021" s="61" t="str">
        <f aca="false">IF(IsPro,IF($D1021="","",L1021+N1021+O1021+P1021),"")</f>
        <v/>
      </c>
      <c r="R1021" s="61" t="str">
        <f aca="false">IF(IsPro,IF($D1021="","",ROUND(N($E1021)*IFERROR(INDEX(Items!$P$5:$P$504,U1021),0),2)),"")</f>
        <v/>
      </c>
      <c r="S1021" s="61" t="str">
        <f aca="false">IF(IsPro,IF($D1021="","",L1021-R1021),"")</f>
        <v/>
      </c>
      <c r="T1021" s="60" t="str">
        <f aca="false">IF(IsPro,IF($D1021="","",IF(U1021="","UNKNOWN ITEM",IF(INDEX(Items!$O$5:$O$504,U1021)&lt;0,"NEG STOCK",IF(K1021&lt;INDEX(Items!$P$5:$P$504,U1021),"BELOW COST","OK")))),IF($D1021="","","PRO PLAN"))</f>
        <v/>
      </c>
      <c r="U1021" s="60" t="str">
        <f aca="false">IF(IsPro,IF($D1021="","",IFERROR(MATCH($D1021,Items!$A$5:$A$504,0),"")),"")</f>
        <v/>
      </c>
      <c r="V1021" s="60" t="str">
        <f aca="false">IF(IsPro,IF($C1021="","",IFERROR(MATCH($C1021,Parties!$A$5:$A$304,0),"")),"")</f>
        <v/>
      </c>
      <c r="W1021" s="60" t="str">
        <f aca="false">IF(IsPro,IF($B1021="","",IFERROR(VALUE(SUBSTITUTE($B1021,InvPrefix,"")),0)),"")</f>
        <v/>
      </c>
      <c r="X1021" s="61" t="str">
        <f aca="false">IF(IsPro,IF($D1021="","",IF(OR($H1021="",$H1021="Credit"),0,Q1021)),"")</f>
        <v/>
      </c>
    </row>
    <row r="1022" customFormat="false" ht="15" hidden="false" customHeight="false" outlineLevel="0" collapsed="false">
      <c r="A1022" s="55"/>
      <c r="B1022" s="56"/>
      <c r="C1022" s="56"/>
      <c r="D1022" s="56"/>
      <c r="E1022" s="57"/>
      <c r="F1022" s="58"/>
      <c r="G1022" s="59"/>
      <c r="H1022" s="56"/>
      <c r="I1022" s="56"/>
      <c r="J1022" s="60" t="str">
        <f aca="false">IF(IsPro,IF($D1022="","",IFERROR(INDEX(Items!$D$5:$D$504,U1022),"")),"")</f>
        <v/>
      </c>
      <c r="K1022" s="61" t="str">
        <f aca="false">IF(IsPro,IF($D1022="","",IF($F1022="",IFERROR(INDEX(Items!$H$5:$H$504,U1022),0),$F1022)),"")</f>
        <v/>
      </c>
      <c r="L1022" s="61" t="str">
        <f aca="false">IF(IsPro,IF($D1022="","",ROUND(N($E1022)*K1022*(1-N($G1022)),2)),"")</f>
        <v/>
      </c>
      <c r="M1022" s="62" t="str">
        <f aca="false">IF(IsPro,IF($D1022="","",IFERROR(INDEX(Items!$F$5:$F$504,U1022),0)),"")</f>
        <v/>
      </c>
      <c r="N1022" s="61" t="str">
        <f aca="false">IF(IsPro,IF($D1022="","",IF(AND(V1022&lt;&gt;"",INDEX(Parties!$E$5:$E$304,V1022)&lt;&gt;"",INDEX(Parties!$E$5:$E$304,V1022)&lt;&gt;HomeState),0,ROUND(L1022*M1022/2,2))),"")</f>
        <v/>
      </c>
      <c r="O1022" s="61" t="str">
        <f aca="false">IF(IsPro,IF($D1022="","",N1022),"")</f>
        <v/>
      </c>
      <c r="P1022" s="61" t="str">
        <f aca="false">IF(IsPro,IF($D1022="","",IF(AND(V1022&lt;&gt;"",INDEX(Parties!$E$5:$E$304,V1022)&lt;&gt;"",INDEX(Parties!$E$5:$E$304,V1022)&lt;&gt;HomeState),ROUND(L1022*M1022,2),0)),"")</f>
        <v/>
      </c>
      <c r="Q1022" s="61" t="str">
        <f aca="false">IF(IsPro,IF($D1022="","",L1022+N1022+O1022+P1022),"")</f>
        <v/>
      </c>
      <c r="R1022" s="61" t="str">
        <f aca="false">IF(IsPro,IF($D1022="","",ROUND(N($E1022)*IFERROR(INDEX(Items!$P$5:$P$504,U1022),0),2)),"")</f>
        <v/>
      </c>
      <c r="S1022" s="61" t="str">
        <f aca="false">IF(IsPro,IF($D1022="","",L1022-R1022),"")</f>
        <v/>
      </c>
      <c r="T1022" s="60" t="str">
        <f aca="false">IF(IsPro,IF($D1022="","",IF(U1022="","UNKNOWN ITEM",IF(INDEX(Items!$O$5:$O$504,U1022)&lt;0,"NEG STOCK",IF(K1022&lt;INDEX(Items!$P$5:$P$504,U1022),"BELOW COST","OK")))),IF($D1022="","","PRO PLAN"))</f>
        <v/>
      </c>
      <c r="U1022" s="60" t="str">
        <f aca="false">IF(IsPro,IF($D1022="","",IFERROR(MATCH($D1022,Items!$A$5:$A$504,0),"")),"")</f>
        <v/>
      </c>
      <c r="V1022" s="60" t="str">
        <f aca="false">IF(IsPro,IF($C1022="","",IFERROR(MATCH($C1022,Parties!$A$5:$A$304,0),"")),"")</f>
        <v/>
      </c>
      <c r="W1022" s="60" t="str">
        <f aca="false">IF(IsPro,IF($B1022="","",IFERROR(VALUE(SUBSTITUTE($B1022,InvPrefix,"")),0)),"")</f>
        <v/>
      </c>
      <c r="X1022" s="61" t="str">
        <f aca="false">IF(IsPro,IF($D1022="","",IF(OR($H1022="",$H1022="Credit"),0,Q1022)),"")</f>
        <v/>
      </c>
    </row>
    <row r="1023" customFormat="false" ht="15" hidden="false" customHeight="false" outlineLevel="0" collapsed="false">
      <c r="A1023" s="55"/>
      <c r="B1023" s="56"/>
      <c r="C1023" s="56"/>
      <c r="D1023" s="56"/>
      <c r="E1023" s="57"/>
      <c r="F1023" s="58"/>
      <c r="G1023" s="59"/>
      <c r="H1023" s="56"/>
      <c r="I1023" s="56"/>
      <c r="J1023" s="60" t="str">
        <f aca="false">IF(IsPro,IF($D1023="","",IFERROR(INDEX(Items!$D$5:$D$504,U1023),"")),"")</f>
        <v/>
      </c>
      <c r="K1023" s="61" t="str">
        <f aca="false">IF(IsPro,IF($D1023="","",IF($F1023="",IFERROR(INDEX(Items!$H$5:$H$504,U1023),0),$F1023)),"")</f>
        <v/>
      </c>
      <c r="L1023" s="61" t="str">
        <f aca="false">IF(IsPro,IF($D1023="","",ROUND(N($E1023)*K1023*(1-N($G1023)),2)),"")</f>
        <v/>
      </c>
      <c r="M1023" s="62" t="str">
        <f aca="false">IF(IsPro,IF($D1023="","",IFERROR(INDEX(Items!$F$5:$F$504,U1023),0)),"")</f>
        <v/>
      </c>
      <c r="N1023" s="61" t="str">
        <f aca="false">IF(IsPro,IF($D1023="","",IF(AND(V1023&lt;&gt;"",INDEX(Parties!$E$5:$E$304,V1023)&lt;&gt;"",INDEX(Parties!$E$5:$E$304,V1023)&lt;&gt;HomeState),0,ROUND(L1023*M1023/2,2))),"")</f>
        <v/>
      </c>
      <c r="O1023" s="61" t="str">
        <f aca="false">IF(IsPro,IF($D1023="","",N1023),"")</f>
        <v/>
      </c>
      <c r="P1023" s="61" t="str">
        <f aca="false">IF(IsPro,IF($D1023="","",IF(AND(V1023&lt;&gt;"",INDEX(Parties!$E$5:$E$304,V1023)&lt;&gt;"",INDEX(Parties!$E$5:$E$304,V1023)&lt;&gt;HomeState),ROUND(L1023*M1023,2),0)),"")</f>
        <v/>
      </c>
      <c r="Q1023" s="61" t="str">
        <f aca="false">IF(IsPro,IF($D1023="","",L1023+N1023+O1023+P1023),"")</f>
        <v/>
      </c>
      <c r="R1023" s="61" t="str">
        <f aca="false">IF(IsPro,IF($D1023="","",ROUND(N($E1023)*IFERROR(INDEX(Items!$P$5:$P$504,U1023),0),2)),"")</f>
        <v/>
      </c>
      <c r="S1023" s="61" t="str">
        <f aca="false">IF(IsPro,IF($D1023="","",L1023-R1023),"")</f>
        <v/>
      </c>
      <c r="T1023" s="60" t="str">
        <f aca="false">IF(IsPro,IF($D1023="","",IF(U1023="","UNKNOWN ITEM",IF(INDEX(Items!$O$5:$O$504,U1023)&lt;0,"NEG STOCK",IF(K1023&lt;INDEX(Items!$P$5:$P$504,U1023),"BELOW COST","OK")))),IF($D1023="","","PRO PLAN"))</f>
        <v/>
      </c>
      <c r="U1023" s="60" t="str">
        <f aca="false">IF(IsPro,IF($D1023="","",IFERROR(MATCH($D1023,Items!$A$5:$A$504,0),"")),"")</f>
        <v/>
      </c>
      <c r="V1023" s="60" t="str">
        <f aca="false">IF(IsPro,IF($C1023="","",IFERROR(MATCH($C1023,Parties!$A$5:$A$304,0),"")),"")</f>
        <v/>
      </c>
      <c r="W1023" s="60" t="str">
        <f aca="false">IF(IsPro,IF($B1023="","",IFERROR(VALUE(SUBSTITUTE($B1023,InvPrefix,"")),0)),"")</f>
        <v/>
      </c>
      <c r="X1023" s="61" t="str">
        <f aca="false">IF(IsPro,IF($D1023="","",IF(OR($H1023="",$H1023="Credit"),0,Q1023)),"")</f>
        <v/>
      </c>
    </row>
    <row r="1024" customFormat="false" ht="15" hidden="false" customHeight="false" outlineLevel="0" collapsed="false">
      <c r="A1024" s="55"/>
      <c r="B1024" s="56"/>
      <c r="C1024" s="56"/>
      <c r="D1024" s="56"/>
      <c r="E1024" s="57"/>
      <c r="F1024" s="58"/>
      <c r="G1024" s="59"/>
      <c r="H1024" s="56"/>
      <c r="I1024" s="56"/>
      <c r="J1024" s="60" t="str">
        <f aca="false">IF(IsPro,IF($D1024="","",IFERROR(INDEX(Items!$D$5:$D$504,U1024),"")),"")</f>
        <v/>
      </c>
      <c r="K1024" s="61" t="str">
        <f aca="false">IF(IsPro,IF($D1024="","",IF($F1024="",IFERROR(INDEX(Items!$H$5:$H$504,U1024),0),$F1024)),"")</f>
        <v/>
      </c>
      <c r="L1024" s="61" t="str">
        <f aca="false">IF(IsPro,IF($D1024="","",ROUND(N($E1024)*K1024*(1-N($G1024)),2)),"")</f>
        <v/>
      </c>
      <c r="M1024" s="62" t="str">
        <f aca="false">IF(IsPro,IF($D1024="","",IFERROR(INDEX(Items!$F$5:$F$504,U1024),0)),"")</f>
        <v/>
      </c>
      <c r="N1024" s="61" t="str">
        <f aca="false">IF(IsPro,IF($D1024="","",IF(AND(V1024&lt;&gt;"",INDEX(Parties!$E$5:$E$304,V1024)&lt;&gt;"",INDEX(Parties!$E$5:$E$304,V1024)&lt;&gt;HomeState),0,ROUND(L1024*M1024/2,2))),"")</f>
        <v/>
      </c>
      <c r="O1024" s="61" t="str">
        <f aca="false">IF(IsPro,IF($D1024="","",N1024),"")</f>
        <v/>
      </c>
      <c r="P1024" s="61" t="str">
        <f aca="false">IF(IsPro,IF($D1024="","",IF(AND(V1024&lt;&gt;"",INDEX(Parties!$E$5:$E$304,V1024)&lt;&gt;"",INDEX(Parties!$E$5:$E$304,V1024)&lt;&gt;HomeState),ROUND(L1024*M1024,2),0)),"")</f>
        <v/>
      </c>
      <c r="Q1024" s="61" t="str">
        <f aca="false">IF(IsPro,IF($D1024="","",L1024+N1024+O1024+P1024),"")</f>
        <v/>
      </c>
      <c r="R1024" s="61" t="str">
        <f aca="false">IF(IsPro,IF($D1024="","",ROUND(N($E1024)*IFERROR(INDEX(Items!$P$5:$P$504,U1024),0),2)),"")</f>
        <v/>
      </c>
      <c r="S1024" s="61" t="str">
        <f aca="false">IF(IsPro,IF($D1024="","",L1024-R1024),"")</f>
        <v/>
      </c>
      <c r="T1024" s="60" t="str">
        <f aca="false">IF(IsPro,IF($D1024="","",IF(U1024="","UNKNOWN ITEM",IF(INDEX(Items!$O$5:$O$504,U1024)&lt;0,"NEG STOCK",IF(K1024&lt;INDEX(Items!$P$5:$P$504,U1024),"BELOW COST","OK")))),IF($D1024="","","PRO PLAN"))</f>
        <v/>
      </c>
      <c r="U1024" s="60" t="str">
        <f aca="false">IF(IsPro,IF($D1024="","",IFERROR(MATCH($D1024,Items!$A$5:$A$504,0),"")),"")</f>
        <v/>
      </c>
      <c r="V1024" s="60" t="str">
        <f aca="false">IF(IsPro,IF($C1024="","",IFERROR(MATCH($C1024,Parties!$A$5:$A$304,0),"")),"")</f>
        <v/>
      </c>
      <c r="W1024" s="60" t="str">
        <f aca="false">IF(IsPro,IF($B1024="","",IFERROR(VALUE(SUBSTITUTE($B1024,InvPrefix,"")),0)),"")</f>
        <v/>
      </c>
      <c r="X1024" s="61" t="str">
        <f aca="false">IF(IsPro,IF($D1024="","",IF(OR($H1024="",$H1024="Credit"),0,Q1024)),"")</f>
        <v/>
      </c>
    </row>
    <row r="1025" customFormat="false" ht="15" hidden="false" customHeight="false" outlineLevel="0" collapsed="false">
      <c r="A1025" s="55"/>
      <c r="B1025" s="56"/>
      <c r="C1025" s="56"/>
      <c r="D1025" s="56"/>
      <c r="E1025" s="57"/>
      <c r="F1025" s="58"/>
      <c r="G1025" s="59"/>
      <c r="H1025" s="56"/>
      <c r="I1025" s="56"/>
      <c r="J1025" s="60" t="str">
        <f aca="false">IF(IsPro,IF($D1025="","",IFERROR(INDEX(Items!$D$5:$D$504,U1025),"")),"")</f>
        <v/>
      </c>
      <c r="K1025" s="61" t="str">
        <f aca="false">IF(IsPro,IF($D1025="","",IF($F1025="",IFERROR(INDEX(Items!$H$5:$H$504,U1025),0),$F1025)),"")</f>
        <v/>
      </c>
      <c r="L1025" s="61" t="str">
        <f aca="false">IF(IsPro,IF($D1025="","",ROUND(N($E1025)*K1025*(1-N($G1025)),2)),"")</f>
        <v/>
      </c>
      <c r="M1025" s="62" t="str">
        <f aca="false">IF(IsPro,IF($D1025="","",IFERROR(INDEX(Items!$F$5:$F$504,U1025),0)),"")</f>
        <v/>
      </c>
      <c r="N1025" s="61" t="str">
        <f aca="false">IF(IsPro,IF($D1025="","",IF(AND(V1025&lt;&gt;"",INDEX(Parties!$E$5:$E$304,V1025)&lt;&gt;"",INDEX(Parties!$E$5:$E$304,V1025)&lt;&gt;HomeState),0,ROUND(L1025*M1025/2,2))),"")</f>
        <v/>
      </c>
      <c r="O1025" s="61" t="str">
        <f aca="false">IF(IsPro,IF($D1025="","",N1025),"")</f>
        <v/>
      </c>
      <c r="P1025" s="61" t="str">
        <f aca="false">IF(IsPro,IF($D1025="","",IF(AND(V1025&lt;&gt;"",INDEX(Parties!$E$5:$E$304,V1025)&lt;&gt;"",INDEX(Parties!$E$5:$E$304,V1025)&lt;&gt;HomeState),ROUND(L1025*M1025,2),0)),"")</f>
        <v/>
      </c>
      <c r="Q1025" s="61" t="str">
        <f aca="false">IF(IsPro,IF($D1025="","",L1025+N1025+O1025+P1025),"")</f>
        <v/>
      </c>
      <c r="R1025" s="61" t="str">
        <f aca="false">IF(IsPro,IF($D1025="","",ROUND(N($E1025)*IFERROR(INDEX(Items!$P$5:$P$504,U1025),0),2)),"")</f>
        <v/>
      </c>
      <c r="S1025" s="61" t="str">
        <f aca="false">IF(IsPro,IF($D1025="","",L1025-R1025),"")</f>
        <v/>
      </c>
      <c r="T1025" s="60" t="str">
        <f aca="false">IF(IsPro,IF($D1025="","",IF(U1025="","UNKNOWN ITEM",IF(INDEX(Items!$O$5:$O$504,U1025)&lt;0,"NEG STOCK",IF(K1025&lt;INDEX(Items!$P$5:$P$504,U1025),"BELOW COST","OK")))),IF($D1025="","","PRO PLAN"))</f>
        <v/>
      </c>
      <c r="U1025" s="60" t="str">
        <f aca="false">IF(IsPro,IF($D1025="","",IFERROR(MATCH($D1025,Items!$A$5:$A$504,0),"")),"")</f>
        <v/>
      </c>
      <c r="V1025" s="60" t="str">
        <f aca="false">IF(IsPro,IF($C1025="","",IFERROR(MATCH($C1025,Parties!$A$5:$A$304,0),"")),"")</f>
        <v/>
      </c>
      <c r="W1025" s="60" t="str">
        <f aca="false">IF(IsPro,IF($B1025="","",IFERROR(VALUE(SUBSTITUTE($B1025,InvPrefix,"")),0)),"")</f>
        <v/>
      </c>
      <c r="X1025" s="61" t="str">
        <f aca="false">IF(IsPro,IF($D1025="","",IF(OR($H1025="",$H1025="Credit"),0,Q1025)),"")</f>
        <v/>
      </c>
    </row>
    <row r="1026" customFormat="false" ht="15" hidden="false" customHeight="false" outlineLevel="0" collapsed="false">
      <c r="A1026" s="55"/>
      <c r="B1026" s="56"/>
      <c r="C1026" s="56"/>
      <c r="D1026" s="56"/>
      <c r="E1026" s="57"/>
      <c r="F1026" s="58"/>
      <c r="G1026" s="59"/>
      <c r="H1026" s="56"/>
      <c r="I1026" s="56"/>
      <c r="J1026" s="60" t="str">
        <f aca="false">IF(IsPro,IF($D1026="","",IFERROR(INDEX(Items!$D$5:$D$504,U1026),"")),"")</f>
        <v/>
      </c>
      <c r="K1026" s="61" t="str">
        <f aca="false">IF(IsPro,IF($D1026="","",IF($F1026="",IFERROR(INDEX(Items!$H$5:$H$504,U1026),0),$F1026)),"")</f>
        <v/>
      </c>
      <c r="L1026" s="61" t="str">
        <f aca="false">IF(IsPro,IF($D1026="","",ROUND(N($E1026)*K1026*(1-N($G1026)),2)),"")</f>
        <v/>
      </c>
      <c r="M1026" s="62" t="str">
        <f aca="false">IF(IsPro,IF($D1026="","",IFERROR(INDEX(Items!$F$5:$F$504,U1026),0)),"")</f>
        <v/>
      </c>
      <c r="N1026" s="61" t="str">
        <f aca="false">IF(IsPro,IF($D1026="","",IF(AND(V1026&lt;&gt;"",INDEX(Parties!$E$5:$E$304,V1026)&lt;&gt;"",INDEX(Parties!$E$5:$E$304,V1026)&lt;&gt;HomeState),0,ROUND(L1026*M1026/2,2))),"")</f>
        <v/>
      </c>
      <c r="O1026" s="61" t="str">
        <f aca="false">IF(IsPro,IF($D1026="","",N1026),"")</f>
        <v/>
      </c>
      <c r="P1026" s="61" t="str">
        <f aca="false">IF(IsPro,IF($D1026="","",IF(AND(V1026&lt;&gt;"",INDEX(Parties!$E$5:$E$304,V1026)&lt;&gt;"",INDEX(Parties!$E$5:$E$304,V1026)&lt;&gt;HomeState),ROUND(L1026*M1026,2),0)),"")</f>
        <v/>
      </c>
      <c r="Q1026" s="61" t="str">
        <f aca="false">IF(IsPro,IF($D1026="","",L1026+N1026+O1026+P1026),"")</f>
        <v/>
      </c>
      <c r="R1026" s="61" t="str">
        <f aca="false">IF(IsPro,IF($D1026="","",ROUND(N($E1026)*IFERROR(INDEX(Items!$P$5:$P$504,U1026),0),2)),"")</f>
        <v/>
      </c>
      <c r="S1026" s="61" t="str">
        <f aca="false">IF(IsPro,IF($D1026="","",L1026-R1026),"")</f>
        <v/>
      </c>
      <c r="T1026" s="60" t="str">
        <f aca="false">IF(IsPro,IF($D1026="","",IF(U1026="","UNKNOWN ITEM",IF(INDEX(Items!$O$5:$O$504,U1026)&lt;0,"NEG STOCK",IF(K1026&lt;INDEX(Items!$P$5:$P$504,U1026),"BELOW COST","OK")))),IF($D1026="","","PRO PLAN"))</f>
        <v/>
      </c>
      <c r="U1026" s="60" t="str">
        <f aca="false">IF(IsPro,IF($D1026="","",IFERROR(MATCH($D1026,Items!$A$5:$A$504,0),"")),"")</f>
        <v/>
      </c>
      <c r="V1026" s="60" t="str">
        <f aca="false">IF(IsPro,IF($C1026="","",IFERROR(MATCH($C1026,Parties!$A$5:$A$304,0),"")),"")</f>
        <v/>
      </c>
      <c r="W1026" s="60" t="str">
        <f aca="false">IF(IsPro,IF($B1026="","",IFERROR(VALUE(SUBSTITUTE($B1026,InvPrefix,"")),0)),"")</f>
        <v/>
      </c>
      <c r="X1026" s="61" t="str">
        <f aca="false">IF(IsPro,IF($D1026="","",IF(OR($H1026="",$H1026="Credit"),0,Q1026)),"")</f>
        <v/>
      </c>
    </row>
    <row r="1027" customFormat="false" ht="15" hidden="false" customHeight="false" outlineLevel="0" collapsed="false">
      <c r="A1027" s="55"/>
      <c r="B1027" s="56"/>
      <c r="C1027" s="56"/>
      <c r="D1027" s="56"/>
      <c r="E1027" s="57"/>
      <c r="F1027" s="58"/>
      <c r="G1027" s="59"/>
      <c r="H1027" s="56"/>
      <c r="I1027" s="56"/>
      <c r="J1027" s="60" t="str">
        <f aca="false">IF(IsPro,IF($D1027="","",IFERROR(INDEX(Items!$D$5:$D$504,U1027),"")),"")</f>
        <v/>
      </c>
      <c r="K1027" s="61" t="str">
        <f aca="false">IF(IsPro,IF($D1027="","",IF($F1027="",IFERROR(INDEX(Items!$H$5:$H$504,U1027),0),$F1027)),"")</f>
        <v/>
      </c>
      <c r="L1027" s="61" t="str">
        <f aca="false">IF(IsPro,IF($D1027="","",ROUND(N($E1027)*K1027*(1-N($G1027)),2)),"")</f>
        <v/>
      </c>
      <c r="M1027" s="62" t="str">
        <f aca="false">IF(IsPro,IF($D1027="","",IFERROR(INDEX(Items!$F$5:$F$504,U1027),0)),"")</f>
        <v/>
      </c>
      <c r="N1027" s="61" t="str">
        <f aca="false">IF(IsPro,IF($D1027="","",IF(AND(V1027&lt;&gt;"",INDEX(Parties!$E$5:$E$304,V1027)&lt;&gt;"",INDEX(Parties!$E$5:$E$304,V1027)&lt;&gt;HomeState),0,ROUND(L1027*M1027/2,2))),"")</f>
        <v/>
      </c>
      <c r="O1027" s="61" t="str">
        <f aca="false">IF(IsPro,IF($D1027="","",N1027),"")</f>
        <v/>
      </c>
      <c r="P1027" s="61" t="str">
        <f aca="false">IF(IsPro,IF($D1027="","",IF(AND(V1027&lt;&gt;"",INDEX(Parties!$E$5:$E$304,V1027)&lt;&gt;"",INDEX(Parties!$E$5:$E$304,V1027)&lt;&gt;HomeState),ROUND(L1027*M1027,2),0)),"")</f>
        <v/>
      </c>
      <c r="Q1027" s="61" t="str">
        <f aca="false">IF(IsPro,IF($D1027="","",L1027+N1027+O1027+P1027),"")</f>
        <v/>
      </c>
      <c r="R1027" s="61" t="str">
        <f aca="false">IF(IsPro,IF($D1027="","",ROUND(N($E1027)*IFERROR(INDEX(Items!$P$5:$P$504,U1027),0),2)),"")</f>
        <v/>
      </c>
      <c r="S1027" s="61" t="str">
        <f aca="false">IF(IsPro,IF($D1027="","",L1027-R1027),"")</f>
        <v/>
      </c>
      <c r="T1027" s="60" t="str">
        <f aca="false">IF(IsPro,IF($D1027="","",IF(U1027="","UNKNOWN ITEM",IF(INDEX(Items!$O$5:$O$504,U1027)&lt;0,"NEG STOCK",IF(K1027&lt;INDEX(Items!$P$5:$P$504,U1027),"BELOW COST","OK")))),IF($D1027="","","PRO PLAN"))</f>
        <v/>
      </c>
      <c r="U1027" s="60" t="str">
        <f aca="false">IF(IsPro,IF($D1027="","",IFERROR(MATCH($D1027,Items!$A$5:$A$504,0),"")),"")</f>
        <v/>
      </c>
      <c r="V1027" s="60" t="str">
        <f aca="false">IF(IsPro,IF($C1027="","",IFERROR(MATCH($C1027,Parties!$A$5:$A$304,0),"")),"")</f>
        <v/>
      </c>
      <c r="W1027" s="60" t="str">
        <f aca="false">IF(IsPro,IF($B1027="","",IFERROR(VALUE(SUBSTITUTE($B1027,InvPrefix,"")),0)),"")</f>
        <v/>
      </c>
      <c r="X1027" s="61" t="str">
        <f aca="false">IF(IsPro,IF($D1027="","",IF(OR($H1027="",$H1027="Credit"),0,Q1027)),"")</f>
        <v/>
      </c>
    </row>
    <row r="1028" customFormat="false" ht="15" hidden="false" customHeight="false" outlineLevel="0" collapsed="false">
      <c r="A1028" s="55"/>
      <c r="B1028" s="56"/>
      <c r="C1028" s="56"/>
      <c r="D1028" s="56"/>
      <c r="E1028" s="57"/>
      <c r="F1028" s="58"/>
      <c r="G1028" s="59"/>
      <c r="H1028" s="56"/>
      <c r="I1028" s="56"/>
      <c r="J1028" s="60" t="str">
        <f aca="false">IF(IsPro,IF($D1028="","",IFERROR(INDEX(Items!$D$5:$D$504,U1028),"")),"")</f>
        <v/>
      </c>
      <c r="K1028" s="61" t="str">
        <f aca="false">IF(IsPro,IF($D1028="","",IF($F1028="",IFERROR(INDEX(Items!$H$5:$H$504,U1028),0),$F1028)),"")</f>
        <v/>
      </c>
      <c r="L1028" s="61" t="str">
        <f aca="false">IF(IsPro,IF($D1028="","",ROUND(N($E1028)*K1028*(1-N($G1028)),2)),"")</f>
        <v/>
      </c>
      <c r="M1028" s="62" t="str">
        <f aca="false">IF(IsPro,IF($D1028="","",IFERROR(INDEX(Items!$F$5:$F$504,U1028),0)),"")</f>
        <v/>
      </c>
      <c r="N1028" s="61" t="str">
        <f aca="false">IF(IsPro,IF($D1028="","",IF(AND(V1028&lt;&gt;"",INDEX(Parties!$E$5:$E$304,V1028)&lt;&gt;"",INDEX(Parties!$E$5:$E$304,V1028)&lt;&gt;HomeState),0,ROUND(L1028*M1028/2,2))),"")</f>
        <v/>
      </c>
      <c r="O1028" s="61" t="str">
        <f aca="false">IF(IsPro,IF($D1028="","",N1028),"")</f>
        <v/>
      </c>
      <c r="P1028" s="61" t="str">
        <f aca="false">IF(IsPro,IF($D1028="","",IF(AND(V1028&lt;&gt;"",INDEX(Parties!$E$5:$E$304,V1028)&lt;&gt;"",INDEX(Parties!$E$5:$E$304,V1028)&lt;&gt;HomeState),ROUND(L1028*M1028,2),0)),"")</f>
        <v/>
      </c>
      <c r="Q1028" s="61" t="str">
        <f aca="false">IF(IsPro,IF($D1028="","",L1028+N1028+O1028+P1028),"")</f>
        <v/>
      </c>
      <c r="R1028" s="61" t="str">
        <f aca="false">IF(IsPro,IF($D1028="","",ROUND(N($E1028)*IFERROR(INDEX(Items!$P$5:$P$504,U1028),0),2)),"")</f>
        <v/>
      </c>
      <c r="S1028" s="61" t="str">
        <f aca="false">IF(IsPro,IF($D1028="","",L1028-R1028),"")</f>
        <v/>
      </c>
      <c r="T1028" s="60" t="str">
        <f aca="false">IF(IsPro,IF($D1028="","",IF(U1028="","UNKNOWN ITEM",IF(INDEX(Items!$O$5:$O$504,U1028)&lt;0,"NEG STOCK",IF(K1028&lt;INDEX(Items!$P$5:$P$504,U1028),"BELOW COST","OK")))),IF($D1028="","","PRO PLAN"))</f>
        <v/>
      </c>
      <c r="U1028" s="60" t="str">
        <f aca="false">IF(IsPro,IF($D1028="","",IFERROR(MATCH($D1028,Items!$A$5:$A$504,0),"")),"")</f>
        <v/>
      </c>
      <c r="V1028" s="60" t="str">
        <f aca="false">IF(IsPro,IF($C1028="","",IFERROR(MATCH($C1028,Parties!$A$5:$A$304,0),"")),"")</f>
        <v/>
      </c>
      <c r="W1028" s="60" t="str">
        <f aca="false">IF(IsPro,IF($B1028="","",IFERROR(VALUE(SUBSTITUTE($B1028,InvPrefix,"")),0)),"")</f>
        <v/>
      </c>
      <c r="X1028" s="61" t="str">
        <f aca="false">IF(IsPro,IF($D1028="","",IF(OR($H1028="",$H1028="Credit"),0,Q1028)),"")</f>
        <v/>
      </c>
    </row>
    <row r="1029" customFormat="false" ht="15" hidden="false" customHeight="false" outlineLevel="0" collapsed="false">
      <c r="A1029" s="55"/>
      <c r="B1029" s="56"/>
      <c r="C1029" s="56"/>
      <c r="D1029" s="56"/>
      <c r="E1029" s="57"/>
      <c r="F1029" s="58"/>
      <c r="G1029" s="59"/>
      <c r="H1029" s="56"/>
      <c r="I1029" s="56"/>
      <c r="J1029" s="60" t="str">
        <f aca="false">IF(IsPro,IF($D1029="","",IFERROR(INDEX(Items!$D$5:$D$504,U1029),"")),"")</f>
        <v/>
      </c>
      <c r="K1029" s="61" t="str">
        <f aca="false">IF(IsPro,IF($D1029="","",IF($F1029="",IFERROR(INDEX(Items!$H$5:$H$504,U1029),0),$F1029)),"")</f>
        <v/>
      </c>
      <c r="L1029" s="61" t="str">
        <f aca="false">IF(IsPro,IF($D1029="","",ROUND(N($E1029)*K1029*(1-N($G1029)),2)),"")</f>
        <v/>
      </c>
      <c r="M1029" s="62" t="str">
        <f aca="false">IF(IsPro,IF($D1029="","",IFERROR(INDEX(Items!$F$5:$F$504,U1029),0)),"")</f>
        <v/>
      </c>
      <c r="N1029" s="61" t="str">
        <f aca="false">IF(IsPro,IF($D1029="","",IF(AND(V1029&lt;&gt;"",INDEX(Parties!$E$5:$E$304,V1029)&lt;&gt;"",INDEX(Parties!$E$5:$E$304,V1029)&lt;&gt;HomeState),0,ROUND(L1029*M1029/2,2))),"")</f>
        <v/>
      </c>
      <c r="O1029" s="61" t="str">
        <f aca="false">IF(IsPro,IF($D1029="","",N1029),"")</f>
        <v/>
      </c>
      <c r="P1029" s="61" t="str">
        <f aca="false">IF(IsPro,IF($D1029="","",IF(AND(V1029&lt;&gt;"",INDEX(Parties!$E$5:$E$304,V1029)&lt;&gt;"",INDEX(Parties!$E$5:$E$304,V1029)&lt;&gt;HomeState),ROUND(L1029*M1029,2),0)),"")</f>
        <v/>
      </c>
      <c r="Q1029" s="61" t="str">
        <f aca="false">IF(IsPro,IF($D1029="","",L1029+N1029+O1029+P1029),"")</f>
        <v/>
      </c>
      <c r="R1029" s="61" t="str">
        <f aca="false">IF(IsPro,IF($D1029="","",ROUND(N($E1029)*IFERROR(INDEX(Items!$P$5:$P$504,U1029),0),2)),"")</f>
        <v/>
      </c>
      <c r="S1029" s="61" t="str">
        <f aca="false">IF(IsPro,IF($D1029="","",L1029-R1029),"")</f>
        <v/>
      </c>
      <c r="T1029" s="60" t="str">
        <f aca="false">IF(IsPro,IF($D1029="","",IF(U1029="","UNKNOWN ITEM",IF(INDEX(Items!$O$5:$O$504,U1029)&lt;0,"NEG STOCK",IF(K1029&lt;INDEX(Items!$P$5:$P$504,U1029),"BELOW COST","OK")))),IF($D1029="","","PRO PLAN"))</f>
        <v/>
      </c>
      <c r="U1029" s="60" t="str">
        <f aca="false">IF(IsPro,IF($D1029="","",IFERROR(MATCH($D1029,Items!$A$5:$A$504,0),"")),"")</f>
        <v/>
      </c>
      <c r="V1029" s="60" t="str">
        <f aca="false">IF(IsPro,IF($C1029="","",IFERROR(MATCH($C1029,Parties!$A$5:$A$304,0),"")),"")</f>
        <v/>
      </c>
      <c r="W1029" s="60" t="str">
        <f aca="false">IF(IsPro,IF($B1029="","",IFERROR(VALUE(SUBSTITUTE($B1029,InvPrefix,"")),0)),"")</f>
        <v/>
      </c>
      <c r="X1029" s="61" t="str">
        <f aca="false">IF(IsPro,IF($D1029="","",IF(OR($H1029="",$H1029="Credit"),0,Q1029)),"")</f>
        <v/>
      </c>
    </row>
    <row r="1030" customFormat="false" ht="15" hidden="false" customHeight="false" outlineLevel="0" collapsed="false">
      <c r="A1030" s="55"/>
      <c r="B1030" s="56"/>
      <c r="C1030" s="56"/>
      <c r="D1030" s="56"/>
      <c r="E1030" s="57"/>
      <c r="F1030" s="58"/>
      <c r="G1030" s="59"/>
      <c r="H1030" s="56"/>
      <c r="I1030" s="56"/>
      <c r="J1030" s="60" t="str">
        <f aca="false">IF(IsPro,IF($D1030="","",IFERROR(INDEX(Items!$D$5:$D$504,U1030),"")),"")</f>
        <v/>
      </c>
      <c r="K1030" s="61" t="str">
        <f aca="false">IF(IsPro,IF($D1030="","",IF($F1030="",IFERROR(INDEX(Items!$H$5:$H$504,U1030),0),$F1030)),"")</f>
        <v/>
      </c>
      <c r="L1030" s="61" t="str">
        <f aca="false">IF(IsPro,IF($D1030="","",ROUND(N($E1030)*K1030*(1-N($G1030)),2)),"")</f>
        <v/>
      </c>
      <c r="M1030" s="62" t="str">
        <f aca="false">IF(IsPro,IF($D1030="","",IFERROR(INDEX(Items!$F$5:$F$504,U1030),0)),"")</f>
        <v/>
      </c>
      <c r="N1030" s="61" t="str">
        <f aca="false">IF(IsPro,IF($D1030="","",IF(AND(V1030&lt;&gt;"",INDEX(Parties!$E$5:$E$304,V1030)&lt;&gt;"",INDEX(Parties!$E$5:$E$304,V1030)&lt;&gt;HomeState),0,ROUND(L1030*M1030/2,2))),"")</f>
        <v/>
      </c>
      <c r="O1030" s="61" t="str">
        <f aca="false">IF(IsPro,IF($D1030="","",N1030),"")</f>
        <v/>
      </c>
      <c r="P1030" s="61" t="str">
        <f aca="false">IF(IsPro,IF($D1030="","",IF(AND(V1030&lt;&gt;"",INDEX(Parties!$E$5:$E$304,V1030)&lt;&gt;"",INDEX(Parties!$E$5:$E$304,V1030)&lt;&gt;HomeState),ROUND(L1030*M1030,2),0)),"")</f>
        <v/>
      </c>
      <c r="Q1030" s="61" t="str">
        <f aca="false">IF(IsPro,IF($D1030="","",L1030+N1030+O1030+P1030),"")</f>
        <v/>
      </c>
      <c r="R1030" s="61" t="str">
        <f aca="false">IF(IsPro,IF($D1030="","",ROUND(N($E1030)*IFERROR(INDEX(Items!$P$5:$P$504,U1030),0),2)),"")</f>
        <v/>
      </c>
      <c r="S1030" s="61" t="str">
        <f aca="false">IF(IsPro,IF($D1030="","",L1030-R1030),"")</f>
        <v/>
      </c>
      <c r="T1030" s="60" t="str">
        <f aca="false">IF(IsPro,IF($D1030="","",IF(U1030="","UNKNOWN ITEM",IF(INDEX(Items!$O$5:$O$504,U1030)&lt;0,"NEG STOCK",IF(K1030&lt;INDEX(Items!$P$5:$P$504,U1030),"BELOW COST","OK")))),IF($D1030="","","PRO PLAN"))</f>
        <v/>
      </c>
      <c r="U1030" s="60" t="str">
        <f aca="false">IF(IsPro,IF($D1030="","",IFERROR(MATCH($D1030,Items!$A$5:$A$504,0),"")),"")</f>
        <v/>
      </c>
      <c r="V1030" s="60" t="str">
        <f aca="false">IF(IsPro,IF($C1030="","",IFERROR(MATCH($C1030,Parties!$A$5:$A$304,0),"")),"")</f>
        <v/>
      </c>
      <c r="W1030" s="60" t="str">
        <f aca="false">IF(IsPro,IF($B1030="","",IFERROR(VALUE(SUBSTITUTE($B1030,InvPrefix,"")),0)),"")</f>
        <v/>
      </c>
      <c r="X1030" s="61" t="str">
        <f aca="false">IF(IsPro,IF($D1030="","",IF(OR($H1030="",$H1030="Credit"),0,Q1030)),"")</f>
        <v/>
      </c>
    </row>
    <row r="1031" customFormat="false" ht="15" hidden="false" customHeight="false" outlineLevel="0" collapsed="false">
      <c r="A1031" s="55"/>
      <c r="B1031" s="56"/>
      <c r="C1031" s="56"/>
      <c r="D1031" s="56"/>
      <c r="E1031" s="57"/>
      <c r="F1031" s="58"/>
      <c r="G1031" s="59"/>
      <c r="H1031" s="56"/>
      <c r="I1031" s="56"/>
      <c r="J1031" s="60" t="str">
        <f aca="false">IF(IsPro,IF($D1031="","",IFERROR(INDEX(Items!$D$5:$D$504,U1031),"")),"")</f>
        <v/>
      </c>
      <c r="K1031" s="61" t="str">
        <f aca="false">IF(IsPro,IF($D1031="","",IF($F1031="",IFERROR(INDEX(Items!$H$5:$H$504,U1031),0),$F1031)),"")</f>
        <v/>
      </c>
      <c r="L1031" s="61" t="str">
        <f aca="false">IF(IsPro,IF($D1031="","",ROUND(N($E1031)*K1031*(1-N($G1031)),2)),"")</f>
        <v/>
      </c>
      <c r="M1031" s="62" t="str">
        <f aca="false">IF(IsPro,IF($D1031="","",IFERROR(INDEX(Items!$F$5:$F$504,U1031),0)),"")</f>
        <v/>
      </c>
      <c r="N1031" s="61" t="str">
        <f aca="false">IF(IsPro,IF($D1031="","",IF(AND(V1031&lt;&gt;"",INDEX(Parties!$E$5:$E$304,V1031)&lt;&gt;"",INDEX(Parties!$E$5:$E$304,V1031)&lt;&gt;HomeState),0,ROUND(L1031*M1031/2,2))),"")</f>
        <v/>
      </c>
      <c r="O1031" s="61" t="str">
        <f aca="false">IF(IsPro,IF($D1031="","",N1031),"")</f>
        <v/>
      </c>
      <c r="P1031" s="61" t="str">
        <f aca="false">IF(IsPro,IF($D1031="","",IF(AND(V1031&lt;&gt;"",INDEX(Parties!$E$5:$E$304,V1031)&lt;&gt;"",INDEX(Parties!$E$5:$E$304,V1031)&lt;&gt;HomeState),ROUND(L1031*M1031,2),0)),"")</f>
        <v/>
      </c>
      <c r="Q1031" s="61" t="str">
        <f aca="false">IF(IsPro,IF($D1031="","",L1031+N1031+O1031+P1031),"")</f>
        <v/>
      </c>
      <c r="R1031" s="61" t="str">
        <f aca="false">IF(IsPro,IF($D1031="","",ROUND(N($E1031)*IFERROR(INDEX(Items!$P$5:$P$504,U1031),0),2)),"")</f>
        <v/>
      </c>
      <c r="S1031" s="61" t="str">
        <f aca="false">IF(IsPro,IF($D1031="","",L1031-R1031),"")</f>
        <v/>
      </c>
      <c r="T1031" s="60" t="str">
        <f aca="false">IF(IsPro,IF($D1031="","",IF(U1031="","UNKNOWN ITEM",IF(INDEX(Items!$O$5:$O$504,U1031)&lt;0,"NEG STOCK",IF(K1031&lt;INDEX(Items!$P$5:$P$504,U1031),"BELOW COST","OK")))),IF($D1031="","","PRO PLAN"))</f>
        <v/>
      </c>
      <c r="U1031" s="60" t="str">
        <f aca="false">IF(IsPro,IF($D1031="","",IFERROR(MATCH($D1031,Items!$A$5:$A$504,0),"")),"")</f>
        <v/>
      </c>
      <c r="V1031" s="60" t="str">
        <f aca="false">IF(IsPro,IF($C1031="","",IFERROR(MATCH($C1031,Parties!$A$5:$A$304,0),"")),"")</f>
        <v/>
      </c>
      <c r="W1031" s="60" t="str">
        <f aca="false">IF(IsPro,IF($B1031="","",IFERROR(VALUE(SUBSTITUTE($B1031,InvPrefix,"")),0)),"")</f>
        <v/>
      </c>
      <c r="X1031" s="61" t="str">
        <f aca="false">IF(IsPro,IF($D1031="","",IF(OR($H1031="",$H1031="Credit"),0,Q1031)),"")</f>
        <v/>
      </c>
    </row>
    <row r="1032" customFormat="false" ht="15" hidden="false" customHeight="false" outlineLevel="0" collapsed="false">
      <c r="A1032" s="55"/>
      <c r="B1032" s="56"/>
      <c r="C1032" s="56"/>
      <c r="D1032" s="56"/>
      <c r="E1032" s="57"/>
      <c r="F1032" s="58"/>
      <c r="G1032" s="59"/>
      <c r="H1032" s="56"/>
      <c r="I1032" s="56"/>
      <c r="J1032" s="60" t="str">
        <f aca="false">IF(IsPro,IF($D1032="","",IFERROR(INDEX(Items!$D$5:$D$504,U1032),"")),"")</f>
        <v/>
      </c>
      <c r="K1032" s="61" t="str">
        <f aca="false">IF(IsPro,IF($D1032="","",IF($F1032="",IFERROR(INDEX(Items!$H$5:$H$504,U1032),0),$F1032)),"")</f>
        <v/>
      </c>
      <c r="L1032" s="61" t="str">
        <f aca="false">IF(IsPro,IF($D1032="","",ROUND(N($E1032)*K1032*(1-N($G1032)),2)),"")</f>
        <v/>
      </c>
      <c r="M1032" s="62" t="str">
        <f aca="false">IF(IsPro,IF($D1032="","",IFERROR(INDEX(Items!$F$5:$F$504,U1032),0)),"")</f>
        <v/>
      </c>
      <c r="N1032" s="61" t="str">
        <f aca="false">IF(IsPro,IF($D1032="","",IF(AND(V1032&lt;&gt;"",INDEX(Parties!$E$5:$E$304,V1032)&lt;&gt;"",INDEX(Parties!$E$5:$E$304,V1032)&lt;&gt;HomeState),0,ROUND(L1032*M1032/2,2))),"")</f>
        <v/>
      </c>
      <c r="O1032" s="61" t="str">
        <f aca="false">IF(IsPro,IF($D1032="","",N1032),"")</f>
        <v/>
      </c>
      <c r="P1032" s="61" t="str">
        <f aca="false">IF(IsPro,IF($D1032="","",IF(AND(V1032&lt;&gt;"",INDEX(Parties!$E$5:$E$304,V1032)&lt;&gt;"",INDEX(Parties!$E$5:$E$304,V1032)&lt;&gt;HomeState),ROUND(L1032*M1032,2),0)),"")</f>
        <v/>
      </c>
      <c r="Q1032" s="61" t="str">
        <f aca="false">IF(IsPro,IF($D1032="","",L1032+N1032+O1032+P1032),"")</f>
        <v/>
      </c>
      <c r="R1032" s="61" t="str">
        <f aca="false">IF(IsPro,IF($D1032="","",ROUND(N($E1032)*IFERROR(INDEX(Items!$P$5:$P$504,U1032),0),2)),"")</f>
        <v/>
      </c>
      <c r="S1032" s="61" t="str">
        <f aca="false">IF(IsPro,IF($D1032="","",L1032-R1032),"")</f>
        <v/>
      </c>
      <c r="T1032" s="60" t="str">
        <f aca="false">IF(IsPro,IF($D1032="","",IF(U1032="","UNKNOWN ITEM",IF(INDEX(Items!$O$5:$O$504,U1032)&lt;0,"NEG STOCK",IF(K1032&lt;INDEX(Items!$P$5:$P$504,U1032),"BELOW COST","OK")))),IF($D1032="","","PRO PLAN"))</f>
        <v/>
      </c>
      <c r="U1032" s="60" t="str">
        <f aca="false">IF(IsPro,IF($D1032="","",IFERROR(MATCH($D1032,Items!$A$5:$A$504,0),"")),"")</f>
        <v/>
      </c>
      <c r="V1032" s="60" t="str">
        <f aca="false">IF(IsPro,IF($C1032="","",IFERROR(MATCH($C1032,Parties!$A$5:$A$304,0),"")),"")</f>
        <v/>
      </c>
      <c r="W1032" s="60" t="str">
        <f aca="false">IF(IsPro,IF($B1032="","",IFERROR(VALUE(SUBSTITUTE($B1032,InvPrefix,"")),0)),"")</f>
        <v/>
      </c>
      <c r="X1032" s="61" t="str">
        <f aca="false">IF(IsPro,IF($D1032="","",IF(OR($H1032="",$H1032="Credit"),0,Q1032)),"")</f>
        <v/>
      </c>
    </row>
    <row r="1033" customFormat="false" ht="15" hidden="false" customHeight="false" outlineLevel="0" collapsed="false">
      <c r="A1033" s="55"/>
      <c r="B1033" s="56"/>
      <c r="C1033" s="56"/>
      <c r="D1033" s="56"/>
      <c r="E1033" s="57"/>
      <c r="F1033" s="58"/>
      <c r="G1033" s="59"/>
      <c r="H1033" s="56"/>
      <c r="I1033" s="56"/>
      <c r="J1033" s="60" t="str">
        <f aca="false">IF(IsPro,IF($D1033="","",IFERROR(INDEX(Items!$D$5:$D$504,U1033),"")),"")</f>
        <v/>
      </c>
      <c r="K1033" s="61" t="str">
        <f aca="false">IF(IsPro,IF($D1033="","",IF($F1033="",IFERROR(INDEX(Items!$H$5:$H$504,U1033),0),$F1033)),"")</f>
        <v/>
      </c>
      <c r="L1033" s="61" t="str">
        <f aca="false">IF(IsPro,IF($D1033="","",ROUND(N($E1033)*K1033*(1-N($G1033)),2)),"")</f>
        <v/>
      </c>
      <c r="M1033" s="62" t="str">
        <f aca="false">IF(IsPro,IF($D1033="","",IFERROR(INDEX(Items!$F$5:$F$504,U1033),0)),"")</f>
        <v/>
      </c>
      <c r="N1033" s="61" t="str">
        <f aca="false">IF(IsPro,IF($D1033="","",IF(AND(V1033&lt;&gt;"",INDEX(Parties!$E$5:$E$304,V1033)&lt;&gt;"",INDEX(Parties!$E$5:$E$304,V1033)&lt;&gt;HomeState),0,ROUND(L1033*M1033/2,2))),"")</f>
        <v/>
      </c>
      <c r="O1033" s="61" t="str">
        <f aca="false">IF(IsPro,IF($D1033="","",N1033),"")</f>
        <v/>
      </c>
      <c r="P1033" s="61" t="str">
        <f aca="false">IF(IsPro,IF($D1033="","",IF(AND(V1033&lt;&gt;"",INDEX(Parties!$E$5:$E$304,V1033)&lt;&gt;"",INDEX(Parties!$E$5:$E$304,V1033)&lt;&gt;HomeState),ROUND(L1033*M1033,2),0)),"")</f>
        <v/>
      </c>
      <c r="Q1033" s="61" t="str">
        <f aca="false">IF(IsPro,IF($D1033="","",L1033+N1033+O1033+P1033),"")</f>
        <v/>
      </c>
      <c r="R1033" s="61" t="str">
        <f aca="false">IF(IsPro,IF($D1033="","",ROUND(N($E1033)*IFERROR(INDEX(Items!$P$5:$P$504,U1033),0),2)),"")</f>
        <v/>
      </c>
      <c r="S1033" s="61" t="str">
        <f aca="false">IF(IsPro,IF($D1033="","",L1033-R1033),"")</f>
        <v/>
      </c>
      <c r="T1033" s="60" t="str">
        <f aca="false">IF(IsPro,IF($D1033="","",IF(U1033="","UNKNOWN ITEM",IF(INDEX(Items!$O$5:$O$504,U1033)&lt;0,"NEG STOCK",IF(K1033&lt;INDEX(Items!$P$5:$P$504,U1033),"BELOW COST","OK")))),IF($D1033="","","PRO PLAN"))</f>
        <v/>
      </c>
      <c r="U1033" s="60" t="str">
        <f aca="false">IF(IsPro,IF($D1033="","",IFERROR(MATCH($D1033,Items!$A$5:$A$504,0),"")),"")</f>
        <v/>
      </c>
      <c r="V1033" s="60" t="str">
        <f aca="false">IF(IsPro,IF($C1033="","",IFERROR(MATCH($C1033,Parties!$A$5:$A$304,0),"")),"")</f>
        <v/>
      </c>
      <c r="W1033" s="60" t="str">
        <f aca="false">IF(IsPro,IF($B1033="","",IFERROR(VALUE(SUBSTITUTE($B1033,InvPrefix,"")),0)),"")</f>
        <v/>
      </c>
      <c r="X1033" s="61" t="str">
        <f aca="false">IF(IsPro,IF($D1033="","",IF(OR($H1033="",$H1033="Credit"),0,Q1033)),"")</f>
        <v/>
      </c>
    </row>
    <row r="1034" customFormat="false" ht="15" hidden="false" customHeight="false" outlineLevel="0" collapsed="false">
      <c r="A1034" s="55"/>
      <c r="B1034" s="56"/>
      <c r="C1034" s="56"/>
      <c r="D1034" s="56"/>
      <c r="E1034" s="57"/>
      <c r="F1034" s="58"/>
      <c r="G1034" s="59"/>
      <c r="H1034" s="56"/>
      <c r="I1034" s="56"/>
      <c r="J1034" s="60" t="str">
        <f aca="false">IF(IsPro,IF($D1034="","",IFERROR(INDEX(Items!$D$5:$D$504,U1034),"")),"")</f>
        <v/>
      </c>
      <c r="K1034" s="61" t="str">
        <f aca="false">IF(IsPro,IF($D1034="","",IF($F1034="",IFERROR(INDEX(Items!$H$5:$H$504,U1034),0),$F1034)),"")</f>
        <v/>
      </c>
      <c r="L1034" s="61" t="str">
        <f aca="false">IF(IsPro,IF($D1034="","",ROUND(N($E1034)*K1034*(1-N($G1034)),2)),"")</f>
        <v/>
      </c>
      <c r="M1034" s="62" t="str">
        <f aca="false">IF(IsPro,IF($D1034="","",IFERROR(INDEX(Items!$F$5:$F$504,U1034),0)),"")</f>
        <v/>
      </c>
      <c r="N1034" s="61" t="str">
        <f aca="false">IF(IsPro,IF($D1034="","",IF(AND(V1034&lt;&gt;"",INDEX(Parties!$E$5:$E$304,V1034)&lt;&gt;"",INDEX(Parties!$E$5:$E$304,V1034)&lt;&gt;HomeState),0,ROUND(L1034*M1034/2,2))),"")</f>
        <v/>
      </c>
      <c r="O1034" s="61" t="str">
        <f aca="false">IF(IsPro,IF($D1034="","",N1034),"")</f>
        <v/>
      </c>
      <c r="P1034" s="61" t="str">
        <f aca="false">IF(IsPro,IF($D1034="","",IF(AND(V1034&lt;&gt;"",INDEX(Parties!$E$5:$E$304,V1034)&lt;&gt;"",INDEX(Parties!$E$5:$E$304,V1034)&lt;&gt;HomeState),ROUND(L1034*M1034,2),0)),"")</f>
        <v/>
      </c>
      <c r="Q1034" s="61" t="str">
        <f aca="false">IF(IsPro,IF($D1034="","",L1034+N1034+O1034+P1034),"")</f>
        <v/>
      </c>
      <c r="R1034" s="61" t="str">
        <f aca="false">IF(IsPro,IF($D1034="","",ROUND(N($E1034)*IFERROR(INDEX(Items!$P$5:$P$504,U1034),0),2)),"")</f>
        <v/>
      </c>
      <c r="S1034" s="61" t="str">
        <f aca="false">IF(IsPro,IF($D1034="","",L1034-R1034),"")</f>
        <v/>
      </c>
      <c r="T1034" s="60" t="str">
        <f aca="false">IF(IsPro,IF($D1034="","",IF(U1034="","UNKNOWN ITEM",IF(INDEX(Items!$O$5:$O$504,U1034)&lt;0,"NEG STOCK",IF(K1034&lt;INDEX(Items!$P$5:$P$504,U1034),"BELOW COST","OK")))),IF($D1034="","","PRO PLAN"))</f>
        <v/>
      </c>
      <c r="U1034" s="60" t="str">
        <f aca="false">IF(IsPro,IF($D1034="","",IFERROR(MATCH($D1034,Items!$A$5:$A$504,0),"")),"")</f>
        <v/>
      </c>
      <c r="V1034" s="60" t="str">
        <f aca="false">IF(IsPro,IF($C1034="","",IFERROR(MATCH($C1034,Parties!$A$5:$A$304,0),"")),"")</f>
        <v/>
      </c>
      <c r="W1034" s="60" t="str">
        <f aca="false">IF(IsPro,IF($B1034="","",IFERROR(VALUE(SUBSTITUTE($B1034,InvPrefix,"")),0)),"")</f>
        <v/>
      </c>
      <c r="X1034" s="61" t="str">
        <f aca="false">IF(IsPro,IF($D1034="","",IF(OR($H1034="",$H1034="Credit"),0,Q1034)),"")</f>
        <v/>
      </c>
    </row>
    <row r="1035" customFormat="false" ht="15" hidden="false" customHeight="false" outlineLevel="0" collapsed="false">
      <c r="A1035" s="55"/>
      <c r="B1035" s="56"/>
      <c r="C1035" s="56"/>
      <c r="D1035" s="56"/>
      <c r="E1035" s="57"/>
      <c r="F1035" s="58"/>
      <c r="G1035" s="59"/>
      <c r="H1035" s="56"/>
      <c r="I1035" s="56"/>
      <c r="J1035" s="60" t="str">
        <f aca="false">IF(IsPro,IF($D1035="","",IFERROR(INDEX(Items!$D$5:$D$504,U1035),"")),"")</f>
        <v/>
      </c>
      <c r="K1035" s="61" t="str">
        <f aca="false">IF(IsPro,IF($D1035="","",IF($F1035="",IFERROR(INDEX(Items!$H$5:$H$504,U1035),0),$F1035)),"")</f>
        <v/>
      </c>
      <c r="L1035" s="61" t="str">
        <f aca="false">IF(IsPro,IF($D1035="","",ROUND(N($E1035)*K1035*(1-N($G1035)),2)),"")</f>
        <v/>
      </c>
      <c r="M1035" s="62" t="str">
        <f aca="false">IF(IsPro,IF($D1035="","",IFERROR(INDEX(Items!$F$5:$F$504,U1035),0)),"")</f>
        <v/>
      </c>
      <c r="N1035" s="61" t="str">
        <f aca="false">IF(IsPro,IF($D1035="","",IF(AND(V1035&lt;&gt;"",INDEX(Parties!$E$5:$E$304,V1035)&lt;&gt;"",INDEX(Parties!$E$5:$E$304,V1035)&lt;&gt;HomeState),0,ROUND(L1035*M1035/2,2))),"")</f>
        <v/>
      </c>
      <c r="O1035" s="61" t="str">
        <f aca="false">IF(IsPro,IF($D1035="","",N1035),"")</f>
        <v/>
      </c>
      <c r="P1035" s="61" t="str">
        <f aca="false">IF(IsPro,IF($D1035="","",IF(AND(V1035&lt;&gt;"",INDEX(Parties!$E$5:$E$304,V1035)&lt;&gt;"",INDEX(Parties!$E$5:$E$304,V1035)&lt;&gt;HomeState),ROUND(L1035*M1035,2),0)),"")</f>
        <v/>
      </c>
      <c r="Q1035" s="61" t="str">
        <f aca="false">IF(IsPro,IF($D1035="","",L1035+N1035+O1035+P1035),"")</f>
        <v/>
      </c>
      <c r="R1035" s="61" t="str">
        <f aca="false">IF(IsPro,IF($D1035="","",ROUND(N($E1035)*IFERROR(INDEX(Items!$P$5:$P$504,U1035),0),2)),"")</f>
        <v/>
      </c>
      <c r="S1035" s="61" t="str">
        <f aca="false">IF(IsPro,IF($D1035="","",L1035-R1035),"")</f>
        <v/>
      </c>
      <c r="T1035" s="60" t="str">
        <f aca="false">IF(IsPro,IF($D1035="","",IF(U1035="","UNKNOWN ITEM",IF(INDEX(Items!$O$5:$O$504,U1035)&lt;0,"NEG STOCK",IF(K1035&lt;INDEX(Items!$P$5:$P$504,U1035),"BELOW COST","OK")))),IF($D1035="","","PRO PLAN"))</f>
        <v/>
      </c>
      <c r="U1035" s="60" t="str">
        <f aca="false">IF(IsPro,IF($D1035="","",IFERROR(MATCH($D1035,Items!$A$5:$A$504,0),"")),"")</f>
        <v/>
      </c>
      <c r="V1035" s="60" t="str">
        <f aca="false">IF(IsPro,IF($C1035="","",IFERROR(MATCH($C1035,Parties!$A$5:$A$304,0),"")),"")</f>
        <v/>
      </c>
      <c r="W1035" s="60" t="str">
        <f aca="false">IF(IsPro,IF($B1035="","",IFERROR(VALUE(SUBSTITUTE($B1035,InvPrefix,"")),0)),"")</f>
        <v/>
      </c>
      <c r="X1035" s="61" t="str">
        <f aca="false">IF(IsPro,IF($D1035="","",IF(OR($H1035="",$H1035="Credit"),0,Q1035)),"")</f>
        <v/>
      </c>
    </row>
    <row r="1036" customFormat="false" ht="15" hidden="false" customHeight="false" outlineLevel="0" collapsed="false">
      <c r="A1036" s="55"/>
      <c r="B1036" s="56"/>
      <c r="C1036" s="56"/>
      <c r="D1036" s="56"/>
      <c r="E1036" s="57"/>
      <c r="F1036" s="58"/>
      <c r="G1036" s="59"/>
      <c r="H1036" s="56"/>
      <c r="I1036" s="56"/>
      <c r="J1036" s="60" t="str">
        <f aca="false">IF(IsPro,IF($D1036="","",IFERROR(INDEX(Items!$D$5:$D$504,U1036),"")),"")</f>
        <v/>
      </c>
      <c r="K1036" s="61" t="str">
        <f aca="false">IF(IsPro,IF($D1036="","",IF($F1036="",IFERROR(INDEX(Items!$H$5:$H$504,U1036),0),$F1036)),"")</f>
        <v/>
      </c>
      <c r="L1036" s="61" t="str">
        <f aca="false">IF(IsPro,IF($D1036="","",ROUND(N($E1036)*K1036*(1-N($G1036)),2)),"")</f>
        <v/>
      </c>
      <c r="M1036" s="62" t="str">
        <f aca="false">IF(IsPro,IF($D1036="","",IFERROR(INDEX(Items!$F$5:$F$504,U1036),0)),"")</f>
        <v/>
      </c>
      <c r="N1036" s="61" t="str">
        <f aca="false">IF(IsPro,IF($D1036="","",IF(AND(V1036&lt;&gt;"",INDEX(Parties!$E$5:$E$304,V1036)&lt;&gt;"",INDEX(Parties!$E$5:$E$304,V1036)&lt;&gt;HomeState),0,ROUND(L1036*M1036/2,2))),"")</f>
        <v/>
      </c>
      <c r="O1036" s="61" t="str">
        <f aca="false">IF(IsPro,IF($D1036="","",N1036),"")</f>
        <v/>
      </c>
      <c r="P1036" s="61" t="str">
        <f aca="false">IF(IsPro,IF($D1036="","",IF(AND(V1036&lt;&gt;"",INDEX(Parties!$E$5:$E$304,V1036)&lt;&gt;"",INDEX(Parties!$E$5:$E$304,V1036)&lt;&gt;HomeState),ROUND(L1036*M1036,2),0)),"")</f>
        <v/>
      </c>
      <c r="Q1036" s="61" t="str">
        <f aca="false">IF(IsPro,IF($D1036="","",L1036+N1036+O1036+P1036),"")</f>
        <v/>
      </c>
      <c r="R1036" s="61" t="str">
        <f aca="false">IF(IsPro,IF($D1036="","",ROUND(N($E1036)*IFERROR(INDEX(Items!$P$5:$P$504,U1036),0),2)),"")</f>
        <v/>
      </c>
      <c r="S1036" s="61" t="str">
        <f aca="false">IF(IsPro,IF($D1036="","",L1036-R1036),"")</f>
        <v/>
      </c>
      <c r="T1036" s="60" t="str">
        <f aca="false">IF(IsPro,IF($D1036="","",IF(U1036="","UNKNOWN ITEM",IF(INDEX(Items!$O$5:$O$504,U1036)&lt;0,"NEG STOCK",IF(K1036&lt;INDEX(Items!$P$5:$P$504,U1036),"BELOW COST","OK")))),IF($D1036="","","PRO PLAN"))</f>
        <v/>
      </c>
      <c r="U1036" s="60" t="str">
        <f aca="false">IF(IsPro,IF($D1036="","",IFERROR(MATCH($D1036,Items!$A$5:$A$504,0),"")),"")</f>
        <v/>
      </c>
      <c r="V1036" s="60" t="str">
        <f aca="false">IF(IsPro,IF($C1036="","",IFERROR(MATCH($C1036,Parties!$A$5:$A$304,0),"")),"")</f>
        <v/>
      </c>
      <c r="W1036" s="60" t="str">
        <f aca="false">IF(IsPro,IF($B1036="","",IFERROR(VALUE(SUBSTITUTE($B1036,InvPrefix,"")),0)),"")</f>
        <v/>
      </c>
      <c r="X1036" s="61" t="str">
        <f aca="false">IF(IsPro,IF($D1036="","",IF(OR($H1036="",$H1036="Credit"),0,Q1036)),"")</f>
        <v/>
      </c>
    </row>
    <row r="1037" customFormat="false" ht="15" hidden="false" customHeight="false" outlineLevel="0" collapsed="false">
      <c r="A1037" s="55"/>
      <c r="B1037" s="56"/>
      <c r="C1037" s="56"/>
      <c r="D1037" s="56"/>
      <c r="E1037" s="57"/>
      <c r="F1037" s="58"/>
      <c r="G1037" s="59"/>
      <c r="H1037" s="56"/>
      <c r="I1037" s="56"/>
      <c r="J1037" s="60" t="str">
        <f aca="false">IF(IsPro,IF($D1037="","",IFERROR(INDEX(Items!$D$5:$D$504,U1037),"")),"")</f>
        <v/>
      </c>
      <c r="K1037" s="61" t="str">
        <f aca="false">IF(IsPro,IF($D1037="","",IF($F1037="",IFERROR(INDEX(Items!$H$5:$H$504,U1037),0),$F1037)),"")</f>
        <v/>
      </c>
      <c r="L1037" s="61" t="str">
        <f aca="false">IF(IsPro,IF($D1037="","",ROUND(N($E1037)*K1037*(1-N($G1037)),2)),"")</f>
        <v/>
      </c>
      <c r="M1037" s="62" t="str">
        <f aca="false">IF(IsPro,IF($D1037="","",IFERROR(INDEX(Items!$F$5:$F$504,U1037),0)),"")</f>
        <v/>
      </c>
      <c r="N1037" s="61" t="str">
        <f aca="false">IF(IsPro,IF($D1037="","",IF(AND(V1037&lt;&gt;"",INDEX(Parties!$E$5:$E$304,V1037)&lt;&gt;"",INDEX(Parties!$E$5:$E$304,V1037)&lt;&gt;HomeState),0,ROUND(L1037*M1037/2,2))),"")</f>
        <v/>
      </c>
      <c r="O1037" s="61" t="str">
        <f aca="false">IF(IsPro,IF($D1037="","",N1037),"")</f>
        <v/>
      </c>
      <c r="P1037" s="61" t="str">
        <f aca="false">IF(IsPro,IF($D1037="","",IF(AND(V1037&lt;&gt;"",INDEX(Parties!$E$5:$E$304,V1037)&lt;&gt;"",INDEX(Parties!$E$5:$E$304,V1037)&lt;&gt;HomeState),ROUND(L1037*M1037,2),0)),"")</f>
        <v/>
      </c>
      <c r="Q1037" s="61" t="str">
        <f aca="false">IF(IsPro,IF($D1037="","",L1037+N1037+O1037+P1037),"")</f>
        <v/>
      </c>
      <c r="R1037" s="61" t="str">
        <f aca="false">IF(IsPro,IF($D1037="","",ROUND(N($E1037)*IFERROR(INDEX(Items!$P$5:$P$504,U1037),0),2)),"")</f>
        <v/>
      </c>
      <c r="S1037" s="61" t="str">
        <f aca="false">IF(IsPro,IF($D1037="","",L1037-R1037),"")</f>
        <v/>
      </c>
      <c r="T1037" s="60" t="str">
        <f aca="false">IF(IsPro,IF($D1037="","",IF(U1037="","UNKNOWN ITEM",IF(INDEX(Items!$O$5:$O$504,U1037)&lt;0,"NEG STOCK",IF(K1037&lt;INDEX(Items!$P$5:$P$504,U1037),"BELOW COST","OK")))),IF($D1037="","","PRO PLAN"))</f>
        <v/>
      </c>
      <c r="U1037" s="60" t="str">
        <f aca="false">IF(IsPro,IF($D1037="","",IFERROR(MATCH($D1037,Items!$A$5:$A$504,0),"")),"")</f>
        <v/>
      </c>
      <c r="V1037" s="60" t="str">
        <f aca="false">IF(IsPro,IF($C1037="","",IFERROR(MATCH($C1037,Parties!$A$5:$A$304,0),"")),"")</f>
        <v/>
      </c>
      <c r="W1037" s="60" t="str">
        <f aca="false">IF(IsPro,IF($B1037="","",IFERROR(VALUE(SUBSTITUTE($B1037,InvPrefix,"")),0)),"")</f>
        <v/>
      </c>
      <c r="X1037" s="61" t="str">
        <f aca="false">IF(IsPro,IF($D1037="","",IF(OR($H1037="",$H1037="Credit"),0,Q1037)),"")</f>
        <v/>
      </c>
    </row>
    <row r="1038" customFormat="false" ht="15" hidden="false" customHeight="false" outlineLevel="0" collapsed="false">
      <c r="A1038" s="55"/>
      <c r="B1038" s="56"/>
      <c r="C1038" s="56"/>
      <c r="D1038" s="56"/>
      <c r="E1038" s="57"/>
      <c r="F1038" s="58"/>
      <c r="G1038" s="59"/>
      <c r="H1038" s="56"/>
      <c r="I1038" s="56"/>
      <c r="J1038" s="60" t="str">
        <f aca="false">IF(IsPro,IF($D1038="","",IFERROR(INDEX(Items!$D$5:$D$504,U1038),"")),"")</f>
        <v/>
      </c>
      <c r="K1038" s="61" t="str">
        <f aca="false">IF(IsPro,IF($D1038="","",IF($F1038="",IFERROR(INDEX(Items!$H$5:$H$504,U1038),0),$F1038)),"")</f>
        <v/>
      </c>
      <c r="L1038" s="61" t="str">
        <f aca="false">IF(IsPro,IF($D1038="","",ROUND(N($E1038)*K1038*(1-N($G1038)),2)),"")</f>
        <v/>
      </c>
      <c r="M1038" s="62" t="str">
        <f aca="false">IF(IsPro,IF($D1038="","",IFERROR(INDEX(Items!$F$5:$F$504,U1038),0)),"")</f>
        <v/>
      </c>
      <c r="N1038" s="61" t="str">
        <f aca="false">IF(IsPro,IF($D1038="","",IF(AND(V1038&lt;&gt;"",INDEX(Parties!$E$5:$E$304,V1038)&lt;&gt;"",INDEX(Parties!$E$5:$E$304,V1038)&lt;&gt;HomeState),0,ROUND(L1038*M1038/2,2))),"")</f>
        <v/>
      </c>
      <c r="O1038" s="61" t="str">
        <f aca="false">IF(IsPro,IF($D1038="","",N1038),"")</f>
        <v/>
      </c>
      <c r="P1038" s="61" t="str">
        <f aca="false">IF(IsPro,IF($D1038="","",IF(AND(V1038&lt;&gt;"",INDEX(Parties!$E$5:$E$304,V1038)&lt;&gt;"",INDEX(Parties!$E$5:$E$304,V1038)&lt;&gt;HomeState),ROUND(L1038*M1038,2),0)),"")</f>
        <v/>
      </c>
      <c r="Q1038" s="61" t="str">
        <f aca="false">IF(IsPro,IF($D1038="","",L1038+N1038+O1038+P1038),"")</f>
        <v/>
      </c>
      <c r="R1038" s="61" t="str">
        <f aca="false">IF(IsPro,IF($D1038="","",ROUND(N($E1038)*IFERROR(INDEX(Items!$P$5:$P$504,U1038),0),2)),"")</f>
        <v/>
      </c>
      <c r="S1038" s="61" t="str">
        <f aca="false">IF(IsPro,IF($D1038="","",L1038-R1038),"")</f>
        <v/>
      </c>
      <c r="T1038" s="60" t="str">
        <f aca="false">IF(IsPro,IF($D1038="","",IF(U1038="","UNKNOWN ITEM",IF(INDEX(Items!$O$5:$O$504,U1038)&lt;0,"NEG STOCK",IF(K1038&lt;INDEX(Items!$P$5:$P$504,U1038),"BELOW COST","OK")))),IF($D1038="","","PRO PLAN"))</f>
        <v/>
      </c>
      <c r="U1038" s="60" t="str">
        <f aca="false">IF(IsPro,IF($D1038="","",IFERROR(MATCH($D1038,Items!$A$5:$A$504,0),"")),"")</f>
        <v/>
      </c>
      <c r="V1038" s="60" t="str">
        <f aca="false">IF(IsPro,IF($C1038="","",IFERROR(MATCH($C1038,Parties!$A$5:$A$304,0),"")),"")</f>
        <v/>
      </c>
      <c r="W1038" s="60" t="str">
        <f aca="false">IF(IsPro,IF($B1038="","",IFERROR(VALUE(SUBSTITUTE($B1038,InvPrefix,"")),0)),"")</f>
        <v/>
      </c>
      <c r="X1038" s="61" t="str">
        <f aca="false">IF(IsPro,IF($D1038="","",IF(OR($H1038="",$H1038="Credit"),0,Q1038)),"")</f>
        <v/>
      </c>
    </row>
    <row r="1039" customFormat="false" ht="15" hidden="false" customHeight="false" outlineLevel="0" collapsed="false">
      <c r="A1039" s="55"/>
      <c r="B1039" s="56"/>
      <c r="C1039" s="56"/>
      <c r="D1039" s="56"/>
      <c r="E1039" s="57"/>
      <c r="F1039" s="58"/>
      <c r="G1039" s="59"/>
      <c r="H1039" s="56"/>
      <c r="I1039" s="56"/>
      <c r="J1039" s="60" t="str">
        <f aca="false">IF(IsPro,IF($D1039="","",IFERROR(INDEX(Items!$D$5:$D$504,U1039),"")),"")</f>
        <v/>
      </c>
      <c r="K1039" s="61" t="str">
        <f aca="false">IF(IsPro,IF($D1039="","",IF($F1039="",IFERROR(INDEX(Items!$H$5:$H$504,U1039),0),$F1039)),"")</f>
        <v/>
      </c>
      <c r="L1039" s="61" t="str">
        <f aca="false">IF(IsPro,IF($D1039="","",ROUND(N($E1039)*K1039*(1-N($G1039)),2)),"")</f>
        <v/>
      </c>
      <c r="M1039" s="62" t="str">
        <f aca="false">IF(IsPro,IF($D1039="","",IFERROR(INDEX(Items!$F$5:$F$504,U1039),0)),"")</f>
        <v/>
      </c>
      <c r="N1039" s="61" t="str">
        <f aca="false">IF(IsPro,IF($D1039="","",IF(AND(V1039&lt;&gt;"",INDEX(Parties!$E$5:$E$304,V1039)&lt;&gt;"",INDEX(Parties!$E$5:$E$304,V1039)&lt;&gt;HomeState),0,ROUND(L1039*M1039/2,2))),"")</f>
        <v/>
      </c>
      <c r="O1039" s="61" t="str">
        <f aca="false">IF(IsPro,IF($D1039="","",N1039),"")</f>
        <v/>
      </c>
      <c r="P1039" s="61" t="str">
        <f aca="false">IF(IsPro,IF($D1039="","",IF(AND(V1039&lt;&gt;"",INDEX(Parties!$E$5:$E$304,V1039)&lt;&gt;"",INDEX(Parties!$E$5:$E$304,V1039)&lt;&gt;HomeState),ROUND(L1039*M1039,2),0)),"")</f>
        <v/>
      </c>
      <c r="Q1039" s="61" t="str">
        <f aca="false">IF(IsPro,IF($D1039="","",L1039+N1039+O1039+P1039),"")</f>
        <v/>
      </c>
      <c r="R1039" s="61" t="str">
        <f aca="false">IF(IsPro,IF($D1039="","",ROUND(N($E1039)*IFERROR(INDEX(Items!$P$5:$P$504,U1039),0),2)),"")</f>
        <v/>
      </c>
      <c r="S1039" s="61" t="str">
        <f aca="false">IF(IsPro,IF($D1039="","",L1039-R1039),"")</f>
        <v/>
      </c>
      <c r="T1039" s="60" t="str">
        <f aca="false">IF(IsPro,IF($D1039="","",IF(U1039="","UNKNOWN ITEM",IF(INDEX(Items!$O$5:$O$504,U1039)&lt;0,"NEG STOCK",IF(K1039&lt;INDEX(Items!$P$5:$P$504,U1039),"BELOW COST","OK")))),IF($D1039="","","PRO PLAN"))</f>
        <v/>
      </c>
      <c r="U1039" s="60" t="str">
        <f aca="false">IF(IsPro,IF($D1039="","",IFERROR(MATCH($D1039,Items!$A$5:$A$504,0),"")),"")</f>
        <v/>
      </c>
      <c r="V1039" s="60" t="str">
        <f aca="false">IF(IsPro,IF($C1039="","",IFERROR(MATCH($C1039,Parties!$A$5:$A$304,0),"")),"")</f>
        <v/>
      </c>
      <c r="W1039" s="60" t="str">
        <f aca="false">IF(IsPro,IF($B1039="","",IFERROR(VALUE(SUBSTITUTE($B1039,InvPrefix,"")),0)),"")</f>
        <v/>
      </c>
      <c r="X1039" s="61" t="str">
        <f aca="false">IF(IsPro,IF($D1039="","",IF(OR($H1039="",$H1039="Credit"),0,Q1039)),"")</f>
        <v/>
      </c>
    </row>
    <row r="1040" customFormat="false" ht="15" hidden="false" customHeight="false" outlineLevel="0" collapsed="false">
      <c r="A1040" s="55"/>
      <c r="B1040" s="56"/>
      <c r="C1040" s="56"/>
      <c r="D1040" s="56"/>
      <c r="E1040" s="57"/>
      <c r="F1040" s="58"/>
      <c r="G1040" s="59"/>
      <c r="H1040" s="56"/>
      <c r="I1040" s="56"/>
      <c r="J1040" s="60" t="str">
        <f aca="false">IF(IsPro,IF($D1040="","",IFERROR(INDEX(Items!$D$5:$D$504,U1040),"")),"")</f>
        <v/>
      </c>
      <c r="K1040" s="61" t="str">
        <f aca="false">IF(IsPro,IF($D1040="","",IF($F1040="",IFERROR(INDEX(Items!$H$5:$H$504,U1040),0),$F1040)),"")</f>
        <v/>
      </c>
      <c r="L1040" s="61" t="str">
        <f aca="false">IF(IsPro,IF($D1040="","",ROUND(N($E1040)*K1040*(1-N($G1040)),2)),"")</f>
        <v/>
      </c>
      <c r="M1040" s="62" t="str">
        <f aca="false">IF(IsPro,IF($D1040="","",IFERROR(INDEX(Items!$F$5:$F$504,U1040),0)),"")</f>
        <v/>
      </c>
      <c r="N1040" s="61" t="str">
        <f aca="false">IF(IsPro,IF($D1040="","",IF(AND(V1040&lt;&gt;"",INDEX(Parties!$E$5:$E$304,V1040)&lt;&gt;"",INDEX(Parties!$E$5:$E$304,V1040)&lt;&gt;HomeState),0,ROUND(L1040*M1040/2,2))),"")</f>
        <v/>
      </c>
      <c r="O1040" s="61" t="str">
        <f aca="false">IF(IsPro,IF($D1040="","",N1040),"")</f>
        <v/>
      </c>
      <c r="P1040" s="61" t="str">
        <f aca="false">IF(IsPro,IF($D1040="","",IF(AND(V1040&lt;&gt;"",INDEX(Parties!$E$5:$E$304,V1040)&lt;&gt;"",INDEX(Parties!$E$5:$E$304,V1040)&lt;&gt;HomeState),ROUND(L1040*M1040,2),0)),"")</f>
        <v/>
      </c>
      <c r="Q1040" s="61" t="str">
        <f aca="false">IF(IsPro,IF($D1040="","",L1040+N1040+O1040+P1040),"")</f>
        <v/>
      </c>
      <c r="R1040" s="61" t="str">
        <f aca="false">IF(IsPro,IF($D1040="","",ROUND(N($E1040)*IFERROR(INDEX(Items!$P$5:$P$504,U1040),0),2)),"")</f>
        <v/>
      </c>
      <c r="S1040" s="61" t="str">
        <f aca="false">IF(IsPro,IF($D1040="","",L1040-R1040),"")</f>
        <v/>
      </c>
      <c r="T1040" s="60" t="str">
        <f aca="false">IF(IsPro,IF($D1040="","",IF(U1040="","UNKNOWN ITEM",IF(INDEX(Items!$O$5:$O$504,U1040)&lt;0,"NEG STOCK",IF(K1040&lt;INDEX(Items!$P$5:$P$504,U1040),"BELOW COST","OK")))),IF($D1040="","","PRO PLAN"))</f>
        <v/>
      </c>
      <c r="U1040" s="60" t="str">
        <f aca="false">IF(IsPro,IF($D1040="","",IFERROR(MATCH($D1040,Items!$A$5:$A$504,0),"")),"")</f>
        <v/>
      </c>
      <c r="V1040" s="60" t="str">
        <f aca="false">IF(IsPro,IF($C1040="","",IFERROR(MATCH($C1040,Parties!$A$5:$A$304,0),"")),"")</f>
        <v/>
      </c>
      <c r="W1040" s="60" t="str">
        <f aca="false">IF(IsPro,IF($B1040="","",IFERROR(VALUE(SUBSTITUTE($B1040,InvPrefix,"")),0)),"")</f>
        <v/>
      </c>
      <c r="X1040" s="61" t="str">
        <f aca="false">IF(IsPro,IF($D1040="","",IF(OR($H1040="",$H1040="Credit"),0,Q1040)),"")</f>
        <v/>
      </c>
    </row>
    <row r="1041" customFormat="false" ht="15" hidden="false" customHeight="false" outlineLevel="0" collapsed="false">
      <c r="A1041" s="55"/>
      <c r="B1041" s="56"/>
      <c r="C1041" s="56"/>
      <c r="D1041" s="56"/>
      <c r="E1041" s="57"/>
      <c r="F1041" s="58"/>
      <c r="G1041" s="59"/>
      <c r="H1041" s="56"/>
      <c r="I1041" s="56"/>
      <c r="J1041" s="60" t="str">
        <f aca="false">IF(IsPro,IF($D1041="","",IFERROR(INDEX(Items!$D$5:$D$504,U1041),"")),"")</f>
        <v/>
      </c>
      <c r="K1041" s="61" t="str">
        <f aca="false">IF(IsPro,IF($D1041="","",IF($F1041="",IFERROR(INDEX(Items!$H$5:$H$504,U1041),0),$F1041)),"")</f>
        <v/>
      </c>
      <c r="L1041" s="61" t="str">
        <f aca="false">IF(IsPro,IF($D1041="","",ROUND(N($E1041)*K1041*(1-N($G1041)),2)),"")</f>
        <v/>
      </c>
      <c r="M1041" s="62" t="str">
        <f aca="false">IF(IsPro,IF($D1041="","",IFERROR(INDEX(Items!$F$5:$F$504,U1041),0)),"")</f>
        <v/>
      </c>
      <c r="N1041" s="61" t="str">
        <f aca="false">IF(IsPro,IF($D1041="","",IF(AND(V1041&lt;&gt;"",INDEX(Parties!$E$5:$E$304,V1041)&lt;&gt;"",INDEX(Parties!$E$5:$E$304,V1041)&lt;&gt;HomeState),0,ROUND(L1041*M1041/2,2))),"")</f>
        <v/>
      </c>
      <c r="O1041" s="61" t="str">
        <f aca="false">IF(IsPro,IF($D1041="","",N1041),"")</f>
        <v/>
      </c>
      <c r="P1041" s="61" t="str">
        <f aca="false">IF(IsPro,IF($D1041="","",IF(AND(V1041&lt;&gt;"",INDEX(Parties!$E$5:$E$304,V1041)&lt;&gt;"",INDEX(Parties!$E$5:$E$304,V1041)&lt;&gt;HomeState),ROUND(L1041*M1041,2),0)),"")</f>
        <v/>
      </c>
      <c r="Q1041" s="61" t="str">
        <f aca="false">IF(IsPro,IF($D1041="","",L1041+N1041+O1041+P1041),"")</f>
        <v/>
      </c>
      <c r="R1041" s="61" t="str">
        <f aca="false">IF(IsPro,IF($D1041="","",ROUND(N($E1041)*IFERROR(INDEX(Items!$P$5:$P$504,U1041),0),2)),"")</f>
        <v/>
      </c>
      <c r="S1041" s="61" t="str">
        <f aca="false">IF(IsPro,IF($D1041="","",L1041-R1041),"")</f>
        <v/>
      </c>
      <c r="T1041" s="60" t="str">
        <f aca="false">IF(IsPro,IF($D1041="","",IF(U1041="","UNKNOWN ITEM",IF(INDEX(Items!$O$5:$O$504,U1041)&lt;0,"NEG STOCK",IF(K1041&lt;INDEX(Items!$P$5:$P$504,U1041),"BELOW COST","OK")))),IF($D1041="","","PRO PLAN"))</f>
        <v/>
      </c>
      <c r="U1041" s="60" t="str">
        <f aca="false">IF(IsPro,IF($D1041="","",IFERROR(MATCH($D1041,Items!$A$5:$A$504,0),"")),"")</f>
        <v/>
      </c>
      <c r="V1041" s="60" t="str">
        <f aca="false">IF(IsPro,IF($C1041="","",IFERROR(MATCH($C1041,Parties!$A$5:$A$304,0),"")),"")</f>
        <v/>
      </c>
      <c r="W1041" s="60" t="str">
        <f aca="false">IF(IsPro,IF($B1041="","",IFERROR(VALUE(SUBSTITUTE($B1041,InvPrefix,"")),0)),"")</f>
        <v/>
      </c>
      <c r="X1041" s="61" t="str">
        <f aca="false">IF(IsPro,IF($D1041="","",IF(OR($H1041="",$H1041="Credit"),0,Q1041)),"")</f>
        <v/>
      </c>
    </row>
    <row r="1042" customFormat="false" ht="15" hidden="false" customHeight="false" outlineLevel="0" collapsed="false">
      <c r="A1042" s="55"/>
      <c r="B1042" s="56"/>
      <c r="C1042" s="56"/>
      <c r="D1042" s="56"/>
      <c r="E1042" s="57"/>
      <c r="F1042" s="58"/>
      <c r="G1042" s="59"/>
      <c r="H1042" s="56"/>
      <c r="I1042" s="56"/>
      <c r="J1042" s="60" t="str">
        <f aca="false">IF(IsPro,IF($D1042="","",IFERROR(INDEX(Items!$D$5:$D$504,U1042),"")),"")</f>
        <v/>
      </c>
      <c r="K1042" s="61" t="str">
        <f aca="false">IF(IsPro,IF($D1042="","",IF($F1042="",IFERROR(INDEX(Items!$H$5:$H$504,U1042),0),$F1042)),"")</f>
        <v/>
      </c>
      <c r="L1042" s="61" t="str">
        <f aca="false">IF(IsPro,IF($D1042="","",ROUND(N($E1042)*K1042*(1-N($G1042)),2)),"")</f>
        <v/>
      </c>
      <c r="M1042" s="62" t="str">
        <f aca="false">IF(IsPro,IF($D1042="","",IFERROR(INDEX(Items!$F$5:$F$504,U1042),0)),"")</f>
        <v/>
      </c>
      <c r="N1042" s="61" t="str">
        <f aca="false">IF(IsPro,IF($D1042="","",IF(AND(V1042&lt;&gt;"",INDEX(Parties!$E$5:$E$304,V1042)&lt;&gt;"",INDEX(Parties!$E$5:$E$304,V1042)&lt;&gt;HomeState),0,ROUND(L1042*M1042/2,2))),"")</f>
        <v/>
      </c>
      <c r="O1042" s="61" t="str">
        <f aca="false">IF(IsPro,IF($D1042="","",N1042),"")</f>
        <v/>
      </c>
      <c r="P1042" s="61" t="str">
        <f aca="false">IF(IsPro,IF($D1042="","",IF(AND(V1042&lt;&gt;"",INDEX(Parties!$E$5:$E$304,V1042)&lt;&gt;"",INDEX(Parties!$E$5:$E$304,V1042)&lt;&gt;HomeState),ROUND(L1042*M1042,2),0)),"")</f>
        <v/>
      </c>
      <c r="Q1042" s="61" t="str">
        <f aca="false">IF(IsPro,IF($D1042="","",L1042+N1042+O1042+P1042),"")</f>
        <v/>
      </c>
      <c r="R1042" s="61" t="str">
        <f aca="false">IF(IsPro,IF($D1042="","",ROUND(N($E1042)*IFERROR(INDEX(Items!$P$5:$P$504,U1042),0),2)),"")</f>
        <v/>
      </c>
      <c r="S1042" s="61" t="str">
        <f aca="false">IF(IsPro,IF($D1042="","",L1042-R1042),"")</f>
        <v/>
      </c>
      <c r="T1042" s="60" t="str">
        <f aca="false">IF(IsPro,IF($D1042="","",IF(U1042="","UNKNOWN ITEM",IF(INDEX(Items!$O$5:$O$504,U1042)&lt;0,"NEG STOCK",IF(K1042&lt;INDEX(Items!$P$5:$P$504,U1042),"BELOW COST","OK")))),IF($D1042="","","PRO PLAN"))</f>
        <v/>
      </c>
      <c r="U1042" s="60" t="str">
        <f aca="false">IF(IsPro,IF($D1042="","",IFERROR(MATCH($D1042,Items!$A$5:$A$504,0),"")),"")</f>
        <v/>
      </c>
      <c r="V1042" s="60" t="str">
        <f aca="false">IF(IsPro,IF($C1042="","",IFERROR(MATCH($C1042,Parties!$A$5:$A$304,0),"")),"")</f>
        <v/>
      </c>
      <c r="W1042" s="60" t="str">
        <f aca="false">IF(IsPro,IF($B1042="","",IFERROR(VALUE(SUBSTITUTE($B1042,InvPrefix,"")),0)),"")</f>
        <v/>
      </c>
      <c r="X1042" s="61" t="str">
        <f aca="false">IF(IsPro,IF($D1042="","",IF(OR($H1042="",$H1042="Credit"),0,Q1042)),"")</f>
        <v/>
      </c>
    </row>
    <row r="1043" customFormat="false" ht="15" hidden="false" customHeight="false" outlineLevel="0" collapsed="false">
      <c r="A1043" s="55"/>
      <c r="B1043" s="56"/>
      <c r="C1043" s="56"/>
      <c r="D1043" s="56"/>
      <c r="E1043" s="57"/>
      <c r="F1043" s="58"/>
      <c r="G1043" s="59"/>
      <c r="H1043" s="56"/>
      <c r="I1043" s="56"/>
      <c r="J1043" s="60" t="str">
        <f aca="false">IF(IsPro,IF($D1043="","",IFERROR(INDEX(Items!$D$5:$D$504,U1043),"")),"")</f>
        <v/>
      </c>
      <c r="K1043" s="61" t="str">
        <f aca="false">IF(IsPro,IF($D1043="","",IF($F1043="",IFERROR(INDEX(Items!$H$5:$H$504,U1043),0),$F1043)),"")</f>
        <v/>
      </c>
      <c r="L1043" s="61" t="str">
        <f aca="false">IF(IsPro,IF($D1043="","",ROUND(N($E1043)*K1043*(1-N($G1043)),2)),"")</f>
        <v/>
      </c>
      <c r="M1043" s="62" t="str">
        <f aca="false">IF(IsPro,IF($D1043="","",IFERROR(INDEX(Items!$F$5:$F$504,U1043),0)),"")</f>
        <v/>
      </c>
      <c r="N1043" s="61" t="str">
        <f aca="false">IF(IsPro,IF($D1043="","",IF(AND(V1043&lt;&gt;"",INDEX(Parties!$E$5:$E$304,V1043)&lt;&gt;"",INDEX(Parties!$E$5:$E$304,V1043)&lt;&gt;HomeState),0,ROUND(L1043*M1043/2,2))),"")</f>
        <v/>
      </c>
      <c r="O1043" s="61" t="str">
        <f aca="false">IF(IsPro,IF($D1043="","",N1043),"")</f>
        <v/>
      </c>
      <c r="P1043" s="61" t="str">
        <f aca="false">IF(IsPro,IF($D1043="","",IF(AND(V1043&lt;&gt;"",INDEX(Parties!$E$5:$E$304,V1043)&lt;&gt;"",INDEX(Parties!$E$5:$E$304,V1043)&lt;&gt;HomeState),ROUND(L1043*M1043,2),0)),"")</f>
        <v/>
      </c>
      <c r="Q1043" s="61" t="str">
        <f aca="false">IF(IsPro,IF($D1043="","",L1043+N1043+O1043+P1043),"")</f>
        <v/>
      </c>
      <c r="R1043" s="61" t="str">
        <f aca="false">IF(IsPro,IF($D1043="","",ROUND(N($E1043)*IFERROR(INDEX(Items!$P$5:$P$504,U1043),0),2)),"")</f>
        <v/>
      </c>
      <c r="S1043" s="61" t="str">
        <f aca="false">IF(IsPro,IF($D1043="","",L1043-R1043),"")</f>
        <v/>
      </c>
      <c r="T1043" s="60" t="str">
        <f aca="false">IF(IsPro,IF($D1043="","",IF(U1043="","UNKNOWN ITEM",IF(INDEX(Items!$O$5:$O$504,U1043)&lt;0,"NEG STOCK",IF(K1043&lt;INDEX(Items!$P$5:$P$504,U1043),"BELOW COST","OK")))),IF($D1043="","","PRO PLAN"))</f>
        <v/>
      </c>
      <c r="U1043" s="60" t="str">
        <f aca="false">IF(IsPro,IF($D1043="","",IFERROR(MATCH($D1043,Items!$A$5:$A$504,0),"")),"")</f>
        <v/>
      </c>
      <c r="V1043" s="60" t="str">
        <f aca="false">IF(IsPro,IF($C1043="","",IFERROR(MATCH($C1043,Parties!$A$5:$A$304,0),"")),"")</f>
        <v/>
      </c>
      <c r="W1043" s="60" t="str">
        <f aca="false">IF(IsPro,IF($B1043="","",IFERROR(VALUE(SUBSTITUTE($B1043,InvPrefix,"")),0)),"")</f>
        <v/>
      </c>
      <c r="X1043" s="61" t="str">
        <f aca="false">IF(IsPro,IF($D1043="","",IF(OR($H1043="",$H1043="Credit"),0,Q1043)),"")</f>
        <v/>
      </c>
    </row>
    <row r="1044" customFormat="false" ht="15" hidden="false" customHeight="false" outlineLevel="0" collapsed="false">
      <c r="A1044" s="55"/>
      <c r="B1044" s="56"/>
      <c r="C1044" s="56"/>
      <c r="D1044" s="56"/>
      <c r="E1044" s="57"/>
      <c r="F1044" s="58"/>
      <c r="G1044" s="59"/>
      <c r="H1044" s="56"/>
      <c r="I1044" s="56"/>
      <c r="J1044" s="60" t="str">
        <f aca="false">IF(IsPro,IF($D1044="","",IFERROR(INDEX(Items!$D$5:$D$504,U1044),"")),"")</f>
        <v/>
      </c>
      <c r="K1044" s="61" t="str">
        <f aca="false">IF(IsPro,IF($D1044="","",IF($F1044="",IFERROR(INDEX(Items!$H$5:$H$504,U1044),0),$F1044)),"")</f>
        <v/>
      </c>
      <c r="L1044" s="61" t="str">
        <f aca="false">IF(IsPro,IF($D1044="","",ROUND(N($E1044)*K1044*(1-N($G1044)),2)),"")</f>
        <v/>
      </c>
      <c r="M1044" s="62" t="str">
        <f aca="false">IF(IsPro,IF($D1044="","",IFERROR(INDEX(Items!$F$5:$F$504,U1044),0)),"")</f>
        <v/>
      </c>
      <c r="N1044" s="61" t="str">
        <f aca="false">IF(IsPro,IF($D1044="","",IF(AND(V1044&lt;&gt;"",INDEX(Parties!$E$5:$E$304,V1044)&lt;&gt;"",INDEX(Parties!$E$5:$E$304,V1044)&lt;&gt;HomeState),0,ROUND(L1044*M1044/2,2))),"")</f>
        <v/>
      </c>
      <c r="O1044" s="61" t="str">
        <f aca="false">IF(IsPro,IF($D1044="","",N1044),"")</f>
        <v/>
      </c>
      <c r="P1044" s="61" t="str">
        <f aca="false">IF(IsPro,IF($D1044="","",IF(AND(V1044&lt;&gt;"",INDEX(Parties!$E$5:$E$304,V1044)&lt;&gt;"",INDEX(Parties!$E$5:$E$304,V1044)&lt;&gt;HomeState),ROUND(L1044*M1044,2),0)),"")</f>
        <v/>
      </c>
      <c r="Q1044" s="61" t="str">
        <f aca="false">IF(IsPro,IF($D1044="","",L1044+N1044+O1044+P1044),"")</f>
        <v/>
      </c>
      <c r="R1044" s="61" t="str">
        <f aca="false">IF(IsPro,IF($D1044="","",ROUND(N($E1044)*IFERROR(INDEX(Items!$P$5:$P$504,U1044),0),2)),"")</f>
        <v/>
      </c>
      <c r="S1044" s="61" t="str">
        <f aca="false">IF(IsPro,IF($D1044="","",L1044-R1044),"")</f>
        <v/>
      </c>
      <c r="T1044" s="60" t="str">
        <f aca="false">IF(IsPro,IF($D1044="","",IF(U1044="","UNKNOWN ITEM",IF(INDEX(Items!$O$5:$O$504,U1044)&lt;0,"NEG STOCK",IF(K1044&lt;INDEX(Items!$P$5:$P$504,U1044),"BELOW COST","OK")))),IF($D1044="","","PRO PLAN"))</f>
        <v/>
      </c>
      <c r="U1044" s="60" t="str">
        <f aca="false">IF(IsPro,IF($D1044="","",IFERROR(MATCH($D1044,Items!$A$5:$A$504,0),"")),"")</f>
        <v/>
      </c>
      <c r="V1044" s="60" t="str">
        <f aca="false">IF(IsPro,IF($C1044="","",IFERROR(MATCH($C1044,Parties!$A$5:$A$304,0),"")),"")</f>
        <v/>
      </c>
      <c r="W1044" s="60" t="str">
        <f aca="false">IF(IsPro,IF($B1044="","",IFERROR(VALUE(SUBSTITUTE($B1044,InvPrefix,"")),0)),"")</f>
        <v/>
      </c>
      <c r="X1044" s="61" t="str">
        <f aca="false">IF(IsPro,IF($D1044="","",IF(OR($H1044="",$H1044="Credit"),0,Q1044)),"")</f>
        <v/>
      </c>
    </row>
    <row r="1045" customFormat="false" ht="15" hidden="false" customHeight="false" outlineLevel="0" collapsed="false">
      <c r="A1045" s="55"/>
      <c r="B1045" s="56"/>
      <c r="C1045" s="56"/>
      <c r="D1045" s="56"/>
      <c r="E1045" s="57"/>
      <c r="F1045" s="58"/>
      <c r="G1045" s="59"/>
      <c r="H1045" s="56"/>
      <c r="I1045" s="56"/>
      <c r="J1045" s="60" t="str">
        <f aca="false">IF(IsPro,IF($D1045="","",IFERROR(INDEX(Items!$D$5:$D$504,U1045),"")),"")</f>
        <v/>
      </c>
      <c r="K1045" s="61" t="str">
        <f aca="false">IF(IsPro,IF($D1045="","",IF($F1045="",IFERROR(INDEX(Items!$H$5:$H$504,U1045),0),$F1045)),"")</f>
        <v/>
      </c>
      <c r="L1045" s="61" t="str">
        <f aca="false">IF(IsPro,IF($D1045="","",ROUND(N($E1045)*K1045*(1-N($G1045)),2)),"")</f>
        <v/>
      </c>
      <c r="M1045" s="62" t="str">
        <f aca="false">IF(IsPro,IF($D1045="","",IFERROR(INDEX(Items!$F$5:$F$504,U1045),0)),"")</f>
        <v/>
      </c>
      <c r="N1045" s="61" t="str">
        <f aca="false">IF(IsPro,IF($D1045="","",IF(AND(V1045&lt;&gt;"",INDEX(Parties!$E$5:$E$304,V1045)&lt;&gt;"",INDEX(Parties!$E$5:$E$304,V1045)&lt;&gt;HomeState),0,ROUND(L1045*M1045/2,2))),"")</f>
        <v/>
      </c>
      <c r="O1045" s="61" t="str">
        <f aca="false">IF(IsPro,IF($D1045="","",N1045),"")</f>
        <v/>
      </c>
      <c r="P1045" s="61" t="str">
        <f aca="false">IF(IsPro,IF($D1045="","",IF(AND(V1045&lt;&gt;"",INDEX(Parties!$E$5:$E$304,V1045)&lt;&gt;"",INDEX(Parties!$E$5:$E$304,V1045)&lt;&gt;HomeState),ROUND(L1045*M1045,2),0)),"")</f>
        <v/>
      </c>
      <c r="Q1045" s="61" t="str">
        <f aca="false">IF(IsPro,IF($D1045="","",L1045+N1045+O1045+P1045),"")</f>
        <v/>
      </c>
      <c r="R1045" s="61" t="str">
        <f aca="false">IF(IsPro,IF($D1045="","",ROUND(N($E1045)*IFERROR(INDEX(Items!$P$5:$P$504,U1045),0),2)),"")</f>
        <v/>
      </c>
      <c r="S1045" s="61" t="str">
        <f aca="false">IF(IsPro,IF($D1045="","",L1045-R1045),"")</f>
        <v/>
      </c>
      <c r="T1045" s="60" t="str">
        <f aca="false">IF(IsPro,IF($D1045="","",IF(U1045="","UNKNOWN ITEM",IF(INDEX(Items!$O$5:$O$504,U1045)&lt;0,"NEG STOCK",IF(K1045&lt;INDEX(Items!$P$5:$P$504,U1045),"BELOW COST","OK")))),IF($D1045="","","PRO PLAN"))</f>
        <v/>
      </c>
      <c r="U1045" s="60" t="str">
        <f aca="false">IF(IsPro,IF($D1045="","",IFERROR(MATCH($D1045,Items!$A$5:$A$504,0),"")),"")</f>
        <v/>
      </c>
      <c r="V1045" s="60" t="str">
        <f aca="false">IF(IsPro,IF($C1045="","",IFERROR(MATCH($C1045,Parties!$A$5:$A$304,0),"")),"")</f>
        <v/>
      </c>
      <c r="W1045" s="60" t="str">
        <f aca="false">IF(IsPro,IF($B1045="","",IFERROR(VALUE(SUBSTITUTE($B1045,InvPrefix,"")),0)),"")</f>
        <v/>
      </c>
      <c r="X1045" s="61" t="str">
        <f aca="false">IF(IsPro,IF($D1045="","",IF(OR($H1045="",$H1045="Credit"),0,Q1045)),"")</f>
        <v/>
      </c>
    </row>
    <row r="1046" customFormat="false" ht="15" hidden="false" customHeight="false" outlineLevel="0" collapsed="false">
      <c r="A1046" s="55"/>
      <c r="B1046" s="56"/>
      <c r="C1046" s="56"/>
      <c r="D1046" s="56"/>
      <c r="E1046" s="57"/>
      <c r="F1046" s="58"/>
      <c r="G1046" s="59"/>
      <c r="H1046" s="56"/>
      <c r="I1046" s="56"/>
      <c r="J1046" s="60" t="str">
        <f aca="false">IF(IsPro,IF($D1046="","",IFERROR(INDEX(Items!$D$5:$D$504,U1046),"")),"")</f>
        <v/>
      </c>
      <c r="K1046" s="61" t="str">
        <f aca="false">IF(IsPro,IF($D1046="","",IF($F1046="",IFERROR(INDEX(Items!$H$5:$H$504,U1046),0),$F1046)),"")</f>
        <v/>
      </c>
      <c r="L1046" s="61" t="str">
        <f aca="false">IF(IsPro,IF($D1046="","",ROUND(N($E1046)*K1046*(1-N($G1046)),2)),"")</f>
        <v/>
      </c>
      <c r="M1046" s="62" t="str">
        <f aca="false">IF(IsPro,IF($D1046="","",IFERROR(INDEX(Items!$F$5:$F$504,U1046),0)),"")</f>
        <v/>
      </c>
      <c r="N1046" s="61" t="str">
        <f aca="false">IF(IsPro,IF($D1046="","",IF(AND(V1046&lt;&gt;"",INDEX(Parties!$E$5:$E$304,V1046)&lt;&gt;"",INDEX(Parties!$E$5:$E$304,V1046)&lt;&gt;HomeState),0,ROUND(L1046*M1046/2,2))),"")</f>
        <v/>
      </c>
      <c r="O1046" s="61" t="str">
        <f aca="false">IF(IsPro,IF($D1046="","",N1046),"")</f>
        <v/>
      </c>
      <c r="P1046" s="61" t="str">
        <f aca="false">IF(IsPro,IF($D1046="","",IF(AND(V1046&lt;&gt;"",INDEX(Parties!$E$5:$E$304,V1046)&lt;&gt;"",INDEX(Parties!$E$5:$E$304,V1046)&lt;&gt;HomeState),ROUND(L1046*M1046,2),0)),"")</f>
        <v/>
      </c>
      <c r="Q1046" s="61" t="str">
        <f aca="false">IF(IsPro,IF($D1046="","",L1046+N1046+O1046+P1046),"")</f>
        <v/>
      </c>
      <c r="R1046" s="61" t="str">
        <f aca="false">IF(IsPro,IF($D1046="","",ROUND(N($E1046)*IFERROR(INDEX(Items!$P$5:$P$504,U1046),0),2)),"")</f>
        <v/>
      </c>
      <c r="S1046" s="61" t="str">
        <f aca="false">IF(IsPro,IF($D1046="","",L1046-R1046),"")</f>
        <v/>
      </c>
      <c r="T1046" s="60" t="str">
        <f aca="false">IF(IsPro,IF($D1046="","",IF(U1046="","UNKNOWN ITEM",IF(INDEX(Items!$O$5:$O$504,U1046)&lt;0,"NEG STOCK",IF(K1046&lt;INDEX(Items!$P$5:$P$504,U1046),"BELOW COST","OK")))),IF($D1046="","","PRO PLAN"))</f>
        <v/>
      </c>
      <c r="U1046" s="60" t="str">
        <f aca="false">IF(IsPro,IF($D1046="","",IFERROR(MATCH($D1046,Items!$A$5:$A$504,0),"")),"")</f>
        <v/>
      </c>
      <c r="V1046" s="60" t="str">
        <f aca="false">IF(IsPro,IF($C1046="","",IFERROR(MATCH($C1046,Parties!$A$5:$A$304,0),"")),"")</f>
        <v/>
      </c>
      <c r="W1046" s="60" t="str">
        <f aca="false">IF(IsPro,IF($B1046="","",IFERROR(VALUE(SUBSTITUTE($B1046,InvPrefix,"")),0)),"")</f>
        <v/>
      </c>
      <c r="X1046" s="61" t="str">
        <f aca="false">IF(IsPro,IF($D1046="","",IF(OR($H1046="",$H1046="Credit"),0,Q1046)),"")</f>
        <v/>
      </c>
    </row>
    <row r="1047" customFormat="false" ht="15" hidden="false" customHeight="false" outlineLevel="0" collapsed="false">
      <c r="A1047" s="55"/>
      <c r="B1047" s="56"/>
      <c r="C1047" s="56"/>
      <c r="D1047" s="56"/>
      <c r="E1047" s="57"/>
      <c r="F1047" s="58"/>
      <c r="G1047" s="59"/>
      <c r="H1047" s="56"/>
      <c r="I1047" s="56"/>
      <c r="J1047" s="60" t="str">
        <f aca="false">IF(IsPro,IF($D1047="","",IFERROR(INDEX(Items!$D$5:$D$504,U1047),"")),"")</f>
        <v/>
      </c>
      <c r="K1047" s="61" t="str">
        <f aca="false">IF(IsPro,IF($D1047="","",IF($F1047="",IFERROR(INDEX(Items!$H$5:$H$504,U1047),0),$F1047)),"")</f>
        <v/>
      </c>
      <c r="L1047" s="61" t="str">
        <f aca="false">IF(IsPro,IF($D1047="","",ROUND(N($E1047)*K1047*(1-N($G1047)),2)),"")</f>
        <v/>
      </c>
      <c r="M1047" s="62" t="str">
        <f aca="false">IF(IsPro,IF($D1047="","",IFERROR(INDEX(Items!$F$5:$F$504,U1047),0)),"")</f>
        <v/>
      </c>
      <c r="N1047" s="61" t="str">
        <f aca="false">IF(IsPro,IF($D1047="","",IF(AND(V1047&lt;&gt;"",INDEX(Parties!$E$5:$E$304,V1047)&lt;&gt;"",INDEX(Parties!$E$5:$E$304,V1047)&lt;&gt;HomeState),0,ROUND(L1047*M1047/2,2))),"")</f>
        <v/>
      </c>
      <c r="O1047" s="61" t="str">
        <f aca="false">IF(IsPro,IF($D1047="","",N1047),"")</f>
        <v/>
      </c>
      <c r="P1047" s="61" t="str">
        <f aca="false">IF(IsPro,IF($D1047="","",IF(AND(V1047&lt;&gt;"",INDEX(Parties!$E$5:$E$304,V1047)&lt;&gt;"",INDEX(Parties!$E$5:$E$304,V1047)&lt;&gt;HomeState),ROUND(L1047*M1047,2),0)),"")</f>
        <v/>
      </c>
      <c r="Q1047" s="61" t="str">
        <f aca="false">IF(IsPro,IF($D1047="","",L1047+N1047+O1047+P1047),"")</f>
        <v/>
      </c>
      <c r="R1047" s="61" t="str">
        <f aca="false">IF(IsPro,IF($D1047="","",ROUND(N($E1047)*IFERROR(INDEX(Items!$P$5:$P$504,U1047),0),2)),"")</f>
        <v/>
      </c>
      <c r="S1047" s="61" t="str">
        <f aca="false">IF(IsPro,IF($D1047="","",L1047-R1047),"")</f>
        <v/>
      </c>
      <c r="T1047" s="60" t="str">
        <f aca="false">IF(IsPro,IF($D1047="","",IF(U1047="","UNKNOWN ITEM",IF(INDEX(Items!$O$5:$O$504,U1047)&lt;0,"NEG STOCK",IF(K1047&lt;INDEX(Items!$P$5:$P$504,U1047),"BELOW COST","OK")))),IF($D1047="","","PRO PLAN"))</f>
        <v/>
      </c>
      <c r="U1047" s="60" t="str">
        <f aca="false">IF(IsPro,IF($D1047="","",IFERROR(MATCH($D1047,Items!$A$5:$A$504,0),"")),"")</f>
        <v/>
      </c>
      <c r="V1047" s="60" t="str">
        <f aca="false">IF(IsPro,IF($C1047="","",IFERROR(MATCH($C1047,Parties!$A$5:$A$304,0),"")),"")</f>
        <v/>
      </c>
      <c r="W1047" s="60" t="str">
        <f aca="false">IF(IsPro,IF($B1047="","",IFERROR(VALUE(SUBSTITUTE($B1047,InvPrefix,"")),0)),"")</f>
        <v/>
      </c>
      <c r="X1047" s="61" t="str">
        <f aca="false">IF(IsPro,IF($D1047="","",IF(OR($H1047="",$H1047="Credit"),0,Q1047)),"")</f>
        <v/>
      </c>
    </row>
    <row r="1048" customFormat="false" ht="15" hidden="false" customHeight="false" outlineLevel="0" collapsed="false">
      <c r="A1048" s="55"/>
      <c r="B1048" s="56"/>
      <c r="C1048" s="56"/>
      <c r="D1048" s="56"/>
      <c r="E1048" s="57"/>
      <c r="F1048" s="58"/>
      <c r="G1048" s="59"/>
      <c r="H1048" s="56"/>
      <c r="I1048" s="56"/>
      <c r="J1048" s="60" t="str">
        <f aca="false">IF(IsPro,IF($D1048="","",IFERROR(INDEX(Items!$D$5:$D$504,U1048),"")),"")</f>
        <v/>
      </c>
      <c r="K1048" s="61" t="str">
        <f aca="false">IF(IsPro,IF($D1048="","",IF($F1048="",IFERROR(INDEX(Items!$H$5:$H$504,U1048),0),$F1048)),"")</f>
        <v/>
      </c>
      <c r="L1048" s="61" t="str">
        <f aca="false">IF(IsPro,IF($D1048="","",ROUND(N($E1048)*K1048*(1-N($G1048)),2)),"")</f>
        <v/>
      </c>
      <c r="M1048" s="62" t="str">
        <f aca="false">IF(IsPro,IF($D1048="","",IFERROR(INDEX(Items!$F$5:$F$504,U1048),0)),"")</f>
        <v/>
      </c>
      <c r="N1048" s="61" t="str">
        <f aca="false">IF(IsPro,IF($D1048="","",IF(AND(V1048&lt;&gt;"",INDEX(Parties!$E$5:$E$304,V1048)&lt;&gt;"",INDEX(Parties!$E$5:$E$304,V1048)&lt;&gt;HomeState),0,ROUND(L1048*M1048/2,2))),"")</f>
        <v/>
      </c>
      <c r="O1048" s="61" t="str">
        <f aca="false">IF(IsPro,IF($D1048="","",N1048),"")</f>
        <v/>
      </c>
      <c r="P1048" s="61" t="str">
        <f aca="false">IF(IsPro,IF($D1048="","",IF(AND(V1048&lt;&gt;"",INDEX(Parties!$E$5:$E$304,V1048)&lt;&gt;"",INDEX(Parties!$E$5:$E$304,V1048)&lt;&gt;HomeState),ROUND(L1048*M1048,2),0)),"")</f>
        <v/>
      </c>
      <c r="Q1048" s="61" t="str">
        <f aca="false">IF(IsPro,IF($D1048="","",L1048+N1048+O1048+P1048),"")</f>
        <v/>
      </c>
      <c r="R1048" s="61" t="str">
        <f aca="false">IF(IsPro,IF($D1048="","",ROUND(N($E1048)*IFERROR(INDEX(Items!$P$5:$P$504,U1048),0),2)),"")</f>
        <v/>
      </c>
      <c r="S1048" s="61" t="str">
        <f aca="false">IF(IsPro,IF($D1048="","",L1048-R1048),"")</f>
        <v/>
      </c>
      <c r="T1048" s="60" t="str">
        <f aca="false">IF(IsPro,IF($D1048="","",IF(U1048="","UNKNOWN ITEM",IF(INDEX(Items!$O$5:$O$504,U1048)&lt;0,"NEG STOCK",IF(K1048&lt;INDEX(Items!$P$5:$P$504,U1048),"BELOW COST","OK")))),IF($D1048="","","PRO PLAN"))</f>
        <v/>
      </c>
      <c r="U1048" s="60" t="str">
        <f aca="false">IF(IsPro,IF($D1048="","",IFERROR(MATCH($D1048,Items!$A$5:$A$504,0),"")),"")</f>
        <v/>
      </c>
      <c r="V1048" s="60" t="str">
        <f aca="false">IF(IsPro,IF($C1048="","",IFERROR(MATCH($C1048,Parties!$A$5:$A$304,0),"")),"")</f>
        <v/>
      </c>
      <c r="W1048" s="60" t="str">
        <f aca="false">IF(IsPro,IF($B1048="","",IFERROR(VALUE(SUBSTITUTE($B1048,InvPrefix,"")),0)),"")</f>
        <v/>
      </c>
      <c r="X1048" s="61" t="str">
        <f aca="false">IF(IsPro,IF($D1048="","",IF(OR($H1048="",$H1048="Credit"),0,Q1048)),"")</f>
        <v/>
      </c>
    </row>
    <row r="1049" customFormat="false" ht="15" hidden="false" customHeight="false" outlineLevel="0" collapsed="false">
      <c r="A1049" s="55"/>
      <c r="B1049" s="56"/>
      <c r="C1049" s="56"/>
      <c r="D1049" s="56"/>
      <c r="E1049" s="57"/>
      <c r="F1049" s="58"/>
      <c r="G1049" s="59"/>
      <c r="H1049" s="56"/>
      <c r="I1049" s="56"/>
      <c r="J1049" s="60" t="str">
        <f aca="false">IF(IsPro,IF($D1049="","",IFERROR(INDEX(Items!$D$5:$D$504,U1049),"")),"")</f>
        <v/>
      </c>
      <c r="K1049" s="61" t="str">
        <f aca="false">IF(IsPro,IF($D1049="","",IF($F1049="",IFERROR(INDEX(Items!$H$5:$H$504,U1049),0),$F1049)),"")</f>
        <v/>
      </c>
      <c r="L1049" s="61" t="str">
        <f aca="false">IF(IsPro,IF($D1049="","",ROUND(N($E1049)*K1049*(1-N($G1049)),2)),"")</f>
        <v/>
      </c>
      <c r="M1049" s="62" t="str">
        <f aca="false">IF(IsPro,IF($D1049="","",IFERROR(INDEX(Items!$F$5:$F$504,U1049),0)),"")</f>
        <v/>
      </c>
      <c r="N1049" s="61" t="str">
        <f aca="false">IF(IsPro,IF($D1049="","",IF(AND(V1049&lt;&gt;"",INDEX(Parties!$E$5:$E$304,V1049)&lt;&gt;"",INDEX(Parties!$E$5:$E$304,V1049)&lt;&gt;HomeState),0,ROUND(L1049*M1049/2,2))),"")</f>
        <v/>
      </c>
      <c r="O1049" s="61" t="str">
        <f aca="false">IF(IsPro,IF($D1049="","",N1049),"")</f>
        <v/>
      </c>
      <c r="P1049" s="61" t="str">
        <f aca="false">IF(IsPro,IF($D1049="","",IF(AND(V1049&lt;&gt;"",INDEX(Parties!$E$5:$E$304,V1049)&lt;&gt;"",INDEX(Parties!$E$5:$E$304,V1049)&lt;&gt;HomeState),ROUND(L1049*M1049,2),0)),"")</f>
        <v/>
      </c>
      <c r="Q1049" s="61" t="str">
        <f aca="false">IF(IsPro,IF($D1049="","",L1049+N1049+O1049+P1049),"")</f>
        <v/>
      </c>
      <c r="R1049" s="61" t="str">
        <f aca="false">IF(IsPro,IF($D1049="","",ROUND(N($E1049)*IFERROR(INDEX(Items!$P$5:$P$504,U1049),0),2)),"")</f>
        <v/>
      </c>
      <c r="S1049" s="61" t="str">
        <f aca="false">IF(IsPro,IF($D1049="","",L1049-R1049),"")</f>
        <v/>
      </c>
      <c r="T1049" s="60" t="str">
        <f aca="false">IF(IsPro,IF($D1049="","",IF(U1049="","UNKNOWN ITEM",IF(INDEX(Items!$O$5:$O$504,U1049)&lt;0,"NEG STOCK",IF(K1049&lt;INDEX(Items!$P$5:$P$504,U1049),"BELOW COST","OK")))),IF($D1049="","","PRO PLAN"))</f>
        <v/>
      </c>
      <c r="U1049" s="60" t="str">
        <f aca="false">IF(IsPro,IF($D1049="","",IFERROR(MATCH($D1049,Items!$A$5:$A$504,0),"")),"")</f>
        <v/>
      </c>
      <c r="V1049" s="60" t="str">
        <f aca="false">IF(IsPro,IF($C1049="","",IFERROR(MATCH($C1049,Parties!$A$5:$A$304,0),"")),"")</f>
        <v/>
      </c>
      <c r="W1049" s="60" t="str">
        <f aca="false">IF(IsPro,IF($B1049="","",IFERROR(VALUE(SUBSTITUTE($B1049,InvPrefix,"")),0)),"")</f>
        <v/>
      </c>
      <c r="X1049" s="61" t="str">
        <f aca="false">IF(IsPro,IF($D1049="","",IF(OR($H1049="",$H1049="Credit"),0,Q1049)),"")</f>
        <v/>
      </c>
    </row>
    <row r="1050" customFormat="false" ht="15" hidden="false" customHeight="false" outlineLevel="0" collapsed="false">
      <c r="A1050" s="55"/>
      <c r="B1050" s="56"/>
      <c r="C1050" s="56"/>
      <c r="D1050" s="56"/>
      <c r="E1050" s="57"/>
      <c r="F1050" s="58"/>
      <c r="G1050" s="59"/>
      <c r="H1050" s="56"/>
      <c r="I1050" s="56"/>
      <c r="J1050" s="60" t="str">
        <f aca="false">IF(IsPro,IF($D1050="","",IFERROR(INDEX(Items!$D$5:$D$504,U1050),"")),"")</f>
        <v/>
      </c>
      <c r="K1050" s="61" t="str">
        <f aca="false">IF(IsPro,IF($D1050="","",IF($F1050="",IFERROR(INDEX(Items!$H$5:$H$504,U1050),0),$F1050)),"")</f>
        <v/>
      </c>
      <c r="L1050" s="61" t="str">
        <f aca="false">IF(IsPro,IF($D1050="","",ROUND(N($E1050)*K1050*(1-N($G1050)),2)),"")</f>
        <v/>
      </c>
      <c r="M1050" s="62" t="str">
        <f aca="false">IF(IsPro,IF($D1050="","",IFERROR(INDEX(Items!$F$5:$F$504,U1050),0)),"")</f>
        <v/>
      </c>
      <c r="N1050" s="61" t="str">
        <f aca="false">IF(IsPro,IF($D1050="","",IF(AND(V1050&lt;&gt;"",INDEX(Parties!$E$5:$E$304,V1050)&lt;&gt;"",INDEX(Parties!$E$5:$E$304,V1050)&lt;&gt;HomeState),0,ROUND(L1050*M1050/2,2))),"")</f>
        <v/>
      </c>
      <c r="O1050" s="61" t="str">
        <f aca="false">IF(IsPro,IF($D1050="","",N1050),"")</f>
        <v/>
      </c>
      <c r="P1050" s="61" t="str">
        <f aca="false">IF(IsPro,IF($D1050="","",IF(AND(V1050&lt;&gt;"",INDEX(Parties!$E$5:$E$304,V1050)&lt;&gt;"",INDEX(Parties!$E$5:$E$304,V1050)&lt;&gt;HomeState),ROUND(L1050*M1050,2),0)),"")</f>
        <v/>
      </c>
      <c r="Q1050" s="61" t="str">
        <f aca="false">IF(IsPro,IF($D1050="","",L1050+N1050+O1050+P1050),"")</f>
        <v/>
      </c>
      <c r="R1050" s="61" t="str">
        <f aca="false">IF(IsPro,IF($D1050="","",ROUND(N($E1050)*IFERROR(INDEX(Items!$P$5:$P$504,U1050),0),2)),"")</f>
        <v/>
      </c>
      <c r="S1050" s="61" t="str">
        <f aca="false">IF(IsPro,IF($D1050="","",L1050-R1050),"")</f>
        <v/>
      </c>
      <c r="T1050" s="60" t="str">
        <f aca="false">IF(IsPro,IF($D1050="","",IF(U1050="","UNKNOWN ITEM",IF(INDEX(Items!$O$5:$O$504,U1050)&lt;0,"NEG STOCK",IF(K1050&lt;INDEX(Items!$P$5:$P$504,U1050),"BELOW COST","OK")))),IF($D1050="","","PRO PLAN"))</f>
        <v/>
      </c>
      <c r="U1050" s="60" t="str">
        <f aca="false">IF(IsPro,IF($D1050="","",IFERROR(MATCH($D1050,Items!$A$5:$A$504,0),"")),"")</f>
        <v/>
      </c>
      <c r="V1050" s="60" t="str">
        <f aca="false">IF(IsPro,IF($C1050="","",IFERROR(MATCH($C1050,Parties!$A$5:$A$304,0),"")),"")</f>
        <v/>
      </c>
      <c r="W1050" s="60" t="str">
        <f aca="false">IF(IsPro,IF($B1050="","",IFERROR(VALUE(SUBSTITUTE($B1050,InvPrefix,"")),0)),"")</f>
        <v/>
      </c>
      <c r="X1050" s="61" t="str">
        <f aca="false">IF(IsPro,IF($D1050="","",IF(OR($H1050="",$H1050="Credit"),0,Q1050)),"")</f>
        <v/>
      </c>
    </row>
    <row r="1051" customFormat="false" ht="15" hidden="false" customHeight="false" outlineLevel="0" collapsed="false">
      <c r="A1051" s="55"/>
      <c r="B1051" s="56"/>
      <c r="C1051" s="56"/>
      <c r="D1051" s="56"/>
      <c r="E1051" s="57"/>
      <c r="F1051" s="58"/>
      <c r="G1051" s="59"/>
      <c r="H1051" s="56"/>
      <c r="I1051" s="56"/>
      <c r="J1051" s="60" t="str">
        <f aca="false">IF(IsPro,IF($D1051="","",IFERROR(INDEX(Items!$D$5:$D$504,U1051),"")),"")</f>
        <v/>
      </c>
      <c r="K1051" s="61" t="str">
        <f aca="false">IF(IsPro,IF($D1051="","",IF($F1051="",IFERROR(INDEX(Items!$H$5:$H$504,U1051),0),$F1051)),"")</f>
        <v/>
      </c>
      <c r="L1051" s="61" t="str">
        <f aca="false">IF(IsPro,IF($D1051="","",ROUND(N($E1051)*K1051*(1-N($G1051)),2)),"")</f>
        <v/>
      </c>
      <c r="M1051" s="62" t="str">
        <f aca="false">IF(IsPro,IF($D1051="","",IFERROR(INDEX(Items!$F$5:$F$504,U1051),0)),"")</f>
        <v/>
      </c>
      <c r="N1051" s="61" t="str">
        <f aca="false">IF(IsPro,IF($D1051="","",IF(AND(V1051&lt;&gt;"",INDEX(Parties!$E$5:$E$304,V1051)&lt;&gt;"",INDEX(Parties!$E$5:$E$304,V1051)&lt;&gt;HomeState),0,ROUND(L1051*M1051/2,2))),"")</f>
        <v/>
      </c>
      <c r="O1051" s="61" t="str">
        <f aca="false">IF(IsPro,IF($D1051="","",N1051),"")</f>
        <v/>
      </c>
      <c r="P1051" s="61" t="str">
        <f aca="false">IF(IsPro,IF($D1051="","",IF(AND(V1051&lt;&gt;"",INDEX(Parties!$E$5:$E$304,V1051)&lt;&gt;"",INDEX(Parties!$E$5:$E$304,V1051)&lt;&gt;HomeState),ROUND(L1051*M1051,2),0)),"")</f>
        <v/>
      </c>
      <c r="Q1051" s="61" t="str">
        <f aca="false">IF(IsPro,IF($D1051="","",L1051+N1051+O1051+P1051),"")</f>
        <v/>
      </c>
      <c r="R1051" s="61" t="str">
        <f aca="false">IF(IsPro,IF($D1051="","",ROUND(N($E1051)*IFERROR(INDEX(Items!$P$5:$P$504,U1051),0),2)),"")</f>
        <v/>
      </c>
      <c r="S1051" s="61" t="str">
        <f aca="false">IF(IsPro,IF($D1051="","",L1051-R1051),"")</f>
        <v/>
      </c>
      <c r="T1051" s="60" t="str">
        <f aca="false">IF(IsPro,IF($D1051="","",IF(U1051="","UNKNOWN ITEM",IF(INDEX(Items!$O$5:$O$504,U1051)&lt;0,"NEG STOCK",IF(K1051&lt;INDEX(Items!$P$5:$P$504,U1051),"BELOW COST","OK")))),IF($D1051="","","PRO PLAN"))</f>
        <v/>
      </c>
      <c r="U1051" s="60" t="str">
        <f aca="false">IF(IsPro,IF($D1051="","",IFERROR(MATCH($D1051,Items!$A$5:$A$504,0),"")),"")</f>
        <v/>
      </c>
      <c r="V1051" s="60" t="str">
        <f aca="false">IF(IsPro,IF($C1051="","",IFERROR(MATCH($C1051,Parties!$A$5:$A$304,0),"")),"")</f>
        <v/>
      </c>
      <c r="W1051" s="60" t="str">
        <f aca="false">IF(IsPro,IF($B1051="","",IFERROR(VALUE(SUBSTITUTE($B1051,InvPrefix,"")),0)),"")</f>
        <v/>
      </c>
      <c r="X1051" s="61" t="str">
        <f aca="false">IF(IsPro,IF($D1051="","",IF(OR($H1051="",$H1051="Credit"),0,Q1051)),"")</f>
        <v/>
      </c>
    </row>
    <row r="1052" customFormat="false" ht="15" hidden="false" customHeight="false" outlineLevel="0" collapsed="false">
      <c r="A1052" s="55"/>
      <c r="B1052" s="56"/>
      <c r="C1052" s="56"/>
      <c r="D1052" s="56"/>
      <c r="E1052" s="57"/>
      <c r="F1052" s="58"/>
      <c r="G1052" s="59"/>
      <c r="H1052" s="56"/>
      <c r="I1052" s="56"/>
      <c r="J1052" s="60" t="str">
        <f aca="false">IF(IsPro,IF($D1052="","",IFERROR(INDEX(Items!$D$5:$D$504,U1052),"")),"")</f>
        <v/>
      </c>
      <c r="K1052" s="61" t="str">
        <f aca="false">IF(IsPro,IF($D1052="","",IF($F1052="",IFERROR(INDEX(Items!$H$5:$H$504,U1052),0),$F1052)),"")</f>
        <v/>
      </c>
      <c r="L1052" s="61" t="str">
        <f aca="false">IF(IsPro,IF($D1052="","",ROUND(N($E1052)*K1052*(1-N($G1052)),2)),"")</f>
        <v/>
      </c>
      <c r="M1052" s="62" t="str">
        <f aca="false">IF(IsPro,IF($D1052="","",IFERROR(INDEX(Items!$F$5:$F$504,U1052),0)),"")</f>
        <v/>
      </c>
      <c r="N1052" s="61" t="str">
        <f aca="false">IF(IsPro,IF($D1052="","",IF(AND(V1052&lt;&gt;"",INDEX(Parties!$E$5:$E$304,V1052)&lt;&gt;"",INDEX(Parties!$E$5:$E$304,V1052)&lt;&gt;HomeState),0,ROUND(L1052*M1052/2,2))),"")</f>
        <v/>
      </c>
      <c r="O1052" s="61" t="str">
        <f aca="false">IF(IsPro,IF($D1052="","",N1052),"")</f>
        <v/>
      </c>
      <c r="P1052" s="61" t="str">
        <f aca="false">IF(IsPro,IF($D1052="","",IF(AND(V1052&lt;&gt;"",INDEX(Parties!$E$5:$E$304,V1052)&lt;&gt;"",INDEX(Parties!$E$5:$E$304,V1052)&lt;&gt;HomeState),ROUND(L1052*M1052,2),0)),"")</f>
        <v/>
      </c>
      <c r="Q1052" s="61" t="str">
        <f aca="false">IF(IsPro,IF($D1052="","",L1052+N1052+O1052+P1052),"")</f>
        <v/>
      </c>
      <c r="R1052" s="61" t="str">
        <f aca="false">IF(IsPro,IF($D1052="","",ROUND(N($E1052)*IFERROR(INDEX(Items!$P$5:$P$504,U1052),0),2)),"")</f>
        <v/>
      </c>
      <c r="S1052" s="61" t="str">
        <f aca="false">IF(IsPro,IF($D1052="","",L1052-R1052),"")</f>
        <v/>
      </c>
      <c r="T1052" s="60" t="str">
        <f aca="false">IF(IsPro,IF($D1052="","",IF(U1052="","UNKNOWN ITEM",IF(INDEX(Items!$O$5:$O$504,U1052)&lt;0,"NEG STOCK",IF(K1052&lt;INDEX(Items!$P$5:$P$504,U1052),"BELOW COST","OK")))),IF($D1052="","","PRO PLAN"))</f>
        <v/>
      </c>
      <c r="U1052" s="60" t="str">
        <f aca="false">IF(IsPro,IF($D1052="","",IFERROR(MATCH($D1052,Items!$A$5:$A$504,0),"")),"")</f>
        <v/>
      </c>
      <c r="V1052" s="60" t="str">
        <f aca="false">IF(IsPro,IF($C1052="","",IFERROR(MATCH($C1052,Parties!$A$5:$A$304,0),"")),"")</f>
        <v/>
      </c>
      <c r="W1052" s="60" t="str">
        <f aca="false">IF(IsPro,IF($B1052="","",IFERROR(VALUE(SUBSTITUTE($B1052,InvPrefix,"")),0)),"")</f>
        <v/>
      </c>
      <c r="X1052" s="61" t="str">
        <f aca="false">IF(IsPro,IF($D1052="","",IF(OR($H1052="",$H1052="Credit"),0,Q1052)),"")</f>
        <v/>
      </c>
    </row>
    <row r="1053" customFormat="false" ht="15" hidden="false" customHeight="false" outlineLevel="0" collapsed="false">
      <c r="A1053" s="55"/>
      <c r="B1053" s="56"/>
      <c r="C1053" s="56"/>
      <c r="D1053" s="56"/>
      <c r="E1053" s="57"/>
      <c r="F1053" s="58"/>
      <c r="G1053" s="59"/>
      <c r="H1053" s="56"/>
      <c r="I1053" s="56"/>
      <c r="J1053" s="60" t="str">
        <f aca="false">IF(IsPro,IF($D1053="","",IFERROR(INDEX(Items!$D$5:$D$504,U1053),"")),"")</f>
        <v/>
      </c>
      <c r="K1053" s="61" t="str">
        <f aca="false">IF(IsPro,IF($D1053="","",IF($F1053="",IFERROR(INDEX(Items!$H$5:$H$504,U1053),0),$F1053)),"")</f>
        <v/>
      </c>
      <c r="L1053" s="61" t="str">
        <f aca="false">IF(IsPro,IF($D1053="","",ROUND(N($E1053)*K1053*(1-N($G1053)),2)),"")</f>
        <v/>
      </c>
      <c r="M1053" s="62" t="str">
        <f aca="false">IF(IsPro,IF($D1053="","",IFERROR(INDEX(Items!$F$5:$F$504,U1053),0)),"")</f>
        <v/>
      </c>
      <c r="N1053" s="61" t="str">
        <f aca="false">IF(IsPro,IF($D1053="","",IF(AND(V1053&lt;&gt;"",INDEX(Parties!$E$5:$E$304,V1053)&lt;&gt;"",INDEX(Parties!$E$5:$E$304,V1053)&lt;&gt;HomeState),0,ROUND(L1053*M1053/2,2))),"")</f>
        <v/>
      </c>
      <c r="O1053" s="61" t="str">
        <f aca="false">IF(IsPro,IF($D1053="","",N1053),"")</f>
        <v/>
      </c>
      <c r="P1053" s="61" t="str">
        <f aca="false">IF(IsPro,IF($D1053="","",IF(AND(V1053&lt;&gt;"",INDEX(Parties!$E$5:$E$304,V1053)&lt;&gt;"",INDEX(Parties!$E$5:$E$304,V1053)&lt;&gt;HomeState),ROUND(L1053*M1053,2),0)),"")</f>
        <v/>
      </c>
      <c r="Q1053" s="61" t="str">
        <f aca="false">IF(IsPro,IF($D1053="","",L1053+N1053+O1053+P1053),"")</f>
        <v/>
      </c>
      <c r="R1053" s="61" t="str">
        <f aca="false">IF(IsPro,IF($D1053="","",ROUND(N($E1053)*IFERROR(INDEX(Items!$P$5:$P$504,U1053),0),2)),"")</f>
        <v/>
      </c>
      <c r="S1053" s="61" t="str">
        <f aca="false">IF(IsPro,IF($D1053="","",L1053-R1053),"")</f>
        <v/>
      </c>
      <c r="T1053" s="60" t="str">
        <f aca="false">IF(IsPro,IF($D1053="","",IF(U1053="","UNKNOWN ITEM",IF(INDEX(Items!$O$5:$O$504,U1053)&lt;0,"NEG STOCK",IF(K1053&lt;INDEX(Items!$P$5:$P$504,U1053),"BELOW COST","OK")))),IF($D1053="","","PRO PLAN"))</f>
        <v/>
      </c>
      <c r="U1053" s="60" t="str">
        <f aca="false">IF(IsPro,IF($D1053="","",IFERROR(MATCH($D1053,Items!$A$5:$A$504,0),"")),"")</f>
        <v/>
      </c>
      <c r="V1053" s="60" t="str">
        <f aca="false">IF(IsPro,IF($C1053="","",IFERROR(MATCH($C1053,Parties!$A$5:$A$304,0),"")),"")</f>
        <v/>
      </c>
      <c r="W1053" s="60" t="str">
        <f aca="false">IF(IsPro,IF($B1053="","",IFERROR(VALUE(SUBSTITUTE($B1053,InvPrefix,"")),0)),"")</f>
        <v/>
      </c>
      <c r="X1053" s="61" t="str">
        <f aca="false">IF(IsPro,IF($D1053="","",IF(OR($H1053="",$H1053="Credit"),0,Q1053)),"")</f>
        <v/>
      </c>
    </row>
    <row r="1054" customFormat="false" ht="15" hidden="false" customHeight="false" outlineLevel="0" collapsed="false">
      <c r="A1054" s="55"/>
      <c r="B1054" s="56"/>
      <c r="C1054" s="56"/>
      <c r="D1054" s="56"/>
      <c r="E1054" s="57"/>
      <c r="F1054" s="58"/>
      <c r="G1054" s="59"/>
      <c r="H1054" s="56"/>
      <c r="I1054" s="56"/>
      <c r="J1054" s="60" t="str">
        <f aca="false">IF(IsPro,IF($D1054="","",IFERROR(INDEX(Items!$D$5:$D$504,U1054),"")),"")</f>
        <v/>
      </c>
      <c r="K1054" s="61" t="str">
        <f aca="false">IF(IsPro,IF($D1054="","",IF($F1054="",IFERROR(INDEX(Items!$H$5:$H$504,U1054),0),$F1054)),"")</f>
        <v/>
      </c>
      <c r="L1054" s="61" t="str">
        <f aca="false">IF(IsPro,IF($D1054="","",ROUND(N($E1054)*K1054*(1-N($G1054)),2)),"")</f>
        <v/>
      </c>
      <c r="M1054" s="62" t="str">
        <f aca="false">IF(IsPro,IF($D1054="","",IFERROR(INDEX(Items!$F$5:$F$504,U1054),0)),"")</f>
        <v/>
      </c>
      <c r="N1054" s="61" t="str">
        <f aca="false">IF(IsPro,IF($D1054="","",IF(AND(V1054&lt;&gt;"",INDEX(Parties!$E$5:$E$304,V1054)&lt;&gt;"",INDEX(Parties!$E$5:$E$304,V1054)&lt;&gt;HomeState),0,ROUND(L1054*M1054/2,2))),"")</f>
        <v/>
      </c>
      <c r="O1054" s="61" t="str">
        <f aca="false">IF(IsPro,IF($D1054="","",N1054),"")</f>
        <v/>
      </c>
      <c r="P1054" s="61" t="str">
        <f aca="false">IF(IsPro,IF($D1054="","",IF(AND(V1054&lt;&gt;"",INDEX(Parties!$E$5:$E$304,V1054)&lt;&gt;"",INDEX(Parties!$E$5:$E$304,V1054)&lt;&gt;HomeState),ROUND(L1054*M1054,2),0)),"")</f>
        <v/>
      </c>
      <c r="Q1054" s="61" t="str">
        <f aca="false">IF(IsPro,IF($D1054="","",L1054+N1054+O1054+P1054),"")</f>
        <v/>
      </c>
      <c r="R1054" s="61" t="str">
        <f aca="false">IF(IsPro,IF($D1054="","",ROUND(N($E1054)*IFERROR(INDEX(Items!$P$5:$P$504,U1054),0),2)),"")</f>
        <v/>
      </c>
      <c r="S1054" s="61" t="str">
        <f aca="false">IF(IsPro,IF($D1054="","",L1054-R1054),"")</f>
        <v/>
      </c>
      <c r="T1054" s="60" t="str">
        <f aca="false">IF(IsPro,IF($D1054="","",IF(U1054="","UNKNOWN ITEM",IF(INDEX(Items!$O$5:$O$504,U1054)&lt;0,"NEG STOCK",IF(K1054&lt;INDEX(Items!$P$5:$P$504,U1054),"BELOW COST","OK")))),IF($D1054="","","PRO PLAN"))</f>
        <v/>
      </c>
      <c r="U1054" s="60" t="str">
        <f aca="false">IF(IsPro,IF($D1054="","",IFERROR(MATCH($D1054,Items!$A$5:$A$504,0),"")),"")</f>
        <v/>
      </c>
      <c r="V1054" s="60" t="str">
        <f aca="false">IF(IsPro,IF($C1054="","",IFERROR(MATCH($C1054,Parties!$A$5:$A$304,0),"")),"")</f>
        <v/>
      </c>
      <c r="W1054" s="60" t="str">
        <f aca="false">IF(IsPro,IF($B1054="","",IFERROR(VALUE(SUBSTITUTE($B1054,InvPrefix,"")),0)),"")</f>
        <v/>
      </c>
      <c r="X1054" s="61" t="str">
        <f aca="false">IF(IsPro,IF($D1054="","",IF(OR($H1054="",$H1054="Credit"),0,Q1054)),"")</f>
        <v/>
      </c>
    </row>
    <row r="1055" customFormat="false" ht="15" hidden="false" customHeight="false" outlineLevel="0" collapsed="false">
      <c r="A1055" s="55"/>
      <c r="B1055" s="56"/>
      <c r="C1055" s="56"/>
      <c r="D1055" s="56"/>
      <c r="E1055" s="57"/>
      <c r="F1055" s="58"/>
      <c r="G1055" s="59"/>
      <c r="H1055" s="56"/>
      <c r="I1055" s="56"/>
      <c r="J1055" s="60" t="str">
        <f aca="false">IF(IsPro,IF($D1055="","",IFERROR(INDEX(Items!$D$5:$D$504,U1055),"")),"")</f>
        <v/>
      </c>
      <c r="K1055" s="61" t="str">
        <f aca="false">IF(IsPro,IF($D1055="","",IF($F1055="",IFERROR(INDEX(Items!$H$5:$H$504,U1055),0),$F1055)),"")</f>
        <v/>
      </c>
      <c r="L1055" s="61" t="str">
        <f aca="false">IF(IsPro,IF($D1055="","",ROUND(N($E1055)*K1055*(1-N($G1055)),2)),"")</f>
        <v/>
      </c>
      <c r="M1055" s="62" t="str">
        <f aca="false">IF(IsPro,IF($D1055="","",IFERROR(INDEX(Items!$F$5:$F$504,U1055),0)),"")</f>
        <v/>
      </c>
      <c r="N1055" s="61" t="str">
        <f aca="false">IF(IsPro,IF($D1055="","",IF(AND(V1055&lt;&gt;"",INDEX(Parties!$E$5:$E$304,V1055)&lt;&gt;"",INDEX(Parties!$E$5:$E$304,V1055)&lt;&gt;HomeState),0,ROUND(L1055*M1055/2,2))),"")</f>
        <v/>
      </c>
      <c r="O1055" s="61" t="str">
        <f aca="false">IF(IsPro,IF($D1055="","",N1055),"")</f>
        <v/>
      </c>
      <c r="P1055" s="61" t="str">
        <f aca="false">IF(IsPro,IF($D1055="","",IF(AND(V1055&lt;&gt;"",INDEX(Parties!$E$5:$E$304,V1055)&lt;&gt;"",INDEX(Parties!$E$5:$E$304,V1055)&lt;&gt;HomeState),ROUND(L1055*M1055,2),0)),"")</f>
        <v/>
      </c>
      <c r="Q1055" s="61" t="str">
        <f aca="false">IF(IsPro,IF($D1055="","",L1055+N1055+O1055+P1055),"")</f>
        <v/>
      </c>
      <c r="R1055" s="61" t="str">
        <f aca="false">IF(IsPro,IF($D1055="","",ROUND(N($E1055)*IFERROR(INDEX(Items!$P$5:$P$504,U1055),0),2)),"")</f>
        <v/>
      </c>
      <c r="S1055" s="61" t="str">
        <f aca="false">IF(IsPro,IF($D1055="","",L1055-R1055),"")</f>
        <v/>
      </c>
      <c r="T1055" s="60" t="str">
        <f aca="false">IF(IsPro,IF($D1055="","",IF(U1055="","UNKNOWN ITEM",IF(INDEX(Items!$O$5:$O$504,U1055)&lt;0,"NEG STOCK",IF(K1055&lt;INDEX(Items!$P$5:$P$504,U1055),"BELOW COST","OK")))),IF($D1055="","","PRO PLAN"))</f>
        <v/>
      </c>
      <c r="U1055" s="60" t="str">
        <f aca="false">IF(IsPro,IF($D1055="","",IFERROR(MATCH($D1055,Items!$A$5:$A$504,0),"")),"")</f>
        <v/>
      </c>
      <c r="V1055" s="60" t="str">
        <f aca="false">IF(IsPro,IF($C1055="","",IFERROR(MATCH($C1055,Parties!$A$5:$A$304,0),"")),"")</f>
        <v/>
      </c>
      <c r="W1055" s="60" t="str">
        <f aca="false">IF(IsPro,IF($B1055="","",IFERROR(VALUE(SUBSTITUTE($B1055,InvPrefix,"")),0)),"")</f>
        <v/>
      </c>
      <c r="X1055" s="61" t="str">
        <f aca="false">IF(IsPro,IF($D1055="","",IF(OR($H1055="",$H1055="Credit"),0,Q1055)),"")</f>
        <v/>
      </c>
    </row>
    <row r="1056" customFormat="false" ht="15" hidden="false" customHeight="false" outlineLevel="0" collapsed="false">
      <c r="A1056" s="55"/>
      <c r="B1056" s="56"/>
      <c r="C1056" s="56"/>
      <c r="D1056" s="56"/>
      <c r="E1056" s="57"/>
      <c r="F1056" s="58"/>
      <c r="G1056" s="59"/>
      <c r="H1056" s="56"/>
      <c r="I1056" s="56"/>
      <c r="J1056" s="60" t="str">
        <f aca="false">IF(IsPro,IF($D1056="","",IFERROR(INDEX(Items!$D$5:$D$504,U1056),"")),"")</f>
        <v/>
      </c>
      <c r="K1056" s="61" t="str">
        <f aca="false">IF(IsPro,IF($D1056="","",IF($F1056="",IFERROR(INDEX(Items!$H$5:$H$504,U1056),0),$F1056)),"")</f>
        <v/>
      </c>
      <c r="L1056" s="61" t="str">
        <f aca="false">IF(IsPro,IF($D1056="","",ROUND(N($E1056)*K1056*(1-N($G1056)),2)),"")</f>
        <v/>
      </c>
      <c r="M1056" s="62" t="str">
        <f aca="false">IF(IsPro,IF($D1056="","",IFERROR(INDEX(Items!$F$5:$F$504,U1056),0)),"")</f>
        <v/>
      </c>
      <c r="N1056" s="61" t="str">
        <f aca="false">IF(IsPro,IF($D1056="","",IF(AND(V1056&lt;&gt;"",INDEX(Parties!$E$5:$E$304,V1056)&lt;&gt;"",INDEX(Parties!$E$5:$E$304,V1056)&lt;&gt;HomeState),0,ROUND(L1056*M1056/2,2))),"")</f>
        <v/>
      </c>
      <c r="O1056" s="61" t="str">
        <f aca="false">IF(IsPro,IF($D1056="","",N1056),"")</f>
        <v/>
      </c>
      <c r="P1056" s="61" t="str">
        <f aca="false">IF(IsPro,IF($D1056="","",IF(AND(V1056&lt;&gt;"",INDEX(Parties!$E$5:$E$304,V1056)&lt;&gt;"",INDEX(Parties!$E$5:$E$304,V1056)&lt;&gt;HomeState),ROUND(L1056*M1056,2),0)),"")</f>
        <v/>
      </c>
      <c r="Q1056" s="61" t="str">
        <f aca="false">IF(IsPro,IF($D1056="","",L1056+N1056+O1056+P1056),"")</f>
        <v/>
      </c>
      <c r="R1056" s="61" t="str">
        <f aca="false">IF(IsPro,IF($D1056="","",ROUND(N($E1056)*IFERROR(INDEX(Items!$P$5:$P$504,U1056),0),2)),"")</f>
        <v/>
      </c>
      <c r="S1056" s="61" t="str">
        <f aca="false">IF(IsPro,IF($D1056="","",L1056-R1056),"")</f>
        <v/>
      </c>
      <c r="T1056" s="60" t="str">
        <f aca="false">IF(IsPro,IF($D1056="","",IF(U1056="","UNKNOWN ITEM",IF(INDEX(Items!$O$5:$O$504,U1056)&lt;0,"NEG STOCK",IF(K1056&lt;INDEX(Items!$P$5:$P$504,U1056),"BELOW COST","OK")))),IF($D1056="","","PRO PLAN"))</f>
        <v/>
      </c>
      <c r="U1056" s="60" t="str">
        <f aca="false">IF(IsPro,IF($D1056="","",IFERROR(MATCH($D1056,Items!$A$5:$A$504,0),"")),"")</f>
        <v/>
      </c>
      <c r="V1056" s="60" t="str">
        <f aca="false">IF(IsPro,IF($C1056="","",IFERROR(MATCH($C1056,Parties!$A$5:$A$304,0),"")),"")</f>
        <v/>
      </c>
      <c r="W1056" s="60" t="str">
        <f aca="false">IF(IsPro,IF($B1056="","",IFERROR(VALUE(SUBSTITUTE($B1056,InvPrefix,"")),0)),"")</f>
        <v/>
      </c>
      <c r="X1056" s="61" t="str">
        <f aca="false">IF(IsPro,IF($D1056="","",IF(OR($H1056="",$H1056="Credit"),0,Q1056)),"")</f>
        <v/>
      </c>
    </row>
    <row r="1057" customFormat="false" ht="15" hidden="false" customHeight="false" outlineLevel="0" collapsed="false">
      <c r="A1057" s="55"/>
      <c r="B1057" s="56"/>
      <c r="C1057" s="56"/>
      <c r="D1057" s="56"/>
      <c r="E1057" s="57"/>
      <c r="F1057" s="58"/>
      <c r="G1057" s="59"/>
      <c r="H1057" s="56"/>
      <c r="I1057" s="56"/>
      <c r="J1057" s="60" t="str">
        <f aca="false">IF(IsPro,IF($D1057="","",IFERROR(INDEX(Items!$D$5:$D$504,U1057),"")),"")</f>
        <v/>
      </c>
      <c r="K1057" s="61" t="str">
        <f aca="false">IF(IsPro,IF($D1057="","",IF($F1057="",IFERROR(INDEX(Items!$H$5:$H$504,U1057),0),$F1057)),"")</f>
        <v/>
      </c>
      <c r="L1057" s="61" t="str">
        <f aca="false">IF(IsPro,IF($D1057="","",ROUND(N($E1057)*K1057*(1-N($G1057)),2)),"")</f>
        <v/>
      </c>
      <c r="M1057" s="62" t="str">
        <f aca="false">IF(IsPro,IF($D1057="","",IFERROR(INDEX(Items!$F$5:$F$504,U1057),0)),"")</f>
        <v/>
      </c>
      <c r="N1057" s="61" t="str">
        <f aca="false">IF(IsPro,IF($D1057="","",IF(AND(V1057&lt;&gt;"",INDEX(Parties!$E$5:$E$304,V1057)&lt;&gt;"",INDEX(Parties!$E$5:$E$304,V1057)&lt;&gt;HomeState),0,ROUND(L1057*M1057/2,2))),"")</f>
        <v/>
      </c>
      <c r="O1057" s="61" t="str">
        <f aca="false">IF(IsPro,IF($D1057="","",N1057),"")</f>
        <v/>
      </c>
      <c r="P1057" s="61" t="str">
        <f aca="false">IF(IsPro,IF($D1057="","",IF(AND(V1057&lt;&gt;"",INDEX(Parties!$E$5:$E$304,V1057)&lt;&gt;"",INDEX(Parties!$E$5:$E$304,V1057)&lt;&gt;HomeState),ROUND(L1057*M1057,2),0)),"")</f>
        <v/>
      </c>
      <c r="Q1057" s="61" t="str">
        <f aca="false">IF(IsPro,IF($D1057="","",L1057+N1057+O1057+P1057),"")</f>
        <v/>
      </c>
      <c r="R1057" s="61" t="str">
        <f aca="false">IF(IsPro,IF($D1057="","",ROUND(N($E1057)*IFERROR(INDEX(Items!$P$5:$P$504,U1057),0),2)),"")</f>
        <v/>
      </c>
      <c r="S1057" s="61" t="str">
        <f aca="false">IF(IsPro,IF($D1057="","",L1057-R1057),"")</f>
        <v/>
      </c>
      <c r="T1057" s="60" t="str">
        <f aca="false">IF(IsPro,IF($D1057="","",IF(U1057="","UNKNOWN ITEM",IF(INDEX(Items!$O$5:$O$504,U1057)&lt;0,"NEG STOCK",IF(K1057&lt;INDEX(Items!$P$5:$P$504,U1057),"BELOW COST","OK")))),IF($D1057="","","PRO PLAN"))</f>
        <v/>
      </c>
      <c r="U1057" s="60" t="str">
        <f aca="false">IF(IsPro,IF($D1057="","",IFERROR(MATCH($D1057,Items!$A$5:$A$504,0),"")),"")</f>
        <v/>
      </c>
      <c r="V1057" s="60" t="str">
        <f aca="false">IF(IsPro,IF($C1057="","",IFERROR(MATCH($C1057,Parties!$A$5:$A$304,0),"")),"")</f>
        <v/>
      </c>
      <c r="W1057" s="60" t="str">
        <f aca="false">IF(IsPro,IF($B1057="","",IFERROR(VALUE(SUBSTITUTE($B1057,InvPrefix,"")),0)),"")</f>
        <v/>
      </c>
      <c r="X1057" s="61" t="str">
        <f aca="false">IF(IsPro,IF($D1057="","",IF(OR($H1057="",$H1057="Credit"),0,Q1057)),"")</f>
        <v/>
      </c>
    </row>
    <row r="1058" customFormat="false" ht="15" hidden="false" customHeight="false" outlineLevel="0" collapsed="false">
      <c r="A1058" s="55"/>
      <c r="B1058" s="56"/>
      <c r="C1058" s="56"/>
      <c r="D1058" s="56"/>
      <c r="E1058" s="57"/>
      <c r="F1058" s="58"/>
      <c r="G1058" s="59"/>
      <c r="H1058" s="56"/>
      <c r="I1058" s="56"/>
      <c r="J1058" s="60" t="str">
        <f aca="false">IF(IsPro,IF($D1058="","",IFERROR(INDEX(Items!$D$5:$D$504,U1058),"")),"")</f>
        <v/>
      </c>
      <c r="K1058" s="61" t="str">
        <f aca="false">IF(IsPro,IF($D1058="","",IF($F1058="",IFERROR(INDEX(Items!$H$5:$H$504,U1058),0),$F1058)),"")</f>
        <v/>
      </c>
      <c r="L1058" s="61" t="str">
        <f aca="false">IF(IsPro,IF($D1058="","",ROUND(N($E1058)*K1058*(1-N($G1058)),2)),"")</f>
        <v/>
      </c>
      <c r="M1058" s="62" t="str">
        <f aca="false">IF(IsPro,IF($D1058="","",IFERROR(INDEX(Items!$F$5:$F$504,U1058),0)),"")</f>
        <v/>
      </c>
      <c r="N1058" s="61" t="str">
        <f aca="false">IF(IsPro,IF($D1058="","",IF(AND(V1058&lt;&gt;"",INDEX(Parties!$E$5:$E$304,V1058)&lt;&gt;"",INDEX(Parties!$E$5:$E$304,V1058)&lt;&gt;HomeState),0,ROUND(L1058*M1058/2,2))),"")</f>
        <v/>
      </c>
      <c r="O1058" s="61" t="str">
        <f aca="false">IF(IsPro,IF($D1058="","",N1058),"")</f>
        <v/>
      </c>
      <c r="P1058" s="61" t="str">
        <f aca="false">IF(IsPro,IF($D1058="","",IF(AND(V1058&lt;&gt;"",INDEX(Parties!$E$5:$E$304,V1058)&lt;&gt;"",INDEX(Parties!$E$5:$E$304,V1058)&lt;&gt;HomeState),ROUND(L1058*M1058,2),0)),"")</f>
        <v/>
      </c>
      <c r="Q1058" s="61" t="str">
        <f aca="false">IF(IsPro,IF($D1058="","",L1058+N1058+O1058+P1058),"")</f>
        <v/>
      </c>
      <c r="R1058" s="61" t="str">
        <f aca="false">IF(IsPro,IF($D1058="","",ROUND(N($E1058)*IFERROR(INDEX(Items!$P$5:$P$504,U1058),0),2)),"")</f>
        <v/>
      </c>
      <c r="S1058" s="61" t="str">
        <f aca="false">IF(IsPro,IF($D1058="","",L1058-R1058),"")</f>
        <v/>
      </c>
      <c r="T1058" s="60" t="str">
        <f aca="false">IF(IsPro,IF($D1058="","",IF(U1058="","UNKNOWN ITEM",IF(INDEX(Items!$O$5:$O$504,U1058)&lt;0,"NEG STOCK",IF(K1058&lt;INDEX(Items!$P$5:$P$504,U1058),"BELOW COST","OK")))),IF($D1058="","","PRO PLAN"))</f>
        <v/>
      </c>
      <c r="U1058" s="60" t="str">
        <f aca="false">IF(IsPro,IF($D1058="","",IFERROR(MATCH($D1058,Items!$A$5:$A$504,0),"")),"")</f>
        <v/>
      </c>
      <c r="V1058" s="60" t="str">
        <f aca="false">IF(IsPro,IF($C1058="","",IFERROR(MATCH($C1058,Parties!$A$5:$A$304,0),"")),"")</f>
        <v/>
      </c>
      <c r="W1058" s="60" t="str">
        <f aca="false">IF(IsPro,IF($B1058="","",IFERROR(VALUE(SUBSTITUTE($B1058,InvPrefix,"")),0)),"")</f>
        <v/>
      </c>
      <c r="X1058" s="61" t="str">
        <f aca="false">IF(IsPro,IF($D1058="","",IF(OR($H1058="",$H1058="Credit"),0,Q1058)),"")</f>
        <v/>
      </c>
    </row>
    <row r="1059" customFormat="false" ht="15" hidden="false" customHeight="false" outlineLevel="0" collapsed="false">
      <c r="A1059" s="55"/>
      <c r="B1059" s="56"/>
      <c r="C1059" s="56"/>
      <c r="D1059" s="56"/>
      <c r="E1059" s="57"/>
      <c r="F1059" s="58"/>
      <c r="G1059" s="59"/>
      <c r="H1059" s="56"/>
      <c r="I1059" s="56"/>
      <c r="J1059" s="60" t="str">
        <f aca="false">IF(IsPro,IF($D1059="","",IFERROR(INDEX(Items!$D$5:$D$504,U1059),"")),"")</f>
        <v/>
      </c>
      <c r="K1059" s="61" t="str">
        <f aca="false">IF(IsPro,IF($D1059="","",IF($F1059="",IFERROR(INDEX(Items!$H$5:$H$504,U1059),0),$F1059)),"")</f>
        <v/>
      </c>
      <c r="L1059" s="61" t="str">
        <f aca="false">IF(IsPro,IF($D1059="","",ROUND(N($E1059)*K1059*(1-N($G1059)),2)),"")</f>
        <v/>
      </c>
      <c r="M1059" s="62" t="str">
        <f aca="false">IF(IsPro,IF($D1059="","",IFERROR(INDEX(Items!$F$5:$F$504,U1059),0)),"")</f>
        <v/>
      </c>
      <c r="N1059" s="61" t="str">
        <f aca="false">IF(IsPro,IF($D1059="","",IF(AND(V1059&lt;&gt;"",INDEX(Parties!$E$5:$E$304,V1059)&lt;&gt;"",INDEX(Parties!$E$5:$E$304,V1059)&lt;&gt;HomeState),0,ROUND(L1059*M1059/2,2))),"")</f>
        <v/>
      </c>
      <c r="O1059" s="61" t="str">
        <f aca="false">IF(IsPro,IF($D1059="","",N1059),"")</f>
        <v/>
      </c>
      <c r="P1059" s="61" t="str">
        <f aca="false">IF(IsPro,IF($D1059="","",IF(AND(V1059&lt;&gt;"",INDEX(Parties!$E$5:$E$304,V1059)&lt;&gt;"",INDEX(Parties!$E$5:$E$304,V1059)&lt;&gt;HomeState),ROUND(L1059*M1059,2),0)),"")</f>
        <v/>
      </c>
      <c r="Q1059" s="61" t="str">
        <f aca="false">IF(IsPro,IF($D1059="","",L1059+N1059+O1059+P1059),"")</f>
        <v/>
      </c>
      <c r="R1059" s="61" t="str">
        <f aca="false">IF(IsPro,IF($D1059="","",ROUND(N($E1059)*IFERROR(INDEX(Items!$P$5:$P$504,U1059),0),2)),"")</f>
        <v/>
      </c>
      <c r="S1059" s="61" t="str">
        <f aca="false">IF(IsPro,IF($D1059="","",L1059-R1059),"")</f>
        <v/>
      </c>
      <c r="T1059" s="60" t="str">
        <f aca="false">IF(IsPro,IF($D1059="","",IF(U1059="","UNKNOWN ITEM",IF(INDEX(Items!$O$5:$O$504,U1059)&lt;0,"NEG STOCK",IF(K1059&lt;INDEX(Items!$P$5:$P$504,U1059),"BELOW COST","OK")))),IF($D1059="","","PRO PLAN"))</f>
        <v/>
      </c>
      <c r="U1059" s="60" t="str">
        <f aca="false">IF(IsPro,IF($D1059="","",IFERROR(MATCH($D1059,Items!$A$5:$A$504,0),"")),"")</f>
        <v/>
      </c>
      <c r="V1059" s="60" t="str">
        <f aca="false">IF(IsPro,IF($C1059="","",IFERROR(MATCH($C1059,Parties!$A$5:$A$304,0),"")),"")</f>
        <v/>
      </c>
      <c r="W1059" s="60" t="str">
        <f aca="false">IF(IsPro,IF($B1059="","",IFERROR(VALUE(SUBSTITUTE($B1059,InvPrefix,"")),0)),"")</f>
        <v/>
      </c>
      <c r="X1059" s="61" t="str">
        <f aca="false">IF(IsPro,IF($D1059="","",IF(OR($H1059="",$H1059="Credit"),0,Q1059)),"")</f>
        <v/>
      </c>
    </row>
    <row r="1060" customFormat="false" ht="15" hidden="false" customHeight="false" outlineLevel="0" collapsed="false">
      <c r="A1060" s="55"/>
      <c r="B1060" s="56"/>
      <c r="C1060" s="56"/>
      <c r="D1060" s="56"/>
      <c r="E1060" s="57"/>
      <c r="F1060" s="58"/>
      <c r="G1060" s="59"/>
      <c r="H1060" s="56"/>
      <c r="I1060" s="56"/>
      <c r="J1060" s="60" t="str">
        <f aca="false">IF(IsPro,IF($D1060="","",IFERROR(INDEX(Items!$D$5:$D$504,U1060),"")),"")</f>
        <v/>
      </c>
      <c r="K1060" s="61" t="str">
        <f aca="false">IF(IsPro,IF($D1060="","",IF($F1060="",IFERROR(INDEX(Items!$H$5:$H$504,U1060),0),$F1060)),"")</f>
        <v/>
      </c>
      <c r="L1060" s="61" t="str">
        <f aca="false">IF(IsPro,IF($D1060="","",ROUND(N($E1060)*K1060*(1-N($G1060)),2)),"")</f>
        <v/>
      </c>
      <c r="M1060" s="62" t="str">
        <f aca="false">IF(IsPro,IF($D1060="","",IFERROR(INDEX(Items!$F$5:$F$504,U1060),0)),"")</f>
        <v/>
      </c>
      <c r="N1060" s="61" t="str">
        <f aca="false">IF(IsPro,IF($D1060="","",IF(AND(V1060&lt;&gt;"",INDEX(Parties!$E$5:$E$304,V1060)&lt;&gt;"",INDEX(Parties!$E$5:$E$304,V1060)&lt;&gt;HomeState),0,ROUND(L1060*M1060/2,2))),"")</f>
        <v/>
      </c>
      <c r="O1060" s="61" t="str">
        <f aca="false">IF(IsPro,IF($D1060="","",N1060),"")</f>
        <v/>
      </c>
      <c r="P1060" s="61" t="str">
        <f aca="false">IF(IsPro,IF($D1060="","",IF(AND(V1060&lt;&gt;"",INDEX(Parties!$E$5:$E$304,V1060)&lt;&gt;"",INDEX(Parties!$E$5:$E$304,V1060)&lt;&gt;HomeState),ROUND(L1060*M1060,2),0)),"")</f>
        <v/>
      </c>
      <c r="Q1060" s="61" t="str">
        <f aca="false">IF(IsPro,IF($D1060="","",L1060+N1060+O1060+P1060),"")</f>
        <v/>
      </c>
      <c r="R1060" s="61" t="str">
        <f aca="false">IF(IsPro,IF($D1060="","",ROUND(N($E1060)*IFERROR(INDEX(Items!$P$5:$P$504,U1060),0),2)),"")</f>
        <v/>
      </c>
      <c r="S1060" s="61" t="str">
        <f aca="false">IF(IsPro,IF($D1060="","",L1060-R1060),"")</f>
        <v/>
      </c>
      <c r="T1060" s="60" t="str">
        <f aca="false">IF(IsPro,IF($D1060="","",IF(U1060="","UNKNOWN ITEM",IF(INDEX(Items!$O$5:$O$504,U1060)&lt;0,"NEG STOCK",IF(K1060&lt;INDEX(Items!$P$5:$P$504,U1060),"BELOW COST","OK")))),IF($D1060="","","PRO PLAN"))</f>
        <v/>
      </c>
      <c r="U1060" s="60" t="str">
        <f aca="false">IF(IsPro,IF($D1060="","",IFERROR(MATCH($D1060,Items!$A$5:$A$504,0),"")),"")</f>
        <v/>
      </c>
      <c r="V1060" s="60" t="str">
        <f aca="false">IF(IsPro,IF($C1060="","",IFERROR(MATCH($C1060,Parties!$A$5:$A$304,0),"")),"")</f>
        <v/>
      </c>
      <c r="W1060" s="60" t="str">
        <f aca="false">IF(IsPro,IF($B1060="","",IFERROR(VALUE(SUBSTITUTE($B1060,InvPrefix,"")),0)),"")</f>
        <v/>
      </c>
      <c r="X1060" s="61" t="str">
        <f aca="false">IF(IsPro,IF($D1060="","",IF(OR($H1060="",$H1060="Credit"),0,Q1060)),"")</f>
        <v/>
      </c>
    </row>
    <row r="1061" customFormat="false" ht="15" hidden="false" customHeight="false" outlineLevel="0" collapsed="false">
      <c r="A1061" s="55"/>
      <c r="B1061" s="56"/>
      <c r="C1061" s="56"/>
      <c r="D1061" s="56"/>
      <c r="E1061" s="57"/>
      <c r="F1061" s="58"/>
      <c r="G1061" s="59"/>
      <c r="H1061" s="56"/>
      <c r="I1061" s="56"/>
      <c r="J1061" s="60" t="str">
        <f aca="false">IF(IsPro,IF($D1061="","",IFERROR(INDEX(Items!$D$5:$D$504,U1061),"")),"")</f>
        <v/>
      </c>
      <c r="K1061" s="61" t="str">
        <f aca="false">IF(IsPro,IF($D1061="","",IF($F1061="",IFERROR(INDEX(Items!$H$5:$H$504,U1061),0),$F1061)),"")</f>
        <v/>
      </c>
      <c r="L1061" s="61" t="str">
        <f aca="false">IF(IsPro,IF($D1061="","",ROUND(N($E1061)*K1061*(1-N($G1061)),2)),"")</f>
        <v/>
      </c>
      <c r="M1061" s="62" t="str">
        <f aca="false">IF(IsPro,IF($D1061="","",IFERROR(INDEX(Items!$F$5:$F$504,U1061),0)),"")</f>
        <v/>
      </c>
      <c r="N1061" s="61" t="str">
        <f aca="false">IF(IsPro,IF($D1061="","",IF(AND(V1061&lt;&gt;"",INDEX(Parties!$E$5:$E$304,V1061)&lt;&gt;"",INDEX(Parties!$E$5:$E$304,V1061)&lt;&gt;HomeState),0,ROUND(L1061*M1061/2,2))),"")</f>
        <v/>
      </c>
      <c r="O1061" s="61" t="str">
        <f aca="false">IF(IsPro,IF($D1061="","",N1061),"")</f>
        <v/>
      </c>
      <c r="P1061" s="61" t="str">
        <f aca="false">IF(IsPro,IF($D1061="","",IF(AND(V1061&lt;&gt;"",INDEX(Parties!$E$5:$E$304,V1061)&lt;&gt;"",INDEX(Parties!$E$5:$E$304,V1061)&lt;&gt;HomeState),ROUND(L1061*M1061,2),0)),"")</f>
        <v/>
      </c>
      <c r="Q1061" s="61" t="str">
        <f aca="false">IF(IsPro,IF($D1061="","",L1061+N1061+O1061+P1061),"")</f>
        <v/>
      </c>
      <c r="R1061" s="61" t="str">
        <f aca="false">IF(IsPro,IF($D1061="","",ROUND(N($E1061)*IFERROR(INDEX(Items!$P$5:$P$504,U1061),0),2)),"")</f>
        <v/>
      </c>
      <c r="S1061" s="61" t="str">
        <f aca="false">IF(IsPro,IF($D1061="","",L1061-R1061),"")</f>
        <v/>
      </c>
      <c r="T1061" s="60" t="str">
        <f aca="false">IF(IsPro,IF($D1061="","",IF(U1061="","UNKNOWN ITEM",IF(INDEX(Items!$O$5:$O$504,U1061)&lt;0,"NEG STOCK",IF(K1061&lt;INDEX(Items!$P$5:$P$504,U1061),"BELOW COST","OK")))),IF($D1061="","","PRO PLAN"))</f>
        <v/>
      </c>
      <c r="U1061" s="60" t="str">
        <f aca="false">IF(IsPro,IF($D1061="","",IFERROR(MATCH($D1061,Items!$A$5:$A$504,0),"")),"")</f>
        <v/>
      </c>
      <c r="V1061" s="60" t="str">
        <f aca="false">IF(IsPro,IF($C1061="","",IFERROR(MATCH($C1061,Parties!$A$5:$A$304,0),"")),"")</f>
        <v/>
      </c>
      <c r="W1061" s="60" t="str">
        <f aca="false">IF(IsPro,IF($B1061="","",IFERROR(VALUE(SUBSTITUTE($B1061,InvPrefix,"")),0)),"")</f>
        <v/>
      </c>
      <c r="X1061" s="61" t="str">
        <f aca="false">IF(IsPro,IF($D1061="","",IF(OR($H1061="",$H1061="Credit"),0,Q1061)),"")</f>
        <v/>
      </c>
    </row>
    <row r="1062" customFormat="false" ht="15" hidden="false" customHeight="false" outlineLevel="0" collapsed="false">
      <c r="A1062" s="55"/>
      <c r="B1062" s="56"/>
      <c r="C1062" s="56"/>
      <c r="D1062" s="56"/>
      <c r="E1062" s="57"/>
      <c r="F1062" s="58"/>
      <c r="G1062" s="59"/>
      <c r="H1062" s="56"/>
      <c r="I1062" s="56"/>
      <c r="J1062" s="60" t="str">
        <f aca="false">IF(IsPro,IF($D1062="","",IFERROR(INDEX(Items!$D$5:$D$504,U1062),"")),"")</f>
        <v/>
      </c>
      <c r="K1062" s="61" t="str">
        <f aca="false">IF(IsPro,IF($D1062="","",IF($F1062="",IFERROR(INDEX(Items!$H$5:$H$504,U1062),0),$F1062)),"")</f>
        <v/>
      </c>
      <c r="L1062" s="61" t="str">
        <f aca="false">IF(IsPro,IF($D1062="","",ROUND(N($E1062)*K1062*(1-N($G1062)),2)),"")</f>
        <v/>
      </c>
      <c r="M1062" s="62" t="str">
        <f aca="false">IF(IsPro,IF($D1062="","",IFERROR(INDEX(Items!$F$5:$F$504,U1062),0)),"")</f>
        <v/>
      </c>
      <c r="N1062" s="61" t="str">
        <f aca="false">IF(IsPro,IF($D1062="","",IF(AND(V1062&lt;&gt;"",INDEX(Parties!$E$5:$E$304,V1062)&lt;&gt;"",INDEX(Parties!$E$5:$E$304,V1062)&lt;&gt;HomeState),0,ROUND(L1062*M1062/2,2))),"")</f>
        <v/>
      </c>
      <c r="O1062" s="61" t="str">
        <f aca="false">IF(IsPro,IF($D1062="","",N1062),"")</f>
        <v/>
      </c>
      <c r="P1062" s="61" t="str">
        <f aca="false">IF(IsPro,IF($D1062="","",IF(AND(V1062&lt;&gt;"",INDEX(Parties!$E$5:$E$304,V1062)&lt;&gt;"",INDEX(Parties!$E$5:$E$304,V1062)&lt;&gt;HomeState),ROUND(L1062*M1062,2),0)),"")</f>
        <v/>
      </c>
      <c r="Q1062" s="61" t="str">
        <f aca="false">IF(IsPro,IF($D1062="","",L1062+N1062+O1062+P1062),"")</f>
        <v/>
      </c>
      <c r="R1062" s="61" t="str">
        <f aca="false">IF(IsPro,IF($D1062="","",ROUND(N($E1062)*IFERROR(INDEX(Items!$P$5:$P$504,U1062),0),2)),"")</f>
        <v/>
      </c>
      <c r="S1062" s="61" t="str">
        <f aca="false">IF(IsPro,IF($D1062="","",L1062-R1062),"")</f>
        <v/>
      </c>
      <c r="T1062" s="60" t="str">
        <f aca="false">IF(IsPro,IF($D1062="","",IF(U1062="","UNKNOWN ITEM",IF(INDEX(Items!$O$5:$O$504,U1062)&lt;0,"NEG STOCK",IF(K1062&lt;INDEX(Items!$P$5:$P$504,U1062),"BELOW COST","OK")))),IF($D1062="","","PRO PLAN"))</f>
        <v/>
      </c>
      <c r="U1062" s="60" t="str">
        <f aca="false">IF(IsPro,IF($D1062="","",IFERROR(MATCH($D1062,Items!$A$5:$A$504,0),"")),"")</f>
        <v/>
      </c>
      <c r="V1062" s="60" t="str">
        <f aca="false">IF(IsPro,IF($C1062="","",IFERROR(MATCH($C1062,Parties!$A$5:$A$304,0),"")),"")</f>
        <v/>
      </c>
      <c r="W1062" s="60" t="str">
        <f aca="false">IF(IsPro,IF($B1062="","",IFERROR(VALUE(SUBSTITUTE($B1062,InvPrefix,"")),0)),"")</f>
        <v/>
      </c>
      <c r="X1062" s="61" t="str">
        <f aca="false">IF(IsPro,IF($D1062="","",IF(OR($H1062="",$H1062="Credit"),0,Q1062)),"")</f>
        <v/>
      </c>
    </row>
    <row r="1063" customFormat="false" ht="15" hidden="false" customHeight="false" outlineLevel="0" collapsed="false">
      <c r="A1063" s="55"/>
      <c r="B1063" s="56"/>
      <c r="C1063" s="56"/>
      <c r="D1063" s="56"/>
      <c r="E1063" s="57"/>
      <c r="F1063" s="58"/>
      <c r="G1063" s="59"/>
      <c r="H1063" s="56"/>
      <c r="I1063" s="56"/>
      <c r="J1063" s="60" t="str">
        <f aca="false">IF(IsPro,IF($D1063="","",IFERROR(INDEX(Items!$D$5:$D$504,U1063),"")),"")</f>
        <v/>
      </c>
      <c r="K1063" s="61" t="str">
        <f aca="false">IF(IsPro,IF($D1063="","",IF($F1063="",IFERROR(INDEX(Items!$H$5:$H$504,U1063),0),$F1063)),"")</f>
        <v/>
      </c>
      <c r="L1063" s="61" t="str">
        <f aca="false">IF(IsPro,IF($D1063="","",ROUND(N($E1063)*K1063*(1-N($G1063)),2)),"")</f>
        <v/>
      </c>
      <c r="M1063" s="62" t="str">
        <f aca="false">IF(IsPro,IF($D1063="","",IFERROR(INDEX(Items!$F$5:$F$504,U1063),0)),"")</f>
        <v/>
      </c>
      <c r="N1063" s="61" t="str">
        <f aca="false">IF(IsPro,IF($D1063="","",IF(AND(V1063&lt;&gt;"",INDEX(Parties!$E$5:$E$304,V1063)&lt;&gt;"",INDEX(Parties!$E$5:$E$304,V1063)&lt;&gt;HomeState),0,ROUND(L1063*M1063/2,2))),"")</f>
        <v/>
      </c>
      <c r="O1063" s="61" t="str">
        <f aca="false">IF(IsPro,IF($D1063="","",N1063),"")</f>
        <v/>
      </c>
      <c r="P1063" s="61" t="str">
        <f aca="false">IF(IsPro,IF($D1063="","",IF(AND(V1063&lt;&gt;"",INDEX(Parties!$E$5:$E$304,V1063)&lt;&gt;"",INDEX(Parties!$E$5:$E$304,V1063)&lt;&gt;HomeState),ROUND(L1063*M1063,2),0)),"")</f>
        <v/>
      </c>
      <c r="Q1063" s="61" t="str">
        <f aca="false">IF(IsPro,IF($D1063="","",L1063+N1063+O1063+P1063),"")</f>
        <v/>
      </c>
      <c r="R1063" s="61" t="str">
        <f aca="false">IF(IsPro,IF($D1063="","",ROUND(N($E1063)*IFERROR(INDEX(Items!$P$5:$P$504,U1063),0),2)),"")</f>
        <v/>
      </c>
      <c r="S1063" s="61" t="str">
        <f aca="false">IF(IsPro,IF($D1063="","",L1063-R1063),"")</f>
        <v/>
      </c>
      <c r="T1063" s="60" t="str">
        <f aca="false">IF(IsPro,IF($D1063="","",IF(U1063="","UNKNOWN ITEM",IF(INDEX(Items!$O$5:$O$504,U1063)&lt;0,"NEG STOCK",IF(K1063&lt;INDEX(Items!$P$5:$P$504,U1063),"BELOW COST","OK")))),IF($D1063="","","PRO PLAN"))</f>
        <v/>
      </c>
      <c r="U1063" s="60" t="str">
        <f aca="false">IF(IsPro,IF($D1063="","",IFERROR(MATCH($D1063,Items!$A$5:$A$504,0),"")),"")</f>
        <v/>
      </c>
      <c r="V1063" s="60" t="str">
        <f aca="false">IF(IsPro,IF($C1063="","",IFERROR(MATCH($C1063,Parties!$A$5:$A$304,0),"")),"")</f>
        <v/>
      </c>
      <c r="W1063" s="60" t="str">
        <f aca="false">IF(IsPro,IF($B1063="","",IFERROR(VALUE(SUBSTITUTE($B1063,InvPrefix,"")),0)),"")</f>
        <v/>
      </c>
      <c r="X1063" s="61" t="str">
        <f aca="false">IF(IsPro,IF($D1063="","",IF(OR($H1063="",$H1063="Credit"),0,Q1063)),"")</f>
        <v/>
      </c>
    </row>
    <row r="1064" customFormat="false" ht="15" hidden="false" customHeight="false" outlineLevel="0" collapsed="false">
      <c r="A1064" s="55"/>
      <c r="B1064" s="56"/>
      <c r="C1064" s="56"/>
      <c r="D1064" s="56"/>
      <c r="E1064" s="57"/>
      <c r="F1064" s="58"/>
      <c r="G1064" s="59"/>
      <c r="H1064" s="56"/>
      <c r="I1064" s="56"/>
      <c r="J1064" s="60" t="str">
        <f aca="false">IF(IsPro,IF($D1064="","",IFERROR(INDEX(Items!$D$5:$D$504,U1064),"")),"")</f>
        <v/>
      </c>
      <c r="K1064" s="61" t="str">
        <f aca="false">IF(IsPro,IF($D1064="","",IF($F1064="",IFERROR(INDEX(Items!$H$5:$H$504,U1064),0),$F1064)),"")</f>
        <v/>
      </c>
      <c r="L1064" s="61" t="str">
        <f aca="false">IF(IsPro,IF($D1064="","",ROUND(N($E1064)*K1064*(1-N($G1064)),2)),"")</f>
        <v/>
      </c>
      <c r="M1064" s="62" t="str">
        <f aca="false">IF(IsPro,IF($D1064="","",IFERROR(INDEX(Items!$F$5:$F$504,U1064),0)),"")</f>
        <v/>
      </c>
      <c r="N1064" s="61" t="str">
        <f aca="false">IF(IsPro,IF($D1064="","",IF(AND(V1064&lt;&gt;"",INDEX(Parties!$E$5:$E$304,V1064)&lt;&gt;"",INDEX(Parties!$E$5:$E$304,V1064)&lt;&gt;HomeState),0,ROUND(L1064*M1064/2,2))),"")</f>
        <v/>
      </c>
      <c r="O1064" s="61" t="str">
        <f aca="false">IF(IsPro,IF($D1064="","",N1064),"")</f>
        <v/>
      </c>
      <c r="P1064" s="61" t="str">
        <f aca="false">IF(IsPro,IF($D1064="","",IF(AND(V1064&lt;&gt;"",INDEX(Parties!$E$5:$E$304,V1064)&lt;&gt;"",INDEX(Parties!$E$5:$E$304,V1064)&lt;&gt;HomeState),ROUND(L1064*M1064,2),0)),"")</f>
        <v/>
      </c>
      <c r="Q1064" s="61" t="str">
        <f aca="false">IF(IsPro,IF($D1064="","",L1064+N1064+O1064+P1064),"")</f>
        <v/>
      </c>
      <c r="R1064" s="61" t="str">
        <f aca="false">IF(IsPro,IF($D1064="","",ROUND(N($E1064)*IFERROR(INDEX(Items!$P$5:$P$504,U1064),0),2)),"")</f>
        <v/>
      </c>
      <c r="S1064" s="61" t="str">
        <f aca="false">IF(IsPro,IF($D1064="","",L1064-R1064),"")</f>
        <v/>
      </c>
      <c r="T1064" s="60" t="str">
        <f aca="false">IF(IsPro,IF($D1064="","",IF(U1064="","UNKNOWN ITEM",IF(INDEX(Items!$O$5:$O$504,U1064)&lt;0,"NEG STOCK",IF(K1064&lt;INDEX(Items!$P$5:$P$504,U1064),"BELOW COST","OK")))),IF($D1064="","","PRO PLAN"))</f>
        <v/>
      </c>
      <c r="U1064" s="60" t="str">
        <f aca="false">IF(IsPro,IF($D1064="","",IFERROR(MATCH($D1064,Items!$A$5:$A$504,0),"")),"")</f>
        <v/>
      </c>
      <c r="V1064" s="60" t="str">
        <f aca="false">IF(IsPro,IF($C1064="","",IFERROR(MATCH($C1064,Parties!$A$5:$A$304,0),"")),"")</f>
        <v/>
      </c>
      <c r="W1064" s="60" t="str">
        <f aca="false">IF(IsPro,IF($B1064="","",IFERROR(VALUE(SUBSTITUTE($B1064,InvPrefix,"")),0)),"")</f>
        <v/>
      </c>
      <c r="X1064" s="61" t="str">
        <f aca="false">IF(IsPro,IF($D1064="","",IF(OR($H1064="",$H1064="Credit"),0,Q1064)),"")</f>
        <v/>
      </c>
    </row>
    <row r="1065" customFormat="false" ht="15" hidden="false" customHeight="false" outlineLevel="0" collapsed="false">
      <c r="A1065" s="55"/>
      <c r="B1065" s="56"/>
      <c r="C1065" s="56"/>
      <c r="D1065" s="56"/>
      <c r="E1065" s="57"/>
      <c r="F1065" s="58"/>
      <c r="G1065" s="59"/>
      <c r="H1065" s="56"/>
      <c r="I1065" s="56"/>
      <c r="J1065" s="60" t="str">
        <f aca="false">IF(IsPro,IF($D1065="","",IFERROR(INDEX(Items!$D$5:$D$504,U1065),"")),"")</f>
        <v/>
      </c>
      <c r="K1065" s="61" t="str">
        <f aca="false">IF(IsPro,IF($D1065="","",IF($F1065="",IFERROR(INDEX(Items!$H$5:$H$504,U1065),0),$F1065)),"")</f>
        <v/>
      </c>
      <c r="L1065" s="61" t="str">
        <f aca="false">IF(IsPro,IF($D1065="","",ROUND(N($E1065)*K1065*(1-N($G1065)),2)),"")</f>
        <v/>
      </c>
      <c r="M1065" s="62" t="str">
        <f aca="false">IF(IsPro,IF($D1065="","",IFERROR(INDEX(Items!$F$5:$F$504,U1065),0)),"")</f>
        <v/>
      </c>
      <c r="N1065" s="61" t="str">
        <f aca="false">IF(IsPro,IF($D1065="","",IF(AND(V1065&lt;&gt;"",INDEX(Parties!$E$5:$E$304,V1065)&lt;&gt;"",INDEX(Parties!$E$5:$E$304,V1065)&lt;&gt;HomeState),0,ROUND(L1065*M1065/2,2))),"")</f>
        <v/>
      </c>
      <c r="O1065" s="61" t="str">
        <f aca="false">IF(IsPro,IF($D1065="","",N1065),"")</f>
        <v/>
      </c>
      <c r="P1065" s="61" t="str">
        <f aca="false">IF(IsPro,IF($D1065="","",IF(AND(V1065&lt;&gt;"",INDEX(Parties!$E$5:$E$304,V1065)&lt;&gt;"",INDEX(Parties!$E$5:$E$304,V1065)&lt;&gt;HomeState),ROUND(L1065*M1065,2),0)),"")</f>
        <v/>
      </c>
      <c r="Q1065" s="61" t="str">
        <f aca="false">IF(IsPro,IF($D1065="","",L1065+N1065+O1065+P1065),"")</f>
        <v/>
      </c>
      <c r="R1065" s="61" t="str">
        <f aca="false">IF(IsPro,IF($D1065="","",ROUND(N($E1065)*IFERROR(INDEX(Items!$P$5:$P$504,U1065),0),2)),"")</f>
        <v/>
      </c>
      <c r="S1065" s="61" t="str">
        <f aca="false">IF(IsPro,IF($D1065="","",L1065-R1065),"")</f>
        <v/>
      </c>
      <c r="T1065" s="60" t="str">
        <f aca="false">IF(IsPro,IF($D1065="","",IF(U1065="","UNKNOWN ITEM",IF(INDEX(Items!$O$5:$O$504,U1065)&lt;0,"NEG STOCK",IF(K1065&lt;INDEX(Items!$P$5:$P$504,U1065),"BELOW COST","OK")))),IF($D1065="","","PRO PLAN"))</f>
        <v/>
      </c>
      <c r="U1065" s="60" t="str">
        <f aca="false">IF(IsPro,IF($D1065="","",IFERROR(MATCH($D1065,Items!$A$5:$A$504,0),"")),"")</f>
        <v/>
      </c>
      <c r="V1065" s="60" t="str">
        <f aca="false">IF(IsPro,IF($C1065="","",IFERROR(MATCH($C1065,Parties!$A$5:$A$304,0),"")),"")</f>
        <v/>
      </c>
      <c r="W1065" s="60" t="str">
        <f aca="false">IF(IsPro,IF($B1065="","",IFERROR(VALUE(SUBSTITUTE($B1065,InvPrefix,"")),0)),"")</f>
        <v/>
      </c>
      <c r="X1065" s="61" t="str">
        <f aca="false">IF(IsPro,IF($D1065="","",IF(OR($H1065="",$H1065="Credit"),0,Q1065)),"")</f>
        <v/>
      </c>
    </row>
    <row r="1066" customFormat="false" ht="15" hidden="false" customHeight="false" outlineLevel="0" collapsed="false">
      <c r="A1066" s="55"/>
      <c r="B1066" s="56"/>
      <c r="C1066" s="56"/>
      <c r="D1066" s="56"/>
      <c r="E1066" s="57"/>
      <c r="F1066" s="58"/>
      <c r="G1066" s="59"/>
      <c r="H1066" s="56"/>
      <c r="I1066" s="56"/>
      <c r="J1066" s="60" t="str">
        <f aca="false">IF(IsPro,IF($D1066="","",IFERROR(INDEX(Items!$D$5:$D$504,U1066),"")),"")</f>
        <v/>
      </c>
      <c r="K1066" s="61" t="str">
        <f aca="false">IF(IsPro,IF($D1066="","",IF($F1066="",IFERROR(INDEX(Items!$H$5:$H$504,U1066),0),$F1066)),"")</f>
        <v/>
      </c>
      <c r="L1066" s="61" t="str">
        <f aca="false">IF(IsPro,IF($D1066="","",ROUND(N($E1066)*K1066*(1-N($G1066)),2)),"")</f>
        <v/>
      </c>
      <c r="M1066" s="62" t="str">
        <f aca="false">IF(IsPro,IF($D1066="","",IFERROR(INDEX(Items!$F$5:$F$504,U1066),0)),"")</f>
        <v/>
      </c>
      <c r="N1066" s="61" t="str">
        <f aca="false">IF(IsPro,IF($D1066="","",IF(AND(V1066&lt;&gt;"",INDEX(Parties!$E$5:$E$304,V1066)&lt;&gt;"",INDEX(Parties!$E$5:$E$304,V1066)&lt;&gt;HomeState),0,ROUND(L1066*M1066/2,2))),"")</f>
        <v/>
      </c>
      <c r="O1066" s="61" t="str">
        <f aca="false">IF(IsPro,IF($D1066="","",N1066),"")</f>
        <v/>
      </c>
      <c r="P1066" s="61" t="str">
        <f aca="false">IF(IsPro,IF($D1066="","",IF(AND(V1066&lt;&gt;"",INDEX(Parties!$E$5:$E$304,V1066)&lt;&gt;"",INDEX(Parties!$E$5:$E$304,V1066)&lt;&gt;HomeState),ROUND(L1066*M1066,2),0)),"")</f>
        <v/>
      </c>
      <c r="Q1066" s="61" t="str">
        <f aca="false">IF(IsPro,IF($D1066="","",L1066+N1066+O1066+P1066),"")</f>
        <v/>
      </c>
      <c r="R1066" s="61" t="str">
        <f aca="false">IF(IsPro,IF($D1066="","",ROUND(N($E1066)*IFERROR(INDEX(Items!$P$5:$P$504,U1066),0),2)),"")</f>
        <v/>
      </c>
      <c r="S1066" s="61" t="str">
        <f aca="false">IF(IsPro,IF($D1066="","",L1066-R1066),"")</f>
        <v/>
      </c>
      <c r="T1066" s="60" t="str">
        <f aca="false">IF(IsPro,IF($D1066="","",IF(U1066="","UNKNOWN ITEM",IF(INDEX(Items!$O$5:$O$504,U1066)&lt;0,"NEG STOCK",IF(K1066&lt;INDEX(Items!$P$5:$P$504,U1066),"BELOW COST","OK")))),IF($D1066="","","PRO PLAN"))</f>
        <v/>
      </c>
      <c r="U1066" s="60" t="str">
        <f aca="false">IF(IsPro,IF($D1066="","",IFERROR(MATCH($D1066,Items!$A$5:$A$504,0),"")),"")</f>
        <v/>
      </c>
      <c r="V1066" s="60" t="str">
        <f aca="false">IF(IsPro,IF($C1066="","",IFERROR(MATCH($C1066,Parties!$A$5:$A$304,0),"")),"")</f>
        <v/>
      </c>
      <c r="W1066" s="60" t="str">
        <f aca="false">IF(IsPro,IF($B1066="","",IFERROR(VALUE(SUBSTITUTE($B1066,InvPrefix,"")),0)),"")</f>
        <v/>
      </c>
      <c r="X1066" s="61" t="str">
        <f aca="false">IF(IsPro,IF($D1066="","",IF(OR($H1066="",$H1066="Credit"),0,Q1066)),"")</f>
        <v/>
      </c>
    </row>
    <row r="1067" customFormat="false" ht="15" hidden="false" customHeight="false" outlineLevel="0" collapsed="false">
      <c r="A1067" s="55"/>
      <c r="B1067" s="56"/>
      <c r="C1067" s="56"/>
      <c r="D1067" s="56"/>
      <c r="E1067" s="57"/>
      <c r="F1067" s="58"/>
      <c r="G1067" s="59"/>
      <c r="H1067" s="56"/>
      <c r="I1067" s="56"/>
      <c r="J1067" s="60" t="str">
        <f aca="false">IF(IsPro,IF($D1067="","",IFERROR(INDEX(Items!$D$5:$D$504,U1067),"")),"")</f>
        <v/>
      </c>
      <c r="K1067" s="61" t="str">
        <f aca="false">IF(IsPro,IF($D1067="","",IF($F1067="",IFERROR(INDEX(Items!$H$5:$H$504,U1067),0),$F1067)),"")</f>
        <v/>
      </c>
      <c r="L1067" s="61" t="str">
        <f aca="false">IF(IsPro,IF($D1067="","",ROUND(N($E1067)*K1067*(1-N($G1067)),2)),"")</f>
        <v/>
      </c>
      <c r="M1067" s="62" t="str">
        <f aca="false">IF(IsPro,IF($D1067="","",IFERROR(INDEX(Items!$F$5:$F$504,U1067),0)),"")</f>
        <v/>
      </c>
      <c r="N1067" s="61" t="str">
        <f aca="false">IF(IsPro,IF($D1067="","",IF(AND(V1067&lt;&gt;"",INDEX(Parties!$E$5:$E$304,V1067)&lt;&gt;"",INDEX(Parties!$E$5:$E$304,V1067)&lt;&gt;HomeState),0,ROUND(L1067*M1067/2,2))),"")</f>
        <v/>
      </c>
      <c r="O1067" s="61" t="str">
        <f aca="false">IF(IsPro,IF($D1067="","",N1067),"")</f>
        <v/>
      </c>
      <c r="P1067" s="61" t="str">
        <f aca="false">IF(IsPro,IF($D1067="","",IF(AND(V1067&lt;&gt;"",INDEX(Parties!$E$5:$E$304,V1067)&lt;&gt;"",INDEX(Parties!$E$5:$E$304,V1067)&lt;&gt;HomeState),ROUND(L1067*M1067,2),0)),"")</f>
        <v/>
      </c>
      <c r="Q1067" s="61" t="str">
        <f aca="false">IF(IsPro,IF($D1067="","",L1067+N1067+O1067+P1067),"")</f>
        <v/>
      </c>
      <c r="R1067" s="61" t="str">
        <f aca="false">IF(IsPro,IF($D1067="","",ROUND(N($E1067)*IFERROR(INDEX(Items!$P$5:$P$504,U1067),0),2)),"")</f>
        <v/>
      </c>
      <c r="S1067" s="61" t="str">
        <f aca="false">IF(IsPro,IF($D1067="","",L1067-R1067),"")</f>
        <v/>
      </c>
      <c r="T1067" s="60" t="str">
        <f aca="false">IF(IsPro,IF($D1067="","",IF(U1067="","UNKNOWN ITEM",IF(INDEX(Items!$O$5:$O$504,U1067)&lt;0,"NEG STOCK",IF(K1067&lt;INDEX(Items!$P$5:$P$504,U1067),"BELOW COST","OK")))),IF($D1067="","","PRO PLAN"))</f>
        <v/>
      </c>
      <c r="U1067" s="60" t="str">
        <f aca="false">IF(IsPro,IF($D1067="","",IFERROR(MATCH($D1067,Items!$A$5:$A$504,0),"")),"")</f>
        <v/>
      </c>
      <c r="V1067" s="60" t="str">
        <f aca="false">IF(IsPro,IF($C1067="","",IFERROR(MATCH($C1067,Parties!$A$5:$A$304,0),"")),"")</f>
        <v/>
      </c>
      <c r="W1067" s="60" t="str">
        <f aca="false">IF(IsPro,IF($B1067="","",IFERROR(VALUE(SUBSTITUTE($B1067,InvPrefix,"")),0)),"")</f>
        <v/>
      </c>
      <c r="X1067" s="61" t="str">
        <f aca="false">IF(IsPro,IF($D1067="","",IF(OR($H1067="",$H1067="Credit"),0,Q1067)),"")</f>
        <v/>
      </c>
    </row>
    <row r="1068" customFormat="false" ht="15" hidden="false" customHeight="false" outlineLevel="0" collapsed="false">
      <c r="A1068" s="55"/>
      <c r="B1068" s="56"/>
      <c r="C1068" s="56"/>
      <c r="D1068" s="56"/>
      <c r="E1068" s="57"/>
      <c r="F1068" s="58"/>
      <c r="G1068" s="59"/>
      <c r="H1068" s="56"/>
      <c r="I1068" s="56"/>
      <c r="J1068" s="60" t="str">
        <f aca="false">IF(IsPro,IF($D1068="","",IFERROR(INDEX(Items!$D$5:$D$504,U1068),"")),"")</f>
        <v/>
      </c>
      <c r="K1068" s="61" t="str">
        <f aca="false">IF(IsPro,IF($D1068="","",IF($F1068="",IFERROR(INDEX(Items!$H$5:$H$504,U1068),0),$F1068)),"")</f>
        <v/>
      </c>
      <c r="L1068" s="61" t="str">
        <f aca="false">IF(IsPro,IF($D1068="","",ROUND(N($E1068)*K1068*(1-N($G1068)),2)),"")</f>
        <v/>
      </c>
      <c r="M1068" s="62" t="str">
        <f aca="false">IF(IsPro,IF($D1068="","",IFERROR(INDEX(Items!$F$5:$F$504,U1068),0)),"")</f>
        <v/>
      </c>
      <c r="N1068" s="61" t="str">
        <f aca="false">IF(IsPro,IF($D1068="","",IF(AND(V1068&lt;&gt;"",INDEX(Parties!$E$5:$E$304,V1068)&lt;&gt;"",INDEX(Parties!$E$5:$E$304,V1068)&lt;&gt;HomeState),0,ROUND(L1068*M1068/2,2))),"")</f>
        <v/>
      </c>
      <c r="O1068" s="61" t="str">
        <f aca="false">IF(IsPro,IF($D1068="","",N1068),"")</f>
        <v/>
      </c>
      <c r="P1068" s="61" t="str">
        <f aca="false">IF(IsPro,IF($D1068="","",IF(AND(V1068&lt;&gt;"",INDEX(Parties!$E$5:$E$304,V1068)&lt;&gt;"",INDEX(Parties!$E$5:$E$304,V1068)&lt;&gt;HomeState),ROUND(L1068*M1068,2),0)),"")</f>
        <v/>
      </c>
      <c r="Q1068" s="61" t="str">
        <f aca="false">IF(IsPro,IF($D1068="","",L1068+N1068+O1068+P1068),"")</f>
        <v/>
      </c>
      <c r="R1068" s="61" t="str">
        <f aca="false">IF(IsPro,IF($D1068="","",ROUND(N($E1068)*IFERROR(INDEX(Items!$P$5:$P$504,U1068),0),2)),"")</f>
        <v/>
      </c>
      <c r="S1068" s="61" t="str">
        <f aca="false">IF(IsPro,IF($D1068="","",L1068-R1068),"")</f>
        <v/>
      </c>
      <c r="T1068" s="60" t="str">
        <f aca="false">IF(IsPro,IF($D1068="","",IF(U1068="","UNKNOWN ITEM",IF(INDEX(Items!$O$5:$O$504,U1068)&lt;0,"NEG STOCK",IF(K1068&lt;INDEX(Items!$P$5:$P$504,U1068),"BELOW COST","OK")))),IF($D1068="","","PRO PLAN"))</f>
        <v/>
      </c>
      <c r="U1068" s="60" t="str">
        <f aca="false">IF(IsPro,IF($D1068="","",IFERROR(MATCH($D1068,Items!$A$5:$A$504,0),"")),"")</f>
        <v/>
      </c>
      <c r="V1068" s="60" t="str">
        <f aca="false">IF(IsPro,IF($C1068="","",IFERROR(MATCH($C1068,Parties!$A$5:$A$304,0),"")),"")</f>
        <v/>
      </c>
      <c r="W1068" s="60" t="str">
        <f aca="false">IF(IsPro,IF($B1068="","",IFERROR(VALUE(SUBSTITUTE($B1068,InvPrefix,"")),0)),"")</f>
        <v/>
      </c>
      <c r="X1068" s="61" t="str">
        <f aca="false">IF(IsPro,IF($D1068="","",IF(OR($H1068="",$H1068="Credit"),0,Q1068)),"")</f>
        <v/>
      </c>
    </row>
    <row r="1069" customFormat="false" ht="15" hidden="false" customHeight="false" outlineLevel="0" collapsed="false">
      <c r="A1069" s="55"/>
      <c r="B1069" s="56"/>
      <c r="C1069" s="56"/>
      <c r="D1069" s="56"/>
      <c r="E1069" s="57"/>
      <c r="F1069" s="58"/>
      <c r="G1069" s="59"/>
      <c r="H1069" s="56"/>
      <c r="I1069" s="56"/>
      <c r="J1069" s="60" t="str">
        <f aca="false">IF(IsPro,IF($D1069="","",IFERROR(INDEX(Items!$D$5:$D$504,U1069),"")),"")</f>
        <v/>
      </c>
      <c r="K1069" s="61" t="str">
        <f aca="false">IF(IsPro,IF($D1069="","",IF($F1069="",IFERROR(INDEX(Items!$H$5:$H$504,U1069),0),$F1069)),"")</f>
        <v/>
      </c>
      <c r="L1069" s="61" t="str">
        <f aca="false">IF(IsPro,IF($D1069="","",ROUND(N($E1069)*K1069*(1-N($G1069)),2)),"")</f>
        <v/>
      </c>
      <c r="M1069" s="62" t="str">
        <f aca="false">IF(IsPro,IF($D1069="","",IFERROR(INDEX(Items!$F$5:$F$504,U1069),0)),"")</f>
        <v/>
      </c>
      <c r="N1069" s="61" t="str">
        <f aca="false">IF(IsPro,IF($D1069="","",IF(AND(V1069&lt;&gt;"",INDEX(Parties!$E$5:$E$304,V1069)&lt;&gt;"",INDEX(Parties!$E$5:$E$304,V1069)&lt;&gt;HomeState),0,ROUND(L1069*M1069/2,2))),"")</f>
        <v/>
      </c>
      <c r="O1069" s="61" t="str">
        <f aca="false">IF(IsPro,IF($D1069="","",N1069),"")</f>
        <v/>
      </c>
      <c r="P1069" s="61" t="str">
        <f aca="false">IF(IsPro,IF($D1069="","",IF(AND(V1069&lt;&gt;"",INDEX(Parties!$E$5:$E$304,V1069)&lt;&gt;"",INDEX(Parties!$E$5:$E$304,V1069)&lt;&gt;HomeState),ROUND(L1069*M1069,2),0)),"")</f>
        <v/>
      </c>
      <c r="Q1069" s="61" t="str">
        <f aca="false">IF(IsPro,IF($D1069="","",L1069+N1069+O1069+P1069),"")</f>
        <v/>
      </c>
      <c r="R1069" s="61" t="str">
        <f aca="false">IF(IsPro,IF($D1069="","",ROUND(N($E1069)*IFERROR(INDEX(Items!$P$5:$P$504,U1069),0),2)),"")</f>
        <v/>
      </c>
      <c r="S1069" s="61" t="str">
        <f aca="false">IF(IsPro,IF($D1069="","",L1069-R1069),"")</f>
        <v/>
      </c>
      <c r="T1069" s="60" t="str">
        <f aca="false">IF(IsPro,IF($D1069="","",IF(U1069="","UNKNOWN ITEM",IF(INDEX(Items!$O$5:$O$504,U1069)&lt;0,"NEG STOCK",IF(K1069&lt;INDEX(Items!$P$5:$P$504,U1069),"BELOW COST","OK")))),IF($D1069="","","PRO PLAN"))</f>
        <v/>
      </c>
      <c r="U1069" s="60" t="str">
        <f aca="false">IF(IsPro,IF($D1069="","",IFERROR(MATCH($D1069,Items!$A$5:$A$504,0),"")),"")</f>
        <v/>
      </c>
      <c r="V1069" s="60" t="str">
        <f aca="false">IF(IsPro,IF($C1069="","",IFERROR(MATCH($C1069,Parties!$A$5:$A$304,0),"")),"")</f>
        <v/>
      </c>
      <c r="W1069" s="60" t="str">
        <f aca="false">IF(IsPro,IF($B1069="","",IFERROR(VALUE(SUBSTITUTE($B1069,InvPrefix,"")),0)),"")</f>
        <v/>
      </c>
      <c r="X1069" s="61" t="str">
        <f aca="false">IF(IsPro,IF($D1069="","",IF(OR($H1069="",$H1069="Credit"),0,Q1069)),"")</f>
        <v/>
      </c>
    </row>
    <row r="1070" customFormat="false" ht="15" hidden="false" customHeight="false" outlineLevel="0" collapsed="false">
      <c r="A1070" s="55"/>
      <c r="B1070" s="56"/>
      <c r="C1070" s="56"/>
      <c r="D1070" s="56"/>
      <c r="E1070" s="57"/>
      <c r="F1070" s="58"/>
      <c r="G1070" s="59"/>
      <c r="H1070" s="56"/>
      <c r="I1070" s="56"/>
      <c r="J1070" s="60" t="str">
        <f aca="false">IF(IsPro,IF($D1070="","",IFERROR(INDEX(Items!$D$5:$D$504,U1070),"")),"")</f>
        <v/>
      </c>
      <c r="K1070" s="61" t="str">
        <f aca="false">IF(IsPro,IF($D1070="","",IF($F1070="",IFERROR(INDEX(Items!$H$5:$H$504,U1070),0),$F1070)),"")</f>
        <v/>
      </c>
      <c r="L1070" s="61" t="str">
        <f aca="false">IF(IsPro,IF($D1070="","",ROUND(N($E1070)*K1070*(1-N($G1070)),2)),"")</f>
        <v/>
      </c>
      <c r="M1070" s="62" t="str">
        <f aca="false">IF(IsPro,IF($D1070="","",IFERROR(INDEX(Items!$F$5:$F$504,U1070),0)),"")</f>
        <v/>
      </c>
      <c r="N1070" s="61" t="str">
        <f aca="false">IF(IsPro,IF($D1070="","",IF(AND(V1070&lt;&gt;"",INDEX(Parties!$E$5:$E$304,V1070)&lt;&gt;"",INDEX(Parties!$E$5:$E$304,V1070)&lt;&gt;HomeState),0,ROUND(L1070*M1070/2,2))),"")</f>
        <v/>
      </c>
      <c r="O1070" s="61" t="str">
        <f aca="false">IF(IsPro,IF($D1070="","",N1070),"")</f>
        <v/>
      </c>
      <c r="P1070" s="61" t="str">
        <f aca="false">IF(IsPro,IF($D1070="","",IF(AND(V1070&lt;&gt;"",INDEX(Parties!$E$5:$E$304,V1070)&lt;&gt;"",INDEX(Parties!$E$5:$E$304,V1070)&lt;&gt;HomeState),ROUND(L1070*M1070,2),0)),"")</f>
        <v/>
      </c>
      <c r="Q1070" s="61" t="str">
        <f aca="false">IF(IsPro,IF($D1070="","",L1070+N1070+O1070+P1070),"")</f>
        <v/>
      </c>
      <c r="R1070" s="61" t="str">
        <f aca="false">IF(IsPro,IF($D1070="","",ROUND(N($E1070)*IFERROR(INDEX(Items!$P$5:$P$504,U1070),0),2)),"")</f>
        <v/>
      </c>
      <c r="S1070" s="61" t="str">
        <f aca="false">IF(IsPro,IF($D1070="","",L1070-R1070),"")</f>
        <v/>
      </c>
      <c r="T1070" s="60" t="str">
        <f aca="false">IF(IsPro,IF($D1070="","",IF(U1070="","UNKNOWN ITEM",IF(INDEX(Items!$O$5:$O$504,U1070)&lt;0,"NEG STOCK",IF(K1070&lt;INDEX(Items!$P$5:$P$504,U1070),"BELOW COST","OK")))),IF($D1070="","","PRO PLAN"))</f>
        <v/>
      </c>
      <c r="U1070" s="60" t="str">
        <f aca="false">IF(IsPro,IF($D1070="","",IFERROR(MATCH($D1070,Items!$A$5:$A$504,0),"")),"")</f>
        <v/>
      </c>
      <c r="V1070" s="60" t="str">
        <f aca="false">IF(IsPro,IF($C1070="","",IFERROR(MATCH($C1070,Parties!$A$5:$A$304,0),"")),"")</f>
        <v/>
      </c>
      <c r="W1070" s="60" t="str">
        <f aca="false">IF(IsPro,IF($B1070="","",IFERROR(VALUE(SUBSTITUTE($B1070,InvPrefix,"")),0)),"")</f>
        <v/>
      </c>
      <c r="X1070" s="61" t="str">
        <f aca="false">IF(IsPro,IF($D1070="","",IF(OR($H1070="",$H1070="Credit"),0,Q1070)),"")</f>
        <v/>
      </c>
    </row>
    <row r="1071" customFormat="false" ht="15" hidden="false" customHeight="false" outlineLevel="0" collapsed="false">
      <c r="A1071" s="55"/>
      <c r="B1071" s="56"/>
      <c r="C1071" s="56"/>
      <c r="D1071" s="56"/>
      <c r="E1071" s="57"/>
      <c r="F1071" s="58"/>
      <c r="G1071" s="59"/>
      <c r="H1071" s="56"/>
      <c r="I1071" s="56"/>
      <c r="J1071" s="60" t="str">
        <f aca="false">IF(IsPro,IF($D1071="","",IFERROR(INDEX(Items!$D$5:$D$504,U1071),"")),"")</f>
        <v/>
      </c>
      <c r="K1071" s="61" t="str">
        <f aca="false">IF(IsPro,IF($D1071="","",IF($F1071="",IFERROR(INDEX(Items!$H$5:$H$504,U1071),0),$F1071)),"")</f>
        <v/>
      </c>
      <c r="L1071" s="61" t="str">
        <f aca="false">IF(IsPro,IF($D1071="","",ROUND(N($E1071)*K1071*(1-N($G1071)),2)),"")</f>
        <v/>
      </c>
      <c r="M1071" s="62" t="str">
        <f aca="false">IF(IsPro,IF($D1071="","",IFERROR(INDEX(Items!$F$5:$F$504,U1071),0)),"")</f>
        <v/>
      </c>
      <c r="N1071" s="61" t="str">
        <f aca="false">IF(IsPro,IF($D1071="","",IF(AND(V1071&lt;&gt;"",INDEX(Parties!$E$5:$E$304,V1071)&lt;&gt;"",INDEX(Parties!$E$5:$E$304,V1071)&lt;&gt;HomeState),0,ROUND(L1071*M1071/2,2))),"")</f>
        <v/>
      </c>
      <c r="O1071" s="61" t="str">
        <f aca="false">IF(IsPro,IF($D1071="","",N1071),"")</f>
        <v/>
      </c>
      <c r="P1071" s="61" t="str">
        <f aca="false">IF(IsPro,IF($D1071="","",IF(AND(V1071&lt;&gt;"",INDEX(Parties!$E$5:$E$304,V1071)&lt;&gt;"",INDEX(Parties!$E$5:$E$304,V1071)&lt;&gt;HomeState),ROUND(L1071*M1071,2),0)),"")</f>
        <v/>
      </c>
      <c r="Q1071" s="61" t="str">
        <f aca="false">IF(IsPro,IF($D1071="","",L1071+N1071+O1071+P1071),"")</f>
        <v/>
      </c>
      <c r="R1071" s="61" t="str">
        <f aca="false">IF(IsPro,IF($D1071="","",ROUND(N($E1071)*IFERROR(INDEX(Items!$P$5:$P$504,U1071),0),2)),"")</f>
        <v/>
      </c>
      <c r="S1071" s="61" t="str">
        <f aca="false">IF(IsPro,IF($D1071="","",L1071-R1071),"")</f>
        <v/>
      </c>
      <c r="T1071" s="60" t="str">
        <f aca="false">IF(IsPro,IF($D1071="","",IF(U1071="","UNKNOWN ITEM",IF(INDEX(Items!$O$5:$O$504,U1071)&lt;0,"NEG STOCK",IF(K1071&lt;INDEX(Items!$P$5:$P$504,U1071),"BELOW COST","OK")))),IF($D1071="","","PRO PLAN"))</f>
        <v/>
      </c>
      <c r="U1071" s="60" t="str">
        <f aca="false">IF(IsPro,IF($D1071="","",IFERROR(MATCH($D1071,Items!$A$5:$A$504,0),"")),"")</f>
        <v/>
      </c>
      <c r="V1071" s="60" t="str">
        <f aca="false">IF(IsPro,IF($C1071="","",IFERROR(MATCH($C1071,Parties!$A$5:$A$304,0),"")),"")</f>
        <v/>
      </c>
      <c r="W1071" s="60" t="str">
        <f aca="false">IF(IsPro,IF($B1071="","",IFERROR(VALUE(SUBSTITUTE($B1071,InvPrefix,"")),0)),"")</f>
        <v/>
      </c>
      <c r="X1071" s="61" t="str">
        <f aca="false">IF(IsPro,IF($D1071="","",IF(OR($H1071="",$H1071="Credit"),0,Q1071)),"")</f>
        <v/>
      </c>
    </row>
    <row r="1072" customFormat="false" ht="15" hidden="false" customHeight="false" outlineLevel="0" collapsed="false">
      <c r="A1072" s="55"/>
      <c r="B1072" s="56"/>
      <c r="C1072" s="56"/>
      <c r="D1072" s="56"/>
      <c r="E1072" s="57"/>
      <c r="F1072" s="58"/>
      <c r="G1072" s="59"/>
      <c r="H1072" s="56"/>
      <c r="I1072" s="56"/>
      <c r="J1072" s="60" t="str">
        <f aca="false">IF(IsPro,IF($D1072="","",IFERROR(INDEX(Items!$D$5:$D$504,U1072),"")),"")</f>
        <v/>
      </c>
      <c r="K1072" s="61" t="str">
        <f aca="false">IF(IsPro,IF($D1072="","",IF($F1072="",IFERROR(INDEX(Items!$H$5:$H$504,U1072),0),$F1072)),"")</f>
        <v/>
      </c>
      <c r="L1072" s="61" t="str">
        <f aca="false">IF(IsPro,IF($D1072="","",ROUND(N($E1072)*K1072*(1-N($G1072)),2)),"")</f>
        <v/>
      </c>
      <c r="M1072" s="62" t="str">
        <f aca="false">IF(IsPro,IF($D1072="","",IFERROR(INDEX(Items!$F$5:$F$504,U1072),0)),"")</f>
        <v/>
      </c>
      <c r="N1072" s="61" t="str">
        <f aca="false">IF(IsPro,IF($D1072="","",IF(AND(V1072&lt;&gt;"",INDEX(Parties!$E$5:$E$304,V1072)&lt;&gt;"",INDEX(Parties!$E$5:$E$304,V1072)&lt;&gt;HomeState),0,ROUND(L1072*M1072/2,2))),"")</f>
        <v/>
      </c>
      <c r="O1072" s="61" t="str">
        <f aca="false">IF(IsPro,IF($D1072="","",N1072),"")</f>
        <v/>
      </c>
      <c r="P1072" s="61" t="str">
        <f aca="false">IF(IsPro,IF($D1072="","",IF(AND(V1072&lt;&gt;"",INDEX(Parties!$E$5:$E$304,V1072)&lt;&gt;"",INDEX(Parties!$E$5:$E$304,V1072)&lt;&gt;HomeState),ROUND(L1072*M1072,2),0)),"")</f>
        <v/>
      </c>
      <c r="Q1072" s="61" t="str">
        <f aca="false">IF(IsPro,IF($D1072="","",L1072+N1072+O1072+P1072),"")</f>
        <v/>
      </c>
      <c r="R1072" s="61" t="str">
        <f aca="false">IF(IsPro,IF($D1072="","",ROUND(N($E1072)*IFERROR(INDEX(Items!$P$5:$P$504,U1072),0),2)),"")</f>
        <v/>
      </c>
      <c r="S1072" s="61" t="str">
        <f aca="false">IF(IsPro,IF($D1072="","",L1072-R1072),"")</f>
        <v/>
      </c>
      <c r="T1072" s="60" t="str">
        <f aca="false">IF(IsPro,IF($D1072="","",IF(U1072="","UNKNOWN ITEM",IF(INDEX(Items!$O$5:$O$504,U1072)&lt;0,"NEG STOCK",IF(K1072&lt;INDEX(Items!$P$5:$P$504,U1072),"BELOW COST","OK")))),IF($D1072="","","PRO PLAN"))</f>
        <v/>
      </c>
      <c r="U1072" s="60" t="str">
        <f aca="false">IF(IsPro,IF($D1072="","",IFERROR(MATCH($D1072,Items!$A$5:$A$504,0),"")),"")</f>
        <v/>
      </c>
      <c r="V1072" s="60" t="str">
        <f aca="false">IF(IsPro,IF($C1072="","",IFERROR(MATCH($C1072,Parties!$A$5:$A$304,0),"")),"")</f>
        <v/>
      </c>
      <c r="W1072" s="60" t="str">
        <f aca="false">IF(IsPro,IF($B1072="","",IFERROR(VALUE(SUBSTITUTE($B1072,InvPrefix,"")),0)),"")</f>
        <v/>
      </c>
      <c r="X1072" s="61" t="str">
        <f aca="false">IF(IsPro,IF($D1072="","",IF(OR($H1072="",$H1072="Credit"),0,Q1072)),"")</f>
        <v/>
      </c>
    </row>
    <row r="1073" customFormat="false" ht="15" hidden="false" customHeight="false" outlineLevel="0" collapsed="false">
      <c r="A1073" s="55"/>
      <c r="B1073" s="56"/>
      <c r="C1073" s="56"/>
      <c r="D1073" s="56"/>
      <c r="E1073" s="57"/>
      <c r="F1073" s="58"/>
      <c r="G1073" s="59"/>
      <c r="H1073" s="56"/>
      <c r="I1073" s="56"/>
      <c r="J1073" s="60" t="str">
        <f aca="false">IF(IsPro,IF($D1073="","",IFERROR(INDEX(Items!$D$5:$D$504,U1073),"")),"")</f>
        <v/>
      </c>
      <c r="K1073" s="61" t="str">
        <f aca="false">IF(IsPro,IF($D1073="","",IF($F1073="",IFERROR(INDEX(Items!$H$5:$H$504,U1073),0),$F1073)),"")</f>
        <v/>
      </c>
      <c r="L1073" s="61" t="str">
        <f aca="false">IF(IsPro,IF($D1073="","",ROUND(N($E1073)*K1073*(1-N($G1073)),2)),"")</f>
        <v/>
      </c>
      <c r="M1073" s="62" t="str">
        <f aca="false">IF(IsPro,IF($D1073="","",IFERROR(INDEX(Items!$F$5:$F$504,U1073),0)),"")</f>
        <v/>
      </c>
      <c r="N1073" s="61" t="str">
        <f aca="false">IF(IsPro,IF($D1073="","",IF(AND(V1073&lt;&gt;"",INDEX(Parties!$E$5:$E$304,V1073)&lt;&gt;"",INDEX(Parties!$E$5:$E$304,V1073)&lt;&gt;HomeState),0,ROUND(L1073*M1073/2,2))),"")</f>
        <v/>
      </c>
      <c r="O1073" s="61" t="str">
        <f aca="false">IF(IsPro,IF($D1073="","",N1073),"")</f>
        <v/>
      </c>
      <c r="P1073" s="61" t="str">
        <f aca="false">IF(IsPro,IF($D1073="","",IF(AND(V1073&lt;&gt;"",INDEX(Parties!$E$5:$E$304,V1073)&lt;&gt;"",INDEX(Parties!$E$5:$E$304,V1073)&lt;&gt;HomeState),ROUND(L1073*M1073,2),0)),"")</f>
        <v/>
      </c>
      <c r="Q1073" s="61" t="str">
        <f aca="false">IF(IsPro,IF($D1073="","",L1073+N1073+O1073+P1073),"")</f>
        <v/>
      </c>
      <c r="R1073" s="61" t="str">
        <f aca="false">IF(IsPro,IF($D1073="","",ROUND(N($E1073)*IFERROR(INDEX(Items!$P$5:$P$504,U1073),0),2)),"")</f>
        <v/>
      </c>
      <c r="S1073" s="61" t="str">
        <f aca="false">IF(IsPro,IF($D1073="","",L1073-R1073),"")</f>
        <v/>
      </c>
      <c r="T1073" s="60" t="str">
        <f aca="false">IF(IsPro,IF($D1073="","",IF(U1073="","UNKNOWN ITEM",IF(INDEX(Items!$O$5:$O$504,U1073)&lt;0,"NEG STOCK",IF(K1073&lt;INDEX(Items!$P$5:$P$504,U1073),"BELOW COST","OK")))),IF($D1073="","","PRO PLAN"))</f>
        <v/>
      </c>
      <c r="U1073" s="60" t="str">
        <f aca="false">IF(IsPro,IF($D1073="","",IFERROR(MATCH($D1073,Items!$A$5:$A$504,0),"")),"")</f>
        <v/>
      </c>
      <c r="V1073" s="60" t="str">
        <f aca="false">IF(IsPro,IF($C1073="","",IFERROR(MATCH($C1073,Parties!$A$5:$A$304,0),"")),"")</f>
        <v/>
      </c>
      <c r="W1073" s="60" t="str">
        <f aca="false">IF(IsPro,IF($B1073="","",IFERROR(VALUE(SUBSTITUTE($B1073,InvPrefix,"")),0)),"")</f>
        <v/>
      </c>
      <c r="X1073" s="61" t="str">
        <f aca="false">IF(IsPro,IF($D1073="","",IF(OR($H1073="",$H1073="Credit"),0,Q1073)),"")</f>
        <v/>
      </c>
    </row>
    <row r="1074" customFormat="false" ht="15" hidden="false" customHeight="false" outlineLevel="0" collapsed="false">
      <c r="A1074" s="55"/>
      <c r="B1074" s="56"/>
      <c r="C1074" s="56"/>
      <c r="D1074" s="56"/>
      <c r="E1074" s="57"/>
      <c r="F1074" s="58"/>
      <c r="G1074" s="59"/>
      <c r="H1074" s="56"/>
      <c r="I1074" s="56"/>
      <c r="J1074" s="60" t="str">
        <f aca="false">IF(IsPro,IF($D1074="","",IFERROR(INDEX(Items!$D$5:$D$504,U1074),"")),"")</f>
        <v/>
      </c>
      <c r="K1074" s="61" t="str">
        <f aca="false">IF(IsPro,IF($D1074="","",IF($F1074="",IFERROR(INDEX(Items!$H$5:$H$504,U1074),0),$F1074)),"")</f>
        <v/>
      </c>
      <c r="L1074" s="61" t="str">
        <f aca="false">IF(IsPro,IF($D1074="","",ROUND(N($E1074)*K1074*(1-N($G1074)),2)),"")</f>
        <v/>
      </c>
      <c r="M1074" s="62" t="str">
        <f aca="false">IF(IsPro,IF($D1074="","",IFERROR(INDEX(Items!$F$5:$F$504,U1074),0)),"")</f>
        <v/>
      </c>
      <c r="N1074" s="61" t="str">
        <f aca="false">IF(IsPro,IF($D1074="","",IF(AND(V1074&lt;&gt;"",INDEX(Parties!$E$5:$E$304,V1074)&lt;&gt;"",INDEX(Parties!$E$5:$E$304,V1074)&lt;&gt;HomeState),0,ROUND(L1074*M1074/2,2))),"")</f>
        <v/>
      </c>
      <c r="O1074" s="61" t="str">
        <f aca="false">IF(IsPro,IF($D1074="","",N1074),"")</f>
        <v/>
      </c>
      <c r="P1074" s="61" t="str">
        <f aca="false">IF(IsPro,IF($D1074="","",IF(AND(V1074&lt;&gt;"",INDEX(Parties!$E$5:$E$304,V1074)&lt;&gt;"",INDEX(Parties!$E$5:$E$304,V1074)&lt;&gt;HomeState),ROUND(L1074*M1074,2),0)),"")</f>
        <v/>
      </c>
      <c r="Q1074" s="61" t="str">
        <f aca="false">IF(IsPro,IF($D1074="","",L1074+N1074+O1074+P1074),"")</f>
        <v/>
      </c>
      <c r="R1074" s="61" t="str">
        <f aca="false">IF(IsPro,IF($D1074="","",ROUND(N($E1074)*IFERROR(INDEX(Items!$P$5:$P$504,U1074),0),2)),"")</f>
        <v/>
      </c>
      <c r="S1074" s="61" t="str">
        <f aca="false">IF(IsPro,IF($D1074="","",L1074-R1074),"")</f>
        <v/>
      </c>
      <c r="T1074" s="60" t="str">
        <f aca="false">IF(IsPro,IF($D1074="","",IF(U1074="","UNKNOWN ITEM",IF(INDEX(Items!$O$5:$O$504,U1074)&lt;0,"NEG STOCK",IF(K1074&lt;INDEX(Items!$P$5:$P$504,U1074),"BELOW COST","OK")))),IF($D1074="","","PRO PLAN"))</f>
        <v/>
      </c>
      <c r="U1074" s="60" t="str">
        <f aca="false">IF(IsPro,IF($D1074="","",IFERROR(MATCH($D1074,Items!$A$5:$A$504,0),"")),"")</f>
        <v/>
      </c>
      <c r="V1074" s="60" t="str">
        <f aca="false">IF(IsPro,IF($C1074="","",IFERROR(MATCH($C1074,Parties!$A$5:$A$304,0),"")),"")</f>
        <v/>
      </c>
      <c r="W1074" s="60" t="str">
        <f aca="false">IF(IsPro,IF($B1074="","",IFERROR(VALUE(SUBSTITUTE($B1074,InvPrefix,"")),0)),"")</f>
        <v/>
      </c>
      <c r="X1074" s="61" t="str">
        <f aca="false">IF(IsPro,IF($D1074="","",IF(OR($H1074="",$H1074="Credit"),0,Q1074)),"")</f>
        <v/>
      </c>
    </row>
    <row r="1075" customFormat="false" ht="15" hidden="false" customHeight="false" outlineLevel="0" collapsed="false">
      <c r="A1075" s="55"/>
      <c r="B1075" s="56"/>
      <c r="C1075" s="56"/>
      <c r="D1075" s="56"/>
      <c r="E1075" s="57"/>
      <c r="F1075" s="58"/>
      <c r="G1075" s="59"/>
      <c r="H1075" s="56"/>
      <c r="I1075" s="56"/>
      <c r="J1075" s="60" t="str">
        <f aca="false">IF(IsPro,IF($D1075="","",IFERROR(INDEX(Items!$D$5:$D$504,U1075),"")),"")</f>
        <v/>
      </c>
      <c r="K1075" s="61" t="str">
        <f aca="false">IF(IsPro,IF($D1075="","",IF($F1075="",IFERROR(INDEX(Items!$H$5:$H$504,U1075),0),$F1075)),"")</f>
        <v/>
      </c>
      <c r="L1075" s="61" t="str">
        <f aca="false">IF(IsPro,IF($D1075="","",ROUND(N($E1075)*K1075*(1-N($G1075)),2)),"")</f>
        <v/>
      </c>
      <c r="M1075" s="62" t="str">
        <f aca="false">IF(IsPro,IF($D1075="","",IFERROR(INDEX(Items!$F$5:$F$504,U1075),0)),"")</f>
        <v/>
      </c>
      <c r="N1075" s="61" t="str">
        <f aca="false">IF(IsPro,IF($D1075="","",IF(AND(V1075&lt;&gt;"",INDEX(Parties!$E$5:$E$304,V1075)&lt;&gt;"",INDEX(Parties!$E$5:$E$304,V1075)&lt;&gt;HomeState),0,ROUND(L1075*M1075/2,2))),"")</f>
        <v/>
      </c>
      <c r="O1075" s="61" t="str">
        <f aca="false">IF(IsPro,IF($D1075="","",N1075),"")</f>
        <v/>
      </c>
      <c r="P1075" s="61" t="str">
        <f aca="false">IF(IsPro,IF($D1075="","",IF(AND(V1075&lt;&gt;"",INDEX(Parties!$E$5:$E$304,V1075)&lt;&gt;"",INDEX(Parties!$E$5:$E$304,V1075)&lt;&gt;HomeState),ROUND(L1075*M1075,2),0)),"")</f>
        <v/>
      </c>
      <c r="Q1075" s="61" t="str">
        <f aca="false">IF(IsPro,IF($D1075="","",L1075+N1075+O1075+P1075),"")</f>
        <v/>
      </c>
      <c r="R1075" s="61" t="str">
        <f aca="false">IF(IsPro,IF($D1075="","",ROUND(N($E1075)*IFERROR(INDEX(Items!$P$5:$P$504,U1075),0),2)),"")</f>
        <v/>
      </c>
      <c r="S1075" s="61" t="str">
        <f aca="false">IF(IsPro,IF($D1075="","",L1075-R1075),"")</f>
        <v/>
      </c>
      <c r="T1075" s="60" t="str">
        <f aca="false">IF(IsPro,IF($D1075="","",IF(U1075="","UNKNOWN ITEM",IF(INDEX(Items!$O$5:$O$504,U1075)&lt;0,"NEG STOCK",IF(K1075&lt;INDEX(Items!$P$5:$P$504,U1075),"BELOW COST","OK")))),IF($D1075="","","PRO PLAN"))</f>
        <v/>
      </c>
      <c r="U1075" s="60" t="str">
        <f aca="false">IF(IsPro,IF($D1075="","",IFERROR(MATCH($D1075,Items!$A$5:$A$504,0),"")),"")</f>
        <v/>
      </c>
      <c r="V1075" s="60" t="str">
        <f aca="false">IF(IsPro,IF($C1075="","",IFERROR(MATCH($C1075,Parties!$A$5:$A$304,0),"")),"")</f>
        <v/>
      </c>
      <c r="W1075" s="60" t="str">
        <f aca="false">IF(IsPro,IF($B1075="","",IFERROR(VALUE(SUBSTITUTE($B1075,InvPrefix,"")),0)),"")</f>
        <v/>
      </c>
      <c r="X1075" s="61" t="str">
        <f aca="false">IF(IsPro,IF($D1075="","",IF(OR($H1075="",$H1075="Credit"),0,Q1075)),"")</f>
        <v/>
      </c>
    </row>
    <row r="1076" customFormat="false" ht="15" hidden="false" customHeight="false" outlineLevel="0" collapsed="false">
      <c r="A1076" s="55"/>
      <c r="B1076" s="56"/>
      <c r="C1076" s="56"/>
      <c r="D1076" s="56"/>
      <c r="E1076" s="57"/>
      <c r="F1076" s="58"/>
      <c r="G1076" s="59"/>
      <c r="H1076" s="56"/>
      <c r="I1076" s="56"/>
      <c r="J1076" s="60" t="str">
        <f aca="false">IF(IsPro,IF($D1076="","",IFERROR(INDEX(Items!$D$5:$D$504,U1076),"")),"")</f>
        <v/>
      </c>
      <c r="K1076" s="61" t="str">
        <f aca="false">IF(IsPro,IF($D1076="","",IF($F1076="",IFERROR(INDEX(Items!$H$5:$H$504,U1076),0),$F1076)),"")</f>
        <v/>
      </c>
      <c r="L1076" s="61" t="str">
        <f aca="false">IF(IsPro,IF($D1076="","",ROUND(N($E1076)*K1076*(1-N($G1076)),2)),"")</f>
        <v/>
      </c>
      <c r="M1076" s="62" t="str">
        <f aca="false">IF(IsPro,IF($D1076="","",IFERROR(INDEX(Items!$F$5:$F$504,U1076),0)),"")</f>
        <v/>
      </c>
      <c r="N1076" s="61" t="str">
        <f aca="false">IF(IsPro,IF($D1076="","",IF(AND(V1076&lt;&gt;"",INDEX(Parties!$E$5:$E$304,V1076)&lt;&gt;"",INDEX(Parties!$E$5:$E$304,V1076)&lt;&gt;HomeState),0,ROUND(L1076*M1076/2,2))),"")</f>
        <v/>
      </c>
      <c r="O1076" s="61" t="str">
        <f aca="false">IF(IsPro,IF($D1076="","",N1076),"")</f>
        <v/>
      </c>
      <c r="P1076" s="61" t="str">
        <f aca="false">IF(IsPro,IF($D1076="","",IF(AND(V1076&lt;&gt;"",INDEX(Parties!$E$5:$E$304,V1076)&lt;&gt;"",INDEX(Parties!$E$5:$E$304,V1076)&lt;&gt;HomeState),ROUND(L1076*M1076,2),0)),"")</f>
        <v/>
      </c>
      <c r="Q1076" s="61" t="str">
        <f aca="false">IF(IsPro,IF($D1076="","",L1076+N1076+O1076+P1076),"")</f>
        <v/>
      </c>
      <c r="R1076" s="61" t="str">
        <f aca="false">IF(IsPro,IF($D1076="","",ROUND(N($E1076)*IFERROR(INDEX(Items!$P$5:$P$504,U1076),0),2)),"")</f>
        <v/>
      </c>
      <c r="S1076" s="61" t="str">
        <f aca="false">IF(IsPro,IF($D1076="","",L1076-R1076),"")</f>
        <v/>
      </c>
      <c r="T1076" s="60" t="str">
        <f aca="false">IF(IsPro,IF($D1076="","",IF(U1076="","UNKNOWN ITEM",IF(INDEX(Items!$O$5:$O$504,U1076)&lt;0,"NEG STOCK",IF(K1076&lt;INDEX(Items!$P$5:$P$504,U1076),"BELOW COST","OK")))),IF($D1076="","","PRO PLAN"))</f>
        <v/>
      </c>
      <c r="U1076" s="60" t="str">
        <f aca="false">IF(IsPro,IF($D1076="","",IFERROR(MATCH($D1076,Items!$A$5:$A$504,0),"")),"")</f>
        <v/>
      </c>
      <c r="V1076" s="60" t="str">
        <f aca="false">IF(IsPro,IF($C1076="","",IFERROR(MATCH($C1076,Parties!$A$5:$A$304,0),"")),"")</f>
        <v/>
      </c>
      <c r="W1076" s="60" t="str">
        <f aca="false">IF(IsPro,IF($B1076="","",IFERROR(VALUE(SUBSTITUTE($B1076,InvPrefix,"")),0)),"")</f>
        <v/>
      </c>
      <c r="X1076" s="61" t="str">
        <f aca="false">IF(IsPro,IF($D1076="","",IF(OR($H1076="",$H1076="Credit"),0,Q1076)),"")</f>
        <v/>
      </c>
    </row>
    <row r="1077" customFormat="false" ht="15" hidden="false" customHeight="false" outlineLevel="0" collapsed="false">
      <c r="A1077" s="55"/>
      <c r="B1077" s="56"/>
      <c r="C1077" s="56"/>
      <c r="D1077" s="56"/>
      <c r="E1077" s="57"/>
      <c r="F1077" s="58"/>
      <c r="G1077" s="59"/>
      <c r="H1077" s="56"/>
      <c r="I1077" s="56"/>
      <c r="J1077" s="60" t="str">
        <f aca="false">IF(IsPro,IF($D1077="","",IFERROR(INDEX(Items!$D$5:$D$504,U1077),"")),"")</f>
        <v/>
      </c>
      <c r="K1077" s="61" t="str">
        <f aca="false">IF(IsPro,IF($D1077="","",IF($F1077="",IFERROR(INDEX(Items!$H$5:$H$504,U1077),0),$F1077)),"")</f>
        <v/>
      </c>
      <c r="L1077" s="61" t="str">
        <f aca="false">IF(IsPro,IF($D1077="","",ROUND(N($E1077)*K1077*(1-N($G1077)),2)),"")</f>
        <v/>
      </c>
      <c r="M1077" s="62" t="str">
        <f aca="false">IF(IsPro,IF($D1077="","",IFERROR(INDEX(Items!$F$5:$F$504,U1077),0)),"")</f>
        <v/>
      </c>
      <c r="N1077" s="61" t="str">
        <f aca="false">IF(IsPro,IF($D1077="","",IF(AND(V1077&lt;&gt;"",INDEX(Parties!$E$5:$E$304,V1077)&lt;&gt;"",INDEX(Parties!$E$5:$E$304,V1077)&lt;&gt;HomeState),0,ROUND(L1077*M1077/2,2))),"")</f>
        <v/>
      </c>
      <c r="O1077" s="61" t="str">
        <f aca="false">IF(IsPro,IF($D1077="","",N1077),"")</f>
        <v/>
      </c>
      <c r="P1077" s="61" t="str">
        <f aca="false">IF(IsPro,IF($D1077="","",IF(AND(V1077&lt;&gt;"",INDEX(Parties!$E$5:$E$304,V1077)&lt;&gt;"",INDEX(Parties!$E$5:$E$304,V1077)&lt;&gt;HomeState),ROUND(L1077*M1077,2),0)),"")</f>
        <v/>
      </c>
      <c r="Q1077" s="61" t="str">
        <f aca="false">IF(IsPro,IF($D1077="","",L1077+N1077+O1077+P1077),"")</f>
        <v/>
      </c>
      <c r="R1077" s="61" t="str">
        <f aca="false">IF(IsPro,IF($D1077="","",ROUND(N($E1077)*IFERROR(INDEX(Items!$P$5:$P$504,U1077),0),2)),"")</f>
        <v/>
      </c>
      <c r="S1077" s="61" t="str">
        <f aca="false">IF(IsPro,IF($D1077="","",L1077-R1077),"")</f>
        <v/>
      </c>
      <c r="T1077" s="60" t="str">
        <f aca="false">IF(IsPro,IF($D1077="","",IF(U1077="","UNKNOWN ITEM",IF(INDEX(Items!$O$5:$O$504,U1077)&lt;0,"NEG STOCK",IF(K1077&lt;INDEX(Items!$P$5:$P$504,U1077),"BELOW COST","OK")))),IF($D1077="","","PRO PLAN"))</f>
        <v/>
      </c>
      <c r="U1077" s="60" t="str">
        <f aca="false">IF(IsPro,IF($D1077="","",IFERROR(MATCH($D1077,Items!$A$5:$A$504,0),"")),"")</f>
        <v/>
      </c>
      <c r="V1077" s="60" t="str">
        <f aca="false">IF(IsPro,IF($C1077="","",IFERROR(MATCH($C1077,Parties!$A$5:$A$304,0),"")),"")</f>
        <v/>
      </c>
      <c r="W1077" s="60" t="str">
        <f aca="false">IF(IsPro,IF($B1077="","",IFERROR(VALUE(SUBSTITUTE($B1077,InvPrefix,"")),0)),"")</f>
        <v/>
      </c>
      <c r="X1077" s="61" t="str">
        <f aca="false">IF(IsPro,IF($D1077="","",IF(OR($H1077="",$H1077="Credit"),0,Q1077)),"")</f>
        <v/>
      </c>
    </row>
    <row r="1078" customFormat="false" ht="15" hidden="false" customHeight="false" outlineLevel="0" collapsed="false">
      <c r="A1078" s="55"/>
      <c r="B1078" s="56"/>
      <c r="C1078" s="56"/>
      <c r="D1078" s="56"/>
      <c r="E1078" s="57"/>
      <c r="F1078" s="58"/>
      <c r="G1078" s="59"/>
      <c r="H1078" s="56"/>
      <c r="I1078" s="56"/>
      <c r="J1078" s="60" t="str">
        <f aca="false">IF(IsPro,IF($D1078="","",IFERROR(INDEX(Items!$D$5:$D$504,U1078),"")),"")</f>
        <v/>
      </c>
      <c r="K1078" s="61" t="str">
        <f aca="false">IF(IsPro,IF($D1078="","",IF($F1078="",IFERROR(INDEX(Items!$H$5:$H$504,U1078),0),$F1078)),"")</f>
        <v/>
      </c>
      <c r="L1078" s="61" t="str">
        <f aca="false">IF(IsPro,IF($D1078="","",ROUND(N($E1078)*K1078*(1-N($G1078)),2)),"")</f>
        <v/>
      </c>
      <c r="M1078" s="62" t="str">
        <f aca="false">IF(IsPro,IF($D1078="","",IFERROR(INDEX(Items!$F$5:$F$504,U1078),0)),"")</f>
        <v/>
      </c>
      <c r="N1078" s="61" t="str">
        <f aca="false">IF(IsPro,IF($D1078="","",IF(AND(V1078&lt;&gt;"",INDEX(Parties!$E$5:$E$304,V1078)&lt;&gt;"",INDEX(Parties!$E$5:$E$304,V1078)&lt;&gt;HomeState),0,ROUND(L1078*M1078/2,2))),"")</f>
        <v/>
      </c>
      <c r="O1078" s="61" t="str">
        <f aca="false">IF(IsPro,IF($D1078="","",N1078),"")</f>
        <v/>
      </c>
      <c r="P1078" s="61" t="str">
        <f aca="false">IF(IsPro,IF($D1078="","",IF(AND(V1078&lt;&gt;"",INDEX(Parties!$E$5:$E$304,V1078)&lt;&gt;"",INDEX(Parties!$E$5:$E$304,V1078)&lt;&gt;HomeState),ROUND(L1078*M1078,2),0)),"")</f>
        <v/>
      </c>
      <c r="Q1078" s="61" t="str">
        <f aca="false">IF(IsPro,IF($D1078="","",L1078+N1078+O1078+P1078),"")</f>
        <v/>
      </c>
      <c r="R1078" s="61" t="str">
        <f aca="false">IF(IsPro,IF($D1078="","",ROUND(N($E1078)*IFERROR(INDEX(Items!$P$5:$P$504,U1078),0),2)),"")</f>
        <v/>
      </c>
      <c r="S1078" s="61" t="str">
        <f aca="false">IF(IsPro,IF($D1078="","",L1078-R1078),"")</f>
        <v/>
      </c>
      <c r="T1078" s="60" t="str">
        <f aca="false">IF(IsPro,IF($D1078="","",IF(U1078="","UNKNOWN ITEM",IF(INDEX(Items!$O$5:$O$504,U1078)&lt;0,"NEG STOCK",IF(K1078&lt;INDEX(Items!$P$5:$P$504,U1078),"BELOW COST","OK")))),IF($D1078="","","PRO PLAN"))</f>
        <v/>
      </c>
      <c r="U1078" s="60" t="str">
        <f aca="false">IF(IsPro,IF($D1078="","",IFERROR(MATCH($D1078,Items!$A$5:$A$504,0),"")),"")</f>
        <v/>
      </c>
      <c r="V1078" s="60" t="str">
        <f aca="false">IF(IsPro,IF($C1078="","",IFERROR(MATCH($C1078,Parties!$A$5:$A$304,0),"")),"")</f>
        <v/>
      </c>
      <c r="W1078" s="60" t="str">
        <f aca="false">IF(IsPro,IF($B1078="","",IFERROR(VALUE(SUBSTITUTE($B1078,InvPrefix,"")),0)),"")</f>
        <v/>
      </c>
      <c r="X1078" s="61" t="str">
        <f aca="false">IF(IsPro,IF($D1078="","",IF(OR($H1078="",$H1078="Credit"),0,Q1078)),"")</f>
        <v/>
      </c>
    </row>
    <row r="1079" customFormat="false" ht="15" hidden="false" customHeight="false" outlineLevel="0" collapsed="false">
      <c r="A1079" s="55"/>
      <c r="B1079" s="56"/>
      <c r="C1079" s="56"/>
      <c r="D1079" s="56"/>
      <c r="E1079" s="57"/>
      <c r="F1079" s="58"/>
      <c r="G1079" s="59"/>
      <c r="H1079" s="56"/>
      <c r="I1079" s="56"/>
      <c r="J1079" s="60" t="str">
        <f aca="false">IF(IsPro,IF($D1079="","",IFERROR(INDEX(Items!$D$5:$D$504,U1079),"")),"")</f>
        <v/>
      </c>
      <c r="K1079" s="61" t="str">
        <f aca="false">IF(IsPro,IF($D1079="","",IF($F1079="",IFERROR(INDEX(Items!$H$5:$H$504,U1079),0),$F1079)),"")</f>
        <v/>
      </c>
      <c r="L1079" s="61" t="str">
        <f aca="false">IF(IsPro,IF($D1079="","",ROUND(N($E1079)*K1079*(1-N($G1079)),2)),"")</f>
        <v/>
      </c>
      <c r="M1079" s="62" t="str">
        <f aca="false">IF(IsPro,IF($D1079="","",IFERROR(INDEX(Items!$F$5:$F$504,U1079),0)),"")</f>
        <v/>
      </c>
      <c r="N1079" s="61" t="str">
        <f aca="false">IF(IsPro,IF($D1079="","",IF(AND(V1079&lt;&gt;"",INDEX(Parties!$E$5:$E$304,V1079)&lt;&gt;"",INDEX(Parties!$E$5:$E$304,V1079)&lt;&gt;HomeState),0,ROUND(L1079*M1079/2,2))),"")</f>
        <v/>
      </c>
      <c r="O1079" s="61" t="str">
        <f aca="false">IF(IsPro,IF($D1079="","",N1079),"")</f>
        <v/>
      </c>
      <c r="P1079" s="61" t="str">
        <f aca="false">IF(IsPro,IF($D1079="","",IF(AND(V1079&lt;&gt;"",INDEX(Parties!$E$5:$E$304,V1079)&lt;&gt;"",INDEX(Parties!$E$5:$E$304,V1079)&lt;&gt;HomeState),ROUND(L1079*M1079,2),0)),"")</f>
        <v/>
      </c>
      <c r="Q1079" s="61" t="str">
        <f aca="false">IF(IsPro,IF($D1079="","",L1079+N1079+O1079+P1079),"")</f>
        <v/>
      </c>
      <c r="R1079" s="61" t="str">
        <f aca="false">IF(IsPro,IF($D1079="","",ROUND(N($E1079)*IFERROR(INDEX(Items!$P$5:$P$504,U1079),0),2)),"")</f>
        <v/>
      </c>
      <c r="S1079" s="61" t="str">
        <f aca="false">IF(IsPro,IF($D1079="","",L1079-R1079),"")</f>
        <v/>
      </c>
      <c r="T1079" s="60" t="str">
        <f aca="false">IF(IsPro,IF($D1079="","",IF(U1079="","UNKNOWN ITEM",IF(INDEX(Items!$O$5:$O$504,U1079)&lt;0,"NEG STOCK",IF(K1079&lt;INDEX(Items!$P$5:$P$504,U1079),"BELOW COST","OK")))),IF($D1079="","","PRO PLAN"))</f>
        <v/>
      </c>
      <c r="U1079" s="60" t="str">
        <f aca="false">IF(IsPro,IF($D1079="","",IFERROR(MATCH($D1079,Items!$A$5:$A$504,0),"")),"")</f>
        <v/>
      </c>
      <c r="V1079" s="60" t="str">
        <f aca="false">IF(IsPro,IF($C1079="","",IFERROR(MATCH($C1079,Parties!$A$5:$A$304,0),"")),"")</f>
        <v/>
      </c>
      <c r="W1079" s="60" t="str">
        <f aca="false">IF(IsPro,IF($B1079="","",IFERROR(VALUE(SUBSTITUTE($B1079,InvPrefix,"")),0)),"")</f>
        <v/>
      </c>
      <c r="X1079" s="61" t="str">
        <f aca="false">IF(IsPro,IF($D1079="","",IF(OR($H1079="",$H1079="Credit"),0,Q1079)),"")</f>
        <v/>
      </c>
    </row>
    <row r="1080" customFormat="false" ht="15" hidden="false" customHeight="false" outlineLevel="0" collapsed="false">
      <c r="A1080" s="55"/>
      <c r="B1080" s="56"/>
      <c r="C1080" s="56"/>
      <c r="D1080" s="56"/>
      <c r="E1080" s="57"/>
      <c r="F1080" s="58"/>
      <c r="G1080" s="59"/>
      <c r="H1080" s="56"/>
      <c r="I1080" s="56"/>
      <c r="J1080" s="60" t="str">
        <f aca="false">IF(IsPro,IF($D1080="","",IFERROR(INDEX(Items!$D$5:$D$504,U1080),"")),"")</f>
        <v/>
      </c>
      <c r="K1080" s="61" t="str">
        <f aca="false">IF(IsPro,IF($D1080="","",IF($F1080="",IFERROR(INDEX(Items!$H$5:$H$504,U1080),0),$F1080)),"")</f>
        <v/>
      </c>
      <c r="L1080" s="61" t="str">
        <f aca="false">IF(IsPro,IF($D1080="","",ROUND(N($E1080)*K1080*(1-N($G1080)),2)),"")</f>
        <v/>
      </c>
      <c r="M1080" s="62" t="str">
        <f aca="false">IF(IsPro,IF($D1080="","",IFERROR(INDEX(Items!$F$5:$F$504,U1080),0)),"")</f>
        <v/>
      </c>
      <c r="N1080" s="61" t="str">
        <f aca="false">IF(IsPro,IF($D1080="","",IF(AND(V1080&lt;&gt;"",INDEX(Parties!$E$5:$E$304,V1080)&lt;&gt;"",INDEX(Parties!$E$5:$E$304,V1080)&lt;&gt;HomeState),0,ROUND(L1080*M1080/2,2))),"")</f>
        <v/>
      </c>
      <c r="O1080" s="61" t="str">
        <f aca="false">IF(IsPro,IF($D1080="","",N1080),"")</f>
        <v/>
      </c>
      <c r="P1080" s="61" t="str">
        <f aca="false">IF(IsPro,IF($D1080="","",IF(AND(V1080&lt;&gt;"",INDEX(Parties!$E$5:$E$304,V1080)&lt;&gt;"",INDEX(Parties!$E$5:$E$304,V1080)&lt;&gt;HomeState),ROUND(L1080*M1080,2),0)),"")</f>
        <v/>
      </c>
      <c r="Q1080" s="61" t="str">
        <f aca="false">IF(IsPro,IF($D1080="","",L1080+N1080+O1080+P1080),"")</f>
        <v/>
      </c>
      <c r="R1080" s="61" t="str">
        <f aca="false">IF(IsPro,IF($D1080="","",ROUND(N($E1080)*IFERROR(INDEX(Items!$P$5:$P$504,U1080),0),2)),"")</f>
        <v/>
      </c>
      <c r="S1080" s="61" t="str">
        <f aca="false">IF(IsPro,IF($D1080="","",L1080-R1080),"")</f>
        <v/>
      </c>
      <c r="T1080" s="60" t="str">
        <f aca="false">IF(IsPro,IF($D1080="","",IF(U1080="","UNKNOWN ITEM",IF(INDEX(Items!$O$5:$O$504,U1080)&lt;0,"NEG STOCK",IF(K1080&lt;INDEX(Items!$P$5:$P$504,U1080),"BELOW COST","OK")))),IF($D1080="","","PRO PLAN"))</f>
        <v/>
      </c>
      <c r="U1080" s="60" t="str">
        <f aca="false">IF(IsPro,IF($D1080="","",IFERROR(MATCH($D1080,Items!$A$5:$A$504,0),"")),"")</f>
        <v/>
      </c>
      <c r="V1080" s="60" t="str">
        <f aca="false">IF(IsPro,IF($C1080="","",IFERROR(MATCH($C1080,Parties!$A$5:$A$304,0),"")),"")</f>
        <v/>
      </c>
      <c r="W1080" s="60" t="str">
        <f aca="false">IF(IsPro,IF($B1080="","",IFERROR(VALUE(SUBSTITUTE($B1080,InvPrefix,"")),0)),"")</f>
        <v/>
      </c>
      <c r="X1080" s="61" t="str">
        <f aca="false">IF(IsPro,IF($D1080="","",IF(OR($H1080="",$H1080="Credit"),0,Q1080)),"")</f>
        <v/>
      </c>
    </row>
    <row r="1081" customFormat="false" ht="15" hidden="false" customHeight="false" outlineLevel="0" collapsed="false">
      <c r="A1081" s="55"/>
      <c r="B1081" s="56"/>
      <c r="C1081" s="56"/>
      <c r="D1081" s="56"/>
      <c r="E1081" s="57"/>
      <c r="F1081" s="58"/>
      <c r="G1081" s="59"/>
      <c r="H1081" s="56"/>
      <c r="I1081" s="56"/>
      <c r="J1081" s="60" t="str">
        <f aca="false">IF(IsPro,IF($D1081="","",IFERROR(INDEX(Items!$D$5:$D$504,U1081),"")),"")</f>
        <v/>
      </c>
      <c r="K1081" s="61" t="str">
        <f aca="false">IF(IsPro,IF($D1081="","",IF($F1081="",IFERROR(INDEX(Items!$H$5:$H$504,U1081),0),$F1081)),"")</f>
        <v/>
      </c>
      <c r="L1081" s="61" t="str">
        <f aca="false">IF(IsPro,IF($D1081="","",ROUND(N($E1081)*K1081*(1-N($G1081)),2)),"")</f>
        <v/>
      </c>
      <c r="M1081" s="62" t="str">
        <f aca="false">IF(IsPro,IF($D1081="","",IFERROR(INDEX(Items!$F$5:$F$504,U1081),0)),"")</f>
        <v/>
      </c>
      <c r="N1081" s="61" t="str">
        <f aca="false">IF(IsPro,IF($D1081="","",IF(AND(V1081&lt;&gt;"",INDEX(Parties!$E$5:$E$304,V1081)&lt;&gt;"",INDEX(Parties!$E$5:$E$304,V1081)&lt;&gt;HomeState),0,ROUND(L1081*M1081/2,2))),"")</f>
        <v/>
      </c>
      <c r="O1081" s="61" t="str">
        <f aca="false">IF(IsPro,IF($D1081="","",N1081),"")</f>
        <v/>
      </c>
      <c r="P1081" s="61" t="str">
        <f aca="false">IF(IsPro,IF($D1081="","",IF(AND(V1081&lt;&gt;"",INDEX(Parties!$E$5:$E$304,V1081)&lt;&gt;"",INDEX(Parties!$E$5:$E$304,V1081)&lt;&gt;HomeState),ROUND(L1081*M1081,2),0)),"")</f>
        <v/>
      </c>
      <c r="Q1081" s="61" t="str">
        <f aca="false">IF(IsPro,IF($D1081="","",L1081+N1081+O1081+P1081),"")</f>
        <v/>
      </c>
      <c r="R1081" s="61" t="str">
        <f aca="false">IF(IsPro,IF($D1081="","",ROUND(N($E1081)*IFERROR(INDEX(Items!$P$5:$P$504,U1081),0),2)),"")</f>
        <v/>
      </c>
      <c r="S1081" s="61" t="str">
        <f aca="false">IF(IsPro,IF($D1081="","",L1081-R1081),"")</f>
        <v/>
      </c>
      <c r="T1081" s="60" t="str">
        <f aca="false">IF(IsPro,IF($D1081="","",IF(U1081="","UNKNOWN ITEM",IF(INDEX(Items!$O$5:$O$504,U1081)&lt;0,"NEG STOCK",IF(K1081&lt;INDEX(Items!$P$5:$P$504,U1081),"BELOW COST","OK")))),IF($D1081="","","PRO PLAN"))</f>
        <v/>
      </c>
      <c r="U1081" s="60" t="str">
        <f aca="false">IF(IsPro,IF($D1081="","",IFERROR(MATCH($D1081,Items!$A$5:$A$504,0),"")),"")</f>
        <v/>
      </c>
      <c r="V1081" s="60" t="str">
        <f aca="false">IF(IsPro,IF($C1081="","",IFERROR(MATCH($C1081,Parties!$A$5:$A$304,0),"")),"")</f>
        <v/>
      </c>
      <c r="W1081" s="60" t="str">
        <f aca="false">IF(IsPro,IF($B1081="","",IFERROR(VALUE(SUBSTITUTE($B1081,InvPrefix,"")),0)),"")</f>
        <v/>
      </c>
      <c r="X1081" s="61" t="str">
        <f aca="false">IF(IsPro,IF($D1081="","",IF(OR($H1081="",$H1081="Credit"),0,Q1081)),"")</f>
        <v/>
      </c>
    </row>
    <row r="1082" customFormat="false" ht="15" hidden="false" customHeight="false" outlineLevel="0" collapsed="false">
      <c r="A1082" s="55"/>
      <c r="B1082" s="56"/>
      <c r="C1082" s="56"/>
      <c r="D1082" s="56"/>
      <c r="E1082" s="57"/>
      <c r="F1082" s="58"/>
      <c r="G1082" s="59"/>
      <c r="H1082" s="56"/>
      <c r="I1082" s="56"/>
      <c r="J1082" s="60" t="str">
        <f aca="false">IF(IsPro,IF($D1082="","",IFERROR(INDEX(Items!$D$5:$D$504,U1082),"")),"")</f>
        <v/>
      </c>
      <c r="K1082" s="61" t="str">
        <f aca="false">IF(IsPro,IF($D1082="","",IF($F1082="",IFERROR(INDEX(Items!$H$5:$H$504,U1082),0),$F1082)),"")</f>
        <v/>
      </c>
      <c r="L1082" s="61" t="str">
        <f aca="false">IF(IsPro,IF($D1082="","",ROUND(N($E1082)*K1082*(1-N($G1082)),2)),"")</f>
        <v/>
      </c>
      <c r="M1082" s="62" t="str">
        <f aca="false">IF(IsPro,IF($D1082="","",IFERROR(INDEX(Items!$F$5:$F$504,U1082),0)),"")</f>
        <v/>
      </c>
      <c r="N1082" s="61" t="str">
        <f aca="false">IF(IsPro,IF($D1082="","",IF(AND(V1082&lt;&gt;"",INDEX(Parties!$E$5:$E$304,V1082)&lt;&gt;"",INDEX(Parties!$E$5:$E$304,V1082)&lt;&gt;HomeState),0,ROUND(L1082*M1082/2,2))),"")</f>
        <v/>
      </c>
      <c r="O1082" s="61" t="str">
        <f aca="false">IF(IsPro,IF($D1082="","",N1082),"")</f>
        <v/>
      </c>
      <c r="P1082" s="61" t="str">
        <f aca="false">IF(IsPro,IF($D1082="","",IF(AND(V1082&lt;&gt;"",INDEX(Parties!$E$5:$E$304,V1082)&lt;&gt;"",INDEX(Parties!$E$5:$E$304,V1082)&lt;&gt;HomeState),ROUND(L1082*M1082,2),0)),"")</f>
        <v/>
      </c>
      <c r="Q1082" s="61" t="str">
        <f aca="false">IF(IsPro,IF($D1082="","",L1082+N1082+O1082+P1082),"")</f>
        <v/>
      </c>
      <c r="R1082" s="61" t="str">
        <f aca="false">IF(IsPro,IF($D1082="","",ROUND(N($E1082)*IFERROR(INDEX(Items!$P$5:$P$504,U1082),0),2)),"")</f>
        <v/>
      </c>
      <c r="S1082" s="61" t="str">
        <f aca="false">IF(IsPro,IF($D1082="","",L1082-R1082),"")</f>
        <v/>
      </c>
      <c r="T1082" s="60" t="str">
        <f aca="false">IF(IsPro,IF($D1082="","",IF(U1082="","UNKNOWN ITEM",IF(INDEX(Items!$O$5:$O$504,U1082)&lt;0,"NEG STOCK",IF(K1082&lt;INDEX(Items!$P$5:$P$504,U1082),"BELOW COST","OK")))),IF($D1082="","","PRO PLAN"))</f>
        <v/>
      </c>
      <c r="U1082" s="60" t="str">
        <f aca="false">IF(IsPro,IF($D1082="","",IFERROR(MATCH($D1082,Items!$A$5:$A$504,0),"")),"")</f>
        <v/>
      </c>
      <c r="V1082" s="60" t="str">
        <f aca="false">IF(IsPro,IF($C1082="","",IFERROR(MATCH($C1082,Parties!$A$5:$A$304,0),"")),"")</f>
        <v/>
      </c>
      <c r="W1082" s="60" t="str">
        <f aca="false">IF(IsPro,IF($B1082="","",IFERROR(VALUE(SUBSTITUTE($B1082,InvPrefix,"")),0)),"")</f>
        <v/>
      </c>
      <c r="X1082" s="61" t="str">
        <f aca="false">IF(IsPro,IF($D1082="","",IF(OR($H1082="",$H1082="Credit"),0,Q1082)),"")</f>
        <v/>
      </c>
    </row>
    <row r="1083" customFormat="false" ht="15" hidden="false" customHeight="false" outlineLevel="0" collapsed="false">
      <c r="A1083" s="55"/>
      <c r="B1083" s="56"/>
      <c r="C1083" s="56"/>
      <c r="D1083" s="56"/>
      <c r="E1083" s="57"/>
      <c r="F1083" s="58"/>
      <c r="G1083" s="59"/>
      <c r="H1083" s="56"/>
      <c r="I1083" s="56"/>
      <c r="J1083" s="60" t="str">
        <f aca="false">IF(IsPro,IF($D1083="","",IFERROR(INDEX(Items!$D$5:$D$504,U1083),"")),"")</f>
        <v/>
      </c>
      <c r="K1083" s="61" t="str">
        <f aca="false">IF(IsPro,IF($D1083="","",IF($F1083="",IFERROR(INDEX(Items!$H$5:$H$504,U1083),0),$F1083)),"")</f>
        <v/>
      </c>
      <c r="L1083" s="61" t="str">
        <f aca="false">IF(IsPro,IF($D1083="","",ROUND(N($E1083)*K1083*(1-N($G1083)),2)),"")</f>
        <v/>
      </c>
      <c r="M1083" s="62" t="str">
        <f aca="false">IF(IsPro,IF($D1083="","",IFERROR(INDEX(Items!$F$5:$F$504,U1083),0)),"")</f>
        <v/>
      </c>
      <c r="N1083" s="61" t="str">
        <f aca="false">IF(IsPro,IF($D1083="","",IF(AND(V1083&lt;&gt;"",INDEX(Parties!$E$5:$E$304,V1083)&lt;&gt;"",INDEX(Parties!$E$5:$E$304,V1083)&lt;&gt;HomeState),0,ROUND(L1083*M1083/2,2))),"")</f>
        <v/>
      </c>
      <c r="O1083" s="61" t="str">
        <f aca="false">IF(IsPro,IF($D1083="","",N1083),"")</f>
        <v/>
      </c>
      <c r="P1083" s="61" t="str">
        <f aca="false">IF(IsPro,IF($D1083="","",IF(AND(V1083&lt;&gt;"",INDEX(Parties!$E$5:$E$304,V1083)&lt;&gt;"",INDEX(Parties!$E$5:$E$304,V1083)&lt;&gt;HomeState),ROUND(L1083*M1083,2),0)),"")</f>
        <v/>
      </c>
      <c r="Q1083" s="61" t="str">
        <f aca="false">IF(IsPro,IF($D1083="","",L1083+N1083+O1083+P1083),"")</f>
        <v/>
      </c>
      <c r="R1083" s="61" t="str">
        <f aca="false">IF(IsPro,IF($D1083="","",ROUND(N($E1083)*IFERROR(INDEX(Items!$P$5:$P$504,U1083),0),2)),"")</f>
        <v/>
      </c>
      <c r="S1083" s="61" t="str">
        <f aca="false">IF(IsPro,IF($D1083="","",L1083-R1083),"")</f>
        <v/>
      </c>
      <c r="T1083" s="60" t="str">
        <f aca="false">IF(IsPro,IF($D1083="","",IF(U1083="","UNKNOWN ITEM",IF(INDEX(Items!$O$5:$O$504,U1083)&lt;0,"NEG STOCK",IF(K1083&lt;INDEX(Items!$P$5:$P$504,U1083),"BELOW COST","OK")))),IF($D1083="","","PRO PLAN"))</f>
        <v/>
      </c>
      <c r="U1083" s="60" t="str">
        <f aca="false">IF(IsPro,IF($D1083="","",IFERROR(MATCH($D1083,Items!$A$5:$A$504,0),"")),"")</f>
        <v/>
      </c>
      <c r="V1083" s="60" t="str">
        <f aca="false">IF(IsPro,IF($C1083="","",IFERROR(MATCH($C1083,Parties!$A$5:$A$304,0),"")),"")</f>
        <v/>
      </c>
      <c r="W1083" s="60" t="str">
        <f aca="false">IF(IsPro,IF($B1083="","",IFERROR(VALUE(SUBSTITUTE($B1083,InvPrefix,"")),0)),"")</f>
        <v/>
      </c>
      <c r="X1083" s="61" t="str">
        <f aca="false">IF(IsPro,IF($D1083="","",IF(OR($H1083="",$H1083="Credit"),0,Q1083)),"")</f>
        <v/>
      </c>
    </row>
    <row r="1084" customFormat="false" ht="15" hidden="false" customHeight="false" outlineLevel="0" collapsed="false">
      <c r="A1084" s="55"/>
      <c r="B1084" s="56"/>
      <c r="C1084" s="56"/>
      <c r="D1084" s="56"/>
      <c r="E1084" s="57"/>
      <c r="F1084" s="58"/>
      <c r="G1084" s="59"/>
      <c r="H1084" s="56"/>
      <c r="I1084" s="56"/>
      <c r="J1084" s="60" t="str">
        <f aca="false">IF(IsPro,IF($D1084="","",IFERROR(INDEX(Items!$D$5:$D$504,U1084),"")),"")</f>
        <v/>
      </c>
      <c r="K1084" s="61" t="str">
        <f aca="false">IF(IsPro,IF($D1084="","",IF($F1084="",IFERROR(INDEX(Items!$H$5:$H$504,U1084),0),$F1084)),"")</f>
        <v/>
      </c>
      <c r="L1084" s="61" t="str">
        <f aca="false">IF(IsPro,IF($D1084="","",ROUND(N($E1084)*K1084*(1-N($G1084)),2)),"")</f>
        <v/>
      </c>
      <c r="M1084" s="62" t="str">
        <f aca="false">IF(IsPro,IF($D1084="","",IFERROR(INDEX(Items!$F$5:$F$504,U1084),0)),"")</f>
        <v/>
      </c>
      <c r="N1084" s="61" t="str">
        <f aca="false">IF(IsPro,IF($D1084="","",IF(AND(V1084&lt;&gt;"",INDEX(Parties!$E$5:$E$304,V1084)&lt;&gt;"",INDEX(Parties!$E$5:$E$304,V1084)&lt;&gt;HomeState),0,ROUND(L1084*M1084/2,2))),"")</f>
        <v/>
      </c>
      <c r="O1084" s="61" t="str">
        <f aca="false">IF(IsPro,IF($D1084="","",N1084),"")</f>
        <v/>
      </c>
      <c r="P1084" s="61" t="str">
        <f aca="false">IF(IsPro,IF($D1084="","",IF(AND(V1084&lt;&gt;"",INDEX(Parties!$E$5:$E$304,V1084)&lt;&gt;"",INDEX(Parties!$E$5:$E$304,V1084)&lt;&gt;HomeState),ROUND(L1084*M1084,2),0)),"")</f>
        <v/>
      </c>
      <c r="Q1084" s="61" t="str">
        <f aca="false">IF(IsPro,IF($D1084="","",L1084+N1084+O1084+P1084),"")</f>
        <v/>
      </c>
      <c r="R1084" s="61" t="str">
        <f aca="false">IF(IsPro,IF($D1084="","",ROUND(N($E1084)*IFERROR(INDEX(Items!$P$5:$P$504,U1084),0),2)),"")</f>
        <v/>
      </c>
      <c r="S1084" s="61" t="str">
        <f aca="false">IF(IsPro,IF($D1084="","",L1084-R1084),"")</f>
        <v/>
      </c>
      <c r="T1084" s="60" t="str">
        <f aca="false">IF(IsPro,IF($D1084="","",IF(U1084="","UNKNOWN ITEM",IF(INDEX(Items!$O$5:$O$504,U1084)&lt;0,"NEG STOCK",IF(K1084&lt;INDEX(Items!$P$5:$P$504,U1084),"BELOW COST","OK")))),IF($D1084="","","PRO PLAN"))</f>
        <v/>
      </c>
      <c r="U1084" s="60" t="str">
        <f aca="false">IF(IsPro,IF($D1084="","",IFERROR(MATCH($D1084,Items!$A$5:$A$504,0),"")),"")</f>
        <v/>
      </c>
      <c r="V1084" s="60" t="str">
        <f aca="false">IF(IsPro,IF($C1084="","",IFERROR(MATCH($C1084,Parties!$A$5:$A$304,0),"")),"")</f>
        <v/>
      </c>
      <c r="W1084" s="60" t="str">
        <f aca="false">IF(IsPro,IF($B1084="","",IFERROR(VALUE(SUBSTITUTE($B1084,InvPrefix,"")),0)),"")</f>
        <v/>
      </c>
      <c r="X1084" s="61" t="str">
        <f aca="false">IF(IsPro,IF($D1084="","",IF(OR($H1084="",$H1084="Credit"),0,Q1084)),"")</f>
        <v/>
      </c>
    </row>
    <row r="1085" customFormat="false" ht="15" hidden="false" customHeight="false" outlineLevel="0" collapsed="false">
      <c r="A1085" s="55"/>
      <c r="B1085" s="56"/>
      <c r="C1085" s="56"/>
      <c r="D1085" s="56"/>
      <c r="E1085" s="57"/>
      <c r="F1085" s="58"/>
      <c r="G1085" s="59"/>
      <c r="H1085" s="56"/>
      <c r="I1085" s="56"/>
      <c r="J1085" s="60" t="str">
        <f aca="false">IF(IsPro,IF($D1085="","",IFERROR(INDEX(Items!$D$5:$D$504,U1085),"")),"")</f>
        <v/>
      </c>
      <c r="K1085" s="61" t="str">
        <f aca="false">IF(IsPro,IF($D1085="","",IF($F1085="",IFERROR(INDEX(Items!$H$5:$H$504,U1085),0),$F1085)),"")</f>
        <v/>
      </c>
      <c r="L1085" s="61" t="str">
        <f aca="false">IF(IsPro,IF($D1085="","",ROUND(N($E1085)*K1085*(1-N($G1085)),2)),"")</f>
        <v/>
      </c>
      <c r="M1085" s="62" t="str">
        <f aca="false">IF(IsPro,IF($D1085="","",IFERROR(INDEX(Items!$F$5:$F$504,U1085),0)),"")</f>
        <v/>
      </c>
      <c r="N1085" s="61" t="str">
        <f aca="false">IF(IsPro,IF($D1085="","",IF(AND(V1085&lt;&gt;"",INDEX(Parties!$E$5:$E$304,V1085)&lt;&gt;"",INDEX(Parties!$E$5:$E$304,V1085)&lt;&gt;HomeState),0,ROUND(L1085*M1085/2,2))),"")</f>
        <v/>
      </c>
      <c r="O1085" s="61" t="str">
        <f aca="false">IF(IsPro,IF($D1085="","",N1085),"")</f>
        <v/>
      </c>
      <c r="P1085" s="61" t="str">
        <f aca="false">IF(IsPro,IF($D1085="","",IF(AND(V1085&lt;&gt;"",INDEX(Parties!$E$5:$E$304,V1085)&lt;&gt;"",INDEX(Parties!$E$5:$E$304,V1085)&lt;&gt;HomeState),ROUND(L1085*M1085,2),0)),"")</f>
        <v/>
      </c>
      <c r="Q1085" s="61" t="str">
        <f aca="false">IF(IsPro,IF($D1085="","",L1085+N1085+O1085+P1085),"")</f>
        <v/>
      </c>
      <c r="R1085" s="61" t="str">
        <f aca="false">IF(IsPro,IF($D1085="","",ROUND(N($E1085)*IFERROR(INDEX(Items!$P$5:$P$504,U1085),0),2)),"")</f>
        <v/>
      </c>
      <c r="S1085" s="61" t="str">
        <f aca="false">IF(IsPro,IF($D1085="","",L1085-R1085),"")</f>
        <v/>
      </c>
      <c r="T1085" s="60" t="str">
        <f aca="false">IF(IsPro,IF($D1085="","",IF(U1085="","UNKNOWN ITEM",IF(INDEX(Items!$O$5:$O$504,U1085)&lt;0,"NEG STOCK",IF(K1085&lt;INDEX(Items!$P$5:$P$504,U1085),"BELOW COST","OK")))),IF($D1085="","","PRO PLAN"))</f>
        <v/>
      </c>
      <c r="U1085" s="60" t="str">
        <f aca="false">IF(IsPro,IF($D1085="","",IFERROR(MATCH($D1085,Items!$A$5:$A$504,0),"")),"")</f>
        <v/>
      </c>
      <c r="V1085" s="60" t="str">
        <f aca="false">IF(IsPro,IF($C1085="","",IFERROR(MATCH($C1085,Parties!$A$5:$A$304,0),"")),"")</f>
        <v/>
      </c>
      <c r="W1085" s="60" t="str">
        <f aca="false">IF(IsPro,IF($B1085="","",IFERROR(VALUE(SUBSTITUTE($B1085,InvPrefix,"")),0)),"")</f>
        <v/>
      </c>
      <c r="X1085" s="61" t="str">
        <f aca="false">IF(IsPro,IF($D1085="","",IF(OR($H1085="",$H1085="Credit"),0,Q1085)),"")</f>
        <v/>
      </c>
    </row>
    <row r="1086" customFormat="false" ht="15" hidden="false" customHeight="false" outlineLevel="0" collapsed="false">
      <c r="A1086" s="55"/>
      <c r="B1086" s="56"/>
      <c r="C1086" s="56"/>
      <c r="D1086" s="56"/>
      <c r="E1086" s="57"/>
      <c r="F1086" s="58"/>
      <c r="G1086" s="59"/>
      <c r="H1086" s="56"/>
      <c r="I1086" s="56"/>
      <c r="J1086" s="60" t="str">
        <f aca="false">IF(IsPro,IF($D1086="","",IFERROR(INDEX(Items!$D$5:$D$504,U1086),"")),"")</f>
        <v/>
      </c>
      <c r="K1086" s="61" t="str">
        <f aca="false">IF(IsPro,IF($D1086="","",IF($F1086="",IFERROR(INDEX(Items!$H$5:$H$504,U1086),0),$F1086)),"")</f>
        <v/>
      </c>
      <c r="L1086" s="61" t="str">
        <f aca="false">IF(IsPro,IF($D1086="","",ROUND(N($E1086)*K1086*(1-N($G1086)),2)),"")</f>
        <v/>
      </c>
      <c r="M1086" s="62" t="str">
        <f aca="false">IF(IsPro,IF($D1086="","",IFERROR(INDEX(Items!$F$5:$F$504,U1086),0)),"")</f>
        <v/>
      </c>
      <c r="N1086" s="61" t="str">
        <f aca="false">IF(IsPro,IF($D1086="","",IF(AND(V1086&lt;&gt;"",INDEX(Parties!$E$5:$E$304,V1086)&lt;&gt;"",INDEX(Parties!$E$5:$E$304,V1086)&lt;&gt;HomeState),0,ROUND(L1086*M1086/2,2))),"")</f>
        <v/>
      </c>
      <c r="O1086" s="61" t="str">
        <f aca="false">IF(IsPro,IF($D1086="","",N1086),"")</f>
        <v/>
      </c>
      <c r="P1086" s="61" t="str">
        <f aca="false">IF(IsPro,IF($D1086="","",IF(AND(V1086&lt;&gt;"",INDEX(Parties!$E$5:$E$304,V1086)&lt;&gt;"",INDEX(Parties!$E$5:$E$304,V1086)&lt;&gt;HomeState),ROUND(L1086*M1086,2),0)),"")</f>
        <v/>
      </c>
      <c r="Q1086" s="61" t="str">
        <f aca="false">IF(IsPro,IF($D1086="","",L1086+N1086+O1086+P1086),"")</f>
        <v/>
      </c>
      <c r="R1086" s="61" t="str">
        <f aca="false">IF(IsPro,IF($D1086="","",ROUND(N($E1086)*IFERROR(INDEX(Items!$P$5:$P$504,U1086),0),2)),"")</f>
        <v/>
      </c>
      <c r="S1086" s="61" t="str">
        <f aca="false">IF(IsPro,IF($D1086="","",L1086-R1086),"")</f>
        <v/>
      </c>
      <c r="T1086" s="60" t="str">
        <f aca="false">IF(IsPro,IF($D1086="","",IF(U1086="","UNKNOWN ITEM",IF(INDEX(Items!$O$5:$O$504,U1086)&lt;0,"NEG STOCK",IF(K1086&lt;INDEX(Items!$P$5:$P$504,U1086),"BELOW COST","OK")))),IF($D1086="","","PRO PLAN"))</f>
        <v/>
      </c>
      <c r="U1086" s="60" t="str">
        <f aca="false">IF(IsPro,IF($D1086="","",IFERROR(MATCH($D1086,Items!$A$5:$A$504,0),"")),"")</f>
        <v/>
      </c>
      <c r="V1086" s="60" t="str">
        <f aca="false">IF(IsPro,IF($C1086="","",IFERROR(MATCH($C1086,Parties!$A$5:$A$304,0),"")),"")</f>
        <v/>
      </c>
      <c r="W1086" s="60" t="str">
        <f aca="false">IF(IsPro,IF($B1086="","",IFERROR(VALUE(SUBSTITUTE($B1086,InvPrefix,"")),0)),"")</f>
        <v/>
      </c>
      <c r="X1086" s="61" t="str">
        <f aca="false">IF(IsPro,IF($D1086="","",IF(OR($H1086="",$H1086="Credit"),0,Q1086)),"")</f>
        <v/>
      </c>
    </row>
    <row r="1087" customFormat="false" ht="15" hidden="false" customHeight="false" outlineLevel="0" collapsed="false">
      <c r="A1087" s="55"/>
      <c r="B1087" s="56"/>
      <c r="C1087" s="56"/>
      <c r="D1087" s="56"/>
      <c r="E1087" s="57"/>
      <c r="F1087" s="58"/>
      <c r="G1087" s="59"/>
      <c r="H1087" s="56"/>
      <c r="I1087" s="56"/>
      <c r="J1087" s="60" t="str">
        <f aca="false">IF(IsPro,IF($D1087="","",IFERROR(INDEX(Items!$D$5:$D$504,U1087),"")),"")</f>
        <v/>
      </c>
      <c r="K1087" s="61" t="str">
        <f aca="false">IF(IsPro,IF($D1087="","",IF($F1087="",IFERROR(INDEX(Items!$H$5:$H$504,U1087),0),$F1087)),"")</f>
        <v/>
      </c>
      <c r="L1087" s="61" t="str">
        <f aca="false">IF(IsPro,IF($D1087="","",ROUND(N($E1087)*K1087*(1-N($G1087)),2)),"")</f>
        <v/>
      </c>
      <c r="M1087" s="62" t="str">
        <f aca="false">IF(IsPro,IF($D1087="","",IFERROR(INDEX(Items!$F$5:$F$504,U1087),0)),"")</f>
        <v/>
      </c>
      <c r="N1087" s="61" t="str">
        <f aca="false">IF(IsPro,IF($D1087="","",IF(AND(V1087&lt;&gt;"",INDEX(Parties!$E$5:$E$304,V1087)&lt;&gt;"",INDEX(Parties!$E$5:$E$304,V1087)&lt;&gt;HomeState),0,ROUND(L1087*M1087/2,2))),"")</f>
        <v/>
      </c>
      <c r="O1087" s="61" t="str">
        <f aca="false">IF(IsPro,IF($D1087="","",N1087),"")</f>
        <v/>
      </c>
      <c r="P1087" s="61" t="str">
        <f aca="false">IF(IsPro,IF($D1087="","",IF(AND(V1087&lt;&gt;"",INDEX(Parties!$E$5:$E$304,V1087)&lt;&gt;"",INDEX(Parties!$E$5:$E$304,V1087)&lt;&gt;HomeState),ROUND(L1087*M1087,2),0)),"")</f>
        <v/>
      </c>
      <c r="Q1087" s="61" t="str">
        <f aca="false">IF(IsPro,IF($D1087="","",L1087+N1087+O1087+P1087),"")</f>
        <v/>
      </c>
      <c r="R1087" s="61" t="str">
        <f aca="false">IF(IsPro,IF($D1087="","",ROUND(N($E1087)*IFERROR(INDEX(Items!$P$5:$P$504,U1087),0),2)),"")</f>
        <v/>
      </c>
      <c r="S1087" s="61" t="str">
        <f aca="false">IF(IsPro,IF($D1087="","",L1087-R1087),"")</f>
        <v/>
      </c>
      <c r="T1087" s="60" t="str">
        <f aca="false">IF(IsPro,IF($D1087="","",IF(U1087="","UNKNOWN ITEM",IF(INDEX(Items!$O$5:$O$504,U1087)&lt;0,"NEG STOCK",IF(K1087&lt;INDEX(Items!$P$5:$P$504,U1087),"BELOW COST","OK")))),IF($D1087="","","PRO PLAN"))</f>
        <v/>
      </c>
      <c r="U1087" s="60" t="str">
        <f aca="false">IF(IsPro,IF($D1087="","",IFERROR(MATCH($D1087,Items!$A$5:$A$504,0),"")),"")</f>
        <v/>
      </c>
      <c r="V1087" s="60" t="str">
        <f aca="false">IF(IsPro,IF($C1087="","",IFERROR(MATCH($C1087,Parties!$A$5:$A$304,0),"")),"")</f>
        <v/>
      </c>
      <c r="W1087" s="60" t="str">
        <f aca="false">IF(IsPro,IF($B1087="","",IFERROR(VALUE(SUBSTITUTE($B1087,InvPrefix,"")),0)),"")</f>
        <v/>
      </c>
      <c r="X1087" s="61" t="str">
        <f aca="false">IF(IsPro,IF($D1087="","",IF(OR($H1087="",$H1087="Credit"),0,Q1087)),"")</f>
        <v/>
      </c>
    </row>
    <row r="1088" customFormat="false" ht="15" hidden="false" customHeight="false" outlineLevel="0" collapsed="false">
      <c r="A1088" s="55"/>
      <c r="B1088" s="56"/>
      <c r="C1088" s="56"/>
      <c r="D1088" s="56"/>
      <c r="E1088" s="57"/>
      <c r="F1088" s="58"/>
      <c r="G1088" s="59"/>
      <c r="H1088" s="56"/>
      <c r="I1088" s="56"/>
      <c r="J1088" s="60" t="str">
        <f aca="false">IF(IsPro,IF($D1088="","",IFERROR(INDEX(Items!$D$5:$D$504,U1088),"")),"")</f>
        <v/>
      </c>
      <c r="K1088" s="61" t="str">
        <f aca="false">IF(IsPro,IF($D1088="","",IF($F1088="",IFERROR(INDEX(Items!$H$5:$H$504,U1088),0),$F1088)),"")</f>
        <v/>
      </c>
      <c r="L1088" s="61" t="str">
        <f aca="false">IF(IsPro,IF($D1088="","",ROUND(N($E1088)*K1088*(1-N($G1088)),2)),"")</f>
        <v/>
      </c>
      <c r="M1088" s="62" t="str">
        <f aca="false">IF(IsPro,IF($D1088="","",IFERROR(INDEX(Items!$F$5:$F$504,U1088),0)),"")</f>
        <v/>
      </c>
      <c r="N1088" s="61" t="str">
        <f aca="false">IF(IsPro,IF($D1088="","",IF(AND(V1088&lt;&gt;"",INDEX(Parties!$E$5:$E$304,V1088)&lt;&gt;"",INDEX(Parties!$E$5:$E$304,V1088)&lt;&gt;HomeState),0,ROUND(L1088*M1088/2,2))),"")</f>
        <v/>
      </c>
      <c r="O1088" s="61" t="str">
        <f aca="false">IF(IsPro,IF($D1088="","",N1088),"")</f>
        <v/>
      </c>
      <c r="P1088" s="61" t="str">
        <f aca="false">IF(IsPro,IF($D1088="","",IF(AND(V1088&lt;&gt;"",INDEX(Parties!$E$5:$E$304,V1088)&lt;&gt;"",INDEX(Parties!$E$5:$E$304,V1088)&lt;&gt;HomeState),ROUND(L1088*M1088,2),0)),"")</f>
        <v/>
      </c>
      <c r="Q1088" s="61" t="str">
        <f aca="false">IF(IsPro,IF($D1088="","",L1088+N1088+O1088+P1088),"")</f>
        <v/>
      </c>
      <c r="R1088" s="61" t="str">
        <f aca="false">IF(IsPro,IF($D1088="","",ROUND(N($E1088)*IFERROR(INDEX(Items!$P$5:$P$504,U1088),0),2)),"")</f>
        <v/>
      </c>
      <c r="S1088" s="61" t="str">
        <f aca="false">IF(IsPro,IF($D1088="","",L1088-R1088),"")</f>
        <v/>
      </c>
      <c r="T1088" s="60" t="str">
        <f aca="false">IF(IsPro,IF($D1088="","",IF(U1088="","UNKNOWN ITEM",IF(INDEX(Items!$O$5:$O$504,U1088)&lt;0,"NEG STOCK",IF(K1088&lt;INDEX(Items!$P$5:$P$504,U1088),"BELOW COST","OK")))),IF($D1088="","","PRO PLAN"))</f>
        <v/>
      </c>
      <c r="U1088" s="60" t="str">
        <f aca="false">IF(IsPro,IF($D1088="","",IFERROR(MATCH($D1088,Items!$A$5:$A$504,0),"")),"")</f>
        <v/>
      </c>
      <c r="V1088" s="60" t="str">
        <f aca="false">IF(IsPro,IF($C1088="","",IFERROR(MATCH($C1088,Parties!$A$5:$A$304,0),"")),"")</f>
        <v/>
      </c>
      <c r="W1088" s="60" t="str">
        <f aca="false">IF(IsPro,IF($B1088="","",IFERROR(VALUE(SUBSTITUTE($B1088,InvPrefix,"")),0)),"")</f>
        <v/>
      </c>
      <c r="X1088" s="61" t="str">
        <f aca="false">IF(IsPro,IF($D1088="","",IF(OR($H1088="",$H1088="Credit"),0,Q1088)),"")</f>
        <v/>
      </c>
    </row>
    <row r="1089" customFormat="false" ht="15" hidden="false" customHeight="false" outlineLevel="0" collapsed="false">
      <c r="A1089" s="55"/>
      <c r="B1089" s="56"/>
      <c r="C1089" s="56"/>
      <c r="D1089" s="56"/>
      <c r="E1089" s="57"/>
      <c r="F1089" s="58"/>
      <c r="G1089" s="59"/>
      <c r="H1089" s="56"/>
      <c r="I1089" s="56"/>
      <c r="J1089" s="60" t="str">
        <f aca="false">IF(IsPro,IF($D1089="","",IFERROR(INDEX(Items!$D$5:$D$504,U1089),"")),"")</f>
        <v/>
      </c>
      <c r="K1089" s="61" t="str">
        <f aca="false">IF(IsPro,IF($D1089="","",IF($F1089="",IFERROR(INDEX(Items!$H$5:$H$504,U1089),0),$F1089)),"")</f>
        <v/>
      </c>
      <c r="L1089" s="61" t="str">
        <f aca="false">IF(IsPro,IF($D1089="","",ROUND(N($E1089)*K1089*(1-N($G1089)),2)),"")</f>
        <v/>
      </c>
      <c r="M1089" s="62" t="str">
        <f aca="false">IF(IsPro,IF($D1089="","",IFERROR(INDEX(Items!$F$5:$F$504,U1089),0)),"")</f>
        <v/>
      </c>
      <c r="N1089" s="61" t="str">
        <f aca="false">IF(IsPro,IF($D1089="","",IF(AND(V1089&lt;&gt;"",INDEX(Parties!$E$5:$E$304,V1089)&lt;&gt;"",INDEX(Parties!$E$5:$E$304,V1089)&lt;&gt;HomeState),0,ROUND(L1089*M1089/2,2))),"")</f>
        <v/>
      </c>
      <c r="O1089" s="61" t="str">
        <f aca="false">IF(IsPro,IF($D1089="","",N1089),"")</f>
        <v/>
      </c>
      <c r="P1089" s="61" t="str">
        <f aca="false">IF(IsPro,IF($D1089="","",IF(AND(V1089&lt;&gt;"",INDEX(Parties!$E$5:$E$304,V1089)&lt;&gt;"",INDEX(Parties!$E$5:$E$304,V1089)&lt;&gt;HomeState),ROUND(L1089*M1089,2),0)),"")</f>
        <v/>
      </c>
      <c r="Q1089" s="61" t="str">
        <f aca="false">IF(IsPro,IF($D1089="","",L1089+N1089+O1089+P1089),"")</f>
        <v/>
      </c>
      <c r="R1089" s="61" t="str">
        <f aca="false">IF(IsPro,IF($D1089="","",ROUND(N($E1089)*IFERROR(INDEX(Items!$P$5:$P$504,U1089),0),2)),"")</f>
        <v/>
      </c>
      <c r="S1089" s="61" t="str">
        <f aca="false">IF(IsPro,IF($D1089="","",L1089-R1089),"")</f>
        <v/>
      </c>
      <c r="T1089" s="60" t="str">
        <f aca="false">IF(IsPro,IF($D1089="","",IF(U1089="","UNKNOWN ITEM",IF(INDEX(Items!$O$5:$O$504,U1089)&lt;0,"NEG STOCK",IF(K1089&lt;INDEX(Items!$P$5:$P$504,U1089),"BELOW COST","OK")))),IF($D1089="","","PRO PLAN"))</f>
        <v/>
      </c>
      <c r="U1089" s="60" t="str">
        <f aca="false">IF(IsPro,IF($D1089="","",IFERROR(MATCH($D1089,Items!$A$5:$A$504,0),"")),"")</f>
        <v/>
      </c>
      <c r="V1089" s="60" t="str">
        <f aca="false">IF(IsPro,IF($C1089="","",IFERROR(MATCH($C1089,Parties!$A$5:$A$304,0),"")),"")</f>
        <v/>
      </c>
      <c r="W1089" s="60" t="str">
        <f aca="false">IF(IsPro,IF($B1089="","",IFERROR(VALUE(SUBSTITUTE($B1089,InvPrefix,"")),0)),"")</f>
        <v/>
      </c>
      <c r="X1089" s="61" t="str">
        <f aca="false">IF(IsPro,IF($D1089="","",IF(OR($H1089="",$H1089="Credit"),0,Q1089)),"")</f>
        <v/>
      </c>
    </row>
    <row r="1090" customFormat="false" ht="15" hidden="false" customHeight="false" outlineLevel="0" collapsed="false">
      <c r="A1090" s="55"/>
      <c r="B1090" s="56"/>
      <c r="C1090" s="56"/>
      <c r="D1090" s="56"/>
      <c r="E1090" s="57"/>
      <c r="F1090" s="58"/>
      <c r="G1090" s="59"/>
      <c r="H1090" s="56"/>
      <c r="I1090" s="56"/>
      <c r="J1090" s="60" t="str">
        <f aca="false">IF(IsPro,IF($D1090="","",IFERROR(INDEX(Items!$D$5:$D$504,U1090),"")),"")</f>
        <v/>
      </c>
      <c r="K1090" s="61" t="str">
        <f aca="false">IF(IsPro,IF($D1090="","",IF($F1090="",IFERROR(INDEX(Items!$H$5:$H$504,U1090),0),$F1090)),"")</f>
        <v/>
      </c>
      <c r="L1090" s="61" t="str">
        <f aca="false">IF(IsPro,IF($D1090="","",ROUND(N($E1090)*K1090*(1-N($G1090)),2)),"")</f>
        <v/>
      </c>
      <c r="M1090" s="62" t="str">
        <f aca="false">IF(IsPro,IF($D1090="","",IFERROR(INDEX(Items!$F$5:$F$504,U1090),0)),"")</f>
        <v/>
      </c>
      <c r="N1090" s="61" t="str">
        <f aca="false">IF(IsPro,IF($D1090="","",IF(AND(V1090&lt;&gt;"",INDEX(Parties!$E$5:$E$304,V1090)&lt;&gt;"",INDEX(Parties!$E$5:$E$304,V1090)&lt;&gt;HomeState),0,ROUND(L1090*M1090/2,2))),"")</f>
        <v/>
      </c>
      <c r="O1090" s="61" t="str">
        <f aca="false">IF(IsPro,IF($D1090="","",N1090),"")</f>
        <v/>
      </c>
      <c r="P1090" s="61" t="str">
        <f aca="false">IF(IsPro,IF($D1090="","",IF(AND(V1090&lt;&gt;"",INDEX(Parties!$E$5:$E$304,V1090)&lt;&gt;"",INDEX(Parties!$E$5:$E$304,V1090)&lt;&gt;HomeState),ROUND(L1090*M1090,2),0)),"")</f>
        <v/>
      </c>
      <c r="Q1090" s="61" t="str">
        <f aca="false">IF(IsPro,IF($D1090="","",L1090+N1090+O1090+P1090),"")</f>
        <v/>
      </c>
      <c r="R1090" s="61" t="str">
        <f aca="false">IF(IsPro,IF($D1090="","",ROUND(N($E1090)*IFERROR(INDEX(Items!$P$5:$P$504,U1090),0),2)),"")</f>
        <v/>
      </c>
      <c r="S1090" s="61" t="str">
        <f aca="false">IF(IsPro,IF($D1090="","",L1090-R1090),"")</f>
        <v/>
      </c>
      <c r="T1090" s="60" t="str">
        <f aca="false">IF(IsPro,IF($D1090="","",IF(U1090="","UNKNOWN ITEM",IF(INDEX(Items!$O$5:$O$504,U1090)&lt;0,"NEG STOCK",IF(K1090&lt;INDEX(Items!$P$5:$P$504,U1090),"BELOW COST","OK")))),IF($D1090="","","PRO PLAN"))</f>
        <v/>
      </c>
      <c r="U1090" s="60" t="str">
        <f aca="false">IF(IsPro,IF($D1090="","",IFERROR(MATCH($D1090,Items!$A$5:$A$504,0),"")),"")</f>
        <v/>
      </c>
      <c r="V1090" s="60" t="str">
        <f aca="false">IF(IsPro,IF($C1090="","",IFERROR(MATCH($C1090,Parties!$A$5:$A$304,0),"")),"")</f>
        <v/>
      </c>
      <c r="W1090" s="60" t="str">
        <f aca="false">IF(IsPro,IF($B1090="","",IFERROR(VALUE(SUBSTITUTE($B1090,InvPrefix,"")),0)),"")</f>
        <v/>
      </c>
      <c r="X1090" s="61" t="str">
        <f aca="false">IF(IsPro,IF($D1090="","",IF(OR($H1090="",$H1090="Credit"),0,Q1090)),"")</f>
        <v/>
      </c>
    </row>
    <row r="1091" customFormat="false" ht="15" hidden="false" customHeight="false" outlineLevel="0" collapsed="false">
      <c r="A1091" s="55"/>
      <c r="B1091" s="56"/>
      <c r="C1091" s="56"/>
      <c r="D1091" s="56"/>
      <c r="E1091" s="57"/>
      <c r="F1091" s="58"/>
      <c r="G1091" s="59"/>
      <c r="H1091" s="56"/>
      <c r="I1091" s="56"/>
      <c r="J1091" s="60" t="str">
        <f aca="false">IF(IsPro,IF($D1091="","",IFERROR(INDEX(Items!$D$5:$D$504,U1091),"")),"")</f>
        <v/>
      </c>
      <c r="K1091" s="61" t="str">
        <f aca="false">IF(IsPro,IF($D1091="","",IF($F1091="",IFERROR(INDEX(Items!$H$5:$H$504,U1091),0),$F1091)),"")</f>
        <v/>
      </c>
      <c r="L1091" s="61" t="str">
        <f aca="false">IF(IsPro,IF($D1091="","",ROUND(N($E1091)*K1091*(1-N($G1091)),2)),"")</f>
        <v/>
      </c>
      <c r="M1091" s="62" t="str">
        <f aca="false">IF(IsPro,IF($D1091="","",IFERROR(INDEX(Items!$F$5:$F$504,U1091),0)),"")</f>
        <v/>
      </c>
      <c r="N1091" s="61" t="str">
        <f aca="false">IF(IsPro,IF($D1091="","",IF(AND(V1091&lt;&gt;"",INDEX(Parties!$E$5:$E$304,V1091)&lt;&gt;"",INDEX(Parties!$E$5:$E$304,V1091)&lt;&gt;HomeState),0,ROUND(L1091*M1091/2,2))),"")</f>
        <v/>
      </c>
      <c r="O1091" s="61" t="str">
        <f aca="false">IF(IsPro,IF($D1091="","",N1091),"")</f>
        <v/>
      </c>
      <c r="P1091" s="61" t="str">
        <f aca="false">IF(IsPro,IF($D1091="","",IF(AND(V1091&lt;&gt;"",INDEX(Parties!$E$5:$E$304,V1091)&lt;&gt;"",INDEX(Parties!$E$5:$E$304,V1091)&lt;&gt;HomeState),ROUND(L1091*M1091,2),0)),"")</f>
        <v/>
      </c>
      <c r="Q1091" s="61" t="str">
        <f aca="false">IF(IsPro,IF($D1091="","",L1091+N1091+O1091+P1091),"")</f>
        <v/>
      </c>
      <c r="R1091" s="61" t="str">
        <f aca="false">IF(IsPro,IF($D1091="","",ROUND(N($E1091)*IFERROR(INDEX(Items!$P$5:$P$504,U1091),0),2)),"")</f>
        <v/>
      </c>
      <c r="S1091" s="61" t="str">
        <f aca="false">IF(IsPro,IF($D1091="","",L1091-R1091),"")</f>
        <v/>
      </c>
      <c r="T1091" s="60" t="str">
        <f aca="false">IF(IsPro,IF($D1091="","",IF(U1091="","UNKNOWN ITEM",IF(INDEX(Items!$O$5:$O$504,U1091)&lt;0,"NEG STOCK",IF(K1091&lt;INDEX(Items!$P$5:$P$504,U1091),"BELOW COST","OK")))),IF($D1091="","","PRO PLAN"))</f>
        <v/>
      </c>
      <c r="U1091" s="60" t="str">
        <f aca="false">IF(IsPro,IF($D1091="","",IFERROR(MATCH($D1091,Items!$A$5:$A$504,0),"")),"")</f>
        <v/>
      </c>
      <c r="V1091" s="60" t="str">
        <f aca="false">IF(IsPro,IF($C1091="","",IFERROR(MATCH($C1091,Parties!$A$5:$A$304,0),"")),"")</f>
        <v/>
      </c>
      <c r="W1091" s="60" t="str">
        <f aca="false">IF(IsPro,IF($B1091="","",IFERROR(VALUE(SUBSTITUTE($B1091,InvPrefix,"")),0)),"")</f>
        <v/>
      </c>
      <c r="X1091" s="61" t="str">
        <f aca="false">IF(IsPro,IF($D1091="","",IF(OR($H1091="",$H1091="Credit"),0,Q1091)),"")</f>
        <v/>
      </c>
    </row>
    <row r="1092" customFormat="false" ht="15" hidden="false" customHeight="false" outlineLevel="0" collapsed="false">
      <c r="A1092" s="55"/>
      <c r="B1092" s="56"/>
      <c r="C1092" s="56"/>
      <c r="D1092" s="56"/>
      <c r="E1092" s="57"/>
      <c r="F1092" s="58"/>
      <c r="G1092" s="59"/>
      <c r="H1092" s="56"/>
      <c r="I1092" s="56"/>
      <c r="J1092" s="60" t="str">
        <f aca="false">IF(IsPro,IF($D1092="","",IFERROR(INDEX(Items!$D$5:$D$504,U1092),"")),"")</f>
        <v/>
      </c>
      <c r="K1092" s="61" t="str">
        <f aca="false">IF(IsPro,IF($D1092="","",IF($F1092="",IFERROR(INDEX(Items!$H$5:$H$504,U1092),0),$F1092)),"")</f>
        <v/>
      </c>
      <c r="L1092" s="61" t="str">
        <f aca="false">IF(IsPro,IF($D1092="","",ROUND(N($E1092)*K1092*(1-N($G1092)),2)),"")</f>
        <v/>
      </c>
      <c r="M1092" s="62" t="str">
        <f aca="false">IF(IsPro,IF($D1092="","",IFERROR(INDEX(Items!$F$5:$F$504,U1092),0)),"")</f>
        <v/>
      </c>
      <c r="N1092" s="61" t="str">
        <f aca="false">IF(IsPro,IF($D1092="","",IF(AND(V1092&lt;&gt;"",INDEX(Parties!$E$5:$E$304,V1092)&lt;&gt;"",INDEX(Parties!$E$5:$E$304,V1092)&lt;&gt;HomeState),0,ROUND(L1092*M1092/2,2))),"")</f>
        <v/>
      </c>
      <c r="O1092" s="61" t="str">
        <f aca="false">IF(IsPro,IF($D1092="","",N1092),"")</f>
        <v/>
      </c>
      <c r="P1092" s="61" t="str">
        <f aca="false">IF(IsPro,IF($D1092="","",IF(AND(V1092&lt;&gt;"",INDEX(Parties!$E$5:$E$304,V1092)&lt;&gt;"",INDEX(Parties!$E$5:$E$304,V1092)&lt;&gt;HomeState),ROUND(L1092*M1092,2),0)),"")</f>
        <v/>
      </c>
      <c r="Q1092" s="61" t="str">
        <f aca="false">IF(IsPro,IF($D1092="","",L1092+N1092+O1092+P1092),"")</f>
        <v/>
      </c>
      <c r="R1092" s="61" t="str">
        <f aca="false">IF(IsPro,IF($D1092="","",ROUND(N($E1092)*IFERROR(INDEX(Items!$P$5:$P$504,U1092),0),2)),"")</f>
        <v/>
      </c>
      <c r="S1092" s="61" t="str">
        <f aca="false">IF(IsPro,IF($D1092="","",L1092-R1092),"")</f>
        <v/>
      </c>
      <c r="T1092" s="60" t="str">
        <f aca="false">IF(IsPro,IF($D1092="","",IF(U1092="","UNKNOWN ITEM",IF(INDEX(Items!$O$5:$O$504,U1092)&lt;0,"NEG STOCK",IF(K1092&lt;INDEX(Items!$P$5:$P$504,U1092),"BELOW COST","OK")))),IF($D1092="","","PRO PLAN"))</f>
        <v/>
      </c>
      <c r="U1092" s="60" t="str">
        <f aca="false">IF(IsPro,IF($D1092="","",IFERROR(MATCH($D1092,Items!$A$5:$A$504,0),"")),"")</f>
        <v/>
      </c>
      <c r="V1092" s="60" t="str">
        <f aca="false">IF(IsPro,IF($C1092="","",IFERROR(MATCH($C1092,Parties!$A$5:$A$304,0),"")),"")</f>
        <v/>
      </c>
      <c r="W1092" s="60" t="str">
        <f aca="false">IF(IsPro,IF($B1092="","",IFERROR(VALUE(SUBSTITUTE($B1092,InvPrefix,"")),0)),"")</f>
        <v/>
      </c>
      <c r="X1092" s="61" t="str">
        <f aca="false">IF(IsPro,IF($D1092="","",IF(OR($H1092="",$H1092="Credit"),0,Q1092)),"")</f>
        <v/>
      </c>
    </row>
    <row r="1093" customFormat="false" ht="15" hidden="false" customHeight="false" outlineLevel="0" collapsed="false">
      <c r="A1093" s="55"/>
      <c r="B1093" s="56"/>
      <c r="C1093" s="56"/>
      <c r="D1093" s="56"/>
      <c r="E1093" s="57"/>
      <c r="F1093" s="58"/>
      <c r="G1093" s="59"/>
      <c r="H1093" s="56"/>
      <c r="I1093" s="56"/>
      <c r="J1093" s="60" t="str">
        <f aca="false">IF(IsPro,IF($D1093="","",IFERROR(INDEX(Items!$D$5:$D$504,U1093),"")),"")</f>
        <v/>
      </c>
      <c r="K1093" s="61" t="str">
        <f aca="false">IF(IsPro,IF($D1093="","",IF($F1093="",IFERROR(INDEX(Items!$H$5:$H$504,U1093),0),$F1093)),"")</f>
        <v/>
      </c>
      <c r="L1093" s="61" t="str">
        <f aca="false">IF(IsPro,IF($D1093="","",ROUND(N($E1093)*K1093*(1-N($G1093)),2)),"")</f>
        <v/>
      </c>
      <c r="M1093" s="62" t="str">
        <f aca="false">IF(IsPro,IF($D1093="","",IFERROR(INDEX(Items!$F$5:$F$504,U1093),0)),"")</f>
        <v/>
      </c>
      <c r="N1093" s="61" t="str">
        <f aca="false">IF(IsPro,IF($D1093="","",IF(AND(V1093&lt;&gt;"",INDEX(Parties!$E$5:$E$304,V1093)&lt;&gt;"",INDEX(Parties!$E$5:$E$304,V1093)&lt;&gt;HomeState),0,ROUND(L1093*M1093/2,2))),"")</f>
        <v/>
      </c>
      <c r="O1093" s="61" t="str">
        <f aca="false">IF(IsPro,IF($D1093="","",N1093),"")</f>
        <v/>
      </c>
      <c r="P1093" s="61" t="str">
        <f aca="false">IF(IsPro,IF($D1093="","",IF(AND(V1093&lt;&gt;"",INDEX(Parties!$E$5:$E$304,V1093)&lt;&gt;"",INDEX(Parties!$E$5:$E$304,V1093)&lt;&gt;HomeState),ROUND(L1093*M1093,2),0)),"")</f>
        <v/>
      </c>
      <c r="Q1093" s="61" t="str">
        <f aca="false">IF(IsPro,IF($D1093="","",L1093+N1093+O1093+P1093),"")</f>
        <v/>
      </c>
      <c r="R1093" s="61" t="str">
        <f aca="false">IF(IsPro,IF($D1093="","",ROUND(N($E1093)*IFERROR(INDEX(Items!$P$5:$P$504,U1093),0),2)),"")</f>
        <v/>
      </c>
      <c r="S1093" s="61" t="str">
        <f aca="false">IF(IsPro,IF($D1093="","",L1093-R1093),"")</f>
        <v/>
      </c>
      <c r="T1093" s="60" t="str">
        <f aca="false">IF(IsPro,IF($D1093="","",IF(U1093="","UNKNOWN ITEM",IF(INDEX(Items!$O$5:$O$504,U1093)&lt;0,"NEG STOCK",IF(K1093&lt;INDEX(Items!$P$5:$P$504,U1093),"BELOW COST","OK")))),IF($D1093="","","PRO PLAN"))</f>
        <v/>
      </c>
      <c r="U1093" s="60" t="str">
        <f aca="false">IF(IsPro,IF($D1093="","",IFERROR(MATCH($D1093,Items!$A$5:$A$504,0),"")),"")</f>
        <v/>
      </c>
      <c r="V1093" s="60" t="str">
        <f aca="false">IF(IsPro,IF($C1093="","",IFERROR(MATCH($C1093,Parties!$A$5:$A$304,0),"")),"")</f>
        <v/>
      </c>
      <c r="W1093" s="60" t="str">
        <f aca="false">IF(IsPro,IF($B1093="","",IFERROR(VALUE(SUBSTITUTE($B1093,InvPrefix,"")),0)),"")</f>
        <v/>
      </c>
      <c r="X1093" s="61" t="str">
        <f aca="false">IF(IsPro,IF($D1093="","",IF(OR($H1093="",$H1093="Credit"),0,Q1093)),"")</f>
        <v/>
      </c>
    </row>
    <row r="1094" customFormat="false" ht="15" hidden="false" customHeight="false" outlineLevel="0" collapsed="false">
      <c r="A1094" s="55"/>
      <c r="B1094" s="56"/>
      <c r="C1094" s="56"/>
      <c r="D1094" s="56"/>
      <c r="E1094" s="57"/>
      <c r="F1094" s="58"/>
      <c r="G1094" s="59"/>
      <c r="H1094" s="56"/>
      <c r="I1094" s="56"/>
      <c r="J1094" s="60" t="str">
        <f aca="false">IF(IsPro,IF($D1094="","",IFERROR(INDEX(Items!$D$5:$D$504,U1094),"")),"")</f>
        <v/>
      </c>
      <c r="K1094" s="61" t="str">
        <f aca="false">IF(IsPro,IF($D1094="","",IF($F1094="",IFERROR(INDEX(Items!$H$5:$H$504,U1094),0),$F1094)),"")</f>
        <v/>
      </c>
      <c r="L1094" s="61" t="str">
        <f aca="false">IF(IsPro,IF($D1094="","",ROUND(N($E1094)*K1094*(1-N($G1094)),2)),"")</f>
        <v/>
      </c>
      <c r="M1094" s="62" t="str">
        <f aca="false">IF(IsPro,IF($D1094="","",IFERROR(INDEX(Items!$F$5:$F$504,U1094),0)),"")</f>
        <v/>
      </c>
      <c r="N1094" s="61" t="str">
        <f aca="false">IF(IsPro,IF($D1094="","",IF(AND(V1094&lt;&gt;"",INDEX(Parties!$E$5:$E$304,V1094)&lt;&gt;"",INDEX(Parties!$E$5:$E$304,V1094)&lt;&gt;HomeState),0,ROUND(L1094*M1094/2,2))),"")</f>
        <v/>
      </c>
      <c r="O1094" s="61" t="str">
        <f aca="false">IF(IsPro,IF($D1094="","",N1094),"")</f>
        <v/>
      </c>
      <c r="P1094" s="61" t="str">
        <f aca="false">IF(IsPro,IF($D1094="","",IF(AND(V1094&lt;&gt;"",INDEX(Parties!$E$5:$E$304,V1094)&lt;&gt;"",INDEX(Parties!$E$5:$E$304,V1094)&lt;&gt;HomeState),ROUND(L1094*M1094,2),0)),"")</f>
        <v/>
      </c>
      <c r="Q1094" s="61" t="str">
        <f aca="false">IF(IsPro,IF($D1094="","",L1094+N1094+O1094+P1094),"")</f>
        <v/>
      </c>
      <c r="R1094" s="61" t="str">
        <f aca="false">IF(IsPro,IF($D1094="","",ROUND(N($E1094)*IFERROR(INDEX(Items!$P$5:$P$504,U1094),0),2)),"")</f>
        <v/>
      </c>
      <c r="S1094" s="61" t="str">
        <f aca="false">IF(IsPro,IF($D1094="","",L1094-R1094),"")</f>
        <v/>
      </c>
      <c r="T1094" s="60" t="str">
        <f aca="false">IF(IsPro,IF($D1094="","",IF(U1094="","UNKNOWN ITEM",IF(INDEX(Items!$O$5:$O$504,U1094)&lt;0,"NEG STOCK",IF(K1094&lt;INDEX(Items!$P$5:$P$504,U1094),"BELOW COST","OK")))),IF($D1094="","","PRO PLAN"))</f>
        <v/>
      </c>
      <c r="U1094" s="60" t="str">
        <f aca="false">IF(IsPro,IF($D1094="","",IFERROR(MATCH($D1094,Items!$A$5:$A$504,0),"")),"")</f>
        <v/>
      </c>
      <c r="V1094" s="60" t="str">
        <f aca="false">IF(IsPro,IF($C1094="","",IFERROR(MATCH($C1094,Parties!$A$5:$A$304,0),"")),"")</f>
        <v/>
      </c>
      <c r="W1094" s="60" t="str">
        <f aca="false">IF(IsPro,IF($B1094="","",IFERROR(VALUE(SUBSTITUTE($B1094,InvPrefix,"")),0)),"")</f>
        <v/>
      </c>
      <c r="X1094" s="61" t="str">
        <f aca="false">IF(IsPro,IF($D1094="","",IF(OR($H1094="",$H1094="Credit"),0,Q1094)),"")</f>
        <v/>
      </c>
    </row>
    <row r="1095" customFormat="false" ht="15" hidden="false" customHeight="false" outlineLevel="0" collapsed="false">
      <c r="A1095" s="55"/>
      <c r="B1095" s="56"/>
      <c r="C1095" s="56"/>
      <c r="D1095" s="56"/>
      <c r="E1095" s="57"/>
      <c r="F1095" s="58"/>
      <c r="G1095" s="59"/>
      <c r="H1095" s="56"/>
      <c r="I1095" s="56"/>
      <c r="J1095" s="60" t="str">
        <f aca="false">IF(IsPro,IF($D1095="","",IFERROR(INDEX(Items!$D$5:$D$504,U1095),"")),"")</f>
        <v/>
      </c>
      <c r="K1095" s="61" t="str">
        <f aca="false">IF(IsPro,IF($D1095="","",IF($F1095="",IFERROR(INDEX(Items!$H$5:$H$504,U1095),0),$F1095)),"")</f>
        <v/>
      </c>
      <c r="L1095" s="61" t="str">
        <f aca="false">IF(IsPro,IF($D1095="","",ROUND(N($E1095)*K1095*(1-N($G1095)),2)),"")</f>
        <v/>
      </c>
      <c r="M1095" s="62" t="str">
        <f aca="false">IF(IsPro,IF($D1095="","",IFERROR(INDEX(Items!$F$5:$F$504,U1095),0)),"")</f>
        <v/>
      </c>
      <c r="N1095" s="61" t="str">
        <f aca="false">IF(IsPro,IF($D1095="","",IF(AND(V1095&lt;&gt;"",INDEX(Parties!$E$5:$E$304,V1095)&lt;&gt;"",INDEX(Parties!$E$5:$E$304,V1095)&lt;&gt;HomeState),0,ROUND(L1095*M1095/2,2))),"")</f>
        <v/>
      </c>
      <c r="O1095" s="61" t="str">
        <f aca="false">IF(IsPro,IF($D1095="","",N1095),"")</f>
        <v/>
      </c>
      <c r="P1095" s="61" t="str">
        <f aca="false">IF(IsPro,IF($D1095="","",IF(AND(V1095&lt;&gt;"",INDEX(Parties!$E$5:$E$304,V1095)&lt;&gt;"",INDEX(Parties!$E$5:$E$304,V1095)&lt;&gt;HomeState),ROUND(L1095*M1095,2),0)),"")</f>
        <v/>
      </c>
      <c r="Q1095" s="61" t="str">
        <f aca="false">IF(IsPro,IF($D1095="","",L1095+N1095+O1095+P1095),"")</f>
        <v/>
      </c>
      <c r="R1095" s="61" t="str">
        <f aca="false">IF(IsPro,IF($D1095="","",ROUND(N($E1095)*IFERROR(INDEX(Items!$P$5:$P$504,U1095),0),2)),"")</f>
        <v/>
      </c>
      <c r="S1095" s="61" t="str">
        <f aca="false">IF(IsPro,IF($D1095="","",L1095-R1095),"")</f>
        <v/>
      </c>
      <c r="T1095" s="60" t="str">
        <f aca="false">IF(IsPro,IF($D1095="","",IF(U1095="","UNKNOWN ITEM",IF(INDEX(Items!$O$5:$O$504,U1095)&lt;0,"NEG STOCK",IF(K1095&lt;INDEX(Items!$P$5:$P$504,U1095),"BELOW COST","OK")))),IF($D1095="","","PRO PLAN"))</f>
        <v/>
      </c>
      <c r="U1095" s="60" t="str">
        <f aca="false">IF(IsPro,IF($D1095="","",IFERROR(MATCH($D1095,Items!$A$5:$A$504,0),"")),"")</f>
        <v/>
      </c>
      <c r="V1095" s="60" t="str">
        <f aca="false">IF(IsPro,IF($C1095="","",IFERROR(MATCH($C1095,Parties!$A$5:$A$304,0),"")),"")</f>
        <v/>
      </c>
      <c r="W1095" s="60" t="str">
        <f aca="false">IF(IsPro,IF($B1095="","",IFERROR(VALUE(SUBSTITUTE($B1095,InvPrefix,"")),0)),"")</f>
        <v/>
      </c>
      <c r="X1095" s="61" t="str">
        <f aca="false">IF(IsPro,IF($D1095="","",IF(OR($H1095="",$H1095="Credit"),0,Q1095)),"")</f>
        <v/>
      </c>
    </row>
    <row r="1096" customFormat="false" ht="15" hidden="false" customHeight="false" outlineLevel="0" collapsed="false">
      <c r="A1096" s="55"/>
      <c r="B1096" s="56"/>
      <c r="C1096" s="56"/>
      <c r="D1096" s="56"/>
      <c r="E1096" s="57"/>
      <c r="F1096" s="58"/>
      <c r="G1096" s="59"/>
      <c r="H1096" s="56"/>
      <c r="I1096" s="56"/>
      <c r="J1096" s="60" t="str">
        <f aca="false">IF(IsPro,IF($D1096="","",IFERROR(INDEX(Items!$D$5:$D$504,U1096),"")),"")</f>
        <v/>
      </c>
      <c r="K1096" s="61" t="str">
        <f aca="false">IF(IsPro,IF($D1096="","",IF($F1096="",IFERROR(INDEX(Items!$H$5:$H$504,U1096),0),$F1096)),"")</f>
        <v/>
      </c>
      <c r="L1096" s="61" t="str">
        <f aca="false">IF(IsPro,IF($D1096="","",ROUND(N($E1096)*K1096*(1-N($G1096)),2)),"")</f>
        <v/>
      </c>
      <c r="M1096" s="62" t="str">
        <f aca="false">IF(IsPro,IF($D1096="","",IFERROR(INDEX(Items!$F$5:$F$504,U1096),0)),"")</f>
        <v/>
      </c>
      <c r="N1096" s="61" t="str">
        <f aca="false">IF(IsPro,IF($D1096="","",IF(AND(V1096&lt;&gt;"",INDEX(Parties!$E$5:$E$304,V1096)&lt;&gt;"",INDEX(Parties!$E$5:$E$304,V1096)&lt;&gt;HomeState),0,ROUND(L1096*M1096/2,2))),"")</f>
        <v/>
      </c>
      <c r="O1096" s="61" t="str">
        <f aca="false">IF(IsPro,IF($D1096="","",N1096),"")</f>
        <v/>
      </c>
      <c r="P1096" s="61" t="str">
        <f aca="false">IF(IsPro,IF($D1096="","",IF(AND(V1096&lt;&gt;"",INDEX(Parties!$E$5:$E$304,V1096)&lt;&gt;"",INDEX(Parties!$E$5:$E$304,V1096)&lt;&gt;HomeState),ROUND(L1096*M1096,2),0)),"")</f>
        <v/>
      </c>
      <c r="Q1096" s="61" t="str">
        <f aca="false">IF(IsPro,IF($D1096="","",L1096+N1096+O1096+P1096),"")</f>
        <v/>
      </c>
      <c r="R1096" s="61" t="str">
        <f aca="false">IF(IsPro,IF($D1096="","",ROUND(N($E1096)*IFERROR(INDEX(Items!$P$5:$P$504,U1096),0),2)),"")</f>
        <v/>
      </c>
      <c r="S1096" s="61" t="str">
        <f aca="false">IF(IsPro,IF($D1096="","",L1096-R1096),"")</f>
        <v/>
      </c>
      <c r="T1096" s="60" t="str">
        <f aca="false">IF(IsPro,IF($D1096="","",IF(U1096="","UNKNOWN ITEM",IF(INDEX(Items!$O$5:$O$504,U1096)&lt;0,"NEG STOCK",IF(K1096&lt;INDEX(Items!$P$5:$P$504,U1096),"BELOW COST","OK")))),IF($D1096="","","PRO PLAN"))</f>
        <v/>
      </c>
      <c r="U1096" s="60" t="str">
        <f aca="false">IF(IsPro,IF($D1096="","",IFERROR(MATCH($D1096,Items!$A$5:$A$504,0),"")),"")</f>
        <v/>
      </c>
      <c r="V1096" s="60" t="str">
        <f aca="false">IF(IsPro,IF($C1096="","",IFERROR(MATCH($C1096,Parties!$A$5:$A$304,0),"")),"")</f>
        <v/>
      </c>
      <c r="W1096" s="60" t="str">
        <f aca="false">IF(IsPro,IF($B1096="","",IFERROR(VALUE(SUBSTITUTE($B1096,InvPrefix,"")),0)),"")</f>
        <v/>
      </c>
      <c r="X1096" s="61" t="str">
        <f aca="false">IF(IsPro,IF($D1096="","",IF(OR($H1096="",$H1096="Credit"),0,Q1096)),"")</f>
        <v/>
      </c>
    </row>
    <row r="1097" customFormat="false" ht="15" hidden="false" customHeight="false" outlineLevel="0" collapsed="false">
      <c r="A1097" s="55"/>
      <c r="B1097" s="56"/>
      <c r="C1097" s="56"/>
      <c r="D1097" s="56"/>
      <c r="E1097" s="57"/>
      <c r="F1097" s="58"/>
      <c r="G1097" s="59"/>
      <c r="H1097" s="56"/>
      <c r="I1097" s="56"/>
      <c r="J1097" s="60" t="str">
        <f aca="false">IF(IsPro,IF($D1097="","",IFERROR(INDEX(Items!$D$5:$D$504,U1097),"")),"")</f>
        <v/>
      </c>
      <c r="K1097" s="61" t="str">
        <f aca="false">IF(IsPro,IF($D1097="","",IF($F1097="",IFERROR(INDEX(Items!$H$5:$H$504,U1097),0),$F1097)),"")</f>
        <v/>
      </c>
      <c r="L1097" s="61" t="str">
        <f aca="false">IF(IsPro,IF($D1097="","",ROUND(N($E1097)*K1097*(1-N($G1097)),2)),"")</f>
        <v/>
      </c>
      <c r="M1097" s="62" t="str">
        <f aca="false">IF(IsPro,IF($D1097="","",IFERROR(INDEX(Items!$F$5:$F$504,U1097),0)),"")</f>
        <v/>
      </c>
      <c r="N1097" s="61" t="str">
        <f aca="false">IF(IsPro,IF($D1097="","",IF(AND(V1097&lt;&gt;"",INDEX(Parties!$E$5:$E$304,V1097)&lt;&gt;"",INDEX(Parties!$E$5:$E$304,V1097)&lt;&gt;HomeState),0,ROUND(L1097*M1097/2,2))),"")</f>
        <v/>
      </c>
      <c r="O1097" s="61" t="str">
        <f aca="false">IF(IsPro,IF($D1097="","",N1097),"")</f>
        <v/>
      </c>
      <c r="P1097" s="61" t="str">
        <f aca="false">IF(IsPro,IF($D1097="","",IF(AND(V1097&lt;&gt;"",INDEX(Parties!$E$5:$E$304,V1097)&lt;&gt;"",INDEX(Parties!$E$5:$E$304,V1097)&lt;&gt;HomeState),ROUND(L1097*M1097,2),0)),"")</f>
        <v/>
      </c>
      <c r="Q1097" s="61" t="str">
        <f aca="false">IF(IsPro,IF($D1097="","",L1097+N1097+O1097+P1097),"")</f>
        <v/>
      </c>
      <c r="R1097" s="61" t="str">
        <f aca="false">IF(IsPro,IF($D1097="","",ROUND(N($E1097)*IFERROR(INDEX(Items!$P$5:$P$504,U1097),0),2)),"")</f>
        <v/>
      </c>
      <c r="S1097" s="61" t="str">
        <f aca="false">IF(IsPro,IF($D1097="","",L1097-R1097),"")</f>
        <v/>
      </c>
      <c r="T1097" s="60" t="str">
        <f aca="false">IF(IsPro,IF($D1097="","",IF(U1097="","UNKNOWN ITEM",IF(INDEX(Items!$O$5:$O$504,U1097)&lt;0,"NEG STOCK",IF(K1097&lt;INDEX(Items!$P$5:$P$504,U1097),"BELOW COST","OK")))),IF($D1097="","","PRO PLAN"))</f>
        <v/>
      </c>
      <c r="U1097" s="60" t="str">
        <f aca="false">IF(IsPro,IF($D1097="","",IFERROR(MATCH($D1097,Items!$A$5:$A$504,0),"")),"")</f>
        <v/>
      </c>
      <c r="V1097" s="60" t="str">
        <f aca="false">IF(IsPro,IF($C1097="","",IFERROR(MATCH($C1097,Parties!$A$5:$A$304,0),"")),"")</f>
        <v/>
      </c>
      <c r="W1097" s="60" t="str">
        <f aca="false">IF(IsPro,IF($B1097="","",IFERROR(VALUE(SUBSTITUTE($B1097,InvPrefix,"")),0)),"")</f>
        <v/>
      </c>
      <c r="X1097" s="61" t="str">
        <f aca="false">IF(IsPro,IF($D1097="","",IF(OR($H1097="",$H1097="Credit"),0,Q1097)),"")</f>
        <v/>
      </c>
    </row>
    <row r="1098" customFormat="false" ht="15" hidden="false" customHeight="false" outlineLevel="0" collapsed="false">
      <c r="A1098" s="55"/>
      <c r="B1098" s="56"/>
      <c r="C1098" s="56"/>
      <c r="D1098" s="56"/>
      <c r="E1098" s="57"/>
      <c r="F1098" s="58"/>
      <c r="G1098" s="59"/>
      <c r="H1098" s="56"/>
      <c r="I1098" s="56"/>
      <c r="J1098" s="60" t="str">
        <f aca="false">IF(IsPro,IF($D1098="","",IFERROR(INDEX(Items!$D$5:$D$504,U1098),"")),"")</f>
        <v/>
      </c>
      <c r="K1098" s="61" t="str">
        <f aca="false">IF(IsPro,IF($D1098="","",IF($F1098="",IFERROR(INDEX(Items!$H$5:$H$504,U1098),0),$F1098)),"")</f>
        <v/>
      </c>
      <c r="L1098" s="61" t="str">
        <f aca="false">IF(IsPro,IF($D1098="","",ROUND(N($E1098)*K1098*(1-N($G1098)),2)),"")</f>
        <v/>
      </c>
      <c r="M1098" s="62" t="str">
        <f aca="false">IF(IsPro,IF($D1098="","",IFERROR(INDEX(Items!$F$5:$F$504,U1098),0)),"")</f>
        <v/>
      </c>
      <c r="N1098" s="61" t="str">
        <f aca="false">IF(IsPro,IF($D1098="","",IF(AND(V1098&lt;&gt;"",INDEX(Parties!$E$5:$E$304,V1098)&lt;&gt;"",INDEX(Parties!$E$5:$E$304,V1098)&lt;&gt;HomeState),0,ROUND(L1098*M1098/2,2))),"")</f>
        <v/>
      </c>
      <c r="O1098" s="61" t="str">
        <f aca="false">IF(IsPro,IF($D1098="","",N1098),"")</f>
        <v/>
      </c>
      <c r="P1098" s="61" t="str">
        <f aca="false">IF(IsPro,IF($D1098="","",IF(AND(V1098&lt;&gt;"",INDEX(Parties!$E$5:$E$304,V1098)&lt;&gt;"",INDEX(Parties!$E$5:$E$304,V1098)&lt;&gt;HomeState),ROUND(L1098*M1098,2),0)),"")</f>
        <v/>
      </c>
      <c r="Q1098" s="61" t="str">
        <f aca="false">IF(IsPro,IF($D1098="","",L1098+N1098+O1098+P1098),"")</f>
        <v/>
      </c>
      <c r="R1098" s="61" t="str">
        <f aca="false">IF(IsPro,IF($D1098="","",ROUND(N($E1098)*IFERROR(INDEX(Items!$P$5:$P$504,U1098),0),2)),"")</f>
        <v/>
      </c>
      <c r="S1098" s="61" t="str">
        <f aca="false">IF(IsPro,IF($D1098="","",L1098-R1098),"")</f>
        <v/>
      </c>
      <c r="T1098" s="60" t="str">
        <f aca="false">IF(IsPro,IF($D1098="","",IF(U1098="","UNKNOWN ITEM",IF(INDEX(Items!$O$5:$O$504,U1098)&lt;0,"NEG STOCK",IF(K1098&lt;INDEX(Items!$P$5:$P$504,U1098),"BELOW COST","OK")))),IF($D1098="","","PRO PLAN"))</f>
        <v/>
      </c>
      <c r="U1098" s="60" t="str">
        <f aca="false">IF(IsPro,IF($D1098="","",IFERROR(MATCH($D1098,Items!$A$5:$A$504,0),"")),"")</f>
        <v/>
      </c>
      <c r="V1098" s="60" t="str">
        <f aca="false">IF(IsPro,IF($C1098="","",IFERROR(MATCH($C1098,Parties!$A$5:$A$304,0),"")),"")</f>
        <v/>
      </c>
      <c r="W1098" s="60" t="str">
        <f aca="false">IF(IsPro,IF($B1098="","",IFERROR(VALUE(SUBSTITUTE($B1098,InvPrefix,"")),0)),"")</f>
        <v/>
      </c>
      <c r="X1098" s="61" t="str">
        <f aca="false">IF(IsPro,IF($D1098="","",IF(OR($H1098="",$H1098="Credit"),0,Q1098)),"")</f>
        <v/>
      </c>
    </row>
    <row r="1099" customFormat="false" ht="15" hidden="false" customHeight="false" outlineLevel="0" collapsed="false">
      <c r="A1099" s="55"/>
      <c r="B1099" s="56"/>
      <c r="C1099" s="56"/>
      <c r="D1099" s="56"/>
      <c r="E1099" s="57"/>
      <c r="F1099" s="58"/>
      <c r="G1099" s="59"/>
      <c r="H1099" s="56"/>
      <c r="I1099" s="56"/>
      <c r="J1099" s="60" t="str">
        <f aca="false">IF(IsPro,IF($D1099="","",IFERROR(INDEX(Items!$D$5:$D$504,U1099),"")),"")</f>
        <v/>
      </c>
      <c r="K1099" s="61" t="str">
        <f aca="false">IF(IsPro,IF($D1099="","",IF($F1099="",IFERROR(INDEX(Items!$H$5:$H$504,U1099),0),$F1099)),"")</f>
        <v/>
      </c>
      <c r="L1099" s="61" t="str">
        <f aca="false">IF(IsPro,IF($D1099="","",ROUND(N($E1099)*K1099*(1-N($G1099)),2)),"")</f>
        <v/>
      </c>
      <c r="M1099" s="62" t="str">
        <f aca="false">IF(IsPro,IF($D1099="","",IFERROR(INDEX(Items!$F$5:$F$504,U1099),0)),"")</f>
        <v/>
      </c>
      <c r="N1099" s="61" t="str">
        <f aca="false">IF(IsPro,IF($D1099="","",IF(AND(V1099&lt;&gt;"",INDEX(Parties!$E$5:$E$304,V1099)&lt;&gt;"",INDEX(Parties!$E$5:$E$304,V1099)&lt;&gt;HomeState),0,ROUND(L1099*M1099/2,2))),"")</f>
        <v/>
      </c>
      <c r="O1099" s="61" t="str">
        <f aca="false">IF(IsPro,IF($D1099="","",N1099),"")</f>
        <v/>
      </c>
      <c r="P1099" s="61" t="str">
        <f aca="false">IF(IsPro,IF($D1099="","",IF(AND(V1099&lt;&gt;"",INDEX(Parties!$E$5:$E$304,V1099)&lt;&gt;"",INDEX(Parties!$E$5:$E$304,V1099)&lt;&gt;HomeState),ROUND(L1099*M1099,2),0)),"")</f>
        <v/>
      </c>
      <c r="Q1099" s="61" t="str">
        <f aca="false">IF(IsPro,IF($D1099="","",L1099+N1099+O1099+P1099),"")</f>
        <v/>
      </c>
      <c r="R1099" s="61" t="str">
        <f aca="false">IF(IsPro,IF($D1099="","",ROUND(N($E1099)*IFERROR(INDEX(Items!$P$5:$P$504,U1099),0),2)),"")</f>
        <v/>
      </c>
      <c r="S1099" s="61" t="str">
        <f aca="false">IF(IsPro,IF($D1099="","",L1099-R1099),"")</f>
        <v/>
      </c>
      <c r="T1099" s="60" t="str">
        <f aca="false">IF(IsPro,IF($D1099="","",IF(U1099="","UNKNOWN ITEM",IF(INDEX(Items!$O$5:$O$504,U1099)&lt;0,"NEG STOCK",IF(K1099&lt;INDEX(Items!$P$5:$P$504,U1099),"BELOW COST","OK")))),IF($D1099="","","PRO PLAN"))</f>
        <v/>
      </c>
      <c r="U1099" s="60" t="str">
        <f aca="false">IF(IsPro,IF($D1099="","",IFERROR(MATCH($D1099,Items!$A$5:$A$504,0),"")),"")</f>
        <v/>
      </c>
      <c r="V1099" s="60" t="str">
        <f aca="false">IF(IsPro,IF($C1099="","",IFERROR(MATCH($C1099,Parties!$A$5:$A$304,0),"")),"")</f>
        <v/>
      </c>
      <c r="W1099" s="60" t="str">
        <f aca="false">IF(IsPro,IF($B1099="","",IFERROR(VALUE(SUBSTITUTE($B1099,InvPrefix,"")),0)),"")</f>
        <v/>
      </c>
      <c r="X1099" s="61" t="str">
        <f aca="false">IF(IsPro,IF($D1099="","",IF(OR($H1099="",$H1099="Credit"),0,Q1099)),"")</f>
        <v/>
      </c>
    </row>
    <row r="1100" customFormat="false" ht="15" hidden="false" customHeight="false" outlineLevel="0" collapsed="false">
      <c r="A1100" s="55"/>
      <c r="B1100" s="56"/>
      <c r="C1100" s="56"/>
      <c r="D1100" s="56"/>
      <c r="E1100" s="57"/>
      <c r="F1100" s="58"/>
      <c r="G1100" s="59"/>
      <c r="H1100" s="56"/>
      <c r="I1100" s="56"/>
      <c r="J1100" s="60" t="str">
        <f aca="false">IF(IsPro,IF($D1100="","",IFERROR(INDEX(Items!$D$5:$D$504,U1100),"")),"")</f>
        <v/>
      </c>
      <c r="K1100" s="61" t="str">
        <f aca="false">IF(IsPro,IF($D1100="","",IF($F1100="",IFERROR(INDEX(Items!$H$5:$H$504,U1100),0),$F1100)),"")</f>
        <v/>
      </c>
      <c r="L1100" s="61" t="str">
        <f aca="false">IF(IsPro,IF($D1100="","",ROUND(N($E1100)*K1100*(1-N($G1100)),2)),"")</f>
        <v/>
      </c>
      <c r="M1100" s="62" t="str">
        <f aca="false">IF(IsPro,IF($D1100="","",IFERROR(INDEX(Items!$F$5:$F$504,U1100),0)),"")</f>
        <v/>
      </c>
      <c r="N1100" s="61" t="str">
        <f aca="false">IF(IsPro,IF($D1100="","",IF(AND(V1100&lt;&gt;"",INDEX(Parties!$E$5:$E$304,V1100)&lt;&gt;"",INDEX(Parties!$E$5:$E$304,V1100)&lt;&gt;HomeState),0,ROUND(L1100*M1100/2,2))),"")</f>
        <v/>
      </c>
      <c r="O1100" s="61" t="str">
        <f aca="false">IF(IsPro,IF($D1100="","",N1100),"")</f>
        <v/>
      </c>
      <c r="P1100" s="61" t="str">
        <f aca="false">IF(IsPro,IF($D1100="","",IF(AND(V1100&lt;&gt;"",INDEX(Parties!$E$5:$E$304,V1100)&lt;&gt;"",INDEX(Parties!$E$5:$E$304,V1100)&lt;&gt;HomeState),ROUND(L1100*M1100,2),0)),"")</f>
        <v/>
      </c>
      <c r="Q1100" s="61" t="str">
        <f aca="false">IF(IsPro,IF($D1100="","",L1100+N1100+O1100+P1100),"")</f>
        <v/>
      </c>
      <c r="R1100" s="61" t="str">
        <f aca="false">IF(IsPro,IF($D1100="","",ROUND(N($E1100)*IFERROR(INDEX(Items!$P$5:$P$504,U1100),0),2)),"")</f>
        <v/>
      </c>
      <c r="S1100" s="61" t="str">
        <f aca="false">IF(IsPro,IF($D1100="","",L1100-R1100),"")</f>
        <v/>
      </c>
      <c r="T1100" s="60" t="str">
        <f aca="false">IF(IsPro,IF($D1100="","",IF(U1100="","UNKNOWN ITEM",IF(INDEX(Items!$O$5:$O$504,U1100)&lt;0,"NEG STOCK",IF(K1100&lt;INDEX(Items!$P$5:$P$504,U1100),"BELOW COST","OK")))),IF($D1100="","","PRO PLAN"))</f>
        <v/>
      </c>
      <c r="U1100" s="60" t="str">
        <f aca="false">IF(IsPro,IF($D1100="","",IFERROR(MATCH($D1100,Items!$A$5:$A$504,0),"")),"")</f>
        <v/>
      </c>
      <c r="V1100" s="60" t="str">
        <f aca="false">IF(IsPro,IF($C1100="","",IFERROR(MATCH($C1100,Parties!$A$5:$A$304,0),"")),"")</f>
        <v/>
      </c>
      <c r="W1100" s="60" t="str">
        <f aca="false">IF(IsPro,IF($B1100="","",IFERROR(VALUE(SUBSTITUTE($B1100,InvPrefix,"")),0)),"")</f>
        <v/>
      </c>
      <c r="X1100" s="61" t="str">
        <f aca="false">IF(IsPro,IF($D1100="","",IF(OR($H1100="",$H1100="Credit"),0,Q1100)),"")</f>
        <v/>
      </c>
    </row>
    <row r="1101" customFormat="false" ht="15" hidden="false" customHeight="false" outlineLevel="0" collapsed="false">
      <c r="A1101" s="55"/>
      <c r="B1101" s="56"/>
      <c r="C1101" s="56"/>
      <c r="D1101" s="56"/>
      <c r="E1101" s="57"/>
      <c r="F1101" s="58"/>
      <c r="G1101" s="59"/>
      <c r="H1101" s="56"/>
      <c r="I1101" s="56"/>
      <c r="J1101" s="60" t="str">
        <f aca="false">IF(IsPro,IF($D1101="","",IFERROR(INDEX(Items!$D$5:$D$504,U1101),"")),"")</f>
        <v/>
      </c>
      <c r="K1101" s="61" t="str">
        <f aca="false">IF(IsPro,IF($D1101="","",IF($F1101="",IFERROR(INDEX(Items!$H$5:$H$504,U1101),0),$F1101)),"")</f>
        <v/>
      </c>
      <c r="L1101" s="61" t="str">
        <f aca="false">IF(IsPro,IF($D1101="","",ROUND(N($E1101)*K1101*(1-N($G1101)),2)),"")</f>
        <v/>
      </c>
      <c r="M1101" s="62" t="str">
        <f aca="false">IF(IsPro,IF($D1101="","",IFERROR(INDEX(Items!$F$5:$F$504,U1101),0)),"")</f>
        <v/>
      </c>
      <c r="N1101" s="61" t="str">
        <f aca="false">IF(IsPro,IF($D1101="","",IF(AND(V1101&lt;&gt;"",INDEX(Parties!$E$5:$E$304,V1101)&lt;&gt;"",INDEX(Parties!$E$5:$E$304,V1101)&lt;&gt;HomeState),0,ROUND(L1101*M1101/2,2))),"")</f>
        <v/>
      </c>
      <c r="O1101" s="61" t="str">
        <f aca="false">IF(IsPro,IF($D1101="","",N1101),"")</f>
        <v/>
      </c>
      <c r="P1101" s="61" t="str">
        <f aca="false">IF(IsPro,IF($D1101="","",IF(AND(V1101&lt;&gt;"",INDEX(Parties!$E$5:$E$304,V1101)&lt;&gt;"",INDEX(Parties!$E$5:$E$304,V1101)&lt;&gt;HomeState),ROUND(L1101*M1101,2),0)),"")</f>
        <v/>
      </c>
      <c r="Q1101" s="61" t="str">
        <f aca="false">IF(IsPro,IF($D1101="","",L1101+N1101+O1101+P1101),"")</f>
        <v/>
      </c>
      <c r="R1101" s="61" t="str">
        <f aca="false">IF(IsPro,IF($D1101="","",ROUND(N($E1101)*IFERROR(INDEX(Items!$P$5:$P$504,U1101),0),2)),"")</f>
        <v/>
      </c>
      <c r="S1101" s="61" t="str">
        <f aca="false">IF(IsPro,IF($D1101="","",L1101-R1101),"")</f>
        <v/>
      </c>
      <c r="T1101" s="60" t="str">
        <f aca="false">IF(IsPro,IF($D1101="","",IF(U1101="","UNKNOWN ITEM",IF(INDEX(Items!$O$5:$O$504,U1101)&lt;0,"NEG STOCK",IF(K1101&lt;INDEX(Items!$P$5:$P$504,U1101),"BELOW COST","OK")))),IF($D1101="","","PRO PLAN"))</f>
        <v/>
      </c>
      <c r="U1101" s="60" t="str">
        <f aca="false">IF(IsPro,IF($D1101="","",IFERROR(MATCH($D1101,Items!$A$5:$A$504,0),"")),"")</f>
        <v/>
      </c>
      <c r="V1101" s="60" t="str">
        <f aca="false">IF(IsPro,IF($C1101="","",IFERROR(MATCH($C1101,Parties!$A$5:$A$304,0),"")),"")</f>
        <v/>
      </c>
      <c r="W1101" s="60" t="str">
        <f aca="false">IF(IsPro,IF($B1101="","",IFERROR(VALUE(SUBSTITUTE($B1101,InvPrefix,"")),0)),"")</f>
        <v/>
      </c>
      <c r="X1101" s="61" t="str">
        <f aca="false">IF(IsPro,IF($D1101="","",IF(OR($H1101="",$H1101="Credit"),0,Q1101)),"")</f>
        <v/>
      </c>
    </row>
    <row r="1102" customFormat="false" ht="15" hidden="false" customHeight="false" outlineLevel="0" collapsed="false">
      <c r="A1102" s="55"/>
      <c r="B1102" s="56"/>
      <c r="C1102" s="56"/>
      <c r="D1102" s="56"/>
      <c r="E1102" s="57"/>
      <c r="F1102" s="58"/>
      <c r="G1102" s="59"/>
      <c r="H1102" s="56"/>
      <c r="I1102" s="56"/>
      <c r="J1102" s="60" t="str">
        <f aca="false">IF(IsPro,IF($D1102="","",IFERROR(INDEX(Items!$D$5:$D$504,U1102),"")),"")</f>
        <v/>
      </c>
      <c r="K1102" s="61" t="str">
        <f aca="false">IF(IsPro,IF($D1102="","",IF($F1102="",IFERROR(INDEX(Items!$H$5:$H$504,U1102),0),$F1102)),"")</f>
        <v/>
      </c>
      <c r="L1102" s="61" t="str">
        <f aca="false">IF(IsPro,IF($D1102="","",ROUND(N($E1102)*K1102*(1-N($G1102)),2)),"")</f>
        <v/>
      </c>
      <c r="M1102" s="62" t="str">
        <f aca="false">IF(IsPro,IF($D1102="","",IFERROR(INDEX(Items!$F$5:$F$504,U1102),0)),"")</f>
        <v/>
      </c>
      <c r="N1102" s="61" t="str">
        <f aca="false">IF(IsPro,IF($D1102="","",IF(AND(V1102&lt;&gt;"",INDEX(Parties!$E$5:$E$304,V1102)&lt;&gt;"",INDEX(Parties!$E$5:$E$304,V1102)&lt;&gt;HomeState),0,ROUND(L1102*M1102/2,2))),"")</f>
        <v/>
      </c>
      <c r="O1102" s="61" t="str">
        <f aca="false">IF(IsPro,IF($D1102="","",N1102),"")</f>
        <v/>
      </c>
      <c r="P1102" s="61" t="str">
        <f aca="false">IF(IsPro,IF($D1102="","",IF(AND(V1102&lt;&gt;"",INDEX(Parties!$E$5:$E$304,V1102)&lt;&gt;"",INDEX(Parties!$E$5:$E$304,V1102)&lt;&gt;HomeState),ROUND(L1102*M1102,2),0)),"")</f>
        <v/>
      </c>
      <c r="Q1102" s="61" t="str">
        <f aca="false">IF(IsPro,IF($D1102="","",L1102+N1102+O1102+P1102),"")</f>
        <v/>
      </c>
      <c r="R1102" s="61" t="str">
        <f aca="false">IF(IsPro,IF($D1102="","",ROUND(N($E1102)*IFERROR(INDEX(Items!$P$5:$P$504,U1102),0),2)),"")</f>
        <v/>
      </c>
      <c r="S1102" s="61" t="str">
        <f aca="false">IF(IsPro,IF($D1102="","",L1102-R1102),"")</f>
        <v/>
      </c>
      <c r="T1102" s="60" t="str">
        <f aca="false">IF(IsPro,IF($D1102="","",IF(U1102="","UNKNOWN ITEM",IF(INDEX(Items!$O$5:$O$504,U1102)&lt;0,"NEG STOCK",IF(K1102&lt;INDEX(Items!$P$5:$P$504,U1102),"BELOW COST","OK")))),IF($D1102="","","PRO PLAN"))</f>
        <v/>
      </c>
      <c r="U1102" s="60" t="str">
        <f aca="false">IF(IsPro,IF($D1102="","",IFERROR(MATCH($D1102,Items!$A$5:$A$504,0),"")),"")</f>
        <v/>
      </c>
      <c r="V1102" s="60" t="str">
        <f aca="false">IF(IsPro,IF($C1102="","",IFERROR(MATCH($C1102,Parties!$A$5:$A$304,0),"")),"")</f>
        <v/>
      </c>
      <c r="W1102" s="60" t="str">
        <f aca="false">IF(IsPro,IF($B1102="","",IFERROR(VALUE(SUBSTITUTE($B1102,InvPrefix,"")),0)),"")</f>
        <v/>
      </c>
      <c r="X1102" s="61" t="str">
        <f aca="false">IF(IsPro,IF($D1102="","",IF(OR($H1102="",$H1102="Credit"),0,Q1102)),"")</f>
        <v/>
      </c>
    </row>
    <row r="1103" customFormat="false" ht="15" hidden="false" customHeight="false" outlineLevel="0" collapsed="false">
      <c r="A1103" s="55"/>
      <c r="B1103" s="56"/>
      <c r="C1103" s="56"/>
      <c r="D1103" s="56"/>
      <c r="E1103" s="57"/>
      <c r="F1103" s="58"/>
      <c r="G1103" s="59"/>
      <c r="H1103" s="56"/>
      <c r="I1103" s="56"/>
      <c r="J1103" s="60" t="str">
        <f aca="false">IF(IsPro,IF($D1103="","",IFERROR(INDEX(Items!$D$5:$D$504,U1103),"")),"")</f>
        <v/>
      </c>
      <c r="K1103" s="61" t="str">
        <f aca="false">IF(IsPro,IF($D1103="","",IF($F1103="",IFERROR(INDEX(Items!$H$5:$H$504,U1103),0),$F1103)),"")</f>
        <v/>
      </c>
      <c r="L1103" s="61" t="str">
        <f aca="false">IF(IsPro,IF($D1103="","",ROUND(N($E1103)*K1103*(1-N($G1103)),2)),"")</f>
        <v/>
      </c>
      <c r="M1103" s="62" t="str">
        <f aca="false">IF(IsPro,IF($D1103="","",IFERROR(INDEX(Items!$F$5:$F$504,U1103),0)),"")</f>
        <v/>
      </c>
      <c r="N1103" s="61" t="str">
        <f aca="false">IF(IsPro,IF($D1103="","",IF(AND(V1103&lt;&gt;"",INDEX(Parties!$E$5:$E$304,V1103)&lt;&gt;"",INDEX(Parties!$E$5:$E$304,V1103)&lt;&gt;HomeState),0,ROUND(L1103*M1103/2,2))),"")</f>
        <v/>
      </c>
      <c r="O1103" s="61" t="str">
        <f aca="false">IF(IsPro,IF($D1103="","",N1103),"")</f>
        <v/>
      </c>
      <c r="P1103" s="61" t="str">
        <f aca="false">IF(IsPro,IF($D1103="","",IF(AND(V1103&lt;&gt;"",INDEX(Parties!$E$5:$E$304,V1103)&lt;&gt;"",INDEX(Parties!$E$5:$E$304,V1103)&lt;&gt;HomeState),ROUND(L1103*M1103,2),0)),"")</f>
        <v/>
      </c>
      <c r="Q1103" s="61" t="str">
        <f aca="false">IF(IsPro,IF($D1103="","",L1103+N1103+O1103+P1103),"")</f>
        <v/>
      </c>
      <c r="R1103" s="61" t="str">
        <f aca="false">IF(IsPro,IF($D1103="","",ROUND(N($E1103)*IFERROR(INDEX(Items!$P$5:$P$504,U1103),0),2)),"")</f>
        <v/>
      </c>
      <c r="S1103" s="61" t="str">
        <f aca="false">IF(IsPro,IF($D1103="","",L1103-R1103),"")</f>
        <v/>
      </c>
      <c r="T1103" s="60" t="str">
        <f aca="false">IF(IsPro,IF($D1103="","",IF(U1103="","UNKNOWN ITEM",IF(INDEX(Items!$O$5:$O$504,U1103)&lt;0,"NEG STOCK",IF(K1103&lt;INDEX(Items!$P$5:$P$504,U1103),"BELOW COST","OK")))),IF($D1103="","","PRO PLAN"))</f>
        <v/>
      </c>
      <c r="U1103" s="60" t="str">
        <f aca="false">IF(IsPro,IF($D1103="","",IFERROR(MATCH($D1103,Items!$A$5:$A$504,0),"")),"")</f>
        <v/>
      </c>
      <c r="V1103" s="60" t="str">
        <f aca="false">IF(IsPro,IF($C1103="","",IFERROR(MATCH($C1103,Parties!$A$5:$A$304,0),"")),"")</f>
        <v/>
      </c>
      <c r="W1103" s="60" t="str">
        <f aca="false">IF(IsPro,IF($B1103="","",IFERROR(VALUE(SUBSTITUTE($B1103,InvPrefix,"")),0)),"")</f>
        <v/>
      </c>
      <c r="X1103" s="61" t="str">
        <f aca="false">IF(IsPro,IF($D1103="","",IF(OR($H1103="",$H1103="Credit"),0,Q1103)),"")</f>
        <v/>
      </c>
    </row>
    <row r="1104" customFormat="false" ht="15" hidden="false" customHeight="false" outlineLevel="0" collapsed="false">
      <c r="A1104" s="55"/>
      <c r="B1104" s="56"/>
      <c r="C1104" s="56"/>
      <c r="D1104" s="56"/>
      <c r="E1104" s="57"/>
      <c r="F1104" s="58"/>
      <c r="G1104" s="59"/>
      <c r="H1104" s="56"/>
      <c r="I1104" s="56"/>
      <c r="J1104" s="60" t="str">
        <f aca="false">IF(IsPro,IF($D1104="","",IFERROR(INDEX(Items!$D$5:$D$504,U1104),"")),"")</f>
        <v/>
      </c>
      <c r="K1104" s="61" t="str">
        <f aca="false">IF(IsPro,IF($D1104="","",IF($F1104="",IFERROR(INDEX(Items!$H$5:$H$504,U1104),0),$F1104)),"")</f>
        <v/>
      </c>
      <c r="L1104" s="61" t="str">
        <f aca="false">IF(IsPro,IF($D1104="","",ROUND(N($E1104)*K1104*(1-N($G1104)),2)),"")</f>
        <v/>
      </c>
      <c r="M1104" s="62" t="str">
        <f aca="false">IF(IsPro,IF($D1104="","",IFERROR(INDEX(Items!$F$5:$F$504,U1104),0)),"")</f>
        <v/>
      </c>
      <c r="N1104" s="61" t="str">
        <f aca="false">IF(IsPro,IF($D1104="","",IF(AND(V1104&lt;&gt;"",INDEX(Parties!$E$5:$E$304,V1104)&lt;&gt;"",INDEX(Parties!$E$5:$E$304,V1104)&lt;&gt;HomeState),0,ROUND(L1104*M1104/2,2))),"")</f>
        <v/>
      </c>
      <c r="O1104" s="61" t="str">
        <f aca="false">IF(IsPro,IF($D1104="","",N1104),"")</f>
        <v/>
      </c>
      <c r="P1104" s="61" t="str">
        <f aca="false">IF(IsPro,IF($D1104="","",IF(AND(V1104&lt;&gt;"",INDEX(Parties!$E$5:$E$304,V1104)&lt;&gt;"",INDEX(Parties!$E$5:$E$304,V1104)&lt;&gt;HomeState),ROUND(L1104*M1104,2),0)),"")</f>
        <v/>
      </c>
      <c r="Q1104" s="61" t="str">
        <f aca="false">IF(IsPro,IF($D1104="","",L1104+N1104+O1104+P1104),"")</f>
        <v/>
      </c>
      <c r="R1104" s="61" t="str">
        <f aca="false">IF(IsPro,IF($D1104="","",ROUND(N($E1104)*IFERROR(INDEX(Items!$P$5:$P$504,U1104),0),2)),"")</f>
        <v/>
      </c>
      <c r="S1104" s="61" t="str">
        <f aca="false">IF(IsPro,IF($D1104="","",L1104-R1104),"")</f>
        <v/>
      </c>
      <c r="T1104" s="60" t="str">
        <f aca="false">IF(IsPro,IF($D1104="","",IF(U1104="","UNKNOWN ITEM",IF(INDEX(Items!$O$5:$O$504,U1104)&lt;0,"NEG STOCK",IF(K1104&lt;INDEX(Items!$P$5:$P$504,U1104),"BELOW COST","OK")))),IF($D1104="","","PRO PLAN"))</f>
        <v/>
      </c>
      <c r="U1104" s="60" t="str">
        <f aca="false">IF(IsPro,IF($D1104="","",IFERROR(MATCH($D1104,Items!$A$5:$A$504,0),"")),"")</f>
        <v/>
      </c>
      <c r="V1104" s="60" t="str">
        <f aca="false">IF(IsPro,IF($C1104="","",IFERROR(MATCH($C1104,Parties!$A$5:$A$304,0),"")),"")</f>
        <v/>
      </c>
      <c r="W1104" s="60" t="str">
        <f aca="false">IF(IsPro,IF($B1104="","",IFERROR(VALUE(SUBSTITUTE($B1104,InvPrefix,"")),0)),"")</f>
        <v/>
      </c>
      <c r="X1104" s="61" t="str">
        <f aca="false">IF(IsPro,IF($D1104="","",IF(OR($H1104="",$H1104="Credit"),0,Q1104)),"")</f>
        <v/>
      </c>
    </row>
    <row r="1105" customFormat="false" ht="15" hidden="false" customHeight="false" outlineLevel="0" collapsed="false">
      <c r="A1105" s="55"/>
      <c r="B1105" s="56"/>
      <c r="C1105" s="56"/>
      <c r="D1105" s="56"/>
      <c r="E1105" s="57"/>
      <c r="F1105" s="58"/>
      <c r="G1105" s="59"/>
      <c r="H1105" s="56"/>
      <c r="I1105" s="56"/>
      <c r="J1105" s="60" t="str">
        <f aca="false">IF(IsPro,IF($D1105="","",IFERROR(INDEX(Items!$D$5:$D$504,U1105),"")),"")</f>
        <v/>
      </c>
      <c r="K1105" s="61" t="str">
        <f aca="false">IF(IsPro,IF($D1105="","",IF($F1105="",IFERROR(INDEX(Items!$H$5:$H$504,U1105),0),$F1105)),"")</f>
        <v/>
      </c>
      <c r="L1105" s="61" t="str">
        <f aca="false">IF(IsPro,IF($D1105="","",ROUND(N($E1105)*K1105*(1-N($G1105)),2)),"")</f>
        <v/>
      </c>
      <c r="M1105" s="62" t="str">
        <f aca="false">IF(IsPro,IF($D1105="","",IFERROR(INDEX(Items!$F$5:$F$504,U1105),0)),"")</f>
        <v/>
      </c>
      <c r="N1105" s="61" t="str">
        <f aca="false">IF(IsPro,IF($D1105="","",IF(AND(V1105&lt;&gt;"",INDEX(Parties!$E$5:$E$304,V1105)&lt;&gt;"",INDEX(Parties!$E$5:$E$304,V1105)&lt;&gt;HomeState),0,ROUND(L1105*M1105/2,2))),"")</f>
        <v/>
      </c>
      <c r="O1105" s="61" t="str">
        <f aca="false">IF(IsPro,IF($D1105="","",N1105),"")</f>
        <v/>
      </c>
      <c r="P1105" s="61" t="str">
        <f aca="false">IF(IsPro,IF($D1105="","",IF(AND(V1105&lt;&gt;"",INDEX(Parties!$E$5:$E$304,V1105)&lt;&gt;"",INDEX(Parties!$E$5:$E$304,V1105)&lt;&gt;HomeState),ROUND(L1105*M1105,2),0)),"")</f>
        <v/>
      </c>
      <c r="Q1105" s="61" t="str">
        <f aca="false">IF(IsPro,IF($D1105="","",L1105+N1105+O1105+P1105),"")</f>
        <v/>
      </c>
      <c r="R1105" s="61" t="str">
        <f aca="false">IF(IsPro,IF($D1105="","",ROUND(N($E1105)*IFERROR(INDEX(Items!$P$5:$P$504,U1105),0),2)),"")</f>
        <v/>
      </c>
      <c r="S1105" s="61" t="str">
        <f aca="false">IF(IsPro,IF($D1105="","",L1105-R1105),"")</f>
        <v/>
      </c>
      <c r="T1105" s="60" t="str">
        <f aca="false">IF(IsPro,IF($D1105="","",IF(U1105="","UNKNOWN ITEM",IF(INDEX(Items!$O$5:$O$504,U1105)&lt;0,"NEG STOCK",IF(K1105&lt;INDEX(Items!$P$5:$P$504,U1105),"BELOW COST","OK")))),IF($D1105="","","PRO PLAN"))</f>
        <v/>
      </c>
      <c r="U1105" s="60" t="str">
        <f aca="false">IF(IsPro,IF($D1105="","",IFERROR(MATCH($D1105,Items!$A$5:$A$504,0),"")),"")</f>
        <v/>
      </c>
      <c r="V1105" s="60" t="str">
        <f aca="false">IF(IsPro,IF($C1105="","",IFERROR(MATCH($C1105,Parties!$A$5:$A$304,0),"")),"")</f>
        <v/>
      </c>
      <c r="W1105" s="60" t="str">
        <f aca="false">IF(IsPro,IF($B1105="","",IFERROR(VALUE(SUBSTITUTE($B1105,InvPrefix,"")),0)),"")</f>
        <v/>
      </c>
      <c r="X1105" s="61" t="str">
        <f aca="false">IF(IsPro,IF($D1105="","",IF(OR($H1105="",$H1105="Credit"),0,Q1105)),"")</f>
        <v/>
      </c>
    </row>
    <row r="1106" customFormat="false" ht="15" hidden="false" customHeight="false" outlineLevel="0" collapsed="false">
      <c r="A1106" s="55"/>
      <c r="B1106" s="56"/>
      <c r="C1106" s="56"/>
      <c r="D1106" s="56"/>
      <c r="E1106" s="57"/>
      <c r="F1106" s="58"/>
      <c r="G1106" s="59"/>
      <c r="H1106" s="56"/>
      <c r="I1106" s="56"/>
      <c r="J1106" s="60" t="str">
        <f aca="false">IF(IsPro,IF($D1106="","",IFERROR(INDEX(Items!$D$5:$D$504,U1106),"")),"")</f>
        <v/>
      </c>
      <c r="K1106" s="61" t="str">
        <f aca="false">IF(IsPro,IF($D1106="","",IF($F1106="",IFERROR(INDEX(Items!$H$5:$H$504,U1106),0),$F1106)),"")</f>
        <v/>
      </c>
      <c r="L1106" s="61" t="str">
        <f aca="false">IF(IsPro,IF($D1106="","",ROUND(N($E1106)*K1106*(1-N($G1106)),2)),"")</f>
        <v/>
      </c>
      <c r="M1106" s="62" t="str">
        <f aca="false">IF(IsPro,IF($D1106="","",IFERROR(INDEX(Items!$F$5:$F$504,U1106),0)),"")</f>
        <v/>
      </c>
      <c r="N1106" s="61" t="str">
        <f aca="false">IF(IsPro,IF($D1106="","",IF(AND(V1106&lt;&gt;"",INDEX(Parties!$E$5:$E$304,V1106)&lt;&gt;"",INDEX(Parties!$E$5:$E$304,V1106)&lt;&gt;HomeState),0,ROUND(L1106*M1106/2,2))),"")</f>
        <v/>
      </c>
      <c r="O1106" s="61" t="str">
        <f aca="false">IF(IsPro,IF($D1106="","",N1106),"")</f>
        <v/>
      </c>
      <c r="P1106" s="61" t="str">
        <f aca="false">IF(IsPro,IF($D1106="","",IF(AND(V1106&lt;&gt;"",INDEX(Parties!$E$5:$E$304,V1106)&lt;&gt;"",INDEX(Parties!$E$5:$E$304,V1106)&lt;&gt;HomeState),ROUND(L1106*M1106,2),0)),"")</f>
        <v/>
      </c>
      <c r="Q1106" s="61" t="str">
        <f aca="false">IF(IsPro,IF($D1106="","",L1106+N1106+O1106+P1106),"")</f>
        <v/>
      </c>
      <c r="R1106" s="61" t="str">
        <f aca="false">IF(IsPro,IF($D1106="","",ROUND(N($E1106)*IFERROR(INDEX(Items!$P$5:$P$504,U1106),0),2)),"")</f>
        <v/>
      </c>
      <c r="S1106" s="61" t="str">
        <f aca="false">IF(IsPro,IF($D1106="","",L1106-R1106),"")</f>
        <v/>
      </c>
      <c r="T1106" s="60" t="str">
        <f aca="false">IF(IsPro,IF($D1106="","",IF(U1106="","UNKNOWN ITEM",IF(INDEX(Items!$O$5:$O$504,U1106)&lt;0,"NEG STOCK",IF(K1106&lt;INDEX(Items!$P$5:$P$504,U1106),"BELOW COST","OK")))),IF($D1106="","","PRO PLAN"))</f>
        <v/>
      </c>
      <c r="U1106" s="60" t="str">
        <f aca="false">IF(IsPro,IF($D1106="","",IFERROR(MATCH($D1106,Items!$A$5:$A$504,0),"")),"")</f>
        <v/>
      </c>
      <c r="V1106" s="60" t="str">
        <f aca="false">IF(IsPro,IF($C1106="","",IFERROR(MATCH($C1106,Parties!$A$5:$A$304,0),"")),"")</f>
        <v/>
      </c>
      <c r="W1106" s="60" t="str">
        <f aca="false">IF(IsPro,IF($B1106="","",IFERROR(VALUE(SUBSTITUTE($B1106,InvPrefix,"")),0)),"")</f>
        <v/>
      </c>
      <c r="X1106" s="61" t="str">
        <f aca="false">IF(IsPro,IF($D1106="","",IF(OR($H1106="",$H1106="Credit"),0,Q1106)),"")</f>
        <v/>
      </c>
    </row>
    <row r="1107" customFormat="false" ht="15" hidden="false" customHeight="false" outlineLevel="0" collapsed="false">
      <c r="A1107" s="55"/>
      <c r="B1107" s="56"/>
      <c r="C1107" s="56"/>
      <c r="D1107" s="56"/>
      <c r="E1107" s="57"/>
      <c r="F1107" s="58"/>
      <c r="G1107" s="59"/>
      <c r="H1107" s="56"/>
      <c r="I1107" s="56"/>
      <c r="J1107" s="60" t="str">
        <f aca="false">IF(IsPro,IF($D1107="","",IFERROR(INDEX(Items!$D$5:$D$504,U1107),"")),"")</f>
        <v/>
      </c>
      <c r="K1107" s="61" t="str">
        <f aca="false">IF(IsPro,IF($D1107="","",IF($F1107="",IFERROR(INDEX(Items!$H$5:$H$504,U1107),0),$F1107)),"")</f>
        <v/>
      </c>
      <c r="L1107" s="61" t="str">
        <f aca="false">IF(IsPro,IF($D1107="","",ROUND(N($E1107)*K1107*(1-N($G1107)),2)),"")</f>
        <v/>
      </c>
      <c r="M1107" s="62" t="str">
        <f aca="false">IF(IsPro,IF($D1107="","",IFERROR(INDEX(Items!$F$5:$F$504,U1107),0)),"")</f>
        <v/>
      </c>
      <c r="N1107" s="61" t="str">
        <f aca="false">IF(IsPro,IF($D1107="","",IF(AND(V1107&lt;&gt;"",INDEX(Parties!$E$5:$E$304,V1107)&lt;&gt;"",INDEX(Parties!$E$5:$E$304,V1107)&lt;&gt;HomeState),0,ROUND(L1107*M1107/2,2))),"")</f>
        <v/>
      </c>
      <c r="O1107" s="61" t="str">
        <f aca="false">IF(IsPro,IF($D1107="","",N1107),"")</f>
        <v/>
      </c>
      <c r="P1107" s="61" t="str">
        <f aca="false">IF(IsPro,IF($D1107="","",IF(AND(V1107&lt;&gt;"",INDEX(Parties!$E$5:$E$304,V1107)&lt;&gt;"",INDEX(Parties!$E$5:$E$304,V1107)&lt;&gt;HomeState),ROUND(L1107*M1107,2),0)),"")</f>
        <v/>
      </c>
      <c r="Q1107" s="61" t="str">
        <f aca="false">IF(IsPro,IF($D1107="","",L1107+N1107+O1107+P1107),"")</f>
        <v/>
      </c>
      <c r="R1107" s="61" t="str">
        <f aca="false">IF(IsPro,IF($D1107="","",ROUND(N($E1107)*IFERROR(INDEX(Items!$P$5:$P$504,U1107),0),2)),"")</f>
        <v/>
      </c>
      <c r="S1107" s="61" t="str">
        <f aca="false">IF(IsPro,IF($D1107="","",L1107-R1107),"")</f>
        <v/>
      </c>
      <c r="T1107" s="60" t="str">
        <f aca="false">IF(IsPro,IF($D1107="","",IF(U1107="","UNKNOWN ITEM",IF(INDEX(Items!$O$5:$O$504,U1107)&lt;0,"NEG STOCK",IF(K1107&lt;INDEX(Items!$P$5:$P$504,U1107),"BELOW COST","OK")))),IF($D1107="","","PRO PLAN"))</f>
        <v/>
      </c>
      <c r="U1107" s="60" t="str">
        <f aca="false">IF(IsPro,IF($D1107="","",IFERROR(MATCH($D1107,Items!$A$5:$A$504,0),"")),"")</f>
        <v/>
      </c>
      <c r="V1107" s="60" t="str">
        <f aca="false">IF(IsPro,IF($C1107="","",IFERROR(MATCH($C1107,Parties!$A$5:$A$304,0),"")),"")</f>
        <v/>
      </c>
      <c r="W1107" s="60" t="str">
        <f aca="false">IF(IsPro,IF($B1107="","",IFERROR(VALUE(SUBSTITUTE($B1107,InvPrefix,"")),0)),"")</f>
        <v/>
      </c>
      <c r="X1107" s="61" t="str">
        <f aca="false">IF(IsPro,IF($D1107="","",IF(OR($H1107="",$H1107="Credit"),0,Q1107)),"")</f>
        <v/>
      </c>
    </row>
    <row r="1108" customFormat="false" ht="15" hidden="false" customHeight="false" outlineLevel="0" collapsed="false">
      <c r="A1108" s="55"/>
      <c r="B1108" s="56"/>
      <c r="C1108" s="56"/>
      <c r="D1108" s="56"/>
      <c r="E1108" s="57"/>
      <c r="F1108" s="58"/>
      <c r="G1108" s="59"/>
      <c r="H1108" s="56"/>
      <c r="I1108" s="56"/>
      <c r="J1108" s="60" t="str">
        <f aca="false">IF(IsPro,IF($D1108="","",IFERROR(INDEX(Items!$D$5:$D$504,U1108),"")),"")</f>
        <v/>
      </c>
      <c r="K1108" s="61" t="str">
        <f aca="false">IF(IsPro,IF($D1108="","",IF($F1108="",IFERROR(INDEX(Items!$H$5:$H$504,U1108),0),$F1108)),"")</f>
        <v/>
      </c>
      <c r="L1108" s="61" t="str">
        <f aca="false">IF(IsPro,IF($D1108="","",ROUND(N($E1108)*K1108*(1-N($G1108)),2)),"")</f>
        <v/>
      </c>
      <c r="M1108" s="62" t="str">
        <f aca="false">IF(IsPro,IF($D1108="","",IFERROR(INDEX(Items!$F$5:$F$504,U1108),0)),"")</f>
        <v/>
      </c>
      <c r="N1108" s="61" t="str">
        <f aca="false">IF(IsPro,IF($D1108="","",IF(AND(V1108&lt;&gt;"",INDEX(Parties!$E$5:$E$304,V1108)&lt;&gt;"",INDEX(Parties!$E$5:$E$304,V1108)&lt;&gt;HomeState),0,ROUND(L1108*M1108/2,2))),"")</f>
        <v/>
      </c>
      <c r="O1108" s="61" t="str">
        <f aca="false">IF(IsPro,IF($D1108="","",N1108),"")</f>
        <v/>
      </c>
      <c r="P1108" s="61" t="str">
        <f aca="false">IF(IsPro,IF($D1108="","",IF(AND(V1108&lt;&gt;"",INDEX(Parties!$E$5:$E$304,V1108)&lt;&gt;"",INDEX(Parties!$E$5:$E$304,V1108)&lt;&gt;HomeState),ROUND(L1108*M1108,2),0)),"")</f>
        <v/>
      </c>
      <c r="Q1108" s="61" t="str">
        <f aca="false">IF(IsPro,IF($D1108="","",L1108+N1108+O1108+P1108),"")</f>
        <v/>
      </c>
      <c r="R1108" s="61" t="str">
        <f aca="false">IF(IsPro,IF($D1108="","",ROUND(N($E1108)*IFERROR(INDEX(Items!$P$5:$P$504,U1108),0),2)),"")</f>
        <v/>
      </c>
      <c r="S1108" s="61" t="str">
        <f aca="false">IF(IsPro,IF($D1108="","",L1108-R1108),"")</f>
        <v/>
      </c>
      <c r="T1108" s="60" t="str">
        <f aca="false">IF(IsPro,IF($D1108="","",IF(U1108="","UNKNOWN ITEM",IF(INDEX(Items!$O$5:$O$504,U1108)&lt;0,"NEG STOCK",IF(K1108&lt;INDEX(Items!$P$5:$P$504,U1108),"BELOW COST","OK")))),IF($D1108="","","PRO PLAN"))</f>
        <v/>
      </c>
      <c r="U1108" s="60" t="str">
        <f aca="false">IF(IsPro,IF($D1108="","",IFERROR(MATCH($D1108,Items!$A$5:$A$504,0),"")),"")</f>
        <v/>
      </c>
      <c r="V1108" s="60" t="str">
        <f aca="false">IF(IsPro,IF($C1108="","",IFERROR(MATCH($C1108,Parties!$A$5:$A$304,0),"")),"")</f>
        <v/>
      </c>
      <c r="W1108" s="60" t="str">
        <f aca="false">IF(IsPro,IF($B1108="","",IFERROR(VALUE(SUBSTITUTE($B1108,InvPrefix,"")),0)),"")</f>
        <v/>
      </c>
      <c r="X1108" s="61" t="str">
        <f aca="false">IF(IsPro,IF($D1108="","",IF(OR($H1108="",$H1108="Credit"),0,Q1108)),"")</f>
        <v/>
      </c>
    </row>
    <row r="1109" customFormat="false" ht="15" hidden="false" customHeight="false" outlineLevel="0" collapsed="false">
      <c r="A1109" s="55"/>
      <c r="B1109" s="56"/>
      <c r="C1109" s="56"/>
      <c r="D1109" s="56"/>
      <c r="E1109" s="57"/>
      <c r="F1109" s="58"/>
      <c r="G1109" s="59"/>
      <c r="H1109" s="56"/>
      <c r="I1109" s="56"/>
      <c r="J1109" s="60" t="str">
        <f aca="false">IF(IsPro,IF($D1109="","",IFERROR(INDEX(Items!$D$5:$D$504,U1109),"")),"")</f>
        <v/>
      </c>
      <c r="K1109" s="61" t="str">
        <f aca="false">IF(IsPro,IF($D1109="","",IF($F1109="",IFERROR(INDEX(Items!$H$5:$H$504,U1109),0),$F1109)),"")</f>
        <v/>
      </c>
      <c r="L1109" s="61" t="str">
        <f aca="false">IF(IsPro,IF($D1109="","",ROUND(N($E1109)*K1109*(1-N($G1109)),2)),"")</f>
        <v/>
      </c>
      <c r="M1109" s="62" t="str">
        <f aca="false">IF(IsPro,IF($D1109="","",IFERROR(INDEX(Items!$F$5:$F$504,U1109),0)),"")</f>
        <v/>
      </c>
      <c r="N1109" s="61" t="str">
        <f aca="false">IF(IsPro,IF($D1109="","",IF(AND(V1109&lt;&gt;"",INDEX(Parties!$E$5:$E$304,V1109)&lt;&gt;"",INDEX(Parties!$E$5:$E$304,V1109)&lt;&gt;HomeState),0,ROUND(L1109*M1109/2,2))),"")</f>
        <v/>
      </c>
      <c r="O1109" s="61" t="str">
        <f aca="false">IF(IsPro,IF($D1109="","",N1109),"")</f>
        <v/>
      </c>
      <c r="P1109" s="61" t="str">
        <f aca="false">IF(IsPro,IF($D1109="","",IF(AND(V1109&lt;&gt;"",INDEX(Parties!$E$5:$E$304,V1109)&lt;&gt;"",INDEX(Parties!$E$5:$E$304,V1109)&lt;&gt;HomeState),ROUND(L1109*M1109,2),0)),"")</f>
        <v/>
      </c>
      <c r="Q1109" s="61" t="str">
        <f aca="false">IF(IsPro,IF($D1109="","",L1109+N1109+O1109+P1109),"")</f>
        <v/>
      </c>
      <c r="R1109" s="61" t="str">
        <f aca="false">IF(IsPro,IF($D1109="","",ROUND(N($E1109)*IFERROR(INDEX(Items!$P$5:$P$504,U1109),0),2)),"")</f>
        <v/>
      </c>
      <c r="S1109" s="61" t="str">
        <f aca="false">IF(IsPro,IF($D1109="","",L1109-R1109),"")</f>
        <v/>
      </c>
      <c r="T1109" s="60" t="str">
        <f aca="false">IF(IsPro,IF($D1109="","",IF(U1109="","UNKNOWN ITEM",IF(INDEX(Items!$O$5:$O$504,U1109)&lt;0,"NEG STOCK",IF(K1109&lt;INDEX(Items!$P$5:$P$504,U1109),"BELOW COST","OK")))),IF($D1109="","","PRO PLAN"))</f>
        <v/>
      </c>
      <c r="U1109" s="60" t="str">
        <f aca="false">IF(IsPro,IF($D1109="","",IFERROR(MATCH($D1109,Items!$A$5:$A$504,0),"")),"")</f>
        <v/>
      </c>
      <c r="V1109" s="60" t="str">
        <f aca="false">IF(IsPro,IF($C1109="","",IFERROR(MATCH($C1109,Parties!$A$5:$A$304,0),"")),"")</f>
        <v/>
      </c>
      <c r="W1109" s="60" t="str">
        <f aca="false">IF(IsPro,IF($B1109="","",IFERROR(VALUE(SUBSTITUTE($B1109,InvPrefix,"")),0)),"")</f>
        <v/>
      </c>
      <c r="X1109" s="61" t="str">
        <f aca="false">IF(IsPro,IF($D1109="","",IF(OR($H1109="",$H1109="Credit"),0,Q1109)),"")</f>
        <v/>
      </c>
    </row>
    <row r="1110" customFormat="false" ht="15" hidden="false" customHeight="false" outlineLevel="0" collapsed="false">
      <c r="A1110" s="55"/>
      <c r="B1110" s="56"/>
      <c r="C1110" s="56"/>
      <c r="D1110" s="56"/>
      <c r="E1110" s="57"/>
      <c r="F1110" s="58"/>
      <c r="G1110" s="59"/>
      <c r="H1110" s="56"/>
      <c r="I1110" s="56"/>
      <c r="J1110" s="60" t="str">
        <f aca="false">IF(IsPro,IF($D1110="","",IFERROR(INDEX(Items!$D$5:$D$504,U1110),"")),"")</f>
        <v/>
      </c>
      <c r="K1110" s="61" t="str">
        <f aca="false">IF(IsPro,IF($D1110="","",IF($F1110="",IFERROR(INDEX(Items!$H$5:$H$504,U1110),0),$F1110)),"")</f>
        <v/>
      </c>
      <c r="L1110" s="61" t="str">
        <f aca="false">IF(IsPro,IF($D1110="","",ROUND(N($E1110)*K1110*(1-N($G1110)),2)),"")</f>
        <v/>
      </c>
      <c r="M1110" s="62" t="str">
        <f aca="false">IF(IsPro,IF($D1110="","",IFERROR(INDEX(Items!$F$5:$F$504,U1110),0)),"")</f>
        <v/>
      </c>
      <c r="N1110" s="61" t="str">
        <f aca="false">IF(IsPro,IF($D1110="","",IF(AND(V1110&lt;&gt;"",INDEX(Parties!$E$5:$E$304,V1110)&lt;&gt;"",INDEX(Parties!$E$5:$E$304,V1110)&lt;&gt;HomeState),0,ROUND(L1110*M1110/2,2))),"")</f>
        <v/>
      </c>
      <c r="O1110" s="61" t="str">
        <f aca="false">IF(IsPro,IF($D1110="","",N1110),"")</f>
        <v/>
      </c>
      <c r="P1110" s="61" t="str">
        <f aca="false">IF(IsPro,IF($D1110="","",IF(AND(V1110&lt;&gt;"",INDEX(Parties!$E$5:$E$304,V1110)&lt;&gt;"",INDEX(Parties!$E$5:$E$304,V1110)&lt;&gt;HomeState),ROUND(L1110*M1110,2),0)),"")</f>
        <v/>
      </c>
      <c r="Q1110" s="61" t="str">
        <f aca="false">IF(IsPro,IF($D1110="","",L1110+N1110+O1110+P1110),"")</f>
        <v/>
      </c>
      <c r="R1110" s="61" t="str">
        <f aca="false">IF(IsPro,IF($D1110="","",ROUND(N($E1110)*IFERROR(INDEX(Items!$P$5:$P$504,U1110),0),2)),"")</f>
        <v/>
      </c>
      <c r="S1110" s="61" t="str">
        <f aca="false">IF(IsPro,IF($D1110="","",L1110-R1110),"")</f>
        <v/>
      </c>
      <c r="T1110" s="60" t="str">
        <f aca="false">IF(IsPro,IF($D1110="","",IF(U1110="","UNKNOWN ITEM",IF(INDEX(Items!$O$5:$O$504,U1110)&lt;0,"NEG STOCK",IF(K1110&lt;INDEX(Items!$P$5:$P$504,U1110),"BELOW COST","OK")))),IF($D1110="","","PRO PLAN"))</f>
        <v/>
      </c>
      <c r="U1110" s="60" t="str">
        <f aca="false">IF(IsPro,IF($D1110="","",IFERROR(MATCH($D1110,Items!$A$5:$A$504,0),"")),"")</f>
        <v/>
      </c>
      <c r="V1110" s="60" t="str">
        <f aca="false">IF(IsPro,IF($C1110="","",IFERROR(MATCH($C1110,Parties!$A$5:$A$304,0),"")),"")</f>
        <v/>
      </c>
      <c r="W1110" s="60" t="str">
        <f aca="false">IF(IsPro,IF($B1110="","",IFERROR(VALUE(SUBSTITUTE($B1110,InvPrefix,"")),0)),"")</f>
        <v/>
      </c>
      <c r="X1110" s="61" t="str">
        <f aca="false">IF(IsPro,IF($D1110="","",IF(OR($H1110="",$H1110="Credit"),0,Q1110)),"")</f>
        <v/>
      </c>
    </row>
    <row r="1111" customFormat="false" ht="15" hidden="false" customHeight="false" outlineLevel="0" collapsed="false">
      <c r="A1111" s="55"/>
      <c r="B1111" s="56"/>
      <c r="C1111" s="56"/>
      <c r="D1111" s="56"/>
      <c r="E1111" s="57"/>
      <c r="F1111" s="58"/>
      <c r="G1111" s="59"/>
      <c r="H1111" s="56"/>
      <c r="I1111" s="56"/>
      <c r="J1111" s="60" t="str">
        <f aca="false">IF(IsPro,IF($D1111="","",IFERROR(INDEX(Items!$D$5:$D$504,U1111),"")),"")</f>
        <v/>
      </c>
      <c r="K1111" s="61" t="str">
        <f aca="false">IF(IsPro,IF($D1111="","",IF($F1111="",IFERROR(INDEX(Items!$H$5:$H$504,U1111),0),$F1111)),"")</f>
        <v/>
      </c>
      <c r="L1111" s="61" t="str">
        <f aca="false">IF(IsPro,IF($D1111="","",ROUND(N($E1111)*K1111*(1-N($G1111)),2)),"")</f>
        <v/>
      </c>
      <c r="M1111" s="62" t="str">
        <f aca="false">IF(IsPro,IF($D1111="","",IFERROR(INDEX(Items!$F$5:$F$504,U1111),0)),"")</f>
        <v/>
      </c>
      <c r="N1111" s="61" t="str">
        <f aca="false">IF(IsPro,IF($D1111="","",IF(AND(V1111&lt;&gt;"",INDEX(Parties!$E$5:$E$304,V1111)&lt;&gt;"",INDEX(Parties!$E$5:$E$304,V1111)&lt;&gt;HomeState),0,ROUND(L1111*M1111/2,2))),"")</f>
        <v/>
      </c>
      <c r="O1111" s="61" t="str">
        <f aca="false">IF(IsPro,IF($D1111="","",N1111),"")</f>
        <v/>
      </c>
      <c r="P1111" s="61" t="str">
        <f aca="false">IF(IsPro,IF($D1111="","",IF(AND(V1111&lt;&gt;"",INDEX(Parties!$E$5:$E$304,V1111)&lt;&gt;"",INDEX(Parties!$E$5:$E$304,V1111)&lt;&gt;HomeState),ROUND(L1111*M1111,2),0)),"")</f>
        <v/>
      </c>
      <c r="Q1111" s="61" t="str">
        <f aca="false">IF(IsPro,IF($D1111="","",L1111+N1111+O1111+P1111),"")</f>
        <v/>
      </c>
      <c r="R1111" s="61" t="str">
        <f aca="false">IF(IsPro,IF($D1111="","",ROUND(N($E1111)*IFERROR(INDEX(Items!$P$5:$P$504,U1111),0),2)),"")</f>
        <v/>
      </c>
      <c r="S1111" s="61" t="str">
        <f aca="false">IF(IsPro,IF($D1111="","",L1111-R1111),"")</f>
        <v/>
      </c>
      <c r="T1111" s="60" t="str">
        <f aca="false">IF(IsPro,IF($D1111="","",IF(U1111="","UNKNOWN ITEM",IF(INDEX(Items!$O$5:$O$504,U1111)&lt;0,"NEG STOCK",IF(K1111&lt;INDEX(Items!$P$5:$P$504,U1111),"BELOW COST","OK")))),IF($D1111="","","PRO PLAN"))</f>
        <v/>
      </c>
      <c r="U1111" s="60" t="str">
        <f aca="false">IF(IsPro,IF($D1111="","",IFERROR(MATCH($D1111,Items!$A$5:$A$504,0),"")),"")</f>
        <v/>
      </c>
      <c r="V1111" s="60" t="str">
        <f aca="false">IF(IsPro,IF($C1111="","",IFERROR(MATCH($C1111,Parties!$A$5:$A$304,0),"")),"")</f>
        <v/>
      </c>
      <c r="W1111" s="60" t="str">
        <f aca="false">IF(IsPro,IF($B1111="","",IFERROR(VALUE(SUBSTITUTE($B1111,InvPrefix,"")),0)),"")</f>
        <v/>
      </c>
      <c r="X1111" s="61" t="str">
        <f aca="false">IF(IsPro,IF($D1111="","",IF(OR($H1111="",$H1111="Credit"),0,Q1111)),"")</f>
        <v/>
      </c>
    </row>
    <row r="1112" customFormat="false" ht="15" hidden="false" customHeight="false" outlineLevel="0" collapsed="false">
      <c r="A1112" s="55"/>
      <c r="B1112" s="56"/>
      <c r="C1112" s="56"/>
      <c r="D1112" s="56"/>
      <c r="E1112" s="57"/>
      <c r="F1112" s="58"/>
      <c r="G1112" s="59"/>
      <c r="H1112" s="56"/>
      <c r="I1112" s="56"/>
      <c r="J1112" s="60" t="str">
        <f aca="false">IF(IsPro,IF($D1112="","",IFERROR(INDEX(Items!$D$5:$D$504,U1112),"")),"")</f>
        <v/>
      </c>
      <c r="K1112" s="61" t="str">
        <f aca="false">IF(IsPro,IF($D1112="","",IF($F1112="",IFERROR(INDEX(Items!$H$5:$H$504,U1112),0),$F1112)),"")</f>
        <v/>
      </c>
      <c r="L1112" s="61" t="str">
        <f aca="false">IF(IsPro,IF($D1112="","",ROUND(N($E1112)*K1112*(1-N($G1112)),2)),"")</f>
        <v/>
      </c>
      <c r="M1112" s="62" t="str">
        <f aca="false">IF(IsPro,IF($D1112="","",IFERROR(INDEX(Items!$F$5:$F$504,U1112),0)),"")</f>
        <v/>
      </c>
      <c r="N1112" s="61" t="str">
        <f aca="false">IF(IsPro,IF($D1112="","",IF(AND(V1112&lt;&gt;"",INDEX(Parties!$E$5:$E$304,V1112)&lt;&gt;"",INDEX(Parties!$E$5:$E$304,V1112)&lt;&gt;HomeState),0,ROUND(L1112*M1112/2,2))),"")</f>
        <v/>
      </c>
      <c r="O1112" s="61" t="str">
        <f aca="false">IF(IsPro,IF($D1112="","",N1112),"")</f>
        <v/>
      </c>
      <c r="P1112" s="61" t="str">
        <f aca="false">IF(IsPro,IF($D1112="","",IF(AND(V1112&lt;&gt;"",INDEX(Parties!$E$5:$E$304,V1112)&lt;&gt;"",INDEX(Parties!$E$5:$E$304,V1112)&lt;&gt;HomeState),ROUND(L1112*M1112,2),0)),"")</f>
        <v/>
      </c>
      <c r="Q1112" s="61" t="str">
        <f aca="false">IF(IsPro,IF($D1112="","",L1112+N1112+O1112+P1112),"")</f>
        <v/>
      </c>
      <c r="R1112" s="61" t="str">
        <f aca="false">IF(IsPro,IF($D1112="","",ROUND(N($E1112)*IFERROR(INDEX(Items!$P$5:$P$504,U1112),0),2)),"")</f>
        <v/>
      </c>
      <c r="S1112" s="61" t="str">
        <f aca="false">IF(IsPro,IF($D1112="","",L1112-R1112),"")</f>
        <v/>
      </c>
      <c r="T1112" s="60" t="str">
        <f aca="false">IF(IsPro,IF($D1112="","",IF(U1112="","UNKNOWN ITEM",IF(INDEX(Items!$O$5:$O$504,U1112)&lt;0,"NEG STOCK",IF(K1112&lt;INDEX(Items!$P$5:$P$504,U1112),"BELOW COST","OK")))),IF($D1112="","","PRO PLAN"))</f>
        <v/>
      </c>
      <c r="U1112" s="60" t="str">
        <f aca="false">IF(IsPro,IF($D1112="","",IFERROR(MATCH($D1112,Items!$A$5:$A$504,0),"")),"")</f>
        <v/>
      </c>
      <c r="V1112" s="60" t="str">
        <f aca="false">IF(IsPro,IF($C1112="","",IFERROR(MATCH($C1112,Parties!$A$5:$A$304,0),"")),"")</f>
        <v/>
      </c>
      <c r="W1112" s="60" t="str">
        <f aca="false">IF(IsPro,IF($B1112="","",IFERROR(VALUE(SUBSTITUTE($B1112,InvPrefix,"")),0)),"")</f>
        <v/>
      </c>
      <c r="X1112" s="61" t="str">
        <f aca="false">IF(IsPro,IF($D1112="","",IF(OR($H1112="",$H1112="Credit"),0,Q1112)),"")</f>
        <v/>
      </c>
    </row>
    <row r="1113" customFormat="false" ht="15" hidden="false" customHeight="false" outlineLevel="0" collapsed="false">
      <c r="A1113" s="55"/>
      <c r="B1113" s="56"/>
      <c r="C1113" s="56"/>
      <c r="D1113" s="56"/>
      <c r="E1113" s="57"/>
      <c r="F1113" s="58"/>
      <c r="G1113" s="59"/>
      <c r="H1113" s="56"/>
      <c r="I1113" s="56"/>
      <c r="J1113" s="60" t="str">
        <f aca="false">IF(IsPro,IF($D1113="","",IFERROR(INDEX(Items!$D$5:$D$504,U1113),"")),"")</f>
        <v/>
      </c>
      <c r="K1113" s="61" t="str">
        <f aca="false">IF(IsPro,IF($D1113="","",IF($F1113="",IFERROR(INDEX(Items!$H$5:$H$504,U1113),0),$F1113)),"")</f>
        <v/>
      </c>
      <c r="L1113" s="61" t="str">
        <f aca="false">IF(IsPro,IF($D1113="","",ROUND(N($E1113)*K1113*(1-N($G1113)),2)),"")</f>
        <v/>
      </c>
      <c r="M1113" s="62" t="str">
        <f aca="false">IF(IsPro,IF($D1113="","",IFERROR(INDEX(Items!$F$5:$F$504,U1113),0)),"")</f>
        <v/>
      </c>
      <c r="N1113" s="61" t="str">
        <f aca="false">IF(IsPro,IF($D1113="","",IF(AND(V1113&lt;&gt;"",INDEX(Parties!$E$5:$E$304,V1113)&lt;&gt;"",INDEX(Parties!$E$5:$E$304,V1113)&lt;&gt;HomeState),0,ROUND(L1113*M1113/2,2))),"")</f>
        <v/>
      </c>
      <c r="O1113" s="61" t="str">
        <f aca="false">IF(IsPro,IF($D1113="","",N1113),"")</f>
        <v/>
      </c>
      <c r="P1113" s="61" t="str">
        <f aca="false">IF(IsPro,IF($D1113="","",IF(AND(V1113&lt;&gt;"",INDEX(Parties!$E$5:$E$304,V1113)&lt;&gt;"",INDEX(Parties!$E$5:$E$304,V1113)&lt;&gt;HomeState),ROUND(L1113*M1113,2),0)),"")</f>
        <v/>
      </c>
      <c r="Q1113" s="61" t="str">
        <f aca="false">IF(IsPro,IF($D1113="","",L1113+N1113+O1113+P1113),"")</f>
        <v/>
      </c>
      <c r="R1113" s="61" t="str">
        <f aca="false">IF(IsPro,IF($D1113="","",ROUND(N($E1113)*IFERROR(INDEX(Items!$P$5:$P$504,U1113),0),2)),"")</f>
        <v/>
      </c>
      <c r="S1113" s="61" t="str">
        <f aca="false">IF(IsPro,IF($D1113="","",L1113-R1113),"")</f>
        <v/>
      </c>
      <c r="T1113" s="60" t="str">
        <f aca="false">IF(IsPro,IF($D1113="","",IF(U1113="","UNKNOWN ITEM",IF(INDEX(Items!$O$5:$O$504,U1113)&lt;0,"NEG STOCK",IF(K1113&lt;INDEX(Items!$P$5:$P$504,U1113),"BELOW COST","OK")))),IF($D1113="","","PRO PLAN"))</f>
        <v/>
      </c>
      <c r="U1113" s="60" t="str">
        <f aca="false">IF(IsPro,IF($D1113="","",IFERROR(MATCH($D1113,Items!$A$5:$A$504,0),"")),"")</f>
        <v/>
      </c>
      <c r="V1113" s="60" t="str">
        <f aca="false">IF(IsPro,IF($C1113="","",IFERROR(MATCH($C1113,Parties!$A$5:$A$304,0),"")),"")</f>
        <v/>
      </c>
      <c r="W1113" s="60" t="str">
        <f aca="false">IF(IsPro,IF($B1113="","",IFERROR(VALUE(SUBSTITUTE($B1113,InvPrefix,"")),0)),"")</f>
        <v/>
      </c>
      <c r="X1113" s="61" t="str">
        <f aca="false">IF(IsPro,IF($D1113="","",IF(OR($H1113="",$H1113="Credit"),0,Q1113)),"")</f>
        <v/>
      </c>
    </row>
    <row r="1114" customFormat="false" ht="15" hidden="false" customHeight="false" outlineLevel="0" collapsed="false">
      <c r="A1114" s="55"/>
      <c r="B1114" s="56"/>
      <c r="C1114" s="56"/>
      <c r="D1114" s="56"/>
      <c r="E1114" s="57"/>
      <c r="F1114" s="58"/>
      <c r="G1114" s="59"/>
      <c r="H1114" s="56"/>
      <c r="I1114" s="56"/>
      <c r="J1114" s="60" t="str">
        <f aca="false">IF(IsPro,IF($D1114="","",IFERROR(INDEX(Items!$D$5:$D$504,U1114),"")),"")</f>
        <v/>
      </c>
      <c r="K1114" s="61" t="str">
        <f aca="false">IF(IsPro,IF($D1114="","",IF($F1114="",IFERROR(INDEX(Items!$H$5:$H$504,U1114),0),$F1114)),"")</f>
        <v/>
      </c>
      <c r="L1114" s="61" t="str">
        <f aca="false">IF(IsPro,IF($D1114="","",ROUND(N($E1114)*K1114*(1-N($G1114)),2)),"")</f>
        <v/>
      </c>
      <c r="M1114" s="62" t="str">
        <f aca="false">IF(IsPro,IF($D1114="","",IFERROR(INDEX(Items!$F$5:$F$504,U1114),0)),"")</f>
        <v/>
      </c>
      <c r="N1114" s="61" t="str">
        <f aca="false">IF(IsPro,IF($D1114="","",IF(AND(V1114&lt;&gt;"",INDEX(Parties!$E$5:$E$304,V1114)&lt;&gt;"",INDEX(Parties!$E$5:$E$304,V1114)&lt;&gt;HomeState),0,ROUND(L1114*M1114/2,2))),"")</f>
        <v/>
      </c>
      <c r="O1114" s="61" t="str">
        <f aca="false">IF(IsPro,IF($D1114="","",N1114),"")</f>
        <v/>
      </c>
      <c r="P1114" s="61" t="str">
        <f aca="false">IF(IsPro,IF($D1114="","",IF(AND(V1114&lt;&gt;"",INDEX(Parties!$E$5:$E$304,V1114)&lt;&gt;"",INDEX(Parties!$E$5:$E$304,V1114)&lt;&gt;HomeState),ROUND(L1114*M1114,2),0)),"")</f>
        <v/>
      </c>
      <c r="Q1114" s="61" t="str">
        <f aca="false">IF(IsPro,IF($D1114="","",L1114+N1114+O1114+P1114),"")</f>
        <v/>
      </c>
      <c r="R1114" s="61" t="str">
        <f aca="false">IF(IsPro,IF($D1114="","",ROUND(N($E1114)*IFERROR(INDEX(Items!$P$5:$P$504,U1114),0),2)),"")</f>
        <v/>
      </c>
      <c r="S1114" s="61" t="str">
        <f aca="false">IF(IsPro,IF($D1114="","",L1114-R1114),"")</f>
        <v/>
      </c>
      <c r="T1114" s="60" t="str">
        <f aca="false">IF(IsPro,IF($D1114="","",IF(U1114="","UNKNOWN ITEM",IF(INDEX(Items!$O$5:$O$504,U1114)&lt;0,"NEG STOCK",IF(K1114&lt;INDEX(Items!$P$5:$P$504,U1114),"BELOW COST","OK")))),IF($D1114="","","PRO PLAN"))</f>
        <v/>
      </c>
      <c r="U1114" s="60" t="str">
        <f aca="false">IF(IsPro,IF($D1114="","",IFERROR(MATCH($D1114,Items!$A$5:$A$504,0),"")),"")</f>
        <v/>
      </c>
      <c r="V1114" s="60" t="str">
        <f aca="false">IF(IsPro,IF($C1114="","",IFERROR(MATCH($C1114,Parties!$A$5:$A$304,0),"")),"")</f>
        <v/>
      </c>
      <c r="W1114" s="60" t="str">
        <f aca="false">IF(IsPro,IF($B1114="","",IFERROR(VALUE(SUBSTITUTE($B1114,InvPrefix,"")),0)),"")</f>
        <v/>
      </c>
      <c r="X1114" s="61" t="str">
        <f aca="false">IF(IsPro,IF($D1114="","",IF(OR($H1114="",$H1114="Credit"),0,Q1114)),"")</f>
        <v/>
      </c>
    </row>
    <row r="1115" customFormat="false" ht="15" hidden="false" customHeight="false" outlineLevel="0" collapsed="false">
      <c r="A1115" s="55"/>
      <c r="B1115" s="56"/>
      <c r="C1115" s="56"/>
      <c r="D1115" s="56"/>
      <c r="E1115" s="57"/>
      <c r="F1115" s="58"/>
      <c r="G1115" s="59"/>
      <c r="H1115" s="56"/>
      <c r="I1115" s="56"/>
      <c r="J1115" s="60" t="str">
        <f aca="false">IF(IsPro,IF($D1115="","",IFERROR(INDEX(Items!$D$5:$D$504,U1115),"")),"")</f>
        <v/>
      </c>
      <c r="K1115" s="61" t="str">
        <f aca="false">IF(IsPro,IF($D1115="","",IF($F1115="",IFERROR(INDEX(Items!$H$5:$H$504,U1115),0),$F1115)),"")</f>
        <v/>
      </c>
      <c r="L1115" s="61" t="str">
        <f aca="false">IF(IsPro,IF($D1115="","",ROUND(N($E1115)*K1115*(1-N($G1115)),2)),"")</f>
        <v/>
      </c>
      <c r="M1115" s="62" t="str">
        <f aca="false">IF(IsPro,IF($D1115="","",IFERROR(INDEX(Items!$F$5:$F$504,U1115),0)),"")</f>
        <v/>
      </c>
      <c r="N1115" s="61" t="str">
        <f aca="false">IF(IsPro,IF($D1115="","",IF(AND(V1115&lt;&gt;"",INDEX(Parties!$E$5:$E$304,V1115)&lt;&gt;"",INDEX(Parties!$E$5:$E$304,V1115)&lt;&gt;HomeState),0,ROUND(L1115*M1115/2,2))),"")</f>
        <v/>
      </c>
      <c r="O1115" s="61" t="str">
        <f aca="false">IF(IsPro,IF($D1115="","",N1115),"")</f>
        <v/>
      </c>
      <c r="P1115" s="61" t="str">
        <f aca="false">IF(IsPro,IF($D1115="","",IF(AND(V1115&lt;&gt;"",INDEX(Parties!$E$5:$E$304,V1115)&lt;&gt;"",INDEX(Parties!$E$5:$E$304,V1115)&lt;&gt;HomeState),ROUND(L1115*M1115,2),0)),"")</f>
        <v/>
      </c>
      <c r="Q1115" s="61" t="str">
        <f aca="false">IF(IsPro,IF($D1115="","",L1115+N1115+O1115+P1115),"")</f>
        <v/>
      </c>
      <c r="R1115" s="61" t="str">
        <f aca="false">IF(IsPro,IF($D1115="","",ROUND(N($E1115)*IFERROR(INDEX(Items!$P$5:$P$504,U1115),0),2)),"")</f>
        <v/>
      </c>
      <c r="S1115" s="61" t="str">
        <f aca="false">IF(IsPro,IF($D1115="","",L1115-R1115),"")</f>
        <v/>
      </c>
      <c r="T1115" s="60" t="str">
        <f aca="false">IF(IsPro,IF($D1115="","",IF(U1115="","UNKNOWN ITEM",IF(INDEX(Items!$O$5:$O$504,U1115)&lt;0,"NEG STOCK",IF(K1115&lt;INDEX(Items!$P$5:$P$504,U1115),"BELOW COST","OK")))),IF($D1115="","","PRO PLAN"))</f>
        <v/>
      </c>
      <c r="U1115" s="60" t="str">
        <f aca="false">IF(IsPro,IF($D1115="","",IFERROR(MATCH($D1115,Items!$A$5:$A$504,0),"")),"")</f>
        <v/>
      </c>
      <c r="V1115" s="60" t="str">
        <f aca="false">IF(IsPro,IF($C1115="","",IFERROR(MATCH($C1115,Parties!$A$5:$A$304,0),"")),"")</f>
        <v/>
      </c>
      <c r="W1115" s="60" t="str">
        <f aca="false">IF(IsPro,IF($B1115="","",IFERROR(VALUE(SUBSTITUTE($B1115,InvPrefix,"")),0)),"")</f>
        <v/>
      </c>
      <c r="X1115" s="61" t="str">
        <f aca="false">IF(IsPro,IF($D1115="","",IF(OR($H1115="",$H1115="Credit"),0,Q1115)),"")</f>
        <v/>
      </c>
    </row>
    <row r="1116" customFormat="false" ht="15" hidden="false" customHeight="false" outlineLevel="0" collapsed="false">
      <c r="A1116" s="55"/>
      <c r="B1116" s="56"/>
      <c r="C1116" s="56"/>
      <c r="D1116" s="56"/>
      <c r="E1116" s="57"/>
      <c r="F1116" s="58"/>
      <c r="G1116" s="59"/>
      <c r="H1116" s="56"/>
      <c r="I1116" s="56"/>
      <c r="J1116" s="60" t="str">
        <f aca="false">IF(IsPro,IF($D1116="","",IFERROR(INDEX(Items!$D$5:$D$504,U1116),"")),"")</f>
        <v/>
      </c>
      <c r="K1116" s="61" t="str">
        <f aca="false">IF(IsPro,IF($D1116="","",IF($F1116="",IFERROR(INDEX(Items!$H$5:$H$504,U1116),0),$F1116)),"")</f>
        <v/>
      </c>
      <c r="L1116" s="61" t="str">
        <f aca="false">IF(IsPro,IF($D1116="","",ROUND(N($E1116)*K1116*(1-N($G1116)),2)),"")</f>
        <v/>
      </c>
      <c r="M1116" s="62" t="str">
        <f aca="false">IF(IsPro,IF($D1116="","",IFERROR(INDEX(Items!$F$5:$F$504,U1116),0)),"")</f>
        <v/>
      </c>
      <c r="N1116" s="61" t="str">
        <f aca="false">IF(IsPro,IF($D1116="","",IF(AND(V1116&lt;&gt;"",INDEX(Parties!$E$5:$E$304,V1116)&lt;&gt;"",INDEX(Parties!$E$5:$E$304,V1116)&lt;&gt;HomeState),0,ROUND(L1116*M1116/2,2))),"")</f>
        <v/>
      </c>
      <c r="O1116" s="61" t="str">
        <f aca="false">IF(IsPro,IF($D1116="","",N1116),"")</f>
        <v/>
      </c>
      <c r="P1116" s="61" t="str">
        <f aca="false">IF(IsPro,IF($D1116="","",IF(AND(V1116&lt;&gt;"",INDEX(Parties!$E$5:$E$304,V1116)&lt;&gt;"",INDEX(Parties!$E$5:$E$304,V1116)&lt;&gt;HomeState),ROUND(L1116*M1116,2),0)),"")</f>
        <v/>
      </c>
      <c r="Q1116" s="61" t="str">
        <f aca="false">IF(IsPro,IF($D1116="","",L1116+N1116+O1116+P1116),"")</f>
        <v/>
      </c>
      <c r="R1116" s="61" t="str">
        <f aca="false">IF(IsPro,IF($D1116="","",ROUND(N($E1116)*IFERROR(INDEX(Items!$P$5:$P$504,U1116),0),2)),"")</f>
        <v/>
      </c>
      <c r="S1116" s="61" t="str">
        <f aca="false">IF(IsPro,IF($D1116="","",L1116-R1116),"")</f>
        <v/>
      </c>
      <c r="T1116" s="60" t="str">
        <f aca="false">IF(IsPro,IF($D1116="","",IF(U1116="","UNKNOWN ITEM",IF(INDEX(Items!$O$5:$O$504,U1116)&lt;0,"NEG STOCK",IF(K1116&lt;INDEX(Items!$P$5:$P$504,U1116),"BELOW COST","OK")))),IF($D1116="","","PRO PLAN"))</f>
        <v/>
      </c>
      <c r="U1116" s="60" t="str">
        <f aca="false">IF(IsPro,IF($D1116="","",IFERROR(MATCH($D1116,Items!$A$5:$A$504,0),"")),"")</f>
        <v/>
      </c>
      <c r="V1116" s="60" t="str">
        <f aca="false">IF(IsPro,IF($C1116="","",IFERROR(MATCH($C1116,Parties!$A$5:$A$304,0),"")),"")</f>
        <v/>
      </c>
      <c r="W1116" s="60" t="str">
        <f aca="false">IF(IsPro,IF($B1116="","",IFERROR(VALUE(SUBSTITUTE($B1116,InvPrefix,"")),0)),"")</f>
        <v/>
      </c>
      <c r="X1116" s="61" t="str">
        <f aca="false">IF(IsPro,IF($D1116="","",IF(OR($H1116="",$H1116="Credit"),0,Q1116)),"")</f>
        <v/>
      </c>
    </row>
    <row r="1117" customFormat="false" ht="15" hidden="false" customHeight="false" outlineLevel="0" collapsed="false">
      <c r="A1117" s="55"/>
      <c r="B1117" s="56"/>
      <c r="C1117" s="56"/>
      <c r="D1117" s="56"/>
      <c r="E1117" s="57"/>
      <c r="F1117" s="58"/>
      <c r="G1117" s="59"/>
      <c r="H1117" s="56"/>
      <c r="I1117" s="56"/>
      <c r="J1117" s="60" t="str">
        <f aca="false">IF(IsPro,IF($D1117="","",IFERROR(INDEX(Items!$D$5:$D$504,U1117),"")),"")</f>
        <v/>
      </c>
      <c r="K1117" s="61" t="str">
        <f aca="false">IF(IsPro,IF($D1117="","",IF($F1117="",IFERROR(INDEX(Items!$H$5:$H$504,U1117),0),$F1117)),"")</f>
        <v/>
      </c>
      <c r="L1117" s="61" t="str">
        <f aca="false">IF(IsPro,IF($D1117="","",ROUND(N($E1117)*K1117*(1-N($G1117)),2)),"")</f>
        <v/>
      </c>
      <c r="M1117" s="62" t="str">
        <f aca="false">IF(IsPro,IF($D1117="","",IFERROR(INDEX(Items!$F$5:$F$504,U1117),0)),"")</f>
        <v/>
      </c>
      <c r="N1117" s="61" t="str">
        <f aca="false">IF(IsPro,IF($D1117="","",IF(AND(V1117&lt;&gt;"",INDEX(Parties!$E$5:$E$304,V1117)&lt;&gt;"",INDEX(Parties!$E$5:$E$304,V1117)&lt;&gt;HomeState),0,ROUND(L1117*M1117/2,2))),"")</f>
        <v/>
      </c>
      <c r="O1117" s="61" t="str">
        <f aca="false">IF(IsPro,IF($D1117="","",N1117),"")</f>
        <v/>
      </c>
      <c r="P1117" s="61" t="str">
        <f aca="false">IF(IsPro,IF($D1117="","",IF(AND(V1117&lt;&gt;"",INDEX(Parties!$E$5:$E$304,V1117)&lt;&gt;"",INDEX(Parties!$E$5:$E$304,V1117)&lt;&gt;HomeState),ROUND(L1117*M1117,2),0)),"")</f>
        <v/>
      </c>
      <c r="Q1117" s="61" t="str">
        <f aca="false">IF(IsPro,IF($D1117="","",L1117+N1117+O1117+P1117),"")</f>
        <v/>
      </c>
      <c r="R1117" s="61" t="str">
        <f aca="false">IF(IsPro,IF($D1117="","",ROUND(N($E1117)*IFERROR(INDEX(Items!$P$5:$P$504,U1117),0),2)),"")</f>
        <v/>
      </c>
      <c r="S1117" s="61" t="str">
        <f aca="false">IF(IsPro,IF($D1117="","",L1117-R1117),"")</f>
        <v/>
      </c>
      <c r="T1117" s="60" t="str">
        <f aca="false">IF(IsPro,IF($D1117="","",IF(U1117="","UNKNOWN ITEM",IF(INDEX(Items!$O$5:$O$504,U1117)&lt;0,"NEG STOCK",IF(K1117&lt;INDEX(Items!$P$5:$P$504,U1117),"BELOW COST","OK")))),IF($D1117="","","PRO PLAN"))</f>
        <v/>
      </c>
      <c r="U1117" s="60" t="str">
        <f aca="false">IF(IsPro,IF($D1117="","",IFERROR(MATCH($D1117,Items!$A$5:$A$504,0),"")),"")</f>
        <v/>
      </c>
      <c r="V1117" s="60" t="str">
        <f aca="false">IF(IsPro,IF($C1117="","",IFERROR(MATCH($C1117,Parties!$A$5:$A$304,0),"")),"")</f>
        <v/>
      </c>
      <c r="W1117" s="60" t="str">
        <f aca="false">IF(IsPro,IF($B1117="","",IFERROR(VALUE(SUBSTITUTE($B1117,InvPrefix,"")),0)),"")</f>
        <v/>
      </c>
      <c r="X1117" s="61" t="str">
        <f aca="false">IF(IsPro,IF($D1117="","",IF(OR($H1117="",$H1117="Credit"),0,Q1117)),"")</f>
        <v/>
      </c>
    </row>
    <row r="1118" customFormat="false" ht="15" hidden="false" customHeight="false" outlineLevel="0" collapsed="false">
      <c r="A1118" s="55"/>
      <c r="B1118" s="56"/>
      <c r="C1118" s="56"/>
      <c r="D1118" s="56"/>
      <c r="E1118" s="57"/>
      <c r="F1118" s="58"/>
      <c r="G1118" s="59"/>
      <c r="H1118" s="56"/>
      <c r="I1118" s="56"/>
      <c r="J1118" s="60" t="str">
        <f aca="false">IF(IsPro,IF($D1118="","",IFERROR(INDEX(Items!$D$5:$D$504,U1118),"")),"")</f>
        <v/>
      </c>
      <c r="K1118" s="61" t="str">
        <f aca="false">IF(IsPro,IF($D1118="","",IF($F1118="",IFERROR(INDEX(Items!$H$5:$H$504,U1118),0),$F1118)),"")</f>
        <v/>
      </c>
      <c r="L1118" s="61" t="str">
        <f aca="false">IF(IsPro,IF($D1118="","",ROUND(N($E1118)*K1118*(1-N($G1118)),2)),"")</f>
        <v/>
      </c>
      <c r="M1118" s="62" t="str">
        <f aca="false">IF(IsPro,IF($D1118="","",IFERROR(INDEX(Items!$F$5:$F$504,U1118),0)),"")</f>
        <v/>
      </c>
      <c r="N1118" s="61" t="str">
        <f aca="false">IF(IsPro,IF($D1118="","",IF(AND(V1118&lt;&gt;"",INDEX(Parties!$E$5:$E$304,V1118)&lt;&gt;"",INDEX(Parties!$E$5:$E$304,V1118)&lt;&gt;HomeState),0,ROUND(L1118*M1118/2,2))),"")</f>
        <v/>
      </c>
      <c r="O1118" s="61" t="str">
        <f aca="false">IF(IsPro,IF($D1118="","",N1118),"")</f>
        <v/>
      </c>
      <c r="P1118" s="61" t="str">
        <f aca="false">IF(IsPro,IF($D1118="","",IF(AND(V1118&lt;&gt;"",INDEX(Parties!$E$5:$E$304,V1118)&lt;&gt;"",INDEX(Parties!$E$5:$E$304,V1118)&lt;&gt;HomeState),ROUND(L1118*M1118,2),0)),"")</f>
        <v/>
      </c>
      <c r="Q1118" s="61" t="str">
        <f aca="false">IF(IsPro,IF($D1118="","",L1118+N1118+O1118+P1118),"")</f>
        <v/>
      </c>
      <c r="R1118" s="61" t="str">
        <f aca="false">IF(IsPro,IF($D1118="","",ROUND(N($E1118)*IFERROR(INDEX(Items!$P$5:$P$504,U1118),0),2)),"")</f>
        <v/>
      </c>
      <c r="S1118" s="61" t="str">
        <f aca="false">IF(IsPro,IF($D1118="","",L1118-R1118),"")</f>
        <v/>
      </c>
      <c r="T1118" s="60" t="str">
        <f aca="false">IF(IsPro,IF($D1118="","",IF(U1118="","UNKNOWN ITEM",IF(INDEX(Items!$O$5:$O$504,U1118)&lt;0,"NEG STOCK",IF(K1118&lt;INDEX(Items!$P$5:$P$504,U1118),"BELOW COST","OK")))),IF($D1118="","","PRO PLAN"))</f>
        <v/>
      </c>
      <c r="U1118" s="60" t="str">
        <f aca="false">IF(IsPro,IF($D1118="","",IFERROR(MATCH($D1118,Items!$A$5:$A$504,0),"")),"")</f>
        <v/>
      </c>
      <c r="V1118" s="60" t="str">
        <f aca="false">IF(IsPro,IF($C1118="","",IFERROR(MATCH($C1118,Parties!$A$5:$A$304,0),"")),"")</f>
        <v/>
      </c>
      <c r="W1118" s="60" t="str">
        <f aca="false">IF(IsPro,IF($B1118="","",IFERROR(VALUE(SUBSTITUTE($B1118,InvPrefix,"")),0)),"")</f>
        <v/>
      </c>
      <c r="X1118" s="61" t="str">
        <f aca="false">IF(IsPro,IF($D1118="","",IF(OR($H1118="",$H1118="Credit"),0,Q1118)),"")</f>
        <v/>
      </c>
    </row>
    <row r="1119" customFormat="false" ht="15" hidden="false" customHeight="false" outlineLevel="0" collapsed="false">
      <c r="A1119" s="55"/>
      <c r="B1119" s="56"/>
      <c r="C1119" s="56"/>
      <c r="D1119" s="56"/>
      <c r="E1119" s="57"/>
      <c r="F1119" s="58"/>
      <c r="G1119" s="59"/>
      <c r="H1119" s="56"/>
      <c r="I1119" s="56"/>
      <c r="J1119" s="60" t="str">
        <f aca="false">IF(IsPro,IF($D1119="","",IFERROR(INDEX(Items!$D$5:$D$504,U1119),"")),"")</f>
        <v/>
      </c>
      <c r="K1119" s="61" t="str">
        <f aca="false">IF(IsPro,IF($D1119="","",IF($F1119="",IFERROR(INDEX(Items!$H$5:$H$504,U1119),0),$F1119)),"")</f>
        <v/>
      </c>
      <c r="L1119" s="61" t="str">
        <f aca="false">IF(IsPro,IF($D1119="","",ROUND(N($E1119)*K1119*(1-N($G1119)),2)),"")</f>
        <v/>
      </c>
      <c r="M1119" s="62" t="str">
        <f aca="false">IF(IsPro,IF($D1119="","",IFERROR(INDEX(Items!$F$5:$F$504,U1119),0)),"")</f>
        <v/>
      </c>
      <c r="N1119" s="61" t="str">
        <f aca="false">IF(IsPro,IF($D1119="","",IF(AND(V1119&lt;&gt;"",INDEX(Parties!$E$5:$E$304,V1119)&lt;&gt;"",INDEX(Parties!$E$5:$E$304,V1119)&lt;&gt;HomeState),0,ROUND(L1119*M1119/2,2))),"")</f>
        <v/>
      </c>
      <c r="O1119" s="61" t="str">
        <f aca="false">IF(IsPro,IF($D1119="","",N1119),"")</f>
        <v/>
      </c>
      <c r="P1119" s="61" t="str">
        <f aca="false">IF(IsPro,IF($D1119="","",IF(AND(V1119&lt;&gt;"",INDEX(Parties!$E$5:$E$304,V1119)&lt;&gt;"",INDEX(Parties!$E$5:$E$304,V1119)&lt;&gt;HomeState),ROUND(L1119*M1119,2),0)),"")</f>
        <v/>
      </c>
      <c r="Q1119" s="61" t="str">
        <f aca="false">IF(IsPro,IF($D1119="","",L1119+N1119+O1119+P1119),"")</f>
        <v/>
      </c>
      <c r="R1119" s="61" t="str">
        <f aca="false">IF(IsPro,IF($D1119="","",ROUND(N($E1119)*IFERROR(INDEX(Items!$P$5:$P$504,U1119),0),2)),"")</f>
        <v/>
      </c>
      <c r="S1119" s="61" t="str">
        <f aca="false">IF(IsPro,IF($D1119="","",L1119-R1119),"")</f>
        <v/>
      </c>
      <c r="T1119" s="60" t="str">
        <f aca="false">IF(IsPro,IF($D1119="","",IF(U1119="","UNKNOWN ITEM",IF(INDEX(Items!$O$5:$O$504,U1119)&lt;0,"NEG STOCK",IF(K1119&lt;INDEX(Items!$P$5:$P$504,U1119),"BELOW COST","OK")))),IF($D1119="","","PRO PLAN"))</f>
        <v/>
      </c>
      <c r="U1119" s="60" t="str">
        <f aca="false">IF(IsPro,IF($D1119="","",IFERROR(MATCH($D1119,Items!$A$5:$A$504,0),"")),"")</f>
        <v/>
      </c>
      <c r="V1119" s="60" t="str">
        <f aca="false">IF(IsPro,IF($C1119="","",IFERROR(MATCH($C1119,Parties!$A$5:$A$304,0),"")),"")</f>
        <v/>
      </c>
      <c r="W1119" s="60" t="str">
        <f aca="false">IF(IsPro,IF($B1119="","",IFERROR(VALUE(SUBSTITUTE($B1119,InvPrefix,"")),0)),"")</f>
        <v/>
      </c>
      <c r="X1119" s="61" t="str">
        <f aca="false">IF(IsPro,IF($D1119="","",IF(OR($H1119="",$H1119="Credit"),0,Q1119)),"")</f>
        <v/>
      </c>
    </row>
    <row r="1120" customFormat="false" ht="15" hidden="false" customHeight="false" outlineLevel="0" collapsed="false">
      <c r="A1120" s="55"/>
      <c r="B1120" s="56"/>
      <c r="C1120" s="56"/>
      <c r="D1120" s="56"/>
      <c r="E1120" s="57"/>
      <c r="F1120" s="58"/>
      <c r="G1120" s="59"/>
      <c r="H1120" s="56"/>
      <c r="I1120" s="56"/>
      <c r="J1120" s="60" t="str">
        <f aca="false">IF(IsPro,IF($D1120="","",IFERROR(INDEX(Items!$D$5:$D$504,U1120),"")),"")</f>
        <v/>
      </c>
      <c r="K1120" s="61" t="str">
        <f aca="false">IF(IsPro,IF($D1120="","",IF($F1120="",IFERROR(INDEX(Items!$H$5:$H$504,U1120),0),$F1120)),"")</f>
        <v/>
      </c>
      <c r="L1120" s="61" t="str">
        <f aca="false">IF(IsPro,IF($D1120="","",ROUND(N($E1120)*K1120*(1-N($G1120)),2)),"")</f>
        <v/>
      </c>
      <c r="M1120" s="62" t="str">
        <f aca="false">IF(IsPro,IF($D1120="","",IFERROR(INDEX(Items!$F$5:$F$504,U1120),0)),"")</f>
        <v/>
      </c>
      <c r="N1120" s="61" t="str">
        <f aca="false">IF(IsPro,IF($D1120="","",IF(AND(V1120&lt;&gt;"",INDEX(Parties!$E$5:$E$304,V1120)&lt;&gt;"",INDEX(Parties!$E$5:$E$304,V1120)&lt;&gt;HomeState),0,ROUND(L1120*M1120/2,2))),"")</f>
        <v/>
      </c>
      <c r="O1120" s="61" t="str">
        <f aca="false">IF(IsPro,IF($D1120="","",N1120),"")</f>
        <v/>
      </c>
      <c r="P1120" s="61" t="str">
        <f aca="false">IF(IsPro,IF($D1120="","",IF(AND(V1120&lt;&gt;"",INDEX(Parties!$E$5:$E$304,V1120)&lt;&gt;"",INDEX(Parties!$E$5:$E$304,V1120)&lt;&gt;HomeState),ROUND(L1120*M1120,2),0)),"")</f>
        <v/>
      </c>
      <c r="Q1120" s="61" t="str">
        <f aca="false">IF(IsPro,IF($D1120="","",L1120+N1120+O1120+P1120),"")</f>
        <v/>
      </c>
      <c r="R1120" s="61" t="str">
        <f aca="false">IF(IsPro,IF($D1120="","",ROUND(N($E1120)*IFERROR(INDEX(Items!$P$5:$P$504,U1120),0),2)),"")</f>
        <v/>
      </c>
      <c r="S1120" s="61" t="str">
        <f aca="false">IF(IsPro,IF($D1120="","",L1120-R1120),"")</f>
        <v/>
      </c>
      <c r="T1120" s="60" t="str">
        <f aca="false">IF(IsPro,IF($D1120="","",IF(U1120="","UNKNOWN ITEM",IF(INDEX(Items!$O$5:$O$504,U1120)&lt;0,"NEG STOCK",IF(K1120&lt;INDEX(Items!$P$5:$P$504,U1120),"BELOW COST","OK")))),IF($D1120="","","PRO PLAN"))</f>
        <v/>
      </c>
      <c r="U1120" s="60" t="str">
        <f aca="false">IF(IsPro,IF($D1120="","",IFERROR(MATCH($D1120,Items!$A$5:$A$504,0),"")),"")</f>
        <v/>
      </c>
      <c r="V1120" s="60" t="str">
        <f aca="false">IF(IsPro,IF($C1120="","",IFERROR(MATCH($C1120,Parties!$A$5:$A$304,0),"")),"")</f>
        <v/>
      </c>
      <c r="W1120" s="60" t="str">
        <f aca="false">IF(IsPro,IF($B1120="","",IFERROR(VALUE(SUBSTITUTE($B1120,InvPrefix,"")),0)),"")</f>
        <v/>
      </c>
      <c r="X1120" s="61" t="str">
        <f aca="false">IF(IsPro,IF($D1120="","",IF(OR($H1120="",$H1120="Credit"),0,Q1120)),"")</f>
        <v/>
      </c>
    </row>
    <row r="1121" customFormat="false" ht="15" hidden="false" customHeight="false" outlineLevel="0" collapsed="false">
      <c r="A1121" s="55"/>
      <c r="B1121" s="56"/>
      <c r="C1121" s="56"/>
      <c r="D1121" s="56"/>
      <c r="E1121" s="57"/>
      <c r="F1121" s="58"/>
      <c r="G1121" s="59"/>
      <c r="H1121" s="56"/>
      <c r="I1121" s="56"/>
      <c r="J1121" s="60" t="str">
        <f aca="false">IF(IsPro,IF($D1121="","",IFERROR(INDEX(Items!$D$5:$D$504,U1121),"")),"")</f>
        <v/>
      </c>
      <c r="K1121" s="61" t="str">
        <f aca="false">IF(IsPro,IF($D1121="","",IF($F1121="",IFERROR(INDEX(Items!$H$5:$H$504,U1121),0),$F1121)),"")</f>
        <v/>
      </c>
      <c r="L1121" s="61" t="str">
        <f aca="false">IF(IsPro,IF($D1121="","",ROUND(N($E1121)*K1121*(1-N($G1121)),2)),"")</f>
        <v/>
      </c>
      <c r="M1121" s="62" t="str">
        <f aca="false">IF(IsPro,IF($D1121="","",IFERROR(INDEX(Items!$F$5:$F$504,U1121),0)),"")</f>
        <v/>
      </c>
      <c r="N1121" s="61" t="str">
        <f aca="false">IF(IsPro,IF($D1121="","",IF(AND(V1121&lt;&gt;"",INDEX(Parties!$E$5:$E$304,V1121)&lt;&gt;"",INDEX(Parties!$E$5:$E$304,V1121)&lt;&gt;HomeState),0,ROUND(L1121*M1121/2,2))),"")</f>
        <v/>
      </c>
      <c r="O1121" s="61" t="str">
        <f aca="false">IF(IsPro,IF($D1121="","",N1121),"")</f>
        <v/>
      </c>
      <c r="P1121" s="61" t="str">
        <f aca="false">IF(IsPro,IF($D1121="","",IF(AND(V1121&lt;&gt;"",INDEX(Parties!$E$5:$E$304,V1121)&lt;&gt;"",INDEX(Parties!$E$5:$E$304,V1121)&lt;&gt;HomeState),ROUND(L1121*M1121,2),0)),"")</f>
        <v/>
      </c>
      <c r="Q1121" s="61" t="str">
        <f aca="false">IF(IsPro,IF($D1121="","",L1121+N1121+O1121+P1121),"")</f>
        <v/>
      </c>
      <c r="R1121" s="61" t="str">
        <f aca="false">IF(IsPro,IF($D1121="","",ROUND(N($E1121)*IFERROR(INDEX(Items!$P$5:$P$504,U1121),0),2)),"")</f>
        <v/>
      </c>
      <c r="S1121" s="61" t="str">
        <f aca="false">IF(IsPro,IF($D1121="","",L1121-R1121),"")</f>
        <v/>
      </c>
      <c r="T1121" s="60" t="str">
        <f aca="false">IF(IsPro,IF($D1121="","",IF(U1121="","UNKNOWN ITEM",IF(INDEX(Items!$O$5:$O$504,U1121)&lt;0,"NEG STOCK",IF(K1121&lt;INDEX(Items!$P$5:$P$504,U1121),"BELOW COST","OK")))),IF($D1121="","","PRO PLAN"))</f>
        <v/>
      </c>
      <c r="U1121" s="60" t="str">
        <f aca="false">IF(IsPro,IF($D1121="","",IFERROR(MATCH($D1121,Items!$A$5:$A$504,0),"")),"")</f>
        <v/>
      </c>
      <c r="V1121" s="60" t="str">
        <f aca="false">IF(IsPro,IF($C1121="","",IFERROR(MATCH($C1121,Parties!$A$5:$A$304,0),"")),"")</f>
        <v/>
      </c>
      <c r="W1121" s="60" t="str">
        <f aca="false">IF(IsPro,IF($B1121="","",IFERROR(VALUE(SUBSTITUTE($B1121,InvPrefix,"")),0)),"")</f>
        <v/>
      </c>
      <c r="X1121" s="61" t="str">
        <f aca="false">IF(IsPro,IF($D1121="","",IF(OR($H1121="",$H1121="Credit"),0,Q1121)),"")</f>
        <v/>
      </c>
    </row>
    <row r="1122" customFormat="false" ht="15" hidden="false" customHeight="false" outlineLevel="0" collapsed="false">
      <c r="A1122" s="55"/>
      <c r="B1122" s="56"/>
      <c r="C1122" s="56"/>
      <c r="D1122" s="56"/>
      <c r="E1122" s="57"/>
      <c r="F1122" s="58"/>
      <c r="G1122" s="59"/>
      <c r="H1122" s="56"/>
      <c r="I1122" s="56"/>
      <c r="J1122" s="60" t="str">
        <f aca="false">IF(IsPro,IF($D1122="","",IFERROR(INDEX(Items!$D$5:$D$504,U1122),"")),"")</f>
        <v/>
      </c>
      <c r="K1122" s="61" t="str">
        <f aca="false">IF(IsPro,IF($D1122="","",IF($F1122="",IFERROR(INDEX(Items!$H$5:$H$504,U1122),0),$F1122)),"")</f>
        <v/>
      </c>
      <c r="L1122" s="61" t="str">
        <f aca="false">IF(IsPro,IF($D1122="","",ROUND(N($E1122)*K1122*(1-N($G1122)),2)),"")</f>
        <v/>
      </c>
      <c r="M1122" s="62" t="str">
        <f aca="false">IF(IsPro,IF($D1122="","",IFERROR(INDEX(Items!$F$5:$F$504,U1122),0)),"")</f>
        <v/>
      </c>
      <c r="N1122" s="61" t="str">
        <f aca="false">IF(IsPro,IF($D1122="","",IF(AND(V1122&lt;&gt;"",INDEX(Parties!$E$5:$E$304,V1122)&lt;&gt;"",INDEX(Parties!$E$5:$E$304,V1122)&lt;&gt;HomeState),0,ROUND(L1122*M1122/2,2))),"")</f>
        <v/>
      </c>
      <c r="O1122" s="61" t="str">
        <f aca="false">IF(IsPro,IF($D1122="","",N1122),"")</f>
        <v/>
      </c>
      <c r="P1122" s="61" t="str">
        <f aca="false">IF(IsPro,IF($D1122="","",IF(AND(V1122&lt;&gt;"",INDEX(Parties!$E$5:$E$304,V1122)&lt;&gt;"",INDEX(Parties!$E$5:$E$304,V1122)&lt;&gt;HomeState),ROUND(L1122*M1122,2),0)),"")</f>
        <v/>
      </c>
      <c r="Q1122" s="61" t="str">
        <f aca="false">IF(IsPro,IF($D1122="","",L1122+N1122+O1122+P1122),"")</f>
        <v/>
      </c>
      <c r="R1122" s="61" t="str">
        <f aca="false">IF(IsPro,IF($D1122="","",ROUND(N($E1122)*IFERROR(INDEX(Items!$P$5:$P$504,U1122),0),2)),"")</f>
        <v/>
      </c>
      <c r="S1122" s="61" t="str">
        <f aca="false">IF(IsPro,IF($D1122="","",L1122-R1122),"")</f>
        <v/>
      </c>
      <c r="T1122" s="60" t="str">
        <f aca="false">IF(IsPro,IF($D1122="","",IF(U1122="","UNKNOWN ITEM",IF(INDEX(Items!$O$5:$O$504,U1122)&lt;0,"NEG STOCK",IF(K1122&lt;INDEX(Items!$P$5:$P$504,U1122),"BELOW COST","OK")))),IF($D1122="","","PRO PLAN"))</f>
        <v/>
      </c>
      <c r="U1122" s="60" t="str">
        <f aca="false">IF(IsPro,IF($D1122="","",IFERROR(MATCH($D1122,Items!$A$5:$A$504,0),"")),"")</f>
        <v/>
      </c>
      <c r="V1122" s="60" t="str">
        <f aca="false">IF(IsPro,IF($C1122="","",IFERROR(MATCH($C1122,Parties!$A$5:$A$304,0),"")),"")</f>
        <v/>
      </c>
      <c r="W1122" s="60" t="str">
        <f aca="false">IF(IsPro,IF($B1122="","",IFERROR(VALUE(SUBSTITUTE($B1122,InvPrefix,"")),0)),"")</f>
        <v/>
      </c>
      <c r="X1122" s="61" t="str">
        <f aca="false">IF(IsPro,IF($D1122="","",IF(OR($H1122="",$H1122="Credit"),0,Q1122)),"")</f>
        <v/>
      </c>
    </row>
    <row r="1123" customFormat="false" ht="15" hidden="false" customHeight="false" outlineLevel="0" collapsed="false">
      <c r="A1123" s="55"/>
      <c r="B1123" s="56"/>
      <c r="C1123" s="56"/>
      <c r="D1123" s="56"/>
      <c r="E1123" s="57"/>
      <c r="F1123" s="58"/>
      <c r="G1123" s="59"/>
      <c r="H1123" s="56"/>
      <c r="I1123" s="56"/>
      <c r="J1123" s="60" t="str">
        <f aca="false">IF(IsPro,IF($D1123="","",IFERROR(INDEX(Items!$D$5:$D$504,U1123),"")),"")</f>
        <v/>
      </c>
      <c r="K1123" s="61" t="str">
        <f aca="false">IF(IsPro,IF($D1123="","",IF($F1123="",IFERROR(INDEX(Items!$H$5:$H$504,U1123),0),$F1123)),"")</f>
        <v/>
      </c>
      <c r="L1123" s="61" t="str">
        <f aca="false">IF(IsPro,IF($D1123="","",ROUND(N($E1123)*K1123*(1-N($G1123)),2)),"")</f>
        <v/>
      </c>
      <c r="M1123" s="62" t="str">
        <f aca="false">IF(IsPro,IF($D1123="","",IFERROR(INDEX(Items!$F$5:$F$504,U1123),0)),"")</f>
        <v/>
      </c>
      <c r="N1123" s="61" t="str">
        <f aca="false">IF(IsPro,IF($D1123="","",IF(AND(V1123&lt;&gt;"",INDEX(Parties!$E$5:$E$304,V1123)&lt;&gt;"",INDEX(Parties!$E$5:$E$304,V1123)&lt;&gt;HomeState),0,ROUND(L1123*M1123/2,2))),"")</f>
        <v/>
      </c>
      <c r="O1123" s="61" t="str">
        <f aca="false">IF(IsPro,IF($D1123="","",N1123),"")</f>
        <v/>
      </c>
      <c r="P1123" s="61" t="str">
        <f aca="false">IF(IsPro,IF($D1123="","",IF(AND(V1123&lt;&gt;"",INDEX(Parties!$E$5:$E$304,V1123)&lt;&gt;"",INDEX(Parties!$E$5:$E$304,V1123)&lt;&gt;HomeState),ROUND(L1123*M1123,2),0)),"")</f>
        <v/>
      </c>
      <c r="Q1123" s="61" t="str">
        <f aca="false">IF(IsPro,IF($D1123="","",L1123+N1123+O1123+P1123),"")</f>
        <v/>
      </c>
      <c r="R1123" s="61" t="str">
        <f aca="false">IF(IsPro,IF($D1123="","",ROUND(N($E1123)*IFERROR(INDEX(Items!$P$5:$P$504,U1123),0),2)),"")</f>
        <v/>
      </c>
      <c r="S1123" s="61" t="str">
        <f aca="false">IF(IsPro,IF($D1123="","",L1123-R1123),"")</f>
        <v/>
      </c>
      <c r="T1123" s="60" t="str">
        <f aca="false">IF(IsPro,IF($D1123="","",IF(U1123="","UNKNOWN ITEM",IF(INDEX(Items!$O$5:$O$504,U1123)&lt;0,"NEG STOCK",IF(K1123&lt;INDEX(Items!$P$5:$P$504,U1123),"BELOW COST","OK")))),IF($D1123="","","PRO PLAN"))</f>
        <v/>
      </c>
      <c r="U1123" s="60" t="str">
        <f aca="false">IF(IsPro,IF($D1123="","",IFERROR(MATCH($D1123,Items!$A$5:$A$504,0),"")),"")</f>
        <v/>
      </c>
      <c r="V1123" s="60" t="str">
        <f aca="false">IF(IsPro,IF($C1123="","",IFERROR(MATCH($C1123,Parties!$A$5:$A$304,0),"")),"")</f>
        <v/>
      </c>
      <c r="W1123" s="60" t="str">
        <f aca="false">IF(IsPro,IF($B1123="","",IFERROR(VALUE(SUBSTITUTE($B1123,InvPrefix,"")),0)),"")</f>
        <v/>
      </c>
      <c r="X1123" s="61" t="str">
        <f aca="false">IF(IsPro,IF($D1123="","",IF(OR($H1123="",$H1123="Credit"),0,Q1123)),"")</f>
        <v/>
      </c>
    </row>
    <row r="1124" customFormat="false" ht="15" hidden="false" customHeight="false" outlineLevel="0" collapsed="false">
      <c r="A1124" s="55"/>
      <c r="B1124" s="56"/>
      <c r="C1124" s="56"/>
      <c r="D1124" s="56"/>
      <c r="E1124" s="57"/>
      <c r="F1124" s="58"/>
      <c r="G1124" s="59"/>
      <c r="H1124" s="56"/>
      <c r="I1124" s="56"/>
      <c r="J1124" s="60" t="str">
        <f aca="false">IF(IsPro,IF($D1124="","",IFERROR(INDEX(Items!$D$5:$D$504,U1124),"")),"")</f>
        <v/>
      </c>
      <c r="K1124" s="61" t="str">
        <f aca="false">IF(IsPro,IF($D1124="","",IF($F1124="",IFERROR(INDEX(Items!$H$5:$H$504,U1124),0),$F1124)),"")</f>
        <v/>
      </c>
      <c r="L1124" s="61" t="str">
        <f aca="false">IF(IsPro,IF($D1124="","",ROUND(N($E1124)*K1124*(1-N($G1124)),2)),"")</f>
        <v/>
      </c>
      <c r="M1124" s="62" t="str">
        <f aca="false">IF(IsPro,IF($D1124="","",IFERROR(INDEX(Items!$F$5:$F$504,U1124),0)),"")</f>
        <v/>
      </c>
      <c r="N1124" s="61" t="str">
        <f aca="false">IF(IsPro,IF($D1124="","",IF(AND(V1124&lt;&gt;"",INDEX(Parties!$E$5:$E$304,V1124)&lt;&gt;"",INDEX(Parties!$E$5:$E$304,V1124)&lt;&gt;HomeState),0,ROUND(L1124*M1124/2,2))),"")</f>
        <v/>
      </c>
      <c r="O1124" s="61" t="str">
        <f aca="false">IF(IsPro,IF($D1124="","",N1124),"")</f>
        <v/>
      </c>
      <c r="P1124" s="61" t="str">
        <f aca="false">IF(IsPro,IF($D1124="","",IF(AND(V1124&lt;&gt;"",INDEX(Parties!$E$5:$E$304,V1124)&lt;&gt;"",INDEX(Parties!$E$5:$E$304,V1124)&lt;&gt;HomeState),ROUND(L1124*M1124,2),0)),"")</f>
        <v/>
      </c>
      <c r="Q1124" s="61" t="str">
        <f aca="false">IF(IsPro,IF($D1124="","",L1124+N1124+O1124+P1124),"")</f>
        <v/>
      </c>
      <c r="R1124" s="61" t="str">
        <f aca="false">IF(IsPro,IF($D1124="","",ROUND(N($E1124)*IFERROR(INDEX(Items!$P$5:$P$504,U1124),0),2)),"")</f>
        <v/>
      </c>
      <c r="S1124" s="61" t="str">
        <f aca="false">IF(IsPro,IF($D1124="","",L1124-R1124),"")</f>
        <v/>
      </c>
      <c r="T1124" s="60" t="str">
        <f aca="false">IF(IsPro,IF($D1124="","",IF(U1124="","UNKNOWN ITEM",IF(INDEX(Items!$O$5:$O$504,U1124)&lt;0,"NEG STOCK",IF(K1124&lt;INDEX(Items!$P$5:$P$504,U1124),"BELOW COST","OK")))),IF($D1124="","","PRO PLAN"))</f>
        <v/>
      </c>
      <c r="U1124" s="60" t="str">
        <f aca="false">IF(IsPro,IF($D1124="","",IFERROR(MATCH($D1124,Items!$A$5:$A$504,0),"")),"")</f>
        <v/>
      </c>
      <c r="V1124" s="60" t="str">
        <f aca="false">IF(IsPro,IF($C1124="","",IFERROR(MATCH($C1124,Parties!$A$5:$A$304,0),"")),"")</f>
        <v/>
      </c>
      <c r="W1124" s="60" t="str">
        <f aca="false">IF(IsPro,IF($B1124="","",IFERROR(VALUE(SUBSTITUTE($B1124,InvPrefix,"")),0)),"")</f>
        <v/>
      </c>
      <c r="X1124" s="61" t="str">
        <f aca="false">IF(IsPro,IF($D1124="","",IF(OR($H1124="",$H1124="Credit"),0,Q1124)),"")</f>
        <v/>
      </c>
    </row>
    <row r="1125" customFormat="false" ht="15" hidden="false" customHeight="false" outlineLevel="0" collapsed="false">
      <c r="A1125" s="55"/>
      <c r="B1125" s="56"/>
      <c r="C1125" s="56"/>
      <c r="D1125" s="56"/>
      <c r="E1125" s="57"/>
      <c r="F1125" s="58"/>
      <c r="G1125" s="59"/>
      <c r="H1125" s="56"/>
      <c r="I1125" s="56"/>
      <c r="J1125" s="60" t="str">
        <f aca="false">IF(IsPro,IF($D1125="","",IFERROR(INDEX(Items!$D$5:$D$504,U1125),"")),"")</f>
        <v/>
      </c>
      <c r="K1125" s="61" t="str">
        <f aca="false">IF(IsPro,IF($D1125="","",IF($F1125="",IFERROR(INDEX(Items!$H$5:$H$504,U1125),0),$F1125)),"")</f>
        <v/>
      </c>
      <c r="L1125" s="61" t="str">
        <f aca="false">IF(IsPro,IF($D1125="","",ROUND(N($E1125)*K1125*(1-N($G1125)),2)),"")</f>
        <v/>
      </c>
      <c r="M1125" s="62" t="str">
        <f aca="false">IF(IsPro,IF($D1125="","",IFERROR(INDEX(Items!$F$5:$F$504,U1125),0)),"")</f>
        <v/>
      </c>
      <c r="N1125" s="61" t="str">
        <f aca="false">IF(IsPro,IF($D1125="","",IF(AND(V1125&lt;&gt;"",INDEX(Parties!$E$5:$E$304,V1125)&lt;&gt;"",INDEX(Parties!$E$5:$E$304,V1125)&lt;&gt;HomeState),0,ROUND(L1125*M1125/2,2))),"")</f>
        <v/>
      </c>
      <c r="O1125" s="61" t="str">
        <f aca="false">IF(IsPro,IF($D1125="","",N1125),"")</f>
        <v/>
      </c>
      <c r="P1125" s="61" t="str">
        <f aca="false">IF(IsPro,IF($D1125="","",IF(AND(V1125&lt;&gt;"",INDEX(Parties!$E$5:$E$304,V1125)&lt;&gt;"",INDEX(Parties!$E$5:$E$304,V1125)&lt;&gt;HomeState),ROUND(L1125*M1125,2),0)),"")</f>
        <v/>
      </c>
      <c r="Q1125" s="61" t="str">
        <f aca="false">IF(IsPro,IF($D1125="","",L1125+N1125+O1125+P1125),"")</f>
        <v/>
      </c>
      <c r="R1125" s="61" t="str">
        <f aca="false">IF(IsPro,IF($D1125="","",ROUND(N($E1125)*IFERROR(INDEX(Items!$P$5:$P$504,U1125),0),2)),"")</f>
        <v/>
      </c>
      <c r="S1125" s="61" t="str">
        <f aca="false">IF(IsPro,IF($D1125="","",L1125-R1125),"")</f>
        <v/>
      </c>
      <c r="T1125" s="60" t="str">
        <f aca="false">IF(IsPro,IF($D1125="","",IF(U1125="","UNKNOWN ITEM",IF(INDEX(Items!$O$5:$O$504,U1125)&lt;0,"NEG STOCK",IF(K1125&lt;INDEX(Items!$P$5:$P$504,U1125),"BELOW COST","OK")))),IF($D1125="","","PRO PLAN"))</f>
        <v/>
      </c>
      <c r="U1125" s="60" t="str">
        <f aca="false">IF(IsPro,IF($D1125="","",IFERROR(MATCH($D1125,Items!$A$5:$A$504,0),"")),"")</f>
        <v/>
      </c>
      <c r="V1125" s="60" t="str">
        <f aca="false">IF(IsPro,IF($C1125="","",IFERROR(MATCH($C1125,Parties!$A$5:$A$304,0),"")),"")</f>
        <v/>
      </c>
      <c r="W1125" s="60" t="str">
        <f aca="false">IF(IsPro,IF($B1125="","",IFERROR(VALUE(SUBSTITUTE($B1125,InvPrefix,"")),0)),"")</f>
        <v/>
      </c>
      <c r="X1125" s="61" t="str">
        <f aca="false">IF(IsPro,IF($D1125="","",IF(OR($H1125="",$H1125="Credit"),0,Q1125)),"")</f>
        <v/>
      </c>
    </row>
    <row r="1126" customFormat="false" ht="15" hidden="false" customHeight="false" outlineLevel="0" collapsed="false">
      <c r="A1126" s="55"/>
      <c r="B1126" s="56"/>
      <c r="C1126" s="56"/>
      <c r="D1126" s="56"/>
      <c r="E1126" s="57"/>
      <c r="F1126" s="58"/>
      <c r="G1126" s="59"/>
      <c r="H1126" s="56"/>
      <c r="I1126" s="56"/>
      <c r="J1126" s="60" t="str">
        <f aca="false">IF(IsPro,IF($D1126="","",IFERROR(INDEX(Items!$D$5:$D$504,U1126),"")),"")</f>
        <v/>
      </c>
      <c r="K1126" s="61" t="str">
        <f aca="false">IF(IsPro,IF($D1126="","",IF($F1126="",IFERROR(INDEX(Items!$H$5:$H$504,U1126),0),$F1126)),"")</f>
        <v/>
      </c>
      <c r="L1126" s="61" t="str">
        <f aca="false">IF(IsPro,IF($D1126="","",ROUND(N($E1126)*K1126*(1-N($G1126)),2)),"")</f>
        <v/>
      </c>
      <c r="M1126" s="62" t="str">
        <f aca="false">IF(IsPro,IF($D1126="","",IFERROR(INDEX(Items!$F$5:$F$504,U1126),0)),"")</f>
        <v/>
      </c>
      <c r="N1126" s="61" t="str">
        <f aca="false">IF(IsPro,IF($D1126="","",IF(AND(V1126&lt;&gt;"",INDEX(Parties!$E$5:$E$304,V1126)&lt;&gt;"",INDEX(Parties!$E$5:$E$304,V1126)&lt;&gt;HomeState),0,ROUND(L1126*M1126/2,2))),"")</f>
        <v/>
      </c>
      <c r="O1126" s="61" t="str">
        <f aca="false">IF(IsPro,IF($D1126="","",N1126),"")</f>
        <v/>
      </c>
      <c r="P1126" s="61" t="str">
        <f aca="false">IF(IsPro,IF($D1126="","",IF(AND(V1126&lt;&gt;"",INDEX(Parties!$E$5:$E$304,V1126)&lt;&gt;"",INDEX(Parties!$E$5:$E$304,V1126)&lt;&gt;HomeState),ROUND(L1126*M1126,2),0)),"")</f>
        <v/>
      </c>
      <c r="Q1126" s="61" t="str">
        <f aca="false">IF(IsPro,IF($D1126="","",L1126+N1126+O1126+P1126),"")</f>
        <v/>
      </c>
      <c r="R1126" s="61" t="str">
        <f aca="false">IF(IsPro,IF($D1126="","",ROUND(N($E1126)*IFERROR(INDEX(Items!$P$5:$P$504,U1126),0),2)),"")</f>
        <v/>
      </c>
      <c r="S1126" s="61" t="str">
        <f aca="false">IF(IsPro,IF($D1126="","",L1126-R1126),"")</f>
        <v/>
      </c>
      <c r="T1126" s="60" t="str">
        <f aca="false">IF(IsPro,IF($D1126="","",IF(U1126="","UNKNOWN ITEM",IF(INDEX(Items!$O$5:$O$504,U1126)&lt;0,"NEG STOCK",IF(K1126&lt;INDEX(Items!$P$5:$P$504,U1126),"BELOW COST","OK")))),IF($D1126="","","PRO PLAN"))</f>
        <v/>
      </c>
      <c r="U1126" s="60" t="str">
        <f aca="false">IF(IsPro,IF($D1126="","",IFERROR(MATCH($D1126,Items!$A$5:$A$504,0),"")),"")</f>
        <v/>
      </c>
      <c r="V1126" s="60" t="str">
        <f aca="false">IF(IsPro,IF($C1126="","",IFERROR(MATCH($C1126,Parties!$A$5:$A$304,0),"")),"")</f>
        <v/>
      </c>
      <c r="W1126" s="60" t="str">
        <f aca="false">IF(IsPro,IF($B1126="","",IFERROR(VALUE(SUBSTITUTE($B1126,InvPrefix,"")),0)),"")</f>
        <v/>
      </c>
      <c r="X1126" s="61" t="str">
        <f aca="false">IF(IsPro,IF($D1126="","",IF(OR($H1126="",$H1126="Credit"),0,Q1126)),"")</f>
        <v/>
      </c>
    </row>
    <row r="1127" customFormat="false" ht="15" hidden="false" customHeight="false" outlineLevel="0" collapsed="false">
      <c r="A1127" s="55"/>
      <c r="B1127" s="56"/>
      <c r="C1127" s="56"/>
      <c r="D1127" s="56"/>
      <c r="E1127" s="57"/>
      <c r="F1127" s="58"/>
      <c r="G1127" s="59"/>
      <c r="H1127" s="56"/>
      <c r="I1127" s="56"/>
      <c r="J1127" s="60" t="str">
        <f aca="false">IF(IsPro,IF($D1127="","",IFERROR(INDEX(Items!$D$5:$D$504,U1127),"")),"")</f>
        <v/>
      </c>
      <c r="K1127" s="61" t="str">
        <f aca="false">IF(IsPro,IF($D1127="","",IF($F1127="",IFERROR(INDEX(Items!$H$5:$H$504,U1127),0),$F1127)),"")</f>
        <v/>
      </c>
      <c r="L1127" s="61" t="str">
        <f aca="false">IF(IsPro,IF($D1127="","",ROUND(N($E1127)*K1127*(1-N($G1127)),2)),"")</f>
        <v/>
      </c>
      <c r="M1127" s="62" t="str">
        <f aca="false">IF(IsPro,IF($D1127="","",IFERROR(INDEX(Items!$F$5:$F$504,U1127),0)),"")</f>
        <v/>
      </c>
      <c r="N1127" s="61" t="str">
        <f aca="false">IF(IsPro,IF($D1127="","",IF(AND(V1127&lt;&gt;"",INDEX(Parties!$E$5:$E$304,V1127)&lt;&gt;"",INDEX(Parties!$E$5:$E$304,V1127)&lt;&gt;HomeState),0,ROUND(L1127*M1127/2,2))),"")</f>
        <v/>
      </c>
      <c r="O1127" s="61" t="str">
        <f aca="false">IF(IsPro,IF($D1127="","",N1127),"")</f>
        <v/>
      </c>
      <c r="P1127" s="61" t="str">
        <f aca="false">IF(IsPro,IF($D1127="","",IF(AND(V1127&lt;&gt;"",INDEX(Parties!$E$5:$E$304,V1127)&lt;&gt;"",INDEX(Parties!$E$5:$E$304,V1127)&lt;&gt;HomeState),ROUND(L1127*M1127,2),0)),"")</f>
        <v/>
      </c>
      <c r="Q1127" s="61" t="str">
        <f aca="false">IF(IsPro,IF($D1127="","",L1127+N1127+O1127+P1127),"")</f>
        <v/>
      </c>
      <c r="R1127" s="61" t="str">
        <f aca="false">IF(IsPro,IF($D1127="","",ROUND(N($E1127)*IFERROR(INDEX(Items!$P$5:$P$504,U1127),0),2)),"")</f>
        <v/>
      </c>
      <c r="S1127" s="61" t="str">
        <f aca="false">IF(IsPro,IF($D1127="","",L1127-R1127),"")</f>
        <v/>
      </c>
      <c r="T1127" s="60" t="str">
        <f aca="false">IF(IsPro,IF($D1127="","",IF(U1127="","UNKNOWN ITEM",IF(INDEX(Items!$O$5:$O$504,U1127)&lt;0,"NEG STOCK",IF(K1127&lt;INDEX(Items!$P$5:$P$504,U1127),"BELOW COST","OK")))),IF($D1127="","","PRO PLAN"))</f>
        <v/>
      </c>
      <c r="U1127" s="60" t="str">
        <f aca="false">IF(IsPro,IF($D1127="","",IFERROR(MATCH($D1127,Items!$A$5:$A$504,0),"")),"")</f>
        <v/>
      </c>
      <c r="V1127" s="60" t="str">
        <f aca="false">IF(IsPro,IF($C1127="","",IFERROR(MATCH($C1127,Parties!$A$5:$A$304,0),"")),"")</f>
        <v/>
      </c>
      <c r="W1127" s="60" t="str">
        <f aca="false">IF(IsPro,IF($B1127="","",IFERROR(VALUE(SUBSTITUTE($B1127,InvPrefix,"")),0)),"")</f>
        <v/>
      </c>
      <c r="X1127" s="61" t="str">
        <f aca="false">IF(IsPro,IF($D1127="","",IF(OR($H1127="",$H1127="Credit"),0,Q1127)),"")</f>
        <v/>
      </c>
    </row>
    <row r="1128" customFormat="false" ht="15" hidden="false" customHeight="false" outlineLevel="0" collapsed="false">
      <c r="A1128" s="55"/>
      <c r="B1128" s="56"/>
      <c r="C1128" s="56"/>
      <c r="D1128" s="56"/>
      <c r="E1128" s="57"/>
      <c r="F1128" s="58"/>
      <c r="G1128" s="59"/>
      <c r="H1128" s="56"/>
      <c r="I1128" s="56"/>
      <c r="J1128" s="60" t="str">
        <f aca="false">IF(IsPro,IF($D1128="","",IFERROR(INDEX(Items!$D$5:$D$504,U1128),"")),"")</f>
        <v/>
      </c>
      <c r="K1128" s="61" t="str">
        <f aca="false">IF(IsPro,IF($D1128="","",IF($F1128="",IFERROR(INDEX(Items!$H$5:$H$504,U1128),0),$F1128)),"")</f>
        <v/>
      </c>
      <c r="L1128" s="61" t="str">
        <f aca="false">IF(IsPro,IF($D1128="","",ROUND(N($E1128)*K1128*(1-N($G1128)),2)),"")</f>
        <v/>
      </c>
      <c r="M1128" s="62" t="str">
        <f aca="false">IF(IsPro,IF($D1128="","",IFERROR(INDEX(Items!$F$5:$F$504,U1128),0)),"")</f>
        <v/>
      </c>
      <c r="N1128" s="61" t="str">
        <f aca="false">IF(IsPro,IF($D1128="","",IF(AND(V1128&lt;&gt;"",INDEX(Parties!$E$5:$E$304,V1128)&lt;&gt;"",INDEX(Parties!$E$5:$E$304,V1128)&lt;&gt;HomeState),0,ROUND(L1128*M1128/2,2))),"")</f>
        <v/>
      </c>
      <c r="O1128" s="61" t="str">
        <f aca="false">IF(IsPro,IF($D1128="","",N1128),"")</f>
        <v/>
      </c>
      <c r="P1128" s="61" t="str">
        <f aca="false">IF(IsPro,IF($D1128="","",IF(AND(V1128&lt;&gt;"",INDEX(Parties!$E$5:$E$304,V1128)&lt;&gt;"",INDEX(Parties!$E$5:$E$304,V1128)&lt;&gt;HomeState),ROUND(L1128*M1128,2),0)),"")</f>
        <v/>
      </c>
      <c r="Q1128" s="61" t="str">
        <f aca="false">IF(IsPro,IF($D1128="","",L1128+N1128+O1128+P1128),"")</f>
        <v/>
      </c>
      <c r="R1128" s="61" t="str">
        <f aca="false">IF(IsPro,IF($D1128="","",ROUND(N($E1128)*IFERROR(INDEX(Items!$P$5:$P$504,U1128),0),2)),"")</f>
        <v/>
      </c>
      <c r="S1128" s="61" t="str">
        <f aca="false">IF(IsPro,IF($D1128="","",L1128-R1128),"")</f>
        <v/>
      </c>
      <c r="T1128" s="60" t="str">
        <f aca="false">IF(IsPro,IF($D1128="","",IF(U1128="","UNKNOWN ITEM",IF(INDEX(Items!$O$5:$O$504,U1128)&lt;0,"NEG STOCK",IF(K1128&lt;INDEX(Items!$P$5:$P$504,U1128),"BELOW COST","OK")))),IF($D1128="","","PRO PLAN"))</f>
        <v/>
      </c>
      <c r="U1128" s="60" t="str">
        <f aca="false">IF(IsPro,IF($D1128="","",IFERROR(MATCH($D1128,Items!$A$5:$A$504,0),"")),"")</f>
        <v/>
      </c>
      <c r="V1128" s="60" t="str">
        <f aca="false">IF(IsPro,IF($C1128="","",IFERROR(MATCH($C1128,Parties!$A$5:$A$304,0),"")),"")</f>
        <v/>
      </c>
      <c r="W1128" s="60" t="str">
        <f aca="false">IF(IsPro,IF($B1128="","",IFERROR(VALUE(SUBSTITUTE($B1128,InvPrefix,"")),0)),"")</f>
        <v/>
      </c>
      <c r="X1128" s="61" t="str">
        <f aca="false">IF(IsPro,IF($D1128="","",IF(OR($H1128="",$H1128="Credit"),0,Q1128)),"")</f>
        <v/>
      </c>
    </row>
    <row r="1129" customFormat="false" ht="15" hidden="false" customHeight="false" outlineLevel="0" collapsed="false">
      <c r="A1129" s="55"/>
      <c r="B1129" s="56"/>
      <c r="C1129" s="56"/>
      <c r="D1129" s="56"/>
      <c r="E1129" s="57"/>
      <c r="F1129" s="58"/>
      <c r="G1129" s="59"/>
      <c r="H1129" s="56"/>
      <c r="I1129" s="56"/>
      <c r="J1129" s="60" t="str">
        <f aca="false">IF(IsPro,IF($D1129="","",IFERROR(INDEX(Items!$D$5:$D$504,U1129),"")),"")</f>
        <v/>
      </c>
      <c r="K1129" s="61" t="str">
        <f aca="false">IF(IsPro,IF($D1129="","",IF($F1129="",IFERROR(INDEX(Items!$H$5:$H$504,U1129),0),$F1129)),"")</f>
        <v/>
      </c>
      <c r="L1129" s="61" t="str">
        <f aca="false">IF(IsPro,IF($D1129="","",ROUND(N($E1129)*K1129*(1-N($G1129)),2)),"")</f>
        <v/>
      </c>
      <c r="M1129" s="62" t="str">
        <f aca="false">IF(IsPro,IF($D1129="","",IFERROR(INDEX(Items!$F$5:$F$504,U1129),0)),"")</f>
        <v/>
      </c>
      <c r="N1129" s="61" t="str">
        <f aca="false">IF(IsPro,IF($D1129="","",IF(AND(V1129&lt;&gt;"",INDEX(Parties!$E$5:$E$304,V1129)&lt;&gt;"",INDEX(Parties!$E$5:$E$304,V1129)&lt;&gt;HomeState),0,ROUND(L1129*M1129/2,2))),"")</f>
        <v/>
      </c>
      <c r="O1129" s="61" t="str">
        <f aca="false">IF(IsPro,IF($D1129="","",N1129),"")</f>
        <v/>
      </c>
      <c r="P1129" s="61" t="str">
        <f aca="false">IF(IsPro,IF($D1129="","",IF(AND(V1129&lt;&gt;"",INDEX(Parties!$E$5:$E$304,V1129)&lt;&gt;"",INDEX(Parties!$E$5:$E$304,V1129)&lt;&gt;HomeState),ROUND(L1129*M1129,2),0)),"")</f>
        <v/>
      </c>
      <c r="Q1129" s="61" t="str">
        <f aca="false">IF(IsPro,IF($D1129="","",L1129+N1129+O1129+P1129),"")</f>
        <v/>
      </c>
      <c r="R1129" s="61" t="str">
        <f aca="false">IF(IsPro,IF($D1129="","",ROUND(N($E1129)*IFERROR(INDEX(Items!$P$5:$P$504,U1129),0),2)),"")</f>
        <v/>
      </c>
      <c r="S1129" s="61" t="str">
        <f aca="false">IF(IsPro,IF($D1129="","",L1129-R1129),"")</f>
        <v/>
      </c>
      <c r="T1129" s="60" t="str">
        <f aca="false">IF(IsPro,IF($D1129="","",IF(U1129="","UNKNOWN ITEM",IF(INDEX(Items!$O$5:$O$504,U1129)&lt;0,"NEG STOCK",IF(K1129&lt;INDEX(Items!$P$5:$P$504,U1129),"BELOW COST","OK")))),IF($D1129="","","PRO PLAN"))</f>
        <v/>
      </c>
      <c r="U1129" s="60" t="str">
        <f aca="false">IF(IsPro,IF($D1129="","",IFERROR(MATCH($D1129,Items!$A$5:$A$504,0),"")),"")</f>
        <v/>
      </c>
      <c r="V1129" s="60" t="str">
        <f aca="false">IF(IsPro,IF($C1129="","",IFERROR(MATCH($C1129,Parties!$A$5:$A$304,0),"")),"")</f>
        <v/>
      </c>
      <c r="W1129" s="60" t="str">
        <f aca="false">IF(IsPro,IF($B1129="","",IFERROR(VALUE(SUBSTITUTE($B1129,InvPrefix,"")),0)),"")</f>
        <v/>
      </c>
      <c r="X1129" s="61" t="str">
        <f aca="false">IF(IsPro,IF($D1129="","",IF(OR($H1129="",$H1129="Credit"),0,Q1129)),"")</f>
        <v/>
      </c>
    </row>
    <row r="1130" customFormat="false" ht="15" hidden="false" customHeight="false" outlineLevel="0" collapsed="false">
      <c r="A1130" s="55"/>
      <c r="B1130" s="56"/>
      <c r="C1130" s="56"/>
      <c r="D1130" s="56"/>
      <c r="E1130" s="57"/>
      <c r="F1130" s="58"/>
      <c r="G1130" s="59"/>
      <c r="H1130" s="56"/>
      <c r="I1130" s="56"/>
      <c r="J1130" s="60" t="str">
        <f aca="false">IF(IsPro,IF($D1130="","",IFERROR(INDEX(Items!$D$5:$D$504,U1130),"")),"")</f>
        <v/>
      </c>
      <c r="K1130" s="61" t="str">
        <f aca="false">IF(IsPro,IF($D1130="","",IF($F1130="",IFERROR(INDEX(Items!$H$5:$H$504,U1130),0),$F1130)),"")</f>
        <v/>
      </c>
      <c r="L1130" s="61" t="str">
        <f aca="false">IF(IsPro,IF($D1130="","",ROUND(N($E1130)*K1130*(1-N($G1130)),2)),"")</f>
        <v/>
      </c>
      <c r="M1130" s="62" t="str">
        <f aca="false">IF(IsPro,IF($D1130="","",IFERROR(INDEX(Items!$F$5:$F$504,U1130),0)),"")</f>
        <v/>
      </c>
      <c r="N1130" s="61" t="str">
        <f aca="false">IF(IsPro,IF($D1130="","",IF(AND(V1130&lt;&gt;"",INDEX(Parties!$E$5:$E$304,V1130)&lt;&gt;"",INDEX(Parties!$E$5:$E$304,V1130)&lt;&gt;HomeState),0,ROUND(L1130*M1130/2,2))),"")</f>
        <v/>
      </c>
      <c r="O1130" s="61" t="str">
        <f aca="false">IF(IsPro,IF($D1130="","",N1130),"")</f>
        <v/>
      </c>
      <c r="P1130" s="61" t="str">
        <f aca="false">IF(IsPro,IF($D1130="","",IF(AND(V1130&lt;&gt;"",INDEX(Parties!$E$5:$E$304,V1130)&lt;&gt;"",INDEX(Parties!$E$5:$E$304,V1130)&lt;&gt;HomeState),ROUND(L1130*M1130,2),0)),"")</f>
        <v/>
      </c>
      <c r="Q1130" s="61" t="str">
        <f aca="false">IF(IsPro,IF($D1130="","",L1130+N1130+O1130+P1130),"")</f>
        <v/>
      </c>
      <c r="R1130" s="61" t="str">
        <f aca="false">IF(IsPro,IF($D1130="","",ROUND(N($E1130)*IFERROR(INDEX(Items!$P$5:$P$504,U1130),0),2)),"")</f>
        <v/>
      </c>
      <c r="S1130" s="61" t="str">
        <f aca="false">IF(IsPro,IF($D1130="","",L1130-R1130),"")</f>
        <v/>
      </c>
      <c r="T1130" s="60" t="str">
        <f aca="false">IF(IsPro,IF($D1130="","",IF(U1130="","UNKNOWN ITEM",IF(INDEX(Items!$O$5:$O$504,U1130)&lt;0,"NEG STOCK",IF(K1130&lt;INDEX(Items!$P$5:$P$504,U1130),"BELOW COST","OK")))),IF($D1130="","","PRO PLAN"))</f>
        <v/>
      </c>
      <c r="U1130" s="60" t="str">
        <f aca="false">IF(IsPro,IF($D1130="","",IFERROR(MATCH($D1130,Items!$A$5:$A$504,0),"")),"")</f>
        <v/>
      </c>
      <c r="V1130" s="60" t="str">
        <f aca="false">IF(IsPro,IF($C1130="","",IFERROR(MATCH($C1130,Parties!$A$5:$A$304,0),"")),"")</f>
        <v/>
      </c>
      <c r="W1130" s="60" t="str">
        <f aca="false">IF(IsPro,IF($B1130="","",IFERROR(VALUE(SUBSTITUTE($B1130,InvPrefix,"")),0)),"")</f>
        <v/>
      </c>
      <c r="X1130" s="61" t="str">
        <f aca="false">IF(IsPro,IF($D1130="","",IF(OR($H1130="",$H1130="Credit"),0,Q1130)),"")</f>
        <v/>
      </c>
    </row>
    <row r="1131" customFormat="false" ht="15" hidden="false" customHeight="false" outlineLevel="0" collapsed="false">
      <c r="A1131" s="55"/>
      <c r="B1131" s="56"/>
      <c r="C1131" s="56"/>
      <c r="D1131" s="56"/>
      <c r="E1131" s="57"/>
      <c r="F1131" s="58"/>
      <c r="G1131" s="59"/>
      <c r="H1131" s="56"/>
      <c r="I1131" s="56"/>
      <c r="J1131" s="60" t="str">
        <f aca="false">IF(IsPro,IF($D1131="","",IFERROR(INDEX(Items!$D$5:$D$504,U1131),"")),"")</f>
        <v/>
      </c>
      <c r="K1131" s="61" t="str">
        <f aca="false">IF(IsPro,IF($D1131="","",IF($F1131="",IFERROR(INDEX(Items!$H$5:$H$504,U1131),0),$F1131)),"")</f>
        <v/>
      </c>
      <c r="L1131" s="61" t="str">
        <f aca="false">IF(IsPro,IF($D1131="","",ROUND(N($E1131)*K1131*(1-N($G1131)),2)),"")</f>
        <v/>
      </c>
      <c r="M1131" s="62" t="str">
        <f aca="false">IF(IsPro,IF($D1131="","",IFERROR(INDEX(Items!$F$5:$F$504,U1131),0)),"")</f>
        <v/>
      </c>
      <c r="N1131" s="61" t="str">
        <f aca="false">IF(IsPro,IF($D1131="","",IF(AND(V1131&lt;&gt;"",INDEX(Parties!$E$5:$E$304,V1131)&lt;&gt;"",INDEX(Parties!$E$5:$E$304,V1131)&lt;&gt;HomeState),0,ROUND(L1131*M1131/2,2))),"")</f>
        <v/>
      </c>
      <c r="O1131" s="61" t="str">
        <f aca="false">IF(IsPro,IF($D1131="","",N1131),"")</f>
        <v/>
      </c>
      <c r="P1131" s="61" t="str">
        <f aca="false">IF(IsPro,IF($D1131="","",IF(AND(V1131&lt;&gt;"",INDEX(Parties!$E$5:$E$304,V1131)&lt;&gt;"",INDEX(Parties!$E$5:$E$304,V1131)&lt;&gt;HomeState),ROUND(L1131*M1131,2),0)),"")</f>
        <v/>
      </c>
      <c r="Q1131" s="61" t="str">
        <f aca="false">IF(IsPro,IF($D1131="","",L1131+N1131+O1131+P1131),"")</f>
        <v/>
      </c>
      <c r="R1131" s="61" t="str">
        <f aca="false">IF(IsPro,IF($D1131="","",ROUND(N($E1131)*IFERROR(INDEX(Items!$P$5:$P$504,U1131),0),2)),"")</f>
        <v/>
      </c>
      <c r="S1131" s="61" t="str">
        <f aca="false">IF(IsPro,IF($D1131="","",L1131-R1131),"")</f>
        <v/>
      </c>
      <c r="T1131" s="60" t="str">
        <f aca="false">IF(IsPro,IF($D1131="","",IF(U1131="","UNKNOWN ITEM",IF(INDEX(Items!$O$5:$O$504,U1131)&lt;0,"NEG STOCK",IF(K1131&lt;INDEX(Items!$P$5:$P$504,U1131),"BELOW COST","OK")))),IF($D1131="","","PRO PLAN"))</f>
        <v/>
      </c>
      <c r="U1131" s="60" t="str">
        <f aca="false">IF(IsPro,IF($D1131="","",IFERROR(MATCH($D1131,Items!$A$5:$A$504,0),"")),"")</f>
        <v/>
      </c>
      <c r="V1131" s="60" t="str">
        <f aca="false">IF(IsPro,IF($C1131="","",IFERROR(MATCH($C1131,Parties!$A$5:$A$304,0),"")),"")</f>
        <v/>
      </c>
      <c r="W1131" s="60" t="str">
        <f aca="false">IF(IsPro,IF($B1131="","",IFERROR(VALUE(SUBSTITUTE($B1131,InvPrefix,"")),0)),"")</f>
        <v/>
      </c>
      <c r="X1131" s="61" t="str">
        <f aca="false">IF(IsPro,IF($D1131="","",IF(OR($H1131="",$H1131="Credit"),0,Q1131)),"")</f>
        <v/>
      </c>
    </row>
    <row r="1132" customFormat="false" ht="15" hidden="false" customHeight="false" outlineLevel="0" collapsed="false">
      <c r="A1132" s="55"/>
      <c r="B1132" s="56"/>
      <c r="C1132" s="56"/>
      <c r="D1132" s="56"/>
      <c r="E1132" s="57"/>
      <c r="F1132" s="58"/>
      <c r="G1132" s="59"/>
      <c r="H1132" s="56"/>
      <c r="I1132" s="56"/>
      <c r="J1132" s="60" t="str">
        <f aca="false">IF(IsPro,IF($D1132="","",IFERROR(INDEX(Items!$D$5:$D$504,U1132),"")),"")</f>
        <v/>
      </c>
      <c r="K1132" s="61" t="str">
        <f aca="false">IF(IsPro,IF($D1132="","",IF($F1132="",IFERROR(INDEX(Items!$H$5:$H$504,U1132),0),$F1132)),"")</f>
        <v/>
      </c>
      <c r="L1132" s="61" t="str">
        <f aca="false">IF(IsPro,IF($D1132="","",ROUND(N($E1132)*K1132*(1-N($G1132)),2)),"")</f>
        <v/>
      </c>
      <c r="M1132" s="62" t="str">
        <f aca="false">IF(IsPro,IF($D1132="","",IFERROR(INDEX(Items!$F$5:$F$504,U1132),0)),"")</f>
        <v/>
      </c>
      <c r="N1132" s="61" t="str">
        <f aca="false">IF(IsPro,IF($D1132="","",IF(AND(V1132&lt;&gt;"",INDEX(Parties!$E$5:$E$304,V1132)&lt;&gt;"",INDEX(Parties!$E$5:$E$304,V1132)&lt;&gt;HomeState),0,ROUND(L1132*M1132/2,2))),"")</f>
        <v/>
      </c>
      <c r="O1132" s="61" t="str">
        <f aca="false">IF(IsPro,IF($D1132="","",N1132),"")</f>
        <v/>
      </c>
      <c r="P1132" s="61" t="str">
        <f aca="false">IF(IsPro,IF($D1132="","",IF(AND(V1132&lt;&gt;"",INDEX(Parties!$E$5:$E$304,V1132)&lt;&gt;"",INDEX(Parties!$E$5:$E$304,V1132)&lt;&gt;HomeState),ROUND(L1132*M1132,2),0)),"")</f>
        <v/>
      </c>
      <c r="Q1132" s="61" t="str">
        <f aca="false">IF(IsPro,IF($D1132="","",L1132+N1132+O1132+P1132),"")</f>
        <v/>
      </c>
      <c r="R1132" s="61" t="str">
        <f aca="false">IF(IsPro,IF($D1132="","",ROUND(N($E1132)*IFERROR(INDEX(Items!$P$5:$P$504,U1132),0),2)),"")</f>
        <v/>
      </c>
      <c r="S1132" s="61" t="str">
        <f aca="false">IF(IsPro,IF($D1132="","",L1132-R1132),"")</f>
        <v/>
      </c>
      <c r="T1132" s="60" t="str">
        <f aca="false">IF(IsPro,IF($D1132="","",IF(U1132="","UNKNOWN ITEM",IF(INDEX(Items!$O$5:$O$504,U1132)&lt;0,"NEG STOCK",IF(K1132&lt;INDEX(Items!$P$5:$P$504,U1132),"BELOW COST","OK")))),IF($D1132="","","PRO PLAN"))</f>
        <v/>
      </c>
      <c r="U1132" s="60" t="str">
        <f aca="false">IF(IsPro,IF($D1132="","",IFERROR(MATCH($D1132,Items!$A$5:$A$504,0),"")),"")</f>
        <v/>
      </c>
      <c r="V1132" s="60" t="str">
        <f aca="false">IF(IsPro,IF($C1132="","",IFERROR(MATCH($C1132,Parties!$A$5:$A$304,0),"")),"")</f>
        <v/>
      </c>
      <c r="W1132" s="60" t="str">
        <f aca="false">IF(IsPro,IF($B1132="","",IFERROR(VALUE(SUBSTITUTE($B1132,InvPrefix,"")),0)),"")</f>
        <v/>
      </c>
      <c r="X1132" s="61" t="str">
        <f aca="false">IF(IsPro,IF($D1132="","",IF(OR($H1132="",$H1132="Credit"),0,Q1132)),"")</f>
        <v/>
      </c>
    </row>
    <row r="1133" customFormat="false" ht="15" hidden="false" customHeight="false" outlineLevel="0" collapsed="false">
      <c r="A1133" s="55"/>
      <c r="B1133" s="56"/>
      <c r="C1133" s="56"/>
      <c r="D1133" s="56"/>
      <c r="E1133" s="57"/>
      <c r="F1133" s="58"/>
      <c r="G1133" s="59"/>
      <c r="H1133" s="56"/>
      <c r="I1133" s="56"/>
      <c r="J1133" s="60" t="str">
        <f aca="false">IF(IsPro,IF($D1133="","",IFERROR(INDEX(Items!$D$5:$D$504,U1133),"")),"")</f>
        <v/>
      </c>
      <c r="K1133" s="61" t="str">
        <f aca="false">IF(IsPro,IF($D1133="","",IF($F1133="",IFERROR(INDEX(Items!$H$5:$H$504,U1133),0),$F1133)),"")</f>
        <v/>
      </c>
      <c r="L1133" s="61" t="str">
        <f aca="false">IF(IsPro,IF($D1133="","",ROUND(N($E1133)*K1133*(1-N($G1133)),2)),"")</f>
        <v/>
      </c>
      <c r="M1133" s="62" t="str">
        <f aca="false">IF(IsPro,IF($D1133="","",IFERROR(INDEX(Items!$F$5:$F$504,U1133),0)),"")</f>
        <v/>
      </c>
      <c r="N1133" s="61" t="str">
        <f aca="false">IF(IsPro,IF($D1133="","",IF(AND(V1133&lt;&gt;"",INDEX(Parties!$E$5:$E$304,V1133)&lt;&gt;"",INDEX(Parties!$E$5:$E$304,V1133)&lt;&gt;HomeState),0,ROUND(L1133*M1133/2,2))),"")</f>
        <v/>
      </c>
      <c r="O1133" s="61" t="str">
        <f aca="false">IF(IsPro,IF($D1133="","",N1133),"")</f>
        <v/>
      </c>
      <c r="P1133" s="61" t="str">
        <f aca="false">IF(IsPro,IF($D1133="","",IF(AND(V1133&lt;&gt;"",INDEX(Parties!$E$5:$E$304,V1133)&lt;&gt;"",INDEX(Parties!$E$5:$E$304,V1133)&lt;&gt;HomeState),ROUND(L1133*M1133,2),0)),"")</f>
        <v/>
      </c>
      <c r="Q1133" s="61" t="str">
        <f aca="false">IF(IsPro,IF($D1133="","",L1133+N1133+O1133+P1133),"")</f>
        <v/>
      </c>
      <c r="R1133" s="61" t="str">
        <f aca="false">IF(IsPro,IF($D1133="","",ROUND(N($E1133)*IFERROR(INDEX(Items!$P$5:$P$504,U1133),0),2)),"")</f>
        <v/>
      </c>
      <c r="S1133" s="61" t="str">
        <f aca="false">IF(IsPro,IF($D1133="","",L1133-R1133),"")</f>
        <v/>
      </c>
      <c r="T1133" s="60" t="str">
        <f aca="false">IF(IsPro,IF($D1133="","",IF(U1133="","UNKNOWN ITEM",IF(INDEX(Items!$O$5:$O$504,U1133)&lt;0,"NEG STOCK",IF(K1133&lt;INDEX(Items!$P$5:$P$504,U1133),"BELOW COST","OK")))),IF($D1133="","","PRO PLAN"))</f>
        <v/>
      </c>
      <c r="U1133" s="60" t="str">
        <f aca="false">IF(IsPro,IF($D1133="","",IFERROR(MATCH($D1133,Items!$A$5:$A$504,0),"")),"")</f>
        <v/>
      </c>
      <c r="V1133" s="60" t="str">
        <f aca="false">IF(IsPro,IF($C1133="","",IFERROR(MATCH($C1133,Parties!$A$5:$A$304,0),"")),"")</f>
        <v/>
      </c>
      <c r="W1133" s="60" t="str">
        <f aca="false">IF(IsPro,IF($B1133="","",IFERROR(VALUE(SUBSTITUTE($B1133,InvPrefix,"")),0)),"")</f>
        <v/>
      </c>
      <c r="X1133" s="61" t="str">
        <f aca="false">IF(IsPro,IF($D1133="","",IF(OR($H1133="",$H1133="Credit"),0,Q1133)),"")</f>
        <v/>
      </c>
    </row>
    <row r="1134" customFormat="false" ht="15" hidden="false" customHeight="false" outlineLevel="0" collapsed="false">
      <c r="A1134" s="55"/>
      <c r="B1134" s="56"/>
      <c r="C1134" s="56"/>
      <c r="D1134" s="56"/>
      <c r="E1134" s="57"/>
      <c r="F1134" s="58"/>
      <c r="G1134" s="59"/>
      <c r="H1134" s="56"/>
      <c r="I1134" s="56"/>
      <c r="J1134" s="60" t="str">
        <f aca="false">IF(IsPro,IF($D1134="","",IFERROR(INDEX(Items!$D$5:$D$504,U1134),"")),"")</f>
        <v/>
      </c>
      <c r="K1134" s="61" t="str">
        <f aca="false">IF(IsPro,IF($D1134="","",IF($F1134="",IFERROR(INDEX(Items!$H$5:$H$504,U1134),0),$F1134)),"")</f>
        <v/>
      </c>
      <c r="L1134" s="61" t="str">
        <f aca="false">IF(IsPro,IF($D1134="","",ROUND(N($E1134)*K1134*(1-N($G1134)),2)),"")</f>
        <v/>
      </c>
      <c r="M1134" s="62" t="str">
        <f aca="false">IF(IsPro,IF($D1134="","",IFERROR(INDEX(Items!$F$5:$F$504,U1134),0)),"")</f>
        <v/>
      </c>
      <c r="N1134" s="61" t="str">
        <f aca="false">IF(IsPro,IF($D1134="","",IF(AND(V1134&lt;&gt;"",INDEX(Parties!$E$5:$E$304,V1134)&lt;&gt;"",INDEX(Parties!$E$5:$E$304,V1134)&lt;&gt;HomeState),0,ROUND(L1134*M1134/2,2))),"")</f>
        <v/>
      </c>
      <c r="O1134" s="61" t="str">
        <f aca="false">IF(IsPro,IF($D1134="","",N1134),"")</f>
        <v/>
      </c>
      <c r="P1134" s="61" t="str">
        <f aca="false">IF(IsPro,IF($D1134="","",IF(AND(V1134&lt;&gt;"",INDEX(Parties!$E$5:$E$304,V1134)&lt;&gt;"",INDEX(Parties!$E$5:$E$304,V1134)&lt;&gt;HomeState),ROUND(L1134*M1134,2),0)),"")</f>
        <v/>
      </c>
      <c r="Q1134" s="61" t="str">
        <f aca="false">IF(IsPro,IF($D1134="","",L1134+N1134+O1134+P1134),"")</f>
        <v/>
      </c>
      <c r="R1134" s="61" t="str">
        <f aca="false">IF(IsPro,IF($D1134="","",ROUND(N($E1134)*IFERROR(INDEX(Items!$P$5:$P$504,U1134),0),2)),"")</f>
        <v/>
      </c>
      <c r="S1134" s="61" t="str">
        <f aca="false">IF(IsPro,IF($D1134="","",L1134-R1134),"")</f>
        <v/>
      </c>
      <c r="T1134" s="60" t="str">
        <f aca="false">IF(IsPro,IF($D1134="","",IF(U1134="","UNKNOWN ITEM",IF(INDEX(Items!$O$5:$O$504,U1134)&lt;0,"NEG STOCK",IF(K1134&lt;INDEX(Items!$P$5:$P$504,U1134),"BELOW COST","OK")))),IF($D1134="","","PRO PLAN"))</f>
        <v/>
      </c>
      <c r="U1134" s="60" t="str">
        <f aca="false">IF(IsPro,IF($D1134="","",IFERROR(MATCH($D1134,Items!$A$5:$A$504,0),"")),"")</f>
        <v/>
      </c>
      <c r="V1134" s="60" t="str">
        <f aca="false">IF(IsPro,IF($C1134="","",IFERROR(MATCH($C1134,Parties!$A$5:$A$304,0),"")),"")</f>
        <v/>
      </c>
      <c r="W1134" s="60" t="str">
        <f aca="false">IF(IsPro,IF($B1134="","",IFERROR(VALUE(SUBSTITUTE($B1134,InvPrefix,"")),0)),"")</f>
        <v/>
      </c>
      <c r="X1134" s="61" t="str">
        <f aca="false">IF(IsPro,IF($D1134="","",IF(OR($H1134="",$H1134="Credit"),0,Q1134)),"")</f>
        <v/>
      </c>
    </row>
    <row r="1135" customFormat="false" ht="15" hidden="false" customHeight="false" outlineLevel="0" collapsed="false">
      <c r="A1135" s="55"/>
      <c r="B1135" s="56"/>
      <c r="C1135" s="56"/>
      <c r="D1135" s="56"/>
      <c r="E1135" s="57"/>
      <c r="F1135" s="58"/>
      <c r="G1135" s="59"/>
      <c r="H1135" s="56"/>
      <c r="I1135" s="56"/>
      <c r="J1135" s="60" t="str">
        <f aca="false">IF(IsPro,IF($D1135="","",IFERROR(INDEX(Items!$D$5:$D$504,U1135),"")),"")</f>
        <v/>
      </c>
      <c r="K1135" s="61" t="str">
        <f aca="false">IF(IsPro,IF($D1135="","",IF($F1135="",IFERROR(INDEX(Items!$H$5:$H$504,U1135),0),$F1135)),"")</f>
        <v/>
      </c>
      <c r="L1135" s="61" t="str">
        <f aca="false">IF(IsPro,IF($D1135="","",ROUND(N($E1135)*K1135*(1-N($G1135)),2)),"")</f>
        <v/>
      </c>
      <c r="M1135" s="62" t="str">
        <f aca="false">IF(IsPro,IF($D1135="","",IFERROR(INDEX(Items!$F$5:$F$504,U1135),0)),"")</f>
        <v/>
      </c>
      <c r="N1135" s="61" t="str">
        <f aca="false">IF(IsPro,IF($D1135="","",IF(AND(V1135&lt;&gt;"",INDEX(Parties!$E$5:$E$304,V1135)&lt;&gt;"",INDEX(Parties!$E$5:$E$304,V1135)&lt;&gt;HomeState),0,ROUND(L1135*M1135/2,2))),"")</f>
        <v/>
      </c>
      <c r="O1135" s="61" t="str">
        <f aca="false">IF(IsPro,IF($D1135="","",N1135),"")</f>
        <v/>
      </c>
      <c r="P1135" s="61" t="str">
        <f aca="false">IF(IsPro,IF($D1135="","",IF(AND(V1135&lt;&gt;"",INDEX(Parties!$E$5:$E$304,V1135)&lt;&gt;"",INDEX(Parties!$E$5:$E$304,V1135)&lt;&gt;HomeState),ROUND(L1135*M1135,2),0)),"")</f>
        <v/>
      </c>
      <c r="Q1135" s="61" t="str">
        <f aca="false">IF(IsPro,IF($D1135="","",L1135+N1135+O1135+P1135),"")</f>
        <v/>
      </c>
      <c r="R1135" s="61" t="str">
        <f aca="false">IF(IsPro,IF($D1135="","",ROUND(N($E1135)*IFERROR(INDEX(Items!$P$5:$P$504,U1135),0),2)),"")</f>
        <v/>
      </c>
      <c r="S1135" s="61" t="str">
        <f aca="false">IF(IsPro,IF($D1135="","",L1135-R1135),"")</f>
        <v/>
      </c>
      <c r="T1135" s="60" t="str">
        <f aca="false">IF(IsPro,IF($D1135="","",IF(U1135="","UNKNOWN ITEM",IF(INDEX(Items!$O$5:$O$504,U1135)&lt;0,"NEG STOCK",IF(K1135&lt;INDEX(Items!$P$5:$P$504,U1135),"BELOW COST","OK")))),IF($D1135="","","PRO PLAN"))</f>
        <v/>
      </c>
      <c r="U1135" s="60" t="str">
        <f aca="false">IF(IsPro,IF($D1135="","",IFERROR(MATCH($D1135,Items!$A$5:$A$504,0),"")),"")</f>
        <v/>
      </c>
      <c r="V1135" s="60" t="str">
        <f aca="false">IF(IsPro,IF($C1135="","",IFERROR(MATCH($C1135,Parties!$A$5:$A$304,0),"")),"")</f>
        <v/>
      </c>
      <c r="W1135" s="60" t="str">
        <f aca="false">IF(IsPro,IF($B1135="","",IFERROR(VALUE(SUBSTITUTE($B1135,InvPrefix,"")),0)),"")</f>
        <v/>
      </c>
      <c r="X1135" s="61" t="str">
        <f aca="false">IF(IsPro,IF($D1135="","",IF(OR($H1135="",$H1135="Credit"),0,Q1135)),"")</f>
        <v/>
      </c>
    </row>
    <row r="1136" customFormat="false" ht="15" hidden="false" customHeight="false" outlineLevel="0" collapsed="false">
      <c r="A1136" s="55"/>
      <c r="B1136" s="56"/>
      <c r="C1136" s="56"/>
      <c r="D1136" s="56"/>
      <c r="E1136" s="57"/>
      <c r="F1136" s="58"/>
      <c r="G1136" s="59"/>
      <c r="H1136" s="56"/>
      <c r="I1136" s="56"/>
      <c r="J1136" s="60" t="str">
        <f aca="false">IF(IsPro,IF($D1136="","",IFERROR(INDEX(Items!$D$5:$D$504,U1136),"")),"")</f>
        <v/>
      </c>
      <c r="K1136" s="61" t="str">
        <f aca="false">IF(IsPro,IF($D1136="","",IF($F1136="",IFERROR(INDEX(Items!$H$5:$H$504,U1136),0),$F1136)),"")</f>
        <v/>
      </c>
      <c r="L1136" s="61" t="str">
        <f aca="false">IF(IsPro,IF($D1136="","",ROUND(N($E1136)*K1136*(1-N($G1136)),2)),"")</f>
        <v/>
      </c>
      <c r="M1136" s="62" t="str">
        <f aca="false">IF(IsPro,IF($D1136="","",IFERROR(INDEX(Items!$F$5:$F$504,U1136),0)),"")</f>
        <v/>
      </c>
      <c r="N1136" s="61" t="str">
        <f aca="false">IF(IsPro,IF($D1136="","",IF(AND(V1136&lt;&gt;"",INDEX(Parties!$E$5:$E$304,V1136)&lt;&gt;"",INDEX(Parties!$E$5:$E$304,V1136)&lt;&gt;HomeState),0,ROUND(L1136*M1136/2,2))),"")</f>
        <v/>
      </c>
      <c r="O1136" s="61" t="str">
        <f aca="false">IF(IsPro,IF($D1136="","",N1136),"")</f>
        <v/>
      </c>
      <c r="P1136" s="61" t="str">
        <f aca="false">IF(IsPro,IF($D1136="","",IF(AND(V1136&lt;&gt;"",INDEX(Parties!$E$5:$E$304,V1136)&lt;&gt;"",INDEX(Parties!$E$5:$E$304,V1136)&lt;&gt;HomeState),ROUND(L1136*M1136,2),0)),"")</f>
        <v/>
      </c>
      <c r="Q1136" s="61" t="str">
        <f aca="false">IF(IsPro,IF($D1136="","",L1136+N1136+O1136+P1136),"")</f>
        <v/>
      </c>
      <c r="R1136" s="61" t="str">
        <f aca="false">IF(IsPro,IF($D1136="","",ROUND(N($E1136)*IFERROR(INDEX(Items!$P$5:$P$504,U1136),0),2)),"")</f>
        <v/>
      </c>
      <c r="S1136" s="61" t="str">
        <f aca="false">IF(IsPro,IF($D1136="","",L1136-R1136),"")</f>
        <v/>
      </c>
      <c r="T1136" s="60" t="str">
        <f aca="false">IF(IsPro,IF($D1136="","",IF(U1136="","UNKNOWN ITEM",IF(INDEX(Items!$O$5:$O$504,U1136)&lt;0,"NEG STOCK",IF(K1136&lt;INDEX(Items!$P$5:$P$504,U1136),"BELOW COST","OK")))),IF($D1136="","","PRO PLAN"))</f>
        <v/>
      </c>
      <c r="U1136" s="60" t="str">
        <f aca="false">IF(IsPro,IF($D1136="","",IFERROR(MATCH($D1136,Items!$A$5:$A$504,0),"")),"")</f>
        <v/>
      </c>
      <c r="V1136" s="60" t="str">
        <f aca="false">IF(IsPro,IF($C1136="","",IFERROR(MATCH($C1136,Parties!$A$5:$A$304,0),"")),"")</f>
        <v/>
      </c>
      <c r="W1136" s="60" t="str">
        <f aca="false">IF(IsPro,IF($B1136="","",IFERROR(VALUE(SUBSTITUTE($B1136,InvPrefix,"")),0)),"")</f>
        <v/>
      </c>
      <c r="X1136" s="61" t="str">
        <f aca="false">IF(IsPro,IF($D1136="","",IF(OR($H1136="",$H1136="Credit"),0,Q1136)),"")</f>
        <v/>
      </c>
    </row>
    <row r="1137" customFormat="false" ht="15" hidden="false" customHeight="false" outlineLevel="0" collapsed="false">
      <c r="A1137" s="55"/>
      <c r="B1137" s="56"/>
      <c r="C1137" s="56"/>
      <c r="D1137" s="56"/>
      <c r="E1137" s="57"/>
      <c r="F1137" s="58"/>
      <c r="G1137" s="59"/>
      <c r="H1137" s="56"/>
      <c r="I1137" s="56"/>
      <c r="J1137" s="60" t="str">
        <f aca="false">IF(IsPro,IF($D1137="","",IFERROR(INDEX(Items!$D$5:$D$504,U1137),"")),"")</f>
        <v/>
      </c>
      <c r="K1137" s="61" t="str">
        <f aca="false">IF(IsPro,IF($D1137="","",IF($F1137="",IFERROR(INDEX(Items!$H$5:$H$504,U1137),0),$F1137)),"")</f>
        <v/>
      </c>
      <c r="L1137" s="61" t="str">
        <f aca="false">IF(IsPro,IF($D1137="","",ROUND(N($E1137)*K1137*(1-N($G1137)),2)),"")</f>
        <v/>
      </c>
      <c r="M1137" s="62" t="str">
        <f aca="false">IF(IsPro,IF($D1137="","",IFERROR(INDEX(Items!$F$5:$F$504,U1137),0)),"")</f>
        <v/>
      </c>
      <c r="N1137" s="61" t="str">
        <f aca="false">IF(IsPro,IF($D1137="","",IF(AND(V1137&lt;&gt;"",INDEX(Parties!$E$5:$E$304,V1137)&lt;&gt;"",INDEX(Parties!$E$5:$E$304,V1137)&lt;&gt;HomeState),0,ROUND(L1137*M1137/2,2))),"")</f>
        <v/>
      </c>
      <c r="O1137" s="61" t="str">
        <f aca="false">IF(IsPro,IF($D1137="","",N1137),"")</f>
        <v/>
      </c>
      <c r="P1137" s="61" t="str">
        <f aca="false">IF(IsPro,IF($D1137="","",IF(AND(V1137&lt;&gt;"",INDEX(Parties!$E$5:$E$304,V1137)&lt;&gt;"",INDEX(Parties!$E$5:$E$304,V1137)&lt;&gt;HomeState),ROUND(L1137*M1137,2),0)),"")</f>
        <v/>
      </c>
      <c r="Q1137" s="61" t="str">
        <f aca="false">IF(IsPro,IF($D1137="","",L1137+N1137+O1137+P1137),"")</f>
        <v/>
      </c>
      <c r="R1137" s="61" t="str">
        <f aca="false">IF(IsPro,IF($D1137="","",ROUND(N($E1137)*IFERROR(INDEX(Items!$P$5:$P$504,U1137),0),2)),"")</f>
        <v/>
      </c>
      <c r="S1137" s="61" t="str">
        <f aca="false">IF(IsPro,IF($D1137="","",L1137-R1137),"")</f>
        <v/>
      </c>
      <c r="T1137" s="60" t="str">
        <f aca="false">IF(IsPro,IF($D1137="","",IF(U1137="","UNKNOWN ITEM",IF(INDEX(Items!$O$5:$O$504,U1137)&lt;0,"NEG STOCK",IF(K1137&lt;INDEX(Items!$P$5:$P$504,U1137),"BELOW COST","OK")))),IF($D1137="","","PRO PLAN"))</f>
        <v/>
      </c>
      <c r="U1137" s="60" t="str">
        <f aca="false">IF(IsPro,IF($D1137="","",IFERROR(MATCH($D1137,Items!$A$5:$A$504,0),"")),"")</f>
        <v/>
      </c>
      <c r="V1137" s="60" t="str">
        <f aca="false">IF(IsPro,IF($C1137="","",IFERROR(MATCH($C1137,Parties!$A$5:$A$304,0),"")),"")</f>
        <v/>
      </c>
      <c r="W1137" s="60" t="str">
        <f aca="false">IF(IsPro,IF($B1137="","",IFERROR(VALUE(SUBSTITUTE($B1137,InvPrefix,"")),0)),"")</f>
        <v/>
      </c>
      <c r="X1137" s="61" t="str">
        <f aca="false">IF(IsPro,IF($D1137="","",IF(OR($H1137="",$H1137="Credit"),0,Q1137)),"")</f>
        <v/>
      </c>
    </row>
    <row r="1138" customFormat="false" ht="15" hidden="false" customHeight="false" outlineLevel="0" collapsed="false">
      <c r="A1138" s="55"/>
      <c r="B1138" s="56"/>
      <c r="C1138" s="56"/>
      <c r="D1138" s="56"/>
      <c r="E1138" s="57"/>
      <c r="F1138" s="58"/>
      <c r="G1138" s="59"/>
      <c r="H1138" s="56"/>
      <c r="I1138" s="56"/>
      <c r="J1138" s="60" t="str">
        <f aca="false">IF(IsPro,IF($D1138="","",IFERROR(INDEX(Items!$D$5:$D$504,U1138),"")),"")</f>
        <v/>
      </c>
      <c r="K1138" s="61" t="str">
        <f aca="false">IF(IsPro,IF($D1138="","",IF($F1138="",IFERROR(INDEX(Items!$H$5:$H$504,U1138),0),$F1138)),"")</f>
        <v/>
      </c>
      <c r="L1138" s="61" t="str">
        <f aca="false">IF(IsPro,IF($D1138="","",ROUND(N($E1138)*K1138*(1-N($G1138)),2)),"")</f>
        <v/>
      </c>
      <c r="M1138" s="62" t="str">
        <f aca="false">IF(IsPro,IF($D1138="","",IFERROR(INDEX(Items!$F$5:$F$504,U1138),0)),"")</f>
        <v/>
      </c>
      <c r="N1138" s="61" t="str">
        <f aca="false">IF(IsPro,IF($D1138="","",IF(AND(V1138&lt;&gt;"",INDEX(Parties!$E$5:$E$304,V1138)&lt;&gt;"",INDEX(Parties!$E$5:$E$304,V1138)&lt;&gt;HomeState),0,ROUND(L1138*M1138/2,2))),"")</f>
        <v/>
      </c>
      <c r="O1138" s="61" t="str">
        <f aca="false">IF(IsPro,IF($D1138="","",N1138),"")</f>
        <v/>
      </c>
      <c r="P1138" s="61" t="str">
        <f aca="false">IF(IsPro,IF($D1138="","",IF(AND(V1138&lt;&gt;"",INDEX(Parties!$E$5:$E$304,V1138)&lt;&gt;"",INDEX(Parties!$E$5:$E$304,V1138)&lt;&gt;HomeState),ROUND(L1138*M1138,2),0)),"")</f>
        <v/>
      </c>
      <c r="Q1138" s="61" t="str">
        <f aca="false">IF(IsPro,IF($D1138="","",L1138+N1138+O1138+P1138),"")</f>
        <v/>
      </c>
      <c r="R1138" s="61" t="str">
        <f aca="false">IF(IsPro,IF($D1138="","",ROUND(N($E1138)*IFERROR(INDEX(Items!$P$5:$P$504,U1138),0),2)),"")</f>
        <v/>
      </c>
      <c r="S1138" s="61" t="str">
        <f aca="false">IF(IsPro,IF($D1138="","",L1138-R1138),"")</f>
        <v/>
      </c>
      <c r="T1138" s="60" t="str">
        <f aca="false">IF(IsPro,IF($D1138="","",IF(U1138="","UNKNOWN ITEM",IF(INDEX(Items!$O$5:$O$504,U1138)&lt;0,"NEG STOCK",IF(K1138&lt;INDEX(Items!$P$5:$P$504,U1138),"BELOW COST","OK")))),IF($D1138="","","PRO PLAN"))</f>
        <v/>
      </c>
      <c r="U1138" s="60" t="str">
        <f aca="false">IF(IsPro,IF($D1138="","",IFERROR(MATCH($D1138,Items!$A$5:$A$504,0),"")),"")</f>
        <v/>
      </c>
      <c r="V1138" s="60" t="str">
        <f aca="false">IF(IsPro,IF($C1138="","",IFERROR(MATCH($C1138,Parties!$A$5:$A$304,0),"")),"")</f>
        <v/>
      </c>
      <c r="W1138" s="60" t="str">
        <f aca="false">IF(IsPro,IF($B1138="","",IFERROR(VALUE(SUBSTITUTE($B1138,InvPrefix,"")),0)),"")</f>
        <v/>
      </c>
      <c r="X1138" s="61" t="str">
        <f aca="false">IF(IsPro,IF($D1138="","",IF(OR($H1138="",$H1138="Credit"),0,Q1138)),"")</f>
        <v/>
      </c>
    </row>
    <row r="1139" customFormat="false" ht="15" hidden="false" customHeight="false" outlineLevel="0" collapsed="false">
      <c r="A1139" s="55"/>
      <c r="B1139" s="56"/>
      <c r="C1139" s="56"/>
      <c r="D1139" s="56"/>
      <c r="E1139" s="57"/>
      <c r="F1139" s="58"/>
      <c r="G1139" s="59"/>
      <c r="H1139" s="56"/>
      <c r="I1139" s="56"/>
      <c r="J1139" s="60" t="str">
        <f aca="false">IF(IsPro,IF($D1139="","",IFERROR(INDEX(Items!$D$5:$D$504,U1139),"")),"")</f>
        <v/>
      </c>
      <c r="K1139" s="61" t="str">
        <f aca="false">IF(IsPro,IF($D1139="","",IF($F1139="",IFERROR(INDEX(Items!$H$5:$H$504,U1139),0),$F1139)),"")</f>
        <v/>
      </c>
      <c r="L1139" s="61" t="str">
        <f aca="false">IF(IsPro,IF($D1139="","",ROUND(N($E1139)*K1139*(1-N($G1139)),2)),"")</f>
        <v/>
      </c>
      <c r="M1139" s="62" t="str">
        <f aca="false">IF(IsPro,IF($D1139="","",IFERROR(INDEX(Items!$F$5:$F$504,U1139),0)),"")</f>
        <v/>
      </c>
      <c r="N1139" s="61" t="str">
        <f aca="false">IF(IsPro,IF($D1139="","",IF(AND(V1139&lt;&gt;"",INDEX(Parties!$E$5:$E$304,V1139)&lt;&gt;"",INDEX(Parties!$E$5:$E$304,V1139)&lt;&gt;HomeState),0,ROUND(L1139*M1139/2,2))),"")</f>
        <v/>
      </c>
      <c r="O1139" s="61" t="str">
        <f aca="false">IF(IsPro,IF($D1139="","",N1139),"")</f>
        <v/>
      </c>
      <c r="P1139" s="61" t="str">
        <f aca="false">IF(IsPro,IF($D1139="","",IF(AND(V1139&lt;&gt;"",INDEX(Parties!$E$5:$E$304,V1139)&lt;&gt;"",INDEX(Parties!$E$5:$E$304,V1139)&lt;&gt;HomeState),ROUND(L1139*M1139,2),0)),"")</f>
        <v/>
      </c>
      <c r="Q1139" s="61" t="str">
        <f aca="false">IF(IsPro,IF($D1139="","",L1139+N1139+O1139+P1139),"")</f>
        <v/>
      </c>
      <c r="R1139" s="61" t="str">
        <f aca="false">IF(IsPro,IF($D1139="","",ROUND(N($E1139)*IFERROR(INDEX(Items!$P$5:$P$504,U1139),0),2)),"")</f>
        <v/>
      </c>
      <c r="S1139" s="61" t="str">
        <f aca="false">IF(IsPro,IF($D1139="","",L1139-R1139),"")</f>
        <v/>
      </c>
      <c r="T1139" s="60" t="str">
        <f aca="false">IF(IsPro,IF($D1139="","",IF(U1139="","UNKNOWN ITEM",IF(INDEX(Items!$O$5:$O$504,U1139)&lt;0,"NEG STOCK",IF(K1139&lt;INDEX(Items!$P$5:$P$504,U1139),"BELOW COST","OK")))),IF($D1139="","","PRO PLAN"))</f>
        <v/>
      </c>
      <c r="U1139" s="60" t="str">
        <f aca="false">IF(IsPro,IF($D1139="","",IFERROR(MATCH($D1139,Items!$A$5:$A$504,0),"")),"")</f>
        <v/>
      </c>
      <c r="V1139" s="60" t="str">
        <f aca="false">IF(IsPro,IF($C1139="","",IFERROR(MATCH($C1139,Parties!$A$5:$A$304,0),"")),"")</f>
        <v/>
      </c>
      <c r="W1139" s="60" t="str">
        <f aca="false">IF(IsPro,IF($B1139="","",IFERROR(VALUE(SUBSTITUTE($B1139,InvPrefix,"")),0)),"")</f>
        <v/>
      </c>
      <c r="X1139" s="61" t="str">
        <f aca="false">IF(IsPro,IF($D1139="","",IF(OR($H1139="",$H1139="Credit"),0,Q1139)),"")</f>
        <v/>
      </c>
    </row>
    <row r="1140" customFormat="false" ht="15" hidden="false" customHeight="false" outlineLevel="0" collapsed="false">
      <c r="A1140" s="55"/>
      <c r="B1140" s="56"/>
      <c r="C1140" s="56"/>
      <c r="D1140" s="56"/>
      <c r="E1140" s="57"/>
      <c r="F1140" s="58"/>
      <c r="G1140" s="59"/>
      <c r="H1140" s="56"/>
      <c r="I1140" s="56"/>
      <c r="J1140" s="60" t="str">
        <f aca="false">IF(IsPro,IF($D1140="","",IFERROR(INDEX(Items!$D$5:$D$504,U1140),"")),"")</f>
        <v/>
      </c>
      <c r="K1140" s="61" t="str">
        <f aca="false">IF(IsPro,IF($D1140="","",IF($F1140="",IFERROR(INDEX(Items!$H$5:$H$504,U1140),0),$F1140)),"")</f>
        <v/>
      </c>
      <c r="L1140" s="61" t="str">
        <f aca="false">IF(IsPro,IF($D1140="","",ROUND(N($E1140)*K1140*(1-N($G1140)),2)),"")</f>
        <v/>
      </c>
      <c r="M1140" s="62" t="str">
        <f aca="false">IF(IsPro,IF($D1140="","",IFERROR(INDEX(Items!$F$5:$F$504,U1140),0)),"")</f>
        <v/>
      </c>
      <c r="N1140" s="61" t="str">
        <f aca="false">IF(IsPro,IF($D1140="","",IF(AND(V1140&lt;&gt;"",INDEX(Parties!$E$5:$E$304,V1140)&lt;&gt;"",INDEX(Parties!$E$5:$E$304,V1140)&lt;&gt;HomeState),0,ROUND(L1140*M1140/2,2))),"")</f>
        <v/>
      </c>
      <c r="O1140" s="61" t="str">
        <f aca="false">IF(IsPro,IF($D1140="","",N1140),"")</f>
        <v/>
      </c>
      <c r="P1140" s="61" t="str">
        <f aca="false">IF(IsPro,IF($D1140="","",IF(AND(V1140&lt;&gt;"",INDEX(Parties!$E$5:$E$304,V1140)&lt;&gt;"",INDEX(Parties!$E$5:$E$304,V1140)&lt;&gt;HomeState),ROUND(L1140*M1140,2),0)),"")</f>
        <v/>
      </c>
      <c r="Q1140" s="61" t="str">
        <f aca="false">IF(IsPro,IF($D1140="","",L1140+N1140+O1140+P1140),"")</f>
        <v/>
      </c>
      <c r="R1140" s="61" t="str">
        <f aca="false">IF(IsPro,IF($D1140="","",ROUND(N($E1140)*IFERROR(INDEX(Items!$P$5:$P$504,U1140),0),2)),"")</f>
        <v/>
      </c>
      <c r="S1140" s="61" t="str">
        <f aca="false">IF(IsPro,IF($D1140="","",L1140-R1140),"")</f>
        <v/>
      </c>
      <c r="T1140" s="60" t="str">
        <f aca="false">IF(IsPro,IF($D1140="","",IF(U1140="","UNKNOWN ITEM",IF(INDEX(Items!$O$5:$O$504,U1140)&lt;0,"NEG STOCK",IF(K1140&lt;INDEX(Items!$P$5:$P$504,U1140),"BELOW COST","OK")))),IF($D1140="","","PRO PLAN"))</f>
        <v/>
      </c>
      <c r="U1140" s="60" t="str">
        <f aca="false">IF(IsPro,IF($D1140="","",IFERROR(MATCH($D1140,Items!$A$5:$A$504,0),"")),"")</f>
        <v/>
      </c>
      <c r="V1140" s="60" t="str">
        <f aca="false">IF(IsPro,IF($C1140="","",IFERROR(MATCH($C1140,Parties!$A$5:$A$304,0),"")),"")</f>
        <v/>
      </c>
      <c r="W1140" s="60" t="str">
        <f aca="false">IF(IsPro,IF($B1140="","",IFERROR(VALUE(SUBSTITUTE($B1140,InvPrefix,"")),0)),"")</f>
        <v/>
      </c>
      <c r="X1140" s="61" t="str">
        <f aca="false">IF(IsPro,IF($D1140="","",IF(OR($H1140="",$H1140="Credit"),0,Q1140)),"")</f>
        <v/>
      </c>
    </row>
    <row r="1141" customFormat="false" ht="15" hidden="false" customHeight="false" outlineLevel="0" collapsed="false">
      <c r="A1141" s="55"/>
      <c r="B1141" s="56"/>
      <c r="C1141" s="56"/>
      <c r="D1141" s="56"/>
      <c r="E1141" s="57"/>
      <c r="F1141" s="58"/>
      <c r="G1141" s="59"/>
      <c r="H1141" s="56"/>
      <c r="I1141" s="56"/>
      <c r="J1141" s="60" t="str">
        <f aca="false">IF(IsPro,IF($D1141="","",IFERROR(INDEX(Items!$D$5:$D$504,U1141),"")),"")</f>
        <v/>
      </c>
      <c r="K1141" s="61" t="str">
        <f aca="false">IF(IsPro,IF($D1141="","",IF($F1141="",IFERROR(INDEX(Items!$H$5:$H$504,U1141),0),$F1141)),"")</f>
        <v/>
      </c>
      <c r="L1141" s="61" t="str">
        <f aca="false">IF(IsPro,IF($D1141="","",ROUND(N($E1141)*K1141*(1-N($G1141)),2)),"")</f>
        <v/>
      </c>
      <c r="M1141" s="62" t="str">
        <f aca="false">IF(IsPro,IF($D1141="","",IFERROR(INDEX(Items!$F$5:$F$504,U1141),0)),"")</f>
        <v/>
      </c>
      <c r="N1141" s="61" t="str">
        <f aca="false">IF(IsPro,IF($D1141="","",IF(AND(V1141&lt;&gt;"",INDEX(Parties!$E$5:$E$304,V1141)&lt;&gt;"",INDEX(Parties!$E$5:$E$304,V1141)&lt;&gt;HomeState),0,ROUND(L1141*M1141/2,2))),"")</f>
        <v/>
      </c>
      <c r="O1141" s="61" t="str">
        <f aca="false">IF(IsPro,IF($D1141="","",N1141),"")</f>
        <v/>
      </c>
      <c r="P1141" s="61" t="str">
        <f aca="false">IF(IsPro,IF($D1141="","",IF(AND(V1141&lt;&gt;"",INDEX(Parties!$E$5:$E$304,V1141)&lt;&gt;"",INDEX(Parties!$E$5:$E$304,V1141)&lt;&gt;HomeState),ROUND(L1141*M1141,2),0)),"")</f>
        <v/>
      </c>
      <c r="Q1141" s="61" t="str">
        <f aca="false">IF(IsPro,IF($D1141="","",L1141+N1141+O1141+P1141),"")</f>
        <v/>
      </c>
      <c r="R1141" s="61" t="str">
        <f aca="false">IF(IsPro,IF($D1141="","",ROUND(N($E1141)*IFERROR(INDEX(Items!$P$5:$P$504,U1141),0),2)),"")</f>
        <v/>
      </c>
      <c r="S1141" s="61" t="str">
        <f aca="false">IF(IsPro,IF($D1141="","",L1141-R1141),"")</f>
        <v/>
      </c>
      <c r="T1141" s="60" t="str">
        <f aca="false">IF(IsPro,IF($D1141="","",IF(U1141="","UNKNOWN ITEM",IF(INDEX(Items!$O$5:$O$504,U1141)&lt;0,"NEG STOCK",IF(K1141&lt;INDEX(Items!$P$5:$P$504,U1141),"BELOW COST","OK")))),IF($D1141="","","PRO PLAN"))</f>
        <v/>
      </c>
      <c r="U1141" s="60" t="str">
        <f aca="false">IF(IsPro,IF($D1141="","",IFERROR(MATCH($D1141,Items!$A$5:$A$504,0),"")),"")</f>
        <v/>
      </c>
      <c r="V1141" s="60" t="str">
        <f aca="false">IF(IsPro,IF($C1141="","",IFERROR(MATCH($C1141,Parties!$A$5:$A$304,0),"")),"")</f>
        <v/>
      </c>
      <c r="W1141" s="60" t="str">
        <f aca="false">IF(IsPro,IF($B1141="","",IFERROR(VALUE(SUBSTITUTE($B1141,InvPrefix,"")),0)),"")</f>
        <v/>
      </c>
      <c r="X1141" s="61" t="str">
        <f aca="false">IF(IsPro,IF($D1141="","",IF(OR($H1141="",$H1141="Credit"),0,Q1141)),"")</f>
        <v/>
      </c>
    </row>
    <row r="1142" customFormat="false" ht="15" hidden="false" customHeight="false" outlineLevel="0" collapsed="false">
      <c r="A1142" s="55"/>
      <c r="B1142" s="56"/>
      <c r="C1142" s="56"/>
      <c r="D1142" s="56"/>
      <c r="E1142" s="57"/>
      <c r="F1142" s="58"/>
      <c r="G1142" s="59"/>
      <c r="H1142" s="56"/>
      <c r="I1142" s="56"/>
      <c r="J1142" s="60" t="str">
        <f aca="false">IF(IsPro,IF($D1142="","",IFERROR(INDEX(Items!$D$5:$D$504,U1142),"")),"")</f>
        <v/>
      </c>
      <c r="K1142" s="61" t="str">
        <f aca="false">IF(IsPro,IF($D1142="","",IF($F1142="",IFERROR(INDEX(Items!$H$5:$H$504,U1142),0),$F1142)),"")</f>
        <v/>
      </c>
      <c r="L1142" s="61" t="str">
        <f aca="false">IF(IsPro,IF($D1142="","",ROUND(N($E1142)*K1142*(1-N($G1142)),2)),"")</f>
        <v/>
      </c>
      <c r="M1142" s="62" t="str">
        <f aca="false">IF(IsPro,IF($D1142="","",IFERROR(INDEX(Items!$F$5:$F$504,U1142),0)),"")</f>
        <v/>
      </c>
      <c r="N1142" s="61" t="str">
        <f aca="false">IF(IsPro,IF($D1142="","",IF(AND(V1142&lt;&gt;"",INDEX(Parties!$E$5:$E$304,V1142)&lt;&gt;"",INDEX(Parties!$E$5:$E$304,V1142)&lt;&gt;HomeState),0,ROUND(L1142*M1142/2,2))),"")</f>
        <v/>
      </c>
      <c r="O1142" s="61" t="str">
        <f aca="false">IF(IsPro,IF($D1142="","",N1142),"")</f>
        <v/>
      </c>
      <c r="P1142" s="61" t="str">
        <f aca="false">IF(IsPro,IF($D1142="","",IF(AND(V1142&lt;&gt;"",INDEX(Parties!$E$5:$E$304,V1142)&lt;&gt;"",INDEX(Parties!$E$5:$E$304,V1142)&lt;&gt;HomeState),ROUND(L1142*M1142,2),0)),"")</f>
        <v/>
      </c>
      <c r="Q1142" s="61" t="str">
        <f aca="false">IF(IsPro,IF($D1142="","",L1142+N1142+O1142+P1142),"")</f>
        <v/>
      </c>
      <c r="R1142" s="61" t="str">
        <f aca="false">IF(IsPro,IF($D1142="","",ROUND(N($E1142)*IFERROR(INDEX(Items!$P$5:$P$504,U1142),0),2)),"")</f>
        <v/>
      </c>
      <c r="S1142" s="61" t="str">
        <f aca="false">IF(IsPro,IF($D1142="","",L1142-R1142),"")</f>
        <v/>
      </c>
      <c r="T1142" s="60" t="str">
        <f aca="false">IF(IsPro,IF($D1142="","",IF(U1142="","UNKNOWN ITEM",IF(INDEX(Items!$O$5:$O$504,U1142)&lt;0,"NEG STOCK",IF(K1142&lt;INDEX(Items!$P$5:$P$504,U1142),"BELOW COST","OK")))),IF($D1142="","","PRO PLAN"))</f>
        <v/>
      </c>
      <c r="U1142" s="60" t="str">
        <f aca="false">IF(IsPro,IF($D1142="","",IFERROR(MATCH($D1142,Items!$A$5:$A$504,0),"")),"")</f>
        <v/>
      </c>
      <c r="V1142" s="60" t="str">
        <f aca="false">IF(IsPro,IF($C1142="","",IFERROR(MATCH($C1142,Parties!$A$5:$A$304,0),"")),"")</f>
        <v/>
      </c>
      <c r="W1142" s="60" t="str">
        <f aca="false">IF(IsPro,IF($B1142="","",IFERROR(VALUE(SUBSTITUTE($B1142,InvPrefix,"")),0)),"")</f>
        <v/>
      </c>
      <c r="X1142" s="61" t="str">
        <f aca="false">IF(IsPro,IF($D1142="","",IF(OR($H1142="",$H1142="Credit"),0,Q1142)),"")</f>
        <v/>
      </c>
    </row>
    <row r="1143" customFormat="false" ht="15" hidden="false" customHeight="false" outlineLevel="0" collapsed="false">
      <c r="A1143" s="55"/>
      <c r="B1143" s="56"/>
      <c r="C1143" s="56"/>
      <c r="D1143" s="56"/>
      <c r="E1143" s="57"/>
      <c r="F1143" s="58"/>
      <c r="G1143" s="59"/>
      <c r="H1143" s="56"/>
      <c r="I1143" s="56"/>
      <c r="J1143" s="60" t="str">
        <f aca="false">IF(IsPro,IF($D1143="","",IFERROR(INDEX(Items!$D$5:$D$504,U1143),"")),"")</f>
        <v/>
      </c>
      <c r="K1143" s="61" t="str">
        <f aca="false">IF(IsPro,IF($D1143="","",IF($F1143="",IFERROR(INDEX(Items!$H$5:$H$504,U1143),0),$F1143)),"")</f>
        <v/>
      </c>
      <c r="L1143" s="61" t="str">
        <f aca="false">IF(IsPro,IF($D1143="","",ROUND(N($E1143)*K1143*(1-N($G1143)),2)),"")</f>
        <v/>
      </c>
      <c r="M1143" s="62" t="str">
        <f aca="false">IF(IsPro,IF($D1143="","",IFERROR(INDEX(Items!$F$5:$F$504,U1143),0)),"")</f>
        <v/>
      </c>
      <c r="N1143" s="61" t="str">
        <f aca="false">IF(IsPro,IF($D1143="","",IF(AND(V1143&lt;&gt;"",INDEX(Parties!$E$5:$E$304,V1143)&lt;&gt;"",INDEX(Parties!$E$5:$E$304,V1143)&lt;&gt;HomeState),0,ROUND(L1143*M1143/2,2))),"")</f>
        <v/>
      </c>
      <c r="O1143" s="61" t="str">
        <f aca="false">IF(IsPro,IF($D1143="","",N1143),"")</f>
        <v/>
      </c>
      <c r="P1143" s="61" t="str">
        <f aca="false">IF(IsPro,IF($D1143="","",IF(AND(V1143&lt;&gt;"",INDEX(Parties!$E$5:$E$304,V1143)&lt;&gt;"",INDEX(Parties!$E$5:$E$304,V1143)&lt;&gt;HomeState),ROUND(L1143*M1143,2),0)),"")</f>
        <v/>
      </c>
      <c r="Q1143" s="61" t="str">
        <f aca="false">IF(IsPro,IF($D1143="","",L1143+N1143+O1143+P1143),"")</f>
        <v/>
      </c>
      <c r="R1143" s="61" t="str">
        <f aca="false">IF(IsPro,IF($D1143="","",ROUND(N($E1143)*IFERROR(INDEX(Items!$P$5:$P$504,U1143),0),2)),"")</f>
        <v/>
      </c>
      <c r="S1143" s="61" t="str">
        <f aca="false">IF(IsPro,IF($D1143="","",L1143-R1143),"")</f>
        <v/>
      </c>
      <c r="T1143" s="60" t="str">
        <f aca="false">IF(IsPro,IF($D1143="","",IF(U1143="","UNKNOWN ITEM",IF(INDEX(Items!$O$5:$O$504,U1143)&lt;0,"NEG STOCK",IF(K1143&lt;INDEX(Items!$P$5:$P$504,U1143),"BELOW COST","OK")))),IF($D1143="","","PRO PLAN"))</f>
        <v/>
      </c>
      <c r="U1143" s="60" t="str">
        <f aca="false">IF(IsPro,IF($D1143="","",IFERROR(MATCH($D1143,Items!$A$5:$A$504,0),"")),"")</f>
        <v/>
      </c>
      <c r="V1143" s="60" t="str">
        <f aca="false">IF(IsPro,IF($C1143="","",IFERROR(MATCH($C1143,Parties!$A$5:$A$304,0),"")),"")</f>
        <v/>
      </c>
      <c r="W1143" s="60" t="str">
        <f aca="false">IF(IsPro,IF($B1143="","",IFERROR(VALUE(SUBSTITUTE($B1143,InvPrefix,"")),0)),"")</f>
        <v/>
      </c>
      <c r="X1143" s="61" t="str">
        <f aca="false">IF(IsPro,IF($D1143="","",IF(OR($H1143="",$H1143="Credit"),0,Q1143)),"")</f>
        <v/>
      </c>
    </row>
    <row r="1144" customFormat="false" ht="15" hidden="false" customHeight="false" outlineLevel="0" collapsed="false">
      <c r="A1144" s="55"/>
      <c r="B1144" s="56"/>
      <c r="C1144" s="56"/>
      <c r="D1144" s="56"/>
      <c r="E1144" s="57"/>
      <c r="F1144" s="58"/>
      <c r="G1144" s="59"/>
      <c r="H1144" s="56"/>
      <c r="I1144" s="56"/>
      <c r="J1144" s="60" t="str">
        <f aca="false">IF(IsPro,IF($D1144="","",IFERROR(INDEX(Items!$D$5:$D$504,U1144),"")),"")</f>
        <v/>
      </c>
      <c r="K1144" s="61" t="str">
        <f aca="false">IF(IsPro,IF($D1144="","",IF($F1144="",IFERROR(INDEX(Items!$H$5:$H$504,U1144),0),$F1144)),"")</f>
        <v/>
      </c>
      <c r="L1144" s="61" t="str">
        <f aca="false">IF(IsPro,IF($D1144="","",ROUND(N($E1144)*K1144*(1-N($G1144)),2)),"")</f>
        <v/>
      </c>
      <c r="M1144" s="62" t="str">
        <f aca="false">IF(IsPro,IF($D1144="","",IFERROR(INDEX(Items!$F$5:$F$504,U1144),0)),"")</f>
        <v/>
      </c>
      <c r="N1144" s="61" t="str">
        <f aca="false">IF(IsPro,IF($D1144="","",IF(AND(V1144&lt;&gt;"",INDEX(Parties!$E$5:$E$304,V1144)&lt;&gt;"",INDEX(Parties!$E$5:$E$304,V1144)&lt;&gt;HomeState),0,ROUND(L1144*M1144/2,2))),"")</f>
        <v/>
      </c>
      <c r="O1144" s="61" t="str">
        <f aca="false">IF(IsPro,IF($D1144="","",N1144),"")</f>
        <v/>
      </c>
      <c r="P1144" s="61" t="str">
        <f aca="false">IF(IsPro,IF($D1144="","",IF(AND(V1144&lt;&gt;"",INDEX(Parties!$E$5:$E$304,V1144)&lt;&gt;"",INDEX(Parties!$E$5:$E$304,V1144)&lt;&gt;HomeState),ROUND(L1144*M1144,2),0)),"")</f>
        <v/>
      </c>
      <c r="Q1144" s="61" t="str">
        <f aca="false">IF(IsPro,IF($D1144="","",L1144+N1144+O1144+P1144),"")</f>
        <v/>
      </c>
      <c r="R1144" s="61" t="str">
        <f aca="false">IF(IsPro,IF($D1144="","",ROUND(N($E1144)*IFERROR(INDEX(Items!$P$5:$P$504,U1144),0),2)),"")</f>
        <v/>
      </c>
      <c r="S1144" s="61" t="str">
        <f aca="false">IF(IsPro,IF($D1144="","",L1144-R1144),"")</f>
        <v/>
      </c>
      <c r="T1144" s="60" t="str">
        <f aca="false">IF(IsPro,IF($D1144="","",IF(U1144="","UNKNOWN ITEM",IF(INDEX(Items!$O$5:$O$504,U1144)&lt;0,"NEG STOCK",IF(K1144&lt;INDEX(Items!$P$5:$P$504,U1144),"BELOW COST","OK")))),IF($D1144="","","PRO PLAN"))</f>
        <v/>
      </c>
      <c r="U1144" s="60" t="str">
        <f aca="false">IF(IsPro,IF($D1144="","",IFERROR(MATCH($D1144,Items!$A$5:$A$504,0),"")),"")</f>
        <v/>
      </c>
      <c r="V1144" s="60" t="str">
        <f aca="false">IF(IsPro,IF($C1144="","",IFERROR(MATCH($C1144,Parties!$A$5:$A$304,0),"")),"")</f>
        <v/>
      </c>
      <c r="W1144" s="60" t="str">
        <f aca="false">IF(IsPro,IF($B1144="","",IFERROR(VALUE(SUBSTITUTE($B1144,InvPrefix,"")),0)),"")</f>
        <v/>
      </c>
      <c r="X1144" s="61" t="str">
        <f aca="false">IF(IsPro,IF($D1144="","",IF(OR($H1144="",$H1144="Credit"),0,Q1144)),"")</f>
        <v/>
      </c>
    </row>
    <row r="1145" customFormat="false" ht="15" hidden="false" customHeight="false" outlineLevel="0" collapsed="false">
      <c r="A1145" s="55"/>
      <c r="B1145" s="56"/>
      <c r="C1145" s="56"/>
      <c r="D1145" s="56"/>
      <c r="E1145" s="57"/>
      <c r="F1145" s="58"/>
      <c r="G1145" s="59"/>
      <c r="H1145" s="56"/>
      <c r="I1145" s="56"/>
      <c r="J1145" s="60" t="str">
        <f aca="false">IF(IsPro,IF($D1145="","",IFERROR(INDEX(Items!$D$5:$D$504,U1145),"")),"")</f>
        <v/>
      </c>
      <c r="K1145" s="61" t="str">
        <f aca="false">IF(IsPro,IF($D1145="","",IF($F1145="",IFERROR(INDEX(Items!$H$5:$H$504,U1145),0),$F1145)),"")</f>
        <v/>
      </c>
      <c r="L1145" s="61" t="str">
        <f aca="false">IF(IsPro,IF($D1145="","",ROUND(N($E1145)*K1145*(1-N($G1145)),2)),"")</f>
        <v/>
      </c>
      <c r="M1145" s="62" t="str">
        <f aca="false">IF(IsPro,IF($D1145="","",IFERROR(INDEX(Items!$F$5:$F$504,U1145),0)),"")</f>
        <v/>
      </c>
      <c r="N1145" s="61" t="str">
        <f aca="false">IF(IsPro,IF($D1145="","",IF(AND(V1145&lt;&gt;"",INDEX(Parties!$E$5:$E$304,V1145)&lt;&gt;"",INDEX(Parties!$E$5:$E$304,V1145)&lt;&gt;HomeState),0,ROUND(L1145*M1145/2,2))),"")</f>
        <v/>
      </c>
      <c r="O1145" s="61" t="str">
        <f aca="false">IF(IsPro,IF($D1145="","",N1145),"")</f>
        <v/>
      </c>
      <c r="P1145" s="61" t="str">
        <f aca="false">IF(IsPro,IF($D1145="","",IF(AND(V1145&lt;&gt;"",INDEX(Parties!$E$5:$E$304,V1145)&lt;&gt;"",INDEX(Parties!$E$5:$E$304,V1145)&lt;&gt;HomeState),ROUND(L1145*M1145,2),0)),"")</f>
        <v/>
      </c>
      <c r="Q1145" s="61" t="str">
        <f aca="false">IF(IsPro,IF($D1145="","",L1145+N1145+O1145+P1145),"")</f>
        <v/>
      </c>
      <c r="R1145" s="61" t="str">
        <f aca="false">IF(IsPro,IF($D1145="","",ROUND(N($E1145)*IFERROR(INDEX(Items!$P$5:$P$504,U1145),0),2)),"")</f>
        <v/>
      </c>
      <c r="S1145" s="61" t="str">
        <f aca="false">IF(IsPro,IF($D1145="","",L1145-R1145),"")</f>
        <v/>
      </c>
      <c r="T1145" s="60" t="str">
        <f aca="false">IF(IsPro,IF($D1145="","",IF(U1145="","UNKNOWN ITEM",IF(INDEX(Items!$O$5:$O$504,U1145)&lt;0,"NEG STOCK",IF(K1145&lt;INDEX(Items!$P$5:$P$504,U1145),"BELOW COST","OK")))),IF($D1145="","","PRO PLAN"))</f>
        <v/>
      </c>
      <c r="U1145" s="60" t="str">
        <f aca="false">IF(IsPro,IF($D1145="","",IFERROR(MATCH($D1145,Items!$A$5:$A$504,0),"")),"")</f>
        <v/>
      </c>
      <c r="V1145" s="60" t="str">
        <f aca="false">IF(IsPro,IF($C1145="","",IFERROR(MATCH($C1145,Parties!$A$5:$A$304,0),"")),"")</f>
        <v/>
      </c>
      <c r="W1145" s="60" t="str">
        <f aca="false">IF(IsPro,IF($B1145="","",IFERROR(VALUE(SUBSTITUTE($B1145,InvPrefix,"")),0)),"")</f>
        <v/>
      </c>
      <c r="X1145" s="61" t="str">
        <f aca="false">IF(IsPro,IF($D1145="","",IF(OR($H1145="",$H1145="Credit"),0,Q1145)),"")</f>
        <v/>
      </c>
    </row>
    <row r="1146" customFormat="false" ht="15" hidden="false" customHeight="false" outlineLevel="0" collapsed="false">
      <c r="A1146" s="55"/>
      <c r="B1146" s="56"/>
      <c r="C1146" s="56"/>
      <c r="D1146" s="56"/>
      <c r="E1146" s="57"/>
      <c r="F1146" s="58"/>
      <c r="G1146" s="59"/>
      <c r="H1146" s="56"/>
      <c r="I1146" s="56"/>
      <c r="J1146" s="60" t="str">
        <f aca="false">IF(IsPro,IF($D1146="","",IFERROR(INDEX(Items!$D$5:$D$504,U1146),"")),"")</f>
        <v/>
      </c>
      <c r="K1146" s="61" t="str">
        <f aca="false">IF(IsPro,IF($D1146="","",IF($F1146="",IFERROR(INDEX(Items!$H$5:$H$504,U1146),0),$F1146)),"")</f>
        <v/>
      </c>
      <c r="L1146" s="61" t="str">
        <f aca="false">IF(IsPro,IF($D1146="","",ROUND(N($E1146)*K1146*(1-N($G1146)),2)),"")</f>
        <v/>
      </c>
      <c r="M1146" s="62" t="str">
        <f aca="false">IF(IsPro,IF($D1146="","",IFERROR(INDEX(Items!$F$5:$F$504,U1146),0)),"")</f>
        <v/>
      </c>
      <c r="N1146" s="61" t="str">
        <f aca="false">IF(IsPro,IF($D1146="","",IF(AND(V1146&lt;&gt;"",INDEX(Parties!$E$5:$E$304,V1146)&lt;&gt;"",INDEX(Parties!$E$5:$E$304,V1146)&lt;&gt;HomeState),0,ROUND(L1146*M1146/2,2))),"")</f>
        <v/>
      </c>
      <c r="O1146" s="61" t="str">
        <f aca="false">IF(IsPro,IF($D1146="","",N1146),"")</f>
        <v/>
      </c>
      <c r="P1146" s="61" t="str">
        <f aca="false">IF(IsPro,IF($D1146="","",IF(AND(V1146&lt;&gt;"",INDEX(Parties!$E$5:$E$304,V1146)&lt;&gt;"",INDEX(Parties!$E$5:$E$304,V1146)&lt;&gt;HomeState),ROUND(L1146*M1146,2),0)),"")</f>
        <v/>
      </c>
      <c r="Q1146" s="61" t="str">
        <f aca="false">IF(IsPro,IF($D1146="","",L1146+N1146+O1146+P1146),"")</f>
        <v/>
      </c>
      <c r="R1146" s="61" t="str">
        <f aca="false">IF(IsPro,IF($D1146="","",ROUND(N($E1146)*IFERROR(INDEX(Items!$P$5:$P$504,U1146),0),2)),"")</f>
        <v/>
      </c>
      <c r="S1146" s="61" t="str">
        <f aca="false">IF(IsPro,IF($D1146="","",L1146-R1146),"")</f>
        <v/>
      </c>
      <c r="T1146" s="60" t="str">
        <f aca="false">IF(IsPro,IF($D1146="","",IF(U1146="","UNKNOWN ITEM",IF(INDEX(Items!$O$5:$O$504,U1146)&lt;0,"NEG STOCK",IF(K1146&lt;INDEX(Items!$P$5:$P$504,U1146),"BELOW COST","OK")))),IF($D1146="","","PRO PLAN"))</f>
        <v/>
      </c>
      <c r="U1146" s="60" t="str">
        <f aca="false">IF(IsPro,IF($D1146="","",IFERROR(MATCH($D1146,Items!$A$5:$A$504,0),"")),"")</f>
        <v/>
      </c>
      <c r="V1146" s="60" t="str">
        <f aca="false">IF(IsPro,IF($C1146="","",IFERROR(MATCH($C1146,Parties!$A$5:$A$304,0),"")),"")</f>
        <v/>
      </c>
      <c r="W1146" s="60" t="str">
        <f aca="false">IF(IsPro,IF($B1146="","",IFERROR(VALUE(SUBSTITUTE($B1146,InvPrefix,"")),0)),"")</f>
        <v/>
      </c>
      <c r="X1146" s="61" t="str">
        <f aca="false">IF(IsPro,IF($D1146="","",IF(OR($H1146="",$H1146="Credit"),0,Q1146)),"")</f>
        <v/>
      </c>
    </row>
    <row r="1147" customFormat="false" ht="15" hidden="false" customHeight="false" outlineLevel="0" collapsed="false">
      <c r="A1147" s="55"/>
      <c r="B1147" s="56"/>
      <c r="C1147" s="56"/>
      <c r="D1147" s="56"/>
      <c r="E1147" s="57"/>
      <c r="F1147" s="58"/>
      <c r="G1147" s="59"/>
      <c r="H1147" s="56"/>
      <c r="I1147" s="56"/>
      <c r="J1147" s="60" t="str">
        <f aca="false">IF(IsPro,IF($D1147="","",IFERROR(INDEX(Items!$D$5:$D$504,U1147),"")),"")</f>
        <v/>
      </c>
      <c r="K1147" s="61" t="str">
        <f aca="false">IF(IsPro,IF($D1147="","",IF($F1147="",IFERROR(INDEX(Items!$H$5:$H$504,U1147),0),$F1147)),"")</f>
        <v/>
      </c>
      <c r="L1147" s="61" t="str">
        <f aca="false">IF(IsPro,IF($D1147="","",ROUND(N($E1147)*K1147*(1-N($G1147)),2)),"")</f>
        <v/>
      </c>
      <c r="M1147" s="62" t="str">
        <f aca="false">IF(IsPro,IF($D1147="","",IFERROR(INDEX(Items!$F$5:$F$504,U1147),0)),"")</f>
        <v/>
      </c>
      <c r="N1147" s="61" t="str">
        <f aca="false">IF(IsPro,IF($D1147="","",IF(AND(V1147&lt;&gt;"",INDEX(Parties!$E$5:$E$304,V1147)&lt;&gt;"",INDEX(Parties!$E$5:$E$304,V1147)&lt;&gt;HomeState),0,ROUND(L1147*M1147/2,2))),"")</f>
        <v/>
      </c>
      <c r="O1147" s="61" t="str">
        <f aca="false">IF(IsPro,IF($D1147="","",N1147),"")</f>
        <v/>
      </c>
      <c r="P1147" s="61" t="str">
        <f aca="false">IF(IsPro,IF($D1147="","",IF(AND(V1147&lt;&gt;"",INDEX(Parties!$E$5:$E$304,V1147)&lt;&gt;"",INDEX(Parties!$E$5:$E$304,V1147)&lt;&gt;HomeState),ROUND(L1147*M1147,2),0)),"")</f>
        <v/>
      </c>
      <c r="Q1147" s="61" t="str">
        <f aca="false">IF(IsPro,IF($D1147="","",L1147+N1147+O1147+P1147),"")</f>
        <v/>
      </c>
      <c r="R1147" s="61" t="str">
        <f aca="false">IF(IsPro,IF($D1147="","",ROUND(N($E1147)*IFERROR(INDEX(Items!$P$5:$P$504,U1147),0),2)),"")</f>
        <v/>
      </c>
      <c r="S1147" s="61" t="str">
        <f aca="false">IF(IsPro,IF($D1147="","",L1147-R1147),"")</f>
        <v/>
      </c>
      <c r="T1147" s="60" t="str">
        <f aca="false">IF(IsPro,IF($D1147="","",IF(U1147="","UNKNOWN ITEM",IF(INDEX(Items!$O$5:$O$504,U1147)&lt;0,"NEG STOCK",IF(K1147&lt;INDEX(Items!$P$5:$P$504,U1147),"BELOW COST","OK")))),IF($D1147="","","PRO PLAN"))</f>
        <v/>
      </c>
      <c r="U1147" s="60" t="str">
        <f aca="false">IF(IsPro,IF($D1147="","",IFERROR(MATCH($D1147,Items!$A$5:$A$504,0),"")),"")</f>
        <v/>
      </c>
      <c r="V1147" s="60" t="str">
        <f aca="false">IF(IsPro,IF($C1147="","",IFERROR(MATCH($C1147,Parties!$A$5:$A$304,0),"")),"")</f>
        <v/>
      </c>
      <c r="W1147" s="60" t="str">
        <f aca="false">IF(IsPro,IF($B1147="","",IFERROR(VALUE(SUBSTITUTE($B1147,InvPrefix,"")),0)),"")</f>
        <v/>
      </c>
      <c r="X1147" s="61" t="str">
        <f aca="false">IF(IsPro,IF($D1147="","",IF(OR($H1147="",$H1147="Credit"),0,Q1147)),"")</f>
        <v/>
      </c>
    </row>
    <row r="1148" customFormat="false" ht="15" hidden="false" customHeight="false" outlineLevel="0" collapsed="false">
      <c r="A1148" s="55"/>
      <c r="B1148" s="56"/>
      <c r="C1148" s="56"/>
      <c r="D1148" s="56"/>
      <c r="E1148" s="57"/>
      <c r="F1148" s="58"/>
      <c r="G1148" s="59"/>
      <c r="H1148" s="56"/>
      <c r="I1148" s="56"/>
      <c r="J1148" s="60" t="str">
        <f aca="false">IF(IsPro,IF($D1148="","",IFERROR(INDEX(Items!$D$5:$D$504,U1148),"")),"")</f>
        <v/>
      </c>
      <c r="K1148" s="61" t="str">
        <f aca="false">IF(IsPro,IF($D1148="","",IF($F1148="",IFERROR(INDEX(Items!$H$5:$H$504,U1148),0),$F1148)),"")</f>
        <v/>
      </c>
      <c r="L1148" s="61" t="str">
        <f aca="false">IF(IsPro,IF($D1148="","",ROUND(N($E1148)*K1148*(1-N($G1148)),2)),"")</f>
        <v/>
      </c>
      <c r="M1148" s="62" t="str">
        <f aca="false">IF(IsPro,IF($D1148="","",IFERROR(INDEX(Items!$F$5:$F$504,U1148),0)),"")</f>
        <v/>
      </c>
      <c r="N1148" s="61" t="str">
        <f aca="false">IF(IsPro,IF($D1148="","",IF(AND(V1148&lt;&gt;"",INDEX(Parties!$E$5:$E$304,V1148)&lt;&gt;"",INDEX(Parties!$E$5:$E$304,V1148)&lt;&gt;HomeState),0,ROUND(L1148*M1148/2,2))),"")</f>
        <v/>
      </c>
      <c r="O1148" s="61" t="str">
        <f aca="false">IF(IsPro,IF($D1148="","",N1148),"")</f>
        <v/>
      </c>
      <c r="P1148" s="61" t="str">
        <f aca="false">IF(IsPro,IF($D1148="","",IF(AND(V1148&lt;&gt;"",INDEX(Parties!$E$5:$E$304,V1148)&lt;&gt;"",INDEX(Parties!$E$5:$E$304,V1148)&lt;&gt;HomeState),ROUND(L1148*M1148,2),0)),"")</f>
        <v/>
      </c>
      <c r="Q1148" s="61" t="str">
        <f aca="false">IF(IsPro,IF($D1148="","",L1148+N1148+O1148+P1148),"")</f>
        <v/>
      </c>
      <c r="R1148" s="61" t="str">
        <f aca="false">IF(IsPro,IF($D1148="","",ROUND(N($E1148)*IFERROR(INDEX(Items!$P$5:$P$504,U1148),0),2)),"")</f>
        <v/>
      </c>
      <c r="S1148" s="61" t="str">
        <f aca="false">IF(IsPro,IF($D1148="","",L1148-R1148),"")</f>
        <v/>
      </c>
      <c r="T1148" s="60" t="str">
        <f aca="false">IF(IsPro,IF($D1148="","",IF(U1148="","UNKNOWN ITEM",IF(INDEX(Items!$O$5:$O$504,U1148)&lt;0,"NEG STOCK",IF(K1148&lt;INDEX(Items!$P$5:$P$504,U1148),"BELOW COST","OK")))),IF($D1148="","","PRO PLAN"))</f>
        <v/>
      </c>
      <c r="U1148" s="60" t="str">
        <f aca="false">IF(IsPro,IF($D1148="","",IFERROR(MATCH($D1148,Items!$A$5:$A$504,0),"")),"")</f>
        <v/>
      </c>
      <c r="V1148" s="60" t="str">
        <f aca="false">IF(IsPro,IF($C1148="","",IFERROR(MATCH($C1148,Parties!$A$5:$A$304,0),"")),"")</f>
        <v/>
      </c>
      <c r="W1148" s="60" t="str">
        <f aca="false">IF(IsPro,IF($B1148="","",IFERROR(VALUE(SUBSTITUTE($B1148,InvPrefix,"")),0)),"")</f>
        <v/>
      </c>
      <c r="X1148" s="61" t="str">
        <f aca="false">IF(IsPro,IF($D1148="","",IF(OR($H1148="",$H1148="Credit"),0,Q1148)),"")</f>
        <v/>
      </c>
    </row>
    <row r="1149" customFormat="false" ht="15" hidden="false" customHeight="false" outlineLevel="0" collapsed="false">
      <c r="A1149" s="55"/>
      <c r="B1149" s="56"/>
      <c r="C1149" s="56"/>
      <c r="D1149" s="56"/>
      <c r="E1149" s="57"/>
      <c r="F1149" s="58"/>
      <c r="G1149" s="59"/>
      <c r="H1149" s="56"/>
      <c r="I1149" s="56"/>
      <c r="J1149" s="60" t="str">
        <f aca="false">IF(IsPro,IF($D1149="","",IFERROR(INDEX(Items!$D$5:$D$504,U1149),"")),"")</f>
        <v/>
      </c>
      <c r="K1149" s="61" t="str">
        <f aca="false">IF(IsPro,IF($D1149="","",IF($F1149="",IFERROR(INDEX(Items!$H$5:$H$504,U1149),0),$F1149)),"")</f>
        <v/>
      </c>
      <c r="L1149" s="61" t="str">
        <f aca="false">IF(IsPro,IF($D1149="","",ROUND(N($E1149)*K1149*(1-N($G1149)),2)),"")</f>
        <v/>
      </c>
      <c r="M1149" s="62" t="str">
        <f aca="false">IF(IsPro,IF($D1149="","",IFERROR(INDEX(Items!$F$5:$F$504,U1149),0)),"")</f>
        <v/>
      </c>
      <c r="N1149" s="61" t="str">
        <f aca="false">IF(IsPro,IF($D1149="","",IF(AND(V1149&lt;&gt;"",INDEX(Parties!$E$5:$E$304,V1149)&lt;&gt;"",INDEX(Parties!$E$5:$E$304,V1149)&lt;&gt;HomeState),0,ROUND(L1149*M1149/2,2))),"")</f>
        <v/>
      </c>
      <c r="O1149" s="61" t="str">
        <f aca="false">IF(IsPro,IF($D1149="","",N1149),"")</f>
        <v/>
      </c>
      <c r="P1149" s="61" t="str">
        <f aca="false">IF(IsPro,IF($D1149="","",IF(AND(V1149&lt;&gt;"",INDEX(Parties!$E$5:$E$304,V1149)&lt;&gt;"",INDEX(Parties!$E$5:$E$304,V1149)&lt;&gt;HomeState),ROUND(L1149*M1149,2),0)),"")</f>
        <v/>
      </c>
      <c r="Q1149" s="61" t="str">
        <f aca="false">IF(IsPro,IF($D1149="","",L1149+N1149+O1149+P1149),"")</f>
        <v/>
      </c>
      <c r="R1149" s="61" t="str">
        <f aca="false">IF(IsPro,IF($D1149="","",ROUND(N($E1149)*IFERROR(INDEX(Items!$P$5:$P$504,U1149),0),2)),"")</f>
        <v/>
      </c>
      <c r="S1149" s="61" t="str">
        <f aca="false">IF(IsPro,IF($D1149="","",L1149-R1149),"")</f>
        <v/>
      </c>
      <c r="T1149" s="60" t="str">
        <f aca="false">IF(IsPro,IF($D1149="","",IF(U1149="","UNKNOWN ITEM",IF(INDEX(Items!$O$5:$O$504,U1149)&lt;0,"NEG STOCK",IF(K1149&lt;INDEX(Items!$P$5:$P$504,U1149),"BELOW COST","OK")))),IF($D1149="","","PRO PLAN"))</f>
        <v/>
      </c>
      <c r="U1149" s="60" t="str">
        <f aca="false">IF(IsPro,IF($D1149="","",IFERROR(MATCH($D1149,Items!$A$5:$A$504,0),"")),"")</f>
        <v/>
      </c>
      <c r="V1149" s="60" t="str">
        <f aca="false">IF(IsPro,IF($C1149="","",IFERROR(MATCH($C1149,Parties!$A$5:$A$304,0),"")),"")</f>
        <v/>
      </c>
      <c r="W1149" s="60" t="str">
        <f aca="false">IF(IsPro,IF($B1149="","",IFERROR(VALUE(SUBSTITUTE($B1149,InvPrefix,"")),0)),"")</f>
        <v/>
      </c>
      <c r="X1149" s="61" t="str">
        <f aca="false">IF(IsPro,IF($D1149="","",IF(OR($H1149="",$H1149="Credit"),0,Q1149)),"")</f>
        <v/>
      </c>
    </row>
    <row r="1150" customFormat="false" ht="15" hidden="false" customHeight="false" outlineLevel="0" collapsed="false">
      <c r="A1150" s="55"/>
      <c r="B1150" s="56"/>
      <c r="C1150" s="56"/>
      <c r="D1150" s="56"/>
      <c r="E1150" s="57"/>
      <c r="F1150" s="58"/>
      <c r="G1150" s="59"/>
      <c r="H1150" s="56"/>
      <c r="I1150" s="56"/>
      <c r="J1150" s="60" t="str">
        <f aca="false">IF(IsPro,IF($D1150="","",IFERROR(INDEX(Items!$D$5:$D$504,U1150),"")),"")</f>
        <v/>
      </c>
      <c r="K1150" s="61" t="str">
        <f aca="false">IF(IsPro,IF($D1150="","",IF($F1150="",IFERROR(INDEX(Items!$H$5:$H$504,U1150),0),$F1150)),"")</f>
        <v/>
      </c>
      <c r="L1150" s="61" t="str">
        <f aca="false">IF(IsPro,IF($D1150="","",ROUND(N($E1150)*K1150*(1-N($G1150)),2)),"")</f>
        <v/>
      </c>
      <c r="M1150" s="62" t="str">
        <f aca="false">IF(IsPro,IF($D1150="","",IFERROR(INDEX(Items!$F$5:$F$504,U1150),0)),"")</f>
        <v/>
      </c>
      <c r="N1150" s="61" t="str">
        <f aca="false">IF(IsPro,IF($D1150="","",IF(AND(V1150&lt;&gt;"",INDEX(Parties!$E$5:$E$304,V1150)&lt;&gt;"",INDEX(Parties!$E$5:$E$304,V1150)&lt;&gt;HomeState),0,ROUND(L1150*M1150/2,2))),"")</f>
        <v/>
      </c>
      <c r="O1150" s="61" t="str">
        <f aca="false">IF(IsPro,IF($D1150="","",N1150),"")</f>
        <v/>
      </c>
      <c r="P1150" s="61" t="str">
        <f aca="false">IF(IsPro,IF($D1150="","",IF(AND(V1150&lt;&gt;"",INDEX(Parties!$E$5:$E$304,V1150)&lt;&gt;"",INDEX(Parties!$E$5:$E$304,V1150)&lt;&gt;HomeState),ROUND(L1150*M1150,2),0)),"")</f>
        <v/>
      </c>
      <c r="Q1150" s="61" t="str">
        <f aca="false">IF(IsPro,IF($D1150="","",L1150+N1150+O1150+P1150),"")</f>
        <v/>
      </c>
      <c r="R1150" s="61" t="str">
        <f aca="false">IF(IsPro,IF($D1150="","",ROUND(N($E1150)*IFERROR(INDEX(Items!$P$5:$P$504,U1150),0),2)),"")</f>
        <v/>
      </c>
      <c r="S1150" s="61" t="str">
        <f aca="false">IF(IsPro,IF($D1150="","",L1150-R1150),"")</f>
        <v/>
      </c>
      <c r="T1150" s="60" t="str">
        <f aca="false">IF(IsPro,IF($D1150="","",IF(U1150="","UNKNOWN ITEM",IF(INDEX(Items!$O$5:$O$504,U1150)&lt;0,"NEG STOCK",IF(K1150&lt;INDEX(Items!$P$5:$P$504,U1150),"BELOW COST","OK")))),IF($D1150="","","PRO PLAN"))</f>
        <v/>
      </c>
      <c r="U1150" s="60" t="str">
        <f aca="false">IF(IsPro,IF($D1150="","",IFERROR(MATCH($D1150,Items!$A$5:$A$504,0),"")),"")</f>
        <v/>
      </c>
      <c r="V1150" s="60" t="str">
        <f aca="false">IF(IsPro,IF($C1150="","",IFERROR(MATCH($C1150,Parties!$A$5:$A$304,0),"")),"")</f>
        <v/>
      </c>
      <c r="W1150" s="60" t="str">
        <f aca="false">IF(IsPro,IF($B1150="","",IFERROR(VALUE(SUBSTITUTE($B1150,InvPrefix,"")),0)),"")</f>
        <v/>
      </c>
      <c r="X1150" s="61" t="str">
        <f aca="false">IF(IsPro,IF($D1150="","",IF(OR($H1150="",$H1150="Credit"),0,Q1150)),"")</f>
        <v/>
      </c>
    </row>
    <row r="1151" customFormat="false" ht="15" hidden="false" customHeight="false" outlineLevel="0" collapsed="false">
      <c r="A1151" s="55"/>
      <c r="B1151" s="56"/>
      <c r="C1151" s="56"/>
      <c r="D1151" s="56"/>
      <c r="E1151" s="57"/>
      <c r="F1151" s="58"/>
      <c r="G1151" s="59"/>
      <c r="H1151" s="56"/>
      <c r="I1151" s="56"/>
      <c r="J1151" s="60" t="str">
        <f aca="false">IF(IsPro,IF($D1151="","",IFERROR(INDEX(Items!$D$5:$D$504,U1151),"")),"")</f>
        <v/>
      </c>
      <c r="K1151" s="61" t="str">
        <f aca="false">IF(IsPro,IF($D1151="","",IF($F1151="",IFERROR(INDEX(Items!$H$5:$H$504,U1151),0),$F1151)),"")</f>
        <v/>
      </c>
      <c r="L1151" s="61" t="str">
        <f aca="false">IF(IsPro,IF($D1151="","",ROUND(N($E1151)*K1151*(1-N($G1151)),2)),"")</f>
        <v/>
      </c>
      <c r="M1151" s="62" t="str">
        <f aca="false">IF(IsPro,IF($D1151="","",IFERROR(INDEX(Items!$F$5:$F$504,U1151),0)),"")</f>
        <v/>
      </c>
      <c r="N1151" s="61" t="str">
        <f aca="false">IF(IsPro,IF($D1151="","",IF(AND(V1151&lt;&gt;"",INDEX(Parties!$E$5:$E$304,V1151)&lt;&gt;"",INDEX(Parties!$E$5:$E$304,V1151)&lt;&gt;HomeState),0,ROUND(L1151*M1151/2,2))),"")</f>
        <v/>
      </c>
      <c r="O1151" s="61" t="str">
        <f aca="false">IF(IsPro,IF($D1151="","",N1151),"")</f>
        <v/>
      </c>
      <c r="P1151" s="61" t="str">
        <f aca="false">IF(IsPro,IF($D1151="","",IF(AND(V1151&lt;&gt;"",INDEX(Parties!$E$5:$E$304,V1151)&lt;&gt;"",INDEX(Parties!$E$5:$E$304,V1151)&lt;&gt;HomeState),ROUND(L1151*M1151,2),0)),"")</f>
        <v/>
      </c>
      <c r="Q1151" s="61" t="str">
        <f aca="false">IF(IsPro,IF($D1151="","",L1151+N1151+O1151+P1151),"")</f>
        <v/>
      </c>
      <c r="R1151" s="61" t="str">
        <f aca="false">IF(IsPro,IF($D1151="","",ROUND(N($E1151)*IFERROR(INDEX(Items!$P$5:$P$504,U1151),0),2)),"")</f>
        <v/>
      </c>
      <c r="S1151" s="61" t="str">
        <f aca="false">IF(IsPro,IF($D1151="","",L1151-R1151),"")</f>
        <v/>
      </c>
      <c r="T1151" s="60" t="str">
        <f aca="false">IF(IsPro,IF($D1151="","",IF(U1151="","UNKNOWN ITEM",IF(INDEX(Items!$O$5:$O$504,U1151)&lt;0,"NEG STOCK",IF(K1151&lt;INDEX(Items!$P$5:$P$504,U1151),"BELOW COST","OK")))),IF($D1151="","","PRO PLAN"))</f>
        <v/>
      </c>
      <c r="U1151" s="60" t="str">
        <f aca="false">IF(IsPro,IF($D1151="","",IFERROR(MATCH($D1151,Items!$A$5:$A$504,0),"")),"")</f>
        <v/>
      </c>
      <c r="V1151" s="60" t="str">
        <f aca="false">IF(IsPro,IF($C1151="","",IFERROR(MATCH($C1151,Parties!$A$5:$A$304,0),"")),"")</f>
        <v/>
      </c>
      <c r="W1151" s="60" t="str">
        <f aca="false">IF(IsPro,IF($B1151="","",IFERROR(VALUE(SUBSTITUTE($B1151,InvPrefix,"")),0)),"")</f>
        <v/>
      </c>
      <c r="X1151" s="61" t="str">
        <f aca="false">IF(IsPro,IF($D1151="","",IF(OR($H1151="",$H1151="Credit"),0,Q1151)),"")</f>
        <v/>
      </c>
    </row>
    <row r="1152" customFormat="false" ht="15" hidden="false" customHeight="false" outlineLevel="0" collapsed="false">
      <c r="A1152" s="55"/>
      <c r="B1152" s="56"/>
      <c r="C1152" s="56"/>
      <c r="D1152" s="56"/>
      <c r="E1152" s="57"/>
      <c r="F1152" s="58"/>
      <c r="G1152" s="59"/>
      <c r="H1152" s="56"/>
      <c r="I1152" s="56"/>
      <c r="J1152" s="60" t="str">
        <f aca="false">IF(IsPro,IF($D1152="","",IFERROR(INDEX(Items!$D$5:$D$504,U1152),"")),"")</f>
        <v/>
      </c>
      <c r="K1152" s="61" t="str">
        <f aca="false">IF(IsPro,IF($D1152="","",IF($F1152="",IFERROR(INDEX(Items!$H$5:$H$504,U1152),0),$F1152)),"")</f>
        <v/>
      </c>
      <c r="L1152" s="61" t="str">
        <f aca="false">IF(IsPro,IF($D1152="","",ROUND(N($E1152)*K1152*(1-N($G1152)),2)),"")</f>
        <v/>
      </c>
      <c r="M1152" s="62" t="str">
        <f aca="false">IF(IsPro,IF($D1152="","",IFERROR(INDEX(Items!$F$5:$F$504,U1152),0)),"")</f>
        <v/>
      </c>
      <c r="N1152" s="61" t="str">
        <f aca="false">IF(IsPro,IF($D1152="","",IF(AND(V1152&lt;&gt;"",INDEX(Parties!$E$5:$E$304,V1152)&lt;&gt;"",INDEX(Parties!$E$5:$E$304,V1152)&lt;&gt;HomeState),0,ROUND(L1152*M1152/2,2))),"")</f>
        <v/>
      </c>
      <c r="O1152" s="61" t="str">
        <f aca="false">IF(IsPro,IF($D1152="","",N1152),"")</f>
        <v/>
      </c>
      <c r="P1152" s="61" t="str">
        <f aca="false">IF(IsPro,IF($D1152="","",IF(AND(V1152&lt;&gt;"",INDEX(Parties!$E$5:$E$304,V1152)&lt;&gt;"",INDEX(Parties!$E$5:$E$304,V1152)&lt;&gt;HomeState),ROUND(L1152*M1152,2),0)),"")</f>
        <v/>
      </c>
      <c r="Q1152" s="61" t="str">
        <f aca="false">IF(IsPro,IF($D1152="","",L1152+N1152+O1152+P1152),"")</f>
        <v/>
      </c>
      <c r="R1152" s="61" t="str">
        <f aca="false">IF(IsPro,IF($D1152="","",ROUND(N($E1152)*IFERROR(INDEX(Items!$P$5:$P$504,U1152),0),2)),"")</f>
        <v/>
      </c>
      <c r="S1152" s="61" t="str">
        <f aca="false">IF(IsPro,IF($D1152="","",L1152-R1152),"")</f>
        <v/>
      </c>
      <c r="T1152" s="60" t="str">
        <f aca="false">IF(IsPro,IF($D1152="","",IF(U1152="","UNKNOWN ITEM",IF(INDEX(Items!$O$5:$O$504,U1152)&lt;0,"NEG STOCK",IF(K1152&lt;INDEX(Items!$P$5:$P$504,U1152),"BELOW COST","OK")))),IF($D1152="","","PRO PLAN"))</f>
        <v/>
      </c>
      <c r="U1152" s="60" t="str">
        <f aca="false">IF(IsPro,IF($D1152="","",IFERROR(MATCH($D1152,Items!$A$5:$A$504,0),"")),"")</f>
        <v/>
      </c>
      <c r="V1152" s="60" t="str">
        <f aca="false">IF(IsPro,IF($C1152="","",IFERROR(MATCH($C1152,Parties!$A$5:$A$304,0),"")),"")</f>
        <v/>
      </c>
      <c r="W1152" s="60" t="str">
        <f aca="false">IF(IsPro,IF($B1152="","",IFERROR(VALUE(SUBSTITUTE($B1152,InvPrefix,"")),0)),"")</f>
        <v/>
      </c>
      <c r="X1152" s="61" t="str">
        <f aca="false">IF(IsPro,IF($D1152="","",IF(OR($H1152="",$H1152="Credit"),0,Q1152)),"")</f>
        <v/>
      </c>
    </row>
    <row r="1153" customFormat="false" ht="15" hidden="false" customHeight="false" outlineLevel="0" collapsed="false">
      <c r="A1153" s="55"/>
      <c r="B1153" s="56"/>
      <c r="C1153" s="56"/>
      <c r="D1153" s="56"/>
      <c r="E1153" s="57"/>
      <c r="F1153" s="58"/>
      <c r="G1153" s="59"/>
      <c r="H1153" s="56"/>
      <c r="I1153" s="56"/>
      <c r="J1153" s="60" t="str">
        <f aca="false">IF(IsPro,IF($D1153="","",IFERROR(INDEX(Items!$D$5:$D$504,U1153),"")),"")</f>
        <v/>
      </c>
      <c r="K1153" s="61" t="str">
        <f aca="false">IF(IsPro,IF($D1153="","",IF($F1153="",IFERROR(INDEX(Items!$H$5:$H$504,U1153),0),$F1153)),"")</f>
        <v/>
      </c>
      <c r="L1153" s="61" t="str">
        <f aca="false">IF(IsPro,IF($D1153="","",ROUND(N($E1153)*K1153*(1-N($G1153)),2)),"")</f>
        <v/>
      </c>
      <c r="M1153" s="62" t="str">
        <f aca="false">IF(IsPro,IF($D1153="","",IFERROR(INDEX(Items!$F$5:$F$504,U1153),0)),"")</f>
        <v/>
      </c>
      <c r="N1153" s="61" t="str">
        <f aca="false">IF(IsPro,IF($D1153="","",IF(AND(V1153&lt;&gt;"",INDEX(Parties!$E$5:$E$304,V1153)&lt;&gt;"",INDEX(Parties!$E$5:$E$304,V1153)&lt;&gt;HomeState),0,ROUND(L1153*M1153/2,2))),"")</f>
        <v/>
      </c>
      <c r="O1153" s="61" t="str">
        <f aca="false">IF(IsPro,IF($D1153="","",N1153),"")</f>
        <v/>
      </c>
      <c r="P1153" s="61" t="str">
        <f aca="false">IF(IsPro,IF($D1153="","",IF(AND(V1153&lt;&gt;"",INDEX(Parties!$E$5:$E$304,V1153)&lt;&gt;"",INDEX(Parties!$E$5:$E$304,V1153)&lt;&gt;HomeState),ROUND(L1153*M1153,2),0)),"")</f>
        <v/>
      </c>
      <c r="Q1153" s="61" t="str">
        <f aca="false">IF(IsPro,IF($D1153="","",L1153+N1153+O1153+P1153),"")</f>
        <v/>
      </c>
      <c r="R1153" s="61" t="str">
        <f aca="false">IF(IsPro,IF($D1153="","",ROUND(N($E1153)*IFERROR(INDEX(Items!$P$5:$P$504,U1153),0),2)),"")</f>
        <v/>
      </c>
      <c r="S1153" s="61" t="str">
        <f aca="false">IF(IsPro,IF($D1153="","",L1153-R1153),"")</f>
        <v/>
      </c>
      <c r="T1153" s="60" t="str">
        <f aca="false">IF(IsPro,IF($D1153="","",IF(U1153="","UNKNOWN ITEM",IF(INDEX(Items!$O$5:$O$504,U1153)&lt;0,"NEG STOCK",IF(K1153&lt;INDEX(Items!$P$5:$P$504,U1153),"BELOW COST","OK")))),IF($D1153="","","PRO PLAN"))</f>
        <v/>
      </c>
      <c r="U1153" s="60" t="str">
        <f aca="false">IF(IsPro,IF($D1153="","",IFERROR(MATCH($D1153,Items!$A$5:$A$504,0),"")),"")</f>
        <v/>
      </c>
      <c r="V1153" s="60" t="str">
        <f aca="false">IF(IsPro,IF($C1153="","",IFERROR(MATCH($C1153,Parties!$A$5:$A$304,0),"")),"")</f>
        <v/>
      </c>
      <c r="W1153" s="60" t="str">
        <f aca="false">IF(IsPro,IF($B1153="","",IFERROR(VALUE(SUBSTITUTE($B1153,InvPrefix,"")),0)),"")</f>
        <v/>
      </c>
      <c r="X1153" s="61" t="str">
        <f aca="false">IF(IsPro,IF($D1153="","",IF(OR($H1153="",$H1153="Credit"),0,Q1153)),"")</f>
        <v/>
      </c>
    </row>
    <row r="1154" customFormat="false" ht="15" hidden="false" customHeight="false" outlineLevel="0" collapsed="false">
      <c r="A1154" s="55"/>
      <c r="B1154" s="56"/>
      <c r="C1154" s="56"/>
      <c r="D1154" s="56"/>
      <c r="E1154" s="57"/>
      <c r="F1154" s="58"/>
      <c r="G1154" s="59"/>
      <c r="H1154" s="56"/>
      <c r="I1154" s="56"/>
      <c r="J1154" s="60" t="str">
        <f aca="false">IF(IsPro,IF($D1154="","",IFERROR(INDEX(Items!$D$5:$D$504,U1154),"")),"")</f>
        <v/>
      </c>
      <c r="K1154" s="61" t="str">
        <f aca="false">IF(IsPro,IF($D1154="","",IF($F1154="",IFERROR(INDEX(Items!$H$5:$H$504,U1154),0),$F1154)),"")</f>
        <v/>
      </c>
      <c r="L1154" s="61" t="str">
        <f aca="false">IF(IsPro,IF($D1154="","",ROUND(N($E1154)*K1154*(1-N($G1154)),2)),"")</f>
        <v/>
      </c>
      <c r="M1154" s="62" t="str">
        <f aca="false">IF(IsPro,IF($D1154="","",IFERROR(INDEX(Items!$F$5:$F$504,U1154),0)),"")</f>
        <v/>
      </c>
      <c r="N1154" s="61" t="str">
        <f aca="false">IF(IsPro,IF($D1154="","",IF(AND(V1154&lt;&gt;"",INDEX(Parties!$E$5:$E$304,V1154)&lt;&gt;"",INDEX(Parties!$E$5:$E$304,V1154)&lt;&gt;HomeState),0,ROUND(L1154*M1154/2,2))),"")</f>
        <v/>
      </c>
      <c r="O1154" s="61" t="str">
        <f aca="false">IF(IsPro,IF($D1154="","",N1154),"")</f>
        <v/>
      </c>
      <c r="P1154" s="61" t="str">
        <f aca="false">IF(IsPro,IF($D1154="","",IF(AND(V1154&lt;&gt;"",INDEX(Parties!$E$5:$E$304,V1154)&lt;&gt;"",INDEX(Parties!$E$5:$E$304,V1154)&lt;&gt;HomeState),ROUND(L1154*M1154,2),0)),"")</f>
        <v/>
      </c>
      <c r="Q1154" s="61" t="str">
        <f aca="false">IF(IsPro,IF($D1154="","",L1154+N1154+O1154+P1154),"")</f>
        <v/>
      </c>
      <c r="R1154" s="61" t="str">
        <f aca="false">IF(IsPro,IF($D1154="","",ROUND(N($E1154)*IFERROR(INDEX(Items!$P$5:$P$504,U1154),0),2)),"")</f>
        <v/>
      </c>
      <c r="S1154" s="61" t="str">
        <f aca="false">IF(IsPro,IF($D1154="","",L1154-R1154),"")</f>
        <v/>
      </c>
      <c r="T1154" s="60" t="str">
        <f aca="false">IF(IsPro,IF($D1154="","",IF(U1154="","UNKNOWN ITEM",IF(INDEX(Items!$O$5:$O$504,U1154)&lt;0,"NEG STOCK",IF(K1154&lt;INDEX(Items!$P$5:$P$504,U1154),"BELOW COST","OK")))),IF($D1154="","","PRO PLAN"))</f>
        <v/>
      </c>
      <c r="U1154" s="60" t="str">
        <f aca="false">IF(IsPro,IF($D1154="","",IFERROR(MATCH($D1154,Items!$A$5:$A$504,0),"")),"")</f>
        <v/>
      </c>
      <c r="V1154" s="60" t="str">
        <f aca="false">IF(IsPro,IF($C1154="","",IFERROR(MATCH($C1154,Parties!$A$5:$A$304,0),"")),"")</f>
        <v/>
      </c>
      <c r="W1154" s="60" t="str">
        <f aca="false">IF(IsPro,IF($B1154="","",IFERROR(VALUE(SUBSTITUTE($B1154,InvPrefix,"")),0)),"")</f>
        <v/>
      </c>
      <c r="X1154" s="61" t="str">
        <f aca="false">IF(IsPro,IF($D1154="","",IF(OR($H1154="",$H1154="Credit"),0,Q1154)),"")</f>
        <v/>
      </c>
    </row>
    <row r="1155" customFormat="false" ht="15" hidden="false" customHeight="false" outlineLevel="0" collapsed="false">
      <c r="A1155" s="55"/>
      <c r="B1155" s="56"/>
      <c r="C1155" s="56"/>
      <c r="D1155" s="56"/>
      <c r="E1155" s="57"/>
      <c r="F1155" s="58"/>
      <c r="G1155" s="59"/>
      <c r="H1155" s="56"/>
      <c r="I1155" s="56"/>
      <c r="J1155" s="60" t="str">
        <f aca="false">IF(IsPro,IF($D1155="","",IFERROR(INDEX(Items!$D$5:$D$504,U1155),"")),"")</f>
        <v/>
      </c>
      <c r="K1155" s="61" t="str">
        <f aca="false">IF(IsPro,IF($D1155="","",IF($F1155="",IFERROR(INDEX(Items!$H$5:$H$504,U1155),0),$F1155)),"")</f>
        <v/>
      </c>
      <c r="L1155" s="61" t="str">
        <f aca="false">IF(IsPro,IF($D1155="","",ROUND(N($E1155)*K1155*(1-N($G1155)),2)),"")</f>
        <v/>
      </c>
      <c r="M1155" s="62" t="str">
        <f aca="false">IF(IsPro,IF($D1155="","",IFERROR(INDEX(Items!$F$5:$F$504,U1155),0)),"")</f>
        <v/>
      </c>
      <c r="N1155" s="61" t="str">
        <f aca="false">IF(IsPro,IF($D1155="","",IF(AND(V1155&lt;&gt;"",INDEX(Parties!$E$5:$E$304,V1155)&lt;&gt;"",INDEX(Parties!$E$5:$E$304,V1155)&lt;&gt;HomeState),0,ROUND(L1155*M1155/2,2))),"")</f>
        <v/>
      </c>
      <c r="O1155" s="61" t="str">
        <f aca="false">IF(IsPro,IF($D1155="","",N1155),"")</f>
        <v/>
      </c>
      <c r="P1155" s="61" t="str">
        <f aca="false">IF(IsPro,IF($D1155="","",IF(AND(V1155&lt;&gt;"",INDEX(Parties!$E$5:$E$304,V1155)&lt;&gt;"",INDEX(Parties!$E$5:$E$304,V1155)&lt;&gt;HomeState),ROUND(L1155*M1155,2),0)),"")</f>
        <v/>
      </c>
      <c r="Q1155" s="61" t="str">
        <f aca="false">IF(IsPro,IF($D1155="","",L1155+N1155+O1155+P1155),"")</f>
        <v/>
      </c>
      <c r="R1155" s="61" t="str">
        <f aca="false">IF(IsPro,IF($D1155="","",ROUND(N($E1155)*IFERROR(INDEX(Items!$P$5:$P$504,U1155),0),2)),"")</f>
        <v/>
      </c>
      <c r="S1155" s="61" t="str">
        <f aca="false">IF(IsPro,IF($D1155="","",L1155-R1155),"")</f>
        <v/>
      </c>
      <c r="T1155" s="60" t="str">
        <f aca="false">IF(IsPro,IF($D1155="","",IF(U1155="","UNKNOWN ITEM",IF(INDEX(Items!$O$5:$O$504,U1155)&lt;0,"NEG STOCK",IF(K1155&lt;INDEX(Items!$P$5:$P$504,U1155),"BELOW COST","OK")))),IF($D1155="","","PRO PLAN"))</f>
        <v/>
      </c>
      <c r="U1155" s="60" t="str">
        <f aca="false">IF(IsPro,IF($D1155="","",IFERROR(MATCH($D1155,Items!$A$5:$A$504,0),"")),"")</f>
        <v/>
      </c>
      <c r="V1155" s="60" t="str">
        <f aca="false">IF(IsPro,IF($C1155="","",IFERROR(MATCH($C1155,Parties!$A$5:$A$304,0),"")),"")</f>
        <v/>
      </c>
      <c r="W1155" s="60" t="str">
        <f aca="false">IF(IsPro,IF($B1155="","",IFERROR(VALUE(SUBSTITUTE($B1155,InvPrefix,"")),0)),"")</f>
        <v/>
      </c>
      <c r="X1155" s="61" t="str">
        <f aca="false">IF(IsPro,IF($D1155="","",IF(OR($H1155="",$H1155="Credit"),0,Q1155)),"")</f>
        <v/>
      </c>
    </row>
    <row r="1156" customFormat="false" ht="15" hidden="false" customHeight="false" outlineLevel="0" collapsed="false">
      <c r="A1156" s="55"/>
      <c r="B1156" s="56"/>
      <c r="C1156" s="56"/>
      <c r="D1156" s="56"/>
      <c r="E1156" s="57"/>
      <c r="F1156" s="58"/>
      <c r="G1156" s="59"/>
      <c r="H1156" s="56"/>
      <c r="I1156" s="56"/>
      <c r="J1156" s="60" t="str">
        <f aca="false">IF(IsPro,IF($D1156="","",IFERROR(INDEX(Items!$D$5:$D$504,U1156),"")),"")</f>
        <v/>
      </c>
      <c r="K1156" s="61" t="str">
        <f aca="false">IF(IsPro,IF($D1156="","",IF($F1156="",IFERROR(INDEX(Items!$H$5:$H$504,U1156),0),$F1156)),"")</f>
        <v/>
      </c>
      <c r="L1156" s="61" t="str">
        <f aca="false">IF(IsPro,IF($D1156="","",ROUND(N($E1156)*K1156*(1-N($G1156)),2)),"")</f>
        <v/>
      </c>
      <c r="M1156" s="62" t="str">
        <f aca="false">IF(IsPro,IF($D1156="","",IFERROR(INDEX(Items!$F$5:$F$504,U1156),0)),"")</f>
        <v/>
      </c>
      <c r="N1156" s="61" t="str">
        <f aca="false">IF(IsPro,IF($D1156="","",IF(AND(V1156&lt;&gt;"",INDEX(Parties!$E$5:$E$304,V1156)&lt;&gt;"",INDEX(Parties!$E$5:$E$304,V1156)&lt;&gt;HomeState),0,ROUND(L1156*M1156/2,2))),"")</f>
        <v/>
      </c>
      <c r="O1156" s="61" t="str">
        <f aca="false">IF(IsPro,IF($D1156="","",N1156),"")</f>
        <v/>
      </c>
      <c r="P1156" s="61" t="str">
        <f aca="false">IF(IsPro,IF($D1156="","",IF(AND(V1156&lt;&gt;"",INDEX(Parties!$E$5:$E$304,V1156)&lt;&gt;"",INDEX(Parties!$E$5:$E$304,V1156)&lt;&gt;HomeState),ROUND(L1156*M1156,2),0)),"")</f>
        <v/>
      </c>
      <c r="Q1156" s="61" t="str">
        <f aca="false">IF(IsPro,IF($D1156="","",L1156+N1156+O1156+P1156),"")</f>
        <v/>
      </c>
      <c r="R1156" s="61" t="str">
        <f aca="false">IF(IsPro,IF($D1156="","",ROUND(N($E1156)*IFERROR(INDEX(Items!$P$5:$P$504,U1156),0),2)),"")</f>
        <v/>
      </c>
      <c r="S1156" s="61" t="str">
        <f aca="false">IF(IsPro,IF($D1156="","",L1156-R1156),"")</f>
        <v/>
      </c>
      <c r="T1156" s="60" t="str">
        <f aca="false">IF(IsPro,IF($D1156="","",IF(U1156="","UNKNOWN ITEM",IF(INDEX(Items!$O$5:$O$504,U1156)&lt;0,"NEG STOCK",IF(K1156&lt;INDEX(Items!$P$5:$P$504,U1156),"BELOW COST","OK")))),IF($D1156="","","PRO PLAN"))</f>
        <v/>
      </c>
      <c r="U1156" s="60" t="str">
        <f aca="false">IF(IsPro,IF($D1156="","",IFERROR(MATCH($D1156,Items!$A$5:$A$504,0),"")),"")</f>
        <v/>
      </c>
      <c r="V1156" s="60" t="str">
        <f aca="false">IF(IsPro,IF($C1156="","",IFERROR(MATCH($C1156,Parties!$A$5:$A$304,0),"")),"")</f>
        <v/>
      </c>
      <c r="W1156" s="60" t="str">
        <f aca="false">IF(IsPro,IF($B1156="","",IFERROR(VALUE(SUBSTITUTE($B1156,InvPrefix,"")),0)),"")</f>
        <v/>
      </c>
      <c r="X1156" s="61" t="str">
        <f aca="false">IF(IsPro,IF($D1156="","",IF(OR($H1156="",$H1156="Credit"),0,Q1156)),"")</f>
        <v/>
      </c>
    </row>
    <row r="1157" customFormat="false" ht="15" hidden="false" customHeight="false" outlineLevel="0" collapsed="false">
      <c r="A1157" s="55"/>
      <c r="B1157" s="56"/>
      <c r="C1157" s="56"/>
      <c r="D1157" s="56"/>
      <c r="E1157" s="57"/>
      <c r="F1157" s="58"/>
      <c r="G1157" s="59"/>
      <c r="H1157" s="56"/>
      <c r="I1157" s="56"/>
      <c r="J1157" s="60" t="str">
        <f aca="false">IF(IsPro,IF($D1157="","",IFERROR(INDEX(Items!$D$5:$D$504,U1157),"")),"")</f>
        <v/>
      </c>
      <c r="K1157" s="61" t="str">
        <f aca="false">IF(IsPro,IF($D1157="","",IF($F1157="",IFERROR(INDEX(Items!$H$5:$H$504,U1157),0),$F1157)),"")</f>
        <v/>
      </c>
      <c r="L1157" s="61" t="str">
        <f aca="false">IF(IsPro,IF($D1157="","",ROUND(N($E1157)*K1157*(1-N($G1157)),2)),"")</f>
        <v/>
      </c>
      <c r="M1157" s="62" t="str">
        <f aca="false">IF(IsPro,IF($D1157="","",IFERROR(INDEX(Items!$F$5:$F$504,U1157),0)),"")</f>
        <v/>
      </c>
      <c r="N1157" s="61" t="str">
        <f aca="false">IF(IsPro,IF($D1157="","",IF(AND(V1157&lt;&gt;"",INDEX(Parties!$E$5:$E$304,V1157)&lt;&gt;"",INDEX(Parties!$E$5:$E$304,V1157)&lt;&gt;HomeState),0,ROUND(L1157*M1157/2,2))),"")</f>
        <v/>
      </c>
      <c r="O1157" s="61" t="str">
        <f aca="false">IF(IsPro,IF($D1157="","",N1157),"")</f>
        <v/>
      </c>
      <c r="P1157" s="61" t="str">
        <f aca="false">IF(IsPro,IF($D1157="","",IF(AND(V1157&lt;&gt;"",INDEX(Parties!$E$5:$E$304,V1157)&lt;&gt;"",INDEX(Parties!$E$5:$E$304,V1157)&lt;&gt;HomeState),ROUND(L1157*M1157,2),0)),"")</f>
        <v/>
      </c>
      <c r="Q1157" s="61" t="str">
        <f aca="false">IF(IsPro,IF($D1157="","",L1157+N1157+O1157+P1157),"")</f>
        <v/>
      </c>
      <c r="R1157" s="61" t="str">
        <f aca="false">IF(IsPro,IF($D1157="","",ROUND(N($E1157)*IFERROR(INDEX(Items!$P$5:$P$504,U1157),0),2)),"")</f>
        <v/>
      </c>
      <c r="S1157" s="61" t="str">
        <f aca="false">IF(IsPro,IF($D1157="","",L1157-R1157),"")</f>
        <v/>
      </c>
      <c r="T1157" s="60" t="str">
        <f aca="false">IF(IsPro,IF($D1157="","",IF(U1157="","UNKNOWN ITEM",IF(INDEX(Items!$O$5:$O$504,U1157)&lt;0,"NEG STOCK",IF(K1157&lt;INDEX(Items!$P$5:$P$504,U1157),"BELOW COST","OK")))),IF($D1157="","","PRO PLAN"))</f>
        <v/>
      </c>
      <c r="U1157" s="60" t="str">
        <f aca="false">IF(IsPro,IF($D1157="","",IFERROR(MATCH($D1157,Items!$A$5:$A$504,0),"")),"")</f>
        <v/>
      </c>
      <c r="V1157" s="60" t="str">
        <f aca="false">IF(IsPro,IF($C1157="","",IFERROR(MATCH($C1157,Parties!$A$5:$A$304,0),"")),"")</f>
        <v/>
      </c>
      <c r="W1157" s="60" t="str">
        <f aca="false">IF(IsPro,IF($B1157="","",IFERROR(VALUE(SUBSTITUTE($B1157,InvPrefix,"")),0)),"")</f>
        <v/>
      </c>
      <c r="X1157" s="61" t="str">
        <f aca="false">IF(IsPro,IF($D1157="","",IF(OR($H1157="",$H1157="Credit"),0,Q1157)),"")</f>
        <v/>
      </c>
    </row>
    <row r="1158" customFormat="false" ht="15" hidden="false" customHeight="false" outlineLevel="0" collapsed="false">
      <c r="A1158" s="55"/>
      <c r="B1158" s="56"/>
      <c r="C1158" s="56"/>
      <c r="D1158" s="56"/>
      <c r="E1158" s="57"/>
      <c r="F1158" s="58"/>
      <c r="G1158" s="59"/>
      <c r="H1158" s="56"/>
      <c r="I1158" s="56"/>
      <c r="J1158" s="60" t="str">
        <f aca="false">IF(IsPro,IF($D1158="","",IFERROR(INDEX(Items!$D$5:$D$504,U1158),"")),"")</f>
        <v/>
      </c>
      <c r="K1158" s="61" t="str">
        <f aca="false">IF(IsPro,IF($D1158="","",IF($F1158="",IFERROR(INDEX(Items!$H$5:$H$504,U1158),0),$F1158)),"")</f>
        <v/>
      </c>
      <c r="L1158" s="61" t="str">
        <f aca="false">IF(IsPro,IF($D1158="","",ROUND(N($E1158)*K1158*(1-N($G1158)),2)),"")</f>
        <v/>
      </c>
      <c r="M1158" s="62" t="str">
        <f aca="false">IF(IsPro,IF($D1158="","",IFERROR(INDEX(Items!$F$5:$F$504,U1158),0)),"")</f>
        <v/>
      </c>
      <c r="N1158" s="61" t="str">
        <f aca="false">IF(IsPro,IF($D1158="","",IF(AND(V1158&lt;&gt;"",INDEX(Parties!$E$5:$E$304,V1158)&lt;&gt;"",INDEX(Parties!$E$5:$E$304,V1158)&lt;&gt;HomeState),0,ROUND(L1158*M1158/2,2))),"")</f>
        <v/>
      </c>
      <c r="O1158" s="61" t="str">
        <f aca="false">IF(IsPro,IF($D1158="","",N1158),"")</f>
        <v/>
      </c>
      <c r="P1158" s="61" t="str">
        <f aca="false">IF(IsPro,IF($D1158="","",IF(AND(V1158&lt;&gt;"",INDEX(Parties!$E$5:$E$304,V1158)&lt;&gt;"",INDEX(Parties!$E$5:$E$304,V1158)&lt;&gt;HomeState),ROUND(L1158*M1158,2),0)),"")</f>
        <v/>
      </c>
      <c r="Q1158" s="61" t="str">
        <f aca="false">IF(IsPro,IF($D1158="","",L1158+N1158+O1158+P1158),"")</f>
        <v/>
      </c>
      <c r="R1158" s="61" t="str">
        <f aca="false">IF(IsPro,IF($D1158="","",ROUND(N($E1158)*IFERROR(INDEX(Items!$P$5:$P$504,U1158),0),2)),"")</f>
        <v/>
      </c>
      <c r="S1158" s="61" t="str">
        <f aca="false">IF(IsPro,IF($D1158="","",L1158-R1158),"")</f>
        <v/>
      </c>
      <c r="T1158" s="60" t="str">
        <f aca="false">IF(IsPro,IF($D1158="","",IF(U1158="","UNKNOWN ITEM",IF(INDEX(Items!$O$5:$O$504,U1158)&lt;0,"NEG STOCK",IF(K1158&lt;INDEX(Items!$P$5:$P$504,U1158),"BELOW COST","OK")))),IF($D1158="","","PRO PLAN"))</f>
        <v/>
      </c>
      <c r="U1158" s="60" t="str">
        <f aca="false">IF(IsPro,IF($D1158="","",IFERROR(MATCH($D1158,Items!$A$5:$A$504,0),"")),"")</f>
        <v/>
      </c>
      <c r="V1158" s="60" t="str">
        <f aca="false">IF(IsPro,IF($C1158="","",IFERROR(MATCH($C1158,Parties!$A$5:$A$304,0),"")),"")</f>
        <v/>
      </c>
      <c r="W1158" s="60" t="str">
        <f aca="false">IF(IsPro,IF($B1158="","",IFERROR(VALUE(SUBSTITUTE($B1158,InvPrefix,"")),0)),"")</f>
        <v/>
      </c>
      <c r="X1158" s="61" t="str">
        <f aca="false">IF(IsPro,IF($D1158="","",IF(OR($H1158="",$H1158="Credit"),0,Q1158)),"")</f>
        <v/>
      </c>
    </row>
    <row r="1159" customFormat="false" ht="15" hidden="false" customHeight="false" outlineLevel="0" collapsed="false">
      <c r="A1159" s="55"/>
      <c r="B1159" s="56"/>
      <c r="C1159" s="56"/>
      <c r="D1159" s="56"/>
      <c r="E1159" s="57"/>
      <c r="F1159" s="58"/>
      <c r="G1159" s="59"/>
      <c r="H1159" s="56"/>
      <c r="I1159" s="56"/>
      <c r="J1159" s="60" t="str">
        <f aca="false">IF(IsPro,IF($D1159="","",IFERROR(INDEX(Items!$D$5:$D$504,U1159),"")),"")</f>
        <v/>
      </c>
      <c r="K1159" s="61" t="str">
        <f aca="false">IF(IsPro,IF($D1159="","",IF($F1159="",IFERROR(INDEX(Items!$H$5:$H$504,U1159),0),$F1159)),"")</f>
        <v/>
      </c>
      <c r="L1159" s="61" t="str">
        <f aca="false">IF(IsPro,IF($D1159="","",ROUND(N($E1159)*K1159*(1-N($G1159)),2)),"")</f>
        <v/>
      </c>
      <c r="M1159" s="62" t="str">
        <f aca="false">IF(IsPro,IF($D1159="","",IFERROR(INDEX(Items!$F$5:$F$504,U1159),0)),"")</f>
        <v/>
      </c>
      <c r="N1159" s="61" t="str">
        <f aca="false">IF(IsPro,IF($D1159="","",IF(AND(V1159&lt;&gt;"",INDEX(Parties!$E$5:$E$304,V1159)&lt;&gt;"",INDEX(Parties!$E$5:$E$304,V1159)&lt;&gt;HomeState),0,ROUND(L1159*M1159/2,2))),"")</f>
        <v/>
      </c>
      <c r="O1159" s="61" t="str">
        <f aca="false">IF(IsPro,IF($D1159="","",N1159),"")</f>
        <v/>
      </c>
      <c r="P1159" s="61" t="str">
        <f aca="false">IF(IsPro,IF($D1159="","",IF(AND(V1159&lt;&gt;"",INDEX(Parties!$E$5:$E$304,V1159)&lt;&gt;"",INDEX(Parties!$E$5:$E$304,V1159)&lt;&gt;HomeState),ROUND(L1159*M1159,2),0)),"")</f>
        <v/>
      </c>
      <c r="Q1159" s="61" t="str">
        <f aca="false">IF(IsPro,IF($D1159="","",L1159+N1159+O1159+P1159),"")</f>
        <v/>
      </c>
      <c r="R1159" s="61" t="str">
        <f aca="false">IF(IsPro,IF($D1159="","",ROUND(N($E1159)*IFERROR(INDEX(Items!$P$5:$P$504,U1159),0),2)),"")</f>
        <v/>
      </c>
      <c r="S1159" s="61" t="str">
        <f aca="false">IF(IsPro,IF($D1159="","",L1159-R1159),"")</f>
        <v/>
      </c>
      <c r="T1159" s="60" t="str">
        <f aca="false">IF(IsPro,IF($D1159="","",IF(U1159="","UNKNOWN ITEM",IF(INDEX(Items!$O$5:$O$504,U1159)&lt;0,"NEG STOCK",IF(K1159&lt;INDEX(Items!$P$5:$P$504,U1159),"BELOW COST","OK")))),IF($D1159="","","PRO PLAN"))</f>
        <v/>
      </c>
      <c r="U1159" s="60" t="str">
        <f aca="false">IF(IsPro,IF($D1159="","",IFERROR(MATCH($D1159,Items!$A$5:$A$504,0),"")),"")</f>
        <v/>
      </c>
      <c r="V1159" s="60" t="str">
        <f aca="false">IF(IsPro,IF($C1159="","",IFERROR(MATCH($C1159,Parties!$A$5:$A$304,0),"")),"")</f>
        <v/>
      </c>
      <c r="W1159" s="60" t="str">
        <f aca="false">IF(IsPro,IF($B1159="","",IFERROR(VALUE(SUBSTITUTE($B1159,InvPrefix,"")),0)),"")</f>
        <v/>
      </c>
      <c r="X1159" s="61" t="str">
        <f aca="false">IF(IsPro,IF($D1159="","",IF(OR($H1159="",$H1159="Credit"),0,Q1159)),"")</f>
        <v/>
      </c>
    </row>
    <row r="1160" customFormat="false" ht="15" hidden="false" customHeight="false" outlineLevel="0" collapsed="false">
      <c r="A1160" s="55"/>
      <c r="B1160" s="56"/>
      <c r="C1160" s="56"/>
      <c r="D1160" s="56"/>
      <c r="E1160" s="57"/>
      <c r="F1160" s="58"/>
      <c r="G1160" s="59"/>
      <c r="H1160" s="56"/>
      <c r="I1160" s="56"/>
      <c r="J1160" s="60" t="str">
        <f aca="false">IF(IsPro,IF($D1160="","",IFERROR(INDEX(Items!$D$5:$D$504,U1160),"")),"")</f>
        <v/>
      </c>
      <c r="K1160" s="61" t="str">
        <f aca="false">IF(IsPro,IF($D1160="","",IF($F1160="",IFERROR(INDEX(Items!$H$5:$H$504,U1160),0),$F1160)),"")</f>
        <v/>
      </c>
      <c r="L1160" s="61" t="str">
        <f aca="false">IF(IsPro,IF($D1160="","",ROUND(N($E1160)*K1160*(1-N($G1160)),2)),"")</f>
        <v/>
      </c>
      <c r="M1160" s="62" t="str">
        <f aca="false">IF(IsPro,IF($D1160="","",IFERROR(INDEX(Items!$F$5:$F$504,U1160),0)),"")</f>
        <v/>
      </c>
      <c r="N1160" s="61" t="str">
        <f aca="false">IF(IsPro,IF($D1160="","",IF(AND(V1160&lt;&gt;"",INDEX(Parties!$E$5:$E$304,V1160)&lt;&gt;"",INDEX(Parties!$E$5:$E$304,V1160)&lt;&gt;HomeState),0,ROUND(L1160*M1160/2,2))),"")</f>
        <v/>
      </c>
      <c r="O1160" s="61" t="str">
        <f aca="false">IF(IsPro,IF($D1160="","",N1160),"")</f>
        <v/>
      </c>
      <c r="P1160" s="61" t="str">
        <f aca="false">IF(IsPro,IF($D1160="","",IF(AND(V1160&lt;&gt;"",INDEX(Parties!$E$5:$E$304,V1160)&lt;&gt;"",INDEX(Parties!$E$5:$E$304,V1160)&lt;&gt;HomeState),ROUND(L1160*M1160,2),0)),"")</f>
        <v/>
      </c>
      <c r="Q1160" s="61" t="str">
        <f aca="false">IF(IsPro,IF($D1160="","",L1160+N1160+O1160+P1160),"")</f>
        <v/>
      </c>
      <c r="R1160" s="61" t="str">
        <f aca="false">IF(IsPro,IF($D1160="","",ROUND(N($E1160)*IFERROR(INDEX(Items!$P$5:$P$504,U1160),0),2)),"")</f>
        <v/>
      </c>
      <c r="S1160" s="61" t="str">
        <f aca="false">IF(IsPro,IF($D1160="","",L1160-R1160),"")</f>
        <v/>
      </c>
      <c r="T1160" s="60" t="str">
        <f aca="false">IF(IsPro,IF($D1160="","",IF(U1160="","UNKNOWN ITEM",IF(INDEX(Items!$O$5:$O$504,U1160)&lt;0,"NEG STOCK",IF(K1160&lt;INDEX(Items!$P$5:$P$504,U1160),"BELOW COST","OK")))),IF($D1160="","","PRO PLAN"))</f>
        <v/>
      </c>
      <c r="U1160" s="60" t="str">
        <f aca="false">IF(IsPro,IF($D1160="","",IFERROR(MATCH($D1160,Items!$A$5:$A$504,0),"")),"")</f>
        <v/>
      </c>
      <c r="V1160" s="60" t="str">
        <f aca="false">IF(IsPro,IF($C1160="","",IFERROR(MATCH($C1160,Parties!$A$5:$A$304,0),"")),"")</f>
        <v/>
      </c>
      <c r="W1160" s="60" t="str">
        <f aca="false">IF(IsPro,IF($B1160="","",IFERROR(VALUE(SUBSTITUTE($B1160,InvPrefix,"")),0)),"")</f>
        <v/>
      </c>
      <c r="X1160" s="61" t="str">
        <f aca="false">IF(IsPro,IF($D1160="","",IF(OR($H1160="",$H1160="Credit"),0,Q1160)),"")</f>
        <v/>
      </c>
    </row>
    <row r="1161" customFormat="false" ht="15" hidden="false" customHeight="false" outlineLevel="0" collapsed="false">
      <c r="A1161" s="55"/>
      <c r="B1161" s="56"/>
      <c r="C1161" s="56"/>
      <c r="D1161" s="56"/>
      <c r="E1161" s="57"/>
      <c r="F1161" s="58"/>
      <c r="G1161" s="59"/>
      <c r="H1161" s="56"/>
      <c r="I1161" s="56"/>
      <c r="J1161" s="60" t="str">
        <f aca="false">IF(IsPro,IF($D1161="","",IFERROR(INDEX(Items!$D$5:$D$504,U1161),"")),"")</f>
        <v/>
      </c>
      <c r="K1161" s="61" t="str">
        <f aca="false">IF(IsPro,IF($D1161="","",IF($F1161="",IFERROR(INDEX(Items!$H$5:$H$504,U1161),0),$F1161)),"")</f>
        <v/>
      </c>
      <c r="L1161" s="61" t="str">
        <f aca="false">IF(IsPro,IF($D1161="","",ROUND(N($E1161)*K1161*(1-N($G1161)),2)),"")</f>
        <v/>
      </c>
      <c r="M1161" s="62" t="str">
        <f aca="false">IF(IsPro,IF($D1161="","",IFERROR(INDEX(Items!$F$5:$F$504,U1161),0)),"")</f>
        <v/>
      </c>
      <c r="N1161" s="61" t="str">
        <f aca="false">IF(IsPro,IF($D1161="","",IF(AND(V1161&lt;&gt;"",INDEX(Parties!$E$5:$E$304,V1161)&lt;&gt;"",INDEX(Parties!$E$5:$E$304,V1161)&lt;&gt;HomeState),0,ROUND(L1161*M1161/2,2))),"")</f>
        <v/>
      </c>
      <c r="O1161" s="61" t="str">
        <f aca="false">IF(IsPro,IF($D1161="","",N1161),"")</f>
        <v/>
      </c>
      <c r="P1161" s="61" t="str">
        <f aca="false">IF(IsPro,IF($D1161="","",IF(AND(V1161&lt;&gt;"",INDEX(Parties!$E$5:$E$304,V1161)&lt;&gt;"",INDEX(Parties!$E$5:$E$304,V1161)&lt;&gt;HomeState),ROUND(L1161*M1161,2),0)),"")</f>
        <v/>
      </c>
      <c r="Q1161" s="61" t="str">
        <f aca="false">IF(IsPro,IF($D1161="","",L1161+N1161+O1161+P1161),"")</f>
        <v/>
      </c>
      <c r="R1161" s="61" t="str">
        <f aca="false">IF(IsPro,IF($D1161="","",ROUND(N($E1161)*IFERROR(INDEX(Items!$P$5:$P$504,U1161),0),2)),"")</f>
        <v/>
      </c>
      <c r="S1161" s="61" t="str">
        <f aca="false">IF(IsPro,IF($D1161="","",L1161-R1161),"")</f>
        <v/>
      </c>
      <c r="T1161" s="60" t="str">
        <f aca="false">IF(IsPro,IF($D1161="","",IF(U1161="","UNKNOWN ITEM",IF(INDEX(Items!$O$5:$O$504,U1161)&lt;0,"NEG STOCK",IF(K1161&lt;INDEX(Items!$P$5:$P$504,U1161),"BELOW COST","OK")))),IF($D1161="","","PRO PLAN"))</f>
        <v/>
      </c>
      <c r="U1161" s="60" t="str">
        <f aca="false">IF(IsPro,IF($D1161="","",IFERROR(MATCH($D1161,Items!$A$5:$A$504,0),"")),"")</f>
        <v/>
      </c>
      <c r="V1161" s="60" t="str">
        <f aca="false">IF(IsPro,IF($C1161="","",IFERROR(MATCH($C1161,Parties!$A$5:$A$304,0),"")),"")</f>
        <v/>
      </c>
      <c r="W1161" s="60" t="str">
        <f aca="false">IF(IsPro,IF($B1161="","",IFERROR(VALUE(SUBSTITUTE($B1161,InvPrefix,"")),0)),"")</f>
        <v/>
      </c>
      <c r="X1161" s="61" t="str">
        <f aca="false">IF(IsPro,IF($D1161="","",IF(OR($H1161="",$H1161="Credit"),0,Q1161)),"")</f>
        <v/>
      </c>
    </row>
    <row r="1162" customFormat="false" ht="15" hidden="false" customHeight="false" outlineLevel="0" collapsed="false">
      <c r="A1162" s="55"/>
      <c r="B1162" s="56"/>
      <c r="C1162" s="56"/>
      <c r="D1162" s="56"/>
      <c r="E1162" s="57"/>
      <c r="F1162" s="58"/>
      <c r="G1162" s="59"/>
      <c r="H1162" s="56"/>
      <c r="I1162" s="56"/>
      <c r="J1162" s="60" t="str">
        <f aca="false">IF(IsPro,IF($D1162="","",IFERROR(INDEX(Items!$D$5:$D$504,U1162),"")),"")</f>
        <v/>
      </c>
      <c r="K1162" s="61" t="str">
        <f aca="false">IF(IsPro,IF($D1162="","",IF($F1162="",IFERROR(INDEX(Items!$H$5:$H$504,U1162),0),$F1162)),"")</f>
        <v/>
      </c>
      <c r="L1162" s="61" t="str">
        <f aca="false">IF(IsPro,IF($D1162="","",ROUND(N($E1162)*K1162*(1-N($G1162)),2)),"")</f>
        <v/>
      </c>
      <c r="M1162" s="62" t="str">
        <f aca="false">IF(IsPro,IF($D1162="","",IFERROR(INDEX(Items!$F$5:$F$504,U1162),0)),"")</f>
        <v/>
      </c>
      <c r="N1162" s="61" t="str">
        <f aca="false">IF(IsPro,IF($D1162="","",IF(AND(V1162&lt;&gt;"",INDEX(Parties!$E$5:$E$304,V1162)&lt;&gt;"",INDEX(Parties!$E$5:$E$304,V1162)&lt;&gt;HomeState),0,ROUND(L1162*M1162/2,2))),"")</f>
        <v/>
      </c>
      <c r="O1162" s="61" t="str">
        <f aca="false">IF(IsPro,IF($D1162="","",N1162),"")</f>
        <v/>
      </c>
      <c r="P1162" s="61" t="str">
        <f aca="false">IF(IsPro,IF($D1162="","",IF(AND(V1162&lt;&gt;"",INDEX(Parties!$E$5:$E$304,V1162)&lt;&gt;"",INDEX(Parties!$E$5:$E$304,V1162)&lt;&gt;HomeState),ROUND(L1162*M1162,2),0)),"")</f>
        <v/>
      </c>
      <c r="Q1162" s="61" t="str">
        <f aca="false">IF(IsPro,IF($D1162="","",L1162+N1162+O1162+P1162),"")</f>
        <v/>
      </c>
      <c r="R1162" s="61" t="str">
        <f aca="false">IF(IsPro,IF($D1162="","",ROUND(N($E1162)*IFERROR(INDEX(Items!$P$5:$P$504,U1162),0),2)),"")</f>
        <v/>
      </c>
      <c r="S1162" s="61" t="str">
        <f aca="false">IF(IsPro,IF($D1162="","",L1162-R1162),"")</f>
        <v/>
      </c>
      <c r="T1162" s="60" t="str">
        <f aca="false">IF(IsPro,IF($D1162="","",IF(U1162="","UNKNOWN ITEM",IF(INDEX(Items!$O$5:$O$504,U1162)&lt;0,"NEG STOCK",IF(K1162&lt;INDEX(Items!$P$5:$P$504,U1162),"BELOW COST","OK")))),IF($D1162="","","PRO PLAN"))</f>
        <v/>
      </c>
      <c r="U1162" s="60" t="str">
        <f aca="false">IF(IsPro,IF($D1162="","",IFERROR(MATCH($D1162,Items!$A$5:$A$504,0),"")),"")</f>
        <v/>
      </c>
      <c r="V1162" s="60" t="str">
        <f aca="false">IF(IsPro,IF($C1162="","",IFERROR(MATCH($C1162,Parties!$A$5:$A$304,0),"")),"")</f>
        <v/>
      </c>
      <c r="W1162" s="60" t="str">
        <f aca="false">IF(IsPro,IF($B1162="","",IFERROR(VALUE(SUBSTITUTE($B1162,InvPrefix,"")),0)),"")</f>
        <v/>
      </c>
      <c r="X1162" s="61" t="str">
        <f aca="false">IF(IsPro,IF($D1162="","",IF(OR($H1162="",$H1162="Credit"),0,Q1162)),"")</f>
        <v/>
      </c>
    </row>
    <row r="1163" customFormat="false" ht="15" hidden="false" customHeight="false" outlineLevel="0" collapsed="false">
      <c r="A1163" s="55"/>
      <c r="B1163" s="56"/>
      <c r="C1163" s="56"/>
      <c r="D1163" s="56"/>
      <c r="E1163" s="57"/>
      <c r="F1163" s="58"/>
      <c r="G1163" s="59"/>
      <c r="H1163" s="56"/>
      <c r="I1163" s="56"/>
      <c r="J1163" s="60" t="str">
        <f aca="false">IF(IsPro,IF($D1163="","",IFERROR(INDEX(Items!$D$5:$D$504,U1163),"")),"")</f>
        <v/>
      </c>
      <c r="K1163" s="61" t="str">
        <f aca="false">IF(IsPro,IF($D1163="","",IF($F1163="",IFERROR(INDEX(Items!$H$5:$H$504,U1163),0),$F1163)),"")</f>
        <v/>
      </c>
      <c r="L1163" s="61" t="str">
        <f aca="false">IF(IsPro,IF($D1163="","",ROUND(N($E1163)*K1163*(1-N($G1163)),2)),"")</f>
        <v/>
      </c>
      <c r="M1163" s="62" t="str">
        <f aca="false">IF(IsPro,IF($D1163="","",IFERROR(INDEX(Items!$F$5:$F$504,U1163),0)),"")</f>
        <v/>
      </c>
      <c r="N1163" s="61" t="str">
        <f aca="false">IF(IsPro,IF($D1163="","",IF(AND(V1163&lt;&gt;"",INDEX(Parties!$E$5:$E$304,V1163)&lt;&gt;"",INDEX(Parties!$E$5:$E$304,V1163)&lt;&gt;HomeState),0,ROUND(L1163*M1163/2,2))),"")</f>
        <v/>
      </c>
      <c r="O1163" s="61" t="str">
        <f aca="false">IF(IsPro,IF($D1163="","",N1163),"")</f>
        <v/>
      </c>
      <c r="P1163" s="61" t="str">
        <f aca="false">IF(IsPro,IF($D1163="","",IF(AND(V1163&lt;&gt;"",INDEX(Parties!$E$5:$E$304,V1163)&lt;&gt;"",INDEX(Parties!$E$5:$E$304,V1163)&lt;&gt;HomeState),ROUND(L1163*M1163,2),0)),"")</f>
        <v/>
      </c>
      <c r="Q1163" s="61" t="str">
        <f aca="false">IF(IsPro,IF($D1163="","",L1163+N1163+O1163+P1163),"")</f>
        <v/>
      </c>
      <c r="R1163" s="61" t="str">
        <f aca="false">IF(IsPro,IF($D1163="","",ROUND(N($E1163)*IFERROR(INDEX(Items!$P$5:$P$504,U1163),0),2)),"")</f>
        <v/>
      </c>
      <c r="S1163" s="61" t="str">
        <f aca="false">IF(IsPro,IF($D1163="","",L1163-R1163),"")</f>
        <v/>
      </c>
      <c r="T1163" s="60" t="str">
        <f aca="false">IF(IsPro,IF($D1163="","",IF(U1163="","UNKNOWN ITEM",IF(INDEX(Items!$O$5:$O$504,U1163)&lt;0,"NEG STOCK",IF(K1163&lt;INDEX(Items!$P$5:$P$504,U1163),"BELOW COST","OK")))),IF($D1163="","","PRO PLAN"))</f>
        <v/>
      </c>
      <c r="U1163" s="60" t="str">
        <f aca="false">IF(IsPro,IF($D1163="","",IFERROR(MATCH($D1163,Items!$A$5:$A$504,0),"")),"")</f>
        <v/>
      </c>
      <c r="V1163" s="60" t="str">
        <f aca="false">IF(IsPro,IF($C1163="","",IFERROR(MATCH($C1163,Parties!$A$5:$A$304,0),"")),"")</f>
        <v/>
      </c>
      <c r="W1163" s="60" t="str">
        <f aca="false">IF(IsPro,IF($B1163="","",IFERROR(VALUE(SUBSTITUTE($B1163,InvPrefix,"")),0)),"")</f>
        <v/>
      </c>
      <c r="X1163" s="61" t="str">
        <f aca="false">IF(IsPro,IF($D1163="","",IF(OR($H1163="",$H1163="Credit"),0,Q1163)),"")</f>
        <v/>
      </c>
    </row>
    <row r="1164" customFormat="false" ht="15" hidden="false" customHeight="false" outlineLevel="0" collapsed="false">
      <c r="A1164" s="55"/>
      <c r="B1164" s="56"/>
      <c r="C1164" s="56"/>
      <c r="D1164" s="56"/>
      <c r="E1164" s="57"/>
      <c r="F1164" s="58"/>
      <c r="G1164" s="59"/>
      <c r="H1164" s="56"/>
      <c r="I1164" s="56"/>
      <c r="J1164" s="60" t="str">
        <f aca="false">IF(IsPro,IF($D1164="","",IFERROR(INDEX(Items!$D$5:$D$504,U1164),"")),"")</f>
        <v/>
      </c>
      <c r="K1164" s="61" t="str">
        <f aca="false">IF(IsPro,IF($D1164="","",IF($F1164="",IFERROR(INDEX(Items!$H$5:$H$504,U1164),0),$F1164)),"")</f>
        <v/>
      </c>
      <c r="L1164" s="61" t="str">
        <f aca="false">IF(IsPro,IF($D1164="","",ROUND(N($E1164)*K1164*(1-N($G1164)),2)),"")</f>
        <v/>
      </c>
      <c r="M1164" s="62" t="str">
        <f aca="false">IF(IsPro,IF($D1164="","",IFERROR(INDEX(Items!$F$5:$F$504,U1164),0)),"")</f>
        <v/>
      </c>
      <c r="N1164" s="61" t="str">
        <f aca="false">IF(IsPro,IF($D1164="","",IF(AND(V1164&lt;&gt;"",INDEX(Parties!$E$5:$E$304,V1164)&lt;&gt;"",INDEX(Parties!$E$5:$E$304,V1164)&lt;&gt;HomeState),0,ROUND(L1164*M1164/2,2))),"")</f>
        <v/>
      </c>
      <c r="O1164" s="61" t="str">
        <f aca="false">IF(IsPro,IF($D1164="","",N1164),"")</f>
        <v/>
      </c>
      <c r="P1164" s="61" t="str">
        <f aca="false">IF(IsPro,IF($D1164="","",IF(AND(V1164&lt;&gt;"",INDEX(Parties!$E$5:$E$304,V1164)&lt;&gt;"",INDEX(Parties!$E$5:$E$304,V1164)&lt;&gt;HomeState),ROUND(L1164*M1164,2),0)),"")</f>
        <v/>
      </c>
      <c r="Q1164" s="61" t="str">
        <f aca="false">IF(IsPro,IF($D1164="","",L1164+N1164+O1164+P1164),"")</f>
        <v/>
      </c>
      <c r="R1164" s="61" t="str">
        <f aca="false">IF(IsPro,IF($D1164="","",ROUND(N($E1164)*IFERROR(INDEX(Items!$P$5:$P$504,U1164),0),2)),"")</f>
        <v/>
      </c>
      <c r="S1164" s="61" t="str">
        <f aca="false">IF(IsPro,IF($D1164="","",L1164-R1164),"")</f>
        <v/>
      </c>
      <c r="T1164" s="60" t="str">
        <f aca="false">IF(IsPro,IF($D1164="","",IF(U1164="","UNKNOWN ITEM",IF(INDEX(Items!$O$5:$O$504,U1164)&lt;0,"NEG STOCK",IF(K1164&lt;INDEX(Items!$P$5:$P$504,U1164),"BELOW COST","OK")))),IF($D1164="","","PRO PLAN"))</f>
        <v/>
      </c>
      <c r="U1164" s="60" t="str">
        <f aca="false">IF(IsPro,IF($D1164="","",IFERROR(MATCH($D1164,Items!$A$5:$A$504,0),"")),"")</f>
        <v/>
      </c>
      <c r="V1164" s="60" t="str">
        <f aca="false">IF(IsPro,IF($C1164="","",IFERROR(MATCH($C1164,Parties!$A$5:$A$304,0),"")),"")</f>
        <v/>
      </c>
      <c r="W1164" s="60" t="str">
        <f aca="false">IF(IsPro,IF($B1164="","",IFERROR(VALUE(SUBSTITUTE($B1164,InvPrefix,"")),0)),"")</f>
        <v/>
      </c>
      <c r="X1164" s="61" t="str">
        <f aca="false">IF(IsPro,IF($D1164="","",IF(OR($H1164="",$H1164="Credit"),0,Q1164)),"")</f>
        <v/>
      </c>
    </row>
    <row r="1165" customFormat="false" ht="15" hidden="false" customHeight="false" outlineLevel="0" collapsed="false">
      <c r="A1165" s="55"/>
      <c r="B1165" s="56"/>
      <c r="C1165" s="56"/>
      <c r="D1165" s="56"/>
      <c r="E1165" s="57"/>
      <c r="F1165" s="58"/>
      <c r="G1165" s="59"/>
      <c r="H1165" s="56"/>
      <c r="I1165" s="56"/>
      <c r="J1165" s="60" t="str">
        <f aca="false">IF(IsPro,IF($D1165="","",IFERROR(INDEX(Items!$D$5:$D$504,U1165),"")),"")</f>
        <v/>
      </c>
      <c r="K1165" s="61" t="str">
        <f aca="false">IF(IsPro,IF($D1165="","",IF($F1165="",IFERROR(INDEX(Items!$H$5:$H$504,U1165),0),$F1165)),"")</f>
        <v/>
      </c>
      <c r="L1165" s="61" t="str">
        <f aca="false">IF(IsPro,IF($D1165="","",ROUND(N($E1165)*K1165*(1-N($G1165)),2)),"")</f>
        <v/>
      </c>
      <c r="M1165" s="62" t="str">
        <f aca="false">IF(IsPro,IF($D1165="","",IFERROR(INDEX(Items!$F$5:$F$504,U1165),0)),"")</f>
        <v/>
      </c>
      <c r="N1165" s="61" t="str">
        <f aca="false">IF(IsPro,IF($D1165="","",IF(AND(V1165&lt;&gt;"",INDEX(Parties!$E$5:$E$304,V1165)&lt;&gt;"",INDEX(Parties!$E$5:$E$304,V1165)&lt;&gt;HomeState),0,ROUND(L1165*M1165/2,2))),"")</f>
        <v/>
      </c>
      <c r="O1165" s="61" t="str">
        <f aca="false">IF(IsPro,IF($D1165="","",N1165),"")</f>
        <v/>
      </c>
      <c r="P1165" s="61" t="str">
        <f aca="false">IF(IsPro,IF($D1165="","",IF(AND(V1165&lt;&gt;"",INDEX(Parties!$E$5:$E$304,V1165)&lt;&gt;"",INDEX(Parties!$E$5:$E$304,V1165)&lt;&gt;HomeState),ROUND(L1165*M1165,2),0)),"")</f>
        <v/>
      </c>
      <c r="Q1165" s="61" t="str">
        <f aca="false">IF(IsPro,IF($D1165="","",L1165+N1165+O1165+P1165),"")</f>
        <v/>
      </c>
      <c r="R1165" s="61" t="str">
        <f aca="false">IF(IsPro,IF($D1165="","",ROUND(N($E1165)*IFERROR(INDEX(Items!$P$5:$P$504,U1165),0),2)),"")</f>
        <v/>
      </c>
      <c r="S1165" s="61" t="str">
        <f aca="false">IF(IsPro,IF($D1165="","",L1165-R1165),"")</f>
        <v/>
      </c>
      <c r="T1165" s="60" t="str">
        <f aca="false">IF(IsPro,IF($D1165="","",IF(U1165="","UNKNOWN ITEM",IF(INDEX(Items!$O$5:$O$504,U1165)&lt;0,"NEG STOCK",IF(K1165&lt;INDEX(Items!$P$5:$P$504,U1165),"BELOW COST","OK")))),IF($D1165="","","PRO PLAN"))</f>
        <v/>
      </c>
      <c r="U1165" s="60" t="str">
        <f aca="false">IF(IsPro,IF($D1165="","",IFERROR(MATCH($D1165,Items!$A$5:$A$504,0),"")),"")</f>
        <v/>
      </c>
      <c r="V1165" s="60" t="str">
        <f aca="false">IF(IsPro,IF($C1165="","",IFERROR(MATCH($C1165,Parties!$A$5:$A$304,0),"")),"")</f>
        <v/>
      </c>
      <c r="W1165" s="60" t="str">
        <f aca="false">IF(IsPro,IF($B1165="","",IFERROR(VALUE(SUBSTITUTE($B1165,InvPrefix,"")),0)),"")</f>
        <v/>
      </c>
      <c r="X1165" s="61" t="str">
        <f aca="false">IF(IsPro,IF($D1165="","",IF(OR($H1165="",$H1165="Credit"),0,Q1165)),"")</f>
        <v/>
      </c>
    </row>
    <row r="1166" customFormat="false" ht="15" hidden="false" customHeight="false" outlineLevel="0" collapsed="false">
      <c r="A1166" s="55"/>
      <c r="B1166" s="56"/>
      <c r="C1166" s="56"/>
      <c r="D1166" s="56"/>
      <c r="E1166" s="57"/>
      <c r="F1166" s="58"/>
      <c r="G1166" s="59"/>
      <c r="H1166" s="56"/>
      <c r="I1166" s="56"/>
      <c r="J1166" s="60" t="str">
        <f aca="false">IF(IsPro,IF($D1166="","",IFERROR(INDEX(Items!$D$5:$D$504,U1166),"")),"")</f>
        <v/>
      </c>
      <c r="K1166" s="61" t="str">
        <f aca="false">IF(IsPro,IF($D1166="","",IF($F1166="",IFERROR(INDEX(Items!$H$5:$H$504,U1166),0),$F1166)),"")</f>
        <v/>
      </c>
      <c r="L1166" s="61" t="str">
        <f aca="false">IF(IsPro,IF($D1166="","",ROUND(N($E1166)*K1166*(1-N($G1166)),2)),"")</f>
        <v/>
      </c>
      <c r="M1166" s="62" t="str">
        <f aca="false">IF(IsPro,IF($D1166="","",IFERROR(INDEX(Items!$F$5:$F$504,U1166),0)),"")</f>
        <v/>
      </c>
      <c r="N1166" s="61" t="str">
        <f aca="false">IF(IsPro,IF($D1166="","",IF(AND(V1166&lt;&gt;"",INDEX(Parties!$E$5:$E$304,V1166)&lt;&gt;"",INDEX(Parties!$E$5:$E$304,V1166)&lt;&gt;HomeState),0,ROUND(L1166*M1166/2,2))),"")</f>
        <v/>
      </c>
      <c r="O1166" s="61" t="str">
        <f aca="false">IF(IsPro,IF($D1166="","",N1166),"")</f>
        <v/>
      </c>
      <c r="P1166" s="61" t="str">
        <f aca="false">IF(IsPro,IF($D1166="","",IF(AND(V1166&lt;&gt;"",INDEX(Parties!$E$5:$E$304,V1166)&lt;&gt;"",INDEX(Parties!$E$5:$E$304,V1166)&lt;&gt;HomeState),ROUND(L1166*M1166,2),0)),"")</f>
        <v/>
      </c>
      <c r="Q1166" s="61" t="str">
        <f aca="false">IF(IsPro,IF($D1166="","",L1166+N1166+O1166+P1166),"")</f>
        <v/>
      </c>
      <c r="R1166" s="61" t="str">
        <f aca="false">IF(IsPro,IF($D1166="","",ROUND(N($E1166)*IFERROR(INDEX(Items!$P$5:$P$504,U1166),0),2)),"")</f>
        <v/>
      </c>
      <c r="S1166" s="61" t="str">
        <f aca="false">IF(IsPro,IF($D1166="","",L1166-R1166),"")</f>
        <v/>
      </c>
      <c r="T1166" s="60" t="str">
        <f aca="false">IF(IsPro,IF($D1166="","",IF(U1166="","UNKNOWN ITEM",IF(INDEX(Items!$O$5:$O$504,U1166)&lt;0,"NEG STOCK",IF(K1166&lt;INDEX(Items!$P$5:$P$504,U1166),"BELOW COST","OK")))),IF($D1166="","","PRO PLAN"))</f>
        <v/>
      </c>
      <c r="U1166" s="60" t="str">
        <f aca="false">IF(IsPro,IF($D1166="","",IFERROR(MATCH($D1166,Items!$A$5:$A$504,0),"")),"")</f>
        <v/>
      </c>
      <c r="V1166" s="60" t="str">
        <f aca="false">IF(IsPro,IF($C1166="","",IFERROR(MATCH($C1166,Parties!$A$5:$A$304,0),"")),"")</f>
        <v/>
      </c>
      <c r="W1166" s="60" t="str">
        <f aca="false">IF(IsPro,IF($B1166="","",IFERROR(VALUE(SUBSTITUTE($B1166,InvPrefix,"")),0)),"")</f>
        <v/>
      </c>
      <c r="X1166" s="61" t="str">
        <f aca="false">IF(IsPro,IF($D1166="","",IF(OR($H1166="",$H1166="Credit"),0,Q1166)),"")</f>
        <v/>
      </c>
    </row>
    <row r="1167" customFormat="false" ht="15" hidden="false" customHeight="false" outlineLevel="0" collapsed="false">
      <c r="A1167" s="55"/>
      <c r="B1167" s="56"/>
      <c r="C1167" s="56"/>
      <c r="D1167" s="56"/>
      <c r="E1167" s="57"/>
      <c r="F1167" s="58"/>
      <c r="G1167" s="59"/>
      <c r="H1167" s="56"/>
      <c r="I1167" s="56"/>
      <c r="J1167" s="60" t="str">
        <f aca="false">IF(IsPro,IF($D1167="","",IFERROR(INDEX(Items!$D$5:$D$504,U1167),"")),"")</f>
        <v/>
      </c>
      <c r="K1167" s="61" t="str">
        <f aca="false">IF(IsPro,IF($D1167="","",IF($F1167="",IFERROR(INDEX(Items!$H$5:$H$504,U1167),0),$F1167)),"")</f>
        <v/>
      </c>
      <c r="L1167" s="61" t="str">
        <f aca="false">IF(IsPro,IF($D1167="","",ROUND(N($E1167)*K1167*(1-N($G1167)),2)),"")</f>
        <v/>
      </c>
      <c r="M1167" s="62" t="str">
        <f aca="false">IF(IsPro,IF($D1167="","",IFERROR(INDEX(Items!$F$5:$F$504,U1167),0)),"")</f>
        <v/>
      </c>
      <c r="N1167" s="61" t="str">
        <f aca="false">IF(IsPro,IF($D1167="","",IF(AND(V1167&lt;&gt;"",INDEX(Parties!$E$5:$E$304,V1167)&lt;&gt;"",INDEX(Parties!$E$5:$E$304,V1167)&lt;&gt;HomeState),0,ROUND(L1167*M1167/2,2))),"")</f>
        <v/>
      </c>
      <c r="O1167" s="61" t="str">
        <f aca="false">IF(IsPro,IF($D1167="","",N1167),"")</f>
        <v/>
      </c>
      <c r="P1167" s="61" t="str">
        <f aca="false">IF(IsPro,IF($D1167="","",IF(AND(V1167&lt;&gt;"",INDEX(Parties!$E$5:$E$304,V1167)&lt;&gt;"",INDEX(Parties!$E$5:$E$304,V1167)&lt;&gt;HomeState),ROUND(L1167*M1167,2),0)),"")</f>
        <v/>
      </c>
      <c r="Q1167" s="61" t="str">
        <f aca="false">IF(IsPro,IF($D1167="","",L1167+N1167+O1167+P1167),"")</f>
        <v/>
      </c>
      <c r="R1167" s="61" t="str">
        <f aca="false">IF(IsPro,IF($D1167="","",ROUND(N($E1167)*IFERROR(INDEX(Items!$P$5:$P$504,U1167),0),2)),"")</f>
        <v/>
      </c>
      <c r="S1167" s="61" t="str">
        <f aca="false">IF(IsPro,IF($D1167="","",L1167-R1167),"")</f>
        <v/>
      </c>
      <c r="T1167" s="60" t="str">
        <f aca="false">IF(IsPro,IF($D1167="","",IF(U1167="","UNKNOWN ITEM",IF(INDEX(Items!$O$5:$O$504,U1167)&lt;0,"NEG STOCK",IF(K1167&lt;INDEX(Items!$P$5:$P$504,U1167),"BELOW COST","OK")))),IF($D1167="","","PRO PLAN"))</f>
        <v/>
      </c>
      <c r="U1167" s="60" t="str">
        <f aca="false">IF(IsPro,IF($D1167="","",IFERROR(MATCH($D1167,Items!$A$5:$A$504,0),"")),"")</f>
        <v/>
      </c>
      <c r="V1167" s="60" t="str">
        <f aca="false">IF(IsPro,IF($C1167="","",IFERROR(MATCH($C1167,Parties!$A$5:$A$304,0),"")),"")</f>
        <v/>
      </c>
      <c r="W1167" s="60" t="str">
        <f aca="false">IF(IsPro,IF($B1167="","",IFERROR(VALUE(SUBSTITUTE($B1167,InvPrefix,"")),0)),"")</f>
        <v/>
      </c>
      <c r="X1167" s="61" t="str">
        <f aca="false">IF(IsPro,IF($D1167="","",IF(OR($H1167="",$H1167="Credit"),0,Q1167)),"")</f>
        <v/>
      </c>
    </row>
    <row r="1168" customFormat="false" ht="15" hidden="false" customHeight="false" outlineLevel="0" collapsed="false">
      <c r="A1168" s="55"/>
      <c r="B1168" s="56"/>
      <c r="C1168" s="56"/>
      <c r="D1168" s="56"/>
      <c r="E1168" s="57"/>
      <c r="F1168" s="58"/>
      <c r="G1168" s="59"/>
      <c r="H1168" s="56"/>
      <c r="I1168" s="56"/>
      <c r="J1168" s="60" t="str">
        <f aca="false">IF(IsPro,IF($D1168="","",IFERROR(INDEX(Items!$D$5:$D$504,U1168),"")),"")</f>
        <v/>
      </c>
      <c r="K1168" s="61" t="str">
        <f aca="false">IF(IsPro,IF($D1168="","",IF($F1168="",IFERROR(INDEX(Items!$H$5:$H$504,U1168),0),$F1168)),"")</f>
        <v/>
      </c>
      <c r="L1168" s="61" t="str">
        <f aca="false">IF(IsPro,IF($D1168="","",ROUND(N($E1168)*K1168*(1-N($G1168)),2)),"")</f>
        <v/>
      </c>
      <c r="M1168" s="62" t="str">
        <f aca="false">IF(IsPro,IF($D1168="","",IFERROR(INDEX(Items!$F$5:$F$504,U1168),0)),"")</f>
        <v/>
      </c>
      <c r="N1168" s="61" t="str">
        <f aca="false">IF(IsPro,IF($D1168="","",IF(AND(V1168&lt;&gt;"",INDEX(Parties!$E$5:$E$304,V1168)&lt;&gt;"",INDEX(Parties!$E$5:$E$304,V1168)&lt;&gt;HomeState),0,ROUND(L1168*M1168/2,2))),"")</f>
        <v/>
      </c>
      <c r="O1168" s="61" t="str">
        <f aca="false">IF(IsPro,IF($D1168="","",N1168),"")</f>
        <v/>
      </c>
      <c r="P1168" s="61" t="str">
        <f aca="false">IF(IsPro,IF($D1168="","",IF(AND(V1168&lt;&gt;"",INDEX(Parties!$E$5:$E$304,V1168)&lt;&gt;"",INDEX(Parties!$E$5:$E$304,V1168)&lt;&gt;HomeState),ROUND(L1168*M1168,2),0)),"")</f>
        <v/>
      </c>
      <c r="Q1168" s="61" t="str">
        <f aca="false">IF(IsPro,IF($D1168="","",L1168+N1168+O1168+P1168),"")</f>
        <v/>
      </c>
      <c r="R1168" s="61" t="str">
        <f aca="false">IF(IsPro,IF($D1168="","",ROUND(N($E1168)*IFERROR(INDEX(Items!$P$5:$P$504,U1168),0),2)),"")</f>
        <v/>
      </c>
      <c r="S1168" s="61" t="str">
        <f aca="false">IF(IsPro,IF($D1168="","",L1168-R1168),"")</f>
        <v/>
      </c>
      <c r="T1168" s="60" t="str">
        <f aca="false">IF(IsPro,IF($D1168="","",IF(U1168="","UNKNOWN ITEM",IF(INDEX(Items!$O$5:$O$504,U1168)&lt;0,"NEG STOCK",IF(K1168&lt;INDEX(Items!$P$5:$P$504,U1168),"BELOW COST","OK")))),IF($D1168="","","PRO PLAN"))</f>
        <v/>
      </c>
      <c r="U1168" s="60" t="str">
        <f aca="false">IF(IsPro,IF($D1168="","",IFERROR(MATCH($D1168,Items!$A$5:$A$504,0),"")),"")</f>
        <v/>
      </c>
      <c r="V1168" s="60" t="str">
        <f aca="false">IF(IsPro,IF($C1168="","",IFERROR(MATCH($C1168,Parties!$A$5:$A$304,0),"")),"")</f>
        <v/>
      </c>
      <c r="W1168" s="60" t="str">
        <f aca="false">IF(IsPro,IF($B1168="","",IFERROR(VALUE(SUBSTITUTE($B1168,InvPrefix,"")),0)),"")</f>
        <v/>
      </c>
      <c r="X1168" s="61" t="str">
        <f aca="false">IF(IsPro,IF($D1168="","",IF(OR($H1168="",$H1168="Credit"),0,Q1168)),"")</f>
        <v/>
      </c>
    </row>
    <row r="1169" customFormat="false" ht="15" hidden="false" customHeight="false" outlineLevel="0" collapsed="false">
      <c r="A1169" s="55"/>
      <c r="B1169" s="56"/>
      <c r="C1169" s="56"/>
      <c r="D1169" s="56"/>
      <c r="E1169" s="57"/>
      <c r="F1169" s="58"/>
      <c r="G1169" s="59"/>
      <c r="H1169" s="56"/>
      <c r="I1169" s="56"/>
      <c r="J1169" s="60" t="str">
        <f aca="false">IF(IsPro,IF($D1169="","",IFERROR(INDEX(Items!$D$5:$D$504,U1169),"")),"")</f>
        <v/>
      </c>
      <c r="K1169" s="61" t="str">
        <f aca="false">IF(IsPro,IF($D1169="","",IF($F1169="",IFERROR(INDEX(Items!$H$5:$H$504,U1169),0),$F1169)),"")</f>
        <v/>
      </c>
      <c r="L1169" s="61" t="str">
        <f aca="false">IF(IsPro,IF($D1169="","",ROUND(N($E1169)*K1169*(1-N($G1169)),2)),"")</f>
        <v/>
      </c>
      <c r="M1169" s="62" t="str">
        <f aca="false">IF(IsPro,IF($D1169="","",IFERROR(INDEX(Items!$F$5:$F$504,U1169),0)),"")</f>
        <v/>
      </c>
      <c r="N1169" s="61" t="str">
        <f aca="false">IF(IsPro,IF($D1169="","",IF(AND(V1169&lt;&gt;"",INDEX(Parties!$E$5:$E$304,V1169)&lt;&gt;"",INDEX(Parties!$E$5:$E$304,V1169)&lt;&gt;HomeState),0,ROUND(L1169*M1169/2,2))),"")</f>
        <v/>
      </c>
      <c r="O1169" s="61" t="str">
        <f aca="false">IF(IsPro,IF($D1169="","",N1169),"")</f>
        <v/>
      </c>
      <c r="P1169" s="61" t="str">
        <f aca="false">IF(IsPro,IF($D1169="","",IF(AND(V1169&lt;&gt;"",INDEX(Parties!$E$5:$E$304,V1169)&lt;&gt;"",INDEX(Parties!$E$5:$E$304,V1169)&lt;&gt;HomeState),ROUND(L1169*M1169,2),0)),"")</f>
        <v/>
      </c>
      <c r="Q1169" s="61" t="str">
        <f aca="false">IF(IsPro,IF($D1169="","",L1169+N1169+O1169+P1169),"")</f>
        <v/>
      </c>
      <c r="R1169" s="61" t="str">
        <f aca="false">IF(IsPro,IF($D1169="","",ROUND(N($E1169)*IFERROR(INDEX(Items!$P$5:$P$504,U1169),0),2)),"")</f>
        <v/>
      </c>
      <c r="S1169" s="61" t="str">
        <f aca="false">IF(IsPro,IF($D1169="","",L1169-R1169),"")</f>
        <v/>
      </c>
      <c r="T1169" s="60" t="str">
        <f aca="false">IF(IsPro,IF($D1169="","",IF(U1169="","UNKNOWN ITEM",IF(INDEX(Items!$O$5:$O$504,U1169)&lt;0,"NEG STOCK",IF(K1169&lt;INDEX(Items!$P$5:$P$504,U1169),"BELOW COST","OK")))),IF($D1169="","","PRO PLAN"))</f>
        <v/>
      </c>
      <c r="U1169" s="60" t="str">
        <f aca="false">IF(IsPro,IF($D1169="","",IFERROR(MATCH($D1169,Items!$A$5:$A$504,0),"")),"")</f>
        <v/>
      </c>
      <c r="V1169" s="60" t="str">
        <f aca="false">IF(IsPro,IF($C1169="","",IFERROR(MATCH($C1169,Parties!$A$5:$A$304,0),"")),"")</f>
        <v/>
      </c>
      <c r="W1169" s="60" t="str">
        <f aca="false">IF(IsPro,IF($B1169="","",IFERROR(VALUE(SUBSTITUTE($B1169,InvPrefix,"")),0)),"")</f>
        <v/>
      </c>
      <c r="X1169" s="61" t="str">
        <f aca="false">IF(IsPro,IF($D1169="","",IF(OR($H1169="",$H1169="Credit"),0,Q1169)),"")</f>
        <v/>
      </c>
    </row>
    <row r="1170" customFormat="false" ht="15" hidden="false" customHeight="false" outlineLevel="0" collapsed="false">
      <c r="A1170" s="55"/>
      <c r="B1170" s="56"/>
      <c r="C1170" s="56"/>
      <c r="D1170" s="56"/>
      <c r="E1170" s="57"/>
      <c r="F1170" s="58"/>
      <c r="G1170" s="59"/>
      <c r="H1170" s="56"/>
      <c r="I1170" s="56"/>
      <c r="J1170" s="60" t="str">
        <f aca="false">IF(IsPro,IF($D1170="","",IFERROR(INDEX(Items!$D$5:$D$504,U1170),"")),"")</f>
        <v/>
      </c>
      <c r="K1170" s="61" t="str">
        <f aca="false">IF(IsPro,IF($D1170="","",IF($F1170="",IFERROR(INDEX(Items!$H$5:$H$504,U1170),0),$F1170)),"")</f>
        <v/>
      </c>
      <c r="L1170" s="61" t="str">
        <f aca="false">IF(IsPro,IF($D1170="","",ROUND(N($E1170)*K1170*(1-N($G1170)),2)),"")</f>
        <v/>
      </c>
      <c r="M1170" s="62" t="str">
        <f aca="false">IF(IsPro,IF($D1170="","",IFERROR(INDEX(Items!$F$5:$F$504,U1170),0)),"")</f>
        <v/>
      </c>
      <c r="N1170" s="61" t="str">
        <f aca="false">IF(IsPro,IF($D1170="","",IF(AND(V1170&lt;&gt;"",INDEX(Parties!$E$5:$E$304,V1170)&lt;&gt;"",INDEX(Parties!$E$5:$E$304,V1170)&lt;&gt;HomeState),0,ROUND(L1170*M1170/2,2))),"")</f>
        <v/>
      </c>
      <c r="O1170" s="61" t="str">
        <f aca="false">IF(IsPro,IF($D1170="","",N1170),"")</f>
        <v/>
      </c>
      <c r="P1170" s="61" t="str">
        <f aca="false">IF(IsPro,IF($D1170="","",IF(AND(V1170&lt;&gt;"",INDEX(Parties!$E$5:$E$304,V1170)&lt;&gt;"",INDEX(Parties!$E$5:$E$304,V1170)&lt;&gt;HomeState),ROUND(L1170*M1170,2),0)),"")</f>
        <v/>
      </c>
      <c r="Q1170" s="61" t="str">
        <f aca="false">IF(IsPro,IF($D1170="","",L1170+N1170+O1170+P1170),"")</f>
        <v/>
      </c>
      <c r="R1170" s="61" t="str">
        <f aca="false">IF(IsPro,IF($D1170="","",ROUND(N($E1170)*IFERROR(INDEX(Items!$P$5:$P$504,U1170),0),2)),"")</f>
        <v/>
      </c>
      <c r="S1170" s="61" t="str">
        <f aca="false">IF(IsPro,IF($D1170="","",L1170-R1170),"")</f>
        <v/>
      </c>
      <c r="T1170" s="60" t="str">
        <f aca="false">IF(IsPro,IF($D1170="","",IF(U1170="","UNKNOWN ITEM",IF(INDEX(Items!$O$5:$O$504,U1170)&lt;0,"NEG STOCK",IF(K1170&lt;INDEX(Items!$P$5:$P$504,U1170),"BELOW COST","OK")))),IF($D1170="","","PRO PLAN"))</f>
        <v/>
      </c>
      <c r="U1170" s="60" t="str">
        <f aca="false">IF(IsPro,IF($D1170="","",IFERROR(MATCH($D1170,Items!$A$5:$A$504,0),"")),"")</f>
        <v/>
      </c>
      <c r="V1170" s="60" t="str">
        <f aca="false">IF(IsPro,IF($C1170="","",IFERROR(MATCH($C1170,Parties!$A$5:$A$304,0),"")),"")</f>
        <v/>
      </c>
      <c r="W1170" s="60" t="str">
        <f aca="false">IF(IsPro,IF($B1170="","",IFERROR(VALUE(SUBSTITUTE($B1170,InvPrefix,"")),0)),"")</f>
        <v/>
      </c>
      <c r="X1170" s="61" t="str">
        <f aca="false">IF(IsPro,IF($D1170="","",IF(OR($H1170="",$H1170="Credit"),0,Q1170)),"")</f>
        <v/>
      </c>
    </row>
    <row r="1171" customFormat="false" ht="15" hidden="false" customHeight="false" outlineLevel="0" collapsed="false">
      <c r="A1171" s="55"/>
      <c r="B1171" s="56"/>
      <c r="C1171" s="56"/>
      <c r="D1171" s="56"/>
      <c r="E1171" s="57"/>
      <c r="F1171" s="58"/>
      <c r="G1171" s="59"/>
      <c r="H1171" s="56"/>
      <c r="I1171" s="56"/>
      <c r="J1171" s="60" t="str">
        <f aca="false">IF(IsPro,IF($D1171="","",IFERROR(INDEX(Items!$D$5:$D$504,U1171),"")),"")</f>
        <v/>
      </c>
      <c r="K1171" s="61" t="str">
        <f aca="false">IF(IsPro,IF($D1171="","",IF($F1171="",IFERROR(INDEX(Items!$H$5:$H$504,U1171),0),$F1171)),"")</f>
        <v/>
      </c>
      <c r="L1171" s="61" t="str">
        <f aca="false">IF(IsPro,IF($D1171="","",ROUND(N($E1171)*K1171*(1-N($G1171)),2)),"")</f>
        <v/>
      </c>
      <c r="M1171" s="62" t="str">
        <f aca="false">IF(IsPro,IF($D1171="","",IFERROR(INDEX(Items!$F$5:$F$504,U1171),0)),"")</f>
        <v/>
      </c>
      <c r="N1171" s="61" t="str">
        <f aca="false">IF(IsPro,IF($D1171="","",IF(AND(V1171&lt;&gt;"",INDEX(Parties!$E$5:$E$304,V1171)&lt;&gt;"",INDEX(Parties!$E$5:$E$304,V1171)&lt;&gt;HomeState),0,ROUND(L1171*M1171/2,2))),"")</f>
        <v/>
      </c>
      <c r="O1171" s="61" t="str">
        <f aca="false">IF(IsPro,IF($D1171="","",N1171),"")</f>
        <v/>
      </c>
      <c r="P1171" s="61" t="str">
        <f aca="false">IF(IsPro,IF($D1171="","",IF(AND(V1171&lt;&gt;"",INDEX(Parties!$E$5:$E$304,V1171)&lt;&gt;"",INDEX(Parties!$E$5:$E$304,V1171)&lt;&gt;HomeState),ROUND(L1171*M1171,2),0)),"")</f>
        <v/>
      </c>
      <c r="Q1171" s="61" t="str">
        <f aca="false">IF(IsPro,IF($D1171="","",L1171+N1171+O1171+P1171),"")</f>
        <v/>
      </c>
      <c r="R1171" s="61" t="str">
        <f aca="false">IF(IsPro,IF($D1171="","",ROUND(N($E1171)*IFERROR(INDEX(Items!$P$5:$P$504,U1171),0),2)),"")</f>
        <v/>
      </c>
      <c r="S1171" s="61" t="str">
        <f aca="false">IF(IsPro,IF($D1171="","",L1171-R1171),"")</f>
        <v/>
      </c>
      <c r="T1171" s="60" t="str">
        <f aca="false">IF(IsPro,IF($D1171="","",IF(U1171="","UNKNOWN ITEM",IF(INDEX(Items!$O$5:$O$504,U1171)&lt;0,"NEG STOCK",IF(K1171&lt;INDEX(Items!$P$5:$P$504,U1171),"BELOW COST","OK")))),IF($D1171="","","PRO PLAN"))</f>
        <v/>
      </c>
      <c r="U1171" s="60" t="str">
        <f aca="false">IF(IsPro,IF($D1171="","",IFERROR(MATCH($D1171,Items!$A$5:$A$504,0),"")),"")</f>
        <v/>
      </c>
      <c r="V1171" s="60" t="str">
        <f aca="false">IF(IsPro,IF($C1171="","",IFERROR(MATCH($C1171,Parties!$A$5:$A$304,0),"")),"")</f>
        <v/>
      </c>
      <c r="W1171" s="60" t="str">
        <f aca="false">IF(IsPro,IF($B1171="","",IFERROR(VALUE(SUBSTITUTE($B1171,InvPrefix,"")),0)),"")</f>
        <v/>
      </c>
      <c r="X1171" s="61" t="str">
        <f aca="false">IF(IsPro,IF($D1171="","",IF(OR($H1171="",$H1171="Credit"),0,Q1171)),"")</f>
        <v/>
      </c>
    </row>
    <row r="1172" customFormat="false" ht="15" hidden="false" customHeight="false" outlineLevel="0" collapsed="false">
      <c r="A1172" s="55"/>
      <c r="B1172" s="56"/>
      <c r="C1172" s="56"/>
      <c r="D1172" s="56"/>
      <c r="E1172" s="57"/>
      <c r="F1172" s="58"/>
      <c r="G1172" s="59"/>
      <c r="H1172" s="56"/>
      <c r="I1172" s="56"/>
      <c r="J1172" s="60" t="str">
        <f aca="false">IF(IsPro,IF($D1172="","",IFERROR(INDEX(Items!$D$5:$D$504,U1172),"")),"")</f>
        <v/>
      </c>
      <c r="K1172" s="61" t="str">
        <f aca="false">IF(IsPro,IF($D1172="","",IF($F1172="",IFERROR(INDEX(Items!$H$5:$H$504,U1172),0),$F1172)),"")</f>
        <v/>
      </c>
      <c r="L1172" s="61" t="str">
        <f aca="false">IF(IsPro,IF($D1172="","",ROUND(N($E1172)*K1172*(1-N($G1172)),2)),"")</f>
        <v/>
      </c>
      <c r="M1172" s="62" t="str">
        <f aca="false">IF(IsPro,IF($D1172="","",IFERROR(INDEX(Items!$F$5:$F$504,U1172),0)),"")</f>
        <v/>
      </c>
      <c r="N1172" s="61" t="str">
        <f aca="false">IF(IsPro,IF($D1172="","",IF(AND(V1172&lt;&gt;"",INDEX(Parties!$E$5:$E$304,V1172)&lt;&gt;"",INDEX(Parties!$E$5:$E$304,V1172)&lt;&gt;HomeState),0,ROUND(L1172*M1172/2,2))),"")</f>
        <v/>
      </c>
      <c r="O1172" s="61" t="str">
        <f aca="false">IF(IsPro,IF($D1172="","",N1172),"")</f>
        <v/>
      </c>
      <c r="P1172" s="61" t="str">
        <f aca="false">IF(IsPro,IF($D1172="","",IF(AND(V1172&lt;&gt;"",INDEX(Parties!$E$5:$E$304,V1172)&lt;&gt;"",INDEX(Parties!$E$5:$E$304,V1172)&lt;&gt;HomeState),ROUND(L1172*M1172,2),0)),"")</f>
        <v/>
      </c>
      <c r="Q1172" s="61" t="str">
        <f aca="false">IF(IsPro,IF($D1172="","",L1172+N1172+O1172+P1172),"")</f>
        <v/>
      </c>
      <c r="R1172" s="61" t="str">
        <f aca="false">IF(IsPro,IF($D1172="","",ROUND(N($E1172)*IFERROR(INDEX(Items!$P$5:$P$504,U1172),0),2)),"")</f>
        <v/>
      </c>
      <c r="S1172" s="61" t="str">
        <f aca="false">IF(IsPro,IF($D1172="","",L1172-R1172),"")</f>
        <v/>
      </c>
      <c r="T1172" s="60" t="str">
        <f aca="false">IF(IsPro,IF($D1172="","",IF(U1172="","UNKNOWN ITEM",IF(INDEX(Items!$O$5:$O$504,U1172)&lt;0,"NEG STOCK",IF(K1172&lt;INDEX(Items!$P$5:$P$504,U1172),"BELOW COST","OK")))),IF($D1172="","","PRO PLAN"))</f>
        <v/>
      </c>
      <c r="U1172" s="60" t="str">
        <f aca="false">IF(IsPro,IF($D1172="","",IFERROR(MATCH($D1172,Items!$A$5:$A$504,0),"")),"")</f>
        <v/>
      </c>
      <c r="V1172" s="60" t="str">
        <f aca="false">IF(IsPro,IF($C1172="","",IFERROR(MATCH($C1172,Parties!$A$5:$A$304,0),"")),"")</f>
        <v/>
      </c>
      <c r="W1172" s="60" t="str">
        <f aca="false">IF(IsPro,IF($B1172="","",IFERROR(VALUE(SUBSTITUTE($B1172,InvPrefix,"")),0)),"")</f>
        <v/>
      </c>
      <c r="X1172" s="61" t="str">
        <f aca="false">IF(IsPro,IF($D1172="","",IF(OR($H1172="",$H1172="Credit"),0,Q1172)),"")</f>
        <v/>
      </c>
    </row>
    <row r="1173" customFormat="false" ht="15" hidden="false" customHeight="false" outlineLevel="0" collapsed="false">
      <c r="A1173" s="55"/>
      <c r="B1173" s="56"/>
      <c r="C1173" s="56"/>
      <c r="D1173" s="56"/>
      <c r="E1173" s="57"/>
      <c r="F1173" s="58"/>
      <c r="G1173" s="59"/>
      <c r="H1173" s="56"/>
      <c r="I1173" s="56"/>
      <c r="J1173" s="60" t="str">
        <f aca="false">IF(IsPro,IF($D1173="","",IFERROR(INDEX(Items!$D$5:$D$504,U1173),"")),"")</f>
        <v/>
      </c>
      <c r="K1173" s="61" t="str">
        <f aca="false">IF(IsPro,IF($D1173="","",IF($F1173="",IFERROR(INDEX(Items!$H$5:$H$504,U1173),0),$F1173)),"")</f>
        <v/>
      </c>
      <c r="L1173" s="61" t="str">
        <f aca="false">IF(IsPro,IF($D1173="","",ROUND(N($E1173)*K1173*(1-N($G1173)),2)),"")</f>
        <v/>
      </c>
      <c r="M1173" s="62" t="str">
        <f aca="false">IF(IsPro,IF($D1173="","",IFERROR(INDEX(Items!$F$5:$F$504,U1173),0)),"")</f>
        <v/>
      </c>
      <c r="N1173" s="61" t="str">
        <f aca="false">IF(IsPro,IF($D1173="","",IF(AND(V1173&lt;&gt;"",INDEX(Parties!$E$5:$E$304,V1173)&lt;&gt;"",INDEX(Parties!$E$5:$E$304,V1173)&lt;&gt;HomeState),0,ROUND(L1173*M1173/2,2))),"")</f>
        <v/>
      </c>
      <c r="O1173" s="61" t="str">
        <f aca="false">IF(IsPro,IF($D1173="","",N1173),"")</f>
        <v/>
      </c>
      <c r="P1173" s="61" t="str">
        <f aca="false">IF(IsPro,IF($D1173="","",IF(AND(V1173&lt;&gt;"",INDEX(Parties!$E$5:$E$304,V1173)&lt;&gt;"",INDEX(Parties!$E$5:$E$304,V1173)&lt;&gt;HomeState),ROUND(L1173*M1173,2),0)),"")</f>
        <v/>
      </c>
      <c r="Q1173" s="61" t="str">
        <f aca="false">IF(IsPro,IF($D1173="","",L1173+N1173+O1173+P1173),"")</f>
        <v/>
      </c>
      <c r="R1173" s="61" t="str">
        <f aca="false">IF(IsPro,IF($D1173="","",ROUND(N($E1173)*IFERROR(INDEX(Items!$P$5:$P$504,U1173),0),2)),"")</f>
        <v/>
      </c>
      <c r="S1173" s="61" t="str">
        <f aca="false">IF(IsPro,IF($D1173="","",L1173-R1173),"")</f>
        <v/>
      </c>
      <c r="T1173" s="60" t="str">
        <f aca="false">IF(IsPro,IF($D1173="","",IF(U1173="","UNKNOWN ITEM",IF(INDEX(Items!$O$5:$O$504,U1173)&lt;0,"NEG STOCK",IF(K1173&lt;INDEX(Items!$P$5:$P$504,U1173),"BELOW COST","OK")))),IF($D1173="","","PRO PLAN"))</f>
        <v/>
      </c>
      <c r="U1173" s="60" t="str">
        <f aca="false">IF(IsPro,IF($D1173="","",IFERROR(MATCH($D1173,Items!$A$5:$A$504,0),"")),"")</f>
        <v/>
      </c>
      <c r="V1173" s="60" t="str">
        <f aca="false">IF(IsPro,IF($C1173="","",IFERROR(MATCH($C1173,Parties!$A$5:$A$304,0),"")),"")</f>
        <v/>
      </c>
      <c r="W1173" s="60" t="str">
        <f aca="false">IF(IsPro,IF($B1173="","",IFERROR(VALUE(SUBSTITUTE($B1173,InvPrefix,"")),0)),"")</f>
        <v/>
      </c>
      <c r="X1173" s="61" t="str">
        <f aca="false">IF(IsPro,IF($D1173="","",IF(OR($H1173="",$H1173="Credit"),0,Q1173)),"")</f>
        <v/>
      </c>
    </row>
    <row r="1174" customFormat="false" ht="15" hidden="false" customHeight="false" outlineLevel="0" collapsed="false">
      <c r="A1174" s="55"/>
      <c r="B1174" s="56"/>
      <c r="C1174" s="56"/>
      <c r="D1174" s="56"/>
      <c r="E1174" s="57"/>
      <c r="F1174" s="58"/>
      <c r="G1174" s="59"/>
      <c r="H1174" s="56"/>
      <c r="I1174" s="56"/>
      <c r="J1174" s="60" t="str">
        <f aca="false">IF(IsPro,IF($D1174="","",IFERROR(INDEX(Items!$D$5:$D$504,U1174),"")),"")</f>
        <v/>
      </c>
      <c r="K1174" s="61" t="str">
        <f aca="false">IF(IsPro,IF($D1174="","",IF($F1174="",IFERROR(INDEX(Items!$H$5:$H$504,U1174),0),$F1174)),"")</f>
        <v/>
      </c>
      <c r="L1174" s="61" t="str">
        <f aca="false">IF(IsPro,IF($D1174="","",ROUND(N($E1174)*K1174*(1-N($G1174)),2)),"")</f>
        <v/>
      </c>
      <c r="M1174" s="62" t="str">
        <f aca="false">IF(IsPro,IF($D1174="","",IFERROR(INDEX(Items!$F$5:$F$504,U1174),0)),"")</f>
        <v/>
      </c>
      <c r="N1174" s="61" t="str">
        <f aca="false">IF(IsPro,IF($D1174="","",IF(AND(V1174&lt;&gt;"",INDEX(Parties!$E$5:$E$304,V1174)&lt;&gt;"",INDEX(Parties!$E$5:$E$304,V1174)&lt;&gt;HomeState),0,ROUND(L1174*M1174/2,2))),"")</f>
        <v/>
      </c>
      <c r="O1174" s="61" t="str">
        <f aca="false">IF(IsPro,IF($D1174="","",N1174),"")</f>
        <v/>
      </c>
      <c r="P1174" s="61" t="str">
        <f aca="false">IF(IsPro,IF($D1174="","",IF(AND(V1174&lt;&gt;"",INDEX(Parties!$E$5:$E$304,V1174)&lt;&gt;"",INDEX(Parties!$E$5:$E$304,V1174)&lt;&gt;HomeState),ROUND(L1174*M1174,2),0)),"")</f>
        <v/>
      </c>
      <c r="Q1174" s="61" t="str">
        <f aca="false">IF(IsPro,IF($D1174="","",L1174+N1174+O1174+P1174),"")</f>
        <v/>
      </c>
      <c r="R1174" s="61" t="str">
        <f aca="false">IF(IsPro,IF($D1174="","",ROUND(N($E1174)*IFERROR(INDEX(Items!$P$5:$P$504,U1174),0),2)),"")</f>
        <v/>
      </c>
      <c r="S1174" s="61" t="str">
        <f aca="false">IF(IsPro,IF($D1174="","",L1174-R1174),"")</f>
        <v/>
      </c>
      <c r="T1174" s="60" t="str">
        <f aca="false">IF(IsPro,IF($D1174="","",IF(U1174="","UNKNOWN ITEM",IF(INDEX(Items!$O$5:$O$504,U1174)&lt;0,"NEG STOCK",IF(K1174&lt;INDEX(Items!$P$5:$P$504,U1174),"BELOW COST","OK")))),IF($D1174="","","PRO PLAN"))</f>
        <v/>
      </c>
      <c r="U1174" s="60" t="str">
        <f aca="false">IF(IsPro,IF($D1174="","",IFERROR(MATCH($D1174,Items!$A$5:$A$504,0),"")),"")</f>
        <v/>
      </c>
      <c r="V1174" s="60" t="str">
        <f aca="false">IF(IsPro,IF($C1174="","",IFERROR(MATCH($C1174,Parties!$A$5:$A$304,0),"")),"")</f>
        <v/>
      </c>
      <c r="W1174" s="60" t="str">
        <f aca="false">IF(IsPro,IF($B1174="","",IFERROR(VALUE(SUBSTITUTE($B1174,InvPrefix,"")),0)),"")</f>
        <v/>
      </c>
      <c r="X1174" s="61" t="str">
        <f aca="false">IF(IsPro,IF($D1174="","",IF(OR($H1174="",$H1174="Credit"),0,Q1174)),"")</f>
        <v/>
      </c>
    </row>
    <row r="1175" customFormat="false" ht="15" hidden="false" customHeight="false" outlineLevel="0" collapsed="false">
      <c r="A1175" s="55"/>
      <c r="B1175" s="56"/>
      <c r="C1175" s="56"/>
      <c r="D1175" s="56"/>
      <c r="E1175" s="57"/>
      <c r="F1175" s="58"/>
      <c r="G1175" s="59"/>
      <c r="H1175" s="56"/>
      <c r="I1175" s="56"/>
      <c r="J1175" s="60" t="str">
        <f aca="false">IF(IsPro,IF($D1175="","",IFERROR(INDEX(Items!$D$5:$D$504,U1175),"")),"")</f>
        <v/>
      </c>
      <c r="K1175" s="61" t="str">
        <f aca="false">IF(IsPro,IF($D1175="","",IF($F1175="",IFERROR(INDEX(Items!$H$5:$H$504,U1175),0),$F1175)),"")</f>
        <v/>
      </c>
      <c r="L1175" s="61" t="str">
        <f aca="false">IF(IsPro,IF($D1175="","",ROUND(N($E1175)*K1175*(1-N($G1175)),2)),"")</f>
        <v/>
      </c>
      <c r="M1175" s="62" t="str">
        <f aca="false">IF(IsPro,IF($D1175="","",IFERROR(INDEX(Items!$F$5:$F$504,U1175),0)),"")</f>
        <v/>
      </c>
      <c r="N1175" s="61" t="str">
        <f aca="false">IF(IsPro,IF($D1175="","",IF(AND(V1175&lt;&gt;"",INDEX(Parties!$E$5:$E$304,V1175)&lt;&gt;"",INDEX(Parties!$E$5:$E$304,V1175)&lt;&gt;HomeState),0,ROUND(L1175*M1175/2,2))),"")</f>
        <v/>
      </c>
      <c r="O1175" s="61" t="str">
        <f aca="false">IF(IsPro,IF($D1175="","",N1175),"")</f>
        <v/>
      </c>
      <c r="P1175" s="61" t="str">
        <f aca="false">IF(IsPro,IF($D1175="","",IF(AND(V1175&lt;&gt;"",INDEX(Parties!$E$5:$E$304,V1175)&lt;&gt;"",INDEX(Parties!$E$5:$E$304,V1175)&lt;&gt;HomeState),ROUND(L1175*M1175,2),0)),"")</f>
        <v/>
      </c>
      <c r="Q1175" s="61" t="str">
        <f aca="false">IF(IsPro,IF($D1175="","",L1175+N1175+O1175+P1175),"")</f>
        <v/>
      </c>
      <c r="R1175" s="61" t="str">
        <f aca="false">IF(IsPro,IF($D1175="","",ROUND(N($E1175)*IFERROR(INDEX(Items!$P$5:$P$504,U1175),0),2)),"")</f>
        <v/>
      </c>
      <c r="S1175" s="61" t="str">
        <f aca="false">IF(IsPro,IF($D1175="","",L1175-R1175),"")</f>
        <v/>
      </c>
      <c r="T1175" s="60" t="str">
        <f aca="false">IF(IsPro,IF($D1175="","",IF(U1175="","UNKNOWN ITEM",IF(INDEX(Items!$O$5:$O$504,U1175)&lt;0,"NEG STOCK",IF(K1175&lt;INDEX(Items!$P$5:$P$504,U1175),"BELOW COST","OK")))),IF($D1175="","","PRO PLAN"))</f>
        <v/>
      </c>
      <c r="U1175" s="60" t="str">
        <f aca="false">IF(IsPro,IF($D1175="","",IFERROR(MATCH($D1175,Items!$A$5:$A$504,0),"")),"")</f>
        <v/>
      </c>
      <c r="V1175" s="60" t="str">
        <f aca="false">IF(IsPro,IF($C1175="","",IFERROR(MATCH($C1175,Parties!$A$5:$A$304,0),"")),"")</f>
        <v/>
      </c>
      <c r="W1175" s="60" t="str">
        <f aca="false">IF(IsPro,IF($B1175="","",IFERROR(VALUE(SUBSTITUTE($B1175,InvPrefix,"")),0)),"")</f>
        <v/>
      </c>
      <c r="X1175" s="61" t="str">
        <f aca="false">IF(IsPro,IF($D1175="","",IF(OR($H1175="",$H1175="Credit"),0,Q1175)),"")</f>
        <v/>
      </c>
    </row>
    <row r="1176" customFormat="false" ht="15" hidden="false" customHeight="false" outlineLevel="0" collapsed="false">
      <c r="A1176" s="55"/>
      <c r="B1176" s="56"/>
      <c r="C1176" s="56"/>
      <c r="D1176" s="56"/>
      <c r="E1176" s="57"/>
      <c r="F1176" s="58"/>
      <c r="G1176" s="59"/>
      <c r="H1176" s="56"/>
      <c r="I1176" s="56"/>
      <c r="J1176" s="60" t="str">
        <f aca="false">IF(IsPro,IF($D1176="","",IFERROR(INDEX(Items!$D$5:$D$504,U1176),"")),"")</f>
        <v/>
      </c>
      <c r="K1176" s="61" t="str">
        <f aca="false">IF(IsPro,IF($D1176="","",IF($F1176="",IFERROR(INDEX(Items!$H$5:$H$504,U1176),0),$F1176)),"")</f>
        <v/>
      </c>
      <c r="L1176" s="61" t="str">
        <f aca="false">IF(IsPro,IF($D1176="","",ROUND(N($E1176)*K1176*(1-N($G1176)),2)),"")</f>
        <v/>
      </c>
      <c r="M1176" s="62" t="str">
        <f aca="false">IF(IsPro,IF($D1176="","",IFERROR(INDEX(Items!$F$5:$F$504,U1176),0)),"")</f>
        <v/>
      </c>
      <c r="N1176" s="61" t="str">
        <f aca="false">IF(IsPro,IF($D1176="","",IF(AND(V1176&lt;&gt;"",INDEX(Parties!$E$5:$E$304,V1176)&lt;&gt;"",INDEX(Parties!$E$5:$E$304,V1176)&lt;&gt;HomeState),0,ROUND(L1176*M1176/2,2))),"")</f>
        <v/>
      </c>
      <c r="O1176" s="61" t="str">
        <f aca="false">IF(IsPro,IF($D1176="","",N1176),"")</f>
        <v/>
      </c>
      <c r="P1176" s="61" t="str">
        <f aca="false">IF(IsPro,IF($D1176="","",IF(AND(V1176&lt;&gt;"",INDEX(Parties!$E$5:$E$304,V1176)&lt;&gt;"",INDEX(Parties!$E$5:$E$304,V1176)&lt;&gt;HomeState),ROUND(L1176*M1176,2),0)),"")</f>
        <v/>
      </c>
      <c r="Q1176" s="61" t="str">
        <f aca="false">IF(IsPro,IF($D1176="","",L1176+N1176+O1176+P1176),"")</f>
        <v/>
      </c>
      <c r="R1176" s="61" t="str">
        <f aca="false">IF(IsPro,IF($D1176="","",ROUND(N($E1176)*IFERROR(INDEX(Items!$P$5:$P$504,U1176),0),2)),"")</f>
        <v/>
      </c>
      <c r="S1176" s="61" t="str">
        <f aca="false">IF(IsPro,IF($D1176="","",L1176-R1176),"")</f>
        <v/>
      </c>
      <c r="T1176" s="60" t="str">
        <f aca="false">IF(IsPro,IF($D1176="","",IF(U1176="","UNKNOWN ITEM",IF(INDEX(Items!$O$5:$O$504,U1176)&lt;0,"NEG STOCK",IF(K1176&lt;INDEX(Items!$P$5:$P$504,U1176),"BELOW COST","OK")))),IF($D1176="","","PRO PLAN"))</f>
        <v/>
      </c>
      <c r="U1176" s="60" t="str">
        <f aca="false">IF(IsPro,IF($D1176="","",IFERROR(MATCH($D1176,Items!$A$5:$A$504,0),"")),"")</f>
        <v/>
      </c>
      <c r="V1176" s="60" t="str">
        <f aca="false">IF(IsPro,IF($C1176="","",IFERROR(MATCH($C1176,Parties!$A$5:$A$304,0),"")),"")</f>
        <v/>
      </c>
      <c r="W1176" s="60" t="str">
        <f aca="false">IF(IsPro,IF($B1176="","",IFERROR(VALUE(SUBSTITUTE($B1176,InvPrefix,"")),0)),"")</f>
        <v/>
      </c>
      <c r="X1176" s="61" t="str">
        <f aca="false">IF(IsPro,IF($D1176="","",IF(OR($H1176="",$H1176="Credit"),0,Q1176)),"")</f>
        <v/>
      </c>
    </row>
    <row r="1177" customFormat="false" ht="15" hidden="false" customHeight="false" outlineLevel="0" collapsed="false">
      <c r="A1177" s="55"/>
      <c r="B1177" s="56"/>
      <c r="C1177" s="56"/>
      <c r="D1177" s="56"/>
      <c r="E1177" s="57"/>
      <c r="F1177" s="58"/>
      <c r="G1177" s="59"/>
      <c r="H1177" s="56"/>
      <c r="I1177" s="56"/>
      <c r="J1177" s="60" t="str">
        <f aca="false">IF(IsPro,IF($D1177="","",IFERROR(INDEX(Items!$D$5:$D$504,U1177),"")),"")</f>
        <v/>
      </c>
      <c r="K1177" s="61" t="str">
        <f aca="false">IF(IsPro,IF($D1177="","",IF($F1177="",IFERROR(INDEX(Items!$H$5:$H$504,U1177),0),$F1177)),"")</f>
        <v/>
      </c>
      <c r="L1177" s="61" t="str">
        <f aca="false">IF(IsPro,IF($D1177="","",ROUND(N($E1177)*K1177*(1-N($G1177)),2)),"")</f>
        <v/>
      </c>
      <c r="M1177" s="62" t="str">
        <f aca="false">IF(IsPro,IF($D1177="","",IFERROR(INDEX(Items!$F$5:$F$504,U1177),0)),"")</f>
        <v/>
      </c>
      <c r="N1177" s="61" t="str">
        <f aca="false">IF(IsPro,IF($D1177="","",IF(AND(V1177&lt;&gt;"",INDEX(Parties!$E$5:$E$304,V1177)&lt;&gt;"",INDEX(Parties!$E$5:$E$304,V1177)&lt;&gt;HomeState),0,ROUND(L1177*M1177/2,2))),"")</f>
        <v/>
      </c>
      <c r="O1177" s="61" t="str">
        <f aca="false">IF(IsPro,IF($D1177="","",N1177),"")</f>
        <v/>
      </c>
      <c r="P1177" s="61" t="str">
        <f aca="false">IF(IsPro,IF($D1177="","",IF(AND(V1177&lt;&gt;"",INDEX(Parties!$E$5:$E$304,V1177)&lt;&gt;"",INDEX(Parties!$E$5:$E$304,V1177)&lt;&gt;HomeState),ROUND(L1177*M1177,2),0)),"")</f>
        <v/>
      </c>
      <c r="Q1177" s="61" t="str">
        <f aca="false">IF(IsPro,IF($D1177="","",L1177+N1177+O1177+P1177),"")</f>
        <v/>
      </c>
      <c r="R1177" s="61" t="str">
        <f aca="false">IF(IsPro,IF($D1177="","",ROUND(N($E1177)*IFERROR(INDEX(Items!$P$5:$P$504,U1177),0),2)),"")</f>
        <v/>
      </c>
      <c r="S1177" s="61" t="str">
        <f aca="false">IF(IsPro,IF($D1177="","",L1177-R1177),"")</f>
        <v/>
      </c>
      <c r="T1177" s="60" t="str">
        <f aca="false">IF(IsPro,IF($D1177="","",IF(U1177="","UNKNOWN ITEM",IF(INDEX(Items!$O$5:$O$504,U1177)&lt;0,"NEG STOCK",IF(K1177&lt;INDEX(Items!$P$5:$P$504,U1177),"BELOW COST","OK")))),IF($D1177="","","PRO PLAN"))</f>
        <v/>
      </c>
      <c r="U1177" s="60" t="str">
        <f aca="false">IF(IsPro,IF($D1177="","",IFERROR(MATCH($D1177,Items!$A$5:$A$504,0),"")),"")</f>
        <v/>
      </c>
      <c r="V1177" s="60" t="str">
        <f aca="false">IF(IsPro,IF($C1177="","",IFERROR(MATCH($C1177,Parties!$A$5:$A$304,0),"")),"")</f>
        <v/>
      </c>
      <c r="W1177" s="60" t="str">
        <f aca="false">IF(IsPro,IF($B1177="","",IFERROR(VALUE(SUBSTITUTE($B1177,InvPrefix,"")),0)),"")</f>
        <v/>
      </c>
      <c r="X1177" s="61" t="str">
        <f aca="false">IF(IsPro,IF($D1177="","",IF(OR($H1177="",$H1177="Credit"),0,Q1177)),"")</f>
        <v/>
      </c>
    </row>
    <row r="1178" customFormat="false" ht="15" hidden="false" customHeight="false" outlineLevel="0" collapsed="false">
      <c r="A1178" s="55"/>
      <c r="B1178" s="56"/>
      <c r="C1178" s="56"/>
      <c r="D1178" s="56"/>
      <c r="E1178" s="57"/>
      <c r="F1178" s="58"/>
      <c r="G1178" s="59"/>
      <c r="H1178" s="56"/>
      <c r="I1178" s="56"/>
      <c r="J1178" s="60" t="str">
        <f aca="false">IF(IsPro,IF($D1178="","",IFERROR(INDEX(Items!$D$5:$D$504,U1178),"")),"")</f>
        <v/>
      </c>
      <c r="K1178" s="61" t="str">
        <f aca="false">IF(IsPro,IF($D1178="","",IF($F1178="",IFERROR(INDEX(Items!$H$5:$H$504,U1178),0),$F1178)),"")</f>
        <v/>
      </c>
      <c r="L1178" s="61" t="str">
        <f aca="false">IF(IsPro,IF($D1178="","",ROUND(N($E1178)*K1178*(1-N($G1178)),2)),"")</f>
        <v/>
      </c>
      <c r="M1178" s="62" t="str">
        <f aca="false">IF(IsPro,IF($D1178="","",IFERROR(INDEX(Items!$F$5:$F$504,U1178),0)),"")</f>
        <v/>
      </c>
      <c r="N1178" s="61" t="str">
        <f aca="false">IF(IsPro,IF($D1178="","",IF(AND(V1178&lt;&gt;"",INDEX(Parties!$E$5:$E$304,V1178)&lt;&gt;"",INDEX(Parties!$E$5:$E$304,V1178)&lt;&gt;HomeState),0,ROUND(L1178*M1178/2,2))),"")</f>
        <v/>
      </c>
      <c r="O1178" s="61" t="str">
        <f aca="false">IF(IsPro,IF($D1178="","",N1178),"")</f>
        <v/>
      </c>
      <c r="P1178" s="61" t="str">
        <f aca="false">IF(IsPro,IF($D1178="","",IF(AND(V1178&lt;&gt;"",INDEX(Parties!$E$5:$E$304,V1178)&lt;&gt;"",INDEX(Parties!$E$5:$E$304,V1178)&lt;&gt;HomeState),ROUND(L1178*M1178,2),0)),"")</f>
        <v/>
      </c>
      <c r="Q1178" s="61" t="str">
        <f aca="false">IF(IsPro,IF($D1178="","",L1178+N1178+O1178+P1178),"")</f>
        <v/>
      </c>
      <c r="R1178" s="61" t="str">
        <f aca="false">IF(IsPro,IF($D1178="","",ROUND(N($E1178)*IFERROR(INDEX(Items!$P$5:$P$504,U1178),0),2)),"")</f>
        <v/>
      </c>
      <c r="S1178" s="61" t="str">
        <f aca="false">IF(IsPro,IF($D1178="","",L1178-R1178),"")</f>
        <v/>
      </c>
      <c r="T1178" s="60" t="str">
        <f aca="false">IF(IsPro,IF($D1178="","",IF(U1178="","UNKNOWN ITEM",IF(INDEX(Items!$O$5:$O$504,U1178)&lt;0,"NEG STOCK",IF(K1178&lt;INDEX(Items!$P$5:$P$504,U1178),"BELOW COST","OK")))),IF($D1178="","","PRO PLAN"))</f>
        <v/>
      </c>
      <c r="U1178" s="60" t="str">
        <f aca="false">IF(IsPro,IF($D1178="","",IFERROR(MATCH($D1178,Items!$A$5:$A$504,0),"")),"")</f>
        <v/>
      </c>
      <c r="V1178" s="60" t="str">
        <f aca="false">IF(IsPro,IF($C1178="","",IFERROR(MATCH($C1178,Parties!$A$5:$A$304,0),"")),"")</f>
        <v/>
      </c>
      <c r="W1178" s="60" t="str">
        <f aca="false">IF(IsPro,IF($B1178="","",IFERROR(VALUE(SUBSTITUTE($B1178,InvPrefix,"")),0)),"")</f>
        <v/>
      </c>
      <c r="X1178" s="61" t="str">
        <f aca="false">IF(IsPro,IF($D1178="","",IF(OR($H1178="",$H1178="Credit"),0,Q1178)),"")</f>
        <v/>
      </c>
    </row>
    <row r="1179" customFormat="false" ht="15" hidden="false" customHeight="false" outlineLevel="0" collapsed="false">
      <c r="A1179" s="55"/>
      <c r="B1179" s="56"/>
      <c r="C1179" s="56"/>
      <c r="D1179" s="56"/>
      <c r="E1179" s="57"/>
      <c r="F1179" s="58"/>
      <c r="G1179" s="59"/>
      <c r="H1179" s="56"/>
      <c r="I1179" s="56"/>
      <c r="J1179" s="60" t="str">
        <f aca="false">IF(IsPro,IF($D1179="","",IFERROR(INDEX(Items!$D$5:$D$504,U1179),"")),"")</f>
        <v/>
      </c>
      <c r="K1179" s="61" t="str">
        <f aca="false">IF(IsPro,IF($D1179="","",IF($F1179="",IFERROR(INDEX(Items!$H$5:$H$504,U1179),0),$F1179)),"")</f>
        <v/>
      </c>
      <c r="L1179" s="61" t="str">
        <f aca="false">IF(IsPro,IF($D1179="","",ROUND(N($E1179)*K1179*(1-N($G1179)),2)),"")</f>
        <v/>
      </c>
      <c r="M1179" s="62" t="str">
        <f aca="false">IF(IsPro,IF($D1179="","",IFERROR(INDEX(Items!$F$5:$F$504,U1179),0)),"")</f>
        <v/>
      </c>
      <c r="N1179" s="61" t="str">
        <f aca="false">IF(IsPro,IF($D1179="","",IF(AND(V1179&lt;&gt;"",INDEX(Parties!$E$5:$E$304,V1179)&lt;&gt;"",INDEX(Parties!$E$5:$E$304,V1179)&lt;&gt;HomeState),0,ROUND(L1179*M1179/2,2))),"")</f>
        <v/>
      </c>
      <c r="O1179" s="61" t="str">
        <f aca="false">IF(IsPro,IF($D1179="","",N1179),"")</f>
        <v/>
      </c>
      <c r="P1179" s="61" t="str">
        <f aca="false">IF(IsPro,IF($D1179="","",IF(AND(V1179&lt;&gt;"",INDEX(Parties!$E$5:$E$304,V1179)&lt;&gt;"",INDEX(Parties!$E$5:$E$304,V1179)&lt;&gt;HomeState),ROUND(L1179*M1179,2),0)),"")</f>
        <v/>
      </c>
      <c r="Q1179" s="61" t="str">
        <f aca="false">IF(IsPro,IF($D1179="","",L1179+N1179+O1179+P1179),"")</f>
        <v/>
      </c>
      <c r="R1179" s="61" t="str">
        <f aca="false">IF(IsPro,IF($D1179="","",ROUND(N($E1179)*IFERROR(INDEX(Items!$P$5:$P$504,U1179),0),2)),"")</f>
        <v/>
      </c>
      <c r="S1179" s="61" t="str">
        <f aca="false">IF(IsPro,IF($D1179="","",L1179-R1179),"")</f>
        <v/>
      </c>
      <c r="T1179" s="60" t="str">
        <f aca="false">IF(IsPro,IF($D1179="","",IF(U1179="","UNKNOWN ITEM",IF(INDEX(Items!$O$5:$O$504,U1179)&lt;0,"NEG STOCK",IF(K1179&lt;INDEX(Items!$P$5:$P$504,U1179),"BELOW COST","OK")))),IF($D1179="","","PRO PLAN"))</f>
        <v/>
      </c>
      <c r="U1179" s="60" t="str">
        <f aca="false">IF(IsPro,IF($D1179="","",IFERROR(MATCH($D1179,Items!$A$5:$A$504,0),"")),"")</f>
        <v/>
      </c>
      <c r="V1179" s="60" t="str">
        <f aca="false">IF(IsPro,IF($C1179="","",IFERROR(MATCH($C1179,Parties!$A$5:$A$304,0),"")),"")</f>
        <v/>
      </c>
      <c r="W1179" s="60" t="str">
        <f aca="false">IF(IsPro,IF($B1179="","",IFERROR(VALUE(SUBSTITUTE($B1179,InvPrefix,"")),0)),"")</f>
        <v/>
      </c>
      <c r="X1179" s="61" t="str">
        <f aca="false">IF(IsPro,IF($D1179="","",IF(OR($H1179="",$H1179="Credit"),0,Q1179)),"")</f>
        <v/>
      </c>
    </row>
    <row r="1180" customFormat="false" ht="15" hidden="false" customHeight="false" outlineLevel="0" collapsed="false">
      <c r="A1180" s="55"/>
      <c r="B1180" s="56"/>
      <c r="C1180" s="56"/>
      <c r="D1180" s="56"/>
      <c r="E1180" s="57"/>
      <c r="F1180" s="58"/>
      <c r="G1180" s="59"/>
      <c r="H1180" s="56"/>
      <c r="I1180" s="56"/>
      <c r="J1180" s="60" t="str">
        <f aca="false">IF(IsPro,IF($D1180="","",IFERROR(INDEX(Items!$D$5:$D$504,U1180),"")),"")</f>
        <v/>
      </c>
      <c r="K1180" s="61" t="str">
        <f aca="false">IF(IsPro,IF($D1180="","",IF($F1180="",IFERROR(INDEX(Items!$H$5:$H$504,U1180),0),$F1180)),"")</f>
        <v/>
      </c>
      <c r="L1180" s="61" t="str">
        <f aca="false">IF(IsPro,IF($D1180="","",ROUND(N($E1180)*K1180*(1-N($G1180)),2)),"")</f>
        <v/>
      </c>
      <c r="M1180" s="62" t="str">
        <f aca="false">IF(IsPro,IF($D1180="","",IFERROR(INDEX(Items!$F$5:$F$504,U1180),0)),"")</f>
        <v/>
      </c>
      <c r="N1180" s="61" t="str">
        <f aca="false">IF(IsPro,IF($D1180="","",IF(AND(V1180&lt;&gt;"",INDEX(Parties!$E$5:$E$304,V1180)&lt;&gt;"",INDEX(Parties!$E$5:$E$304,V1180)&lt;&gt;HomeState),0,ROUND(L1180*M1180/2,2))),"")</f>
        <v/>
      </c>
      <c r="O1180" s="61" t="str">
        <f aca="false">IF(IsPro,IF($D1180="","",N1180),"")</f>
        <v/>
      </c>
      <c r="P1180" s="61" t="str">
        <f aca="false">IF(IsPro,IF($D1180="","",IF(AND(V1180&lt;&gt;"",INDEX(Parties!$E$5:$E$304,V1180)&lt;&gt;"",INDEX(Parties!$E$5:$E$304,V1180)&lt;&gt;HomeState),ROUND(L1180*M1180,2),0)),"")</f>
        <v/>
      </c>
      <c r="Q1180" s="61" t="str">
        <f aca="false">IF(IsPro,IF($D1180="","",L1180+N1180+O1180+P1180),"")</f>
        <v/>
      </c>
      <c r="R1180" s="61" t="str">
        <f aca="false">IF(IsPro,IF($D1180="","",ROUND(N($E1180)*IFERROR(INDEX(Items!$P$5:$P$504,U1180),0),2)),"")</f>
        <v/>
      </c>
      <c r="S1180" s="61" t="str">
        <f aca="false">IF(IsPro,IF($D1180="","",L1180-R1180),"")</f>
        <v/>
      </c>
      <c r="T1180" s="60" t="str">
        <f aca="false">IF(IsPro,IF($D1180="","",IF(U1180="","UNKNOWN ITEM",IF(INDEX(Items!$O$5:$O$504,U1180)&lt;0,"NEG STOCK",IF(K1180&lt;INDEX(Items!$P$5:$P$504,U1180),"BELOW COST","OK")))),IF($D1180="","","PRO PLAN"))</f>
        <v/>
      </c>
      <c r="U1180" s="60" t="str">
        <f aca="false">IF(IsPro,IF($D1180="","",IFERROR(MATCH($D1180,Items!$A$5:$A$504,0),"")),"")</f>
        <v/>
      </c>
      <c r="V1180" s="60" t="str">
        <f aca="false">IF(IsPro,IF($C1180="","",IFERROR(MATCH($C1180,Parties!$A$5:$A$304,0),"")),"")</f>
        <v/>
      </c>
      <c r="W1180" s="60" t="str">
        <f aca="false">IF(IsPro,IF($B1180="","",IFERROR(VALUE(SUBSTITUTE($B1180,InvPrefix,"")),0)),"")</f>
        <v/>
      </c>
      <c r="X1180" s="61" t="str">
        <f aca="false">IF(IsPro,IF($D1180="","",IF(OR($H1180="",$H1180="Credit"),0,Q1180)),"")</f>
        <v/>
      </c>
    </row>
    <row r="1181" customFormat="false" ht="15" hidden="false" customHeight="false" outlineLevel="0" collapsed="false">
      <c r="A1181" s="55"/>
      <c r="B1181" s="56"/>
      <c r="C1181" s="56"/>
      <c r="D1181" s="56"/>
      <c r="E1181" s="57"/>
      <c r="F1181" s="58"/>
      <c r="G1181" s="59"/>
      <c r="H1181" s="56"/>
      <c r="I1181" s="56"/>
      <c r="J1181" s="60" t="str">
        <f aca="false">IF(IsPro,IF($D1181="","",IFERROR(INDEX(Items!$D$5:$D$504,U1181),"")),"")</f>
        <v/>
      </c>
      <c r="K1181" s="61" t="str">
        <f aca="false">IF(IsPro,IF($D1181="","",IF($F1181="",IFERROR(INDEX(Items!$H$5:$H$504,U1181),0),$F1181)),"")</f>
        <v/>
      </c>
      <c r="L1181" s="61" t="str">
        <f aca="false">IF(IsPro,IF($D1181="","",ROUND(N($E1181)*K1181*(1-N($G1181)),2)),"")</f>
        <v/>
      </c>
      <c r="M1181" s="62" t="str">
        <f aca="false">IF(IsPro,IF($D1181="","",IFERROR(INDEX(Items!$F$5:$F$504,U1181),0)),"")</f>
        <v/>
      </c>
      <c r="N1181" s="61" t="str">
        <f aca="false">IF(IsPro,IF($D1181="","",IF(AND(V1181&lt;&gt;"",INDEX(Parties!$E$5:$E$304,V1181)&lt;&gt;"",INDEX(Parties!$E$5:$E$304,V1181)&lt;&gt;HomeState),0,ROUND(L1181*M1181/2,2))),"")</f>
        <v/>
      </c>
      <c r="O1181" s="61" t="str">
        <f aca="false">IF(IsPro,IF($D1181="","",N1181),"")</f>
        <v/>
      </c>
      <c r="P1181" s="61" t="str">
        <f aca="false">IF(IsPro,IF($D1181="","",IF(AND(V1181&lt;&gt;"",INDEX(Parties!$E$5:$E$304,V1181)&lt;&gt;"",INDEX(Parties!$E$5:$E$304,V1181)&lt;&gt;HomeState),ROUND(L1181*M1181,2),0)),"")</f>
        <v/>
      </c>
      <c r="Q1181" s="61" t="str">
        <f aca="false">IF(IsPro,IF($D1181="","",L1181+N1181+O1181+P1181),"")</f>
        <v/>
      </c>
      <c r="R1181" s="61" t="str">
        <f aca="false">IF(IsPro,IF($D1181="","",ROUND(N($E1181)*IFERROR(INDEX(Items!$P$5:$P$504,U1181),0),2)),"")</f>
        <v/>
      </c>
      <c r="S1181" s="61" t="str">
        <f aca="false">IF(IsPro,IF($D1181="","",L1181-R1181),"")</f>
        <v/>
      </c>
      <c r="T1181" s="60" t="str">
        <f aca="false">IF(IsPro,IF($D1181="","",IF(U1181="","UNKNOWN ITEM",IF(INDEX(Items!$O$5:$O$504,U1181)&lt;0,"NEG STOCK",IF(K1181&lt;INDEX(Items!$P$5:$P$504,U1181),"BELOW COST","OK")))),IF($D1181="","","PRO PLAN"))</f>
        <v/>
      </c>
      <c r="U1181" s="60" t="str">
        <f aca="false">IF(IsPro,IF($D1181="","",IFERROR(MATCH($D1181,Items!$A$5:$A$504,0),"")),"")</f>
        <v/>
      </c>
      <c r="V1181" s="60" t="str">
        <f aca="false">IF(IsPro,IF($C1181="","",IFERROR(MATCH($C1181,Parties!$A$5:$A$304,0),"")),"")</f>
        <v/>
      </c>
      <c r="W1181" s="60" t="str">
        <f aca="false">IF(IsPro,IF($B1181="","",IFERROR(VALUE(SUBSTITUTE($B1181,InvPrefix,"")),0)),"")</f>
        <v/>
      </c>
      <c r="X1181" s="61" t="str">
        <f aca="false">IF(IsPro,IF($D1181="","",IF(OR($H1181="",$H1181="Credit"),0,Q1181)),"")</f>
        <v/>
      </c>
    </row>
    <row r="1182" customFormat="false" ht="15" hidden="false" customHeight="false" outlineLevel="0" collapsed="false">
      <c r="A1182" s="55"/>
      <c r="B1182" s="56"/>
      <c r="C1182" s="56"/>
      <c r="D1182" s="56"/>
      <c r="E1182" s="57"/>
      <c r="F1182" s="58"/>
      <c r="G1182" s="59"/>
      <c r="H1182" s="56"/>
      <c r="I1182" s="56"/>
      <c r="J1182" s="60" t="str">
        <f aca="false">IF(IsPro,IF($D1182="","",IFERROR(INDEX(Items!$D$5:$D$504,U1182),"")),"")</f>
        <v/>
      </c>
      <c r="K1182" s="61" t="str">
        <f aca="false">IF(IsPro,IF($D1182="","",IF($F1182="",IFERROR(INDEX(Items!$H$5:$H$504,U1182),0),$F1182)),"")</f>
        <v/>
      </c>
      <c r="L1182" s="61" t="str">
        <f aca="false">IF(IsPro,IF($D1182="","",ROUND(N($E1182)*K1182*(1-N($G1182)),2)),"")</f>
        <v/>
      </c>
      <c r="M1182" s="62" t="str">
        <f aca="false">IF(IsPro,IF($D1182="","",IFERROR(INDEX(Items!$F$5:$F$504,U1182),0)),"")</f>
        <v/>
      </c>
      <c r="N1182" s="61" t="str">
        <f aca="false">IF(IsPro,IF($D1182="","",IF(AND(V1182&lt;&gt;"",INDEX(Parties!$E$5:$E$304,V1182)&lt;&gt;"",INDEX(Parties!$E$5:$E$304,V1182)&lt;&gt;HomeState),0,ROUND(L1182*M1182/2,2))),"")</f>
        <v/>
      </c>
      <c r="O1182" s="61" t="str">
        <f aca="false">IF(IsPro,IF($D1182="","",N1182),"")</f>
        <v/>
      </c>
      <c r="P1182" s="61" t="str">
        <f aca="false">IF(IsPro,IF($D1182="","",IF(AND(V1182&lt;&gt;"",INDEX(Parties!$E$5:$E$304,V1182)&lt;&gt;"",INDEX(Parties!$E$5:$E$304,V1182)&lt;&gt;HomeState),ROUND(L1182*M1182,2),0)),"")</f>
        <v/>
      </c>
      <c r="Q1182" s="61" t="str">
        <f aca="false">IF(IsPro,IF($D1182="","",L1182+N1182+O1182+P1182),"")</f>
        <v/>
      </c>
      <c r="R1182" s="61" t="str">
        <f aca="false">IF(IsPro,IF($D1182="","",ROUND(N($E1182)*IFERROR(INDEX(Items!$P$5:$P$504,U1182),0),2)),"")</f>
        <v/>
      </c>
      <c r="S1182" s="61" t="str">
        <f aca="false">IF(IsPro,IF($D1182="","",L1182-R1182),"")</f>
        <v/>
      </c>
      <c r="T1182" s="60" t="str">
        <f aca="false">IF(IsPro,IF($D1182="","",IF(U1182="","UNKNOWN ITEM",IF(INDEX(Items!$O$5:$O$504,U1182)&lt;0,"NEG STOCK",IF(K1182&lt;INDEX(Items!$P$5:$P$504,U1182),"BELOW COST","OK")))),IF($D1182="","","PRO PLAN"))</f>
        <v/>
      </c>
      <c r="U1182" s="60" t="str">
        <f aca="false">IF(IsPro,IF($D1182="","",IFERROR(MATCH($D1182,Items!$A$5:$A$504,0),"")),"")</f>
        <v/>
      </c>
      <c r="V1182" s="60" t="str">
        <f aca="false">IF(IsPro,IF($C1182="","",IFERROR(MATCH($C1182,Parties!$A$5:$A$304,0),"")),"")</f>
        <v/>
      </c>
      <c r="W1182" s="60" t="str">
        <f aca="false">IF(IsPro,IF($B1182="","",IFERROR(VALUE(SUBSTITUTE($B1182,InvPrefix,"")),0)),"")</f>
        <v/>
      </c>
      <c r="X1182" s="61" t="str">
        <f aca="false">IF(IsPro,IF($D1182="","",IF(OR($H1182="",$H1182="Credit"),0,Q1182)),"")</f>
        <v/>
      </c>
    </row>
    <row r="1183" customFormat="false" ht="15" hidden="false" customHeight="false" outlineLevel="0" collapsed="false">
      <c r="A1183" s="55"/>
      <c r="B1183" s="56"/>
      <c r="C1183" s="56"/>
      <c r="D1183" s="56"/>
      <c r="E1183" s="57"/>
      <c r="F1183" s="58"/>
      <c r="G1183" s="59"/>
      <c r="H1183" s="56"/>
      <c r="I1183" s="56"/>
      <c r="J1183" s="60" t="str">
        <f aca="false">IF(IsPro,IF($D1183="","",IFERROR(INDEX(Items!$D$5:$D$504,U1183),"")),"")</f>
        <v/>
      </c>
      <c r="K1183" s="61" t="str">
        <f aca="false">IF(IsPro,IF($D1183="","",IF($F1183="",IFERROR(INDEX(Items!$H$5:$H$504,U1183),0),$F1183)),"")</f>
        <v/>
      </c>
      <c r="L1183" s="61" t="str">
        <f aca="false">IF(IsPro,IF($D1183="","",ROUND(N($E1183)*K1183*(1-N($G1183)),2)),"")</f>
        <v/>
      </c>
      <c r="M1183" s="62" t="str">
        <f aca="false">IF(IsPro,IF($D1183="","",IFERROR(INDEX(Items!$F$5:$F$504,U1183),0)),"")</f>
        <v/>
      </c>
      <c r="N1183" s="61" t="str">
        <f aca="false">IF(IsPro,IF($D1183="","",IF(AND(V1183&lt;&gt;"",INDEX(Parties!$E$5:$E$304,V1183)&lt;&gt;"",INDEX(Parties!$E$5:$E$304,V1183)&lt;&gt;HomeState),0,ROUND(L1183*M1183/2,2))),"")</f>
        <v/>
      </c>
      <c r="O1183" s="61" t="str">
        <f aca="false">IF(IsPro,IF($D1183="","",N1183),"")</f>
        <v/>
      </c>
      <c r="P1183" s="61" t="str">
        <f aca="false">IF(IsPro,IF($D1183="","",IF(AND(V1183&lt;&gt;"",INDEX(Parties!$E$5:$E$304,V1183)&lt;&gt;"",INDEX(Parties!$E$5:$E$304,V1183)&lt;&gt;HomeState),ROUND(L1183*M1183,2),0)),"")</f>
        <v/>
      </c>
      <c r="Q1183" s="61" t="str">
        <f aca="false">IF(IsPro,IF($D1183="","",L1183+N1183+O1183+P1183),"")</f>
        <v/>
      </c>
      <c r="R1183" s="61" t="str">
        <f aca="false">IF(IsPro,IF($D1183="","",ROUND(N($E1183)*IFERROR(INDEX(Items!$P$5:$P$504,U1183),0),2)),"")</f>
        <v/>
      </c>
      <c r="S1183" s="61" t="str">
        <f aca="false">IF(IsPro,IF($D1183="","",L1183-R1183),"")</f>
        <v/>
      </c>
      <c r="T1183" s="60" t="str">
        <f aca="false">IF(IsPro,IF($D1183="","",IF(U1183="","UNKNOWN ITEM",IF(INDEX(Items!$O$5:$O$504,U1183)&lt;0,"NEG STOCK",IF(K1183&lt;INDEX(Items!$P$5:$P$504,U1183),"BELOW COST","OK")))),IF($D1183="","","PRO PLAN"))</f>
        <v/>
      </c>
      <c r="U1183" s="60" t="str">
        <f aca="false">IF(IsPro,IF($D1183="","",IFERROR(MATCH($D1183,Items!$A$5:$A$504,0),"")),"")</f>
        <v/>
      </c>
      <c r="V1183" s="60" t="str">
        <f aca="false">IF(IsPro,IF($C1183="","",IFERROR(MATCH($C1183,Parties!$A$5:$A$304,0),"")),"")</f>
        <v/>
      </c>
      <c r="W1183" s="60" t="str">
        <f aca="false">IF(IsPro,IF($B1183="","",IFERROR(VALUE(SUBSTITUTE($B1183,InvPrefix,"")),0)),"")</f>
        <v/>
      </c>
      <c r="X1183" s="61" t="str">
        <f aca="false">IF(IsPro,IF($D1183="","",IF(OR($H1183="",$H1183="Credit"),0,Q1183)),"")</f>
        <v/>
      </c>
    </row>
    <row r="1184" customFormat="false" ht="15" hidden="false" customHeight="false" outlineLevel="0" collapsed="false">
      <c r="A1184" s="55"/>
      <c r="B1184" s="56"/>
      <c r="C1184" s="56"/>
      <c r="D1184" s="56"/>
      <c r="E1184" s="57"/>
      <c r="F1184" s="58"/>
      <c r="G1184" s="59"/>
      <c r="H1184" s="56"/>
      <c r="I1184" s="56"/>
      <c r="J1184" s="60" t="str">
        <f aca="false">IF(IsPro,IF($D1184="","",IFERROR(INDEX(Items!$D$5:$D$504,U1184),"")),"")</f>
        <v/>
      </c>
      <c r="K1184" s="61" t="str">
        <f aca="false">IF(IsPro,IF($D1184="","",IF($F1184="",IFERROR(INDEX(Items!$H$5:$H$504,U1184),0),$F1184)),"")</f>
        <v/>
      </c>
      <c r="L1184" s="61" t="str">
        <f aca="false">IF(IsPro,IF($D1184="","",ROUND(N($E1184)*K1184*(1-N($G1184)),2)),"")</f>
        <v/>
      </c>
      <c r="M1184" s="62" t="str">
        <f aca="false">IF(IsPro,IF($D1184="","",IFERROR(INDEX(Items!$F$5:$F$504,U1184),0)),"")</f>
        <v/>
      </c>
      <c r="N1184" s="61" t="str">
        <f aca="false">IF(IsPro,IF($D1184="","",IF(AND(V1184&lt;&gt;"",INDEX(Parties!$E$5:$E$304,V1184)&lt;&gt;"",INDEX(Parties!$E$5:$E$304,V1184)&lt;&gt;HomeState),0,ROUND(L1184*M1184/2,2))),"")</f>
        <v/>
      </c>
      <c r="O1184" s="61" t="str">
        <f aca="false">IF(IsPro,IF($D1184="","",N1184),"")</f>
        <v/>
      </c>
      <c r="P1184" s="61" t="str">
        <f aca="false">IF(IsPro,IF($D1184="","",IF(AND(V1184&lt;&gt;"",INDEX(Parties!$E$5:$E$304,V1184)&lt;&gt;"",INDEX(Parties!$E$5:$E$304,V1184)&lt;&gt;HomeState),ROUND(L1184*M1184,2),0)),"")</f>
        <v/>
      </c>
      <c r="Q1184" s="61" t="str">
        <f aca="false">IF(IsPro,IF($D1184="","",L1184+N1184+O1184+P1184),"")</f>
        <v/>
      </c>
      <c r="R1184" s="61" t="str">
        <f aca="false">IF(IsPro,IF($D1184="","",ROUND(N($E1184)*IFERROR(INDEX(Items!$P$5:$P$504,U1184),0),2)),"")</f>
        <v/>
      </c>
      <c r="S1184" s="61" t="str">
        <f aca="false">IF(IsPro,IF($D1184="","",L1184-R1184),"")</f>
        <v/>
      </c>
      <c r="T1184" s="60" t="str">
        <f aca="false">IF(IsPro,IF($D1184="","",IF(U1184="","UNKNOWN ITEM",IF(INDEX(Items!$O$5:$O$504,U1184)&lt;0,"NEG STOCK",IF(K1184&lt;INDEX(Items!$P$5:$P$504,U1184),"BELOW COST","OK")))),IF($D1184="","","PRO PLAN"))</f>
        <v/>
      </c>
      <c r="U1184" s="60" t="str">
        <f aca="false">IF(IsPro,IF($D1184="","",IFERROR(MATCH($D1184,Items!$A$5:$A$504,0),"")),"")</f>
        <v/>
      </c>
      <c r="V1184" s="60" t="str">
        <f aca="false">IF(IsPro,IF($C1184="","",IFERROR(MATCH($C1184,Parties!$A$5:$A$304,0),"")),"")</f>
        <v/>
      </c>
      <c r="W1184" s="60" t="str">
        <f aca="false">IF(IsPro,IF($B1184="","",IFERROR(VALUE(SUBSTITUTE($B1184,InvPrefix,"")),0)),"")</f>
        <v/>
      </c>
      <c r="X1184" s="61" t="str">
        <f aca="false">IF(IsPro,IF($D1184="","",IF(OR($H1184="",$H1184="Credit"),0,Q1184)),"")</f>
        <v/>
      </c>
    </row>
    <row r="1185" customFormat="false" ht="15" hidden="false" customHeight="false" outlineLevel="0" collapsed="false">
      <c r="A1185" s="55"/>
      <c r="B1185" s="56"/>
      <c r="C1185" s="56"/>
      <c r="D1185" s="56"/>
      <c r="E1185" s="57"/>
      <c r="F1185" s="58"/>
      <c r="G1185" s="59"/>
      <c r="H1185" s="56"/>
      <c r="I1185" s="56"/>
      <c r="J1185" s="60" t="str">
        <f aca="false">IF(IsPro,IF($D1185="","",IFERROR(INDEX(Items!$D$5:$D$504,U1185),"")),"")</f>
        <v/>
      </c>
      <c r="K1185" s="61" t="str">
        <f aca="false">IF(IsPro,IF($D1185="","",IF($F1185="",IFERROR(INDEX(Items!$H$5:$H$504,U1185),0),$F1185)),"")</f>
        <v/>
      </c>
      <c r="L1185" s="61" t="str">
        <f aca="false">IF(IsPro,IF($D1185="","",ROUND(N($E1185)*K1185*(1-N($G1185)),2)),"")</f>
        <v/>
      </c>
      <c r="M1185" s="62" t="str">
        <f aca="false">IF(IsPro,IF($D1185="","",IFERROR(INDEX(Items!$F$5:$F$504,U1185),0)),"")</f>
        <v/>
      </c>
      <c r="N1185" s="61" t="str">
        <f aca="false">IF(IsPro,IF($D1185="","",IF(AND(V1185&lt;&gt;"",INDEX(Parties!$E$5:$E$304,V1185)&lt;&gt;"",INDEX(Parties!$E$5:$E$304,V1185)&lt;&gt;HomeState),0,ROUND(L1185*M1185/2,2))),"")</f>
        <v/>
      </c>
      <c r="O1185" s="61" t="str">
        <f aca="false">IF(IsPro,IF($D1185="","",N1185),"")</f>
        <v/>
      </c>
      <c r="P1185" s="61" t="str">
        <f aca="false">IF(IsPro,IF($D1185="","",IF(AND(V1185&lt;&gt;"",INDEX(Parties!$E$5:$E$304,V1185)&lt;&gt;"",INDEX(Parties!$E$5:$E$304,V1185)&lt;&gt;HomeState),ROUND(L1185*M1185,2),0)),"")</f>
        <v/>
      </c>
      <c r="Q1185" s="61" t="str">
        <f aca="false">IF(IsPro,IF($D1185="","",L1185+N1185+O1185+P1185),"")</f>
        <v/>
      </c>
      <c r="R1185" s="61" t="str">
        <f aca="false">IF(IsPro,IF($D1185="","",ROUND(N($E1185)*IFERROR(INDEX(Items!$P$5:$P$504,U1185),0),2)),"")</f>
        <v/>
      </c>
      <c r="S1185" s="61" t="str">
        <f aca="false">IF(IsPro,IF($D1185="","",L1185-R1185),"")</f>
        <v/>
      </c>
      <c r="T1185" s="60" t="str">
        <f aca="false">IF(IsPro,IF($D1185="","",IF(U1185="","UNKNOWN ITEM",IF(INDEX(Items!$O$5:$O$504,U1185)&lt;0,"NEG STOCK",IF(K1185&lt;INDEX(Items!$P$5:$P$504,U1185),"BELOW COST","OK")))),IF($D1185="","","PRO PLAN"))</f>
        <v/>
      </c>
      <c r="U1185" s="60" t="str">
        <f aca="false">IF(IsPro,IF($D1185="","",IFERROR(MATCH($D1185,Items!$A$5:$A$504,0),"")),"")</f>
        <v/>
      </c>
      <c r="V1185" s="60" t="str">
        <f aca="false">IF(IsPro,IF($C1185="","",IFERROR(MATCH($C1185,Parties!$A$5:$A$304,0),"")),"")</f>
        <v/>
      </c>
      <c r="W1185" s="60" t="str">
        <f aca="false">IF(IsPro,IF($B1185="","",IFERROR(VALUE(SUBSTITUTE($B1185,InvPrefix,"")),0)),"")</f>
        <v/>
      </c>
      <c r="X1185" s="61" t="str">
        <f aca="false">IF(IsPro,IF($D1185="","",IF(OR($H1185="",$H1185="Credit"),0,Q1185)),"")</f>
        <v/>
      </c>
    </row>
    <row r="1186" customFormat="false" ht="15" hidden="false" customHeight="false" outlineLevel="0" collapsed="false">
      <c r="A1186" s="55"/>
      <c r="B1186" s="56"/>
      <c r="C1186" s="56"/>
      <c r="D1186" s="56"/>
      <c r="E1186" s="57"/>
      <c r="F1186" s="58"/>
      <c r="G1186" s="59"/>
      <c r="H1186" s="56"/>
      <c r="I1186" s="56"/>
      <c r="J1186" s="60" t="str">
        <f aca="false">IF(IsPro,IF($D1186="","",IFERROR(INDEX(Items!$D$5:$D$504,U1186),"")),"")</f>
        <v/>
      </c>
      <c r="K1186" s="61" t="str">
        <f aca="false">IF(IsPro,IF($D1186="","",IF($F1186="",IFERROR(INDEX(Items!$H$5:$H$504,U1186),0),$F1186)),"")</f>
        <v/>
      </c>
      <c r="L1186" s="61" t="str">
        <f aca="false">IF(IsPro,IF($D1186="","",ROUND(N($E1186)*K1186*(1-N($G1186)),2)),"")</f>
        <v/>
      </c>
      <c r="M1186" s="62" t="str">
        <f aca="false">IF(IsPro,IF($D1186="","",IFERROR(INDEX(Items!$F$5:$F$504,U1186),0)),"")</f>
        <v/>
      </c>
      <c r="N1186" s="61" t="str">
        <f aca="false">IF(IsPro,IF($D1186="","",IF(AND(V1186&lt;&gt;"",INDEX(Parties!$E$5:$E$304,V1186)&lt;&gt;"",INDEX(Parties!$E$5:$E$304,V1186)&lt;&gt;HomeState),0,ROUND(L1186*M1186/2,2))),"")</f>
        <v/>
      </c>
      <c r="O1186" s="61" t="str">
        <f aca="false">IF(IsPro,IF($D1186="","",N1186),"")</f>
        <v/>
      </c>
      <c r="P1186" s="61" t="str">
        <f aca="false">IF(IsPro,IF($D1186="","",IF(AND(V1186&lt;&gt;"",INDEX(Parties!$E$5:$E$304,V1186)&lt;&gt;"",INDEX(Parties!$E$5:$E$304,V1186)&lt;&gt;HomeState),ROUND(L1186*M1186,2),0)),"")</f>
        <v/>
      </c>
      <c r="Q1186" s="61" t="str">
        <f aca="false">IF(IsPro,IF($D1186="","",L1186+N1186+O1186+P1186),"")</f>
        <v/>
      </c>
      <c r="R1186" s="61" t="str">
        <f aca="false">IF(IsPro,IF($D1186="","",ROUND(N($E1186)*IFERROR(INDEX(Items!$P$5:$P$504,U1186),0),2)),"")</f>
        <v/>
      </c>
      <c r="S1186" s="61" t="str">
        <f aca="false">IF(IsPro,IF($D1186="","",L1186-R1186),"")</f>
        <v/>
      </c>
      <c r="T1186" s="60" t="str">
        <f aca="false">IF(IsPro,IF($D1186="","",IF(U1186="","UNKNOWN ITEM",IF(INDEX(Items!$O$5:$O$504,U1186)&lt;0,"NEG STOCK",IF(K1186&lt;INDEX(Items!$P$5:$P$504,U1186),"BELOW COST","OK")))),IF($D1186="","","PRO PLAN"))</f>
        <v/>
      </c>
      <c r="U1186" s="60" t="str">
        <f aca="false">IF(IsPro,IF($D1186="","",IFERROR(MATCH($D1186,Items!$A$5:$A$504,0),"")),"")</f>
        <v/>
      </c>
      <c r="V1186" s="60" t="str">
        <f aca="false">IF(IsPro,IF($C1186="","",IFERROR(MATCH($C1186,Parties!$A$5:$A$304,0),"")),"")</f>
        <v/>
      </c>
      <c r="W1186" s="60" t="str">
        <f aca="false">IF(IsPro,IF($B1186="","",IFERROR(VALUE(SUBSTITUTE($B1186,InvPrefix,"")),0)),"")</f>
        <v/>
      </c>
      <c r="X1186" s="61" t="str">
        <f aca="false">IF(IsPro,IF($D1186="","",IF(OR($H1186="",$H1186="Credit"),0,Q1186)),"")</f>
        <v/>
      </c>
    </row>
    <row r="1187" customFormat="false" ht="15" hidden="false" customHeight="false" outlineLevel="0" collapsed="false">
      <c r="A1187" s="55"/>
      <c r="B1187" s="56"/>
      <c r="C1187" s="56"/>
      <c r="D1187" s="56"/>
      <c r="E1187" s="57"/>
      <c r="F1187" s="58"/>
      <c r="G1187" s="59"/>
      <c r="H1187" s="56"/>
      <c r="I1187" s="56"/>
      <c r="J1187" s="60" t="str">
        <f aca="false">IF(IsPro,IF($D1187="","",IFERROR(INDEX(Items!$D$5:$D$504,U1187),"")),"")</f>
        <v/>
      </c>
      <c r="K1187" s="61" t="str">
        <f aca="false">IF(IsPro,IF($D1187="","",IF($F1187="",IFERROR(INDEX(Items!$H$5:$H$504,U1187),0),$F1187)),"")</f>
        <v/>
      </c>
      <c r="L1187" s="61" t="str">
        <f aca="false">IF(IsPro,IF($D1187="","",ROUND(N($E1187)*K1187*(1-N($G1187)),2)),"")</f>
        <v/>
      </c>
      <c r="M1187" s="62" t="str">
        <f aca="false">IF(IsPro,IF($D1187="","",IFERROR(INDEX(Items!$F$5:$F$504,U1187),0)),"")</f>
        <v/>
      </c>
      <c r="N1187" s="61" t="str">
        <f aca="false">IF(IsPro,IF($D1187="","",IF(AND(V1187&lt;&gt;"",INDEX(Parties!$E$5:$E$304,V1187)&lt;&gt;"",INDEX(Parties!$E$5:$E$304,V1187)&lt;&gt;HomeState),0,ROUND(L1187*M1187/2,2))),"")</f>
        <v/>
      </c>
      <c r="O1187" s="61" t="str">
        <f aca="false">IF(IsPro,IF($D1187="","",N1187),"")</f>
        <v/>
      </c>
      <c r="P1187" s="61" t="str">
        <f aca="false">IF(IsPro,IF($D1187="","",IF(AND(V1187&lt;&gt;"",INDEX(Parties!$E$5:$E$304,V1187)&lt;&gt;"",INDEX(Parties!$E$5:$E$304,V1187)&lt;&gt;HomeState),ROUND(L1187*M1187,2),0)),"")</f>
        <v/>
      </c>
      <c r="Q1187" s="61" t="str">
        <f aca="false">IF(IsPro,IF($D1187="","",L1187+N1187+O1187+P1187),"")</f>
        <v/>
      </c>
      <c r="R1187" s="61" t="str">
        <f aca="false">IF(IsPro,IF($D1187="","",ROUND(N($E1187)*IFERROR(INDEX(Items!$P$5:$P$504,U1187),0),2)),"")</f>
        <v/>
      </c>
      <c r="S1187" s="61" t="str">
        <f aca="false">IF(IsPro,IF($D1187="","",L1187-R1187),"")</f>
        <v/>
      </c>
      <c r="T1187" s="60" t="str">
        <f aca="false">IF(IsPro,IF($D1187="","",IF(U1187="","UNKNOWN ITEM",IF(INDEX(Items!$O$5:$O$504,U1187)&lt;0,"NEG STOCK",IF(K1187&lt;INDEX(Items!$P$5:$P$504,U1187),"BELOW COST","OK")))),IF($D1187="","","PRO PLAN"))</f>
        <v/>
      </c>
      <c r="U1187" s="60" t="str">
        <f aca="false">IF(IsPro,IF($D1187="","",IFERROR(MATCH($D1187,Items!$A$5:$A$504,0),"")),"")</f>
        <v/>
      </c>
      <c r="V1187" s="60" t="str">
        <f aca="false">IF(IsPro,IF($C1187="","",IFERROR(MATCH($C1187,Parties!$A$5:$A$304,0),"")),"")</f>
        <v/>
      </c>
      <c r="W1187" s="60" t="str">
        <f aca="false">IF(IsPro,IF($B1187="","",IFERROR(VALUE(SUBSTITUTE($B1187,InvPrefix,"")),0)),"")</f>
        <v/>
      </c>
      <c r="X1187" s="61" t="str">
        <f aca="false">IF(IsPro,IF($D1187="","",IF(OR($H1187="",$H1187="Credit"),0,Q1187)),"")</f>
        <v/>
      </c>
    </row>
    <row r="1188" customFormat="false" ht="15" hidden="false" customHeight="false" outlineLevel="0" collapsed="false">
      <c r="A1188" s="55"/>
      <c r="B1188" s="56"/>
      <c r="C1188" s="56"/>
      <c r="D1188" s="56"/>
      <c r="E1188" s="57"/>
      <c r="F1188" s="58"/>
      <c r="G1188" s="59"/>
      <c r="H1188" s="56"/>
      <c r="I1188" s="56"/>
      <c r="J1188" s="60" t="str">
        <f aca="false">IF(IsPro,IF($D1188="","",IFERROR(INDEX(Items!$D$5:$D$504,U1188),"")),"")</f>
        <v/>
      </c>
      <c r="K1188" s="61" t="str">
        <f aca="false">IF(IsPro,IF($D1188="","",IF($F1188="",IFERROR(INDEX(Items!$H$5:$H$504,U1188),0),$F1188)),"")</f>
        <v/>
      </c>
      <c r="L1188" s="61" t="str">
        <f aca="false">IF(IsPro,IF($D1188="","",ROUND(N($E1188)*K1188*(1-N($G1188)),2)),"")</f>
        <v/>
      </c>
      <c r="M1188" s="62" t="str">
        <f aca="false">IF(IsPro,IF($D1188="","",IFERROR(INDEX(Items!$F$5:$F$504,U1188),0)),"")</f>
        <v/>
      </c>
      <c r="N1188" s="61" t="str">
        <f aca="false">IF(IsPro,IF($D1188="","",IF(AND(V1188&lt;&gt;"",INDEX(Parties!$E$5:$E$304,V1188)&lt;&gt;"",INDEX(Parties!$E$5:$E$304,V1188)&lt;&gt;HomeState),0,ROUND(L1188*M1188/2,2))),"")</f>
        <v/>
      </c>
      <c r="O1188" s="61" t="str">
        <f aca="false">IF(IsPro,IF($D1188="","",N1188),"")</f>
        <v/>
      </c>
      <c r="P1188" s="61" t="str">
        <f aca="false">IF(IsPro,IF($D1188="","",IF(AND(V1188&lt;&gt;"",INDEX(Parties!$E$5:$E$304,V1188)&lt;&gt;"",INDEX(Parties!$E$5:$E$304,V1188)&lt;&gt;HomeState),ROUND(L1188*M1188,2),0)),"")</f>
        <v/>
      </c>
      <c r="Q1188" s="61" t="str">
        <f aca="false">IF(IsPro,IF($D1188="","",L1188+N1188+O1188+P1188),"")</f>
        <v/>
      </c>
      <c r="R1188" s="61" t="str">
        <f aca="false">IF(IsPro,IF($D1188="","",ROUND(N($E1188)*IFERROR(INDEX(Items!$P$5:$P$504,U1188),0),2)),"")</f>
        <v/>
      </c>
      <c r="S1188" s="61" t="str">
        <f aca="false">IF(IsPro,IF($D1188="","",L1188-R1188),"")</f>
        <v/>
      </c>
      <c r="T1188" s="60" t="str">
        <f aca="false">IF(IsPro,IF($D1188="","",IF(U1188="","UNKNOWN ITEM",IF(INDEX(Items!$O$5:$O$504,U1188)&lt;0,"NEG STOCK",IF(K1188&lt;INDEX(Items!$P$5:$P$504,U1188),"BELOW COST","OK")))),IF($D1188="","","PRO PLAN"))</f>
        <v/>
      </c>
      <c r="U1188" s="60" t="str">
        <f aca="false">IF(IsPro,IF($D1188="","",IFERROR(MATCH($D1188,Items!$A$5:$A$504,0),"")),"")</f>
        <v/>
      </c>
      <c r="V1188" s="60" t="str">
        <f aca="false">IF(IsPro,IF($C1188="","",IFERROR(MATCH($C1188,Parties!$A$5:$A$304,0),"")),"")</f>
        <v/>
      </c>
      <c r="W1188" s="60" t="str">
        <f aca="false">IF(IsPro,IF($B1188="","",IFERROR(VALUE(SUBSTITUTE($B1188,InvPrefix,"")),0)),"")</f>
        <v/>
      </c>
      <c r="X1188" s="61" t="str">
        <f aca="false">IF(IsPro,IF($D1188="","",IF(OR($H1188="",$H1188="Credit"),0,Q1188)),"")</f>
        <v/>
      </c>
    </row>
    <row r="1189" customFormat="false" ht="15" hidden="false" customHeight="false" outlineLevel="0" collapsed="false">
      <c r="A1189" s="55"/>
      <c r="B1189" s="56"/>
      <c r="C1189" s="56"/>
      <c r="D1189" s="56"/>
      <c r="E1189" s="57"/>
      <c r="F1189" s="58"/>
      <c r="G1189" s="59"/>
      <c r="H1189" s="56"/>
      <c r="I1189" s="56"/>
      <c r="J1189" s="60" t="str">
        <f aca="false">IF(IsPro,IF($D1189="","",IFERROR(INDEX(Items!$D$5:$D$504,U1189),"")),"")</f>
        <v/>
      </c>
      <c r="K1189" s="61" t="str">
        <f aca="false">IF(IsPro,IF($D1189="","",IF($F1189="",IFERROR(INDEX(Items!$H$5:$H$504,U1189),0),$F1189)),"")</f>
        <v/>
      </c>
      <c r="L1189" s="61" t="str">
        <f aca="false">IF(IsPro,IF($D1189="","",ROUND(N($E1189)*K1189*(1-N($G1189)),2)),"")</f>
        <v/>
      </c>
      <c r="M1189" s="62" t="str">
        <f aca="false">IF(IsPro,IF($D1189="","",IFERROR(INDEX(Items!$F$5:$F$504,U1189),0)),"")</f>
        <v/>
      </c>
      <c r="N1189" s="61" t="str">
        <f aca="false">IF(IsPro,IF($D1189="","",IF(AND(V1189&lt;&gt;"",INDEX(Parties!$E$5:$E$304,V1189)&lt;&gt;"",INDEX(Parties!$E$5:$E$304,V1189)&lt;&gt;HomeState),0,ROUND(L1189*M1189/2,2))),"")</f>
        <v/>
      </c>
      <c r="O1189" s="61" t="str">
        <f aca="false">IF(IsPro,IF($D1189="","",N1189),"")</f>
        <v/>
      </c>
      <c r="P1189" s="61" t="str">
        <f aca="false">IF(IsPro,IF($D1189="","",IF(AND(V1189&lt;&gt;"",INDEX(Parties!$E$5:$E$304,V1189)&lt;&gt;"",INDEX(Parties!$E$5:$E$304,V1189)&lt;&gt;HomeState),ROUND(L1189*M1189,2),0)),"")</f>
        <v/>
      </c>
      <c r="Q1189" s="61" t="str">
        <f aca="false">IF(IsPro,IF($D1189="","",L1189+N1189+O1189+P1189),"")</f>
        <v/>
      </c>
      <c r="R1189" s="61" t="str">
        <f aca="false">IF(IsPro,IF($D1189="","",ROUND(N($E1189)*IFERROR(INDEX(Items!$P$5:$P$504,U1189),0),2)),"")</f>
        <v/>
      </c>
      <c r="S1189" s="61" t="str">
        <f aca="false">IF(IsPro,IF($D1189="","",L1189-R1189),"")</f>
        <v/>
      </c>
      <c r="T1189" s="60" t="str">
        <f aca="false">IF(IsPro,IF($D1189="","",IF(U1189="","UNKNOWN ITEM",IF(INDEX(Items!$O$5:$O$504,U1189)&lt;0,"NEG STOCK",IF(K1189&lt;INDEX(Items!$P$5:$P$504,U1189),"BELOW COST","OK")))),IF($D1189="","","PRO PLAN"))</f>
        <v/>
      </c>
      <c r="U1189" s="60" t="str">
        <f aca="false">IF(IsPro,IF($D1189="","",IFERROR(MATCH($D1189,Items!$A$5:$A$504,0),"")),"")</f>
        <v/>
      </c>
      <c r="V1189" s="60" t="str">
        <f aca="false">IF(IsPro,IF($C1189="","",IFERROR(MATCH($C1189,Parties!$A$5:$A$304,0),"")),"")</f>
        <v/>
      </c>
      <c r="W1189" s="60" t="str">
        <f aca="false">IF(IsPro,IF($B1189="","",IFERROR(VALUE(SUBSTITUTE($B1189,InvPrefix,"")),0)),"")</f>
        <v/>
      </c>
      <c r="X1189" s="61" t="str">
        <f aca="false">IF(IsPro,IF($D1189="","",IF(OR($H1189="",$H1189="Credit"),0,Q1189)),"")</f>
        <v/>
      </c>
    </row>
    <row r="1190" customFormat="false" ht="15" hidden="false" customHeight="false" outlineLevel="0" collapsed="false">
      <c r="A1190" s="55"/>
      <c r="B1190" s="56"/>
      <c r="C1190" s="56"/>
      <c r="D1190" s="56"/>
      <c r="E1190" s="57"/>
      <c r="F1190" s="58"/>
      <c r="G1190" s="59"/>
      <c r="H1190" s="56"/>
      <c r="I1190" s="56"/>
      <c r="J1190" s="60" t="str">
        <f aca="false">IF(IsPro,IF($D1190="","",IFERROR(INDEX(Items!$D$5:$D$504,U1190),"")),"")</f>
        <v/>
      </c>
      <c r="K1190" s="61" t="str">
        <f aca="false">IF(IsPro,IF($D1190="","",IF($F1190="",IFERROR(INDEX(Items!$H$5:$H$504,U1190),0),$F1190)),"")</f>
        <v/>
      </c>
      <c r="L1190" s="61" t="str">
        <f aca="false">IF(IsPro,IF($D1190="","",ROUND(N($E1190)*K1190*(1-N($G1190)),2)),"")</f>
        <v/>
      </c>
      <c r="M1190" s="62" t="str">
        <f aca="false">IF(IsPro,IF($D1190="","",IFERROR(INDEX(Items!$F$5:$F$504,U1190),0)),"")</f>
        <v/>
      </c>
      <c r="N1190" s="61" t="str">
        <f aca="false">IF(IsPro,IF($D1190="","",IF(AND(V1190&lt;&gt;"",INDEX(Parties!$E$5:$E$304,V1190)&lt;&gt;"",INDEX(Parties!$E$5:$E$304,V1190)&lt;&gt;HomeState),0,ROUND(L1190*M1190/2,2))),"")</f>
        <v/>
      </c>
      <c r="O1190" s="61" t="str">
        <f aca="false">IF(IsPro,IF($D1190="","",N1190),"")</f>
        <v/>
      </c>
      <c r="P1190" s="61" t="str">
        <f aca="false">IF(IsPro,IF($D1190="","",IF(AND(V1190&lt;&gt;"",INDEX(Parties!$E$5:$E$304,V1190)&lt;&gt;"",INDEX(Parties!$E$5:$E$304,V1190)&lt;&gt;HomeState),ROUND(L1190*M1190,2),0)),"")</f>
        <v/>
      </c>
      <c r="Q1190" s="61" t="str">
        <f aca="false">IF(IsPro,IF($D1190="","",L1190+N1190+O1190+P1190),"")</f>
        <v/>
      </c>
      <c r="R1190" s="61" t="str">
        <f aca="false">IF(IsPro,IF($D1190="","",ROUND(N($E1190)*IFERROR(INDEX(Items!$P$5:$P$504,U1190),0),2)),"")</f>
        <v/>
      </c>
      <c r="S1190" s="61" t="str">
        <f aca="false">IF(IsPro,IF($D1190="","",L1190-R1190),"")</f>
        <v/>
      </c>
      <c r="T1190" s="60" t="str">
        <f aca="false">IF(IsPro,IF($D1190="","",IF(U1190="","UNKNOWN ITEM",IF(INDEX(Items!$O$5:$O$504,U1190)&lt;0,"NEG STOCK",IF(K1190&lt;INDEX(Items!$P$5:$P$504,U1190),"BELOW COST","OK")))),IF($D1190="","","PRO PLAN"))</f>
        <v/>
      </c>
      <c r="U1190" s="60" t="str">
        <f aca="false">IF(IsPro,IF($D1190="","",IFERROR(MATCH($D1190,Items!$A$5:$A$504,0),"")),"")</f>
        <v/>
      </c>
      <c r="V1190" s="60" t="str">
        <f aca="false">IF(IsPro,IF($C1190="","",IFERROR(MATCH($C1190,Parties!$A$5:$A$304,0),"")),"")</f>
        <v/>
      </c>
      <c r="W1190" s="60" t="str">
        <f aca="false">IF(IsPro,IF($B1190="","",IFERROR(VALUE(SUBSTITUTE($B1190,InvPrefix,"")),0)),"")</f>
        <v/>
      </c>
      <c r="X1190" s="61" t="str">
        <f aca="false">IF(IsPro,IF($D1190="","",IF(OR($H1190="",$H1190="Credit"),0,Q1190)),"")</f>
        <v/>
      </c>
    </row>
    <row r="1191" customFormat="false" ht="15" hidden="false" customHeight="false" outlineLevel="0" collapsed="false">
      <c r="A1191" s="55"/>
      <c r="B1191" s="56"/>
      <c r="C1191" s="56"/>
      <c r="D1191" s="56"/>
      <c r="E1191" s="57"/>
      <c r="F1191" s="58"/>
      <c r="G1191" s="59"/>
      <c r="H1191" s="56"/>
      <c r="I1191" s="56"/>
      <c r="J1191" s="60" t="str">
        <f aca="false">IF(IsPro,IF($D1191="","",IFERROR(INDEX(Items!$D$5:$D$504,U1191),"")),"")</f>
        <v/>
      </c>
      <c r="K1191" s="61" t="str">
        <f aca="false">IF(IsPro,IF($D1191="","",IF($F1191="",IFERROR(INDEX(Items!$H$5:$H$504,U1191),0),$F1191)),"")</f>
        <v/>
      </c>
      <c r="L1191" s="61" t="str">
        <f aca="false">IF(IsPro,IF($D1191="","",ROUND(N($E1191)*K1191*(1-N($G1191)),2)),"")</f>
        <v/>
      </c>
      <c r="M1191" s="62" t="str">
        <f aca="false">IF(IsPro,IF($D1191="","",IFERROR(INDEX(Items!$F$5:$F$504,U1191),0)),"")</f>
        <v/>
      </c>
      <c r="N1191" s="61" t="str">
        <f aca="false">IF(IsPro,IF($D1191="","",IF(AND(V1191&lt;&gt;"",INDEX(Parties!$E$5:$E$304,V1191)&lt;&gt;"",INDEX(Parties!$E$5:$E$304,V1191)&lt;&gt;HomeState),0,ROUND(L1191*M1191/2,2))),"")</f>
        <v/>
      </c>
      <c r="O1191" s="61" t="str">
        <f aca="false">IF(IsPro,IF($D1191="","",N1191),"")</f>
        <v/>
      </c>
      <c r="P1191" s="61" t="str">
        <f aca="false">IF(IsPro,IF($D1191="","",IF(AND(V1191&lt;&gt;"",INDEX(Parties!$E$5:$E$304,V1191)&lt;&gt;"",INDEX(Parties!$E$5:$E$304,V1191)&lt;&gt;HomeState),ROUND(L1191*M1191,2),0)),"")</f>
        <v/>
      </c>
      <c r="Q1191" s="61" t="str">
        <f aca="false">IF(IsPro,IF($D1191="","",L1191+N1191+O1191+P1191),"")</f>
        <v/>
      </c>
      <c r="R1191" s="61" t="str">
        <f aca="false">IF(IsPro,IF($D1191="","",ROUND(N($E1191)*IFERROR(INDEX(Items!$P$5:$P$504,U1191),0),2)),"")</f>
        <v/>
      </c>
      <c r="S1191" s="61" t="str">
        <f aca="false">IF(IsPro,IF($D1191="","",L1191-R1191),"")</f>
        <v/>
      </c>
      <c r="T1191" s="60" t="str">
        <f aca="false">IF(IsPro,IF($D1191="","",IF(U1191="","UNKNOWN ITEM",IF(INDEX(Items!$O$5:$O$504,U1191)&lt;0,"NEG STOCK",IF(K1191&lt;INDEX(Items!$P$5:$P$504,U1191),"BELOW COST","OK")))),IF($D1191="","","PRO PLAN"))</f>
        <v/>
      </c>
      <c r="U1191" s="60" t="str">
        <f aca="false">IF(IsPro,IF($D1191="","",IFERROR(MATCH($D1191,Items!$A$5:$A$504,0),"")),"")</f>
        <v/>
      </c>
      <c r="V1191" s="60" t="str">
        <f aca="false">IF(IsPro,IF($C1191="","",IFERROR(MATCH($C1191,Parties!$A$5:$A$304,0),"")),"")</f>
        <v/>
      </c>
      <c r="W1191" s="60" t="str">
        <f aca="false">IF(IsPro,IF($B1191="","",IFERROR(VALUE(SUBSTITUTE($B1191,InvPrefix,"")),0)),"")</f>
        <v/>
      </c>
      <c r="X1191" s="61" t="str">
        <f aca="false">IF(IsPro,IF($D1191="","",IF(OR($H1191="",$H1191="Credit"),0,Q1191)),"")</f>
        <v/>
      </c>
    </row>
    <row r="1192" customFormat="false" ht="15" hidden="false" customHeight="false" outlineLevel="0" collapsed="false">
      <c r="A1192" s="55"/>
      <c r="B1192" s="56"/>
      <c r="C1192" s="56"/>
      <c r="D1192" s="56"/>
      <c r="E1192" s="57"/>
      <c r="F1192" s="58"/>
      <c r="G1192" s="59"/>
      <c r="H1192" s="56"/>
      <c r="I1192" s="56"/>
      <c r="J1192" s="60" t="str">
        <f aca="false">IF(IsPro,IF($D1192="","",IFERROR(INDEX(Items!$D$5:$D$504,U1192),"")),"")</f>
        <v/>
      </c>
      <c r="K1192" s="61" t="str">
        <f aca="false">IF(IsPro,IF($D1192="","",IF($F1192="",IFERROR(INDEX(Items!$H$5:$H$504,U1192),0),$F1192)),"")</f>
        <v/>
      </c>
      <c r="L1192" s="61" t="str">
        <f aca="false">IF(IsPro,IF($D1192="","",ROUND(N($E1192)*K1192*(1-N($G1192)),2)),"")</f>
        <v/>
      </c>
      <c r="M1192" s="62" t="str">
        <f aca="false">IF(IsPro,IF($D1192="","",IFERROR(INDEX(Items!$F$5:$F$504,U1192),0)),"")</f>
        <v/>
      </c>
      <c r="N1192" s="61" t="str">
        <f aca="false">IF(IsPro,IF($D1192="","",IF(AND(V1192&lt;&gt;"",INDEX(Parties!$E$5:$E$304,V1192)&lt;&gt;"",INDEX(Parties!$E$5:$E$304,V1192)&lt;&gt;HomeState),0,ROUND(L1192*M1192/2,2))),"")</f>
        <v/>
      </c>
      <c r="O1192" s="61" t="str">
        <f aca="false">IF(IsPro,IF($D1192="","",N1192),"")</f>
        <v/>
      </c>
      <c r="P1192" s="61" t="str">
        <f aca="false">IF(IsPro,IF($D1192="","",IF(AND(V1192&lt;&gt;"",INDEX(Parties!$E$5:$E$304,V1192)&lt;&gt;"",INDEX(Parties!$E$5:$E$304,V1192)&lt;&gt;HomeState),ROUND(L1192*M1192,2),0)),"")</f>
        <v/>
      </c>
      <c r="Q1192" s="61" t="str">
        <f aca="false">IF(IsPro,IF($D1192="","",L1192+N1192+O1192+P1192),"")</f>
        <v/>
      </c>
      <c r="R1192" s="61" t="str">
        <f aca="false">IF(IsPro,IF($D1192="","",ROUND(N($E1192)*IFERROR(INDEX(Items!$P$5:$P$504,U1192),0),2)),"")</f>
        <v/>
      </c>
      <c r="S1192" s="61" t="str">
        <f aca="false">IF(IsPro,IF($D1192="","",L1192-R1192),"")</f>
        <v/>
      </c>
      <c r="T1192" s="60" t="str">
        <f aca="false">IF(IsPro,IF($D1192="","",IF(U1192="","UNKNOWN ITEM",IF(INDEX(Items!$O$5:$O$504,U1192)&lt;0,"NEG STOCK",IF(K1192&lt;INDEX(Items!$P$5:$P$504,U1192),"BELOW COST","OK")))),IF($D1192="","","PRO PLAN"))</f>
        <v/>
      </c>
      <c r="U1192" s="60" t="str">
        <f aca="false">IF(IsPro,IF($D1192="","",IFERROR(MATCH($D1192,Items!$A$5:$A$504,0),"")),"")</f>
        <v/>
      </c>
      <c r="V1192" s="60" t="str">
        <f aca="false">IF(IsPro,IF($C1192="","",IFERROR(MATCH($C1192,Parties!$A$5:$A$304,0),"")),"")</f>
        <v/>
      </c>
      <c r="W1192" s="60" t="str">
        <f aca="false">IF(IsPro,IF($B1192="","",IFERROR(VALUE(SUBSTITUTE($B1192,InvPrefix,"")),0)),"")</f>
        <v/>
      </c>
      <c r="X1192" s="61" t="str">
        <f aca="false">IF(IsPro,IF($D1192="","",IF(OR($H1192="",$H1192="Credit"),0,Q1192)),"")</f>
        <v/>
      </c>
    </row>
    <row r="1193" customFormat="false" ht="15" hidden="false" customHeight="false" outlineLevel="0" collapsed="false">
      <c r="A1193" s="55"/>
      <c r="B1193" s="56"/>
      <c r="C1193" s="56"/>
      <c r="D1193" s="56"/>
      <c r="E1193" s="57"/>
      <c r="F1193" s="58"/>
      <c r="G1193" s="59"/>
      <c r="H1193" s="56"/>
      <c r="I1193" s="56"/>
      <c r="J1193" s="60" t="str">
        <f aca="false">IF(IsPro,IF($D1193="","",IFERROR(INDEX(Items!$D$5:$D$504,U1193),"")),"")</f>
        <v/>
      </c>
      <c r="K1193" s="61" t="str">
        <f aca="false">IF(IsPro,IF($D1193="","",IF($F1193="",IFERROR(INDEX(Items!$H$5:$H$504,U1193),0),$F1193)),"")</f>
        <v/>
      </c>
      <c r="L1193" s="61" t="str">
        <f aca="false">IF(IsPro,IF($D1193="","",ROUND(N($E1193)*K1193*(1-N($G1193)),2)),"")</f>
        <v/>
      </c>
      <c r="M1193" s="62" t="str">
        <f aca="false">IF(IsPro,IF($D1193="","",IFERROR(INDEX(Items!$F$5:$F$504,U1193),0)),"")</f>
        <v/>
      </c>
      <c r="N1193" s="61" t="str">
        <f aca="false">IF(IsPro,IF($D1193="","",IF(AND(V1193&lt;&gt;"",INDEX(Parties!$E$5:$E$304,V1193)&lt;&gt;"",INDEX(Parties!$E$5:$E$304,V1193)&lt;&gt;HomeState),0,ROUND(L1193*M1193/2,2))),"")</f>
        <v/>
      </c>
      <c r="O1193" s="61" t="str">
        <f aca="false">IF(IsPro,IF($D1193="","",N1193),"")</f>
        <v/>
      </c>
      <c r="P1193" s="61" t="str">
        <f aca="false">IF(IsPro,IF($D1193="","",IF(AND(V1193&lt;&gt;"",INDEX(Parties!$E$5:$E$304,V1193)&lt;&gt;"",INDEX(Parties!$E$5:$E$304,V1193)&lt;&gt;HomeState),ROUND(L1193*M1193,2),0)),"")</f>
        <v/>
      </c>
      <c r="Q1193" s="61" t="str">
        <f aca="false">IF(IsPro,IF($D1193="","",L1193+N1193+O1193+P1193),"")</f>
        <v/>
      </c>
      <c r="R1193" s="61" t="str">
        <f aca="false">IF(IsPro,IF($D1193="","",ROUND(N($E1193)*IFERROR(INDEX(Items!$P$5:$P$504,U1193),0),2)),"")</f>
        <v/>
      </c>
      <c r="S1193" s="61" t="str">
        <f aca="false">IF(IsPro,IF($D1193="","",L1193-R1193),"")</f>
        <v/>
      </c>
      <c r="T1193" s="60" t="str">
        <f aca="false">IF(IsPro,IF($D1193="","",IF(U1193="","UNKNOWN ITEM",IF(INDEX(Items!$O$5:$O$504,U1193)&lt;0,"NEG STOCK",IF(K1193&lt;INDEX(Items!$P$5:$P$504,U1193),"BELOW COST","OK")))),IF($D1193="","","PRO PLAN"))</f>
        <v/>
      </c>
      <c r="U1193" s="60" t="str">
        <f aca="false">IF(IsPro,IF($D1193="","",IFERROR(MATCH($D1193,Items!$A$5:$A$504,0),"")),"")</f>
        <v/>
      </c>
      <c r="V1193" s="60" t="str">
        <f aca="false">IF(IsPro,IF($C1193="","",IFERROR(MATCH($C1193,Parties!$A$5:$A$304,0),"")),"")</f>
        <v/>
      </c>
      <c r="W1193" s="60" t="str">
        <f aca="false">IF(IsPro,IF($B1193="","",IFERROR(VALUE(SUBSTITUTE($B1193,InvPrefix,"")),0)),"")</f>
        <v/>
      </c>
      <c r="X1193" s="61" t="str">
        <f aca="false">IF(IsPro,IF($D1193="","",IF(OR($H1193="",$H1193="Credit"),0,Q1193)),"")</f>
        <v/>
      </c>
    </row>
    <row r="1194" customFormat="false" ht="15" hidden="false" customHeight="false" outlineLevel="0" collapsed="false">
      <c r="A1194" s="55"/>
      <c r="B1194" s="56"/>
      <c r="C1194" s="56"/>
      <c r="D1194" s="56"/>
      <c r="E1194" s="57"/>
      <c r="F1194" s="58"/>
      <c r="G1194" s="59"/>
      <c r="H1194" s="56"/>
      <c r="I1194" s="56"/>
      <c r="J1194" s="60" t="str">
        <f aca="false">IF(IsPro,IF($D1194="","",IFERROR(INDEX(Items!$D$5:$D$504,U1194),"")),"")</f>
        <v/>
      </c>
      <c r="K1194" s="61" t="str">
        <f aca="false">IF(IsPro,IF($D1194="","",IF($F1194="",IFERROR(INDEX(Items!$H$5:$H$504,U1194),0),$F1194)),"")</f>
        <v/>
      </c>
      <c r="L1194" s="61" t="str">
        <f aca="false">IF(IsPro,IF($D1194="","",ROUND(N($E1194)*K1194*(1-N($G1194)),2)),"")</f>
        <v/>
      </c>
      <c r="M1194" s="62" t="str">
        <f aca="false">IF(IsPro,IF($D1194="","",IFERROR(INDEX(Items!$F$5:$F$504,U1194),0)),"")</f>
        <v/>
      </c>
      <c r="N1194" s="61" t="str">
        <f aca="false">IF(IsPro,IF($D1194="","",IF(AND(V1194&lt;&gt;"",INDEX(Parties!$E$5:$E$304,V1194)&lt;&gt;"",INDEX(Parties!$E$5:$E$304,V1194)&lt;&gt;HomeState),0,ROUND(L1194*M1194/2,2))),"")</f>
        <v/>
      </c>
      <c r="O1194" s="61" t="str">
        <f aca="false">IF(IsPro,IF($D1194="","",N1194),"")</f>
        <v/>
      </c>
      <c r="P1194" s="61" t="str">
        <f aca="false">IF(IsPro,IF($D1194="","",IF(AND(V1194&lt;&gt;"",INDEX(Parties!$E$5:$E$304,V1194)&lt;&gt;"",INDEX(Parties!$E$5:$E$304,V1194)&lt;&gt;HomeState),ROUND(L1194*M1194,2),0)),"")</f>
        <v/>
      </c>
      <c r="Q1194" s="61" t="str">
        <f aca="false">IF(IsPro,IF($D1194="","",L1194+N1194+O1194+P1194),"")</f>
        <v/>
      </c>
      <c r="R1194" s="61" t="str">
        <f aca="false">IF(IsPro,IF($D1194="","",ROUND(N($E1194)*IFERROR(INDEX(Items!$P$5:$P$504,U1194),0),2)),"")</f>
        <v/>
      </c>
      <c r="S1194" s="61" t="str">
        <f aca="false">IF(IsPro,IF($D1194="","",L1194-R1194),"")</f>
        <v/>
      </c>
      <c r="T1194" s="60" t="str">
        <f aca="false">IF(IsPro,IF($D1194="","",IF(U1194="","UNKNOWN ITEM",IF(INDEX(Items!$O$5:$O$504,U1194)&lt;0,"NEG STOCK",IF(K1194&lt;INDEX(Items!$P$5:$P$504,U1194),"BELOW COST","OK")))),IF($D1194="","","PRO PLAN"))</f>
        <v/>
      </c>
      <c r="U1194" s="60" t="str">
        <f aca="false">IF(IsPro,IF($D1194="","",IFERROR(MATCH($D1194,Items!$A$5:$A$504,0),"")),"")</f>
        <v/>
      </c>
      <c r="V1194" s="60" t="str">
        <f aca="false">IF(IsPro,IF($C1194="","",IFERROR(MATCH($C1194,Parties!$A$5:$A$304,0),"")),"")</f>
        <v/>
      </c>
      <c r="W1194" s="60" t="str">
        <f aca="false">IF(IsPro,IF($B1194="","",IFERROR(VALUE(SUBSTITUTE($B1194,InvPrefix,"")),0)),"")</f>
        <v/>
      </c>
      <c r="X1194" s="61" t="str">
        <f aca="false">IF(IsPro,IF($D1194="","",IF(OR($H1194="",$H1194="Credit"),0,Q1194)),"")</f>
        <v/>
      </c>
    </row>
    <row r="1195" customFormat="false" ht="15" hidden="false" customHeight="false" outlineLevel="0" collapsed="false">
      <c r="A1195" s="55"/>
      <c r="B1195" s="56"/>
      <c r="C1195" s="56"/>
      <c r="D1195" s="56"/>
      <c r="E1195" s="57"/>
      <c r="F1195" s="58"/>
      <c r="G1195" s="59"/>
      <c r="H1195" s="56"/>
      <c r="I1195" s="56"/>
      <c r="J1195" s="60" t="str">
        <f aca="false">IF(IsPro,IF($D1195="","",IFERROR(INDEX(Items!$D$5:$D$504,U1195),"")),"")</f>
        <v/>
      </c>
      <c r="K1195" s="61" t="str">
        <f aca="false">IF(IsPro,IF($D1195="","",IF($F1195="",IFERROR(INDEX(Items!$H$5:$H$504,U1195),0),$F1195)),"")</f>
        <v/>
      </c>
      <c r="L1195" s="61" t="str">
        <f aca="false">IF(IsPro,IF($D1195="","",ROUND(N($E1195)*K1195*(1-N($G1195)),2)),"")</f>
        <v/>
      </c>
      <c r="M1195" s="62" t="str">
        <f aca="false">IF(IsPro,IF($D1195="","",IFERROR(INDEX(Items!$F$5:$F$504,U1195),0)),"")</f>
        <v/>
      </c>
      <c r="N1195" s="61" t="str">
        <f aca="false">IF(IsPro,IF($D1195="","",IF(AND(V1195&lt;&gt;"",INDEX(Parties!$E$5:$E$304,V1195)&lt;&gt;"",INDEX(Parties!$E$5:$E$304,V1195)&lt;&gt;HomeState),0,ROUND(L1195*M1195/2,2))),"")</f>
        <v/>
      </c>
      <c r="O1195" s="61" t="str">
        <f aca="false">IF(IsPro,IF($D1195="","",N1195),"")</f>
        <v/>
      </c>
      <c r="P1195" s="61" t="str">
        <f aca="false">IF(IsPro,IF($D1195="","",IF(AND(V1195&lt;&gt;"",INDEX(Parties!$E$5:$E$304,V1195)&lt;&gt;"",INDEX(Parties!$E$5:$E$304,V1195)&lt;&gt;HomeState),ROUND(L1195*M1195,2),0)),"")</f>
        <v/>
      </c>
      <c r="Q1195" s="61" t="str">
        <f aca="false">IF(IsPro,IF($D1195="","",L1195+N1195+O1195+P1195),"")</f>
        <v/>
      </c>
      <c r="R1195" s="61" t="str">
        <f aca="false">IF(IsPro,IF($D1195="","",ROUND(N($E1195)*IFERROR(INDEX(Items!$P$5:$P$504,U1195),0),2)),"")</f>
        <v/>
      </c>
      <c r="S1195" s="61" t="str">
        <f aca="false">IF(IsPro,IF($D1195="","",L1195-R1195),"")</f>
        <v/>
      </c>
      <c r="T1195" s="60" t="str">
        <f aca="false">IF(IsPro,IF($D1195="","",IF(U1195="","UNKNOWN ITEM",IF(INDEX(Items!$O$5:$O$504,U1195)&lt;0,"NEG STOCK",IF(K1195&lt;INDEX(Items!$P$5:$P$504,U1195),"BELOW COST","OK")))),IF($D1195="","","PRO PLAN"))</f>
        <v/>
      </c>
      <c r="U1195" s="60" t="str">
        <f aca="false">IF(IsPro,IF($D1195="","",IFERROR(MATCH($D1195,Items!$A$5:$A$504,0),"")),"")</f>
        <v/>
      </c>
      <c r="V1195" s="60" t="str">
        <f aca="false">IF(IsPro,IF($C1195="","",IFERROR(MATCH($C1195,Parties!$A$5:$A$304,0),"")),"")</f>
        <v/>
      </c>
      <c r="W1195" s="60" t="str">
        <f aca="false">IF(IsPro,IF($B1195="","",IFERROR(VALUE(SUBSTITUTE($B1195,InvPrefix,"")),0)),"")</f>
        <v/>
      </c>
      <c r="X1195" s="61" t="str">
        <f aca="false">IF(IsPro,IF($D1195="","",IF(OR($H1195="",$H1195="Credit"),0,Q1195)),"")</f>
        <v/>
      </c>
    </row>
    <row r="1196" customFormat="false" ht="15" hidden="false" customHeight="false" outlineLevel="0" collapsed="false">
      <c r="A1196" s="55"/>
      <c r="B1196" s="56"/>
      <c r="C1196" s="56"/>
      <c r="D1196" s="56"/>
      <c r="E1196" s="57"/>
      <c r="F1196" s="58"/>
      <c r="G1196" s="59"/>
      <c r="H1196" s="56"/>
      <c r="I1196" s="56"/>
      <c r="J1196" s="60" t="str">
        <f aca="false">IF(IsPro,IF($D1196="","",IFERROR(INDEX(Items!$D$5:$D$504,U1196),"")),"")</f>
        <v/>
      </c>
      <c r="K1196" s="61" t="str">
        <f aca="false">IF(IsPro,IF($D1196="","",IF($F1196="",IFERROR(INDEX(Items!$H$5:$H$504,U1196),0),$F1196)),"")</f>
        <v/>
      </c>
      <c r="L1196" s="61" t="str">
        <f aca="false">IF(IsPro,IF($D1196="","",ROUND(N($E1196)*K1196*(1-N($G1196)),2)),"")</f>
        <v/>
      </c>
      <c r="M1196" s="62" t="str">
        <f aca="false">IF(IsPro,IF($D1196="","",IFERROR(INDEX(Items!$F$5:$F$504,U1196),0)),"")</f>
        <v/>
      </c>
      <c r="N1196" s="61" t="str">
        <f aca="false">IF(IsPro,IF($D1196="","",IF(AND(V1196&lt;&gt;"",INDEX(Parties!$E$5:$E$304,V1196)&lt;&gt;"",INDEX(Parties!$E$5:$E$304,V1196)&lt;&gt;HomeState),0,ROUND(L1196*M1196/2,2))),"")</f>
        <v/>
      </c>
      <c r="O1196" s="61" t="str">
        <f aca="false">IF(IsPro,IF($D1196="","",N1196),"")</f>
        <v/>
      </c>
      <c r="P1196" s="61" t="str">
        <f aca="false">IF(IsPro,IF($D1196="","",IF(AND(V1196&lt;&gt;"",INDEX(Parties!$E$5:$E$304,V1196)&lt;&gt;"",INDEX(Parties!$E$5:$E$304,V1196)&lt;&gt;HomeState),ROUND(L1196*M1196,2),0)),"")</f>
        <v/>
      </c>
      <c r="Q1196" s="61" t="str">
        <f aca="false">IF(IsPro,IF($D1196="","",L1196+N1196+O1196+P1196),"")</f>
        <v/>
      </c>
      <c r="R1196" s="61" t="str">
        <f aca="false">IF(IsPro,IF($D1196="","",ROUND(N($E1196)*IFERROR(INDEX(Items!$P$5:$P$504,U1196),0),2)),"")</f>
        <v/>
      </c>
      <c r="S1196" s="61" t="str">
        <f aca="false">IF(IsPro,IF($D1196="","",L1196-R1196),"")</f>
        <v/>
      </c>
      <c r="T1196" s="60" t="str">
        <f aca="false">IF(IsPro,IF($D1196="","",IF(U1196="","UNKNOWN ITEM",IF(INDEX(Items!$O$5:$O$504,U1196)&lt;0,"NEG STOCK",IF(K1196&lt;INDEX(Items!$P$5:$P$504,U1196),"BELOW COST","OK")))),IF($D1196="","","PRO PLAN"))</f>
        <v/>
      </c>
      <c r="U1196" s="60" t="str">
        <f aca="false">IF(IsPro,IF($D1196="","",IFERROR(MATCH($D1196,Items!$A$5:$A$504,0),"")),"")</f>
        <v/>
      </c>
      <c r="V1196" s="60" t="str">
        <f aca="false">IF(IsPro,IF($C1196="","",IFERROR(MATCH($C1196,Parties!$A$5:$A$304,0),"")),"")</f>
        <v/>
      </c>
      <c r="W1196" s="60" t="str">
        <f aca="false">IF(IsPro,IF($B1196="","",IFERROR(VALUE(SUBSTITUTE($B1196,InvPrefix,"")),0)),"")</f>
        <v/>
      </c>
      <c r="X1196" s="61" t="str">
        <f aca="false">IF(IsPro,IF($D1196="","",IF(OR($H1196="",$H1196="Credit"),0,Q1196)),"")</f>
        <v/>
      </c>
    </row>
    <row r="1197" customFormat="false" ht="15" hidden="false" customHeight="false" outlineLevel="0" collapsed="false">
      <c r="A1197" s="55"/>
      <c r="B1197" s="56"/>
      <c r="C1197" s="56"/>
      <c r="D1197" s="56"/>
      <c r="E1197" s="57"/>
      <c r="F1197" s="58"/>
      <c r="G1197" s="59"/>
      <c r="H1197" s="56"/>
      <c r="I1197" s="56"/>
      <c r="J1197" s="60" t="str">
        <f aca="false">IF(IsPro,IF($D1197="","",IFERROR(INDEX(Items!$D$5:$D$504,U1197),"")),"")</f>
        <v/>
      </c>
      <c r="K1197" s="61" t="str">
        <f aca="false">IF(IsPro,IF($D1197="","",IF($F1197="",IFERROR(INDEX(Items!$H$5:$H$504,U1197),0),$F1197)),"")</f>
        <v/>
      </c>
      <c r="L1197" s="61" t="str">
        <f aca="false">IF(IsPro,IF($D1197="","",ROUND(N($E1197)*K1197*(1-N($G1197)),2)),"")</f>
        <v/>
      </c>
      <c r="M1197" s="62" t="str">
        <f aca="false">IF(IsPro,IF($D1197="","",IFERROR(INDEX(Items!$F$5:$F$504,U1197),0)),"")</f>
        <v/>
      </c>
      <c r="N1197" s="61" t="str">
        <f aca="false">IF(IsPro,IF($D1197="","",IF(AND(V1197&lt;&gt;"",INDEX(Parties!$E$5:$E$304,V1197)&lt;&gt;"",INDEX(Parties!$E$5:$E$304,V1197)&lt;&gt;HomeState),0,ROUND(L1197*M1197/2,2))),"")</f>
        <v/>
      </c>
      <c r="O1197" s="61" t="str">
        <f aca="false">IF(IsPro,IF($D1197="","",N1197),"")</f>
        <v/>
      </c>
      <c r="P1197" s="61" t="str">
        <f aca="false">IF(IsPro,IF($D1197="","",IF(AND(V1197&lt;&gt;"",INDEX(Parties!$E$5:$E$304,V1197)&lt;&gt;"",INDEX(Parties!$E$5:$E$304,V1197)&lt;&gt;HomeState),ROUND(L1197*M1197,2),0)),"")</f>
        <v/>
      </c>
      <c r="Q1197" s="61" t="str">
        <f aca="false">IF(IsPro,IF($D1197="","",L1197+N1197+O1197+P1197),"")</f>
        <v/>
      </c>
      <c r="R1197" s="61" t="str">
        <f aca="false">IF(IsPro,IF($D1197="","",ROUND(N($E1197)*IFERROR(INDEX(Items!$P$5:$P$504,U1197),0),2)),"")</f>
        <v/>
      </c>
      <c r="S1197" s="61" t="str">
        <f aca="false">IF(IsPro,IF($D1197="","",L1197-R1197),"")</f>
        <v/>
      </c>
      <c r="T1197" s="60" t="str">
        <f aca="false">IF(IsPro,IF($D1197="","",IF(U1197="","UNKNOWN ITEM",IF(INDEX(Items!$O$5:$O$504,U1197)&lt;0,"NEG STOCK",IF(K1197&lt;INDEX(Items!$P$5:$P$504,U1197),"BELOW COST","OK")))),IF($D1197="","","PRO PLAN"))</f>
        <v/>
      </c>
      <c r="U1197" s="60" t="str">
        <f aca="false">IF(IsPro,IF($D1197="","",IFERROR(MATCH($D1197,Items!$A$5:$A$504,0),"")),"")</f>
        <v/>
      </c>
      <c r="V1197" s="60" t="str">
        <f aca="false">IF(IsPro,IF($C1197="","",IFERROR(MATCH($C1197,Parties!$A$5:$A$304,0),"")),"")</f>
        <v/>
      </c>
      <c r="W1197" s="60" t="str">
        <f aca="false">IF(IsPro,IF($B1197="","",IFERROR(VALUE(SUBSTITUTE($B1197,InvPrefix,"")),0)),"")</f>
        <v/>
      </c>
      <c r="X1197" s="61" t="str">
        <f aca="false">IF(IsPro,IF($D1197="","",IF(OR($H1197="",$H1197="Credit"),0,Q1197)),"")</f>
        <v/>
      </c>
    </row>
    <row r="1198" customFormat="false" ht="15" hidden="false" customHeight="false" outlineLevel="0" collapsed="false">
      <c r="A1198" s="55"/>
      <c r="B1198" s="56"/>
      <c r="C1198" s="56"/>
      <c r="D1198" s="56"/>
      <c r="E1198" s="57"/>
      <c r="F1198" s="58"/>
      <c r="G1198" s="59"/>
      <c r="H1198" s="56"/>
      <c r="I1198" s="56"/>
      <c r="J1198" s="60" t="str">
        <f aca="false">IF(IsPro,IF($D1198="","",IFERROR(INDEX(Items!$D$5:$D$504,U1198),"")),"")</f>
        <v/>
      </c>
      <c r="K1198" s="61" t="str">
        <f aca="false">IF(IsPro,IF($D1198="","",IF($F1198="",IFERROR(INDEX(Items!$H$5:$H$504,U1198),0),$F1198)),"")</f>
        <v/>
      </c>
      <c r="L1198" s="61" t="str">
        <f aca="false">IF(IsPro,IF($D1198="","",ROUND(N($E1198)*K1198*(1-N($G1198)),2)),"")</f>
        <v/>
      </c>
      <c r="M1198" s="62" t="str">
        <f aca="false">IF(IsPro,IF($D1198="","",IFERROR(INDEX(Items!$F$5:$F$504,U1198),0)),"")</f>
        <v/>
      </c>
      <c r="N1198" s="61" t="str">
        <f aca="false">IF(IsPro,IF($D1198="","",IF(AND(V1198&lt;&gt;"",INDEX(Parties!$E$5:$E$304,V1198)&lt;&gt;"",INDEX(Parties!$E$5:$E$304,V1198)&lt;&gt;HomeState),0,ROUND(L1198*M1198/2,2))),"")</f>
        <v/>
      </c>
      <c r="O1198" s="61" t="str">
        <f aca="false">IF(IsPro,IF($D1198="","",N1198),"")</f>
        <v/>
      </c>
      <c r="P1198" s="61" t="str">
        <f aca="false">IF(IsPro,IF($D1198="","",IF(AND(V1198&lt;&gt;"",INDEX(Parties!$E$5:$E$304,V1198)&lt;&gt;"",INDEX(Parties!$E$5:$E$304,V1198)&lt;&gt;HomeState),ROUND(L1198*M1198,2),0)),"")</f>
        <v/>
      </c>
      <c r="Q1198" s="61" t="str">
        <f aca="false">IF(IsPro,IF($D1198="","",L1198+N1198+O1198+P1198),"")</f>
        <v/>
      </c>
      <c r="R1198" s="61" t="str">
        <f aca="false">IF(IsPro,IF($D1198="","",ROUND(N($E1198)*IFERROR(INDEX(Items!$P$5:$P$504,U1198),0),2)),"")</f>
        <v/>
      </c>
      <c r="S1198" s="61" t="str">
        <f aca="false">IF(IsPro,IF($D1198="","",L1198-R1198),"")</f>
        <v/>
      </c>
      <c r="T1198" s="60" t="str">
        <f aca="false">IF(IsPro,IF($D1198="","",IF(U1198="","UNKNOWN ITEM",IF(INDEX(Items!$O$5:$O$504,U1198)&lt;0,"NEG STOCK",IF(K1198&lt;INDEX(Items!$P$5:$P$504,U1198),"BELOW COST","OK")))),IF($D1198="","","PRO PLAN"))</f>
        <v/>
      </c>
      <c r="U1198" s="60" t="str">
        <f aca="false">IF(IsPro,IF($D1198="","",IFERROR(MATCH($D1198,Items!$A$5:$A$504,0),"")),"")</f>
        <v/>
      </c>
      <c r="V1198" s="60" t="str">
        <f aca="false">IF(IsPro,IF($C1198="","",IFERROR(MATCH($C1198,Parties!$A$5:$A$304,0),"")),"")</f>
        <v/>
      </c>
      <c r="W1198" s="60" t="str">
        <f aca="false">IF(IsPro,IF($B1198="","",IFERROR(VALUE(SUBSTITUTE($B1198,InvPrefix,"")),0)),"")</f>
        <v/>
      </c>
      <c r="X1198" s="61" t="str">
        <f aca="false">IF(IsPro,IF($D1198="","",IF(OR($H1198="",$H1198="Credit"),0,Q1198)),"")</f>
        <v/>
      </c>
    </row>
    <row r="1199" customFormat="false" ht="15" hidden="false" customHeight="false" outlineLevel="0" collapsed="false">
      <c r="A1199" s="55"/>
      <c r="B1199" s="56"/>
      <c r="C1199" s="56"/>
      <c r="D1199" s="56"/>
      <c r="E1199" s="57"/>
      <c r="F1199" s="58"/>
      <c r="G1199" s="59"/>
      <c r="H1199" s="56"/>
      <c r="I1199" s="56"/>
      <c r="J1199" s="60" t="str">
        <f aca="false">IF(IsPro,IF($D1199="","",IFERROR(INDEX(Items!$D$5:$D$504,U1199),"")),"")</f>
        <v/>
      </c>
      <c r="K1199" s="61" t="str">
        <f aca="false">IF(IsPro,IF($D1199="","",IF($F1199="",IFERROR(INDEX(Items!$H$5:$H$504,U1199),0),$F1199)),"")</f>
        <v/>
      </c>
      <c r="L1199" s="61" t="str">
        <f aca="false">IF(IsPro,IF($D1199="","",ROUND(N($E1199)*K1199*(1-N($G1199)),2)),"")</f>
        <v/>
      </c>
      <c r="M1199" s="62" t="str">
        <f aca="false">IF(IsPro,IF($D1199="","",IFERROR(INDEX(Items!$F$5:$F$504,U1199),0)),"")</f>
        <v/>
      </c>
      <c r="N1199" s="61" t="str">
        <f aca="false">IF(IsPro,IF($D1199="","",IF(AND(V1199&lt;&gt;"",INDEX(Parties!$E$5:$E$304,V1199)&lt;&gt;"",INDEX(Parties!$E$5:$E$304,V1199)&lt;&gt;HomeState),0,ROUND(L1199*M1199/2,2))),"")</f>
        <v/>
      </c>
      <c r="O1199" s="61" t="str">
        <f aca="false">IF(IsPro,IF($D1199="","",N1199),"")</f>
        <v/>
      </c>
      <c r="P1199" s="61" t="str">
        <f aca="false">IF(IsPro,IF($D1199="","",IF(AND(V1199&lt;&gt;"",INDEX(Parties!$E$5:$E$304,V1199)&lt;&gt;"",INDEX(Parties!$E$5:$E$304,V1199)&lt;&gt;HomeState),ROUND(L1199*M1199,2),0)),"")</f>
        <v/>
      </c>
      <c r="Q1199" s="61" t="str">
        <f aca="false">IF(IsPro,IF($D1199="","",L1199+N1199+O1199+P1199),"")</f>
        <v/>
      </c>
      <c r="R1199" s="61" t="str">
        <f aca="false">IF(IsPro,IF($D1199="","",ROUND(N($E1199)*IFERROR(INDEX(Items!$P$5:$P$504,U1199),0),2)),"")</f>
        <v/>
      </c>
      <c r="S1199" s="61" t="str">
        <f aca="false">IF(IsPro,IF($D1199="","",L1199-R1199),"")</f>
        <v/>
      </c>
      <c r="T1199" s="60" t="str">
        <f aca="false">IF(IsPro,IF($D1199="","",IF(U1199="","UNKNOWN ITEM",IF(INDEX(Items!$O$5:$O$504,U1199)&lt;0,"NEG STOCK",IF(K1199&lt;INDEX(Items!$P$5:$P$504,U1199),"BELOW COST","OK")))),IF($D1199="","","PRO PLAN"))</f>
        <v/>
      </c>
      <c r="U1199" s="60" t="str">
        <f aca="false">IF(IsPro,IF($D1199="","",IFERROR(MATCH($D1199,Items!$A$5:$A$504,0),"")),"")</f>
        <v/>
      </c>
      <c r="V1199" s="60" t="str">
        <f aca="false">IF(IsPro,IF($C1199="","",IFERROR(MATCH($C1199,Parties!$A$5:$A$304,0),"")),"")</f>
        <v/>
      </c>
      <c r="W1199" s="60" t="str">
        <f aca="false">IF(IsPro,IF($B1199="","",IFERROR(VALUE(SUBSTITUTE($B1199,InvPrefix,"")),0)),"")</f>
        <v/>
      </c>
      <c r="X1199" s="61" t="str">
        <f aca="false">IF(IsPro,IF($D1199="","",IF(OR($H1199="",$H1199="Credit"),0,Q1199)),"")</f>
        <v/>
      </c>
    </row>
    <row r="1200" customFormat="false" ht="15" hidden="false" customHeight="false" outlineLevel="0" collapsed="false">
      <c r="A1200" s="55"/>
      <c r="B1200" s="56"/>
      <c r="C1200" s="56"/>
      <c r="D1200" s="56"/>
      <c r="E1200" s="57"/>
      <c r="F1200" s="58"/>
      <c r="G1200" s="59"/>
      <c r="H1200" s="56"/>
      <c r="I1200" s="56"/>
      <c r="J1200" s="60" t="str">
        <f aca="false">IF(IsPro,IF($D1200="","",IFERROR(INDEX(Items!$D$5:$D$504,U1200),"")),"")</f>
        <v/>
      </c>
      <c r="K1200" s="61" t="str">
        <f aca="false">IF(IsPro,IF($D1200="","",IF($F1200="",IFERROR(INDEX(Items!$H$5:$H$504,U1200),0),$F1200)),"")</f>
        <v/>
      </c>
      <c r="L1200" s="61" t="str">
        <f aca="false">IF(IsPro,IF($D1200="","",ROUND(N($E1200)*K1200*(1-N($G1200)),2)),"")</f>
        <v/>
      </c>
      <c r="M1200" s="62" t="str">
        <f aca="false">IF(IsPro,IF($D1200="","",IFERROR(INDEX(Items!$F$5:$F$504,U1200),0)),"")</f>
        <v/>
      </c>
      <c r="N1200" s="61" t="str">
        <f aca="false">IF(IsPro,IF($D1200="","",IF(AND(V1200&lt;&gt;"",INDEX(Parties!$E$5:$E$304,V1200)&lt;&gt;"",INDEX(Parties!$E$5:$E$304,V1200)&lt;&gt;HomeState),0,ROUND(L1200*M1200/2,2))),"")</f>
        <v/>
      </c>
      <c r="O1200" s="61" t="str">
        <f aca="false">IF(IsPro,IF($D1200="","",N1200),"")</f>
        <v/>
      </c>
      <c r="P1200" s="61" t="str">
        <f aca="false">IF(IsPro,IF($D1200="","",IF(AND(V1200&lt;&gt;"",INDEX(Parties!$E$5:$E$304,V1200)&lt;&gt;"",INDEX(Parties!$E$5:$E$304,V1200)&lt;&gt;HomeState),ROUND(L1200*M1200,2),0)),"")</f>
        <v/>
      </c>
      <c r="Q1200" s="61" t="str">
        <f aca="false">IF(IsPro,IF($D1200="","",L1200+N1200+O1200+P1200),"")</f>
        <v/>
      </c>
      <c r="R1200" s="61" t="str">
        <f aca="false">IF(IsPro,IF($D1200="","",ROUND(N($E1200)*IFERROR(INDEX(Items!$P$5:$P$504,U1200),0),2)),"")</f>
        <v/>
      </c>
      <c r="S1200" s="61" t="str">
        <f aca="false">IF(IsPro,IF($D1200="","",L1200-R1200),"")</f>
        <v/>
      </c>
      <c r="T1200" s="60" t="str">
        <f aca="false">IF(IsPro,IF($D1200="","",IF(U1200="","UNKNOWN ITEM",IF(INDEX(Items!$O$5:$O$504,U1200)&lt;0,"NEG STOCK",IF(K1200&lt;INDEX(Items!$P$5:$P$504,U1200),"BELOW COST","OK")))),IF($D1200="","","PRO PLAN"))</f>
        <v/>
      </c>
      <c r="U1200" s="60" t="str">
        <f aca="false">IF(IsPro,IF($D1200="","",IFERROR(MATCH($D1200,Items!$A$5:$A$504,0),"")),"")</f>
        <v/>
      </c>
      <c r="V1200" s="60" t="str">
        <f aca="false">IF(IsPro,IF($C1200="","",IFERROR(MATCH($C1200,Parties!$A$5:$A$304,0),"")),"")</f>
        <v/>
      </c>
      <c r="W1200" s="60" t="str">
        <f aca="false">IF(IsPro,IF($B1200="","",IFERROR(VALUE(SUBSTITUTE($B1200,InvPrefix,"")),0)),"")</f>
        <v/>
      </c>
      <c r="X1200" s="61" t="str">
        <f aca="false">IF(IsPro,IF($D1200="","",IF(OR($H1200="",$H1200="Credit"),0,Q1200)),"")</f>
        <v/>
      </c>
    </row>
    <row r="1201" customFormat="false" ht="15" hidden="false" customHeight="false" outlineLevel="0" collapsed="false">
      <c r="A1201" s="55"/>
      <c r="B1201" s="56"/>
      <c r="C1201" s="56"/>
      <c r="D1201" s="56"/>
      <c r="E1201" s="57"/>
      <c r="F1201" s="58"/>
      <c r="G1201" s="59"/>
      <c r="H1201" s="56"/>
      <c r="I1201" s="56"/>
      <c r="J1201" s="60" t="str">
        <f aca="false">IF(IsPro,IF($D1201="","",IFERROR(INDEX(Items!$D$5:$D$504,U1201),"")),"")</f>
        <v/>
      </c>
      <c r="K1201" s="61" t="str">
        <f aca="false">IF(IsPro,IF($D1201="","",IF($F1201="",IFERROR(INDEX(Items!$H$5:$H$504,U1201),0),$F1201)),"")</f>
        <v/>
      </c>
      <c r="L1201" s="61" t="str">
        <f aca="false">IF(IsPro,IF($D1201="","",ROUND(N($E1201)*K1201*(1-N($G1201)),2)),"")</f>
        <v/>
      </c>
      <c r="M1201" s="62" t="str">
        <f aca="false">IF(IsPro,IF($D1201="","",IFERROR(INDEX(Items!$F$5:$F$504,U1201),0)),"")</f>
        <v/>
      </c>
      <c r="N1201" s="61" t="str">
        <f aca="false">IF(IsPro,IF($D1201="","",IF(AND(V1201&lt;&gt;"",INDEX(Parties!$E$5:$E$304,V1201)&lt;&gt;"",INDEX(Parties!$E$5:$E$304,V1201)&lt;&gt;HomeState),0,ROUND(L1201*M1201/2,2))),"")</f>
        <v/>
      </c>
      <c r="O1201" s="61" t="str">
        <f aca="false">IF(IsPro,IF($D1201="","",N1201),"")</f>
        <v/>
      </c>
      <c r="P1201" s="61" t="str">
        <f aca="false">IF(IsPro,IF($D1201="","",IF(AND(V1201&lt;&gt;"",INDEX(Parties!$E$5:$E$304,V1201)&lt;&gt;"",INDEX(Parties!$E$5:$E$304,V1201)&lt;&gt;HomeState),ROUND(L1201*M1201,2),0)),"")</f>
        <v/>
      </c>
      <c r="Q1201" s="61" t="str">
        <f aca="false">IF(IsPro,IF($D1201="","",L1201+N1201+O1201+P1201),"")</f>
        <v/>
      </c>
      <c r="R1201" s="61" t="str">
        <f aca="false">IF(IsPro,IF($D1201="","",ROUND(N($E1201)*IFERROR(INDEX(Items!$P$5:$P$504,U1201),0),2)),"")</f>
        <v/>
      </c>
      <c r="S1201" s="61" t="str">
        <f aca="false">IF(IsPro,IF($D1201="","",L1201-R1201),"")</f>
        <v/>
      </c>
      <c r="T1201" s="60" t="str">
        <f aca="false">IF(IsPro,IF($D1201="","",IF(U1201="","UNKNOWN ITEM",IF(INDEX(Items!$O$5:$O$504,U1201)&lt;0,"NEG STOCK",IF(K1201&lt;INDEX(Items!$P$5:$P$504,U1201),"BELOW COST","OK")))),IF($D1201="","","PRO PLAN"))</f>
        <v/>
      </c>
      <c r="U1201" s="60" t="str">
        <f aca="false">IF(IsPro,IF($D1201="","",IFERROR(MATCH($D1201,Items!$A$5:$A$504,0),"")),"")</f>
        <v/>
      </c>
      <c r="V1201" s="60" t="str">
        <f aca="false">IF(IsPro,IF($C1201="","",IFERROR(MATCH($C1201,Parties!$A$5:$A$304,0),"")),"")</f>
        <v/>
      </c>
      <c r="W1201" s="60" t="str">
        <f aca="false">IF(IsPro,IF($B1201="","",IFERROR(VALUE(SUBSTITUTE($B1201,InvPrefix,"")),0)),"")</f>
        <v/>
      </c>
      <c r="X1201" s="61" t="str">
        <f aca="false">IF(IsPro,IF($D1201="","",IF(OR($H1201="",$H1201="Credit"),0,Q1201)),"")</f>
        <v/>
      </c>
    </row>
    <row r="1202" customFormat="false" ht="15" hidden="false" customHeight="false" outlineLevel="0" collapsed="false">
      <c r="A1202" s="55"/>
      <c r="B1202" s="56"/>
      <c r="C1202" s="56"/>
      <c r="D1202" s="56"/>
      <c r="E1202" s="57"/>
      <c r="F1202" s="58"/>
      <c r="G1202" s="59"/>
      <c r="H1202" s="56"/>
      <c r="I1202" s="56"/>
      <c r="J1202" s="60" t="str">
        <f aca="false">IF(IsPro,IF($D1202="","",IFERROR(INDEX(Items!$D$5:$D$504,U1202),"")),"")</f>
        <v/>
      </c>
      <c r="K1202" s="61" t="str">
        <f aca="false">IF(IsPro,IF($D1202="","",IF($F1202="",IFERROR(INDEX(Items!$H$5:$H$504,U1202),0),$F1202)),"")</f>
        <v/>
      </c>
      <c r="L1202" s="61" t="str">
        <f aca="false">IF(IsPro,IF($D1202="","",ROUND(N($E1202)*K1202*(1-N($G1202)),2)),"")</f>
        <v/>
      </c>
      <c r="M1202" s="62" t="str">
        <f aca="false">IF(IsPro,IF($D1202="","",IFERROR(INDEX(Items!$F$5:$F$504,U1202),0)),"")</f>
        <v/>
      </c>
      <c r="N1202" s="61" t="str">
        <f aca="false">IF(IsPro,IF($D1202="","",IF(AND(V1202&lt;&gt;"",INDEX(Parties!$E$5:$E$304,V1202)&lt;&gt;"",INDEX(Parties!$E$5:$E$304,V1202)&lt;&gt;HomeState),0,ROUND(L1202*M1202/2,2))),"")</f>
        <v/>
      </c>
      <c r="O1202" s="61" t="str">
        <f aca="false">IF(IsPro,IF($D1202="","",N1202),"")</f>
        <v/>
      </c>
      <c r="P1202" s="61" t="str">
        <f aca="false">IF(IsPro,IF($D1202="","",IF(AND(V1202&lt;&gt;"",INDEX(Parties!$E$5:$E$304,V1202)&lt;&gt;"",INDEX(Parties!$E$5:$E$304,V1202)&lt;&gt;HomeState),ROUND(L1202*M1202,2),0)),"")</f>
        <v/>
      </c>
      <c r="Q1202" s="61" t="str">
        <f aca="false">IF(IsPro,IF($D1202="","",L1202+N1202+O1202+P1202),"")</f>
        <v/>
      </c>
      <c r="R1202" s="61" t="str">
        <f aca="false">IF(IsPro,IF($D1202="","",ROUND(N($E1202)*IFERROR(INDEX(Items!$P$5:$P$504,U1202),0),2)),"")</f>
        <v/>
      </c>
      <c r="S1202" s="61" t="str">
        <f aca="false">IF(IsPro,IF($D1202="","",L1202-R1202),"")</f>
        <v/>
      </c>
      <c r="T1202" s="60" t="str">
        <f aca="false">IF(IsPro,IF($D1202="","",IF(U1202="","UNKNOWN ITEM",IF(INDEX(Items!$O$5:$O$504,U1202)&lt;0,"NEG STOCK",IF(K1202&lt;INDEX(Items!$P$5:$P$504,U1202),"BELOW COST","OK")))),IF($D1202="","","PRO PLAN"))</f>
        <v/>
      </c>
      <c r="U1202" s="60" t="str">
        <f aca="false">IF(IsPro,IF($D1202="","",IFERROR(MATCH($D1202,Items!$A$5:$A$504,0),"")),"")</f>
        <v/>
      </c>
      <c r="V1202" s="60" t="str">
        <f aca="false">IF(IsPro,IF($C1202="","",IFERROR(MATCH($C1202,Parties!$A$5:$A$304,0),"")),"")</f>
        <v/>
      </c>
      <c r="W1202" s="60" t="str">
        <f aca="false">IF(IsPro,IF($B1202="","",IFERROR(VALUE(SUBSTITUTE($B1202,InvPrefix,"")),0)),"")</f>
        <v/>
      </c>
      <c r="X1202" s="61" t="str">
        <f aca="false">IF(IsPro,IF($D1202="","",IF(OR($H1202="",$H1202="Credit"),0,Q1202)),"")</f>
        <v/>
      </c>
    </row>
    <row r="1203" customFormat="false" ht="15" hidden="false" customHeight="false" outlineLevel="0" collapsed="false">
      <c r="A1203" s="55"/>
      <c r="B1203" s="56"/>
      <c r="C1203" s="56"/>
      <c r="D1203" s="56"/>
      <c r="E1203" s="57"/>
      <c r="F1203" s="58"/>
      <c r="G1203" s="59"/>
      <c r="H1203" s="56"/>
      <c r="I1203" s="56"/>
      <c r="J1203" s="60" t="str">
        <f aca="false">IF(IsPro,IF($D1203="","",IFERROR(INDEX(Items!$D$5:$D$504,U1203),"")),"")</f>
        <v/>
      </c>
      <c r="K1203" s="61" t="str">
        <f aca="false">IF(IsPro,IF($D1203="","",IF($F1203="",IFERROR(INDEX(Items!$H$5:$H$504,U1203),0),$F1203)),"")</f>
        <v/>
      </c>
      <c r="L1203" s="61" t="str">
        <f aca="false">IF(IsPro,IF($D1203="","",ROUND(N($E1203)*K1203*(1-N($G1203)),2)),"")</f>
        <v/>
      </c>
      <c r="M1203" s="62" t="str">
        <f aca="false">IF(IsPro,IF($D1203="","",IFERROR(INDEX(Items!$F$5:$F$504,U1203),0)),"")</f>
        <v/>
      </c>
      <c r="N1203" s="61" t="str">
        <f aca="false">IF(IsPro,IF($D1203="","",IF(AND(V1203&lt;&gt;"",INDEX(Parties!$E$5:$E$304,V1203)&lt;&gt;"",INDEX(Parties!$E$5:$E$304,V1203)&lt;&gt;HomeState),0,ROUND(L1203*M1203/2,2))),"")</f>
        <v/>
      </c>
      <c r="O1203" s="61" t="str">
        <f aca="false">IF(IsPro,IF($D1203="","",N1203),"")</f>
        <v/>
      </c>
      <c r="P1203" s="61" t="str">
        <f aca="false">IF(IsPro,IF($D1203="","",IF(AND(V1203&lt;&gt;"",INDEX(Parties!$E$5:$E$304,V1203)&lt;&gt;"",INDEX(Parties!$E$5:$E$304,V1203)&lt;&gt;HomeState),ROUND(L1203*M1203,2),0)),"")</f>
        <v/>
      </c>
      <c r="Q1203" s="61" t="str">
        <f aca="false">IF(IsPro,IF($D1203="","",L1203+N1203+O1203+P1203),"")</f>
        <v/>
      </c>
      <c r="R1203" s="61" t="str">
        <f aca="false">IF(IsPro,IF($D1203="","",ROUND(N($E1203)*IFERROR(INDEX(Items!$P$5:$P$504,U1203),0),2)),"")</f>
        <v/>
      </c>
      <c r="S1203" s="61" t="str">
        <f aca="false">IF(IsPro,IF($D1203="","",L1203-R1203),"")</f>
        <v/>
      </c>
      <c r="T1203" s="60" t="str">
        <f aca="false">IF(IsPro,IF($D1203="","",IF(U1203="","UNKNOWN ITEM",IF(INDEX(Items!$O$5:$O$504,U1203)&lt;0,"NEG STOCK",IF(K1203&lt;INDEX(Items!$P$5:$P$504,U1203),"BELOW COST","OK")))),IF($D1203="","","PRO PLAN"))</f>
        <v/>
      </c>
      <c r="U1203" s="60" t="str">
        <f aca="false">IF(IsPro,IF($D1203="","",IFERROR(MATCH($D1203,Items!$A$5:$A$504,0),"")),"")</f>
        <v/>
      </c>
      <c r="V1203" s="60" t="str">
        <f aca="false">IF(IsPro,IF($C1203="","",IFERROR(MATCH($C1203,Parties!$A$5:$A$304,0),"")),"")</f>
        <v/>
      </c>
      <c r="W1203" s="60" t="str">
        <f aca="false">IF(IsPro,IF($B1203="","",IFERROR(VALUE(SUBSTITUTE($B1203,InvPrefix,"")),0)),"")</f>
        <v/>
      </c>
      <c r="X1203" s="61" t="str">
        <f aca="false">IF(IsPro,IF($D1203="","",IF(OR($H1203="",$H1203="Credit"),0,Q1203)),"")</f>
        <v/>
      </c>
    </row>
    <row r="1204" customFormat="false" ht="15" hidden="false" customHeight="false" outlineLevel="0" collapsed="false">
      <c r="A1204" s="55"/>
      <c r="B1204" s="56"/>
      <c r="C1204" s="56"/>
      <c r="D1204" s="56"/>
      <c r="E1204" s="57"/>
      <c r="F1204" s="58"/>
      <c r="G1204" s="59"/>
      <c r="H1204" s="56"/>
      <c r="I1204" s="56"/>
      <c r="J1204" s="60" t="str">
        <f aca="false">IF(IsPro,IF($D1204="","",IFERROR(INDEX(Items!$D$5:$D$504,U1204),"")),"")</f>
        <v/>
      </c>
      <c r="K1204" s="61" t="str">
        <f aca="false">IF(IsPro,IF($D1204="","",IF($F1204="",IFERROR(INDEX(Items!$H$5:$H$504,U1204),0),$F1204)),"")</f>
        <v/>
      </c>
      <c r="L1204" s="61" t="str">
        <f aca="false">IF(IsPro,IF($D1204="","",ROUND(N($E1204)*K1204*(1-N($G1204)),2)),"")</f>
        <v/>
      </c>
      <c r="M1204" s="62" t="str">
        <f aca="false">IF(IsPro,IF($D1204="","",IFERROR(INDEX(Items!$F$5:$F$504,U1204),0)),"")</f>
        <v/>
      </c>
      <c r="N1204" s="61" t="str">
        <f aca="false">IF(IsPro,IF($D1204="","",IF(AND(V1204&lt;&gt;"",INDEX(Parties!$E$5:$E$304,V1204)&lt;&gt;"",INDEX(Parties!$E$5:$E$304,V1204)&lt;&gt;HomeState),0,ROUND(L1204*M1204/2,2))),"")</f>
        <v/>
      </c>
      <c r="O1204" s="61" t="str">
        <f aca="false">IF(IsPro,IF($D1204="","",N1204),"")</f>
        <v/>
      </c>
      <c r="P1204" s="61" t="str">
        <f aca="false">IF(IsPro,IF($D1204="","",IF(AND(V1204&lt;&gt;"",INDEX(Parties!$E$5:$E$304,V1204)&lt;&gt;"",INDEX(Parties!$E$5:$E$304,V1204)&lt;&gt;HomeState),ROUND(L1204*M1204,2),0)),"")</f>
        <v/>
      </c>
      <c r="Q1204" s="61" t="str">
        <f aca="false">IF(IsPro,IF($D1204="","",L1204+N1204+O1204+P1204),"")</f>
        <v/>
      </c>
      <c r="R1204" s="61" t="str">
        <f aca="false">IF(IsPro,IF($D1204="","",ROUND(N($E1204)*IFERROR(INDEX(Items!$P$5:$P$504,U1204),0),2)),"")</f>
        <v/>
      </c>
      <c r="S1204" s="61" t="str">
        <f aca="false">IF(IsPro,IF($D1204="","",L1204-R1204),"")</f>
        <v/>
      </c>
      <c r="T1204" s="60" t="str">
        <f aca="false">IF(IsPro,IF($D1204="","",IF(U1204="","UNKNOWN ITEM",IF(INDEX(Items!$O$5:$O$504,U1204)&lt;0,"NEG STOCK",IF(K1204&lt;INDEX(Items!$P$5:$P$504,U1204),"BELOW COST","OK")))),IF($D1204="","","PRO PLAN"))</f>
        <v/>
      </c>
      <c r="U1204" s="60" t="str">
        <f aca="false">IF(IsPro,IF($D1204="","",IFERROR(MATCH($D1204,Items!$A$5:$A$504,0),"")),"")</f>
        <v/>
      </c>
      <c r="V1204" s="60" t="str">
        <f aca="false">IF(IsPro,IF($C1204="","",IFERROR(MATCH($C1204,Parties!$A$5:$A$304,0),"")),"")</f>
        <v/>
      </c>
      <c r="W1204" s="60" t="str">
        <f aca="false">IF(IsPro,IF($B1204="","",IFERROR(VALUE(SUBSTITUTE($B1204,InvPrefix,"")),0)),"")</f>
        <v/>
      </c>
      <c r="X1204" s="61" t="str">
        <f aca="false">IF(IsPro,IF($D1204="","",IF(OR($H1204="",$H1204="Credit"),0,Q1204)),"")</f>
        <v/>
      </c>
    </row>
    <row r="1205" customFormat="false" ht="15" hidden="false" customHeight="false" outlineLevel="0" collapsed="false">
      <c r="A1205" s="55"/>
      <c r="B1205" s="56"/>
      <c r="C1205" s="56"/>
      <c r="D1205" s="56"/>
      <c r="E1205" s="57"/>
      <c r="F1205" s="58"/>
      <c r="G1205" s="59"/>
      <c r="H1205" s="56"/>
      <c r="I1205" s="56"/>
      <c r="J1205" s="60" t="str">
        <f aca="false">IF(IsPro,IF($D1205="","",IFERROR(INDEX(Items!$D$5:$D$504,U1205),"")),"")</f>
        <v/>
      </c>
      <c r="K1205" s="61" t="str">
        <f aca="false">IF(IsPro,IF($D1205="","",IF($F1205="",IFERROR(INDEX(Items!$H$5:$H$504,U1205),0),$F1205)),"")</f>
        <v/>
      </c>
      <c r="L1205" s="61" t="str">
        <f aca="false">IF(IsPro,IF($D1205="","",ROUND(N($E1205)*K1205*(1-N($G1205)),2)),"")</f>
        <v/>
      </c>
      <c r="M1205" s="62" t="str">
        <f aca="false">IF(IsPro,IF($D1205="","",IFERROR(INDEX(Items!$F$5:$F$504,U1205),0)),"")</f>
        <v/>
      </c>
      <c r="N1205" s="61" t="str">
        <f aca="false">IF(IsPro,IF($D1205="","",IF(AND(V1205&lt;&gt;"",INDEX(Parties!$E$5:$E$304,V1205)&lt;&gt;"",INDEX(Parties!$E$5:$E$304,V1205)&lt;&gt;HomeState),0,ROUND(L1205*M1205/2,2))),"")</f>
        <v/>
      </c>
      <c r="O1205" s="61" t="str">
        <f aca="false">IF(IsPro,IF($D1205="","",N1205),"")</f>
        <v/>
      </c>
      <c r="P1205" s="61" t="str">
        <f aca="false">IF(IsPro,IF($D1205="","",IF(AND(V1205&lt;&gt;"",INDEX(Parties!$E$5:$E$304,V1205)&lt;&gt;"",INDEX(Parties!$E$5:$E$304,V1205)&lt;&gt;HomeState),ROUND(L1205*M1205,2),0)),"")</f>
        <v/>
      </c>
      <c r="Q1205" s="61" t="str">
        <f aca="false">IF(IsPro,IF($D1205="","",L1205+N1205+O1205+P1205),"")</f>
        <v/>
      </c>
      <c r="R1205" s="61" t="str">
        <f aca="false">IF(IsPro,IF($D1205="","",ROUND(N($E1205)*IFERROR(INDEX(Items!$P$5:$P$504,U1205),0),2)),"")</f>
        <v/>
      </c>
      <c r="S1205" s="61" t="str">
        <f aca="false">IF(IsPro,IF($D1205="","",L1205-R1205),"")</f>
        <v/>
      </c>
      <c r="T1205" s="60" t="str">
        <f aca="false">IF(IsPro,IF($D1205="","",IF(U1205="","UNKNOWN ITEM",IF(INDEX(Items!$O$5:$O$504,U1205)&lt;0,"NEG STOCK",IF(K1205&lt;INDEX(Items!$P$5:$P$504,U1205),"BELOW COST","OK")))),IF($D1205="","","PRO PLAN"))</f>
        <v/>
      </c>
      <c r="U1205" s="60" t="str">
        <f aca="false">IF(IsPro,IF($D1205="","",IFERROR(MATCH($D1205,Items!$A$5:$A$504,0),"")),"")</f>
        <v/>
      </c>
      <c r="V1205" s="60" t="str">
        <f aca="false">IF(IsPro,IF($C1205="","",IFERROR(MATCH($C1205,Parties!$A$5:$A$304,0),"")),"")</f>
        <v/>
      </c>
      <c r="W1205" s="60" t="str">
        <f aca="false">IF(IsPro,IF($B1205="","",IFERROR(VALUE(SUBSTITUTE($B1205,InvPrefix,"")),0)),"")</f>
        <v/>
      </c>
      <c r="X1205" s="61" t="str">
        <f aca="false">IF(IsPro,IF($D1205="","",IF(OR($H1205="",$H1205="Credit"),0,Q1205)),"")</f>
        <v/>
      </c>
    </row>
    <row r="1206" customFormat="false" ht="15" hidden="false" customHeight="false" outlineLevel="0" collapsed="false">
      <c r="A1206" s="55"/>
      <c r="B1206" s="56"/>
      <c r="C1206" s="56"/>
      <c r="D1206" s="56"/>
      <c r="E1206" s="57"/>
      <c r="F1206" s="58"/>
      <c r="G1206" s="59"/>
      <c r="H1206" s="56"/>
      <c r="I1206" s="56"/>
      <c r="J1206" s="60" t="str">
        <f aca="false">IF(IsPro,IF($D1206="","",IFERROR(INDEX(Items!$D$5:$D$504,U1206),"")),"")</f>
        <v/>
      </c>
      <c r="K1206" s="61" t="str">
        <f aca="false">IF(IsPro,IF($D1206="","",IF($F1206="",IFERROR(INDEX(Items!$H$5:$H$504,U1206),0),$F1206)),"")</f>
        <v/>
      </c>
      <c r="L1206" s="61" t="str">
        <f aca="false">IF(IsPro,IF($D1206="","",ROUND(N($E1206)*K1206*(1-N($G1206)),2)),"")</f>
        <v/>
      </c>
      <c r="M1206" s="62" t="str">
        <f aca="false">IF(IsPro,IF($D1206="","",IFERROR(INDEX(Items!$F$5:$F$504,U1206),0)),"")</f>
        <v/>
      </c>
      <c r="N1206" s="61" t="str">
        <f aca="false">IF(IsPro,IF($D1206="","",IF(AND(V1206&lt;&gt;"",INDEX(Parties!$E$5:$E$304,V1206)&lt;&gt;"",INDEX(Parties!$E$5:$E$304,V1206)&lt;&gt;HomeState),0,ROUND(L1206*M1206/2,2))),"")</f>
        <v/>
      </c>
      <c r="O1206" s="61" t="str">
        <f aca="false">IF(IsPro,IF($D1206="","",N1206),"")</f>
        <v/>
      </c>
      <c r="P1206" s="61" t="str">
        <f aca="false">IF(IsPro,IF($D1206="","",IF(AND(V1206&lt;&gt;"",INDEX(Parties!$E$5:$E$304,V1206)&lt;&gt;"",INDEX(Parties!$E$5:$E$304,V1206)&lt;&gt;HomeState),ROUND(L1206*M1206,2),0)),"")</f>
        <v/>
      </c>
      <c r="Q1206" s="61" t="str">
        <f aca="false">IF(IsPro,IF($D1206="","",L1206+N1206+O1206+P1206),"")</f>
        <v/>
      </c>
      <c r="R1206" s="61" t="str">
        <f aca="false">IF(IsPro,IF($D1206="","",ROUND(N($E1206)*IFERROR(INDEX(Items!$P$5:$P$504,U1206),0),2)),"")</f>
        <v/>
      </c>
      <c r="S1206" s="61" t="str">
        <f aca="false">IF(IsPro,IF($D1206="","",L1206-R1206),"")</f>
        <v/>
      </c>
      <c r="T1206" s="60" t="str">
        <f aca="false">IF(IsPro,IF($D1206="","",IF(U1206="","UNKNOWN ITEM",IF(INDEX(Items!$O$5:$O$504,U1206)&lt;0,"NEG STOCK",IF(K1206&lt;INDEX(Items!$P$5:$P$504,U1206),"BELOW COST","OK")))),IF($D1206="","","PRO PLAN"))</f>
        <v/>
      </c>
      <c r="U1206" s="60" t="str">
        <f aca="false">IF(IsPro,IF($D1206="","",IFERROR(MATCH($D1206,Items!$A$5:$A$504,0),"")),"")</f>
        <v/>
      </c>
      <c r="V1206" s="60" t="str">
        <f aca="false">IF(IsPro,IF($C1206="","",IFERROR(MATCH($C1206,Parties!$A$5:$A$304,0),"")),"")</f>
        <v/>
      </c>
      <c r="W1206" s="60" t="str">
        <f aca="false">IF(IsPro,IF($B1206="","",IFERROR(VALUE(SUBSTITUTE($B1206,InvPrefix,"")),0)),"")</f>
        <v/>
      </c>
      <c r="X1206" s="61" t="str">
        <f aca="false">IF(IsPro,IF($D1206="","",IF(OR($H1206="",$H1206="Credit"),0,Q1206)),"")</f>
        <v/>
      </c>
    </row>
    <row r="1207" customFormat="false" ht="15" hidden="false" customHeight="false" outlineLevel="0" collapsed="false">
      <c r="A1207" s="55"/>
      <c r="B1207" s="56"/>
      <c r="C1207" s="56"/>
      <c r="D1207" s="56"/>
      <c r="E1207" s="57"/>
      <c r="F1207" s="58"/>
      <c r="G1207" s="59"/>
      <c r="H1207" s="56"/>
      <c r="I1207" s="56"/>
      <c r="J1207" s="60" t="str">
        <f aca="false">IF(IsPro,IF($D1207="","",IFERROR(INDEX(Items!$D$5:$D$504,U1207),"")),"")</f>
        <v/>
      </c>
      <c r="K1207" s="61" t="str">
        <f aca="false">IF(IsPro,IF($D1207="","",IF($F1207="",IFERROR(INDEX(Items!$H$5:$H$504,U1207),0),$F1207)),"")</f>
        <v/>
      </c>
      <c r="L1207" s="61" t="str">
        <f aca="false">IF(IsPro,IF($D1207="","",ROUND(N($E1207)*K1207*(1-N($G1207)),2)),"")</f>
        <v/>
      </c>
      <c r="M1207" s="62" t="str">
        <f aca="false">IF(IsPro,IF($D1207="","",IFERROR(INDEX(Items!$F$5:$F$504,U1207),0)),"")</f>
        <v/>
      </c>
      <c r="N1207" s="61" t="str">
        <f aca="false">IF(IsPro,IF($D1207="","",IF(AND(V1207&lt;&gt;"",INDEX(Parties!$E$5:$E$304,V1207)&lt;&gt;"",INDEX(Parties!$E$5:$E$304,V1207)&lt;&gt;HomeState),0,ROUND(L1207*M1207/2,2))),"")</f>
        <v/>
      </c>
      <c r="O1207" s="61" t="str">
        <f aca="false">IF(IsPro,IF($D1207="","",N1207),"")</f>
        <v/>
      </c>
      <c r="P1207" s="61" t="str">
        <f aca="false">IF(IsPro,IF($D1207="","",IF(AND(V1207&lt;&gt;"",INDEX(Parties!$E$5:$E$304,V1207)&lt;&gt;"",INDEX(Parties!$E$5:$E$304,V1207)&lt;&gt;HomeState),ROUND(L1207*M1207,2),0)),"")</f>
        <v/>
      </c>
      <c r="Q1207" s="61" t="str">
        <f aca="false">IF(IsPro,IF($D1207="","",L1207+N1207+O1207+P1207),"")</f>
        <v/>
      </c>
      <c r="R1207" s="61" t="str">
        <f aca="false">IF(IsPro,IF($D1207="","",ROUND(N($E1207)*IFERROR(INDEX(Items!$P$5:$P$504,U1207),0),2)),"")</f>
        <v/>
      </c>
      <c r="S1207" s="61" t="str">
        <f aca="false">IF(IsPro,IF($D1207="","",L1207-R1207),"")</f>
        <v/>
      </c>
      <c r="T1207" s="60" t="str">
        <f aca="false">IF(IsPro,IF($D1207="","",IF(U1207="","UNKNOWN ITEM",IF(INDEX(Items!$O$5:$O$504,U1207)&lt;0,"NEG STOCK",IF(K1207&lt;INDEX(Items!$P$5:$P$504,U1207),"BELOW COST","OK")))),IF($D1207="","","PRO PLAN"))</f>
        <v/>
      </c>
      <c r="U1207" s="60" t="str">
        <f aca="false">IF(IsPro,IF($D1207="","",IFERROR(MATCH($D1207,Items!$A$5:$A$504,0),"")),"")</f>
        <v/>
      </c>
      <c r="V1207" s="60" t="str">
        <f aca="false">IF(IsPro,IF($C1207="","",IFERROR(MATCH($C1207,Parties!$A$5:$A$304,0),"")),"")</f>
        <v/>
      </c>
      <c r="W1207" s="60" t="str">
        <f aca="false">IF(IsPro,IF($B1207="","",IFERROR(VALUE(SUBSTITUTE($B1207,InvPrefix,"")),0)),"")</f>
        <v/>
      </c>
      <c r="X1207" s="61" t="str">
        <f aca="false">IF(IsPro,IF($D1207="","",IF(OR($H1207="",$H1207="Credit"),0,Q1207)),"")</f>
        <v/>
      </c>
    </row>
    <row r="1208" customFormat="false" ht="15" hidden="false" customHeight="false" outlineLevel="0" collapsed="false">
      <c r="A1208" s="55"/>
      <c r="B1208" s="56"/>
      <c r="C1208" s="56"/>
      <c r="D1208" s="56"/>
      <c r="E1208" s="57"/>
      <c r="F1208" s="58"/>
      <c r="G1208" s="59"/>
      <c r="H1208" s="56"/>
      <c r="I1208" s="56"/>
      <c r="J1208" s="60" t="str">
        <f aca="false">IF(IsPro,IF($D1208="","",IFERROR(INDEX(Items!$D$5:$D$504,U1208),"")),"")</f>
        <v/>
      </c>
      <c r="K1208" s="61" t="str">
        <f aca="false">IF(IsPro,IF($D1208="","",IF($F1208="",IFERROR(INDEX(Items!$H$5:$H$504,U1208),0),$F1208)),"")</f>
        <v/>
      </c>
      <c r="L1208" s="61" t="str">
        <f aca="false">IF(IsPro,IF($D1208="","",ROUND(N($E1208)*K1208*(1-N($G1208)),2)),"")</f>
        <v/>
      </c>
      <c r="M1208" s="62" t="str">
        <f aca="false">IF(IsPro,IF($D1208="","",IFERROR(INDEX(Items!$F$5:$F$504,U1208),0)),"")</f>
        <v/>
      </c>
      <c r="N1208" s="61" t="str">
        <f aca="false">IF(IsPro,IF($D1208="","",IF(AND(V1208&lt;&gt;"",INDEX(Parties!$E$5:$E$304,V1208)&lt;&gt;"",INDEX(Parties!$E$5:$E$304,V1208)&lt;&gt;HomeState),0,ROUND(L1208*M1208/2,2))),"")</f>
        <v/>
      </c>
      <c r="O1208" s="61" t="str">
        <f aca="false">IF(IsPro,IF($D1208="","",N1208),"")</f>
        <v/>
      </c>
      <c r="P1208" s="61" t="str">
        <f aca="false">IF(IsPro,IF($D1208="","",IF(AND(V1208&lt;&gt;"",INDEX(Parties!$E$5:$E$304,V1208)&lt;&gt;"",INDEX(Parties!$E$5:$E$304,V1208)&lt;&gt;HomeState),ROUND(L1208*M1208,2),0)),"")</f>
        <v/>
      </c>
      <c r="Q1208" s="61" t="str">
        <f aca="false">IF(IsPro,IF($D1208="","",L1208+N1208+O1208+P1208),"")</f>
        <v/>
      </c>
      <c r="R1208" s="61" t="str">
        <f aca="false">IF(IsPro,IF($D1208="","",ROUND(N($E1208)*IFERROR(INDEX(Items!$P$5:$P$504,U1208),0),2)),"")</f>
        <v/>
      </c>
      <c r="S1208" s="61" t="str">
        <f aca="false">IF(IsPro,IF($D1208="","",L1208-R1208),"")</f>
        <v/>
      </c>
      <c r="T1208" s="60" t="str">
        <f aca="false">IF(IsPro,IF($D1208="","",IF(U1208="","UNKNOWN ITEM",IF(INDEX(Items!$O$5:$O$504,U1208)&lt;0,"NEG STOCK",IF(K1208&lt;INDEX(Items!$P$5:$P$504,U1208),"BELOW COST","OK")))),IF($D1208="","","PRO PLAN"))</f>
        <v/>
      </c>
      <c r="U1208" s="60" t="str">
        <f aca="false">IF(IsPro,IF($D1208="","",IFERROR(MATCH($D1208,Items!$A$5:$A$504,0),"")),"")</f>
        <v/>
      </c>
      <c r="V1208" s="60" t="str">
        <f aca="false">IF(IsPro,IF($C1208="","",IFERROR(MATCH($C1208,Parties!$A$5:$A$304,0),"")),"")</f>
        <v/>
      </c>
      <c r="W1208" s="60" t="str">
        <f aca="false">IF(IsPro,IF($B1208="","",IFERROR(VALUE(SUBSTITUTE($B1208,InvPrefix,"")),0)),"")</f>
        <v/>
      </c>
      <c r="X1208" s="61" t="str">
        <f aca="false">IF(IsPro,IF($D1208="","",IF(OR($H1208="",$H1208="Credit"),0,Q1208)),"")</f>
        <v/>
      </c>
    </row>
    <row r="1209" customFormat="false" ht="15" hidden="false" customHeight="false" outlineLevel="0" collapsed="false">
      <c r="A1209" s="55"/>
      <c r="B1209" s="56"/>
      <c r="C1209" s="56"/>
      <c r="D1209" s="56"/>
      <c r="E1209" s="57"/>
      <c r="F1209" s="58"/>
      <c r="G1209" s="59"/>
      <c r="H1209" s="56"/>
      <c r="I1209" s="56"/>
      <c r="J1209" s="60" t="str">
        <f aca="false">IF(IsPro,IF($D1209="","",IFERROR(INDEX(Items!$D$5:$D$504,U1209),"")),"")</f>
        <v/>
      </c>
      <c r="K1209" s="61" t="str">
        <f aca="false">IF(IsPro,IF($D1209="","",IF($F1209="",IFERROR(INDEX(Items!$H$5:$H$504,U1209),0),$F1209)),"")</f>
        <v/>
      </c>
      <c r="L1209" s="61" t="str">
        <f aca="false">IF(IsPro,IF($D1209="","",ROUND(N($E1209)*K1209*(1-N($G1209)),2)),"")</f>
        <v/>
      </c>
      <c r="M1209" s="62" t="str">
        <f aca="false">IF(IsPro,IF($D1209="","",IFERROR(INDEX(Items!$F$5:$F$504,U1209),0)),"")</f>
        <v/>
      </c>
      <c r="N1209" s="61" t="str">
        <f aca="false">IF(IsPro,IF($D1209="","",IF(AND(V1209&lt;&gt;"",INDEX(Parties!$E$5:$E$304,V1209)&lt;&gt;"",INDEX(Parties!$E$5:$E$304,V1209)&lt;&gt;HomeState),0,ROUND(L1209*M1209/2,2))),"")</f>
        <v/>
      </c>
      <c r="O1209" s="61" t="str">
        <f aca="false">IF(IsPro,IF($D1209="","",N1209),"")</f>
        <v/>
      </c>
      <c r="P1209" s="61" t="str">
        <f aca="false">IF(IsPro,IF($D1209="","",IF(AND(V1209&lt;&gt;"",INDEX(Parties!$E$5:$E$304,V1209)&lt;&gt;"",INDEX(Parties!$E$5:$E$304,V1209)&lt;&gt;HomeState),ROUND(L1209*M1209,2),0)),"")</f>
        <v/>
      </c>
      <c r="Q1209" s="61" t="str">
        <f aca="false">IF(IsPro,IF($D1209="","",L1209+N1209+O1209+P1209),"")</f>
        <v/>
      </c>
      <c r="R1209" s="61" t="str">
        <f aca="false">IF(IsPro,IF($D1209="","",ROUND(N($E1209)*IFERROR(INDEX(Items!$P$5:$P$504,U1209),0),2)),"")</f>
        <v/>
      </c>
      <c r="S1209" s="61" t="str">
        <f aca="false">IF(IsPro,IF($D1209="","",L1209-R1209),"")</f>
        <v/>
      </c>
      <c r="T1209" s="60" t="str">
        <f aca="false">IF(IsPro,IF($D1209="","",IF(U1209="","UNKNOWN ITEM",IF(INDEX(Items!$O$5:$O$504,U1209)&lt;0,"NEG STOCK",IF(K1209&lt;INDEX(Items!$P$5:$P$504,U1209),"BELOW COST","OK")))),IF($D1209="","","PRO PLAN"))</f>
        <v/>
      </c>
      <c r="U1209" s="60" t="str">
        <f aca="false">IF(IsPro,IF($D1209="","",IFERROR(MATCH($D1209,Items!$A$5:$A$504,0),"")),"")</f>
        <v/>
      </c>
      <c r="V1209" s="60" t="str">
        <f aca="false">IF(IsPro,IF($C1209="","",IFERROR(MATCH($C1209,Parties!$A$5:$A$304,0),"")),"")</f>
        <v/>
      </c>
      <c r="W1209" s="60" t="str">
        <f aca="false">IF(IsPro,IF($B1209="","",IFERROR(VALUE(SUBSTITUTE($B1209,InvPrefix,"")),0)),"")</f>
        <v/>
      </c>
      <c r="X1209" s="61" t="str">
        <f aca="false">IF(IsPro,IF($D1209="","",IF(OR($H1209="",$H1209="Credit"),0,Q1209)),"")</f>
        <v/>
      </c>
    </row>
    <row r="1210" customFormat="false" ht="15" hidden="false" customHeight="false" outlineLevel="0" collapsed="false">
      <c r="A1210" s="55"/>
      <c r="B1210" s="56"/>
      <c r="C1210" s="56"/>
      <c r="D1210" s="56"/>
      <c r="E1210" s="57"/>
      <c r="F1210" s="58"/>
      <c r="G1210" s="59"/>
      <c r="H1210" s="56"/>
      <c r="I1210" s="56"/>
      <c r="J1210" s="60" t="str">
        <f aca="false">IF(IsPro,IF($D1210="","",IFERROR(INDEX(Items!$D$5:$D$504,U1210),"")),"")</f>
        <v/>
      </c>
      <c r="K1210" s="61" t="str">
        <f aca="false">IF(IsPro,IF($D1210="","",IF($F1210="",IFERROR(INDEX(Items!$H$5:$H$504,U1210),0),$F1210)),"")</f>
        <v/>
      </c>
      <c r="L1210" s="61" t="str">
        <f aca="false">IF(IsPro,IF($D1210="","",ROUND(N($E1210)*K1210*(1-N($G1210)),2)),"")</f>
        <v/>
      </c>
      <c r="M1210" s="62" t="str">
        <f aca="false">IF(IsPro,IF($D1210="","",IFERROR(INDEX(Items!$F$5:$F$504,U1210),0)),"")</f>
        <v/>
      </c>
      <c r="N1210" s="61" t="str">
        <f aca="false">IF(IsPro,IF($D1210="","",IF(AND(V1210&lt;&gt;"",INDEX(Parties!$E$5:$E$304,V1210)&lt;&gt;"",INDEX(Parties!$E$5:$E$304,V1210)&lt;&gt;HomeState),0,ROUND(L1210*M1210/2,2))),"")</f>
        <v/>
      </c>
      <c r="O1210" s="61" t="str">
        <f aca="false">IF(IsPro,IF($D1210="","",N1210),"")</f>
        <v/>
      </c>
      <c r="P1210" s="61" t="str">
        <f aca="false">IF(IsPro,IF($D1210="","",IF(AND(V1210&lt;&gt;"",INDEX(Parties!$E$5:$E$304,V1210)&lt;&gt;"",INDEX(Parties!$E$5:$E$304,V1210)&lt;&gt;HomeState),ROUND(L1210*M1210,2),0)),"")</f>
        <v/>
      </c>
      <c r="Q1210" s="61" t="str">
        <f aca="false">IF(IsPro,IF($D1210="","",L1210+N1210+O1210+P1210),"")</f>
        <v/>
      </c>
      <c r="R1210" s="61" t="str">
        <f aca="false">IF(IsPro,IF($D1210="","",ROUND(N($E1210)*IFERROR(INDEX(Items!$P$5:$P$504,U1210),0),2)),"")</f>
        <v/>
      </c>
      <c r="S1210" s="61" t="str">
        <f aca="false">IF(IsPro,IF($D1210="","",L1210-R1210),"")</f>
        <v/>
      </c>
      <c r="T1210" s="60" t="str">
        <f aca="false">IF(IsPro,IF($D1210="","",IF(U1210="","UNKNOWN ITEM",IF(INDEX(Items!$O$5:$O$504,U1210)&lt;0,"NEG STOCK",IF(K1210&lt;INDEX(Items!$P$5:$P$504,U1210),"BELOW COST","OK")))),IF($D1210="","","PRO PLAN"))</f>
        <v/>
      </c>
      <c r="U1210" s="60" t="str">
        <f aca="false">IF(IsPro,IF($D1210="","",IFERROR(MATCH($D1210,Items!$A$5:$A$504,0),"")),"")</f>
        <v/>
      </c>
      <c r="V1210" s="60" t="str">
        <f aca="false">IF(IsPro,IF($C1210="","",IFERROR(MATCH($C1210,Parties!$A$5:$A$304,0),"")),"")</f>
        <v/>
      </c>
      <c r="W1210" s="60" t="str">
        <f aca="false">IF(IsPro,IF($B1210="","",IFERROR(VALUE(SUBSTITUTE($B1210,InvPrefix,"")),0)),"")</f>
        <v/>
      </c>
      <c r="X1210" s="61" t="str">
        <f aca="false">IF(IsPro,IF($D1210="","",IF(OR($H1210="",$H1210="Credit"),0,Q1210)),"")</f>
        <v/>
      </c>
    </row>
    <row r="1211" customFormat="false" ht="15" hidden="false" customHeight="false" outlineLevel="0" collapsed="false">
      <c r="A1211" s="55"/>
      <c r="B1211" s="56"/>
      <c r="C1211" s="56"/>
      <c r="D1211" s="56"/>
      <c r="E1211" s="57"/>
      <c r="F1211" s="58"/>
      <c r="G1211" s="59"/>
      <c r="H1211" s="56"/>
      <c r="I1211" s="56"/>
      <c r="J1211" s="60" t="str">
        <f aca="false">IF(IsPro,IF($D1211="","",IFERROR(INDEX(Items!$D$5:$D$504,U1211),"")),"")</f>
        <v/>
      </c>
      <c r="K1211" s="61" t="str">
        <f aca="false">IF(IsPro,IF($D1211="","",IF($F1211="",IFERROR(INDEX(Items!$H$5:$H$504,U1211),0),$F1211)),"")</f>
        <v/>
      </c>
      <c r="L1211" s="61" t="str">
        <f aca="false">IF(IsPro,IF($D1211="","",ROUND(N($E1211)*K1211*(1-N($G1211)),2)),"")</f>
        <v/>
      </c>
      <c r="M1211" s="62" t="str">
        <f aca="false">IF(IsPro,IF($D1211="","",IFERROR(INDEX(Items!$F$5:$F$504,U1211),0)),"")</f>
        <v/>
      </c>
      <c r="N1211" s="61" t="str">
        <f aca="false">IF(IsPro,IF($D1211="","",IF(AND(V1211&lt;&gt;"",INDEX(Parties!$E$5:$E$304,V1211)&lt;&gt;"",INDEX(Parties!$E$5:$E$304,V1211)&lt;&gt;HomeState),0,ROUND(L1211*M1211/2,2))),"")</f>
        <v/>
      </c>
      <c r="O1211" s="61" t="str">
        <f aca="false">IF(IsPro,IF($D1211="","",N1211),"")</f>
        <v/>
      </c>
      <c r="P1211" s="61" t="str">
        <f aca="false">IF(IsPro,IF($D1211="","",IF(AND(V1211&lt;&gt;"",INDEX(Parties!$E$5:$E$304,V1211)&lt;&gt;"",INDEX(Parties!$E$5:$E$304,V1211)&lt;&gt;HomeState),ROUND(L1211*M1211,2),0)),"")</f>
        <v/>
      </c>
      <c r="Q1211" s="61" t="str">
        <f aca="false">IF(IsPro,IF($D1211="","",L1211+N1211+O1211+P1211),"")</f>
        <v/>
      </c>
      <c r="R1211" s="61" t="str">
        <f aca="false">IF(IsPro,IF($D1211="","",ROUND(N($E1211)*IFERROR(INDEX(Items!$P$5:$P$504,U1211),0),2)),"")</f>
        <v/>
      </c>
      <c r="S1211" s="61" t="str">
        <f aca="false">IF(IsPro,IF($D1211="","",L1211-R1211),"")</f>
        <v/>
      </c>
      <c r="T1211" s="60" t="str">
        <f aca="false">IF(IsPro,IF($D1211="","",IF(U1211="","UNKNOWN ITEM",IF(INDEX(Items!$O$5:$O$504,U1211)&lt;0,"NEG STOCK",IF(K1211&lt;INDEX(Items!$P$5:$P$504,U1211),"BELOW COST","OK")))),IF($D1211="","","PRO PLAN"))</f>
        <v/>
      </c>
      <c r="U1211" s="60" t="str">
        <f aca="false">IF(IsPro,IF($D1211="","",IFERROR(MATCH($D1211,Items!$A$5:$A$504,0),"")),"")</f>
        <v/>
      </c>
      <c r="V1211" s="60" t="str">
        <f aca="false">IF(IsPro,IF($C1211="","",IFERROR(MATCH($C1211,Parties!$A$5:$A$304,0),"")),"")</f>
        <v/>
      </c>
      <c r="W1211" s="60" t="str">
        <f aca="false">IF(IsPro,IF($B1211="","",IFERROR(VALUE(SUBSTITUTE($B1211,InvPrefix,"")),0)),"")</f>
        <v/>
      </c>
      <c r="X1211" s="61" t="str">
        <f aca="false">IF(IsPro,IF($D1211="","",IF(OR($H1211="",$H1211="Credit"),0,Q1211)),"")</f>
        <v/>
      </c>
    </row>
    <row r="1212" customFormat="false" ht="15" hidden="false" customHeight="false" outlineLevel="0" collapsed="false">
      <c r="A1212" s="55"/>
      <c r="B1212" s="56"/>
      <c r="C1212" s="56"/>
      <c r="D1212" s="56"/>
      <c r="E1212" s="57"/>
      <c r="F1212" s="58"/>
      <c r="G1212" s="59"/>
      <c r="H1212" s="56"/>
      <c r="I1212" s="56"/>
      <c r="J1212" s="60" t="str">
        <f aca="false">IF(IsPro,IF($D1212="","",IFERROR(INDEX(Items!$D$5:$D$504,U1212),"")),"")</f>
        <v/>
      </c>
      <c r="K1212" s="61" t="str">
        <f aca="false">IF(IsPro,IF($D1212="","",IF($F1212="",IFERROR(INDEX(Items!$H$5:$H$504,U1212),0),$F1212)),"")</f>
        <v/>
      </c>
      <c r="L1212" s="61" t="str">
        <f aca="false">IF(IsPro,IF($D1212="","",ROUND(N($E1212)*K1212*(1-N($G1212)),2)),"")</f>
        <v/>
      </c>
      <c r="M1212" s="62" t="str">
        <f aca="false">IF(IsPro,IF($D1212="","",IFERROR(INDEX(Items!$F$5:$F$504,U1212),0)),"")</f>
        <v/>
      </c>
      <c r="N1212" s="61" t="str">
        <f aca="false">IF(IsPro,IF($D1212="","",IF(AND(V1212&lt;&gt;"",INDEX(Parties!$E$5:$E$304,V1212)&lt;&gt;"",INDEX(Parties!$E$5:$E$304,V1212)&lt;&gt;HomeState),0,ROUND(L1212*M1212/2,2))),"")</f>
        <v/>
      </c>
      <c r="O1212" s="61" t="str">
        <f aca="false">IF(IsPro,IF($D1212="","",N1212),"")</f>
        <v/>
      </c>
      <c r="P1212" s="61" t="str">
        <f aca="false">IF(IsPro,IF($D1212="","",IF(AND(V1212&lt;&gt;"",INDEX(Parties!$E$5:$E$304,V1212)&lt;&gt;"",INDEX(Parties!$E$5:$E$304,V1212)&lt;&gt;HomeState),ROUND(L1212*M1212,2),0)),"")</f>
        <v/>
      </c>
      <c r="Q1212" s="61" t="str">
        <f aca="false">IF(IsPro,IF($D1212="","",L1212+N1212+O1212+P1212),"")</f>
        <v/>
      </c>
      <c r="R1212" s="61" t="str">
        <f aca="false">IF(IsPro,IF($D1212="","",ROUND(N($E1212)*IFERROR(INDEX(Items!$P$5:$P$504,U1212),0),2)),"")</f>
        <v/>
      </c>
      <c r="S1212" s="61" t="str">
        <f aca="false">IF(IsPro,IF($D1212="","",L1212-R1212),"")</f>
        <v/>
      </c>
      <c r="T1212" s="60" t="str">
        <f aca="false">IF(IsPro,IF($D1212="","",IF(U1212="","UNKNOWN ITEM",IF(INDEX(Items!$O$5:$O$504,U1212)&lt;0,"NEG STOCK",IF(K1212&lt;INDEX(Items!$P$5:$P$504,U1212),"BELOW COST","OK")))),IF($D1212="","","PRO PLAN"))</f>
        <v/>
      </c>
      <c r="U1212" s="60" t="str">
        <f aca="false">IF(IsPro,IF($D1212="","",IFERROR(MATCH($D1212,Items!$A$5:$A$504,0),"")),"")</f>
        <v/>
      </c>
      <c r="V1212" s="60" t="str">
        <f aca="false">IF(IsPro,IF($C1212="","",IFERROR(MATCH($C1212,Parties!$A$5:$A$304,0),"")),"")</f>
        <v/>
      </c>
      <c r="W1212" s="60" t="str">
        <f aca="false">IF(IsPro,IF($B1212="","",IFERROR(VALUE(SUBSTITUTE($B1212,InvPrefix,"")),0)),"")</f>
        <v/>
      </c>
      <c r="X1212" s="61" t="str">
        <f aca="false">IF(IsPro,IF($D1212="","",IF(OR($H1212="",$H1212="Credit"),0,Q1212)),"")</f>
        <v/>
      </c>
    </row>
    <row r="1213" customFormat="false" ht="15" hidden="false" customHeight="false" outlineLevel="0" collapsed="false">
      <c r="A1213" s="55"/>
      <c r="B1213" s="56"/>
      <c r="C1213" s="56"/>
      <c r="D1213" s="56"/>
      <c r="E1213" s="57"/>
      <c r="F1213" s="58"/>
      <c r="G1213" s="59"/>
      <c r="H1213" s="56"/>
      <c r="I1213" s="56"/>
      <c r="J1213" s="60" t="str">
        <f aca="false">IF(IsPro,IF($D1213="","",IFERROR(INDEX(Items!$D$5:$D$504,U1213),"")),"")</f>
        <v/>
      </c>
      <c r="K1213" s="61" t="str">
        <f aca="false">IF(IsPro,IF($D1213="","",IF($F1213="",IFERROR(INDEX(Items!$H$5:$H$504,U1213),0),$F1213)),"")</f>
        <v/>
      </c>
      <c r="L1213" s="61" t="str">
        <f aca="false">IF(IsPro,IF($D1213="","",ROUND(N($E1213)*K1213*(1-N($G1213)),2)),"")</f>
        <v/>
      </c>
      <c r="M1213" s="62" t="str">
        <f aca="false">IF(IsPro,IF($D1213="","",IFERROR(INDEX(Items!$F$5:$F$504,U1213),0)),"")</f>
        <v/>
      </c>
      <c r="N1213" s="61" t="str">
        <f aca="false">IF(IsPro,IF($D1213="","",IF(AND(V1213&lt;&gt;"",INDEX(Parties!$E$5:$E$304,V1213)&lt;&gt;"",INDEX(Parties!$E$5:$E$304,V1213)&lt;&gt;HomeState),0,ROUND(L1213*M1213/2,2))),"")</f>
        <v/>
      </c>
      <c r="O1213" s="61" t="str">
        <f aca="false">IF(IsPro,IF($D1213="","",N1213),"")</f>
        <v/>
      </c>
      <c r="P1213" s="61" t="str">
        <f aca="false">IF(IsPro,IF($D1213="","",IF(AND(V1213&lt;&gt;"",INDEX(Parties!$E$5:$E$304,V1213)&lt;&gt;"",INDEX(Parties!$E$5:$E$304,V1213)&lt;&gt;HomeState),ROUND(L1213*M1213,2),0)),"")</f>
        <v/>
      </c>
      <c r="Q1213" s="61" t="str">
        <f aca="false">IF(IsPro,IF($D1213="","",L1213+N1213+O1213+P1213),"")</f>
        <v/>
      </c>
      <c r="R1213" s="61" t="str">
        <f aca="false">IF(IsPro,IF($D1213="","",ROUND(N($E1213)*IFERROR(INDEX(Items!$P$5:$P$504,U1213),0),2)),"")</f>
        <v/>
      </c>
      <c r="S1213" s="61" t="str">
        <f aca="false">IF(IsPro,IF($D1213="","",L1213-R1213),"")</f>
        <v/>
      </c>
      <c r="T1213" s="60" t="str">
        <f aca="false">IF(IsPro,IF($D1213="","",IF(U1213="","UNKNOWN ITEM",IF(INDEX(Items!$O$5:$O$504,U1213)&lt;0,"NEG STOCK",IF(K1213&lt;INDEX(Items!$P$5:$P$504,U1213),"BELOW COST","OK")))),IF($D1213="","","PRO PLAN"))</f>
        <v/>
      </c>
      <c r="U1213" s="60" t="str">
        <f aca="false">IF(IsPro,IF($D1213="","",IFERROR(MATCH($D1213,Items!$A$5:$A$504,0),"")),"")</f>
        <v/>
      </c>
      <c r="V1213" s="60" t="str">
        <f aca="false">IF(IsPro,IF($C1213="","",IFERROR(MATCH($C1213,Parties!$A$5:$A$304,0),"")),"")</f>
        <v/>
      </c>
      <c r="W1213" s="60" t="str">
        <f aca="false">IF(IsPro,IF($B1213="","",IFERROR(VALUE(SUBSTITUTE($B1213,InvPrefix,"")),0)),"")</f>
        <v/>
      </c>
      <c r="X1213" s="61" t="str">
        <f aca="false">IF(IsPro,IF($D1213="","",IF(OR($H1213="",$H1213="Credit"),0,Q1213)),"")</f>
        <v/>
      </c>
    </row>
    <row r="1214" customFormat="false" ht="15" hidden="false" customHeight="false" outlineLevel="0" collapsed="false">
      <c r="A1214" s="55"/>
      <c r="B1214" s="56"/>
      <c r="C1214" s="56"/>
      <c r="D1214" s="56"/>
      <c r="E1214" s="57"/>
      <c r="F1214" s="58"/>
      <c r="G1214" s="59"/>
      <c r="H1214" s="56"/>
      <c r="I1214" s="56"/>
      <c r="J1214" s="60" t="str">
        <f aca="false">IF(IsPro,IF($D1214="","",IFERROR(INDEX(Items!$D$5:$D$504,U1214),"")),"")</f>
        <v/>
      </c>
      <c r="K1214" s="61" t="str">
        <f aca="false">IF(IsPro,IF($D1214="","",IF($F1214="",IFERROR(INDEX(Items!$H$5:$H$504,U1214),0),$F1214)),"")</f>
        <v/>
      </c>
      <c r="L1214" s="61" t="str">
        <f aca="false">IF(IsPro,IF($D1214="","",ROUND(N($E1214)*K1214*(1-N($G1214)),2)),"")</f>
        <v/>
      </c>
      <c r="M1214" s="62" t="str">
        <f aca="false">IF(IsPro,IF($D1214="","",IFERROR(INDEX(Items!$F$5:$F$504,U1214),0)),"")</f>
        <v/>
      </c>
      <c r="N1214" s="61" t="str">
        <f aca="false">IF(IsPro,IF($D1214="","",IF(AND(V1214&lt;&gt;"",INDEX(Parties!$E$5:$E$304,V1214)&lt;&gt;"",INDEX(Parties!$E$5:$E$304,V1214)&lt;&gt;HomeState),0,ROUND(L1214*M1214/2,2))),"")</f>
        <v/>
      </c>
      <c r="O1214" s="61" t="str">
        <f aca="false">IF(IsPro,IF($D1214="","",N1214),"")</f>
        <v/>
      </c>
      <c r="P1214" s="61" t="str">
        <f aca="false">IF(IsPro,IF($D1214="","",IF(AND(V1214&lt;&gt;"",INDEX(Parties!$E$5:$E$304,V1214)&lt;&gt;"",INDEX(Parties!$E$5:$E$304,V1214)&lt;&gt;HomeState),ROUND(L1214*M1214,2),0)),"")</f>
        <v/>
      </c>
      <c r="Q1214" s="61" t="str">
        <f aca="false">IF(IsPro,IF($D1214="","",L1214+N1214+O1214+P1214),"")</f>
        <v/>
      </c>
      <c r="R1214" s="61" t="str">
        <f aca="false">IF(IsPro,IF($D1214="","",ROUND(N($E1214)*IFERROR(INDEX(Items!$P$5:$P$504,U1214),0),2)),"")</f>
        <v/>
      </c>
      <c r="S1214" s="61" t="str">
        <f aca="false">IF(IsPro,IF($D1214="","",L1214-R1214),"")</f>
        <v/>
      </c>
      <c r="T1214" s="60" t="str">
        <f aca="false">IF(IsPro,IF($D1214="","",IF(U1214="","UNKNOWN ITEM",IF(INDEX(Items!$O$5:$O$504,U1214)&lt;0,"NEG STOCK",IF(K1214&lt;INDEX(Items!$P$5:$P$504,U1214),"BELOW COST","OK")))),IF($D1214="","","PRO PLAN"))</f>
        <v/>
      </c>
      <c r="U1214" s="60" t="str">
        <f aca="false">IF(IsPro,IF($D1214="","",IFERROR(MATCH($D1214,Items!$A$5:$A$504,0),"")),"")</f>
        <v/>
      </c>
      <c r="V1214" s="60" t="str">
        <f aca="false">IF(IsPro,IF($C1214="","",IFERROR(MATCH($C1214,Parties!$A$5:$A$304,0),"")),"")</f>
        <v/>
      </c>
      <c r="W1214" s="60" t="str">
        <f aca="false">IF(IsPro,IF($B1214="","",IFERROR(VALUE(SUBSTITUTE($B1214,InvPrefix,"")),0)),"")</f>
        <v/>
      </c>
      <c r="X1214" s="61" t="str">
        <f aca="false">IF(IsPro,IF($D1214="","",IF(OR($H1214="",$H1214="Credit"),0,Q1214)),"")</f>
        <v/>
      </c>
    </row>
    <row r="1215" customFormat="false" ht="15" hidden="false" customHeight="false" outlineLevel="0" collapsed="false">
      <c r="A1215" s="55"/>
      <c r="B1215" s="56"/>
      <c r="C1215" s="56"/>
      <c r="D1215" s="56"/>
      <c r="E1215" s="57"/>
      <c r="F1215" s="58"/>
      <c r="G1215" s="59"/>
      <c r="H1215" s="56"/>
      <c r="I1215" s="56"/>
      <c r="J1215" s="60" t="str">
        <f aca="false">IF(IsPro,IF($D1215="","",IFERROR(INDEX(Items!$D$5:$D$504,U1215),"")),"")</f>
        <v/>
      </c>
      <c r="K1215" s="61" t="str">
        <f aca="false">IF(IsPro,IF($D1215="","",IF($F1215="",IFERROR(INDEX(Items!$H$5:$H$504,U1215),0),$F1215)),"")</f>
        <v/>
      </c>
      <c r="L1215" s="61" t="str">
        <f aca="false">IF(IsPro,IF($D1215="","",ROUND(N($E1215)*K1215*(1-N($G1215)),2)),"")</f>
        <v/>
      </c>
      <c r="M1215" s="62" t="str">
        <f aca="false">IF(IsPro,IF($D1215="","",IFERROR(INDEX(Items!$F$5:$F$504,U1215),0)),"")</f>
        <v/>
      </c>
      <c r="N1215" s="61" t="str">
        <f aca="false">IF(IsPro,IF($D1215="","",IF(AND(V1215&lt;&gt;"",INDEX(Parties!$E$5:$E$304,V1215)&lt;&gt;"",INDEX(Parties!$E$5:$E$304,V1215)&lt;&gt;HomeState),0,ROUND(L1215*M1215/2,2))),"")</f>
        <v/>
      </c>
      <c r="O1215" s="61" t="str">
        <f aca="false">IF(IsPro,IF($D1215="","",N1215),"")</f>
        <v/>
      </c>
      <c r="P1215" s="61" t="str">
        <f aca="false">IF(IsPro,IF($D1215="","",IF(AND(V1215&lt;&gt;"",INDEX(Parties!$E$5:$E$304,V1215)&lt;&gt;"",INDEX(Parties!$E$5:$E$304,V1215)&lt;&gt;HomeState),ROUND(L1215*M1215,2),0)),"")</f>
        <v/>
      </c>
      <c r="Q1215" s="61" t="str">
        <f aca="false">IF(IsPro,IF($D1215="","",L1215+N1215+O1215+P1215),"")</f>
        <v/>
      </c>
      <c r="R1215" s="61" t="str">
        <f aca="false">IF(IsPro,IF($D1215="","",ROUND(N($E1215)*IFERROR(INDEX(Items!$P$5:$P$504,U1215),0),2)),"")</f>
        <v/>
      </c>
      <c r="S1215" s="61" t="str">
        <f aca="false">IF(IsPro,IF($D1215="","",L1215-R1215),"")</f>
        <v/>
      </c>
      <c r="T1215" s="60" t="str">
        <f aca="false">IF(IsPro,IF($D1215="","",IF(U1215="","UNKNOWN ITEM",IF(INDEX(Items!$O$5:$O$504,U1215)&lt;0,"NEG STOCK",IF(K1215&lt;INDEX(Items!$P$5:$P$504,U1215),"BELOW COST","OK")))),IF($D1215="","","PRO PLAN"))</f>
        <v/>
      </c>
      <c r="U1215" s="60" t="str">
        <f aca="false">IF(IsPro,IF($D1215="","",IFERROR(MATCH($D1215,Items!$A$5:$A$504,0),"")),"")</f>
        <v/>
      </c>
      <c r="V1215" s="60" t="str">
        <f aca="false">IF(IsPro,IF($C1215="","",IFERROR(MATCH($C1215,Parties!$A$5:$A$304,0),"")),"")</f>
        <v/>
      </c>
      <c r="W1215" s="60" t="str">
        <f aca="false">IF(IsPro,IF($B1215="","",IFERROR(VALUE(SUBSTITUTE($B1215,InvPrefix,"")),0)),"")</f>
        <v/>
      </c>
      <c r="X1215" s="61" t="str">
        <f aca="false">IF(IsPro,IF($D1215="","",IF(OR($H1215="",$H1215="Credit"),0,Q1215)),"")</f>
        <v/>
      </c>
    </row>
    <row r="1216" customFormat="false" ht="15" hidden="false" customHeight="false" outlineLevel="0" collapsed="false">
      <c r="A1216" s="55"/>
      <c r="B1216" s="56"/>
      <c r="C1216" s="56"/>
      <c r="D1216" s="56"/>
      <c r="E1216" s="57"/>
      <c r="F1216" s="58"/>
      <c r="G1216" s="59"/>
      <c r="H1216" s="56"/>
      <c r="I1216" s="56"/>
      <c r="J1216" s="60" t="str">
        <f aca="false">IF(IsPro,IF($D1216="","",IFERROR(INDEX(Items!$D$5:$D$504,U1216),"")),"")</f>
        <v/>
      </c>
      <c r="K1216" s="61" t="str">
        <f aca="false">IF(IsPro,IF($D1216="","",IF($F1216="",IFERROR(INDEX(Items!$H$5:$H$504,U1216),0),$F1216)),"")</f>
        <v/>
      </c>
      <c r="L1216" s="61" t="str">
        <f aca="false">IF(IsPro,IF($D1216="","",ROUND(N($E1216)*K1216*(1-N($G1216)),2)),"")</f>
        <v/>
      </c>
      <c r="M1216" s="62" t="str">
        <f aca="false">IF(IsPro,IF($D1216="","",IFERROR(INDEX(Items!$F$5:$F$504,U1216),0)),"")</f>
        <v/>
      </c>
      <c r="N1216" s="61" t="str">
        <f aca="false">IF(IsPro,IF($D1216="","",IF(AND(V1216&lt;&gt;"",INDEX(Parties!$E$5:$E$304,V1216)&lt;&gt;"",INDEX(Parties!$E$5:$E$304,V1216)&lt;&gt;HomeState),0,ROUND(L1216*M1216/2,2))),"")</f>
        <v/>
      </c>
      <c r="O1216" s="61" t="str">
        <f aca="false">IF(IsPro,IF($D1216="","",N1216),"")</f>
        <v/>
      </c>
      <c r="P1216" s="61" t="str">
        <f aca="false">IF(IsPro,IF($D1216="","",IF(AND(V1216&lt;&gt;"",INDEX(Parties!$E$5:$E$304,V1216)&lt;&gt;"",INDEX(Parties!$E$5:$E$304,V1216)&lt;&gt;HomeState),ROUND(L1216*M1216,2),0)),"")</f>
        <v/>
      </c>
      <c r="Q1216" s="61" t="str">
        <f aca="false">IF(IsPro,IF($D1216="","",L1216+N1216+O1216+P1216),"")</f>
        <v/>
      </c>
      <c r="R1216" s="61" t="str">
        <f aca="false">IF(IsPro,IF($D1216="","",ROUND(N($E1216)*IFERROR(INDEX(Items!$P$5:$P$504,U1216),0),2)),"")</f>
        <v/>
      </c>
      <c r="S1216" s="61" t="str">
        <f aca="false">IF(IsPro,IF($D1216="","",L1216-R1216),"")</f>
        <v/>
      </c>
      <c r="T1216" s="60" t="str">
        <f aca="false">IF(IsPro,IF($D1216="","",IF(U1216="","UNKNOWN ITEM",IF(INDEX(Items!$O$5:$O$504,U1216)&lt;0,"NEG STOCK",IF(K1216&lt;INDEX(Items!$P$5:$P$504,U1216),"BELOW COST","OK")))),IF($D1216="","","PRO PLAN"))</f>
        <v/>
      </c>
      <c r="U1216" s="60" t="str">
        <f aca="false">IF(IsPro,IF($D1216="","",IFERROR(MATCH($D1216,Items!$A$5:$A$504,0),"")),"")</f>
        <v/>
      </c>
      <c r="V1216" s="60" t="str">
        <f aca="false">IF(IsPro,IF($C1216="","",IFERROR(MATCH($C1216,Parties!$A$5:$A$304,0),"")),"")</f>
        <v/>
      </c>
      <c r="W1216" s="60" t="str">
        <f aca="false">IF(IsPro,IF($B1216="","",IFERROR(VALUE(SUBSTITUTE($B1216,InvPrefix,"")),0)),"")</f>
        <v/>
      </c>
      <c r="X1216" s="61" t="str">
        <f aca="false">IF(IsPro,IF($D1216="","",IF(OR($H1216="",$H1216="Credit"),0,Q1216)),"")</f>
        <v/>
      </c>
    </row>
    <row r="1217" customFormat="false" ht="15" hidden="false" customHeight="false" outlineLevel="0" collapsed="false">
      <c r="A1217" s="55"/>
      <c r="B1217" s="56"/>
      <c r="C1217" s="56"/>
      <c r="D1217" s="56"/>
      <c r="E1217" s="57"/>
      <c r="F1217" s="58"/>
      <c r="G1217" s="59"/>
      <c r="H1217" s="56"/>
      <c r="I1217" s="56"/>
      <c r="J1217" s="60" t="str">
        <f aca="false">IF(IsPro,IF($D1217="","",IFERROR(INDEX(Items!$D$5:$D$504,U1217),"")),"")</f>
        <v/>
      </c>
      <c r="K1217" s="61" t="str">
        <f aca="false">IF(IsPro,IF($D1217="","",IF($F1217="",IFERROR(INDEX(Items!$H$5:$H$504,U1217),0),$F1217)),"")</f>
        <v/>
      </c>
      <c r="L1217" s="61" t="str">
        <f aca="false">IF(IsPro,IF($D1217="","",ROUND(N($E1217)*K1217*(1-N($G1217)),2)),"")</f>
        <v/>
      </c>
      <c r="M1217" s="62" t="str">
        <f aca="false">IF(IsPro,IF($D1217="","",IFERROR(INDEX(Items!$F$5:$F$504,U1217),0)),"")</f>
        <v/>
      </c>
      <c r="N1217" s="61" t="str">
        <f aca="false">IF(IsPro,IF($D1217="","",IF(AND(V1217&lt;&gt;"",INDEX(Parties!$E$5:$E$304,V1217)&lt;&gt;"",INDEX(Parties!$E$5:$E$304,V1217)&lt;&gt;HomeState),0,ROUND(L1217*M1217/2,2))),"")</f>
        <v/>
      </c>
      <c r="O1217" s="61" t="str">
        <f aca="false">IF(IsPro,IF($D1217="","",N1217),"")</f>
        <v/>
      </c>
      <c r="P1217" s="61" t="str">
        <f aca="false">IF(IsPro,IF($D1217="","",IF(AND(V1217&lt;&gt;"",INDEX(Parties!$E$5:$E$304,V1217)&lt;&gt;"",INDEX(Parties!$E$5:$E$304,V1217)&lt;&gt;HomeState),ROUND(L1217*M1217,2),0)),"")</f>
        <v/>
      </c>
      <c r="Q1217" s="61" t="str">
        <f aca="false">IF(IsPro,IF($D1217="","",L1217+N1217+O1217+P1217),"")</f>
        <v/>
      </c>
      <c r="R1217" s="61" t="str">
        <f aca="false">IF(IsPro,IF($D1217="","",ROUND(N($E1217)*IFERROR(INDEX(Items!$P$5:$P$504,U1217),0),2)),"")</f>
        <v/>
      </c>
      <c r="S1217" s="61" t="str">
        <f aca="false">IF(IsPro,IF($D1217="","",L1217-R1217),"")</f>
        <v/>
      </c>
      <c r="T1217" s="60" t="str">
        <f aca="false">IF(IsPro,IF($D1217="","",IF(U1217="","UNKNOWN ITEM",IF(INDEX(Items!$O$5:$O$504,U1217)&lt;0,"NEG STOCK",IF(K1217&lt;INDEX(Items!$P$5:$P$504,U1217),"BELOW COST","OK")))),IF($D1217="","","PRO PLAN"))</f>
        <v/>
      </c>
      <c r="U1217" s="60" t="str">
        <f aca="false">IF(IsPro,IF($D1217="","",IFERROR(MATCH($D1217,Items!$A$5:$A$504,0),"")),"")</f>
        <v/>
      </c>
      <c r="V1217" s="60" t="str">
        <f aca="false">IF(IsPro,IF($C1217="","",IFERROR(MATCH($C1217,Parties!$A$5:$A$304,0),"")),"")</f>
        <v/>
      </c>
      <c r="W1217" s="60" t="str">
        <f aca="false">IF(IsPro,IF($B1217="","",IFERROR(VALUE(SUBSTITUTE($B1217,InvPrefix,"")),0)),"")</f>
        <v/>
      </c>
      <c r="X1217" s="61" t="str">
        <f aca="false">IF(IsPro,IF($D1217="","",IF(OR($H1217="",$H1217="Credit"),0,Q1217)),"")</f>
        <v/>
      </c>
    </row>
    <row r="1218" customFormat="false" ht="15" hidden="false" customHeight="false" outlineLevel="0" collapsed="false">
      <c r="A1218" s="55"/>
      <c r="B1218" s="56"/>
      <c r="C1218" s="56"/>
      <c r="D1218" s="56"/>
      <c r="E1218" s="57"/>
      <c r="F1218" s="58"/>
      <c r="G1218" s="59"/>
      <c r="H1218" s="56"/>
      <c r="I1218" s="56"/>
      <c r="J1218" s="60" t="str">
        <f aca="false">IF(IsPro,IF($D1218="","",IFERROR(INDEX(Items!$D$5:$D$504,U1218),"")),"")</f>
        <v/>
      </c>
      <c r="K1218" s="61" t="str">
        <f aca="false">IF(IsPro,IF($D1218="","",IF($F1218="",IFERROR(INDEX(Items!$H$5:$H$504,U1218),0),$F1218)),"")</f>
        <v/>
      </c>
      <c r="L1218" s="61" t="str">
        <f aca="false">IF(IsPro,IF($D1218="","",ROUND(N($E1218)*K1218*(1-N($G1218)),2)),"")</f>
        <v/>
      </c>
      <c r="M1218" s="62" t="str">
        <f aca="false">IF(IsPro,IF($D1218="","",IFERROR(INDEX(Items!$F$5:$F$504,U1218),0)),"")</f>
        <v/>
      </c>
      <c r="N1218" s="61" t="str">
        <f aca="false">IF(IsPro,IF($D1218="","",IF(AND(V1218&lt;&gt;"",INDEX(Parties!$E$5:$E$304,V1218)&lt;&gt;"",INDEX(Parties!$E$5:$E$304,V1218)&lt;&gt;HomeState),0,ROUND(L1218*M1218/2,2))),"")</f>
        <v/>
      </c>
      <c r="O1218" s="61" t="str">
        <f aca="false">IF(IsPro,IF($D1218="","",N1218),"")</f>
        <v/>
      </c>
      <c r="P1218" s="61" t="str">
        <f aca="false">IF(IsPro,IF($D1218="","",IF(AND(V1218&lt;&gt;"",INDEX(Parties!$E$5:$E$304,V1218)&lt;&gt;"",INDEX(Parties!$E$5:$E$304,V1218)&lt;&gt;HomeState),ROUND(L1218*M1218,2),0)),"")</f>
        <v/>
      </c>
      <c r="Q1218" s="61" t="str">
        <f aca="false">IF(IsPro,IF($D1218="","",L1218+N1218+O1218+P1218),"")</f>
        <v/>
      </c>
      <c r="R1218" s="61" t="str">
        <f aca="false">IF(IsPro,IF($D1218="","",ROUND(N($E1218)*IFERROR(INDEX(Items!$P$5:$P$504,U1218),0),2)),"")</f>
        <v/>
      </c>
      <c r="S1218" s="61" t="str">
        <f aca="false">IF(IsPro,IF($D1218="","",L1218-R1218),"")</f>
        <v/>
      </c>
      <c r="T1218" s="60" t="str">
        <f aca="false">IF(IsPro,IF($D1218="","",IF(U1218="","UNKNOWN ITEM",IF(INDEX(Items!$O$5:$O$504,U1218)&lt;0,"NEG STOCK",IF(K1218&lt;INDEX(Items!$P$5:$P$504,U1218),"BELOW COST","OK")))),IF($D1218="","","PRO PLAN"))</f>
        <v/>
      </c>
      <c r="U1218" s="60" t="str">
        <f aca="false">IF(IsPro,IF($D1218="","",IFERROR(MATCH($D1218,Items!$A$5:$A$504,0),"")),"")</f>
        <v/>
      </c>
      <c r="V1218" s="60" t="str">
        <f aca="false">IF(IsPro,IF($C1218="","",IFERROR(MATCH($C1218,Parties!$A$5:$A$304,0),"")),"")</f>
        <v/>
      </c>
      <c r="W1218" s="60" t="str">
        <f aca="false">IF(IsPro,IF($B1218="","",IFERROR(VALUE(SUBSTITUTE($B1218,InvPrefix,"")),0)),"")</f>
        <v/>
      </c>
      <c r="X1218" s="61" t="str">
        <f aca="false">IF(IsPro,IF($D1218="","",IF(OR($H1218="",$H1218="Credit"),0,Q1218)),"")</f>
        <v/>
      </c>
    </row>
    <row r="1219" customFormat="false" ht="15" hidden="false" customHeight="false" outlineLevel="0" collapsed="false">
      <c r="A1219" s="55"/>
      <c r="B1219" s="56"/>
      <c r="C1219" s="56"/>
      <c r="D1219" s="56"/>
      <c r="E1219" s="57"/>
      <c r="F1219" s="58"/>
      <c r="G1219" s="59"/>
      <c r="H1219" s="56"/>
      <c r="I1219" s="56"/>
      <c r="J1219" s="60" t="str">
        <f aca="false">IF(IsPro,IF($D1219="","",IFERROR(INDEX(Items!$D$5:$D$504,U1219),"")),"")</f>
        <v/>
      </c>
      <c r="K1219" s="61" t="str">
        <f aca="false">IF(IsPro,IF($D1219="","",IF($F1219="",IFERROR(INDEX(Items!$H$5:$H$504,U1219),0),$F1219)),"")</f>
        <v/>
      </c>
      <c r="L1219" s="61" t="str">
        <f aca="false">IF(IsPro,IF($D1219="","",ROUND(N($E1219)*K1219*(1-N($G1219)),2)),"")</f>
        <v/>
      </c>
      <c r="M1219" s="62" t="str">
        <f aca="false">IF(IsPro,IF($D1219="","",IFERROR(INDEX(Items!$F$5:$F$504,U1219),0)),"")</f>
        <v/>
      </c>
      <c r="N1219" s="61" t="str">
        <f aca="false">IF(IsPro,IF($D1219="","",IF(AND(V1219&lt;&gt;"",INDEX(Parties!$E$5:$E$304,V1219)&lt;&gt;"",INDEX(Parties!$E$5:$E$304,V1219)&lt;&gt;HomeState),0,ROUND(L1219*M1219/2,2))),"")</f>
        <v/>
      </c>
      <c r="O1219" s="61" t="str">
        <f aca="false">IF(IsPro,IF($D1219="","",N1219),"")</f>
        <v/>
      </c>
      <c r="P1219" s="61" t="str">
        <f aca="false">IF(IsPro,IF($D1219="","",IF(AND(V1219&lt;&gt;"",INDEX(Parties!$E$5:$E$304,V1219)&lt;&gt;"",INDEX(Parties!$E$5:$E$304,V1219)&lt;&gt;HomeState),ROUND(L1219*M1219,2),0)),"")</f>
        <v/>
      </c>
      <c r="Q1219" s="61" t="str">
        <f aca="false">IF(IsPro,IF($D1219="","",L1219+N1219+O1219+P1219),"")</f>
        <v/>
      </c>
      <c r="R1219" s="61" t="str">
        <f aca="false">IF(IsPro,IF($D1219="","",ROUND(N($E1219)*IFERROR(INDEX(Items!$P$5:$P$504,U1219),0),2)),"")</f>
        <v/>
      </c>
      <c r="S1219" s="61" t="str">
        <f aca="false">IF(IsPro,IF($D1219="","",L1219-R1219),"")</f>
        <v/>
      </c>
      <c r="T1219" s="60" t="str">
        <f aca="false">IF(IsPro,IF($D1219="","",IF(U1219="","UNKNOWN ITEM",IF(INDEX(Items!$O$5:$O$504,U1219)&lt;0,"NEG STOCK",IF(K1219&lt;INDEX(Items!$P$5:$P$504,U1219),"BELOW COST","OK")))),IF($D1219="","","PRO PLAN"))</f>
        <v/>
      </c>
      <c r="U1219" s="60" t="str">
        <f aca="false">IF(IsPro,IF($D1219="","",IFERROR(MATCH($D1219,Items!$A$5:$A$504,0),"")),"")</f>
        <v/>
      </c>
      <c r="V1219" s="60" t="str">
        <f aca="false">IF(IsPro,IF($C1219="","",IFERROR(MATCH($C1219,Parties!$A$5:$A$304,0),"")),"")</f>
        <v/>
      </c>
      <c r="W1219" s="60" t="str">
        <f aca="false">IF(IsPro,IF($B1219="","",IFERROR(VALUE(SUBSTITUTE($B1219,InvPrefix,"")),0)),"")</f>
        <v/>
      </c>
      <c r="X1219" s="61" t="str">
        <f aca="false">IF(IsPro,IF($D1219="","",IF(OR($H1219="",$H1219="Credit"),0,Q1219)),"")</f>
        <v/>
      </c>
    </row>
    <row r="1220" customFormat="false" ht="15" hidden="false" customHeight="false" outlineLevel="0" collapsed="false">
      <c r="A1220" s="55"/>
      <c r="B1220" s="56"/>
      <c r="C1220" s="56"/>
      <c r="D1220" s="56"/>
      <c r="E1220" s="57"/>
      <c r="F1220" s="58"/>
      <c r="G1220" s="59"/>
      <c r="H1220" s="56"/>
      <c r="I1220" s="56"/>
      <c r="J1220" s="60" t="str">
        <f aca="false">IF(IsPro,IF($D1220="","",IFERROR(INDEX(Items!$D$5:$D$504,U1220),"")),"")</f>
        <v/>
      </c>
      <c r="K1220" s="61" t="str">
        <f aca="false">IF(IsPro,IF($D1220="","",IF($F1220="",IFERROR(INDEX(Items!$H$5:$H$504,U1220),0),$F1220)),"")</f>
        <v/>
      </c>
      <c r="L1220" s="61" t="str">
        <f aca="false">IF(IsPro,IF($D1220="","",ROUND(N($E1220)*K1220*(1-N($G1220)),2)),"")</f>
        <v/>
      </c>
      <c r="M1220" s="62" t="str">
        <f aca="false">IF(IsPro,IF($D1220="","",IFERROR(INDEX(Items!$F$5:$F$504,U1220),0)),"")</f>
        <v/>
      </c>
      <c r="N1220" s="61" t="str">
        <f aca="false">IF(IsPro,IF($D1220="","",IF(AND(V1220&lt;&gt;"",INDEX(Parties!$E$5:$E$304,V1220)&lt;&gt;"",INDEX(Parties!$E$5:$E$304,V1220)&lt;&gt;HomeState),0,ROUND(L1220*M1220/2,2))),"")</f>
        <v/>
      </c>
      <c r="O1220" s="61" t="str">
        <f aca="false">IF(IsPro,IF($D1220="","",N1220),"")</f>
        <v/>
      </c>
      <c r="P1220" s="61" t="str">
        <f aca="false">IF(IsPro,IF($D1220="","",IF(AND(V1220&lt;&gt;"",INDEX(Parties!$E$5:$E$304,V1220)&lt;&gt;"",INDEX(Parties!$E$5:$E$304,V1220)&lt;&gt;HomeState),ROUND(L1220*M1220,2),0)),"")</f>
        <v/>
      </c>
      <c r="Q1220" s="61" t="str">
        <f aca="false">IF(IsPro,IF($D1220="","",L1220+N1220+O1220+P1220),"")</f>
        <v/>
      </c>
      <c r="R1220" s="61" t="str">
        <f aca="false">IF(IsPro,IF($D1220="","",ROUND(N($E1220)*IFERROR(INDEX(Items!$P$5:$P$504,U1220),0),2)),"")</f>
        <v/>
      </c>
      <c r="S1220" s="61" t="str">
        <f aca="false">IF(IsPro,IF($D1220="","",L1220-R1220),"")</f>
        <v/>
      </c>
      <c r="T1220" s="60" t="str">
        <f aca="false">IF(IsPro,IF($D1220="","",IF(U1220="","UNKNOWN ITEM",IF(INDEX(Items!$O$5:$O$504,U1220)&lt;0,"NEG STOCK",IF(K1220&lt;INDEX(Items!$P$5:$P$504,U1220),"BELOW COST","OK")))),IF($D1220="","","PRO PLAN"))</f>
        <v/>
      </c>
      <c r="U1220" s="60" t="str">
        <f aca="false">IF(IsPro,IF($D1220="","",IFERROR(MATCH($D1220,Items!$A$5:$A$504,0),"")),"")</f>
        <v/>
      </c>
      <c r="V1220" s="60" t="str">
        <f aca="false">IF(IsPro,IF($C1220="","",IFERROR(MATCH($C1220,Parties!$A$5:$A$304,0),"")),"")</f>
        <v/>
      </c>
      <c r="W1220" s="60" t="str">
        <f aca="false">IF(IsPro,IF($B1220="","",IFERROR(VALUE(SUBSTITUTE($B1220,InvPrefix,"")),0)),"")</f>
        <v/>
      </c>
      <c r="X1220" s="61" t="str">
        <f aca="false">IF(IsPro,IF($D1220="","",IF(OR($H1220="",$H1220="Credit"),0,Q1220)),"")</f>
        <v/>
      </c>
    </row>
    <row r="1221" customFormat="false" ht="15" hidden="false" customHeight="false" outlineLevel="0" collapsed="false">
      <c r="A1221" s="55"/>
      <c r="B1221" s="56"/>
      <c r="C1221" s="56"/>
      <c r="D1221" s="56"/>
      <c r="E1221" s="57"/>
      <c r="F1221" s="58"/>
      <c r="G1221" s="59"/>
      <c r="H1221" s="56"/>
      <c r="I1221" s="56"/>
      <c r="J1221" s="60" t="str">
        <f aca="false">IF(IsPro,IF($D1221="","",IFERROR(INDEX(Items!$D$5:$D$504,U1221),"")),"")</f>
        <v/>
      </c>
      <c r="K1221" s="61" t="str">
        <f aca="false">IF(IsPro,IF($D1221="","",IF($F1221="",IFERROR(INDEX(Items!$H$5:$H$504,U1221),0),$F1221)),"")</f>
        <v/>
      </c>
      <c r="L1221" s="61" t="str">
        <f aca="false">IF(IsPro,IF($D1221="","",ROUND(N($E1221)*K1221*(1-N($G1221)),2)),"")</f>
        <v/>
      </c>
      <c r="M1221" s="62" t="str">
        <f aca="false">IF(IsPro,IF($D1221="","",IFERROR(INDEX(Items!$F$5:$F$504,U1221),0)),"")</f>
        <v/>
      </c>
      <c r="N1221" s="61" t="str">
        <f aca="false">IF(IsPro,IF($D1221="","",IF(AND(V1221&lt;&gt;"",INDEX(Parties!$E$5:$E$304,V1221)&lt;&gt;"",INDEX(Parties!$E$5:$E$304,V1221)&lt;&gt;HomeState),0,ROUND(L1221*M1221/2,2))),"")</f>
        <v/>
      </c>
      <c r="O1221" s="61" t="str">
        <f aca="false">IF(IsPro,IF($D1221="","",N1221),"")</f>
        <v/>
      </c>
      <c r="P1221" s="61" t="str">
        <f aca="false">IF(IsPro,IF($D1221="","",IF(AND(V1221&lt;&gt;"",INDEX(Parties!$E$5:$E$304,V1221)&lt;&gt;"",INDEX(Parties!$E$5:$E$304,V1221)&lt;&gt;HomeState),ROUND(L1221*M1221,2),0)),"")</f>
        <v/>
      </c>
      <c r="Q1221" s="61" t="str">
        <f aca="false">IF(IsPro,IF($D1221="","",L1221+N1221+O1221+P1221),"")</f>
        <v/>
      </c>
      <c r="R1221" s="61" t="str">
        <f aca="false">IF(IsPro,IF($D1221="","",ROUND(N($E1221)*IFERROR(INDEX(Items!$P$5:$P$504,U1221),0),2)),"")</f>
        <v/>
      </c>
      <c r="S1221" s="61" t="str">
        <f aca="false">IF(IsPro,IF($D1221="","",L1221-R1221),"")</f>
        <v/>
      </c>
      <c r="T1221" s="60" t="str">
        <f aca="false">IF(IsPro,IF($D1221="","",IF(U1221="","UNKNOWN ITEM",IF(INDEX(Items!$O$5:$O$504,U1221)&lt;0,"NEG STOCK",IF(K1221&lt;INDEX(Items!$P$5:$P$504,U1221),"BELOW COST","OK")))),IF($D1221="","","PRO PLAN"))</f>
        <v/>
      </c>
      <c r="U1221" s="60" t="str">
        <f aca="false">IF(IsPro,IF($D1221="","",IFERROR(MATCH($D1221,Items!$A$5:$A$504,0),"")),"")</f>
        <v/>
      </c>
      <c r="V1221" s="60" t="str">
        <f aca="false">IF(IsPro,IF($C1221="","",IFERROR(MATCH($C1221,Parties!$A$5:$A$304,0),"")),"")</f>
        <v/>
      </c>
      <c r="W1221" s="60" t="str">
        <f aca="false">IF(IsPro,IF($B1221="","",IFERROR(VALUE(SUBSTITUTE($B1221,InvPrefix,"")),0)),"")</f>
        <v/>
      </c>
      <c r="X1221" s="61" t="str">
        <f aca="false">IF(IsPro,IF($D1221="","",IF(OR($H1221="",$H1221="Credit"),0,Q1221)),"")</f>
        <v/>
      </c>
    </row>
    <row r="1222" customFormat="false" ht="15" hidden="false" customHeight="false" outlineLevel="0" collapsed="false">
      <c r="A1222" s="55"/>
      <c r="B1222" s="56"/>
      <c r="C1222" s="56"/>
      <c r="D1222" s="56"/>
      <c r="E1222" s="57"/>
      <c r="F1222" s="58"/>
      <c r="G1222" s="59"/>
      <c r="H1222" s="56"/>
      <c r="I1222" s="56"/>
      <c r="J1222" s="60" t="str">
        <f aca="false">IF(IsPro,IF($D1222="","",IFERROR(INDEX(Items!$D$5:$D$504,U1222),"")),"")</f>
        <v/>
      </c>
      <c r="K1222" s="61" t="str">
        <f aca="false">IF(IsPro,IF($D1222="","",IF($F1222="",IFERROR(INDEX(Items!$H$5:$H$504,U1222),0),$F1222)),"")</f>
        <v/>
      </c>
      <c r="L1222" s="61" t="str">
        <f aca="false">IF(IsPro,IF($D1222="","",ROUND(N($E1222)*K1222*(1-N($G1222)),2)),"")</f>
        <v/>
      </c>
      <c r="M1222" s="62" t="str">
        <f aca="false">IF(IsPro,IF($D1222="","",IFERROR(INDEX(Items!$F$5:$F$504,U1222),0)),"")</f>
        <v/>
      </c>
      <c r="N1222" s="61" t="str">
        <f aca="false">IF(IsPro,IF($D1222="","",IF(AND(V1222&lt;&gt;"",INDEX(Parties!$E$5:$E$304,V1222)&lt;&gt;"",INDEX(Parties!$E$5:$E$304,V1222)&lt;&gt;HomeState),0,ROUND(L1222*M1222/2,2))),"")</f>
        <v/>
      </c>
      <c r="O1222" s="61" t="str">
        <f aca="false">IF(IsPro,IF($D1222="","",N1222),"")</f>
        <v/>
      </c>
      <c r="P1222" s="61" t="str">
        <f aca="false">IF(IsPro,IF($D1222="","",IF(AND(V1222&lt;&gt;"",INDEX(Parties!$E$5:$E$304,V1222)&lt;&gt;"",INDEX(Parties!$E$5:$E$304,V1222)&lt;&gt;HomeState),ROUND(L1222*M1222,2),0)),"")</f>
        <v/>
      </c>
      <c r="Q1222" s="61" t="str">
        <f aca="false">IF(IsPro,IF($D1222="","",L1222+N1222+O1222+P1222),"")</f>
        <v/>
      </c>
      <c r="R1222" s="61" t="str">
        <f aca="false">IF(IsPro,IF($D1222="","",ROUND(N($E1222)*IFERROR(INDEX(Items!$P$5:$P$504,U1222),0),2)),"")</f>
        <v/>
      </c>
      <c r="S1222" s="61" t="str">
        <f aca="false">IF(IsPro,IF($D1222="","",L1222-R1222),"")</f>
        <v/>
      </c>
      <c r="T1222" s="60" t="str">
        <f aca="false">IF(IsPro,IF($D1222="","",IF(U1222="","UNKNOWN ITEM",IF(INDEX(Items!$O$5:$O$504,U1222)&lt;0,"NEG STOCK",IF(K1222&lt;INDEX(Items!$P$5:$P$504,U1222),"BELOW COST","OK")))),IF($D1222="","","PRO PLAN"))</f>
        <v/>
      </c>
      <c r="U1222" s="60" t="str">
        <f aca="false">IF(IsPro,IF($D1222="","",IFERROR(MATCH($D1222,Items!$A$5:$A$504,0),"")),"")</f>
        <v/>
      </c>
      <c r="V1222" s="60" t="str">
        <f aca="false">IF(IsPro,IF($C1222="","",IFERROR(MATCH($C1222,Parties!$A$5:$A$304,0),"")),"")</f>
        <v/>
      </c>
      <c r="W1222" s="60" t="str">
        <f aca="false">IF(IsPro,IF($B1222="","",IFERROR(VALUE(SUBSTITUTE($B1222,InvPrefix,"")),0)),"")</f>
        <v/>
      </c>
      <c r="X1222" s="61" t="str">
        <f aca="false">IF(IsPro,IF($D1222="","",IF(OR($H1222="",$H1222="Credit"),0,Q1222)),"")</f>
        <v/>
      </c>
    </row>
    <row r="1223" customFormat="false" ht="15" hidden="false" customHeight="false" outlineLevel="0" collapsed="false">
      <c r="A1223" s="55"/>
      <c r="B1223" s="56"/>
      <c r="C1223" s="56"/>
      <c r="D1223" s="56"/>
      <c r="E1223" s="57"/>
      <c r="F1223" s="58"/>
      <c r="G1223" s="59"/>
      <c r="H1223" s="56"/>
      <c r="I1223" s="56"/>
      <c r="J1223" s="60" t="str">
        <f aca="false">IF(IsPro,IF($D1223="","",IFERROR(INDEX(Items!$D$5:$D$504,U1223),"")),"")</f>
        <v/>
      </c>
      <c r="K1223" s="61" t="str">
        <f aca="false">IF(IsPro,IF($D1223="","",IF($F1223="",IFERROR(INDEX(Items!$H$5:$H$504,U1223),0),$F1223)),"")</f>
        <v/>
      </c>
      <c r="L1223" s="61" t="str">
        <f aca="false">IF(IsPro,IF($D1223="","",ROUND(N($E1223)*K1223*(1-N($G1223)),2)),"")</f>
        <v/>
      </c>
      <c r="M1223" s="62" t="str">
        <f aca="false">IF(IsPro,IF($D1223="","",IFERROR(INDEX(Items!$F$5:$F$504,U1223),0)),"")</f>
        <v/>
      </c>
      <c r="N1223" s="61" t="str">
        <f aca="false">IF(IsPro,IF($D1223="","",IF(AND(V1223&lt;&gt;"",INDEX(Parties!$E$5:$E$304,V1223)&lt;&gt;"",INDEX(Parties!$E$5:$E$304,V1223)&lt;&gt;HomeState),0,ROUND(L1223*M1223/2,2))),"")</f>
        <v/>
      </c>
      <c r="O1223" s="61" t="str">
        <f aca="false">IF(IsPro,IF($D1223="","",N1223),"")</f>
        <v/>
      </c>
      <c r="P1223" s="61" t="str">
        <f aca="false">IF(IsPro,IF($D1223="","",IF(AND(V1223&lt;&gt;"",INDEX(Parties!$E$5:$E$304,V1223)&lt;&gt;"",INDEX(Parties!$E$5:$E$304,V1223)&lt;&gt;HomeState),ROUND(L1223*M1223,2),0)),"")</f>
        <v/>
      </c>
      <c r="Q1223" s="61" t="str">
        <f aca="false">IF(IsPro,IF($D1223="","",L1223+N1223+O1223+P1223),"")</f>
        <v/>
      </c>
      <c r="R1223" s="61" t="str">
        <f aca="false">IF(IsPro,IF($D1223="","",ROUND(N($E1223)*IFERROR(INDEX(Items!$P$5:$P$504,U1223),0),2)),"")</f>
        <v/>
      </c>
      <c r="S1223" s="61" t="str">
        <f aca="false">IF(IsPro,IF($D1223="","",L1223-R1223),"")</f>
        <v/>
      </c>
      <c r="T1223" s="60" t="str">
        <f aca="false">IF(IsPro,IF($D1223="","",IF(U1223="","UNKNOWN ITEM",IF(INDEX(Items!$O$5:$O$504,U1223)&lt;0,"NEG STOCK",IF(K1223&lt;INDEX(Items!$P$5:$P$504,U1223),"BELOW COST","OK")))),IF($D1223="","","PRO PLAN"))</f>
        <v/>
      </c>
      <c r="U1223" s="60" t="str">
        <f aca="false">IF(IsPro,IF($D1223="","",IFERROR(MATCH($D1223,Items!$A$5:$A$504,0),"")),"")</f>
        <v/>
      </c>
      <c r="V1223" s="60" t="str">
        <f aca="false">IF(IsPro,IF($C1223="","",IFERROR(MATCH($C1223,Parties!$A$5:$A$304,0),"")),"")</f>
        <v/>
      </c>
      <c r="W1223" s="60" t="str">
        <f aca="false">IF(IsPro,IF($B1223="","",IFERROR(VALUE(SUBSTITUTE($B1223,InvPrefix,"")),0)),"")</f>
        <v/>
      </c>
      <c r="X1223" s="61" t="str">
        <f aca="false">IF(IsPro,IF($D1223="","",IF(OR($H1223="",$H1223="Credit"),0,Q1223)),"")</f>
        <v/>
      </c>
    </row>
    <row r="1224" customFormat="false" ht="15" hidden="false" customHeight="false" outlineLevel="0" collapsed="false">
      <c r="A1224" s="55"/>
      <c r="B1224" s="56"/>
      <c r="C1224" s="56"/>
      <c r="D1224" s="56"/>
      <c r="E1224" s="57"/>
      <c r="F1224" s="58"/>
      <c r="G1224" s="59"/>
      <c r="H1224" s="56"/>
      <c r="I1224" s="56"/>
      <c r="J1224" s="60" t="str">
        <f aca="false">IF(IsPro,IF($D1224="","",IFERROR(INDEX(Items!$D$5:$D$504,U1224),"")),"")</f>
        <v/>
      </c>
      <c r="K1224" s="61" t="str">
        <f aca="false">IF(IsPro,IF($D1224="","",IF($F1224="",IFERROR(INDEX(Items!$H$5:$H$504,U1224),0),$F1224)),"")</f>
        <v/>
      </c>
      <c r="L1224" s="61" t="str">
        <f aca="false">IF(IsPro,IF($D1224="","",ROUND(N($E1224)*K1224*(1-N($G1224)),2)),"")</f>
        <v/>
      </c>
      <c r="M1224" s="62" t="str">
        <f aca="false">IF(IsPro,IF($D1224="","",IFERROR(INDEX(Items!$F$5:$F$504,U1224),0)),"")</f>
        <v/>
      </c>
      <c r="N1224" s="61" t="str">
        <f aca="false">IF(IsPro,IF($D1224="","",IF(AND(V1224&lt;&gt;"",INDEX(Parties!$E$5:$E$304,V1224)&lt;&gt;"",INDEX(Parties!$E$5:$E$304,V1224)&lt;&gt;HomeState),0,ROUND(L1224*M1224/2,2))),"")</f>
        <v/>
      </c>
      <c r="O1224" s="61" t="str">
        <f aca="false">IF(IsPro,IF($D1224="","",N1224),"")</f>
        <v/>
      </c>
      <c r="P1224" s="61" t="str">
        <f aca="false">IF(IsPro,IF($D1224="","",IF(AND(V1224&lt;&gt;"",INDEX(Parties!$E$5:$E$304,V1224)&lt;&gt;"",INDEX(Parties!$E$5:$E$304,V1224)&lt;&gt;HomeState),ROUND(L1224*M1224,2),0)),"")</f>
        <v/>
      </c>
      <c r="Q1224" s="61" t="str">
        <f aca="false">IF(IsPro,IF($D1224="","",L1224+N1224+O1224+P1224),"")</f>
        <v/>
      </c>
      <c r="R1224" s="61" t="str">
        <f aca="false">IF(IsPro,IF($D1224="","",ROUND(N($E1224)*IFERROR(INDEX(Items!$P$5:$P$504,U1224),0),2)),"")</f>
        <v/>
      </c>
      <c r="S1224" s="61" t="str">
        <f aca="false">IF(IsPro,IF($D1224="","",L1224-R1224),"")</f>
        <v/>
      </c>
      <c r="T1224" s="60" t="str">
        <f aca="false">IF(IsPro,IF($D1224="","",IF(U1224="","UNKNOWN ITEM",IF(INDEX(Items!$O$5:$O$504,U1224)&lt;0,"NEG STOCK",IF(K1224&lt;INDEX(Items!$P$5:$P$504,U1224),"BELOW COST","OK")))),IF($D1224="","","PRO PLAN"))</f>
        <v/>
      </c>
      <c r="U1224" s="60" t="str">
        <f aca="false">IF(IsPro,IF($D1224="","",IFERROR(MATCH($D1224,Items!$A$5:$A$504,0),"")),"")</f>
        <v/>
      </c>
      <c r="V1224" s="60" t="str">
        <f aca="false">IF(IsPro,IF($C1224="","",IFERROR(MATCH($C1224,Parties!$A$5:$A$304,0),"")),"")</f>
        <v/>
      </c>
      <c r="W1224" s="60" t="str">
        <f aca="false">IF(IsPro,IF($B1224="","",IFERROR(VALUE(SUBSTITUTE($B1224,InvPrefix,"")),0)),"")</f>
        <v/>
      </c>
      <c r="X1224" s="61" t="str">
        <f aca="false">IF(IsPro,IF($D1224="","",IF(OR($H1224="",$H1224="Credit"),0,Q1224)),"")</f>
        <v/>
      </c>
    </row>
    <row r="1225" customFormat="false" ht="15" hidden="false" customHeight="false" outlineLevel="0" collapsed="false">
      <c r="A1225" s="55"/>
      <c r="B1225" s="56"/>
      <c r="C1225" s="56"/>
      <c r="D1225" s="56"/>
      <c r="E1225" s="57"/>
      <c r="F1225" s="58"/>
      <c r="G1225" s="59"/>
      <c r="H1225" s="56"/>
      <c r="I1225" s="56"/>
      <c r="J1225" s="60" t="str">
        <f aca="false">IF(IsPro,IF($D1225="","",IFERROR(INDEX(Items!$D$5:$D$504,U1225),"")),"")</f>
        <v/>
      </c>
      <c r="K1225" s="61" t="str">
        <f aca="false">IF(IsPro,IF($D1225="","",IF($F1225="",IFERROR(INDEX(Items!$H$5:$H$504,U1225),0),$F1225)),"")</f>
        <v/>
      </c>
      <c r="L1225" s="61" t="str">
        <f aca="false">IF(IsPro,IF($D1225="","",ROUND(N($E1225)*K1225*(1-N($G1225)),2)),"")</f>
        <v/>
      </c>
      <c r="M1225" s="62" t="str">
        <f aca="false">IF(IsPro,IF($D1225="","",IFERROR(INDEX(Items!$F$5:$F$504,U1225),0)),"")</f>
        <v/>
      </c>
      <c r="N1225" s="61" t="str">
        <f aca="false">IF(IsPro,IF($D1225="","",IF(AND(V1225&lt;&gt;"",INDEX(Parties!$E$5:$E$304,V1225)&lt;&gt;"",INDEX(Parties!$E$5:$E$304,V1225)&lt;&gt;HomeState),0,ROUND(L1225*M1225/2,2))),"")</f>
        <v/>
      </c>
      <c r="O1225" s="61" t="str">
        <f aca="false">IF(IsPro,IF($D1225="","",N1225),"")</f>
        <v/>
      </c>
      <c r="P1225" s="61" t="str">
        <f aca="false">IF(IsPro,IF($D1225="","",IF(AND(V1225&lt;&gt;"",INDEX(Parties!$E$5:$E$304,V1225)&lt;&gt;"",INDEX(Parties!$E$5:$E$304,V1225)&lt;&gt;HomeState),ROUND(L1225*M1225,2),0)),"")</f>
        <v/>
      </c>
      <c r="Q1225" s="61" t="str">
        <f aca="false">IF(IsPro,IF($D1225="","",L1225+N1225+O1225+P1225),"")</f>
        <v/>
      </c>
      <c r="R1225" s="61" t="str">
        <f aca="false">IF(IsPro,IF($D1225="","",ROUND(N($E1225)*IFERROR(INDEX(Items!$P$5:$P$504,U1225),0),2)),"")</f>
        <v/>
      </c>
      <c r="S1225" s="61" t="str">
        <f aca="false">IF(IsPro,IF($D1225="","",L1225-R1225),"")</f>
        <v/>
      </c>
      <c r="T1225" s="60" t="str">
        <f aca="false">IF(IsPro,IF($D1225="","",IF(U1225="","UNKNOWN ITEM",IF(INDEX(Items!$O$5:$O$504,U1225)&lt;0,"NEG STOCK",IF(K1225&lt;INDEX(Items!$P$5:$P$504,U1225),"BELOW COST","OK")))),IF($D1225="","","PRO PLAN"))</f>
        <v/>
      </c>
      <c r="U1225" s="60" t="str">
        <f aca="false">IF(IsPro,IF($D1225="","",IFERROR(MATCH($D1225,Items!$A$5:$A$504,0),"")),"")</f>
        <v/>
      </c>
      <c r="V1225" s="60" t="str">
        <f aca="false">IF(IsPro,IF($C1225="","",IFERROR(MATCH($C1225,Parties!$A$5:$A$304,0),"")),"")</f>
        <v/>
      </c>
      <c r="W1225" s="60" t="str">
        <f aca="false">IF(IsPro,IF($B1225="","",IFERROR(VALUE(SUBSTITUTE($B1225,InvPrefix,"")),0)),"")</f>
        <v/>
      </c>
      <c r="X1225" s="61" t="str">
        <f aca="false">IF(IsPro,IF($D1225="","",IF(OR($H1225="",$H1225="Credit"),0,Q1225)),"")</f>
        <v/>
      </c>
    </row>
    <row r="1226" customFormat="false" ht="15" hidden="false" customHeight="false" outlineLevel="0" collapsed="false">
      <c r="A1226" s="55"/>
      <c r="B1226" s="56"/>
      <c r="C1226" s="56"/>
      <c r="D1226" s="56"/>
      <c r="E1226" s="57"/>
      <c r="F1226" s="58"/>
      <c r="G1226" s="59"/>
      <c r="H1226" s="56"/>
      <c r="I1226" s="56"/>
      <c r="J1226" s="60" t="str">
        <f aca="false">IF(IsPro,IF($D1226="","",IFERROR(INDEX(Items!$D$5:$D$504,U1226),"")),"")</f>
        <v/>
      </c>
      <c r="K1226" s="61" t="str">
        <f aca="false">IF(IsPro,IF($D1226="","",IF($F1226="",IFERROR(INDEX(Items!$H$5:$H$504,U1226),0),$F1226)),"")</f>
        <v/>
      </c>
      <c r="L1226" s="61" t="str">
        <f aca="false">IF(IsPro,IF($D1226="","",ROUND(N($E1226)*K1226*(1-N($G1226)),2)),"")</f>
        <v/>
      </c>
      <c r="M1226" s="62" t="str">
        <f aca="false">IF(IsPro,IF($D1226="","",IFERROR(INDEX(Items!$F$5:$F$504,U1226),0)),"")</f>
        <v/>
      </c>
      <c r="N1226" s="61" t="str">
        <f aca="false">IF(IsPro,IF($D1226="","",IF(AND(V1226&lt;&gt;"",INDEX(Parties!$E$5:$E$304,V1226)&lt;&gt;"",INDEX(Parties!$E$5:$E$304,V1226)&lt;&gt;HomeState),0,ROUND(L1226*M1226/2,2))),"")</f>
        <v/>
      </c>
      <c r="O1226" s="61" t="str">
        <f aca="false">IF(IsPro,IF($D1226="","",N1226),"")</f>
        <v/>
      </c>
      <c r="P1226" s="61" t="str">
        <f aca="false">IF(IsPro,IF($D1226="","",IF(AND(V1226&lt;&gt;"",INDEX(Parties!$E$5:$E$304,V1226)&lt;&gt;"",INDEX(Parties!$E$5:$E$304,V1226)&lt;&gt;HomeState),ROUND(L1226*M1226,2),0)),"")</f>
        <v/>
      </c>
      <c r="Q1226" s="61" t="str">
        <f aca="false">IF(IsPro,IF($D1226="","",L1226+N1226+O1226+P1226),"")</f>
        <v/>
      </c>
      <c r="R1226" s="61" t="str">
        <f aca="false">IF(IsPro,IF($D1226="","",ROUND(N($E1226)*IFERROR(INDEX(Items!$P$5:$P$504,U1226),0),2)),"")</f>
        <v/>
      </c>
      <c r="S1226" s="61" t="str">
        <f aca="false">IF(IsPro,IF($D1226="","",L1226-R1226),"")</f>
        <v/>
      </c>
      <c r="T1226" s="60" t="str">
        <f aca="false">IF(IsPro,IF($D1226="","",IF(U1226="","UNKNOWN ITEM",IF(INDEX(Items!$O$5:$O$504,U1226)&lt;0,"NEG STOCK",IF(K1226&lt;INDEX(Items!$P$5:$P$504,U1226),"BELOW COST","OK")))),IF($D1226="","","PRO PLAN"))</f>
        <v/>
      </c>
      <c r="U1226" s="60" t="str">
        <f aca="false">IF(IsPro,IF($D1226="","",IFERROR(MATCH($D1226,Items!$A$5:$A$504,0),"")),"")</f>
        <v/>
      </c>
      <c r="V1226" s="60" t="str">
        <f aca="false">IF(IsPro,IF($C1226="","",IFERROR(MATCH($C1226,Parties!$A$5:$A$304,0),"")),"")</f>
        <v/>
      </c>
      <c r="W1226" s="60" t="str">
        <f aca="false">IF(IsPro,IF($B1226="","",IFERROR(VALUE(SUBSTITUTE($B1226,InvPrefix,"")),0)),"")</f>
        <v/>
      </c>
      <c r="X1226" s="61" t="str">
        <f aca="false">IF(IsPro,IF($D1226="","",IF(OR($H1226="",$H1226="Credit"),0,Q1226)),"")</f>
        <v/>
      </c>
    </row>
    <row r="1227" customFormat="false" ht="15" hidden="false" customHeight="false" outlineLevel="0" collapsed="false">
      <c r="A1227" s="55"/>
      <c r="B1227" s="56"/>
      <c r="C1227" s="56"/>
      <c r="D1227" s="56"/>
      <c r="E1227" s="57"/>
      <c r="F1227" s="58"/>
      <c r="G1227" s="59"/>
      <c r="H1227" s="56"/>
      <c r="I1227" s="56"/>
      <c r="J1227" s="60" t="str">
        <f aca="false">IF(IsPro,IF($D1227="","",IFERROR(INDEX(Items!$D$5:$D$504,U1227),"")),"")</f>
        <v/>
      </c>
      <c r="K1227" s="61" t="str">
        <f aca="false">IF(IsPro,IF($D1227="","",IF($F1227="",IFERROR(INDEX(Items!$H$5:$H$504,U1227),0),$F1227)),"")</f>
        <v/>
      </c>
      <c r="L1227" s="61" t="str">
        <f aca="false">IF(IsPro,IF($D1227="","",ROUND(N($E1227)*K1227*(1-N($G1227)),2)),"")</f>
        <v/>
      </c>
      <c r="M1227" s="62" t="str">
        <f aca="false">IF(IsPro,IF($D1227="","",IFERROR(INDEX(Items!$F$5:$F$504,U1227),0)),"")</f>
        <v/>
      </c>
      <c r="N1227" s="61" t="str">
        <f aca="false">IF(IsPro,IF($D1227="","",IF(AND(V1227&lt;&gt;"",INDEX(Parties!$E$5:$E$304,V1227)&lt;&gt;"",INDEX(Parties!$E$5:$E$304,V1227)&lt;&gt;HomeState),0,ROUND(L1227*M1227/2,2))),"")</f>
        <v/>
      </c>
      <c r="O1227" s="61" t="str">
        <f aca="false">IF(IsPro,IF($D1227="","",N1227),"")</f>
        <v/>
      </c>
      <c r="P1227" s="61" t="str">
        <f aca="false">IF(IsPro,IF($D1227="","",IF(AND(V1227&lt;&gt;"",INDEX(Parties!$E$5:$E$304,V1227)&lt;&gt;"",INDEX(Parties!$E$5:$E$304,V1227)&lt;&gt;HomeState),ROUND(L1227*M1227,2),0)),"")</f>
        <v/>
      </c>
      <c r="Q1227" s="61" t="str">
        <f aca="false">IF(IsPro,IF($D1227="","",L1227+N1227+O1227+P1227),"")</f>
        <v/>
      </c>
      <c r="R1227" s="61" t="str">
        <f aca="false">IF(IsPro,IF($D1227="","",ROUND(N($E1227)*IFERROR(INDEX(Items!$P$5:$P$504,U1227),0),2)),"")</f>
        <v/>
      </c>
      <c r="S1227" s="61" t="str">
        <f aca="false">IF(IsPro,IF($D1227="","",L1227-R1227),"")</f>
        <v/>
      </c>
      <c r="T1227" s="60" t="str">
        <f aca="false">IF(IsPro,IF($D1227="","",IF(U1227="","UNKNOWN ITEM",IF(INDEX(Items!$O$5:$O$504,U1227)&lt;0,"NEG STOCK",IF(K1227&lt;INDEX(Items!$P$5:$P$504,U1227),"BELOW COST","OK")))),IF($D1227="","","PRO PLAN"))</f>
        <v/>
      </c>
      <c r="U1227" s="60" t="str">
        <f aca="false">IF(IsPro,IF($D1227="","",IFERROR(MATCH($D1227,Items!$A$5:$A$504,0),"")),"")</f>
        <v/>
      </c>
      <c r="V1227" s="60" t="str">
        <f aca="false">IF(IsPro,IF($C1227="","",IFERROR(MATCH($C1227,Parties!$A$5:$A$304,0),"")),"")</f>
        <v/>
      </c>
      <c r="W1227" s="60" t="str">
        <f aca="false">IF(IsPro,IF($B1227="","",IFERROR(VALUE(SUBSTITUTE($B1227,InvPrefix,"")),0)),"")</f>
        <v/>
      </c>
      <c r="X1227" s="61" t="str">
        <f aca="false">IF(IsPro,IF($D1227="","",IF(OR($H1227="",$H1227="Credit"),0,Q1227)),"")</f>
        <v/>
      </c>
    </row>
    <row r="1228" customFormat="false" ht="15" hidden="false" customHeight="false" outlineLevel="0" collapsed="false">
      <c r="A1228" s="55"/>
      <c r="B1228" s="56"/>
      <c r="C1228" s="56"/>
      <c r="D1228" s="56"/>
      <c r="E1228" s="57"/>
      <c r="F1228" s="58"/>
      <c r="G1228" s="59"/>
      <c r="H1228" s="56"/>
      <c r="I1228" s="56"/>
      <c r="J1228" s="60" t="str">
        <f aca="false">IF(IsPro,IF($D1228="","",IFERROR(INDEX(Items!$D$5:$D$504,U1228),"")),"")</f>
        <v/>
      </c>
      <c r="K1228" s="61" t="str">
        <f aca="false">IF(IsPro,IF($D1228="","",IF($F1228="",IFERROR(INDEX(Items!$H$5:$H$504,U1228),0),$F1228)),"")</f>
        <v/>
      </c>
      <c r="L1228" s="61" t="str">
        <f aca="false">IF(IsPro,IF($D1228="","",ROUND(N($E1228)*K1228*(1-N($G1228)),2)),"")</f>
        <v/>
      </c>
      <c r="M1228" s="62" t="str">
        <f aca="false">IF(IsPro,IF($D1228="","",IFERROR(INDEX(Items!$F$5:$F$504,U1228),0)),"")</f>
        <v/>
      </c>
      <c r="N1228" s="61" t="str">
        <f aca="false">IF(IsPro,IF($D1228="","",IF(AND(V1228&lt;&gt;"",INDEX(Parties!$E$5:$E$304,V1228)&lt;&gt;"",INDEX(Parties!$E$5:$E$304,V1228)&lt;&gt;HomeState),0,ROUND(L1228*M1228/2,2))),"")</f>
        <v/>
      </c>
      <c r="O1228" s="61" t="str">
        <f aca="false">IF(IsPro,IF($D1228="","",N1228),"")</f>
        <v/>
      </c>
      <c r="P1228" s="61" t="str">
        <f aca="false">IF(IsPro,IF($D1228="","",IF(AND(V1228&lt;&gt;"",INDEX(Parties!$E$5:$E$304,V1228)&lt;&gt;"",INDEX(Parties!$E$5:$E$304,V1228)&lt;&gt;HomeState),ROUND(L1228*M1228,2),0)),"")</f>
        <v/>
      </c>
      <c r="Q1228" s="61" t="str">
        <f aca="false">IF(IsPro,IF($D1228="","",L1228+N1228+O1228+P1228),"")</f>
        <v/>
      </c>
      <c r="R1228" s="61" t="str">
        <f aca="false">IF(IsPro,IF($D1228="","",ROUND(N($E1228)*IFERROR(INDEX(Items!$P$5:$P$504,U1228),0),2)),"")</f>
        <v/>
      </c>
      <c r="S1228" s="61" t="str">
        <f aca="false">IF(IsPro,IF($D1228="","",L1228-R1228),"")</f>
        <v/>
      </c>
      <c r="T1228" s="60" t="str">
        <f aca="false">IF(IsPro,IF($D1228="","",IF(U1228="","UNKNOWN ITEM",IF(INDEX(Items!$O$5:$O$504,U1228)&lt;0,"NEG STOCK",IF(K1228&lt;INDEX(Items!$P$5:$P$504,U1228),"BELOW COST","OK")))),IF($D1228="","","PRO PLAN"))</f>
        <v/>
      </c>
      <c r="U1228" s="60" t="str">
        <f aca="false">IF(IsPro,IF($D1228="","",IFERROR(MATCH($D1228,Items!$A$5:$A$504,0),"")),"")</f>
        <v/>
      </c>
      <c r="V1228" s="60" t="str">
        <f aca="false">IF(IsPro,IF($C1228="","",IFERROR(MATCH($C1228,Parties!$A$5:$A$304,0),"")),"")</f>
        <v/>
      </c>
      <c r="W1228" s="60" t="str">
        <f aca="false">IF(IsPro,IF($B1228="","",IFERROR(VALUE(SUBSTITUTE($B1228,InvPrefix,"")),0)),"")</f>
        <v/>
      </c>
      <c r="X1228" s="61" t="str">
        <f aca="false">IF(IsPro,IF($D1228="","",IF(OR($H1228="",$H1228="Credit"),0,Q1228)),"")</f>
        <v/>
      </c>
    </row>
    <row r="1229" customFormat="false" ht="15" hidden="false" customHeight="false" outlineLevel="0" collapsed="false">
      <c r="A1229" s="55"/>
      <c r="B1229" s="56"/>
      <c r="C1229" s="56"/>
      <c r="D1229" s="56"/>
      <c r="E1229" s="57"/>
      <c r="F1229" s="58"/>
      <c r="G1229" s="59"/>
      <c r="H1229" s="56"/>
      <c r="I1229" s="56"/>
      <c r="J1229" s="60" t="str">
        <f aca="false">IF(IsPro,IF($D1229="","",IFERROR(INDEX(Items!$D$5:$D$504,U1229),"")),"")</f>
        <v/>
      </c>
      <c r="K1229" s="61" t="str">
        <f aca="false">IF(IsPro,IF($D1229="","",IF($F1229="",IFERROR(INDEX(Items!$H$5:$H$504,U1229),0),$F1229)),"")</f>
        <v/>
      </c>
      <c r="L1229" s="61" t="str">
        <f aca="false">IF(IsPro,IF($D1229="","",ROUND(N($E1229)*K1229*(1-N($G1229)),2)),"")</f>
        <v/>
      </c>
      <c r="M1229" s="62" t="str">
        <f aca="false">IF(IsPro,IF($D1229="","",IFERROR(INDEX(Items!$F$5:$F$504,U1229),0)),"")</f>
        <v/>
      </c>
      <c r="N1229" s="61" t="str">
        <f aca="false">IF(IsPro,IF($D1229="","",IF(AND(V1229&lt;&gt;"",INDEX(Parties!$E$5:$E$304,V1229)&lt;&gt;"",INDEX(Parties!$E$5:$E$304,V1229)&lt;&gt;HomeState),0,ROUND(L1229*M1229/2,2))),"")</f>
        <v/>
      </c>
      <c r="O1229" s="61" t="str">
        <f aca="false">IF(IsPro,IF($D1229="","",N1229),"")</f>
        <v/>
      </c>
      <c r="P1229" s="61" t="str">
        <f aca="false">IF(IsPro,IF($D1229="","",IF(AND(V1229&lt;&gt;"",INDEX(Parties!$E$5:$E$304,V1229)&lt;&gt;"",INDEX(Parties!$E$5:$E$304,V1229)&lt;&gt;HomeState),ROUND(L1229*M1229,2),0)),"")</f>
        <v/>
      </c>
      <c r="Q1229" s="61" t="str">
        <f aca="false">IF(IsPro,IF($D1229="","",L1229+N1229+O1229+P1229),"")</f>
        <v/>
      </c>
      <c r="R1229" s="61" t="str">
        <f aca="false">IF(IsPro,IF($D1229="","",ROUND(N($E1229)*IFERROR(INDEX(Items!$P$5:$P$504,U1229),0),2)),"")</f>
        <v/>
      </c>
      <c r="S1229" s="61" t="str">
        <f aca="false">IF(IsPro,IF($D1229="","",L1229-R1229),"")</f>
        <v/>
      </c>
      <c r="T1229" s="60" t="str">
        <f aca="false">IF(IsPro,IF($D1229="","",IF(U1229="","UNKNOWN ITEM",IF(INDEX(Items!$O$5:$O$504,U1229)&lt;0,"NEG STOCK",IF(K1229&lt;INDEX(Items!$P$5:$P$504,U1229),"BELOW COST","OK")))),IF($D1229="","","PRO PLAN"))</f>
        <v/>
      </c>
      <c r="U1229" s="60" t="str">
        <f aca="false">IF(IsPro,IF($D1229="","",IFERROR(MATCH($D1229,Items!$A$5:$A$504,0),"")),"")</f>
        <v/>
      </c>
      <c r="V1229" s="60" t="str">
        <f aca="false">IF(IsPro,IF($C1229="","",IFERROR(MATCH($C1229,Parties!$A$5:$A$304,0),"")),"")</f>
        <v/>
      </c>
      <c r="W1229" s="60" t="str">
        <f aca="false">IF(IsPro,IF($B1229="","",IFERROR(VALUE(SUBSTITUTE($B1229,InvPrefix,"")),0)),"")</f>
        <v/>
      </c>
      <c r="X1229" s="61" t="str">
        <f aca="false">IF(IsPro,IF($D1229="","",IF(OR($H1229="",$H1229="Credit"),0,Q1229)),"")</f>
        <v/>
      </c>
    </row>
    <row r="1230" customFormat="false" ht="15" hidden="false" customHeight="false" outlineLevel="0" collapsed="false">
      <c r="A1230" s="55"/>
      <c r="B1230" s="56"/>
      <c r="C1230" s="56"/>
      <c r="D1230" s="56"/>
      <c r="E1230" s="57"/>
      <c r="F1230" s="58"/>
      <c r="G1230" s="59"/>
      <c r="H1230" s="56"/>
      <c r="I1230" s="56"/>
      <c r="J1230" s="60" t="str">
        <f aca="false">IF(IsPro,IF($D1230="","",IFERROR(INDEX(Items!$D$5:$D$504,U1230),"")),"")</f>
        <v/>
      </c>
      <c r="K1230" s="61" t="str">
        <f aca="false">IF(IsPro,IF($D1230="","",IF($F1230="",IFERROR(INDEX(Items!$H$5:$H$504,U1230),0),$F1230)),"")</f>
        <v/>
      </c>
      <c r="L1230" s="61" t="str">
        <f aca="false">IF(IsPro,IF($D1230="","",ROUND(N($E1230)*K1230*(1-N($G1230)),2)),"")</f>
        <v/>
      </c>
      <c r="M1230" s="62" t="str">
        <f aca="false">IF(IsPro,IF($D1230="","",IFERROR(INDEX(Items!$F$5:$F$504,U1230),0)),"")</f>
        <v/>
      </c>
      <c r="N1230" s="61" t="str">
        <f aca="false">IF(IsPro,IF($D1230="","",IF(AND(V1230&lt;&gt;"",INDEX(Parties!$E$5:$E$304,V1230)&lt;&gt;"",INDEX(Parties!$E$5:$E$304,V1230)&lt;&gt;HomeState),0,ROUND(L1230*M1230/2,2))),"")</f>
        <v/>
      </c>
      <c r="O1230" s="61" t="str">
        <f aca="false">IF(IsPro,IF($D1230="","",N1230),"")</f>
        <v/>
      </c>
      <c r="P1230" s="61" t="str">
        <f aca="false">IF(IsPro,IF($D1230="","",IF(AND(V1230&lt;&gt;"",INDEX(Parties!$E$5:$E$304,V1230)&lt;&gt;"",INDEX(Parties!$E$5:$E$304,V1230)&lt;&gt;HomeState),ROUND(L1230*M1230,2),0)),"")</f>
        <v/>
      </c>
      <c r="Q1230" s="61" t="str">
        <f aca="false">IF(IsPro,IF($D1230="","",L1230+N1230+O1230+P1230),"")</f>
        <v/>
      </c>
      <c r="R1230" s="61" t="str">
        <f aca="false">IF(IsPro,IF($D1230="","",ROUND(N($E1230)*IFERROR(INDEX(Items!$P$5:$P$504,U1230),0),2)),"")</f>
        <v/>
      </c>
      <c r="S1230" s="61" t="str">
        <f aca="false">IF(IsPro,IF($D1230="","",L1230-R1230),"")</f>
        <v/>
      </c>
      <c r="T1230" s="60" t="str">
        <f aca="false">IF(IsPro,IF($D1230="","",IF(U1230="","UNKNOWN ITEM",IF(INDEX(Items!$O$5:$O$504,U1230)&lt;0,"NEG STOCK",IF(K1230&lt;INDEX(Items!$P$5:$P$504,U1230),"BELOW COST","OK")))),IF($D1230="","","PRO PLAN"))</f>
        <v/>
      </c>
      <c r="U1230" s="60" t="str">
        <f aca="false">IF(IsPro,IF($D1230="","",IFERROR(MATCH($D1230,Items!$A$5:$A$504,0),"")),"")</f>
        <v/>
      </c>
      <c r="V1230" s="60" t="str">
        <f aca="false">IF(IsPro,IF($C1230="","",IFERROR(MATCH($C1230,Parties!$A$5:$A$304,0),"")),"")</f>
        <v/>
      </c>
      <c r="W1230" s="60" t="str">
        <f aca="false">IF(IsPro,IF($B1230="","",IFERROR(VALUE(SUBSTITUTE($B1230,InvPrefix,"")),0)),"")</f>
        <v/>
      </c>
      <c r="X1230" s="61" t="str">
        <f aca="false">IF(IsPro,IF($D1230="","",IF(OR($H1230="",$H1230="Credit"),0,Q1230)),"")</f>
        <v/>
      </c>
    </row>
    <row r="1231" customFormat="false" ht="15" hidden="false" customHeight="false" outlineLevel="0" collapsed="false">
      <c r="A1231" s="55"/>
      <c r="B1231" s="56"/>
      <c r="C1231" s="56"/>
      <c r="D1231" s="56"/>
      <c r="E1231" s="57"/>
      <c r="F1231" s="58"/>
      <c r="G1231" s="59"/>
      <c r="H1231" s="56"/>
      <c r="I1231" s="56"/>
      <c r="J1231" s="60" t="str">
        <f aca="false">IF(IsPro,IF($D1231="","",IFERROR(INDEX(Items!$D$5:$D$504,U1231),"")),"")</f>
        <v/>
      </c>
      <c r="K1231" s="61" t="str">
        <f aca="false">IF(IsPro,IF($D1231="","",IF($F1231="",IFERROR(INDEX(Items!$H$5:$H$504,U1231),0),$F1231)),"")</f>
        <v/>
      </c>
      <c r="L1231" s="61" t="str">
        <f aca="false">IF(IsPro,IF($D1231="","",ROUND(N($E1231)*K1231*(1-N($G1231)),2)),"")</f>
        <v/>
      </c>
      <c r="M1231" s="62" t="str">
        <f aca="false">IF(IsPro,IF($D1231="","",IFERROR(INDEX(Items!$F$5:$F$504,U1231),0)),"")</f>
        <v/>
      </c>
      <c r="N1231" s="61" t="str">
        <f aca="false">IF(IsPro,IF($D1231="","",IF(AND(V1231&lt;&gt;"",INDEX(Parties!$E$5:$E$304,V1231)&lt;&gt;"",INDEX(Parties!$E$5:$E$304,V1231)&lt;&gt;HomeState),0,ROUND(L1231*M1231/2,2))),"")</f>
        <v/>
      </c>
      <c r="O1231" s="61" t="str">
        <f aca="false">IF(IsPro,IF($D1231="","",N1231),"")</f>
        <v/>
      </c>
      <c r="P1231" s="61" t="str">
        <f aca="false">IF(IsPro,IF($D1231="","",IF(AND(V1231&lt;&gt;"",INDEX(Parties!$E$5:$E$304,V1231)&lt;&gt;"",INDEX(Parties!$E$5:$E$304,V1231)&lt;&gt;HomeState),ROUND(L1231*M1231,2),0)),"")</f>
        <v/>
      </c>
      <c r="Q1231" s="61" t="str">
        <f aca="false">IF(IsPro,IF($D1231="","",L1231+N1231+O1231+P1231),"")</f>
        <v/>
      </c>
      <c r="R1231" s="61" t="str">
        <f aca="false">IF(IsPro,IF($D1231="","",ROUND(N($E1231)*IFERROR(INDEX(Items!$P$5:$P$504,U1231),0),2)),"")</f>
        <v/>
      </c>
      <c r="S1231" s="61" t="str">
        <f aca="false">IF(IsPro,IF($D1231="","",L1231-R1231),"")</f>
        <v/>
      </c>
      <c r="T1231" s="60" t="str">
        <f aca="false">IF(IsPro,IF($D1231="","",IF(U1231="","UNKNOWN ITEM",IF(INDEX(Items!$O$5:$O$504,U1231)&lt;0,"NEG STOCK",IF(K1231&lt;INDEX(Items!$P$5:$P$504,U1231),"BELOW COST","OK")))),IF($D1231="","","PRO PLAN"))</f>
        <v/>
      </c>
      <c r="U1231" s="60" t="str">
        <f aca="false">IF(IsPro,IF($D1231="","",IFERROR(MATCH($D1231,Items!$A$5:$A$504,0),"")),"")</f>
        <v/>
      </c>
      <c r="V1231" s="60" t="str">
        <f aca="false">IF(IsPro,IF($C1231="","",IFERROR(MATCH($C1231,Parties!$A$5:$A$304,0),"")),"")</f>
        <v/>
      </c>
      <c r="W1231" s="60" t="str">
        <f aca="false">IF(IsPro,IF($B1231="","",IFERROR(VALUE(SUBSTITUTE($B1231,InvPrefix,"")),0)),"")</f>
        <v/>
      </c>
      <c r="X1231" s="61" t="str">
        <f aca="false">IF(IsPro,IF($D1231="","",IF(OR($H1231="",$H1231="Credit"),0,Q1231)),"")</f>
        <v/>
      </c>
    </row>
    <row r="1232" customFormat="false" ht="15" hidden="false" customHeight="false" outlineLevel="0" collapsed="false">
      <c r="A1232" s="55"/>
      <c r="B1232" s="56"/>
      <c r="C1232" s="56"/>
      <c r="D1232" s="56"/>
      <c r="E1232" s="57"/>
      <c r="F1232" s="58"/>
      <c r="G1232" s="59"/>
      <c r="H1232" s="56"/>
      <c r="I1232" s="56"/>
      <c r="J1232" s="60" t="str">
        <f aca="false">IF(IsPro,IF($D1232="","",IFERROR(INDEX(Items!$D$5:$D$504,U1232),"")),"")</f>
        <v/>
      </c>
      <c r="K1232" s="61" t="str">
        <f aca="false">IF(IsPro,IF($D1232="","",IF($F1232="",IFERROR(INDEX(Items!$H$5:$H$504,U1232),0),$F1232)),"")</f>
        <v/>
      </c>
      <c r="L1232" s="61" t="str">
        <f aca="false">IF(IsPro,IF($D1232="","",ROUND(N($E1232)*K1232*(1-N($G1232)),2)),"")</f>
        <v/>
      </c>
      <c r="M1232" s="62" t="str">
        <f aca="false">IF(IsPro,IF($D1232="","",IFERROR(INDEX(Items!$F$5:$F$504,U1232),0)),"")</f>
        <v/>
      </c>
      <c r="N1232" s="61" t="str">
        <f aca="false">IF(IsPro,IF($D1232="","",IF(AND(V1232&lt;&gt;"",INDEX(Parties!$E$5:$E$304,V1232)&lt;&gt;"",INDEX(Parties!$E$5:$E$304,V1232)&lt;&gt;HomeState),0,ROUND(L1232*M1232/2,2))),"")</f>
        <v/>
      </c>
      <c r="O1232" s="61" t="str">
        <f aca="false">IF(IsPro,IF($D1232="","",N1232),"")</f>
        <v/>
      </c>
      <c r="P1232" s="61" t="str">
        <f aca="false">IF(IsPro,IF($D1232="","",IF(AND(V1232&lt;&gt;"",INDEX(Parties!$E$5:$E$304,V1232)&lt;&gt;"",INDEX(Parties!$E$5:$E$304,V1232)&lt;&gt;HomeState),ROUND(L1232*M1232,2),0)),"")</f>
        <v/>
      </c>
      <c r="Q1232" s="61" t="str">
        <f aca="false">IF(IsPro,IF($D1232="","",L1232+N1232+O1232+P1232),"")</f>
        <v/>
      </c>
      <c r="R1232" s="61" t="str">
        <f aca="false">IF(IsPro,IF($D1232="","",ROUND(N($E1232)*IFERROR(INDEX(Items!$P$5:$P$504,U1232),0),2)),"")</f>
        <v/>
      </c>
      <c r="S1232" s="61" t="str">
        <f aca="false">IF(IsPro,IF($D1232="","",L1232-R1232),"")</f>
        <v/>
      </c>
      <c r="T1232" s="60" t="str">
        <f aca="false">IF(IsPro,IF($D1232="","",IF(U1232="","UNKNOWN ITEM",IF(INDEX(Items!$O$5:$O$504,U1232)&lt;0,"NEG STOCK",IF(K1232&lt;INDEX(Items!$P$5:$P$504,U1232),"BELOW COST","OK")))),IF($D1232="","","PRO PLAN"))</f>
        <v/>
      </c>
      <c r="U1232" s="60" t="str">
        <f aca="false">IF(IsPro,IF($D1232="","",IFERROR(MATCH($D1232,Items!$A$5:$A$504,0),"")),"")</f>
        <v/>
      </c>
      <c r="V1232" s="60" t="str">
        <f aca="false">IF(IsPro,IF($C1232="","",IFERROR(MATCH($C1232,Parties!$A$5:$A$304,0),"")),"")</f>
        <v/>
      </c>
      <c r="W1232" s="60" t="str">
        <f aca="false">IF(IsPro,IF($B1232="","",IFERROR(VALUE(SUBSTITUTE($B1232,InvPrefix,"")),0)),"")</f>
        <v/>
      </c>
      <c r="X1232" s="61" t="str">
        <f aca="false">IF(IsPro,IF($D1232="","",IF(OR($H1232="",$H1232="Credit"),0,Q1232)),"")</f>
        <v/>
      </c>
    </row>
    <row r="1233" customFormat="false" ht="15" hidden="false" customHeight="false" outlineLevel="0" collapsed="false">
      <c r="A1233" s="55"/>
      <c r="B1233" s="56"/>
      <c r="C1233" s="56"/>
      <c r="D1233" s="56"/>
      <c r="E1233" s="57"/>
      <c r="F1233" s="58"/>
      <c r="G1233" s="59"/>
      <c r="H1233" s="56"/>
      <c r="I1233" s="56"/>
      <c r="J1233" s="60" t="str">
        <f aca="false">IF(IsPro,IF($D1233="","",IFERROR(INDEX(Items!$D$5:$D$504,U1233),"")),"")</f>
        <v/>
      </c>
      <c r="K1233" s="61" t="str">
        <f aca="false">IF(IsPro,IF($D1233="","",IF($F1233="",IFERROR(INDEX(Items!$H$5:$H$504,U1233),0),$F1233)),"")</f>
        <v/>
      </c>
      <c r="L1233" s="61" t="str">
        <f aca="false">IF(IsPro,IF($D1233="","",ROUND(N($E1233)*K1233*(1-N($G1233)),2)),"")</f>
        <v/>
      </c>
      <c r="M1233" s="62" t="str">
        <f aca="false">IF(IsPro,IF($D1233="","",IFERROR(INDEX(Items!$F$5:$F$504,U1233),0)),"")</f>
        <v/>
      </c>
      <c r="N1233" s="61" t="str">
        <f aca="false">IF(IsPro,IF($D1233="","",IF(AND(V1233&lt;&gt;"",INDEX(Parties!$E$5:$E$304,V1233)&lt;&gt;"",INDEX(Parties!$E$5:$E$304,V1233)&lt;&gt;HomeState),0,ROUND(L1233*M1233/2,2))),"")</f>
        <v/>
      </c>
      <c r="O1233" s="61" t="str">
        <f aca="false">IF(IsPro,IF($D1233="","",N1233),"")</f>
        <v/>
      </c>
      <c r="P1233" s="61" t="str">
        <f aca="false">IF(IsPro,IF($D1233="","",IF(AND(V1233&lt;&gt;"",INDEX(Parties!$E$5:$E$304,V1233)&lt;&gt;"",INDEX(Parties!$E$5:$E$304,V1233)&lt;&gt;HomeState),ROUND(L1233*M1233,2),0)),"")</f>
        <v/>
      </c>
      <c r="Q1233" s="61" t="str">
        <f aca="false">IF(IsPro,IF($D1233="","",L1233+N1233+O1233+P1233),"")</f>
        <v/>
      </c>
      <c r="R1233" s="61" t="str">
        <f aca="false">IF(IsPro,IF($D1233="","",ROUND(N($E1233)*IFERROR(INDEX(Items!$P$5:$P$504,U1233),0),2)),"")</f>
        <v/>
      </c>
      <c r="S1233" s="61" t="str">
        <f aca="false">IF(IsPro,IF($D1233="","",L1233-R1233),"")</f>
        <v/>
      </c>
      <c r="T1233" s="60" t="str">
        <f aca="false">IF(IsPro,IF($D1233="","",IF(U1233="","UNKNOWN ITEM",IF(INDEX(Items!$O$5:$O$504,U1233)&lt;0,"NEG STOCK",IF(K1233&lt;INDEX(Items!$P$5:$P$504,U1233),"BELOW COST","OK")))),IF($D1233="","","PRO PLAN"))</f>
        <v/>
      </c>
      <c r="U1233" s="60" t="str">
        <f aca="false">IF(IsPro,IF($D1233="","",IFERROR(MATCH($D1233,Items!$A$5:$A$504,0),"")),"")</f>
        <v/>
      </c>
      <c r="V1233" s="60" t="str">
        <f aca="false">IF(IsPro,IF($C1233="","",IFERROR(MATCH($C1233,Parties!$A$5:$A$304,0),"")),"")</f>
        <v/>
      </c>
      <c r="W1233" s="60" t="str">
        <f aca="false">IF(IsPro,IF($B1233="","",IFERROR(VALUE(SUBSTITUTE($B1233,InvPrefix,"")),0)),"")</f>
        <v/>
      </c>
      <c r="X1233" s="61" t="str">
        <f aca="false">IF(IsPro,IF($D1233="","",IF(OR($H1233="",$H1233="Credit"),0,Q1233)),"")</f>
        <v/>
      </c>
    </row>
    <row r="1234" customFormat="false" ht="15" hidden="false" customHeight="false" outlineLevel="0" collapsed="false">
      <c r="A1234" s="55"/>
      <c r="B1234" s="56"/>
      <c r="C1234" s="56"/>
      <c r="D1234" s="56"/>
      <c r="E1234" s="57"/>
      <c r="F1234" s="58"/>
      <c r="G1234" s="59"/>
      <c r="H1234" s="56"/>
      <c r="I1234" s="56"/>
      <c r="J1234" s="60" t="str">
        <f aca="false">IF(IsPro,IF($D1234="","",IFERROR(INDEX(Items!$D$5:$D$504,U1234),"")),"")</f>
        <v/>
      </c>
      <c r="K1234" s="61" t="str">
        <f aca="false">IF(IsPro,IF($D1234="","",IF($F1234="",IFERROR(INDEX(Items!$H$5:$H$504,U1234),0),$F1234)),"")</f>
        <v/>
      </c>
      <c r="L1234" s="61" t="str">
        <f aca="false">IF(IsPro,IF($D1234="","",ROUND(N($E1234)*K1234*(1-N($G1234)),2)),"")</f>
        <v/>
      </c>
      <c r="M1234" s="62" t="str">
        <f aca="false">IF(IsPro,IF($D1234="","",IFERROR(INDEX(Items!$F$5:$F$504,U1234),0)),"")</f>
        <v/>
      </c>
      <c r="N1234" s="61" t="str">
        <f aca="false">IF(IsPro,IF($D1234="","",IF(AND(V1234&lt;&gt;"",INDEX(Parties!$E$5:$E$304,V1234)&lt;&gt;"",INDEX(Parties!$E$5:$E$304,V1234)&lt;&gt;HomeState),0,ROUND(L1234*M1234/2,2))),"")</f>
        <v/>
      </c>
      <c r="O1234" s="61" t="str">
        <f aca="false">IF(IsPro,IF($D1234="","",N1234),"")</f>
        <v/>
      </c>
      <c r="P1234" s="61" t="str">
        <f aca="false">IF(IsPro,IF($D1234="","",IF(AND(V1234&lt;&gt;"",INDEX(Parties!$E$5:$E$304,V1234)&lt;&gt;"",INDEX(Parties!$E$5:$E$304,V1234)&lt;&gt;HomeState),ROUND(L1234*M1234,2),0)),"")</f>
        <v/>
      </c>
      <c r="Q1234" s="61" t="str">
        <f aca="false">IF(IsPro,IF($D1234="","",L1234+N1234+O1234+P1234),"")</f>
        <v/>
      </c>
      <c r="R1234" s="61" t="str">
        <f aca="false">IF(IsPro,IF($D1234="","",ROUND(N($E1234)*IFERROR(INDEX(Items!$P$5:$P$504,U1234),0),2)),"")</f>
        <v/>
      </c>
      <c r="S1234" s="61" t="str">
        <f aca="false">IF(IsPro,IF($D1234="","",L1234-R1234),"")</f>
        <v/>
      </c>
      <c r="T1234" s="60" t="str">
        <f aca="false">IF(IsPro,IF($D1234="","",IF(U1234="","UNKNOWN ITEM",IF(INDEX(Items!$O$5:$O$504,U1234)&lt;0,"NEG STOCK",IF(K1234&lt;INDEX(Items!$P$5:$P$504,U1234),"BELOW COST","OK")))),IF($D1234="","","PRO PLAN"))</f>
        <v/>
      </c>
      <c r="U1234" s="60" t="str">
        <f aca="false">IF(IsPro,IF($D1234="","",IFERROR(MATCH($D1234,Items!$A$5:$A$504,0),"")),"")</f>
        <v/>
      </c>
      <c r="V1234" s="60" t="str">
        <f aca="false">IF(IsPro,IF($C1234="","",IFERROR(MATCH($C1234,Parties!$A$5:$A$304,0),"")),"")</f>
        <v/>
      </c>
      <c r="W1234" s="60" t="str">
        <f aca="false">IF(IsPro,IF($B1234="","",IFERROR(VALUE(SUBSTITUTE($B1234,InvPrefix,"")),0)),"")</f>
        <v/>
      </c>
      <c r="X1234" s="61" t="str">
        <f aca="false">IF(IsPro,IF($D1234="","",IF(OR($H1234="",$H1234="Credit"),0,Q1234)),"")</f>
        <v/>
      </c>
    </row>
    <row r="1235" customFormat="false" ht="15" hidden="false" customHeight="false" outlineLevel="0" collapsed="false">
      <c r="A1235" s="55"/>
      <c r="B1235" s="56"/>
      <c r="C1235" s="56"/>
      <c r="D1235" s="56"/>
      <c r="E1235" s="57"/>
      <c r="F1235" s="58"/>
      <c r="G1235" s="59"/>
      <c r="H1235" s="56"/>
      <c r="I1235" s="56"/>
      <c r="J1235" s="60" t="str">
        <f aca="false">IF(IsPro,IF($D1235="","",IFERROR(INDEX(Items!$D$5:$D$504,U1235),"")),"")</f>
        <v/>
      </c>
      <c r="K1235" s="61" t="str">
        <f aca="false">IF(IsPro,IF($D1235="","",IF($F1235="",IFERROR(INDEX(Items!$H$5:$H$504,U1235),0),$F1235)),"")</f>
        <v/>
      </c>
      <c r="L1235" s="61" t="str">
        <f aca="false">IF(IsPro,IF($D1235="","",ROUND(N($E1235)*K1235*(1-N($G1235)),2)),"")</f>
        <v/>
      </c>
      <c r="M1235" s="62" t="str">
        <f aca="false">IF(IsPro,IF($D1235="","",IFERROR(INDEX(Items!$F$5:$F$504,U1235),0)),"")</f>
        <v/>
      </c>
      <c r="N1235" s="61" t="str">
        <f aca="false">IF(IsPro,IF($D1235="","",IF(AND(V1235&lt;&gt;"",INDEX(Parties!$E$5:$E$304,V1235)&lt;&gt;"",INDEX(Parties!$E$5:$E$304,V1235)&lt;&gt;HomeState),0,ROUND(L1235*M1235/2,2))),"")</f>
        <v/>
      </c>
      <c r="O1235" s="61" t="str">
        <f aca="false">IF(IsPro,IF($D1235="","",N1235),"")</f>
        <v/>
      </c>
      <c r="P1235" s="61" t="str">
        <f aca="false">IF(IsPro,IF($D1235="","",IF(AND(V1235&lt;&gt;"",INDEX(Parties!$E$5:$E$304,V1235)&lt;&gt;"",INDEX(Parties!$E$5:$E$304,V1235)&lt;&gt;HomeState),ROUND(L1235*M1235,2),0)),"")</f>
        <v/>
      </c>
      <c r="Q1235" s="61" t="str">
        <f aca="false">IF(IsPro,IF($D1235="","",L1235+N1235+O1235+P1235),"")</f>
        <v/>
      </c>
      <c r="R1235" s="61" t="str">
        <f aca="false">IF(IsPro,IF($D1235="","",ROUND(N($E1235)*IFERROR(INDEX(Items!$P$5:$P$504,U1235),0),2)),"")</f>
        <v/>
      </c>
      <c r="S1235" s="61" t="str">
        <f aca="false">IF(IsPro,IF($D1235="","",L1235-R1235),"")</f>
        <v/>
      </c>
      <c r="T1235" s="60" t="str">
        <f aca="false">IF(IsPro,IF($D1235="","",IF(U1235="","UNKNOWN ITEM",IF(INDEX(Items!$O$5:$O$504,U1235)&lt;0,"NEG STOCK",IF(K1235&lt;INDEX(Items!$P$5:$P$504,U1235),"BELOW COST","OK")))),IF($D1235="","","PRO PLAN"))</f>
        <v/>
      </c>
      <c r="U1235" s="60" t="str">
        <f aca="false">IF(IsPro,IF($D1235="","",IFERROR(MATCH($D1235,Items!$A$5:$A$504,0),"")),"")</f>
        <v/>
      </c>
      <c r="V1235" s="60" t="str">
        <f aca="false">IF(IsPro,IF($C1235="","",IFERROR(MATCH($C1235,Parties!$A$5:$A$304,0),"")),"")</f>
        <v/>
      </c>
      <c r="W1235" s="60" t="str">
        <f aca="false">IF(IsPro,IF($B1235="","",IFERROR(VALUE(SUBSTITUTE($B1235,InvPrefix,"")),0)),"")</f>
        <v/>
      </c>
      <c r="X1235" s="61" t="str">
        <f aca="false">IF(IsPro,IF($D1235="","",IF(OR($H1235="",$H1235="Credit"),0,Q1235)),"")</f>
        <v/>
      </c>
    </row>
    <row r="1236" customFormat="false" ht="15" hidden="false" customHeight="false" outlineLevel="0" collapsed="false">
      <c r="A1236" s="55"/>
      <c r="B1236" s="56"/>
      <c r="C1236" s="56"/>
      <c r="D1236" s="56"/>
      <c r="E1236" s="57"/>
      <c r="F1236" s="58"/>
      <c r="G1236" s="59"/>
      <c r="H1236" s="56"/>
      <c r="I1236" s="56"/>
      <c r="J1236" s="60" t="str">
        <f aca="false">IF(IsPro,IF($D1236="","",IFERROR(INDEX(Items!$D$5:$D$504,U1236),"")),"")</f>
        <v/>
      </c>
      <c r="K1236" s="61" t="str">
        <f aca="false">IF(IsPro,IF($D1236="","",IF($F1236="",IFERROR(INDEX(Items!$H$5:$H$504,U1236),0),$F1236)),"")</f>
        <v/>
      </c>
      <c r="L1236" s="61" t="str">
        <f aca="false">IF(IsPro,IF($D1236="","",ROUND(N($E1236)*K1236*(1-N($G1236)),2)),"")</f>
        <v/>
      </c>
      <c r="M1236" s="62" t="str">
        <f aca="false">IF(IsPro,IF($D1236="","",IFERROR(INDEX(Items!$F$5:$F$504,U1236),0)),"")</f>
        <v/>
      </c>
      <c r="N1236" s="61" t="str">
        <f aca="false">IF(IsPro,IF($D1236="","",IF(AND(V1236&lt;&gt;"",INDEX(Parties!$E$5:$E$304,V1236)&lt;&gt;"",INDEX(Parties!$E$5:$E$304,V1236)&lt;&gt;HomeState),0,ROUND(L1236*M1236/2,2))),"")</f>
        <v/>
      </c>
      <c r="O1236" s="61" t="str">
        <f aca="false">IF(IsPro,IF($D1236="","",N1236),"")</f>
        <v/>
      </c>
      <c r="P1236" s="61" t="str">
        <f aca="false">IF(IsPro,IF($D1236="","",IF(AND(V1236&lt;&gt;"",INDEX(Parties!$E$5:$E$304,V1236)&lt;&gt;"",INDEX(Parties!$E$5:$E$304,V1236)&lt;&gt;HomeState),ROUND(L1236*M1236,2),0)),"")</f>
        <v/>
      </c>
      <c r="Q1236" s="61" t="str">
        <f aca="false">IF(IsPro,IF($D1236="","",L1236+N1236+O1236+P1236),"")</f>
        <v/>
      </c>
      <c r="R1236" s="61" t="str">
        <f aca="false">IF(IsPro,IF($D1236="","",ROUND(N($E1236)*IFERROR(INDEX(Items!$P$5:$P$504,U1236),0),2)),"")</f>
        <v/>
      </c>
      <c r="S1236" s="61" t="str">
        <f aca="false">IF(IsPro,IF($D1236="","",L1236-R1236),"")</f>
        <v/>
      </c>
      <c r="T1236" s="60" t="str">
        <f aca="false">IF(IsPro,IF($D1236="","",IF(U1236="","UNKNOWN ITEM",IF(INDEX(Items!$O$5:$O$504,U1236)&lt;0,"NEG STOCK",IF(K1236&lt;INDEX(Items!$P$5:$P$504,U1236),"BELOW COST","OK")))),IF($D1236="","","PRO PLAN"))</f>
        <v/>
      </c>
      <c r="U1236" s="60" t="str">
        <f aca="false">IF(IsPro,IF($D1236="","",IFERROR(MATCH($D1236,Items!$A$5:$A$504,0),"")),"")</f>
        <v/>
      </c>
      <c r="V1236" s="60" t="str">
        <f aca="false">IF(IsPro,IF($C1236="","",IFERROR(MATCH($C1236,Parties!$A$5:$A$304,0),"")),"")</f>
        <v/>
      </c>
      <c r="W1236" s="60" t="str">
        <f aca="false">IF(IsPro,IF($B1236="","",IFERROR(VALUE(SUBSTITUTE($B1236,InvPrefix,"")),0)),"")</f>
        <v/>
      </c>
      <c r="X1236" s="61" t="str">
        <f aca="false">IF(IsPro,IF($D1236="","",IF(OR($H1236="",$H1236="Credit"),0,Q1236)),"")</f>
        <v/>
      </c>
    </row>
    <row r="1237" customFormat="false" ht="15" hidden="false" customHeight="false" outlineLevel="0" collapsed="false">
      <c r="A1237" s="55"/>
      <c r="B1237" s="56"/>
      <c r="C1237" s="56"/>
      <c r="D1237" s="56"/>
      <c r="E1237" s="57"/>
      <c r="F1237" s="58"/>
      <c r="G1237" s="59"/>
      <c r="H1237" s="56"/>
      <c r="I1237" s="56"/>
      <c r="J1237" s="60" t="str">
        <f aca="false">IF(IsPro,IF($D1237="","",IFERROR(INDEX(Items!$D$5:$D$504,U1237),"")),"")</f>
        <v/>
      </c>
      <c r="K1237" s="61" t="str">
        <f aca="false">IF(IsPro,IF($D1237="","",IF($F1237="",IFERROR(INDEX(Items!$H$5:$H$504,U1237),0),$F1237)),"")</f>
        <v/>
      </c>
      <c r="L1237" s="61" t="str">
        <f aca="false">IF(IsPro,IF($D1237="","",ROUND(N($E1237)*K1237*(1-N($G1237)),2)),"")</f>
        <v/>
      </c>
      <c r="M1237" s="62" t="str">
        <f aca="false">IF(IsPro,IF($D1237="","",IFERROR(INDEX(Items!$F$5:$F$504,U1237),0)),"")</f>
        <v/>
      </c>
      <c r="N1237" s="61" t="str">
        <f aca="false">IF(IsPro,IF($D1237="","",IF(AND(V1237&lt;&gt;"",INDEX(Parties!$E$5:$E$304,V1237)&lt;&gt;"",INDEX(Parties!$E$5:$E$304,V1237)&lt;&gt;HomeState),0,ROUND(L1237*M1237/2,2))),"")</f>
        <v/>
      </c>
      <c r="O1237" s="61" t="str">
        <f aca="false">IF(IsPro,IF($D1237="","",N1237),"")</f>
        <v/>
      </c>
      <c r="P1237" s="61" t="str">
        <f aca="false">IF(IsPro,IF($D1237="","",IF(AND(V1237&lt;&gt;"",INDEX(Parties!$E$5:$E$304,V1237)&lt;&gt;"",INDEX(Parties!$E$5:$E$304,V1237)&lt;&gt;HomeState),ROUND(L1237*M1237,2),0)),"")</f>
        <v/>
      </c>
      <c r="Q1237" s="61" t="str">
        <f aca="false">IF(IsPro,IF($D1237="","",L1237+N1237+O1237+P1237),"")</f>
        <v/>
      </c>
      <c r="R1237" s="61" t="str">
        <f aca="false">IF(IsPro,IF($D1237="","",ROUND(N($E1237)*IFERROR(INDEX(Items!$P$5:$P$504,U1237),0),2)),"")</f>
        <v/>
      </c>
      <c r="S1237" s="61" t="str">
        <f aca="false">IF(IsPro,IF($D1237="","",L1237-R1237),"")</f>
        <v/>
      </c>
      <c r="T1237" s="60" t="str">
        <f aca="false">IF(IsPro,IF($D1237="","",IF(U1237="","UNKNOWN ITEM",IF(INDEX(Items!$O$5:$O$504,U1237)&lt;0,"NEG STOCK",IF(K1237&lt;INDEX(Items!$P$5:$P$504,U1237),"BELOW COST","OK")))),IF($D1237="","","PRO PLAN"))</f>
        <v/>
      </c>
      <c r="U1237" s="60" t="str">
        <f aca="false">IF(IsPro,IF($D1237="","",IFERROR(MATCH($D1237,Items!$A$5:$A$504,0),"")),"")</f>
        <v/>
      </c>
      <c r="V1237" s="60" t="str">
        <f aca="false">IF(IsPro,IF($C1237="","",IFERROR(MATCH($C1237,Parties!$A$5:$A$304,0),"")),"")</f>
        <v/>
      </c>
      <c r="W1237" s="60" t="str">
        <f aca="false">IF(IsPro,IF($B1237="","",IFERROR(VALUE(SUBSTITUTE($B1237,InvPrefix,"")),0)),"")</f>
        <v/>
      </c>
      <c r="X1237" s="61" t="str">
        <f aca="false">IF(IsPro,IF($D1237="","",IF(OR($H1237="",$H1237="Credit"),0,Q1237)),"")</f>
        <v/>
      </c>
    </row>
    <row r="1238" customFormat="false" ht="15" hidden="false" customHeight="false" outlineLevel="0" collapsed="false">
      <c r="A1238" s="55"/>
      <c r="B1238" s="56"/>
      <c r="C1238" s="56"/>
      <c r="D1238" s="56"/>
      <c r="E1238" s="57"/>
      <c r="F1238" s="58"/>
      <c r="G1238" s="59"/>
      <c r="H1238" s="56"/>
      <c r="I1238" s="56"/>
      <c r="J1238" s="60" t="str">
        <f aca="false">IF(IsPro,IF($D1238="","",IFERROR(INDEX(Items!$D$5:$D$504,U1238),"")),"")</f>
        <v/>
      </c>
      <c r="K1238" s="61" t="str">
        <f aca="false">IF(IsPro,IF($D1238="","",IF($F1238="",IFERROR(INDEX(Items!$H$5:$H$504,U1238),0),$F1238)),"")</f>
        <v/>
      </c>
      <c r="L1238" s="61" t="str">
        <f aca="false">IF(IsPro,IF($D1238="","",ROUND(N($E1238)*K1238*(1-N($G1238)),2)),"")</f>
        <v/>
      </c>
      <c r="M1238" s="62" t="str">
        <f aca="false">IF(IsPro,IF($D1238="","",IFERROR(INDEX(Items!$F$5:$F$504,U1238),0)),"")</f>
        <v/>
      </c>
      <c r="N1238" s="61" t="str">
        <f aca="false">IF(IsPro,IF($D1238="","",IF(AND(V1238&lt;&gt;"",INDEX(Parties!$E$5:$E$304,V1238)&lt;&gt;"",INDEX(Parties!$E$5:$E$304,V1238)&lt;&gt;HomeState),0,ROUND(L1238*M1238/2,2))),"")</f>
        <v/>
      </c>
      <c r="O1238" s="61" t="str">
        <f aca="false">IF(IsPro,IF($D1238="","",N1238),"")</f>
        <v/>
      </c>
      <c r="P1238" s="61" t="str">
        <f aca="false">IF(IsPro,IF($D1238="","",IF(AND(V1238&lt;&gt;"",INDEX(Parties!$E$5:$E$304,V1238)&lt;&gt;"",INDEX(Parties!$E$5:$E$304,V1238)&lt;&gt;HomeState),ROUND(L1238*M1238,2),0)),"")</f>
        <v/>
      </c>
      <c r="Q1238" s="61" t="str">
        <f aca="false">IF(IsPro,IF($D1238="","",L1238+N1238+O1238+P1238),"")</f>
        <v/>
      </c>
      <c r="R1238" s="61" t="str">
        <f aca="false">IF(IsPro,IF($D1238="","",ROUND(N($E1238)*IFERROR(INDEX(Items!$P$5:$P$504,U1238),0),2)),"")</f>
        <v/>
      </c>
      <c r="S1238" s="61" t="str">
        <f aca="false">IF(IsPro,IF($D1238="","",L1238-R1238),"")</f>
        <v/>
      </c>
      <c r="T1238" s="60" t="str">
        <f aca="false">IF(IsPro,IF($D1238="","",IF(U1238="","UNKNOWN ITEM",IF(INDEX(Items!$O$5:$O$504,U1238)&lt;0,"NEG STOCK",IF(K1238&lt;INDEX(Items!$P$5:$P$504,U1238),"BELOW COST","OK")))),IF($D1238="","","PRO PLAN"))</f>
        <v/>
      </c>
      <c r="U1238" s="60" t="str">
        <f aca="false">IF(IsPro,IF($D1238="","",IFERROR(MATCH($D1238,Items!$A$5:$A$504,0),"")),"")</f>
        <v/>
      </c>
      <c r="V1238" s="60" t="str">
        <f aca="false">IF(IsPro,IF($C1238="","",IFERROR(MATCH($C1238,Parties!$A$5:$A$304,0),"")),"")</f>
        <v/>
      </c>
      <c r="W1238" s="60" t="str">
        <f aca="false">IF(IsPro,IF($B1238="","",IFERROR(VALUE(SUBSTITUTE($B1238,InvPrefix,"")),0)),"")</f>
        <v/>
      </c>
      <c r="X1238" s="61" t="str">
        <f aca="false">IF(IsPro,IF($D1238="","",IF(OR($H1238="",$H1238="Credit"),0,Q1238)),"")</f>
        <v/>
      </c>
    </row>
    <row r="1239" customFormat="false" ht="15" hidden="false" customHeight="false" outlineLevel="0" collapsed="false">
      <c r="A1239" s="55"/>
      <c r="B1239" s="56"/>
      <c r="C1239" s="56"/>
      <c r="D1239" s="56"/>
      <c r="E1239" s="57"/>
      <c r="F1239" s="58"/>
      <c r="G1239" s="59"/>
      <c r="H1239" s="56"/>
      <c r="I1239" s="56"/>
      <c r="J1239" s="60" t="str">
        <f aca="false">IF(IsPro,IF($D1239="","",IFERROR(INDEX(Items!$D$5:$D$504,U1239),"")),"")</f>
        <v/>
      </c>
      <c r="K1239" s="61" t="str">
        <f aca="false">IF(IsPro,IF($D1239="","",IF($F1239="",IFERROR(INDEX(Items!$H$5:$H$504,U1239),0),$F1239)),"")</f>
        <v/>
      </c>
      <c r="L1239" s="61" t="str">
        <f aca="false">IF(IsPro,IF($D1239="","",ROUND(N($E1239)*K1239*(1-N($G1239)),2)),"")</f>
        <v/>
      </c>
      <c r="M1239" s="62" t="str">
        <f aca="false">IF(IsPro,IF($D1239="","",IFERROR(INDEX(Items!$F$5:$F$504,U1239),0)),"")</f>
        <v/>
      </c>
      <c r="N1239" s="61" t="str">
        <f aca="false">IF(IsPro,IF($D1239="","",IF(AND(V1239&lt;&gt;"",INDEX(Parties!$E$5:$E$304,V1239)&lt;&gt;"",INDEX(Parties!$E$5:$E$304,V1239)&lt;&gt;HomeState),0,ROUND(L1239*M1239/2,2))),"")</f>
        <v/>
      </c>
      <c r="O1239" s="61" t="str">
        <f aca="false">IF(IsPro,IF($D1239="","",N1239),"")</f>
        <v/>
      </c>
      <c r="P1239" s="61" t="str">
        <f aca="false">IF(IsPro,IF($D1239="","",IF(AND(V1239&lt;&gt;"",INDEX(Parties!$E$5:$E$304,V1239)&lt;&gt;"",INDEX(Parties!$E$5:$E$304,V1239)&lt;&gt;HomeState),ROUND(L1239*M1239,2),0)),"")</f>
        <v/>
      </c>
      <c r="Q1239" s="61" t="str">
        <f aca="false">IF(IsPro,IF($D1239="","",L1239+N1239+O1239+P1239),"")</f>
        <v/>
      </c>
      <c r="R1239" s="61" t="str">
        <f aca="false">IF(IsPro,IF($D1239="","",ROUND(N($E1239)*IFERROR(INDEX(Items!$P$5:$P$504,U1239),0),2)),"")</f>
        <v/>
      </c>
      <c r="S1239" s="61" t="str">
        <f aca="false">IF(IsPro,IF($D1239="","",L1239-R1239),"")</f>
        <v/>
      </c>
      <c r="T1239" s="60" t="str">
        <f aca="false">IF(IsPro,IF($D1239="","",IF(U1239="","UNKNOWN ITEM",IF(INDEX(Items!$O$5:$O$504,U1239)&lt;0,"NEG STOCK",IF(K1239&lt;INDEX(Items!$P$5:$P$504,U1239),"BELOW COST","OK")))),IF($D1239="","","PRO PLAN"))</f>
        <v/>
      </c>
      <c r="U1239" s="60" t="str">
        <f aca="false">IF(IsPro,IF($D1239="","",IFERROR(MATCH($D1239,Items!$A$5:$A$504,0),"")),"")</f>
        <v/>
      </c>
      <c r="V1239" s="60" t="str">
        <f aca="false">IF(IsPro,IF($C1239="","",IFERROR(MATCH($C1239,Parties!$A$5:$A$304,0),"")),"")</f>
        <v/>
      </c>
      <c r="W1239" s="60" t="str">
        <f aca="false">IF(IsPro,IF($B1239="","",IFERROR(VALUE(SUBSTITUTE($B1239,InvPrefix,"")),0)),"")</f>
        <v/>
      </c>
      <c r="X1239" s="61" t="str">
        <f aca="false">IF(IsPro,IF($D1239="","",IF(OR($H1239="",$H1239="Credit"),0,Q1239)),"")</f>
        <v/>
      </c>
    </row>
    <row r="1240" customFormat="false" ht="15" hidden="false" customHeight="false" outlineLevel="0" collapsed="false">
      <c r="A1240" s="55"/>
      <c r="B1240" s="56"/>
      <c r="C1240" s="56"/>
      <c r="D1240" s="56"/>
      <c r="E1240" s="57"/>
      <c r="F1240" s="58"/>
      <c r="G1240" s="59"/>
      <c r="H1240" s="56"/>
      <c r="I1240" s="56"/>
      <c r="J1240" s="60" t="str">
        <f aca="false">IF(IsPro,IF($D1240="","",IFERROR(INDEX(Items!$D$5:$D$504,U1240),"")),"")</f>
        <v/>
      </c>
      <c r="K1240" s="61" t="str">
        <f aca="false">IF(IsPro,IF($D1240="","",IF($F1240="",IFERROR(INDEX(Items!$H$5:$H$504,U1240),0),$F1240)),"")</f>
        <v/>
      </c>
      <c r="L1240" s="61" t="str">
        <f aca="false">IF(IsPro,IF($D1240="","",ROUND(N($E1240)*K1240*(1-N($G1240)),2)),"")</f>
        <v/>
      </c>
      <c r="M1240" s="62" t="str">
        <f aca="false">IF(IsPro,IF($D1240="","",IFERROR(INDEX(Items!$F$5:$F$504,U1240),0)),"")</f>
        <v/>
      </c>
      <c r="N1240" s="61" t="str">
        <f aca="false">IF(IsPro,IF($D1240="","",IF(AND(V1240&lt;&gt;"",INDEX(Parties!$E$5:$E$304,V1240)&lt;&gt;"",INDEX(Parties!$E$5:$E$304,V1240)&lt;&gt;HomeState),0,ROUND(L1240*M1240/2,2))),"")</f>
        <v/>
      </c>
      <c r="O1240" s="61" t="str">
        <f aca="false">IF(IsPro,IF($D1240="","",N1240),"")</f>
        <v/>
      </c>
      <c r="P1240" s="61" t="str">
        <f aca="false">IF(IsPro,IF($D1240="","",IF(AND(V1240&lt;&gt;"",INDEX(Parties!$E$5:$E$304,V1240)&lt;&gt;"",INDEX(Parties!$E$5:$E$304,V1240)&lt;&gt;HomeState),ROUND(L1240*M1240,2),0)),"")</f>
        <v/>
      </c>
      <c r="Q1240" s="61" t="str">
        <f aca="false">IF(IsPro,IF($D1240="","",L1240+N1240+O1240+P1240),"")</f>
        <v/>
      </c>
      <c r="R1240" s="61" t="str">
        <f aca="false">IF(IsPro,IF($D1240="","",ROUND(N($E1240)*IFERROR(INDEX(Items!$P$5:$P$504,U1240),0),2)),"")</f>
        <v/>
      </c>
      <c r="S1240" s="61" t="str">
        <f aca="false">IF(IsPro,IF($D1240="","",L1240-R1240),"")</f>
        <v/>
      </c>
      <c r="T1240" s="60" t="str">
        <f aca="false">IF(IsPro,IF($D1240="","",IF(U1240="","UNKNOWN ITEM",IF(INDEX(Items!$O$5:$O$504,U1240)&lt;0,"NEG STOCK",IF(K1240&lt;INDEX(Items!$P$5:$P$504,U1240),"BELOW COST","OK")))),IF($D1240="","","PRO PLAN"))</f>
        <v/>
      </c>
      <c r="U1240" s="60" t="str">
        <f aca="false">IF(IsPro,IF($D1240="","",IFERROR(MATCH($D1240,Items!$A$5:$A$504,0),"")),"")</f>
        <v/>
      </c>
      <c r="V1240" s="60" t="str">
        <f aca="false">IF(IsPro,IF($C1240="","",IFERROR(MATCH($C1240,Parties!$A$5:$A$304,0),"")),"")</f>
        <v/>
      </c>
      <c r="W1240" s="60" t="str">
        <f aca="false">IF(IsPro,IF($B1240="","",IFERROR(VALUE(SUBSTITUTE($B1240,InvPrefix,"")),0)),"")</f>
        <v/>
      </c>
      <c r="X1240" s="61" t="str">
        <f aca="false">IF(IsPro,IF($D1240="","",IF(OR($H1240="",$H1240="Credit"),0,Q1240)),"")</f>
        <v/>
      </c>
    </row>
    <row r="1241" customFormat="false" ht="15" hidden="false" customHeight="false" outlineLevel="0" collapsed="false">
      <c r="A1241" s="55"/>
      <c r="B1241" s="56"/>
      <c r="C1241" s="56"/>
      <c r="D1241" s="56"/>
      <c r="E1241" s="57"/>
      <c r="F1241" s="58"/>
      <c r="G1241" s="59"/>
      <c r="H1241" s="56"/>
      <c r="I1241" s="56"/>
      <c r="J1241" s="60" t="str">
        <f aca="false">IF(IsPro,IF($D1241="","",IFERROR(INDEX(Items!$D$5:$D$504,U1241),"")),"")</f>
        <v/>
      </c>
      <c r="K1241" s="61" t="str">
        <f aca="false">IF(IsPro,IF($D1241="","",IF($F1241="",IFERROR(INDEX(Items!$H$5:$H$504,U1241),0),$F1241)),"")</f>
        <v/>
      </c>
      <c r="L1241" s="61" t="str">
        <f aca="false">IF(IsPro,IF($D1241="","",ROUND(N($E1241)*K1241*(1-N($G1241)),2)),"")</f>
        <v/>
      </c>
      <c r="M1241" s="62" t="str">
        <f aca="false">IF(IsPro,IF($D1241="","",IFERROR(INDEX(Items!$F$5:$F$504,U1241),0)),"")</f>
        <v/>
      </c>
      <c r="N1241" s="61" t="str">
        <f aca="false">IF(IsPro,IF($D1241="","",IF(AND(V1241&lt;&gt;"",INDEX(Parties!$E$5:$E$304,V1241)&lt;&gt;"",INDEX(Parties!$E$5:$E$304,V1241)&lt;&gt;HomeState),0,ROUND(L1241*M1241/2,2))),"")</f>
        <v/>
      </c>
      <c r="O1241" s="61" t="str">
        <f aca="false">IF(IsPro,IF($D1241="","",N1241),"")</f>
        <v/>
      </c>
      <c r="P1241" s="61" t="str">
        <f aca="false">IF(IsPro,IF($D1241="","",IF(AND(V1241&lt;&gt;"",INDEX(Parties!$E$5:$E$304,V1241)&lt;&gt;"",INDEX(Parties!$E$5:$E$304,V1241)&lt;&gt;HomeState),ROUND(L1241*M1241,2),0)),"")</f>
        <v/>
      </c>
      <c r="Q1241" s="61" t="str">
        <f aca="false">IF(IsPro,IF($D1241="","",L1241+N1241+O1241+P1241),"")</f>
        <v/>
      </c>
      <c r="R1241" s="61" t="str">
        <f aca="false">IF(IsPro,IF($D1241="","",ROUND(N($E1241)*IFERROR(INDEX(Items!$P$5:$P$504,U1241),0),2)),"")</f>
        <v/>
      </c>
      <c r="S1241" s="61" t="str">
        <f aca="false">IF(IsPro,IF($D1241="","",L1241-R1241),"")</f>
        <v/>
      </c>
      <c r="T1241" s="60" t="str">
        <f aca="false">IF(IsPro,IF($D1241="","",IF(U1241="","UNKNOWN ITEM",IF(INDEX(Items!$O$5:$O$504,U1241)&lt;0,"NEG STOCK",IF(K1241&lt;INDEX(Items!$P$5:$P$504,U1241),"BELOW COST","OK")))),IF($D1241="","","PRO PLAN"))</f>
        <v/>
      </c>
      <c r="U1241" s="60" t="str">
        <f aca="false">IF(IsPro,IF($D1241="","",IFERROR(MATCH($D1241,Items!$A$5:$A$504,0),"")),"")</f>
        <v/>
      </c>
      <c r="V1241" s="60" t="str">
        <f aca="false">IF(IsPro,IF($C1241="","",IFERROR(MATCH($C1241,Parties!$A$5:$A$304,0),"")),"")</f>
        <v/>
      </c>
      <c r="W1241" s="60" t="str">
        <f aca="false">IF(IsPro,IF($B1241="","",IFERROR(VALUE(SUBSTITUTE($B1241,InvPrefix,"")),0)),"")</f>
        <v/>
      </c>
      <c r="X1241" s="61" t="str">
        <f aca="false">IF(IsPro,IF($D1241="","",IF(OR($H1241="",$H1241="Credit"),0,Q1241)),"")</f>
        <v/>
      </c>
    </row>
    <row r="1242" customFormat="false" ht="15" hidden="false" customHeight="false" outlineLevel="0" collapsed="false">
      <c r="A1242" s="55"/>
      <c r="B1242" s="56"/>
      <c r="C1242" s="56"/>
      <c r="D1242" s="56"/>
      <c r="E1242" s="57"/>
      <c r="F1242" s="58"/>
      <c r="G1242" s="59"/>
      <c r="H1242" s="56"/>
      <c r="I1242" s="56"/>
      <c r="J1242" s="60" t="str">
        <f aca="false">IF(IsPro,IF($D1242="","",IFERROR(INDEX(Items!$D$5:$D$504,U1242),"")),"")</f>
        <v/>
      </c>
      <c r="K1242" s="61" t="str">
        <f aca="false">IF(IsPro,IF($D1242="","",IF($F1242="",IFERROR(INDEX(Items!$H$5:$H$504,U1242),0),$F1242)),"")</f>
        <v/>
      </c>
      <c r="L1242" s="61" t="str">
        <f aca="false">IF(IsPro,IF($D1242="","",ROUND(N($E1242)*K1242*(1-N($G1242)),2)),"")</f>
        <v/>
      </c>
      <c r="M1242" s="62" t="str">
        <f aca="false">IF(IsPro,IF($D1242="","",IFERROR(INDEX(Items!$F$5:$F$504,U1242),0)),"")</f>
        <v/>
      </c>
      <c r="N1242" s="61" t="str">
        <f aca="false">IF(IsPro,IF($D1242="","",IF(AND(V1242&lt;&gt;"",INDEX(Parties!$E$5:$E$304,V1242)&lt;&gt;"",INDEX(Parties!$E$5:$E$304,V1242)&lt;&gt;HomeState),0,ROUND(L1242*M1242/2,2))),"")</f>
        <v/>
      </c>
      <c r="O1242" s="61" t="str">
        <f aca="false">IF(IsPro,IF($D1242="","",N1242),"")</f>
        <v/>
      </c>
      <c r="P1242" s="61" t="str">
        <f aca="false">IF(IsPro,IF($D1242="","",IF(AND(V1242&lt;&gt;"",INDEX(Parties!$E$5:$E$304,V1242)&lt;&gt;"",INDEX(Parties!$E$5:$E$304,V1242)&lt;&gt;HomeState),ROUND(L1242*M1242,2),0)),"")</f>
        <v/>
      </c>
      <c r="Q1242" s="61" t="str">
        <f aca="false">IF(IsPro,IF($D1242="","",L1242+N1242+O1242+P1242),"")</f>
        <v/>
      </c>
      <c r="R1242" s="61" t="str">
        <f aca="false">IF(IsPro,IF($D1242="","",ROUND(N($E1242)*IFERROR(INDEX(Items!$P$5:$P$504,U1242),0),2)),"")</f>
        <v/>
      </c>
      <c r="S1242" s="61" t="str">
        <f aca="false">IF(IsPro,IF($D1242="","",L1242-R1242),"")</f>
        <v/>
      </c>
      <c r="T1242" s="60" t="str">
        <f aca="false">IF(IsPro,IF($D1242="","",IF(U1242="","UNKNOWN ITEM",IF(INDEX(Items!$O$5:$O$504,U1242)&lt;0,"NEG STOCK",IF(K1242&lt;INDEX(Items!$P$5:$P$504,U1242),"BELOW COST","OK")))),IF($D1242="","","PRO PLAN"))</f>
        <v/>
      </c>
      <c r="U1242" s="60" t="str">
        <f aca="false">IF(IsPro,IF($D1242="","",IFERROR(MATCH($D1242,Items!$A$5:$A$504,0),"")),"")</f>
        <v/>
      </c>
      <c r="V1242" s="60" t="str">
        <f aca="false">IF(IsPro,IF($C1242="","",IFERROR(MATCH($C1242,Parties!$A$5:$A$304,0),"")),"")</f>
        <v/>
      </c>
      <c r="W1242" s="60" t="str">
        <f aca="false">IF(IsPro,IF($B1242="","",IFERROR(VALUE(SUBSTITUTE($B1242,InvPrefix,"")),0)),"")</f>
        <v/>
      </c>
      <c r="X1242" s="61" t="str">
        <f aca="false">IF(IsPro,IF($D1242="","",IF(OR($H1242="",$H1242="Credit"),0,Q1242)),"")</f>
        <v/>
      </c>
    </row>
    <row r="1243" customFormat="false" ht="15" hidden="false" customHeight="false" outlineLevel="0" collapsed="false">
      <c r="A1243" s="55"/>
      <c r="B1243" s="56"/>
      <c r="C1243" s="56"/>
      <c r="D1243" s="56"/>
      <c r="E1243" s="57"/>
      <c r="F1243" s="58"/>
      <c r="G1243" s="59"/>
      <c r="H1243" s="56"/>
      <c r="I1243" s="56"/>
      <c r="J1243" s="60" t="str">
        <f aca="false">IF(IsPro,IF($D1243="","",IFERROR(INDEX(Items!$D$5:$D$504,U1243),"")),"")</f>
        <v/>
      </c>
      <c r="K1243" s="61" t="str">
        <f aca="false">IF(IsPro,IF($D1243="","",IF($F1243="",IFERROR(INDEX(Items!$H$5:$H$504,U1243),0),$F1243)),"")</f>
        <v/>
      </c>
      <c r="L1243" s="61" t="str">
        <f aca="false">IF(IsPro,IF($D1243="","",ROUND(N($E1243)*K1243*(1-N($G1243)),2)),"")</f>
        <v/>
      </c>
      <c r="M1243" s="62" t="str">
        <f aca="false">IF(IsPro,IF($D1243="","",IFERROR(INDEX(Items!$F$5:$F$504,U1243),0)),"")</f>
        <v/>
      </c>
      <c r="N1243" s="61" t="str">
        <f aca="false">IF(IsPro,IF($D1243="","",IF(AND(V1243&lt;&gt;"",INDEX(Parties!$E$5:$E$304,V1243)&lt;&gt;"",INDEX(Parties!$E$5:$E$304,V1243)&lt;&gt;HomeState),0,ROUND(L1243*M1243/2,2))),"")</f>
        <v/>
      </c>
      <c r="O1243" s="61" t="str">
        <f aca="false">IF(IsPro,IF($D1243="","",N1243),"")</f>
        <v/>
      </c>
      <c r="P1243" s="61" t="str">
        <f aca="false">IF(IsPro,IF($D1243="","",IF(AND(V1243&lt;&gt;"",INDEX(Parties!$E$5:$E$304,V1243)&lt;&gt;"",INDEX(Parties!$E$5:$E$304,V1243)&lt;&gt;HomeState),ROUND(L1243*M1243,2),0)),"")</f>
        <v/>
      </c>
      <c r="Q1243" s="61" t="str">
        <f aca="false">IF(IsPro,IF($D1243="","",L1243+N1243+O1243+P1243),"")</f>
        <v/>
      </c>
      <c r="R1243" s="61" t="str">
        <f aca="false">IF(IsPro,IF($D1243="","",ROUND(N($E1243)*IFERROR(INDEX(Items!$P$5:$P$504,U1243),0),2)),"")</f>
        <v/>
      </c>
      <c r="S1243" s="61" t="str">
        <f aca="false">IF(IsPro,IF($D1243="","",L1243-R1243),"")</f>
        <v/>
      </c>
      <c r="T1243" s="60" t="str">
        <f aca="false">IF(IsPro,IF($D1243="","",IF(U1243="","UNKNOWN ITEM",IF(INDEX(Items!$O$5:$O$504,U1243)&lt;0,"NEG STOCK",IF(K1243&lt;INDEX(Items!$P$5:$P$504,U1243),"BELOW COST","OK")))),IF($D1243="","","PRO PLAN"))</f>
        <v/>
      </c>
      <c r="U1243" s="60" t="str">
        <f aca="false">IF(IsPro,IF($D1243="","",IFERROR(MATCH($D1243,Items!$A$5:$A$504,0),"")),"")</f>
        <v/>
      </c>
      <c r="V1243" s="60" t="str">
        <f aca="false">IF(IsPro,IF($C1243="","",IFERROR(MATCH($C1243,Parties!$A$5:$A$304,0),"")),"")</f>
        <v/>
      </c>
      <c r="W1243" s="60" t="str">
        <f aca="false">IF(IsPro,IF($B1243="","",IFERROR(VALUE(SUBSTITUTE($B1243,InvPrefix,"")),0)),"")</f>
        <v/>
      </c>
      <c r="X1243" s="61" t="str">
        <f aca="false">IF(IsPro,IF($D1243="","",IF(OR($H1243="",$H1243="Credit"),0,Q1243)),"")</f>
        <v/>
      </c>
    </row>
    <row r="1244" customFormat="false" ht="15" hidden="false" customHeight="false" outlineLevel="0" collapsed="false">
      <c r="A1244" s="55"/>
      <c r="B1244" s="56"/>
      <c r="C1244" s="56"/>
      <c r="D1244" s="56"/>
      <c r="E1244" s="57"/>
      <c r="F1244" s="58"/>
      <c r="G1244" s="59"/>
      <c r="H1244" s="56"/>
      <c r="I1244" s="56"/>
      <c r="J1244" s="60" t="str">
        <f aca="false">IF(IsPro,IF($D1244="","",IFERROR(INDEX(Items!$D$5:$D$504,U1244),"")),"")</f>
        <v/>
      </c>
      <c r="K1244" s="61" t="str">
        <f aca="false">IF(IsPro,IF($D1244="","",IF($F1244="",IFERROR(INDEX(Items!$H$5:$H$504,U1244),0),$F1244)),"")</f>
        <v/>
      </c>
      <c r="L1244" s="61" t="str">
        <f aca="false">IF(IsPro,IF($D1244="","",ROUND(N($E1244)*K1244*(1-N($G1244)),2)),"")</f>
        <v/>
      </c>
      <c r="M1244" s="62" t="str">
        <f aca="false">IF(IsPro,IF($D1244="","",IFERROR(INDEX(Items!$F$5:$F$504,U1244),0)),"")</f>
        <v/>
      </c>
      <c r="N1244" s="61" t="str">
        <f aca="false">IF(IsPro,IF($D1244="","",IF(AND(V1244&lt;&gt;"",INDEX(Parties!$E$5:$E$304,V1244)&lt;&gt;"",INDEX(Parties!$E$5:$E$304,V1244)&lt;&gt;HomeState),0,ROUND(L1244*M1244/2,2))),"")</f>
        <v/>
      </c>
      <c r="O1244" s="61" t="str">
        <f aca="false">IF(IsPro,IF($D1244="","",N1244),"")</f>
        <v/>
      </c>
      <c r="P1244" s="61" t="str">
        <f aca="false">IF(IsPro,IF($D1244="","",IF(AND(V1244&lt;&gt;"",INDEX(Parties!$E$5:$E$304,V1244)&lt;&gt;"",INDEX(Parties!$E$5:$E$304,V1244)&lt;&gt;HomeState),ROUND(L1244*M1244,2),0)),"")</f>
        <v/>
      </c>
      <c r="Q1244" s="61" t="str">
        <f aca="false">IF(IsPro,IF($D1244="","",L1244+N1244+O1244+P1244),"")</f>
        <v/>
      </c>
      <c r="R1244" s="61" t="str">
        <f aca="false">IF(IsPro,IF($D1244="","",ROUND(N($E1244)*IFERROR(INDEX(Items!$P$5:$P$504,U1244),0),2)),"")</f>
        <v/>
      </c>
      <c r="S1244" s="61" t="str">
        <f aca="false">IF(IsPro,IF($D1244="","",L1244-R1244),"")</f>
        <v/>
      </c>
      <c r="T1244" s="60" t="str">
        <f aca="false">IF(IsPro,IF($D1244="","",IF(U1244="","UNKNOWN ITEM",IF(INDEX(Items!$O$5:$O$504,U1244)&lt;0,"NEG STOCK",IF(K1244&lt;INDEX(Items!$P$5:$P$504,U1244),"BELOW COST","OK")))),IF($D1244="","","PRO PLAN"))</f>
        <v/>
      </c>
      <c r="U1244" s="60" t="str">
        <f aca="false">IF(IsPro,IF($D1244="","",IFERROR(MATCH($D1244,Items!$A$5:$A$504,0),"")),"")</f>
        <v/>
      </c>
      <c r="V1244" s="60" t="str">
        <f aca="false">IF(IsPro,IF($C1244="","",IFERROR(MATCH($C1244,Parties!$A$5:$A$304,0),"")),"")</f>
        <v/>
      </c>
      <c r="W1244" s="60" t="str">
        <f aca="false">IF(IsPro,IF($B1244="","",IFERROR(VALUE(SUBSTITUTE($B1244,InvPrefix,"")),0)),"")</f>
        <v/>
      </c>
      <c r="X1244" s="61" t="str">
        <f aca="false">IF(IsPro,IF($D1244="","",IF(OR($H1244="",$H1244="Credit"),0,Q1244)),"")</f>
        <v/>
      </c>
    </row>
    <row r="1245" customFormat="false" ht="15" hidden="false" customHeight="false" outlineLevel="0" collapsed="false">
      <c r="A1245" s="55"/>
      <c r="B1245" s="56"/>
      <c r="C1245" s="56"/>
      <c r="D1245" s="56"/>
      <c r="E1245" s="57"/>
      <c r="F1245" s="58"/>
      <c r="G1245" s="59"/>
      <c r="H1245" s="56"/>
      <c r="I1245" s="56"/>
      <c r="J1245" s="60" t="str">
        <f aca="false">IF(IsPro,IF($D1245="","",IFERROR(INDEX(Items!$D$5:$D$504,U1245),"")),"")</f>
        <v/>
      </c>
      <c r="K1245" s="61" t="str">
        <f aca="false">IF(IsPro,IF($D1245="","",IF($F1245="",IFERROR(INDEX(Items!$H$5:$H$504,U1245),0),$F1245)),"")</f>
        <v/>
      </c>
      <c r="L1245" s="61" t="str">
        <f aca="false">IF(IsPro,IF($D1245="","",ROUND(N($E1245)*K1245*(1-N($G1245)),2)),"")</f>
        <v/>
      </c>
      <c r="M1245" s="62" t="str">
        <f aca="false">IF(IsPro,IF($D1245="","",IFERROR(INDEX(Items!$F$5:$F$504,U1245),0)),"")</f>
        <v/>
      </c>
      <c r="N1245" s="61" t="str">
        <f aca="false">IF(IsPro,IF($D1245="","",IF(AND(V1245&lt;&gt;"",INDEX(Parties!$E$5:$E$304,V1245)&lt;&gt;"",INDEX(Parties!$E$5:$E$304,V1245)&lt;&gt;HomeState),0,ROUND(L1245*M1245/2,2))),"")</f>
        <v/>
      </c>
      <c r="O1245" s="61" t="str">
        <f aca="false">IF(IsPro,IF($D1245="","",N1245),"")</f>
        <v/>
      </c>
      <c r="P1245" s="61" t="str">
        <f aca="false">IF(IsPro,IF($D1245="","",IF(AND(V1245&lt;&gt;"",INDEX(Parties!$E$5:$E$304,V1245)&lt;&gt;"",INDEX(Parties!$E$5:$E$304,V1245)&lt;&gt;HomeState),ROUND(L1245*M1245,2),0)),"")</f>
        <v/>
      </c>
      <c r="Q1245" s="61" t="str">
        <f aca="false">IF(IsPro,IF($D1245="","",L1245+N1245+O1245+P1245),"")</f>
        <v/>
      </c>
      <c r="R1245" s="61" t="str">
        <f aca="false">IF(IsPro,IF($D1245="","",ROUND(N($E1245)*IFERROR(INDEX(Items!$P$5:$P$504,U1245),0),2)),"")</f>
        <v/>
      </c>
      <c r="S1245" s="61" t="str">
        <f aca="false">IF(IsPro,IF($D1245="","",L1245-R1245),"")</f>
        <v/>
      </c>
      <c r="T1245" s="60" t="str">
        <f aca="false">IF(IsPro,IF($D1245="","",IF(U1245="","UNKNOWN ITEM",IF(INDEX(Items!$O$5:$O$504,U1245)&lt;0,"NEG STOCK",IF(K1245&lt;INDEX(Items!$P$5:$P$504,U1245),"BELOW COST","OK")))),IF($D1245="","","PRO PLAN"))</f>
        <v/>
      </c>
      <c r="U1245" s="60" t="str">
        <f aca="false">IF(IsPro,IF($D1245="","",IFERROR(MATCH($D1245,Items!$A$5:$A$504,0),"")),"")</f>
        <v/>
      </c>
      <c r="V1245" s="60" t="str">
        <f aca="false">IF(IsPro,IF($C1245="","",IFERROR(MATCH($C1245,Parties!$A$5:$A$304,0),"")),"")</f>
        <v/>
      </c>
      <c r="W1245" s="60" t="str">
        <f aca="false">IF(IsPro,IF($B1245="","",IFERROR(VALUE(SUBSTITUTE($B1245,InvPrefix,"")),0)),"")</f>
        <v/>
      </c>
      <c r="X1245" s="61" t="str">
        <f aca="false">IF(IsPro,IF($D1245="","",IF(OR($H1245="",$H1245="Credit"),0,Q1245)),"")</f>
        <v/>
      </c>
    </row>
    <row r="1246" customFormat="false" ht="15" hidden="false" customHeight="false" outlineLevel="0" collapsed="false">
      <c r="A1246" s="55"/>
      <c r="B1246" s="56"/>
      <c r="C1246" s="56"/>
      <c r="D1246" s="56"/>
      <c r="E1246" s="57"/>
      <c r="F1246" s="58"/>
      <c r="G1246" s="59"/>
      <c r="H1246" s="56"/>
      <c r="I1246" s="56"/>
      <c r="J1246" s="60" t="str">
        <f aca="false">IF(IsPro,IF($D1246="","",IFERROR(INDEX(Items!$D$5:$D$504,U1246),"")),"")</f>
        <v/>
      </c>
      <c r="K1246" s="61" t="str">
        <f aca="false">IF(IsPro,IF($D1246="","",IF($F1246="",IFERROR(INDEX(Items!$H$5:$H$504,U1246),0),$F1246)),"")</f>
        <v/>
      </c>
      <c r="L1246" s="61" t="str">
        <f aca="false">IF(IsPro,IF($D1246="","",ROUND(N($E1246)*K1246*(1-N($G1246)),2)),"")</f>
        <v/>
      </c>
      <c r="M1246" s="62" t="str">
        <f aca="false">IF(IsPro,IF($D1246="","",IFERROR(INDEX(Items!$F$5:$F$504,U1246),0)),"")</f>
        <v/>
      </c>
      <c r="N1246" s="61" t="str">
        <f aca="false">IF(IsPro,IF($D1246="","",IF(AND(V1246&lt;&gt;"",INDEX(Parties!$E$5:$E$304,V1246)&lt;&gt;"",INDEX(Parties!$E$5:$E$304,V1246)&lt;&gt;HomeState),0,ROUND(L1246*M1246/2,2))),"")</f>
        <v/>
      </c>
      <c r="O1246" s="61" t="str">
        <f aca="false">IF(IsPro,IF($D1246="","",N1246),"")</f>
        <v/>
      </c>
      <c r="P1246" s="61" t="str">
        <f aca="false">IF(IsPro,IF($D1246="","",IF(AND(V1246&lt;&gt;"",INDEX(Parties!$E$5:$E$304,V1246)&lt;&gt;"",INDEX(Parties!$E$5:$E$304,V1246)&lt;&gt;HomeState),ROUND(L1246*M1246,2),0)),"")</f>
        <v/>
      </c>
      <c r="Q1246" s="61" t="str">
        <f aca="false">IF(IsPro,IF($D1246="","",L1246+N1246+O1246+P1246),"")</f>
        <v/>
      </c>
      <c r="R1246" s="61" t="str">
        <f aca="false">IF(IsPro,IF($D1246="","",ROUND(N($E1246)*IFERROR(INDEX(Items!$P$5:$P$504,U1246),0),2)),"")</f>
        <v/>
      </c>
      <c r="S1246" s="61" t="str">
        <f aca="false">IF(IsPro,IF($D1246="","",L1246-R1246),"")</f>
        <v/>
      </c>
      <c r="T1246" s="60" t="str">
        <f aca="false">IF(IsPro,IF($D1246="","",IF(U1246="","UNKNOWN ITEM",IF(INDEX(Items!$O$5:$O$504,U1246)&lt;0,"NEG STOCK",IF(K1246&lt;INDEX(Items!$P$5:$P$504,U1246),"BELOW COST","OK")))),IF($D1246="","","PRO PLAN"))</f>
        <v/>
      </c>
      <c r="U1246" s="60" t="str">
        <f aca="false">IF(IsPro,IF($D1246="","",IFERROR(MATCH($D1246,Items!$A$5:$A$504,0),"")),"")</f>
        <v/>
      </c>
      <c r="V1246" s="60" t="str">
        <f aca="false">IF(IsPro,IF($C1246="","",IFERROR(MATCH($C1246,Parties!$A$5:$A$304,0),"")),"")</f>
        <v/>
      </c>
      <c r="W1246" s="60" t="str">
        <f aca="false">IF(IsPro,IF($B1246="","",IFERROR(VALUE(SUBSTITUTE($B1246,InvPrefix,"")),0)),"")</f>
        <v/>
      </c>
      <c r="X1246" s="61" t="str">
        <f aca="false">IF(IsPro,IF($D1246="","",IF(OR($H1246="",$H1246="Credit"),0,Q1246)),"")</f>
        <v/>
      </c>
    </row>
    <row r="1247" customFormat="false" ht="15" hidden="false" customHeight="false" outlineLevel="0" collapsed="false">
      <c r="A1247" s="55"/>
      <c r="B1247" s="56"/>
      <c r="C1247" s="56"/>
      <c r="D1247" s="56"/>
      <c r="E1247" s="57"/>
      <c r="F1247" s="58"/>
      <c r="G1247" s="59"/>
      <c r="H1247" s="56"/>
      <c r="I1247" s="56"/>
      <c r="J1247" s="60" t="str">
        <f aca="false">IF(IsPro,IF($D1247="","",IFERROR(INDEX(Items!$D$5:$D$504,U1247),"")),"")</f>
        <v/>
      </c>
      <c r="K1247" s="61" t="str">
        <f aca="false">IF(IsPro,IF($D1247="","",IF($F1247="",IFERROR(INDEX(Items!$H$5:$H$504,U1247),0),$F1247)),"")</f>
        <v/>
      </c>
      <c r="L1247" s="61" t="str">
        <f aca="false">IF(IsPro,IF($D1247="","",ROUND(N($E1247)*K1247*(1-N($G1247)),2)),"")</f>
        <v/>
      </c>
      <c r="M1247" s="62" t="str">
        <f aca="false">IF(IsPro,IF($D1247="","",IFERROR(INDEX(Items!$F$5:$F$504,U1247),0)),"")</f>
        <v/>
      </c>
      <c r="N1247" s="61" t="str">
        <f aca="false">IF(IsPro,IF($D1247="","",IF(AND(V1247&lt;&gt;"",INDEX(Parties!$E$5:$E$304,V1247)&lt;&gt;"",INDEX(Parties!$E$5:$E$304,V1247)&lt;&gt;HomeState),0,ROUND(L1247*M1247/2,2))),"")</f>
        <v/>
      </c>
      <c r="O1247" s="61" t="str">
        <f aca="false">IF(IsPro,IF($D1247="","",N1247),"")</f>
        <v/>
      </c>
      <c r="P1247" s="61" t="str">
        <f aca="false">IF(IsPro,IF($D1247="","",IF(AND(V1247&lt;&gt;"",INDEX(Parties!$E$5:$E$304,V1247)&lt;&gt;"",INDEX(Parties!$E$5:$E$304,V1247)&lt;&gt;HomeState),ROUND(L1247*M1247,2),0)),"")</f>
        <v/>
      </c>
      <c r="Q1247" s="61" t="str">
        <f aca="false">IF(IsPro,IF($D1247="","",L1247+N1247+O1247+P1247),"")</f>
        <v/>
      </c>
      <c r="R1247" s="61" t="str">
        <f aca="false">IF(IsPro,IF($D1247="","",ROUND(N($E1247)*IFERROR(INDEX(Items!$P$5:$P$504,U1247),0),2)),"")</f>
        <v/>
      </c>
      <c r="S1247" s="61" t="str">
        <f aca="false">IF(IsPro,IF($D1247="","",L1247-R1247),"")</f>
        <v/>
      </c>
      <c r="T1247" s="60" t="str">
        <f aca="false">IF(IsPro,IF($D1247="","",IF(U1247="","UNKNOWN ITEM",IF(INDEX(Items!$O$5:$O$504,U1247)&lt;0,"NEG STOCK",IF(K1247&lt;INDEX(Items!$P$5:$P$504,U1247),"BELOW COST","OK")))),IF($D1247="","","PRO PLAN"))</f>
        <v/>
      </c>
      <c r="U1247" s="60" t="str">
        <f aca="false">IF(IsPro,IF($D1247="","",IFERROR(MATCH($D1247,Items!$A$5:$A$504,0),"")),"")</f>
        <v/>
      </c>
      <c r="V1247" s="60" t="str">
        <f aca="false">IF(IsPro,IF($C1247="","",IFERROR(MATCH($C1247,Parties!$A$5:$A$304,0),"")),"")</f>
        <v/>
      </c>
      <c r="W1247" s="60" t="str">
        <f aca="false">IF(IsPro,IF($B1247="","",IFERROR(VALUE(SUBSTITUTE($B1247,InvPrefix,"")),0)),"")</f>
        <v/>
      </c>
      <c r="X1247" s="61" t="str">
        <f aca="false">IF(IsPro,IF($D1247="","",IF(OR($H1247="",$H1247="Credit"),0,Q1247)),"")</f>
        <v/>
      </c>
    </row>
    <row r="1248" customFormat="false" ht="15" hidden="false" customHeight="false" outlineLevel="0" collapsed="false">
      <c r="A1248" s="55"/>
      <c r="B1248" s="56"/>
      <c r="C1248" s="56"/>
      <c r="D1248" s="56"/>
      <c r="E1248" s="57"/>
      <c r="F1248" s="58"/>
      <c r="G1248" s="59"/>
      <c r="H1248" s="56"/>
      <c r="I1248" s="56"/>
      <c r="J1248" s="60" t="str">
        <f aca="false">IF(IsPro,IF($D1248="","",IFERROR(INDEX(Items!$D$5:$D$504,U1248),"")),"")</f>
        <v/>
      </c>
      <c r="K1248" s="61" t="str">
        <f aca="false">IF(IsPro,IF($D1248="","",IF($F1248="",IFERROR(INDEX(Items!$H$5:$H$504,U1248),0),$F1248)),"")</f>
        <v/>
      </c>
      <c r="L1248" s="61" t="str">
        <f aca="false">IF(IsPro,IF($D1248="","",ROUND(N($E1248)*K1248*(1-N($G1248)),2)),"")</f>
        <v/>
      </c>
      <c r="M1248" s="62" t="str">
        <f aca="false">IF(IsPro,IF($D1248="","",IFERROR(INDEX(Items!$F$5:$F$504,U1248),0)),"")</f>
        <v/>
      </c>
      <c r="N1248" s="61" t="str">
        <f aca="false">IF(IsPro,IF($D1248="","",IF(AND(V1248&lt;&gt;"",INDEX(Parties!$E$5:$E$304,V1248)&lt;&gt;"",INDEX(Parties!$E$5:$E$304,V1248)&lt;&gt;HomeState),0,ROUND(L1248*M1248/2,2))),"")</f>
        <v/>
      </c>
      <c r="O1248" s="61" t="str">
        <f aca="false">IF(IsPro,IF($D1248="","",N1248),"")</f>
        <v/>
      </c>
      <c r="P1248" s="61" t="str">
        <f aca="false">IF(IsPro,IF($D1248="","",IF(AND(V1248&lt;&gt;"",INDEX(Parties!$E$5:$E$304,V1248)&lt;&gt;"",INDEX(Parties!$E$5:$E$304,V1248)&lt;&gt;HomeState),ROUND(L1248*M1248,2),0)),"")</f>
        <v/>
      </c>
      <c r="Q1248" s="61" t="str">
        <f aca="false">IF(IsPro,IF($D1248="","",L1248+N1248+O1248+P1248),"")</f>
        <v/>
      </c>
      <c r="R1248" s="61" t="str">
        <f aca="false">IF(IsPro,IF($D1248="","",ROUND(N($E1248)*IFERROR(INDEX(Items!$P$5:$P$504,U1248),0),2)),"")</f>
        <v/>
      </c>
      <c r="S1248" s="61" t="str">
        <f aca="false">IF(IsPro,IF($D1248="","",L1248-R1248),"")</f>
        <v/>
      </c>
      <c r="T1248" s="60" t="str">
        <f aca="false">IF(IsPro,IF($D1248="","",IF(U1248="","UNKNOWN ITEM",IF(INDEX(Items!$O$5:$O$504,U1248)&lt;0,"NEG STOCK",IF(K1248&lt;INDEX(Items!$P$5:$P$504,U1248),"BELOW COST","OK")))),IF($D1248="","","PRO PLAN"))</f>
        <v/>
      </c>
      <c r="U1248" s="60" t="str">
        <f aca="false">IF(IsPro,IF($D1248="","",IFERROR(MATCH($D1248,Items!$A$5:$A$504,0),"")),"")</f>
        <v/>
      </c>
      <c r="V1248" s="60" t="str">
        <f aca="false">IF(IsPro,IF($C1248="","",IFERROR(MATCH($C1248,Parties!$A$5:$A$304,0),"")),"")</f>
        <v/>
      </c>
      <c r="W1248" s="60" t="str">
        <f aca="false">IF(IsPro,IF($B1248="","",IFERROR(VALUE(SUBSTITUTE($B1248,InvPrefix,"")),0)),"")</f>
        <v/>
      </c>
      <c r="X1248" s="61" t="str">
        <f aca="false">IF(IsPro,IF($D1248="","",IF(OR($H1248="",$H1248="Credit"),0,Q1248)),"")</f>
        <v/>
      </c>
    </row>
    <row r="1249" customFormat="false" ht="15" hidden="false" customHeight="false" outlineLevel="0" collapsed="false">
      <c r="A1249" s="55"/>
      <c r="B1249" s="56"/>
      <c r="C1249" s="56"/>
      <c r="D1249" s="56"/>
      <c r="E1249" s="57"/>
      <c r="F1249" s="58"/>
      <c r="G1249" s="59"/>
      <c r="H1249" s="56"/>
      <c r="I1249" s="56"/>
      <c r="J1249" s="60" t="str">
        <f aca="false">IF(IsPro,IF($D1249="","",IFERROR(INDEX(Items!$D$5:$D$504,U1249),"")),"")</f>
        <v/>
      </c>
      <c r="K1249" s="61" t="str">
        <f aca="false">IF(IsPro,IF($D1249="","",IF($F1249="",IFERROR(INDEX(Items!$H$5:$H$504,U1249),0),$F1249)),"")</f>
        <v/>
      </c>
      <c r="L1249" s="61" t="str">
        <f aca="false">IF(IsPro,IF($D1249="","",ROUND(N($E1249)*K1249*(1-N($G1249)),2)),"")</f>
        <v/>
      </c>
      <c r="M1249" s="62" t="str">
        <f aca="false">IF(IsPro,IF($D1249="","",IFERROR(INDEX(Items!$F$5:$F$504,U1249),0)),"")</f>
        <v/>
      </c>
      <c r="N1249" s="61" t="str">
        <f aca="false">IF(IsPro,IF($D1249="","",IF(AND(V1249&lt;&gt;"",INDEX(Parties!$E$5:$E$304,V1249)&lt;&gt;"",INDEX(Parties!$E$5:$E$304,V1249)&lt;&gt;HomeState),0,ROUND(L1249*M1249/2,2))),"")</f>
        <v/>
      </c>
      <c r="O1249" s="61" t="str">
        <f aca="false">IF(IsPro,IF($D1249="","",N1249),"")</f>
        <v/>
      </c>
      <c r="P1249" s="61" t="str">
        <f aca="false">IF(IsPro,IF($D1249="","",IF(AND(V1249&lt;&gt;"",INDEX(Parties!$E$5:$E$304,V1249)&lt;&gt;"",INDEX(Parties!$E$5:$E$304,V1249)&lt;&gt;HomeState),ROUND(L1249*M1249,2),0)),"")</f>
        <v/>
      </c>
      <c r="Q1249" s="61" t="str">
        <f aca="false">IF(IsPro,IF($D1249="","",L1249+N1249+O1249+P1249),"")</f>
        <v/>
      </c>
      <c r="R1249" s="61" t="str">
        <f aca="false">IF(IsPro,IF($D1249="","",ROUND(N($E1249)*IFERROR(INDEX(Items!$P$5:$P$504,U1249),0),2)),"")</f>
        <v/>
      </c>
      <c r="S1249" s="61" t="str">
        <f aca="false">IF(IsPro,IF($D1249="","",L1249-R1249),"")</f>
        <v/>
      </c>
      <c r="T1249" s="60" t="str">
        <f aca="false">IF(IsPro,IF($D1249="","",IF(U1249="","UNKNOWN ITEM",IF(INDEX(Items!$O$5:$O$504,U1249)&lt;0,"NEG STOCK",IF(K1249&lt;INDEX(Items!$P$5:$P$504,U1249),"BELOW COST","OK")))),IF($D1249="","","PRO PLAN"))</f>
        <v/>
      </c>
      <c r="U1249" s="60" t="str">
        <f aca="false">IF(IsPro,IF($D1249="","",IFERROR(MATCH($D1249,Items!$A$5:$A$504,0),"")),"")</f>
        <v/>
      </c>
      <c r="V1249" s="60" t="str">
        <f aca="false">IF(IsPro,IF($C1249="","",IFERROR(MATCH($C1249,Parties!$A$5:$A$304,0),"")),"")</f>
        <v/>
      </c>
      <c r="W1249" s="60" t="str">
        <f aca="false">IF(IsPro,IF($B1249="","",IFERROR(VALUE(SUBSTITUTE($B1249,InvPrefix,"")),0)),"")</f>
        <v/>
      </c>
      <c r="X1249" s="61" t="str">
        <f aca="false">IF(IsPro,IF($D1249="","",IF(OR($H1249="",$H1249="Credit"),0,Q1249)),"")</f>
        <v/>
      </c>
    </row>
    <row r="1250" customFormat="false" ht="15" hidden="false" customHeight="false" outlineLevel="0" collapsed="false">
      <c r="A1250" s="55"/>
      <c r="B1250" s="56"/>
      <c r="C1250" s="56"/>
      <c r="D1250" s="56"/>
      <c r="E1250" s="57"/>
      <c r="F1250" s="58"/>
      <c r="G1250" s="59"/>
      <c r="H1250" s="56"/>
      <c r="I1250" s="56"/>
      <c r="J1250" s="60" t="str">
        <f aca="false">IF(IsPro,IF($D1250="","",IFERROR(INDEX(Items!$D$5:$D$504,U1250),"")),"")</f>
        <v/>
      </c>
      <c r="K1250" s="61" t="str">
        <f aca="false">IF(IsPro,IF($D1250="","",IF($F1250="",IFERROR(INDEX(Items!$H$5:$H$504,U1250),0),$F1250)),"")</f>
        <v/>
      </c>
      <c r="L1250" s="61" t="str">
        <f aca="false">IF(IsPro,IF($D1250="","",ROUND(N($E1250)*K1250*(1-N($G1250)),2)),"")</f>
        <v/>
      </c>
      <c r="M1250" s="62" t="str">
        <f aca="false">IF(IsPro,IF($D1250="","",IFERROR(INDEX(Items!$F$5:$F$504,U1250),0)),"")</f>
        <v/>
      </c>
      <c r="N1250" s="61" t="str">
        <f aca="false">IF(IsPro,IF($D1250="","",IF(AND(V1250&lt;&gt;"",INDEX(Parties!$E$5:$E$304,V1250)&lt;&gt;"",INDEX(Parties!$E$5:$E$304,V1250)&lt;&gt;HomeState),0,ROUND(L1250*M1250/2,2))),"")</f>
        <v/>
      </c>
      <c r="O1250" s="61" t="str">
        <f aca="false">IF(IsPro,IF($D1250="","",N1250),"")</f>
        <v/>
      </c>
      <c r="P1250" s="61" t="str">
        <f aca="false">IF(IsPro,IF($D1250="","",IF(AND(V1250&lt;&gt;"",INDEX(Parties!$E$5:$E$304,V1250)&lt;&gt;"",INDEX(Parties!$E$5:$E$304,V1250)&lt;&gt;HomeState),ROUND(L1250*M1250,2),0)),"")</f>
        <v/>
      </c>
      <c r="Q1250" s="61" t="str">
        <f aca="false">IF(IsPro,IF($D1250="","",L1250+N1250+O1250+P1250),"")</f>
        <v/>
      </c>
      <c r="R1250" s="61" t="str">
        <f aca="false">IF(IsPro,IF($D1250="","",ROUND(N($E1250)*IFERROR(INDEX(Items!$P$5:$P$504,U1250),0),2)),"")</f>
        <v/>
      </c>
      <c r="S1250" s="61" t="str">
        <f aca="false">IF(IsPro,IF($D1250="","",L1250-R1250),"")</f>
        <v/>
      </c>
      <c r="T1250" s="60" t="str">
        <f aca="false">IF(IsPro,IF($D1250="","",IF(U1250="","UNKNOWN ITEM",IF(INDEX(Items!$O$5:$O$504,U1250)&lt;0,"NEG STOCK",IF(K1250&lt;INDEX(Items!$P$5:$P$504,U1250),"BELOW COST","OK")))),IF($D1250="","","PRO PLAN"))</f>
        <v/>
      </c>
      <c r="U1250" s="60" t="str">
        <f aca="false">IF(IsPro,IF($D1250="","",IFERROR(MATCH($D1250,Items!$A$5:$A$504,0),"")),"")</f>
        <v/>
      </c>
      <c r="V1250" s="60" t="str">
        <f aca="false">IF(IsPro,IF($C1250="","",IFERROR(MATCH($C1250,Parties!$A$5:$A$304,0),"")),"")</f>
        <v/>
      </c>
      <c r="W1250" s="60" t="str">
        <f aca="false">IF(IsPro,IF($B1250="","",IFERROR(VALUE(SUBSTITUTE($B1250,InvPrefix,"")),0)),"")</f>
        <v/>
      </c>
      <c r="X1250" s="61" t="str">
        <f aca="false">IF(IsPro,IF($D1250="","",IF(OR($H1250="",$H1250="Credit"),0,Q1250)),"")</f>
        <v/>
      </c>
    </row>
    <row r="1251" customFormat="false" ht="15" hidden="false" customHeight="false" outlineLevel="0" collapsed="false">
      <c r="A1251" s="55"/>
      <c r="B1251" s="56"/>
      <c r="C1251" s="56"/>
      <c r="D1251" s="56"/>
      <c r="E1251" s="57"/>
      <c r="F1251" s="58"/>
      <c r="G1251" s="59"/>
      <c r="H1251" s="56"/>
      <c r="I1251" s="56"/>
      <c r="J1251" s="60" t="str">
        <f aca="false">IF(IsPro,IF($D1251="","",IFERROR(INDEX(Items!$D$5:$D$504,U1251),"")),"")</f>
        <v/>
      </c>
      <c r="K1251" s="61" t="str">
        <f aca="false">IF(IsPro,IF($D1251="","",IF($F1251="",IFERROR(INDEX(Items!$H$5:$H$504,U1251),0),$F1251)),"")</f>
        <v/>
      </c>
      <c r="L1251" s="61" t="str">
        <f aca="false">IF(IsPro,IF($D1251="","",ROUND(N($E1251)*K1251*(1-N($G1251)),2)),"")</f>
        <v/>
      </c>
      <c r="M1251" s="62" t="str">
        <f aca="false">IF(IsPro,IF($D1251="","",IFERROR(INDEX(Items!$F$5:$F$504,U1251),0)),"")</f>
        <v/>
      </c>
      <c r="N1251" s="61" t="str">
        <f aca="false">IF(IsPro,IF($D1251="","",IF(AND(V1251&lt;&gt;"",INDEX(Parties!$E$5:$E$304,V1251)&lt;&gt;"",INDEX(Parties!$E$5:$E$304,V1251)&lt;&gt;HomeState),0,ROUND(L1251*M1251/2,2))),"")</f>
        <v/>
      </c>
      <c r="O1251" s="61" t="str">
        <f aca="false">IF(IsPro,IF($D1251="","",N1251),"")</f>
        <v/>
      </c>
      <c r="P1251" s="61" t="str">
        <f aca="false">IF(IsPro,IF($D1251="","",IF(AND(V1251&lt;&gt;"",INDEX(Parties!$E$5:$E$304,V1251)&lt;&gt;"",INDEX(Parties!$E$5:$E$304,V1251)&lt;&gt;HomeState),ROUND(L1251*M1251,2),0)),"")</f>
        <v/>
      </c>
      <c r="Q1251" s="61" t="str">
        <f aca="false">IF(IsPro,IF($D1251="","",L1251+N1251+O1251+P1251),"")</f>
        <v/>
      </c>
      <c r="R1251" s="61" t="str">
        <f aca="false">IF(IsPro,IF($D1251="","",ROUND(N($E1251)*IFERROR(INDEX(Items!$P$5:$P$504,U1251),0),2)),"")</f>
        <v/>
      </c>
      <c r="S1251" s="61" t="str">
        <f aca="false">IF(IsPro,IF($D1251="","",L1251-R1251),"")</f>
        <v/>
      </c>
      <c r="T1251" s="60" t="str">
        <f aca="false">IF(IsPro,IF($D1251="","",IF(U1251="","UNKNOWN ITEM",IF(INDEX(Items!$O$5:$O$504,U1251)&lt;0,"NEG STOCK",IF(K1251&lt;INDEX(Items!$P$5:$P$504,U1251),"BELOW COST","OK")))),IF($D1251="","","PRO PLAN"))</f>
        <v/>
      </c>
      <c r="U1251" s="60" t="str">
        <f aca="false">IF(IsPro,IF($D1251="","",IFERROR(MATCH($D1251,Items!$A$5:$A$504,0),"")),"")</f>
        <v/>
      </c>
      <c r="V1251" s="60" t="str">
        <f aca="false">IF(IsPro,IF($C1251="","",IFERROR(MATCH($C1251,Parties!$A$5:$A$304,0),"")),"")</f>
        <v/>
      </c>
      <c r="W1251" s="60" t="str">
        <f aca="false">IF(IsPro,IF($B1251="","",IFERROR(VALUE(SUBSTITUTE($B1251,InvPrefix,"")),0)),"")</f>
        <v/>
      </c>
      <c r="X1251" s="61" t="str">
        <f aca="false">IF(IsPro,IF($D1251="","",IF(OR($H1251="",$H1251="Credit"),0,Q1251)),"")</f>
        <v/>
      </c>
    </row>
    <row r="1252" customFormat="false" ht="15" hidden="false" customHeight="false" outlineLevel="0" collapsed="false">
      <c r="A1252" s="55"/>
      <c r="B1252" s="56"/>
      <c r="C1252" s="56"/>
      <c r="D1252" s="56"/>
      <c r="E1252" s="57"/>
      <c r="F1252" s="58"/>
      <c r="G1252" s="59"/>
      <c r="H1252" s="56"/>
      <c r="I1252" s="56"/>
      <c r="J1252" s="60" t="str">
        <f aca="false">IF(IsPro,IF($D1252="","",IFERROR(INDEX(Items!$D$5:$D$504,U1252),"")),"")</f>
        <v/>
      </c>
      <c r="K1252" s="61" t="str">
        <f aca="false">IF(IsPro,IF($D1252="","",IF($F1252="",IFERROR(INDEX(Items!$H$5:$H$504,U1252),0),$F1252)),"")</f>
        <v/>
      </c>
      <c r="L1252" s="61" t="str">
        <f aca="false">IF(IsPro,IF($D1252="","",ROUND(N($E1252)*K1252*(1-N($G1252)),2)),"")</f>
        <v/>
      </c>
      <c r="M1252" s="62" t="str">
        <f aca="false">IF(IsPro,IF($D1252="","",IFERROR(INDEX(Items!$F$5:$F$504,U1252),0)),"")</f>
        <v/>
      </c>
      <c r="N1252" s="61" t="str">
        <f aca="false">IF(IsPro,IF($D1252="","",IF(AND(V1252&lt;&gt;"",INDEX(Parties!$E$5:$E$304,V1252)&lt;&gt;"",INDEX(Parties!$E$5:$E$304,V1252)&lt;&gt;HomeState),0,ROUND(L1252*M1252/2,2))),"")</f>
        <v/>
      </c>
      <c r="O1252" s="61" t="str">
        <f aca="false">IF(IsPro,IF($D1252="","",N1252),"")</f>
        <v/>
      </c>
      <c r="P1252" s="61" t="str">
        <f aca="false">IF(IsPro,IF($D1252="","",IF(AND(V1252&lt;&gt;"",INDEX(Parties!$E$5:$E$304,V1252)&lt;&gt;"",INDEX(Parties!$E$5:$E$304,V1252)&lt;&gt;HomeState),ROUND(L1252*M1252,2),0)),"")</f>
        <v/>
      </c>
      <c r="Q1252" s="61" t="str">
        <f aca="false">IF(IsPro,IF($D1252="","",L1252+N1252+O1252+P1252),"")</f>
        <v/>
      </c>
      <c r="R1252" s="61" t="str">
        <f aca="false">IF(IsPro,IF($D1252="","",ROUND(N($E1252)*IFERROR(INDEX(Items!$P$5:$P$504,U1252),0),2)),"")</f>
        <v/>
      </c>
      <c r="S1252" s="61" t="str">
        <f aca="false">IF(IsPro,IF($D1252="","",L1252-R1252),"")</f>
        <v/>
      </c>
      <c r="T1252" s="60" t="str">
        <f aca="false">IF(IsPro,IF($D1252="","",IF(U1252="","UNKNOWN ITEM",IF(INDEX(Items!$O$5:$O$504,U1252)&lt;0,"NEG STOCK",IF(K1252&lt;INDEX(Items!$P$5:$P$504,U1252),"BELOW COST","OK")))),IF($D1252="","","PRO PLAN"))</f>
        <v/>
      </c>
      <c r="U1252" s="60" t="str">
        <f aca="false">IF(IsPro,IF($D1252="","",IFERROR(MATCH($D1252,Items!$A$5:$A$504,0),"")),"")</f>
        <v/>
      </c>
      <c r="V1252" s="60" t="str">
        <f aca="false">IF(IsPro,IF($C1252="","",IFERROR(MATCH($C1252,Parties!$A$5:$A$304,0),"")),"")</f>
        <v/>
      </c>
      <c r="W1252" s="60" t="str">
        <f aca="false">IF(IsPro,IF($B1252="","",IFERROR(VALUE(SUBSTITUTE($B1252,InvPrefix,"")),0)),"")</f>
        <v/>
      </c>
      <c r="X1252" s="61" t="str">
        <f aca="false">IF(IsPro,IF($D1252="","",IF(OR($H1252="",$H1252="Credit"),0,Q1252)),"")</f>
        <v/>
      </c>
    </row>
    <row r="1253" customFormat="false" ht="15" hidden="false" customHeight="false" outlineLevel="0" collapsed="false">
      <c r="A1253" s="55"/>
      <c r="B1253" s="56"/>
      <c r="C1253" s="56"/>
      <c r="D1253" s="56"/>
      <c r="E1253" s="57"/>
      <c r="F1253" s="58"/>
      <c r="G1253" s="59"/>
      <c r="H1253" s="56"/>
      <c r="I1253" s="56"/>
      <c r="J1253" s="60" t="str">
        <f aca="false">IF(IsPro,IF($D1253="","",IFERROR(INDEX(Items!$D$5:$D$504,U1253),"")),"")</f>
        <v/>
      </c>
      <c r="K1253" s="61" t="str">
        <f aca="false">IF(IsPro,IF($D1253="","",IF($F1253="",IFERROR(INDEX(Items!$H$5:$H$504,U1253),0),$F1253)),"")</f>
        <v/>
      </c>
      <c r="L1253" s="61" t="str">
        <f aca="false">IF(IsPro,IF($D1253="","",ROUND(N($E1253)*K1253*(1-N($G1253)),2)),"")</f>
        <v/>
      </c>
      <c r="M1253" s="62" t="str">
        <f aca="false">IF(IsPro,IF($D1253="","",IFERROR(INDEX(Items!$F$5:$F$504,U1253),0)),"")</f>
        <v/>
      </c>
      <c r="N1253" s="61" t="str">
        <f aca="false">IF(IsPro,IF($D1253="","",IF(AND(V1253&lt;&gt;"",INDEX(Parties!$E$5:$E$304,V1253)&lt;&gt;"",INDEX(Parties!$E$5:$E$304,V1253)&lt;&gt;HomeState),0,ROUND(L1253*M1253/2,2))),"")</f>
        <v/>
      </c>
      <c r="O1253" s="61" t="str">
        <f aca="false">IF(IsPro,IF($D1253="","",N1253),"")</f>
        <v/>
      </c>
      <c r="P1253" s="61" t="str">
        <f aca="false">IF(IsPro,IF($D1253="","",IF(AND(V1253&lt;&gt;"",INDEX(Parties!$E$5:$E$304,V1253)&lt;&gt;"",INDEX(Parties!$E$5:$E$304,V1253)&lt;&gt;HomeState),ROUND(L1253*M1253,2),0)),"")</f>
        <v/>
      </c>
      <c r="Q1253" s="61" t="str">
        <f aca="false">IF(IsPro,IF($D1253="","",L1253+N1253+O1253+P1253),"")</f>
        <v/>
      </c>
      <c r="R1253" s="61" t="str">
        <f aca="false">IF(IsPro,IF($D1253="","",ROUND(N($E1253)*IFERROR(INDEX(Items!$P$5:$P$504,U1253),0),2)),"")</f>
        <v/>
      </c>
      <c r="S1253" s="61" t="str">
        <f aca="false">IF(IsPro,IF($D1253="","",L1253-R1253),"")</f>
        <v/>
      </c>
      <c r="T1253" s="60" t="str">
        <f aca="false">IF(IsPro,IF($D1253="","",IF(U1253="","UNKNOWN ITEM",IF(INDEX(Items!$O$5:$O$504,U1253)&lt;0,"NEG STOCK",IF(K1253&lt;INDEX(Items!$P$5:$P$504,U1253),"BELOW COST","OK")))),IF($D1253="","","PRO PLAN"))</f>
        <v/>
      </c>
      <c r="U1253" s="60" t="str">
        <f aca="false">IF(IsPro,IF($D1253="","",IFERROR(MATCH($D1253,Items!$A$5:$A$504,0),"")),"")</f>
        <v/>
      </c>
      <c r="V1253" s="60" t="str">
        <f aca="false">IF(IsPro,IF($C1253="","",IFERROR(MATCH($C1253,Parties!$A$5:$A$304,0),"")),"")</f>
        <v/>
      </c>
      <c r="W1253" s="60" t="str">
        <f aca="false">IF(IsPro,IF($B1253="","",IFERROR(VALUE(SUBSTITUTE($B1253,InvPrefix,"")),0)),"")</f>
        <v/>
      </c>
      <c r="X1253" s="61" t="str">
        <f aca="false">IF(IsPro,IF($D1253="","",IF(OR($H1253="",$H1253="Credit"),0,Q1253)),"")</f>
        <v/>
      </c>
    </row>
    <row r="1254" customFormat="false" ht="15" hidden="false" customHeight="false" outlineLevel="0" collapsed="false">
      <c r="A1254" s="55"/>
      <c r="B1254" s="56"/>
      <c r="C1254" s="56"/>
      <c r="D1254" s="56"/>
      <c r="E1254" s="57"/>
      <c r="F1254" s="58"/>
      <c r="G1254" s="59"/>
      <c r="H1254" s="56"/>
      <c r="I1254" s="56"/>
      <c r="J1254" s="60" t="str">
        <f aca="false">IF(IsPro,IF($D1254="","",IFERROR(INDEX(Items!$D$5:$D$504,U1254),"")),"")</f>
        <v/>
      </c>
      <c r="K1254" s="61" t="str">
        <f aca="false">IF(IsPro,IF($D1254="","",IF($F1254="",IFERROR(INDEX(Items!$H$5:$H$504,U1254),0),$F1254)),"")</f>
        <v/>
      </c>
      <c r="L1254" s="61" t="str">
        <f aca="false">IF(IsPro,IF($D1254="","",ROUND(N($E1254)*K1254*(1-N($G1254)),2)),"")</f>
        <v/>
      </c>
      <c r="M1254" s="62" t="str">
        <f aca="false">IF(IsPro,IF($D1254="","",IFERROR(INDEX(Items!$F$5:$F$504,U1254),0)),"")</f>
        <v/>
      </c>
      <c r="N1254" s="61" t="str">
        <f aca="false">IF(IsPro,IF($D1254="","",IF(AND(V1254&lt;&gt;"",INDEX(Parties!$E$5:$E$304,V1254)&lt;&gt;"",INDEX(Parties!$E$5:$E$304,V1254)&lt;&gt;HomeState),0,ROUND(L1254*M1254/2,2))),"")</f>
        <v/>
      </c>
      <c r="O1254" s="61" t="str">
        <f aca="false">IF(IsPro,IF($D1254="","",N1254),"")</f>
        <v/>
      </c>
      <c r="P1254" s="61" t="str">
        <f aca="false">IF(IsPro,IF($D1254="","",IF(AND(V1254&lt;&gt;"",INDEX(Parties!$E$5:$E$304,V1254)&lt;&gt;"",INDEX(Parties!$E$5:$E$304,V1254)&lt;&gt;HomeState),ROUND(L1254*M1254,2),0)),"")</f>
        <v/>
      </c>
      <c r="Q1254" s="61" t="str">
        <f aca="false">IF(IsPro,IF($D1254="","",L1254+N1254+O1254+P1254),"")</f>
        <v/>
      </c>
      <c r="R1254" s="61" t="str">
        <f aca="false">IF(IsPro,IF($D1254="","",ROUND(N($E1254)*IFERROR(INDEX(Items!$P$5:$P$504,U1254),0),2)),"")</f>
        <v/>
      </c>
      <c r="S1254" s="61" t="str">
        <f aca="false">IF(IsPro,IF($D1254="","",L1254-R1254),"")</f>
        <v/>
      </c>
      <c r="T1254" s="60" t="str">
        <f aca="false">IF(IsPro,IF($D1254="","",IF(U1254="","UNKNOWN ITEM",IF(INDEX(Items!$O$5:$O$504,U1254)&lt;0,"NEG STOCK",IF(K1254&lt;INDEX(Items!$P$5:$P$504,U1254),"BELOW COST","OK")))),IF($D1254="","","PRO PLAN"))</f>
        <v/>
      </c>
      <c r="U1254" s="60" t="str">
        <f aca="false">IF(IsPro,IF($D1254="","",IFERROR(MATCH($D1254,Items!$A$5:$A$504,0),"")),"")</f>
        <v/>
      </c>
      <c r="V1254" s="60" t="str">
        <f aca="false">IF(IsPro,IF($C1254="","",IFERROR(MATCH($C1254,Parties!$A$5:$A$304,0),"")),"")</f>
        <v/>
      </c>
      <c r="W1254" s="60" t="str">
        <f aca="false">IF(IsPro,IF($B1254="","",IFERROR(VALUE(SUBSTITUTE($B1254,InvPrefix,"")),0)),"")</f>
        <v/>
      </c>
      <c r="X1254" s="61" t="str">
        <f aca="false">IF(IsPro,IF($D1254="","",IF(OR($H1254="",$H1254="Credit"),0,Q1254)),"")</f>
        <v/>
      </c>
    </row>
    <row r="1255" customFormat="false" ht="15" hidden="false" customHeight="false" outlineLevel="0" collapsed="false">
      <c r="A1255" s="55"/>
      <c r="B1255" s="56"/>
      <c r="C1255" s="56"/>
      <c r="D1255" s="56"/>
      <c r="E1255" s="57"/>
      <c r="F1255" s="58"/>
      <c r="G1255" s="59"/>
      <c r="H1255" s="56"/>
      <c r="I1255" s="56"/>
      <c r="J1255" s="60" t="str">
        <f aca="false">IF(IsPro,IF($D1255="","",IFERROR(INDEX(Items!$D$5:$D$504,U1255),"")),"")</f>
        <v/>
      </c>
      <c r="K1255" s="61" t="str">
        <f aca="false">IF(IsPro,IF($D1255="","",IF($F1255="",IFERROR(INDEX(Items!$H$5:$H$504,U1255),0),$F1255)),"")</f>
        <v/>
      </c>
      <c r="L1255" s="61" t="str">
        <f aca="false">IF(IsPro,IF($D1255="","",ROUND(N($E1255)*K1255*(1-N($G1255)),2)),"")</f>
        <v/>
      </c>
      <c r="M1255" s="62" t="str">
        <f aca="false">IF(IsPro,IF($D1255="","",IFERROR(INDEX(Items!$F$5:$F$504,U1255),0)),"")</f>
        <v/>
      </c>
      <c r="N1255" s="61" t="str">
        <f aca="false">IF(IsPro,IF($D1255="","",IF(AND(V1255&lt;&gt;"",INDEX(Parties!$E$5:$E$304,V1255)&lt;&gt;"",INDEX(Parties!$E$5:$E$304,V1255)&lt;&gt;HomeState),0,ROUND(L1255*M1255/2,2))),"")</f>
        <v/>
      </c>
      <c r="O1255" s="61" t="str">
        <f aca="false">IF(IsPro,IF($D1255="","",N1255),"")</f>
        <v/>
      </c>
      <c r="P1255" s="61" t="str">
        <f aca="false">IF(IsPro,IF($D1255="","",IF(AND(V1255&lt;&gt;"",INDEX(Parties!$E$5:$E$304,V1255)&lt;&gt;"",INDEX(Parties!$E$5:$E$304,V1255)&lt;&gt;HomeState),ROUND(L1255*M1255,2),0)),"")</f>
        <v/>
      </c>
      <c r="Q1255" s="61" t="str">
        <f aca="false">IF(IsPro,IF($D1255="","",L1255+N1255+O1255+P1255),"")</f>
        <v/>
      </c>
      <c r="R1255" s="61" t="str">
        <f aca="false">IF(IsPro,IF($D1255="","",ROUND(N($E1255)*IFERROR(INDEX(Items!$P$5:$P$504,U1255),0),2)),"")</f>
        <v/>
      </c>
      <c r="S1255" s="61" t="str">
        <f aca="false">IF(IsPro,IF($D1255="","",L1255-R1255),"")</f>
        <v/>
      </c>
      <c r="T1255" s="60" t="str">
        <f aca="false">IF(IsPro,IF($D1255="","",IF(U1255="","UNKNOWN ITEM",IF(INDEX(Items!$O$5:$O$504,U1255)&lt;0,"NEG STOCK",IF(K1255&lt;INDEX(Items!$P$5:$P$504,U1255),"BELOW COST","OK")))),IF($D1255="","","PRO PLAN"))</f>
        <v/>
      </c>
      <c r="U1255" s="60" t="str">
        <f aca="false">IF(IsPro,IF($D1255="","",IFERROR(MATCH($D1255,Items!$A$5:$A$504,0),"")),"")</f>
        <v/>
      </c>
      <c r="V1255" s="60" t="str">
        <f aca="false">IF(IsPro,IF($C1255="","",IFERROR(MATCH($C1255,Parties!$A$5:$A$304,0),"")),"")</f>
        <v/>
      </c>
      <c r="W1255" s="60" t="str">
        <f aca="false">IF(IsPro,IF($B1255="","",IFERROR(VALUE(SUBSTITUTE($B1255,InvPrefix,"")),0)),"")</f>
        <v/>
      </c>
      <c r="X1255" s="61" t="str">
        <f aca="false">IF(IsPro,IF($D1255="","",IF(OR($H1255="",$H1255="Credit"),0,Q1255)),"")</f>
        <v/>
      </c>
    </row>
    <row r="1256" customFormat="false" ht="15" hidden="false" customHeight="false" outlineLevel="0" collapsed="false">
      <c r="A1256" s="55"/>
      <c r="B1256" s="56"/>
      <c r="C1256" s="56"/>
      <c r="D1256" s="56"/>
      <c r="E1256" s="57"/>
      <c r="F1256" s="58"/>
      <c r="G1256" s="59"/>
      <c r="H1256" s="56"/>
      <c r="I1256" s="56"/>
      <c r="J1256" s="60" t="str">
        <f aca="false">IF(IsPro,IF($D1256="","",IFERROR(INDEX(Items!$D$5:$D$504,U1256),"")),"")</f>
        <v/>
      </c>
      <c r="K1256" s="61" t="str">
        <f aca="false">IF(IsPro,IF($D1256="","",IF($F1256="",IFERROR(INDEX(Items!$H$5:$H$504,U1256),0),$F1256)),"")</f>
        <v/>
      </c>
      <c r="L1256" s="61" t="str">
        <f aca="false">IF(IsPro,IF($D1256="","",ROUND(N($E1256)*K1256*(1-N($G1256)),2)),"")</f>
        <v/>
      </c>
      <c r="M1256" s="62" t="str">
        <f aca="false">IF(IsPro,IF($D1256="","",IFERROR(INDEX(Items!$F$5:$F$504,U1256),0)),"")</f>
        <v/>
      </c>
      <c r="N1256" s="61" t="str">
        <f aca="false">IF(IsPro,IF($D1256="","",IF(AND(V1256&lt;&gt;"",INDEX(Parties!$E$5:$E$304,V1256)&lt;&gt;"",INDEX(Parties!$E$5:$E$304,V1256)&lt;&gt;HomeState),0,ROUND(L1256*M1256/2,2))),"")</f>
        <v/>
      </c>
      <c r="O1256" s="61" t="str">
        <f aca="false">IF(IsPro,IF($D1256="","",N1256),"")</f>
        <v/>
      </c>
      <c r="P1256" s="61" t="str">
        <f aca="false">IF(IsPro,IF($D1256="","",IF(AND(V1256&lt;&gt;"",INDEX(Parties!$E$5:$E$304,V1256)&lt;&gt;"",INDEX(Parties!$E$5:$E$304,V1256)&lt;&gt;HomeState),ROUND(L1256*M1256,2),0)),"")</f>
        <v/>
      </c>
      <c r="Q1256" s="61" t="str">
        <f aca="false">IF(IsPro,IF($D1256="","",L1256+N1256+O1256+P1256),"")</f>
        <v/>
      </c>
      <c r="R1256" s="61" t="str">
        <f aca="false">IF(IsPro,IF($D1256="","",ROUND(N($E1256)*IFERROR(INDEX(Items!$P$5:$P$504,U1256),0),2)),"")</f>
        <v/>
      </c>
      <c r="S1256" s="61" t="str">
        <f aca="false">IF(IsPro,IF($D1256="","",L1256-R1256),"")</f>
        <v/>
      </c>
      <c r="T1256" s="60" t="str">
        <f aca="false">IF(IsPro,IF($D1256="","",IF(U1256="","UNKNOWN ITEM",IF(INDEX(Items!$O$5:$O$504,U1256)&lt;0,"NEG STOCK",IF(K1256&lt;INDEX(Items!$P$5:$P$504,U1256),"BELOW COST","OK")))),IF($D1256="","","PRO PLAN"))</f>
        <v/>
      </c>
      <c r="U1256" s="60" t="str">
        <f aca="false">IF(IsPro,IF($D1256="","",IFERROR(MATCH($D1256,Items!$A$5:$A$504,0),"")),"")</f>
        <v/>
      </c>
      <c r="V1256" s="60" t="str">
        <f aca="false">IF(IsPro,IF($C1256="","",IFERROR(MATCH($C1256,Parties!$A$5:$A$304,0),"")),"")</f>
        <v/>
      </c>
      <c r="W1256" s="60" t="str">
        <f aca="false">IF(IsPro,IF($B1256="","",IFERROR(VALUE(SUBSTITUTE($B1256,InvPrefix,"")),0)),"")</f>
        <v/>
      </c>
      <c r="X1256" s="61" t="str">
        <f aca="false">IF(IsPro,IF($D1256="","",IF(OR($H1256="",$H1256="Credit"),0,Q1256)),"")</f>
        <v/>
      </c>
    </row>
    <row r="1257" customFormat="false" ht="15" hidden="false" customHeight="false" outlineLevel="0" collapsed="false">
      <c r="A1257" s="55"/>
      <c r="B1257" s="56"/>
      <c r="C1257" s="56"/>
      <c r="D1257" s="56"/>
      <c r="E1257" s="57"/>
      <c r="F1257" s="58"/>
      <c r="G1257" s="59"/>
      <c r="H1257" s="56"/>
      <c r="I1257" s="56"/>
      <c r="J1257" s="60" t="str">
        <f aca="false">IF(IsPro,IF($D1257="","",IFERROR(INDEX(Items!$D$5:$D$504,U1257),"")),"")</f>
        <v/>
      </c>
      <c r="K1257" s="61" t="str">
        <f aca="false">IF(IsPro,IF($D1257="","",IF($F1257="",IFERROR(INDEX(Items!$H$5:$H$504,U1257),0),$F1257)),"")</f>
        <v/>
      </c>
      <c r="L1257" s="61" t="str">
        <f aca="false">IF(IsPro,IF($D1257="","",ROUND(N($E1257)*K1257*(1-N($G1257)),2)),"")</f>
        <v/>
      </c>
      <c r="M1257" s="62" t="str">
        <f aca="false">IF(IsPro,IF($D1257="","",IFERROR(INDEX(Items!$F$5:$F$504,U1257),0)),"")</f>
        <v/>
      </c>
      <c r="N1257" s="61" t="str">
        <f aca="false">IF(IsPro,IF($D1257="","",IF(AND(V1257&lt;&gt;"",INDEX(Parties!$E$5:$E$304,V1257)&lt;&gt;"",INDEX(Parties!$E$5:$E$304,V1257)&lt;&gt;HomeState),0,ROUND(L1257*M1257/2,2))),"")</f>
        <v/>
      </c>
      <c r="O1257" s="61" t="str">
        <f aca="false">IF(IsPro,IF($D1257="","",N1257),"")</f>
        <v/>
      </c>
      <c r="P1257" s="61" t="str">
        <f aca="false">IF(IsPro,IF($D1257="","",IF(AND(V1257&lt;&gt;"",INDEX(Parties!$E$5:$E$304,V1257)&lt;&gt;"",INDEX(Parties!$E$5:$E$304,V1257)&lt;&gt;HomeState),ROUND(L1257*M1257,2),0)),"")</f>
        <v/>
      </c>
      <c r="Q1257" s="61" t="str">
        <f aca="false">IF(IsPro,IF($D1257="","",L1257+N1257+O1257+P1257),"")</f>
        <v/>
      </c>
      <c r="R1257" s="61" t="str">
        <f aca="false">IF(IsPro,IF($D1257="","",ROUND(N($E1257)*IFERROR(INDEX(Items!$P$5:$P$504,U1257),0),2)),"")</f>
        <v/>
      </c>
      <c r="S1257" s="61" t="str">
        <f aca="false">IF(IsPro,IF($D1257="","",L1257-R1257),"")</f>
        <v/>
      </c>
      <c r="T1257" s="60" t="str">
        <f aca="false">IF(IsPro,IF($D1257="","",IF(U1257="","UNKNOWN ITEM",IF(INDEX(Items!$O$5:$O$504,U1257)&lt;0,"NEG STOCK",IF(K1257&lt;INDEX(Items!$P$5:$P$504,U1257),"BELOW COST","OK")))),IF($D1257="","","PRO PLAN"))</f>
        <v/>
      </c>
      <c r="U1257" s="60" t="str">
        <f aca="false">IF(IsPro,IF($D1257="","",IFERROR(MATCH($D1257,Items!$A$5:$A$504,0),"")),"")</f>
        <v/>
      </c>
      <c r="V1257" s="60" t="str">
        <f aca="false">IF(IsPro,IF($C1257="","",IFERROR(MATCH($C1257,Parties!$A$5:$A$304,0),"")),"")</f>
        <v/>
      </c>
      <c r="W1257" s="60" t="str">
        <f aca="false">IF(IsPro,IF($B1257="","",IFERROR(VALUE(SUBSTITUTE($B1257,InvPrefix,"")),0)),"")</f>
        <v/>
      </c>
      <c r="X1257" s="61" t="str">
        <f aca="false">IF(IsPro,IF($D1257="","",IF(OR($H1257="",$H1257="Credit"),0,Q1257)),"")</f>
        <v/>
      </c>
    </row>
    <row r="1258" customFormat="false" ht="15" hidden="false" customHeight="false" outlineLevel="0" collapsed="false">
      <c r="A1258" s="55"/>
      <c r="B1258" s="56"/>
      <c r="C1258" s="56"/>
      <c r="D1258" s="56"/>
      <c r="E1258" s="57"/>
      <c r="F1258" s="58"/>
      <c r="G1258" s="59"/>
      <c r="H1258" s="56"/>
      <c r="I1258" s="56"/>
      <c r="J1258" s="60" t="str">
        <f aca="false">IF(IsPro,IF($D1258="","",IFERROR(INDEX(Items!$D$5:$D$504,U1258),"")),"")</f>
        <v/>
      </c>
      <c r="K1258" s="61" t="str">
        <f aca="false">IF(IsPro,IF($D1258="","",IF($F1258="",IFERROR(INDEX(Items!$H$5:$H$504,U1258),0),$F1258)),"")</f>
        <v/>
      </c>
      <c r="L1258" s="61" t="str">
        <f aca="false">IF(IsPro,IF($D1258="","",ROUND(N($E1258)*K1258*(1-N($G1258)),2)),"")</f>
        <v/>
      </c>
      <c r="M1258" s="62" t="str">
        <f aca="false">IF(IsPro,IF($D1258="","",IFERROR(INDEX(Items!$F$5:$F$504,U1258),0)),"")</f>
        <v/>
      </c>
      <c r="N1258" s="61" t="str">
        <f aca="false">IF(IsPro,IF($D1258="","",IF(AND(V1258&lt;&gt;"",INDEX(Parties!$E$5:$E$304,V1258)&lt;&gt;"",INDEX(Parties!$E$5:$E$304,V1258)&lt;&gt;HomeState),0,ROUND(L1258*M1258/2,2))),"")</f>
        <v/>
      </c>
      <c r="O1258" s="61" t="str">
        <f aca="false">IF(IsPro,IF($D1258="","",N1258),"")</f>
        <v/>
      </c>
      <c r="P1258" s="61" t="str">
        <f aca="false">IF(IsPro,IF($D1258="","",IF(AND(V1258&lt;&gt;"",INDEX(Parties!$E$5:$E$304,V1258)&lt;&gt;"",INDEX(Parties!$E$5:$E$304,V1258)&lt;&gt;HomeState),ROUND(L1258*M1258,2),0)),"")</f>
        <v/>
      </c>
      <c r="Q1258" s="61" t="str">
        <f aca="false">IF(IsPro,IF($D1258="","",L1258+N1258+O1258+P1258),"")</f>
        <v/>
      </c>
      <c r="R1258" s="61" t="str">
        <f aca="false">IF(IsPro,IF($D1258="","",ROUND(N($E1258)*IFERROR(INDEX(Items!$P$5:$P$504,U1258),0),2)),"")</f>
        <v/>
      </c>
      <c r="S1258" s="61" t="str">
        <f aca="false">IF(IsPro,IF($D1258="","",L1258-R1258),"")</f>
        <v/>
      </c>
      <c r="T1258" s="60" t="str">
        <f aca="false">IF(IsPro,IF($D1258="","",IF(U1258="","UNKNOWN ITEM",IF(INDEX(Items!$O$5:$O$504,U1258)&lt;0,"NEG STOCK",IF(K1258&lt;INDEX(Items!$P$5:$P$504,U1258),"BELOW COST","OK")))),IF($D1258="","","PRO PLAN"))</f>
        <v/>
      </c>
      <c r="U1258" s="60" t="str">
        <f aca="false">IF(IsPro,IF($D1258="","",IFERROR(MATCH($D1258,Items!$A$5:$A$504,0),"")),"")</f>
        <v/>
      </c>
      <c r="V1258" s="60" t="str">
        <f aca="false">IF(IsPro,IF($C1258="","",IFERROR(MATCH($C1258,Parties!$A$5:$A$304,0),"")),"")</f>
        <v/>
      </c>
      <c r="W1258" s="60" t="str">
        <f aca="false">IF(IsPro,IF($B1258="","",IFERROR(VALUE(SUBSTITUTE($B1258,InvPrefix,"")),0)),"")</f>
        <v/>
      </c>
      <c r="X1258" s="61" t="str">
        <f aca="false">IF(IsPro,IF($D1258="","",IF(OR($H1258="",$H1258="Credit"),0,Q1258)),"")</f>
        <v/>
      </c>
    </row>
    <row r="1259" customFormat="false" ht="15" hidden="false" customHeight="false" outlineLevel="0" collapsed="false">
      <c r="A1259" s="55"/>
      <c r="B1259" s="56"/>
      <c r="C1259" s="56"/>
      <c r="D1259" s="56"/>
      <c r="E1259" s="57"/>
      <c r="F1259" s="58"/>
      <c r="G1259" s="59"/>
      <c r="H1259" s="56"/>
      <c r="I1259" s="56"/>
      <c r="J1259" s="60" t="str">
        <f aca="false">IF(IsPro,IF($D1259="","",IFERROR(INDEX(Items!$D$5:$D$504,U1259),"")),"")</f>
        <v/>
      </c>
      <c r="K1259" s="61" t="str">
        <f aca="false">IF(IsPro,IF($D1259="","",IF($F1259="",IFERROR(INDEX(Items!$H$5:$H$504,U1259),0),$F1259)),"")</f>
        <v/>
      </c>
      <c r="L1259" s="61" t="str">
        <f aca="false">IF(IsPro,IF($D1259="","",ROUND(N($E1259)*K1259*(1-N($G1259)),2)),"")</f>
        <v/>
      </c>
      <c r="M1259" s="62" t="str">
        <f aca="false">IF(IsPro,IF($D1259="","",IFERROR(INDEX(Items!$F$5:$F$504,U1259),0)),"")</f>
        <v/>
      </c>
      <c r="N1259" s="61" t="str">
        <f aca="false">IF(IsPro,IF($D1259="","",IF(AND(V1259&lt;&gt;"",INDEX(Parties!$E$5:$E$304,V1259)&lt;&gt;"",INDEX(Parties!$E$5:$E$304,V1259)&lt;&gt;HomeState),0,ROUND(L1259*M1259/2,2))),"")</f>
        <v/>
      </c>
      <c r="O1259" s="61" t="str">
        <f aca="false">IF(IsPro,IF($D1259="","",N1259),"")</f>
        <v/>
      </c>
      <c r="P1259" s="61" t="str">
        <f aca="false">IF(IsPro,IF($D1259="","",IF(AND(V1259&lt;&gt;"",INDEX(Parties!$E$5:$E$304,V1259)&lt;&gt;"",INDEX(Parties!$E$5:$E$304,V1259)&lt;&gt;HomeState),ROUND(L1259*M1259,2),0)),"")</f>
        <v/>
      </c>
      <c r="Q1259" s="61" t="str">
        <f aca="false">IF(IsPro,IF($D1259="","",L1259+N1259+O1259+P1259),"")</f>
        <v/>
      </c>
      <c r="R1259" s="61" t="str">
        <f aca="false">IF(IsPro,IF($D1259="","",ROUND(N($E1259)*IFERROR(INDEX(Items!$P$5:$P$504,U1259),0),2)),"")</f>
        <v/>
      </c>
      <c r="S1259" s="61" t="str">
        <f aca="false">IF(IsPro,IF($D1259="","",L1259-R1259),"")</f>
        <v/>
      </c>
      <c r="T1259" s="60" t="str">
        <f aca="false">IF(IsPro,IF($D1259="","",IF(U1259="","UNKNOWN ITEM",IF(INDEX(Items!$O$5:$O$504,U1259)&lt;0,"NEG STOCK",IF(K1259&lt;INDEX(Items!$P$5:$P$504,U1259),"BELOW COST","OK")))),IF($D1259="","","PRO PLAN"))</f>
        <v/>
      </c>
      <c r="U1259" s="60" t="str">
        <f aca="false">IF(IsPro,IF($D1259="","",IFERROR(MATCH($D1259,Items!$A$5:$A$504,0),"")),"")</f>
        <v/>
      </c>
      <c r="V1259" s="60" t="str">
        <f aca="false">IF(IsPro,IF($C1259="","",IFERROR(MATCH($C1259,Parties!$A$5:$A$304,0),"")),"")</f>
        <v/>
      </c>
      <c r="W1259" s="60" t="str">
        <f aca="false">IF(IsPro,IF($B1259="","",IFERROR(VALUE(SUBSTITUTE($B1259,InvPrefix,"")),0)),"")</f>
        <v/>
      </c>
      <c r="X1259" s="61" t="str">
        <f aca="false">IF(IsPro,IF($D1259="","",IF(OR($H1259="",$H1259="Credit"),0,Q1259)),"")</f>
        <v/>
      </c>
    </row>
    <row r="1260" customFormat="false" ht="15" hidden="false" customHeight="false" outlineLevel="0" collapsed="false">
      <c r="A1260" s="55"/>
      <c r="B1260" s="56"/>
      <c r="C1260" s="56"/>
      <c r="D1260" s="56"/>
      <c r="E1260" s="57"/>
      <c r="F1260" s="58"/>
      <c r="G1260" s="59"/>
      <c r="H1260" s="56"/>
      <c r="I1260" s="56"/>
      <c r="J1260" s="60" t="str">
        <f aca="false">IF(IsPro,IF($D1260="","",IFERROR(INDEX(Items!$D$5:$D$504,U1260),"")),"")</f>
        <v/>
      </c>
      <c r="K1260" s="61" t="str">
        <f aca="false">IF(IsPro,IF($D1260="","",IF($F1260="",IFERROR(INDEX(Items!$H$5:$H$504,U1260),0),$F1260)),"")</f>
        <v/>
      </c>
      <c r="L1260" s="61" t="str">
        <f aca="false">IF(IsPro,IF($D1260="","",ROUND(N($E1260)*K1260*(1-N($G1260)),2)),"")</f>
        <v/>
      </c>
      <c r="M1260" s="62" t="str">
        <f aca="false">IF(IsPro,IF($D1260="","",IFERROR(INDEX(Items!$F$5:$F$504,U1260),0)),"")</f>
        <v/>
      </c>
      <c r="N1260" s="61" t="str">
        <f aca="false">IF(IsPro,IF($D1260="","",IF(AND(V1260&lt;&gt;"",INDEX(Parties!$E$5:$E$304,V1260)&lt;&gt;"",INDEX(Parties!$E$5:$E$304,V1260)&lt;&gt;HomeState),0,ROUND(L1260*M1260/2,2))),"")</f>
        <v/>
      </c>
      <c r="O1260" s="61" t="str">
        <f aca="false">IF(IsPro,IF($D1260="","",N1260),"")</f>
        <v/>
      </c>
      <c r="P1260" s="61" t="str">
        <f aca="false">IF(IsPro,IF($D1260="","",IF(AND(V1260&lt;&gt;"",INDEX(Parties!$E$5:$E$304,V1260)&lt;&gt;"",INDEX(Parties!$E$5:$E$304,V1260)&lt;&gt;HomeState),ROUND(L1260*M1260,2),0)),"")</f>
        <v/>
      </c>
      <c r="Q1260" s="61" t="str">
        <f aca="false">IF(IsPro,IF($D1260="","",L1260+N1260+O1260+P1260),"")</f>
        <v/>
      </c>
      <c r="R1260" s="61" t="str">
        <f aca="false">IF(IsPro,IF($D1260="","",ROUND(N($E1260)*IFERROR(INDEX(Items!$P$5:$P$504,U1260),0),2)),"")</f>
        <v/>
      </c>
      <c r="S1260" s="61" t="str">
        <f aca="false">IF(IsPro,IF($D1260="","",L1260-R1260),"")</f>
        <v/>
      </c>
      <c r="T1260" s="60" t="str">
        <f aca="false">IF(IsPro,IF($D1260="","",IF(U1260="","UNKNOWN ITEM",IF(INDEX(Items!$O$5:$O$504,U1260)&lt;0,"NEG STOCK",IF(K1260&lt;INDEX(Items!$P$5:$P$504,U1260),"BELOW COST","OK")))),IF($D1260="","","PRO PLAN"))</f>
        <v/>
      </c>
      <c r="U1260" s="60" t="str">
        <f aca="false">IF(IsPro,IF($D1260="","",IFERROR(MATCH($D1260,Items!$A$5:$A$504,0),"")),"")</f>
        <v/>
      </c>
      <c r="V1260" s="60" t="str">
        <f aca="false">IF(IsPro,IF($C1260="","",IFERROR(MATCH($C1260,Parties!$A$5:$A$304,0),"")),"")</f>
        <v/>
      </c>
      <c r="W1260" s="60" t="str">
        <f aca="false">IF(IsPro,IF($B1260="","",IFERROR(VALUE(SUBSTITUTE($B1260,InvPrefix,"")),0)),"")</f>
        <v/>
      </c>
      <c r="X1260" s="61" t="str">
        <f aca="false">IF(IsPro,IF($D1260="","",IF(OR($H1260="",$H1260="Credit"),0,Q1260)),"")</f>
        <v/>
      </c>
    </row>
    <row r="1261" customFormat="false" ht="15" hidden="false" customHeight="false" outlineLevel="0" collapsed="false">
      <c r="A1261" s="55"/>
      <c r="B1261" s="56"/>
      <c r="C1261" s="56"/>
      <c r="D1261" s="56"/>
      <c r="E1261" s="57"/>
      <c r="F1261" s="58"/>
      <c r="G1261" s="59"/>
      <c r="H1261" s="56"/>
      <c r="I1261" s="56"/>
      <c r="J1261" s="60" t="str">
        <f aca="false">IF(IsPro,IF($D1261="","",IFERROR(INDEX(Items!$D$5:$D$504,U1261),"")),"")</f>
        <v/>
      </c>
      <c r="K1261" s="61" t="str">
        <f aca="false">IF(IsPro,IF($D1261="","",IF($F1261="",IFERROR(INDEX(Items!$H$5:$H$504,U1261),0),$F1261)),"")</f>
        <v/>
      </c>
      <c r="L1261" s="61" t="str">
        <f aca="false">IF(IsPro,IF($D1261="","",ROUND(N($E1261)*K1261*(1-N($G1261)),2)),"")</f>
        <v/>
      </c>
      <c r="M1261" s="62" t="str">
        <f aca="false">IF(IsPro,IF($D1261="","",IFERROR(INDEX(Items!$F$5:$F$504,U1261),0)),"")</f>
        <v/>
      </c>
      <c r="N1261" s="61" t="str">
        <f aca="false">IF(IsPro,IF($D1261="","",IF(AND(V1261&lt;&gt;"",INDEX(Parties!$E$5:$E$304,V1261)&lt;&gt;"",INDEX(Parties!$E$5:$E$304,V1261)&lt;&gt;HomeState),0,ROUND(L1261*M1261/2,2))),"")</f>
        <v/>
      </c>
      <c r="O1261" s="61" t="str">
        <f aca="false">IF(IsPro,IF($D1261="","",N1261),"")</f>
        <v/>
      </c>
      <c r="P1261" s="61" t="str">
        <f aca="false">IF(IsPro,IF($D1261="","",IF(AND(V1261&lt;&gt;"",INDEX(Parties!$E$5:$E$304,V1261)&lt;&gt;"",INDEX(Parties!$E$5:$E$304,V1261)&lt;&gt;HomeState),ROUND(L1261*M1261,2),0)),"")</f>
        <v/>
      </c>
      <c r="Q1261" s="61" t="str">
        <f aca="false">IF(IsPro,IF($D1261="","",L1261+N1261+O1261+P1261),"")</f>
        <v/>
      </c>
      <c r="R1261" s="61" t="str">
        <f aca="false">IF(IsPro,IF($D1261="","",ROUND(N($E1261)*IFERROR(INDEX(Items!$P$5:$P$504,U1261),0),2)),"")</f>
        <v/>
      </c>
      <c r="S1261" s="61" t="str">
        <f aca="false">IF(IsPro,IF($D1261="","",L1261-R1261),"")</f>
        <v/>
      </c>
      <c r="T1261" s="60" t="str">
        <f aca="false">IF(IsPro,IF($D1261="","",IF(U1261="","UNKNOWN ITEM",IF(INDEX(Items!$O$5:$O$504,U1261)&lt;0,"NEG STOCK",IF(K1261&lt;INDEX(Items!$P$5:$P$504,U1261),"BELOW COST","OK")))),IF($D1261="","","PRO PLAN"))</f>
        <v/>
      </c>
      <c r="U1261" s="60" t="str">
        <f aca="false">IF(IsPro,IF($D1261="","",IFERROR(MATCH($D1261,Items!$A$5:$A$504,0),"")),"")</f>
        <v/>
      </c>
      <c r="V1261" s="60" t="str">
        <f aca="false">IF(IsPro,IF($C1261="","",IFERROR(MATCH($C1261,Parties!$A$5:$A$304,0),"")),"")</f>
        <v/>
      </c>
      <c r="W1261" s="60" t="str">
        <f aca="false">IF(IsPro,IF($B1261="","",IFERROR(VALUE(SUBSTITUTE($B1261,InvPrefix,"")),0)),"")</f>
        <v/>
      </c>
      <c r="X1261" s="61" t="str">
        <f aca="false">IF(IsPro,IF($D1261="","",IF(OR($H1261="",$H1261="Credit"),0,Q1261)),"")</f>
        <v/>
      </c>
    </row>
    <row r="1262" customFormat="false" ht="15" hidden="false" customHeight="false" outlineLevel="0" collapsed="false">
      <c r="A1262" s="55"/>
      <c r="B1262" s="56"/>
      <c r="C1262" s="56"/>
      <c r="D1262" s="56"/>
      <c r="E1262" s="57"/>
      <c r="F1262" s="58"/>
      <c r="G1262" s="59"/>
      <c r="H1262" s="56"/>
      <c r="I1262" s="56"/>
      <c r="J1262" s="60" t="str">
        <f aca="false">IF(IsPro,IF($D1262="","",IFERROR(INDEX(Items!$D$5:$D$504,U1262),"")),"")</f>
        <v/>
      </c>
      <c r="K1262" s="61" t="str">
        <f aca="false">IF(IsPro,IF($D1262="","",IF($F1262="",IFERROR(INDEX(Items!$H$5:$H$504,U1262),0),$F1262)),"")</f>
        <v/>
      </c>
      <c r="L1262" s="61" t="str">
        <f aca="false">IF(IsPro,IF($D1262="","",ROUND(N($E1262)*K1262*(1-N($G1262)),2)),"")</f>
        <v/>
      </c>
      <c r="M1262" s="62" t="str">
        <f aca="false">IF(IsPro,IF($D1262="","",IFERROR(INDEX(Items!$F$5:$F$504,U1262),0)),"")</f>
        <v/>
      </c>
      <c r="N1262" s="61" t="str">
        <f aca="false">IF(IsPro,IF($D1262="","",IF(AND(V1262&lt;&gt;"",INDEX(Parties!$E$5:$E$304,V1262)&lt;&gt;"",INDEX(Parties!$E$5:$E$304,V1262)&lt;&gt;HomeState),0,ROUND(L1262*M1262/2,2))),"")</f>
        <v/>
      </c>
      <c r="O1262" s="61" t="str">
        <f aca="false">IF(IsPro,IF($D1262="","",N1262),"")</f>
        <v/>
      </c>
      <c r="P1262" s="61" t="str">
        <f aca="false">IF(IsPro,IF($D1262="","",IF(AND(V1262&lt;&gt;"",INDEX(Parties!$E$5:$E$304,V1262)&lt;&gt;"",INDEX(Parties!$E$5:$E$304,V1262)&lt;&gt;HomeState),ROUND(L1262*M1262,2),0)),"")</f>
        <v/>
      </c>
      <c r="Q1262" s="61" t="str">
        <f aca="false">IF(IsPro,IF($D1262="","",L1262+N1262+O1262+P1262),"")</f>
        <v/>
      </c>
      <c r="R1262" s="61" t="str">
        <f aca="false">IF(IsPro,IF($D1262="","",ROUND(N($E1262)*IFERROR(INDEX(Items!$P$5:$P$504,U1262),0),2)),"")</f>
        <v/>
      </c>
      <c r="S1262" s="61" t="str">
        <f aca="false">IF(IsPro,IF($D1262="","",L1262-R1262),"")</f>
        <v/>
      </c>
      <c r="T1262" s="60" t="str">
        <f aca="false">IF(IsPro,IF($D1262="","",IF(U1262="","UNKNOWN ITEM",IF(INDEX(Items!$O$5:$O$504,U1262)&lt;0,"NEG STOCK",IF(K1262&lt;INDEX(Items!$P$5:$P$504,U1262),"BELOW COST","OK")))),IF($D1262="","","PRO PLAN"))</f>
        <v/>
      </c>
      <c r="U1262" s="60" t="str">
        <f aca="false">IF(IsPro,IF($D1262="","",IFERROR(MATCH($D1262,Items!$A$5:$A$504,0),"")),"")</f>
        <v/>
      </c>
      <c r="V1262" s="60" t="str">
        <f aca="false">IF(IsPro,IF($C1262="","",IFERROR(MATCH($C1262,Parties!$A$5:$A$304,0),"")),"")</f>
        <v/>
      </c>
      <c r="W1262" s="60" t="str">
        <f aca="false">IF(IsPro,IF($B1262="","",IFERROR(VALUE(SUBSTITUTE($B1262,InvPrefix,"")),0)),"")</f>
        <v/>
      </c>
      <c r="X1262" s="61" t="str">
        <f aca="false">IF(IsPro,IF($D1262="","",IF(OR($H1262="",$H1262="Credit"),0,Q1262)),"")</f>
        <v/>
      </c>
    </row>
    <row r="1263" customFormat="false" ht="15" hidden="false" customHeight="false" outlineLevel="0" collapsed="false">
      <c r="A1263" s="55"/>
      <c r="B1263" s="56"/>
      <c r="C1263" s="56"/>
      <c r="D1263" s="56"/>
      <c r="E1263" s="57"/>
      <c r="F1263" s="58"/>
      <c r="G1263" s="59"/>
      <c r="H1263" s="56"/>
      <c r="I1263" s="56"/>
      <c r="J1263" s="60" t="str">
        <f aca="false">IF(IsPro,IF($D1263="","",IFERROR(INDEX(Items!$D$5:$D$504,U1263),"")),"")</f>
        <v/>
      </c>
      <c r="K1263" s="61" t="str">
        <f aca="false">IF(IsPro,IF($D1263="","",IF($F1263="",IFERROR(INDEX(Items!$H$5:$H$504,U1263),0),$F1263)),"")</f>
        <v/>
      </c>
      <c r="L1263" s="61" t="str">
        <f aca="false">IF(IsPro,IF($D1263="","",ROUND(N($E1263)*K1263*(1-N($G1263)),2)),"")</f>
        <v/>
      </c>
      <c r="M1263" s="62" t="str">
        <f aca="false">IF(IsPro,IF($D1263="","",IFERROR(INDEX(Items!$F$5:$F$504,U1263),0)),"")</f>
        <v/>
      </c>
      <c r="N1263" s="61" t="str">
        <f aca="false">IF(IsPro,IF($D1263="","",IF(AND(V1263&lt;&gt;"",INDEX(Parties!$E$5:$E$304,V1263)&lt;&gt;"",INDEX(Parties!$E$5:$E$304,V1263)&lt;&gt;HomeState),0,ROUND(L1263*M1263/2,2))),"")</f>
        <v/>
      </c>
      <c r="O1263" s="61" t="str">
        <f aca="false">IF(IsPro,IF($D1263="","",N1263),"")</f>
        <v/>
      </c>
      <c r="P1263" s="61" t="str">
        <f aca="false">IF(IsPro,IF($D1263="","",IF(AND(V1263&lt;&gt;"",INDEX(Parties!$E$5:$E$304,V1263)&lt;&gt;"",INDEX(Parties!$E$5:$E$304,V1263)&lt;&gt;HomeState),ROUND(L1263*M1263,2),0)),"")</f>
        <v/>
      </c>
      <c r="Q1263" s="61" t="str">
        <f aca="false">IF(IsPro,IF($D1263="","",L1263+N1263+O1263+P1263),"")</f>
        <v/>
      </c>
      <c r="R1263" s="61" t="str">
        <f aca="false">IF(IsPro,IF($D1263="","",ROUND(N($E1263)*IFERROR(INDEX(Items!$P$5:$P$504,U1263),0),2)),"")</f>
        <v/>
      </c>
      <c r="S1263" s="61" t="str">
        <f aca="false">IF(IsPro,IF($D1263="","",L1263-R1263),"")</f>
        <v/>
      </c>
      <c r="T1263" s="60" t="str">
        <f aca="false">IF(IsPro,IF($D1263="","",IF(U1263="","UNKNOWN ITEM",IF(INDEX(Items!$O$5:$O$504,U1263)&lt;0,"NEG STOCK",IF(K1263&lt;INDEX(Items!$P$5:$P$504,U1263),"BELOW COST","OK")))),IF($D1263="","","PRO PLAN"))</f>
        <v/>
      </c>
      <c r="U1263" s="60" t="str">
        <f aca="false">IF(IsPro,IF($D1263="","",IFERROR(MATCH($D1263,Items!$A$5:$A$504,0),"")),"")</f>
        <v/>
      </c>
      <c r="V1263" s="60" t="str">
        <f aca="false">IF(IsPro,IF($C1263="","",IFERROR(MATCH($C1263,Parties!$A$5:$A$304,0),"")),"")</f>
        <v/>
      </c>
      <c r="W1263" s="60" t="str">
        <f aca="false">IF(IsPro,IF($B1263="","",IFERROR(VALUE(SUBSTITUTE($B1263,InvPrefix,"")),0)),"")</f>
        <v/>
      </c>
      <c r="X1263" s="61" t="str">
        <f aca="false">IF(IsPro,IF($D1263="","",IF(OR($H1263="",$H1263="Credit"),0,Q1263)),"")</f>
        <v/>
      </c>
    </row>
    <row r="1264" customFormat="false" ht="15" hidden="false" customHeight="false" outlineLevel="0" collapsed="false">
      <c r="A1264" s="55"/>
      <c r="B1264" s="56"/>
      <c r="C1264" s="56"/>
      <c r="D1264" s="56"/>
      <c r="E1264" s="57"/>
      <c r="F1264" s="58"/>
      <c r="G1264" s="59"/>
      <c r="H1264" s="56"/>
      <c r="I1264" s="56"/>
      <c r="J1264" s="60" t="str">
        <f aca="false">IF(IsPro,IF($D1264="","",IFERROR(INDEX(Items!$D$5:$D$504,U1264),"")),"")</f>
        <v/>
      </c>
      <c r="K1264" s="61" t="str">
        <f aca="false">IF(IsPro,IF($D1264="","",IF($F1264="",IFERROR(INDEX(Items!$H$5:$H$504,U1264),0),$F1264)),"")</f>
        <v/>
      </c>
      <c r="L1264" s="61" t="str">
        <f aca="false">IF(IsPro,IF($D1264="","",ROUND(N($E1264)*K1264*(1-N($G1264)),2)),"")</f>
        <v/>
      </c>
      <c r="M1264" s="62" t="str">
        <f aca="false">IF(IsPro,IF($D1264="","",IFERROR(INDEX(Items!$F$5:$F$504,U1264),0)),"")</f>
        <v/>
      </c>
      <c r="N1264" s="61" t="str">
        <f aca="false">IF(IsPro,IF($D1264="","",IF(AND(V1264&lt;&gt;"",INDEX(Parties!$E$5:$E$304,V1264)&lt;&gt;"",INDEX(Parties!$E$5:$E$304,V1264)&lt;&gt;HomeState),0,ROUND(L1264*M1264/2,2))),"")</f>
        <v/>
      </c>
      <c r="O1264" s="61" t="str">
        <f aca="false">IF(IsPro,IF($D1264="","",N1264),"")</f>
        <v/>
      </c>
      <c r="P1264" s="61" t="str">
        <f aca="false">IF(IsPro,IF($D1264="","",IF(AND(V1264&lt;&gt;"",INDEX(Parties!$E$5:$E$304,V1264)&lt;&gt;"",INDEX(Parties!$E$5:$E$304,V1264)&lt;&gt;HomeState),ROUND(L1264*M1264,2),0)),"")</f>
        <v/>
      </c>
      <c r="Q1264" s="61" t="str">
        <f aca="false">IF(IsPro,IF($D1264="","",L1264+N1264+O1264+P1264),"")</f>
        <v/>
      </c>
      <c r="R1264" s="61" t="str">
        <f aca="false">IF(IsPro,IF($D1264="","",ROUND(N($E1264)*IFERROR(INDEX(Items!$P$5:$P$504,U1264),0),2)),"")</f>
        <v/>
      </c>
      <c r="S1264" s="61" t="str">
        <f aca="false">IF(IsPro,IF($D1264="","",L1264-R1264),"")</f>
        <v/>
      </c>
      <c r="T1264" s="60" t="str">
        <f aca="false">IF(IsPro,IF($D1264="","",IF(U1264="","UNKNOWN ITEM",IF(INDEX(Items!$O$5:$O$504,U1264)&lt;0,"NEG STOCK",IF(K1264&lt;INDEX(Items!$P$5:$P$504,U1264),"BELOW COST","OK")))),IF($D1264="","","PRO PLAN"))</f>
        <v/>
      </c>
      <c r="U1264" s="60" t="str">
        <f aca="false">IF(IsPro,IF($D1264="","",IFERROR(MATCH($D1264,Items!$A$5:$A$504,0),"")),"")</f>
        <v/>
      </c>
      <c r="V1264" s="60" t="str">
        <f aca="false">IF(IsPro,IF($C1264="","",IFERROR(MATCH($C1264,Parties!$A$5:$A$304,0),"")),"")</f>
        <v/>
      </c>
      <c r="W1264" s="60" t="str">
        <f aca="false">IF(IsPro,IF($B1264="","",IFERROR(VALUE(SUBSTITUTE($B1264,InvPrefix,"")),0)),"")</f>
        <v/>
      </c>
      <c r="X1264" s="61" t="str">
        <f aca="false">IF(IsPro,IF($D1264="","",IF(OR($H1264="",$H1264="Credit"),0,Q1264)),"")</f>
        <v/>
      </c>
    </row>
    <row r="1265" customFormat="false" ht="15" hidden="false" customHeight="false" outlineLevel="0" collapsed="false">
      <c r="A1265" s="55"/>
      <c r="B1265" s="56"/>
      <c r="C1265" s="56"/>
      <c r="D1265" s="56"/>
      <c r="E1265" s="57"/>
      <c r="F1265" s="58"/>
      <c r="G1265" s="59"/>
      <c r="H1265" s="56"/>
      <c r="I1265" s="56"/>
      <c r="J1265" s="60" t="str">
        <f aca="false">IF(IsPro,IF($D1265="","",IFERROR(INDEX(Items!$D$5:$D$504,U1265),"")),"")</f>
        <v/>
      </c>
      <c r="K1265" s="61" t="str">
        <f aca="false">IF(IsPro,IF($D1265="","",IF($F1265="",IFERROR(INDEX(Items!$H$5:$H$504,U1265),0),$F1265)),"")</f>
        <v/>
      </c>
      <c r="L1265" s="61" t="str">
        <f aca="false">IF(IsPro,IF($D1265="","",ROUND(N($E1265)*K1265*(1-N($G1265)),2)),"")</f>
        <v/>
      </c>
      <c r="M1265" s="62" t="str">
        <f aca="false">IF(IsPro,IF($D1265="","",IFERROR(INDEX(Items!$F$5:$F$504,U1265),0)),"")</f>
        <v/>
      </c>
      <c r="N1265" s="61" t="str">
        <f aca="false">IF(IsPro,IF($D1265="","",IF(AND(V1265&lt;&gt;"",INDEX(Parties!$E$5:$E$304,V1265)&lt;&gt;"",INDEX(Parties!$E$5:$E$304,V1265)&lt;&gt;HomeState),0,ROUND(L1265*M1265/2,2))),"")</f>
        <v/>
      </c>
      <c r="O1265" s="61" t="str">
        <f aca="false">IF(IsPro,IF($D1265="","",N1265),"")</f>
        <v/>
      </c>
      <c r="P1265" s="61" t="str">
        <f aca="false">IF(IsPro,IF($D1265="","",IF(AND(V1265&lt;&gt;"",INDEX(Parties!$E$5:$E$304,V1265)&lt;&gt;"",INDEX(Parties!$E$5:$E$304,V1265)&lt;&gt;HomeState),ROUND(L1265*M1265,2),0)),"")</f>
        <v/>
      </c>
      <c r="Q1265" s="61" t="str">
        <f aca="false">IF(IsPro,IF($D1265="","",L1265+N1265+O1265+P1265),"")</f>
        <v/>
      </c>
      <c r="R1265" s="61" t="str">
        <f aca="false">IF(IsPro,IF($D1265="","",ROUND(N($E1265)*IFERROR(INDEX(Items!$P$5:$P$504,U1265),0),2)),"")</f>
        <v/>
      </c>
      <c r="S1265" s="61" t="str">
        <f aca="false">IF(IsPro,IF($D1265="","",L1265-R1265),"")</f>
        <v/>
      </c>
      <c r="T1265" s="60" t="str">
        <f aca="false">IF(IsPro,IF($D1265="","",IF(U1265="","UNKNOWN ITEM",IF(INDEX(Items!$O$5:$O$504,U1265)&lt;0,"NEG STOCK",IF(K1265&lt;INDEX(Items!$P$5:$P$504,U1265),"BELOW COST","OK")))),IF($D1265="","","PRO PLAN"))</f>
        <v/>
      </c>
      <c r="U1265" s="60" t="str">
        <f aca="false">IF(IsPro,IF($D1265="","",IFERROR(MATCH($D1265,Items!$A$5:$A$504,0),"")),"")</f>
        <v/>
      </c>
      <c r="V1265" s="60" t="str">
        <f aca="false">IF(IsPro,IF($C1265="","",IFERROR(MATCH($C1265,Parties!$A$5:$A$304,0),"")),"")</f>
        <v/>
      </c>
      <c r="W1265" s="60" t="str">
        <f aca="false">IF(IsPro,IF($B1265="","",IFERROR(VALUE(SUBSTITUTE($B1265,InvPrefix,"")),0)),"")</f>
        <v/>
      </c>
      <c r="X1265" s="61" t="str">
        <f aca="false">IF(IsPro,IF($D1265="","",IF(OR($H1265="",$H1265="Credit"),0,Q1265)),"")</f>
        <v/>
      </c>
    </row>
    <row r="1266" customFormat="false" ht="15" hidden="false" customHeight="false" outlineLevel="0" collapsed="false">
      <c r="A1266" s="55"/>
      <c r="B1266" s="56"/>
      <c r="C1266" s="56"/>
      <c r="D1266" s="56"/>
      <c r="E1266" s="57"/>
      <c r="F1266" s="58"/>
      <c r="G1266" s="59"/>
      <c r="H1266" s="56"/>
      <c r="I1266" s="56"/>
      <c r="J1266" s="60" t="str">
        <f aca="false">IF(IsPro,IF($D1266="","",IFERROR(INDEX(Items!$D$5:$D$504,U1266),"")),"")</f>
        <v/>
      </c>
      <c r="K1266" s="61" t="str">
        <f aca="false">IF(IsPro,IF($D1266="","",IF($F1266="",IFERROR(INDEX(Items!$H$5:$H$504,U1266),0),$F1266)),"")</f>
        <v/>
      </c>
      <c r="L1266" s="61" t="str">
        <f aca="false">IF(IsPro,IF($D1266="","",ROUND(N($E1266)*K1266*(1-N($G1266)),2)),"")</f>
        <v/>
      </c>
      <c r="M1266" s="62" t="str">
        <f aca="false">IF(IsPro,IF($D1266="","",IFERROR(INDEX(Items!$F$5:$F$504,U1266),0)),"")</f>
        <v/>
      </c>
      <c r="N1266" s="61" t="str">
        <f aca="false">IF(IsPro,IF($D1266="","",IF(AND(V1266&lt;&gt;"",INDEX(Parties!$E$5:$E$304,V1266)&lt;&gt;"",INDEX(Parties!$E$5:$E$304,V1266)&lt;&gt;HomeState),0,ROUND(L1266*M1266/2,2))),"")</f>
        <v/>
      </c>
      <c r="O1266" s="61" t="str">
        <f aca="false">IF(IsPro,IF($D1266="","",N1266),"")</f>
        <v/>
      </c>
      <c r="P1266" s="61" t="str">
        <f aca="false">IF(IsPro,IF($D1266="","",IF(AND(V1266&lt;&gt;"",INDEX(Parties!$E$5:$E$304,V1266)&lt;&gt;"",INDEX(Parties!$E$5:$E$304,V1266)&lt;&gt;HomeState),ROUND(L1266*M1266,2),0)),"")</f>
        <v/>
      </c>
      <c r="Q1266" s="61" t="str">
        <f aca="false">IF(IsPro,IF($D1266="","",L1266+N1266+O1266+P1266),"")</f>
        <v/>
      </c>
      <c r="R1266" s="61" t="str">
        <f aca="false">IF(IsPro,IF($D1266="","",ROUND(N($E1266)*IFERROR(INDEX(Items!$P$5:$P$504,U1266),0),2)),"")</f>
        <v/>
      </c>
      <c r="S1266" s="61" t="str">
        <f aca="false">IF(IsPro,IF($D1266="","",L1266-R1266),"")</f>
        <v/>
      </c>
      <c r="T1266" s="60" t="str">
        <f aca="false">IF(IsPro,IF($D1266="","",IF(U1266="","UNKNOWN ITEM",IF(INDEX(Items!$O$5:$O$504,U1266)&lt;0,"NEG STOCK",IF(K1266&lt;INDEX(Items!$P$5:$P$504,U1266),"BELOW COST","OK")))),IF($D1266="","","PRO PLAN"))</f>
        <v/>
      </c>
      <c r="U1266" s="60" t="str">
        <f aca="false">IF(IsPro,IF($D1266="","",IFERROR(MATCH($D1266,Items!$A$5:$A$504,0),"")),"")</f>
        <v/>
      </c>
      <c r="V1266" s="60" t="str">
        <f aca="false">IF(IsPro,IF($C1266="","",IFERROR(MATCH($C1266,Parties!$A$5:$A$304,0),"")),"")</f>
        <v/>
      </c>
      <c r="W1266" s="60" t="str">
        <f aca="false">IF(IsPro,IF($B1266="","",IFERROR(VALUE(SUBSTITUTE($B1266,InvPrefix,"")),0)),"")</f>
        <v/>
      </c>
      <c r="X1266" s="61" t="str">
        <f aca="false">IF(IsPro,IF($D1266="","",IF(OR($H1266="",$H1266="Credit"),0,Q1266)),"")</f>
        <v/>
      </c>
    </row>
    <row r="1267" customFormat="false" ht="15" hidden="false" customHeight="false" outlineLevel="0" collapsed="false">
      <c r="A1267" s="55"/>
      <c r="B1267" s="56"/>
      <c r="C1267" s="56"/>
      <c r="D1267" s="56"/>
      <c r="E1267" s="57"/>
      <c r="F1267" s="58"/>
      <c r="G1267" s="59"/>
      <c r="H1267" s="56"/>
      <c r="I1267" s="56"/>
      <c r="J1267" s="60" t="str">
        <f aca="false">IF(IsPro,IF($D1267="","",IFERROR(INDEX(Items!$D$5:$D$504,U1267),"")),"")</f>
        <v/>
      </c>
      <c r="K1267" s="61" t="str">
        <f aca="false">IF(IsPro,IF($D1267="","",IF($F1267="",IFERROR(INDEX(Items!$H$5:$H$504,U1267),0),$F1267)),"")</f>
        <v/>
      </c>
      <c r="L1267" s="61" t="str">
        <f aca="false">IF(IsPro,IF($D1267="","",ROUND(N($E1267)*K1267*(1-N($G1267)),2)),"")</f>
        <v/>
      </c>
      <c r="M1267" s="62" t="str">
        <f aca="false">IF(IsPro,IF($D1267="","",IFERROR(INDEX(Items!$F$5:$F$504,U1267),0)),"")</f>
        <v/>
      </c>
      <c r="N1267" s="61" t="str">
        <f aca="false">IF(IsPro,IF($D1267="","",IF(AND(V1267&lt;&gt;"",INDEX(Parties!$E$5:$E$304,V1267)&lt;&gt;"",INDEX(Parties!$E$5:$E$304,V1267)&lt;&gt;HomeState),0,ROUND(L1267*M1267/2,2))),"")</f>
        <v/>
      </c>
      <c r="O1267" s="61" t="str">
        <f aca="false">IF(IsPro,IF($D1267="","",N1267),"")</f>
        <v/>
      </c>
      <c r="P1267" s="61" t="str">
        <f aca="false">IF(IsPro,IF($D1267="","",IF(AND(V1267&lt;&gt;"",INDEX(Parties!$E$5:$E$304,V1267)&lt;&gt;"",INDEX(Parties!$E$5:$E$304,V1267)&lt;&gt;HomeState),ROUND(L1267*M1267,2),0)),"")</f>
        <v/>
      </c>
      <c r="Q1267" s="61" t="str">
        <f aca="false">IF(IsPro,IF($D1267="","",L1267+N1267+O1267+P1267),"")</f>
        <v/>
      </c>
      <c r="R1267" s="61" t="str">
        <f aca="false">IF(IsPro,IF($D1267="","",ROUND(N($E1267)*IFERROR(INDEX(Items!$P$5:$P$504,U1267),0),2)),"")</f>
        <v/>
      </c>
      <c r="S1267" s="61" t="str">
        <f aca="false">IF(IsPro,IF($D1267="","",L1267-R1267),"")</f>
        <v/>
      </c>
      <c r="T1267" s="60" t="str">
        <f aca="false">IF(IsPro,IF($D1267="","",IF(U1267="","UNKNOWN ITEM",IF(INDEX(Items!$O$5:$O$504,U1267)&lt;0,"NEG STOCK",IF(K1267&lt;INDEX(Items!$P$5:$P$504,U1267),"BELOW COST","OK")))),IF($D1267="","","PRO PLAN"))</f>
        <v/>
      </c>
      <c r="U1267" s="60" t="str">
        <f aca="false">IF(IsPro,IF($D1267="","",IFERROR(MATCH($D1267,Items!$A$5:$A$504,0),"")),"")</f>
        <v/>
      </c>
      <c r="V1267" s="60" t="str">
        <f aca="false">IF(IsPro,IF($C1267="","",IFERROR(MATCH($C1267,Parties!$A$5:$A$304,0),"")),"")</f>
        <v/>
      </c>
      <c r="W1267" s="60" t="str">
        <f aca="false">IF(IsPro,IF($B1267="","",IFERROR(VALUE(SUBSTITUTE($B1267,InvPrefix,"")),0)),"")</f>
        <v/>
      </c>
      <c r="X1267" s="61" t="str">
        <f aca="false">IF(IsPro,IF($D1267="","",IF(OR($H1267="",$H1267="Credit"),0,Q1267)),"")</f>
        <v/>
      </c>
    </row>
    <row r="1268" customFormat="false" ht="15" hidden="false" customHeight="false" outlineLevel="0" collapsed="false">
      <c r="A1268" s="55"/>
      <c r="B1268" s="56"/>
      <c r="C1268" s="56"/>
      <c r="D1268" s="56"/>
      <c r="E1268" s="57"/>
      <c r="F1268" s="58"/>
      <c r="G1268" s="59"/>
      <c r="H1268" s="56"/>
      <c r="I1268" s="56"/>
      <c r="J1268" s="60" t="str">
        <f aca="false">IF(IsPro,IF($D1268="","",IFERROR(INDEX(Items!$D$5:$D$504,U1268),"")),"")</f>
        <v/>
      </c>
      <c r="K1268" s="61" t="str">
        <f aca="false">IF(IsPro,IF($D1268="","",IF($F1268="",IFERROR(INDEX(Items!$H$5:$H$504,U1268),0),$F1268)),"")</f>
        <v/>
      </c>
      <c r="L1268" s="61" t="str">
        <f aca="false">IF(IsPro,IF($D1268="","",ROUND(N($E1268)*K1268*(1-N($G1268)),2)),"")</f>
        <v/>
      </c>
      <c r="M1268" s="62" t="str">
        <f aca="false">IF(IsPro,IF($D1268="","",IFERROR(INDEX(Items!$F$5:$F$504,U1268),0)),"")</f>
        <v/>
      </c>
      <c r="N1268" s="61" t="str">
        <f aca="false">IF(IsPro,IF($D1268="","",IF(AND(V1268&lt;&gt;"",INDEX(Parties!$E$5:$E$304,V1268)&lt;&gt;"",INDEX(Parties!$E$5:$E$304,V1268)&lt;&gt;HomeState),0,ROUND(L1268*M1268/2,2))),"")</f>
        <v/>
      </c>
      <c r="O1268" s="61" t="str">
        <f aca="false">IF(IsPro,IF($D1268="","",N1268),"")</f>
        <v/>
      </c>
      <c r="P1268" s="61" t="str">
        <f aca="false">IF(IsPro,IF($D1268="","",IF(AND(V1268&lt;&gt;"",INDEX(Parties!$E$5:$E$304,V1268)&lt;&gt;"",INDEX(Parties!$E$5:$E$304,V1268)&lt;&gt;HomeState),ROUND(L1268*M1268,2),0)),"")</f>
        <v/>
      </c>
      <c r="Q1268" s="61" t="str">
        <f aca="false">IF(IsPro,IF($D1268="","",L1268+N1268+O1268+P1268),"")</f>
        <v/>
      </c>
      <c r="R1268" s="61" t="str">
        <f aca="false">IF(IsPro,IF($D1268="","",ROUND(N($E1268)*IFERROR(INDEX(Items!$P$5:$P$504,U1268),0),2)),"")</f>
        <v/>
      </c>
      <c r="S1268" s="61" t="str">
        <f aca="false">IF(IsPro,IF($D1268="","",L1268-R1268),"")</f>
        <v/>
      </c>
      <c r="T1268" s="60" t="str">
        <f aca="false">IF(IsPro,IF($D1268="","",IF(U1268="","UNKNOWN ITEM",IF(INDEX(Items!$O$5:$O$504,U1268)&lt;0,"NEG STOCK",IF(K1268&lt;INDEX(Items!$P$5:$P$504,U1268),"BELOW COST","OK")))),IF($D1268="","","PRO PLAN"))</f>
        <v/>
      </c>
      <c r="U1268" s="60" t="str">
        <f aca="false">IF(IsPro,IF($D1268="","",IFERROR(MATCH($D1268,Items!$A$5:$A$504,0),"")),"")</f>
        <v/>
      </c>
      <c r="V1268" s="60" t="str">
        <f aca="false">IF(IsPro,IF($C1268="","",IFERROR(MATCH($C1268,Parties!$A$5:$A$304,0),"")),"")</f>
        <v/>
      </c>
      <c r="W1268" s="60" t="str">
        <f aca="false">IF(IsPro,IF($B1268="","",IFERROR(VALUE(SUBSTITUTE($B1268,InvPrefix,"")),0)),"")</f>
        <v/>
      </c>
      <c r="X1268" s="61" t="str">
        <f aca="false">IF(IsPro,IF($D1268="","",IF(OR($H1268="",$H1268="Credit"),0,Q1268)),"")</f>
        <v/>
      </c>
    </row>
    <row r="1269" customFormat="false" ht="15" hidden="false" customHeight="false" outlineLevel="0" collapsed="false">
      <c r="A1269" s="55"/>
      <c r="B1269" s="56"/>
      <c r="C1269" s="56"/>
      <c r="D1269" s="56"/>
      <c r="E1269" s="57"/>
      <c r="F1269" s="58"/>
      <c r="G1269" s="59"/>
      <c r="H1269" s="56"/>
      <c r="I1269" s="56"/>
      <c r="J1269" s="60" t="str">
        <f aca="false">IF(IsPro,IF($D1269="","",IFERROR(INDEX(Items!$D$5:$D$504,U1269),"")),"")</f>
        <v/>
      </c>
      <c r="K1269" s="61" t="str">
        <f aca="false">IF(IsPro,IF($D1269="","",IF($F1269="",IFERROR(INDEX(Items!$H$5:$H$504,U1269),0),$F1269)),"")</f>
        <v/>
      </c>
      <c r="L1269" s="61" t="str">
        <f aca="false">IF(IsPro,IF($D1269="","",ROUND(N($E1269)*K1269*(1-N($G1269)),2)),"")</f>
        <v/>
      </c>
      <c r="M1269" s="62" t="str">
        <f aca="false">IF(IsPro,IF($D1269="","",IFERROR(INDEX(Items!$F$5:$F$504,U1269),0)),"")</f>
        <v/>
      </c>
      <c r="N1269" s="61" t="str">
        <f aca="false">IF(IsPro,IF($D1269="","",IF(AND(V1269&lt;&gt;"",INDEX(Parties!$E$5:$E$304,V1269)&lt;&gt;"",INDEX(Parties!$E$5:$E$304,V1269)&lt;&gt;HomeState),0,ROUND(L1269*M1269/2,2))),"")</f>
        <v/>
      </c>
      <c r="O1269" s="61" t="str">
        <f aca="false">IF(IsPro,IF($D1269="","",N1269),"")</f>
        <v/>
      </c>
      <c r="P1269" s="61" t="str">
        <f aca="false">IF(IsPro,IF($D1269="","",IF(AND(V1269&lt;&gt;"",INDEX(Parties!$E$5:$E$304,V1269)&lt;&gt;"",INDEX(Parties!$E$5:$E$304,V1269)&lt;&gt;HomeState),ROUND(L1269*M1269,2),0)),"")</f>
        <v/>
      </c>
      <c r="Q1269" s="61" t="str">
        <f aca="false">IF(IsPro,IF($D1269="","",L1269+N1269+O1269+P1269),"")</f>
        <v/>
      </c>
      <c r="R1269" s="61" t="str">
        <f aca="false">IF(IsPro,IF($D1269="","",ROUND(N($E1269)*IFERROR(INDEX(Items!$P$5:$P$504,U1269),0),2)),"")</f>
        <v/>
      </c>
      <c r="S1269" s="61" t="str">
        <f aca="false">IF(IsPro,IF($D1269="","",L1269-R1269),"")</f>
        <v/>
      </c>
      <c r="T1269" s="60" t="str">
        <f aca="false">IF(IsPro,IF($D1269="","",IF(U1269="","UNKNOWN ITEM",IF(INDEX(Items!$O$5:$O$504,U1269)&lt;0,"NEG STOCK",IF(K1269&lt;INDEX(Items!$P$5:$P$504,U1269),"BELOW COST","OK")))),IF($D1269="","","PRO PLAN"))</f>
        <v/>
      </c>
      <c r="U1269" s="60" t="str">
        <f aca="false">IF(IsPro,IF($D1269="","",IFERROR(MATCH($D1269,Items!$A$5:$A$504,0),"")),"")</f>
        <v/>
      </c>
      <c r="V1269" s="60" t="str">
        <f aca="false">IF(IsPro,IF($C1269="","",IFERROR(MATCH($C1269,Parties!$A$5:$A$304,0),"")),"")</f>
        <v/>
      </c>
      <c r="W1269" s="60" t="str">
        <f aca="false">IF(IsPro,IF($B1269="","",IFERROR(VALUE(SUBSTITUTE($B1269,InvPrefix,"")),0)),"")</f>
        <v/>
      </c>
      <c r="X1269" s="61" t="str">
        <f aca="false">IF(IsPro,IF($D1269="","",IF(OR($H1269="",$H1269="Credit"),0,Q1269)),"")</f>
        <v/>
      </c>
    </row>
    <row r="1270" customFormat="false" ht="15" hidden="false" customHeight="false" outlineLevel="0" collapsed="false">
      <c r="A1270" s="55"/>
      <c r="B1270" s="56"/>
      <c r="C1270" s="56"/>
      <c r="D1270" s="56"/>
      <c r="E1270" s="57"/>
      <c r="F1270" s="58"/>
      <c r="G1270" s="59"/>
      <c r="H1270" s="56"/>
      <c r="I1270" s="56"/>
      <c r="J1270" s="60" t="str">
        <f aca="false">IF(IsPro,IF($D1270="","",IFERROR(INDEX(Items!$D$5:$D$504,U1270),"")),"")</f>
        <v/>
      </c>
      <c r="K1270" s="61" t="str">
        <f aca="false">IF(IsPro,IF($D1270="","",IF($F1270="",IFERROR(INDEX(Items!$H$5:$H$504,U1270),0),$F1270)),"")</f>
        <v/>
      </c>
      <c r="L1270" s="61" t="str">
        <f aca="false">IF(IsPro,IF($D1270="","",ROUND(N($E1270)*K1270*(1-N($G1270)),2)),"")</f>
        <v/>
      </c>
      <c r="M1270" s="62" t="str">
        <f aca="false">IF(IsPro,IF($D1270="","",IFERROR(INDEX(Items!$F$5:$F$504,U1270),0)),"")</f>
        <v/>
      </c>
      <c r="N1270" s="61" t="str">
        <f aca="false">IF(IsPro,IF($D1270="","",IF(AND(V1270&lt;&gt;"",INDEX(Parties!$E$5:$E$304,V1270)&lt;&gt;"",INDEX(Parties!$E$5:$E$304,V1270)&lt;&gt;HomeState),0,ROUND(L1270*M1270/2,2))),"")</f>
        <v/>
      </c>
      <c r="O1270" s="61" t="str">
        <f aca="false">IF(IsPro,IF($D1270="","",N1270),"")</f>
        <v/>
      </c>
      <c r="P1270" s="61" t="str">
        <f aca="false">IF(IsPro,IF($D1270="","",IF(AND(V1270&lt;&gt;"",INDEX(Parties!$E$5:$E$304,V1270)&lt;&gt;"",INDEX(Parties!$E$5:$E$304,V1270)&lt;&gt;HomeState),ROUND(L1270*M1270,2),0)),"")</f>
        <v/>
      </c>
      <c r="Q1270" s="61" t="str">
        <f aca="false">IF(IsPro,IF($D1270="","",L1270+N1270+O1270+P1270),"")</f>
        <v/>
      </c>
      <c r="R1270" s="61" t="str">
        <f aca="false">IF(IsPro,IF($D1270="","",ROUND(N($E1270)*IFERROR(INDEX(Items!$P$5:$P$504,U1270),0),2)),"")</f>
        <v/>
      </c>
      <c r="S1270" s="61" t="str">
        <f aca="false">IF(IsPro,IF($D1270="","",L1270-R1270),"")</f>
        <v/>
      </c>
      <c r="T1270" s="60" t="str">
        <f aca="false">IF(IsPro,IF($D1270="","",IF(U1270="","UNKNOWN ITEM",IF(INDEX(Items!$O$5:$O$504,U1270)&lt;0,"NEG STOCK",IF(K1270&lt;INDEX(Items!$P$5:$P$504,U1270),"BELOW COST","OK")))),IF($D1270="","","PRO PLAN"))</f>
        <v/>
      </c>
      <c r="U1270" s="60" t="str">
        <f aca="false">IF(IsPro,IF($D1270="","",IFERROR(MATCH($D1270,Items!$A$5:$A$504,0),"")),"")</f>
        <v/>
      </c>
      <c r="V1270" s="60" t="str">
        <f aca="false">IF(IsPro,IF($C1270="","",IFERROR(MATCH($C1270,Parties!$A$5:$A$304,0),"")),"")</f>
        <v/>
      </c>
      <c r="W1270" s="60" t="str">
        <f aca="false">IF(IsPro,IF($B1270="","",IFERROR(VALUE(SUBSTITUTE($B1270,InvPrefix,"")),0)),"")</f>
        <v/>
      </c>
      <c r="X1270" s="61" t="str">
        <f aca="false">IF(IsPro,IF($D1270="","",IF(OR($H1270="",$H1270="Credit"),0,Q1270)),"")</f>
        <v/>
      </c>
    </row>
    <row r="1271" customFormat="false" ht="15" hidden="false" customHeight="false" outlineLevel="0" collapsed="false">
      <c r="A1271" s="55"/>
      <c r="B1271" s="56"/>
      <c r="C1271" s="56"/>
      <c r="D1271" s="56"/>
      <c r="E1271" s="57"/>
      <c r="F1271" s="58"/>
      <c r="G1271" s="59"/>
      <c r="H1271" s="56"/>
      <c r="I1271" s="56"/>
      <c r="J1271" s="60" t="str">
        <f aca="false">IF(IsPro,IF($D1271="","",IFERROR(INDEX(Items!$D$5:$D$504,U1271),"")),"")</f>
        <v/>
      </c>
      <c r="K1271" s="61" t="str">
        <f aca="false">IF(IsPro,IF($D1271="","",IF($F1271="",IFERROR(INDEX(Items!$H$5:$H$504,U1271),0),$F1271)),"")</f>
        <v/>
      </c>
      <c r="L1271" s="61" t="str">
        <f aca="false">IF(IsPro,IF($D1271="","",ROUND(N($E1271)*K1271*(1-N($G1271)),2)),"")</f>
        <v/>
      </c>
      <c r="M1271" s="62" t="str">
        <f aca="false">IF(IsPro,IF($D1271="","",IFERROR(INDEX(Items!$F$5:$F$504,U1271),0)),"")</f>
        <v/>
      </c>
      <c r="N1271" s="61" t="str">
        <f aca="false">IF(IsPro,IF($D1271="","",IF(AND(V1271&lt;&gt;"",INDEX(Parties!$E$5:$E$304,V1271)&lt;&gt;"",INDEX(Parties!$E$5:$E$304,V1271)&lt;&gt;HomeState),0,ROUND(L1271*M1271/2,2))),"")</f>
        <v/>
      </c>
      <c r="O1271" s="61" t="str">
        <f aca="false">IF(IsPro,IF($D1271="","",N1271),"")</f>
        <v/>
      </c>
      <c r="P1271" s="61" t="str">
        <f aca="false">IF(IsPro,IF($D1271="","",IF(AND(V1271&lt;&gt;"",INDEX(Parties!$E$5:$E$304,V1271)&lt;&gt;"",INDEX(Parties!$E$5:$E$304,V1271)&lt;&gt;HomeState),ROUND(L1271*M1271,2),0)),"")</f>
        <v/>
      </c>
      <c r="Q1271" s="61" t="str">
        <f aca="false">IF(IsPro,IF($D1271="","",L1271+N1271+O1271+P1271),"")</f>
        <v/>
      </c>
      <c r="R1271" s="61" t="str">
        <f aca="false">IF(IsPro,IF($D1271="","",ROUND(N($E1271)*IFERROR(INDEX(Items!$P$5:$P$504,U1271),0),2)),"")</f>
        <v/>
      </c>
      <c r="S1271" s="61" t="str">
        <f aca="false">IF(IsPro,IF($D1271="","",L1271-R1271),"")</f>
        <v/>
      </c>
      <c r="T1271" s="60" t="str">
        <f aca="false">IF(IsPro,IF($D1271="","",IF(U1271="","UNKNOWN ITEM",IF(INDEX(Items!$O$5:$O$504,U1271)&lt;0,"NEG STOCK",IF(K1271&lt;INDEX(Items!$P$5:$P$504,U1271),"BELOW COST","OK")))),IF($D1271="","","PRO PLAN"))</f>
        <v/>
      </c>
      <c r="U1271" s="60" t="str">
        <f aca="false">IF(IsPro,IF($D1271="","",IFERROR(MATCH($D1271,Items!$A$5:$A$504,0),"")),"")</f>
        <v/>
      </c>
      <c r="V1271" s="60" t="str">
        <f aca="false">IF(IsPro,IF($C1271="","",IFERROR(MATCH($C1271,Parties!$A$5:$A$304,0),"")),"")</f>
        <v/>
      </c>
      <c r="W1271" s="60" t="str">
        <f aca="false">IF(IsPro,IF($B1271="","",IFERROR(VALUE(SUBSTITUTE($B1271,InvPrefix,"")),0)),"")</f>
        <v/>
      </c>
      <c r="X1271" s="61" t="str">
        <f aca="false">IF(IsPro,IF($D1271="","",IF(OR($H1271="",$H1271="Credit"),0,Q1271)),"")</f>
        <v/>
      </c>
    </row>
    <row r="1272" customFormat="false" ht="15" hidden="false" customHeight="false" outlineLevel="0" collapsed="false">
      <c r="A1272" s="55"/>
      <c r="B1272" s="56"/>
      <c r="C1272" s="56"/>
      <c r="D1272" s="56"/>
      <c r="E1272" s="57"/>
      <c r="F1272" s="58"/>
      <c r="G1272" s="59"/>
      <c r="H1272" s="56"/>
      <c r="I1272" s="56"/>
      <c r="J1272" s="60" t="str">
        <f aca="false">IF(IsPro,IF($D1272="","",IFERROR(INDEX(Items!$D$5:$D$504,U1272),"")),"")</f>
        <v/>
      </c>
      <c r="K1272" s="61" t="str">
        <f aca="false">IF(IsPro,IF($D1272="","",IF($F1272="",IFERROR(INDEX(Items!$H$5:$H$504,U1272),0),$F1272)),"")</f>
        <v/>
      </c>
      <c r="L1272" s="61" t="str">
        <f aca="false">IF(IsPro,IF($D1272="","",ROUND(N($E1272)*K1272*(1-N($G1272)),2)),"")</f>
        <v/>
      </c>
      <c r="M1272" s="62" t="str">
        <f aca="false">IF(IsPro,IF($D1272="","",IFERROR(INDEX(Items!$F$5:$F$504,U1272),0)),"")</f>
        <v/>
      </c>
      <c r="N1272" s="61" t="str">
        <f aca="false">IF(IsPro,IF($D1272="","",IF(AND(V1272&lt;&gt;"",INDEX(Parties!$E$5:$E$304,V1272)&lt;&gt;"",INDEX(Parties!$E$5:$E$304,V1272)&lt;&gt;HomeState),0,ROUND(L1272*M1272/2,2))),"")</f>
        <v/>
      </c>
      <c r="O1272" s="61" t="str">
        <f aca="false">IF(IsPro,IF($D1272="","",N1272),"")</f>
        <v/>
      </c>
      <c r="P1272" s="61" t="str">
        <f aca="false">IF(IsPro,IF($D1272="","",IF(AND(V1272&lt;&gt;"",INDEX(Parties!$E$5:$E$304,V1272)&lt;&gt;"",INDEX(Parties!$E$5:$E$304,V1272)&lt;&gt;HomeState),ROUND(L1272*M1272,2),0)),"")</f>
        <v/>
      </c>
      <c r="Q1272" s="61" t="str">
        <f aca="false">IF(IsPro,IF($D1272="","",L1272+N1272+O1272+P1272),"")</f>
        <v/>
      </c>
      <c r="R1272" s="61" t="str">
        <f aca="false">IF(IsPro,IF($D1272="","",ROUND(N($E1272)*IFERROR(INDEX(Items!$P$5:$P$504,U1272),0),2)),"")</f>
        <v/>
      </c>
      <c r="S1272" s="61" t="str">
        <f aca="false">IF(IsPro,IF($D1272="","",L1272-R1272),"")</f>
        <v/>
      </c>
      <c r="T1272" s="60" t="str">
        <f aca="false">IF(IsPro,IF($D1272="","",IF(U1272="","UNKNOWN ITEM",IF(INDEX(Items!$O$5:$O$504,U1272)&lt;0,"NEG STOCK",IF(K1272&lt;INDEX(Items!$P$5:$P$504,U1272),"BELOW COST","OK")))),IF($D1272="","","PRO PLAN"))</f>
        <v/>
      </c>
      <c r="U1272" s="60" t="str">
        <f aca="false">IF(IsPro,IF($D1272="","",IFERROR(MATCH($D1272,Items!$A$5:$A$504,0),"")),"")</f>
        <v/>
      </c>
      <c r="V1272" s="60" t="str">
        <f aca="false">IF(IsPro,IF($C1272="","",IFERROR(MATCH($C1272,Parties!$A$5:$A$304,0),"")),"")</f>
        <v/>
      </c>
      <c r="W1272" s="60" t="str">
        <f aca="false">IF(IsPro,IF($B1272="","",IFERROR(VALUE(SUBSTITUTE($B1272,InvPrefix,"")),0)),"")</f>
        <v/>
      </c>
      <c r="X1272" s="61" t="str">
        <f aca="false">IF(IsPro,IF($D1272="","",IF(OR($H1272="",$H1272="Credit"),0,Q1272)),"")</f>
        <v/>
      </c>
    </row>
    <row r="1273" customFormat="false" ht="15" hidden="false" customHeight="false" outlineLevel="0" collapsed="false">
      <c r="A1273" s="55"/>
      <c r="B1273" s="56"/>
      <c r="C1273" s="56"/>
      <c r="D1273" s="56"/>
      <c r="E1273" s="57"/>
      <c r="F1273" s="58"/>
      <c r="G1273" s="59"/>
      <c r="H1273" s="56"/>
      <c r="I1273" s="56"/>
      <c r="J1273" s="60" t="str">
        <f aca="false">IF(IsPro,IF($D1273="","",IFERROR(INDEX(Items!$D$5:$D$504,U1273),"")),"")</f>
        <v/>
      </c>
      <c r="K1273" s="61" t="str">
        <f aca="false">IF(IsPro,IF($D1273="","",IF($F1273="",IFERROR(INDEX(Items!$H$5:$H$504,U1273),0),$F1273)),"")</f>
        <v/>
      </c>
      <c r="L1273" s="61" t="str">
        <f aca="false">IF(IsPro,IF($D1273="","",ROUND(N($E1273)*K1273*(1-N($G1273)),2)),"")</f>
        <v/>
      </c>
      <c r="M1273" s="62" t="str">
        <f aca="false">IF(IsPro,IF($D1273="","",IFERROR(INDEX(Items!$F$5:$F$504,U1273),0)),"")</f>
        <v/>
      </c>
      <c r="N1273" s="61" t="str">
        <f aca="false">IF(IsPro,IF($D1273="","",IF(AND(V1273&lt;&gt;"",INDEX(Parties!$E$5:$E$304,V1273)&lt;&gt;"",INDEX(Parties!$E$5:$E$304,V1273)&lt;&gt;HomeState),0,ROUND(L1273*M1273/2,2))),"")</f>
        <v/>
      </c>
      <c r="O1273" s="61" t="str">
        <f aca="false">IF(IsPro,IF($D1273="","",N1273),"")</f>
        <v/>
      </c>
      <c r="P1273" s="61" t="str">
        <f aca="false">IF(IsPro,IF($D1273="","",IF(AND(V1273&lt;&gt;"",INDEX(Parties!$E$5:$E$304,V1273)&lt;&gt;"",INDEX(Parties!$E$5:$E$304,V1273)&lt;&gt;HomeState),ROUND(L1273*M1273,2),0)),"")</f>
        <v/>
      </c>
      <c r="Q1273" s="61" t="str">
        <f aca="false">IF(IsPro,IF($D1273="","",L1273+N1273+O1273+P1273),"")</f>
        <v/>
      </c>
      <c r="R1273" s="61" t="str">
        <f aca="false">IF(IsPro,IF($D1273="","",ROUND(N($E1273)*IFERROR(INDEX(Items!$P$5:$P$504,U1273),0),2)),"")</f>
        <v/>
      </c>
      <c r="S1273" s="61" t="str">
        <f aca="false">IF(IsPro,IF($D1273="","",L1273-R1273),"")</f>
        <v/>
      </c>
      <c r="T1273" s="60" t="str">
        <f aca="false">IF(IsPro,IF($D1273="","",IF(U1273="","UNKNOWN ITEM",IF(INDEX(Items!$O$5:$O$504,U1273)&lt;0,"NEG STOCK",IF(K1273&lt;INDEX(Items!$P$5:$P$504,U1273),"BELOW COST","OK")))),IF($D1273="","","PRO PLAN"))</f>
        <v/>
      </c>
      <c r="U1273" s="60" t="str">
        <f aca="false">IF(IsPro,IF($D1273="","",IFERROR(MATCH($D1273,Items!$A$5:$A$504,0),"")),"")</f>
        <v/>
      </c>
      <c r="V1273" s="60" t="str">
        <f aca="false">IF(IsPro,IF($C1273="","",IFERROR(MATCH($C1273,Parties!$A$5:$A$304,0),"")),"")</f>
        <v/>
      </c>
      <c r="W1273" s="60" t="str">
        <f aca="false">IF(IsPro,IF($B1273="","",IFERROR(VALUE(SUBSTITUTE($B1273,InvPrefix,"")),0)),"")</f>
        <v/>
      </c>
      <c r="X1273" s="61" t="str">
        <f aca="false">IF(IsPro,IF($D1273="","",IF(OR($H1273="",$H1273="Credit"),0,Q1273)),"")</f>
        <v/>
      </c>
    </row>
    <row r="1274" customFormat="false" ht="15" hidden="false" customHeight="false" outlineLevel="0" collapsed="false">
      <c r="A1274" s="55"/>
      <c r="B1274" s="56"/>
      <c r="C1274" s="56"/>
      <c r="D1274" s="56"/>
      <c r="E1274" s="57"/>
      <c r="F1274" s="58"/>
      <c r="G1274" s="59"/>
      <c r="H1274" s="56"/>
      <c r="I1274" s="56"/>
      <c r="J1274" s="60" t="str">
        <f aca="false">IF(IsPro,IF($D1274="","",IFERROR(INDEX(Items!$D$5:$D$504,U1274),"")),"")</f>
        <v/>
      </c>
      <c r="K1274" s="61" t="str">
        <f aca="false">IF(IsPro,IF($D1274="","",IF($F1274="",IFERROR(INDEX(Items!$H$5:$H$504,U1274),0),$F1274)),"")</f>
        <v/>
      </c>
      <c r="L1274" s="61" t="str">
        <f aca="false">IF(IsPro,IF($D1274="","",ROUND(N($E1274)*K1274*(1-N($G1274)),2)),"")</f>
        <v/>
      </c>
      <c r="M1274" s="62" t="str">
        <f aca="false">IF(IsPro,IF($D1274="","",IFERROR(INDEX(Items!$F$5:$F$504,U1274),0)),"")</f>
        <v/>
      </c>
      <c r="N1274" s="61" t="str">
        <f aca="false">IF(IsPro,IF($D1274="","",IF(AND(V1274&lt;&gt;"",INDEX(Parties!$E$5:$E$304,V1274)&lt;&gt;"",INDEX(Parties!$E$5:$E$304,V1274)&lt;&gt;HomeState),0,ROUND(L1274*M1274/2,2))),"")</f>
        <v/>
      </c>
      <c r="O1274" s="61" t="str">
        <f aca="false">IF(IsPro,IF($D1274="","",N1274),"")</f>
        <v/>
      </c>
      <c r="P1274" s="61" t="str">
        <f aca="false">IF(IsPro,IF($D1274="","",IF(AND(V1274&lt;&gt;"",INDEX(Parties!$E$5:$E$304,V1274)&lt;&gt;"",INDEX(Parties!$E$5:$E$304,V1274)&lt;&gt;HomeState),ROUND(L1274*M1274,2),0)),"")</f>
        <v/>
      </c>
      <c r="Q1274" s="61" t="str">
        <f aca="false">IF(IsPro,IF($D1274="","",L1274+N1274+O1274+P1274),"")</f>
        <v/>
      </c>
      <c r="R1274" s="61" t="str">
        <f aca="false">IF(IsPro,IF($D1274="","",ROUND(N($E1274)*IFERROR(INDEX(Items!$P$5:$P$504,U1274),0),2)),"")</f>
        <v/>
      </c>
      <c r="S1274" s="61" t="str">
        <f aca="false">IF(IsPro,IF($D1274="","",L1274-R1274),"")</f>
        <v/>
      </c>
      <c r="T1274" s="60" t="str">
        <f aca="false">IF(IsPro,IF($D1274="","",IF(U1274="","UNKNOWN ITEM",IF(INDEX(Items!$O$5:$O$504,U1274)&lt;0,"NEG STOCK",IF(K1274&lt;INDEX(Items!$P$5:$P$504,U1274),"BELOW COST","OK")))),IF($D1274="","","PRO PLAN"))</f>
        <v/>
      </c>
      <c r="U1274" s="60" t="str">
        <f aca="false">IF(IsPro,IF($D1274="","",IFERROR(MATCH($D1274,Items!$A$5:$A$504,0),"")),"")</f>
        <v/>
      </c>
      <c r="V1274" s="60" t="str">
        <f aca="false">IF(IsPro,IF($C1274="","",IFERROR(MATCH($C1274,Parties!$A$5:$A$304,0),"")),"")</f>
        <v/>
      </c>
      <c r="W1274" s="60" t="str">
        <f aca="false">IF(IsPro,IF($B1274="","",IFERROR(VALUE(SUBSTITUTE($B1274,InvPrefix,"")),0)),"")</f>
        <v/>
      </c>
      <c r="X1274" s="61" t="str">
        <f aca="false">IF(IsPro,IF($D1274="","",IF(OR($H1274="",$H1274="Credit"),0,Q1274)),"")</f>
        <v/>
      </c>
    </row>
    <row r="1275" customFormat="false" ht="15" hidden="false" customHeight="false" outlineLevel="0" collapsed="false">
      <c r="A1275" s="55"/>
      <c r="B1275" s="56"/>
      <c r="C1275" s="56"/>
      <c r="D1275" s="56"/>
      <c r="E1275" s="57"/>
      <c r="F1275" s="58"/>
      <c r="G1275" s="59"/>
      <c r="H1275" s="56"/>
      <c r="I1275" s="56"/>
      <c r="J1275" s="60" t="str">
        <f aca="false">IF(IsPro,IF($D1275="","",IFERROR(INDEX(Items!$D$5:$D$504,U1275),"")),"")</f>
        <v/>
      </c>
      <c r="K1275" s="61" t="str">
        <f aca="false">IF(IsPro,IF($D1275="","",IF($F1275="",IFERROR(INDEX(Items!$H$5:$H$504,U1275),0),$F1275)),"")</f>
        <v/>
      </c>
      <c r="L1275" s="61" t="str">
        <f aca="false">IF(IsPro,IF($D1275="","",ROUND(N($E1275)*K1275*(1-N($G1275)),2)),"")</f>
        <v/>
      </c>
      <c r="M1275" s="62" t="str">
        <f aca="false">IF(IsPro,IF($D1275="","",IFERROR(INDEX(Items!$F$5:$F$504,U1275),0)),"")</f>
        <v/>
      </c>
      <c r="N1275" s="61" t="str">
        <f aca="false">IF(IsPro,IF($D1275="","",IF(AND(V1275&lt;&gt;"",INDEX(Parties!$E$5:$E$304,V1275)&lt;&gt;"",INDEX(Parties!$E$5:$E$304,V1275)&lt;&gt;HomeState),0,ROUND(L1275*M1275/2,2))),"")</f>
        <v/>
      </c>
      <c r="O1275" s="61" t="str">
        <f aca="false">IF(IsPro,IF($D1275="","",N1275),"")</f>
        <v/>
      </c>
      <c r="P1275" s="61" t="str">
        <f aca="false">IF(IsPro,IF($D1275="","",IF(AND(V1275&lt;&gt;"",INDEX(Parties!$E$5:$E$304,V1275)&lt;&gt;"",INDEX(Parties!$E$5:$E$304,V1275)&lt;&gt;HomeState),ROUND(L1275*M1275,2),0)),"")</f>
        <v/>
      </c>
      <c r="Q1275" s="61" t="str">
        <f aca="false">IF(IsPro,IF($D1275="","",L1275+N1275+O1275+P1275),"")</f>
        <v/>
      </c>
      <c r="R1275" s="61" t="str">
        <f aca="false">IF(IsPro,IF($D1275="","",ROUND(N($E1275)*IFERROR(INDEX(Items!$P$5:$P$504,U1275),0),2)),"")</f>
        <v/>
      </c>
      <c r="S1275" s="61" t="str">
        <f aca="false">IF(IsPro,IF($D1275="","",L1275-R1275),"")</f>
        <v/>
      </c>
      <c r="T1275" s="60" t="str">
        <f aca="false">IF(IsPro,IF($D1275="","",IF(U1275="","UNKNOWN ITEM",IF(INDEX(Items!$O$5:$O$504,U1275)&lt;0,"NEG STOCK",IF(K1275&lt;INDEX(Items!$P$5:$P$504,U1275),"BELOW COST","OK")))),IF($D1275="","","PRO PLAN"))</f>
        <v/>
      </c>
      <c r="U1275" s="60" t="str">
        <f aca="false">IF(IsPro,IF($D1275="","",IFERROR(MATCH($D1275,Items!$A$5:$A$504,0),"")),"")</f>
        <v/>
      </c>
      <c r="V1275" s="60" t="str">
        <f aca="false">IF(IsPro,IF($C1275="","",IFERROR(MATCH($C1275,Parties!$A$5:$A$304,0),"")),"")</f>
        <v/>
      </c>
      <c r="W1275" s="60" t="str">
        <f aca="false">IF(IsPro,IF($B1275="","",IFERROR(VALUE(SUBSTITUTE($B1275,InvPrefix,"")),0)),"")</f>
        <v/>
      </c>
      <c r="X1275" s="61" t="str">
        <f aca="false">IF(IsPro,IF($D1275="","",IF(OR($H1275="",$H1275="Credit"),0,Q1275)),"")</f>
        <v/>
      </c>
    </row>
    <row r="1276" customFormat="false" ht="15" hidden="false" customHeight="false" outlineLevel="0" collapsed="false">
      <c r="A1276" s="55"/>
      <c r="B1276" s="56"/>
      <c r="C1276" s="56"/>
      <c r="D1276" s="56"/>
      <c r="E1276" s="57"/>
      <c r="F1276" s="58"/>
      <c r="G1276" s="59"/>
      <c r="H1276" s="56"/>
      <c r="I1276" s="56"/>
      <c r="J1276" s="60" t="str">
        <f aca="false">IF(IsPro,IF($D1276="","",IFERROR(INDEX(Items!$D$5:$D$504,U1276),"")),"")</f>
        <v/>
      </c>
      <c r="K1276" s="61" t="str">
        <f aca="false">IF(IsPro,IF($D1276="","",IF($F1276="",IFERROR(INDEX(Items!$H$5:$H$504,U1276),0),$F1276)),"")</f>
        <v/>
      </c>
      <c r="L1276" s="61" t="str">
        <f aca="false">IF(IsPro,IF($D1276="","",ROUND(N($E1276)*K1276*(1-N($G1276)),2)),"")</f>
        <v/>
      </c>
      <c r="M1276" s="62" t="str">
        <f aca="false">IF(IsPro,IF($D1276="","",IFERROR(INDEX(Items!$F$5:$F$504,U1276),0)),"")</f>
        <v/>
      </c>
      <c r="N1276" s="61" t="str">
        <f aca="false">IF(IsPro,IF($D1276="","",IF(AND(V1276&lt;&gt;"",INDEX(Parties!$E$5:$E$304,V1276)&lt;&gt;"",INDEX(Parties!$E$5:$E$304,V1276)&lt;&gt;HomeState),0,ROUND(L1276*M1276/2,2))),"")</f>
        <v/>
      </c>
      <c r="O1276" s="61" t="str">
        <f aca="false">IF(IsPro,IF($D1276="","",N1276),"")</f>
        <v/>
      </c>
      <c r="P1276" s="61" t="str">
        <f aca="false">IF(IsPro,IF($D1276="","",IF(AND(V1276&lt;&gt;"",INDEX(Parties!$E$5:$E$304,V1276)&lt;&gt;"",INDEX(Parties!$E$5:$E$304,V1276)&lt;&gt;HomeState),ROUND(L1276*M1276,2),0)),"")</f>
        <v/>
      </c>
      <c r="Q1276" s="61" t="str">
        <f aca="false">IF(IsPro,IF($D1276="","",L1276+N1276+O1276+P1276),"")</f>
        <v/>
      </c>
      <c r="R1276" s="61" t="str">
        <f aca="false">IF(IsPro,IF($D1276="","",ROUND(N($E1276)*IFERROR(INDEX(Items!$P$5:$P$504,U1276),0),2)),"")</f>
        <v/>
      </c>
      <c r="S1276" s="61" t="str">
        <f aca="false">IF(IsPro,IF($D1276="","",L1276-R1276),"")</f>
        <v/>
      </c>
      <c r="T1276" s="60" t="str">
        <f aca="false">IF(IsPro,IF($D1276="","",IF(U1276="","UNKNOWN ITEM",IF(INDEX(Items!$O$5:$O$504,U1276)&lt;0,"NEG STOCK",IF(K1276&lt;INDEX(Items!$P$5:$P$504,U1276),"BELOW COST","OK")))),IF($D1276="","","PRO PLAN"))</f>
        <v/>
      </c>
      <c r="U1276" s="60" t="str">
        <f aca="false">IF(IsPro,IF($D1276="","",IFERROR(MATCH($D1276,Items!$A$5:$A$504,0),"")),"")</f>
        <v/>
      </c>
      <c r="V1276" s="60" t="str">
        <f aca="false">IF(IsPro,IF($C1276="","",IFERROR(MATCH($C1276,Parties!$A$5:$A$304,0),"")),"")</f>
        <v/>
      </c>
      <c r="W1276" s="60" t="str">
        <f aca="false">IF(IsPro,IF($B1276="","",IFERROR(VALUE(SUBSTITUTE($B1276,InvPrefix,"")),0)),"")</f>
        <v/>
      </c>
      <c r="X1276" s="61" t="str">
        <f aca="false">IF(IsPro,IF($D1276="","",IF(OR($H1276="",$H1276="Credit"),0,Q1276)),"")</f>
        <v/>
      </c>
    </row>
    <row r="1277" customFormat="false" ht="15" hidden="false" customHeight="false" outlineLevel="0" collapsed="false">
      <c r="A1277" s="55"/>
      <c r="B1277" s="56"/>
      <c r="C1277" s="56"/>
      <c r="D1277" s="56"/>
      <c r="E1277" s="57"/>
      <c r="F1277" s="58"/>
      <c r="G1277" s="59"/>
      <c r="H1277" s="56"/>
      <c r="I1277" s="56"/>
      <c r="J1277" s="60" t="str">
        <f aca="false">IF(IsPro,IF($D1277="","",IFERROR(INDEX(Items!$D$5:$D$504,U1277),"")),"")</f>
        <v/>
      </c>
      <c r="K1277" s="61" t="str">
        <f aca="false">IF(IsPro,IF($D1277="","",IF($F1277="",IFERROR(INDEX(Items!$H$5:$H$504,U1277),0),$F1277)),"")</f>
        <v/>
      </c>
      <c r="L1277" s="61" t="str">
        <f aca="false">IF(IsPro,IF($D1277="","",ROUND(N($E1277)*K1277*(1-N($G1277)),2)),"")</f>
        <v/>
      </c>
      <c r="M1277" s="62" t="str">
        <f aca="false">IF(IsPro,IF($D1277="","",IFERROR(INDEX(Items!$F$5:$F$504,U1277),0)),"")</f>
        <v/>
      </c>
      <c r="N1277" s="61" t="str">
        <f aca="false">IF(IsPro,IF($D1277="","",IF(AND(V1277&lt;&gt;"",INDEX(Parties!$E$5:$E$304,V1277)&lt;&gt;"",INDEX(Parties!$E$5:$E$304,V1277)&lt;&gt;HomeState),0,ROUND(L1277*M1277/2,2))),"")</f>
        <v/>
      </c>
      <c r="O1277" s="61" t="str">
        <f aca="false">IF(IsPro,IF($D1277="","",N1277),"")</f>
        <v/>
      </c>
      <c r="P1277" s="61" t="str">
        <f aca="false">IF(IsPro,IF($D1277="","",IF(AND(V1277&lt;&gt;"",INDEX(Parties!$E$5:$E$304,V1277)&lt;&gt;"",INDEX(Parties!$E$5:$E$304,V1277)&lt;&gt;HomeState),ROUND(L1277*M1277,2),0)),"")</f>
        <v/>
      </c>
      <c r="Q1277" s="61" t="str">
        <f aca="false">IF(IsPro,IF($D1277="","",L1277+N1277+O1277+P1277),"")</f>
        <v/>
      </c>
      <c r="R1277" s="61" t="str">
        <f aca="false">IF(IsPro,IF($D1277="","",ROUND(N($E1277)*IFERROR(INDEX(Items!$P$5:$P$504,U1277),0),2)),"")</f>
        <v/>
      </c>
      <c r="S1277" s="61" t="str">
        <f aca="false">IF(IsPro,IF($D1277="","",L1277-R1277),"")</f>
        <v/>
      </c>
      <c r="T1277" s="60" t="str">
        <f aca="false">IF(IsPro,IF($D1277="","",IF(U1277="","UNKNOWN ITEM",IF(INDEX(Items!$O$5:$O$504,U1277)&lt;0,"NEG STOCK",IF(K1277&lt;INDEX(Items!$P$5:$P$504,U1277),"BELOW COST","OK")))),IF($D1277="","","PRO PLAN"))</f>
        <v/>
      </c>
      <c r="U1277" s="60" t="str">
        <f aca="false">IF(IsPro,IF($D1277="","",IFERROR(MATCH($D1277,Items!$A$5:$A$504,0),"")),"")</f>
        <v/>
      </c>
      <c r="V1277" s="60" t="str">
        <f aca="false">IF(IsPro,IF($C1277="","",IFERROR(MATCH($C1277,Parties!$A$5:$A$304,0),"")),"")</f>
        <v/>
      </c>
      <c r="W1277" s="60" t="str">
        <f aca="false">IF(IsPro,IF($B1277="","",IFERROR(VALUE(SUBSTITUTE($B1277,InvPrefix,"")),0)),"")</f>
        <v/>
      </c>
      <c r="X1277" s="61" t="str">
        <f aca="false">IF(IsPro,IF($D1277="","",IF(OR($H1277="",$H1277="Credit"),0,Q1277)),"")</f>
        <v/>
      </c>
    </row>
    <row r="1278" customFormat="false" ht="15" hidden="false" customHeight="false" outlineLevel="0" collapsed="false">
      <c r="A1278" s="55"/>
      <c r="B1278" s="56"/>
      <c r="C1278" s="56"/>
      <c r="D1278" s="56"/>
      <c r="E1278" s="57"/>
      <c r="F1278" s="58"/>
      <c r="G1278" s="59"/>
      <c r="H1278" s="56"/>
      <c r="I1278" s="56"/>
      <c r="J1278" s="60" t="str">
        <f aca="false">IF(IsPro,IF($D1278="","",IFERROR(INDEX(Items!$D$5:$D$504,U1278),"")),"")</f>
        <v/>
      </c>
      <c r="K1278" s="61" t="str">
        <f aca="false">IF(IsPro,IF($D1278="","",IF($F1278="",IFERROR(INDEX(Items!$H$5:$H$504,U1278),0),$F1278)),"")</f>
        <v/>
      </c>
      <c r="L1278" s="61" t="str">
        <f aca="false">IF(IsPro,IF($D1278="","",ROUND(N($E1278)*K1278*(1-N($G1278)),2)),"")</f>
        <v/>
      </c>
      <c r="M1278" s="62" t="str">
        <f aca="false">IF(IsPro,IF($D1278="","",IFERROR(INDEX(Items!$F$5:$F$504,U1278),0)),"")</f>
        <v/>
      </c>
      <c r="N1278" s="61" t="str">
        <f aca="false">IF(IsPro,IF($D1278="","",IF(AND(V1278&lt;&gt;"",INDEX(Parties!$E$5:$E$304,V1278)&lt;&gt;"",INDEX(Parties!$E$5:$E$304,V1278)&lt;&gt;HomeState),0,ROUND(L1278*M1278/2,2))),"")</f>
        <v/>
      </c>
      <c r="O1278" s="61" t="str">
        <f aca="false">IF(IsPro,IF($D1278="","",N1278),"")</f>
        <v/>
      </c>
      <c r="P1278" s="61" t="str">
        <f aca="false">IF(IsPro,IF($D1278="","",IF(AND(V1278&lt;&gt;"",INDEX(Parties!$E$5:$E$304,V1278)&lt;&gt;"",INDEX(Parties!$E$5:$E$304,V1278)&lt;&gt;HomeState),ROUND(L1278*M1278,2),0)),"")</f>
        <v/>
      </c>
      <c r="Q1278" s="61" t="str">
        <f aca="false">IF(IsPro,IF($D1278="","",L1278+N1278+O1278+P1278),"")</f>
        <v/>
      </c>
      <c r="R1278" s="61" t="str">
        <f aca="false">IF(IsPro,IF($D1278="","",ROUND(N($E1278)*IFERROR(INDEX(Items!$P$5:$P$504,U1278),0),2)),"")</f>
        <v/>
      </c>
      <c r="S1278" s="61" t="str">
        <f aca="false">IF(IsPro,IF($D1278="","",L1278-R1278),"")</f>
        <v/>
      </c>
      <c r="T1278" s="60" t="str">
        <f aca="false">IF(IsPro,IF($D1278="","",IF(U1278="","UNKNOWN ITEM",IF(INDEX(Items!$O$5:$O$504,U1278)&lt;0,"NEG STOCK",IF(K1278&lt;INDEX(Items!$P$5:$P$504,U1278),"BELOW COST","OK")))),IF($D1278="","","PRO PLAN"))</f>
        <v/>
      </c>
      <c r="U1278" s="60" t="str">
        <f aca="false">IF(IsPro,IF($D1278="","",IFERROR(MATCH($D1278,Items!$A$5:$A$504,0),"")),"")</f>
        <v/>
      </c>
      <c r="V1278" s="60" t="str">
        <f aca="false">IF(IsPro,IF($C1278="","",IFERROR(MATCH($C1278,Parties!$A$5:$A$304,0),"")),"")</f>
        <v/>
      </c>
      <c r="W1278" s="60" t="str">
        <f aca="false">IF(IsPro,IF($B1278="","",IFERROR(VALUE(SUBSTITUTE($B1278,InvPrefix,"")),0)),"")</f>
        <v/>
      </c>
      <c r="X1278" s="61" t="str">
        <f aca="false">IF(IsPro,IF($D1278="","",IF(OR($H1278="",$H1278="Credit"),0,Q1278)),"")</f>
        <v/>
      </c>
    </row>
    <row r="1279" customFormat="false" ht="15" hidden="false" customHeight="false" outlineLevel="0" collapsed="false">
      <c r="A1279" s="55"/>
      <c r="B1279" s="56"/>
      <c r="C1279" s="56"/>
      <c r="D1279" s="56"/>
      <c r="E1279" s="57"/>
      <c r="F1279" s="58"/>
      <c r="G1279" s="59"/>
      <c r="H1279" s="56"/>
      <c r="I1279" s="56"/>
      <c r="J1279" s="60" t="str">
        <f aca="false">IF(IsPro,IF($D1279="","",IFERROR(INDEX(Items!$D$5:$D$504,U1279),"")),"")</f>
        <v/>
      </c>
      <c r="K1279" s="61" t="str">
        <f aca="false">IF(IsPro,IF($D1279="","",IF($F1279="",IFERROR(INDEX(Items!$H$5:$H$504,U1279),0),$F1279)),"")</f>
        <v/>
      </c>
      <c r="L1279" s="61" t="str">
        <f aca="false">IF(IsPro,IF($D1279="","",ROUND(N($E1279)*K1279*(1-N($G1279)),2)),"")</f>
        <v/>
      </c>
      <c r="M1279" s="62" t="str">
        <f aca="false">IF(IsPro,IF($D1279="","",IFERROR(INDEX(Items!$F$5:$F$504,U1279),0)),"")</f>
        <v/>
      </c>
      <c r="N1279" s="61" t="str">
        <f aca="false">IF(IsPro,IF($D1279="","",IF(AND(V1279&lt;&gt;"",INDEX(Parties!$E$5:$E$304,V1279)&lt;&gt;"",INDEX(Parties!$E$5:$E$304,V1279)&lt;&gt;HomeState),0,ROUND(L1279*M1279/2,2))),"")</f>
        <v/>
      </c>
      <c r="O1279" s="61" t="str">
        <f aca="false">IF(IsPro,IF($D1279="","",N1279),"")</f>
        <v/>
      </c>
      <c r="P1279" s="61" t="str">
        <f aca="false">IF(IsPro,IF($D1279="","",IF(AND(V1279&lt;&gt;"",INDEX(Parties!$E$5:$E$304,V1279)&lt;&gt;"",INDEX(Parties!$E$5:$E$304,V1279)&lt;&gt;HomeState),ROUND(L1279*M1279,2),0)),"")</f>
        <v/>
      </c>
      <c r="Q1279" s="61" t="str">
        <f aca="false">IF(IsPro,IF($D1279="","",L1279+N1279+O1279+P1279),"")</f>
        <v/>
      </c>
      <c r="R1279" s="61" t="str">
        <f aca="false">IF(IsPro,IF($D1279="","",ROUND(N($E1279)*IFERROR(INDEX(Items!$P$5:$P$504,U1279),0),2)),"")</f>
        <v/>
      </c>
      <c r="S1279" s="61" t="str">
        <f aca="false">IF(IsPro,IF($D1279="","",L1279-R1279),"")</f>
        <v/>
      </c>
      <c r="T1279" s="60" t="str">
        <f aca="false">IF(IsPro,IF($D1279="","",IF(U1279="","UNKNOWN ITEM",IF(INDEX(Items!$O$5:$O$504,U1279)&lt;0,"NEG STOCK",IF(K1279&lt;INDEX(Items!$P$5:$P$504,U1279),"BELOW COST","OK")))),IF($D1279="","","PRO PLAN"))</f>
        <v/>
      </c>
      <c r="U1279" s="60" t="str">
        <f aca="false">IF(IsPro,IF($D1279="","",IFERROR(MATCH($D1279,Items!$A$5:$A$504,0),"")),"")</f>
        <v/>
      </c>
      <c r="V1279" s="60" t="str">
        <f aca="false">IF(IsPro,IF($C1279="","",IFERROR(MATCH($C1279,Parties!$A$5:$A$304,0),"")),"")</f>
        <v/>
      </c>
      <c r="W1279" s="60" t="str">
        <f aca="false">IF(IsPro,IF($B1279="","",IFERROR(VALUE(SUBSTITUTE($B1279,InvPrefix,"")),0)),"")</f>
        <v/>
      </c>
      <c r="X1279" s="61" t="str">
        <f aca="false">IF(IsPro,IF($D1279="","",IF(OR($H1279="",$H1279="Credit"),0,Q1279)),"")</f>
        <v/>
      </c>
    </row>
    <row r="1280" customFormat="false" ht="15" hidden="false" customHeight="false" outlineLevel="0" collapsed="false">
      <c r="A1280" s="55"/>
      <c r="B1280" s="56"/>
      <c r="C1280" s="56"/>
      <c r="D1280" s="56"/>
      <c r="E1280" s="57"/>
      <c r="F1280" s="58"/>
      <c r="G1280" s="59"/>
      <c r="H1280" s="56"/>
      <c r="I1280" s="56"/>
      <c r="J1280" s="60" t="str">
        <f aca="false">IF(IsPro,IF($D1280="","",IFERROR(INDEX(Items!$D$5:$D$504,U1280),"")),"")</f>
        <v/>
      </c>
      <c r="K1280" s="61" t="str">
        <f aca="false">IF(IsPro,IF($D1280="","",IF($F1280="",IFERROR(INDEX(Items!$H$5:$H$504,U1280),0),$F1280)),"")</f>
        <v/>
      </c>
      <c r="L1280" s="61" t="str">
        <f aca="false">IF(IsPro,IF($D1280="","",ROUND(N($E1280)*K1280*(1-N($G1280)),2)),"")</f>
        <v/>
      </c>
      <c r="M1280" s="62" t="str">
        <f aca="false">IF(IsPro,IF($D1280="","",IFERROR(INDEX(Items!$F$5:$F$504,U1280),0)),"")</f>
        <v/>
      </c>
      <c r="N1280" s="61" t="str">
        <f aca="false">IF(IsPro,IF($D1280="","",IF(AND(V1280&lt;&gt;"",INDEX(Parties!$E$5:$E$304,V1280)&lt;&gt;"",INDEX(Parties!$E$5:$E$304,V1280)&lt;&gt;HomeState),0,ROUND(L1280*M1280/2,2))),"")</f>
        <v/>
      </c>
      <c r="O1280" s="61" t="str">
        <f aca="false">IF(IsPro,IF($D1280="","",N1280),"")</f>
        <v/>
      </c>
      <c r="P1280" s="61" t="str">
        <f aca="false">IF(IsPro,IF($D1280="","",IF(AND(V1280&lt;&gt;"",INDEX(Parties!$E$5:$E$304,V1280)&lt;&gt;"",INDEX(Parties!$E$5:$E$304,V1280)&lt;&gt;HomeState),ROUND(L1280*M1280,2),0)),"")</f>
        <v/>
      </c>
      <c r="Q1280" s="61" t="str">
        <f aca="false">IF(IsPro,IF($D1280="","",L1280+N1280+O1280+P1280),"")</f>
        <v/>
      </c>
      <c r="R1280" s="61" t="str">
        <f aca="false">IF(IsPro,IF($D1280="","",ROUND(N($E1280)*IFERROR(INDEX(Items!$P$5:$P$504,U1280),0),2)),"")</f>
        <v/>
      </c>
      <c r="S1280" s="61" t="str">
        <f aca="false">IF(IsPro,IF($D1280="","",L1280-R1280),"")</f>
        <v/>
      </c>
      <c r="T1280" s="60" t="str">
        <f aca="false">IF(IsPro,IF($D1280="","",IF(U1280="","UNKNOWN ITEM",IF(INDEX(Items!$O$5:$O$504,U1280)&lt;0,"NEG STOCK",IF(K1280&lt;INDEX(Items!$P$5:$P$504,U1280),"BELOW COST","OK")))),IF($D1280="","","PRO PLAN"))</f>
        <v/>
      </c>
      <c r="U1280" s="60" t="str">
        <f aca="false">IF(IsPro,IF($D1280="","",IFERROR(MATCH($D1280,Items!$A$5:$A$504,0),"")),"")</f>
        <v/>
      </c>
      <c r="V1280" s="60" t="str">
        <f aca="false">IF(IsPro,IF($C1280="","",IFERROR(MATCH($C1280,Parties!$A$5:$A$304,0),"")),"")</f>
        <v/>
      </c>
      <c r="W1280" s="60" t="str">
        <f aca="false">IF(IsPro,IF($B1280="","",IFERROR(VALUE(SUBSTITUTE($B1280,InvPrefix,"")),0)),"")</f>
        <v/>
      </c>
      <c r="X1280" s="61" t="str">
        <f aca="false">IF(IsPro,IF($D1280="","",IF(OR($H1280="",$H1280="Credit"),0,Q1280)),"")</f>
        <v/>
      </c>
    </row>
    <row r="1281" customFormat="false" ht="15" hidden="false" customHeight="false" outlineLevel="0" collapsed="false">
      <c r="A1281" s="55"/>
      <c r="B1281" s="56"/>
      <c r="C1281" s="56"/>
      <c r="D1281" s="56"/>
      <c r="E1281" s="57"/>
      <c r="F1281" s="58"/>
      <c r="G1281" s="59"/>
      <c r="H1281" s="56"/>
      <c r="I1281" s="56"/>
      <c r="J1281" s="60" t="str">
        <f aca="false">IF(IsPro,IF($D1281="","",IFERROR(INDEX(Items!$D$5:$D$504,U1281),"")),"")</f>
        <v/>
      </c>
      <c r="K1281" s="61" t="str">
        <f aca="false">IF(IsPro,IF($D1281="","",IF($F1281="",IFERROR(INDEX(Items!$H$5:$H$504,U1281),0),$F1281)),"")</f>
        <v/>
      </c>
      <c r="L1281" s="61" t="str">
        <f aca="false">IF(IsPro,IF($D1281="","",ROUND(N($E1281)*K1281*(1-N($G1281)),2)),"")</f>
        <v/>
      </c>
      <c r="M1281" s="62" t="str">
        <f aca="false">IF(IsPro,IF($D1281="","",IFERROR(INDEX(Items!$F$5:$F$504,U1281),0)),"")</f>
        <v/>
      </c>
      <c r="N1281" s="61" t="str">
        <f aca="false">IF(IsPro,IF($D1281="","",IF(AND(V1281&lt;&gt;"",INDEX(Parties!$E$5:$E$304,V1281)&lt;&gt;"",INDEX(Parties!$E$5:$E$304,V1281)&lt;&gt;HomeState),0,ROUND(L1281*M1281/2,2))),"")</f>
        <v/>
      </c>
      <c r="O1281" s="61" t="str">
        <f aca="false">IF(IsPro,IF($D1281="","",N1281),"")</f>
        <v/>
      </c>
      <c r="P1281" s="61" t="str">
        <f aca="false">IF(IsPro,IF($D1281="","",IF(AND(V1281&lt;&gt;"",INDEX(Parties!$E$5:$E$304,V1281)&lt;&gt;"",INDEX(Parties!$E$5:$E$304,V1281)&lt;&gt;HomeState),ROUND(L1281*M1281,2),0)),"")</f>
        <v/>
      </c>
      <c r="Q1281" s="61" t="str">
        <f aca="false">IF(IsPro,IF($D1281="","",L1281+N1281+O1281+P1281),"")</f>
        <v/>
      </c>
      <c r="R1281" s="61" t="str">
        <f aca="false">IF(IsPro,IF($D1281="","",ROUND(N($E1281)*IFERROR(INDEX(Items!$P$5:$P$504,U1281),0),2)),"")</f>
        <v/>
      </c>
      <c r="S1281" s="61" t="str">
        <f aca="false">IF(IsPro,IF($D1281="","",L1281-R1281),"")</f>
        <v/>
      </c>
      <c r="T1281" s="60" t="str">
        <f aca="false">IF(IsPro,IF($D1281="","",IF(U1281="","UNKNOWN ITEM",IF(INDEX(Items!$O$5:$O$504,U1281)&lt;0,"NEG STOCK",IF(K1281&lt;INDEX(Items!$P$5:$P$504,U1281),"BELOW COST","OK")))),IF($D1281="","","PRO PLAN"))</f>
        <v/>
      </c>
      <c r="U1281" s="60" t="str">
        <f aca="false">IF(IsPro,IF($D1281="","",IFERROR(MATCH($D1281,Items!$A$5:$A$504,0),"")),"")</f>
        <v/>
      </c>
      <c r="V1281" s="60" t="str">
        <f aca="false">IF(IsPro,IF($C1281="","",IFERROR(MATCH($C1281,Parties!$A$5:$A$304,0),"")),"")</f>
        <v/>
      </c>
      <c r="W1281" s="60" t="str">
        <f aca="false">IF(IsPro,IF($B1281="","",IFERROR(VALUE(SUBSTITUTE($B1281,InvPrefix,"")),0)),"")</f>
        <v/>
      </c>
      <c r="X1281" s="61" t="str">
        <f aca="false">IF(IsPro,IF($D1281="","",IF(OR($H1281="",$H1281="Credit"),0,Q1281)),"")</f>
        <v/>
      </c>
    </row>
    <row r="1282" customFormat="false" ht="15" hidden="false" customHeight="false" outlineLevel="0" collapsed="false">
      <c r="A1282" s="55"/>
      <c r="B1282" s="56"/>
      <c r="C1282" s="56"/>
      <c r="D1282" s="56"/>
      <c r="E1282" s="57"/>
      <c r="F1282" s="58"/>
      <c r="G1282" s="59"/>
      <c r="H1282" s="56"/>
      <c r="I1282" s="56"/>
      <c r="J1282" s="60" t="str">
        <f aca="false">IF(IsPro,IF($D1282="","",IFERROR(INDEX(Items!$D$5:$D$504,U1282),"")),"")</f>
        <v/>
      </c>
      <c r="K1282" s="61" t="str">
        <f aca="false">IF(IsPro,IF($D1282="","",IF($F1282="",IFERROR(INDEX(Items!$H$5:$H$504,U1282),0),$F1282)),"")</f>
        <v/>
      </c>
      <c r="L1282" s="61" t="str">
        <f aca="false">IF(IsPro,IF($D1282="","",ROUND(N($E1282)*K1282*(1-N($G1282)),2)),"")</f>
        <v/>
      </c>
      <c r="M1282" s="62" t="str">
        <f aca="false">IF(IsPro,IF($D1282="","",IFERROR(INDEX(Items!$F$5:$F$504,U1282),0)),"")</f>
        <v/>
      </c>
      <c r="N1282" s="61" t="str">
        <f aca="false">IF(IsPro,IF($D1282="","",IF(AND(V1282&lt;&gt;"",INDEX(Parties!$E$5:$E$304,V1282)&lt;&gt;"",INDEX(Parties!$E$5:$E$304,V1282)&lt;&gt;HomeState),0,ROUND(L1282*M1282/2,2))),"")</f>
        <v/>
      </c>
      <c r="O1282" s="61" t="str">
        <f aca="false">IF(IsPro,IF($D1282="","",N1282),"")</f>
        <v/>
      </c>
      <c r="P1282" s="61" t="str">
        <f aca="false">IF(IsPro,IF($D1282="","",IF(AND(V1282&lt;&gt;"",INDEX(Parties!$E$5:$E$304,V1282)&lt;&gt;"",INDEX(Parties!$E$5:$E$304,V1282)&lt;&gt;HomeState),ROUND(L1282*M1282,2),0)),"")</f>
        <v/>
      </c>
      <c r="Q1282" s="61" t="str">
        <f aca="false">IF(IsPro,IF($D1282="","",L1282+N1282+O1282+P1282),"")</f>
        <v/>
      </c>
      <c r="R1282" s="61" t="str">
        <f aca="false">IF(IsPro,IF($D1282="","",ROUND(N($E1282)*IFERROR(INDEX(Items!$P$5:$P$504,U1282),0),2)),"")</f>
        <v/>
      </c>
      <c r="S1282" s="61" t="str">
        <f aca="false">IF(IsPro,IF($D1282="","",L1282-R1282),"")</f>
        <v/>
      </c>
      <c r="T1282" s="60" t="str">
        <f aca="false">IF(IsPro,IF($D1282="","",IF(U1282="","UNKNOWN ITEM",IF(INDEX(Items!$O$5:$O$504,U1282)&lt;0,"NEG STOCK",IF(K1282&lt;INDEX(Items!$P$5:$P$504,U1282),"BELOW COST","OK")))),IF($D1282="","","PRO PLAN"))</f>
        <v/>
      </c>
      <c r="U1282" s="60" t="str">
        <f aca="false">IF(IsPro,IF($D1282="","",IFERROR(MATCH($D1282,Items!$A$5:$A$504,0),"")),"")</f>
        <v/>
      </c>
      <c r="V1282" s="60" t="str">
        <f aca="false">IF(IsPro,IF($C1282="","",IFERROR(MATCH($C1282,Parties!$A$5:$A$304,0),"")),"")</f>
        <v/>
      </c>
      <c r="W1282" s="60" t="str">
        <f aca="false">IF(IsPro,IF($B1282="","",IFERROR(VALUE(SUBSTITUTE($B1282,InvPrefix,"")),0)),"")</f>
        <v/>
      </c>
      <c r="X1282" s="61" t="str">
        <f aca="false">IF(IsPro,IF($D1282="","",IF(OR($H1282="",$H1282="Credit"),0,Q1282)),"")</f>
        <v/>
      </c>
    </row>
    <row r="1283" customFormat="false" ht="15" hidden="false" customHeight="false" outlineLevel="0" collapsed="false">
      <c r="A1283" s="55"/>
      <c r="B1283" s="56"/>
      <c r="C1283" s="56"/>
      <c r="D1283" s="56"/>
      <c r="E1283" s="57"/>
      <c r="F1283" s="58"/>
      <c r="G1283" s="59"/>
      <c r="H1283" s="56"/>
      <c r="I1283" s="56"/>
      <c r="J1283" s="60" t="str">
        <f aca="false">IF(IsPro,IF($D1283="","",IFERROR(INDEX(Items!$D$5:$D$504,U1283),"")),"")</f>
        <v/>
      </c>
      <c r="K1283" s="61" t="str">
        <f aca="false">IF(IsPro,IF($D1283="","",IF($F1283="",IFERROR(INDEX(Items!$H$5:$H$504,U1283),0),$F1283)),"")</f>
        <v/>
      </c>
      <c r="L1283" s="61" t="str">
        <f aca="false">IF(IsPro,IF($D1283="","",ROUND(N($E1283)*K1283*(1-N($G1283)),2)),"")</f>
        <v/>
      </c>
      <c r="M1283" s="62" t="str">
        <f aca="false">IF(IsPro,IF($D1283="","",IFERROR(INDEX(Items!$F$5:$F$504,U1283),0)),"")</f>
        <v/>
      </c>
      <c r="N1283" s="61" t="str">
        <f aca="false">IF(IsPro,IF($D1283="","",IF(AND(V1283&lt;&gt;"",INDEX(Parties!$E$5:$E$304,V1283)&lt;&gt;"",INDEX(Parties!$E$5:$E$304,V1283)&lt;&gt;HomeState),0,ROUND(L1283*M1283/2,2))),"")</f>
        <v/>
      </c>
      <c r="O1283" s="61" t="str">
        <f aca="false">IF(IsPro,IF($D1283="","",N1283),"")</f>
        <v/>
      </c>
      <c r="P1283" s="61" t="str">
        <f aca="false">IF(IsPro,IF($D1283="","",IF(AND(V1283&lt;&gt;"",INDEX(Parties!$E$5:$E$304,V1283)&lt;&gt;"",INDEX(Parties!$E$5:$E$304,V1283)&lt;&gt;HomeState),ROUND(L1283*M1283,2),0)),"")</f>
        <v/>
      </c>
      <c r="Q1283" s="61" t="str">
        <f aca="false">IF(IsPro,IF($D1283="","",L1283+N1283+O1283+P1283),"")</f>
        <v/>
      </c>
      <c r="R1283" s="61" t="str">
        <f aca="false">IF(IsPro,IF($D1283="","",ROUND(N($E1283)*IFERROR(INDEX(Items!$P$5:$P$504,U1283),0),2)),"")</f>
        <v/>
      </c>
      <c r="S1283" s="61" t="str">
        <f aca="false">IF(IsPro,IF($D1283="","",L1283-R1283),"")</f>
        <v/>
      </c>
      <c r="T1283" s="60" t="str">
        <f aca="false">IF(IsPro,IF($D1283="","",IF(U1283="","UNKNOWN ITEM",IF(INDEX(Items!$O$5:$O$504,U1283)&lt;0,"NEG STOCK",IF(K1283&lt;INDEX(Items!$P$5:$P$504,U1283),"BELOW COST","OK")))),IF($D1283="","","PRO PLAN"))</f>
        <v/>
      </c>
      <c r="U1283" s="60" t="str">
        <f aca="false">IF(IsPro,IF($D1283="","",IFERROR(MATCH($D1283,Items!$A$5:$A$504,0),"")),"")</f>
        <v/>
      </c>
      <c r="V1283" s="60" t="str">
        <f aca="false">IF(IsPro,IF($C1283="","",IFERROR(MATCH($C1283,Parties!$A$5:$A$304,0),"")),"")</f>
        <v/>
      </c>
      <c r="W1283" s="60" t="str">
        <f aca="false">IF(IsPro,IF($B1283="","",IFERROR(VALUE(SUBSTITUTE($B1283,InvPrefix,"")),0)),"")</f>
        <v/>
      </c>
      <c r="X1283" s="61" t="str">
        <f aca="false">IF(IsPro,IF($D1283="","",IF(OR($H1283="",$H1283="Credit"),0,Q1283)),"")</f>
        <v/>
      </c>
    </row>
    <row r="1284" customFormat="false" ht="15" hidden="false" customHeight="false" outlineLevel="0" collapsed="false">
      <c r="A1284" s="55"/>
      <c r="B1284" s="56"/>
      <c r="C1284" s="56"/>
      <c r="D1284" s="56"/>
      <c r="E1284" s="57"/>
      <c r="F1284" s="58"/>
      <c r="G1284" s="59"/>
      <c r="H1284" s="56"/>
      <c r="I1284" s="56"/>
      <c r="J1284" s="60" t="str">
        <f aca="false">IF(IsPro,IF($D1284="","",IFERROR(INDEX(Items!$D$5:$D$504,U1284),"")),"")</f>
        <v/>
      </c>
      <c r="K1284" s="61" t="str">
        <f aca="false">IF(IsPro,IF($D1284="","",IF($F1284="",IFERROR(INDEX(Items!$H$5:$H$504,U1284),0),$F1284)),"")</f>
        <v/>
      </c>
      <c r="L1284" s="61" t="str">
        <f aca="false">IF(IsPro,IF($D1284="","",ROUND(N($E1284)*K1284*(1-N($G1284)),2)),"")</f>
        <v/>
      </c>
      <c r="M1284" s="62" t="str">
        <f aca="false">IF(IsPro,IF($D1284="","",IFERROR(INDEX(Items!$F$5:$F$504,U1284),0)),"")</f>
        <v/>
      </c>
      <c r="N1284" s="61" t="str">
        <f aca="false">IF(IsPro,IF($D1284="","",IF(AND(V1284&lt;&gt;"",INDEX(Parties!$E$5:$E$304,V1284)&lt;&gt;"",INDEX(Parties!$E$5:$E$304,V1284)&lt;&gt;HomeState),0,ROUND(L1284*M1284/2,2))),"")</f>
        <v/>
      </c>
      <c r="O1284" s="61" t="str">
        <f aca="false">IF(IsPro,IF($D1284="","",N1284),"")</f>
        <v/>
      </c>
      <c r="P1284" s="61" t="str">
        <f aca="false">IF(IsPro,IF($D1284="","",IF(AND(V1284&lt;&gt;"",INDEX(Parties!$E$5:$E$304,V1284)&lt;&gt;"",INDEX(Parties!$E$5:$E$304,V1284)&lt;&gt;HomeState),ROUND(L1284*M1284,2),0)),"")</f>
        <v/>
      </c>
      <c r="Q1284" s="61" t="str">
        <f aca="false">IF(IsPro,IF($D1284="","",L1284+N1284+O1284+P1284),"")</f>
        <v/>
      </c>
      <c r="R1284" s="61" t="str">
        <f aca="false">IF(IsPro,IF($D1284="","",ROUND(N($E1284)*IFERROR(INDEX(Items!$P$5:$P$504,U1284),0),2)),"")</f>
        <v/>
      </c>
      <c r="S1284" s="61" t="str">
        <f aca="false">IF(IsPro,IF($D1284="","",L1284-R1284),"")</f>
        <v/>
      </c>
      <c r="T1284" s="60" t="str">
        <f aca="false">IF(IsPro,IF($D1284="","",IF(U1284="","UNKNOWN ITEM",IF(INDEX(Items!$O$5:$O$504,U1284)&lt;0,"NEG STOCK",IF(K1284&lt;INDEX(Items!$P$5:$P$504,U1284),"BELOW COST","OK")))),IF($D1284="","","PRO PLAN"))</f>
        <v/>
      </c>
      <c r="U1284" s="60" t="str">
        <f aca="false">IF(IsPro,IF($D1284="","",IFERROR(MATCH($D1284,Items!$A$5:$A$504,0),"")),"")</f>
        <v/>
      </c>
      <c r="V1284" s="60" t="str">
        <f aca="false">IF(IsPro,IF($C1284="","",IFERROR(MATCH($C1284,Parties!$A$5:$A$304,0),"")),"")</f>
        <v/>
      </c>
      <c r="W1284" s="60" t="str">
        <f aca="false">IF(IsPro,IF($B1284="","",IFERROR(VALUE(SUBSTITUTE($B1284,InvPrefix,"")),0)),"")</f>
        <v/>
      </c>
      <c r="X1284" s="61" t="str">
        <f aca="false">IF(IsPro,IF($D1284="","",IF(OR($H1284="",$H1284="Credit"),0,Q1284)),"")</f>
        <v/>
      </c>
    </row>
    <row r="1285" customFormat="false" ht="15" hidden="false" customHeight="false" outlineLevel="0" collapsed="false">
      <c r="A1285" s="55"/>
      <c r="B1285" s="56"/>
      <c r="C1285" s="56"/>
      <c r="D1285" s="56"/>
      <c r="E1285" s="57"/>
      <c r="F1285" s="58"/>
      <c r="G1285" s="59"/>
      <c r="H1285" s="56"/>
      <c r="I1285" s="56"/>
      <c r="J1285" s="60" t="str">
        <f aca="false">IF(IsPro,IF($D1285="","",IFERROR(INDEX(Items!$D$5:$D$504,U1285),"")),"")</f>
        <v/>
      </c>
      <c r="K1285" s="61" t="str">
        <f aca="false">IF(IsPro,IF($D1285="","",IF($F1285="",IFERROR(INDEX(Items!$H$5:$H$504,U1285),0),$F1285)),"")</f>
        <v/>
      </c>
      <c r="L1285" s="61" t="str">
        <f aca="false">IF(IsPro,IF($D1285="","",ROUND(N($E1285)*K1285*(1-N($G1285)),2)),"")</f>
        <v/>
      </c>
      <c r="M1285" s="62" t="str">
        <f aca="false">IF(IsPro,IF($D1285="","",IFERROR(INDEX(Items!$F$5:$F$504,U1285),0)),"")</f>
        <v/>
      </c>
      <c r="N1285" s="61" t="str">
        <f aca="false">IF(IsPro,IF($D1285="","",IF(AND(V1285&lt;&gt;"",INDEX(Parties!$E$5:$E$304,V1285)&lt;&gt;"",INDEX(Parties!$E$5:$E$304,V1285)&lt;&gt;HomeState),0,ROUND(L1285*M1285/2,2))),"")</f>
        <v/>
      </c>
      <c r="O1285" s="61" t="str">
        <f aca="false">IF(IsPro,IF($D1285="","",N1285),"")</f>
        <v/>
      </c>
      <c r="P1285" s="61" t="str">
        <f aca="false">IF(IsPro,IF($D1285="","",IF(AND(V1285&lt;&gt;"",INDEX(Parties!$E$5:$E$304,V1285)&lt;&gt;"",INDEX(Parties!$E$5:$E$304,V1285)&lt;&gt;HomeState),ROUND(L1285*M1285,2),0)),"")</f>
        <v/>
      </c>
      <c r="Q1285" s="61" t="str">
        <f aca="false">IF(IsPro,IF($D1285="","",L1285+N1285+O1285+P1285),"")</f>
        <v/>
      </c>
      <c r="R1285" s="61" t="str">
        <f aca="false">IF(IsPro,IF($D1285="","",ROUND(N($E1285)*IFERROR(INDEX(Items!$P$5:$P$504,U1285),0),2)),"")</f>
        <v/>
      </c>
      <c r="S1285" s="61" t="str">
        <f aca="false">IF(IsPro,IF($D1285="","",L1285-R1285),"")</f>
        <v/>
      </c>
      <c r="T1285" s="60" t="str">
        <f aca="false">IF(IsPro,IF($D1285="","",IF(U1285="","UNKNOWN ITEM",IF(INDEX(Items!$O$5:$O$504,U1285)&lt;0,"NEG STOCK",IF(K1285&lt;INDEX(Items!$P$5:$P$504,U1285),"BELOW COST","OK")))),IF($D1285="","","PRO PLAN"))</f>
        <v/>
      </c>
      <c r="U1285" s="60" t="str">
        <f aca="false">IF(IsPro,IF($D1285="","",IFERROR(MATCH($D1285,Items!$A$5:$A$504,0),"")),"")</f>
        <v/>
      </c>
      <c r="V1285" s="60" t="str">
        <f aca="false">IF(IsPro,IF($C1285="","",IFERROR(MATCH($C1285,Parties!$A$5:$A$304,0),"")),"")</f>
        <v/>
      </c>
      <c r="W1285" s="60" t="str">
        <f aca="false">IF(IsPro,IF($B1285="","",IFERROR(VALUE(SUBSTITUTE($B1285,InvPrefix,"")),0)),"")</f>
        <v/>
      </c>
      <c r="X1285" s="61" t="str">
        <f aca="false">IF(IsPro,IF($D1285="","",IF(OR($H1285="",$H1285="Credit"),0,Q1285)),"")</f>
        <v/>
      </c>
    </row>
    <row r="1286" customFormat="false" ht="15" hidden="false" customHeight="false" outlineLevel="0" collapsed="false">
      <c r="A1286" s="55"/>
      <c r="B1286" s="56"/>
      <c r="C1286" s="56"/>
      <c r="D1286" s="56"/>
      <c r="E1286" s="57"/>
      <c r="F1286" s="58"/>
      <c r="G1286" s="59"/>
      <c r="H1286" s="56"/>
      <c r="I1286" s="56"/>
      <c r="J1286" s="60" t="str">
        <f aca="false">IF(IsPro,IF($D1286="","",IFERROR(INDEX(Items!$D$5:$D$504,U1286),"")),"")</f>
        <v/>
      </c>
      <c r="K1286" s="61" t="str">
        <f aca="false">IF(IsPro,IF($D1286="","",IF($F1286="",IFERROR(INDEX(Items!$H$5:$H$504,U1286),0),$F1286)),"")</f>
        <v/>
      </c>
      <c r="L1286" s="61" t="str">
        <f aca="false">IF(IsPro,IF($D1286="","",ROUND(N($E1286)*K1286*(1-N($G1286)),2)),"")</f>
        <v/>
      </c>
      <c r="M1286" s="62" t="str">
        <f aca="false">IF(IsPro,IF($D1286="","",IFERROR(INDEX(Items!$F$5:$F$504,U1286),0)),"")</f>
        <v/>
      </c>
      <c r="N1286" s="61" t="str">
        <f aca="false">IF(IsPro,IF($D1286="","",IF(AND(V1286&lt;&gt;"",INDEX(Parties!$E$5:$E$304,V1286)&lt;&gt;"",INDEX(Parties!$E$5:$E$304,V1286)&lt;&gt;HomeState),0,ROUND(L1286*M1286/2,2))),"")</f>
        <v/>
      </c>
      <c r="O1286" s="61" t="str">
        <f aca="false">IF(IsPro,IF($D1286="","",N1286),"")</f>
        <v/>
      </c>
      <c r="P1286" s="61" t="str">
        <f aca="false">IF(IsPro,IF($D1286="","",IF(AND(V1286&lt;&gt;"",INDEX(Parties!$E$5:$E$304,V1286)&lt;&gt;"",INDEX(Parties!$E$5:$E$304,V1286)&lt;&gt;HomeState),ROUND(L1286*M1286,2),0)),"")</f>
        <v/>
      </c>
      <c r="Q1286" s="61" t="str">
        <f aca="false">IF(IsPro,IF($D1286="","",L1286+N1286+O1286+P1286),"")</f>
        <v/>
      </c>
      <c r="R1286" s="61" t="str">
        <f aca="false">IF(IsPro,IF($D1286="","",ROUND(N($E1286)*IFERROR(INDEX(Items!$P$5:$P$504,U1286),0),2)),"")</f>
        <v/>
      </c>
      <c r="S1286" s="61" t="str">
        <f aca="false">IF(IsPro,IF($D1286="","",L1286-R1286),"")</f>
        <v/>
      </c>
      <c r="T1286" s="60" t="str">
        <f aca="false">IF(IsPro,IF($D1286="","",IF(U1286="","UNKNOWN ITEM",IF(INDEX(Items!$O$5:$O$504,U1286)&lt;0,"NEG STOCK",IF(K1286&lt;INDEX(Items!$P$5:$P$504,U1286),"BELOW COST","OK")))),IF($D1286="","","PRO PLAN"))</f>
        <v/>
      </c>
      <c r="U1286" s="60" t="str">
        <f aca="false">IF(IsPro,IF($D1286="","",IFERROR(MATCH($D1286,Items!$A$5:$A$504,0),"")),"")</f>
        <v/>
      </c>
      <c r="V1286" s="60" t="str">
        <f aca="false">IF(IsPro,IF($C1286="","",IFERROR(MATCH($C1286,Parties!$A$5:$A$304,0),"")),"")</f>
        <v/>
      </c>
      <c r="W1286" s="60" t="str">
        <f aca="false">IF(IsPro,IF($B1286="","",IFERROR(VALUE(SUBSTITUTE($B1286,InvPrefix,"")),0)),"")</f>
        <v/>
      </c>
      <c r="X1286" s="61" t="str">
        <f aca="false">IF(IsPro,IF($D1286="","",IF(OR($H1286="",$H1286="Credit"),0,Q1286)),"")</f>
        <v/>
      </c>
    </row>
    <row r="1287" customFormat="false" ht="15" hidden="false" customHeight="false" outlineLevel="0" collapsed="false">
      <c r="A1287" s="55"/>
      <c r="B1287" s="56"/>
      <c r="C1287" s="56"/>
      <c r="D1287" s="56"/>
      <c r="E1287" s="57"/>
      <c r="F1287" s="58"/>
      <c r="G1287" s="59"/>
      <c r="H1287" s="56"/>
      <c r="I1287" s="56"/>
      <c r="J1287" s="60" t="str">
        <f aca="false">IF(IsPro,IF($D1287="","",IFERROR(INDEX(Items!$D$5:$D$504,U1287),"")),"")</f>
        <v/>
      </c>
      <c r="K1287" s="61" t="str">
        <f aca="false">IF(IsPro,IF($D1287="","",IF($F1287="",IFERROR(INDEX(Items!$H$5:$H$504,U1287),0),$F1287)),"")</f>
        <v/>
      </c>
      <c r="L1287" s="61" t="str">
        <f aca="false">IF(IsPro,IF($D1287="","",ROUND(N($E1287)*K1287*(1-N($G1287)),2)),"")</f>
        <v/>
      </c>
      <c r="M1287" s="62" t="str">
        <f aca="false">IF(IsPro,IF($D1287="","",IFERROR(INDEX(Items!$F$5:$F$504,U1287),0)),"")</f>
        <v/>
      </c>
      <c r="N1287" s="61" t="str">
        <f aca="false">IF(IsPro,IF($D1287="","",IF(AND(V1287&lt;&gt;"",INDEX(Parties!$E$5:$E$304,V1287)&lt;&gt;"",INDEX(Parties!$E$5:$E$304,V1287)&lt;&gt;HomeState),0,ROUND(L1287*M1287/2,2))),"")</f>
        <v/>
      </c>
      <c r="O1287" s="61" t="str">
        <f aca="false">IF(IsPro,IF($D1287="","",N1287),"")</f>
        <v/>
      </c>
      <c r="P1287" s="61" t="str">
        <f aca="false">IF(IsPro,IF($D1287="","",IF(AND(V1287&lt;&gt;"",INDEX(Parties!$E$5:$E$304,V1287)&lt;&gt;"",INDEX(Parties!$E$5:$E$304,V1287)&lt;&gt;HomeState),ROUND(L1287*M1287,2),0)),"")</f>
        <v/>
      </c>
      <c r="Q1287" s="61" t="str">
        <f aca="false">IF(IsPro,IF($D1287="","",L1287+N1287+O1287+P1287),"")</f>
        <v/>
      </c>
      <c r="R1287" s="61" t="str">
        <f aca="false">IF(IsPro,IF($D1287="","",ROUND(N($E1287)*IFERROR(INDEX(Items!$P$5:$P$504,U1287),0),2)),"")</f>
        <v/>
      </c>
      <c r="S1287" s="61" t="str">
        <f aca="false">IF(IsPro,IF($D1287="","",L1287-R1287),"")</f>
        <v/>
      </c>
      <c r="T1287" s="60" t="str">
        <f aca="false">IF(IsPro,IF($D1287="","",IF(U1287="","UNKNOWN ITEM",IF(INDEX(Items!$O$5:$O$504,U1287)&lt;0,"NEG STOCK",IF(K1287&lt;INDEX(Items!$P$5:$P$504,U1287),"BELOW COST","OK")))),IF($D1287="","","PRO PLAN"))</f>
        <v/>
      </c>
      <c r="U1287" s="60" t="str">
        <f aca="false">IF(IsPro,IF($D1287="","",IFERROR(MATCH($D1287,Items!$A$5:$A$504,0),"")),"")</f>
        <v/>
      </c>
      <c r="V1287" s="60" t="str">
        <f aca="false">IF(IsPro,IF($C1287="","",IFERROR(MATCH($C1287,Parties!$A$5:$A$304,0),"")),"")</f>
        <v/>
      </c>
      <c r="W1287" s="60" t="str">
        <f aca="false">IF(IsPro,IF($B1287="","",IFERROR(VALUE(SUBSTITUTE($B1287,InvPrefix,"")),0)),"")</f>
        <v/>
      </c>
      <c r="X1287" s="61" t="str">
        <f aca="false">IF(IsPro,IF($D1287="","",IF(OR($H1287="",$H1287="Credit"),0,Q1287)),"")</f>
        <v/>
      </c>
    </row>
    <row r="1288" customFormat="false" ht="15" hidden="false" customHeight="false" outlineLevel="0" collapsed="false">
      <c r="A1288" s="55"/>
      <c r="B1288" s="56"/>
      <c r="C1288" s="56"/>
      <c r="D1288" s="56"/>
      <c r="E1288" s="57"/>
      <c r="F1288" s="58"/>
      <c r="G1288" s="59"/>
      <c r="H1288" s="56"/>
      <c r="I1288" s="56"/>
      <c r="J1288" s="60" t="str">
        <f aca="false">IF(IsPro,IF($D1288="","",IFERROR(INDEX(Items!$D$5:$D$504,U1288),"")),"")</f>
        <v/>
      </c>
      <c r="K1288" s="61" t="str">
        <f aca="false">IF(IsPro,IF($D1288="","",IF($F1288="",IFERROR(INDEX(Items!$H$5:$H$504,U1288),0),$F1288)),"")</f>
        <v/>
      </c>
      <c r="L1288" s="61" t="str">
        <f aca="false">IF(IsPro,IF($D1288="","",ROUND(N($E1288)*K1288*(1-N($G1288)),2)),"")</f>
        <v/>
      </c>
      <c r="M1288" s="62" t="str">
        <f aca="false">IF(IsPro,IF($D1288="","",IFERROR(INDEX(Items!$F$5:$F$504,U1288),0)),"")</f>
        <v/>
      </c>
      <c r="N1288" s="61" t="str">
        <f aca="false">IF(IsPro,IF($D1288="","",IF(AND(V1288&lt;&gt;"",INDEX(Parties!$E$5:$E$304,V1288)&lt;&gt;"",INDEX(Parties!$E$5:$E$304,V1288)&lt;&gt;HomeState),0,ROUND(L1288*M1288/2,2))),"")</f>
        <v/>
      </c>
      <c r="O1288" s="61" t="str">
        <f aca="false">IF(IsPro,IF($D1288="","",N1288),"")</f>
        <v/>
      </c>
      <c r="P1288" s="61" t="str">
        <f aca="false">IF(IsPro,IF($D1288="","",IF(AND(V1288&lt;&gt;"",INDEX(Parties!$E$5:$E$304,V1288)&lt;&gt;"",INDEX(Parties!$E$5:$E$304,V1288)&lt;&gt;HomeState),ROUND(L1288*M1288,2),0)),"")</f>
        <v/>
      </c>
      <c r="Q1288" s="61" t="str">
        <f aca="false">IF(IsPro,IF($D1288="","",L1288+N1288+O1288+P1288),"")</f>
        <v/>
      </c>
      <c r="R1288" s="61" t="str">
        <f aca="false">IF(IsPro,IF($D1288="","",ROUND(N($E1288)*IFERROR(INDEX(Items!$P$5:$P$504,U1288),0),2)),"")</f>
        <v/>
      </c>
      <c r="S1288" s="61" t="str">
        <f aca="false">IF(IsPro,IF($D1288="","",L1288-R1288),"")</f>
        <v/>
      </c>
      <c r="T1288" s="60" t="str">
        <f aca="false">IF(IsPro,IF($D1288="","",IF(U1288="","UNKNOWN ITEM",IF(INDEX(Items!$O$5:$O$504,U1288)&lt;0,"NEG STOCK",IF(K1288&lt;INDEX(Items!$P$5:$P$504,U1288),"BELOW COST","OK")))),IF($D1288="","","PRO PLAN"))</f>
        <v/>
      </c>
      <c r="U1288" s="60" t="str">
        <f aca="false">IF(IsPro,IF($D1288="","",IFERROR(MATCH($D1288,Items!$A$5:$A$504,0),"")),"")</f>
        <v/>
      </c>
      <c r="V1288" s="60" t="str">
        <f aca="false">IF(IsPro,IF($C1288="","",IFERROR(MATCH($C1288,Parties!$A$5:$A$304,0),"")),"")</f>
        <v/>
      </c>
      <c r="W1288" s="60" t="str">
        <f aca="false">IF(IsPro,IF($B1288="","",IFERROR(VALUE(SUBSTITUTE($B1288,InvPrefix,"")),0)),"")</f>
        <v/>
      </c>
      <c r="X1288" s="61" t="str">
        <f aca="false">IF(IsPro,IF($D1288="","",IF(OR($H1288="",$H1288="Credit"),0,Q1288)),"")</f>
        <v/>
      </c>
    </row>
    <row r="1289" customFormat="false" ht="15" hidden="false" customHeight="false" outlineLevel="0" collapsed="false">
      <c r="A1289" s="55"/>
      <c r="B1289" s="56"/>
      <c r="C1289" s="56"/>
      <c r="D1289" s="56"/>
      <c r="E1289" s="57"/>
      <c r="F1289" s="58"/>
      <c r="G1289" s="59"/>
      <c r="H1289" s="56"/>
      <c r="I1289" s="56"/>
      <c r="J1289" s="60" t="str">
        <f aca="false">IF(IsPro,IF($D1289="","",IFERROR(INDEX(Items!$D$5:$D$504,U1289),"")),"")</f>
        <v/>
      </c>
      <c r="K1289" s="61" t="str">
        <f aca="false">IF(IsPro,IF($D1289="","",IF($F1289="",IFERROR(INDEX(Items!$H$5:$H$504,U1289),0),$F1289)),"")</f>
        <v/>
      </c>
      <c r="L1289" s="61" t="str">
        <f aca="false">IF(IsPro,IF($D1289="","",ROUND(N($E1289)*K1289*(1-N($G1289)),2)),"")</f>
        <v/>
      </c>
      <c r="M1289" s="62" t="str">
        <f aca="false">IF(IsPro,IF($D1289="","",IFERROR(INDEX(Items!$F$5:$F$504,U1289),0)),"")</f>
        <v/>
      </c>
      <c r="N1289" s="61" t="str">
        <f aca="false">IF(IsPro,IF($D1289="","",IF(AND(V1289&lt;&gt;"",INDEX(Parties!$E$5:$E$304,V1289)&lt;&gt;"",INDEX(Parties!$E$5:$E$304,V1289)&lt;&gt;HomeState),0,ROUND(L1289*M1289/2,2))),"")</f>
        <v/>
      </c>
      <c r="O1289" s="61" t="str">
        <f aca="false">IF(IsPro,IF($D1289="","",N1289),"")</f>
        <v/>
      </c>
      <c r="P1289" s="61" t="str">
        <f aca="false">IF(IsPro,IF($D1289="","",IF(AND(V1289&lt;&gt;"",INDEX(Parties!$E$5:$E$304,V1289)&lt;&gt;"",INDEX(Parties!$E$5:$E$304,V1289)&lt;&gt;HomeState),ROUND(L1289*M1289,2),0)),"")</f>
        <v/>
      </c>
      <c r="Q1289" s="61" t="str">
        <f aca="false">IF(IsPro,IF($D1289="","",L1289+N1289+O1289+P1289),"")</f>
        <v/>
      </c>
      <c r="R1289" s="61" t="str">
        <f aca="false">IF(IsPro,IF($D1289="","",ROUND(N($E1289)*IFERROR(INDEX(Items!$P$5:$P$504,U1289),0),2)),"")</f>
        <v/>
      </c>
      <c r="S1289" s="61" t="str">
        <f aca="false">IF(IsPro,IF($D1289="","",L1289-R1289),"")</f>
        <v/>
      </c>
      <c r="T1289" s="60" t="str">
        <f aca="false">IF(IsPro,IF($D1289="","",IF(U1289="","UNKNOWN ITEM",IF(INDEX(Items!$O$5:$O$504,U1289)&lt;0,"NEG STOCK",IF(K1289&lt;INDEX(Items!$P$5:$P$504,U1289),"BELOW COST","OK")))),IF($D1289="","","PRO PLAN"))</f>
        <v/>
      </c>
      <c r="U1289" s="60" t="str">
        <f aca="false">IF(IsPro,IF($D1289="","",IFERROR(MATCH($D1289,Items!$A$5:$A$504,0),"")),"")</f>
        <v/>
      </c>
      <c r="V1289" s="60" t="str">
        <f aca="false">IF(IsPro,IF($C1289="","",IFERROR(MATCH($C1289,Parties!$A$5:$A$304,0),"")),"")</f>
        <v/>
      </c>
      <c r="W1289" s="60" t="str">
        <f aca="false">IF(IsPro,IF($B1289="","",IFERROR(VALUE(SUBSTITUTE($B1289,InvPrefix,"")),0)),"")</f>
        <v/>
      </c>
      <c r="X1289" s="61" t="str">
        <f aca="false">IF(IsPro,IF($D1289="","",IF(OR($H1289="",$H1289="Credit"),0,Q1289)),"")</f>
        <v/>
      </c>
    </row>
    <row r="1290" customFormat="false" ht="15" hidden="false" customHeight="false" outlineLevel="0" collapsed="false">
      <c r="A1290" s="55"/>
      <c r="B1290" s="56"/>
      <c r="C1290" s="56"/>
      <c r="D1290" s="56"/>
      <c r="E1290" s="57"/>
      <c r="F1290" s="58"/>
      <c r="G1290" s="59"/>
      <c r="H1290" s="56"/>
      <c r="I1290" s="56"/>
      <c r="J1290" s="60" t="str">
        <f aca="false">IF(IsPro,IF($D1290="","",IFERROR(INDEX(Items!$D$5:$D$504,U1290),"")),"")</f>
        <v/>
      </c>
      <c r="K1290" s="61" t="str">
        <f aca="false">IF(IsPro,IF($D1290="","",IF($F1290="",IFERROR(INDEX(Items!$H$5:$H$504,U1290),0),$F1290)),"")</f>
        <v/>
      </c>
      <c r="L1290" s="61" t="str">
        <f aca="false">IF(IsPro,IF($D1290="","",ROUND(N($E1290)*K1290*(1-N($G1290)),2)),"")</f>
        <v/>
      </c>
      <c r="M1290" s="62" t="str">
        <f aca="false">IF(IsPro,IF($D1290="","",IFERROR(INDEX(Items!$F$5:$F$504,U1290),0)),"")</f>
        <v/>
      </c>
      <c r="N1290" s="61" t="str">
        <f aca="false">IF(IsPro,IF($D1290="","",IF(AND(V1290&lt;&gt;"",INDEX(Parties!$E$5:$E$304,V1290)&lt;&gt;"",INDEX(Parties!$E$5:$E$304,V1290)&lt;&gt;HomeState),0,ROUND(L1290*M1290/2,2))),"")</f>
        <v/>
      </c>
      <c r="O1290" s="61" t="str">
        <f aca="false">IF(IsPro,IF($D1290="","",N1290),"")</f>
        <v/>
      </c>
      <c r="P1290" s="61" t="str">
        <f aca="false">IF(IsPro,IF($D1290="","",IF(AND(V1290&lt;&gt;"",INDEX(Parties!$E$5:$E$304,V1290)&lt;&gt;"",INDEX(Parties!$E$5:$E$304,V1290)&lt;&gt;HomeState),ROUND(L1290*M1290,2),0)),"")</f>
        <v/>
      </c>
      <c r="Q1290" s="61" t="str">
        <f aca="false">IF(IsPro,IF($D1290="","",L1290+N1290+O1290+P1290),"")</f>
        <v/>
      </c>
      <c r="R1290" s="61" t="str">
        <f aca="false">IF(IsPro,IF($D1290="","",ROUND(N($E1290)*IFERROR(INDEX(Items!$P$5:$P$504,U1290),0),2)),"")</f>
        <v/>
      </c>
      <c r="S1290" s="61" t="str">
        <f aca="false">IF(IsPro,IF($D1290="","",L1290-R1290),"")</f>
        <v/>
      </c>
      <c r="T1290" s="60" t="str">
        <f aca="false">IF(IsPro,IF($D1290="","",IF(U1290="","UNKNOWN ITEM",IF(INDEX(Items!$O$5:$O$504,U1290)&lt;0,"NEG STOCK",IF(K1290&lt;INDEX(Items!$P$5:$P$504,U1290),"BELOW COST","OK")))),IF($D1290="","","PRO PLAN"))</f>
        <v/>
      </c>
      <c r="U1290" s="60" t="str">
        <f aca="false">IF(IsPro,IF($D1290="","",IFERROR(MATCH($D1290,Items!$A$5:$A$504,0),"")),"")</f>
        <v/>
      </c>
      <c r="V1290" s="60" t="str">
        <f aca="false">IF(IsPro,IF($C1290="","",IFERROR(MATCH($C1290,Parties!$A$5:$A$304,0),"")),"")</f>
        <v/>
      </c>
      <c r="W1290" s="60" t="str">
        <f aca="false">IF(IsPro,IF($B1290="","",IFERROR(VALUE(SUBSTITUTE($B1290,InvPrefix,"")),0)),"")</f>
        <v/>
      </c>
      <c r="X1290" s="61" t="str">
        <f aca="false">IF(IsPro,IF($D1290="","",IF(OR($H1290="",$H1290="Credit"),0,Q1290)),"")</f>
        <v/>
      </c>
    </row>
    <row r="1291" customFormat="false" ht="15" hidden="false" customHeight="false" outlineLevel="0" collapsed="false">
      <c r="A1291" s="55"/>
      <c r="B1291" s="56"/>
      <c r="C1291" s="56"/>
      <c r="D1291" s="56"/>
      <c r="E1291" s="57"/>
      <c r="F1291" s="58"/>
      <c r="G1291" s="59"/>
      <c r="H1291" s="56"/>
      <c r="I1291" s="56"/>
      <c r="J1291" s="60" t="str">
        <f aca="false">IF(IsPro,IF($D1291="","",IFERROR(INDEX(Items!$D$5:$D$504,U1291),"")),"")</f>
        <v/>
      </c>
      <c r="K1291" s="61" t="str">
        <f aca="false">IF(IsPro,IF($D1291="","",IF($F1291="",IFERROR(INDEX(Items!$H$5:$H$504,U1291),0),$F1291)),"")</f>
        <v/>
      </c>
      <c r="L1291" s="61" t="str">
        <f aca="false">IF(IsPro,IF($D1291="","",ROUND(N($E1291)*K1291*(1-N($G1291)),2)),"")</f>
        <v/>
      </c>
      <c r="M1291" s="62" t="str">
        <f aca="false">IF(IsPro,IF($D1291="","",IFERROR(INDEX(Items!$F$5:$F$504,U1291),0)),"")</f>
        <v/>
      </c>
      <c r="N1291" s="61" t="str">
        <f aca="false">IF(IsPro,IF($D1291="","",IF(AND(V1291&lt;&gt;"",INDEX(Parties!$E$5:$E$304,V1291)&lt;&gt;"",INDEX(Parties!$E$5:$E$304,V1291)&lt;&gt;HomeState),0,ROUND(L1291*M1291/2,2))),"")</f>
        <v/>
      </c>
      <c r="O1291" s="61" t="str">
        <f aca="false">IF(IsPro,IF($D1291="","",N1291),"")</f>
        <v/>
      </c>
      <c r="P1291" s="61" t="str">
        <f aca="false">IF(IsPro,IF($D1291="","",IF(AND(V1291&lt;&gt;"",INDEX(Parties!$E$5:$E$304,V1291)&lt;&gt;"",INDEX(Parties!$E$5:$E$304,V1291)&lt;&gt;HomeState),ROUND(L1291*M1291,2),0)),"")</f>
        <v/>
      </c>
      <c r="Q1291" s="61" t="str">
        <f aca="false">IF(IsPro,IF($D1291="","",L1291+N1291+O1291+P1291),"")</f>
        <v/>
      </c>
      <c r="R1291" s="61" t="str">
        <f aca="false">IF(IsPro,IF($D1291="","",ROUND(N($E1291)*IFERROR(INDEX(Items!$P$5:$P$504,U1291),0),2)),"")</f>
        <v/>
      </c>
      <c r="S1291" s="61" t="str">
        <f aca="false">IF(IsPro,IF($D1291="","",L1291-R1291),"")</f>
        <v/>
      </c>
      <c r="T1291" s="60" t="str">
        <f aca="false">IF(IsPro,IF($D1291="","",IF(U1291="","UNKNOWN ITEM",IF(INDEX(Items!$O$5:$O$504,U1291)&lt;0,"NEG STOCK",IF(K1291&lt;INDEX(Items!$P$5:$P$504,U1291),"BELOW COST","OK")))),IF($D1291="","","PRO PLAN"))</f>
        <v/>
      </c>
      <c r="U1291" s="60" t="str">
        <f aca="false">IF(IsPro,IF($D1291="","",IFERROR(MATCH($D1291,Items!$A$5:$A$504,0),"")),"")</f>
        <v/>
      </c>
      <c r="V1291" s="60" t="str">
        <f aca="false">IF(IsPro,IF($C1291="","",IFERROR(MATCH($C1291,Parties!$A$5:$A$304,0),"")),"")</f>
        <v/>
      </c>
      <c r="W1291" s="60" t="str">
        <f aca="false">IF(IsPro,IF($B1291="","",IFERROR(VALUE(SUBSTITUTE($B1291,InvPrefix,"")),0)),"")</f>
        <v/>
      </c>
      <c r="X1291" s="61" t="str">
        <f aca="false">IF(IsPro,IF($D1291="","",IF(OR($H1291="",$H1291="Credit"),0,Q1291)),"")</f>
        <v/>
      </c>
    </row>
    <row r="1292" customFormat="false" ht="15" hidden="false" customHeight="false" outlineLevel="0" collapsed="false">
      <c r="A1292" s="55"/>
      <c r="B1292" s="56"/>
      <c r="C1292" s="56"/>
      <c r="D1292" s="56"/>
      <c r="E1292" s="57"/>
      <c r="F1292" s="58"/>
      <c r="G1292" s="59"/>
      <c r="H1292" s="56"/>
      <c r="I1292" s="56"/>
      <c r="J1292" s="60" t="str">
        <f aca="false">IF(IsPro,IF($D1292="","",IFERROR(INDEX(Items!$D$5:$D$504,U1292),"")),"")</f>
        <v/>
      </c>
      <c r="K1292" s="61" t="str">
        <f aca="false">IF(IsPro,IF($D1292="","",IF($F1292="",IFERROR(INDEX(Items!$H$5:$H$504,U1292),0),$F1292)),"")</f>
        <v/>
      </c>
      <c r="L1292" s="61" t="str">
        <f aca="false">IF(IsPro,IF($D1292="","",ROUND(N($E1292)*K1292*(1-N($G1292)),2)),"")</f>
        <v/>
      </c>
      <c r="M1292" s="62" t="str">
        <f aca="false">IF(IsPro,IF($D1292="","",IFERROR(INDEX(Items!$F$5:$F$504,U1292),0)),"")</f>
        <v/>
      </c>
      <c r="N1292" s="61" t="str">
        <f aca="false">IF(IsPro,IF($D1292="","",IF(AND(V1292&lt;&gt;"",INDEX(Parties!$E$5:$E$304,V1292)&lt;&gt;"",INDEX(Parties!$E$5:$E$304,V1292)&lt;&gt;HomeState),0,ROUND(L1292*M1292/2,2))),"")</f>
        <v/>
      </c>
      <c r="O1292" s="61" t="str">
        <f aca="false">IF(IsPro,IF($D1292="","",N1292),"")</f>
        <v/>
      </c>
      <c r="P1292" s="61" t="str">
        <f aca="false">IF(IsPro,IF($D1292="","",IF(AND(V1292&lt;&gt;"",INDEX(Parties!$E$5:$E$304,V1292)&lt;&gt;"",INDEX(Parties!$E$5:$E$304,V1292)&lt;&gt;HomeState),ROUND(L1292*M1292,2),0)),"")</f>
        <v/>
      </c>
      <c r="Q1292" s="61" t="str">
        <f aca="false">IF(IsPro,IF($D1292="","",L1292+N1292+O1292+P1292),"")</f>
        <v/>
      </c>
      <c r="R1292" s="61" t="str">
        <f aca="false">IF(IsPro,IF($D1292="","",ROUND(N($E1292)*IFERROR(INDEX(Items!$P$5:$P$504,U1292),0),2)),"")</f>
        <v/>
      </c>
      <c r="S1292" s="61" t="str">
        <f aca="false">IF(IsPro,IF($D1292="","",L1292-R1292),"")</f>
        <v/>
      </c>
      <c r="T1292" s="60" t="str">
        <f aca="false">IF(IsPro,IF($D1292="","",IF(U1292="","UNKNOWN ITEM",IF(INDEX(Items!$O$5:$O$504,U1292)&lt;0,"NEG STOCK",IF(K1292&lt;INDEX(Items!$P$5:$P$504,U1292),"BELOW COST","OK")))),IF($D1292="","","PRO PLAN"))</f>
        <v/>
      </c>
      <c r="U1292" s="60" t="str">
        <f aca="false">IF(IsPro,IF($D1292="","",IFERROR(MATCH($D1292,Items!$A$5:$A$504,0),"")),"")</f>
        <v/>
      </c>
      <c r="V1292" s="60" t="str">
        <f aca="false">IF(IsPro,IF($C1292="","",IFERROR(MATCH($C1292,Parties!$A$5:$A$304,0),"")),"")</f>
        <v/>
      </c>
      <c r="W1292" s="60" t="str">
        <f aca="false">IF(IsPro,IF($B1292="","",IFERROR(VALUE(SUBSTITUTE($B1292,InvPrefix,"")),0)),"")</f>
        <v/>
      </c>
      <c r="X1292" s="61" t="str">
        <f aca="false">IF(IsPro,IF($D1292="","",IF(OR($H1292="",$H1292="Credit"),0,Q1292)),"")</f>
        <v/>
      </c>
    </row>
    <row r="1293" customFormat="false" ht="15" hidden="false" customHeight="false" outlineLevel="0" collapsed="false">
      <c r="A1293" s="55"/>
      <c r="B1293" s="56"/>
      <c r="C1293" s="56"/>
      <c r="D1293" s="56"/>
      <c r="E1293" s="57"/>
      <c r="F1293" s="58"/>
      <c r="G1293" s="59"/>
      <c r="H1293" s="56"/>
      <c r="I1293" s="56"/>
      <c r="J1293" s="60" t="str">
        <f aca="false">IF(IsPro,IF($D1293="","",IFERROR(INDEX(Items!$D$5:$D$504,U1293),"")),"")</f>
        <v/>
      </c>
      <c r="K1293" s="61" t="str">
        <f aca="false">IF(IsPro,IF($D1293="","",IF($F1293="",IFERROR(INDEX(Items!$H$5:$H$504,U1293),0),$F1293)),"")</f>
        <v/>
      </c>
      <c r="L1293" s="61" t="str">
        <f aca="false">IF(IsPro,IF($D1293="","",ROUND(N($E1293)*K1293*(1-N($G1293)),2)),"")</f>
        <v/>
      </c>
      <c r="M1293" s="62" t="str">
        <f aca="false">IF(IsPro,IF($D1293="","",IFERROR(INDEX(Items!$F$5:$F$504,U1293),0)),"")</f>
        <v/>
      </c>
      <c r="N1293" s="61" t="str">
        <f aca="false">IF(IsPro,IF($D1293="","",IF(AND(V1293&lt;&gt;"",INDEX(Parties!$E$5:$E$304,V1293)&lt;&gt;"",INDEX(Parties!$E$5:$E$304,V1293)&lt;&gt;HomeState),0,ROUND(L1293*M1293/2,2))),"")</f>
        <v/>
      </c>
      <c r="O1293" s="61" t="str">
        <f aca="false">IF(IsPro,IF($D1293="","",N1293),"")</f>
        <v/>
      </c>
      <c r="P1293" s="61" t="str">
        <f aca="false">IF(IsPro,IF($D1293="","",IF(AND(V1293&lt;&gt;"",INDEX(Parties!$E$5:$E$304,V1293)&lt;&gt;"",INDEX(Parties!$E$5:$E$304,V1293)&lt;&gt;HomeState),ROUND(L1293*M1293,2),0)),"")</f>
        <v/>
      </c>
      <c r="Q1293" s="61" t="str">
        <f aca="false">IF(IsPro,IF($D1293="","",L1293+N1293+O1293+P1293),"")</f>
        <v/>
      </c>
      <c r="R1293" s="61" t="str">
        <f aca="false">IF(IsPro,IF($D1293="","",ROUND(N($E1293)*IFERROR(INDEX(Items!$P$5:$P$504,U1293),0),2)),"")</f>
        <v/>
      </c>
      <c r="S1293" s="61" t="str">
        <f aca="false">IF(IsPro,IF($D1293="","",L1293-R1293),"")</f>
        <v/>
      </c>
      <c r="T1293" s="60" t="str">
        <f aca="false">IF(IsPro,IF($D1293="","",IF(U1293="","UNKNOWN ITEM",IF(INDEX(Items!$O$5:$O$504,U1293)&lt;0,"NEG STOCK",IF(K1293&lt;INDEX(Items!$P$5:$P$504,U1293),"BELOW COST","OK")))),IF($D1293="","","PRO PLAN"))</f>
        <v/>
      </c>
      <c r="U1293" s="60" t="str">
        <f aca="false">IF(IsPro,IF($D1293="","",IFERROR(MATCH($D1293,Items!$A$5:$A$504,0),"")),"")</f>
        <v/>
      </c>
      <c r="V1293" s="60" t="str">
        <f aca="false">IF(IsPro,IF($C1293="","",IFERROR(MATCH($C1293,Parties!$A$5:$A$304,0),"")),"")</f>
        <v/>
      </c>
      <c r="W1293" s="60" t="str">
        <f aca="false">IF(IsPro,IF($B1293="","",IFERROR(VALUE(SUBSTITUTE($B1293,InvPrefix,"")),0)),"")</f>
        <v/>
      </c>
      <c r="X1293" s="61" t="str">
        <f aca="false">IF(IsPro,IF($D1293="","",IF(OR($H1293="",$H1293="Credit"),0,Q1293)),"")</f>
        <v/>
      </c>
    </row>
    <row r="1294" customFormat="false" ht="15" hidden="false" customHeight="false" outlineLevel="0" collapsed="false">
      <c r="A1294" s="55"/>
      <c r="B1294" s="56"/>
      <c r="C1294" s="56"/>
      <c r="D1294" s="56"/>
      <c r="E1294" s="57"/>
      <c r="F1294" s="58"/>
      <c r="G1294" s="59"/>
      <c r="H1294" s="56"/>
      <c r="I1294" s="56"/>
      <c r="J1294" s="60" t="str">
        <f aca="false">IF(IsPro,IF($D1294="","",IFERROR(INDEX(Items!$D$5:$D$504,U1294),"")),"")</f>
        <v/>
      </c>
      <c r="K1294" s="61" t="str">
        <f aca="false">IF(IsPro,IF($D1294="","",IF($F1294="",IFERROR(INDEX(Items!$H$5:$H$504,U1294),0),$F1294)),"")</f>
        <v/>
      </c>
      <c r="L1294" s="61" t="str">
        <f aca="false">IF(IsPro,IF($D1294="","",ROUND(N($E1294)*K1294*(1-N($G1294)),2)),"")</f>
        <v/>
      </c>
      <c r="M1294" s="62" t="str">
        <f aca="false">IF(IsPro,IF($D1294="","",IFERROR(INDEX(Items!$F$5:$F$504,U1294),0)),"")</f>
        <v/>
      </c>
      <c r="N1294" s="61" t="str">
        <f aca="false">IF(IsPro,IF($D1294="","",IF(AND(V1294&lt;&gt;"",INDEX(Parties!$E$5:$E$304,V1294)&lt;&gt;"",INDEX(Parties!$E$5:$E$304,V1294)&lt;&gt;HomeState),0,ROUND(L1294*M1294/2,2))),"")</f>
        <v/>
      </c>
      <c r="O1294" s="61" t="str">
        <f aca="false">IF(IsPro,IF($D1294="","",N1294),"")</f>
        <v/>
      </c>
      <c r="P1294" s="61" t="str">
        <f aca="false">IF(IsPro,IF($D1294="","",IF(AND(V1294&lt;&gt;"",INDEX(Parties!$E$5:$E$304,V1294)&lt;&gt;"",INDEX(Parties!$E$5:$E$304,V1294)&lt;&gt;HomeState),ROUND(L1294*M1294,2),0)),"")</f>
        <v/>
      </c>
      <c r="Q1294" s="61" t="str">
        <f aca="false">IF(IsPro,IF($D1294="","",L1294+N1294+O1294+P1294),"")</f>
        <v/>
      </c>
      <c r="R1294" s="61" t="str">
        <f aca="false">IF(IsPro,IF($D1294="","",ROUND(N($E1294)*IFERROR(INDEX(Items!$P$5:$P$504,U1294),0),2)),"")</f>
        <v/>
      </c>
      <c r="S1294" s="61" t="str">
        <f aca="false">IF(IsPro,IF($D1294="","",L1294-R1294),"")</f>
        <v/>
      </c>
      <c r="T1294" s="60" t="str">
        <f aca="false">IF(IsPro,IF($D1294="","",IF(U1294="","UNKNOWN ITEM",IF(INDEX(Items!$O$5:$O$504,U1294)&lt;0,"NEG STOCK",IF(K1294&lt;INDEX(Items!$P$5:$P$504,U1294),"BELOW COST","OK")))),IF($D1294="","","PRO PLAN"))</f>
        <v/>
      </c>
      <c r="U1294" s="60" t="str">
        <f aca="false">IF(IsPro,IF($D1294="","",IFERROR(MATCH($D1294,Items!$A$5:$A$504,0),"")),"")</f>
        <v/>
      </c>
      <c r="V1294" s="60" t="str">
        <f aca="false">IF(IsPro,IF($C1294="","",IFERROR(MATCH($C1294,Parties!$A$5:$A$304,0),"")),"")</f>
        <v/>
      </c>
      <c r="W1294" s="60" t="str">
        <f aca="false">IF(IsPro,IF($B1294="","",IFERROR(VALUE(SUBSTITUTE($B1294,InvPrefix,"")),0)),"")</f>
        <v/>
      </c>
      <c r="X1294" s="61" t="str">
        <f aca="false">IF(IsPro,IF($D1294="","",IF(OR($H1294="",$H1294="Credit"),0,Q1294)),"")</f>
        <v/>
      </c>
    </row>
    <row r="1295" customFormat="false" ht="15" hidden="false" customHeight="false" outlineLevel="0" collapsed="false">
      <c r="A1295" s="55"/>
      <c r="B1295" s="56"/>
      <c r="C1295" s="56"/>
      <c r="D1295" s="56"/>
      <c r="E1295" s="57"/>
      <c r="F1295" s="58"/>
      <c r="G1295" s="59"/>
      <c r="H1295" s="56"/>
      <c r="I1295" s="56"/>
      <c r="J1295" s="60" t="str">
        <f aca="false">IF(IsPro,IF($D1295="","",IFERROR(INDEX(Items!$D$5:$D$504,U1295),"")),"")</f>
        <v/>
      </c>
      <c r="K1295" s="61" t="str">
        <f aca="false">IF(IsPro,IF($D1295="","",IF($F1295="",IFERROR(INDEX(Items!$H$5:$H$504,U1295),0),$F1295)),"")</f>
        <v/>
      </c>
      <c r="L1295" s="61" t="str">
        <f aca="false">IF(IsPro,IF($D1295="","",ROUND(N($E1295)*K1295*(1-N($G1295)),2)),"")</f>
        <v/>
      </c>
      <c r="M1295" s="62" t="str">
        <f aca="false">IF(IsPro,IF($D1295="","",IFERROR(INDEX(Items!$F$5:$F$504,U1295),0)),"")</f>
        <v/>
      </c>
      <c r="N1295" s="61" t="str">
        <f aca="false">IF(IsPro,IF($D1295="","",IF(AND(V1295&lt;&gt;"",INDEX(Parties!$E$5:$E$304,V1295)&lt;&gt;"",INDEX(Parties!$E$5:$E$304,V1295)&lt;&gt;HomeState),0,ROUND(L1295*M1295/2,2))),"")</f>
        <v/>
      </c>
      <c r="O1295" s="61" t="str">
        <f aca="false">IF(IsPro,IF($D1295="","",N1295),"")</f>
        <v/>
      </c>
      <c r="P1295" s="61" t="str">
        <f aca="false">IF(IsPro,IF($D1295="","",IF(AND(V1295&lt;&gt;"",INDEX(Parties!$E$5:$E$304,V1295)&lt;&gt;"",INDEX(Parties!$E$5:$E$304,V1295)&lt;&gt;HomeState),ROUND(L1295*M1295,2),0)),"")</f>
        <v/>
      </c>
      <c r="Q1295" s="61" t="str">
        <f aca="false">IF(IsPro,IF($D1295="","",L1295+N1295+O1295+P1295),"")</f>
        <v/>
      </c>
      <c r="R1295" s="61" t="str">
        <f aca="false">IF(IsPro,IF($D1295="","",ROUND(N($E1295)*IFERROR(INDEX(Items!$P$5:$P$504,U1295),0),2)),"")</f>
        <v/>
      </c>
      <c r="S1295" s="61" t="str">
        <f aca="false">IF(IsPro,IF($D1295="","",L1295-R1295),"")</f>
        <v/>
      </c>
      <c r="T1295" s="60" t="str">
        <f aca="false">IF(IsPro,IF($D1295="","",IF(U1295="","UNKNOWN ITEM",IF(INDEX(Items!$O$5:$O$504,U1295)&lt;0,"NEG STOCK",IF(K1295&lt;INDEX(Items!$P$5:$P$504,U1295),"BELOW COST","OK")))),IF($D1295="","","PRO PLAN"))</f>
        <v/>
      </c>
      <c r="U1295" s="60" t="str">
        <f aca="false">IF(IsPro,IF($D1295="","",IFERROR(MATCH($D1295,Items!$A$5:$A$504,0),"")),"")</f>
        <v/>
      </c>
      <c r="V1295" s="60" t="str">
        <f aca="false">IF(IsPro,IF($C1295="","",IFERROR(MATCH($C1295,Parties!$A$5:$A$304,0),"")),"")</f>
        <v/>
      </c>
      <c r="W1295" s="60" t="str">
        <f aca="false">IF(IsPro,IF($B1295="","",IFERROR(VALUE(SUBSTITUTE($B1295,InvPrefix,"")),0)),"")</f>
        <v/>
      </c>
      <c r="X1295" s="61" t="str">
        <f aca="false">IF(IsPro,IF($D1295="","",IF(OR($H1295="",$H1295="Credit"),0,Q1295)),"")</f>
        <v/>
      </c>
    </row>
    <row r="1296" customFormat="false" ht="15" hidden="false" customHeight="false" outlineLevel="0" collapsed="false">
      <c r="A1296" s="55"/>
      <c r="B1296" s="56"/>
      <c r="C1296" s="56"/>
      <c r="D1296" s="56"/>
      <c r="E1296" s="57"/>
      <c r="F1296" s="58"/>
      <c r="G1296" s="59"/>
      <c r="H1296" s="56"/>
      <c r="I1296" s="56"/>
      <c r="J1296" s="60" t="str">
        <f aca="false">IF(IsPro,IF($D1296="","",IFERROR(INDEX(Items!$D$5:$D$504,U1296),"")),"")</f>
        <v/>
      </c>
      <c r="K1296" s="61" t="str">
        <f aca="false">IF(IsPro,IF($D1296="","",IF($F1296="",IFERROR(INDEX(Items!$H$5:$H$504,U1296),0),$F1296)),"")</f>
        <v/>
      </c>
      <c r="L1296" s="61" t="str">
        <f aca="false">IF(IsPro,IF($D1296="","",ROUND(N($E1296)*K1296*(1-N($G1296)),2)),"")</f>
        <v/>
      </c>
      <c r="M1296" s="62" t="str">
        <f aca="false">IF(IsPro,IF($D1296="","",IFERROR(INDEX(Items!$F$5:$F$504,U1296),0)),"")</f>
        <v/>
      </c>
      <c r="N1296" s="61" t="str">
        <f aca="false">IF(IsPro,IF($D1296="","",IF(AND(V1296&lt;&gt;"",INDEX(Parties!$E$5:$E$304,V1296)&lt;&gt;"",INDEX(Parties!$E$5:$E$304,V1296)&lt;&gt;HomeState),0,ROUND(L1296*M1296/2,2))),"")</f>
        <v/>
      </c>
      <c r="O1296" s="61" t="str">
        <f aca="false">IF(IsPro,IF($D1296="","",N1296),"")</f>
        <v/>
      </c>
      <c r="P1296" s="61" t="str">
        <f aca="false">IF(IsPro,IF($D1296="","",IF(AND(V1296&lt;&gt;"",INDEX(Parties!$E$5:$E$304,V1296)&lt;&gt;"",INDEX(Parties!$E$5:$E$304,V1296)&lt;&gt;HomeState),ROUND(L1296*M1296,2),0)),"")</f>
        <v/>
      </c>
      <c r="Q1296" s="61" t="str">
        <f aca="false">IF(IsPro,IF($D1296="","",L1296+N1296+O1296+P1296),"")</f>
        <v/>
      </c>
      <c r="R1296" s="61" t="str">
        <f aca="false">IF(IsPro,IF($D1296="","",ROUND(N($E1296)*IFERROR(INDEX(Items!$P$5:$P$504,U1296),0),2)),"")</f>
        <v/>
      </c>
      <c r="S1296" s="61" t="str">
        <f aca="false">IF(IsPro,IF($D1296="","",L1296-R1296),"")</f>
        <v/>
      </c>
      <c r="T1296" s="60" t="str">
        <f aca="false">IF(IsPro,IF($D1296="","",IF(U1296="","UNKNOWN ITEM",IF(INDEX(Items!$O$5:$O$504,U1296)&lt;0,"NEG STOCK",IF(K1296&lt;INDEX(Items!$P$5:$P$504,U1296),"BELOW COST","OK")))),IF($D1296="","","PRO PLAN"))</f>
        <v/>
      </c>
      <c r="U1296" s="60" t="str">
        <f aca="false">IF(IsPro,IF($D1296="","",IFERROR(MATCH($D1296,Items!$A$5:$A$504,0),"")),"")</f>
        <v/>
      </c>
      <c r="V1296" s="60" t="str">
        <f aca="false">IF(IsPro,IF($C1296="","",IFERROR(MATCH($C1296,Parties!$A$5:$A$304,0),"")),"")</f>
        <v/>
      </c>
      <c r="W1296" s="60" t="str">
        <f aca="false">IF(IsPro,IF($B1296="","",IFERROR(VALUE(SUBSTITUTE($B1296,InvPrefix,"")),0)),"")</f>
        <v/>
      </c>
      <c r="X1296" s="61" t="str">
        <f aca="false">IF(IsPro,IF($D1296="","",IF(OR($H1296="",$H1296="Credit"),0,Q1296)),"")</f>
        <v/>
      </c>
    </row>
    <row r="1297" customFormat="false" ht="15" hidden="false" customHeight="false" outlineLevel="0" collapsed="false">
      <c r="A1297" s="55"/>
      <c r="B1297" s="56"/>
      <c r="C1297" s="56"/>
      <c r="D1297" s="56"/>
      <c r="E1297" s="57"/>
      <c r="F1297" s="58"/>
      <c r="G1297" s="59"/>
      <c r="H1297" s="56"/>
      <c r="I1297" s="56"/>
      <c r="J1297" s="60" t="str">
        <f aca="false">IF(IsPro,IF($D1297="","",IFERROR(INDEX(Items!$D$5:$D$504,U1297),"")),"")</f>
        <v/>
      </c>
      <c r="K1297" s="61" t="str">
        <f aca="false">IF(IsPro,IF($D1297="","",IF($F1297="",IFERROR(INDEX(Items!$H$5:$H$504,U1297),0),$F1297)),"")</f>
        <v/>
      </c>
      <c r="L1297" s="61" t="str">
        <f aca="false">IF(IsPro,IF($D1297="","",ROUND(N($E1297)*K1297*(1-N($G1297)),2)),"")</f>
        <v/>
      </c>
      <c r="M1297" s="62" t="str">
        <f aca="false">IF(IsPro,IF($D1297="","",IFERROR(INDEX(Items!$F$5:$F$504,U1297),0)),"")</f>
        <v/>
      </c>
      <c r="N1297" s="61" t="str">
        <f aca="false">IF(IsPro,IF($D1297="","",IF(AND(V1297&lt;&gt;"",INDEX(Parties!$E$5:$E$304,V1297)&lt;&gt;"",INDEX(Parties!$E$5:$E$304,V1297)&lt;&gt;HomeState),0,ROUND(L1297*M1297/2,2))),"")</f>
        <v/>
      </c>
      <c r="O1297" s="61" t="str">
        <f aca="false">IF(IsPro,IF($D1297="","",N1297),"")</f>
        <v/>
      </c>
      <c r="P1297" s="61" t="str">
        <f aca="false">IF(IsPro,IF($D1297="","",IF(AND(V1297&lt;&gt;"",INDEX(Parties!$E$5:$E$304,V1297)&lt;&gt;"",INDEX(Parties!$E$5:$E$304,V1297)&lt;&gt;HomeState),ROUND(L1297*M1297,2),0)),"")</f>
        <v/>
      </c>
      <c r="Q1297" s="61" t="str">
        <f aca="false">IF(IsPro,IF($D1297="","",L1297+N1297+O1297+P1297),"")</f>
        <v/>
      </c>
      <c r="R1297" s="61" t="str">
        <f aca="false">IF(IsPro,IF($D1297="","",ROUND(N($E1297)*IFERROR(INDEX(Items!$P$5:$P$504,U1297),0),2)),"")</f>
        <v/>
      </c>
      <c r="S1297" s="61" t="str">
        <f aca="false">IF(IsPro,IF($D1297="","",L1297-R1297),"")</f>
        <v/>
      </c>
      <c r="T1297" s="60" t="str">
        <f aca="false">IF(IsPro,IF($D1297="","",IF(U1297="","UNKNOWN ITEM",IF(INDEX(Items!$O$5:$O$504,U1297)&lt;0,"NEG STOCK",IF(K1297&lt;INDEX(Items!$P$5:$P$504,U1297),"BELOW COST","OK")))),IF($D1297="","","PRO PLAN"))</f>
        <v/>
      </c>
      <c r="U1297" s="60" t="str">
        <f aca="false">IF(IsPro,IF($D1297="","",IFERROR(MATCH($D1297,Items!$A$5:$A$504,0),"")),"")</f>
        <v/>
      </c>
      <c r="V1297" s="60" t="str">
        <f aca="false">IF(IsPro,IF($C1297="","",IFERROR(MATCH($C1297,Parties!$A$5:$A$304,0),"")),"")</f>
        <v/>
      </c>
      <c r="W1297" s="60" t="str">
        <f aca="false">IF(IsPro,IF($B1297="","",IFERROR(VALUE(SUBSTITUTE($B1297,InvPrefix,"")),0)),"")</f>
        <v/>
      </c>
      <c r="X1297" s="61" t="str">
        <f aca="false">IF(IsPro,IF($D1297="","",IF(OR($H1297="",$H1297="Credit"),0,Q1297)),"")</f>
        <v/>
      </c>
    </row>
    <row r="1298" customFormat="false" ht="15" hidden="false" customHeight="false" outlineLevel="0" collapsed="false">
      <c r="A1298" s="55"/>
      <c r="B1298" s="56"/>
      <c r="C1298" s="56"/>
      <c r="D1298" s="56"/>
      <c r="E1298" s="57"/>
      <c r="F1298" s="58"/>
      <c r="G1298" s="59"/>
      <c r="H1298" s="56"/>
      <c r="I1298" s="56"/>
      <c r="J1298" s="60" t="str">
        <f aca="false">IF(IsPro,IF($D1298="","",IFERROR(INDEX(Items!$D$5:$D$504,U1298),"")),"")</f>
        <v/>
      </c>
      <c r="K1298" s="61" t="str">
        <f aca="false">IF(IsPro,IF($D1298="","",IF($F1298="",IFERROR(INDEX(Items!$H$5:$H$504,U1298),0),$F1298)),"")</f>
        <v/>
      </c>
      <c r="L1298" s="61" t="str">
        <f aca="false">IF(IsPro,IF($D1298="","",ROUND(N($E1298)*K1298*(1-N($G1298)),2)),"")</f>
        <v/>
      </c>
      <c r="M1298" s="62" t="str">
        <f aca="false">IF(IsPro,IF($D1298="","",IFERROR(INDEX(Items!$F$5:$F$504,U1298),0)),"")</f>
        <v/>
      </c>
      <c r="N1298" s="61" t="str">
        <f aca="false">IF(IsPro,IF($D1298="","",IF(AND(V1298&lt;&gt;"",INDEX(Parties!$E$5:$E$304,V1298)&lt;&gt;"",INDEX(Parties!$E$5:$E$304,V1298)&lt;&gt;HomeState),0,ROUND(L1298*M1298/2,2))),"")</f>
        <v/>
      </c>
      <c r="O1298" s="61" t="str">
        <f aca="false">IF(IsPro,IF($D1298="","",N1298),"")</f>
        <v/>
      </c>
      <c r="P1298" s="61" t="str">
        <f aca="false">IF(IsPro,IF($D1298="","",IF(AND(V1298&lt;&gt;"",INDEX(Parties!$E$5:$E$304,V1298)&lt;&gt;"",INDEX(Parties!$E$5:$E$304,V1298)&lt;&gt;HomeState),ROUND(L1298*M1298,2),0)),"")</f>
        <v/>
      </c>
      <c r="Q1298" s="61" t="str">
        <f aca="false">IF(IsPro,IF($D1298="","",L1298+N1298+O1298+P1298),"")</f>
        <v/>
      </c>
      <c r="R1298" s="61" t="str">
        <f aca="false">IF(IsPro,IF($D1298="","",ROUND(N($E1298)*IFERROR(INDEX(Items!$P$5:$P$504,U1298),0),2)),"")</f>
        <v/>
      </c>
      <c r="S1298" s="61" t="str">
        <f aca="false">IF(IsPro,IF($D1298="","",L1298-R1298),"")</f>
        <v/>
      </c>
      <c r="T1298" s="60" t="str">
        <f aca="false">IF(IsPro,IF($D1298="","",IF(U1298="","UNKNOWN ITEM",IF(INDEX(Items!$O$5:$O$504,U1298)&lt;0,"NEG STOCK",IF(K1298&lt;INDEX(Items!$P$5:$P$504,U1298),"BELOW COST","OK")))),IF($D1298="","","PRO PLAN"))</f>
        <v/>
      </c>
      <c r="U1298" s="60" t="str">
        <f aca="false">IF(IsPro,IF($D1298="","",IFERROR(MATCH($D1298,Items!$A$5:$A$504,0),"")),"")</f>
        <v/>
      </c>
      <c r="V1298" s="60" t="str">
        <f aca="false">IF(IsPro,IF($C1298="","",IFERROR(MATCH($C1298,Parties!$A$5:$A$304,0),"")),"")</f>
        <v/>
      </c>
      <c r="W1298" s="60" t="str">
        <f aca="false">IF(IsPro,IF($B1298="","",IFERROR(VALUE(SUBSTITUTE($B1298,InvPrefix,"")),0)),"")</f>
        <v/>
      </c>
      <c r="X1298" s="61" t="str">
        <f aca="false">IF(IsPro,IF($D1298="","",IF(OR($H1298="",$H1298="Credit"),0,Q1298)),"")</f>
        <v/>
      </c>
    </row>
    <row r="1299" customFormat="false" ht="15" hidden="false" customHeight="false" outlineLevel="0" collapsed="false">
      <c r="A1299" s="55"/>
      <c r="B1299" s="56"/>
      <c r="C1299" s="56"/>
      <c r="D1299" s="56"/>
      <c r="E1299" s="57"/>
      <c r="F1299" s="58"/>
      <c r="G1299" s="59"/>
      <c r="H1299" s="56"/>
      <c r="I1299" s="56"/>
      <c r="J1299" s="60" t="str">
        <f aca="false">IF(IsPro,IF($D1299="","",IFERROR(INDEX(Items!$D$5:$D$504,U1299),"")),"")</f>
        <v/>
      </c>
      <c r="K1299" s="61" t="str">
        <f aca="false">IF(IsPro,IF($D1299="","",IF($F1299="",IFERROR(INDEX(Items!$H$5:$H$504,U1299),0),$F1299)),"")</f>
        <v/>
      </c>
      <c r="L1299" s="61" t="str">
        <f aca="false">IF(IsPro,IF($D1299="","",ROUND(N($E1299)*K1299*(1-N($G1299)),2)),"")</f>
        <v/>
      </c>
      <c r="M1299" s="62" t="str">
        <f aca="false">IF(IsPro,IF($D1299="","",IFERROR(INDEX(Items!$F$5:$F$504,U1299),0)),"")</f>
        <v/>
      </c>
      <c r="N1299" s="61" t="str">
        <f aca="false">IF(IsPro,IF($D1299="","",IF(AND(V1299&lt;&gt;"",INDEX(Parties!$E$5:$E$304,V1299)&lt;&gt;"",INDEX(Parties!$E$5:$E$304,V1299)&lt;&gt;HomeState),0,ROUND(L1299*M1299/2,2))),"")</f>
        <v/>
      </c>
      <c r="O1299" s="61" t="str">
        <f aca="false">IF(IsPro,IF($D1299="","",N1299),"")</f>
        <v/>
      </c>
      <c r="P1299" s="61" t="str">
        <f aca="false">IF(IsPro,IF($D1299="","",IF(AND(V1299&lt;&gt;"",INDEX(Parties!$E$5:$E$304,V1299)&lt;&gt;"",INDEX(Parties!$E$5:$E$304,V1299)&lt;&gt;HomeState),ROUND(L1299*M1299,2),0)),"")</f>
        <v/>
      </c>
      <c r="Q1299" s="61" t="str">
        <f aca="false">IF(IsPro,IF($D1299="","",L1299+N1299+O1299+P1299),"")</f>
        <v/>
      </c>
      <c r="R1299" s="61" t="str">
        <f aca="false">IF(IsPro,IF($D1299="","",ROUND(N($E1299)*IFERROR(INDEX(Items!$P$5:$P$504,U1299),0),2)),"")</f>
        <v/>
      </c>
      <c r="S1299" s="61" t="str">
        <f aca="false">IF(IsPro,IF($D1299="","",L1299-R1299),"")</f>
        <v/>
      </c>
      <c r="T1299" s="60" t="str">
        <f aca="false">IF(IsPro,IF($D1299="","",IF(U1299="","UNKNOWN ITEM",IF(INDEX(Items!$O$5:$O$504,U1299)&lt;0,"NEG STOCK",IF(K1299&lt;INDEX(Items!$P$5:$P$504,U1299),"BELOW COST","OK")))),IF($D1299="","","PRO PLAN"))</f>
        <v/>
      </c>
      <c r="U1299" s="60" t="str">
        <f aca="false">IF(IsPro,IF($D1299="","",IFERROR(MATCH($D1299,Items!$A$5:$A$504,0),"")),"")</f>
        <v/>
      </c>
      <c r="V1299" s="60" t="str">
        <f aca="false">IF(IsPro,IF($C1299="","",IFERROR(MATCH($C1299,Parties!$A$5:$A$304,0),"")),"")</f>
        <v/>
      </c>
      <c r="W1299" s="60" t="str">
        <f aca="false">IF(IsPro,IF($B1299="","",IFERROR(VALUE(SUBSTITUTE($B1299,InvPrefix,"")),0)),"")</f>
        <v/>
      </c>
      <c r="X1299" s="61" t="str">
        <f aca="false">IF(IsPro,IF($D1299="","",IF(OR($H1299="",$H1299="Credit"),0,Q1299)),"")</f>
        <v/>
      </c>
    </row>
    <row r="1300" customFormat="false" ht="15" hidden="false" customHeight="false" outlineLevel="0" collapsed="false">
      <c r="A1300" s="55"/>
      <c r="B1300" s="56"/>
      <c r="C1300" s="56"/>
      <c r="D1300" s="56"/>
      <c r="E1300" s="57"/>
      <c r="F1300" s="58"/>
      <c r="G1300" s="59"/>
      <c r="H1300" s="56"/>
      <c r="I1300" s="56"/>
      <c r="J1300" s="60" t="str">
        <f aca="false">IF(IsPro,IF($D1300="","",IFERROR(INDEX(Items!$D$5:$D$504,U1300),"")),"")</f>
        <v/>
      </c>
      <c r="K1300" s="61" t="str">
        <f aca="false">IF(IsPro,IF($D1300="","",IF($F1300="",IFERROR(INDEX(Items!$H$5:$H$504,U1300),0),$F1300)),"")</f>
        <v/>
      </c>
      <c r="L1300" s="61" t="str">
        <f aca="false">IF(IsPro,IF($D1300="","",ROUND(N($E1300)*K1300*(1-N($G1300)),2)),"")</f>
        <v/>
      </c>
      <c r="M1300" s="62" t="str">
        <f aca="false">IF(IsPro,IF($D1300="","",IFERROR(INDEX(Items!$F$5:$F$504,U1300),0)),"")</f>
        <v/>
      </c>
      <c r="N1300" s="61" t="str">
        <f aca="false">IF(IsPro,IF($D1300="","",IF(AND(V1300&lt;&gt;"",INDEX(Parties!$E$5:$E$304,V1300)&lt;&gt;"",INDEX(Parties!$E$5:$E$304,V1300)&lt;&gt;HomeState),0,ROUND(L1300*M1300/2,2))),"")</f>
        <v/>
      </c>
      <c r="O1300" s="61" t="str">
        <f aca="false">IF(IsPro,IF($D1300="","",N1300),"")</f>
        <v/>
      </c>
      <c r="P1300" s="61" t="str">
        <f aca="false">IF(IsPro,IF($D1300="","",IF(AND(V1300&lt;&gt;"",INDEX(Parties!$E$5:$E$304,V1300)&lt;&gt;"",INDEX(Parties!$E$5:$E$304,V1300)&lt;&gt;HomeState),ROUND(L1300*M1300,2),0)),"")</f>
        <v/>
      </c>
      <c r="Q1300" s="61" t="str">
        <f aca="false">IF(IsPro,IF($D1300="","",L1300+N1300+O1300+P1300),"")</f>
        <v/>
      </c>
      <c r="R1300" s="61" t="str">
        <f aca="false">IF(IsPro,IF($D1300="","",ROUND(N($E1300)*IFERROR(INDEX(Items!$P$5:$P$504,U1300),0),2)),"")</f>
        <v/>
      </c>
      <c r="S1300" s="61" t="str">
        <f aca="false">IF(IsPro,IF($D1300="","",L1300-R1300),"")</f>
        <v/>
      </c>
      <c r="T1300" s="60" t="str">
        <f aca="false">IF(IsPro,IF($D1300="","",IF(U1300="","UNKNOWN ITEM",IF(INDEX(Items!$O$5:$O$504,U1300)&lt;0,"NEG STOCK",IF(K1300&lt;INDEX(Items!$P$5:$P$504,U1300),"BELOW COST","OK")))),IF($D1300="","","PRO PLAN"))</f>
        <v/>
      </c>
      <c r="U1300" s="60" t="str">
        <f aca="false">IF(IsPro,IF($D1300="","",IFERROR(MATCH($D1300,Items!$A$5:$A$504,0),"")),"")</f>
        <v/>
      </c>
      <c r="V1300" s="60" t="str">
        <f aca="false">IF(IsPro,IF($C1300="","",IFERROR(MATCH($C1300,Parties!$A$5:$A$304,0),"")),"")</f>
        <v/>
      </c>
      <c r="W1300" s="60" t="str">
        <f aca="false">IF(IsPro,IF($B1300="","",IFERROR(VALUE(SUBSTITUTE($B1300,InvPrefix,"")),0)),"")</f>
        <v/>
      </c>
      <c r="X1300" s="61" t="str">
        <f aca="false">IF(IsPro,IF($D1300="","",IF(OR($H1300="",$H1300="Credit"),0,Q1300)),"")</f>
        <v/>
      </c>
    </row>
    <row r="1301" customFormat="false" ht="15" hidden="false" customHeight="false" outlineLevel="0" collapsed="false">
      <c r="A1301" s="55"/>
      <c r="B1301" s="56"/>
      <c r="C1301" s="56"/>
      <c r="D1301" s="56"/>
      <c r="E1301" s="57"/>
      <c r="F1301" s="58"/>
      <c r="G1301" s="59"/>
      <c r="H1301" s="56"/>
      <c r="I1301" s="56"/>
      <c r="J1301" s="60" t="str">
        <f aca="false">IF(IsPro,IF($D1301="","",IFERROR(INDEX(Items!$D$5:$D$504,U1301),"")),"")</f>
        <v/>
      </c>
      <c r="K1301" s="61" t="str">
        <f aca="false">IF(IsPro,IF($D1301="","",IF($F1301="",IFERROR(INDEX(Items!$H$5:$H$504,U1301),0),$F1301)),"")</f>
        <v/>
      </c>
      <c r="L1301" s="61" t="str">
        <f aca="false">IF(IsPro,IF($D1301="","",ROUND(N($E1301)*K1301*(1-N($G1301)),2)),"")</f>
        <v/>
      </c>
      <c r="M1301" s="62" t="str">
        <f aca="false">IF(IsPro,IF($D1301="","",IFERROR(INDEX(Items!$F$5:$F$504,U1301),0)),"")</f>
        <v/>
      </c>
      <c r="N1301" s="61" t="str">
        <f aca="false">IF(IsPro,IF($D1301="","",IF(AND(V1301&lt;&gt;"",INDEX(Parties!$E$5:$E$304,V1301)&lt;&gt;"",INDEX(Parties!$E$5:$E$304,V1301)&lt;&gt;HomeState),0,ROUND(L1301*M1301/2,2))),"")</f>
        <v/>
      </c>
      <c r="O1301" s="61" t="str">
        <f aca="false">IF(IsPro,IF($D1301="","",N1301),"")</f>
        <v/>
      </c>
      <c r="P1301" s="61" t="str">
        <f aca="false">IF(IsPro,IF($D1301="","",IF(AND(V1301&lt;&gt;"",INDEX(Parties!$E$5:$E$304,V1301)&lt;&gt;"",INDEX(Parties!$E$5:$E$304,V1301)&lt;&gt;HomeState),ROUND(L1301*M1301,2),0)),"")</f>
        <v/>
      </c>
      <c r="Q1301" s="61" t="str">
        <f aca="false">IF(IsPro,IF($D1301="","",L1301+N1301+O1301+P1301),"")</f>
        <v/>
      </c>
      <c r="R1301" s="61" t="str">
        <f aca="false">IF(IsPro,IF($D1301="","",ROUND(N($E1301)*IFERROR(INDEX(Items!$P$5:$P$504,U1301),0),2)),"")</f>
        <v/>
      </c>
      <c r="S1301" s="61" t="str">
        <f aca="false">IF(IsPro,IF($D1301="","",L1301-R1301),"")</f>
        <v/>
      </c>
      <c r="T1301" s="60" t="str">
        <f aca="false">IF(IsPro,IF($D1301="","",IF(U1301="","UNKNOWN ITEM",IF(INDEX(Items!$O$5:$O$504,U1301)&lt;0,"NEG STOCK",IF(K1301&lt;INDEX(Items!$P$5:$P$504,U1301),"BELOW COST","OK")))),IF($D1301="","","PRO PLAN"))</f>
        <v/>
      </c>
      <c r="U1301" s="60" t="str">
        <f aca="false">IF(IsPro,IF($D1301="","",IFERROR(MATCH($D1301,Items!$A$5:$A$504,0),"")),"")</f>
        <v/>
      </c>
      <c r="V1301" s="60" t="str">
        <f aca="false">IF(IsPro,IF($C1301="","",IFERROR(MATCH($C1301,Parties!$A$5:$A$304,0),"")),"")</f>
        <v/>
      </c>
      <c r="W1301" s="60" t="str">
        <f aca="false">IF(IsPro,IF($B1301="","",IFERROR(VALUE(SUBSTITUTE($B1301,InvPrefix,"")),0)),"")</f>
        <v/>
      </c>
      <c r="X1301" s="61" t="str">
        <f aca="false">IF(IsPro,IF($D1301="","",IF(OR($H1301="",$H1301="Credit"),0,Q1301)),"")</f>
        <v/>
      </c>
    </row>
    <row r="1302" customFormat="false" ht="15" hidden="false" customHeight="false" outlineLevel="0" collapsed="false">
      <c r="A1302" s="55"/>
      <c r="B1302" s="56"/>
      <c r="C1302" s="56"/>
      <c r="D1302" s="56"/>
      <c r="E1302" s="57"/>
      <c r="F1302" s="58"/>
      <c r="G1302" s="59"/>
      <c r="H1302" s="56"/>
      <c r="I1302" s="56"/>
      <c r="J1302" s="60" t="str">
        <f aca="false">IF(IsPro,IF($D1302="","",IFERROR(INDEX(Items!$D$5:$D$504,U1302),"")),"")</f>
        <v/>
      </c>
      <c r="K1302" s="61" t="str">
        <f aca="false">IF(IsPro,IF($D1302="","",IF($F1302="",IFERROR(INDEX(Items!$H$5:$H$504,U1302),0),$F1302)),"")</f>
        <v/>
      </c>
      <c r="L1302" s="61" t="str">
        <f aca="false">IF(IsPro,IF($D1302="","",ROUND(N($E1302)*K1302*(1-N($G1302)),2)),"")</f>
        <v/>
      </c>
      <c r="M1302" s="62" t="str">
        <f aca="false">IF(IsPro,IF($D1302="","",IFERROR(INDEX(Items!$F$5:$F$504,U1302),0)),"")</f>
        <v/>
      </c>
      <c r="N1302" s="61" t="str">
        <f aca="false">IF(IsPro,IF($D1302="","",IF(AND(V1302&lt;&gt;"",INDEX(Parties!$E$5:$E$304,V1302)&lt;&gt;"",INDEX(Parties!$E$5:$E$304,V1302)&lt;&gt;HomeState),0,ROUND(L1302*M1302/2,2))),"")</f>
        <v/>
      </c>
      <c r="O1302" s="61" t="str">
        <f aca="false">IF(IsPro,IF($D1302="","",N1302),"")</f>
        <v/>
      </c>
      <c r="P1302" s="61" t="str">
        <f aca="false">IF(IsPro,IF($D1302="","",IF(AND(V1302&lt;&gt;"",INDEX(Parties!$E$5:$E$304,V1302)&lt;&gt;"",INDEX(Parties!$E$5:$E$304,V1302)&lt;&gt;HomeState),ROUND(L1302*M1302,2),0)),"")</f>
        <v/>
      </c>
      <c r="Q1302" s="61" t="str">
        <f aca="false">IF(IsPro,IF($D1302="","",L1302+N1302+O1302+P1302),"")</f>
        <v/>
      </c>
      <c r="R1302" s="61" t="str">
        <f aca="false">IF(IsPro,IF($D1302="","",ROUND(N($E1302)*IFERROR(INDEX(Items!$P$5:$P$504,U1302),0),2)),"")</f>
        <v/>
      </c>
      <c r="S1302" s="61" t="str">
        <f aca="false">IF(IsPro,IF($D1302="","",L1302-R1302),"")</f>
        <v/>
      </c>
      <c r="T1302" s="60" t="str">
        <f aca="false">IF(IsPro,IF($D1302="","",IF(U1302="","UNKNOWN ITEM",IF(INDEX(Items!$O$5:$O$504,U1302)&lt;0,"NEG STOCK",IF(K1302&lt;INDEX(Items!$P$5:$P$504,U1302),"BELOW COST","OK")))),IF($D1302="","","PRO PLAN"))</f>
        <v/>
      </c>
      <c r="U1302" s="60" t="str">
        <f aca="false">IF(IsPro,IF($D1302="","",IFERROR(MATCH($D1302,Items!$A$5:$A$504,0),"")),"")</f>
        <v/>
      </c>
      <c r="V1302" s="60" t="str">
        <f aca="false">IF(IsPro,IF($C1302="","",IFERROR(MATCH($C1302,Parties!$A$5:$A$304,0),"")),"")</f>
        <v/>
      </c>
      <c r="W1302" s="60" t="str">
        <f aca="false">IF(IsPro,IF($B1302="","",IFERROR(VALUE(SUBSTITUTE($B1302,InvPrefix,"")),0)),"")</f>
        <v/>
      </c>
      <c r="X1302" s="61" t="str">
        <f aca="false">IF(IsPro,IF($D1302="","",IF(OR($H1302="",$H1302="Credit"),0,Q1302)),"")</f>
        <v/>
      </c>
    </row>
    <row r="1303" customFormat="false" ht="15" hidden="false" customHeight="false" outlineLevel="0" collapsed="false">
      <c r="A1303" s="55"/>
      <c r="B1303" s="56"/>
      <c r="C1303" s="56"/>
      <c r="D1303" s="56"/>
      <c r="E1303" s="57"/>
      <c r="F1303" s="58"/>
      <c r="G1303" s="59"/>
      <c r="H1303" s="56"/>
      <c r="I1303" s="56"/>
      <c r="J1303" s="60" t="str">
        <f aca="false">IF(IsPro,IF($D1303="","",IFERROR(INDEX(Items!$D$5:$D$504,U1303),"")),"")</f>
        <v/>
      </c>
      <c r="K1303" s="61" t="str">
        <f aca="false">IF(IsPro,IF($D1303="","",IF($F1303="",IFERROR(INDEX(Items!$H$5:$H$504,U1303),0),$F1303)),"")</f>
        <v/>
      </c>
      <c r="L1303" s="61" t="str">
        <f aca="false">IF(IsPro,IF($D1303="","",ROUND(N($E1303)*K1303*(1-N($G1303)),2)),"")</f>
        <v/>
      </c>
      <c r="M1303" s="62" t="str">
        <f aca="false">IF(IsPro,IF($D1303="","",IFERROR(INDEX(Items!$F$5:$F$504,U1303),0)),"")</f>
        <v/>
      </c>
      <c r="N1303" s="61" t="str">
        <f aca="false">IF(IsPro,IF($D1303="","",IF(AND(V1303&lt;&gt;"",INDEX(Parties!$E$5:$E$304,V1303)&lt;&gt;"",INDEX(Parties!$E$5:$E$304,V1303)&lt;&gt;HomeState),0,ROUND(L1303*M1303/2,2))),"")</f>
        <v/>
      </c>
      <c r="O1303" s="61" t="str">
        <f aca="false">IF(IsPro,IF($D1303="","",N1303),"")</f>
        <v/>
      </c>
      <c r="P1303" s="61" t="str">
        <f aca="false">IF(IsPro,IF($D1303="","",IF(AND(V1303&lt;&gt;"",INDEX(Parties!$E$5:$E$304,V1303)&lt;&gt;"",INDEX(Parties!$E$5:$E$304,V1303)&lt;&gt;HomeState),ROUND(L1303*M1303,2),0)),"")</f>
        <v/>
      </c>
      <c r="Q1303" s="61" t="str">
        <f aca="false">IF(IsPro,IF($D1303="","",L1303+N1303+O1303+P1303),"")</f>
        <v/>
      </c>
      <c r="R1303" s="61" t="str">
        <f aca="false">IF(IsPro,IF($D1303="","",ROUND(N($E1303)*IFERROR(INDEX(Items!$P$5:$P$504,U1303),0),2)),"")</f>
        <v/>
      </c>
      <c r="S1303" s="61" t="str">
        <f aca="false">IF(IsPro,IF($D1303="","",L1303-R1303),"")</f>
        <v/>
      </c>
      <c r="T1303" s="60" t="str">
        <f aca="false">IF(IsPro,IF($D1303="","",IF(U1303="","UNKNOWN ITEM",IF(INDEX(Items!$O$5:$O$504,U1303)&lt;0,"NEG STOCK",IF(K1303&lt;INDEX(Items!$P$5:$P$504,U1303),"BELOW COST","OK")))),IF($D1303="","","PRO PLAN"))</f>
        <v/>
      </c>
      <c r="U1303" s="60" t="str">
        <f aca="false">IF(IsPro,IF($D1303="","",IFERROR(MATCH($D1303,Items!$A$5:$A$504,0),"")),"")</f>
        <v/>
      </c>
      <c r="V1303" s="60" t="str">
        <f aca="false">IF(IsPro,IF($C1303="","",IFERROR(MATCH($C1303,Parties!$A$5:$A$304,0),"")),"")</f>
        <v/>
      </c>
      <c r="W1303" s="60" t="str">
        <f aca="false">IF(IsPro,IF($B1303="","",IFERROR(VALUE(SUBSTITUTE($B1303,InvPrefix,"")),0)),"")</f>
        <v/>
      </c>
      <c r="X1303" s="61" t="str">
        <f aca="false">IF(IsPro,IF($D1303="","",IF(OR($H1303="",$H1303="Credit"),0,Q1303)),"")</f>
        <v/>
      </c>
    </row>
    <row r="1304" customFormat="false" ht="15" hidden="false" customHeight="false" outlineLevel="0" collapsed="false">
      <c r="A1304" s="55"/>
      <c r="B1304" s="56"/>
      <c r="C1304" s="56"/>
      <c r="D1304" s="56"/>
      <c r="E1304" s="57"/>
      <c r="F1304" s="58"/>
      <c r="G1304" s="59"/>
      <c r="H1304" s="56"/>
      <c r="I1304" s="56"/>
      <c r="J1304" s="60" t="str">
        <f aca="false">IF(IsPro,IF($D1304="","",IFERROR(INDEX(Items!$D$5:$D$504,U1304),"")),"")</f>
        <v/>
      </c>
      <c r="K1304" s="61" t="str">
        <f aca="false">IF(IsPro,IF($D1304="","",IF($F1304="",IFERROR(INDEX(Items!$H$5:$H$504,U1304),0),$F1304)),"")</f>
        <v/>
      </c>
      <c r="L1304" s="61" t="str">
        <f aca="false">IF(IsPro,IF($D1304="","",ROUND(N($E1304)*K1304*(1-N($G1304)),2)),"")</f>
        <v/>
      </c>
      <c r="M1304" s="62" t="str">
        <f aca="false">IF(IsPro,IF($D1304="","",IFERROR(INDEX(Items!$F$5:$F$504,U1304),0)),"")</f>
        <v/>
      </c>
      <c r="N1304" s="61" t="str">
        <f aca="false">IF(IsPro,IF($D1304="","",IF(AND(V1304&lt;&gt;"",INDEX(Parties!$E$5:$E$304,V1304)&lt;&gt;"",INDEX(Parties!$E$5:$E$304,V1304)&lt;&gt;HomeState),0,ROUND(L1304*M1304/2,2))),"")</f>
        <v/>
      </c>
      <c r="O1304" s="61" t="str">
        <f aca="false">IF(IsPro,IF($D1304="","",N1304),"")</f>
        <v/>
      </c>
      <c r="P1304" s="61" t="str">
        <f aca="false">IF(IsPro,IF($D1304="","",IF(AND(V1304&lt;&gt;"",INDEX(Parties!$E$5:$E$304,V1304)&lt;&gt;"",INDEX(Parties!$E$5:$E$304,V1304)&lt;&gt;HomeState),ROUND(L1304*M1304,2),0)),"")</f>
        <v/>
      </c>
      <c r="Q1304" s="61" t="str">
        <f aca="false">IF(IsPro,IF($D1304="","",L1304+N1304+O1304+P1304),"")</f>
        <v/>
      </c>
      <c r="R1304" s="61" t="str">
        <f aca="false">IF(IsPro,IF($D1304="","",ROUND(N($E1304)*IFERROR(INDEX(Items!$P$5:$P$504,U1304),0),2)),"")</f>
        <v/>
      </c>
      <c r="S1304" s="61" t="str">
        <f aca="false">IF(IsPro,IF($D1304="","",L1304-R1304),"")</f>
        <v/>
      </c>
      <c r="T1304" s="60" t="str">
        <f aca="false">IF(IsPro,IF($D1304="","",IF(U1304="","UNKNOWN ITEM",IF(INDEX(Items!$O$5:$O$504,U1304)&lt;0,"NEG STOCK",IF(K1304&lt;INDEX(Items!$P$5:$P$504,U1304),"BELOW COST","OK")))),IF($D1304="","","PRO PLAN"))</f>
        <v/>
      </c>
      <c r="U1304" s="60" t="str">
        <f aca="false">IF(IsPro,IF($D1304="","",IFERROR(MATCH($D1304,Items!$A$5:$A$504,0),"")),"")</f>
        <v/>
      </c>
      <c r="V1304" s="60" t="str">
        <f aca="false">IF(IsPro,IF($C1304="","",IFERROR(MATCH($C1304,Parties!$A$5:$A$304,0),"")),"")</f>
        <v/>
      </c>
      <c r="W1304" s="60" t="str">
        <f aca="false">IF(IsPro,IF($B1304="","",IFERROR(VALUE(SUBSTITUTE($B1304,InvPrefix,"")),0)),"")</f>
        <v/>
      </c>
      <c r="X1304" s="61" t="str">
        <f aca="false">IF(IsPro,IF($D1304="","",IF(OR($H1304="",$H1304="Credit"),0,Q1304)),"")</f>
        <v/>
      </c>
    </row>
    <row r="1305" customFormat="false" ht="15" hidden="false" customHeight="false" outlineLevel="0" collapsed="false">
      <c r="A1305" s="55"/>
      <c r="B1305" s="56"/>
      <c r="C1305" s="56"/>
      <c r="D1305" s="56"/>
      <c r="E1305" s="57"/>
      <c r="F1305" s="58"/>
      <c r="G1305" s="59"/>
      <c r="H1305" s="56"/>
      <c r="I1305" s="56"/>
      <c r="J1305" s="60" t="str">
        <f aca="false">IF(IsPro,IF($D1305="","",IFERROR(INDEX(Items!$D$5:$D$504,U1305),"")),"")</f>
        <v/>
      </c>
      <c r="K1305" s="61" t="str">
        <f aca="false">IF(IsPro,IF($D1305="","",IF($F1305="",IFERROR(INDEX(Items!$H$5:$H$504,U1305),0),$F1305)),"")</f>
        <v/>
      </c>
      <c r="L1305" s="61" t="str">
        <f aca="false">IF(IsPro,IF($D1305="","",ROUND(N($E1305)*K1305*(1-N($G1305)),2)),"")</f>
        <v/>
      </c>
      <c r="M1305" s="62" t="str">
        <f aca="false">IF(IsPro,IF($D1305="","",IFERROR(INDEX(Items!$F$5:$F$504,U1305),0)),"")</f>
        <v/>
      </c>
      <c r="N1305" s="61" t="str">
        <f aca="false">IF(IsPro,IF($D1305="","",IF(AND(V1305&lt;&gt;"",INDEX(Parties!$E$5:$E$304,V1305)&lt;&gt;"",INDEX(Parties!$E$5:$E$304,V1305)&lt;&gt;HomeState),0,ROUND(L1305*M1305/2,2))),"")</f>
        <v/>
      </c>
      <c r="O1305" s="61" t="str">
        <f aca="false">IF(IsPro,IF($D1305="","",N1305),"")</f>
        <v/>
      </c>
      <c r="P1305" s="61" t="str">
        <f aca="false">IF(IsPro,IF($D1305="","",IF(AND(V1305&lt;&gt;"",INDEX(Parties!$E$5:$E$304,V1305)&lt;&gt;"",INDEX(Parties!$E$5:$E$304,V1305)&lt;&gt;HomeState),ROUND(L1305*M1305,2),0)),"")</f>
        <v/>
      </c>
      <c r="Q1305" s="61" t="str">
        <f aca="false">IF(IsPro,IF($D1305="","",L1305+N1305+O1305+P1305),"")</f>
        <v/>
      </c>
      <c r="R1305" s="61" t="str">
        <f aca="false">IF(IsPro,IF($D1305="","",ROUND(N($E1305)*IFERROR(INDEX(Items!$P$5:$P$504,U1305),0),2)),"")</f>
        <v/>
      </c>
      <c r="S1305" s="61" t="str">
        <f aca="false">IF(IsPro,IF($D1305="","",L1305-R1305),"")</f>
        <v/>
      </c>
      <c r="T1305" s="60" t="str">
        <f aca="false">IF(IsPro,IF($D1305="","",IF(U1305="","UNKNOWN ITEM",IF(INDEX(Items!$O$5:$O$504,U1305)&lt;0,"NEG STOCK",IF(K1305&lt;INDEX(Items!$P$5:$P$504,U1305),"BELOW COST","OK")))),IF($D1305="","","PRO PLAN"))</f>
        <v/>
      </c>
      <c r="U1305" s="60" t="str">
        <f aca="false">IF(IsPro,IF($D1305="","",IFERROR(MATCH($D1305,Items!$A$5:$A$504,0),"")),"")</f>
        <v/>
      </c>
      <c r="V1305" s="60" t="str">
        <f aca="false">IF(IsPro,IF($C1305="","",IFERROR(MATCH($C1305,Parties!$A$5:$A$304,0),"")),"")</f>
        <v/>
      </c>
      <c r="W1305" s="60" t="str">
        <f aca="false">IF(IsPro,IF($B1305="","",IFERROR(VALUE(SUBSTITUTE($B1305,InvPrefix,"")),0)),"")</f>
        <v/>
      </c>
      <c r="X1305" s="61" t="str">
        <f aca="false">IF(IsPro,IF($D1305="","",IF(OR($H1305="",$H1305="Credit"),0,Q1305)),"")</f>
        <v/>
      </c>
    </row>
    <row r="1306" customFormat="false" ht="15" hidden="false" customHeight="false" outlineLevel="0" collapsed="false">
      <c r="A1306" s="55"/>
      <c r="B1306" s="56"/>
      <c r="C1306" s="56"/>
      <c r="D1306" s="56"/>
      <c r="E1306" s="57"/>
      <c r="F1306" s="58"/>
      <c r="G1306" s="59"/>
      <c r="H1306" s="56"/>
      <c r="I1306" s="56"/>
      <c r="J1306" s="60" t="str">
        <f aca="false">IF(IsPro,IF($D1306="","",IFERROR(INDEX(Items!$D$5:$D$504,U1306),"")),"")</f>
        <v/>
      </c>
      <c r="K1306" s="61" t="str">
        <f aca="false">IF(IsPro,IF($D1306="","",IF($F1306="",IFERROR(INDEX(Items!$H$5:$H$504,U1306),0),$F1306)),"")</f>
        <v/>
      </c>
      <c r="L1306" s="61" t="str">
        <f aca="false">IF(IsPro,IF($D1306="","",ROUND(N($E1306)*K1306*(1-N($G1306)),2)),"")</f>
        <v/>
      </c>
      <c r="M1306" s="62" t="str">
        <f aca="false">IF(IsPro,IF($D1306="","",IFERROR(INDEX(Items!$F$5:$F$504,U1306),0)),"")</f>
        <v/>
      </c>
      <c r="N1306" s="61" t="str">
        <f aca="false">IF(IsPro,IF($D1306="","",IF(AND(V1306&lt;&gt;"",INDEX(Parties!$E$5:$E$304,V1306)&lt;&gt;"",INDEX(Parties!$E$5:$E$304,V1306)&lt;&gt;HomeState),0,ROUND(L1306*M1306/2,2))),"")</f>
        <v/>
      </c>
      <c r="O1306" s="61" t="str">
        <f aca="false">IF(IsPro,IF($D1306="","",N1306),"")</f>
        <v/>
      </c>
      <c r="P1306" s="61" t="str">
        <f aca="false">IF(IsPro,IF($D1306="","",IF(AND(V1306&lt;&gt;"",INDEX(Parties!$E$5:$E$304,V1306)&lt;&gt;"",INDEX(Parties!$E$5:$E$304,V1306)&lt;&gt;HomeState),ROUND(L1306*M1306,2),0)),"")</f>
        <v/>
      </c>
      <c r="Q1306" s="61" t="str">
        <f aca="false">IF(IsPro,IF($D1306="","",L1306+N1306+O1306+P1306),"")</f>
        <v/>
      </c>
      <c r="R1306" s="61" t="str">
        <f aca="false">IF(IsPro,IF($D1306="","",ROUND(N($E1306)*IFERROR(INDEX(Items!$P$5:$P$504,U1306),0),2)),"")</f>
        <v/>
      </c>
      <c r="S1306" s="61" t="str">
        <f aca="false">IF(IsPro,IF($D1306="","",L1306-R1306),"")</f>
        <v/>
      </c>
      <c r="T1306" s="60" t="str">
        <f aca="false">IF(IsPro,IF($D1306="","",IF(U1306="","UNKNOWN ITEM",IF(INDEX(Items!$O$5:$O$504,U1306)&lt;0,"NEG STOCK",IF(K1306&lt;INDEX(Items!$P$5:$P$504,U1306),"BELOW COST","OK")))),IF($D1306="","","PRO PLAN"))</f>
        <v/>
      </c>
      <c r="U1306" s="60" t="str">
        <f aca="false">IF(IsPro,IF($D1306="","",IFERROR(MATCH($D1306,Items!$A$5:$A$504,0),"")),"")</f>
        <v/>
      </c>
      <c r="V1306" s="60" t="str">
        <f aca="false">IF(IsPro,IF($C1306="","",IFERROR(MATCH($C1306,Parties!$A$5:$A$304,0),"")),"")</f>
        <v/>
      </c>
      <c r="W1306" s="60" t="str">
        <f aca="false">IF(IsPro,IF($B1306="","",IFERROR(VALUE(SUBSTITUTE($B1306,InvPrefix,"")),0)),"")</f>
        <v/>
      </c>
      <c r="X1306" s="61" t="str">
        <f aca="false">IF(IsPro,IF($D1306="","",IF(OR($H1306="",$H1306="Credit"),0,Q1306)),"")</f>
        <v/>
      </c>
    </row>
    <row r="1307" customFormat="false" ht="15" hidden="false" customHeight="false" outlineLevel="0" collapsed="false">
      <c r="A1307" s="55"/>
      <c r="B1307" s="56"/>
      <c r="C1307" s="56"/>
      <c r="D1307" s="56"/>
      <c r="E1307" s="57"/>
      <c r="F1307" s="58"/>
      <c r="G1307" s="59"/>
      <c r="H1307" s="56"/>
      <c r="I1307" s="56"/>
      <c r="J1307" s="60" t="str">
        <f aca="false">IF(IsPro,IF($D1307="","",IFERROR(INDEX(Items!$D$5:$D$504,U1307),"")),"")</f>
        <v/>
      </c>
      <c r="K1307" s="61" t="str">
        <f aca="false">IF(IsPro,IF($D1307="","",IF($F1307="",IFERROR(INDEX(Items!$H$5:$H$504,U1307),0),$F1307)),"")</f>
        <v/>
      </c>
      <c r="L1307" s="61" t="str">
        <f aca="false">IF(IsPro,IF($D1307="","",ROUND(N($E1307)*K1307*(1-N($G1307)),2)),"")</f>
        <v/>
      </c>
      <c r="M1307" s="62" t="str">
        <f aca="false">IF(IsPro,IF($D1307="","",IFERROR(INDEX(Items!$F$5:$F$504,U1307),0)),"")</f>
        <v/>
      </c>
      <c r="N1307" s="61" t="str">
        <f aca="false">IF(IsPro,IF($D1307="","",IF(AND(V1307&lt;&gt;"",INDEX(Parties!$E$5:$E$304,V1307)&lt;&gt;"",INDEX(Parties!$E$5:$E$304,V1307)&lt;&gt;HomeState),0,ROUND(L1307*M1307/2,2))),"")</f>
        <v/>
      </c>
      <c r="O1307" s="61" t="str">
        <f aca="false">IF(IsPro,IF($D1307="","",N1307),"")</f>
        <v/>
      </c>
      <c r="P1307" s="61" t="str">
        <f aca="false">IF(IsPro,IF($D1307="","",IF(AND(V1307&lt;&gt;"",INDEX(Parties!$E$5:$E$304,V1307)&lt;&gt;"",INDEX(Parties!$E$5:$E$304,V1307)&lt;&gt;HomeState),ROUND(L1307*M1307,2),0)),"")</f>
        <v/>
      </c>
      <c r="Q1307" s="61" t="str">
        <f aca="false">IF(IsPro,IF($D1307="","",L1307+N1307+O1307+P1307),"")</f>
        <v/>
      </c>
      <c r="R1307" s="61" t="str">
        <f aca="false">IF(IsPro,IF($D1307="","",ROUND(N($E1307)*IFERROR(INDEX(Items!$P$5:$P$504,U1307),0),2)),"")</f>
        <v/>
      </c>
      <c r="S1307" s="61" t="str">
        <f aca="false">IF(IsPro,IF($D1307="","",L1307-R1307),"")</f>
        <v/>
      </c>
      <c r="T1307" s="60" t="str">
        <f aca="false">IF(IsPro,IF($D1307="","",IF(U1307="","UNKNOWN ITEM",IF(INDEX(Items!$O$5:$O$504,U1307)&lt;0,"NEG STOCK",IF(K1307&lt;INDEX(Items!$P$5:$P$504,U1307),"BELOW COST","OK")))),IF($D1307="","","PRO PLAN"))</f>
        <v/>
      </c>
      <c r="U1307" s="60" t="str">
        <f aca="false">IF(IsPro,IF($D1307="","",IFERROR(MATCH($D1307,Items!$A$5:$A$504,0),"")),"")</f>
        <v/>
      </c>
      <c r="V1307" s="60" t="str">
        <f aca="false">IF(IsPro,IF($C1307="","",IFERROR(MATCH($C1307,Parties!$A$5:$A$304,0),"")),"")</f>
        <v/>
      </c>
      <c r="W1307" s="60" t="str">
        <f aca="false">IF(IsPro,IF($B1307="","",IFERROR(VALUE(SUBSTITUTE($B1307,InvPrefix,"")),0)),"")</f>
        <v/>
      </c>
      <c r="X1307" s="61" t="str">
        <f aca="false">IF(IsPro,IF($D1307="","",IF(OR($H1307="",$H1307="Credit"),0,Q1307)),"")</f>
        <v/>
      </c>
    </row>
    <row r="1308" customFormat="false" ht="15" hidden="false" customHeight="false" outlineLevel="0" collapsed="false">
      <c r="A1308" s="55"/>
      <c r="B1308" s="56"/>
      <c r="C1308" s="56"/>
      <c r="D1308" s="56"/>
      <c r="E1308" s="57"/>
      <c r="F1308" s="58"/>
      <c r="G1308" s="59"/>
      <c r="H1308" s="56"/>
      <c r="I1308" s="56"/>
      <c r="J1308" s="60" t="str">
        <f aca="false">IF(IsPro,IF($D1308="","",IFERROR(INDEX(Items!$D$5:$D$504,U1308),"")),"")</f>
        <v/>
      </c>
      <c r="K1308" s="61" t="str">
        <f aca="false">IF(IsPro,IF($D1308="","",IF($F1308="",IFERROR(INDEX(Items!$H$5:$H$504,U1308),0),$F1308)),"")</f>
        <v/>
      </c>
      <c r="L1308" s="61" t="str">
        <f aca="false">IF(IsPro,IF($D1308="","",ROUND(N($E1308)*K1308*(1-N($G1308)),2)),"")</f>
        <v/>
      </c>
      <c r="M1308" s="62" t="str">
        <f aca="false">IF(IsPro,IF($D1308="","",IFERROR(INDEX(Items!$F$5:$F$504,U1308),0)),"")</f>
        <v/>
      </c>
      <c r="N1308" s="61" t="str">
        <f aca="false">IF(IsPro,IF($D1308="","",IF(AND(V1308&lt;&gt;"",INDEX(Parties!$E$5:$E$304,V1308)&lt;&gt;"",INDEX(Parties!$E$5:$E$304,V1308)&lt;&gt;HomeState),0,ROUND(L1308*M1308/2,2))),"")</f>
        <v/>
      </c>
      <c r="O1308" s="61" t="str">
        <f aca="false">IF(IsPro,IF($D1308="","",N1308),"")</f>
        <v/>
      </c>
      <c r="P1308" s="61" t="str">
        <f aca="false">IF(IsPro,IF($D1308="","",IF(AND(V1308&lt;&gt;"",INDEX(Parties!$E$5:$E$304,V1308)&lt;&gt;"",INDEX(Parties!$E$5:$E$304,V1308)&lt;&gt;HomeState),ROUND(L1308*M1308,2),0)),"")</f>
        <v/>
      </c>
      <c r="Q1308" s="61" t="str">
        <f aca="false">IF(IsPro,IF($D1308="","",L1308+N1308+O1308+P1308),"")</f>
        <v/>
      </c>
      <c r="R1308" s="61" t="str">
        <f aca="false">IF(IsPro,IF($D1308="","",ROUND(N($E1308)*IFERROR(INDEX(Items!$P$5:$P$504,U1308),0),2)),"")</f>
        <v/>
      </c>
      <c r="S1308" s="61" t="str">
        <f aca="false">IF(IsPro,IF($D1308="","",L1308-R1308),"")</f>
        <v/>
      </c>
      <c r="T1308" s="60" t="str">
        <f aca="false">IF(IsPro,IF($D1308="","",IF(U1308="","UNKNOWN ITEM",IF(INDEX(Items!$O$5:$O$504,U1308)&lt;0,"NEG STOCK",IF(K1308&lt;INDEX(Items!$P$5:$P$504,U1308),"BELOW COST","OK")))),IF($D1308="","","PRO PLAN"))</f>
        <v/>
      </c>
      <c r="U1308" s="60" t="str">
        <f aca="false">IF(IsPro,IF($D1308="","",IFERROR(MATCH($D1308,Items!$A$5:$A$504,0),"")),"")</f>
        <v/>
      </c>
      <c r="V1308" s="60" t="str">
        <f aca="false">IF(IsPro,IF($C1308="","",IFERROR(MATCH($C1308,Parties!$A$5:$A$304,0),"")),"")</f>
        <v/>
      </c>
      <c r="W1308" s="60" t="str">
        <f aca="false">IF(IsPro,IF($B1308="","",IFERROR(VALUE(SUBSTITUTE($B1308,InvPrefix,"")),0)),"")</f>
        <v/>
      </c>
      <c r="X1308" s="61" t="str">
        <f aca="false">IF(IsPro,IF($D1308="","",IF(OR($H1308="",$H1308="Credit"),0,Q1308)),"")</f>
        <v/>
      </c>
    </row>
    <row r="1309" customFormat="false" ht="15" hidden="false" customHeight="false" outlineLevel="0" collapsed="false">
      <c r="A1309" s="55"/>
      <c r="B1309" s="56"/>
      <c r="C1309" s="56"/>
      <c r="D1309" s="56"/>
      <c r="E1309" s="57"/>
      <c r="F1309" s="58"/>
      <c r="G1309" s="59"/>
      <c r="H1309" s="56"/>
      <c r="I1309" s="56"/>
      <c r="J1309" s="60" t="str">
        <f aca="false">IF(IsPro,IF($D1309="","",IFERROR(INDEX(Items!$D$5:$D$504,U1309),"")),"")</f>
        <v/>
      </c>
      <c r="K1309" s="61" t="str">
        <f aca="false">IF(IsPro,IF($D1309="","",IF($F1309="",IFERROR(INDEX(Items!$H$5:$H$504,U1309),0),$F1309)),"")</f>
        <v/>
      </c>
      <c r="L1309" s="61" t="str">
        <f aca="false">IF(IsPro,IF($D1309="","",ROUND(N($E1309)*K1309*(1-N($G1309)),2)),"")</f>
        <v/>
      </c>
      <c r="M1309" s="62" t="str">
        <f aca="false">IF(IsPro,IF($D1309="","",IFERROR(INDEX(Items!$F$5:$F$504,U1309),0)),"")</f>
        <v/>
      </c>
      <c r="N1309" s="61" t="str">
        <f aca="false">IF(IsPro,IF($D1309="","",IF(AND(V1309&lt;&gt;"",INDEX(Parties!$E$5:$E$304,V1309)&lt;&gt;"",INDEX(Parties!$E$5:$E$304,V1309)&lt;&gt;HomeState),0,ROUND(L1309*M1309/2,2))),"")</f>
        <v/>
      </c>
      <c r="O1309" s="61" t="str">
        <f aca="false">IF(IsPro,IF($D1309="","",N1309),"")</f>
        <v/>
      </c>
      <c r="P1309" s="61" t="str">
        <f aca="false">IF(IsPro,IF($D1309="","",IF(AND(V1309&lt;&gt;"",INDEX(Parties!$E$5:$E$304,V1309)&lt;&gt;"",INDEX(Parties!$E$5:$E$304,V1309)&lt;&gt;HomeState),ROUND(L1309*M1309,2),0)),"")</f>
        <v/>
      </c>
      <c r="Q1309" s="61" t="str">
        <f aca="false">IF(IsPro,IF($D1309="","",L1309+N1309+O1309+P1309),"")</f>
        <v/>
      </c>
      <c r="R1309" s="61" t="str">
        <f aca="false">IF(IsPro,IF($D1309="","",ROUND(N($E1309)*IFERROR(INDEX(Items!$P$5:$P$504,U1309),0),2)),"")</f>
        <v/>
      </c>
      <c r="S1309" s="61" t="str">
        <f aca="false">IF(IsPro,IF($D1309="","",L1309-R1309),"")</f>
        <v/>
      </c>
      <c r="T1309" s="60" t="str">
        <f aca="false">IF(IsPro,IF($D1309="","",IF(U1309="","UNKNOWN ITEM",IF(INDEX(Items!$O$5:$O$504,U1309)&lt;0,"NEG STOCK",IF(K1309&lt;INDEX(Items!$P$5:$P$504,U1309),"BELOW COST","OK")))),IF($D1309="","","PRO PLAN"))</f>
        <v/>
      </c>
      <c r="U1309" s="60" t="str">
        <f aca="false">IF(IsPro,IF($D1309="","",IFERROR(MATCH($D1309,Items!$A$5:$A$504,0),"")),"")</f>
        <v/>
      </c>
      <c r="V1309" s="60" t="str">
        <f aca="false">IF(IsPro,IF($C1309="","",IFERROR(MATCH($C1309,Parties!$A$5:$A$304,0),"")),"")</f>
        <v/>
      </c>
      <c r="W1309" s="60" t="str">
        <f aca="false">IF(IsPro,IF($B1309="","",IFERROR(VALUE(SUBSTITUTE($B1309,InvPrefix,"")),0)),"")</f>
        <v/>
      </c>
      <c r="X1309" s="61" t="str">
        <f aca="false">IF(IsPro,IF($D1309="","",IF(OR($H1309="",$H1309="Credit"),0,Q1309)),"")</f>
        <v/>
      </c>
    </row>
    <row r="1310" customFormat="false" ht="15" hidden="false" customHeight="false" outlineLevel="0" collapsed="false">
      <c r="A1310" s="55"/>
      <c r="B1310" s="56"/>
      <c r="C1310" s="56"/>
      <c r="D1310" s="56"/>
      <c r="E1310" s="57"/>
      <c r="F1310" s="58"/>
      <c r="G1310" s="59"/>
      <c r="H1310" s="56"/>
      <c r="I1310" s="56"/>
      <c r="J1310" s="60" t="str">
        <f aca="false">IF(IsPro,IF($D1310="","",IFERROR(INDEX(Items!$D$5:$D$504,U1310),"")),"")</f>
        <v/>
      </c>
      <c r="K1310" s="61" t="str">
        <f aca="false">IF(IsPro,IF($D1310="","",IF($F1310="",IFERROR(INDEX(Items!$H$5:$H$504,U1310),0),$F1310)),"")</f>
        <v/>
      </c>
      <c r="L1310" s="61" t="str">
        <f aca="false">IF(IsPro,IF($D1310="","",ROUND(N($E1310)*K1310*(1-N($G1310)),2)),"")</f>
        <v/>
      </c>
      <c r="M1310" s="62" t="str">
        <f aca="false">IF(IsPro,IF($D1310="","",IFERROR(INDEX(Items!$F$5:$F$504,U1310),0)),"")</f>
        <v/>
      </c>
      <c r="N1310" s="61" t="str">
        <f aca="false">IF(IsPro,IF($D1310="","",IF(AND(V1310&lt;&gt;"",INDEX(Parties!$E$5:$E$304,V1310)&lt;&gt;"",INDEX(Parties!$E$5:$E$304,V1310)&lt;&gt;HomeState),0,ROUND(L1310*M1310/2,2))),"")</f>
        <v/>
      </c>
      <c r="O1310" s="61" t="str">
        <f aca="false">IF(IsPro,IF($D1310="","",N1310),"")</f>
        <v/>
      </c>
      <c r="P1310" s="61" t="str">
        <f aca="false">IF(IsPro,IF($D1310="","",IF(AND(V1310&lt;&gt;"",INDEX(Parties!$E$5:$E$304,V1310)&lt;&gt;"",INDEX(Parties!$E$5:$E$304,V1310)&lt;&gt;HomeState),ROUND(L1310*M1310,2),0)),"")</f>
        <v/>
      </c>
      <c r="Q1310" s="61" t="str">
        <f aca="false">IF(IsPro,IF($D1310="","",L1310+N1310+O1310+P1310),"")</f>
        <v/>
      </c>
      <c r="R1310" s="61" t="str">
        <f aca="false">IF(IsPro,IF($D1310="","",ROUND(N($E1310)*IFERROR(INDEX(Items!$P$5:$P$504,U1310),0),2)),"")</f>
        <v/>
      </c>
      <c r="S1310" s="61" t="str">
        <f aca="false">IF(IsPro,IF($D1310="","",L1310-R1310),"")</f>
        <v/>
      </c>
      <c r="T1310" s="60" t="str">
        <f aca="false">IF(IsPro,IF($D1310="","",IF(U1310="","UNKNOWN ITEM",IF(INDEX(Items!$O$5:$O$504,U1310)&lt;0,"NEG STOCK",IF(K1310&lt;INDEX(Items!$P$5:$P$504,U1310),"BELOW COST","OK")))),IF($D1310="","","PRO PLAN"))</f>
        <v/>
      </c>
      <c r="U1310" s="60" t="str">
        <f aca="false">IF(IsPro,IF($D1310="","",IFERROR(MATCH($D1310,Items!$A$5:$A$504,0),"")),"")</f>
        <v/>
      </c>
      <c r="V1310" s="60" t="str">
        <f aca="false">IF(IsPro,IF($C1310="","",IFERROR(MATCH($C1310,Parties!$A$5:$A$304,0),"")),"")</f>
        <v/>
      </c>
      <c r="W1310" s="60" t="str">
        <f aca="false">IF(IsPro,IF($B1310="","",IFERROR(VALUE(SUBSTITUTE($B1310,InvPrefix,"")),0)),"")</f>
        <v/>
      </c>
      <c r="X1310" s="61" t="str">
        <f aca="false">IF(IsPro,IF($D1310="","",IF(OR($H1310="",$H1310="Credit"),0,Q1310)),"")</f>
        <v/>
      </c>
    </row>
    <row r="1311" customFormat="false" ht="15" hidden="false" customHeight="false" outlineLevel="0" collapsed="false">
      <c r="A1311" s="55"/>
      <c r="B1311" s="56"/>
      <c r="C1311" s="56"/>
      <c r="D1311" s="56"/>
      <c r="E1311" s="57"/>
      <c r="F1311" s="58"/>
      <c r="G1311" s="59"/>
      <c r="H1311" s="56"/>
      <c r="I1311" s="56"/>
      <c r="J1311" s="60" t="str">
        <f aca="false">IF(IsPro,IF($D1311="","",IFERROR(INDEX(Items!$D$5:$D$504,U1311),"")),"")</f>
        <v/>
      </c>
      <c r="K1311" s="61" t="str">
        <f aca="false">IF(IsPro,IF($D1311="","",IF($F1311="",IFERROR(INDEX(Items!$H$5:$H$504,U1311),0),$F1311)),"")</f>
        <v/>
      </c>
      <c r="L1311" s="61" t="str">
        <f aca="false">IF(IsPro,IF($D1311="","",ROUND(N($E1311)*K1311*(1-N($G1311)),2)),"")</f>
        <v/>
      </c>
      <c r="M1311" s="62" t="str">
        <f aca="false">IF(IsPro,IF($D1311="","",IFERROR(INDEX(Items!$F$5:$F$504,U1311),0)),"")</f>
        <v/>
      </c>
      <c r="N1311" s="61" t="str">
        <f aca="false">IF(IsPro,IF($D1311="","",IF(AND(V1311&lt;&gt;"",INDEX(Parties!$E$5:$E$304,V1311)&lt;&gt;"",INDEX(Parties!$E$5:$E$304,V1311)&lt;&gt;HomeState),0,ROUND(L1311*M1311/2,2))),"")</f>
        <v/>
      </c>
      <c r="O1311" s="61" t="str">
        <f aca="false">IF(IsPro,IF($D1311="","",N1311),"")</f>
        <v/>
      </c>
      <c r="P1311" s="61" t="str">
        <f aca="false">IF(IsPro,IF($D1311="","",IF(AND(V1311&lt;&gt;"",INDEX(Parties!$E$5:$E$304,V1311)&lt;&gt;"",INDEX(Parties!$E$5:$E$304,V1311)&lt;&gt;HomeState),ROUND(L1311*M1311,2),0)),"")</f>
        <v/>
      </c>
      <c r="Q1311" s="61" t="str">
        <f aca="false">IF(IsPro,IF($D1311="","",L1311+N1311+O1311+P1311),"")</f>
        <v/>
      </c>
      <c r="R1311" s="61" t="str">
        <f aca="false">IF(IsPro,IF($D1311="","",ROUND(N($E1311)*IFERROR(INDEX(Items!$P$5:$P$504,U1311),0),2)),"")</f>
        <v/>
      </c>
      <c r="S1311" s="61" t="str">
        <f aca="false">IF(IsPro,IF($D1311="","",L1311-R1311),"")</f>
        <v/>
      </c>
      <c r="T1311" s="60" t="str">
        <f aca="false">IF(IsPro,IF($D1311="","",IF(U1311="","UNKNOWN ITEM",IF(INDEX(Items!$O$5:$O$504,U1311)&lt;0,"NEG STOCK",IF(K1311&lt;INDEX(Items!$P$5:$P$504,U1311),"BELOW COST","OK")))),IF($D1311="","","PRO PLAN"))</f>
        <v/>
      </c>
      <c r="U1311" s="60" t="str">
        <f aca="false">IF(IsPro,IF($D1311="","",IFERROR(MATCH($D1311,Items!$A$5:$A$504,0),"")),"")</f>
        <v/>
      </c>
      <c r="V1311" s="60" t="str">
        <f aca="false">IF(IsPro,IF($C1311="","",IFERROR(MATCH($C1311,Parties!$A$5:$A$304,0),"")),"")</f>
        <v/>
      </c>
      <c r="W1311" s="60" t="str">
        <f aca="false">IF(IsPro,IF($B1311="","",IFERROR(VALUE(SUBSTITUTE($B1311,InvPrefix,"")),0)),"")</f>
        <v/>
      </c>
      <c r="X1311" s="61" t="str">
        <f aca="false">IF(IsPro,IF($D1311="","",IF(OR($H1311="",$H1311="Credit"),0,Q1311)),"")</f>
        <v/>
      </c>
    </row>
    <row r="1312" customFormat="false" ht="15" hidden="false" customHeight="false" outlineLevel="0" collapsed="false">
      <c r="A1312" s="55"/>
      <c r="B1312" s="56"/>
      <c r="C1312" s="56"/>
      <c r="D1312" s="56"/>
      <c r="E1312" s="57"/>
      <c r="F1312" s="58"/>
      <c r="G1312" s="59"/>
      <c r="H1312" s="56"/>
      <c r="I1312" s="56"/>
      <c r="J1312" s="60" t="str">
        <f aca="false">IF(IsPro,IF($D1312="","",IFERROR(INDEX(Items!$D$5:$D$504,U1312),"")),"")</f>
        <v/>
      </c>
      <c r="K1312" s="61" t="str">
        <f aca="false">IF(IsPro,IF($D1312="","",IF($F1312="",IFERROR(INDEX(Items!$H$5:$H$504,U1312),0),$F1312)),"")</f>
        <v/>
      </c>
      <c r="L1312" s="61" t="str">
        <f aca="false">IF(IsPro,IF($D1312="","",ROUND(N($E1312)*K1312*(1-N($G1312)),2)),"")</f>
        <v/>
      </c>
      <c r="M1312" s="62" t="str">
        <f aca="false">IF(IsPro,IF($D1312="","",IFERROR(INDEX(Items!$F$5:$F$504,U1312),0)),"")</f>
        <v/>
      </c>
      <c r="N1312" s="61" t="str">
        <f aca="false">IF(IsPro,IF($D1312="","",IF(AND(V1312&lt;&gt;"",INDEX(Parties!$E$5:$E$304,V1312)&lt;&gt;"",INDEX(Parties!$E$5:$E$304,V1312)&lt;&gt;HomeState),0,ROUND(L1312*M1312/2,2))),"")</f>
        <v/>
      </c>
      <c r="O1312" s="61" t="str">
        <f aca="false">IF(IsPro,IF($D1312="","",N1312),"")</f>
        <v/>
      </c>
      <c r="P1312" s="61" t="str">
        <f aca="false">IF(IsPro,IF($D1312="","",IF(AND(V1312&lt;&gt;"",INDEX(Parties!$E$5:$E$304,V1312)&lt;&gt;"",INDEX(Parties!$E$5:$E$304,V1312)&lt;&gt;HomeState),ROUND(L1312*M1312,2),0)),"")</f>
        <v/>
      </c>
      <c r="Q1312" s="61" t="str">
        <f aca="false">IF(IsPro,IF($D1312="","",L1312+N1312+O1312+P1312),"")</f>
        <v/>
      </c>
      <c r="R1312" s="61" t="str">
        <f aca="false">IF(IsPro,IF($D1312="","",ROUND(N($E1312)*IFERROR(INDEX(Items!$P$5:$P$504,U1312),0),2)),"")</f>
        <v/>
      </c>
      <c r="S1312" s="61" t="str">
        <f aca="false">IF(IsPro,IF($D1312="","",L1312-R1312),"")</f>
        <v/>
      </c>
      <c r="T1312" s="60" t="str">
        <f aca="false">IF(IsPro,IF($D1312="","",IF(U1312="","UNKNOWN ITEM",IF(INDEX(Items!$O$5:$O$504,U1312)&lt;0,"NEG STOCK",IF(K1312&lt;INDEX(Items!$P$5:$P$504,U1312),"BELOW COST","OK")))),IF($D1312="","","PRO PLAN"))</f>
        <v/>
      </c>
      <c r="U1312" s="60" t="str">
        <f aca="false">IF(IsPro,IF($D1312="","",IFERROR(MATCH($D1312,Items!$A$5:$A$504,0),"")),"")</f>
        <v/>
      </c>
      <c r="V1312" s="60" t="str">
        <f aca="false">IF(IsPro,IF($C1312="","",IFERROR(MATCH($C1312,Parties!$A$5:$A$304,0),"")),"")</f>
        <v/>
      </c>
      <c r="W1312" s="60" t="str">
        <f aca="false">IF(IsPro,IF($B1312="","",IFERROR(VALUE(SUBSTITUTE($B1312,InvPrefix,"")),0)),"")</f>
        <v/>
      </c>
      <c r="X1312" s="61" t="str">
        <f aca="false">IF(IsPro,IF($D1312="","",IF(OR($H1312="",$H1312="Credit"),0,Q1312)),"")</f>
        <v/>
      </c>
    </row>
    <row r="1313" customFormat="false" ht="15" hidden="false" customHeight="false" outlineLevel="0" collapsed="false">
      <c r="A1313" s="55"/>
      <c r="B1313" s="56"/>
      <c r="C1313" s="56"/>
      <c r="D1313" s="56"/>
      <c r="E1313" s="57"/>
      <c r="F1313" s="58"/>
      <c r="G1313" s="59"/>
      <c r="H1313" s="56"/>
      <c r="I1313" s="56"/>
      <c r="J1313" s="60" t="str">
        <f aca="false">IF(IsPro,IF($D1313="","",IFERROR(INDEX(Items!$D$5:$D$504,U1313),"")),"")</f>
        <v/>
      </c>
      <c r="K1313" s="61" t="str">
        <f aca="false">IF(IsPro,IF($D1313="","",IF($F1313="",IFERROR(INDEX(Items!$H$5:$H$504,U1313),0),$F1313)),"")</f>
        <v/>
      </c>
      <c r="L1313" s="61" t="str">
        <f aca="false">IF(IsPro,IF($D1313="","",ROUND(N($E1313)*K1313*(1-N($G1313)),2)),"")</f>
        <v/>
      </c>
      <c r="M1313" s="62" t="str">
        <f aca="false">IF(IsPro,IF($D1313="","",IFERROR(INDEX(Items!$F$5:$F$504,U1313),0)),"")</f>
        <v/>
      </c>
      <c r="N1313" s="61" t="str">
        <f aca="false">IF(IsPro,IF($D1313="","",IF(AND(V1313&lt;&gt;"",INDEX(Parties!$E$5:$E$304,V1313)&lt;&gt;"",INDEX(Parties!$E$5:$E$304,V1313)&lt;&gt;HomeState),0,ROUND(L1313*M1313/2,2))),"")</f>
        <v/>
      </c>
      <c r="O1313" s="61" t="str">
        <f aca="false">IF(IsPro,IF($D1313="","",N1313),"")</f>
        <v/>
      </c>
      <c r="P1313" s="61" t="str">
        <f aca="false">IF(IsPro,IF($D1313="","",IF(AND(V1313&lt;&gt;"",INDEX(Parties!$E$5:$E$304,V1313)&lt;&gt;"",INDEX(Parties!$E$5:$E$304,V1313)&lt;&gt;HomeState),ROUND(L1313*M1313,2),0)),"")</f>
        <v/>
      </c>
      <c r="Q1313" s="61" t="str">
        <f aca="false">IF(IsPro,IF($D1313="","",L1313+N1313+O1313+P1313),"")</f>
        <v/>
      </c>
      <c r="R1313" s="61" t="str">
        <f aca="false">IF(IsPro,IF($D1313="","",ROUND(N($E1313)*IFERROR(INDEX(Items!$P$5:$P$504,U1313),0),2)),"")</f>
        <v/>
      </c>
      <c r="S1313" s="61" t="str">
        <f aca="false">IF(IsPro,IF($D1313="","",L1313-R1313),"")</f>
        <v/>
      </c>
      <c r="T1313" s="60" t="str">
        <f aca="false">IF(IsPro,IF($D1313="","",IF(U1313="","UNKNOWN ITEM",IF(INDEX(Items!$O$5:$O$504,U1313)&lt;0,"NEG STOCK",IF(K1313&lt;INDEX(Items!$P$5:$P$504,U1313),"BELOW COST","OK")))),IF($D1313="","","PRO PLAN"))</f>
        <v/>
      </c>
      <c r="U1313" s="60" t="str">
        <f aca="false">IF(IsPro,IF($D1313="","",IFERROR(MATCH($D1313,Items!$A$5:$A$504,0),"")),"")</f>
        <v/>
      </c>
      <c r="V1313" s="60" t="str">
        <f aca="false">IF(IsPro,IF($C1313="","",IFERROR(MATCH($C1313,Parties!$A$5:$A$304,0),"")),"")</f>
        <v/>
      </c>
      <c r="W1313" s="60" t="str">
        <f aca="false">IF(IsPro,IF($B1313="","",IFERROR(VALUE(SUBSTITUTE($B1313,InvPrefix,"")),0)),"")</f>
        <v/>
      </c>
      <c r="X1313" s="61" t="str">
        <f aca="false">IF(IsPro,IF($D1313="","",IF(OR($H1313="",$H1313="Credit"),0,Q1313)),"")</f>
        <v/>
      </c>
    </row>
    <row r="1314" customFormat="false" ht="15" hidden="false" customHeight="false" outlineLevel="0" collapsed="false">
      <c r="A1314" s="55"/>
      <c r="B1314" s="56"/>
      <c r="C1314" s="56"/>
      <c r="D1314" s="56"/>
      <c r="E1314" s="57"/>
      <c r="F1314" s="58"/>
      <c r="G1314" s="59"/>
      <c r="H1314" s="56"/>
      <c r="I1314" s="56"/>
      <c r="J1314" s="60" t="str">
        <f aca="false">IF(IsPro,IF($D1314="","",IFERROR(INDEX(Items!$D$5:$D$504,U1314),"")),"")</f>
        <v/>
      </c>
      <c r="K1314" s="61" t="str">
        <f aca="false">IF(IsPro,IF($D1314="","",IF($F1314="",IFERROR(INDEX(Items!$H$5:$H$504,U1314),0),$F1314)),"")</f>
        <v/>
      </c>
      <c r="L1314" s="61" t="str">
        <f aca="false">IF(IsPro,IF($D1314="","",ROUND(N($E1314)*K1314*(1-N($G1314)),2)),"")</f>
        <v/>
      </c>
      <c r="M1314" s="62" t="str">
        <f aca="false">IF(IsPro,IF($D1314="","",IFERROR(INDEX(Items!$F$5:$F$504,U1314),0)),"")</f>
        <v/>
      </c>
      <c r="N1314" s="61" t="str">
        <f aca="false">IF(IsPro,IF($D1314="","",IF(AND(V1314&lt;&gt;"",INDEX(Parties!$E$5:$E$304,V1314)&lt;&gt;"",INDEX(Parties!$E$5:$E$304,V1314)&lt;&gt;HomeState),0,ROUND(L1314*M1314/2,2))),"")</f>
        <v/>
      </c>
      <c r="O1314" s="61" t="str">
        <f aca="false">IF(IsPro,IF($D1314="","",N1314),"")</f>
        <v/>
      </c>
      <c r="P1314" s="61" t="str">
        <f aca="false">IF(IsPro,IF($D1314="","",IF(AND(V1314&lt;&gt;"",INDEX(Parties!$E$5:$E$304,V1314)&lt;&gt;"",INDEX(Parties!$E$5:$E$304,V1314)&lt;&gt;HomeState),ROUND(L1314*M1314,2),0)),"")</f>
        <v/>
      </c>
      <c r="Q1314" s="61" t="str">
        <f aca="false">IF(IsPro,IF($D1314="","",L1314+N1314+O1314+P1314),"")</f>
        <v/>
      </c>
      <c r="R1314" s="61" t="str">
        <f aca="false">IF(IsPro,IF($D1314="","",ROUND(N($E1314)*IFERROR(INDEX(Items!$P$5:$P$504,U1314),0),2)),"")</f>
        <v/>
      </c>
      <c r="S1314" s="61" t="str">
        <f aca="false">IF(IsPro,IF($D1314="","",L1314-R1314),"")</f>
        <v/>
      </c>
      <c r="T1314" s="60" t="str">
        <f aca="false">IF(IsPro,IF($D1314="","",IF(U1314="","UNKNOWN ITEM",IF(INDEX(Items!$O$5:$O$504,U1314)&lt;0,"NEG STOCK",IF(K1314&lt;INDEX(Items!$P$5:$P$504,U1314),"BELOW COST","OK")))),IF($D1314="","","PRO PLAN"))</f>
        <v/>
      </c>
      <c r="U1314" s="60" t="str">
        <f aca="false">IF(IsPro,IF($D1314="","",IFERROR(MATCH($D1314,Items!$A$5:$A$504,0),"")),"")</f>
        <v/>
      </c>
      <c r="V1314" s="60" t="str">
        <f aca="false">IF(IsPro,IF($C1314="","",IFERROR(MATCH($C1314,Parties!$A$5:$A$304,0),"")),"")</f>
        <v/>
      </c>
      <c r="W1314" s="60" t="str">
        <f aca="false">IF(IsPro,IF($B1314="","",IFERROR(VALUE(SUBSTITUTE($B1314,InvPrefix,"")),0)),"")</f>
        <v/>
      </c>
      <c r="X1314" s="61" t="str">
        <f aca="false">IF(IsPro,IF($D1314="","",IF(OR($H1314="",$H1314="Credit"),0,Q1314)),"")</f>
        <v/>
      </c>
    </row>
    <row r="1315" customFormat="false" ht="15" hidden="false" customHeight="false" outlineLevel="0" collapsed="false">
      <c r="A1315" s="55"/>
      <c r="B1315" s="56"/>
      <c r="C1315" s="56"/>
      <c r="D1315" s="56"/>
      <c r="E1315" s="57"/>
      <c r="F1315" s="58"/>
      <c r="G1315" s="59"/>
      <c r="H1315" s="56"/>
      <c r="I1315" s="56"/>
      <c r="J1315" s="60" t="str">
        <f aca="false">IF(IsPro,IF($D1315="","",IFERROR(INDEX(Items!$D$5:$D$504,U1315),"")),"")</f>
        <v/>
      </c>
      <c r="K1315" s="61" t="str">
        <f aca="false">IF(IsPro,IF($D1315="","",IF($F1315="",IFERROR(INDEX(Items!$H$5:$H$504,U1315),0),$F1315)),"")</f>
        <v/>
      </c>
      <c r="L1315" s="61" t="str">
        <f aca="false">IF(IsPro,IF($D1315="","",ROUND(N($E1315)*K1315*(1-N($G1315)),2)),"")</f>
        <v/>
      </c>
      <c r="M1315" s="62" t="str">
        <f aca="false">IF(IsPro,IF($D1315="","",IFERROR(INDEX(Items!$F$5:$F$504,U1315),0)),"")</f>
        <v/>
      </c>
      <c r="N1315" s="61" t="str">
        <f aca="false">IF(IsPro,IF($D1315="","",IF(AND(V1315&lt;&gt;"",INDEX(Parties!$E$5:$E$304,V1315)&lt;&gt;"",INDEX(Parties!$E$5:$E$304,V1315)&lt;&gt;HomeState),0,ROUND(L1315*M1315/2,2))),"")</f>
        <v/>
      </c>
      <c r="O1315" s="61" t="str">
        <f aca="false">IF(IsPro,IF($D1315="","",N1315),"")</f>
        <v/>
      </c>
      <c r="P1315" s="61" t="str">
        <f aca="false">IF(IsPro,IF($D1315="","",IF(AND(V1315&lt;&gt;"",INDEX(Parties!$E$5:$E$304,V1315)&lt;&gt;"",INDEX(Parties!$E$5:$E$304,V1315)&lt;&gt;HomeState),ROUND(L1315*M1315,2),0)),"")</f>
        <v/>
      </c>
      <c r="Q1315" s="61" t="str">
        <f aca="false">IF(IsPro,IF($D1315="","",L1315+N1315+O1315+P1315),"")</f>
        <v/>
      </c>
      <c r="R1315" s="61" t="str">
        <f aca="false">IF(IsPro,IF($D1315="","",ROUND(N($E1315)*IFERROR(INDEX(Items!$P$5:$P$504,U1315),0),2)),"")</f>
        <v/>
      </c>
      <c r="S1315" s="61" t="str">
        <f aca="false">IF(IsPro,IF($D1315="","",L1315-R1315),"")</f>
        <v/>
      </c>
      <c r="T1315" s="60" t="str">
        <f aca="false">IF(IsPro,IF($D1315="","",IF(U1315="","UNKNOWN ITEM",IF(INDEX(Items!$O$5:$O$504,U1315)&lt;0,"NEG STOCK",IF(K1315&lt;INDEX(Items!$P$5:$P$504,U1315),"BELOW COST","OK")))),IF($D1315="","","PRO PLAN"))</f>
        <v/>
      </c>
      <c r="U1315" s="60" t="str">
        <f aca="false">IF(IsPro,IF($D1315="","",IFERROR(MATCH($D1315,Items!$A$5:$A$504,0),"")),"")</f>
        <v/>
      </c>
      <c r="V1315" s="60" t="str">
        <f aca="false">IF(IsPro,IF($C1315="","",IFERROR(MATCH($C1315,Parties!$A$5:$A$304,0),"")),"")</f>
        <v/>
      </c>
      <c r="W1315" s="60" t="str">
        <f aca="false">IF(IsPro,IF($B1315="","",IFERROR(VALUE(SUBSTITUTE($B1315,InvPrefix,"")),0)),"")</f>
        <v/>
      </c>
      <c r="X1315" s="61" t="str">
        <f aca="false">IF(IsPro,IF($D1315="","",IF(OR($H1315="",$H1315="Credit"),0,Q1315)),"")</f>
        <v/>
      </c>
    </row>
    <row r="1316" customFormat="false" ht="15" hidden="false" customHeight="false" outlineLevel="0" collapsed="false">
      <c r="A1316" s="55"/>
      <c r="B1316" s="56"/>
      <c r="C1316" s="56"/>
      <c r="D1316" s="56"/>
      <c r="E1316" s="57"/>
      <c r="F1316" s="58"/>
      <c r="G1316" s="59"/>
      <c r="H1316" s="56"/>
      <c r="I1316" s="56"/>
      <c r="J1316" s="60" t="str">
        <f aca="false">IF(IsPro,IF($D1316="","",IFERROR(INDEX(Items!$D$5:$D$504,U1316),"")),"")</f>
        <v/>
      </c>
      <c r="K1316" s="61" t="str">
        <f aca="false">IF(IsPro,IF($D1316="","",IF($F1316="",IFERROR(INDEX(Items!$H$5:$H$504,U1316),0),$F1316)),"")</f>
        <v/>
      </c>
      <c r="L1316" s="61" t="str">
        <f aca="false">IF(IsPro,IF($D1316="","",ROUND(N($E1316)*K1316*(1-N($G1316)),2)),"")</f>
        <v/>
      </c>
      <c r="M1316" s="62" t="str">
        <f aca="false">IF(IsPro,IF($D1316="","",IFERROR(INDEX(Items!$F$5:$F$504,U1316),0)),"")</f>
        <v/>
      </c>
      <c r="N1316" s="61" t="str">
        <f aca="false">IF(IsPro,IF($D1316="","",IF(AND(V1316&lt;&gt;"",INDEX(Parties!$E$5:$E$304,V1316)&lt;&gt;"",INDEX(Parties!$E$5:$E$304,V1316)&lt;&gt;HomeState),0,ROUND(L1316*M1316/2,2))),"")</f>
        <v/>
      </c>
      <c r="O1316" s="61" t="str">
        <f aca="false">IF(IsPro,IF($D1316="","",N1316),"")</f>
        <v/>
      </c>
      <c r="P1316" s="61" t="str">
        <f aca="false">IF(IsPro,IF($D1316="","",IF(AND(V1316&lt;&gt;"",INDEX(Parties!$E$5:$E$304,V1316)&lt;&gt;"",INDEX(Parties!$E$5:$E$304,V1316)&lt;&gt;HomeState),ROUND(L1316*M1316,2),0)),"")</f>
        <v/>
      </c>
      <c r="Q1316" s="61" t="str">
        <f aca="false">IF(IsPro,IF($D1316="","",L1316+N1316+O1316+P1316),"")</f>
        <v/>
      </c>
      <c r="R1316" s="61" t="str">
        <f aca="false">IF(IsPro,IF($D1316="","",ROUND(N($E1316)*IFERROR(INDEX(Items!$P$5:$P$504,U1316),0),2)),"")</f>
        <v/>
      </c>
      <c r="S1316" s="61" t="str">
        <f aca="false">IF(IsPro,IF($D1316="","",L1316-R1316),"")</f>
        <v/>
      </c>
      <c r="T1316" s="60" t="str">
        <f aca="false">IF(IsPro,IF($D1316="","",IF(U1316="","UNKNOWN ITEM",IF(INDEX(Items!$O$5:$O$504,U1316)&lt;0,"NEG STOCK",IF(K1316&lt;INDEX(Items!$P$5:$P$504,U1316),"BELOW COST","OK")))),IF($D1316="","","PRO PLAN"))</f>
        <v/>
      </c>
      <c r="U1316" s="60" t="str">
        <f aca="false">IF(IsPro,IF($D1316="","",IFERROR(MATCH($D1316,Items!$A$5:$A$504,0),"")),"")</f>
        <v/>
      </c>
      <c r="V1316" s="60" t="str">
        <f aca="false">IF(IsPro,IF($C1316="","",IFERROR(MATCH($C1316,Parties!$A$5:$A$304,0),"")),"")</f>
        <v/>
      </c>
      <c r="W1316" s="60" t="str">
        <f aca="false">IF(IsPro,IF($B1316="","",IFERROR(VALUE(SUBSTITUTE($B1316,InvPrefix,"")),0)),"")</f>
        <v/>
      </c>
      <c r="X1316" s="61" t="str">
        <f aca="false">IF(IsPro,IF($D1316="","",IF(OR($H1316="",$H1316="Credit"),0,Q1316)),"")</f>
        <v/>
      </c>
    </row>
    <row r="1317" customFormat="false" ht="15" hidden="false" customHeight="false" outlineLevel="0" collapsed="false">
      <c r="A1317" s="55"/>
      <c r="B1317" s="56"/>
      <c r="C1317" s="56"/>
      <c r="D1317" s="56"/>
      <c r="E1317" s="57"/>
      <c r="F1317" s="58"/>
      <c r="G1317" s="59"/>
      <c r="H1317" s="56"/>
      <c r="I1317" s="56"/>
      <c r="J1317" s="60" t="str">
        <f aca="false">IF(IsPro,IF($D1317="","",IFERROR(INDEX(Items!$D$5:$D$504,U1317),"")),"")</f>
        <v/>
      </c>
      <c r="K1317" s="61" t="str">
        <f aca="false">IF(IsPro,IF($D1317="","",IF($F1317="",IFERROR(INDEX(Items!$H$5:$H$504,U1317),0),$F1317)),"")</f>
        <v/>
      </c>
      <c r="L1317" s="61" t="str">
        <f aca="false">IF(IsPro,IF($D1317="","",ROUND(N($E1317)*K1317*(1-N($G1317)),2)),"")</f>
        <v/>
      </c>
      <c r="M1317" s="62" t="str">
        <f aca="false">IF(IsPro,IF($D1317="","",IFERROR(INDEX(Items!$F$5:$F$504,U1317),0)),"")</f>
        <v/>
      </c>
      <c r="N1317" s="61" t="str">
        <f aca="false">IF(IsPro,IF($D1317="","",IF(AND(V1317&lt;&gt;"",INDEX(Parties!$E$5:$E$304,V1317)&lt;&gt;"",INDEX(Parties!$E$5:$E$304,V1317)&lt;&gt;HomeState),0,ROUND(L1317*M1317/2,2))),"")</f>
        <v/>
      </c>
      <c r="O1317" s="61" t="str">
        <f aca="false">IF(IsPro,IF($D1317="","",N1317),"")</f>
        <v/>
      </c>
      <c r="P1317" s="61" t="str">
        <f aca="false">IF(IsPro,IF($D1317="","",IF(AND(V1317&lt;&gt;"",INDEX(Parties!$E$5:$E$304,V1317)&lt;&gt;"",INDEX(Parties!$E$5:$E$304,V1317)&lt;&gt;HomeState),ROUND(L1317*M1317,2),0)),"")</f>
        <v/>
      </c>
      <c r="Q1317" s="61" t="str">
        <f aca="false">IF(IsPro,IF($D1317="","",L1317+N1317+O1317+P1317),"")</f>
        <v/>
      </c>
      <c r="R1317" s="61" t="str">
        <f aca="false">IF(IsPro,IF($D1317="","",ROUND(N($E1317)*IFERROR(INDEX(Items!$P$5:$P$504,U1317),0),2)),"")</f>
        <v/>
      </c>
      <c r="S1317" s="61" t="str">
        <f aca="false">IF(IsPro,IF($D1317="","",L1317-R1317),"")</f>
        <v/>
      </c>
      <c r="T1317" s="60" t="str">
        <f aca="false">IF(IsPro,IF($D1317="","",IF(U1317="","UNKNOWN ITEM",IF(INDEX(Items!$O$5:$O$504,U1317)&lt;0,"NEG STOCK",IF(K1317&lt;INDEX(Items!$P$5:$P$504,U1317),"BELOW COST","OK")))),IF($D1317="","","PRO PLAN"))</f>
        <v/>
      </c>
      <c r="U1317" s="60" t="str">
        <f aca="false">IF(IsPro,IF($D1317="","",IFERROR(MATCH($D1317,Items!$A$5:$A$504,0),"")),"")</f>
        <v/>
      </c>
      <c r="V1317" s="60" t="str">
        <f aca="false">IF(IsPro,IF($C1317="","",IFERROR(MATCH($C1317,Parties!$A$5:$A$304,0),"")),"")</f>
        <v/>
      </c>
      <c r="W1317" s="60" t="str">
        <f aca="false">IF(IsPro,IF($B1317="","",IFERROR(VALUE(SUBSTITUTE($B1317,InvPrefix,"")),0)),"")</f>
        <v/>
      </c>
      <c r="X1317" s="61" t="str">
        <f aca="false">IF(IsPro,IF($D1317="","",IF(OR($H1317="",$H1317="Credit"),0,Q1317)),"")</f>
        <v/>
      </c>
    </row>
    <row r="1318" customFormat="false" ht="15" hidden="false" customHeight="false" outlineLevel="0" collapsed="false">
      <c r="A1318" s="55"/>
      <c r="B1318" s="56"/>
      <c r="C1318" s="56"/>
      <c r="D1318" s="56"/>
      <c r="E1318" s="57"/>
      <c r="F1318" s="58"/>
      <c r="G1318" s="59"/>
      <c r="H1318" s="56"/>
      <c r="I1318" s="56"/>
      <c r="J1318" s="60" t="str">
        <f aca="false">IF(IsPro,IF($D1318="","",IFERROR(INDEX(Items!$D$5:$D$504,U1318),"")),"")</f>
        <v/>
      </c>
      <c r="K1318" s="61" t="str">
        <f aca="false">IF(IsPro,IF($D1318="","",IF($F1318="",IFERROR(INDEX(Items!$H$5:$H$504,U1318),0),$F1318)),"")</f>
        <v/>
      </c>
      <c r="L1318" s="61" t="str">
        <f aca="false">IF(IsPro,IF($D1318="","",ROUND(N($E1318)*K1318*(1-N($G1318)),2)),"")</f>
        <v/>
      </c>
      <c r="M1318" s="62" t="str">
        <f aca="false">IF(IsPro,IF($D1318="","",IFERROR(INDEX(Items!$F$5:$F$504,U1318),0)),"")</f>
        <v/>
      </c>
      <c r="N1318" s="61" t="str">
        <f aca="false">IF(IsPro,IF($D1318="","",IF(AND(V1318&lt;&gt;"",INDEX(Parties!$E$5:$E$304,V1318)&lt;&gt;"",INDEX(Parties!$E$5:$E$304,V1318)&lt;&gt;HomeState),0,ROUND(L1318*M1318/2,2))),"")</f>
        <v/>
      </c>
      <c r="O1318" s="61" t="str">
        <f aca="false">IF(IsPro,IF($D1318="","",N1318),"")</f>
        <v/>
      </c>
      <c r="P1318" s="61" t="str">
        <f aca="false">IF(IsPro,IF($D1318="","",IF(AND(V1318&lt;&gt;"",INDEX(Parties!$E$5:$E$304,V1318)&lt;&gt;"",INDEX(Parties!$E$5:$E$304,V1318)&lt;&gt;HomeState),ROUND(L1318*M1318,2),0)),"")</f>
        <v/>
      </c>
      <c r="Q1318" s="61" t="str">
        <f aca="false">IF(IsPro,IF($D1318="","",L1318+N1318+O1318+P1318),"")</f>
        <v/>
      </c>
      <c r="R1318" s="61" t="str">
        <f aca="false">IF(IsPro,IF($D1318="","",ROUND(N($E1318)*IFERROR(INDEX(Items!$P$5:$P$504,U1318),0),2)),"")</f>
        <v/>
      </c>
      <c r="S1318" s="61" t="str">
        <f aca="false">IF(IsPro,IF($D1318="","",L1318-R1318),"")</f>
        <v/>
      </c>
      <c r="T1318" s="60" t="str">
        <f aca="false">IF(IsPro,IF($D1318="","",IF(U1318="","UNKNOWN ITEM",IF(INDEX(Items!$O$5:$O$504,U1318)&lt;0,"NEG STOCK",IF(K1318&lt;INDEX(Items!$P$5:$P$504,U1318),"BELOW COST","OK")))),IF($D1318="","","PRO PLAN"))</f>
        <v/>
      </c>
      <c r="U1318" s="60" t="str">
        <f aca="false">IF(IsPro,IF($D1318="","",IFERROR(MATCH($D1318,Items!$A$5:$A$504,0),"")),"")</f>
        <v/>
      </c>
      <c r="V1318" s="60" t="str">
        <f aca="false">IF(IsPro,IF($C1318="","",IFERROR(MATCH($C1318,Parties!$A$5:$A$304,0),"")),"")</f>
        <v/>
      </c>
      <c r="W1318" s="60" t="str">
        <f aca="false">IF(IsPro,IF($B1318="","",IFERROR(VALUE(SUBSTITUTE($B1318,InvPrefix,"")),0)),"")</f>
        <v/>
      </c>
      <c r="X1318" s="61" t="str">
        <f aca="false">IF(IsPro,IF($D1318="","",IF(OR($H1318="",$H1318="Credit"),0,Q1318)),"")</f>
        <v/>
      </c>
    </row>
    <row r="1319" customFormat="false" ht="15" hidden="false" customHeight="false" outlineLevel="0" collapsed="false">
      <c r="A1319" s="55"/>
      <c r="B1319" s="56"/>
      <c r="C1319" s="56"/>
      <c r="D1319" s="56"/>
      <c r="E1319" s="57"/>
      <c r="F1319" s="58"/>
      <c r="G1319" s="59"/>
      <c r="H1319" s="56"/>
      <c r="I1319" s="56"/>
      <c r="J1319" s="60" t="str">
        <f aca="false">IF(IsPro,IF($D1319="","",IFERROR(INDEX(Items!$D$5:$D$504,U1319),"")),"")</f>
        <v/>
      </c>
      <c r="K1319" s="61" t="str">
        <f aca="false">IF(IsPro,IF($D1319="","",IF($F1319="",IFERROR(INDEX(Items!$H$5:$H$504,U1319),0),$F1319)),"")</f>
        <v/>
      </c>
      <c r="L1319" s="61" t="str">
        <f aca="false">IF(IsPro,IF($D1319="","",ROUND(N($E1319)*K1319*(1-N($G1319)),2)),"")</f>
        <v/>
      </c>
      <c r="M1319" s="62" t="str">
        <f aca="false">IF(IsPro,IF($D1319="","",IFERROR(INDEX(Items!$F$5:$F$504,U1319),0)),"")</f>
        <v/>
      </c>
      <c r="N1319" s="61" t="str">
        <f aca="false">IF(IsPro,IF($D1319="","",IF(AND(V1319&lt;&gt;"",INDEX(Parties!$E$5:$E$304,V1319)&lt;&gt;"",INDEX(Parties!$E$5:$E$304,V1319)&lt;&gt;HomeState),0,ROUND(L1319*M1319/2,2))),"")</f>
        <v/>
      </c>
      <c r="O1319" s="61" t="str">
        <f aca="false">IF(IsPro,IF($D1319="","",N1319),"")</f>
        <v/>
      </c>
      <c r="P1319" s="61" t="str">
        <f aca="false">IF(IsPro,IF($D1319="","",IF(AND(V1319&lt;&gt;"",INDEX(Parties!$E$5:$E$304,V1319)&lt;&gt;"",INDEX(Parties!$E$5:$E$304,V1319)&lt;&gt;HomeState),ROUND(L1319*M1319,2),0)),"")</f>
        <v/>
      </c>
      <c r="Q1319" s="61" t="str">
        <f aca="false">IF(IsPro,IF($D1319="","",L1319+N1319+O1319+P1319),"")</f>
        <v/>
      </c>
      <c r="R1319" s="61" t="str">
        <f aca="false">IF(IsPro,IF($D1319="","",ROUND(N($E1319)*IFERROR(INDEX(Items!$P$5:$P$504,U1319),0),2)),"")</f>
        <v/>
      </c>
      <c r="S1319" s="61" t="str">
        <f aca="false">IF(IsPro,IF($D1319="","",L1319-R1319),"")</f>
        <v/>
      </c>
      <c r="T1319" s="60" t="str">
        <f aca="false">IF(IsPro,IF($D1319="","",IF(U1319="","UNKNOWN ITEM",IF(INDEX(Items!$O$5:$O$504,U1319)&lt;0,"NEG STOCK",IF(K1319&lt;INDEX(Items!$P$5:$P$504,U1319),"BELOW COST","OK")))),IF($D1319="","","PRO PLAN"))</f>
        <v/>
      </c>
      <c r="U1319" s="60" t="str">
        <f aca="false">IF(IsPro,IF($D1319="","",IFERROR(MATCH($D1319,Items!$A$5:$A$504,0),"")),"")</f>
        <v/>
      </c>
      <c r="V1319" s="60" t="str">
        <f aca="false">IF(IsPro,IF($C1319="","",IFERROR(MATCH($C1319,Parties!$A$5:$A$304,0),"")),"")</f>
        <v/>
      </c>
      <c r="W1319" s="60" t="str">
        <f aca="false">IF(IsPro,IF($B1319="","",IFERROR(VALUE(SUBSTITUTE($B1319,InvPrefix,"")),0)),"")</f>
        <v/>
      </c>
      <c r="X1319" s="61" t="str">
        <f aca="false">IF(IsPro,IF($D1319="","",IF(OR($H1319="",$H1319="Credit"),0,Q1319)),"")</f>
        <v/>
      </c>
    </row>
    <row r="1320" customFormat="false" ht="15" hidden="false" customHeight="false" outlineLevel="0" collapsed="false">
      <c r="A1320" s="55"/>
      <c r="B1320" s="56"/>
      <c r="C1320" s="56"/>
      <c r="D1320" s="56"/>
      <c r="E1320" s="57"/>
      <c r="F1320" s="58"/>
      <c r="G1320" s="59"/>
      <c r="H1320" s="56"/>
      <c r="I1320" s="56"/>
      <c r="J1320" s="60" t="str">
        <f aca="false">IF(IsPro,IF($D1320="","",IFERROR(INDEX(Items!$D$5:$D$504,U1320),"")),"")</f>
        <v/>
      </c>
      <c r="K1320" s="61" t="str">
        <f aca="false">IF(IsPro,IF($D1320="","",IF($F1320="",IFERROR(INDEX(Items!$H$5:$H$504,U1320),0),$F1320)),"")</f>
        <v/>
      </c>
      <c r="L1320" s="61" t="str">
        <f aca="false">IF(IsPro,IF($D1320="","",ROUND(N($E1320)*K1320*(1-N($G1320)),2)),"")</f>
        <v/>
      </c>
      <c r="M1320" s="62" t="str">
        <f aca="false">IF(IsPro,IF($D1320="","",IFERROR(INDEX(Items!$F$5:$F$504,U1320),0)),"")</f>
        <v/>
      </c>
      <c r="N1320" s="61" t="str">
        <f aca="false">IF(IsPro,IF($D1320="","",IF(AND(V1320&lt;&gt;"",INDEX(Parties!$E$5:$E$304,V1320)&lt;&gt;"",INDEX(Parties!$E$5:$E$304,V1320)&lt;&gt;HomeState),0,ROUND(L1320*M1320/2,2))),"")</f>
        <v/>
      </c>
      <c r="O1320" s="61" t="str">
        <f aca="false">IF(IsPro,IF($D1320="","",N1320),"")</f>
        <v/>
      </c>
      <c r="P1320" s="61" t="str">
        <f aca="false">IF(IsPro,IF($D1320="","",IF(AND(V1320&lt;&gt;"",INDEX(Parties!$E$5:$E$304,V1320)&lt;&gt;"",INDEX(Parties!$E$5:$E$304,V1320)&lt;&gt;HomeState),ROUND(L1320*M1320,2),0)),"")</f>
        <v/>
      </c>
      <c r="Q1320" s="61" t="str">
        <f aca="false">IF(IsPro,IF($D1320="","",L1320+N1320+O1320+P1320),"")</f>
        <v/>
      </c>
      <c r="R1320" s="61" t="str">
        <f aca="false">IF(IsPro,IF($D1320="","",ROUND(N($E1320)*IFERROR(INDEX(Items!$P$5:$P$504,U1320),0),2)),"")</f>
        <v/>
      </c>
      <c r="S1320" s="61" t="str">
        <f aca="false">IF(IsPro,IF($D1320="","",L1320-R1320),"")</f>
        <v/>
      </c>
      <c r="T1320" s="60" t="str">
        <f aca="false">IF(IsPro,IF($D1320="","",IF(U1320="","UNKNOWN ITEM",IF(INDEX(Items!$O$5:$O$504,U1320)&lt;0,"NEG STOCK",IF(K1320&lt;INDEX(Items!$P$5:$P$504,U1320),"BELOW COST","OK")))),IF($D1320="","","PRO PLAN"))</f>
        <v/>
      </c>
      <c r="U1320" s="60" t="str">
        <f aca="false">IF(IsPro,IF($D1320="","",IFERROR(MATCH($D1320,Items!$A$5:$A$504,0),"")),"")</f>
        <v/>
      </c>
      <c r="V1320" s="60" t="str">
        <f aca="false">IF(IsPro,IF($C1320="","",IFERROR(MATCH($C1320,Parties!$A$5:$A$304,0),"")),"")</f>
        <v/>
      </c>
      <c r="W1320" s="60" t="str">
        <f aca="false">IF(IsPro,IF($B1320="","",IFERROR(VALUE(SUBSTITUTE($B1320,InvPrefix,"")),0)),"")</f>
        <v/>
      </c>
      <c r="X1320" s="61" t="str">
        <f aca="false">IF(IsPro,IF($D1320="","",IF(OR($H1320="",$H1320="Credit"),0,Q1320)),"")</f>
        <v/>
      </c>
    </row>
    <row r="1321" customFormat="false" ht="15" hidden="false" customHeight="false" outlineLevel="0" collapsed="false">
      <c r="A1321" s="55"/>
      <c r="B1321" s="56"/>
      <c r="C1321" s="56"/>
      <c r="D1321" s="56"/>
      <c r="E1321" s="57"/>
      <c r="F1321" s="58"/>
      <c r="G1321" s="59"/>
      <c r="H1321" s="56"/>
      <c r="I1321" s="56"/>
      <c r="J1321" s="60" t="str">
        <f aca="false">IF(IsPro,IF($D1321="","",IFERROR(INDEX(Items!$D$5:$D$504,U1321),"")),"")</f>
        <v/>
      </c>
      <c r="K1321" s="61" t="str">
        <f aca="false">IF(IsPro,IF($D1321="","",IF($F1321="",IFERROR(INDEX(Items!$H$5:$H$504,U1321),0),$F1321)),"")</f>
        <v/>
      </c>
      <c r="L1321" s="61" t="str">
        <f aca="false">IF(IsPro,IF($D1321="","",ROUND(N($E1321)*K1321*(1-N($G1321)),2)),"")</f>
        <v/>
      </c>
      <c r="M1321" s="62" t="str">
        <f aca="false">IF(IsPro,IF($D1321="","",IFERROR(INDEX(Items!$F$5:$F$504,U1321),0)),"")</f>
        <v/>
      </c>
      <c r="N1321" s="61" t="str">
        <f aca="false">IF(IsPro,IF($D1321="","",IF(AND(V1321&lt;&gt;"",INDEX(Parties!$E$5:$E$304,V1321)&lt;&gt;"",INDEX(Parties!$E$5:$E$304,V1321)&lt;&gt;HomeState),0,ROUND(L1321*M1321/2,2))),"")</f>
        <v/>
      </c>
      <c r="O1321" s="61" t="str">
        <f aca="false">IF(IsPro,IF($D1321="","",N1321),"")</f>
        <v/>
      </c>
      <c r="P1321" s="61" t="str">
        <f aca="false">IF(IsPro,IF($D1321="","",IF(AND(V1321&lt;&gt;"",INDEX(Parties!$E$5:$E$304,V1321)&lt;&gt;"",INDEX(Parties!$E$5:$E$304,V1321)&lt;&gt;HomeState),ROUND(L1321*M1321,2),0)),"")</f>
        <v/>
      </c>
      <c r="Q1321" s="61" t="str">
        <f aca="false">IF(IsPro,IF($D1321="","",L1321+N1321+O1321+P1321),"")</f>
        <v/>
      </c>
      <c r="R1321" s="61" t="str">
        <f aca="false">IF(IsPro,IF($D1321="","",ROUND(N($E1321)*IFERROR(INDEX(Items!$P$5:$P$504,U1321),0),2)),"")</f>
        <v/>
      </c>
      <c r="S1321" s="61" t="str">
        <f aca="false">IF(IsPro,IF($D1321="","",L1321-R1321),"")</f>
        <v/>
      </c>
      <c r="T1321" s="60" t="str">
        <f aca="false">IF(IsPro,IF($D1321="","",IF(U1321="","UNKNOWN ITEM",IF(INDEX(Items!$O$5:$O$504,U1321)&lt;0,"NEG STOCK",IF(K1321&lt;INDEX(Items!$P$5:$P$504,U1321),"BELOW COST","OK")))),IF($D1321="","","PRO PLAN"))</f>
        <v/>
      </c>
      <c r="U1321" s="60" t="str">
        <f aca="false">IF(IsPro,IF($D1321="","",IFERROR(MATCH($D1321,Items!$A$5:$A$504,0),"")),"")</f>
        <v/>
      </c>
      <c r="V1321" s="60" t="str">
        <f aca="false">IF(IsPro,IF($C1321="","",IFERROR(MATCH($C1321,Parties!$A$5:$A$304,0),"")),"")</f>
        <v/>
      </c>
      <c r="W1321" s="60" t="str">
        <f aca="false">IF(IsPro,IF($B1321="","",IFERROR(VALUE(SUBSTITUTE($B1321,InvPrefix,"")),0)),"")</f>
        <v/>
      </c>
      <c r="X1321" s="61" t="str">
        <f aca="false">IF(IsPro,IF($D1321="","",IF(OR($H1321="",$H1321="Credit"),0,Q1321)),"")</f>
        <v/>
      </c>
    </row>
    <row r="1322" customFormat="false" ht="15" hidden="false" customHeight="false" outlineLevel="0" collapsed="false">
      <c r="A1322" s="55"/>
      <c r="B1322" s="56"/>
      <c r="C1322" s="56"/>
      <c r="D1322" s="56"/>
      <c r="E1322" s="57"/>
      <c r="F1322" s="58"/>
      <c r="G1322" s="59"/>
      <c r="H1322" s="56"/>
      <c r="I1322" s="56"/>
      <c r="J1322" s="60" t="str">
        <f aca="false">IF(IsPro,IF($D1322="","",IFERROR(INDEX(Items!$D$5:$D$504,U1322),"")),"")</f>
        <v/>
      </c>
      <c r="K1322" s="61" t="str">
        <f aca="false">IF(IsPro,IF($D1322="","",IF($F1322="",IFERROR(INDEX(Items!$H$5:$H$504,U1322),0),$F1322)),"")</f>
        <v/>
      </c>
      <c r="L1322" s="61" t="str">
        <f aca="false">IF(IsPro,IF($D1322="","",ROUND(N($E1322)*K1322*(1-N($G1322)),2)),"")</f>
        <v/>
      </c>
      <c r="M1322" s="62" t="str">
        <f aca="false">IF(IsPro,IF($D1322="","",IFERROR(INDEX(Items!$F$5:$F$504,U1322),0)),"")</f>
        <v/>
      </c>
      <c r="N1322" s="61" t="str">
        <f aca="false">IF(IsPro,IF($D1322="","",IF(AND(V1322&lt;&gt;"",INDEX(Parties!$E$5:$E$304,V1322)&lt;&gt;"",INDEX(Parties!$E$5:$E$304,V1322)&lt;&gt;HomeState),0,ROUND(L1322*M1322/2,2))),"")</f>
        <v/>
      </c>
      <c r="O1322" s="61" t="str">
        <f aca="false">IF(IsPro,IF($D1322="","",N1322),"")</f>
        <v/>
      </c>
      <c r="P1322" s="61" t="str">
        <f aca="false">IF(IsPro,IF($D1322="","",IF(AND(V1322&lt;&gt;"",INDEX(Parties!$E$5:$E$304,V1322)&lt;&gt;"",INDEX(Parties!$E$5:$E$304,V1322)&lt;&gt;HomeState),ROUND(L1322*M1322,2),0)),"")</f>
        <v/>
      </c>
      <c r="Q1322" s="61" t="str">
        <f aca="false">IF(IsPro,IF($D1322="","",L1322+N1322+O1322+P1322),"")</f>
        <v/>
      </c>
      <c r="R1322" s="61" t="str">
        <f aca="false">IF(IsPro,IF($D1322="","",ROUND(N($E1322)*IFERROR(INDEX(Items!$P$5:$P$504,U1322),0),2)),"")</f>
        <v/>
      </c>
      <c r="S1322" s="61" t="str">
        <f aca="false">IF(IsPro,IF($D1322="","",L1322-R1322),"")</f>
        <v/>
      </c>
      <c r="T1322" s="60" t="str">
        <f aca="false">IF(IsPro,IF($D1322="","",IF(U1322="","UNKNOWN ITEM",IF(INDEX(Items!$O$5:$O$504,U1322)&lt;0,"NEG STOCK",IF(K1322&lt;INDEX(Items!$P$5:$P$504,U1322),"BELOW COST","OK")))),IF($D1322="","","PRO PLAN"))</f>
        <v/>
      </c>
      <c r="U1322" s="60" t="str">
        <f aca="false">IF(IsPro,IF($D1322="","",IFERROR(MATCH($D1322,Items!$A$5:$A$504,0),"")),"")</f>
        <v/>
      </c>
      <c r="V1322" s="60" t="str">
        <f aca="false">IF(IsPro,IF($C1322="","",IFERROR(MATCH($C1322,Parties!$A$5:$A$304,0),"")),"")</f>
        <v/>
      </c>
      <c r="W1322" s="60" t="str">
        <f aca="false">IF(IsPro,IF($B1322="","",IFERROR(VALUE(SUBSTITUTE($B1322,InvPrefix,"")),0)),"")</f>
        <v/>
      </c>
      <c r="X1322" s="61" t="str">
        <f aca="false">IF(IsPro,IF($D1322="","",IF(OR($H1322="",$H1322="Credit"),0,Q1322)),"")</f>
        <v/>
      </c>
    </row>
    <row r="1323" customFormat="false" ht="15" hidden="false" customHeight="false" outlineLevel="0" collapsed="false">
      <c r="A1323" s="55"/>
      <c r="B1323" s="56"/>
      <c r="C1323" s="56"/>
      <c r="D1323" s="56"/>
      <c r="E1323" s="57"/>
      <c r="F1323" s="58"/>
      <c r="G1323" s="59"/>
      <c r="H1323" s="56"/>
      <c r="I1323" s="56"/>
      <c r="J1323" s="60" t="str">
        <f aca="false">IF(IsPro,IF($D1323="","",IFERROR(INDEX(Items!$D$5:$D$504,U1323),"")),"")</f>
        <v/>
      </c>
      <c r="K1323" s="61" t="str">
        <f aca="false">IF(IsPro,IF($D1323="","",IF($F1323="",IFERROR(INDEX(Items!$H$5:$H$504,U1323),0),$F1323)),"")</f>
        <v/>
      </c>
      <c r="L1323" s="61" t="str">
        <f aca="false">IF(IsPro,IF($D1323="","",ROUND(N($E1323)*K1323*(1-N($G1323)),2)),"")</f>
        <v/>
      </c>
      <c r="M1323" s="62" t="str">
        <f aca="false">IF(IsPro,IF($D1323="","",IFERROR(INDEX(Items!$F$5:$F$504,U1323),0)),"")</f>
        <v/>
      </c>
      <c r="N1323" s="61" t="str">
        <f aca="false">IF(IsPro,IF($D1323="","",IF(AND(V1323&lt;&gt;"",INDEX(Parties!$E$5:$E$304,V1323)&lt;&gt;"",INDEX(Parties!$E$5:$E$304,V1323)&lt;&gt;HomeState),0,ROUND(L1323*M1323/2,2))),"")</f>
        <v/>
      </c>
      <c r="O1323" s="61" t="str">
        <f aca="false">IF(IsPro,IF($D1323="","",N1323),"")</f>
        <v/>
      </c>
      <c r="P1323" s="61" t="str">
        <f aca="false">IF(IsPro,IF($D1323="","",IF(AND(V1323&lt;&gt;"",INDEX(Parties!$E$5:$E$304,V1323)&lt;&gt;"",INDEX(Parties!$E$5:$E$304,V1323)&lt;&gt;HomeState),ROUND(L1323*M1323,2),0)),"")</f>
        <v/>
      </c>
      <c r="Q1323" s="61" t="str">
        <f aca="false">IF(IsPro,IF($D1323="","",L1323+N1323+O1323+P1323),"")</f>
        <v/>
      </c>
      <c r="R1323" s="61" t="str">
        <f aca="false">IF(IsPro,IF($D1323="","",ROUND(N($E1323)*IFERROR(INDEX(Items!$P$5:$P$504,U1323),0),2)),"")</f>
        <v/>
      </c>
      <c r="S1323" s="61" t="str">
        <f aca="false">IF(IsPro,IF($D1323="","",L1323-R1323),"")</f>
        <v/>
      </c>
      <c r="T1323" s="60" t="str">
        <f aca="false">IF(IsPro,IF($D1323="","",IF(U1323="","UNKNOWN ITEM",IF(INDEX(Items!$O$5:$O$504,U1323)&lt;0,"NEG STOCK",IF(K1323&lt;INDEX(Items!$P$5:$P$504,U1323),"BELOW COST","OK")))),IF($D1323="","","PRO PLAN"))</f>
        <v/>
      </c>
      <c r="U1323" s="60" t="str">
        <f aca="false">IF(IsPro,IF($D1323="","",IFERROR(MATCH($D1323,Items!$A$5:$A$504,0),"")),"")</f>
        <v/>
      </c>
      <c r="V1323" s="60" t="str">
        <f aca="false">IF(IsPro,IF($C1323="","",IFERROR(MATCH($C1323,Parties!$A$5:$A$304,0),"")),"")</f>
        <v/>
      </c>
      <c r="W1323" s="60" t="str">
        <f aca="false">IF(IsPro,IF($B1323="","",IFERROR(VALUE(SUBSTITUTE($B1323,InvPrefix,"")),0)),"")</f>
        <v/>
      </c>
      <c r="X1323" s="61" t="str">
        <f aca="false">IF(IsPro,IF($D1323="","",IF(OR($H1323="",$H1323="Credit"),0,Q1323)),"")</f>
        <v/>
      </c>
    </row>
    <row r="1324" customFormat="false" ht="15" hidden="false" customHeight="false" outlineLevel="0" collapsed="false">
      <c r="A1324" s="55"/>
      <c r="B1324" s="56"/>
      <c r="C1324" s="56"/>
      <c r="D1324" s="56"/>
      <c r="E1324" s="57"/>
      <c r="F1324" s="58"/>
      <c r="G1324" s="59"/>
      <c r="H1324" s="56"/>
      <c r="I1324" s="56"/>
      <c r="J1324" s="60" t="str">
        <f aca="false">IF(IsPro,IF($D1324="","",IFERROR(INDEX(Items!$D$5:$D$504,U1324),"")),"")</f>
        <v/>
      </c>
      <c r="K1324" s="61" t="str">
        <f aca="false">IF(IsPro,IF($D1324="","",IF($F1324="",IFERROR(INDEX(Items!$H$5:$H$504,U1324),0),$F1324)),"")</f>
        <v/>
      </c>
      <c r="L1324" s="61" t="str">
        <f aca="false">IF(IsPro,IF($D1324="","",ROUND(N($E1324)*K1324*(1-N($G1324)),2)),"")</f>
        <v/>
      </c>
      <c r="M1324" s="62" t="str">
        <f aca="false">IF(IsPro,IF($D1324="","",IFERROR(INDEX(Items!$F$5:$F$504,U1324),0)),"")</f>
        <v/>
      </c>
      <c r="N1324" s="61" t="str">
        <f aca="false">IF(IsPro,IF($D1324="","",IF(AND(V1324&lt;&gt;"",INDEX(Parties!$E$5:$E$304,V1324)&lt;&gt;"",INDEX(Parties!$E$5:$E$304,V1324)&lt;&gt;HomeState),0,ROUND(L1324*M1324/2,2))),"")</f>
        <v/>
      </c>
      <c r="O1324" s="61" t="str">
        <f aca="false">IF(IsPro,IF($D1324="","",N1324),"")</f>
        <v/>
      </c>
      <c r="P1324" s="61" t="str">
        <f aca="false">IF(IsPro,IF($D1324="","",IF(AND(V1324&lt;&gt;"",INDEX(Parties!$E$5:$E$304,V1324)&lt;&gt;"",INDEX(Parties!$E$5:$E$304,V1324)&lt;&gt;HomeState),ROUND(L1324*M1324,2),0)),"")</f>
        <v/>
      </c>
      <c r="Q1324" s="61" t="str">
        <f aca="false">IF(IsPro,IF($D1324="","",L1324+N1324+O1324+P1324),"")</f>
        <v/>
      </c>
      <c r="R1324" s="61" t="str">
        <f aca="false">IF(IsPro,IF($D1324="","",ROUND(N($E1324)*IFERROR(INDEX(Items!$P$5:$P$504,U1324),0),2)),"")</f>
        <v/>
      </c>
      <c r="S1324" s="61" t="str">
        <f aca="false">IF(IsPro,IF($D1324="","",L1324-R1324),"")</f>
        <v/>
      </c>
      <c r="T1324" s="60" t="str">
        <f aca="false">IF(IsPro,IF($D1324="","",IF(U1324="","UNKNOWN ITEM",IF(INDEX(Items!$O$5:$O$504,U1324)&lt;0,"NEG STOCK",IF(K1324&lt;INDEX(Items!$P$5:$P$504,U1324),"BELOW COST","OK")))),IF($D1324="","","PRO PLAN"))</f>
        <v/>
      </c>
      <c r="U1324" s="60" t="str">
        <f aca="false">IF(IsPro,IF($D1324="","",IFERROR(MATCH($D1324,Items!$A$5:$A$504,0),"")),"")</f>
        <v/>
      </c>
      <c r="V1324" s="60" t="str">
        <f aca="false">IF(IsPro,IF($C1324="","",IFERROR(MATCH($C1324,Parties!$A$5:$A$304,0),"")),"")</f>
        <v/>
      </c>
      <c r="W1324" s="60" t="str">
        <f aca="false">IF(IsPro,IF($B1324="","",IFERROR(VALUE(SUBSTITUTE($B1324,InvPrefix,"")),0)),"")</f>
        <v/>
      </c>
      <c r="X1324" s="61" t="str">
        <f aca="false">IF(IsPro,IF($D1324="","",IF(OR($H1324="",$H1324="Credit"),0,Q1324)),"")</f>
        <v/>
      </c>
    </row>
    <row r="1325" customFormat="false" ht="15" hidden="false" customHeight="false" outlineLevel="0" collapsed="false">
      <c r="A1325" s="55"/>
      <c r="B1325" s="56"/>
      <c r="C1325" s="56"/>
      <c r="D1325" s="56"/>
      <c r="E1325" s="57"/>
      <c r="F1325" s="58"/>
      <c r="G1325" s="59"/>
      <c r="H1325" s="56"/>
      <c r="I1325" s="56"/>
      <c r="J1325" s="60" t="str">
        <f aca="false">IF(IsPro,IF($D1325="","",IFERROR(INDEX(Items!$D$5:$D$504,U1325),"")),"")</f>
        <v/>
      </c>
      <c r="K1325" s="61" t="str">
        <f aca="false">IF(IsPro,IF($D1325="","",IF($F1325="",IFERROR(INDEX(Items!$H$5:$H$504,U1325),0),$F1325)),"")</f>
        <v/>
      </c>
      <c r="L1325" s="61" t="str">
        <f aca="false">IF(IsPro,IF($D1325="","",ROUND(N($E1325)*K1325*(1-N($G1325)),2)),"")</f>
        <v/>
      </c>
      <c r="M1325" s="62" t="str">
        <f aca="false">IF(IsPro,IF($D1325="","",IFERROR(INDEX(Items!$F$5:$F$504,U1325),0)),"")</f>
        <v/>
      </c>
      <c r="N1325" s="61" t="str">
        <f aca="false">IF(IsPro,IF($D1325="","",IF(AND(V1325&lt;&gt;"",INDEX(Parties!$E$5:$E$304,V1325)&lt;&gt;"",INDEX(Parties!$E$5:$E$304,V1325)&lt;&gt;HomeState),0,ROUND(L1325*M1325/2,2))),"")</f>
        <v/>
      </c>
      <c r="O1325" s="61" t="str">
        <f aca="false">IF(IsPro,IF($D1325="","",N1325),"")</f>
        <v/>
      </c>
      <c r="P1325" s="61" t="str">
        <f aca="false">IF(IsPro,IF($D1325="","",IF(AND(V1325&lt;&gt;"",INDEX(Parties!$E$5:$E$304,V1325)&lt;&gt;"",INDEX(Parties!$E$5:$E$304,V1325)&lt;&gt;HomeState),ROUND(L1325*M1325,2),0)),"")</f>
        <v/>
      </c>
      <c r="Q1325" s="61" t="str">
        <f aca="false">IF(IsPro,IF($D1325="","",L1325+N1325+O1325+P1325),"")</f>
        <v/>
      </c>
      <c r="R1325" s="61" t="str">
        <f aca="false">IF(IsPro,IF($D1325="","",ROUND(N($E1325)*IFERROR(INDEX(Items!$P$5:$P$504,U1325),0),2)),"")</f>
        <v/>
      </c>
      <c r="S1325" s="61" t="str">
        <f aca="false">IF(IsPro,IF($D1325="","",L1325-R1325),"")</f>
        <v/>
      </c>
      <c r="T1325" s="60" t="str">
        <f aca="false">IF(IsPro,IF($D1325="","",IF(U1325="","UNKNOWN ITEM",IF(INDEX(Items!$O$5:$O$504,U1325)&lt;0,"NEG STOCK",IF(K1325&lt;INDEX(Items!$P$5:$P$504,U1325),"BELOW COST","OK")))),IF($D1325="","","PRO PLAN"))</f>
        <v/>
      </c>
      <c r="U1325" s="60" t="str">
        <f aca="false">IF(IsPro,IF($D1325="","",IFERROR(MATCH($D1325,Items!$A$5:$A$504,0),"")),"")</f>
        <v/>
      </c>
      <c r="V1325" s="60" t="str">
        <f aca="false">IF(IsPro,IF($C1325="","",IFERROR(MATCH($C1325,Parties!$A$5:$A$304,0),"")),"")</f>
        <v/>
      </c>
      <c r="W1325" s="60" t="str">
        <f aca="false">IF(IsPro,IF($B1325="","",IFERROR(VALUE(SUBSTITUTE($B1325,InvPrefix,"")),0)),"")</f>
        <v/>
      </c>
      <c r="X1325" s="61" t="str">
        <f aca="false">IF(IsPro,IF($D1325="","",IF(OR($H1325="",$H1325="Credit"),0,Q1325)),"")</f>
        <v/>
      </c>
    </row>
    <row r="1326" customFormat="false" ht="15" hidden="false" customHeight="false" outlineLevel="0" collapsed="false">
      <c r="A1326" s="55"/>
      <c r="B1326" s="56"/>
      <c r="C1326" s="56"/>
      <c r="D1326" s="56"/>
      <c r="E1326" s="57"/>
      <c r="F1326" s="58"/>
      <c r="G1326" s="59"/>
      <c r="H1326" s="56"/>
      <c r="I1326" s="56"/>
      <c r="J1326" s="60" t="str">
        <f aca="false">IF(IsPro,IF($D1326="","",IFERROR(INDEX(Items!$D$5:$D$504,U1326),"")),"")</f>
        <v/>
      </c>
      <c r="K1326" s="61" t="str">
        <f aca="false">IF(IsPro,IF($D1326="","",IF($F1326="",IFERROR(INDEX(Items!$H$5:$H$504,U1326),0),$F1326)),"")</f>
        <v/>
      </c>
      <c r="L1326" s="61" t="str">
        <f aca="false">IF(IsPro,IF($D1326="","",ROUND(N($E1326)*K1326*(1-N($G1326)),2)),"")</f>
        <v/>
      </c>
      <c r="M1326" s="62" t="str">
        <f aca="false">IF(IsPro,IF($D1326="","",IFERROR(INDEX(Items!$F$5:$F$504,U1326),0)),"")</f>
        <v/>
      </c>
      <c r="N1326" s="61" t="str">
        <f aca="false">IF(IsPro,IF($D1326="","",IF(AND(V1326&lt;&gt;"",INDEX(Parties!$E$5:$E$304,V1326)&lt;&gt;"",INDEX(Parties!$E$5:$E$304,V1326)&lt;&gt;HomeState),0,ROUND(L1326*M1326/2,2))),"")</f>
        <v/>
      </c>
      <c r="O1326" s="61" t="str">
        <f aca="false">IF(IsPro,IF($D1326="","",N1326),"")</f>
        <v/>
      </c>
      <c r="P1326" s="61" t="str">
        <f aca="false">IF(IsPro,IF($D1326="","",IF(AND(V1326&lt;&gt;"",INDEX(Parties!$E$5:$E$304,V1326)&lt;&gt;"",INDEX(Parties!$E$5:$E$304,V1326)&lt;&gt;HomeState),ROUND(L1326*M1326,2),0)),"")</f>
        <v/>
      </c>
      <c r="Q1326" s="61" t="str">
        <f aca="false">IF(IsPro,IF($D1326="","",L1326+N1326+O1326+P1326),"")</f>
        <v/>
      </c>
      <c r="R1326" s="61" t="str">
        <f aca="false">IF(IsPro,IF($D1326="","",ROUND(N($E1326)*IFERROR(INDEX(Items!$P$5:$P$504,U1326),0),2)),"")</f>
        <v/>
      </c>
      <c r="S1326" s="61" t="str">
        <f aca="false">IF(IsPro,IF($D1326="","",L1326-R1326),"")</f>
        <v/>
      </c>
      <c r="T1326" s="60" t="str">
        <f aca="false">IF(IsPro,IF($D1326="","",IF(U1326="","UNKNOWN ITEM",IF(INDEX(Items!$O$5:$O$504,U1326)&lt;0,"NEG STOCK",IF(K1326&lt;INDEX(Items!$P$5:$P$504,U1326),"BELOW COST","OK")))),IF($D1326="","","PRO PLAN"))</f>
        <v/>
      </c>
      <c r="U1326" s="60" t="str">
        <f aca="false">IF(IsPro,IF($D1326="","",IFERROR(MATCH($D1326,Items!$A$5:$A$504,0),"")),"")</f>
        <v/>
      </c>
      <c r="V1326" s="60" t="str">
        <f aca="false">IF(IsPro,IF($C1326="","",IFERROR(MATCH($C1326,Parties!$A$5:$A$304,0),"")),"")</f>
        <v/>
      </c>
      <c r="W1326" s="60" t="str">
        <f aca="false">IF(IsPro,IF($B1326="","",IFERROR(VALUE(SUBSTITUTE($B1326,InvPrefix,"")),0)),"")</f>
        <v/>
      </c>
      <c r="X1326" s="61" t="str">
        <f aca="false">IF(IsPro,IF($D1326="","",IF(OR($H1326="",$H1326="Credit"),0,Q1326)),"")</f>
        <v/>
      </c>
    </row>
    <row r="1327" customFormat="false" ht="15" hidden="false" customHeight="false" outlineLevel="0" collapsed="false">
      <c r="A1327" s="55"/>
      <c r="B1327" s="56"/>
      <c r="C1327" s="56"/>
      <c r="D1327" s="56"/>
      <c r="E1327" s="57"/>
      <c r="F1327" s="58"/>
      <c r="G1327" s="59"/>
      <c r="H1327" s="56"/>
      <c r="I1327" s="56"/>
      <c r="J1327" s="60" t="str">
        <f aca="false">IF(IsPro,IF($D1327="","",IFERROR(INDEX(Items!$D$5:$D$504,U1327),"")),"")</f>
        <v/>
      </c>
      <c r="K1327" s="61" t="str">
        <f aca="false">IF(IsPro,IF($D1327="","",IF($F1327="",IFERROR(INDEX(Items!$H$5:$H$504,U1327),0),$F1327)),"")</f>
        <v/>
      </c>
      <c r="L1327" s="61" t="str">
        <f aca="false">IF(IsPro,IF($D1327="","",ROUND(N($E1327)*K1327*(1-N($G1327)),2)),"")</f>
        <v/>
      </c>
      <c r="M1327" s="62" t="str">
        <f aca="false">IF(IsPro,IF($D1327="","",IFERROR(INDEX(Items!$F$5:$F$504,U1327),0)),"")</f>
        <v/>
      </c>
      <c r="N1327" s="61" t="str">
        <f aca="false">IF(IsPro,IF($D1327="","",IF(AND(V1327&lt;&gt;"",INDEX(Parties!$E$5:$E$304,V1327)&lt;&gt;"",INDEX(Parties!$E$5:$E$304,V1327)&lt;&gt;HomeState),0,ROUND(L1327*M1327/2,2))),"")</f>
        <v/>
      </c>
      <c r="O1327" s="61" t="str">
        <f aca="false">IF(IsPro,IF($D1327="","",N1327),"")</f>
        <v/>
      </c>
      <c r="P1327" s="61" t="str">
        <f aca="false">IF(IsPro,IF($D1327="","",IF(AND(V1327&lt;&gt;"",INDEX(Parties!$E$5:$E$304,V1327)&lt;&gt;"",INDEX(Parties!$E$5:$E$304,V1327)&lt;&gt;HomeState),ROUND(L1327*M1327,2),0)),"")</f>
        <v/>
      </c>
      <c r="Q1327" s="61" t="str">
        <f aca="false">IF(IsPro,IF($D1327="","",L1327+N1327+O1327+P1327),"")</f>
        <v/>
      </c>
      <c r="R1327" s="61" t="str">
        <f aca="false">IF(IsPro,IF($D1327="","",ROUND(N($E1327)*IFERROR(INDEX(Items!$P$5:$P$504,U1327),0),2)),"")</f>
        <v/>
      </c>
      <c r="S1327" s="61" t="str">
        <f aca="false">IF(IsPro,IF($D1327="","",L1327-R1327),"")</f>
        <v/>
      </c>
      <c r="T1327" s="60" t="str">
        <f aca="false">IF(IsPro,IF($D1327="","",IF(U1327="","UNKNOWN ITEM",IF(INDEX(Items!$O$5:$O$504,U1327)&lt;0,"NEG STOCK",IF(K1327&lt;INDEX(Items!$P$5:$P$504,U1327),"BELOW COST","OK")))),IF($D1327="","","PRO PLAN"))</f>
        <v/>
      </c>
      <c r="U1327" s="60" t="str">
        <f aca="false">IF(IsPro,IF($D1327="","",IFERROR(MATCH($D1327,Items!$A$5:$A$504,0),"")),"")</f>
        <v/>
      </c>
      <c r="V1327" s="60" t="str">
        <f aca="false">IF(IsPro,IF($C1327="","",IFERROR(MATCH($C1327,Parties!$A$5:$A$304,0),"")),"")</f>
        <v/>
      </c>
      <c r="W1327" s="60" t="str">
        <f aca="false">IF(IsPro,IF($B1327="","",IFERROR(VALUE(SUBSTITUTE($B1327,InvPrefix,"")),0)),"")</f>
        <v/>
      </c>
      <c r="X1327" s="61" t="str">
        <f aca="false">IF(IsPro,IF($D1327="","",IF(OR($H1327="",$H1327="Credit"),0,Q1327)),"")</f>
        <v/>
      </c>
    </row>
    <row r="1328" customFormat="false" ht="15" hidden="false" customHeight="false" outlineLevel="0" collapsed="false">
      <c r="A1328" s="55"/>
      <c r="B1328" s="56"/>
      <c r="C1328" s="56"/>
      <c r="D1328" s="56"/>
      <c r="E1328" s="57"/>
      <c r="F1328" s="58"/>
      <c r="G1328" s="59"/>
      <c r="H1328" s="56"/>
      <c r="I1328" s="56"/>
      <c r="J1328" s="60" t="str">
        <f aca="false">IF(IsPro,IF($D1328="","",IFERROR(INDEX(Items!$D$5:$D$504,U1328),"")),"")</f>
        <v/>
      </c>
      <c r="K1328" s="61" t="str">
        <f aca="false">IF(IsPro,IF($D1328="","",IF($F1328="",IFERROR(INDEX(Items!$H$5:$H$504,U1328),0),$F1328)),"")</f>
        <v/>
      </c>
      <c r="L1328" s="61" t="str">
        <f aca="false">IF(IsPro,IF($D1328="","",ROUND(N($E1328)*K1328*(1-N($G1328)),2)),"")</f>
        <v/>
      </c>
      <c r="M1328" s="62" t="str">
        <f aca="false">IF(IsPro,IF($D1328="","",IFERROR(INDEX(Items!$F$5:$F$504,U1328),0)),"")</f>
        <v/>
      </c>
      <c r="N1328" s="61" t="str">
        <f aca="false">IF(IsPro,IF($D1328="","",IF(AND(V1328&lt;&gt;"",INDEX(Parties!$E$5:$E$304,V1328)&lt;&gt;"",INDEX(Parties!$E$5:$E$304,V1328)&lt;&gt;HomeState),0,ROUND(L1328*M1328/2,2))),"")</f>
        <v/>
      </c>
      <c r="O1328" s="61" t="str">
        <f aca="false">IF(IsPro,IF($D1328="","",N1328),"")</f>
        <v/>
      </c>
      <c r="P1328" s="61" t="str">
        <f aca="false">IF(IsPro,IF($D1328="","",IF(AND(V1328&lt;&gt;"",INDEX(Parties!$E$5:$E$304,V1328)&lt;&gt;"",INDEX(Parties!$E$5:$E$304,V1328)&lt;&gt;HomeState),ROUND(L1328*M1328,2),0)),"")</f>
        <v/>
      </c>
      <c r="Q1328" s="61" t="str">
        <f aca="false">IF(IsPro,IF($D1328="","",L1328+N1328+O1328+P1328),"")</f>
        <v/>
      </c>
      <c r="R1328" s="61" t="str">
        <f aca="false">IF(IsPro,IF($D1328="","",ROUND(N($E1328)*IFERROR(INDEX(Items!$P$5:$P$504,U1328),0),2)),"")</f>
        <v/>
      </c>
      <c r="S1328" s="61" t="str">
        <f aca="false">IF(IsPro,IF($D1328="","",L1328-R1328),"")</f>
        <v/>
      </c>
      <c r="T1328" s="60" t="str">
        <f aca="false">IF(IsPro,IF($D1328="","",IF(U1328="","UNKNOWN ITEM",IF(INDEX(Items!$O$5:$O$504,U1328)&lt;0,"NEG STOCK",IF(K1328&lt;INDEX(Items!$P$5:$P$504,U1328),"BELOW COST","OK")))),IF($D1328="","","PRO PLAN"))</f>
        <v/>
      </c>
      <c r="U1328" s="60" t="str">
        <f aca="false">IF(IsPro,IF($D1328="","",IFERROR(MATCH($D1328,Items!$A$5:$A$504,0),"")),"")</f>
        <v/>
      </c>
      <c r="V1328" s="60" t="str">
        <f aca="false">IF(IsPro,IF($C1328="","",IFERROR(MATCH($C1328,Parties!$A$5:$A$304,0),"")),"")</f>
        <v/>
      </c>
      <c r="W1328" s="60" t="str">
        <f aca="false">IF(IsPro,IF($B1328="","",IFERROR(VALUE(SUBSTITUTE($B1328,InvPrefix,"")),0)),"")</f>
        <v/>
      </c>
      <c r="X1328" s="61" t="str">
        <f aca="false">IF(IsPro,IF($D1328="","",IF(OR($H1328="",$H1328="Credit"),0,Q1328)),"")</f>
        <v/>
      </c>
    </row>
    <row r="1329" customFormat="false" ht="15" hidden="false" customHeight="false" outlineLevel="0" collapsed="false">
      <c r="A1329" s="55"/>
      <c r="B1329" s="56"/>
      <c r="C1329" s="56"/>
      <c r="D1329" s="56"/>
      <c r="E1329" s="57"/>
      <c r="F1329" s="58"/>
      <c r="G1329" s="59"/>
      <c r="H1329" s="56"/>
      <c r="I1329" s="56"/>
      <c r="J1329" s="60" t="str">
        <f aca="false">IF(IsPro,IF($D1329="","",IFERROR(INDEX(Items!$D$5:$D$504,U1329),"")),"")</f>
        <v/>
      </c>
      <c r="K1329" s="61" t="str">
        <f aca="false">IF(IsPro,IF($D1329="","",IF($F1329="",IFERROR(INDEX(Items!$H$5:$H$504,U1329),0),$F1329)),"")</f>
        <v/>
      </c>
      <c r="L1329" s="61" t="str">
        <f aca="false">IF(IsPro,IF($D1329="","",ROUND(N($E1329)*K1329*(1-N($G1329)),2)),"")</f>
        <v/>
      </c>
      <c r="M1329" s="62" t="str">
        <f aca="false">IF(IsPro,IF($D1329="","",IFERROR(INDEX(Items!$F$5:$F$504,U1329),0)),"")</f>
        <v/>
      </c>
      <c r="N1329" s="61" t="str">
        <f aca="false">IF(IsPro,IF($D1329="","",IF(AND(V1329&lt;&gt;"",INDEX(Parties!$E$5:$E$304,V1329)&lt;&gt;"",INDEX(Parties!$E$5:$E$304,V1329)&lt;&gt;HomeState),0,ROUND(L1329*M1329/2,2))),"")</f>
        <v/>
      </c>
      <c r="O1329" s="61" t="str">
        <f aca="false">IF(IsPro,IF($D1329="","",N1329),"")</f>
        <v/>
      </c>
      <c r="P1329" s="61" t="str">
        <f aca="false">IF(IsPro,IF($D1329="","",IF(AND(V1329&lt;&gt;"",INDEX(Parties!$E$5:$E$304,V1329)&lt;&gt;"",INDEX(Parties!$E$5:$E$304,V1329)&lt;&gt;HomeState),ROUND(L1329*M1329,2),0)),"")</f>
        <v/>
      </c>
      <c r="Q1329" s="61" t="str">
        <f aca="false">IF(IsPro,IF($D1329="","",L1329+N1329+O1329+P1329),"")</f>
        <v/>
      </c>
      <c r="R1329" s="61" t="str">
        <f aca="false">IF(IsPro,IF($D1329="","",ROUND(N($E1329)*IFERROR(INDEX(Items!$P$5:$P$504,U1329),0),2)),"")</f>
        <v/>
      </c>
      <c r="S1329" s="61" t="str">
        <f aca="false">IF(IsPro,IF($D1329="","",L1329-R1329),"")</f>
        <v/>
      </c>
      <c r="T1329" s="60" t="str">
        <f aca="false">IF(IsPro,IF($D1329="","",IF(U1329="","UNKNOWN ITEM",IF(INDEX(Items!$O$5:$O$504,U1329)&lt;0,"NEG STOCK",IF(K1329&lt;INDEX(Items!$P$5:$P$504,U1329),"BELOW COST","OK")))),IF($D1329="","","PRO PLAN"))</f>
        <v/>
      </c>
      <c r="U1329" s="60" t="str">
        <f aca="false">IF(IsPro,IF($D1329="","",IFERROR(MATCH($D1329,Items!$A$5:$A$504,0),"")),"")</f>
        <v/>
      </c>
      <c r="V1329" s="60" t="str">
        <f aca="false">IF(IsPro,IF($C1329="","",IFERROR(MATCH($C1329,Parties!$A$5:$A$304,0),"")),"")</f>
        <v/>
      </c>
      <c r="W1329" s="60" t="str">
        <f aca="false">IF(IsPro,IF($B1329="","",IFERROR(VALUE(SUBSTITUTE($B1329,InvPrefix,"")),0)),"")</f>
        <v/>
      </c>
      <c r="X1329" s="61" t="str">
        <f aca="false">IF(IsPro,IF($D1329="","",IF(OR($H1329="",$H1329="Credit"),0,Q1329)),"")</f>
        <v/>
      </c>
    </row>
    <row r="1330" customFormat="false" ht="15" hidden="false" customHeight="false" outlineLevel="0" collapsed="false">
      <c r="A1330" s="55"/>
      <c r="B1330" s="56"/>
      <c r="C1330" s="56"/>
      <c r="D1330" s="56"/>
      <c r="E1330" s="57"/>
      <c r="F1330" s="58"/>
      <c r="G1330" s="59"/>
      <c r="H1330" s="56"/>
      <c r="I1330" s="56"/>
      <c r="J1330" s="60" t="str">
        <f aca="false">IF(IsPro,IF($D1330="","",IFERROR(INDEX(Items!$D$5:$D$504,U1330),"")),"")</f>
        <v/>
      </c>
      <c r="K1330" s="61" t="str">
        <f aca="false">IF(IsPro,IF($D1330="","",IF($F1330="",IFERROR(INDEX(Items!$H$5:$H$504,U1330),0),$F1330)),"")</f>
        <v/>
      </c>
      <c r="L1330" s="61" t="str">
        <f aca="false">IF(IsPro,IF($D1330="","",ROUND(N($E1330)*K1330*(1-N($G1330)),2)),"")</f>
        <v/>
      </c>
      <c r="M1330" s="62" t="str">
        <f aca="false">IF(IsPro,IF($D1330="","",IFERROR(INDEX(Items!$F$5:$F$504,U1330),0)),"")</f>
        <v/>
      </c>
      <c r="N1330" s="61" t="str">
        <f aca="false">IF(IsPro,IF($D1330="","",IF(AND(V1330&lt;&gt;"",INDEX(Parties!$E$5:$E$304,V1330)&lt;&gt;"",INDEX(Parties!$E$5:$E$304,V1330)&lt;&gt;HomeState),0,ROUND(L1330*M1330/2,2))),"")</f>
        <v/>
      </c>
      <c r="O1330" s="61" t="str">
        <f aca="false">IF(IsPro,IF($D1330="","",N1330),"")</f>
        <v/>
      </c>
      <c r="P1330" s="61" t="str">
        <f aca="false">IF(IsPro,IF($D1330="","",IF(AND(V1330&lt;&gt;"",INDEX(Parties!$E$5:$E$304,V1330)&lt;&gt;"",INDEX(Parties!$E$5:$E$304,V1330)&lt;&gt;HomeState),ROUND(L1330*M1330,2),0)),"")</f>
        <v/>
      </c>
      <c r="Q1330" s="61" t="str">
        <f aca="false">IF(IsPro,IF($D1330="","",L1330+N1330+O1330+P1330),"")</f>
        <v/>
      </c>
      <c r="R1330" s="61" t="str">
        <f aca="false">IF(IsPro,IF($D1330="","",ROUND(N($E1330)*IFERROR(INDEX(Items!$P$5:$P$504,U1330),0),2)),"")</f>
        <v/>
      </c>
      <c r="S1330" s="61" t="str">
        <f aca="false">IF(IsPro,IF($D1330="","",L1330-R1330),"")</f>
        <v/>
      </c>
      <c r="T1330" s="60" t="str">
        <f aca="false">IF(IsPro,IF($D1330="","",IF(U1330="","UNKNOWN ITEM",IF(INDEX(Items!$O$5:$O$504,U1330)&lt;0,"NEG STOCK",IF(K1330&lt;INDEX(Items!$P$5:$P$504,U1330),"BELOW COST","OK")))),IF($D1330="","","PRO PLAN"))</f>
        <v/>
      </c>
      <c r="U1330" s="60" t="str">
        <f aca="false">IF(IsPro,IF($D1330="","",IFERROR(MATCH($D1330,Items!$A$5:$A$504,0),"")),"")</f>
        <v/>
      </c>
      <c r="V1330" s="60" t="str">
        <f aca="false">IF(IsPro,IF($C1330="","",IFERROR(MATCH($C1330,Parties!$A$5:$A$304,0),"")),"")</f>
        <v/>
      </c>
      <c r="W1330" s="60" t="str">
        <f aca="false">IF(IsPro,IF($B1330="","",IFERROR(VALUE(SUBSTITUTE($B1330,InvPrefix,"")),0)),"")</f>
        <v/>
      </c>
      <c r="X1330" s="61" t="str">
        <f aca="false">IF(IsPro,IF($D1330="","",IF(OR($H1330="",$H1330="Credit"),0,Q1330)),"")</f>
        <v/>
      </c>
    </row>
    <row r="1331" customFormat="false" ht="15" hidden="false" customHeight="false" outlineLevel="0" collapsed="false">
      <c r="A1331" s="55"/>
      <c r="B1331" s="56"/>
      <c r="C1331" s="56"/>
      <c r="D1331" s="56"/>
      <c r="E1331" s="57"/>
      <c r="F1331" s="58"/>
      <c r="G1331" s="59"/>
      <c r="H1331" s="56"/>
      <c r="I1331" s="56"/>
      <c r="J1331" s="60" t="str">
        <f aca="false">IF(IsPro,IF($D1331="","",IFERROR(INDEX(Items!$D$5:$D$504,U1331),"")),"")</f>
        <v/>
      </c>
      <c r="K1331" s="61" t="str">
        <f aca="false">IF(IsPro,IF($D1331="","",IF($F1331="",IFERROR(INDEX(Items!$H$5:$H$504,U1331),0),$F1331)),"")</f>
        <v/>
      </c>
      <c r="L1331" s="61" t="str">
        <f aca="false">IF(IsPro,IF($D1331="","",ROUND(N($E1331)*K1331*(1-N($G1331)),2)),"")</f>
        <v/>
      </c>
      <c r="M1331" s="62" t="str">
        <f aca="false">IF(IsPro,IF($D1331="","",IFERROR(INDEX(Items!$F$5:$F$504,U1331),0)),"")</f>
        <v/>
      </c>
      <c r="N1331" s="61" t="str">
        <f aca="false">IF(IsPro,IF($D1331="","",IF(AND(V1331&lt;&gt;"",INDEX(Parties!$E$5:$E$304,V1331)&lt;&gt;"",INDEX(Parties!$E$5:$E$304,V1331)&lt;&gt;HomeState),0,ROUND(L1331*M1331/2,2))),"")</f>
        <v/>
      </c>
      <c r="O1331" s="61" t="str">
        <f aca="false">IF(IsPro,IF($D1331="","",N1331),"")</f>
        <v/>
      </c>
      <c r="P1331" s="61" t="str">
        <f aca="false">IF(IsPro,IF($D1331="","",IF(AND(V1331&lt;&gt;"",INDEX(Parties!$E$5:$E$304,V1331)&lt;&gt;"",INDEX(Parties!$E$5:$E$304,V1331)&lt;&gt;HomeState),ROUND(L1331*M1331,2),0)),"")</f>
        <v/>
      </c>
      <c r="Q1331" s="61" t="str">
        <f aca="false">IF(IsPro,IF($D1331="","",L1331+N1331+O1331+P1331),"")</f>
        <v/>
      </c>
      <c r="R1331" s="61" t="str">
        <f aca="false">IF(IsPro,IF($D1331="","",ROUND(N($E1331)*IFERROR(INDEX(Items!$P$5:$P$504,U1331),0),2)),"")</f>
        <v/>
      </c>
      <c r="S1331" s="61" t="str">
        <f aca="false">IF(IsPro,IF($D1331="","",L1331-R1331),"")</f>
        <v/>
      </c>
      <c r="T1331" s="60" t="str">
        <f aca="false">IF(IsPro,IF($D1331="","",IF(U1331="","UNKNOWN ITEM",IF(INDEX(Items!$O$5:$O$504,U1331)&lt;0,"NEG STOCK",IF(K1331&lt;INDEX(Items!$P$5:$P$504,U1331),"BELOW COST","OK")))),IF($D1331="","","PRO PLAN"))</f>
        <v/>
      </c>
      <c r="U1331" s="60" t="str">
        <f aca="false">IF(IsPro,IF($D1331="","",IFERROR(MATCH($D1331,Items!$A$5:$A$504,0),"")),"")</f>
        <v/>
      </c>
      <c r="V1331" s="60" t="str">
        <f aca="false">IF(IsPro,IF($C1331="","",IFERROR(MATCH($C1331,Parties!$A$5:$A$304,0),"")),"")</f>
        <v/>
      </c>
      <c r="W1331" s="60" t="str">
        <f aca="false">IF(IsPro,IF($B1331="","",IFERROR(VALUE(SUBSTITUTE($B1331,InvPrefix,"")),0)),"")</f>
        <v/>
      </c>
      <c r="X1331" s="61" t="str">
        <f aca="false">IF(IsPro,IF($D1331="","",IF(OR($H1331="",$H1331="Credit"),0,Q1331)),"")</f>
        <v/>
      </c>
    </row>
    <row r="1332" customFormat="false" ht="15" hidden="false" customHeight="false" outlineLevel="0" collapsed="false">
      <c r="A1332" s="55"/>
      <c r="B1332" s="56"/>
      <c r="C1332" s="56"/>
      <c r="D1332" s="56"/>
      <c r="E1332" s="57"/>
      <c r="F1332" s="58"/>
      <c r="G1332" s="59"/>
      <c r="H1332" s="56"/>
      <c r="I1332" s="56"/>
      <c r="J1332" s="60" t="str">
        <f aca="false">IF(IsPro,IF($D1332="","",IFERROR(INDEX(Items!$D$5:$D$504,U1332),"")),"")</f>
        <v/>
      </c>
      <c r="K1332" s="61" t="str">
        <f aca="false">IF(IsPro,IF($D1332="","",IF($F1332="",IFERROR(INDEX(Items!$H$5:$H$504,U1332),0),$F1332)),"")</f>
        <v/>
      </c>
      <c r="L1332" s="61" t="str">
        <f aca="false">IF(IsPro,IF($D1332="","",ROUND(N($E1332)*K1332*(1-N($G1332)),2)),"")</f>
        <v/>
      </c>
      <c r="M1332" s="62" t="str">
        <f aca="false">IF(IsPro,IF($D1332="","",IFERROR(INDEX(Items!$F$5:$F$504,U1332),0)),"")</f>
        <v/>
      </c>
      <c r="N1332" s="61" t="str">
        <f aca="false">IF(IsPro,IF($D1332="","",IF(AND(V1332&lt;&gt;"",INDEX(Parties!$E$5:$E$304,V1332)&lt;&gt;"",INDEX(Parties!$E$5:$E$304,V1332)&lt;&gt;HomeState),0,ROUND(L1332*M1332/2,2))),"")</f>
        <v/>
      </c>
      <c r="O1332" s="61" t="str">
        <f aca="false">IF(IsPro,IF($D1332="","",N1332),"")</f>
        <v/>
      </c>
      <c r="P1332" s="61" t="str">
        <f aca="false">IF(IsPro,IF($D1332="","",IF(AND(V1332&lt;&gt;"",INDEX(Parties!$E$5:$E$304,V1332)&lt;&gt;"",INDEX(Parties!$E$5:$E$304,V1332)&lt;&gt;HomeState),ROUND(L1332*M1332,2),0)),"")</f>
        <v/>
      </c>
      <c r="Q1332" s="61" t="str">
        <f aca="false">IF(IsPro,IF($D1332="","",L1332+N1332+O1332+P1332),"")</f>
        <v/>
      </c>
      <c r="R1332" s="61" t="str">
        <f aca="false">IF(IsPro,IF($D1332="","",ROUND(N($E1332)*IFERROR(INDEX(Items!$P$5:$P$504,U1332),0),2)),"")</f>
        <v/>
      </c>
      <c r="S1332" s="61" t="str">
        <f aca="false">IF(IsPro,IF($D1332="","",L1332-R1332),"")</f>
        <v/>
      </c>
      <c r="T1332" s="60" t="str">
        <f aca="false">IF(IsPro,IF($D1332="","",IF(U1332="","UNKNOWN ITEM",IF(INDEX(Items!$O$5:$O$504,U1332)&lt;0,"NEG STOCK",IF(K1332&lt;INDEX(Items!$P$5:$P$504,U1332),"BELOW COST","OK")))),IF($D1332="","","PRO PLAN"))</f>
        <v/>
      </c>
      <c r="U1332" s="60" t="str">
        <f aca="false">IF(IsPro,IF($D1332="","",IFERROR(MATCH($D1332,Items!$A$5:$A$504,0),"")),"")</f>
        <v/>
      </c>
      <c r="V1332" s="60" t="str">
        <f aca="false">IF(IsPro,IF($C1332="","",IFERROR(MATCH($C1332,Parties!$A$5:$A$304,0),"")),"")</f>
        <v/>
      </c>
      <c r="W1332" s="60" t="str">
        <f aca="false">IF(IsPro,IF($B1332="","",IFERROR(VALUE(SUBSTITUTE($B1332,InvPrefix,"")),0)),"")</f>
        <v/>
      </c>
      <c r="X1332" s="61" t="str">
        <f aca="false">IF(IsPro,IF($D1332="","",IF(OR($H1332="",$H1332="Credit"),0,Q1332)),"")</f>
        <v/>
      </c>
    </row>
    <row r="1333" customFormat="false" ht="15" hidden="false" customHeight="false" outlineLevel="0" collapsed="false">
      <c r="A1333" s="55"/>
      <c r="B1333" s="56"/>
      <c r="C1333" s="56"/>
      <c r="D1333" s="56"/>
      <c r="E1333" s="57"/>
      <c r="F1333" s="58"/>
      <c r="G1333" s="59"/>
      <c r="H1333" s="56"/>
      <c r="I1333" s="56"/>
      <c r="J1333" s="60" t="str">
        <f aca="false">IF(IsPro,IF($D1333="","",IFERROR(INDEX(Items!$D$5:$D$504,U1333),"")),"")</f>
        <v/>
      </c>
      <c r="K1333" s="61" t="str">
        <f aca="false">IF(IsPro,IF($D1333="","",IF($F1333="",IFERROR(INDEX(Items!$H$5:$H$504,U1333),0),$F1333)),"")</f>
        <v/>
      </c>
      <c r="L1333" s="61" t="str">
        <f aca="false">IF(IsPro,IF($D1333="","",ROUND(N($E1333)*K1333*(1-N($G1333)),2)),"")</f>
        <v/>
      </c>
      <c r="M1333" s="62" t="str">
        <f aca="false">IF(IsPro,IF($D1333="","",IFERROR(INDEX(Items!$F$5:$F$504,U1333),0)),"")</f>
        <v/>
      </c>
      <c r="N1333" s="61" t="str">
        <f aca="false">IF(IsPro,IF($D1333="","",IF(AND(V1333&lt;&gt;"",INDEX(Parties!$E$5:$E$304,V1333)&lt;&gt;"",INDEX(Parties!$E$5:$E$304,V1333)&lt;&gt;HomeState),0,ROUND(L1333*M1333/2,2))),"")</f>
        <v/>
      </c>
      <c r="O1333" s="61" t="str">
        <f aca="false">IF(IsPro,IF($D1333="","",N1333),"")</f>
        <v/>
      </c>
      <c r="P1333" s="61" t="str">
        <f aca="false">IF(IsPro,IF($D1333="","",IF(AND(V1333&lt;&gt;"",INDEX(Parties!$E$5:$E$304,V1333)&lt;&gt;"",INDEX(Parties!$E$5:$E$304,V1333)&lt;&gt;HomeState),ROUND(L1333*M1333,2),0)),"")</f>
        <v/>
      </c>
      <c r="Q1333" s="61" t="str">
        <f aca="false">IF(IsPro,IF($D1333="","",L1333+N1333+O1333+P1333),"")</f>
        <v/>
      </c>
      <c r="R1333" s="61" t="str">
        <f aca="false">IF(IsPro,IF($D1333="","",ROUND(N($E1333)*IFERROR(INDEX(Items!$P$5:$P$504,U1333),0),2)),"")</f>
        <v/>
      </c>
      <c r="S1333" s="61" t="str">
        <f aca="false">IF(IsPro,IF($D1333="","",L1333-R1333),"")</f>
        <v/>
      </c>
      <c r="T1333" s="60" t="str">
        <f aca="false">IF(IsPro,IF($D1333="","",IF(U1333="","UNKNOWN ITEM",IF(INDEX(Items!$O$5:$O$504,U1333)&lt;0,"NEG STOCK",IF(K1333&lt;INDEX(Items!$P$5:$P$504,U1333),"BELOW COST","OK")))),IF($D1333="","","PRO PLAN"))</f>
        <v/>
      </c>
      <c r="U1333" s="60" t="str">
        <f aca="false">IF(IsPro,IF($D1333="","",IFERROR(MATCH($D1333,Items!$A$5:$A$504,0),"")),"")</f>
        <v/>
      </c>
      <c r="V1333" s="60" t="str">
        <f aca="false">IF(IsPro,IF($C1333="","",IFERROR(MATCH($C1333,Parties!$A$5:$A$304,0),"")),"")</f>
        <v/>
      </c>
      <c r="W1333" s="60" t="str">
        <f aca="false">IF(IsPro,IF($B1333="","",IFERROR(VALUE(SUBSTITUTE($B1333,InvPrefix,"")),0)),"")</f>
        <v/>
      </c>
      <c r="X1333" s="61" t="str">
        <f aca="false">IF(IsPro,IF($D1333="","",IF(OR($H1333="",$H1333="Credit"),0,Q1333)),"")</f>
        <v/>
      </c>
    </row>
    <row r="1334" customFormat="false" ht="15" hidden="false" customHeight="false" outlineLevel="0" collapsed="false">
      <c r="A1334" s="55"/>
      <c r="B1334" s="56"/>
      <c r="C1334" s="56"/>
      <c r="D1334" s="56"/>
      <c r="E1334" s="57"/>
      <c r="F1334" s="58"/>
      <c r="G1334" s="59"/>
      <c r="H1334" s="56"/>
      <c r="I1334" s="56"/>
      <c r="J1334" s="60" t="str">
        <f aca="false">IF(IsPro,IF($D1334="","",IFERROR(INDEX(Items!$D$5:$D$504,U1334),"")),"")</f>
        <v/>
      </c>
      <c r="K1334" s="61" t="str">
        <f aca="false">IF(IsPro,IF($D1334="","",IF($F1334="",IFERROR(INDEX(Items!$H$5:$H$504,U1334),0),$F1334)),"")</f>
        <v/>
      </c>
      <c r="L1334" s="61" t="str">
        <f aca="false">IF(IsPro,IF($D1334="","",ROUND(N($E1334)*K1334*(1-N($G1334)),2)),"")</f>
        <v/>
      </c>
      <c r="M1334" s="62" t="str">
        <f aca="false">IF(IsPro,IF($D1334="","",IFERROR(INDEX(Items!$F$5:$F$504,U1334),0)),"")</f>
        <v/>
      </c>
      <c r="N1334" s="61" t="str">
        <f aca="false">IF(IsPro,IF($D1334="","",IF(AND(V1334&lt;&gt;"",INDEX(Parties!$E$5:$E$304,V1334)&lt;&gt;"",INDEX(Parties!$E$5:$E$304,V1334)&lt;&gt;HomeState),0,ROUND(L1334*M1334/2,2))),"")</f>
        <v/>
      </c>
      <c r="O1334" s="61" t="str">
        <f aca="false">IF(IsPro,IF($D1334="","",N1334),"")</f>
        <v/>
      </c>
      <c r="P1334" s="61" t="str">
        <f aca="false">IF(IsPro,IF($D1334="","",IF(AND(V1334&lt;&gt;"",INDEX(Parties!$E$5:$E$304,V1334)&lt;&gt;"",INDEX(Parties!$E$5:$E$304,V1334)&lt;&gt;HomeState),ROUND(L1334*M1334,2),0)),"")</f>
        <v/>
      </c>
      <c r="Q1334" s="61" t="str">
        <f aca="false">IF(IsPro,IF($D1334="","",L1334+N1334+O1334+P1334),"")</f>
        <v/>
      </c>
      <c r="R1334" s="61" t="str">
        <f aca="false">IF(IsPro,IF($D1334="","",ROUND(N($E1334)*IFERROR(INDEX(Items!$P$5:$P$504,U1334),0),2)),"")</f>
        <v/>
      </c>
      <c r="S1334" s="61" t="str">
        <f aca="false">IF(IsPro,IF($D1334="","",L1334-R1334),"")</f>
        <v/>
      </c>
      <c r="T1334" s="60" t="str">
        <f aca="false">IF(IsPro,IF($D1334="","",IF(U1334="","UNKNOWN ITEM",IF(INDEX(Items!$O$5:$O$504,U1334)&lt;0,"NEG STOCK",IF(K1334&lt;INDEX(Items!$P$5:$P$504,U1334),"BELOW COST","OK")))),IF($D1334="","","PRO PLAN"))</f>
        <v/>
      </c>
      <c r="U1334" s="60" t="str">
        <f aca="false">IF(IsPro,IF($D1334="","",IFERROR(MATCH($D1334,Items!$A$5:$A$504,0),"")),"")</f>
        <v/>
      </c>
      <c r="V1334" s="60" t="str">
        <f aca="false">IF(IsPro,IF($C1334="","",IFERROR(MATCH($C1334,Parties!$A$5:$A$304,0),"")),"")</f>
        <v/>
      </c>
      <c r="W1334" s="60" t="str">
        <f aca="false">IF(IsPro,IF($B1334="","",IFERROR(VALUE(SUBSTITUTE($B1334,InvPrefix,"")),0)),"")</f>
        <v/>
      </c>
      <c r="X1334" s="61" t="str">
        <f aca="false">IF(IsPro,IF($D1334="","",IF(OR($H1334="",$H1334="Credit"),0,Q1334)),"")</f>
        <v/>
      </c>
    </row>
    <row r="1335" customFormat="false" ht="15" hidden="false" customHeight="false" outlineLevel="0" collapsed="false">
      <c r="A1335" s="55"/>
      <c r="B1335" s="56"/>
      <c r="C1335" s="56"/>
      <c r="D1335" s="56"/>
      <c r="E1335" s="57"/>
      <c r="F1335" s="58"/>
      <c r="G1335" s="59"/>
      <c r="H1335" s="56"/>
      <c r="I1335" s="56"/>
      <c r="J1335" s="60" t="str">
        <f aca="false">IF(IsPro,IF($D1335="","",IFERROR(INDEX(Items!$D$5:$D$504,U1335),"")),"")</f>
        <v/>
      </c>
      <c r="K1335" s="61" t="str">
        <f aca="false">IF(IsPro,IF($D1335="","",IF($F1335="",IFERROR(INDEX(Items!$H$5:$H$504,U1335),0),$F1335)),"")</f>
        <v/>
      </c>
      <c r="L1335" s="61" t="str">
        <f aca="false">IF(IsPro,IF($D1335="","",ROUND(N($E1335)*K1335*(1-N($G1335)),2)),"")</f>
        <v/>
      </c>
      <c r="M1335" s="62" t="str">
        <f aca="false">IF(IsPro,IF($D1335="","",IFERROR(INDEX(Items!$F$5:$F$504,U1335),0)),"")</f>
        <v/>
      </c>
      <c r="N1335" s="61" t="str">
        <f aca="false">IF(IsPro,IF($D1335="","",IF(AND(V1335&lt;&gt;"",INDEX(Parties!$E$5:$E$304,V1335)&lt;&gt;"",INDEX(Parties!$E$5:$E$304,V1335)&lt;&gt;HomeState),0,ROUND(L1335*M1335/2,2))),"")</f>
        <v/>
      </c>
      <c r="O1335" s="61" t="str">
        <f aca="false">IF(IsPro,IF($D1335="","",N1335),"")</f>
        <v/>
      </c>
      <c r="P1335" s="61" t="str">
        <f aca="false">IF(IsPro,IF($D1335="","",IF(AND(V1335&lt;&gt;"",INDEX(Parties!$E$5:$E$304,V1335)&lt;&gt;"",INDEX(Parties!$E$5:$E$304,V1335)&lt;&gt;HomeState),ROUND(L1335*M1335,2),0)),"")</f>
        <v/>
      </c>
      <c r="Q1335" s="61" t="str">
        <f aca="false">IF(IsPro,IF($D1335="","",L1335+N1335+O1335+P1335),"")</f>
        <v/>
      </c>
      <c r="R1335" s="61" t="str">
        <f aca="false">IF(IsPro,IF($D1335="","",ROUND(N($E1335)*IFERROR(INDEX(Items!$P$5:$P$504,U1335),0),2)),"")</f>
        <v/>
      </c>
      <c r="S1335" s="61" t="str">
        <f aca="false">IF(IsPro,IF($D1335="","",L1335-R1335),"")</f>
        <v/>
      </c>
      <c r="T1335" s="60" t="str">
        <f aca="false">IF(IsPro,IF($D1335="","",IF(U1335="","UNKNOWN ITEM",IF(INDEX(Items!$O$5:$O$504,U1335)&lt;0,"NEG STOCK",IF(K1335&lt;INDEX(Items!$P$5:$P$504,U1335),"BELOW COST","OK")))),IF($D1335="","","PRO PLAN"))</f>
        <v/>
      </c>
      <c r="U1335" s="60" t="str">
        <f aca="false">IF(IsPro,IF($D1335="","",IFERROR(MATCH($D1335,Items!$A$5:$A$504,0),"")),"")</f>
        <v/>
      </c>
      <c r="V1335" s="60" t="str">
        <f aca="false">IF(IsPro,IF($C1335="","",IFERROR(MATCH($C1335,Parties!$A$5:$A$304,0),"")),"")</f>
        <v/>
      </c>
      <c r="W1335" s="60" t="str">
        <f aca="false">IF(IsPro,IF($B1335="","",IFERROR(VALUE(SUBSTITUTE($B1335,InvPrefix,"")),0)),"")</f>
        <v/>
      </c>
      <c r="X1335" s="61" t="str">
        <f aca="false">IF(IsPro,IF($D1335="","",IF(OR($H1335="",$H1335="Credit"),0,Q1335)),"")</f>
        <v/>
      </c>
    </row>
    <row r="1336" customFormat="false" ht="15" hidden="false" customHeight="false" outlineLevel="0" collapsed="false">
      <c r="A1336" s="55"/>
      <c r="B1336" s="56"/>
      <c r="C1336" s="56"/>
      <c r="D1336" s="56"/>
      <c r="E1336" s="57"/>
      <c r="F1336" s="58"/>
      <c r="G1336" s="59"/>
      <c r="H1336" s="56"/>
      <c r="I1336" s="56"/>
      <c r="J1336" s="60" t="str">
        <f aca="false">IF(IsPro,IF($D1336="","",IFERROR(INDEX(Items!$D$5:$D$504,U1336),"")),"")</f>
        <v/>
      </c>
      <c r="K1336" s="61" t="str">
        <f aca="false">IF(IsPro,IF($D1336="","",IF($F1336="",IFERROR(INDEX(Items!$H$5:$H$504,U1336),0),$F1336)),"")</f>
        <v/>
      </c>
      <c r="L1336" s="61" t="str">
        <f aca="false">IF(IsPro,IF($D1336="","",ROUND(N($E1336)*K1336*(1-N($G1336)),2)),"")</f>
        <v/>
      </c>
      <c r="M1336" s="62" t="str">
        <f aca="false">IF(IsPro,IF($D1336="","",IFERROR(INDEX(Items!$F$5:$F$504,U1336),0)),"")</f>
        <v/>
      </c>
      <c r="N1336" s="61" t="str">
        <f aca="false">IF(IsPro,IF($D1336="","",IF(AND(V1336&lt;&gt;"",INDEX(Parties!$E$5:$E$304,V1336)&lt;&gt;"",INDEX(Parties!$E$5:$E$304,V1336)&lt;&gt;HomeState),0,ROUND(L1336*M1336/2,2))),"")</f>
        <v/>
      </c>
      <c r="O1336" s="61" t="str">
        <f aca="false">IF(IsPro,IF($D1336="","",N1336),"")</f>
        <v/>
      </c>
      <c r="P1336" s="61" t="str">
        <f aca="false">IF(IsPro,IF($D1336="","",IF(AND(V1336&lt;&gt;"",INDEX(Parties!$E$5:$E$304,V1336)&lt;&gt;"",INDEX(Parties!$E$5:$E$304,V1336)&lt;&gt;HomeState),ROUND(L1336*M1336,2),0)),"")</f>
        <v/>
      </c>
      <c r="Q1336" s="61" t="str">
        <f aca="false">IF(IsPro,IF($D1336="","",L1336+N1336+O1336+P1336),"")</f>
        <v/>
      </c>
      <c r="R1336" s="61" t="str">
        <f aca="false">IF(IsPro,IF($D1336="","",ROUND(N($E1336)*IFERROR(INDEX(Items!$P$5:$P$504,U1336),0),2)),"")</f>
        <v/>
      </c>
      <c r="S1336" s="61" t="str">
        <f aca="false">IF(IsPro,IF($D1336="","",L1336-R1336),"")</f>
        <v/>
      </c>
      <c r="T1336" s="60" t="str">
        <f aca="false">IF(IsPro,IF($D1336="","",IF(U1336="","UNKNOWN ITEM",IF(INDEX(Items!$O$5:$O$504,U1336)&lt;0,"NEG STOCK",IF(K1336&lt;INDEX(Items!$P$5:$P$504,U1336),"BELOW COST","OK")))),IF($D1336="","","PRO PLAN"))</f>
        <v/>
      </c>
      <c r="U1336" s="60" t="str">
        <f aca="false">IF(IsPro,IF($D1336="","",IFERROR(MATCH($D1336,Items!$A$5:$A$504,0),"")),"")</f>
        <v/>
      </c>
      <c r="V1336" s="60" t="str">
        <f aca="false">IF(IsPro,IF($C1336="","",IFERROR(MATCH($C1336,Parties!$A$5:$A$304,0),"")),"")</f>
        <v/>
      </c>
      <c r="W1336" s="60" t="str">
        <f aca="false">IF(IsPro,IF($B1336="","",IFERROR(VALUE(SUBSTITUTE($B1336,InvPrefix,"")),0)),"")</f>
        <v/>
      </c>
      <c r="X1336" s="61" t="str">
        <f aca="false">IF(IsPro,IF($D1336="","",IF(OR($H1336="",$H1336="Credit"),0,Q1336)),"")</f>
        <v/>
      </c>
    </row>
    <row r="1337" customFormat="false" ht="15" hidden="false" customHeight="false" outlineLevel="0" collapsed="false">
      <c r="A1337" s="55"/>
      <c r="B1337" s="56"/>
      <c r="C1337" s="56"/>
      <c r="D1337" s="56"/>
      <c r="E1337" s="57"/>
      <c r="F1337" s="58"/>
      <c r="G1337" s="59"/>
      <c r="H1337" s="56"/>
      <c r="I1337" s="56"/>
      <c r="J1337" s="60" t="str">
        <f aca="false">IF(IsPro,IF($D1337="","",IFERROR(INDEX(Items!$D$5:$D$504,U1337),"")),"")</f>
        <v/>
      </c>
      <c r="K1337" s="61" t="str">
        <f aca="false">IF(IsPro,IF($D1337="","",IF($F1337="",IFERROR(INDEX(Items!$H$5:$H$504,U1337),0),$F1337)),"")</f>
        <v/>
      </c>
      <c r="L1337" s="61" t="str">
        <f aca="false">IF(IsPro,IF($D1337="","",ROUND(N($E1337)*K1337*(1-N($G1337)),2)),"")</f>
        <v/>
      </c>
      <c r="M1337" s="62" t="str">
        <f aca="false">IF(IsPro,IF($D1337="","",IFERROR(INDEX(Items!$F$5:$F$504,U1337),0)),"")</f>
        <v/>
      </c>
      <c r="N1337" s="61" t="str">
        <f aca="false">IF(IsPro,IF($D1337="","",IF(AND(V1337&lt;&gt;"",INDEX(Parties!$E$5:$E$304,V1337)&lt;&gt;"",INDEX(Parties!$E$5:$E$304,V1337)&lt;&gt;HomeState),0,ROUND(L1337*M1337/2,2))),"")</f>
        <v/>
      </c>
      <c r="O1337" s="61" t="str">
        <f aca="false">IF(IsPro,IF($D1337="","",N1337),"")</f>
        <v/>
      </c>
      <c r="P1337" s="61" t="str">
        <f aca="false">IF(IsPro,IF($D1337="","",IF(AND(V1337&lt;&gt;"",INDEX(Parties!$E$5:$E$304,V1337)&lt;&gt;"",INDEX(Parties!$E$5:$E$304,V1337)&lt;&gt;HomeState),ROUND(L1337*M1337,2),0)),"")</f>
        <v/>
      </c>
      <c r="Q1337" s="61" t="str">
        <f aca="false">IF(IsPro,IF($D1337="","",L1337+N1337+O1337+P1337),"")</f>
        <v/>
      </c>
      <c r="R1337" s="61" t="str">
        <f aca="false">IF(IsPro,IF($D1337="","",ROUND(N($E1337)*IFERROR(INDEX(Items!$P$5:$P$504,U1337),0),2)),"")</f>
        <v/>
      </c>
      <c r="S1337" s="61" t="str">
        <f aca="false">IF(IsPro,IF($D1337="","",L1337-R1337),"")</f>
        <v/>
      </c>
      <c r="T1337" s="60" t="str">
        <f aca="false">IF(IsPro,IF($D1337="","",IF(U1337="","UNKNOWN ITEM",IF(INDEX(Items!$O$5:$O$504,U1337)&lt;0,"NEG STOCK",IF(K1337&lt;INDEX(Items!$P$5:$P$504,U1337),"BELOW COST","OK")))),IF($D1337="","","PRO PLAN"))</f>
        <v/>
      </c>
      <c r="U1337" s="60" t="str">
        <f aca="false">IF(IsPro,IF($D1337="","",IFERROR(MATCH($D1337,Items!$A$5:$A$504,0),"")),"")</f>
        <v/>
      </c>
      <c r="V1337" s="60" t="str">
        <f aca="false">IF(IsPro,IF($C1337="","",IFERROR(MATCH($C1337,Parties!$A$5:$A$304,0),"")),"")</f>
        <v/>
      </c>
      <c r="W1337" s="60" t="str">
        <f aca="false">IF(IsPro,IF($B1337="","",IFERROR(VALUE(SUBSTITUTE($B1337,InvPrefix,"")),0)),"")</f>
        <v/>
      </c>
      <c r="X1337" s="61" t="str">
        <f aca="false">IF(IsPro,IF($D1337="","",IF(OR($H1337="",$H1337="Credit"),0,Q1337)),"")</f>
        <v/>
      </c>
    </row>
    <row r="1338" customFormat="false" ht="15" hidden="false" customHeight="false" outlineLevel="0" collapsed="false">
      <c r="A1338" s="55"/>
      <c r="B1338" s="56"/>
      <c r="C1338" s="56"/>
      <c r="D1338" s="56"/>
      <c r="E1338" s="57"/>
      <c r="F1338" s="58"/>
      <c r="G1338" s="59"/>
      <c r="H1338" s="56"/>
      <c r="I1338" s="56"/>
      <c r="J1338" s="60" t="str">
        <f aca="false">IF(IsPro,IF($D1338="","",IFERROR(INDEX(Items!$D$5:$D$504,U1338),"")),"")</f>
        <v/>
      </c>
      <c r="K1338" s="61" t="str">
        <f aca="false">IF(IsPro,IF($D1338="","",IF($F1338="",IFERROR(INDEX(Items!$H$5:$H$504,U1338),0),$F1338)),"")</f>
        <v/>
      </c>
      <c r="L1338" s="61" t="str">
        <f aca="false">IF(IsPro,IF($D1338="","",ROUND(N($E1338)*K1338*(1-N($G1338)),2)),"")</f>
        <v/>
      </c>
      <c r="M1338" s="62" t="str">
        <f aca="false">IF(IsPro,IF($D1338="","",IFERROR(INDEX(Items!$F$5:$F$504,U1338),0)),"")</f>
        <v/>
      </c>
      <c r="N1338" s="61" t="str">
        <f aca="false">IF(IsPro,IF($D1338="","",IF(AND(V1338&lt;&gt;"",INDEX(Parties!$E$5:$E$304,V1338)&lt;&gt;"",INDEX(Parties!$E$5:$E$304,V1338)&lt;&gt;HomeState),0,ROUND(L1338*M1338/2,2))),"")</f>
        <v/>
      </c>
      <c r="O1338" s="61" t="str">
        <f aca="false">IF(IsPro,IF($D1338="","",N1338),"")</f>
        <v/>
      </c>
      <c r="P1338" s="61" t="str">
        <f aca="false">IF(IsPro,IF($D1338="","",IF(AND(V1338&lt;&gt;"",INDEX(Parties!$E$5:$E$304,V1338)&lt;&gt;"",INDEX(Parties!$E$5:$E$304,V1338)&lt;&gt;HomeState),ROUND(L1338*M1338,2),0)),"")</f>
        <v/>
      </c>
      <c r="Q1338" s="61" t="str">
        <f aca="false">IF(IsPro,IF($D1338="","",L1338+N1338+O1338+P1338),"")</f>
        <v/>
      </c>
      <c r="R1338" s="61" t="str">
        <f aca="false">IF(IsPro,IF($D1338="","",ROUND(N($E1338)*IFERROR(INDEX(Items!$P$5:$P$504,U1338),0),2)),"")</f>
        <v/>
      </c>
      <c r="S1338" s="61" t="str">
        <f aca="false">IF(IsPro,IF($D1338="","",L1338-R1338),"")</f>
        <v/>
      </c>
      <c r="T1338" s="60" t="str">
        <f aca="false">IF(IsPro,IF($D1338="","",IF(U1338="","UNKNOWN ITEM",IF(INDEX(Items!$O$5:$O$504,U1338)&lt;0,"NEG STOCK",IF(K1338&lt;INDEX(Items!$P$5:$P$504,U1338),"BELOW COST","OK")))),IF($D1338="","","PRO PLAN"))</f>
        <v/>
      </c>
      <c r="U1338" s="60" t="str">
        <f aca="false">IF(IsPro,IF($D1338="","",IFERROR(MATCH($D1338,Items!$A$5:$A$504,0),"")),"")</f>
        <v/>
      </c>
      <c r="V1338" s="60" t="str">
        <f aca="false">IF(IsPro,IF($C1338="","",IFERROR(MATCH($C1338,Parties!$A$5:$A$304,0),"")),"")</f>
        <v/>
      </c>
      <c r="W1338" s="60" t="str">
        <f aca="false">IF(IsPro,IF($B1338="","",IFERROR(VALUE(SUBSTITUTE($B1338,InvPrefix,"")),0)),"")</f>
        <v/>
      </c>
      <c r="X1338" s="61" t="str">
        <f aca="false">IF(IsPro,IF($D1338="","",IF(OR($H1338="",$H1338="Credit"),0,Q1338)),"")</f>
        <v/>
      </c>
    </row>
    <row r="1339" customFormat="false" ht="15" hidden="false" customHeight="false" outlineLevel="0" collapsed="false">
      <c r="A1339" s="55"/>
      <c r="B1339" s="56"/>
      <c r="C1339" s="56"/>
      <c r="D1339" s="56"/>
      <c r="E1339" s="57"/>
      <c r="F1339" s="58"/>
      <c r="G1339" s="59"/>
      <c r="H1339" s="56"/>
      <c r="I1339" s="56"/>
      <c r="J1339" s="60" t="str">
        <f aca="false">IF(IsPro,IF($D1339="","",IFERROR(INDEX(Items!$D$5:$D$504,U1339),"")),"")</f>
        <v/>
      </c>
      <c r="K1339" s="61" t="str">
        <f aca="false">IF(IsPro,IF($D1339="","",IF($F1339="",IFERROR(INDEX(Items!$H$5:$H$504,U1339),0),$F1339)),"")</f>
        <v/>
      </c>
      <c r="L1339" s="61" t="str">
        <f aca="false">IF(IsPro,IF($D1339="","",ROUND(N($E1339)*K1339*(1-N($G1339)),2)),"")</f>
        <v/>
      </c>
      <c r="M1339" s="62" t="str">
        <f aca="false">IF(IsPro,IF($D1339="","",IFERROR(INDEX(Items!$F$5:$F$504,U1339),0)),"")</f>
        <v/>
      </c>
      <c r="N1339" s="61" t="str">
        <f aca="false">IF(IsPro,IF($D1339="","",IF(AND(V1339&lt;&gt;"",INDEX(Parties!$E$5:$E$304,V1339)&lt;&gt;"",INDEX(Parties!$E$5:$E$304,V1339)&lt;&gt;HomeState),0,ROUND(L1339*M1339/2,2))),"")</f>
        <v/>
      </c>
      <c r="O1339" s="61" t="str">
        <f aca="false">IF(IsPro,IF($D1339="","",N1339),"")</f>
        <v/>
      </c>
      <c r="P1339" s="61" t="str">
        <f aca="false">IF(IsPro,IF($D1339="","",IF(AND(V1339&lt;&gt;"",INDEX(Parties!$E$5:$E$304,V1339)&lt;&gt;"",INDEX(Parties!$E$5:$E$304,V1339)&lt;&gt;HomeState),ROUND(L1339*M1339,2),0)),"")</f>
        <v/>
      </c>
      <c r="Q1339" s="61" t="str">
        <f aca="false">IF(IsPro,IF($D1339="","",L1339+N1339+O1339+P1339),"")</f>
        <v/>
      </c>
      <c r="R1339" s="61" t="str">
        <f aca="false">IF(IsPro,IF($D1339="","",ROUND(N($E1339)*IFERROR(INDEX(Items!$P$5:$P$504,U1339),0),2)),"")</f>
        <v/>
      </c>
      <c r="S1339" s="61" t="str">
        <f aca="false">IF(IsPro,IF($D1339="","",L1339-R1339),"")</f>
        <v/>
      </c>
      <c r="T1339" s="60" t="str">
        <f aca="false">IF(IsPro,IF($D1339="","",IF(U1339="","UNKNOWN ITEM",IF(INDEX(Items!$O$5:$O$504,U1339)&lt;0,"NEG STOCK",IF(K1339&lt;INDEX(Items!$P$5:$P$504,U1339),"BELOW COST","OK")))),IF($D1339="","","PRO PLAN"))</f>
        <v/>
      </c>
      <c r="U1339" s="60" t="str">
        <f aca="false">IF(IsPro,IF($D1339="","",IFERROR(MATCH($D1339,Items!$A$5:$A$504,0),"")),"")</f>
        <v/>
      </c>
      <c r="V1339" s="60" t="str">
        <f aca="false">IF(IsPro,IF($C1339="","",IFERROR(MATCH($C1339,Parties!$A$5:$A$304,0),"")),"")</f>
        <v/>
      </c>
      <c r="W1339" s="60" t="str">
        <f aca="false">IF(IsPro,IF($B1339="","",IFERROR(VALUE(SUBSTITUTE($B1339,InvPrefix,"")),0)),"")</f>
        <v/>
      </c>
      <c r="X1339" s="61" t="str">
        <f aca="false">IF(IsPro,IF($D1339="","",IF(OR($H1339="",$H1339="Credit"),0,Q1339)),"")</f>
        <v/>
      </c>
    </row>
    <row r="1340" customFormat="false" ht="15" hidden="false" customHeight="false" outlineLevel="0" collapsed="false">
      <c r="A1340" s="55"/>
      <c r="B1340" s="56"/>
      <c r="C1340" s="56"/>
      <c r="D1340" s="56"/>
      <c r="E1340" s="57"/>
      <c r="F1340" s="58"/>
      <c r="G1340" s="59"/>
      <c r="H1340" s="56"/>
      <c r="I1340" s="56"/>
      <c r="J1340" s="60" t="str">
        <f aca="false">IF(IsPro,IF($D1340="","",IFERROR(INDEX(Items!$D$5:$D$504,U1340),"")),"")</f>
        <v/>
      </c>
      <c r="K1340" s="61" t="str">
        <f aca="false">IF(IsPro,IF($D1340="","",IF($F1340="",IFERROR(INDEX(Items!$H$5:$H$504,U1340),0),$F1340)),"")</f>
        <v/>
      </c>
      <c r="L1340" s="61" t="str">
        <f aca="false">IF(IsPro,IF($D1340="","",ROUND(N($E1340)*K1340*(1-N($G1340)),2)),"")</f>
        <v/>
      </c>
      <c r="M1340" s="62" t="str">
        <f aca="false">IF(IsPro,IF($D1340="","",IFERROR(INDEX(Items!$F$5:$F$504,U1340),0)),"")</f>
        <v/>
      </c>
      <c r="N1340" s="61" t="str">
        <f aca="false">IF(IsPro,IF($D1340="","",IF(AND(V1340&lt;&gt;"",INDEX(Parties!$E$5:$E$304,V1340)&lt;&gt;"",INDEX(Parties!$E$5:$E$304,V1340)&lt;&gt;HomeState),0,ROUND(L1340*M1340/2,2))),"")</f>
        <v/>
      </c>
      <c r="O1340" s="61" t="str">
        <f aca="false">IF(IsPro,IF($D1340="","",N1340),"")</f>
        <v/>
      </c>
      <c r="P1340" s="61" t="str">
        <f aca="false">IF(IsPro,IF($D1340="","",IF(AND(V1340&lt;&gt;"",INDEX(Parties!$E$5:$E$304,V1340)&lt;&gt;"",INDEX(Parties!$E$5:$E$304,V1340)&lt;&gt;HomeState),ROUND(L1340*M1340,2),0)),"")</f>
        <v/>
      </c>
      <c r="Q1340" s="61" t="str">
        <f aca="false">IF(IsPro,IF($D1340="","",L1340+N1340+O1340+P1340),"")</f>
        <v/>
      </c>
      <c r="R1340" s="61" t="str">
        <f aca="false">IF(IsPro,IF($D1340="","",ROUND(N($E1340)*IFERROR(INDEX(Items!$P$5:$P$504,U1340),0),2)),"")</f>
        <v/>
      </c>
      <c r="S1340" s="61" t="str">
        <f aca="false">IF(IsPro,IF($D1340="","",L1340-R1340),"")</f>
        <v/>
      </c>
      <c r="T1340" s="60" t="str">
        <f aca="false">IF(IsPro,IF($D1340="","",IF(U1340="","UNKNOWN ITEM",IF(INDEX(Items!$O$5:$O$504,U1340)&lt;0,"NEG STOCK",IF(K1340&lt;INDEX(Items!$P$5:$P$504,U1340),"BELOW COST","OK")))),IF($D1340="","","PRO PLAN"))</f>
        <v/>
      </c>
      <c r="U1340" s="60" t="str">
        <f aca="false">IF(IsPro,IF($D1340="","",IFERROR(MATCH($D1340,Items!$A$5:$A$504,0),"")),"")</f>
        <v/>
      </c>
      <c r="V1340" s="60" t="str">
        <f aca="false">IF(IsPro,IF($C1340="","",IFERROR(MATCH($C1340,Parties!$A$5:$A$304,0),"")),"")</f>
        <v/>
      </c>
      <c r="W1340" s="60" t="str">
        <f aca="false">IF(IsPro,IF($B1340="","",IFERROR(VALUE(SUBSTITUTE($B1340,InvPrefix,"")),0)),"")</f>
        <v/>
      </c>
      <c r="X1340" s="61" t="str">
        <f aca="false">IF(IsPro,IF($D1340="","",IF(OR($H1340="",$H1340="Credit"),0,Q1340)),"")</f>
        <v/>
      </c>
    </row>
    <row r="1341" customFormat="false" ht="15" hidden="false" customHeight="false" outlineLevel="0" collapsed="false">
      <c r="A1341" s="55"/>
      <c r="B1341" s="56"/>
      <c r="C1341" s="56"/>
      <c r="D1341" s="56"/>
      <c r="E1341" s="57"/>
      <c r="F1341" s="58"/>
      <c r="G1341" s="59"/>
      <c r="H1341" s="56"/>
      <c r="I1341" s="56"/>
      <c r="J1341" s="60" t="str">
        <f aca="false">IF(IsPro,IF($D1341="","",IFERROR(INDEX(Items!$D$5:$D$504,U1341),"")),"")</f>
        <v/>
      </c>
      <c r="K1341" s="61" t="str">
        <f aca="false">IF(IsPro,IF($D1341="","",IF($F1341="",IFERROR(INDEX(Items!$H$5:$H$504,U1341),0),$F1341)),"")</f>
        <v/>
      </c>
      <c r="L1341" s="61" t="str">
        <f aca="false">IF(IsPro,IF($D1341="","",ROUND(N($E1341)*K1341*(1-N($G1341)),2)),"")</f>
        <v/>
      </c>
      <c r="M1341" s="62" t="str">
        <f aca="false">IF(IsPro,IF($D1341="","",IFERROR(INDEX(Items!$F$5:$F$504,U1341),0)),"")</f>
        <v/>
      </c>
      <c r="N1341" s="61" t="str">
        <f aca="false">IF(IsPro,IF($D1341="","",IF(AND(V1341&lt;&gt;"",INDEX(Parties!$E$5:$E$304,V1341)&lt;&gt;"",INDEX(Parties!$E$5:$E$304,V1341)&lt;&gt;HomeState),0,ROUND(L1341*M1341/2,2))),"")</f>
        <v/>
      </c>
      <c r="O1341" s="61" t="str">
        <f aca="false">IF(IsPro,IF($D1341="","",N1341),"")</f>
        <v/>
      </c>
      <c r="P1341" s="61" t="str">
        <f aca="false">IF(IsPro,IF($D1341="","",IF(AND(V1341&lt;&gt;"",INDEX(Parties!$E$5:$E$304,V1341)&lt;&gt;"",INDEX(Parties!$E$5:$E$304,V1341)&lt;&gt;HomeState),ROUND(L1341*M1341,2),0)),"")</f>
        <v/>
      </c>
      <c r="Q1341" s="61" t="str">
        <f aca="false">IF(IsPro,IF($D1341="","",L1341+N1341+O1341+P1341),"")</f>
        <v/>
      </c>
      <c r="R1341" s="61" t="str">
        <f aca="false">IF(IsPro,IF($D1341="","",ROUND(N($E1341)*IFERROR(INDEX(Items!$P$5:$P$504,U1341),0),2)),"")</f>
        <v/>
      </c>
      <c r="S1341" s="61" t="str">
        <f aca="false">IF(IsPro,IF($D1341="","",L1341-R1341),"")</f>
        <v/>
      </c>
      <c r="T1341" s="60" t="str">
        <f aca="false">IF(IsPro,IF($D1341="","",IF(U1341="","UNKNOWN ITEM",IF(INDEX(Items!$O$5:$O$504,U1341)&lt;0,"NEG STOCK",IF(K1341&lt;INDEX(Items!$P$5:$P$504,U1341),"BELOW COST","OK")))),IF($D1341="","","PRO PLAN"))</f>
        <v/>
      </c>
      <c r="U1341" s="60" t="str">
        <f aca="false">IF(IsPro,IF($D1341="","",IFERROR(MATCH($D1341,Items!$A$5:$A$504,0),"")),"")</f>
        <v/>
      </c>
      <c r="V1341" s="60" t="str">
        <f aca="false">IF(IsPro,IF($C1341="","",IFERROR(MATCH($C1341,Parties!$A$5:$A$304,0),"")),"")</f>
        <v/>
      </c>
      <c r="W1341" s="60" t="str">
        <f aca="false">IF(IsPro,IF($B1341="","",IFERROR(VALUE(SUBSTITUTE($B1341,InvPrefix,"")),0)),"")</f>
        <v/>
      </c>
      <c r="X1341" s="61" t="str">
        <f aca="false">IF(IsPro,IF($D1341="","",IF(OR($H1341="",$H1341="Credit"),0,Q1341)),"")</f>
        <v/>
      </c>
    </row>
    <row r="1342" customFormat="false" ht="15" hidden="false" customHeight="false" outlineLevel="0" collapsed="false">
      <c r="A1342" s="55"/>
      <c r="B1342" s="56"/>
      <c r="C1342" s="56"/>
      <c r="D1342" s="56"/>
      <c r="E1342" s="57"/>
      <c r="F1342" s="58"/>
      <c r="G1342" s="59"/>
      <c r="H1342" s="56"/>
      <c r="I1342" s="56"/>
      <c r="J1342" s="60" t="str">
        <f aca="false">IF(IsPro,IF($D1342="","",IFERROR(INDEX(Items!$D$5:$D$504,U1342),"")),"")</f>
        <v/>
      </c>
      <c r="K1342" s="61" t="str">
        <f aca="false">IF(IsPro,IF($D1342="","",IF($F1342="",IFERROR(INDEX(Items!$H$5:$H$504,U1342),0),$F1342)),"")</f>
        <v/>
      </c>
      <c r="L1342" s="61" t="str">
        <f aca="false">IF(IsPro,IF($D1342="","",ROUND(N($E1342)*K1342*(1-N($G1342)),2)),"")</f>
        <v/>
      </c>
      <c r="M1342" s="62" t="str">
        <f aca="false">IF(IsPro,IF($D1342="","",IFERROR(INDEX(Items!$F$5:$F$504,U1342),0)),"")</f>
        <v/>
      </c>
      <c r="N1342" s="61" t="str">
        <f aca="false">IF(IsPro,IF($D1342="","",IF(AND(V1342&lt;&gt;"",INDEX(Parties!$E$5:$E$304,V1342)&lt;&gt;"",INDEX(Parties!$E$5:$E$304,V1342)&lt;&gt;HomeState),0,ROUND(L1342*M1342/2,2))),"")</f>
        <v/>
      </c>
      <c r="O1342" s="61" t="str">
        <f aca="false">IF(IsPro,IF($D1342="","",N1342),"")</f>
        <v/>
      </c>
      <c r="P1342" s="61" t="str">
        <f aca="false">IF(IsPro,IF($D1342="","",IF(AND(V1342&lt;&gt;"",INDEX(Parties!$E$5:$E$304,V1342)&lt;&gt;"",INDEX(Parties!$E$5:$E$304,V1342)&lt;&gt;HomeState),ROUND(L1342*M1342,2),0)),"")</f>
        <v/>
      </c>
      <c r="Q1342" s="61" t="str">
        <f aca="false">IF(IsPro,IF($D1342="","",L1342+N1342+O1342+P1342),"")</f>
        <v/>
      </c>
      <c r="R1342" s="61" t="str">
        <f aca="false">IF(IsPro,IF($D1342="","",ROUND(N($E1342)*IFERROR(INDEX(Items!$P$5:$P$504,U1342),0),2)),"")</f>
        <v/>
      </c>
      <c r="S1342" s="61" t="str">
        <f aca="false">IF(IsPro,IF($D1342="","",L1342-R1342),"")</f>
        <v/>
      </c>
      <c r="T1342" s="60" t="str">
        <f aca="false">IF(IsPro,IF($D1342="","",IF(U1342="","UNKNOWN ITEM",IF(INDEX(Items!$O$5:$O$504,U1342)&lt;0,"NEG STOCK",IF(K1342&lt;INDEX(Items!$P$5:$P$504,U1342),"BELOW COST","OK")))),IF($D1342="","","PRO PLAN"))</f>
        <v/>
      </c>
      <c r="U1342" s="60" t="str">
        <f aca="false">IF(IsPro,IF($D1342="","",IFERROR(MATCH($D1342,Items!$A$5:$A$504,0),"")),"")</f>
        <v/>
      </c>
      <c r="V1342" s="60" t="str">
        <f aca="false">IF(IsPro,IF($C1342="","",IFERROR(MATCH($C1342,Parties!$A$5:$A$304,0),"")),"")</f>
        <v/>
      </c>
      <c r="W1342" s="60" t="str">
        <f aca="false">IF(IsPro,IF($B1342="","",IFERROR(VALUE(SUBSTITUTE($B1342,InvPrefix,"")),0)),"")</f>
        <v/>
      </c>
      <c r="X1342" s="61" t="str">
        <f aca="false">IF(IsPro,IF($D1342="","",IF(OR($H1342="",$H1342="Credit"),0,Q1342)),"")</f>
        <v/>
      </c>
    </row>
    <row r="1343" customFormat="false" ht="15" hidden="false" customHeight="false" outlineLevel="0" collapsed="false">
      <c r="A1343" s="55"/>
      <c r="B1343" s="56"/>
      <c r="C1343" s="56"/>
      <c r="D1343" s="56"/>
      <c r="E1343" s="57"/>
      <c r="F1343" s="58"/>
      <c r="G1343" s="59"/>
      <c r="H1343" s="56"/>
      <c r="I1343" s="56"/>
      <c r="J1343" s="60" t="str">
        <f aca="false">IF(IsPro,IF($D1343="","",IFERROR(INDEX(Items!$D$5:$D$504,U1343),"")),"")</f>
        <v/>
      </c>
      <c r="K1343" s="61" t="str">
        <f aca="false">IF(IsPro,IF($D1343="","",IF($F1343="",IFERROR(INDEX(Items!$H$5:$H$504,U1343),0),$F1343)),"")</f>
        <v/>
      </c>
      <c r="L1343" s="61" t="str">
        <f aca="false">IF(IsPro,IF($D1343="","",ROUND(N($E1343)*K1343*(1-N($G1343)),2)),"")</f>
        <v/>
      </c>
      <c r="M1343" s="62" t="str">
        <f aca="false">IF(IsPro,IF($D1343="","",IFERROR(INDEX(Items!$F$5:$F$504,U1343),0)),"")</f>
        <v/>
      </c>
      <c r="N1343" s="61" t="str">
        <f aca="false">IF(IsPro,IF($D1343="","",IF(AND(V1343&lt;&gt;"",INDEX(Parties!$E$5:$E$304,V1343)&lt;&gt;"",INDEX(Parties!$E$5:$E$304,V1343)&lt;&gt;HomeState),0,ROUND(L1343*M1343/2,2))),"")</f>
        <v/>
      </c>
      <c r="O1343" s="61" t="str">
        <f aca="false">IF(IsPro,IF($D1343="","",N1343),"")</f>
        <v/>
      </c>
      <c r="P1343" s="61" t="str">
        <f aca="false">IF(IsPro,IF($D1343="","",IF(AND(V1343&lt;&gt;"",INDEX(Parties!$E$5:$E$304,V1343)&lt;&gt;"",INDEX(Parties!$E$5:$E$304,V1343)&lt;&gt;HomeState),ROUND(L1343*M1343,2),0)),"")</f>
        <v/>
      </c>
      <c r="Q1343" s="61" t="str">
        <f aca="false">IF(IsPro,IF($D1343="","",L1343+N1343+O1343+P1343),"")</f>
        <v/>
      </c>
      <c r="R1343" s="61" t="str">
        <f aca="false">IF(IsPro,IF($D1343="","",ROUND(N($E1343)*IFERROR(INDEX(Items!$P$5:$P$504,U1343),0),2)),"")</f>
        <v/>
      </c>
      <c r="S1343" s="61" t="str">
        <f aca="false">IF(IsPro,IF($D1343="","",L1343-R1343),"")</f>
        <v/>
      </c>
      <c r="T1343" s="60" t="str">
        <f aca="false">IF(IsPro,IF($D1343="","",IF(U1343="","UNKNOWN ITEM",IF(INDEX(Items!$O$5:$O$504,U1343)&lt;0,"NEG STOCK",IF(K1343&lt;INDEX(Items!$P$5:$P$504,U1343),"BELOW COST","OK")))),IF($D1343="","","PRO PLAN"))</f>
        <v/>
      </c>
      <c r="U1343" s="60" t="str">
        <f aca="false">IF(IsPro,IF($D1343="","",IFERROR(MATCH($D1343,Items!$A$5:$A$504,0),"")),"")</f>
        <v/>
      </c>
      <c r="V1343" s="60" t="str">
        <f aca="false">IF(IsPro,IF($C1343="","",IFERROR(MATCH($C1343,Parties!$A$5:$A$304,0),"")),"")</f>
        <v/>
      </c>
      <c r="W1343" s="60" t="str">
        <f aca="false">IF(IsPro,IF($B1343="","",IFERROR(VALUE(SUBSTITUTE($B1343,InvPrefix,"")),0)),"")</f>
        <v/>
      </c>
      <c r="X1343" s="61" t="str">
        <f aca="false">IF(IsPro,IF($D1343="","",IF(OR($H1343="",$H1343="Credit"),0,Q1343)),"")</f>
        <v/>
      </c>
    </row>
    <row r="1344" customFormat="false" ht="15" hidden="false" customHeight="false" outlineLevel="0" collapsed="false">
      <c r="A1344" s="55"/>
      <c r="B1344" s="56"/>
      <c r="C1344" s="56"/>
      <c r="D1344" s="56"/>
      <c r="E1344" s="57"/>
      <c r="F1344" s="58"/>
      <c r="G1344" s="59"/>
      <c r="H1344" s="56"/>
      <c r="I1344" s="56"/>
      <c r="J1344" s="60" t="str">
        <f aca="false">IF(IsPro,IF($D1344="","",IFERROR(INDEX(Items!$D$5:$D$504,U1344),"")),"")</f>
        <v/>
      </c>
      <c r="K1344" s="61" t="str">
        <f aca="false">IF(IsPro,IF($D1344="","",IF($F1344="",IFERROR(INDEX(Items!$H$5:$H$504,U1344),0),$F1344)),"")</f>
        <v/>
      </c>
      <c r="L1344" s="61" t="str">
        <f aca="false">IF(IsPro,IF($D1344="","",ROUND(N($E1344)*K1344*(1-N($G1344)),2)),"")</f>
        <v/>
      </c>
      <c r="M1344" s="62" t="str">
        <f aca="false">IF(IsPro,IF($D1344="","",IFERROR(INDEX(Items!$F$5:$F$504,U1344),0)),"")</f>
        <v/>
      </c>
      <c r="N1344" s="61" t="str">
        <f aca="false">IF(IsPro,IF($D1344="","",IF(AND(V1344&lt;&gt;"",INDEX(Parties!$E$5:$E$304,V1344)&lt;&gt;"",INDEX(Parties!$E$5:$E$304,V1344)&lt;&gt;HomeState),0,ROUND(L1344*M1344/2,2))),"")</f>
        <v/>
      </c>
      <c r="O1344" s="61" t="str">
        <f aca="false">IF(IsPro,IF($D1344="","",N1344),"")</f>
        <v/>
      </c>
      <c r="P1344" s="61" t="str">
        <f aca="false">IF(IsPro,IF($D1344="","",IF(AND(V1344&lt;&gt;"",INDEX(Parties!$E$5:$E$304,V1344)&lt;&gt;"",INDEX(Parties!$E$5:$E$304,V1344)&lt;&gt;HomeState),ROUND(L1344*M1344,2),0)),"")</f>
        <v/>
      </c>
      <c r="Q1344" s="61" t="str">
        <f aca="false">IF(IsPro,IF($D1344="","",L1344+N1344+O1344+P1344),"")</f>
        <v/>
      </c>
      <c r="R1344" s="61" t="str">
        <f aca="false">IF(IsPro,IF($D1344="","",ROUND(N($E1344)*IFERROR(INDEX(Items!$P$5:$P$504,U1344),0),2)),"")</f>
        <v/>
      </c>
      <c r="S1344" s="61" t="str">
        <f aca="false">IF(IsPro,IF($D1344="","",L1344-R1344),"")</f>
        <v/>
      </c>
      <c r="T1344" s="60" t="str">
        <f aca="false">IF(IsPro,IF($D1344="","",IF(U1344="","UNKNOWN ITEM",IF(INDEX(Items!$O$5:$O$504,U1344)&lt;0,"NEG STOCK",IF(K1344&lt;INDEX(Items!$P$5:$P$504,U1344),"BELOW COST","OK")))),IF($D1344="","","PRO PLAN"))</f>
        <v/>
      </c>
      <c r="U1344" s="60" t="str">
        <f aca="false">IF(IsPro,IF($D1344="","",IFERROR(MATCH($D1344,Items!$A$5:$A$504,0),"")),"")</f>
        <v/>
      </c>
      <c r="V1344" s="60" t="str">
        <f aca="false">IF(IsPro,IF($C1344="","",IFERROR(MATCH($C1344,Parties!$A$5:$A$304,0),"")),"")</f>
        <v/>
      </c>
      <c r="W1344" s="60" t="str">
        <f aca="false">IF(IsPro,IF($B1344="","",IFERROR(VALUE(SUBSTITUTE($B1344,InvPrefix,"")),0)),"")</f>
        <v/>
      </c>
      <c r="X1344" s="61" t="str">
        <f aca="false">IF(IsPro,IF($D1344="","",IF(OR($H1344="",$H1344="Credit"),0,Q1344)),"")</f>
        <v/>
      </c>
    </row>
    <row r="1345" customFormat="false" ht="15" hidden="false" customHeight="false" outlineLevel="0" collapsed="false">
      <c r="A1345" s="55"/>
      <c r="B1345" s="56"/>
      <c r="C1345" s="56"/>
      <c r="D1345" s="56"/>
      <c r="E1345" s="57"/>
      <c r="F1345" s="58"/>
      <c r="G1345" s="59"/>
      <c r="H1345" s="56"/>
      <c r="I1345" s="56"/>
      <c r="J1345" s="60" t="str">
        <f aca="false">IF(IsPro,IF($D1345="","",IFERROR(INDEX(Items!$D$5:$D$504,U1345),"")),"")</f>
        <v/>
      </c>
      <c r="K1345" s="61" t="str">
        <f aca="false">IF(IsPro,IF($D1345="","",IF($F1345="",IFERROR(INDEX(Items!$H$5:$H$504,U1345),0),$F1345)),"")</f>
        <v/>
      </c>
      <c r="L1345" s="61" t="str">
        <f aca="false">IF(IsPro,IF($D1345="","",ROUND(N($E1345)*K1345*(1-N($G1345)),2)),"")</f>
        <v/>
      </c>
      <c r="M1345" s="62" t="str">
        <f aca="false">IF(IsPro,IF($D1345="","",IFERROR(INDEX(Items!$F$5:$F$504,U1345),0)),"")</f>
        <v/>
      </c>
      <c r="N1345" s="61" t="str">
        <f aca="false">IF(IsPro,IF($D1345="","",IF(AND(V1345&lt;&gt;"",INDEX(Parties!$E$5:$E$304,V1345)&lt;&gt;"",INDEX(Parties!$E$5:$E$304,V1345)&lt;&gt;HomeState),0,ROUND(L1345*M1345/2,2))),"")</f>
        <v/>
      </c>
      <c r="O1345" s="61" t="str">
        <f aca="false">IF(IsPro,IF($D1345="","",N1345),"")</f>
        <v/>
      </c>
      <c r="P1345" s="61" t="str">
        <f aca="false">IF(IsPro,IF($D1345="","",IF(AND(V1345&lt;&gt;"",INDEX(Parties!$E$5:$E$304,V1345)&lt;&gt;"",INDEX(Parties!$E$5:$E$304,V1345)&lt;&gt;HomeState),ROUND(L1345*M1345,2),0)),"")</f>
        <v/>
      </c>
      <c r="Q1345" s="61" t="str">
        <f aca="false">IF(IsPro,IF($D1345="","",L1345+N1345+O1345+P1345),"")</f>
        <v/>
      </c>
      <c r="R1345" s="61" t="str">
        <f aca="false">IF(IsPro,IF($D1345="","",ROUND(N($E1345)*IFERROR(INDEX(Items!$P$5:$P$504,U1345),0),2)),"")</f>
        <v/>
      </c>
      <c r="S1345" s="61" t="str">
        <f aca="false">IF(IsPro,IF($D1345="","",L1345-R1345),"")</f>
        <v/>
      </c>
      <c r="T1345" s="60" t="str">
        <f aca="false">IF(IsPro,IF($D1345="","",IF(U1345="","UNKNOWN ITEM",IF(INDEX(Items!$O$5:$O$504,U1345)&lt;0,"NEG STOCK",IF(K1345&lt;INDEX(Items!$P$5:$P$504,U1345),"BELOW COST","OK")))),IF($D1345="","","PRO PLAN"))</f>
        <v/>
      </c>
      <c r="U1345" s="60" t="str">
        <f aca="false">IF(IsPro,IF($D1345="","",IFERROR(MATCH($D1345,Items!$A$5:$A$504,0),"")),"")</f>
        <v/>
      </c>
      <c r="V1345" s="60" t="str">
        <f aca="false">IF(IsPro,IF($C1345="","",IFERROR(MATCH($C1345,Parties!$A$5:$A$304,0),"")),"")</f>
        <v/>
      </c>
      <c r="W1345" s="60" t="str">
        <f aca="false">IF(IsPro,IF($B1345="","",IFERROR(VALUE(SUBSTITUTE($B1345,InvPrefix,"")),0)),"")</f>
        <v/>
      </c>
      <c r="X1345" s="61" t="str">
        <f aca="false">IF(IsPro,IF($D1345="","",IF(OR($H1345="",$H1345="Credit"),0,Q1345)),"")</f>
        <v/>
      </c>
    </row>
    <row r="1346" customFormat="false" ht="15" hidden="false" customHeight="false" outlineLevel="0" collapsed="false">
      <c r="A1346" s="55"/>
      <c r="B1346" s="56"/>
      <c r="C1346" s="56"/>
      <c r="D1346" s="56"/>
      <c r="E1346" s="57"/>
      <c r="F1346" s="58"/>
      <c r="G1346" s="59"/>
      <c r="H1346" s="56"/>
      <c r="I1346" s="56"/>
      <c r="J1346" s="60" t="str">
        <f aca="false">IF(IsPro,IF($D1346="","",IFERROR(INDEX(Items!$D$5:$D$504,U1346),"")),"")</f>
        <v/>
      </c>
      <c r="K1346" s="61" t="str">
        <f aca="false">IF(IsPro,IF($D1346="","",IF($F1346="",IFERROR(INDEX(Items!$H$5:$H$504,U1346),0),$F1346)),"")</f>
        <v/>
      </c>
      <c r="L1346" s="61" t="str">
        <f aca="false">IF(IsPro,IF($D1346="","",ROUND(N($E1346)*K1346*(1-N($G1346)),2)),"")</f>
        <v/>
      </c>
      <c r="M1346" s="62" t="str">
        <f aca="false">IF(IsPro,IF($D1346="","",IFERROR(INDEX(Items!$F$5:$F$504,U1346),0)),"")</f>
        <v/>
      </c>
      <c r="N1346" s="61" t="str">
        <f aca="false">IF(IsPro,IF($D1346="","",IF(AND(V1346&lt;&gt;"",INDEX(Parties!$E$5:$E$304,V1346)&lt;&gt;"",INDEX(Parties!$E$5:$E$304,V1346)&lt;&gt;HomeState),0,ROUND(L1346*M1346/2,2))),"")</f>
        <v/>
      </c>
      <c r="O1346" s="61" t="str">
        <f aca="false">IF(IsPro,IF($D1346="","",N1346),"")</f>
        <v/>
      </c>
      <c r="P1346" s="61" t="str">
        <f aca="false">IF(IsPro,IF($D1346="","",IF(AND(V1346&lt;&gt;"",INDEX(Parties!$E$5:$E$304,V1346)&lt;&gt;"",INDEX(Parties!$E$5:$E$304,V1346)&lt;&gt;HomeState),ROUND(L1346*M1346,2),0)),"")</f>
        <v/>
      </c>
      <c r="Q1346" s="61" t="str">
        <f aca="false">IF(IsPro,IF($D1346="","",L1346+N1346+O1346+P1346),"")</f>
        <v/>
      </c>
      <c r="R1346" s="61" t="str">
        <f aca="false">IF(IsPro,IF($D1346="","",ROUND(N($E1346)*IFERROR(INDEX(Items!$P$5:$P$504,U1346),0),2)),"")</f>
        <v/>
      </c>
      <c r="S1346" s="61" t="str">
        <f aca="false">IF(IsPro,IF($D1346="","",L1346-R1346),"")</f>
        <v/>
      </c>
      <c r="T1346" s="60" t="str">
        <f aca="false">IF(IsPro,IF($D1346="","",IF(U1346="","UNKNOWN ITEM",IF(INDEX(Items!$O$5:$O$504,U1346)&lt;0,"NEG STOCK",IF(K1346&lt;INDEX(Items!$P$5:$P$504,U1346),"BELOW COST","OK")))),IF($D1346="","","PRO PLAN"))</f>
        <v/>
      </c>
      <c r="U1346" s="60" t="str">
        <f aca="false">IF(IsPro,IF($D1346="","",IFERROR(MATCH($D1346,Items!$A$5:$A$504,0),"")),"")</f>
        <v/>
      </c>
      <c r="V1346" s="60" t="str">
        <f aca="false">IF(IsPro,IF($C1346="","",IFERROR(MATCH($C1346,Parties!$A$5:$A$304,0),"")),"")</f>
        <v/>
      </c>
      <c r="W1346" s="60" t="str">
        <f aca="false">IF(IsPro,IF($B1346="","",IFERROR(VALUE(SUBSTITUTE($B1346,InvPrefix,"")),0)),"")</f>
        <v/>
      </c>
      <c r="X1346" s="61" t="str">
        <f aca="false">IF(IsPro,IF($D1346="","",IF(OR($H1346="",$H1346="Credit"),0,Q1346)),"")</f>
        <v/>
      </c>
    </row>
    <row r="1347" customFormat="false" ht="15" hidden="false" customHeight="false" outlineLevel="0" collapsed="false">
      <c r="A1347" s="55"/>
      <c r="B1347" s="56"/>
      <c r="C1347" s="56"/>
      <c r="D1347" s="56"/>
      <c r="E1347" s="57"/>
      <c r="F1347" s="58"/>
      <c r="G1347" s="59"/>
      <c r="H1347" s="56"/>
      <c r="I1347" s="56"/>
      <c r="J1347" s="60" t="str">
        <f aca="false">IF(IsPro,IF($D1347="","",IFERROR(INDEX(Items!$D$5:$D$504,U1347),"")),"")</f>
        <v/>
      </c>
      <c r="K1347" s="61" t="str">
        <f aca="false">IF(IsPro,IF($D1347="","",IF($F1347="",IFERROR(INDEX(Items!$H$5:$H$504,U1347),0),$F1347)),"")</f>
        <v/>
      </c>
      <c r="L1347" s="61" t="str">
        <f aca="false">IF(IsPro,IF($D1347="","",ROUND(N($E1347)*K1347*(1-N($G1347)),2)),"")</f>
        <v/>
      </c>
      <c r="M1347" s="62" t="str">
        <f aca="false">IF(IsPro,IF($D1347="","",IFERROR(INDEX(Items!$F$5:$F$504,U1347),0)),"")</f>
        <v/>
      </c>
      <c r="N1347" s="61" t="str">
        <f aca="false">IF(IsPro,IF($D1347="","",IF(AND(V1347&lt;&gt;"",INDEX(Parties!$E$5:$E$304,V1347)&lt;&gt;"",INDEX(Parties!$E$5:$E$304,V1347)&lt;&gt;HomeState),0,ROUND(L1347*M1347/2,2))),"")</f>
        <v/>
      </c>
      <c r="O1347" s="61" t="str">
        <f aca="false">IF(IsPro,IF($D1347="","",N1347),"")</f>
        <v/>
      </c>
      <c r="P1347" s="61" t="str">
        <f aca="false">IF(IsPro,IF($D1347="","",IF(AND(V1347&lt;&gt;"",INDEX(Parties!$E$5:$E$304,V1347)&lt;&gt;"",INDEX(Parties!$E$5:$E$304,V1347)&lt;&gt;HomeState),ROUND(L1347*M1347,2),0)),"")</f>
        <v/>
      </c>
      <c r="Q1347" s="61" t="str">
        <f aca="false">IF(IsPro,IF($D1347="","",L1347+N1347+O1347+P1347),"")</f>
        <v/>
      </c>
      <c r="R1347" s="61" t="str">
        <f aca="false">IF(IsPro,IF($D1347="","",ROUND(N($E1347)*IFERROR(INDEX(Items!$P$5:$P$504,U1347),0),2)),"")</f>
        <v/>
      </c>
      <c r="S1347" s="61" t="str">
        <f aca="false">IF(IsPro,IF($D1347="","",L1347-R1347),"")</f>
        <v/>
      </c>
      <c r="T1347" s="60" t="str">
        <f aca="false">IF(IsPro,IF($D1347="","",IF(U1347="","UNKNOWN ITEM",IF(INDEX(Items!$O$5:$O$504,U1347)&lt;0,"NEG STOCK",IF(K1347&lt;INDEX(Items!$P$5:$P$504,U1347),"BELOW COST","OK")))),IF($D1347="","","PRO PLAN"))</f>
        <v/>
      </c>
      <c r="U1347" s="60" t="str">
        <f aca="false">IF(IsPro,IF($D1347="","",IFERROR(MATCH($D1347,Items!$A$5:$A$504,0),"")),"")</f>
        <v/>
      </c>
      <c r="V1347" s="60" t="str">
        <f aca="false">IF(IsPro,IF($C1347="","",IFERROR(MATCH($C1347,Parties!$A$5:$A$304,0),"")),"")</f>
        <v/>
      </c>
      <c r="W1347" s="60" t="str">
        <f aca="false">IF(IsPro,IF($B1347="","",IFERROR(VALUE(SUBSTITUTE($B1347,InvPrefix,"")),0)),"")</f>
        <v/>
      </c>
      <c r="X1347" s="61" t="str">
        <f aca="false">IF(IsPro,IF($D1347="","",IF(OR($H1347="",$H1347="Credit"),0,Q1347)),"")</f>
        <v/>
      </c>
    </row>
    <row r="1348" customFormat="false" ht="15" hidden="false" customHeight="false" outlineLevel="0" collapsed="false">
      <c r="A1348" s="55"/>
      <c r="B1348" s="56"/>
      <c r="C1348" s="56"/>
      <c r="D1348" s="56"/>
      <c r="E1348" s="57"/>
      <c r="F1348" s="58"/>
      <c r="G1348" s="59"/>
      <c r="H1348" s="56"/>
      <c r="I1348" s="56"/>
      <c r="J1348" s="60" t="str">
        <f aca="false">IF(IsPro,IF($D1348="","",IFERROR(INDEX(Items!$D$5:$D$504,U1348),"")),"")</f>
        <v/>
      </c>
      <c r="K1348" s="61" t="str">
        <f aca="false">IF(IsPro,IF($D1348="","",IF($F1348="",IFERROR(INDEX(Items!$H$5:$H$504,U1348),0),$F1348)),"")</f>
        <v/>
      </c>
      <c r="L1348" s="61" t="str">
        <f aca="false">IF(IsPro,IF($D1348="","",ROUND(N($E1348)*K1348*(1-N($G1348)),2)),"")</f>
        <v/>
      </c>
      <c r="M1348" s="62" t="str">
        <f aca="false">IF(IsPro,IF($D1348="","",IFERROR(INDEX(Items!$F$5:$F$504,U1348),0)),"")</f>
        <v/>
      </c>
      <c r="N1348" s="61" t="str">
        <f aca="false">IF(IsPro,IF($D1348="","",IF(AND(V1348&lt;&gt;"",INDEX(Parties!$E$5:$E$304,V1348)&lt;&gt;"",INDEX(Parties!$E$5:$E$304,V1348)&lt;&gt;HomeState),0,ROUND(L1348*M1348/2,2))),"")</f>
        <v/>
      </c>
      <c r="O1348" s="61" t="str">
        <f aca="false">IF(IsPro,IF($D1348="","",N1348),"")</f>
        <v/>
      </c>
      <c r="P1348" s="61" t="str">
        <f aca="false">IF(IsPro,IF($D1348="","",IF(AND(V1348&lt;&gt;"",INDEX(Parties!$E$5:$E$304,V1348)&lt;&gt;"",INDEX(Parties!$E$5:$E$304,V1348)&lt;&gt;HomeState),ROUND(L1348*M1348,2),0)),"")</f>
        <v/>
      </c>
      <c r="Q1348" s="61" t="str">
        <f aca="false">IF(IsPro,IF($D1348="","",L1348+N1348+O1348+P1348),"")</f>
        <v/>
      </c>
      <c r="R1348" s="61" t="str">
        <f aca="false">IF(IsPro,IF($D1348="","",ROUND(N($E1348)*IFERROR(INDEX(Items!$P$5:$P$504,U1348),0),2)),"")</f>
        <v/>
      </c>
      <c r="S1348" s="61" t="str">
        <f aca="false">IF(IsPro,IF($D1348="","",L1348-R1348),"")</f>
        <v/>
      </c>
      <c r="T1348" s="60" t="str">
        <f aca="false">IF(IsPro,IF($D1348="","",IF(U1348="","UNKNOWN ITEM",IF(INDEX(Items!$O$5:$O$504,U1348)&lt;0,"NEG STOCK",IF(K1348&lt;INDEX(Items!$P$5:$P$504,U1348),"BELOW COST","OK")))),IF($D1348="","","PRO PLAN"))</f>
        <v/>
      </c>
      <c r="U1348" s="60" t="str">
        <f aca="false">IF(IsPro,IF($D1348="","",IFERROR(MATCH($D1348,Items!$A$5:$A$504,0),"")),"")</f>
        <v/>
      </c>
      <c r="V1348" s="60" t="str">
        <f aca="false">IF(IsPro,IF($C1348="","",IFERROR(MATCH($C1348,Parties!$A$5:$A$304,0),"")),"")</f>
        <v/>
      </c>
      <c r="W1348" s="60" t="str">
        <f aca="false">IF(IsPro,IF($B1348="","",IFERROR(VALUE(SUBSTITUTE($B1348,InvPrefix,"")),0)),"")</f>
        <v/>
      </c>
      <c r="X1348" s="61" t="str">
        <f aca="false">IF(IsPro,IF($D1348="","",IF(OR($H1348="",$H1348="Credit"),0,Q1348)),"")</f>
        <v/>
      </c>
    </row>
    <row r="1349" customFormat="false" ht="15" hidden="false" customHeight="false" outlineLevel="0" collapsed="false">
      <c r="A1349" s="55"/>
      <c r="B1349" s="56"/>
      <c r="C1349" s="56"/>
      <c r="D1349" s="56"/>
      <c r="E1349" s="57"/>
      <c r="F1349" s="58"/>
      <c r="G1349" s="59"/>
      <c r="H1349" s="56"/>
      <c r="I1349" s="56"/>
      <c r="J1349" s="60" t="str">
        <f aca="false">IF(IsPro,IF($D1349="","",IFERROR(INDEX(Items!$D$5:$D$504,U1349),"")),"")</f>
        <v/>
      </c>
      <c r="K1349" s="61" t="str">
        <f aca="false">IF(IsPro,IF($D1349="","",IF($F1349="",IFERROR(INDEX(Items!$H$5:$H$504,U1349),0),$F1349)),"")</f>
        <v/>
      </c>
      <c r="L1349" s="61" t="str">
        <f aca="false">IF(IsPro,IF($D1349="","",ROUND(N($E1349)*K1349*(1-N($G1349)),2)),"")</f>
        <v/>
      </c>
      <c r="M1349" s="62" t="str">
        <f aca="false">IF(IsPro,IF($D1349="","",IFERROR(INDEX(Items!$F$5:$F$504,U1349),0)),"")</f>
        <v/>
      </c>
      <c r="N1349" s="61" t="str">
        <f aca="false">IF(IsPro,IF($D1349="","",IF(AND(V1349&lt;&gt;"",INDEX(Parties!$E$5:$E$304,V1349)&lt;&gt;"",INDEX(Parties!$E$5:$E$304,V1349)&lt;&gt;HomeState),0,ROUND(L1349*M1349/2,2))),"")</f>
        <v/>
      </c>
      <c r="O1349" s="61" t="str">
        <f aca="false">IF(IsPro,IF($D1349="","",N1349),"")</f>
        <v/>
      </c>
      <c r="P1349" s="61" t="str">
        <f aca="false">IF(IsPro,IF($D1349="","",IF(AND(V1349&lt;&gt;"",INDEX(Parties!$E$5:$E$304,V1349)&lt;&gt;"",INDEX(Parties!$E$5:$E$304,V1349)&lt;&gt;HomeState),ROUND(L1349*M1349,2),0)),"")</f>
        <v/>
      </c>
      <c r="Q1349" s="61" t="str">
        <f aca="false">IF(IsPro,IF($D1349="","",L1349+N1349+O1349+P1349),"")</f>
        <v/>
      </c>
      <c r="R1349" s="61" t="str">
        <f aca="false">IF(IsPro,IF($D1349="","",ROUND(N($E1349)*IFERROR(INDEX(Items!$P$5:$P$504,U1349),0),2)),"")</f>
        <v/>
      </c>
      <c r="S1349" s="61" t="str">
        <f aca="false">IF(IsPro,IF($D1349="","",L1349-R1349),"")</f>
        <v/>
      </c>
      <c r="T1349" s="60" t="str">
        <f aca="false">IF(IsPro,IF($D1349="","",IF(U1349="","UNKNOWN ITEM",IF(INDEX(Items!$O$5:$O$504,U1349)&lt;0,"NEG STOCK",IF(K1349&lt;INDEX(Items!$P$5:$P$504,U1349),"BELOW COST","OK")))),IF($D1349="","","PRO PLAN"))</f>
        <v/>
      </c>
      <c r="U1349" s="60" t="str">
        <f aca="false">IF(IsPro,IF($D1349="","",IFERROR(MATCH($D1349,Items!$A$5:$A$504,0),"")),"")</f>
        <v/>
      </c>
      <c r="V1349" s="60" t="str">
        <f aca="false">IF(IsPro,IF($C1349="","",IFERROR(MATCH($C1349,Parties!$A$5:$A$304,0),"")),"")</f>
        <v/>
      </c>
      <c r="W1349" s="60" t="str">
        <f aca="false">IF(IsPro,IF($B1349="","",IFERROR(VALUE(SUBSTITUTE($B1349,InvPrefix,"")),0)),"")</f>
        <v/>
      </c>
      <c r="X1349" s="61" t="str">
        <f aca="false">IF(IsPro,IF($D1349="","",IF(OR($H1349="",$H1349="Credit"),0,Q1349)),"")</f>
        <v/>
      </c>
    </row>
    <row r="1350" customFormat="false" ht="15" hidden="false" customHeight="false" outlineLevel="0" collapsed="false">
      <c r="A1350" s="55"/>
      <c r="B1350" s="56"/>
      <c r="C1350" s="56"/>
      <c r="D1350" s="56"/>
      <c r="E1350" s="57"/>
      <c r="F1350" s="58"/>
      <c r="G1350" s="59"/>
      <c r="H1350" s="56"/>
      <c r="I1350" s="56"/>
      <c r="J1350" s="60" t="str">
        <f aca="false">IF(IsPro,IF($D1350="","",IFERROR(INDEX(Items!$D$5:$D$504,U1350),"")),"")</f>
        <v/>
      </c>
      <c r="K1350" s="61" t="str">
        <f aca="false">IF(IsPro,IF($D1350="","",IF($F1350="",IFERROR(INDEX(Items!$H$5:$H$504,U1350),0),$F1350)),"")</f>
        <v/>
      </c>
      <c r="L1350" s="61" t="str">
        <f aca="false">IF(IsPro,IF($D1350="","",ROUND(N($E1350)*K1350*(1-N($G1350)),2)),"")</f>
        <v/>
      </c>
      <c r="M1350" s="62" t="str">
        <f aca="false">IF(IsPro,IF($D1350="","",IFERROR(INDEX(Items!$F$5:$F$504,U1350),0)),"")</f>
        <v/>
      </c>
      <c r="N1350" s="61" t="str">
        <f aca="false">IF(IsPro,IF($D1350="","",IF(AND(V1350&lt;&gt;"",INDEX(Parties!$E$5:$E$304,V1350)&lt;&gt;"",INDEX(Parties!$E$5:$E$304,V1350)&lt;&gt;HomeState),0,ROUND(L1350*M1350/2,2))),"")</f>
        <v/>
      </c>
      <c r="O1350" s="61" t="str">
        <f aca="false">IF(IsPro,IF($D1350="","",N1350),"")</f>
        <v/>
      </c>
      <c r="P1350" s="61" t="str">
        <f aca="false">IF(IsPro,IF($D1350="","",IF(AND(V1350&lt;&gt;"",INDEX(Parties!$E$5:$E$304,V1350)&lt;&gt;"",INDEX(Parties!$E$5:$E$304,V1350)&lt;&gt;HomeState),ROUND(L1350*M1350,2),0)),"")</f>
        <v/>
      </c>
      <c r="Q1350" s="61" t="str">
        <f aca="false">IF(IsPro,IF($D1350="","",L1350+N1350+O1350+P1350),"")</f>
        <v/>
      </c>
      <c r="R1350" s="61" t="str">
        <f aca="false">IF(IsPro,IF($D1350="","",ROUND(N($E1350)*IFERROR(INDEX(Items!$P$5:$P$504,U1350),0),2)),"")</f>
        <v/>
      </c>
      <c r="S1350" s="61" t="str">
        <f aca="false">IF(IsPro,IF($D1350="","",L1350-R1350),"")</f>
        <v/>
      </c>
      <c r="T1350" s="60" t="str">
        <f aca="false">IF(IsPro,IF($D1350="","",IF(U1350="","UNKNOWN ITEM",IF(INDEX(Items!$O$5:$O$504,U1350)&lt;0,"NEG STOCK",IF(K1350&lt;INDEX(Items!$P$5:$P$504,U1350),"BELOW COST","OK")))),IF($D1350="","","PRO PLAN"))</f>
        <v/>
      </c>
      <c r="U1350" s="60" t="str">
        <f aca="false">IF(IsPro,IF($D1350="","",IFERROR(MATCH($D1350,Items!$A$5:$A$504,0),"")),"")</f>
        <v/>
      </c>
      <c r="V1350" s="60" t="str">
        <f aca="false">IF(IsPro,IF($C1350="","",IFERROR(MATCH($C1350,Parties!$A$5:$A$304,0),"")),"")</f>
        <v/>
      </c>
      <c r="W1350" s="60" t="str">
        <f aca="false">IF(IsPro,IF($B1350="","",IFERROR(VALUE(SUBSTITUTE($B1350,InvPrefix,"")),0)),"")</f>
        <v/>
      </c>
      <c r="X1350" s="61" t="str">
        <f aca="false">IF(IsPro,IF($D1350="","",IF(OR($H1350="",$H1350="Credit"),0,Q1350)),"")</f>
        <v/>
      </c>
    </row>
    <row r="1351" customFormat="false" ht="15" hidden="false" customHeight="false" outlineLevel="0" collapsed="false">
      <c r="A1351" s="55"/>
      <c r="B1351" s="56"/>
      <c r="C1351" s="56"/>
      <c r="D1351" s="56"/>
      <c r="E1351" s="57"/>
      <c r="F1351" s="58"/>
      <c r="G1351" s="59"/>
      <c r="H1351" s="56"/>
      <c r="I1351" s="56"/>
      <c r="J1351" s="60" t="str">
        <f aca="false">IF(IsPro,IF($D1351="","",IFERROR(INDEX(Items!$D$5:$D$504,U1351),"")),"")</f>
        <v/>
      </c>
      <c r="K1351" s="61" t="str">
        <f aca="false">IF(IsPro,IF($D1351="","",IF($F1351="",IFERROR(INDEX(Items!$H$5:$H$504,U1351),0),$F1351)),"")</f>
        <v/>
      </c>
      <c r="L1351" s="61" t="str">
        <f aca="false">IF(IsPro,IF($D1351="","",ROUND(N($E1351)*K1351*(1-N($G1351)),2)),"")</f>
        <v/>
      </c>
      <c r="M1351" s="62" t="str">
        <f aca="false">IF(IsPro,IF($D1351="","",IFERROR(INDEX(Items!$F$5:$F$504,U1351),0)),"")</f>
        <v/>
      </c>
      <c r="N1351" s="61" t="str">
        <f aca="false">IF(IsPro,IF($D1351="","",IF(AND(V1351&lt;&gt;"",INDEX(Parties!$E$5:$E$304,V1351)&lt;&gt;"",INDEX(Parties!$E$5:$E$304,V1351)&lt;&gt;HomeState),0,ROUND(L1351*M1351/2,2))),"")</f>
        <v/>
      </c>
      <c r="O1351" s="61" t="str">
        <f aca="false">IF(IsPro,IF($D1351="","",N1351),"")</f>
        <v/>
      </c>
      <c r="P1351" s="61" t="str">
        <f aca="false">IF(IsPro,IF($D1351="","",IF(AND(V1351&lt;&gt;"",INDEX(Parties!$E$5:$E$304,V1351)&lt;&gt;"",INDEX(Parties!$E$5:$E$304,V1351)&lt;&gt;HomeState),ROUND(L1351*M1351,2),0)),"")</f>
        <v/>
      </c>
      <c r="Q1351" s="61" t="str">
        <f aca="false">IF(IsPro,IF($D1351="","",L1351+N1351+O1351+P1351),"")</f>
        <v/>
      </c>
      <c r="R1351" s="61" t="str">
        <f aca="false">IF(IsPro,IF($D1351="","",ROUND(N($E1351)*IFERROR(INDEX(Items!$P$5:$P$504,U1351),0),2)),"")</f>
        <v/>
      </c>
      <c r="S1351" s="61" t="str">
        <f aca="false">IF(IsPro,IF($D1351="","",L1351-R1351),"")</f>
        <v/>
      </c>
      <c r="T1351" s="60" t="str">
        <f aca="false">IF(IsPro,IF($D1351="","",IF(U1351="","UNKNOWN ITEM",IF(INDEX(Items!$O$5:$O$504,U1351)&lt;0,"NEG STOCK",IF(K1351&lt;INDEX(Items!$P$5:$P$504,U1351),"BELOW COST","OK")))),IF($D1351="","","PRO PLAN"))</f>
        <v/>
      </c>
      <c r="U1351" s="60" t="str">
        <f aca="false">IF(IsPro,IF($D1351="","",IFERROR(MATCH($D1351,Items!$A$5:$A$504,0),"")),"")</f>
        <v/>
      </c>
      <c r="V1351" s="60" t="str">
        <f aca="false">IF(IsPro,IF($C1351="","",IFERROR(MATCH($C1351,Parties!$A$5:$A$304,0),"")),"")</f>
        <v/>
      </c>
      <c r="W1351" s="60" t="str">
        <f aca="false">IF(IsPro,IF($B1351="","",IFERROR(VALUE(SUBSTITUTE($B1351,InvPrefix,"")),0)),"")</f>
        <v/>
      </c>
      <c r="X1351" s="61" t="str">
        <f aca="false">IF(IsPro,IF($D1351="","",IF(OR($H1351="",$H1351="Credit"),0,Q1351)),"")</f>
        <v/>
      </c>
    </row>
    <row r="1352" customFormat="false" ht="15" hidden="false" customHeight="false" outlineLevel="0" collapsed="false">
      <c r="A1352" s="55"/>
      <c r="B1352" s="56"/>
      <c r="C1352" s="56"/>
      <c r="D1352" s="56"/>
      <c r="E1352" s="57"/>
      <c r="F1352" s="58"/>
      <c r="G1352" s="59"/>
      <c r="H1352" s="56"/>
      <c r="I1352" s="56"/>
      <c r="J1352" s="60" t="str">
        <f aca="false">IF(IsPro,IF($D1352="","",IFERROR(INDEX(Items!$D$5:$D$504,U1352),"")),"")</f>
        <v/>
      </c>
      <c r="K1352" s="61" t="str">
        <f aca="false">IF(IsPro,IF($D1352="","",IF($F1352="",IFERROR(INDEX(Items!$H$5:$H$504,U1352),0),$F1352)),"")</f>
        <v/>
      </c>
      <c r="L1352" s="61" t="str">
        <f aca="false">IF(IsPro,IF($D1352="","",ROUND(N($E1352)*K1352*(1-N($G1352)),2)),"")</f>
        <v/>
      </c>
      <c r="M1352" s="62" t="str">
        <f aca="false">IF(IsPro,IF($D1352="","",IFERROR(INDEX(Items!$F$5:$F$504,U1352),0)),"")</f>
        <v/>
      </c>
      <c r="N1352" s="61" t="str">
        <f aca="false">IF(IsPro,IF($D1352="","",IF(AND(V1352&lt;&gt;"",INDEX(Parties!$E$5:$E$304,V1352)&lt;&gt;"",INDEX(Parties!$E$5:$E$304,V1352)&lt;&gt;HomeState),0,ROUND(L1352*M1352/2,2))),"")</f>
        <v/>
      </c>
      <c r="O1352" s="61" t="str">
        <f aca="false">IF(IsPro,IF($D1352="","",N1352),"")</f>
        <v/>
      </c>
      <c r="P1352" s="61" t="str">
        <f aca="false">IF(IsPro,IF($D1352="","",IF(AND(V1352&lt;&gt;"",INDEX(Parties!$E$5:$E$304,V1352)&lt;&gt;"",INDEX(Parties!$E$5:$E$304,V1352)&lt;&gt;HomeState),ROUND(L1352*M1352,2),0)),"")</f>
        <v/>
      </c>
      <c r="Q1352" s="61" t="str">
        <f aca="false">IF(IsPro,IF($D1352="","",L1352+N1352+O1352+P1352),"")</f>
        <v/>
      </c>
      <c r="R1352" s="61" t="str">
        <f aca="false">IF(IsPro,IF($D1352="","",ROUND(N($E1352)*IFERROR(INDEX(Items!$P$5:$P$504,U1352),0),2)),"")</f>
        <v/>
      </c>
      <c r="S1352" s="61" t="str">
        <f aca="false">IF(IsPro,IF($D1352="","",L1352-R1352),"")</f>
        <v/>
      </c>
      <c r="T1352" s="60" t="str">
        <f aca="false">IF(IsPro,IF($D1352="","",IF(U1352="","UNKNOWN ITEM",IF(INDEX(Items!$O$5:$O$504,U1352)&lt;0,"NEG STOCK",IF(K1352&lt;INDEX(Items!$P$5:$P$504,U1352),"BELOW COST","OK")))),IF($D1352="","","PRO PLAN"))</f>
        <v/>
      </c>
      <c r="U1352" s="60" t="str">
        <f aca="false">IF(IsPro,IF($D1352="","",IFERROR(MATCH($D1352,Items!$A$5:$A$504,0),"")),"")</f>
        <v/>
      </c>
      <c r="V1352" s="60" t="str">
        <f aca="false">IF(IsPro,IF($C1352="","",IFERROR(MATCH($C1352,Parties!$A$5:$A$304,0),"")),"")</f>
        <v/>
      </c>
      <c r="W1352" s="60" t="str">
        <f aca="false">IF(IsPro,IF($B1352="","",IFERROR(VALUE(SUBSTITUTE($B1352,InvPrefix,"")),0)),"")</f>
        <v/>
      </c>
      <c r="X1352" s="61" t="str">
        <f aca="false">IF(IsPro,IF($D1352="","",IF(OR($H1352="",$H1352="Credit"),0,Q1352)),"")</f>
        <v/>
      </c>
    </row>
    <row r="1353" customFormat="false" ht="15" hidden="false" customHeight="false" outlineLevel="0" collapsed="false">
      <c r="A1353" s="55"/>
      <c r="B1353" s="56"/>
      <c r="C1353" s="56"/>
      <c r="D1353" s="56"/>
      <c r="E1353" s="57"/>
      <c r="F1353" s="58"/>
      <c r="G1353" s="59"/>
      <c r="H1353" s="56"/>
      <c r="I1353" s="56"/>
      <c r="J1353" s="60" t="str">
        <f aca="false">IF(IsPro,IF($D1353="","",IFERROR(INDEX(Items!$D$5:$D$504,U1353),"")),"")</f>
        <v/>
      </c>
      <c r="K1353" s="61" t="str">
        <f aca="false">IF(IsPro,IF($D1353="","",IF($F1353="",IFERROR(INDEX(Items!$H$5:$H$504,U1353),0),$F1353)),"")</f>
        <v/>
      </c>
      <c r="L1353" s="61" t="str">
        <f aca="false">IF(IsPro,IF($D1353="","",ROUND(N($E1353)*K1353*(1-N($G1353)),2)),"")</f>
        <v/>
      </c>
      <c r="M1353" s="62" t="str">
        <f aca="false">IF(IsPro,IF($D1353="","",IFERROR(INDEX(Items!$F$5:$F$504,U1353),0)),"")</f>
        <v/>
      </c>
      <c r="N1353" s="61" t="str">
        <f aca="false">IF(IsPro,IF($D1353="","",IF(AND(V1353&lt;&gt;"",INDEX(Parties!$E$5:$E$304,V1353)&lt;&gt;"",INDEX(Parties!$E$5:$E$304,V1353)&lt;&gt;HomeState),0,ROUND(L1353*M1353/2,2))),"")</f>
        <v/>
      </c>
      <c r="O1353" s="61" t="str">
        <f aca="false">IF(IsPro,IF($D1353="","",N1353),"")</f>
        <v/>
      </c>
      <c r="P1353" s="61" t="str">
        <f aca="false">IF(IsPro,IF($D1353="","",IF(AND(V1353&lt;&gt;"",INDEX(Parties!$E$5:$E$304,V1353)&lt;&gt;"",INDEX(Parties!$E$5:$E$304,V1353)&lt;&gt;HomeState),ROUND(L1353*M1353,2),0)),"")</f>
        <v/>
      </c>
      <c r="Q1353" s="61" t="str">
        <f aca="false">IF(IsPro,IF($D1353="","",L1353+N1353+O1353+P1353),"")</f>
        <v/>
      </c>
      <c r="R1353" s="61" t="str">
        <f aca="false">IF(IsPro,IF($D1353="","",ROUND(N($E1353)*IFERROR(INDEX(Items!$P$5:$P$504,U1353),0),2)),"")</f>
        <v/>
      </c>
      <c r="S1353" s="61" t="str">
        <f aca="false">IF(IsPro,IF($D1353="","",L1353-R1353),"")</f>
        <v/>
      </c>
      <c r="T1353" s="60" t="str">
        <f aca="false">IF(IsPro,IF($D1353="","",IF(U1353="","UNKNOWN ITEM",IF(INDEX(Items!$O$5:$O$504,U1353)&lt;0,"NEG STOCK",IF(K1353&lt;INDEX(Items!$P$5:$P$504,U1353),"BELOW COST","OK")))),IF($D1353="","","PRO PLAN"))</f>
        <v/>
      </c>
      <c r="U1353" s="60" t="str">
        <f aca="false">IF(IsPro,IF($D1353="","",IFERROR(MATCH($D1353,Items!$A$5:$A$504,0),"")),"")</f>
        <v/>
      </c>
      <c r="V1353" s="60" t="str">
        <f aca="false">IF(IsPro,IF($C1353="","",IFERROR(MATCH($C1353,Parties!$A$5:$A$304,0),"")),"")</f>
        <v/>
      </c>
      <c r="W1353" s="60" t="str">
        <f aca="false">IF(IsPro,IF($B1353="","",IFERROR(VALUE(SUBSTITUTE($B1353,InvPrefix,"")),0)),"")</f>
        <v/>
      </c>
      <c r="X1353" s="61" t="str">
        <f aca="false">IF(IsPro,IF($D1353="","",IF(OR($H1353="",$H1353="Credit"),0,Q1353)),"")</f>
        <v/>
      </c>
    </row>
    <row r="1354" customFormat="false" ht="15" hidden="false" customHeight="false" outlineLevel="0" collapsed="false">
      <c r="A1354" s="55"/>
      <c r="B1354" s="56"/>
      <c r="C1354" s="56"/>
      <c r="D1354" s="56"/>
      <c r="E1354" s="57"/>
      <c r="F1354" s="58"/>
      <c r="G1354" s="59"/>
      <c r="H1354" s="56"/>
      <c r="I1354" s="56"/>
      <c r="J1354" s="60" t="str">
        <f aca="false">IF(IsPro,IF($D1354="","",IFERROR(INDEX(Items!$D$5:$D$504,U1354),"")),"")</f>
        <v/>
      </c>
      <c r="K1354" s="61" t="str">
        <f aca="false">IF(IsPro,IF($D1354="","",IF($F1354="",IFERROR(INDEX(Items!$H$5:$H$504,U1354),0),$F1354)),"")</f>
        <v/>
      </c>
      <c r="L1354" s="61" t="str">
        <f aca="false">IF(IsPro,IF($D1354="","",ROUND(N($E1354)*K1354*(1-N($G1354)),2)),"")</f>
        <v/>
      </c>
      <c r="M1354" s="62" t="str">
        <f aca="false">IF(IsPro,IF($D1354="","",IFERROR(INDEX(Items!$F$5:$F$504,U1354),0)),"")</f>
        <v/>
      </c>
      <c r="N1354" s="61" t="str">
        <f aca="false">IF(IsPro,IF($D1354="","",IF(AND(V1354&lt;&gt;"",INDEX(Parties!$E$5:$E$304,V1354)&lt;&gt;"",INDEX(Parties!$E$5:$E$304,V1354)&lt;&gt;HomeState),0,ROUND(L1354*M1354/2,2))),"")</f>
        <v/>
      </c>
      <c r="O1354" s="61" t="str">
        <f aca="false">IF(IsPro,IF($D1354="","",N1354),"")</f>
        <v/>
      </c>
      <c r="P1354" s="61" t="str">
        <f aca="false">IF(IsPro,IF($D1354="","",IF(AND(V1354&lt;&gt;"",INDEX(Parties!$E$5:$E$304,V1354)&lt;&gt;"",INDEX(Parties!$E$5:$E$304,V1354)&lt;&gt;HomeState),ROUND(L1354*M1354,2),0)),"")</f>
        <v/>
      </c>
      <c r="Q1354" s="61" t="str">
        <f aca="false">IF(IsPro,IF($D1354="","",L1354+N1354+O1354+P1354),"")</f>
        <v/>
      </c>
      <c r="R1354" s="61" t="str">
        <f aca="false">IF(IsPro,IF($D1354="","",ROUND(N($E1354)*IFERROR(INDEX(Items!$P$5:$P$504,U1354),0),2)),"")</f>
        <v/>
      </c>
      <c r="S1354" s="61" t="str">
        <f aca="false">IF(IsPro,IF($D1354="","",L1354-R1354),"")</f>
        <v/>
      </c>
      <c r="T1354" s="60" t="str">
        <f aca="false">IF(IsPro,IF($D1354="","",IF(U1354="","UNKNOWN ITEM",IF(INDEX(Items!$O$5:$O$504,U1354)&lt;0,"NEG STOCK",IF(K1354&lt;INDEX(Items!$P$5:$P$504,U1354),"BELOW COST","OK")))),IF($D1354="","","PRO PLAN"))</f>
        <v/>
      </c>
      <c r="U1354" s="60" t="str">
        <f aca="false">IF(IsPro,IF($D1354="","",IFERROR(MATCH($D1354,Items!$A$5:$A$504,0),"")),"")</f>
        <v/>
      </c>
      <c r="V1354" s="60" t="str">
        <f aca="false">IF(IsPro,IF($C1354="","",IFERROR(MATCH($C1354,Parties!$A$5:$A$304,0),"")),"")</f>
        <v/>
      </c>
      <c r="W1354" s="60" t="str">
        <f aca="false">IF(IsPro,IF($B1354="","",IFERROR(VALUE(SUBSTITUTE($B1354,InvPrefix,"")),0)),"")</f>
        <v/>
      </c>
      <c r="X1354" s="61" t="str">
        <f aca="false">IF(IsPro,IF($D1354="","",IF(OR($H1354="",$H1354="Credit"),0,Q1354)),"")</f>
        <v/>
      </c>
    </row>
    <row r="1355" customFormat="false" ht="15" hidden="false" customHeight="false" outlineLevel="0" collapsed="false">
      <c r="A1355" s="55"/>
      <c r="B1355" s="56"/>
      <c r="C1355" s="56"/>
      <c r="D1355" s="56"/>
      <c r="E1355" s="57"/>
      <c r="F1355" s="58"/>
      <c r="G1355" s="59"/>
      <c r="H1355" s="56"/>
      <c r="I1355" s="56"/>
      <c r="J1355" s="60" t="str">
        <f aca="false">IF(IsPro,IF($D1355="","",IFERROR(INDEX(Items!$D$5:$D$504,U1355),"")),"")</f>
        <v/>
      </c>
      <c r="K1355" s="61" t="str">
        <f aca="false">IF(IsPro,IF($D1355="","",IF($F1355="",IFERROR(INDEX(Items!$H$5:$H$504,U1355),0),$F1355)),"")</f>
        <v/>
      </c>
      <c r="L1355" s="61" t="str">
        <f aca="false">IF(IsPro,IF($D1355="","",ROUND(N($E1355)*K1355*(1-N($G1355)),2)),"")</f>
        <v/>
      </c>
      <c r="M1355" s="62" t="str">
        <f aca="false">IF(IsPro,IF($D1355="","",IFERROR(INDEX(Items!$F$5:$F$504,U1355),0)),"")</f>
        <v/>
      </c>
      <c r="N1355" s="61" t="str">
        <f aca="false">IF(IsPro,IF($D1355="","",IF(AND(V1355&lt;&gt;"",INDEX(Parties!$E$5:$E$304,V1355)&lt;&gt;"",INDEX(Parties!$E$5:$E$304,V1355)&lt;&gt;HomeState),0,ROUND(L1355*M1355/2,2))),"")</f>
        <v/>
      </c>
      <c r="O1355" s="61" t="str">
        <f aca="false">IF(IsPro,IF($D1355="","",N1355),"")</f>
        <v/>
      </c>
      <c r="P1355" s="61" t="str">
        <f aca="false">IF(IsPro,IF($D1355="","",IF(AND(V1355&lt;&gt;"",INDEX(Parties!$E$5:$E$304,V1355)&lt;&gt;"",INDEX(Parties!$E$5:$E$304,V1355)&lt;&gt;HomeState),ROUND(L1355*M1355,2),0)),"")</f>
        <v/>
      </c>
      <c r="Q1355" s="61" t="str">
        <f aca="false">IF(IsPro,IF($D1355="","",L1355+N1355+O1355+P1355),"")</f>
        <v/>
      </c>
      <c r="R1355" s="61" t="str">
        <f aca="false">IF(IsPro,IF($D1355="","",ROUND(N($E1355)*IFERROR(INDEX(Items!$P$5:$P$504,U1355),0),2)),"")</f>
        <v/>
      </c>
      <c r="S1355" s="61" t="str">
        <f aca="false">IF(IsPro,IF($D1355="","",L1355-R1355),"")</f>
        <v/>
      </c>
      <c r="T1355" s="60" t="str">
        <f aca="false">IF(IsPro,IF($D1355="","",IF(U1355="","UNKNOWN ITEM",IF(INDEX(Items!$O$5:$O$504,U1355)&lt;0,"NEG STOCK",IF(K1355&lt;INDEX(Items!$P$5:$P$504,U1355),"BELOW COST","OK")))),IF($D1355="","","PRO PLAN"))</f>
        <v/>
      </c>
      <c r="U1355" s="60" t="str">
        <f aca="false">IF(IsPro,IF($D1355="","",IFERROR(MATCH($D1355,Items!$A$5:$A$504,0),"")),"")</f>
        <v/>
      </c>
      <c r="V1355" s="60" t="str">
        <f aca="false">IF(IsPro,IF($C1355="","",IFERROR(MATCH($C1355,Parties!$A$5:$A$304,0),"")),"")</f>
        <v/>
      </c>
      <c r="W1355" s="60" t="str">
        <f aca="false">IF(IsPro,IF($B1355="","",IFERROR(VALUE(SUBSTITUTE($B1355,InvPrefix,"")),0)),"")</f>
        <v/>
      </c>
      <c r="X1355" s="61" t="str">
        <f aca="false">IF(IsPro,IF($D1355="","",IF(OR($H1355="",$H1355="Credit"),0,Q1355)),"")</f>
        <v/>
      </c>
    </row>
    <row r="1356" customFormat="false" ht="15" hidden="false" customHeight="false" outlineLevel="0" collapsed="false">
      <c r="A1356" s="55"/>
      <c r="B1356" s="56"/>
      <c r="C1356" s="56"/>
      <c r="D1356" s="56"/>
      <c r="E1356" s="57"/>
      <c r="F1356" s="58"/>
      <c r="G1356" s="59"/>
      <c r="H1356" s="56"/>
      <c r="I1356" s="56"/>
      <c r="J1356" s="60" t="str">
        <f aca="false">IF(IsPro,IF($D1356="","",IFERROR(INDEX(Items!$D$5:$D$504,U1356),"")),"")</f>
        <v/>
      </c>
      <c r="K1356" s="61" t="str">
        <f aca="false">IF(IsPro,IF($D1356="","",IF($F1356="",IFERROR(INDEX(Items!$H$5:$H$504,U1356),0),$F1356)),"")</f>
        <v/>
      </c>
      <c r="L1356" s="61" t="str">
        <f aca="false">IF(IsPro,IF($D1356="","",ROUND(N($E1356)*K1356*(1-N($G1356)),2)),"")</f>
        <v/>
      </c>
      <c r="M1356" s="62" t="str">
        <f aca="false">IF(IsPro,IF($D1356="","",IFERROR(INDEX(Items!$F$5:$F$504,U1356),0)),"")</f>
        <v/>
      </c>
      <c r="N1356" s="61" t="str">
        <f aca="false">IF(IsPro,IF($D1356="","",IF(AND(V1356&lt;&gt;"",INDEX(Parties!$E$5:$E$304,V1356)&lt;&gt;"",INDEX(Parties!$E$5:$E$304,V1356)&lt;&gt;HomeState),0,ROUND(L1356*M1356/2,2))),"")</f>
        <v/>
      </c>
      <c r="O1356" s="61" t="str">
        <f aca="false">IF(IsPro,IF($D1356="","",N1356),"")</f>
        <v/>
      </c>
      <c r="P1356" s="61" t="str">
        <f aca="false">IF(IsPro,IF($D1356="","",IF(AND(V1356&lt;&gt;"",INDEX(Parties!$E$5:$E$304,V1356)&lt;&gt;"",INDEX(Parties!$E$5:$E$304,V1356)&lt;&gt;HomeState),ROUND(L1356*M1356,2),0)),"")</f>
        <v/>
      </c>
      <c r="Q1356" s="61" t="str">
        <f aca="false">IF(IsPro,IF($D1356="","",L1356+N1356+O1356+P1356),"")</f>
        <v/>
      </c>
      <c r="R1356" s="61" t="str">
        <f aca="false">IF(IsPro,IF($D1356="","",ROUND(N($E1356)*IFERROR(INDEX(Items!$P$5:$P$504,U1356),0),2)),"")</f>
        <v/>
      </c>
      <c r="S1356" s="61" t="str">
        <f aca="false">IF(IsPro,IF($D1356="","",L1356-R1356),"")</f>
        <v/>
      </c>
      <c r="T1356" s="60" t="str">
        <f aca="false">IF(IsPro,IF($D1356="","",IF(U1356="","UNKNOWN ITEM",IF(INDEX(Items!$O$5:$O$504,U1356)&lt;0,"NEG STOCK",IF(K1356&lt;INDEX(Items!$P$5:$P$504,U1356),"BELOW COST","OK")))),IF($D1356="","","PRO PLAN"))</f>
        <v/>
      </c>
      <c r="U1356" s="60" t="str">
        <f aca="false">IF(IsPro,IF($D1356="","",IFERROR(MATCH($D1356,Items!$A$5:$A$504,0),"")),"")</f>
        <v/>
      </c>
      <c r="V1356" s="60" t="str">
        <f aca="false">IF(IsPro,IF($C1356="","",IFERROR(MATCH($C1356,Parties!$A$5:$A$304,0),"")),"")</f>
        <v/>
      </c>
      <c r="W1356" s="60" t="str">
        <f aca="false">IF(IsPro,IF($B1356="","",IFERROR(VALUE(SUBSTITUTE($B1356,InvPrefix,"")),0)),"")</f>
        <v/>
      </c>
      <c r="X1356" s="61" t="str">
        <f aca="false">IF(IsPro,IF($D1356="","",IF(OR($H1356="",$H1356="Credit"),0,Q1356)),"")</f>
        <v/>
      </c>
    </row>
    <row r="1357" customFormat="false" ht="15" hidden="false" customHeight="false" outlineLevel="0" collapsed="false">
      <c r="A1357" s="55"/>
      <c r="B1357" s="56"/>
      <c r="C1357" s="56"/>
      <c r="D1357" s="56"/>
      <c r="E1357" s="57"/>
      <c r="F1357" s="58"/>
      <c r="G1357" s="59"/>
      <c r="H1357" s="56"/>
      <c r="I1357" s="56"/>
      <c r="J1357" s="60" t="str">
        <f aca="false">IF(IsPro,IF($D1357="","",IFERROR(INDEX(Items!$D$5:$D$504,U1357),"")),"")</f>
        <v/>
      </c>
      <c r="K1357" s="61" t="str">
        <f aca="false">IF(IsPro,IF($D1357="","",IF($F1357="",IFERROR(INDEX(Items!$H$5:$H$504,U1357),0),$F1357)),"")</f>
        <v/>
      </c>
      <c r="L1357" s="61" t="str">
        <f aca="false">IF(IsPro,IF($D1357="","",ROUND(N($E1357)*K1357*(1-N($G1357)),2)),"")</f>
        <v/>
      </c>
      <c r="M1357" s="62" t="str">
        <f aca="false">IF(IsPro,IF($D1357="","",IFERROR(INDEX(Items!$F$5:$F$504,U1357),0)),"")</f>
        <v/>
      </c>
      <c r="N1357" s="61" t="str">
        <f aca="false">IF(IsPro,IF($D1357="","",IF(AND(V1357&lt;&gt;"",INDEX(Parties!$E$5:$E$304,V1357)&lt;&gt;"",INDEX(Parties!$E$5:$E$304,V1357)&lt;&gt;HomeState),0,ROUND(L1357*M1357/2,2))),"")</f>
        <v/>
      </c>
      <c r="O1357" s="61" t="str">
        <f aca="false">IF(IsPro,IF($D1357="","",N1357),"")</f>
        <v/>
      </c>
      <c r="P1357" s="61" t="str">
        <f aca="false">IF(IsPro,IF($D1357="","",IF(AND(V1357&lt;&gt;"",INDEX(Parties!$E$5:$E$304,V1357)&lt;&gt;"",INDEX(Parties!$E$5:$E$304,V1357)&lt;&gt;HomeState),ROUND(L1357*M1357,2),0)),"")</f>
        <v/>
      </c>
      <c r="Q1357" s="61" t="str">
        <f aca="false">IF(IsPro,IF($D1357="","",L1357+N1357+O1357+P1357),"")</f>
        <v/>
      </c>
      <c r="R1357" s="61" t="str">
        <f aca="false">IF(IsPro,IF($D1357="","",ROUND(N($E1357)*IFERROR(INDEX(Items!$P$5:$P$504,U1357),0),2)),"")</f>
        <v/>
      </c>
      <c r="S1357" s="61" t="str">
        <f aca="false">IF(IsPro,IF($D1357="","",L1357-R1357),"")</f>
        <v/>
      </c>
      <c r="T1357" s="60" t="str">
        <f aca="false">IF(IsPro,IF($D1357="","",IF(U1357="","UNKNOWN ITEM",IF(INDEX(Items!$O$5:$O$504,U1357)&lt;0,"NEG STOCK",IF(K1357&lt;INDEX(Items!$P$5:$P$504,U1357),"BELOW COST","OK")))),IF($D1357="","","PRO PLAN"))</f>
        <v/>
      </c>
      <c r="U1357" s="60" t="str">
        <f aca="false">IF(IsPro,IF($D1357="","",IFERROR(MATCH($D1357,Items!$A$5:$A$504,0),"")),"")</f>
        <v/>
      </c>
      <c r="V1357" s="60" t="str">
        <f aca="false">IF(IsPro,IF($C1357="","",IFERROR(MATCH($C1357,Parties!$A$5:$A$304,0),"")),"")</f>
        <v/>
      </c>
      <c r="W1357" s="60" t="str">
        <f aca="false">IF(IsPro,IF($B1357="","",IFERROR(VALUE(SUBSTITUTE($B1357,InvPrefix,"")),0)),"")</f>
        <v/>
      </c>
      <c r="X1357" s="61" t="str">
        <f aca="false">IF(IsPro,IF($D1357="","",IF(OR($H1357="",$H1357="Credit"),0,Q1357)),"")</f>
        <v/>
      </c>
    </row>
    <row r="1358" customFormat="false" ht="15" hidden="false" customHeight="false" outlineLevel="0" collapsed="false">
      <c r="A1358" s="55"/>
      <c r="B1358" s="56"/>
      <c r="C1358" s="56"/>
      <c r="D1358" s="56"/>
      <c r="E1358" s="57"/>
      <c r="F1358" s="58"/>
      <c r="G1358" s="59"/>
      <c r="H1358" s="56"/>
      <c r="I1358" s="56"/>
      <c r="J1358" s="60" t="str">
        <f aca="false">IF(IsPro,IF($D1358="","",IFERROR(INDEX(Items!$D$5:$D$504,U1358),"")),"")</f>
        <v/>
      </c>
      <c r="K1358" s="61" t="str">
        <f aca="false">IF(IsPro,IF($D1358="","",IF($F1358="",IFERROR(INDEX(Items!$H$5:$H$504,U1358),0),$F1358)),"")</f>
        <v/>
      </c>
      <c r="L1358" s="61" t="str">
        <f aca="false">IF(IsPro,IF($D1358="","",ROUND(N($E1358)*K1358*(1-N($G1358)),2)),"")</f>
        <v/>
      </c>
      <c r="M1358" s="62" t="str">
        <f aca="false">IF(IsPro,IF($D1358="","",IFERROR(INDEX(Items!$F$5:$F$504,U1358),0)),"")</f>
        <v/>
      </c>
      <c r="N1358" s="61" t="str">
        <f aca="false">IF(IsPro,IF($D1358="","",IF(AND(V1358&lt;&gt;"",INDEX(Parties!$E$5:$E$304,V1358)&lt;&gt;"",INDEX(Parties!$E$5:$E$304,V1358)&lt;&gt;HomeState),0,ROUND(L1358*M1358/2,2))),"")</f>
        <v/>
      </c>
      <c r="O1358" s="61" t="str">
        <f aca="false">IF(IsPro,IF($D1358="","",N1358),"")</f>
        <v/>
      </c>
      <c r="P1358" s="61" t="str">
        <f aca="false">IF(IsPro,IF($D1358="","",IF(AND(V1358&lt;&gt;"",INDEX(Parties!$E$5:$E$304,V1358)&lt;&gt;"",INDEX(Parties!$E$5:$E$304,V1358)&lt;&gt;HomeState),ROUND(L1358*M1358,2),0)),"")</f>
        <v/>
      </c>
      <c r="Q1358" s="61" t="str">
        <f aca="false">IF(IsPro,IF($D1358="","",L1358+N1358+O1358+P1358),"")</f>
        <v/>
      </c>
      <c r="R1358" s="61" t="str">
        <f aca="false">IF(IsPro,IF($D1358="","",ROUND(N($E1358)*IFERROR(INDEX(Items!$P$5:$P$504,U1358),0),2)),"")</f>
        <v/>
      </c>
      <c r="S1358" s="61" t="str">
        <f aca="false">IF(IsPro,IF($D1358="","",L1358-R1358),"")</f>
        <v/>
      </c>
      <c r="T1358" s="60" t="str">
        <f aca="false">IF(IsPro,IF($D1358="","",IF(U1358="","UNKNOWN ITEM",IF(INDEX(Items!$O$5:$O$504,U1358)&lt;0,"NEG STOCK",IF(K1358&lt;INDEX(Items!$P$5:$P$504,U1358),"BELOW COST","OK")))),IF($D1358="","","PRO PLAN"))</f>
        <v/>
      </c>
      <c r="U1358" s="60" t="str">
        <f aca="false">IF(IsPro,IF($D1358="","",IFERROR(MATCH($D1358,Items!$A$5:$A$504,0),"")),"")</f>
        <v/>
      </c>
      <c r="V1358" s="60" t="str">
        <f aca="false">IF(IsPro,IF($C1358="","",IFERROR(MATCH($C1358,Parties!$A$5:$A$304,0),"")),"")</f>
        <v/>
      </c>
      <c r="W1358" s="60" t="str">
        <f aca="false">IF(IsPro,IF($B1358="","",IFERROR(VALUE(SUBSTITUTE($B1358,InvPrefix,"")),0)),"")</f>
        <v/>
      </c>
      <c r="X1358" s="61" t="str">
        <f aca="false">IF(IsPro,IF($D1358="","",IF(OR($H1358="",$H1358="Credit"),0,Q1358)),"")</f>
        <v/>
      </c>
    </row>
    <row r="1359" customFormat="false" ht="15" hidden="false" customHeight="false" outlineLevel="0" collapsed="false">
      <c r="A1359" s="55"/>
      <c r="B1359" s="56"/>
      <c r="C1359" s="56"/>
      <c r="D1359" s="56"/>
      <c r="E1359" s="57"/>
      <c r="F1359" s="58"/>
      <c r="G1359" s="59"/>
      <c r="H1359" s="56"/>
      <c r="I1359" s="56"/>
      <c r="J1359" s="60" t="str">
        <f aca="false">IF(IsPro,IF($D1359="","",IFERROR(INDEX(Items!$D$5:$D$504,U1359),"")),"")</f>
        <v/>
      </c>
      <c r="K1359" s="61" t="str">
        <f aca="false">IF(IsPro,IF($D1359="","",IF($F1359="",IFERROR(INDEX(Items!$H$5:$H$504,U1359),0),$F1359)),"")</f>
        <v/>
      </c>
      <c r="L1359" s="61" t="str">
        <f aca="false">IF(IsPro,IF($D1359="","",ROUND(N($E1359)*K1359*(1-N($G1359)),2)),"")</f>
        <v/>
      </c>
      <c r="M1359" s="62" t="str">
        <f aca="false">IF(IsPro,IF($D1359="","",IFERROR(INDEX(Items!$F$5:$F$504,U1359),0)),"")</f>
        <v/>
      </c>
      <c r="N1359" s="61" t="str">
        <f aca="false">IF(IsPro,IF($D1359="","",IF(AND(V1359&lt;&gt;"",INDEX(Parties!$E$5:$E$304,V1359)&lt;&gt;"",INDEX(Parties!$E$5:$E$304,V1359)&lt;&gt;HomeState),0,ROUND(L1359*M1359/2,2))),"")</f>
        <v/>
      </c>
      <c r="O1359" s="61" t="str">
        <f aca="false">IF(IsPro,IF($D1359="","",N1359),"")</f>
        <v/>
      </c>
      <c r="P1359" s="61" t="str">
        <f aca="false">IF(IsPro,IF($D1359="","",IF(AND(V1359&lt;&gt;"",INDEX(Parties!$E$5:$E$304,V1359)&lt;&gt;"",INDEX(Parties!$E$5:$E$304,V1359)&lt;&gt;HomeState),ROUND(L1359*M1359,2),0)),"")</f>
        <v/>
      </c>
      <c r="Q1359" s="61" t="str">
        <f aca="false">IF(IsPro,IF($D1359="","",L1359+N1359+O1359+P1359),"")</f>
        <v/>
      </c>
      <c r="R1359" s="61" t="str">
        <f aca="false">IF(IsPro,IF($D1359="","",ROUND(N($E1359)*IFERROR(INDEX(Items!$P$5:$P$504,U1359),0),2)),"")</f>
        <v/>
      </c>
      <c r="S1359" s="61" t="str">
        <f aca="false">IF(IsPro,IF($D1359="","",L1359-R1359),"")</f>
        <v/>
      </c>
      <c r="T1359" s="60" t="str">
        <f aca="false">IF(IsPro,IF($D1359="","",IF(U1359="","UNKNOWN ITEM",IF(INDEX(Items!$O$5:$O$504,U1359)&lt;0,"NEG STOCK",IF(K1359&lt;INDEX(Items!$P$5:$P$504,U1359),"BELOW COST","OK")))),IF($D1359="","","PRO PLAN"))</f>
        <v/>
      </c>
      <c r="U1359" s="60" t="str">
        <f aca="false">IF(IsPro,IF($D1359="","",IFERROR(MATCH($D1359,Items!$A$5:$A$504,0),"")),"")</f>
        <v/>
      </c>
      <c r="V1359" s="60" t="str">
        <f aca="false">IF(IsPro,IF($C1359="","",IFERROR(MATCH($C1359,Parties!$A$5:$A$304,0),"")),"")</f>
        <v/>
      </c>
      <c r="W1359" s="60" t="str">
        <f aca="false">IF(IsPro,IF($B1359="","",IFERROR(VALUE(SUBSTITUTE($B1359,InvPrefix,"")),0)),"")</f>
        <v/>
      </c>
      <c r="X1359" s="61" t="str">
        <f aca="false">IF(IsPro,IF($D1359="","",IF(OR($H1359="",$H1359="Credit"),0,Q1359)),"")</f>
        <v/>
      </c>
    </row>
    <row r="1360" customFormat="false" ht="15" hidden="false" customHeight="false" outlineLevel="0" collapsed="false">
      <c r="A1360" s="55"/>
      <c r="B1360" s="56"/>
      <c r="C1360" s="56"/>
      <c r="D1360" s="56"/>
      <c r="E1360" s="57"/>
      <c r="F1360" s="58"/>
      <c r="G1360" s="59"/>
      <c r="H1360" s="56"/>
      <c r="I1360" s="56"/>
      <c r="J1360" s="60" t="str">
        <f aca="false">IF(IsPro,IF($D1360="","",IFERROR(INDEX(Items!$D$5:$D$504,U1360),"")),"")</f>
        <v/>
      </c>
      <c r="K1360" s="61" t="str">
        <f aca="false">IF(IsPro,IF($D1360="","",IF($F1360="",IFERROR(INDEX(Items!$H$5:$H$504,U1360),0),$F1360)),"")</f>
        <v/>
      </c>
      <c r="L1360" s="61" t="str">
        <f aca="false">IF(IsPro,IF($D1360="","",ROUND(N($E1360)*K1360*(1-N($G1360)),2)),"")</f>
        <v/>
      </c>
      <c r="M1360" s="62" t="str">
        <f aca="false">IF(IsPro,IF($D1360="","",IFERROR(INDEX(Items!$F$5:$F$504,U1360),0)),"")</f>
        <v/>
      </c>
      <c r="N1360" s="61" t="str">
        <f aca="false">IF(IsPro,IF($D1360="","",IF(AND(V1360&lt;&gt;"",INDEX(Parties!$E$5:$E$304,V1360)&lt;&gt;"",INDEX(Parties!$E$5:$E$304,V1360)&lt;&gt;HomeState),0,ROUND(L1360*M1360/2,2))),"")</f>
        <v/>
      </c>
      <c r="O1360" s="61" t="str">
        <f aca="false">IF(IsPro,IF($D1360="","",N1360),"")</f>
        <v/>
      </c>
      <c r="P1360" s="61" t="str">
        <f aca="false">IF(IsPro,IF($D1360="","",IF(AND(V1360&lt;&gt;"",INDEX(Parties!$E$5:$E$304,V1360)&lt;&gt;"",INDEX(Parties!$E$5:$E$304,V1360)&lt;&gt;HomeState),ROUND(L1360*M1360,2),0)),"")</f>
        <v/>
      </c>
      <c r="Q1360" s="61" t="str">
        <f aca="false">IF(IsPro,IF($D1360="","",L1360+N1360+O1360+P1360),"")</f>
        <v/>
      </c>
      <c r="R1360" s="61" t="str">
        <f aca="false">IF(IsPro,IF($D1360="","",ROUND(N($E1360)*IFERROR(INDEX(Items!$P$5:$P$504,U1360),0),2)),"")</f>
        <v/>
      </c>
      <c r="S1360" s="61" t="str">
        <f aca="false">IF(IsPro,IF($D1360="","",L1360-R1360),"")</f>
        <v/>
      </c>
      <c r="T1360" s="60" t="str">
        <f aca="false">IF(IsPro,IF($D1360="","",IF(U1360="","UNKNOWN ITEM",IF(INDEX(Items!$O$5:$O$504,U1360)&lt;0,"NEG STOCK",IF(K1360&lt;INDEX(Items!$P$5:$P$504,U1360),"BELOW COST","OK")))),IF($D1360="","","PRO PLAN"))</f>
        <v/>
      </c>
      <c r="U1360" s="60" t="str">
        <f aca="false">IF(IsPro,IF($D1360="","",IFERROR(MATCH($D1360,Items!$A$5:$A$504,0),"")),"")</f>
        <v/>
      </c>
      <c r="V1360" s="60" t="str">
        <f aca="false">IF(IsPro,IF($C1360="","",IFERROR(MATCH($C1360,Parties!$A$5:$A$304,0),"")),"")</f>
        <v/>
      </c>
      <c r="W1360" s="60" t="str">
        <f aca="false">IF(IsPro,IF($B1360="","",IFERROR(VALUE(SUBSTITUTE($B1360,InvPrefix,"")),0)),"")</f>
        <v/>
      </c>
      <c r="X1360" s="61" t="str">
        <f aca="false">IF(IsPro,IF($D1360="","",IF(OR($H1360="",$H1360="Credit"),0,Q1360)),"")</f>
        <v/>
      </c>
    </row>
    <row r="1361" customFormat="false" ht="15" hidden="false" customHeight="false" outlineLevel="0" collapsed="false">
      <c r="A1361" s="55"/>
      <c r="B1361" s="56"/>
      <c r="C1361" s="56"/>
      <c r="D1361" s="56"/>
      <c r="E1361" s="57"/>
      <c r="F1361" s="58"/>
      <c r="G1361" s="59"/>
      <c r="H1361" s="56"/>
      <c r="I1361" s="56"/>
      <c r="J1361" s="60" t="str">
        <f aca="false">IF(IsPro,IF($D1361="","",IFERROR(INDEX(Items!$D$5:$D$504,U1361),"")),"")</f>
        <v/>
      </c>
      <c r="K1361" s="61" t="str">
        <f aca="false">IF(IsPro,IF($D1361="","",IF($F1361="",IFERROR(INDEX(Items!$H$5:$H$504,U1361),0),$F1361)),"")</f>
        <v/>
      </c>
      <c r="L1361" s="61" t="str">
        <f aca="false">IF(IsPro,IF($D1361="","",ROUND(N($E1361)*K1361*(1-N($G1361)),2)),"")</f>
        <v/>
      </c>
      <c r="M1361" s="62" t="str">
        <f aca="false">IF(IsPro,IF($D1361="","",IFERROR(INDEX(Items!$F$5:$F$504,U1361),0)),"")</f>
        <v/>
      </c>
      <c r="N1361" s="61" t="str">
        <f aca="false">IF(IsPro,IF($D1361="","",IF(AND(V1361&lt;&gt;"",INDEX(Parties!$E$5:$E$304,V1361)&lt;&gt;"",INDEX(Parties!$E$5:$E$304,V1361)&lt;&gt;HomeState),0,ROUND(L1361*M1361/2,2))),"")</f>
        <v/>
      </c>
      <c r="O1361" s="61" t="str">
        <f aca="false">IF(IsPro,IF($D1361="","",N1361),"")</f>
        <v/>
      </c>
      <c r="P1361" s="61" t="str">
        <f aca="false">IF(IsPro,IF($D1361="","",IF(AND(V1361&lt;&gt;"",INDEX(Parties!$E$5:$E$304,V1361)&lt;&gt;"",INDEX(Parties!$E$5:$E$304,V1361)&lt;&gt;HomeState),ROUND(L1361*M1361,2),0)),"")</f>
        <v/>
      </c>
      <c r="Q1361" s="61" t="str">
        <f aca="false">IF(IsPro,IF($D1361="","",L1361+N1361+O1361+P1361),"")</f>
        <v/>
      </c>
      <c r="R1361" s="61" t="str">
        <f aca="false">IF(IsPro,IF($D1361="","",ROUND(N($E1361)*IFERROR(INDEX(Items!$P$5:$P$504,U1361),0),2)),"")</f>
        <v/>
      </c>
      <c r="S1361" s="61" t="str">
        <f aca="false">IF(IsPro,IF($D1361="","",L1361-R1361),"")</f>
        <v/>
      </c>
      <c r="T1361" s="60" t="str">
        <f aca="false">IF(IsPro,IF($D1361="","",IF(U1361="","UNKNOWN ITEM",IF(INDEX(Items!$O$5:$O$504,U1361)&lt;0,"NEG STOCK",IF(K1361&lt;INDEX(Items!$P$5:$P$504,U1361),"BELOW COST","OK")))),IF($D1361="","","PRO PLAN"))</f>
        <v/>
      </c>
      <c r="U1361" s="60" t="str">
        <f aca="false">IF(IsPro,IF($D1361="","",IFERROR(MATCH($D1361,Items!$A$5:$A$504,0),"")),"")</f>
        <v/>
      </c>
      <c r="V1361" s="60" t="str">
        <f aca="false">IF(IsPro,IF($C1361="","",IFERROR(MATCH($C1361,Parties!$A$5:$A$304,0),"")),"")</f>
        <v/>
      </c>
      <c r="W1361" s="60" t="str">
        <f aca="false">IF(IsPro,IF($B1361="","",IFERROR(VALUE(SUBSTITUTE($B1361,InvPrefix,"")),0)),"")</f>
        <v/>
      </c>
      <c r="X1361" s="61" t="str">
        <f aca="false">IF(IsPro,IF($D1361="","",IF(OR($H1361="",$H1361="Credit"),0,Q1361)),"")</f>
        <v/>
      </c>
    </row>
    <row r="1362" customFormat="false" ht="15" hidden="false" customHeight="false" outlineLevel="0" collapsed="false">
      <c r="A1362" s="55"/>
      <c r="B1362" s="56"/>
      <c r="C1362" s="56"/>
      <c r="D1362" s="56"/>
      <c r="E1362" s="57"/>
      <c r="F1362" s="58"/>
      <c r="G1362" s="59"/>
      <c r="H1362" s="56"/>
      <c r="I1362" s="56"/>
      <c r="J1362" s="60" t="str">
        <f aca="false">IF(IsPro,IF($D1362="","",IFERROR(INDEX(Items!$D$5:$D$504,U1362),"")),"")</f>
        <v/>
      </c>
      <c r="K1362" s="61" t="str">
        <f aca="false">IF(IsPro,IF($D1362="","",IF($F1362="",IFERROR(INDEX(Items!$H$5:$H$504,U1362),0),$F1362)),"")</f>
        <v/>
      </c>
      <c r="L1362" s="61" t="str">
        <f aca="false">IF(IsPro,IF($D1362="","",ROUND(N($E1362)*K1362*(1-N($G1362)),2)),"")</f>
        <v/>
      </c>
      <c r="M1362" s="62" t="str">
        <f aca="false">IF(IsPro,IF($D1362="","",IFERROR(INDEX(Items!$F$5:$F$504,U1362),0)),"")</f>
        <v/>
      </c>
      <c r="N1362" s="61" t="str">
        <f aca="false">IF(IsPro,IF($D1362="","",IF(AND(V1362&lt;&gt;"",INDEX(Parties!$E$5:$E$304,V1362)&lt;&gt;"",INDEX(Parties!$E$5:$E$304,V1362)&lt;&gt;HomeState),0,ROUND(L1362*M1362/2,2))),"")</f>
        <v/>
      </c>
      <c r="O1362" s="61" t="str">
        <f aca="false">IF(IsPro,IF($D1362="","",N1362),"")</f>
        <v/>
      </c>
      <c r="P1362" s="61" t="str">
        <f aca="false">IF(IsPro,IF($D1362="","",IF(AND(V1362&lt;&gt;"",INDEX(Parties!$E$5:$E$304,V1362)&lt;&gt;"",INDEX(Parties!$E$5:$E$304,V1362)&lt;&gt;HomeState),ROUND(L1362*M1362,2),0)),"")</f>
        <v/>
      </c>
      <c r="Q1362" s="61" t="str">
        <f aca="false">IF(IsPro,IF($D1362="","",L1362+N1362+O1362+P1362),"")</f>
        <v/>
      </c>
      <c r="R1362" s="61" t="str">
        <f aca="false">IF(IsPro,IF($D1362="","",ROUND(N($E1362)*IFERROR(INDEX(Items!$P$5:$P$504,U1362),0),2)),"")</f>
        <v/>
      </c>
      <c r="S1362" s="61" t="str">
        <f aca="false">IF(IsPro,IF($D1362="","",L1362-R1362),"")</f>
        <v/>
      </c>
      <c r="T1362" s="60" t="str">
        <f aca="false">IF(IsPro,IF($D1362="","",IF(U1362="","UNKNOWN ITEM",IF(INDEX(Items!$O$5:$O$504,U1362)&lt;0,"NEG STOCK",IF(K1362&lt;INDEX(Items!$P$5:$P$504,U1362),"BELOW COST","OK")))),IF($D1362="","","PRO PLAN"))</f>
        <v/>
      </c>
      <c r="U1362" s="60" t="str">
        <f aca="false">IF(IsPro,IF($D1362="","",IFERROR(MATCH($D1362,Items!$A$5:$A$504,0),"")),"")</f>
        <v/>
      </c>
      <c r="V1362" s="60" t="str">
        <f aca="false">IF(IsPro,IF($C1362="","",IFERROR(MATCH($C1362,Parties!$A$5:$A$304,0),"")),"")</f>
        <v/>
      </c>
      <c r="W1362" s="60" t="str">
        <f aca="false">IF(IsPro,IF($B1362="","",IFERROR(VALUE(SUBSTITUTE($B1362,InvPrefix,"")),0)),"")</f>
        <v/>
      </c>
      <c r="X1362" s="61" t="str">
        <f aca="false">IF(IsPro,IF($D1362="","",IF(OR($H1362="",$H1362="Credit"),0,Q1362)),"")</f>
        <v/>
      </c>
    </row>
    <row r="1363" customFormat="false" ht="15" hidden="false" customHeight="false" outlineLevel="0" collapsed="false">
      <c r="A1363" s="55"/>
      <c r="B1363" s="56"/>
      <c r="C1363" s="56"/>
      <c r="D1363" s="56"/>
      <c r="E1363" s="57"/>
      <c r="F1363" s="58"/>
      <c r="G1363" s="59"/>
      <c r="H1363" s="56"/>
      <c r="I1363" s="56"/>
      <c r="J1363" s="60" t="str">
        <f aca="false">IF(IsPro,IF($D1363="","",IFERROR(INDEX(Items!$D$5:$D$504,U1363),"")),"")</f>
        <v/>
      </c>
      <c r="K1363" s="61" t="str">
        <f aca="false">IF(IsPro,IF($D1363="","",IF($F1363="",IFERROR(INDEX(Items!$H$5:$H$504,U1363),0),$F1363)),"")</f>
        <v/>
      </c>
      <c r="L1363" s="61" t="str">
        <f aca="false">IF(IsPro,IF($D1363="","",ROUND(N($E1363)*K1363*(1-N($G1363)),2)),"")</f>
        <v/>
      </c>
      <c r="M1363" s="62" t="str">
        <f aca="false">IF(IsPro,IF($D1363="","",IFERROR(INDEX(Items!$F$5:$F$504,U1363),0)),"")</f>
        <v/>
      </c>
      <c r="N1363" s="61" t="str">
        <f aca="false">IF(IsPro,IF($D1363="","",IF(AND(V1363&lt;&gt;"",INDEX(Parties!$E$5:$E$304,V1363)&lt;&gt;"",INDEX(Parties!$E$5:$E$304,V1363)&lt;&gt;HomeState),0,ROUND(L1363*M1363/2,2))),"")</f>
        <v/>
      </c>
      <c r="O1363" s="61" t="str">
        <f aca="false">IF(IsPro,IF($D1363="","",N1363),"")</f>
        <v/>
      </c>
      <c r="P1363" s="61" t="str">
        <f aca="false">IF(IsPro,IF($D1363="","",IF(AND(V1363&lt;&gt;"",INDEX(Parties!$E$5:$E$304,V1363)&lt;&gt;"",INDEX(Parties!$E$5:$E$304,V1363)&lt;&gt;HomeState),ROUND(L1363*M1363,2),0)),"")</f>
        <v/>
      </c>
      <c r="Q1363" s="61" t="str">
        <f aca="false">IF(IsPro,IF($D1363="","",L1363+N1363+O1363+P1363),"")</f>
        <v/>
      </c>
      <c r="R1363" s="61" t="str">
        <f aca="false">IF(IsPro,IF($D1363="","",ROUND(N($E1363)*IFERROR(INDEX(Items!$P$5:$P$504,U1363),0),2)),"")</f>
        <v/>
      </c>
      <c r="S1363" s="61" t="str">
        <f aca="false">IF(IsPro,IF($D1363="","",L1363-R1363),"")</f>
        <v/>
      </c>
      <c r="T1363" s="60" t="str">
        <f aca="false">IF(IsPro,IF($D1363="","",IF(U1363="","UNKNOWN ITEM",IF(INDEX(Items!$O$5:$O$504,U1363)&lt;0,"NEG STOCK",IF(K1363&lt;INDEX(Items!$P$5:$P$504,U1363),"BELOW COST","OK")))),IF($D1363="","","PRO PLAN"))</f>
        <v/>
      </c>
      <c r="U1363" s="60" t="str">
        <f aca="false">IF(IsPro,IF($D1363="","",IFERROR(MATCH($D1363,Items!$A$5:$A$504,0),"")),"")</f>
        <v/>
      </c>
      <c r="V1363" s="60" t="str">
        <f aca="false">IF(IsPro,IF($C1363="","",IFERROR(MATCH($C1363,Parties!$A$5:$A$304,0),"")),"")</f>
        <v/>
      </c>
      <c r="W1363" s="60" t="str">
        <f aca="false">IF(IsPro,IF($B1363="","",IFERROR(VALUE(SUBSTITUTE($B1363,InvPrefix,"")),0)),"")</f>
        <v/>
      </c>
      <c r="X1363" s="61" t="str">
        <f aca="false">IF(IsPro,IF($D1363="","",IF(OR($H1363="",$H1363="Credit"),0,Q1363)),"")</f>
        <v/>
      </c>
    </row>
    <row r="1364" customFormat="false" ht="15" hidden="false" customHeight="false" outlineLevel="0" collapsed="false">
      <c r="A1364" s="55"/>
      <c r="B1364" s="56"/>
      <c r="C1364" s="56"/>
      <c r="D1364" s="56"/>
      <c r="E1364" s="57"/>
      <c r="F1364" s="58"/>
      <c r="G1364" s="59"/>
      <c r="H1364" s="56"/>
      <c r="I1364" s="56"/>
      <c r="J1364" s="60" t="str">
        <f aca="false">IF(IsPro,IF($D1364="","",IFERROR(INDEX(Items!$D$5:$D$504,U1364),"")),"")</f>
        <v/>
      </c>
      <c r="K1364" s="61" t="str">
        <f aca="false">IF(IsPro,IF($D1364="","",IF($F1364="",IFERROR(INDEX(Items!$H$5:$H$504,U1364),0),$F1364)),"")</f>
        <v/>
      </c>
      <c r="L1364" s="61" t="str">
        <f aca="false">IF(IsPro,IF($D1364="","",ROUND(N($E1364)*K1364*(1-N($G1364)),2)),"")</f>
        <v/>
      </c>
      <c r="M1364" s="62" t="str">
        <f aca="false">IF(IsPro,IF($D1364="","",IFERROR(INDEX(Items!$F$5:$F$504,U1364),0)),"")</f>
        <v/>
      </c>
      <c r="N1364" s="61" t="str">
        <f aca="false">IF(IsPro,IF($D1364="","",IF(AND(V1364&lt;&gt;"",INDEX(Parties!$E$5:$E$304,V1364)&lt;&gt;"",INDEX(Parties!$E$5:$E$304,V1364)&lt;&gt;HomeState),0,ROUND(L1364*M1364/2,2))),"")</f>
        <v/>
      </c>
      <c r="O1364" s="61" t="str">
        <f aca="false">IF(IsPro,IF($D1364="","",N1364),"")</f>
        <v/>
      </c>
      <c r="P1364" s="61" t="str">
        <f aca="false">IF(IsPro,IF($D1364="","",IF(AND(V1364&lt;&gt;"",INDEX(Parties!$E$5:$E$304,V1364)&lt;&gt;"",INDEX(Parties!$E$5:$E$304,V1364)&lt;&gt;HomeState),ROUND(L1364*M1364,2),0)),"")</f>
        <v/>
      </c>
      <c r="Q1364" s="61" t="str">
        <f aca="false">IF(IsPro,IF($D1364="","",L1364+N1364+O1364+P1364),"")</f>
        <v/>
      </c>
      <c r="R1364" s="61" t="str">
        <f aca="false">IF(IsPro,IF($D1364="","",ROUND(N($E1364)*IFERROR(INDEX(Items!$P$5:$P$504,U1364),0),2)),"")</f>
        <v/>
      </c>
      <c r="S1364" s="61" t="str">
        <f aca="false">IF(IsPro,IF($D1364="","",L1364-R1364),"")</f>
        <v/>
      </c>
      <c r="T1364" s="60" t="str">
        <f aca="false">IF(IsPro,IF($D1364="","",IF(U1364="","UNKNOWN ITEM",IF(INDEX(Items!$O$5:$O$504,U1364)&lt;0,"NEG STOCK",IF(K1364&lt;INDEX(Items!$P$5:$P$504,U1364),"BELOW COST","OK")))),IF($D1364="","","PRO PLAN"))</f>
        <v/>
      </c>
      <c r="U1364" s="60" t="str">
        <f aca="false">IF(IsPro,IF($D1364="","",IFERROR(MATCH($D1364,Items!$A$5:$A$504,0),"")),"")</f>
        <v/>
      </c>
      <c r="V1364" s="60" t="str">
        <f aca="false">IF(IsPro,IF($C1364="","",IFERROR(MATCH($C1364,Parties!$A$5:$A$304,0),"")),"")</f>
        <v/>
      </c>
      <c r="W1364" s="60" t="str">
        <f aca="false">IF(IsPro,IF($B1364="","",IFERROR(VALUE(SUBSTITUTE($B1364,InvPrefix,"")),0)),"")</f>
        <v/>
      </c>
      <c r="X1364" s="61" t="str">
        <f aca="false">IF(IsPro,IF($D1364="","",IF(OR($H1364="",$H1364="Credit"),0,Q1364)),"")</f>
        <v/>
      </c>
    </row>
    <row r="1365" customFormat="false" ht="15" hidden="false" customHeight="false" outlineLevel="0" collapsed="false">
      <c r="A1365" s="55"/>
      <c r="B1365" s="56"/>
      <c r="C1365" s="56"/>
      <c r="D1365" s="56"/>
      <c r="E1365" s="57"/>
      <c r="F1365" s="58"/>
      <c r="G1365" s="59"/>
      <c r="H1365" s="56"/>
      <c r="I1365" s="56"/>
      <c r="J1365" s="60" t="str">
        <f aca="false">IF(IsPro,IF($D1365="","",IFERROR(INDEX(Items!$D$5:$D$504,U1365),"")),"")</f>
        <v/>
      </c>
      <c r="K1365" s="61" t="str">
        <f aca="false">IF(IsPro,IF($D1365="","",IF($F1365="",IFERROR(INDEX(Items!$H$5:$H$504,U1365),0),$F1365)),"")</f>
        <v/>
      </c>
      <c r="L1365" s="61" t="str">
        <f aca="false">IF(IsPro,IF($D1365="","",ROUND(N($E1365)*K1365*(1-N($G1365)),2)),"")</f>
        <v/>
      </c>
      <c r="M1365" s="62" t="str">
        <f aca="false">IF(IsPro,IF($D1365="","",IFERROR(INDEX(Items!$F$5:$F$504,U1365),0)),"")</f>
        <v/>
      </c>
      <c r="N1365" s="61" t="str">
        <f aca="false">IF(IsPro,IF($D1365="","",IF(AND(V1365&lt;&gt;"",INDEX(Parties!$E$5:$E$304,V1365)&lt;&gt;"",INDEX(Parties!$E$5:$E$304,V1365)&lt;&gt;HomeState),0,ROUND(L1365*M1365/2,2))),"")</f>
        <v/>
      </c>
      <c r="O1365" s="61" t="str">
        <f aca="false">IF(IsPro,IF($D1365="","",N1365),"")</f>
        <v/>
      </c>
      <c r="P1365" s="61" t="str">
        <f aca="false">IF(IsPro,IF($D1365="","",IF(AND(V1365&lt;&gt;"",INDEX(Parties!$E$5:$E$304,V1365)&lt;&gt;"",INDEX(Parties!$E$5:$E$304,V1365)&lt;&gt;HomeState),ROUND(L1365*M1365,2),0)),"")</f>
        <v/>
      </c>
      <c r="Q1365" s="61" t="str">
        <f aca="false">IF(IsPro,IF($D1365="","",L1365+N1365+O1365+P1365),"")</f>
        <v/>
      </c>
      <c r="R1365" s="61" t="str">
        <f aca="false">IF(IsPro,IF($D1365="","",ROUND(N($E1365)*IFERROR(INDEX(Items!$P$5:$P$504,U1365),0),2)),"")</f>
        <v/>
      </c>
      <c r="S1365" s="61" t="str">
        <f aca="false">IF(IsPro,IF($D1365="","",L1365-R1365),"")</f>
        <v/>
      </c>
      <c r="T1365" s="60" t="str">
        <f aca="false">IF(IsPro,IF($D1365="","",IF(U1365="","UNKNOWN ITEM",IF(INDEX(Items!$O$5:$O$504,U1365)&lt;0,"NEG STOCK",IF(K1365&lt;INDEX(Items!$P$5:$P$504,U1365),"BELOW COST","OK")))),IF($D1365="","","PRO PLAN"))</f>
        <v/>
      </c>
      <c r="U1365" s="60" t="str">
        <f aca="false">IF(IsPro,IF($D1365="","",IFERROR(MATCH($D1365,Items!$A$5:$A$504,0),"")),"")</f>
        <v/>
      </c>
      <c r="V1365" s="60" t="str">
        <f aca="false">IF(IsPro,IF($C1365="","",IFERROR(MATCH($C1365,Parties!$A$5:$A$304,0),"")),"")</f>
        <v/>
      </c>
      <c r="W1365" s="60" t="str">
        <f aca="false">IF(IsPro,IF($B1365="","",IFERROR(VALUE(SUBSTITUTE($B1365,InvPrefix,"")),0)),"")</f>
        <v/>
      </c>
      <c r="X1365" s="61" t="str">
        <f aca="false">IF(IsPro,IF($D1365="","",IF(OR($H1365="",$H1365="Credit"),0,Q1365)),"")</f>
        <v/>
      </c>
    </row>
    <row r="1366" customFormat="false" ht="15" hidden="false" customHeight="false" outlineLevel="0" collapsed="false">
      <c r="A1366" s="55"/>
      <c r="B1366" s="56"/>
      <c r="C1366" s="56"/>
      <c r="D1366" s="56"/>
      <c r="E1366" s="57"/>
      <c r="F1366" s="58"/>
      <c r="G1366" s="59"/>
      <c r="H1366" s="56"/>
      <c r="I1366" s="56"/>
      <c r="J1366" s="60" t="str">
        <f aca="false">IF(IsPro,IF($D1366="","",IFERROR(INDEX(Items!$D$5:$D$504,U1366),"")),"")</f>
        <v/>
      </c>
      <c r="K1366" s="61" t="str">
        <f aca="false">IF(IsPro,IF($D1366="","",IF($F1366="",IFERROR(INDEX(Items!$H$5:$H$504,U1366),0),$F1366)),"")</f>
        <v/>
      </c>
      <c r="L1366" s="61" t="str">
        <f aca="false">IF(IsPro,IF($D1366="","",ROUND(N($E1366)*K1366*(1-N($G1366)),2)),"")</f>
        <v/>
      </c>
      <c r="M1366" s="62" t="str">
        <f aca="false">IF(IsPro,IF($D1366="","",IFERROR(INDEX(Items!$F$5:$F$504,U1366),0)),"")</f>
        <v/>
      </c>
      <c r="N1366" s="61" t="str">
        <f aca="false">IF(IsPro,IF($D1366="","",IF(AND(V1366&lt;&gt;"",INDEX(Parties!$E$5:$E$304,V1366)&lt;&gt;"",INDEX(Parties!$E$5:$E$304,V1366)&lt;&gt;HomeState),0,ROUND(L1366*M1366/2,2))),"")</f>
        <v/>
      </c>
      <c r="O1366" s="61" t="str">
        <f aca="false">IF(IsPro,IF($D1366="","",N1366),"")</f>
        <v/>
      </c>
      <c r="P1366" s="61" t="str">
        <f aca="false">IF(IsPro,IF($D1366="","",IF(AND(V1366&lt;&gt;"",INDEX(Parties!$E$5:$E$304,V1366)&lt;&gt;"",INDEX(Parties!$E$5:$E$304,V1366)&lt;&gt;HomeState),ROUND(L1366*M1366,2),0)),"")</f>
        <v/>
      </c>
      <c r="Q1366" s="61" t="str">
        <f aca="false">IF(IsPro,IF($D1366="","",L1366+N1366+O1366+P1366),"")</f>
        <v/>
      </c>
      <c r="R1366" s="61" t="str">
        <f aca="false">IF(IsPro,IF($D1366="","",ROUND(N($E1366)*IFERROR(INDEX(Items!$P$5:$P$504,U1366),0),2)),"")</f>
        <v/>
      </c>
      <c r="S1366" s="61" t="str">
        <f aca="false">IF(IsPro,IF($D1366="","",L1366-R1366),"")</f>
        <v/>
      </c>
      <c r="T1366" s="60" t="str">
        <f aca="false">IF(IsPro,IF($D1366="","",IF(U1366="","UNKNOWN ITEM",IF(INDEX(Items!$O$5:$O$504,U1366)&lt;0,"NEG STOCK",IF(K1366&lt;INDEX(Items!$P$5:$P$504,U1366),"BELOW COST","OK")))),IF($D1366="","","PRO PLAN"))</f>
        <v/>
      </c>
      <c r="U1366" s="60" t="str">
        <f aca="false">IF(IsPro,IF($D1366="","",IFERROR(MATCH($D1366,Items!$A$5:$A$504,0),"")),"")</f>
        <v/>
      </c>
      <c r="V1366" s="60" t="str">
        <f aca="false">IF(IsPro,IF($C1366="","",IFERROR(MATCH($C1366,Parties!$A$5:$A$304,0),"")),"")</f>
        <v/>
      </c>
      <c r="W1366" s="60" t="str">
        <f aca="false">IF(IsPro,IF($B1366="","",IFERROR(VALUE(SUBSTITUTE($B1366,InvPrefix,"")),0)),"")</f>
        <v/>
      </c>
      <c r="X1366" s="61" t="str">
        <f aca="false">IF(IsPro,IF($D1366="","",IF(OR($H1366="",$H1366="Credit"),0,Q1366)),"")</f>
        <v/>
      </c>
    </row>
    <row r="1367" customFormat="false" ht="15" hidden="false" customHeight="false" outlineLevel="0" collapsed="false">
      <c r="A1367" s="55"/>
      <c r="B1367" s="56"/>
      <c r="C1367" s="56"/>
      <c r="D1367" s="56"/>
      <c r="E1367" s="57"/>
      <c r="F1367" s="58"/>
      <c r="G1367" s="59"/>
      <c r="H1367" s="56"/>
      <c r="I1367" s="56"/>
      <c r="J1367" s="60" t="str">
        <f aca="false">IF(IsPro,IF($D1367="","",IFERROR(INDEX(Items!$D$5:$D$504,U1367),"")),"")</f>
        <v/>
      </c>
      <c r="K1367" s="61" t="str">
        <f aca="false">IF(IsPro,IF($D1367="","",IF($F1367="",IFERROR(INDEX(Items!$H$5:$H$504,U1367),0),$F1367)),"")</f>
        <v/>
      </c>
      <c r="L1367" s="61" t="str">
        <f aca="false">IF(IsPro,IF($D1367="","",ROUND(N($E1367)*K1367*(1-N($G1367)),2)),"")</f>
        <v/>
      </c>
      <c r="M1367" s="62" t="str">
        <f aca="false">IF(IsPro,IF($D1367="","",IFERROR(INDEX(Items!$F$5:$F$504,U1367),0)),"")</f>
        <v/>
      </c>
      <c r="N1367" s="61" t="str">
        <f aca="false">IF(IsPro,IF($D1367="","",IF(AND(V1367&lt;&gt;"",INDEX(Parties!$E$5:$E$304,V1367)&lt;&gt;"",INDEX(Parties!$E$5:$E$304,V1367)&lt;&gt;HomeState),0,ROUND(L1367*M1367/2,2))),"")</f>
        <v/>
      </c>
      <c r="O1367" s="61" t="str">
        <f aca="false">IF(IsPro,IF($D1367="","",N1367),"")</f>
        <v/>
      </c>
      <c r="P1367" s="61" t="str">
        <f aca="false">IF(IsPro,IF($D1367="","",IF(AND(V1367&lt;&gt;"",INDEX(Parties!$E$5:$E$304,V1367)&lt;&gt;"",INDEX(Parties!$E$5:$E$304,V1367)&lt;&gt;HomeState),ROUND(L1367*M1367,2),0)),"")</f>
        <v/>
      </c>
      <c r="Q1367" s="61" t="str">
        <f aca="false">IF(IsPro,IF($D1367="","",L1367+N1367+O1367+P1367),"")</f>
        <v/>
      </c>
      <c r="R1367" s="61" t="str">
        <f aca="false">IF(IsPro,IF($D1367="","",ROUND(N($E1367)*IFERROR(INDEX(Items!$P$5:$P$504,U1367),0),2)),"")</f>
        <v/>
      </c>
      <c r="S1367" s="61" t="str">
        <f aca="false">IF(IsPro,IF($D1367="","",L1367-R1367),"")</f>
        <v/>
      </c>
      <c r="T1367" s="60" t="str">
        <f aca="false">IF(IsPro,IF($D1367="","",IF(U1367="","UNKNOWN ITEM",IF(INDEX(Items!$O$5:$O$504,U1367)&lt;0,"NEG STOCK",IF(K1367&lt;INDEX(Items!$P$5:$P$504,U1367),"BELOW COST","OK")))),IF($D1367="","","PRO PLAN"))</f>
        <v/>
      </c>
      <c r="U1367" s="60" t="str">
        <f aca="false">IF(IsPro,IF($D1367="","",IFERROR(MATCH($D1367,Items!$A$5:$A$504,0),"")),"")</f>
        <v/>
      </c>
      <c r="V1367" s="60" t="str">
        <f aca="false">IF(IsPro,IF($C1367="","",IFERROR(MATCH($C1367,Parties!$A$5:$A$304,0),"")),"")</f>
        <v/>
      </c>
      <c r="W1367" s="60" t="str">
        <f aca="false">IF(IsPro,IF($B1367="","",IFERROR(VALUE(SUBSTITUTE($B1367,InvPrefix,"")),0)),"")</f>
        <v/>
      </c>
      <c r="X1367" s="61" t="str">
        <f aca="false">IF(IsPro,IF($D1367="","",IF(OR($H1367="",$H1367="Credit"),0,Q1367)),"")</f>
        <v/>
      </c>
    </row>
    <row r="1368" customFormat="false" ht="15" hidden="false" customHeight="false" outlineLevel="0" collapsed="false">
      <c r="A1368" s="55"/>
      <c r="B1368" s="56"/>
      <c r="C1368" s="56"/>
      <c r="D1368" s="56"/>
      <c r="E1368" s="57"/>
      <c r="F1368" s="58"/>
      <c r="G1368" s="59"/>
      <c r="H1368" s="56"/>
      <c r="I1368" s="56"/>
      <c r="J1368" s="60" t="str">
        <f aca="false">IF(IsPro,IF($D1368="","",IFERROR(INDEX(Items!$D$5:$D$504,U1368),"")),"")</f>
        <v/>
      </c>
      <c r="K1368" s="61" t="str">
        <f aca="false">IF(IsPro,IF($D1368="","",IF($F1368="",IFERROR(INDEX(Items!$H$5:$H$504,U1368),0),$F1368)),"")</f>
        <v/>
      </c>
      <c r="L1368" s="61" t="str">
        <f aca="false">IF(IsPro,IF($D1368="","",ROUND(N($E1368)*K1368*(1-N($G1368)),2)),"")</f>
        <v/>
      </c>
      <c r="M1368" s="62" t="str">
        <f aca="false">IF(IsPro,IF($D1368="","",IFERROR(INDEX(Items!$F$5:$F$504,U1368),0)),"")</f>
        <v/>
      </c>
      <c r="N1368" s="61" t="str">
        <f aca="false">IF(IsPro,IF($D1368="","",IF(AND(V1368&lt;&gt;"",INDEX(Parties!$E$5:$E$304,V1368)&lt;&gt;"",INDEX(Parties!$E$5:$E$304,V1368)&lt;&gt;HomeState),0,ROUND(L1368*M1368/2,2))),"")</f>
        <v/>
      </c>
      <c r="O1368" s="61" t="str">
        <f aca="false">IF(IsPro,IF($D1368="","",N1368),"")</f>
        <v/>
      </c>
      <c r="P1368" s="61" t="str">
        <f aca="false">IF(IsPro,IF($D1368="","",IF(AND(V1368&lt;&gt;"",INDEX(Parties!$E$5:$E$304,V1368)&lt;&gt;"",INDEX(Parties!$E$5:$E$304,V1368)&lt;&gt;HomeState),ROUND(L1368*M1368,2),0)),"")</f>
        <v/>
      </c>
      <c r="Q1368" s="61" t="str">
        <f aca="false">IF(IsPro,IF($D1368="","",L1368+N1368+O1368+P1368),"")</f>
        <v/>
      </c>
      <c r="R1368" s="61" t="str">
        <f aca="false">IF(IsPro,IF($D1368="","",ROUND(N($E1368)*IFERROR(INDEX(Items!$P$5:$P$504,U1368),0),2)),"")</f>
        <v/>
      </c>
      <c r="S1368" s="61" t="str">
        <f aca="false">IF(IsPro,IF($D1368="","",L1368-R1368),"")</f>
        <v/>
      </c>
      <c r="T1368" s="60" t="str">
        <f aca="false">IF(IsPro,IF($D1368="","",IF(U1368="","UNKNOWN ITEM",IF(INDEX(Items!$O$5:$O$504,U1368)&lt;0,"NEG STOCK",IF(K1368&lt;INDEX(Items!$P$5:$P$504,U1368),"BELOW COST","OK")))),IF($D1368="","","PRO PLAN"))</f>
        <v/>
      </c>
      <c r="U1368" s="60" t="str">
        <f aca="false">IF(IsPro,IF($D1368="","",IFERROR(MATCH($D1368,Items!$A$5:$A$504,0),"")),"")</f>
        <v/>
      </c>
      <c r="V1368" s="60" t="str">
        <f aca="false">IF(IsPro,IF($C1368="","",IFERROR(MATCH($C1368,Parties!$A$5:$A$304,0),"")),"")</f>
        <v/>
      </c>
      <c r="W1368" s="60" t="str">
        <f aca="false">IF(IsPro,IF($B1368="","",IFERROR(VALUE(SUBSTITUTE($B1368,InvPrefix,"")),0)),"")</f>
        <v/>
      </c>
      <c r="X1368" s="61" t="str">
        <f aca="false">IF(IsPro,IF($D1368="","",IF(OR($H1368="",$H1368="Credit"),0,Q1368)),"")</f>
        <v/>
      </c>
    </row>
    <row r="1369" customFormat="false" ht="15" hidden="false" customHeight="false" outlineLevel="0" collapsed="false">
      <c r="A1369" s="55"/>
      <c r="B1369" s="56"/>
      <c r="C1369" s="56"/>
      <c r="D1369" s="56"/>
      <c r="E1369" s="57"/>
      <c r="F1369" s="58"/>
      <c r="G1369" s="59"/>
      <c r="H1369" s="56"/>
      <c r="I1369" s="56"/>
      <c r="J1369" s="60" t="str">
        <f aca="false">IF(IsPro,IF($D1369="","",IFERROR(INDEX(Items!$D$5:$D$504,U1369),"")),"")</f>
        <v/>
      </c>
      <c r="K1369" s="61" t="str">
        <f aca="false">IF(IsPro,IF($D1369="","",IF($F1369="",IFERROR(INDEX(Items!$H$5:$H$504,U1369),0),$F1369)),"")</f>
        <v/>
      </c>
      <c r="L1369" s="61" t="str">
        <f aca="false">IF(IsPro,IF($D1369="","",ROUND(N($E1369)*K1369*(1-N($G1369)),2)),"")</f>
        <v/>
      </c>
      <c r="M1369" s="62" t="str">
        <f aca="false">IF(IsPro,IF($D1369="","",IFERROR(INDEX(Items!$F$5:$F$504,U1369),0)),"")</f>
        <v/>
      </c>
      <c r="N1369" s="61" t="str">
        <f aca="false">IF(IsPro,IF($D1369="","",IF(AND(V1369&lt;&gt;"",INDEX(Parties!$E$5:$E$304,V1369)&lt;&gt;"",INDEX(Parties!$E$5:$E$304,V1369)&lt;&gt;HomeState),0,ROUND(L1369*M1369/2,2))),"")</f>
        <v/>
      </c>
      <c r="O1369" s="61" t="str">
        <f aca="false">IF(IsPro,IF($D1369="","",N1369),"")</f>
        <v/>
      </c>
      <c r="P1369" s="61" t="str">
        <f aca="false">IF(IsPro,IF($D1369="","",IF(AND(V1369&lt;&gt;"",INDEX(Parties!$E$5:$E$304,V1369)&lt;&gt;"",INDEX(Parties!$E$5:$E$304,V1369)&lt;&gt;HomeState),ROUND(L1369*M1369,2),0)),"")</f>
        <v/>
      </c>
      <c r="Q1369" s="61" t="str">
        <f aca="false">IF(IsPro,IF($D1369="","",L1369+N1369+O1369+P1369),"")</f>
        <v/>
      </c>
      <c r="R1369" s="61" t="str">
        <f aca="false">IF(IsPro,IF($D1369="","",ROUND(N($E1369)*IFERROR(INDEX(Items!$P$5:$P$504,U1369),0),2)),"")</f>
        <v/>
      </c>
      <c r="S1369" s="61" t="str">
        <f aca="false">IF(IsPro,IF($D1369="","",L1369-R1369),"")</f>
        <v/>
      </c>
      <c r="T1369" s="60" t="str">
        <f aca="false">IF(IsPro,IF($D1369="","",IF(U1369="","UNKNOWN ITEM",IF(INDEX(Items!$O$5:$O$504,U1369)&lt;0,"NEG STOCK",IF(K1369&lt;INDEX(Items!$P$5:$P$504,U1369),"BELOW COST","OK")))),IF($D1369="","","PRO PLAN"))</f>
        <v/>
      </c>
      <c r="U1369" s="60" t="str">
        <f aca="false">IF(IsPro,IF($D1369="","",IFERROR(MATCH($D1369,Items!$A$5:$A$504,0),"")),"")</f>
        <v/>
      </c>
      <c r="V1369" s="60" t="str">
        <f aca="false">IF(IsPro,IF($C1369="","",IFERROR(MATCH($C1369,Parties!$A$5:$A$304,0),"")),"")</f>
        <v/>
      </c>
      <c r="W1369" s="60" t="str">
        <f aca="false">IF(IsPro,IF($B1369="","",IFERROR(VALUE(SUBSTITUTE($B1369,InvPrefix,"")),0)),"")</f>
        <v/>
      </c>
      <c r="X1369" s="61" t="str">
        <f aca="false">IF(IsPro,IF($D1369="","",IF(OR($H1369="",$H1369="Credit"),0,Q1369)),"")</f>
        <v/>
      </c>
    </row>
    <row r="1370" customFormat="false" ht="15" hidden="false" customHeight="false" outlineLevel="0" collapsed="false">
      <c r="A1370" s="55"/>
      <c r="B1370" s="56"/>
      <c r="C1370" s="56"/>
      <c r="D1370" s="56"/>
      <c r="E1370" s="57"/>
      <c r="F1370" s="58"/>
      <c r="G1370" s="59"/>
      <c r="H1370" s="56"/>
      <c r="I1370" s="56"/>
      <c r="J1370" s="60" t="str">
        <f aca="false">IF(IsPro,IF($D1370="","",IFERROR(INDEX(Items!$D$5:$D$504,U1370),"")),"")</f>
        <v/>
      </c>
      <c r="K1370" s="61" t="str">
        <f aca="false">IF(IsPro,IF($D1370="","",IF($F1370="",IFERROR(INDEX(Items!$H$5:$H$504,U1370),0),$F1370)),"")</f>
        <v/>
      </c>
      <c r="L1370" s="61" t="str">
        <f aca="false">IF(IsPro,IF($D1370="","",ROUND(N($E1370)*K1370*(1-N($G1370)),2)),"")</f>
        <v/>
      </c>
      <c r="M1370" s="62" t="str">
        <f aca="false">IF(IsPro,IF($D1370="","",IFERROR(INDEX(Items!$F$5:$F$504,U1370),0)),"")</f>
        <v/>
      </c>
      <c r="N1370" s="61" t="str">
        <f aca="false">IF(IsPro,IF($D1370="","",IF(AND(V1370&lt;&gt;"",INDEX(Parties!$E$5:$E$304,V1370)&lt;&gt;"",INDEX(Parties!$E$5:$E$304,V1370)&lt;&gt;HomeState),0,ROUND(L1370*M1370/2,2))),"")</f>
        <v/>
      </c>
      <c r="O1370" s="61" t="str">
        <f aca="false">IF(IsPro,IF($D1370="","",N1370),"")</f>
        <v/>
      </c>
      <c r="P1370" s="61" t="str">
        <f aca="false">IF(IsPro,IF($D1370="","",IF(AND(V1370&lt;&gt;"",INDEX(Parties!$E$5:$E$304,V1370)&lt;&gt;"",INDEX(Parties!$E$5:$E$304,V1370)&lt;&gt;HomeState),ROUND(L1370*M1370,2),0)),"")</f>
        <v/>
      </c>
      <c r="Q1370" s="61" t="str">
        <f aca="false">IF(IsPro,IF($D1370="","",L1370+N1370+O1370+P1370),"")</f>
        <v/>
      </c>
      <c r="R1370" s="61" t="str">
        <f aca="false">IF(IsPro,IF($D1370="","",ROUND(N($E1370)*IFERROR(INDEX(Items!$P$5:$P$504,U1370),0),2)),"")</f>
        <v/>
      </c>
      <c r="S1370" s="61" t="str">
        <f aca="false">IF(IsPro,IF($D1370="","",L1370-R1370),"")</f>
        <v/>
      </c>
      <c r="T1370" s="60" t="str">
        <f aca="false">IF(IsPro,IF($D1370="","",IF(U1370="","UNKNOWN ITEM",IF(INDEX(Items!$O$5:$O$504,U1370)&lt;0,"NEG STOCK",IF(K1370&lt;INDEX(Items!$P$5:$P$504,U1370),"BELOW COST","OK")))),IF($D1370="","","PRO PLAN"))</f>
        <v/>
      </c>
      <c r="U1370" s="60" t="str">
        <f aca="false">IF(IsPro,IF($D1370="","",IFERROR(MATCH($D1370,Items!$A$5:$A$504,0),"")),"")</f>
        <v/>
      </c>
      <c r="V1370" s="60" t="str">
        <f aca="false">IF(IsPro,IF($C1370="","",IFERROR(MATCH($C1370,Parties!$A$5:$A$304,0),"")),"")</f>
        <v/>
      </c>
      <c r="W1370" s="60" t="str">
        <f aca="false">IF(IsPro,IF($B1370="","",IFERROR(VALUE(SUBSTITUTE($B1370,InvPrefix,"")),0)),"")</f>
        <v/>
      </c>
      <c r="X1370" s="61" t="str">
        <f aca="false">IF(IsPro,IF($D1370="","",IF(OR($H1370="",$H1370="Credit"),0,Q1370)),"")</f>
        <v/>
      </c>
    </row>
    <row r="1371" customFormat="false" ht="15" hidden="false" customHeight="false" outlineLevel="0" collapsed="false">
      <c r="A1371" s="55"/>
      <c r="B1371" s="56"/>
      <c r="C1371" s="56"/>
      <c r="D1371" s="56"/>
      <c r="E1371" s="57"/>
      <c r="F1371" s="58"/>
      <c r="G1371" s="59"/>
      <c r="H1371" s="56"/>
      <c r="I1371" s="56"/>
      <c r="J1371" s="60" t="str">
        <f aca="false">IF(IsPro,IF($D1371="","",IFERROR(INDEX(Items!$D$5:$D$504,U1371),"")),"")</f>
        <v/>
      </c>
      <c r="K1371" s="61" t="str">
        <f aca="false">IF(IsPro,IF($D1371="","",IF($F1371="",IFERROR(INDEX(Items!$H$5:$H$504,U1371),0),$F1371)),"")</f>
        <v/>
      </c>
      <c r="L1371" s="61" t="str">
        <f aca="false">IF(IsPro,IF($D1371="","",ROUND(N($E1371)*K1371*(1-N($G1371)),2)),"")</f>
        <v/>
      </c>
      <c r="M1371" s="62" t="str">
        <f aca="false">IF(IsPro,IF($D1371="","",IFERROR(INDEX(Items!$F$5:$F$504,U1371),0)),"")</f>
        <v/>
      </c>
      <c r="N1371" s="61" t="str">
        <f aca="false">IF(IsPro,IF($D1371="","",IF(AND(V1371&lt;&gt;"",INDEX(Parties!$E$5:$E$304,V1371)&lt;&gt;"",INDEX(Parties!$E$5:$E$304,V1371)&lt;&gt;HomeState),0,ROUND(L1371*M1371/2,2))),"")</f>
        <v/>
      </c>
      <c r="O1371" s="61" t="str">
        <f aca="false">IF(IsPro,IF($D1371="","",N1371),"")</f>
        <v/>
      </c>
      <c r="P1371" s="61" t="str">
        <f aca="false">IF(IsPro,IF($D1371="","",IF(AND(V1371&lt;&gt;"",INDEX(Parties!$E$5:$E$304,V1371)&lt;&gt;"",INDEX(Parties!$E$5:$E$304,V1371)&lt;&gt;HomeState),ROUND(L1371*M1371,2),0)),"")</f>
        <v/>
      </c>
      <c r="Q1371" s="61" t="str">
        <f aca="false">IF(IsPro,IF($D1371="","",L1371+N1371+O1371+P1371),"")</f>
        <v/>
      </c>
      <c r="R1371" s="61" t="str">
        <f aca="false">IF(IsPro,IF($D1371="","",ROUND(N($E1371)*IFERROR(INDEX(Items!$P$5:$P$504,U1371),0),2)),"")</f>
        <v/>
      </c>
      <c r="S1371" s="61" t="str">
        <f aca="false">IF(IsPro,IF($D1371="","",L1371-R1371),"")</f>
        <v/>
      </c>
      <c r="T1371" s="60" t="str">
        <f aca="false">IF(IsPro,IF($D1371="","",IF(U1371="","UNKNOWN ITEM",IF(INDEX(Items!$O$5:$O$504,U1371)&lt;0,"NEG STOCK",IF(K1371&lt;INDEX(Items!$P$5:$P$504,U1371),"BELOW COST","OK")))),IF($D1371="","","PRO PLAN"))</f>
        <v/>
      </c>
      <c r="U1371" s="60" t="str">
        <f aca="false">IF(IsPro,IF($D1371="","",IFERROR(MATCH($D1371,Items!$A$5:$A$504,0),"")),"")</f>
        <v/>
      </c>
      <c r="V1371" s="60" t="str">
        <f aca="false">IF(IsPro,IF($C1371="","",IFERROR(MATCH($C1371,Parties!$A$5:$A$304,0),"")),"")</f>
        <v/>
      </c>
      <c r="W1371" s="60" t="str">
        <f aca="false">IF(IsPro,IF($B1371="","",IFERROR(VALUE(SUBSTITUTE($B1371,InvPrefix,"")),0)),"")</f>
        <v/>
      </c>
      <c r="X1371" s="61" t="str">
        <f aca="false">IF(IsPro,IF($D1371="","",IF(OR($H1371="",$H1371="Credit"),0,Q1371)),"")</f>
        <v/>
      </c>
    </row>
    <row r="1372" customFormat="false" ht="15" hidden="false" customHeight="false" outlineLevel="0" collapsed="false">
      <c r="A1372" s="55"/>
      <c r="B1372" s="56"/>
      <c r="C1372" s="56"/>
      <c r="D1372" s="56"/>
      <c r="E1372" s="57"/>
      <c r="F1372" s="58"/>
      <c r="G1372" s="59"/>
      <c r="H1372" s="56"/>
      <c r="I1372" s="56"/>
      <c r="J1372" s="60" t="str">
        <f aca="false">IF(IsPro,IF($D1372="","",IFERROR(INDEX(Items!$D$5:$D$504,U1372),"")),"")</f>
        <v/>
      </c>
      <c r="K1372" s="61" t="str">
        <f aca="false">IF(IsPro,IF($D1372="","",IF($F1372="",IFERROR(INDEX(Items!$H$5:$H$504,U1372),0),$F1372)),"")</f>
        <v/>
      </c>
      <c r="L1372" s="61" t="str">
        <f aca="false">IF(IsPro,IF($D1372="","",ROUND(N($E1372)*K1372*(1-N($G1372)),2)),"")</f>
        <v/>
      </c>
      <c r="M1372" s="62" t="str">
        <f aca="false">IF(IsPro,IF($D1372="","",IFERROR(INDEX(Items!$F$5:$F$504,U1372),0)),"")</f>
        <v/>
      </c>
      <c r="N1372" s="61" t="str">
        <f aca="false">IF(IsPro,IF($D1372="","",IF(AND(V1372&lt;&gt;"",INDEX(Parties!$E$5:$E$304,V1372)&lt;&gt;"",INDEX(Parties!$E$5:$E$304,V1372)&lt;&gt;HomeState),0,ROUND(L1372*M1372/2,2))),"")</f>
        <v/>
      </c>
      <c r="O1372" s="61" t="str">
        <f aca="false">IF(IsPro,IF($D1372="","",N1372),"")</f>
        <v/>
      </c>
      <c r="P1372" s="61" t="str">
        <f aca="false">IF(IsPro,IF($D1372="","",IF(AND(V1372&lt;&gt;"",INDEX(Parties!$E$5:$E$304,V1372)&lt;&gt;"",INDEX(Parties!$E$5:$E$304,V1372)&lt;&gt;HomeState),ROUND(L1372*M1372,2),0)),"")</f>
        <v/>
      </c>
      <c r="Q1372" s="61" t="str">
        <f aca="false">IF(IsPro,IF($D1372="","",L1372+N1372+O1372+P1372),"")</f>
        <v/>
      </c>
      <c r="R1372" s="61" t="str">
        <f aca="false">IF(IsPro,IF($D1372="","",ROUND(N($E1372)*IFERROR(INDEX(Items!$P$5:$P$504,U1372),0),2)),"")</f>
        <v/>
      </c>
      <c r="S1372" s="61" t="str">
        <f aca="false">IF(IsPro,IF($D1372="","",L1372-R1372),"")</f>
        <v/>
      </c>
      <c r="T1372" s="60" t="str">
        <f aca="false">IF(IsPro,IF($D1372="","",IF(U1372="","UNKNOWN ITEM",IF(INDEX(Items!$O$5:$O$504,U1372)&lt;0,"NEG STOCK",IF(K1372&lt;INDEX(Items!$P$5:$P$504,U1372),"BELOW COST","OK")))),IF($D1372="","","PRO PLAN"))</f>
        <v/>
      </c>
      <c r="U1372" s="60" t="str">
        <f aca="false">IF(IsPro,IF($D1372="","",IFERROR(MATCH($D1372,Items!$A$5:$A$504,0),"")),"")</f>
        <v/>
      </c>
      <c r="V1372" s="60" t="str">
        <f aca="false">IF(IsPro,IF($C1372="","",IFERROR(MATCH($C1372,Parties!$A$5:$A$304,0),"")),"")</f>
        <v/>
      </c>
      <c r="W1372" s="60" t="str">
        <f aca="false">IF(IsPro,IF($B1372="","",IFERROR(VALUE(SUBSTITUTE($B1372,InvPrefix,"")),0)),"")</f>
        <v/>
      </c>
      <c r="X1372" s="61" t="str">
        <f aca="false">IF(IsPro,IF($D1372="","",IF(OR($H1372="",$H1372="Credit"),0,Q1372)),"")</f>
        <v/>
      </c>
    </row>
    <row r="1373" customFormat="false" ht="15" hidden="false" customHeight="false" outlineLevel="0" collapsed="false">
      <c r="A1373" s="55"/>
      <c r="B1373" s="56"/>
      <c r="C1373" s="56"/>
      <c r="D1373" s="56"/>
      <c r="E1373" s="57"/>
      <c r="F1373" s="58"/>
      <c r="G1373" s="59"/>
      <c r="H1373" s="56"/>
      <c r="I1373" s="56"/>
      <c r="J1373" s="60" t="str">
        <f aca="false">IF(IsPro,IF($D1373="","",IFERROR(INDEX(Items!$D$5:$D$504,U1373),"")),"")</f>
        <v/>
      </c>
      <c r="K1373" s="61" t="str">
        <f aca="false">IF(IsPro,IF($D1373="","",IF($F1373="",IFERROR(INDEX(Items!$H$5:$H$504,U1373),0),$F1373)),"")</f>
        <v/>
      </c>
      <c r="L1373" s="61" t="str">
        <f aca="false">IF(IsPro,IF($D1373="","",ROUND(N($E1373)*K1373*(1-N($G1373)),2)),"")</f>
        <v/>
      </c>
      <c r="M1373" s="62" t="str">
        <f aca="false">IF(IsPro,IF($D1373="","",IFERROR(INDEX(Items!$F$5:$F$504,U1373),0)),"")</f>
        <v/>
      </c>
      <c r="N1373" s="61" t="str">
        <f aca="false">IF(IsPro,IF($D1373="","",IF(AND(V1373&lt;&gt;"",INDEX(Parties!$E$5:$E$304,V1373)&lt;&gt;"",INDEX(Parties!$E$5:$E$304,V1373)&lt;&gt;HomeState),0,ROUND(L1373*M1373/2,2))),"")</f>
        <v/>
      </c>
      <c r="O1373" s="61" t="str">
        <f aca="false">IF(IsPro,IF($D1373="","",N1373),"")</f>
        <v/>
      </c>
      <c r="P1373" s="61" t="str">
        <f aca="false">IF(IsPro,IF($D1373="","",IF(AND(V1373&lt;&gt;"",INDEX(Parties!$E$5:$E$304,V1373)&lt;&gt;"",INDEX(Parties!$E$5:$E$304,V1373)&lt;&gt;HomeState),ROUND(L1373*M1373,2),0)),"")</f>
        <v/>
      </c>
      <c r="Q1373" s="61" t="str">
        <f aca="false">IF(IsPro,IF($D1373="","",L1373+N1373+O1373+P1373),"")</f>
        <v/>
      </c>
      <c r="R1373" s="61" t="str">
        <f aca="false">IF(IsPro,IF($D1373="","",ROUND(N($E1373)*IFERROR(INDEX(Items!$P$5:$P$504,U1373),0),2)),"")</f>
        <v/>
      </c>
      <c r="S1373" s="61" t="str">
        <f aca="false">IF(IsPro,IF($D1373="","",L1373-R1373),"")</f>
        <v/>
      </c>
      <c r="T1373" s="60" t="str">
        <f aca="false">IF(IsPro,IF($D1373="","",IF(U1373="","UNKNOWN ITEM",IF(INDEX(Items!$O$5:$O$504,U1373)&lt;0,"NEG STOCK",IF(K1373&lt;INDEX(Items!$P$5:$P$504,U1373),"BELOW COST","OK")))),IF($D1373="","","PRO PLAN"))</f>
        <v/>
      </c>
      <c r="U1373" s="60" t="str">
        <f aca="false">IF(IsPro,IF($D1373="","",IFERROR(MATCH($D1373,Items!$A$5:$A$504,0),"")),"")</f>
        <v/>
      </c>
      <c r="V1373" s="60" t="str">
        <f aca="false">IF(IsPro,IF($C1373="","",IFERROR(MATCH($C1373,Parties!$A$5:$A$304,0),"")),"")</f>
        <v/>
      </c>
      <c r="W1373" s="60" t="str">
        <f aca="false">IF(IsPro,IF($B1373="","",IFERROR(VALUE(SUBSTITUTE($B1373,InvPrefix,"")),0)),"")</f>
        <v/>
      </c>
      <c r="X1373" s="61" t="str">
        <f aca="false">IF(IsPro,IF($D1373="","",IF(OR($H1373="",$H1373="Credit"),0,Q1373)),"")</f>
        <v/>
      </c>
    </row>
    <row r="1374" customFormat="false" ht="15" hidden="false" customHeight="false" outlineLevel="0" collapsed="false">
      <c r="A1374" s="55"/>
      <c r="B1374" s="56"/>
      <c r="C1374" s="56"/>
      <c r="D1374" s="56"/>
      <c r="E1374" s="57"/>
      <c r="F1374" s="58"/>
      <c r="G1374" s="59"/>
      <c r="H1374" s="56"/>
      <c r="I1374" s="56"/>
      <c r="J1374" s="60" t="str">
        <f aca="false">IF(IsPro,IF($D1374="","",IFERROR(INDEX(Items!$D$5:$D$504,U1374),"")),"")</f>
        <v/>
      </c>
      <c r="K1374" s="61" t="str">
        <f aca="false">IF(IsPro,IF($D1374="","",IF($F1374="",IFERROR(INDEX(Items!$H$5:$H$504,U1374),0),$F1374)),"")</f>
        <v/>
      </c>
      <c r="L1374" s="61" t="str">
        <f aca="false">IF(IsPro,IF($D1374="","",ROUND(N($E1374)*K1374*(1-N($G1374)),2)),"")</f>
        <v/>
      </c>
      <c r="M1374" s="62" t="str">
        <f aca="false">IF(IsPro,IF($D1374="","",IFERROR(INDEX(Items!$F$5:$F$504,U1374),0)),"")</f>
        <v/>
      </c>
      <c r="N1374" s="61" t="str">
        <f aca="false">IF(IsPro,IF($D1374="","",IF(AND(V1374&lt;&gt;"",INDEX(Parties!$E$5:$E$304,V1374)&lt;&gt;"",INDEX(Parties!$E$5:$E$304,V1374)&lt;&gt;HomeState),0,ROUND(L1374*M1374/2,2))),"")</f>
        <v/>
      </c>
      <c r="O1374" s="61" t="str">
        <f aca="false">IF(IsPro,IF($D1374="","",N1374),"")</f>
        <v/>
      </c>
      <c r="P1374" s="61" t="str">
        <f aca="false">IF(IsPro,IF($D1374="","",IF(AND(V1374&lt;&gt;"",INDEX(Parties!$E$5:$E$304,V1374)&lt;&gt;"",INDEX(Parties!$E$5:$E$304,V1374)&lt;&gt;HomeState),ROUND(L1374*M1374,2),0)),"")</f>
        <v/>
      </c>
      <c r="Q1374" s="61" t="str">
        <f aca="false">IF(IsPro,IF($D1374="","",L1374+N1374+O1374+P1374),"")</f>
        <v/>
      </c>
      <c r="R1374" s="61" t="str">
        <f aca="false">IF(IsPro,IF($D1374="","",ROUND(N($E1374)*IFERROR(INDEX(Items!$P$5:$P$504,U1374),0),2)),"")</f>
        <v/>
      </c>
      <c r="S1374" s="61" t="str">
        <f aca="false">IF(IsPro,IF($D1374="","",L1374-R1374),"")</f>
        <v/>
      </c>
      <c r="T1374" s="60" t="str">
        <f aca="false">IF(IsPro,IF($D1374="","",IF(U1374="","UNKNOWN ITEM",IF(INDEX(Items!$O$5:$O$504,U1374)&lt;0,"NEG STOCK",IF(K1374&lt;INDEX(Items!$P$5:$P$504,U1374),"BELOW COST","OK")))),IF($D1374="","","PRO PLAN"))</f>
        <v/>
      </c>
      <c r="U1374" s="60" t="str">
        <f aca="false">IF(IsPro,IF($D1374="","",IFERROR(MATCH($D1374,Items!$A$5:$A$504,0),"")),"")</f>
        <v/>
      </c>
      <c r="V1374" s="60" t="str">
        <f aca="false">IF(IsPro,IF($C1374="","",IFERROR(MATCH($C1374,Parties!$A$5:$A$304,0),"")),"")</f>
        <v/>
      </c>
      <c r="W1374" s="60" t="str">
        <f aca="false">IF(IsPro,IF($B1374="","",IFERROR(VALUE(SUBSTITUTE($B1374,InvPrefix,"")),0)),"")</f>
        <v/>
      </c>
      <c r="X1374" s="61" t="str">
        <f aca="false">IF(IsPro,IF($D1374="","",IF(OR($H1374="",$H1374="Credit"),0,Q1374)),"")</f>
        <v/>
      </c>
    </row>
    <row r="1375" customFormat="false" ht="15" hidden="false" customHeight="false" outlineLevel="0" collapsed="false">
      <c r="A1375" s="55"/>
      <c r="B1375" s="56"/>
      <c r="C1375" s="56"/>
      <c r="D1375" s="56"/>
      <c r="E1375" s="57"/>
      <c r="F1375" s="58"/>
      <c r="G1375" s="59"/>
      <c r="H1375" s="56"/>
      <c r="I1375" s="56"/>
      <c r="J1375" s="60" t="str">
        <f aca="false">IF(IsPro,IF($D1375="","",IFERROR(INDEX(Items!$D$5:$D$504,U1375),"")),"")</f>
        <v/>
      </c>
      <c r="K1375" s="61" t="str">
        <f aca="false">IF(IsPro,IF($D1375="","",IF($F1375="",IFERROR(INDEX(Items!$H$5:$H$504,U1375),0),$F1375)),"")</f>
        <v/>
      </c>
      <c r="L1375" s="61" t="str">
        <f aca="false">IF(IsPro,IF($D1375="","",ROUND(N($E1375)*K1375*(1-N($G1375)),2)),"")</f>
        <v/>
      </c>
      <c r="M1375" s="62" t="str">
        <f aca="false">IF(IsPro,IF($D1375="","",IFERROR(INDEX(Items!$F$5:$F$504,U1375),0)),"")</f>
        <v/>
      </c>
      <c r="N1375" s="61" t="str">
        <f aca="false">IF(IsPro,IF($D1375="","",IF(AND(V1375&lt;&gt;"",INDEX(Parties!$E$5:$E$304,V1375)&lt;&gt;"",INDEX(Parties!$E$5:$E$304,V1375)&lt;&gt;HomeState),0,ROUND(L1375*M1375/2,2))),"")</f>
        <v/>
      </c>
      <c r="O1375" s="61" t="str">
        <f aca="false">IF(IsPro,IF($D1375="","",N1375),"")</f>
        <v/>
      </c>
      <c r="P1375" s="61" t="str">
        <f aca="false">IF(IsPro,IF($D1375="","",IF(AND(V1375&lt;&gt;"",INDEX(Parties!$E$5:$E$304,V1375)&lt;&gt;"",INDEX(Parties!$E$5:$E$304,V1375)&lt;&gt;HomeState),ROUND(L1375*M1375,2),0)),"")</f>
        <v/>
      </c>
      <c r="Q1375" s="61" t="str">
        <f aca="false">IF(IsPro,IF($D1375="","",L1375+N1375+O1375+P1375),"")</f>
        <v/>
      </c>
      <c r="R1375" s="61" t="str">
        <f aca="false">IF(IsPro,IF($D1375="","",ROUND(N($E1375)*IFERROR(INDEX(Items!$P$5:$P$504,U1375),0),2)),"")</f>
        <v/>
      </c>
      <c r="S1375" s="61" t="str">
        <f aca="false">IF(IsPro,IF($D1375="","",L1375-R1375),"")</f>
        <v/>
      </c>
      <c r="T1375" s="60" t="str">
        <f aca="false">IF(IsPro,IF($D1375="","",IF(U1375="","UNKNOWN ITEM",IF(INDEX(Items!$O$5:$O$504,U1375)&lt;0,"NEG STOCK",IF(K1375&lt;INDEX(Items!$P$5:$P$504,U1375),"BELOW COST","OK")))),IF($D1375="","","PRO PLAN"))</f>
        <v/>
      </c>
      <c r="U1375" s="60" t="str">
        <f aca="false">IF(IsPro,IF($D1375="","",IFERROR(MATCH($D1375,Items!$A$5:$A$504,0),"")),"")</f>
        <v/>
      </c>
      <c r="V1375" s="60" t="str">
        <f aca="false">IF(IsPro,IF($C1375="","",IFERROR(MATCH($C1375,Parties!$A$5:$A$304,0),"")),"")</f>
        <v/>
      </c>
      <c r="W1375" s="60" t="str">
        <f aca="false">IF(IsPro,IF($B1375="","",IFERROR(VALUE(SUBSTITUTE($B1375,InvPrefix,"")),0)),"")</f>
        <v/>
      </c>
      <c r="X1375" s="61" t="str">
        <f aca="false">IF(IsPro,IF($D1375="","",IF(OR($H1375="",$H1375="Credit"),0,Q1375)),"")</f>
        <v/>
      </c>
    </row>
    <row r="1376" customFormat="false" ht="15" hidden="false" customHeight="false" outlineLevel="0" collapsed="false">
      <c r="A1376" s="55"/>
      <c r="B1376" s="56"/>
      <c r="C1376" s="56"/>
      <c r="D1376" s="56"/>
      <c r="E1376" s="57"/>
      <c r="F1376" s="58"/>
      <c r="G1376" s="59"/>
      <c r="H1376" s="56"/>
      <c r="I1376" s="56"/>
      <c r="J1376" s="60" t="str">
        <f aca="false">IF(IsPro,IF($D1376="","",IFERROR(INDEX(Items!$D$5:$D$504,U1376),"")),"")</f>
        <v/>
      </c>
      <c r="K1376" s="61" t="str">
        <f aca="false">IF(IsPro,IF($D1376="","",IF($F1376="",IFERROR(INDEX(Items!$H$5:$H$504,U1376),0),$F1376)),"")</f>
        <v/>
      </c>
      <c r="L1376" s="61" t="str">
        <f aca="false">IF(IsPro,IF($D1376="","",ROUND(N($E1376)*K1376*(1-N($G1376)),2)),"")</f>
        <v/>
      </c>
      <c r="M1376" s="62" t="str">
        <f aca="false">IF(IsPro,IF($D1376="","",IFERROR(INDEX(Items!$F$5:$F$504,U1376),0)),"")</f>
        <v/>
      </c>
      <c r="N1376" s="61" t="str">
        <f aca="false">IF(IsPro,IF($D1376="","",IF(AND(V1376&lt;&gt;"",INDEX(Parties!$E$5:$E$304,V1376)&lt;&gt;"",INDEX(Parties!$E$5:$E$304,V1376)&lt;&gt;HomeState),0,ROUND(L1376*M1376/2,2))),"")</f>
        <v/>
      </c>
      <c r="O1376" s="61" t="str">
        <f aca="false">IF(IsPro,IF($D1376="","",N1376),"")</f>
        <v/>
      </c>
      <c r="P1376" s="61" t="str">
        <f aca="false">IF(IsPro,IF($D1376="","",IF(AND(V1376&lt;&gt;"",INDEX(Parties!$E$5:$E$304,V1376)&lt;&gt;"",INDEX(Parties!$E$5:$E$304,V1376)&lt;&gt;HomeState),ROUND(L1376*M1376,2),0)),"")</f>
        <v/>
      </c>
      <c r="Q1376" s="61" t="str">
        <f aca="false">IF(IsPro,IF($D1376="","",L1376+N1376+O1376+P1376),"")</f>
        <v/>
      </c>
      <c r="R1376" s="61" t="str">
        <f aca="false">IF(IsPro,IF($D1376="","",ROUND(N($E1376)*IFERROR(INDEX(Items!$P$5:$P$504,U1376),0),2)),"")</f>
        <v/>
      </c>
      <c r="S1376" s="61" t="str">
        <f aca="false">IF(IsPro,IF($D1376="","",L1376-R1376),"")</f>
        <v/>
      </c>
      <c r="T1376" s="60" t="str">
        <f aca="false">IF(IsPro,IF($D1376="","",IF(U1376="","UNKNOWN ITEM",IF(INDEX(Items!$O$5:$O$504,U1376)&lt;0,"NEG STOCK",IF(K1376&lt;INDEX(Items!$P$5:$P$504,U1376),"BELOW COST","OK")))),IF($D1376="","","PRO PLAN"))</f>
        <v/>
      </c>
      <c r="U1376" s="60" t="str">
        <f aca="false">IF(IsPro,IF($D1376="","",IFERROR(MATCH($D1376,Items!$A$5:$A$504,0),"")),"")</f>
        <v/>
      </c>
      <c r="V1376" s="60" t="str">
        <f aca="false">IF(IsPro,IF($C1376="","",IFERROR(MATCH($C1376,Parties!$A$5:$A$304,0),"")),"")</f>
        <v/>
      </c>
      <c r="W1376" s="60" t="str">
        <f aca="false">IF(IsPro,IF($B1376="","",IFERROR(VALUE(SUBSTITUTE($B1376,InvPrefix,"")),0)),"")</f>
        <v/>
      </c>
      <c r="X1376" s="61" t="str">
        <f aca="false">IF(IsPro,IF($D1376="","",IF(OR($H1376="",$H1376="Credit"),0,Q1376)),"")</f>
        <v/>
      </c>
    </row>
    <row r="1377" customFormat="false" ht="15" hidden="false" customHeight="false" outlineLevel="0" collapsed="false">
      <c r="A1377" s="55"/>
      <c r="B1377" s="56"/>
      <c r="C1377" s="56"/>
      <c r="D1377" s="56"/>
      <c r="E1377" s="57"/>
      <c r="F1377" s="58"/>
      <c r="G1377" s="59"/>
      <c r="H1377" s="56"/>
      <c r="I1377" s="56"/>
      <c r="J1377" s="60" t="str">
        <f aca="false">IF(IsPro,IF($D1377="","",IFERROR(INDEX(Items!$D$5:$D$504,U1377),"")),"")</f>
        <v/>
      </c>
      <c r="K1377" s="61" t="str">
        <f aca="false">IF(IsPro,IF($D1377="","",IF($F1377="",IFERROR(INDEX(Items!$H$5:$H$504,U1377),0),$F1377)),"")</f>
        <v/>
      </c>
      <c r="L1377" s="61" t="str">
        <f aca="false">IF(IsPro,IF($D1377="","",ROUND(N($E1377)*K1377*(1-N($G1377)),2)),"")</f>
        <v/>
      </c>
      <c r="M1377" s="62" t="str">
        <f aca="false">IF(IsPro,IF($D1377="","",IFERROR(INDEX(Items!$F$5:$F$504,U1377),0)),"")</f>
        <v/>
      </c>
      <c r="N1377" s="61" t="str">
        <f aca="false">IF(IsPro,IF($D1377="","",IF(AND(V1377&lt;&gt;"",INDEX(Parties!$E$5:$E$304,V1377)&lt;&gt;"",INDEX(Parties!$E$5:$E$304,V1377)&lt;&gt;HomeState),0,ROUND(L1377*M1377/2,2))),"")</f>
        <v/>
      </c>
      <c r="O1377" s="61" t="str">
        <f aca="false">IF(IsPro,IF($D1377="","",N1377),"")</f>
        <v/>
      </c>
      <c r="P1377" s="61" t="str">
        <f aca="false">IF(IsPro,IF($D1377="","",IF(AND(V1377&lt;&gt;"",INDEX(Parties!$E$5:$E$304,V1377)&lt;&gt;"",INDEX(Parties!$E$5:$E$304,V1377)&lt;&gt;HomeState),ROUND(L1377*M1377,2),0)),"")</f>
        <v/>
      </c>
      <c r="Q1377" s="61" t="str">
        <f aca="false">IF(IsPro,IF($D1377="","",L1377+N1377+O1377+P1377),"")</f>
        <v/>
      </c>
      <c r="R1377" s="61" t="str">
        <f aca="false">IF(IsPro,IF($D1377="","",ROUND(N($E1377)*IFERROR(INDEX(Items!$P$5:$P$504,U1377),0),2)),"")</f>
        <v/>
      </c>
      <c r="S1377" s="61" t="str">
        <f aca="false">IF(IsPro,IF($D1377="","",L1377-R1377),"")</f>
        <v/>
      </c>
      <c r="T1377" s="60" t="str">
        <f aca="false">IF(IsPro,IF($D1377="","",IF(U1377="","UNKNOWN ITEM",IF(INDEX(Items!$O$5:$O$504,U1377)&lt;0,"NEG STOCK",IF(K1377&lt;INDEX(Items!$P$5:$P$504,U1377),"BELOW COST","OK")))),IF($D1377="","","PRO PLAN"))</f>
        <v/>
      </c>
      <c r="U1377" s="60" t="str">
        <f aca="false">IF(IsPro,IF($D1377="","",IFERROR(MATCH($D1377,Items!$A$5:$A$504,0),"")),"")</f>
        <v/>
      </c>
      <c r="V1377" s="60" t="str">
        <f aca="false">IF(IsPro,IF($C1377="","",IFERROR(MATCH($C1377,Parties!$A$5:$A$304,0),"")),"")</f>
        <v/>
      </c>
      <c r="W1377" s="60" t="str">
        <f aca="false">IF(IsPro,IF($B1377="","",IFERROR(VALUE(SUBSTITUTE($B1377,InvPrefix,"")),0)),"")</f>
        <v/>
      </c>
      <c r="X1377" s="61" t="str">
        <f aca="false">IF(IsPro,IF($D1377="","",IF(OR($H1377="",$H1377="Credit"),0,Q1377)),"")</f>
        <v/>
      </c>
    </row>
    <row r="1378" customFormat="false" ht="15" hidden="false" customHeight="false" outlineLevel="0" collapsed="false">
      <c r="A1378" s="55"/>
      <c r="B1378" s="56"/>
      <c r="C1378" s="56"/>
      <c r="D1378" s="56"/>
      <c r="E1378" s="57"/>
      <c r="F1378" s="58"/>
      <c r="G1378" s="59"/>
      <c r="H1378" s="56"/>
      <c r="I1378" s="56"/>
      <c r="J1378" s="60" t="str">
        <f aca="false">IF(IsPro,IF($D1378="","",IFERROR(INDEX(Items!$D$5:$D$504,U1378),"")),"")</f>
        <v/>
      </c>
      <c r="K1378" s="61" t="str">
        <f aca="false">IF(IsPro,IF($D1378="","",IF($F1378="",IFERROR(INDEX(Items!$H$5:$H$504,U1378),0),$F1378)),"")</f>
        <v/>
      </c>
      <c r="L1378" s="61" t="str">
        <f aca="false">IF(IsPro,IF($D1378="","",ROUND(N($E1378)*K1378*(1-N($G1378)),2)),"")</f>
        <v/>
      </c>
      <c r="M1378" s="62" t="str">
        <f aca="false">IF(IsPro,IF($D1378="","",IFERROR(INDEX(Items!$F$5:$F$504,U1378),0)),"")</f>
        <v/>
      </c>
      <c r="N1378" s="61" t="str">
        <f aca="false">IF(IsPro,IF($D1378="","",IF(AND(V1378&lt;&gt;"",INDEX(Parties!$E$5:$E$304,V1378)&lt;&gt;"",INDEX(Parties!$E$5:$E$304,V1378)&lt;&gt;HomeState),0,ROUND(L1378*M1378/2,2))),"")</f>
        <v/>
      </c>
      <c r="O1378" s="61" t="str">
        <f aca="false">IF(IsPro,IF($D1378="","",N1378),"")</f>
        <v/>
      </c>
      <c r="P1378" s="61" t="str">
        <f aca="false">IF(IsPro,IF($D1378="","",IF(AND(V1378&lt;&gt;"",INDEX(Parties!$E$5:$E$304,V1378)&lt;&gt;"",INDEX(Parties!$E$5:$E$304,V1378)&lt;&gt;HomeState),ROUND(L1378*M1378,2),0)),"")</f>
        <v/>
      </c>
      <c r="Q1378" s="61" t="str">
        <f aca="false">IF(IsPro,IF($D1378="","",L1378+N1378+O1378+P1378),"")</f>
        <v/>
      </c>
      <c r="R1378" s="61" t="str">
        <f aca="false">IF(IsPro,IF($D1378="","",ROUND(N($E1378)*IFERROR(INDEX(Items!$P$5:$P$504,U1378),0),2)),"")</f>
        <v/>
      </c>
      <c r="S1378" s="61" t="str">
        <f aca="false">IF(IsPro,IF($D1378="","",L1378-R1378),"")</f>
        <v/>
      </c>
      <c r="T1378" s="60" t="str">
        <f aca="false">IF(IsPro,IF($D1378="","",IF(U1378="","UNKNOWN ITEM",IF(INDEX(Items!$O$5:$O$504,U1378)&lt;0,"NEG STOCK",IF(K1378&lt;INDEX(Items!$P$5:$P$504,U1378),"BELOW COST","OK")))),IF($D1378="","","PRO PLAN"))</f>
        <v/>
      </c>
      <c r="U1378" s="60" t="str">
        <f aca="false">IF(IsPro,IF($D1378="","",IFERROR(MATCH($D1378,Items!$A$5:$A$504,0),"")),"")</f>
        <v/>
      </c>
      <c r="V1378" s="60" t="str">
        <f aca="false">IF(IsPro,IF($C1378="","",IFERROR(MATCH($C1378,Parties!$A$5:$A$304,0),"")),"")</f>
        <v/>
      </c>
      <c r="W1378" s="60" t="str">
        <f aca="false">IF(IsPro,IF($B1378="","",IFERROR(VALUE(SUBSTITUTE($B1378,InvPrefix,"")),0)),"")</f>
        <v/>
      </c>
      <c r="X1378" s="61" t="str">
        <f aca="false">IF(IsPro,IF($D1378="","",IF(OR($H1378="",$H1378="Credit"),0,Q1378)),"")</f>
        <v/>
      </c>
    </row>
    <row r="1379" customFormat="false" ht="15" hidden="false" customHeight="false" outlineLevel="0" collapsed="false">
      <c r="A1379" s="55"/>
      <c r="B1379" s="56"/>
      <c r="C1379" s="56"/>
      <c r="D1379" s="56"/>
      <c r="E1379" s="57"/>
      <c r="F1379" s="58"/>
      <c r="G1379" s="59"/>
      <c r="H1379" s="56"/>
      <c r="I1379" s="56"/>
      <c r="J1379" s="60" t="str">
        <f aca="false">IF(IsPro,IF($D1379="","",IFERROR(INDEX(Items!$D$5:$D$504,U1379),"")),"")</f>
        <v/>
      </c>
      <c r="K1379" s="61" t="str">
        <f aca="false">IF(IsPro,IF($D1379="","",IF($F1379="",IFERROR(INDEX(Items!$H$5:$H$504,U1379),0),$F1379)),"")</f>
        <v/>
      </c>
      <c r="L1379" s="61" t="str">
        <f aca="false">IF(IsPro,IF($D1379="","",ROUND(N($E1379)*K1379*(1-N($G1379)),2)),"")</f>
        <v/>
      </c>
      <c r="M1379" s="62" t="str">
        <f aca="false">IF(IsPro,IF($D1379="","",IFERROR(INDEX(Items!$F$5:$F$504,U1379),0)),"")</f>
        <v/>
      </c>
      <c r="N1379" s="61" t="str">
        <f aca="false">IF(IsPro,IF($D1379="","",IF(AND(V1379&lt;&gt;"",INDEX(Parties!$E$5:$E$304,V1379)&lt;&gt;"",INDEX(Parties!$E$5:$E$304,V1379)&lt;&gt;HomeState),0,ROUND(L1379*M1379/2,2))),"")</f>
        <v/>
      </c>
      <c r="O1379" s="61" t="str">
        <f aca="false">IF(IsPro,IF($D1379="","",N1379),"")</f>
        <v/>
      </c>
      <c r="P1379" s="61" t="str">
        <f aca="false">IF(IsPro,IF($D1379="","",IF(AND(V1379&lt;&gt;"",INDEX(Parties!$E$5:$E$304,V1379)&lt;&gt;"",INDEX(Parties!$E$5:$E$304,V1379)&lt;&gt;HomeState),ROUND(L1379*M1379,2),0)),"")</f>
        <v/>
      </c>
      <c r="Q1379" s="61" t="str">
        <f aca="false">IF(IsPro,IF($D1379="","",L1379+N1379+O1379+P1379),"")</f>
        <v/>
      </c>
      <c r="R1379" s="61" t="str">
        <f aca="false">IF(IsPro,IF($D1379="","",ROUND(N($E1379)*IFERROR(INDEX(Items!$P$5:$P$504,U1379),0),2)),"")</f>
        <v/>
      </c>
      <c r="S1379" s="61" t="str">
        <f aca="false">IF(IsPro,IF($D1379="","",L1379-R1379),"")</f>
        <v/>
      </c>
      <c r="T1379" s="60" t="str">
        <f aca="false">IF(IsPro,IF($D1379="","",IF(U1379="","UNKNOWN ITEM",IF(INDEX(Items!$O$5:$O$504,U1379)&lt;0,"NEG STOCK",IF(K1379&lt;INDEX(Items!$P$5:$P$504,U1379),"BELOW COST","OK")))),IF($D1379="","","PRO PLAN"))</f>
        <v/>
      </c>
      <c r="U1379" s="60" t="str">
        <f aca="false">IF(IsPro,IF($D1379="","",IFERROR(MATCH($D1379,Items!$A$5:$A$504,0),"")),"")</f>
        <v/>
      </c>
      <c r="V1379" s="60" t="str">
        <f aca="false">IF(IsPro,IF($C1379="","",IFERROR(MATCH($C1379,Parties!$A$5:$A$304,0),"")),"")</f>
        <v/>
      </c>
      <c r="W1379" s="60" t="str">
        <f aca="false">IF(IsPro,IF($B1379="","",IFERROR(VALUE(SUBSTITUTE($B1379,InvPrefix,"")),0)),"")</f>
        <v/>
      </c>
      <c r="X1379" s="61" t="str">
        <f aca="false">IF(IsPro,IF($D1379="","",IF(OR($H1379="",$H1379="Credit"),0,Q1379)),"")</f>
        <v/>
      </c>
    </row>
    <row r="1380" customFormat="false" ht="15" hidden="false" customHeight="false" outlineLevel="0" collapsed="false">
      <c r="A1380" s="55"/>
      <c r="B1380" s="56"/>
      <c r="C1380" s="56"/>
      <c r="D1380" s="56"/>
      <c r="E1380" s="57"/>
      <c r="F1380" s="58"/>
      <c r="G1380" s="59"/>
      <c r="H1380" s="56"/>
      <c r="I1380" s="56"/>
      <c r="J1380" s="60" t="str">
        <f aca="false">IF(IsPro,IF($D1380="","",IFERROR(INDEX(Items!$D$5:$D$504,U1380),"")),"")</f>
        <v/>
      </c>
      <c r="K1380" s="61" t="str">
        <f aca="false">IF(IsPro,IF($D1380="","",IF($F1380="",IFERROR(INDEX(Items!$H$5:$H$504,U1380),0),$F1380)),"")</f>
        <v/>
      </c>
      <c r="L1380" s="61" t="str">
        <f aca="false">IF(IsPro,IF($D1380="","",ROUND(N($E1380)*K1380*(1-N($G1380)),2)),"")</f>
        <v/>
      </c>
      <c r="M1380" s="62" t="str">
        <f aca="false">IF(IsPro,IF($D1380="","",IFERROR(INDEX(Items!$F$5:$F$504,U1380),0)),"")</f>
        <v/>
      </c>
      <c r="N1380" s="61" t="str">
        <f aca="false">IF(IsPro,IF($D1380="","",IF(AND(V1380&lt;&gt;"",INDEX(Parties!$E$5:$E$304,V1380)&lt;&gt;"",INDEX(Parties!$E$5:$E$304,V1380)&lt;&gt;HomeState),0,ROUND(L1380*M1380/2,2))),"")</f>
        <v/>
      </c>
      <c r="O1380" s="61" t="str">
        <f aca="false">IF(IsPro,IF($D1380="","",N1380),"")</f>
        <v/>
      </c>
      <c r="P1380" s="61" t="str">
        <f aca="false">IF(IsPro,IF($D1380="","",IF(AND(V1380&lt;&gt;"",INDEX(Parties!$E$5:$E$304,V1380)&lt;&gt;"",INDEX(Parties!$E$5:$E$304,V1380)&lt;&gt;HomeState),ROUND(L1380*M1380,2),0)),"")</f>
        <v/>
      </c>
      <c r="Q1380" s="61" t="str">
        <f aca="false">IF(IsPro,IF($D1380="","",L1380+N1380+O1380+P1380),"")</f>
        <v/>
      </c>
      <c r="R1380" s="61" t="str">
        <f aca="false">IF(IsPro,IF($D1380="","",ROUND(N($E1380)*IFERROR(INDEX(Items!$P$5:$P$504,U1380),0),2)),"")</f>
        <v/>
      </c>
      <c r="S1380" s="61" t="str">
        <f aca="false">IF(IsPro,IF($D1380="","",L1380-R1380),"")</f>
        <v/>
      </c>
      <c r="T1380" s="60" t="str">
        <f aca="false">IF(IsPro,IF($D1380="","",IF(U1380="","UNKNOWN ITEM",IF(INDEX(Items!$O$5:$O$504,U1380)&lt;0,"NEG STOCK",IF(K1380&lt;INDEX(Items!$P$5:$P$504,U1380),"BELOW COST","OK")))),IF($D1380="","","PRO PLAN"))</f>
        <v/>
      </c>
      <c r="U1380" s="60" t="str">
        <f aca="false">IF(IsPro,IF($D1380="","",IFERROR(MATCH($D1380,Items!$A$5:$A$504,0),"")),"")</f>
        <v/>
      </c>
      <c r="V1380" s="60" t="str">
        <f aca="false">IF(IsPro,IF($C1380="","",IFERROR(MATCH($C1380,Parties!$A$5:$A$304,0),"")),"")</f>
        <v/>
      </c>
      <c r="W1380" s="60" t="str">
        <f aca="false">IF(IsPro,IF($B1380="","",IFERROR(VALUE(SUBSTITUTE($B1380,InvPrefix,"")),0)),"")</f>
        <v/>
      </c>
      <c r="X1380" s="61" t="str">
        <f aca="false">IF(IsPro,IF($D1380="","",IF(OR($H1380="",$H1380="Credit"),0,Q1380)),"")</f>
        <v/>
      </c>
    </row>
    <row r="1381" customFormat="false" ht="15" hidden="false" customHeight="false" outlineLevel="0" collapsed="false">
      <c r="A1381" s="55"/>
      <c r="B1381" s="56"/>
      <c r="C1381" s="56"/>
      <c r="D1381" s="56"/>
      <c r="E1381" s="57"/>
      <c r="F1381" s="58"/>
      <c r="G1381" s="59"/>
      <c r="H1381" s="56"/>
      <c r="I1381" s="56"/>
      <c r="J1381" s="60" t="str">
        <f aca="false">IF(IsPro,IF($D1381="","",IFERROR(INDEX(Items!$D$5:$D$504,U1381),"")),"")</f>
        <v/>
      </c>
      <c r="K1381" s="61" t="str">
        <f aca="false">IF(IsPro,IF($D1381="","",IF($F1381="",IFERROR(INDEX(Items!$H$5:$H$504,U1381),0),$F1381)),"")</f>
        <v/>
      </c>
      <c r="L1381" s="61" t="str">
        <f aca="false">IF(IsPro,IF($D1381="","",ROUND(N($E1381)*K1381*(1-N($G1381)),2)),"")</f>
        <v/>
      </c>
      <c r="M1381" s="62" t="str">
        <f aca="false">IF(IsPro,IF($D1381="","",IFERROR(INDEX(Items!$F$5:$F$504,U1381),0)),"")</f>
        <v/>
      </c>
      <c r="N1381" s="61" t="str">
        <f aca="false">IF(IsPro,IF($D1381="","",IF(AND(V1381&lt;&gt;"",INDEX(Parties!$E$5:$E$304,V1381)&lt;&gt;"",INDEX(Parties!$E$5:$E$304,V1381)&lt;&gt;HomeState),0,ROUND(L1381*M1381/2,2))),"")</f>
        <v/>
      </c>
      <c r="O1381" s="61" t="str">
        <f aca="false">IF(IsPro,IF($D1381="","",N1381),"")</f>
        <v/>
      </c>
      <c r="P1381" s="61" t="str">
        <f aca="false">IF(IsPro,IF($D1381="","",IF(AND(V1381&lt;&gt;"",INDEX(Parties!$E$5:$E$304,V1381)&lt;&gt;"",INDEX(Parties!$E$5:$E$304,V1381)&lt;&gt;HomeState),ROUND(L1381*M1381,2),0)),"")</f>
        <v/>
      </c>
      <c r="Q1381" s="61" t="str">
        <f aca="false">IF(IsPro,IF($D1381="","",L1381+N1381+O1381+P1381),"")</f>
        <v/>
      </c>
      <c r="R1381" s="61" t="str">
        <f aca="false">IF(IsPro,IF($D1381="","",ROUND(N($E1381)*IFERROR(INDEX(Items!$P$5:$P$504,U1381),0),2)),"")</f>
        <v/>
      </c>
      <c r="S1381" s="61" t="str">
        <f aca="false">IF(IsPro,IF($D1381="","",L1381-R1381),"")</f>
        <v/>
      </c>
      <c r="T1381" s="60" t="str">
        <f aca="false">IF(IsPro,IF($D1381="","",IF(U1381="","UNKNOWN ITEM",IF(INDEX(Items!$O$5:$O$504,U1381)&lt;0,"NEG STOCK",IF(K1381&lt;INDEX(Items!$P$5:$P$504,U1381),"BELOW COST","OK")))),IF($D1381="","","PRO PLAN"))</f>
        <v/>
      </c>
      <c r="U1381" s="60" t="str">
        <f aca="false">IF(IsPro,IF($D1381="","",IFERROR(MATCH($D1381,Items!$A$5:$A$504,0),"")),"")</f>
        <v/>
      </c>
      <c r="V1381" s="60" t="str">
        <f aca="false">IF(IsPro,IF($C1381="","",IFERROR(MATCH($C1381,Parties!$A$5:$A$304,0),"")),"")</f>
        <v/>
      </c>
      <c r="W1381" s="60" t="str">
        <f aca="false">IF(IsPro,IF($B1381="","",IFERROR(VALUE(SUBSTITUTE($B1381,InvPrefix,"")),0)),"")</f>
        <v/>
      </c>
      <c r="X1381" s="61" t="str">
        <f aca="false">IF(IsPro,IF($D1381="","",IF(OR($H1381="",$H1381="Credit"),0,Q1381)),"")</f>
        <v/>
      </c>
    </row>
    <row r="1382" customFormat="false" ht="15" hidden="false" customHeight="false" outlineLevel="0" collapsed="false">
      <c r="A1382" s="55"/>
      <c r="B1382" s="56"/>
      <c r="C1382" s="56"/>
      <c r="D1382" s="56"/>
      <c r="E1382" s="57"/>
      <c r="F1382" s="58"/>
      <c r="G1382" s="59"/>
      <c r="H1382" s="56"/>
      <c r="I1382" s="56"/>
      <c r="J1382" s="60" t="str">
        <f aca="false">IF(IsPro,IF($D1382="","",IFERROR(INDEX(Items!$D$5:$D$504,U1382),"")),"")</f>
        <v/>
      </c>
      <c r="K1382" s="61" t="str">
        <f aca="false">IF(IsPro,IF($D1382="","",IF($F1382="",IFERROR(INDEX(Items!$H$5:$H$504,U1382),0),$F1382)),"")</f>
        <v/>
      </c>
      <c r="L1382" s="61" t="str">
        <f aca="false">IF(IsPro,IF($D1382="","",ROUND(N($E1382)*K1382*(1-N($G1382)),2)),"")</f>
        <v/>
      </c>
      <c r="M1382" s="62" t="str">
        <f aca="false">IF(IsPro,IF($D1382="","",IFERROR(INDEX(Items!$F$5:$F$504,U1382),0)),"")</f>
        <v/>
      </c>
      <c r="N1382" s="61" t="str">
        <f aca="false">IF(IsPro,IF($D1382="","",IF(AND(V1382&lt;&gt;"",INDEX(Parties!$E$5:$E$304,V1382)&lt;&gt;"",INDEX(Parties!$E$5:$E$304,V1382)&lt;&gt;HomeState),0,ROUND(L1382*M1382/2,2))),"")</f>
        <v/>
      </c>
      <c r="O1382" s="61" t="str">
        <f aca="false">IF(IsPro,IF($D1382="","",N1382),"")</f>
        <v/>
      </c>
      <c r="P1382" s="61" t="str">
        <f aca="false">IF(IsPro,IF($D1382="","",IF(AND(V1382&lt;&gt;"",INDEX(Parties!$E$5:$E$304,V1382)&lt;&gt;"",INDEX(Parties!$E$5:$E$304,V1382)&lt;&gt;HomeState),ROUND(L1382*M1382,2),0)),"")</f>
        <v/>
      </c>
      <c r="Q1382" s="61" t="str">
        <f aca="false">IF(IsPro,IF($D1382="","",L1382+N1382+O1382+P1382),"")</f>
        <v/>
      </c>
      <c r="R1382" s="61" t="str">
        <f aca="false">IF(IsPro,IF($D1382="","",ROUND(N($E1382)*IFERROR(INDEX(Items!$P$5:$P$504,U1382),0),2)),"")</f>
        <v/>
      </c>
      <c r="S1382" s="61" t="str">
        <f aca="false">IF(IsPro,IF($D1382="","",L1382-R1382),"")</f>
        <v/>
      </c>
      <c r="T1382" s="60" t="str">
        <f aca="false">IF(IsPro,IF($D1382="","",IF(U1382="","UNKNOWN ITEM",IF(INDEX(Items!$O$5:$O$504,U1382)&lt;0,"NEG STOCK",IF(K1382&lt;INDEX(Items!$P$5:$P$504,U1382),"BELOW COST","OK")))),IF($D1382="","","PRO PLAN"))</f>
        <v/>
      </c>
      <c r="U1382" s="60" t="str">
        <f aca="false">IF(IsPro,IF($D1382="","",IFERROR(MATCH($D1382,Items!$A$5:$A$504,0),"")),"")</f>
        <v/>
      </c>
      <c r="V1382" s="60" t="str">
        <f aca="false">IF(IsPro,IF($C1382="","",IFERROR(MATCH($C1382,Parties!$A$5:$A$304,0),"")),"")</f>
        <v/>
      </c>
      <c r="W1382" s="60" t="str">
        <f aca="false">IF(IsPro,IF($B1382="","",IFERROR(VALUE(SUBSTITUTE($B1382,InvPrefix,"")),0)),"")</f>
        <v/>
      </c>
      <c r="X1382" s="61" t="str">
        <f aca="false">IF(IsPro,IF($D1382="","",IF(OR($H1382="",$H1382="Credit"),0,Q1382)),"")</f>
        <v/>
      </c>
    </row>
    <row r="1383" customFormat="false" ht="15" hidden="false" customHeight="false" outlineLevel="0" collapsed="false">
      <c r="A1383" s="55"/>
      <c r="B1383" s="56"/>
      <c r="C1383" s="56"/>
      <c r="D1383" s="56"/>
      <c r="E1383" s="57"/>
      <c r="F1383" s="58"/>
      <c r="G1383" s="59"/>
      <c r="H1383" s="56"/>
      <c r="I1383" s="56"/>
      <c r="J1383" s="60" t="str">
        <f aca="false">IF(IsPro,IF($D1383="","",IFERROR(INDEX(Items!$D$5:$D$504,U1383),"")),"")</f>
        <v/>
      </c>
      <c r="K1383" s="61" t="str">
        <f aca="false">IF(IsPro,IF($D1383="","",IF($F1383="",IFERROR(INDEX(Items!$H$5:$H$504,U1383),0),$F1383)),"")</f>
        <v/>
      </c>
      <c r="L1383" s="61" t="str">
        <f aca="false">IF(IsPro,IF($D1383="","",ROUND(N($E1383)*K1383*(1-N($G1383)),2)),"")</f>
        <v/>
      </c>
      <c r="M1383" s="62" t="str">
        <f aca="false">IF(IsPro,IF($D1383="","",IFERROR(INDEX(Items!$F$5:$F$504,U1383),0)),"")</f>
        <v/>
      </c>
      <c r="N1383" s="61" t="str">
        <f aca="false">IF(IsPro,IF($D1383="","",IF(AND(V1383&lt;&gt;"",INDEX(Parties!$E$5:$E$304,V1383)&lt;&gt;"",INDEX(Parties!$E$5:$E$304,V1383)&lt;&gt;HomeState),0,ROUND(L1383*M1383/2,2))),"")</f>
        <v/>
      </c>
      <c r="O1383" s="61" t="str">
        <f aca="false">IF(IsPro,IF($D1383="","",N1383),"")</f>
        <v/>
      </c>
      <c r="P1383" s="61" t="str">
        <f aca="false">IF(IsPro,IF($D1383="","",IF(AND(V1383&lt;&gt;"",INDEX(Parties!$E$5:$E$304,V1383)&lt;&gt;"",INDEX(Parties!$E$5:$E$304,V1383)&lt;&gt;HomeState),ROUND(L1383*M1383,2),0)),"")</f>
        <v/>
      </c>
      <c r="Q1383" s="61" t="str">
        <f aca="false">IF(IsPro,IF($D1383="","",L1383+N1383+O1383+P1383),"")</f>
        <v/>
      </c>
      <c r="R1383" s="61" t="str">
        <f aca="false">IF(IsPro,IF($D1383="","",ROUND(N($E1383)*IFERROR(INDEX(Items!$P$5:$P$504,U1383),0),2)),"")</f>
        <v/>
      </c>
      <c r="S1383" s="61" t="str">
        <f aca="false">IF(IsPro,IF($D1383="","",L1383-R1383),"")</f>
        <v/>
      </c>
      <c r="T1383" s="60" t="str">
        <f aca="false">IF(IsPro,IF($D1383="","",IF(U1383="","UNKNOWN ITEM",IF(INDEX(Items!$O$5:$O$504,U1383)&lt;0,"NEG STOCK",IF(K1383&lt;INDEX(Items!$P$5:$P$504,U1383),"BELOW COST","OK")))),IF($D1383="","","PRO PLAN"))</f>
        <v/>
      </c>
      <c r="U1383" s="60" t="str">
        <f aca="false">IF(IsPro,IF($D1383="","",IFERROR(MATCH($D1383,Items!$A$5:$A$504,0),"")),"")</f>
        <v/>
      </c>
      <c r="V1383" s="60" t="str">
        <f aca="false">IF(IsPro,IF($C1383="","",IFERROR(MATCH($C1383,Parties!$A$5:$A$304,0),"")),"")</f>
        <v/>
      </c>
      <c r="W1383" s="60" t="str">
        <f aca="false">IF(IsPro,IF($B1383="","",IFERROR(VALUE(SUBSTITUTE($B1383,InvPrefix,"")),0)),"")</f>
        <v/>
      </c>
      <c r="X1383" s="61" t="str">
        <f aca="false">IF(IsPro,IF($D1383="","",IF(OR($H1383="",$H1383="Credit"),0,Q1383)),"")</f>
        <v/>
      </c>
    </row>
    <row r="1384" customFormat="false" ht="15" hidden="false" customHeight="false" outlineLevel="0" collapsed="false">
      <c r="A1384" s="55"/>
      <c r="B1384" s="56"/>
      <c r="C1384" s="56"/>
      <c r="D1384" s="56"/>
      <c r="E1384" s="57"/>
      <c r="F1384" s="58"/>
      <c r="G1384" s="59"/>
      <c r="H1384" s="56"/>
      <c r="I1384" s="56"/>
      <c r="J1384" s="60" t="str">
        <f aca="false">IF(IsPro,IF($D1384="","",IFERROR(INDEX(Items!$D$5:$D$504,U1384),"")),"")</f>
        <v/>
      </c>
      <c r="K1384" s="61" t="str">
        <f aca="false">IF(IsPro,IF($D1384="","",IF($F1384="",IFERROR(INDEX(Items!$H$5:$H$504,U1384),0),$F1384)),"")</f>
        <v/>
      </c>
      <c r="L1384" s="61" t="str">
        <f aca="false">IF(IsPro,IF($D1384="","",ROUND(N($E1384)*K1384*(1-N($G1384)),2)),"")</f>
        <v/>
      </c>
      <c r="M1384" s="62" t="str">
        <f aca="false">IF(IsPro,IF($D1384="","",IFERROR(INDEX(Items!$F$5:$F$504,U1384),0)),"")</f>
        <v/>
      </c>
      <c r="N1384" s="61" t="str">
        <f aca="false">IF(IsPro,IF($D1384="","",IF(AND(V1384&lt;&gt;"",INDEX(Parties!$E$5:$E$304,V1384)&lt;&gt;"",INDEX(Parties!$E$5:$E$304,V1384)&lt;&gt;HomeState),0,ROUND(L1384*M1384/2,2))),"")</f>
        <v/>
      </c>
      <c r="O1384" s="61" t="str">
        <f aca="false">IF(IsPro,IF($D1384="","",N1384),"")</f>
        <v/>
      </c>
      <c r="P1384" s="61" t="str">
        <f aca="false">IF(IsPro,IF($D1384="","",IF(AND(V1384&lt;&gt;"",INDEX(Parties!$E$5:$E$304,V1384)&lt;&gt;"",INDEX(Parties!$E$5:$E$304,V1384)&lt;&gt;HomeState),ROUND(L1384*M1384,2),0)),"")</f>
        <v/>
      </c>
      <c r="Q1384" s="61" t="str">
        <f aca="false">IF(IsPro,IF($D1384="","",L1384+N1384+O1384+P1384),"")</f>
        <v/>
      </c>
      <c r="R1384" s="61" t="str">
        <f aca="false">IF(IsPro,IF($D1384="","",ROUND(N($E1384)*IFERROR(INDEX(Items!$P$5:$P$504,U1384),0),2)),"")</f>
        <v/>
      </c>
      <c r="S1384" s="61" t="str">
        <f aca="false">IF(IsPro,IF($D1384="","",L1384-R1384),"")</f>
        <v/>
      </c>
      <c r="T1384" s="60" t="str">
        <f aca="false">IF(IsPro,IF($D1384="","",IF(U1384="","UNKNOWN ITEM",IF(INDEX(Items!$O$5:$O$504,U1384)&lt;0,"NEG STOCK",IF(K1384&lt;INDEX(Items!$P$5:$P$504,U1384),"BELOW COST","OK")))),IF($D1384="","","PRO PLAN"))</f>
        <v/>
      </c>
      <c r="U1384" s="60" t="str">
        <f aca="false">IF(IsPro,IF($D1384="","",IFERROR(MATCH($D1384,Items!$A$5:$A$504,0),"")),"")</f>
        <v/>
      </c>
      <c r="V1384" s="60" t="str">
        <f aca="false">IF(IsPro,IF($C1384="","",IFERROR(MATCH($C1384,Parties!$A$5:$A$304,0),"")),"")</f>
        <v/>
      </c>
      <c r="W1384" s="60" t="str">
        <f aca="false">IF(IsPro,IF($B1384="","",IFERROR(VALUE(SUBSTITUTE($B1384,InvPrefix,"")),0)),"")</f>
        <v/>
      </c>
      <c r="X1384" s="61" t="str">
        <f aca="false">IF(IsPro,IF($D1384="","",IF(OR($H1384="",$H1384="Credit"),0,Q1384)),"")</f>
        <v/>
      </c>
    </row>
    <row r="1385" customFormat="false" ht="15" hidden="false" customHeight="false" outlineLevel="0" collapsed="false">
      <c r="A1385" s="55"/>
      <c r="B1385" s="56"/>
      <c r="C1385" s="56"/>
      <c r="D1385" s="56"/>
      <c r="E1385" s="57"/>
      <c r="F1385" s="58"/>
      <c r="G1385" s="59"/>
      <c r="H1385" s="56"/>
      <c r="I1385" s="56"/>
      <c r="J1385" s="60" t="str">
        <f aca="false">IF(IsPro,IF($D1385="","",IFERROR(INDEX(Items!$D$5:$D$504,U1385),"")),"")</f>
        <v/>
      </c>
      <c r="K1385" s="61" t="str">
        <f aca="false">IF(IsPro,IF($D1385="","",IF($F1385="",IFERROR(INDEX(Items!$H$5:$H$504,U1385),0),$F1385)),"")</f>
        <v/>
      </c>
      <c r="L1385" s="61" t="str">
        <f aca="false">IF(IsPro,IF($D1385="","",ROUND(N($E1385)*K1385*(1-N($G1385)),2)),"")</f>
        <v/>
      </c>
      <c r="M1385" s="62" t="str">
        <f aca="false">IF(IsPro,IF($D1385="","",IFERROR(INDEX(Items!$F$5:$F$504,U1385),0)),"")</f>
        <v/>
      </c>
      <c r="N1385" s="61" t="str">
        <f aca="false">IF(IsPro,IF($D1385="","",IF(AND(V1385&lt;&gt;"",INDEX(Parties!$E$5:$E$304,V1385)&lt;&gt;"",INDEX(Parties!$E$5:$E$304,V1385)&lt;&gt;HomeState),0,ROUND(L1385*M1385/2,2))),"")</f>
        <v/>
      </c>
      <c r="O1385" s="61" t="str">
        <f aca="false">IF(IsPro,IF($D1385="","",N1385),"")</f>
        <v/>
      </c>
      <c r="P1385" s="61" t="str">
        <f aca="false">IF(IsPro,IF($D1385="","",IF(AND(V1385&lt;&gt;"",INDEX(Parties!$E$5:$E$304,V1385)&lt;&gt;"",INDEX(Parties!$E$5:$E$304,V1385)&lt;&gt;HomeState),ROUND(L1385*M1385,2),0)),"")</f>
        <v/>
      </c>
      <c r="Q1385" s="61" t="str">
        <f aca="false">IF(IsPro,IF($D1385="","",L1385+N1385+O1385+P1385),"")</f>
        <v/>
      </c>
      <c r="R1385" s="61" t="str">
        <f aca="false">IF(IsPro,IF($D1385="","",ROUND(N($E1385)*IFERROR(INDEX(Items!$P$5:$P$504,U1385),0),2)),"")</f>
        <v/>
      </c>
      <c r="S1385" s="61" t="str">
        <f aca="false">IF(IsPro,IF($D1385="","",L1385-R1385),"")</f>
        <v/>
      </c>
      <c r="T1385" s="60" t="str">
        <f aca="false">IF(IsPro,IF($D1385="","",IF(U1385="","UNKNOWN ITEM",IF(INDEX(Items!$O$5:$O$504,U1385)&lt;0,"NEG STOCK",IF(K1385&lt;INDEX(Items!$P$5:$P$504,U1385),"BELOW COST","OK")))),IF($D1385="","","PRO PLAN"))</f>
        <v/>
      </c>
      <c r="U1385" s="60" t="str">
        <f aca="false">IF(IsPro,IF($D1385="","",IFERROR(MATCH($D1385,Items!$A$5:$A$504,0),"")),"")</f>
        <v/>
      </c>
      <c r="V1385" s="60" t="str">
        <f aca="false">IF(IsPro,IF($C1385="","",IFERROR(MATCH($C1385,Parties!$A$5:$A$304,0),"")),"")</f>
        <v/>
      </c>
      <c r="W1385" s="60" t="str">
        <f aca="false">IF(IsPro,IF($B1385="","",IFERROR(VALUE(SUBSTITUTE($B1385,InvPrefix,"")),0)),"")</f>
        <v/>
      </c>
      <c r="X1385" s="61" t="str">
        <f aca="false">IF(IsPro,IF($D1385="","",IF(OR($H1385="",$H1385="Credit"),0,Q1385)),"")</f>
        <v/>
      </c>
    </row>
    <row r="1386" customFormat="false" ht="15" hidden="false" customHeight="false" outlineLevel="0" collapsed="false">
      <c r="A1386" s="55"/>
      <c r="B1386" s="56"/>
      <c r="C1386" s="56"/>
      <c r="D1386" s="56"/>
      <c r="E1386" s="57"/>
      <c r="F1386" s="58"/>
      <c r="G1386" s="59"/>
      <c r="H1386" s="56"/>
      <c r="I1386" s="56"/>
      <c r="J1386" s="60" t="str">
        <f aca="false">IF(IsPro,IF($D1386="","",IFERROR(INDEX(Items!$D$5:$D$504,U1386),"")),"")</f>
        <v/>
      </c>
      <c r="K1386" s="61" t="str">
        <f aca="false">IF(IsPro,IF($D1386="","",IF($F1386="",IFERROR(INDEX(Items!$H$5:$H$504,U1386),0),$F1386)),"")</f>
        <v/>
      </c>
      <c r="L1386" s="61" t="str">
        <f aca="false">IF(IsPro,IF($D1386="","",ROUND(N($E1386)*K1386*(1-N($G1386)),2)),"")</f>
        <v/>
      </c>
      <c r="M1386" s="62" t="str">
        <f aca="false">IF(IsPro,IF($D1386="","",IFERROR(INDEX(Items!$F$5:$F$504,U1386),0)),"")</f>
        <v/>
      </c>
      <c r="N1386" s="61" t="str">
        <f aca="false">IF(IsPro,IF($D1386="","",IF(AND(V1386&lt;&gt;"",INDEX(Parties!$E$5:$E$304,V1386)&lt;&gt;"",INDEX(Parties!$E$5:$E$304,V1386)&lt;&gt;HomeState),0,ROUND(L1386*M1386/2,2))),"")</f>
        <v/>
      </c>
      <c r="O1386" s="61" t="str">
        <f aca="false">IF(IsPro,IF($D1386="","",N1386),"")</f>
        <v/>
      </c>
      <c r="P1386" s="61" t="str">
        <f aca="false">IF(IsPro,IF($D1386="","",IF(AND(V1386&lt;&gt;"",INDEX(Parties!$E$5:$E$304,V1386)&lt;&gt;"",INDEX(Parties!$E$5:$E$304,V1386)&lt;&gt;HomeState),ROUND(L1386*M1386,2),0)),"")</f>
        <v/>
      </c>
      <c r="Q1386" s="61" t="str">
        <f aca="false">IF(IsPro,IF($D1386="","",L1386+N1386+O1386+P1386),"")</f>
        <v/>
      </c>
      <c r="R1386" s="61" t="str">
        <f aca="false">IF(IsPro,IF($D1386="","",ROUND(N($E1386)*IFERROR(INDEX(Items!$P$5:$P$504,U1386),0),2)),"")</f>
        <v/>
      </c>
      <c r="S1386" s="61" t="str">
        <f aca="false">IF(IsPro,IF($D1386="","",L1386-R1386),"")</f>
        <v/>
      </c>
      <c r="T1386" s="60" t="str">
        <f aca="false">IF(IsPro,IF($D1386="","",IF(U1386="","UNKNOWN ITEM",IF(INDEX(Items!$O$5:$O$504,U1386)&lt;0,"NEG STOCK",IF(K1386&lt;INDEX(Items!$P$5:$P$504,U1386),"BELOW COST","OK")))),IF($D1386="","","PRO PLAN"))</f>
        <v/>
      </c>
      <c r="U1386" s="60" t="str">
        <f aca="false">IF(IsPro,IF($D1386="","",IFERROR(MATCH($D1386,Items!$A$5:$A$504,0),"")),"")</f>
        <v/>
      </c>
      <c r="V1386" s="60" t="str">
        <f aca="false">IF(IsPro,IF($C1386="","",IFERROR(MATCH($C1386,Parties!$A$5:$A$304,0),"")),"")</f>
        <v/>
      </c>
      <c r="W1386" s="60" t="str">
        <f aca="false">IF(IsPro,IF($B1386="","",IFERROR(VALUE(SUBSTITUTE($B1386,InvPrefix,"")),0)),"")</f>
        <v/>
      </c>
      <c r="X1386" s="61" t="str">
        <f aca="false">IF(IsPro,IF($D1386="","",IF(OR($H1386="",$H1386="Credit"),0,Q1386)),"")</f>
        <v/>
      </c>
    </row>
    <row r="1387" customFormat="false" ht="15" hidden="false" customHeight="false" outlineLevel="0" collapsed="false">
      <c r="A1387" s="55"/>
      <c r="B1387" s="56"/>
      <c r="C1387" s="56"/>
      <c r="D1387" s="56"/>
      <c r="E1387" s="57"/>
      <c r="F1387" s="58"/>
      <c r="G1387" s="59"/>
      <c r="H1387" s="56"/>
      <c r="I1387" s="56"/>
      <c r="J1387" s="60" t="str">
        <f aca="false">IF(IsPro,IF($D1387="","",IFERROR(INDEX(Items!$D$5:$D$504,U1387),"")),"")</f>
        <v/>
      </c>
      <c r="K1387" s="61" t="str">
        <f aca="false">IF(IsPro,IF($D1387="","",IF($F1387="",IFERROR(INDEX(Items!$H$5:$H$504,U1387),0),$F1387)),"")</f>
        <v/>
      </c>
      <c r="L1387" s="61" t="str">
        <f aca="false">IF(IsPro,IF($D1387="","",ROUND(N($E1387)*K1387*(1-N($G1387)),2)),"")</f>
        <v/>
      </c>
      <c r="M1387" s="62" t="str">
        <f aca="false">IF(IsPro,IF($D1387="","",IFERROR(INDEX(Items!$F$5:$F$504,U1387),0)),"")</f>
        <v/>
      </c>
      <c r="N1387" s="61" t="str">
        <f aca="false">IF(IsPro,IF($D1387="","",IF(AND(V1387&lt;&gt;"",INDEX(Parties!$E$5:$E$304,V1387)&lt;&gt;"",INDEX(Parties!$E$5:$E$304,V1387)&lt;&gt;HomeState),0,ROUND(L1387*M1387/2,2))),"")</f>
        <v/>
      </c>
      <c r="O1387" s="61" t="str">
        <f aca="false">IF(IsPro,IF($D1387="","",N1387),"")</f>
        <v/>
      </c>
      <c r="P1387" s="61" t="str">
        <f aca="false">IF(IsPro,IF($D1387="","",IF(AND(V1387&lt;&gt;"",INDEX(Parties!$E$5:$E$304,V1387)&lt;&gt;"",INDEX(Parties!$E$5:$E$304,V1387)&lt;&gt;HomeState),ROUND(L1387*M1387,2),0)),"")</f>
        <v/>
      </c>
      <c r="Q1387" s="61" t="str">
        <f aca="false">IF(IsPro,IF($D1387="","",L1387+N1387+O1387+P1387),"")</f>
        <v/>
      </c>
      <c r="R1387" s="61" t="str">
        <f aca="false">IF(IsPro,IF($D1387="","",ROUND(N($E1387)*IFERROR(INDEX(Items!$P$5:$P$504,U1387),0),2)),"")</f>
        <v/>
      </c>
      <c r="S1387" s="61" t="str">
        <f aca="false">IF(IsPro,IF($D1387="","",L1387-R1387),"")</f>
        <v/>
      </c>
      <c r="T1387" s="60" t="str">
        <f aca="false">IF(IsPro,IF($D1387="","",IF(U1387="","UNKNOWN ITEM",IF(INDEX(Items!$O$5:$O$504,U1387)&lt;0,"NEG STOCK",IF(K1387&lt;INDEX(Items!$P$5:$P$504,U1387),"BELOW COST","OK")))),IF($D1387="","","PRO PLAN"))</f>
        <v/>
      </c>
      <c r="U1387" s="60" t="str">
        <f aca="false">IF(IsPro,IF($D1387="","",IFERROR(MATCH($D1387,Items!$A$5:$A$504,0),"")),"")</f>
        <v/>
      </c>
      <c r="V1387" s="60" t="str">
        <f aca="false">IF(IsPro,IF($C1387="","",IFERROR(MATCH($C1387,Parties!$A$5:$A$304,0),"")),"")</f>
        <v/>
      </c>
      <c r="W1387" s="60" t="str">
        <f aca="false">IF(IsPro,IF($B1387="","",IFERROR(VALUE(SUBSTITUTE($B1387,InvPrefix,"")),0)),"")</f>
        <v/>
      </c>
      <c r="X1387" s="61" t="str">
        <f aca="false">IF(IsPro,IF($D1387="","",IF(OR($H1387="",$H1387="Credit"),0,Q1387)),"")</f>
        <v/>
      </c>
    </row>
    <row r="1388" customFormat="false" ht="15" hidden="false" customHeight="false" outlineLevel="0" collapsed="false">
      <c r="A1388" s="55"/>
      <c r="B1388" s="56"/>
      <c r="C1388" s="56"/>
      <c r="D1388" s="56"/>
      <c r="E1388" s="57"/>
      <c r="F1388" s="58"/>
      <c r="G1388" s="59"/>
      <c r="H1388" s="56"/>
      <c r="I1388" s="56"/>
      <c r="J1388" s="60" t="str">
        <f aca="false">IF(IsPro,IF($D1388="","",IFERROR(INDEX(Items!$D$5:$D$504,U1388),"")),"")</f>
        <v/>
      </c>
      <c r="K1388" s="61" t="str">
        <f aca="false">IF(IsPro,IF($D1388="","",IF($F1388="",IFERROR(INDEX(Items!$H$5:$H$504,U1388),0),$F1388)),"")</f>
        <v/>
      </c>
      <c r="L1388" s="61" t="str">
        <f aca="false">IF(IsPro,IF($D1388="","",ROUND(N($E1388)*K1388*(1-N($G1388)),2)),"")</f>
        <v/>
      </c>
      <c r="M1388" s="62" t="str">
        <f aca="false">IF(IsPro,IF($D1388="","",IFERROR(INDEX(Items!$F$5:$F$504,U1388),0)),"")</f>
        <v/>
      </c>
      <c r="N1388" s="61" t="str">
        <f aca="false">IF(IsPro,IF($D1388="","",IF(AND(V1388&lt;&gt;"",INDEX(Parties!$E$5:$E$304,V1388)&lt;&gt;"",INDEX(Parties!$E$5:$E$304,V1388)&lt;&gt;HomeState),0,ROUND(L1388*M1388/2,2))),"")</f>
        <v/>
      </c>
      <c r="O1388" s="61" t="str">
        <f aca="false">IF(IsPro,IF($D1388="","",N1388),"")</f>
        <v/>
      </c>
      <c r="P1388" s="61" t="str">
        <f aca="false">IF(IsPro,IF($D1388="","",IF(AND(V1388&lt;&gt;"",INDEX(Parties!$E$5:$E$304,V1388)&lt;&gt;"",INDEX(Parties!$E$5:$E$304,V1388)&lt;&gt;HomeState),ROUND(L1388*M1388,2),0)),"")</f>
        <v/>
      </c>
      <c r="Q1388" s="61" t="str">
        <f aca="false">IF(IsPro,IF($D1388="","",L1388+N1388+O1388+P1388),"")</f>
        <v/>
      </c>
      <c r="R1388" s="61" t="str">
        <f aca="false">IF(IsPro,IF($D1388="","",ROUND(N($E1388)*IFERROR(INDEX(Items!$P$5:$P$504,U1388),0),2)),"")</f>
        <v/>
      </c>
      <c r="S1388" s="61" t="str">
        <f aca="false">IF(IsPro,IF($D1388="","",L1388-R1388),"")</f>
        <v/>
      </c>
      <c r="T1388" s="60" t="str">
        <f aca="false">IF(IsPro,IF($D1388="","",IF(U1388="","UNKNOWN ITEM",IF(INDEX(Items!$O$5:$O$504,U1388)&lt;0,"NEG STOCK",IF(K1388&lt;INDEX(Items!$P$5:$P$504,U1388),"BELOW COST","OK")))),IF($D1388="","","PRO PLAN"))</f>
        <v/>
      </c>
      <c r="U1388" s="60" t="str">
        <f aca="false">IF(IsPro,IF($D1388="","",IFERROR(MATCH($D1388,Items!$A$5:$A$504,0),"")),"")</f>
        <v/>
      </c>
      <c r="V1388" s="60" t="str">
        <f aca="false">IF(IsPro,IF($C1388="","",IFERROR(MATCH($C1388,Parties!$A$5:$A$304,0),"")),"")</f>
        <v/>
      </c>
      <c r="W1388" s="60" t="str">
        <f aca="false">IF(IsPro,IF($B1388="","",IFERROR(VALUE(SUBSTITUTE($B1388,InvPrefix,"")),0)),"")</f>
        <v/>
      </c>
      <c r="X1388" s="61" t="str">
        <f aca="false">IF(IsPro,IF($D1388="","",IF(OR($H1388="",$H1388="Credit"),0,Q1388)),"")</f>
        <v/>
      </c>
    </row>
    <row r="1389" customFormat="false" ht="15" hidden="false" customHeight="false" outlineLevel="0" collapsed="false">
      <c r="A1389" s="55"/>
      <c r="B1389" s="56"/>
      <c r="C1389" s="56"/>
      <c r="D1389" s="56"/>
      <c r="E1389" s="57"/>
      <c r="F1389" s="58"/>
      <c r="G1389" s="59"/>
      <c r="H1389" s="56"/>
      <c r="I1389" s="56"/>
      <c r="J1389" s="60" t="str">
        <f aca="false">IF(IsPro,IF($D1389="","",IFERROR(INDEX(Items!$D$5:$D$504,U1389),"")),"")</f>
        <v/>
      </c>
      <c r="K1389" s="61" t="str">
        <f aca="false">IF(IsPro,IF($D1389="","",IF($F1389="",IFERROR(INDEX(Items!$H$5:$H$504,U1389),0),$F1389)),"")</f>
        <v/>
      </c>
      <c r="L1389" s="61" t="str">
        <f aca="false">IF(IsPro,IF($D1389="","",ROUND(N($E1389)*K1389*(1-N($G1389)),2)),"")</f>
        <v/>
      </c>
      <c r="M1389" s="62" t="str">
        <f aca="false">IF(IsPro,IF($D1389="","",IFERROR(INDEX(Items!$F$5:$F$504,U1389),0)),"")</f>
        <v/>
      </c>
      <c r="N1389" s="61" t="str">
        <f aca="false">IF(IsPro,IF($D1389="","",IF(AND(V1389&lt;&gt;"",INDEX(Parties!$E$5:$E$304,V1389)&lt;&gt;"",INDEX(Parties!$E$5:$E$304,V1389)&lt;&gt;HomeState),0,ROUND(L1389*M1389/2,2))),"")</f>
        <v/>
      </c>
      <c r="O1389" s="61" t="str">
        <f aca="false">IF(IsPro,IF($D1389="","",N1389),"")</f>
        <v/>
      </c>
      <c r="P1389" s="61" t="str">
        <f aca="false">IF(IsPro,IF($D1389="","",IF(AND(V1389&lt;&gt;"",INDEX(Parties!$E$5:$E$304,V1389)&lt;&gt;"",INDEX(Parties!$E$5:$E$304,V1389)&lt;&gt;HomeState),ROUND(L1389*M1389,2),0)),"")</f>
        <v/>
      </c>
      <c r="Q1389" s="61" t="str">
        <f aca="false">IF(IsPro,IF($D1389="","",L1389+N1389+O1389+P1389),"")</f>
        <v/>
      </c>
      <c r="R1389" s="61" t="str">
        <f aca="false">IF(IsPro,IF($D1389="","",ROUND(N($E1389)*IFERROR(INDEX(Items!$P$5:$P$504,U1389),0),2)),"")</f>
        <v/>
      </c>
      <c r="S1389" s="61" t="str">
        <f aca="false">IF(IsPro,IF($D1389="","",L1389-R1389),"")</f>
        <v/>
      </c>
      <c r="T1389" s="60" t="str">
        <f aca="false">IF(IsPro,IF($D1389="","",IF(U1389="","UNKNOWN ITEM",IF(INDEX(Items!$O$5:$O$504,U1389)&lt;0,"NEG STOCK",IF(K1389&lt;INDEX(Items!$P$5:$P$504,U1389),"BELOW COST","OK")))),IF($D1389="","","PRO PLAN"))</f>
        <v/>
      </c>
      <c r="U1389" s="60" t="str">
        <f aca="false">IF(IsPro,IF($D1389="","",IFERROR(MATCH($D1389,Items!$A$5:$A$504,0),"")),"")</f>
        <v/>
      </c>
      <c r="V1389" s="60" t="str">
        <f aca="false">IF(IsPro,IF($C1389="","",IFERROR(MATCH($C1389,Parties!$A$5:$A$304,0),"")),"")</f>
        <v/>
      </c>
      <c r="W1389" s="60" t="str">
        <f aca="false">IF(IsPro,IF($B1389="","",IFERROR(VALUE(SUBSTITUTE($B1389,InvPrefix,"")),0)),"")</f>
        <v/>
      </c>
      <c r="X1389" s="61" t="str">
        <f aca="false">IF(IsPro,IF($D1389="","",IF(OR($H1389="",$H1389="Credit"),0,Q1389)),"")</f>
        <v/>
      </c>
    </row>
    <row r="1390" customFormat="false" ht="15" hidden="false" customHeight="false" outlineLevel="0" collapsed="false">
      <c r="A1390" s="55"/>
      <c r="B1390" s="56"/>
      <c r="C1390" s="56"/>
      <c r="D1390" s="56"/>
      <c r="E1390" s="57"/>
      <c r="F1390" s="58"/>
      <c r="G1390" s="59"/>
      <c r="H1390" s="56"/>
      <c r="I1390" s="56"/>
      <c r="J1390" s="60" t="str">
        <f aca="false">IF(IsPro,IF($D1390="","",IFERROR(INDEX(Items!$D$5:$D$504,U1390),"")),"")</f>
        <v/>
      </c>
      <c r="K1390" s="61" t="str">
        <f aca="false">IF(IsPro,IF($D1390="","",IF($F1390="",IFERROR(INDEX(Items!$H$5:$H$504,U1390),0),$F1390)),"")</f>
        <v/>
      </c>
      <c r="L1390" s="61" t="str">
        <f aca="false">IF(IsPro,IF($D1390="","",ROUND(N($E1390)*K1390*(1-N($G1390)),2)),"")</f>
        <v/>
      </c>
      <c r="M1390" s="62" t="str">
        <f aca="false">IF(IsPro,IF($D1390="","",IFERROR(INDEX(Items!$F$5:$F$504,U1390),0)),"")</f>
        <v/>
      </c>
      <c r="N1390" s="61" t="str">
        <f aca="false">IF(IsPro,IF($D1390="","",IF(AND(V1390&lt;&gt;"",INDEX(Parties!$E$5:$E$304,V1390)&lt;&gt;"",INDEX(Parties!$E$5:$E$304,V1390)&lt;&gt;HomeState),0,ROUND(L1390*M1390/2,2))),"")</f>
        <v/>
      </c>
      <c r="O1390" s="61" t="str">
        <f aca="false">IF(IsPro,IF($D1390="","",N1390),"")</f>
        <v/>
      </c>
      <c r="P1390" s="61" t="str">
        <f aca="false">IF(IsPro,IF($D1390="","",IF(AND(V1390&lt;&gt;"",INDEX(Parties!$E$5:$E$304,V1390)&lt;&gt;"",INDEX(Parties!$E$5:$E$304,V1390)&lt;&gt;HomeState),ROUND(L1390*M1390,2),0)),"")</f>
        <v/>
      </c>
      <c r="Q1390" s="61" t="str">
        <f aca="false">IF(IsPro,IF($D1390="","",L1390+N1390+O1390+P1390),"")</f>
        <v/>
      </c>
      <c r="R1390" s="61" t="str">
        <f aca="false">IF(IsPro,IF($D1390="","",ROUND(N($E1390)*IFERROR(INDEX(Items!$P$5:$P$504,U1390),0),2)),"")</f>
        <v/>
      </c>
      <c r="S1390" s="61" t="str">
        <f aca="false">IF(IsPro,IF($D1390="","",L1390-R1390),"")</f>
        <v/>
      </c>
      <c r="T1390" s="60" t="str">
        <f aca="false">IF(IsPro,IF($D1390="","",IF(U1390="","UNKNOWN ITEM",IF(INDEX(Items!$O$5:$O$504,U1390)&lt;0,"NEG STOCK",IF(K1390&lt;INDEX(Items!$P$5:$P$504,U1390),"BELOW COST","OK")))),IF($D1390="","","PRO PLAN"))</f>
        <v/>
      </c>
      <c r="U1390" s="60" t="str">
        <f aca="false">IF(IsPro,IF($D1390="","",IFERROR(MATCH($D1390,Items!$A$5:$A$504,0),"")),"")</f>
        <v/>
      </c>
      <c r="V1390" s="60" t="str">
        <f aca="false">IF(IsPro,IF($C1390="","",IFERROR(MATCH($C1390,Parties!$A$5:$A$304,0),"")),"")</f>
        <v/>
      </c>
      <c r="W1390" s="60" t="str">
        <f aca="false">IF(IsPro,IF($B1390="","",IFERROR(VALUE(SUBSTITUTE($B1390,InvPrefix,"")),0)),"")</f>
        <v/>
      </c>
      <c r="X1390" s="61" t="str">
        <f aca="false">IF(IsPro,IF($D1390="","",IF(OR($H1390="",$H1390="Credit"),0,Q1390)),"")</f>
        <v/>
      </c>
    </row>
    <row r="1391" customFormat="false" ht="15" hidden="false" customHeight="false" outlineLevel="0" collapsed="false">
      <c r="A1391" s="55"/>
      <c r="B1391" s="56"/>
      <c r="C1391" s="56"/>
      <c r="D1391" s="56"/>
      <c r="E1391" s="57"/>
      <c r="F1391" s="58"/>
      <c r="G1391" s="59"/>
      <c r="H1391" s="56"/>
      <c r="I1391" s="56"/>
      <c r="J1391" s="60" t="str">
        <f aca="false">IF(IsPro,IF($D1391="","",IFERROR(INDEX(Items!$D$5:$D$504,U1391),"")),"")</f>
        <v/>
      </c>
      <c r="K1391" s="61" t="str">
        <f aca="false">IF(IsPro,IF($D1391="","",IF($F1391="",IFERROR(INDEX(Items!$H$5:$H$504,U1391),0),$F1391)),"")</f>
        <v/>
      </c>
      <c r="L1391" s="61" t="str">
        <f aca="false">IF(IsPro,IF($D1391="","",ROUND(N($E1391)*K1391*(1-N($G1391)),2)),"")</f>
        <v/>
      </c>
      <c r="M1391" s="62" t="str">
        <f aca="false">IF(IsPro,IF($D1391="","",IFERROR(INDEX(Items!$F$5:$F$504,U1391),0)),"")</f>
        <v/>
      </c>
      <c r="N1391" s="61" t="str">
        <f aca="false">IF(IsPro,IF($D1391="","",IF(AND(V1391&lt;&gt;"",INDEX(Parties!$E$5:$E$304,V1391)&lt;&gt;"",INDEX(Parties!$E$5:$E$304,V1391)&lt;&gt;HomeState),0,ROUND(L1391*M1391/2,2))),"")</f>
        <v/>
      </c>
      <c r="O1391" s="61" t="str">
        <f aca="false">IF(IsPro,IF($D1391="","",N1391),"")</f>
        <v/>
      </c>
      <c r="P1391" s="61" t="str">
        <f aca="false">IF(IsPro,IF($D1391="","",IF(AND(V1391&lt;&gt;"",INDEX(Parties!$E$5:$E$304,V1391)&lt;&gt;"",INDEX(Parties!$E$5:$E$304,V1391)&lt;&gt;HomeState),ROUND(L1391*M1391,2),0)),"")</f>
        <v/>
      </c>
      <c r="Q1391" s="61" t="str">
        <f aca="false">IF(IsPro,IF($D1391="","",L1391+N1391+O1391+P1391),"")</f>
        <v/>
      </c>
      <c r="R1391" s="61" t="str">
        <f aca="false">IF(IsPro,IF($D1391="","",ROUND(N($E1391)*IFERROR(INDEX(Items!$P$5:$P$504,U1391),0),2)),"")</f>
        <v/>
      </c>
      <c r="S1391" s="61" t="str">
        <f aca="false">IF(IsPro,IF($D1391="","",L1391-R1391),"")</f>
        <v/>
      </c>
      <c r="T1391" s="60" t="str">
        <f aca="false">IF(IsPro,IF($D1391="","",IF(U1391="","UNKNOWN ITEM",IF(INDEX(Items!$O$5:$O$504,U1391)&lt;0,"NEG STOCK",IF(K1391&lt;INDEX(Items!$P$5:$P$504,U1391),"BELOW COST","OK")))),IF($D1391="","","PRO PLAN"))</f>
        <v/>
      </c>
      <c r="U1391" s="60" t="str">
        <f aca="false">IF(IsPro,IF($D1391="","",IFERROR(MATCH($D1391,Items!$A$5:$A$504,0),"")),"")</f>
        <v/>
      </c>
      <c r="V1391" s="60" t="str">
        <f aca="false">IF(IsPro,IF($C1391="","",IFERROR(MATCH($C1391,Parties!$A$5:$A$304,0),"")),"")</f>
        <v/>
      </c>
      <c r="W1391" s="60" t="str">
        <f aca="false">IF(IsPro,IF($B1391="","",IFERROR(VALUE(SUBSTITUTE($B1391,InvPrefix,"")),0)),"")</f>
        <v/>
      </c>
      <c r="X1391" s="61" t="str">
        <f aca="false">IF(IsPro,IF($D1391="","",IF(OR($H1391="",$H1391="Credit"),0,Q1391)),"")</f>
        <v/>
      </c>
    </row>
    <row r="1392" customFormat="false" ht="15" hidden="false" customHeight="false" outlineLevel="0" collapsed="false">
      <c r="A1392" s="55"/>
      <c r="B1392" s="56"/>
      <c r="C1392" s="56"/>
      <c r="D1392" s="56"/>
      <c r="E1392" s="57"/>
      <c r="F1392" s="58"/>
      <c r="G1392" s="59"/>
      <c r="H1392" s="56"/>
      <c r="I1392" s="56"/>
      <c r="J1392" s="60" t="str">
        <f aca="false">IF(IsPro,IF($D1392="","",IFERROR(INDEX(Items!$D$5:$D$504,U1392),"")),"")</f>
        <v/>
      </c>
      <c r="K1392" s="61" t="str">
        <f aca="false">IF(IsPro,IF($D1392="","",IF($F1392="",IFERROR(INDEX(Items!$H$5:$H$504,U1392),0),$F1392)),"")</f>
        <v/>
      </c>
      <c r="L1392" s="61" t="str">
        <f aca="false">IF(IsPro,IF($D1392="","",ROUND(N($E1392)*K1392*(1-N($G1392)),2)),"")</f>
        <v/>
      </c>
      <c r="M1392" s="62" t="str">
        <f aca="false">IF(IsPro,IF($D1392="","",IFERROR(INDEX(Items!$F$5:$F$504,U1392),0)),"")</f>
        <v/>
      </c>
      <c r="N1392" s="61" t="str">
        <f aca="false">IF(IsPro,IF($D1392="","",IF(AND(V1392&lt;&gt;"",INDEX(Parties!$E$5:$E$304,V1392)&lt;&gt;"",INDEX(Parties!$E$5:$E$304,V1392)&lt;&gt;HomeState),0,ROUND(L1392*M1392/2,2))),"")</f>
        <v/>
      </c>
      <c r="O1392" s="61" t="str">
        <f aca="false">IF(IsPro,IF($D1392="","",N1392),"")</f>
        <v/>
      </c>
      <c r="P1392" s="61" t="str">
        <f aca="false">IF(IsPro,IF($D1392="","",IF(AND(V1392&lt;&gt;"",INDEX(Parties!$E$5:$E$304,V1392)&lt;&gt;"",INDEX(Parties!$E$5:$E$304,V1392)&lt;&gt;HomeState),ROUND(L1392*M1392,2),0)),"")</f>
        <v/>
      </c>
      <c r="Q1392" s="61" t="str">
        <f aca="false">IF(IsPro,IF($D1392="","",L1392+N1392+O1392+P1392),"")</f>
        <v/>
      </c>
      <c r="R1392" s="61" t="str">
        <f aca="false">IF(IsPro,IF($D1392="","",ROUND(N($E1392)*IFERROR(INDEX(Items!$P$5:$P$504,U1392),0),2)),"")</f>
        <v/>
      </c>
      <c r="S1392" s="61" t="str">
        <f aca="false">IF(IsPro,IF($D1392="","",L1392-R1392),"")</f>
        <v/>
      </c>
      <c r="T1392" s="60" t="str">
        <f aca="false">IF(IsPro,IF($D1392="","",IF(U1392="","UNKNOWN ITEM",IF(INDEX(Items!$O$5:$O$504,U1392)&lt;0,"NEG STOCK",IF(K1392&lt;INDEX(Items!$P$5:$P$504,U1392),"BELOW COST","OK")))),IF($D1392="","","PRO PLAN"))</f>
        <v/>
      </c>
      <c r="U1392" s="60" t="str">
        <f aca="false">IF(IsPro,IF($D1392="","",IFERROR(MATCH($D1392,Items!$A$5:$A$504,0),"")),"")</f>
        <v/>
      </c>
      <c r="V1392" s="60" t="str">
        <f aca="false">IF(IsPro,IF($C1392="","",IFERROR(MATCH($C1392,Parties!$A$5:$A$304,0),"")),"")</f>
        <v/>
      </c>
      <c r="W1392" s="60" t="str">
        <f aca="false">IF(IsPro,IF($B1392="","",IFERROR(VALUE(SUBSTITUTE($B1392,InvPrefix,"")),0)),"")</f>
        <v/>
      </c>
      <c r="X1392" s="61" t="str">
        <f aca="false">IF(IsPro,IF($D1392="","",IF(OR($H1392="",$H1392="Credit"),0,Q1392)),"")</f>
        <v/>
      </c>
    </row>
    <row r="1393" customFormat="false" ht="15" hidden="false" customHeight="false" outlineLevel="0" collapsed="false">
      <c r="A1393" s="55"/>
      <c r="B1393" s="56"/>
      <c r="C1393" s="56"/>
      <c r="D1393" s="56"/>
      <c r="E1393" s="57"/>
      <c r="F1393" s="58"/>
      <c r="G1393" s="59"/>
      <c r="H1393" s="56"/>
      <c r="I1393" s="56"/>
      <c r="J1393" s="60" t="str">
        <f aca="false">IF(IsPro,IF($D1393="","",IFERROR(INDEX(Items!$D$5:$D$504,U1393),"")),"")</f>
        <v/>
      </c>
      <c r="K1393" s="61" t="str">
        <f aca="false">IF(IsPro,IF($D1393="","",IF($F1393="",IFERROR(INDEX(Items!$H$5:$H$504,U1393),0),$F1393)),"")</f>
        <v/>
      </c>
      <c r="L1393" s="61" t="str">
        <f aca="false">IF(IsPro,IF($D1393="","",ROUND(N($E1393)*K1393*(1-N($G1393)),2)),"")</f>
        <v/>
      </c>
      <c r="M1393" s="62" t="str">
        <f aca="false">IF(IsPro,IF($D1393="","",IFERROR(INDEX(Items!$F$5:$F$504,U1393),0)),"")</f>
        <v/>
      </c>
      <c r="N1393" s="61" t="str">
        <f aca="false">IF(IsPro,IF($D1393="","",IF(AND(V1393&lt;&gt;"",INDEX(Parties!$E$5:$E$304,V1393)&lt;&gt;"",INDEX(Parties!$E$5:$E$304,V1393)&lt;&gt;HomeState),0,ROUND(L1393*M1393/2,2))),"")</f>
        <v/>
      </c>
      <c r="O1393" s="61" t="str">
        <f aca="false">IF(IsPro,IF($D1393="","",N1393),"")</f>
        <v/>
      </c>
      <c r="P1393" s="61" t="str">
        <f aca="false">IF(IsPro,IF($D1393="","",IF(AND(V1393&lt;&gt;"",INDEX(Parties!$E$5:$E$304,V1393)&lt;&gt;"",INDEX(Parties!$E$5:$E$304,V1393)&lt;&gt;HomeState),ROUND(L1393*M1393,2),0)),"")</f>
        <v/>
      </c>
      <c r="Q1393" s="61" t="str">
        <f aca="false">IF(IsPro,IF($D1393="","",L1393+N1393+O1393+P1393),"")</f>
        <v/>
      </c>
      <c r="R1393" s="61" t="str">
        <f aca="false">IF(IsPro,IF($D1393="","",ROUND(N($E1393)*IFERROR(INDEX(Items!$P$5:$P$504,U1393),0),2)),"")</f>
        <v/>
      </c>
      <c r="S1393" s="61" t="str">
        <f aca="false">IF(IsPro,IF($D1393="","",L1393-R1393),"")</f>
        <v/>
      </c>
      <c r="T1393" s="60" t="str">
        <f aca="false">IF(IsPro,IF($D1393="","",IF(U1393="","UNKNOWN ITEM",IF(INDEX(Items!$O$5:$O$504,U1393)&lt;0,"NEG STOCK",IF(K1393&lt;INDEX(Items!$P$5:$P$504,U1393),"BELOW COST","OK")))),IF($D1393="","","PRO PLAN"))</f>
        <v/>
      </c>
      <c r="U1393" s="60" t="str">
        <f aca="false">IF(IsPro,IF($D1393="","",IFERROR(MATCH($D1393,Items!$A$5:$A$504,0),"")),"")</f>
        <v/>
      </c>
      <c r="V1393" s="60" t="str">
        <f aca="false">IF(IsPro,IF($C1393="","",IFERROR(MATCH($C1393,Parties!$A$5:$A$304,0),"")),"")</f>
        <v/>
      </c>
      <c r="W1393" s="60" t="str">
        <f aca="false">IF(IsPro,IF($B1393="","",IFERROR(VALUE(SUBSTITUTE($B1393,InvPrefix,"")),0)),"")</f>
        <v/>
      </c>
      <c r="X1393" s="61" t="str">
        <f aca="false">IF(IsPro,IF($D1393="","",IF(OR($H1393="",$H1393="Credit"),0,Q1393)),"")</f>
        <v/>
      </c>
    </row>
    <row r="1394" customFormat="false" ht="15" hidden="false" customHeight="false" outlineLevel="0" collapsed="false">
      <c r="A1394" s="55"/>
      <c r="B1394" s="56"/>
      <c r="C1394" s="56"/>
      <c r="D1394" s="56"/>
      <c r="E1394" s="57"/>
      <c r="F1394" s="58"/>
      <c r="G1394" s="59"/>
      <c r="H1394" s="56"/>
      <c r="I1394" s="56"/>
      <c r="J1394" s="60" t="str">
        <f aca="false">IF(IsPro,IF($D1394="","",IFERROR(INDEX(Items!$D$5:$D$504,U1394),"")),"")</f>
        <v/>
      </c>
      <c r="K1394" s="61" t="str">
        <f aca="false">IF(IsPro,IF($D1394="","",IF($F1394="",IFERROR(INDEX(Items!$H$5:$H$504,U1394),0),$F1394)),"")</f>
        <v/>
      </c>
      <c r="L1394" s="61" t="str">
        <f aca="false">IF(IsPro,IF($D1394="","",ROUND(N($E1394)*K1394*(1-N($G1394)),2)),"")</f>
        <v/>
      </c>
      <c r="M1394" s="62" t="str">
        <f aca="false">IF(IsPro,IF($D1394="","",IFERROR(INDEX(Items!$F$5:$F$504,U1394),0)),"")</f>
        <v/>
      </c>
      <c r="N1394" s="61" t="str">
        <f aca="false">IF(IsPro,IF($D1394="","",IF(AND(V1394&lt;&gt;"",INDEX(Parties!$E$5:$E$304,V1394)&lt;&gt;"",INDEX(Parties!$E$5:$E$304,V1394)&lt;&gt;HomeState),0,ROUND(L1394*M1394/2,2))),"")</f>
        <v/>
      </c>
      <c r="O1394" s="61" t="str">
        <f aca="false">IF(IsPro,IF($D1394="","",N1394),"")</f>
        <v/>
      </c>
      <c r="P1394" s="61" t="str">
        <f aca="false">IF(IsPro,IF($D1394="","",IF(AND(V1394&lt;&gt;"",INDEX(Parties!$E$5:$E$304,V1394)&lt;&gt;"",INDEX(Parties!$E$5:$E$304,V1394)&lt;&gt;HomeState),ROUND(L1394*M1394,2),0)),"")</f>
        <v/>
      </c>
      <c r="Q1394" s="61" t="str">
        <f aca="false">IF(IsPro,IF($D1394="","",L1394+N1394+O1394+P1394),"")</f>
        <v/>
      </c>
      <c r="R1394" s="61" t="str">
        <f aca="false">IF(IsPro,IF($D1394="","",ROUND(N($E1394)*IFERROR(INDEX(Items!$P$5:$P$504,U1394),0),2)),"")</f>
        <v/>
      </c>
      <c r="S1394" s="61" t="str">
        <f aca="false">IF(IsPro,IF($D1394="","",L1394-R1394),"")</f>
        <v/>
      </c>
      <c r="T1394" s="60" t="str">
        <f aca="false">IF(IsPro,IF($D1394="","",IF(U1394="","UNKNOWN ITEM",IF(INDEX(Items!$O$5:$O$504,U1394)&lt;0,"NEG STOCK",IF(K1394&lt;INDEX(Items!$P$5:$P$504,U1394),"BELOW COST","OK")))),IF($D1394="","","PRO PLAN"))</f>
        <v/>
      </c>
      <c r="U1394" s="60" t="str">
        <f aca="false">IF(IsPro,IF($D1394="","",IFERROR(MATCH($D1394,Items!$A$5:$A$504,0),"")),"")</f>
        <v/>
      </c>
      <c r="V1394" s="60" t="str">
        <f aca="false">IF(IsPro,IF($C1394="","",IFERROR(MATCH($C1394,Parties!$A$5:$A$304,0),"")),"")</f>
        <v/>
      </c>
      <c r="W1394" s="60" t="str">
        <f aca="false">IF(IsPro,IF($B1394="","",IFERROR(VALUE(SUBSTITUTE($B1394,InvPrefix,"")),0)),"")</f>
        <v/>
      </c>
      <c r="X1394" s="61" t="str">
        <f aca="false">IF(IsPro,IF($D1394="","",IF(OR($H1394="",$H1394="Credit"),0,Q1394)),"")</f>
        <v/>
      </c>
    </row>
    <row r="1395" customFormat="false" ht="15" hidden="false" customHeight="false" outlineLevel="0" collapsed="false">
      <c r="A1395" s="55"/>
      <c r="B1395" s="56"/>
      <c r="C1395" s="56"/>
      <c r="D1395" s="56"/>
      <c r="E1395" s="57"/>
      <c r="F1395" s="58"/>
      <c r="G1395" s="59"/>
      <c r="H1395" s="56"/>
      <c r="I1395" s="56"/>
      <c r="J1395" s="60" t="str">
        <f aca="false">IF(IsPro,IF($D1395="","",IFERROR(INDEX(Items!$D$5:$D$504,U1395),"")),"")</f>
        <v/>
      </c>
      <c r="K1395" s="61" t="str">
        <f aca="false">IF(IsPro,IF($D1395="","",IF($F1395="",IFERROR(INDEX(Items!$H$5:$H$504,U1395),0),$F1395)),"")</f>
        <v/>
      </c>
      <c r="L1395" s="61" t="str">
        <f aca="false">IF(IsPro,IF($D1395="","",ROUND(N($E1395)*K1395*(1-N($G1395)),2)),"")</f>
        <v/>
      </c>
      <c r="M1395" s="62" t="str">
        <f aca="false">IF(IsPro,IF($D1395="","",IFERROR(INDEX(Items!$F$5:$F$504,U1395),0)),"")</f>
        <v/>
      </c>
      <c r="N1395" s="61" t="str">
        <f aca="false">IF(IsPro,IF($D1395="","",IF(AND(V1395&lt;&gt;"",INDEX(Parties!$E$5:$E$304,V1395)&lt;&gt;"",INDEX(Parties!$E$5:$E$304,V1395)&lt;&gt;HomeState),0,ROUND(L1395*M1395/2,2))),"")</f>
        <v/>
      </c>
      <c r="O1395" s="61" t="str">
        <f aca="false">IF(IsPro,IF($D1395="","",N1395),"")</f>
        <v/>
      </c>
      <c r="P1395" s="61" t="str">
        <f aca="false">IF(IsPro,IF($D1395="","",IF(AND(V1395&lt;&gt;"",INDEX(Parties!$E$5:$E$304,V1395)&lt;&gt;"",INDEX(Parties!$E$5:$E$304,V1395)&lt;&gt;HomeState),ROUND(L1395*M1395,2),0)),"")</f>
        <v/>
      </c>
      <c r="Q1395" s="61" t="str">
        <f aca="false">IF(IsPro,IF($D1395="","",L1395+N1395+O1395+P1395),"")</f>
        <v/>
      </c>
      <c r="R1395" s="61" t="str">
        <f aca="false">IF(IsPro,IF($D1395="","",ROUND(N($E1395)*IFERROR(INDEX(Items!$P$5:$P$504,U1395),0),2)),"")</f>
        <v/>
      </c>
      <c r="S1395" s="61" t="str">
        <f aca="false">IF(IsPro,IF($D1395="","",L1395-R1395),"")</f>
        <v/>
      </c>
      <c r="T1395" s="60" t="str">
        <f aca="false">IF(IsPro,IF($D1395="","",IF(U1395="","UNKNOWN ITEM",IF(INDEX(Items!$O$5:$O$504,U1395)&lt;0,"NEG STOCK",IF(K1395&lt;INDEX(Items!$P$5:$P$504,U1395),"BELOW COST","OK")))),IF($D1395="","","PRO PLAN"))</f>
        <v/>
      </c>
      <c r="U1395" s="60" t="str">
        <f aca="false">IF(IsPro,IF($D1395="","",IFERROR(MATCH($D1395,Items!$A$5:$A$504,0),"")),"")</f>
        <v/>
      </c>
      <c r="V1395" s="60" t="str">
        <f aca="false">IF(IsPro,IF($C1395="","",IFERROR(MATCH($C1395,Parties!$A$5:$A$304,0),"")),"")</f>
        <v/>
      </c>
      <c r="W1395" s="60" t="str">
        <f aca="false">IF(IsPro,IF($B1395="","",IFERROR(VALUE(SUBSTITUTE($B1395,InvPrefix,"")),0)),"")</f>
        <v/>
      </c>
      <c r="X1395" s="61" t="str">
        <f aca="false">IF(IsPro,IF($D1395="","",IF(OR($H1395="",$H1395="Credit"),0,Q1395)),"")</f>
        <v/>
      </c>
    </row>
    <row r="1396" customFormat="false" ht="15" hidden="false" customHeight="false" outlineLevel="0" collapsed="false">
      <c r="A1396" s="55"/>
      <c r="B1396" s="56"/>
      <c r="C1396" s="56"/>
      <c r="D1396" s="56"/>
      <c r="E1396" s="57"/>
      <c r="F1396" s="58"/>
      <c r="G1396" s="59"/>
      <c r="H1396" s="56"/>
      <c r="I1396" s="56"/>
      <c r="J1396" s="60" t="str">
        <f aca="false">IF(IsPro,IF($D1396="","",IFERROR(INDEX(Items!$D$5:$D$504,U1396),"")),"")</f>
        <v/>
      </c>
      <c r="K1396" s="61" t="str">
        <f aca="false">IF(IsPro,IF($D1396="","",IF($F1396="",IFERROR(INDEX(Items!$H$5:$H$504,U1396),0),$F1396)),"")</f>
        <v/>
      </c>
      <c r="L1396" s="61" t="str">
        <f aca="false">IF(IsPro,IF($D1396="","",ROUND(N($E1396)*K1396*(1-N($G1396)),2)),"")</f>
        <v/>
      </c>
      <c r="M1396" s="62" t="str">
        <f aca="false">IF(IsPro,IF($D1396="","",IFERROR(INDEX(Items!$F$5:$F$504,U1396),0)),"")</f>
        <v/>
      </c>
      <c r="N1396" s="61" t="str">
        <f aca="false">IF(IsPro,IF($D1396="","",IF(AND(V1396&lt;&gt;"",INDEX(Parties!$E$5:$E$304,V1396)&lt;&gt;"",INDEX(Parties!$E$5:$E$304,V1396)&lt;&gt;HomeState),0,ROUND(L1396*M1396/2,2))),"")</f>
        <v/>
      </c>
      <c r="O1396" s="61" t="str">
        <f aca="false">IF(IsPro,IF($D1396="","",N1396),"")</f>
        <v/>
      </c>
      <c r="P1396" s="61" t="str">
        <f aca="false">IF(IsPro,IF($D1396="","",IF(AND(V1396&lt;&gt;"",INDEX(Parties!$E$5:$E$304,V1396)&lt;&gt;"",INDEX(Parties!$E$5:$E$304,V1396)&lt;&gt;HomeState),ROUND(L1396*M1396,2),0)),"")</f>
        <v/>
      </c>
      <c r="Q1396" s="61" t="str">
        <f aca="false">IF(IsPro,IF($D1396="","",L1396+N1396+O1396+P1396),"")</f>
        <v/>
      </c>
      <c r="R1396" s="61" t="str">
        <f aca="false">IF(IsPro,IF($D1396="","",ROUND(N($E1396)*IFERROR(INDEX(Items!$P$5:$P$504,U1396),0),2)),"")</f>
        <v/>
      </c>
      <c r="S1396" s="61" t="str">
        <f aca="false">IF(IsPro,IF($D1396="","",L1396-R1396),"")</f>
        <v/>
      </c>
      <c r="T1396" s="60" t="str">
        <f aca="false">IF(IsPro,IF($D1396="","",IF(U1396="","UNKNOWN ITEM",IF(INDEX(Items!$O$5:$O$504,U1396)&lt;0,"NEG STOCK",IF(K1396&lt;INDEX(Items!$P$5:$P$504,U1396),"BELOW COST","OK")))),IF($D1396="","","PRO PLAN"))</f>
        <v/>
      </c>
      <c r="U1396" s="60" t="str">
        <f aca="false">IF(IsPro,IF($D1396="","",IFERROR(MATCH($D1396,Items!$A$5:$A$504,0),"")),"")</f>
        <v/>
      </c>
      <c r="V1396" s="60" t="str">
        <f aca="false">IF(IsPro,IF($C1396="","",IFERROR(MATCH($C1396,Parties!$A$5:$A$304,0),"")),"")</f>
        <v/>
      </c>
      <c r="W1396" s="60" t="str">
        <f aca="false">IF(IsPro,IF($B1396="","",IFERROR(VALUE(SUBSTITUTE($B1396,InvPrefix,"")),0)),"")</f>
        <v/>
      </c>
      <c r="X1396" s="61" t="str">
        <f aca="false">IF(IsPro,IF($D1396="","",IF(OR($H1396="",$H1396="Credit"),0,Q1396)),"")</f>
        <v/>
      </c>
    </row>
    <row r="1397" customFormat="false" ht="15" hidden="false" customHeight="false" outlineLevel="0" collapsed="false">
      <c r="A1397" s="55"/>
      <c r="B1397" s="56"/>
      <c r="C1397" s="56"/>
      <c r="D1397" s="56"/>
      <c r="E1397" s="57"/>
      <c r="F1397" s="58"/>
      <c r="G1397" s="59"/>
      <c r="H1397" s="56"/>
      <c r="I1397" s="56"/>
      <c r="J1397" s="60" t="str">
        <f aca="false">IF(IsPro,IF($D1397="","",IFERROR(INDEX(Items!$D$5:$D$504,U1397),"")),"")</f>
        <v/>
      </c>
      <c r="K1397" s="61" t="str">
        <f aca="false">IF(IsPro,IF($D1397="","",IF($F1397="",IFERROR(INDEX(Items!$H$5:$H$504,U1397),0),$F1397)),"")</f>
        <v/>
      </c>
      <c r="L1397" s="61" t="str">
        <f aca="false">IF(IsPro,IF($D1397="","",ROUND(N($E1397)*K1397*(1-N($G1397)),2)),"")</f>
        <v/>
      </c>
      <c r="M1397" s="62" t="str">
        <f aca="false">IF(IsPro,IF($D1397="","",IFERROR(INDEX(Items!$F$5:$F$504,U1397),0)),"")</f>
        <v/>
      </c>
      <c r="N1397" s="61" t="str">
        <f aca="false">IF(IsPro,IF($D1397="","",IF(AND(V1397&lt;&gt;"",INDEX(Parties!$E$5:$E$304,V1397)&lt;&gt;"",INDEX(Parties!$E$5:$E$304,V1397)&lt;&gt;HomeState),0,ROUND(L1397*M1397/2,2))),"")</f>
        <v/>
      </c>
      <c r="O1397" s="61" t="str">
        <f aca="false">IF(IsPro,IF($D1397="","",N1397),"")</f>
        <v/>
      </c>
      <c r="P1397" s="61" t="str">
        <f aca="false">IF(IsPro,IF($D1397="","",IF(AND(V1397&lt;&gt;"",INDEX(Parties!$E$5:$E$304,V1397)&lt;&gt;"",INDEX(Parties!$E$5:$E$304,V1397)&lt;&gt;HomeState),ROUND(L1397*M1397,2),0)),"")</f>
        <v/>
      </c>
      <c r="Q1397" s="61" t="str">
        <f aca="false">IF(IsPro,IF($D1397="","",L1397+N1397+O1397+P1397),"")</f>
        <v/>
      </c>
      <c r="R1397" s="61" t="str">
        <f aca="false">IF(IsPro,IF($D1397="","",ROUND(N($E1397)*IFERROR(INDEX(Items!$P$5:$P$504,U1397),0),2)),"")</f>
        <v/>
      </c>
      <c r="S1397" s="61" t="str">
        <f aca="false">IF(IsPro,IF($D1397="","",L1397-R1397),"")</f>
        <v/>
      </c>
      <c r="T1397" s="60" t="str">
        <f aca="false">IF(IsPro,IF($D1397="","",IF(U1397="","UNKNOWN ITEM",IF(INDEX(Items!$O$5:$O$504,U1397)&lt;0,"NEG STOCK",IF(K1397&lt;INDEX(Items!$P$5:$P$504,U1397),"BELOW COST","OK")))),IF($D1397="","","PRO PLAN"))</f>
        <v/>
      </c>
      <c r="U1397" s="60" t="str">
        <f aca="false">IF(IsPro,IF($D1397="","",IFERROR(MATCH($D1397,Items!$A$5:$A$504,0),"")),"")</f>
        <v/>
      </c>
      <c r="V1397" s="60" t="str">
        <f aca="false">IF(IsPro,IF($C1397="","",IFERROR(MATCH($C1397,Parties!$A$5:$A$304,0),"")),"")</f>
        <v/>
      </c>
      <c r="W1397" s="60" t="str">
        <f aca="false">IF(IsPro,IF($B1397="","",IFERROR(VALUE(SUBSTITUTE($B1397,InvPrefix,"")),0)),"")</f>
        <v/>
      </c>
      <c r="X1397" s="61" t="str">
        <f aca="false">IF(IsPro,IF($D1397="","",IF(OR($H1397="",$H1397="Credit"),0,Q1397)),"")</f>
        <v/>
      </c>
    </row>
    <row r="1398" customFormat="false" ht="15" hidden="false" customHeight="false" outlineLevel="0" collapsed="false">
      <c r="A1398" s="55"/>
      <c r="B1398" s="56"/>
      <c r="C1398" s="56"/>
      <c r="D1398" s="56"/>
      <c r="E1398" s="57"/>
      <c r="F1398" s="58"/>
      <c r="G1398" s="59"/>
      <c r="H1398" s="56"/>
      <c r="I1398" s="56"/>
      <c r="J1398" s="60" t="str">
        <f aca="false">IF(IsPro,IF($D1398="","",IFERROR(INDEX(Items!$D$5:$D$504,U1398),"")),"")</f>
        <v/>
      </c>
      <c r="K1398" s="61" t="str">
        <f aca="false">IF(IsPro,IF($D1398="","",IF($F1398="",IFERROR(INDEX(Items!$H$5:$H$504,U1398),0),$F1398)),"")</f>
        <v/>
      </c>
      <c r="L1398" s="61" t="str">
        <f aca="false">IF(IsPro,IF($D1398="","",ROUND(N($E1398)*K1398*(1-N($G1398)),2)),"")</f>
        <v/>
      </c>
      <c r="M1398" s="62" t="str">
        <f aca="false">IF(IsPro,IF($D1398="","",IFERROR(INDEX(Items!$F$5:$F$504,U1398),0)),"")</f>
        <v/>
      </c>
      <c r="N1398" s="61" t="str">
        <f aca="false">IF(IsPro,IF($D1398="","",IF(AND(V1398&lt;&gt;"",INDEX(Parties!$E$5:$E$304,V1398)&lt;&gt;"",INDEX(Parties!$E$5:$E$304,V1398)&lt;&gt;HomeState),0,ROUND(L1398*M1398/2,2))),"")</f>
        <v/>
      </c>
      <c r="O1398" s="61" t="str">
        <f aca="false">IF(IsPro,IF($D1398="","",N1398),"")</f>
        <v/>
      </c>
      <c r="P1398" s="61" t="str">
        <f aca="false">IF(IsPro,IF($D1398="","",IF(AND(V1398&lt;&gt;"",INDEX(Parties!$E$5:$E$304,V1398)&lt;&gt;"",INDEX(Parties!$E$5:$E$304,V1398)&lt;&gt;HomeState),ROUND(L1398*M1398,2),0)),"")</f>
        <v/>
      </c>
      <c r="Q1398" s="61" t="str">
        <f aca="false">IF(IsPro,IF($D1398="","",L1398+N1398+O1398+P1398),"")</f>
        <v/>
      </c>
      <c r="R1398" s="61" t="str">
        <f aca="false">IF(IsPro,IF($D1398="","",ROUND(N($E1398)*IFERROR(INDEX(Items!$P$5:$P$504,U1398),0),2)),"")</f>
        <v/>
      </c>
      <c r="S1398" s="61" t="str">
        <f aca="false">IF(IsPro,IF($D1398="","",L1398-R1398),"")</f>
        <v/>
      </c>
      <c r="T1398" s="60" t="str">
        <f aca="false">IF(IsPro,IF($D1398="","",IF(U1398="","UNKNOWN ITEM",IF(INDEX(Items!$O$5:$O$504,U1398)&lt;0,"NEG STOCK",IF(K1398&lt;INDEX(Items!$P$5:$P$504,U1398),"BELOW COST","OK")))),IF($D1398="","","PRO PLAN"))</f>
        <v/>
      </c>
      <c r="U1398" s="60" t="str">
        <f aca="false">IF(IsPro,IF($D1398="","",IFERROR(MATCH($D1398,Items!$A$5:$A$504,0),"")),"")</f>
        <v/>
      </c>
      <c r="V1398" s="60" t="str">
        <f aca="false">IF(IsPro,IF($C1398="","",IFERROR(MATCH($C1398,Parties!$A$5:$A$304,0),"")),"")</f>
        <v/>
      </c>
      <c r="W1398" s="60" t="str">
        <f aca="false">IF(IsPro,IF($B1398="","",IFERROR(VALUE(SUBSTITUTE($B1398,InvPrefix,"")),0)),"")</f>
        <v/>
      </c>
      <c r="X1398" s="61" t="str">
        <f aca="false">IF(IsPro,IF($D1398="","",IF(OR($H1398="",$H1398="Credit"),0,Q1398)),"")</f>
        <v/>
      </c>
    </row>
    <row r="1399" customFormat="false" ht="15" hidden="false" customHeight="false" outlineLevel="0" collapsed="false">
      <c r="A1399" s="55"/>
      <c r="B1399" s="56"/>
      <c r="C1399" s="56"/>
      <c r="D1399" s="56"/>
      <c r="E1399" s="57"/>
      <c r="F1399" s="58"/>
      <c r="G1399" s="59"/>
      <c r="H1399" s="56"/>
      <c r="I1399" s="56"/>
      <c r="J1399" s="60" t="str">
        <f aca="false">IF(IsPro,IF($D1399="","",IFERROR(INDEX(Items!$D$5:$D$504,U1399),"")),"")</f>
        <v/>
      </c>
      <c r="K1399" s="61" t="str">
        <f aca="false">IF(IsPro,IF($D1399="","",IF($F1399="",IFERROR(INDEX(Items!$H$5:$H$504,U1399),0),$F1399)),"")</f>
        <v/>
      </c>
      <c r="L1399" s="61" t="str">
        <f aca="false">IF(IsPro,IF($D1399="","",ROUND(N($E1399)*K1399*(1-N($G1399)),2)),"")</f>
        <v/>
      </c>
      <c r="M1399" s="62" t="str">
        <f aca="false">IF(IsPro,IF($D1399="","",IFERROR(INDEX(Items!$F$5:$F$504,U1399),0)),"")</f>
        <v/>
      </c>
      <c r="N1399" s="61" t="str">
        <f aca="false">IF(IsPro,IF($D1399="","",IF(AND(V1399&lt;&gt;"",INDEX(Parties!$E$5:$E$304,V1399)&lt;&gt;"",INDEX(Parties!$E$5:$E$304,V1399)&lt;&gt;HomeState),0,ROUND(L1399*M1399/2,2))),"")</f>
        <v/>
      </c>
      <c r="O1399" s="61" t="str">
        <f aca="false">IF(IsPro,IF($D1399="","",N1399),"")</f>
        <v/>
      </c>
      <c r="P1399" s="61" t="str">
        <f aca="false">IF(IsPro,IF($D1399="","",IF(AND(V1399&lt;&gt;"",INDEX(Parties!$E$5:$E$304,V1399)&lt;&gt;"",INDEX(Parties!$E$5:$E$304,V1399)&lt;&gt;HomeState),ROUND(L1399*M1399,2),0)),"")</f>
        <v/>
      </c>
      <c r="Q1399" s="61" t="str">
        <f aca="false">IF(IsPro,IF($D1399="","",L1399+N1399+O1399+P1399),"")</f>
        <v/>
      </c>
      <c r="R1399" s="61" t="str">
        <f aca="false">IF(IsPro,IF($D1399="","",ROUND(N($E1399)*IFERROR(INDEX(Items!$P$5:$P$504,U1399),0),2)),"")</f>
        <v/>
      </c>
      <c r="S1399" s="61" t="str">
        <f aca="false">IF(IsPro,IF($D1399="","",L1399-R1399),"")</f>
        <v/>
      </c>
      <c r="T1399" s="60" t="str">
        <f aca="false">IF(IsPro,IF($D1399="","",IF(U1399="","UNKNOWN ITEM",IF(INDEX(Items!$O$5:$O$504,U1399)&lt;0,"NEG STOCK",IF(K1399&lt;INDEX(Items!$P$5:$P$504,U1399),"BELOW COST","OK")))),IF($D1399="","","PRO PLAN"))</f>
        <v/>
      </c>
      <c r="U1399" s="60" t="str">
        <f aca="false">IF(IsPro,IF($D1399="","",IFERROR(MATCH($D1399,Items!$A$5:$A$504,0),"")),"")</f>
        <v/>
      </c>
      <c r="V1399" s="60" t="str">
        <f aca="false">IF(IsPro,IF($C1399="","",IFERROR(MATCH($C1399,Parties!$A$5:$A$304,0),"")),"")</f>
        <v/>
      </c>
      <c r="W1399" s="60" t="str">
        <f aca="false">IF(IsPro,IF($B1399="","",IFERROR(VALUE(SUBSTITUTE($B1399,InvPrefix,"")),0)),"")</f>
        <v/>
      </c>
      <c r="X1399" s="61" t="str">
        <f aca="false">IF(IsPro,IF($D1399="","",IF(OR($H1399="",$H1399="Credit"),0,Q1399)),"")</f>
        <v/>
      </c>
    </row>
    <row r="1400" customFormat="false" ht="15" hidden="false" customHeight="false" outlineLevel="0" collapsed="false">
      <c r="A1400" s="55"/>
      <c r="B1400" s="56"/>
      <c r="C1400" s="56"/>
      <c r="D1400" s="56"/>
      <c r="E1400" s="57"/>
      <c r="F1400" s="58"/>
      <c r="G1400" s="59"/>
      <c r="H1400" s="56"/>
      <c r="I1400" s="56"/>
      <c r="J1400" s="60" t="str">
        <f aca="false">IF(IsPro,IF($D1400="","",IFERROR(INDEX(Items!$D$5:$D$504,U1400),"")),"")</f>
        <v/>
      </c>
      <c r="K1400" s="61" t="str">
        <f aca="false">IF(IsPro,IF($D1400="","",IF($F1400="",IFERROR(INDEX(Items!$H$5:$H$504,U1400),0),$F1400)),"")</f>
        <v/>
      </c>
      <c r="L1400" s="61" t="str">
        <f aca="false">IF(IsPro,IF($D1400="","",ROUND(N($E1400)*K1400*(1-N($G1400)),2)),"")</f>
        <v/>
      </c>
      <c r="M1400" s="62" t="str">
        <f aca="false">IF(IsPro,IF($D1400="","",IFERROR(INDEX(Items!$F$5:$F$504,U1400),0)),"")</f>
        <v/>
      </c>
      <c r="N1400" s="61" t="str">
        <f aca="false">IF(IsPro,IF($D1400="","",IF(AND(V1400&lt;&gt;"",INDEX(Parties!$E$5:$E$304,V1400)&lt;&gt;"",INDEX(Parties!$E$5:$E$304,V1400)&lt;&gt;HomeState),0,ROUND(L1400*M1400/2,2))),"")</f>
        <v/>
      </c>
      <c r="O1400" s="61" t="str">
        <f aca="false">IF(IsPro,IF($D1400="","",N1400),"")</f>
        <v/>
      </c>
      <c r="P1400" s="61" t="str">
        <f aca="false">IF(IsPro,IF($D1400="","",IF(AND(V1400&lt;&gt;"",INDEX(Parties!$E$5:$E$304,V1400)&lt;&gt;"",INDEX(Parties!$E$5:$E$304,V1400)&lt;&gt;HomeState),ROUND(L1400*M1400,2),0)),"")</f>
        <v/>
      </c>
      <c r="Q1400" s="61" t="str">
        <f aca="false">IF(IsPro,IF($D1400="","",L1400+N1400+O1400+P1400),"")</f>
        <v/>
      </c>
      <c r="R1400" s="61" t="str">
        <f aca="false">IF(IsPro,IF($D1400="","",ROUND(N($E1400)*IFERROR(INDEX(Items!$P$5:$P$504,U1400),0),2)),"")</f>
        <v/>
      </c>
      <c r="S1400" s="61" t="str">
        <f aca="false">IF(IsPro,IF($D1400="","",L1400-R1400),"")</f>
        <v/>
      </c>
      <c r="T1400" s="60" t="str">
        <f aca="false">IF(IsPro,IF($D1400="","",IF(U1400="","UNKNOWN ITEM",IF(INDEX(Items!$O$5:$O$504,U1400)&lt;0,"NEG STOCK",IF(K1400&lt;INDEX(Items!$P$5:$P$504,U1400),"BELOW COST","OK")))),IF($D1400="","","PRO PLAN"))</f>
        <v/>
      </c>
      <c r="U1400" s="60" t="str">
        <f aca="false">IF(IsPro,IF($D1400="","",IFERROR(MATCH($D1400,Items!$A$5:$A$504,0),"")),"")</f>
        <v/>
      </c>
      <c r="V1400" s="60" t="str">
        <f aca="false">IF(IsPro,IF($C1400="","",IFERROR(MATCH($C1400,Parties!$A$5:$A$304,0),"")),"")</f>
        <v/>
      </c>
      <c r="W1400" s="60" t="str">
        <f aca="false">IF(IsPro,IF($B1400="","",IFERROR(VALUE(SUBSTITUTE($B1400,InvPrefix,"")),0)),"")</f>
        <v/>
      </c>
      <c r="X1400" s="61" t="str">
        <f aca="false">IF(IsPro,IF($D1400="","",IF(OR($H1400="",$H1400="Credit"),0,Q1400)),"")</f>
        <v/>
      </c>
    </row>
    <row r="1401" customFormat="false" ht="15" hidden="false" customHeight="false" outlineLevel="0" collapsed="false">
      <c r="A1401" s="55"/>
      <c r="B1401" s="56"/>
      <c r="C1401" s="56"/>
      <c r="D1401" s="56"/>
      <c r="E1401" s="57"/>
      <c r="F1401" s="58"/>
      <c r="G1401" s="59"/>
      <c r="H1401" s="56"/>
      <c r="I1401" s="56"/>
      <c r="J1401" s="60" t="str">
        <f aca="false">IF(IsPro,IF($D1401="","",IFERROR(INDEX(Items!$D$5:$D$504,U1401),"")),"")</f>
        <v/>
      </c>
      <c r="K1401" s="61" t="str">
        <f aca="false">IF(IsPro,IF($D1401="","",IF($F1401="",IFERROR(INDEX(Items!$H$5:$H$504,U1401),0),$F1401)),"")</f>
        <v/>
      </c>
      <c r="L1401" s="61" t="str">
        <f aca="false">IF(IsPro,IF($D1401="","",ROUND(N($E1401)*K1401*(1-N($G1401)),2)),"")</f>
        <v/>
      </c>
      <c r="M1401" s="62" t="str">
        <f aca="false">IF(IsPro,IF($D1401="","",IFERROR(INDEX(Items!$F$5:$F$504,U1401),0)),"")</f>
        <v/>
      </c>
      <c r="N1401" s="61" t="str">
        <f aca="false">IF(IsPro,IF($D1401="","",IF(AND(V1401&lt;&gt;"",INDEX(Parties!$E$5:$E$304,V1401)&lt;&gt;"",INDEX(Parties!$E$5:$E$304,V1401)&lt;&gt;HomeState),0,ROUND(L1401*M1401/2,2))),"")</f>
        <v/>
      </c>
      <c r="O1401" s="61" t="str">
        <f aca="false">IF(IsPro,IF($D1401="","",N1401),"")</f>
        <v/>
      </c>
      <c r="P1401" s="61" t="str">
        <f aca="false">IF(IsPro,IF($D1401="","",IF(AND(V1401&lt;&gt;"",INDEX(Parties!$E$5:$E$304,V1401)&lt;&gt;"",INDEX(Parties!$E$5:$E$304,V1401)&lt;&gt;HomeState),ROUND(L1401*M1401,2),0)),"")</f>
        <v/>
      </c>
      <c r="Q1401" s="61" t="str">
        <f aca="false">IF(IsPro,IF($D1401="","",L1401+N1401+O1401+P1401),"")</f>
        <v/>
      </c>
      <c r="R1401" s="61" t="str">
        <f aca="false">IF(IsPro,IF($D1401="","",ROUND(N($E1401)*IFERROR(INDEX(Items!$P$5:$P$504,U1401),0),2)),"")</f>
        <v/>
      </c>
      <c r="S1401" s="61" t="str">
        <f aca="false">IF(IsPro,IF($D1401="","",L1401-R1401),"")</f>
        <v/>
      </c>
      <c r="T1401" s="60" t="str">
        <f aca="false">IF(IsPro,IF($D1401="","",IF(U1401="","UNKNOWN ITEM",IF(INDEX(Items!$O$5:$O$504,U1401)&lt;0,"NEG STOCK",IF(K1401&lt;INDEX(Items!$P$5:$P$504,U1401),"BELOW COST","OK")))),IF($D1401="","","PRO PLAN"))</f>
        <v/>
      </c>
      <c r="U1401" s="60" t="str">
        <f aca="false">IF(IsPro,IF($D1401="","",IFERROR(MATCH($D1401,Items!$A$5:$A$504,0),"")),"")</f>
        <v/>
      </c>
      <c r="V1401" s="60" t="str">
        <f aca="false">IF(IsPro,IF($C1401="","",IFERROR(MATCH($C1401,Parties!$A$5:$A$304,0),"")),"")</f>
        <v/>
      </c>
      <c r="W1401" s="60" t="str">
        <f aca="false">IF(IsPro,IF($B1401="","",IFERROR(VALUE(SUBSTITUTE($B1401,InvPrefix,"")),0)),"")</f>
        <v/>
      </c>
      <c r="X1401" s="61" t="str">
        <f aca="false">IF(IsPro,IF($D1401="","",IF(OR($H1401="",$H1401="Credit"),0,Q1401)),"")</f>
        <v/>
      </c>
    </row>
    <row r="1402" customFormat="false" ht="15" hidden="false" customHeight="false" outlineLevel="0" collapsed="false">
      <c r="A1402" s="55"/>
      <c r="B1402" s="56"/>
      <c r="C1402" s="56"/>
      <c r="D1402" s="56"/>
      <c r="E1402" s="57"/>
      <c r="F1402" s="58"/>
      <c r="G1402" s="59"/>
      <c r="H1402" s="56"/>
      <c r="I1402" s="56"/>
      <c r="J1402" s="60" t="str">
        <f aca="false">IF(IsPro,IF($D1402="","",IFERROR(INDEX(Items!$D$5:$D$504,U1402),"")),"")</f>
        <v/>
      </c>
      <c r="K1402" s="61" t="str">
        <f aca="false">IF(IsPro,IF($D1402="","",IF($F1402="",IFERROR(INDEX(Items!$H$5:$H$504,U1402),0),$F1402)),"")</f>
        <v/>
      </c>
      <c r="L1402" s="61" t="str">
        <f aca="false">IF(IsPro,IF($D1402="","",ROUND(N($E1402)*K1402*(1-N($G1402)),2)),"")</f>
        <v/>
      </c>
      <c r="M1402" s="62" t="str">
        <f aca="false">IF(IsPro,IF($D1402="","",IFERROR(INDEX(Items!$F$5:$F$504,U1402),0)),"")</f>
        <v/>
      </c>
      <c r="N1402" s="61" t="str">
        <f aca="false">IF(IsPro,IF($D1402="","",IF(AND(V1402&lt;&gt;"",INDEX(Parties!$E$5:$E$304,V1402)&lt;&gt;"",INDEX(Parties!$E$5:$E$304,V1402)&lt;&gt;HomeState),0,ROUND(L1402*M1402/2,2))),"")</f>
        <v/>
      </c>
      <c r="O1402" s="61" t="str">
        <f aca="false">IF(IsPro,IF($D1402="","",N1402),"")</f>
        <v/>
      </c>
      <c r="P1402" s="61" t="str">
        <f aca="false">IF(IsPro,IF($D1402="","",IF(AND(V1402&lt;&gt;"",INDEX(Parties!$E$5:$E$304,V1402)&lt;&gt;"",INDEX(Parties!$E$5:$E$304,V1402)&lt;&gt;HomeState),ROUND(L1402*M1402,2),0)),"")</f>
        <v/>
      </c>
      <c r="Q1402" s="61" t="str">
        <f aca="false">IF(IsPro,IF($D1402="","",L1402+N1402+O1402+P1402),"")</f>
        <v/>
      </c>
      <c r="R1402" s="61" t="str">
        <f aca="false">IF(IsPro,IF($D1402="","",ROUND(N($E1402)*IFERROR(INDEX(Items!$P$5:$P$504,U1402),0),2)),"")</f>
        <v/>
      </c>
      <c r="S1402" s="61" t="str">
        <f aca="false">IF(IsPro,IF($D1402="","",L1402-R1402),"")</f>
        <v/>
      </c>
      <c r="T1402" s="60" t="str">
        <f aca="false">IF(IsPro,IF($D1402="","",IF(U1402="","UNKNOWN ITEM",IF(INDEX(Items!$O$5:$O$504,U1402)&lt;0,"NEG STOCK",IF(K1402&lt;INDEX(Items!$P$5:$P$504,U1402),"BELOW COST","OK")))),IF($D1402="","","PRO PLAN"))</f>
        <v/>
      </c>
      <c r="U1402" s="60" t="str">
        <f aca="false">IF(IsPro,IF($D1402="","",IFERROR(MATCH($D1402,Items!$A$5:$A$504,0),"")),"")</f>
        <v/>
      </c>
      <c r="V1402" s="60" t="str">
        <f aca="false">IF(IsPro,IF($C1402="","",IFERROR(MATCH($C1402,Parties!$A$5:$A$304,0),"")),"")</f>
        <v/>
      </c>
      <c r="W1402" s="60" t="str">
        <f aca="false">IF(IsPro,IF($B1402="","",IFERROR(VALUE(SUBSTITUTE($B1402,InvPrefix,"")),0)),"")</f>
        <v/>
      </c>
      <c r="X1402" s="61" t="str">
        <f aca="false">IF(IsPro,IF($D1402="","",IF(OR($H1402="",$H1402="Credit"),0,Q1402)),"")</f>
        <v/>
      </c>
    </row>
    <row r="1403" customFormat="false" ht="15" hidden="false" customHeight="false" outlineLevel="0" collapsed="false">
      <c r="A1403" s="55"/>
      <c r="B1403" s="56"/>
      <c r="C1403" s="56"/>
      <c r="D1403" s="56"/>
      <c r="E1403" s="57"/>
      <c r="F1403" s="58"/>
      <c r="G1403" s="59"/>
      <c r="H1403" s="56"/>
      <c r="I1403" s="56"/>
      <c r="J1403" s="60" t="str">
        <f aca="false">IF(IsPro,IF($D1403="","",IFERROR(INDEX(Items!$D$5:$D$504,U1403),"")),"")</f>
        <v/>
      </c>
      <c r="K1403" s="61" t="str">
        <f aca="false">IF(IsPro,IF($D1403="","",IF($F1403="",IFERROR(INDEX(Items!$H$5:$H$504,U1403),0),$F1403)),"")</f>
        <v/>
      </c>
      <c r="L1403" s="61" t="str">
        <f aca="false">IF(IsPro,IF($D1403="","",ROUND(N($E1403)*K1403*(1-N($G1403)),2)),"")</f>
        <v/>
      </c>
      <c r="M1403" s="62" t="str">
        <f aca="false">IF(IsPro,IF($D1403="","",IFERROR(INDEX(Items!$F$5:$F$504,U1403),0)),"")</f>
        <v/>
      </c>
      <c r="N1403" s="61" t="str">
        <f aca="false">IF(IsPro,IF($D1403="","",IF(AND(V1403&lt;&gt;"",INDEX(Parties!$E$5:$E$304,V1403)&lt;&gt;"",INDEX(Parties!$E$5:$E$304,V1403)&lt;&gt;HomeState),0,ROUND(L1403*M1403/2,2))),"")</f>
        <v/>
      </c>
      <c r="O1403" s="61" t="str">
        <f aca="false">IF(IsPro,IF($D1403="","",N1403),"")</f>
        <v/>
      </c>
      <c r="P1403" s="61" t="str">
        <f aca="false">IF(IsPro,IF($D1403="","",IF(AND(V1403&lt;&gt;"",INDEX(Parties!$E$5:$E$304,V1403)&lt;&gt;"",INDEX(Parties!$E$5:$E$304,V1403)&lt;&gt;HomeState),ROUND(L1403*M1403,2),0)),"")</f>
        <v/>
      </c>
      <c r="Q1403" s="61" t="str">
        <f aca="false">IF(IsPro,IF($D1403="","",L1403+N1403+O1403+P1403),"")</f>
        <v/>
      </c>
      <c r="R1403" s="61" t="str">
        <f aca="false">IF(IsPro,IF($D1403="","",ROUND(N($E1403)*IFERROR(INDEX(Items!$P$5:$P$504,U1403),0),2)),"")</f>
        <v/>
      </c>
      <c r="S1403" s="61" t="str">
        <f aca="false">IF(IsPro,IF($D1403="","",L1403-R1403),"")</f>
        <v/>
      </c>
      <c r="T1403" s="60" t="str">
        <f aca="false">IF(IsPro,IF($D1403="","",IF(U1403="","UNKNOWN ITEM",IF(INDEX(Items!$O$5:$O$504,U1403)&lt;0,"NEG STOCK",IF(K1403&lt;INDEX(Items!$P$5:$P$504,U1403),"BELOW COST","OK")))),IF($D1403="","","PRO PLAN"))</f>
        <v/>
      </c>
      <c r="U1403" s="60" t="str">
        <f aca="false">IF(IsPro,IF($D1403="","",IFERROR(MATCH($D1403,Items!$A$5:$A$504,0),"")),"")</f>
        <v/>
      </c>
      <c r="V1403" s="60" t="str">
        <f aca="false">IF(IsPro,IF($C1403="","",IFERROR(MATCH($C1403,Parties!$A$5:$A$304,0),"")),"")</f>
        <v/>
      </c>
      <c r="W1403" s="60" t="str">
        <f aca="false">IF(IsPro,IF($B1403="","",IFERROR(VALUE(SUBSTITUTE($B1403,InvPrefix,"")),0)),"")</f>
        <v/>
      </c>
      <c r="X1403" s="61" t="str">
        <f aca="false">IF(IsPro,IF($D1403="","",IF(OR($H1403="",$H1403="Credit"),0,Q1403)),"")</f>
        <v/>
      </c>
    </row>
    <row r="1404" customFormat="false" ht="15" hidden="false" customHeight="false" outlineLevel="0" collapsed="false">
      <c r="A1404" s="55"/>
      <c r="B1404" s="56"/>
      <c r="C1404" s="56"/>
      <c r="D1404" s="56"/>
      <c r="E1404" s="57"/>
      <c r="F1404" s="58"/>
      <c r="G1404" s="59"/>
      <c r="H1404" s="56"/>
      <c r="I1404" s="56"/>
      <c r="J1404" s="60" t="str">
        <f aca="false">IF(IsPro,IF($D1404="","",IFERROR(INDEX(Items!$D$5:$D$504,U1404),"")),"")</f>
        <v/>
      </c>
      <c r="K1404" s="61" t="str">
        <f aca="false">IF(IsPro,IF($D1404="","",IF($F1404="",IFERROR(INDEX(Items!$H$5:$H$504,U1404),0),$F1404)),"")</f>
        <v/>
      </c>
      <c r="L1404" s="61" t="str">
        <f aca="false">IF(IsPro,IF($D1404="","",ROUND(N($E1404)*K1404*(1-N($G1404)),2)),"")</f>
        <v/>
      </c>
      <c r="M1404" s="62" t="str">
        <f aca="false">IF(IsPro,IF($D1404="","",IFERROR(INDEX(Items!$F$5:$F$504,U1404),0)),"")</f>
        <v/>
      </c>
      <c r="N1404" s="61" t="str">
        <f aca="false">IF(IsPro,IF($D1404="","",IF(AND(V1404&lt;&gt;"",INDEX(Parties!$E$5:$E$304,V1404)&lt;&gt;"",INDEX(Parties!$E$5:$E$304,V1404)&lt;&gt;HomeState),0,ROUND(L1404*M1404/2,2))),"")</f>
        <v/>
      </c>
      <c r="O1404" s="61" t="str">
        <f aca="false">IF(IsPro,IF($D1404="","",N1404),"")</f>
        <v/>
      </c>
      <c r="P1404" s="61" t="str">
        <f aca="false">IF(IsPro,IF($D1404="","",IF(AND(V1404&lt;&gt;"",INDEX(Parties!$E$5:$E$304,V1404)&lt;&gt;"",INDEX(Parties!$E$5:$E$304,V1404)&lt;&gt;HomeState),ROUND(L1404*M1404,2),0)),"")</f>
        <v/>
      </c>
      <c r="Q1404" s="61" t="str">
        <f aca="false">IF(IsPro,IF($D1404="","",L1404+N1404+O1404+P1404),"")</f>
        <v/>
      </c>
      <c r="R1404" s="61" t="str">
        <f aca="false">IF(IsPro,IF($D1404="","",ROUND(N($E1404)*IFERROR(INDEX(Items!$P$5:$P$504,U1404),0),2)),"")</f>
        <v/>
      </c>
      <c r="S1404" s="61" t="str">
        <f aca="false">IF(IsPro,IF($D1404="","",L1404-R1404),"")</f>
        <v/>
      </c>
      <c r="T1404" s="60" t="str">
        <f aca="false">IF(IsPro,IF($D1404="","",IF(U1404="","UNKNOWN ITEM",IF(INDEX(Items!$O$5:$O$504,U1404)&lt;0,"NEG STOCK",IF(K1404&lt;INDEX(Items!$P$5:$P$504,U1404),"BELOW COST","OK")))),IF($D1404="","","PRO PLAN"))</f>
        <v/>
      </c>
      <c r="U1404" s="60" t="str">
        <f aca="false">IF(IsPro,IF($D1404="","",IFERROR(MATCH($D1404,Items!$A$5:$A$504,0),"")),"")</f>
        <v/>
      </c>
      <c r="V1404" s="60" t="str">
        <f aca="false">IF(IsPro,IF($C1404="","",IFERROR(MATCH($C1404,Parties!$A$5:$A$304,0),"")),"")</f>
        <v/>
      </c>
      <c r="W1404" s="60" t="str">
        <f aca="false">IF(IsPro,IF($B1404="","",IFERROR(VALUE(SUBSTITUTE($B1404,InvPrefix,"")),0)),"")</f>
        <v/>
      </c>
      <c r="X1404" s="61" t="str">
        <f aca="false">IF(IsPro,IF($D1404="","",IF(OR($H1404="",$H1404="Credit"),0,Q1404)),"")</f>
        <v/>
      </c>
    </row>
    <row r="1405" customFormat="false" ht="15" hidden="false" customHeight="false" outlineLevel="0" collapsed="false">
      <c r="A1405" s="55"/>
      <c r="B1405" s="56"/>
      <c r="C1405" s="56"/>
      <c r="D1405" s="56"/>
      <c r="E1405" s="57"/>
      <c r="F1405" s="58"/>
      <c r="G1405" s="59"/>
      <c r="H1405" s="56"/>
      <c r="I1405" s="56"/>
      <c r="J1405" s="60" t="str">
        <f aca="false">IF(IsPro,IF($D1405="","",IFERROR(INDEX(Items!$D$5:$D$504,U1405),"")),"")</f>
        <v/>
      </c>
      <c r="K1405" s="61" t="str">
        <f aca="false">IF(IsPro,IF($D1405="","",IF($F1405="",IFERROR(INDEX(Items!$H$5:$H$504,U1405),0),$F1405)),"")</f>
        <v/>
      </c>
      <c r="L1405" s="61" t="str">
        <f aca="false">IF(IsPro,IF($D1405="","",ROUND(N($E1405)*K1405*(1-N($G1405)),2)),"")</f>
        <v/>
      </c>
      <c r="M1405" s="62" t="str">
        <f aca="false">IF(IsPro,IF($D1405="","",IFERROR(INDEX(Items!$F$5:$F$504,U1405),0)),"")</f>
        <v/>
      </c>
      <c r="N1405" s="61" t="str">
        <f aca="false">IF(IsPro,IF($D1405="","",IF(AND(V1405&lt;&gt;"",INDEX(Parties!$E$5:$E$304,V1405)&lt;&gt;"",INDEX(Parties!$E$5:$E$304,V1405)&lt;&gt;HomeState),0,ROUND(L1405*M1405/2,2))),"")</f>
        <v/>
      </c>
      <c r="O1405" s="61" t="str">
        <f aca="false">IF(IsPro,IF($D1405="","",N1405),"")</f>
        <v/>
      </c>
      <c r="P1405" s="61" t="str">
        <f aca="false">IF(IsPro,IF($D1405="","",IF(AND(V1405&lt;&gt;"",INDEX(Parties!$E$5:$E$304,V1405)&lt;&gt;"",INDEX(Parties!$E$5:$E$304,V1405)&lt;&gt;HomeState),ROUND(L1405*M1405,2),0)),"")</f>
        <v/>
      </c>
      <c r="Q1405" s="61" t="str">
        <f aca="false">IF(IsPro,IF($D1405="","",L1405+N1405+O1405+P1405),"")</f>
        <v/>
      </c>
      <c r="R1405" s="61" t="str">
        <f aca="false">IF(IsPro,IF($D1405="","",ROUND(N($E1405)*IFERROR(INDEX(Items!$P$5:$P$504,U1405),0),2)),"")</f>
        <v/>
      </c>
      <c r="S1405" s="61" t="str">
        <f aca="false">IF(IsPro,IF($D1405="","",L1405-R1405),"")</f>
        <v/>
      </c>
      <c r="T1405" s="60" t="str">
        <f aca="false">IF(IsPro,IF($D1405="","",IF(U1405="","UNKNOWN ITEM",IF(INDEX(Items!$O$5:$O$504,U1405)&lt;0,"NEG STOCK",IF(K1405&lt;INDEX(Items!$P$5:$P$504,U1405),"BELOW COST","OK")))),IF($D1405="","","PRO PLAN"))</f>
        <v/>
      </c>
      <c r="U1405" s="60" t="str">
        <f aca="false">IF(IsPro,IF($D1405="","",IFERROR(MATCH($D1405,Items!$A$5:$A$504,0),"")),"")</f>
        <v/>
      </c>
      <c r="V1405" s="60" t="str">
        <f aca="false">IF(IsPro,IF($C1405="","",IFERROR(MATCH($C1405,Parties!$A$5:$A$304,0),"")),"")</f>
        <v/>
      </c>
      <c r="W1405" s="60" t="str">
        <f aca="false">IF(IsPro,IF($B1405="","",IFERROR(VALUE(SUBSTITUTE($B1405,InvPrefix,"")),0)),"")</f>
        <v/>
      </c>
      <c r="X1405" s="61" t="str">
        <f aca="false">IF(IsPro,IF($D1405="","",IF(OR($H1405="",$H1405="Credit"),0,Q1405)),"")</f>
        <v/>
      </c>
    </row>
    <row r="1406" customFormat="false" ht="15" hidden="false" customHeight="false" outlineLevel="0" collapsed="false">
      <c r="A1406" s="55"/>
      <c r="B1406" s="56"/>
      <c r="C1406" s="56"/>
      <c r="D1406" s="56"/>
      <c r="E1406" s="57"/>
      <c r="F1406" s="58"/>
      <c r="G1406" s="59"/>
      <c r="H1406" s="56"/>
      <c r="I1406" s="56"/>
      <c r="J1406" s="60" t="str">
        <f aca="false">IF(IsPro,IF($D1406="","",IFERROR(INDEX(Items!$D$5:$D$504,U1406),"")),"")</f>
        <v/>
      </c>
      <c r="K1406" s="61" t="str">
        <f aca="false">IF(IsPro,IF($D1406="","",IF($F1406="",IFERROR(INDEX(Items!$H$5:$H$504,U1406),0),$F1406)),"")</f>
        <v/>
      </c>
      <c r="L1406" s="61" t="str">
        <f aca="false">IF(IsPro,IF($D1406="","",ROUND(N($E1406)*K1406*(1-N($G1406)),2)),"")</f>
        <v/>
      </c>
      <c r="M1406" s="62" t="str">
        <f aca="false">IF(IsPro,IF($D1406="","",IFERROR(INDEX(Items!$F$5:$F$504,U1406),0)),"")</f>
        <v/>
      </c>
      <c r="N1406" s="61" t="str">
        <f aca="false">IF(IsPro,IF($D1406="","",IF(AND(V1406&lt;&gt;"",INDEX(Parties!$E$5:$E$304,V1406)&lt;&gt;"",INDEX(Parties!$E$5:$E$304,V1406)&lt;&gt;HomeState),0,ROUND(L1406*M1406/2,2))),"")</f>
        <v/>
      </c>
      <c r="O1406" s="61" t="str">
        <f aca="false">IF(IsPro,IF($D1406="","",N1406),"")</f>
        <v/>
      </c>
      <c r="P1406" s="61" t="str">
        <f aca="false">IF(IsPro,IF($D1406="","",IF(AND(V1406&lt;&gt;"",INDEX(Parties!$E$5:$E$304,V1406)&lt;&gt;"",INDEX(Parties!$E$5:$E$304,V1406)&lt;&gt;HomeState),ROUND(L1406*M1406,2),0)),"")</f>
        <v/>
      </c>
      <c r="Q1406" s="61" t="str">
        <f aca="false">IF(IsPro,IF($D1406="","",L1406+N1406+O1406+P1406),"")</f>
        <v/>
      </c>
      <c r="R1406" s="61" t="str">
        <f aca="false">IF(IsPro,IF($D1406="","",ROUND(N($E1406)*IFERROR(INDEX(Items!$P$5:$P$504,U1406),0),2)),"")</f>
        <v/>
      </c>
      <c r="S1406" s="61" t="str">
        <f aca="false">IF(IsPro,IF($D1406="","",L1406-R1406),"")</f>
        <v/>
      </c>
      <c r="T1406" s="60" t="str">
        <f aca="false">IF(IsPro,IF($D1406="","",IF(U1406="","UNKNOWN ITEM",IF(INDEX(Items!$O$5:$O$504,U1406)&lt;0,"NEG STOCK",IF(K1406&lt;INDEX(Items!$P$5:$P$504,U1406),"BELOW COST","OK")))),IF($D1406="","","PRO PLAN"))</f>
        <v/>
      </c>
      <c r="U1406" s="60" t="str">
        <f aca="false">IF(IsPro,IF($D1406="","",IFERROR(MATCH($D1406,Items!$A$5:$A$504,0),"")),"")</f>
        <v/>
      </c>
      <c r="V1406" s="60" t="str">
        <f aca="false">IF(IsPro,IF($C1406="","",IFERROR(MATCH($C1406,Parties!$A$5:$A$304,0),"")),"")</f>
        <v/>
      </c>
      <c r="W1406" s="60" t="str">
        <f aca="false">IF(IsPro,IF($B1406="","",IFERROR(VALUE(SUBSTITUTE($B1406,InvPrefix,"")),0)),"")</f>
        <v/>
      </c>
      <c r="X1406" s="61" t="str">
        <f aca="false">IF(IsPro,IF($D1406="","",IF(OR($H1406="",$H1406="Credit"),0,Q1406)),"")</f>
        <v/>
      </c>
    </row>
    <row r="1407" customFormat="false" ht="15" hidden="false" customHeight="false" outlineLevel="0" collapsed="false">
      <c r="A1407" s="55"/>
      <c r="B1407" s="56"/>
      <c r="C1407" s="56"/>
      <c r="D1407" s="56"/>
      <c r="E1407" s="57"/>
      <c r="F1407" s="58"/>
      <c r="G1407" s="59"/>
      <c r="H1407" s="56"/>
      <c r="I1407" s="56"/>
      <c r="J1407" s="60" t="str">
        <f aca="false">IF(IsPro,IF($D1407="","",IFERROR(INDEX(Items!$D$5:$D$504,U1407),"")),"")</f>
        <v/>
      </c>
      <c r="K1407" s="61" t="str">
        <f aca="false">IF(IsPro,IF($D1407="","",IF($F1407="",IFERROR(INDEX(Items!$H$5:$H$504,U1407),0),$F1407)),"")</f>
        <v/>
      </c>
      <c r="L1407" s="61" t="str">
        <f aca="false">IF(IsPro,IF($D1407="","",ROUND(N($E1407)*K1407*(1-N($G1407)),2)),"")</f>
        <v/>
      </c>
      <c r="M1407" s="62" t="str">
        <f aca="false">IF(IsPro,IF($D1407="","",IFERROR(INDEX(Items!$F$5:$F$504,U1407),0)),"")</f>
        <v/>
      </c>
      <c r="N1407" s="61" t="str">
        <f aca="false">IF(IsPro,IF($D1407="","",IF(AND(V1407&lt;&gt;"",INDEX(Parties!$E$5:$E$304,V1407)&lt;&gt;"",INDEX(Parties!$E$5:$E$304,V1407)&lt;&gt;HomeState),0,ROUND(L1407*M1407/2,2))),"")</f>
        <v/>
      </c>
      <c r="O1407" s="61" t="str">
        <f aca="false">IF(IsPro,IF($D1407="","",N1407),"")</f>
        <v/>
      </c>
      <c r="P1407" s="61" t="str">
        <f aca="false">IF(IsPro,IF($D1407="","",IF(AND(V1407&lt;&gt;"",INDEX(Parties!$E$5:$E$304,V1407)&lt;&gt;"",INDEX(Parties!$E$5:$E$304,V1407)&lt;&gt;HomeState),ROUND(L1407*M1407,2),0)),"")</f>
        <v/>
      </c>
      <c r="Q1407" s="61" t="str">
        <f aca="false">IF(IsPro,IF($D1407="","",L1407+N1407+O1407+P1407),"")</f>
        <v/>
      </c>
      <c r="R1407" s="61" t="str">
        <f aca="false">IF(IsPro,IF($D1407="","",ROUND(N($E1407)*IFERROR(INDEX(Items!$P$5:$P$504,U1407),0),2)),"")</f>
        <v/>
      </c>
      <c r="S1407" s="61" t="str">
        <f aca="false">IF(IsPro,IF($D1407="","",L1407-R1407),"")</f>
        <v/>
      </c>
      <c r="T1407" s="60" t="str">
        <f aca="false">IF(IsPro,IF($D1407="","",IF(U1407="","UNKNOWN ITEM",IF(INDEX(Items!$O$5:$O$504,U1407)&lt;0,"NEG STOCK",IF(K1407&lt;INDEX(Items!$P$5:$P$504,U1407),"BELOW COST","OK")))),IF($D1407="","","PRO PLAN"))</f>
        <v/>
      </c>
      <c r="U1407" s="60" t="str">
        <f aca="false">IF(IsPro,IF($D1407="","",IFERROR(MATCH($D1407,Items!$A$5:$A$504,0),"")),"")</f>
        <v/>
      </c>
      <c r="V1407" s="60" t="str">
        <f aca="false">IF(IsPro,IF($C1407="","",IFERROR(MATCH($C1407,Parties!$A$5:$A$304,0),"")),"")</f>
        <v/>
      </c>
      <c r="W1407" s="60" t="str">
        <f aca="false">IF(IsPro,IF($B1407="","",IFERROR(VALUE(SUBSTITUTE($B1407,InvPrefix,"")),0)),"")</f>
        <v/>
      </c>
      <c r="X1407" s="61" t="str">
        <f aca="false">IF(IsPro,IF($D1407="","",IF(OR($H1407="",$H1407="Credit"),0,Q1407)),"")</f>
        <v/>
      </c>
    </row>
    <row r="1408" customFormat="false" ht="15" hidden="false" customHeight="false" outlineLevel="0" collapsed="false">
      <c r="A1408" s="55"/>
      <c r="B1408" s="56"/>
      <c r="C1408" s="56"/>
      <c r="D1408" s="56"/>
      <c r="E1408" s="57"/>
      <c r="F1408" s="58"/>
      <c r="G1408" s="59"/>
      <c r="H1408" s="56"/>
      <c r="I1408" s="56"/>
      <c r="J1408" s="60" t="str">
        <f aca="false">IF(IsPro,IF($D1408="","",IFERROR(INDEX(Items!$D$5:$D$504,U1408),"")),"")</f>
        <v/>
      </c>
      <c r="K1408" s="61" t="str">
        <f aca="false">IF(IsPro,IF($D1408="","",IF($F1408="",IFERROR(INDEX(Items!$H$5:$H$504,U1408),0),$F1408)),"")</f>
        <v/>
      </c>
      <c r="L1408" s="61" t="str">
        <f aca="false">IF(IsPro,IF($D1408="","",ROUND(N($E1408)*K1408*(1-N($G1408)),2)),"")</f>
        <v/>
      </c>
      <c r="M1408" s="62" t="str">
        <f aca="false">IF(IsPro,IF($D1408="","",IFERROR(INDEX(Items!$F$5:$F$504,U1408),0)),"")</f>
        <v/>
      </c>
      <c r="N1408" s="61" t="str">
        <f aca="false">IF(IsPro,IF($D1408="","",IF(AND(V1408&lt;&gt;"",INDEX(Parties!$E$5:$E$304,V1408)&lt;&gt;"",INDEX(Parties!$E$5:$E$304,V1408)&lt;&gt;HomeState),0,ROUND(L1408*M1408/2,2))),"")</f>
        <v/>
      </c>
      <c r="O1408" s="61" t="str">
        <f aca="false">IF(IsPro,IF($D1408="","",N1408),"")</f>
        <v/>
      </c>
      <c r="P1408" s="61" t="str">
        <f aca="false">IF(IsPro,IF($D1408="","",IF(AND(V1408&lt;&gt;"",INDEX(Parties!$E$5:$E$304,V1408)&lt;&gt;"",INDEX(Parties!$E$5:$E$304,V1408)&lt;&gt;HomeState),ROUND(L1408*M1408,2),0)),"")</f>
        <v/>
      </c>
      <c r="Q1408" s="61" t="str">
        <f aca="false">IF(IsPro,IF($D1408="","",L1408+N1408+O1408+P1408),"")</f>
        <v/>
      </c>
      <c r="R1408" s="61" t="str">
        <f aca="false">IF(IsPro,IF($D1408="","",ROUND(N($E1408)*IFERROR(INDEX(Items!$P$5:$P$504,U1408),0),2)),"")</f>
        <v/>
      </c>
      <c r="S1408" s="61" t="str">
        <f aca="false">IF(IsPro,IF($D1408="","",L1408-R1408),"")</f>
        <v/>
      </c>
      <c r="T1408" s="60" t="str">
        <f aca="false">IF(IsPro,IF($D1408="","",IF(U1408="","UNKNOWN ITEM",IF(INDEX(Items!$O$5:$O$504,U1408)&lt;0,"NEG STOCK",IF(K1408&lt;INDEX(Items!$P$5:$P$504,U1408),"BELOW COST","OK")))),IF($D1408="","","PRO PLAN"))</f>
        <v/>
      </c>
      <c r="U1408" s="60" t="str">
        <f aca="false">IF(IsPro,IF($D1408="","",IFERROR(MATCH($D1408,Items!$A$5:$A$504,0),"")),"")</f>
        <v/>
      </c>
      <c r="V1408" s="60" t="str">
        <f aca="false">IF(IsPro,IF($C1408="","",IFERROR(MATCH($C1408,Parties!$A$5:$A$304,0),"")),"")</f>
        <v/>
      </c>
      <c r="W1408" s="60" t="str">
        <f aca="false">IF(IsPro,IF($B1408="","",IFERROR(VALUE(SUBSTITUTE($B1408,InvPrefix,"")),0)),"")</f>
        <v/>
      </c>
      <c r="X1408" s="61" t="str">
        <f aca="false">IF(IsPro,IF($D1408="","",IF(OR($H1408="",$H1408="Credit"),0,Q1408)),"")</f>
        <v/>
      </c>
    </row>
    <row r="1409" customFormat="false" ht="15" hidden="false" customHeight="false" outlineLevel="0" collapsed="false">
      <c r="A1409" s="55"/>
      <c r="B1409" s="56"/>
      <c r="C1409" s="56"/>
      <c r="D1409" s="56"/>
      <c r="E1409" s="57"/>
      <c r="F1409" s="58"/>
      <c r="G1409" s="59"/>
      <c r="H1409" s="56"/>
      <c r="I1409" s="56"/>
      <c r="J1409" s="60" t="str">
        <f aca="false">IF(IsPro,IF($D1409="","",IFERROR(INDEX(Items!$D$5:$D$504,U1409),"")),"")</f>
        <v/>
      </c>
      <c r="K1409" s="61" t="str">
        <f aca="false">IF(IsPro,IF($D1409="","",IF($F1409="",IFERROR(INDEX(Items!$H$5:$H$504,U1409),0),$F1409)),"")</f>
        <v/>
      </c>
      <c r="L1409" s="61" t="str">
        <f aca="false">IF(IsPro,IF($D1409="","",ROUND(N($E1409)*K1409*(1-N($G1409)),2)),"")</f>
        <v/>
      </c>
      <c r="M1409" s="62" t="str">
        <f aca="false">IF(IsPro,IF($D1409="","",IFERROR(INDEX(Items!$F$5:$F$504,U1409),0)),"")</f>
        <v/>
      </c>
      <c r="N1409" s="61" t="str">
        <f aca="false">IF(IsPro,IF($D1409="","",IF(AND(V1409&lt;&gt;"",INDEX(Parties!$E$5:$E$304,V1409)&lt;&gt;"",INDEX(Parties!$E$5:$E$304,V1409)&lt;&gt;HomeState),0,ROUND(L1409*M1409/2,2))),"")</f>
        <v/>
      </c>
      <c r="O1409" s="61" t="str">
        <f aca="false">IF(IsPro,IF($D1409="","",N1409),"")</f>
        <v/>
      </c>
      <c r="P1409" s="61" t="str">
        <f aca="false">IF(IsPro,IF($D1409="","",IF(AND(V1409&lt;&gt;"",INDEX(Parties!$E$5:$E$304,V1409)&lt;&gt;"",INDEX(Parties!$E$5:$E$304,V1409)&lt;&gt;HomeState),ROUND(L1409*M1409,2),0)),"")</f>
        <v/>
      </c>
      <c r="Q1409" s="61" t="str">
        <f aca="false">IF(IsPro,IF($D1409="","",L1409+N1409+O1409+P1409),"")</f>
        <v/>
      </c>
      <c r="R1409" s="61" t="str">
        <f aca="false">IF(IsPro,IF($D1409="","",ROUND(N($E1409)*IFERROR(INDEX(Items!$P$5:$P$504,U1409),0),2)),"")</f>
        <v/>
      </c>
      <c r="S1409" s="61" t="str">
        <f aca="false">IF(IsPro,IF($D1409="","",L1409-R1409),"")</f>
        <v/>
      </c>
      <c r="T1409" s="60" t="str">
        <f aca="false">IF(IsPro,IF($D1409="","",IF(U1409="","UNKNOWN ITEM",IF(INDEX(Items!$O$5:$O$504,U1409)&lt;0,"NEG STOCK",IF(K1409&lt;INDEX(Items!$P$5:$P$504,U1409),"BELOW COST","OK")))),IF($D1409="","","PRO PLAN"))</f>
        <v/>
      </c>
      <c r="U1409" s="60" t="str">
        <f aca="false">IF(IsPro,IF($D1409="","",IFERROR(MATCH($D1409,Items!$A$5:$A$504,0),"")),"")</f>
        <v/>
      </c>
      <c r="V1409" s="60" t="str">
        <f aca="false">IF(IsPro,IF($C1409="","",IFERROR(MATCH($C1409,Parties!$A$5:$A$304,0),"")),"")</f>
        <v/>
      </c>
      <c r="W1409" s="60" t="str">
        <f aca="false">IF(IsPro,IF($B1409="","",IFERROR(VALUE(SUBSTITUTE($B1409,InvPrefix,"")),0)),"")</f>
        <v/>
      </c>
      <c r="X1409" s="61" t="str">
        <f aca="false">IF(IsPro,IF($D1409="","",IF(OR($H1409="",$H1409="Credit"),0,Q1409)),"")</f>
        <v/>
      </c>
    </row>
    <row r="1410" customFormat="false" ht="15" hidden="false" customHeight="false" outlineLevel="0" collapsed="false">
      <c r="A1410" s="55"/>
      <c r="B1410" s="56"/>
      <c r="C1410" s="56"/>
      <c r="D1410" s="56"/>
      <c r="E1410" s="57"/>
      <c r="F1410" s="58"/>
      <c r="G1410" s="59"/>
      <c r="H1410" s="56"/>
      <c r="I1410" s="56"/>
      <c r="J1410" s="60" t="str">
        <f aca="false">IF(IsPro,IF($D1410="","",IFERROR(INDEX(Items!$D$5:$D$504,U1410),"")),"")</f>
        <v/>
      </c>
      <c r="K1410" s="61" t="str">
        <f aca="false">IF(IsPro,IF($D1410="","",IF($F1410="",IFERROR(INDEX(Items!$H$5:$H$504,U1410),0),$F1410)),"")</f>
        <v/>
      </c>
      <c r="L1410" s="61" t="str">
        <f aca="false">IF(IsPro,IF($D1410="","",ROUND(N($E1410)*K1410*(1-N($G1410)),2)),"")</f>
        <v/>
      </c>
      <c r="M1410" s="62" t="str">
        <f aca="false">IF(IsPro,IF($D1410="","",IFERROR(INDEX(Items!$F$5:$F$504,U1410),0)),"")</f>
        <v/>
      </c>
      <c r="N1410" s="61" t="str">
        <f aca="false">IF(IsPro,IF($D1410="","",IF(AND(V1410&lt;&gt;"",INDEX(Parties!$E$5:$E$304,V1410)&lt;&gt;"",INDEX(Parties!$E$5:$E$304,V1410)&lt;&gt;HomeState),0,ROUND(L1410*M1410/2,2))),"")</f>
        <v/>
      </c>
      <c r="O1410" s="61" t="str">
        <f aca="false">IF(IsPro,IF($D1410="","",N1410),"")</f>
        <v/>
      </c>
      <c r="P1410" s="61" t="str">
        <f aca="false">IF(IsPro,IF($D1410="","",IF(AND(V1410&lt;&gt;"",INDEX(Parties!$E$5:$E$304,V1410)&lt;&gt;"",INDEX(Parties!$E$5:$E$304,V1410)&lt;&gt;HomeState),ROUND(L1410*M1410,2),0)),"")</f>
        <v/>
      </c>
      <c r="Q1410" s="61" t="str">
        <f aca="false">IF(IsPro,IF($D1410="","",L1410+N1410+O1410+P1410),"")</f>
        <v/>
      </c>
      <c r="R1410" s="61" t="str">
        <f aca="false">IF(IsPro,IF($D1410="","",ROUND(N($E1410)*IFERROR(INDEX(Items!$P$5:$P$504,U1410),0),2)),"")</f>
        <v/>
      </c>
      <c r="S1410" s="61" t="str">
        <f aca="false">IF(IsPro,IF($D1410="","",L1410-R1410),"")</f>
        <v/>
      </c>
      <c r="T1410" s="60" t="str">
        <f aca="false">IF(IsPro,IF($D1410="","",IF(U1410="","UNKNOWN ITEM",IF(INDEX(Items!$O$5:$O$504,U1410)&lt;0,"NEG STOCK",IF(K1410&lt;INDEX(Items!$P$5:$P$504,U1410),"BELOW COST","OK")))),IF($D1410="","","PRO PLAN"))</f>
        <v/>
      </c>
      <c r="U1410" s="60" t="str">
        <f aca="false">IF(IsPro,IF($D1410="","",IFERROR(MATCH($D1410,Items!$A$5:$A$504,0),"")),"")</f>
        <v/>
      </c>
      <c r="V1410" s="60" t="str">
        <f aca="false">IF(IsPro,IF($C1410="","",IFERROR(MATCH($C1410,Parties!$A$5:$A$304,0),"")),"")</f>
        <v/>
      </c>
      <c r="W1410" s="60" t="str">
        <f aca="false">IF(IsPro,IF($B1410="","",IFERROR(VALUE(SUBSTITUTE($B1410,InvPrefix,"")),0)),"")</f>
        <v/>
      </c>
      <c r="X1410" s="61" t="str">
        <f aca="false">IF(IsPro,IF($D1410="","",IF(OR($H1410="",$H1410="Credit"),0,Q1410)),"")</f>
        <v/>
      </c>
    </row>
    <row r="1411" customFormat="false" ht="15" hidden="false" customHeight="false" outlineLevel="0" collapsed="false">
      <c r="A1411" s="55"/>
      <c r="B1411" s="56"/>
      <c r="C1411" s="56"/>
      <c r="D1411" s="56"/>
      <c r="E1411" s="57"/>
      <c r="F1411" s="58"/>
      <c r="G1411" s="59"/>
      <c r="H1411" s="56"/>
      <c r="I1411" s="56"/>
      <c r="J1411" s="60" t="str">
        <f aca="false">IF(IsPro,IF($D1411="","",IFERROR(INDEX(Items!$D$5:$D$504,U1411),"")),"")</f>
        <v/>
      </c>
      <c r="K1411" s="61" t="str">
        <f aca="false">IF(IsPro,IF($D1411="","",IF($F1411="",IFERROR(INDEX(Items!$H$5:$H$504,U1411),0),$F1411)),"")</f>
        <v/>
      </c>
      <c r="L1411" s="61" t="str">
        <f aca="false">IF(IsPro,IF($D1411="","",ROUND(N($E1411)*K1411*(1-N($G1411)),2)),"")</f>
        <v/>
      </c>
      <c r="M1411" s="62" t="str">
        <f aca="false">IF(IsPro,IF($D1411="","",IFERROR(INDEX(Items!$F$5:$F$504,U1411),0)),"")</f>
        <v/>
      </c>
      <c r="N1411" s="61" t="str">
        <f aca="false">IF(IsPro,IF($D1411="","",IF(AND(V1411&lt;&gt;"",INDEX(Parties!$E$5:$E$304,V1411)&lt;&gt;"",INDEX(Parties!$E$5:$E$304,V1411)&lt;&gt;HomeState),0,ROUND(L1411*M1411/2,2))),"")</f>
        <v/>
      </c>
      <c r="O1411" s="61" t="str">
        <f aca="false">IF(IsPro,IF($D1411="","",N1411),"")</f>
        <v/>
      </c>
      <c r="P1411" s="61" t="str">
        <f aca="false">IF(IsPro,IF($D1411="","",IF(AND(V1411&lt;&gt;"",INDEX(Parties!$E$5:$E$304,V1411)&lt;&gt;"",INDEX(Parties!$E$5:$E$304,V1411)&lt;&gt;HomeState),ROUND(L1411*M1411,2),0)),"")</f>
        <v/>
      </c>
      <c r="Q1411" s="61" t="str">
        <f aca="false">IF(IsPro,IF($D1411="","",L1411+N1411+O1411+P1411),"")</f>
        <v/>
      </c>
      <c r="R1411" s="61" t="str">
        <f aca="false">IF(IsPro,IF($D1411="","",ROUND(N($E1411)*IFERROR(INDEX(Items!$P$5:$P$504,U1411),0),2)),"")</f>
        <v/>
      </c>
      <c r="S1411" s="61" t="str">
        <f aca="false">IF(IsPro,IF($D1411="","",L1411-R1411),"")</f>
        <v/>
      </c>
      <c r="T1411" s="60" t="str">
        <f aca="false">IF(IsPro,IF($D1411="","",IF(U1411="","UNKNOWN ITEM",IF(INDEX(Items!$O$5:$O$504,U1411)&lt;0,"NEG STOCK",IF(K1411&lt;INDEX(Items!$P$5:$P$504,U1411),"BELOW COST","OK")))),IF($D1411="","","PRO PLAN"))</f>
        <v/>
      </c>
      <c r="U1411" s="60" t="str">
        <f aca="false">IF(IsPro,IF($D1411="","",IFERROR(MATCH($D1411,Items!$A$5:$A$504,0),"")),"")</f>
        <v/>
      </c>
      <c r="V1411" s="60" t="str">
        <f aca="false">IF(IsPro,IF($C1411="","",IFERROR(MATCH($C1411,Parties!$A$5:$A$304,0),"")),"")</f>
        <v/>
      </c>
      <c r="W1411" s="60" t="str">
        <f aca="false">IF(IsPro,IF($B1411="","",IFERROR(VALUE(SUBSTITUTE($B1411,InvPrefix,"")),0)),"")</f>
        <v/>
      </c>
      <c r="X1411" s="61" t="str">
        <f aca="false">IF(IsPro,IF($D1411="","",IF(OR($H1411="",$H1411="Credit"),0,Q1411)),"")</f>
        <v/>
      </c>
    </row>
    <row r="1412" customFormat="false" ht="15" hidden="false" customHeight="false" outlineLevel="0" collapsed="false">
      <c r="A1412" s="55"/>
      <c r="B1412" s="56"/>
      <c r="C1412" s="56"/>
      <c r="D1412" s="56"/>
      <c r="E1412" s="57"/>
      <c r="F1412" s="58"/>
      <c r="G1412" s="59"/>
      <c r="H1412" s="56"/>
      <c r="I1412" s="56"/>
      <c r="J1412" s="60" t="str">
        <f aca="false">IF(IsPro,IF($D1412="","",IFERROR(INDEX(Items!$D$5:$D$504,U1412),"")),"")</f>
        <v/>
      </c>
      <c r="K1412" s="61" t="str">
        <f aca="false">IF(IsPro,IF($D1412="","",IF($F1412="",IFERROR(INDEX(Items!$H$5:$H$504,U1412),0),$F1412)),"")</f>
        <v/>
      </c>
      <c r="L1412" s="61" t="str">
        <f aca="false">IF(IsPro,IF($D1412="","",ROUND(N($E1412)*K1412*(1-N($G1412)),2)),"")</f>
        <v/>
      </c>
      <c r="M1412" s="62" t="str">
        <f aca="false">IF(IsPro,IF($D1412="","",IFERROR(INDEX(Items!$F$5:$F$504,U1412),0)),"")</f>
        <v/>
      </c>
      <c r="N1412" s="61" t="str">
        <f aca="false">IF(IsPro,IF($D1412="","",IF(AND(V1412&lt;&gt;"",INDEX(Parties!$E$5:$E$304,V1412)&lt;&gt;"",INDEX(Parties!$E$5:$E$304,V1412)&lt;&gt;HomeState),0,ROUND(L1412*M1412/2,2))),"")</f>
        <v/>
      </c>
      <c r="O1412" s="61" t="str">
        <f aca="false">IF(IsPro,IF($D1412="","",N1412),"")</f>
        <v/>
      </c>
      <c r="P1412" s="61" t="str">
        <f aca="false">IF(IsPro,IF($D1412="","",IF(AND(V1412&lt;&gt;"",INDEX(Parties!$E$5:$E$304,V1412)&lt;&gt;"",INDEX(Parties!$E$5:$E$304,V1412)&lt;&gt;HomeState),ROUND(L1412*M1412,2),0)),"")</f>
        <v/>
      </c>
      <c r="Q1412" s="61" t="str">
        <f aca="false">IF(IsPro,IF($D1412="","",L1412+N1412+O1412+P1412),"")</f>
        <v/>
      </c>
      <c r="R1412" s="61" t="str">
        <f aca="false">IF(IsPro,IF($D1412="","",ROUND(N($E1412)*IFERROR(INDEX(Items!$P$5:$P$504,U1412),0),2)),"")</f>
        <v/>
      </c>
      <c r="S1412" s="61" t="str">
        <f aca="false">IF(IsPro,IF($D1412="","",L1412-R1412),"")</f>
        <v/>
      </c>
      <c r="T1412" s="60" t="str">
        <f aca="false">IF(IsPro,IF($D1412="","",IF(U1412="","UNKNOWN ITEM",IF(INDEX(Items!$O$5:$O$504,U1412)&lt;0,"NEG STOCK",IF(K1412&lt;INDEX(Items!$P$5:$P$504,U1412),"BELOW COST","OK")))),IF($D1412="","","PRO PLAN"))</f>
        <v/>
      </c>
      <c r="U1412" s="60" t="str">
        <f aca="false">IF(IsPro,IF($D1412="","",IFERROR(MATCH($D1412,Items!$A$5:$A$504,0),"")),"")</f>
        <v/>
      </c>
      <c r="V1412" s="60" t="str">
        <f aca="false">IF(IsPro,IF($C1412="","",IFERROR(MATCH($C1412,Parties!$A$5:$A$304,0),"")),"")</f>
        <v/>
      </c>
      <c r="W1412" s="60" t="str">
        <f aca="false">IF(IsPro,IF($B1412="","",IFERROR(VALUE(SUBSTITUTE($B1412,InvPrefix,"")),0)),"")</f>
        <v/>
      </c>
      <c r="X1412" s="61" t="str">
        <f aca="false">IF(IsPro,IF($D1412="","",IF(OR($H1412="",$H1412="Credit"),0,Q1412)),"")</f>
        <v/>
      </c>
    </row>
    <row r="1413" customFormat="false" ht="15" hidden="false" customHeight="false" outlineLevel="0" collapsed="false">
      <c r="A1413" s="55"/>
      <c r="B1413" s="56"/>
      <c r="C1413" s="56"/>
      <c r="D1413" s="56"/>
      <c r="E1413" s="57"/>
      <c r="F1413" s="58"/>
      <c r="G1413" s="59"/>
      <c r="H1413" s="56"/>
      <c r="I1413" s="56"/>
      <c r="J1413" s="60" t="str">
        <f aca="false">IF(IsPro,IF($D1413="","",IFERROR(INDEX(Items!$D$5:$D$504,U1413),"")),"")</f>
        <v/>
      </c>
      <c r="K1413" s="61" t="str">
        <f aca="false">IF(IsPro,IF($D1413="","",IF($F1413="",IFERROR(INDEX(Items!$H$5:$H$504,U1413),0),$F1413)),"")</f>
        <v/>
      </c>
      <c r="L1413" s="61" t="str">
        <f aca="false">IF(IsPro,IF($D1413="","",ROUND(N($E1413)*K1413*(1-N($G1413)),2)),"")</f>
        <v/>
      </c>
      <c r="M1413" s="62" t="str">
        <f aca="false">IF(IsPro,IF($D1413="","",IFERROR(INDEX(Items!$F$5:$F$504,U1413),0)),"")</f>
        <v/>
      </c>
      <c r="N1413" s="61" t="str">
        <f aca="false">IF(IsPro,IF($D1413="","",IF(AND(V1413&lt;&gt;"",INDEX(Parties!$E$5:$E$304,V1413)&lt;&gt;"",INDEX(Parties!$E$5:$E$304,V1413)&lt;&gt;HomeState),0,ROUND(L1413*M1413/2,2))),"")</f>
        <v/>
      </c>
      <c r="O1413" s="61" t="str">
        <f aca="false">IF(IsPro,IF($D1413="","",N1413),"")</f>
        <v/>
      </c>
      <c r="P1413" s="61" t="str">
        <f aca="false">IF(IsPro,IF($D1413="","",IF(AND(V1413&lt;&gt;"",INDEX(Parties!$E$5:$E$304,V1413)&lt;&gt;"",INDEX(Parties!$E$5:$E$304,V1413)&lt;&gt;HomeState),ROUND(L1413*M1413,2),0)),"")</f>
        <v/>
      </c>
      <c r="Q1413" s="61" t="str">
        <f aca="false">IF(IsPro,IF($D1413="","",L1413+N1413+O1413+P1413),"")</f>
        <v/>
      </c>
      <c r="R1413" s="61" t="str">
        <f aca="false">IF(IsPro,IF($D1413="","",ROUND(N($E1413)*IFERROR(INDEX(Items!$P$5:$P$504,U1413),0),2)),"")</f>
        <v/>
      </c>
      <c r="S1413" s="61" t="str">
        <f aca="false">IF(IsPro,IF($D1413="","",L1413-R1413),"")</f>
        <v/>
      </c>
      <c r="T1413" s="60" t="str">
        <f aca="false">IF(IsPro,IF($D1413="","",IF(U1413="","UNKNOWN ITEM",IF(INDEX(Items!$O$5:$O$504,U1413)&lt;0,"NEG STOCK",IF(K1413&lt;INDEX(Items!$P$5:$P$504,U1413),"BELOW COST","OK")))),IF($D1413="","","PRO PLAN"))</f>
        <v/>
      </c>
      <c r="U1413" s="60" t="str">
        <f aca="false">IF(IsPro,IF($D1413="","",IFERROR(MATCH($D1413,Items!$A$5:$A$504,0),"")),"")</f>
        <v/>
      </c>
      <c r="V1413" s="60" t="str">
        <f aca="false">IF(IsPro,IF($C1413="","",IFERROR(MATCH($C1413,Parties!$A$5:$A$304,0),"")),"")</f>
        <v/>
      </c>
      <c r="W1413" s="60" t="str">
        <f aca="false">IF(IsPro,IF($B1413="","",IFERROR(VALUE(SUBSTITUTE($B1413,InvPrefix,"")),0)),"")</f>
        <v/>
      </c>
      <c r="X1413" s="61" t="str">
        <f aca="false">IF(IsPro,IF($D1413="","",IF(OR($H1413="",$H1413="Credit"),0,Q1413)),"")</f>
        <v/>
      </c>
    </row>
    <row r="1414" customFormat="false" ht="15" hidden="false" customHeight="false" outlineLevel="0" collapsed="false">
      <c r="A1414" s="55"/>
      <c r="B1414" s="56"/>
      <c r="C1414" s="56"/>
      <c r="D1414" s="56"/>
      <c r="E1414" s="57"/>
      <c r="F1414" s="58"/>
      <c r="G1414" s="59"/>
      <c r="H1414" s="56"/>
      <c r="I1414" s="56"/>
      <c r="J1414" s="60" t="str">
        <f aca="false">IF(IsPro,IF($D1414="","",IFERROR(INDEX(Items!$D$5:$D$504,U1414),"")),"")</f>
        <v/>
      </c>
      <c r="K1414" s="61" t="str">
        <f aca="false">IF(IsPro,IF($D1414="","",IF($F1414="",IFERROR(INDEX(Items!$H$5:$H$504,U1414),0),$F1414)),"")</f>
        <v/>
      </c>
      <c r="L1414" s="61" t="str">
        <f aca="false">IF(IsPro,IF($D1414="","",ROUND(N($E1414)*K1414*(1-N($G1414)),2)),"")</f>
        <v/>
      </c>
      <c r="M1414" s="62" t="str">
        <f aca="false">IF(IsPro,IF($D1414="","",IFERROR(INDEX(Items!$F$5:$F$504,U1414),0)),"")</f>
        <v/>
      </c>
      <c r="N1414" s="61" t="str">
        <f aca="false">IF(IsPro,IF($D1414="","",IF(AND(V1414&lt;&gt;"",INDEX(Parties!$E$5:$E$304,V1414)&lt;&gt;"",INDEX(Parties!$E$5:$E$304,V1414)&lt;&gt;HomeState),0,ROUND(L1414*M1414/2,2))),"")</f>
        <v/>
      </c>
      <c r="O1414" s="61" t="str">
        <f aca="false">IF(IsPro,IF($D1414="","",N1414),"")</f>
        <v/>
      </c>
      <c r="P1414" s="61" t="str">
        <f aca="false">IF(IsPro,IF($D1414="","",IF(AND(V1414&lt;&gt;"",INDEX(Parties!$E$5:$E$304,V1414)&lt;&gt;"",INDEX(Parties!$E$5:$E$304,V1414)&lt;&gt;HomeState),ROUND(L1414*M1414,2),0)),"")</f>
        <v/>
      </c>
      <c r="Q1414" s="61" t="str">
        <f aca="false">IF(IsPro,IF($D1414="","",L1414+N1414+O1414+P1414),"")</f>
        <v/>
      </c>
      <c r="R1414" s="61" t="str">
        <f aca="false">IF(IsPro,IF($D1414="","",ROUND(N($E1414)*IFERROR(INDEX(Items!$P$5:$P$504,U1414),0),2)),"")</f>
        <v/>
      </c>
      <c r="S1414" s="61" t="str">
        <f aca="false">IF(IsPro,IF($D1414="","",L1414-R1414),"")</f>
        <v/>
      </c>
      <c r="T1414" s="60" t="str">
        <f aca="false">IF(IsPro,IF($D1414="","",IF(U1414="","UNKNOWN ITEM",IF(INDEX(Items!$O$5:$O$504,U1414)&lt;0,"NEG STOCK",IF(K1414&lt;INDEX(Items!$P$5:$P$504,U1414),"BELOW COST","OK")))),IF($D1414="","","PRO PLAN"))</f>
        <v/>
      </c>
      <c r="U1414" s="60" t="str">
        <f aca="false">IF(IsPro,IF($D1414="","",IFERROR(MATCH($D1414,Items!$A$5:$A$504,0),"")),"")</f>
        <v/>
      </c>
      <c r="V1414" s="60" t="str">
        <f aca="false">IF(IsPro,IF($C1414="","",IFERROR(MATCH($C1414,Parties!$A$5:$A$304,0),"")),"")</f>
        <v/>
      </c>
      <c r="W1414" s="60" t="str">
        <f aca="false">IF(IsPro,IF($B1414="","",IFERROR(VALUE(SUBSTITUTE($B1414,InvPrefix,"")),0)),"")</f>
        <v/>
      </c>
      <c r="X1414" s="61" t="str">
        <f aca="false">IF(IsPro,IF($D1414="","",IF(OR($H1414="",$H1414="Credit"),0,Q1414)),"")</f>
        <v/>
      </c>
    </row>
    <row r="1415" customFormat="false" ht="15" hidden="false" customHeight="false" outlineLevel="0" collapsed="false">
      <c r="A1415" s="55"/>
      <c r="B1415" s="56"/>
      <c r="C1415" s="56"/>
      <c r="D1415" s="56"/>
      <c r="E1415" s="57"/>
      <c r="F1415" s="58"/>
      <c r="G1415" s="59"/>
      <c r="H1415" s="56"/>
      <c r="I1415" s="56"/>
      <c r="J1415" s="60" t="str">
        <f aca="false">IF(IsPro,IF($D1415="","",IFERROR(INDEX(Items!$D$5:$D$504,U1415),"")),"")</f>
        <v/>
      </c>
      <c r="K1415" s="61" t="str">
        <f aca="false">IF(IsPro,IF($D1415="","",IF($F1415="",IFERROR(INDEX(Items!$H$5:$H$504,U1415),0),$F1415)),"")</f>
        <v/>
      </c>
      <c r="L1415" s="61" t="str">
        <f aca="false">IF(IsPro,IF($D1415="","",ROUND(N($E1415)*K1415*(1-N($G1415)),2)),"")</f>
        <v/>
      </c>
      <c r="M1415" s="62" t="str">
        <f aca="false">IF(IsPro,IF($D1415="","",IFERROR(INDEX(Items!$F$5:$F$504,U1415),0)),"")</f>
        <v/>
      </c>
      <c r="N1415" s="61" t="str">
        <f aca="false">IF(IsPro,IF($D1415="","",IF(AND(V1415&lt;&gt;"",INDEX(Parties!$E$5:$E$304,V1415)&lt;&gt;"",INDEX(Parties!$E$5:$E$304,V1415)&lt;&gt;HomeState),0,ROUND(L1415*M1415/2,2))),"")</f>
        <v/>
      </c>
      <c r="O1415" s="61" t="str">
        <f aca="false">IF(IsPro,IF($D1415="","",N1415),"")</f>
        <v/>
      </c>
      <c r="P1415" s="61" t="str">
        <f aca="false">IF(IsPro,IF($D1415="","",IF(AND(V1415&lt;&gt;"",INDEX(Parties!$E$5:$E$304,V1415)&lt;&gt;"",INDEX(Parties!$E$5:$E$304,V1415)&lt;&gt;HomeState),ROUND(L1415*M1415,2),0)),"")</f>
        <v/>
      </c>
      <c r="Q1415" s="61" t="str">
        <f aca="false">IF(IsPro,IF($D1415="","",L1415+N1415+O1415+P1415),"")</f>
        <v/>
      </c>
      <c r="R1415" s="61" t="str">
        <f aca="false">IF(IsPro,IF($D1415="","",ROUND(N($E1415)*IFERROR(INDEX(Items!$P$5:$P$504,U1415),0),2)),"")</f>
        <v/>
      </c>
      <c r="S1415" s="61" t="str">
        <f aca="false">IF(IsPro,IF($D1415="","",L1415-R1415),"")</f>
        <v/>
      </c>
      <c r="T1415" s="60" t="str">
        <f aca="false">IF(IsPro,IF($D1415="","",IF(U1415="","UNKNOWN ITEM",IF(INDEX(Items!$O$5:$O$504,U1415)&lt;0,"NEG STOCK",IF(K1415&lt;INDEX(Items!$P$5:$P$504,U1415),"BELOW COST","OK")))),IF($D1415="","","PRO PLAN"))</f>
        <v/>
      </c>
      <c r="U1415" s="60" t="str">
        <f aca="false">IF(IsPro,IF($D1415="","",IFERROR(MATCH($D1415,Items!$A$5:$A$504,0),"")),"")</f>
        <v/>
      </c>
      <c r="V1415" s="60" t="str">
        <f aca="false">IF(IsPro,IF($C1415="","",IFERROR(MATCH($C1415,Parties!$A$5:$A$304,0),"")),"")</f>
        <v/>
      </c>
      <c r="W1415" s="60" t="str">
        <f aca="false">IF(IsPro,IF($B1415="","",IFERROR(VALUE(SUBSTITUTE($B1415,InvPrefix,"")),0)),"")</f>
        <v/>
      </c>
      <c r="X1415" s="61" t="str">
        <f aca="false">IF(IsPro,IF($D1415="","",IF(OR($H1415="",$H1415="Credit"),0,Q1415)),"")</f>
        <v/>
      </c>
    </row>
    <row r="1416" customFormat="false" ht="15" hidden="false" customHeight="false" outlineLevel="0" collapsed="false">
      <c r="A1416" s="55"/>
      <c r="B1416" s="56"/>
      <c r="C1416" s="56"/>
      <c r="D1416" s="56"/>
      <c r="E1416" s="57"/>
      <c r="F1416" s="58"/>
      <c r="G1416" s="59"/>
      <c r="H1416" s="56"/>
      <c r="I1416" s="56"/>
      <c r="J1416" s="60" t="str">
        <f aca="false">IF(IsPro,IF($D1416="","",IFERROR(INDEX(Items!$D$5:$D$504,U1416),"")),"")</f>
        <v/>
      </c>
      <c r="K1416" s="61" t="str">
        <f aca="false">IF(IsPro,IF($D1416="","",IF($F1416="",IFERROR(INDEX(Items!$H$5:$H$504,U1416),0),$F1416)),"")</f>
        <v/>
      </c>
      <c r="L1416" s="61" t="str">
        <f aca="false">IF(IsPro,IF($D1416="","",ROUND(N($E1416)*K1416*(1-N($G1416)),2)),"")</f>
        <v/>
      </c>
      <c r="M1416" s="62" t="str">
        <f aca="false">IF(IsPro,IF($D1416="","",IFERROR(INDEX(Items!$F$5:$F$504,U1416),0)),"")</f>
        <v/>
      </c>
      <c r="N1416" s="61" t="str">
        <f aca="false">IF(IsPro,IF($D1416="","",IF(AND(V1416&lt;&gt;"",INDEX(Parties!$E$5:$E$304,V1416)&lt;&gt;"",INDEX(Parties!$E$5:$E$304,V1416)&lt;&gt;HomeState),0,ROUND(L1416*M1416/2,2))),"")</f>
        <v/>
      </c>
      <c r="O1416" s="61" t="str">
        <f aca="false">IF(IsPro,IF($D1416="","",N1416),"")</f>
        <v/>
      </c>
      <c r="P1416" s="61" t="str">
        <f aca="false">IF(IsPro,IF($D1416="","",IF(AND(V1416&lt;&gt;"",INDEX(Parties!$E$5:$E$304,V1416)&lt;&gt;"",INDEX(Parties!$E$5:$E$304,V1416)&lt;&gt;HomeState),ROUND(L1416*M1416,2),0)),"")</f>
        <v/>
      </c>
      <c r="Q1416" s="61" t="str">
        <f aca="false">IF(IsPro,IF($D1416="","",L1416+N1416+O1416+P1416),"")</f>
        <v/>
      </c>
      <c r="R1416" s="61" t="str">
        <f aca="false">IF(IsPro,IF($D1416="","",ROUND(N($E1416)*IFERROR(INDEX(Items!$P$5:$P$504,U1416),0),2)),"")</f>
        <v/>
      </c>
      <c r="S1416" s="61" t="str">
        <f aca="false">IF(IsPro,IF($D1416="","",L1416-R1416),"")</f>
        <v/>
      </c>
      <c r="T1416" s="60" t="str">
        <f aca="false">IF(IsPro,IF($D1416="","",IF(U1416="","UNKNOWN ITEM",IF(INDEX(Items!$O$5:$O$504,U1416)&lt;0,"NEG STOCK",IF(K1416&lt;INDEX(Items!$P$5:$P$504,U1416),"BELOW COST","OK")))),IF($D1416="","","PRO PLAN"))</f>
        <v/>
      </c>
      <c r="U1416" s="60" t="str">
        <f aca="false">IF(IsPro,IF($D1416="","",IFERROR(MATCH($D1416,Items!$A$5:$A$504,0),"")),"")</f>
        <v/>
      </c>
      <c r="V1416" s="60" t="str">
        <f aca="false">IF(IsPro,IF($C1416="","",IFERROR(MATCH($C1416,Parties!$A$5:$A$304,0),"")),"")</f>
        <v/>
      </c>
      <c r="W1416" s="60" t="str">
        <f aca="false">IF(IsPro,IF($B1416="","",IFERROR(VALUE(SUBSTITUTE($B1416,InvPrefix,"")),0)),"")</f>
        <v/>
      </c>
      <c r="X1416" s="61" t="str">
        <f aca="false">IF(IsPro,IF($D1416="","",IF(OR($H1416="",$H1416="Credit"),0,Q1416)),"")</f>
        <v/>
      </c>
    </row>
    <row r="1417" customFormat="false" ht="15" hidden="false" customHeight="false" outlineLevel="0" collapsed="false">
      <c r="A1417" s="55"/>
      <c r="B1417" s="56"/>
      <c r="C1417" s="56"/>
      <c r="D1417" s="56"/>
      <c r="E1417" s="57"/>
      <c r="F1417" s="58"/>
      <c r="G1417" s="59"/>
      <c r="H1417" s="56"/>
      <c r="I1417" s="56"/>
      <c r="J1417" s="60" t="str">
        <f aca="false">IF(IsPro,IF($D1417="","",IFERROR(INDEX(Items!$D$5:$D$504,U1417),"")),"")</f>
        <v/>
      </c>
      <c r="K1417" s="61" t="str">
        <f aca="false">IF(IsPro,IF($D1417="","",IF($F1417="",IFERROR(INDEX(Items!$H$5:$H$504,U1417),0),$F1417)),"")</f>
        <v/>
      </c>
      <c r="L1417" s="61" t="str">
        <f aca="false">IF(IsPro,IF($D1417="","",ROUND(N($E1417)*K1417*(1-N($G1417)),2)),"")</f>
        <v/>
      </c>
      <c r="M1417" s="62" t="str">
        <f aca="false">IF(IsPro,IF($D1417="","",IFERROR(INDEX(Items!$F$5:$F$504,U1417),0)),"")</f>
        <v/>
      </c>
      <c r="N1417" s="61" t="str">
        <f aca="false">IF(IsPro,IF($D1417="","",IF(AND(V1417&lt;&gt;"",INDEX(Parties!$E$5:$E$304,V1417)&lt;&gt;"",INDEX(Parties!$E$5:$E$304,V1417)&lt;&gt;HomeState),0,ROUND(L1417*M1417/2,2))),"")</f>
        <v/>
      </c>
      <c r="O1417" s="61" t="str">
        <f aca="false">IF(IsPro,IF($D1417="","",N1417),"")</f>
        <v/>
      </c>
      <c r="P1417" s="61" t="str">
        <f aca="false">IF(IsPro,IF($D1417="","",IF(AND(V1417&lt;&gt;"",INDEX(Parties!$E$5:$E$304,V1417)&lt;&gt;"",INDEX(Parties!$E$5:$E$304,V1417)&lt;&gt;HomeState),ROUND(L1417*M1417,2),0)),"")</f>
        <v/>
      </c>
      <c r="Q1417" s="61" t="str">
        <f aca="false">IF(IsPro,IF($D1417="","",L1417+N1417+O1417+P1417),"")</f>
        <v/>
      </c>
      <c r="R1417" s="61" t="str">
        <f aca="false">IF(IsPro,IF($D1417="","",ROUND(N($E1417)*IFERROR(INDEX(Items!$P$5:$P$504,U1417),0),2)),"")</f>
        <v/>
      </c>
      <c r="S1417" s="61" t="str">
        <f aca="false">IF(IsPro,IF($D1417="","",L1417-R1417),"")</f>
        <v/>
      </c>
      <c r="T1417" s="60" t="str">
        <f aca="false">IF(IsPro,IF($D1417="","",IF(U1417="","UNKNOWN ITEM",IF(INDEX(Items!$O$5:$O$504,U1417)&lt;0,"NEG STOCK",IF(K1417&lt;INDEX(Items!$P$5:$P$504,U1417),"BELOW COST","OK")))),IF($D1417="","","PRO PLAN"))</f>
        <v/>
      </c>
      <c r="U1417" s="60" t="str">
        <f aca="false">IF(IsPro,IF($D1417="","",IFERROR(MATCH($D1417,Items!$A$5:$A$504,0),"")),"")</f>
        <v/>
      </c>
      <c r="V1417" s="60" t="str">
        <f aca="false">IF(IsPro,IF($C1417="","",IFERROR(MATCH($C1417,Parties!$A$5:$A$304,0),"")),"")</f>
        <v/>
      </c>
      <c r="W1417" s="60" t="str">
        <f aca="false">IF(IsPro,IF($B1417="","",IFERROR(VALUE(SUBSTITUTE($B1417,InvPrefix,"")),0)),"")</f>
        <v/>
      </c>
      <c r="X1417" s="61" t="str">
        <f aca="false">IF(IsPro,IF($D1417="","",IF(OR($H1417="",$H1417="Credit"),0,Q1417)),"")</f>
        <v/>
      </c>
    </row>
    <row r="1418" customFormat="false" ht="15" hidden="false" customHeight="false" outlineLevel="0" collapsed="false">
      <c r="A1418" s="55"/>
      <c r="B1418" s="56"/>
      <c r="C1418" s="56"/>
      <c r="D1418" s="56"/>
      <c r="E1418" s="57"/>
      <c r="F1418" s="58"/>
      <c r="G1418" s="59"/>
      <c r="H1418" s="56"/>
      <c r="I1418" s="56"/>
      <c r="J1418" s="60" t="str">
        <f aca="false">IF(IsPro,IF($D1418="","",IFERROR(INDEX(Items!$D$5:$D$504,U1418),"")),"")</f>
        <v/>
      </c>
      <c r="K1418" s="61" t="str">
        <f aca="false">IF(IsPro,IF($D1418="","",IF($F1418="",IFERROR(INDEX(Items!$H$5:$H$504,U1418),0),$F1418)),"")</f>
        <v/>
      </c>
      <c r="L1418" s="61" t="str">
        <f aca="false">IF(IsPro,IF($D1418="","",ROUND(N($E1418)*K1418*(1-N($G1418)),2)),"")</f>
        <v/>
      </c>
      <c r="M1418" s="62" t="str">
        <f aca="false">IF(IsPro,IF($D1418="","",IFERROR(INDEX(Items!$F$5:$F$504,U1418),0)),"")</f>
        <v/>
      </c>
      <c r="N1418" s="61" t="str">
        <f aca="false">IF(IsPro,IF($D1418="","",IF(AND(V1418&lt;&gt;"",INDEX(Parties!$E$5:$E$304,V1418)&lt;&gt;"",INDEX(Parties!$E$5:$E$304,V1418)&lt;&gt;HomeState),0,ROUND(L1418*M1418/2,2))),"")</f>
        <v/>
      </c>
      <c r="O1418" s="61" t="str">
        <f aca="false">IF(IsPro,IF($D1418="","",N1418),"")</f>
        <v/>
      </c>
      <c r="P1418" s="61" t="str">
        <f aca="false">IF(IsPro,IF($D1418="","",IF(AND(V1418&lt;&gt;"",INDEX(Parties!$E$5:$E$304,V1418)&lt;&gt;"",INDEX(Parties!$E$5:$E$304,V1418)&lt;&gt;HomeState),ROUND(L1418*M1418,2),0)),"")</f>
        <v/>
      </c>
      <c r="Q1418" s="61" t="str">
        <f aca="false">IF(IsPro,IF($D1418="","",L1418+N1418+O1418+P1418),"")</f>
        <v/>
      </c>
      <c r="R1418" s="61" t="str">
        <f aca="false">IF(IsPro,IF($D1418="","",ROUND(N($E1418)*IFERROR(INDEX(Items!$P$5:$P$504,U1418),0),2)),"")</f>
        <v/>
      </c>
      <c r="S1418" s="61" t="str">
        <f aca="false">IF(IsPro,IF($D1418="","",L1418-R1418),"")</f>
        <v/>
      </c>
      <c r="T1418" s="60" t="str">
        <f aca="false">IF(IsPro,IF($D1418="","",IF(U1418="","UNKNOWN ITEM",IF(INDEX(Items!$O$5:$O$504,U1418)&lt;0,"NEG STOCK",IF(K1418&lt;INDEX(Items!$P$5:$P$504,U1418),"BELOW COST","OK")))),IF($D1418="","","PRO PLAN"))</f>
        <v/>
      </c>
      <c r="U1418" s="60" t="str">
        <f aca="false">IF(IsPro,IF($D1418="","",IFERROR(MATCH($D1418,Items!$A$5:$A$504,0),"")),"")</f>
        <v/>
      </c>
      <c r="V1418" s="60" t="str">
        <f aca="false">IF(IsPro,IF($C1418="","",IFERROR(MATCH($C1418,Parties!$A$5:$A$304,0),"")),"")</f>
        <v/>
      </c>
      <c r="W1418" s="60" t="str">
        <f aca="false">IF(IsPro,IF($B1418="","",IFERROR(VALUE(SUBSTITUTE($B1418,InvPrefix,"")),0)),"")</f>
        <v/>
      </c>
      <c r="X1418" s="61" t="str">
        <f aca="false">IF(IsPro,IF($D1418="","",IF(OR($H1418="",$H1418="Credit"),0,Q1418)),"")</f>
        <v/>
      </c>
    </row>
    <row r="1419" customFormat="false" ht="15" hidden="false" customHeight="false" outlineLevel="0" collapsed="false">
      <c r="A1419" s="55"/>
      <c r="B1419" s="56"/>
      <c r="C1419" s="56"/>
      <c r="D1419" s="56"/>
      <c r="E1419" s="57"/>
      <c r="F1419" s="58"/>
      <c r="G1419" s="59"/>
      <c r="H1419" s="56"/>
      <c r="I1419" s="56"/>
      <c r="J1419" s="60" t="str">
        <f aca="false">IF(IsPro,IF($D1419="","",IFERROR(INDEX(Items!$D$5:$D$504,U1419),"")),"")</f>
        <v/>
      </c>
      <c r="K1419" s="61" t="str">
        <f aca="false">IF(IsPro,IF($D1419="","",IF($F1419="",IFERROR(INDEX(Items!$H$5:$H$504,U1419),0),$F1419)),"")</f>
        <v/>
      </c>
      <c r="L1419" s="61" t="str">
        <f aca="false">IF(IsPro,IF($D1419="","",ROUND(N($E1419)*K1419*(1-N($G1419)),2)),"")</f>
        <v/>
      </c>
      <c r="M1419" s="62" t="str">
        <f aca="false">IF(IsPro,IF($D1419="","",IFERROR(INDEX(Items!$F$5:$F$504,U1419),0)),"")</f>
        <v/>
      </c>
      <c r="N1419" s="61" t="str">
        <f aca="false">IF(IsPro,IF($D1419="","",IF(AND(V1419&lt;&gt;"",INDEX(Parties!$E$5:$E$304,V1419)&lt;&gt;"",INDEX(Parties!$E$5:$E$304,V1419)&lt;&gt;HomeState),0,ROUND(L1419*M1419/2,2))),"")</f>
        <v/>
      </c>
      <c r="O1419" s="61" t="str">
        <f aca="false">IF(IsPro,IF($D1419="","",N1419),"")</f>
        <v/>
      </c>
      <c r="P1419" s="61" t="str">
        <f aca="false">IF(IsPro,IF($D1419="","",IF(AND(V1419&lt;&gt;"",INDEX(Parties!$E$5:$E$304,V1419)&lt;&gt;"",INDEX(Parties!$E$5:$E$304,V1419)&lt;&gt;HomeState),ROUND(L1419*M1419,2),0)),"")</f>
        <v/>
      </c>
      <c r="Q1419" s="61" t="str">
        <f aca="false">IF(IsPro,IF($D1419="","",L1419+N1419+O1419+P1419),"")</f>
        <v/>
      </c>
      <c r="R1419" s="61" t="str">
        <f aca="false">IF(IsPro,IF($D1419="","",ROUND(N($E1419)*IFERROR(INDEX(Items!$P$5:$P$504,U1419),0),2)),"")</f>
        <v/>
      </c>
      <c r="S1419" s="61" t="str">
        <f aca="false">IF(IsPro,IF($D1419="","",L1419-R1419),"")</f>
        <v/>
      </c>
      <c r="T1419" s="60" t="str">
        <f aca="false">IF(IsPro,IF($D1419="","",IF(U1419="","UNKNOWN ITEM",IF(INDEX(Items!$O$5:$O$504,U1419)&lt;0,"NEG STOCK",IF(K1419&lt;INDEX(Items!$P$5:$P$504,U1419),"BELOW COST","OK")))),IF($D1419="","","PRO PLAN"))</f>
        <v/>
      </c>
      <c r="U1419" s="60" t="str">
        <f aca="false">IF(IsPro,IF($D1419="","",IFERROR(MATCH($D1419,Items!$A$5:$A$504,0),"")),"")</f>
        <v/>
      </c>
      <c r="V1419" s="60" t="str">
        <f aca="false">IF(IsPro,IF($C1419="","",IFERROR(MATCH($C1419,Parties!$A$5:$A$304,0),"")),"")</f>
        <v/>
      </c>
      <c r="W1419" s="60" t="str">
        <f aca="false">IF(IsPro,IF($B1419="","",IFERROR(VALUE(SUBSTITUTE($B1419,InvPrefix,"")),0)),"")</f>
        <v/>
      </c>
      <c r="X1419" s="61" t="str">
        <f aca="false">IF(IsPro,IF($D1419="","",IF(OR($H1419="",$H1419="Credit"),0,Q1419)),"")</f>
        <v/>
      </c>
    </row>
    <row r="1420" customFormat="false" ht="15" hidden="false" customHeight="false" outlineLevel="0" collapsed="false">
      <c r="A1420" s="55"/>
      <c r="B1420" s="56"/>
      <c r="C1420" s="56"/>
      <c r="D1420" s="56"/>
      <c r="E1420" s="57"/>
      <c r="F1420" s="58"/>
      <c r="G1420" s="59"/>
      <c r="H1420" s="56"/>
      <c r="I1420" s="56"/>
      <c r="J1420" s="60" t="str">
        <f aca="false">IF(IsPro,IF($D1420="","",IFERROR(INDEX(Items!$D$5:$D$504,U1420),"")),"")</f>
        <v/>
      </c>
      <c r="K1420" s="61" t="str">
        <f aca="false">IF(IsPro,IF($D1420="","",IF($F1420="",IFERROR(INDEX(Items!$H$5:$H$504,U1420),0),$F1420)),"")</f>
        <v/>
      </c>
      <c r="L1420" s="61" t="str">
        <f aca="false">IF(IsPro,IF($D1420="","",ROUND(N($E1420)*K1420*(1-N($G1420)),2)),"")</f>
        <v/>
      </c>
      <c r="M1420" s="62" t="str">
        <f aca="false">IF(IsPro,IF($D1420="","",IFERROR(INDEX(Items!$F$5:$F$504,U1420),0)),"")</f>
        <v/>
      </c>
      <c r="N1420" s="61" t="str">
        <f aca="false">IF(IsPro,IF($D1420="","",IF(AND(V1420&lt;&gt;"",INDEX(Parties!$E$5:$E$304,V1420)&lt;&gt;"",INDEX(Parties!$E$5:$E$304,V1420)&lt;&gt;HomeState),0,ROUND(L1420*M1420/2,2))),"")</f>
        <v/>
      </c>
      <c r="O1420" s="61" t="str">
        <f aca="false">IF(IsPro,IF($D1420="","",N1420),"")</f>
        <v/>
      </c>
      <c r="P1420" s="61" t="str">
        <f aca="false">IF(IsPro,IF($D1420="","",IF(AND(V1420&lt;&gt;"",INDEX(Parties!$E$5:$E$304,V1420)&lt;&gt;"",INDEX(Parties!$E$5:$E$304,V1420)&lt;&gt;HomeState),ROUND(L1420*M1420,2),0)),"")</f>
        <v/>
      </c>
      <c r="Q1420" s="61" t="str">
        <f aca="false">IF(IsPro,IF($D1420="","",L1420+N1420+O1420+P1420),"")</f>
        <v/>
      </c>
      <c r="R1420" s="61" t="str">
        <f aca="false">IF(IsPro,IF($D1420="","",ROUND(N($E1420)*IFERROR(INDEX(Items!$P$5:$P$504,U1420),0),2)),"")</f>
        <v/>
      </c>
      <c r="S1420" s="61" t="str">
        <f aca="false">IF(IsPro,IF($D1420="","",L1420-R1420),"")</f>
        <v/>
      </c>
      <c r="T1420" s="60" t="str">
        <f aca="false">IF(IsPro,IF($D1420="","",IF(U1420="","UNKNOWN ITEM",IF(INDEX(Items!$O$5:$O$504,U1420)&lt;0,"NEG STOCK",IF(K1420&lt;INDEX(Items!$P$5:$P$504,U1420),"BELOW COST","OK")))),IF($D1420="","","PRO PLAN"))</f>
        <v/>
      </c>
      <c r="U1420" s="60" t="str">
        <f aca="false">IF(IsPro,IF($D1420="","",IFERROR(MATCH($D1420,Items!$A$5:$A$504,0),"")),"")</f>
        <v/>
      </c>
      <c r="V1420" s="60" t="str">
        <f aca="false">IF(IsPro,IF($C1420="","",IFERROR(MATCH($C1420,Parties!$A$5:$A$304,0),"")),"")</f>
        <v/>
      </c>
      <c r="W1420" s="60" t="str">
        <f aca="false">IF(IsPro,IF($B1420="","",IFERROR(VALUE(SUBSTITUTE($B1420,InvPrefix,"")),0)),"")</f>
        <v/>
      </c>
      <c r="X1420" s="61" t="str">
        <f aca="false">IF(IsPro,IF($D1420="","",IF(OR($H1420="",$H1420="Credit"),0,Q1420)),"")</f>
        <v/>
      </c>
    </row>
    <row r="1421" customFormat="false" ht="15" hidden="false" customHeight="false" outlineLevel="0" collapsed="false">
      <c r="A1421" s="55"/>
      <c r="B1421" s="56"/>
      <c r="C1421" s="56"/>
      <c r="D1421" s="56"/>
      <c r="E1421" s="57"/>
      <c r="F1421" s="58"/>
      <c r="G1421" s="59"/>
      <c r="H1421" s="56"/>
      <c r="I1421" s="56"/>
      <c r="J1421" s="60" t="str">
        <f aca="false">IF(IsPro,IF($D1421="","",IFERROR(INDEX(Items!$D$5:$D$504,U1421),"")),"")</f>
        <v/>
      </c>
      <c r="K1421" s="61" t="str">
        <f aca="false">IF(IsPro,IF($D1421="","",IF($F1421="",IFERROR(INDEX(Items!$H$5:$H$504,U1421),0),$F1421)),"")</f>
        <v/>
      </c>
      <c r="L1421" s="61" t="str">
        <f aca="false">IF(IsPro,IF($D1421="","",ROUND(N($E1421)*K1421*(1-N($G1421)),2)),"")</f>
        <v/>
      </c>
      <c r="M1421" s="62" t="str">
        <f aca="false">IF(IsPro,IF($D1421="","",IFERROR(INDEX(Items!$F$5:$F$504,U1421),0)),"")</f>
        <v/>
      </c>
      <c r="N1421" s="61" t="str">
        <f aca="false">IF(IsPro,IF($D1421="","",IF(AND(V1421&lt;&gt;"",INDEX(Parties!$E$5:$E$304,V1421)&lt;&gt;"",INDEX(Parties!$E$5:$E$304,V1421)&lt;&gt;HomeState),0,ROUND(L1421*M1421/2,2))),"")</f>
        <v/>
      </c>
      <c r="O1421" s="61" t="str">
        <f aca="false">IF(IsPro,IF($D1421="","",N1421),"")</f>
        <v/>
      </c>
      <c r="P1421" s="61" t="str">
        <f aca="false">IF(IsPro,IF($D1421="","",IF(AND(V1421&lt;&gt;"",INDEX(Parties!$E$5:$E$304,V1421)&lt;&gt;"",INDEX(Parties!$E$5:$E$304,V1421)&lt;&gt;HomeState),ROUND(L1421*M1421,2),0)),"")</f>
        <v/>
      </c>
      <c r="Q1421" s="61" t="str">
        <f aca="false">IF(IsPro,IF($D1421="","",L1421+N1421+O1421+P1421),"")</f>
        <v/>
      </c>
      <c r="R1421" s="61" t="str">
        <f aca="false">IF(IsPro,IF($D1421="","",ROUND(N($E1421)*IFERROR(INDEX(Items!$P$5:$P$504,U1421),0),2)),"")</f>
        <v/>
      </c>
      <c r="S1421" s="61" t="str">
        <f aca="false">IF(IsPro,IF($D1421="","",L1421-R1421),"")</f>
        <v/>
      </c>
      <c r="T1421" s="60" t="str">
        <f aca="false">IF(IsPro,IF($D1421="","",IF(U1421="","UNKNOWN ITEM",IF(INDEX(Items!$O$5:$O$504,U1421)&lt;0,"NEG STOCK",IF(K1421&lt;INDEX(Items!$P$5:$P$504,U1421),"BELOW COST","OK")))),IF($D1421="","","PRO PLAN"))</f>
        <v/>
      </c>
      <c r="U1421" s="60" t="str">
        <f aca="false">IF(IsPro,IF($D1421="","",IFERROR(MATCH($D1421,Items!$A$5:$A$504,0),"")),"")</f>
        <v/>
      </c>
      <c r="V1421" s="60" t="str">
        <f aca="false">IF(IsPro,IF($C1421="","",IFERROR(MATCH($C1421,Parties!$A$5:$A$304,0),"")),"")</f>
        <v/>
      </c>
      <c r="W1421" s="60" t="str">
        <f aca="false">IF(IsPro,IF($B1421="","",IFERROR(VALUE(SUBSTITUTE($B1421,InvPrefix,"")),0)),"")</f>
        <v/>
      </c>
      <c r="X1421" s="61" t="str">
        <f aca="false">IF(IsPro,IF($D1421="","",IF(OR($H1421="",$H1421="Credit"),0,Q1421)),"")</f>
        <v/>
      </c>
    </row>
    <row r="1422" customFormat="false" ht="15" hidden="false" customHeight="false" outlineLevel="0" collapsed="false">
      <c r="A1422" s="55"/>
      <c r="B1422" s="56"/>
      <c r="C1422" s="56"/>
      <c r="D1422" s="56"/>
      <c r="E1422" s="57"/>
      <c r="F1422" s="58"/>
      <c r="G1422" s="59"/>
      <c r="H1422" s="56"/>
      <c r="I1422" s="56"/>
      <c r="J1422" s="60" t="str">
        <f aca="false">IF(IsPro,IF($D1422="","",IFERROR(INDEX(Items!$D$5:$D$504,U1422),"")),"")</f>
        <v/>
      </c>
      <c r="K1422" s="61" t="str">
        <f aca="false">IF(IsPro,IF($D1422="","",IF($F1422="",IFERROR(INDEX(Items!$H$5:$H$504,U1422),0),$F1422)),"")</f>
        <v/>
      </c>
      <c r="L1422" s="61" t="str">
        <f aca="false">IF(IsPro,IF($D1422="","",ROUND(N($E1422)*K1422*(1-N($G1422)),2)),"")</f>
        <v/>
      </c>
      <c r="M1422" s="62" t="str">
        <f aca="false">IF(IsPro,IF($D1422="","",IFERROR(INDEX(Items!$F$5:$F$504,U1422),0)),"")</f>
        <v/>
      </c>
      <c r="N1422" s="61" t="str">
        <f aca="false">IF(IsPro,IF($D1422="","",IF(AND(V1422&lt;&gt;"",INDEX(Parties!$E$5:$E$304,V1422)&lt;&gt;"",INDEX(Parties!$E$5:$E$304,V1422)&lt;&gt;HomeState),0,ROUND(L1422*M1422/2,2))),"")</f>
        <v/>
      </c>
      <c r="O1422" s="61" t="str">
        <f aca="false">IF(IsPro,IF($D1422="","",N1422),"")</f>
        <v/>
      </c>
      <c r="P1422" s="61" t="str">
        <f aca="false">IF(IsPro,IF($D1422="","",IF(AND(V1422&lt;&gt;"",INDEX(Parties!$E$5:$E$304,V1422)&lt;&gt;"",INDEX(Parties!$E$5:$E$304,V1422)&lt;&gt;HomeState),ROUND(L1422*M1422,2),0)),"")</f>
        <v/>
      </c>
      <c r="Q1422" s="61" t="str">
        <f aca="false">IF(IsPro,IF($D1422="","",L1422+N1422+O1422+P1422),"")</f>
        <v/>
      </c>
      <c r="R1422" s="61" t="str">
        <f aca="false">IF(IsPro,IF($D1422="","",ROUND(N($E1422)*IFERROR(INDEX(Items!$P$5:$P$504,U1422),0),2)),"")</f>
        <v/>
      </c>
      <c r="S1422" s="61" t="str">
        <f aca="false">IF(IsPro,IF($D1422="","",L1422-R1422),"")</f>
        <v/>
      </c>
      <c r="T1422" s="60" t="str">
        <f aca="false">IF(IsPro,IF($D1422="","",IF(U1422="","UNKNOWN ITEM",IF(INDEX(Items!$O$5:$O$504,U1422)&lt;0,"NEG STOCK",IF(K1422&lt;INDEX(Items!$P$5:$P$504,U1422),"BELOW COST","OK")))),IF($D1422="","","PRO PLAN"))</f>
        <v/>
      </c>
      <c r="U1422" s="60" t="str">
        <f aca="false">IF(IsPro,IF($D1422="","",IFERROR(MATCH($D1422,Items!$A$5:$A$504,0),"")),"")</f>
        <v/>
      </c>
      <c r="V1422" s="60" t="str">
        <f aca="false">IF(IsPro,IF($C1422="","",IFERROR(MATCH($C1422,Parties!$A$5:$A$304,0),"")),"")</f>
        <v/>
      </c>
      <c r="W1422" s="60" t="str">
        <f aca="false">IF(IsPro,IF($B1422="","",IFERROR(VALUE(SUBSTITUTE($B1422,InvPrefix,"")),0)),"")</f>
        <v/>
      </c>
      <c r="X1422" s="61" t="str">
        <f aca="false">IF(IsPro,IF($D1422="","",IF(OR($H1422="",$H1422="Credit"),0,Q1422)),"")</f>
        <v/>
      </c>
    </row>
    <row r="1423" customFormat="false" ht="15" hidden="false" customHeight="false" outlineLevel="0" collapsed="false">
      <c r="A1423" s="55"/>
      <c r="B1423" s="56"/>
      <c r="C1423" s="56"/>
      <c r="D1423" s="56"/>
      <c r="E1423" s="57"/>
      <c r="F1423" s="58"/>
      <c r="G1423" s="59"/>
      <c r="H1423" s="56"/>
      <c r="I1423" s="56"/>
      <c r="J1423" s="60" t="str">
        <f aca="false">IF(IsPro,IF($D1423="","",IFERROR(INDEX(Items!$D$5:$D$504,U1423),"")),"")</f>
        <v/>
      </c>
      <c r="K1423" s="61" t="str">
        <f aca="false">IF(IsPro,IF($D1423="","",IF($F1423="",IFERROR(INDEX(Items!$H$5:$H$504,U1423),0),$F1423)),"")</f>
        <v/>
      </c>
      <c r="L1423" s="61" t="str">
        <f aca="false">IF(IsPro,IF($D1423="","",ROUND(N($E1423)*K1423*(1-N($G1423)),2)),"")</f>
        <v/>
      </c>
      <c r="M1423" s="62" t="str">
        <f aca="false">IF(IsPro,IF($D1423="","",IFERROR(INDEX(Items!$F$5:$F$504,U1423),0)),"")</f>
        <v/>
      </c>
      <c r="N1423" s="61" t="str">
        <f aca="false">IF(IsPro,IF($D1423="","",IF(AND(V1423&lt;&gt;"",INDEX(Parties!$E$5:$E$304,V1423)&lt;&gt;"",INDEX(Parties!$E$5:$E$304,V1423)&lt;&gt;HomeState),0,ROUND(L1423*M1423/2,2))),"")</f>
        <v/>
      </c>
      <c r="O1423" s="61" t="str">
        <f aca="false">IF(IsPro,IF($D1423="","",N1423),"")</f>
        <v/>
      </c>
      <c r="P1423" s="61" t="str">
        <f aca="false">IF(IsPro,IF($D1423="","",IF(AND(V1423&lt;&gt;"",INDEX(Parties!$E$5:$E$304,V1423)&lt;&gt;"",INDEX(Parties!$E$5:$E$304,V1423)&lt;&gt;HomeState),ROUND(L1423*M1423,2),0)),"")</f>
        <v/>
      </c>
      <c r="Q1423" s="61" t="str">
        <f aca="false">IF(IsPro,IF($D1423="","",L1423+N1423+O1423+P1423),"")</f>
        <v/>
      </c>
      <c r="R1423" s="61" t="str">
        <f aca="false">IF(IsPro,IF($D1423="","",ROUND(N($E1423)*IFERROR(INDEX(Items!$P$5:$P$504,U1423),0),2)),"")</f>
        <v/>
      </c>
      <c r="S1423" s="61" t="str">
        <f aca="false">IF(IsPro,IF($D1423="","",L1423-R1423),"")</f>
        <v/>
      </c>
      <c r="T1423" s="60" t="str">
        <f aca="false">IF(IsPro,IF($D1423="","",IF(U1423="","UNKNOWN ITEM",IF(INDEX(Items!$O$5:$O$504,U1423)&lt;0,"NEG STOCK",IF(K1423&lt;INDEX(Items!$P$5:$P$504,U1423),"BELOW COST","OK")))),IF($D1423="","","PRO PLAN"))</f>
        <v/>
      </c>
      <c r="U1423" s="60" t="str">
        <f aca="false">IF(IsPro,IF($D1423="","",IFERROR(MATCH($D1423,Items!$A$5:$A$504,0),"")),"")</f>
        <v/>
      </c>
      <c r="V1423" s="60" t="str">
        <f aca="false">IF(IsPro,IF($C1423="","",IFERROR(MATCH($C1423,Parties!$A$5:$A$304,0),"")),"")</f>
        <v/>
      </c>
      <c r="W1423" s="60" t="str">
        <f aca="false">IF(IsPro,IF($B1423="","",IFERROR(VALUE(SUBSTITUTE($B1423,InvPrefix,"")),0)),"")</f>
        <v/>
      </c>
      <c r="X1423" s="61" t="str">
        <f aca="false">IF(IsPro,IF($D1423="","",IF(OR($H1423="",$H1423="Credit"),0,Q1423)),"")</f>
        <v/>
      </c>
    </row>
    <row r="1424" customFormat="false" ht="15" hidden="false" customHeight="false" outlineLevel="0" collapsed="false">
      <c r="A1424" s="55"/>
      <c r="B1424" s="56"/>
      <c r="C1424" s="56"/>
      <c r="D1424" s="56"/>
      <c r="E1424" s="57"/>
      <c r="F1424" s="58"/>
      <c r="G1424" s="59"/>
      <c r="H1424" s="56"/>
      <c r="I1424" s="56"/>
      <c r="J1424" s="60" t="str">
        <f aca="false">IF(IsPro,IF($D1424="","",IFERROR(INDEX(Items!$D$5:$D$504,U1424),"")),"")</f>
        <v/>
      </c>
      <c r="K1424" s="61" t="str">
        <f aca="false">IF(IsPro,IF($D1424="","",IF($F1424="",IFERROR(INDEX(Items!$H$5:$H$504,U1424),0),$F1424)),"")</f>
        <v/>
      </c>
      <c r="L1424" s="61" t="str">
        <f aca="false">IF(IsPro,IF($D1424="","",ROUND(N($E1424)*K1424*(1-N($G1424)),2)),"")</f>
        <v/>
      </c>
      <c r="M1424" s="62" t="str">
        <f aca="false">IF(IsPro,IF($D1424="","",IFERROR(INDEX(Items!$F$5:$F$504,U1424),0)),"")</f>
        <v/>
      </c>
      <c r="N1424" s="61" t="str">
        <f aca="false">IF(IsPro,IF($D1424="","",IF(AND(V1424&lt;&gt;"",INDEX(Parties!$E$5:$E$304,V1424)&lt;&gt;"",INDEX(Parties!$E$5:$E$304,V1424)&lt;&gt;HomeState),0,ROUND(L1424*M1424/2,2))),"")</f>
        <v/>
      </c>
      <c r="O1424" s="61" t="str">
        <f aca="false">IF(IsPro,IF($D1424="","",N1424),"")</f>
        <v/>
      </c>
      <c r="P1424" s="61" t="str">
        <f aca="false">IF(IsPro,IF($D1424="","",IF(AND(V1424&lt;&gt;"",INDEX(Parties!$E$5:$E$304,V1424)&lt;&gt;"",INDEX(Parties!$E$5:$E$304,V1424)&lt;&gt;HomeState),ROUND(L1424*M1424,2),0)),"")</f>
        <v/>
      </c>
      <c r="Q1424" s="61" t="str">
        <f aca="false">IF(IsPro,IF($D1424="","",L1424+N1424+O1424+P1424),"")</f>
        <v/>
      </c>
      <c r="R1424" s="61" t="str">
        <f aca="false">IF(IsPro,IF($D1424="","",ROUND(N($E1424)*IFERROR(INDEX(Items!$P$5:$P$504,U1424),0),2)),"")</f>
        <v/>
      </c>
      <c r="S1424" s="61" t="str">
        <f aca="false">IF(IsPro,IF($D1424="","",L1424-R1424),"")</f>
        <v/>
      </c>
      <c r="T1424" s="60" t="str">
        <f aca="false">IF(IsPro,IF($D1424="","",IF(U1424="","UNKNOWN ITEM",IF(INDEX(Items!$O$5:$O$504,U1424)&lt;0,"NEG STOCK",IF(K1424&lt;INDEX(Items!$P$5:$P$504,U1424),"BELOW COST","OK")))),IF($D1424="","","PRO PLAN"))</f>
        <v/>
      </c>
      <c r="U1424" s="60" t="str">
        <f aca="false">IF(IsPro,IF($D1424="","",IFERROR(MATCH($D1424,Items!$A$5:$A$504,0),"")),"")</f>
        <v/>
      </c>
      <c r="V1424" s="60" t="str">
        <f aca="false">IF(IsPro,IF($C1424="","",IFERROR(MATCH($C1424,Parties!$A$5:$A$304,0),"")),"")</f>
        <v/>
      </c>
      <c r="W1424" s="60" t="str">
        <f aca="false">IF(IsPro,IF($B1424="","",IFERROR(VALUE(SUBSTITUTE($B1424,InvPrefix,"")),0)),"")</f>
        <v/>
      </c>
      <c r="X1424" s="61" t="str">
        <f aca="false">IF(IsPro,IF($D1424="","",IF(OR($H1424="",$H1424="Credit"),0,Q1424)),"")</f>
        <v/>
      </c>
    </row>
    <row r="1425" customFormat="false" ht="15" hidden="false" customHeight="false" outlineLevel="0" collapsed="false">
      <c r="A1425" s="55"/>
      <c r="B1425" s="56"/>
      <c r="C1425" s="56"/>
      <c r="D1425" s="56"/>
      <c r="E1425" s="57"/>
      <c r="F1425" s="58"/>
      <c r="G1425" s="59"/>
      <c r="H1425" s="56"/>
      <c r="I1425" s="56"/>
      <c r="J1425" s="60" t="str">
        <f aca="false">IF(IsPro,IF($D1425="","",IFERROR(INDEX(Items!$D$5:$D$504,U1425),"")),"")</f>
        <v/>
      </c>
      <c r="K1425" s="61" t="str">
        <f aca="false">IF(IsPro,IF($D1425="","",IF($F1425="",IFERROR(INDEX(Items!$H$5:$H$504,U1425),0),$F1425)),"")</f>
        <v/>
      </c>
      <c r="L1425" s="61" t="str">
        <f aca="false">IF(IsPro,IF($D1425="","",ROUND(N($E1425)*K1425*(1-N($G1425)),2)),"")</f>
        <v/>
      </c>
      <c r="M1425" s="62" t="str">
        <f aca="false">IF(IsPro,IF($D1425="","",IFERROR(INDEX(Items!$F$5:$F$504,U1425),0)),"")</f>
        <v/>
      </c>
      <c r="N1425" s="61" t="str">
        <f aca="false">IF(IsPro,IF($D1425="","",IF(AND(V1425&lt;&gt;"",INDEX(Parties!$E$5:$E$304,V1425)&lt;&gt;"",INDEX(Parties!$E$5:$E$304,V1425)&lt;&gt;HomeState),0,ROUND(L1425*M1425/2,2))),"")</f>
        <v/>
      </c>
      <c r="O1425" s="61" t="str">
        <f aca="false">IF(IsPro,IF($D1425="","",N1425),"")</f>
        <v/>
      </c>
      <c r="P1425" s="61" t="str">
        <f aca="false">IF(IsPro,IF($D1425="","",IF(AND(V1425&lt;&gt;"",INDEX(Parties!$E$5:$E$304,V1425)&lt;&gt;"",INDEX(Parties!$E$5:$E$304,V1425)&lt;&gt;HomeState),ROUND(L1425*M1425,2),0)),"")</f>
        <v/>
      </c>
      <c r="Q1425" s="61" t="str">
        <f aca="false">IF(IsPro,IF($D1425="","",L1425+N1425+O1425+P1425),"")</f>
        <v/>
      </c>
      <c r="R1425" s="61" t="str">
        <f aca="false">IF(IsPro,IF($D1425="","",ROUND(N($E1425)*IFERROR(INDEX(Items!$P$5:$P$504,U1425),0),2)),"")</f>
        <v/>
      </c>
      <c r="S1425" s="61" t="str">
        <f aca="false">IF(IsPro,IF($D1425="","",L1425-R1425),"")</f>
        <v/>
      </c>
      <c r="T1425" s="60" t="str">
        <f aca="false">IF(IsPro,IF($D1425="","",IF(U1425="","UNKNOWN ITEM",IF(INDEX(Items!$O$5:$O$504,U1425)&lt;0,"NEG STOCK",IF(K1425&lt;INDEX(Items!$P$5:$P$504,U1425),"BELOW COST","OK")))),IF($D1425="","","PRO PLAN"))</f>
        <v/>
      </c>
      <c r="U1425" s="60" t="str">
        <f aca="false">IF(IsPro,IF($D1425="","",IFERROR(MATCH($D1425,Items!$A$5:$A$504,0),"")),"")</f>
        <v/>
      </c>
      <c r="V1425" s="60" t="str">
        <f aca="false">IF(IsPro,IF($C1425="","",IFERROR(MATCH($C1425,Parties!$A$5:$A$304,0),"")),"")</f>
        <v/>
      </c>
      <c r="W1425" s="60" t="str">
        <f aca="false">IF(IsPro,IF($B1425="","",IFERROR(VALUE(SUBSTITUTE($B1425,InvPrefix,"")),0)),"")</f>
        <v/>
      </c>
      <c r="X1425" s="61" t="str">
        <f aca="false">IF(IsPro,IF($D1425="","",IF(OR($H1425="",$H1425="Credit"),0,Q1425)),"")</f>
        <v/>
      </c>
    </row>
    <row r="1426" customFormat="false" ht="15" hidden="false" customHeight="false" outlineLevel="0" collapsed="false">
      <c r="A1426" s="55"/>
      <c r="B1426" s="56"/>
      <c r="C1426" s="56"/>
      <c r="D1426" s="56"/>
      <c r="E1426" s="57"/>
      <c r="F1426" s="58"/>
      <c r="G1426" s="59"/>
      <c r="H1426" s="56"/>
      <c r="I1426" s="56"/>
      <c r="J1426" s="60" t="str">
        <f aca="false">IF(IsPro,IF($D1426="","",IFERROR(INDEX(Items!$D$5:$D$504,U1426),"")),"")</f>
        <v/>
      </c>
      <c r="K1426" s="61" t="str">
        <f aca="false">IF(IsPro,IF($D1426="","",IF($F1426="",IFERROR(INDEX(Items!$H$5:$H$504,U1426),0),$F1426)),"")</f>
        <v/>
      </c>
      <c r="L1426" s="61" t="str">
        <f aca="false">IF(IsPro,IF($D1426="","",ROUND(N($E1426)*K1426*(1-N($G1426)),2)),"")</f>
        <v/>
      </c>
      <c r="M1426" s="62" t="str">
        <f aca="false">IF(IsPro,IF($D1426="","",IFERROR(INDEX(Items!$F$5:$F$504,U1426),0)),"")</f>
        <v/>
      </c>
      <c r="N1426" s="61" t="str">
        <f aca="false">IF(IsPro,IF($D1426="","",IF(AND(V1426&lt;&gt;"",INDEX(Parties!$E$5:$E$304,V1426)&lt;&gt;"",INDEX(Parties!$E$5:$E$304,V1426)&lt;&gt;HomeState),0,ROUND(L1426*M1426/2,2))),"")</f>
        <v/>
      </c>
      <c r="O1426" s="61" t="str">
        <f aca="false">IF(IsPro,IF($D1426="","",N1426),"")</f>
        <v/>
      </c>
      <c r="P1426" s="61" t="str">
        <f aca="false">IF(IsPro,IF($D1426="","",IF(AND(V1426&lt;&gt;"",INDEX(Parties!$E$5:$E$304,V1426)&lt;&gt;"",INDEX(Parties!$E$5:$E$304,V1426)&lt;&gt;HomeState),ROUND(L1426*M1426,2),0)),"")</f>
        <v/>
      </c>
      <c r="Q1426" s="61" t="str">
        <f aca="false">IF(IsPro,IF($D1426="","",L1426+N1426+O1426+P1426),"")</f>
        <v/>
      </c>
      <c r="R1426" s="61" t="str">
        <f aca="false">IF(IsPro,IF($D1426="","",ROUND(N($E1426)*IFERROR(INDEX(Items!$P$5:$P$504,U1426),0),2)),"")</f>
        <v/>
      </c>
      <c r="S1426" s="61" t="str">
        <f aca="false">IF(IsPro,IF($D1426="","",L1426-R1426),"")</f>
        <v/>
      </c>
      <c r="T1426" s="60" t="str">
        <f aca="false">IF(IsPro,IF($D1426="","",IF(U1426="","UNKNOWN ITEM",IF(INDEX(Items!$O$5:$O$504,U1426)&lt;0,"NEG STOCK",IF(K1426&lt;INDEX(Items!$P$5:$P$504,U1426),"BELOW COST","OK")))),IF($D1426="","","PRO PLAN"))</f>
        <v/>
      </c>
      <c r="U1426" s="60" t="str">
        <f aca="false">IF(IsPro,IF($D1426="","",IFERROR(MATCH($D1426,Items!$A$5:$A$504,0),"")),"")</f>
        <v/>
      </c>
      <c r="V1426" s="60" t="str">
        <f aca="false">IF(IsPro,IF($C1426="","",IFERROR(MATCH($C1426,Parties!$A$5:$A$304,0),"")),"")</f>
        <v/>
      </c>
      <c r="W1426" s="60" t="str">
        <f aca="false">IF(IsPro,IF($B1426="","",IFERROR(VALUE(SUBSTITUTE($B1426,InvPrefix,"")),0)),"")</f>
        <v/>
      </c>
      <c r="X1426" s="61" t="str">
        <f aca="false">IF(IsPro,IF($D1426="","",IF(OR($H1426="",$H1426="Credit"),0,Q1426)),"")</f>
        <v/>
      </c>
    </row>
    <row r="1427" customFormat="false" ht="15" hidden="false" customHeight="false" outlineLevel="0" collapsed="false">
      <c r="A1427" s="55"/>
      <c r="B1427" s="56"/>
      <c r="C1427" s="56"/>
      <c r="D1427" s="56"/>
      <c r="E1427" s="57"/>
      <c r="F1427" s="58"/>
      <c r="G1427" s="59"/>
      <c r="H1427" s="56"/>
      <c r="I1427" s="56"/>
      <c r="J1427" s="60" t="str">
        <f aca="false">IF(IsPro,IF($D1427="","",IFERROR(INDEX(Items!$D$5:$D$504,U1427),"")),"")</f>
        <v/>
      </c>
      <c r="K1427" s="61" t="str">
        <f aca="false">IF(IsPro,IF($D1427="","",IF($F1427="",IFERROR(INDEX(Items!$H$5:$H$504,U1427),0),$F1427)),"")</f>
        <v/>
      </c>
      <c r="L1427" s="61" t="str">
        <f aca="false">IF(IsPro,IF($D1427="","",ROUND(N($E1427)*K1427*(1-N($G1427)),2)),"")</f>
        <v/>
      </c>
      <c r="M1427" s="62" t="str">
        <f aca="false">IF(IsPro,IF($D1427="","",IFERROR(INDEX(Items!$F$5:$F$504,U1427),0)),"")</f>
        <v/>
      </c>
      <c r="N1427" s="61" t="str">
        <f aca="false">IF(IsPro,IF($D1427="","",IF(AND(V1427&lt;&gt;"",INDEX(Parties!$E$5:$E$304,V1427)&lt;&gt;"",INDEX(Parties!$E$5:$E$304,V1427)&lt;&gt;HomeState),0,ROUND(L1427*M1427/2,2))),"")</f>
        <v/>
      </c>
      <c r="O1427" s="61" t="str">
        <f aca="false">IF(IsPro,IF($D1427="","",N1427),"")</f>
        <v/>
      </c>
      <c r="P1427" s="61" t="str">
        <f aca="false">IF(IsPro,IF($D1427="","",IF(AND(V1427&lt;&gt;"",INDEX(Parties!$E$5:$E$304,V1427)&lt;&gt;"",INDEX(Parties!$E$5:$E$304,V1427)&lt;&gt;HomeState),ROUND(L1427*M1427,2),0)),"")</f>
        <v/>
      </c>
      <c r="Q1427" s="61" t="str">
        <f aca="false">IF(IsPro,IF($D1427="","",L1427+N1427+O1427+P1427),"")</f>
        <v/>
      </c>
      <c r="R1427" s="61" t="str">
        <f aca="false">IF(IsPro,IF($D1427="","",ROUND(N($E1427)*IFERROR(INDEX(Items!$P$5:$P$504,U1427),0),2)),"")</f>
        <v/>
      </c>
      <c r="S1427" s="61" t="str">
        <f aca="false">IF(IsPro,IF($D1427="","",L1427-R1427),"")</f>
        <v/>
      </c>
      <c r="T1427" s="60" t="str">
        <f aca="false">IF(IsPro,IF($D1427="","",IF(U1427="","UNKNOWN ITEM",IF(INDEX(Items!$O$5:$O$504,U1427)&lt;0,"NEG STOCK",IF(K1427&lt;INDEX(Items!$P$5:$P$504,U1427),"BELOW COST","OK")))),IF($D1427="","","PRO PLAN"))</f>
        <v/>
      </c>
      <c r="U1427" s="60" t="str">
        <f aca="false">IF(IsPro,IF($D1427="","",IFERROR(MATCH($D1427,Items!$A$5:$A$504,0),"")),"")</f>
        <v/>
      </c>
      <c r="V1427" s="60" t="str">
        <f aca="false">IF(IsPro,IF($C1427="","",IFERROR(MATCH($C1427,Parties!$A$5:$A$304,0),"")),"")</f>
        <v/>
      </c>
      <c r="W1427" s="60" t="str">
        <f aca="false">IF(IsPro,IF($B1427="","",IFERROR(VALUE(SUBSTITUTE($B1427,InvPrefix,"")),0)),"")</f>
        <v/>
      </c>
      <c r="X1427" s="61" t="str">
        <f aca="false">IF(IsPro,IF($D1427="","",IF(OR($H1427="",$H1427="Credit"),0,Q1427)),"")</f>
        <v/>
      </c>
    </row>
    <row r="1428" customFormat="false" ht="15" hidden="false" customHeight="false" outlineLevel="0" collapsed="false">
      <c r="A1428" s="55"/>
      <c r="B1428" s="56"/>
      <c r="C1428" s="56"/>
      <c r="D1428" s="56"/>
      <c r="E1428" s="57"/>
      <c r="F1428" s="58"/>
      <c r="G1428" s="59"/>
      <c r="H1428" s="56"/>
      <c r="I1428" s="56"/>
      <c r="J1428" s="60" t="str">
        <f aca="false">IF(IsPro,IF($D1428="","",IFERROR(INDEX(Items!$D$5:$D$504,U1428),"")),"")</f>
        <v/>
      </c>
      <c r="K1428" s="61" t="str">
        <f aca="false">IF(IsPro,IF($D1428="","",IF($F1428="",IFERROR(INDEX(Items!$H$5:$H$504,U1428),0),$F1428)),"")</f>
        <v/>
      </c>
      <c r="L1428" s="61" t="str">
        <f aca="false">IF(IsPro,IF($D1428="","",ROUND(N($E1428)*K1428*(1-N($G1428)),2)),"")</f>
        <v/>
      </c>
      <c r="M1428" s="62" t="str">
        <f aca="false">IF(IsPro,IF($D1428="","",IFERROR(INDEX(Items!$F$5:$F$504,U1428),0)),"")</f>
        <v/>
      </c>
      <c r="N1428" s="61" t="str">
        <f aca="false">IF(IsPro,IF($D1428="","",IF(AND(V1428&lt;&gt;"",INDEX(Parties!$E$5:$E$304,V1428)&lt;&gt;"",INDEX(Parties!$E$5:$E$304,V1428)&lt;&gt;HomeState),0,ROUND(L1428*M1428/2,2))),"")</f>
        <v/>
      </c>
      <c r="O1428" s="61" t="str">
        <f aca="false">IF(IsPro,IF($D1428="","",N1428),"")</f>
        <v/>
      </c>
      <c r="P1428" s="61" t="str">
        <f aca="false">IF(IsPro,IF($D1428="","",IF(AND(V1428&lt;&gt;"",INDEX(Parties!$E$5:$E$304,V1428)&lt;&gt;"",INDEX(Parties!$E$5:$E$304,V1428)&lt;&gt;HomeState),ROUND(L1428*M1428,2),0)),"")</f>
        <v/>
      </c>
      <c r="Q1428" s="61" t="str">
        <f aca="false">IF(IsPro,IF($D1428="","",L1428+N1428+O1428+P1428),"")</f>
        <v/>
      </c>
      <c r="R1428" s="61" t="str">
        <f aca="false">IF(IsPro,IF($D1428="","",ROUND(N($E1428)*IFERROR(INDEX(Items!$P$5:$P$504,U1428),0),2)),"")</f>
        <v/>
      </c>
      <c r="S1428" s="61" t="str">
        <f aca="false">IF(IsPro,IF($D1428="","",L1428-R1428),"")</f>
        <v/>
      </c>
      <c r="T1428" s="60" t="str">
        <f aca="false">IF(IsPro,IF($D1428="","",IF(U1428="","UNKNOWN ITEM",IF(INDEX(Items!$O$5:$O$504,U1428)&lt;0,"NEG STOCK",IF(K1428&lt;INDEX(Items!$P$5:$P$504,U1428),"BELOW COST","OK")))),IF($D1428="","","PRO PLAN"))</f>
        <v/>
      </c>
      <c r="U1428" s="60" t="str">
        <f aca="false">IF(IsPro,IF($D1428="","",IFERROR(MATCH($D1428,Items!$A$5:$A$504,0),"")),"")</f>
        <v/>
      </c>
      <c r="V1428" s="60" t="str">
        <f aca="false">IF(IsPro,IF($C1428="","",IFERROR(MATCH($C1428,Parties!$A$5:$A$304,0),"")),"")</f>
        <v/>
      </c>
      <c r="W1428" s="60" t="str">
        <f aca="false">IF(IsPro,IF($B1428="","",IFERROR(VALUE(SUBSTITUTE($B1428,InvPrefix,"")),0)),"")</f>
        <v/>
      </c>
      <c r="X1428" s="61" t="str">
        <f aca="false">IF(IsPro,IF($D1428="","",IF(OR($H1428="",$H1428="Credit"),0,Q1428)),"")</f>
        <v/>
      </c>
    </row>
    <row r="1429" customFormat="false" ht="15" hidden="false" customHeight="false" outlineLevel="0" collapsed="false">
      <c r="A1429" s="55"/>
      <c r="B1429" s="56"/>
      <c r="C1429" s="56"/>
      <c r="D1429" s="56"/>
      <c r="E1429" s="57"/>
      <c r="F1429" s="58"/>
      <c r="G1429" s="59"/>
      <c r="H1429" s="56"/>
      <c r="I1429" s="56"/>
      <c r="J1429" s="60" t="str">
        <f aca="false">IF(IsPro,IF($D1429="","",IFERROR(INDEX(Items!$D$5:$D$504,U1429),"")),"")</f>
        <v/>
      </c>
      <c r="K1429" s="61" t="str">
        <f aca="false">IF(IsPro,IF($D1429="","",IF($F1429="",IFERROR(INDEX(Items!$H$5:$H$504,U1429),0),$F1429)),"")</f>
        <v/>
      </c>
      <c r="L1429" s="61" t="str">
        <f aca="false">IF(IsPro,IF($D1429="","",ROUND(N($E1429)*K1429*(1-N($G1429)),2)),"")</f>
        <v/>
      </c>
      <c r="M1429" s="62" t="str">
        <f aca="false">IF(IsPro,IF($D1429="","",IFERROR(INDEX(Items!$F$5:$F$504,U1429),0)),"")</f>
        <v/>
      </c>
      <c r="N1429" s="61" t="str">
        <f aca="false">IF(IsPro,IF($D1429="","",IF(AND(V1429&lt;&gt;"",INDEX(Parties!$E$5:$E$304,V1429)&lt;&gt;"",INDEX(Parties!$E$5:$E$304,V1429)&lt;&gt;HomeState),0,ROUND(L1429*M1429/2,2))),"")</f>
        <v/>
      </c>
      <c r="O1429" s="61" t="str">
        <f aca="false">IF(IsPro,IF($D1429="","",N1429),"")</f>
        <v/>
      </c>
      <c r="P1429" s="61" t="str">
        <f aca="false">IF(IsPro,IF($D1429="","",IF(AND(V1429&lt;&gt;"",INDEX(Parties!$E$5:$E$304,V1429)&lt;&gt;"",INDEX(Parties!$E$5:$E$304,V1429)&lt;&gt;HomeState),ROUND(L1429*M1429,2),0)),"")</f>
        <v/>
      </c>
      <c r="Q1429" s="61" t="str">
        <f aca="false">IF(IsPro,IF($D1429="","",L1429+N1429+O1429+P1429),"")</f>
        <v/>
      </c>
      <c r="R1429" s="61" t="str">
        <f aca="false">IF(IsPro,IF($D1429="","",ROUND(N($E1429)*IFERROR(INDEX(Items!$P$5:$P$504,U1429),0),2)),"")</f>
        <v/>
      </c>
      <c r="S1429" s="61" t="str">
        <f aca="false">IF(IsPro,IF($D1429="","",L1429-R1429),"")</f>
        <v/>
      </c>
      <c r="T1429" s="60" t="str">
        <f aca="false">IF(IsPro,IF($D1429="","",IF(U1429="","UNKNOWN ITEM",IF(INDEX(Items!$O$5:$O$504,U1429)&lt;0,"NEG STOCK",IF(K1429&lt;INDEX(Items!$P$5:$P$504,U1429),"BELOW COST","OK")))),IF($D1429="","","PRO PLAN"))</f>
        <v/>
      </c>
      <c r="U1429" s="60" t="str">
        <f aca="false">IF(IsPro,IF($D1429="","",IFERROR(MATCH($D1429,Items!$A$5:$A$504,0),"")),"")</f>
        <v/>
      </c>
      <c r="V1429" s="60" t="str">
        <f aca="false">IF(IsPro,IF($C1429="","",IFERROR(MATCH($C1429,Parties!$A$5:$A$304,0),"")),"")</f>
        <v/>
      </c>
      <c r="W1429" s="60" t="str">
        <f aca="false">IF(IsPro,IF($B1429="","",IFERROR(VALUE(SUBSTITUTE($B1429,InvPrefix,"")),0)),"")</f>
        <v/>
      </c>
      <c r="X1429" s="61" t="str">
        <f aca="false">IF(IsPro,IF($D1429="","",IF(OR($H1429="",$H1429="Credit"),0,Q1429)),"")</f>
        <v/>
      </c>
    </row>
    <row r="1430" customFormat="false" ht="15" hidden="false" customHeight="false" outlineLevel="0" collapsed="false">
      <c r="A1430" s="55"/>
      <c r="B1430" s="56"/>
      <c r="C1430" s="56"/>
      <c r="D1430" s="56"/>
      <c r="E1430" s="57"/>
      <c r="F1430" s="58"/>
      <c r="G1430" s="59"/>
      <c r="H1430" s="56"/>
      <c r="I1430" s="56"/>
      <c r="J1430" s="60" t="str">
        <f aca="false">IF(IsPro,IF($D1430="","",IFERROR(INDEX(Items!$D$5:$D$504,U1430),"")),"")</f>
        <v/>
      </c>
      <c r="K1430" s="61" t="str">
        <f aca="false">IF(IsPro,IF($D1430="","",IF($F1430="",IFERROR(INDEX(Items!$H$5:$H$504,U1430),0),$F1430)),"")</f>
        <v/>
      </c>
      <c r="L1430" s="61" t="str">
        <f aca="false">IF(IsPro,IF($D1430="","",ROUND(N($E1430)*K1430*(1-N($G1430)),2)),"")</f>
        <v/>
      </c>
      <c r="M1430" s="62" t="str">
        <f aca="false">IF(IsPro,IF($D1430="","",IFERROR(INDEX(Items!$F$5:$F$504,U1430),0)),"")</f>
        <v/>
      </c>
      <c r="N1430" s="61" t="str">
        <f aca="false">IF(IsPro,IF($D1430="","",IF(AND(V1430&lt;&gt;"",INDEX(Parties!$E$5:$E$304,V1430)&lt;&gt;"",INDEX(Parties!$E$5:$E$304,V1430)&lt;&gt;HomeState),0,ROUND(L1430*M1430/2,2))),"")</f>
        <v/>
      </c>
      <c r="O1430" s="61" t="str">
        <f aca="false">IF(IsPro,IF($D1430="","",N1430),"")</f>
        <v/>
      </c>
      <c r="P1430" s="61" t="str">
        <f aca="false">IF(IsPro,IF($D1430="","",IF(AND(V1430&lt;&gt;"",INDEX(Parties!$E$5:$E$304,V1430)&lt;&gt;"",INDEX(Parties!$E$5:$E$304,V1430)&lt;&gt;HomeState),ROUND(L1430*M1430,2),0)),"")</f>
        <v/>
      </c>
      <c r="Q1430" s="61" t="str">
        <f aca="false">IF(IsPro,IF($D1430="","",L1430+N1430+O1430+P1430),"")</f>
        <v/>
      </c>
      <c r="R1430" s="61" t="str">
        <f aca="false">IF(IsPro,IF($D1430="","",ROUND(N($E1430)*IFERROR(INDEX(Items!$P$5:$P$504,U1430),0),2)),"")</f>
        <v/>
      </c>
      <c r="S1430" s="61" t="str">
        <f aca="false">IF(IsPro,IF($D1430="","",L1430-R1430),"")</f>
        <v/>
      </c>
      <c r="T1430" s="60" t="str">
        <f aca="false">IF(IsPro,IF($D1430="","",IF(U1430="","UNKNOWN ITEM",IF(INDEX(Items!$O$5:$O$504,U1430)&lt;0,"NEG STOCK",IF(K1430&lt;INDEX(Items!$P$5:$P$504,U1430),"BELOW COST","OK")))),IF($D1430="","","PRO PLAN"))</f>
        <v/>
      </c>
      <c r="U1430" s="60" t="str">
        <f aca="false">IF(IsPro,IF($D1430="","",IFERROR(MATCH($D1430,Items!$A$5:$A$504,0),"")),"")</f>
        <v/>
      </c>
      <c r="V1430" s="60" t="str">
        <f aca="false">IF(IsPro,IF($C1430="","",IFERROR(MATCH($C1430,Parties!$A$5:$A$304,0),"")),"")</f>
        <v/>
      </c>
      <c r="W1430" s="60" t="str">
        <f aca="false">IF(IsPro,IF($B1430="","",IFERROR(VALUE(SUBSTITUTE($B1430,InvPrefix,"")),0)),"")</f>
        <v/>
      </c>
      <c r="X1430" s="61" t="str">
        <f aca="false">IF(IsPro,IF($D1430="","",IF(OR($H1430="",$H1430="Credit"),0,Q1430)),"")</f>
        <v/>
      </c>
    </row>
    <row r="1431" customFormat="false" ht="15" hidden="false" customHeight="false" outlineLevel="0" collapsed="false">
      <c r="A1431" s="55"/>
      <c r="B1431" s="56"/>
      <c r="C1431" s="56"/>
      <c r="D1431" s="56"/>
      <c r="E1431" s="57"/>
      <c r="F1431" s="58"/>
      <c r="G1431" s="59"/>
      <c r="H1431" s="56"/>
      <c r="I1431" s="56"/>
      <c r="J1431" s="60" t="str">
        <f aca="false">IF(IsPro,IF($D1431="","",IFERROR(INDEX(Items!$D$5:$D$504,U1431),"")),"")</f>
        <v/>
      </c>
      <c r="K1431" s="61" t="str">
        <f aca="false">IF(IsPro,IF($D1431="","",IF($F1431="",IFERROR(INDEX(Items!$H$5:$H$504,U1431),0),$F1431)),"")</f>
        <v/>
      </c>
      <c r="L1431" s="61" t="str">
        <f aca="false">IF(IsPro,IF($D1431="","",ROUND(N($E1431)*K1431*(1-N($G1431)),2)),"")</f>
        <v/>
      </c>
      <c r="M1431" s="62" t="str">
        <f aca="false">IF(IsPro,IF($D1431="","",IFERROR(INDEX(Items!$F$5:$F$504,U1431),0)),"")</f>
        <v/>
      </c>
      <c r="N1431" s="61" t="str">
        <f aca="false">IF(IsPro,IF($D1431="","",IF(AND(V1431&lt;&gt;"",INDEX(Parties!$E$5:$E$304,V1431)&lt;&gt;"",INDEX(Parties!$E$5:$E$304,V1431)&lt;&gt;HomeState),0,ROUND(L1431*M1431/2,2))),"")</f>
        <v/>
      </c>
      <c r="O1431" s="61" t="str">
        <f aca="false">IF(IsPro,IF($D1431="","",N1431),"")</f>
        <v/>
      </c>
      <c r="P1431" s="61" t="str">
        <f aca="false">IF(IsPro,IF($D1431="","",IF(AND(V1431&lt;&gt;"",INDEX(Parties!$E$5:$E$304,V1431)&lt;&gt;"",INDEX(Parties!$E$5:$E$304,V1431)&lt;&gt;HomeState),ROUND(L1431*M1431,2),0)),"")</f>
        <v/>
      </c>
      <c r="Q1431" s="61" t="str">
        <f aca="false">IF(IsPro,IF($D1431="","",L1431+N1431+O1431+P1431),"")</f>
        <v/>
      </c>
      <c r="R1431" s="61" t="str">
        <f aca="false">IF(IsPro,IF($D1431="","",ROUND(N($E1431)*IFERROR(INDEX(Items!$P$5:$P$504,U1431),0),2)),"")</f>
        <v/>
      </c>
      <c r="S1431" s="61" t="str">
        <f aca="false">IF(IsPro,IF($D1431="","",L1431-R1431),"")</f>
        <v/>
      </c>
      <c r="T1431" s="60" t="str">
        <f aca="false">IF(IsPro,IF($D1431="","",IF(U1431="","UNKNOWN ITEM",IF(INDEX(Items!$O$5:$O$504,U1431)&lt;0,"NEG STOCK",IF(K1431&lt;INDEX(Items!$P$5:$P$504,U1431),"BELOW COST","OK")))),IF($D1431="","","PRO PLAN"))</f>
        <v/>
      </c>
      <c r="U1431" s="60" t="str">
        <f aca="false">IF(IsPro,IF($D1431="","",IFERROR(MATCH($D1431,Items!$A$5:$A$504,0),"")),"")</f>
        <v/>
      </c>
      <c r="V1431" s="60" t="str">
        <f aca="false">IF(IsPro,IF($C1431="","",IFERROR(MATCH($C1431,Parties!$A$5:$A$304,0),"")),"")</f>
        <v/>
      </c>
      <c r="W1431" s="60" t="str">
        <f aca="false">IF(IsPro,IF($B1431="","",IFERROR(VALUE(SUBSTITUTE($B1431,InvPrefix,"")),0)),"")</f>
        <v/>
      </c>
      <c r="X1431" s="61" t="str">
        <f aca="false">IF(IsPro,IF($D1431="","",IF(OR($H1431="",$H1431="Credit"),0,Q1431)),"")</f>
        <v/>
      </c>
    </row>
    <row r="1432" customFormat="false" ht="15" hidden="false" customHeight="false" outlineLevel="0" collapsed="false">
      <c r="A1432" s="55"/>
      <c r="B1432" s="56"/>
      <c r="C1432" s="56"/>
      <c r="D1432" s="56"/>
      <c r="E1432" s="57"/>
      <c r="F1432" s="58"/>
      <c r="G1432" s="59"/>
      <c r="H1432" s="56"/>
      <c r="I1432" s="56"/>
      <c r="J1432" s="60" t="str">
        <f aca="false">IF(IsPro,IF($D1432="","",IFERROR(INDEX(Items!$D$5:$D$504,U1432),"")),"")</f>
        <v/>
      </c>
      <c r="K1432" s="61" t="str">
        <f aca="false">IF(IsPro,IF($D1432="","",IF($F1432="",IFERROR(INDEX(Items!$H$5:$H$504,U1432),0),$F1432)),"")</f>
        <v/>
      </c>
      <c r="L1432" s="61" t="str">
        <f aca="false">IF(IsPro,IF($D1432="","",ROUND(N($E1432)*K1432*(1-N($G1432)),2)),"")</f>
        <v/>
      </c>
      <c r="M1432" s="62" t="str">
        <f aca="false">IF(IsPro,IF($D1432="","",IFERROR(INDEX(Items!$F$5:$F$504,U1432),0)),"")</f>
        <v/>
      </c>
      <c r="N1432" s="61" t="str">
        <f aca="false">IF(IsPro,IF($D1432="","",IF(AND(V1432&lt;&gt;"",INDEX(Parties!$E$5:$E$304,V1432)&lt;&gt;"",INDEX(Parties!$E$5:$E$304,V1432)&lt;&gt;HomeState),0,ROUND(L1432*M1432/2,2))),"")</f>
        <v/>
      </c>
      <c r="O1432" s="61" t="str">
        <f aca="false">IF(IsPro,IF($D1432="","",N1432),"")</f>
        <v/>
      </c>
      <c r="P1432" s="61" t="str">
        <f aca="false">IF(IsPro,IF($D1432="","",IF(AND(V1432&lt;&gt;"",INDEX(Parties!$E$5:$E$304,V1432)&lt;&gt;"",INDEX(Parties!$E$5:$E$304,V1432)&lt;&gt;HomeState),ROUND(L1432*M1432,2),0)),"")</f>
        <v/>
      </c>
      <c r="Q1432" s="61" t="str">
        <f aca="false">IF(IsPro,IF($D1432="","",L1432+N1432+O1432+P1432),"")</f>
        <v/>
      </c>
      <c r="R1432" s="61" t="str">
        <f aca="false">IF(IsPro,IF($D1432="","",ROUND(N($E1432)*IFERROR(INDEX(Items!$P$5:$P$504,U1432),0),2)),"")</f>
        <v/>
      </c>
      <c r="S1432" s="61" t="str">
        <f aca="false">IF(IsPro,IF($D1432="","",L1432-R1432),"")</f>
        <v/>
      </c>
      <c r="T1432" s="60" t="str">
        <f aca="false">IF(IsPro,IF($D1432="","",IF(U1432="","UNKNOWN ITEM",IF(INDEX(Items!$O$5:$O$504,U1432)&lt;0,"NEG STOCK",IF(K1432&lt;INDEX(Items!$P$5:$P$504,U1432),"BELOW COST","OK")))),IF($D1432="","","PRO PLAN"))</f>
        <v/>
      </c>
      <c r="U1432" s="60" t="str">
        <f aca="false">IF(IsPro,IF($D1432="","",IFERROR(MATCH($D1432,Items!$A$5:$A$504,0),"")),"")</f>
        <v/>
      </c>
      <c r="V1432" s="60" t="str">
        <f aca="false">IF(IsPro,IF($C1432="","",IFERROR(MATCH($C1432,Parties!$A$5:$A$304,0),"")),"")</f>
        <v/>
      </c>
      <c r="W1432" s="60" t="str">
        <f aca="false">IF(IsPro,IF($B1432="","",IFERROR(VALUE(SUBSTITUTE($B1432,InvPrefix,"")),0)),"")</f>
        <v/>
      </c>
      <c r="X1432" s="61" t="str">
        <f aca="false">IF(IsPro,IF($D1432="","",IF(OR($H1432="",$H1432="Credit"),0,Q1432)),"")</f>
        <v/>
      </c>
    </row>
    <row r="1433" customFormat="false" ht="15" hidden="false" customHeight="false" outlineLevel="0" collapsed="false">
      <c r="A1433" s="55"/>
      <c r="B1433" s="56"/>
      <c r="C1433" s="56"/>
      <c r="D1433" s="56"/>
      <c r="E1433" s="57"/>
      <c r="F1433" s="58"/>
      <c r="G1433" s="59"/>
      <c r="H1433" s="56"/>
      <c r="I1433" s="56"/>
      <c r="J1433" s="60" t="str">
        <f aca="false">IF(IsPro,IF($D1433="","",IFERROR(INDEX(Items!$D$5:$D$504,U1433),"")),"")</f>
        <v/>
      </c>
      <c r="K1433" s="61" t="str">
        <f aca="false">IF(IsPro,IF($D1433="","",IF($F1433="",IFERROR(INDEX(Items!$H$5:$H$504,U1433),0),$F1433)),"")</f>
        <v/>
      </c>
      <c r="L1433" s="61" t="str">
        <f aca="false">IF(IsPro,IF($D1433="","",ROUND(N($E1433)*K1433*(1-N($G1433)),2)),"")</f>
        <v/>
      </c>
      <c r="M1433" s="62" t="str">
        <f aca="false">IF(IsPro,IF($D1433="","",IFERROR(INDEX(Items!$F$5:$F$504,U1433),0)),"")</f>
        <v/>
      </c>
      <c r="N1433" s="61" t="str">
        <f aca="false">IF(IsPro,IF($D1433="","",IF(AND(V1433&lt;&gt;"",INDEX(Parties!$E$5:$E$304,V1433)&lt;&gt;"",INDEX(Parties!$E$5:$E$304,V1433)&lt;&gt;HomeState),0,ROUND(L1433*M1433/2,2))),"")</f>
        <v/>
      </c>
      <c r="O1433" s="61" t="str">
        <f aca="false">IF(IsPro,IF($D1433="","",N1433),"")</f>
        <v/>
      </c>
      <c r="P1433" s="61" t="str">
        <f aca="false">IF(IsPro,IF($D1433="","",IF(AND(V1433&lt;&gt;"",INDEX(Parties!$E$5:$E$304,V1433)&lt;&gt;"",INDEX(Parties!$E$5:$E$304,V1433)&lt;&gt;HomeState),ROUND(L1433*M1433,2),0)),"")</f>
        <v/>
      </c>
      <c r="Q1433" s="61" t="str">
        <f aca="false">IF(IsPro,IF($D1433="","",L1433+N1433+O1433+P1433),"")</f>
        <v/>
      </c>
      <c r="R1433" s="61" t="str">
        <f aca="false">IF(IsPro,IF($D1433="","",ROUND(N($E1433)*IFERROR(INDEX(Items!$P$5:$P$504,U1433),0),2)),"")</f>
        <v/>
      </c>
      <c r="S1433" s="61" t="str">
        <f aca="false">IF(IsPro,IF($D1433="","",L1433-R1433),"")</f>
        <v/>
      </c>
      <c r="T1433" s="60" t="str">
        <f aca="false">IF(IsPro,IF($D1433="","",IF(U1433="","UNKNOWN ITEM",IF(INDEX(Items!$O$5:$O$504,U1433)&lt;0,"NEG STOCK",IF(K1433&lt;INDEX(Items!$P$5:$P$504,U1433),"BELOW COST","OK")))),IF($D1433="","","PRO PLAN"))</f>
        <v/>
      </c>
      <c r="U1433" s="60" t="str">
        <f aca="false">IF(IsPro,IF($D1433="","",IFERROR(MATCH($D1433,Items!$A$5:$A$504,0),"")),"")</f>
        <v/>
      </c>
      <c r="V1433" s="60" t="str">
        <f aca="false">IF(IsPro,IF($C1433="","",IFERROR(MATCH($C1433,Parties!$A$5:$A$304,0),"")),"")</f>
        <v/>
      </c>
      <c r="W1433" s="60" t="str">
        <f aca="false">IF(IsPro,IF($B1433="","",IFERROR(VALUE(SUBSTITUTE($B1433,InvPrefix,"")),0)),"")</f>
        <v/>
      </c>
      <c r="X1433" s="61" t="str">
        <f aca="false">IF(IsPro,IF($D1433="","",IF(OR($H1433="",$H1433="Credit"),0,Q1433)),"")</f>
        <v/>
      </c>
    </row>
    <row r="1434" customFormat="false" ht="15" hidden="false" customHeight="false" outlineLevel="0" collapsed="false">
      <c r="A1434" s="55"/>
      <c r="B1434" s="56"/>
      <c r="C1434" s="56"/>
      <c r="D1434" s="56"/>
      <c r="E1434" s="57"/>
      <c r="F1434" s="58"/>
      <c r="G1434" s="59"/>
      <c r="H1434" s="56"/>
      <c r="I1434" s="56"/>
      <c r="J1434" s="60" t="str">
        <f aca="false">IF(IsPro,IF($D1434="","",IFERROR(INDEX(Items!$D$5:$D$504,U1434),"")),"")</f>
        <v/>
      </c>
      <c r="K1434" s="61" t="str">
        <f aca="false">IF(IsPro,IF($D1434="","",IF($F1434="",IFERROR(INDEX(Items!$H$5:$H$504,U1434),0),$F1434)),"")</f>
        <v/>
      </c>
      <c r="L1434" s="61" t="str">
        <f aca="false">IF(IsPro,IF($D1434="","",ROUND(N($E1434)*K1434*(1-N($G1434)),2)),"")</f>
        <v/>
      </c>
      <c r="M1434" s="62" t="str">
        <f aca="false">IF(IsPro,IF($D1434="","",IFERROR(INDEX(Items!$F$5:$F$504,U1434),0)),"")</f>
        <v/>
      </c>
      <c r="N1434" s="61" t="str">
        <f aca="false">IF(IsPro,IF($D1434="","",IF(AND(V1434&lt;&gt;"",INDEX(Parties!$E$5:$E$304,V1434)&lt;&gt;"",INDEX(Parties!$E$5:$E$304,V1434)&lt;&gt;HomeState),0,ROUND(L1434*M1434/2,2))),"")</f>
        <v/>
      </c>
      <c r="O1434" s="61" t="str">
        <f aca="false">IF(IsPro,IF($D1434="","",N1434),"")</f>
        <v/>
      </c>
      <c r="P1434" s="61" t="str">
        <f aca="false">IF(IsPro,IF($D1434="","",IF(AND(V1434&lt;&gt;"",INDEX(Parties!$E$5:$E$304,V1434)&lt;&gt;"",INDEX(Parties!$E$5:$E$304,V1434)&lt;&gt;HomeState),ROUND(L1434*M1434,2),0)),"")</f>
        <v/>
      </c>
      <c r="Q1434" s="61" t="str">
        <f aca="false">IF(IsPro,IF($D1434="","",L1434+N1434+O1434+P1434),"")</f>
        <v/>
      </c>
      <c r="R1434" s="61" t="str">
        <f aca="false">IF(IsPro,IF($D1434="","",ROUND(N($E1434)*IFERROR(INDEX(Items!$P$5:$P$504,U1434),0),2)),"")</f>
        <v/>
      </c>
      <c r="S1434" s="61" t="str">
        <f aca="false">IF(IsPro,IF($D1434="","",L1434-R1434),"")</f>
        <v/>
      </c>
      <c r="T1434" s="60" t="str">
        <f aca="false">IF(IsPro,IF($D1434="","",IF(U1434="","UNKNOWN ITEM",IF(INDEX(Items!$O$5:$O$504,U1434)&lt;0,"NEG STOCK",IF(K1434&lt;INDEX(Items!$P$5:$P$504,U1434),"BELOW COST","OK")))),IF($D1434="","","PRO PLAN"))</f>
        <v/>
      </c>
      <c r="U1434" s="60" t="str">
        <f aca="false">IF(IsPro,IF($D1434="","",IFERROR(MATCH($D1434,Items!$A$5:$A$504,0),"")),"")</f>
        <v/>
      </c>
      <c r="V1434" s="60" t="str">
        <f aca="false">IF(IsPro,IF($C1434="","",IFERROR(MATCH($C1434,Parties!$A$5:$A$304,0),"")),"")</f>
        <v/>
      </c>
      <c r="W1434" s="60" t="str">
        <f aca="false">IF(IsPro,IF($B1434="","",IFERROR(VALUE(SUBSTITUTE($B1434,InvPrefix,"")),0)),"")</f>
        <v/>
      </c>
      <c r="X1434" s="61" t="str">
        <f aca="false">IF(IsPro,IF($D1434="","",IF(OR($H1434="",$H1434="Credit"),0,Q1434)),"")</f>
        <v/>
      </c>
    </row>
    <row r="1435" customFormat="false" ht="15" hidden="false" customHeight="false" outlineLevel="0" collapsed="false">
      <c r="A1435" s="55"/>
      <c r="B1435" s="56"/>
      <c r="C1435" s="56"/>
      <c r="D1435" s="56"/>
      <c r="E1435" s="57"/>
      <c r="F1435" s="58"/>
      <c r="G1435" s="59"/>
      <c r="H1435" s="56"/>
      <c r="I1435" s="56"/>
      <c r="J1435" s="60" t="str">
        <f aca="false">IF(IsPro,IF($D1435="","",IFERROR(INDEX(Items!$D$5:$D$504,U1435),"")),"")</f>
        <v/>
      </c>
      <c r="K1435" s="61" t="str">
        <f aca="false">IF(IsPro,IF($D1435="","",IF($F1435="",IFERROR(INDEX(Items!$H$5:$H$504,U1435),0),$F1435)),"")</f>
        <v/>
      </c>
      <c r="L1435" s="61" t="str">
        <f aca="false">IF(IsPro,IF($D1435="","",ROUND(N($E1435)*K1435*(1-N($G1435)),2)),"")</f>
        <v/>
      </c>
      <c r="M1435" s="62" t="str">
        <f aca="false">IF(IsPro,IF($D1435="","",IFERROR(INDEX(Items!$F$5:$F$504,U1435),0)),"")</f>
        <v/>
      </c>
      <c r="N1435" s="61" t="str">
        <f aca="false">IF(IsPro,IF($D1435="","",IF(AND(V1435&lt;&gt;"",INDEX(Parties!$E$5:$E$304,V1435)&lt;&gt;"",INDEX(Parties!$E$5:$E$304,V1435)&lt;&gt;HomeState),0,ROUND(L1435*M1435/2,2))),"")</f>
        <v/>
      </c>
      <c r="O1435" s="61" t="str">
        <f aca="false">IF(IsPro,IF($D1435="","",N1435),"")</f>
        <v/>
      </c>
      <c r="P1435" s="61" t="str">
        <f aca="false">IF(IsPro,IF($D1435="","",IF(AND(V1435&lt;&gt;"",INDEX(Parties!$E$5:$E$304,V1435)&lt;&gt;"",INDEX(Parties!$E$5:$E$304,V1435)&lt;&gt;HomeState),ROUND(L1435*M1435,2),0)),"")</f>
        <v/>
      </c>
      <c r="Q1435" s="61" t="str">
        <f aca="false">IF(IsPro,IF($D1435="","",L1435+N1435+O1435+P1435),"")</f>
        <v/>
      </c>
      <c r="R1435" s="61" t="str">
        <f aca="false">IF(IsPro,IF($D1435="","",ROUND(N($E1435)*IFERROR(INDEX(Items!$P$5:$P$504,U1435),0),2)),"")</f>
        <v/>
      </c>
      <c r="S1435" s="61" t="str">
        <f aca="false">IF(IsPro,IF($D1435="","",L1435-R1435),"")</f>
        <v/>
      </c>
      <c r="T1435" s="60" t="str">
        <f aca="false">IF(IsPro,IF($D1435="","",IF(U1435="","UNKNOWN ITEM",IF(INDEX(Items!$O$5:$O$504,U1435)&lt;0,"NEG STOCK",IF(K1435&lt;INDEX(Items!$P$5:$P$504,U1435),"BELOW COST","OK")))),IF($D1435="","","PRO PLAN"))</f>
        <v/>
      </c>
      <c r="U1435" s="60" t="str">
        <f aca="false">IF(IsPro,IF($D1435="","",IFERROR(MATCH($D1435,Items!$A$5:$A$504,0),"")),"")</f>
        <v/>
      </c>
      <c r="V1435" s="60" t="str">
        <f aca="false">IF(IsPro,IF($C1435="","",IFERROR(MATCH($C1435,Parties!$A$5:$A$304,0),"")),"")</f>
        <v/>
      </c>
      <c r="W1435" s="60" t="str">
        <f aca="false">IF(IsPro,IF($B1435="","",IFERROR(VALUE(SUBSTITUTE($B1435,InvPrefix,"")),0)),"")</f>
        <v/>
      </c>
      <c r="X1435" s="61" t="str">
        <f aca="false">IF(IsPro,IF($D1435="","",IF(OR($H1435="",$H1435="Credit"),0,Q1435)),"")</f>
        <v/>
      </c>
    </row>
    <row r="1436" customFormat="false" ht="15" hidden="false" customHeight="false" outlineLevel="0" collapsed="false">
      <c r="A1436" s="55"/>
      <c r="B1436" s="56"/>
      <c r="C1436" s="56"/>
      <c r="D1436" s="56"/>
      <c r="E1436" s="57"/>
      <c r="F1436" s="58"/>
      <c r="G1436" s="59"/>
      <c r="H1436" s="56"/>
      <c r="I1436" s="56"/>
      <c r="J1436" s="60" t="str">
        <f aca="false">IF(IsPro,IF($D1436="","",IFERROR(INDEX(Items!$D$5:$D$504,U1436),"")),"")</f>
        <v/>
      </c>
      <c r="K1436" s="61" t="str">
        <f aca="false">IF(IsPro,IF($D1436="","",IF($F1436="",IFERROR(INDEX(Items!$H$5:$H$504,U1436),0),$F1436)),"")</f>
        <v/>
      </c>
      <c r="L1436" s="61" t="str">
        <f aca="false">IF(IsPro,IF($D1436="","",ROUND(N($E1436)*K1436*(1-N($G1436)),2)),"")</f>
        <v/>
      </c>
      <c r="M1436" s="62" t="str">
        <f aca="false">IF(IsPro,IF($D1436="","",IFERROR(INDEX(Items!$F$5:$F$504,U1436),0)),"")</f>
        <v/>
      </c>
      <c r="N1436" s="61" t="str">
        <f aca="false">IF(IsPro,IF($D1436="","",IF(AND(V1436&lt;&gt;"",INDEX(Parties!$E$5:$E$304,V1436)&lt;&gt;"",INDEX(Parties!$E$5:$E$304,V1436)&lt;&gt;HomeState),0,ROUND(L1436*M1436/2,2))),"")</f>
        <v/>
      </c>
      <c r="O1436" s="61" t="str">
        <f aca="false">IF(IsPro,IF($D1436="","",N1436),"")</f>
        <v/>
      </c>
      <c r="P1436" s="61" t="str">
        <f aca="false">IF(IsPro,IF($D1436="","",IF(AND(V1436&lt;&gt;"",INDEX(Parties!$E$5:$E$304,V1436)&lt;&gt;"",INDEX(Parties!$E$5:$E$304,V1436)&lt;&gt;HomeState),ROUND(L1436*M1436,2),0)),"")</f>
        <v/>
      </c>
      <c r="Q1436" s="61" t="str">
        <f aca="false">IF(IsPro,IF($D1436="","",L1436+N1436+O1436+P1436),"")</f>
        <v/>
      </c>
      <c r="R1436" s="61" t="str">
        <f aca="false">IF(IsPro,IF($D1436="","",ROUND(N($E1436)*IFERROR(INDEX(Items!$P$5:$P$504,U1436),0),2)),"")</f>
        <v/>
      </c>
      <c r="S1436" s="61" t="str">
        <f aca="false">IF(IsPro,IF($D1436="","",L1436-R1436),"")</f>
        <v/>
      </c>
      <c r="T1436" s="60" t="str">
        <f aca="false">IF(IsPro,IF($D1436="","",IF(U1436="","UNKNOWN ITEM",IF(INDEX(Items!$O$5:$O$504,U1436)&lt;0,"NEG STOCK",IF(K1436&lt;INDEX(Items!$P$5:$P$504,U1436),"BELOW COST","OK")))),IF($D1436="","","PRO PLAN"))</f>
        <v/>
      </c>
      <c r="U1436" s="60" t="str">
        <f aca="false">IF(IsPro,IF($D1436="","",IFERROR(MATCH($D1436,Items!$A$5:$A$504,0),"")),"")</f>
        <v/>
      </c>
      <c r="V1436" s="60" t="str">
        <f aca="false">IF(IsPro,IF($C1436="","",IFERROR(MATCH($C1436,Parties!$A$5:$A$304,0),"")),"")</f>
        <v/>
      </c>
      <c r="W1436" s="60" t="str">
        <f aca="false">IF(IsPro,IF($B1436="","",IFERROR(VALUE(SUBSTITUTE($B1436,InvPrefix,"")),0)),"")</f>
        <v/>
      </c>
      <c r="X1436" s="61" t="str">
        <f aca="false">IF(IsPro,IF($D1436="","",IF(OR($H1436="",$H1436="Credit"),0,Q1436)),"")</f>
        <v/>
      </c>
    </row>
    <row r="1437" customFormat="false" ht="15" hidden="false" customHeight="false" outlineLevel="0" collapsed="false">
      <c r="A1437" s="55"/>
      <c r="B1437" s="56"/>
      <c r="C1437" s="56"/>
      <c r="D1437" s="56"/>
      <c r="E1437" s="57"/>
      <c r="F1437" s="58"/>
      <c r="G1437" s="59"/>
      <c r="H1437" s="56"/>
      <c r="I1437" s="56"/>
      <c r="J1437" s="60" t="str">
        <f aca="false">IF(IsPro,IF($D1437="","",IFERROR(INDEX(Items!$D$5:$D$504,U1437),"")),"")</f>
        <v/>
      </c>
      <c r="K1437" s="61" t="str">
        <f aca="false">IF(IsPro,IF($D1437="","",IF($F1437="",IFERROR(INDEX(Items!$H$5:$H$504,U1437),0),$F1437)),"")</f>
        <v/>
      </c>
      <c r="L1437" s="61" t="str">
        <f aca="false">IF(IsPro,IF($D1437="","",ROUND(N($E1437)*K1437*(1-N($G1437)),2)),"")</f>
        <v/>
      </c>
      <c r="M1437" s="62" t="str">
        <f aca="false">IF(IsPro,IF($D1437="","",IFERROR(INDEX(Items!$F$5:$F$504,U1437),0)),"")</f>
        <v/>
      </c>
      <c r="N1437" s="61" t="str">
        <f aca="false">IF(IsPro,IF($D1437="","",IF(AND(V1437&lt;&gt;"",INDEX(Parties!$E$5:$E$304,V1437)&lt;&gt;"",INDEX(Parties!$E$5:$E$304,V1437)&lt;&gt;HomeState),0,ROUND(L1437*M1437/2,2))),"")</f>
        <v/>
      </c>
      <c r="O1437" s="61" t="str">
        <f aca="false">IF(IsPro,IF($D1437="","",N1437),"")</f>
        <v/>
      </c>
      <c r="P1437" s="61" t="str">
        <f aca="false">IF(IsPro,IF($D1437="","",IF(AND(V1437&lt;&gt;"",INDEX(Parties!$E$5:$E$304,V1437)&lt;&gt;"",INDEX(Parties!$E$5:$E$304,V1437)&lt;&gt;HomeState),ROUND(L1437*M1437,2),0)),"")</f>
        <v/>
      </c>
      <c r="Q1437" s="61" t="str">
        <f aca="false">IF(IsPro,IF($D1437="","",L1437+N1437+O1437+P1437),"")</f>
        <v/>
      </c>
      <c r="R1437" s="61" t="str">
        <f aca="false">IF(IsPro,IF($D1437="","",ROUND(N($E1437)*IFERROR(INDEX(Items!$P$5:$P$504,U1437),0),2)),"")</f>
        <v/>
      </c>
      <c r="S1437" s="61" t="str">
        <f aca="false">IF(IsPro,IF($D1437="","",L1437-R1437),"")</f>
        <v/>
      </c>
      <c r="T1437" s="60" t="str">
        <f aca="false">IF(IsPro,IF($D1437="","",IF(U1437="","UNKNOWN ITEM",IF(INDEX(Items!$O$5:$O$504,U1437)&lt;0,"NEG STOCK",IF(K1437&lt;INDEX(Items!$P$5:$P$504,U1437),"BELOW COST","OK")))),IF($D1437="","","PRO PLAN"))</f>
        <v/>
      </c>
      <c r="U1437" s="60" t="str">
        <f aca="false">IF(IsPro,IF($D1437="","",IFERROR(MATCH($D1437,Items!$A$5:$A$504,0),"")),"")</f>
        <v/>
      </c>
      <c r="V1437" s="60" t="str">
        <f aca="false">IF(IsPro,IF($C1437="","",IFERROR(MATCH($C1437,Parties!$A$5:$A$304,0),"")),"")</f>
        <v/>
      </c>
      <c r="W1437" s="60" t="str">
        <f aca="false">IF(IsPro,IF($B1437="","",IFERROR(VALUE(SUBSTITUTE($B1437,InvPrefix,"")),0)),"")</f>
        <v/>
      </c>
      <c r="X1437" s="61" t="str">
        <f aca="false">IF(IsPro,IF($D1437="","",IF(OR($H1437="",$H1437="Credit"),0,Q1437)),"")</f>
        <v/>
      </c>
    </row>
    <row r="1438" customFormat="false" ht="15" hidden="false" customHeight="false" outlineLevel="0" collapsed="false">
      <c r="A1438" s="55"/>
      <c r="B1438" s="56"/>
      <c r="C1438" s="56"/>
      <c r="D1438" s="56"/>
      <c r="E1438" s="57"/>
      <c r="F1438" s="58"/>
      <c r="G1438" s="59"/>
      <c r="H1438" s="56"/>
      <c r="I1438" s="56"/>
      <c r="J1438" s="60" t="str">
        <f aca="false">IF(IsPro,IF($D1438="","",IFERROR(INDEX(Items!$D$5:$D$504,U1438),"")),"")</f>
        <v/>
      </c>
      <c r="K1438" s="61" t="str">
        <f aca="false">IF(IsPro,IF($D1438="","",IF($F1438="",IFERROR(INDEX(Items!$H$5:$H$504,U1438),0),$F1438)),"")</f>
        <v/>
      </c>
      <c r="L1438" s="61" t="str">
        <f aca="false">IF(IsPro,IF($D1438="","",ROUND(N($E1438)*K1438*(1-N($G1438)),2)),"")</f>
        <v/>
      </c>
      <c r="M1438" s="62" t="str">
        <f aca="false">IF(IsPro,IF($D1438="","",IFERROR(INDEX(Items!$F$5:$F$504,U1438),0)),"")</f>
        <v/>
      </c>
      <c r="N1438" s="61" t="str">
        <f aca="false">IF(IsPro,IF($D1438="","",IF(AND(V1438&lt;&gt;"",INDEX(Parties!$E$5:$E$304,V1438)&lt;&gt;"",INDEX(Parties!$E$5:$E$304,V1438)&lt;&gt;HomeState),0,ROUND(L1438*M1438/2,2))),"")</f>
        <v/>
      </c>
      <c r="O1438" s="61" t="str">
        <f aca="false">IF(IsPro,IF($D1438="","",N1438),"")</f>
        <v/>
      </c>
      <c r="P1438" s="61" t="str">
        <f aca="false">IF(IsPro,IF($D1438="","",IF(AND(V1438&lt;&gt;"",INDEX(Parties!$E$5:$E$304,V1438)&lt;&gt;"",INDEX(Parties!$E$5:$E$304,V1438)&lt;&gt;HomeState),ROUND(L1438*M1438,2),0)),"")</f>
        <v/>
      </c>
      <c r="Q1438" s="61" t="str">
        <f aca="false">IF(IsPro,IF($D1438="","",L1438+N1438+O1438+P1438),"")</f>
        <v/>
      </c>
      <c r="R1438" s="61" t="str">
        <f aca="false">IF(IsPro,IF($D1438="","",ROUND(N($E1438)*IFERROR(INDEX(Items!$P$5:$P$504,U1438),0),2)),"")</f>
        <v/>
      </c>
      <c r="S1438" s="61" t="str">
        <f aca="false">IF(IsPro,IF($D1438="","",L1438-R1438),"")</f>
        <v/>
      </c>
      <c r="T1438" s="60" t="str">
        <f aca="false">IF(IsPro,IF($D1438="","",IF(U1438="","UNKNOWN ITEM",IF(INDEX(Items!$O$5:$O$504,U1438)&lt;0,"NEG STOCK",IF(K1438&lt;INDEX(Items!$P$5:$P$504,U1438),"BELOW COST","OK")))),IF($D1438="","","PRO PLAN"))</f>
        <v/>
      </c>
      <c r="U1438" s="60" t="str">
        <f aca="false">IF(IsPro,IF($D1438="","",IFERROR(MATCH($D1438,Items!$A$5:$A$504,0),"")),"")</f>
        <v/>
      </c>
      <c r="V1438" s="60" t="str">
        <f aca="false">IF(IsPro,IF($C1438="","",IFERROR(MATCH($C1438,Parties!$A$5:$A$304,0),"")),"")</f>
        <v/>
      </c>
      <c r="W1438" s="60" t="str">
        <f aca="false">IF(IsPro,IF($B1438="","",IFERROR(VALUE(SUBSTITUTE($B1438,InvPrefix,"")),0)),"")</f>
        <v/>
      </c>
      <c r="X1438" s="61" t="str">
        <f aca="false">IF(IsPro,IF($D1438="","",IF(OR($H1438="",$H1438="Credit"),0,Q1438)),"")</f>
        <v/>
      </c>
    </row>
    <row r="1439" customFormat="false" ht="15" hidden="false" customHeight="false" outlineLevel="0" collapsed="false">
      <c r="A1439" s="55"/>
      <c r="B1439" s="56"/>
      <c r="C1439" s="56"/>
      <c r="D1439" s="56"/>
      <c r="E1439" s="57"/>
      <c r="F1439" s="58"/>
      <c r="G1439" s="59"/>
      <c r="H1439" s="56"/>
      <c r="I1439" s="56"/>
      <c r="J1439" s="60" t="str">
        <f aca="false">IF(IsPro,IF($D1439="","",IFERROR(INDEX(Items!$D$5:$D$504,U1439),"")),"")</f>
        <v/>
      </c>
      <c r="K1439" s="61" t="str">
        <f aca="false">IF(IsPro,IF($D1439="","",IF($F1439="",IFERROR(INDEX(Items!$H$5:$H$504,U1439),0),$F1439)),"")</f>
        <v/>
      </c>
      <c r="L1439" s="61" t="str">
        <f aca="false">IF(IsPro,IF($D1439="","",ROUND(N($E1439)*K1439*(1-N($G1439)),2)),"")</f>
        <v/>
      </c>
      <c r="M1439" s="62" t="str">
        <f aca="false">IF(IsPro,IF($D1439="","",IFERROR(INDEX(Items!$F$5:$F$504,U1439),0)),"")</f>
        <v/>
      </c>
      <c r="N1439" s="61" t="str">
        <f aca="false">IF(IsPro,IF($D1439="","",IF(AND(V1439&lt;&gt;"",INDEX(Parties!$E$5:$E$304,V1439)&lt;&gt;"",INDEX(Parties!$E$5:$E$304,V1439)&lt;&gt;HomeState),0,ROUND(L1439*M1439/2,2))),"")</f>
        <v/>
      </c>
      <c r="O1439" s="61" t="str">
        <f aca="false">IF(IsPro,IF($D1439="","",N1439),"")</f>
        <v/>
      </c>
      <c r="P1439" s="61" t="str">
        <f aca="false">IF(IsPro,IF($D1439="","",IF(AND(V1439&lt;&gt;"",INDEX(Parties!$E$5:$E$304,V1439)&lt;&gt;"",INDEX(Parties!$E$5:$E$304,V1439)&lt;&gt;HomeState),ROUND(L1439*M1439,2),0)),"")</f>
        <v/>
      </c>
      <c r="Q1439" s="61" t="str">
        <f aca="false">IF(IsPro,IF($D1439="","",L1439+N1439+O1439+P1439),"")</f>
        <v/>
      </c>
      <c r="R1439" s="61" t="str">
        <f aca="false">IF(IsPro,IF($D1439="","",ROUND(N($E1439)*IFERROR(INDEX(Items!$P$5:$P$504,U1439),0),2)),"")</f>
        <v/>
      </c>
      <c r="S1439" s="61" t="str">
        <f aca="false">IF(IsPro,IF($D1439="","",L1439-R1439),"")</f>
        <v/>
      </c>
      <c r="T1439" s="60" t="str">
        <f aca="false">IF(IsPro,IF($D1439="","",IF(U1439="","UNKNOWN ITEM",IF(INDEX(Items!$O$5:$O$504,U1439)&lt;0,"NEG STOCK",IF(K1439&lt;INDEX(Items!$P$5:$P$504,U1439),"BELOW COST","OK")))),IF($D1439="","","PRO PLAN"))</f>
        <v/>
      </c>
      <c r="U1439" s="60" t="str">
        <f aca="false">IF(IsPro,IF($D1439="","",IFERROR(MATCH($D1439,Items!$A$5:$A$504,0),"")),"")</f>
        <v/>
      </c>
      <c r="V1439" s="60" t="str">
        <f aca="false">IF(IsPro,IF($C1439="","",IFERROR(MATCH($C1439,Parties!$A$5:$A$304,0),"")),"")</f>
        <v/>
      </c>
      <c r="W1439" s="60" t="str">
        <f aca="false">IF(IsPro,IF($B1439="","",IFERROR(VALUE(SUBSTITUTE($B1439,InvPrefix,"")),0)),"")</f>
        <v/>
      </c>
      <c r="X1439" s="61" t="str">
        <f aca="false">IF(IsPro,IF($D1439="","",IF(OR($H1439="",$H1439="Credit"),0,Q1439)),"")</f>
        <v/>
      </c>
    </row>
    <row r="1440" customFormat="false" ht="15" hidden="false" customHeight="false" outlineLevel="0" collapsed="false">
      <c r="A1440" s="55"/>
      <c r="B1440" s="56"/>
      <c r="C1440" s="56"/>
      <c r="D1440" s="56"/>
      <c r="E1440" s="57"/>
      <c r="F1440" s="58"/>
      <c r="G1440" s="59"/>
      <c r="H1440" s="56"/>
      <c r="I1440" s="56"/>
      <c r="J1440" s="60" t="str">
        <f aca="false">IF(IsPro,IF($D1440="","",IFERROR(INDEX(Items!$D$5:$D$504,U1440),"")),"")</f>
        <v/>
      </c>
      <c r="K1440" s="61" t="str">
        <f aca="false">IF(IsPro,IF($D1440="","",IF($F1440="",IFERROR(INDEX(Items!$H$5:$H$504,U1440),0),$F1440)),"")</f>
        <v/>
      </c>
      <c r="L1440" s="61" t="str">
        <f aca="false">IF(IsPro,IF($D1440="","",ROUND(N($E1440)*K1440*(1-N($G1440)),2)),"")</f>
        <v/>
      </c>
      <c r="M1440" s="62" t="str">
        <f aca="false">IF(IsPro,IF($D1440="","",IFERROR(INDEX(Items!$F$5:$F$504,U1440),0)),"")</f>
        <v/>
      </c>
      <c r="N1440" s="61" t="str">
        <f aca="false">IF(IsPro,IF($D1440="","",IF(AND(V1440&lt;&gt;"",INDEX(Parties!$E$5:$E$304,V1440)&lt;&gt;"",INDEX(Parties!$E$5:$E$304,V1440)&lt;&gt;HomeState),0,ROUND(L1440*M1440/2,2))),"")</f>
        <v/>
      </c>
      <c r="O1440" s="61" t="str">
        <f aca="false">IF(IsPro,IF($D1440="","",N1440),"")</f>
        <v/>
      </c>
      <c r="P1440" s="61" t="str">
        <f aca="false">IF(IsPro,IF($D1440="","",IF(AND(V1440&lt;&gt;"",INDEX(Parties!$E$5:$E$304,V1440)&lt;&gt;"",INDEX(Parties!$E$5:$E$304,V1440)&lt;&gt;HomeState),ROUND(L1440*M1440,2),0)),"")</f>
        <v/>
      </c>
      <c r="Q1440" s="61" t="str">
        <f aca="false">IF(IsPro,IF($D1440="","",L1440+N1440+O1440+P1440),"")</f>
        <v/>
      </c>
      <c r="R1440" s="61" t="str">
        <f aca="false">IF(IsPro,IF($D1440="","",ROUND(N($E1440)*IFERROR(INDEX(Items!$P$5:$P$504,U1440),0),2)),"")</f>
        <v/>
      </c>
      <c r="S1440" s="61" t="str">
        <f aca="false">IF(IsPro,IF($D1440="","",L1440-R1440),"")</f>
        <v/>
      </c>
      <c r="T1440" s="60" t="str">
        <f aca="false">IF(IsPro,IF($D1440="","",IF(U1440="","UNKNOWN ITEM",IF(INDEX(Items!$O$5:$O$504,U1440)&lt;0,"NEG STOCK",IF(K1440&lt;INDEX(Items!$P$5:$P$504,U1440),"BELOW COST","OK")))),IF($D1440="","","PRO PLAN"))</f>
        <v/>
      </c>
      <c r="U1440" s="60" t="str">
        <f aca="false">IF(IsPro,IF($D1440="","",IFERROR(MATCH($D1440,Items!$A$5:$A$504,0),"")),"")</f>
        <v/>
      </c>
      <c r="V1440" s="60" t="str">
        <f aca="false">IF(IsPro,IF($C1440="","",IFERROR(MATCH($C1440,Parties!$A$5:$A$304,0),"")),"")</f>
        <v/>
      </c>
      <c r="W1440" s="60" t="str">
        <f aca="false">IF(IsPro,IF($B1440="","",IFERROR(VALUE(SUBSTITUTE($B1440,InvPrefix,"")),0)),"")</f>
        <v/>
      </c>
      <c r="X1440" s="61" t="str">
        <f aca="false">IF(IsPro,IF($D1440="","",IF(OR($H1440="",$H1440="Credit"),0,Q1440)),"")</f>
        <v/>
      </c>
    </row>
    <row r="1441" customFormat="false" ht="15" hidden="false" customHeight="false" outlineLevel="0" collapsed="false">
      <c r="A1441" s="55"/>
      <c r="B1441" s="56"/>
      <c r="C1441" s="56"/>
      <c r="D1441" s="56"/>
      <c r="E1441" s="57"/>
      <c r="F1441" s="58"/>
      <c r="G1441" s="59"/>
      <c r="H1441" s="56"/>
      <c r="I1441" s="56"/>
      <c r="J1441" s="60" t="str">
        <f aca="false">IF(IsPro,IF($D1441="","",IFERROR(INDEX(Items!$D$5:$D$504,U1441),"")),"")</f>
        <v/>
      </c>
      <c r="K1441" s="61" t="str">
        <f aca="false">IF(IsPro,IF($D1441="","",IF($F1441="",IFERROR(INDEX(Items!$H$5:$H$504,U1441),0),$F1441)),"")</f>
        <v/>
      </c>
      <c r="L1441" s="61" t="str">
        <f aca="false">IF(IsPro,IF($D1441="","",ROUND(N($E1441)*K1441*(1-N($G1441)),2)),"")</f>
        <v/>
      </c>
      <c r="M1441" s="62" t="str">
        <f aca="false">IF(IsPro,IF($D1441="","",IFERROR(INDEX(Items!$F$5:$F$504,U1441),0)),"")</f>
        <v/>
      </c>
      <c r="N1441" s="61" t="str">
        <f aca="false">IF(IsPro,IF($D1441="","",IF(AND(V1441&lt;&gt;"",INDEX(Parties!$E$5:$E$304,V1441)&lt;&gt;"",INDEX(Parties!$E$5:$E$304,V1441)&lt;&gt;HomeState),0,ROUND(L1441*M1441/2,2))),"")</f>
        <v/>
      </c>
      <c r="O1441" s="61" t="str">
        <f aca="false">IF(IsPro,IF($D1441="","",N1441),"")</f>
        <v/>
      </c>
      <c r="P1441" s="61" t="str">
        <f aca="false">IF(IsPro,IF($D1441="","",IF(AND(V1441&lt;&gt;"",INDEX(Parties!$E$5:$E$304,V1441)&lt;&gt;"",INDEX(Parties!$E$5:$E$304,V1441)&lt;&gt;HomeState),ROUND(L1441*M1441,2),0)),"")</f>
        <v/>
      </c>
      <c r="Q1441" s="61" t="str">
        <f aca="false">IF(IsPro,IF($D1441="","",L1441+N1441+O1441+P1441),"")</f>
        <v/>
      </c>
      <c r="R1441" s="61" t="str">
        <f aca="false">IF(IsPro,IF($D1441="","",ROUND(N($E1441)*IFERROR(INDEX(Items!$P$5:$P$504,U1441),0),2)),"")</f>
        <v/>
      </c>
      <c r="S1441" s="61" t="str">
        <f aca="false">IF(IsPro,IF($D1441="","",L1441-R1441),"")</f>
        <v/>
      </c>
      <c r="T1441" s="60" t="str">
        <f aca="false">IF(IsPro,IF($D1441="","",IF(U1441="","UNKNOWN ITEM",IF(INDEX(Items!$O$5:$O$504,U1441)&lt;0,"NEG STOCK",IF(K1441&lt;INDEX(Items!$P$5:$P$504,U1441),"BELOW COST","OK")))),IF($D1441="","","PRO PLAN"))</f>
        <v/>
      </c>
      <c r="U1441" s="60" t="str">
        <f aca="false">IF(IsPro,IF($D1441="","",IFERROR(MATCH($D1441,Items!$A$5:$A$504,0),"")),"")</f>
        <v/>
      </c>
      <c r="V1441" s="60" t="str">
        <f aca="false">IF(IsPro,IF($C1441="","",IFERROR(MATCH($C1441,Parties!$A$5:$A$304,0),"")),"")</f>
        <v/>
      </c>
      <c r="W1441" s="60" t="str">
        <f aca="false">IF(IsPro,IF($B1441="","",IFERROR(VALUE(SUBSTITUTE($B1441,InvPrefix,"")),0)),"")</f>
        <v/>
      </c>
      <c r="X1441" s="61" t="str">
        <f aca="false">IF(IsPro,IF($D1441="","",IF(OR($H1441="",$H1441="Credit"),0,Q1441)),"")</f>
        <v/>
      </c>
    </row>
    <row r="1442" customFormat="false" ht="15" hidden="false" customHeight="false" outlineLevel="0" collapsed="false">
      <c r="A1442" s="55"/>
      <c r="B1442" s="56"/>
      <c r="C1442" s="56"/>
      <c r="D1442" s="56"/>
      <c r="E1442" s="57"/>
      <c r="F1442" s="58"/>
      <c r="G1442" s="59"/>
      <c r="H1442" s="56"/>
      <c r="I1442" s="56"/>
      <c r="J1442" s="60" t="str">
        <f aca="false">IF(IsPro,IF($D1442="","",IFERROR(INDEX(Items!$D$5:$D$504,U1442),"")),"")</f>
        <v/>
      </c>
      <c r="K1442" s="61" t="str">
        <f aca="false">IF(IsPro,IF($D1442="","",IF($F1442="",IFERROR(INDEX(Items!$H$5:$H$504,U1442),0),$F1442)),"")</f>
        <v/>
      </c>
      <c r="L1442" s="61" t="str">
        <f aca="false">IF(IsPro,IF($D1442="","",ROUND(N($E1442)*K1442*(1-N($G1442)),2)),"")</f>
        <v/>
      </c>
      <c r="M1442" s="62" t="str">
        <f aca="false">IF(IsPro,IF($D1442="","",IFERROR(INDEX(Items!$F$5:$F$504,U1442),0)),"")</f>
        <v/>
      </c>
      <c r="N1442" s="61" t="str">
        <f aca="false">IF(IsPro,IF($D1442="","",IF(AND(V1442&lt;&gt;"",INDEX(Parties!$E$5:$E$304,V1442)&lt;&gt;"",INDEX(Parties!$E$5:$E$304,V1442)&lt;&gt;HomeState),0,ROUND(L1442*M1442/2,2))),"")</f>
        <v/>
      </c>
      <c r="O1442" s="61" t="str">
        <f aca="false">IF(IsPro,IF($D1442="","",N1442),"")</f>
        <v/>
      </c>
      <c r="P1442" s="61" t="str">
        <f aca="false">IF(IsPro,IF($D1442="","",IF(AND(V1442&lt;&gt;"",INDEX(Parties!$E$5:$E$304,V1442)&lt;&gt;"",INDEX(Parties!$E$5:$E$304,V1442)&lt;&gt;HomeState),ROUND(L1442*M1442,2),0)),"")</f>
        <v/>
      </c>
      <c r="Q1442" s="61" t="str">
        <f aca="false">IF(IsPro,IF($D1442="","",L1442+N1442+O1442+P1442),"")</f>
        <v/>
      </c>
      <c r="R1442" s="61" t="str">
        <f aca="false">IF(IsPro,IF($D1442="","",ROUND(N($E1442)*IFERROR(INDEX(Items!$P$5:$P$504,U1442),0),2)),"")</f>
        <v/>
      </c>
      <c r="S1442" s="61" t="str">
        <f aca="false">IF(IsPro,IF($D1442="","",L1442-R1442),"")</f>
        <v/>
      </c>
      <c r="T1442" s="60" t="str">
        <f aca="false">IF(IsPro,IF($D1442="","",IF(U1442="","UNKNOWN ITEM",IF(INDEX(Items!$O$5:$O$504,U1442)&lt;0,"NEG STOCK",IF(K1442&lt;INDEX(Items!$P$5:$P$504,U1442),"BELOW COST","OK")))),IF($D1442="","","PRO PLAN"))</f>
        <v/>
      </c>
      <c r="U1442" s="60" t="str">
        <f aca="false">IF(IsPro,IF($D1442="","",IFERROR(MATCH($D1442,Items!$A$5:$A$504,0),"")),"")</f>
        <v/>
      </c>
      <c r="V1442" s="60" t="str">
        <f aca="false">IF(IsPro,IF($C1442="","",IFERROR(MATCH($C1442,Parties!$A$5:$A$304,0),"")),"")</f>
        <v/>
      </c>
      <c r="W1442" s="60" t="str">
        <f aca="false">IF(IsPro,IF($B1442="","",IFERROR(VALUE(SUBSTITUTE($B1442,InvPrefix,"")),0)),"")</f>
        <v/>
      </c>
      <c r="X1442" s="61" t="str">
        <f aca="false">IF(IsPro,IF($D1442="","",IF(OR($H1442="",$H1442="Credit"),0,Q1442)),"")</f>
        <v/>
      </c>
    </row>
    <row r="1443" customFormat="false" ht="15" hidden="false" customHeight="false" outlineLevel="0" collapsed="false">
      <c r="A1443" s="55"/>
      <c r="B1443" s="56"/>
      <c r="C1443" s="56"/>
      <c r="D1443" s="56"/>
      <c r="E1443" s="57"/>
      <c r="F1443" s="58"/>
      <c r="G1443" s="59"/>
      <c r="H1443" s="56"/>
      <c r="I1443" s="56"/>
      <c r="J1443" s="60" t="str">
        <f aca="false">IF(IsPro,IF($D1443="","",IFERROR(INDEX(Items!$D$5:$D$504,U1443),"")),"")</f>
        <v/>
      </c>
      <c r="K1443" s="61" t="str">
        <f aca="false">IF(IsPro,IF($D1443="","",IF($F1443="",IFERROR(INDEX(Items!$H$5:$H$504,U1443),0),$F1443)),"")</f>
        <v/>
      </c>
      <c r="L1443" s="61" t="str">
        <f aca="false">IF(IsPro,IF($D1443="","",ROUND(N($E1443)*K1443*(1-N($G1443)),2)),"")</f>
        <v/>
      </c>
      <c r="M1443" s="62" t="str">
        <f aca="false">IF(IsPro,IF($D1443="","",IFERROR(INDEX(Items!$F$5:$F$504,U1443),0)),"")</f>
        <v/>
      </c>
      <c r="N1443" s="61" t="str">
        <f aca="false">IF(IsPro,IF($D1443="","",IF(AND(V1443&lt;&gt;"",INDEX(Parties!$E$5:$E$304,V1443)&lt;&gt;"",INDEX(Parties!$E$5:$E$304,V1443)&lt;&gt;HomeState),0,ROUND(L1443*M1443/2,2))),"")</f>
        <v/>
      </c>
      <c r="O1443" s="61" t="str">
        <f aca="false">IF(IsPro,IF($D1443="","",N1443),"")</f>
        <v/>
      </c>
      <c r="P1443" s="61" t="str">
        <f aca="false">IF(IsPro,IF($D1443="","",IF(AND(V1443&lt;&gt;"",INDEX(Parties!$E$5:$E$304,V1443)&lt;&gt;"",INDEX(Parties!$E$5:$E$304,V1443)&lt;&gt;HomeState),ROUND(L1443*M1443,2),0)),"")</f>
        <v/>
      </c>
      <c r="Q1443" s="61" t="str">
        <f aca="false">IF(IsPro,IF($D1443="","",L1443+N1443+O1443+P1443),"")</f>
        <v/>
      </c>
      <c r="R1443" s="61" t="str">
        <f aca="false">IF(IsPro,IF($D1443="","",ROUND(N($E1443)*IFERROR(INDEX(Items!$P$5:$P$504,U1443),0),2)),"")</f>
        <v/>
      </c>
      <c r="S1443" s="61" t="str">
        <f aca="false">IF(IsPro,IF($D1443="","",L1443-R1443),"")</f>
        <v/>
      </c>
      <c r="T1443" s="60" t="str">
        <f aca="false">IF(IsPro,IF($D1443="","",IF(U1443="","UNKNOWN ITEM",IF(INDEX(Items!$O$5:$O$504,U1443)&lt;0,"NEG STOCK",IF(K1443&lt;INDEX(Items!$P$5:$P$504,U1443),"BELOW COST","OK")))),IF($D1443="","","PRO PLAN"))</f>
        <v/>
      </c>
      <c r="U1443" s="60" t="str">
        <f aca="false">IF(IsPro,IF($D1443="","",IFERROR(MATCH($D1443,Items!$A$5:$A$504,0),"")),"")</f>
        <v/>
      </c>
      <c r="V1443" s="60" t="str">
        <f aca="false">IF(IsPro,IF($C1443="","",IFERROR(MATCH($C1443,Parties!$A$5:$A$304,0),"")),"")</f>
        <v/>
      </c>
      <c r="W1443" s="60" t="str">
        <f aca="false">IF(IsPro,IF($B1443="","",IFERROR(VALUE(SUBSTITUTE($B1443,InvPrefix,"")),0)),"")</f>
        <v/>
      </c>
      <c r="X1443" s="61" t="str">
        <f aca="false">IF(IsPro,IF($D1443="","",IF(OR($H1443="",$H1443="Credit"),0,Q1443)),"")</f>
        <v/>
      </c>
    </row>
    <row r="1444" customFormat="false" ht="15" hidden="false" customHeight="false" outlineLevel="0" collapsed="false">
      <c r="A1444" s="55"/>
      <c r="B1444" s="56"/>
      <c r="C1444" s="56"/>
      <c r="D1444" s="56"/>
      <c r="E1444" s="57"/>
      <c r="F1444" s="58"/>
      <c r="G1444" s="59"/>
      <c r="H1444" s="56"/>
      <c r="I1444" s="56"/>
      <c r="J1444" s="60" t="str">
        <f aca="false">IF(IsPro,IF($D1444="","",IFERROR(INDEX(Items!$D$5:$D$504,U1444),"")),"")</f>
        <v/>
      </c>
      <c r="K1444" s="61" t="str">
        <f aca="false">IF(IsPro,IF($D1444="","",IF($F1444="",IFERROR(INDEX(Items!$H$5:$H$504,U1444),0),$F1444)),"")</f>
        <v/>
      </c>
      <c r="L1444" s="61" t="str">
        <f aca="false">IF(IsPro,IF($D1444="","",ROUND(N($E1444)*K1444*(1-N($G1444)),2)),"")</f>
        <v/>
      </c>
      <c r="M1444" s="62" t="str">
        <f aca="false">IF(IsPro,IF($D1444="","",IFERROR(INDEX(Items!$F$5:$F$504,U1444),0)),"")</f>
        <v/>
      </c>
      <c r="N1444" s="61" t="str">
        <f aca="false">IF(IsPro,IF($D1444="","",IF(AND(V1444&lt;&gt;"",INDEX(Parties!$E$5:$E$304,V1444)&lt;&gt;"",INDEX(Parties!$E$5:$E$304,V1444)&lt;&gt;HomeState),0,ROUND(L1444*M1444/2,2))),"")</f>
        <v/>
      </c>
      <c r="O1444" s="61" t="str">
        <f aca="false">IF(IsPro,IF($D1444="","",N1444),"")</f>
        <v/>
      </c>
      <c r="P1444" s="61" t="str">
        <f aca="false">IF(IsPro,IF($D1444="","",IF(AND(V1444&lt;&gt;"",INDEX(Parties!$E$5:$E$304,V1444)&lt;&gt;"",INDEX(Parties!$E$5:$E$304,V1444)&lt;&gt;HomeState),ROUND(L1444*M1444,2),0)),"")</f>
        <v/>
      </c>
      <c r="Q1444" s="61" t="str">
        <f aca="false">IF(IsPro,IF($D1444="","",L1444+N1444+O1444+P1444),"")</f>
        <v/>
      </c>
      <c r="R1444" s="61" t="str">
        <f aca="false">IF(IsPro,IF($D1444="","",ROUND(N($E1444)*IFERROR(INDEX(Items!$P$5:$P$504,U1444),0),2)),"")</f>
        <v/>
      </c>
      <c r="S1444" s="61" t="str">
        <f aca="false">IF(IsPro,IF($D1444="","",L1444-R1444),"")</f>
        <v/>
      </c>
      <c r="T1444" s="60" t="str">
        <f aca="false">IF(IsPro,IF($D1444="","",IF(U1444="","UNKNOWN ITEM",IF(INDEX(Items!$O$5:$O$504,U1444)&lt;0,"NEG STOCK",IF(K1444&lt;INDEX(Items!$P$5:$P$504,U1444),"BELOW COST","OK")))),IF($D1444="","","PRO PLAN"))</f>
        <v/>
      </c>
      <c r="U1444" s="60" t="str">
        <f aca="false">IF(IsPro,IF($D1444="","",IFERROR(MATCH($D1444,Items!$A$5:$A$504,0),"")),"")</f>
        <v/>
      </c>
      <c r="V1444" s="60" t="str">
        <f aca="false">IF(IsPro,IF($C1444="","",IFERROR(MATCH($C1444,Parties!$A$5:$A$304,0),"")),"")</f>
        <v/>
      </c>
      <c r="W1444" s="60" t="str">
        <f aca="false">IF(IsPro,IF($B1444="","",IFERROR(VALUE(SUBSTITUTE($B1444,InvPrefix,"")),0)),"")</f>
        <v/>
      </c>
      <c r="X1444" s="61" t="str">
        <f aca="false">IF(IsPro,IF($D1444="","",IF(OR($H1444="",$H1444="Credit"),0,Q1444)),"")</f>
        <v/>
      </c>
    </row>
    <row r="1445" customFormat="false" ht="15" hidden="false" customHeight="false" outlineLevel="0" collapsed="false">
      <c r="A1445" s="55"/>
      <c r="B1445" s="56"/>
      <c r="C1445" s="56"/>
      <c r="D1445" s="56"/>
      <c r="E1445" s="57"/>
      <c r="F1445" s="58"/>
      <c r="G1445" s="59"/>
      <c r="H1445" s="56"/>
      <c r="I1445" s="56"/>
      <c r="J1445" s="60" t="str">
        <f aca="false">IF(IsPro,IF($D1445="","",IFERROR(INDEX(Items!$D$5:$D$504,U1445),"")),"")</f>
        <v/>
      </c>
      <c r="K1445" s="61" t="str">
        <f aca="false">IF(IsPro,IF($D1445="","",IF($F1445="",IFERROR(INDEX(Items!$H$5:$H$504,U1445),0),$F1445)),"")</f>
        <v/>
      </c>
      <c r="L1445" s="61" t="str">
        <f aca="false">IF(IsPro,IF($D1445="","",ROUND(N($E1445)*K1445*(1-N($G1445)),2)),"")</f>
        <v/>
      </c>
      <c r="M1445" s="62" t="str">
        <f aca="false">IF(IsPro,IF($D1445="","",IFERROR(INDEX(Items!$F$5:$F$504,U1445),0)),"")</f>
        <v/>
      </c>
      <c r="N1445" s="61" t="str">
        <f aca="false">IF(IsPro,IF($D1445="","",IF(AND(V1445&lt;&gt;"",INDEX(Parties!$E$5:$E$304,V1445)&lt;&gt;"",INDEX(Parties!$E$5:$E$304,V1445)&lt;&gt;HomeState),0,ROUND(L1445*M1445/2,2))),"")</f>
        <v/>
      </c>
      <c r="O1445" s="61" t="str">
        <f aca="false">IF(IsPro,IF($D1445="","",N1445),"")</f>
        <v/>
      </c>
      <c r="P1445" s="61" t="str">
        <f aca="false">IF(IsPro,IF($D1445="","",IF(AND(V1445&lt;&gt;"",INDEX(Parties!$E$5:$E$304,V1445)&lt;&gt;"",INDEX(Parties!$E$5:$E$304,V1445)&lt;&gt;HomeState),ROUND(L1445*M1445,2),0)),"")</f>
        <v/>
      </c>
      <c r="Q1445" s="61" t="str">
        <f aca="false">IF(IsPro,IF($D1445="","",L1445+N1445+O1445+P1445),"")</f>
        <v/>
      </c>
      <c r="R1445" s="61" t="str">
        <f aca="false">IF(IsPro,IF($D1445="","",ROUND(N($E1445)*IFERROR(INDEX(Items!$P$5:$P$504,U1445),0),2)),"")</f>
        <v/>
      </c>
      <c r="S1445" s="61" t="str">
        <f aca="false">IF(IsPro,IF($D1445="","",L1445-R1445),"")</f>
        <v/>
      </c>
      <c r="T1445" s="60" t="str">
        <f aca="false">IF(IsPro,IF($D1445="","",IF(U1445="","UNKNOWN ITEM",IF(INDEX(Items!$O$5:$O$504,U1445)&lt;0,"NEG STOCK",IF(K1445&lt;INDEX(Items!$P$5:$P$504,U1445),"BELOW COST","OK")))),IF($D1445="","","PRO PLAN"))</f>
        <v/>
      </c>
      <c r="U1445" s="60" t="str">
        <f aca="false">IF(IsPro,IF($D1445="","",IFERROR(MATCH($D1445,Items!$A$5:$A$504,0),"")),"")</f>
        <v/>
      </c>
      <c r="V1445" s="60" t="str">
        <f aca="false">IF(IsPro,IF($C1445="","",IFERROR(MATCH($C1445,Parties!$A$5:$A$304,0),"")),"")</f>
        <v/>
      </c>
      <c r="W1445" s="60" t="str">
        <f aca="false">IF(IsPro,IF($B1445="","",IFERROR(VALUE(SUBSTITUTE($B1445,InvPrefix,"")),0)),"")</f>
        <v/>
      </c>
      <c r="X1445" s="61" t="str">
        <f aca="false">IF(IsPro,IF($D1445="","",IF(OR($H1445="",$H1445="Credit"),0,Q1445)),"")</f>
        <v/>
      </c>
    </row>
    <row r="1446" customFormat="false" ht="15" hidden="false" customHeight="false" outlineLevel="0" collapsed="false">
      <c r="A1446" s="55"/>
      <c r="B1446" s="56"/>
      <c r="C1446" s="56"/>
      <c r="D1446" s="56"/>
      <c r="E1446" s="57"/>
      <c r="F1446" s="58"/>
      <c r="G1446" s="59"/>
      <c r="H1446" s="56"/>
      <c r="I1446" s="56"/>
      <c r="J1446" s="60" t="str">
        <f aca="false">IF(IsPro,IF($D1446="","",IFERROR(INDEX(Items!$D$5:$D$504,U1446),"")),"")</f>
        <v/>
      </c>
      <c r="K1446" s="61" t="str">
        <f aca="false">IF(IsPro,IF($D1446="","",IF($F1446="",IFERROR(INDEX(Items!$H$5:$H$504,U1446),0),$F1446)),"")</f>
        <v/>
      </c>
      <c r="L1446" s="61" t="str">
        <f aca="false">IF(IsPro,IF($D1446="","",ROUND(N($E1446)*K1446*(1-N($G1446)),2)),"")</f>
        <v/>
      </c>
      <c r="M1446" s="62" t="str">
        <f aca="false">IF(IsPro,IF($D1446="","",IFERROR(INDEX(Items!$F$5:$F$504,U1446),0)),"")</f>
        <v/>
      </c>
      <c r="N1446" s="61" t="str">
        <f aca="false">IF(IsPro,IF($D1446="","",IF(AND(V1446&lt;&gt;"",INDEX(Parties!$E$5:$E$304,V1446)&lt;&gt;"",INDEX(Parties!$E$5:$E$304,V1446)&lt;&gt;HomeState),0,ROUND(L1446*M1446/2,2))),"")</f>
        <v/>
      </c>
      <c r="O1446" s="61" t="str">
        <f aca="false">IF(IsPro,IF($D1446="","",N1446),"")</f>
        <v/>
      </c>
      <c r="P1446" s="61" t="str">
        <f aca="false">IF(IsPro,IF($D1446="","",IF(AND(V1446&lt;&gt;"",INDEX(Parties!$E$5:$E$304,V1446)&lt;&gt;"",INDEX(Parties!$E$5:$E$304,V1446)&lt;&gt;HomeState),ROUND(L1446*M1446,2),0)),"")</f>
        <v/>
      </c>
      <c r="Q1446" s="61" t="str">
        <f aca="false">IF(IsPro,IF($D1446="","",L1446+N1446+O1446+P1446),"")</f>
        <v/>
      </c>
      <c r="R1446" s="61" t="str">
        <f aca="false">IF(IsPro,IF($D1446="","",ROUND(N($E1446)*IFERROR(INDEX(Items!$P$5:$P$504,U1446),0),2)),"")</f>
        <v/>
      </c>
      <c r="S1446" s="61" t="str">
        <f aca="false">IF(IsPro,IF($D1446="","",L1446-R1446),"")</f>
        <v/>
      </c>
      <c r="T1446" s="60" t="str">
        <f aca="false">IF(IsPro,IF($D1446="","",IF(U1446="","UNKNOWN ITEM",IF(INDEX(Items!$O$5:$O$504,U1446)&lt;0,"NEG STOCK",IF(K1446&lt;INDEX(Items!$P$5:$P$504,U1446),"BELOW COST","OK")))),IF($D1446="","","PRO PLAN"))</f>
        <v/>
      </c>
      <c r="U1446" s="60" t="str">
        <f aca="false">IF(IsPro,IF($D1446="","",IFERROR(MATCH($D1446,Items!$A$5:$A$504,0),"")),"")</f>
        <v/>
      </c>
      <c r="V1446" s="60" t="str">
        <f aca="false">IF(IsPro,IF($C1446="","",IFERROR(MATCH($C1446,Parties!$A$5:$A$304,0),"")),"")</f>
        <v/>
      </c>
      <c r="W1446" s="60" t="str">
        <f aca="false">IF(IsPro,IF($B1446="","",IFERROR(VALUE(SUBSTITUTE($B1446,InvPrefix,"")),0)),"")</f>
        <v/>
      </c>
      <c r="X1446" s="61" t="str">
        <f aca="false">IF(IsPro,IF($D1446="","",IF(OR($H1446="",$H1446="Credit"),0,Q1446)),"")</f>
        <v/>
      </c>
    </row>
    <row r="1447" customFormat="false" ht="15" hidden="false" customHeight="false" outlineLevel="0" collapsed="false">
      <c r="A1447" s="55"/>
      <c r="B1447" s="56"/>
      <c r="C1447" s="56"/>
      <c r="D1447" s="56"/>
      <c r="E1447" s="57"/>
      <c r="F1447" s="58"/>
      <c r="G1447" s="59"/>
      <c r="H1447" s="56"/>
      <c r="I1447" s="56"/>
      <c r="J1447" s="60" t="str">
        <f aca="false">IF(IsPro,IF($D1447="","",IFERROR(INDEX(Items!$D$5:$D$504,U1447),"")),"")</f>
        <v/>
      </c>
      <c r="K1447" s="61" t="str">
        <f aca="false">IF(IsPro,IF($D1447="","",IF($F1447="",IFERROR(INDEX(Items!$H$5:$H$504,U1447),0),$F1447)),"")</f>
        <v/>
      </c>
      <c r="L1447" s="61" t="str">
        <f aca="false">IF(IsPro,IF($D1447="","",ROUND(N($E1447)*K1447*(1-N($G1447)),2)),"")</f>
        <v/>
      </c>
      <c r="M1447" s="62" t="str">
        <f aca="false">IF(IsPro,IF($D1447="","",IFERROR(INDEX(Items!$F$5:$F$504,U1447),0)),"")</f>
        <v/>
      </c>
      <c r="N1447" s="61" t="str">
        <f aca="false">IF(IsPro,IF($D1447="","",IF(AND(V1447&lt;&gt;"",INDEX(Parties!$E$5:$E$304,V1447)&lt;&gt;"",INDEX(Parties!$E$5:$E$304,V1447)&lt;&gt;HomeState),0,ROUND(L1447*M1447/2,2))),"")</f>
        <v/>
      </c>
      <c r="O1447" s="61" t="str">
        <f aca="false">IF(IsPro,IF($D1447="","",N1447),"")</f>
        <v/>
      </c>
      <c r="P1447" s="61" t="str">
        <f aca="false">IF(IsPro,IF($D1447="","",IF(AND(V1447&lt;&gt;"",INDEX(Parties!$E$5:$E$304,V1447)&lt;&gt;"",INDEX(Parties!$E$5:$E$304,V1447)&lt;&gt;HomeState),ROUND(L1447*M1447,2),0)),"")</f>
        <v/>
      </c>
      <c r="Q1447" s="61" t="str">
        <f aca="false">IF(IsPro,IF($D1447="","",L1447+N1447+O1447+P1447),"")</f>
        <v/>
      </c>
      <c r="R1447" s="61" t="str">
        <f aca="false">IF(IsPro,IF($D1447="","",ROUND(N($E1447)*IFERROR(INDEX(Items!$P$5:$P$504,U1447),0),2)),"")</f>
        <v/>
      </c>
      <c r="S1447" s="61" t="str">
        <f aca="false">IF(IsPro,IF($D1447="","",L1447-R1447),"")</f>
        <v/>
      </c>
      <c r="T1447" s="60" t="str">
        <f aca="false">IF(IsPro,IF($D1447="","",IF(U1447="","UNKNOWN ITEM",IF(INDEX(Items!$O$5:$O$504,U1447)&lt;0,"NEG STOCK",IF(K1447&lt;INDEX(Items!$P$5:$P$504,U1447),"BELOW COST","OK")))),IF($D1447="","","PRO PLAN"))</f>
        <v/>
      </c>
      <c r="U1447" s="60" t="str">
        <f aca="false">IF(IsPro,IF($D1447="","",IFERROR(MATCH($D1447,Items!$A$5:$A$504,0),"")),"")</f>
        <v/>
      </c>
      <c r="V1447" s="60" t="str">
        <f aca="false">IF(IsPro,IF($C1447="","",IFERROR(MATCH($C1447,Parties!$A$5:$A$304,0),"")),"")</f>
        <v/>
      </c>
      <c r="W1447" s="60" t="str">
        <f aca="false">IF(IsPro,IF($B1447="","",IFERROR(VALUE(SUBSTITUTE($B1447,InvPrefix,"")),0)),"")</f>
        <v/>
      </c>
      <c r="X1447" s="61" t="str">
        <f aca="false">IF(IsPro,IF($D1447="","",IF(OR($H1447="",$H1447="Credit"),0,Q1447)),"")</f>
        <v/>
      </c>
    </row>
    <row r="1448" customFormat="false" ht="15" hidden="false" customHeight="false" outlineLevel="0" collapsed="false">
      <c r="A1448" s="55"/>
      <c r="B1448" s="56"/>
      <c r="C1448" s="56"/>
      <c r="D1448" s="56"/>
      <c r="E1448" s="57"/>
      <c r="F1448" s="58"/>
      <c r="G1448" s="59"/>
      <c r="H1448" s="56"/>
      <c r="I1448" s="56"/>
      <c r="J1448" s="60" t="str">
        <f aca="false">IF(IsPro,IF($D1448="","",IFERROR(INDEX(Items!$D$5:$D$504,U1448),"")),"")</f>
        <v/>
      </c>
      <c r="K1448" s="61" t="str">
        <f aca="false">IF(IsPro,IF($D1448="","",IF($F1448="",IFERROR(INDEX(Items!$H$5:$H$504,U1448),0),$F1448)),"")</f>
        <v/>
      </c>
      <c r="L1448" s="61" t="str">
        <f aca="false">IF(IsPro,IF($D1448="","",ROUND(N($E1448)*K1448*(1-N($G1448)),2)),"")</f>
        <v/>
      </c>
      <c r="M1448" s="62" t="str">
        <f aca="false">IF(IsPro,IF($D1448="","",IFERROR(INDEX(Items!$F$5:$F$504,U1448),0)),"")</f>
        <v/>
      </c>
      <c r="N1448" s="61" t="str">
        <f aca="false">IF(IsPro,IF($D1448="","",IF(AND(V1448&lt;&gt;"",INDEX(Parties!$E$5:$E$304,V1448)&lt;&gt;"",INDEX(Parties!$E$5:$E$304,V1448)&lt;&gt;HomeState),0,ROUND(L1448*M1448/2,2))),"")</f>
        <v/>
      </c>
      <c r="O1448" s="61" t="str">
        <f aca="false">IF(IsPro,IF($D1448="","",N1448),"")</f>
        <v/>
      </c>
      <c r="P1448" s="61" t="str">
        <f aca="false">IF(IsPro,IF($D1448="","",IF(AND(V1448&lt;&gt;"",INDEX(Parties!$E$5:$E$304,V1448)&lt;&gt;"",INDEX(Parties!$E$5:$E$304,V1448)&lt;&gt;HomeState),ROUND(L1448*M1448,2),0)),"")</f>
        <v/>
      </c>
      <c r="Q1448" s="61" t="str">
        <f aca="false">IF(IsPro,IF($D1448="","",L1448+N1448+O1448+P1448),"")</f>
        <v/>
      </c>
      <c r="R1448" s="61" t="str">
        <f aca="false">IF(IsPro,IF($D1448="","",ROUND(N($E1448)*IFERROR(INDEX(Items!$P$5:$P$504,U1448),0),2)),"")</f>
        <v/>
      </c>
      <c r="S1448" s="61" t="str">
        <f aca="false">IF(IsPro,IF($D1448="","",L1448-R1448),"")</f>
        <v/>
      </c>
      <c r="T1448" s="60" t="str">
        <f aca="false">IF(IsPro,IF($D1448="","",IF(U1448="","UNKNOWN ITEM",IF(INDEX(Items!$O$5:$O$504,U1448)&lt;0,"NEG STOCK",IF(K1448&lt;INDEX(Items!$P$5:$P$504,U1448),"BELOW COST","OK")))),IF($D1448="","","PRO PLAN"))</f>
        <v/>
      </c>
      <c r="U1448" s="60" t="str">
        <f aca="false">IF(IsPro,IF($D1448="","",IFERROR(MATCH($D1448,Items!$A$5:$A$504,0),"")),"")</f>
        <v/>
      </c>
      <c r="V1448" s="60" t="str">
        <f aca="false">IF(IsPro,IF($C1448="","",IFERROR(MATCH($C1448,Parties!$A$5:$A$304,0),"")),"")</f>
        <v/>
      </c>
      <c r="W1448" s="60" t="str">
        <f aca="false">IF(IsPro,IF($B1448="","",IFERROR(VALUE(SUBSTITUTE($B1448,InvPrefix,"")),0)),"")</f>
        <v/>
      </c>
      <c r="X1448" s="61" t="str">
        <f aca="false">IF(IsPro,IF($D1448="","",IF(OR($H1448="",$H1448="Credit"),0,Q1448)),"")</f>
        <v/>
      </c>
    </row>
    <row r="1449" customFormat="false" ht="15" hidden="false" customHeight="false" outlineLevel="0" collapsed="false">
      <c r="A1449" s="55"/>
      <c r="B1449" s="56"/>
      <c r="C1449" s="56"/>
      <c r="D1449" s="56"/>
      <c r="E1449" s="57"/>
      <c r="F1449" s="58"/>
      <c r="G1449" s="59"/>
      <c r="H1449" s="56"/>
      <c r="I1449" s="56"/>
      <c r="J1449" s="60" t="str">
        <f aca="false">IF(IsPro,IF($D1449="","",IFERROR(INDEX(Items!$D$5:$D$504,U1449),"")),"")</f>
        <v/>
      </c>
      <c r="K1449" s="61" t="str">
        <f aca="false">IF(IsPro,IF($D1449="","",IF($F1449="",IFERROR(INDEX(Items!$H$5:$H$504,U1449),0),$F1449)),"")</f>
        <v/>
      </c>
      <c r="L1449" s="61" t="str">
        <f aca="false">IF(IsPro,IF($D1449="","",ROUND(N($E1449)*K1449*(1-N($G1449)),2)),"")</f>
        <v/>
      </c>
      <c r="M1449" s="62" t="str">
        <f aca="false">IF(IsPro,IF($D1449="","",IFERROR(INDEX(Items!$F$5:$F$504,U1449),0)),"")</f>
        <v/>
      </c>
      <c r="N1449" s="61" t="str">
        <f aca="false">IF(IsPro,IF($D1449="","",IF(AND(V1449&lt;&gt;"",INDEX(Parties!$E$5:$E$304,V1449)&lt;&gt;"",INDEX(Parties!$E$5:$E$304,V1449)&lt;&gt;HomeState),0,ROUND(L1449*M1449/2,2))),"")</f>
        <v/>
      </c>
      <c r="O1449" s="61" t="str">
        <f aca="false">IF(IsPro,IF($D1449="","",N1449),"")</f>
        <v/>
      </c>
      <c r="P1449" s="61" t="str">
        <f aca="false">IF(IsPro,IF($D1449="","",IF(AND(V1449&lt;&gt;"",INDEX(Parties!$E$5:$E$304,V1449)&lt;&gt;"",INDEX(Parties!$E$5:$E$304,V1449)&lt;&gt;HomeState),ROUND(L1449*M1449,2),0)),"")</f>
        <v/>
      </c>
      <c r="Q1449" s="61" t="str">
        <f aca="false">IF(IsPro,IF($D1449="","",L1449+N1449+O1449+P1449),"")</f>
        <v/>
      </c>
      <c r="R1449" s="61" t="str">
        <f aca="false">IF(IsPro,IF($D1449="","",ROUND(N($E1449)*IFERROR(INDEX(Items!$P$5:$P$504,U1449),0),2)),"")</f>
        <v/>
      </c>
      <c r="S1449" s="61" t="str">
        <f aca="false">IF(IsPro,IF($D1449="","",L1449-R1449),"")</f>
        <v/>
      </c>
      <c r="T1449" s="60" t="str">
        <f aca="false">IF(IsPro,IF($D1449="","",IF(U1449="","UNKNOWN ITEM",IF(INDEX(Items!$O$5:$O$504,U1449)&lt;0,"NEG STOCK",IF(K1449&lt;INDEX(Items!$P$5:$P$504,U1449),"BELOW COST","OK")))),IF($D1449="","","PRO PLAN"))</f>
        <v/>
      </c>
      <c r="U1449" s="60" t="str">
        <f aca="false">IF(IsPro,IF($D1449="","",IFERROR(MATCH($D1449,Items!$A$5:$A$504,0),"")),"")</f>
        <v/>
      </c>
      <c r="V1449" s="60" t="str">
        <f aca="false">IF(IsPro,IF($C1449="","",IFERROR(MATCH($C1449,Parties!$A$5:$A$304,0),"")),"")</f>
        <v/>
      </c>
      <c r="W1449" s="60" t="str">
        <f aca="false">IF(IsPro,IF($B1449="","",IFERROR(VALUE(SUBSTITUTE($B1449,InvPrefix,"")),0)),"")</f>
        <v/>
      </c>
      <c r="X1449" s="61" t="str">
        <f aca="false">IF(IsPro,IF($D1449="","",IF(OR($H1449="",$H1449="Credit"),0,Q1449)),"")</f>
        <v/>
      </c>
    </row>
    <row r="1450" customFormat="false" ht="15" hidden="false" customHeight="false" outlineLevel="0" collapsed="false">
      <c r="A1450" s="55"/>
      <c r="B1450" s="56"/>
      <c r="C1450" s="56"/>
      <c r="D1450" s="56"/>
      <c r="E1450" s="57"/>
      <c r="F1450" s="58"/>
      <c r="G1450" s="59"/>
      <c r="H1450" s="56"/>
      <c r="I1450" s="56"/>
      <c r="J1450" s="60" t="str">
        <f aca="false">IF(IsPro,IF($D1450="","",IFERROR(INDEX(Items!$D$5:$D$504,U1450),"")),"")</f>
        <v/>
      </c>
      <c r="K1450" s="61" t="str">
        <f aca="false">IF(IsPro,IF($D1450="","",IF($F1450="",IFERROR(INDEX(Items!$H$5:$H$504,U1450),0),$F1450)),"")</f>
        <v/>
      </c>
      <c r="L1450" s="61" t="str">
        <f aca="false">IF(IsPro,IF($D1450="","",ROUND(N($E1450)*K1450*(1-N($G1450)),2)),"")</f>
        <v/>
      </c>
      <c r="M1450" s="62" t="str">
        <f aca="false">IF(IsPro,IF($D1450="","",IFERROR(INDEX(Items!$F$5:$F$504,U1450),0)),"")</f>
        <v/>
      </c>
      <c r="N1450" s="61" t="str">
        <f aca="false">IF(IsPro,IF($D1450="","",IF(AND(V1450&lt;&gt;"",INDEX(Parties!$E$5:$E$304,V1450)&lt;&gt;"",INDEX(Parties!$E$5:$E$304,V1450)&lt;&gt;HomeState),0,ROUND(L1450*M1450/2,2))),"")</f>
        <v/>
      </c>
      <c r="O1450" s="61" t="str">
        <f aca="false">IF(IsPro,IF($D1450="","",N1450),"")</f>
        <v/>
      </c>
      <c r="P1450" s="61" t="str">
        <f aca="false">IF(IsPro,IF($D1450="","",IF(AND(V1450&lt;&gt;"",INDEX(Parties!$E$5:$E$304,V1450)&lt;&gt;"",INDEX(Parties!$E$5:$E$304,V1450)&lt;&gt;HomeState),ROUND(L1450*M1450,2),0)),"")</f>
        <v/>
      </c>
      <c r="Q1450" s="61" t="str">
        <f aca="false">IF(IsPro,IF($D1450="","",L1450+N1450+O1450+P1450),"")</f>
        <v/>
      </c>
      <c r="R1450" s="61" t="str">
        <f aca="false">IF(IsPro,IF($D1450="","",ROUND(N($E1450)*IFERROR(INDEX(Items!$P$5:$P$504,U1450),0),2)),"")</f>
        <v/>
      </c>
      <c r="S1450" s="61" t="str">
        <f aca="false">IF(IsPro,IF($D1450="","",L1450-R1450),"")</f>
        <v/>
      </c>
      <c r="T1450" s="60" t="str">
        <f aca="false">IF(IsPro,IF($D1450="","",IF(U1450="","UNKNOWN ITEM",IF(INDEX(Items!$O$5:$O$504,U1450)&lt;0,"NEG STOCK",IF(K1450&lt;INDEX(Items!$P$5:$P$504,U1450),"BELOW COST","OK")))),IF($D1450="","","PRO PLAN"))</f>
        <v/>
      </c>
      <c r="U1450" s="60" t="str">
        <f aca="false">IF(IsPro,IF($D1450="","",IFERROR(MATCH($D1450,Items!$A$5:$A$504,0),"")),"")</f>
        <v/>
      </c>
      <c r="V1450" s="60" t="str">
        <f aca="false">IF(IsPro,IF($C1450="","",IFERROR(MATCH($C1450,Parties!$A$5:$A$304,0),"")),"")</f>
        <v/>
      </c>
      <c r="W1450" s="60" t="str">
        <f aca="false">IF(IsPro,IF($B1450="","",IFERROR(VALUE(SUBSTITUTE($B1450,InvPrefix,"")),0)),"")</f>
        <v/>
      </c>
      <c r="X1450" s="61" t="str">
        <f aca="false">IF(IsPro,IF($D1450="","",IF(OR($H1450="",$H1450="Credit"),0,Q1450)),"")</f>
        <v/>
      </c>
    </row>
    <row r="1451" customFormat="false" ht="15" hidden="false" customHeight="false" outlineLevel="0" collapsed="false">
      <c r="A1451" s="55"/>
      <c r="B1451" s="56"/>
      <c r="C1451" s="56"/>
      <c r="D1451" s="56"/>
      <c r="E1451" s="57"/>
      <c r="F1451" s="58"/>
      <c r="G1451" s="59"/>
      <c r="H1451" s="56"/>
      <c r="I1451" s="56"/>
      <c r="J1451" s="60" t="str">
        <f aca="false">IF(IsPro,IF($D1451="","",IFERROR(INDEX(Items!$D$5:$D$504,U1451),"")),"")</f>
        <v/>
      </c>
      <c r="K1451" s="61" t="str">
        <f aca="false">IF(IsPro,IF($D1451="","",IF($F1451="",IFERROR(INDEX(Items!$H$5:$H$504,U1451),0),$F1451)),"")</f>
        <v/>
      </c>
      <c r="L1451" s="61" t="str">
        <f aca="false">IF(IsPro,IF($D1451="","",ROUND(N($E1451)*K1451*(1-N($G1451)),2)),"")</f>
        <v/>
      </c>
      <c r="M1451" s="62" t="str">
        <f aca="false">IF(IsPro,IF($D1451="","",IFERROR(INDEX(Items!$F$5:$F$504,U1451),0)),"")</f>
        <v/>
      </c>
      <c r="N1451" s="61" t="str">
        <f aca="false">IF(IsPro,IF($D1451="","",IF(AND(V1451&lt;&gt;"",INDEX(Parties!$E$5:$E$304,V1451)&lt;&gt;"",INDEX(Parties!$E$5:$E$304,V1451)&lt;&gt;HomeState),0,ROUND(L1451*M1451/2,2))),"")</f>
        <v/>
      </c>
      <c r="O1451" s="61" t="str">
        <f aca="false">IF(IsPro,IF($D1451="","",N1451),"")</f>
        <v/>
      </c>
      <c r="P1451" s="61" t="str">
        <f aca="false">IF(IsPro,IF($D1451="","",IF(AND(V1451&lt;&gt;"",INDEX(Parties!$E$5:$E$304,V1451)&lt;&gt;"",INDEX(Parties!$E$5:$E$304,V1451)&lt;&gt;HomeState),ROUND(L1451*M1451,2),0)),"")</f>
        <v/>
      </c>
      <c r="Q1451" s="61" t="str">
        <f aca="false">IF(IsPro,IF($D1451="","",L1451+N1451+O1451+P1451),"")</f>
        <v/>
      </c>
      <c r="R1451" s="61" t="str">
        <f aca="false">IF(IsPro,IF($D1451="","",ROUND(N($E1451)*IFERROR(INDEX(Items!$P$5:$P$504,U1451),0),2)),"")</f>
        <v/>
      </c>
      <c r="S1451" s="61" t="str">
        <f aca="false">IF(IsPro,IF($D1451="","",L1451-R1451),"")</f>
        <v/>
      </c>
      <c r="T1451" s="60" t="str">
        <f aca="false">IF(IsPro,IF($D1451="","",IF(U1451="","UNKNOWN ITEM",IF(INDEX(Items!$O$5:$O$504,U1451)&lt;0,"NEG STOCK",IF(K1451&lt;INDEX(Items!$P$5:$P$504,U1451),"BELOW COST","OK")))),IF($D1451="","","PRO PLAN"))</f>
        <v/>
      </c>
      <c r="U1451" s="60" t="str">
        <f aca="false">IF(IsPro,IF($D1451="","",IFERROR(MATCH($D1451,Items!$A$5:$A$504,0),"")),"")</f>
        <v/>
      </c>
      <c r="V1451" s="60" t="str">
        <f aca="false">IF(IsPro,IF($C1451="","",IFERROR(MATCH($C1451,Parties!$A$5:$A$304,0),"")),"")</f>
        <v/>
      </c>
      <c r="W1451" s="60" t="str">
        <f aca="false">IF(IsPro,IF($B1451="","",IFERROR(VALUE(SUBSTITUTE($B1451,InvPrefix,"")),0)),"")</f>
        <v/>
      </c>
      <c r="X1451" s="61" t="str">
        <f aca="false">IF(IsPro,IF($D1451="","",IF(OR($H1451="",$H1451="Credit"),0,Q1451)),"")</f>
        <v/>
      </c>
    </row>
    <row r="1452" customFormat="false" ht="15" hidden="false" customHeight="false" outlineLevel="0" collapsed="false">
      <c r="A1452" s="55"/>
      <c r="B1452" s="56"/>
      <c r="C1452" s="56"/>
      <c r="D1452" s="56"/>
      <c r="E1452" s="57"/>
      <c r="F1452" s="58"/>
      <c r="G1452" s="59"/>
      <c r="H1452" s="56"/>
      <c r="I1452" s="56"/>
      <c r="J1452" s="60" t="str">
        <f aca="false">IF(IsPro,IF($D1452="","",IFERROR(INDEX(Items!$D$5:$D$504,U1452),"")),"")</f>
        <v/>
      </c>
      <c r="K1452" s="61" t="str">
        <f aca="false">IF(IsPro,IF($D1452="","",IF($F1452="",IFERROR(INDEX(Items!$H$5:$H$504,U1452),0),$F1452)),"")</f>
        <v/>
      </c>
      <c r="L1452" s="61" t="str">
        <f aca="false">IF(IsPro,IF($D1452="","",ROUND(N($E1452)*K1452*(1-N($G1452)),2)),"")</f>
        <v/>
      </c>
      <c r="M1452" s="62" t="str">
        <f aca="false">IF(IsPro,IF($D1452="","",IFERROR(INDEX(Items!$F$5:$F$504,U1452),0)),"")</f>
        <v/>
      </c>
      <c r="N1452" s="61" t="str">
        <f aca="false">IF(IsPro,IF($D1452="","",IF(AND(V1452&lt;&gt;"",INDEX(Parties!$E$5:$E$304,V1452)&lt;&gt;"",INDEX(Parties!$E$5:$E$304,V1452)&lt;&gt;HomeState),0,ROUND(L1452*M1452/2,2))),"")</f>
        <v/>
      </c>
      <c r="O1452" s="61" t="str">
        <f aca="false">IF(IsPro,IF($D1452="","",N1452),"")</f>
        <v/>
      </c>
      <c r="P1452" s="61" t="str">
        <f aca="false">IF(IsPro,IF($D1452="","",IF(AND(V1452&lt;&gt;"",INDEX(Parties!$E$5:$E$304,V1452)&lt;&gt;"",INDEX(Parties!$E$5:$E$304,V1452)&lt;&gt;HomeState),ROUND(L1452*M1452,2),0)),"")</f>
        <v/>
      </c>
      <c r="Q1452" s="61" t="str">
        <f aca="false">IF(IsPro,IF($D1452="","",L1452+N1452+O1452+P1452),"")</f>
        <v/>
      </c>
      <c r="R1452" s="61" t="str">
        <f aca="false">IF(IsPro,IF($D1452="","",ROUND(N($E1452)*IFERROR(INDEX(Items!$P$5:$P$504,U1452),0),2)),"")</f>
        <v/>
      </c>
      <c r="S1452" s="61" t="str">
        <f aca="false">IF(IsPro,IF($D1452="","",L1452-R1452),"")</f>
        <v/>
      </c>
      <c r="T1452" s="60" t="str">
        <f aca="false">IF(IsPro,IF($D1452="","",IF(U1452="","UNKNOWN ITEM",IF(INDEX(Items!$O$5:$O$504,U1452)&lt;0,"NEG STOCK",IF(K1452&lt;INDEX(Items!$P$5:$P$504,U1452),"BELOW COST","OK")))),IF($D1452="","","PRO PLAN"))</f>
        <v/>
      </c>
      <c r="U1452" s="60" t="str">
        <f aca="false">IF(IsPro,IF($D1452="","",IFERROR(MATCH($D1452,Items!$A$5:$A$504,0),"")),"")</f>
        <v/>
      </c>
      <c r="V1452" s="60" t="str">
        <f aca="false">IF(IsPro,IF($C1452="","",IFERROR(MATCH($C1452,Parties!$A$5:$A$304,0),"")),"")</f>
        <v/>
      </c>
      <c r="W1452" s="60" t="str">
        <f aca="false">IF(IsPro,IF($B1452="","",IFERROR(VALUE(SUBSTITUTE($B1452,InvPrefix,"")),0)),"")</f>
        <v/>
      </c>
      <c r="X1452" s="61" t="str">
        <f aca="false">IF(IsPro,IF($D1452="","",IF(OR($H1452="",$H1452="Credit"),0,Q1452)),"")</f>
        <v/>
      </c>
    </row>
    <row r="1453" customFormat="false" ht="15" hidden="false" customHeight="false" outlineLevel="0" collapsed="false">
      <c r="A1453" s="55"/>
      <c r="B1453" s="56"/>
      <c r="C1453" s="56"/>
      <c r="D1453" s="56"/>
      <c r="E1453" s="57"/>
      <c r="F1453" s="58"/>
      <c r="G1453" s="59"/>
      <c r="H1453" s="56"/>
      <c r="I1453" s="56"/>
      <c r="J1453" s="60" t="str">
        <f aca="false">IF(IsPro,IF($D1453="","",IFERROR(INDEX(Items!$D$5:$D$504,U1453),"")),"")</f>
        <v/>
      </c>
      <c r="K1453" s="61" t="str">
        <f aca="false">IF(IsPro,IF($D1453="","",IF($F1453="",IFERROR(INDEX(Items!$H$5:$H$504,U1453),0),$F1453)),"")</f>
        <v/>
      </c>
      <c r="L1453" s="61" t="str">
        <f aca="false">IF(IsPro,IF($D1453="","",ROUND(N($E1453)*K1453*(1-N($G1453)),2)),"")</f>
        <v/>
      </c>
      <c r="M1453" s="62" t="str">
        <f aca="false">IF(IsPro,IF($D1453="","",IFERROR(INDEX(Items!$F$5:$F$504,U1453),0)),"")</f>
        <v/>
      </c>
      <c r="N1453" s="61" t="str">
        <f aca="false">IF(IsPro,IF($D1453="","",IF(AND(V1453&lt;&gt;"",INDEX(Parties!$E$5:$E$304,V1453)&lt;&gt;"",INDEX(Parties!$E$5:$E$304,V1453)&lt;&gt;HomeState),0,ROUND(L1453*M1453/2,2))),"")</f>
        <v/>
      </c>
      <c r="O1453" s="61" t="str">
        <f aca="false">IF(IsPro,IF($D1453="","",N1453),"")</f>
        <v/>
      </c>
      <c r="P1453" s="61" t="str">
        <f aca="false">IF(IsPro,IF($D1453="","",IF(AND(V1453&lt;&gt;"",INDEX(Parties!$E$5:$E$304,V1453)&lt;&gt;"",INDEX(Parties!$E$5:$E$304,V1453)&lt;&gt;HomeState),ROUND(L1453*M1453,2),0)),"")</f>
        <v/>
      </c>
      <c r="Q1453" s="61" t="str">
        <f aca="false">IF(IsPro,IF($D1453="","",L1453+N1453+O1453+P1453),"")</f>
        <v/>
      </c>
      <c r="R1453" s="61" t="str">
        <f aca="false">IF(IsPro,IF($D1453="","",ROUND(N($E1453)*IFERROR(INDEX(Items!$P$5:$P$504,U1453),0),2)),"")</f>
        <v/>
      </c>
      <c r="S1453" s="61" t="str">
        <f aca="false">IF(IsPro,IF($D1453="","",L1453-R1453),"")</f>
        <v/>
      </c>
      <c r="T1453" s="60" t="str">
        <f aca="false">IF(IsPro,IF($D1453="","",IF(U1453="","UNKNOWN ITEM",IF(INDEX(Items!$O$5:$O$504,U1453)&lt;0,"NEG STOCK",IF(K1453&lt;INDEX(Items!$P$5:$P$504,U1453),"BELOW COST","OK")))),IF($D1453="","","PRO PLAN"))</f>
        <v/>
      </c>
      <c r="U1453" s="60" t="str">
        <f aca="false">IF(IsPro,IF($D1453="","",IFERROR(MATCH($D1453,Items!$A$5:$A$504,0),"")),"")</f>
        <v/>
      </c>
      <c r="V1453" s="60" t="str">
        <f aca="false">IF(IsPro,IF($C1453="","",IFERROR(MATCH($C1453,Parties!$A$5:$A$304,0),"")),"")</f>
        <v/>
      </c>
      <c r="W1453" s="60" t="str">
        <f aca="false">IF(IsPro,IF($B1453="","",IFERROR(VALUE(SUBSTITUTE($B1453,InvPrefix,"")),0)),"")</f>
        <v/>
      </c>
      <c r="X1453" s="61" t="str">
        <f aca="false">IF(IsPro,IF($D1453="","",IF(OR($H1453="",$H1453="Credit"),0,Q1453)),"")</f>
        <v/>
      </c>
    </row>
    <row r="1454" customFormat="false" ht="15" hidden="false" customHeight="false" outlineLevel="0" collapsed="false">
      <c r="A1454" s="55"/>
      <c r="B1454" s="56"/>
      <c r="C1454" s="56"/>
      <c r="D1454" s="56"/>
      <c r="E1454" s="57"/>
      <c r="F1454" s="58"/>
      <c r="G1454" s="59"/>
      <c r="H1454" s="56"/>
      <c r="I1454" s="56"/>
      <c r="J1454" s="60" t="str">
        <f aca="false">IF(IsPro,IF($D1454="","",IFERROR(INDEX(Items!$D$5:$D$504,U1454),"")),"")</f>
        <v/>
      </c>
      <c r="K1454" s="61" t="str">
        <f aca="false">IF(IsPro,IF($D1454="","",IF($F1454="",IFERROR(INDEX(Items!$H$5:$H$504,U1454),0),$F1454)),"")</f>
        <v/>
      </c>
      <c r="L1454" s="61" t="str">
        <f aca="false">IF(IsPro,IF($D1454="","",ROUND(N($E1454)*K1454*(1-N($G1454)),2)),"")</f>
        <v/>
      </c>
      <c r="M1454" s="62" t="str">
        <f aca="false">IF(IsPro,IF($D1454="","",IFERROR(INDEX(Items!$F$5:$F$504,U1454),0)),"")</f>
        <v/>
      </c>
      <c r="N1454" s="61" t="str">
        <f aca="false">IF(IsPro,IF($D1454="","",IF(AND(V1454&lt;&gt;"",INDEX(Parties!$E$5:$E$304,V1454)&lt;&gt;"",INDEX(Parties!$E$5:$E$304,V1454)&lt;&gt;HomeState),0,ROUND(L1454*M1454/2,2))),"")</f>
        <v/>
      </c>
      <c r="O1454" s="61" t="str">
        <f aca="false">IF(IsPro,IF($D1454="","",N1454),"")</f>
        <v/>
      </c>
      <c r="P1454" s="61" t="str">
        <f aca="false">IF(IsPro,IF($D1454="","",IF(AND(V1454&lt;&gt;"",INDEX(Parties!$E$5:$E$304,V1454)&lt;&gt;"",INDEX(Parties!$E$5:$E$304,V1454)&lt;&gt;HomeState),ROUND(L1454*M1454,2),0)),"")</f>
        <v/>
      </c>
      <c r="Q1454" s="61" t="str">
        <f aca="false">IF(IsPro,IF($D1454="","",L1454+N1454+O1454+P1454),"")</f>
        <v/>
      </c>
      <c r="R1454" s="61" t="str">
        <f aca="false">IF(IsPro,IF($D1454="","",ROUND(N($E1454)*IFERROR(INDEX(Items!$P$5:$P$504,U1454),0),2)),"")</f>
        <v/>
      </c>
      <c r="S1454" s="61" t="str">
        <f aca="false">IF(IsPro,IF($D1454="","",L1454-R1454),"")</f>
        <v/>
      </c>
      <c r="T1454" s="60" t="str">
        <f aca="false">IF(IsPro,IF($D1454="","",IF(U1454="","UNKNOWN ITEM",IF(INDEX(Items!$O$5:$O$504,U1454)&lt;0,"NEG STOCK",IF(K1454&lt;INDEX(Items!$P$5:$P$504,U1454),"BELOW COST","OK")))),IF($D1454="","","PRO PLAN"))</f>
        <v/>
      </c>
      <c r="U1454" s="60" t="str">
        <f aca="false">IF(IsPro,IF($D1454="","",IFERROR(MATCH($D1454,Items!$A$5:$A$504,0),"")),"")</f>
        <v/>
      </c>
      <c r="V1454" s="60" t="str">
        <f aca="false">IF(IsPro,IF($C1454="","",IFERROR(MATCH($C1454,Parties!$A$5:$A$304,0),"")),"")</f>
        <v/>
      </c>
      <c r="W1454" s="60" t="str">
        <f aca="false">IF(IsPro,IF($B1454="","",IFERROR(VALUE(SUBSTITUTE($B1454,InvPrefix,"")),0)),"")</f>
        <v/>
      </c>
      <c r="X1454" s="61" t="str">
        <f aca="false">IF(IsPro,IF($D1454="","",IF(OR($H1454="",$H1454="Credit"),0,Q1454)),"")</f>
        <v/>
      </c>
    </row>
    <row r="1455" customFormat="false" ht="15" hidden="false" customHeight="false" outlineLevel="0" collapsed="false">
      <c r="A1455" s="55"/>
      <c r="B1455" s="56"/>
      <c r="C1455" s="56"/>
      <c r="D1455" s="56"/>
      <c r="E1455" s="57"/>
      <c r="F1455" s="58"/>
      <c r="G1455" s="59"/>
      <c r="H1455" s="56"/>
      <c r="I1455" s="56"/>
      <c r="J1455" s="60" t="str">
        <f aca="false">IF(IsPro,IF($D1455="","",IFERROR(INDEX(Items!$D$5:$D$504,U1455),"")),"")</f>
        <v/>
      </c>
      <c r="K1455" s="61" t="str">
        <f aca="false">IF(IsPro,IF($D1455="","",IF($F1455="",IFERROR(INDEX(Items!$H$5:$H$504,U1455),0),$F1455)),"")</f>
        <v/>
      </c>
      <c r="L1455" s="61" t="str">
        <f aca="false">IF(IsPro,IF($D1455="","",ROUND(N($E1455)*K1455*(1-N($G1455)),2)),"")</f>
        <v/>
      </c>
      <c r="M1455" s="62" t="str">
        <f aca="false">IF(IsPro,IF($D1455="","",IFERROR(INDEX(Items!$F$5:$F$504,U1455),0)),"")</f>
        <v/>
      </c>
      <c r="N1455" s="61" t="str">
        <f aca="false">IF(IsPro,IF($D1455="","",IF(AND(V1455&lt;&gt;"",INDEX(Parties!$E$5:$E$304,V1455)&lt;&gt;"",INDEX(Parties!$E$5:$E$304,V1455)&lt;&gt;HomeState),0,ROUND(L1455*M1455/2,2))),"")</f>
        <v/>
      </c>
      <c r="O1455" s="61" t="str">
        <f aca="false">IF(IsPro,IF($D1455="","",N1455),"")</f>
        <v/>
      </c>
      <c r="P1455" s="61" t="str">
        <f aca="false">IF(IsPro,IF($D1455="","",IF(AND(V1455&lt;&gt;"",INDEX(Parties!$E$5:$E$304,V1455)&lt;&gt;"",INDEX(Parties!$E$5:$E$304,V1455)&lt;&gt;HomeState),ROUND(L1455*M1455,2),0)),"")</f>
        <v/>
      </c>
      <c r="Q1455" s="61" t="str">
        <f aca="false">IF(IsPro,IF($D1455="","",L1455+N1455+O1455+P1455),"")</f>
        <v/>
      </c>
      <c r="R1455" s="61" t="str">
        <f aca="false">IF(IsPro,IF($D1455="","",ROUND(N($E1455)*IFERROR(INDEX(Items!$P$5:$P$504,U1455),0),2)),"")</f>
        <v/>
      </c>
      <c r="S1455" s="61" t="str">
        <f aca="false">IF(IsPro,IF($D1455="","",L1455-R1455),"")</f>
        <v/>
      </c>
      <c r="T1455" s="60" t="str">
        <f aca="false">IF(IsPro,IF($D1455="","",IF(U1455="","UNKNOWN ITEM",IF(INDEX(Items!$O$5:$O$504,U1455)&lt;0,"NEG STOCK",IF(K1455&lt;INDEX(Items!$P$5:$P$504,U1455),"BELOW COST","OK")))),IF($D1455="","","PRO PLAN"))</f>
        <v/>
      </c>
      <c r="U1455" s="60" t="str">
        <f aca="false">IF(IsPro,IF($D1455="","",IFERROR(MATCH($D1455,Items!$A$5:$A$504,0),"")),"")</f>
        <v/>
      </c>
      <c r="V1455" s="60" t="str">
        <f aca="false">IF(IsPro,IF($C1455="","",IFERROR(MATCH($C1455,Parties!$A$5:$A$304,0),"")),"")</f>
        <v/>
      </c>
      <c r="W1455" s="60" t="str">
        <f aca="false">IF(IsPro,IF($B1455="","",IFERROR(VALUE(SUBSTITUTE($B1455,InvPrefix,"")),0)),"")</f>
        <v/>
      </c>
      <c r="X1455" s="61" t="str">
        <f aca="false">IF(IsPro,IF($D1455="","",IF(OR($H1455="",$H1455="Credit"),0,Q1455)),"")</f>
        <v/>
      </c>
    </row>
    <row r="1456" customFormat="false" ht="15" hidden="false" customHeight="false" outlineLevel="0" collapsed="false">
      <c r="A1456" s="55"/>
      <c r="B1456" s="56"/>
      <c r="C1456" s="56"/>
      <c r="D1456" s="56"/>
      <c r="E1456" s="57"/>
      <c r="F1456" s="58"/>
      <c r="G1456" s="59"/>
      <c r="H1456" s="56"/>
      <c r="I1456" s="56"/>
      <c r="J1456" s="60" t="str">
        <f aca="false">IF(IsPro,IF($D1456="","",IFERROR(INDEX(Items!$D$5:$D$504,U1456),"")),"")</f>
        <v/>
      </c>
      <c r="K1456" s="61" t="str">
        <f aca="false">IF(IsPro,IF($D1456="","",IF($F1456="",IFERROR(INDEX(Items!$H$5:$H$504,U1456),0),$F1456)),"")</f>
        <v/>
      </c>
      <c r="L1456" s="61" t="str">
        <f aca="false">IF(IsPro,IF($D1456="","",ROUND(N($E1456)*K1456*(1-N($G1456)),2)),"")</f>
        <v/>
      </c>
      <c r="M1456" s="62" t="str">
        <f aca="false">IF(IsPro,IF($D1456="","",IFERROR(INDEX(Items!$F$5:$F$504,U1456),0)),"")</f>
        <v/>
      </c>
      <c r="N1456" s="61" t="str">
        <f aca="false">IF(IsPro,IF($D1456="","",IF(AND(V1456&lt;&gt;"",INDEX(Parties!$E$5:$E$304,V1456)&lt;&gt;"",INDEX(Parties!$E$5:$E$304,V1456)&lt;&gt;HomeState),0,ROUND(L1456*M1456/2,2))),"")</f>
        <v/>
      </c>
      <c r="O1456" s="61" t="str">
        <f aca="false">IF(IsPro,IF($D1456="","",N1456),"")</f>
        <v/>
      </c>
      <c r="P1456" s="61" t="str">
        <f aca="false">IF(IsPro,IF($D1456="","",IF(AND(V1456&lt;&gt;"",INDEX(Parties!$E$5:$E$304,V1456)&lt;&gt;"",INDEX(Parties!$E$5:$E$304,V1456)&lt;&gt;HomeState),ROUND(L1456*M1456,2),0)),"")</f>
        <v/>
      </c>
      <c r="Q1456" s="61" t="str">
        <f aca="false">IF(IsPro,IF($D1456="","",L1456+N1456+O1456+P1456),"")</f>
        <v/>
      </c>
      <c r="R1456" s="61" t="str">
        <f aca="false">IF(IsPro,IF($D1456="","",ROUND(N($E1456)*IFERROR(INDEX(Items!$P$5:$P$504,U1456),0),2)),"")</f>
        <v/>
      </c>
      <c r="S1456" s="61" t="str">
        <f aca="false">IF(IsPro,IF($D1456="","",L1456-R1456),"")</f>
        <v/>
      </c>
      <c r="T1456" s="60" t="str">
        <f aca="false">IF(IsPro,IF($D1456="","",IF(U1456="","UNKNOWN ITEM",IF(INDEX(Items!$O$5:$O$504,U1456)&lt;0,"NEG STOCK",IF(K1456&lt;INDEX(Items!$P$5:$P$504,U1456),"BELOW COST","OK")))),IF($D1456="","","PRO PLAN"))</f>
        <v/>
      </c>
      <c r="U1456" s="60" t="str">
        <f aca="false">IF(IsPro,IF($D1456="","",IFERROR(MATCH($D1456,Items!$A$5:$A$504,0),"")),"")</f>
        <v/>
      </c>
      <c r="V1456" s="60" t="str">
        <f aca="false">IF(IsPro,IF($C1456="","",IFERROR(MATCH($C1456,Parties!$A$5:$A$304,0),"")),"")</f>
        <v/>
      </c>
      <c r="W1456" s="60" t="str">
        <f aca="false">IF(IsPro,IF($B1456="","",IFERROR(VALUE(SUBSTITUTE($B1456,InvPrefix,"")),0)),"")</f>
        <v/>
      </c>
      <c r="X1456" s="61" t="str">
        <f aca="false">IF(IsPro,IF($D1456="","",IF(OR($H1456="",$H1456="Credit"),0,Q1456)),"")</f>
        <v/>
      </c>
    </row>
    <row r="1457" customFormat="false" ht="15" hidden="false" customHeight="false" outlineLevel="0" collapsed="false">
      <c r="A1457" s="55"/>
      <c r="B1457" s="56"/>
      <c r="C1457" s="56"/>
      <c r="D1457" s="56"/>
      <c r="E1457" s="57"/>
      <c r="F1457" s="58"/>
      <c r="G1457" s="59"/>
      <c r="H1457" s="56"/>
      <c r="I1457" s="56"/>
      <c r="J1457" s="60" t="str">
        <f aca="false">IF(IsPro,IF($D1457="","",IFERROR(INDEX(Items!$D$5:$D$504,U1457),"")),"")</f>
        <v/>
      </c>
      <c r="K1457" s="61" t="str">
        <f aca="false">IF(IsPro,IF($D1457="","",IF($F1457="",IFERROR(INDEX(Items!$H$5:$H$504,U1457),0),$F1457)),"")</f>
        <v/>
      </c>
      <c r="L1457" s="61" t="str">
        <f aca="false">IF(IsPro,IF($D1457="","",ROUND(N($E1457)*K1457*(1-N($G1457)),2)),"")</f>
        <v/>
      </c>
      <c r="M1457" s="62" t="str">
        <f aca="false">IF(IsPro,IF($D1457="","",IFERROR(INDEX(Items!$F$5:$F$504,U1457),0)),"")</f>
        <v/>
      </c>
      <c r="N1457" s="61" t="str">
        <f aca="false">IF(IsPro,IF($D1457="","",IF(AND(V1457&lt;&gt;"",INDEX(Parties!$E$5:$E$304,V1457)&lt;&gt;"",INDEX(Parties!$E$5:$E$304,V1457)&lt;&gt;HomeState),0,ROUND(L1457*M1457/2,2))),"")</f>
        <v/>
      </c>
      <c r="O1457" s="61" t="str">
        <f aca="false">IF(IsPro,IF($D1457="","",N1457),"")</f>
        <v/>
      </c>
      <c r="P1457" s="61" t="str">
        <f aca="false">IF(IsPro,IF($D1457="","",IF(AND(V1457&lt;&gt;"",INDEX(Parties!$E$5:$E$304,V1457)&lt;&gt;"",INDEX(Parties!$E$5:$E$304,V1457)&lt;&gt;HomeState),ROUND(L1457*M1457,2),0)),"")</f>
        <v/>
      </c>
      <c r="Q1457" s="61" t="str">
        <f aca="false">IF(IsPro,IF($D1457="","",L1457+N1457+O1457+P1457),"")</f>
        <v/>
      </c>
      <c r="R1457" s="61" t="str">
        <f aca="false">IF(IsPro,IF($D1457="","",ROUND(N($E1457)*IFERROR(INDEX(Items!$P$5:$P$504,U1457),0),2)),"")</f>
        <v/>
      </c>
      <c r="S1457" s="61" t="str">
        <f aca="false">IF(IsPro,IF($D1457="","",L1457-R1457),"")</f>
        <v/>
      </c>
      <c r="T1457" s="60" t="str">
        <f aca="false">IF(IsPro,IF($D1457="","",IF(U1457="","UNKNOWN ITEM",IF(INDEX(Items!$O$5:$O$504,U1457)&lt;0,"NEG STOCK",IF(K1457&lt;INDEX(Items!$P$5:$P$504,U1457),"BELOW COST","OK")))),IF($D1457="","","PRO PLAN"))</f>
        <v/>
      </c>
      <c r="U1457" s="60" t="str">
        <f aca="false">IF(IsPro,IF($D1457="","",IFERROR(MATCH($D1457,Items!$A$5:$A$504,0),"")),"")</f>
        <v/>
      </c>
      <c r="V1457" s="60" t="str">
        <f aca="false">IF(IsPro,IF($C1457="","",IFERROR(MATCH($C1457,Parties!$A$5:$A$304,0),"")),"")</f>
        <v/>
      </c>
      <c r="W1457" s="60" t="str">
        <f aca="false">IF(IsPro,IF($B1457="","",IFERROR(VALUE(SUBSTITUTE($B1457,InvPrefix,"")),0)),"")</f>
        <v/>
      </c>
      <c r="X1457" s="61" t="str">
        <f aca="false">IF(IsPro,IF($D1457="","",IF(OR($H1457="",$H1457="Credit"),0,Q1457)),"")</f>
        <v/>
      </c>
    </row>
    <row r="1458" customFormat="false" ht="15" hidden="false" customHeight="false" outlineLevel="0" collapsed="false">
      <c r="A1458" s="55"/>
      <c r="B1458" s="56"/>
      <c r="C1458" s="56"/>
      <c r="D1458" s="56"/>
      <c r="E1458" s="57"/>
      <c r="F1458" s="58"/>
      <c r="G1458" s="59"/>
      <c r="H1458" s="56"/>
      <c r="I1458" s="56"/>
      <c r="J1458" s="60" t="str">
        <f aca="false">IF(IsPro,IF($D1458="","",IFERROR(INDEX(Items!$D$5:$D$504,U1458),"")),"")</f>
        <v/>
      </c>
      <c r="K1458" s="61" t="str">
        <f aca="false">IF(IsPro,IF($D1458="","",IF($F1458="",IFERROR(INDEX(Items!$H$5:$H$504,U1458),0),$F1458)),"")</f>
        <v/>
      </c>
      <c r="L1458" s="61" t="str">
        <f aca="false">IF(IsPro,IF($D1458="","",ROUND(N($E1458)*K1458*(1-N($G1458)),2)),"")</f>
        <v/>
      </c>
      <c r="M1458" s="62" t="str">
        <f aca="false">IF(IsPro,IF($D1458="","",IFERROR(INDEX(Items!$F$5:$F$504,U1458),0)),"")</f>
        <v/>
      </c>
      <c r="N1458" s="61" t="str">
        <f aca="false">IF(IsPro,IF($D1458="","",IF(AND(V1458&lt;&gt;"",INDEX(Parties!$E$5:$E$304,V1458)&lt;&gt;"",INDEX(Parties!$E$5:$E$304,V1458)&lt;&gt;HomeState),0,ROUND(L1458*M1458/2,2))),"")</f>
        <v/>
      </c>
      <c r="O1458" s="61" t="str">
        <f aca="false">IF(IsPro,IF($D1458="","",N1458),"")</f>
        <v/>
      </c>
      <c r="P1458" s="61" t="str">
        <f aca="false">IF(IsPro,IF($D1458="","",IF(AND(V1458&lt;&gt;"",INDEX(Parties!$E$5:$E$304,V1458)&lt;&gt;"",INDEX(Parties!$E$5:$E$304,V1458)&lt;&gt;HomeState),ROUND(L1458*M1458,2),0)),"")</f>
        <v/>
      </c>
      <c r="Q1458" s="61" t="str">
        <f aca="false">IF(IsPro,IF($D1458="","",L1458+N1458+O1458+P1458),"")</f>
        <v/>
      </c>
      <c r="R1458" s="61" t="str">
        <f aca="false">IF(IsPro,IF($D1458="","",ROUND(N($E1458)*IFERROR(INDEX(Items!$P$5:$P$504,U1458),0),2)),"")</f>
        <v/>
      </c>
      <c r="S1458" s="61" t="str">
        <f aca="false">IF(IsPro,IF($D1458="","",L1458-R1458),"")</f>
        <v/>
      </c>
      <c r="T1458" s="60" t="str">
        <f aca="false">IF(IsPro,IF($D1458="","",IF(U1458="","UNKNOWN ITEM",IF(INDEX(Items!$O$5:$O$504,U1458)&lt;0,"NEG STOCK",IF(K1458&lt;INDEX(Items!$P$5:$P$504,U1458),"BELOW COST","OK")))),IF($D1458="","","PRO PLAN"))</f>
        <v/>
      </c>
      <c r="U1458" s="60" t="str">
        <f aca="false">IF(IsPro,IF($D1458="","",IFERROR(MATCH($D1458,Items!$A$5:$A$504,0),"")),"")</f>
        <v/>
      </c>
      <c r="V1458" s="60" t="str">
        <f aca="false">IF(IsPro,IF($C1458="","",IFERROR(MATCH($C1458,Parties!$A$5:$A$304,0),"")),"")</f>
        <v/>
      </c>
      <c r="W1458" s="60" t="str">
        <f aca="false">IF(IsPro,IF($B1458="","",IFERROR(VALUE(SUBSTITUTE($B1458,InvPrefix,"")),0)),"")</f>
        <v/>
      </c>
      <c r="X1458" s="61" t="str">
        <f aca="false">IF(IsPro,IF($D1458="","",IF(OR($H1458="",$H1458="Credit"),0,Q1458)),"")</f>
        <v/>
      </c>
    </row>
    <row r="1459" customFormat="false" ht="15" hidden="false" customHeight="false" outlineLevel="0" collapsed="false">
      <c r="A1459" s="55"/>
      <c r="B1459" s="56"/>
      <c r="C1459" s="56"/>
      <c r="D1459" s="56"/>
      <c r="E1459" s="57"/>
      <c r="F1459" s="58"/>
      <c r="G1459" s="59"/>
      <c r="H1459" s="56"/>
      <c r="I1459" s="56"/>
      <c r="J1459" s="60" t="str">
        <f aca="false">IF(IsPro,IF($D1459="","",IFERROR(INDEX(Items!$D$5:$D$504,U1459),"")),"")</f>
        <v/>
      </c>
      <c r="K1459" s="61" t="str">
        <f aca="false">IF(IsPro,IF($D1459="","",IF($F1459="",IFERROR(INDEX(Items!$H$5:$H$504,U1459),0),$F1459)),"")</f>
        <v/>
      </c>
      <c r="L1459" s="61" t="str">
        <f aca="false">IF(IsPro,IF($D1459="","",ROUND(N($E1459)*K1459*(1-N($G1459)),2)),"")</f>
        <v/>
      </c>
      <c r="M1459" s="62" t="str">
        <f aca="false">IF(IsPro,IF($D1459="","",IFERROR(INDEX(Items!$F$5:$F$504,U1459),0)),"")</f>
        <v/>
      </c>
      <c r="N1459" s="61" t="str">
        <f aca="false">IF(IsPro,IF($D1459="","",IF(AND(V1459&lt;&gt;"",INDEX(Parties!$E$5:$E$304,V1459)&lt;&gt;"",INDEX(Parties!$E$5:$E$304,V1459)&lt;&gt;HomeState),0,ROUND(L1459*M1459/2,2))),"")</f>
        <v/>
      </c>
      <c r="O1459" s="61" t="str">
        <f aca="false">IF(IsPro,IF($D1459="","",N1459),"")</f>
        <v/>
      </c>
      <c r="P1459" s="61" t="str">
        <f aca="false">IF(IsPro,IF($D1459="","",IF(AND(V1459&lt;&gt;"",INDEX(Parties!$E$5:$E$304,V1459)&lt;&gt;"",INDEX(Parties!$E$5:$E$304,V1459)&lt;&gt;HomeState),ROUND(L1459*M1459,2),0)),"")</f>
        <v/>
      </c>
      <c r="Q1459" s="61" t="str">
        <f aca="false">IF(IsPro,IF($D1459="","",L1459+N1459+O1459+P1459),"")</f>
        <v/>
      </c>
      <c r="R1459" s="61" t="str">
        <f aca="false">IF(IsPro,IF($D1459="","",ROUND(N($E1459)*IFERROR(INDEX(Items!$P$5:$P$504,U1459),0),2)),"")</f>
        <v/>
      </c>
      <c r="S1459" s="61" t="str">
        <f aca="false">IF(IsPro,IF($D1459="","",L1459-R1459),"")</f>
        <v/>
      </c>
      <c r="T1459" s="60" t="str">
        <f aca="false">IF(IsPro,IF($D1459="","",IF(U1459="","UNKNOWN ITEM",IF(INDEX(Items!$O$5:$O$504,U1459)&lt;0,"NEG STOCK",IF(K1459&lt;INDEX(Items!$P$5:$P$504,U1459),"BELOW COST","OK")))),IF($D1459="","","PRO PLAN"))</f>
        <v/>
      </c>
      <c r="U1459" s="60" t="str">
        <f aca="false">IF(IsPro,IF($D1459="","",IFERROR(MATCH($D1459,Items!$A$5:$A$504,0),"")),"")</f>
        <v/>
      </c>
      <c r="V1459" s="60" t="str">
        <f aca="false">IF(IsPro,IF($C1459="","",IFERROR(MATCH($C1459,Parties!$A$5:$A$304,0),"")),"")</f>
        <v/>
      </c>
      <c r="W1459" s="60" t="str">
        <f aca="false">IF(IsPro,IF($B1459="","",IFERROR(VALUE(SUBSTITUTE($B1459,InvPrefix,"")),0)),"")</f>
        <v/>
      </c>
      <c r="X1459" s="61" t="str">
        <f aca="false">IF(IsPro,IF($D1459="","",IF(OR($H1459="",$H1459="Credit"),0,Q1459)),"")</f>
        <v/>
      </c>
    </row>
    <row r="1460" customFormat="false" ht="15" hidden="false" customHeight="false" outlineLevel="0" collapsed="false">
      <c r="A1460" s="55"/>
      <c r="B1460" s="56"/>
      <c r="C1460" s="56"/>
      <c r="D1460" s="56"/>
      <c r="E1460" s="57"/>
      <c r="F1460" s="58"/>
      <c r="G1460" s="59"/>
      <c r="H1460" s="56"/>
      <c r="I1460" s="56"/>
      <c r="J1460" s="60" t="str">
        <f aca="false">IF(IsPro,IF($D1460="","",IFERROR(INDEX(Items!$D$5:$D$504,U1460),"")),"")</f>
        <v/>
      </c>
      <c r="K1460" s="61" t="str">
        <f aca="false">IF(IsPro,IF($D1460="","",IF($F1460="",IFERROR(INDEX(Items!$H$5:$H$504,U1460),0),$F1460)),"")</f>
        <v/>
      </c>
      <c r="L1460" s="61" t="str">
        <f aca="false">IF(IsPro,IF($D1460="","",ROUND(N($E1460)*K1460*(1-N($G1460)),2)),"")</f>
        <v/>
      </c>
      <c r="M1460" s="62" t="str">
        <f aca="false">IF(IsPro,IF($D1460="","",IFERROR(INDEX(Items!$F$5:$F$504,U1460),0)),"")</f>
        <v/>
      </c>
      <c r="N1460" s="61" t="str">
        <f aca="false">IF(IsPro,IF($D1460="","",IF(AND(V1460&lt;&gt;"",INDEX(Parties!$E$5:$E$304,V1460)&lt;&gt;"",INDEX(Parties!$E$5:$E$304,V1460)&lt;&gt;HomeState),0,ROUND(L1460*M1460/2,2))),"")</f>
        <v/>
      </c>
      <c r="O1460" s="61" t="str">
        <f aca="false">IF(IsPro,IF($D1460="","",N1460),"")</f>
        <v/>
      </c>
      <c r="P1460" s="61" t="str">
        <f aca="false">IF(IsPro,IF($D1460="","",IF(AND(V1460&lt;&gt;"",INDEX(Parties!$E$5:$E$304,V1460)&lt;&gt;"",INDEX(Parties!$E$5:$E$304,V1460)&lt;&gt;HomeState),ROUND(L1460*M1460,2),0)),"")</f>
        <v/>
      </c>
      <c r="Q1460" s="61" t="str">
        <f aca="false">IF(IsPro,IF($D1460="","",L1460+N1460+O1460+P1460),"")</f>
        <v/>
      </c>
      <c r="R1460" s="61" t="str">
        <f aca="false">IF(IsPro,IF($D1460="","",ROUND(N($E1460)*IFERROR(INDEX(Items!$P$5:$P$504,U1460),0),2)),"")</f>
        <v/>
      </c>
      <c r="S1460" s="61" t="str">
        <f aca="false">IF(IsPro,IF($D1460="","",L1460-R1460),"")</f>
        <v/>
      </c>
      <c r="T1460" s="60" t="str">
        <f aca="false">IF(IsPro,IF($D1460="","",IF(U1460="","UNKNOWN ITEM",IF(INDEX(Items!$O$5:$O$504,U1460)&lt;0,"NEG STOCK",IF(K1460&lt;INDEX(Items!$P$5:$P$504,U1460),"BELOW COST","OK")))),IF($D1460="","","PRO PLAN"))</f>
        <v/>
      </c>
      <c r="U1460" s="60" t="str">
        <f aca="false">IF(IsPro,IF($D1460="","",IFERROR(MATCH($D1460,Items!$A$5:$A$504,0),"")),"")</f>
        <v/>
      </c>
      <c r="V1460" s="60" t="str">
        <f aca="false">IF(IsPro,IF($C1460="","",IFERROR(MATCH($C1460,Parties!$A$5:$A$304,0),"")),"")</f>
        <v/>
      </c>
      <c r="W1460" s="60" t="str">
        <f aca="false">IF(IsPro,IF($B1460="","",IFERROR(VALUE(SUBSTITUTE($B1460,InvPrefix,"")),0)),"")</f>
        <v/>
      </c>
      <c r="X1460" s="61" t="str">
        <f aca="false">IF(IsPro,IF($D1460="","",IF(OR($H1460="",$H1460="Credit"),0,Q1460)),"")</f>
        <v/>
      </c>
    </row>
    <row r="1461" customFormat="false" ht="15" hidden="false" customHeight="false" outlineLevel="0" collapsed="false">
      <c r="A1461" s="55"/>
      <c r="B1461" s="56"/>
      <c r="C1461" s="56"/>
      <c r="D1461" s="56"/>
      <c r="E1461" s="57"/>
      <c r="F1461" s="58"/>
      <c r="G1461" s="59"/>
      <c r="H1461" s="56"/>
      <c r="I1461" s="56"/>
      <c r="J1461" s="60" t="str">
        <f aca="false">IF(IsPro,IF($D1461="","",IFERROR(INDEX(Items!$D$5:$D$504,U1461),"")),"")</f>
        <v/>
      </c>
      <c r="K1461" s="61" t="str">
        <f aca="false">IF(IsPro,IF($D1461="","",IF($F1461="",IFERROR(INDEX(Items!$H$5:$H$504,U1461),0),$F1461)),"")</f>
        <v/>
      </c>
      <c r="L1461" s="61" t="str">
        <f aca="false">IF(IsPro,IF($D1461="","",ROUND(N($E1461)*K1461*(1-N($G1461)),2)),"")</f>
        <v/>
      </c>
      <c r="M1461" s="62" t="str">
        <f aca="false">IF(IsPro,IF($D1461="","",IFERROR(INDEX(Items!$F$5:$F$504,U1461),0)),"")</f>
        <v/>
      </c>
      <c r="N1461" s="61" t="str">
        <f aca="false">IF(IsPro,IF($D1461="","",IF(AND(V1461&lt;&gt;"",INDEX(Parties!$E$5:$E$304,V1461)&lt;&gt;"",INDEX(Parties!$E$5:$E$304,V1461)&lt;&gt;HomeState),0,ROUND(L1461*M1461/2,2))),"")</f>
        <v/>
      </c>
      <c r="O1461" s="61" t="str">
        <f aca="false">IF(IsPro,IF($D1461="","",N1461),"")</f>
        <v/>
      </c>
      <c r="P1461" s="61" t="str">
        <f aca="false">IF(IsPro,IF($D1461="","",IF(AND(V1461&lt;&gt;"",INDEX(Parties!$E$5:$E$304,V1461)&lt;&gt;"",INDEX(Parties!$E$5:$E$304,V1461)&lt;&gt;HomeState),ROUND(L1461*M1461,2),0)),"")</f>
        <v/>
      </c>
      <c r="Q1461" s="61" t="str">
        <f aca="false">IF(IsPro,IF($D1461="","",L1461+N1461+O1461+P1461),"")</f>
        <v/>
      </c>
      <c r="R1461" s="61" t="str">
        <f aca="false">IF(IsPro,IF($D1461="","",ROUND(N($E1461)*IFERROR(INDEX(Items!$P$5:$P$504,U1461),0),2)),"")</f>
        <v/>
      </c>
      <c r="S1461" s="61" t="str">
        <f aca="false">IF(IsPro,IF($D1461="","",L1461-R1461),"")</f>
        <v/>
      </c>
      <c r="T1461" s="60" t="str">
        <f aca="false">IF(IsPro,IF($D1461="","",IF(U1461="","UNKNOWN ITEM",IF(INDEX(Items!$O$5:$O$504,U1461)&lt;0,"NEG STOCK",IF(K1461&lt;INDEX(Items!$P$5:$P$504,U1461),"BELOW COST","OK")))),IF($D1461="","","PRO PLAN"))</f>
        <v/>
      </c>
      <c r="U1461" s="60" t="str">
        <f aca="false">IF(IsPro,IF($D1461="","",IFERROR(MATCH($D1461,Items!$A$5:$A$504,0),"")),"")</f>
        <v/>
      </c>
      <c r="V1461" s="60" t="str">
        <f aca="false">IF(IsPro,IF($C1461="","",IFERROR(MATCH($C1461,Parties!$A$5:$A$304,0),"")),"")</f>
        <v/>
      </c>
      <c r="W1461" s="60" t="str">
        <f aca="false">IF(IsPro,IF($B1461="","",IFERROR(VALUE(SUBSTITUTE($B1461,InvPrefix,"")),0)),"")</f>
        <v/>
      </c>
      <c r="X1461" s="61" t="str">
        <f aca="false">IF(IsPro,IF($D1461="","",IF(OR($H1461="",$H1461="Credit"),0,Q1461)),"")</f>
        <v/>
      </c>
    </row>
    <row r="1462" customFormat="false" ht="15" hidden="false" customHeight="false" outlineLevel="0" collapsed="false">
      <c r="A1462" s="55"/>
      <c r="B1462" s="56"/>
      <c r="C1462" s="56"/>
      <c r="D1462" s="56"/>
      <c r="E1462" s="57"/>
      <c r="F1462" s="58"/>
      <c r="G1462" s="59"/>
      <c r="H1462" s="56"/>
      <c r="I1462" s="56"/>
      <c r="J1462" s="60" t="str">
        <f aca="false">IF(IsPro,IF($D1462="","",IFERROR(INDEX(Items!$D$5:$D$504,U1462),"")),"")</f>
        <v/>
      </c>
      <c r="K1462" s="61" t="str">
        <f aca="false">IF(IsPro,IF($D1462="","",IF($F1462="",IFERROR(INDEX(Items!$H$5:$H$504,U1462),0),$F1462)),"")</f>
        <v/>
      </c>
      <c r="L1462" s="61" t="str">
        <f aca="false">IF(IsPro,IF($D1462="","",ROUND(N($E1462)*K1462*(1-N($G1462)),2)),"")</f>
        <v/>
      </c>
      <c r="M1462" s="62" t="str">
        <f aca="false">IF(IsPro,IF($D1462="","",IFERROR(INDEX(Items!$F$5:$F$504,U1462),0)),"")</f>
        <v/>
      </c>
      <c r="N1462" s="61" t="str">
        <f aca="false">IF(IsPro,IF($D1462="","",IF(AND(V1462&lt;&gt;"",INDEX(Parties!$E$5:$E$304,V1462)&lt;&gt;"",INDEX(Parties!$E$5:$E$304,V1462)&lt;&gt;HomeState),0,ROUND(L1462*M1462/2,2))),"")</f>
        <v/>
      </c>
      <c r="O1462" s="61" t="str">
        <f aca="false">IF(IsPro,IF($D1462="","",N1462),"")</f>
        <v/>
      </c>
      <c r="P1462" s="61" t="str">
        <f aca="false">IF(IsPro,IF($D1462="","",IF(AND(V1462&lt;&gt;"",INDEX(Parties!$E$5:$E$304,V1462)&lt;&gt;"",INDEX(Parties!$E$5:$E$304,V1462)&lt;&gt;HomeState),ROUND(L1462*M1462,2),0)),"")</f>
        <v/>
      </c>
      <c r="Q1462" s="61" t="str">
        <f aca="false">IF(IsPro,IF($D1462="","",L1462+N1462+O1462+P1462),"")</f>
        <v/>
      </c>
      <c r="R1462" s="61" t="str">
        <f aca="false">IF(IsPro,IF($D1462="","",ROUND(N($E1462)*IFERROR(INDEX(Items!$P$5:$P$504,U1462),0),2)),"")</f>
        <v/>
      </c>
      <c r="S1462" s="61" t="str">
        <f aca="false">IF(IsPro,IF($D1462="","",L1462-R1462),"")</f>
        <v/>
      </c>
      <c r="T1462" s="60" t="str">
        <f aca="false">IF(IsPro,IF($D1462="","",IF(U1462="","UNKNOWN ITEM",IF(INDEX(Items!$O$5:$O$504,U1462)&lt;0,"NEG STOCK",IF(K1462&lt;INDEX(Items!$P$5:$P$504,U1462),"BELOW COST","OK")))),IF($D1462="","","PRO PLAN"))</f>
        <v/>
      </c>
      <c r="U1462" s="60" t="str">
        <f aca="false">IF(IsPro,IF($D1462="","",IFERROR(MATCH($D1462,Items!$A$5:$A$504,0),"")),"")</f>
        <v/>
      </c>
      <c r="V1462" s="60" t="str">
        <f aca="false">IF(IsPro,IF($C1462="","",IFERROR(MATCH($C1462,Parties!$A$5:$A$304,0),"")),"")</f>
        <v/>
      </c>
      <c r="W1462" s="60" t="str">
        <f aca="false">IF(IsPro,IF($B1462="","",IFERROR(VALUE(SUBSTITUTE($B1462,InvPrefix,"")),0)),"")</f>
        <v/>
      </c>
      <c r="X1462" s="61" t="str">
        <f aca="false">IF(IsPro,IF($D1462="","",IF(OR($H1462="",$H1462="Credit"),0,Q1462)),"")</f>
        <v/>
      </c>
    </row>
    <row r="1463" customFormat="false" ht="15" hidden="false" customHeight="false" outlineLevel="0" collapsed="false">
      <c r="A1463" s="55"/>
      <c r="B1463" s="56"/>
      <c r="C1463" s="56"/>
      <c r="D1463" s="56"/>
      <c r="E1463" s="57"/>
      <c r="F1463" s="58"/>
      <c r="G1463" s="59"/>
      <c r="H1463" s="56"/>
      <c r="I1463" s="56"/>
      <c r="J1463" s="60" t="str">
        <f aca="false">IF(IsPro,IF($D1463="","",IFERROR(INDEX(Items!$D$5:$D$504,U1463),"")),"")</f>
        <v/>
      </c>
      <c r="K1463" s="61" t="str">
        <f aca="false">IF(IsPro,IF($D1463="","",IF($F1463="",IFERROR(INDEX(Items!$H$5:$H$504,U1463),0),$F1463)),"")</f>
        <v/>
      </c>
      <c r="L1463" s="61" t="str">
        <f aca="false">IF(IsPro,IF($D1463="","",ROUND(N($E1463)*K1463*(1-N($G1463)),2)),"")</f>
        <v/>
      </c>
      <c r="M1463" s="62" t="str">
        <f aca="false">IF(IsPro,IF($D1463="","",IFERROR(INDEX(Items!$F$5:$F$504,U1463),0)),"")</f>
        <v/>
      </c>
      <c r="N1463" s="61" t="str">
        <f aca="false">IF(IsPro,IF($D1463="","",IF(AND(V1463&lt;&gt;"",INDEX(Parties!$E$5:$E$304,V1463)&lt;&gt;"",INDEX(Parties!$E$5:$E$304,V1463)&lt;&gt;HomeState),0,ROUND(L1463*M1463/2,2))),"")</f>
        <v/>
      </c>
      <c r="O1463" s="61" t="str">
        <f aca="false">IF(IsPro,IF($D1463="","",N1463),"")</f>
        <v/>
      </c>
      <c r="P1463" s="61" t="str">
        <f aca="false">IF(IsPro,IF($D1463="","",IF(AND(V1463&lt;&gt;"",INDEX(Parties!$E$5:$E$304,V1463)&lt;&gt;"",INDEX(Parties!$E$5:$E$304,V1463)&lt;&gt;HomeState),ROUND(L1463*M1463,2),0)),"")</f>
        <v/>
      </c>
      <c r="Q1463" s="61" t="str">
        <f aca="false">IF(IsPro,IF($D1463="","",L1463+N1463+O1463+P1463),"")</f>
        <v/>
      </c>
      <c r="R1463" s="61" t="str">
        <f aca="false">IF(IsPro,IF($D1463="","",ROUND(N($E1463)*IFERROR(INDEX(Items!$P$5:$P$504,U1463),0),2)),"")</f>
        <v/>
      </c>
      <c r="S1463" s="61" t="str">
        <f aca="false">IF(IsPro,IF($D1463="","",L1463-R1463),"")</f>
        <v/>
      </c>
      <c r="T1463" s="60" t="str">
        <f aca="false">IF(IsPro,IF($D1463="","",IF(U1463="","UNKNOWN ITEM",IF(INDEX(Items!$O$5:$O$504,U1463)&lt;0,"NEG STOCK",IF(K1463&lt;INDEX(Items!$P$5:$P$504,U1463),"BELOW COST","OK")))),IF($D1463="","","PRO PLAN"))</f>
        <v/>
      </c>
      <c r="U1463" s="60" t="str">
        <f aca="false">IF(IsPro,IF($D1463="","",IFERROR(MATCH($D1463,Items!$A$5:$A$504,0),"")),"")</f>
        <v/>
      </c>
      <c r="V1463" s="60" t="str">
        <f aca="false">IF(IsPro,IF($C1463="","",IFERROR(MATCH($C1463,Parties!$A$5:$A$304,0),"")),"")</f>
        <v/>
      </c>
      <c r="W1463" s="60" t="str">
        <f aca="false">IF(IsPro,IF($B1463="","",IFERROR(VALUE(SUBSTITUTE($B1463,InvPrefix,"")),0)),"")</f>
        <v/>
      </c>
      <c r="X1463" s="61" t="str">
        <f aca="false">IF(IsPro,IF($D1463="","",IF(OR($H1463="",$H1463="Credit"),0,Q1463)),"")</f>
        <v/>
      </c>
    </row>
    <row r="1464" customFormat="false" ht="15" hidden="false" customHeight="false" outlineLevel="0" collapsed="false">
      <c r="A1464" s="55"/>
      <c r="B1464" s="56"/>
      <c r="C1464" s="56"/>
      <c r="D1464" s="56"/>
      <c r="E1464" s="57"/>
      <c r="F1464" s="58"/>
      <c r="G1464" s="59"/>
      <c r="H1464" s="56"/>
      <c r="I1464" s="56"/>
      <c r="J1464" s="60" t="str">
        <f aca="false">IF(IsPro,IF($D1464="","",IFERROR(INDEX(Items!$D$5:$D$504,U1464),"")),"")</f>
        <v/>
      </c>
      <c r="K1464" s="61" t="str">
        <f aca="false">IF(IsPro,IF($D1464="","",IF($F1464="",IFERROR(INDEX(Items!$H$5:$H$504,U1464),0),$F1464)),"")</f>
        <v/>
      </c>
      <c r="L1464" s="61" t="str">
        <f aca="false">IF(IsPro,IF($D1464="","",ROUND(N($E1464)*K1464*(1-N($G1464)),2)),"")</f>
        <v/>
      </c>
      <c r="M1464" s="62" t="str">
        <f aca="false">IF(IsPro,IF($D1464="","",IFERROR(INDEX(Items!$F$5:$F$504,U1464),0)),"")</f>
        <v/>
      </c>
      <c r="N1464" s="61" t="str">
        <f aca="false">IF(IsPro,IF($D1464="","",IF(AND(V1464&lt;&gt;"",INDEX(Parties!$E$5:$E$304,V1464)&lt;&gt;"",INDEX(Parties!$E$5:$E$304,V1464)&lt;&gt;HomeState),0,ROUND(L1464*M1464/2,2))),"")</f>
        <v/>
      </c>
      <c r="O1464" s="61" t="str">
        <f aca="false">IF(IsPro,IF($D1464="","",N1464),"")</f>
        <v/>
      </c>
      <c r="P1464" s="61" t="str">
        <f aca="false">IF(IsPro,IF($D1464="","",IF(AND(V1464&lt;&gt;"",INDEX(Parties!$E$5:$E$304,V1464)&lt;&gt;"",INDEX(Parties!$E$5:$E$304,V1464)&lt;&gt;HomeState),ROUND(L1464*M1464,2),0)),"")</f>
        <v/>
      </c>
      <c r="Q1464" s="61" t="str">
        <f aca="false">IF(IsPro,IF($D1464="","",L1464+N1464+O1464+P1464),"")</f>
        <v/>
      </c>
      <c r="R1464" s="61" t="str">
        <f aca="false">IF(IsPro,IF($D1464="","",ROUND(N($E1464)*IFERROR(INDEX(Items!$P$5:$P$504,U1464),0),2)),"")</f>
        <v/>
      </c>
      <c r="S1464" s="61" t="str">
        <f aca="false">IF(IsPro,IF($D1464="","",L1464-R1464),"")</f>
        <v/>
      </c>
      <c r="T1464" s="60" t="str">
        <f aca="false">IF(IsPro,IF($D1464="","",IF(U1464="","UNKNOWN ITEM",IF(INDEX(Items!$O$5:$O$504,U1464)&lt;0,"NEG STOCK",IF(K1464&lt;INDEX(Items!$P$5:$P$504,U1464),"BELOW COST","OK")))),IF($D1464="","","PRO PLAN"))</f>
        <v/>
      </c>
      <c r="U1464" s="60" t="str">
        <f aca="false">IF(IsPro,IF($D1464="","",IFERROR(MATCH($D1464,Items!$A$5:$A$504,0),"")),"")</f>
        <v/>
      </c>
      <c r="V1464" s="60" t="str">
        <f aca="false">IF(IsPro,IF($C1464="","",IFERROR(MATCH($C1464,Parties!$A$5:$A$304,0),"")),"")</f>
        <v/>
      </c>
      <c r="W1464" s="60" t="str">
        <f aca="false">IF(IsPro,IF($B1464="","",IFERROR(VALUE(SUBSTITUTE($B1464,InvPrefix,"")),0)),"")</f>
        <v/>
      </c>
      <c r="X1464" s="61" t="str">
        <f aca="false">IF(IsPro,IF($D1464="","",IF(OR($H1464="",$H1464="Credit"),0,Q1464)),"")</f>
        <v/>
      </c>
    </row>
    <row r="1465" customFormat="false" ht="15" hidden="false" customHeight="false" outlineLevel="0" collapsed="false">
      <c r="A1465" s="55"/>
      <c r="B1465" s="56"/>
      <c r="C1465" s="56"/>
      <c r="D1465" s="56"/>
      <c r="E1465" s="57"/>
      <c r="F1465" s="58"/>
      <c r="G1465" s="59"/>
      <c r="H1465" s="56"/>
      <c r="I1465" s="56"/>
      <c r="J1465" s="60" t="str">
        <f aca="false">IF(IsPro,IF($D1465="","",IFERROR(INDEX(Items!$D$5:$D$504,U1465),"")),"")</f>
        <v/>
      </c>
      <c r="K1465" s="61" t="str">
        <f aca="false">IF(IsPro,IF($D1465="","",IF($F1465="",IFERROR(INDEX(Items!$H$5:$H$504,U1465),0),$F1465)),"")</f>
        <v/>
      </c>
      <c r="L1465" s="61" t="str">
        <f aca="false">IF(IsPro,IF($D1465="","",ROUND(N($E1465)*K1465*(1-N($G1465)),2)),"")</f>
        <v/>
      </c>
      <c r="M1465" s="62" t="str">
        <f aca="false">IF(IsPro,IF($D1465="","",IFERROR(INDEX(Items!$F$5:$F$504,U1465),0)),"")</f>
        <v/>
      </c>
      <c r="N1465" s="61" t="str">
        <f aca="false">IF(IsPro,IF($D1465="","",IF(AND(V1465&lt;&gt;"",INDEX(Parties!$E$5:$E$304,V1465)&lt;&gt;"",INDEX(Parties!$E$5:$E$304,V1465)&lt;&gt;HomeState),0,ROUND(L1465*M1465/2,2))),"")</f>
        <v/>
      </c>
      <c r="O1465" s="61" t="str">
        <f aca="false">IF(IsPro,IF($D1465="","",N1465),"")</f>
        <v/>
      </c>
      <c r="P1465" s="61" t="str">
        <f aca="false">IF(IsPro,IF($D1465="","",IF(AND(V1465&lt;&gt;"",INDEX(Parties!$E$5:$E$304,V1465)&lt;&gt;"",INDEX(Parties!$E$5:$E$304,V1465)&lt;&gt;HomeState),ROUND(L1465*M1465,2),0)),"")</f>
        <v/>
      </c>
      <c r="Q1465" s="61" t="str">
        <f aca="false">IF(IsPro,IF($D1465="","",L1465+N1465+O1465+P1465),"")</f>
        <v/>
      </c>
      <c r="R1465" s="61" t="str">
        <f aca="false">IF(IsPro,IF($D1465="","",ROUND(N($E1465)*IFERROR(INDEX(Items!$P$5:$P$504,U1465),0),2)),"")</f>
        <v/>
      </c>
      <c r="S1465" s="61" t="str">
        <f aca="false">IF(IsPro,IF($D1465="","",L1465-R1465),"")</f>
        <v/>
      </c>
      <c r="T1465" s="60" t="str">
        <f aca="false">IF(IsPro,IF($D1465="","",IF(U1465="","UNKNOWN ITEM",IF(INDEX(Items!$O$5:$O$504,U1465)&lt;0,"NEG STOCK",IF(K1465&lt;INDEX(Items!$P$5:$P$504,U1465),"BELOW COST","OK")))),IF($D1465="","","PRO PLAN"))</f>
        <v/>
      </c>
      <c r="U1465" s="60" t="str">
        <f aca="false">IF(IsPro,IF($D1465="","",IFERROR(MATCH($D1465,Items!$A$5:$A$504,0),"")),"")</f>
        <v/>
      </c>
      <c r="V1465" s="60" t="str">
        <f aca="false">IF(IsPro,IF($C1465="","",IFERROR(MATCH($C1465,Parties!$A$5:$A$304,0),"")),"")</f>
        <v/>
      </c>
      <c r="W1465" s="60" t="str">
        <f aca="false">IF(IsPro,IF($B1465="","",IFERROR(VALUE(SUBSTITUTE($B1465,InvPrefix,"")),0)),"")</f>
        <v/>
      </c>
      <c r="X1465" s="61" t="str">
        <f aca="false">IF(IsPro,IF($D1465="","",IF(OR($H1465="",$H1465="Credit"),0,Q1465)),"")</f>
        <v/>
      </c>
    </row>
    <row r="1466" customFormat="false" ht="15" hidden="false" customHeight="false" outlineLevel="0" collapsed="false">
      <c r="A1466" s="55"/>
      <c r="B1466" s="56"/>
      <c r="C1466" s="56"/>
      <c r="D1466" s="56"/>
      <c r="E1466" s="57"/>
      <c r="F1466" s="58"/>
      <c r="G1466" s="59"/>
      <c r="H1466" s="56"/>
      <c r="I1466" s="56"/>
      <c r="J1466" s="60" t="str">
        <f aca="false">IF(IsPro,IF($D1466="","",IFERROR(INDEX(Items!$D$5:$D$504,U1466),"")),"")</f>
        <v/>
      </c>
      <c r="K1466" s="61" t="str">
        <f aca="false">IF(IsPro,IF($D1466="","",IF($F1466="",IFERROR(INDEX(Items!$H$5:$H$504,U1466),0),$F1466)),"")</f>
        <v/>
      </c>
      <c r="L1466" s="61" t="str">
        <f aca="false">IF(IsPro,IF($D1466="","",ROUND(N($E1466)*K1466*(1-N($G1466)),2)),"")</f>
        <v/>
      </c>
      <c r="M1466" s="62" t="str">
        <f aca="false">IF(IsPro,IF($D1466="","",IFERROR(INDEX(Items!$F$5:$F$504,U1466),0)),"")</f>
        <v/>
      </c>
      <c r="N1466" s="61" t="str">
        <f aca="false">IF(IsPro,IF($D1466="","",IF(AND(V1466&lt;&gt;"",INDEX(Parties!$E$5:$E$304,V1466)&lt;&gt;"",INDEX(Parties!$E$5:$E$304,V1466)&lt;&gt;HomeState),0,ROUND(L1466*M1466/2,2))),"")</f>
        <v/>
      </c>
      <c r="O1466" s="61" t="str">
        <f aca="false">IF(IsPro,IF($D1466="","",N1466),"")</f>
        <v/>
      </c>
      <c r="P1466" s="61" t="str">
        <f aca="false">IF(IsPro,IF($D1466="","",IF(AND(V1466&lt;&gt;"",INDEX(Parties!$E$5:$E$304,V1466)&lt;&gt;"",INDEX(Parties!$E$5:$E$304,V1466)&lt;&gt;HomeState),ROUND(L1466*M1466,2),0)),"")</f>
        <v/>
      </c>
      <c r="Q1466" s="61" t="str">
        <f aca="false">IF(IsPro,IF($D1466="","",L1466+N1466+O1466+P1466),"")</f>
        <v/>
      </c>
      <c r="R1466" s="61" t="str">
        <f aca="false">IF(IsPro,IF($D1466="","",ROUND(N($E1466)*IFERROR(INDEX(Items!$P$5:$P$504,U1466),0),2)),"")</f>
        <v/>
      </c>
      <c r="S1466" s="61" t="str">
        <f aca="false">IF(IsPro,IF($D1466="","",L1466-R1466),"")</f>
        <v/>
      </c>
      <c r="T1466" s="60" t="str">
        <f aca="false">IF(IsPro,IF($D1466="","",IF(U1466="","UNKNOWN ITEM",IF(INDEX(Items!$O$5:$O$504,U1466)&lt;0,"NEG STOCK",IF(K1466&lt;INDEX(Items!$P$5:$P$504,U1466),"BELOW COST","OK")))),IF($D1466="","","PRO PLAN"))</f>
        <v/>
      </c>
      <c r="U1466" s="60" t="str">
        <f aca="false">IF(IsPro,IF($D1466="","",IFERROR(MATCH($D1466,Items!$A$5:$A$504,0),"")),"")</f>
        <v/>
      </c>
      <c r="V1466" s="60" t="str">
        <f aca="false">IF(IsPro,IF($C1466="","",IFERROR(MATCH($C1466,Parties!$A$5:$A$304,0),"")),"")</f>
        <v/>
      </c>
      <c r="W1466" s="60" t="str">
        <f aca="false">IF(IsPro,IF($B1466="","",IFERROR(VALUE(SUBSTITUTE($B1466,InvPrefix,"")),0)),"")</f>
        <v/>
      </c>
      <c r="X1466" s="61" t="str">
        <f aca="false">IF(IsPro,IF($D1466="","",IF(OR($H1466="",$H1466="Credit"),0,Q1466)),"")</f>
        <v/>
      </c>
    </row>
    <row r="1467" customFormat="false" ht="15" hidden="false" customHeight="false" outlineLevel="0" collapsed="false">
      <c r="A1467" s="55"/>
      <c r="B1467" s="56"/>
      <c r="C1467" s="56"/>
      <c r="D1467" s="56"/>
      <c r="E1467" s="57"/>
      <c r="F1467" s="58"/>
      <c r="G1467" s="59"/>
      <c r="H1467" s="56"/>
      <c r="I1467" s="56"/>
      <c r="J1467" s="60" t="str">
        <f aca="false">IF(IsPro,IF($D1467="","",IFERROR(INDEX(Items!$D$5:$D$504,U1467),"")),"")</f>
        <v/>
      </c>
      <c r="K1467" s="61" t="str">
        <f aca="false">IF(IsPro,IF($D1467="","",IF($F1467="",IFERROR(INDEX(Items!$H$5:$H$504,U1467),0),$F1467)),"")</f>
        <v/>
      </c>
      <c r="L1467" s="61" t="str">
        <f aca="false">IF(IsPro,IF($D1467="","",ROUND(N($E1467)*K1467*(1-N($G1467)),2)),"")</f>
        <v/>
      </c>
      <c r="M1467" s="62" t="str">
        <f aca="false">IF(IsPro,IF($D1467="","",IFERROR(INDEX(Items!$F$5:$F$504,U1467),0)),"")</f>
        <v/>
      </c>
      <c r="N1467" s="61" t="str">
        <f aca="false">IF(IsPro,IF($D1467="","",IF(AND(V1467&lt;&gt;"",INDEX(Parties!$E$5:$E$304,V1467)&lt;&gt;"",INDEX(Parties!$E$5:$E$304,V1467)&lt;&gt;HomeState),0,ROUND(L1467*M1467/2,2))),"")</f>
        <v/>
      </c>
      <c r="O1467" s="61" t="str">
        <f aca="false">IF(IsPro,IF($D1467="","",N1467),"")</f>
        <v/>
      </c>
      <c r="P1467" s="61" t="str">
        <f aca="false">IF(IsPro,IF($D1467="","",IF(AND(V1467&lt;&gt;"",INDEX(Parties!$E$5:$E$304,V1467)&lt;&gt;"",INDEX(Parties!$E$5:$E$304,V1467)&lt;&gt;HomeState),ROUND(L1467*M1467,2),0)),"")</f>
        <v/>
      </c>
      <c r="Q1467" s="61" t="str">
        <f aca="false">IF(IsPro,IF($D1467="","",L1467+N1467+O1467+P1467),"")</f>
        <v/>
      </c>
      <c r="R1467" s="61" t="str">
        <f aca="false">IF(IsPro,IF($D1467="","",ROUND(N($E1467)*IFERROR(INDEX(Items!$P$5:$P$504,U1467),0),2)),"")</f>
        <v/>
      </c>
      <c r="S1467" s="61" t="str">
        <f aca="false">IF(IsPro,IF($D1467="","",L1467-R1467),"")</f>
        <v/>
      </c>
      <c r="T1467" s="60" t="str">
        <f aca="false">IF(IsPro,IF($D1467="","",IF(U1467="","UNKNOWN ITEM",IF(INDEX(Items!$O$5:$O$504,U1467)&lt;0,"NEG STOCK",IF(K1467&lt;INDEX(Items!$P$5:$P$504,U1467),"BELOW COST","OK")))),IF($D1467="","","PRO PLAN"))</f>
        <v/>
      </c>
      <c r="U1467" s="60" t="str">
        <f aca="false">IF(IsPro,IF($D1467="","",IFERROR(MATCH($D1467,Items!$A$5:$A$504,0),"")),"")</f>
        <v/>
      </c>
      <c r="V1467" s="60" t="str">
        <f aca="false">IF(IsPro,IF($C1467="","",IFERROR(MATCH($C1467,Parties!$A$5:$A$304,0),"")),"")</f>
        <v/>
      </c>
      <c r="W1467" s="60" t="str">
        <f aca="false">IF(IsPro,IF($B1467="","",IFERROR(VALUE(SUBSTITUTE($B1467,InvPrefix,"")),0)),"")</f>
        <v/>
      </c>
      <c r="X1467" s="61" t="str">
        <f aca="false">IF(IsPro,IF($D1467="","",IF(OR($H1467="",$H1467="Credit"),0,Q1467)),"")</f>
        <v/>
      </c>
    </row>
    <row r="1468" customFormat="false" ht="15" hidden="false" customHeight="false" outlineLevel="0" collapsed="false">
      <c r="A1468" s="55"/>
      <c r="B1468" s="56"/>
      <c r="C1468" s="56"/>
      <c r="D1468" s="56"/>
      <c r="E1468" s="57"/>
      <c r="F1468" s="58"/>
      <c r="G1468" s="59"/>
      <c r="H1468" s="56"/>
      <c r="I1468" s="56"/>
      <c r="J1468" s="60" t="str">
        <f aca="false">IF(IsPro,IF($D1468="","",IFERROR(INDEX(Items!$D$5:$D$504,U1468),"")),"")</f>
        <v/>
      </c>
      <c r="K1468" s="61" t="str">
        <f aca="false">IF(IsPro,IF($D1468="","",IF($F1468="",IFERROR(INDEX(Items!$H$5:$H$504,U1468),0),$F1468)),"")</f>
        <v/>
      </c>
      <c r="L1468" s="61" t="str">
        <f aca="false">IF(IsPro,IF($D1468="","",ROUND(N($E1468)*K1468*(1-N($G1468)),2)),"")</f>
        <v/>
      </c>
      <c r="M1468" s="62" t="str">
        <f aca="false">IF(IsPro,IF($D1468="","",IFERROR(INDEX(Items!$F$5:$F$504,U1468),0)),"")</f>
        <v/>
      </c>
      <c r="N1468" s="61" t="str">
        <f aca="false">IF(IsPro,IF($D1468="","",IF(AND(V1468&lt;&gt;"",INDEX(Parties!$E$5:$E$304,V1468)&lt;&gt;"",INDEX(Parties!$E$5:$E$304,V1468)&lt;&gt;HomeState),0,ROUND(L1468*M1468/2,2))),"")</f>
        <v/>
      </c>
      <c r="O1468" s="61" t="str">
        <f aca="false">IF(IsPro,IF($D1468="","",N1468),"")</f>
        <v/>
      </c>
      <c r="P1468" s="61" t="str">
        <f aca="false">IF(IsPro,IF($D1468="","",IF(AND(V1468&lt;&gt;"",INDEX(Parties!$E$5:$E$304,V1468)&lt;&gt;"",INDEX(Parties!$E$5:$E$304,V1468)&lt;&gt;HomeState),ROUND(L1468*M1468,2),0)),"")</f>
        <v/>
      </c>
      <c r="Q1468" s="61" t="str">
        <f aca="false">IF(IsPro,IF($D1468="","",L1468+N1468+O1468+P1468),"")</f>
        <v/>
      </c>
      <c r="R1468" s="61" t="str">
        <f aca="false">IF(IsPro,IF($D1468="","",ROUND(N($E1468)*IFERROR(INDEX(Items!$P$5:$P$504,U1468),0),2)),"")</f>
        <v/>
      </c>
      <c r="S1468" s="61" t="str">
        <f aca="false">IF(IsPro,IF($D1468="","",L1468-R1468),"")</f>
        <v/>
      </c>
      <c r="T1468" s="60" t="str">
        <f aca="false">IF(IsPro,IF($D1468="","",IF(U1468="","UNKNOWN ITEM",IF(INDEX(Items!$O$5:$O$504,U1468)&lt;0,"NEG STOCK",IF(K1468&lt;INDEX(Items!$P$5:$P$504,U1468),"BELOW COST","OK")))),IF($D1468="","","PRO PLAN"))</f>
        <v/>
      </c>
      <c r="U1468" s="60" t="str">
        <f aca="false">IF(IsPro,IF($D1468="","",IFERROR(MATCH($D1468,Items!$A$5:$A$504,0),"")),"")</f>
        <v/>
      </c>
      <c r="V1468" s="60" t="str">
        <f aca="false">IF(IsPro,IF($C1468="","",IFERROR(MATCH($C1468,Parties!$A$5:$A$304,0),"")),"")</f>
        <v/>
      </c>
      <c r="W1468" s="60" t="str">
        <f aca="false">IF(IsPro,IF($B1468="","",IFERROR(VALUE(SUBSTITUTE($B1468,InvPrefix,"")),0)),"")</f>
        <v/>
      </c>
      <c r="X1468" s="61" t="str">
        <f aca="false">IF(IsPro,IF($D1468="","",IF(OR($H1468="",$H1468="Credit"),0,Q1468)),"")</f>
        <v/>
      </c>
    </row>
    <row r="1469" customFormat="false" ht="15" hidden="false" customHeight="false" outlineLevel="0" collapsed="false">
      <c r="A1469" s="55"/>
      <c r="B1469" s="56"/>
      <c r="C1469" s="56"/>
      <c r="D1469" s="56"/>
      <c r="E1469" s="57"/>
      <c r="F1469" s="58"/>
      <c r="G1469" s="59"/>
      <c r="H1469" s="56"/>
      <c r="I1469" s="56"/>
      <c r="J1469" s="60" t="str">
        <f aca="false">IF(IsPro,IF($D1469="","",IFERROR(INDEX(Items!$D$5:$D$504,U1469),"")),"")</f>
        <v/>
      </c>
      <c r="K1469" s="61" t="str">
        <f aca="false">IF(IsPro,IF($D1469="","",IF($F1469="",IFERROR(INDEX(Items!$H$5:$H$504,U1469),0),$F1469)),"")</f>
        <v/>
      </c>
      <c r="L1469" s="61" t="str">
        <f aca="false">IF(IsPro,IF($D1469="","",ROUND(N($E1469)*K1469*(1-N($G1469)),2)),"")</f>
        <v/>
      </c>
      <c r="M1469" s="62" t="str">
        <f aca="false">IF(IsPro,IF($D1469="","",IFERROR(INDEX(Items!$F$5:$F$504,U1469),0)),"")</f>
        <v/>
      </c>
      <c r="N1469" s="61" t="str">
        <f aca="false">IF(IsPro,IF($D1469="","",IF(AND(V1469&lt;&gt;"",INDEX(Parties!$E$5:$E$304,V1469)&lt;&gt;"",INDEX(Parties!$E$5:$E$304,V1469)&lt;&gt;HomeState),0,ROUND(L1469*M1469/2,2))),"")</f>
        <v/>
      </c>
      <c r="O1469" s="61" t="str">
        <f aca="false">IF(IsPro,IF($D1469="","",N1469),"")</f>
        <v/>
      </c>
      <c r="P1469" s="61" t="str">
        <f aca="false">IF(IsPro,IF($D1469="","",IF(AND(V1469&lt;&gt;"",INDEX(Parties!$E$5:$E$304,V1469)&lt;&gt;"",INDEX(Parties!$E$5:$E$304,V1469)&lt;&gt;HomeState),ROUND(L1469*M1469,2),0)),"")</f>
        <v/>
      </c>
      <c r="Q1469" s="61" t="str">
        <f aca="false">IF(IsPro,IF($D1469="","",L1469+N1469+O1469+P1469),"")</f>
        <v/>
      </c>
      <c r="R1469" s="61" t="str">
        <f aca="false">IF(IsPro,IF($D1469="","",ROUND(N($E1469)*IFERROR(INDEX(Items!$P$5:$P$504,U1469),0),2)),"")</f>
        <v/>
      </c>
      <c r="S1469" s="61" t="str">
        <f aca="false">IF(IsPro,IF($D1469="","",L1469-R1469),"")</f>
        <v/>
      </c>
      <c r="T1469" s="60" t="str">
        <f aca="false">IF(IsPro,IF($D1469="","",IF(U1469="","UNKNOWN ITEM",IF(INDEX(Items!$O$5:$O$504,U1469)&lt;0,"NEG STOCK",IF(K1469&lt;INDEX(Items!$P$5:$P$504,U1469),"BELOW COST","OK")))),IF($D1469="","","PRO PLAN"))</f>
        <v/>
      </c>
      <c r="U1469" s="60" t="str">
        <f aca="false">IF(IsPro,IF($D1469="","",IFERROR(MATCH($D1469,Items!$A$5:$A$504,0),"")),"")</f>
        <v/>
      </c>
      <c r="V1469" s="60" t="str">
        <f aca="false">IF(IsPro,IF($C1469="","",IFERROR(MATCH($C1469,Parties!$A$5:$A$304,0),"")),"")</f>
        <v/>
      </c>
      <c r="W1469" s="60" t="str">
        <f aca="false">IF(IsPro,IF($B1469="","",IFERROR(VALUE(SUBSTITUTE($B1469,InvPrefix,"")),0)),"")</f>
        <v/>
      </c>
      <c r="X1469" s="61" t="str">
        <f aca="false">IF(IsPro,IF($D1469="","",IF(OR($H1469="",$H1469="Credit"),0,Q1469)),"")</f>
        <v/>
      </c>
    </row>
    <row r="1470" customFormat="false" ht="15" hidden="false" customHeight="false" outlineLevel="0" collapsed="false">
      <c r="A1470" s="55"/>
      <c r="B1470" s="56"/>
      <c r="C1470" s="56"/>
      <c r="D1470" s="56"/>
      <c r="E1470" s="57"/>
      <c r="F1470" s="58"/>
      <c r="G1470" s="59"/>
      <c r="H1470" s="56"/>
      <c r="I1470" s="56"/>
      <c r="J1470" s="60" t="str">
        <f aca="false">IF(IsPro,IF($D1470="","",IFERROR(INDEX(Items!$D$5:$D$504,U1470),"")),"")</f>
        <v/>
      </c>
      <c r="K1470" s="61" t="str">
        <f aca="false">IF(IsPro,IF($D1470="","",IF($F1470="",IFERROR(INDEX(Items!$H$5:$H$504,U1470),0),$F1470)),"")</f>
        <v/>
      </c>
      <c r="L1470" s="61" t="str">
        <f aca="false">IF(IsPro,IF($D1470="","",ROUND(N($E1470)*K1470*(1-N($G1470)),2)),"")</f>
        <v/>
      </c>
      <c r="M1470" s="62" t="str">
        <f aca="false">IF(IsPro,IF($D1470="","",IFERROR(INDEX(Items!$F$5:$F$504,U1470),0)),"")</f>
        <v/>
      </c>
      <c r="N1470" s="61" t="str">
        <f aca="false">IF(IsPro,IF($D1470="","",IF(AND(V1470&lt;&gt;"",INDEX(Parties!$E$5:$E$304,V1470)&lt;&gt;"",INDEX(Parties!$E$5:$E$304,V1470)&lt;&gt;HomeState),0,ROUND(L1470*M1470/2,2))),"")</f>
        <v/>
      </c>
      <c r="O1470" s="61" t="str">
        <f aca="false">IF(IsPro,IF($D1470="","",N1470),"")</f>
        <v/>
      </c>
      <c r="P1470" s="61" t="str">
        <f aca="false">IF(IsPro,IF($D1470="","",IF(AND(V1470&lt;&gt;"",INDEX(Parties!$E$5:$E$304,V1470)&lt;&gt;"",INDEX(Parties!$E$5:$E$304,V1470)&lt;&gt;HomeState),ROUND(L1470*M1470,2),0)),"")</f>
        <v/>
      </c>
      <c r="Q1470" s="61" t="str">
        <f aca="false">IF(IsPro,IF($D1470="","",L1470+N1470+O1470+P1470),"")</f>
        <v/>
      </c>
      <c r="R1470" s="61" t="str">
        <f aca="false">IF(IsPro,IF($D1470="","",ROUND(N($E1470)*IFERROR(INDEX(Items!$P$5:$P$504,U1470),0),2)),"")</f>
        <v/>
      </c>
      <c r="S1470" s="61" t="str">
        <f aca="false">IF(IsPro,IF($D1470="","",L1470-R1470),"")</f>
        <v/>
      </c>
      <c r="T1470" s="60" t="str">
        <f aca="false">IF(IsPro,IF($D1470="","",IF(U1470="","UNKNOWN ITEM",IF(INDEX(Items!$O$5:$O$504,U1470)&lt;0,"NEG STOCK",IF(K1470&lt;INDEX(Items!$P$5:$P$504,U1470),"BELOW COST","OK")))),IF($D1470="","","PRO PLAN"))</f>
        <v/>
      </c>
      <c r="U1470" s="60" t="str">
        <f aca="false">IF(IsPro,IF($D1470="","",IFERROR(MATCH($D1470,Items!$A$5:$A$504,0),"")),"")</f>
        <v/>
      </c>
      <c r="V1470" s="60" t="str">
        <f aca="false">IF(IsPro,IF($C1470="","",IFERROR(MATCH($C1470,Parties!$A$5:$A$304,0),"")),"")</f>
        <v/>
      </c>
      <c r="W1470" s="60" t="str">
        <f aca="false">IF(IsPro,IF($B1470="","",IFERROR(VALUE(SUBSTITUTE($B1470,InvPrefix,"")),0)),"")</f>
        <v/>
      </c>
      <c r="X1470" s="61" t="str">
        <f aca="false">IF(IsPro,IF($D1470="","",IF(OR($H1470="",$H1470="Credit"),0,Q1470)),"")</f>
        <v/>
      </c>
    </row>
    <row r="1471" customFormat="false" ht="15" hidden="false" customHeight="false" outlineLevel="0" collapsed="false">
      <c r="A1471" s="55"/>
      <c r="B1471" s="56"/>
      <c r="C1471" s="56"/>
      <c r="D1471" s="56"/>
      <c r="E1471" s="57"/>
      <c r="F1471" s="58"/>
      <c r="G1471" s="59"/>
      <c r="H1471" s="56"/>
      <c r="I1471" s="56"/>
      <c r="J1471" s="60" t="str">
        <f aca="false">IF(IsPro,IF($D1471="","",IFERROR(INDEX(Items!$D$5:$D$504,U1471),"")),"")</f>
        <v/>
      </c>
      <c r="K1471" s="61" t="str">
        <f aca="false">IF(IsPro,IF($D1471="","",IF($F1471="",IFERROR(INDEX(Items!$H$5:$H$504,U1471),0),$F1471)),"")</f>
        <v/>
      </c>
      <c r="L1471" s="61" t="str">
        <f aca="false">IF(IsPro,IF($D1471="","",ROUND(N($E1471)*K1471*(1-N($G1471)),2)),"")</f>
        <v/>
      </c>
      <c r="M1471" s="62" t="str">
        <f aca="false">IF(IsPro,IF($D1471="","",IFERROR(INDEX(Items!$F$5:$F$504,U1471),0)),"")</f>
        <v/>
      </c>
      <c r="N1471" s="61" t="str">
        <f aca="false">IF(IsPro,IF($D1471="","",IF(AND(V1471&lt;&gt;"",INDEX(Parties!$E$5:$E$304,V1471)&lt;&gt;"",INDEX(Parties!$E$5:$E$304,V1471)&lt;&gt;HomeState),0,ROUND(L1471*M1471/2,2))),"")</f>
        <v/>
      </c>
      <c r="O1471" s="61" t="str">
        <f aca="false">IF(IsPro,IF($D1471="","",N1471),"")</f>
        <v/>
      </c>
      <c r="P1471" s="61" t="str">
        <f aca="false">IF(IsPro,IF($D1471="","",IF(AND(V1471&lt;&gt;"",INDEX(Parties!$E$5:$E$304,V1471)&lt;&gt;"",INDEX(Parties!$E$5:$E$304,V1471)&lt;&gt;HomeState),ROUND(L1471*M1471,2),0)),"")</f>
        <v/>
      </c>
      <c r="Q1471" s="61" t="str">
        <f aca="false">IF(IsPro,IF($D1471="","",L1471+N1471+O1471+P1471),"")</f>
        <v/>
      </c>
      <c r="R1471" s="61" t="str">
        <f aca="false">IF(IsPro,IF($D1471="","",ROUND(N($E1471)*IFERROR(INDEX(Items!$P$5:$P$504,U1471),0),2)),"")</f>
        <v/>
      </c>
      <c r="S1471" s="61" t="str">
        <f aca="false">IF(IsPro,IF($D1471="","",L1471-R1471),"")</f>
        <v/>
      </c>
      <c r="T1471" s="60" t="str">
        <f aca="false">IF(IsPro,IF($D1471="","",IF(U1471="","UNKNOWN ITEM",IF(INDEX(Items!$O$5:$O$504,U1471)&lt;0,"NEG STOCK",IF(K1471&lt;INDEX(Items!$P$5:$P$504,U1471),"BELOW COST","OK")))),IF($D1471="","","PRO PLAN"))</f>
        <v/>
      </c>
      <c r="U1471" s="60" t="str">
        <f aca="false">IF(IsPro,IF($D1471="","",IFERROR(MATCH($D1471,Items!$A$5:$A$504,0),"")),"")</f>
        <v/>
      </c>
      <c r="V1471" s="60" t="str">
        <f aca="false">IF(IsPro,IF($C1471="","",IFERROR(MATCH($C1471,Parties!$A$5:$A$304,0),"")),"")</f>
        <v/>
      </c>
      <c r="W1471" s="60" t="str">
        <f aca="false">IF(IsPro,IF($B1471="","",IFERROR(VALUE(SUBSTITUTE($B1471,InvPrefix,"")),0)),"")</f>
        <v/>
      </c>
      <c r="X1471" s="61" t="str">
        <f aca="false">IF(IsPro,IF($D1471="","",IF(OR($H1471="",$H1471="Credit"),0,Q1471)),"")</f>
        <v/>
      </c>
    </row>
    <row r="1472" customFormat="false" ht="15" hidden="false" customHeight="false" outlineLevel="0" collapsed="false">
      <c r="A1472" s="55"/>
      <c r="B1472" s="56"/>
      <c r="C1472" s="56"/>
      <c r="D1472" s="56"/>
      <c r="E1472" s="57"/>
      <c r="F1472" s="58"/>
      <c r="G1472" s="59"/>
      <c r="H1472" s="56"/>
      <c r="I1472" s="56"/>
      <c r="J1472" s="60" t="str">
        <f aca="false">IF(IsPro,IF($D1472="","",IFERROR(INDEX(Items!$D$5:$D$504,U1472),"")),"")</f>
        <v/>
      </c>
      <c r="K1472" s="61" t="str">
        <f aca="false">IF(IsPro,IF($D1472="","",IF($F1472="",IFERROR(INDEX(Items!$H$5:$H$504,U1472),0),$F1472)),"")</f>
        <v/>
      </c>
      <c r="L1472" s="61" t="str">
        <f aca="false">IF(IsPro,IF($D1472="","",ROUND(N($E1472)*K1472*(1-N($G1472)),2)),"")</f>
        <v/>
      </c>
      <c r="M1472" s="62" t="str">
        <f aca="false">IF(IsPro,IF($D1472="","",IFERROR(INDEX(Items!$F$5:$F$504,U1472),0)),"")</f>
        <v/>
      </c>
      <c r="N1472" s="61" t="str">
        <f aca="false">IF(IsPro,IF($D1472="","",IF(AND(V1472&lt;&gt;"",INDEX(Parties!$E$5:$E$304,V1472)&lt;&gt;"",INDEX(Parties!$E$5:$E$304,V1472)&lt;&gt;HomeState),0,ROUND(L1472*M1472/2,2))),"")</f>
        <v/>
      </c>
      <c r="O1472" s="61" t="str">
        <f aca="false">IF(IsPro,IF($D1472="","",N1472),"")</f>
        <v/>
      </c>
      <c r="P1472" s="61" t="str">
        <f aca="false">IF(IsPro,IF($D1472="","",IF(AND(V1472&lt;&gt;"",INDEX(Parties!$E$5:$E$304,V1472)&lt;&gt;"",INDEX(Parties!$E$5:$E$304,V1472)&lt;&gt;HomeState),ROUND(L1472*M1472,2),0)),"")</f>
        <v/>
      </c>
      <c r="Q1472" s="61" t="str">
        <f aca="false">IF(IsPro,IF($D1472="","",L1472+N1472+O1472+P1472),"")</f>
        <v/>
      </c>
      <c r="R1472" s="61" t="str">
        <f aca="false">IF(IsPro,IF($D1472="","",ROUND(N($E1472)*IFERROR(INDEX(Items!$P$5:$P$504,U1472),0),2)),"")</f>
        <v/>
      </c>
      <c r="S1472" s="61" t="str">
        <f aca="false">IF(IsPro,IF($D1472="","",L1472-R1472),"")</f>
        <v/>
      </c>
      <c r="T1472" s="60" t="str">
        <f aca="false">IF(IsPro,IF($D1472="","",IF(U1472="","UNKNOWN ITEM",IF(INDEX(Items!$O$5:$O$504,U1472)&lt;0,"NEG STOCK",IF(K1472&lt;INDEX(Items!$P$5:$P$504,U1472),"BELOW COST","OK")))),IF($D1472="","","PRO PLAN"))</f>
        <v/>
      </c>
      <c r="U1472" s="60" t="str">
        <f aca="false">IF(IsPro,IF($D1472="","",IFERROR(MATCH($D1472,Items!$A$5:$A$504,0),"")),"")</f>
        <v/>
      </c>
      <c r="V1472" s="60" t="str">
        <f aca="false">IF(IsPro,IF($C1472="","",IFERROR(MATCH($C1472,Parties!$A$5:$A$304,0),"")),"")</f>
        <v/>
      </c>
      <c r="W1472" s="60" t="str">
        <f aca="false">IF(IsPro,IF($B1472="","",IFERROR(VALUE(SUBSTITUTE($B1472,InvPrefix,"")),0)),"")</f>
        <v/>
      </c>
      <c r="X1472" s="61" t="str">
        <f aca="false">IF(IsPro,IF($D1472="","",IF(OR($H1472="",$H1472="Credit"),0,Q1472)),"")</f>
        <v/>
      </c>
    </row>
    <row r="1473" customFormat="false" ht="15" hidden="false" customHeight="false" outlineLevel="0" collapsed="false">
      <c r="A1473" s="55"/>
      <c r="B1473" s="56"/>
      <c r="C1473" s="56"/>
      <c r="D1473" s="56"/>
      <c r="E1473" s="57"/>
      <c r="F1473" s="58"/>
      <c r="G1473" s="59"/>
      <c r="H1473" s="56"/>
      <c r="I1473" s="56"/>
      <c r="J1473" s="60" t="str">
        <f aca="false">IF(IsPro,IF($D1473="","",IFERROR(INDEX(Items!$D$5:$D$504,U1473),"")),"")</f>
        <v/>
      </c>
      <c r="K1473" s="61" t="str">
        <f aca="false">IF(IsPro,IF($D1473="","",IF($F1473="",IFERROR(INDEX(Items!$H$5:$H$504,U1473),0),$F1473)),"")</f>
        <v/>
      </c>
      <c r="L1473" s="61" t="str">
        <f aca="false">IF(IsPro,IF($D1473="","",ROUND(N($E1473)*K1473*(1-N($G1473)),2)),"")</f>
        <v/>
      </c>
      <c r="M1473" s="62" t="str">
        <f aca="false">IF(IsPro,IF($D1473="","",IFERROR(INDEX(Items!$F$5:$F$504,U1473),0)),"")</f>
        <v/>
      </c>
      <c r="N1473" s="61" t="str">
        <f aca="false">IF(IsPro,IF($D1473="","",IF(AND(V1473&lt;&gt;"",INDEX(Parties!$E$5:$E$304,V1473)&lt;&gt;"",INDEX(Parties!$E$5:$E$304,V1473)&lt;&gt;HomeState),0,ROUND(L1473*M1473/2,2))),"")</f>
        <v/>
      </c>
      <c r="O1473" s="61" t="str">
        <f aca="false">IF(IsPro,IF($D1473="","",N1473),"")</f>
        <v/>
      </c>
      <c r="P1473" s="61" t="str">
        <f aca="false">IF(IsPro,IF($D1473="","",IF(AND(V1473&lt;&gt;"",INDEX(Parties!$E$5:$E$304,V1473)&lt;&gt;"",INDEX(Parties!$E$5:$E$304,V1473)&lt;&gt;HomeState),ROUND(L1473*M1473,2),0)),"")</f>
        <v/>
      </c>
      <c r="Q1473" s="61" t="str">
        <f aca="false">IF(IsPro,IF($D1473="","",L1473+N1473+O1473+P1473),"")</f>
        <v/>
      </c>
      <c r="R1473" s="61" t="str">
        <f aca="false">IF(IsPro,IF($D1473="","",ROUND(N($E1473)*IFERROR(INDEX(Items!$P$5:$P$504,U1473),0),2)),"")</f>
        <v/>
      </c>
      <c r="S1473" s="61" t="str">
        <f aca="false">IF(IsPro,IF($D1473="","",L1473-R1473),"")</f>
        <v/>
      </c>
      <c r="T1473" s="60" t="str">
        <f aca="false">IF(IsPro,IF($D1473="","",IF(U1473="","UNKNOWN ITEM",IF(INDEX(Items!$O$5:$O$504,U1473)&lt;0,"NEG STOCK",IF(K1473&lt;INDEX(Items!$P$5:$P$504,U1473),"BELOW COST","OK")))),IF($D1473="","","PRO PLAN"))</f>
        <v/>
      </c>
      <c r="U1473" s="60" t="str">
        <f aca="false">IF(IsPro,IF($D1473="","",IFERROR(MATCH($D1473,Items!$A$5:$A$504,0),"")),"")</f>
        <v/>
      </c>
      <c r="V1473" s="60" t="str">
        <f aca="false">IF(IsPro,IF($C1473="","",IFERROR(MATCH($C1473,Parties!$A$5:$A$304,0),"")),"")</f>
        <v/>
      </c>
      <c r="W1473" s="60" t="str">
        <f aca="false">IF(IsPro,IF($B1473="","",IFERROR(VALUE(SUBSTITUTE($B1473,InvPrefix,"")),0)),"")</f>
        <v/>
      </c>
      <c r="X1473" s="61" t="str">
        <f aca="false">IF(IsPro,IF($D1473="","",IF(OR($H1473="",$H1473="Credit"),0,Q1473)),"")</f>
        <v/>
      </c>
    </row>
    <row r="1474" customFormat="false" ht="15" hidden="false" customHeight="false" outlineLevel="0" collapsed="false">
      <c r="A1474" s="55"/>
      <c r="B1474" s="56"/>
      <c r="C1474" s="56"/>
      <c r="D1474" s="56"/>
      <c r="E1474" s="57"/>
      <c r="F1474" s="58"/>
      <c r="G1474" s="59"/>
      <c r="H1474" s="56"/>
      <c r="I1474" s="56"/>
      <c r="J1474" s="60" t="str">
        <f aca="false">IF(IsPro,IF($D1474="","",IFERROR(INDEX(Items!$D$5:$D$504,U1474),"")),"")</f>
        <v/>
      </c>
      <c r="K1474" s="61" t="str">
        <f aca="false">IF(IsPro,IF($D1474="","",IF($F1474="",IFERROR(INDEX(Items!$H$5:$H$504,U1474),0),$F1474)),"")</f>
        <v/>
      </c>
      <c r="L1474" s="61" t="str">
        <f aca="false">IF(IsPro,IF($D1474="","",ROUND(N($E1474)*K1474*(1-N($G1474)),2)),"")</f>
        <v/>
      </c>
      <c r="M1474" s="62" t="str">
        <f aca="false">IF(IsPro,IF($D1474="","",IFERROR(INDEX(Items!$F$5:$F$504,U1474),0)),"")</f>
        <v/>
      </c>
      <c r="N1474" s="61" t="str">
        <f aca="false">IF(IsPro,IF($D1474="","",IF(AND(V1474&lt;&gt;"",INDEX(Parties!$E$5:$E$304,V1474)&lt;&gt;"",INDEX(Parties!$E$5:$E$304,V1474)&lt;&gt;HomeState),0,ROUND(L1474*M1474/2,2))),"")</f>
        <v/>
      </c>
      <c r="O1474" s="61" t="str">
        <f aca="false">IF(IsPro,IF($D1474="","",N1474),"")</f>
        <v/>
      </c>
      <c r="P1474" s="61" t="str">
        <f aca="false">IF(IsPro,IF($D1474="","",IF(AND(V1474&lt;&gt;"",INDEX(Parties!$E$5:$E$304,V1474)&lt;&gt;"",INDEX(Parties!$E$5:$E$304,V1474)&lt;&gt;HomeState),ROUND(L1474*M1474,2),0)),"")</f>
        <v/>
      </c>
      <c r="Q1474" s="61" t="str">
        <f aca="false">IF(IsPro,IF($D1474="","",L1474+N1474+O1474+P1474),"")</f>
        <v/>
      </c>
      <c r="R1474" s="61" t="str">
        <f aca="false">IF(IsPro,IF($D1474="","",ROUND(N($E1474)*IFERROR(INDEX(Items!$P$5:$P$504,U1474),0),2)),"")</f>
        <v/>
      </c>
      <c r="S1474" s="61" t="str">
        <f aca="false">IF(IsPro,IF($D1474="","",L1474-R1474),"")</f>
        <v/>
      </c>
      <c r="T1474" s="60" t="str">
        <f aca="false">IF(IsPro,IF($D1474="","",IF(U1474="","UNKNOWN ITEM",IF(INDEX(Items!$O$5:$O$504,U1474)&lt;0,"NEG STOCK",IF(K1474&lt;INDEX(Items!$P$5:$P$504,U1474),"BELOW COST","OK")))),IF($D1474="","","PRO PLAN"))</f>
        <v/>
      </c>
      <c r="U1474" s="60" t="str">
        <f aca="false">IF(IsPro,IF($D1474="","",IFERROR(MATCH($D1474,Items!$A$5:$A$504,0),"")),"")</f>
        <v/>
      </c>
      <c r="V1474" s="60" t="str">
        <f aca="false">IF(IsPro,IF($C1474="","",IFERROR(MATCH($C1474,Parties!$A$5:$A$304,0),"")),"")</f>
        <v/>
      </c>
      <c r="W1474" s="60" t="str">
        <f aca="false">IF(IsPro,IF($B1474="","",IFERROR(VALUE(SUBSTITUTE($B1474,InvPrefix,"")),0)),"")</f>
        <v/>
      </c>
      <c r="X1474" s="61" t="str">
        <f aca="false">IF(IsPro,IF($D1474="","",IF(OR($H1474="",$H1474="Credit"),0,Q1474)),"")</f>
        <v/>
      </c>
    </row>
    <row r="1475" customFormat="false" ht="15" hidden="false" customHeight="false" outlineLevel="0" collapsed="false">
      <c r="A1475" s="55"/>
      <c r="B1475" s="56"/>
      <c r="C1475" s="56"/>
      <c r="D1475" s="56"/>
      <c r="E1475" s="57"/>
      <c r="F1475" s="58"/>
      <c r="G1475" s="59"/>
      <c r="H1475" s="56"/>
      <c r="I1475" s="56"/>
      <c r="J1475" s="60" t="str">
        <f aca="false">IF(IsPro,IF($D1475="","",IFERROR(INDEX(Items!$D$5:$D$504,U1475),"")),"")</f>
        <v/>
      </c>
      <c r="K1475" s="61" t="str">
        <f aca="false">IF(IsPro,IF($D1475="","",IF($F1475="",IFERROR(INDEX(Items!$H$5:$H$504,U1475),0),$F1475)),"")</f>
        <v/>
      </c>
      <c r="L1475" s="61" t="str">
        <f aca="false">IF(IsPro,IF($D1475="","",ROUND(N($E1475)*K1475*(1-N($G1475)),2)),"")</f>
        <v/>
      </c>
      <c r="M1475" s="62" t="str">
        <f aca="false">IF(IsPro,IF($D1475="","",IFERROR(INDEX(Items!$F$5:$F$504,U1475),0)),"")</f>
        <v/>
      </c>
      <c r="N1475" s="61" t="str">
        <f aca="false">IF(IsPro,IF($D1475="","",IF(AND(V1475&lt;&gt;"",INDEX(Parties!$E$5:$E$304,V1475)&lt;&gt;"",INDEX(Parties!$E$5:$E$304,V1475)&lt;&gt;HomeState),0,ROUND(L1475*M1475/2,2))),"")</f>
        <v/>
      </c>
      <c r="O1475" s="61" t="str">
        <f aca="false">IF(IsPro,IF($D1475="","",N1475),"")</f>
        <v/>
      </c>
      <c r="P1475" s="61" t="str">
        <f aca="false">IF(IsPro,IF($D1475="","",IF(AND(V1475&lt;&gt;"",INDEX(Parties!$E$5:$E$304,V1475)&lt;&gt;"",INDEX(Parties!$E$5:$E$304,V1475)&lt;&gt;HomeState),ROUND(L1475*M1475,2),0)),"")</f>
        <v/>
      </c>
      <c r="Q1475" s="61" t="str">
        <f aca="false">IF(IsPro,IF($D1475="","",L1475+N1475+O1475+P1475),"")</f>
        <v/>
      </c>
      <c r="R1475" s="61" t="str">
        <f aca="false">IF(IsPro,IF($D1475="","",ROUND(N($E1475)*IFERROR(INDEX(Items!$P$5:$P$504,U1475),0),2)),"")</f>
        <v/>
      </c>
      <c r="S1475" s="61" t="str">
        <f aca="false">IF(IsPro,IF($D1475="","",L1475-R1475),"")</f>
        <v/>
      </c>
      <c r="T1475" s="60" t="str">
        <f aca="false">IF(IsPro,IF($D1475="","",IF(U1475="","UNKNOWN ITEM",IF(INDEX(Items!$O$5:$O$504,U1475)&lt;0,"NEG STOCK",IF(K1475&lt;INDEX(Items!$P$5:$P$504,U1475),"BELOW COST","OK")))),IF($D1475="","","PRO PLAN"))</f>
        <v/>
      </c>
      <c r="U1475" s="60" t="str">
        <f aca="false">IF(IsPro,IF($D1475="","",IFERROR(MATCH($D1475,Items!$A$5:$A$504,0),"")),"")</f>
        <v/>
      </c>
      <c r="V1475" s="60" t="str">
        <f aca="false">IF(IsPro,IF($C1475="","",IFERROR(MATCH($C1475,Parties!$A$5:$A$304,0),"")),"")</f>
        <v/>
      </c>
      <c r="W1475" s="60" t="str">
        <f aca="false">IF(IsPro,IF($B1475="","",IFERROR(VALUE(SUBSTITUTE($B1475,InvPrefix,"")),0)),"")</f>
        <v/>
      </c>
      <c r="X1475" s="61" t="str">
        <f aca="false">IF(IsPro,IF($D1475="","",IF(OR($H1475="",$H1475="Credit"),0,Q1475)),"")</f>
        <v/>
      </c>
    </row>
    <row r="1476" customFormat="false" ht="15" hidden="false" customHeight="false" outlineLevel="0" collapsed="false">
      <c r="A1476" s="55"/>
      <c r="B1476" s="56"/>
      <c r="C1476" s="56"/>
      <c r="D1476" s="56"/>
      <c r="E1476" s="57"/>
      <c r="F1476" s="58"/>
      <c r="G1476" s="59"/>
      <c r="H1476" s="56"/>
      <c r="I1476" s="56"/>
      <c r="J1476" s="60" t="str">
        <f aca="false">IF(IsPro,IF($D1476="","",IFERROR(INDEX(Items!$D$5:$D$504,U1476),"")),"")</f>
        <v/>
      </c>
      <c r="K1476" s="61" t="str">
        <f aca="false">IF(IsPro,IF($D1476="","",IF($F1476="",IFERROR(INDEX(Items!$H$5:$H$504,U1476),0),$F1476)),"")</f>
        <v/>
      </c>
      <c r="L1476" s="61" t="str">
        <f aca="false">IF(IsPro,IF($D1476="","",ROUND(N($E1476)*K1476*(1-N($G1476)),2)),"")</f>
        <v/>
      </c>
      <c r="M1476" s="62" t="str">
        <f aca="false">IF(IsPro,IF($D1476="","",IFERROR(INDEX(Items!$F$5:$F$504,U1476),0)),"")</f>
        <v/>
      </c>
      <c r="N1476" s="61" t="str">
        <f aca="false">IF(IsPro,IF($D1476="","",IF(AND(V1476&lt;&gt;"",INDEX(Parties!$E$5:$E$304,V1476)&lt;&gt;"",INDEX(Parties!$E$5:$E$304,V1476)&lt;&gt;HomeState),0,ROUND(L1476*M1476/2,2))),"")</f>
        <v/>
      </c>
      <c r="O1476" s="61" t="str">
        <f aca="false">IF(IsPro,IF($D1476="","",N1476),"")</f>
        <v/>
      </c>
      <c r="P1476" s="61" t="str">
        <f aca="false">IF(IsPro,IF($D1476="","",IF(AND(V1476&lt;&gt;"",INDEX(Parties!$E$5:$E$304,V1476)&lt;&gt;"",INDEX(Parties!$E$5:$E$304,V1476)&lt;&gt;HomeState),ROUND(L1476*M1476,2),0)),"")</f>
        <v/>
      </c>
      <c r="Q1476" s="61" t="str">
        <f aca="false">IF(IsPro,IF($D1476="","",L1476+N1476+O1476+P1476),"")</f>
        <v/>
      </c>
      <c r="R1476" s="61" t="str">
        <f aca="false">IF(IsPro,IF($D1476="","",ROUND(N($E1476)*IFERROR(INDEX(Items!$P$5:$P$504,U1476),0),2)),"")</f>
        <v/>
      </c>
      <c r="S1476" s="61" t="str">
        <f aca="false">IF(IsPro,IF($D1476="","",L1476-R1476),"")</f>
        <v/>
      </c>
      <c r="T1476" s="60" t="str">
        <f aca="false">IF(IsPro,IF($D1476="","",IF(U1476="","UNKNOWN ITEM",IF(INDEX(Items!$O$5:$O$504,U1476)&lt;0,"NEG STOCK",IF(K1476&lt;INDEX(Items!$P$5:$P$504,U1476),"BELOW COST","OK")))),IF($D1476="","","PRO PLAN"))</f>
        <v/>
      </c>
      <c r="U1476" s="60" t="str">
        <f aca="false">IF(IsPro,IF($D1476="","",IFERROR(MATCH($D1476,Items!$A$5:$A$504,0),"")),"")</f>
        <v/>
      </c>
      <c r="V1476" s="60" t="str">
        <f aca="false">IF(IsPro,IF($C1476="","",IFERROR(MATCH($C1476,Parties!$A$5:$A$304,0),"")),"")</f>
        <v/>
      </c>
      <c r="W1476" s="60" t="str">
        <f aca="false">IF(IsPro,IF($B1476="","",IFERROR(VALUE(SUBSTITUTE($B1476,InvPrefix,"")),0)),"")</f>
        <v/>
      </c>
      <c r="X1476" s="61" t="str">
        <f aca="false">IF(IsPro,IF($D1476="","",IF(OR($H1476="",$H1476="Credit"),0,Q1476)),"")</f>
        <v/>
      </c>
    </row>
    <row r="1477" customFormat="false" ht="15" hidden="false" customHeight="false" outlineLevel="0" collapsed="false">
      <c r="A1477" s="55"/>
      <c r="B1477" s="56"/>
      <c r="C1477" s="56"/>
      <c r="D1477" s="56"/>
      <c r="E1477" s="57"/>
      <c r="F1477" s="58"/>
      <c r="G1477" s="59"/>
      <c r="H1477" s="56"/>
      <c r="I1477" s="56"/>
      <c r="J1477" s="60" t="str">
        <f aca="false">IF(IsPro,IF($D1477="","",IFERROR(INDEX(Items!$D$5:$D$504,U1477),"")),"")</f>
        <v/>
      </c>
      <c r="K1477" s="61" t="str">
        <f aca="false">IF(IsPro,IF($D1477="","",IF($F1477="",IFERROR(INDEX(Items!$H$5:$H$504,U1477),0),$F1477)),"")</f>
        <v/>
      </c>
      <c r="L1477" s="61" t="str">
        <f aca="false">IF(IsPro,IF($D1477="","",ROUND(N($E1477)*K1477*(1-N($G1477)),2)),"")</f>
        <v/>
      </c>
      <c r="M1477" s="62" t="str">
        <f aca="false">IF(IsPro,IF($D1477="","",IFERROR(INDEX(Items!$F$5:$F$504,U1477),0)),"")</f>
        <v/>
      </c>
      <c r="N1477" s="61" t="str">
        <f aca="false">IF(IsPro,IF($D1477="","",IF(AND(V1477&lt;&gt;"",INDEX(Parties!$E$5:$E$304,V1477)&lt;&gt;"",INDEX(Parties!$E$5:$E$304,V1477)&lt;&gt;HomeState),0,ROUND(L1477*M1477/2,2))),"")</f>
        <v/>
      </c>
      <c r="O1477" s="61" t="str">
        <f aca="false">IF(IsPro,IF($D1477="","",N1477),"")</f>
        <v/>
      </c>
      <c r="P1477" s="61" t="str">
        <f aca="false">IF(IsPro,IF($D1477="","",IF(AND(V1477&lt;&gt;"",INDEX(Parties!$E$5:$E$304,V1477)&lt;&gt;"",INDEX(Parties!$E$5:$E$304,V1477)&lt;&gt;HomeState),ROUND(L1477*M1477,2),0)),"")</f>
        <v/>
      </c>
      <c r="Q1477" s="61" t="str">
        <f aca="false">IF(IsPro,IF($D1477="","",L1477+N1477+O1477+P1477),"")</f>
        <v/>
      </c>
      <c r="R1477" s="61" t="str">
        <f aca="false">IF(IsPro,IF($D1477="","",ROUND(N($E1477)*IFERROR(INDEX(Items!$P$5:$P$504,U1477),0),2)),"")</f>
        <v/>
      </c>
      <c r="S1477" s="61" t="str">
        <f aca="false">IF(IsPro,IF($D1477="","",L1477-R1477),"")</f>
        <v/>
      </c>
      <c r="T1477" s="60" t="str">
        <f aca="false">IF(IsPro,IF($D1477="","",IF(U1477="","UNKNOWN ITEM",IF(INDEX(Items!$O$5:$O$504,U1477)&lt;0,"NEG STOCK",IF(K1477&lt;INDEX(Items!$P$5:$P$504,U1477),"BELOW COST","OK")))),IF($D1477="","","PRO PLAN"))</f>
        <v/>
      </c>
      <c r="U1477" s="60" t="str">
        <f aca="false">IF(IsPro,IF($D1477="","",IFERROR(MATCH($D1477,Items!$A$5:$A$504,0),"")),"")</f>
        <v/>
      </c>
      <c r="V1477" s="60" t="str">
        <f aca="false">IF(IsPro,IF($C1477="","",IFERROR(MATCH($C1477,Parties!$A$5:$A$304,0),"")),"")</f>
        <v/>
      </c>
      <c r="W1477" s="60" t="str">
        <f aca="false">IF(IsPro,IF($B1477="","",IFERROR(VALUE(SUBSTITUTE($B1477,InvPrefix,"")),0)),"")</f>
        <v/>
      </c>
      <c r="X1477" s="61" t="str">
        <f aca="false">IF(IsPro,IF($D1477="","",IF(OR($H1477="",$H1477="Credit"),0,Q1477)),"")</f>
        <v/>
      </c>
    </row>
    <row r="1478" customFormat="false" ht="15" hidden="false" customHeight="false" outlineLevel="0" collapsed="false">
      <c r="A1478" s="55"/>
      <c r="B1478" s="56"/>
      <c r="C1478" s="56"/>
      <c r="D1478" s="56"/>
      <c r="E1478" s="57"/>
      <c r="F1478" s="58"/>
      <c r="G1478" s="59"/>
      <c r="H1478" s="56"/>
      <c r="I1478" s="56"/>
      <c r="J1478" s="60" t="str">
        <f aca="false">IF(IsPro,IF($D1478="","",IFERROR(INDEX(Items!$D$5:$D$504,U1478),"")),"")</f>
        <v/>
      </c>
      <c r="K1478" s="61" t="str">
        <f aca="false">IF(IsPro,IF($D1478="","",IF($F1478="",IFERROR(INDEX(Items!$H$5:$H$504,U1478),0),$F1478)),"")</f>
        <v/>
      </c>
      <c r="L1478" s="61" t="str">
        <f aca="false">IF(IsPro,IF($D1478="","",ROUND(N($E1478)*K1478*(1-N($G1478)),2)),"")</f>
        <v/>
      </c>
      <c r="M1478" s="62" t="str">
        <f aca="false">IF(IsPro,IF($D1478="","",IFERROR(INDEX(Items!$F$5:$F$504,U1478),0)),"")</f>
        <v/>
      </c>
      <c r="N1478" s="61" t="str">
        <f aca="false">IF(IsPro,IF($D1478="","",IF(AND(V1478&lt;&gt;"",INDEX(Parties!$E$5:$E$304,V1478)&lt;&gt;"",INDEX(Parties!$E$5:$E$304,V1478)&lt;&gt;HomeState),0,ROUND(L1478*M1478/2,2))),"")</f>
        <v/>
      </c>
      <c r="O1478" s="61" t="str">
        <f aca="false">IF(IsPro,IF($D1478="","",N1478),"")</f>
        <v/>
      </c>
      <c r="P1478" s="61" t="str">
        <f aca="false">IF(IsPro,IF($D1478="","",IF(AND(V1478&lt;&gt;"",INDEX(Parties!$E$5:$E$304,V1478)&lt;&gt;"",INDEX(Parties!$E$5:$E$304,V1478)&lt;&gt;HomeState),ROUND(L1478*M1478,2),0)),"")</f>
        <v/>
      </c>
      <c r="Q1478" s="61" t="str">
        <f aca="false">IF(IsPro,IF($D1478="","",L1478+N1478+O1478+P1478),"")</f>
        <v/>
      </c>
      <c r="R1478" s="61" t="str">
        <f aca="false">IF(IsPro,IF($D1478="","",ROUND(N($E1478)*IFERROR(INDEX(Items!$P$5:$P$504,U1478),0),2)),"")</f>
        <v/>
      </c>
      <c r="S1478" s="61" t="str">
        <f aca="false">IF(IsPro,IF($D1478="","",L1478-R1478),"")</f>
        <v/>
      </c>
      <c r="T1478" s="60" t="str">
        <f aca="false">IF(IsPro,IF($D1478="","",IF(U1478="","UNKNOWN ITEM",IF(INDEX(Items!$O$5:$O$504,U1478)&lt;0,"NEG STOCK",IF(K1478&lt;INDEX(Items!$P$5:$P$504,U1478),"BELOW COST","OK")))),IF($D1478="","","PRO PLAN"))</f>
        <v/>
      </c>
      <c r="U1478" s="60" t="str">
        <f aca="false">IF(IsPro,IF($D1478="","",IFERROR(MATCH($D1478,Items!$A$5:$A$504,0),"")),"")</f>
        <v/>
      </c>
      <c r="V1478" s="60" t="str">
        <f aca="false">IF(IsPro,IF($C1478="","",IFERROR(MATCH($C1478,Parties!$A$5:$A$304,0),"")),"")</f>
        <v/>
      </c>
      <c r="W1478" s="60" t="str">
        <f aca="false">IF(IsPro,IF($B1478="","",IFERROR(VALUE(SUBSTITUTE($B1478,InvPrefix,"")),0)),"")</f>
        <v/>
      </c>
      <c r="X1478" s="61" t="str">
        <f aca="false">IF(IsPro,IF($D1478="","",IF(OR($H1478="",$H1478="Credit"),0,Q1478)),"")</f>
        <v/>
      </c>
    </row>
    <row r="1479" customFormat="false" ht="15" hidden="false" customHeight="false" outlineLevel="0" collapsed="false">
      <c r="A1479" s="55"/>
      <c r="B1479" s="56"/>
      <c r="C1479" s="56"/>
      <c r="D1479" s="56"/>
      <c r="E1479" s="57"/>
      <c r="F1479" s="58"/>
      <c r="G1479" s="59"/>
      <c r="H1479" s="56"/>
      <c r="I1479" s="56"/>
      <c r="J1479" s="60" t="str">
        <f aca="false">IF(IsPro,IF($D1479="","",IFERROR(INDEX(Items!$D$5:$D$504,U1479),"")),"")</f>
        <v/>
      </c>
      <c r="K1479" s="61" t="str">
        <f aca="false">IF(IsPro,IF($D1479="","",IF($F1479="",IFERROR(INDEX(Items!$H$5:$H$504,U1479),0),$F1479)),"")</f>
        <v/>
      </c>
      <c r="L1479" s="61" t="str">
        <f aca="false">IF(IsPro,IF($D1479="","",ROUND(N($E1479)*K1479*(1-N($G1479)),2)),"")</f>
        <v/>
      </c>
      <c r="M1479" s="62" t="str">
        <f aca="false">IF(IsPro,IF($D1479="","",IFERROR(INDEX(Items!$F$5:$F$504,U1479),0)),"")</f>
        <v/>
      </c>
      <c r="N1479" s="61" t="str">
        <f aca="false">IF(IsPro,IF($D1479="","",IF(AND(V1479&lt;&gt;"",INDEX(Parties!$E$5:$E$304,V1479)&lt;&gt;"",INDEX(Parties!$E$5:$E$304,V1479)&lt;&gt;HomeState),0,ROUND(L1479*M1479/2,2))),"")</f>
        <v/>
      </c>
      <c r="O1479" s="61" t="str">
        <f aca="false">IF(IsPro,IF($D1479="","",N1479),"")</f>
        <v/>
      </c>
      <c r="P1479" s="61" t="str">
        <f aca="false">IF(IsPro,IF($D1479="","",IF(AND(V1479&lt;&gt;"",INDEX(Parties!$E$5:$E$304,V1479)&lt;&gt;"",INDEX(Parties!$E$5:$E$304,V1479)&lt;&gt;HomeState),ROUND(L1479*M1479,2),0)),"")</f>
        <v/>
      </c>
      <c r="Q1479" s="61" t="str">
        <f aca="false">IF(IsPro,IF($D1479="","",L1479+N1479+O1479+P1479),"")</f>
        <v/>
      </c>
      <c r="R1479" s="61" t="str">
        <f aca="false">IF(IsPro,IF($D1479="","",ROUND(N($E1479)*IFERROR(INDEX(Items!$P$5:$P$504,U1479),0),2)),"")</f>
        <v/>
      </c>
      <c r="S1479" s="61" t="str">
        <f aca="false">IF(IsPro,IF($D1479="","",L1479-R1479),"")</f>
        <v/>
      </c>
      <c r="T1479" s="60" t="str">
        <f aca="false">IF(IsPro,IF($D1479="","",IF(U1479="","UNKNOWN ITEM",IF(INDEX(Items!$O$5:$O$504,U1479)&lt;0,"NEG STOCK",IF(K1479&lt;INDEX(Items!$P$5:$P$504,U1479),"BELOW COST","OK")))),IF($D1479="","","PRO PLAN"))</f>
        <v/>
      </c>
      <c r="U1479" s="60" t="str">
        <f aca="false">IF(IsPro,IF($D1479="","",IFERROR(MATCH($D1479,Items!$A$5:$A$504,0),"")),"")</f>
        <v/>
      </c>
      <c r="V1479" s="60" t="str">
        <f aca="false">IF(IsPro,IF($C1479="","",IFERROR(MATCH($C1479,Parties!$A$5:$A$304,0),"")),"")</f>
        <v/>
      </c>
      <c r="W1479" s="60" t="str">
        <f aca="false">IF(IsPro,IF($B1479="","",IFERROR(VALUE(SUBSTITUTE($B1479,InvPrefix,"")),0)),"")</f>
        <v/>
      </c>
      <c r="X1479" s="61" t="str">
        <f aca="false">IF(IsPro,IF($D1479="","",IF(OR($H1479="",$H1479="Credit"),0,Q1479)),"")</f>
        <v/>
      </c>
    </row>
    <row r="1480" customFormat="false" ht="15" hidden="false" customHeight="false" outlineLevel="0" collapsed="false">
      <c r="A1480" s="55"/>
      <c r="B1480" s="56"/>
      <c r="C1480" s="56"/>
      <c r="D1480" s="56"/>
      <c r="E1480" s="57"/>
      <c r="F1480" s="58"/>
      <c r="G1480" s="59"/>
      <c r="H1480" s="56"/>
      <c r="I1480" s="56"/>
      <c r="J1480" s="60" t="str">
        <f aca="false">IF(IsPro,IF($D1480="","",IFERROR(INDEX(Items!$D$5:$D$504,U1480),"")),"")</f>
        <v/>
      </c>
      <c r="K1480" s="61" t="str">
        <f aca="false">IF(IsPro,IF($D1480="","",IF($F1480="",IFERROR(INDEX(Items!$H$5:$H$504,U1480),0),$F1480)),"")</f>
        <v/>
      </c>
      <c r="L1480" s="61" t="str">
        <f aca="false">IF(IsPro,IF($D1480="","",ROUND(N($E1480)*K1480*(1-N($G1480)),2)),"")</f>
        <v/>
      </c>
      <c r="M1480" s="62" t="str">
        <f aca="false">IF(IsPro,IF($D1480="","",IFERROR(INDEX(Items!$F$5:$F$504,U1480),0)),"")</f>
        <v/>
      </c>
      <c r="N1480" s="61" t="str">
        <f aca="false">IF(IsPro,IF($D1480="","",IF(AND(V1480&lt;&gt;"",INDEX(Parties!$E$5:$E$304,V1480)&lt;&gt;"",INDEX(Parties!$E$5:$E$304,V1480)&lt;&gt;HomeState),0,ROUND(L1480*M1480/2,2))),"")</f>
        <v/>
      </c>
      <c r="O1480" s="61" t="str">
        <f aca="false">IF(IsPro,IF($D1480="","",N1480),"")</f>
        <v/>
      </c>
      <c r="P1480" s="61" t="str">
        <f aca="false">IF(IsPro,IF($D1480="","",IF(AND(V1480&lt;&gt;"",INDEX(Parties!$E$5:$E$304,V1480)&lt;&gt;"",INDEX(Parties!$E$5:$E$304,V1480)&lt;&gt;HomeState),ROUND(L1480*M1480,2),0)),"")</f>
        <v/>
      </c>
      <c r="Q1480" s="61" t="str">
        <f aca="false">IF(IsPro,IF($D1480="","",L1480+N1480+O1480+P1480),"")</f>
        <v/>
      </c>
      <c r="R1480" s="61" t="str">
        <f aca="false">IF(IsPro,IF($D1480="","",ROUND(N($E1480)*IFERROR(INDEX(Items!$P$5:$P$504,U1480),0),2)),"")</f>
        <v/>
      </c>
      <c r="S1480" s="61" t="str">
        <f aca="false">IF(IsPro,IF($D1480="","",L1480-R1480),"")</f>
        <v/>
      </c>
      <c r="T1480" s="60" t="str">
        <f aca="false">IF(IsPro,IF($D1480="","",IF(U1480="","UNKNOWN ITEM",IF(INDEX(Items!$O$5:$O$504,U1480)&lt;0,"NEG STOCK",IF(K1480&lt;INDEX(Items!$P$5:$P$504,U1480),"BELOW COST","OK")))),IF($D1480="","","PRO PLAN"))</f>
        <v/>
      </c>
      <c r="U1480" s="60" t="str">
        <f aca="false">IF(IsPro,IF($D1480="","",IFERROR(MATCH($D1480,Items!$A$5:$A$504,0),"")),"")</f>
        <v/>
      </c>
      <c r="V1480" s="60" t="str">
        <f aca="false">IF(IsPro,IF($C1480="","",IFERROR(MATCH($C1480,Parties!$A$5:$A$304,0),"")),"")</f>
        <v/>
      </c>
      <c r="W1480" s="60" t="str">
        <f aca="false">IF(IsPro,IF($B1480="","",IFERROR(VALUE(SUBSTITUTE($B1480,InvPrefix,"")),0)),"")</f>
        <v/>
      </c>
      <c r="X1480" s="61" t="str">
        <f aca="false">IF(IsPro,IF($D1480="","",IF(OR($H1480="",$H1480="Credit"),0,Q1480)),"")</f>
        <v/>
      </c>
    </row>
    <row r="1481" customFormat="false" ht="15" hidden="false" customHeight="false" outlineLevel="0" collapsed="false">
      <c r="A1481" s="55"/>
      <c r="B1481" s="56"/>
      <c r="C1481" s="56"/>
      <c r="D1481" s="56"/>
      <c r="E1481" s="57"/>
      <c r="F1481" s="58"/>
      <c r="G1481" s="59"/>
      <c r="H1481" s="56"/>
      <c r="I1481" s="56"/>
      <c r="J1481" s="60" t="str">
        <f aca="false">IF(IsPro,IF($D1481="","",IFERROR(INDEX(Items!$D$5:$D$504,U1481),"")),"")</f>
        <v/>
      </c>
      <c r="K1481" s="61" t="str">
        <f aca="false">IF(IsPro,IF($D1481="","",IF($F1481="",IFERROR(INDEX(Items!$H$5:$H$504,U1481),0),$F1481)),"")</f>
        <v/>
      </c>
      <c r="L1481" s="61" t="str">
        <f aca="false">IF(IsPro,IF($D1481="","",ROUND(N($E1481)*K1481*(1-N($G1481)),2)),"")</f>
        <v/>
      </c>
      <c r="M1481" s="62" t="str">
        <f aca="false">IF(IsPro,IF($D1481="","",IFERROR(INDEX(Items!$F$5:$F$504,U1481),0)),"")</f>
        <v/>
      </c>
      <c r="N1481" s="61" t="str">
        <f aca="false">IF(IsPro,IF($D1481="","",IF(AND(V1481&lt;&gt;"",INDEX(Parties!$E$5:$E$304,V1481)&lt;&gt;"",INDEX(Parties!$E$5:$E$304,V1481)&lt;&gt;HomeState),0,ROUND(L1481*M1481/2,2))),"")</f>
        <v/>
      </c>
      <c r="O1481" s="61" t="str">
        <f aca="false">IF(IsPro,IF($D1481="","",N1481),"")</f>
        <v/>
      </c>
      <c r="P1481" s="61" t="str">
        <f aca="false">IF(IsPro,IF($D1481="","",IF(AND(V1481&lt;&gt;"",INDEX(Parties!$E$5:$E$304,V1481)&lt;&gt;"",INDEX(Parties!$E$5:$E$304,V1481)&lt;&gt;HomeState),ROUND(L1481*M1481,2),0)),"")</f>
        <v/>
      </c>
      <c r="Q1481" s="61" t="str">
        <f aca="false">IF(IsPro,IF($D1481="","",L1481+N1481+O1481+P1481),"")</f>
        <v/>
      </c>
      <c r="R1481" s="61" t="str">
        <f aca="false">IF(IsPro,IF($D1481="","",ROUND(N($E1481)*IFERROR(INDEX(Items!$P$5:$P$504,U1481),0),2)),"")</f>
        <v/>
      </c>
      <c r="S1481" s="61" t="str">
        <f aca="false">IF(IsPro,IF($D1481="","",L1481-R1481),"")</f>
        <v/>
      </c>
      <c r="T1481" s="60" t="str">
        <f aca="false">IF(IsPro,IF($D1481="","",IF(U1481="","UNKNOWN ITEM",IF(INDEX(Items!$O$5:$O$504,U1481)&lt;0,"NEG STOCK",IF(K1481&lt;INDEX(Items!$P$5:$P$504,U1481),"BELOW COST","OK")))),IF($D1481="","","PRO PLAN"))</f>
        <v/>
      </c>
      <c r="U1481" s="60" t="str">
        <f aca="false">IF(IsPro,IF($D1481="","",IFERROR(MATCH($D1481,Items!$A$5:$A$504,0),"")),"")</f>
        <v/>
      </c>
      <c r="V1481" s="60" t="str">
        <f aca="false">IF(IsPro,IF($C1481="","",IFERROR(MATCH($C1481,Parties!$A$5:$A$304,0),"")),"")</f>
        <v/>
      </c>
      <c r="W1481" s="60" t="str">
        <f aca="false">IF(IsPro,IF($B1481="","",IFERROR(VALUE(SUBSTITUTE($B1481,InvPrefix,"")),0)),"")</f>
        <v/>
      </c>
      <c r="X1481" s="61" t="str">
        <f aca="false">IF(IsPro,IF($D1481="","",IF(OR($H1481="",$H1481="Credit"),0,Q1481)),"")</f>
        <v/>
      </c>
    </row>
    <row r="1482" customFormat="false" ht="15" hidden="false" customHeight="false" outlineLevel="0" collapsed="false">
      <c r="A1482" s="55"/>
      <c r="B1482" s="56"/>
      <c r="C1482" s="56"/>
      <c r="D1482" s="56"/>
      <c r="E1482" s="57"/>
      <c r="F1482" s="58"/>
      <c r="G1482" s="59"/>
      <c r="H1482" s="56"/>
      <c r="I1482" s="56"/>
      <c r="J1482" s="60" t="str">
        <f aca="false">IF(IsPro,IF($D1482="","",IFERROR(INDEX(Items!$D$5:$D$504,U1482),"")),"")</f>
        <v/>
      </c>
      <c r="K1482" s="61" t="str">
        <f aca="false">IF(IsPro,IF($D1482="","",IF($F1482="",IFERROR(INDEX(Items!$H$5:$H$504,U1482),0),$F1482)),"")</f>
        <v/>
      </c>
      <c r="L1482" s="61" t="str">
        <f aca="false">IF(IsPro,IF($D1482="","",ROUND(N($E1482)*K1482*(1-N($G1482)),2)),"")</f>
        <v/>
      </c>
      <c r="M1482" s="62" t="str">
        <f aca="false">IF(IsPro,IF($D1482="","",IFERROR(INDEX(Items!$F$5:$F$504,U1482),0)),"")</f>
        <v/>
      </c>
      <c r="N1482" s="61" t="str">
        <f aca="false">IF(IsPro,IF($D1482="","",IF(AND(V1482&lt;&gt;"",INDEX(Parties!$E$5:$E$304,V1482)&lt;&gt;"",INDEX(Parties!$E$5:$E$304,V1482)&lt;&gt;HomeState),0,ROUND(L1482*M1482/2,2))),"")</f>
        <v/>
      </c>
      <c r="O1482" s="61" t="str">
        <f aca="false">IF(IsPro,IF($D1482="","",N1482),"")</f>
        <v/>
      </c>
      <c r="P1482" s="61" t="str">
        <f aca="false">IF(IsPro,IF($D1482="","",IF(AND(V1482&lt;&gt;"",INDEX(Parties!$E$5:$E$304,V1482)&lt;&gt;"",INDEX(Parties!$E$5:$E$304,V1482)&lt;&gt;HomeState),ROUND(L1482*M1482,2),0)),"")</f>
        <v/>
      </c>
      <c r="Q1482" s="61" t="str">
        <f aca="false">IF(IsPro,IF($D1482="","",L1482+N1482+O1482+P1482),"")</f>
        <v/>
      </c>
      <c r="R1482" s="61" t="str">
        <f aca="false">IF(IsPro,IF($D1482="","",ROUND(N($E1482)*IFERROR(INDEX(Items!$P$5:$P$504,U1482),0),2)),"")</f>
        <v/>
      </c>
      <c r="S1482" s="61" t="str">
        <f aca="false">IF(IsPro,IF($D1482="","",L1482-R1482),"")</f>
        <v/>
      </c>
      <c r="T1482" s="60" t="str">
        <f aca="false">IF(IsPro,IF($D1482="","",IF(U1482="","UNKNOWN ITEM",IF(INDEX(Items!$O$5:$O$504,U1482)&lt;0,"NEG STOCK",IF(K1482&lt;INDEX(Items!$P$5:$P$504,U1482),"BELOW COST","OK")))),IF($D1482="","","PRO PLAN"))</f>
        <v/>
      </c>
      <c r="U1482" s="60" t="str">
        <f aca="false">IF(IsPro,IF($D1482="","",IFERROR(MATCH($D1482,Items!$A$5:$A$504,0),"")),"")</f>
        <v/>
      </c>
      <c r="V1482" s="60" t="str">
        <f aca="false">IF(IsPro,IF($C1482="","",IFERROR(MATCH($C1482,Parties!$A$5:$A$304,0),"")),"")</f>
        <v/>
      </c>
      <c r="W1482" s="60" t="str">
        <f aca="false">IF(IsPro,IF($B1482="","",IFERROR(VALUE(SUBSTITUTE($B1482,InvPrefix,"")),0)),"")</f>
        <v/>
      </c>
      <c r="X1482" s="61" t="str">
        <f aca="false">IF(IsPro,IF($D1482="","",IF(OR($H1482="",$H1482="Credit"),0,Q1482)),"")</f>
        <v/>
      </c>
    </row>
    <row r="1483" customFormat="false" ht="15" hidden="false" customHeight="false" outlineLevel="0" collapsed="false">
      <c r="A1483" s="55"/>
      <c r="B1483" s="56"/>
      <c r="C1483" s="56"/>
      <c r="D1483" s="56"/>
      <c r="E1483" s="57"/>
      <c r="F1483" s="58"/>
      <c r="G1483" s="59"/>
      <c r="H1483" s="56"/>
      <c r="I1483" s="56"/>
      <c r="J1483" s="60" t="str">
        <f aca="false">IF(IsPro,IF($D1483="","",IFERROR(INDEX(Items!$D$5:$D$504,U1483),"")),"")</f>
        <v/>
      </c>
      <c r="K1483" s="61" t="str">
        <f aca="false">IF(IsPro,IF($D1483="","",IF($F1483="",IFERROR(INDEX(Items!$H$5:$H$504,U1483),0),$F1483)),"")</f>
        <v/>
      </c>
      <c r="L1483" s="61" t="str">
        <f aca="false">IF(IsPro,IF($D1483="","",ROUND(N($E1483)*K1483*(1-N($G1483)),2)),"")</f>
        <v/>
      </c>
      <c r="M1483" s="62" t="str">
        <f aca="false">IF(IsPro,IF($D1483="","",IFERROR(INDEX(Items!$F$5:$F$504,U1483),0)),"")</f>
        <v/>
      </c>
      <c r="N1483" s="61" t="str">
        <f aca="false">IF(IsPro,IF($D1483="","",IF(AND(V1483&lt;&gt;"",INDEX(Parties!$E$5:$E$304,V1483)&lt;&gt;"",INDEX(Parties!$E$5:$E$304,V1483)&lt;&gt;HomeState),0,ROUND(L1483*M1483/2,2))),"")</f>
        <v/>
      </c>
      <c r="O1483" s="61" t="str">
        <f aca="false">IF(IsPro,IF($D1483="","",N1483),"")</f>
        <v/>
      </c>
      <c r="P1483" s="61" t="str">
        <f aca="false">IF(IsPro,IF($D1483="","",IF(AND(V1483&lt;&gt;"",INDEX(Parties!$E$5:$E$304,V1483)&lt;&gt;"",INDEX(Parties!$E$5:$E$304,V1483)&lt;&gt;HomeState),ROUND(L1483*M1483,2),0)),"")</f>
        <v/>
      </c>
      <c r="Q1483" s="61" t="str">
        <f aca="false">IF(IsPro,IF($D1483="","",L1483+N1483+O1483+P1483),"")</f>
        <v/>
      </c>
      <c r="R1483" s="61" t="str">
        <f aca="false">IF(IsPro,IF($D1483="","",ROUND(N($E1483)*IFERROR(INDEX(Items!$P$5:$P$504,U1483),0),2)),"")</f>
        <v/>
      </c>
      <c r="S1483" s="61" t="str">
        <f aca="false">IF(IsPro,IF($D1483="","",L1483-R1483),"")</f>
        <v/>
      </c>
      <c r="T1483" s="60" t="str">
        <f aca="false">IF(IsPro,IF($D1483="","",IF(U1483="","UNKNOWN ITEM",IF(INDEX(Items!$O$5:$O$504,U1483)&lt;0,"NEG STOCK",IF(K1483&lt;INDEX(Items!$P$5:$P$504,U1483),"BELOW COST","OK")))),IF($D1483="","","PRO PLAN"))</f>
        <v/>
      </c>
      <c r="U1483" s="60" t="str">
        <f aca="false">IF(IsPro,IF($D1483="","",IFERROR(MATCH($D1483,Items!$A$5:$A$504,0),"")),"")</f>
        <v/>
      </c>
      <c r="V1483" s="60" t="str">
        <f aca="false">IF(IsPro,IF($C1483="","",IFERROR(MATCH($C1483,Parties!$A$5:$A$304,0),"")),"")</f>
        <v/>
      </c>
      <c r="W1483" s="60" t="str">
        <f aca="false">IF(IsPro,IF($B1483="","",IFERROR(VALUE(SUBSTITUTE($B1483,InvPrefix,"")),0)),"")</f>
        <v/>
      </c>
      <c r="X1483" s="61" t="str">
        <f aca="false">IF(IsPro,IF($D1483="","",IF(OR($H1483="",$H1483="Credit"),0,Q1483)),"")</f>
        <v/>
      </c>
    </row>
    <row r="1484" customFormat="false" ht="15" hidden="false" customHeight="false" outlineLevel="0" collapsed="false">
      <c r="A1484" s="55"/>
      <c r="B1484" s="56"/>
      <c r="C1484" s="56"/>
      <c r="D1484" s="56"/>
      <c r="E1484" s="57"/>
      <c r="F1484" s="58"/>
      <c r="G1484" s="59"/>
      <c r="H1484" s="56"/>
      <c r="I1484" s="56"/>
      <c r="J1484" s="60" t="str">
        <f aca="false">IF(IsPro,IF($D1484="","",IFERROR(INDEX(Items!$D$5:$D$504,U1484),"")),"")</f>
        <v/>
      </c>
      <c r="K1484" s="61" t="str">
        <f aca="false">IF(IsPro,IF($D1484="","",IF($F1484="",IFERROR(INDEX(Items!$H$5:$H$504,U1484),0),$F1484)),"")</f>
        <v/>
      </c>
      <c r="L1484" s="61" t="str">
        <f aca="false">IF(IsPro,IF($D1484="","",ROUND(N($E1484)*K1484*(1-N($G1484)),2)),"")</f>
        <v/>
      </c>
      <c r="M1484" s="62" t="str">
        <f aca="false">IF(IsPro,IF($D1484="","",IFERROR(INDEX(Items!$F$5:$F$504,U1484),0)),"")</f>
        <v/>
      </c>
      <c r="N1484" s="61" t="str">
        <f aca="false">IF(IsPro,IF($D1484="","",IF(AND(V1484&lt;&gt;"",INDEX(Parties!$E$5:$E$304,V1484)&lt;&gt;"",INDEX(Parties!$E$5:$E$304,V1484)&lt;&gt;HomeState),0,ROUND(L1484*M1484/2,2))),"")</f>
        <v/>
      </c>
      <c r="O1484" s="61" t="str">
        <f aca="false">IF(IsPro,IF($D1484="","",N1484),"")</f>
        <v/>
      </c>
      <c r="P1484" s="61" t="str">
        <f aca="false">IF(IsPro,IF($D1484="","",IF(AND(V1484&lt;&gt;"",INDEX(Parties!$E$5:$E$304,V1484)&lt;&gt;"",INDEX(Parties!$E$5:$E$304,V1484)&lt;&gt;HomeState),ROUND(L1484*M1484,2),0)),"")</f>
        <v/>
      </c>
      <c r="Q1484" s="61" t="str">
        <f aca="false">IF(IsPro,IF($D1484="","",L1484+N1484+O1484+P1484),"")</f>
        <v/>
      </c>
      <c r="R1484" s="61" t="str">
        <f aca="false">IF(IsPro,IF($D1484="","",ROUND(N($E1484)*IFERROR(INDEX(Items!$P$5:$P$504,U1484),0),2)),"")</f>
        <v/>
      </c>
      <c r="S1484" s="61" t="str">
        <f aca="false">IF(IsPro,IF($D1484="","",L1484-R1484),"")</f>
        <v/>
      </c>
      <c r="T1484" s="60" t="str">
        <f aca="false">IF(IsPro,IF($D1484="","",IF(U1484="","UNKNOWN ITEM",IF(INDEX(Items!$O$5:$O$504,U1484)&lt;0,"NEG STOCK",IF(K1484&lt;INDEX(Items!$P$5:$P$504,U1484),"BELOW COST","OK")))),IF($D1484="","","PRO PLAN"))</f>
        <v/>
      </c>
      <c r="U1484" s="60" t="str">
        <f aca="false">IF(IsPro,IF($D1484="","",IFERROR(MATCH($D1484,Items!$A$5:$A$504,0),"")),"")</f>
        <v/>
      </c>
      <c r="V1484" s="60" t="str">
        <f aca="false">IF(IsPro,IF($C1484="","",IFERROR(MATCH($C1484,Parties!$A$5:$A$304,0),"")),"")</f>
        <v/>
      </c>
      <c r="W1484" s="60" t="str">
        <f aca="false">IF(IsPro,IF($B1484="","",IFERROR(VALUE(SUBSTITUTE($B1484,InvPrefix,"")),0)),"")</f>
        <v/>
      </c>
      <c r="X1484" s="61" t="str">
        <f aca="false">IF(IsPro,IF($D1484="","",IF(OR($H1484="",$H1484="Credit"),0,Q1484)),"")</f>
        <v/>
      </c>
    </row>
    <row r="1485" customFormat="false" ht="15" hidden="false" customHeight="false" outlineLevel="0" collapsed="false">
      <c r="A1485" s="55"/>
      <c r="B1485" s="56"/>
      <c r="C1485" s="56"/>
      <c r="D1485" s="56"/>
      <c r="E1485" s="57"/>
      <c r="F1485" s="58"/>
      <c r="G1485" s="59"/>
      <c r="H1485" s="56"/>
      <c r="I1485" s="56"/>
      <c r="J1485" s="60" t="str">
        <f aca="false">IF(IsPro,IF($D1485="","",IFERROR(INDEX(Items!$D$5:$D$504,U1485),"")),"")</f>
        <v/>
      </c>
      <c r="K1485" s="61" t="str">
        <f aca="false">IF(IsPro,IF($D1485="","",IF($F1485="",IFERROR(INDEX(Items!$H$5:$H$504,U1485),0),$F1485)),"")</f>
        <v/>
      </c>
      <c r="L1485" s="61" t="str">
        <f aca="false">IF(IsPro,IF($D1485="","",ROUND(N($E1485)*K1485*(1-N($G1485)),2)),"")</f>
        <v/>
      </c>
      <c r="M1485" s="62" t="str">
        <f aca="false">IF(IsPro,IF($D1485="","",IFERROR(INDEX(Items!$F$5:$F$504,U1485),0)),"")</f>
        <v/>
      </c>
      <c r="N1485" s="61" t="str">
        <f aca="false">IF(IsPro,IF($D1485="","",IF(AND(V1485&lt;&gt;"",INDEX(Parties!$E$5:$E$304,V1485)&lt;&gt;"",INDEX(Parties!$E$5:$E$304,V1485)&lt;&gt;HomeState),0,ROUND(L1485*M1485/2,2))),"")</f>
        <v/>
      </c>
      <c r="O1485" s="61" t="str">
        <f aca="false">IF(IsPro,IF($D1485="","",N1485),"")</f>
        <v/>
      </c>
      <c r="P1485" s="61" t="str">
        <f aca="false">IF(IsPro,IF($D1485="","",IF(AND(V1485&lt;&gt;"",INDEX(Parties!$E$5:$E$304,V1485)&lt;&gt;"",INDEX(Parties!$E$5:$E$304,V1485)&lt;&gt;HomeState),ROUND(L1485*M1485,2),0)),"")</f>
        <v/>
      </c>
      <c r="Q1485" s="61" t="str">
        <f aca="false">IF(IsPro,IF($D1485="","",L1485+N1485+O1485+P1485),"")</f>
        <v/>
      </c>
      <c r="R1485" s="61" t="str">
        <f aca="false">IF(IsPro,IF($D1485="","",ROUND(N($E1485)*IFERROR(INDEX(Items!$P$5:$P$504,U1485),0),2)),"")</f>
        <v/>
      </c>
      <c r="S1485" s="61" t="str">
        <f aca="false">IF(IsPro,IF($D1485="","",L1485-R1485),"")</f>
        <v/>
      </c>
      <c r="T1485" s="60" t="str">
        <f aca="false">IF(IsPro,IF($D1485="","",IF(U1485="","UNKNOWN ITEM",IF(INDEX(Items!$O$5:$O$504,U1485)&lt;0,"NEG STOCK",IF(K1485&lt;INDEX(Items!$P$5:$P$504,U1485),"BELOW COST","OK")))),IF($D1485="","","PRO PLAN"))</f>
        <v/>
      </c>
      <c r="U1485" s="60" t="str">
        <f aca="false">IF(IsPro,IF($D1485="","",IFERROR(MATCH($D1485,Items!$A$5:$A$504,0),"")),"")</f>
        <v/>
      </c>
      <c r="V1485" s="60" t="str">
        <f aca="false">IF(IsPro,IF($C1485="","",IFERROR(MATCH($C1485,Parties!$A$5:$A$304,0),"")),"")</f>
        <v/>
      </c>
      <c r="W1485" s="60" t="str">
        <f aca="false">IF(IsPro,IF($B1485="","",IFERROR(VALUE(SUBSTITUTE($B1485,InvPrefix,"")),0)),"")</f>
        <v/>
      </c>
      <c r="X1485" s="61" t="str">
        <f aca="false">IF(IsPro,IF($D1485="","",IF(OR($H1485="",$H1485="Credit"),0,Q1485)),"")</f>
        <v/>
      </c>
    </row>
    <row r="1486" customFormat="false" ht="15" hidden="false" customHeight="false" outlineLevel="0" collapsed="false">
      <c r="A1486" s="55"/>
      <c r="B1486" s="56"/>
      <c r="C1486" s="56"/>
      <c r="D1486" s="56"/>
      <c r="E1486" s="57"/>
      <c r="F1486" s="58"/>
      <c r="G1486" s="59"/>
      <c r="H1486" s="56"/>
      <c r="I1486" s="56"/>
      <c r="J1486" s="60" t="str">
        <f aca="false">IF(IsPro,IF($D1486="","",IFERROR(INDEX(Items!$D$5:$D$504,U1486),"")),"")</f>
        <v/>
      </c>
      <c r="K1486" s="61" t="str">
        <f aca="false">IF(IsPro,IF($D1486="","",IF($F1486="",IFERROR(INDEX(Items!$H$5:$H$504,U1486),0),$F1486)),"")</f>
        <v/>
      </c>
      <c r="L1486" s="61" t="str">
        <f aca="false">IF(IsPro,IF($D1486="","",ROUND(N($E1486)*K1486*(1-N($G1486)),2)),"")</f>
        <v/>
      </c>
      <c r="M1486" s="62" t="str">
        <f aca="false">IF(IsPro,IF($D1486="","",IFERROR(INDEX(Items!$F$5:$F$504,U1486),0)),"")</f>
        <v/>
      </c>
      <c r="N1486" s="61" t="str">
        <f aca="false">IF(IsPro,IF($D1486="","",IF(AND(V1486&lt;&gt;"",INDEX(Parties!$E$5:$E$304,V1486)&lt;&gt;"",INDEX(Parties!$E$5:$E$304,V1486)&lt;&gt;HomeState),0,ROUND(L1486*M1486/2,2))),"")</f>
        <v/>
      </c>
      <c r="O1486" s="61" t="str">
        <f aca="false">IF(IsPro,IF($D1486="","",N1486),"")</f>
        <v/>
      </c>
      <c r="P1486" s="61" t="str">
        <f aca="false">IF(IsPro,IF($D1486="","",IF(AND(V1486&lt;&gt;"",INDEX(Parties!$E$5:$E$304,V1486)&lt;&gt;"",INDEX(Parties!$E$5:$E$304,V1486)&lt;&gt;HomeState),ROUND(L1486*M1486,2),0)),"")</f>
        <v/>
      </c>
      <c r="Q1486" s="61" t="str">
        <f aca="false">IF(IsPro,IF($D1486="","",L1486+N1486+O1486+P1486),"")</f>
        <v/>
      </c>
      <c r="R1486" s="61" t="str">
        <f aca="false">IF(IsPro,IF($D1486="","",ROUND(N($E1486)*IFERROR(INDEX(Items!$P$5:$P$504,U1486),0),2)),"")</f>
        <v/>
      </c>
      <c r="S1486" s="61" t="str">
        <f aca="false">IF(IsPro,IF($D1486="","",L1486-R1486),"")</f>
        <v/>
      </c>
      <c r="T1486" s="60" t="str">
        <f aca="false">IF(IsPro,IF($D1486="","",IF(U1486="","UNKNOWN ITEM",IF(INDEX(Items!$O$5:$O$504,U1486)&lt;0,"NEG STOCK",IF(K1486&lt;INDEX(Items!$P$5:$P$504,U1486),"BELOW COST","OK")))),IF($D1486="","","PRO PLAN"))</f>
        <v/>
      </c>
      <c r="U1486" s="60" t="str">
        <f aca="false">IF(IsPro,IF($D1486="","",IFERROR(MATCH($D1486,Items!$A$5:$A$504,0),"")),"")</f>
        <v/>
      </c>
      <c r="V1486" s="60" t="str">
        <f aca="false">IF(IsPro,IF($C1486="","",IFERROR(MATCH($C1486,Parties!$A$5:$A$304,0),"")),"")</f>
        <v/>
      </c>
      <c r="W1486" s="60" t="str">
        <f aca="false">IF(IsPro,IF($B1486="","",IFERROR(VALUE(SUBSTITUTE($B1486,InvPrefix,"")),0)),"")</f>
        <v/>
      </c>
      <c r="X1486" s="61" t="str">
        <f aca="false">IF(IsPro,IF($D1486="","",IF(OR($H1486="",$H1486="Credit"),0,Q1486)),"")</f>
        <v/>
      </c>
    </row>
    <row r="1487" customFormat="false" ht="15" hidden="false" customHeight="false" outlineLevel="0" collapsed="false">
      <c r="A1487" s="55"/>
      <c r="B1487" s="56"/>
      <c r="C1487" s="56"/>
      <c r="D1487" s="56"/>
      <c r="E1487" s="57"/>
      <c r="F1487" s="58"/>
      <c r="G1487" s="59"/>
      <c r="H1487" s="56"/>
      <c r="I1487" s="56"/>
      <c r="J1487" s="60" t="str">
        <f aca="false">IF(IsPro,IF($D1487="","",IFERROR(INDEX(Items!$D$5:$D$504,U1487),"")),"")</f>
        <v/>
      </c>
      <c r="K1487" s="61" t="str">
        <f aca="false">IF(IsPro,IF($D1487="","",IF($F1487="",IFERROR(INDEX(Items!$H$5:$H$504,U1487),0),$F1487)),"")</f>
        <v/>
      </c>
      <c r="L1487" s="61" t="str">
        <f aca="false">IF(IsPro,IF($D1487="","",ROUND(N($E1487)*K1487*(1-N($G1487)),2)),"")</f>
        <v/>
      </c>
      <c r="M1487" s="62" t="str">
        <f aca="false">IF(IsPro,IF($D1487="","",IFERROR(INDEX(Items!$F$5:$F$504,U1487),0)),"")</f>
        <v/>
      </c>
      <c r="N1487" s="61" t="str">
        <f aca="false">IF(IsPro,IF($D1487="","",IF(AND(V1487&lt;&gt;"",INDEX(Parties!$E$5:$E$304,V1487)&lt;&gt;"",INDEX(Parties!$E$5:$E$304,V1487)&lt;&gt;HomeState),0,ROUND(L1487*M1487/2,2))),"")</f>
        <v/>
      </c>
      <c r="O1487" s="61" t="str">
        <f aca="false">IF(IsPro,IF($D1487="","",N1487),"")</f>
        <v/>
      </c>
      <c r="P1487" s="61" t="str">
        <f aca="false">IF(IsPro,IF($D1487="","",IF(AND(V1487&lt;&gt;"",INDEX(Parties!$E$5:$E$304,V1487)&lt;&gt;"",INDEX(Parties!$E$5:$E$304,V1487)&lt;&gt;HomeState),ROUND(L1487*M1487,2),0)),"")</f>
        <v/>
      </c>
      <c r="Q1487" s="61" t="str">
        <f aca="false">IF(IsPro,IF($D1487="","",L1487+N1487+O1487+P1487),"")</f>
        <v/>
      </c>
      <c r="R1487" s="61" t="str">
        <f aca="false">IF(IsPro,IF($D1487="","",ROUND(N($E1487)*IFERROR(INDEX(Items!$P$5:$P$504,U1487),0),2)),"")</f>
        <v/>
      </c>
      <c r="S1487" s="61" t="str">
        <f aca="false">IF(IsPro,IF($D1487="","",L1487-R1487),"")</f>
        <v/>
      </c>
      <c r="T1487" s="60" t="str">
        <f aca="false">IF(IsPro,IF($D1487="","",IF(U1487="","UNKNOWN ITEM",IF(INDEX(Items!$O$5:$O$504,U1487)&lt;0,"NEG STOCK",IF(K1487&lt;INDEX(Items!$P$5:$P$504,U1487),"BELOW COST","OK")))),IF($D1487="","","PRO PLAN"))</f>
        <v/>
      </c>
      <c r="U1487" s="60" t="str">
        <f aca="false">IF(IsPro,IF($D1487="","",IFERROR(MATCH($D1487,Items!$A$5:$A$504,0),"")),"")</f>
        <v/>
      </c>
      <c r="V1487" s="60" t="str">
        <f aca="false">IF(IsPro,IF($C1487="","",IFERROR(MATCH($C1487,Parties!$A$5:$A$304,0),"")),"")</f>
        <v/>
      </c>
      <c r="W1487" s="60" t="str">
        <f aca="false">IF(IsPro,IF($B1487="","",IFERROR(VALUE(SUBSTITUTE($B1487,InvPrefix,"")),0)),"")</f>
        <v/>
      </c>
      <c r="X1487" s="61" t="str">
        <f aca="false">IF(IsPro,IF($D1487="","",IF(OR($H1487="",$H1487="Credit"),0,Q1487)),"")</f>
        <v/>
      </c>
    </row>
    <row r="1488" customFormat="false" ht="15" hidden="false" customHeight="false" outlineLevel="0" collapsed="false">
      <c r="A1488" s="55"/>
      <c r="B1488" s="56"/>
      <c r="C1488" s="56"/>
      <c r="D1488" s="56"/>
      <c r="E1488" s="57"/>
      <c r="F1488" s="58"/>
      <c r="G1488" s="59"/>
      <c r="H1488" s="56"/>
      <c r="I1488" s="56"/>
      <c r="J1488" s="60" t="str">
        <f aca="false">IF(IsPro,IF($D1488="","",IFERROR(INDEX(Items!$D$5:$D$504,U1488),"")),"")</f>
        <v/>
      </c>
      <c r="K1488" s="61" t="str">
        <f aca="false">IF(IsPro,IF($D1488="","",IF($F1488="",IFERROR(INDEX(Items!$H$5:$H$504,U1488),0),$F1488)),"")</f>
        <v/>
      </c>
      <c r="L1488" s="61" t="str">
        <f aca="false">IF(IsPro,IF($D1488="","",ROUND(N($E1488)*K1488*(1-N($G1488)),2)),"")</f>
        <v/>
      </c>
      <c r="M1488" s="62" t="str">
        <f aca="false">IF(IsPro,IF($D1488="","",IFERROR(INDEX(Items!$F$5:$F$504,U1488),0)),"")</f>
        <v/>
      </c>
      <c r="N1488" s="61" t="str">
        <f aca="false">IF(IsPro,IF($D1488="","",IF(AND(V1488&lt;&gt;"",INDEX(Parties!$E$5:$E$304,V1488)&lt;&gt;"",INDEX(Parties!$E$5:$E$304,V1488)&lt;&gt;HomeState),0,ROUND(L1488*M1488/2,2))),"")</f>
        <v/>
      </c>
      <c r="O1488" s="61" t="str">
        <f aca="false">IF(IsPro,IF($D1488="","",N1488),"")</f>
        <v/>
      </c>
      <c r="P1488" s="61" t="str">
        <f aca="false">IF(IsPro,IF($D1488="","",IF(AND(V1488&lt;&gt;"",INDEX(Parties!$E$5:$E$304,V1488)&lt;&gt;"",INDEX(Parties!$E$5:$E$304,V1488)&lt;&gt;HomeState),ROUND(L1488*M1488,2),0)),"")</f>
        <v/>
      </c>
      <c r="Q1488" s="61" t="str">
        <f aca="false">IF(IsPro,IF($D1488="","",L1488+N1488+O1488+P1488),"")</f>
        <v/>
      </c>
      <c r="R1488" s="61" t="str">
        <f aca="false">IF(IsPro,IF($D1488="","",ROUND(N($E1488)*IFERROR(INDEX(Items!$P$5:$P$504,U1488),0),2)),"")</f>
        <v/>
      </c>
      <c r="S1488" s="61" t="str">
        <f aca="false">IF(IsPro,IF($D1488="","",L1488-R1488),"")</f>
        <v/>
      </c>
      <c r="T1488" s="60" t="str">
        <f aca="false">IF(IsPro,IF($D1488="","",IF(U1488="","UNKNOWN ITEM",IF(INDEX(Items!$O$5:$O$504,U1488)&lt;0,"NEG STOCK",IF(K1488&lt;INDEX(Items!$P$5:$P$504,U1488),"BELOW COST","OK")))),IF($D1488="","","PRO PLAN"))</f>
        <v/>
      </c>
      <c r="U1488" s="60" t="str">
        <f aca="false">IF(IsPro,IF($D1488="","",IFERROR(MATCH($D1488,Items!$A$5:$A$504,0),"")),"")</f>
        <v/>
      </c>
      <c r="V1488" s="60" t="str">
        <f aca="false">IF(IsPro,IF($C1488="","",IFERROR(MATCH($C1488,Parties!$A$5:$A$304,0),"")),"")</f>
        <v/>
      </c>
      <c r="W1488" s="60" t="str">
        <f aca="false">IF(IsPro,IF($B1488="","",IFERROR(VALUE(SUBSTITUTE($B1488,InvPrefix,"")),0)),"")</f>
        <v/>
      </c>
      <c r="X1488" s="61" t="str">
        <f aca="false">IF(IsPro,IF($D1488="","",IF(OR($H1488="",$H1488="Credit"),0,Q1488)),"")</f>
        <v/>
      </c>
    </row>
    <row r="1489" customFormat="false" ht="15" hidden="false" customHeight="false" outlineLevel="0" collapsed="false">
      <c r="A1489" s="55"/>
      <c r="B1489" s="56"/>
      <c r="C1489" s="56"/>
      <c r="D1489" s="56"/>
      <c r="E1489" s="57"/>
      <c r="F1489" s="58"/>
      <c r="G1489" s="59"/>
      <c r="H1489" s="56"/>
      <c r="I1489" s="56"/>
      <c r="J1489" s="60" t="str">
        <f aca="false">IF(IsPro,IF($D1489="","",IFERROR(INDEX(Items!$D$5:$D$504,U1489),"")),"")</f>
        <v/>
      </c>
      <c r="K1489" s="61" t="str">
        <f aca="false">IF(IsPro,IF($D1489="","",IF($F1489="",IFERROR(INDEX(Items!$H$5:$H$504,U1489),0),$F1489)),"")</f>
        <v/>
      </c>
      <c r="L1489" s="61" t="str">
        <f aca="false">IF(IsPro,IF($D1489="","",ROUND(N($E1489)*K1489*(1-N($G1489)),2)),"")</f>
        <v/>
      </c>
      <c r="M1489" s="62" t="str">
        <f aca="false">IF(IsPro,IF($D1489="","",IFERROR(INDEX(Items!$F$5:$F$504,U1489),0)),"")</f>
        <v/>
      </c>
      <c r="N1489" s="61" t="str">
        <f aca="false">IF(IsPro,IF($D1489="","",IF(AND(V1489&lt;&gt;"",INDEX(Parties!$E$5:$E$304,V1489)&lt;&gt;"",INDEX(Parties!$E$5:$E$304,V1489)&lt;&gt;HomeState),0,ROUND(L1489*M1489/2,2))),"")</f>
        <v/>
      </c>
      <c r="O1489" s="61" t="str">
        <f aca="false">IF(IsPro,IF($D1489="","",N1489),"")</f>
        <v/>
      </c>
      <c r="P1489" s="61" t="str">
        <f aca="false">IF(IsPro,IF($D1489="","",IF(AND(V1489&lt;&gt;"",INDEX(Parties!$E$5:$E$304,V1489)&lt;&gt;"",INDEX(Parties!$E$5:$E$304,V1489)&lt;&gt;HomeState),ROUND(L1489*M1489,2),0)),"")</f>
        <v/>
      </c>
      <c r="Q1489" s="61" t="str">
        <f aca="false">IF(IsPro,IF($D1489="","",L1489+N1489+O1489+P1489),"")</f>
        <v/>
      </c>
      <c r="R1489" s="61" t="str">
        <f aca="false">IF(IsPro,IF($D1489="","",ROUND(N($E1489)*IFERROR(INDEX(Items!$P$5:$P$504,U1489),0),2)),"")</f>
        <v/>
      </c>
      <c r="S1489" s="61" t="str">
        <f aca="false">IF(IsPro,IF($D1489="","",L1489-R1489),"")</f>
        <v/>
      </c>
      <c r="T1489" s="60" t="str">
        <f aca="false">IF(IsPro,IF($D1489="","",IF(U1489="","UNKNOWN ITEM",IF(INDEX(Items!$O$5:$O$504,U1489)&lt;0,"NEG STOCK",IF(K1489&lt;INDEX(Items!$P$5:$P$504,U1489),"BELOW COST","OK")))),IF($D1489="","","PRO PLAN"))</f>
        <v/>
      </c>
      <c r="U1489" s="60" t="str">
        <f aca="false">IF(IsPro,IF($D1489="","",IFERROR(MATCH($D1489,Items!$A$5:$A$504,0),"")),"")</f>
        <v/>
      </c>
      <c r="V1489" s="60" t="str">
        <f aca="false">IF(IsPro,IF($C1489="","",IFERROR(MATCH($C1489,Parties!$A$5:$A$304,0),"")),"")</f>
        <v/>
      </c>
      <c r="W1489" s="60" t="str">
        <f aca="false">IF(IsPro,IF($B1489="","",IFERROR(VALUE(SUBSTITUTE($B1489,InvPrefix,"")),0)),"")</f>
        <v/>
      </c>
      <c r="X1489" s="61" t="str">
        <f aca="false">IF(IsPro,IF($D1489="","",IF(OR($H1489="",$H1489="Credit"),0,Q1489)),"")</f>
        <v/>
      </c>
    </row>
    <row r="1490" customFormat="false" ht="15" hidden="false" customHeight="false" outlineLevel="0" collapsed="false">
      <c r="A1490" s="55"/>
      <c r="B1490" s="56"/>
      <c r="C1490" s="56"/>
      <c r="D1490" s="56"/>
      <c r="E1490" s="57"/>
      <c r="F1490" s="58"/>
      <c r="G1490" s="59"/>
      <c r="H1490" s="56"/>
      <c r="I1490" s="56"/>
      <c r="J1490" s="60" t="str">
        <f aca="false">IF(IsPro,IF($D1490="","",IFERROR(INDEX(Items!$D$5:$D$504,U1490),"")),"")</f>
        <v/>
      </c>
      <c r="K1490" s="61" t="str">
        <f aca="false">IF(IsPro,IF($D1490="","",IF($F1490="",IFERROR(INDEX(Items!$H$5:$H$504,U1490),0),$F1490)),"")</f>
        <v/>
      </c>
      <c r="L1490" s="61" t="str">
        <f aca="false">IF(IsPro,IF($D1490="","",ROUND(N($E1490)*K1490*(1-N($G1490)),2)),"")</f>
        <v/>
      </c>
      <c r="M1490" s="62" t="str">
        <f aca="false">IF(IsPro,IF($D1490="","",IFERROR(INDEX(Items!$F$5:$F$504,U1490),0)),"")</f>
        <v/>
      </c>
      <c r="N1490" s="61" t="str">
        <f aca="false">IF(IsPro,IF($D1490="","",IF(AND(V1490&lt;&gt;"",INDEX(Parties!$E$5:$E$304,V1490)&lt;&gt;"",INDEX(Parties!$E$5:$E$304,V1490)&lt;&gt;HomeState),0,ROUND(L1490*M1490/2,2))),"")</f>
        <v/>
      </c>
      <c r="O1490" s="61" t="str">
        <f aca="false">IF(IsPro,IF($D1490="","",N1490),"")</f>
        <v/>
      </c>
      <c r="P1490" s="61" t="str">
        <f aca="false">IF(IsPro,IF($D1490="","",IF(AND(V1490&lt;&gt;"",INDEX(Parties!$E$5:$E$304,V1490)&lt;&gt;"",INDEX(Parties!$E$5:$E$304,V1490)&lt;&gt;HomeState),ROUND(L1490*M1490,2),0)),"")</f>
        <v/>
      </c>
      <c r="Q1490" s="61" t="str">
        <f aca="false">IF(IsPro,IF($D1490="","",L1490+N1490+O1490+P1490),"")</f>
        <v/>
      </c>
      <c r="R1490" s="61" t="str">
        <f aca="false">IF(IsPro,IF($D1490="","",ROUND(N($E1490)*IFERROR(INDEX(Items!$P$5:$P$504,U1490),0),2)),"")</f>
        <v/>
      </c>
      <c r="S1490" s="61" t="str">
        <f aca="false">IF(IsPro,IF($D1490="","",L1490-R1490),"")</f>
        <v/>
      </c>
      <c r="T1490" s="60" t="str">
        <f aca="false">IF(IsPro,IF($D1490="","",IF(U1490="","UNKNOWN ITEM",IF(INDEX(Items!$O$5:$O$504,U1490)&lt;0,"NEG STOCK",IF(K1490&lt;INDEX(Items!$P$5:$P$504,U1490),"BELOW COST","OK")))),IF($D1490="","","PRO PLAN"))</f>
        <v/>
      </c>
      <c r="U1490" s="60" t="str">
        <f aca="false">IF(IsPro,IF($D1490="","",IFERROR(MATCH($D1490,Items!$A$5:$A$504,0),"")),"")</f>
        <v/>
      </c>
      <c r="V1490" s="60" t="str">
        <f aca="false">IF(IsPro,IF($C1490="","",IFERROR(MATCH($C1490,Parties!$A$5:$A$304,0),"")),"")</f>
        <v/>
      </c>
      <c r="W1490" s="60" t="str">
        <f aca="false">IF(IsPro,IF($B1490="","",IFERROR(VALUE(SUBSTITUTE($B1490,InvPrefix,"")),0)),"")</f>
        <v/>
      </c>
      <c r="X1490" s="61" t="str">
        <f aca="false">IF(IsPro,IF($D1490="","",IF(OR($H1490="",$H1490="Credit"),0,Q1490)),"")</f>
        <v/>
      </c>
    </row>
    <row r="1491" customFormat="false" ht="15" hidden="false" customHeight="false" outlineLevel="0" collapsed="false">
      <c r="A1491" s="55"/>
      <c r="B1491" s="56"/>
      <c r="C1491" s="56"/>
      <c r="D1491" s="56"/>
      <c r="E1491" s="57"/>
      <c r="F1491" s="58"/>
      <c r="G1491" s="59"/>
      <c r="H1491" s="56"/>
      <c r="I1491" s="56"/>
      <c r="J1491" s="60" t="str">
        <f aca="false">IF(IsPro,IF($D1491="","",IFERROR(INDEX(Items!$D$5:$D$504,U1491),"")),"")</f>
        <v/>
      </c>
      <c r="K1491" s="61" t="str">
        <f aca="false">IF(IsPro,IF($D1491="","",IF($F1491="",IFERROR(INDEX(Items!$H$5:$H$504,U1491),0),$F1491)),"")</f>
        <v/>
      </c>
      <c r="L1491" s="61" t="str">
        <f aca="false">IF(IsPro,IF($D1491="","",ROUND(N($E1491)*K1491*(1-N($G1491)),2)),"")</f>
        <v/>
      </c>
      <c r="M1491" s="62" t="str">
        <f aca="false">IF(IsPro,IF($D1491="","",IFERROR(INDEX(Items!$F$5:$F$504,U1491),0)),"")</f>
        <v/>
      </c>
      <c r="N1491" s="61" t="str">
        <f aca="false">IF(IsPro,IF($D1491="","",IF(AND(V1491&lt;&gt;"",INDEX(Parties!$E$5:$E$304,V1491)&lt;&gt;"",INDEX(Parties!$E$5:$E$304,V1491)&lt;&gt;HomeState),0,ROUND(L1491*M1491/2,2))),"")</f>
        <v/>
      </c>
      <c r="O1491" s="61" t="str">
        <f aca="false">IF(IsPro,IF($D1491="","",N1491),"")</f>
        <v/>
      </c>
      <c r="P1491" s="61" t="str">
        <f aca="false">IF(IsPro,IF($D1491="","",IF(AND(V1491&lt;&gt;"",INDEX(Parties!$E$5:$E$304,V1491)&lt;&gt;"",INDEX(Parties!$E$5:$E$304,V1491)&lt;&gt;HomeState),ROUND(L1491*M1491,2),0)),"")</f>
        <v/>
      </c>
      <c r="Q1491" s="61" t="str">
        <f aca="false">IF(IsPro,IF($D1491="","",L1491+N1491+O1491+P1491),"")</f>
        <v/>
      </c>
      <c r="R1491" s="61" t="str">
        <f aca="false">IF(IsPro,IF($D1491="","",ROUND(N($E1491)*IFERROR(INDEX(Items!$P$5:$P$504,U1491),0),2)),"")</f>
        <v/>
      </c>
      <c r="S1491" s="61" t="str">
        <f aca="false">IF(IsPro,IF($D1491="","",L1491-R1491),"")</f>
        <v/>
      </c>
      <c r="T1491" s="60" t="str">
        <f aca="false">IF(IsPro,IF($D1491="","",IF(U1491="","UNKNOWN ITEM",IF(INDEX(Items!$O$5:$O$504,U1491)&lt;0,"NEG STOCK",IF(K1491&lt;INDEX(Items!$P$5:$P$504,U1491),"BELOW COST","OK")))),IF($D1491="","","PRO PLAN"))</f>
        <v/>
      </c>
      <c r="U1491" s="60" t="str">
        <f aca="false">IF(IsPro,IF($D1491="","",IFERROR(MATCH($D1491,Items!$A$5:$A$504,0),"")),"")</f>
        <v/>
      </c>
      <c r="V1491" s="60" t="str">
        <f aca="false">IF(IsPro,IF($C1491="","",IFERROR(MATCH($C1491,Parties!$A$5:$A$304,0),"")),"")</f>
        <v/>
      </c>
      <c r="W1491" s="60" t="str">
        <f aca="false">IF(IsPro,IF($B1491="","",IFERROR(VALUE(SUBSTITUTE($B1491,InvPrefix,"")),0)),"")</f>
        <v/>
      </c>
      <c r="X1491" s="61" t="str">
        <f aca="false">IF(IsPro,IF($D1491="","",IF(OR($H1491="",$H1491="Credit"),0,Q1491)),"")</f>
        <v/>
      </c>
    </row>
    <row r="1492" customFormat="false" ht="15" hidden="false" customHeight="false" outlineLevel="0" collapsed="false">
      <c r="A1492" s="55"/>
      <c r="B1492" s="56"/>
      <c r="C1492" s="56"/>
      <c r="D1492" s="56"/>
      <c r="E1492" s="57"/>
      <c r="F1492" s="58"/>
      <c r="G1492" s="59"/>
      <c r="H1492" s="56"/>
      <c r="I1492" s="56"/>
      <c r="J1492" s="60" t="str">
        <f aca="false">IF(IsPro,IF($D1492="","",IFERROR(INDEX(Items!$D$5:$D$504,U1492),"")),"")</f>
        <v/>
      </c>
      <c r="K1492" s="61" t="str">
        <f aca="false">IF(IsPro,IF($D1492="","",IF($F1492="",IFERROR(INDEX(Items!$H$5:$H$504,U1492),0),$F1492)),"")</f>
        <v/>
      </c>
      <c r="L1492" s="61" t="str">
        <f aca="false">IF(IsPro,IF($D1492="","",ROUND(N($E1492)*K1492*(1-N($G1492)),2)),"")</f>
        <v/>
      </c>
      <c r="M1492" s="62" t="str">
        <f aca="false">IF(IsPro,IF($D1492="","",IFERROR(INDEX(Items!$F$5:$F$504,U1492),0)),"")</f>
        <v/>
      </c>
      <c r="N1492" s="61" t="str">
        <f aca="false">IF(IsPro,IF($D1492="","",IF(AND(V1492&lt;&gt;"",INDEX(Parties!$E$5:$E$304,V1492)&lt;&gt;"",INDEX(Parties!$E$5:$E$304,V1492)&lt;&gt;HomeState),0,ROUND(L1492*M1492/2,2))),"")</f>
        <v/>
      </c>
      <c r="O1492" s="61" t="str">
        <f aca="false">IF(IsPro,IF($D1492="","",N1492),"")</f>
        <v/>
      </c>
      <c r="P1492" s="61" t="str">
        <f aca="false">IF(IsPro,IF($D1492="","",IF(AND(V1492&lt;&gt;"",INDEX(Parties!$E$5:$E$304,V1492)&lt;&gt;"",INDEX(Parties!$E$5:$E$304,V1492)&lt;&gt;HomeState),ROUND(L1492*M1492,2),0)),"")</f>
        <v/>
      </c>
      <c r="Q1492" s="61" t="str">
        <f aca="false">IF(IsPro,IF($D1492="","",L1492+N1492+O1492+P1492),"")</f>
        <v/>
      </c>
      <c r="R1492" s="61" t="str">
        <f aca="false">IF(IsPro,IF($D1492="","",ROUND(N($E1492)*IFERROR(INDEX(Items!$P$5:$P$504,U1492),0),2)),"")</f>
        <v/>
      </c>
      <c r="S1492" s="61" t="str">
        <f aca="false">IF(IsPro,IF($D1492="","",L1492-R1492),"")</f>
        <v/>
      </c>
      <c r="T1492" s="60" t="str">
        <f aca="false">IF(IsPro,IF($D1492="","",IF(U1492="","UNKNOWN ITEM",IF(INDEX(Items!$O$5:$O$504,U1492)&lt;0,"NEG STOCK",IF(K1492&lt;INDEX(Items!$P$5:$P$504,U1492),"BELOW COST","OK")))),IF($D1492="","","PRO PLAN"))</f>
        <v/>
      </c>
      <c r="U1492" s="60" t="str">
        <f aca="false">IF(IsPro,IF($D1492="","",IFERROR(MATCH($D1492,Items!$A$5:$A$504,0),"")),"")</f>
        <v/>
      </c>
      <c r="V1492" s="60" t="str">
        <f aca="false">IF(IsPro,IF($C1492="","",IFERROR(MATCH($C1492,Parties!$A$5:$A$304,0),"")),"")</f>
        <v/>
      </c>
      <c r="W1492" s="60" t="str">
        <f aca="false">IF(IsPro,IF($B1492="","",IFERROR(VALUE(SUBSTITUTE($B1492,InvPrefix,"")),0)),"")</f>
        <v/>
      </c>
      <c r="X1492" s="61" t="str">
        <f aca="false">IF(IsPro,IF($D1492="","",IF(OR($H1492="",$H1492="Credit"),0,Q1492)),"")</f>
        <v/>
      </c>
    </row>
    <row r="1493" customFormat="false" ht="15" hidden="false" customHeight="false" outlineLevel="0" collapsed="false">
      <c r="A1493" s="55"/>
      <c r="B1493" s="56"/>
      <c r="C1493" s="56"/>
      <c r="D1493" s="56"/>
      <c r="E1493" s="57"/>
      <c r="F1493" s="58"/>
      <c r="G1493" s="59"/>
      <c r="H1493" s="56"/>
      <c r="I1493" s="56"/>
      <c r="J1493" s="60" t="str">
        <f aca="false">IF(IsPro,IF($D1493="","",IFERROR(INDEX(Items!$D$5:$D$504,U1493),"")),"")</f>
        <v/>
      </c>
      <c r="K1493" s="61" t="str">
        <f aca="false">IF(IsPro,IF($D1493="","",IF($F1493="",IFERROR(INDEX(Items!$H$5:$H$504,U1493),0),$F1493)),"")</f>
        <v/>
      </c>
      <c r="L1493" s="61" t="str">
        <f aca="false">IF(IsPro,IF($D1493="","",ROUND(N($E1493)*K1493*(1-N($G1493)),2)),"")</f>
        <v/>
      </c>
      <c r="M1493" s="62" t="str">
        <f aca="false">IF(IsPro,IF($D1493="","",IFERROR(INDEX(Items!$F$5:$F$504,U1493),0)),"")</f>
        <v/>
      </c>
      <c r="N1493" s="61" t="str">
        <f aca="false">IF(IsPro,IF($D1493="","",IF(AND(V1493&lt;&gt;"",INDEX(Parties!$E$5:$E$304,V1493)&lt;&gt;"",INDEX(Parties!$E$5:$E$304,V1493)&lt;&gt;HomeState),0,ROUND(L1493*M1493/2,2))),"")</f>
        <v/>
      </c>
      <c r="O1493" s="61" t="str">
        <f aca="false">IF(IsPro,IF($D1493="","",N1493),"")</f>
        <v/>
      </c>
      <c r="P1493" s="61" t="str">
        <f aca="false">IF(IsPro,IF($D1493="","",IF(AND(V1493&lt;&gt;"",INDEX(Parties!$E$5:$E$304,V1493)&lt;&gt;"",INDEX(Parties!$E$5:$E$304,V1493)&lt;&gt;HomeState),ROUND(L1493*M1493,2),0)),"")</f>
        <v/>
      </c>
      <c r="Q1493" s="61" t="str">
        <f aca="false">IF(IsPro,IF($D1493="","",L1493+N1493+O1493+P1493),"")</f>
        <v/>
      </c>
      <c r="R1493" s="61" t="str">
        <f aca="false">IF(IsPro,IF($D1493="","",ROUND(N($E1493)*IFERROR(INDEX(Items!$P$5:$P$504,U1493),0),2)),"")</f>
        <v/>
      </c>
      <c r="S1493" s="61" t="str">
        <f aca="false">IF(IsPro,IF($D1493="","",L1493-R1493),"")</f>
        <v/>
      </c>
      <c r="T1493" s="60" t="str">
        <f aca="false">IF(IsPro,IF($D1493="","",IF(U1493="","UNKNOWN ITEM",IF(INDEX(Items!$O$5:$O$504,U1493)&lt;0,"NEG STOCK",IF(K1493&lt;INDEX(Items!$P$5:$P$504,U1493),"BELOW COST","OK")))),IF($D1493="","","PRO PLAN"))</f>
        <v/>
      </c>
      <c r="U1493" s="60" t="str">
        <f aca="false">IF(IsPro,IF($D1493="","",IFERROR(MATCH($D1493,Items!$A$5:$A$504,0),"")),"")</f>
        <v/>
      </c>
      <c r="V1493" s="60" t="str">
        <f aca="false">IF(IsPro,IF($C1493="","",IFERROR(MATCH($C1493,Parties!$A$5:$A$304,0),"")),"")</f>
        <v/>
      </c>
      <c r="W1493" s="60" t="str">
        <f aca="false">IF(IsPro,IF($B1493="","",IFERROR(VALUE(SUBSTITUTE($B1493,InvPrefix,"")),0)),"")</f>
        <v/>
      </c>
      <c r="X1493" s="61" t="str">
        <f aca="false">IF(IsPro,IF($D1493="","",IF(OR($H1493="",$H1493="Credit"),0,Q1493)),"")</f>
        <v/>
      </c>
    </row>
    <row r="1494" customFormat="false" ht="15" hidden="false" customHeight="false" outlineLevel="0" collapsed="false">
      <c r="A1494" s="55"/>
      <c r="B1494" s="56"/>
      <c r="C1494" s="56"/>
      <c r="D1494" s="56"/>
      <c r="E1494" s="57"/>
      <c r="F1494" s="58"/>
      <c r="G1494" s="59"/>
      <c r="H1494" s="56"/>
      <c r="I1494" s="56"/>
      <c r="J1494" s="60" t="str">
        <f aca="false">IF(IsPro,IF($D1494="","",IFERROR(INDEX(Items!$D$5:$D$504,U1494),"")),"")</f>
        <v/>
      </c>
      <c r="K1494" s="61" t="str">
        <f aca="false">IF(IsPro,IF($D1494="","",IF($F1494="",IFERROR(INDEX(Items!$H$5:$H$504,U1494),0),$F1494)),"")</f>
        <v/>
      </c>
      <c r="L1494" s="61" t="str">
        <f aca="false">IF(IsPro,IF($D1494="","",ROUND(N($E1494)*K1494*(1-N($G1494)),2)),"")</f>
        <v/>
      </c>
      <c r="M1494" s="62" t="str">
        <f aca="false">IF(IsPro,IF($D1494="","",IFERROR(INDEX(Items!$F$5:$F$504,U1494),0)),"")</f>
        <v/>
      </c>
      <c r="N1494" s="61" t="str">
        <f aca="false">IF(IsPro,IF($D1494="","",IF(AND(V1494&lt;&gt;"",INDEX(Parties!$E$5:$E$304,V1494)&lt;&gt;"",INDEX(Parties!$E$5:$E$304,V1494)&lt;&gt;HomeState),0,ROUND(L1494*M1494/2,2))),"")</f>
        <v/>
      </c>
      <c r="O1494" s="61" t="str">
        <f aca="false">IF(IsPro,IF($D1494="","",N1494),"")</f>
        <v/>
      </c>
      <c r="P1494" s="61" t="str">
        <f aca="false">IF(IsPro,IF($D1494="","",IF(AND(V1494&lt;&gt;"",INDEX(Parties!$E$5:$E$304,V1494)&lt;&gt;"",INDEX(Parties!$E$5:$E$304,V1494)&lt;&gt;HomeState),ROUND(L1494*M1494,2),0)),"")</f>
        <v/>
      </c>
      <c r="Q1494" s="61" t="str">
        <f aca="false">IF(IsPro,IF($D1494="","",L1494+N1494+O1494+P1494),"")</f>
        <v/>
      </c>
      <c r="R1494" s="61" t="str">
        <f aca="false">IF(IsPro,IF($D1494="","",ROUND(N($E1494)*IFERROR(INDEX(Items!$P$5:$P$504,U1494),0),2)),"")</f>
        <v/>
      </c>
      <c r="S1494" s="61" t="str">
        <f aca="false">IF(IsPro,IF($D1494="","",L1494-R1494),"")</f>
        <v/>
      </c>
      <c r="T1494" s="60" t="str">
        <f aca="false">IF(IsPro,IF($D1494="","",IF(U1494="","UNKNOWN ITEM",IF(INDEX(Items!$O$5:$O$504,U1494)&lt;0,"NEG STOCK",IF(K1494&lt;INDEX(Items!$P$5:$P$504,U1494),"BELOW COST","OK")))),IF($D1494="","","PRO PLAN"))</f>
        <v/>
      </c>
      <c r="U1494" s="60" t="str">
        <f aca="false">IF(IsPro,IF($D1494="","",IFERROR(MATCH($D1494,Items!$A$5:$A$504,0),"")),"")</f>
        <v/>
      </c>
      <c r="V1494" s="60" t="str">
        <f aca="false">IF(IsPro,IF($C1494="","",IFERROR(MATCH($C1494,Parties!$A$5:$A$304,0),"")),"")</f>
        <v/>
      </c>
      <c r="W1494" s="60" t="str">
        <f aca="false">IF(IsPro,IF($B1494="","",IFERROR(VALUE(SUBSTITUTE($B1494,InvPrefix,"")),0)),"")</f>
        <v/>
      </c>
      <c r="X1494" s="61" t="str">
        <f aca="false">IF(IsPro,IF($D1494="","",IF(OR($H1494="",$H1494="Credit"),0,Q1494)),"")</f>
        <v/>
      </c>
    </row>
    <row r="1495" customFormat="false" ht="15" hidden="false" customHeight="false" outlineLevel="0" collapsed="false">
      <c r="A1495" s="55"/>
      <c r="B1495" s="56"/>
      <c r="C1495" s="56"/>
      <c r="D1495" s="56"/>
      <c r="E1495" s="57"/>
      <c r="F1495" s="58"/>
      <c r="G1495" s="59"/>
      <c r="H1495" s="56"/>
      <c r="I1495" s="56"/>
      <c r="J1495" s="60" t="str">
        <f aca="false">IF(IsPro,IF($D1495="","",IFERROR(INDEX(Items!$D$5:$D$504,U1495),"")),"")</f>
        <v/>
      </c>
      <c r="K1495" s="61" t="str">
        <f aca="false">IF(IsPro,IF($D1495="","",IF($F1495="",IFERROR(INDEX(Items!$H$5:$H$504,U1495),0),$F1495)),"")</f>
        <v/>
      </c>
      <c r="L1495" s="61" t="str">
        <f aca="false">IF(IsPro,IF($D1495="","",ROUND(N($E1495)*K1495*(1-N($G1495)),2)),"")</f>
        <v/>
      </c>
      <c r="M1495" s="62" t="str">
        <f aca="false">IF(IsPro,IF($D1495="","",IFERROR(INDEX(Items!$F$5:$F$504,U1495),0)),"")</f>
        <v/>
      </c>
      <c r="N1495" s="61" t="str">
        <f aca="false">IF(IsPro,IF($D1495="","",IF(AND(V1495&lt;&gt;"",INDEX(Parties!$E$5:$E$304,V1495)&lt;&gt;"",INDEX(Parties!$E$5:$E$304,V1495)&lt;&gt;HomeState),0,ROUND(L1495*M1495/2,2))),"")</f>
        <v/>
      </c>
      <c r="O1495" s="61" t="str">
        <f aca="false">IF(IsPro,IF($D1495="","",N1495),"")</f>
        <v/>
      </c>
      <c r="P1495" s="61" t="str">
        <f aca="false">IF(IsPro,IF($D1495="","",IF(AND(V1495&lt;&gt;"",INDEX(Parties!$E$5:$E$304,V1495)&lt;&gt;"",INDEX(Parties!$E$5:$E$304,V1495)&lt;&gt;HomeState),ROUND(L1495*M1495,2),0)),"")</f>
        <v/>
      </c>
      <c r="Q1495" s="61" t="str">
        <f aca="false">IF(IsPro,IF($D1495="","",L1495+N1495+O1495+P1495),"")</f>
        <v/>
      </c>
      <c r="R1495" s="61" t="str">
        <f aca="false">IF(IsPro,IF($D1495="","",ROUND(N($E1495)*IFERROR(INDEX(Items!$P$5:$P$504,U1495),0),2)),"")</f>
        <v/>
      </c>
      <c r="S1495" s="61" t="str">
        <f aca="false">IF(IsPro,IF($D1495="","",L1495-R1495),"")</f>
        <v/>
      </c>
      <c r="T1495" s="60" t="str">
        <f aca="false">IF(IsPro,IF($D1495="","",IF(U1495="","UNKNOWN ITEM",IF(INDEX(Items!$O$5:$O$504,U1495)&lt;0,"NEG STOCK",IF(K1495&lt;INDEX(Items!$P$5:$P$504,U1495),"BELOW COST","OK")))),IF($D1495="","","PRO PLAN"))</f>
        <v/>
      </c>
      <c r="U1495" s="60" t="str">
        <f aca="false">IF(IsPro,IF($D1495="","",IFERROR(MATCH($D1495,Items!$A$5:$A$504,0),"")),"")</f>
        <v/>
      </c>
      <c r="V1495" s="60" t="str">
        <f aca="false">IF(IsPro,IF($C1495="","",IFERROR(MATCH($C1495,Parties!$A$5:$A$304,0),"")),"")</f>
        <v/>
      </c>
      <c r="W1495" s="60" t="str">
        <f aca="false">IF(IsPro,IF($B1495="","",IFERROR(VALUE(SUBSTITUTE($B1495,InvPrefix,"")),0)),"")</f>
        <v/>
      </c>
      <c r="X1495" s="61" t="str">
        <f aca="false">IF(IsPro,IF($D1495="","",IF(OR($H1495="",$H1495="Credit"),0,Q1495)),"")</f>
        <v/>
      </c>
    </row>
    <row r="1496" customFormat="false" ht="15" hidden="false" customHeight="false" outlineLevel="0" collapsed="false">
      <c r="A1496" s="55"/>
      <c r="B1496" s="56"/>
      <c r="C1496" s="56"/>
      <c r="D1496" s="56"/>
      <c r="E1496" s="57"/>
      <c r="F1496" s="58"/>
      <c r="G1496" s="59"/>
      <c r="H1496" s="56"/>
      <c r="I1496" s="56"/>
      <c r="J1496" s="60" t="str">
        <f aca="false">IF(IsPro,IF($D1496="","",IFERROR(INDEX(Items!$D$5:$D$504,U1496),"")),"")</f>
        <v/>
      </c>
      <c r="K1496" s="61" t="str">
        <f aca="false">IF(IsPro,IF($D1496="","",IF($F1496="",IFERROR(INDEX(Items!$H$5:$H$504,U1496),0),$F1496)),"")</f>
        <v/>
      </c>
      <c r="L1496" s="61" t="str">
        <f aca="false">IF(IsPro,IF($D1496="","",ROUND(N($E1496)*K1496*(1-N($G1496)),2)),"")</f>
        <v/>
      </c>
      <c r="M1496" s="62" t="str">
        <f aca="false">IF(IsPro,IF($D1496="","",IFERROR(INDEX(Items!$F$5:$F$504,U1496),0)),"")</f>
        <v/>
      </c>
      <c r="N1496" s="61" t="str">
        <f aca="false">IF(IsPro,IF($D1496="","",IF(AND(V1496&lt;&gt;"",INDEX(Parties!$E$5:$E$304,V1496)&lt;&gt;"",INDEX(Parties!$E$5:$E$304,V1496)&lt;&gt;HomeState),0,ROUND(L1496*M1496/2,2))),"")</f>
        <v/>
      </c>
      <c r="O1496" s="61" t="str">
        <f aca="false">IF(IsPro,IF($D1496="","",N1496),"")</f>
        <v/>
      </c>
      <c r="P1496" s="61" t="str">
        <f aca="false">IF(IsPro,IF($D1496="","",IF(AND(V1496&lt;&gt;"",INDEX(Parties!$E$5:$E$304,V1496)&lt;&gt;"",INDEX(Parties!$E$5:$E$304,V1496)&lt;&gt;HomeState),ROUND(L1496*M1496,2),0)),"")</f>
        <v/>
      </c>
      <c r="Q1496" s="61" t="str">
        <f aca="false">IF(IsPro,IF($D1496="","",L1496+N1496+O1496+P1496),"")</f>
        <v/>
      </c>
      <c r="R1496" s="61" t="str">
        <f aca="false">IF(IsPro,IF($D1496="","",ROUND(N($E1496)*IFERROR(INDEX(Items!$P$5:$P$504,U1496),0),2)),"")</f>
        <v/>
      </c>
      <c r="S1496" s="61" t="str">
        <f aca="false">IF(IsPro,IF($D1496="","",L1496-R1496),"")</f>
        <v/>
      </c>
      <c r="T1496" s="60" t="str">
        <f aca="false">IF(IsPro,IF($D1496="","",IF(U1496="","UNKNOWN ITEM",IF(INDEX(Items!$O$5:$O$504,U1496)&lt;0,"NEG STOCK",IF(K1496&lt;INDEX(Items!$P$5:$P$504,U1496),"BELOW COST","OK")))),IF($D1496="","","PRO PLAN"))</f>
        <v/>
      </c>
      <c r="U1496" s="60" t="str">
        <f aca="false">IF(IsPro,IF($D1496="","",IFERROR(MATCH($D1496,Items!$A$5:$A$504,0),"")),"")</f>
        <v/>
      </c>
      <c r="V1496" s="60" t="str">
        <f aca="false">IF(IsPro,IF($C1496="","",IFERROR(MATCH($C1496,Parties!$A$5:$A$304,0),"")),"")</f>
        <v/>
      </c>
      <c r="W1496" s="60" t="str">
        <f aca="false">IF(IsPro,IF($B1496="","",IFERROR(VALUE(SUBSTITUTE($B1496,InvPrefix,"")),0)),"")</f>
        <v/>
      </c>
      <c r="X1496" s="61" t="str">
        <f aca="false">IF(IsPro,IF($D1496="","",IF(OR($H1496="",$H1496="Credit"),0,Q1496)),"")</f>
        <v/>
      </c>
    </row>
    <row r="1497" customFormat="false" ht="15" hidden="false" customHeight="false" outlineLevel="0" collapsed="false">
      <c r="A1497" s="55"/>
      <c r="B1497" s="56"/>
      <c r="C1497" s="56"/>
      <c r="D1497" s="56"/>
      <c r="E1497" s="57"/>
      <c r="F1497" s="58"/>
      <c r="G1497" s="59"/>
      <c r="H1497" s="56"/>
      <c r="I1497" s="56"/>
      <c r="J1497" s="60" t="str">
        <f aca="false">IF(IsPro,IF($D1497="","",IFERROR(INDEX(Items!$D$5:$D$504,U1497),"")),"")</f>
        <v/>
      </c>
      <c r="K1497" s="61" t="str">
        <f aca="false">IF(IsPro,IF($D1497="","",IF($F1497="",IFERROR(INDEX(Items!$H$5:$H$504,U1497),0),$F1497)),"")</f>
        <v/>
      </c>
      <c r="L1497" s="61" t="str">
        <f aca="false">IF(IsPro,IF($D1497="","",ROUND(N($E1497)*K1497*(1-N($G1497)),2)),"")</f>
        <v/>
      </c>
      <c r="M1497" s="62" t="str">
        <f aca="false">IF(IsPro,IF($D1497="","",IFERROR(INDEX(Items!$F$5:$F$504,U1497),0)),"")</f>
        <v/>
      </c>
      <c r="N1497" s="61" t="str">
        <f aca="false">IF(IsPro,IF($D1497="","",IF(AND(V1497&lt;&gt;"",INDEX(Parties!$E$5:$E$304,V1497)&lt;&gt;"",INDEX(Parties!$E$5:$E$304,V1497)&lt;&gt;HomeState),0,ROUND(L1497*M1497/2,2))),"")</f>
        <v/>
      </c>
      <c r="O1497" s="61" t="str">
        <f aca="false">IF(IsPro,IF($D1497="","",N1497),"")</f>
        <v/>
      </c>
      <c r="P1497" s="61" t="str">
        <f aca="false">IF(IsPro,IF($D1497="","",IF(AND(V1497&lt;&gt;"",INDEX(Parties!$E$5:$E$304,V1497)&lt;&gt;"",INDEX(Parties!$E$5:$E$304,V1497)&lt;&gt;HomeState),ROUND(L1497*M1497,2),0)),"")</f>
        <v/>
      </c>
      <c r="Q1497" s="61" t="str">
        <f aca="false">IF(IsPro,IF($D1497="","",L1497+N1497+O1497+P1497),"")</f>
        <v/>
      </c>
      <c r="R1497" s="61" t="str">
        <f aca="false">IF(IsPro,IF($D1497="","",ROUND(N($E1497)*IFERROR(INDEX(Items!$P$5:$P$504,U1497),0),2)),"")</f>
        <v/>
      </c>
      <c r="S1497" s="61" t="str">
        <f aca="false">IF(IsPro,IF($D1497="","",L1497-R1497),"")</f>
        <v/>
      </c>
      <c r="T1497" s="60" t="str">
        <f aca="false">IF(IsPro,IF($D1497="","",IF(U1497="","UNKNOWN ITEM",IF(INDEX(Items!$O$5:$O$504,U1497)&lt;0,"NEG STOCK",IF(K1497&lt;INDEX(Items!$P$5:$P$504,U1497),"BELOW COST","OK")))),IF($D1497="","","PRO PLAN"))</f>
        <v/>
      </c>
      <c r="U1497" s="60" t="str">
        <f aca="false">IF(IsPro,IF($D1497="","",IFERROR(MATCH($D1497,Items!$A$5:$A$504,0),"")),"")</f>
        <v/>
      </c>
      <c r="V1497" s="60" t="str">
        <f aca="false">IF(IsPro,IF($C1497="","",IFERROR(MATCH($C1497,Parties!$A$5:$A$304,0),"")),"")</f>
        <v/>
      </c>
      <c r="W1497" s="60" t="str">
        <f aca="false">IF(IsPro,IF($B1497="","",IFERROR(VALUE(SUBSTITUTE($B1497,InvPrefix,"")),0)),"")</f>
        <v/>
      </c>
      <c r="X1497" s="61" t="str">
        <f aca="false">IF(IsPro,IF($D1497="","",IF(OR($H1497="",$H1497="Credit"),0,Q1497)),"")</f>
        <v/>
      </c>
    </row>
    <row r="1498" customFormat="false" ht="15" hidden="false" customHeight="false" outlineLevel="0" collapsed="false">
      <c r="A1498" s="55"/>
      <c r="B1498" s="56"/>
      <c r="C1498" s="56"/>
      <c r="D1498" s="56"/>
      <c r="E1498" s="57"/>
      <c r="F1498" s="58"/>
      <c r="G1498" s="59"/>
      <c r="H1498" s="56"/>
      <c r="I1498" s="56"/>
      <c r="J1498" s="60" t="str">
        <f aca="false">IF(IsPro,IF($D1498="","",IFERROR(INDEX(Items!$D$5:$D$504,U1498),"")),"")</f>
        <v/>
      </c>
      <c r="K1498" s="61" t="str">
        <f aca="false">IF(IsPro,IF($D1498="","",IF($F1498="",IFERROR(INDEX(Items!$H$5:$H$504,U1498),0),$F1498)),"")</f>
        <v/>
      </c>
      <c r="L1498" s="61" t="str">
        <f aca="false">IF(IsPro,IF($D1498="","",ROUND(N($E1498)*K1498*(1-N($G1498)),2)),"")</f>
        <v/>
      </c>
      <c r="M1498" s="62" t="str">
        <f aca="false">IF(IsPro,IF($D1498="","",IFERROR(INDEX(Items!$F$5:$F$504,U1498),0)),"")</f>
        <v/>
      </c>
      <c r="N1498" s="61" t="str">
        <f aca="false">IF(IsPro,IF($D1498="","",IF(AND(V1498&lt;&gt;"",INDEX(Parties!$E$5:$E$304,V1498)&lt;&gt;"",INDEX(Parties!$E$5:$E$304,V1498)&lt;&gt;HomeState),0,ROUND(L1498*M1498/2,2))),"")</f>
        <v/>
      </c>
      <c r="O1498" s="61" t="str">
        <f aca="false">IF(IsPro,IF($D1498="","",N1498),"")</f>
        <v/>
      </c>
      <c r="P1498" s="61" t="str">
        <f aca="false">IF(IsPro,IF($D1498="","",IF(AND(V1498&lt;&gt;"",INDEX(Parties!$E$5:$E$304,V1498)&lt;&gt;"",INDEX(Parties!$E$5:$E$304,V1498)&lt;&gt;HomeState),ROUND(L1498*M1498,2),0)),"")</f>
        <v/>
      </c>
      <c r="Q1498" s="61" t="str">
        <f aca="false">IF(IsPro,IF($D1498="","",L1498+N1498+O1498+P1498),"")</f>
        <v/>
      </c>
      <c r="R1498" s="61" t="str">
        <f aca="false">IF(IsPro,IF($D1498="","",ROUND(N($E1498)*IFERROR(INDEX(Items!$P$5:$P$504,U1498),0),2)),"")</f>
        <v/>
      </c>
      <c r="S1498" s="61" t="str">
        <f aca="false">IF(IsPro,IF($D1498="","",L1498-R1498),"")</f>
        <v/>
      </c>
      <c r="T1498" s="60" t="str">
        <f aca="false">IF(IsPro,IF($D1498="","",IF(U1498="","UNKNOWN ITEM",IF(INDEX(Items!$O$5:$O$504,U1498)&lt;0,"NEG STOCK",IF(K1498&lt;INDEX(Items!$P$5:$P$504,U1498),"BELOW COST","OK")))),IF($D1498="","","PRO PLAN"))</f>
        <v/>
      </c>
      <c r="U1498" s="60" t="str">
        <f aca="false">IF(IsPro,IF($D1498="","",IFERROR(MATCH($D1498,Items!$A$5:$A$504,0),"")),"")</f>
        <v/>
      </c>
      <c r="V1498" s="60" t="str">
        <f aca="false">IF(IsPro,IF($C1498="","",IFERROR(MATCH($C1498,Parties!$A$5:$A$304,0),"")),"")</f>
        <v/>
      </c>
      <c r="W1498" s="60" t="str">
        <f aca="false">IF(IsPro,IF($B1498="","",IFERROR(VALUE(SUBSTITUTE($B1498,InvPrefix,"")),0)),"")</f>
        <v/>
      </c>
      <c r="X1498" s="61" t="str">
        <f aca="false">IF(IsPro,IF($D1498="","",IF(OR($H1498="",$H1498="Credit"),0,Q1498)),"")</f>
        <v/>
      </c>
    </row>
    <row r="1499" customFormat="false" ht="15" hidden="false" customHeight="false" outlineLevel="0" collapsed="false">
      <c r="A1499" s="55"/>
      <c r="B1499" s="56"/>
      <c r="C1499" s="56"/>
      <c r="D1499" s="56"/>
      <c r="E1499" s="57"/>
      <c r="F1499" s="58"/>
      <c r="G1499" s="59"/>
      <c r="H1499" s="56"/>
      <c r="I1499" s="56"/>
      <c r="J1499" s="60" t="str">
        <f aca="false">IF(IsPro,IF($D1499="","",IFERROR(INDEX(Items!$D$5:$D$504,U1499),"")),"")</f>
        <v/>
      </c>
      <c r="K1499" s="61" t="str">
        <f aca="false">IF(IsPro,IF($D1499="","",IF($F1499="",IFERROR(INDEX(Items!$H$5:$H$504,U1499),0),$F1499)),"")</f>
        <v/>
      </c>
      <c r="L1499" s="61" t="str">
        <f aca="false">IF(IsPro,IF($D1499="","",ROUND(N($E1499)*K1499*(1-N($G1499)),2)),"")</f>
        <v/>
      </c>
      <c r="M1499" s="62" t="str">
        <f aca="false">IF(IsPro,IF($D1499="","",IFERROR(INDEX(Items!$F$5:$F$504,U1499),0)),"")</f>
        <v/>
      </c>
      <c r="N1499" s="61" t="str">
        <f aca="false">IF(IsPro,IF($D1499="","",IF(AND(V1499&lt;&gt;"",INDEX(Parties!$E$5:$E$304,V1499)&lt;&gt;"",INDEX(Parties!$E$5:$E$304,V1499)&lt;&gt;HomeState),0,ROUND(L1499*M1499/2,2))),"")</f>
        <v/>
      </c>
      <c r="O1499" s="61" t="str">
        <f aca="false">IF(IsPro,IF($D1499="","",N1499),"")</f>
        <v/>
      </c>
      <c r="P1499" s="61" t="str">
        <f aca="false">IF(IsPro,IF($D1499="","",IF(AND(V1499&lt;&gt;"",INDEX(Parties!$E$5:$E$304,V1499)&lt;&gt;"",INDEX(Parties!$E$5:$E$304,V1499)&lt;&gt;HomeState),ROUND(L1499*M1499,2),0)),"")</f>
        <v/>
      </c>
      <c r="Q1499" s="61" t="str">
        <f aca="false">IF(IsPro,IF($D1499="","",L1499+N1499+O1499+P1499),"")</f>
        <v/>
      </c>
      <c r="R1499" s="61" t="str">
        <f aca="false">IF(IsPro,IF($D1499="","",ROUND(N($E1499)*IFERROR(INDEX(Items!$P$5:$P$504,U1499),0),2)),"")</f>
        <v/>
      </c>
      <c r="S1499" s="61" t="str">
        <f aca="false">IF(IsPro,IF($D1499="","",L1499-R1499),"")</f>
        <v/>
      </c>
      <c r="T1499" s="60" t="str">
        <f aca="false">IF(IsPro,IF($D1499="","",IF(U1499="","UNKNOWN ITEM",IF(INDEX(Items!$O$5:$O$504,U1499)&lt;0,"NEG STOCK",IF(K1499&lt;INDEX(Items!$P$5:$P$504,U1499),"BELOW COST","OK")))),IF($D1499="","","PRO PLAN"))</f>
        <v/>
      </c>
      <c r="U1499" s="60" t="str">
        <f aca="false">IF(IsPro,IF($D1499="","",IFERROR(MATCH($D1499,Items!$A$5:$A$504,0),"")),"")</f>
        <v/>
      </c>
      <c r="V1499" s="60" t="str">
        <f aca="false">IF(IsPro,IF($C1499="","",IFERROR(MATCH($C1499,Parties!$A$5:$A$304,0),"")),"")</f>
        <v/>
      </c>
      <c r="W1499" s="60" t="str">
        <f aca="false">IF(IsPro,IF($B1499="","",IFERROR(VALUE(SUBSTITUTE($B1499,InvPrefix,"")),0)),"")</f>
        <v/>
      </c>
      <c r="X1499" s="61" t="str">
        <f aca="false">IF(IsPro,IF($D1499="","",IF(OR($H1499="",$H1499="Credit"),0,Q1499)),"")</f>
        <v/>
      </c>
    </row>
    <row r="1500" customFormat="false" ht="15" hidden="false" customHeight="false" outlineLevel="0" collapsed="false">
      <c r="A1500" s="55"/>
      <c r="B1500" s="56"/>
      <c r="C1500" s="56"/>
      <c r="D1500" s="56"/>
      <c r="E1500" s="57"/>
      <c r="F1500" s="58"/>
      <c r="G1500" s="59"/>
      <c r="H1500" s="56"/>
      <c r="I1500" s="56"/>
      <c r="J1500" s="60" t="str">
        <f aca="false">IF(IsPro,IF($D1500="","",IFERROR(INDEX(Items!$D$5:$D$504,U1500),"")),"")</f>
        <v/>
      </c>
      <c r="K1500" s="61" t="str">
        <f aca="false">IF(IsPro,IF($D1500="","",IF($F1500="",IFERROR(INDEX(Items!$H$5:$H$504,U1500),0),$F1500)),"")</f>
        <v/>
      </c>
      <c r="L1500" s="61" t="str">
        <f aca="false">IF(IsPro,IF($D1500="","",ROUND(N($E1500)*K1500*(1-N($G1500)),2)),"")</f>
        <v/>
      </c>
      <c r="M1500" s="62" t="str">
        <f aca="false">IF(IsPro,IF($D1500="","",IFERROR(INDEX(Items!$F$5:$F$504,U1500),0)),"")</f>
        <v/>
      </c>
      <c r="N1500" s="61" t="str">
        <f aca="false">IF(IsPro,IF($D1500="","",IF(AND(V1500&lt;&gt;"",INDEX(Parties!$E$5:$E$304,V1500)&lt;&gt;"",INDEX(Parties!$E$5:$E$304,V1500)&lt;&gt;HomeState),0,ROUND(L1500*M1500/2,2))),"")</f>
        <v/>
      </c>
      <c r="O1500" s="61" t="str">
        <f aca="false">IF(IsPro,IF($D1500="","",N1500),"")</f>
        <v/>
      </c>
      <c r="P1500" s="61" t="str">
        <f aca="false">IF(IsPro,IF($D1500="","",IF(AND(V1500&lt;&gt;"",INDEX(Parties!$E$5:$E$304,V1500)&lt;&gt;"",INDEX(Parties!$E$5:$E$304,V1500)&lt;&gt;HomeState),ROUND(L1500*M1500,2),0)),"")</f>
        <v/>
      </c>
      <c r="Q1500" s="61" t="str">
        <f aca="false">IF(IsPro,IF($D1500="","",L1500+N1500+O1500+P1500),"")</f>
        <v/>
      </c>
      <c r="R1500" s="61" t="str">
        <f aca="false">IF(IsPro,IF($D1500="","",ROUND(N($E1500)*IFERROR(INDEX(Items!$P$5:$P$504,U1500),0),2)),"")</f>
        <v/>
      </c>
      <c r="S1500" s="61" t="str">
        <f aca="false">IF(IsPro,IF($D1500="","",L1500-R1500),"")</f>
        <v/>
      </c>
      <c r="T1500" s="60" t="str">
        <f aca="false">IF(IsPro,IF($D1500="","",IF(U1500="","UNKNOWN ITEM",IF(INDEX(Items!$O$5:$O$504,U1500)&lt;0,"NEG STOCK",IF(K1500&lt;INDEX(Items!$P$5:$P$504,U1500),"BELOW COST","OK")))),IF($D1500="","","PRO PLAN"))</f>
        <v/>
      </c>
      <c r="U1500" s="60" t="str">
        <f aca="false">IF(IsPro,IF($D1500="","",IFERROR(MATCH($D1500,Items!$A$5:$A$504,0),"")),"")</f>
        <v/>
      </c>
      <c r="V1500" s="60" t="str">
        <f aca="false">IF(IsPro,IF($C1500="","",IFERROR(MATCH($C1500,Parties!$A$5:$A$304,0),"")),"")</f>
        <v/>
      </c>
      <c r="W1500" s="60" t="str">
        <f aca="false">IF(IsPro,IF($B1500="","",IFERROR(VALUE(SUBSTITUTE($B1500,InvPrefix,"")),0)),"")</f>
        <v/>
      </c>
      <c r="X1500" s="61" t="str">
        <f aca="false">IF(IsPro,IF($D1500="","",IF(OR($H1500="",$H1500="Credit"),0,Q1500)),"")</f>
        <v/>
      </c>
    </row>
    <row r="1501" customFormat="false" ht="15" hidden="false" customHeight="false" outlineLevel="0" collapsed="false">
      <c r="A1501" s="55"/>
      <c r="B1501" s="56"/>
      <c r="C1501" s="56"/>
      <c r="D1501" s="56"/>
      <c r="E1501" s="57"/>
      <c r="F1501" s="58"/>
      <c r="G1501" s="59"/>
      <c r="H1501" s="56"/>
      <c r="I1501" s="56"/>
      <c r="J1501" s="60" t="str">
        <f aca="false">IF(IsPro,IF($D1501="","",IFERROR(INDEX(Items!$D$5:$D$504,U1501),"")),"")</f>
        <v/>
      </c>
      <c r="K1501" s="61" t="str">
        <f aca="false">IF(IsPro,IF($D1501="","",IF($F1501="",IFERROR(INDEX(Items!$H$5:$H$504,U1501),0),$F1501)),"")</f>
        <v/>
      </c>
      <c r="L1501" s="61" t="str">
        <f aca="false">IF(IsPro,IF($D1501="","",ROUND(N($E1501)*K1501*(1-N($G1501)),2)),"")</f>
        <v/>
      </c>
      <c r="M1501" s="62" t="str">
        <f aca="false">IF(IsPro,IF($D1501="","",IFERROR(INDEX(Items!$F$5:$F$504,U1501),0)),"")</f>
        <v/>
      </c>
      <c r="N1501" s="61" t="str">
        <f aca="false">IF(IsPro,IF($D1501="","",IF(AND(V1501&lt;&gt;"",INDEX(Parties!$E$5:$E$304,V1501)&lt;&gt;"",INDEX(Parties!$E$5:$E$304,V1501)&lt;&gt;HomeState),0,ROUND(L1501*M1501/2,2))),"")</f>
        <v/>
      </c>
      <c r="O1501" s="61" t="str">
        <f aca="false">IF(IsPro,IF($D1501="","",N1501),"")</f>
        <v/>
      </c>
      <c r="P1501" s="61" t="str">
        <f aca="false">IF(IsPro,IF($D1501="","",IF(AND(V1501&lt;&gt;"",INDEX(Parties!$E$5:$E$304,V1501)&lt;&gt;"",INDEX(Parties!$E$5:$E$304,V1501)&lt;&gt;HomeState),ROUND(L1501*M1501,2),0)),"")</f>
        <v/>
      </c>
      <c r="Q1501" s="61" t="str">
        <f aca="false">IF(IsPro,IF($D1501="","",L1501+N1501+O1501+P1501),"")</f>
        <v/>
      </c>
      <c r="R1501" s="61" t="str">
        <f aca="false">IF(IsPro,IF($D1501="","",ROUND(N($E1501)*IFERROR(INDEX(Items!$P$5:$P$504,U1501),0),2)),"")</f>
        <v/>
      </c>
      <c r="S1501" s="61" t="str">
        <f aca="false">IF(IsPro,IF($D1501="","",L1501-R1501),"")</f>
        <v/>
      </c>
      <c r="T1501" s="60" t="str">
        <f aca="false">IF(IsPro,IF($D1501="","",IF(U1501="","UNKNOWN ITEM",IF(INDEX(Items!$O$5:$O$504,U1501)&lt;0,"NEG STOCK",IF(K1501&lt;INDEX(Items!$P$5:$P$504,U1501),"BELOW COST","OK")))),IF($D1501="","","PRO PLAN"))</f>
        <v/>
      </c>
      <c r="U1501" s="60" t="str">
        <f aca="false">IF(IsPro,IF($D1501="","",IFERROR(MATCH($D1501,Items!$A$5:$A$504,0),"")),"")</f>
        <v/>
      </c>
      <c r="V1501" s="60" t="str">
        <f aca="false">IF(IsPro,IF($C1501="","",IFERROR(MATCH($C1501,Parties!$A$5:$A$304,0),"")),"")</f>
        <v/>
      </c>
      <c r="W1501" s="60" t="str">
        <f aca="false">IF(IsPro,IF($B1501="","",IFERROR(VALUE(SUBSTITUTE($B1501,InvPrefix,"")),0)),"")</f>
        <v/>
      </c>
      <c r="X1501" s="61" t="str">
        <f aca="false">IF(IsPro,IF($D1501="","",IF(OR($H1501="",$H1501="Credit"),0,Q1501)),"")</f>
        <v/>
      </c>
    </row>
    <row r="1502" customFormat="false" ht="15" hidden="false" customHeight="false" outlineLevel="0" collapsed="false">
      <c r="A1502" s="55"/>
      <c r="B1502" s="56"/>
      <c r="C1502" s="56"/>
      <c r="D1502" s="56"/>
      <c r="E1502" s="57"/>
      <c r="F1502" s="58"/>
      <c r="G1502" s="59"/>
      <c r="H1502" s="56"/>
      <c r="I1502" s="56"/>
      <c r="J1502" s="60" t="str">
        <f aca="false">IF(IsPro,IF($D1502="","",IFERROR(INDEX(Items!$D$5:$D$504,U1502),"")),"")</f>
        <v/>
      </c>
      <c r="K1502" s="61" t="str">
        <f aca="false">IF(IsPro,IF($D1502="","",IF($F1502="",IFERROR(INDEX(Items!$H$5:$H$504,U1502),0),$F1502)),"")</f>
        <v/>
      </c>
      <c r="L1502" s="61" t="str">
        <f aca="false">IF(IsPro,IF($D1502="","",ROUND(N($E1502)*K1502*(1-N($G1502)),2)),"")</f>
        <v/>
      </c>
      <c r="M1502" s="62" t="str">
        <f aca="false">IF(IsPro,IF($D1502="","",IFERROR(INDEX(Items!$F$5:$F$504,U1502),0)),"")</f>
        <v/>
      </c>
      <c r="N1502" s="61" t="str">
        <f aca="false">IF(IsPro,IF($D1502="","",IF(AND(V1502&lt;&gt;"",INDEX(Parties!$E$5:$E$304,V1502)&lt;&gt;"",INDEX(Parties!$E$5:$E$304,V1502)&lt;&gt;HomeState),0,ROUND(L1502*M1502/2,2))),"")</f>
        <v/>
      </c>
      <c r="O1502" s="61" t="str">
        <f aca="false">IF(IsPro,IF($D1502="","",N1502),"")</f>
        <v/>
      </c>
      <c r="P1502" s="61" t="str">
        <f aca="false">IF(IsPro,IF($D1502="","",IF(AND(V1502&lt;&gt;"",INDEX(Parties!$E$5:$E$304,V1502)&lt;&gt;"",INDEX(Parties!$E$5:$E$304,V1502)&lt;&gt;HomeState),ROUND(L1502*M1502,2),0)),"")</f>
        <v/>
      </c>
      <c r="Q1502" s="61" t="str">
        <f aca="false">IF(IsPro,IF($D1502="","",L1502+N1502+O1502+P1502),"")</f>
        <v/>
      </c>
      <c r="R1502" s="61" t="str">
        <f aca="false">IF(IsPro,IF($D1502="","",ROUND(N($E1502)*IFERROR(INDEX(Items!$P$5:$P$504,U1502),0),2)),"")</f>
        <v/>
      </c>
      <c r="S1502" s="61" t="str">
        <f aca="false">IF(IsPro,IF($D1502="","",L1502-R1502),"")</f>
        <v/>
      </c>
      <c r="T1502" s="60" t="str">
        <f aca="false">IF(IsPro,IF($D1502="","",IF(U1502="","UNKNOWN ITEM",IF(INDEX(Items!$O$5:$O$504,U1502)&lt;0,"NEG STOCK",IF(K1502&lt;INDEX(Items!$P$5:$P$504,U1502),"BELOW COST","OK")))),IF($D1502="","","PRO PLAN"))</f>
        <v/>
      </c>
      <c r="U1502" s="60" t="str">
        <f aca="false">IF(IsPro,IF($D1502="","",IFERROR(MATCH($D1502,Items!$A$5:$A$504,0),"")),"")</f>
        <v/>
      </c>
      <c r="V1502" s="60" t="str">
        <f aca="false">IF(IsPro,IF($C1502="","",IFERROR(MATCH($C1502,Parties!$A$5:$A$304,0),"")),"")</f>
        <v/>
      </c>
      <c r="W1502" s="60" t="str">
        <f aca="false">IF(IsPro,IF($B1502="","",IFERROR(VALUE(SUBSTITUTE($B1502,InvPrefix,"")),0)),"")</f>
        <v/>
      </c>
      <c r="X1502" s="61" t="str">
        <f aca="false">IF(IsPro,IF($D1502="","",IF(OR($H1502="",$H1502="Credit"),0,Q1502)),"")</f>
        <v/>
      </c>
    </row>
    <row r="1503" customFormat="false" ht="15" hidden="false" customHeight="false" outlineLevel="0" collapsed="false">
      <c r="A1503" s="55"/>
      <c r="B1503" s="56"/>
      <c r="C1503" s="56"/>
      <c r="D1503" s="56"/>
      <c r="E1503" s="57"/>
      <c r="F1503" s="58"/>
      <c r="G1503" s="59"/>
      <c r="H1503" s="56"/>
      <c r="I1503" s="56"/>
      <c r="J1503" s="60" t="str">
        <f aca="false">IF(IsPro,IF($D1503="","",IFERROR(INDEX(Items!$D$5:$D$504,U1503),"")),"")</f>
        <v/>
      </c>
      <c r="K1503" s="61" t="str">
        <f aca="false">IF(IsPro,IF($D1503="","",IF($F1503="",IFERROR(INDEX(Items!$H$5:$H$504,U1503),0),$F1503)),"")</f>
        <v/>
      </c>
      <c r="L1503" s="61" t="str">
        <f aca="false">IF(IsPro,IF($D1503="","",ROUND(N($E1503)*K1503*(1-N($G1503)),2)),"")</f>
        <v/>
      </c>
      <c r="M1503" s="62" t="str">
        <f aca="false">IF(IsPro,IF($D1503="","",IFERROR(INDEX(Items!$F$5:$F$504,U1503),0)),"")</f>
        <v/>
      </c>
      <c r="N1503" s="61" t="str">
        <f aca="false">IF(IsPro,IF($D1503="","",IF(AND(V1503&lt;&gt;"",INDEX(Parties!$E$5:$E$304,V1503)&lt;&gt;"",INDEX(Parties!$E$5:$E$304,V1503)&lt;&gt;HomeState),0,ROUND(L1503*M1503/2,2))),"")</f>
        <v/>
      </c>
      <c r="O1503" s="61" t="str">
        <f aca="false">IF(IsPro,IF($D1503="","",N1503),"")</f>
        <v/>
      </c>
      <c r="P1503" s="61" t="str">
        <f aca="false">IF(IsPro,IF($D1503="","",IF(AND(V1503&lt;&gt;"",INDEX(Parties!$E$5:$E$304,V1503)&lt;&gt;"",INDEX(Parties!$E$5:$E$304,V1503)&lt;&gt;HomeState),ROUND(L1503*M1503,2),0)),"")</f>
        <v/>
      </c>
      <c r="Q1503" s="61" t="str">
        <f aca="false">IF(IsPro,IF($D1503="","",L1503+N1503+O1503+P1503),"")</f>
        <v/>
      </c>
      <c r="R1503" s="61" t="str">
        <f aca="false">IF(IsPro,IF($D1503="","",ROUND(N($E1503)*IFERROR(INDEX(Items!$P$5:$P$504,U1503),0),2)),"")</f>
        <v/>
      </c>
      <c r="S1503" s="61" t="str">
        <f aca="false">IF(IsPro,IF($D1503="","",L1503-R1503),"")</f>
        <v/>
      </c>
      <c r="T1503" s="60" t="str">
        <f aca="false">IF(IsPro,IF($D1503="","",IF(U1503="","UNKNOWN ITEM",IF(INDEX(Items!$O$5:$O$504,U1503)&lt;0,"NEG STOCK",IF(K1503&lt;INDEX(Items!$P$5:$P$504,U1503),"BELOW COST","OK")))),IF($D1503="","","PRO PLAN"))</f>
        <v/>
      </c>
      <c r="U1503" s="60" t="str">
        <f aca="false">IF(IsPro,IF($D1503="","",IFERROR(MATCH($D1503,Items!$A$5:$A$504,0),"")),"")</f>
        <v/>
      </c>
      <c r="V1503" s="60" t="str">
        <f aca="false">IF(IsPro,IF($C1503="","",IFERROR(MATCH($C1503,Parties!$A$5:$A$304,0),"")),"")</f>
        <v/>
      </c>
      <c r="W1503" s="60" t="str">
        <f aca="false">IF(IsPro,IF($B1503="","",IFERROR(VALUE(SUBSTITUTE($B1503,InvPrefix,"")),0)),"")</f>
        <v/>
      </c>
      <c r="X1503" s="61" t="str">
        <f aca="false">IF(IsPro,IF($D1503="","",IF(OR($H1503="",$H1503="Credit"),0,Q1503)),"")</f>
        <v/>
      </c>
    </row>
    <row r="1504" customFormat="false" ht="15" hidden="false" customHeight="false" outlineLevel="0" collapsed="false">
      <c r="A1504" s="55"/>
      <c r="B1504" s="56"/>
      <c r="C1504" s="56"/>
      <c r="D1504" s="56"/>
      <c r="E1504" s="57"/>
      <c r="F1504" s="58"/>
      <c r="G1504" s="59"/>
      <c r="H1504" s="56"/>
      <c r="I1504" s="56"/>
      <c r="J1504" s="60" t="str">
        <f aca="false">IF(IsPro,IF($D1504="","",IFERROR(INDEX(Items!$D$5:$D$504,U1504),"")),"")</f>
        <v/>
      </c>
      <c r="K1504" s="61" t="str">
        <f aca="false">IF(IsPro,IF($D1504="","",IF($F1504="",IFERROR(INDEX(Items!$H$5:$H$504,U1504),0),$F1504)),"")</f>
        <v/>
      </c>
      <c r="L1504" s="61" t="str">
        <f aca="false">IF(IsPro,IF($D1504="","",ROUND(N($E1504)*K1504*(1-N($G1504)),2)),"")</f>
        <v/>
      </c>
      <c r="M1504" s="62" t="str">
        <f aca="false">IF(IsPro,IF($D1504="","",IFERROR(INDEX(Items!$F$5:$F$504,U1504),0)),"")</f>
        <v/>
      </c>
      <c r="N1504" s="61" t="str">
        <f aca="false">IF(IsPro,IF($D1504="","",IF(AND(V1504&lt;&gt;"",INDEX(Parties!$E$5:$E$304,V1504)&lt;&gt;"",INDEX(Parties!$E$5:$E$304,V1504)&lt;&gt;HomeState),0,ROUND(L1504*M1504/2,2))),"")</f>
        <v/>
      </c>
      <c r="O1504" s="61" t="str">
        <f aca="false">IF(IsPro,IF($D1504="","",N1504),"")</f>
        <v/>
      </c>
      <c r="P1504" s="61" t="str">
        <f aca="false">IF(IsPro,IF($D1504="","",IF(AND(V1504&lt;&gt;"",INDEX(Parties!$E$5:$E$304,V1504)&lt;&gt;"",INDEX(Parties!$E$5:$E$304,V1504)&lt;&gt;HomeState),ROUND(L1504*M1504,2),0)),"")</f>
        <v/>
      </c>
      <c r="Q1504" s="61" t="str">
        <f aca="false">IF(IsPro,IF($D1504="","",L1504+N1504+O1504+P1504),"")</f>
        <v/>
      </c>
      <c r="R1504" s="61" t="str">
        <f aca="false">IF(IsPro,IF($D1504="","",ROUND(N($E1504)*IFERROR(INDEX(Items!$P$5:$P$504,U1504),0),2)),"")</f>
        <v/>
      </c>
      <c r="S1504" s="61" t="str">
        <f aca="false">IF(IsPro,IF($D1504="","",L1504-R1504),"")</f>
        <v/>
      </c>
      <c r="T1504" s="60" t="str">
        <f aca="false">IF(IsPro,IF($D1504="","",IF(U1504="","UNKNOWN ITEM",IF(INDEX(Items!$O$5:$O$504,U1504)&lt;0,"NEG STOCK",IF(K1504&lt;INDEX(Items!$P$5:$P$504,U1504),"BELOW COST","OK")))),IF($D1504="","","PRO PLAN"))</f>
        <v/>
      </c>
      <c r="U1504" s="60" t="str">
        <f aca="false">IF(IsPro,IF($D1504="","",IFERROR(MATCH($D1504,Items!$A$5:$A$504,0),"")),"")</f>
        <v/>
      </c>
      <c r="V1504" s="60" t="str">
        <f aca="false">IF(IsPro,IF($C1504="","",IFERROR(MATCH($C1504,Parties!$A$5:$A$304,0),"")),"")</f>
        <v/>
      </c>
      <c r="W1504" s="60" t="str">
        <f aca="false">IF(IsPro,IF($B1504="","",IFERROR(VALUE(SUBSTITUTE($B1504,InvPrefix,"")),0)),"")</f>
        <v/>
      </c>
      <c r="X1504" s="61" t="str">
        <f aca="false">IF(IsPro,IF($D1504="","",IF(OR($H1504="",$H1504="Credit"),0,Q1504)),"")</f>
        <v/>
      </c>
    </row>
    <row r="1505" customFormat="false" ht="15" hidden="false" customHeight="false" outlineLevel="0" collapsed="false">
      <c r="A1505" s="55"/>
      <c r="B1505" s="56"/>
      <c r="C1505" s="56"/>
      <c r="D1505" s="56"/>
      <c r="E1505" s="57"/>
      <c r="F1505" s="58"/>
      <c r="G1505" s="59"/>
      <c r="H1505" s="56"/>
      <c r="I1505" s="56"/>
      <c r="J1505" s="60" t="str">
        <f aca="false">IF(IsPro,IF($D1505="","",IFERROR(INDEX(Items!$D$5:$D$504,U1505),"")),"")</f>
        <v/>
      </c>
      <c r="K1505" s="61" t="str">
        <f aca="false">IF(IsPro,IF($D1505="","",IF($F1505="",IFERROR(INDEX(Items!$H$5:$H$504,U1505),0),$F1505)),"")</f>
        <v/>
      </c>
      <c r="L1505" s="61" t="str">
        <f aca="false">IF(IsPro,IF($D1505="","",ROUND(N($E1505)*K1505*(1-N($G1505)),2)),"")</f>
        <v/>
      </c>
      <c r="M1505" s="62" t="str">
        <f aca="false">IF(IsPro,IF($D1505="","",IFERROR(INDEX(Items!$F$5:$F$504,U1505),0)),"")</f>
        <v/>
      </c>
      <c r="N1505" s="61" t="str">
        <f aca="false">IF(IsPro,IF($D1505="","",IF(AND(V1505&lt;&gt;"",INDEX(Parties!$E$5:$E$304,V1505)&lt;&gt;"",INDEX(Parties!$E$5:$E$304,V1505)&lt;&gt;HomeState),0,ROUND(L1505*M1505/2,2))),"")</f>
        <v/>
      </c>
      <c r="O1505" s="61" t="str">
        <f aca="false">IF(IsPro,IF($D1505="","",N1505),"")</f>
        <v/>
      </c>
      <c r="P1505" s="61" t="str">
        <f aca="false">IF(IsPro,IF($D1505="","",IF(AND(V1505&lt;&gt;"",INDEX(Parties!$E$5:$E$304,V1505)&lt;&gt;"",INDEX(Parties!$E$5:$E$304,V1505)&lt;&gt;HomeState),ROUND(L1505*M1505,2),0)),"")</f>
        <v/>
      </c>
      <c r="Q1505" s="61" t="str">
        <f aca="false">IF(IsPro,IF($D1505="","",L1505+N1505+O1505+P1505),"")</f>
        <v/>
      </c>
      <c r="R1505" s="61" t="str">
        <f aca="false">IF(IsPro,IF($D1505="","",ROUND(N($E1505)*IFERROR(INDEX(Items!$P$5:$P$504,U1505),0),2)),"")</f>
        <v/>
      </c>
      <c r="S1505" s="61" t="str">
        <f aca="false">IF(IsPro,IF($D1505="","",L1505-R1505),"")</f>
        <v/>
      </c>
      <c r="T1505" s="60" t="str">
        <f aca="false">IF(IsPro,IF($D1505="","",IF(U1505="","UNKNOWN ITEM",IF(INDEX(Items!$O$5:$O$504,U1505)&lt;0,"NEG STOCK",IF(K1505&lt;INDEX(Items!$P$5:$P$504,U1505),"BELOW COST","OK")))),IF($D1505="","","PRO PLAN"))</f>
        <v/>
      </c>
      <c r="U1505" s="60" t="str">
        <f aca="false">IF(IsPro,IF($D1505="","",IFERROR(MATCH($D1505,Items!$A$5:$A$504,0),"")),"")</f>
        <v/>
      </c>
      <c r="V1505" s="60" t="str">
        <f aca="false">IF(IsPro,IF($C1505="","",IFERROR(MATCH($C1505,Parties!$A$5:$A$304,0),"")),"")</f>
        <v/>
      </c>
      <c r="W1505" s="60" t="str">
        <f aca="false">IF(IsPro,IF($B1505="","",IFERROR(VALUE(SUBSTITUTE($B1505,InvPrefix,"")),0)),"")</f>
        <v/>
      </c>
      <c r="X1505" s="61" t="str">
        <f aca="false">IF(IsPro,IF($D1505="","",IF(OR($H1505="",$H1505="Credit"),0,Q1505)),"")</f>
        <v/>
      </c>
    </row>
    <row r="1506" customFormat="false" ht="15" hidden="false" customHeight="false" outlineLevel="0" collapsed="false">
      <c r="A1506" s="55"/>
      <c r="B1506" s="56"/>
      <c r="C1506" s="56"/>
      <c r="D1506" s="56"/>
      <c r="E1506" s="57"/>
      <c r="F1506" s="58"/>
      <c r="G1506" s="59"/>
      <c r="H1506" s="56"/>
      <c r="I1506" s="56"/>
      <c r="J1506" s="60" t="str">
        <f aca="false">IF(IsPro,IF($D1506="","",IFERROR(INDEX(Items!$D$5:$D$504,U1506),"")),"")</f>
        <v/>
      </c>
      <c r="K1506" s="61" t="str">
        <f aca="false">IF(IsPro,IF($D1506="","",IF($F1506="",IFERROR(INDEX(Items!$H$5:$H$504,U1506),0),$F1506)),"")</f>
        <v/>
      </c>
      <c r="L1506" s="61" t="str">
        <f aca="false">IF(IsPro,IF($D1506="","",ROUND(N($E1506)*K1506*(1-N($G1506)),2)),"")</f>
        <v/>
      </c>
      <c r="M1506" s="62" t="str">
        <f aca="false">IF(IsPro,IF($D1506="","",IFERROR(INDEX(Items!$F$5:$F$504,U1506),0)),"")</f>
        <v/>
      </c>
      <c r="N1506" s="61" t="str">
        <f aca="false">IF(IsPro,IF($D1506="","",IF(AND(V1506&lt;&gt;"",INDEX(Parties!$E$5:$E$304,V1506)&lt;&gt;"",INDEX(Parties!$E$5:$E$304,V1506)&lt;&gt;HomeState),0,ROUND(L1506*M1506/2,2))),"")</f>
        <v/>
      </c>
      <c r="O1506" s="61" t="str">
        <f aca="false">IF(IsPro,IF($D1506="","",N1506),"")</f>
        <v/>
      </c>
      <c r="P1506" s="61" t="str">
        <f aca="false">IF(IsPro,IF($D1506="","",IF(AND(V1506&lt;&gt;"",INDEX(Parties!$E$5:$E$304,V1506)&lt;&gt;"",INDEX(Parties!$E$5:$E$304,V1506)&lt;&gt;HomeState),ROUND(L1506*M1506,2),0)),"")</f>
        <v/>
      </c>
      <c r="Q1506" s="61" t="str">
        <f aca="false">IF(IsPro,IF($D1506="","",L1506+N1506+O1506+P1506),"")</f>
        <v/>
      </c>
      <c r="R1506" s="61" t="str">
        <f aca="false">IF(IsPro,IF($D1506="","",ROUND(N($E1506)*IFERROR(INDEX(Items!$P$5:$P$504,U1506),0),2)),"")</f>
        <v/>
      </c>
      <c r="S1506" s="61" t="str">
        <f aca="false">IF(IsPro,IF($D1506="","",L1506-R1506),"")</f>
        <v/>
      </c>
      <c r="T1506" s="60" t="str">
        <f aca="false">IF(IsPro,IF($D1506="","",IF(U1506="","UNKNOWN ITEM",IF(INDEX(Items!$O$5:$O$504,U1506)&lt;0,"NEG STOCK",IF(K1506&lt;INDEX(Items!$P$5:$P$504,U1506),"BELOW COST","OK")))),IF($D1506="","","PRO PLAN"))</f>
        <v/>
      </c>
      <c r="U1506" s="60" t="str">
        <f aca="false">IF(IsPro,IF($D1506="","",IFERROR(MATCH($D1506,Items!$A$5:$A$504,0),"")),"")</f>
        <v/>
      </c>
      <c r="V1506" s="60" t="str">
        <f aca="false">IF(IsPro,IF($C1506="","",IFERROR(MATCH($C1506,Parties!$A$5:$A$304,0),"")),"")</f>
        <v/>
      </c>
      <c r="W1506" s="60" t="str">
        <f aca="false">IF(IsPro,IF($B1506="","",IFERROR(VALUE(SUBSTITUTE($B1506,InvPrefix,"")),0)),"")</f>
        <v/>
      </c>
      <c r="X1506" s="61" t="str">
        <f aca="false">IF(IsPro,IF($D1506="","",IF(OR($H1506="",$H1506="Credit"),0,Q1506)),"")</f>
        <v/>
      </c>
    </row>
    <row r="1507" customFormat="false" ht="15" hidden="false" customHeight="false" outlineLevel="0" collapsed="false">
      <c r="A1507" s="55"/>
      <c r="B1507" s="56"/>
      <c r="C1507" s="56"/>
      <c r="D1507" s="56"/>
      <c r="E1507" s="57"/>
      <c r="F1507" s="58"/>
      <c r="G1507" s="59"/>
      <c r="H1507" s="56"/>
      <c r="I1507" s="56"/>
      <c r="J1507" s="60" t="str">
        <f aca="false">IF(IsPro,IF($D1507="","",IFERROR(INDEX(Items!$D$5:$D$504,U1507),"")),"")</f>
        <v/>
      </c>
      <c r="K1507" s="61" t="str">
        <f aca="false">IF(IsPro,IF($D1507="","",IF($F1507="",IFERROR(INDEX(Items!$H$5:$H$504,U1507),0),$F1507)),"")</f>
        <v/>
      </c>
      <c r="L1507" s="61" t="str">
        <f aca="false">IF(IsPro,IF($D1507="","",ROUND(N($E1507)*K1507*(1-N($G1507)),2)),"")</f>
        <v/>
      </c>
      <c r="M1507" s="62" t="str">
        <f aca="false">IF(IsPro,IF($D1507="","",IFERROR(INDEX(Items!$F$5:$F$504,U1507),0)),"")</f>
        <v/>
      </c>
      <c r="N1507" s="61" t="str">
        <f aca="false">IF(IsPro,IF($D1507="","",IF(AND(V1507&lt;&gt;"",INDEX(Parties!$E$5:$E$304,V1507)&lt;&gt;"",INDEX(Parties!$E$5:$E$304,V1507)&lt;&gt;HomeState),0,ROUND(L1507*M1507/2,2))),"")</f>
        <v/>
      </c>
      <c r="O1507" s="61" t="str">
        <f aca="false">IF(IsPro,IF($D1507="","",N1507),"")</f>
        <v/>
      </c>
      <c r="P1507" s="61" t="str">
        <f aca="false">IF(IsPro,IF($D1507="","",IF(AND(V1507&lt;&gt;"",INDEX(Parties!$E$5:$E$304,V1507)&lt;&gt;"",INDEX(Parties!$E$5:$E$304,V1507)&lt;&gt;HomeState),ROUND(L1507*M1507,2),0)),"")</f>
        <v/>
      </c>
      <c r="Q1507" s="61" t="str">
        <f aca="false">IF(IsPro,IF($D1507="","",L1507+N1507+O1507+P1507),"")</f>
        <v/>
      </c>
      <c r="R1507" s="61" t="str">
        <f aca="false">IF(IsPro,IF($D1507="","",ROUND(N($E1507)*IFERROR(INDEX(Items!$P$5:$P$504,U1507),0),2)),"")</f>
        <v/>
      </c>
      <c r="S1507" s="61" t="str">
        <f aca="false">IF(IsPro,IF($D1507="","",L1507-R1507),"")</f>
        <v/>
      </c>
      <c r="T1507" s="60" t="str">
        <f aca="false">IF(IsPro,IF($D1507="","",IF(U1507="","UNKNOWN ITEM",IF(INDEX(Items!$O$5:$O$504,U1507)&lt;0,"NEG STOCK",IF(K1507&lt;INDEX(Items!$P$5:$P$504,U1507),"BELOW COST","OK")))),IF($D1507="","","PRO PLAN"))</f>
        <v/>
      </c>
      <c r="U1507" s="60" t="str">
        <f aca="false">IF(IsPro,IF($D1507="","",IFERROR(MATCH($D1507,Items!$A$5:$A$504,0),"")),"")</f>
        <v/>
      </c>
      <c r="V1507" s="60" t="str">
        <f aca="false">IF(IsPro,IF($C1507="","",IFERROR(MATCH($C1507,Parties!$A$5:$A$304,0),"")),"")</f>
        <v/>
      </c>
      <c r="W1507" s="60" t="str">
        <f aca="false">IF(IsPro,IF($B1507="","",IFERROR(VALUE(SUBSTITUTE($B1507,InvPrefix,"")),0)),"")</f>
        <v/>
      </c>
      <c r="X1507" s="61" t="str">
        <f aca="false">IF(IsPro,IF($D1507="","",IF(OR($H1507="",$H1507="Credit"),0,Q1507)),"")</f>
        <v/>
      </c>
    </row>
    <row r="1508" customFormat="false" ht="15" hidden="false" customHeight="false" outlineLevel="0" collapsed="false">
      <c r="A1508" s="55"/>
      <c r="B1508" s="56"/>
      <c r="C1508" s="56"/>
      <c r="D1508" s="56"/>
      <c r="E1508" s="57"/>
      <c r="F1508" s="58"/>
      <c r="G1508" s="59"/>
      <c r="H1508" s="56"/>
      <c r="I1508" s="56"/>
      <c r="J1508" s="60" t="str">
        <f aca="false">IF(IsPro,IF($D1508="","",IFERROR(INDEX(Items!$D$5:$D$504,U1508),"")),"")</f>
        <v/>
      </c>
      <c r="K1508" s="61" t="str">
        <f aca="false">IF(IsPro,IF($D1508="","",IF($F1508="",IFERROR(INDEX(Items!$H$5:$H$504,U1508),0),$F1508)),"")</f>
        <v/>
      </c>
      <c r="L1508" s="61" t="str">
        <f aca="false">IF(IsPro,IF($D1508="","",ROUND(N($E1508)*K1508*(1-N($G1508)),2)),"")</f>
        <v/>
      </c>
      <c r="M1508" s="62" t="str">
        <f aca="false">IF(IsPro,IF($D1508="","",IFERROR(INDEX(Items!$F$5:$F$504,U1508),0)),"")</f>
        <v/>
      </c>
      <c r="N1508" s="61" t="str">
        <f aca="false">IF(IsPro,IF($D1508="","",IF(AND(V1508&lt;&gt;"",INDEX(Parties!$E$5:$E$304,V1508)&lt;&gt;"",INDEX(Parties!$E$5:$E$304,V1508)&lt;&gt;HomeState),0,ROUND(L1508*M1508/2,2))),"")</f>
        <v/>
      </c>
      <c r="O1508" s="61" t="str">
        <f aca="false">IF(IsPro,IF($D1508="","",N1508),"")</f>
        <v/>
      </c>
      <c r="P1508" s="61" t="str">
        <f aca="false">IF(IsPro,IF($D1508="","",IF(AND(V1508&lt;&gt;"",INDEX(Parties!$E$5:$E$304,V1508)&lt;&gt;"",INDEX(Parties!$E$5:$E$304,V1508)&lt;&gt;HomeState),ROUND(L1508*M1508,2),0)),"")</f>
        <v/>
      </c>
      <c r="Q1508" s="61" t="str">
        <f aca="false">IF(IsPro,IF($D1508="","",L1508+N1508+O1508+P1508),"")</f>
        <v/>
      </c>
      <c r="R1508" s="61" t="str">
        <f aca="false">IF(IsPro,IF($D1508="","",ROUND(N($E1508)*IFERROR(INDEX(Items!$P$5:$P$504,U1508),0),2)),"")</f>
        <v/>
      </c>
      <c r="S1508" s="61" t="str">
        <f aca="false">IF(IsPro,IF($D1508="","",L1508-R1508),"")</f>
        <v/>
      </c>
      <c r="T1508" s="60" t="str">
        <f aca="false">IF(IsPro,IF($D1508="","",IF(U1508="","UNKNOWN ITEM",IF(INDEX(Items!$O$5:$O$504,U1508)&lt;0,"NEG STOCK",IF(K1508&lt;INDEX(Items!$P$5:$P$504,U1508),"BELOW COST","OK")))),IF($D1508="","","PRO PLAN"))</f>
        <v/>
      </c>
      <c r="U1508" s="60" t="str">
        <f aca="false">IF(IsPro,IF($D1508="","",IFERROR(MATCH($D1508,Items!$A$5:$A$504,0),"")),"")</f>
        <v/>
      </c>
      <c r="V1508" s="60" t="str">
        <f aca="false">IF(IsPro,IF($C1508="","",IFERROR(MATCH($C1508,Parties!$A$5:$A$304,0),"")),"")</f>
        <v/>
      </c>
      <c r="W1508" s="60" t="str">
        <f aca="false">IF(IsPro,IF($B1508="","",IFERROR(VALUE(SUBSTITUTE($B1508,InvPrefix,"")),0)),"")</f>
        <v/>
      </c>
      <c r="X1508" s="61" t="str">
        <f aca="false">IF(IsPro,IF($D1508="","",IF(OR($H1508="",$H1508="Credit"),0,Q1508)),"")</f>
        <v/>
      </c>
    </row>
    <row r="1509" customFormat="false" ht="15" hidden="false" customHeight="false" outlineLevel="0" collapsed="false">
      <c r="A1509" s="55"/>
      <c r="B1509" s="56"/>
      <c r="C1509" s="56"/>
      <c r="D1509" s="56"/>
      <c r="E1509" s="57"/>
      <c r="F1509" s="58"/>
      <c r="G1509" s="59"/>
      <c r="H1509" s="56"/>
      <c r="I1509" s="56"/>
      <c r="J1509" s="60" t="str">
        <f aca="false">IF(IsPro,IF($D1509="","",IFERROR(INDEX(Items!$D$5:$D$504,U1509),"")),"")</f>
        <v/>
      </c>
      <c r="K1509" s="61" t="str">
        <f aca="false">IF(IsPro,IF($D1509="","",IF($F1509="",IFERROR(INDEX(Items!$H$5:$H$504,U1509),0),$F1509)),"")</f>
        <v/>
      </c>
      <c r="L1509" s="61" t="str">
        <f aca="false">IF(IsPro,IF($D1509="","",ROUND(N($E1509)*K1509*(1-N($G1509)),2)),"")</f>
        <v/>
      </c>
      <c r="M1509" s="62" t="str">
        <f aca="false">IF(IsPro,IF($D1509="","",IFERROR(INDEX(Items!$F$5:$F$504,U1509),0)),"")</f>
        <v/>
      </c>
      <c r="N1509" s="61" t="str">
        <f aca="false">IF(IsPro,IF($D1509="","",IF(AND(V1509&lt;&gt;"",INDEX(Parties!$E$5:$E$304,V1509)&lt;&gt;"",INDEX(Parties!$E$5:$E$304,V1509)&lt;&gt;HomeState),0,ROUND(L1509*M1509/2,2))),"")</f>
        <v/>
      </c>
      <c r="O1509" s="61" t="str">
        <f aca="false">IF(IsPro,IF($D1509="","",N1509),"")</f>
        <v/>
      </c>
      <c r="P1509" s="61" t="str">
        <f aca="false">IF(IsPro,IF($D1509="","",IF(AND(V1509&lt;&gt;"",INDEX(Parties!$E$5:$E$304,V1509)&lt;&gt;"",INDEX(Parties!$E$5:$E$304,V1509)&lt;&gt;HomeState),ROUND(L1509*M1509,2),0)),"")</f>
        <v/>
      </c>
      <c r="Q1509" s="61" t="str">
        <f aca="false">IF(IsPro,IF($D1509="","",L1509+N1509+O1509+P1509),"")</f>
        <v/>
      </c>
      <c r="R1509" s="61" t="str">
        <f aca="false">IF(IsPro,IF($D1509="","",ROUND(N($E1509)*IFERROR(INDEX(Items!$P$5:$P$504,U1509),0),2)),"")</f>
        <v/>
      </c>
      <c r="S1509" s="61" t="str">
        <f aca="false">IF(IsPro,IF($D1509="","",L1509-R1509),"")</f>
        <v/>
      </c>
      <c r="T1509" s="60" t="str">
        <f aca="false">IF(IsPro,IF($D1509="","",IF(U1509="","UNKNOWN ITEM",IF(INDEX(Items!$O$5:$O$504,U1509)&lt;0,"NEG STOCK",IF(K1509&lt;INDEX(Items!$P$5:$P$504,U1509),"BELOW COST","OK")))),IF($D1509="","","PRO PLAN"))</f>
        <v/>
      </c>
      <c r="U1509" s="60" t="str">
        <f aca="false">IF(IsPro,IF($D1509="","",IFERROR(MATCH($D1509,Items!$A$5:$A$504,0),"")),"")</f>
        <v/>
      </c>
      <c r="V1509" s="60" t="str">
        <f aca="false">IF(IsPro,IF($C1509="","",IFERROR(MATCH($C1509,Parties!$A$5:$A$304,0),"")),"")</f>
        <v/>
      </c>
      <c r="W1509" s="60" t="str">
        <f aca="false">IF(IsPro,IF($B1509="","",IFERROR(VALUE(SUBSTITUTE($B1509,InvPrefix,"")),0)),"")</f>
        <v/>
      </c>
      <c r="X1509" s="61" t="str">
        <f aca="false">IF(IsPro,IF($D1509="","",IF(OR($H1509="",$H1509="Credit"),0,Q1509)),"")</f>
        <v/>
      </c>
    </row>
    <row r="1510" customFormat="false" ht="15" hidden="false" customHeight="false" outlineLevel="0" collapsed="false">
      <c r="A1510" s="55"/>
      <c r="B1510" s="56"/>
      <c r="C1510" s="56"/>
      <c r="D1510" s="56"/>
      <c r="E1510" s="57"/>
      <c r="F1510" s="58"/>
      <c r="G1510" s="59"/>
      <c r="H1510" s="56"/>
      <c r="I1510" s="56"/>
      <c r="J1510" s="60" t="str">
        <f aca="false">IF(IsPro,IF($D1510="","",IFERROR(INDEX(Items!$D$5:$D$504,U1510),"")),"")</f>
        <v/>
      </c>
      <c r="K1510" s="61" t="str">
        <f aca="false">IF(IsPro,IF($D1510="","",IF($F1510="",IFERROR(INDEX(Items!$H$5:$H$504,U1510),0),$F1510)),"")</f>
        <v/>
      </c>
      <c r="L1510" s="61" t="str">
        <f aca="false">IF(IsPro,IF($D1510="","",ROUND(N($E1510)*K1510*(1-N($G1510)),2)),"")</f>
        <v/>
      </c>
      <c r="M1510" s="62" t="str">
        <f aca="false">IF(IsPro,IF($D1510="","",IFERROR(INDEX(Items!$F$5:$F$504,U1510),0)),"")</f>
        <v/>
      </c>
      <c r="N1510" s="61" t="str">
        <f aca="false">IF(IsPro,IF($D1510="","",IF(AND(V1510&lt;&gt;"",INDEX(Parties!$E$5:$E$304,V1510)&lt;&gt;"",INDEX(Parties!$E$5:$E$304,V1510)&lt;&gt;HomeState),0,ROUND(L1510*M1510/2,2))),"")</f>
        <v/>
      </c>
      <c r="O1510" s="61" t="str">
        <f aca="false">IF(IsPro,IF($D1510="","",N1510),"")</f>
        <v/>
      </c>
      <c r="P1510" s="61" t="str">
        <f aca="false">IF(IsPro,IF($D1510="","",IF(AND(V1510&lt;&gt;"",INDEX(Parties!$E$5:$E$304,V1510)&lt;&gt;"",INDEX(Parties!$E$5:$E$304,V1510)&lt;&gt;HomeState),ROUND(L1510*M1510,2),0)),"")</f>
        <v/>
      </c>
      <c r="Q1510" s="61" t="str">
        <f aca="false">IF(IsPro,IF($D1510="","",L1510+N1510+O1510+P1510),"")</f>
        <v/>
      </c>
      <c r="R1510" s="61" t="str">
        <f aca="false">IF(IsPro,IF($D1510="","",ROUND(N($E1510)*IFERROR(INDEX(Items!$P$5:$P$504,U1510),0),2)),"")</f>
        <v/>
      </c>
      <c r="S1510" s="61" t="str">
        <f aca="false">IF(IsPro,IF($D1510="","",L1510-R1510),"")</f>
        <v/>
      </c>
      <c r="T1510" s="60" t="str">
        <f aca="false">IF(IsPro,IF($D1510="","",IF(U1510="","UNKNOWN ITEM",IF(INDEX(Items!$O$5:$O$504,U1510)&lt;0,"NEG STOCK",IF(K1510&lt;INDEX(Items!$P$5:$P$504,U1510),"BELOW COST","OK")))),IF($D1510="","","PRO PLAN"))</f>
        <v/>
      </c>
      <c r="U1510" s="60" t="str">
        <f aca="false">IF(IsPro,IF($D1510="","",IFERROR(MATCH($D1510,Items!$A$5:$A$504,0),"")),"")</f>
        <v/>
      </c>
      <c r="V1510" s="60" t="str">
        <f aca="false">IF(IsPro,IF($C1510="","",IFERROR(MATCH($C1510,Parties!$A$5:$A$304,0),"")),"")</f>
        <v/>
      </c>
      <c r="W1510" s="60" t="str">
        <f aca="false">IF(IsPro,IF($B1510="","",IFERROR(VALUE(SUBSTITUTE($B1510,InvPrefix,"")),0)),"")</f>
        <v/>
      </c>
      <c r="X1510" s="61" t="str">
        <f aca="false">IF(IsPro,IF($D1510="","",IF(OR($H1510="",$H1510="Credit"),0,Q1510)),"")</f>
        <v/>
      </c>
    </row>
    <row r="1511" customFormat="false" ht="15" hidden="false" customHeight="false" outlineLevel="0" collapsed="false">
      <c r="A1511" s="55"/>
      <c r="B1511" s="56"/>
      <c r="C1511" s="56"/>
      <c r="D1511" s="56"/>
      <c r="E1511" s="57"/>
      <c r="F1511" s="58"/>
      <c r="G1511" s="59"/>
      <c r="H1511" s="56"/>
      <c r="I1511" s="56"/>
      <c r="J1511" s="60" t="str">
        <f aca="false">IF(IsPro,IF($D1511="","",IFERROR(INDEX(Items!$D$5:$D$504,U1511),"")),"")</f>
        <v/>
      </c>
      <c r="K1511" s="61" t="str">
        <f aca="false">IF(IsPro,IF($D1511="","",IF($F1511="",IFERROR(INDEX(Items!$H$5:$H$504,U1511),0),$F1511)),"")</f>
        <v/>
      </c>
      <c r="L1511" s="61" t="str">
        <f aca="false">IF(IsPro,IF($D1511="","",ROUND(N($E1511)*K1511*(1-N($G1511)),2)),"")</f>
        <v/>
      </c>
      <c r="M1511" s="62" t="str">
        <f aca="false">IF(IsPro,IF($D1511="","",IFERROR(INDEX(Items!$F$5:$F$504,U1511),0)),"")</f>
        <v/>
      </c>
      <c r="N1511" s="61" t="str">
        <f aca="false">IF(IsPro,IF($D1511="","",IF(AND(V1511&lt;&gt;"",INDEX(Parties!$E$5:$E$304,V1511)&lt;&gt;"",INDEX(Parties!$E$5:$E$304,V1511)&lt;&gt;HomeState),0,ROUND(L1511*M1511/2,2))),"")</f>
        <v/>
      </c>
      <c r="O1511" s="61" t="str">
        <f aca="false">IF(IsPro,IF($D1511="","",N1511),"")</f>
        <v/>
      </c>
      <c r="P1511" s="61" t="str">
        <f aca="false">IF(IsPro,IF($D1511="","",IF(AND(V1511&lt;&gt;"",INDEX(Parties!$E$5:$E$304,V1511)&lt;&gt;"",INDEX(Parties!$E$5:$E$304,V1511)&lt;&gt;HomeState),ROUND(L1511*M1511,2),0)),"")</f>
        <v/>
      </c>
      <c r="Q1511" s="61" t="str">
        <f aca="false">IF(IsPro,IF($D1511="","",L1511+N1511+O1511+P1511),"")</f>
        <v/>
      </c>
      <c r="R1511" s="61" t="str">
        <f aca="false">IF(IsPro,IF($D1511="","",ROUND(N($E1511)*IFERROR(INDEX(Items!$P$5:$P$504,U1511),0),2)),"")</f>
        <v/>
      </c>
      <c r="S1511" s="61" t="str">
        <f aca="false">IF(IsPro,IF($D1511="","",L1511-R1511),"")</f>
        <v/>
      </c>
      <c r="T1511" s="60" t="str">
        <f aca="false">IF(IsPro,IF($D1511="","",IF(U1511="","UNKNOWN ITEM",IF(INDEX(Items!$O$5:$O$504,U1511)&lt;0,"NEG STOCK",IF(K1511&lt;INDEX(Items!$P$5:$P$504,U1511),"BELOW COST","OK")))),IF($D1511="","","PRO PLAN"))</f>
        <v/>
      </c>
      <c r="U1511" s="60" t="str">
        <f aca="false">IF(IsPro,IF($D1511="","",IFERROR(MATCH($D1511,Items!$A$5:$A$504,0),"")),"")</f>
        <v/>
      </c>
      <c r="V1511" s="60" t="str">
        <f aca="false">IF(IsPro,IF($C1511="","",IFERROR(MATCH($C1511,Parties!$A$5:$A$304,0),"")),"")</f>
        <v/>
      </c>
      <c r="W1511" s="60" t="str">
        <f aca="false">IF(IsPro,IF($B1511="","",IFERROR(VALUE(SUBSTITUTE($B1511,InvPrefix,"")),0)),"")</f>
        <v/>
      </c>
      <c r="X1511" s="61" t="str">
        <f aca="false">IF(IsPro,IF($D1511="","",IF(OR($H1511="",$H1511="Credit"),0,Q1511)),"")</f>
        <v/>
      </c>
    </row>
    <row r="1512" customFormat="false" ht="15" hidden="false" customHeight="false" outlineLevel="0" collapsed="false">
      <c r="A1512" s="55"/>
      <c r="B1512" s="56"/>
      <c r="C1512" s="56"/>
      <c r="D1512" s="56"/>
      <c r="E1512" s="57"/>
      <c r="F1512" s="58"/>
      <c r="G1512" s="59"/>
      <c r="H1512" s="56"/>
      <c r="I1512" s="56"/>
      <c r="J1512" s="60" t="str">
        <f aca="false">IF(IsPro,IF($D1512="","",IFERROR(INDEX(Items!$D$5:$D$504,U1512),"")),"")</f>
        <v/>
      </c>
      <c r="K1512" s="61" t="str">
        <f aca="false">IF(IsPro,IF($D1512="","",IF($F1512="",IFERROR(INDEX(Items!$H$5:$H$504,U1512),0),$F1512)),"")</f>
        <v/>
      </c>
      <c r="L1512" s="61" t="str">
        <f aca="false">IF(IsPro,IF($D1512="","",ROUND(N($E1512)*K1512*(1-N($G1512)),2)),"")</f>
        <v/>
      </c>
      <c r="M1512" s="62" t="str">
        <f aca="false">IF(IsPro,IF($D1512="","",IFERROR(INDEX(Items!$F$5:$F$504,U1512),0)),"")</f>
        <v/>
      </c>
      <c r="N1512" s="61" t="str">
        <f aca="false">IF(IsPro,IF($D1512="","",IF(AND(V1512&lt;&gt;"",INDEX(Parties!$E$5:$E$304,V1512)&lt;&gt;"",INDEX(Parties!$E$5:$E$304,V1512)&lt;&gt;HomeState),0,ROUND(L1512*M1512/2,2))),"")</f>
        <v/>
      </c>
      <c r="O1512" s="61" t="str">
        <f aca="false">IF(IsPro,IF($D1512="","",N1512),"")</f>
        <v/>
      </c>
      <c r="P1512" s="61" t="str">
        <f aca="false">IF(IsPro,IF($D1512="","",IF(AND(V1512&lt;&gt;"",INDEX(Parties!$E$5:$E$304,V1512)&lt;&gt;"",INDEX(Parties!$E$5:$E$304,V1512)&lt;&gt;HomeState),ROUND(L1512*M1512,2),0)),"")</f>
        <v/>
      </c>
      <c r="Q1512" s="61" t="str">
        <f aca="false">IF(IsPro,IF($D1512="","",L1512+N1512+O1512+P1512),"")</f>
        <v/>
      </c>
      <c r="R1512" s="61" t="str">
        <f aca="false">IF(IsPro,IF($D1512="","",ROUND(N($E1512)*IFERROR(INDEX(Items!$P$5:$P$504,U1512),0),2)),"")</f>
        <v/>
      </c>
      <c r="S1512" s="61" t="str">
        <f aca="false">IF(IsPro,IF($D1512="","",L1512-R1512),"")</f>
        <v/>
      </c>
      <c r="T1512" s="60" t="str">
        <f aca="false">IF(IsPro,IF($D1512="","",IF(U1512="","UNKNOWN ITEM",IF(INDEX(Items!$O$5:$O$504,U1512)&lt;0,"NEG STOCK",IF(K1512&lt;INDEX(Items!$P$5:$P$504,U1512),"BELOW COST","OK")))),IF($D1512="","","PRO PLAN"))</f>
        <v/>
      </c>
      <c r="U1512" s="60" t="str">
        <f aca="false">IF(IsPro,IF($D1512="","",IFERROR(MATCH($D1512,Items!$A$5:$A$504,0),"")),"")</f>
        <v/>
      </c>
      <c r="V1512" s="60" t="str">
        <f aca="false">IF(IsPro,IF($C1512="","",IFERROR(MATCH($C1512,Parties!$A$5:$A$304,0),"")),"")</f>
        <v/>
      </c>
      <c r="W1512" s="60" t="str">
        <f aca="false">IF(IsPro,IF($B1512="","",IFERROR(VALUE(SUBSTITUTE($B1512,InvPrefix,"")),0)),"")</f>
        <v/>
      </c>
      <c r="X1512" s="61" t="str">
        <f aca="false">IF(IsPro,IF($D1512="","",IF(OR($H1512="",$H1512="Credit"),0,Q1512)),"")</f>
        <v/>
      </c>
    </row>
    <row r="1513" customFormat="false" ht="15" hidden="false" customHeight="false" outlineLevel="0" collapsed="false">
      <c r="A1513" s="55"/>
      <c r="B1513" s="56"/>
      <c r="C1513" s="56"/>
      <c r="D1513" s="56"/>
      <c r="E1513" s="57"/>
      <c r="F1513" s="58"/>
      <c r="G1513" s="59"/>
      <c r="H1513" s="56"/>
      <c r="I1513" s="56"/>
      <c r="J1513" s="60" t="str">
        <f aca="false">IF(IsPro,IF($D1513="","",IFERROR(INDEX(Items!$D$5:$D$504,U1513),"")),"")</f>
        <v/>
      </c>
      <c r="K1513" s="61" t="str">
        <f aca="false">IF(IsPro,IF($D1513="","",IF($F1513="",IFERROR(INDEX(Items!$H$5:$H$504,U1513),0),$F1513)),"")</f>
        <v/>
      </c>
      <c r="L1513" s="61" t="str">
        <f aca="false">IF(IsPro,IF($D1513="","",ROUND(N($E1513)*K1513*(1-N($G1513)),2)),"")</f>
        <v/>
      </c>
      <c r="M1513" s="62" t="str">
        <f aca="false">IF(IsPro,IF($D1513="","",IFERROR(INDEX(Items!$F$5:$F$504,U1513),0)),"")</f>
        <v/>
      </c>
      <c r="N1513" s="61" t="str">
        <f aca="false">IF(IsPro,IF($D1513="","",IF(AND(V1513&lt;&gt;"",INDEX(Parties!$E$5:$E$304,V1513)&lt;&gt;"",INDEX(Parties!$E$5:$E$304,V1513)&lt;&gt;HomeState),0,ROUND(L1513*M1513/2,2))),"")</f>
        <v/>
      </c>
      <c r="O1513" s="61" t="str">
        <f aca="false">IF(IsPro,IF($D1513="","",N1513),"")</f>
        <v/>
      </c>
      <c r="P1513" s="61" t="str">
        <f aca="false">IF(IsPro,IF($D1513="","",IF(AND(V1513&lt;&gt;"",INDEX(Parties!$E$5:$E$304,V1513)&lt;&gt;"",INDEX(Parties!$E$5:$E$304,V1513)&lt;&gt;HomeState),ROUND(L1513*M1513,2),0)),"")</f>
        <v/>
      </c>
      <c r="Q1513" s="61" t="str">
        <f aca="false">IF(IsPro,IF($D1513="","",L1513+N1513+O1513+P1513),"")</f>
        <v/>
      </c>
      <c r="R1513" s="61" t="str">
        <f aca="false">IF(IsPro,IF($D1513="","",ROUND(N($E1513)*IFERROR(INDEX(Items!$P$5:$P$504,U1513),0),2)),"")</f>
        <v/>
      </c>
      <c r="S1513" s="61" t="str">
        <f aca="false">IF(IsPro,IF($D1513="","",L1513-R1513),"")</f>
        <v/>
      </c>
      <c r="T1513" s="60" t="str">
        <f aca="false">IF(IsPro,IF($D1513="","",IF(U1513="","UNKNOWN ITEM",IF(INDEX(Items!$O$5:$O$504,U1513)&lt;0,"NEG STOCK",IF(K1513&lt;INDEX(Items!$P$5:$P$504,U1513),"BELOW COST","OK")))),IF($D1513="","","PRO PLAN"))</f>
        <v/>
      </c>
      <c r="U1513" s="60" t="str">
        <f aca="false">IF(IsPro,IF($D1513="","",IFERROR(MATCH($D1513,Items!$A$5:$A$504,0),"")),"")</f>
        <v/>
      </c>
      <c r="V1513" s="60" t="str">
        <f aca="false">IF(IsPro,IF($C1513="","",IFERROR(MATCH($C1513,Parties!$A$5:$A$304,0),"")),"")</f>
        <v/>
      </c>
      <c r="W1513" s="60" t="str">
        <f aca="false">IF(IsPro,IF($B1513="","",IFERROR(VALUE(SUBSTITUTE($B1513,InvPrefix,"")),0)),"")</f>
        <v/>
      </c>
      <c r="X1513" s="61" t="str">
        <f aca="false">IF(IsPro,IF($D1513="","",IF(OR($H1513="",$H1513="Credit"),0,Q1513)),"")</f>
        <v/>
      </c>
    </row>
    <row r="1514" customFormat="false" ht="15" hidden="false" customHeight="false" outlineLevel="0" collapsed="false">
      <c r="A1514" s="55"/>
      <c r="B1514" s="56"/>
      <c r="C1514" s="56"/>
      <c r="D1514" s="56"/>
      <c r="E1514" s="57"/>
      <c r="F1514" s="58"/>
      <c r="G1514" s="59"/>
      <c r="H1514" s="56"/>
      <c r="I1514" s="56"/>
      <c r="J1514" s="60" t="str">
        <f aca="false">IF(IsPro,IF($D1514="","",IFERROR(INDEX(Items!$D$5:$D$504,U1514),"")),"")</f>
        <v/>
      </c>
      <c r="K1514" s="61" t="str">
        <f aca="false">IF(IsPro,IF($D1514="","",IF($F1514="",IFERROR(INDEX(Items!$H$5:$H$504,U1514),0),$F1514)),"")</f>
        <v/>
      </c>
      <c r="L1514" s="61" t="str">
        <f aca="false">IF(IsPro,IF($D1514="","",ROUND(N($E1514)*K1514*(1-N($G1514)),2)),"")</f>
        <v/>
      </c>
      <c r="M1514" s="62" t="str">
        <f aca="false">IF(IsPro,IF($D1514="","",IFERROR(INDEX(Items!$F$5:$F$504,U1514),0)),"")</f>
        <v/>
      </c>
      <c r="N1514" s="61" t="str">
        <f aca="false">IF(IsPro,IF($D1514="","",IF(AND(V1514&lt;&gt;"",INDEX(Parties!$E$5:$E$304,V1514)&lt;&gt;"",INDEX(Parties!$E$5:$E$304,V1514)&lt;&gt;HomeState),0,ROUND(L1514*M1514/2,2))),"")</f>
        <v/>
      </c>
      <c r="O1514" s="61" t="str">
        <f aca="false">IF(IsPro,IF($D1514="","",N1514),"")</f>
        <v/>
      </c>
      <c r="P1514" s="61" t="str">
        <f aca="false">IF(IsPro,IF($D1514="","",IF(AND(V1514&lt;&gt;"",INDEX(Parties!$E$5:$E$304,V1514)&lt;&gt;"",INDEX(Parties!$E$5:$E$304,V1514)&lt;&gt;HomeState),ROUND(L1514*M1514,2),0)),"")</f>
        <v/>
      </c>
      <c r="Q1514" s="61" t="str">
        <f aca="false">IF(IsPro,IF($D1514="","",L1514+N1514+O1514+P1514),"")</f>
        <v/>
      </c>
      <c r="R1514" s="61" t="str">
        <f aca="false">IF(IsPro,IF($D1514="","",ROUND(N($E1514)*IFERROR(INDEX(Items!$P$5:$P$504,U1514),0),2)),"")</f>
        <v/>
      </c>
      <c r="S1514" s="61" t="str">
        <f aca="false">IF(IsPro,IF($D1514="","",L1514-R1514),"")</f>
        <v/>
      </c>
      <c r="T1514" s="60" t="str">
        <f aca="false">IF(IsPro,IF($D1514="","",IF(U1514="","UNKNOWN ITEM",IF(INDEX(Items!$O$5:$O$504,U1514)&lt;0,"NEG STOCK",IF(K1514&lt;INDEX(Items!$P$5:$P$504,U1514),"BELOW COST","OK")))),IF($D1514="","","PRO PLAN"))</f>
        <v/>
      </c>
      <c r="U1514" s="60" t="str">
        <f aca="false">IF(IsPro,IF($D1514="","",IFERROR(MATCH($D1514,Items!$A$5:$A$504,0),"")),"")</f>
        <v/>
      </c>
      <c r="V1514" s="60" t="str">
        <f aca="false">IF(IsPro,IF($C1514="","",IFERROR(MATCH($C1514,Parties!$A$5:$A$304,0),"")),"")</f>
        <v/>
      </c>
      <c r="W1514" s="60" t="str">
        <f aca="false">IF(IsPro,IF($B1514="","",IFERROR(VALUE(SUBSTITUTE($B1514,InvPrefix,"")),0)),"")</f>
        <v/>
      </c>
      <c r="X1514" s="61" t="str">
        <f aca="false">IF(IsPro,IF($D1514="","",IF(OR($H1514="",$H1514="Credit"),0,Q1514)),"")</f>
        <v/>
      </c>
    </row>
    <row r="1515" customFormat="false" ht="15" hidden="false" customHeight="false" outlineLevel="0" collapsed="false">
      <c r="A1515" s="55"/>
      <c r="B1515" s="56"/>
      <c r="C1515" s="56"/>
      <c r="D1515" s="56"/>
      <c r="E1515" s="57"/>
      <c r="F1515" s="58"/>
      <c r="G1515" s="59"/>
      <c r="H1515" s="56"/>
      <c r="I1515" s="56"/>
      <c r="J1515" s="60" t="str">
        <f aca="false">IF(IsPro,IF($D1515="","",IFERROR(INDEX(Items!$D$5:$D$504,U1515),"")),"")</f>
        <v/>
      </c>
      <c r="K1515" s="61" t="str">
        <f aca="false">IF(IsPro,IF($D1515="","",IF($F1515="",IFERROR(INDEX(Items!$H$5:$H$504,U1515),0),$F1515)),"")</f>
        <v/>
      </c>
      <c r="L1515" s="61" t="str">
        <f aca="false">IF(IsPro,IF($D1515="","",ROUND(N($E1515)*K1515*(1-N($G1515)),2)),"")</f>
        <v/>
      </c>
      <c r="M1515" s="62" t="str">
        <f aca="false">IF(IsPro,IF($D1515="","",IFERROR(INDEX(Items!$F$5:$F$504,U1515),0)),"")</f>
        <v/>
      </c>
      <c r="N1515" s="61" t="str">
        <f aca="false">IF(IsPro,IF($D1515="","",IF(AND(V1515&lt;&gt;"",INDEX(Parties!$E$5:$E$304,V1515)&lt;&gt;"",INDEX(Parties!$E$5:$E$304,V1515)&lt;&gt;HomeState),0,ROUND(L1515*M1515/2,2))),"")</f>
        <v/>
      </c>
      <c r="O1515" s="61" t="str">
        <f aca="false">IF(IsPro,IF($D1515="","",N1515),"")</f>
        <v/>
      </c>
      <c r="P1515" s="61" t="str">
        <f aca="false">IF(IsPro,IF($D1515="","",IF(AND(V1515&lt;&gt;"",INDEX(Parties!$E$5:$E$304,V1515)&lt;&gt;"",INDEX(Parties!$E$5:$E$304,V1515)&lt;&gt;HomeState),ROUND(L1515*M1515,2),0)),"")</f>
        <v/>
      </c>
      <c r="Q1515" s="61" t="str">
        <f aca="false">IF(IsPro,IF($D1515="","",L1515+N1515+O1515+P1515),"")</f>
        <v/>
      </c>
      <c r="R1515" s="61" t="str">
        <f aca="false">IF(IsPro,IF($D1515="","",ROUND(N($E1515)*IFERROR(INDEX(Items!$P$5:$P$504,U1515),0),2)),"")</f>
        <v/>
      </c>
      <c r="S1515" s="61" t="str">
        <f aca="false">IF(IsPro,IF($D1515="","",L1515-R1515),"")</f>
        <v/>
      </c>
      <c r="T1515" s="60" t="str">
        <f aca="false">IF(IsPro,IF($D1515="","",IF(U1515="","UNKNOWN ITEM",IF(INDEX(Items!$O$5:$O$504,U1515)&lt;0,"NEG STOCK",IF(K1515&lt;INDEX(Items!$P$5:$P$504,U1515),"BELOW COST","OK")))),IF($D1515="","","PRO PLAN"))</f>
        <v/>
      </c>
      <c r="U1515" s="60" t="str">
        <f aca="false">IF(IsPro,IF($D1515="","",IFERROR(MATCH($D1515,Items!$A$5:$A$504,0),"")),"")</f>
        <v/>
      </c>
      <c r="V1515" s="60" t="str">
        <f aca="false">IF(IsPro,IF($C1515="","",IFERROR(MATCH($C1515,Parties!$A$5:$A$304,0),"")),"")</f>
        <v/>
      </c>
      <c r="W1515" s="60" t="str">
        <f aca="false">IF(IsPro,IF($B1515="","",IFERROR(VALUE(SUBSTITUTE($B1515,InvPrefix,"")),0)),"")</f>
        <v/>
      </c>
      <c r="X1515" s="61" t="str">
        <f aca="false">IF(IsPro,IF($D1515="","",IF(OR($H1515="",$H1515="Credit"),0,Q1515)),"")</f>
        <v/>
      </c>
    </row>
    <row r="1516" customFormat="false" ht="15" hidden="false" customHeight="false" outlineLevel="0" collapsed="false">
      <c r="A1516" s="55"/>
      <c r="B1516" s="56"/>
      <c r="C1516" s="56"/>
      <c r="D1516" s="56"/>
      <c r="E1516" s="57"/>
      <c r="F1516" s="58"/>
      <c r="G1516" s="59"/>
      <c r="H1516" s="56"/>
      <c r="I1516" s="56"/>
      <c r="J1516" s="60" t="str">
        <f aca="false">IF(IsPro,IF($D1516="","",IFERROR(INDEX(Items!$D$5:$D$504,U1516),"")),"")</f>
        <v/>
      </c>
      <c r="K1516" s="61" t="str">
        <f aca="false">IF(IsPro,IF($D1516="","",IF($F1516="",IFERROR(INDEX(Items!$H$5:$H$504,U1516),0),$F1516)),"")</f>
        <v/>
      </c>
      <c r="L1516" s="61" t="str">
        <f aca="false">IF(IsPro,IF($D1516="","",ROUND(N($E1516)*K1516*(1-N($G1516)),2)),"")</f>
        <v/>
      </c>
      <c r="M1516" s="62" t="str">
        <f aca="false">IF(IsPro,IF($D1516="","",IFERROR(INDEX(Items!$F$5:$F$504,U1516),0)),"")</f>
        <v/>
      </c>
      <c r="N1516" s="61" t="str">
        <f aca="false">IF(IsPro,IF($D1516="","",IF(AND(V1516&lt;&gt;"",INDEX(Parties!$E$5:$E$304,V1516)&lt;&gt;"",INDEX(Parties!$E$5:$E$304,V1516)&lt;&gt;HomeState),0,ROUND(L1516*M1516/2,2))),"")</f>
        <v/>
      </c>
      <c r="O1516" s="61" t="str">
        <f aca="false">IF(IsPro,IF($D1516="","",N1516),"")</f>
        <v/>
      </c>
      <c r="P1516" s="61" t="str">
        <f aca="false">IF(IsPro,IF($D1516="","",IF(AND(V1516&lt;&gt;"",INDEX(Parties!$E$5:$E$304,V1516)&lt;&gt;"",INDEX(Parties!$E$5:$E$304,V1516)&lt;&gt;HomeState),ROUND(L1516*M1516,2),0)),"")</f>
        <v/>
      </c>
      <c r="Q1516" s="61" t="str">
        <f aca="false">IF(IsPro,IF($D1516="","",L1516+N1516+O1516+P1516),"")</f>
        <v/>
      </c>
      <c r="R1516" s="61" t="str">
        <f aca="false">IF(IsPro,IF($D1516="","",ROUND(N($E1516)*IFERROR(INDEX(Items!$P$5:$P$504,U1516),0),2)),"")</f>
        <v/>
      </c>
      <c r="S1516" s="61" t="str">
        <f aca="false">IF(IsPro,IF($D1516="","",L1516-R1516),"")</f>
        <v/>
      </c>
      <c r="T1516" s="60" t="str">
        <f aca="false">IF(IsPro,IF($D1516="","",IF(U1516="","UNKNOWN ITEM",IF(INDEX(Items!$O$5:$O$504,U1516)&lt;0,"NEG STOCK",IF(K1516&lt;INDEX(Items!$P$5:$P$504,U1516),"BELOW COST","OK")))),IF($D1516="","","PRO PLAN"))</f>
        <v/>
      </c>
      <c r="U1516" s="60" t="str">
        <f aca="false">IF(IsPro,IF($D1516="","",IFERROR(MATCH($D1516,Items!$A$5:$A$504,0),"")),"")</f>
        <v/>
      </c>
      <c r="V1516" s="60" t="str">
        <f aca="false">IF(IsPro,IF($C1516="","",IFERROR(MATCH($C1516,Parties!$A$5:$A$304,0),"")),"")</f>
        <v/>
      </c>
      <c r="W1516" s="60" t="str">
        <f aca="false">IF(IsPro,IF($B1516="","",IFERROR(VALUE(SUBSTITUTE($B1516,InvPrefix,"")),0)),"")</f>
        <v/>
      </c>
      <c r="X1516" s="61" t="str">
        <f aca="false">IF(IsPro,IF($D1516="","",IF(OR($H1516="",$H1516="Credit"),0,Q1516)),"")</f>
        <v/>
      </c>
    </row>
    <row r="1517" customFormat="false" ht="15" hidden="false" customHeight="false" outlineLevel="0" collapsed="false">
      <c r="A1517" s="55"/>
      <c r="B1517" s="56"/>
      <c r="C1517" s="56"/>
      <c r="D1517" s="56"/>
      <c r="E1517" s="57"/>
      <c r="F1517" s="58"/>
      <c r="G1517" s="59"/>
      <c r="H1517" s="56"/>
      <c r="I1517" s="56"/>
      <c r="J1517" s="60" t="str">
        <f aca="false">IF(IsPro,IF($D1517="","",IFERROR(INDEX(Items!$D$5:$D$504,U1517),"")),"")</f>
        <v/>
      </c>
      <c r="K1517" s="61" t="str">
        <f aca="false">IF(IsPro,IF($D1517="","",IF($F1517="",IFERROR(INDEX(Items!$H$5:$H$504,U1517),0),$F1517)),"")</f>
        <v/>
      </c>
      <c r="L1517" s="61" t="str">
        <f aca="false">IF(IsPro,IF($D1517="","",ROUND(N($E1517)*K1517*(1-N($G1517)),2)),"")</f>
        <v/>
      </c>
      <c r="M1517" s="62" t="str">
        <f aca="false">IF(IsPro,IF($D1517="","",IFERROR(INDEX(Items!$F$5:$F$504,U1517),0)),"")</f>
        <v/>
      </c>
      <c r="N1517" s="61" t="str">
        <f aca="false">IF(IsPro,IF($D1517="","",IF(AND(V1517&lt;&gt;"",INDEX(Parties!$E$5:$E$304,V1517)&lt;&gt;"",INDEX(Parties!$E$5:$E$304,V1517)&lt;&gt;HomeState),0,ROUND(L1517*M1517/2,2))),"")</f>
        <v/>
      </c>
      <c r="O1517" s="61" t="str">
        <f aca="false">IF(IsPro,IF($D1517="","",N1517),"")</f>
        <v/>
      </c>
      <c r="P1517" s="61" t="str">
        <f aca="false">IF(IsPro,IF($D1517="","",IF(AND(V1517&lt;&gt;"",INDEX(Parties!$E$5:$E$304,V1517)&lt;&gt;"",INDEX(Parties!$E$5:$E$304,V1517)&lt;&gt;HomeState),ROUND(L1517*M1517,2),0)),"")</f>
        <v/>
      </c>
      <c r="Q1517" s="61" t="str">
        <f aca="false">IF(IsPro,IF($D1517="","",L1517+N1517+O1517+P1517),"")</f>
        <v/>
      </c>
      <c r="R1517" s="61" t="str">
        <f aca="false">IF(IsPro,IF($D1517="","",ROUND(N($E1517)*IFERROR(INDEX(Items!$P$5:$P$504,U1517),0),2)),"")</f>
        <v/>
      </c>
      <c r="S1517" s="61" t="str">
        <f aca="false">IF(IsPro,IF($D1517="","",L1517-R1517),"")</f>
        <v/>
      </c>
      <c r="T1517" s="60" t="str">
        <f aca="false">IF(IsPro,IF($D1517="","",IF(U1517="","UNKNOWN ITEM",IF(INDEX(Items!$O$5:$O$504,U1517)&lt;0,"NEG STOCK",IF(K1517&lt;INDEX(Items!$P$5:$P$504,U1517),"BELOW COST","OK")))),IF($D1517="","","PRO PLAN"))</f>
        <v/>
      </c>
      <c r="U1517" s="60" t="str">
        <f aca="false">IF(IsPro,IF($D1517="","",IFERROR(MATCH($D1517,Items!$A$5:$A$504,0),"")),"")</f>
        <v/>
      </c>
      <c r="V1517" s="60" t="str">
        <f aca="false">IF(IsPro,IF($C1517="","",IFERROR(MATCH($C1517,Parties!$A$5:$A$304,0),"")),"")</f>
        <v/>
      </c>
      <c r="W1517" s="60" t="str">
        <f aca="false">IF(IsPro,IF($B1517="","",IFERROR(VALUE(SUBSTITUTE($B1517,InvPrefix,"")),0)),"")</f>
        <v/>
      </c>
      <c r="X1517" s="61" t="str">
        <f aca="false">IF(IsPro,IF($D1517="","",IF(OR($H1517="",$H1517="Credit"),0,Q1517)),"")</f>
        <v/>
      </c>
    </row>
    <row r="1518" customFormat="false" ht="15" hidden="false" customHeight="false" outlineLevel="0" collapsed="false">
      <c r="A1518" s="55"/>
      <c r="B1518" s="56"/>
      <c r="C1518" s="56"/>
      <c r="D1518" s="56"/>
      <c r="E1518" s="57"/>
      <c r="F1518" s="58"/>
      <c r="G1518" s="59"/>
      <c r="H1518" s="56"/>
      <c r="I1518" s="56"/>
      <c r="J1518" s="60" t="str">
        <f aca="false">IF(IsPro,IF($D1518="","",IFERROR(INDEX(Items!$D$5:$D$504,U1518),"")),"")</f>
        <v/>
      </c>
      <c r="K1518" s="61" t="str">
        <f aca="false">IF(IsPro,IF($D1518="","",IF($F1518="",IFERROR(INDEX(Items!$H$5:$H$504,U1518),0),$F1518)),"")</f>
        <v/>
      </c>
      <c r="L1518" s="61" t="str">
        <f aca="false">IF(IsPro,IF($D1518="","",ROUND(N($E1518)*K1518*(1-N($G1518)),2)),"")</f>
        <v/>
      </c>
      <c r="M1518" s="62" t="str">
        <f aca="false">IF(IsPro,IF($D1518="","",IFERROR(INDEX(Items!$F$5:$F$504,U1518),0)),"")</f>
        <v/>
      </c>
      <c r="N1518" s="61" t="str">
        <f aca="false">IF(IsPro,IF($D1518="","",IF(AND(V1518&lt;&gt;"",INDEX(Parties!$E$5:$E$304,V1518)&lt;&gt;"",INDEX(Parties!$E$5:$E$304,V1518)&lt;&gt;HomeState),0,ROUND(L1518*M1518/2,2))),"")</f>
        <v/>
      </c>
      <c r="O1518" s="61" t="str">
        <f aca="false">IF(IsPro,IF($D1518="","",N1518),"")</f>
        <v/>
      </c>
      <c r="P1518" s="61" t="str">
        <f aca="false">IF(IsPro,IF($D1518="","",IF(AND(V1518&lt;&gt;"",INDEX(Parties!$E$5:$E$304,V1518)&lt;&gt;"",INDEX(Parties!$E$5:$E$304,V1518)&lt;&gt;HomeState),ROUND(L1518*M1518,2),0)),"")</f>
        <v/>
      </c>
      <c r="Q1518" s="61" t="str">
        <f aca="false">IF(IsPro,IF($D1518="","",L1518+N1518+O1518+P1518),"")</f>
        <v/>
      </c>
      <c r="R1518" s="61" t="str">
        <f aca="false">IF(IsPro,IF($D1518="","",ROUND(N($E1518)*IFERROR(INDEX(Items!$P$5:$P$504,U1518),0),2)),"")</f>
        <v/>
      </c>
      <c r="S1518" s="61" t="str">
        <f aca="false">IF(IsPro,IF($D1518="","",L1518-R1518),"")</f>
        <v/>
      </c>
      <c r="T1518" s="60" t="str">
        <f aca="false">IF(IsPro,IF($D1518="","",IF(U1518="","UNKNOWN ITEM",IF(INDEX(Items!$O$5:$O$504,U1518)&lt;0,"NEG STOCK",IF(K1518&lt;INDEX(Items!$P$5:$P$504,U1518),"BELOW COST","OK")))),IF($D1518="","","PRO PLAN"))</f>
        <v/>
      </c>
      <c r="U1518" s="60" t="str">
        <f aca="false">IF(IsPro,IF($D1518="","",IFERROR(MATCH($D1518,Items!$A$5:$A$504,0),"")),"")</f>
        <v/>
      </c>
      <c r="V1518" s="60" t="str">
        <f aca="false">IF(IsPro,IF($C1518="","",IFERROR(MATCH($C1518,Parties!$A$5:$A$304,0),"")),"")</f>
        <v/>
      </c>
      <c r="W1518" s="60" t="str">
        <f aca="false">IF(IsPro,IF($B1518="","",IFERROR(VALUE(SUBSTITUTE($B1518,InvPrefix,"")),0)),"")</f>
        <v/>
      </c>
      <c r="X1518" s="61" t="str">
        <f aca="false">IF(IsPro,IF($D1518="","",IF(OR($H1518="",$H1518="Credit"),0,Q1518)),"")</f>
        <v/>
      </c>
    </row>
    <row r="1519" customFormat="false" ht="15" hidden="false" customHeight="false" outlineLevel="0" collapsed="false">
      <c r="A1519" s="55"/>
      <c r="B1519" s="56"/>
      <c r="C1519" s="56"/>
      <c r="D1519" s="56"/>
      <c r="E1519" s="57"/>
      <c r="F1519" s="58"/>
      <c r="G1519" s="59"/>
      <c r="H1519" s="56"/>
      <c r="I1519" s="56"/>
      <c r="J1519" s="60" t="str">
        <f aca="false">IF(IsPro,IF($D1519="","",IFERROR(INDEX(Items!$D$5:$D$504,U1519),"")),"")</f>
        <v/>
      </c>
      <c r="K1519" s="61" t="str">
        <f aca="false">IF(IsPro,IF($D1519="","",IF($F1519="",IFERROR(INDEX(Items!$H$5:$H$504,U1519),0),$F1519)),"")</f>
        <v/>
      </c>
      <c r="L1519" s="61" t="str">
        <f aca="false">IF(IsPro,IF($D1519="","",ROUND(N($E1519)*K1519*(1-N($G1519)),2)),"")</f>
        <v/>
      </c>
      <c r="M1519" s="62" t="str">
        <f aca="false">IF(IsPro,IF($D1519="","",IFERROR(INDEX(Items!$F$5:$F$504,U1519),0)),"")</f>
        <v/>
      </c>
      <c r="N1519" s="61" t="str">
        <f aca="false">IF(IsPro,IF($D1519="","",IF(AND(V1519&lt;&gt;"",INDEX(Parties!$E$5:$E$304,V1519)&lt;&gt;"",INDEX(Parties!$E$5:$E$304,V1519)&lt;&gt;HomeState),0,ROUND(L1519*M1519/2,2))),"")</f>
        <v/>
      </c>
      <c r="O1519" s="61" t="str">
        <f aca="false">IF(IsPro,IF($D1519="","",N1519),"")</f>
        <v/>
      </c>
      <c r="P1519" s="61" t="str">
        <f aca="false">IF(IsPro,IF($D1519="","",IF(AND(V1519&lt;&gt;"",INDEX(Parties!$E$5:$E$304,V1519)&lt;&gt;"",INDEX(Parties!$E$5:$E$304,V1519)&lt;&gt;HomeState),ROUND(L1519*M1519,2),0)),"")</f>
        <v/>
      </c>
      <c r="Q1519" s="61" t="str">
        <f aca="false">IF(IsPro,IF($D1519="","",L1519+N1519+O1519+P1519),"")</f>
        <v/>
      </c>
      <c r="R1519" s="61" t="str">
        <f aca="false">IF(IsPro,IF($D1519="","",ROUND(N($E1519)*IFERROR(INDEX(Items!$P$5:$P$504,U1519),0),2)),"")</f>
        <v/>
      </c>
      <c r="S1519" s="61" t="str">
        <f aca="false">IF(IsPro,IF($D1519="","",L1519-R1519),"")</f>
        <v/>
      </c>
      <c r="T1519" s="60" t="str">
        <f aca="false">IF(IsPro,IF($D1519="","",IF(U1519="","UNKNOWN ITEM",IF(INDEX(Items!$O$5:$O$504,U1519)&lt;0,"NEG STOCK",IF(K1519&lt;INDEX(Items!$P$5:$P$504,U1519),"BELOW COST","OK")))),IF($D1519="","","PRO PLAN"))</f>
        <v/>
      </c>
      <c r="U1519" s="60" t="str">
        <f aca="false">IF(IsPro,IF($D1519="","",IFERROR(MATCH($D1519,Items!$A$5:$A$504,0),"")),"")</f>
        <v/>
      </c>
      <c r="V1519" s="60" t="str">
        <f aca="false">IF(IsPro,IF($C1519="","",IFERROR(MATCH($C1519,Parties!$A$5:$A$304,0),"")),"")</f>
        <v/>
      </c>
      <c r="W1519" s="60" t="str">
        <f aca="false">IF(IsPro,IF($B1519="","",IFERROR(VALUE(SUBSTITUTE($B1519,InvPrefix,"")),0)),"")</f>
        <v/>
      </c>
      <c r="X1519" s="61" t="str">
        <f aca="false">IF(IsPro,IF($D1519="","",IF(OR($H1519="",$H1519="Credit"),0,Q1519)),"")</f>
        <v/>
      </c>
    </row>
    <row r="1520" customFormat="false" ht="15" hidden="false" customHeight="false" outlineLevel="0" collapsed="false">
      <c r="A1520" s="55"/>
      <c r="B1520" s="56"/>
      <c r="C1520" s="56"/>
      <c r="D1520" s="56"/>
      <c r="E1520" s="57"/>
      <c r="F1520" s="58"/>
      <c r="G1520" s="59"/>
      <c r="H1520" s="56"/>
      <c r="I1520" s="56"/>
      <c r="J1520" s="60" t="str">
        <f aca="false">IF(IsPro,IF($D1520="","",IFERROR(INDEX(Items!$D$5:$D$504,U1520),"")),"")</f>
        <v/>
      </c>
      <c r="K1520" s="61" t="str">
        <f aca="false">IF(IsPro,IF($D1520="","",IF($F1520="",IFERROR(INDEX(Items!$H$5:$H$504,U1520),0),$F1520)),"")</f>
        <v/>
      </c>
      <c r="L1520" s="61" t="str">
        <f aca="false">IF(IsPro,IF($D1520="","",ROUND(N($E1520)*K1520*(1-N($G1520)),2)),"")</f>
        <v/>
      </c>
      <c r="M1520" s="62" t="str">
        <f aca="false">IF(IsPro,IF($D1520="","",IFERROR(INDEX(Items!$F$5:$F$504,U1520),0)),"")</f>
        <v/>
      </c>
      <c r="N1520" s="61" t="str">
        <f aca="false">IF(IsPro,IF($D1520="","",IF(AND(V1520&lt;&gt;"",INDEX(Parties!$E$5:$E$304,V1520)&lt;&gt;"",INDEX(Parties!$E$5:$E$304,V1520)&lt;&gt;HomeState),0,ROUND(L1520*M1520/2,2))),"")</f>
        <v/>
      </c>
      <c r="O1520" s="61" t="str">
        <f aca="false">IF(IsPro,IF($D1520="","",N1520),"")</f>
        <v/>
      </c>
      <c r="P1520" s="61" t="str">
        <f aca="false">IF(IsPro,IF($D1520="","",IF(AND(V1520&lt;&gt;"",INDEX(Parties!$E$5:$E$304,V1520)&lt;&gt;"",INDEX(Parties!$E$5:$E$304,V1520)&lt;&gt;HomeState),ROUND(L1520*M1520,2),0)),"")</f>
        <v/>
      </c>
      <c r="Q1520" s="61" t="str">
        <f aca="false">IF(IsPro,IF($D1520="","",L1520+N1520+O1520+P1520),"")</f>
        <v/>
      </c>
      <c r="R1520" s="61" t="str">
        <f aca="false">IF(IsPro,IF($D1520="","",ROUND(N($E1520)*IFERROR(INDEX(Items!$P$5:$P$504,U1520),0),2)),"")</f>
        <v/>
      </c>
      <c r="S1520" s="61" t="str">
        <f aca="false">IF(IsPro,IF($D1520="","",L1520-R1520),"")</f>
        <v/>
      </c>
      <c r="T1520" s="60" t="str">
        <f aca="false">IF(IsPro,IF($D1520="","",IF(U1520="","UNKNOWN ITEM",IF(INDEX(Items!$O$5:$O$504,U1520)&lt;0,"NEG STOCK",IF(K1520&lt;INDEX(Items!$P$5:$P$504,U1520),"BELOW COST","OK")))),IF($D1520="","","PRO PLAN"))</f>
        <v/>
      </c>
      <c r="U1520" s="60" t="str">
        <f aca="false">IF(IsPro,IF($D1520="","",IFERROR(MATCH($D1520,Items!$A$5:$A$504,0),"")),"")</f>
        <v/>
      </c>
      <c r="V1520" s="60" t="str">
        <f aca="false">IF(IsPro,IF($C1520="","",IFERROR(MATCH($C1520,Parties!$A$5:$A$304,0),"")),"")</f>
        <v/>
      </c>
      <c r="W1520" s="60" t="str">
        <f aca="false">IF(IsPro,IF($B1520="","",IFERROR(VALUE(SUBSTITUTE($B1520,InvPrefix,"")),0)),"")</f>
        <v/>
      </c>
      <c r="X1520" s="61" t="str">
        <f aca="false">IF(IsPro,IF($D1520="","",IF(OR($H1520="",$H1520="Credit"),0,Q1520)),"")</f>
        <v/>
      </c>
    </row>
    <row r="1521" customFormat="false" ht="15" hidden="false" customHeight="false" outlineLevel="0" collapsed="false">
      <c r="A1521" s="55"/>
      <c r="B1521" s="56"/>
      <c r="C1521" s="56"/>
      <c r="D1521" s="56"/>
      <c r="E1521" s="57"/>
      <c r="F1521" s="58"/>
      <c r="G1521" s="59"/>
      <c r="H1521" s="56"/>
      <c r="I1521" s="56"/>
      <c r="J1521" s="60" t="str">
        <f aca="false">IF(IsPro,IF($D1521="","",IFERROR(INDEX(Items!$D$5:$D$504,U1521),"")),"")</f>
        <v/>
      </c>
      <c r="K1521" s="61" t="str">
        <f aca="false">IF(IsPro,IF($D1521="","",IF($F1521="",IFERROR(INDEX(Items!$H$5:$H$504,U1521),0),$F1521)),"")</f>
        <v/>
      </c>
      <c r="L1521" s="61" t="str">
        <f aca="false">IF(IsPro,IF($D1521="","",ROUND(N($E1521)*K1521*(1-N($G1521)),2)),"")</f>
        <v/>
      </c>
      <c r="M1521" s="62" t="str">
        <f aca="false">IF(IsPro,IF($D1521="","",IFERROR(INDEX(Items!$F$5:$F$504,U1521),0)),"")</f>
        <v/>
      </c>
      <c r="N1521" s="61" t="str">
        <f aca="false">IF(IsPro,IF($D1521="","",IF(AND(V1521&lt;&gt;"",INDEX(Parties!$E$5:$E$304,V1521)&lt;&gt;"",INDEX(Parties!$E$5:$E$304,V1521)&lt;&gt;HomeState),0,ROUND(L1521*M1521/2,2))),"")</f>
        <v/>
      </c>
      <c r="O1521" s="61" t="str">
        <f aca="false">IF(IsPro,IF($D1521="","",N1521),"")</f>
        <v/>
      </c>
      <c r="P1521" s="61" t="str">
        <f aca="false">IF(IsPro,IF($D1521="","",IF(AND(V1521&lt;&gt;"",INDEX(Parties!$E$5:$E$304,V1521)&lt;&gt;"",INDEX(Parties!$E$5:$E$304,V1521)&lt;&gt;HomeState),ROUND(L1521*M1521,2),0)),"")</f>
        <v/>
      </c>
      <c r="Q1521" s="61" t="str">
        <f aca="false">IF(IsPro,IF($D1521="","",L1521+N1521+O1521+P1521),"")</f>
        <v/>
      </c>
      <c r="R1521" s="61" t="str">
        <f aca="false">IF(IsPro,IF($D1521="","",ROUND(N($E1521)*IFERROR(INDEX(Items!$P$5:$P$504,U1521),0),2)),"")</f>
        <v/>
      </c>
      <c r="S1521" s="61" t="str">
        <f aca="false">IF(IsPro,IF($D1521="","",L1521-R1521),"")</f>
        <v/>
      </c>
      <c r="T1521" s="60" t="str">
        <f aca="false">IF(IsPro,IF($D1521="","",IF(U1521="","UNKNOWN ITEM",IF(INDEX(Items!$O$5:$O$504,U1521)&lt;0,"NEG STOCK",IF(K1521&lt;INDEX(Items!$P$5:$P$504,U1521),"BELOW COST","OK")))),IF($D1521="","","PRO PLAN"))</f>
        <v/>
      </c>
      <c r="U1521" s="60" t="str">
        <f aca="false">IF(IsPro,IF($D1521="","",IFERROR(MATCH($D1521,Items!$A$5:$A$504,0),"")),"")</f>
        <v/>
      </c>
      <c r="V1521" s="60" t="str">
        <f aca="false">IF(IsPro,IF($C1521="","",IFERROR(MATCH($C1521,Parties!$A$5:$A$304,0),"")),"")</f>
        <v/>
      </c>
      <c r="W1521" s="60" t="str">
        <f aca="false">IF(IsPro,IF($B1521="","",IFERROR(VALUE(SUBSTITUTE($B1521,InvPrefix,"")),0)),"")</f>
        <v/>
      </c>
      <c r="X1521" s="61" t="str">
        <f aca="false">IF(IsPro,IF($D1521="","",IF(OR($H1521="",$H1521="Credit"),0,Q1521)),"")</f>
        <v/>
      </c>
    </row>
    <row r="1522" customFormat="false" ht="15" hidden="false" customHeight="false" outlineLevel="0" collapsed="false">
      <c r="A1522" s="55"/>
      <c r="B1522" s="56"/>
      <c r="C1522" s="56"/>
      <c r="D1522" s="56"/>
      <c r="E1522" s="57"/>
      <c r="F1522" s="58"/>
      <c r="G1522" s="59"/>
      <c r="H1522" s="56"/>
      <c r="I1522" s="56"/>
      <c r="J1522" s="60" t="str">
        <f aca="false">IF(IsPro,IF($D1522="","",IFERROR(INDEX(Items!$D$5:$D$504,U1522),"")),"")</f>
        <v/>
      </c>
      <c r="K1522" s="61" t="str">
        <f aca="false">IF(IsPro,IF($D1522="","",IF($F1522="",IFERROR(INDEX(Items!$H$5:$H$504,U1522),0),$F1522)),"")</f>
        <v/>
      </c>
      <c r="L1522" s="61" t="str">
        <f aca="false">IF(IsPro,IF($D1522="","",ROUND(N($E1522)*K1522*(1-N($G1522)),2)),"")</f>
        <v/>
      </c>
      <c r="M1522" s="62" t="str">
        <f aca="false">IF(IsPro,IF($D1522="","",IFERROR(INDEX(Items!$F$5:$F$504,U1522),0)),"")</f>
        <v/>
      </c>
      <c r="N1522" s="61" t="str">
        <f aca="false">IF(IsPro,IF($D1522="","",IF(AND(V1522&lt;&gt;"",INDEX(Parties!$E$5:$E$304,V1522)&lt;&gt;"",INDEX(Parties!$E$5:$E$304,V1522)&lt;&gt;HomeState),0,ROUND(L1522*M1522/2,2))),"")</f>
        <v/>
      </c>
      <c r="O1522" s="61" t="str">
        <f aca="false">IF(IsPro,IF($D1522="","",N1522),"")</f>
        <v/>
      </c>
      <c r="P1522" s="61" t="str">
        <f aca="false">IF(IsPro,IF($D1522="","",IF(AND(V1522&lt;&gt;"",INDEX(Parties!$E$5:$E$304,V1522)&lt;&gt;"",INDEX(Parties!$E$5:$E$304,V1522)&lt;&gt;HomeState),ROUND(L1522*M1522,2),0)),"")</f>
        <v/>
      </c>
      <c r="Q1522" s="61" t="str">
        <f aca="false">IF(IsPro,IF($D1522="","",L1522+N1522+O1522+P1522),"")</f>
        <v/>
      </c>
      <c r="R1522" s="61" t="str">
        <f aca="false">IF(IsPro,IF($D1522="","",ROUND(N($E1522)*IFERROR(INDEX(Items!$P$5:$P$504,U1522),0),2)),"")</f>
        <v/>
      </c>
      <c r="S1522" s="61" t="str">
        <f aca="false">IF(IsPro,IF($D1522="","",L1522-R1522),"")</f>
        <v/>
      </c>
      <c r="T1522" s="60" t="str">
        <f aca="false">IF(IsPro,IF($D1522="","",IF(U1522="","UNKNOWN ITEM",IF(INDEX(Items!$O$5:$O$504,U1522)&lt;0,"NEG STOCK",IF(K1522&lt;INDEX(Items!$P$5:$P$504,U1522),"BELOW COST","OK")))),IF($D1522="","","PRO PLAN"))</f>
        <v/>
      </c>
      <c r="U1522" s="60" t="str">
        <f aca="false">IF(IsPro,IF($D1522="","",IFERROR(MATCH($D1522,Items!$A$5:$A$504,0),"")),"")</f>
        <v/>
      </c>
      <c r="V1522" s="60" t="str">
        <f aca="false">IF(IsPro,IF($C1522="","",IFERROR(MATCH($C1522,Parties!$A$5:$A$304,0),"")),"")</f>
        <v/>
      </c>
      <c r="W1522" s="60" t="str">
        <f aca="false">IF(IsPro,IF($B1522="","",IFERROR(VALUE(SUBSTITUTE($B1522,InvPrefix,"")),0)),"")</f>
        <v/>
      </c>
      <c r="X1522" s="61" t="str">
        <f aca="false">IF(IsPro,IF($D1522="","",IF(OR($H1522="",$H1522="Credit"),0,Q1522)),"")</f>
        <v/>
      </c>
    </row>
    <row r="1523" customFormat="false" ht="15" hidden="false" customHeight="false" outlineLevel="0" collapsed="false">
      <c r="A1523" s="55"/>
      <c r="B1523" s="56"/>
      <c r="C1523" s="56"/>
      <c r="D1523" s="56"/>
      <c r="E1523" s="57"/>
      <c r="F1523" s="58"/>
      <c r="G1523" s="59"/>
      <c r="H1523" s="56"/>
      <c r="I1523" s="56"/>
      <c r="J1523" s="60" t="str">
        <f aca="false">IF(IsPro,IF($D1523="","",IFERROR(INDEX(Items!$D$5:$D$504,U1523),"")),"")</f>
        <v/>
      </c>
      <c r="K1523" s="61" t="str">
        <f aca="false">IF(IsPro,IF($D1523="","",IF($F1523="",IFERROR(INDEX(Items!$H$5:$H$504,U1523),0),$F1523)),"")</f>
        <v/>
      </c>
      <c r="L1523" s="61" t="str">
        <f aca="false">IF(IsPro,IF($D1523="","",ROUND(N($E1523)*K1523*(1-N($G1523)),2)),"")</f>
        <v/>
      </c>
      <c r="M1523" s="62" t="str">
        <f aca="false">IF(IsPro,IF($D1523="","",IFERROR(INDEX(Items!$F$5:$F$504,U1523),0)),"")</f>
        <v/>
      </c>
      <c r="N1523" s="61" t="str">
        <f aca="false">IF(IsPro,IF($D1523="","",IF(AND(V1523&lt;&gt;"",INDEX(Parties!$E$5:$E$304,V1523)&lt;&gt;"",INDEX(Parties!$E$5:$E$304,V1523)&lt;&gt;HomeState),0,ROUND(L1523*M1523/2,2))),"")</f>
        <v/>
      </c>
      <c r="O1523" s="61" t="str">
        <f aca="false">IF(IsPro,IF($D1523="","",N1523),"")</f>
        <v/>
      </c>
      <c r="P1523" s="61" t="str">
        <f aca="false">IF(IsPro,IF($D1523="","",IF(AND(V1523&lt;&gt;"",INDEX(Parties!$E$5:$E$304,V1523)&lt;&gt;"",INDEX(Parties!$E$5:$E$304,V1523)&lt;&gt;HomeState),ROUND(L1523*M1523,2),0)),"")</f>
        <v/>
      </c>
      <c r="Q1523" s="61" t="str">
        <f aca="false">IF(IsPro,IF($D1523="","",L1523+N1523+O1523+P1523),"")</f>
        <v/>
      </c>
      <c r="R1523" s="61" t="str">
        <f aca="false">IF(IsPro,IF($D1523="","",ROUND(N($E1523)*IFERROR(INDEX(Items!$P$5:$P$504,U1523),0),2)),"")</f>
        <v/>
      </c>
      <c r="S1523" s="61" t="str">
        <f aca="false">IF(IsPro,IF($D1523="","",L1523-R1523),"")</f>
        <v/>
      </c>
      <c r="T1523" s="60" t="str">
        <f aca="false">IF(IsPro,IF($D1523="","",IF(U1523="","UNKNOWN ITEM",IF(INDEX(Items!$O$5:$O$504,U1523)&lt;0,"NEG STOCK",IF(K1523&lt;INDEX(Items!$P$5:$P$504,U1523),"BELOW COST","OK")))),IF($D1523="","","PRO PLAN"))</f>
        <v/>
      </c>
      <c r="U1523" s="60" t="str">
        <f aca="false">IF(IsPro,IF($D1523="","",IFERROR(MATCH($D1523,Items!$A$5:$A$504,0),"")),"")</f>
        <v/>
      </c>
      <c r="V1523" s="60" t="str">
        <f aca="false">IF(IsPro,IF($C1523="","",IFERROR(MATCH($C1523,Parties!$A$5:$A$304,0),"")),"")</f>
        <v/>
      </c>
      <c r="W1523" s="60" t="str">
        <f aca="false">IF(IsPro,IF($B1523="","",IFERROR(VALUE(SUBSTITUTE($B1523,InvPrefix,"")),0)),"")</f>
        <v/>
      </c>
      <c r="X1523" s="61" t="str">
        <f aca="false">IF(IsPro,IF($D1523="","",IF(OR($H1523="",$H1523="Credit"),0,Q1523)),"")</f>
        <v/>
      </c>
    </row>
    <row r="1524" customFormat="false" ht="15" hidden="false" customHeight="false" outlineLevel="0" collapsed="false">
      <c r="A1524" s="55"/>
      <c r="B1524" s="56"/>
      <c r="C1524" s="56"/>
      <c r="D1524" s="56"/>
      <c r="E1524" s="57"/>
      <c r="F1524" s="58"/>
      <c r="G1524" s="59"/>
      <c r="H1524" s="56"/>
      <c r="I1524" s="56"/>
      <c r="J1524" s="60" t="str">
        <f aca="false">IF(IsPro,IF($D1524="","",IFERROR(INDEX(Items!$D$5:$D$504,U1524),"")),"")</f>
        <v/>
      </c>
      <c r="K1524" s="61" t="str">
        <f aca="false">IF(IsPro,IF($D1524="","",IF($F1524="",IFERROR(INDEX(Items!$H$5:$H$504,U1524),0),$F1524)),"")</f>
        <v/>
      </c>
      <c r="L1524" s="61" t="str">
        <f aca="false">IF(IsPro,IF($D1524="","",ROUND(N($E1524)*K1524*(1-N($G1524)),2)),"")</f>
        <v/>
      </c>
      <c r="M1524" s="62" t="str">
        <f aca="false">IF(IsPro,IF($D1524="","",IFERROR(INDEX(Items!$F$5:$F$504,U1524),0)),"")</f>
        <v/>
      </c>
      <c r="N1524" s="61" t="str">
        <f aca="false">IF(IsPro,IF($D1524="","",IF(AND(V1524&lt;&gt;"",INDEX(Parties!$E$5:$E$304,V1524)&lt;&gt;"",INDEX(Parties!$E$5:$E$304,V1524)&lt;&gt;HomeState),0,ROUND(L1524*M1524/2,2))),"")</f>
        <v/>
      </c>
      <c r="O1524" s="61" t="str">
        <f aca="false">IF(IsPro,IF($D1524="","",N1524),"")</f>
        <v/>
      </c>
      <c r="P1524" s="61" t="str">
        <f aca="false">IF(IsPro,IF($D1524="","",IF(AND(V1524&lt;&gt;"",INDEX(Parties!$E$5:$E$304,V1524)&lt;&gt;"",INDEX(Parties!$E$5:$E$304,V1524)&lt;&gt;HomeState),ROUND(L1524*M1524,2),0)),"")</f>
        <v/>
      </c>
      <c r="Q1524" s="61" t="str">
        <f aca="false">IF(IsPro,IF($D1524="","",L1524+N1524+O1524+P1524),"")</f>
        <v/>
      </c>
      <c r="R1524" s="61" t="str">
        <f aca="false">IF(IsPro,IF($D1524="","",ROUND(N($E1524)*IFERROR(INDEX(Items!$P$5:$P$504,U1524),0),2)),"")</f>
        <v/>
      </c>
      <c r="S1524" s="61" t="str">
        <f aca="false">IF(IsPro,IF($D1524="","",L1524-R1524),"")</f>
        <v/>
      </c>
      <c r="T1524" s="60" t="str">
        <f aca="false">IF(IsPro,IF($D1524="","",IF(U1524="","UNKNOWN ITEM",IF(INDEX(Items!$O$5:$O$504,U1524)&lt;0,"NEG STOCK",IF(K1524&lt;INDEX(Items!$P$5:$P$504,U1524),"BELOW COST","OK")))),IF($D1524="","","PRO PLAN"))</f>
        <v/>
      </c>
      <c r="U1524" s="60" t="str">
        <f aca="false">IF(IsPro,IF($D1524="","",IFERROR(MATCH($D1524,Items!$A$5:$A$504,0),"")),"")</f>
        <v/>
      </c>
      <c r="V1524" s="60" t="str">
        <f aca="false">IF(IsPro,IF($C1524="","",IFERROR(MATCH($C1524,Parties!$A$5:$A$304,0),"")),"")</f>
        <v/>
      </c>
      <c r="W1524" s="60" t="str">
        <f aca="false">IF(IsPro,IF($B1524="","",IFERROR(VALUE(SUBSTITUTE($B1524,InvPrefix,"")),0)),"")</f>
        <v/>
      </c>
      <c r="X1524" s="61" t="str">
        <f aca="false">IF(IsPro,IF($D1524="","",IF(OR($H1524="",$H1524="Credit"),0,Q1524)),"")</f>
        <v/>
      </c>
    </row>
    <row r="1525" customFormat="false" ht="15" hidden="false" customHeight="false" outlineLevel="0" collapsed="false">
      <c r="A1525" s="55"/>
      <c r="B1525" s="56"/>
      <c r="C1525" s="56"/>
      <c r="D1525" s="56"/>
      <c r="E1525" s="57"/>
      <c r="F1525" s="58"/>
      <c r="G1525" s="59"/>
      <c r="H1525" s="56"/>
      <c r="I1525" s="56"/>
      <c r="J1525" s="60" t="str">
        <f aca="false">IF(IsPro,IF($D1525="","",IFERROR(INDEX(Items!$D$5:$D$504,U1525),"")),"")</f>
        <v/>
      </c>
      <c r="K1525" s="61" t="str">
        <f aca="false">IF(IsPro,IF($D1525="","",IF($F1525="",IFERROR(INDEX(Items!$H$5:$H$504,U1525),0),$F1525)),"")</f>
        <v/>
      </c>
      <c r="L1525" s="61" t="str">
        <f aca="false">IF(IsPro,IF($D1525="","",ROUND(N($E1525)*K1525*(1-N($G1525)),2)),"")</f>
        <v/>
      </c>
      <c r="M1525" s="62" t="str">
        <f aca="false">IF(IsPro,IF($D1525="","",IFERROR(INDEX(Items!$F$5:$F$504,U1525),0)),"")</f>
        <v/>
      </c>
      <c r="N1525" s="61" t="str">
        <f aca="false">IF(IsPro,IF($D1525="","",IF(AND(V1525&lt;&gt;"",INDEX(Parties!$E$5:$E$304,V1525)&lt;&gt;"",INDEX(Parties!$E$5:$E$304,V1525)&lt;&gt;HomeState),0,ROUND(L1525*M1525/2,2))),"")</f>
        <v/>
      </c>
      <c r="O1525" s="61" t="str">
        <f aca="false">IF(IsPro,IF($D1525="","",N1525),"")</f>
        <v/>
      </c>
      <c r="P1525" s="61" t="str">
        <f aca="false">IF(IsPro,IF($D1525="","",IF(AND(V1525&lt;&gt;"",INDEX(Parties!$E$5:$E$304,V1525)&lt;&gt;"",INDEX(Parties!$E$5:$E$304,V1525)&lt;&gt;HomeState),ROUND(L1525*M1525,2),0)),"")</f>
        <v/>
      </c>
      <c r="Q1525" s="61" t="str">
        <f aca="false">IF(IsPro,IF($D1525="","",L1525+N1525+O1525+P1525),"")</f>
        <v/>
      </c>
      <c r="R1525" s="61" t="str">
        <f aca="false">IF(IsPro,IF($D1525="","",ROUND(N($E1525)*IFERROR(INDEX(Items!$P$5:$P$504,U1525),0),2)),"")</f>
        <v/>
      </c>
      <c r="S1525" s="61" t="str">
        <f aca="false">IF(IsPro,IF($D1525="","",L1525-R1525),"")</f>
        <v/>
      </c>
      <c r="T1525" s="60" t="str">
        <f aca="false">IF(IsPro,IF($D1525="","",IF(U1525="","UNKNOWN ITEM",IF(INDEX(Items!$O$5:$O$504,U1525)&lt;0,"NEG STOCK",IF(K1525&lt;INDEX(Items!$P$5:$P$504,U1525),"BELOW COST","OK")))),IF($D1525="","","PRO PLAN"))</f>
        <v/>
      </c>
      <c r="U1525" s="60" t="str">
        <f aca="false">IF(IsPro,IF($D1525="","",IFERROR(MATCH($D1525,Items!$A$5:$A$504,0),"")),"")</f>
        <v/>
      </c>
      <c r="V1525" s="60" t="str">
        <f aca="false">IF(IsPro,IF($C1525="","",IFERROR(MATCH($C1525,Parties!$A$5:$A$304,0),"")),"")</f>
        <v/>
      </c>
      <c r="W1525" s="60" t="str">
        <f aca="false">IF(IsPro,IF($B1525="","",IFERROR(VALUE(SUBSTITUTE($B1525,InvPrefix,"")),0)),"")</f>
        <v/>
      </c>
      <c r="X1525" s="61" t="str">
        <f aca="false">IF(IsPro,IF($D1525="","",IF(OR($H1525="",$H1525="Credit"),0,Q1525)),"")</f>
        <v/>
      </c>
    </row>
    <row r="1526" customFormat="false" ht="15" hidden="false" customHeight="false" outlineLevel="0" collapsed="false">
      <c r="A1526" s="55"/>
      <c r="B1526" s="56"/>
      <c r="C1526" s="56"/>
      <c r="D1526" s="56"/>
      <c r="E1526" s="57"/>
      <c r="F1526" s="58"/>
      <c r="G1526" s="59"/>
      <c r="H1526" s="56"/>
      <c r="I1526" s="56"/>
      <c r="J1526" s="60" t="str">
        <f aca="false">IF(IsPro,IF($D1526="","",IFERROR(INDEX(Items!$D$5:$D$504,U1526),"")),"")</f>
        <v/>
      </c>
      <c r="K1526" s="61" t="str">
        <f aca="false">IF(IsPro,IF($D1526="","",IF($F1526="",IFERROR(INDEX(Items!$H$5:$H$504,U1526),0),$F1526)),"")</f>
        <v/>
      </c>
      <c r="L1526" s="61" t="str">
        <f aca="false">IF(IsPro,IF($D1526="","",ROUND(N($E1526)*K1526*(1-N($G1526)),2)),"")</f>
        <v/>
      </c>
      <c r="M1526" s="62" t="str">
        <f aca="false">IF(IsPro,IF($D1526="","",IFERROR(INDEX(Items!$F$5:$F$504,U1526),0)),"")</f>
        <v/>
      </c>
      <c r="N1526" s="61" t="str">
        <f aca="false">IF(IsPro,IF($D1526="","",IF(AND(V1526&lt;&gt;"",INDEX(Parties!$E$5:$E$304,V1526)&lt;&gt;"",INDEX(Parties!$E$5:$E$304,V1526)&lt;&gt;HomeState),0,ROUND(L1526*M1526/2,2))),"")</f>
        <v/>
      </c>
      <c r="O1526" s="61" t="str">
        <f aca="false">IF(IsPro,IF($D1526="","",N1526),"")</f>
        <v/>
      </c>
      <c r="P1526" s="61" t="str">
        <f aca="false">IF(IsPro,IF($D1526="","",IF(AND(V1526&lt;&gt;"",INDEX(Parties!$E$5:$E$304,V1526)&lt;&gt;"",INDEX(Parties!$E$5:$E$304,V1526)&lt;&gt;HomeState),ROUND(L1526*M1526,2),0)),"")</f>
        <v/>
      </c>
      <c r="Q1526" s="61" t="str">
        <f aca="false">IF(IsPro,IF($D1526="","",L1526+N1526+O1526+P1526),"")</f>
        <v/>
      </c>
      <c r="R1526" s="61" t="str">
        <f aca="false">IF(IsPro,IF($D1526="","",ROUND(N($E1526)*IFERROR(INDEX(Items!$P$5:$P$504,U1526),0),2)),"")</f>
        <v/>
      </c>
      <c r="S1526" s="61" t="str">
        <f aca="false">IF(IsPro,IF($D1526="","",L1526-R1526),"")</f>
        <v/>
      </c>
      <c r="T1526" s="60" t="str">
        <f aca="false">IF(IsPro,IF($D1526="","",IF(U1526="","UNKNOWN ITEM",IF(INDEX(Items!$O$5:$O$504,U1526)&lt;0,"NEG STOCK",IF(K1526&lt;INDEX(Items!$P$5:$P$504,U1526),"BELOW COST","OK")))),IF($D1526="","","PRO PLAN"))</f>
        <v/>
      </c>
      <c r="U1526" s="60" t="str">
        <f aca="false">IF(IsPro,IF($D1526="","",IFERROR(MATCH($D1526,Items!$A$5:$A$504,0),"")),"")</f>
        <v/>
      </c>
      <c r="V1526" s="60" t="str">
        <f aca="false">IF(IsPro,IF($C1526="","",IFERROR(MATCH($C1526,Parties!$A$5:$A$304,0),"")),"")</f>
        <v/>
      </c>
      <c r="W1526" s="60" t="str">
        <f aca="false">IF(IsPro,IF($B1526="","",IFERROR(VALUE(SUBSTITUTE($B1526,InvPrefix,"")),0)),"")</f>
        <v/>
      </c>
      <c r="X1526" s="61" t="str">
        <f aca="false">IF(IsPro,IF($D1526="","",IF(OR($H1526="",$H1526="Credit"),0,Q1526)),"")</f>
        <v/>
      </c>
    </row>
    <row r="1527" customFormat="false" ht="15" hidden="false" customHeight="false" outlineLevel="0" collapsed="false">
      <c r="A1527" s="55"/>
      <c r="B1527" s="56"/>
      <c r="C1527" s="56"/>
      <c r="D1527" s="56"/>
      <c r="E1527" s="57"/>
      <c r="F1527" s="58"/>
      <c r="G1527" s="59"/>
      <c r="H1527" s="56"/>
      <c r="I1527" s="56"/>
      <c r="J1527" s="60" t="str">
        <f aca="false">IF(IsPro,IF($D1527="","",IFERROR(INDEX(Items!$D$5:$D$504,U1527),"")),"")</f>
        <v/>
      </c>
      <c r="K1527" s="61" t="str">
        <f aca="false">IF(IsPro,IF($D1527="","",IF($F1527="",IFERROR(INDEX(Items!$H$5:$H$504,U1527),0),$F1527)),"")</f>
        <v/>
      </c>
      <c r="L1527" s="61" t="str">
        <f aca="false">IF(IsPro,IF($D1527="","",ROUND(N($E1527)*K1527*(1-N($G1527)),2)),"")</f>
        <v/>
      </c>
      <c r="M1527" s="62" t="str">
        <f aca="false">IF(IsPro,IF($D1527="","",IFERROR(INDEX(Items!$F$5:$F$504,U1527),0)),"")</f>
        <v/>
      </c>
      <c r="N1527" s="61" t="str">
        <f aca="false">IF(IsPro,IF($D1527="","",IF(AND(V1527&lt;&gt;"",INDEX(Parties!$E$5:$E$304,V1527)&lt;&gt;"",INDEX(Parties!$E$5:$E$304,V1527)&lt;&gt;HomeState),0,ROUND(L1527*M1527/2,2))),"")</f>
        <v/>
      </c>
      <c r="O1527" s="61" t="str">
        <f aca="false">IF(IsPro,IF($D1527="","",N1527),"")</f>
        <v/>
      </c>
      <c r="P1527" s="61" t="str">
        <f aca="false">IF(IsPro,IF($D1527="","",IF(AND(V1527&lt;&gt;"",INDEX(Parties!$E$5:$E$304,V1527)&lt;&gt;"",INDEX(Parties!$E$5:$E$304,V1527)&lt;&gt;HomeState),ROUND(L1527*M1527,2),0)),"")</f>
        <v/>
      </c>
      <c r="Q1527" s="61" t="str">
        <f aca="false">IF(IsPro,IF($D1527="","",L1527+N1527+O1527+P1527),"")</f>
        <v/>
      </c>
      <c r="R1527" s="61" t="str">
        <f aca="false">IF(IsPro,IF($D1527="","",ROUND(N($E1527)*IFERROR(INDEX(Items!$P$5:$P$504,U1527),0),2)),"")</f>
        <v/>
      </c>
      <c r="S1527" s="61" t="str">
        <f aca="false">IF(IsPro,IF($D1527="","",L1527-R1527),"")</f>
        <v/>
      </c>
      <c r="T1527" s="60" t="str">
        <f aca="false">IF(IsPro,IF($D1527="","",IF(U1527="","UNKNOWN ITEM",IF(INDEX(Items!$O$5:$O$504,U1527)&lt;0,"NEG STOCK",IF(K1527&lt;INDEX(Items!$P$5:$P$504,U1527),"BELOW COST","OK")))),IF($D1527="","","PRO PLAN"))</f>
        <v/>
      </c>
      <c r="U1527" s="60" t="str">
        <f aca="false">IF(IsPro,IF($D1527="","",IFERROR(MATCH($D1527,Items!$A$5:$A$504,0),"")),"")</f>
        <v/>
      </c>
      <c r="V1527" s="60" t="str">
        <f aca="false">IF(IsPro,IF($C1527="","",IFERROR(MATCH($C1527,Parties!$A$5:$A$304,0),"")),"")</f>
        <v/>
      </c>
      <c r="W1527" s="60" t="str">
        <f aca="false">IF(IsPro,IF($B1527="","",IFERROR(VALUE(SUBSTITUTE($B1527,InvPrefix,"")),0)),"")</f>
        <v/>
      </c>
      <c r="X1527" s="61" t="str">
        <f aca="false">IF(IsPro,IF($D1527="","",IF(OR($H1527="",$H1527="Credit"),0,Q1527)),"")</f>
        <v/>
      </c>
    </row>
    <row r="1528" customFormat="false" ht="15" hidden="false" customHeight="false" outlineLevel="0" collapsed="false">
      <c r="A1528" s="55"/>
      <c r="B1528" s="56"/>
      <c r="C1528" s="56"/>
      <c r="D1528" s="56"/>
      <c r="E1528" s="57"/>
      <c r="F1528" s="58"/>
      <c r="G1528" s="59"/>
      <c r="H1528" s="56"/>
      <c r="I1528" s="56"/>
      <c r="J1528" s="60" t="str">
        <f aca="false">IF(IsPro,IF($D1528="","",IFERROR(INDEX(Items!$D$5:$D$504,U1528),"")),"")</f>
        <v/>
      </c>
      <c r="K1528" s="61" t="str">
        <f aca="false">IF(IsPro,IF($D1528="","",IF($F1528="",IFERROR(INDEX(Items!$H$5:$H$504,U1528),0),$F1528)),"")</f>
        <v/>
      </c>
      <c r="L1528" s="61" t="str">
        <f aca="false">IF(IsPro,IF($D1528="","",ROUND(N($E1528)*K1528*(1-N($G1528)),2)),"")</f>
        <v/>
      </c>
      <c r="M1528" s="62" t="str">
        <f aca="false">IF(IsPro,IF($D1528="","",IFERROR(INDEX(Items!$F$5:$F$504,U1528),0)),"")</f>
        <v/>
      </c>
      <c r="N1528" s="61" t="str">
        <f aca="false">IF(IsPro,IF($D1528="","",IF(AND(V1528&lt;&gt;"",INDEX(Parties!$E$5:$E$304,V1528)&lt;&gt;"",INDEX(Parties!$E$5:$E$304,V1528)&lt;&gt;HomeState),0,ROUND(L1528*M1528/2,2))),"")</f>
        <v/>
      </c>
      <c r="O1528" s="61" t="str">
        <f aca="false">IF(IsPro,IF($D1528="","",N1528),"")</f>
        <v/>
      </c>
      <c r="P1528" s="61" t="str">
        <f aca="false">IF(IsPro,IF($D1528="","",IF(AND(V1528&lt;&gt;"",INDEX(Parties!$E$5:$E$304,V1528)&lt;&gt;"",INDEX(Parties!$E$5:$E$304,V1528)&lt;&gt;HomeState),ROUND(L1528*M1528,2),0)),"")</f>
        <v/>
      </c>
      <c r="Q1528" s="61" t="str">
        <f aca="false">IF(IsPro,IF($D1528="","",L1528+N1528+O1528+P1528),"")</f>
        <v/>
      </c>
      <c r="R1528" s="61" t="str">
        <f aca="false">IF(IsPro,IF($D1528="","",ROUND(N($E1528)*IFERROR(INDEX(Items!$P$5:$P$504,U1528),0),2)),"")</f>
        <v/>
      </c>
      <c r="S1528" s="61" t="str">
        <f aca="false">IF(IsPro,IF($D1528="","",L1528-R1528),"")</f>
        <v/>
      </c>
      <c r="T1528" s="60" t="str">
        <f aca="false">IF(IsPro,IF($D1528="","",IF(U1528="","UNKNOWN ITEM",IF(INDEX(Items!$O$5:$O$504,U1528)&lt;0,"NEG STOCK",IF(K1528&lt;INDEX(Items!$P$5:$P$504,U1528),"BELOW COST","OK")))),IF($D1528="","","PRO PLAN"))</f>
        <v/>
      </c>
      <c r="U1528" s="60" t="str">
        <f aca="false">IF(IsPro,IF($D1528="","",IFERROR(MATCH($D1528,Items!$A$5:$A$504,0),"")),"")</f>
        <v/>
      </c>
      <c r="V1528" s="60" t="str">
        <f aca="false">IF(IsPro,IF($C1528="","",IFERROR(MATCH($C1528,Parties!$A$5:$A$304,0),"")),"")</f>
        <v/>
      </c>
      <c r="W1528" s="60" t="str">
        <f aca="false">IF(IsPro,IF($B1528="","",IFERROR(VALUE(SUBSTITUTE($B1528,InvPrefix,"")),0)),"")</f>
        <v/>
      </c>
      <c r="X1528" s="61" t="str">
        <f aca="false">IF(IsPro,IF($D1528="","",IF(OR($H1528="",$H1528="Credit"),0,Q1528)),"")</f>
        <v/>
      </c>
    </row>
    <row r="1529" customFormat="false" ht="15" hidden="false" customHeight="false" outlineLevel="0" collapsed="false">
      <c r="A1529" s="55"/>
      <c r="B1529" s="56"/>
      <c r="C1529" s="56"/>
      <c r="D1529" s="56"/>
      <c r="E1529" s="57"/>
      <c r="F1529" s="58"/>
      <c r="G1529" s="59"/>
      <c r="H1529" s="56"/>
      <c r="I1529" s="56"/>
      <c r="J1529" s="60" t="str">
        <f aca="false">IF(IsPro,IF($D1529="","",IFERROR(INDEX(Items!$D$5:$D$504,U1529),"")),"")</f>
        <v/>
      </c>
      <c r="K1529" s="61" t="str">
        <f aca="false">IF(IsPro,IF($D1529="","",IF($F1529="",IFERROR(INDEX(Items!$H$5:$H$504,U1529),0),$F1529)),"")</f>
        <v/>
      </c>
      <c r="L1529" s="61" t="str">
        <f aca="false">IF(IsPro,IF($D1529="","",ROUND(N($E1529)*K1529*(1-N($G1529)),2)),"")</f>
        <v/>
      </c>
      <c r="M1529" s="62" t="str">
        <f aca="false">IF(IsPro,IF($D1529="","",IFERROR(INDEX(Items!$F$5:$F$504,U1529),0)),"")</f>
        <v/>
      </c>
      <c r="N1529" s="61" t="str">
        <f aca="false">IF(IsPro,IF($D1529="","",IF(AND(V1529&lt;&gt;"",INDEX(Parties!$E$5:$E$304,V1529)&lt;&gt;"",INDEX(Parties!$E$5:$E$304,V1529)&lt;&gt;HomeState),0,ROUND(L1529*M1529/2,2))),"")</f>
        <v/>
      </c>
      <c r="O1529" s="61" t="str">
        <f aca="false">IF(IsPro,IF($D1529="","",N1529),"")</f>
        <v/>
      </c>
      <c r="P1529" s="61" t="str">
        <f aca="false">IF(IsPro,IF($D1529="","",IF(AND(V1529&lt;&gt;"",INDEX(Parties!$E$5:$E$304,V1529)&lt;&gt;"",INDEX(Parties!$E$5:$E$304,V1529)&lt;&gt;HomeState),ROUND(L1529*M1529,2),0)),"")</f>
        <v/>
      </c>
      <c r="Q1529" s="61" t="str">
        <f aca="false">IF(IsPro,IF($D1529="","",L1529+N1529+O1529+P1529),"")</f>
        <v/>
      </c>
      <c r="R1529" s="61" t="str">
        <f aca="false">IF(IsPro,IF($D1529="","",ROUND(N($E1529)*IFERROR(INDEX(Items!$P$5:$P$504,U1529),0),2)),"")</f>
        <v/>
      </c>
      <c r="S1529" s="61" t="str">
        <f aca="false">IF(IsPro,IF($D1529="","",L1529-R1529),"")</f>
        <v/>
      </c>
      <c r="T1529" s="60" t="str">
        <f aca="false">IF(IsPro,IF($D1529="","",IF(U1529="","UNKNOWN ITEM",IF(INDEX(Items!$O$5:$O$504,U1529)&lt;0,"NEG STOCK",IF(K1529&lt;INDEX(Items!$P$5:$P$504,U1529),"BELOW COST","OK")))),IF($D1529="","","PRO PLAN"))</f>
        <v/>
      </c>
      <c r="U1529" s="60" t="str">
        <f aca="false">IF(IsPro,IF($D1529="","",IFERROR(MATCH($D1529,Items!$A$5:$A$504,0),"")),"")</f>
        <v/>
      </c>
      <c r="V1529" s="60" t="str">
        <f aca="false">IF(IsPro,IF($C1529="","",IFERROR(MATCH($C1529,Parties!$A$5:$A$304,0),"")),"")</f>
        <v/>
      </c>
      <c r="W1529" s="60" t="str">
        <f aca="false">IF(IsPro,IF($B1529="","",IFERROR(VALUE(SUBSTITUTE($B1529,InvPrefix,"")),0)),"")</f>
        <v/>
      </c>
      <c r="X1529" s="61" t="str">
        <f aca="false">IF(IsPro,IF($D1529="","",IF(OR($H1529="",$H1529="Credit"),0,Q1529)),"")</f>
        <v/>
      </c>
    </row>
    <row r="1530" customFormat="false" ht="15" hidden="false" customHeight="false" outlineLevel="0" collapsed="false">
      <c r="A1530" s="55"/>
      <c r="B1530" s="56"/>
      <c r="C1530" s="56"/>
      <c r="D1530" s="56"/>
      <c r="E1530" s="57"/>
      <c r="F1530" s="58"/>
      <c r="G1530" s="59"/>
      <c r="H1530" s="56"/>
      <c r="I1530" s="56"/>
      <c r="J1530" s="60" t="str">
        <f aca="false">IF(IsPro,IF($D1530="","",IFERROR(INDEX(Items!$D$5:$D$504,U1530),"")),"")</f>
        <v/>
      </c>
      <c r="K1530" s="61" t="str">
        <f aca="false">IF(IsPro,IF($D1530="","",IF($F1530="",IFERROR(INDEX(Items!$H$5:$H$504,U1530),0),$F1530)),"")</f>
        <v/>
      </c>
      <c r="L1530" s="61" t="str">
        <f aca="false">IF(IsPro,IF($D1530="","",ROUND(N($E1530)*K1530*(1-N($G1530)),2)),"")</f>
        <v/>
      </c>
      <c r="M1530" s="62" t="str">
        <f aca="false">IF(IsPro,IF($D1530="","",IFERROR(INDEX(Items!$F$5:$F$504,U1530),0)),"")</f>
        <v/>
      </c>
      <c r="N1530" s="61" t="str">
        <f aca="false">IF(IsPro,IF($D1530="","",IF(AND(V1530&lt;&gt;"",INDEX(Parties!$E$5:$E$304,V1530)&lt;&gt;"",INDEX(Parties!$E$5:$E$304,V1530)&lt;&gt;HomeState),0,ROUND(L1530*M1530/2,2))),"")</f>
        <v/>
      </c>
      <c r="O1530" s="61" t="str">
        <f aca="false">IF(IsPro,IF($D1530="","",N1530),"")</f>
        <v/>
      </c>
      <c r="P1530" s="61" t="str">
        <f aca="false">IF(IsPro,IF($D1530="","",IF(AND(V1530&lt;&gt;"",INDEX(Parties!$E$5:$E$304,V1530)&lt;&gt;"",INDEX(Parties!$E$5:$E$304,V1530)&lt;&gt;HomeState),ROUND(L1530*M1530,2),0)),"")</f>
        <v/>
      </c>
      <c r="Q1530" s="61" t="str">
        <f aca="false">IF(IsPro,IF($D1530="","",L1530+N1530+O1530+P1530),"")</f>
        <v/>
      </c>
      <c r="R1530" s="61" t="str">
        <f aca="false">IF(IsPro,IF($D1530="","",ROUND(N($E1530)*IFERROR(INDEX(Items!$P$5:$P$504,U1530),0),2)),"")</f>
        <v/>
      </c>
      <c r="S1530" s="61" t="str">
        <f aca="false">IF(IsPro,IF($D1530="","",L1530-R1530),"")</f>
        <v/>
      </c>
      <c r="T1530" s="60" t="str">
        <f aca="false">IF(IsPro,IF($D1530="","",IF(U1530="","UNKNOWN ITEM",IF(INDEX(Items!$O$5:$O$504,U1530)&lt;0,"NEG STOCK",IF(K1530&lt;INDEX(Items!$P$5:$P$504,U1530),"BELOW COST","OK")))),IF($D1530="","","PRO PLAN"))</f>
        <v/>
      </c>
      <c r="U1530" s="60" t="str">
        <f aca="false">IF(IsPro,IF($D1530="","",IFERROR(MATCH($D1530,Items!$A$5:$A$504,0),"")),"")</f>
        <v/>
      </c>
      <c r="V1530" s="60" t="str">
        <f aca="false">IF(IsPro,IF($C1530="","",IFERROR(MATCH($C1530,Parties!$A$5:$A$304,0),"")),"")</f>
        <v/>
      </c>
      <c r="W1530" s="60" t="str">
        <f aca="false">IF(IsPro,IF($B1530="","",IFERROR(VALUE(SUBSTITUTE($B1530,InvPrefix,"")),0)),"")</f>
        <v/>
      </c>
      <c r="X1530" s="61" t="str">
        <f aca="false">IF(IsPro,IF($D1530="","",IF(OR($H1530="",$H1530="Credit"),0,Q1530)),"")</f>
        <v/>
      </c>
    </row>
    <row r="1531" customFormat="false" ht="15" hidden="false" customHeight="false" outlineLevel="0" collapsed="false">
      <c r="A1531" s="55"/>
      <c r="B1531" s="56"/>
      <c r="C1531" s="56"/>
      <c r="D1531" s="56"/>
      <c r="E1531" s="57"/>
      <c r="F1531" s="58"/>
      <c r="G1531" s="59"/>
      <c r="H1531" s="56"/>
      <c r="I1531" s="56"/>
      <c r="J1531" s="60" t="str">
        <f aca="false">IF(IsPro,IF($D1531="","",IFERROR(INDEX(Items!$D$5:$D$504,U1531),"")),"")</f>
        <v/>
      </c>
      <c r="K1531" s="61" t="str">
        <f aca="false">IF(IsPro,IF($D1531="","",IF($F1531="",IFERROR(INDEX(Items!$H$5:$H$504,U1531),0),$F1531)),"")</f>
        <v/>
      </c>
      <c r="L1531" s="61" t="str">
        <f aca="false">IF(IsPro,IF($D1531="","",ROUND(N($E1531)*K1531*(1-N($G1531)),2)),"")</f>
        <v/>
      </c>
      <c r="M1531" s="62" t="str">
        <f aca="false">IF(IsPro,IF($D1531="","",IFERROR(INDEX(Items!$F$5:$F$504,U1531),0)),"")</f>
        <v/>
      </c>
      <c r="N1531" s="61" t="str">
        <f aca="false">IF(IsPro,IF($D1531="","",IF(AND(V1531&lt;&gt;"",INDEX(Parties!$E$5:$E$304,V1531)&lt;&gt;"",INDEX(Parties!$E$5:$E$304,V1531)&lt;&gt;HomeState),0,ROUND(L1531*M1531/2,2))),"")</f>
        <v/>
      </c>
      <c r="O1531" s="61" t="str">
        <f aca="false">IF(IsPro,IF($D1531="","",N1531),"")</f>
        <v/>
      </c>
      <c r="P1531" s="61" t="str">
        <f aca="false">IF(IsPro,IF($D1531="","",IF(AND(V1531&lt;&gt;"",INDEX(Parties!$E$5:$E$304,V1531)&lt;&gt;"",INDEX(Parties!$E$5:$E$304,V1531)&lt;&gt;HomeState),ROUND(L1531*M1531,2),0)),"")</f>
        <v/>
      </c>
      <c r="Q1531" s="61" t="str">
        <f aca="false">IF(IsPro,IF($D1531="","",L1531+N1531+O1531+P1531),"")</f>
        <v/>
      </c>
      <c r="R1531" s="61" t="str">
        <f aca="false">IF(IsPro,IF($D1531="","",ROUND(N($E1531)*IFERROR(INDEX(Items!$P$5:$P$504,U1531),0),2)),"")</f>
        <v/>
      </c>
      <c r="S1531" s="61" t="str">
        <f aca="false">IF(IsPro,IF($D1531="","",L1531-R1531),"")</f>
        <v/>
      </c>
      <c r="T1531" s="60" t="str">
        <f aca="false">IF(IsPro,IF($D1531="","",IF(U1531="","UNKNOWN ITEM",IF(INDEX(Items!$O$5:$O$504,U1531)&lt;0,"NEG STOCK",IF(K1531&lt;INDEX(Items!$P$5:$P$504,U1531),"BELOW COST","OK")))),IF($D1531="","","PRO PLAN"))</f>
        <v/>
      </c>
      <c r="U1531" s="60" t="str">
        <f aca="false">IF(IsPro,IF($D1531="","",IFERROR(MATCH($D1531,Items!$A$5:$A$504,0),"")),"")</f>
        <v/>
      </c>
      <c r="V1531" s="60" t="str">
        <f aca="false">IF(IsPro,IF($C1531="","",IFERROR(MATCH($C1531,Parties!$A$5:$A$304,0),"")),"")</f>
        <v/>
      </c>
      <c r="W1531" s="60" t="str">
        <f aca="false">IF(IsPro,IF($B1531="","",IFERROR(VALUE(SUBSTITUTE($B1531,InvPrefix,"")),0)),"")</f>
        <v/>
      </c>
      <c r="X1531" s="61" t="str">
        <f aca="false">IF(IsPro,IF($D1531="","",IF(OR($H1531="",$H1531="Credit"),0,Q1531)),"")</f>
        <v/>
      </c>
    </row>
    <row r="1532" customFormat="false" ht="15" hidden="false" customHeight="false" outlineLevel="0" collapsed="false">
      <c r="A1532" s="55"/>
      <c r="B1532" s="56"/>
      <c r="C1532" s="56"/>
      <c r="D1532" s="56"/>
      <c r="E1532" s="57"/>
      <c r="F1532" s="58"/>
      <c r="G1532" s="59"/>
      <c r="H1532" s="56"/>
      <c r="I1532" s="56"/>
      <c r="J1532" s="60" t="str">
        <f aca="false">IF(IsPro,IF($D1532="","",IFERROR(INDEX(Items!$D$5:$D$504,U1532),"")),"")</f>
        <v/>
      </c>
      <c r="K1532" s="61" t="str">
        <f aca="false">IF(IsPro,IF($D1532="","",IF($F1532="",IFERROR(INDEX(Items!$H$5:$H$504,U1532),0),$F1532)),"")</f>
        <v/>
      </c>
      <c r="L1532" s="61" t="str">
        <f aca="false">IF(IsPro,IF($D1532="","",ROUND(N($E1532)*K1532*(1-N($G1532)),2)),"")</f>
        <v/>
      </c>
      <c r="M1532" s="62" t="str">
        <f aca="false">IF(IsPro,IF($D1532="","",IFERROR(INDEX(Items!$F$5:$F$504,U1532),0)),"")</f>
        <v/>
      </c>
      <c r="N1532" s="61" t="str">
        <f aca="false">IF(IsPro,IF($D1532="","",IF(AND(V1532&lt;&gt;"",INDEX(Parties!$E$5:$E$304,V1532)&lt;&gt;"",INDEX(Parties!$E$5:$E$304,V1532)&lt;&gt;HomeState),0,ROUND(L1532*M1532/2,2))),"")</f>
        <v/>
      </c>
      <c r="O1532" s="61" t="str">
        <f aca="false">IF(IsPro,IF($D1532="","",N1532),"")</f>
        <v/>
      </c>
      <c r="P1532" s="61" t="str">
        <f aca="false">IF(IsPro,IF($D1532="","",IF(AND(V1532&lt;&gt;"",INDEX(Parties!$E$5:$E$304,V1532)&lt;&gt;"",INDEX(Parties!$E$5:$E$304,V1532)&lt;&gt;HomeState),ROUND(L1532*M1532,2),0)),"")</f>
        <v/>
      </c>
      <c r="Q1532" s="61" t="str">
        <f aca="false">IF(IsPro,IF($D1532="","",L1532+N1532+O1532+P1532),"")</f>
        <v/>
      </c>
      <c r="R1532" s="61" t="str">
        <f aca="false">IF(IsPro,IF($D1532="","",ROUND(N($E1532)*IFERROR(INDEX(Items!$P$5:$P$504,U1532),0),2)),"")</f>
        <v/>
      </c>
      <c r="S1532" s="61" t="str">
        <f aca="false">IF(IsPro,IF($D1532="","",L1532-R1532),"")</f>
        <v/>
      </c>
      <c r="T1532" s="60" t="str">
        <f aca="false">IF(IsPro,IF($D1532="","",IF(U1532="","UNKNOWN ITEM",IF(INDEX(Items!$O$5:$O$504,U1532)&lt;0,"NEG STOCK",IF(K1532&lt;INDEX(Items!$P$5:$P$504,U1532),"BELOW COST","OK")))),IF($D1532="","","PRO PLAN"))</f>
        <v/>
      </c>
      <c r="U1532" s="60" t="str">
        <f aca="false">IF(IsPro,IF($D1532="","",IFERROR(MATCH($D1532,Items!$A$5:$A$504,0),"")),"")</f>
        <v/>
      </c>
      <c r="V1532" s="60" t="str">
        <f aca="false">IF(IsPro,IF($C1532="","",IFERROR(MATCH($C1532,Parties!$A$5:$A$304,0),"")),"")</f>
        <v/>
      </c>
      <c r="W1532" s="60" t="str">
        <f aca="false">IF(IsPro,IF($B1532="","",IFERROR(VALUE(SUBSTITUTE($B1532,InvPrefix,"")),0)),"")</f>
        <v/>
      </c>
      <c r="X1532" s="61" t="str">
        <f aca="false">IF(IsPro,IF($D1532="","",IF(OR($H1532="",$H1532="Credit"),0,Q1532)),"")</f>
        <v/>
      </c>
    </row>
    <row r="1533" customFormat="false" ht="15" hidden="false" customHeight="false" outlineLevel="0" collapsed="false">
      <c r="A1533" s="55"/>
      <c r="B1533" s="56"/>
      <c r="C1533" s="56"/>
      <c r="D1533" s="56"/>
      <c r="E1533" s="57"/>
      <c r="F1533" s="58"/>
      <c r="G1533" s="59"/>
      <c r="H1533" s="56"/>
      <c r="I1533" s="56"/>
      <c r="J1533" s="60" t="str">
        <f aca="false">IF(IsPro,IF($D1533="","",IFERROR(INDEX(Items!$D$5:$D$504,U1533),"")),"")</f>
        <v/>
      </c>
      <c r="K1533" s="61" t="str">
        <f aca="false">IF(IsPro,IF($D1533="","",IF($F1533="",IFERROR(INDEX(Items!$H$5:$H$504,U1533),0),$F1533)),"")</f>
        <v/>
      </c>
      <c r="L1533" s="61" t="str">
        <f aca="false">IF(IsPro,IF($D1533="","",ROUND(N($E1533)*K1533*(1-N($G1533)),2)),"")</f>
        <v/>
      </c>
      <c r="M1533" s="62" t="str">
        <f aca="false">IF(IsPro,IF($D1533="","",IFERROR(INDEX(Items!$F$5:$F$504,U1533),0)),"")</f>
        <v/>
      </c>
      <c r="N1533" s="61" t="str">
        <f aca="false">IF(IsPro,IF($D1533="","",IF(AND(V1533&lt;&gt;"",INDEX(Parties!$E$5:$E$304,V1533)&lt;&gt;"",INDEX(Parties!$E$5:$E$304,V1533)&lt;&gt;HomeState),0,ROUND(L1533*M1533/2,2))),"")</f>
        <v/>
      </c>
      <c r="O1533" s="61" t="str">
        <f aca="false">IF(IsPro,IF($D1533="","",N1533),"")</f>
        <v/>
      </c>
      <c r="P1533" s="61" t="str">
        <f aca="false">IF(IsPro,IF($D1533="","",IF(AND(V1533&lt;&gt;"",INDEX(Parties!$E$5:$E$304,V1533)&lt;&gt;"",INDEX(Parties!$E$5:$E$304,V1533)&lt;&gt;HomeState),ROUND(L1533*M1533,2),0)),"")</f>
        <v/>
      </c>
      <c r="Q1533" s="61" t="str">
        <f aca="false">IF(IsPro,IF($D1533="","",L1533+N1533+O1533+P1533),"")</f>
        <v/>
      </c>
      <c r="R1533" s="61" t="str">
        <f aca="false">IF(IsPro,IF($D1533="","",ROUND(N($E1533)*IFERROR(INDEX(Items!$P$5:$P$504,U1533),0),2)),"")</f>
        <v/>
      </c>
      <c r="S1533" s="61" t="str">
        <f aca="false">IF(IsPro,IF($D1533="","",L1533-R1533),"")</f>
        <v/>
      </c>
      <c r="T1533" s="60" t="str">
        <f aca="false">IF(IsPro,IF($D1533="","",IF(U1533="","UNKNOWN ITEM",IF(INDEX(Items!$O$5:$O$504,U1533)&lt;0,"NEG STOCK",IF(K1533&lt;INDEX(Items!$P$5:$P$504,U1533),"BELOW COST","OK")))),IF($D1533="","","PRO PLAN"))</f>
        <v/>
      </c>
      <c r="U1533" s="60" t="str">
        <f aca="false">IF(IsPro,IF($D1533="","",IFERROR(MATCH($D1533,Items!$A$5:$A$504,0),"")),"")</f>
        <v/>
      </c>
      <c r="V1533" s="60" t="str">
        <f aca="false">IF(IsPro,IF($C1533="","",IFERROR(MATCH($C1533,Parties!$A$5:$A$304,0),"")),"")</f>
        <v/>
      </c>
      <c r="W1533" s="60" t="str">
        <f aca="false">IF(IsPro,IF($B1533="","",IFERROR(VALUE(SUBSTITUTE($B1533,InvPrefix,"")),0)),"")</f>
        <v/>
      </c>
      <c r="X1533" s="61" t="str">
        <f aca="false">IF(IsPro,IF($D1533="","",IF(OR($H1533="",$H1533="Credit"),0,Q1533)),"")</f>
        <v/>
      </c>
    </row>
    <row r="1534" customFormat="false" ht="15" hidden="false" customHeight="false" outlineLevel="0" collapsed="false">
      <c r="A1534" s="55"/>
      <c r="B1534" s="56"/>
      <c r="C1534" s="56"/>
      <c r="D1534" s="56"/>
      <c r="E1534" s="57"/>
      <c r="F1534" s="58"/>
      <c r="G1534" s="59"/>
      <c r="H1534" s="56"/>
      <c r="I1534" s="56"/>
      <c r="J1534" s="60" t="str">
        <f aca="false">IF(IsPro,IF($D1534="","",IFERROR(INDEX(Items!$D$5:$D$504,U1534),"")),"")</f>
        <v/>
      </c>
      <c r="K1534" s="61" t="str">
        <f aca="false">IF(IsPro,IF($D1534="","",IF($F1534="",IFERROR(INDEX(Items!$H$5:$H$504,U1534),0),$F1534)),"")</f>
        <v/>
      </c>
      <c r="L1534" s="61" t="str">
        <f aca="false">IF(IsPro,IF($D1534="","",ROUND(N($E1534)*K1534*(1-N($G1534)),2)),"")</f>
        <v/>
      </c>
      <c r="M1534" s="62" t="str">
        <f aca="false">IF(IsPro,IF($D1534="","",IFERROR(INDEX(Items!$F$5:$F$504,U1534),0)),"")</f>
        <v/>
      </c>
      <c r="N1534" s="61" t="str">
        <f aca="false">IF(IsPro,IF($D1534="","",IF(AND(V1534&lt;&gt;"",INDEX(Parties!$E$5:$E$304,V1534)&lt;&gt;"",INDEX(Parties!$E$5:$E$304,V1534)&lt;&gt;HomeState),0,ROUND(L1534*M1534/2,2))),"")</f>
        <v/>
      </c>
      <c r="O1534" s="61" t="str">
        <f aca="false">IF(IsPro,IF($D1534="","",N1534),"")</f>
        <v/>
      </c>
      <c r="P1534" s="61" t="str">
        <f aca="false">IF(IsPro,IF($D1534="","",IF(AND(V1534&lt;&gt;"",INDEX(Parties!$E$5:$E$304,V1534)&lt;&gt;"",INDEX(Parties!$E$5:$E$304,V1534)&lt;&gt;HomeState),ROUND(L1534*M1534,2),0)),"")</f>
        <v/>
      </c>
      <c r="Q1534" s="61" t="str">
        <f aca="false">IF(IsPro,IF($D1534="","",L1534+N1534+O1534+P1534),"")</f>
        <v/>
      </c>
      <c r="R1534" s="61" t="str">
        <f aca="false">IF(IsPro,IF($D1534="","",ROUND(N($E1534)*IFERROR(INDEX(Items!$P$5:$P$504,U1534),0),2)),"")</f>
        <v/>
      </c>
      <c r="S1534" s="61" t="str">
        <f aca="false">IF(IsPro,IF($D1534="","",L1534-R1534),"")</f>
        <v/>
      </c>
      <c r="T1534" s="60" t="str">
        <f aca="false">IF(IsPro,IF($D1534="","",IF(U1534="","UNKNOWN ITEM",IF(INDEX(Items!$O$5:$O$504,U1534)&lt;0,"NEG STOCK",IF(K1534&lt;INDEX(Items!$P$5:$P$504,U1534),"BELOW COST","OK")))),IF($D1534="","","PRO PLAN"))</f>
        <v/>
      </c>
      <c r="U1534" s="60" t="str">
        <f aca="false">IF(IsPro,IF($D1534="","",IFERROR(MATCH($D1534,Items!$A$5:$A$504,0),"")),"")</f>
        <v/>
      </c>
      <c r="V1534" s="60" t="str">
        <f aca="false">IF(IsPro,IF($C1534="","",IFERROR(MATCH($C1534,Parties!$A$5:$A$304,0),"")),"")</f>
        <v/>
      </c>
      <c r="W1534" s="60" t="str">
        <f aca="false">IF(IsPro,IF($B1534="","",IFERROR(VALUE(SUBSTITUTE($B1534,InvPrefix,"")),0)),"")</f>
        <v/>
      </c>
      <c r="X1534" s="61" t="str">
        <f aca="false">IF(IsPro,IF($D1534="","",IF(OR($H1534="",$H1534="Credit"),0,Q1534)),"")</f>
        <v/>
      </c>
    </row>
    <row r="1535" customFormat="false" ht="15" hidden="false" customHeight="false" outlineLevel="0" collapsed="false">
      <c r="A1535" s="55"/>
      <c r="B1535" s="56"/>
      <c r="C1535" s="56"/>
      <c r="D1535" s="56"/>
      <c r="E1535" s="57"/>
      <c r="F1535" s="58"/>
      <c r="G1535" s="59"/>
      <c r="H1535" s="56"/>
      <c r="I1535" s="56"/>
      <c r="J1535" s="60" t="str">
        <f aca="false">IF(IsPro,IF($D1535="","",IFERROR(INDEX(Items!$D$5:$D$504,U1535),"")),"")</f>
        <v/>
      </c>
      <c r="K1535" s="61" t="str">
        <f aca="false">IF(IsPro,IF($D1535="","",IF($F1535="",IFERROR(INDEX(Items!$H$5:$H$504,U1535),0),$F1535)),"")</f>
        <v/>
      </c>
      <c r="L1535" s="61" t="str">
        <f aca="false">IF(IsPro,IF($D1535="","",ROUND(N($E1535)*K1535*(1-N($G1535)),2)),"")</f>
        <v/>
      </c>
      <c r="M1535" s="62" t="str">
        <f aca="false">IF(IsPro,IF($D1535="","",IFERROR(INDEX(Items!$F$5:$F$504,U1535),0)),"")</f>
        <v/>
      </c>
      <c r="N1535" s="61" t="str">
        <f aca="false">IF(IsPro,IF($D1535="","",IF(AND(V1535&lt;&gt;"",INDEX(Parties!$E$5:$E$304,V1535)&lt;&gt;"",INDEX(Parties!$E$5:$E$304,V1535)&lt;&gt;HomeState),0,ROUND(L1535*M1535/2,2))),"")</f>
        <v/>
      </c>
      <c r="O1535" s="61" t="str">
        <f aca="false">IF(IsPro,IF($D1535="","",N1535),"")</f>
        <v/>
      </c>
      <c r="P1535" s="61" t="str">
        <f aca="false">IF(IsPro,IF($D1535="","",IF(AND(V1535&lt;&gt;"",INDEX(Parties!$E$5:$E$304,V1535)&lt;&gt;"",INDEX(Parties!$E$5:$E$304,V1535)&lt;&gt;HomeState),ROUND(L1535*M1535,2),0)),"")</f>
        <v/>
      </c>
      <c r="Q1535" s="61" t="str">
        <f aca="false">IF(IsPro,IF($D1535="","",L1535+N1535+O1535+P1535),"")</f>
        <v/>
      </c>
      <c r="R1535" s="61" t="str">
        <f aca="false">IF(IsPro,IF($D1535="","",ROUND(N($E1535)*IFERROR(INDEX(Items!$P$5:$P$504,U1535),0),2)),"")</f>
        <v/>
      </c>
      <c r="S1535" s="61" t="str">
        <f aca="false">IF(IsPro,IF($D1535="","",L1535-R1535),"")</f>
        <v/>
      </c>
      <c r="T1535" s="60" t="str">
        <f aca="false">IF(IsPro,IF($D1535="","",IF(U1535="","UNKNOWN ITEM",IF(INDEX(Items!$O$5:$O$504,U1535)&lt;0,"NEG STOCK",IF(K1535&lt;INDEX(Items!$P$5:$P$504,U1535),"BELOW COST","OK")))),IF($D1535="","","PRO PLAN"))</f>
        <v/>
      </c>
      <c r="U1535" s="60" t="str">
        <f aca="false">IF(IsPro,IF($D1535="","",IFERROR(MATCH($D1535,Items!$A$5:$A$504,0),"")),"")</f>
        <v/>
      </c>
      <c r="V1535" s="60" t="str">
        <f aca="false">IF(IsPro,IF($C1535="","",IFERROR(MATCH($C1535,Parties!$A$5:$A$304,0),"")),"")</f>
        <v/>
      </c>
      <c r="W1535" s="60" t="str">
        <f aca="false">IF(IsPro,IF($B1535="","",IFERROR(VALUE(SUBSTITUTE($B1535,InvPrefix,"")),0)),"")</f>
        <v/>
      </c>
      <c r="X1535" s="61" t="str">
        <f aca="false">IF(IsPro,IF($D1535="","",IF(OR($H1535="",$H1535="Credit"),0,Q1535)),"")</f>
        <v/>
      </c>
    </row>
    <row r="1536" customFormat="false" ht="15" hidden="false" customHeight="false" outlineLevel="0" collapsed="false">
      <c r="A1536" s="55"/>
      <c r="B1536" s="56"/>
      <c r="C1536" s="56"/>
      <c r="D1536" s="56"/>
      <c r="E1536" s="57"/>
      <c r="F1536" s="58"/>
      <c r="G1536" s="59"/>
      <c r="H1536" s="56"/>
      <c r="I1536" s="56"/>
      <c r="J1536" s="60" t="str">
        <f aca="false">IF(IsPro,IF($D1536="","",IFERROR(INDEX(Items!$D$5:$D$504,U1536),"")),"")</f>
        <v/>
      </c>
      <c r="K1536" s="61" t="str">
        <f aca="false">IF(IsPro,IF($D1536="","",IF($F1536="",IFERROR(INDEX(Items!$H$5:$H$504,U1536),0),$F1536)),"")</f>
        <v/>
      </c>
      <c r="L1536" s="61" t="str">
        <f aca="false">IF(IsPro,IF($D1536="","",ROUND(N($E1536)*K1536*(1-N($G1536)),2)),"")</f>
        <v/>
      </c>
      <c r="M1536" s="62" t="str">
        <f aca="false">IF(IsPro,IF($D1536="","",IFERROR(INDEX(Items!$F$5:$F$504,U1536),0)),"")</f>
        <v/>
      </c>
      <c r="N1536" s="61" t="str">
        <f aca="false">IF(IsPro,IF($D1536="","",IF(AND(V1536&lt;&gt;"",INDEX(Parties!$E$5:$E$304,V1536)&lt;&gt;"",INDEX(Parties!$E$5:$E$304,V1536)&lt;&gt;HomeState),0,ROUND(L1536*M1536/2,2))),"")</f>
        <v/>
      </c>
      <c r="O1536" s="61" t="str">
        <f aca="false">IF(IsPro,IF($D1536="","",N1536),"")</f>
        <v/>
      </c>
      <c r="P1536" s="61" t="str">
        <f aca="false">IF(IsPro,IF($D1536="","",IF(AND(V1536&lt;&gt;"",INDEX(Parties!$E$5:$E$304,V1536)&lt;&gt;"",INDEX(Parties!$E$5:$E$304,V1536)&lt;&gt;HomeState),ROUND(L1536*M1536,2),0)),"")</f>
        <v/>
      </c>
      <c r="Q1536" s="61" t="str">
        <f aca="false">IF(IsPro,IF($D1536="","",L1536+N1536+O1536+P1536),"")</f>
        <v/>
      </c>
      <c r="R1536" s="61" t="str">
        <f aca="false">IF(IsPro,IF($D1536="","",ROUND(N($E1536)*IFERROR(INDEX(Items!$P$5:$P$504,U1536),0),2)),"")</f>
        <v/>
      </c>
      <c r="S1536" s="61" t="str">
        <f aca="false">IF(IsPro,IF($D1536="","",L1536-R1536),"")</f>
        <v/>
      </c>
      <c r="T1536" s="60" t="str">
        <f aca="false">IF(IsPro,IF($D1536="","",IF(U1536="","UNKNOWN ITEM",IF(INDEX(Items!$O$5:$O$504,U1536)&lt;0,"NEG STOCK",IF(K1536&lt;INDEX(Items!$P$5:$P$504,U1536),"BELOW COST","OK")))),IF($D1536="","","PRO PLAN"))</f>
        <v/>
      </c>
      <c r="U1536" s="60" t="str">
        <f aca="false">IF(IsPro,IF($D1536="","",IFERROR(MATCH($D1536,Items!$A$5:$A$504,0),"")),"")</f>
        <v/>
      </c>
      <c r="V1536" s="60" t="str">
        <f aca="false">IF(IsPro,IF($C1536="","",IFERROR(MATCH($C1536,Parties!$A$5:$A$304,0),"")),"")</f>
        <v/>
      </c>
      <c r="W1536" s="60" t="str">
        <f aca="false">IF(IsPro,IF($B1536="","",IFERROR(VALUE(SUBSTITUTE($B1536,InvPrefix,"")),0)),"")</f>
        <v/>
      </c>
      <c r="X1536" s="61" t="str">
        <f aca="false">IF(IsPro,IF($D1536="","",IF(OR($H1536="",$H1536="Credit"),0,Q1536)),"")</f>
        <v/>
      </c>
    </row>
    <row r="1537" customFormat="false" ht="15" hidden="false" customHeight="false" outlineLevel="0" collapsed="false">
      <c r="A1537" s="55"/>
      <c r="B1537" s="56"/>
      <c r="C1537" s="56"/>
      <c r="D1537" s="56"/>
      <c r="E1537" s="57"/>
      <c r="F1537" s="58"/>
      <c r="G1537" s="59"/>
      <c r="H1537" s="56"/>
      <c r="I1537" s="56"/>
      <c r="J1537" s="60" t="str">
        <f aca="false">IF(IsPro,IF($D1537="","",IFERROR(INDEX(Items!$D$5:$D$504,U1537),"")),"")</f>
        <v/>
      </c>
      <c r="K1537" s="61" t="str">
        <f aca="false">IF(IsPro,IF($D1537="","",IF($F1537="",IFERROR(INDEX(Items!$H$5:$H$504,U1537),0),$F1537)),"")</f>
        <v/>
      </c>
      <c r="L1537" s="61" t="str">
        <f aca="false">IF(IsPro,IF($D1537="","",ROUND(N($E1537)*K1537*(1-N($G1537)),2)),"")</f>
        <v/>
      </c>
      <c r="M1537" s="62" t="str">
        <f aca="false">IF(IsPro,IF($D1537="","",IFERROR(INDEX(Items!$F$5:$F$504,U1537),0)),"")</f>
        <v/>
      </c>
      <c r="N1537" s="61" t="str">
        <f aca="false">IF(IsPro,IF($D1537="","",IF(AND(V1537&lt;&gt;"",INDEX(Parties!$E$5:$E$304,V1537)&lt;&gt;"",INDEX(Parties!$E$5:$E$304,V1537)&lt;&gt;HomeState),0,ROUND(L1537*M1537/2,2))),"")</f>
        <v/>
      </c>
      <c r="O1537" s="61" t="str">
        <f aca="false">IF(IsPro,IF($D1537="","",N1537),"")</f>
        <v/>
      </c>
      <c r="P1537" s="61" t="str">
        <f aca="false">IF(IsPro,IF($D1537="","",IF(AND(V1537&lt;&gt;"",INDEX(Parties!$E$5:$E$304,V1537)&lt;&gt;"",INDEX(Parties!$E$5:$E$304,V1537)&lt;&gt;HomeState),ROUND(L1537*M1537,2),0)),"")</f>
        <v/>
      </c>
      <c r="Q1537" s="61" t="str">
        <f aca="false">IF(IsPro,IF($D1537="","",L1537+N1537+O1537+P1537),"")</f>
        <v/>
      </c>
      <c r="R1537" s="61" t="str">
        <f aca="false">IF(IsPro,IF($D1537="","",ROUND(N($E1537)*IFERROR(INDEX(Items!$P$5:$P$504,U1537),0),2)),"")</f>
        <v/>
      </c>
      <c r="S1537" s="61" t="str">
        <f aca="false">IF(IsPro,IF($D1537="","",L1537-R1537),"")</f>
        <v/>
      </c>
      <c r="T1537" s="60" t="str">
        <f aca="false">IF(IsPro,IF($D1537="","",IF(U1537="","UNKNOWN ITEM",IF(INDEX(Items!$O$5:$O$504,U1537)&lt;0,"NEG STOCK",IF(K1537&lt;INDEX(Items!$P$5:$P$504,U1537),"BELOW COST","OK")))),IF($D1537="","","PRO PLAN"))</f>
        <v/>
      </c>
      <c r="U1537" s="60" t="str">
        <f aca="false">IF(IsPro,IF($D1537="","",IFERROR(MATCH($D1537,Items!$A$5:$A$504,0),"")),"")</f>
        <v/>
      </c>
      <c r="V1537" s="60" t="str">
        <f aca="false">IF(IsPro,IF($C1537="","",IFERROR(MATCH($C1537,Parties!$A$5:$A$304,0),"")),"")</f>
        <v/>
      </c>
      <c r="W1537" s="60" t="str">
        <f aca="false">IF(IsPro,IF($B1537="","",IFERROR(VALUE(SUBSTITUTE($B1537,InvPrefix,"")),0)),"")</f>
        <v/>
      </c>
      <c r="X1537" s="61" t="str">
        <f aca="false">IF(IsPro,IF($D1537="","",IF(OR($H1537="",$H1537="Credit"),0,Q1537)),"")</f>
        <v/>
      </c>
    </row>
    <row r="1538" customFormat="false" ht="15" hidden="false" customHeight="false" outlineLevel="0" collapsed="false">
      <c r="A1538" s="55"/>
      <c r="B1538" s="56"/>
      <c r="C1538" s="56"/>
      <c r="D1538" s="56"/>
      <c r="E1538" s="57"/>
      <c r="F1538" s="58"/>
      <c r="G1538" s="59"/>
      <c r="H1538" s="56"/>
      <c r="I1538" s="56"/>
      <c r="J1538" s="60" t="str">
        <f aca="false">IF(IsPro,IF($D1538="","",IFERROR(INDEX(Items!$D$5:$D$504,U1538),"")),"")</f>
        <v/>
      </c>
      <c r="K1538" s="61" t="str">
        <f aca="false">IF(IsPro,IF($D1538="","",IF($F1538="",IFERROR(INDEX(Items!$H$5:$H$504,U1538),0),$F1538)),"")</f>
        <v/>
      </c>
      <c r="L1538" s="61" t="str">
        <f aca="false">IF(IsPro,IF($D1538="","",ROUND(N($E1538)*K1538*(1-N($G1538)),2)),"")</f>
        <v/>
      </c>
      <c r="M1538" s="62" t="str">
        <f aca="false">IF(IsPro,IF($D1538="","",IFERROR(INDEX(Items!$F$5:$F$504,U1538),0)),"")</f>
        <v/>
      </c>
      <c r="N1538" s="61" t="str">
        <f aca="false">IF(IsPro,IF($D1538="","",IF(AND(V1538&lt;&gt;"",INDEX(Parties!$E$5:$E$304,V1538)&lt;&gt;"",INDEX(Parties!$E$5:$E$304,V1538)&lt;&gt;HomeState),0,ROUND(L1538*M1538/2,2))),"")</f>
        <v/>
      </c>
      <c r="O1538" s="61" t="str">
        <f aca="false">IF(IsPro,IF($D1538="","",N1538),"")</f>
        <v/>
      </c>
      <c r="P1538" s="61" t="str">
        <f aca="false">IF(IsPro,IF($D1538="","",IF(AND(V1538&lt;&gt;"",INDEX(Parties!$E$5:$E$304,V1538)&lt;&gt;"",INDEX(Parties!$E$5:$E$304,V1538)&lt;&gt;HomeState),ROUND(L1538*M1538,2),0)),"")</f>
        <v/>
      </c>
      <c r="Q1538" s="61" t="str">
        <f aca="false">IF(IsPro,IF($D1538="","",L1538+N1538+O1538+P1538),"")</f>
        <v/>
      </c>
      <c r="R1538" s="61" t="str">
        <f aca="false">IF(IsPro,IF($D1538="","",ROUND(N($E1538)*IFERROR(INDEX(Items!$P$5:$P$504,U1538),0),2)),"")</f>
        <v/>
      </c>
      <c r="S1538" s="61" t="str">
        <f aca="false">IF(IsPro,IF($D1538="","",L1538-R1538),"")</f>
        <v/>
      </c>
      <c r="T1538" s="60" t="str">
        <f aca="false">IF(IsPro,IF($D1538="","",IF(U1538="","UNKNOWN ITEM",IF(INDEX(Items!$O$5:$O$504,U1538)&lt;0,"NEG STOCK",IF(K1538&lt;INDEX(Items!$P$5:$P$504,U1538),"BELOW COST","OK")))),IF($D1538="","","PRO PLAN"))</f>
        <v/>
      </c>
      <c r="U1538" s="60" t="str">
        <f aca="false">IF(IsPro,IF($D1538="","",IFERROR(MATCH($D1538,Items!$A$5:$A$504,0),"")),"")</f>
        <v/>
      </c>
      <c r="V1538" s="60" t="str">
        <f aca="false">IF(IsPro,IF($C1538="","",IFERROR(MATCH($C1538,Parties!$A$5:$A$304,0),"")),"")</f>
        <v/>
      </c>
      <c r="W1538" s="60" t="str">
        <f aca="false">IF(IsPro,IF($B1538="","",IFERROR(VALUE(SUBSTITUTE($B1538,InvPrefix,"")),0)),"")</f>
        <v/>
      </c>
      <c r="X1538" s="61" t="str">
        <f aca="false">IF(IsPro,IF($D1538="","",IF(OR($H1538="",$H1538="Credit"),0,Q1538)),"")</f>
        <v/>
      </c>
    </row>
    <row r="1539" customFormat="false" ht="15" hidden="false" customHeight="false" outlineLevel="0" collapsed="false">
      <c r="A1539" s="55"/>
      <c r="B1539" s="56"/>
      <c r="C1539" s="56"/>
      <c r="D1539" s="56"/>
      <c r="E1539" s="57"/>
      <c r="F1539" s="58"/>
      <c r="G1539" s="59"/>
      <c r="H1539" s="56"/>
      <c r="I1539" s="56"/>
      <c r="J1539" s="60" t="str">
        <f aca="false">IF(IsPro,IF($D1539="","",IFERROR(INDEX(Items!$D$5:$D$504,U1539),"")),"")</f>
        <v/>
      </c>
      <c r="K1539" s="61" t="str">
        <f aca="false">IF(IsPro,IF($D1539="","",IF($F1539="",IFERROR(INDEX(Items!$H$5:$H$504,U1539),0),$F1539)),"")</f>
        <v/>
      </c>
      <c r="L1539" s="61" t="str">
        <f aca="false">IF(IsPro,IF($D1539="","",ROUND(N($E1539)*K1539*(1-N($G1539)),2)),"")</f>
        <v/>
      </c>
      <c r="M1539" s="62" t="str">
        <f aca="false">IF(IsPro,IF($D1539="","",IFERROR(INDEX(Items!$F$5:$F$504,U1539),0)),"")</f>
        <v/>
      </c>
      <c r="N1539" s="61" t="str">
        <f aca="false">IF(IsPro,IF($D1539="","",IF(AND(V1539&lt;&gt;"",INDEX(Parties!$E$5:$E$304,V1539)&lt;&gt;"",INDEX(Parties!$E$5:$E$304,V1539)&lt;&gt;HomeState),0,ROUND(L1539*M1539/2,2))),"")</f>
        <v/>
      </c>
      <c r="O1539" s="61" t="str">
        <f aca="false">IF(IsPro,IF($D1539="","",N1539),"")</f>
        <v/>
      </c>
      <c r="P1539" s="61" t="str">
        <f aca="false">IF(IsPro,IF($D1539="","",IF(AND(V1539&lt;&gt;"",INDEX(Parties!$E$5:$E$304,V1539)&lt;&gt;"",INDEX(Parties!$E$5:$E$304,V1539)&lt;&gt;HomeState),ROUND(L1539*M1539,2),0)),"")</f>
        <v/>
      </c>
      <c r="Q1539" s="61" t="str">
        <f aca="false">IF(IsPro,IF($D1539="","",L1539+N1539+O1539+P1539),"")</f>
        <v/>
      </c>
      <c r="R1539" s="61" t="str">
        <f aca="false">IF(IsPro,IF($D1539="","",ROUND(N($E1539)*IFERROR(INDEX(Items!$P$5:$P$504,U1539),0),2)),"")</f>
        <v/>
      </c>
      <c r="S1539" s="61" t="str">
        <f aca="false">IF(IsPro,IF($D1539="","",L1539-R1539),"")</f>
        <v/>
      </c>
      <c r="T1539" s="60" t="str">
        <f aca="false">IF(IsPro,IF($D1539="","",IF(U1539="","UNKNOWN ITEM",IF(INDEX(Items!$O$5:$O$504,U1539)&lt;0,"NEG STOCK",IF(K1539&lt;INDEX(Items!$P$5:$P$504,U1539),"BELOW COST","OK")))),IF($D1539="","","PRO PLAN"))</f>
        <v/>
      </c>
      <c r="U1539" s="60" t="str">
        <f aca="false">IF(IsPro,IF($D1539="","",IFERROR(MATCH($D1539,Items!$A$5:$A$504,0),"")),"")</f>
        <v/>
      </c>
      <c r="V1539" s="60" t="str">
        <f aca="false">IF(IsPro,IF($C1539="","",IFERROR(MATCH($C1539,Parties!$A$5:$A$304,0),"")),"")</f>
        <v/>
      </c>
      <c r="W1539" s="60" t="str">
        <f aca="false">IF(IsPro,IF($B1539="","",IFERROR(VALUE(SUBSTITUTE($B1539,InvPrefix,"")),0)),"")</f>
        <v/>
      </c>
      <c r="X1539" s="61" t="str">
        <f aca="false">IF(IsPro,IF($D1539="","",IF(OR($H1539="",$H1539="Credit"),0,Q1539)),"")</f>
        <v/>
      </c>
    </row>
    <row r="1540" customFormat="false" ht="15" hidden="false" customHeight="false" outlineLevel="0" collapsed="false">
      <c r="A1540" s="55"/>
      <c r="B1540" s="56"/>
      <c r="C1540" s="56"/>
      <c r="D1540" s="56"/>
      <c r="E1540" s="57"/>
      <c r="F1540" s="58"/>
      <c r="G1540" s="59"/>
      <c r="H1540" s="56"/>
      <c r="I1540" s="56"/>
      <c r="J1540" s="60" t="str">
        <f aca="false">IF(IsPro,IF($D1540="","",IFERROR(INDEX(Items!$D$5:$D$504,U1540),"")),"")</f>
        <v/>
      </c>
      <c r="K1540" s="61" t="str">
        <f aca="false">IF(IsPro,IF($D1540="","",IF($F1540="",IFERROR(INDEX(Items!$H$5:$H$504,U1540),0),$F1540)),"")</f>
        <v/>
      </c>
      <c r="L1540" s="61" t="str">
        <f aca="false">IF(IsPro,IF($D1540="","",ROUND(N($E1540)*K1540*(1-N($G1540)),2)),"")</f>
        <v/>
      </c>
      <c r="M1540" s="62" t="str">
        <f aca="false">IF(IsPro,IF($D1540="","",IFERROR(INDEX(Items!$F$5:$F$504,U1540),0)),"")</f>
        <v/>
      </c>
      <c r="N1540" s="61" t="str">
        <f aca="false">IF(IsPro,IF($D1540="","",IF(AND(V1540&lt;&gt;"",INDEX(Parties!$E$5:$E$304,V1540)&lt;&gt;"",INDEX(Parties!$E$5:$E$304,V1540)&lt;&gt;HomeState),0,ROUND(L1540*M1540/2,2))),"")</f>
        <v/>
      </c>
      <c r="O1540" s="61" t="str">
        <f aca="false">IF(IsPro,IF($D1540="","",N1540),"")</f>
        <v/>
      </c>
      <c r="P1540" s="61" t="str">
        <f aca="false">IF(IsPro,IF($D1540="","",IF(AND(V1540&lt;&gt;"",INDEX(Parties!$E$5:$E$304,V1540)&lt;&gt;"",INDEX(Parties!$E$5:$E$304,V1540)&lt;&gt;HomeState),ROUND(L1540*M1540,2),0)),"")</f>
        <v/>
      </c>
      <c r="Q1540" s="61" t="str">
        <f aca="false">IF(IsPro,IF($D1540="","",L1540+N1540+O1540+P1540),"")</f>
        <v/>
      </c>
      <c r="R1540" s="61" t="str">
        <f aca="false">IF(IsPro,IF($D1540="","",ROUND(N($E1540)*IFERROR(INDEX(Items!$P$5:$P$504,U1540),0),2)),"")</f>
        <v/>
      </c>
      <c r="S1540" s="61" t="str">
        <f aca="false">IF(IsPro,IF($D1540="","",L1540-R1540),"")</f>
        <v/>
      </c>
      <c r="T1540" s="60" t="str">
        <f aca="false">IF(IsPro,IF($D1540="","",IF(U1540="","UNKNOWN ITEM",IF(INDEX(Items!$O$5:$O$504,U1540)&lt;0,"NEG STOCK",IF(K1540&lt;INDEX(Items!$P$5:$P$504,U1540),"BELOW COST","OK")))),IF($D1540="","","PRO PLAN"))</f>
        <v/>
      </c>
      <c r="U1540" s="60" t="str">
        <f aca="false">IF(IsPro,IF($D1540="","",IFERROR(MATCH($D1540,Items!$A$5:$A$504,0),"")),"")</f>
        <v/>
      </c>
      <c r="V1540" s="60" t="str">
        <f aca="false">IF(IsPro,IF($C1540="","",IFERROR(MATCH($C1540,Parties!$A$5:$A$304,0),"")),"")</f>
        <v/>
      </c>
      <c r="W1540" s="60" t="str">
        <f aca="false">IF(IsPro,IF($B1540="","",IFERROR(VALUE(SUBSTITUTE($B1540,InvPrefix,"")),0)),"")</f>
        <v/>
      </c>
      <c r="X1540" s="61" t="str">
        <f aca="false">IF(IsPro,IF($D1540="","",IF(OR($H1540="",$H1540="Credit"),0,Q1540)),"")</f>
        <v/>
      </c>
    </row>
    <row r="1541" customFormat="false" ht="15" hidden="false" customHeight="false" outlineLevel="0" collapsed="false">
      <c r="A1541" s="55"/>
      <c r="B1541" s="56"/>
      <c r="C1541" s="56"/>
      <c r="D1541" s="56"/>
      <c r="E1541" s="57"/>
      <c r="F1541" s="58"/>
      <c r="G1541" s="59"/>
      <c r="H1541" s="56"/>
      <c r="I1541" s="56"/>
      <c r="J1541" s="60" t="str">
        <f aca="false">IF(IsPro,IF($D1541="","",IFERROR(INDEX(Items!$D$5:$D$504,U1541),"")),"")</f>
        <v/>
      </c>
      <c r="K1541" s="61" t="str">
        <f aca="false">IF(IsPro,IF($D1541="","",IF($F1541="",IFERROR(INDEX(Items!$H$5:$H$504,U1541),0),$F1541)),"")</f>
        <v/>
      </c>
      <c r="L1541" s="61" t="str">
        <f aca="false">IF(IsPro,IF($D1541="","",ROUND(N($E1541)*K1541*(1-N($G1541)),2)),"")</f>
        <v/>
      </c>
      <c r="M1541" s="62" t="str">
        <f aca="false">IF(IsPro,IF($D1541="","",IFERROR(INDEX(Items!$F$5:$F$504,U1541),0)),"")</f>
        <v/>
      </c>
      <c r="N1541" s="61" t="str">
        <f aca="false">IF(IsPro,IF($D1541="","",IF(AND(V1541&lt;&gt;"",INDEX(Parties!$E$5:$E$304,V1541)&lt;&gt;"",INDEX(Parties!$E$5:$E$304,V1541)&lt;&gt;HomeState),0,ROUND(L1541*M1541/2,2))),"")</f>
        <v/>
      </c>
      <c r="O1541" s="61" t="str">
        <f aca="false">IF(IsPro,IF($D1541="","",N1541),"")</f>
        <v/>
      </c>
      <c r="P1541" s="61" t="str">
        <f aca="false">IF(IsPro,IF($D1541="","",IF(AND(V1541&lt;&gt;"",INDEX(Parties!$E$5:$E$304,V1541)&lt;&gt;"",INDEX(Parties!$E$5:$E$304,V1541)&lt;&gt;HomeState),ROUND(L1541*M1541,2),0)),"")</f>
        <v/>
      </c>
      <c r="Q1541" s="61" t="str">
        <f aca="false">IF(IsPro,IF($D1541="","",L1541+N1541+O1541+P1541),"")</f>
        <v/>
      </c>
      <c r="R1541" s="61" t="str">
        <f aca="false">IF(IsPro,IF($D1541="","",ROUND(N($E1541)*IFERROR(INDEX(Items!$P$5:$P$504,U1541),0),2)),"")</f>
        <v/>
      </c>
      <c r="S1541" s="61" t="str">
        <f aca="false">IF(IsPro,IF($D1541="","",L1541-R1541),"")</f>
        <v/>
      </c>
      <c r="T1541" s="60" t="str">
        <f aca="false">IF(IsPro,IF($D1541="","",IF(U1541="","UNKNOWN ITEM",IF(INDEX(Items!$O$5:$O$504,U1541)&lt;0,"NEG STOCK",IF(K1541&lt;INDEX(Items!$P$5:$P$504,U1541),"BELOW COST","OK")))),IF($D1541="","","PRO PLAN"))</f>
        <v/>
      </c>
      <c r="U1541" s="60" t="str">
        <f aca="false">IF(IsPro,IF($D1541="","",IFERROR(MATCH($D1541,Items!$A$5:$A$504,0),"")),"")</f>
        <v/>
      </c>
      <c r="V1541" s="60" t="str">
        <f aca="false">IF(IsPro,IF($C1541="","",IFERROR(MATCH($C1541,Parties!$A$5:$A$304,0),"")),"")</f>
        <v/>
      </c>
      <c r="W1541" s="60" t="str">
        <f aca="false">IF(IsPro,IF($B1541="","",IFERROR(VALUE(SUBSTITUTE($B1541,InvPrefix,"")),0)),"")</f>
        <v/>
      </c>
      <c r="X1541" s="61" t="str">
        <f aca="false">IF(IsPro,IF($D1541="","",IF(OR($H1541="",$H1541="Credit"),0,Q1541)),"")</f>
        <v/>
      </c>
    </row>
    <row r="1542" customFormat="false" ht="15" hidden="false" customHeight="false" outlineLevel="0" collapsed="false">
      <c r="A1542" s="55"/>
      <c r="B1542" s="56"/>
      <c r="C1542" s="56"/>
      <c r="D1542" s="56"/>
      <c r="E1542" s="57"/>
      <c r="F1542" s="58"/>
      <c r="G1542" s="59"/>
      <c r="H1542" s="56"/>
      <c r="I1542" s="56"/>
      <c r="J1542" s="60" t="str">
        <f aca="false">IF(IsPro,IF($D1542="","",IFERROR(INDEX(Items!$D$5:$D$504,U1542),"")),"")</f>
        <v/>
      </c>
      <c r="K1542" s="61" t="str">
        <f aca="false">IF(IsPro,IF($D1542="","",IF($F1542="",IFERROR(INDEX(Items!$H$5:$H$504,U1542),0),$F1542)),"")</f>
        <v/>
      </c>
      <c r="L1542" s="61" t="str">
        <f aca="false">IF(IsPro,IF($D1542="","",ROUND(N($E1542)*K1542*(1-N($G1542)),2)),"")</f>
        <v/>
      </c>
      <c r="M1542" s="62" t="str">
        <f aca="false">IF(IsPro,IF($D1542="","",IFERROR(INDEX(Items!$F$5:$F$504,U1542),0)),"")</f>
        <v/>
      </c>
      <c r="N1542" s="61" t="str">
        <f aca="false">IF(IsPro,IF($D1542="","",IF(AND(V1542&lt;&gt;"",INDEX(Parties!$E$5:$E$304,V1542)&lt;&gt;"",INDEX(Parties!$E$5:$E$304,V1542)&lt;&gt;HomeState),0,ROUND(L1542*M1542/2,2))),"")</f>
        <v/>
      </c>
      <c r="O1542" s="61" t="str">
        <f aca="false">IF(IsPro,IF($D1542="","",N1542),"")</f>
        <v/>
      </c>
      <c r="P1542" s="61" t="str">
        <f aca="false">IF(IsPro,IF($D1542="","",IF(AND(V1542&lt;&gt;"",INDEX(Parties!$E$5:$E$304,V1542)&lt;&gt;"",INDEX(Parties!$E$5:$E$304,V1542)&lt;&gt;HomeState),ROUND(L1542*M1542,2),0)),"")</f>
        <v/>
      </c>
      <c r="Q1542" s="61" t="str">
        <f aca="false">IF(IsPro,IF($D1542="","",L1542+N1542+O1542+P1542),"")</f>
        <v/>
      </c>
      <c r="R1542" s="61" t="str">
        <f aca="false">IF(IsPro,IF($D1542="","",ROUND(N($E1542)*IFERROR(INDEX(Items!$P$5:$P$504,U1542),0),2)),"")</f>
        <v/>
      </c>
      <c r="S1542" s="61" t="str">
        <f aca="false">IF(IsPro,IF($D1542="","",L1542-R1542),"")</f>
        <v/>
      </c>
      <c r="T1542" s="60" t="str">
        <f aca="false">IF(IsPro,IF($D1542="","",IF(U1542="","UNKNOWN ITEM",IF(INDEX(Items!$O$5:$O$504,U1542)&lt;0,"NEG STOCK",IF(K1542&lt;INDEX(Items!$P$5:$P$504,U1542),"BELOW COST","OK")))),IF($D1542="","","PRO PLAN"))</f>
        <v/>
      </c>
      <c r="U1542" s="60" t="str">
        <f aca="false">IF(IsPro,IF($D1542="","",IFERROR(MATCH($D1542,Items!$A$5:$A$504,0),"")),"")</f>
        <v/>
      </c>
      <c r="V1542" s="60" t="str">
        <f aca="false">IF(IsPro,IF($C1542="","",IFERROR(MATCH($C1542,Parties!$A$5:$A$304,0),"")),"")</f>
        <v/>
      </c>
      <c r="W1542" s="60" t="str">
        <f aca="false">IF(IsPro,IF($B1542="","",IFERROR(VALUE(SUBSTITUTE($B1542,InvPrefix,"")),0)),"")</f>
        <v/>
      </c>
      <c r="X1542" s="61" t="str">
        <f aca="false">IF(IsPro,IF($D1542="","",IF(OR($H1542="",$H1542="Credit"),0,Q1542)),"")</f>
        <v/>
      </c>
    </row>
    <row r="1543" customFormat="false" ht="15" hidden="false" customHeight="false" outlineLevel="0" collapsed="false">
      <c r="A1543" s="55"/>
      <c r="B1543" s="56"/>
      <c r="C1543" s="56"/>
      <c r="D1543" s="56"/>
      <c r="E1543" s="57"/>
      <c r="F1543" s="58"/>
      <c r="G1543" s="59"/>
      <c r="H1543" s="56"/>
      <c r="I1543" s="56"/>
      <c r="J1543" s="60" t="str">
        <f aca="false">IF(IsPro,IF($D1543="","",IFERROR(INDEX(Items!$D$5:$D$504,U1543),"")),"")</f>
        <v/>
      </c>
      <c r="K1543" s="61" t="str">
        <f aca="false">IF(IsPro,IF($D1543="","",IF($F1543="",IFERROR(INDEX(Items!$H$5:$H$504,U1543),0),$F1543)),"")</f>
        <v/>
      </c>
      <c r="L1543" s="61" t="str">
        <f aca="false">IF(IsPro,IF($D1543="","",ROUND(N($E1543)*K1543*(1-N($G1543)),2)),"")</f>
        <v/>
      </c>
      <c r="M1543" s="62" t="str">
        <f aca="false">IF(IsPro,IF($D1543="","",IFERROR(INDEX(Items!$F$5:$F$504,U1543),0)),"")</f>
        <v/>
      </c>
      <c r="N1543" s="61" t="str">
        <f aca="false">IF(IsPro,IF($D1543="","",IF(AND(V1543&lt;&gt;"",INDEX(Parties!$E$5:$E$304,V1543)&lt;&gt;"",INDEX(Parties!$E$5:$E$304,V1543)&lt;&gt;HomeState),0,ROUND(L1543*M1543/2,2))),"")</f>
        <v/>
      </c>
      <c r="O1543" s="61" t="str">
        <f aca="false">IF(IsPro,IF($D1543="","",N1543),"")</f>
        <v/>
      </c>
      <c r="P1543" s="61" t="str">
        <f aca="false">IF(IsPro,IF($D1543="","",IF(AND(V1543&lt;&gt;"",INDEX(Parties!$E$5:$E$304,V1543)&lt;&gt;"",INDEX(Parties!$E$5:$E$304,V1543)&lt;&gt;HomeState),ROUND(L1543*M1543,2),0)),"")</f>
        <v/>
      </c>
      <c r="Q1543" s="61" t="str">
        <f aca="false">IF(IsPro,IF($D1543="","",L1543+N1543+O1543+P1543),"")</f>
        <v/>
      </c>
      <c r="R1543" s="61" t="str">
        <f aca="false">IF(IsPro,IF($D1543="","",ROUND(N($E1543)*IFERROR(INDEX(Items!$P$5:$P$504,U1543),0),2)),"")</f>
        <v/>
      </c>
      <c r="S1543" s="61" t="str">
        <f aca="false">IF(IsPro,IF($D1543="","",L1543-R1543),"")</f>
        <v/>
      </c>
      <c r="T1543" s="60" t="str">
        <f aca="false">IF(IsPro,IF($D1543="","",IF(U1543="","UNKNOWN ITEM",IF(INDEX(Items!$O$5:$O$504,U1543)&lt;0,"NEG STOCK",IF(K1543&lt;INDEX(Items!$P$5:$P$504,U1543),"BELOW COST","OK")))),IF($D1543="","","PRO PLAN"))</f>
        <v/>
      </c>
      <c r="U1543" s="60" t="str">
        <f aca="false">IF(IsPro,IF($D1543="","",IFERROR(MATCH($D1543,Items!$A$5:$A$504,0),"")),"")</f>
        <v/>
      </c>
      <c r="V1543" s="60" t="str">
        <f aca="false">IF(IsPro,IF($C1543="","",IFERROR(MATCH($C1543,Parties!$A$5:$A$304,0),"")),"")</f>
        <v/>
      </c>
      <c r="W1543" s="60" t="str">
        <f aca="false">IF(IsPro,IF($B1543="","",IFERROR(VALUE(SUBSTITUTE($B1543,InvPrefix,"")),0)),"")</f>
        <v/>
      </c>
      <c r="X1543" s="61" t="str">
        <f aca="false">IF(IsPro,IF($D1543="","",IF(OR($H1543="",$H1543="Credit"),0,Q1543)),"")</f>
        <v/>
      </c>
    </row>
    <row r="1544" customFormat="false" ht="15" hidden="false" customHeight="false" outlineLevel="0" collapsed="false">
      <c r="A1544" s="55"/>
      <c r="B1544" s="56"/>
      <c r="C1544" s="56"/>
      <c r="D1544" s="56"/>
      <c r="E1544" s="57"/>
      <c r="F1544" s="58"/>
      <c r="G1544" s="59"/>
      <c r="H1544" s="56"/>
      <c r="I1544" s="56"/>
      <c r="J1544" s="60" t="str">
        <f aca="false">IF(IsPro,IF($D1544="","",IFERROR(INDEX(Items!$D$5:$D$504,U1544),"")),"")</f>
        <v/>
      </c>
      <c r="K1544" s="61" t="str">
        <f aca="false">IF(IsPro,IF($D1544="","",IF($F1544="",IFERROR(INDEX(Items!$H$5:$H$504,U1544),0),$F1544)),"")</f>
        <v/>
      </c>
      <c r="L1544" s="61" t="str">
        <f aca="false">IF(IsPro,IF($D1544="","",ROUND(N($E1544)*K1544*(1-N($G1544)),2)),"")</f>
        <v/>
      </c>
      <c r="M1544" s="62" t="str">
        <f aca="false">IF(IsPro,IF($D1544="","",IFERROR(INDEX(Items!$F$5:$F$504,U1544),0)),"")</f>
        <v/>
      </c>
      <c r="N1544" s="61" t="str">
        <f aca="false">IF(IsPro,IF($D1544="","",IF(AND(V1544&lt;&gt;"",INDEX(Parties!$E$5:$E$304,V1544)&lt;&gt;"",INDEX(Parties!$E$5:$E$304,V1544)&lt;&gt;HomeState),0,ROUND(L1544*M1544/2,2))),"")</f>
        <v/>
      </c>
      <c r="O1544" s="61" t="str">
        <f aca="false">IF(IsPro,IF($D1544="","",N1544),"")</f>
        <v/>
      </c>
      <c r="P1544" s="61" t="str">
        <f aca="false">IF(IsPro,IF($D1544="","",IF(AND(V1544&lt;&gt;"",INDEX(Parties!$E$5:$E$304,V1544)&lt;&gt;"",INDEX(Parties!$E$5:$E$304,V1544)&lt;&gt;HomeState),ROUND(L1544*M1544,2),0)),"")</f>
        <v/>
      </c>
      <c r="Q1544" s="61" t="str">
        <f aca="false">IF(IsPro,IF($D1544="","",L1544+N1544+O1544+P1544),"")</f>
        <v/>
      </c>
      <c r="R1544" s="61" t="str">
        <f aca="false">IF(IsPro,IF($D1544="","",ROUND(N($E1544)*IFERROR(INDEX(Items!$P$5:$P$504,U1544),0),2)),"")</f>
        <v/>
      </c>
      <c r="S1544" s="61" t="str">
        <f aca="false">IF(IsPro,IF($D1544="","",L1544-R1544),"")</f>
        <v/>
      </c>
      <c r="T1544" s="60" t="str">
        <f aca="false">IF(IsPro,IF($D1544="","",IF(U1544="","UNKNOWN ITEM",IF(INDEX(Items!$O$5:$O$504,U1544)&lt;0,"NEG STOCK",IF(K1544&lt;INDEX(Items!$P$5:$P$504,U1544),"BELOW COST","OK")))),IF($D1544="","","PRO PLAN"))</f>
        <v/>
      </c>
      <c r="U1544" s="60" t="str">
        <f aca="false">IF(IsPro,IF($D1544="","",IFERROR(MATCH($D1544,Items!$A$5:$A$504,0),"")),"")</f>
        <v/>
      </c>
      <c r="V1544" s="60" t="str">
        <f aca="false">IF(IsPro,IF($C1544="","",IFERROR(MATCH($C1544,Parties!$A$5:$A$304,0),"")),"")</f>
        <v/>
      </c>
      <c r="W1544" s="60" t="str">
        <f aca="false">IF(IsPro,IF($B1544="","",IFERROR(VALUE(SUBSTITUTE($B1544,InvPrefix,"")),0)),"")</f>
        <v/>
      </c>
      <c r="X1544" s="61" t="str">
        <f aca="false">IF(IsPro,IF($D1544="","",IF(OR($H1544="",$H1544="Credit"),0,Q1544)),"")</f>
        <v/>
      </c>
    </row>
    <row r="1545" customFormat="false" ht="15" hidden="false" customHeight="false" outlineLevel="0" collapsed="false">
      <c r="A1545" s="55"/>
      <c r="B1545" s="56"/>
      <c r="C1545" s="56"/>
      <c r="D1545" s="56"/>
      <c r="E1545" s="57"/>
      <c r="F1545" s="58"/>
      <c r="G1545" s="59"/>
      <c r="H1545" s="56"/>
      <c r="I1545" s="56"/>
      <c r="J1545" s="60" t="str">
        <f aca="false">IF(IsPro,IF($D1545="","",IFERROR(INDEX(Items!$D$5:$D$504,U1545),"")),"")</f>
        <v/>
      </c>
      <c r="K1545" s="61" t="str">
        <f aca="false">IF(IsPro,IF($D1545="","",IF($F1545="",IFERROR(INDEX(Items!$H$5:$H$504,U1545),0),$F1545)),"")</f>
        <v/>
      </c>
      <c r="L1545" s="61" t="str">
        <f aca="false">IF(IsPro,IF($D1545="","",ROUND(N($E1545)*K1545*(1-N($G1545)),2)),"")</f>
        <v/>
      </c>
      <c r="M1545" s="62" t="str">
        <f aca="false">IF(IsPro,IF($D1545="","",IFERROR(INDEX(Items!$F$5:$F$504,U1545),0)),"")</f>
        <v/>
      </c>
      <c r="N1545" s="61" t="str">
        <f aca="false">IF(IsPro,IF($D1545="","",IF(AND(V1545&lt;&gt;"",INDEX(Parties!$E$5:$E$304,V1545)&lt;&gt;"",INDEX(Parties!$E$5:$E$304,V1545)&lt;&gt;HomeState),0,ROUND(L1545*M1545/2,2))),"")</f>
        <v/>
      </c>
      <c r="O1545" s="61" t="str">
        <f aca="false">IF(IsPro,IF($D1545="","",N1545),"")</f>
        <v/>
      </c>
      <c r="P1545" s="61" t="str">
        <f aca="false">IF(IsPro,IF($D1545="","",IF(AND(V1545&lt;&gt;"",INDEX(Parties!$E$5:$E$304,V1545)&lt;&gt;"",INDEX(Parties!$E$5:$E$304,V1545)&lt;&gt;HomeState),ROUND(L1545*M1545,2),0)),"")</f>
        <v/>
      </c>
      <c r="Q1545" s="61" t="str">
        <f aca="false">IF(IsPro,IF($D1545="","",L1545+N1545+O1545+P1545),"")</f>
        <v/>
      </c>
      <c r="R1545" s="61" t="str">
        <f aca="false">IF(IsPro,IF($D1545="","",ROUND(N($E1545)*IFERROR(INDEX(Items!$P$5:$P$504,U1545),0),2)),"")</f>
        <v/>
      </c>
      <c r="S1545" s="61" t="str">
        <f aca="false">IF(IsPro,IF($D1545="","",L1545-R1545),"")</f>
        <v/>
      </c>
      <c r="T1545" s="60" t="str">
        <f aca="false">IF(IsPro,IF($D1545="","",IF(U1545="","UNKNOWN ITEM",IF(INDEX(Items!$O$5:$O$504,U1545)&lt;0,"NEG STOCK",IF(K1545&lt;INDEX(Items!$P$5:$P$504,U1545),"BELOW COST","OK")))),IF($D1545="","","PRO PLAN"))</f>
        <v/>
      </c>
      <c r="U1545" s="60" t="str">
        <f aca="false">IF(IsPro,IF($D1545="","",IFERROR(MATCH($D1545,Items!$A$5:$A$504,0),"")),"")</f>
        <v/>
      </c>
      <c r="V1545" s="60" t="str">
        <f aca="false">IF(IsPro,IF($C1545="","",IFERROR(MATCH($C1545,Parties!$A$5:$A$304,0),"")),"")</f>
        <v/>
      </c>
      <c r="W1545" s="60" t="str">
        <f aca="false">IF(IsPro,IF($B1545="","",IFERROR(VALUE(SUBSTITUTE($B1545,InvPrefix,"")),0)),"")</f>
        <v/>
      </c>
      <c r="X1545" s="61" t="str">
        <f aca="false">IF(IsPro,IF($D1545="","",IF(OR($H1545="",$H1545="Credit"),0,Q1545)),"")</f>
        <v/>
      </c>
    </row>
    <row r="1546" customFormat="false" ht="15" hidden="false" customHeight="false" outlineLevel="0" collapsed="false">
      <c r="A1546" s="55"/>
      <c r="B1546" s="56"/>
      <c r="C1546" s="56"/>
      <c r="D1546" s="56"/>
      <c r="E1546" s="57"/>
      <c r="F1546" s="58"/>
      <c r="G1546" s="59"/>
      <c r="H1546" s="56"/>
      <c r="I1546" s="56"/>
      <c r="J1546" s="60" t="str">
        <f aca="false">IF(IsPro,IF($D1546="","",IFERROR(INDEX(Items!$D$5:$D$504,U1546),"")),"")</f>
        <v/>
      </c>
      <c r="K1546" s="61" t="str">
        <f aca="false">IF(IsPro,IF($D1546="","",IF($F1546="",IFERROR(INDEX(Items!$H$5:$H$504,U1546),0),$F1546)),"")</f>
        <v/>
      </c>
      <c r="L1546" s="61" t="str">
        <f aca="false">IF(IsPro,IF($D1546="","",ROUND(N($E1546)*K1546*(1-N($G1546)),2)),"")</f>
        <v/>
      </c>
      <c r="M1546" s="62" t="str">
        <f aca="false">IF(IsPro,IF($D1546="","",IFERROR(INDEX(Items!$F$5:$F$504,U1546),0)),"")</f>
        <v/>
      </c>
      <c r="N1546" s="61" t="str">
        <f aca="false">IF(IsPro,IF($D1546="","",IF(AND(V1546&lt;&gt;"",INDEX(Parties!$E$5:$E$304,V1546)&lt;&gt;"",INDEX(Parties!$E$5:$E$304,V1546)&lt;&gt;HomeState),0,ROUND(L1546*M1546/2,2))),"")</f>
        <v/>
      </c>
      <c r="O1546" s="61" t="str">
        <f aca="false">IF(IsPro,IF($D1546="","",N1546),"")</f>
        <v/>
      </c>
      <c r="P1546" s="61" t="str">
        <f aca="false">IF(IsPro,IF($D1546="","",IF(AND(V1546&lt;&gt;"",INDEX(Parties!$E$5:$E$304,V1546)&lt;&gt;"",INDEX(Parties!$E$5:$E$304,V1546)&lt;&gt;HomeState),ROUND(L1546*M1546,2),0)),"")</f>
        <v/>
      </c>
      <c r="Q1546" s="61" t="str">
        <f aca="false">IF(IsPro,IF($D1546="","",L1546+N1546+O1546+P1546),"")</f>
        <v/>
      </c>
      <c r="R1546" s="61" t="str">
        <f aca="false">IF(IsPro,IF($D1546="","",ROUND(N($E1546)*IFERROR(INDEX(Items!$P$5:$P$504,U1546),0),2)),"")</f>
        <v/>
      </c>
      <c r="S1546" s="61" t="str">
        <f aca="false">IF(IsPro,IF($D1546="","",L1546-R1546),"")</f>
        <v/>
      </c>
      <c r="T1546" s="60" t="str">
        <f aca="false">IF(IsPro,IF($D1546="","",IF(U1546="","UNKNOWN ITEM",IF(INDEX(Items!$O$5:$O$504,U1546)&lt;0,"NEG STOCK",IF(K1546&lt;INDEX(Items!$P$5:$P$504,U1546),"BELOW COST","OK")))),IF($D1546="","","PRO PLAN"))</f>
        <v/>
      </c>
      <c r="U1546" s="60" t="str">
        <f aca="false">IF(IsPro,IF($D1546="","",IFERROR(MATCH($D1546,Items!$A$5:$A$504,0),"")),"")</f>
        <v/>
      </c>
      <c r="V1546" s="60" t="str">
        <f aca="false">IF(IsPro,IF($C1546="","",IFERROR(MATCH($C1546,Parties!$A$5:$A$304,0),"")),"")</f>
        <v/>
      </c>
      <c r="W1546" s="60" t="str">
        <f aca="false">IF(IsPro,IF($B1546="","",IFERROR(VALUE(SUBSTITUTE($B1546,InvPrefix,"")),0)),"")</f>
        <v/>
      </c>
      <c r="X1546" s="61" t="str">
        <f aca="false">IF(IsPro,IF($D1546="","",IF(OR($H1546="",$H1546="Credit"),0,Q1546)),"")</f>
        <v/>
      </c>
    </row>
    <row r="1547" customFormat="false" ht="15" hidden="false" customHeight="false" outlineLevel="0" collapsed="false">
      <c r="A1547" s="55"/>
      <c r="B1547" s="56"/>
      <c r="C1547" s="56"/>
      <c r="D1547" s="56"/>
      <c r="E1547" s="57"/>
      <c r="F1547" s="58"/>
      <c r="G1547" s="59"/>
      <c r="H1547" s="56"/>
      <c r="I1547" s="56"/>
      <c r="J1547" s="60" t="str">
        <f aca="false">IF(IsPro,IF($D1547="","",IFERROR(INDEX(Items!$D$5:$D$504,U1547),"")),"")</f>
        <v/>
      </c>
      <c r="K1547" s="61" t="str">
        <f aca="false">IF(IsPro,IF($D1547="","",IF($F1547="",IFERROR(INDEX(Items!$H$5:$H$504,U1547),0),$F1547)),"")</f>
        <v/>
      </c>
      <c r="L1547" s="61" t="str">
        <f aca="false">IF(IsPro,IF($D1547="","",ROUND(N($E1547)*K1547*(1-N($G1547)),2)),"")</f>
        <v/>
      </c>
      <c r="M1547" s="62" t="str">
        <f aca="false">IF(IsPro,IF($D1547="","",IFERROR(INDEX(Items!$F$5:$F$504,U1547),0)),"")</f>
        <v/>
      </c>
      <c r="N1547" s="61" t="str">
        <f aca="false">IF(IsPro,IF($D1547="","",IF(AND(V1547&lt;&gt;"",INDEX(Parties!$E$5:$E$304,V1547)&lt;&gt;"",INDEX(Parties!$E$5:$E$304,V1547)&lt;&gt;HomeState),0,ROUND(L1547*M1547/2,2))),"")</f>
        <v/>
      </c>
      <c r="O1547" s="61" t="str">
        <f aca="false">IF(IsPro,IF($D1547="","",N1547),"")</f>
        <v/>
      </c>
      <c r="P1547" s="61" t="str">
        <f aca="false">IF(IsPro,IF($D1547="","",IF(AND(V1547&lt;&gt;"",INDEX(Parties!$E$5:$E$304,V1547)&lt;&gt;"",INDEX(Parties!$E$5:$E$304,V1547)&lt;&gt;HomeState),ROUND(L1547*M1547,2),0)),"")</f>
        <v/>
      </c>
      <c r="Q1547" s="61" t="str">
        <f aca="false">IF(IsPro,IF($D1547="","",L1547+N1547+O1547+P1547),"")</f>
        <v/>
      </c>
      <c r="R1547" s="61" t="str">
        <f aca="false">IF(IsPro,IF($D1547="","",ROUND(N($E1547)*IFERROR(INDEX(Items!$P$5:$P$504,U1547),0),2)),"")</f>
        <v/>
      </c>
      <c r="S1547" s="61" t="str">
        <f aca="false">IF(IsPro,IF($D1547="","",L1547-R1547),"")</f>
        <v/>
      </c>
      <c r="T1547" s="60" t="str">
        <f aca="false">IF(IsPro,IF($D1547="","",IF(U1547="","UNKNOWN ITEM",IF(INDEX(Items!$O$5:$O$504,U1547)&lt;0,"NEG STOCK",IF(K1547&lt;INDEX(Items!$P$5:$P$504,U1547),"BELOW COST","OK")))),IF($D1547="","","PRO PLAN"))</f>
        <v/>
      </c>
      <c r="U1547" s="60" t="str">
        <f aca="false">IF(IsPro,IF($D1547="","",IFERROR(MATCH($D1547,Items!$A$5:$A$504,0),"")),"")</f>
        <v/>
      </c>
      <c r="V1547" s="60" t="str">
        <f aca="false">IF(IsPro,IF($C1547="","",IFERROR(MATCH($C1547,Parties!$A$5:$A$304,0),"")),"")</f>
        <v/>
      </c>
      <c r="W1547" s="60" t="str">
        <f aca="false">IF(IsPro,IF($B1547="","",IFERROR(VALUE(SUBSTITUTE($B1547,InvPrefix,"")),0)),"")</f>
        <v/>
      </c>
      <c r="X1547" s="61" t="str">
        <f aca="false">IF(IsPro,IF($D1547="","",IF(OR($H1547="",$H1547="Credit"),0,Q1547)),"")</f>
        <v/>
      </c>
    </row>
    <row r="1548" customFormat="false" ht="15" hidden="false" customHeight="false" outlineLevel="0" collapsed="false">
      <c r="A1548" s="55"/>
      <c r="B1548" s="56"/>
      <c r="C1548" s="56"/>
      <c r="D1548" s="56"/>
      <c r="E1548" s="57"/>
      <c r="F1548" s="58"/>
      <c r="G1548" s="59"/>
      <c r="H1548" s="56"/>
      <c r="I1548" s="56"/>
      <c r="J1548" s="60" t="str">
        <f aca="false">IF(IsPro,IF($D1548="","",IFERROR(INDEX(Items!$D$5:$D$504,U1548),"")),"")</f>
        <v/>
      </c>
      <c r="K1548" s="61" t="str">
        <f aca="false">IF(IsPro,IF($D1548="","",IF($F1548="",IFERROR(INDEX(Items!$H$5:$H$504,U1548),0),$F1548)),"")</f>
        <v/>
      </c>
      <c r="L1548" s="61" t="str">
        <f aca="false">IF(IsPro,IF($D1548="","",ROUND(N($E1548)*K1548*(1-N($G1548)),2)),"")</f>
        <v/>
      </c>
      <c r="M1548" s="62" t="str">
        <f aca="false">IF(IsPro,IF($D1548="","",IFERROR(INDEX(Items!$F$5:$F$504,U1548),0)),"")</f>
        <v/>
      </c>
      <c r="N1548" s="61" t="str">
        <f aca="false">IF(IsPro,IF($D1548="","",IF(AND(V1548&lt;&gt;"",INDEX(Parties!$E$5:$E$304,V1548)&lt;&gt;"",INDEX(Parties!$E$5:$E$304,V1548)&lt;&gt;HomeState),0,ROUND(L1548*M1548/2,2))),"")</f>
        <v/>
      </c>
      <c r="O1548" s="61" t="str">
        <f aca="false">IF(IsPro,IF($D1548="","",N1548),"")</f>
        <v/>
      </c>
      <c r="P1548" s="61" t="str">
        <f aca="false">IF(IsPro,IF($D1548="","",IF(AND(V1548&lt;&gt;"",INDEX(Parties!$E$5:$E$304,V1548)&lt;&gt;"",INDEX(Parties!$E$5:$E$304,V1548)&lt;&gt;HomeState),ROUND(L1548*M1548,2),0)),"")</f>
        <v/>
      </c>
      <c r="Q1548" s="61" t="str">
        <f aca="false">IF(IsPro,IF($D1548="","",L1548+N1548+O1548+P1548),"")</f>
        <v/>
      </c>
      <c r="R1548" s="61" t="str">
        <f aca="false">IF(IsPro,IF($D1548="","",ROUND(N($E1548)*IFERROR(INDEX(Items!$P$5:$P$504,U1548),0),2)),"")</f>
        <v/>
      </c>
      <c r="S1548" s="61" t="str">
        <f aca="false">IF(IsPro,IF($D1548="","",L1548-R1548),"")</f>
        <v/>
      </c>
      <c r="T1548" s="60" t="str">
        <f aca="false">IF(IsPro,IF($D1548="","",IF(U1548="","UNKNOWN ITEM",IF(INDEX(Items!$O$5:$O$504,U1548)&lt;0,"NEG STOCK",IF(K1548&lt;INDEX(Items!$P$5:$P$504,U1548),"BELOW COST","OK")))),IF($D1548="","","PRO PLAN"))</f>
        <v/>
      </c>
      <c r="U1548" s="60" t="str">
        <f aca="false">IF(IsPro,IF($D1548="","",IFERROR(MATCH($D1548,Items!$A$5:$A$504,0),"")),"")</f>
        <v/>
      </c>
      <c r="V1548" s="60" t="str">
        <f aca="false">IF(IsPro,IF($C1548="","",IFERROR(MATCH($C1548,Parties!$A$5:$A$304,0),"")),"")</f>
        <v/>
      </c>
      <c r="W1548" s="60" t="str">
        <f aca="false">IF(IsPro,IF($B1548="","",IFERROR(VALUE(SUBSTITUTE($B1548,InvPrefix,"")),0)),"")</f>
        <v/>
      </c>
      <c r="X1548" s="61" t="str">
        <f aca="false">IF(IsPro,IF($D1548="","",IF(OR($H1548="",$H1548="Credit"),0,Q1548)),"")</f>
        <v/>
      </c>
    </row>
    <row r="1549" customFormat="false" ht="15" hidden="false" customHeight="false" outlineLevel="0" collapsed="false">
      <c r="A1549" s="55"/>
      <c r="B1549" s="56"/>
      <c r="C1549" s="56"/>
      <c r="D1549" s="56"/>
      <c r="E1549" s="57"/>
      <c r="F1549" s="58"/>
      <c r="G1549" s="59"/>
      <c r="H1549" s="56"/>
      <c r="I1549" s="56"/>
      <c r="J1549" s="60" t="str">
        <f aca="false">IF(IsPro,IF($D1549="","",IFERROR(INDEX(Items!$D$5:$D$504,U1549),"")),"")</f>
        <v/>
      </c>
      <c r="K1549" s="61" t="str">
        <f aca="false">IF(IsPro,IF($D1549="","",IF($F1549="",IFERROR(INDEX(Items!$H$5:$H$504,U1549),0),$F1549)),"")</f>
        <v/>
      </c>
      <c r="L1549" s="61" t="str">
        <f aca="false">IF(IsPro,IF($D1549="","",ROUND(N($E1549)*K1549*(1-N($G1549)),2)),"")</f>
        <v/>
      </c>
      <c r="M1549" s="62" t="str">
        <f aca="false">IF(IsPro,IF($D1549="","",IFERROR(INDEX(Items!$F$5:$F$504,U1549),0)),"")</f>
        <v/>
      </c>
      <c r="N1549" s="61" t="str">
        <f aca="false">IF(IsPro,IF($D1549="","",IF(AND(V1549&lt;&gt;"",INDEX(Parties!$E$5:$E$304,V1549)&lt;&gt;"",INDEX(Parties!$E$5:$E$304,V1549)&lt;&gt;HomeState),0,ROUND(L1549*M1549/2,2))),"")</f>
        <v/>
      </c>
      <c r="O1549" s="61" t="str">
        <f aca="false">IF(IsPro,IF($D1549="","",N1549),"")</f>
        <v/>
      </c>
      <c r="P1549" s="61" t="str">
        <f aca="false">IF(IsPro,IF($D1549="","",IF(AND(V1549&lt;&gt;"",INDEX(Parties!$E$5:$E$304,V1549)&lt;&gt;"",INDEX(Parties!$E$5:$E$304,V1549)&lt;&gt;HomeState),ROUND(L1549*M1549,2),0)),"")</f>
        <v/>
      </c>
      <c r="Q1549" s="61" t="str">
        <f aca="false">IF(IsPro,IF($D1549="","",L1549+N1549+O1549+P1549),"")</f>
        <v/>
      </c>
      <c r="R1549" s="61" t="str">
        <f aca="false">IF(IsPro,IF($D1549="","",ROUND(N($E1549)*IFERROR(INDEX(Items!$P$5:$P$504,U1549),0),2)),"")</f>
        <v/>
      </c>
      <c r="S1549" s="61" t="str">
        <f aca="false">IF(IsPro,IF($D1549="","",L1549-R1549),"")</f>
        <v/>
      </c>
      <c r="T1549" s="60" t="str">
        <f aca="false">IF(IsPro,IF($D1549="","",IF(U1549="","UNKNOWN ITEM",IF(INDEX(Items!$O$5:$O$504,U1549)&lt;0,"NEG STOCK",IF(K1549&lt;INDEX(Items!$P$5:$P$504,U1549),"BELOW COST","OK")))),IF($D1549="","","PRO PLAN"))</f>
        <v/>
      </c>
      <c r="U1549" s="60" t="str">
        <f aca="false">IF(IsPro,IF($D1549="","",IFERROR(MATCH($D1549,Items!$A$5:$A$504,0),"")),"")</f>
        <v/>
      </c>
      <c r="V1549" s="60" t="str">
        <f aca="false">IF(IsPro,IF($C1549="","",IFERROR(MATCH($C1549,Parties!$A$5:$A$304,0),"")),"")</f>
        <v/>
      </c>
      <c r="W1549" s="60" t="str">
        <f aca="false">IF(IsPro,IF($B1549="","",IFERROR(VALUE(SUBSTITUTE($B1549,InvPrefix,"")),0)),"")</f>
        <v/>
      </c>
      <c r="X1549" s="61" t="str">
        <f aca="false">IF(IsPro,IF($D1549="","",IF(OR($H1549="",$H1549="Credit"),0,Q1549)),"")</f>
        <v/>
      </c>
    </row>
    <row r="1550" customFormat="false" ht="15" hidden="false" customHeight="false" outlineLevel="0" collapsed="false">
      <c r="A1550" s="55"/>
      <c r="B1550" s="56"/>
      <c r="C1550" s="56"/>
      <c r="D1550" s="56"/>
      <c r="E1550" s="57"/>
      <c r="F1550" s="58"/>
      <c r="G1550" s="59"/>
      <c r="H1550" s="56"/>
      <c r="I1550" s="56"/>
      <c r="J1550" s="60" t="str">
        <f aca="false">IF(IsPro,IF($D1550="","",IFERROR(INDEX(Items!$D$5:$D$504,U1550),"")),"")</f>
        <v/>
      </c>
      <c r="K1550" s="61" t="str">
        <f aca="false">IF(IsPro,IF($D1550="","",IF($F1550="",IFERROR(INDEX(Items!$H$5:$H$504,U1550),0),$F1550)),"")</f>
        <v/>
      </c>
      <c r="L1550" s="61" t="str">
        <f aca="false">IF(IsPro,IF($D1550="","",ROUND(N($E1550)*K1550*(1-N($G1550)),2)),"")</f>
        <v/>
      </c>
      <c r="M1550" s="62" t="str">
        <f aca="false">IF(IsPro,IF($D1550="","",IFERROR(INDEX(Items!$F$5:$F$504,U1550),0)),"")</f>
        <v/>
      </c>
      <c r="N1550" s="61" t="str">
        <f aca="false">IF(IsPro,IF($D1550="","",IF(AND(V1550&lt;&gt;"",INDEX(Parties!$E$5:$E$304,V1550)&lt;&gt;"",INDEX(Parties!$E$5:$E$304,V1550)&lt;&gt;HomeState),0,ROUND(L1550*M1550/2,2))),"")</f>
        <v/>
      </c>
      <c r="O1550" s="61" t="str">
        <f aca="false">IF(IsPro,IF($D1550="","",N1550),"")</f>
        <v/>
      </c>
      <c r="P1550" s="61" t="str">
        <f aca="false">IF(IsPro,IF($D1550="","",IF(AND(V1550&lt;&gt;"",INDEX(Parties!$E$5:$E$304,V1550)&lt;&gt;"",INDEX(Parties!$E$5:$E$304,V1550)&lt;&gt;HomeState),ROUND(L1550*M1550,2),0)),"")</f>
        <v/>
      </c>
      <c r="Q1550" s="61" t="str">
        <f aca="false">IF(IsPro,IF($D1550="","",L1550+N1550+O1550+P1550),"")</f>
        <v/>
      </c>
      <c r="R1550" s="61" t="str">
        <f aca="false">IF(IsPro,IF($D1550="","",ROUND(N($E1550)*IFERROR(INDEX(Items!$P$5:$P$504,U1550),0),2)),"")</f>
        <v/>
      </c>
      <c r="S1550" s="61" t="str">
        <f aca="false">IF(IsPro,IF($D1550="","",L1550-R1550),"")</f>
        <v/>
      </c>
      <c r="T1550" s="60" t="str">
        <f aca="false">IF(IsPro,IF($D1550="","",IF(U1550="","UNKNOWN ITEM",IF(INDEX(Items!$O$5:$O$504,U1550)&lt;0,"NEG STOCK",IF(K1550&lt;INDEX(Items!$P$5:$P$504,U1550),"BELOW COST","OK")))),IF($D1550="","","PRO PLAN"))</f>
        <v/>
      </c>
      <c r="U1550" s="60" t="str">
        <f aca="false">IF(IsPro,IF($D1550="","",IFERROR(MATCH($D1550,Items!$A$5:$A$504,0),"")),"")</f>
        <v/>
      </c>
      <c r="V1550" s="60" t="str">
        <f aca="false">IF(IsPro,IF($C1550="","",IFERROR(MATCH($C1550,Parties!$A$5:$A$304,0),"")),"")</f>
        <v/>
      </c>
      <c r="W1550" s="60" t="str">
        <f aca="false">IF(IsPro,IF($B1550="","",IFERROR(VALUE(SUBSTITUTE($B1550,InvPrefix,"")),0)),"")</f>
        <v/>
      </c>
      <c r="X1550" s="61" t="str">
        <f aca="false">IF(IsPro,IF($D1550="","",IF(OR($H1550="",$H1550="Credit"),0,Q1550)),"")</f>
        <v/>
      </c>
    </row>
    <row r="1551" customFormat="false" ht="15" hidden="false" customHeight="false" outlineLevel="0" collapsed="false">
      <c r="A1551" s="55"/>
      <c r="B1551" s="56"/>
      <c r="C1551" s="56"/>
      <c r="D1551" s="56"/>
      <c r="E1551" s="57"/>
      <c r="F1551" s="58"/>
      <c r="G1551" s="59"/>
      <c r="H1551" s="56"/>
      <c r="I1551" s="56"/>
      <c r="J1551" s="60" t="str">
        <f aca="false">IF(IsPro,IF($D1551="","",IFERROR(INDEX(Items!$D$5:$D$504,U1551),"")),"")</f>
        <v/>
      </c>
      <c r="K1551" s="61" t="str">
        <f aca="false">IF(IsPro,IF($D1551="","",IF($F1551="",IFERROR(INDEX(Items!$H$5:$H$504,U1551),0),$F1551)),"")</f>
        <v/>
      </c>
      <c r="L1551" s="61" t="str">
        <f aca="false">IF(IsPro,IF($D1551="","",ROUND(N($E1551)*K1551*(1-N($G1551)),2)),"")</f>
        <v/>
      </c>
      <c r="M1551" s="62" t="str">
        <f aca="false">IF(IsPro,IF($D1551="","",IFERROR(INDEX(Items!$F$5:$F$504,U1551),0)),"")</f>
        <v/>
      </c>
      <c r="N1551" s="61" t="str">
        <f aca="false">IF(IsPro,IF($D1551="","",IF(AND(V1551&lt;&gt;"",INDEX(Parties!$E$5:$E$304,V1551)&lt;&gt;"",INDEX(Parties!$E$5:$E$304,V1551)&lt;&gt;HomeState),0,ROUND(L1551*M1551/2,2))),"")</f>
        <v/>
      </c>
      <c r="O1551" s="61" t="str">
        <f aca="false">IF(IsPro,IF($D1551="","",N1551),"")</f>
        <v/>
      </c>
      <c r="P1551" s="61" t="str">
        <f aca="false">IF(IsPro,IF($D1551="","",IF(AND(V1551&lt;&gt;"",INDEX(Parties!$E$5:$E$304,V1551)&lt;&gt;"",INDEX(Parties!$E$5:$E$304,V1551)&lt;&gt;HomeState),ROUND(L1551*M1551,2),0)),"")</f>
        <v/>
      </c>
      <c r="Q1551" s="61" t="str">
        <f aca="false">IF(IsPro,IF($D1551="","",L1551+N1551+O1551+P1551),"")</f>
        <v/>
      </c>
      <c r="R1551" s="61" t="str">
        <f aca="false">IF(IsPro,IF($D1551="","",ROUND(N($E1551)*IFERROR(INDEX(Items!$P$5:$P$504,U1551),0),2)),"")</f>
        <v/>
      </c>
      <c r="S1551" s="61" t="str">
        <f aca="false">IF(IsPro,IF($D1551="","",L1551-R1551),"")</f>
        <v/>
      </c>
      <c r="T1551" s="60" t="str">
        <f aca="false">IF(IsPro,IF($D1551="","",IF(U1551="","UNKNOWN ITEM",IF(INDEX(Items!$O$5:$O$504,U1551)&lt;0,"NEG STOCK",IF(K1551&lt;INDEX(Items!$P$5:$P$504,U1551),"BELOW COST","OK")))),IF($D1551="","","PRO PLAN"))</f>
        <v/>
      </c>
      <c r="U1551" s="60" t="str">
        <f aca="false">IF(IsPro,IF($D1551="","",IFERROR(MATCH($D1551,Items!$A$5:$A$504,0),"")),"")</f>
        <v/>
      </c>
      <c r="V1551" s="60" t="str">
        <f aca="false">IF(IsPro,IF($C1551="","",IFERROR(MATCH($C1551,Parties!$A$5:$A$304,0),"")),"")</f>
        <v/>
      </c>
      <c r="W1551" s="60" t="str">
        <f aca="false">IF(IsPro,IF($B1551="","",IFERROR(VALUE(SUBSTITUTE($B1551,InvPrefix,"")),0)),"")</f>
        <v/>
      </c>
      <c r="X1551" s="61" t="str">
        <f aca="false">IF(IsPro,IF($D1551="","",IF(OR($H1551="",$H1551="Credit"),0,Q1551)),"")</f>
        <v/>
      </c>
    </row>
    <row r="1552" customFormat="false" ht="15" hidden="false" customHeight="false" outlineLevel="0" collapsed="false">
      <c r="A1552" s="55"/>
      <c r="B1552" s="56"/>
      <c r="C1552" s="56"/>
      <c r="D1552" s="56"/>
      <c r="E1552" s="57"/>
      <c r="F1552" s="58"/>
      <c r="G1552" s="59"/>
      <c r="H1552" s="56"/>
      <c r="I1552" s="56"/>
      <c r="J1552" s="60" t="str">
        <f aca="false">IF(IsPro,IF($D1552="","",IFERROR(INDEX(Items!$D$5:$D$504,U1552),"")),"")</f>
        <v/>
      </c>
      <c r="K1552" s="61" t="str">
        <f aca="false">IF(IsPro,IF($D1552="","",IF($F1552="",IFERROR(INDEX(Items!$H$5:$H$504,U1552),0),$F1552)),"")</f>
        <v/>
      </c>
      <c r="L1552" s="61" t="str">
        <f aca="false">IF(IsPro,IF($D1552="","",ROUND(N($E1552)*K1552*(1-N($G1552)),2)),"")</f>
        <v/>
      </c>
      <c r="M1552" s="62" t="str">
        <f aca="false">IF(IsPro,IF($D1552="","",IFERROR(INDEX(Items!$F$5:$F$504,U1552),0)),"")</f>
        <v/>
      </c>
      <c r="N1552" s="61" t="str">
        <f aca="false">IF(IsPro,IF($D1552="","",IF(AND(V1552&lt;&gt;"",INDEX(Parties!$E$5:$E$304,V1552)&lt;&gt;"",INDEX(Parties!$E$5:$E$304,V1552)&lt;&gt;HomeState),0,ROUND(L1552*M1552/2,2))),"")</f>
        <v/>
      </c>
      <c r="O1552" s="61" t="str">
        <f aca="false">IF(IsPro,IF($D1552="","",N1552),"")</f>
        <v/>
      </c>
      <c r="P1552" s="61" t="str">
        <f aca="false">IF(IsPro,IF($D1552="","",IF(AND(V1552&lt;&gt;"",INDEX(Parties!$E$5:$E$304,V1552)&lt;&gt;"",INDEX(Parties!$E$5:$E$304,V1552)&lt;&gt;HomeState),ROUND(L1552*M1552,2),0)),"")</f>
        <v/>
      </c>
      <c r="Q1552" s="61" t="str">
        <f aca="false">IF(IsPro,IF($D1552="","",L1552+N1552+O1552+P1552),"")</f>
        <v/>
      </c>
      <c r="R1552" s="61" t="str">
        <f aca="false">IF(IsPro,IF($D1552="","",ROUND(N($E1552)*IFERROR(INDEX(Items!$P$5:$P$504,U1552),0),2)),"")</f>
        <v/>
      </c>
      <c r="S1552" s="61" t="str">
        <f aca="false">IF(IsPro,IF($D1552="","",L1552-R1552),"")</f>
        <v/>
      </c>
      <c r="T1552" s="60" t="str">
        <f aca="false">IF(IsPro,IF($D1552="","",IF(U1552="","UNKNOWN ITEM",IF(INDEX(Items!$O$5:$O$504,U1552)&lt;0,"NEG STOCK",IF(K1552&lt;INDEX(Items!$P$5:$P$504,U1552),"BELOW COST","OK")))),IF($D1552="","","PRO PLAN"))</f>
        <v/>
      </c>
      <c r="U1552" s="60" t="str">
        <f aca="false">IF(IsPro,IF($D1552="","",IFERROR(MATCH($D1552,Items!$A$5:$A$504,0),"")),"")</f>
        <v/>
      </c>
      <c r="V1552" s="60" t="str">
        <f aca="false">IF(IsPro,IF($C1552="","",IFERROR(MATCH($C1552,Parties!$A$5:$A$304,0),"")),"")</f>
        <v/>
      </c>
      <c r="W1552" s="60" t="str">
        <f aca="false">IF(IsPro,IF($B1552="","",IFERROR(VALUE(SUBSTITUTE($B1552,InvPrefix,"")),0)),"")</f>
        <v/>
      </c>
      <c r="X1552" s="61" t="str">
        <f aca="false">IF(IsPro,IF($D1552="","",IF(OR($H1552="",$H1552="Credit"),0,Q1552)),"")</f>
        <v/>
      </c>
    </row>
    <row r="1553" customFormat="false" ht="15" hidden="false" customHeight="false" outlineLevel="0" collapsed="false">
      <c r="A1553" s="55"/>
      <c r="B1553" s="56"/>
      <c r="C1553" s="56"/>
      <c r="D1553" s="56"/>
      <c r="E1553" s="57"/>
      <c r="F1553" s="58"/>
      <c r="G1553" s="59"/>
      <c r="H1553" s="56"/>
      <c r="I1553" s="56"/>
      <c r="J1553" s="60" t="str">
        <f aca="false">IF(IsPro,IF($D1553="","",IFERROR(INDEX(Items!$D$5:$D$504,U1553),"")),"")</f>
        <v/>
      </c>
      <c r="K1553" s="61" t="str">
        <f aca="false">IF(IsPro,IF($D1553="","",IF($F1553="",IFERROR(INDEX(Items!$H$5:$H$504,U1553),0),$F1553)),"")</f>
        <v/>
      </c>
      <c r="L1553" s="61" t="str">
        <f aca="false">IF(IsPro,IF($D1553="","",ROUND(N($E1553)*K1553*(1-N($G1553)),2)),"")</f>
        <v/>
      </c>
      <c r="M1553" s="62" t="str">
        <f aca="false">IF(IsPro,IF($D1553="","",IFERROR(INDEX(Items!$F$5:$F$504,U1553),0)),"")</f>
        <v/>
      </c>
      <c r="N1553" s="61" t="str">
        <f aca="false">IF(IsPro,IF($D1553="","",IF(AND(V1553&lt;&gt;"",INDEX(Parties!$E$5:$E$304,V1553)&lt;&gt;"",INDEX(Parties!$E$5:$E$304,V1553)&lt;&gt;HomeState),0,ROUND(L1553*M1553/2,2))),"")</f>
        <v/>
      </c>
      <c r="O1553" s="61" t="str">
        <f aca="false">IF(IsPro,IF($D1553="","",N1553),"")</f>
        <v/>
      </c>
      <c r="P1553" s="61" t="str">
        <f aca="false">IF(IsPro,IF($D1553="","",IF(AND(V1553&lt;&gt;"",INDEX(Parties!$E$5:$E$304,V1553)&lt;&gt;"",INDEX(Parties!$E$5:$E$304,V1553)&lt;&gt;HomeState),ROUND(L1553*M1553,2),0)),"")</f>
        <v/>
      </c>
      <c r="Q1553" s="61" t="str">
        <f aca="false">IF(IsPro,IF($D1553="","",L1553+N1553+O1553+P1553),"")</f>
        <v/>
      </c>
      <c r="R1553" s="61" t="str">
        <f aca="false">IF(IsPro,IF($D1553="","",ROUND(N($E1553)*IFERROR(INDEX(Items!$P$5:$P$504,U1553),0),2)),"")</f>
        <v/>
      </c>
      <c r="S1553" s="61" t="str">
        <f aca="false">IF(IsPro,IF($D1553="","",L1553-R1553),"")</f>
        <v/>
      </c>
      <c r="T1553" s="60" t="str">
        <f aca="false">IF(IsPro,IF($D1553="","",IF(U1553="","UNKNOWN ITEM",IF(INDEX(Items!$O$5:$O$504,U1553)&lt;0,"NEG STOCK",IF(K1553&lt;INDEX(Items!$P$5:$P$504,U1553),"BELOW COST","OK")))),IF($D1553="","","PRO PLAN"))</f>
        <v/>
      </c>
      <c r="U1553" s="60" t="str">
        <f aca="false">IF(IsPro,IF($D1553="","",IFERROR(MATCH($D1553,Items!$A$5:$A$504,0),"")),"")</f>
        <v/>
      </c>
      <c r="V1553" s="60" t="str">
        <f aca="false">IF(IsPro,IF($C1553="","",IFERROR(MATCH($C1553,Parties!$A$5:$A$304,0),"")),"")</f>
        <v/>
      </c>
      <c r="W1553" s="60" t="str">
        <f aca="false">IF(IsPro,IF($B1553="","",IFERROR(VALUE(SUBSTITUTE($B1553,InvPrefix,"")),0)),"")</f>
        <v/>
      </c>
      <c r="X1553" s="61" t="str">
        <f aca="false">IF(IsPro,IF($D1553="","",IF(OR($H1553="",$H1553="Credit"),0,Q1553)),"")</f>
        <v/>
      </c>
    </row>
    <row r="1554" customFormat="false" ht="15" hidden="false" customHeight="false" outlineLevel="0" collapsed="false">
      <c r="A1554" s="55"/>
      <c r="B1554" s="56"/>
      <c r="C1554" s="56"/>
      <c r="D1554" s="56"/>
      <c r="E1554" s="57"/>
      <c r="F1554" s="58"/>
      <c r="G1554" s="59"/>
      <c r="H1554" s="56"/>
      <c r="I1554" s="56"/>
      <c r="J1554" s="60" t="str">
        <f aca="false">IF(IsPro,IF($D1554="","",IFERROR(INDEX(Items!$D$5:$D$504,U1554),"")),"")</f>
        <v/>
      </c>
      <c r="K1554" s="61" t="str">
        <f aca="false">IF(IsPro,IF($D1554="","",IF($F1554="",IFERROR(INDEX(Items!$H$5:$H$504,U1554),0),$F1554)),"")</f>
        <v/>
      </c>
      <c r="L1554" s="61" t="str">
        <f aca="false">IF(IsPro,IF($D1554="","",ROUND(N($E1554)*K1554*(1-N($G1554)),2)),"")</f>
        <v/>
      </c>
      <c r="M1554" s="62" t="str">
        <f aca="false">IF(IsPro,IF($D1554="","",IFERROR(INDEX(Items!$F$5:$F$504,U1554),0)),"")</f>
        <v/>
      </c>
      <c r="N1554" s="61" t="str">
        <f aca="false">IF(IsPro,IF($D1554="","",IF(AND(V1554&lt;&gt;"",INDEX(Parties!$E$5:$E$304,V1554)&lt;&gt;"",INDEX(Parties!$E$5:$E$304,V1554)&lt;&gt;HomeState),0,ROUND(L1554*M1554/2,2))),"")</f>
        <v/>
      </c>
      <c r="O1554" s="61" t="str">
        <f aca="false">IF(IsPro,IF($D1554="","",N1554),"")</f>
        <v/>
      </c>
      <c r="P1554" s="61" t="str">
        <f aca="false">IF(IsPro,IF($D1554="","",IF(AND(V1554&lt;&gt;"",INDEX(Parties!$E$5:$E$304,V1554)&lt;&gt;"",INDEX(Parties!$E$5:$E$304,V1554)&lt;&gt;HomeState),ROUND(L1554*M1554,2),0)),"")</f>
        <v/>
      </c>
      <c r="Q1554" s="61" t="str">
        <f aca="false">IF(IsPro,IF($D1554="","",L1554+N1554+O1554+P1554),"")</f>
        <v/>
      </c>
      <c r="R1554" s="61" t="str">
        <f aca="false">IF(IsPro,IF($D1554="","",ROUND(N($E1554)*IFERROR(INDEX(Items!$P$5:$P$504,U1554),0),2)),"")</f>
        <v/>
      </c>
      <c r="S1554" s="61" t="str">
        <f aca="false">IF(IsPro,IF($D1554="","",L1554-R1554),"")</f>
        <v/>
      </c>
      <c r="T1554" s="60" t="str">
        <f aca="false">IF(IsPro,IF($D1554="","",IF(U1554="","UNKNOWN ITEM",IF(INDEX(Items!$O$5:$O$504,U1554)&lt;0,"NEG STOCK",IF(K1554&lt;INDEX(Items!$P$5:$P$504,U1554),"BELOW COST","OK")))),IF($D1554="","","PRO PLAN"))</f>
        <v/>
      </c>
      <c r="U1554" s="60" t="str">
        <f aca="false">IF(IsPro,IF($D1554="","",IFERROR(MATCH($D1554,Items!$A$5:$A$504,0),"")),"")</f>
        <v/>
      </c>
      <c r="V1554" s="60" t="str">
        <f aca="false">IF(IsPro,IF($C1554="","",IFERROR(MATCH($C1554,Parties!$A$5:$A$304,0),"")),"")</f>
        <v/>
      </c>
      <c r="W1554" s="60" t="str">
        <f aca="false">IF(IsPro,IF($B1554="","",IFERROR(VALUE(SUBSTITUTE($B1554,InvPrefix,"")),0)),"")</f>
        <v/>
      </c>
      <c r="X1554" s="61" t="str">
        <f aca="false">IF(IsPro,IF($D1554="","",IF(OR($H1554="",$H1554="Credit"),0,Q1554)),"")</f>
        <v/>
      </c>
    </row>
    <row r="1555" customFormat="false" ht="15" hidden="false" customHeight="false" outlineLevel="0" collapsed="false">
      <c r="A1555" s="55"/>
      <c r="B1555" s="56"/>
      <c r="C1555" s="56"/>
      <c r="D1555" s="56"/>
      <c r="E1555" s="57"/>
      <c r="F1555" s="58"/>
      <c r="G1555" s="59"/>
      <c r="H1555" s="56"/>
      <c r="I1555" s="56"/>
      <c r="J1555" s="60" t="str">
        <f aca="false">IF(IsPro,IF($D1555="","",IFERROR(INDEX(Items!$D$5:$D$504,U1555),"")),"")</f>
        <v/>
      </c>
      <c r="K1555" s="61" t="str">
        <f aca="false">IF(IsPro,IF($D1555="","",IF($F1555="",IFERROR(INDEX(Items!$H$5:$H$504,U1555),0),$F1555)),"")</f>
        <v/>
      </c>
      <c r="L1555" s="61" t="str">
        <f aca="false">IF(IsPro,IF($D1555="","",ROUND(N($E1555)*K1555*(1-N($G1555)),2)),"")</f>
        <v/>
      </c>
      <c r="M1555" s="62" t="str">
        <f aca="false">IF(IsPro,IF($D1555="","",IFERROR(INDEX(Items!$F$5:$F$504,U1555),0)),"")</f>
        <v/>
      </c>
      <c r="N1555" s="61" t="str">
        <f aca="false">IF(IsPro,IF($D1555="","",IF(AND(V1555&lt;&gt;"",INDEX(Parties!$E$5:$E$304,V1555)&lt;&gt;"",INDEX(Parties!$E$5:$E$304,V1555)&lt;&gt;HomeState),0,ROUND(L1555*M1555/2,2))),"")</f>
        <v/>
      </c>
      <c r="O1555" s="61" t="str">
        <f aca="false">IF(IsPro,IF($D1555="","",N1555),"")</f>
        <v/>
      </c>
      <c r="P1555" s="61" t="str">
        <f aca="false">IF(IsPro,IF($D1555="","",IF(AND(V1555&lt;&gt;"",INDEX(Parties!$E$5:$E$304,V1555)&lt;&gt;"",INDEX(Parties!$E$5:$E$304,V1555)&lt;&gt;HomeState),ROUND(L1555*M1555,2),0)),"")</f>
        <v/>
      </c>
      <c r="Q1555" s="61" t="str">
        <f aca="false">IF(IsPro,IF($D1555="","",L1555+N1555+O1555+P1555),"")</f>
        <v/>
      </c>
      <c r="R1555" s="61" t="str">
        <f aca="false">IF(IsPro,IF($D1555="","",ROUND(N($E1555)*IFERROR(INDEX(Items!$P$5:$P$504,U1555),0),2)),"")</f>
        <v/>
      </c>
      <c r="S1555" s="61" t="str">
        <f aca="false">IF(IsPro,IF($D1555="","",L1555-R1555),"")</f>
        <v/>
      </c>
      <c r="T1555" s="60" t="str">
        <f aca="false">IF(IsPro,IF($D1555="","",IF(U1555="","UNKNOWN ITEM",IF(INDEX(Items!$O$5:$O$504,U1555)&lt;0,"NEG STOCK",IF(K1555&lt;INDEX(Items!$P$5:$P$504,U1555),"BELOW COST","OK")))),IF($D1555="","","PRO PLAN"))</f>
        <v/>
      </c>
      <c r="U1555" s="60" t="str">
        <f aca="false">IF(IsPro,IF($D1555="","",IFERROR(MATCH($D1555,Items!$A$5:$A$504,0),"")),"")</f>
        <v/>
      </c>
      <c r="V1555" s="60" t="str">
        <f aca="false">IF(IsPro,IF($C1555="","",IFERROR(MATCH($C1555,Parties!$A$5:$A$304,0),"")),"")</f>
        <v/>
      </c>
      <c r="W1555" s="60" t="str">
        <f aca="false">IF(IsPro,IF($B1555="","",IFERROR(VALUE(SUBSTITUTE($B1555,InvPrefix,"")),0)),"")</f>
        <v/>
      </c>
      <c r="X1555" s="61" t="str">
        <f aca="false">IF(IsPro,IF($D1555="","",IF(OR($H1555="",$H1555="Credit"),0,Q1555)),"")</f>
        <v/>
      </c>
    </row>
    <row r="1556" customFormat="false" ht="15" hidden="false" customHeight="false" outlineLevel="0" collapsed="false">
      <c r="A1556" s="55"/>
      <c r="B1556" s="56"/>
      <c r="C1556" s="56"/>
      <c r="D1556" s="56"/>
      <c r="E1556" s="57"/>
      <c r="F1556" s="58"/>
      <c r="G1556" s="59"/>
      <c r="H1556" s="56"/>
      <c r="I1556" s="56"/>
      <c r="J1556" s="60" t="str">
        <f aca="false">IF(IsPro,IF($D1556="","",IFERROR(INDEX(Items!$D$5:$D$504,U1556),"")),"")</f>
        <v/>
      </c>
      <c r="K1556" s="61" t="str">
        <f aca="false">IF(IsPro,IF($D1556="","",IF($F1556="",IFERROR(INDEX(Items!$H$5:$H$504,U1556),0),$F1556)),"")</f>
        <v/>
      </c>
      <c r="L1556" s="61" t="str">
        <f aca="false">IF(IsPro,IF($D1556="","",ROUND(N($E1556)*K1556*(1-N($G1556)),2)),"")</f>
        <v/>
      </c>
      <c r="M1556" s="62" t="str">
        <f aca="false">IF(IsPro,IF($D1556="","",IFERROR(INDEX(Items!$F$5:$F$504,U1556),0)),"")</f>
        <v/>
      </c>
      <c r="N1556" s="61" t="str">
        <f aca="false">IF(IsPro,IF($D1556="","",IF(AND(V1556&lt;&gt;"",INDEX(Parties!$E$5:$E$304,V1556)&lt;&gt;"",INDEX(Parties!$E$5:$E$304,V1556)&lt;&gt;HomeState),0,ROUND(L1556*M1556/2,2))),"")</f>
        <v/>
      </c>
      <c r="O1556" s="61" t="str">
        <f aca="false">IF(IsPro,IF($D1556="","",N1556),"")</f>
        <v/>
      </c>
      <c r="P1556" s="61" t="str">
        <f aca="false">IF(IsPro,IF($D1556="","",IF(AND(V1556&lt;&gt;"",INDEX(Parties!$E$5:$E$304,V1556)&lt;&gt;"",INDEX(Parties!$E$5:$E$304,V1556)&lt;&gt;HomeState),ROUND(L1556*M1556,2),0)),"")</f>
        <v/>
      </c>
      <c r="Q1556" s="61" t="str">
        <f aca="false">IF(IsPro,IF($D1556="","",L1556+N1556+O1556+P1556),"")</f>
        <v/>
      </c>
      <c r="R1556" s="61" t="str">
        <f aca="false">IF(IsPro,IF($D1556="","",ROUND(N($E1556)*IFERROR(INDEX(Items!$P$5:$P$504,U1556),0),2)),"")</f>
        <v/>
      </c>
      <c r="S1556" s="61" t="str">
        <f aca="false">IF(IsPro,IF($D1556="","",L1556-R1556),"")</f>
        <v/>
      </c>
      <c r="T1556" s="60" t="str">
        <f aca="false">IF(IsPro,IF($D1556="","",IF(U1556="","UNKNOWN ITEM",IF(INDEX(Items!$O$5:$O$504,U1556)&lt;0,"NEG STOCK",IF(K1556&lt;INDEX(Items!$P$5:$P$504,U1556),"BELOW COST","OK")))),IF($D1556="","","PRO PLAN"))</f>
        <v/>
      </c>
      <c r="U1556" s="60" t="str">
        <f aca="false">IF(IsPro,IF($D1556="","",IFERROR(MATCH($D1556,Items!$A$5:$A$504,0),"")),"")</f>
        <v/>
      </c>
      <c r="V1556" s="60" t="str">
        <f aca="false">IF(IsPro,IF($C1556="","",IFERROR(MATCH($C1556,Parties!$A$5:$A$304,0),"")),"")</f>
        <v/>
      </c>
      <c r="W1556" s="60" t="str">
        <f aca="false">IF(IsPro,IF($B1556="","",IFERROR(VALUE(SUBSTITUTE($B1556,InvPrefix,"")),0)),"")</f>
        <v/>
      </c>
      <c r="X1556" s="61" t="str">
        <f aca="false">IF(IsPro,IF($D1556="","",IF(OR($H1556="",$H1556="Credit"),0,Q1556)),"")</f>
        <v/>
      </c>
    </row>
    <row r="1557" customFormat="false" ht="15" hidden="false" customHeight="false" outlineLevel="0" collapsed="false">
      <c r="A1557" s="55"/>
      <c r="B1557" s="56"/>
      <c r="C1557" s="56"/>
      <c r="D1557" s="56"/>
      <c r="E1557" s="57"/>
      <c r="F1557" s="58"/>
      <c r="G1557" s="59"/>
      <c r="H1557" s="56"/>
      <c r="I1557" s="56"/>
      <c r="J1557" s="60" t="str">
        <f aca="false">IF(IsPro,IF($D1557="","",IFERROR(INDEX(Items!$D$5:$D$504,U1557),"")),"")</f>
        <v/>
      </c>
      <c r="K1557" s="61" t="str">
        <f aca="false">IF(IsPro,IF($D1557="","",IF($F1557="",IFERROR(INDEX(Items!$H$5:$H$504,U1557),0),$F1557)),"")</f>
        <v/>
      </c>
      <c r="L1557" s="61" t="str">
        <f aca="false">IF(IsPro,IF($D1557="","",ROUND(N($E1557)*K1557*(1-N($G1557)),2)),"")</f>
        <v/>
      </c>
      <c r="M1557" s="62" t="str">
        <f aca="false">IF(IsPro,IF($D1557="","",IFERROR(INDEX(Items!$F$5:$F$504,U1557),0)),"")</f>
        <v/>
      </c>
      <c r="N1557" s="61" t="str">
        <f aca="false">IF(IsPro,IF($D1557="","",IF(AND(V1557&lt;&gt;"",INDEX(Parties!$E$5:$E$304,V1557)&lt;&gt;"",INDEX(Parties!$E$5:$E$304,V1557)&lt;&gt;HomeState),0,ROUND(L1557*M1557/2,2))),"")</f>
        <v/>
      </c>
      <c r="O1557" s="61" t="str">
        <f aca="false">IF(IsPro,IF($D1557="","",N1557),"")</f>
        <v/>
      </c>
      <c r="P1557" s="61" t="str">
        <f aca="false">IF(IsPro,IF($D1557="","",IF(AND(V1557&lt;&gt;"",INDEX(Parties!$E$5:$E$304,V1557)&lt;&gt;"",INDEX(Parties!$E$5:$E$304,V1557)&lt;&gt;HomeState),ROUND(L1557*M1557,2),0)),"")</f>
        <v/>
      </c>
      <c r="Q1557" s="61" t="str">
        <f aca="false">IF(IsPro,IF($D1557="","",L1557+N1557+O1557+P1557),"")</f>
        <v/>
      </c>
      <c r="R1557" s="61" t="str">
        <f aca="false">IF(IsPro,IF($D1557="","",ROUND(N($E1557)*IFERROR(INDEX(Items!$P$5:$P$504,U1557),0),2)),"")</f>
        <v/>
      </c>
      <c r="S1557" s="61" t="str">
        <f aca="false">IF(IsPro,IF($D1557="","",L1557-R1557),"")</f>
        <v/>
      </c>
      <c r="T1557" s="60" t="str">
        <f aca="false">IF(IsPro,IF($D1557="","",IF(U1557="","UNKNOWN ITEM",IF(INDEX(Items!$O$5:$O$504,U1557)&lt;0,"NEG STOCK",IF(K1557&lt;INDEX(Items!$P$5:$P$504,U1557),"BELOW COST","OK")))),IF($D1557="","","PRO PLAN"))</f>
        <v/>
      </c>
      <c r="U1557" s="60" t="str">
        <f aca="false">IF(IsPro,IF($D1557="","",IFERROR(MATCH($D1557,Items!$A$5:$A$504,0),"")),"")</f>
        <v/>
      </c>
      <c r="V1557" s="60" t="str">
        <f aca="false">IF(IsPro,IF($C1557="","",IFERROR(MATCH($C1557,Parties!$A$5:$A$304,0),"")),"")</f>
        <v/>
      </c>
      <c r="W1557" s="60" t="str">
        <f aca="false">IF(IsPro,IF($B1557="","",IFERROR(VALUE(SUBSTITUTE($B1557,InvPrefix,"")),0)),"")</f>
        <v/>
      </c>
      <c r="X1557" s="61" t="str">
        <f aca="false">IF(IsPro,IF($D1557="","",IF(OR($H1557="",$H1557="Credit"),0,Q1557)),"")</f>
        <v/>
      </c>
    </row>
    <row r="1558" customFormat="false" ht="15" hidden="false" customHeight="false" outlineLevel="0" collapsed="false">
      <c r="A1558" s="55"/>
      <c r="B1558" s="56"/>
      <c r="C1558" s="56"/>
      <c r="D1558" s="56"/>
      <c r="E1558" s="57"/>
      <c r="F1558" s="58"/>
      <c r="G1558" s="59"/>
      <c r="H1558" s="56"/>
      <c r="I1558" s="56"/>
      <c r="J1558" s="60" t="str">
        <f aca="false">IF(IsPro,IF($D1558="","",IFERROR(INDEX(Items!$D$5:$D$504,U1558),"")),"")</f>
        <v/>
      </c>
      <c r="K1558" s="61" t="str">
        <f aca="false">IF(IsPro,IF($D1558="","",IF($F1558="",IFERROR(INDEX(Items!$H$5:$H$504,U1558),0),$F1558)),"")</f>
        <v/>
      </c>
      <c r="L1558" s="61" t="str">
        <f aca="false">IF(IsPro,IF($D1558="","",ROUND(N($E1558)*K1558*(1-N($G1558)),2)),"")</f>
        <v/>
      </c>
      <c r="M1558" s="62" t="str">
        <f aca="false">IF(IsPro,IF($D1558="","",IFERROR(INDEX(Items!$F$5:$F$504,U1558),0)),"")</f>
        <v/>
      </c>
      <c r="N1558" s="61" t="str">
        <f aca="false">IF(IsPro,IF($D1558="","",IF(AND(V1558&lt;&gt;"",INDEX(Parties!$E$5:$E$304,V1558)&lt;&gt;"",INDEX(Parties!$E$5:$E$304,V1558)&lt;&gt;HomeState),0,ROUND(L1558*M1558/2,2))),"")</f>
        <v/>
      </c>
      <c r="O1558" s="61" t="str">
        <f aca="false">IF(IsPro,IF($D1558="","",N1558),"")</f>
        <v/>
      </c>
      <c r="P1558" s="61" t="str">
        <f aca="false">IF(IsPro,IF($D1558="","",IF(AND(V1558&lt;&gt;"",INDEX(Parties!$E$5:$E$304,V1558)&lt;&gt;"",INDEX(Parties!$E$5:$E$304,V1558)&lt;&gt;HomeState),ROUND(L1558*M1558,2),0)),"")</f>
        <v/>
      </c>
      <c r="Q1558" s="61" t="str">
        <f aca="false">IF(IsPro,IF($D1558="","",L1558+N1558+O1558+P1558),"")</f>
        <v/>
      </c>
      <c r="R1558" s="61" t="str">
        <f aca="false">IF(IsPro,IF($D1558="","",ROUND(N($E1558)*IFERROR(INDEX(Items!$P$5:$P$504,U1558),0),2)),"")</f>
        <v/>
      </c>
      <c r="S1558" s="61" t="str">
        <f aca="false">IF(IsPro,IF($D1558="","",L1558-R1558),"")</f>
        <v/>
      </c>
      <c r="T1558" s="60" t="str">
        <f aca="false">IF(IsPro,IF($D1558="","",IF(U1558="","UNKNOWN ITEM",IF(INDEX(Items!$O$5:$O$504,U1558)&lt;0,"NEG STOCK",IF(K1558&lt;INDEX(Items!$P$5:$P$504,U1558),"BELOW COST","OK")))),IF($D1558="","","PRO PLAN"))</f>
        <v/>
      </c>
      <c r="U1558" s="60" t="str">
        <f aca="false">IF(IsPro,IF($D1558="","",IFERROR(MATCH($D1558,Items!$A$5:$A$504,0),"")),"")</f>
        <v/>
      </c>
      <c r="V1558" s="60" t="str">
        <f aca="false">IF(IsPro,IF($C1558="","",IFERROR(MATCH($C1558,Parties!$A$5:$A$304,0),"")),"")</f>
        <v/>
      </c>
      <c r="W1558" s="60" t="str">
        <f aca="false">IF(IsPro,IF($B1558="","",IFERROR(VALUE(SUBSTITUTE($B1558,InvPrefix,"")),0)),"")</f>
        <v/>
      </c>
      <c r="X1558" s="61" t="str">
        <f aca="false">IF(IsPro,IF($D1558="","",IF(OR($H1558="",$H1558="Credit"),0,Q1558)),"")</f>
        <v/>
      </c>
    </row>
    <row r="1559" customFormat="false" ht="15" hidden="false" customHeight="false" outlineLevel="0" collapsed="false">
      <c r="A1559" s="55"/>
      <c r="B1559" s="56"/>
      <c r="C1559" s="56"/>
      <c r="D1559" s="56"/>
      <c r="E1559" s="57"/>
      <c r="F1559" s="58"/>
      <c r="G1559" s="59"/>
      <c r="H1559" s="56"/>
      <c r="I1559" s="56"/>
      <c r="J1559" s="60" t="str">
        <f aca="false">IF(IsPro,IF($D1559="","",IFERROR(INDEX(Items!$D$5:$D$504,U1559),"")),"")</f>
        <v/>
      </c>
      <c r="K1559" s="61" t="str">
        <f aca="false">IF(IsPro,IF($D1559="","",IF($F1559="",IFERROR(INDEX(Items!$H$5:$H$504,U1559),0),$F1559)),"")</f>
        <v/>
      </c>
      <c r="L1559" s="61" t="str">
        <f aca="false">IF(IsPro,IF($D1559="","",ROUND(N($E1559)*K1559*(1-N($G1559)),2)),"")</f>
        <v/>
      </c>
      <c r="M1559" s="62" t="str">
        <f aca="false">IF(IsPro,IF($D1559="","",IFERROR(INDEX(Items!$F$5:$F$504,U1559),0)),"")</f>
        <v/>
      </c>
      <c r="N1559" s="61" t="str">
        <f aca="false">IF(IsPro,IF($D1559="","",IF(AND(V1559&lt;&gt;"",INDEX(Parties!$E$5:$E$304,V1559)&lt;&gt;"",INDEX(Parties!$E$5:$E$304,V1559)&lt;&gt;HomeState),0,ROUND(L1559*M1559/2,2))),"")</f>
        <v/>
      </c>
      <c r="O1559" s="61" t="str">
        <f aca="false">IF(IsPro,IF($D1559="","",N1559),"")</f>
        <v/>
      </c>
      <c r="P1559" s="61" t="str">
        <f aca="false">IF(IsPro,IF($D1559="","",IF(AND(V1559&lt;&gt;"",INDEX(Parties!$E$5:$E$304,V1559)&lt;&gt;"",INDEX(Parties!$E$5:$E$304,V1559)&lt;&gt;HomeState),ROUND(L1559*M1559,2),0)),"")</f>
        <v/>
      </c>
      <c r="Q1559" s="61" t="str">
        <f aca="false">IF(IsPro,IF($D1559="","",L1559+N1559+O1559+P1559),"")</f>
        <v/>
      </c>
      <c r="R1559" s="61" t="str">
        <f aca="false">IF(IsPro,IF($D1559="","",ROUND(N($E1559)*IFERROR(INDEX(Items!$P$5:$P$504,U1559),0),2)),"")</f>
        <v/>
      </c>
      <c r="S1559" s="61" t="str">
        <f aca="false">IF(IsPro,IF($D1559="","",L1559-R1559),"")</f>
        <v/>
      </c>
      <c r="T1559" s="60" t="str">
        <f aca="false">IF(IsPro,IF($D1559="","",IF(U1559="","UNKNOWN ITEM",IF(INDEX(Items!$O$5:$O$504,U1559)&lt;0,"NEG STOCK",IF(K1559&lt;INDEX(Items!$P$5:$P$504,U1559),"BELOW COST","OK")))),IF($D1559="","","PRO PLAN"))</f>
        <v/>
      </c>
      <c r="U1559" s="60" t="str">
        <f aca="false">IF(IsPro,IF($D1559="","",IFERROR(MATCH($D1559,Items!$A$5:$A$504,0),"")),"")</f>
        <v/>
      </c>
      <c r="V1559" s="60" t="str">
        <f aca="false">IF(IsPro,IF($C1559="","",IFERROR(MATCH($C1559,Parties!$A$5:$A$304,0),"")),"")</f>
        <v/>
      </c>
      <c r="W1559" s="60" t="str">
        <f aca="false">IF(IsPro,IF($B1559="","",IFERROR(VALUE(SUBSTITUTE($B1559,InvPrefix,"")),0)),"")</f>
        <v/>
      </c>
      <c r="X1559" s="61" t="str">
        <f aca="false">IF(IsPro,IF($D1559="","",IF(OR($H1559="",$H1559="Credit"),0,Q1559)),"")</f>
        <v/>
      </c>
    </row>
    <row r="1560" customFormat="false" ht="15" hidden="false" customHeight="false" outlineLevel="0" collapsed="false">
      <c r="A1560" s="55"/>
      <c r="B1560" s="56"/>
      <c r="C1560" s="56"/>
      <c r="D1560" s="56"/>
      <c r="E1560" s="57"/>
      <c r="F1560" s="58"/>
      <c r="G1560" s="59"/>
      <c r="H1560" s="56"/>
      <c r="I1560" s="56"/>
      <c r="J1560" s="60" t="str">
        <f aca="false">IF(IsPro,IF($D1560="","",IFERROR(INDEX(Items!$D$5:$D$504,U1560),"")),"")</f>
        <v/>
      </c>
      <c r="K1560" s="61" t="str">
        <f aca="false">IF(IsPro,IF($D1560="","",IF($F1560="",IFERROR(INDEX(Items!$H$5:$H$504,U1560),0),$F1560)),"")</f>
        <v/>
      </c>
      <c r="L1560" s="61" t="str">
        <f aca="false">IF(IsPro,IF($D1560="","",ROUND(N($E1560)*K1560*(1-N($G1560)),2)),"")</f>
        <v/>
      </c>
      <c r="M1560" s="62" t="str">
        <f aca="false">IF(IsPro,IF($D1560="","",IFERROR(INDEX(Items!$F$5:$F$504,U1560),0)),"")</f>
        <v/>
      </c>
      <c r="N1560" s="61" t="str">
        <f aca="false">IF(IsPro,IF($D1560="","",IF(AND(V1560&lt;&gt;"",INDEX(Parties!$E$5:$E$304,V1560)&lt;&gt;"",INDEX(Parties!$E$5:$E$304,V1560)&lt;&gt;HomeState),0,ROUND(L1560*M1560/2,2))),"")</f>
        <v/>
      </c>
      <c r="O1560" s="61" t="str">
        <f aca="false">IF(IsPro,IF($D1560="","",N1560),"")</f>
        <v/>
      </c>
      <c r="P1560" s="61" t="str">
        <f aca="false">IF(IsPro,IF($D1560="","",IF(AND(V1560&lt;&gt;"",INDEX(Parties!$E$5:$E$304,V1560)&lt;&gt;"",INDEX(Parties!$E$5:$E$304,V1560)&lt;&gt;HomeState),ROUND(L1560*M1560,2),0)),"")</f>
        <v/>
      </c>
      <c r="Q1560" s="61" t="str">
        <f aca="false">IF(IsPro,IF($D1560="","",L1560+N1560+O1560+P1560),"")</f>
        <v/>
      </c>
      <c r="R1560" s="61" t="str">
        <f aca="false">IF(IsPro,IF($D1560="","",ROUND(N($E1560)*IFERROR(INDEX(Items!$P$5:$P$504,U1560),0),2)),"")</f>
        <v/>
      </c>
      <c r="S1560" s="61" t="str">
        <f aca="false">IF(IsPro,IF($D1560="","",L1560-R1560),"")</f>
        <v/>
      </c>
      <c r="T1560" s="60" t="str">
        <f aca="false">IF(IsPro,IF($D1560="","",IF(U1560="","UNKNOWN ITEM",IF(INDEX(Items!$O$5:$O$504,U1560)&lt;0,"NEG STOCK",IF(K1560&lt;INDEX(Items!$P$5:$P$504,U1560),"BELOW COST","OK")))),IF($D1560="","","PRO PLAN"))</f>
        <v/>
      </c>
      <c r="U1560" s="60" t="str">
        <f aca="false">IF(IsPro,IF($D1560="","",IFERROR(MATCH($D1560,Items!$A$5:$A$504,0),"")),"")</f>
        <v/>
      </c>
      <c r="V1560" s="60" t="str">
        <f aca="false">IF(IsPro,IF($C1560="","",IFERROR(MATCH($C1560,Parties!$A$5:$A$304,0),"")),"")</f>
        <v/>
      </c>
      <c r="W1560" s="60" t="str">
        <f aca="false">IF(IsPro,IF($B1560="","",IFERROR(VALUE(SUBSTITUTE($B1560,InvPrefix,"")),0)),"")</f>
        <v/>
      </c>
      <c r="X1560" s="61" t="str">
        <f aca="false">IF(IsPro,IF($D1560="","",IF(OR($H1560="",$H1560="Credit"),0,Q1560)),"")</f>
        <v/>
      </c>
    </row>
    <row r="1561" customFormat="false" ht="15" hidden="false" customHeight="false" outlineLevel="0" collapsed="false">
      <c r="A1561" s="55"/>
      <c r="B1561" s="56"/>
      <c r="C1561" s="56"/>
      <c r="D1561" s="56"/>
      <c r="E1561" s="57"/>
      <c r="F1561" s="58"/>
      <c r="G1561" s="59"/>
      <c r="H1561" s="56"/>
      <c r="I1561" s="56"/>
      <c r="J1561" s="60" t="str">
        <f aca="false">IF(IsPro,IF($D1561="","",IFERROR(INDEX(Items!$D$5:$D$504,U1561),"")),"")</f>
        <v/>
      </c>
      <c r="K1561" s="61" t="str">
        <f aca="false">IF(IsPro,IF($D1561="","",IF($F1561="",IFERROR(INDEX(Items!$H$5:$H$504,U1561),0),$F1561)),"")</f>
        <v/>
      </c>
      <c r="L1561" s="61" t="str">
        <f aca="false">IF(IsPro,IF($D1561="","",ROUND(N($E1561)*K1561*(1-N($G1561)),2)),"")</f>
        <v/>
      </c>
      <c r="M1561" s="62" t="str">
        <f aca="false">IF(IsPro,IF($D1561="","",IFERROR(INDEX(Items!$F$5:$F$504,U1561),0)),"")</f>
        <v/>
      </c>
      <c r="N1561" s="61" t="str">
        <f aca="false">IF(IsPro,IF($D1561="","",IF(AND(V1561&lt;&gt;"",INDEX(Parties!$E$5:$E$304,V1561)&lt;&gt;"",INDEX(Parties!$E$5:$E$304,V1561)&lt;&gt;HomeState),0,ROUND(L1561*M1561/2,2))),"")</f>
        <v/>
      </c>
      <c r="O1561" s="61" t="str">
        <f aca="false">IF(IsPro,IF($D1561="","",N1561),"")</f>
        <v/>
      </c>
      <c r="P1561" s="61" t="str">
        <f aca="false">IF(IsPro,IF($D1561="","",IF(AND(V1561&lt;&gt;"",INDEX(Parties!$E$5:$E$304,V1561)&lt;&gt;"",INDEX(Parties!$E$5:$E$304,V1561)&lt;&gt;HomeState),ROUND(L1561*M1561,2),0)),"")</f>
        <v/>
      </c>
      <c r="Q1561" s="61" t="str">
        <f aca="false">IF(IsPro,IF($D1561="","",L1561+N1561+O1561+P1561),"")</f>
        <v/>
      </c>
      <c r="R1561" s="61" t="str">
        <f aca="false">IF(IsPro,IF($D1561="","",ROUND(N($E1561)*IFERROR(INDEX(Items!$P$5:$P$504,U1561),0),2)),"")</f>
        <v/>
      </c>
      <c r="S1561" s="61" t="str">
        <f aca="false">IF(IsPro,IF($D1561="","",L1561-R1561),"")</f>
        <v/>
      </c>
      <c r="T1561" s="60" t="str">
        <f aca="false">IF(IsPro,IF($D1561="","",IF(U1561="","UNKNOWN ITEM",IF(INDEX(Items!$O$5:$O$504,U1561)&lt;0,"NEG STOCK",IF(K1561&lt;INDEX(Items!$P$5:$P$504,U1561),"BELOW COST","OK")))),IF($D1561="","","PRO PLAN"))</f>
        <v/>
      </c>
      <c r="U1561" s="60" t="str">
        <f aca="false">IF(IsPro,IF($D1561="","",IFERROR(MATCH($D1561,Items!$A$5:$A$504,0),"")),"")</f>
        <v/>
      </c>
      <c r="V1561" s="60" t="str">
        <f aca="false">IF(IsPro,IF($C1561="","",IFERROR(MATCH($C1561,Parties!$A$5:$A$304,0),"")),"")</f>
        <v/>
      </c>
      <c r="W1561" s="60" t="str">
        <f aca="false">IF(IsPro,IF($B1561="","",IFERROR(VALUE(SUBSTITUTE($B1561,InvPrefix,"")),0)),"")</f>
        <v/>
      </c>
      <c r="X1561" s="61" t="str">
        <f aca="false">IF(IsPro,IF($D1561="","",IF(OR($H1561="",$H1561="Credit"),0,Q1561)),"")</f>
        <v/>
      </c>
    </row>
    <row r="1562" customFormat="false" ht="15" hidden="false" customHeight="false" outlineLevel="0" collapsed="false">
      <c r="A1562" s="55"/>
      <c r="B1562" s="56"/>
      <c r="C1562" s="56"/>
      <c r="D1562" s="56"/>
      <c r="E1562" s="57"/>
      <c r="F1562" s="58"/>
      <c r="G1562" s="59"/>
      <c r="H1562" s="56"/>
      <c r="I1562" s="56"/>
      <c r="J1562" s="60" t="str">
        <f aca="false">IF(IsPro,IF($D1562="","",IFERROR(INDEX(Items!$D$5:$D$504,U1562),"")),"")</f>
        <v/>
      </c>
      <c r="K1562" s="61" t="str">
        <f aca="false">IF(IsPro,IF($D1562="","",IF($F1562="",IFERROR(INDEX(Items!$H$5:$H$504,U1562),0),$F1562)),"")</f>
        <v/>
      </c>
      <c r="L1562" s="61" t="str">
        <f aca="false">IF(IsPro,IF($D1562="","",ROUND(N($E1562)*K1562*(1-N($G1562)),2)),"")</f>
        <v/>
      </c>
      <c r="M1562" s="62" t="str">
        <f aca="false">IF(IsPro,IF($D1562="","",IFERROR(INDEX(Items!$F$5:$F$504,U1562),0)),"")</f>
        <v/>
      </c>
      <c r="N1562" s="61" t="str">
        <f aca="false">IF(IsPro,IF($D1562="","",IF(AND(V1562&lt;&gt;"",INDEX(Parties!$E$5:$E$304,V1562)&lt;&gt;"",INDEX(Parties!$E$5:$E$304,V1562)&lt;&gt;HomeState),0,ROUND(L1562*M1562/2,2))),"")</f>
        <v/>
      </c>
      <c r="O1562" s="61" t="str">
        <f aca="false">IF(IsPro,IF($D1562="","",N1562),"")</f>
        <v/>
      </c>
      <c r="P1562" s="61" t="str">
        <f aca="false">IF(IsPro,IF($D1562="","",IF(AND(V1562&lt;&gt;"",INDEX(Parties!$E$5:$E$304,V1562)&lt;&gt;"",INDEX(Parties!$E$5:$E$304,V1562)&lt;&gt;HomeState),ROUND(L1562*M1562,2),0)),"")</f>
        <v/>
      </c>
      <c r="Q1562" s="61" t="str">
        <f aca="false">IF(IsPro,IF($D1562="","",L1562+N1562+O1562+P1562),"")</f>
        <v/>
      </c>
      <c r="R1562" s="61" t="str">
        <f aca="false">IF(IsPro,IF($D1562="","",ROUND(N($E1562)*IFERROR(INDEX(Items!$P$5:$P$504,U1562),0),2)),"")</f>
        <v/>
      </c>
      <c r="S1562" s="61" t="str">
        <f aca="false">IF(IsPro,IF($D1562="","",L1562-R1562),"")</f>
        <v/>
      </c>
      <c r="T1562" s="60" t="str">
        <f aca="false">IF(IsPro,IF($D1562="","",IF(U1562="","UNKNOWN ITEM",IF(INDEX(Items!$O$5:$O$504,U1562)&lt;0,"NEG STOCK",IF(K1562&lt;INDEX(Items!$P$5:$P$504,U1562),"BELOW COST","OK")))),IF($D1562="","","PRO PLAN"))</f>
        <v/>
      </c>
      <c r="U1562" s="60" t="str">
        <f aca="false">IF(IsPro,IF($D1562="","",IFERROR(MATCH($D1562,Items!$A$5:$A$504,0),"")),"")</f>
        <v/>
      </c>
      <c r="V1562" s="60" t="str">
        <f aca="false">IF(IsPro,IF($C1562="","",IFERROR(MATCH($C1562,Parties!$A$5:$A$304,0),"")),"")</f>
        <v/>
      </c>
      <c r="W1562" s="60" t="str">
        <f aca="false">IF(IsPro,IF($B1562="","",IFERROR(VALUE(SUBSTITUTE($B1562,InvPrefix,"")),0)),"")</f>
        <v/>
      </c>
      <c r="X1562" s="61" t="str">
        <f aca="false">IF(IsPro,IF($D1562="","",IF(OR($H1562="",$H1562="Credit"),0,Q1562)),"")</f>
        <v/>
      </c>
    </row>
    <row r="1563" customFormat="false" ht="15" hidden="false" customHeight="false" outlineLevel="0" collapsed="false">
      <c r="A1563" s="55"/>
      <c r="B1563" s="56"/>
      <c r="C1563" s="56"/>
      <c r="D1563" s="56"/>
      <c r="E1563" s="57"/>
      <c r="F1563" s="58"/>
      <c r="G1563" s="59"/>
      <c r="H1563" s="56"/>
      <c r="I1563" s="56"/>
      <c r="J1563" s="60" t="str">
        <f aca="false">IF(IsPro,IF($D1563="","",IFERROR(INDEX(Items!$D$5:$D$504,U1563),"")),"")</f>
        <v/>
      </c>
      <c r="K1563" s="61" t="str">
        <f aca="false">IF(IsPro,IF($D1563="","",IF($F1563="",IFERROR(INDEX(Items!$H$5:$H$504,U1563),0),$F1563)),"")</f>
        <v/>
      </c>
      <c r="L1563" s="61" t="str">
        <f aca="false">IF(IsPro,IF($D1563="","",ROUND(N($E1563)*K1563*(1-N($G1563)),2)),"")</f>
        <v/>
      </c>
      <c r="M1563" s="62" t="str">
        <f aca="false">IF(IsPro,IF($D1563="","",IFERROR(INDEX(Items!$F$5:$F$504,U1563),0)),"")</f>
        <v/>
      </c>
      <c r="N1563" s="61" t="str">
        <f aca="false">IF(IsPro,IF($D1563="","",IF(AND(V1563&lt;&gt;"",INDEX(Parties!$E$5:$E$304,V1563)&lt;&gt;"",INDEX(Parties!$E$5:$E$304,V1563)&lt;&gt;HomeState),0,ROUND(L1563*M1563/2,2))),"")</f>
        <v/>
      </c>
      <c r="O1563" s="61" t="str">
        <f aca="false">IF(IsPro,IF($D1563="","",N1563),"")</f>
        <v/>
      </c>
      <c r="P1563" s="61" t="str">
        <f aca="false">IF(IsPro,IF($D1563="","",IF(AND(V1563&lt;&gt;"",INDEX(Parties!$E$5:$E$304,V1563)&lt;&gt;"",INDEX(Parties!$E$5:$E$304,V1563)&lt;&gt;HomeState),ROUND(L1563*M1563,2),0)),"")</f>
        <v/>
      </c>
      <c r="Q1563" s="61" t="str">
        <f aca="false">IF(IsPro,IF($D1563="","",L1563+N1563+O1563+P1563),"")</f>
        <v/>
      </c>
      <c r="R1563" s="61" t="str">
        <f aca="false">IF(IsPro,IF($D1563="","",ROUND(N($E1563)*IFERROR(INDEX(Items!$P$5:$P$504,U1563),0),2)),"")</f>
        <v/>
      </c>
      <c r="S1563" s="61" t="str">
        <f aca="false">IF(IsPro,IF($D1563="","",L1563-R1563),"")</f>
        <v/>
      </c>
      <c r="T1563" s="60" t="str">
        <f aca="false">IF(IsPro,IF($D1563="","",IF(U1563="","UNKNOWN ITEM",IF(INDEX(Items!$O$5:$O$504,U1563)&lt;0,"NEG STOCK",IF(K1563&lt;INDEX(Items!$P$5:$P$504,U1563),"BELOW COST","OK")))),IF($D1563="","","PRO PLAN"))</f>
        <v/>
      </c>
      <c r="U1563" s="60" t="str">
        <f aca="false">IF(IsPro,IF($D1563="","",IFERROR(MATCH($D1563,Items!$A$5:$A$504,0),"")),"")</f>
        <v/>
      </c>
      <c r="V1563" s="60" t="str">
        <f aca="false">IF(IsPro,IF($C1563="","",IFERROR(MATCH($C1563,Parties!$A$5:$A$304,0),"")),"")</f>
        <v/>
      </c>
      <c r="W1563" s="60" t="str">
        <f aca="false">IF(IsPro,IF($B1563="","",IFERROR(VALUE(SUBSTITUTE($B1563,InvPrefix,"")),0)),"")</f>
        <v/>
      </c>
      <c r="X1563" s="61" t="str">
        <f aca="false">IF(IsPro,IF($D1563="","",IF(OR($H1563="",$H1563="Credit"),0,Q1563)),"")</f>
        <v/>
      </c>
    </row>
    <row r="1564" customFormat="false" ht="15" hidden="false" customHeight="false" outlineLevel="0" collapsed="false">
      <c r="A1564" s="55"/>
      <c r="B1564" s="56"/>
      <c r="C1564" s="56"/>
      <c r="D1564" s="56"/>
      <c r="E1564" s="57"/>
      <c r="F1564" s="58"/>
      <c r="G1564" s="59"/>
      <c r="H1564" s="56"/>
      <c r="I1564" s="56"/>
      <c r="J1564" s="60" t="str">
        <f aca="false">IF(IsPro,IF($D1564="","",IFERROR(INDEX(Items!$D$5:$D$504,U1564),"")),"")</f>
        <v/>
      </c>
      <c r="K1564" s="61" t="str">
        <f aca="false">IF(IsPro,IF($D1564="","",IF($F1564="",IFERROR(INDEX(Items!$H$5:$H$504,U1564),0),$F1564)),"")</f>
        <v/>
      </c>
      <c r="L1564" s="61" t="str">
        <f aca="false">IF(IsPro,IF($D1564="","",ROUND(N($E1564)*K1564*(1-N($G1564)),2)),"")</f>
        <v/>
      </c>
      <c r="M1564" s="62" t="str">
        <f aca="false">IF(IsPro,IF($D1564="","",IFERROR(INDEX(Items!$F$5:$F$504,U1564),0)),"")</f>
        <v/>
      </c>
      <c r="N1564" s="61" t="str">
        <f aca="false">IF(IsPro,IF($D1564="","",IF(AND(V1564&lt;&gt;"",INDEX(Parties!$E$5:$E$304,V1564)&lt;&gt;"",INDEX(Parties!$E$5:$E$304,V1564)&lt;&gt;HomeState),0,ROUND(L1564*M1564/2,2))),"")</f>
        <v/>
      </c>
      <c r="O1564" s="61" t="str">
        <f aca="false">IF(IsPro,IF($D1564="","",N1564),"")</f>
        <v/>
      </c>
      <c r="P1564" s="61" t="str">
        <f aca="false">IF(IsPro,IF($D1564="","",IF(AND(V1564&lt;&gt;"",INDEX(Parties!$E$5:$E$304,V1564)&lt;&gt;"",INDEX(Parties!$E$5:$E$304,V1564)&lt;&gt;HomeState),ROUND(L1564*M1564,2),0)),"")</f>
        <v/>
      </c>
      <c r="Q1564" s="61" t="str">
        <f aca="false">IF(IsPro,IF($D1564="","",L1564+N1564+O1564+P1564),"")</f>
        <v/>
      </c>
      <c r="R1564" s="61" t="str">
        <f aca="false">IF(IsPro,IF($D1564="","",ROUND(N($E1564)*IFERROR(INDEX(Items!$P$5:$P$504,U1564),0),2)),"")</f>
        <v/>
      </c>
      <c r="S1564" s="61" t="str">
        <f aca="false">IF(IsPro,IF($D1564="","",L1564-R1564),"")</f>
        <v/>
      </c>
      <c r="T1564" s="60" t="str">
        <f aca="false">IF(IsPro,IF($D1564="","",IF(U1564="","UNKNOWN ITEM",IF(INDEX(Items!$O$5:$O$504,U1564)&lt;0,"NEG STOCK",IF(K1564&lt;INDEX(Items!$P$5:$P$504,U1564),"BELOW COST","OK")))),IF($D1564="","","PRO PLAN"))</f>
        <v/>
      </c>
      <c r="U1564" s="60" t="str">
        <f aca="false">IF(IsPro,IF($D1564="","",IFERROR(MATCH($D1564,Items!$A$5:$A$504,0),"")),"")</f>
        <v/>
      </c>
      <c r="V1564" s="60" t="str">
        <f aca="false">IF(IsPro,IF($C1564="","",IFERROR(MATCH($C1564,Parties!$A$5:$A$304,0),"")),"")</f>
        <v/>
      </c>
      <c r="W1564" s="60" t="str">
        <f aca="false">IF(IsPro,IF($B1564="","",IFERROR(VALUE(SUBSTITUTE($B1564,InvPrefix,"")),0)),"")</f>
        <v/>
      </c>
      <c r="X1564" s="61" t="str">
        <f aca="false">IF(IsPro,IF($D1564="","",IF(OR($H1564="",$H1564="Credit"),0,Q1564)),"")</f>
        <v/>
      </c>
    </row>
    <row r="1565" customFormat="false" ht="15" hidden="false" customHeight="false" outlineLevel="0" collapsed="false">
      <c r="A1565" s="55"/>
      <c r="B1565" s="56"/>
      <c r="C1565" s="56"/>
      <c r="D1565" s="56"/>
      <c r="E1565" s="57"/>
      <c r="F1565" s="58"/>
      <c r="G1565" s="59"/>
      <c r="H1565" s="56"/>
      <c r="I1565" s="56"/>
      <c r="J1565" s="60" t="str">
        <f aca="false">IF(IsPro,IF($D1565="","",IFERROR(INDEX(Items!$D$5:$D$504,U1565),"")),"")</f>
        <v/>
      </c>
      <c r="K1565" s="61" t="str">
        <f aca="false">IF(IsPro,IF($D1565="","",IF($F1565="",IFERROR(INDEX(Items!$H$5:$H$504,U1565),0),$F1565)),"")</f>
        <v/>
      </c>
      <c r="L1565" s="61" t="str">
        <f aca="false">IF(IsPro,IF($D1565="","",ROUND(N($E1565)*K1565*(1-N($G1565)),2)),"")</f>
        <v/>
      </c>
      <c r="M1565" s="62" t="str">
        <f aca="false">IF(IsPro,IF($D1565="","",IFERROR(INDEX(Items!$F$5:$F$504,U1565),0)),"")</f>
        <v/>
      </c>
      <c r="N1565" s="61" t="str">
        <f aca="false">IF(IsPro,IF($D1565="","",IF(AND(V1565&lt;&gt;"",INDEX(Parties!$E$5:$E$304,V1565)&lt;&gt;"",INDEX(Parties!$E$5:$E$304,V1565)&lt;&gt;HomeState),0,ROUND(L1565*M1565/2,2))),"")</f>
        <v/>
      </c>
      <c r="O1565" s="61" t="str">
        <f aca="false">IF(IsPro,IF($D1565="","",N1565),"")</f>
        <v/>
      </c>
      <c r="P1565" s="61" t="str">
        <f aca="false">IF(IsPro,IF($D1565="","",IF(AND(V1565&lt;&gt;"",INDEX(Parties!$E$5:$E$304,V1565)&lt;&gt;"",INDEX(Parties!$E$5:$E$304,V1565)&lt;&gt;HomeState),ROUND(L1565*M1565,2),0)),"")</f>
        <v/>
      </c>
      <c r="Q1565" s="61" t="str">
        <f aca="false">IF(IsPro,IF($D1565="","",L1565+N1565+O1565+P1565),"")</f>
        <v/>
      </c>
      <c r="R1565" s="61" t="str">
        <f aca="false">IF(IsPro,IF($D1565="","",ROUND(N($E1565)*IFERROR(INDEX(Items!$P$5:$P$504,U1565),0),2)),"")</f>
        <v/>
      </c>
      <c r="S1565" s="61" t="str">
        <f aca="false">IF(IsPro,IF($D1565="","",L1565-R1565),"")</f>
        <v/>
      </c>
      <c r="T1565" s="60" t="str">
        <f aca="false">IF(IsPro,IF($D1565="","",IF(U1565="","UNKNOWN ITEM",IF(INDEX(Items!$O$5:$O$504,U1565)&lt;0,"NEG STOCK",IF(K1565&lt;INDEX(Items!$P$5:$P$504,U1565),"BELOW COST","OK")))),IF($D1565="","","PRO PLAN"))</f>
        <v/>
      </c>
      <c r="U1565" s="60" t="str">
        <f aca="false">IF(IsPro,IF($D1565="","",IFERROR(MATCH($D1565,Items!$A$5:$A$504,0),"")),"")</f>
        <v/>
      </c>
      <c r="V1565" s="60" t="str">
        <f aca="false">IF(IsPro,IF($C1565="","",IFERROR(MATCH($C1565,Parties!$A$5:$A$304,0),"")),"")</f>
        <v/>
      </c>
      <c r="W1565" s="60" t="str">
        <f aca="false">IF(IsPro,IF($B1565="","",IFERROR(VALUE(SUBSTITUTE($B1565,InvPrefix,"")),0)),"")</f>
        <v/>
      </c>
      <c r="X1565" s="61" t="str">
        <f aca="false">IF(IsPro,IF($D1565="","",IF(OR($H1565="",$H1565="Credit"),0,Q1565)),"")</f>
        <v/>
      </c>
    </row>
    <row r="1566" customFormat="false" ht="15" hidden="false" customHeight="false" outlineLevel="0" collapsed="false">
      <c r="A1566" s="55"/>
      <c r="B1566" s="56"/>
      <c r="C1566" s="56"/>
      <c r="D1566" s="56"/>
      <c r="E1566" s="57"/>
      <c r="F1566" s="58"/>
      <c r="G1566" s="59"/>
      <c r="H1566" s="56"/>
      <c r="I1566" s="56"/>
      <c r="J1566" s="60" t="str">
        <f aca="false">IF(IsPro,IF($D1566="","",IFERROR(INDEX(Items!$D$5:$D$504,U1566),"")),"")</f>
        <v/>
      </c>
      <c r="K1566" s="61" t="str">
        <f aca="false">IF(IsPro,IF($D1566="","",IF($F1566="",IFERROR(INDEX(Items!$H$5:$H$504,U1566),0),$F1566)),"")</f>
        <v/>
      </c>
      <c r="L1566" s="61" t="str">
        <f aca="false">IF(IsPro,IF($D1566="","",ROUND(N($E1566)*K1566*(1-N($G1566)),2)),"")</f>
        <v/>
      </c>
      <c r="M1566" s="62" t="str">
        <f aca="false">IF(IsPro,IF($D1566="","",IFERROR(INDEX(Items!$F$5:$F$504,U1566),0)),"")</f>
        <v/>
      </c>
      <c r="N1566" s="61" t="str">
        <f aca="false">IF(IsPro,IF($D1566="","",IF(AND(V1566&lt;&gt;"",INDEX(Parties!$E$5:$E$304,V1566)&lt;&gt;"",INDEX(Parties!$E$5:$E$304,V1566)&lt;&gt;HomeState),0,ROUND(L1566*M1566/2,2))),"")</f>
        <v/>
      </c>
      <c r="O1566" s="61" t="str">
        <f aca="false">IF(IsPro,IF($D1566="","",N1566),"")</f>
        <v/>
      </c>
      <c r="P1566" s="61" t="str">
        <f aca="false">IF(IsPro,IF($D1566="","",IF(AND(V1566&lt;&gt;"",INDEX(Parties!$E$5:$E$304,V1566)&lt;&gt;"",INDEX(Parties!$E$5:$E$304,V1566)&lt;&gt;HomeState),ROUND(L1566*M1566,2),0)),"")</f>
        <v/>
      </c>
      <c r="Q1566" s="61" t="str">
        <f aca="false">IF(IsPro,IF($D1566="","",L1566+N1566+O1566+P1566),"")</f>
        <v/>
      </c>
      <c r="R1566" s="61" t="str">
        <f aca="false">IF(IsPro,IF($D1566="","",ROUND(N($E1566)*IFERROR(INDEX(Items!$P$5:$P$504,U1566),0),2)),"")</f>
        <v/>
      </c>
      <c r="S1566" s="61" t="str">
        <f aca="false">IF(IsPro,IF($D1566="","",L1566-R1566),"")</f>
        <v/>
      </c>
      <c r="T1566" s="60" t="str">
        <f aca="false">IF(IsPro,IF($D1566="","",IF(U1566="","UNKNOWN ITEM",IF(INDEX(Items!$O$5:$O$504,U1566)&lt;0,"NEG STOCK",IF(K1566&lt;INDEX(Items!$P$5:$P$504,U1566),"BELOW COST","OK")))),IF($D1566="","","PRO PLAN"))</f>
        <v/>
      </c>
      <c r="U1566" s="60" t="str">
        <f aca="false">IF(IsPro,IF($D1566="","",IFERROR(MATCH($D1566,Items!$A$5:$A$504,0),"")),"")</f>
        <v/>
      </c>
      <c r="V1566" s="60" t="str">
        <f aca="false">IF(IsPro,IF($C1566="","",IFERROR(MATCH($C1566,Parties!$A$5:$A$304,0),"")),"")</f>
        <v/>
      </c>
      <c r="W1566" s="60" t="str">
        <f aca="false">IF(IsPro,IF($B1566="","",IFERROR(VALUE(SUBSTITUTE($B1566,InvPrefix,"")),0)),"")</f>
        <v/>
      </c>
      <c r="X1566" s="61" t="str">
        <f aca="false">IF(IsPro,IF($D1566="","",IF(OR($H1566="",$H1566="Credit"),0,Q1566)),"")</f>
        <v/>
      </c>
    </row>
    <row r="1567" customFormat="false" ht="15" hidden="false" customHeight="false" outlineLevel="0" collapsed="false">
      <c r="A1567" s="55"/>
      <c r="B1567" s="56"/>
      <c r="C1567" s="56"/>
      <c r="D1567" s="56"/>
      <c r="E1567" s="57"/>
      <c r="F1567" s="58"/>
      <c r="G1567" s="59"/>
      <c r="H1567" s="56"/>
      <c r="I1567" s="56"/>
      <c r="J1567" s="60" t="str">
        <f aca="false">IF(IsPro,IF($D1567="","",IFERROR(INDEX(Items!$D$5:$D$504,U1567),"")),"")</f>
        <v/>
      </c>
      <c r="K1567" s="61" t="str">
        <f aca="false">IF(IsPro,IF($D1567="","",IF($F1567="",IFERROR(INDEX(Items!$H$5:$H$504,U1567),0),$F1567)),"")</f>
        <v/>
      </c>
      <c r="L1567" s="61" t="str">
        <f aca="false">IF(IsPro,IF($D1567="","",ROUND(N($E1567)*K1567*(1-N($G1567)),2)),"")</f>
        <v/>
      </c>
      <c r="M1567" s="62" t="str">
        <f aca="false">IF(IsPro,IF($D1567="","",IFERROR(INDEX(Items!$F$5:$F$504,U1567),0)),"")</f>
        <v/>
      </c>
      <c r="N1567" s="61" t="str">
        <f aca="false">IF(IsPro,IF($D1567="","",IF(AND(V1567&lt;&gt;"",INDEX(Parties!$E$5:$E$304,V1567)&lt;&gt;"",INDEX(Parties!$E$5:$E$304,V1567)&lt;&gt;HomeState),0,ROUND(L1567*M1567/2,2))),"")</f>
        <v/>
      </c>
      <c r="O1567" s="61" t="str">
        <f aca="false">IF(IsPro,IF($D1567="","",N1567),"")</f>
        <v/>
      </c>
      <c r="P1567" s="61" t="str">
        <f aca="false">IF(IsPro,IF($D1567="","",IF(AND(V1567&lt;&gt;"",INDEX(Parties!$E$5:$E$304,V1567)&lt;&gt;"",INDEX(Parties!$E$5:$E$304,V1567)&lt;&gt;HomeState),ROUND(L1567*M1567,2),0)),"")</f>
        <v/>
      </c>
      <c r="Q1567" s="61" t="str">
        <f aca="false">IF(IsPro,IF($D1567="","",L1567+N1567+O1567+P1567),"")</f>
        <v/>
      </c>
      <c r="R1567" s="61" t="str">
        <f aca="false">IF(IsPro,IF($D1567="","",ROUND(N($E1567)*IFERROR(INDEX(Items!$P$5:$P$504,U1567),0),2)),"")</f>
        <v/>
      </c>
      <c r="S1567" s="61" t="str">
        <f aca="false">IF(IsPro,IF($D1567="","",L1567-R1567),"")</f>
        <v/>
      </c>
      <c r="T1567" s="60" t="str">
        <f aca="false">IF(IsPro,IF($D1567="","",IF(U1567="","UNKNOWN ITEM",IF(INDEX(Items!$O$5:$O$504,U1567)&lt;0,"NEG STOCK",IF(K1567&lt;INDEX(Items!$P$5:$P$504,U1567),"BELOW COST","OK")))),IF($D1567="","","PRO PLAN"))</f>
        <v/>
      </c>
      <c r="U1567" s="60" t="str">
        <f aca="false">IF(IsPro,IF($D1567="","",IFERROR(MATCH($D1567,Items!$A$5:$A$504,0),"")),"")</f>
        <v/>
      </c>
      <c r="V1567" s="60" t="str">
        <f aca="false">IF(IsPro,IF($C1567="","",IFERROR(MATCH($C1567,Parties!$A$5:$A$304,0),"")),"")</f>
        <v/>
      </c>
      <c r="W1567" s="60" t="str">
        <f aca="false">IF(IsPro,IF($B1567="","",IFERROR(VALUE(SUBSTITUTE($B1567,InvPrefix,"")),0)),"")</f>
        <v/>
      </c>
      <c r="X1567" s="61" t="str">
        <f aca="false">IF(IsPro,IF($D1567="","",IF(OR($H1567="",$H1567="Credit"),0,Q1567)),"")</f>
        <v/>
      </c>
    </row>
    <row r="1568" customFormat="false" ht="15" hidden="false" customHeight="false" outlineLevel="0" collapsed="false">
      <c r="A1568" s="55"/>
      <c r="B1568" s="56"/>
      <c r="C1568" s="56"/>
      <c r="D1568" s="56"/>
      <c r="E1568" s="57"/>
      <c r="F1568" s="58"/>
      <c r="G1568" s="59"/>
      <c r="H1568" s="56"/>
      <c r="I1568" s="56"/>
      <c r="J1568" s="60" t="str">
        <f aca="false">IF(IsPro,IF($D1568="","",IFERROR(INDEX(Items!$D$5:$D$504,U1568),"")),"")</f>
        <v/>
      </c>
      <c r="K1568" s="61" t="str">
        <f aca="false">IF(IsPro,IF($D1568="","",IF($F1568="",IFERROR(INDEX(Items!$H$5:$H$504,U1568),0),$F1568)),"")</f>
        <v/>
      </c>
      <c r="L1568" s="61" t="str">
        <f aca="false">IF(IsPro,IF($D1568="","",ROUND(N($E1568)*K1568*(1-N($G1568)),2)),"")</f>
        <v/>
      </c>
      <c r="M1568" s="62" t="str">
        <f aca="false">IF(IsPro,IF($D1568="","",IFERROR(INDEX(Items!$F$5:$F$504,U1568),0)),"")</f>
        <v/>
      </c>
      <c r="N1568" s="61" t="str">
        <f aca="false">IF(IsPro,IF($D1568="","",IF(AND(V1568&lt;&gt;"",INDEX(Parties!$E$5:$E$304,V1568)&lt;&gt;"",INDEX(Parties!$E$5:$E$304,V1568)&lt;&gt;HomeState),0,ROUND(L1568*M1568/2,2))),"")</f>
        <v/>
      </c>
      <c r="O1568" s="61" t="str">
        <f aca="false">IF(IsPro,IF($D1568="","",N1568),"")</f>
        <v/>
      </c>
      <c r="P1568" s="61" t="str">
        <f aca="false">IF(IsPro,IF($D1568="","",IF(AND(V1568&lt;&gt;"",INDEX(Parties!$E$5:$E$304,V1568)&lt;&gt;"",INDEX(Parties!$E$5:$E$304,V1568)&lt;&gt;HomeState),ROUND(L1568*M1568,2),0)),"")</f>
        <v/>
      </c>
      <c r="Q1568" s="61" t="str">
        <f aca="false">IF(IsPro,IF($D1568="","",L1568+N1568+O1568+P1568),"")</f>
        <v/>
      </c>
      <c r="R1568" s="61" t="str">
        <f aca="false">IF(IsPro,IF($D1568="","",ROUND(N($E1568)*IFERROR(INDEX(Items!$P$5:$P$504,U1568),0),2)),"")</f>
        <v/>
      </c>
      <c r="S1568" s="61" t="str">
        <f aca="false">IF(IsPro,IF($D1568="","",L1568-R1568),"")</f>
        <v/>
      </c>
      <c r="T1568" s="60" t="str">
        <f aca="false">IF(IsPro,IF($D1568="","",IF(U1568="","UNKNOWN ITEM",IF(INDEX(Items!$O$5:$O$504,U1568)&lt;0,"NEG STOCK",IF(K1568&lt;INDEX(Items!$P$5:$P$504,U1568),"BELOW COST","OK")))),IF($D1568="","","PRO PLAN"))</f>
        <v/>
      </c>
      <c r="U1568" s="60" t="str">
        <f aca="false">IF(IsPro,IF($D1568="","",IFERROR(MATCH($D1568,Items!$A$5:$A$504,0),"")),"")</f>
        <v/>
      </c>
      <c r="V1568" s="60" t="str">
        <f aca="false">IF(IsPro,IF($C1568="","",IFERROR(MATCH($C1568,Parties!$A$5:$A$304,0),"")),"")</f>
        <v/>
      </c>
      <c r="W1568" s="60" t="str">
        <f aca="false">IF(IsPro,IF($B1568="","",IFERROR(VALUE(SUBSTITUTE($B1568,InvPrefix,"")),0)),"")</f>
        <v/>
      </c>
      <c r="X1568" s="61" t="str">
        <f aca="false">IF(IsPro,IF($D1568="","",IF(OR($H1568="",$H1568="Credit"),0,Q1568)),"")</f>
        <v/>
      </c>
    </row>
    <row r="1569" customFormat="false" ht="15" hidden="false" customHeight="false" outlineLevel="0" collapsed="false">
      <c r="A1569" s="55"/>
      <c r="B1569" s="56"/>
      <c r="C1569" s="56"/>
      <c r="D1569" s="56"/>
      <c r="E1569" s="57"/>
      <c r="F1569" s="58"/>
      <c r="G1569" s="59"/>
      <c r="H1569" s="56"/>
      <c r="I1569" s="56"/>
      <c r="J1569" s="60" t="str">
        <f aca="false">IF(IsPro,IF($D1569="","",IFERROR(INDEX(Items!$D$5:$D$504,U1569),"")),"")</f>
        <v/>
      </c>
      <c r="K1569" s="61" t="str">
        <f aca="false">IF(IsPro,IF($D1569="","",IF($F1569="",IFERROR(INDEX(Items!$H$5:$H$504,U1569),0),$F1569)),"")</f>
        <v/>
      </c>
      <c r="L1569" s="61" t="str">
        <f aca="false">IF(IsPro,IF($D1569="","",ROUND(N($E1569)*K1569*(1-N($G1569)),2)),"")</f>
        <v/>
      </c>
      <c r="M1569" s="62" t="str">
        <f aca="false">IF(IsPro,IF($D1569="","",IFERROR(INDEX(Items!$F$5:$F$504,U1569),0)),"")</f>
        <v/>
      </c>
      <c r="N1569" s="61" t="str">
        <f aca="false">IF(IsPro,IF($D1569="","",IF(AND(V1569&lt;&gt;"",INDEX(Parties!$E$5:$E$304,V1569)&lt;&gt;"",INDEX(Parties!$E$5:$E$304,V1569)&lt;&gt;HomeState),0,ROUND(L1569*M1569/2,2))),"")</f>
        <v/>
      </c>
      <c r="O1569" s="61" t="str">
        <f aca="false">IF(IsPro,IF($D1569="","",N1569),"")</f>
        <v/>
      </c>
      <c r="P1569" s="61" t="str">
        <f aca="false">IF(IsPro,IF($D1569="","",IF(AND(V1569&lt;&gt;"",INDEX(Parties!$E$5:$E$304,V1569)&lt;&gt;"",INDEX(Parties!$E$5:$E$304,V1569)&lt;&gt;HomeState),ROUND(L1569*M1569,2),0)),"")</f>
        <v/>
      </c>
      <c r="Q1569" s="61" t="str">
        <f aca="false">IF(IsPro,IF($D1569="","",L1569+N1569+O1569+P1569),"")</f>
        <v/>
      </c>
      <c r="R1569" s="61" t="str">
        <f aca="false">IF(IsPro,IF($D1569="","",ROUND(N($E1569)*IFERROR(INDEX(Items!$P$5:$P$504,U1569),0),2)),"")</f>
        <v/>
      </c>
      <c r="S1569" s="61" t="str">
        <f aca="false">IF(IsPro,IF($D1569="","",L1569-R1569),"")</f>
        <v/>
      </c>
      <c r="T1569" s="60" t="str">
        <f aca="false">IF(IsPro,IF($D1569="","",IF(U1569="","UNKNOWN ITEM",IF(INDEX(Items!$O$5:$O$504,U1569)&lt;0,"NEG STOCK",IF(K1569&lt;INDEX(Items!$P$5:$P$504,U1569),"BELOW COST","OK")))),IF($D1569="","","PRO PLAN"))</f>
        <v/>
      </c>
      <c r="U1569" s="60" t="str">
        <f aca="false">IF(IsPro,IF($D1569="","",IFERROR(MATCH($D1569,Items!$A$5:$A$504,0),"")),"")</f>
        <v/>
      </c>
      <c r="V1569" s="60" t="str">
        <f aca="false">IF(IsPro,IF($C1569="","",IFERROR(MATCH($C1569,Parties!$A$5:$A$304,0),"")),"")</f>
        <v/>
      </c>
      <c r="W1569" s="60" t="str">
        <f aca="false">IF(IsPro,IF($B1569="","",IFERROR(VALUE(SUBSTITUTE($B1569,InvPrefix,"")),0)),"")</f>
        <v/>
      </c>
      <c r="X1569" s="61" t="str">
        <f aca="false">IF(IsPro,IF($D1569="","",IF(OR($H1569="",$H1569="Credit"),0,Q1569)),"")</f>
        <v/>
      </c>
    </row>
    <row r="1570" customFormat="false" ht="15" hidden="false" customHeight="false" outlineLevel="0" collapsed="false">
      <c r="A1570" s="55"/>
      <c r="B1570" s="56"/>
      <c r="C1570" s="56"/>
      <c r="D1570" s="56"/>
      <c r="E1570" s="57"/>
      <c r="F1570" s="58"/>
      <c r="G1570" s="59"/>
      <c r="H1570" s="56"/>
      <c r="I1570" s="56"/>
      <c r="J1570" s="60" t="str">
        <f aca="false">IF(IsPro,IF($D1570="","",IFERROR(INDEX(Items!$D$5:$D$504,U1570),"")),"")</f>
        <v/>
      </c>
      <c r="K1570" s="61" t="str">
        <f aca="false">IF(IsPro,IF($D1570="","",IF($F1570="",IFERROR(INDEX(Items!$H$5:$H$504,U1570),0),$F1570)),"")</f>
        <v/>
      </c>
      <c r="L1570" s="61" t="str">
        <f aca="false">IF(IsPro,IF($D1570="","",ROUND(N($E1570)*K1570*(1-N($G1570)),2)),"")</f>
        <v/>
      </c>
      <c r="M1570" s="62" t="str">
        <f aca="false">IF(IsPro,IF($D1570="","",IFERROR(INDEX(Items!$F$5:$F$504,U1570),0)),"")</f>
        <v/>
      </c>
      <c r="N1570" s="61" t="str">
        <f aca="false">IF(IsPro,IF($D1570="","",IF(AND(V1570&lt;&gt;"",INDEX(Parties!$E$5:$E$304,V1570)&lt;&gt;"",INDEX(Parties!$E$5:$E$304,V1570)&lt;&gt;HomeState),0,ROUND(L1570*M1570/2,2))),"")</f>
        <v/>
      </c>
      <c r="O1570" s="61" t="str">
        <f aca="false">IF(IsPro,IF($D1570="","",N1570),"")</f>
        <v/>
      </c>
      <c r="P1570" s="61" t="str">
        <f aca="false">IF(IsPro,IF($D1570="","",IF(AND(V1570&lt;&gt;"",INDEX(Parties!$E$5:$E$304,V1570)&lt;&gt;"",INDEX(Parties!$E$5:$E$304,V1570)&lt;&gt;HomeState),ROUND(L1570*M1570,2),0)),"")</f>
        <v/>
      </c>
      <c r="Q1570" s="61" t="str">
        <f aca="false">IF(IsPro,IF($D1570="","",L1570+N1570+O1570+P1570),"")</f>
        <v/>
      </c>
      <c r="R1570" s="61" t="str">
        <f aca="false">IF(IsPro,IF($D1570="","",ROUND(N($E1570)*IFERROR(INDEX(Items!$P$5:$P$504,U1570),0),2)),"")</f>
        <v/>
      </c>
      <c r="S1570" s="61" t="str">
        <f aca="false">IF(IsPro,IF($D1570="","",L1570-R1570),"")</f>
        <v/>
      </c>
      <c r="T1570" s="60" t="str">
        <f aca="false">IF(IsPro,IF($D1570="","",IF(U1570="","UNKNOWN ITEM",IF(INDEX(Items!$O$5:$O$504,U1570)&lt;0,"NEG STOCK",IF(K1570&lt;INDEX(Items!$P$5:$P$504,U1570),"BELOW COST","OK")))),IF($D1570="","","PRO PLAN"))</f>
        <v/>
      </c>
      <c r="U1570" s="60" t="str">
        <f aca="false">IF(IsPro,IF($D1570="","",IFERROR(MATCH($D1570,Items!$A$5:$A$504,0),"")),"")</f>
        <v/>
      </c>
      <c r="V1570" s="60" t="str">
        <f aca="false">IF(IsPro,IF($C1570="","",IFERROR(MATCH($C1570,Parties!$A$5:$A$304,0),"")),"")</f>
        <v/>
      </c>
      <c r="W1570" s="60" t="str">
        <f aca="false">IF(IsPro,IF($B1570="","",IFERROR(VALUE(SUBSTITUTE($B1570,InvPrefix,"")),0)),"")</f>
        <v/>
      </c>
      <c r="X1570" s="61" t="str">
        <f aca="false">IF(IsPro,IF($D1570="","",IF(OR($H1570="",$H1570="Credit"),0,Q1570)),"")</f>
        <v/>
      </c>
    </row>
    <row r="1571" customFormat="false" ht="15" hidden="false" customHeight="false" outlineLevel="0" collapsed="false">
      <c r="A1571" s="55"/>
      <c r="B1571" s="56"/>
      <c r="C1571" s="56"/>
      <c r="D1571" s="56"/>
      <c r="E1571" s="57"/>
      <c r="F1571" s="58"/>
      <c r="G1571" s="59"/>
      <c r="H1571" s="56"/>
      <c r="I1571" s="56"/>
      <c r="J1571" s="60" t="str">
        <f aca="false">IF(IsPro,IF($D1571="","",IFERROR(INDEX(Items!$D$5:$D$504,U1571),"")),"")</f>
        <v/>
      </c>
      <c r="K1571" s="61" t="str">
        <f aca="false">IF(IsPro,IF($D1571="","",IF($F1571="",IFERROR(INDEX(Items!$H$5:$H$504,U1571),0),$F1571)),"")</f>
        <v/>
      </c>
      <c r="L1571" s="61" t="str">
        <f aca="false">IF(IsPro,IF($D1571="","",ROUND(N($E1571)*K1571*(1-N($G1571)),2)),"")</f>
        <v/>
      </c>
      <c r="M1571" s="62" t="str">
        <f aca="false">IF(IsPro,IF($D1571="","",IFERROR(INDEX(Items!$F$5:$F$504,U1571),0)),"")</f>
        <v/>
      </c>
      <c r="N1571" s="61" t="str">
        <f aca="false">IF(IsPro,IF($D1571="","",IF(AND(V1571&lt;&gt;"",INDEX(Parties!$E$5:$E$304,V1571)&lt;&gt;"",INDEX(Parties!$E$5:$E$304,V1571)&lt;&gt;HomeState),0,ROUND(L1571*M1571/2,2))),"")</f>
        <v/>
      </c>
      <c r="O1571" s="61" t="str">
        <f aca="false">IF(IsPro,IF($D1571="","",N1571),"")</f>
        <v/>
      </c>
      <c r="P1571" s="61" t="str">
        <f aca="false">IF(IsPro,IF($D1571="","",IF(AND(V1571&lt;&gt;"",INDEX(Parties!$E$5:$E$304,V1571)&lt;&gt;"",INDEX(Parties!$E$5:$E$304,V1571)&lt;&gt;HomeState),ROUND(L1571*M1571,2),0)),"")</f>
        <v/>
      </c>
      <c r="Q1571" s="61" t="str">
        <f aca="false">IF(IsPro,IF($D1571="","",L1571+N1571+O1571+P1571),"")</f>
        <v/>
      </c>
      <c r="R1571" s="61" t="str">
        <f aca="false">IF(IsPro,IF($D1571="","",ROUND(N($E1571)*IFERROR(INDEX(Items!$P$5:$P$504,U1571),0),2)),"")</f>
        <v/>
      </c>
      <c r="S1571" s="61" t="str">
        <f aca="false">IF(IsPro,IF($D1571="","",L1571-R1571),"")</f>
        <v/>
      </c>
      <c r="T1571" s="60" t="str">
        <f aca="false">IF(IsPro,IF($D1571="","",IF(U1571="","UNKNOWN ITEM",IF(INDEX(Items!$O$5:$O$504,U1571)&lt;0,"NEG STOCK",IF(K1571&lt;INDEX(Items!$P$5:$P$504,U1571),"BELOW COST","OK")))),IF($D1571="","","PRO PLAN"))</f>
        <v/>
      </c>
      <c r="U1571" s="60" t="str">
        <f aca="false">IF(IsPro,IF($D1571="","",IFERROR(MATCH($D1571,Items!$A$5:$A$504,0),"")),"")</f>
        <v/>
      </c>
      <c r="V1571" s="60" t="str">
        <f aca="false">IF(IsPro,IF($C1571="","",IFERROR(MATCH($C1571,Parties!$A$5:$A$304,0),"")),"")</f>
        <v/>
      </c>
      <c r="W1571" s="60" t="str">
        <f aca="false">IF(IsPro,IF($B1571="","",IFERROR(VALUE(SUBSTITUTE($B1571,InvPrefix,"")),0)),"")</f>
        <v/>
      </c>
      <c r="X1571" s="61" t="str">
        <f aca="false">IF(IsPro,IF($D1571="","",IF(OR($H1571="",$H1571="Credit"),0,Q1571)),"")</f>
        <v/>
      </c>
    </row>
    <row r="1572" customFormat="false" ht="15" hidden="false" customHeight="false" outlineLevel="0" collapsed="false">
      <c r="A1572" s="55"/>
      <c r="B1572" s="56"/>
      <c r="C1572" s="56"/>
      <c r="D1572" s="56"/>
      <c r="E1572" s="57"/>
      <c r="F1572" s="58"/>
      <c r="G1572" s="59"/>
      <c r="H1572" s="56"/>
      <c r="I1572" s="56"/>
      <c r="J1572" s="60" t="str">
        <f aca="false">IF(IsPro,IF($D1572="","",IFERROR(INDEX(Items!$D$5:$D$504,U1572),"")),"")</f>
        <v/>
      </c>
      <c r="K1572" s="61" t="str">
        <f aca="false">IF(IsPro,IF($D1572="","",IF($F1572="",IFERROR(INDEX(Items!$H$5:$H$504,U1572),0),$F1572)),"")</f>
        <v/>
      </c>
      <c r="L1572" s="61" t="str">
        <f aca="false">IF(IsPro,IF($D1572="","",ROUND(N($E1572)*K1572*(1-N($G1572)),2)),"")</f>
        <v/>
      </c>
      <c r="M1572" s="62" t="str">
        <f aca="false">IF(IsPro,IF($D1572="","",IFERROR(INDEX(Items!$F$5:$F$504,U1572),0)),"")</f>
        <v/>
      </c>
      <c r="N1572" s="61" t="str">
        <f aca="false">IF(IsPro,IF($D1572="","",IF(AND(V1572&lt;&gt;"",INDEX(Parties!$E$5:$E$304,V1572)&lt;&gt;"",INDEX(Parties!$E$5:$E$304,V1572)&lt;&gt;HomeState),0,ROUND(L1572*M1572/2,2))),"")</f>
        <v/>
      </c>
      <c r="O1572" s="61" t="str">
        <f aca="false">IF(IsPro,IF($D1572="","",N1572),"")</f>
        <v/>
      </c>
      <c r="P1572" s="61" t="str">
        <f aca="false">IF(IsPro,IF($D1572="","",IF(AND(V1572&lt;&gt;"",INDEX(Parties!$E$5:$E$304,V1572)&lt;&gt;"",INDEX(Parties!$E$5:$E$304,V1572)&lt;&gt;HomeState),ROUND(L1572*M1572,2),0)),"")</f>
        <v/>
      </c>
      <c r="Q1572" s="61" t="str">
        <f aca="false">IF(IsPro,IF($D1572="","",L1572+N1572+O1572+P1572),"")</f>
        <v/>
      </c>
      <c r="R1572" s="61" t="str">
        <f aca="false">IF(IsPro,IF($D1572="","",ROUND(N($E1572)*IFERROR(INDEX(Items!$P$5:$P$504,U1572),0),2)),"")</f>
        <v/>
      </c>
      <c r="S1572" s="61" t="str">
        <f aca="false">IF(IsPro,IF($D1572="","",L1572-R1572),"")</f>
        <v/>
      </c>
      <c r="T1572" s="60" t="str">
        <f aca="false">IF(IsPro,IF($D1572="","",IF(U1572="","UNKNOWN ITEM",IF(INDEX(Items!$O$5:$O$504,U1572)&lt;0,"NEG STOCK",IF(K1572&lt;INDEX(Items!$P$5:$P$504,U1572),"BELOW COST","OK")))),IF($D1572="","","PRO PLAN"))</f>
        <v/>
      </c>
      <c r="U1572" s="60" t="str">
        <f aca="false">IF(IsPro,IF($D1572="","",IFERROR(MATCH($D1572,Items!$A$5:$A$504,0),"")),"")</f>
        <v/>
      </c>
      <c r="V1572" s="60" t="str">
        <f aca="false">IF(IsPro,IF($C1572="","",IFERROR(MATCH($C1572,Parties!$A$5:$A$304,0),"")),"")</f>
        <v/>
      </c>
      <c r="W1572" s="60" t="str">
        <f aca="false">IF(IsPro,IF($B1572="","",IFERROR(VALUE(SUBSTITUTE($B1572,InvPrefix,"")),0)),"")</f>
        <v/>
      </c>
      <c r="X1572" s="61" t="str">
        <f aca="false">IF(IsPro,IF($D1572="","",IF(OR($H1572="",$H1572="Credit"),0,Q1572)),"")</f>
        <v/>
      </c>
    </row>
    <row r="1573" customFormat="false" ht="15" hidden="false" customHeight="false" outlineLevel="0" collapsed="false">
      <c r="A1573" s="55"/>
      <c r="B1573" s="56"/>
      <c r="C1573" s="56"/>
      <c r="D1573" s="56"/>
      <c r="E1573" s="57"/>
      <c r="F1573" s="58"/>
      <c r="G1573" s="59"/>
      <c r="H1573" s="56"/>
      <c r="I1573" s="56"/>
      <c r="J1573" s="60" t="str">
        <f aca="false">IF(IsPro,IF($D1573="","",IFERROR(INDEX(Items!$D$5:$D$504,U1573),"")),"")</f>
        <v/>
      </c>
      <c r="K1573" s="61" t="str">
        <f aca="false">IF(IsPro,IF($D1573="","",IF($F1573="",IFERROR(INDEX(Items!$H$5:$H$504,U1573),0),$F1573)),"")</f>
        <v/>
      </c>
      <c r="L1573" s="61" t="str">
        <f aca="false">IF(IsPro,IF($D1573="","",ROUND(N($E1573)*K1573*(1-N($G1573)),2)),"")</f>
        <v/>
      </c>
      <c r="M1573" s="62" t="str">
        <f aca="false">IF(IsPro,IF($D1573="","",IFERROR(INDEX(Items!$F$5:$F$504,U1573),0)),"")</f>
        <v/>
      </c>
      <c r="N1573" s="61" t="str">
        <f aca="false">IF(IsPro,IF($D1573="","",IF(AND(V1573&lt;&gt;"",INDEX(Parties!$E$5:$E$304,V1573)&lt;&gt;"",INDEX(Parties!$E$5:$E$304,V1573)&lt;&gt;HomeState),0,ROUND(L1573*M1573/2,2))),"")</f>
        <v/>
      </c>
      <c r="O1573" s="61" t="str">
        <f aca="false">IF(IsPro,IF($D1573="","",N1573),"")</f>
        <v/>
      </c>
      <c r="P1573" s="61" t="str">
        <f aca="false">IF(IsPro,IF($D1573="","",IF(AND(V1573&lt;&gt;"",INDEX(Parties!$E$5:$E$304,V1573)&lt;&gt;"",INDEX(Parties!$E$5:$E$304,V1573)&lt;&gt;HomeState),ROUND(L1573*M1573,2),0)),"")</f>
        <v/>
      </c>
      <c r="Q1573" s="61" t="str">
        <f aca="false">IF(IsPro,IF($D1573="","",L1573+N1573+O1573+P1573),"")</f>
        <v/>
      </c>
      <c r="R1573" s="61" t="str">
        <f aca="false">IF(IsPro,IF($D1573="","",ROUND(N($E1573)*IFERROR(INDEX(Items!$P$5:$P$504,U1573),0),2)),"")</f>
        <v/>
      </c>
      <c r="S1573" s="61" t="str">
        <f aca="false">IF(IsPro,IF($D1573="","",L1573-R1573),"")</f>
        <v/>
      </c>
      <c r="T1573" s="60" t="str">
        <f aca="false">IF(IsPro,IF($D1573="","",IF(U1573="","UNKNOWN ITEM",IF(INDEX(Items!$O$5:$O$504,U1573)&lt;0,"NEG STOCK",IF(K1573&lt;INDEX(Items!$P$5:$P$504,U1573),"BELOW COST","OK")))),IF($D1573="","","PRO PLAN"))</f>
        <v/>
      </c>
      <c r="U1573" s="60" t="str">
        <f aca="false">IF(IsPro,IF($D1573="","",IFERROR(MATCH($D1573,Items!$A$5:$A$504,0),"")),"")</f>
        <v/>
      </c>
      <c r="V1573" s="60" t="str">
        <f aca="false">IF(IsPro,IF($C1573="","",IFERROR(MATCH($C1573,Parties!$A$5:$A$304,0),"")),"")</f>
        <v/>
      </c>
      <c r="W1573" s="60" t="str">
        <f aca="false">IF(IsPro,IF($B1573="","",IFERROR(VALUE(SUBSTITUTE($B1573,InvPrefix,"")),0)),"")</f>
        <v/>
      </c>
      <c r="X1573" s="61" t="str">
        <f aca="false">IF(IsPro,IF($D1573="","",IF(OR($H1573="",$H1573="Credit"),0,Q1573)),"")</f>
        <v/>
      </c>
    </row>
    <row r="1574" customFormat="false" ht="15" hidden="false" customHeight="false" outlineLevel="0" collapsed="false">
      <c r="A1574" s="55"/>
      <c r="B1574" s="56"/>
      <c r="C1574" s="56"/>
      <c r="D1574" s="56"/>
      <c r="E1574" s="57"/>
      <c r="F1574" s="58"/>
      <c r="G1574" s="59"/>
      <c r="H1574" s="56"/>
      <c r="I1574" s="56"/>
      <c r="J1574" s="60" t="str">
        <f aca="false">IF(IsPro,IF($D1574="","",IFERROR(INDEX(Items!$D$5:$D$504,U1574),"")),"")</f>
        <v/>
      </c>
      <c r="K1574" s="61" t="str">
        <f aca="false">IF(IsPro,IF($D1574="","",IF($F1574="",IFERROR(INDEX(Items!$H$5:$H$504,U1574),0),$F1574)),"")</f>
        <v/>
      </c>
      <c r="L1574" s="61" t="str">
        <f aca="false">IF(IsPro,IF($D1574="","",ROUND(N($E1574)*K1574*(1-N($G1574)),2)),"")</f>
        <v/>
      </c>
      <c r="M1574" s="62" t="str">
        <f aca="false">IF(IsPro,IF($D1574="","",IFERROR(INDEX(Items!$F$5:$F$504,U1574),0)),"")</f>
        <v/>
      </c>
      <c r="N1574" s="61" t="str">
        <f aca="false">IF(IsPro,IF($D1574="","",IF(AND(V1574&lt;&gt;"",INDEX(Parties!$E$5:$E$304,V1574)&lt;&gt;"",INDEX(Parties!$E$5:$E$304,V1574)&lt;&gt;HomeState),0,ROUND(L1574*M1574/2,2))),"")</f>
        <v/>
      </c>
      <c r="O1574" s="61" t="str">
        <f aca="false">IF(IsPro,IF($D1574="","",N1574),"")</f>
        <v/>
      </c>
      <c r="P1574" s="61" t="str">
        <f aca="false">IF(IsPro,IF($D1574="","",IF(AND(V1574&lt;&gt;"",INDEX(Parties!$E$5:$E$304,V1574)&lt;&gt;"",INDEX(Parties!$E$5:$E$304,V1574)&lt;&gt;HomeState),ROUND(L1574*M1574,2),0)),"")</f>
        <v/>
      </c>
      <c r="Q1574" s="61" t="str">
        <f aca="false">IF(IsPro,IF($D1574="","",L1574+N1574+O1574+P1574),"")</f>
        <v/>
      </c>
      <c r="R1574" s="61" t="str">
        <f aca="false">IF(IsPro,IF($D1574="","",ROUND(N($E1574)*IFERROR(INDEX(Items!$P$5:$P$504,U1574),0),2)),"")</f>
        <v/>
      </c>
      <c r="S1574" s="61" t="str">
        <f aca="false">IF(IsPro,IF($D1574="","",L1574-R1574),"")</f>
        <v/>
      </c>
      <c r="T1574" s="60" t="str">
        <f aca="false">IF(IsPro,IF($D1574="","",IF(U1574="","UNKNOWN ITEM",IF(INDEX(Items!$O$5:$O$504,U1574)&lt;0,"NEG STOCK",IF(K1574&lt;INDEX(Items!$P$5:$P$504,U1574),"BELOW COST","OK")))),IF($D1574="","","PRO PLAN"))</f>
        <v/>
      </c>
      <c r="U1574" s="60" t="str">
        <f aca="false">IF(IsPro,IF($D1574="","",IFERROR(MATCH($D1574,Items!$A$5:$A$504,0),"")),"")</f>
        <v/>
      </c>
      <c r="V1574" s="60" t="str">
        <f aca="false">IF(IsPro,IF($C1574="","",IFERROR(MATCH($C1574,Parties!$A$5:$A$304,0),"")),"")</f>
        <v/>
      </c>
      <c r="W1574" s="60" t="str">
        <f aca="false">IF(IsPro,IF($B1574="","",IFERROR(VALUE(SUBSTITUTE($B1574,InvPrefix,"")),0)),"")</f>
        <v/>
      </c>
      <c r="X1574" s="61" t="str">
        <f aca="false">IF(IsPro,IF($D1574="","",IF(OR($H1574="",$H1574="Credit"),0,Q1574)),"")</f>
        <v/>
      </c>
    </row>
    <row r="1575" customFormat="false" ht="15" hidden="false" customHeight="false" outlineLevel="0" collapsed="false">
      <c r="A1575" s="55"/>
      <c r="B1575" s="56"/>
      <c r="C1575" s="56"/>
      <c r="D1575" s="56"/>
      <c r="E1575" s="57"/>
      <c r="F1575" s="58"/>
      <c r="G1575" s="59"/>
      <c r="H1575" s="56"/>
      <c r="I1575" s="56"/>
      <c r="J1575" s="60" t="str">
        <f aca="false">IF(IsPro,IF($D1575="","",IFERROR(INDEX(Items!$D$5:$D$504,U1575),"")),"")</f>
        <v/>
      </c>
      <c r="K1575" s="61" t="str">
        <f aca="false">IF(IsPro,IF($D1575="","",IF($F1575="",IFERROR(INDEX(Items!$H$5:$H$504,U1575),0),$F1575)),"")</f>
        <v/>
      </c>
      <c r="L1575" s="61" t="str">
        <f aca="false">IF(IsPro,IF($D1575="","",ROUND(N($E1575)*K1575*(1-N($G1575)),2)),"")</f>
        <v/>
      </c>
      <c r="M1575" s="62" t="str">
        <f aca="false">IF(IsPro,IF($D1575="","",IFERROR(INDEX(Items!$F$5:$F$504,U1575),0)),"")</f>
        <v/>
      </c>
      <c r="N1575" s="61" t="str">
        <f aca="false">IF(IsPro,IF($D1575="","",IF(AND(V1575&lt;&gt;"",INDEX(Parties!$E$5:$E$304,V1575)&lt;&gt;"",INDEX(Parties!$E$5:$E$304,V1575)&lt;&gt;HomeState),0,ROUND(L1575*M1575/2,2))),"")</f>
        <v/>
      </c>
      <c r="O1575" s="61" t="str">
        <f aca="false">IF(IsPro,IF($D1575="","",N1575),"")</f>
        <v/>
      </c>
      <c r="P1575" s="61" t="str">
        <f aca="false">IF(IsPro,IF($D1575="","",IF(AND(V1575&lt;&gt;"",INDEX(Parties!$E$5:$E$304,V1575)&lt;&gt;"",INDEX(Parties!$E$5:$E$304,V1575)&lt;&gt;HomeState),ROUND(L1575*M1575,2),0)),"")</f>
        <v/>
      </c>
      <c r="Q1575" s="61" t="str">
        <f aca="false">IF(IsPro,IF($D1575="","",L1575+N1575+O1575+P1575),"")</f>
        <v/>
      </c>
      <c r="R1575" s="61" t="str">
        <f aca="false">IF(IsPro,IF($D1575="","",ROUND(N($E1575)*IFERROR(INDEX(Items!$P$5:$P$504,U1575),0),2)),"")</f>
        <v/>
      </c>
      <c r="S1575" s="61" t="str">
        <f aca="false">IF(IsPro,IF($D1575="","",L1575-R1575),"")</f>
        <v/>
      </c>
      <c r="T1575" s="60" t="str">
        <f aca="false">IF(IsPro,IF($D1575="","",IF(U1575="","UNKNOWN ITEM",IF(INDEX(Items!$O$5:$O$504,U1575)&lt;0,"NEG STOCK",IF(K1575&lt;INDEX(Items!$P$5:$P$504,U1575),"BELOW COST","OK")))),IF($D1575="","","PRO PLAN"))</f>
        <v/>
      </c>
      <c r="U1575" s="60" t="str">
        <f aca="false">IF(IsPro,IF($D1575="","",IFERROR(MATCH($D1575,Items!$A$5:$A$504,0),"")),"")</f>
        <v/>
      </c>
      <c r="V1575" s="60" t="str">
        <f aca="false">IF(IsPro,IF($C1575="","",IFERROR(MATCH($C1575,Parties!$A$5:$A$304,0),"")),"")</f>
        <v/>
      </c>
      <c r="W1575" s="60" t="str">
        <f aca="false">IF(IsPro,IF($B1575="","",IFERROR(VALUE(SUBSTITUTE($B1575,InvPrefix,"")),0)),"")</f>
        <v/>
      </c>
      <c r="X1575" s="61" t="str">
        <f aca="false">IF(IsPro,IF($D1575="","",IF(OR($H1575="",$H1575="Credit"),0,Q1575)),"")</f>
        <v/>
      </c>
    </row>
    <row r="1576" customFormat="false" ht="15" hidden="false" customHeight="false" outlineLevel="0" collapsed="false">
      <c r="A1576" s="55"/>
      <c r="B1576" s="56"/>
      <c r="C1576" s="56"/>
      <c r="D1576" s="56"/>
      <c r="E1576" s="57"/>
      <c r="F1576" s="58"/>
      <c r="G1576" s="59"/>
      <c r="H1576" s="56"/>
      <c r="I1576" s="56"/>
      <c r="J1576" s="60" t="str">
        <f aca="false">IF(IsPro,IF($D1576="","",IFERROR(INDEX(Items!$D$5:$D$504,U1576),"")),"")</f>
        <v/>
      </c>
      <c r="K1576" s="61" t="str">
        <f aca="false">IF(IsPro,IF($D1576="","",IF($F1576="",IFERROR(INDEX(Items!$H$5:$H$504,U1576),0),$F1576)),"")</f>
        <v/>
      </c>
      <c r="L1576" s="61" t="str">
        <f aca="false">IF(IsPro,IF($D1576="","",ROUND(N($E1576)*K1576*(1-N($G1576)),2)),"")</f>
        <v/>
      </c>
      <c r="M1576" s="62" t="str">
        <f aca="false">IF(IsPro,IF($D1576="","",IFERROR(INDEX(Items!$F$5:$F$504,U1576),0)),"")</f>
        <v/>
      </c>
      <c r="N1576" s="61" t="str">
        <f aca="false">IF(IsPro,IF($D1576="","",IF(AND(V1576&lt;&gt;"",INDEX(Parties!$E$5:$E$304,V1576)&lt;&gt;"",INDEX(Parties!$E$5:$E$304,V1576)&lt;&gt;HomeState),0,ROUND(L1576*M1576/2,2))),"")</f>
        <v/>
      </c>
      <c r="O1576" s="61" t="str">
        <f aca="false">IF(IsPro,IF($D1576="","",N1576),"")</f>
        <v/>
      </c>
      <c r="P1576" s="61" t="str">
        <f aca="false">IF(IsPro,IF($D1576="","",IF(AND(V1576&lt;&gt;"",INDEX(Parties!$E$5:$E$304,V1576)&lt;&gt;"",INDEX(Parties!$E$5:$E$304,V1576)&lt;&gt;HomeState),ROUND(L1576*M1576,2),0)),"")</f>
        <v/>
      </c>
      <c r="Q1576" s="61" t="str">
        <f aca="false">IF(IsPro,IF($D1576="","",L1576+N1576+O1576+P1576),"")</f>
        <v/>
      </c>
      <c r="R1576" s="61" t="str">
        <f aca="false">IF(IsPro,IF($D1576="","",ROUND(N($E1576)*IFERROR(INDEX(Items!$P$5:$P$504,U1576),0),2)),"")</f>
        <v/>
      </c>
      <c r="S1576" s="61" t="str">
        <f aca="false">IF(IsPro,IF($D1576="","",L1576-R1576),"")</f>
        <v/>
      </c>
      <c r="T1576" s="60" t="str">
        <f aca="false">IF(IsPro,IF($D1576="","",IF(U1576="","UNKNOWN ITEM",IF(INDEX(Items!$O$5:$O$504,U1576)&lt;0,"NEG STOCK",IF(K1576&lt;INDEX(Items!$P$5:$P$504,U1576),"BELOW COST","OK")))),IF($D1576="","","PRO PLAN"))</f>
        <v/>
      </c>
      <c r="U1576" s="60" t="str">
        <f aca="false">IF(IsPro,IF($D1576="","",IFERROR(MATCH($D1576,Items!$A$5:$A$504,0),"")),"")</f>
        <v/>
      </c>
      <c r="V1576" s="60" t="str">
        <f aca="false">IF(IsPro,IF($C1576="","",IFERROR(MATCH($C1576,Parties!$A$5:$A$304,0),"")),"")</f>
        <v/>
      </c>
      <c r="W1576" s="60" t="str">
        <f aca="false">IF(IsPro,IF($B1576="","",IFERROR(VALUE(SUBSTITUTE($B1576,InvPrefix,"")),0)),"")</f>
        <v/>
      </c>
      <c r="X1576" s="61" t="str">
        <f aca="false">IF(IsPro,IF($D1576="","",IF(OR($H1576="",$H1576="Credit"),0,Q1576)),"")</f>
        <v/>
      </c>
    </row>
    <row r="1577" customFormat="false" ht="15" hidden="false" customHeight="false" outlineLevel="0" collapsed="false">
      <c r="A1577" s="55"/>
      <c r="B1577" s="56"/>
      <c r="C1577" s="56"/>
      <c r="D1577" s="56"/>
      <c r="E1577" s="57"/>
      <c r="F1577" s="58"/>
      <c r="G1577" s="59"/>
      <c r="H1577" s="56"/>
      <c r="I1577" s="56"/>
      <c r="J1577" s="60" t="str">
        <f aca="false">IF(IsPro,IF($D1577="","",IFERROR(INDEX(Items!$D$5:$D$504,U1577),"")),"")</f>
        <v/>
      </c>
      <c r="K1577" s="61" t="str">
        <f aca="false">IF(IsPro,IF($D1577="","",IF($F1577="",IFERROR(INDEX(Items!$H$5:$H$504,U1577),0),$F1577)),"")</f>
        <v/>
      </c>
      <c r="L1577" s="61" t="str">
        <f aca="false">IF(IsPro,IF($D1577="","",ROUND(N($E1577)*K1577*(1-N($G1577)),2)),"")</f>
        <v/>
      </c>
      <c r="M1577" s="62" t="str">
        <f aca="false">IF(IsPro,IF($D1577="","",IFERROR(INDEX(Items!$F$5:$F$504,U1577),0)),"")</f>
        <v/>
      </c>
      <c r="N1577" s="61" t="str">
        <f aca="false">IF(IsPro,IF($D1577="","",IF(AND(V1577&lt;&gt;"",INDEX(Parties!$E$5:$E$304,V1577)&lt;&gt;"",INDEX(Parties!$E$5:$E$304,V1577)&lt;&gt;HomeState),0,ROUND(L1577*M1577/2,2))),"")</f>
        <v/>
      </c>
      <c r="O1577" s="61" t="str">
        <f aca="false">IF(IsPro,IF($D1577="","",N1577),"")</f>
        <v/>
      </c>
      <c r="P1577" s="61" t="str">
        <f aca="false">IF(IsPro,IF($D1577="","",IF(AND(V1577&lt;&gt;"",INDEX(Parties!$E$5:$E$304,V1577)&lt;&gt;"",INDEX(Parties!$E$5:$E$304,V1577)&lt;&gt;HomeState),ROUND(L1577*M1577,2),0)),"")</f>
        <v/>
      </c>
      <c r="Q1577" s="61" t="str">
        <f aca="false">IF(IsPro,IF($D1577="","",L1577+N1577+O1577+P1577),"")</f>
        <v/>
      </c>
      <c r="R1577" s="61" t="str">
        <f aca="false">IF(IsPro,IF($D1577="","",ROUND(N($E1577)*IFERROR(INDEX(Items!$P$5:$P$504,U1577),0),2)),"")</f>
        <v/>
      </c>
      <c r="S1577" s="61" t="str">
        <f aca="false">IF(IsPro,IF($D1577="","",L1577-R1577),"")</f>
        <v/>
      </c>
      <c r="T1577" s="60" t="str">
        <f aca="false">IF(IsPro,IF($D1577="","",IF(U1577="","UNKNOWN ITEM",IF(INDEX(Items!$O$5:$O$504,U1577)&lt;0,"NEG STOCK",IF(K1577&lt;INDEX(Items!$P$5:$P$504,U1577),"BELOW COST","OK")))),IF($D1577="","","PRO PLAN"))</f>
        <v/>
      </c>
      <c r="U1577" s="60" t="str">
        <f aca="false">IF(IsPro,IF($D1577="","",IFERROR(MATCH($D1577,Items!$A$5:$A$504,0),"")),"")</f>
        <v/>
      </c>
      <c r="V1577" s="60" t="str">
        <f aca="false">IF(IsPro,IF($C1577="","",IFERROR(MATCH($C1577,Parties!$A$5:$A$304,0),"")),"")</f>
        <v/>
      </c>
      <c r="W1577" s="60" t="str">
        <f aca="false">IF(IsPro,IF($B1577="","",IFERROR(VALUE(SUBSTITUTE($B1577,InvPrefix,"")),0)),"")</f>
        <v/>
      </c>
      <c r="X1577" s="61" t="str">
        <f aca="false">IF(IsPro,IF($D1577="","",IF(OR($H1577="",$H1577="Credit"),0,Q1577)),"")</f>
        <v/>
      </c>
    </row>
    <row r="1578" customFormat="false" ht="15" hidden="false" customHeight="false" outlineLevel="0" collapsed="false">
      <c r="A1578" s="55"/>
      <c r="B1578" s="56"/>
      <c r="C1578" s="56"/>
      <c r="D1578" s="56"/>
      <c r="E1578" s="57"/>
      <c r="F1578" s="58"/>
      <c r="G1578" s="59"/>
      <c r="H1578" s="56"/>
      <c r="I1578" s="56"/>
      <c r="J1578" s="60" t="str">
        <f aca="false">IF(IsPro,IF($D1578="","",IFERROR(INDEX(Items!$D$5:$D$504,U1578),"")),"")</f>
        <v/>
      </c>
      <c r="K1578" s="61" t="str">
        <f aca="false">IF(IsPro,IF($D1578="","",IF($F1578="",IFERROR(INDEX(Items!$H$5:$H$504,U1578),0),$F1578)),"")</f>
        <v/>
      </c>
      <c r="L1578" s="61" t="str">
        <f aca="false">IF(IsPro,IF($D1578="","",ROUND(N($E1578)*K1578*(1-N($G1578)),2)),"")</f>
        <v/>
      </c>
      <c r="M1578" s="62" t="str">
        <f aca="false">IF(IsPro,IF($D1578="","",IFERROR(INDEX(Items!$F$5:$F$504,U1578),0)),"")</f>
        <v/>
      </c>
      <c r="N1578" s="61" t="str">
        <f aca="false">IF(IsPro,IF($D1578="","",IF(AND(V1578&lt;&gt;"",INDEX(Parties!$E$5:$E$304,V1578)&lt;&gt;"",INDEX(Parties!$E$5:$E$304,V1578)&lt;&gt;HomeState),0,ROUND(L1578*M1578/2,2))),"")</f>
        <v/>
      </c>
      <c r="O1578" s="61" t="str">
        <f aca="false">IF(IsPro,IF($D1578="","",N1578),"")</f>
        <v/>
      </c>
      <c r="P1578" s="61" t="str">
        <f aca="false">IF(IsPro,IF($D1578="","",IF(AND(V1578&lt;&gt;"",INDEX(Parties!$E$5:$E$304,V1578)&lt;&gt;"",INDEX(Parties!$E$5:$E$304,V1578)&lt;&gt;HomeState),ROUND(L1578*M1578,2),0)),"")</f>
        <v/>
      </c>
      <c r="Q1578" s="61" t="str">
        <f aca="false">IF(IsPro,IF($D1578="","",L1578+N1578+O1578+P1578),"")</f>
        <v/>
      </c>
      <c r="R1578" s="61" t="str">
        <f aca="false">IF(IsPro,IF($D1578="","",ROUND(N($E1578)*IFERROR(INDEX(Items!$P$5:$P$504,U1578),0),2)),"")</f>
        <v/>
      </c>
      <c r="S1578" s="61" t="str">
        <f aca="false">IF(IsPro,IF($D1578="","",L1578-R1578),"")</f>
        <v/>
      </c>
      <c r="T1578" s="60" t="str">
        <f aca="false">IF(IsPro,IF($D1578="","",IF(U1578="","UNKNOWN ITEM",IF(INDEX(Items!$O$5:$O$504,U1578)&lt;0,"NEG STOCK",IF(K1578&lt;INDEX(Items!$P$5:$P$504,U1578),"BELOW COST","OK")))),IF($D1578="","","PRO PLAN"))</f>
        <v/>
      </c>
      <c r="U1578" s="60" t="str">
        <f aca="false">IF(IsPro,IF($D1578="","",IFERROR(MATCH($D1578,Items!$A$5:$A$504,0),"")),"")</f>
        <v/>
      </c>
      <c r="V1578" s="60" t="str">
        <f aca="false">IF(IsPro,IF($C1578="","",IFERROR(MATCH($C1578,Parties!$A$5:$A$304,0),"")),"")</f>
        <v/>
      </c>
      <c r="W1578" s="60" t="str">
        <f aca="false">IF(IsPro,IF($B1578="","",IFERROR(VALUE(SUBSTITUTE($B1578,InvPrefix,"")),0)),"")</f>
        <v/>
      </c>
      <c r="X1578" s="61" t="str">
        <f aca="false">IF(IsPro,IF($D1578="","",IF(OR($H1578="",$H1578="Credit"),0,Q1578)),"")</f>
        <v/>
      </c>
    </row>
    <row r="1579" customFormat="false" ht="15" hidden="false" customHeight="false" outlineLevel="0" collapsed="false">
      <c r="A1579" s="55"/>
      <c r="B1579" s="56"/>
      <c r="C1579" s="56"/>
      <c r="D1579" s="56"/>
      <c r="E1579" s="57"/>
      <c r="F1579" s="58"/>
      <c r="G1579" s="59"/>
      <c r="H1579" s="56"/>
      <c r="I1579" s="56"/>
      <c r="J1579" s="60" t="str">
        <f aca="false">IF(IsPro,IF($D1579="","",IFERROR(INDEX(Items!$D$5:$D$504,U1579),"")),"")</f>
        <v/>
      </c>
      <c r="K1579" s="61" t="str">
        <f aca="false">IF(IsPro,IF($D1579="","",IF($F1579="",IFERROR(INDEX(Items!$H$5:$H$504,U1579),0),$F1579)),"")</f>
        <v/>
      </c>
      <c r="L1579" s="61" t="str">
        <f aca="false">IF(IsPro,IF($D1579="","",ROUND(N($E1579)*K1579*(1-N($G1579)),2)),"")</f>
        <v/>
      </c>
      <c r="M1579" s="62" t="str">
        <f aca="false">IF(IsPro,IF($D1579="","",IFERROR(INDEX(Items!$F$5:$F$504,U1579),0)),"")</f>
        <v/>
      </c>
      <c r="N1579" s="61" t="str">
        <f aca="false">IF(IsPro,IF($D1579="","",IF(AND(V1579&lt;&gt;"",INDEX(Parties!$E$5:$E$304,V1579)&lt;&gt;"",INDEX(Parties!$E$5:$E$304,V1579)&lt;&gt;HomeState),0,ROUND(L1579*M1579/2,2))),"")</f>
        <v/>
      </c>
      <c r="O1579" s="61" t="str">
        <f aca="false">IF(IsPro,IF($D1579="","",N1579),"")</f>
        <v/>
      </c>
      <c r="P1579" s="61" t="str">
        <f aca="false">IF(IsPro,IF($D1579="","",IF(AND(V1579&lt;&gt;"",INDEX(Parties!$E$5:$E$304,V1579)&lt;&gt;"",INDEX(Parties!$E$5:$E$304,V1579)&lt;&gt;HomeState),ROUND(L1579*M1579,2),0)),"")</f>
        <v/>
      </c>
      <c r="Q1579" s="61" t="str">
        <f aca="false">IF(IsPro,IF($D1579="","",L1579+N1579+O1579+P1579),"")</f>
        <v/>
      </c>
      <c r="R1579" s="61" t="str">
        <f aca="false">IF(IsPro,IF($D1579="","",ROUND(N($E1579)*IFERROR(INDEX(Items!$P$5:$P$504,U1579),0),2)),"")</f>
        <v/>
      </c>
      <c r="S1579" s="61" t="str">
        <f aca="false">IF(IsPro,IF($D1579="","",L1579-R1579),"")</f>
        <v/>
      </c>
      <c r="T1579" s="60" t="str">
        <f aca="false">IF(IsPro,IF($D1579="","",IF(U1579="","UNKNOWN ITEM",IF(INDEX(Items!$O$5:$O$504,U1579)&lt;0,"NEG STOCK",IF(K1579&lt;INDEX(Items!$P$5:$P$504,U1579),"BELOW COST","OK")))),IF($D1579="","","PRO PLAN"))</f>
        <v/>
      </c>
      <c r="U1579" s="60" t="str">
        <f aca="false">IF(IsPro,IF($D1579="","",IFERROR(MATCH($D1579,Items!$A$5:$A$504,0),"")),"")</f>
        <v/>
      </c>
      <c r="V1579" s="60" t="str">
        <f aca="false">IF(IsPro,IF($C1579="","",IFERROR(MATCH($C1579,Parties!$A$5:$A$304,0),"")),"")</f>
        <v/>
      </c>
      <c r="W1579" s="60" t="str">
        <f aca="false">IF(IsPro,IF($B1579="","",IFERROR(VALUE(SUBSTITUTE($B1579,InvPrefix,"")),0)),"")</f>
        <v/>
      </c>
      <c r="X1579" s="61" t="str">
        <f aca="false">IF(IsPro,IF($D1579="","",IF(OR($H1579="",$H1579="Credit"),0,Q1579)),"")</f>
        <v/>
      </c>
    </row>
    <row r="1580" customFormat="false" ht="15" hidden="false" customHeight="false" outlineLevel="0" collapsed="false">
      <c r="A1580" s="55"/>
      <c r="B1580" s="56"/>
      <c r="C1580" s="56"/>
      <c r="D1580" s="56"/>
      <c r="E1580" s="57"/>
      <c r="F1580" s="58"/>
      <c r="G1580" s="59"/>
      <c r="H1580" s="56"/>
      <c r="I1580" s="56"/>
      <c r="J1580" s="60" t="str">
        <f aca="false">IF(IsPro,IF($D1580="","",IFERROR(INDEX(Items!$D$5:$D$504,U1580),"")),"")</f>
        <v/>
      </c>
      <c r="K1580" s="61" t="str">
        <f aca="false">IF(IsPro,IF($D1580="","",IF($F1580="",IFERROR(INDEX(Items!$H$5:$H$504,U1580),0),$F1580)),"")</f>
        <v/>
      </c>
      <c r="L1580" s="61" t="str">
        <f aca="false">IF(IsPro,IF($D1580="","",ROUND(N($E1580)*K1580*(1-N($G1580)),2)),"")</f>
        <v/>
      </c>
      <c r="M1580" s="62" t="str">
        <f aca="false">IF(IsPro,IF($D1580="","",IFERROR(INDEX(Items!$F$5:$F$504,U1580),0)),"")</f>
        <v/>
      </c>
      <c r="N1580" s="61" t="str">
        <f aca="false">IF(IsPro,IF($D1580="","",IF(AND(V1580&lt;&gt;"",INDEX(Parties!$E$5:$E$304,V1580)&lt;&gt;"",INDEX(Parties!$E$5:$E$304,V1580)&lt;&gt;HomeState),0,ROUND(L1580*M1580/2,2))),"")</f>
        <v/>
      </c>
      <c r="O1580" s="61" t="str">
        <f aca="false">IF(IsPro,IF($D1580="","",N1580),"")</f>
        <v/>
      </c>
      <c r="P1580" s="61" t="str">
        <f aca="false">IF(IsPro,IF($D1580="","",IF(AND(V1580&lt;&gt;"",INDEX(Parties!$E$5:$E$304,V1580)&lt;&gt;"",INDEX(Parties!$E$5:$E$304,V1580)&lt;&gt;HomeState),ROUND(L1580*M1580,2),0)),"")</f>
        <v/>
      </c>
      <c r="Q1580" s="61" t="str">
        <f aca="false">IF(IsPro,IF($D1580="","",L1580+N1580+O1580+P1580),"")</f>
        <v/>
      </c>
      <c r="R1580" s="61" t="str">
        <f aca="false">IF(IsPro,IF($D1580="","",ROUND(N($E1580)*IFERROR(INDEX(Items!$P$5:$P$504,U1580),0),2)),"")</f>
        <v/>
      </c>
      <c r="S1580" s="61" t="str">
        <f aca="false">IF(IsPro,IF($D1580="","",L1580-R1580),"")</f>
        <v/>
      </c>
      <c r="T1580" s="60" t="str">
        <f aca="false">IF(IsPro,IF($D1580="","",IF(U1580="","UNKNOWN ITEM",IF(INDEX(Items!$O$5:$O$504,U1580)&lt;0,"NEG STOCK",IF(K1580&lt;INDEX(Items!$P$5:$P$504,U1580),"BELOW COST","OK")))),IF($D1580="","","PRO PLAN"))</f>
        <v/>
      </c>
      <c r="U1580" s="60" t="str">
        <f aca="false">IF(IsPro,IF($D1580="","",IFERROR(MATCH($D1580,Items!$A$5:$A$504,0),"")),"")</f>
        <v/>
      </c>
      <c r="V1580" s="60" t="str">
        <f aca="false">IF(IsPro,IF($C1580="","",IFERROR(MATCH($C1580,Parties!$A$5:$A$304,0),"")),"")</f>
        <v/>
      </c>
      <c r="W1580" s="60" t="str">
        <f aca="false">IF(IsPro,IF($B1580="","",IFERROR(VALUE(SUBSTITUTE($B1580,InvPrefix,"")),0)),"")</f>
        <v/>
      </c>
      <c r="X1580" s="61" t="str">
        <f aca="false">IF(IsPro,IF($D1580="","",IF(OR($H1580="",$H1580="Credit"),0,Q1580)),"")</f>
        <v/>
      </c>
    </row>
    <row r="1581" customFormat="false" ht="15" hidden="false" customHeight="false" outlineLevel="0" collapsed="false">
      <c r="A1581" s="55"/>
      <c r="B1581" s="56"/>
      <c r="C1581" s="56"/>
      <c r="D1581" s="56"/>
      <c r="E1581" s="57"/>
      <c r="F1581" s="58"/>
      <c r="G1581" s="59"/>
      <c r="H1581" s="56"/>
      <c r="I1581" s="56"/>
      <c r="J1581" s="60" t="str">
        <f aca="false">IF(IsPro,IF($D1581="","",IFERROR(INDEX(Items!$D$5:$D$504,U1581),"")),"")</f>
        <v/>
      </c>
      <c r="K1581" s="61" t="str">
        <f aca="false">IF(IsPro,IF($D1581="","",IF($F1581="",IFERROR(INDEX(Items!$H$5:$H$504,U1581),0),$F1581)),"")</f>
        <v/>
      </c>
      <c r="L1581" s="61" t="str">
        <f aca="false">IF(IsPro,IF($D1581="","",ROUND(N($E1581)*K1581*(1-N($G1581)),2)),"")</f>
        <v/>
      </c>
      <c r="M1581" s="62" t="str">
        <f aca="false">IF(IsPro,IF($D1581="","",IFERROR(INDEX(Items!$F$5:$F$504,U1581),0)),"")</f>
        <v/>
      </c>
      <c r="N1581" s="61" t="str">
        <f aca="false">IF(IsPro,IF($D1581="","",IF(AND(V1581&lt;&gt;"",INDEX(Parties!$E$5:$E$304,V1581)&lt;&gt;"",INDEX(Parties!$E$5:$E$304,V1581)&lt;&gt;HomeState),0,ROUND(L1581*M1581/2,2))),"")</f>
        <v/>
      </c>
      <c r="O1581" s="61" t="str">
        <f aca="false">IF(IsPro,IF($D1581="","",N1581),"")</f>
        <v/>
      </c>
      <c r="P1581" s="61" t="str">
        <f aca="false">IF(IsPro,IF($D1581="","",IF(AND(V1581&lt;&gt;"",INDEX(Parties!$E$5:$E$304,V1581)&lt;&gt;"",INDEX(Parties!$E$5:$E$304,V1581)&lt;&gt;HomeState),ROUND(L1581*M1581,2),0)),"")</f>
        <v/>
      </c>
      <c r="Q1581" s="61" t="str">
        <f aca="false">IF(IsPro,IF($D1581="","",L1581+N1581+O1581+P1581),"")</f>
        <v/>
      </c>
      <c r="R1581" s="61" t="str">
        <f aca="false">IF(IsPro,IF($D1581="","",ROUND(N($E1581)*IFERROR(INDEX(Items!$P$5:$P$504,U1581),0),2)),"")</f>
        <v/>
      </c>
      <c r="S1581" s="61" t="str">
        <f aca="false">IF(IsPro,IF($D1581="","",L1581-R1581),"")</f>
        <v/>
      </c>
      <c r="T1581" s="60" t="str">
        <f aca="false">IF(IsPro,IF($D1581="","",IF(U1581="","UNKNOWN ITEM",IF(INDEX(Items!$O$5:$O$504,U1581)&lt;0,"NEG STOCK",IF(K1581&lt;INDEX(Items!$P$5:$P$504,U1581),"BELOW COST","OK")))),IF($D1581="","","PRO PLAN"))</f>
        <v/>
      </c>
      <c r="U1581" s="60" t="str">
        <f aca="false">IF(IsPro,IF($D1581="","",IFERROR(MATCH($D1581,Items!$A$5:$A$504,0),"")),"")</f>
        <v/>
      </c>
      <c r="V1581" s="60" t="str">
        <f aca="false">IF(IsPro,IF($C1581="","",IFERROR(MATCH($C1581,Parties!$A$5:$A$304,0),"")),"")</f>
        <v/>
      </c>
      <c r="W1581" s="60" t="str">
        <f aca="false">IF(IsPro,IF($B1581="","",IFERROR(VALUE(SUBSTITUTE($B1581,InvPrefix,"")),0)),"")</f>
        <v/>
      </c>
      <c r="X1581" s="61" t="str">
        <f aca="false">IF(IsPro,IF($D1581="","",IF(OR($H1581="",$H1581="Credit"),0,Q1581)),"")</f>
        <v/>
      </c>
    </row>
    <row r="1582" customFormat="false" ht="15" hidden="false" customHeight="false" outlineLevel="0" collapsed="false">
      <c r="A1582" s="55"/>
      <c r="B1582" s="56"/>
      <c r="C1582" s="56"/>
      <c r="D1582" s="56"/>
      <c r="E1582" s="57"/>
      <c r="F1582" s="58"/>
      <c r="G1582" s="59"/>
      <c r="H1582" s="56"/>
      <c r="I1582" s="56"/>
      <c r="J1582" s="60" t="str">
        <f aca="false">IF(IsPro,IF($D1582="","",IFERROR(INDEX(Items!$D$5:$D$504,U1582),"")),"")</f>
        <v/>
      </c>
      <c r="K1582" s="61" t="str">
        <f aca="false">IF(IsPro,IF($D1582="","",IF($F1582="",IFERROR(INDEX(Items!$H$5:$H$504,U1582),0),$F1582)),"")</f>
        <v/>
      </c>
      <c r="L1582" s="61" t="str">
        <f aca="false">IF(IsPro,IF($D1582="","",ROUND(N($E1582)*K1582*(1-N($G1582)),2)),"")</f>
        <v/>
      </c>
      <c r="M1582" s="62" t="str">
        <f aca="false">IF(IsPro,IF($D1582="","",IFERROR(INDEX(Items!$F$5:$F$504,U1582),0)),"")</f>
        <v/>
      </c>
      <c r="N1582" s="61" t="str">
        <f aca="false">IF(IsPro,IF($D1582="","",IF(AND(V1582&lt;&gt;"",INDEX(Parties!$E$5:$E$304,V1582)&lt;&gt;"",INDEX(Parties!$E$5:$E$304,V1582)&lt;&gt;HomeState),0,ROUND(L1582*M1582/2,2))),"")</f>
        <v/>
      </c>
      <c r="O1582" s="61" t="str">
        <f aca="false">IF(IsPro,IF($D1582="","",N1582),"")</f>
        <v/>
      </c>
      <c r="P1582" s="61" t="str">
        <f aca="false">IF(IsPro,IF($D1582="","",IF(AND(V1582&lt;&gt;"",INDEX(Parties!$E$5:$E$304,V1582)&lt;&gt;"",INDEX(Parties!$E$5:$E$304,V1582)&lt;&gt;HomeState),ROUND(L1582*M1582,2),0)),"")</f>
        <v/>
      </c>
      <c r="Q1582" s="61" t="str">
        <f aca="false">IF(IsPro,IF($D1582="","",L1582+N1582+O1582+P1582),"")</f>
        <v/>
      </c>
      <c r="R1582" s="61" t="str">
        <f aca="false">IF(IsPro,IF($D1582="","",ROUND(N($E1582)*IFERROR(INDEX(Items!$P$5:$P$504,U1582),0),2)),"")</f>
        <v/>
      </c>
      <c r="S1582" s="61" t="str">
        <f aca="false">IF(IsPro,IF($D1582="","",L1582-R1582),"")</f>
        <v/>
      </c>
      <c r="T1582" s="60" t="str">
        <f aca="false">IF(IsPro,IF($D1582="","",IF(U1582="","UNKNOWN ITEM",IF(INDEX(Items!$O$5:$O$504,U1582)&lt;0,"NEG STOCK",IF(K1582&lt;INDEX(Items!$P$5:$P$504,U1582),"BELOW COST","OK")))),IF($D1582="","","PRO PLAN"))</f>
        <v/>
      </c>
      <c r="U1582" s="60" t="str">
        <f aca="false">IF(IsPro,IF($D1582="","",IFERROR(MATCH($D1582,Items!$A$5:$A$504,0),"")),"")</f>
        <v/>
      </c>
      <c r="V1582" s="60" t="str">
        <f aca="false">IF(IsPro,IF($C1582="","",IFERROR(MATCH($C1582,Parties!$A$5:$A$304,0),"")),"")</f>
        <v/>
      </c>
      <c r="W1582" s="60" t="str">
        <f aca="false">IF(IsPro,IF($B1582="","",IFERROR(VALUE(SUBSTITUTE($B1582,InvPrefix,"")),0)),"")</f>
        <v/>
      </c>
      <c r="X1582" s="61" t="str">
        <f aca="false">IF(IsPro,IF($D1582="","",IF(OR($H1582="",$H1582="Credit"),0,Q1582)),"")</f>
        <v/>
      </c>
    </row>
    <row r="1583" customFormat="false" ht="15" hidden="false" customHeight="false" outlineLevel="0" collapsed="false">
      <c r="A1583" s="55"/>
      <c r="B1583" s="56"/>
      <c r="C1583" s="56"/>
      <c r="D1583" s="56"/>
      <c r="E1583" s="57"/>
      <c r="F1583" s="58"/>
      <c r="G1583" s="59"/>
      <c r="H1583" s="56"/>
      <c r="I1583" s="56"/>
      <c r="J1583" s="60" t="str">
        <f aca="false">IF(IsPro,IF($D1583="","",IFERROR(INDEX(Items!$D$5:$D$504,U1583),"")),"")</f>
        <v/>
      </c>
      <c r="K1583" s="61" t="str">
        <f aca="false">IF(IsPro,IF($D1583="","",IF($F1583="",IFERROR(INDEX(Items!$H$5:$H$504,U1583),0),$F1583)),"")</f>
        <v/>
      </c>
      <c r="L1583" s="61" t="str">
        <f aca="false">IF(IsPro,IF($D1583="","",ROUND(N($E1583)*K1583*(1-N($G1583)),2)),"")</f>
        <v/>
      </c>
      <c r="M1583" s="62" t="str">
        <f aca="false">IF(IsPro,IF($D1583="","",IFERROR(INDEX(Items!$F$5:$F$504,U1583),0)),"")</f>
        <v/>
      </c>
      <c r="N1583" s="61" t="str">
        <f aca="false">IF(IsPro,IF($D1583="","",IF(AND(V1583&lt;&gt;"",INDEX(Parties!$E$5:$E$304,V1583)&lt;&gt;"",INDEX(Parties!$E$5:$E$304,V1583)&lt;&gt;HomeState),0,ROUND(L1583*M1583/2,2))),"")</f>
        <v/>
      </c>
      <c r="O1583" s="61" t="str">
        <f aca="false">IF(IsPro,IF($D1583="","",N1583),"")</f>
        <v/>
      </c>
      <c r="P1583" s="61" t="str">
        <f aca="false">IF(IsPro,IF($D1583="","",IF(AND(V1583&lt;&gt;"",INDEX(Parties!$E$5:$E$304,V1583)&lt;&gt;"",INDEX(Parties!$E$5:$E$304,V1583)&lt;&gt;HomeState),ROUND(L1583*M1583,2),0)),"")</f>
        <v/>
      </c>
      <c r="Q1583" s="61" t="str">
        <f aca="false">IF(IsPro,IF($D1583="","",L1583+N1583+O1583+P1583),"")</f>
        <v/>
      </c>
      <c r="R1583" s="61" t="str">
        <f aca="false">IF(IsPro,IF($D1583="","",ROUND(N($E1583)*IFERROR(INDEX(Items!$P$5:$P$504,U1583),0),2)),"")</f>
        <v/>
      </c>
      <c r="S1583" s="61" t="str">
        <f aca="false">IF(IsPro,IF($D1583="","",L1583-R1583),"")</f>
        <v/>
      </c>
      <c r="T1583" s="60" t="str">
        <f aca="false">IF(IsPro,IF($D1583="","",IF(U1583="","UNKNOWN ITEM",IF(INDEX(Items!$O$5:$O$504,U1583)&lt;0,"NEG STOCK",IF(K1583&lt;INDEX(Items!$P$5:$P$504,U1583),"BELOW COST","OK")))),IF($D1583="","","PRO PLAN"))</f>
        <v/>
      </c>
      <c r="U1583" s="60" t="str">
        <f aca="false">IF(IsPro,IF($D1583="","",IFERROR(MATCH($D1583,Items!$A$5:$A$504,0),"")),"")</f>
        <v/>
      </c>
      <c r="V1583" s="60" t="str">
        <f aca="false">IF(IsPro,IF($C1583="","",IFERROR(MATCH($C1583,Parties!$A$5:$A$304,0),"")),"")</f>
        <v/>
      </c>
      <c r="W1583" s="60" t="str">
        <f aca="false">IF(IsPro,IF($B1583="","",IFERROR(VALUE(SUBSTITUTE($B1583,InvPrefix,"")),0)),"")</f>
        <v/>
      </c>
      <c r="X1583" s="61" t="str">
        <f aca="false">IF(IsPro,IF($D1583="","",IF(OR($H1583="",$H1583="Credit"),0,Q1583)),"")</f>
        <v/>
      </c>
    </row>
    <row r="1584" customFormat="false" ht="15" hidden="false" customHeight="false" outlineLevel="0" collapsed="false">
      <c r="A1584" s="55"/>
      <c r="B1584" s="56"/>
      <c r="C1584" s="56"/>
      <c r="D1584" s="56"/>
      <c r="E1584" s="57"/>
      <c r="F1584" s="58"/>
      <c r="G1584" s="59"/>
      <c r="H1584" s="56"/>
      <c r="I1584" s="56"/>
      <c r="J1584" s="60" t="str">
        <f aca="false">IF(IsPro,IF($D1584="","",IFERROR(INDEX(Items!$D$5:$D$504,U1584),"")),"")</f>
        <v/>
      </c>
      <c r="K1584" s="61" t="str">
        <f aca="false">IF(IsPro,IF($D1584="","",IF($F1584="",IFERROR(INDEX(Items!$H$5:$H$504,U1584),0),$F1584)),"")</f>
        <v/>
      </c>
      <c r="L1584" s="61" t="str">
        <f aca="false">IF(IsPro,IF($D1584="","",ROUND(N($E1584)*K1584*(1-N($G1584)),2)),"")</f>
        <v/>
      </c>
      <c r="M1584" s="62" t="str">
        <f aca="false">IF(IsPro,IF($D1584="","",IFERROR(INDEX(Items!$F$5:$F$504,U1584),0)),"")</f>
        <v/>
      </c>
      <c r="N1584" s="61" t="str">
        <f aca="false">IF(IsPro,IF($D1584="","",IF(AND(V1584&lt;&gt;"",INDEX(Parties!$E$5:$E$304,V1584)&lt;&gt;"",INDEX(Parties!$E$5:$E$304,V1584)&lt;&gt;HomeState),0,ROUND(L1584*M1584/2,2))),"")</f>
        <v/>
      </c>
      <c r="O1584" s="61" t="str">
        <f aca="false">IF(IsPro,IF($D1584="","",N1584),"")</f>
        <v/>
      </c>
      <c r="P1584" s="61" t="str">
        <f aca="false">IF(IsPro,IF($D1584="","",IF(AND(V1584&lt;&gt;"",INDEX(Parties!$E$5:$E$304,V1584)&lt;&gt;"",INDEX(Parties!$E$5:$E$304,V1584)&lt;&gt;HomeState),ROUND(L1584*M1584,2),0)),"")</f>
        <v/>
      </c>
      <c r="Q1584" s="61" t="str">
        <f aca="false">IF(IsPro,IF($D1584="","",L1584+N1584+O1584+P1584),"")</f>
        <v/>
      </c>
      <c r="R1584" s="61" t="str">
        <f aca="false">IF(IsPro,IF($D1584="","",ROUND(N($E1584)*IFERROR(INDEX(Items!$P$5:$P$504,U1584),0),2)),"")</f>
        <v/>
      </c>
      <c r="S1584" s="61" t="str">
        <f aca="false">IF(IsPro,IF($D1584="","",L1584-R1584),"")</f>
        <v/>
      </c>
      <c r="T1584" s="60" t="str">
        <f aca="false">IF(IsPro,IF($D1584="","",IF(U1584="","UNKNOWN ITEM",IF(INDEX(Items!$O$5:$O$504,U1584)&lt;0,"NEG STOCK",IF(K1584&lt;INDEX(Items!$P$5:$P$504,U1584),"BELOW COST","OK")))),IF($D1584="","","PRO PLAN"))</f>
        <v/>
      </c>
      <c r="U1584" s="60" t="str">
        <f aca="false">IF(IsPro,IF($D1584="","",IFERROR(MATCH($D1584,Items!$A$5:$A$504,0),"")),"")</f>
        <v/>
      </c>
      <c r="V1584" s="60" t="str">
        <f aca="false">IF(IsPro,IF($C1584="","",IFERROR(MATCH($C1584,Parties!$A$5:$A$304,0),"")),"")</f>
        <v/>
      </c>
      <c r="W1584" s="60" t="str">
        <f aca="false">IF(IsPro,IF($B1584="","",IFERROR(VALUE(SUBSTITUTE($B1584,InvPrefix,"")),0)),"")</f>
        <v/>
      </c>
      <c r="X1584" s="61" t="str">
        <f aca="false">IF(IsPro,IF($D1584="","",IF(OR($H1584="",$H1584="Credit"),0,Q1584)),"")</f>
        <v/>
      </c>
    </row>
    <row r="1585" customFormat="false" ht="15" hidden="false" customHeight="false" outlineLevel="0" collapsed="false">
      <c r="A1585" s="55"/>
      <c r="B1585" s="56"/>
      <c r="C1585" s="56"/>
      <c r="D1585" s="56"/>
      <c r="E1585" s="57"/>
      <c r="F1585" s="58"/>
      <c r="G1585" s="59"/>
      <c r="H1585" s="56"/>
      <c r="I1585" s="56"/>
      <c r="J1585" s="60" t="str">
        <f aca="false">IF(IsPro,IF($D1585="","",IFERROR(INDEX(Items!$D$5:$D$504,U1585),"")),"")</f>
        <v/>
      </c>
      <c r="K1585" s="61" t="str">
        <f aca="false">IF(IsPro,IF($D1585="","",IF($F1585="",IFERROR(INDEX(Items!$H$5:$H$504,U1585),0),$F1585)),"")</f>
        <v/>
      </c>
      <c r="L1585" s="61" t="str">
        <f aca="false">IF(IsPro,IF($D1585="","",ROUND(N($E1585)*K1585*(1-N($G1585)),2)),"")</f>
        <v/>
      </c>
      <c r="M1585" s="62" t="str">
        <f aca="false">IF(IsPro,IF($D1585="","",IFERROR(INDEX(Items!$F$5:$F$504,U1585),0)),"")</f>
        <v/>
      </c>
      <c r="N1585" s="61" t="str">
        <f aca="false">IF(IsPro,IF($D1585="","",IF(AND(V1585&lt;&gt;"",INDEX(Parties!$E$5:$E$304,V1585)&lt;&gt;"",INDEX(Parties!$E$5:$E$304,V1585)&lt;&gt;HomeState),0,ROUND(L1585*M1585/2,2))),"")</f>
        <v/>
      </c>
      <c r="O1585" s="61" t="str">
        <f aca="false">IF(IsPro,IF($D1585="","",N1585),"")</f>
        <v/>
      </c>
      <c r="P1585" s="61" t="str">
        <f aca="false">IF(IsPro,IF($D1585="","",IF(AND(V1585&lt;&gt;"",INDEX(Parties!$E$5:$E$304,V1585)&lt;&gt;"",INDEX(Parties!$E$5:$E$304,V1585)&lt;&gt;HomeState),ROUND(L1585*M1585,2),0)),"")</f>
        <v/>
      </c>
      <c r="Q1585" s="61" t="str">
        <f aca="false">IF(IsPro,IF($D1585="","",L1585+N1585+O1585+P1585),"")</f>
        <v/>
      </c>
      <c r="R1585" s="61" t="str">
        <f aca="false">IF(IsPro,IF($D1585="","",ROUND(N($E1585)*IFERROR(INDEX(Items!$P$5:$P$504,U1585),0),2)),"")</f>
        <v/>
      </c>
      <c r="S1585" s="61" t="str">
        <f aca="false">IF(IsPro,IF($D1585="","",L1585-R1585),"")</f>
        <v/>
      </c>
      <c r="T1585" s="60" t="str">
        <f aca="false">IF(IsPro,IF($D1585="","",IF(U1585="","UNKNOWN ITEM",IF(INDEX(Items!$O$5:$O$504,U1585)&lt;0,"NEG STOCK",IF(K1585&lt;INDEX(Items!$P$5:$P$504,U1585),"BELOW COST","OK")))),IF($D1585="","","PRO PLAN"))</f>
        <v/>
      </c>
      <c r="U1585" s="60" t="str">
        <f aca="false">IF(IsPro,IF($D1585="","",IFERROR(MATCH($D1585,Items!$A$5:$A$504,0),"")),"")</f>
        <v/>
      </c>
      <c r="V1585" s="60" t="str">
        <f aca="false">IF(IsPro,IF($C1585="","",IFERROR(MATCH($C1585,Parties!$A$5:$A$304,0),"")),"")</f>
        <v/>
      </c>
      <c r="W1585" s="60" t="str">
        <f aca="false">IF(IsPro,IF($B1585="","",IFERROR(VALUE(SUBSTITUTE($B1585,InvPrefix,"")),0)),"")</f>
        <v/>
      </c>
      <c r="X1585" s="61" t="str">
        <f aca="false">IF(IsPro,IF($D1585="","",IF(OR($H1585="",$H1585="Credit"),0,Q1585)),"")</f>
        <v/>
      </c>
    </row>
    <row r="1586" customFormat="false" ht="15" hidden="false" customHeight="false" outlineLevel="0" collapsed="false">
      <c r="A1586" s="55"/>
      <c r="B1586" s="56"/>
      <c r="C1586" s="56"/>
      <c r="D1586" s="56"/>
      <c r="E1586" s="57"/>
      <c r="F1586" s="58"/>
      <c r="G1586" s="59"/>
      <c r="H1586" s="56"/>
      <c r="I1586" s="56"/>
      <c r="J1586" s="60" t="str">
        <f aca="false">IF(IsPro,IF($D1586="","",IFERROR(INDEX(Items!$D$5:$D$504,U1586),"")),"")</f>
        <v/>
      </c>
      <c r="K1586" s="61" t="str">
        <f aca="false">IF(IsPro,IF($D1586="","",IF($F1586="",IFERROR(INDEX(Items!$H$5:$H$504,U1586),0),$F1586)),"")</f>
        <v/>
      </c>
      <c r="L1586" s="61" t="str">
        <f aca="false">IF(IsPro,IF($D1586="","",ROUND(N($E1586)*K1586*(1-N($G1586)),2)),"")</f>
        <v/>
      </c>
      <c r="M1586" s="62" t="str">
        <f aca="false">IF(IsPro,IF($D1586="","",IFERROR(INDEX(Items!$F$5:$F$504,U1586),0)),"")</f>
        <v/>
      </c>
      <c r="N1586" s="61" t="str">
        <f aca="false">IF(IsPro,IF($D1586="","",IF(AND(V1586&lt;&gt;"",INDEX(Parties!$E$5:$E$304,V1586)&lt;&gt;"",INDEX(Parties!$E$5:$E$304,V1586)&lt;&gt;HomeState),0,ROUND(L1586*M1586/2,2))),"")</f>
        <v/>
      </c>
      <c r="O1586" s="61" t="str">
        <f aca="false">IF(IsPro,IF($D1586="","",N1586),"")</f>
        <v/>
      </c>
      <c r="P1586" s="61" t="str">
        <f aca="false">IF(IsPro,IF($D1586="","",IF(AND(V1586&lt;&gt;"",INDEX(Parties!$E$5:$E$304,V1586)&lt;&gt;"",INDEX(Parties!$E$5:$E$304,V1586)&lt;&gt;HomeState),ROUND(L1586*M1586,2),0)),"")</f>
        <v/>
      </c>
      <c r="Q1586" s="61" t="str">
        <f aca="false">IF(IsPro,IF($D1586="","",L1586+N1586+O1586+P1586),"")</f>
        <v/>
      </c>
      <c r="R1586" s="61" t="str">
        <f aca="false">IF(IsPro,IF($D1586="","",ROUND(N($E1586)*IFERROR(INDEX(Items!$P$5:$P$504,U1586),0),2)),"")</f>
        <v/>
      </c>
      <c r="S1586" s="61" t="str">
        <f aca="false">IF(IsPro,IF($D1586="","",L1586-R1586),"")</f>
        <v/>
      </c>
      <c r="T1586" s="60" t="str">
        <f aca="false">IF(IsPro,IF($D1586="","",IF(U1586="","UNKNOWN ITEM",IF(INDEX(Items!$O$5:$O$504,U1586)&lt;0,"NEG STOCK",IF(K1586&lt;INDEX(Items!$P$5:$P$504,U1586),"BELOW COST","OK")))),IF($D1586="","","PRO PLAN"))</f>
        <v/>
      </c>
      <c r="U1586" s="60" t="str">
        <f aca="false">IF(IsPro,IF($D1586="","",IFERROR(MATCH($D1586,Items!$A$5:$A$504,0),"")),"")</f>
        <v/>
      </c>
      <c r="V1586" s="60" t="str">
        <f aca="false">IF(IsPro,IF($C1586="","",IFERROR(MATCH($C1586,Parties!$A$5:$A$304,0),"")),"")</f>
        <v/>
      </c>
      <c r="W1586" s="60" t="str">
        <f aca="false">IF(IsPro,IF($B1586="","",IFERROR(VALUE(SUBSTITUTE($B1586,InvPrefix,"")),0)),"")</f>
        <v/>
      </c>
      <c r="X1586" s="61" t="str">
        <f aca="false">IF(IsPro,IF($D1586="","",IF(OR($H1586="",$H1586="Credit"),0,Q1586)),"")</f>
        <v/>
      </c>
    </row>
    <row r="1587" customFormat="false" ht="15" hidden="false" customHeight="false" outlineLevel="0" collapsed="false">
      <c r="A1587" s="55"/>
      <c r="B1587" s="56"/>
      <c r="C1587" s="56"/>
      <c r="D1587" s="56"/>
      <c r="E1587" s="57"/>
      <c r="F1587" s="58"/>
      <c r="G1587" s="59"/>
      <c r="H1587" s="56"/>
      <c r="I1587" s="56"/>
      <c r="J1587" s="60" t="str">
        <f aca="false">IF(IsPro,IF($D1587="","",IFERROR(INDEX(Items!$D$5:$D$504,U1587),"")),"")</f>
        <v/>
      </c>
      <c r="K1587" s="61" t="str">
        <f aca="false">IF(IsPro,IF($D1587="","",IF($F1587="",IFERROR(INDEX(Items!$H$5:$H$504,U1587),0),$F1587)),"")</f>
        <v/>
      </c>
      <c r="L1587" s="61" t="str">
        <f aca="false">IF(IsPro,IF($D1587="","",ROUND(N($E1587)*K1587*(1-N($G1587)),2)),"")</f>
        <v/>
      </c>
      <c r="M1587" s="62" t="str">
        <f aca="false">IF(IsPro,IF($D1587="","",IFERROR(INDEX(Items!$F$5:$F$504,U1587),0)),"")</f>
        <v/>
      </c>
      <c r="N1587" s="61" t="str">
        <f aca="false">IF(IsPro,IF($D1587="","",IF(AND(V1587&lt;&gt;"",INDEX(Parties!$E$5:$E$304,V1587)&lt;&gt;"",INDEX(Parties!$E$5:$E$304,V1587)&lt;&gt;HomeState),0,ROUND(L1587*M1587/2,2))),"")</f>
        <v/>
      </c>
      <c r="O1587" s="61" t="str">
        <f aca="false">IF(IsPro,IF($D1587="","",N1587),"")</f>
        <v/>
      </c>
      <c r="P1587" s="61" t="str">
        <f aca="false">IF(IsPro,IF($D1587="","",IF(AND(V1587&lt;&gt;"",INDEX(Parties!$E$5:$E$304,V1587)&lt;&gt;"",INDEX(Parties!$E$5:$E$304,V1587)&lt;&gt;HomeState),ROUND(L1587*M1587,2),0)),"")</f>
        <v/>
      </c>
      <c r="Q1587" s="61" t="str">
        <f aca="false">IF(IsPro,IF($D1587="","",L1587+N1587+O1587+P1587),"")</f>
        <v/>
      </c>
      <c r="R1587" s="61" t="str">
        <f aca="false">IF(IsPro,IF($D1587="","",ROUND(N($E1587)*IFERROR(INDEX(Items!$P$5:$P$504,U1587),0),2)),"")</f>
        <v/>
      </c>
      <c r="S1587" s="61" t="str">
        <f aca="false">IF(IsPro,IF($D1587="","",L1587-R1587),"")</f>
        <v/>
      </c>
      <c r="T1587" s="60" t="str">
        <f aca="false">IF(IsPro,IF($D1587="","",IF(U1587="","UNKNOWN ITEM",IF(INDEX(Items!$O$5:$O$504,U1587)&lt;0,"NEG STOCK",IF(K1587&lt;INDEX(Items!$P$5:$P$504,U1587),"BELOW COST","OK")))),IF($D1587="","","PRO PLAN"))</f>
        <v/>
      </c>
      <c r="U1587" s="60" t="str">
        <f aca="false">IF(IsPro,IF($D1587="","",IFERROR(MATCH($D1587,Items!$A$5:$A$504,0),"")),"")</f>
        <v/>
      </c>
      <c r="V1587" s="60" t="str">
        <f aca="false">IF(IsPro,IF($C1587="","",IFERROR(MATCH($C1587,Parties!$A$5:$A$304,0),"")),"")</f>
        <v/>
      </c>
      <c r="W1587" s="60" t="str">
        <f aca="false">IF(IsPro,IF($B1587="","",IFERROR(VALUE(SUBSTITUTE($B1587,InvPrefix,"")),0)),"")</f>
        <v/>
      </c>
      <c r="X1587" s="61" t="str">
        <f aca="false">IF(IsPro,IF($D1587="","",IF(OR($H1587="",$H1587="Credit"),0,Q1587)),"")</f>
        <v/>
      </c>
    </row>
    <row r="1588" customFormat="false" ht="15" hidden="false" customHeight="false" outlineLevel="0" collapsed="false">
      <c r="A1588" s="55"/>
      <c r="B1588" s="56"/>
      <c r="C1588" s="56"/>
      <c r="D1588" s="56"/>
      <c r="E1588" s="57"/>
      <c r="F1588" s="58"/>
      <c r="G1588" s="59"/>
      <c r="H1588" s="56"/>
      <c r="I1588" s="56"/>
      <c r="J1588" s="60" t="str">
        <f aca="false">IF(IsPro,IF($D1588="","",IFERROR(INDEX(Items!$D$5:$D$504,U1588),"")),"")</f>
        <v/>
      </c>
      <c r="K1588" s="61" t="str">
        <f aca="false">IF(IsPro,IF($D1588="","",IF($F1588="",IFERROR(INDEX(Items!$H$5:$H$504,U1588),0),$F1588)),"")</f>
        <v/>
      </c>
      <c r="L1588" s="61" t="str">
        <f aca="false">IF(IsPro,IF($D1588="","",ROUND(N($E1588)*K1588*(1-N($G1588)),2)),"")</f>
        <v/>
      </c>
      <c r="M1588" s="62" t="str">
        <f aca="false">IF(IsPro,IF($D1588="","",IFERROR(INDEX(Items!$F$5:$F$504,U1588),0)),"")</f>
        <v/>
      </c>
      <c r="N1588" s="61" t="str">
        <f aca="false">IF(IsPro,IF($D1588="","",IF(AND(V1588&lt;&gt;"",INDEX(Parties!$E$5:$E$304,V1588)&lt;&gt;"",INDEX(Parties!$E$5:$E$304,V1588)&lt;&gt;HomeState),0,ROUND(L1588*M1588/2,2))),"")</f>
        <v/>
      </c>
      <c r="O1588" s="61" t="str">
        <f aca="false">IF(IsPro,IF($D1588="","",N1588),"")</f>
        <v/>
      </c>
      <c r="P1588" s="61" t="str">
        <f aca="false">IF(IsPro,IF($D1588="","",IF(AND(V1588&lt;&gt;"",INDEX(Parties!$E$5:$E$304,V1588)&lt;&gt;"",INDEX(Parties!$E$5:$E$304,V1588)&lt;&gt;HomeState),ROUND(L1588*M1588,2),0)),"")</f>
        <v/>
      </c>
      <c r="Q1588" s="61" t="str">
        <f aca="false">IF(IsPro,IF($D1588="","",L1588+N1588+O1588+P1588),"")</f>
        <v/>
      </c>
      <c r="R1588" s="61" t="str">
        <f aca="false">IF(IsPro,IF($D1588="","",ROUND(N($E1588)*IFERROR(INDEX(Items!$P$5:$P$504,U1588),0),2)),"")</f>
        <v/>
      </c>
      <c r="S1588" s="61" t="str">
        <f aca="false">IF(IsPro,IF($D1588="","",L1588-R1588),"")</f>
        <v/>
      </c>
      <c r="T1588" s="60" t="str">
        <f aca="false">IF(IsPro,IF($D1588="","",IF(U1588="","UNKNOWN ITEM",IF(INDEX(Items!$O$5:$O$504,U1588)&lt;0,"NEG STOCK",IF(K1588&lt;INDEX(Items!$P$5:$P$504,U1588),"BELOW COST","OK")))),IF($D1588="","","PRO PLAN"))</f>
        <v/>
      </c>
      <c r="U1588" s="60" t="str">
        <f aca="false">IF(IsPro,IF($D1588="","",IFERROR(MATCH($D1588,Items!$A$5:$A$504,0),"")),"")</f>
        <v/>
      </c>
      <c r="V1588" s="60" t="str">
        <f aca="false">IF(IsPro,IF($C1588="","",IFERROR(MATCH($C1588,Parties!$A$5:$A$304,0),"")),"")</f>
        <v/>
      </c>
      <c r="W1588" s="60" t="str">
        <f aca="false">IF(IsPro,IF($B1588="","",IFERROR(VALUE(SUBSTITUTE($B1588,InvPrefix,"")),0)),"")</f>
        <v/>
      </c>
      <c r="X1588" s="61" t="str">
        <f aca="false">IF(IsPro,IF($D1588="","",IF(OR($H1588="",$H1588="Credit"),0,Q1588)),"")</f>
        <v/>
      </c>
    </row>
    <row r="1589" customFormat="false" ht="15" hidden="false" customHeight="false" outlineLevel="0" collapsed="false">
      <c r="A1589" s="55"/>
      <c r="B1589" s="56"/>
      <c r="C1589" s="56"/>
      <c r="D1589" s="56"/>
      <c r="E1589" s="57"/>
      <c r="F1589" s="58"/>
      <c r="G1589" s="59"/>
      <c r="H1589" s="56"/>
      <c r="I1589" s="56"/>
      <c r="J1589" s="60" t="str">
        <f aca="false">IF(IsPro,IF($D1589="","",IFERROR(INDEX(Items!$D$5:$D$504,U1589),"")),"")</f>
        <v/>
      </c>
      <c r="K1589" s="61" t="str">
        <f aca="false">IF(IsPro,IF($D1589="","",IF($F1589="",IFERROR(INDEX(Items!$H$5:$H$504,U1589),0),$F1589)),"")</f>
        <v/>
      </c>
      <c r="L1589" s="61" t="str">
        <f aca="false">IF(IsPro,IF($D1589="","",ROUND(N($E1589)*K1589*(1-N($G1589)),2)),"")</f>
        <v/>
      </c>
      <c r="M1589" s="62" t="str">
        <f aca="false">IF(IsPro,IF($D1589="","",IFERROR(INDEX(Items!$F$5:$F$504,U1589),0)),"")</f>
        <v/>
      </c>
      <c r="N1589" s="61" t="str">
        <f aca="false">IF(IsPro,IF($D1589="","",IF(AND(V1589&lt;&gt;"",INDEX(Parties!$E$5:$E$304,V1589)&lt;&gt;"",INDEX(Parties!$E$5:$E$304,V1589)&lt;&gt;HomeState),0,ROUND(L1589*M1589/2,2))),"")</f>
        <v/>
      </c>
      <c r="O1589" s="61" t="str">
        <f aca="false">IF(IsPro,IF($D1589="","",N1589),"")</f>
        <v/>
      </c>
      <c r="P1589" s="61" t="str">
        <f aca="false">IF(IsPro,IF($D1589="","",IF(AND(V1589&lt;&gt;"",INDEX(Parties!$E$5:$E$304,V1589)&lt;&gt;"",INDEX(Parties!$E$5:$E$304,V1589)&lt;&gt;HomeState),ROUND(L1589*M1589,2),0)),"")</f>
        <v/>
      </c>
      <c r="Q1589" s="61" t="str">
        <f aca="false">IF(IsPro,IF($D1589="","",L1589+N1589+O1589+P1589),"")</f>
        <v/>
      </c>
      <c r="R1589" s="61" t="str">
        <f aca="false">IF(IsPro,IF($D1589="","",ROUND(N($E1589)*IFERROR(INDEX(Items!$P$5:$P$504,U1589),0),2)),"")</f>
        <v/>
      </c>
      <c r="S1589" s="61" t="str">
        <f aca="false">IF(IsPro,IF($D1589="","",L1589-R1589),"")</f>
        <v/>
      </c>
      <c r="T1589" s="60" t="str">
        <f aca="false">IF(IsPro,IF($D1589="","",IF(U1589="","UNKNOWN ITEM",IF(INDEX(Items!$O$5:$O$504,U1589)&lt;0,"NEG STOCK",IF(K1589&lt;INDEX(Items!$P$5:$P$504,U1589),"BELOW COST","OK")))),IF($D1589="","","PRO PLAN"))</f>
        <v/>
      </c>
      <c r="U1589" s="60" t="str">
        <f aca="false">IF(IsPro,IF($D1589="","",IFERROR(MATCH($D1589,Items!$A$5:$A$504,0),"")),"")</f>
        <v/>
      </c>
      <c r="V1589" s="60" t="str">
        <f aca="false">IF(IsPro,IF($C1589="","",IFERROR(MATCH($C1589,Parties!$A$5:$A$304,0),"")),"")</f>
        <v/>
      </c>
      <c r="W1589" s="60" t="str">
        <f aca="false">IF(IsPro,IF($B1589="","",IFERROR(VALUE(SUBSTITUTE($B1589,InvPrefix,"")),0)),"")</f>
        <v/>
      </c>
      <c r="X1589" s="61" t="str">
        <f aca="false">IF(IsPro,IF($D1589="","",IF(OR($H1589="",$H1589="Credit"),0,Q1589)),"")</f>
        <v/>
      </c>
    </row>
    <row r="1590" customFormat="false" ht="15" hidden="false" customHeight="false" outlineLevel="0" collapsed="false">
      <c r="A1590" s="55"/>
      <c r="B1590" s="56"/>
      <c r="C1590" s="56"/>
      <c r="D1590" s="56"/>
      <c r="E1590" s="57"/>
      <c r="F1590" s="58"/>
      <c r="G1590" s="59"/>
      <c r="H1590" s="56"/>
      <c r="I1590" s="56"/>
      <c r="J1590" s="60" t="str">
        <f aca="false">IF(IsPro,IF($D1590="","",IFERROR(INDEX(Items!$D$5:$D$504,U1590),"")),"")</f>
        <v/>
      </c>
      <c r="K1590" s="61" t="str">
        <f aca="false">IF(IsPro,IF($D1590="","",IF($F1590="",IFERROR(INDEX(Items!$H$5:$H$504,U1590),0),$F1590)),"")</f>
        <v/>
      </c>
      <c r="L1590" s="61" t="str">
        <f aca="false">IF(IsPro,IF($D1590="","",ROUND(N($E1590)*K1590*(1-N($G1590)),2)),"")</f>
        <v/>
      </c>
      <c r="M1590" s="62" t="str">
        <f aca="false">IF(IsPro,IF($D1590="","",IFERROR(INDEX(Items!$F$5:$F$504,U1590),0)),"")</f>
        <v/>
      </c>
      <c r="N1590" s="61" t="str">
        <f aca="false">IF(IsPro,IF($D1590="","",IF(AND(V1590&lt;&gt;"",INDEX(Parties!$E$5:$E$304,V1590)&lt;&gt;"",INDEX(Parties!$E$5:$E$304,V1590)&lt;&gt;HomeState),0,ROUND(L1590*M1590/2,2))),"")</f>
        <v/>
      </c>
      <c r="O1590" s="61" t="str">
        <f aca="false">IF(IsPro,IF($D1590="","",N1590),"")</f>
        <v/>
      </c>
      <c r="P1590" s="61" t="str">
        <f aca="false">IF(IsPro,IF($D1590="","",IF(AND(V1590&lt;&gt;"",INDEX(Parties!$E$5:$E$304,V1590)&lt;&gt;"",INDEX(Parties!$E$5:$E$304,V1590)&lt;&gt;HomeState),ROUND(L1590*M1590,2),0)),"")</f>
        <v/>
      </c>
      <c r="Q1590" s="61" t="str">
        <f aca="false">IF(IsPro,IF($D1590="","",L1590+N1590+O1590+P1590),"")</f>
        <v/>
      </c>
      <c r="R1590" s="61" t="str">
        <f aca="false">IF(IsPro,IF($D1590="","",ROUND(N($E1590)*IFERROR(INDEX(Items!$P$5:$P$504,U1590),0),2)),"")</f>
        <v/>
      </c>
      <c r="S1590" s="61" t="str">
        <f aca="false">IF(IsPro,IF($D1590="","",L1590-R1590),"")</f>
        <v/>
      </c>
      <c r="T1590" s="60" t="str">
        <f aca="false">IF(IsPro,IF($D1590="","",IF(U1590="","UNKNOWN ITEM",IF(INDEX(Items!$O$5:$O$504,U1590)&lt;0,"NEG STOCK",IF(K1590&lt;INDEX(Items!$P$5:$P$504,U1590),"BELOW COST","OK")))),IF($D1590="","","PRO PLAN"))</f>
        <v/>
      </c>
      <c r="U1590" s="60" t="str">
        <f aca="false">IF(IsPro,IF($D1590="","",IFERROR(MATCH($D1590,Items!$A$5:$A$504,0),"")),"")</f>
        <v/>
      </c>
      <c r="V1590" s="60" t="str">
        <f aca="false">IF(IsPro,IF($C1590="","",IFERROR(MATCH($C1590,Parties!$A$5:$A$304,0),"")),"")</f>
        <v/>
      </c>
      <c r="W1590" s="60" t="str">
        <f aca="false">IF(IsPro,IF($B1590="","",IFERROR(VALUE(SUBSTITUTE($B1590,InvPrefix,"")),0)),"")</f>
        <v/>
      </c>
      <c r="X1590" s="61" t="str">
        <f aca="false">IF(IsPro,IF($D1590="","",IF(OR($H1590="",$H1590="Credit"),0,Q1590)),"")</f>
        <v/>
      </c>
    </row>
    <row r="1591" customFormat="false" ht="15" hidden="false" customHeight="false" outlineLevel="0" collapsed="false">
      <c r="A1591" s="55"/>
      <c r="B1591" s="56"/>
      <c r="C1591" s="56"/>
      <c r="D1591" s="56"/>
      <c r="E1591" s="57"/>
      <c r="F1591" s="58"/>
      <c r="G1591" s="59"/>
      <c r="H1591" s="56"/>
      <c r="I1591" s="56"/>
      <c r="J1591" s="60" t="str">
        <f aca="false">IF(IsPro,IF($D1591="","",IFERROR(INDEX(Items!$D$5:$D$504,U1591),"")),"")</f>
        <v/>
      </c>
      <c r="K1591" s="61" t="str">
        <f aca="false">IF(IsPro,IF($D1591="","",IF($F1591="",IFERROR(INDEX(Items!$H$5:$H$504,U1591),0),$F1591)),"")</f>
        <v/>
      </c>
      <c r="L1591" s="61" t="str">
        <f aca="false">IF(IsPro,IF($D1591="","",ROUND(N($E1591)*K1591*(1-N($G1591)),2)),"")</f>
        <v/>
      </c>
      <c r="M1591" s="62" t="str">
        <f aca="false">IF(IsPro,IF($D1591="","",IFERROR(INDEX(Items!$F$5:$F$504,U1591),0)),"")</f>
        <v/>
      </c>
      <c r="N1591" s="61" t="str">
        <f aca="false">IF(IsPro,IF($D1591="","",IF(AND(V1591&lt;&gt;"",INDEX(Parties!$E$5:$E$304,V1591)&lt;&gt;"",INDEX(Parties!$E$5:$E$304,V1591)&lt;&gt;HomeState),0,ROUND(L1591*M1591/2,2))),"")</f>
        <v/>
      </c>
      <c r="O1591" s="61" t="str">
        <f aca="false">IF(IsPro,IF($D1591="","",N1591),"")</f>
        <v/>
      </c>
      <c r="P1591" s="61" t="str">
        <f aca="false">IF(IsPro,IF($D1591="","",IF(AND(V1591&lt;&gt;"",INDEX(Parties!$E$5:$E$304,V1591)&lt;&gt;"",INDEX(Parties!$E$5:$E$304,V1591)&lt;&gt;HomeState),ROUND(L1591*M1591,2),0)),"")</f>
        <v/>
      </c>
      <c r="Q1591" s="61" t="str">
        <f aca="false">IF(IsPro,IF($D1591="","",L1591+N1591+O1591+P1591),"")</f>
        <v/>
      </c>
      <c r="R1591" s="61" t="str">
        <f aca="false">IF(IsPro,IF($D1591="","",ROUND(N($E1591)*IFERROR(INDEX(Items!$P$5:$P$504,U1591),0),2)),"")</f>
        <v/>
      </c>
      <c r="S1591" s="61" t="str">
        <f aca="false">IF(IsPro,IF($D1591="","",L1591-R1591),"")</f>
        <v/>
      </c>
      <c r="T1591" s="60" t="str">
        <f aca="false">IF(IsPro,IF($D1591="","",IF(U1591="","UNKNOWN ITEM",IF(INDEX(Items!$O$5:$O$504,U1591)&lt;0,"NEG STOCK",IF(K1591&lt;INDEX(Items!$P$5:$P$504,U1591),"BELOW COST","OK")))),IF($D1591="","","PRO PLAN"))</f>
        <v/>
      </c>
      <c r="U1591" s="60" t="str">
        <f aca="false">IF(IsPro,IF($D1591="","",IFERROR(MATCH($D1591,Items!$A$5:$A$504,0),"")),"")</f>
        <v/>
      </c>
      <c r="V1591" s="60" t="str">
        <f aca="false">IF(IsPro,IF($C1591="","",IFERROR(MATCH($C1591,Parties!$A$5:$A$304,0),"")),"")</f>
        <v/>
      </c>
      <c r="W1591" s="60" t="str">
        <f aca="false">IF(IsPro,IF($B1591="","",IFERROR(VALUE(SUBSTITUTE($B1591,InvPrefix,"")),0)),"")</f>
        <v/>
      </c>
      <c r="X1591" s="61" t="str">
        <f aca="false">IF(IsPro,IF($D1591="","",IF(OR($H1591="",$H1591="Credit"),0,Q1591)),"")</f>
        <v/>
      </c>
    </row>
    <row r="1592" customFormat="false" ht="15" hidden="false" customHeight="false" outlineLevel="0" collapsed="false">
      <c r="A1592" s="55"/>
      <c r="B1592" s="56"/>
      <c r="C1592" s="56"/>
      <c r="D1592" s="56"/>
      <c r="E1592" s="57"/>
      <c r="F1592" s="58"/>
      <c r="G1592" s="59"/>
      <c r="H1592" s="56"/>
      <c r="I1592" s="56"/>
      <c r="J1592" s="60" t="str">
        <f aca="false">IF(IsPro,IF($D1592="","",IFERROR(INDEX(Items!$D$5:$D$504,U1592),"")),"")</f>
        <v/>
      </c>
      <c r="K1592" s="61" t="str">
        <f aca="false">IF(IsPro,IF($D1592="","",IF($F1592="",IFERROR(INDEX(Items!$H$5:$H$504,U1592),0),$F1592)),"")</f>
        <v/>
      </c>
      <c r="L1592" s="61" t="str">
        <f aca="false">IF(IsPro,IF($D1592="","",ROUND(N($E1592)*K1592*(1-N($G1592)),2)),"")</f>
        <v/>
      </c>
      <c r="M1592" s="62" t="str">
        <f aca="false">IF(IsPro,IF($D1592="","",IFERROR(INDEX(Items!$F$5:$F$504,U1592),0)),"")</f>
        <v/>
      </c>
      <c r="N1592" s="61" t="str">
        <f aca="false">IF(IsPro,IF($D1592="","",IF(AND(V1592&lt;&gt;"",INDEX(Parties!$E$5:$E$304,V1592)&lt;&gt;"",INDEX(Parties!$E$5:$E$304,V1592)&lt;&gt;HomeState),0,ROUND(L1592*M1592/2,2))),"")</f>
        <v/>
      </c>
      <c r="O1592" s="61" t="str">
        <f aca="false">IF(IsPro,IF($D1592="","",N1592),"")</f>
        <v/>
      </c>
      <c r="P1592" s="61" t="str">
        <f aca="false">IF(IsPro,IF($D1592="","",IF(AND(V1592&lt;&gt;"",INDEX(Parties!$E$5:$E$304,V1592)&lt;&gt;"",INDEX(Parties!$E$5:$E$304,V1592)&lt;&gt;HomeState),ROUND(L1592*M1592,2),0)),"")</f>
        <v/>
      </c>
      <c r="Q1592" s="61" t="str">
        <f aca="false">IF(IsPro,IF($D1592="","",L1592+N1592+O1592+P1592),"")</f>
        <v/>
      </c>
      <c r="R1592" s="61" t="str">
        <f aca="false">IF(IsPro,IF($D1592="","",ROUND(N($E1592)*IFERROR(INDEX(Items!$P$5:$P$504,U1592),0),2)),"")</f>
        <v/>
      </c>
      <c r="S1592" s="61" t="str">
        <f aca="false">IF(IsPro,IF($D1592="","",L1592-R1592),"")</f>
        <v/>
      </c>
      <c r="T1592" s="60" t="str">
        <f aca="false">IF(IsPro,IF($D1592="","",IF(U1592="","UNKNOWN ITEM",IF(INDEX(Items!$O$5:$O$504,U1592)&lt;0,"NEG STOCK",IF(K1592&lt;INDEX(Items!$P$5:$P$504,U1592),"BELOW COST","OK")))),IF($D1592="","","PRO PLAN"))</f>
        <v/>
      </c>
      <c r="U1592" s="60" t="str">
        <f aca="false">IF(IsPro,IF($D1592="","",IFERROR(MATCH($D1592,Items!$A$5:$A$504,0),"")),"")</f>
        <v/>
      </c>
      <c r="V1592" s="60" t="str">
        <f aca="false">IF(IsPro,IF($C1592="","",IFERROR(MATCH($C1592,Parties!$A$5:$A$304,0),"")),"")</f>
        <v/>
      </c>
      <c r="W1592" s="60" t="str">
        <f aca="false">IF(IsPro,IF($B1592="","",IFERROR(VALUE(SUBSTITUTE($B1592,InvPrefix,"")),0)),"")</f>
        <v/>
      </c>
      <c r="X1592" s="61" t="str">
        <f aca="false">IF(IsPro,IF($D1592="","",IF(OR($H1592="",$H1592="Credit"),0,Q1592)),"")</f>
        <v/>
      </c>
    </row>
    <row r="1593" customFormat="false" ht="15" hidden="false" customHeight="false" outlineLevel="0" collapsed="false">
      <c r="A1593" s="55"/>
      <c r="B1593" s="56"/>
      <c r="C1593" s="56"/>
      <c r="D1593" s="56"/>
      <c r="E1593" s="57"/>
      <c r="F1593" s="58"/>
      <c r="G1593" s="59"/>
      <c r="H1593" s="56"/>
      <c r="I1593" s="56"/>
      <c r="J1593" s="60" t="str">
        <f aca="false">IF(IsPro,IF($D1593="","",IFERROR(INDEX(Items!$D$5:$D$504,U1593),"")),"")</f>
        <v/>
      </c>
      <c r="K1593" s="61" t="str">
        <f aca="false">IF(IsPro,IF($D1593="","",IF($F1593="",IFERROR(INDEX(Items!$H$5:$H$504,U1593),0),$F1593)),"")</f>
        <v/>
      </c>
      <c r="L1593" s="61" t="str">
        <f aca="false">IF(IsPro,IF($D1593="","",ROUND(N($E1593)*K1593*(1-N($G1593)),2)),"")</f>
        <v/>
      </c>
      <c r="M1593" s="62" t="str">
        <f aca="false">IF(IsPro,IF($D1593="","",IFERROR(INDEX(Items!$F$5:$F$504,U1593),0)),"")</f>
        <v/>
      </c>
      <c r="N1593" s="61" t="str">
        <f aca="false">IF(IsPro,IF($D1593="","",IF(AND(V1593&lt;&gt;"",INDEX(Parties!$E$5:$E$304,V1593)&lt;&gt;"",INDEX(Parties!$E$5:$E$304,V1593)&lt;&gt;HomeState),0,ROUND(L1593*M1593/2,2))),"")</f>
        <v/>
      </c>
      <c r="O1593" s="61" t="str">
        <f aca="false">IF(IsPro,IF($D1593="","",N1593),"")</f>
        <v/>
      </c>
      <c r="P1593" s="61" t="str">
        <f aca="false">IF(IsPro,IF($D1593="","",IF(AND(V1593&lt;&gt;"",INDEX(Parties!$E$5:$E$304,V1593)&lt;&gt;"",INDEX(Parties!$E$5:$E$304,V1593)&lt;&gt;HomeState),ROUND(L1593*M1593,2),0)),"")</f>
        <v/>
      </c>
      <c r="Q1593" s="61" t="str">
        <f aca="false">IF(IsPro,IF($D1593="","",L1593+N1593+O1593+P1593),"")</f>
        <v/>
      </c>
      <c r="R1593" s="61" t="str">
        <f aca="false">IF(IsPro,IF($D1593="","",ROUND(N($E1593)*IFERROR(INDEX(Items!$P$5:$P$504,U1593),0),2)),"")</f>
        <v/>
      </c>
      <c r="S1593" s="61" t="str">
        <f aca="false">IF(IsPro,IF($D1593="","",L1593-R1593),"")</f>
        <v/>
      </c>
      <c r="T1593" s="60" t="str">
        <f aca="false">IF(IsPro,IF($D1593="","",IF(U1593="","UNKNOWN ITEM",IF(INDEX(Items!$O$5:$O$504,U1593)&lt;0,"NEG STOCK",IF(K1593&lt;INDEX(Items!$P$5:$P$504,U1593),"BELOW COST","OK")))),IF($D1593="","","PRO PLAN"))</f>
        <v/>
      </c>
      <c r="U1593" s="60" t="str">
        <f aca="false">IF(IsPro,IF($D1593="","",IFERROR(MATCH($D1593,Items!$A$5:$A$504,0),"")),"")</f>
        <v/>
      </c>
      <c r="V1593" s="60" t="str">
        <f aca="false">IF(IsPro,IF($C1593="","",IFERROR(MATCH($C1593,Parties!$A$5:$A$304,0),"")),"")</f>
        <v/>
      </c>
      <c r="W1593" s="60" t="str">
        <f aca="false">IF(IsPro,IF($B1593="","",IFERROR(VALUE(SUBSTITUTE($B1593,InvPrefix,"")),0)),"")</f>
        <v/>
      </c>
      <c r="X1593" s="61" t="str">
        <f aca="false">IF(IsPro,IF($D1593="","",IF(OR($H1593="",$H1593="Credit"),0,Q1593)),"")</f>
        <v/>
      </c>
    </row>
    <row r="1594" customFormat="false" ht="15" hidden="false" customHeight="false" outlineLevel="0" collapsed="false">
      <c r="A1594" s="55"/>
      <c r="B1594" s="56"/>
      <c r="C1594" s="56"/>
      <c r="D1594" s="56"/>
      <c r="E1594" s="57"/>
      <c r="F1594" s="58"/>
      <c r="G1594" s="59"/>
      <c r="H1594" s="56"/>
      <c r="I1594" s="56"/>
      <c r="J1594" s="60" t="str">
        <f aca="false">IF(IsPro,IF($D1594="","",IFERROR(INDEX(Items!$D$5:$D$504,U1594),"")),"")</f>
        <v/>
      </c>
      <c r="K1594" s="61" t="str">
        <f aca="false">IF(IsPro,IF($D1594="","",IF($F1594="",IFERROR(INDEX(Items!$H$5:$H$504,U1594),0),$F1594)),"")</f>
        <v/>
      </c>
      <c r="L1594" s="61" t="str">
        <f aca="false">IF(IsPro,IF($D1594="","",ROUND(N($E1594)*K1594*(1-N($G1594)),2)),"")</f>
        <v/>
      </c>
      <c r="M1594" s="62" t="str">
        <f aca="false">IF(IsPro,IF($D1594="","",IFERROR(INDEX(Items!$F$5:$F$504,U1594),0)),"")</f>
        <v/>
      </c>
      <c r="N1594" s="61" t="str">
        <f aca="false">IF(IsPro,IF($D1594="","",IF(AND(V1594&lt;&gt;"",INDEX(Parties!$E$5:$E$304,V1594)&lt;&gt;"",INDEX(Parties!$E$5:$E$304,V1594)&lt;&gt;HomeState),0,ROUND(L1594*M1594/2,2))),"")</f>
        <v/>
      </c>
      <c r="O1594" s="61" t="str">
        <f aca="false">IF(IsPro,IF($D1594="","",N1594),"")</f>
        <v/>
      </c>
      <c r="P1594" s="61" t="str">
        <f aca="false">IF(IsPro,IF($D1594="","",IF(AND(V1594&lt;&gt;"",INDEX(Parties!$E$5:$E$304,V1594)&lt;&gt;"",INDEX(Parties!$E$5:$E$304,V1594)&lt;&gt;HomeState),ROUND(L1594*M1594,2),0)),"")</f>
        <v/>
      </c>
      <c r="Q1594" s="61" t="str">
        <f aca="false">IF(IsPro,IF($D1594="","",L1594+N1594+O1594+P1594),"")</f>
        <v/>
      </c>
      <c r="R1594" s="61" t="str">
        <f aca="false">IF(IsPro,IF($D1594="","",ROUND(N($E1594)*IFERROR(INDEX(Items!$P$5:$P$504,U1594),0),2)),"")</f>
        <v/>
      </c>
      <c r="S1594" s="61" t="str">
        <f aca="false">IF(IsPro,IF($D1594="","",L1594-R1594),"")</f>
        <v/>
      </c>
      <c r="T1594" s="60" t="str">
        <f aca="false">IF(IsPro,IF($D1594="","",IF(U1594="","UNKNOWN ITEM",IF(INDEX(Items!$O$5:$O$504,U1594)&lt;0,"NEG STOCK",IF(K1594&lt;INDEX(Items!$P$5:$P$504,U1594),"BELOW COST","OK")))),IF($D1594="","","PRO PLAN"))</f>
        <v/>
      </c>
      <c r="U1594" s="60" t="str">
        <f aca="false">IF(IsPro,IF($D1594="","",IFERROR(MATCH($D1594,Items!$A$5:$A$504,0),"")),"")</f>
        <v/>
      </c>
      <c r="V1594" s="60" t="str">
        <f aca="false">IF(IsPro,IF($C1594="","",IFERROR(MATCH($C1594,Parties!$A$5:$A$304,0),"")),"")</f>
        <v/>
      </c>
      <c r="W1594" s="60" t="str">
        <f aca="false">IF(IsPro,IF($B1594="","",IFERROR(VALUE(SUBSTITUTE($B1594,InvPrefix,"")),0)),"")</f>
        <v/>
      </c>
      <c r="X1594" s="61" t="str">
        <f aca="false">IF(IsPro,IF($D1594="","",IF(OR($H1594="",$H1594="Credit"),0,Q1594)),"")</f>
        <v/>
      </c>
    </row>
    <row r="1595" customFormat="false" ht="15" hidden="false" customHeight="false" outlineLevel="0" collapsed="false">
      <c r="A1595" s="55"/>
      <c r="B1595" s="56"/>
      <c r="C1595" s="56"/>
      <c r="D1595" s="56"/>
      <c r="E1595" s="57"/>
      <c r="F1595" s="58"/>
      <c r="G1595" s="59"/>
      <c r="H1595" s="56"/>
      <c r="I1595" s="56"/>
      <c r="J1595" s="60" t="str">
        <f aca="false">IF(IsPro,IF($D1595="","",IFERROR(INDEX(Items!$D$5:$D$504,U1595),"")),"")</f>
        <v/>
      </c>
      <c r="K1595" s="61" t="str">
        <f aca="false">IF(IsPro,IF($D1595="","",IF($F1595="",IFERROR(INDEX(Items!$H$5:$H$504,U1595),0),$F1595)),"")</f>
        <v/>
      </c>
      <c r="L1595" s="61" t="str">
        <f aca="false">IF(IsPro,IF($D1595="","",ROUND(N($E1595)*K1595*(1-N($G1595)),2)),"")</f>
        <v/>
      </c>
      <c r="M1595" s="62" t="str">
        <f aca="false">IF(IsPro,IF($D1595="","",IFERROR(INDEX(Items!$F$5:$F$504,U1595),0)),"")</f>
        <v/>
      </c>
      <c r="N1595" s="61" t="str">
        <f aca="false">IF(IsPro,IF($D1595="","",IF(AND(V1595&lt;&gt;"",INDEX(Parties!$E$5:$E$304,V1595)&lt;&gt;"",INDEX(Parties!$E$5:$E$304,V1595)&lt;&gt;HomeState),0,ROUND(L1595*M1595/2,2))),"")</f>
        <v/>
      </c>
      <c r="O1595" s="61" t="str">
        <f aca="false">IF(IsPro,IF($D1595="","",N1595),"")</f>
        <v/>
      </c>
      <c r="P1595" s="61" t="str">
        <f aca="false">IF(IsPro,IF($D1595="","",IF(AND(V1595&lt;&gt;"",INDEX(Parties!$E$5:$E$304,V1595)&lt;&gt;"",INDEX(Parties!$E$5:$E$304,V1595)&lt;&gt;HomeState),ROUND(L1595*M1595,2),0)),"")</f>
        <v/>
      </c>
      <c r="Q1595" s="61" t="str">
        <f aca="false">IF(IsPro,IF($D1595="","",L1595+N1595+O1595+P1595),"")</f>
        <v/>
      </c>
      <c r="R1595" s="61" t="str">
        <f aca="false">IF(IsPro,IF($D1595="","",ROUND(N($E1595)*IFERROR(INDEX(Items!$P$5:$P$504,U1595),0),2)),"")</f>
        <v/>
      </c>
      <c r="S1595" s="61" t="str">
        <f aca="false">IF(IsPro,IF($D1595="","",L1595-R1595),"")</f>
        <v/>
      </c>
      <c r="T1595" s="60" t="str">
        <f aca="false">IF(IsPro,IF($D1595="","",IF(U1595="","UNKNOWN ITEM",IF(INDEX(Items!$O$5:$O$504,U1595)&lt;0,"NEG STOCK",IF(K1595&lt;INDEX(Items!$P$5:$P$504,U1595),"BELOW COST","OK")))),IF($D1595="","","PRO PLAN"))</f>
        <v/>
      </c>
      <c r="U1595" s="60" t="str">
        <f aca="false">IF(IsPro,IF($D1595="","",IFERROR(MATCH($D1595,Items!$A$5:$A$504,0),"")),"")</f>
        <v/>
      </c>
      <c r="V1595" s="60" t="str">
        <f aca="false">IF(IsPro,IF($C1595="","",IFERROR(MATCH($C1595,Parties!$A$5:$A$304,0),"")),"")</f>
        <v/>
      </c>
      <c r="W1595" s="60" t="str">
        <f aca="false">IF(IsPro,IF($B1595="","",IFERROR(VALUE(SUBSTITUTE($B1595,InvPrefix,"")),0)),"")</f>
        <v/>
      </c>
      <c r="X1595" s="61" t="str">
        <f aca="false">IF(IsPro,IF($D1595="","",IF(OR($H1595="",$H1595="Credit"),0,Q1595)),"")</f>
        <v/>
      </c>
    </row>
    <row r="1596" customFormat="false" ht="15" hidden="false" customHeight="false" outlineLevel="0" collapsed="false">
      <c r="A1596" s="55"/>
      <c r="B1596" s="56"/>
      <c r="C1596" s="56"/>
      <c r="D1596" s="56"/>
      <c r="E1596" s="57"/>
      <c r="F1596" s="58"/>
      <c r="G1596" s="59"/>
      <c r="H1596" s="56"/>
      <c r="I1596" s="56"/>
      <c r="J1596" s="60" t="str">
        <f aca="false">IF(IsPro,IF($D1596="","",IFERROR(INDEX(Items!$D$5:$D$504,U1596),"")),"")</f>
        <v/>
      </c>
      <c r="K1596" s="61" t="str">
        <f aca="false">IF(IsPro,IF($D1596="","",IF($F1596="",IFERROR(INDEX(Items!$H$5:$H$504,U1596),0),$F1596)),"")</f>
        <v/>
      </c>
      <c r="L1596" s="61" t="str">
        <f aca="false">IF(IsPro,IF($D1596="","",ROUND(N($E1596)*K1596*(1-N($G1596)),2)),"")</f>
        <v/>
      </c>
      <c r="M1596" s="62" t="str">
        <f aca="false">IF(IsPro,IF($D1596="","",IFERROR(INDEX(Items!$F$5:$F$504,U1596),0)),"")</f>
        <v/>
      </c>
      <c r="N1596" s="61" t="str">
        <f aca="false">IF(IsPro,IF($D1596="","",IF(AND(V1596&lt;&gt;"",INDEX(Parties!$E$5:$E$304,V1596)&lt;&gt;"",INDEX(Parties!$E$5:$E$304,V1596)&lt;&gt;HomeState),0,ROUND(L1596*M1596/2,2))),"")</f>
        <v/>
      </c>
      <c r="O1596" s="61" t="str">
        <f aca="false">IF(IsPro,IF($D1596="","",N1596),"")</f>
        <v/>
      </c>
      <c r="P1596" s="61" t="str">
        <f aca="false">IF(IsPro,IF($D1596="","",IF(AND(V1596&lt;&gt;"",INDEX(Parties!$E$5:$E$304,V1596)&lt;&gt;"",INDEX(Parties!$E$5:$E$304,V1596)&lt;&gt;HomeState),ROUND(L1596*M1596,2),0)),"")</f>
        <v/>
      </c>
      <c r="Q1596" s="61" t="str">
        <f aca="false">IF(IsPro,IF($D1596="","",L1596+N1596+O1596+P1596),"")</f>
        <v/>
      </c>
      <c r="R1596" s="61" t="str">
        <f aca="false">IF(IsPro,IF($D1596="","",ROUND(N($E1596)*IFERROR(INDEX(Items!$P$5:$P$504,U1596),0),2)),"")</f>
        <v/>
      </c>
      <c r="S1596" s="61" t="str">
        <f aca="false">IF(IsPro,IF($D1596="","",L1596-R1596),"")</f>
        <v/>
      </c>
      <c r="T1596" s="60" t="str">
        <f aca="false">IF(IsPro,IF($D1596="","",IF(U1596="","UNKNOWN ITEM",IF(INDEX(Items!$O$5:$O$504,U1596)&lt;0,"NEG STOCK",IF(K1596&lt;INDEX(Items!$P$5:$P$504,U1596),"BELOW COST","OK")))),IF($D1596="","","PRO PLAN"))</f>
        <v/>
      </c>
      <c r="U1596" s="60" t="str">
        <f aca="false">IF(IsPro,IF($D1596="","",IFERROR(MATCH($D1596,Items!$A$5:$A$504,0),"")),"")</f>
        <v/>
      </c>
      <c r="V1596" s="60" t="str">
        <f aca="false">IF(IsPro,IF($C1596="","",IFERROR(MATCH($C1596,Parties!$A$5:$A$304,0),"")),"")</f>
        <v/>
      </c>
      <c r="W1596" s="60" t="str">
        <f aca="false">IF(IsPro,IF($B1596="","",IFERROR(VALUE(SUBSTITUTE($B1596,InvPrefix,"")),0)),"")</f>
        <v/>
      </c>
      <c r="X1596" s="61" t="str">
        <f aca="false">IF(IsPro,IF($D1596="","",IF(OR($H1596="",$H1596="Credit"),0,Q1596)),"")</f>
        <v/>
      </c>
    </row>
    <row r="1597" customFormat="false" ht="15" hidden="false" customHeight="false" outlineLevel="0" collapsed="false">
      <c r="A1597" s="55"/>
      <c r="B1597" s="56"/>
      <c r="C1597" s="56"/>
      <c r="D1597" s="56"/>
      <c r="E1597" s="57"/>
      <c r="F1597" s="58"/>
      <c r="G1597" s="59"/>
      <c r="H1597" s="56"/>
      <c r="I1597" s="56"/>
      <c r="J1597" s="60" t="str">
        <f aca="false">IF(IsPro,IF($D1597="","",IFERROR(INDEX(Items!$D$5:$D$504,U1597),"")),"")</f>
        <v/>
      </c>
      <c r="K1597" s="61" t="str">
        <f aca="false">IF(IsPro,IF($D1597="","",IF($F1597="",IFERROR(INDEX(Items!$H$5:$H$504,U1597),0),$F1597)),"")</f>
        <v/>
      </c>
      <c r="L1597" s="61" t="str">
        <f aca="false">IF(IsPro,IF($D1597="","",ROUND(N($E1597)*K1597*(1-N($G1597)),2)),"")</f>
        <v/>
      </c>
      <c r="M1597" s="62" t="str">
        <f aca="false">IF(IsPro,IF($D1597="","",IFERROR(INDEX(Items!$F$5:$F$504,U1597),0)),"")</f>
        <v/>
      </c>
      <c r="N1597" s="61" t="str">
        <f aca="false">IF(IsPro,IF($D1597="","",IF(AND(V1597&lt;&gt;"",INDEX(Parties!$E$5:$E$304,V1597)&lt;&gt;"",INDEX(Parties!$E$5:$E$304,V1597)&lt;&gt;HomeState),0,ROUND(L1597*M1597/2,2))),"")</f>
        <v/>
      </c>
      <c r="O1597" s="61" t="str">
        <f aca="false">IF(IsPro,IF($D1597="","",N1597),"")</f>
        <v/>
      </c>
      <c r="P1597" s="61" t="str">
        <f aca="false">IF(IsPro,IF($D1597="","",IF(AND(V1597&lt;&gt;"",INDEX(Parties!$E$5:$E$304,V1597)&lt;&gt;"",INDEX(Parties!$E$5:$E$304,V1597)&lt;&gt;HomeState),ROUND(L1597*M1597,2),0)),"")</f>
        <v/>
      </c>
      <c r="Q1597" s="61" t="str">
        <f aca="false">IF(IsPro,IF($D1597="","",L1597+N1597+O1597+P1597),"")</f>
        <v/>
      </c>
      <c r="R1597" s="61" t="str">
        <f aca="false">IF(IsPro,IF($D1597="","",ROUND(N($E1597)*IFERROR(INDEX(Items!$P$5:$P$504,U1597),0),2)),"")</f>
        <v/>
      </c>
      <c r="S1597" s="61" t="str">
        <f aca="false">IF(IsPro,IF($D1597="","",L1597-R1597),"")</f>
        <v/>
      </c>
      <c r="T1597" s="60" t="str">
        <f aca="false">IF(IsPro,IF($D1597="","",IF(U1597="","UNKNOWN ITEM",IF(INDEX(Items!$O$5:$O$504,U1597)&lt;0,"NEG STOCK",IF(K1597&lt;INDEX(Items!$P$5:$P$504,U1597),"BELOW COST","OK")))),IF($D1597="","","PRO PLAN"))</f>
        <v/>
      </c>
      <c r="U1597" s="60" t="str">
        <f aca="false">IF(IsPro,IF($D1597="","",IFERROR(MATCH($D1597,Items!$A$5:$A$504,0),"")),"")</f>
        <v/>
      </c>
      <c r="V1597" s="60" t="str">
        <f aca="false">IF(IsPro,IF($C1597="","",IFERROR(MATCH($C1597,Parties!$A$5:$A$304,0),"")),"")</f>
        <v/>
      </c>
      <c r="W1597" s="60" t="str">
        <f aca="false">IF(IsPro,IF($B1597="","",IFERROR(VALUE(SUBSTITUTE($B1597,InvPrefix,"")),0)),"")</f>
        <v/>
      </c>
      <c r="X1597" s="61" t="str">
        <f aca="false">IF(IsPro,IF($D1597="","",IF(OR($H1597="",$H1597="Credit"),0,Q1597)),"")</f>
        <v/>
      </c>
    </row>
    <row r="1598" customFormat="false" ht="15" hidden="false" customHeight="false" outlineLevel="0" collapsed="false">
      <c r="A1598" s="55"/>
      <c r="B1598" s="56"/>
      <c r="C1598" s="56"/>
      <c r="D1598" s="56"/>
      <c r="E1598" s="57"/>
      <c r="F1598" s="58"/>
      <c r="G1598" s="59"/>
      <c r="H1598" s="56"/>
      <c r="I1598" s="56"/>
      <c r="J1598" s="60" t="str">
        <f aca="false">IF(IsPro,IF($D1598="","",IFERROR(INDEX(Items!$D$5:$D$504,U1598),"")),"")</f>
        <v/>
      </c>
      <c r="K1598" s="61" t="str">
        <f aca="false">IF(IsPro,IF($D1598="","",IF($F1598="",IFERROR(INDEX(Items!$H$5:$H$504,U1598),0),$F1598)),"")</f>
        <v/>
      </c>
      <c r="L1598" s="61" t="str">
        <f aca="false">IF(IsPro,IF($D1598="","",ROUND(N($E1598)*K1598*(1-N($G1598)),2)),"")</f>
        <v/>
      </c>
      <c r="M1598" s="62" t="str">
        <f aca="false">IF(IsPro,IF($D1598="","",IFERROR(INDEX(Items!$F$5:$F$504,U1598),0)),"")</f>
        <v/>
      </c>
      <c r="N1598" s="61" t="str">
        <f aca="false">IF(IsPro,IF($D1598="","",IF(AND(V1598&lt;&gt;"",INDEX(Parties!$E$5:$E$304,V1598)&lt;&gt;"",INDEX(Parties!$E$5:$E$304,V1598)&lt;&gt;HomeState),0,ROUND(L1598*M1598/2,2))),"")</f>
        <v/>
      </c>
      <c r="O1598" s="61" t="str">
        <f aca="false">IF(IsPro,IF($D1598="","",N1598),"")</f>
        <v/>
      </c>
      <c r="P1598" s="61" t="str">
        <f aca="false">IF(IsPro,IF($D1598="","",IF(AND(V1598&lt;&gt;"",INDEX(Parties!$E$5:$E$304,V1598)&lt;&gt;"",INDEX(Parties!$E$5:$E$304,V1598)&lt;&gt;HomeState),ROUND(L1598*M1598,2),0)),"")</f>
        <v/>
      </c>
      <c r="Q1598" s="61" t="str">
        <f aca="false">IF(IsPro,IF($D1598="","",L1598+N1598+O1598+P1598),"")</f>
        <v/>
      </c>
      <c r="R1598" s="61" t="str">
        <f aca="false">IF(IsPro,IF($D1598="","",ROUND(N($E1598)*IFERROR(INDEX(Items!$P$5:$P$504,U1598),0),2)),"")</f>
        <v/>
      </c>
      <c r="S1598" s="61" t="str">
        <f aca="false">IF(IsPro,IF($D1598="","",L1598-R1598),"")</f>
        <v/>
      </c>
      <c r="T1598" s="60" t="str">
        <f aca="false">IF(IsPro,IF($D1598="","",IF(U1598="","UNKNOWN ITEM",IF(INDEX(Items!$O$5:$O$504,U1598)&lt;0,"NEG STOCK",IF(K1598&lt;INDEX(Items!$P$5:$P$504,U1598),"BELOW COST","OK")))),IF($D1598="","","PRO PLAN"))</f>
        <v/>
      </c>
      <c r="U1598" s="60" t="str">
        <f aca="false">IF(IsPro,IF($D1598="","",IFERROR(MATCH($D1598,Items!$A$5:$A$504,0),"")),"")</f>
        <v/>
      </c>
      <c r="V1598" s="60" t="str">
        <f aca="false">IF(IsPro,IF($C1598="","",IFERROR(MATCH($C1598,Parties!$A$5:$A$304,0),"")),"")</f>
        <v/>
      </c>
      <c r="W1598" s="60" t="str">
        <f aca="false">IF(IsPro,IF($B1598="","",IFERROR(VALUE(SUBSTITUTE($B1598,InvPrefix,"")),0)),"")</f>
        <v/>
      </c>
      <c r="X1598" s="61" t="str">
        <f aca="false">IF(IsPro,IF($D1598="","",IF(OR($H1598="",$H1598="Credit"),0,Q1598)),"")</f>
        <v/>
      </c>
    </row>
    <row r="1599" customFormat="false" ht="15" hidden="false" customHeight="false" outlineLevel="0" collapsed="false">
      <c r="A1599" s="55"/>
      <c r="B1599" s="56"/>
      <c r="C1599" s="56"/>
      <c r="D1599" s="56"/>
      <c r="E1599" s="57"/>
      <c r="F1599" s="58"/>
      <c r="G1599" s="59"/>
      <c r="H1599" s="56"/>
      <c r="I1599" s="56"/>
      <c r="J1599" s="60" t="str">
        <f aca="false">IF(IsPro,IF($D1599="","",IFERROR(INDEX(Items!$D$5:$D$504,U1599),"")),"")</f>
        <v/>
      </c>
      <c r="K1599" s="61" t="str">
        <f aca="false">IF(IsPro,IF($D1599="","",IF($F1599="",IFERROR(INDEX(Items!$H$5:$H$504,U1599),0),$F1599)),"")</f>
        <v/>
      </c>
      <c r="L1599" s="61" t="str">
        <f aca="false">IF(IsPro,IF($D1599="","",ROUND(N($E1599)*K1599*(1-N($G1599)),2)),"")</f>
        <v/>
      </c>
      <c r="M1599" s="62" t="str">
        <f aca="false">IF(IsPro,IF($D1599="","",IFERROR(INDEX(Items!$F$5:$F$504,U1599),0)),"")</f>
        <v/>
      </c>
      <c r="N1599" s="61" t="str">
        <f aca="false">IF(IsPro,IF($D1599="","",IF(AND(V1599&lt;&gt;"",INDEX(Parties!$E$5:$E$304,V1599)&lt;&gt;"",INDEX(Parties!$E$5:$E$304,V1599)&lt;&gt;HomeState),0,ROUND(L1599*M1599/2,2))),"")</f>
        <v/>
      </c>
      <c r="O1599" s="61" t="str">
        <f aca="false">IF(IsPro,IF($D1599="","",N1599),"")</f>
        <v/>
      </c>
      <c r="P1599" s="61" t="str">
        <f aca="false">IF(IsPro,IF($D1599="","",IF(AND(V1599&lt;&gt;"",INDEX(Parties!$E$5:$E$304,V1599)&lt;&gt;"",INDEX(Parties!$E$5:$E$304,V1599)&lt;&gt;HomeState),ROUND(L1599*M1599,2),0)),"")</f>
        <v/>
      </c>
      <c r="Q1599" s="61" t="str">
        <f aca="false">IF(IsPro,IF($D1599="","",L1599+N1599+O1599+P1599),"")</f>
        <v/>
      </c>
      <c r="R1599" s="61" t="str">
        <f aca="false">IF(IsPro,IF($D1599="","",ROUND(N($E1599)*IFERROR(INDEX(Items!$P$5:$P$504,U1599),0),2)),"")</f>
        <v/>
      </c>
      <c r="S1599" s="61" t="str">
        <f aca="false">IF(IsPro,IF($D1599="","",L1599-R1599),"")</f>
        <v/>
      </c>
      <c r="T1599" s="60" t="str">
        <f aca="false">IF(IsPro,IF($D1599="","",IF(U1599="","UNKNOWN ITEM",IF(INDEX(Items!$O$5:$O$504,U1599)&lt;0,"NEG STOCK",IF(K1599&lt;INDEX(Items!$P$5:$P$504,U1599),"BELOW COST","OK")))),IF($D1599="","","PRO PLAN"))</f>
        <v/>
      </c>
      <c r="U1599" s="60" t="str">
        <f aca="false">IF(IsPro,IF($D1599="","",IFERROR(MATCH($D1599,Items!$A$5:$A$504,0),"")),"")</f>
        <v/>
      </c>
      <c r="V1599" s="60" t="str">
        <f aca="false">IF(IsPro,IF($C1599="","",IFERROR(MATCH($C1599,Parties!$A$5:$A$304,0),"")),"")</f>
        <v/>
      </c>
      <c r="W1599" s="60" t="str">
        <f aca="false">IF(IsPro,IF($B1599="","",IFERROR(VALUE(SUBSTITUTE($B1599,InvPrefix,"")),0)),"")</f>
        <v/>
      </c>
      <c r="X1599" s="61" t="str">
        <f aca="false">IF(IsPro,IF($D1599="","",IF(OR($H1599="",$H1599="Credit"),0,Q1599)),"")</f>
        <v/>
      </c>
    </row>
    <row r="1600" customFormat="false" ht="15" hidden="false" customHeight="false" outlineLevel="0" collapsed="false">
      <c r="A1600" s="55"/>
      <c r="B1600" s="56"/>
      <c r="C1600" s="56"/>
      <c r="D1600" s="56"/>
      <c r="E1600" s="57"/>
      <c r="F1600" s="58"/>
      <c r="G1600" s="59"/>
      <c r="H1600" s="56"/>
      <c r="I1600" s="56"/>
      <c r="J1600" s="60" t="str">
        <f aca="false">IF(IsPro,IF($D1600="","",IFERROR(INDEX(Items!$D$5:$D$504,U1600),"")),"")</f>
        <v/>
      </c>
      <c r="K1600" s="61" t="str">
        <f aca="false">IF(IsPro,IF($D1600="","",IF($F1600="",IFERROR(INDEX(Items!$H$5:$H$504,U1600),0),$F1600)),"")</f>
        <v/>
      </c>
      <c r="L1600" s="61" t="str">
        <f aca="false">IF(IsPro,IF($D1600="","",ROUND(N($E1600)*K1600*(1-N($G1600)),2)),"")</f>
        <v/>
      </c>
      <c r="M1600" s="62" t="str">
        <f aca="false">IF(IsPro,IF($D1600="","",IFERROR(INDEX(Items!$F$5:$F$504,U1600),0)),"")</f>
        <v/>
      </c>
      <c r="N1600" s="61" t="str">
        <f aca="false">IF(IsPro,IF($D1600="","",IF(AND(V1600&lt;&gt;"",INDEX(Parties!$E$5:$E$304,V1600)&lt;&gt;"",INDEX(Parties!$E$5:$E$304,V1600)&lt;&gt;HomeState),0,ROUND(L1600*M1600/2,2))),"")</f>
        <v/>
      </c>
      <c r="O1600" s="61" t="str">
        <f aca="false">IF(IsPro,IF($D1600="","",N1600),"")</f>
        <v/>
      </c>
      <c r="P1600" s="61" t="str">
        <f aca="false">IF(IsPro,IF($D1600="","",IF(AND(V1600&lt;&gt;"",INDEX(Parties!$E$5:$E$304,V1600)&lt;&gt;"",INDEX(Parties!$E$5:$E$304,V1600)&lt;&gt;HomeState),ROUND(L1600*M1600,2),0)),"")</f>
        <v/>
      </c>
      <c r="Q1600" s="61" t="str">
        <f aca="false">IF(IsPro,IF($D1600="","",L1600+N1600+O1600+P1600),"")</f>
        <v/>
      </c>
      <c r="R1600" s="61" t="str">
        <f aca="false">IF(IsPro,IF($D1600="","",ROUND(N($E1600)*IFERROR(INDEX(Items!$P$5:$P$504,U1600),0),2)),"")</f>
        <v/>
      </c>
      <c r="S1600" s="61" t="str">
        <f aca="false">IF(IsPro,IF($D1600="","",L1600-R1600),"")</f>
        <v/>
      </c>
      <c r="T1600" s="60" t="str">
        <f aca="false">IF(IsPro,IF($D1600="","",IF(U1600="","UNKNOWN ITEM",IF(INDEX(Items!$O$5:$O$504,U1600)&lt;0,"NEG STOCK",IF(K1600&lt;INDEX(Items!$P$5:$P$504,U1600),"BELOW COST","OK")))),IF($D1600="","","PRO PLAN"))</f>
        <v/>
      </c>
      <c r="U1600" s="60" t="str">
        <f aca="false">IF(IsPro,IF($D1600="","",IFERROR(MATCH($D1600,Items!$A$5:$A$504,0),"")),"")</f>
        <v/>
      </c>
      <c r="V1600" s="60" t="str">
        <f aca="false">IF(IsPro,IF($C1600="","",IFERROR(MATCH($C1600,Parties!$A$5:$A$304,0),"")),"")</f>
        <v/>
      </c>
      <c r="W1600" s="60" t="str">
        <f aca="false">IF(IsPro,IF($B1600="","",IFERROR(VALUE(SUBSTITUTE($B1600,InvPrefix,"")),0)),"")</f>
        <v/>
      </c>
      <c r="X1600" s="61" t="str">
        <f aca="false">IF(IsPro,IF($D1600="","",IF(OR($H1600="",$H1600="Credit"),0,Q1600)),"")</f>
        <v/>
      </c>
    </row>
    <row r="1601" customFormat="false" ht="15" hidden="false" customHeight="false" outlineLevel="0" collapsed="false">
      <c r="A1601" s="55"/>
      <c r="B1601" s="56"/>
      <c r="C1601" s="56"/>
      <c r="D1601" s="56"/>
      <c r="E1601" s="57"/>
      <c r="F1601" s="58"/>
      <c r="G1601" s="59"/>
      <c r="H1601" s="56"/>
      <c r="I1601" s="56"/>
      <c r="J1601" s="60" t="str">
        <f aca="false">IF(IsPro,IF($D1601="","",IFERROR(INDEX(Items!$D$5:$D$504,U1601),"")),"")</f>
        <v/>
      </c>
      <c r="K1601" s="61" t="str">
        <f aca="false">IF(IsPro,IF($D1601="","",IF($F1601="",IFERROR(INDEX(Items!$H$5:$H$504,U1601),0),$F1601)),"")</f>
        <v/>
      </c>
      <c r="L1601" s="61" t="str">
        <f aca="false">IF(IsPro,IF($D1601="","",ROUND(N($E1601)*K1601*(1-N($G1601)),2)),"")</f>
        <v/>
      </c>
      <c r="M1601" s="62" t="str">
        <f aca="false">IF(IsPro,IF($D1601="","",IFERROR(INDEX(Items!$F$5:$F$504,U1601),0)),"")</f>
        <v/>
      </c>
      <c r="N1601" s="61" t="str">
        <f aca="false">IF(IsPro,IF($D1601="","",IF(AND(V1601&lt;&gt;"",INDEX(Parties!$E$5:$E$304,V1601)&lt;&gt;"",INDEX(Parties!$E$5:$E$304,V1601)&lt;&gt;HomeState),0,ROUND(L1601*M1601/2,2))),"")</f>
        <v/>
      </c>
      <c r="O1601" s="61" t="str">
        <f aca="false">IF(IsPro,IF($D1601="","",N1601),"")</f>
        <v/>
      </c>
      <c r="P1601" s="61" t="str">
        <f aca="false">IF(IsPro,IF($D1601="","",IF(AND(V1601&lt;&gt;"",INDEX(Parties!$E$5:$E$304,V1601)&lt;&gt;"",INDEX(Parties!$E$5:$E$304,V1601)&lt;&gt;HomeState),ROUND(L1601*M1601,2),0)),"")</f>
        <v/>
      </c>
      <c r="Q1601" s="61" t="str">
        <f aca="false">IF(IsPro,IF($D1601="","",L1601+N1601+O1601+P1601),"")</f>
        <v/>
      </c>
      <c r="R1601" s="61" t="str">
        <f aca="false">IF(IsPro,IF($D1601="","",ROUND(N($E1601)*IFERROR(INDEX(Items!$P$5:$P$504,U1601),0),2)),"")</f>
        <v/>
      </c>
      <c r="S1601" s="61" t="str">
        <f aca="false">IF(IsPro,IF($D1601="","",L1601-R1601),"")</f>
        <v/>
      </c>
      <c r="T1601" s="60" t="str">
        <f aca="false">IF(IsPro,IF($D1601="","",IF(U1601="","UNKNOWN ITEM",IF(INDEX(Items!$O$5:$O$504,U1601)&lt;0,"NEG STOCK",IF(K1601&lt;INDEX(Items!$P$5:$P$504,U1601),"BELOW COST","OK")))),IF($D1601="","","PRO PLAN"))</f>
        <v/>
      </c>
      <c r="U1601" s="60" t="str">
        <f aca="false">IF(IsPro,IF($D1601="","",IFERROR(MATCH($D1601,Items!$A$5:$A$504,0),"")),"")</f>
        <v/>
      </c>
      <c r="V1601" s="60" t="str">
        <f aca="false">IF(IsPro,IF($C1601="","",IFERROR(MATCH($C1601,Parties!$A$5:$A$304,0),"")),"")</f>
        <v/>
      </c>
      <c r="W1601" s="60" t="str">
        <f aca="false">IF(IsPro,IF($B1601="","",IFERROR(VALUE(SUBSTITUTE($B1601,InvPrefix,"")),0)),"")</f>
        <v/>
      </c>
      <c r="X1601" s="61" t="str">
        <f aca="false">IF(IsPro,IF($D1601="","",IF(OR($H1601="",$H1601="Credit"),0,Q1601)),"")</f>
        <v/>
      </c>
    </row>
    <row r="1602" customFormat="false" ht="15" hidden="false" customHeight="false" outlineLevel="0" collapsed="false">
      <c r="A1602" s="55"/>
      <c r="B1602" s="56"/>
      <c r="C1602" s="56"/>
      <c r="D1602" s="56"/>
      <c r="E1602" s="57"/>
      <c r="F1602" s="58"/>
      <c r="G1602" s="59"/>
      <c r="H1602" s="56"/>
      <c r="I1602" s="56"/>
      <c r="J1602" s="60" t="str">
        <f aca="false">IF(IsPro,IF($D1602="","",IFERROR(INDEX(Items!$D$5:$D$504,U1602),"")),"")</f>
        <v/>
      </c>
      <c r="K1602" s="61" t="str">
        <f aca="false">IF(IsPro,IF($D1602="","",IF($F1602="",IFERROR(INDEX(Items!$H$5:$H$504,U1602),0),$F1602)),"")</f>
        <v/>
      </c>
      <c r="L1602" s="61" t="str">
        <f aca="false">IF(IsPro,IF($D1602="","",ROUND(N($E1602)*K1602*(1-N($G1602)),2)),"")</f>
        <v/>
      </c>
      <c r="M1602" s="62" t="str">
        <f aca="false">IF(IsPro,IF($D1602="","",IFERROR(INDEX(Items!$F$5:$F$504,U1602),0)),"")</f>
        <v/>
      </c>
      <c r="N1602" s="61" t="str">
        <f aca="false">IF(IsPro,IF($D1602="","",IF(AND(V1602&lt;&gt;"",INDEX(Parties!$E$5:$E$304,V1602)&lt;&gt;"",INDEX(Parties!$E$5:$E$304,V1602)&lt;&gt;HomeState),0,ROUND(L1602*M1602/2,2))),"")</f>
        <v/>
      </c>
      <c r="O1602" s="61" t="str">
        <f aca="false">IF(IsPro,IF($D1602="","",N1602),"")</f>
        <v/>
      </c>
      <c r="P1602" s="61" t="str">
        <f aca="false">IF(IsPro,IF($D1602="","",IF(AND(V1602&lt;&gt;"",INDEX(Parties!$E$5:$E$304,V1602)&lt;&gt;"",INDEX(Parties!$E$5:$E$304,V1602)&lt;&gt;HomeState),ROUND(L1602*M1602,2),0)),"")</f>
        <v/>
      </c>
      <c r="Q1602" s="61" t="str">
        <f aca="false">IF(IsPro,IF($D1602="","",L1602+N1602+O1602+P1602),"")</f>
        <v/>
      </c>
      <c r="R1602" s="61" t="str">
        <f aca="false">IF(IsPro,IF($D1602="","",ROUND(N($E1602)*IFERROR(INDEX(Items!$P$5:$P$504,U1602),0),2)),"")</f>
        <v/>
      </c>
      <c r="S1602" s="61" t="str">
        <f aca="false">IF(IsPro,IF($D1602="","",L1602-R1602),"")</f>
        <v/>
      </c>
      <c r="T1602" s="60" t="str">
        <f aca="false">IF(IsPro,IF($D1602="","",IF(U1602="","UNKNOWN ITEM",IF(INDEX(Items!$O$5:$O$504,U1602)&lt;0,"NEG STOCK",IF(K1602&lt;INDEX(Items!$P$5:$P$504,U1602),"BELOW COST","OK")))),IF($D1602="","","PRO PLAN"))</f>
        <v/>
      </c>
      <c r="U1602" s="60" t="str">
        <f aca="false">IF(IsPro,IF($D1602="","",IFERROR(MATCH($D1602,Items!$A$5:$A$504,0),"")),"")</f>
        <v/>
      </c>
      <c r="V1602" s="60" t="str">
        <f aca="false">IF(IsPro,IF($C1602="","",IFERROR(MATCH($C1602,Parties!$A$5:$A$304,0),"")),"")</f>
        <v/>
      </c>
      <c r="W1602" s="60" t="str">
        <f aca="false">IF(IsPro,IF($B1602="","",IFERROR(VALUE(SUBSTITUTE($B1602,InvPrefix,"")),0)),"")</f>
        <v/>
      </c>
      <c r="X1602" s="61" t="str">
        <f aca="false">IF(IsPro,IF($D1602="","",IF(OR($H1602="",$H1602="Credit"),0,Q1602)),"")</f>
        <v/>
      </c>
    </row>
    <row r="1603" customFormat="false" ht="15" hidden="false" customHeight="false" outlineLevel="0" collapsed="false">
      <c r="A1603" s="55"/>
      <c r="B1603" s="56"/>
      <c r="C1603" s="56"/>
      <c r="D1603" s="56"/>
      <c r="E1603" s="57"/>
      <c r="F1603" s="58"/>
      <c r="G1603" s="59"/>
      <c r="H1603" s="56"/>
      <c r="I1603" s="56"/>
      <c r="J1603" s="60" t="str">
        <f aca="false">IF(IsPro,IF($D1603="","",IFERROR(INDEX(Items!$D$5:$D$504,U1603),"")),"")</f>
        <v/>
      </c>
      <c r="K1603" s="61" t="str">
        <f aca="false">IF(IsPro,IF($D1603="","",IF($F1603="",IFERROR(INDEX(Items!$H$5:$H$504,U1603),0),$F1603)),"")</f>
        <v/>
      </c>
      <c r="L1603" s="61" t="str">
        <f aca="false">IF(IsPro,IF($D1603="","",ROUND(N($E1603)*K1603*(1-N($G1603)),2)),"")</f>
        <v/>
      </c>
      <c r="M1603" s="62" t="str">
        <f aca="false">IF(IsPro,IF($D1603="","",IFERROR(INDEX(Items!$F$5:$F$504,U1603),0)),"")</f>
        <v/>
      </c>
      <c r="N1603" s="61" t="str">
        <f aca="false">IF(IsPro,IF($D1603="","",IF(AND(V1603&lt;&gt;"",INDEX(Parties!$E$5:$E$304,V1603)&lt;&gt;"",INDEX(Parties!$E$5:$E$304,V1603)&lt;&gt;HomeState),0,ROUND(L1603*M1603/2,2))),"")</f>
        <v/>
      </c>
      <c r="O1603" s="61" t="str">
        <f aca="false">IF(IsPro,IF($D1603="","",N1603),"")</f>
        <v/>
      </c>
      <c r="P1603" s="61" t="str">
        <f aca="false">IF(IsPro,IF($D1603="","",IF(AND(V1603&lt;&gt;"",INDEX(Parties!$E$5:$E$304,V1603)&lt;&gt;"",INDEX(Parties!$E$5:$E$304,V1603)&lt;&gt;HomeState),ROUND(L1603*M1603,2),0)),"")</f>
        <v/>
      </c>
      <c r="Q1603" s="61" t="str">
        <f aca="false">IF(IsPro,IF($D1603="","",L1603+N1603+O1603+P1603),"")</f>
        <v/>
      </c>
      <c r="R1603" s="61" t="str">
        <f aca="false">IF(IsPro,IF($D1603="","",ROUND(N($E1603)*IFERROR(INDEX(Items!$P$5:$P$504,U1603),0),2)),"")</f>
        <v/>
      </c>
      <c r="S1603" s="61" t="str">
        <f aca="false">IF(IsPro,IF($D1603="","",L1603-R1603),"")</f>
        <v/>
      </c>
      <c r="T1603" s="60" t="str">
        <f aca="false">IF(IsPro,IF($D1603="","",IF(U1603="","UNKNOWN ITEM",IF(INDEX(Items!$O$5:$O$504,U1603)&lt;0,"NEG STOCK",IF(K1603&lt;INDEX(Items!$P$5:$P$504,U1603),"BELOW COST","OK")))),IF($D1603="","","PRO PLAN"))</f>
        <v/>
      </c>
      <c r="U1603" s="60" t="str">
        <f aca="false">IF(IsPro,IF($D1603="","",IFERROR(MATCH($D1603,Items!$A$5:$A$504,0),"")),"")</f>
        <v/>
      </c>
      <c r="V1603" s="60" t="str">
        <f aca="false">IF(IsPro,IF($C1603="","",IFERROR(MATCH($C1603,Parties!$A$5:$A$304,0),"")),"")</f>
        <v/>
      </c>
      <c r="W1603" s="60" t="str">
        <f aca="false">IF(IsPro,IF($B1603="","",IFERROR(VALUE(SUBSTITUTE($B1603,InvPrefix,"")),0)),"")</f>
        <v/>
      </c>
      <c r="X1603" s="61" t="str">
        <f aca="false">IF(IsPro,IF($D1603="","",IF(OR($H1603="",$H1603="Credit"),0,Q1603)),"")</f>
        <v/>
      </c>
    </row>
    <row r="1604" customFormat="false" ht="15" hidden="false" customHeight="false" outlineLevel="0" collapsed="false">
      <c r="A1604" s="55"/>
      <c r="B1604" s="56"/>
      <c r="C1604" s="56"/>
      <c r="D1604" s="56"/>
      <c r="E1604" s="57"/>
      <c r="F1604" s="58"/>
      <c r="G1604" s="59"/>
      <c r="H1604" s="56"/>
      <c r="I1604" s="56"/>
      <c r="J1604" s="60" t="str">
        <f aca="false">IF(IsPro,IF($D1604="","",IFERROR(INDEX(Items!$D$5:$D$504,U1604),"")),"")</f>
        <v/>
      </c>
      <c r="K1604" s="61" t="str">
        <f aca="false">IF(IsPro,IF($D1604="","",IF($F1604="",IFERROR(INDEX(Items!$H$5:$H$504,U1604),0),$F1604)),"")</f>
        <v/>
      </c>
      <c r="L1604" s="61" t="str">
        <f aca="false">IF(IsPro,IF($D1604="","",ROUND(N($E1604)*K1604*(1-N($G1604)),2)),"")</f>
        <v/>
      </c>
      <c r="M1604" s="62" t="str">
        <f aca="false">IF(IsPro,IF($D1604="","",IFERROR(INDEX(Items!$F$5:$F$504,U1604),0)),"")</f>
        <v/>
      </c>
      <c r="N1604" s="61" t="str">
        <f aca="false">IF(IsPro,IF($D1604="","",IF(AND(V1604&lt;&gt;"",INDEX(Parties!$E$5:$E$304,V1604)&lt;&gt;"",INDEX(Parties!$E$5:$E$304,V1604)&lt;&gt;HomeState),0,ROUND(L1604*M1604/2,2))),"")</f>
        <v/>
      </c>
      <c r="O1604" s="61" t="str">
        <f aca="false">IF(IsPro,IF($D1604="","",N1604),"")</f>
        <v/>
      </c>
      <c r="P1604" s="61" t="str">
        <f aca="false">IF(IsPro,IF($D1604="","",IF(AND(V1604&lt;&gt;"",INDEX(Parties!$E$5:$E$304,V1604)&lt;&gt;"",INDEX(Parties!$E$5:$E$304,V1604)&lt;&gt;HomeState),ROUND(L1604*M1604,2),0)),"")</f>
        <v/>
      </c>
      <c r="Q1604" s="61" t="str">
        <f aca="false">IF(IsPro,IF($D1604="","",L1604+N1604+O1604+P1604),"")</f>
        <v/>
      </c>
      <c r="R1604" s="61" t="str">
        <f aca="false">IF(IsPro,IF($D1604="","",ROUND(N($E1604)*IFERROR(INDEX(Items!$P$5:$P$504,U1604),0),2)),"")</f>
        <v/>
      </c>
      <c r="S1604" s="61" t="str">
        <f aca="false">IF(IsPro,IF($D1604="","",L1604-R1604),"")</f>
        <v/>
      </c>
      <c r="T1604" s="60" t="str">
        <f aca="false">IF(IsPro,IF($D1604="","",IF(U1604="","UNKNOWN ITEM",IF(INDEX(Items!$O$5:$O$504,U1604)&lt;0,"NEG STOCK",IF(K1604&lt;INDEX(Items!$P$5:$P$504,U1604),"BELOW COST","OK")))),IF($D1604="","","PRO PLAN"))</f>
        <v/>
      </c>
      <c r="U1604" s="60" t="str">
        <f aca="false">IF(IsPro,IF($D1604="","",IFERROR(MATCH($D1604,Items!$A$5:$A$504,0),"")),"")</f>
        <v/>
      </c>
      <c r="V1604" s="60" t="str">
        <f aca="false">IF(IsPro,IF($C1604="","",IFERROR(MATCH($C1604,Parties!$A$5:$A$304,0),"")),"")</f>
        <v/>
      </c>
      <c r="W1604" s="60" t="str">
        <f aca="false">IF(IsPro,IF($B1604="","",IFERROR(VALUE(SUBSTITUTE($B1604,InvPrefix,"")),0)),"")</f>
        <v/>
      </c>
      <c r="X1604" s="61" t="str">
        <f aca="false">IF(IsPro,IF($D1604="","",IF(OR($H1604="",$H1604="Credit"),0,Q1604)),"")</f>
        <v/>
      </c>
    </row>
    <row r="1605" customFormat="false" ht="15" hidden="false" customHeight="false" outlineLevel="0" collapsed="false">
      <c r="A1605" s="55"/>
      <c r="B1605" s="56"/>
      <c r="C1605" s="56"/>
      <c r="D1605" s="56"/>
      <c r="E1605" s="57"/>
      <c r="F1605" s="58"/>
      <c r="G1605" s="59"/>
      <c r="H1605" s="56"/>
      <c r="I1605" s="56"/>
      <c r="J1605" s="60" t="str">
        <f aca="false">IF(IsPro,IF($D1605="","",IFERROR(INDEX(Items!$D$5:$D$504,U1605),"")),"")</f>
        <v/>
      </c>
      <c r="K1605" s="61" t="str">
        <f aca="false">IF(IsPro,IF($D1605="","",IF($F1605="",IFERROR(INDEX(Items!$H$5:$H$504,U1605),0),$F1605)),"")</f>
        <v/>
      </c>
      <c r="L1605" s="61" t="str">
        <f aca="false">IF(IsPro,IF($D1605="","",ROUND(N($E1605)*K1605*(1-N($G1605)),2)),"")</f>
        <v/>
      </c>
      <c r="M1605" s="62" t="str">
        <f aca="false">IF(IsPro,IF($D1605="","",IFERROR(INDEX(Items!$F$5:$F$504,U1605),0)),"")</f>
        <v/>
      </c>
      <c r="N1605" s="61" t="str">
        <f aca="false">IF(IsPro,IF($D1605="","",IF(AND(V1605&lt;&gt;"",INDEX(Parties!$E$5:$E$304,V1605)&lt;&gt;"",INDEX(Parties!$E$5:$E$304,V1605)&lt;&gt;HomeState),0,ROUND(L1605*M1605/2,2))),"")</f>
        <v/>
      </c>
      <c r="O1605" s="61" t="str">
        <f aca="false">IF(IsPro,IF($D1605="","",N1605),"")</f>
        <v/>
      </c>
      <c r="P1605" s="61" t="str">
        <f aca="false">IF(IsPro,IF($D1605="","",IF(AND(V1605&lt;&gt;"",INDEX(Parties!$E$5:$E$304,V1605)&lt;&gt;"",INDEX(Parties!$E$5:$E$304,V1605)&lt;&gt;HomeState),ROUND(L1605*M1605,2),0)),"")</f>
        <v/>
      </c>
      <c r="Q1605" s="61" t="str">
        <f aca="false">IF(IsPro,IF($D1605="","",L1605+N1605+O1605+P1605),"")</f>
        <v/>
      </c>
      <c r="R1605" s="61" t="str">
        <f aca="false">IF(IsPro,IF($D1605="","",ROUND(N($E1605)*IFERROR(INDEX(Items!$P$5:$P$504,U1605),0),2)),"")</f>
        <v/>
      </c>
      <c r="S1605" s="61" t="str">
        <f aca="false">IF(IsPro,IF($D1605="","",L1605-R1605),"")</f>
        <v/>
      </c>
      <c r="T1605" s="60" t="str">
        <f aca="false">IF(IsPro,IF($D1605="","",IF(U1605="","UNKNOWN ITEM",IF(INDEX(Items!$O$5:$O$504,U1605)&lt;0,"NEG STOCK",IF(K1605&lt;INDEX(Items!$P$5:$P$504,U1605),"BELOW COST","OK")))),IF($D1605="","","PRO PLAN"))</f>
        <v/>
      </c>
      <c r="U1605" s="60" t="str">
        <f aca="false">IF(IsPro,IF($D1605="","",IFERROR(MATCH($D1605,Items!$A$5:$A$504,0),"")),"")</f>
        <v/>
      </c>
      <c r="V1605" s="60" t="str">
        <f aca="false">IF(IsPro,IF($C1605="","",IFERROR(MATCH($C1605,Parties!$A$5:$A$304,0),"")),"")</f>
        <v/>
      </c>
      <c r="W1605" s="60" t="str">
        <f aca="false">IF(IsPro,IF($B1605="","",IFERROR(VALUE(SUBSTITUTE($B1605,InvPrefix,"")),0)),"")</f>
        <v/>
      </c>
      <c r="X1605" s="61" t="str">
        <f aca="false">IF(IsPro,IF($D1605="","",IF(OR($H1605="",$H1605="Credit"),0,Q1605)),"")</f>
        <v/>
      </c>
    </row>
    <row r="1606" customFormat="false" ht="15" hidden="false" customHeight="false" outlineLevel="0" collapsed="false">
      <c r="A1606" s="55"/>
      <c r="B1606" s="56"/>
      <c r="C1606" s="56"/>
      <c r="D1606" s="56"/>
      <c r="E1606" s="57"/>
      <c r="F1606" s="58"/>
      <c r="G1606" s="59"/>
      <c r="H1606" s="56"/>
      <c r="I1606" s="56"/>
      <c r="J1606" s="60" t="str">
        <f aca="false">IF(IsPro,IF($D1606="","",IFERROR(INDEX(Items!$D$5:$D$504,U1606),"")),"")</f>
        <v/>
      </c>
      <c r="K1606" s="61" t="str">
        <f aca="false">IF(IsPro,IF($D1606="","",IF($F1606="",IFERROR(INDEX(Items!$H$5:$H$504,U1606),0),$F1606)),"")</f>
        <v/>
      </c>
      <c r="L1606" s="61" t="str">
        <f aca="false">IF(IsPro,IF($D1606="","",ROUND(N($E1606)*K1606*(1-N($G1606)),2)),"")</f>
        <v/>
      </c>
      <c r="M1606" s="62" t="str">
        <f aca="false">IF(IsPro,IF($D1606="","",IFERROR(INDEX(Items!$F$5:$F$504,U1606),0)),"")</f>
        <v/>
      </c>
      <c r="N1606" s="61" t="str">
        <f aca="false">IF(IsPro,IF($D1606="","",IF(AND(V1606&lt;&gt;"",INDEX(Parties!$E$5:$E$304,V1606)&lt;&gt;"",INDEX(Parties!$E$5:$E$304,V1606)&lt;&gt;HomeState),0,ROUND(L1606*M1606/2,2))),"")</f>
        <v/>
      </c>
      <c r="O1606" s="61" t="str">
        <f aca="false">IF(IsPro,IF($D1606="","",N1606),"")</f>
        <v/>
      </c>
      <c r="P1606" s="61" t="str">
        <f aca="false">IF(IsPro,IF($D1606="","",IF(AND(V1606&lt;&gt;"",INDEX(Parties!$E$5:$E$304,V1606)&lt;&gt;"",INDEX(Parties!$E$5:$E$304,V1606)&lt;&gt;HomeState),ROUND(L1606*M1606,2),0)),"")</f>
        <v/>
      </c>
      <c r="Q1606" s="61" t="str">
        <f aca="false">IF(IsPro,IF($D1606="","",L1606+N1606+O1606+P1606),"")</f>
        <v/>
      </c>
      <c r="R1606" s="61" t="str">
        <f aca="false">IF(IsPro,IF($D1606="","",ROUND(N($E1606)*IFERROR(INDEX(Items!$P$5:$P$504,U1606),0),2)),"")</f>
        <v/>
      </c>
      <c r="S1606" s="61" t="str">
        <f aca="false">IF(IsPro,IF($D1606="","",L1606-R1606),"")</f>
        <v/>
      </c>
      <c r="T1606" s="60" t="str">
        <f aca="false">IF(IsPro,IF($D1606="","",IF(U1606="","UNKNOWN ITEM",IF(INDEX(Items!$O$5:$O$504,U1606)&lt;0,"NEG STOCK",IF(K1606&lt;INDEX(Items!$P$5:$P$504,U1606),"BELOW COST","OK")))),IF($D1606="","","PRO PLAN"))</f>
        <v/>
      </c>
      <c r="U1606" s="60" t="str">
        <f aca="false">IF(IsPro,IF($D1606="","",IFERROR(MATCH($D1606,Items!$A$5:$A$504,0),"")),"")</f>
        <v/>
      </c>
      <c r="V1606" s="60" t="str">
        <f aca="false">IF(IsPro,IF($C1606="","",IFERROR(MATCH($C1606,Parties!$A$5:$A$304,0),"")),"")</f>
        <v/>
      </c>
      <c r="W1606" s="60" t="str">
        <f aca="false">IF(IsPro,IF($B1606="","",IFERROR(VALUE(SUBSTITUTE($B1606,InvPrefix,"")),0)),"")</f>
        <v/>
      </c>
      <c r="X1606" s="61" t="str">
        <f aca="false">IF(IsPro,IF($D1606="","",IF(OR($H1606="",$H1606="Credit"),0,Q1606)),"")</f>
        <v/>
      </c>
    </row>
    <row r="1607" customFormat="false" ht="15" hidden="false" customHeight="false" outlineLevel="0" collapsed="false">
      <c r="A1607" s="55"/>
      <c r="B1607" s="56"/>
      <c r="C1607" s="56"/>
      <c r="D1607" s="56"/>
      <c r="E1607" s="57"/>
      <c r="F1607" s="58"/>
      <c r="G1607" s="59"/>
      <c r="H1607" s="56"/>
      <c r="I1607" s="56"/>
      <c r="J1607" s="60" t="str">
        <f aca="false">IF(IsPro,IF($D1607="","",IFERROR(INDEX(Items!$D$5:$D$504,U1607),"")),"")</f>
        <v/>
      </c>
      <c r="K1607" s="61" t="str">
        <f aca="false">IF(IsPro,IF($D1607="","",IF($F1607="",IFERROR(INDEX(Items!$H$5:$H$504,U1607),0),$F1607)),"")</f>
        <v/>
      </c>
      <c r="L1607" s="61" t="str">
        <f aca="false">IF(IsPro,IF($D1607="","",ROUND(N($E1607)*K1607*(1-N($G1607)),2)),"")</f>
        <v/>
      </c>
      <c r="M1607" s="62" t="str">
        <f aca="false">IF(IsPro,IF($D1607="","",IFERROR(INDEX(Items!$F$5:$F$504,U1607),0)),"")</f>
        <v/>
      </c>
      <c r="N1607" s="61" t="str">
        <f aca="false">IF(IsPro,IF($D1607="","",IF(AND(V1607&lt;&gt;"",INDEX(Parties!$E$5:$E$304,V1607)&lt;&gt;"",INDEX(Parties!$E$5:$E$304,V1607)&lt;&gt;HomeState),0,ROUND(L1607*M1607/2,2))),"")</f>
        <v/>
      </c>
      <c r="O1607" s="61" t="str">
        <f aca="false">IF(IsPro,IF($D1607="","",N1607),"")</f>
        <v/>
      </c>
      <c r="P1607" s="61" t="str">
        <f aca="false">IF(IsPro,IF($D1607="","",IF(AND(V1607&lt;&gt;"",INDEX(Parties!$E$5:$E$304,V1607)&lt;&gt;"",INDEX(Parties!$E$5:$E$304,V1607)&lt;&gt;HomeState),ROUND(L1607*M1607,2),0)),"")</f>
        <v/>
      </c>
      <c r="Q1607" s="61" t="str">
        <f aca="false">IF(IsPro,IF($D1607="","",L1607+N1607+O1607+P1607),"")</f>
        <v/>
      </c>
      <c r="R1607" s="61" t="str">
        <f aca="false">IF(IsPro,IF($D1607="","",ROUND(N($E1607)*IFERROR(INDEX(Items!$P$5:$P$504,U1607),0),2)),"")</f>
        <v/>
      </c>
      <c r="S1607" s="61" t="str">
        <f aca="false">IF(IsPro,IF($D1607="","",L1607-R1607),"")</f>
        <v/>
      </c>
      <c r="T1607" s="60" t="str">
        <f aca="false">IF(IsPro,IF($D1607="","",IF(U1607="","UNKNOWN ITEM",IF(INDEX(Items!$O$5:$O$504,U1607)&lt;0,"NEG STOCK",IF(K1607&lt;INDEX(Items!$P$5:$P$504,U1607),"BELOW COST","OK")))),IF($D1607="","","PRO PLAN"))</f>
        <v/>
      </c>
      <c r="U1607" s="60" t="str">
        <f aca="false">IF(IsPro,IF($D1607="","",IFERROR(MATCH($D1607,Items!$A$5:$A$504,0),"")),"")</f>
        <v/>
      </c>
      <c r="V1607" s="60" t="str">
        <f aca="false">IF(IsPro,IF($C1607="","",IFERROR(MATCH($C1607,Parties!$A$5:$A$304,0),"")),"")</f>
        <v/>
      </c>
      <c r="W1607" s="60" t="str">
        <f aca="false">IF(IsPro,IF($B1607="","",IFERROR(VALUE(SUBSTITUTE($B1607,InvPrefix,"")),0)),"")</f>
        <v/>
      </c>
      <c r="X1607" s="61" t="str">
        <f aca="false">IF(IsPro,IF($D1607="","",IF(OR($H1607="",$H1607="Credit"),0,Q1607)),"")</f>
        <v/>
      </c>
    </row>
    <row r="1608" customFormat="false" ht="15" hidden="false" customHeight="false" outlineLevel="0" collapsed="false">
      <c r="A1608" s="55"/>
      <c r="B1608" s="56"/>
      <c r="C1608" s="56"/>
      <c r="D1608" s="56"/>
      <c r="E1608" s="57"/>
      <c r="F1608" s="58"/>
      <c r="G1608" s="59"/>
      <c r="H1608" s="56"/>
      <c r="I1608" s="56"/>
      <c r="J1608" s="60" t="str">
        <f aca="false">IF(IsPro,IF($D1608="","",IFERROR(INDEX(Items!$D$5:$D$504,U1608),"")),"")</f>
        <v/>
      </c>
      <c r="K1608" s="61" t="str">
        <f aca="false">IF(IsPro,IF($D1608="","",IF($F1608="",IFERROR(INDEX(Items!$H$5:$H$504,U1608),0),$F1608)),"")</f>
        <v/>
      </c>
      <c r="L1608" s="61" t="str">
        <f aca="false">IF(IsPro,IF($D1608="","",ROUND(N($E1608)*K1608*(1-N($G1608)),2)),"")</f>
        <v/>
      </c>
      <c r="M1608" s="62" t="str">
        <f aca="false">IF(IsPro,IF($D1608="","",IFERROR(INDEX(Items!$F$5:$F$504,U1608),0)),"")</f>
        <v/>
      </c>
      <c r="N1608" s="61" t="str">
        <f aca="false">IF(IsPro,IF($D1608="","",IF(AND(V1608&lt;&gt;"",INDEX(Parties!$E$5:$E$304,V1608)&lt;&gt;"",INDEX(Parties!$E$5:$E$304,V1608)&lt;&gt;HomeState),0,ROUND(L1608*M1608/2,2))),"")</f>
        <v/>
      </c>
      <c r="O1608" s="61" t="str">
        <f aca="false">IF(IsPro,IF($D1608="","",N1608),"")</f>
        <v/>
      </c>
      <c r="P1608" s="61" t="str">
        <f aca="false">IF(IsPro,IF($D1608="","",IF(AND(V1608&lt;&gt;"",INDEX(Parties!$E$5:$E$304,V1608)&lt;&gt;"",INDEX(Parties!$E$5:$E$304,V1608)&lt;&gt;HomeState),ROUND(L1608*M1608,2),0)),"")</f>
        <v/>
      </c>
      <c r="Q1608" s="61" t="str">
        <f aca="false">IF(IsPro,IF($D1608="","",L1608+N1608+O1608+P1608),"")</f>
        <v/>
      </c>
      <c r="R1608" s="61" t="str">
        <f aca="false">IF(IsPro,IF($D1608="","",ROUND(N($E1608)*IFERROR(INDEX(Items!$P$5:$P$504,U1608),0),2)),"")</f>
        <v/>
      </c>
      <c r="S1608" s="61" t="str">
        <f aca="false">IF(IsPro,IF($D1608="","",L1608-R1608),"")</f>
        <v/>
      </c>
      <c r="T1608" s="60" t="str">
        <f aca="false">IF(IsPro,IF($D1608="","",IF(U1608="","UNKNOWN ITEM",IF(INDEX(Items!$O$5:$O$504,U1608)&lt;0,"NEG STOCK",IF(K1608&lt;INDEX(Items!$P$5:$P$504,U1608),"BELOW COST","OK")))),IF($D1608="","","PRO PLAN"))</f>
        <v/>
      </c>
      <c r="U1608" s="60" t="str">
        <f aca="false">IF(IsPro,IF($D1608="","",IFERROR(MATCH($D1608,Items!$A$5:$A$504,0),"")),"")</f>
        <v/>
      </c>
      <c r="V1608" s="60" t="str">
        <f aca="false">IF(IsPro,IF($C1608="","",IFERROR(MATCH($C1608,Parties!$A$5:$A$304,0),"")),"")</f>
        <v/>
      </c>
      <c r="W1608" s="60" t="str">
        <f aca="false">IF(IsPro,IF($B1608="","",IFERROR(VALUE(SUBSTITUTE($B1608,InvPrefix,"")),0)),"")</f>
        <v/>
      </c>
      <c r="X1608" s="61" t="str">
        <f aca="false">IF(IsPro,IF($D1608="","",IF(OR($H1608="",$H1608="Credit"),0,Q1608)),"")</f>
        <v/>
      </c>
    </row>
    <row r="1609" customFormat="false" ht="15" hidden="false" customHeight="false" outlineLevel="0" collapsed="false">
      <c r="A1609" s="55"/>
      <c r="B1609" s="56"/>
      <c r="C1609" s="56"/>
      <c r="D1609" s="56"/>
      <c r="E1609" s="57"/>
      <c r="F1609" s="58"/>
      <c r="G1609" s="59"/>
      <c r="H1609" s="56"/>
      <c r="I1609" s="56"/>
      <c r="J1609" s="60" t="str">
        <f aca="false">IF(IsPro,IF($D1609="","",IFERROR(INDEX(Items!$D$5:$D$504,U1609),"")),"")</f>
        <v/>
      </c>
      <c r="K1609" s="61" t="str">
        <f aca="false">IF(IsPro,IF($D1609="","",IF($F1609="",IFERROR(INDEX(Items!$H$5:$H$504,U1609),0),$F1609)),"")</f>
        <v/>
      </c>
      <c r="L1609" s="61" t="str">
        <f aca="false">IF(IsPro,IF($D1609="","",ROUND(N($E1609)*K1609*(1-N($G1609)),2)),"")</f>
        <v/>
      </c>
      <c r="M1609" s="62" t="str">
        <f aca="false">IF(IsPro,IF($D1609="","",IFERROR(INDEX(Items!$F$5:$F$504,U1609),0)),"")</f>
        <v/>
      </c>
      <c r="N1609" s="61" t="str">
        <f aca="false">IF(IsPro,IF($D1609="","",IF(AND(V1609&lt;&gt;"",INDEX(Parties!$E$5:$E$304,V1609)&lt;&gt;"",INDEX(Parties!$E$5:$E$304,V1609)&lt;&gt;HomeState),0,ROUND(L1609*M1609/2,2))),"")</f>
        <v/>
      </c>
      <c r="O1609" s="61" t="str">
        <f aca="false">IF(IsPro,IF($D1609="","",N1609),"")</f>
        <v/>
      </c>
      <c r="P1609" s="61" t="str">
        <f aca="false">IF(IsPro,IF($D1609="","",IF(AND(V1609&lt;&gt;"",INDEX(Parties!$E$5:$E$304,V1609)&lt;&gt;"",INDEX(Parties!$E$5:$E$304,V1609)&lt;&gt;HomeState),ROUND(L1609*M1609,2),0)),"")</f>
        <v/>
      </c>
      <c r="Q1609" s="61" t="str">
        <f aca="false">IF(IsPro,IF($D1609="","",L1609+N1609+O1609+P1609),"")</f>
        <v/>
      </c>
      <c r="R1609" s="61" t="str">
        <f aca="false">IF(IsPro,IF($D1609="","",ROUND(N($E1609)*IFERROR(INDEX(Items!$P$5:$P$504,U1609),0),2)),"")</f>
        <v/>
      </c>
      <c r="S1609" s="61" t="str">
        <f aca="false">IF(IsPro,IF($D1609="","",L1609-R1609),"")</f>
        <v/>
      </c>
      <c r="T1609" s="60" t="str">
        <f aca="false">IF(IsPro,IF($D1609="","",IF(U1609="","UNKNOWN ITEM",IF(INDEX(Items!$O$5:$O$504,U1609)&lt;0,"NEG STOCK",IF(K1609&lt;INDEX(Items!$P$5:$P$504,U1609),"BELOW COST","OK")))),IF($D1609="","","PRO PLAN"))</f>
        <v/>
      </c>
      <c r="U1609" s="60" t="str">
        <f aca="false">IF(IsPro,IF($D1609="","",IFERROR(MATCH($D1609,Items!$A$5:$A$504,0),"")),"")</f>
        <v/>
      </c>
      <c r="V1609" s="60" t="str">
        <f aca="false">IF(IsPro,IF($C1609="","",IFERROR(MATCH($C1609,Parties!$A$5:$A$304,0),"")),"")</f>
        <v/>
      </c>
      <c r="W1609" s="60" t="str">
        <f aca="false">IF(IsPro,IF($B1609="","",IFERROR(VALUE(SUBSTITUTE($B1609,InvPrefix,"")),0)),"")</f>
        <v/>
      </c>
      <c r="X1609" s="61" t="str">
        <f aca="false">IF(IsPro,IF($D1609="","",IF(OR($H1609="",$H1609="Credit"),0,Q1609)),"")</f>
        <v/>
      </c>
    </row>
    <row r="1610" customFormat="false" ht="15" hidden="false" customHeight="false" outlineLevel="0" collapsed="false">
      <c r="A1610" s="55"/>
      <c r="B1610" s="56"/>
      <c r="C1610" s="56"/>
      <c r="D1610" s="56"/>
      <c r="E1610" s="57"/>
      <c r="F1610" s="58"/>
      <c r="G1610" s="59"/>
      <c r="H1610" s="56"/>
      <c r="I1610" s="56"/>
      <c r="J1610" s="60" t="str">
        <f aca="false">IF(IsPro,IF($D1610="","",IFERROR(INDEX(Items!$D$5:$D$504,U1610),"")),"")</f>
        <v/>
      </c>
      <c r="K1610" s="61" t="str">
        <f aca="false">IF(IsPro,IF($D1610="","",IF($F1610="",IFERROR(INDEX(Items!$H$5:$H$504,U1610),0),$F1610)),"")</f>
        <v/>
      </c>
      <c r="L1610" s="61" t="str">
        <f aca="false">IF(IsPro,IF($D1610="","",ROUND(N($E1610)*K1610*(1-N($G1610)),2)),"")</f>
        <v/>
      </c>
      <c r="M1610" s="62" t="str">
        <f aca="false">IF(IsPro,IF($D1610="","",IFERROR(INDEX(Items!$F$5:$F$504,U1610),0)),"")</f>
        <v/>
      </c>
      <c r="N1610" s="61" t="str">
        <f aca="false">IF(IsPro,IF($D1610="","",IF(AND(V1610&lt;&gt;"",INDEX(Parties!$E$5:$E$304,V1610)&lt;&gt;"",INDEX(Parties!$E$5:$E$304,V1610)&lt;&gt;HomeState),0,ROUND(L1610*M1610/2,2))),"")</f>
        <v/>
      </c>
      <c r="O1610" s="61" t="str">
        <f aca="false">IF(IsPro,IF($D1610="","",N1610),"")</f>
        <v/>
      </c>
      <c r="P1610" s="61" t="str">
        <f aca="false">IF(IsPro,IF($D1610="","",IF(AND(V1610&lt;&gt;"",INDEX(Parties!$E$5:$E$304,V1610)&lt;&gt;"",INDEX(Parties!$E$5:$E$304,V1610)&lt;&gt;HomeState),ROUND(L1610*M1610,2),0)),"")</f>
        <v/>
      </c>
      <c r="Q1610" s="61" t="str">
        <f aca="false">IF(IsPro,IF($D1610="","",L1610+N1610+O1610+P1610),"")</f>
        <v/>
      </c>
      <c r="R1610" s="61" t="str">
        <f aca="false">IF(IsPro,IF($D1610="","",ROUND(N($E1610)*IFERROR(INDEX(Items!$P$5:$P$504,U1610),0),2)),"")</f>
        <v/>
      </c>
      <c r="S1610" s="61" t="str">
        <f aca="false">IF(IsPro,IF($D1610="","",L1610-R1610),"")</f>
        <v/>
      </c>
      <c r="T1610" s="60" t="str">
        <f aca="false">IF(IsPro,IF($D1610="","",IF(U1610="","UNKNOWN ITEM",IF(INDEX(Items!$O$5:$O$504,U1610)&lt;0,"NEG STOCK",IF(K1610&lt;INDEX(Items!$P$5:$P$504,U1610),"BELOW COST","OK")))),IF($D1610="","","PRO PLAN"))</f>
        <v/>
      </c>
      <c r="U1610" s="60" t="str">
        <f aca="false">IF(IsPro,IF($D1610="","",IFERROR(MATCH($D1610,Items!$A$5:$A$504,0),"")),"")</f>
        <v/>
      </c>
      <c r="V1610" s="60" t="str">
        <f aca="false">IF(IsPro,IF($C1610="","",IFERROR(MATCH($C1610,Parties!$A$5:$A$304,0),"")),"")</f>
        <v/>
      </c>
      <c r="W1610" s="60" t="str">
        <f aca="false">IF(IsPro,IF($B1610="","",IFERROR(VALUE(SUBSTITUTE($B1610,InvPrefix,"")),0)),"")</f>
        <v/>
      </c>
      <c r="X1610" s="61" t="str">
        <f aca="false">IF(IsPro,IF($D1610="","",IF(OR($H1610="",$H1610="Credit"),0,Q1610)),"")</f>
        <v/>
      </c>
    </row>
    <row r="1611" customFormat="false" ht="15" hidden="false" customHeight="false" outlineLevel="0" collapsed="false">
      <c r="A1611" s="55"/>
      <c r="B1611" s="56"/>
      <c r="C1611" s="56"/>
      <c r="D1611" s="56"/>
      <c r="E1611" s="57"/>
      <c r="F1611" s="58"/>
      <c r="G1611" s="59"/>
      <c r="H1611" s="56"/>
      <c r="I1611" s="56"/>
      <c r="J1611" s="60" t="str">
        <f aca="false">IF(IsPro,IF($D1611="","",IFERROR(INDEX(Items!$D$5:$D$504,U1611),"")),"")</f>
        <v/>
      </c>
      <c r="K1611" s="61" t="str">
        <f aca="false">IF(IsPro,IF($D1611="","",IF($F1611="",IFERROR(INDEX(Items!$H$5:$H$504,U1611),0),$F1611)),"")</f>
        <v/>
      </c>
      <c r="L1611" s="61" t="str">
        <f aca="false">IF(IsPro,IF($D1611="","",ROUND(N($E1611)*K1611*(1-N($G1611)),2)),"")</f>
        <v/>
      </c>
      <c r="M1611" s="62" t="str">
        <f aca="false">IF(IsPro,IF($D1611="","",IFERROR(INDEX(Items!$F$5:$F$504,U1611),0)),"")</f>
        <v/>
      </c>
      <c r="N1611" s="61" t="str">
        <f aca="false">IF(IsPro,IF($D1611="","",IF(AND(V1611&lt;&gt;"",INDEX(Parties!$E$5:$E$304,V1611)&lt;&gt;"",INDEX(Parties!$E$5:$E$304,V1611)&lt;&gt;HomeState),0,ROUND(L1611*M1611/2,2))),"")</f>
        <v/>
      </c>
      <c r="O1611" s="61" t="str">
        <f aca="false">IF(IsPro,IF($D1611="","",N1611),"")</f>
        <v/>
      </c>
      <c r="P1611" s="61" t="str">
        <f aca="false">IF(IsPro,IF($D1611="","",IF(AND(V1611&lt;&gt;"",INDEX(Parties!$E$5:$E$304,V1611)&lt;&gt;"",INDEX(Parties!$E$5:$E$304,V1611)&lt;&gt;HomeState),ROUND(L1611*M1611,2),0)),"")</f>
        <v/>
      </c>
      <c r="Q1611" s="61" t="str">
        <f aca="false">IF(IsPro,IF($D1611="","",L1611+N1611+O1611+P1611),"")</f>
        <v/>
      </c>
      <c r="R1611" s="61" t="str">
        <f aca="false">IF(IsPro,IF($D1611="","",ROUND(N($E1611)*IFERROR(INDEX(Items!$P$5:$P$504,U1611),0),2)),"")</f>
        <v/>
      </c>
      <c r="S1611" s="61" t="str">
        <f aca="false">IF(IsPro,IF($D1611="","",L1611-R1611),"")</f>
        <v/>
      </c>
      <c r="T1611" s="60" t="str">
        <f aca="false">IF(IsPro,IF($D1611="","",IF(U1611="","UNKNOWN ITEM",IF(INDEX(Items!$O$5:$O$504,U1611)&lt;0,"NEG STOCK",IF(K1611&lt;INDEX(Items!$P$5:$P$504,U1611),"BELOW COST","OK")))),IF($D1611="","","PRO PLAN"))</f>
        <v/>
      </c>
      <c r="U1611" s="60" t="str">
        <f aca="false">IF(IsPro,IF($D1611="","",IFERROR(MATCH($D1611,Items!$A$5:$A$504,0),"")),"")</f>
        <v/>
      </c>
      <c r="V1611" s="60" t="str">
        <f aca="false">IF(IsPro,IF($C1611="","",IFERROR(MATCH($C1611,Parties!$A$5:$A$304,0),"")),"")</f>
        <v/>
      </c>
      <c r="W1611" s="60" t="str">
        <f aca="false">IF(IsPro,IF($B1611="","",IFERROR(VALUE(SUBSTITUTE($B1611,InvPrefix,"")),0)),"")</f>
        <v/>
      </c>
      <c r="X1611" s="61" t="str">
        <f aca="false">IF(IsPro,IF($D1611="","",IF(OR($H1611="",$H1611="Credit"),0,Q1611)),"")</f>
        <v/>
      </c>
    </row>
    <row r="1612" customFormat="false" ht="15" hidden="false" customHeight="false" outlineLevel="0" collapsed="false">
      <c r="A1612" s="55"/>
      <c r="B1612" s="56"/>
      <c r="C1612" s="56"/>
      <c r="D1612" s="56"/>
      <c r="E1612" s="57"/>
      <c r="F1612" s="58"/>
      <c r="G1612" s="59"/>
      <c r="H1612" s="56"/>
      <c r="I1612" s="56"/>
      <c r="J1612" s="60" t="str">
        <f aca="false">IF(IsPro,IF($D1612="","",IFERROR(INDEX(Items!$D$5:$D$504,U1612),"")),"")</f>
        <v/>
      </c>
      <c r="K1612" s="61" t="str">
        <f aca="false">IF(IsPro,IF($D1612="","",IF($F1612="",IFERROR(INDEX(Items!$H$5:$H$504,U1612),0),$F1612)),"")</f>
        <v/>
      </c>
      <c r="L1612" s="61" t="str">
        <f aca="false">IF(IsPro,IF($D1612="","",ROUND(N($E1612)*K1612*(1-N($G1612)),2)),"")</f>
        <v/>
      </c>
      <c r="M1612" s="62" t="str">
        <f aca="false">IF(IsPro,IF($D1612="","",IFERROR(INDEX(Items!$F$5:$F$504,U1612),0)),"")</f>
        <v/>
      </c>
      <c r="N1612" s="61" t="str">
        <f aca="false">IF(IsPro,IF($D1612="","",IF(AND(V1612&lt;&gt;"",INDEX(Parties!$E$5:$E$304,V1612)&lt;&gt;"",INDEX(Parties!$E$5:$E$304,V1612)&lt;&gt;HomeState),0,ROUND(L1612*M1612/2,2))),"")</f>
        <v/>
      </c>
      <c r="O1612" s="61" t="str">
        <f aca="false">IF(IsPro,IF($D1612="","",N1612),"")</f>
        <v/>
      </c>
      <c r="P1612" s="61" t="str">
        <f aca="false">IF(IsPro,IF($D1612="","",IF(AND(V1612&lt;&gt;"",INDEX(Parties!$E$5:$E$304,V1612)&lt;&gt;"",INDEX(Parties!$E$5:$E$304,V1612)&lt;&gt;HomeState),ROUND(L1612*M1612,2),0)),"")</f>
        <v/>
      </c>
      <c r="Q1612" s="61" t="str">
        <f aca="false">IF(IsPro,IF($D1612="","",L1612+N1612+O1612+P1612),"")</f>
        <v/>
      </c>
      <c r="R1612" s="61" t="str">
        <f aca="false">IF(IsPro,IF($D1612="","",ROUND(N($E1612)*IFERROR(INDEX(Items!$P$5:$P$504,U1612),0),2)),"")</f>
        <v/>
      </c>
      <c r="S1612" s="61" t="str">
        <f aca="false">IF(IsPro,IF($D1612="","",L1612-R1612),"")</f>
        <v/>
      </c>
      <c r="T1612" s="60" t="str">
        <f aca="false">IF(IsPro,IF($D1612="","",IF(U1612="","UNKNOWN ITEM",IF(INDEX(Items!$O$5:$O$504,U1612)&lt;0,"NEG STOCK",IF(K1612&lt;INDEX(Items!$P$5:$P$504,U1612),"BELOW COST","OK")))),IF($D1612="","","PRO PLAN"))</f>
        <v/>
      </c>
      <c r="U1612" s="60" t="str">
        <f aca="false">IF(IsPro,IF($D1612="","",IFERROR(MATCH($D1612,Items!$A$5:$A$504,0),"")),"")</f>
        <v/>
      </c>
      <c r="V1612" s="60" t="str">
        <f aca="false">IF(IsPro,IF($C1612="","",IFERROR(MATCH($C1612,Parties!$A$5:$A$304,0),"")),"")</f>
        <v/>
      </c>
      <c r="W1612" s="60" t="str">
        <f aca="false">IF(IsPro,IF($B1612="","",IFERROR(VALUE(SUBSTITUTE($B1612,InvPrefix,"")),0)),"")</f>
        <v/>
      </c>
      <c r="X1612" s="61" t="str">
        <f aca="false">IF(IsPro,IF($D1612="","",IF(OR($H1612="",$H1612="Credit"),0,Q1612)),"")</f>
        <v/>
      </c>
    </row>
    <row r="1613" customFormat="false" ht="15" hidden="false" customHeight="false" outlineLevel="0" collapsed="false">
      <c r="A1613" s="55"/>
      <c r="B1613" s="56"/>
      <c r="C1613" s="56"/>
      <c r="D1613" s="56"/>
      <c r="E1613" s="57"/>
      <c r="F1613" s="58"/>
      <c r="G1613" s="59"/>
      <c r="H1613" s="56"/>
      <c r="I1613" s="56"/>
      <c r="J1613" s="60" t="str">
        <f aca="false">IF(IsPro,IF($D1613="","",IFERROR(INDEX(Items!$D$5:$D$504,U1613),"")),"")</f>
        <v/>
      </c>
      <c r="K1613" s="61" t="str">
        <f aca="false">IF(IsPro,IF($D1613="","",IF($F1613="",IFERROR(INDEX(Items!$H$5:$H$504,U1613),0),$F1613)),"")</f>
        <v/>
      </c>
      <c r="L1613" s="61" t="str">
        <f aca="false">IF(IsPro,IF($D1613="","",ROUND(N($E1613)*K1613*(1-N($G1613)),2)),"")</f>
        <v/>
      </c>
      <c r="M1613" s="62" t="str">
        <f aca="false">IF(IsPro,IF($D1613="","",IFERROR(INDEX(Items!$F$5:$F$504,U1613),0)),"")</f>
        <v/>
      </c>
      <c r="N1613" s="61" t="str">
        <f aca="false">IF(IsPro,IF($D1613="","",IF(AND(V1613&lt;&gt;"",INDEX(Parties!$E$5:$E$304,V1613)&lt;&gt;"",INDEX(Parties!$E$5:$E$304,V1613)&lt;&gt;HomeState),0,ROUND(L1613*M1613/2,2))),"")</f>
        <v/>
      </c>
      <c r="O1613" s="61" t="str">
        <f aca="false">IF(IsPro,IF($D1613="","",N1613),"")</f>
        <v/>
      </c>
      <c r="P1613" s="61" t="str">
        <f aca="false">IF(IsPro,IF($D1613="","",IF(AND(V1613&lt;&gt;"",INDEX(Parties!$E$5:$E$304,V1613)&lt;&gt;"",INDEX(Parties!$E$5:$E$304,V1613)&lt;&gt;HomeState),ROUND(L1613*M1613,2),0)),"")</f>
        <v/>
      </c>
      <c r="Q1613" s="61" t="str">
        <f aca="false">IF(IsPro,IF($D1613="","",L1613+N1613+O1613+P1613),"")</f>
        <v/>
      </c>
      <c r="R1613" s="61" t="str">
        <f aca="false">IF(IsPro,IF($D1613="","",ROUND(N($E1613)*IFERROR(INDEX(Items!$P$5:$P$504,U1613),0),2)),"")</f>
        <v/>
      </c>
      <c r="S1613" s="61" t="str">
        <f aca="false">IF(IsPro,IF($D1613="","",L1613-R1613),"")</f>
        <v/>
      </c>
      <c r="T1613" s="60" t="str">
        <f aca="false">IF(IsPro,IF($D1613="","",IF(U1613="","UNKNOWN ITEM",IF(INDEX(Items!$O$5:$O$504,U1613)&lt;0,"NEG STOCK",IF(K1613&lt;INDEX(Items!$P$5:$P$504,U1613),"BELOW COST","OK")))),IF($D1613="","","PRO PLAN"))</f>
        <v/>
      </c>
      <c r="U1613" s="60" t="str">
        <f aca="false">IF(IsPro,IF($D1613="","",IFERROR(MATCH($D1613,Items!$A$5:$A$504,0),"")),"")</f>
        <v/>
      </c>
      <c r="V1613" s="60" t="str">
        <f aca="false">IF(IsPro,IF($C1613="","",IFERROR(MATCH($C1613,Parties!$A$5:$A$304,0),"")),"")</f>
        <v/>
      </c>
      <c r="W1613" s="60" t="str">
        <f aca="false">IF(IsPro,IF($B1613="","",IFERROR(VALUE(SUBSTITUTE($B1613,InvPrefix,"")),0)),"")</f>
        <v/>
      </c>
      <c r="X1613" s="61" t="str">
        <f aca="false">IF(IsPro,IF($D1613="","",IF(OR($H1613="",$H1613="Credit"),0,Q1613)),"")</f>
        <v/>
      </c>
    </row>
    <row r="1614" customFormat="false" ht="15" hidden="false" customHeight="false" outlineLevel="0" collapsed="false">
      <c r="A1614" s="55"/>
      <c r="B1614" s="56"/>
      <c r="C1614" s="56"/>
      <c r="D1614" s="56"/>
      <c r="E1614" s="57"/>
      <c r="F1614" s="58"/>
      <c r="G1614" s="59"/>
      <c r="H1614" s="56"/>
      <c r="I1614" s="56"/>
      <c r="J1614" s="60" t="str">
        <f aca="false">IF(IsPro,IF($D1614="","",IFERROR(INDEX(Items!$D$5:$D$504,U1614),"")),"")</f>
        <v/>
      </c>
      <c r="K1614" s="61" t="str">
        <f aca="false">IF(IsPro,IF($D1614="","",IF($F1614="",IFERROR(INDEX(Items!$H$5:$H$504,U1614),0),$F1614)),"")</f>
        <v/>
      </c>
      <c r="L1614" s="61" t="str">
        <f aca="false">IF(IsPro,IF($D1614="","",ROUND(N($E1614)*K1614*(1-N($G1614)),2)),"")</f>
        <v/>
      </c>
      <c r="M1614" s="62" t="str">
        <f aca="false">IF(IsPro,IF($D1614="","",IFERROR(INDEX(Items!$F$5:$F$504,U1614),0)),"")</f>
        <v/>
      </c>
      <c r="N1614" s="61" t="str">
        <f aca="false">IF(IsPro,IF($D1614="","",IF(AND(V1614&lt;&gt;"",INDEX(Parties!$E$5:$E$304,V1614)&lt;&gt;"",INDEX(Parties!$E$5:$E$304,V1614)&lt;&gt;HomeState),0,ROUND(L1614*M1614/2,2))),"")</f>
        <v/>
      </c>
      <c r="O1614" s="61" t="str">
        <f aca="false">IF(IsPro,IF($D1614="","",N1614),"")</f>
        <v/>
      </c>
      <c r="P1614" s="61" t="str">
        <f aca="false">IF(IsPro,IF($D1614="","",IF(AND(V1614&lt;&gt;"",INDEX(Parties!$E$5:$E$304,V1614)&lt;&gt;"",INDEX(Parties!$E$5:$E$304,V1614)&lt;&gt;HomeState),ROUND(L1614*M1614,2),0)),"")</f>
        <v/>
      </c>
      <c r="Q1614" s="61" t="str">
        <f aca="false">IF(IsPro,IF($D1614="","",L1614+N1614+O1614+P1614),"")</f>
        <v/>
      </c>
      <c r="R1614" s="61" t="str">
        <f aca="false">IF(IsPro,IF($D1614="","",ROUND(N($E1614)*IFERROR(INDEX(Items!$P$5:$P$504,U1614),0),2)),"")</f>
        <v/>
      </c>
      <c r="S1614" s="61" t="str">
        <f aca="false">IF(IsPro,IF($D1614="","",L1614-R1614),"")</f>
        <v/>
      </c>
      <c r="T1614" s="60" t="str">
        <f aca="false">IF(IsPro,IF($D1614="","",IF(U1614="","UNKNOWN ITEM",IF(INDEX(Items!$O$5:$O$504,U1614)&lt;0,"NEG STOCK",IF(K1614&lt;INDEX(Items!$P$5:$P$504,U1614),"BELOW COST","OK")))),IF($D1614="","","PRO PLAN"))</f>
        <v/>
      </c>
      <c r="U1614" s="60" t="str">
        <f aca="false">IF(IsPro,IF($D1614="","",IFERROR(MATCH($D1614,Items!$A$5:$A$504,0),"")),"")</f>
        <v/>
      </c>
      <c r="V1614" s="60" t="str">
        <f aca="false">IF(IsPro,IF($C1614="","",IFERROR(MATCH($C1614,Parties!$A$5:$A$304,0),"")),"")</f>
        <v/>
      </c>
      <c r="W1614" s="60" t="str">
        <f aca="false">IF(IsPro,IF($B1614="","",IFERROR(VALUE(SUBSTITUTE($B1614,InvPrefix,"")),0)),"")</f>
        <v/>
      </c>
      <c r="X1614" s="61" t="str">
        <f aca="false">IF(IsPro,IF($D1614="","",IF(OR($H1614="",$H1614="Credit"),0,Q1614)),"")</f>
        <v/>
      </c>
    </row>
    <row r="1615" customFormat="false" ht="15" hidden="false" customHeight="false" outlineLevel="0" collapsed="false">
      <c r="A1615" s="55"/>
      <c r="B1615" s="56"/>
      <c r="C1615" s="56"/>
      <c r="D1615" s="56"/>
      <c r="E1615" s="57"/>
      <c r="F1615" s="58"/>
      <c r="G1615" s="59"/>
      <c r="H1615" s="56"/>
      <c r="I1615" s="56"/>
      <c r="J1615" s="60" t="str">
        <f aca="false">IF(IsPro,IF($D1615="","",IFERROR(INDEX(Items!$D$5:$D$504,U1615),"")),"")</f>
        <v/>
      </c>
      <c r="K1615" s="61" t="str">
        <f aca="false">IF(IsPro,IF($D1615="","",IF($F1615="",IFERROR(INDEX(Items!$H$5:$H$504,U1615),0),$F1615)),"")</f>
        <v/>
      </c>
      <c r="L1615" s="61" t="str">
        <f aca="false">IF(IsPro,IF($D1615="","",ROUND(N($E1615)*K1615*(1-N($G1615)),2)),"")</f>
        <v/>
      </c>
      <c r="M1615" s="62" t="str">
        <f aca="false">IF(IsPro,IF($D1615="","",IFERROR(INDEX(Items!$F$5:$F$504,U1615),0)),"")</f>
        <v/>
      </c>
      <c r="N1615" s="61" t="str">
        <f aca="false">IF(IsPro,IF($D1615="","",IF(AND(V1615&lt;&gt;"",INDEX(Parties!$E$5:$E$304,V1615)&lt;&gt;"",INDEX(Parties!$E$5:$E$304,V1615)&lt;&gt;HomeState),0,ROUND(L1615*M1615/2,2))),"")</f>
        <v/>
      </c>
      <c r="O1615" s="61" t="str">
        <f aca="false">IF(IsPro,IF($D1615="","",N1615),"")</f>
        <v/>
      </c>
      <c r="P1615" s="61" t="str">
        <f aca="false">IF(IsPro,IF($D1615="","",IF(AND(V1615&lt;&gt;"",INDEX(Parties!$E$5:$E$304,V1615)&lt;&gt;"",INDEX(Parties!$E$5:$E$304,V1615)&lt;&gt;HomeState),ROUND(L1615*M1615,2),0)),"")</f>
        <v/>
      </c>
      <c r="Q1615" s="61" t="str">
        <f aca="false">IF(IsPro,IF($D1615="","",L1615+N1615+O1615+P1615),"")</f>
        <v/>
      </c>
      <c r="R1615" s="61" t="str">
        <f aca="false">IF(IsPro,IF($D1615="","",ROUND(N($E1615)*IFERROR(INDEX(Items!$P$5:$P$504,U1615),0),2)),"")</f>
        <v/>
      </c>
      <c r="S1615" s="61" t="str">
        <f aca="false">IF(IsPro,IF($D1615="","",L1615-R1615),"")</f>
        <v/>
      </c>
      <c r="T1615" s="60" t="str">
        <f aca="false">IF(IsPro,IF($D1615="","",IF(U1615="","UNKNOWN ITEM",IF(INDEX(Items!$O$5:$O$504,U1615)&lt;0,"NEG STOCK",IF(K1615&lt;INDEX(Items!$P$5:$P$504,U1615),"BELOW COST","OK")))),IF($D1615="","","PRO PLAN"))</f>
        <v/>
      </c>
      <c r="U1615" s="60" t="str">
        <f aca="false">IF(IsPro,IF($D1615="","",IFERROR(MATCH($D1615,Items!$A$5:$A$504,0),"")),"")</f>
        <v/>
      </c>
      <c r="V1615" s="60" t="str">
        <f aca="false">IF(IsPro,IF($C1615="","",IFERROR(MATCH($C1615,Parties!$A$5:$A$304,0),"")),"")</f>
        <v/>
      </c>
      <c r="W1615" s="60" t="str">
        <f aca="false">IF(IsPro,IF($B1615="","",IFERROR(VALUE(SUBSTITUTE($B1615,InvPrefix,"")),0)),"")</f>
        <v/>
      </c>
      <c r="X1615" s="61" t="str">
        <f aca="false">IF(IsPro,IF($D1615="","",IF(OR($H1615="",$H1615="Credit"),0,Q1615)),"")</f>
        <v/>
      </c>
    </row>
    <row r="1616" customFormat="false" ht="15" hidden="false" customHeight="false" outlineLevel="0" collapsed="false">
      <c r="A1616" s="55"/>
      <c r="B1616" s="56"/>
      <c r="C1616" s="56"/>
      <c r="D1616" s="56"/>
      <c r="E1616" s="57"/>
      <c r="F1616" s="58"/>
      <c r="G1616" s="59"/>
      <c r="H1616" s="56"/>
      <c r="I1616" s="56"/>
      <c r="J1616" s="60" t="str">
        <f aca="false">IF(IsPro,IF($D1616="","",IFERROR(INDEX(Items!$D$5:$D$504,U1616),"")),"")</f>
        <v/>
      </c>
      <c r="K1616" s="61" t="str">
        <f aca="false">IF(IsPro,IF($D1616="","",IF($F1616="",IFERROR(INDEX(Items!$H$5:$H$504,U1616),0),$F1616)),"")</f>
        <v/>
      </c>
      <c r="L1616" s="61" t="str">
        <f aca="false">IF(IsPro,IF($D1616="","",ROUND(N($E1616)*K1616*(1-N($G1616)),2)),"")</f>
        <v/>
      </c>
      <c r="M1616" s="62" t="str">
        <f aca="false">IF(IsPro,IF($D1616="","",IFERROR(INDEX(Items!$F$5:$F$504,U1616),0)),"")</f>
        <v/>
      </c>
      <c r="N1616" s="61" t="str">
        <f aca="false">IF(IsPro,IF($D1616="","",IF(AND(V1616&lt;&gt;"",INDEX(Parties!$E$5:$E$304,V1616)&lt;&gt;"",INDEX(Parties!$E$5:$E$304,V1616)&lt;&gt;HomeState),0,ROUND(L1616*M1616/2,2))),"")</f>
        <v/>
      </c>
      <c r="O1616" s="61" t="str">
        <f aca="false">IF(IsPro,IF($D1616="","",N1616),"")</f>
        <v/>
      </c>
      <c r="P1616" s="61" t="str">
        <f aca="false">IF(IsPro,IF($D1616="","",IF(AND(V1616&lt;&gt;"",INDEX(Parties!$E$5:$E$304,V1616)&lt;&gt;"",INDEX(Parties!$E$5:$E$304,V1616)&lt;&gt;HomeState),ROUND(L1616*M1616,2),0)),"")</f>
        <v/>
      </c>
      <c r="Q1616" s="61" t="str">
        <f aca="false">IF(IsPro,IF($D1616="","",L1616+N1616+O1616+P1616),"")</f>
        <v/>
      </c>
      <c r="R1616" s="61" t="str">
        <f aca="false">IF(IsPro,IF($D1616="","",ROUND(N($E1616)*IFERROR(INDEX(Items!$P$5:$P$504,U1616),0),2)),"")</f>
        <v/>
      </c>
      <c r="S1616" s="61" t="str">
        <f aca="false">IF(IsPro,IF($D1616="","",L1616-R1616),"")</f>
        <v/>
      </c>
      <c r="T1616" s="60" t="str">
        <f aca="false">IF(IsPro,IF($D1616="","",IF(U1616="","UNKNOWN ITEM",IF(INDEX(Items!$O$5:$O$504,U1616)&lt;0,"NEG STOCK",IF(K1616&lt;INDEX(Items!$P$5:$P$504,U1616),"BELOW COST","OK")))),IF($D1616="","","PRO PLAN"))</f>
        <v/>
      </c>
      <c r="U1616" s="60" t="str">
        <f aca="false">IF(IsPro,IF($D1616="","",IFERROR(MATCH($D1616,Items!$A$5:$A$504,0),"")),"")</f>
        <v/>
      </c>
      <c r="V1616" s="60" t="str">
        <f aca="false">IF(IsPro,IF($C1616="","",IFERROR(MATCH($C1616,Parties!$A$5:$A$304,0),"")),"")</f>
        <v/>
      </c>
      <c r="W1616" s="60" t="str">
        <f aca="false">IF(IsPro,IF($B1616="","",IFERROR(VALUE(SUBSTITUTE($B1616,InvPrefix,"")),0)),"")</f>
        <v/>
      </c>
      <c r="X1616" s="61" t="str">
        <f aca="false">IF(IsPro,IF($D1616="","",IF(OR($H1616="",$H1616="Credit"),0,Q1616)),"")</f>
        <v/>
      </c>
    </row>
    <row r="1617" customFormat="false" ht="15" hidden="false" customHeight="false" outlineLevel="0" collapsed="false">
      <c r="A1617" s="55"/>
      <c r="B1617" s="56"/>
      <c r="C1617" s="56"/>
      <c r="D1617" s="56"/>
      <c r="E1617" s="57"/>
      <c r="F1617" s="58"/>
      <c r="G1617" s="59"/>
      <c r="H1617" s="56"/>
      <c r="I1617" s="56"/>
      <c r="J1617" s="60" t="str">
        <f aca="false">IF(IsPro,IF($D1617="","",IFERROR(INDEX(Items!$D$5:$D$504,U1617),"")),"")</f>
        <v/>
      </c>
      <c r="K1617" s="61" t="str">
        <f aca="false">IF(IsPro,IF($D1617="","",IF($F1617="",IFERROR(INDEX(Items!$H$5:$H$504,U1617),0),$F1617)),"")</f>
        <v/>
      </c>
      <c r="L1617" s="61" t="str">
        <f aca="false">IF(IsPro,IF($D1617="","",ROUND(N($E1617)*K1617*(1-N($G1617)),2)),"")</f>
        <v/>
      </c>
      <c r="M1617" s="62" t="str">
        <f aca="false">IF(IsPro,IF($D1617="","",IFERROR(INDEX(Items!$F$5:$F$504,U1617),0)),"")</f>
        <v/>
      </c>
      <c r="N1617" s="61" t="str">
        <f aca="false">IF(IsPro,IF($D1617="","",IF(AND(V1617&lt;&gt;"",INDEX(Parties!$E$5:$E$304,V1617)&lt;&gt;"",INDEX(Parties!$E$5:$E$304,V1617)&lt;&gt;HomeState),0,ROUND(L1617*M1617/2,2))),"")</f>
        <v/>
      </c>
      <c r="O1617" s="61" t="str">
        <f aca="false">IF(IsPro,IF($D1617="","",N1617),"")</f>
        <v/>
      </c>
      <c r="P1617" s="61" t="str">
        <f aca="false">IF(IsPro,IF($D1617="","",IF(AND(V1617&lt;&gt;"",INDEX(Parties!$E$5:$E$304,V1617)&lt;&gt;"",INDEX(Parties!$E$5:$E$304,V1617)&lt;&gt;HomeState),ROUND(L1617*M1617,2),0)),"")</f>
        <v/>
      </c>
      <c r="Q1617" s="61" t="str">
        <f aca="false">IF(IsPro,IF($D1617="","",L1617+N1617+O1617+P1617),"")</f>
        <v/>
      </c>
      <c r="R1617" s="61" t="str">
        <f aca="false">IF(IsPro,IF($D1617="","",ROUND(N($E1617)*IFERROR(INDEX(Items!$P$5:$P$504,U1617),0),2)),"")</f>
        <v/>
      </c>
      <c r="S1617" s="61" t="str">
        <f aca="false">IF(IsPro,IF($D1617="","",L1617-R1617),"")</f>
        <v/>
      </c>
      <c r="T1617" s="60" t="str">
        <f aca="false">IF(IsPro,IF($D1617="","",IF(U1617="","UNKNOWN ITEM",IF(INDEX(Items!$O$5:$O$504,U1617)&lt;0,"NEG STOCK",IF(K1617&lt;INDEX(Items!$P$5:$P$504,U1617),"BELOW COST","OK")))),IF($D1617="","","PRO PLAN"))</f>
        <v/>
      </c>
      <c r="U1617" s="60" t="str">
        <f aca="false">IF(IsPro,IF($D1617="","",IFERROR(MATCH($D1617,Items!$A$5:$A$504,0),"")),"")</f>
        <v/>
      </c>
      <c r="V1617" s="60" t="str">
        <f aca="false">IF(IsPro,IF($C1617="","",IFERROR(MATCH($C1617,Parties!$A$5:$A$304,0),"")),"")</f>
        <v/>
      </c>
      <c r="W1617" s="60" t="str">
        <f aca="false">IF(IsPro,IF($B1617="","",IFERROR(VALUE(SUBSTITUTE($B1617,InvPrefix,"")),0)),"")</f>
        <v/>
      </c>
      <c r="X1617" s="61" t="str">
        <f aca="false">IF(IsPro,IF($D1617="","",IF(OR($H1617="",$H1617="Credit"),0,Q1617)),"")</f>
        <v/>
      </c>
    </row>
    <row r="1618" customFormat="false" ht="15" hidden="false" customHeight="false" outlineLevel="0" collapsed="false">
      <c r="A1618" s="55"/>
      <c r="B1618" s="56"/>
      <c r="C1618" s="56"/>
      <c r="D1618" s="56"/>
      <c r="E1618" s="57"/>
      <c r="F1618" s="58"/>
      <c r="G1618" s="59"/>
      <c r="H1618" s="56"/>
      <c r="I1618" s="56"/>
      <c r="J1618" s="60" t="str">
        <f aca="false">IF(IsPro,IF($D1618="","",IFERROR(INDEX(Items!$D$5:$D$504,U1618),"")),"")</f>
        <v/>
      </c>
      <c r="K1618" s="61" t="str">
        <f aca="false">IF(IsPro,IF($D1618="","",IF($F1618="",IFERROR(INDEX(Items!$H$5:$H$504,U1618),0),$F1618)),"")</f>
        <v/>
      </c>
      <c r="L1618" s="61" t="str">
        <f aca="false">IF(IsPro,IF($D1618="","",ROUND(N($E1618)*K1618*(1-N($G1618)),2)),"")</f>
        <v/>
      </c>
      <c r="M1618" s="62" t="str">
        <f aca="false">IF(IsPro,IF($D1618="","",IFERROR(INDEX(Items!$F$5:$F$504,U1618),0)),"")</f>
        <v/>
      </c>
      <c r="N1618" s="61" t="str">
        <f aca="false">IF(IsPro,IF($D1618="","",IF(AND(V1618&lt;&gt;"",INDEX(Parties!$E$5:$E$304,V1618)&lt;&gt;"",INDEX(Parties!$E$5:$E$304,V1618)&lt;&gt;HomeState),0,ROUND(L1618*M1618/2,2))),"")</f>
        <v/>
      </c>
      <c r="O1618" s="61" t="str">
        <f aca="false">IF(IsPro,IF($D1618="","",N1618),"")</f>
        <v/>
      </c>
      <c r="P1618" s="61" t="str">
        <f aca="false">IF(IsPro,IF($D1618="","",IF(AND(V1618&lt;&gt;"",INDEX(Parties!$E$5:$E$304,V1618)&lt;&gt;"",INDEX(Parties!$E$5:$E$304,V1618)&lt;&gt;HomeState),ROUND(L1618*M1618,2),0)),"")</f>
        <v/>
      </c>
      <c r="Q1618" s="61" t="str">
        <f aca="false">IF(IsPro,IF($D1618="","",L1618+N1618+O1618+P1618),"")</f>
        <v/>
      </c>
      <c r="R1618" s="61" t="str">
        <f aca="false">IF(IsPro,IF($D1618="","",ROUND(N($E1618)*IFERROR(INDEX(Items!$P$5:$P$504,U1618),0),2)),"")</f>
        <v/>
      </c>
      <c r="S1618" s="61" t="str">
        <f aca="false">IF(IsPro,IF($D1618="","",L1618-R1618),"")</f>
        <v/>
      </c>
      <c r="T1618" s="60" t="str">
        <f aca="false">IF(IsPro,IF($D1618="","",IF(U1618="","UNKNOWN ITEM",IF(INDEX(Items!$O$5:$O$504,U1618)&lt;0,"NEG STOCK",IF(K1618&lt;INDEX(Items!$P$5:$P$504,U1618),"BELOW COST","OK")))),IF($D1618="","","PRO PLAN"))</f>
        <v/>
      </c>
      <c r="U1618" s="60" t="str">
        <f aca="false">IF(IsPro,IF($D1618="","",IFERROR(MATCH($D1618,Items!$A$5:$A$504,0),"")),"")</f>
        <v/>
      </c>
      <c r="V1618" s="60" t="str">
        <f aca="false">IF(IsPro,IF($C1618="","",IFERROR(MATCH($C1618,Parties!$A$5:$A$304,0),"")),"")</f>
        <v/>
      </c>
      <c r="W1618" s="60" t="str">
        <f aca="false">IF(IsPro,IF($B1618="","",IFERROR(VALUE(SUBSTITUTE($B1618,InvPrefix,"")),0)),"")</f>
        <v/>
      </c>
      <c r="X1618" s="61" t="str">
        <f aca="false">IF(IsPro,IF($D1618="","",IF(OR($H1618="",$H1618="Credit"),0,Q1618)),"")</f>
        <v/>
      </c>
    </row>
    <row r="1619" customFormat="false" ht="15" hidden="false" customHeight="false" outlineLevel="0" collapsed="false">
      <c r="A1619" s="55"/>
      <c r="B1619" s="56"/>
      <c r="C1619" s="56"/>
      <c r="D1619" s="56"/>
      <c r="E1619" s="57"/>
      <c r="F1619" s="58"/>
      <c r="G1619" s="59"/>
      <c r="H1619" s="56"/>
      <c r="I1619" s="56"/>
      <c r="J1619" s="60" t="str">
        <f aca="false">IF(IsPro,IF($D1619="","",IFERROR(INDEX(Items!$D$5:$D$504,U1619),"")),"")</f>
        <v/>
      </c>
      <c r="K1619" s="61" t="str">
        <f aca="false">IF(IsPro,IF($D1619="","",IF($F1619="",IFERROR(INDEX(Items!$H$5:$H$504,U1619),0),$F1619)),"")</f>
        <v/>
      </c>
      <c r="L1619" s="61" t="str">
        <f aca="false">IF(IsPro,IF($D1619="","",ROUND(N($E1619)*K1619*(1-N($G1619)),2)),"")</f>
        <v/>
      </c>
      <c r="M1619" s="62" t="str">
        <f aca="false">IF(IsPro,IF($D1619="","",IFERROR(INDEX(Items!$F$5:$F$504,U1619),0)),"")</f>
        <v/>
      </c>
      <c r="N1619" s="61" t="str">
        <f aca="false">IF(IsPro,IF($D1619="","",IF(AND(V1619&lt;&gt;"",INDEX(Parties!$E$5:$E$304,V1619)&lt;&gt;"",INDEX(Parties!$E$5:$E$304,V1619)&lt;&gt;HomeState),0,ROUND(L1619*M1619/2,2))),"")</f>
        <v/>
      </c>
      <c r="O1619" s="61" t="str">
        <f aca="false">IF(IsPro,IF($D1619="","",N1619),"")</f>
        <v/>
      </c>
      <c r="P1619" s="61" t="str">
        <f aca="false">IF(IsPro,IF($D1619="","",IF(AND(V1619&lt;&gt;"",INDEX(Parties!$E$5:$E$304,V1619)&lt;&gt;"",INDEX(Parties!$E$5:$E$304,V1619)&lt;&gt;HomeState),ROUND(L1619*M1619,2),0)),"")</f>
        <v/>
      </c>
      <c r="Q1619" s="61" t="str">
        <f aca="false">IF(IsPro,IF($D1619="","",L1619+N1619+O1619+P1619),"")</f>
        <v/>
      </c>
      <c r="R1619" s="61" t="str">
        <f aca="false">IF(IsPro,IF($D1619="","",ROUND(N($E1619)*IFERROR(INDEX(Items!$P$5:$P$504,U1619),0),2)),"")</f>
        <v/>
      </c>
      <c r="S1619" s="61" t="str">
        <f aca="false">IF(IsPro,IF($D1619="","",L1619-R1619),"")</f>
        <v/>
      </c>
      <c r="T1619" s="60" t="str">
        <f aca="false">IF(IsPro,IF($D1619="","",IF(U1619="","UNKNOWN ITEM",IF(INDEX(Items!$O$5:$O$504,U1619)&lt;0,"NEG STOCK",IF(K1619&lt;INDEX(Items!$P$5:$P$504,U1619),"BELOW COST","OK")))),IF($D1619="","","PRO PLAN"))</f>
        <v/>
      </c>
      <c r="U1619" s="60" t="str">
        <f aca="false">IF(IsPro,IF($D1619="","",IFERROR(MATCH($D1619,Items!$A$5:$A$504,0),"")),"")</f>
        <v/>
      </c>
      <c r="V1619" s="60" t="str">
        <f aca="false">IF(IsPro,IF($C1619="","",IFERROR(MATCH($C1619,Parties!$A$5:$A$304,0),"")),"")</f>
        <v/>
      </c>
      <c r="W1619" s="60" t="str">
        <f aca="false">IF(IsPro,IF($B1619="","",IFERROR(VALUE(SUBSTITUTE($B1619,InvPrefix,"")),0)),"")</f>
        <v/>
      </c>
      <c r="X1619" s="61" t="str">
        <f aca="false">IF(IsPro,IF($D1619="","",IF(OR($H1619="",$H1619="Credit"),0,Q1619)),"")</f>
        <v/>
      </c>
    </row>
    <row r="1620" customFormat="false" ht="15" hidden="false" customHeight="false" outlineLevel="0" collapsed="false">
      <c r="A1620" s="55"/>
      <c r="B1620" s="56"/>
      <c r="C1620" s="56"/>
      <c r="D1620" s="56"/>
      <c r="E1620" s="57"/>
      <c r="F1620" s="58"/>
      <c r="G1620" s="59"/>
      <c r="H1620" s="56"/>
      <c r="I1620" s="56"/>
      <c r="J1620" s="60" t="str">
        <f aca="false">IF(IsPro,IF($D1620="","",IFERROR(INDEX(Items!$D$5:$D$504,U1620),"")),"")</f>
        <v/>
      </c>
      <c r="K1620" s="61" t="str">
        <f aca="false">IF(IsPro,IF($D1620="","",IF($F1620="",IFERROR(INDEX(Items!$H$5:$H$504,U1620),0),$F1620)),"")</f>
        <v/>
      </c>
      <c r="L1620" s="61" t="str">
        <f aca="false">IF(IsPro,IF($D1620="","",ROUND(N($E1620)*K1620*(1-N($G1620)),2)),"")</f>
        <v/>
      </c>
      <c r="M1620" s="62" t="str">
        <f aca="false">IF(IsPro,IF($D1620="","",IFERROR(INDEX(Items!$F$5:$F$504,U1620),0)),"")</f>
        <v/>
      </c>
      <c r="N1620" s="61" t="str">
        <f aca="false">IF(IsPro,IF($D1620="","",IF(AND(V1620&lt;&gt;"",INDEX(Parties!$E$5:$E$304,V1620)&lt;&gt;"",INDEX(Parties!$E$5:$E$304,V1620)&lt;&gt;HomeState),0,ROUND(L1620*M1620/2,2))),"")</f>
        <v/>
      </c>
      <c r="O1620" s="61" t="str">
        <f aca="false">IF(IsPro,IF($D1620="","",N1620),"")</f>
        <v/>
      </c>
      <c r="P1620" s="61" t="str">
        <f aca="false">IF(IsPro,IF($D1620="","",IF(AND(V1620&lt;&gt;"",INDEX(Parties!$E$5:$E$304,V1620)&lt;&gt;"",INDEX(Parties!$E$5:$E$304,V1620)&lt;&gt;HomeState),ROUND(L1620*M1620,2),0)),"")</f>
        <v/>
      </c>
      <c r="Q1620" s="61" t="str">
        <f aca="false">IF(IsPro,IF($D1620="","",L1620+N1620+O1620+P1620),"")</f>
        <v/>
      </c>
      <c r="R1620" s="61" t="str">
        <f aca="false">IF(IsPro,IF($D1620="","",ROUND(N($E1620)*IFERROR(INDEX(Items!$P$5:$P$504,U1620),0),2)),"")</f>
        <v/>
      </c>
      <c r="S1620" s="61" t="str">
        <f aca="false">IF(IsPro,IF($D1620="","",L1620-R1620),"")</f>
        <v/>
      </c>
      <c r="T1620" s="60" t="str">
        <f aca="false">IF(IsPro,IF($D1620="","",IF(U1620="","UNKNOWN ITEM",IF(INDEX(Items!$O$5:$O$504,U1620)&lt;0,"NEG STOCK",IF(K1620&lt;INDEX(Items!$P$5:$P$504,U1620),"BELOW COST","OK")))),IF($D1620="","","PRO PLAN"))</f>
        <v/>
      </c>
      <c r="U1620" s="60" t="str">
        <f aca="false">IF(IsPro,IF($D1620="","",IFERROR(MATCH($D1620,Items!$A$5:$A$504,0),"")),"")</f>
        <v/>
      </c>
      <c r="V1620" s="60" t="str">
        <f aca="false">IF(IsPro,IF($C1620="","",IFERROR(MATCH($C1620,Parties!$A$5:$A$304,0),"")),"")</f>
        <v/>
      </c>
      <c r="W1620" s="60" t="str">
        <f aca="false">IF(IsPro,IF($B1620="","",IFERROR(VALUE(SUBSTITUTE($B1620,InvPrefix,"")),0)),"")</f>
        <v/>
      </c>
      <c r="X1620" s="61" t="str">
        <f aca="false">IF(IsPro,IF($D1620="","",IF(OR($H1620="",$H1620="Credit"),0,Q1620)),"")</f>
        <v/>
      </c>
    </row>
    <row r="1621" customFormat="false" ht="15" hidden="false" customHeight="false" outlineLevel="0" collapsed="false">
      <c r="A1621" s="55"/>
      <c r="B1621" s="56"/>
      <c r="C1621" s="56"/>
      <c r="D1621" s="56"/>
      <c r="E1621" s="57"/>
      <c r="F1621" s="58"/>
      <c r="G1621" s="59"/>
      <c r="H1621" s="56"/>
      <c r="I1621" s="56"/>
      <c r="J1621" s="60" t="str">
        <f aca="false">IF(IsPro,IF($D1621="","",IFERROR(INDEX(Items!$D$5:$D$504,U1621),"")),"")</f>
        <v/>
      </c>
      <c r="K1621" s="61" t="str">
        <f aca="false">IF(IsPro,IF($D1621="","",IF($F1621="",IFERROR(INDEX(Items!$H$5:$H$504,U1621),0),$F1621)),"")</f>
        <v/>
      </c>
      <c r="L1621" s="61" t="str">
        <f aca="false">IF(IsPro,IF($D1621="","",ROUND(N($E1621)*K1621*(1-N($G1621)),2)),"")</f>
        <v/>
      </c>
      <c r="M1621" s="62" t="str">
        <f aca="false">IF(IsPro,IF($D1621="","",IFERROR(INDEX(Items!$F$5:$F$504,U1621),0)),"")</f>
        <v/>
      </c>
      <c r="N1621" s="61" t="str">
        <f aca="false">IF(IsPro,IF($D1621="","",IF(AND(V1621&lt;&gt;"",INDEX(Parties!$E$5:$E$304,V1621)&lt;&gt;"",INDEX(Parties!$E$5:$E$304,V1621)&lt;&gt;HomeState),0,ROUND(L1621*M1621/2,2))),"")</f>
        <v/>
      </c>
      <c r="O1621" s="61" t="str">
        <f aca="false">IF(IsPro,IF($D1621="","",N1621),"")</f>
        <v/>
      </c>
      <c r="P1621" s="61" t="str">
        <f aca="false">IF(IsPro,IF($D1621="","",IF(AND(V1621&lt;&gt;"",INDEX(Parties!$E$5:$E$304,V1621)&lt;&gt;"",INDEX(Parties!$E$5:$E$304,V1621)&lt;&gt;HomeState),ROUND(L1621*M1621,2),0)),"")</f>
        <v/>
      </c>
      <c r="Q1621" s="61" t="str">
        <f aca="false">IF(IsPro,IF($D1621="","",L1621+N1621+O1621+P1621),"")</f>
        <v/>
      </c>
      <c r="R1621" s="61" t="str">
        <f aca="false">IF(IsPro,IF($D1621="","",ROUND(N($E1621)*IFERROR(INDEX(Items!$P$5:$P$504,U1621),0),2)),"")</f>
        <v/>
      </c>
      <c r="S1621" s="61" t="str">
        <f aca="false">IF(IsPro,IF($D1621="","",L1621-R1621),"")</f>
        <v/>
      </c>
      <c r="T1621" s="60" t="str">
        <f aca="false">IF(IsPro,IF($D1621="","",IF(U1621="","UNKNOWN ITEM",IF(INDEX(Items!$O$5:$O$504,U1621)&lt;0,"NEG STOCK",IF(K1621&lt;INDEX(Items!$P$5:$P$504,U1621),"BELOW COST","OK")))),IF($D1621="","","PRO PLAN"))</f>
        <v/>
      </c>
      <c r="U1621" s="60" t="str">
        <f aca="false">IF(IsPro,IF($D1621="","",IFERROR(MATCH($D1621,Items!$A$5:$A$504,0),"")),"")</f>
        <v/>
      </c>
      <c r="V1621" s="60" t="str">
        <f aca="false">IF(IsPro,IF($C1621="","",IFERROR(MATCH($C1621,Parties!$A$5:$A$304,0),"")),"")</f>
        <v/>
      </c>
      <c r="W1621" s="60" t="str">
        <f aca="false">IF(IsPro,IF($B1621="","",IFERROR(VALUE(SUBSTITUTE($B1621,InvPrefix,"")),0)),"")</f>
        <v/>
      </c>
      <c r="X1621" s="61" t="str">
        <f aca="false">IF(IsPro,IF($D1621="","",IF(OR($H1621="",$H1621="Credit"),0,Q1621)),"")</f>
        <v/>
      </c>
    </row>
    <row r="1622" customFormat="false" ht="15" hidden="false" customHeight="false" outlineLevel="0" collapsed="false">
      <c r="A1622" s="55"/>
      <c r="B1622" s="56"/>
      <c r="C1622" s="56"/>
      <c r="D1622" s="56"/>
      <c r="E1622" s="57"/>
      <c r="F1622" s="58"/>
      <c r="G1622" s="59"/>
      <c r="H1622" s="56"/>
      <c r="I1622" s="56"/>
      <c r="J1622" s="60" t="str">
        <f aca="false">IF(IsPro,IF($D1622="","",IFERROR(INDEX(Items!$D$5:$D$504,U1622),"")),"")</f>
        <v/>
      </c>
      <c r="K1622" s="61" t="str">
        <f aca="false">IF(IsPro,IF($D1622="","",IF($F1622="",IFERROR(INDEX(Items!$H$5:$H$504,U1622),0),$F1622)),"")</f>
        <v/>
      </c>
      <c r="L1622" s="61" t="str">
        <f aca="false">IF(IsPro,IF($D1622="","",ROUND(N($E1622)*K1622*(1-N($G1622)),2)),"")</f>
        <v/>
      </c>
      <c r="M1622" s="62" t="str">
        <f aca="false">IF(IsPro,IF($D1622="","",IFERROR(INDEX(Items!$F$5:$F$504,U1622),0)),"")</f>
        <v/>
      </c>
      <c r="N1622" s="61" t="str">
        <f aca="false">IF(IsPro,IF($D1622="","",IF(AND(V1622&lt;&gt;"",INDEX(Parties!$E$5:$E$304,V1622)&lt;&gt;"",INDEX(Parties!$E$5:$E$304,V1622)&lt;&gt;HomeState),0,ROUND(L1622*M1622/2,2))),"")</f>
        <v/>
      </c>
      <c r="O1622" s="61" t="str">
        <f aca="false">IF(IsPro,IF($D1622="","",N1622),"")</f>
        <v/>
      </c>
      <c r="P1622" s="61" t="str">
        <f aca="false">IF(IsPro,IF($D1622="","",IF(AND(V1622&lt;&gt;"",INDEX(Parties!$E$5:$E$304,V1622)&lt;&gt;"",INDEX(Parties!$E$5:$E$304,V1622)&lt;&gt;HomeState),ROUND(L1622*M1622,2),0)),"")</f>
        <v/>
      </c>
      <c r="Q1622" s="61" t="str">
        <f aca="false">IF(IsPro,IF($D1622="","",L1622+N1622+O1622+P1622),"")</f>
        <v/>
      </c>
      <c r="R1622" s="61" t="str">
        <f aca="false">IF(IsPro,IF($D1622="","",ROUND(N($E1622)*IFERROR(INDEX(Items!$P$5:$P$504,U1622),0),2)),"")</f>
        <v/>
      </c>
      <c r="S1622" s="61" t="str">
        <f aca="false">IF(IsPro,IF($D1622="","",L1622-R1622),"")</f>
        <v/>
      </c>
      <c r="T1622" s="60" t="str">
        <f aca="false">IF(IsPro,IF($D1622="","",IF(U1622="","UNKNOWN ITEM",IF(INDEX(Items!$O$5:$O$504,U1622)&lt;0,"NEG STOCK",IF(K1622&lt;INDEX(Items!$P$5:$P$504,U1622),"BELOW COST","OK")))),IF($D1622="","","PRO PLAN"))</f>
        <v/>
      </c>
      <c r="U1622" s="60" t="str">
        <f aca="false">IF(IsPro,IF($D1622="","",IFERROR(MATCH($D1622,Items!$A$5:$A$504,0),"")),"")</f>
        <v/>
      </c>
      <c r="V1622" s="60" t="str">
        <f aca="false">IF(IsPro,IF($C1622="","",IFERROR(MATCH($C1622,Parties!$A$5:$A$304,0),"")),"")</f>
        <v/>
      </c>
      <c r="W1622" s="60" t="str">
        <f aca="false">IF(IsPro,IF($B1622="","",IFERROR(VALUE(SUBSTITUTE($B1622,InvPrefix,"")),0)),"")</f>
        <v/>
      </c>
      <c r="X1622" s="61" t="str">
        <f aca="false">IF(IsPro,IF($D1622="","",IF(OR($H1622="",$H1622="Credit"),0,Q1622)),"")</f>
        <v/>
      </c>
    </row>
    <row r="1623" customFormat="false" ht="15" hidden="false" customHeight="false" outlineLevel="0" collapsed="false">
      <c r="A1623" s="55"/>
      <c r="B1623" s="56"/>
      <c r="C1623" s="56"/>
      <c r="D1623" s="56"/>
      <c r="E1623" s="57"/>
      <c r="F1623" s="58"/>
      <c r="G1623" s="59"/>
      <c r="H1623" s="56"/>
      <c r="I1623" s="56"/>
      <c r="J1623" s="60" t="str">
        <f aca="false">IF(IsPro,IF($D1623="","",IFERROR(INDEX(Items!$D$5:$D$504,U1623),"")),"")</f>
        <v/>
      </c>
      <c r="K1623" s="61" t="str">
        <f aca="false">IF(IsPro,IF($D1623="","",IF($F1623="",IFERROR(INDEX(Items!$H$5:$H$504,U1623),0),$F1623)),"")</f>
        <v/>
      </c>
      <c r="L1623" s="61" t="str">
        <f aca="false">IF(IsPro,IF($D1623="","",ROUND(N($E1623)*K1623*(1-N($G1623)),2)),"")</f>
        <v/>
      </c>
      <c r="M1623" s="62" t="str">
        <f aca="false">IF(IsPro,IF($D1623="","",IFERROR(INDEX(Items!$F$5:$F$504,U1623),0)),"")</f>
        <v/>
      </c>
      <c r="N1623" s="61" t="str">
        <f aca="false">IF(IsPro,IF($D1623="","",IF(AND(V1623&lt;&gt;"",INDEX(Parties!$E$5:$E$304,V1623)&lt;&gt;"",INDEX(Parties!$E$5:$E$304,V1623)&lt;&gt;HomeState),0,ROUND(L1623*M1623/2,2))),"")</f>
        <v/>
      </c>
      <c r="O1623" s="61" t="str">
        <f aca="false">IF(IsPro,IF($D1623="","",N1623),"")</f>
        <v/>
      </c>
      <c r="P1623" s="61" t="str">
        <f aca="false">IF(IsPro,IF($D1623="","",IF(AND(V1623&lt;&gt;"",INDEX(Parties!$E$5:$E$304,V1623)&lt;&gt;"",INDEX(Parties!$E$5:$E$304,V1623)&lt;&gt;HomeState),ROUND(L1623*M1623,2),0)),"")</f>
        <v/>
      </c>
      <c r="Q1623" s="61" t="str">
        <f aca="false">IF(IsPro,IF($D1623="","",L1623+N1623+O1623+P1623),"")</f>
        <v/>
      </c>
      <c r="R1623" s="61" t="str">
        <f aca="false">IF(IsPro,IF($D1623="","",ROUND(N($E1623)*IFERROR(INDEX(Items!$P$5:$P$504,U1623),0),2)),"")</f>
        <v/>
      </c>
      <c r="S1623" s="61" t="str">
        <f aca="false">IF(IsPro,IF($D1623="","",L1623-R1623),"")</f>
        <v/>
      </c>
      <c r="T1623" s="60" t="str">
        <f aca="false">IF(IsPro,IF($D1623="","",IF(U1623="","UNKNOWN ITEM",IF(INDEX(Items!$O$5:$O$504,U1623)&lt;0,"NEG STOCK",IF(K1623&lt;INDEX(Items!$P$5:$P$504,U1623),"BELOW COST","OK")))),IF($D1623="","","PRO PLAN"))</f>
        <v/>
      </c>
      <c r="U1623" s="60" t="str">
        <f aca="false">IF(IsPro,IF($D1623="","",IFERROR(MATCH($D1623,Items!$A$5:$A$504,0),"")),"")</f>
        <v/>
      </c>
      <c r="V1623" s="60" t="str">
        <f aca="false">IF(IsPro,IF($C1623="","",IFERROR(MATCH($C1623,Parties!$A$5:$A$304,0),"")),"")</f>
        <v/>
      </c>
      <c r="W1623" s="60" t="str">
        <f aca="false">IF(IsPro,IF($B1623="","",IFERROR(VALUE(SUBSTITUTE($B1623,InvPrefix,"")),0)),"")</f>
        <v/>
      </c>
      <c r="X1623" s="61" t="str">
        <f aca="false">IF(IsPro,IF($D1623="","",IF(OR($H1623="",$H1623="Credit"),0,Q1623)),"")</f>
        <v/>
      </c>
    </row>
    <row r="1624" customFormat="false" ht="15" hidden="false" customHeight="false" outlineLevel="0" collapsed="false">
      <c r="A1624" s="55"/>
      <c r="B1624" s="56"/>
      <c r="C1624" s="56"/>
      <c r="D1624" s="56"/>
      <c r="E1624" s="57"/>
      <c r="F1624" s="58"/>
      <c r="G1624" s="59"/>
      <c r="H1624" s="56"/>
      <c r="I1624" s="56"/>
      <c r="J1624" s="60" t="str">
        <f aca="false">IF(IsPro,IF($D1624="","",IFERROR(INDEX(Items!$D$5:$D$504,U1624),"")),"")</f>
        <v/>
      </c>
      <c r="K1624" s="61" t="str">
        <f aca="false">IF(IsPro,IF($D1624="","",IF($F1624="",IFERROR(INDEX(Items!$H$5:$H$504,U1624),0),$F1624)),"")</f>
        <v/>
      </c>
      <c r="L1624" s="61" t="str">
        <f aca="false">IF(IsPro,IF($D1624="","",ROUND(N($E1624)*K1624*(1-N($G1624)),2)),"")</f>
        <v/>
      </c>
      <c r="M1624" s="62" t="str">
        <f aca="false">IF(IsPro,IF($D1624="","",IFERROR(INDEX(Items!$F$5:$F$504,U1624),0)),"")</f>
        <v/>
      </c>
      <c r="N1624" s="61" t="str">
        <f aca="false">IF(IsPro,IF($D1624="","",IF(AND(V1624&lt;&gt;"",INDEX(Parties!$E$5:$E$304,V1624)&lt;&gt;"",INDEX(Parties!$E$5:$E$304,V1624)&lt;&gt;HomeState),0,ROUND(L1624*M1624/2,2))),"")</f>
        <v/>
      </c>
      <c r="O1624" s="61" t="str">
        <f aca="false">IF(IsPro,IF($D1624="","",N1624),"")</f>
        <v/>
      </c>
      <c r="P1624" s="61" t="str">
        <f aca="false">IF(IsPro,IF($D1624="","",IF(AND(V1624&lt;&gt;"",INDEX(Parties!$E$5:$E$304,V1624)&lt;&gt;"",INDEX(Parties!$E$5:$E$304,V1624)&lt;&gt;HomeState),ROUND(L1624*M1624,2),0)),"")</f>
        <v/>
      </c>
      <c r="Q1624" s="61" t="str">
        <f aca="false">IF(IsPro,IF($D1624="","",L1624+N1624+O1624+P1624),"")</f>
        <v/>
      </c>
      <c r="R1624" s="61" t="str">
        <f aca="false">IF(IsPro,IF($D1624="","",ROUND(N($E1624)*IFERROR(INDEX(Items!$P$5:$P$504,U1624),0),2)),"")</f>
        <v/>
      </c>
      <c r="S1624" s="61" t="str">
        <f aca="false">IF(IsPro,IF($D1624="","",L1624-R1624),"")</f>
        <v/>
      </c>
      <c r="T1624" s="60" t="str">
        <f aca="false">IF(IsPro,IF($D1624="","",IF(U1624="","UNKNOWN ITEM",IF(INDEX(Items!$O$5:$O$504,U1624)&lt;0,"NEG STOCK",IF(K1624&lt;INDEX(Items!$P$5:$P$504,U1624),"BELOW COST","OK")))),IF($D1624="","","PRO PLAN"))</f>
        <v/>
      </c>
      <c r="U1624" s="60" t="str">
        <f aca="false">IF(IsPro,IF($D1624="","",IFERROR(MATCH($D1624,Items!$A$5:$A$504,0),"")),"")</f>
        <v/>
      </c>
      <c r="V1624" s="60" t="str">
        <f aca="false">IF(IsPro,IF($C1624="","",IFERROR(MATCH($C1624,Parties!$A$5:$A$304,0),"")),"")</f>
        <v/>
      </c>
      <c r="W1624" s="60" t="str">
        <f aca="false">IF(IsPro,IF($B1624="","",IFERROR(VALUE(SUBSTITUTE($B1624,InvPrefix,"")),0)),"")</f>
        <v/>
      </c>
      <c r="X1624" s="61" t="str">
        <f aca="false">IF(IsPro,IF($D1624="","",IF(OR($H1624="",$H1624="Credit"),0,Q1624)),"")</f>
        <v/>
      </c>
    </row>
    <row r="1625" customFormat="false" ht="15" hidden="false" customHeight="false" outlineLevel="0" collapsed="false">
      <c r="A1625" s="55"/>
      <c r="B1625" s="56"/>
      <c r="C1625" s="56"/>
      <c r="D1625" s="56"/>
      <c r="E1625" s="57"/>
      <c r="F1625" s="58"/>
      <c r="G1625" s="59"/>
      <c r="H1625" s="56"/>
      <c r="I1625" s="56"/>
      <c r="J1625" s="60" t="str">
        <f aca="false">IF(IsPro,IF($D1625="","",IFERROR(INDEX(Items!$D$5:$D$504,U1625),"")),"")</f>
        <v/>
      </c>
      <c r="K1625" s="61" t="str">
        <f aca="false">IF(IsPro,IF($D1625="","",IF($F1625="",IFERROR(INDEX(Items!$H$5:$H$504,U1625),0),$F1625)),"")</f>
        <v/>
      </c>
      <c r="L1625" s="61" t="str">
        <f aca="false">IF(IsPro,IF($D1625="","",ROUND(N($E1625)*K1625*(1-N($G1625)),2)),"")</f>
        <v/>
      </c>
      <c r="M1625" s="62" t="str">
        <f aca="false">IF(IsPro,IF($D1625="","",IFERROR(INDEX(Items!$F$5:$F$504,U1625),0)),"")</f>
        <v/>
      </c>
      <c r="N1625" s="61" t="str">
        <f aca="false">IF(IsPro,IF($D1625="","",IF(AND(V1625&lt;&gt;"",INDEX(Parties!$E$5:$E$304,V1625)&lt;&gt;"",INDEX(Parties!$E$5:$E$304,V1625)&lt;&gt;HomeState),0,ROUND(L1625*M1625/2,2))),"")</f>
        <v/>
      </c>
      <c r="O1625" s="61" t="str">
        <f aca="false">IF(IsPro,IF($D1625="","",N1625),"")</f>
        <v/>
      </c>
      <c r="P1625" s="61" t="str">
        <f aca="false">IF(IsPro,IF($D1625="","",IF(AND(V1625&lt;&gt;"",INDEX(Parties!$E$5:$E$304,V1625)&lt;&gt;"",INDEX(Parties!$E$5:$E$304,V1625)&lt;&gt;HomeState),ROUND(L1625*M1625,2),0)),"")</f>
        <v/>
      </c>
      <c r="Q1625" s="61" t="str">
        <f aca="false">IF(IsPro,IF($D1625="","",L1625+N1625+O1625+P1625),"")</f>
        <v/>
      </c>
      <c r="R1625" s="61" t="str">
        <f aca="false">IF(IsPro,IF($D1625="","",ROUND(N($E1625)*IFERROR(INDEX(Items!$P$5:$P$504,U1625),0),2)),"")</f>
        <v/>
      </c>
      <c r="S1625" s="61" t="str">
        <f aca="false">IF(IsPro,IF($D1625="","",L1625-R1625),"")</f>
        <v/>
      </c>
      <c r="T1625" s="60" t="str">
        <f aca="false">IF(IsPro,IF($D1625="","",IF(U1625="","UNKNOWN ITEM",IF(INDEX(Items!$O$5:$O$504,U1625)&lt;0,"NEG STOCK",IF(K1625&lt;INDEX(Items!$P$5:$P$504,U1625),"BELOW COST","OK")))),IF($D1625="","","PRO PLAN"))</f>
        <v/>
      </c>
      <c r="U1625" s="60" t="str">
        <f aca="false">IF(IsPro,IF($D1625="","",IFERROR(MATCH($D1625,Items!$A$5:$A$504,0),"")),"")</f>
        <v/>
      </c>
      <c r="V1625" s="60" t="str">
        <f aca="false">IF(IsPro,IF($C1625="","",IFERROR(MATCH($C1625,Parties!$A$5:$A$304,0),"")),"")</f>
        <v/>
      </c>
      <c r="W1625" s="60" t="str">
        <f aca="false">IF(IsPro,IF($B1625="","",IFERROR(VALUE(SUBSTITUTE($B1625,InvPrefix,"")),0)),"")</f>
        <v/>
      </c>
      <c r="X1625" s="61" t="str">
        <f aca="false">IF(IsPro,IF($D1625="","",IF(OR($H1625="",$H1625="Credit"),0,Q1625)),"")</f>
        <v/>
      </c>
    </row>
    <row r="1626" customFormat="false" ht="15" hidden="false" customHeight="false" outlineLevel="0" collapsed="false">
      <c r="A1626" s="55"/>
      <c r="B1626" s="56"/>
      <c r="C1626" s="56"/>
      <c r="D1626" s="56"/>
      <c r="E1626" s="57"/>
      <c r="F1626" s="58"/>
      <c r="G1626" s="59"/>
      <c r="H1626" s="56"/>
      <c r="I1626" s="56"/>
      <c r="J1626" s="60" t="str">
        <f aca="false">IF(IsPro,IF($D1626="","",IFERROR(INDEX(Items!$D$5:$D$504,U1626),"")),"")</f>
        <v/>
      </c>
      <c r="K1626" s="61" t="str">
        <f aca="false">IF(IsPro,IF($D1626="","",IF($F1626="",IFERROR(INDEX(Items!$H$5:$H$504,U1626),0),$F1626)),"")</f>
        <v/>
      </c>
      <c r="L1626" s="61" t="str">
        <f aca="false">IF(IsPro,IF($D1626="","",ROUND(N($E1626)*K1626*(1-N($G1626)),2)),"")</f>
        <v/>
      </c>
      <c r="M1626" s="62" t="str">
        <f aca="false">IF(IsPro,IF($D1626="","",IFERROR(INDEX(Items!$F$5:$F$504,U1626),0)),"")</f>
        <v/>
      </c>
      <c r="N1626" s="61" t="str">
        <f aca="false">IF(IsPro,IF($D1626="","",IF(AND(V1626&lt;&gt;"",INDEX(Parties!$E$5:$E$304,V1626)&lt;&gt;"",INDEX(Parties!$E$5:$E$304,V1626)&lt;&gt;HomeState),0,ROUND(L1626*M1626/2,2))),"")</f>
        <v/>
      </c>
      <c r="O1626" s="61" t="str">
        <f aca="false">IF(IsPro,IF($D1626="","",N1626),"")</f>
        <v/>
      </c>
      <c r="P1626" s="61" t="str">
        <f aca="false">IF(IsPro,IF($D1626="","",IF(AND(V1626&lt;&gt;"",INDEX(Parties!$E$5:$E$304,V1626)&lt;&gt;"",INDEX(Parties!$E$5:$E$304,V1626)&lt;&gt;HomeState),ROUND(L1626*M1626,2),0)),"")</f>
        <v/>
      </c>
      <c r="Q1626" s="61" t="str">
        <f aca="false">IF(IsPro,IF($D1626="","",L1626+N1626+O1626+P1626),"")</f>
        <v/>
      </c>
      <c r="R1626" s="61" t="str">
        <f aca="false">IF(IsPro,IF($D1626="","",ROUND(N($E1626)*IFERROR(INDEX(Items!$P$5:$P$504,U1626),0),2)),"")</f>
        <v/>
      </c>
      <c r="S1626" s="61" t="str">
        <f aca="false">IF(IsPro,IF($D1626="","",L1626-R1626),"")</f>
        <v/>
      </c>
      <c r="T1626" s="60" t="str">
        <f aca="false">IF(IsPro,IF($D1626="","",IF(U1626="","UNKNOWN ITEM",IF(INDEX(Items!$O$5:$O$504,U1626)&lt;0,"NEG STOCK",IF(K1626&lt;INDEX(Items!$P$5:$P$504,U1626),"BELOW COST","OK")))),IF($D1626="","","PRO PLAN"))</f>
        <v/>
      </c>
      <c r="U1626" s="60" t="str">
        <f aca="false">IF(IsPro,IF($D1626="","",IFERROR(MATCH($D1626,Items!$A$5:$A$504,0),"")),"")</f>
        <v/>
      </c>
      <c r="V1626" s="60" t="str">
        <f aca="false">IF(IsPro,IF($C1626="","",IFERROR(MATCH($C1626,Parties!$A$5:$A$304,0),"")),"")</f>
        <v/>
      </c>
      <c r="W1626" s="60" t="str">
        <f aca="false">IF(IsPro,IF($B1626="","",IFERROR(VALUE(SUBSTITUTE($B1626,InvPrefix,"")),0)),"")</f>
        <v/>
      </c>
      <c r="X1626" s="61" t="str">
        <f aca="false">IF(IsPro,IF($D1626="","",IF(OR($H1626="",$H1626="Credit"),0,Q1626)),"")</f>
        <v/>
      </c>
    </row>
    <row r="1627" customFormat="false" ht="15" hidden="false" customHeight="false" outlineLevel="0" collapsed="false">
      <c r="A1627" s="55"/>
      <c r="B1627" s="56"/>
      <c r="C1627" s="56"/>
      <c r="D1627" s="56"/>
      <c r="E1627" s="57"/>
      <c r="F1627" s="58"/>
      <c r="G1627" s="59"/>
      <c r="H1627" s="56"/>
      <c r="I1627" s="56"/>
      <c r="J1627" s="60" t="str">
        <f aca="false">IF(IsPro,IF($D1627="","",IFERROR(INDEX(Items!$D$5:$D$504,U1627),"")),"")</f>
        <v/>
      </c>
      <c r="K1627" s="61" t="str">
        <f aca="false">IF(IsPro,IF($D1627="","",IF($F1627="",IFERROR(INDEX(Items!$H$5:$H$504,U1627),0),$F1627)),"")</f>
        <v/>
      </c>
      <c r="L1627" s="61" t="str">
        <f aca="false">IF(IsPro,IF($D1627="","",ROUND(N($E1627)*K1627*(1-N($G1627)),2)),"")</f>
        <v/>
      </c>
      <c r="M1627" s="62" t="str">
        <f aca="false">IF(IsPro,IF($D1627="","",IFERROR(INDEX(Items!$F$5:$F$504,U1627),0)),"")</f>
        <v/>
      </c>
      <c r="N1627" s="61" t="str">
        <f aca="false">IF(IsPro,IF($D1627="","",IF(AND(V1627&lt;&gt;"",INDEX(Parties!$E$5:$E$304,V1627)&lt;&gt;"",INDEX(Parties!$E$5:$E$304,V1627)&lt;&gt;HomeState),0,ROUND(L1627*M1627/2,2))),"")</f>
        <v/>
      </c>
      <c r="O1627" s="61" t="str">
        <f aca="false">IF(IsPro,IF($D1627="","",N1627),"")</f>
        <v/>
      </c>
      <c r="P1627" s="61" t="str">
        <f aca="false">IF(IsPro,IF($D1627="","",IF(AND(V1627&lt;&gt;"",INDEX(Parties!$E$5:$E$304,V1627)&lt;&gt;"",INDEX(Parties!$E$5:$E$304,V1627)&lt;&gt;HomeState),ROUND(L1627*M1627,2),0)),"")</f>
        <v/>
      </c>
      <c r="Q1627" s="61" t="str">
        <f aca="false">IF(IsPro,IF($D1627="","",L1627+N1627+O1627+P1627),"")</f>
        <v/>
      </c>
      <c r="R1627" s="61" t="str">
        <f aca="false">IF(IsPro,IF($D1627="","",ROUND(N($E1627)*IFERROR(INDEX(Items!$P$5:$P$504,U1627),0),2)),"")</f>
        <v/>
      </c>
      <c r="S1627" s="61" t="str">
        <f aca="false">IF(IsPro,IF($D1627="","",L1627-R1627),"")</f>
        <v/>
      </c>
      <c r="T1627" s="60" t="str">
        <f aca="false">IF(IsPro,IF($D1627="","",IF(U1627="","UNKNOWN ITEM",IF(INDEX(Items!$O$5:$O$504,U1627)&lt;0,"NEG STOCK",IF(K1627&lt;INDEX(Items!$P$5:$P$504,U1627),"BELOW COST","OK")))),IF($D1627="","","PRO PLAN"))</f>
        <v/>
      </c>
      <c r="U1627" s="60" t="str">
        <f aca="false">IF(IsPro,IF($D1627="","",IFERROR(MATCH($D1627,Items!$A$5:$A$504,0),"")),"")</f>
        <v/>
      </c>
      <c r="V1627" s="60" t="str">
        <f aca="false">IF(IsPro,IF($C1627="","",IFERROR(MATCH($C1627,Parties!$A$5:$A$304,0),"")),"")</f>
        <v/>
      </c>
      <c r="W1627" s="60" t="str">
        <f aca="false">IF(IsPro,IF($B1627="","",IFERROR(VALUE(SUBSTITUTE($B1627,InvPrefix,"")),0)),"")</f>
        <v/>
      </c>
      <c r="X1627" s="61" t="str">
        <f aca="false">IF(IsPro,IF($D1627="","",IF(OR($H1627="",$H1627="Credit"),0,Q1627)),"")</f>
        <v/>
      </c>
    </row>
    <row r="1628" customFormat="false" ht="15" hidden="false" customHeight="false" outlineLevel="0" collapsed="false">
      <c r="A1628" s="55"/>
      <c r="B1628" s="56"/>
      <c r="C1628" s="56"/>
      <c r="D1628" s="56"/>
      <c r="E1628" s="57"/>
      <c r="F1628" s="58"/>
      <c r="G1628" s="59"/>
      <c r="H1628" s="56"/>
      <c r="I1628" s="56"/>
      <c r="J1628" s="60" t="str">
        <f aca="false">IF(IsPro,IF($D1628="","",IFERROR(INDEX(Items!$D$5:$D$504,U1628),"")),"")</f>
        <v/>
      </c>
      <c r="K1628" s="61" t="str">
        <f aca="false">IF(IsPro,IF($D1628="","",IF($F1628="",IFERROR(INDEX(Items!$H$5:$H$504,U1628),0),$F1628)),"")</f>
        <v/>
      </c>
      <c r="L1628" s="61" t="str">
        <f aca="false">IF(IsPro,IF($D1628="","",ROUND(N($E1628)*K1628*(1-N($G1628)),2)),"")</f>
        <v/>
      </c>
      <c r="M1628" s="62" t="str">
        <f aca="false">IF(IsPro,IF($D1628="","",IFERROR(INDEX(Items!$F$5:$F$504,U1628),0)),"")</f>
        <v/>
      </c>
      <c r="N1628" s="61" t="str">
        <f aca="false">IF(IsPro,IF($D1628="","",IF(AND(V1628&lt;&gt;"",INDEX(Parties!$E$5:$E$304,V1628)&lt;&gt;"",INDEX(Parties!$E$5:$E$304,V1628)&lt;&gt;HomeState),0,ROUND(L1628*M1628/2,2))),"")</f>
        <v/>
      </c>
      <c r="O1628" s="61" t="str">
        <f aca="false">IF(IsPro,IF($D1628="","",N1628),"")</f>
        <v/>
      </c>
      <c r="P1628" s="61" t="str">
        <f aca="false">IF(IsPro,IF($D1628="","",IF(AND(V1628&lt;&gt;"",INDEX(Parties!$E$5:$E$304,V1628)&lt;&gt;"",INDEX(Parties!$E$5:$E$304,V1628)&lt;&gt;HomeState),ROUND(L1628*M1628,2),0)),"")</f>
        <v/>
      </c>
      <c r="Q1628" s="61" t="str">
        <f aca="false">IF(IsPro,IF($D1628="","",L1628+N1628+O1628+P1628),"")</f>
        <v/>
      </c>
      <c r="R1628" s="61" t="str">
        <f aca="false">IF(IsPro,IF($D1628="","",ROUND(N($E1628)*IFERROR(INDEX(Items!$P$5:$P$504,U1628),0),2)),"")</f>
        <v/>
      </c>
      <c r="S1628" s="61" t="str">
        <f aca="false">IF(IsPro,IF($D1628="","",L1628-R1628),"")</f>
        <v/>
      </c>
      <c r="T1628" s="60" t="str">
        <f aca="false">IF(IsPro,IF($D1628="","",IF(U1628="","UNKNOWN ITEM",IF(INDEX(Items!$O$5:$O$504,U1628)&lt;0,"NEG STOCK",IF(K1628&lt;INDEX(Items!$P$5:$P$504,U1628),"BELOW COST","OK")))),IF($D1628="","","PRO PLAN"))</f>
        <v/>
      </c>
      <c r="U1628" s="60" t="str">
        <f aca="false">IF(IsPro,IF($D1628="","",IFERROR(MATCH($D1628,Items!$A$5:$A$504,0),"")),"")</f>
        <v/>
      </c>
      <c r="V1628" s="60" t="str">
        <f aca="false">IF(IsPro,IF($C1628="","",IFERROR(MATCH($C1628,Parties!$A$5:$A$304,0),"")),"")</f>
        <v/>
      </c>
      <c r="W1628" s="60" t="str">
        <f aca="false">IF(IsPro,IF($B1628="","",IFERROR(VALUE(SUBSTITUTE($B1628,InvPrefix,"")),0)),"")</f>
        <v/>
      </c>
      <c r="X1628" s="61" t="str">
        <f aca="false">IF(IsPro,IF($D1628="","",IF(OR($H1628="",$H1628="Credit"),0,Q1628)),"")</f>
        <v/>
      </c>
    </row>
    <row r="1629" customFormat="false" ht="15" hidden="false" customHeight="false" outlineLevel="0" collapsed="false">
      <c r="A1629" s="55"/>
      <c r="B1629" s="56"/>
      <c r="C1629" s="56"/>
      <c r="D1629" s="56"/>
      <c r="E1629" s="57"/>
      <c r="F1629" s="58"/>
      <c r="G1629" s="59"/>
      <c r="H1629" s="56"/>
      <c r="I1629" s="56"/>
      <c r="J1629" s="60" t="str">
        <f aca="false">IF(IsPro,IF($D1629="","",IFERROR(INDEX(Items!$D$5:$D$504,U1629),"")),"")</f>
        <v/>
      </c>
      <c r="K1629" s="61" t="str">
        <f aca="false">IF(IsPro,IF($D1629="","",IF($F1629="",IFERROR(INDEX(Items!$H$5:$H$504,U1629),0),$F1629)),"")</f>
        <v/>
      </c>
      <c r="L1629" s="61" t="str">
        <f aca="false">IF(IsPro,IF($D1629="","",ROUND(N($E1629)*K1629*(1-N($G1629)),2)),"")</f>
        <v/>
      </c>
      <c r="M1629" s="62" t="str">
        <f aca="false">IF(IsPro,IF($D1629="","",IFERROR(INDEX(Items!$F$5:$F$504,U1629),0)),"")</f>
        <v/>
      </c>
      <c r="N1629" s="61" t="str">
        <f aca="false">IF(IsPro,IF($D1629="","",IF(AND(V1629&lt;&gt;"",INDEX(Parties!$E$5:$E$304,V1629)&lt;&gt;"",INDEX(Parties!$E$5:$E$304,V1629)&lt;&gt;HomeState),0,ROUND(L1629*M1629/2,2))),"")</f>
        <v/>
      </c>
      <c r="O1629" s="61" t="str">
        <f aca="false">IF(IsPro,IF($D1629="","",N1629),"")</f>
        <v/>
      </c>
      <c r="P1629" s="61" t="str">
        <f aca="false">IF(IsPro,IF($D1629="","",IF(AND(V1629&lt;&gt;"",INDEX(Parties!$E$5:$E$304,V1629)&lt;&gt;"",INDEX(Parties!$E$5:$E$304,V1629)&lt;&gt;HomeState),ROUND(L1629*M1629,2),0)),"")</f>
        <v/>
      </c>
      <c r="Q1629" s="61" t="str">
        <f aca="false">IF(IsPro,IF($D1629="","",L1629+N1629+O1629+P1629),"")</f>
        <v/>
      </c>
      <c r="R1629" s="61" t="str">
        <f aca="false">IF(IsPro,IF($D1629="","",ROUND(N($E1629)*IFERROR(INDEX(Items!$P$5:$P$504,U1629),0),2)),"")</f>
        <v/>
      </c>
      <c r="S1629" s="61" t="str">
        <f aca="false">IF(IsPro,IF($D1629="","",L1629-R1629),"")</f>
        <v/>
      </c>
      <c r="T1629" s="60" t="str">
        <f aca="false">IF(IsPro,IF($D1629="","",IF(U1629="","UNKNOWN ITEM",IF(INDEX(Items!$O$5:$O$504,U1629)&lt;0,"NEG STOCK",IF(K1629&lt;INDEX(Items!$P$5:$P$504,U1629),"BELOW COST","OK")))),IF($D1629="","","PRO PLAN"))</f>
        <v/>
      </c>
      <c r="U1629" s="60" t="str">
        <f aca="false">IF(IsPro,IF($D1629="","",IFERROR(MATCH($D1629,Items!$A$5:$A$504,0),"")),"")</f>
        <v/>
      </c>
      <c r="V1629" s="60" t="str">
        <f aca="false">IF(IsPro,IF($C1629="","",IFERROR(MATCH($C1629,Parties!$A$5:$A$304,0),"")),"")</f>
        <v/>
      </c>
      <c r="W1629" s="60" t="str">
        <f aca="false">IF(IsPro,IF($B1629="","",IFERROR(VALUE(SUBSTITUTE($B1629,InvPrefix,"")),0)),"")</f>
        <v/>
      </c>
      <c r="X1629" s="61" t="str">
        <f aca="false">IF(IsPro,IF($D1629="","",IF(OR($H1629="",$H1629="Credit"),0,Q1629)),"")</f>
        <v/>
      </c>
    </row>
    <row r="1630" customFormat="false" ht="15" hidden="false" customHeight="false" outlineLevel="0" collapsed="false">
      <c r="A1630" s="55"/>
      <c r="B1630" s="56"/>
      <c r="C1630" s="56"/>
      <c r="D1630" s="56"/>
      <c r="E1630" s="57"/>
      <c r="F1630" s="58"/>
      <c r="G1630" s="59"/>
      <c r="H1630" s="56"/>
      <c r="I1630" s="56"/>
      <c r="J1630" s="60" t="str">
        <f aca="false">IF(IsPro,IF($D1630="","",IFERROR(INDEX(Items!$D$5:$D$504,U1630),"")),"")</f>
        <v/>
      </c>
      <c r="K1630" s="61" t="str">
        <f aca="false">IF(IsPro,IF($D1630="","",IF($F1630="",IFERROR(INDEX(Items!$H$5:$H$504,U1630),0),$F1630)),"")</f>
        <v/>
      </c>
      <c r="L1630" s="61" t="str">
        <f aca="false">IF(IsPro,IF($D1630="","",ROUND(N($E1630)*K1630*(1-N($G1630)),2)),"")</f>
        <v/>
      </c>
      <c r="M1630" s="62" t="str">
        <f aca="false">IF(IsPro,IF($D1630="","",IFERROR(INDEX(Items!$F$5:$F$504,U1630),0)),"")</f>
        <v/>
      </c>
      <c r="N1630" s="61" t="str">
        <f aca="false">IF(IsPro,IF($D1630="","",IF(AND(V1630&lt;&gt;"",INDEX(Parties!$E$5:$E$304,V1630)&lt;&gt;"",INDEX(Parties!$E$5:$E$304,V1630)&lt;&gt;HomeState),0,ROUND(L1630*M1630/2,2))),"")</f>
        <v/>
      </c>
      <c r="O1630" s="61" t="str">
        <f aca="false">IF(IsPro,IF($D1630="","",N1630),"")</f>
        <v/>
      </c>
      <c r="P1630" s="61" t="str">
        <f aca="false">IF(IsPro,IF($D1630="","",IF(AND(V1630&lt;&gt;"",INDEX(Parties!$E$5:$E$304,V1630)&lt;&gt;"",INDEX(Parties!$E$5:$E$304,V1630)&lt;&gt;HomeState),ROUND(L1630*M1630,2),0)),"")</f>
        <v/>
      </c>
      <c r="Q1630" s="61" t="str">
        <f aca="false">IF(IsPro,IF($D1630="","",L1630+N1630+O1630+P1630),"")</f>
        <v/>
      </c>
      <c r="R1630" s="61" t="str">
        <f aca="false">IF(IsPro,IF($D1630="","",ROUND(N($E1630)*IFERROR(INDEX(Items!$P$5:$P$504,U1630),0),2)),"")</f>
        <v/>
      </c>
      <c r="S1630" s="61" t="str">
        <f aca="false">IF(IsPro,IF($D1630="","",L1630-R1630),"")</f>
        <v/>
      </c>
      <c r="T1630" s="60" t="str">
        <f aca="false">IF(IsPro,IF($D1630="","",IF(U1630="","UNKNOWN ITEM",IF(INDEX(Items!$O$5:$O$504,U1630)&lt;0,"NEG STOCK",IF(K1630&lt;INDEX(Items!$P$5:$P$504,U1630),"BELOW COST","OK")))),IF($D1630="","","PRO PLAN"))</f>
        <v/>
      </c>
      <c r="U1630" s="60" t="str">
        <f aca="false">IF(IsPro,IF($D1630="","",IFERROR(MATCH($D1630,Items!$A$5:$A$504,0),"")),"")</f>
        <v/>
      </c>
      <c r="V1630" s="60" t="str">
        <f aca="false">IF(IsPro,IF($C1630="","",IFERROR(MATCH($C1630,Parties!$A$5:$A$304,0),"")),"")</f>
        <v/>
      </c>
      <c r="W1630" s="60" t="str">
        <f aca="false">IF(IsPro,IF($B1630="","",IFERROR(VALUE(SUBSTITUTE($B1630,InvPrefix,"")),0)),"")</f>
        <v/>
      </c>
      <c r="X1630" s="61" t="str">
        <f aca="false">IF(IsPro,IF($D1630="","",IF(OR($H1630="",$H1630="Credit"),0,Q1630)),"")</f>
        <v/>
      </c>
    </row>
    <row r="1631" customFormat="false" ht="15" hidden="false" customHeight="false" outlineLevel="0" collapsed="false">
      <c r="A1631" s="55"/>
      <c r="B1631" s="56"/>
      <c r="C1631" s="56"/>
      <c r="D1631" s="56"/>
      <c r="E1631" s="57"/>
      <c r="F1631" s="58"/>
      <c r="G1631" s="59"/>
      <c r="H1631" s="56"/>
      <c r="I1631" s="56"/>
      <c r="J1631" s="60" t="str">
        <f aca="false">IF(IsPro,IF($D1631="","",IFERROR(INDEX(Items!$D$5:$D$504,U1631),"")),"")</f>
        <v/>
      </c>
      <c r="K1631" s="61" t="str">
        <f aca="false">IF(IsPro,IF($D1631="","",IF($F1631="",IFERROR(INDEX(Items!$H$5:$H$504,U1631),0),$F1631)),"")</f>
        <v/>
      </c>
      <c r="L1631" s="61" t="str">
        <f aca="false">IF(IsPro,IF($D1631="","",ROUND(N($E1631)*K1631*(1-N($G1631)),2)),"")</f>
        <v/>
      </c>
      <c r="M1631" s="62" t="str">
        <f aca="false">IF(IsPro,IF($D1631="","",IFERROR(INDEX(Items!$F$5:$F$504,U1631),0)),"")</f>
        <v/>
      </c>
      <c r="N1631" s="61" t="str">
        <f aca="false">IF(IsPro,IF($D1631="","",IF(AND(V1631&lt;&gt;"",INDEX(Parties!$E$5:$E$304,V1631)&lt;&gt;"",INDEX(Parties!$E$5:$E$304,V1631)&lt;&gt;HomeState),0,ROUND(L1631*M1631/2,2))),"")</f>
        <v/>
      </c>
      <c r="O1631" s="61" t="str">
        <f aca="false">IF(IsPro,IF($D1631="","",N1631),"")</f>
        <v/>
      </c>
      <c r="P1631" s="61" t="str">
        <f aca="false">IF(IsPro,IF($D1631="","",IF(AND(V1631&lt;&gt;"",INDEX(Parties!$E$5:$E$304,V1631)&lt;&gt;"",INDEX(Parties!$E$5:$E$304,V1631)&lt;&gt;HomeState),ROUND(L1631*M1631,2),0)),"")</f>
        <v/>
      </c>
      <c r="Q1631" s="61" t="str">
        <f aca="false">IF(IsPro,IF($D1631="","",L1631+N1631+O1631+P1631),"")</f>
        <v/>
      </c>
      <c r="R1631" s="61" t="str">
        <f aca="false">IF(IsPro,IF($D1631="","",ROUND(N($E1631)*IFERROR(INDEX(Items!$P$5:$P$504,U1631),0),2)),"")</f>
        <v/>
      </c>
      <c r="S1631" s="61" t="str">
        <f aca="false">IF(IsPro,IF($D1631="","",L1631-R1631),"")</f>
        <v/>
      </c>
      <c r="T1631" s="60" t="str">
        <f aca="false">IF(IsPro,IF($D1631="","",IF(U1631="","UNKNOWN ITEM",IF(INDEX(Items!$O$5:$O$504,U1631)&lt;0,"NEG STOCK",IF(K1631&lt;INDEX(Items!$P$5:$P$504,U1631),"BELOW COST","OK")))),IF($D1631="","","PRO PLAN"))</f>
        <v/>
      </c>
      <c r="U1631" s="60" t="str">
        <f aca="false">IF(IsPro,IF($D1631="","",IFERROR(MATCH($D1631,Items!$A$5:$A$504,0),"")),"")</f>
        <v/>
      </c>
      <c r="V1631" s="60" t="str">
        <f aca="false">IF(IsPro,IF($C1631="","",IFERROR(MATCH($C1631,Parties!$A$5:$A$304,0),"")),"")</f>
        <v/>
      </c>
      <c r="W1631" s="60" t="str">
        <f aca="false">IF(IsPro,IF($B1631="","",IFERROR(VALUE(SUBSTITUTE($B1631,InvPrefix,"")),0)),"")</f>
        <v/>
      </c>
      <c r="X1631" s="61" t="str">
        <f aca="false">IF(IsPro,IF($D1631="","",IF(OR($H1631="",$H1631="Credit"),0,Q1631)),"")</f>
        <v/>
      </c>
    </row>
    <row r="1632" customFormat="false" ht="15" hidden="false" customHeight="false" outlineLevel="0" collapsed="false">
      <c r="A1632" s="55"/>
      <c r="B1632" s="56"/>
      <c r="C1632" s="56"/>
      <c r="D1632" s="56"/>
      <c r="E1632" s="57"/>
      <c r="F1632" s="58"/>
      <c r="G1632" s="59"/>
      <c r="H1632" s="56"/>
      <c r="I1632" s="56"/>
      <c r="J1632" s="60" t="str">
        <f aca="false">IF(IsPro,IF($D1632="","",IFERROR(INDEX(Items!$D$5:$D$504,U1632),"")),"")</f>
        <v/>
      </c>
      <c r="K1632" s="61" t="str">
        <f aca="false">IF(IsPro,IF($D1632="","",IF($F1632="",IFERROR(INDEX(Items!$H$5:$H$504,U1632),0),$F1632)),"")</f>
        <v/>
      </c>
      <c r="L1632" s="61" t="str">
        <f aca="false">IF(IsPro,IF($D1632="","",ROUND(N($E1632)*K1632*(1-N($G1632)),2)),"")</f>
        <v/>
      </c>
      <c r="M1632" s="62" t="str">
        <f aca="false">IF(IsPro,IF($D1632="","",IFERROR(INDEX(Items!$F$5:$F$504,U1632),0)),"")</f>
        <v/>
      </c>
      <c r="N1632" s="61" t="str">
        <f aca="false">IF(IsPro,IF($D1632="","",IF(AND(V1632&lt;&gt;"",INDEX(Parties!$E$5:$E$304,V1632)&lt;&gt;"",INDEX(Parties!$E$5:$E$304,V1632)&lt;&gt;HomeState),0,ROUND(L1632*M1632/2,2))),"")</f>
        <v/>
      </c>
      <c r="O1632" s="61" t="str">
        <f aca="false">IF(IsPro,IF($D1632="","",N1632),"")</f>
        <v/>
      </c>
      <c r="P1632" s="61" t="str">
        <f aca="false">IF(IsPro,IF($D1632="","",IF(AND(V1632&lt;&gt;"",INDEX(Parties!$E$5:$E$304,V1632)&lt;&gt;"",INDEX(Parties!$E$5:$E$304,V1632)&lt;&gt;HomeState),ROUND(L1632*M1632,2),0)),"")</f>
        <v/>
      </c>
      <c r="Q1632" s="61" t="str">
        <f aca="false">IF(IsPro,IF($D1632="","",L1632+N1632+O1632+P1632),"")</f>
        <v/>
      </c>
      <c r="R1632" s="61" t="str">
        <f aca="false">IF(IsPro,IF($D1632="","",ROUND(N($E1632)*IFERROR(INDEX(Items!$P$5:$P$504,U1632),0),2)),"")</f>
        <v/>
      </c>
      <c r="S1632" s="61" t="str">
        <f aca="false">IF(IsPro,IF($D1632="","",L1632-R1632),"")</f>
        <v/>
      </c>
      <c r="T1632" s="60" t="str">
        <f aca="false">IF(IsPro,IF($D1632="","",IF(U1632="","UNKNOWN ITEM",IF(INDEX(Items!$O$5:$O$504,U1632)&lt;0,"NEG STOCK",IF(K1632&lt;INDEX(Items!$P$5:$P$504,U1632),"BELOW COST","OK")))),IF($D1632="","","PRO PLAN"))</f>
        <v/>
      </c>
      <c r="U1632" s="60" t="str">
        <f aca="false">IF(IsPro,IF($D1632="","",IFERROR(MATCH($D1632,Items!$A$5:$A$504,0),"")),"")</f>
        <v/>
      </c>
      <c r="V1632" s="60" t="str">
        <f aca="false">IF(IsPro,IF($C1632="","",IFERROR(MATCH($C1632,Parties!$A$5:$A$304,0),"")),"")</f>
        <v/>
      </c>
      <c r="W1632" s="60" t="str">
        <f aca="false">IF(IsPro,IF($B1632="","",IFERROR(VALUE(SUBSTITUTE($B1632,InvPrefix,"")),0)),"")</f>
        <v/>
      </c>
      <c r="X1632" s="61" t="str">
        <f aca="false">IF(IsPro,IF($D1632="","",IF(OR($H1632="",$H1632="Credit"),0,Q1632)),"")</f>
        <v/>
      </c>
    </row>
    <row r="1633" customFormat="false" ht="15" hidden="false" customHeight="false" outlineLevel="0" collapsed="false">
      <c r="A1633" s="55"/>
      <c r="B1633" s="56"/>
      <c r="C1633" s="56"/>
      <c r="D1633" s="56"/>
      <c r="E1633" s="57"/>
      <c r="F1633" s="58"/>
      <c r="G1633" s="59"/>
      <c r="H1633" s="56"/>
      <c r="I1633" s="56"/>
      <c r="J1633" s="60" t="str">
        <f aca="false">IF(IsPro,IF($D1633="","",IFERROR(INDEX(Items!$D$5:$D$504,U1633),"")),"")</f>
        <v/>
      </c>
      <c r="K1633" s="61" t="str">
        <f aca="false">IF(IsPro,IF($D1633="","",IF($F1633="",IFERROR(INDEX(Items!$H$5:$H$504,U1633),0),$F1633)),"")</f>
        <v/>
      </c>
      <c r="L1633" s="61" t="str">
        <f aca="false">IF(IsPro,IF($D1633="","",ROUND(N($E1633)*K1633*(1-N($G1633)),2)),"")</f>
        <v/>
      </c>
      <c r="M1633" s="62" t="str">
        <f aca="false">IF(IsPro,IF($D1633="","",IFERROR(INDEX(Items!$F$5:$F$504,U1633),0)),"")</f>
        <v/>
      </c>
      <c r="N1633" s="61" t="str">
        <f aca="false">IF(IsPro,IF($D1633="","",IF(AND(V1633&lt;&gt;"",INDEX(Parties!$E$5:$E$304,V1633)&lt;&gt;"",INDEX(Parties!$E$5:$E$304,V1633)&lt;&gt;HomeState),0,ROUND(L1633*M1633/2,2))),"")</f>
        <v/>
      </c>
      <c r="O1633" s="61" t="str">
        <f aca="false">IF(IsPro,IF($D1633="","",N1633),"")</f>
        <v/>
      </c>
      <c r="P1633" s="61" t="str">
        <f aca="false">IF(IsPro,IF($D1633="","",IF(AND(V1633&lt;&gt;"",INDEX(Parties!$E$5:$E$304,V1633)&lt;&gt;"",INDEX(Parties!$E$5:$E$304,V1633)&lt;&gt;HomeState),ROUND(L1633*M1633,2),0)),"")</f>
        <v/>
      </c>
      <c r="Q1633" s="61" t="str">
        <f aca="false">IF(IsPro,IF($D1633="","",L1633+N1633+O1633+P1633),"")</f>
        <v/>
      </c>
      <c r="R1633" s="61" t="str">
        <f aca="false">IF(IsPro,IF($D1633="","",ROUND(N($E1633)*IFERROR(INDEX(Items!$P$5:$P$504,U1633),0),2)),"")</f>
        <v/>
      </c>
      <c r="S1633" s="61" t="str">
        <f aca="false">IF(IsPro,IF($D1633="","",L1633-R1633),"")</f>
        <v/>
      </c>
      <c r="T1633" s="60" t="str">
        <f aca="false">IF(IsPro,IF($D1633="","",IF(U1633="","UNKNOWN ITEM",IF(INDEX(Items!$O$5:$O$504,U1633)&lt;0,"NEG STOCK",IF(K1633&lt;INDEX(Items!$P$5:$P$504,U1633),"BELOW COST","OK")))),IF($D1633="","","PRO PLAN"))</f>
        <v/>
      </c>
      <c r="U1633" s="60" t="str">
        <f aca="false">IF(IsPro,IF($D1633="","",IFERROR(MATCH($D1633,Items!$A$5:$A$504,0),"")),"")</f>
        <v/>
      </c>
      <c r="V1633" s="60" t="str">
        <f aca="false">IF(IsPro,IF($C1633="","",IFERROR(MATCH($C1633,Parties!$A$5:$A$304,0),"")),"")</f>
        <v/>
      </c>
      <c r="W1633" s="60" t="str">
        <f aca="false">IF(IsPro,IF($B1633="","",IFERROR(VALUE(SUBSTITUTE($B1633,InvPrefix,"")),0)),"")</f>
        <v/>
      </c>
      <c r="X1633" s="61" t="str">
        <f aca="false">IF(IsPro,IF($D1633="","",IF(OR($H1633="",$H1633="Credit"),0,Q1633)),"")</f>
        <v/>
      </c>
    </row>
    <row r="1634" customFormat="false" ht="15" hidden="false" customHeight="false" outlineLevel="0" collapsed="false">
      <c r="A1634" s="55"/>
      <c r="B1634" s="56"/>
      <c r="C1634" s="56"/>
      <c r="D1634" s="56"/>
      <c r="E1634" s="57"/>
      <c r="F1634" s="58"/>
      <c r="G1634" s="59"/>
      <c r="H1634" s="56"/>
      <c r="I1634" s="56"/>
      <c r="J1634" s="60" t="str">
        <f aca="false">IF(IsPro,IF($D1634="","",IFERROR(INDEX(Items!$D$5:$D$504,U1634),"")),"")</f>
        <v/>
      </c>
      <c r="K1634" s="61" t="str">
        <f aca="false">IF(IsPro,IF($D1634="","",IF($F1634="",IFERROR(INDEX(Items!$H$5:$H$504,U1634),0),$F1634)),"")</f>
        <v/>
      </c>
      <c r="L1634" s="61" t="str">
        <f aca="false">IF(IsPro,IF($D1634="","",ROUND(N($E1634)*K1634*(1-N($G1634)),2)),"")</f>
        <v/>
      </c>
      <c r="M1634" s="62" t="str">
        <f aca="false">IF(IsPro,IF($D1634="","",IFERROR(INDEX(Items!$F$5:$F$504,U1634),0)),"")</f>
        <v/>
      </c>
      <c r="N1634" s="61" t="str">
        <f aca="false">IF(IsPro,IF($D1634="","",IF(AND(V1634&lt;&gt;"",INDEX(Parties!$E$5:$E$304,V1634)&lt;&gt;"",INDEX(Parties!$E$5:$E$304,V1634)&lt;&gt;HomeState),0,ROUND(L1634*M1634/2,2))),"")</f>
        <v/>
      </c>
      <c r="O1634" s="61" t="str">
        <f aca="false">IF(IsPro,IF($D1634="","",N1634),"")</f>
        <v/>
      </c>
      <c r="P1634" s="61" t="str">
        <f aca="false">IF(IsPro,IF($D1634="","",IF(AND(V1634&lt;&gt;"",INDEX(Parties!$E$5:$E$304,V1634)&lt;&gt;"",INDEX(Parties!$E$5:$E$304,V1634)&lt;&gt;HomeState),ROUND(L1634*M1634,2),0)),"")</f>
        <v/>
      </c>
      <c r="Q1634" s="61" t="str">
        <f aca="false">IF(IsPro,IF($D1634="","",L1634+N1634+O1634+P1634),"")</f>
        <v/>
      </c>
      <c r="R1634" s="61" t="str">
        <f aca="false">IF(IsPro,IF($D1634="","",ROUND(N($E1634)*IFERROR(INDEX(Items!$P$5:$P$504,U1634),0),2)),"")</f>
        <v/>
      </c>
      <c r="S1634" s="61" t="str">
        <f aca="false">IF(IsPro,IF($D1634="","",L1634-R1634),"")</f>
        <v/>
      </c>
      <c r="T1634" s="60" t="str">
        <f aca="false">IF(IsPro,IF($D1634="","",IF(U1634="","UNKNOWN ITEM",IF(INDEX(Items!$O$5:$O$504,U1634)&lt;0,"NEG STOCK",IF(K1634&lt;INDEX(Items!$P$5:$P$504,U1634),"BELOW COST","OK")))),IF($D1634="","","PRO PLAN"))</f>
        <v/>
      </c>
      <c r="U1634" s="60" t="str">
        <f aca="false">IF(IsPro,IF($D1634="","",IFERROR(MATCH($D1634,Items!$A$5:$A$504,0),"")),"")</f>
        <v/>
      </c>
      <c r="V1634" s="60" t="str">
        <f aca="false">IF(IsPro,IF($C1634="","",IFERROR(MATCH($C1634,Parties!$A$5:$A$304,0),"")),"")</f>
        <v/>
      </c>
      <c r="W1634" s="60" t="str">
        <f aca="false">IF(IsPro,IF($B1634="","",IFERROR(VALUE(SUBSTITUTE($B1634,InvPrefix,"")),0)),"")</f>
        <v/>
      </c>
      <c r="X1634" s="61" t="str">
        <f aca="false">IF(IsPro,IF($D1634="","",IF(OR($H1634="",$H1634="Credit"),0,Q1634)),"")</f>
        <v/>
      </c>
    </row>
    <row r="1635" customFormat="false" ht="15" hidden="false" customHeight="false" outlineLevel="0" collapsed="false">
      <c r="A1635" s="55"/>
      <c r="B1635" s="56"/>
      <c r="C1635" s="56"/>
      <c r="D1635" s="56"/>
      <c r="E1635" s="57"/>
      <c r="F1635" s="58"/>
      <c r="G1635" s="59"/>
      <c r="H1635" s="56"/>
      <c r="I1635" s="56"/>
      <c r="J1635" s="60" t="str">
        <f aca="false">IF(IsPro,IF($D1635="","",IFERROR(INDEX(Items!$D$5:$D$504,U1635),"")),"")</f>
        <v/>
      </c>
      <c r="K1635" s="61" t="str">
        <f aca="false">IF(IsPro,IF($D1635="","",IF($F1635="",IFERROR(INDEX(Items!$H$5:$H$504,U1635),0),$F1635)),"")</f>
        <v/>
      </c>
      <c r="L1635" s="61" t="str">
        <f aca="false">IF(IsPro,IF($D1635="","",ROUND(N($E1635)*K1635*(1-N($G1635)),2)),"")</f>
        <v/>
      </c>
      <c r="M1635" s="62" t="str">
        <f aca="false">IF(IsPro,IF($D1635="","",IFERROR(INDEX(Items!$F$5:$F$504,U1635),0)),"")</f>
        <v/>
      </c>
      <c r="N1635" s="61" t="str">
        <f aca="false">IF(IsPro,IF($D1635="","",IF(AND(V1635&lt;&gt;"",INDEX(Parties!$E$5:$E$304,V1635)&lt;&gt;"",INDEX(Parties!$E$5:$E$304,V1635)&lt;&gt;HomeState),0,ROUND(L1635*M1635/2,2))),"")</f>
        <v/>
      </c>
      <c r="O1635" s="61" t="str">
        <f aca="false">IF(IsPro,IF($D1635="","",N1635),"")</f>
        <v/>
      </c>
      <c r="P1635" s="61" t="str">
        <f aca="false">IF(IsPro,IF($D1635="","",IF(AND(V1635&lt;&gt;"",INDEX(Parties!$E$5:$E$304,V1635)&lt;&gt;"",INDEX(Parties!$E$5:$E$304,V1635)&lt;&gt;HomeState),ROUND(L1635*M1635,2),0)),"")</f>
        <v/>
      </c>
      <c r="Q1635" s="61" t="str">
        <f aca="false">IF(IsPro,IF($D1635="","",L1635+N1635+O1635+P1635),"")</f>
        <v/>
      </c>
      <c r="R1635" s="61" t="str">
        <f aca="false">IF(IsPro,IF($D1635="","",ROUND(N($E1635)*IFERROR(INDEX(Items!$P$5:$P$504,U1635),0),2)),"")</f>
        <v/>
      </c>
      <c r="S1635" s="61" t="str">
        <f aca="false">IF(IsPro,IF($D1635="","",L1635-R1635),"")</f>
        <v/>
      </c>
      <c r="T1635" s="60" t="str">
        <f aca="false">IF(IsPro,IF($D1635="","",IF(U1635="","UNKNOWN ITEM",IF(INDEX(Items!$O$5:$O$504,U1635)&lt;0,"NEG STOCK",IF(K1635&lt;INDEX(Items!$P$5:$P$504,U1635),"BELOW COST","OK")))),IF($D1635="","","PRO PLAN"))</f>
        <v/>
      </c>
      <c r="U1635" s="60" t="str">
        <f aca="false">IF(IsPro,IF($D1635="","",IFERROR(MATCH($D1635,Items!$A$5:$A$504,0),"")),"")</f>
        <v/>
      </c>
      <c r="V1635" s="60" t="str">
        <f aca="false">IF(IsPro,IF($C1635="","",IFERROR(MATCH($C1635,Parties!$A$5:$A$304,0),"")),"")</f>
        <v/>
      </c>
      <c r="W1635" s="60" t="str">
        <f aca="false">IF(IsPro,IF($B1635="","",IFERROR(VALUE(SUBSTITUTE($B1635,InvPrefix,"")),0)),"")</f>
        <v/>
      </c>
      <c r="X1635" s="61" t="str">
        <f aca="false">IF(IsPro,IF($D1635="","",IF(OR($H1635="",$H1635="Credit"),0,Q1635)),"")</f>
        <v/>
      </c>
    </row>
    <row r="1636" customFormat="false" ht="15" hidden="false" customHeight="false" outlineLevel="0" collapsed="false">
      <c r="A1636" s="55"/>
      <c r="B1636" s="56"/>
      <c r="C1636" s="56"/>
      <c r="D1636" s="56"/>
      <c r="E1636" s="57"/>
      <c r="F1636" s="58"/>
      <c r="G1636" s="59"/>
      <c r="H1636" s="56"/>
      <c r="I1636" s="56"/>
      <c r="J1636" s="60" t="str">
        <f aca="false">IF(IsPro,IF($D1636="","",IFERROR(INDEX(Items!$D$5:$D$504,U1636),"")),"")</f>
        <v/>
      </c>
      <c r="K1636" s="61" t="str">
        <f aca="false">IF(IsPro,IF($D1636="","",IF($F1636="",IFERROR(INDEX(Items!$H$5:$H$504,U1636),0),$F1636)),"")</f>
        <v/>
      </c>
      <c r="L1636" s="61" t="str">
        <f aca="false">IF(IsPro,IF($D1636="","",ROUND(N($E1636)*K1636*(1-N($G1636)),2)),"")</f>
        <v/>
      </c>
      <c r="M1636" s="62" t="str">
        <f aca="false">IF(IsPro,IF($D1636="","",IFERROR(INDEX(Items!$F$5:$F$504,U1636),0)),"")</f>
        <v/>
      </c>
      <c r="N1636" s="61" t="str">
        <f aca="false">IF(IsPro,IF($D1636="","",IF(AND(V1636&lt;&gt;"",INDEX(Parties!$E$5:$E$304,V1636)&lt;&gt;"",INDEX(Parties!$E$5:$E$304,V1636)&lt;&gt;HomeState),0,ROUND(L1636*M1636/2,2))),"")</f>
        <v/>
      </c>
      <c r="O1636" s="61" t="str">
        <f aca="false">IF(IsPro,IF($D1636="","",N1636),"")</f>
        <v/>
      </c>
      <c r="P1636" s="61" t="str">
        <f aca="false">IF(IsPro,IF($D1636="","",IF(AND(V1636&lt;&gt;"",INDEX(Parties!$E$5:$E$304,V1636)&lt;&gt;"",INDEX(Parties!$E$5:$E$304,V1636)&lt;&gt;HomeState),ROUND(L1636*M1636,2),0)),"")</f>
        <v/>
      </c>
      <c r="Q1636" s="61" t="str">
        <f aca="false">IF(IsPro,IF($D1636="","",L1636+N1636+O1636+P1636),"")</f>
        <v/>
      </c>
      <c r="R1636" s="61" t="str">
        <f aca="false">IF(IsPro,IF($D1636="","",ROUND(N($E1636)*IFERROR(INDEX(Items!$P$5:$P$504,U1636),0),2)),"")</f>
        <v/>
      </c>
      <c r="S1636" s="61" t="str">
        <f aca="false">IF(IsPro,IF($D1636="","",L1636-R1636),"")</f>
        <v/>
      </c>
      <c r="T1636" s="60" t="str">
        <f aca="false">IF(IsPro,IF($D1636="","",IF(U1636="","UNKNOWN ITEM",IF(INDEX(Items!$O$5:$O$504,U1636)&lt;0,"NEG STOCK",IF(K1636&lt;INDEX(Items!$P$5:$P$504,U1636),"BELOW COST","OK")))),IF($D1636="","","PRO PLAN"))</f>
        <v/>
      </c>
      <c r="U1636" s="60" t="str">
        <f aca="false">IF(IsPro,IF($D1636="","",IFERROR(MATCH($D1636,Items!$A$5:$A$504,0),"")),"")</f>
        <v/>
      </c>
      <c r="V1636" s="60" t="str">
        <f aca="false">IF(IsPro,IF($C1636="","",IFERROR(MATCH($C1636,Parties!$A$5:$A$304,0),"")),"")</f>
        <v/>
      </c>
      <c r="W1636" s="60" t="str">
        <f aca="false">IF(IsPro,IF($B1636="","",IFERROR(VALUE(SUBSTITUTE($B1636,InvPrefix,"")),0)),"")</f>
        <v/>
      </c>
      <c r="X1636" s="61" t="str">
        <f aca="false">IF(IsPro,IF($D1636="","",IF(OR($H1636="",$H1636="Credit"),0,Q1636)),"")</f>
        <v/>
      </c>
    </row>
    <row r="1637" customFormat="false" ht="15" hidden="false" customHeight="false" outlineLevel="0" collapsed="false">
      <c r="A1637" s="55"/>
      <c r="B1637" s="56"/>
      <c r="C1637" s="56"/>
      <c r="D1637" s="56"/>
      <c r="E1637" s="57"/>
      <c r="F1637" s="58"/>
      <c r="G1637" s="59"/>
      <c r="H1637" s="56"/>
      <c r="I1637" s="56"/>
      <c r="J1637" s="60" t="str">
        <f aca="false">IF(IsPro,IF($D1637="","",IFERROR(INDEX(Items!$D$5:$D$504,U1637),"")),"")</f>
        <v/>
      </c>
      <c r="K1637" s="61" t="str">
        <f aca="false">IF(IsPro,IF($D1637="","",IF($F1637="",IFERROR(INDEX(Items!$H$5:$H$504,U1637),0),$F1637)),"")</f>
        <v/>
      </c>
      <c r="L1637" s="61" t="str">
        <f aca="false">IF(IsPro,IF($D1637="","",ROUND(N($E1637)*K1637*(1-N($G1637)),2)),"")</f>
        <v/>
      </c>
      <c r="M1637" s="62" t="str">
        <f aca="false">IF(IsPro,IF($D1637="","",IFERROR(INDEX(Items!$F$5:$F$504,U1637),0)),"")</f>
        <v/>
      </c>
      <c r="N1637" s="61" t="str">
        <f aca="false">IF(IsPro,IF($D1637="","",IF(AND(V1637&lt;&gt;"",INDEX(Parties!$E$5:$E$304,V1637)&lt;&gt;"",INDEX(Parties!$E$5:$E$304,V1637)&lt;&gt;HomeState),0,ROUND(L1637*M1637/2,2))),"")</f>
        <v/>
      </c>
      <c r="O1637" s="61" t="str">
        <f aca="false">IF(IsPro,IF($D1637="","",N1637),"")</f>
        <v/>
      </c>
      <c r="P1637" s="61" t="str">
        <f aca="false">IF(IsPro,IF($D1637="","",IF(AND(V1637&lt;&gt;"",INDEX(Parties!$E$5:$E$304,V1637)&lt;&gt;"",INDEX(Parties!$E$5:$E$304,V1637)&lt;&gt;HomeState),ROUND(L1637*M1637,2),0)),"")</f>
        <v/>
      </c>
      <c r="Q1637" s="61" t="str">
        <f aca="false">IF(IsPro,IF($D1637="","",L1637+N1637+O1637+P1637),"")</f>
        <v/>
      </c>
      <c r="R1637" s="61" t="str">
        <f aca="false">IF(IsPro,IF($D1637="","",ROUND(N($E1637)*IFERROR(INDEX(Items!$P$5:$P$504,U1637),0),2)),"")</f>
        <v/>
      </c>
      <c r="S1637" s="61" t="str">
        <f aca="false">IF(IsPro,IF($D1637="","",L1637-R1637),"")</f>
        <v/>
      </c>
      <c r="T1637" s="60" t="str">
        <f aca="false">IF(IsPro,IF($D1637="","",IF(U1637="","UNKNOWN ITEM",IF(INDEX(Items!$O$5:$O$504,U1637)&lt;0,"NEG STOCK",IF(K1637&lt;INDEX(Items!$P$5:$P$504,U1637),"BELOW COST","OK")))),IF($D1637="","","PRO PLAN"))</f>
        <v/>
      </c>
      <c r="U1637" s="60" t="str">
        <f aca="false">IF(IsPro,IF($D1637="","",IFERROR(MATCH($D1637,Items!$A$5:$A$504,0),"")),"")</f>
        <v/>
      </c>
      <c r="V1637" s="60" t="str">
        <f aca="false">IF(IsPro,IF($C1637="","",IFERROR(MATCH($C1637,Parties!$A$5:$A$304,0),"")),"")</f>
        <v/>
      </c>
      <c r="W1637" s="60" t="str">
        <f aca="false">IF(IsPro,IF($B1637="","",IFERROR(VALUE(SUBSTITUTE($B1637,InvPrefix,"")),0)),"")</f>
        <v/>
      </c>
      <c r="X1637" s="61" t="str">
        <f aca="false">IF(IsPro,IF($D1637="","",IF(OR($H1637="",$H1637="Credit"),0,Q1637)),"")</f>
        <v/>
      </c>
    </row>
    <row r="1638" customFormat="false" ht="15" hidden="false" customHeight="false" outlineLevel="0" collapsed="false">
      <c r="A1638" s="55"/>
      <c r="B1638" s="56"/>
      <c r="C1638" s="56"/>
      <c r="D1638" s="56"/>
      <c r="E1638" s="57"/>
      <c r="F1638" s="58"/>
      <c r="G1638" s="59"/>
      <c r="H1638" s="56"/>
      <c r="I1638" s="56"/>
      <c r="J1638" s="60" t="str">
        <f aca="false">IF(IsPro,IF($D1638="","",IFERROR(INDEX(Items!$D$5:$D$504,U1638),"")),"")</f>
        <v/>
      </c>
      <c r="K1638" s="61" t="str">
        <f aca="false">IF(IsPro,IF($D1638="","",IF($F1638="",IFERROR(INDEX(Items!$H$5:$H$504,U1638),0),$F1638)),"")</f>
        <v/>
      </c>
      <c r="L1638" s="61" t="str">
        <f aca="false">IF(IsPro,IF($D1638="","",ROUND(N($E1638)*K1638*(1-N($G1638)),2)),"")</f>
        <v/>
      </c>
      <c r="M1638" s="62" t="str">
        <f aca="false">IF(IsPro,IF($D1638="","",IFERROR(INDEX(Items!$F$5:$F$504,U1638),0)),"")</f>
        <v/>
      </c>
      <c r="N1638" s="61" t="str">
        <f aca="false">IF(IsPro,IF($D1638="","",IF(AND(V1638&lt;&gt;"",INDEX(Parties!$E$5:$E$304,V1638)&lt;&gt;"",INDEX(Parties!$E$5:$E$304,V1638)&lt;&gt;HomeState),0,ROUND(L1638*M1638/2,2))),"")</f>
        <v/>
      </c>
      <c r="O1638" s="61" t="str">
        <f aca="false">IF(IsPro,IF($D1638="","",N1638),"")</f>
        <v/>
      </c>
      <c r="P1638" s="61" t="str">
        <f aca="false">IF(IsPro,IF($D1638="","",IF(AND(V1638&lt;&gt;"",INDEX(Parties!$E$5:$E$304,V1638)&lt;&gt;"",INDEX(Parties!$E$5:$E$304,V1638)&lt;&gt;HomeState),ROUND(L1638*M1638,2),0)),"")</f>
        <v/>
      </c>
      <c r="Q1638" s="61" t="str">
        <f aca="false">IF(IsPro,IF($D1638="","",L1638+N1638+O1638+P1638),"")</f>
        <v/>
      </c>
      <c r="R1638" s="61" t="str">
        <f aca="false">IF(IsPro,IF($D1638="","",ROUND(N($E1638)*IFERROR(INDEX(Items!$P$5:$P$504,U1638),0),2)),"")</f>
        <v/>
      </c>
      <c r="S1638" s="61" t="str">
        <f aca="false">IF(IsPro,IF($D1638="","",L1638-R1638),"")</f>
        <v/>
      </c>
      <c r="T1638" s="60" t="str">
        <f aca="false">IF(IsPro,IF($D1638="","",IF(U1638="","UNKNOWN ITEM",IF(INDEX(Items!$O$5:$O$504,U1638)&lt;0,"NEG STOCK",IF(K1638&lt;INDEX(Items!$P$5:$P$504,U1638),"BELOW COST","OK")))),IF($D1638="","","PRO PLAN"))</f>
        <v/>
      </c>
      <c r="U1638" s="60" t="str">
        <f aca="false">IF(IsPro,IF($D1638="","",IFERROR(MATCH($D1638,Items!$A$5:$A$504,0),"")),"")</f>
        <v/>
      </c>
      <c r="V1638" s="60" t="str">
        <f aca="false">IF(IsPro,IF($C1638="","",IFERROR(MATCH($C1638,Parties!$A$5:$A$304,0),"")),"")</f>
        <v/>
      </c>
      <c r="W1638" s="60" t="str">
        <f aca="false">IF(IsPro,IF($B1638="","",IFERROR(VALUE(SUBSTITUTE($B1638,InvPrefix,"")),0)),"")</f>
        <v/>
      </c>
      <c r="X1638" s="61" t="str">
        <f aca="false">IF(IsPro,IF($D1638="","",IF(OR($H1638="",$H1638="Credit"),0,Q1638)),"")</f>
        <v/>
      </c>
    </row>
    <row r="1639" customFormat="false" ht="15" hidden="false" customHeight="false" outlineLevel="0" collapsed="false">
      <c r="A1639" s="55"/>
      <c r="B1639" s="56"/>
      <c r="C1639" s="56"/>
      <c r="D1639" s="56"/>
      <c r="E1639" s="57"/>
      <c r="F1639" s="58"/>
      <c r="G1639" s="59"/>
      <c r="H1639" s="56"/>
      <c r="I1639" s="56"/>
      <c r="J1639" s="60" t="str">
        <f aca="false">IF(IsPro,IF($D1639="","",IFERROR(INDEX(Items!$D$5:$D$504,U1639),"")),"")</f>
        <v/>
      </c>
      <c r="K1639" s="61" t="str">
        <f aca="false">IF(IsPro,IF($D1639="","",IF($F1639="",IFERROR(INDEX(Items!$H$5:$H$504,U1639),0),$F1639)),"")</f>
        <v/>
      </c>
      <c r="L1639" s="61" t="str">
        <f aca="false">IF(IsPro,IF($D1639="","",ROUND(N($E1639)*K1639*(1-N($G1639)),2)),"")</f>
        <v/>
      </c>
      <c r="M1639" s="62" t="str">
        <f aca="false">IF(IsPro,IF($D1639="","",IFERROR(INDEX(Items!$F$5:$F$504,U1639),0)),"")</f>
        <v/>
      </c>
      <c r="N1639" s="61" t="str">
        <f aca="false">IF(IsPro,IF($D1639="","",IF(AND(V1639&lt;&gt;"",INDEX(Parties!$E$5:$E$304,V1639)&lt;&gt;"",INDEX(Parties!$E$5:$E$304,V1639)&lt;&gt;HomeState),0,ROUND(L1639*M1639/2,2))),"")</f>
        <v/>
      </c>
      <c r="O1639" s="61" t="str">
        <f aca="false">IF(IsPro,IF($D1639="","",N1639),"")</f>
        <v/>
      </c>
      <c r="P1639" s="61" t="str">
        <f aca="false">IF(IsPro,IF($D1639="","",IF(AND(V1639&lt;&gt;"",INDEX(Parties!$E$5:$E$304,V1639)&lt;&gt;"",INDEX(Parties!$E$5:$E$304,V1639)&lt;&gt;HomeState),ROUND(L1639*M1639,2),0)),"")</f>
        <v/>
      </c>
      <c r="Q1639" s="61" t="str">
        <f aca="false">IF(IsPro,IF($D1639="","",L1639+N1639+O1639+P1639),"")</f>
        <v/>
      </c>
      <c r="R1639" s="61" t="str">
        <f aca="false">IF(IsPro,IF($D1639="","",ROUND(N($E1639)*IFERROR(INDEX(Items!$P$5:$P$504,U1639),0),2)),"")</f>
        <v/>
      </c>
      <c r="S1639" s="61" t="str">
        <f aca="false">IF(IsPro,IF($D1639="","",L1639-R1639),"")</f>
        <v/>
      </c>
      <c r="T1639" s="60" t="str">
        <f aca="false">IF(IsPro,IF($D1639="","",IF(U1639="","UNKNOWN ITEM",IF(INDEX(Items!$O$5:$O$504,U1639)&lt;0,"NEG STOCK",IF(K1639&lt;INDEX(Items!$P$5:$P$504,U1639),"BELOW COST","OK")))),IF($D1639="","","PRO PLAN"))</f>
        <v/>
      </c>
      <c r="U1639" s="60" t="str">
        <f aca="false">IF(IsPro,IF($D1639="","",IFERROR(MATCH($D1639,Items!$A$5:$A$504,0),"")),"")</f>
        <v/>
      </c>
      <c r="V1639" s="60" t="str">
        <f aca="false">IF(IsPro,IF($C1639="","",IFERROR(MATCH($C1639,Parties!$A$5:$A$304,0),"")),"")</f>
        <v/>
      </c>
      <c r="W1639" s="60" t="str">
        <f aca="false">IF(IsPro,IF($B1639="","",IFERROR(VALUE(SUBSTITUTE($B1639,InvPrefix,"")),0)),"")</f>
        <v/>
      </c>
      <c r="X1639" s="61" t="str">
        <f aca="false">IF(IsPro,IF($D1639="","",IF(OR($H1639="",$H1639="Credit"),0,Q1639)),"")</f>
        <v/>
      </c>
    </row>
    <row r="1640" customFormat="false" ht="15" hidden="false" customHeight="false" outlineLevel="0" collapsed="false">
      <c r="A1640" s="55"/>
      <c r="B1640" s="56"/>
      <c r="C1640" s="56"/>
      <c r="D1640" s="56"/>
      <c r="E1640" s="57"/>
      <c r="F1640" s="58"/>
      <c r="G1640" s="59"/>
      <c r="H1640" s="56"/>
      <c r="I1640" s="56"/>
      <c r="J1640" s="60" t="str">
        <f aca="false">IF(IsPro,IF($D1640="","",IFERROR(INDEX(Items!$D$5:$D$504,U1640),"")),"")</f>
        <v/>
      </c>
      <c r="K1640" s="61" t="str">
        <f aca="false">IF(IsPro,IF($D1640="","",IF($F1640="",IFERROR(INDEX(Items!$H$5:$H$504,U1640),0),$F1640)),"")</f>
        <v/>
      </c>
      <c r="L1640" s="61" t="str">
        <f aca="false">IF(IsPro,IF($D1640="","",ROUND(N($E1640)*K1640*(1-N($G1640)),2)),"")</f>
        <v/>
      </c>
      <c r="M1640" s="62" t="str">
        <f aca="false">IF(IsPro,IF($D1640="","",IFERROR(INDEX(Items!$F$5:$F$504,U1640),0)),"")</f>
        <v/>
      </c>
      <c r="N1640" s="61" t="str">
        <f aca="false">IF(IsPro,IF($D1640="","",IF(AND(V1640&lt;&gt;"",INDEX(Parties!$E$5:$E$304,V1640)&lt;&gt;"",INDEX(Parties!$E$5:$E$304,V1640)&lt;&gt;HomeState),0,ROUND(L1640*M1640/2,2))),"")</f>
        <v/>
      </c>
      <c r="O1640" s="61" t="str">
        <f aca="false">IF(IsPro,IF($D1640="","",N1640),"")</f>
        <v/>
      </c>
      <c r="P1640" s="61" t="str">
        <f aca="false">IF(IsPro,IF($D1640="","",IF(AND(V1640&lt;&gt;"",INDEX(Parties!$E$5:$E$304,V1640)&lt;&gt;"",INDEX(Parties!$E$5:$E$304,V1640)&lt;&gt;HomeState),ROUND(L1640*M1640,2),0)),"")</f>
        <v/>
      </c>
      <c r="Q1640" s="61" t="str">
        <f aca="false">IF(IsPro,IF($D1640="","",L1640+N1640+O1640+P1640),"")</f>
        <v/>
      </c>
      <c r="R1640" s="61" t="str">
        <f aca="false">IF(IsPro,IF($D1640="","",ROUND(N($E1640)*IFERROR(INDEX(Items!$P$5:$P$504,U1640),0),2)),"")</f>
        <v/>
      </c>
      <c r="S1640" s="61" t="str">
        <f aca="false">IF(IsPro,IF($D1640="","",L1640-R1640),"")</f>
        <v/>
      </c>
      <c r="T1640" s="60" t="str">
        <f aca="false">IF(IsPro,IF($D1640="","",IF(U1640="","UNKNOWN ITEM",IF(INDEX(Items!$O$5:$O$504,U1640)&lt;0,"NEG STOCK",IF(K1640&lt;INDEX(Items!$P$5:$P$504,U1640),"BELOW COST","OK")))),IF($D1640="","","PRO PLAN"))</f>
        <v/>
      </c>
      <c r="U1640" s="60" t="str">
        <f aca="false">IF(IsPro,IF($D1640="","",IFERROR(MATCH($D1640,Items!$A$5:$A$504,0),"")),"")</f>
        <v/>
      </c>
      <c r="V1640" s="60" t="str">
        <f aca="false">IF(IsPro,IF($C1640="","",IFERROR(MATCH($C1640,Parties!$A$5:$A$304,0),"")),"")</f>
        <v/>
      </c>
      <c r="W1640" s="60" t="str">
        <f aca="false">IF(IsPro,IF($B1640="","",IFERROR(VALUE(SUBSTITUTE($B1640,InvPrefix,"")),0)),"")</f>
        <v/>
      </c>
      <c r="X1640" s="61" t="str">
        <f aca="false">IF(IsPro,IF($D1640="","",IF(OR($H1640="",$H1640="Credit"),0,Q1640)),"")</f>
        <v/>
      </c>
    </row>
    <row r="1641" customFormat="false" ht="15" hidden="false" customHeight="false" outlineLevel="0" collapsed="false">
      <c r="A1641" s="55"/>
      <c r="B1641" s="56"/>
      <c r="C1641" s="56"/>
      <c r="D1641" s="56"/>
      <c r="E1641" s="57"/>
      <c r="F1641" s="58"/>
      <c r="G1641" s="59"/>
      <c r="H1641" s="56"/>
      <c r="I1641" s="56"/>
      <c r="J1641" s="60" t="str">
        <f aca="false">IF(IsPro,IF($D1641="","",IFERROR(INDEX(Items!$D$5:$D$504,U1641),"")),"")</f>
        <v/>
      </c>
      <c r="K1641" s="61" t="str">
        <f aca="false">IF(IsPro,IF($D1641="","",IF($F1641="",IFERROR(INDEX(Items!$H$5:$H$504,U1641),0),$F1641)),"")</f>
        <v/>
      </c>
      <c r="L1641" s="61" t="str">
        <f aca="false">IF(IsPro,IF($D1641="","",ROUND(N($E1641)*K1641*(1-N($G1641)),2)),"")</f>
        <v/>
      </c>
      <c r="M1641" s="62" t="str">
        <f aca="false">IF(IsPro,IF($D1641="","",IFERROR(INDEX(Items!$F$5:$F$504,U1641),0)),"")</f>
        <v/>
      </c>
      <c r="N1641" s="61" t="str">
        <f aca="false">IF(IsPro,IF($D1641="","",IF(AND(V1641&lt;&gt;"",INDEX(Parties!$E$5:$E$304,V1641)&lt;&gt;"",INDEX(Parties!$E$5:$E$304,V1641)&lt;&gt;HomeState),0,ROUND(L1641*M1641/2,2))),"")</f>
        <v/>
      </c>
      <c r="O1641" s="61" t="str">
        <f aca="false">IF(IsPro,IF($D1641="","",N1641),"")</f>
        <v/>
      </c>
      <c r="P1641" s="61" t="str">
        <f aca="false">IF(IsPro,IF($D1641="","",IF(AND(V1641&lt;&gt;"",INDEX(Parties!$E$5:$E$304,V1641)&lt;&gt;"",INDEX(Parties!$E$5:$E$304,V1641)&lt;&gt;HomeState),ROUND(L1641*M1641,2),0)),"")</f>
        <v/>
      </c>
      <c r="Q1641" s="61" t="str">
        <f aca="false">IF(IsPro,IF($D1641="","",L1641+N1641+O1641+P1641),"")</f>
        <v/>
      </c>
      <c r="R1641" s="61" t="str">
        <f aca="false">IF(IsPro,IF($D1641="","",ROUND(N($E1641)*IFERROR(INDEX(Items!$P$5:$P$504,U1641),0),2)),"")</f>
        <v/>
      </c>
      <c r="S1641" s="61" t="str">
        <f aca="false">IF(IsPro,IF($D1641="","",L1641-R1641),"")</f>
        <v/>
      </c>
      <c r="T1641" s="60" t="str">
        <f aca="false">IF(IsPro,IF($D1641="","",IF(U1641="","UNKNOWN ITEM",IF(INDEX(Items!$O$5:$O$504,U1641)&lt;0,"NEG STOCK",IF(K1641&lt;INDEX(Items!$P$5:$P$504,U1641),"BELOW COST","OK")))),IF($D1641="","","PRO PLAN"))</f>
        <v/>
      </c>
      <c r="U1641" s="60" t="str">
        <f aca="false">IF(IsPro,IF($D1641="","",IFERROR(MATCH($D1641,Items!$A$5:$A$504,0),"")),"")</f>
        <v/>
      </c>
      <c r="V1641" s="60" t="str">
        <f aca="false">IF(IsPro,IF($C1641="","",IFERROR(MATCH($C1641,Parties!$A$5:$A$304,0),"")),"")</f>
        <v/>
      </c>
      <c r="W1641" s="60" t="str">
        <f aca="false">IF(IsPro,IF($B1641="","",IFERROR(VALUE(SUBSTITUTE($B1641,InvPrefix,"")),0)),"")</f>
        <v/>
      </c>
      <c r="X1641" s="61" t="str">
        <f aca="false">IF(IsPro,IF($D1641="","",IF(OR($H1641="",$H1641="Credit"),0,Q1641)),"")</f>
        <v/>
      </c>
    </row>
    <row r="1642" customFormat="false" ht="15" hidden="false" customHeight="false" outlineLevel="0" collapsed="false">
      <c r="A1642" s="55"/>
      <c r="B1642" s="56"/>
      <c r="C1642" s="56"/>
      <c r="D1642" s="56"/>
      <c r="E1642" s="57"/>
      <c r="F1642" s="58"/>
      <c r="G1642" s="59"/>
      <c r="H1642" s="56"/>
      <c r="I1642" s="56"/>
      <c r="J1642" s="60" t="str">
        <f aca="false">IF(IsPro,IF($D1642="","",IFERROR(INDEX(Items!$D$5:$D$504,U1642),"")),"")</f>
        <v/>
      </c>
      <c r="K1642" s="61" t="str">
        <f aca="false">IF(IsPro,IF($D1642="","",IF($F1642="",IFERROR(INDEX(Items!$H$5:$H$504,U1642),0),$F1642)),"")</f>
        <v/>
      </c>
      <c r="L1642" s="61" t="str">
        <f aca="false">IF(IsPro,IF($D1642="","",ROUND(N($E1642)*K1642*(1-N($G1642)),2)),"")</f>
        <v/>
      </c>
      <c r="M1642" s="62" t="str">
        <f aca="false">IF(IsPro,IF($D1642="","",IFERROR(INDEX(Items!$F$5:$F$504,U1642),0)),"")</f>
        <v/>
      </c>
      <c r="N1642" s="61" t="str">
        <f aca="false">IF(IsPro,IF($D1642="","",IF(AND(V1642&lt;&gt;"",INDEX(Parties!$E$5:$E$304,V1642)&lt;&gt;"",INDEX(Parties!$E$5:$E$304,V1642)&lt;&gt;HomeState),0,ROUND(L1642*M1642/2,2))),"")</f>
        <v/>
      </c>
      <c r="O1642" s="61" t="str">
        <f aca="false">IF(IsPro,IF($D1642="","",N1642),"")</f>
        <v/>
      </c>
      <c r="P1642" s="61" t="str">
        <f aca="false">IF(IsPro,IF($D1642="","",IF(AND(V1642&lt;&gt;"",INDEX(Parties!$E$5:$E$304,V1642)&lt;&gt;"",INDEX(Parties!$E$5:$E$304,V1642)&lt;&gt;HomeState),ROUND(L1642*M1642,2),0)),"")</f>
        <v/>
      </c>
      <c r="Q1642" s="61" t="str">
        <f aca="false">IF(IsPro,IF($D1642="","",L1642+N1642+O1642+P1642),"")</f>
        <v/>
      </c>
      <c r="R1642" s="61" t="str">
        <f aca="false">IF(IsPro,IF($D1642="","",ROUND(N($E1642)*IFERROR(INDEX(Items!$P$5:$P$504,U1642),0),2)),"")</f>
        <v/>
      </c>
      <c r="S1642" s="61" t="str">
        <f aca="false">IF(IsPro,IF($D1642="","",L1642-R1642),"")</f>
        <v/>
      </c>
      <c r="T1642" s="60" t="str">
        <f aca="false">IF(IsPro,IF($D1642="","",IF(U1642="","UNKNOWN ITEM",IF(INDEX(Items!$O$5:$O$504,U1642)&lt;0,"NEG STOCK",IF(K1642&lt;INDEX(Items!$P$5:$P$504,U1642),"BELOW COST","OK")))),IF($D1642="","","PRO PLAN"))</f>
        <v/>
      </c>
      <c r="U1642" s="60" t="str">
        <f aca="false">IF(IsPro,IF($D1642="","",IFERROR(MATCH($D1642,Items!$A$5:$A$504,0),"")),"")</f>
        <v/>
      </c>
      <c r="V1642" s="60" t="str">
        <f aca="false">IF(IsPro,IF($C1642="","",IFERROR(MATCH($C1642,Parties!$A$5:$A$304,0),"")),"")</f>
        <v/>
      </c>
      <c r="W1642" s="60" t="str">
        <f aca="false">IF(IsPro,IF($B1642="","",IFERROR(VALUE(SUBSTITUTE($B1642,InvPrefix,"")),0)),"")</f>
        <v/>
      </c>
      <c r="X1642" s="61" t="str">
        <f aca="false">IF(IsPro,IF($D1642="","",IF(OR($H1642="",$H1642="Credit"),0,Q1642)),"")</f>
        <v/>
      </c>
    </row>
    <row r="1643" customFormat="false" ht="15" hidden="false" customHeight="false" outlineLevel="0" collapsed="false">
      <c r="A1643" s="55"/>
      <c r="B1643" s="56"/>
      <c r="C1643" s="56"/>
      <c r="D1643" s="56"/>
      <c r="E1643" s="57"/>
      <c r="F1643" s="58"/>
      <c r="G1643" s="59"/>
      <c r="H1643" s="56"/>
      <c r="I1643" s="56"/>
      <c r="J1643" s="60" t="str">
        <f aca="false">IF(IsPro,IF($D1643="","",IFERROR(INDEX(Items!$D$5:$D$504,U1643),"")),"")</f>
        <v/>
      </c>
      <c r="K1643" s="61" t="str">
        <f aca="false">IF(IsPro,IF($D1643="","",IF($F1643="",IFERROR(INDEX(Items!$H$5:$H$504,U1643),0),$F1643)),"")</f>
        <v/>
      </c>
      <c r="L1643" s="61" t="str">
        <f aca="false">IF(IsPro,IF($D1643="","",ROUND(N($E1643)*K1643*(1-N($G1643)),2)),"")</f>
        <v/>
      </c>
      <c r="M1643" s="62" t="str">
        <f aca="false">IF(IsPro,IF($D1643="","",IFERROR(INDEX(Items!$F$5:$F$504,U1643),0)),"")</f>
        <v/>
      </c>
      <c r="N1643" s="61" t="str">
        <f aca="false">IF(IsPro,IF($D1643="","",IF(AND(V1643&lt;&gt;"",INDEX(Parties!$E$5:$E$304,V1643)&lt;&gt;"",INDEX(Parties!$E$5:$E$304,V1643)&lt;&gt;HomeState),0,ROUND(L1643*M1643/2,2))),"")</f>
        <v/>
      </c>
      <c r="O1643" s="61" t="str">
        <f aca="false">IF(IsPro,IF($D1643="","",N1643),"")</f>
        <v/>
      </c>
      <c r="P1643" s="61" t="str">
        <f aca="false">IF(IsPro,IF($D1643="","",IF(AND(V1643&lt;&gt;"",INDEX(Parties!$E$5:$E$304,V1643)&lt;&gt;"",INDEX(Parties!$E$5:$E$304,V1643)&lt;&gt;HomeState),ROUND(L1643*M1643,2),0)),"")</f>
        <v/>
      </c>
      <c r="Q1643" s="61" t="str">
        <f aca="false">IF(IsPro,IF($D1643="","",L1643+N1643+O1643+P1643),"")</f>
        <v/>
      </c>
      <c r="R1643" s="61" t="str">
        <f aca="false">IF(IsPro,IF($D1643="","",ROUND(N($E1643)*IFERROR(INDEX(Items!$P$5:$P$504,U1643),0),2)),"")</f>
        <v/>
      </c>
      <c r="S1643" s="61" t="str">
        <f aca="false">IF(IsPro,IF($D1643="","",L1643-R1643),"")</f>
        <v/>
      </c>
      <c r="T1643" s="60" t="str">
        <f aca="false">IF(IsPro,IF($D1643="","",IF(U1643="","UNKNOWN ITEM",IF(INDEX(Items!$O$5:$O$504,U1643)&lt;0,"NEG STOCK",IF(K1643&lt;INDEX(Items!$P$5:$P$504,U1643),"BELOW COST","OK")))),IF($D1643="","","PRO PLAN"))</f>
        <v/>
      </c>
      <c r="U1643" s="60" t="str">
        <f aca="false">IF(IsPro,IF($D1643="","",IFERROR(MATCH($D1643,Items!$A$5:$A$504,0),"")),"")</f>
        <v/>
      </c>
      <c r="V1643" s="60" t="str">
        <f aca="false">IF(IsPro,IF($C1643="","",IFERROR(MATCH($C1643,Parties!$A$5:$A$304,0),"")),"")</f>
        <v/>
      </c>
      <c r="W1643" s="60" t="str">
        <f aca="false">IF(IsPro,IF($B1643="","",IFERROR(VALUE(SUBSTITUTE($B1643,InvPrefix,"")),0)),"")</f>
        <v/>
      </c>
      <c r="X1643" s="61" t="str">
        <f aca="false">IF(IsPro,IF($D1643="","",IF(OR($H1643="",$H1643="Credit"),0,Q1643)),"")</f>
        <v/>
      </c>
    </row>
    <row r="1644" customFormat="false" ht="15" hidden="false" customHeight="false" outlineLevel="0" collapsed="false">
      <c r="A1644" s="55"/>
      <c r="B1644" s="56"/>
      <c r="C1644" s="56"/>
      <c r="D1644" s="56"/>
      <c r="E1644" s="57"/>
      <c r="F1644" s="58"/>
      <c r="G1644" s="59"/>
      <c r="H1644" s="56"/>
      <c r="I1644" s="56"/>
      <c r="J1644" s="60" t="str">
        <f aca="false">IF(IsPro,IF($D1644="","",IFERROR(INDEX(Items!$D$5:$D$504,U1644),"")),"")</f>
        <v/>
      </c>
      <c r="K1644" s="61" t="str">
        <f aca="false">IF(IsPro,IF($D1644="","",IF($F1644="",IFERROR(INDEX(Items!$H$5:$H$504,U1644),0),$F1644)),"")</f>
        <v/>
      </c>
      <c r="L1644" s="61" t="str">
        <f aca="false">IF(IsPro,IF($D1644="","",ROUND(N($E1644)*K1644*(1-N($G1644)),2)),"")</f>
        <v/>
      </c>
      <c r="M1644" s="62" t="str">
        <f aca="false">IF(IsPro,IF($D1644="","",IFERROR(INDEX(Items!$F$5:$F$504,U1644),0)),"")</f>
        <v/>
      </c>
      <c r="N1644" s="61" t="str">
        <f aca="false">IF(IsPro,IF($D1644="","",IF(AND(V1644&lt;&gt;"",INDEX(Parties!$E$5:$E$304,V1644)&lt;&gt;"",INDEX(Parties!$E$5:$E$304,V1644)&lt;&gt;HomeState),0,ROUND(L1644*M1644/2,2))),"")</f>
        <v/>
      </c>
      <c r="O1644" s="61" t="str">
        <f aca="false">IF(IsPro,IF($D1644="","",N1644),"")</f>
        <v/>
      </c>
      <c r="P1644" s="61" t="str">
        <f aca="false">IF(IsPro,IF($D1644="","",IF(AND(V1644&lt;&gt;"",INDEX(Parties!$E$5:$E$304,V1644)&lt;&gt;"",INDEX(Parties!$E$5:$E$304,V1644)&lt;&gt;HomeState),ROUND(L1644*M1644,2),0)),"")</f>
        <v/>
      </c>
      <c r="Q1644" s="61" t="str">
        <f aca="false">IF(IsPro,IF($D1644="","",L1644+N1644+O1644+P1644),"")</f>
        <v/>
      </c>
      <c r="R1644" s="61" t="str">
        <f aca="false">IF(IsPro,IF($D1644="","",ROUND(N($E1644)*IFERROR(INDEX(Items!$P$5:$P$504,U1644),0),2)),"")</f>
        <v/>
      </c>
      <c r="S1644" s="61" t="str">
        <f aca="false">IF(IsPro,IF($D1644="","",L1644-R1644),"")</f>
        <v/>
      </c>
      <c r="T1644" s="60" t="str">
        <f aca="false">IF(IsPro,IF($D1644="","",IF(U1644="","UNKNOWN ITEM",IF(INDEX(Items!$O$5:$O$504,U1644)&lt;0,"NEG STOCK",IF(K1644&lt;INDEX(Items!$P$5:$P$504,U1644),"BELOW COST","OK")))),IF($D1644="","","PRO PLAN"))</f>
        <v/>
      </c>
      <c r="U1644" s="60" t="str">
        <f aca="false">IF(IsPro,IF($D1644="","",IFERROR(MATCH($D1644,Items!$A$5:$A$504,0),"")),"")</f>
        <v/>
      </c>
      <c r="V1644" s="60" t="str">
        <f aca="false">IF(IsPro,IF($C1644="","",IFERROR(MATCH($C1644,Parties!$A$5:$A$304,0),"")),"")</f>
        <v/>
      </c>
      <c r="W1644" s="60" t="str">
        <f aca="false">IF(IsPro,IF($B1644="","",IFERROR(VALUE(SUBSTITUTE($B1644,InvPrefix,"")),0)),"")</f>
        <v/>
      </c>
      <c r="X1644" s="61" t="str">
        <f aca="false">IF(IsPro,IF($D1644="","",IF(OR($H1644="",$H1644="Credit"),0,Q1644)),"")</f>
        <v/>
      </c>
    </row>
    <row r="1645" customFormat="false" ht="15" hidden="false" customHeight="false" outlineLevel="0" collapsed="false">
      <c r="A1645" s="55"/>
      <c r="B1645" s="56"/>
      <c r="C1645" s="56"/>
      <c r="D1645" s="56"/>
      <c r="E1645" s="57"/>
      <c r="F1645" s="58"/>
      <c r="G1645" s="59"/>
      <c r="H1645" s="56"/>
      <c r="I1645" s="56"/>
      <c r="J1645" s="60" t="str">
        <f aca="false">IF(IsPro,IF($D1645="","",IFERROR(INDEX(Items!$D$5:$D$504,U1645),"")),"")</f>
        <v/>
      </c>
      <c r="K1645" s="61" t="str">
        <f aca="false">IF(IsPro,IF($D1645="","",IF($F1645="",IFERROR(INDEX(Items!$H$5:$H$504,U1645),0),$F1645)),"")</f>
        <v/>
      </c>
      <c r="L1645" s="61" t="str">
        <f aca="false">IF(IsPro,IF($D1645="","",ROUND(N($E1645)*K1645*(1-N($G1645)),2)),"")</f>
        <v/>
      </c>
      <c r="M1645" s="62" t="str">
        <f aca="false">IF(IsPro,IF($D1645="","",IFERROR(INDEX(Items!$F$5:$F$504,U1645),0)),"")</f>
        <v/>
      </c>
      <c r="N1645" s="61" t="str">
        <f aca="false">IF(IsPro,IF($D1645="","",IF(AND(V1645&lt;&gt;"",INDEX(Parties!$E$5:$E$304,V1645)&lt;&gt;"",INDEX(Parties!$E$5:$E$304,V1645)&lt;&gt;HomeState),0,ROUND(L1645*M1645/2,2))),"")</f>
        <v/>
      </c>
      <c r="O1645" s="61" t="str">
        <f aca="false">IF(IsPro,IF($D1645="","",N1645),"")</f>
        <v/>
      </c>
      <c r="P1645" s="61" t="str">
        <f aca="false">IF(IsPro,IF($D1645="","",IF(AND(V1645&lt;&gt;"",INDEX(Parties!$E$5:$E$304,V1645)&lt;&gt;"",INDEX(Parties!$E$5:$E$304,V1645)&lt;&gt;HomeState),ROUND(L1645*M1645,2),0)),"")</f>
        <v/>
      </c>
      <c r="Q1645" s="61" t="str">
        <f aca="false">IF(IsPro,IF($D1645="","",L1645+N1645+O1645+P1645),"")</f>
        <v/>
      </c>
      <c r="R1645" s="61" t="str">
        <f aca="false">IF(IsPro,IF($D1645="","",ROUND(N($E1645)*IFERROR(INDEX(Items!$P$5:$P$504,U1645),0),2)),"")</f>
        <v/>
      </c>
      <c r="S1645" s="61" t="str">
        <f aca="false">IF(IsPro,IF($D1645="","",L1645-R1645),"")</f>
        <v/>
      </c>
      <c r="T1645" s="60" t="str">
        <f aca="false">IF(IsPro,IF($D1645="","",IF(U1645="","UNKNOWN ITEM",IF(INDEX(Items!$O$5:$O$504,U1645)&lt;0,"NEG STOCK",IF(K1645&lt;INDEX(Items!$P$5:$P$504,U1645),"BELOW COST","OK")))),IF($D1645="","","PRO PLAN"))</f>
        <v/>
      </c>
      <c r="U1645" s="60" t="str">
        <f aca="false">IF(IsPro,IF($D1645="","",IFERROR(MATCH($D1645,Items!$A$5:$A$504,0),"")),"")</f>
        <v/>
      </c>
      <c r="V1645" s="60" t="str">
        <f aca="false">IF(IsPro,IF($C1645="","",IFERROR(MATCH($C1645,Parties!$A$5:$A$304,0),"")),"")</f>
        <v/>
      </c>
      <c r="W1645" s="60" t="str">
        <f aca="false">IF(IsPro,IF($B1645="","",IFERROR(VALUE(SUBSTITUTE($B1645,InvPrefix,"")),0)),"")</f>
        <v/>
      </c>
      <c r="X1645" s="61" t="str">
        <f aca="false">IF(IsPro,IF($D1645="","",IF(OR($H1645="",$H1645="Credit"),0,Q1645)),"")</f>
        <v/>
      </c>
    </row>
    <row r="1646" customFormat="false" ht="15" hidden="false" customHeight="false" outlineLevel="0" collapsed="false">
      <c r="A1646" s="55"/>
      <c r="B1646" s="56"/>
      <c r="C1646" s="56"/>
      <c r="D1646" s="56"/>
      <c r="E1646" s="57"/>
      <c r="F1646" s="58"/>
      <c r="G1646" s="59"/>
      <c r="H1646" s="56"/>
      <c r="I1646" s="56"/>
      <c r="J1646" s="60" t="str">
        <f aca="false">IF(IsPro,IF($D1646="","",IFERROR(INDEX(Items!$D$5:$D$504,U1646),"")),"")</f>
        <v/>
      </c>
      <c r="K1646" s="61" t="str">
        <f aca="false">IF(IsPro,IF($D1646="","",IF($F1646="",IFERROR(INDEX(Items!$H$5:$H$504,U1646),0),$F1646)),"")</f>
        <v/>
      </c>
      <c r="L1646" s="61" t="str">
        <f aca="false">IF(IsPro,IF($D1646="","",ROUND(N($E1646)*K1646*(1-N($G1646)),2)),"")</f>
        <v/>
      </c>
      <c r="M1646" s="62" t="str">
        <f aca="false">IF(IsPro,IF($D1646="","",IFERROR(INDEX(Items!$F$5:$F$504,U1646),0)),"")</f>
        <v/>
      </c>
      <c r="N1646" s="61" t="str">
        <f aca="false">IF(IsPro,IF($D1646="","",IF(AND(V1646&lt;&gt;"",INDEX(Parties!$E$5:$E$304,V1646)&lt;&gt;"",INDEX(Parties!$E$5:$E$304,V1646)&lt;&gt;HomeState),0,ROUND(L1646*M1646/2,2))),"")</f>
        <v/>
      </c>
      <c r="O1646" s="61" t="str">
        <f aca="false">IF(IsPro,IF($D1646="","",N1646),"")</f>
        <v/>
      </c>
      <c r="P1646" s="61" t="str">
        <f aca="false">IF(IsPro,IF($D1646="","",IF(AND(V1646&lt;&gt;"",INDEX(Parties!$E$5:$E$304,V1646)&lt;&gt;"",INDEX(Parties!$E$5:$E$304,V1646)&lt;&gt;HomeState),ROUND(L1646*M1646,2),0)),"")</f>
        <v/>
      </c>
      <c r="Q1646" s="61" t="str">
        <f aca="false">IF(IsPro,IF($D1646="","",L1646+N1646+O1646+P1646),"")</f>
        <v/>
      </c>
      <c r="R1646" s="61" t="str">
        <f aca="false">IF(IsPro,IF($D1646="","",ROUND(N($E1646)*IFERROR(INDEX(Items!$P$5:$P$504,U1646),0),2)),"")</f>
        <v/>
      </c>
      <c r="S1646" s="61" t="str">
        <f aca="false">IF(IsPro,IF($D1646="","",L1646-R1646),"")</f>
        <v/>
      </c>
      <c r="T1646" s="60" t="str">
        <f aca="false">IF(IsPro,IF($D1646="","",IF(U1646="","UNKNOWN ITEM",IF(INDEX(Items!$O$5:$O$504,U1646)&lt;0,"NEG STOCK",IF(K1646&lt;INDEX(Items!$P$5:$P$504,U1646),"BELOW COST","OK")))),IF($D1646="","","PRO PLAN"))</f>
        <v/>
      </c>
      <c r="U1646" s="60" t="str">
        <f aca="false">IF(IsPro,IF($D1646="","",IFERROR(MATCH($D1646,Items!$A$5:$A$504,0),"")),"")</f>
        <v/>
      </c>
      <c r="V1646" s="60" t="str">
        <f aca="false">IF(IsPro,IF($C1646="","",IFERROR(MATCH($C1646,Parties!$A$5:$A$304,0),"")),"")</f>
        <v/>
      </c>
      <c r="W1646" s="60" t="str">
        <f aca="false">IF(IsPro,IF($B1646="","",IFERROR(VALUE(SUBSTITUTE($B1646,InvPrefix,"")),0)),"")</f>
        <v/>
      </c>
      <c r="X1646" s="61" t="str">
        <f aca="false">IF(IsPro,IF($D1646="","",IF(OR($H1646="",$H1646="Credit"),0,Q1646)),"")</f>
        <v/>
      </c>
    </row>
    <row r="1647" customFormat="false" ht="15" hidden="false" customHeight="false" outlineLevel="0" collapsed="false">
      <c r="A1647" s="55"/>
      <c r="B1647" s="56"/>
      <c r="C1647" s="56"/>
      <c r="D1647" s="56"/>
      <c r="E1647" s="57"/>
      <c r="F1647" s="58"/>
      <c r="G1647" s="59"/>
      <c r="H1647" s="56"/>
      <c r="I1647" s="56"/>
      <c r="J1647" s="60" t="str">
        <f aca="false">IF(IsPro,IF($D1647="","",IFERROR(INDEX(Items!$D$5:$D$504,U1647),"")),"")</f>
        <v/>
      </c>
      <c r="K1647" s="61" t="str">
        <f aca="false">IF(IsPro,IF($D1647="","",IF($F1647="",IFERROR(INDEX(Items!$H$5:$H$504,U1647),0),$F1647)),"")</f>
        <v/>
      </c>
      <c r="L1647" s="61" t="str">
        <f aca="false">IF(IsPro,IF($D1647="","",ROUND(N($E1647)*K1647*(1-N($G1647)),2)),"")</f>
        <v/>
      </c>
      <c r="M1647" s="62" t="str">
        <f aca="false">IF(IsPro,IF($D1647="","",IFERROR(INDEX(Items!$F$5:$F$504,U1647),0)),"")</f>
        <v/>
      </c>
      <c r="N1647" s="61" t="str">
        <f aca="false">IF(IsPro,IF($D1647="","",IF(AND(V1647&lt;&gt;"",INDEX(Parties!$E$5:$E$304,V1647)&lt;&gt;"",INDEX(Parties!$E$5:$E$304,V1647)&lt;&gt;HomeState),0,ROUND(L1647*M1647/2,2))),"")</f>
        <v/>
      </c>
      <c r="O1647" s="61" t="str">
        <f aca="false">IF(IsPro,IF($D1647="","",N1647),"")</f>
        <v/>
      </c>
      <c r="P1647" s="61" t="str">
        <f aca="false">IF(IsPro,IF($D1647="","",IF(AND(V1647&lt;&gt;"",INDEX(Parties!$E$5:$E$304,V1647)&lt;&gt;"",INDEX(Parties!$E$5:$E$304,V1647)&lt;&gt;HomeState),ROUND(L1647*M1647,2),0)),"")</f>
        <v/>
      </c>
      <c r="Q1647" s="61" t="str">
        <f aca="false">IF(IsPro,IF($D1647="","",L1647+N1647+O1647+P1647),"")</f>
        <v/>
      </c>
      <c r="R1647" s="61" t="str">
        <f aca="false">IF(IsPro,IF($D1647="","",ROUND(N($E1647)*IFERROR(INDEX(Items!$P$5:$P$504,U1647),0),2)),"")</f>
        <v/>
      </c>
      <c r="S1647" s="61" t="str">
        <f aca="false">IF(IsPro,IF($D1647="","",L1647-R1647),"")</f>
        <v/>
      </c>
      <c r="T1647" s="60" t="str">
        <f aca="false">IF(IsPro,IF($D1647="","",IF(U1647="","UNKNOWN ITEM",IF(INDEX(Items!$O$5:$O$504,U1647)&lt;0,"NEG STOCK",IF(K1647&lt;INDEX(Items!$P$5:$P$504,U1647),"BELOW COST","OK")))),IF($D1647="","","PRO PLAN"))</f>
        <v/>
      </c>
      <c r="U1647" s="60" t="str">
        <f aca="false">IF(IsPro,IF($D1647="","",IFERROR(MATCH($D1647,Items!$A$5:$A$504,0),"")),"")</f>
        <v/>
      </c>
      <c r="V1647" s="60" t="str">
        <f aca="false">IF(IsPro,IF($C1647="","",IFERROR(MATCH($C1647,Parties!$A$5:$A$304,0),"")),"")</f>
        <v/>
      </c>
      <c r="W1647" s="60" t="str">
        <f aca="false">IF(IsPro,IF($B1647="","",IFERROR(VALUE(SUBSTITUTE($B1647,InvPrefix,"")),0)),"")</f>
        <v/>
      </c>
      <c r="X1647" s="61" t="str">
        <f aca="false">IF(IsPro,IF($D1647="","",IF(OR($H1647="",$H1647="Credit"),0,Q1647)),"")</f>
        <v/>
      </c>
    </row>
    <row r="1648" customFormat="false" ht="15" hidden="false" customHeight="false" outlineLevel="0" collapsed="false">
      <c r="A1648" s="55"/>
      <c r="B1648" s="56"/>
      <c r="C1648" s="56"/>
      <c r="D1648" s="56"/>
      <c r="E1648" s="57"/>
      <c r="F1648" s="58"/>
      <c r="G1648" s="59"/>
      <c r="H1648" s="56"/>
      <c r="I1648" s="56"/>
      <c r="J1648" s="60" t="str">
        <f aca="false">IF(IsPro,IF($D1648="","",IFERROR(INDEX(Items!$D$5:$D$504,U1648),"")),"")</f>
        <v/>
      </c>
      <c r="K1648" s="61" t="str">
        <f aca="false">IF(IsPro,IF($D1648="","",IF($F1648="",IFERROR(INDEX(Items!$H$5:$H$504,U1648),0),$F1648)),"")</f>
        <v/>
      </c>
      <c r="L1648" s="61" t="str">
        <f aca="false">IF(IsPro,IF($D1648="","",ROUND(N($E1648)*K1648*(1-N($G1648)),2)),"")</f>
        <v/>
      </c>
      <c r="M1648" s="62" t="str">
        <f aca="false">IF(IsPro,IF($D1648="","",IFERROR(INDEX(Items!$F$5:$F$504,U1648),0)),"")</f>
        <v/>
      </c>
      <c r="N1648" s="61" t="str">
        <f aca="false">IF(IsPro,IF($D1648="","",IF(AND(V1648&lt;&gt;"",INDEX(Parties!$E$5:$E$304,V1648)&lt;&gt;"",INDEX(Parties!$E$5:$E$304,V1648)&lt;&gt;HomeState),0,ROUND(L1648*M1648/2,2))),"")</f>
        <v/>
      </c>
      <c r="O1648" s="61" t="str">
        <f aca="false">IF(IsPro,IF($D1648="","",N1648),"")</f>
        <v/>
      </c>
      <c r="P1648" s="61" t="str">
        <f aca="false">IF(IsPro,IF($D1648="","",IF(AND(V1648&lt;&gt;"",INDEX(Parties!$E$5:$E$304,V1648)&lt;&gt;"",INDEX(Parties!$E$5:$E$304,V1648)&lt;&gt;HomeState),ROUND(L1648*M1648,2),0)),"")</f>
        <v/>
      </c>
      <c r="Q1648" s="61" t="str">
        <f aca="false">IF(IsPro,IF($D1648="","",L1648+N1648+O1648+P1648),"")</f>
        <v/>
      </c>
      <c r="R1648" s="61" t="str">
        <f aca="false">IF(IsPro,IF($D1648="","",ROUND(N($E1648)*IFERROR(INDEX(Items!$P$5:$P$504,U1648),0),2)),"")</f>
        <v/>
      </c>
      <c r="S1648" s="61" t="str">
        <f aca="false">IF(IsPro,IF($D1648="","",L1648-R1648),"")</f>
        <v/>
      </c>
      <c r="T1648" s="60" t="str">
        <f aca="false">IF(IsPro,IF($D1648="","",IF(U1648="","UNKNOWN ITEM",IF(INDEX(Items!$O$5:$O$504,U1648)&lt;0,"NEG STOCK",IF(K1648&lt;INDEX(Items!$P$5:$P$504,U1648),"BELOW COST","OK")))),IF($D1648="","","PRO PLAN"))</f>
        <v/>
      </c>
      <c r="U1648" s="60" t="str">
        <f aca="false">IF(IsPro,IF($D1648="","",IFERROR(MATCH($D1648,Items!$A$5:$A$504,0),"")),"")</f>
        <v/>
      </c>
      <c r="V1648" s="60" t="str">
        <f aca="false">IF(IsPro,IF($C1648="","",IFERROR(MATCH($C1648,Parties!$A$5:$A$304,0),"")),"")</f>
        <v/>
      </c>
      <c r="W1648" s="60" t="str">
        <f aca="false">IF(IsPro,IF($B1648="","",IFERROR(VALUE(SUBSTITUTE($B1648,InvPrefix,"")),0)),"")</f>
        <v/>
      </c>
      <c r="X1648" s="61" t="str">
        <f aca="false">IF(IsPro,IF($D1648="","",IF(OR($H1648="",$H1648="Credit"),0,Q1648)),"")</f>
        <v/>
      </c>
    </row>
    <row r="1649" customFormat="false" ht="15" hidden="false" customHeight="false" outlineLevel="0" collapsed="false">
      <c r="A1649" s="55"/>
      <c r="B1649" s="56"/>
      <c r="C1649" s="56"/>
      <c r="D1649" s="56"/>
      <c r="E1649" s="57"/>
      <c r="F1649" s="58"/>
      <c r="G1649" s="59"/>
      <c r="H1649" s="56"/>
      <c r="I1649" s="56"/>
      <c r="J1649" s="60" t="str">
        <f aca="false">IF(IsPro,IF($D1649="","",IFERROR(INDEX(Items!$D$5:$D$504,U1649),"")),"")</f>
        <v/>
      </c>
      <c r="K1649" s="61" t="str">
        <f aca="false">IF(IsPro,IF($D1649="","",IF($F1649="",IFERROR(INDEX(Items!$H$5:$H$504,U1649),0),$F1649)),"")</f>
        <v/>
      </c>
      <c r="L1649" s="61" t="str">
        <f aca="false">IF(IsPro,IF($D1649="","",ROUND(N($E1649)*K1649*(1-N($G1649)),2)),"")</f>
        <v/>
      </c>
      <c r="M1649" s="62" t="str">
        <f aca="false">IF(IsPro,IF($D1649="","",IFERROR(INDEX(Items!$F$5:$F$504,U1649),0)),"")</f>
        <v/>
      </c>
      <c r="N1649" s="61" t="str">
        <f aca="false">IF(IsPro,IF($D1649="","",IF(AND(V1649&lt;&gt;"",INDEX(Parties!$E$5:$E$304,V1649)&lt;&gt;"",INDEX(Parties!$E$5:$E$304,V1649)&lt;&gt;HomeState),0,ROUND(L1649*M1649/2,2))),"")</f>
        <v/>
      </c>
      <c r="O1649" s="61" t="str">
        <f aca="false">IF(IsPro,IF($D1649="","",N1649),"")</f>
        <v/>
      </c>
      <c r="P1649" s="61" t="str">
        <f aca="false">IF(IsPro,IF($D1649="","",IF(AND(V1649&lt;&gt;"",INDEX(Parties!$E$5:$E$304,V1649)&lt;&gt;"",INDEX(Parties!$E$5:$E$304,V1649)&lt;&gt;HomeState),ROUND(L1649*M1649,2),0)),"")</f>
        <v/>
      </c>
      <c r="Q1649" s="61" t="str">
        <f aca="false">IF(IsPro,IF($D1649="","",L1649+N1649+O1649+P1649),"")</f>
        <v/>
      </c>
      <c r="R1649" s="61" t="str">
        <f aca="false">IF(IsPro,IF($D1649="","",ROUND(N($E1649)*IFERROR(INDEX(Items!$P$5:$P$504,U1649),0),2)),"")</f>
        <v/>
      </c>
      <c r="S1649" s="61" t="str">
        <f aca="false">IF(IsPro,IF($D1649="","",L1649-R1649),"")</f>
        <v/>
      </c>
      <c r="T1649" s="60" t="str">
        <f aca="false">IF(IsPro,IF($D1649="","",IF(U1649="","UNKNOWN ITEM",IF(INDEX(Items!$O$5:$O$504,U1649)&lt;0,"NEG STOCK",IF(K1649&lt;INDEX(Items!$P$5:$P$504,U1649),"BELOW COST","OK")))),IF($D1649="","","PRO PLAN"))</f>
        <v/>
      </c>
      <c r="U1649" s="60" t="str">
        <f aca="false">IF(IsPro,IF($D1649="","",IFERROR(MATCH($D1649,Items!$A$5:$A$504,0),"")),"")</f>
        <v/>
      </c>
      <c r="V1649" s="60" t="str">
        <f aca="false">IF(IsPro,IF($C1649="","",IFERROR(MATCH($C1649,Parties!$A$5:$A$304,0),"")),"")</f>
        <v/>
      </c>
      <c r="W1649" s="60" t="str">
        <f aca="false">IF(IsPro,IF($B1649="","",IFERROR(VALUE(SUBSTITUTE($B1649,InvPrefix,"")),0)),"")</f>
        <v/>
      </c>
      <c r="X1649" s="61" t="str">
        <f aca="false">IF(IsPro,IF($D1649="","",IF(OR($H1649="",$H1649="Credit"),0,Q1649)),"")</f>
        <v/>
      </c>
    </row>
    <row r="1650" customFormat="false" ht="15" hidden="false" customHeight="false" outlineLevel="0" collapsed="false">
      <c r="A1650" s="55"/>
      <c r="B1650" s="56"/>
      <c r="C1650" s="56"/>
      <c r="D1650" s="56"/>
      <c r="E1650" s="57"/>
      <c r="F1650" s="58"/>
      <c r="G1650" s="59"/>
      <c r="H1650" s="56"/>
      <c r="I1650" s="56"/>
      <c r="J1650" s="60" t="str">
        <f aca="false">IF(IsPro,IF($D1650="","",IFERROR(INDEX(Items!$D$5:$D$504,U1650),"")),"")</f>
        <v/>
      </c>
      <c r="K1650" s="61" t="str">
        <f aca="false">IF(IsPro,IF($D1650="","",IF($F1650="",IFERROR(INDEX(Items!$H$5:$H$504,U1650),0),$F1650)),"")</f>
        <v/>
      </c>
      <c r="L1650" s="61" t="str">
        <f aca="false">IF(IsPro,IF($D1650="","",ROUND(N($E1650)*K1650*(1-N($G1650)),2)),"")</f>
        <v/>
      </c>
      <c r="M1650" s="62" t="str">
        <f aca="false">IF(IsPro,IF($D1650="","",IFERROR(INDEX(Items!$F$5:$F$504,U1650),0)),"")</f>
        <v/>
      </c>
      <c r="N1650" s="61" t="str">
        <f aca="false">IF(IsPro,IF($D1650="","",IF(AND(V1650&lt;&gt;"",INDEX(Parties!$E$5:$E$304,V1650)&lt;&gt;"",INDEX(Parties!$E$5:$E$304,V1650)&lt;&gt;HomeState),0,ROUND(L1650*M1650/2,2))),"")</f>
        <v/>
      </c>
      <c r="O1650" s="61" t="str">
        <f aca="false">IF(IsPro,IF($D1650="","",N1650),"")</f>
        <v/>
      </c>
      <c r="P1650" s="61" t="str">
        <f aca="false">IF(IsPro,IF($D1650="","",IF(AND(V1650&lt;&gt;"",INDEX(Parties!$E$5:$E$304,V1650)&lt;&gt;"",INDEX(Parties!$E$5:$E$304,V1650)&lt;&gt;HomeState),ROUND(L1650*M1650,2),0)),"")</f>
        <v/>
      </c>
      <c r="Q1650" s="61" t="str">
        <f aca="false">IF(IsPro,IF($D1650="","",L1650+N1650+O1650+P1650),"")</f>
        <v/>
      </c>
      <c r="R1650" s="61" t="str">
        <f aca="false">IF(IsPro,IF($D1650="","",ROUND(N($E1650)*IFERROR(INDEX(Items!$P$5:$P$504,U1650),0),2)),"")</f>
        <v/>
      </c>
      <c r="S1650" s="61" t="str">
        <f aca="false">IF(IsPro,IF($D1650="","",L1650-R1650),"")</f>
        <v/>
      </c>
      <c r="T1650" s="60" t="str">
        <f aca="false">IF(IsPro,IF($D1650="","",IF(U1650="","UNKNOWN ITEM",IF(INDEX(Items!$O$5:$O$504,U1650)&lt;0,"NEG STOCK",IF(K1650&lt;INDEX(Items!$P$5:$P$504,U1650),"BELOW COST","OK")))),IF($D1650="","","PRO PLAN"))</f>
        <v/>
      </c>
      <c r="U1650" s="60" t="str">
        <f aca="false">IF(IsPro,IF($D1650="","",IFERROR(MATCH($D1650,Items!$A$5:$A$504,0),"")),"")</f>
        <v/>
      </c>
      <c r="V1650" s="60" t="str">
        <f aca="false">IF(IsPro,IF($C1650="","",IFERROR(MATCH($C1650,Parties!$A$5:$A$304,0),"")),"")</f>
        <v/>
      </c>
      <c r="W1650" s="60" t="str">
        <f aca="false">IF(IsPro,IF($B1650="","",IFERROR(VALUE(SUBSTITUTE($B1650,InvPrefix,"")),0)),"")</f>
        <v/>
      </c>
      <c r="X1650" s="61" t="str">
        <f aca="false">IF(IsPro,IF($D1650="","",IF(OR($H1650="",$H1650="Credit"),0,Q1650)),"")</f>
        <v/>
      </c>
    </row>
    <row r="1651" customFormat="false" ht="15" hidden="false" customHeight="false" outlineLevel="0" collapsed="false">
      <c r="A1651" s="55"/>
      <c r="B1651" s="56"/>
      <c r="C1651" s="56"/>
      <c r="D1651" s="56"/>
      <c r="E1651" s="57"/>
      <c r="F1651" s="58"/>
      <c r="G1651" s="59"/>
      <c r="H1651" s="56"/>
      <c r="I1651" s="56"/>
      <c r="J1651" s="60" t="str">
        <f aca="false">IF(IsPro,IF($D1651="","",IFERROR(INDEX(Items!$D$5:$D$504,U1651),"")),"")</f>
        <v/>
      </c>
      <c r="K1651" s="61" t="str">
        <f aca="false">IF(IsPro,IF($D1651="","",IF($F1651="",IFERROR(INDEX(Items!$H$5:$H$504,U1651),0),$F1651)),"")</f>
        <v/>
      </c>
      <c r="L1651" s="61" t="str">
        <f aca="false">IF(IsPro,IF($D1651="","",ROUND(N($E1651)*K1651*(1-N($G1651)),2)),"")</f>
        <v/>
      </c>
      <c r="M1651" s="62" t="str">
        <f aca="false">IF(IsPro,IF($D1651="","",IFERROR(INDEX(Items!$F$5:$F$504,U1651),0)),"")</f>
        <v/>
      </c>
      <c r="N1651" s="61" t="str">
        <f aca="false">IF(IsPro,IF($D1651="","",IF(AND(V1651&lt;&gt;"",INDEX(Parties!$E$5:$E$304,V1651)&lt;&gt;"",INDEX(Parties!$E$5:$E$304,V1651)&lt;&gt;HomeState),0,ROUND(L1651*M1651/2,2))),"")</f>
        <v/>
      </c>
      <c r="O1651" s="61" t="str">
        <f aca="false">IF(IsPro,IF($D1651="","",N1651),"")</f>
        <v/>
      </c>
      <c r="P1651" s="61" t="str">
        <f aca="false">IF(IsPro,IF($D1651="","",IF(AND(V1651&lt;&gt;"",INDEX(Parties!$E$5:$E$304,V1651)&lt;&gt;"",INDEX(Parties!$E$5:$E$304,V1651)&lt;&gt;HomeState),ROUND(L1651*M1651,2),0)),"")</f>
        <v/>
      </c>
      <c r="Q1651" s="61" t="str">
        <f aca="false">IF(IsPro,IF($D1651="","",L1651+N1651+O1651+P1651),"")</f>
        <v/>
      </c>
      <c r="R1651" s="61" t="str">
        <f aca="false">IF(IsPro,IF($D1651="","",ROUND(N($E1651)*IFERROR(INDEX(Items!$P$5:$P$504,U1651),0),2)),"")</f>
        <v/>
      </c>
      <c r="S1651" s="61" t="str">
        <f aca="false">IF(IsPro,IF($D1651="","",L1651-R1651),"")</f>
        <v/>
      </c>
      <c r="T1651" s="60" t="str">
        <f aca="false">IF(IsPro,IF($D1651="","",IF(U1651="","UNKNOWN ITEM",IF(INDEX(Items!$O$5:$O$504,U1651)&lt;0,"NEG STOCK",IF(K1651&lt;INDEX(Items!$P$5:$P$504,U1651),"BELOW COST","OK")))),IF($D1651="","","PRO PLAN"))</f>
        <v/>
      </c>
      <c r="U1651" s="60" t="str">
        <f aca="false">IF(IsPro,IF($D1651="","",IFERROR(MATCH($D1651,Items!$A$5:$A$504,0),"")),"")</f>
        <v/>
      </c>
      <c r="V1651" s="60" t="str">
        <f aca="false">IF(IsPro,IF($C1651="","",IFERROR(MATCH($C1651,Parties!$A$5:$A$304,0),"")),"")</f>
        <v/>
      </c>
      <c r="W1651" s="60" t="str">
        <f aca="false">IF(IsPro,IF($B1651="","",IFERROR(VALUE(SUBSTITUTE($B1651,InvPrefix,"")),0)),"")</f>
        <v/>
      </c>
      <c r="X1651" s="61" t="str">
        <f aca="false">IF(IsPro,IF($D1651="","",IF(OR($H1651="",$H1651="Credit"),0,Q1651)),"")</f>
        <v/>
      </c>
    </row>
    <row r="1652" customFormat="false" ht="15" hidden="false" customHeight="false" outlineLevel="0" collapsed="false">
      <c r="A1652" s="55"/>
      <c r="B1652" s="56"/>
      <c r="C1652" s="56"/>
      <c r="D1652" s="56"/>
      <c r="E1652" s="57"/>
      <c r="F1652" s="58"/>
      <c r="G1652" s="59"/>
      <c r="H1652" s="56"/>
      <c r="I1652" s="56"/>
      <c r="J1652" s="60" t="str">
        <f aca="false">IF(IsPro,IF($D1652="","",IFERROR(INDEX(Items!$D$5:$D$504,U1652),"")),"")</f>
        <v/>
      </c>
      <c r="K1652" s="61" t="str">
        <f aca="false">IF(IsPro,IF($D1652="","",IF($F1652="",IFERROR(INDEX(Items!$H$5:$H$504,U1652),0),$F1652)),"")</f>
        <v/>
      </c>
      <c r="L1652" s="61" t="str">
        <f aca="false">IF(IsPro,IF($D1652="","",ROUND(N($E1652)*K1652*(1-N($G1652)),2)),"")</f>
        <v/>
      </c>
      <c r="M1652" s="62" t="str">
        <f aca="false">IF(IsPro,IF($D1652="","",IFERROR(INDEX(Items!$F$5:$F$504,U1652),0)),"")</f>
        <v/>
      </c>
      <c r="N1652" s="61" t="str">
        <f aca="false">IF(IsPro,IF($D1652="","",IF(AND(V1652&lt;&gt;"",INDEX(Parties!$E$5:$E$304,V1652)&lt;&gt;"",INDEX(Parties!$E$5:$E$304,V1652)&lt;&gt;HomeState),0,ROUND(L1652*M1652/2,2))),"")</f>
        <v/>
      </c>
      <c r="O1652" s="61" t="str">
        <f aca="false">IF(IsPro,IF($D1652="","",N1652),"")</f>
        <v/>
      </c>
      <c r="P1652" s="61" t="str">
        <f aca="false">IF(IsPro,IF($D1652="","",IF(AND(V1652&lt;&gt;"",INDEX(Parties!$E$5:$E$304,V1652)&lt;&gt;"",INDEX(Parties!$E$5:$E$304,V1652)&lt;&gt;HomeState),ROUND(L1652*M1652,2),0)),"")</f>
        <v/>
      </c>
      <c r="Q1652" s="61" t="str">
        <f aca="false">IF(IsPro,IF($D1652="","",L1652+N1652+O1652+P1652),"")</f>
        <v/>
      </c>
      <c r="R1652" s="61" t="str">
        <f aca="false">IF(IsPro,IF($D1652="","",ROUND(N($E1652)*IFERROR(INDEX(Items!$P$5:$P$504,U1652),0),2)),"")</f>
        <v/>
      </c>
      <c r="S1652" s="61" t="str">
        <f aca="false">IF(IsPro,IF($D1652="","",L1652-R1652),"")</f>
        <v/>
      </c>
      <c r="T1652" s="60" t="str">
        <f aca="false">IF(IsPro,IF($D1652="","",IF(U1652="","UNKNOWN ITEM",IF(INDEX(Items!$O$5:$O$504,U1652)&lt;0,"NEG STOCK",IF(K1652&lt;INDEX(Items!$P$5:$P$504,U1652),"BELOW COST","OK")))),IF($D1652="","","PRO PLAN"))</f>
        <v/>
      </c>
      <c r="U1652" s="60" t="str">
        <f aca="false">IF(IsPro,IF($D1652="","",IFERROR(MATCH($D1652,Items!$A$5:$A$504,0),"")),"")</f>
        <v/>
      </c>
      <c r="V1652" s="60" t="str">
        <f aca="false">IF(IsPro,IF($C1652="","",IFERROR(MATCH($C1652,Parties!$A$5:$A$304,0),"")),"")</f>
        <v/>
      </c>
      <c r="W1652" s="60" t="str">
        <f aca="false">IF(IsPro,IF($B1652="","",IFERROR(VALUE(SUBSTITUTE($B1652,InvPrefix,"")),0)),"")</f>
        <v/>
      </c>
      <c r="X1652" s="61" t="str">
        <f aca="false">IF(IsPro,IF($D1652="","",IF(OR($H1652="",$H1652="Credit"),0,Q1652)),"")</f>
        <v/>
      </c>
    </row>
    <row r="1653" customFormat="false" ht="15" hidden="false" customHeight="false" outlineLevel="0" collapsed="false">
      <c r="A1653" s="55"/>
      <c r="B1653" s="56"/>
      <c r="C1653" s="56"/>
      <c r="D1653" s="56"/>
      <c r="E1653" s="57"/>
      <c r="F1653" s="58"/>
      <c r="G1653" s="59"/>
      <c r="H1653" s="56"/>
      <c r="I1653" s="56"/>
      <c r="J1653" s="60" t="str">
        <f aca="false">IF(IsPro,IF($D1653="","",IFERROR(INDEX(Items!$D$5:$D$504,U1653),"")),"")</f>
        <v/>
      </c>
      <c r="K1653" s="61" t="str">
        <f aca="false">IF(IsPro,IF($D1653="","",IF($F1653="",IFERROR(INDEX(Items!$H$5:$H$504,U1653),0),$F1653)),"")</f>
        <v/>
      </c>
      <c r="L1653" s="61" t="str">
        <f aca="false">IF(IsPro,IF($D1653="","",ROUND(N($E1653)*K1653*(1-N($G1653)),2)),"")</f>
        <v/>
      </c>
      <c r="M1653" s="62" t="str">
        <f aca="false">IF(IsPro,IF($D1653="","",IFERROR(INDEX(Items!$F$5:$F$504,U1653),0)),"")</f>
        <v/>
      </c>
      <c r="N1653" s="61" t="str">
        <f aca="false">IF(IsPro,IF($D1653="","",IF(AND(V1653&lt;&gt;"",INDEX(Parties!$E$5:$E$304,V1653)&lt;&gt;"",INDEX(Parties!$E$5:$E$304,V1653)&lt;&gt;HomeState),0,ROUND(L1653*M1653/2,2))),"")</f>
        <v/>
      </c>
      <c r="O1653" s="61" t="str">
        <f aca="false">IF(IsPro,IF($D1653="","",N1653),"")</f>
        <v/>
      </c>
      <c r="P1653" s="61" t="str">
        <f aca="false">IF(IsPro,IF($D1653="","",IF(AND(V1653&lt;&gt;"",INDEX(Parties!$E$5:$E$304,V1653)&lt;&gt;"",INDEX(Parties!$E$5:$E$304,V1653)&lt;&gt;HomeState),ROUND(L1653*M1653,2),0)),"")</f>
        <v/>
      </c>
      <c r="Q1653" s="61" t="str">
        <f aca="false">IF(IsPro,IF($D1653="","",L1653+N1653+O1653+P1653),"")</f>
        <v/>
      </c>
      <c r="R1653" s="61" t="str">
        <f aca="false">IF(IsPro,IF($D1653="","",ROUND(N($E1653)*IFERROR(INDEX(Items!$P$5:$P$504,U1653),0),2)),"")</f>
        <v/>
      </c>
      <c r="S1653" s="61" t="str">
        <f aca="false">IF(IsPro,IF($D1653="","",L1653-R1653),"")</f>
        <v/>
      </c>
      <c r="T1653" s="60" t="str">
        <f aca="false">IF(IsPro,IF($D1653="","",IF(U1653="","UNKNOWN ITEM",IF(INDEX(Items!$O$5:$O$504,U1653)&lt;0,"NEG STOCK",IF(K1653&lt;INDEX(Items!$P$5:$P$504,U1653),"BELOW COST","OK")))),IF($D1653="","","PRO PLAN"))</f>
        <v/>
      </c>
      <c r="U1653" s="60" t="str">
        <f aca="false">IF(IsPro,IF($D1653="","",IFERROR(MATCH($D1653,Items!$A$5:$A$504,0),"")),"")</f>
        <v/>
      </c>
      <c r="V1653" s="60" t="str">
        <f aca="false">IF(IsPro,IF($C1653="","",IFERROR(MATCH($C1653,Parties!$A$5:$A$304,0),"")),"")</f>
        <v/>
      </c>
      <c r="W1653" s="60" t="str">
        <f aca="false">IF(IsPro,IF($B1653="","",IFERROR(VALUE(SUBSTITUTE($B1653,InvPrefix,"")),0)),"")</f>
        <v/>
      </c>
      <c r="X1653" s="61" t="str">
        <f aca="false">IF(IsPro,IF($D1653="","",IF(OR($H1653="",$H1653="Credit"),0,Q1653)),"")</f>
        <v/>
      </c>
    </row>
    <row r="1654" customFormat="false" ht="15" hidden="false" customHeight="false" outlineLevel="0" collapsed="false">
      <c r="A1654" s="55"/>
      <c r="B1654" s="56"/>
      <c r="C1654" s="56"/>
      <c r="D1654" s="56"/>
      <c r="E1654" s="57"/>
      <c r="F1654" s="58"/>
      <c r="G1654" s="59"/>
      <c r="H1654" s="56"/>
      <c r="I1654" s="56"/>
      <c r="J1654" s="60" t="str">
        <f aca="false">IF(IsPro,IF($D1654="","",IFERROR(INDEX(Items!$D$5:$D$504,U1654),"")),"")</f>
        <v/>
      </c>
      <c r="K1654" s="61" t="str">
        <f aca="false">IF(IsPro,IF($D1654="","",IF($F1654="",IFERROR(INDEX(Items!$H$5:$H$504,U1654),0),$F1654)),"")</f>
        <v/>
      </c>
      <c r="L1654" s="61" t="str">
        <f aca="false">IF(IsPro,IF($D1654="","",ROUND(N($E1654)*K1654*(1-N($G1654)),2)),"")</f>
        <v/>
      </c>
      <c r="M1654" s="62" t="str">
        <f aca="false">IF(IsPro,IF($D1654="","",IFERROR(INDEX(Items!$F$5:$F$504,U1654),0)),"")</f>
        <v/>
      </c>
      <c r="N1654" s="61" t="str">
        <f aca="false">IF(IsPro,IF($D1654="","",IF(AND(V1654&lt;&gt;"",INDEX(Parties!$E$5:$E$304,V1654)&lt;&gt;"",INDEX(Parties!$E$5:$E$304,V1654)&lt;&gt;HomeState),0,ROUND(L1654*M1654/2,2))),"")</f>
        <v/>
      </c>
      <c r="O1654" s="61" t="str">
        <f aca="false">IF(IsPro,IF($D1654="","",N1654),"")</f>
        <v/>
      </c>
      <c r="P1654" s="61" t="str">
        <f aca="false">IF(IsPro,IF($D1654="","",IF(AND(V1654&lt;&gt;"",INDEX(Parties!$E$5:$E$304,V1654)&lt;&gt;"",INDEX(Parties!$E$5:$E$304,V1654)&lt;&gt;HomeState),ROUND(L1654*M1654,2),0)),"")</f>
        <v/>
      </c>
      <c r="Q1654" s="61" t="str">
        <f aca="false">IF(IsPro,IF($D1654="","",L1654+N1654+O1654+P1654),"")</f>
        <v/>
      </c>
      <c r="R1654" s="61" t="str">
        <f aca="false">IF(IsPro,IF($D1654="","",ROUND(N($E1654)*IFERROR(INDEX(Items!$P$5:$P$504,U1654),0),2)),"")</f>
        <v/>
      </c>
      <c r="S1654" s="61" t="str">
        <f aca="false">IF(IsPro,IF($D1654="","",L1654-R1654),"")</f>
        <v/>
      </c>
      <c r="T1654" s="60" t="str">
        <f aca="false">IF(IsPro,IF($D1654="","",IF(U1654="","UNKNOWN ITEM",IF(INDEX(Items!$O$5:$O$504,U1654)&lt;0,"NEG STOCK",IF(K1654&lt;INDEX(Items!$P$5:$P$504,U1654),"BELOW COST","OK")))),IF($D1654="","","PRO PLAN"))</f>
        <v/>
      </c>
      <c r="U1654" s="60" t="str">
        <f aca="false">IF(IsPro,IF($D1654="","",IFERROR(MATCH($D1654,Items!$A$5:$A$504,0),"")),"")</f>
        <v/>
      </c>
      <c r="V1654" s="60" t="str">
        <f aca="false">IF(IsPro,IF($C1654="","",IFERROR(MATCH($C1654,Parties!$A$5:$A$304,0),"")),"")</f>
        <v/>
      </c>
      <c r="W1654" s="60" t="str">
        <f aca="false">IF(IsPro,IF($B1654="","",IFERROR(VALUE(SUBSTITUTE($B1654,InvPrefix,"")),0)),"")</f>
        <v/>
      </c>
      <c r="X1654" s="61" t="str">
        <f aca="false">IF(IsPro,IF($D1654="","",IF(OR($H1654="",$H1654="Credit"),0,Q1654)),"")</f>
        <v/>
      </c>
    </row>
    <row r="1655" customFormat="false" ht="15" hidden="false" customHeight="false" outlineLevel="0" collapsed="false">
      <c r="A1655" s="55"/>
      <c r="B1655" s="56"/>
      <c r="C1655" s="56"/>
      <c r="D1655" s="56"/>
      <c r="E1655" s="57"/>
      <c r="F1655" s="58"/>
      <c r="G1655" s="59"/>
      <c r="H1655" s="56"/>
      <c r="I1655" s="56"/>
      <c r="J1655" s="60" t="str">
        <f aca="false">IF(IsPro,IF($D1655="","",IFERROR(INDEX(Items!$D$5:$D$504,U1655),"")),"")</f>
        <v/>
      </c>
      <c r="K1655" s="61" t="str">
        <f aca="false">IF(IsPro,IF($D1655="","",IF($F1655="",IFERROR(INDEX(Items!$H$5:$H$504,U1655),0),$F1655)),"")</f>
        <v/>
      </c>
      <c r="L1655" s="61" t="str">
        <f aca="false">IF(IsPro,IF($D1655="","",ROUND(N($E1655)*K1655*(1-N($G1655)),2)),"")</f>
        <v/>
      </c>
      <c r="M1655" s="62" t="str">
        <f aca="false">IF(IsPro,IF($D1655="","",IFERROR(INDEX(Items!$F$5:$F$504,U1655),0)),"")</f>
        <v/>
      </c>
      <c r="N1655" s="61" t="str">
        <f aca="false">IF(IsPro,IF($D1655="","",IF(AND(V1655&lt;&gt;"",INDEX(Parties!$E$5:$E$304,V1655)&lt;&gt;"",INDEX(Parties!$E$5:$E$304,V1655)&lt;&gt;HomeState),0,ROUND(L1655*M1655/2,2))),"")</f>
        <v/>
      </c>
      <c r="O1655" s="61" t="str">
        <f aca="false">IF(IsPro,IF($D1655="","",N1655),"")</f>
        <v/>
      </c>
      <c r="P1655" s="61" t="str">
        <f aca="false">IF(IsPro,IF($D1655="","",IF(AND(V1655&lt;&gt;"",INDEX(Parties!$E$5:$E$304,V1655)&lt;&gt;"",INDEX(Parties!$E$5:$E$304,V1655)&lt;&gt;HomeState),ROUND(L1655*M1655,2),0)),"")</f>
        <v/>
      </c>
      <c r="Q1655" s="61" t="str">
        <f aca="false">IF(IsPro,IF($D1655="","",L1655+N1655+O1655+P1655),"")</f>
        <v/>
      </c>
      <c r="R1655" s="61" t="str">
        <f aca="false">IF(IsPro,IF($D1655="","",ROUND(N($E1655)*IFERROR(INDEX(Items!$P$5:$P$504,U1655),0),2)),"")</f>
        <v/>
      </c>
      <c r="S1655" s="61" t="str">
        <f aca="false">IF(IsPro,IF($D1655="","",L1655-R1655),"")</f>
        <v/>
      </c>
      <c r="T1655" s="60" t="str">
        <f aca="false">IF(IsPro,IF($D1655="","",IF(U1655="","UNKNOWN ITEM",IF(INDEX(Items!$O$5:$O$504,U1655)&lt;0,"NEG STOCK",IF(K1655&lt;INDEX(Items!$P$5:$P$504,U1655),"BELOW COST","OK")))),IF($D1655="","","PRO PLAN"))</f>
        <v/>
      </c>
      <c r="U1655" s="60" t="str">
        <f aca="false">IF(IsPro,IF($D1655="","",IFERROR(MATCH($D1655,Items!$A$5:$A$504,0),"")),"")</f>
        <v/>
      </c>
      <c r="V1655" s="60" t="str">
        <f aca="false">IF(IsPro,IF($C1655="","",IFERROR(MATCH($C1655,Parties!$A$5:$A$304,0),"")),"")</f>
        <v/>
      </c>
      <c r="W1655" s="60" t="str">
        <f aca="false">IF(IsPro,IF($B1655="","",IFERROR(VALUE(SUBSTITUTE($B1655,InvPrefix,"")),0)),"")</f>
        <v/>
      </c>
      <c r="X1655" s="61" t="str">
        <f aca="false">IF(IsPro,IF($D1655="","",IF(OR($H1655="",$H1655="Credit"),0,Q1655)),"")</f>
        <v/>
      </c>
    </row>
    <row r="1656" customFormat="false" ht="15" hidden="false" customHeight="false" outlineLevel="0" collapsed="false">
      <c r="A1656" s="55"/>
      <c r="B1656" s="56"/>
      <c r="C1656" s="56"/>
      <c r="D1656" s="56"/>
      <c r="E1656" s="57"/>
      <c r="F1656" s="58"/>
      <c r="G1656" s="59"/>
      <c r="H1656" s="56"/>
      <c r="I1656" s="56"/>
      <c r="J1656" s="60" t="str">
        <f aca="false">IF(IsPro,IF($D1656="","",IFERROR(INDEX(Items!$D$5:$D$504,U1656),"")),"")</f>
        <v/>
      </c>
      <c r="K1656" s="61" t="str">
        <f aca="false">IF(IsPro,IF($D1656="","",IF($F1656="",IFERROR(INDEX(Items!$H$5:$H$504,U1656),0),$F1656)),"")</f>
        <v/>
      </c>
      <c r="L1656" s="61" t="str">
        <f aca="false">IF(IsPro,IF($D1656="","",ROUND(N($E1656)*K1656*(1-N($G1656)),2)),"")</f>
        <v/>
      </c>
      <c r="M1656" s="62" t="str">
        <f aca="false">IF(IsPro,IF($D1656="","",IFERROR(INDEX(Items!$F$5:$F$504,U1656),0)),"")</f>
        <v/>
      </c>
      <c r="N1656" s="61" t="str">
        <f aca="false">IF(IsPro,IF($D1656="","",IF(AND(V1656&lt;&gt;"",INDEX(Parties!$E$5:$E$304,V1656)&lt;&gt;"",INDEX(Parties!$E$5:$E$304,V1656)&lt;&gt;HomeState),0,ROUND(L1656*M1656/2,2))),"")</f>
        <v/>
      </c>
      <c r="O1656" s="61" t="str">
        <f aca="false">IF(IsPro,IF($D1656="","",N1656),"")</f>
        <v/>
      </c>
      <c r="P1656" s="61" t="str">
        <f aca="false">IF(IsPro,IF($D1656="","",IF(AND(V1656&lt;&gt;"",INDEX(Parties!$E$5:$E$304,V1656)&lt;&gt;"",INDEX(Parties!$E$5:$E$304,V1656)&lt;&gt;HomeState),ROUND(L1656*M1656,2),0)),"")</f>
        <v/>
      </c>
      <c r="Q1656" s="61" t="str">
        <f aca="false">IF(IsPro,IF($D1656="","",L1656+N1656+O1656+P1656),"")</f>
        <v/>
      </c>
      <c r="R1656" s="61" t="str">
        <f aca="false">IF(IsPro,IF($D1656="","",ROUND(N($E1656)*IFERROR(INDEX(Items!$P$5:$P$504,U1656),0),2)),"")</f>
        <v/>
      </c>
      <c r="S1656" s="61" t="str">
        <f aca="false">IF(IsPro,IF($D1656="","",L1656-R1656),"")</f>
        <v/>
      </c>
      <c r="T1656" s="60" t="str">
        <f aca="false">IF(IsPro,IF($D1656="","",IF(U1656="","UNKNOWN ITEM",IF(INDEX(Items!$O$5:$O$504,U1656)&lt;0,"NEG STOCK",IF(K1656&lt;INDEX(Items!$P$5:$P$504,U1656),"BELOW COST","OK")))),IF($D1656="","","PRO PLAN"))</f>
        <v/>
      </c>
      <c r="U1656" s="60" t="str">
        <f aca="false">IF(IsPro,IF($D1656="","",IFERROR(MATCH($D1656,Items!$A$5:$A$504,0),"")),"")</f>
        <v/>
      </c>
      <c r="V1656" s="60" t="str">
        <f aca="false">IF(IsPro,IF($C1656="","",IFERROR(MATCH($C1656,Parties!$A$5:$A$304,0),"")),"")</f>
        <v/>
      </c>
      <c r="W1656" s="60" t="str">
        <f aca="false">IF(IsPro,IF($B1656="","",IFERROR(VALUE(SUBSTITUTE($B1656,InvPrefix,"")),0)),"")</f>
        <v/>
      </c>
      <c r="X1656" s="61" t="str">
        <f aca="false">IF(IsPro,IF($D1656="","",IF(OR($H1656="",$H1656="Credit"),0,Q1656)),"")</f>
        <v/>
      </c>
    </row>
    <row r="1657" customFormat="false" ht="15" hidden="false" customHeight="false" outlineLevel="0" collapsed="false">
      <c r="A1657" s="55"/>
      <c r="B1657" s="56"/>
      <c r="C1657" s="56"/>
      <c r="D1657" s="56"/>
      <c r="E1657" s="57"/>
      <c r="F1657" s="58"/>
      <c r="G1657" s="59"/>
      <c r="H1657" s="56"/>
      <c r="I1657" s="56"/>
      <c r="J1657" s="60" t="str">
        <f aca="false">IF(IsPro,IF($D1657="","",IFERROR(INDEX(Items!$D$5:$D$504,U1657),"")),"")</f>
        <v/>
      </c>
      <c r="K1657" s="61" t="str">
        <f aca="false">IF(IsPro,IF($D1657="","",IF($F1657="",IFERROR(INDEX(Items!$H$5:$H$504,U1657),0),$F1657)),"")</f>
        <v/>
      </c>
      <c r="L1657" s="61" t="str">
        <f aca="false">IF(IsPro,IF($D1657="","",ROUND(N($E1657)*K1657*(1-N($G1657)),2)),"")</f>
        <v/>
      </c>
      <c r="M1657" s="62" t="str">
        <f aca="false">IF(IsPro,IF($D1657="","",IFERROR(INDEX(Items!$F$5:$F$504,U1657),0)),"")</f>
        <v/>
      </c>
      <c r="N1657" s="61" t="str">
        <f aca="false">IF(IsPro,IF($D1657="","",IF(AND(V1657&lt;&gt;"",INDEX(Parties!$E$5:$E$304,V1657)&lt;&gt;"",INDEX(Parties!$E$5:$E$304,V1657)&lt;&gt;HomeState),0,ROUND(L1657*M1657/2,2))),"")</f>
        <v/>
      </c>
      <c r="O1657" s="61" t="str">
        <f aca="false">IF(IsPro,IF($D1657="","",N1657),"")</f>
        <v/>
      </c>
      <c r="P1657" s="61" t="str">
        <f aca="false">IF(IsPro,IF($D1657="","",IF(AND(V1657&lt;&gt;"",INDEX(Parties!$E$5:$E$304,V1657)&lt;&gt;"",INDEX(Parties!$E$5:$E$304,V1657)&lt;&gt;HomeState),ROUND(L1657*M1657,2),0)),"")</f>
        <v/>
      </c>
      <c r="Q1657" s="61" t="str">
        <f aca="false">IF(IsPro,IF($D1657="","",L1657+N1657+O1657+P1657),"")</f>
        <v/>
      </c>
      <c r="R1657" s="61" t="str">
        <f aca="false">IF(IsPro,IF($D1657="","",ROUND(N($E1657)*IFERROR(INDEX(Items!$P$5:$P$504,U1657),0),2)),"")</f>
        <v/>
      </c>
      <c r="S1657" s="61" t="str">
        <f aca="false">IF(IsPro,IF($D1657="","",L1657-R1657),"")</f>
        <v/>
      </c>
      <c r="T1657" s="60" t="str">
        <f aca="false">IF(IsPro,IF($D1657="","",IF(U1657="","UNKNOWN ITEM",IF(INDEX(Items!$O$5:$O$504,U1657)&lt;0,"NEG STOCK",IF(K1657&lt;INDEX(Items!$P$5:$P$504,U1657),"BELOW COST","OK")))),IF($D1657="","","PRO PLAN"))</f>
        <v/>
      </c>
      <c r="U1657" s="60" t="str">
        <f aca="false">IF(IsPro,IF($D1657="","",IFERROR(MATCH($D1657,Items!$A$5:$A$504,0),"")),"")</f>
        <v/>
      </c>
      <c r="V1657" s="60" t="str">
        <f aca="false">IF(IsPro,IF($C1657="","",IFERROR(MATCH($C1657,Parties!$A$5:$A$304,0),"")),"")</f>
        <v/>
      </c>
      <c r="W1657" s="60" t="str">
        <f aca="false">IF(IsPro,IF($B1657="","",IFERROR(VALUE(SUBSTITUTE($B1657,InvPrefix,"")),0)),"")</f>
        <v/>
      </c>
      <c r="X1657" s="61" t="str">
        <f aca="false">IF(IsPro,IF($D1657="","",IF(OR($H1657="",$H1657="Credit"),0,Q1657)),"")</f>
        <v/>
      </c>
    </row>
    <row r="1658" customFormat="false" ht="15" hidden="false" customHeight="false" outlineLevel="0" collapsed="false">
      <c r="A1658" s="55"/>
      <c r="B1658" s="56"/>
      <c r="C1658" s="56"/>
      <c r="D1658" s="56"/>
      <c r="E1658" s="57"/>
      <c r="F1658" s="58"/>
      <c r="G1658" s="59"/>
      <c r="H1658" s="56"/>
      <c r="I1658" s="56"/>
      <c r="J1658" s="60" t="str">
        <f aca="false">IF(IsPro,IF($D1658="","",IFERROR(INDEX(Items!$D$5:$D$504,U1658),"")),"")</f>
        <v/>
      </c>
      <c r="K1658" s="61" t="str">
        <f aca="false">IF(IsPro,IF($D1658="","",IF($F1658="",IFERROR(INDEX(Items!$H$5:$H$504,U1658),0),$F1658)),"")</f>
        <v/>
      </c>
      <c r="L1658" s="61" t="str">
        <f aca="false">IF(IsPro,IF($D1658="","",ROUND(N($E1658)*K1658*(1-N($G1658)),2)),"")</f>
        <v/>
      </c>
      <c r="M1658" s="62" t="str">
        <f aca="false">IF(IsPro,IF($D1658="","",IFERROR(INDEX(Items!$F$5:$F$504,U1658),0)),"")</f>
        <v/>
      </c>
      <c r="N1658" s="61" t="str">
        <f aca="false">IF(IsPro,IF($D1658="","",IF(AND(V1658&lt;&gt;"",INDEX(Parties!$E$5:$E$304,V1658)&lt;&gt;"",INDEX(Parties!$E$5:$E$304,V1658)&lt;&gt;HomeState),0,ROUND(L1658*M1658/2,2))),"")</f>
        <v/>
      </c>
      <c r="O1658" s="61" t="str">
        <f aca="false">IF(IsPro,IF($D1658="","",N1658),"")</f>
        <v/>
      </c>
      <c r="P1658" s="61" t="str">
        <f aca="false">IF(IsPro,IF($D1658="","",IF(AND(V1658&lt;&gt;"",INDEX(Parties!$E$5:$E$304,V1658)&lt;&gt;"",INDEX(Parties!$E$5:$E$304,V1658)&lt;&gt;HomeState),ROUND(L1658*M1658,2),0)),"")</f>
        <v/>
      </c>
      <c r="Q1658" s="61" t="str">
        <f aca="false">IF(IsPro,IF($D1658="","",L1658+N1658+O1658+P1658),"")</f>
        <v/>
      </c>
      <c r="R1658" s="61" t="str">
        <f aca="false">IF(IsPro,IF($D1658="","",ROUND(N($E1658)*IFERROR(INDEX(Items!$P$5:$P$504,U1658),0),2)),"")</f>
        <v/>
      </c>
      <c r="S1658" s="61" t="str">
        <f aca="false">IF(IsPro,IF($D1658="","",L1658-R1658),"")</f>
        <v/>
      </c>
      <c r="T1658" s="60" t="str">
        <f aca="false">IF(IsPro,IF($D1658="","",IF(U1658="","UNKNOWN ITEM",IF(INDEX(Items!$O$5:$O$504,U1658)&lt;0,"NEG STOCK",IF(K1658&lt;INDEX(Items!$P$5:$P$504,U1658),"BELOW COST","OK")))),IF($D1658="","","PRO PLAN"))</f>
        <v/>
      </c>
      <c r="U1658" s="60" t="str">
        <f aca="false">IF(IsPro,IF($D1658="","",IFERROR(MATCH($D1658,Items!$A$5:$A$504,0),"")),"")</f>
        <v/>
      </c>
      <c r="V1658" s="60" t="str">
        <f aca="false">IF(IsPro,IF($C1658="","",IFERROR(MATCH($C1658,Parties!$A$5:$A$304,0),"")),"")</f>
        <v/>
      </c>
      <c r="W1658" s="60" t="str">
        <f aca="false">IF(IsPro,IF($B1658="","",IFERROR(VALUE(SUBSTITUTE($B1658,InvPrefix,"")),0)),"")</f>
        <v/>
      </c>
      <c r="X1658" s="61" t="str">
        <f aca="false">IF(IsPro,IF($D1658="","",IF(OR($H1658="",$H1658="Credit"),0,Q1658)),"")</f>
        <v/>
      </c>
    </row>
    <row r="1659" customFormat="false" ht="15" hidden="false" customHeight="false" outlineLevel="0" collapsed="false">
      <c r="A1659" s="55"/>
      <c r="B1659" s="56"/>
      <c r="C1659" s="56"/>
      <c r="D1659" s="56"/>
      <c r="E1659" s="57"/>
      <c r="F1659" s="58"/>
      <c r="G1659" s="59"/>
      <c r="H1659" s="56"/>
      <c r="I1659" s="56"/>
      <c r="J1659" s="60" t="str">
        <f aca="false">IF(IsPro,IF($D1659="","",IFERROR(INDEX(Items!$D$5:$D$504,U1659),"")),"")</f>
        <v/>
      </c>
      <c r="K1659" s="61" t="str">
        <f aca="false">IF(IsPro,IF($D1659="","",IF($F1659="",IFERROR(INDEX(Items!$H$5:$H$504,U1659),0),$F1659)),"")</f>
        <v/>
      </c>
      <c r="L1659" s="61" t="str">
        <f aca="false">IF(IsPro,IF($D1659="","",ROUND(N($E1659)*K1659*(1-N($G1659)),2)),"")</f>
        <v/>
      </c>
      <c r="M1659" s="62" t="str">
        <f aca="false">IF(IsPro,IF($D1659="","",IFERROR(INDEX(Items!$F$5:$F$504,U1659),0)),"")</f>
        <v/>
      </c>
      <c r="N1659" s="61" t="str">
        <f aca="false">IF(IsPro,IF($D1659="","",IF(AND(V1659&lt;&gt;"",INDEX(Parties!$E$5:$E$304,V1659)&lt;&gt;"",INDEX(Parties!$E$5:$E$304,V1659)&lt;&gt;HomeState),0,ROUND(L1659*M1659/2,2))),"")</f>
        <v/>
      </c>
      <c r="O1659" s="61" t="str">
        <f aca="false">IF(IsPro,IF($D1659="","",N1659),"")</f>
        <v/>
      </c>
      <c r="P1659" s="61" t="str">
        <f aca="false">IF(IsPro,IF($D1659="","",IF(AND(V1659&lt;&gt;"",INDEX(Parties!$E$5:$E$304,V1659)&lt;&gt;"",INDEX(Parties!$E$5:$E$304,V1659)&lt;&gt;HomeState),ROUND(L1659*M1659,2),0)),"")</f>
        <v/>
      </c>
      <c r="Q1659" s="61" t="str">
        <f aca="false">IF(IsPro,IF($D1659="","",L1659+N1659+O1659+P1659),"")</f>
        <v/>
      </c>
      <c r="R1659" s="61" t="str">
        <f aca="false">IF(IsPro,IF($D1659="","",ROUND(N($E1659)*IFERROR(INDEX(Items!$P$5:$P$504,U1659),0),2)),"")</f>
        <v/>
      </c>
      <c r="S1659" s="61" t="str">
        <f aca="false">IF(IsPro,IF($D1659="","",L1659-R1659),"")</f>
        <v/>
      </c>
      <c r="T1659" s="60" t="str">
        <f aca="false">IF(IsPro,IF($D1659="","",IF(U1659="","UNKNOWN ITEM",IF(INDEX(Items!$O$5:$O$504,U1659)&lt;0,"NEG STOCK",IF(K1659&lt;INDEX(Items!$P$5:$P$504,U1659),"BELOW COST","OK")))),IF($D1659="","","PRO PLAN"))</f>
        <v/>
      </c>
      <c r="U1659" s="60" t="str">
        <f aca="false">IF(IsPro,IF($D1659="","",IFERROR(MATCH($D1659,Items!$A$5:$A$504,0),"")),"")</f>
        <v/>
      </c>
      <c r="V1659" s="60" t="str">
        <f aca="false">IF(IsPro,IF($C1659="","",IFERROR(MATCH($C1659,Parties!$A$5:$A$304,0),"")),"")</f>
        <v/>
      </c>
      <c r="W1659" s="60" t="str">
        <f aca="false">IF(IsPro,IF($B1659="","",IFERROR(VALUE(SUBSTITUTE($B1659,InvPrefix,"")),0)),"")</f>
        <v/>
      </c>
      <c r="X1659" s="61" t="str">
        <f aca="false">IF(IsPro,IF($D1659="","",IF(OR($H1659="",$H1659="Credit"),0,Q1659)),"")</f>
        <v/>
      </c>
    </row>
    <row r="1660" customFormat="false" ht="15" hidden="false" customHeight="false" outlineLevel="0" collapsed="false">
      <c r="A1660" s="55"/>
      <c r="B1660" s="56"/>
      <c r="C1660" s="56"/>
      <c r="D1660" s="56"/>
      <c r="E1660" s="57"/>
      <c r="F1660" s="58"/>
      <c r="G1660" s="59"/>
      <c r="H1660" s="56"/>
      <c r="I1660" s="56"/>
      <c r="J1660" s="60" t="str">
        <f aca="false">IF(IsPro,IF($D1660="","",IFERROR(INDEX(Items!$D$5:$D$504,U1660),"")),"")</f>
        <v/>
      </c>
      <c r="K1660" s="61" t="str">
        <f aca="false">IF(IsPro,IF($D1660="","",IF($F1660="",IFERROR(INDEX(Items!$H$5:$H$504,U1660),0),$F1660)),"")</f>
        <v/>
      </c>
      <c r="L1660" s="61" t="str">
        <f aca="false">IF(IsPro,IF($D1660="","",ROUND(N($E1660)*K1660*(1-N($G1660)),2)),"")</f>
        <v/>
      </c>
      <c r="M1660" s="62" t="str">
        <f aca="false">IF(IsPro,IF($D1660="","",IFERROR(INDEX(Items!$F$5:$F$504,U1660),0)),"")</f>
        <v/>
      </c>
      <c r="N1660" s="61" t="str">
        <f aca="false">IF(IsPro,IF($D1660="","",IF(AND(V1660&lt;&gt;"",INDEX(Parties!$E$5:$E$304,V1660)&lt;&gt;"",INDEX(Parties!$E$5:$E$304,V1660)&lt;&gt;HomeState),0,ROUND(L1660*M1660/2,2))),"")</f>
        <v/>
      </c>
      <c r="O1660" s="61" t="str">
        <f aca="false">IF(IsPro,IF($D1660="","",N1660),"")</f>
        <v/>
      </c>
      <c r="P1660" s="61" t="str">
        <f aca="false">IF(IsPro,IF($D1660="","",IF(AND(V1660&lt;&gt;"",INDEX(Parties!$E$5:$E$304,V1660)&lt;&gt;"",INDEX(Parties!$E$5:$E$304,V1660)&lt;&gt;HomeState),ROUND(L1660*M1660,2),0)),"")</f>
        <v/>
      </c>
      <c r="Q1660" s="61" t="str">
        <f aca="false">IF(IsPro,IF($D1660="","",L1660+N1660+O1660+P1660),"")</f>
        <v/>
      </c>
      <c r="R1660" s="61" t="str">
        <f aca="false">IF(IsPro,IF($D1660="","",ROUND(N($E1660)*IFERROR(INDEX(Items!$P$5:$P$504,U1660),0),2)),"")</f>
        <v/>
      </c>
      <c r="S1660" s="61" t="str">
        <f aca="false">IF(IsPro,IF($D1660="","",L1660-R1660),"")</f>
        <v/>
      </c>
      <c r="T1660" s="60" t="str">
        <f aca="false">IF(IsPro,IF($D1660="","",IF(U1660="","UNKNOWN ITEM",IF(INDEX(Items!$O$5:$O$504,U1660)&lt;0,"NEG STOCK",IF(K1660&lt;INDEX(Items!$P$5:$P$504,U1660),"BELOW COST","OK")))),IF($D1660="","","PRO PLAN"))</f>
        <v/>
      </c>
      <c r="U1660" s="60" t="str">
        <f aca="false">IF(IsPro,IF($D1660="","",IFERROR(MATCH($D1660,Items!$A$5:$A$504,0),"")),"")</f>
        <v/>
      </c>
      <c r="V1660" s="60" t="str">
        <f aca="false">IF(IsPro,IF($C1660="","",IFERROR(MATCH($C1660,Parties!$A$5:$A$304,0),"")),"")</f>
        <v/>
      </c>
      <c r="W1660" s="60" t="str">
        <f aca="false">IF(IsPro,IF($B1660="","",IFERROR(VALUE(SUBSTITUTE($B1660,InvPrefix,"")),0)),"")</f>
        <v/>
      </c>
      <c r="X1660" s="61" t="str">
        <f aca="false">IF(IsPro,IF($D1660="","",IF(OR($H1660="",$H1660="Credit"),0,Q1660)),"")</f>
        <v/>
      </c>
    </row>
    <row r="1661" customFormat="false" ht="15" hidden="false" customHeight="false" outlineLevel="0" collapsed="false">
      <c r="A1661" s="55"/>
      <c r="B1661" s="56"/>
      <c r="C1661" s="56"/>
      <c r="D1661" s="56"/>
      <c r="E1661" s="57"/>
      <c r="F1661" s="58"/>
      <c r="G1661" s="59"/>
      <c r="H1661" s="56"/>
      <c r="I1661" s="56"/>
      <c r="J1661" s="60" t="str">
        <f aca="false">IF(IsPro,IF($D1661="","",IFERROR(INDEX(Items!$D$5:$D$504,U1661),"")),"")</f>
        <v/>
      </c>
      <c r="K1661" s="61" t="str">
        <f aca="false">IF(IsPro,IF($D1661="","",IF($F1661="",IFERROR(INDEX(Items!$H$5:$H$504,U1661),0),$F1661)),"")</f>
        <v/>
      </c>
      <c r="L1661" s="61" t="str">
        <f aca="false">IF(IsPro,IF($D1661="","",ROUND(N($E1661)*K1661*(1-N($G1661)),2)),"")</f>
        <v/>
      </c>
      <c r="M1661" s="62" t="str">
        <f aca="false">IF(IsPro,IF($D1661="","",IFERROR(INDEX(Items!$F$5:$F$504,U1661),0)),"")</f>
        <v/>
      </c>
      <c r="N1661" s="61" t="str">
        <f aca="false">IF(IsPro,IF($D1661="","",IF(AND(V1661&lt;&gt;"",INDEX(Parties!$E$5:$E$304,V1661)&lt;&gt;"",INDEX(Parties!$E$5:$E$304,V1661)&lt;&gt;HomeState),0,ROUND(L1661*M1661/2,2))),"")</f>
        <v/>
      </c>
      <c r="O1661" s="61" t="str">
        <f aca="false">IF(IsPro,IF($D1661="","",N1661),"")</f>
        <v/>
      </c>
      <c r="P1661" s="61" t="str">
        <f aca="false">IF(IsPro,IF($D1661="","",IF(AND(V1661&lt;&gt;"",INDEX(Parties!$E$5:$E$304,V1661)&lt;&gt;"",INDEX(Parties!$E$5:$E$304,V1661)&lt;&gt;HomeState),ROUND(L1661*M1661,2),0)),"")</f>
        <v/>
      </c>
      <c r="Q1661" s="61" t="str">
        <f aca="false">IF(IsPro,IF($D1661="","",L1661+N1661+O1661+P1661),"")</f>
        <v/>
      </c>
      <c r="R1661" s="61" t="str">
        <f aca="false">IF(IsPro,IF($D1661="","",ROUND(N($E1661)*IFERROR(INDEX(Items!$P$5:$P$504,U1661),0),2)),"")</f>
        <v/>
      </c>
      <c r="S1661" s="61" t="str">
        <f aca="false">IF(IsPro,IF($D1661="","",L1661-R1661),"")</f>
        <v/>
      </c>
      <c r="T1661" s="60" t="str">
        <f aca="false">IF(IsPro,IF($D1661="","",IF(U1661="","UNKNOWN ITEM",IF(INDEX(Items!$O$5:$O$504,U1661)&lt;0,"NEG STOCK",IF(K1661&lt;INDEX(Items!$P$5:$P$504,U1661),"BELOW COST","OK")))),IF($D1661="","","PRO PLAN"))</f>
        <v/>
      </c>
      <c r="U1661" s="60" t="str">
        <f aca="false">IF(IsPro,IF($D1661="","",IFERROR(MATCH($D1661,Items!$A$5:$A$504,0),"")),"")</f>
        <v/>
      </c>
      <c r="V1661" s="60" t="str">
        <f aca="false">IF(IsPro,IF($C1661="","",IFERROR(MATCH($C1661,Parties!$A$5:$A$304,0),"")),"")</f>
        <v/>
      </c>
      <c r="W1661" s="60" t="str">
        <f aca="false">IF(IsPro,IF($B1661="","",IFERROR(VALUE(SUBSTITUTE($B1661,InvPrefix,"")),0)),"")</f>
        <v/>
      </c>
      <c r="X1661" s="61" t="str">
        <f aca="false">IF(IsPro,IF($D1661="","",IF(OR($H1661="",$H1661="Credit"),0,Q1661)),"")</f>
        <v/>
      </c>
    </row>
    <row r="1662" customFormat="false" ht="15" hidden="false" customHeight="false" outlineLevel="0" collapsed="false">
      <c r="A1662" s="55"/>
      <c r="B1662" s="56"/>
      <c r="C1662" s="56"/>
      <c r="D1662" s="56"/>
      <c r="E1662" s="57"/>
      <c r="F1662" s="58"/>
      <c r="G1662" s="59"/>
      <c r="H1662" s="56"/>
      <c r="I1662" s="56"/>
      <c r="J1662" s="60" t="str">
        <f aca="false">IF(IsPro,IF($D1662="","",IFERROR(INDEX(Items!$D$5:$D$504,U1662),"")),"")</f>
        <v/>
      </c>
      <c r="K1662" s="61" t="str">
        <f aca="false">IF(IsPro,IF($D1662="","",IF($F1662="",IFERROR(INDEX(Items!$H$5:$H$504,U1662),0),$F1662)),"")</f>
        <v/>
      </c>
      <c r="L1662" s="61" t="str">
        <f aca="false">IF(IsPro,IF($D1662="","",ROUND(N($E1662)*K1662*(1-N($G1662)),2)),"")</f>
        <v/>
      </c>
      <c r="M1662" s="62" t="str">
        <f aca="false">IF(IsPro,IF($D1662="","",IFERROR(INDEX(Items!$F$5:$F$504,U1662),0)),"")</f>
        <v/>
      </c>
      <c r="N1662" s="61" t="str">
        <f aca="false">IF(IsPro,IF($D1662="","",IF(AND(V1662&lt;&gt;"",INDEX(Parties!$E$5:$E$304,V1662)&lt;&gt;"",INDEX(Parties!$E$5:$E$304,V1662)&lt;&gt;HomeState),0,ROUND(L1662*M1662/2,2))),"")</f>
        <v/>
      </c>
      <c r="O1662" s="61" t="str">
        <f aca="false">IF(IsPro,IF($D1662="","",N1662),"")</f>
        <v/>
      </c>
      <c r="P1662" s="61" t="str">
        <f aca="false">IF(IsPro,IF($D1662="","",IF(AND(V1662&lt;&gt;"",INDEX(Parties!$E$5:$E$304,V1662)&lt;&gt;"",INDEX(Parties!$E$5:$E$304,V1662)&lt;&gt;HomeState),ROUND(L1662*M1662,2),0)),"")</f>
        <v/>
      </c>
      <c r="Q1662" s="61" t="str">
        <f aca="false">IF(IsPro,IF($D1662="","",L1662+N1662+O1662+P1662),"")</f>
        <v/>
      </c>
      <c r="R1662" s="61" t="str">
        <f aca="false">IF(IsPro,IF($D1662="","",ROUND(N($E1662)*IFERROR(INDEX(Items!$P$5:$P$504,U1662),0),2)),"")</f>
        <v/>
      </c>
      <c r="S1662" s="61" t="str">
        <f aca="false">IF(IsPro,IF($D1662="","",L1662-R1662),"")</f>
        <v/>
      </c>
      <c r="T1662" s="60" t="str">
        <f aca="false">IF(IsPro,IF($D1662="","",IF(U1662="","UNKNOWN ITEM",IF(INDEX(Items!$O$5:$O$504,U1662)&lt;0,"NEG STOCK",IF(K1662&lt;INDEX(Items!$P$5:$P$504,U1662),"BELOW COST","OK")))),IF($D1662="","","PRO PLAN"))</f>
        <v/>
      </c>
      <c r="U1662" s="60" t="str">
        <f aca="false">IF(IsPro,IF($D1662="","",IFERROR(MATCH($D1662,Items!$A$5:$A$504,0),"")),"")</f>
        <v/>
      </c>
      <c r="V1662" s="60" t="str">
        <f aca="false">IF(IsPro,IF($C1662="","",IFERROR(MATCH($C1662,Parties!$A$5:$A$304,0),"")),"")</f>
        <v/>
      </c>
      <c r="W1662" s="60" t="str">
        <f aca="false">IF(IsPro,IF($B1662="","",IFERROR(VALUE(SUBSTITUTE($B1662,InvPrefix,"")),0)),"")</f>
        <v/>
      </c>
      <c r="X1662" s="61" t="str">
        <f aca="false">IF(IsPro,IF($D1662="","",IF(OR($H1662="",$H1662="Credit"),0,Q1662)),"")</f>
        <v/>
      </c>
    </row>
    <row r="1663" customFormat="false" ht="15" hidden="false" customHeight="false" outlineLevel="0" collapsed="false">
      <c r="A1663" s="55"/>
      <c r="B1663" s="56"/>
      <c r="C1663" s="56"/>
      <c r="D1663" s="56"/>
      <c r="E1663" s="57"/>
      <c r="F1663" s="58"/>
      <c r="G1663" s="59"/>
      <c r="H1663" s="56"/>
      <c r="I1663" s="56"/>
      <c r="J1663" s="60" t="str">
        <f aca="false">IF(IsPro,IF($D1663="","",IFERROR(INDEX(Items!$D$5:$D$504,U1663),"")),"")</f>
        <v/>
      </c>
      <c r="K1663" s="61" t="str">
        <f aca="false">IF(IsPro,IF($D1663="","",IF($F1663="",IFERROR(INDEX(Items!$H$5:$H$504,U1663),0),$F1663)),"")</f>
        <v/>
      </c>
      <c r="L1663" s="61" t="str">
        <f aca="false">IF(IsPro,IF($D1663="","",ROUND(N($E1663)*K1663*(1-N($G1663)),2)),"")</f>
        <v/>
      </c>
      <c r="M1663" s="62" t="str">
        <f aca="false">IF(IsPro,IF($D1663="","",IFERROR(INDEX(Items!$F$5:$F$504,U1663),0)),"")</f>
        <v/>
      </c>
      <c r="N1663" s="61" t="str">
        <f aca="false">IF(IsPro,IF($D1663="","",IF(AND(V1663&lt;&gt;"",INDEX(Parties!$E$5:$E$304,V1663)&lt;&gt;"",INDEX(Parties!$E$5:$E$304,V1663)&lt;&gt;HomeState),0,ROUND(L1663*M1663/2,2))),"")</f>
        <v/>
      </c>
      <c r="O1663" s="61" t="str">
        <f aca="false">IF(IsPro,IF($D1663="","",N1663),"")</f>
        <v/>
      </c>
      <c r="P1663" s="61" t="str">
        <f aca="false">IF(IsPro,IF($D1663="","",IF(AND(V1663&lt;&gt;"",INDEX(Parties!$E$5:$E$304,V1663)&lt;&gt;"",INDEX(Parties!$E$5:$E$304,V1663)&lt;&gt;HomeState),ROUND(L1663*M1663,2),0)),"")</f>
        <v/>
      </c>
      <c r="Q1663" s="61" t="str">
        <f aca="false">IF(IsPro,IF($D1663="","",L1663+N1663+O1663+P1663),"")</f>
        <v/>
      </c>
      <c r="R1663" s="61" t="str">
        <f aca="false">IF(IsPro,IF($D1663="","",ROUND(N($E1663)*IFERROR(INDEX(Items!$P$5:$P$504,U1663),0),2)),"")</f>
        <v/>
      </c>
      <c r="S1663" s="61" t="str">
        <f aca="false">IF(IsPro,IF($D1663="","",L1663-R1663),"")</f>
        <v/>
      </c>
      <c r="T1663" s="60" t="str">
        <f aca="false">IF(IsPro,IF($D1663="","",IF(U1663="","UNKNOWN ITEM",IF(INDEX(Items!$O$5:$O$504,U1663)&lt;0,"NEG STOCK",IF(K1663&lt;INDEX(Items!$P$5:$P$504,U1663),"BELOW COST","OK")))),IF($D1663="","","PRO PLAN"))</f>
        <v/>
      </c>
      <c r="U1663" s="60" t="str">
        <f aca="false">IF(IsPro,IF($D1663="","",IFERROR(MATCH($D1663,Items!$A$5:$A$504,0),"")),"")</f>
        <v/>
      </c>
      <c r="V1663" s="60" t="str">
        <f aca="false">IF(IsPro,IF($C1663="","",IFERROR(MATCH($C1663,Parties!$A$5:$A$304,0),"")),"")</f>
        <v/>
      </c>
      <c r="W1663" s="60" t="str">
        <f aca="false">IF(IsPro,IF($B1663="","",IFERROR(VALUE(SUBSTITUTE($B1663,InvPrefix,"")),0)),"")</f>
        <v/>
      </c>
      <c r="X1663" s="61" t="str">
        <f aca="false">IF(IsPro,IF($D1663="","",IF(OR($H1663="",$H1663="Credit"),0,Q1663)),"")</f>
        <v/>
      </c>
    </row>
    <row r="1664" customFormat="false" ht="15" hidden="false" customHeight="false" outlineLevel="0" collapsed="false">
      <c r="A1664" s="55"/>
      <c r="B1664" s="56"/>
      <c r="C1664" s="56"/>
      <c r="D1664" s="56"/>
      <c r="E1664" s="57"/>
      <c r="F1664" s="58"/>
      <c r="G1664" s="59"/>
      <c r="H1664" s="56"/>
      <c r="I1664" s="56"/>
      <c r="J1664" s="60" t="str">
        <f aca="false">IF(IsPro,IF($D1664="","",IFERROR(INDEX(Items!$D$5:$D$504,U1664),"")),"")</f>
        <v/>
      </c>
      <c r="K1664" s="61" t="str">
        <f aca="false">IF(IsPro,IF($D1664="","",IF($F1664="",IFERROR(INDEX(Items!$H$5:$H$504,U1664),0),$F1664)),"")</f>
        <v/>
      </c>
      <c r="L1664" s="61" t="str">
        <f aca="false">IF(IsPro,IF($D1664="","",ROUND(N($E1664)*K1664*(1-N($G1664)),2)),"")</f>
        <v/>
      </c>
      <c r="M1664" s="62" t="str">
        <f aca="false">IF(IsPro,IF($D1664="","",IFERROR(INDEX(Items!$F$5:$F$504,U1664),0)),"")</f>
        <v/>
      </c>
      <c r="N1664" s="61" t="str">
        <f aca="false">IF(IsPro,IF($D1664="","",IF(AND(V1664&lt;&gt;"",INDEX(Parties!$E$5:$E$304,V1664)&lt;&gt;"",INDEX(Parties!$E$5:$E$304,V1664)&lt;&gt;HomeState),0,ROUND(L1664*M1664/2,2))),"")</f>
        <v/>
      </c>
      <c r="O1664" s="61" t="str">
        <f aca="false">IF(IsPro,IF($D1664="","",N1664),"")</f>
        <v/>
      </c>
      <c r="P1664" s="61" t="str">
        <f aca="false">IF(IsPro,IF($D1664="","",IF(AND(V1664&lt;&gt;"",INDEX(Parties!$E$5:$E$304,V1664)&lt;&gt;"",INDEX(Parties!$E$5:$E$304,V1664)&lt;&gt;HomeState),ROUND(L1664*M1664,2),0)),"")</f>
        <v/>
      </c>
      <c r="Q1664" s="61" t="str">
        <f aca="false">IF(IsPro,IF($D1664="","",L1664+N1664+O1664+P1664),"")</f>
        <v/>
      </c>
      <c r="R1664" s="61" t="str">
        <f aca="false">IF(IsPro,IF($D1664="","",ROUND(N($E1664)*IFERROR(INDEX(Items!$P$5:$P$504,U1664),0),2)),"")</f>
        <v/>
      </c>
      <c r="S1664" s="61" t="str">
        <f aca="false">IF(IsPro,IF($D1664="","",L1664-R1664),"")</f>
        <v/>
      </c>
      <c r="T1664" s="60" t="str">
        <f aca="false">IF(IsPro,IF($D1664="","",IF(U1664="","UNKNOWN ITEM",IF(INDEX(Items!$O$5:$O$504,U1664)&lt;0,"NEG STOCK",IF(K1664&lt;INDEX(Items!$P$5:$P$504,U1664),"BELOW COST","OK")))),IF($D1664="","","PRO PLAN"))</f>
        <v/>
      </c>
      <c r="U1664" s="60" t="str">
        <f aca="false">IF(IsPro,IF($D1664="","",IFERROR(MATCH($D1664,Items!$A$5:$A$504,0),"")),"")</f>
        <v/>
      </c>
      <c r="V1664" s="60" t="str">
        <f aca="false">IF(IsPro,IF($C1664="","",IFERROR(MATCH($C1664,Parties!$A$5:$A$304,0),"")),"")</f>
        <v/>
      </c>
      <c r="W1664" s="60" t="str">
        <f aca="false">IF(IsPro,IF($B1664="","",IFERROR(VALUE(SUBSTITUTE($B1664,InvPrefix,"")),0)),"")</f>
        <v/>
      </c>
      <c r="X1664" s="61" t="str">
        <f aca="false">IF(IsPro,IF($D1664="","",IF(OR($H1664="",$H1664="Credit"),0,Q1664)),"")</f>
        <v/>
      </c>
    </row>
    <row r="1665" customFormat="false" ht="15" hidden="false" customHeight="false" outlineLevel="0" collapsed="false">
      <c r="A1665" s="55"/>
      <c r="B1665" s="56"/>
      <c r="C1665" s="56"/>
      <c r="D1665" s="56"/>
      <c r="E1665" s="57"/>
      <c r="F1665" s="58"/>
      <c r="G1665" s="59"/>
      <c r="H1665" s="56"/>
      <c r="I1665" s="56"/>
      <c r="J1665" s="60" t="str">
        <f aca="false">IF(IsPro,IF($D1665="","",IFERROR(INDEX(Items!$D$5:$D$504,U1665),"")),"")</f>
        <v/>
      </c>
      <c r="K1665" s="61" t="str">
        <f aca="false">IF(IsPro,IF($D1665="","",IF($F1665="",IFERROR(INDEX(Items!$H$5:$H$504,U1665),0),$F1665)),"")</f>
        <v/>
      </c>
      <c r="L1665" s="61" t="str">
        <f aca="false">IF(IsPro,IF($D1665="","",ROUND(N($E1665)*K1665*(1-N($G1665)),2)),"")</f>
        <v/>
      </c>
      <c r="M1665" s="62" t="str">
        <f aca="false">IF(IsPro,IF($D1665="","",IFERROR(INDEX(Items!$F$5:$F$504,U1665),0)),"")</f>
        <v/>
      </c>
      <c r="N1665" s="61" t="str">
        <f aca="false">IF(IsPro,IF($D1665="","",IF(AND(V1665&lt;&gt;"",INDEX(Parties!$E$5:$E$304,V1665)&lt;&gt;"",INDEX(Parties!$E$5:$E$304,V1665)&lt;&gt;HomeState),0,ROUND(L1665*M1665/2,2))),"")</f>
        <v/>
      </c>
      <c r="O1665" s="61" t="str">
        <f aca="false">IF(IsPro,IF($D1665="","",N1665),"")</f>
        <v/>
      </c>
      <c r="P1665" s="61" t="str">
        <f aca="false">IF(IsPro,IF($D1665="","",IF(AND(V1665&lt;&gt;"",INDEX(Parties!$E$5:$E$304,V1665)&lt;&gt;"",INDEX(Parties!$E$5:$E$304,V1665)&lt;&gt;HomeState),ROUND(L1665*M1665,2),0)),"")</f>
        <v/>
      </c>
      <c r="Q1665" s="61" t="str">
        <f aca="false">IF(IsPro,IF($D1665="","",L1665+N1665+O1665+P1665),"")</f>
        <v/>
      </c>
      <c r="R1665" s="61" t="str">
        <f aca="false">IF(IsPro,IF($D1665="","",ROUND(N($E1665)*IFERROR(INDEX(Items!$P$5:$P$504,U1665),0),2)),"")</f>
        <v/>
      </c>
      <c r="S1665" s="61" t="str">
        <f aca="false">IF(IsPro,IF($D1665="","",L1665-R1665),"")</f>
        <v/>
      </c>
      <c r="T1665" s="60" t="str">
        <f aca="false">IF(IsPro,IF($D1665="","",IF(U1665="","UNKNOWN ITEM",IF(INDEX(Items!$O$5:$O$504,U1665)&lt;0,"NEG STOCK",IF(K1665&lt;INDEX(Items!$P$5:$P$504,U1665),"BELOW COST","OK")))),IF($D1665="","","PRO PLAN"))</f>
        <v/>
      </c>
      <c r="U1665" s="60" t="str">
        <f aca="false">IF(IsPro,IF($D1665="","",IFERROR(MATCH($D1665,Items!$A$5:$A$504,0),"")),"")</f>
        <v/>
      </c>
      <c r="V1665" s="60" t="str">
        <f aca="false">IF(IsPro,IF($C1665="","",IFERROR(MATCH($C1665,Parties!$A$5:$A$304,0),"")),"")</f>
        <v/>
      </c>
      <c r="W1665" s="60" t="str">
        <f aca="false">IF(IsPro,IF($B1665="","",IFERROR(VALUE(SUBSTITUTE($B1665,InvPrefix,"")),0)),"")</f>
        <v/>
      </c>
      <c r="X1665" s="61" t="str">
        <f aca="false">IF(IsPro,IF($D1665="","",IF(OR($H1665="",$H1665="Credit"),0,Q1665)),"")</f>
        <v/>
      </c>
    </row>
    <row r="1666" customFormat="false" ht="15" hidden="false" customHeight="false" outlineLevel="0" collapsed="false">
      <c r="A1666" s="55"/>
      <c r="B1666" s="56"/>
      <c r="C1666" s="56"/>
      <c r="D1666" s="56"/>
      <c r="E1666" s="57"/>
      <c r="F1666" s="58"/>
      <c r="G1666" s="59"/>
      <c r="H1666" s="56"/>
      <c r="I1666" s="56"/>
      <c r="J1666" s="60" t="str">
        <f aca="false">IF(IsPro,IF($D1666="","",IFERROR(INDEX(Items!$D$5:$D$504,U1666),"")),"")</f>
        <v/>
      </c>
      <c r="K1666" s="61" t="str">
        <f aca="false">IF(IsPro,IF($D1666="","",IF($F1666="",IFERROR(INDEX(Items!$H$5:$H$504,U1666),0),$F1666)),"")</f>
        <v/>
      </c>
      <c r="L1666" s="61" t="str">
        <f aca="false">IF(IsPro,IF($D1666="","",ROUND(N($E1666)*K1666*(1-N($G1666)),2)),"")</f>
        <v/>
      </c>
      <c r="M1666" s="62" t="str">
        <f aca="false">IF(IsPro,IF($D1666="","",IFERROR(INDEX(Items!$F$5:$F$504,U1666),0)),"")</f>
        <v/>
      </c>
      <c r="N1666" s="61" t="str">
        <f aca="false">IF(IsPro,IF($D1666="","",IF(AND(V1666&lt;&gt;"",INDEX(Parties!$E$5:$E$304,V1666)&lt;&gt;"",INDEX(Parties!$E$5:$E$304,V1666)&lt;&gt;HomeState),0,ROUND(L1666*M1666/2,2))),"")</f>
        <v/>
      </c>
      <c r="O1666" s="61" t="str">
        <f aca="false">IF(IsPro,IF($D1666="","",N1666),"")</f>
        <v/>
      </c>
      <c r="P1666" s="61" t="str">
        <f aca="false">IF(IsPro,IF($D1666="","",IF(AND(V1666&lt;&gt;"",INDEX(Parties!$E$5:$E$304,V1666)&lt;&gt;"",INDEX(Parties!$E$5:$E$304,V1666)&lt;&gt;HomeState),ROUND(L1666*M1666,2),0)),"")</f>
        <v/>
      </c>
      <c r="Q1666" s="61" t="str">
        <f aca="false">IF(IsPro,IF($D1666="","",L1666+N1666+O1666+P1666),"")</f>
        <v/>
      </c>
      <c r="R1666" s="61" t="str">
        <f aca="false">IF(IsPro,IF($D1666="","",ROUND(N($E1666)*IFERROR(INDEX(Items!$P$5:$P$504,U1666),0),2)),"")</f>
        <v/>
      </c>
      <c r="S1666" s="61" t="str">
        <f aca="false">IF(IsPro,IF($D1666="","",L1666-R1666),"")</f>
        <v/>
      </c>
      <c r="T1666" s="60" t="str">
        <f aca="false">IF(IsPro,IF($D1666="","",IF(U1666="","UNKNOWN ITEM",IF(INDEX(Items!$O$5:$O$504,U1666)&lt;0,"NEG STOCK",IF(K1666&lt;INDEX(Items!$P$5:$P$504,U1666),"BELOW COST","OK")))),IF($D1666="","","PRO PLAN"))</f>
        <v/>
      </c>
      <c r="U1666" s="60" t="str">
        <f aca="false">IF(IsPro,IF($D1666="","",IFERROR(MATCH($D1666,Items!$A$5:$A$504,0),"")),"")</f>
        <v/>
      </c>
      <c r="V1666" s="60" t="str">
        <f aca="false">IF(IsPro,IF($C1666="","",IFERROR(MATCH($C1666,Parties!$A$5:$A$304,0),"")),"")</f>
        <v/>
      </c>
      <c r="W1666" s="60" t="str">
        <f aca="false">IF(IsPro,IF($B1666="","",IFERROR(VALUE(SUBSTITUTE($B1666,InvPrefix,"")),0)),"")</f>
        <v/>
      </c>
      <c r="X1666" s="61" t="str">
        <f aca="false">IF(IsPro,IF($D1666="","",IF(OR($H1666="",$H1666="Credit"),0,Q1666)),"")</f>
        <v/>
      </c>
    </row>
    <row r="1667" customFormat="false" ht="15" hidden="false" customHeight="false" outlineLevel="0" collapsed="false">
      <c r="A1667" s="55"/>
      <c r="B1667" s="56"/>
      <c r="C1667" s="56"/>
      <c r="D1667" s="56"/>
      <c r="E1667" s="57"/>
      <c r="F1667" s="58"/>
      <c r="G1667" s="59"/>
      <c r="H1667" s="56"/>
      <c r="I1667" s="56"/>
      <c r="J1667" s="60" t="str">
        <f aca="false">IF(IsPro,IF($D1667="","",IFERROR(INDEX(Items!$D$5:$D$504,U1667),"")),"")</f>
        <v/>
      </c>
      <c r="K1667" s="61" t="str">
        <f aca="false">IF(IsPro,IF($D1667="","",IF($F1667="",IFERROR(INDEX(Items!$H$5:$H$504,U1667),0),$F1667)),"")</f>
        <v/>
      </c>
      <c r="L1667" s="61" t="str">
        <f aca="false">IF(IsPro,IF($D1667="","",ROUND(N($E1667)*K1667*(1-N($G1667)),2)),"")</f>
        <v/>
      </c>
      <c r="M1667" s="62" t="str">
        <f aca="false">IF(IsPro,IF($D1667="","",IFERROR(INDEX(Items!$F$5:$F$504,U1667),0)),"")</f>
        <v/>
      </c>
      <c r="N1667" s="61" t="str">
        <f aca="false">IF(IsPro,IF($D1667="","",IF(AND(V1667&lt;&gt;"",INDEX(Parties!$E$5:$E$304,V1667)&lt;&gt;"",INDEX(Parties!$E$5:$E$304,V1667)&lt;&gt;HomeState),0,ROUND(L1667*M1667/2,2))),"")</f>
        <v/>
      </c>
      <c r="O1667" s="61" t="str">
        <f aca="false">IF(IsPro,IF($D1667="","",N1667),"")</f>
        <v/>
      </c>
      <c r="P1667" s="61" t="str">
        <f aca="false">IF(IsPro,IF($D1667="","",IF(AND(V1667&lt;&gt;"",INDEX(Parties!$E$5:$E$304,V1667)&lt;&gt;"",INDEX(Parties!$E$5:$E$304,V1667)&lt;&gt;HomeState),ROUND(L1667*M1667,2),0)),"")</f>
        <v/>
      </c>
      <c r="Q1667" s="61" t="str">
        <f aca="false">IF(IsPro,IF($D1667="","",L1667+N1667+O1667+P1667),"")</f>
        <v/>
      </c>
      <c r="R1667" s="61" t="str">
        <f aca="false">IF(IsPro,IF($D1667="","",ROUND(N($E1667)*IFERROR(INDEX(Items!$P$5:$P$504,U1667),0),2)),"")</f>
        <v/>
      </c>
      <c r="S1667" s="61" t="str">
        <f aca="false">IF(IsPro,IF($D1667="","",L1667-R1667),"")</f>
        <v/>
      </c>
      <c r="T1667" s="60" t="str">
        <f aca="false">IF(IsPro,IF($D1667="","",IF(U1667="","UNKNOWN ITEM",IF(INDEX(Items!$O$5:$O$504,U1667)&lt;0,"NEG STOCK",IF(K1667&lt;INDEX(Items!$P$5:$P$504,U1667),"BELOW COST","OK")))),IF($D1667="","","PRO PLAN"))</f>
        <v/>
      </c>
      <c r="U1667" s="60" t="str">
        <f aca="false">IF(IsPro,IF($D1667="","",IFERROR(MATCH($D1667,Items!$A$5:$A$504,0),"")),"")</f>
        <v/>
      </c>
      <c r="V1667" s="60" t="str">
        <f aca="false">IF(IsPro,IF($C1667="","",IFERROR(MATCH($C1667,Parties!$A$5:$A$304,0),"")),"")</f>
        <v/>
      </c>
      <c r="W1667" s="60" t="str">
        <f aca="false">IF(IsPro,IF($B1667="","",IFERROR(VALUE(SUBSTITUTE($B1667,InvPrefix,"")),0)),"")</f>
        <v/>
      </c>
      <c r="X1667" s="61" t="str">
        <f aca="false">IF(IsPro,IF($D1667="","",IF(OR($H1667="",$H1667="Credit"),0,Q1667)),"")</f>
        <v/>
      </c>
    </row>
    <row r="1668" customFormat="false" ht="15" hidden="false" customHeight="false" outlineLevel="0" collapsed="false">
      <c r="A1668" s="55"/>
      <c r="B1668" s="56"/>
      <c r="C1668" s="56"/>
      <c r="D1668" s="56"/>
      <c r="E1668" s="57"/>
      <c r="F1668" s="58"/>
      <c r="G1668" s="59"/>
      <c r="H1668" s="56"/>
      <c r="I1668" s="56"/>
      <c r="J1668" s="60" t="str">
        <f aca="false">IF(IsPro,IF($D1668="","",IFERROR(INDEX(Items!$D$5:$D$504,U1668),"")),"")</f>
        <v/>
      </c>
      <c r="K1668" s="61" t="str">
        <f aca="false">IF(IsPro,IF($D1668="","",IF($F1668="",IFERROR(INDEX(Items!$H$5:$H$504,U1668),0),$F1668)),"")</f>
        <v/>
      </c>
      <c r="L1668" s="61" t="str">
        <f aca="false">IF(IsPro,IF($D1668="","",ROUND(N($E1668)*K1668*(1-N($G1668)),2)),"")</f>
        <v/>
      </c>
      <c r="M1668" s="62" t="str">
        <f aca="false">IF(IsPro,IF($D1668="","",IFERROR(INDEX(Items!$F$5:$F$504,U1668),0)),"")</f>
        <v/>
      </c>
      <c r="N1668" s="61" t="str">
        <f aca="false">IF(IsPro,IF($D1668="","",IF(AND(V1668&lt;&gt;"",INDEX(Parties!$E$5:$E$304,V1668)&lt;&gt;"",INDEX(Parties!$E$5:$E$304,V1668)&lt;&gt;HomeState),0,ROUND(L1668*M1668/2,2))),"")</f>
        <v/>
      </c>
      <c r="O1668" s="61" t="str">
        <f aca="false">IF(IsPro,IF($D1668="","",N1668),"")</f>
        <v/>
      </c>
      <c r="P1668" s="61" t="str">
        <f aca="false">IF(IsPro,IF($D1668="","",IF(AND(V1668&lt;&gt;"",INDEX(Parties!$E$5:$E$304,V1668)&lt;&gt;"",INDEX(Parties!$E$5:$E$304,V1668)&lt;&gt;HomeState),ROUND(L1668*M1668,2),0)),"")</f>
        <v/>
      </c>
      <c r="Q1668" s="61" t="str">
        <f aca="false">IF(IsPro,IF($D1668="","",L1668+N1668+O1668+P1668),"")</f>
        <v/>
      </c>
      <c r="R1668" s="61" t="str">
        <f aca="false">IF(IsPro,IF($D1668="","",ROUND(N($E1668)*IFERROR(INDEX(Items!$P$5:$P$504,U1668),0),2)),"")</f>
        <v/>
      </c>
      <c r="S1668" s="61" t="str">
        <f aca="false">IF(IsPro,IF($D1668="","",L1668-R1668),"")</f>
        <v/>
      </c>
      <c r="T1668" s="60" t="str">
        <f aca="false">IF(IsPro,IF($D1668="","",IF(U1668="","UNKNOWN ITEM",IF(INDEX(Items!$O$5:$O$504,U1668)&lt;0,"NEG STOCK",IF(K1668&lt;INDEX(Items!$P$5:$P$504,U1668),"BELOW COST","OK")))),IF($D1668="","","PRO PLAN"))</f>
        <v/>
      </c>
      <c r="U1668" s="60" t="str">
        <f aca="false">IF(IsPro,IF($D1668="","",IFERROR(MATCH($D1668,Items!$A$5:$A$504,0),"")),"")</f>
        <v/>
      </c>
      <c r="V1668" s="60" t="str">
        <f aca="false">IF(IsPro,IF($C1668="","",IFERROR(MATCH($C1668,Parties!$A$5:$A$304,0),"")),"")</f>
        <v/>
      </c>
      <c r="W1668" s="60" t="str">
        <f aca="false">IF(IsPro,IF($B1668="","",IFERROR(VALUE(SUBSTITUTE($B1668,InvPrefix,"")),0)),"")</f>
        <v/>
      </c>
      <c r="X1668" s="61" t="str">
        <f aca="false">IF(IsPro,IF($D1668="","",IF(OR($H1668="",$H1668="Credit"),0,Q1668)),"")</f>
        <v/>
      </c>
    </row>
    <row r="1669" customFormat="false" ht="15" hidden="false" customHeight="false" outlineLevel="0" collapsed="false">
      <c r="A1669" s="55"/>
      <c r="B1669" s="56"/>
      <c r="C1669" s="56"/>
      <c r="D1669" s="56"/>
      <c r="E1669" s="57"/>
      <c r="F1669" s="58"/>
      <c r="G1669" s="59"/>
      <c r="H1669" s="56"/>
      <c r="I1669" s="56"/>
      <c r="J1669" s="60" t="str">
        <f aca="false">IF(IsPro,IF($D1669="","",IFERROR(INDEX(Items!$D$5:$D$504,U1669),"")),"")</f>
        <v/>
      </c>
      <c r="K1669" s="61" t="str">
        <f aca="false">IF(IsPro,IF($D1669="","",IF($F1669="",IFERROR(INDEX(Items!$H$5:$H$504,U1669),0),$F1669)),"")</f>
        <v/>
      </c>
      <c r="L1669" s="61" t="str">
        <f aca="false">IF(IsPro,IF($D1669="","",ROUND(N($E1669)*K1669*(1-N($G1669)),2)),"")</f>
        <v/>
      </c>
      <c r="M1669" s="62" t="str">
        <f aca="false">IF(IsPro,IF($D1669="","",IFERROR(INDEX(Items!$F$5:$F$504,U1669),0)),"")</f>
        <v/>
      </c>
      <c r="N1669" s="61" t="str">
        <f aca="false">IF(IsPro,IF($D1669="","",IF(AND(V1669&lt;&gt;"",INDEX(Parties!$E$5:$E$304,V1669)&lt;&gt;"",INDEX(Parties!$E$5:$E$304,V1669)&lt;&gt;HomeState),0,ROUND(L1669*M1669/2,2))),"")</f>
        <v/>
      </c>
      <c r="O1669" s="61" t="str">
        <f aca="false">IF(IsPro,IF($D1669="","",N1669),"")</f>
        <v/>
      </c>
      <c r="P1669" s="61" t="str">
        <f aca="false">IF(IsPro,IF($D1669="","",IF(AND(V1669&lt;&gt;"",INDEX(Parties!$E$5:$E$304,V1669)&lt;&gt;"",INDEX(Parties!$E$5:$E$304,V1669)&lt;&gt;HomeState),ROUND(L1669*M1669,2),0)),"")</f>
        <v/>
      </c>
      <c r="Q1669" s="61" t="str">
        <f aca="false">IF(IsPro,IF($D1669="","",L1669+N1669+O1669+P1669),"")</f>
        <v/>
      </c>
      <c r="R1669" s="61" t="str">
        <f aca="false">IF(IsPro,IF($D1669="","",ROUND(N($E1669)*IFERROR(INDEX(Items!$P$5:$P$504,U1669),0),2)),"")</f>
        <v/>
      </c>
      <c r="S1669" s="61" t="str">
        <f aca="false">IF(IsPro,IF($D1669="","",L1669-R1669),"")</f>
        <v/>
      </c>
      <c r="T1669" s="60" t="str">
        <f aca="false">IF(IsPro,IF($D1669="","",IF(U1669="","UNKNOWN ITEM",IF(INDEX(Items!$O$5:$O$504,U1669)&lt;0,"NEG STOCK",IF(K1669&lt;INDEX(Items!$P$5:$P$504,U1669),"BELOW COST","OK")))),IF($D1669="","","PRO PLAN"))</f>
        <v/>
      </c>
      <c r="U1669" s="60" t="str">
        <f aca="false">IF(IsPro,IF($D1669="","",IFERROR(MATCH($D1669,Items!$A$5:$A$504,0),"")),"")</f>
        <v/>
      </c>
      <c r="V1669" s="60" t="str">
        <f aca="false">IF(IsPro,IF($C1669="","",IFERROR(MATCH($C1669,Parties!$A$5:$A$304,0),"")),"")</f>
        <v/>
      </c>
      <c r="W1669" s="60" t="str">
        <f aca="false">IF(IsPro,IF($B1669="","",IFERROR(VALUE(SUBSTITUTE($B1669,InvPrefix,"")),0)),"")</f>
        <v/>
      </c>
      <c r="X1669" s="61" t="str">
        <f aca="false">IF(IsPro,IF($D1669="","",IF(OR($H1669="",$H1669="Credit"),0,Q1669)),"")</f>
        <v/>
      </c>
    </row>
    <row r="1670" customFormat="false" ht="15" hidden="false" customHeight="false" outlineLevel="0" collapsed="false">
      <c r="A1670" s="55"/>
      <c r="B1670" s="56"/>
      <c r="C1670" s="56"/>
      <c r="D1670" s="56"/>
      <c r="E1670" s="57"/>
      <c r="F1670" s="58"/>
      <c r="G1670" s="59"/>
      <c r="H1670" s="56"/>
      <c r="I1670" s="56"/>
      <c r="J1670" s="60" t="str">
        <f aca="false">IF(IsPro,IF($D1670="","",IFERROR(INDEX(Items!$D$5:$D$504,U1670),"")),"")</f>
        <v/>
      </c>
      <c r="K1670" s="61" t="str">
        <f aca="false">IF(IsPro,IF($D1670="","",IF($F1670="",IFERROR(INDEX(Items!$H$5:$H$504,U1670),0),$F1670)),"")</f>
        <v/>
      </c>
      <c r="L1670" s="61" t="str">
        <f aca="false">IF(IsPro,IF($D1670="","",ROUND(N($E1670)*K1670*(1-N($G1670)),2)),"")</f>
        <v/>
      </c>
      <c r="M1670" s="62" t="str">
        <f aca="false">IF(IsPro,IF($D1670="","",IFERROR(INDEX(Items!$F$5:$F$504,U1670),0)),"")</f>
        <v/>
      </c>
      <c r="N1670" s="61" t="str">
        <f aca="false">IF(IsPro,IF($D1670="","",IF(AND(V1670&lt;&gt;"",INDEX(Parties!$E$5:$E$304,V1670)&lt;&gt;"",INDEX(Parties!$E$5:$E$304,V1670)&lt;&gt;HomeState),0,ROUND(L1670*M1670/2,2))),"")</f>
        <v/>
      </c>
      <c r="O1670" s="61" t="str">
        <f aca="false">IF(IsPro,IF($D1670="","",N1670),"")</f>
        <v/>
      </c>
      <c r="P1670" s="61" t="str">
        <f aca="false">IF(IsPro,IF($D1670="","",IF(AND(V1670&lt;&gt;"",INDEX(Parties!$E$5:$E$304,V1670)&lt;&gt;"",INDEX(Parties!$E$5:$E$304,V1670)&lt;&gt;HomeState),ROUND(L1670*M1670,2),0)),"")</f>
        <v/>
      </c>
      <c r="Q1670" s="61" t="str">
        <f aca="false">IF(IsPro,IF($D1670="","",L1670+N1670+O1670+P1670),"")</f>
        <v/>
      </c>
      <c r="R1670" s="61" t="str">
        <f aca="false">IF(IsPro,IF($D1670="","",ROUND(N($E1670)*IFERROR(INDEX(Items!$P$5:$P$504,U1670),0),2)),"")</f>
        <v/>
      </c>
      <c r="S1670" s="61" t="str">
        <f aca="false">IF(IsPro,IF($D1670="","",L1670-R1670),"")</f>
        <v/>
      </c>
      <c r="T1670" s="60" t="str">
        <f aca="false">IF(IsPro,IF($D1670="","",IF(U1670="","UNKNOWN ITEM",IF(INDEX(Items!$O$5:$O$504,U1670)&lt;0,"NEG STOCK",IF(K1670&lt;INDEX(Items!$P$5:$P$504,U1670),"BELOW COST","OK")))),IF($D1670="","","PRO PLAN"))</f>
        <v/>
      </c>
      <c r="U1670" s="60" t="str">
        <f aca="false">IF(IsPro,IF($D1670="","",IFERROR(MATCH($D1670,Items!$A$5:$A$504,0),"")),"")</f>
        <v/>
      </c>
      <c r="V1670" s="60" t="str">
        <f aca="false">IF(IsPro,IF($C1670="","",IFERROR(MATCH($C1670,Parties!$A$5:$A$304,0),"")),"")</f>
        <v/>
      </c>
      <c r="W1670" s="60" t="str">
        <f aca="false">IF(IsPro,IF($B1670="","",IFERROR(VALUE(SUBSTITUTE($B1670,InvPrefix,"")),0)),"")</f>
        <v/>
      </c>
      <c r="X1670" s="61" t="str">
        <f aca="false">IF(IsPro,IF($D1670="","",IF(OR($H1670="",$H1670="Credit"),0,Q1670)),"")</f>
        <v/>
      </c>
    </row>
    <row r="1671" customFormat="false" ht="15" hidden="false" customHeight="false" outlineLevel="0" collapsed="false">
      <c r="A1671" s="55"/>
      <c r="B1671" s="56"/>
      <c r="C1671" s="56"/>
      <c r="D1671" s="56"/>
      <c r="E1671" s="57"/>
      <c r="F1671" s="58"/>
      <c r="G1671" s="59"/>
      <c r="H1671" s="56"/>
      <c r="I1671" s="56"/>
      <c r="J1671" s="60" t="str">
        <f aca="false">IF(IsPro,IF($D1671="","",IFERROR(INDEX(Items!$D$5:$D$504,U1671),"")),"")</f>
        <v/>
      </c>
      <c r="K1671" s="61" t="str">
        <f aca="false">IF(IsPro,IF($D1671="","",IF($F1671="",IFERROR(INDEX(Items!$H$5:$H$504,U1671),0),$F1671)),"")</f>
        <v/>
      </c>
      <c r="L1671" s="61" t="str">
        <f aca="false">IF(IsPro,IF($D1671="","",ROUND(N($E1671)*K1671*(1-N($G1671)),2)),"")</f>
        <v/>
      </c>
      <c r="M1671" s="62" t="str">
        <f aca="false">IF(IsPro,IF($D1671="","",IFERROR(INDEX(Items!$F$5:$F$504,U1671),0)),"")</f>
        <v/>
      </c>
      <c r="N1671" s="61" t="str">
        <f aca="false">IF(IsPro,IF($D1671="","",IF(AND(V1671&lt;&gt;"",INDEX(Parties!$E$5:$E$304,V1671)&lt;&gt;"",INDEX(Parties!$E$5:$E$304,V1671)&lt;&gt;HomeState),0,ROUND(L1671*M1671/2,2))),"")</f>
        <v/>
      </c>
      <c r="O1671" s="61" t="str">
        <f aca="false">IF(IsPro,IF($D1671="","",N1671),"")</f>
        <v/>
      </c>
      <c r="P1671" s="61" t="str">
        <f aca="false">IF(IsPro,IF($D1671="","",IF(AND(V1671&lt;&gt;"",INDEX(Parties!$E$5:$E$304,V1671)&lt;&gt;"",INDEX(Parties!$E$5:$E$304,V1671)&lt;&gt;HomeState),ROUND(L1671*M1671,2),0)),"")</f>
        <v/>
      </c>
      <c r="Q1671" s="61" t="str">
        <f aca="false">IF(IsPro,IF($D1671="","",L1671+N1671+O1671+P1671),"")</f>
        <v/>
      </c>
      <c r="R1671" s="61" t="str">
        <f aca="false">IF(IsPro,IF($D1671="","",ROUND(N($E1671)*IFERROR(INDEX(Items!$P$5:$P$504,U1671),0),2)),"")</f>
        <v/>
      </c>
      <c r="S1671" s="61" t="str">
        <f aca="false">IF(IsPro,IF($D1671="","",L1671-R1671),"")</f>
        <v/>
      </c>
      <c r="T1671" s="60" t="str">
        <f aca="false">IF(IsPro,IF($D1671="","",IF(U1671="","UNKNOWN ITEM",IF(INDEX(Items!$O$5:$O$504,U1671)&lt;0,"NEG STOCK",IF(K1671&lt;INDEX(Items!$P$5:$P$504,U1671),"BELOW COST","OK")))),IF($D1671="","","PRO PLAN"))</f>
        <v/>
      </c>
      <c r="U1671" s="60" t="str">
        <f aca="false">IF(IsPro,IF($D1671="","",IFERROR(MATCH($D1671,Items!$A$5:$A$504,0),"")),"")</f>
        <v/>
      </c>
      <c r="V1671" s="60" t="str">
        <f aca="false">IF(IsPro,IF($C1671="","",IFERROR(MATCH($C1671,Parties!$A$5:$A$304,0),"")),"")</f>
        <v/>
      </c>
      <c r="W1671" s="60" t="str">
        <f aca="false">IF(IsPro,IF($B1671="","",IFERROR(VALUE(SUBSTITUTE($B1671,InvPrefix,"")),0)),"")</f>
        <v/>
      </c>
      <c r="X1671" s="61" t="str">
        <f aca="false">IF(IsPro,IF($D1671="","",IF(OR($H1671="",$H1671="Credit"),0,Q1671)),"")</f>
        <v/>
      </c>
    </row>
    <row r="1672" customFormat="false" ht="15" hidden="false" customHeight="false" outlineLevel="0" collapsed="false">
      <c r="A1672" s="55"/>
      <c r="B1672" s="56"/>
      <c r="C1672" s="56"/>
      <c r="D1672" s="56"/>
      <c r="E1672" s="57"/>
      <c r="F1672" s="58"/>
      <c r="G1672" s="59"/>
      <c r="H1672" s="56"/>
      <c r="I1672" s="56"/>
      <c r="J1672" s="60" t="str">
        <f aca="false">IF(IsPro,IF($D1672="","",IFERROR(INDEX(Items!$D$5:$D$504,U1672),"")),"")</f>
        <v/>
      </c>
      <c r="K1672" s="61" t="str">
        <f aca="false">IF(IsPro,IF($D1672="","",IF($F1672="",IFERROR(INDEX(Items!$H$5:$H$504,U1672),0),$F1672)),"")</f>
        <v/>
      </c>
      <c r="L1672" s="61" t="str">
        <f aca="false">IF(IsPro,IF($D1672="","",ROUND(N($E1672)*K1672*(1-N($G1672)),2)),"")</f>
        <v/>
      </c>
      <c r="M1672" s="62" t="str">
        <f aca="false">IF(IsPro,IF($D1672="","",IFERROR(INDEX(Items!$F$5:$F$504,U1672),0)),"")</f>
        <v/>
      </c>
      <c r="N1672" s="61" t="str">
        <f aca="false">IF(IsPro,IF($D1672="","",IF(AND(V1672&lt;&gt;"",INDEX(Parties!$E$5:$E$304,V1672)&lt;&gt;"",INDEX(Parties!$E$5:$E$304,V1672)&lt;&gt;HomeState),0,ROUND(L1672*M1672/2,2))),"")</f>
        <v/>
      </c>
      <c r="O1672" s="61" t="str">
        <f aca="false">IF(IsPro,IF($D1672="","",N1672),"")</f>
        <v/>
      </c>
      <c r="P1672" s="61" t="str">
        <f aca="false">IF(IsPro,IF($D1672="","",IF(AND(V1672&lt;&gt;"",INDEX(Parties!$E$5:$E$304,V1672)&lt;&gt;"",INDEX(Parties!$E$5:$E$304,V1672)&lt;&gt;HomeState),ROUND(L1672*M1672,2),0)),"")</f>
        <v/>
      </c>
      <c r="Q1672" s="61" t="str">
        <f aca="false">IF(IsPro,IF($D1672="","",L1672+N1672+O1672+P1672),"")</f>
        <v/>
      </c>
      <c r="R1672" s="61" t="str">
        <f aca="false">IF(IsPro,IF($D1672="","",ROUND(N($E1672)*IFERROR(INDEX(Items!$P$5:$P$504,U1672),0),2)),"")</f>
        <v/>
      </c>
      <c r="S1672" s="61" t="str">
        <f aca="false">IF(IsPro,IF($D1672="","",L1672-R1672),"")</f>
        <v/>
      </c>
      <c r="T1672" s="60" t="str">
        <f aca="false">IF(IsPro,IF($D1672="","",IF(U1672="","UNKNOWN ITEM",IF(INDEX(Items!$O$5:$O$504,U1672)&lt;0,"NEG STOCK",IF(K1672&lt;INDEX(Items!$P$5:$P$504,U1672),"BELOW COST","OK")))),IF($D1672="","","PRO PLAN"))</f>
        <v/>
      </c>
      <c r="U1672" s="60" t="str">
        <f aca="false">IF(IsPro,IF($D1672="","",IFERROR(MATCH($D1672,Items!$A$5:$A$504,0),"")),"")</f>
        <v/>
      </c>
      <c r="V1672" s="60" t="str">
        <f aca="false">IF(IsPro,IF($C1672="","",IFERROR(MATCH($C1672,Parties!$A$5:$A$304,0),"")),"")</f>
        <v/>
      </c>
      <c r="W1672" s="60" t="str">
        <f aca="false">IF(IsPro,IF($B1672="","",IFERROR(VALUE(SUBSTITUTE($B1672,InvPrefix,"")),0)),"")</f>
        <v/>
      </c>
      <c r="X1672" s="61" t="str">
        <f aca="false">IF(IsPro,IF($D1672="","",IF(OR($H1672="",$H1672="Credit"),0,Q1672)),"")</f>
        <v/>
      </c>
    </row>
    <row r="1673" customFormat="false" ht="15" hidden="false" customHeight="false" outlineLevel="0" collapsed="false">
      <c r="A1673" s="55"/>
      <c r="B1673" s="56"/>
      <c r="C1673" s="56"/>
      <c r="D1673" s="56"/>
      <c r="E1673" s="57"/>
      <c r="F1673" s="58"/>
      <c r="G1673" s="59"/>
      <c r="H1673" s="56"/>
      <c r="I1673" s="56"/>
      <c r="J1673" s="60" t="str">
        <f aca="false">IF(IsPro,IF($D1673="","",IFERROR(INDEX(Items!$D$5:$D$504,U1673),"")),"")</f>
        <v/>
      </c>
      <c r="K1673" s="61" t="str">
        <f aca="false">IF(IsPro,IF($D1673="","",IF($F1673="",IFERROR(INDEX(Items!$H$5:$H$504,U1673),0),$F1673)),"")</f>
        <v/>
      </c>
      <c r="L1673" s="61" t="str">
        <f aca="false">IF(IsPro,IF($D1673="","",ROUND(N($E1673)*K1673*(1-N($G1673)),2)),"")</f>
        <v/>
      </c>
      <c r="M1673" s="62" t="str">
        <f aca="false">IF(IsPro,IF($D1673="","",IFERROR(INDEX(Items!$F$5:$F$504,U1673),0)),"")</f>
        <v/>
      </c>
      <c r="N1673" s="61" t="str">
        <f aca="false">IF(IsPro,IF($D1673="","",IF(AND(V1673&lt;&gt;"",INDEX(Parties!$E$5:$E$304,V1673)&lt;&gt;"",INDEX(Parties!$E$5:$E$304,V1673)&lt;&gt;HomeState),0,ROUND(L1673*M1673/2,2))),"")</f>
        <v/>
      </c>
      <c r="O1673" s="61" t="str">
        <f aca="false">IF(IsPro,IF($D1673="","",N1673),"")</f>
        <v/>
      </c>
      <c r="P1673" s="61" t="str">
        <f aca="false">IF(IsPro,IF($D1673="","",IF(AND(V1673&lt;&gt;"",INDEX(Parties!$E$5:$E$304,V1673)&lt;&gt;"",INDEX(Parties!$E$5:$E$304,V1673)&lt;&gt;HomeState),ROUND(L1673*M1673,2),0)),"")</f>
        <v/>
      </c>
      <c r="Q1673" s="61" t="str">
        <f aca="false">IF(IsPro,IF($D1673="","",L1673+N1673+O1673+P1673),"")</f>
        <v/>
      </c>
      <c r="R1673" s="61" t="str">
        <f aca="false">IF(IsPro,IF($D1673="","",ROUND(N($E1673)*IFERROR(INDEX(Items!$P$5:$P$504,U1673),0),2)),"")</f>
        <v/>
      </c>
      <c r="S1673" s="61" t="str">
        <f aca="false">IF(IsPro,IF($D1673="","",L1673-R1673),"")</f>
        <v/>
      </c>
      <c r="T1673" s="60" t="str">
        <f aca="false">IF(IsPro,IF($D1673="","",IF(U1673="","UNKNOWN ITEM",IF(INDEX(Items!$O$5:$O$504,U1673)&lt;0,"NEG STOCK",IF(K1673&lt;INDEX(Items!$P$5:$P$504,U1673),"BELOW COST","OK")))),IF($D1673="","","PRO PLAN"))</f>
        <v/>
      </c>
      <c r="U1673" s="60" t="str">
        <f aca="false">IF(IsPro,IF($D1673="","",IFERROR(MATCH($D1673,Items!$A$5:$A$504,0),"")),"")</f>
        <v/>
      </c>
      <c r="V1673" s="60" t="str">
        <f aca="false">IF(IsPro,IF($C1673="","",IFERROR(MATCH($C1673,Parties!$A$5:$A$304,0),"")),"")</f>
        <v/>
      </c>
      <c r="W1673" s="60" t="str">
        <f aca="false">IF(IsPro,IF($B1673="","",IFERROR(VALUE(SUBSTITUTE($B1673,InvPrefix,"")),0)),"")</f>
        <v/>
      </c>
      <c r="X1673" s="61" t="str">
        <f aca="false">IF(IsPro,IF($D1673="","",IF(OR($H1673="",$H1673="Credit"),0,Q1673)),"")</f>
        <v/>
      </c>
    </row>
    <row r="1674" customFormat="false" ht="15" hidden="false" customHeight="false" outlineLevel="0" collapsed="false">
      <c r="A1674" s="55"/>
      <c r="B1674" s="56"/>
      <c r="C1674" s="56"/>
      <c r="D1674" s="56"/>
      <c r="E1674" s="57"/>
      <c r="F1674" s="58"/>
      <c r="G1674" s="59"/>
      <c r="H1674" s="56"/>
      <c r="I1674" s="56"/>
      <c r="J1674" s="60" t="str">
        <f aca="false">IF(IsPro,IF($D1674="","",IFERROR(INDEX(Items!$D$5:$D$504,U1674),"")),"")</f>
        <v/>
      </c>
      <c r="K1674" s="61" t="str">
        <f aca="false">IF(IsPro,IF($D1674="","",IF($F1674="",IFERROR(INDEX(Items!$H$5:$H$504,U1674),0),$F1674)),"")</f>
        <v/>
      </c>
      <c r="L1674" s="61" t="str">
        <f aca="false">IF(IsPro,IF($D1674="","",ROUND(N($E1674)*K1674*(1-N($G1674)),2)),"")</f>
        <v/>
      </c>
      <c r="M1674" s="62" t="str">
        <f aca="false">IF(IsPro,IF($D1674="","",IFERROR(INDEX(Items!$F$5:$F$504,U1674),0)),"")</f>
        <v/>
      </c>
      <c r="N1674" s="61" t="str">
        <f aca="false">IF(IsPro,IF($D1674="","",IF(AND(V1674&lt;&gt;"",INDEX(Parties!$E$5:$E$304,V1674)&lt;&gt;"",INDEX(Parties!$E$5:$E$304,V1674)&lt;&gt;HomeState),0,ROUND(L1674*M1674/2,2))),"")</f>
        <v/>
      </c>
      <c r="O1674" s="61" t="str">
        <f aca="false">IF(IsPro,IF($D1674="","",N1674),"")</f>
        <v/>
      </c>
      <c r="P1674" s="61" t="str">
        <f aca="false">IF(IsPro,IF($D1674="","",IF(AND(V1674&lt;&gt;"",INDEX(Parties!$E$5:$E$304,V1674)&lt;&gt;"",INDEX(Parties!$E$5:$E$304,V1674)&lt;&gt;HomeState),ROUND(L1674*M1674,2),0)),"")</f>
        <v/>
      </c>
      <c r="Q1674" s="61" t="str">
        <f aca="false">IF(IsPro,IF($D1674="","",L1674+N1674+O1674+P1674),"")</f>
        <v/>
      </c>
      <c r="R1674" s="61" t="str">
        <f aca="false">IF(IsPro,IF($D1674="","",ROUND(N($E1674)*IFERROR(INDEX(Items!$P$5:$P$504,U1674),0),2)),"")</f>
        <v/>
      </c>
      <c r="S1674" s="61" t="str">
        <f aca="false">IF(IsPro,IF($D1674="","",L1674-R1674),"")</f>
        <v/>
      </c>
      <c r="T1674" s="60" t="str">
        <f aca="false">IF(IsPro,IF($D1674="","",IF(U1674="","UNKNOWN ITEM",IF(INDEX(Items!$O$5:$O$504,U1674)&lt;0,"NEG STOCK",IF(K1674&lt;INDEX(Items!$P$5:$P$504,U1674),"BELOW COST","OK")))),IF($D1674="","","PRO PLAN"))</f>
        <v/>
      </c>
      <c r="U1674" s="60" t="str">
        <f aca="false">IF(IsPro,IF($D1674="","",IFERROR(MATCH($D1674,Items!$A$5:$A$504,0),"")),"")</f>
        <v/>
      </c>
      <c r="V1674" s="60" t="str">
        <f aca="false">IF(IsPro,IF($C1674="","",IFERROR(MATCH($C1674,Parties!$A$5:$A$304,0),"")),"")</f>
        <v/>
      </c>
      <c r="W1674" s="60" t="str">
        <f aca="false">IF(IsPro,IF($B1674="","",IFERROR(VALUE(SUBSTITUTE($B1674,InvPrefix,"")),0)),"")</f>
        <v/>
      </c>
      <c r="X1674" s="61" t="str">
        <f aca="false">IF(IsPro,IF($D1674="","",IF(OR($H1674="",$H1674="Credit"),0,Q1674)),"")</f>
        <v/>
      </c>
    </row>
    <row r="1675" customFormat="false" ht="15" hidden="false" customHeight="false" outlineLevel="0" collapsed="false">
      <c r="A1675" s="55"/>
      <c r="B1675" s="56"/>
      <c r="C1675" s="56"/>
      <c r="D1675" s="56"/>
      <c r="E1675" s="57"/>
      <c r="F1675" s="58"/>
      <c r="G1675" s="59"/>
      <c r="H1675" s="56"/>
      <c r="I1675" s="56"/>
      <c r="J1675" s="60" t="str">
        <f aca="false">IF(IsPro,IF($D1675="","",IFERROR(INDEX(Items!$D$5:$D$504,U1675),"")),"")</f>
        <v/>
      </c>
      <c r="K1675" s="61" t="str">
        <f aca="false">IF(IsPro,IF($D1675="","",IF($F1675="",IFERROR(INDEX(Items!$H$5:$H$504,U1675),0),$F1675)),"")</f>
        <v/>
      </c>
      <c r="L1675" s="61" t="str">
        <f aca="false">IF(IsPro,IF($D1675="","",ROUND(N($E1675)*K1675*(1-N($G1675)),2)),"")</f>
        <v/>
      </c>
      <c r="M1675" s="62" t="str">
        <f aca="false">IF(IsPro,IF($D1675="","",IFERROR(INDEX(Items!$F$5:$F$504,U1675),0)),"")</f>
        <v/>
      </c>
      <c r="N1675" s="61" t="str">
        <f aca="false">IF(IsPro,IF($D1675="","",IF(AND(V1675&lt;&gt;"",INDEX(Parties!$E$5:$E$304,V1675)&lt;&gt;"",INDEX(Parties!$E$5:$E$304,V1675)&lt;&gt;HomeState),0,ROUND(L1675*M1675/2,2))),"")</f>
        <v/>
      </c>
      <c r="O1675" s="61" t="str">
        <f aca="false">IF(IsPro,IF($D1675="","",N1675),"")</f>
        <v/>
      </c>
      <c r="P1675" s="61" t="str">
        <f aca="false">IF(IsPro,IF($D1675="","",IF(AND(V1675&lt;&gt;"",INDEX(Parties!$E$5:$E$304,V1675)&lt;&gt;"",INDEX(Parties!$E$5:$E$304,V1675)&lt;&gt;HomeState),ROUND(L1675*M1675,2),0)),"")</f>
        <v/>
      </c>
      <c r="Q1675" s="61" t="str">
        <f aca="false">IF(IsPro,IF($D1675="","",L1675+N1675+O1675+P1675),"")</f>
        <v/>
      </c>
      <c r="R1675" s="61" t="str">
        <f aca="false">IF(IsPro,IF($D1675="","",ROUND(N($E1675)*IFERROR(INDEX(Items!$P$5:$P$504,U1675),0),2)),"")</f>
        <v/>
      </c>
      <c r="S1675" s="61" t="str">
        <f aca="false">IF(IsPro,IF($D1675="","",L1675-R1675),"")</f>
        <v/>
      </c>
      <c r="T1675" s="60" t="str">
        <f aca="false">IF(IsPro,IF($D1675="","",IF(U1675="","UNKNOWN ITEM",IF(INDEX(Items!$O$5:$O$504,U1675)&lt;0,"NEG STOCK",IF(K1675&lt;INDEX(Items!$P$5:$P$504,U1675),"BELOW COST","OK")))),IF($D1675="","","PRO PLAN"))</f>
        <v/>
      </c>
      <c r="U1675" s="60" t="str">
        <f aca="false">IF(IsPro,IF($D1675="","",IFERROR(MATCH($D1675,Items!$A$5:$A$504,0),"")),"")</f>
        <v/>
      </c>
      <c r="V1675" s="60" t="str">
        <f aca="false">IF(IsPro,IF($C1675="","",IFERROR(MATCH($C1675,Parties!$A$5:$A$304,0),"")),"")</f>
        <v/>
      </c>
      <c r="W1675" s="60" t="str">
        <f aca="false">IF(IsPro,IF($B1675="","",IFERROR(VALUE(SUBSTITUTE($B1675,InvPrefix,"")),0)),"")</f>
        <v/>
      </c>
      <c r="X1675" s="61" t="str">
        <f aca="false">IF(IsPro,IF($D1675="","",IF(OR($H1675="",$H1675="Credit"),0,Q1675)),"")</f>
        <v/>
      </c>
    </row>
    <row r="1676" customFormat="false" ht="15" hidden="false" customHeight="false" outlineLevel="0" collapsed="false">
      <c r="A1676" s="55"/>
      <c r="B1676" s="56"/>
      <c r="C1676" s="56"/>
      <c r="D1676" s="56"/>
      <c r="E1676" s="57"/>
      <c r="F1676" s="58"/>
      <c r="G1676" s="59"/>
      <c r="H1676" s="56"/>
      <c r="I1676" s="56"/>
      <c r="J1676" s="60" t="str">
        <f aca="false">IF(IsPro,IF($D1676="","",IFERROR(INDEX(Items!$D$5:$D$504,U1676),"")),"")</f>
        <v/>
      </c>
      <c r="K1676" s="61" t="str">
        <f aca="false">IF(IsPro,IF($D1676="","",IF($F1676="",IFERROR(INDEX(Items!$H$5:$H$504,U1676),0),$F1676)),"")</f>
        <v/>
      </c>
      <c r="L1676" s="61" t="str">
        <f aca="false">IF(IsPro,IF($D1676="","",ROUND(N($E1676)*K1676*(1-N($G1676)),2)),"")</f>
        <v/>
      </c>
      <c r="M1676" s="62" t="str">
        <f aca="false">IF(IsPro,IF($D1676="","",IFERROR(INDEX(Items!$F$5:$F$504,U1676),0)),"")</f>
        <v/>
      </c>
      <c r="N1676" s="61" t="str">
        <f aca="false">IF(IsPro,IF($D1676="","",IF(AND(V1676&lt;&gt;"",INDEX(Parties!$E$5:$E$304,V1676)&lt;&gt;"",INDEX(Parties!$E$5:$E$304,V1676)&lt;&gt;HomeState),0,ROUND(L1676*M1676/2,2))),"")</f>
        <v/>
      </c>
      <c r="O1676" s="61" t="str">
        <f aca="false">IF(IsPro,IF($D1676="","",N1676),"")</f>
        <v/>
      </c>
      <c r="P1676" s="61" t="str">
        <f aca="false">IF(IsPro,IF($D1676="","",IF(AND(V1676&lt;&gt;"",INDEX(Parties!$E$5:$E$304,V1676)&lt;&gt;"",INDEX(Parties!$E$5:$E$304,V1676)&lt;&gt;HomeState),ROUND(L1676*M1676,2),0)),"")</f>
        <v/>
      </c>
      <c r="Q1676" s="61" t="str">
        <f aca="false">IF(IsPro,IF($D1676="","",L1676+N1676+O1676+P1676),"")</f>
        <v/>
      </c>
      <c r="R1676" s="61" t="str">
        <f aca="false">IF(IsPro,IF($D1676="","",ROUND(N($E1676)*IFERROR(INDEX(Items!$P$5:$P$504,U1676),0),2)),"")</f>
        <v/>
      </c>
      <c r="S1676" s="61" t="str">
        <f aca="false">IF(IsPro,IF($D1676="","",L1676-R1676),"")</f>
        <v/>
      </c>
      <c r="T1676" s="60" t="str">
        <f aca="false">IF(IsPro,IF($D1676="","",IF(U1676="","UNKNOWN ITEM",IF(INDEX(Items!$O$5:$O$504,U1676)&lt;0,"NEG STOCK",IF(K1676&lt;INDEX(Items!$P$5:$P$504,U1676),"BELOW COST","OK")))),IF($D1676="","","PRO PLAN"))</f>
        <v/>
      </c>
      <c r="U1676" s="60" t="str">
        <f aca="false">IF(IsPro,IF($D1676="","",IFERROR(MATCH($D1676,Items!$A$5:$A$504,0),"")),"")</f>
        <v/>
      </c>
      <c r="V1676" s="60" t="str">
        <f aca="false">IF(IsPro,IF($C1676="","",IFERROR(MATCH($C1676,Parties!$A$5:$A$304,0),"")),"")</f>
        <v/>
      </c>
      <c r="W1676" s="60" t="str">
        <f aca="false">IF(IsPro,IF($B1676="","",IFERROR(VALUE(SUBSTITUTE($B1676,InvPrefix,"")),0)),"")</f>
        <v/>
      </c>
      <c r="X1676" s="61" t="str">
        <f aca="false">IF(IsPro,IF($D1676="","",IF(OR($H1676="",$H1676="Credit"),0,Q1676)),"")</f>
        <v/>
      </c>
    </row>
    <row r="1677" customFormat="false" ht="15" hidden="false" customHeight="false" outlineLevel="0" collapsed="false">
      <c r="A1677" s="55"/>
      <c r="B1677" s="56"/>
      <c r="C1677" s="56"/>
      <c r="D1677" s="56"/>
      <c r="E1677" s="57"/>
      <c r="F1677" s="58"/>
      <c r="G1677" s="59"/>
      <c r="H1677" s="56"/>
      <c r="I1677" s="56"/>
      <c r="J1677" s="60" t="str">
        <f aca="false">IF(IsPro,IF($D1677="","",IFERROR(INDEX(Items!$D$5:$D$504,U1677),"")),"")</f>
        <v/>
      </c>
      <c r="K1677" s="61" t="str">
        <f aca="false">IF(IsPro,IF($D1677="","",IF($F1677="",IFERROR(INDEX(Items!$H$5:$H$504,U1677),0),$F1677)),"")</f>
        <v/>
      </c>
      <c r="L1677" s="61" t="str">
        <f aca="false">IF(IsPro,IF($D1677="","",ROUND(N($E1677)*K1677*(1-N($G1677)),2)),"")</f>
        <v/>
      </c>
      <c r="M1677" s="62" t="str">
        <f aca="false">IF(IsPro,IF($D1677="","",IFERROR(INDEX(Items!$F$5:$F$504,U1677),0)),"")</f>
        <v/>
      </c>
      <c r="N1677" s="61" t="str">
        <f aca="false">IF(IsPro,IF($D1677="","",IF(AND(V1677&lt;&gt;"",INDEX(Parties!$E$5:$E$304,V1677)&lt;&gt;"",INDEX(Parties!$E$5:$E$304,V1677)&lt;&gt;HomeState),0,ROUND(L1677*M1677/2,2))),"")</f>
        <v/>
      </c>
      <c r="O1677" s="61" t="str">
        <f aca="false">IF(IsPro,IF($D1677="","",N1677),"")</f>
        <v/>
      </c>
      <c r="P1677" s="61" t="str">
        <f aca="false">IF(IsPro,IF($D1677="","",IF(AND(V1677&lt;&gt;"",INDEX(Parties!$E$5:$E$304,V1677)&lt;&gt;"",INDEX(Parties!$E$5:$E$304,V1677)&lt;&gt;HomeState),ROUND(L1677*M1677,2),0)),"")</f>
        <v/>
      </c>
      <c r="Q1677" s="61" t="str">
        <f aca="false">IF(IsPro,IF($D1677="","",L1677+N1677+O1677+P1677),"")</f>
        <v/>
      </c>
      <c r="R1677" s="61" t="str">
        <f aca="false">IF(IsPro,IF($D1677="","",ROUND(N($E1677)*IFERROR(INDEX(Items!$P$5:$P$504,U1677),0),2)),"")</f>
        <v/>
      </c>
      <c r="S1677" s="61" t="str">
        <f aca="false">IF(IsPro,IF($D1677="","",L1677-R1677),"")</f>
        <v/>
      </c>
      <c r="T1677" s="60" t="str">
        <f aca="false">IF(IsPro,IF($D1677="","",IF(U1677="","UNKNOWN ITEM",IF(INDEX(Items!$O$5:$O$504,U1677)&lt;0,"NEG STOCK",IF(K1677&lt;INDEX(Items!$P$5:$P$504,U1677),"BELOW COST","OK")))),IF($D1677="","","PRO PLAN"))</f>
        <v/>
      </c>
      <c r="U1677" s="60" t="str">
        <f aca="false">IF(IsPro,IF($D1677="","",IFERROR(MATCH($D1677,Items!$A$5:$A$504,0),"")),"")</f>
        <v/>
      </c>
      <c r="V1677" s="60" t="str">
        <f aca="false">IF(IsPro,IF($C1677="","",IFERROR(MATCH($C1677,Parties!$A$5:$A$304,0),"")),"")</f>
        <v/>
      </c>
      <c r="W1677" s="60" t="str">
        <f aca="false">IF(IsPro,IF($B1677="","",IFERROR(VALUE(SUBSTITUTE($B1677,InvPrefix,"")),0)),"")</f>
        <v/>
      </c>
      <c r="X1677" s="61" t="str">
        <f aca="false">IF(IsPro,IF($D1677="","",IF(OR($H1677="",$H1677="Credit"),0,Q1677)),"")</f>
        <v/>
      </c>
    </row>
    <row r="1678" customFormat="false" ht="15" hidden="false" customHeight="false" outlineLevel="0" collapsed="false">
      <c r="A1678" s="55"/>
      <c r="B1678" s="56"/>
      <c r="C1678" s="56"/>
      <c r="D1678" s="56"/>
      <c r="E1678" s="57"/>
      <c r="F1678" s="58"/>
      <c r="G1678" s="59"/>
      <c r="H1678" s="56"/>
      <c r="I1678" s="56"/>
      <c r="J1678" s="60" t="str">
        <f aca="false">IF(IsPro,IF($D1678="","",IFERROR(INDEX(Items!$D$5:$D$504,U1678),"")),"")</f>
        <v/>
      </c>
      <c r="K1678" s="61" t="str">
        <f aca="false">IF(IsPro,IF($D1678="","",IF($F1678="",IFERROR(INDEX(Items!$H$5:$H$504,U1678),0),$F1678)),"")</f>
        <v/>
      </c>
      <c r="L1678" s="61" t="str">
        <f aca="false">IF(IsPro,IF($D1678="","",ROUND(N($E1678)*K1678*(1-N($G1678)),2)),"")</f>
        <v/>
      </c>
      <c r="M1678" s="62" t="str">
        <f aca="false">IF(IsPro,IF($D1678="","",IFERROR(INDEX(Items!$F$5:$F$504,U1678),0)),"")</f>
        <v/>
      </c>
      <c r="N1678" s="61" t="str">
        <f aca="false">IF(IsPro,IF($D1678="","",IF(AND(V1678&lt;&gt;"",INDEX(Parties!$E$5:$E$304,V1678)&lt;&gt;"",INDEX(Parties!$E$5:$E$304,V1678)&lt;&gt;HomeState),0,ROUND(L1678*M1678/2,2))),"")</f>
        <v/>
      </c>
      <c r="O1678" s="61" t="str">
        <f aca="false">IF(IsPro,IF($D1678="","",N1678),"")</f>
        <v/>
      </c>
      <c r="P1678" s="61" t="str">
        <f aca="false">IF(IsPro,IF($D1678="","",IF(AND(V1678&lt;&gt;"",INDEX(Parties!$E$5:$E$304,V1678)&lt;&gt;"",INDEX(Parties!$E$5:$E$304,V1678)&lt;&gt;HomeState),ROUND(L1678*M1678,2),0)),"")</f>
        <v/>
      </c>
      <c r="Q1678" s="61" t="str">
        <f aca="false">IF(IsPro,IF($D1678="","",L1678+N1678+O1678+P1678),"")</f>
        <v/>
      </c>
      <c r="R1678" s="61" t="str">
        <f aca="false">IF(IsPro,IF($D1678="","",ROUND(N($E1678)*IFERROR(INDEX(Items!$P$5:$P$504,U1678),0),2)),"")</f>
        <v/>
      </c>
      <c r="S1678" s="61" t="str">
        <f aca="false">IF(IsPro,IF($D1678="","",L1678-R1678),"")</f>
        <v/>
      </c>
      <c r="T1678" s="60" t="str">
        <f aca="false">IF(IsPro,IF($D1678="","",IF(U1678="","UNKNOWN ITEM",IF(INDEX(Items!$O$5:$O$504,U1678)&lt;0,"NEG STOCK",IF(K1678&lt;INDEX(Items!$P$5:$P$504,U1678),"BELOW COST","OK")))),IF($D1678="","","PRO PLAN"))</f>
        <v/>
      </c>
      <c r="U1678" s="60" t="str">
        <f aca="false">IF(IsPro,IF($D1678="","",IFERROR(MATCH($D1678,Items!$A$5:$A$504,0),"")),"")</f>
        <v/>
      </c>
      <c r="V1678" s="60" t="str">
        <f aca="false">IF(IsPro,IF($C1678="","",IFERROR(MATCH($C1678,Parties!$A$5:$A$304,0),"")),"")</f>
        <v/>
      </c>
      <c r="W1678" s="60" t="str">
        <f aca="false">IF(IsPro,IF($B1678="","",IFERROR(VALUE(SUBSTITUTE($B1678,InvPrefix,"")),0)),"")</f>
        <v/>
      </c>
      <c r="X1678" s="61" t="str">
        <f aca="false">IF(IsPro,IF($D1678="","",IF(OR($H1678="",$H1678="Credit"),0,Q1678)),"")</f>
        <v/>
      </c>
    </row>
    <row r="1679" customFormat="false" ht="15" hidden="false" customHeight="false" outlineLevel="0" collapsed="false">
      <c r="A1679" s="55"/>
      <c r="B1679" s="56"/>
      <c r="C1679" s="56"/>
      <c r="D1679" s="56"/>
      <c r="E1679" s="57"/>
      <c r="F1679" s="58"/>
      <c r="G1679" s="59"/>
      <c r="H1679" s="56"/>
      <c r="I1679" s="56"/>
      <c r="J1679" s="60" t="str">
        <f aca="false">IF(IsPro,IF($D1679="","",IFERROR(INDEX(Items!$D$5:$D$504,U1679),"")),"")</f>
        <v/>
      </c>
      <c r="K1679" s="61" t="str">
        <f aca="false">IF(IsPro,IF($D1679="","",IF($F1679="",IFERROR(INDEX(Items!$H$5:$H$504,U1679),0),$F1679)),"")</f>
        <v/>
      </c>
      <c r="L1679" s="61" t="str">
        <f aca="false">IF(IsPro,IF($D1679="","",ROUND(N($E1679)*K1679*(1-N($G1679)),2)),"")</f>
        <v/>
      </c>
      <c r="M1679" s="62" t="str">
        <f aca="false">IF(IsPro,IF($D1679="","",IFERROR(INDEX(Items!$F$5:$F$504,U1679),0)),"")</f>
        <v/>
      </c>
      <c r="N1679" s="61" t="str">
        <f aca="false">IF(IsPro,IF($D1679="","",IF(AND(V1679&lt;&gt;"",INDEX(Parties!$E$5:$E$304,V1679)&lt;&gt;"",INDEX(Parties!$E$5:$E$304,V1679)&lt;&gt;HomeState),0,ROUND(L1679*M1679/2,2))),"")</f>
        <v/>
      </c>
      <c r="O1679" s="61" t="str">
        <f aca="false">IF(IsPro,IF($D1679="","",N1679),"")</f>
        <v/>
      </c>
      <c r="P1679" s="61" t="str">
        <f aca="false">IF(IsPro,IF($D1679="","",IF(AND(V1679&lt;&gt;"",INDEX(Parties!$E$5:$E$304,V1679)&lt;&gt;"",INDEX(Parties!$E$5:$E$304,V1679)&lt;&gt;HomeState),ROUND(L1679*M1679,2),0)),"")</f>
        <v/>
      </c>
      <c r="Q1679" s="61" t="str">
        <f aca="false">IF(IsPro,IF($D1679="","",L1679+N1679+O1679+P1679),"")</f>
        <v/>
      </c>
      <c r="R1679" s="61" t="str">
        <f aca="false">IF(IsPro,IF($D1679="","",ROUND(N($E1679)*IFERROR(INDEX(Items!$P$5:$P$504,U1679),0),2)),"")</f>
        <v/>
      </c>
      <c r="S1679" s="61" t="str">
        <f aca="false">IF(IsPro,IF($D1679="","",L1679-R1679),"")</f>
        <v/>
      </c>
      <c r="T1679" s="60" t="str">
        <f aca="false">IF(IsPro,IF($D1679="","",IF(U1679="","UNKNOWN ITEM",IF(INDEX(Items!$O$5:$O$504,U1679)&lt;0,"NEG STOCK",IF(K1679&lt;INDEX(Items!$P$5:$P$504,U1679),"BELOW COST","OK")))),IF($D1679="","","PRO PLAN"))</f>
        <v/>
      </c>
      <c r="U1679" s="60" t="str">
        <f aca="false">IF(IsPro,IF($D1679="","",IFERROR(MATCH($D1679,Items!$A$5:$A$504,0),"")),"")</f>
        <v/>
      </c>
      <c r="V1679" s="60" t="str">
        <f aca="false">IF(IsPro,IF($C1679="","",IFERROR(MATCH($C1679,Parties!$A$5:$A$304,0),"")),"")</f>
        <v/>
      </c>
      <c r="W1679" s="60" t="str">
        <f aca="false">IF(IsPro,IF($B1679="","",IFERROR(VALUE(SUBSTITUTE($B1679,InvPrefix,"")),0)),"")</f>
        <v/>
      </c>
      <c r="X1679" s="61" t="str">
        <f aca="false">IF(IsPro,IF($D1679="","",IF(OR($H1679="",$H1679="Credit"),0,Q1679)),"")</f>
        <v/>
      </c>
    </row>
    <row r="1680" customFormat="false" ht="15" hidden="false" customHeight="false" outlineLevel="0" collapsed="false">
      <c r="A1680" s="55"/>
      <c r="B1680" s="56"/>
      <c r="C1680" s="56"/>
      <c r="D1680" s="56"/>
      <c r="E1680" s="57"/>
      <c r="F1680" s="58"/>
      <c r="G1680" s="59"/>
      <c r="H1680" s="56"/>
      <c r="I1680" s="56"/>
      <c r="J1680" s="60" t="str">
        <f aca="false">IF(IsPro,IF($D1680="","",IFERROR(INDEX(Items!$D$5:$D$504,U1680),"")),"")</f>
        <v/>
      </c>
      <c r="K1680" s="61" t="str">
        <f aca="false">IF(IsPro,IF($D1680="","",IF($F1680="",IFERROR(INDEX(Items!$H$5:$H$504,U1680),0),$F1680)),"")</f>
        <v/>
      </c>
      <c r="L1680" s="61" t="str">
        <f aca="false">IF(IsPro,IF($D1680="","",ROUND(N($E1680)*K1680*(1-N($G1680)),2)),"")</f>
        <v/>
      </c>
      <c r="M1680" s="62" t="str">
        <f aca="false">IF(IsPro,IF($D1680="","",IFERROR(INDEX(Items!$F$5:$F$504,U1680),0)),"")</f>
        <v/>
      </c>
      <c r="N1680" s="61" t="str">
        <f aca="false">IF(IsPro,IF($D1680="","",IF(AND(V1680&lt;&gt;"",INDEX(Parties!$E$5:$E$304,V1680)&lt;&gt;"",INDEX(Parties!$E$5:$E$304,V1680)&lt;&gt;HomeState),0,ROUND(L1680*M1680/2,2))),"")</f>
        <v/>
      </c>
      <c r="O1680" s="61" t="str">
        <f aca="false">IF(IsPro,IF($D1680="","",N1680),"")</f>
        <v/>
      </c>
      <c r="P1680" s="61" t="str">
        <f aca="false">IF(IsPro,IF($D1680="","",IF(AND(V1680&lt;&gt;"",INDEX(Parties!$E$5:$E$304,V1680)&lt;&gt;"",INDEX(Parties!$E$5:$E$304,V1680)&lt;&gt;HomeState),ROUND(L1680*M1680,2),0)),"")</f>
        <v/>
      </c>
      <c r="Q1680" s="61" t="str">
        <f aca="false">IF(IsPro,IF($D1680="","",L1680+N1680+O1680+P1680),"")</f>
        <v/>
      </c>
      <c r="R1680" s="61" t="str">
        <f aca="false">IF(IsPro,IF($D1680="","",ROUND(N($E1680)*IFERROR(INDEX(Items!$P$5:$P$504,U1680),0),2)),"")</f>
        <v/>
      </c>
      <c r="S1680" s="61" t="str">
        <f aca="false">IF(IsPro,IF($D1680="","",L1680-R1680),"")</f>
        <v/>
      </c>
      <c r="T1680" s="60" t="str">
        <f aca="false">IF(IsPro,IF($D1680="","",IF(U1680="","UNKNOWN ITEM",IF(INDEX(Items!$O$5:$O$504,U1680)&lt;0,"NEG STOCK",IF(K1680&lt;INDEX(Items!$P$5:$P$504,U1680),"BELOW COST","OK")))),IF($D1680="","","PRO PLAN"))</f>
        <v/>
      </c>
      <c r="U1680" s="60" t="str">
        <f aca="false">IF(IsPro,IF($D1680="","",IFERROR(MATCH($D1680,Items!$A$5:$A$504,0),"")),"")</f>
        <v/>
      </c>
      <c r="V1680" s="60" t="str">
        <f aca="false">IF(IsPro,IF($C1680="","",IFERROR(MATCH($C1680,Parties!$A$5:$A$304,0),"")),"")</f>
        <v/>
      </c>
      <c r="W1680" s="60" t="str">
        <f aca="false">IF(IsPro,IF($B1680="","",IFERROR(VALUE(SUBSTITUTE($B1680,InvPrefix,"")),0)),"")</f>
        <v/>
      </c>
      <c r="X1680" s="61" t="str">
        <f aca="false">IF(IsPro,IF($D1680="","",IF(OR($H1680="",$H1680="Credit"),0,Q1680)),"")</f>
        <v/>
      </c>
    </row>
    <row r="1681" customFormat="false" ht="15" hidden="false" customHeight="false" outlineLevel="0" collapsed="false">
      <c r="A1681" s="55"/>
      <c r="B1681" s="56"/>
      <c r="C1681" s="56"/>
      <c r="D1681" s="56"/>
      <c r="E1681" s="57"/>
      <c r="F1681" s="58"/>
      <c r="G1681" s="59"/>
      <c r="H1681" s="56"/>
      <c r="I1681" s="56"/>
      <c r="J1681" s="60" t="str">
        <f aca="false">IF(IsPro,IF($D1681="","",IFERROR(INDEX(Items!$D$5:$D$504,U1681),"")),"")</f>
        <v/>
      </c>
      <c r="K1681" s="61" t="str">
        <f aca="false">IF(IsPro,IF($D1681="","",IF($F1681="",IFERROR(INDEX(Items!$H$5:$H$504,U1681),0),$F1681)),"")</f>
        <v/>
      </c>
      <c r="L1681" s="61" t="str">
        <f aca="false">IF(IsPro,IF($D1681="","",ROUND(N($E1681)*K1681*(1-N($G1681)),2)),"")</f>
        <v/>
      </c>
      <c r="M1681" s="62" t="str">
        <f aca="false">IF(IsPro,IF($D1681="","",IFERROR(INDEX(Items!$F$5:$F$504,U1681),0)),"")</f>
        <v/>
      </c>
      <c r="N1681" s="61" t="str">
        <f aca="false">IF(IsPro,IF($D1681="","",IF(AND(V1681&lt;&gt;"",INDEX(Parties!$E$5:$E$304,V1681)&lt;&gt;"",INDEX(Parties!$E$5:$E$304,V1681)&lt;&gt;HomeState),0,ROUND(L1681*M1681/2,2))),"")</f>
        <v/>
      </c>
      <c r="O1681" s="61" t="str">
        <f aca="false">IF(IsPro,IF($D1681="","",N1681),"")</f>
        <v/>
      </c>
      <c r="P1681" s="61" t="str">
        <f aca="false">IF(IsPro,IF($D1681="","",IF(AND(V1681&lt;&gt;"",INDEX(Parties!$E$5:$E$304,V1681)&lt;&gt;"",INDEX(Parties!$E$5:$E$304,V1681)&lt;&gt;HomeState),ROUND(L1681*M1681,2),0)),"")</f>
        <v/>
      </c>
      <c r="Q1681" s="61" t="str">
        <f aca="false">IF(IsPro,IF($D1681="","",L1681+N1681+O1681+P1681),"")</f>
        <v/>
      </c>
      <c r="R1681" s="61" t="str">
        <f aca="false">IF(IsPro,IF($D1681="","",ROUND(N($E1681)*IFERROR(INDEX(Items!$P$5:$P$504,U1681),0),2)),"")</f>
        <v/>
      </c>
      <c r="S1681" s="61" t="str">
        <f aca="false">IF(IsPro,IF($D1681="","",L1681-R1681),"")</f>
        <v/>
      </c>
      <c r="T1681" s="60" t="str">
        <f aca="false">IF(IsPro,IF($D1681="","",IF(U1681="","UNKNOWN ITEM",IF(INDEX(Items!$O$5:$O$504,U1681)&lt;0,"NEG STOCK",IF(K1681&lt;INDEX(Items!$P$5:$P$504,U1681),"BELOW COST","OK")))),IF($D1681="","","PRO PLAN"))</f>
        <v/>
      </c>
      <c r="U1681" s="60" t="str">
        <f aca="false">IF(IsPro,IF($D1681="","",IFERROR(MATCH($D1681,Items!$A$5:$A$504,0),"")),"")</f>
        <v/>
      </c>
      <c r="V1681" s="60" t="str">
        <f aca="false">IF(IsPro,IF($C1681="","",IFERROR(MATCH($C1681,Parties!$A$5:$A$304,0),"")),"")</f>
        <v/>
      </c>
      <c r="W1681" s="60" t="str">
        <f aca="false">IF(IsPro,IF($B1681="","",IFERROR(VALUE(SUBSTITUTE($B1681,InvPrefix,"")),0)),"")</f>
        <v/>
      </c>
      <c r="X1681" s="61" t="str">
        <f aca="false">IF(IsPro,IF($D1681="","",IF(OR($H1681="",$H1681="Credit"),0,Q1681)),"")</f>
        <v/>
      </c>
    </row>
    <row r="1682" customFormat="false" ht="15" hidden="false" customHeight="false" outlineLevel="0" collapsed="false">
      <c r="A1682" s="55"/>
      <c r="B1682" s="56"/>
      <c r="C1682" s="56"/>
      <c r="D1682" s="56"/>
      <c r="E1682" s="57"/>
      <c r="F1682" s="58"/>
      <c r="G1682" s="59"/>
      <c r="H1682" s="56"/>
      <c r="I1682" s="56"/>
      <c r="J1682" s="60" t="str">
        <f aca="false">IF(IsPro,IF($D1682="","",IFERROR(INDEX(Items!$D$5:$D$504,U1682),"")),"")</f>
        <v/>
      </c>
      <c r="K1682" s="61" t="str">
        <f aca="false">IF(IsPro,IF($D1682="","",IF($F1682="",IFERROR(INDEX(Items!$H$5:$H$504,U1682),0),$F1682)),"")</f>
        <v/>
      </c>
      <c r="L1682" s="61" t="str">
        <f aca="false">IF(IsPro,IF($D1682="","",ROUND(N($E1682)*K1682*(1-N($G1682)),2)),"")</f>
        <v/>
      </c>
      <c r="M1682" s="62" t="str">
        <f aca="false">IF(IsPro,IF($D1682="","",IFERROR(INDEX(Items!$F$5:$F$504,U1682),0)),"")</f>
        <v/>
      </c>
      <c r="N1682" s="61" t="str">
        <f aca="false">IF(IsPro,IF($D1682="","",IF(AND(V1682&lt;&gt;"",INDEX(Parties!$E$5:$E$304,V1682)&lt;&gt;"",INDEX(Parties!$E$5:$E$304,V1682)&lt;&gt;HomeState),0,ROUND(L1682*M1682/2,2))),"")</f>
        <v/>
      </c>
      <c r="O1682" s="61" t="str">
        <f aca="false">IF(IsPro,IF($D1682="","",N1682),"")</f>
        <v/>
      </c>
      <c r="P1682" s="61" t="str">
        <f aca="false">IF(IsPro,IF($D1682="","",IF(AND(V1682&lt;&gt;"",INDEX(Parties!$E$5:$E$304,V1682)&lt;&gt;"",INDEX(Parties!$E$5:$E$304,V1682)&lt;&gt;HomeState),ROUND(L1682*M1682,2),0)),"")</f>
        <v/>
      </c>
      <c r="Q1682" s="61" t="str">
        <f aca="false">IF(IsPro,IF($D1682="","",L1682+N1682+O1682+P1682),"")</f>
        <v/>
      </c>
      <c r="R1682" s="61" t="str">
        <f aca="false">IF(IsPro,IF($D1682="","",ROUND(N($E1682)*IFERROR(INDEX(Items!$P$5:$P$504,U1682),0),2)),"")</f>
        <v/>
      </c>
      <c r="S1682" s="61" t="str">
        <f aca="false">IF(IsPro,IF($D1682="","",L1682-R1682),"")</f>
        <v/>
      </c>
      <c r="T1682" s="60" t="str">
        <f aca="false">IF(IsPro,IF($D1682="","",IF(U1682="","UNKNOWN ITEM",IF(INDEX(Items!$O$5:$O$504,U1682)&lt;0,"NEG STOCK",IF(K1682&lt;INDEX(Items!$P$5:$P$504,U1682),"BELOW COST","OK")))),IF($D1682="","","PRO PLAN"))</f>
        <v/>
      </c>
      <c r="U1682" s="60" t="str">
        <f aca="false">IF(IsPro,IF($D1682="","",IFERROR(MATCH($D1682,Items!$A$5:$A$504,0),"")),"")</f>
        <v/>
      </c>
      <c r="V1682" s="60" t="str">
        <f aca="false">IF(IsPro,IF($C1682="","",IFERROR(MATCH($C1682,Parties!$A$5:$A$304,0),"")),"")</f>
        <v/>
      </c>
      <c r="W1682" s="60" t="str">
        <f aca="false">IF(IsPro,IF($B1682="","",IFERROR(VALUE(SUBSTITUTE($B1682,InvPrefix,"")),0)),"")</f>
        <v/>
      </c>
      <c r="X1682" s="61" t="str">
        <f aca="false">IF(IsPro,IF($D1682="","",IF(OR($H1682="",$H1682="Credit"),0,Q1682)),"")</f>
        <v/>
      </c>
    </row>
    <row r="1683" customFormat="false" ht="15" hidden="false" customHeight="false" outlineLevel="0" collapsed="false">
      <c r="A1683" s="55"/>
      <c r="B1683" s="56"/>
      <c r="C1683" s="56"/>
      <c r="D1683" s="56"/>
      <c r="E1683" s="57"/>
      <c r="F1683" s="58"/>
      <c r="G1683" s="59"/>
      <c r="H1683" s="56"/>
      <c r="I1683" s="56"/>
      <c r="J1683" s="60" t="str">
        <f aca="false">IF(IsPro,IF($D1683="","",IFERROR(INDEX(Items!$D$5:$D$504,U1683),"")),"")</f>
        <v/>
      </c>
      <c r="K1683" s="61" t="str">
        <f aca="false">IF(IsPro,IF($D1683="","",IF($F1683="",IFERROR(INDEX(Items!$H$5:$H$504,U1683),0),$F1683)),"")</f>
        <v/>
      </c>
      <c r="L1683" s="61" t="str">
        <f aca="false">IF(IsPro,IF($D1683="","",ROUND(N($E1683)*K1683*(1-N($G1683)),2)),"")</f>
        <v/>
      </c>
      <c r="M1683" s="62" t="str">
        <f aca="false">IF(IsPro,IF($D1683="","",IFERROR(INDEX(Items!$F$5:$F$504,U1683),0)),"")</f>
        <v/>
      </c>
      <c r="N1683" s="61" t="str">
        <f aca="false">IF(IsPro,IF($D1683="","",IF(AND(V1683&lt;&gt;"",INDEX(Parties!$E$5:$E$304,V1683)&lt;&gt;"",INDEX(Parties!$E$5:$E$304,V1683)&lt;&gt;HomeState),0,ROUND(L1683*M1683/2,2))),"")</f>
        <v/>
      </c>
      <c r="O1683" s="61" t="str">
        <f aca="false">IF(IsPro,IF($D1683="","",N1683),"")</f>
        <v/>
      </c>
      <c r="P1683" s="61" t="str">
        <f aca="false">IF(IsPro,IF($D1683="","",IF(AND(V1683&lt;&gt;"",INDEX(Parties!$E$5:$E$304,V1683)&lt;&gt;"",INDEX(Parties!$E$5:$E$304,V1683)&lt;&gt;HomeState),ROUND(L1683*M1683,2),0)),"")</f>
        <v/>
      </c>
      <c r="Q1683" s="61" t="str">
        <f aca="false">IF(IsPro,IF($D1683="","",L1683+N1683+O1683+P1683),"")</f>
        <v/>
      </c>
      <c r="R1683" s="61" t="str">
        <f aca="false">IF(IsPro,IF($D1683="","",ROUND(N($E1683)*IFERROR(INDEX(Items!$P$5:$P$504,U1683),0),2)),"")</f>
        <v/>
      </c>
      <c r="S1683" s="61" t="str">
        <f aca="false">IF(IsPro,IF($D1683="","",L1683-R1683),"")</f>
        <v/>
      </c>
      <c r="T1683" s="60" t="str">
        <f aca="false">IF(IsPro,IF($D1683="","",IF(U1683="","UNKNOWN ITEM",IF(INDEX(Items!$O$5:$O$504,U1683)&lt;0,"NEG STOCK",IF(K1683&lt;INDEX(Items!$P$5:$P$504,U1683),"BELOW COST","OK")))),IF($D1683="","","PRO PLAN"))</f>
        <v/>
      </c>
      <c r="U1683" s="60" t="str">
        <f aca="false">IF(IsPro,IF($D1683="","",IFERROR(MATCH($D1683,Items!$A$5:$A$504,0),"")),"")</f>
        <v/>
      </c>
      <c r="V1683" s="60" t="str">
        <f aca="false">IF(IsPro,IF($C1683="","",IFERROR(MATCH($C1683,Parties!$A$5:$A$304,0),"")),"")</f>
        <v/>
      </c>
      <c r="W1683" s="60" t="str">
        <f aca="false">IF(IsPro,IF($B1683="","",IFERROR(VALUE(SUBSTITUTE($B1683,InvPrefix,"")),0)),"")</f>
        <v/>
      </c>
      <c r="X1683" s="61" t="str">
        <f aca="false">IF(IsPro,IF($D1683="","",IF(OR($H1683="",$H1683="Credit"),0,Q1683)),"")</f>
        <v/>
      </c>
    </row>
    <row r="1684" customFormat="false" ht="15" hidden="false" customHeight="false" outlineLevel="0" collapsed="false">
      <c r="A1684" s="55"/>
      <c r="B1684" s="56"/>
      <c r="C1684" s="56"/>
      <c r="D1684" s="56"/>
      <c r="E1684" s="57"/>
      <c r="F1684" s="58"/>
      <c r="G1684" s="59"/>
      <c r="H1684" s="56"/>
      <c r="I1684" s="56"/>
      <c r="J1684" s="60" t="str">
        <f aca="false">IF(IsPro,IF($D1684="","",IFERROR(INDEX(Items!$D$5:$D$504,U1684),"")),"")</f>
        <v/>
      </c>
      <c r="K1684" s="61" t="str">
        <f aca="false">IF(IsPro,IF($D1684="","",IF($F1684="",IFERROR(INDEX(Items!$H$5:$H$504,U1684),0),$F1684)),"")</f>
        <v/>
      </c>
      <c r="L1684" s="61" t="str">
        <f aca="false">IF(IsPro,IF($D1684="","",ROUND(N($E1684)*K1684*(1-N($G1684)),2)),"")</f>
        <v/>
      </c>
      <c r="M1684" s="62" t="str">
        <f aca="false">IF(IsPro,IF($D1684="","",IFERROR(INDEX(Items!$F$5:$F$504,U1684),0)),"")</f>
        <v/>
      </c>
      <c r="N1684" s="61" t="str">
        <f aca="false">IF(IsPro,IF($D1684="","",IF(AND(V1684&lt;&gt;"",INDEX(Parties!$E$5:$E$304,V1684)&lt;&gt;"",INDEX(Parties!$E$5:$E$304,V1684)&lt;&gt;HomeState),0,ROUND(L1684*M1684/2,2))),"")</f>
        <v/>
      </c>
      <c r="O1684" s="61" t="str">
        <f aca="false">IF(IsPro,IF($D1684="","",N1684),"")</f>
        <v/>
      </c>
      <c r="P1684" s="61" t="str">
        <f aca="false">IF(IsPro,IF($D1684="","",IF(AND(V1684&lt;&gt;"",INDEX(Parties!$E$5:$E$304,V1684)&lt;&gt;"",INDEX(Parties!$E$5:$E$304,V1684)&lt;&gt;HomeState),ROUND(L1684*M1684,2),0)),"")</f>
        <v/>
      </c>
      <c r="Q1684" s="61" t="str">
        <f aca="false">IF(IsPro,IF($D1684="","",L1684+N1684+O1684+P1684),"")</f>
        <v/>
      </c>
      <c r="R1684" s="61" t="str">
        <f aca="false">IF(IsPro,IF($D1684="","",ROUND(N($E1684)*IFERROR(INDEX(Items!$P$5:$P$504,U1684),0),2)),"")</f>
        <v/>
      </c>
      <c r="S1684" s="61" t="str">
        <f aca="false">IF(IsPro,IF($D1684="","",L1684-R1684),"")</f>
        <v/>
      </c>
      <c r="T1684" s="60" t="str">
        <f aca="false">IF(IsPro,IF($D1684="","",IF(U1684="","UNKNOWN ITEM",IF(INDEX(Items!$O$5:$O$504,U1684)&lt;0,"NEG STOCK",IF(K1684&lt;INDEX(Items!$P$5:$P$504,U1684),"BELOW COST","OK")))),IF($D1684="","","PRO PLAN"))</f>
        <v/>
      </c>
      <c r="U1684" s="60" t="str">
        <f aca="false">IF(IsPro,IF($D1684="","",IFERROR(MATCH($D1684,Items!$A$5:$A$504,0),"")),"")</f>
        <v/>
      </c>
      <c r="V1684" s="60" t="str">
        <f aca="false">IF(IsPro,IF($C1684="","",IFERROR(MATCH($C1684,Parties!$A$5:$A$304,0),"")),"")</f>
        <v/>
      </c>
      <c r="W1684" s="60" t="str">
        <f aca="false">IF(IsPro,IF($B1684="","",IFERROR(VALUE(SUBSTITUTE($B1684,InvPrefix,"")),0)),"")</f>
        <v/>
      </c>
      <c r="X1684" s="61" t="str">
        <f aca="false">IF(IsPro,IF($D1684="","",IF(OR($H1684="",$H1684="Credit"),0,Q1684)),"")</f>
        <v/>
      </c>
    </row>
    <row r="1685" customFormat="false" ht="15" hidden="false" customHeight="false" outlineLevel="0" collapsed="false">
      <c r="A1685" s="55"/>
      <c r="B1685" s="56"/>
      <c r="C1685" s="56"/>
      <c r="D1685" s="56"/>
      <c r="E1685" s="57"/>
      <c r="F1685" s="58"/>
      <c r="G1685" s="59"/>
      <c r="H1685" s="56"/>
      <c r="I1685" s="56"/>
      <c r="J1685" s="60" t="str">
        <f aca="false">IF(IsPro,IF($D1685="","",IFERROR(INDEX(Items!$D$5:$D$504,U1685),"")),"")</f>
        <v/>
      </c>
      <c r="K1685" s="61" t="str">
        <f aca="false">IF(IsPro,IF($D1685="","",IF($F1685="",IFERROR(INDEX(Items!$H$5:$H$504,U1685),0),$F1685)),"")</f>
        <v/>
      </c>
      <c r="L1685" s="61" t="str">
        <f aca="false">IF(IsPro,IF($D1685="","",ROUND(N($E1685)*K1685*(1-N($G1685)),2)),"")</f>
        <v/>
      </c>
      <c r="M1685" s="62" t="str">
        <f aca="false">IF(IsPro,IF($D1685="","",IFERROR(INDEX(Items!$F$5:$F$504,U1685),0)),"")</f>
        <v/>
      </c>
      <c r="N1685" s="61" t="str">
        <f aca="false">IF(IsPro,IF($D1685="","",IF(AND(V1685&lt;&gt;"",INDEX(Parties!$E$5:$E$304,V1685)&lt;&gt;"",INDEX(Parties!$E$5:$E$304,V1685)&lt;&gt;HomeState),0,ROUND(L1685*M1685/2,2))),"")</f>
        <v/>
      </c>
      <c r="O1685" s="61" t="str">
        <f aca="false">IF(IsPro,IF($D1685="","",N1685),"")</f>
        <v/>
      </c>
      <c r="P1685" s="61" t="str">
        <f aca="false">IF(IsPro,IF($D1685="","",IF(AND(V1685&lt;&gt;"",INDEX(Parties!$E$5:$E$304,V1685)&lt;&gt;"",INDEX(Parties!$E$5:$E$304,V1685)&lt;&gt;HomeState),ROUND(L1685*M1685,2),0)),"")</f>
        <v/>
      </c>
      <c r="Q1685" s="61" t="str">
        <f aca="false">IF(IsPro,IF($D1685="","",L1685+N1685+O1685+P1685),"")</f>
        <v/>
      </c>
      <c r="R1685" s="61" t="str">
        <f aca="false">IF(IsPro,IF($D1685="","",ROUND(N($E1685)*IFERROR(INDEX(Items!$P$5:$P$504,U1685),0),2)),"")</f>
        <v/>
      </c>
      <c r="S1685" s="61" t="str">
        <f aca="false">IF(IsPro,IF($D1685="","",L1685-R1685),"")</f>
        <v/>
      </c>
      <c r="T1685" s="60" t="str">
        <f aca="false">IF(IsPro,IF($D1685="","",IF(U1685="","UNKNOWN ITEM",IF(INDEX(Items!$O$5:$O$504,U1685)&lt;0,"NEG STOCK",IF(K1685&lt;INDEX(Items!$P$5:$P$504,U1685),"BELOW COST","OK")))),IF($D1685="","","PRO PLAN"))</f>
        <v/>
      </c>
      <c r="U1685" s="60" t="str">
        <f aca="false">IF(IsPro,IF($D1685="","",IFERROR(MATCH($D1685,Items!$A$5:$A$504,0),"")),"")</f>
        <v/>
      </c>
      <c r="V1685" s="60" t="str">
        <f aca="false">IF(IsPro,IF($C1685="","",IFERROR(MATCH($C1685,Parties!$A$5:$A$304,0),"")),"")</f>
        <v/>
      </c>
      <c r="W1685" s="60" t="str">
        <f aca="false">IF(IsPro,IF($B1685="","",IFERROR(VALUE(SUBSTITUTE($B1685,InvPrefix,"")),0)),"")</f>
        <v/>
      </c>
      <c r="X1685" s="61" t="str">
        <f aca="false">IF(IsPro,IF($D1685="","",IF(OR($H1685="",$H1685="Credit"),0,Q1685)),"")</f>
        <v/>
      </c>
    </row>
    <row r="1686" customFormat="false" ht="15" hidden="false" customHeight="false" outlineLevel="0" collapsed="false">
      <c r="A1686" s="55"/>
      <c r="B1686" s="56"/>
      <c r="C1686" s="56"/>
      <c r="D1686" s="56"/>
      <c r="E1686" s="57"/>
      <c r="F1686" s="58"/>
      <c r="G1686" s="59"/>
      <c r="H1686" s="56"/>
      <c r="I1686" s="56"/>
      <c r="J1686" s="60" t="str">
        <f aca="false">IF(IsPro,IF($D1686="","",IFERROR(INDEX(Items!$D$5:$D$504,U1686),"")),"")</f>
        <v/>
      </c>
      <c r="K1686" s="61" t="str">
        <f aca="false">IF(IsPro,IF($D1686="","",IF($F1686="",IFERROR(INDEX(Items!$H$5:$H$504,U1686),0),$F1686)),"")</f>
        <v/>
      </c>
      <c r="L1686" s="61" t="str">
        <f aca="false">IF(IsPro,IF($D1686="","",ROUND(N($E1686)*K1686*(1-N($G1686)),2)),"")</f>
        <v/>
      </c>
      <c r="M1686" s="62" t="str">
        <f aca="false">IF(IsPro,IF($D1686="","",IFERROR(INDEX(Items!$F$5:$F$504,U1686),0)),"")</f>
        <v/>
      </c>
      <c r="N1686" s="61" t="str">
        <f aca="false">IF(IsPro,IF($D1686="","",IF(AND(V1686&lt;&gt;"",INDEX(Parties!$E$5:$E$304,V1686)&lt;&gt;"",INDEX(Parties!$E$5:$E$304,V1686)&lt;&gt;HomeState),0,ROUND(L1686*M1686/2,2))),"")</f>
        <v/>
      </c>
      <c r="O1686" s="61" t="str">
        <f aca="false">IF(IsPro,IF($D1686="","",N1686),"")</f>
        <v/>
      </c>
      <c r="P1686" s="61" t="str">
        <f aca="false">IF(IsPro,IF($D1686="","",IF(AND(V1686&lt;&gt;"",INDEX(Parties!$E$5:$E$304,V1686)&lt;&gt;"",INDEX(Parties!$E$5:$E$304,V1686)&lt;&gt;HomeState),ROUND(L1686*M1686,2),0)),"")</f>
        <v/>
      </c>
      <c r="Q1686" s="61" t="str">
        <f aca="false">IF(IsPro,IF($D1686="","",L1686+N1686+O1686+P1686),"")</f>
        <v/>
      </c>
      <c r="R1686" s="61" t="str">
        <f aca="false">IF(IsPro,IF($D1686="","",ROUND(N($E1686)*IFERROR(INDEX(Items!$P$5:$P$504,U1686),0),2)),"")</f>
        <v/>
      </c>
      <c r="S1686" s="61" t="str">
        <f aca="false">IF(IsPro,IF($D1686="","",L1686-R1686),"")</f>
        <v/>
      </c>
      <c r="T1686" s="60" t="str">
        <f aca="false">IF(IsPro,IF($D1686="","",IF(U1686="","UNKNOWN ITEM",IF(INDEX(Items!$O$5:$O$504,U1686)&lt;0,"NEG STOCK",IF(K1686&lt;INDEX(Items!$P$5:$P$504,U1686),"BELOW COST","OK")))),IF($D1686="","","PRO PLAN"))</f>
        <v/>
      </c>
      <c r="U1686" s="60" t="str">
        <f aca="false">IF(IsPro,IF($D1686="","",IFERROR(MATCH($D1686,Items!$A$5:$A$504,0),"")),"")</f>
        <v/>
      </c>
      <c r="V1686" s="60" t="str">
        <f aca="false">IF(IsPro,IF($C1686="","",IFERROR(MATCH($C1686,Parties!$A$5:$A$304,0),"")),"")</f>
        <v/>
      </c>
      <c r="W1686" s="60" t="str">
        <f aca="false">IF(IsPro,IF($B1686="","",IFERROR(VALUE(SUBSTITUTE($B1686,InvPrefix,"")),0)),"")</f>
        <v/>
      </c>
      <c r="X1686" s="61" t="str">
        <f aca="false">IF(IsPro,IF($D1686="","",IF(OR($H1686="",$H1686="Credit"),0,Q1686)),"")</f>
        <v/>
      </c>
    </row>
    <row r="1687" customFormat="false" ht="15" hidden="false" customHeight="false" outlineLevel="0" collapsed="false">
      <c r="A1687" s="55"/>
      <c r="B1687" s="56"/>
      <c r="C1687" s="56"/>
      <c r="D1687" s="56"/>
      <c r="E1687" s="57"/>
      <c r="F1687" s="58"/>
      <c r="G1687" s="59"/>
      <c r="H1687" s="56"/>
      <c r="I1687" s="56"/>
      <c r="J1687" s="60" t="str">
        <f aca="false">IF(IsPro,IF($D1687="","",IFERROR(INDEX(Items!$D$5:$D$504,U1687),"")),"")</f>
        <v/>
      </c>
      <c r="K1687" s="61" t="str">
        <f aca="false">IF(IsPro,IF($D1687="","",IF($F1687="",IFERROR(INDEX(Items!$H$5:$H$504,U1687),0),$F1687)),"")</f>
        <v/>
      </c>
      <c r="L1687" s="61" t="str">
        <f aca="false">IF(IsPro,IF($D1687="","",ROUND(N($E1687)*K1687*(1-N($G1687)),2)),"")</f>
        <v/>
      </c>
      <c r="M1687" s="62" t="str">
        <f aca="false">IF(IsPro,IF($D1687="","",IFERROR(INDEX(Items!$F$5:$F$504,U1687),0)),"")</f>
        <v/>
      </c>
      <c r="N1687" s="61" t="str">
        <f aca="false">IF(IsPro,IF($D1687="","",IF(AND(V1687&lt;&gt;"",INDEX(Parties!$E$5:$E$304,V1687)&lt;&gt;"",INDEX(Parties!$E$5:$E$304,V1687)&lt;&gt;HomeState),0,ROUND(L1687*M1687/2,2))),"")</f>
        <v/>
      </c>
      <c r="O1687" s="61" t="str">
        <f aca="false">IF(IsPro,IF($D1687="","",N1687),"")</f>
        <v/>
      </c>
      <c r="P1687" s="61" t="str">
        <f aca="false">IF(IsPro,IF($D1687="","",IF(AND(V1687&lt;&gt;"",INDEX(Parties!$E$5:$E$304,V1687)&lt;&gt;"",INDEX(Parties!$E$5:$E$304,V1687)&lt;&gt;HomeState),ROUND(L1687*M1687,2),0)),"")</f>
        <v/>
      </c>
      <c r="Q1687" s="61" t="str">
        <f aca="false">IF(IsPro,IF($D1687="","",L1687+N1687+O1687+P1687),"")</f>
        <v/>
      </c>
      <c r="R1687" s="61" t="str">
        <f aca="false">IF(IsPro,IF($D1687="","",ROUND(N($E1687)*IFERROR(INDEX(Items!$P$5:$P$504,U1687),0),2)),"")</f>
        <v/>
      </c>
      <c r="S1687" s="61" t="str">
        <f aca="false">IF(IsPro,IF($D1687="","",L1687-R1687),"")</f>
        <v/>
      </c>
      <c r="T1687" s="60" t="str">
        <f aca="false">IF(IsPro,IF($D1687="","",IF(U1687="","UNKNOWN ITEM",IF(INDEX(Items!$O$5:$O$504,U1687)&lt;0,"NEG STOCK",IF(K1687&lt;INDEX(Items!$P$5:$P$504,U1687),"BELOW COST","OK")))),IF($D1687="","","PRO PLAN"))</f>
        <v/>
      </c>
      <c r="U1687" s="60" t="str">
        <f aca="false">IF(IsPro,IF($D1687="","",IFERROR(MATCH($D1687,Items!$A$5:$A$504,0),"")),"")</f>
        <v/>
      </c>
      <c r="V1687" s="60" t="str">
        <f aca="false">IF(IsPro,IF($C1687="","",IFERROR(MATCH($C1687,Parties!$A$5:$A$304,0),"")),"")</f>
        <v/>
      </c>
      <c r="W1687" s="60" t="str">
        <f aca="false">IF(IsPro,IF($B1687="","",IFERROR(VALUE(SUBSTITUTE($B1687,InvPrefix,"")),0)),"")</f>
        <v/>
      </c>
      <c r="X1687" s="61" t="str">
        <f aca="false">IF(IsPro,IF($D1687="","",IF(OR($H1687="",$H1687="Credit"),0,Q1687)),"")</f>
        <v/>
      </c>
    </row>
    <row r="1688" customFormat="false" ht="15" hidden="false" customHeight="false" outlineLevel="0" collapsed="false">
      <c r="A1688" s="55"/>
      <c r="B1688" s="56"/>
      <c r="C1688" s="56"/>
      <c r="D1688" s="56"/>
      <c r="E1688" s="57"/>
      <c r="F1688" s="58"/>
      <c r="G1688" s="59"/>
      <c r="H1688" s="56"/>
      <c r="I1688" s="56"/>
      <c r="J1688" s="60" t="str">
        <f aca="false">IF(IsPro,IF($D1688="","",IFERROR(INDEX(Items!$D$5:$D$504,U1688),"")),"")</f>
        <v/>
      </c>
      <c r="K1688" s="61" t="str">
        <f aca="false">IF(IsPro,IF($D1688="","",IF($F1688="",IFERROR(INDEX(Items!$H$5:$H$504,U1688),0),$F1688)),"")</f>
        <v/>
      </c>
      <c r="L1688" s="61" t="str">
        <f aca="false">IF(IsPro,IF($D1688="","",ROUND(N($E1688)*K1688*(1-N($G1688)),2)),"")</f>
        <v/>
      </c>
      <c r="M1688" s="62" t="str">
        <f aca="false">IF(IsPro,IF($D1688="","",IFERROR(INDEX(Items!$F$5:$F$504,U1688),0)),"")</f>
        <v/>
      </c>
      <c r="N1688" s="61" t="str">
        <f aca="false">IF(IsPro,IF($D1688="","",IF(AND(V1688&lt;&gt;"",INDEX(Parties!$E$5:$E$304,V1688)&lt;&gt;"",INDEX(Parties!$E$5:$E$304,V1688)&lt;&gt;HomeState),0,ROUND(L1688*M1688/2,2))),"")</f>
        <v/>
      </c>
      <c r="O1688" s="61" t="str">
        <f aca="false">IF(IsPro,IF($D1688="","",N1688),"")</f>
        <v/>
      </c>
      <c r="P1688" s="61" t="str">
        <f aca="false">IF(IsPro,IF($D1688="","",IF(AND(V1688&lt;&gt;"",INDEX(Parties!$E$5:$E$304,V1688)&lt;&gt;"",INDEX(Parties!$E$5:$E$304,V1688)&lt;&gt;HomeState),ROUND(L1688*M1688,2),0)),"")</f>
        <v/>
      </c>
      <c r="Q1688" s="61" t="str">
        <f aca="false">IF(IsPro,IF($D1688="","",L1688+N1688+O1688+P1688),"")</f>
        <v/>
      </c>
      <c r="R1688" s="61" t="str">
        <f aca="false">IF(IsPro,IF($D1688="","",ROUND(N($E1688)*IFERROR(INDEX(Items!$P$5:$P$504,U1688),0),2)),"")</f>
        <v/>
      </c>
      <c r="S1688" s="61" t="str">
        <f aca="false">IF(IsPro,IF($D1688="","",L1688-R1688),"")</f>
        <v/>
      </c>
      <c r="T1688" s="60" t="str">
        <f aca="false">IF(IsPro,IF($D1688="","",IF(U1688="","UNKNOWN ITEM",IF(INDEX(Items!$O$5:$O$504,U1688)&lt;0,"NEG STOCK",IF(K1688&lt;INDEX(Items!$P$5:$P$504,U1688),"BELOW COST","OK")))),IF($D1688="","","PRO PLAN"))</f>
        <v/>
      </c>
      <c r="U1688" s="60" t="str">
        <f aca="false">IF(IsPro,IF($D1688="","",IFERROR(MATCH($D1688,Items!$A$5:$A$504,0),"")),"")</f>
        <v/>
      </c>
      <c r="V1688" s="60" t="str">
        <f aca="false">IF(IsPro,IF($C1688="","",IFERROR(MATCH($C1688,Parties!$A$5:$A$304,0),"")),"")</f>
        <v/>
      </c>
      <c r="W1688" s="60" t="str">
        <f aca="false">IF(IsPro,IF($B1688="","",IFERROR(VALUE(SUBSTITUTE($B1688,InvPrefix,"")),0)),"")</f>
        <v/>
      </c>
      <c r="X1688" s="61" t="str">
        <f aca="false">IF(IsPro,IF($D1688="","",IF(OR($H1688="",$H1688="Credit"),0,Q1688)),"")</f>
        <v/>
      </c>
    </row>
    <row r="1689" customFormat="false" ht="15" hidden="false" customHeight="false" outlineLevel="0" collapsed="false">
      <c r="A1689" s="55"/>
      <c r="B1689" s="56"/>
      <c r="C1689" s="56"/>
      <c r="D1689" s="56"/>
      <c r="E1689" s="57"/>
      <c r="F1689" s="58"/>
      <c r="G1689" s="59"/>
      <c r="H1689" s="56"/>
      <c r="I1689" s="56"/>
      <c r="J1689" s="60" t="str">
        <f aca="false">IF(IsPro,IF($D1689="","",IFERROR(INDEX(Items!$D$5:$D$504,U1689),"")),"")</f>
        <v/>
      </c>
      <c r="K1689" s="61" t="str">
        <f aca="false">IF(IsPro,IF($D1689="","",IF($F1689="",IFERROR(INDEX(Items!$H$5:$H$504,U1689),0),$F1689)),"")</f>
        <v/>
      </c>
      <c r="L1689" s="61" t="str">
        <f aca="false">IF(IsPro,IF($D1689="","",ROUND(N($E1689)*K1689*(1-N($G1689)),2)),"")</f>
        <v/>
      </c>
      <c r="M1689" s="62" t="str">
        <f aca="false">IF(IsPro,IF($D1689="","",IFERROR(INDEX(Items!$F$5:$F$504,U1689),0)),"")</f>
        <v/>
      </c>
      <c r="N1689" s="61" t="str">
        <f aca="false">IF(IsPro,IF($D1689="","",IF(AND(V1689&lt;&gt;"",INDEX(Parties!$E$5:$E$304,V1689)&lt;&gt;"",INDEX(Parties!$E$5:$E$304,V1689)&lt;&gt;HomeState),0,ROUND(L1689*M1689/2,2))),"")</f>
        <v/>
      </c>
      <c r="O1689" s="61" t="str">
        <f aca="false">IF(IsPro,IF($D1689="","",N1689),"")</f>
        <v/>
      </c>
      <c r="P1689" s="61" t="str">
        <f aca="false">IF(IsPro,IF($D1689="","",IF(AND(V1689&lt;&gt;"",INDEX(Parties!$E$5:$E$304,V1689)&lt;&gt;"",INDEX(Parties!$E$5:$E$304,V1689)&lt;&gt;HomeState),ROUND(L1689*M1689,2),0)),"")</f>
        <v/>
      </c>
      <c r="Q1689" s="61" t="str">
        <f aca="false">IF(IsPro,IF($D1689="","",L1689+N1689+O1689+P1689),"")</f>
        <v/>
      </c>
      <c r="R1689" s="61" t="str">
        <f aca="false">IF(IsPro,IF($D1689="","",ROUND(N($E1689)*IFERROR(INDEX(Items!$P$5:$P$504,U1689),0),2)),"")</f>
        <v/>
      </c>
      <c r="S1689" s="61" t="str">
        <f aca="false">IF(IsPro,IF($D1689="","",L1689-R1689),"")</f>
        <v/>
      </c>
      <c r="T1689" s="60" t="str">
        <f aca="false">IF(IsPro,IF($D1689="","",IF(U1689="","UNKNOWN ITEM",IF(INDEX(Items!$O$5:$O$504,U1689)&lt;0,"NEG STOCK",IF(K1689&lt;INDEX(Items!$P$5:$P$504,U1689),"BELOW COST","OK")))),IF($D1689="","","PRO PLAN"))</f>
        <v/>
      </c>
      <c r="U1689" s="60" t="str">
        <f aca="false">IF(IsPro,IF($D1689="","",IFERROR(MATCH($D1689,Items!$A$5:$A$504,0),"")),"")</f>
        <v/>
      </c>
      <c r="V1689" s="60" t="str">
        <f aca="false">IF(IsPro,IF($C1689="","",IFERROR(MATCH($C1689,Parties!$A$5:$A$304,0),"")),"")</f>
        <v/>
      </c>
      <c r="W1689" s="60" t="str">
        <f aca="false">IF(IsPro,IF($B1689="","",IFERROR(VALUE(SUBSTITUTE($B1689,InvPrefix,"")),0)),"")</f>
        <v/>
      </c>
      <c r="X1689" s="61" t="str">
        <f aca="false">IF(IsPro,IF($D1689="","",IF(OR($H1689="",$H1689="Credit"),0,Q1689)),"")</f>
        <v/>
      </c>
    </row>
    <row r="1690" customFormat="false" ht="15" hidden="false" customHeight="false" outlineLevel="0" collapsed="false">
      <c r="A1690" s="55"/>
      <c r="B1690" s="56"/>
      <c r="C1690" s="56"/>
      <c r="D1690" s="56"/>
      <c r="E1690" s="57"/>
      <c r="F1690" s="58"/>
      <c r="G1690" s="59"/>
      <c r="H1690" s="56"/>
      <c r="I1690" s="56"/>
      <c r="J1690" s="60" t="str">
        <f aca="false">IF(IsPro,IF($D1690="","",IFERROR(INDEX(Items!$D$5:$D$504,U1690),"")),"")</f>
        <v/>
      </c>
      <c r="K1690" s="61" t="str">
        <f aca="false">IF(IsPro,IF($D1690="","",IF($F1690="",IFERROR(INDEX(Items!$H$5:$H$504,U1690),0),$F1690)),"")</f>
        <v/>
      </c>
      <c r="L1690" s="61" t="str">
        <f aca="false">IF(IsPro,IF($D1690="","",ROUND(N($E1690)*K1690*(1-N($G1690)),2)),"")</f>
        <v/>
      </c>
      <c r="M1690" s="62" t="str">
        <f aca="false">IF(IsPro,IF($D1690="","",IFERROR(INDEX(Items!$F$5:$F$504,U1690),0)),"")</f>
        <v/>
      </c>
      <c r="N1690" s="61" t="str">
        <f aca="false">IF(IsPro,IF($D1690="","",IF(AND(V1690&lt;&gt;"",INDEX(Parties!$E$5:$E$304,V1690)&lt;&gt;"",INDEX(Parties!$E$5:$E$304,V1690)&lt;&gt;HomeState),0,ROUND(L1690*M1690/2,2))),"")</f>
        <v/>
      </c>
      <c r="O1690" s="61" t="str">
        <f aca="false">IF(IsPro,IF($D1690="","",N1690),"")</f>
        <v/>
      </c>
      <c r="P1690" s="61" t="str">
        <f aca="false">IF(IsPro,IF($D1690="","",IF(AND(V1690&lt;&gt;"",INDEX(Parties!$E$5:$E$304,V1690)&lt;&gt;"",INDEX(Parties!$E$5:$E$304,V1690)&lt;&gt;HomeState),ROUND(L1690*M1690,2),0)),"")</f>
        <v/>
      </c>
      <c r="Q1690" s="61" t="str">
        <f aca="false">IF(IsPro,IF($D1690="","",L1690+N1690+O1690+P1690),"")</f>
        <v/>
      </c>
      <c r="R1690" s="61" t="str">
        <f aca="false">IF(IsPro,IF($D1690="","",ROUND(N($E1690)*IFERROR(INDEX(Items!$P$5:$P$504,U1690),0),2)),"")</f>
        <v/>
      </c>
      <c r="S1690" s="61" t="str">
        <f aca="false">IF(IsPro,IF($D1690="","",L1690-R1690),"")</f>
        <v/>
      </c>
      <c r="T1690" s="60" t="str">
        <f aca="false">IF(IsPro,IF($D1690="","",IF(U1690="","UNKNOWN ITEM",IF(INDEX(Items!$O$5:$O$504,U1690)&lt;0,"NEG STOCK",IF(K1690&lt;INDEX(Items!$P$5:$P$504,U1690),"BELOW COST","OK")))),IF($D1690="","","PRO PLAN"))</f>
        <v/>
      </c>
      <c r="U1690" s="60" t="str">
        <f aca="false">IF(IsPro,IF($D1690="","",IFERROR(MATCH($D1690,Items!$A$5:$A$504,0),"")),"")</f>
        <v/>
      </c>
      <c r="V1690" s="60" t="str">
        <f aca="false">IF(IsPro,IF($C1690="","",IFERROR(MATCH($C1690,Parties!$A$5:$A$304,0),"")),"")</f>
        <v/>
      </c>
      <c r="W1690" s="60" t="str">
        <f aca="false">IF(IsPro,IF($B1690="","",IFERROR(VALUE(SUBSTITUTE($B1690,InvPrefix,"")),0)),"")</f>
        <v/>
      </c>
      <c r="X1690" s="61" t="str">
        <f aca="false">IF(IsPro,IF($D1690="","",IF(OR($H1690="",$H1690="Credit"),0,Q1690)),"")</f>
        <v/>
      </c>
    </row>
    <row r="1691" customFormat="false" ht="15" hidden="false" customHeight="false" outlineLevel="0" collapsed="false">
      <c r="A1691" s="55"/>
      <c r="B1691" s="56"/>
      <c r="C1691" s="56"/>
      <c r="D1691" s="56"/>
      <c r="E1691" s="57"/>
      <c r="F1691" s="58"/>
      <c r="G1691" s="59"/>
      <c r="H1691" s="56"/>
      <c r="I1691" s="56"/>
      <c r="J1691" s="60" t="str">
        <f aca="false">IF(IsPro,IF($D1691="","",IFERROR(INDEX(Items!$D$5:$D$504,U1691),"")),"")</f>
        <v/>
      </c>
      <c r="K1691" s="61" t="str">
        <f aca="false">IF(IsPro,IF($D1691="","",IF($F1691="",IFERROR(INDEX(Items!$H$5:$H$504,U1691),0),$F1691)),"")</f>
        <v/>
      </c>
      <c r="L1691" s="61" t="str">
        <f aca="false">IF(IsPro,IF($D1691="","",ROUND(N($E1691)*K1691*(1-N($G1691)),2)),"")</f>
        <v/>
      </c>
      <c r="M1691" s="62" t="str">
        <f aca="false">IF(IsPro,IF($D1691="","",IFERROR(INDEX(Items!$F$5:$F$504,U1691),0)),"")</f>
        <v/>
      </c>
      <c r="N1691" s="61" t="str">
        <f aca="false">IF(IsPro,IF($D1691="","",IF(AND(V1691&lt;&gt;"",INDEX(Parties!$E$5:$E$304,V1691)&lt;&gt;"",INDEX(Parties!$E$5:$E$304,V1691)&lt;&gt;HomeState),0,ROUND(L1691*M1691/2,2))),"")</f>
        <v/>
      </c>
      <c r="O1691" s="61" t="str">
        <f aca="false">IF(IsPro,IF($D1691="","",N1691),"")</f>
        <v/>
      </c>
      <c r="P1691" s="61" t="str">
        <f aca="false">IF(IsPro,IF($D1691="","",IF(AND(V1691&lt;&gt;"",INDEX(Parties!$E$5:$E$304,V1691)&lt;&gt;"",INDEX(Parties!$E$5:$E$304,V1691)&lt;&gt;HomeState),ROUND(L1691*M1691,2),0)),"")</f>
        <v/>
      </c>
      <c r="Q1691" s="61" t="str">
        <f aca="false">IF(IsPro,IF($D1691="","",L1691+N1691+O1691+P1691),"")</f>
        <v/>
      </c>
      <c r="R1691" s="61" t="str">
        <f aca="false">IF(IsPro,IF($D1691="","",ROUND(N($E1691)*IFERROR(INDEX(Items!$P$5:$P$504,U1691),0),2)),"")</f>
        <v/>
      </c>
      <c r="S1691" s="61" t="str">
        <f aca="false">IF(IsPro,IF($D1691="","",L1691-R1691),"")</f>
        <v/>
      </c>
      <c r="T1691" s="60" t="str">
        <f aca="false">IF(IsPro,IF($D1691="","",IF(U1691="","UNKNOWN ITEM",IF(INDEX(Items!$O$5:$O$504,U1691)&lt;0,"NEG STOCK",IF(K1691&lt;INDEX(Items!$P$5:$P$504,U1691),"BELOW COST","OK")))),IF($D1691="","","PRO PLAN"))</f>
        <v/>
      </c>
      <c r="U1691" s="60" t="str">
        <f aca="false">IF(IsPro,IF($D1691="","",IFERROR(MATCH($D1691,Items!$A$5:$A$504,0),"")),"")</f>
        <v/>
      </c>
      <c r="V1691" s="60" t="str">
        <f aca="false">IF(IsPro,IF($C1691="","",IFERROR(MATCH($C1691,Parties!$A$5:$A$304,0),"")),"")</f>
        <v/>
      </c>
      <c r="W1691" s="60" t="str">
        <f aca="false">IF(IsPro,IF($B1691="","",IFERROR(VALUE(SUBSTITUTE($B1691,InvPrefix,"")),0)),"")</f>
        <v/>
      </c>
      <c r="X1691" s="61" t="str">
        <f aca="false">IF(IsPro,IF($D1691="","",IF(OR($H1691="",$H1691="Credit"),0,Q1691)),"")</f>
        <v/>
      </c>
    </row>
    <row r="1692" customFormat="false" ht="15" hidden="false" customHeight="false" outlineLevel="0" collapsed="false">
      <c r="A1692" s="55"/>
      <c r="B1692" s="56"/>
      <c r="C1692" s="56"/>
      <c r="D1692" s="56"/>
      <c r="E1692" s="57"/>
      <c r="F1692" s="58"/>
      <c r="G1692" s="59"/>
      <c r="H1692" s="56"/>
      <c r="I1692" s="56"/>
      <c r="J1692" s="60" t="str">
        <f aca="false">IF(IsPro,IF($D1692="","",IFERROR(INDEX(Items!$D$5:$D$504,U1692),"")),"")</f>
        <v/>
      </c>
      <c r="K1692" s="61" t="str">
        <f aca="false">IF(IsPro,IF($D1692="","",IF($F1692="",IFERROR(INDEX(Items!$H$5:$H$504,U1692),0),$F1692)),"")</f>
        <v/>
      </c>
      <c r="L1692" s="61" t="str">
        <f aca="false">IF(IsPro,IF($D1692="","",ROUND(N($E1692)*K1692*(1-N($G1692)),2)),"")</f>
        <v/>
      </c>
      <c r="M1692" s="62" t="str">
        <f aca="false">IF(IsPro,IF($D1692="","",IFERROR(INDEX(Items!$F$5:$F$504,U1692),0)),"")</f>
        <v/>
      </c>
      <c r="N1692" s="61" t="str">
        <f aca="false">IF(IsPro,IF($D1692="","",IF(AND(V1692&lt;&gt;"",INDEX(Parties!$E$5:$E$304,V1692)&lt;&gt;"",INDEX(Parties!$E$5:$E$304,V1692)&lt;&gt;HomeState),0,ROUND(L1692*M1692/2,2))),"")</f>
        <v/>
      </c>
      <c r="O1692" s="61" t="str">
        <f aca="false">IF(IsPro,IF($D1692="","",N1692),"")</f>
        <v/>
      </c>
      <c r="P1692" s="61" t="str">
        <f aca="false">IF(IsPro,IF($D1692="","",IF(AND(V1692&lt;&gt;"",INDEX(Parties!$E$5:$E$304,V1692)&lt;&gt;"",INDEX(Parties!$E$5:$E$304,V1692)&lt;&gt;HomeState),ROUND(L1692*M1692,2),0)),"")</f>
        <v/>
      </c>
      <c r="Q1692" s="61" t="str">
        <f aca="false">IF(IsPro,IF($D1692="","",L1692+N1692+O1692+P1692),"")</f>
        <v/>
      </c>
      <c r="R1692" s="61" t="str">
        <f aca="false">IF(IsPro,IF($D1692="","",ROUND(N($E1692)*IFERROR(INDEX(Items!$P$5:$P$504,U1692),0),2)),"")</f>
        <v/>
      </c>
      <c r="S1692" s="61" t="str">
        <f aca="false">IF(IsPro,IF($D1692="","",L1692-R1692),"")</f>
        <v/>
      </c>
      <c r="T1692" s="60" t="str">
        <f aca="false">IF(IsPro,IF($D1692="","",IF(U1692="","UNKNOWN ITEM",IF(INDEX(Items!$O$5:$O$504,U1692)&lt;0,"NEG STOCK",IF(K1692&lt;INDEX(Items!$P$5:$P$504,U1692),"BELOW COST","OK")))),IF($D1692="","","PRO PLAN"))</f>
        <v/>
      </c>
      <c r="U1692" s="60" t="str">
        <f aca="false">IF(IsPro,IF($D1692="","",IFERROR(MATCH($D1692,Items!$A$5:$A$504,0),"")),"")</f>
        <v/>
      </c>
      <c r="V1692" s="60" t="str">
        <f aca="false">IF(IsPro,IF($C1692="","",IFERROR(MATCH($C1692,Parties!$A$5:$A$304,0),"")),"")</f>
        <v/>
      </c>
      <c r="W1692" s="60" t="str">
        <f aca="false">IF(IsPro,IF($B1692="","",IFERROR(VALUE(SUBSTITUTE($B1692,InvPrefix,"")),0)),"")</f>
        <v/>
      </c>
      <c r="X1692" s="61" t="str">
        <f aca="false">IF(IsPro,IF($D1692="","",IF(OR($H1692="",$H1692="Credit"),0,Q1692)),"")</f>
        <v/>
      </c>
    </row>
    <row r="1693" customFormat="false" ht="15" hidden="false" customHeight="false" outlineLevel="0" collapsed="false">
      <c r="A1693" s="55"/>
      <c r="B1693" s="56"/>
      <c r="C1693" s="56"/>
      <c r="D1693" s="56"/>
      <c r="E1693" s="57"/>
      <c r="F1693" s="58"/>
      <c r="G1693" s="59"/>
      <c r="H1693" s="56"/>
      <c r="I1693" s="56"/>
      <c r="J1693" s="60" t="str">
        <f aca="false">IF(IsPro,IF($D1693="","",IFERROR(INDEX(Items!$D$5:$D$504,U1693),"")),"")</f>
        <v/>
      </c>
      <c r="K1693" s="61" t="str">
        <f aca="false">IF(IsPro,IF($D1693="","",IF($F1693="",IFERROR(INDEX(Items!$H$5:$H$504,U1693),0),$F1693)),"")</f>
        <v/>
      </c>
      <c r="L1693" s="61" t="str">
        <f aca="false">IF(IsPro,IF($D1693="","",ROUND(N($E1693)*K1693*(1-N($G1693)),2)),"")</f>
        <v/>
      </c>
      <c r="M1693" s="62" t="str">
        <f aca="false">IF(IsPro,IF($D1693="","",IFERROR(INDEX(Items!$F$5:$F$504,U1693),0)),"")</f>
        <v/>
      </c>
      <c r="N1693" s="61" t="str">
        <f aca="false">IF(IsPro,IF($D1693="","",IF(AND(V1693&lt;&gt;"",INDEX(Parties!$E$5:$E$304,V1693)&lt;&gt;"",INDEX(Parties!$E$5:$E$304,V1693)&lt;&gt;HomeState),0,ROUND(L1693*M1693/2,2))),"")</f>
        <v/>
      </c>
      <c r="O1693" s="61" t="str">
        <f aca="false">IF(IsPro,IF($D1693="","",N1693),"")</f>
        <v/>
      </c>
      <c r="P1693" s="61" t="str">
        <f aca="false">IF(IsPro,IF($D1693="","",IF(AND(V1693&lt;&gt;"",INDEX(Parties!$E$5:$E$304,V1693)&lt;&gt;"",INDEX(Parties!$E$5:$E$304,V1693)&lt;&gt;HomeState),ROUND(L1693*M1693,2),0)),"")</f>
        <v/>
      </c>
      <c r="Q1693" s="61" t="str">
        <f aca="false">IF(IsPro,IF($D1693="","",L1693+N1693+O1693+P1693),"")</f>
        <v/>
      </c>
      <c r="R1693" s="61" t="str">
        <f aca="false">IF(IsPro,IF($D1693="","",ROUND(N($E1693)*IFERROR(INDEX(Items!$P$5:$P$504,U1693),0),2)),"")</f>
        <v/>
      </c>
      <c r="S1693" s="61" t="str">
        <f aca="false">IF(IsPro,IF($D1693="","",L1693-R1693),"")</f>
        <v/>
      </c>
      <c r="T1693" s="60" t="str">
        <f aca="false">IF(IsPro,IF($D1693="","",IF(U1693="","UNKNOWN ITEM",IF(INDEX(Items!$O$5:$O$504,U1693)&lt;0,"NEG STOCK",IF(K1693&lt;INDEX(Items!$P$5:$P$504,U1693),"BELOW COST","OK")))),IF($D1693="","","PRO PLAN"))</f>
        <v/>
      </c>
      <c r="U1693" s="60" t="str">
        <f aca="false">IF(IsPro,IF($D1693="","",IFERROR(MATCH($D1693,Items!$A$5:$A$504,0),"")),"")</f>
        <v/>
      </c>
      <c r="V1693" s="60" t="str">
        <f aca="false">IF(IsPro,IF($C1693="","",IFERROR(MATCH($C1693,Parties!$A$5:$A$304,0),"")),"")</f>
        <v/>
      </c>
      <c r="W1693" s="60" t="str">
        <f aca="false">IF(IsPro,IF($B1693="","",IFERROR(VALUE(SUBSTITUTE($B1693,InvPrefix,"")),0)),"")</f>
        <v/>
      </c>
      <c r="X1693" s="61" t="str">
        <f aca="false">IF(IsPro,IF($D1693="","",IF(OR($H1693="",$H1693="Credit"),0,Q1693)),"")</f>
        <v/>
      </c>
    </row>
    <row r="1694" customFormat="false" ht="15" hidden="false" customHeight="false" outlineLevel="0" collapsed="false">
      <c r="A1694" s="55"/>
      <c r="B1694" s="56"/>
      <c r="C1694" s="56"/>
      <c r="D1694" s="56"/>
      <c r="E1694" s="57"/>
      <c r="F1694" s="58"/>
      <c r="G1694" s="59"/>
      <c r="H1694" s="56"/>
      <c r="I1694" s="56"/>
      <c r="J1694" s="60" t="str">
        <f aca="false">IF(IsPro,IF($D1694="","",IFERROR(INDEX(Items!$D$5:$D$504,U1694),"")),"")</f>
        <v/>
      </c>
      <c r="K1694" s="61" t="str">
        <f aca="false">IF(IsPro,IF($D1694="","",IF($F1694="",IFERROR(INDEX(Items!$H$5:$H$504,U1694),0),$F1694)),"")</f>
        <v/>
      </c>
      <c r="L1694" s="61" t="str">
        <f aca="false">IF(IsPro,IF($D1694="","",ROUND(N($E1694)*K1694*(1-N($G1694)),2)),"")</f>
        <v/>
      </c>
      <c r="M1694" s="62" t="str">
        <f aca="false">IF(IsPro,IF($D1694="","",IFERROR(INDEX(Items!$F$5:$F$504,U1694),0)),"")</f>
        <v/>
      </c>
      <c r="N1694" s="61" t="str">
        <f aca="false">IF(IsPro,IF($D1694="","",IF(AND(V1694&lt;&gt;"",INDEX(Parties!$E$5:$E$304,V1694)&lt;&gt;"",INDEX(Parties!$E$5:$E$304,V1694)&lt;&gt;HomeState),0,ROUND(L1694*M1694/2,2))),"")</f>
        <v/>
      </c>
      <c r="O1694" s="61" t="str">
        <f aca="false">IF(IsPro,IF($D1694="","",N1694),"")</f>
        <v/>
      </c>
      <c r="P1694" s="61" t="str">
        <f aca="false">IF(IsPro,IF($D1694="","",IF(AND(V1694&lt;&gt;"",INDEX(Parties!$E$5:$E$304,V1694)&lt;&gt;"",INDEX(Parties!$E$5:$E$304,V1694)&lt;&gt;HomeState),ROUND(L1694*M1694,2),0)),"")</f>
        <v/>
      </c>
      <c r="Q1694" s="61" t="str">
        <f aca="false">IF(IsPro,IF($D1694="","",L1694+N1694+O1694+P1694),"")</f>
        <v/>
      </c>
      <c r="R1694" s="61" t="str">
        <f aca="false">IF(IsPro,IF($D1694="","",ROUND(N($E1694)*IFERROR(INDEX(Items!$P$5:$P$504,U1694),0),2)),"")</f>
        <v/>
      </c>
      <c r="S1694" s="61" t="str">
        <f aca="false">IF(IsPro,IF($D1694="","",L1694-R1694),"")</f>
        <v/>
      </c>
      <c r="T1694" s="60" t="str">
        <f aca="false">IF(IsPro,IF($D1694="","",IF(U1694="","UNKNOWN ITEM",IF(INDEX(Items!$O$5:$O$504,U1694)&lt;0,"NEG STOCK",IF(K1694&lt;INDEX(Items!$P$5:$P$504,U1694),"BELOW COST","OK")))),IF($D1694="","","PRO PLAN"))</f>
        <v/>
      </c>
      <c r="U1694" s="60" t="str">
        <f aca="false">IF(IsPro,IF($D1694="","",IFERROR(MATCH($D1694,Items!$A$5:$A$504,0),"")),"")</f>
        <v/>
      </c>
      <c r="V1694" s="60" t="str">
        <f aca="false">IF(IsPro,IF($C1694="","",IFERROR(MATCH($C1694,Parties!$A$5:$A$304,0),"")),"")</f>
        <v/>
      </c>
      <c r="W1694" s="60" t="str">
        <f aca="false">IF(IsPro,IF($B1694="","",IFERROR(VALUE(SUBSTITUTE($B1694,InvPrefix,"")),0)),"")</f>
        <v/>
      </c>
      <c r="X1694" s="61" t="str">
        <f aca="false">IF(IsPro,IF($D1694="","",IF(OR($H1694="",$H1694="Credit"),0,Q1694)),"")</f>
        <v/>
      </c>
    </row>
    <row r="1695" customFormat="false" ht="15" hidden="false" customHeight="false" outlineLevel="0" collapsed="false">
      <c r="A1695" s="55"/>
      <c r="B1695" s="56"/>
      <c r="C1695" s="56"/>
      <c r="D1695" s="56"/>
      <c r="E1695" s="57"/>
      <c r="F1695" s="58"/>
      <c r="G1695" s="59"/>
      <c r="H1695" s="56"/>
      <c r="I1695" s="56"/>
      <c r="J1695" s="60" t="str">
        <f aca="false">IF(IsPro,IF($D1695="","",IFERROR(INDEX(Items!$D$5:$D$504,U1695),"")),"")</f>
        <v/>
      </c>
      <c r="K1695" s="61" t="str">
        <f aca="false">IF(IsPro,IF($D1695="","",IF($F1695="",IFERROR(INDEX(Items!$H$5:$H$504,U1695),0),$F1695)),"")</f>
        <v/>
      </c>
      <c r="L1695" s="61" t="str">
        <f aca="false">IF(IsPro,IF($D1695="","",ROUND(N($E1695)*K1695*(1-N($G1695)),2)),"")</f>
        <v/>
      </c>
      <c r="M1695" s="62" t="str">
        <f aca="false">IF(IsPro,IF($D1695="","",IFERROR(INDEX(Items!$F$5:$F$504,U1695),0)),"")</f>
        <v/>
      </c>
      <c r="N1695" s="61" t="str">
        <f aca="false">IF(IsPro,IF($D1695="","",IF(AND(V1695&lt;&gt;"",INDEX(Parties!$E$5:$E$304,V1695)&lt;&gt;"",INDEX(Parties!$E$5:$E$304,V1695)&lt;&gt;HomeState),0,ROUND(L1695*M1695/2,2))),"")</f>
        <v/>
      </c>
      <c r="O1695" s="61" t="str">
        <f aca="false">IF(IsPro,IF($D1695="","",N1695),"")</f>
        <v/>
      </c>
      <c r="P1695" s="61" t="str">
        <f aca="false">IF(IsPro,IF($D1695="","",IF(AND(V1695&lt;&gt;"",INDEX(Parties!$E$5:$E$304,V1695)&lt;&gt;"",INDEX(Parties!$E$5:$E$304,V1695)&lt;&gt;HomeState),ROUND(L1695*M1695,2),0)),"")</f>
        <v/>
      </c>
      <c r="Q1695" s="61" t="str">
        <f aca="false">IF(IsPro,IF($D1695="","",L1695+N1695+O1695+P1695),"")</f>
        <v/>
      </c>
      <c r="R1695" s="61" t="str">
        <f aca="false">IF(IsPro,IF($D1695="","",ROUND(N($E1695)*IFERROR(INDEX(Items!$P$5:$P$504,U1695),0),2)),"")</f>
        <v/>
      </c>
      <c r="S1695" s="61" t="str">
        <f aca="false">IF(IsPro,IF($D1695="","",L1695-R1695),"")</f>
        <v/>
      </c>
      <c r="T1695" s="60" t="str">
        <f aca="false">IF(IsPro,IF($D1695="","",IF(U1695="","UNKNOWN ITEM",IF(INDEX(Items!$O$5:$O$504,U1695)&lt;0,"NEG STOCK",IF(K1695&lt;INDEX(Items!$P$5:$P$504,U1695),"BELOW COST","OK")))),IF($D1695="","","PRO PLAN"))</f>
        <v/>
      </c>
      <c r="U1695" s="60" t="str">
        <f aca="false">IF(IsPro,IF($D1695="","",IFERROR(MATCH($D1695,Items!$A$5:$A$504,0),"")),"")</f>
        <v/>
      </c>
      <c r="V1695" s="60" t="str">
        <f aca="false">IF(IsPro,IF($C1695="","",IFERROR(MATCH($C1695,Parties!$A$5:$A$304,0),"")),"")</f>
        <v/>
      </c>
      <c r="W1695" s="60" t="str">
        <f aca="false">IF(IsPro,IF($B1695="","",IFERROR(VALUE(SUBSTITUTE($B1695,InvPrefix,"")),0)),"")</f>
        <v/>
      </c>
      <c r="X1695" s="61" t="str">
        <f aca="false">IF(IsPro,IF($D1695="","",IF(OR($H1695="",$H1695="Credit"),0,Q1695)),"")</f>
        <v/>
      </c>
    </row>
    <row r="1696" customFormat="false" ht="15" hidden="false" customHeight="false" outlineLevel="0" collapsed="false">
      <c r="A1696" s="55"/>
      <c r="B1696" s="56"/>
      <c r="C1696" s="56"/>
      <c r="D1696" s="56"/>
      <c r="E1696" s="57"/>
      <c r="F1696" s="58"/>
      <c r="G1696" s="59"/>
      <c r="H1696" s="56"/>
      <c r="I1696" s="56"/>
      <c r="J1696" s="60" t="str">
        <f aca="false">IF(IsPro,IF($D1696="","",IFERROR(INDEX(Items!$D$5:$D$504,U1696),"")),"")</f>
        <v/>
      </c>
      <c r="K1696" s="61" t="str">
        <f aca="false">IF(IsPro,IF($D1696="","",IF($F1696="",IFERROR(INDEX(Items!$H$5:$H$504,U1696),0),$F1696)),"")</f>
        <v/>
      </c>
      <c r="L1696" s="61" t="str">
        <f aca="false">IF(IsPro,IF($D1696="","",ROUND(N($E1696)*K1696*(1-N($G1696)),2)),"")</f>
        <v/>
      </c>
      <c r="M1696" s="62" t="str">
        <f aca="false">IF(IsPro,IF($D1696="","",IFERROR(INDEX(Items!$F$5:$F$504,U1696),0)),"")</f>
        <v/>
      </c>
      <c r="N1696" s="61" t="str">
        <f aca="false">IF(IsPro,IF($D1696="","",IF(AND(V1696&lt;&gt;"",INDEX(Parties!$E$5:$E$304,V1696)&lt;&gt;"",INDEX(Parties!$E$5:$E$304,V1696)&lt;&gt;HomeState),0,ROUND(L1696*M1696/2,2))),"")</f>
        <v/>
      </c>
      <c r="O1696" s="61" t="str">
        <f aca="false">IF(IsPro,IF($D1696="","",N1696),"")</f>
        <v/>
      </c>
      <c r="P1696" s="61" t="str">
        <f aca="false">IF(IsPro,IF($D1696="","",IF(AND(V1696&lt;&gt;"",INDEX(Parties!$E$5:$E$304,V1696)&lt;&gt;"",INDEX(Parties!$E$5:$E$304,V1696)&lt;&gt;HomeState),ROUND(L1696*M1696,2),0)),"")</f>
        <v/>
      </c>
      <c r="Q1696" s="61" t="str">
        <f aca="false">IF(IsPro,IF($D1696="","",L1696+N1696+O1696+P1696),"")</f>
        <v/>
      </c>
      <c r="R1696" s="61" t="str">
        <f aca="false">IF(IsPro,IF($D1696="","",ROUND(N($E1696)*IFERROR(INDEX(Items!$P$5:$P$504,U1696),0),2)),"")</f>
        <v/>
      </c>
      <c r="S1696" s="61" t="str">
        <f aca="false">IF(IsPro,IF($D1696="","",L1696-R1696),"")</f>
        <v/>
      </c>
      <c r="T1696" s="60" t="str">
        <f aca="false">IF(IsPro,IF($D1696="","",IF(U1696="","UNKNOWN ITEM",IF(INDEX(Items!$O$5:$O$504,U1696)&lt;0,"NEG STOCK",IF(K1696&lt;INDEX(Items!$P$5:$P$504,U1696),"BELOW COST","OK")))),IF($D1696="","","PRO PLAN"))</f>
        <v/>
      </c>
      <c r="U1696" s="60" t="str">
        <f aca="false">IF(IsPro,IF($D1696="","",IFERROR(MATCH($D1696,Items!$A$5:$A$504,0),"")),"")</f>
        <v/>
      </c>
      <c r="V1696" s="60" t="str">
        <f aca="false">IF(IsPro,IF($C1696="","",IFERROR(MATCH($C1696,Parties!$A$5:$A$304,0),"")),"")</f>
        <v/>
      </c>
      <c r="W1696" s="60" t="str">
        <f aca="false">IF(IsPro,IF($B1696="","",IFERROR(VALUE(SUBSTITUTE($B1696,InvPrefix,"")),0)),"")</f>
        <v/>
      </c>
      <c r="X1696" s="61" t="str">
        <f aca="false">IF(IsPro,IF($D1696="","",IF(OR($H1696="",$H1696="Credit"),0,Q1696)),"")</f>
        <v/>
      </c>
    </row>
    <row r="1697" customFormat="false" ht="15" hidden="false" customHeight="false" outlineLevel="0" collapsed="false">
      <c r="A1697" s="55"/>
      <c r="B1697" s="56"/>
      <c r="C1697" s="56"/>
      <c r="D1697" s="56"/>
      <c r="E1697" s="57"/>
      <c r="F1697" s="58"/>
      <c r="G1697" s="59"/>
      <c r="H1697" s="56"/>
      <c r="I1697" s="56"/>
      <c r="J1697" s="60" t="str">
        <f aca="false">IF(IsPro,IF($D1697="","",IFERROR(INDEX(Items!$D$5:$D$504,U1697),"")),"")</f>
        <v/>
      </c>
      <c r="K1697" s="61" t="str">
        <f aca="false">IF(IsPro,IF($D1697="","",IF($F1697="",IFERROR(INDEX(Items!$H$5:$H$504,U1697),0),$F1697)),"")</f>
        <v/>
      </c>
      <c r="L1697" s="61" t="str">
        <f aca="false">IF(IsPro,IF($D1697="","",ROUND(N($E1697)*K1697*(1-N($G1697)),2)),"")</f>
        <v/>
      </c>
      <c r="M1697" s="62" t="str">
        <f aca="false">IF(IsPro,IF($D1697="","",IFERROR(INDEX(Items!$F$5:$F$504,U1697),0)),"")</f>
        <v/>
      </c>
      <c r="N1697" s="61" t="str">
        <f aca="false">IF(IsPro,IF($D1697="","",IF(AND(V1697&lt;&gt;"",INDEX(Parties!$E$5:$E$304,V1697)&lt;&gt;"",INDEX(Parties!$E$5:$E$304,V1697)&lt;&gt;HomeState),0,ROUND(L1697*M1697/2,2))),"")</f>
        <v/>
      </c>
      <c r="O1697" s="61" t="str">
        <f aca="false">IF(IsPro,IF($D1697="","",N1697),"")</f>
        <v/>
      </c>
      <c r="P1697" s="61" t="str">
        <f aca="false">IF(IsPro,IF($D1697="","",IF(AND(V1697&lt;&gt;"",INDEX(Parties!$E$5:$E$304,V1697)&lt;&gt;"",INDEX(Parties!$E$5:$E$304,V1697)&lt;&gt;HomeState),ROUND(L1697*M1697,2),0)),"")</f>
        <v/>
      </c>
      <c r="Q1697" s="61" t="str">
        <f aca="false">IF(IsPro,IF($D1697="","",L1697+N1697+O1697+P1697),"")</f>
        <v/>
      </c>
      <c r="R1697" s="61" t="str">
        <f aca="false">IF(IsPro,IF($D1697="","",ROUND(N($E1697)*IFERROR(INDEX(Items!$P$5:$P$504,U1697),0),2)),"")</f>
        <v/>
      </c>
      <c r="S1697" s="61" t="str">
        <f aca="false">IF(IsPro,IF($D1697="","",L1697-R1697),"")</f>
        <v/>
      </c>
      <c r="T1697" s="60" t="str">
        <f aca="false">IF(IsPro,IF($D1697="","",IF(U1697="","UNKNOWN ITEM",IF(INDEX(Items!$O$5:$O$504,U1697)&lt;0,"NEG STOCK",IF(K1697&lt;INDEX(Items!$P$5:$P$504,U1697),"BELOW COST","OK")))),IF($D1697="","","PRO PLAN"))</f>
        <v/>
      </c>
      <c r="U1697" s="60" t="str">
        <f aca="false">IF(IsPro,IF($D1697="","",IFERROR(MATCH($D1697,Items!$A$5:$A$504,0),"")),"")</f>
        <v/>
      </c>
      <c r="V1697" s="60" t="str">
        <f aca="false">IF(IsPro,IF($C1697="","",IFERROR(MATCH($C1697,Parties!$A$5:$A$304,0),"")),"")</f>
        <v/>
      </c>
      <c r="W1697" s="60" t="str">
        <f aca="false">IF(IsPro,IF($B1697="","",IFERROR(VALUE(SUBSTITUTE($B1697,InvPrefix,"")),0)),"")</f>
        <v/>
      </c>
      <c r="X1697" s="61" t="str">
        <f aca="false">IF(IsPro,IF($D1697="","",IF(OR($H1697="",$H1697="Credit"),0,Q1697)),"")</f>
        <v/>
      </c>
    </row>
    <row r="1698" customFormat="false" ht="15" hidden="false" customHeight="false" outlineLevel="0" collapsed="false">
      <c r="A1698" s="55"/>
      <c r="B1698" s="56"/>
      <c r="C1698" s="56"/>
      <c r="D1698" s="56"/>
      <c r="E1698" s="57"/>
      <c r="F1698" s="58"/>
      <c r="G1698" s="59"/>
      <c r="H1698" s="56"/>
      <c r="I1698" s="56"/>
      <c r="J1698" s="60" t="str">
        <f aca="false">IF(IsPro,IF($D1698="","",IFERROR(INDEX(Items!$D$5:$D$504,U1698),"")),"")</f>
        <v/>
      </c>
      <c r="K1698" s="61" t="str">
        <f aca="false">IF(IsPro,IF($D1698="","",IF($F1698="",IFERROR(INDEX(Items!$H$5:$H$504,U1698),0),$F1698)),"")</f>
        <v/>
      </c>
      <c r="L1698" s="61" t="str">
        <f aca="false">IF(IsPro,IF($D1698="","",ROUND(N($E1698)*K1698*(1-N($G1698)),2)),"")</f>
        <v/>
      </c>
      <c r="M1698" s="62" t="str">
        <f aca="false">IF(IsPro,IF($D1698="","",IFERROR(INDEX(Items!$F$5:$F$504,U1698),0)),"")</f>
        <v/>
      </c>
      <c r="N1698" s="61" t="str">
        <f aca="false">IF(IsPro,IF($D1698="","",IF(AND(V1698&lt;&gt;"",INDEX(Parties!$E$5:$E$304,V1698)&lt;&gt;"",INDEX(Parties!$E$5:$E$304,V1698)&lt;&gt;HomeState),0,ROUND(L1698*M1698/2,2))),"")</f>
        <v/>
      </c>
      <c r="O1698" s="61" t="str">
        <f aca="false">IF(IsPro,IF($D1698="","",N1698),"")</f>
        <v/>
      </c>
      <c r="P1698" s="61" t="str">
        <f aca="false">IF(IsPro,IF($D1698="","",IF(AND(V1698&lt;&gt;"",INDEX(Parties!$E$5:$E$304,V1698)&lt;&gt;"",INDEX(Parties!$E$5:$E$304,V1698)&lt;&gt;HomeState),ROUND(L1698*M1698,2),0)),"")</f>
        <v/>
      </c>
      <c r="Q1698" s="61" t="str">
        <f aca="false">IF(IsPro,IF($D1698="","",L1698+N1698+O1698+P1698),"")</f>
        <v/>
      </c>
      <c r="R1698" s="61" t="str">
        <f aca="false">IF(IsPro,IF($D1698="","",ROUND(N($E1698)*IFERROR(INDEX(Items!$P$5:$P$504,U1698),0),2)),"")</f>
        <v/>
      </c>
      <c r="S1698" s="61" t="str">
        <f aca="false">IF(IsPro,IF($D1698="","",L1698-R1698),"")</f>
        <v/>
      </c>
      <c r="T1698" s="60" t="str">
        <f aca="false">IF(IsPro,IF($D1698="","",IF(U1698="","UNKNOWN ITEM",IF(INDEX(Items!$O$5:$O$504,U1698)&lt;0,"NEG STOCK",IF(K1698&lt;INDEX(Items!$P$5:$P$504,U1698),"BELOW COST","OK")))),IF($D1698="","","PRO PLAN"))</f>
        <v/>
      </c>
      <c r="U1698" s="60" t="str">
        <f aca="false">IF(IsPro,IF($D1698="","",IFERROR(MATCH($D1698,Items!$A$5:$A$504,0),"")),"")</f>
        <v/>
      </c>
      <c r="V1698" s="60" t="str">
        <f aca="false">IF(IsPro,IF($C1698="","",IFERROR(MATCH($C1698,Parties!$A$5:$A$304,0),"")),"")</f>
        <v/>
      </c>
      <c r="W1698" s="60" t="str">
        <f aca="false">IF(IsPro,IF($B1698="","",IFERROR(VALUE(SUBSTITUTE($B1698,InvPrefix,"")),0)),"")</f>
        <v/>
      </c>
      <c r="X1698" s="61" t="str">
        <f aca="false">IF(IsPro,IF($D1698="","",IF(OR($H1698="",$H1698="Credit"),0,Q1698)),"")</f>
        <v/>
      </c>
    </row>
    <row r="1699" customFormat="false" ht="15" hidden="false" customHeight="false" outlineLevel="0" collapsed="false">
      <c r="A1699" s="55"/>
      <c r="B1699" s="56"/>
      <c r="C1699" s="56"/>
      <c r="D1699" s="56"/>
      <c r="E1699" s="57"/>
      <c r="F1699" s="58"/>
      <c r="G1699" s="59"/>
      <c r="H1699" s="56"/>
      <c r="I1699" s="56"/>
      <c r="J1699" s="60" t="str">
        <f aca="false">IF(IsPro,IF($D1699="","",IFERROR(INDEX(Items!$D$5:$D$504,U1699),"")),"")</f>
        <v/>
      </c>
      <c r="K1699" s="61" t="str">
        <f aca="false">IF(IsPro,IF($D1699="","",IF($F1699="",IFERROR(INDEX(Items!$H$5:$H$504,U1699),0),$F1699)),"")</f>
        <v/>
      </c>
      <c r="L1699" s="61" t="str">
        <f aca="false">IF(IsPro,IF($D1699="","",ROUND(N($E1699)*K1699*(1-N($G1699)),2)),"")</f>
        <v/>
      </c>
      <c r="M1699" s="62" t="str">
        <f aca="false">IF(IsPro,IF($D1699="","",IFERROR(INDEX(Items!$F$5:$F$504,U1699),0)),"")</f>
        <v/>
      </c>
      <c r="N1699" s="61" t="str">
        <f aca="false">IF(IsPro,IF($D1699="","",IF(AND(V1699&lt;&gt;"",INDEX(Parties!$E$5:$E$304,V1699)&lt;&gt;"",INDEX(Parties!$E$5:$E$304,V1699)&lt;&gt;HomeState),0,ROUND(L1699*M1699/2,2))),"")</f>
        <v/>
      </c>
      <c r="O1699" s="61" t="str">
        <f aca="false">IF(IsPro,IF($D1699="","",N1699),"")</f>
        <v/>
      </c>
      <c r="P1699" s="61" t="str">
        <f aca="false">IF(IsPro,IF($D1699="","",IF(AND(V1699&lt;&gt;"",INDEX(Parties!$E$5:$E$304,V1699)&lt;&gt;"",INDEX(Parties!$E$5:$E$304,V1699)&lt;&gt;HomeState),ROUND(L1699*M1699,2),0)),"")</f>
        <v/>
      </c>
      <c r="Q1699" s="61" t="str">
        <f aca="false">IF(IsPro,IF($D1699="","",L1699+N1699+O1699+P1699),"")</f>
        <v/>
      </c>
      <c r="R1699" s="61" t="str">
        <f aca="false">IF(IsPro,IF($D1699="","",ROUND(N($E1699)*IFERROR(INDEX(Items!$P$5:$P$504,U1699),0),2)),"")</f>
        <v/>
      </c>
      <c r="S1699" s="61" t="str">
        <f aca="false">IF(IsPro,IF($D1699="","",L1699-R1699),"")</f>
        <v/>
      </c>
      <c r="T1699" s="60" t="str">
        <f aca="false">IF(IsPro,IF($D1699="","",IF(U1699="","UNKNOWN ITEM",IF(INDEX(Items!$O$5:$O$504,U1699)&lt;0,"NEG STOCK",IF(K1699&lt;INDEX(Items!$P$5:$P$504,U1699),"BELOW COST","OK")))),IF($D1699="","","PRO PLAN"))</f>
        <v/>
      </c>
      <c r="U1699" s="60" t="str">
        <f aca="false">IF(IsPro,IF($D1699="","",IFERROR(MATCH($D1699,Items!$A$5:$A$504,0),"")),"")</f>
        <v/>
      </c>
      <c r="V1699" s="60" t="str">
        <f aca="false">IF(IsPro,IF($C1699="","",IFERROR(MATCH($C1699,Parties!$A$5:$A$304,0),"")),"")</f>
        <v/>
      </c>
      <c r="W1699" s="60" t="str">
        <f aca="false">IF(IsPro,IF($B1699="","",IFERROR(VALUE(SUBSTITUTE($B1699,InvPrefix,"")),0)),"")</f>
        <v/>
      </c>
      <c r="X1699" s="61" t="str">
        <f aca="false">IF(IsPro,IF($D1699="","",IF(OR($H1699="",$H1699="Credit"),0,Q1699)),"")</f>
        <v/>
      </c>
    </row>
    <row r="1700" customFormat="false" ht="15" hidden="false" customHeight="false" outlineLevel="0" collapsed="false">
      <c r="A1700" s="55"/>
      <c r="B1700" s="56"/>
      <c r="C1700" s="56"/>
      <c r="D1700" s="56"/>
      <c r="E1700" s="57"/>
      <c r="F1700" s="58"/>
      <c r="G1700" s="59"/>
      <c r="H1700" s="56"/>
      <c r="I1700" s="56"/>
      <c r="J1700" s="60" t="str">
        <f aca="false">IF(IsPro,IF($D1700="","",IFERROR(INDEX(Items!$D$5:$D$504,U1700),"")),"")</f>
        <v/>
      </c>
      <c r="K1700" s="61" t="str">
        <f aca="false">IF(IsPro,IF($D1700="","",IF($F1700="",IFERROR(INDEX(Items!$H$5:$H$504,U1700),0),$F1700)),"")</f>
        <v/>
      </c>
      <c r="L1700" s="61" t="str">
        <f aca="false">IF(IsPro,IF($D1700="","",ROUND(N($E1700)*K1700*(1-N($G1700)),2)),"")</f>
        <v/>
      </c>
      <c r="M1700" s="62" t="str">
        <f aca="false">IF(IsPro,IF($D1700="","",IFERROR(INDEX(Items!$F$5:$F$504,U1700),0)),"")</f>
        <v/>
      </c>
      <c r="N1700" s="61" t="str">
        <f aca="false">IF(IsPro,IF($D1700="","",IF(AND(V1700&lt;&gt;"",INDEX(Parties!$E$5:$E$304,V1700)&lt;&gt;"",INDEX(Parties!$E$5:$E$304,V1700)&lt;&gt;HomeState),0,ROUND(L1700*M1700/2,2))),"")</f>
        <v/>
      </c>
      <c r="O1700" s="61" t="str">
        <f aca="false">IF(IsPro,IF($D1700="","",N1700),"")</f>
        <v/>
      </c>
      <c r="P1700" s="61" t="str">
        <f aca="false">IF(IsPro,IF($D1700="","",IF(AND(V1700&lt;&gt;"",INDEX(Parties!$E$5:$E$304,V1700)&lt;&gt;"",INDEX(Parties!$E$5:$E$304,V1700)&lt;&gt;HomeState),ROUND(L1700*M1700,2),0)),"")</f>
        <v/>
      </c>
      <c r="Q1700" s="61" t="str">
        <f aca="false">IF(IsPro,IF($D1700="","",L1700+N1700+O1700+P1700),"")</f>
        <v/>
      </c>
      <c r="R1700" s="61" t="str">
        <f aca="false">IF(IsPro,IF($D1700="","",ROUND(N($E1700)*IFERROR(INDEX(Items!$P$5:$P$504,U1700),0),2)),"")</f>
        <v/>
      </c>
      <c r="S1700" s="61" t="str">
        <f aca="false">IF(IsPro,IF($D1700="","",L1700-R1700),"")</f>
        <v/>
      </c>
      <c r="T1700" s="60" t="str">
        <f aca="false">IF(IsPro,IF($D1700="","",IF(U1700="","UNKNOWN ITEM",IF(INDEX(Items!$O$5:$O$504,U1700)&lt;0,"NEG STOCK",IF(K1700&lt;INDEX(Items!$P$5:$P$504,U1700),"BELOW COST","OK")))),IF($D1700="","","PRO PLAN"))</f>
        <v/>
      </c>
      <c r="U1700" s="60" t="str">
        <f aca="false">IF(IsPro,IF($D1700="","",IFERROR(MATCH($D1700,Items!$A$5:$A$504,0),"")),"")</f>
        <v/>
      </c>
      <c r="V1700" s="60" t="str">
        <f aca="false">IF(IsPro,IF($C1700="","",IFERROR(MATCH($C1700,Parties!$A$5:$A$304,0),"")),"")</f>
        <v/>
      </c>
      <c r="W1700" s="60" t="str">
        <f aca="false">IF(IsPro,IF($B1700="","",IFERROR(VALUE(SUBSTITUTE($B1700,InvPrefix,"")),0)),"")</f>
        <v/>
      </c>
      <c r="X1700" s="61" t="str">
        <f aca="false">IF(IsPro,IF($D1700="","",IF(OR($H1700="",$H1700="Credit"),0,Q1700)),"")</f>
        <v/>
      </c>
    </row>
    <row r="1701" customFormat="false" ht="15" hidden="false" customHeight="false" outlineLevel="0" collapsed="false">
      <c r="A1701" s="55"/>
      <c r="B1701" s="56"/>
      <c r="C1701" s="56"/>
      <c r="D1701" s="56"/>
      <c r="E1701" s="57"/>
      <c r="F1701" s="58"/>
      <c r="G1701" s="59"/>
      <c r="H1701" s="56"/>
      <c r="I1701" s="56"/>
      <c r="J1701" s="60" t="str">
        <f aca="false">IF(IsPro,IF($D1701="","",IFERROR(INDEX(Items!$D$5:$D$504,U1701),"")),"")</f>
        <v/>
      </c>
      <c r="K1701" s="61" t="str">
        <f aca="false">IF(IsPro,IF($D1701="","",IF($F1701="",IFERROR(INDEX(Items!$H$5:$H$504,U1701),0),$F1701)),"")</f>
        <v/>
      </c>
      <c r="L1701" s="61" t="str">
        <f aca="false">IF(IsPro,IF($D1701="","",ROUND(N($E1701)*K1701*(1-N($G1701)),2)),"")</f>
        <v/>
      </c>
      <c r="M1701" s="62" t="str">
        <f aca="false">IF(IsPro,IF($D1701="","",IFERROR(INDEX(Items!$F$5:$F$504,U1701),0)),"")</f>
        <v/>
      </c>
      <c r="N1701" s="61" t="str">
        <f aca="false">IF(IsPro,IF($D1701="","",IF(AND(V1701&lt;&gt;"",INDEX(Parties!$E$5:$E$304,V1701)&lt;&gt;"",INDEX(Parties!$E$5:$E$304,V1701)&lt;&gt;HomeState),0,ROUND(L1701*M1701/2,2))),"")</f>
        <v/>
      </c>
      <c r="O1701" s="61" t="str">
        <f aca="false">IF(IsPro,IF($D1701="","",N1701),"")</f>
        <v/>
      </c>
      <c r="P1701" s="61" t="str">
        <f aca="false">IF(IsPro,IF($D1701="","",IF(AND(V1701&lt;&gt;"",INDEX(Parties!$E$5:$E$304,V1701)&lt;&gt;"",INDEX(Parties!$E$5:$E$304,V1701)&lt;&gt;HomeState),ROUND(L1701*M1701,2),0)),"")</f>
        <v/>
      </c>
      <c r="Q1701" s="61" t="str">
        <f aca="false">IF(IsPro,IF($D1701="","",L1701+N1701+O1701+P1701),"")</f>
        <v/>
      </c>
      <c r="R1701" s="61" t="str">
        <f aca="false">IF(IsPro,IF($D1701="","",ROUND(N($E1701)*IFERROR(INDEX(Items!$P$5:$P$504,U1701),0),2)),"")</f>
        <v/>
      </c>
      <c r="S1701" s="61" t="str">
        <f aca="false">IF(IsPro,IF($D1701="","",L1701-R1701),"")</f>
        <v/>
      </c>
      <c r="T1701" s="60" t="str">
        <f aca="false">IF(IsPro,IF($D1701="","",IF(U1701="","UNKNOWN ITEM",IF(INDEX(Items!$O$5:$O$504,U1701)&lt;0,"NEG STOCK",IF(K1701&lt;INDEX(Items!$P$5:$P$504,U1701),"BELOW COST","OK")))),IF($D1701="","","PRO PLAN"))</f>
        <v/>
      </c>
      <c r="U1701" s="60" t="str">
        <f aca="false">IF(IsPro,IF($D1701="","",IFERROR(MATCH($D1701,Items!$A$5:$A$504,0),"")),"")</f>
        <v/>
      </c>
      <c r="V1701" s="60" t="str">
        <f aca="false">IF(IsPro,IF($C1701="","",IFERROR(MATCH($C1701,Parties!$A$5:$A$304,0),"")),"")</f>
        <v/>
      </c>
      <c r="W1701" s="60" t="str">
        <f aca="false">IF(IsPro,IF($B1701="","",IFERROR(VALUE(SUBSTITUTE($B1701,InvPrefix,"")),0)),"")</f>
        <v/>
      </c>
      <c r="X1701" s="61" t="str">
        <f aca="false">IF(IsPro,IF($D1701="","",IF(OR($H1701="",$H1701="Credit"),0,Q1701)),"")</f>
        <v/>
      </c>
    </row>
    <row r="1702" customFormat="false" ht="15" hidden="false" customHeight="false" outlineLevel="0" collapsed="false">
      <c r="A1702" s="55"/>
      <c r="B1702" s="56"/>
      <c r="C1702" s="56"/>
      <c r="D1702" s="56"/>
      <c r="E1702" s="57"/>
      <c r="F1702" s="58"/>
      <c r="G1702" s="59"/>
      <c r="H1702" s="56"/>
      <c r="I1702" s="56"/>
      <c r="J1702" s="60" t="str">
        <f aca="false">IF(IsPro,IF($D1702="","",IFERROR(INDEX(Items!$D$5:$D$504,U1702),"")),"")</f>
        <v/>
      </c>
      <c r="K1702" s="61" t="str">
        <f aca="false">IF(IsPro,IF($D1702="","",IF($F1702="",IFERROR(INDEX(Items!$H$5:$H$504,U1702),0),$F1702)),"")</f>
        <v/>
      </c>
      <c r="L1702" s="61" t="str">
        <f aca="false">IF(IsPro,IF($D1702="","",ROUND(N($E1702)*K1702*(1-N($G1702)),2)),"")</f>
        <v/>
      </c>
      <c r="M1702" s="62" t="str">
        <f aca="false">IF(IsPro,IF($D1702="","",IFERROR(INDEX(Items!$F$5:$F$504,U1702),0)),"")</f>
        <v/>
      </c>
      <c r="N1702" s="61" t="str">
        <f aca="false">IF(IsPro,IF($D1702="","",IF(AND(V1702&lt;&gt;"",INDEX(Parties!$E$5:$E$304,V1702)&lt;&gt;"",INDEX(Parties!$E$5:$E$304,V1702)&lt;&gt;HomeState),0,ROUND(L1702*M1702/2,2))),"")</f>
        <v/>
      </c>
      <c r="O1702" s="61" t="str">
        <f aca="false">IF(IsPro,IF($D1702="","",N1702),"")</f>
        <v/>
      </c>
      <c r="P1702" s="61" t="str">
        <f aca="false">IF(IsPro,IF($D1702="","",IF(AND(V1702&lt;&gt;"",INDEX(Parties!$E$5:$E$304,V1702)&lt;&gt;"",INDEX(Parties!$E$5:$E$304,V1702)&lt;&gt;HomeState),ROUND(L1702*M1702,2),0)),"")</f>
        <v/>
      </c>
      <c r="Q1702" s="61" t="str">
        <f aca="false">IF(IsPro,IF($D1702="","",L1702+N1702+O1702+P1702),"")</f>
        <v/>
      </c>
      <c r="R1702" s="61" t="str">
        <f aca="false">IF(IsPro,IF($D1702="","",ROUND(N($E1702)*IFERROR(INDEX(Items!$P$5:$P$504,U1702),0),2)),"")</f>
        <v/>
      </c>
      <c r="S1702" s="61" t="str">
        <f aca="false">IF(IsPro,IF($D1702="","",L1702-R1702),"")</f>
        <v/>
      </c>
      <c r="T1702" s="60" t="str">
        <f aca="false">IF(IsPro,IF($D1702="","",IF(U1702="","UNKNOWN ITEM",IF(INDEX(Items!$O$5:$O$504,U1702)&lt;0,"NEG STOCK",IF(K1702&lt;INDEX(Items!$P$5:$P$504,U1702),"BELOW COST","OK")))),IF($D1702="","","PRO PLAN"))</f>
        <v/>
      </c>
      <c r="U1702" s="60" t="str">
        <f aca="false">IF(IsPro,IF($D1702="","",IFERROR(MATCH($D1702,Items!$A$5:$A$504,0),"")),"")</f>
        <v/>
      </c>
      <c r="V1702" s="60" t="str">
        <f aca="false">IF(IsPro,IF($C1702="","",IFERROR(MATCH($C1702,Parties!$A$5:$A$304,0),"")),"")</f>
        <v/>
      </c>
      <c r="W1702" s="60" t="str">
        <f aca="false">IF(IsPro,IF($B1702="","",IFERROR(VALUE(SUBSTITUTE($B1702,InvPrefix,"")),0)),"")</f>
        <v/>
      </c>
      <c r="X1702" s="61" t="str">
        <f aca="false">IF(IsPro,IF($D1702="","",IF(OR($H1702="",$H1702="Credit"),0,Q1702)),"")</f>
        <v/>
      </c>
    </row>
    <row r="1703" customFormat="false" ht="15" hidden="false" customHeight="false" outlineLevel="0" collapsed="false">
      <c r="A1703" s="55"/>
      <c r="B1703" s="56"/>
      <c r="C1703" s="56"/>
      <c r="D1703" s="56"/>
      <c r="E1703" s="57"/>
      <c r="F1703" s="58"/>
      <c r="G1703" s="59"/>
      <c r="H1703" s="56"/>
      <c r="I1703" s="56"/>
      <c r="J1703" s="60" t="str">
        <f aca="false">IF(IsPro,IF($D1703="","",IFERROR(INDEX(Items!$D$5:$D$504,U1703),"")),"")</f>
        <v/>
      </c>
      <c r="K1703" s="61" t="str">
        <f aca="false">IF(IsPro,IF($D1703="","",IF($F1703="",IFERROR(INDEX(Items!$H$5:$H$504,U1703),0),$F1703)),"")</f>
        <v/>
      </c>
      <c r="L1703" s="61" t="str">
        <f aca="false">IF(IsPro,IF($D1703="","",ROUND(N($E1703)*K1703*(1-N($G1703)),2)),"")</f>
        <v/>
      </c>
      <c r="M1703" s="62" t="str">
        <f aca="false">IF(IsPro,IF($D1703="","",IFERROR(INDEX(Items!$F$5:$F$504,U1703),0)),"")</f>
        <v/>
      </c>
      <c r="N1703" s="61" t="str">
        <f aca="false">IF(IsPro,IF($D1703="","",IF(AND(V1703&lt;&gt;"",INDEX(Parties!$E$5:$E$304,V1703)&lt;&gt;"",INDEX(Parties!$E$5:$E$304,V1703)&lt;&gt;HomeState),0,ROUND(L1703*M1703/2,2))),"")</f>
        <v/>
      </c>
      <c r="O1703" s="61" t="str">
        <f aca="false">IF(IsPro,IF($D1703="","",N1703),"")</f>
        <v/>
      </c>
      <c r="P1703" s="61" t="str">
        <f aca="false">IF(IsPro,IF($D1703="","",IF(AND(V1703&lt;&gt;"",INDEX(Parties!$E$5:$E$304,V1703)&lt;&gt;"",INDEX(Parties!$E$5:$E$304,V1703)&lt;&gt;HomeState),ROUND(L1703*M1703,2),0)),"")</f>
        <v/>
      </c>
      <c r="Q1703" s="61" t="str">
        <f aca="false">IF(IsPro,IF($D1703="","",L1703+N1703+O1703+P1703),"")</f>
        <v/>
      </c>
      <c r="R1703" s="61" t="str">
        <f aca="false">IF(IsPro,IF($D1703="","",ROUND(N($E1703)*IFERROR(INDEX(Items!$P$5:$P$504,U1703),0),2)),"")</f>
        <v/>
      </c>
      <c r="S1703" s="61" t="str">
        <f aca="false">IF(IsPro,IF($D1703="","",L1703-R1703),"")</f>
        <v/>
      </c>
      <c r="T1703" s="60" t="str">
        <f aca="false">IF(IsPro,IF($D1703="","",IF(U1703="","UNKNOWN ITEM",IF(INDEX(Items!$O$5:$O$504,U1703)&lt;0,"NEG STOCK",IF(K1703&lt;INDEX(Items!$P$5:$P$504,U1703),"BELOW COST","OK")))),IF($D1703="","","PRO PLAN"))</f>
        <v/>
      </c>
      <c r="U1703" s="60" t="str">
        <f aca="false">IF(IsPro,IF($D1703="","",IFERROR(MATCH($D1703,Items!$A$5:$A$504,0),"")),"")</f>
        <v/>
      </c>
      <c r="V1703" s="60" t="str">
        <f aca="false">IF(IsPro,IF($C1703="","",IFERROR(MATCH($C1703,Parties!$A$5:$A$304,0),"")),"")</f>
        <v/>
      </c>
      <c r="W1703" s="60" t="str">
        <f aca="false">IF(IsPro,IF($B1703="","",IFERROR(VALUE(SUBSTITUTE($B1703,InvPrefix,"")),0)),"")</f>
        <v/>
      </c>
      <c r="X1703" s="61" t="str">
        <f aca="false">IF(IsPro,IF($D1703="","",IF(OR($H1703="",$H1703="Credit"),0,Q1703)),"")</f>
        <v/>
      </c>
    </row>
    <row r="1704" customFormat="false" ht="15" hidden="false" customHeight="false" outlineLevel="0" collapsed="false">
      <c r="A1704" s="55"/>
      <c r="B1704" s="56"/>
      <c r="C1704" s="56"/>
      <c r="D1704" s="56"/>
      <c r="E1704" s="57"/>
      <c r="F1704" s="58"/>
      <c r="G1704" s="59"/>
      <c r="H1704" s="56"/>
      <c r="I1704" s="56"/>
      <c r="J1704" s="60" t="str">
        <f aca="false">IF(IsPro,IF($D1704="","",IFERROR(INDEX(Items!$D$5:$D$504,U1704),"")),"")</f>
        <v/>
      </c>
      <c r="K1704" s="61" t="str">
        <f aca="false">IF(IsPro,IF($D1704="","",IF($F1704="",IFERROR(INDEX(Items!$H$5:$H$504,U1704),0),$F1704)),"")</f>
        <v/>
      </c>
      <c r="L1704" s="61" t="str">
        <f aca="false">IF(IsPro,IF($D1704="","",ROUND(N($E1704)*K1704*(1-N($G1704)),2)),"")</f>
        <v/>
      </c>
      <c r="M1704" s="62" t="str">
        <f aca="false">IF(IsPro,IF($D1704="","",IFERROR(INDEX(Items!$F$5:$F$504,U1704),0)),"")</f>
        <v/>
      </c>
      <c r="N1704" s="61" t="str">
        <f aca="false">IF(IsPro,IF($D1704="","",IF(AND(V1704&lt;&gt;"",INDEX(Parties!$E$5:$E$304,V1704)&lt;&gt;"",INDEX(Parties!$E$5:$E$304,V1704)&lt;&gt;HomeState),0,ROUND(L1704*M1704/2,2))),"")</f>
        <v/>
      </c>
      <c r="O1704" s="61" t="str">
        <f aca="false">IF(IsPro,IF($D1704="","",N1704),"")</f>
        <v/>
      </c>
      <c r="P1704" s="61" t="str">
        <f aca="false">IF(IsPro,IF($D1704="","",IF(AND(V1704&lt;&gt;"",INDEX(Parties!$E$5:$E$304,V1704)&lt;&gt;"",INDEX(Parties!$E$5:$E$304,V1704)&lt;&gt;HomeState),ROUND(L1704*M1704,2),0)),"")</f>
        <v/>
      </c>
      <c r="Q1704" s="61" t="str">
        <f aca="false">IF(IsPro,IF($D1704="","",L1704+N1704+O1704+P1704),"")</f>
        <v/>
      </c>
      <c r="R1704" s="61" t="str">
        <f aca="false">IF(IsPro,IF($D1704="","",ROUND(N($E1704)*IFERROR(INDEX(Items!$P$5:$P$504,U1704),0),2)),"")</f>
        <v/>
      </c>
      <c r="S1704" s="61" t="str">
        <f aca="false">IF(IsPro,IF($D1704="","",L1704-R1704),"")</f>
        <v/>
      </c>
      <c r="T1704" s="60" t="str">
        <f aca="false">IF(IsPro,IF($D1704="","",IF(U1704="","UNKNOWN ITEM",IF(INDEX(Items!$O$5:$O$504,U1704)&lt;0,"NEG STOCK",IF(K1704&lt;INDEX(Items!$P$5:$P$504,U1704),"BELOW COST","OK")))),IF($D1704="","","PRO PLAN"))</f>
        <v/>
      </c>
      <c r="U1704" s="60" t="str">
        <f aca="false">IF(IsPro,IF($D1704="","",IFERROR(MATCH($D1704,Items!$A$5:$A$504,0),"")),"")</f>
        <v/>
      </c>
      <c r="V1704" s="60" t="str">
        <f aca="false">IF(IsPro,IF($C1704="","",IFERROR(MATCH($C1704,Parties!$A$5:$A$304,0),"")),"")</f>
        <v/>
      </c>
      <c r="W1704" s="60" t="str">
        <f aca="false">IF(IsPro,IF($B1704="","",IFERROR(VALUE(SUBSTITUTE($B1704,InvPrefix,"")),0)),"")</f>
        <v/>
      </c>
      <c r="X1704" s="61" t="str">
        <f aca="false">IF(IsPro,IF($D1704="","",IF(OR($H1704="",$H1704="Credit"),0,Q1704)),"")</f>
        <v/>
      </c>
    </row>
    <row r="1705" customFormat="false" ht="15" hidden="false" customHeight="false" outlineLevel="0" collapsed="false">
      <c r="A1705" s="55"/>
      <c r="B1705" s="56"/>
      <c r="C1705" s="56"/>
      <c r="D1705" s="56"/>
      <c r="E1705" s="57"/>
      <c r="F1705" s="58"/>
      <c r="G1705" s="59"/>
      <c r="H1705" s="56"/>
      <c r="I1705" s="56"/>
      <c r="J1705" s="60" t="str">
        <f aca="false">IF(IsPro,IF($D1705="","",IFERROR(INDEX(Items!$D$5:$D$504,U1705),"")),"")</f>
        <v/>
      </c>
      <c r="K1705" s="61" t="str">
        <f aca="false">IF(IsPro,IF($D1705="","",IF($F1705="",IFERROR(INDEX(Items!$H$5:$H$504,U1705),0),$F1705)),"")</f>
        <v/>
      </c>
      <c r="L1705" s="61" t="str">
        <f aca="false">IF(IsPro,IF($D1705="","",ROUND(N($E1705)*K1705*(1-N($G1705)),2)),"")</f>
        <v/>
      </c>
      <c r="M1705" s="62" t="str">
        <f aca="false">IF(IsPro,IF($D1705="","",IFERROR(INDEX(Items!$F$5:$F$504,U1705),0)),"")</f>
        <v/>
      </c>
      <c r="N1705" s="61" t="str">
        <f aca="false">IF(IsPro,IF($D1705="","",IF(AND(V1705&lt;&gt;"",INDEX(Parties!$E$5:$E$304,V1705)&lt;&gt;"",INDEX(Parties!$E$5:$E$304,V1705)&lt;&gt;HomeState),0,ROUND(L1705*M1705/2,2))),"")</f>
        <v/>
      </c>
      <c r="O1705" s="61" t="str">
        <f aca="false">IF(IsPro,IF($D1705="","",N1705),"")</f>
        <v/>
      </c>
      <c r="P1705" s="61" t="str">
        <f aca="false">IF(IsPro,IF($D1705="","",IF(AND(V1705&lt;&gt;"",INDEX(Parties!$E$5:$E$304,V1705)&lt;&gt;"",INDEX(Parties!$E$5:$E$304,V1705)&lt;&gt;HomeState),ROUND(L1705*M1705,2),0)),"")</f>
        <v/>
      </c>
      <c r="Q1705" s="61" t="str">
        <f aca="false">IF(IsPro,IF($D1705="","",L1705+N1705+O1705+P1705),"")</f>
        <v/>
      </c>
      <c r="R1705" s="61" t="str">
        <f aca="false">IF(IsPro,IF($D1705="","",ROUND(N($E1705)*IFERROR(INDEX(Items!$P$5:$P$504,U1705),0),2)),"")</f>
        <v/>
      </c>
      <c r="S1705" s="61" t="str">
        <f aca="false">IF(IsPro,IF($D1705="","",L1705-R1705),"")</f>
        <v/>
      </c>
      <c r="T1705" s="60" t="str">
        <f aca="false">IF(IsPro,IF($D1705="","",IF(U1705="","UNKNOWN ITEM",IF(INDEX(Items!$O$5:$O$504,U1705)&lt;0,"NEG STOCK",IF(K1705&lt;INDEX(Items!$P$5:$P$504,U1705),"BELOW COST","OK")))),IF($D1705="","","PRO PLAN"))</f>
        <v/>
      </c>
      <c r="U1705" s="60" t="str">
        <f aca="false">IF(IsPro,IF($D1705="","",IFERROR(MATCH($D1705,Items!$A$5:$A$504,0),"")),"")</f>
        <v/>
      </c>
      <c r="V1705" s="60" t="str">
        <f aca="false">IF(IsPro,IF($C1705="","",IFERROR(MATCH($C1705,Parties!$A$5:$A$304,0),"")),"")</f>
        <v/>
      </c>
      <c r="W1705" s="60" t="str">
        <f aca="false">IF(IsPro,IF($B1705="","",IFERROR(VALUE(SUBSTITUTE($B1705,InvPrefix,"")),0)),"")</f>
        <v/>
      </c>
      <c r="X1705" s="61" t="str">
        <f aca="false">IF(IsPro,IF($D1705="","",IF(OR($H1705="",$H1705="Credit"),0,Q1705)),"")</f>
        <v/>
      </c>
    </row>
    <row r="1706" customFormat="false" ht="15" hidden="false" customHeight="false" outlineLevel="0" collapsed="false">
      <c r="A1706" s="55"/>
      <c r="B1706" s="56"/>
      <c r="C1706" s="56"/>
      <c r="D1706" s="56"/>
      <c r="E1706" s="57"/>
      <c r="F1706" s="58"/>
      <c r="G1706" s="59"/>
      <c r="H1706" s="56"/>
      <c r="I1706" s="56"/>
      <c r="J1706" s="60" t="str">
        <f aca="false">IF(IsPro,IF($D1706="","",IFERROR(INDEX(Items!$D$5:$D$504,U1706),"")),"")</f>
        <v/>
      </c>
      <c r="K1706" s="61" t="str">
        <f aca="false">IF(IsPro,IF($D1706="","",IF($F1706="",IFERROR(INDEX(Items!$H$5:$H$504,U1706),0),$F1706)),"")</f>
        <v/>
      </c>
      <c r="L1706" s="61" t="str">
        <f aca="false">IF(IsPro,IF($D1706="","",ROUND(N($E1706)*K1706*(1-N($G1706)),2)),"")</f>
        <v/>
      </c>
      <c r="M1706" s="62" t="str">
        <f aca="false">IF(IsPro,IF($D1706="","",IFERROR(INDEX(Items!$F$5:$F$504,U1706),0)),"")</f>
        <v/>
      </c>
      <c r="N1706" s="61" t="str">
        <f aca="false">IF(IsPro,IF($D1706="","",IF(AND(V1706&lt;&gt;"",INDEX(Parties!$E$5:$E$304,V1706)&lt;&gt;"",INDEX(Parties!$E$5:$E$304,V1706)&lt;&gt;HomeState),0,ROUND(L1706*M1706/2,2))),"")</f>
        <v/>
      </c>
      <c r="O1706" s="61" t="str">
        <f aca="false">IF(IsPro,IF($D1706="","",N1706),"")</f>
        <v/>
      </c>
      <c r="P1706" s="61" t="str">
        <f aca="false">IF(IsPro,IF($D1706="","",IF(AND(V1706&lt;&gt;"",INDEX(Parties!$E$5:$E$304,V1706)&lt;&gt;"",INDEX(Parties!$E$5:$E$304,V1706)&lt;&gt;HomeState),ROUND(L1706*M1706,2),0)),"")</f>
        <v/>
      </c>
      <c r="Q1706" s="61" t="str">
        <f aca="false">IF(IsPro,IF($D1706="","",L1706+N1706+O1706+P1706),"")</f>
        <v/>
      </c>
      <c r="R1706" s="61" t="str">
        <f aca="false">IF(IsPro,IF($D1706="","",ROUND(N($E1706)*IFERROR(INDEX(Items!$P$5:$P$504,U1706),0),2)),"")</f>
        <v/>
      </c>
      <c r="S1706" s="61" t="str">
        <f aca="false">IF(IsPro,IF($D1706="","",L1706-R1706),"")</f>
        <v/>
      </c>
      <c r="T1706" s="60" t="str">
        <f aca="false">IF(IsPro,IF($D1706="","",IF(U1706="","UNKNOWN ITEM",IF(INDEX(Items!$O$5:$O$504,U1706)&lt;0,"NEG STOCK",IF(K1706&lt;INDEX(Items!$P$5:$P$504,U1706),"BELOW COST","OK")))),IF($D1706="","","PRO PLAN"))</f>
        <v/>
      </c>
      <c r="U1706" s="60" t="str">
        <f aca="false">IF(IsPro,IF($D1706="","",IFERROR(MATCH($D1706,Items!$A$5:$A$504,0),"")),"")</f>
        <v/>
      </c>
      <c r="V1706" s="60" t="str">
        <f aca="false">IF(IsPro,IF($C1706="","",IFERROR(MATCH($C1706,Parties!$A$5:$A$304,0),"")),"")</f>
        <v/>
      </c>
      <c r="W1706" s="60" t="str">
        <f aca="false">IF(IsPro,IF($B1706="","",IFERROR(VALUE(SUBSTITUTE($B1706,InvPrefix,"")),0)),"")</f>
        <v/>
      </c>
      <c r="X1706" s="61" t="str">
        <f aca="false">IF(IsPro,IF($D1706="","",IF(OR($H1706="",$H1706="Credit"),0,Q1706)),"")</f>
        <v/>
      </c>
    </row>
    <row r="1707" customFormat="false" ht="15" hidden="false" customHeight="false" outlineLevel="0" collapsed="false">
      <c r="A1707" s="55"/>
      <c r="B1707" s="56"/>
      <c r="C1707" s="56"/>
      <c r="D1707" s="56"/>
      <c r="E1707" s="57"/>
      <c r="F1707" s="58"/>
      <c r="G1707" s="59"/>
      <c r="H1707" s="56"/>
      <c r="I1707" s="56"/>
      <c r="J1707" s="60" t="str">
        <f aca="false">IF(IsPro,IF($D1707="","",IFERROR(INDEX(Items!$D$5:$D$504,U1707),"")),"")</f>
        <v/>
      </c>
      <c r="K1707" s="61" t="str">
        <f aca="false">IF(IsPro,IF($D1707="","",IF($F1707="",IFERROR(INDEX(Items!$H$5:$H$504,U1707),0),$F1707)),"")</f>
        <v/>
      </c>
      <c r="L1707" s="61" t="str">
        <f aca="false">IF(IsPro,IF($D1707="","",ROUND(N($E1707)*K1707*(1-N($G1707)),2)),"")</f>
        <v/>
      </c>
      <c r="M1707" s="62" t="str">
        <f aca="false">IF(IsPro,IF($D1707="","",IFERROR(INDEX(Items!$F$5:$F$504,U1707),0)),"")</f>
        <v/>
      </c>
      <c r="N1707" s="61" t="str">
        <f aca="false">IF(IsPro,IF($D1707="","",IF(AND(V1707&lt;&gt;"",INDEX(Parties!$E$5:$E$304,V1707)&lt;&gt;"",INDEX(Parties!$E$5:$E$304,V1707)&lt;&gt;HomeState),0,ROUND(L1707*M1707/2,2))),"")</f>
        <v/>
      </c>
      <c r="O1707" s="61" t="str">
        <f aca="false">IF(IsPro,IF($D1707="","",N1707),"")</f>
        <v/>
      </c>
      <c r="P1707" s="61" t="str">
        <f aca="false">IF(IsPro,IF($D1707="","",IF(AND(V1707&lt;&gt;"",INDEX(Parties!$E$5:$E$304,V1707)&lt;&gt;"",INDEX(Parties!$E$5:$E$304,V1707)&lt;&gt;HomeState),ROUND(L1707*M1707,2),0)),"")</f>
        <v/>
      </c>
      <c r="Q1707" s="61" t="str">
        <f aca="false">IF(IsPro,IF($D1707="","",L1707+N1707+O1707+P1707),"")</f>
        <v/>
      </c>
      <c r="R1707" s="61" t="str">
        <f aca="false">IF(IsPro,IF($D1707="","",ROUND(N($E1707)*IFERROR(INDEX(Items!$P$5:$P$504,U1707),0),2)),"")</f>
        <v/>
      </c>
      <c r="S1707" s="61" t="str">
        <f aca="false">IF(IsPro,IF($D1707="","",L1707-R1707),"")</f>
        <v/>
      </c>
      <c r="T1707" s="60" t="str">
        <f aca="false">IF(IsPro,IF($D1707="","",IF(U1707="","UNKNOWN ITEM",IF(INDEX(Items!$O$5:$O$504,U1707)&lt;0,"NEG STOCK",IF(K1707&lt;INDEX(Items!$P$5:$P$504,U1707),"BELOW COST","OK")))),IF($D1707="","","PRO PLAN"))</f>
        <v/>
      </c>
      <c r="U1707" s="60" t="str">
        <f aca="false">IF(IsPro,IF($D1707="","",IFERROR(MATCH($D1707,Items!$A$5:$A$504,0),"")),"")</f>
        <v/>
      </c>
      <c r="V1707" s="60" t="str">
        <f aca="false">IF(IsPro,IF($C1707="","",IFERROR(MATCH($C1707,Parties!$A$5:$A$304,0),"")),"")</f>
        <v/>
      </c>
      <c r="W1707" s="60" t="str">
        <f aca="false">IF(IsPro,IF($B1707="","",IFERROR(VALUE(SUBSTITUTE($B1707,InvPrefix,"")),0)),"")</f>
        <v/>
      </c>
      <c r="X1707" s="61" t="str">
        <f aca="false">IF(IsPro,IF($D1707="","",IF(OR($H1707="",$H1707="Credit"),0,Q1707)),"")</f>
        <v/>
      </c>
    </row>
    <row r="1708" customFormat="false" ht="15" hidden="false" customHeight="false" outlineLevel="0" collapsed="false">
      <c r="A1708" s="55"/>
      <c r="B1708" s="56"/>
      <c r="C1708" s="56"/>
      <c r="D1708" s="56"/>
      <c r="E1708" s="57"/>
      <c r="F1708" s="58"/>
      <c r="G1708" s="59"/>
      <c r="H1708" s="56"/>
      <c r="I1708" s="56"/>
      <c r="J1708" s="60" t="str">
        <f aca="false">IF(IsPro,IF($D1708="","",IFERROR(INDEX(Items!$D$5:$D$504,U1708),"")),"")</f>
        <v/>
      </c>
      <c r="K1708" s="61" t="str">
        <f aca="false">IF(IsPro,IF($D1708="","",IF($F1708="",IFERROR(INDEX(Items!$H$5:$H$504,U1708),0),$F1708)),"")</f>
        <v/>
      </c>
      <c r="L1708" s="61" t="str">
        <f aca="false">IF(IsPro,IF($D1708="","",ROUND(N($E1708)*K1708*(1-N($G1708)),2)),"")</f>
        <v/>
      </c>
      <c r="M1708" s="62" t="str">
        <f aca="false">IF(IsPro,IF($D1708="","",IFERROR(INDEX(Items!$F$5:$F$504,U1708),0)),"")</f>
        <v/>
      </c>
      <c r="N1708" s="61" t="str">
        <f aca="false">IF(IsPro,IF($D1708="","",IF(AND(V1708&lt;&gt;"",INDEX(Parties!$E$5:$E$304,V1708)&lt;&gt;"",INDEX(Parties!$E$5:$E$304,V1708)&lt;&gt;HomeState),0,ROUND(L1708*M1708/2,2))),"")</f>
        <v/>
      </c>
      <c r="O1708" s="61" t="str">
        <f aca="false">IF(IsPro,IF($D1708="","",N1708),"")</f>
        <v/>
      </c>
      <c r="P1708" s="61" t="str">
        <f aca="false">IF(IsPro,IF($D1708="","",IF(AND(V1708&lt;&gt;"",INDEX(Parties!$E$5:$E$304,V1708)&lt;&gt;"",INDEX(Parties!$E$5:$E$304,V1708)&lt;&gt;HomeState),ROUND(L1708*M1708,2),0)),"")</f>
        <v/>
      </c>
      <c r="Q1708" s="61" t="str">
        <f aca="false">IF(IsPro,IF($D1708="","",L1708+N1708+O1708+P1708),"")</f>
        <v/>
      </c>
      <c r="R1708" s="61" t="str">
        <f aca="false">IF(IsPro,IF($D1708="","",ROUND(N($E1708)*IFERROR(INDEX(Items!$P$5:$P$504,U1708),0),2)),"")</f>
        <v/>
      </c>
      <c r="S1708" s="61" t="str">
        <f aca="false">IF(IsPro,IF($D1708="","",L1708-R1708),"")</f>
        <v/>
      </c>
      <c r="T1708" s="60" t="str">
        <f aca="false">IF(IsPro,IF($D1708="","",IF(U1708="","UNKNOWN ITEM",IF(INDEX(Items!$O$5:$O$504,U1708)&lt;0,"NEG STOCK",IF(K1708&lt;INDEX(Items!$P$5:$P$504,U1708),"BELOW COST","OK")))),IF($D1708="","","PRO PLAN"))</f>
        <v/>
      </c>
      <c r="U1708" s="60" t="str">
        <f aca="false">IF(IsPro,IF($D1708="","",IFERROR(MATCH($D1708,Items!$A$5:$A$504,0),"")),"")</f>
        <v/>
      </c>
      <c r="V1708" s="60" t="str">
        <f aca="false">IF(IsPro,IF($C1708="","",IFERROR(MATCH($C1708,Parties!$A$5:$A$304,0),"")),"")</f>
        <v/>
      </c>
      <c r="W1708" s="60" t="str">
        <f aca="false">IF(IsPro,IF($B1708="","",IFERROR(VALUE(SUBSTITUTE($B1708,InvPrefix,"")),0)),"")</f>
        <v/>
      </c>
      <c r="X1708" s="61" t="str">
        <f aca="false">IF(IsPro,IF($D1708="","",IF(OR($H1708="",$H1708="Credit"),0,Q1708)),"")</f>
        <v/>
      </c>
    </row>
    <row r="1709" customFormat="false" ht="15" hidden="false" customHeight="false" outlineLevel="0" collapsed="false">
      <c r="A1709" s="55"/>
      <c r="B1709" s="56"/>
      <c r="C1709" s="56"/>
      <c r="D1709" s="56"/>
      <c r="E1709" s="57"/>
      <c r="F1709" s="58"/>
      <c r="G1709" s="59"/>
      <c r="H1709" s="56"/>
      <c r="I1709" s="56"/>
      <c r="J1709" s="60" t="str">
        <f aca="false">IF(IsPro,IF($D1709="","",IFERROR(INDEX(Items!$D$5:$D$504,U1709),"")),"")</f>
        <v/>
      </c>
      <c r="K1709" s="61" t="str">
        <f aca="false">IF(IsPro,IF($D1709="","",IF($F1709="",IFERROR(INDEX(Items!$H$5:$H$504,U1709),0),$F1709)),"")</f>
        <v/>
      </c>
      <c r="L1709" s="61" t="str">
        <f aca="false">IF(IsPro,IF($D1709="","",ROUND(N($E1709)*K1709*(1-N($G1709)),2)),"")</f>
        <v/>
      </c>
      <c r="M1709" s="62" t="str">
        <f aca="false">IF(IsPro,IF($D1709="","",IFERROR(INDEX(Items!$F$5:$F$504,U1709),0)),"")</f>
        <v/>
      </c>
      <c r="N1709" s="61" t="str">
        <f aca="false">IF(IsPro,IF($D1709="","",IF(AND(V1709&lt;&gt;"",INDEX(Parties!$E$5:$E$304,V1709)&lt;&gt;"",INDEX(Parties!$E$5:$E$304,V1709)&lt;&gt;HomeState),0,ROUND(L1709*M1709/2,2))),"")</f>
        <v/>
      </c>
      <c r="O1709" s="61" t="str">
        <f aca="false">IF(IsPro,IF($D1709="","",N1709),"")</f>
        <v/>
      </c>
      <c r="P1709" s="61" t="str">
        <f aca="false">IF(IsPro,IF($D1709="","",IF(AND(V1709&lt;&gt;"",INDEX(Parties!$E$5:$E$304,V1709)&lt;&gt;"",INDEX(Parties!$E$5:$E$304,V1709)&lt;&gt;HomeState),ROUND(L1709*M1709,2),0)),"")</f>
        <v/>
      </c>
      <c r="Q1709" s="61" t="str">
        <f aca="false">IF(IsPro,IF($D1709="","",L1709+N1709+O1709+P1709),"")</f>
        <v/>
      </c>
      <c r="R1709" s="61" t="str">
        <f aca="false">IF(IsPro,IF($D1709="","",ROUND(N($E1709)*IFERROR(INDEX(Items!$P$5:$P$504,U1709),0),2)),"")</f>
        <v/>
      </c>
      <c r="S1709" s="61" t="str">
        <f aca="false">IF(IsPro,IF($D1709="","",L1709-R1709),"")</f>
        <v/>
      </c>
      <c r="T1709" s="60" t="str">
        <f aca="false">IF(IsPro,IF($D1709="","",IF(U1709="","UNKNOWN ITEM",IF(INDEX(Items!$O$5:$O$504,U1709)&lt;0,"NEG STOCK",IF(K1709&lt;INDEX(Items!$P$5:$P$504,U1709),"BELOW COST","OK")))),IF($D1709="","","PRO PLAN"))</f>
        <v/>
      </c>
      <c r="U1709" s="60" t="str">
        <f aca="false">IF(IsPro,IF($D1709="","",IFERROR(MATCH($D1709,Items!$A$5:$A$504,0),"")),"")</f>
        <v/>
      </c>
      <c r="V1709" s="60" t="str">
        <f aca="false">IF(IsPro,IF($C1709="","",IFERROR(MATCH($C1709,Parties!$A$5:$A$304,0),"")),"")</f>
        <v/>
      </c>
      <c r="W1709" s="60" t="str">
        <f aca="false">IF(IsPro,IF($B1709="","",IFERROR(VALUE(SUBSTITUTE($B1709,InvPrefix,"")),0)),"")</f>
        <v/>
      </c>
      <c r="X1709" s="61" t="str">
        <f aca="false">IF(IsPro,IF($D1709="","",IF(OR($H1709="",$H1709="Credit"),0,Q1709)),"")</f>
        <v/>
      </c>
    </row>
    <row r="1710" customFormat="false" ht="15" hidden="false" customHeight="false" outlineLevel="0" collapsed="false">
      <c r="A1710" s="55"/>
      <c r="B1710" s="56"/>
      <c r="C1710" s="56"/>
      <c r="D1710" s="56"/>
      <c r="E1710" s="57"/>
      <c r="F1710" s="58"/>
      <c r="G1710" s="59"/>
      <c r="H1710" s="56"/>
      <c r="I1710" s="56"/>
      <c r="J1710" s="60" t="str">
        <f aca="false">IF(IsPro,IF($D1710="","",IFERROR(INDEX(Items!$D$5:$D$504,U1710),"")),"")</f>
        <v/>
      </c>
      <c r="K1710" s="61" t="str">
        <f aca="false">IF(IsPro,IF($D1710="","",IF($F1710="",IFERROR(INDEX(Items!$H$5:$H$504,U1710),0),$F1710)),"")</f>
        <v/>
      </c>
      <c r="L1710" s="61" t="str">
        <f aca="false">IF(IsPro,IF($D1710="","",ROUND(N($E1710)*K1710*(1-N($G1710)),2)),"")</f>
        <v/>
      </c>
      <c r="M1710" s="62" t="str">
        <f aca="false">IF(IsPro,IF($D1710="","",IFERROR(INDEX(Items!$F$5:$F$504,U1710),0)),"")</f>
        <v/>
      </c>
      <c r="N1710" s="61" t="str">
        <f aca="false">IF(IsPro,IF($D1710="","",IF(AND(V1710&lt;&gt;"",INDEX(Parties!$E$5:$E$304,V1710)&lt;&gt;"",INDEX(Parties!$E$5:$E$304,V1710)&lt;&gt;HomeState),0,ROUND(L1710*M1710/2,2))),"")</f>
        <v/>
      </c>
      <c r="O1710" s="61" t="str">
        <f aca="false">IF(IsPro,IF($D1710="","",N1710),"")</f>
        <v/>
      </c>
      <c r="P1710" s="61" t="str">
        <f aca="false">IF(IsPro,IF($D1710="","",IF(AND(V1710&lt;&gt;"",INDEX(Parties!$E$5:$E$304,V1710)&lt;&gt;"",INDEX(Parties!$E$5:$E$304,V1710)&lt;&gt;HomeState),ROUND(L1710*M1710,2),0)),"")</f>
        <v/>
      </c>
      <c r="Q1710" s="61" t="str">
        <f aca="false">IF(IsPro,IF($D1710="","",L1710+N1710+O1710+P1710),"")</f>
        <v/>
      </c>
      <c r="R1710" s="61" t="str">
        <f aca="false">IF(IsPro,IF($D1710="","",ROUND(N($E1710)*IFERROR(INDEX(Items!$P$5:$P$504,U1710),0),2)),"")</f>
        <v/>
      </c>
      <c r="S1710" s="61" t="str">
        <f aca="false">IF(IsPro,IF($D1710="","",L1710-R1710),"")</f>
        <v/>
      </c>
      <c r="T1710" s="60" t="str">
        <f aca="false">IF(IsPro,IF($D1710="","",IF(U1710="","UNKNOWN ITEM",IF(INDEX(Items!$O$5:$O$504,U1710)&lt;0,"NEG STOCK",IF(K1710&lt;INDEX(Items!$P$5:$P$504,U1710),"BELOW COST","OK")))),IF($D1710="","","PRO PLAN"))</f>
        <v/>
      </c>
      <c r="U1710" s="60" t="str">
        <f aca="false">IF(IsPro,IF($D1710="","",IFERROR(MATCH($D1710,Items!$A$5:$A$504,0),"")),"")</f>
        <v/>
      </c>
      <c r="V1710" s="60" t="str">
        <f aca="false">IF(IsPro,IF($C1710="","",IFERROR(MATCH($C1710,Parties!$A$5:$A$304,0),"")),"")</f>
        <v/>
      </c>
      <c r="W1710" s="60" t="str">
        <f aca="false">IF(IsPro,IF($B1710="","",IFERROR(VALUE(SUBSTITUTE($B1710,InvPrefix,"")),0)),"")</f>
        <v/>
      </c>
      <c r="X1710" s="61" t="str">
        <f aca="false">IF(IsPro,IF($D1710="","",IF(OR($H1710="",$H1710="Credit"),0,Q1710)),"")</f>
        <v/>
      </c>
    </row>
    <row r="1711" customFormat="false" ht="15" hidden="false" customHeight="false" outlineLevel="0" collapsed="false">
      <c r="A1711" s="55"/>
      <c r="B1711" s="56"/>
      <c r="C1711" s="56"/>
      <c r="D1711" s="56"/>
      <c r="E1711" s="57"/>
      <c r="F1711" s="58"/>
      <c r="G1711" s="59"/>
      <c r="H1711" s="56"/>
      <c r="I1711" s="56"/>
      <c r="J1711" s="60" t="str">
        <f aca="false">IF(IsPro,IF($D1711="","",IFERROR(INDEX(Items!$D$5:$D$504,U1711),"")),"")</f>
        <v/>
      </c>
      <c r="K1711" s="61" t="str">
        <f aca="false">IF(IsPro,IF($D1711="","",IF($F1711="",IFERROR(INDEX(Items!$H$5:$H$504,U1711),0),$F1711)),"")</f>
        <v/>
      </c>
      <c r="L1711" s="61" t="str">
        <f aca="false">IF(IsPro,IF($D1711="","",ROUND(N($E1711)*K1711*(1-N($G1711)),2)),"")</f>
        <v/>
      </c>
      <c r="M1711" s="62" t="str">
        <f aca="false">IF(IsPro,IF($D1711="","",IFERROR(INDEX(Items!$F$5:$F$504,U1711),0)),"")</f>
        <v/>
      </c>
      <c r="N1711" s="61" t="str">
        <f aca="false">IF(IsPro,IF($D1711="","",IF(AND(V1711&lt;&gt;"",INDEX(Parties!$E$5:$E$304,V1711)&lt;&gt;"",INDEX(Parties!$E$5:$E$304,V1711)&lt;&gt;HomeState),0,ROUND(L1711*M1711/2,2))),"")</f>
        <v/>
      </c>
      <c r="O1711" s="61" t="str">
        <f aca="false">IF(IsPro,IF($D1711="","",N1711),"")</f>
        <v/>
      </c>
      <c r="P1711" s="61" t="str">
        <f aca="false">IF(IsPro,IF($D1711="","",IF(AND(V1711&lt;&gt;"",INDEX(Parties!$E$5:$E$304,V1711)&lt;&gt;"",INDEX(Parties!$E$5:$E$304,V1711)&lt;&gt;HomeState),ROUND(L1711*M1711,2),0)),"")</f>
        <v/>
      </c>
      <c r="Q1711" s="61" t="str">
        <f aca="false">IF(IsPro,IF($D1711="","",L1711+N1711+O1711+P1711),"")</f>
        <v/>
      </c>
      <c r="R1711" s="61" t="str">
        <f aca="false">IF(IsPro,IF($D1711="","",ROUND(N($E1711)*IFERROR(INDEX(Items!$P$5:$P$504,U1711),0),2)),"")</f>
        <v/>
      </c>
      <c r="S1711" s="61" t="str">
        <f aca="false">IF(IsPro,IF($D1711="","",L1711-R1711),"")</f>
        <v/>
      </c>
      <c r="T1711" s="60" t="str">
        <f aca="false">IF(IsPro,IF($D1711="","",IF(U1711="","UNKNOWN ITEM",IF(INDEX(Items!$O$5:$O$504,U1711)&lt;0,"NEG STOCK",IF(K1711&lt;INDEX(Items!$P$5:$P$504,U1711),"BELOW COST","OK")))),IF($D1711="","","PRO PLAN"))</f>
        <v/>
      </c>
      <c r="U1711" s="60" t="str">
        <f aca="false">IF(IsPro,IF($D1711="","",IFERROR(MATCH($D1711,Items!$A$5:$A$504,0),"")),"")</f>
        <v/>
      </c>
      <c r="V1711" s="60" t="str">
        <f aca="false">IF(IsPro,IF($C1711="","",IFERROR(MATCH($C1711,Parties!$A$5:$A$304,0),"")),"")</f>
        <v/>
      </c>
      <c r="W1711" s="60" t="str">
        <f aca="false">IF(IsPro,IF($B1711="","",IFERROR(VALUE(SUBSTITUTE($B1711,InvPrefix,"")),0)),"")</f>
        <v/>
      </c>
      <c r="X1711" s="61" t="str">
        <f aca="false">IF(IsPro,IF($D1711="","",IF(OR($H1711="",$H1711="Credit"),0,Q1711)),"")</f>
        <v/>
      </c>
    </row>
    <row r="1712" customFormat="false" ht="15" hidden="false" customHeight="false" outlineLevel="0" collapsed="false">
      <c r="A1712" s="55"/>
      <c r="B1712" s="56"/>
      <c r="C1712" s="56"/>
      <c r="D1712" s="56"/>
      <c r="E1712" s="57"/>
      <c r="F1712" s="58"/>
      <c r="G1712" s="59"/>
      <c r="H1712" s="56"/>
      <c r="I1712" s="56"/>
      <c r="J1712" s="60" t="str">
        <f aca="false">IF(IsPro,IF($D1712="","",IFERROR(INDEX(Items!$D$5:$D$504,U1712),"")),"")</f>
        <v/>
      </c>
      <c r="K1712" s="61" t="str">
        <f aca="false">IF(IsPro,IF($D1712="","",IF($F1712="",IFERROR(INDEX(Items!$H$5:$H$504,U1712),0),$F1712)),"")</f>
        <v/>
      </c>
      <c r="L1712" s="61" t="str">
        <f aca="false">IF(IsPro,IF($D1712="","",ROUND(N($E1712)*K1712*(1-N($G1712)),2)),"")</f>
        <v/>
      </c>
      <c r="M1712" s="62" t="str">
        <f aca="false">IF(IsPro,IF($D1712="","",IFERROR(INDEX(Items!$F$5:$F$504,U1712),0)),"")</f>
        <v/>
      </c>
      <c r="N1712" s="61" t="str">
        <f aca="false">IF(IsPro,IF($D1712="","",IF(AND(V1712&lt;&gt;"",INDEX(Parties!$E$5:$E$304,V1712)&lt;&gt;"",INDEX(Parties!$E$5:$E$304,V1712)&lt;&gt;HomeState),0,ROUND(L1712*M1712/2,2))),"")</f>
        <v/>
      </c>
      <c r="O1712" s="61" t="str">
        <f aca="false">IF(IsPro,IF($D1712="","",N1712),"")</f>
        <v/>
      </c>
      <c r="P1712" s="61" t="str">
        <f aca="false">IF(IsPro,IF($D1712="","",IF(AND(V1712&lt;&gt;"",INDEX(Parties!$E$5:$E$304,V1712)&lt;&gt;"",INDEX(Parties!$E$5:$E$304,V1712)&lt;&gt;HomeState),ROUND(L1712*M1712,2),0)),"")</f>
        <v/>
      </c>
      <c r="Q1712" s="61" t="str">
        <f aca="false">IF(IsPro,IF($D1712="","",L1712+N1712+O1712+P1712),"")</f>
        <v/>
      </c>
      <c r="R1712" s="61" t="str">
        <f aca="false">IF(IsPro,IF($D1712="","",ROUND(N($E1712)*IFERROR(INDEX(Items!$P$5:$P$504,U1712),0),2)),"")</f>
        <v/>
      </c>
      <c r="S1712" s="61" t="str">
        <f aca="false">IF(IsPro,IF($D1712="","",L1712-R1712),"")</f>
        <v/>
      </c>
      <c r="T1712" s="60" t="str">
        <f aca="false">IF(IsPro,IF($D1712="","",IF(U1712="","UNKNOWN ITEM",IF(INDEX(Items!$O$5:$O$504,U1712)&lt;0,"NEG STOCK",IF(K1712&lt;INDEX(Items!$P$5:$P$504,U1712),"BELOW COST","OK")))),IF($D1712="","","PRO PLAN"))</f>
        <v/>
      </c>
      <c r="U1712" s="60" t="str">
        <f aca="false">IF(IsPro,IF($D1712="","",IFERROR(MATCH($D1712,Items!$A$5:$A$504,0),"")),"")</f>
        <v/>
      </c>
      <c r="V1712" s="60" t="str">
        <f aca="false">IF(IsPro,IF($C1712="","",IFERROR(MATCH($C1712,Parties!$A$5:$A$304,0),"")),"")</f>
        <v/>
      </c>
      <c r="W1712" s="60" t="str">
        <f aca="false">IF(IsPro,IF($B1712="","",IFERROR(VALUE(SUBSTITUTE($B1712,InvPrefix,"")),0)),"")</f>
        <v/>
      </c>
      <c r="X1712" s="61" t="str">
        <f aca="false">IF(IsPro,IF($D1712="","",IF(OR($H1712="",$H1712="Credit"),0,Q1712)),"")</f>
        <v/>
      </c>
    </row>
    <row r="1713" customFormat="false" ht="15" hidden="false" customHeight="false" outlineLevel="0" collapsed="false">
      <c r="A1713" s="55"/>
      <c r="B1713" s="56"/>
      <c r="C1713" s="56"/>
      <c r="D1713" s="56"/>
      <c r="E1713" s="57"/>
      <c r="F1713" s="58"/>
      <c r="G1713" s="59"/>
      <c r="H1713" s="56"/>
      <c r="I1713" s="56"/>
      <c r="J1713" s="60" t="str">
        <f aca="false">IF(IsPro,IF($D1713="","",IFERROR(INDEX(Items!$D$5:$D$504,U1713),"")),"")</f>
        <v/>
      </c>
      <c r="K1713" s="61" t="str">
        <f aca="false">IF(IsPro,IF($D1713="","",IF($F1713="",IFERROR(INDEX(Items!$H$5:$H$504,U1713),0),$F1713)),"")</f>
        <v/>
      </c>
      <c r="L1713" s="61" t="str">
        <f aca="false">IF(IsPro,IF($D1713="","",ROUND(N($E1713)*K1713*(1-N($G1713)),2)),"")</f>
        <v/>
      </c>
      <c r="M1713" s="62" t="str">
        <f aca="false">IF(IsPro,IF($D1713="","",IFERROR(INDEX(Items!$F$5:$F$504,U1713),0)),"")</f>
        <v/>
      </c>
      <c r="N1713" s="61" t="str">
        <f aca="false">IF(IsPro,IF($D1713="","",IF(AND(V1713&lt;&gt;"",INDEX(Parties!$E$5:$E$304,V1713)&lt;&gt;"",INDEX(Parties!$E$5:$E$304,V1713)&lt;&gt;HomeState),0,ROUND(L1713*M1713/2,2))),"")</f>
        <v/>
      </c>
      <c r="O1713" s="61" t="str">
        <f aca="false">IF(IsPro,IF($D1713="","",N1713),"")</f>
        <v/>
      </c>
      <c r="P1713" s="61" t="str">
        <f aca="false">IF(IsPro,IF($D1713="","",IF(AND(V1713&lt;&gt;"",INDEX(Parties!$E$5:$E$304,V1713)&lt;&gt;"",INDEX(Parties!$E$5:$E$304,V1713)&lt;&gt;HomeState),ROUND(L1713*M1713,2),0)),"")</f>
        <v/>
      </c>
      <c r="Q1713" s="61" t="str">
        <f aca="false">IF(IsPro,IF($D1713="","",L1713+N1713+O1713+P1713),"")</f>
        <v/>
      </c>
      <c r="R1713" s="61" t="str">
        <f aca="false">IF(IsPro,IF($D1713="","",ROUND(N($E1713)*IFERROR(INDEX(Items!$P$5:$P$504,U1713),0),2)),"")</f>
        <v/>
      </c>
      <c r="S1713" s="61" t="str">
        <f aca="false">IF(IsPro,IF($D1713="","",L1713-R1713),"")</f>
        <v/>
      </c>
      <c r="T1713" s="60" t="str">
        <f aca="false">IF(IsPro,IF($D1713="","",IF(U1713="","UNKNOWN ITEM",IF(INDEX(Items!$O$5:$O$504,U1713)&lt;0,"NEG STOCK",IF(K1713&lt;INDEX(Items!$P$5:$P$504,U1713),"BELOW COST","OK")))),IF($D1713="","","PRO PLAN"))</f>
        <v/>
      </c>
      <c r="U1713" s="60" t="str">
        <f aca="false">IF(IsPro,IF($D1713="","",IFERROR(MATCH($D1713,Items!$A$5:$A$504,0),"")),"")</f>
        <v/>
      </c>
      <c r="V1713" s="60" t="str">
        <f aca="false">IF(IsPro,IF($C1713="","",IFERROR(MATCH($C1713,Parties!$A$5:$A$304,0),"")),"")</f>
        <v/>
      </c>
      <c r="W1713" s="60" t="str">
        <f aca="false">IF(IsPro,IF($B1713="","",IFERROR(VALUE(SUBSTITUTE($B1713,InvPrefix,"")),0)),"")</f>
        <v/>
      </c>
      <c r="X1713" s="61" t="str">
        <f aca="false">IF(IsPro,IF($D1713="","",IF(OR($H1713="",$H1713="Credit"),0,Q1713)),"")</f>
        <v/>
      </c>
    </row>
    <row r="1714" customFormat="false" ht="15" hidden="false" customHeight="false" outlineLevel="0" collapsed="false">
      <c r="A1714" s="55"/>
      <c r="B1714" s="56"/>
      <c r="C1714" s="56"/>
      <c r="D1714" s="56"/>
      <c r="E1714" s="57"/>
      <c r="F1714" s="58"/>
      <c r="G1714" s="59"/>
      <c r="H1714" s="56"/>
      <c r="I1714" s="56"/>
      <c r="J1714" s="60" t="str">
        <f aca="false">IF(IsPro,IF($D1714="","",IFERROR(INDEX(Items!$D$5:$D$504,U1714),"")),"")</f>
        <v/>
      </c>
      <c r="K1714" s="61" t="str">
        <f aca="false">IF(IsPro,IF($D1714="","",IF($F1714="",IFERROR(INDEX(Items!$H$5:$H$504,U1714),0),$F1714)),"")</f>
        <v/>
      </c>
      <c r="L1714" s="61" t="str">
        <f aca="false">IF(IsPro,IF($D1714="","",ROUND(N($E1714)*K1714*(1-N($G1714)),2)),"")</f>
        <v/>
      </c>
      <c r="M1714" s="62" t="str">
        <f aca="false">IF(IsPro,IF($D1714="","",IFERROR(INDEX(Items!$F$5:$F$504,U1714),0)),"")</f>
        <v/>
      </c>
      <c r="N1714" s="61" t="str">
        <f aca="false">IF(IsPro,IF($D1714="","",IF(AND(V1714&lt;&gt;"",INDEX(Parties!$E$5:$E$304,V1714)&lt;&gt;"",INDEX(Parties!$E$5:$E$304,V1714)&lt;&gt;HomeState),0,ROUND(L1714*M1714/2,2))),"")</f>
        <v/>
      </c>
      <c r="O1714" s="61" t="str">
        <f aca="false">IF(IsPro,IF($D1714="","",N1714),"")</f>
        <v/>
      </c>
      <c r="P1714" s="61" t="str">
        <f aca="false">IF(IsPro,IF($D1714="","",IF(AND(V1714&lt;&gt;"",INDEX(Parties!$E$5:$E$304,V1714)&lt;&gt;"",INDEX(Parties!$E$5:$E$304,V1714)&lt;&gt;HomeState),ROUND(L1714*M1714,2),0)),"")</f>
        <v/>
      </c>
      <c r="Q1714" s="61" t="str">
        <f aca="false">IF(IsPro,IF($D1714="","",L1714+N1714+O1714+P1714),"")</f>
        <v/>
      </c>
      <c r="R1714" s="61" t="str">
        <f aca="false">IF(IsPro,IF($D1714="","",ROUND(N($E1714)*IFERROR(INDEX(Items!$P$5:$P$504,U1714),0),2)),"")</f>
        <v/>
      </c>
      <c r="S1714" s="61" t="str">
        <f aca="false">IF(IsPro,IF($D1714="","",L1714-R1714),"")</f>
        <v/>
      </c>
      <c r="T1714" s="60" t="str">
        <f aca="false">IF(IsPro,IF($D1714="","",IF(U1714="","UNKNOWN ITEM",IF(INDEX(Items!$O$5:$O$504,U1714)&lt;0,"NEG STOCK",IF(K1714&lt;INDEX(Items!$P$5:$P$504,U1714),"BELOW COST","OK")))),IF($D1714="","","PRO PLAN"))</f>
        <v/>
      </c>
      <c r="U1714" s="60" t="str">
        <f aca="false">IF(IsPro,IF($D1714="","",IFERROR(MATCH($D1714,Items!$A$5:$A$504,0),"")),"")</f>
        <v/>
      </c>
      <c r="V1714" s="60" t="str">
        <f aca="false">IF(IsPro,IF($C1714="","",IFERROR(MATCH($C1714,Parties!$A$5:$A$304,0),"")),"")</f>
        <v/>
      </c>
      <c r="W1714" s="60" t="str">
        <f aca="false">IF(IsPro,IF($B1714="","",IFERROR(VALUE(SUBSTITUTE($B1714,InvPrefix,"")),0)),"")</f>
        <v/>
      </c>
      <c r="X1714" s="61" t="str">
        <f aca="false">IF(IsPro,IF($D1714="","",IF(OR($H1714="",$H1714="Credit"),0,Q1714)),"")</f>
        <v/>
      </c>
    </row>
    <row r="1715" customFormat="false" ht="15" hidden="false" customHeight="false" outlineLevel="0" collapsed="false">
      <c r="A1715" s="55"/>
      <c r="B1715" s="56"/>
      <c r="C1715" s="56"/>
      <c r="D1715" s="56"/>
      <c r="E1715" s="57"/>
      <c r="F1715" s="58"/>
      <c r="G1715" s="59"/>
      <c r="H1715" s="56"/>
      <c r="I1715" s="56"/>
      <c r="J1715" s="60" t="str">
        <f aca="false">IF(IsPro,IF($D1715="","",IFERROR(INDEX(Items!$D$5:$D$504,U1715),"")),"")</f>
        <v/>
      </c>
      <c r="K1715" s="61" t="str">
        <f aca="false">IF(IsPro,IF($D1715="","",IF($F1715="",IFERROR(INDEX(Items!$H$5:$H$504,U1715),0),$F1715)),"")</f>
        <v/>
      </c>
      <c r="L1715" s="61" t="str">
        <f aca="false">IF(IsPro,IF($D1715="","",ROUND(N($E1715)*K1715*(1-N($G1715)),2)),"")</f>
        <v/>
      </c>
      <c r="M1715" s="62" t="str">
        <f aca="false">IF(IsPro,IF($D1715="","",IFERROR(INDEX(Items!$F$5:$F$504,U1715),0)),"")</f>
        <v/>
      </c>
      <c r="N1715" s="61" t="str">
        <f aca="false">IF(IsPro,IF($D1715="","",IF(AND(V1715&lt;&gt;"",INDEX(Parties!$E$5:$E$304,V1715)&lt;&gt;"",INDEX(Parties!$E$5:$E$304,V1715)&lt;&gt;HomeState),0,ROUND(L1715*M1715/2,2))),"")</f>
        <v/>
      </c>
      <c r="O1715" s="61" t="str">
        <f aca="false">IF(IsPro,IF($D1715="","",N1715),"")</f>
        <v/>
      </c>
      <c r="P1715" s="61" t="str">
        <f aca="false">IF(IsPro,IF($D1715="","",IF(AND(V1715&lt;&gt;"",INDEX(Parties!$E$5:$E$304,V1715)&lt;&gt;"",INDEX(Parties!$E$5:$E$304,V1715)&lt;&gt;HomeState),ROUND(L1715*M1715,2),0)),"")</f>
        <v/>
      </c>
      <c r="Q1715" s="61" t="str">
        <f aca="false">IF(IsPro,IF($D1715="","",L1715+N1715+O1715+P1715),"")</f>
        <v/>
      </c>
      <c r="R1715" s="61" t="str">
        <f aca="false">IF(IsPro,IF($D1715="","",ROUND(N($E1715)*IFERROR(INDEX(Items!$P$5:$P$504,U1715),0),2)),"")</f>
        <v/>
      </c>
      <c r="S1715" s="61" t="str">
        <f aca="false">IF(IsPro,IF($D1715="","",L1715-R1715),"")</f>
        <v/>
      </c>
      <c r="T1715" s="60" t="str">
        <f aca="false">IF(IsPro,IF($D1715="","",IF(U1715="","UNKNOWN ITEM",IF(INDEX(Items!$O$5:$O$504,U1715)&lt;0,"NEG STOCK",IF(K1715&lt;INDEX(Items!$P$5:$P$504,U1715),"BELOW COST","OK")))),IF($D1715="","","PRO PLAN"))</f>
        <v/>
      </c>
      <c r="U1715" s="60" t="str">
        <f aca="false">IF(IsPro,IF($D1715="","",IFERROR(MATCH($D1715,Items!$A$5:$A$504,0),"")),"")</f>
        <v/>
      </c>
      <c r="V1715" s="60" t="str">
        <f aca="false">IF(IsPro,IF($C1715="","",IFERROR(MATCH($C1715,Parties!$A$5:$A$304,0),"")),"")</f>
        <v/>
      </c>
      <c r="W1715" s="60" t="str">
        <f aca="false">IF(IsPro,IF($B1715="","",IFERROR(VALUE(SUBSTITUTE($B1715,InvPrefix,"")),0)),"")</f>
        <v/>
      </c>
      <c r="X1715" s="61" t="str">
        <f aca="false">IF(IsPro,IF($D1715="","",IF(OR($H1715="",$H1715="Credit"),0,Q1715)),"")</f>
        <v/>
      </c>
    </row>
    <row r="1716" customFormat="false" ht="15" hidden="false" customHeight="false" outlineLevel="0" collapsed="false">
      <c r="A1716" s="55"/>
      <c r="B1716" s="56"/>
      <c r="C1716" s="56"/>
      <c r="D1716" s="56"/>
      <c r="E1716" s="57"/>
      <c r="F1716" s="58"/>
      <c r="G1716" s="59"/>
      <c r="H1716" s="56"/>
      <c r="I1716" s="56"/>
      <c r="J1716" s="60" t="str">
        <f aca="false">IF(IsPro,IF($D1716="","",IFERROR(INDEX(Items!$D$5:$D$504,U1716),"")),"")</f>
        <v/>
      </c>
      <c r="K1716" s="61" t="str">
        <f aca="false">IF(IsPro,IF($D1716="","",IF($F1716="",IFERROR(INDEX(Items!$H$5:$H$504,U1716),0),$F1716)),"")</f>
        <v/>
      </c>
      <c r="L1716" s="61" t="str">
        <f aca="false">IF(IsPro,IF($D1716="","",ROUND(N($E1716)*K1716*(1-N($G1716)),2)),"")</f>
        <v/>
      </c>
      <c r="M1716" s="62" t="str">
        <f aca="false">IF(IsPro,IF($D1716="","",IFERROR(INDEX(Items!$F$5:$F$504,U1716),0)),"")</f>
        <v/>
      </c>
      <c r="N1716" s="61" t="str">
        <f aca="false">IF(IsPro,IF($D1716="","",IF(AND(V1716&lt;&gt;"",INDEX(Parties!$E$5:$E$304,V1716)&lt;&gt;"",INDEX(Parties!$E$5:$E$304,V1716)&lt;&gt;HomeState),0,ROUND(L1716*M1716/2,2))),"")</f>
        <v/>
      </c>
      <c r="O1716" s="61" t="str">
        <f aca="false">IF(IsPro,IF($D1716="","",N1716),"")</f>
        <v/>
      </c>
      <c r="P1716" s="61" t="str">
        <f aca="false">IF(IsPro,IF($D1716="","",IF(AND(V1716&lt;&gt;"",INDEX(Parties!$E$5:$E$304,V1716)&lt;&gt;"",INDEX(Parties!$E$5:$E$304,V1716)&lt;&gt;HomeState),ROUND(L1716*M1716,2),0)),"")</f>
        <v/>
      </c>
      <c r="Q1716" s="61" t="str">
        <f aca="false">IF(IsPro,IF($D1716="","",L1716+N1716+O1716+P1716),"")</f>
        <v/>
      </c>
      <c r="R1716" s="61" t="str">
        <f aca="false">IF(IsPro,IF($D1716="","",ROUND(N($E1716)*IFERROR(INDEX(Items!$P$5:$P$504,U1716),0),2)),"")</f>
        <v/>
      </c>
      <c r="S1716" s="61" t="str">
        <f aca="false">IF(IsPro,IF($D1716="","",L1716-R1716),"")</f>
        <v/>
      </c>
      <c r="T1716" s="60" t="str">
        <f aca="false">IF(IsPro,IF($D1716="","",IF(U1716="","UNKNOWN ITEM",IF(INDEX(Items!$O$5:$O$504,U1716)&lt;0,"NEG STOCK",IF(K1716&lt;INDEX(Items!$P$5:$P$504,U1716),"BELOW COST","OK")))),IF($D1716="","","PRO PLAN"))</f>
        <v/>
      </c>
      <c r="U1716" s="60" t="str">
        <f aca="false">IF(IsPro,IF($D1716="","",IFERROR(MATCH($D1716,Items!$A$5:$A$504,0),"")),"")</f>
        <v/>
      </c>
      <c r="V1716" s="60" t="str">
        <f aca="false">IF(IsPro,IF($C1716="","",IFERROR(MATCH($C1716,Parties!$A$5:$A$304,0),"")),"")</f>
        <v/>
      </c>
      <c r="W1716" s="60" t="str">
        <f aca="false">IF(IsPro,IF($B1716="","",IFERROR(VALUE(SUBSTITUTE($B1716,InvPrefix,"")),0)),"")</f>
        <v/>
      </c>
      <c r="X1716" s="61" t="str">
        <f aca="false">IF(IsPro,IF($D1716="","",IF(OR($H1716="",$H1716="Credit"),0,Q1716)),"")</f>
        <v/>
      </c>
    </row>
    <row r="1717" customFormat="false" ht="15" hidden="false" customHeight="false" outlineLevel="0" collapsed="false">
      <c r="A1717" s="55"/>
      <c r="B1717" s="56"/>
      <c r="C1717" s="56"/>
      <c r="D1717" s="56"/>
      <c r="E1717" s="57"/>
      <c r="F1717" s="58"/>
      <c r="G1717" s="59"/>
      <c r="H1717" s="56"/>
      <c r="I1717" s="56"/>
      <c r="J1717" s="60" t="str">
        <f aca="false">IF(IsPro,IF($D1717="","",IFERROR(INDEX(Items!$D$5:$D$504,U1717),"")),"")</f>
        <v/>
      </c>
      <c r="K1717" s="61" t="str">
        <f aca="false">IF(IsPro,IF($D1717="","",IF($F1717="",IFERROR(INDEX(Items!$H$5:$H$504,U1717),0),$F1717)),"")</f>
        <v/>
      </c>
      <c r="L1717" s="61" t="str">
        <f aca="false">IF(IsPro,IF($D1717="","",ROUND(N($E1717)*K1717*(1-N($G1717)),2)),"")</f>
        <v/>
      </c>
      <c r="M1717" s="62" t="str">
        <f aca="false">IF(IsPro,IF($D1717="","",IFERROR(INDEX(Items!$F$5:$F$504,U1717),0)),"")</f>
        <v/>
      </c>
      <c r="N1717" s="61" t="str">
        <f aca="false">IF(IsPro,IF($D1717="","",IF(AND(V1717&lt;&gt;"",INDEX(Parties!$E$5:$E$304,V1717)&lt;&gt;"",INDEX(Parties!$E$5:$E$304,V1717)&lt;&gt;HomeState),0,ROUND(L1717*M1717/2,2))),"")</f>
        <v/>
      </c>
      <c r="O1717" s="61" t="str">
        <f aca="false">IF(IsPro,IF($D1717="","",N1717),"")</f>
        <v/>
      </c>
      <c r="P1717" s="61" t="str">
        <f aca="false">IF(IsPro,IF($D1717="","",IF(AND(V1717&lt;&gt;"",INDEX(Parties!$E$5:$E$304,V1717)&lt;&gt;"",INDEX(Parties!$E$5:$E$304,V1717)&lt;&gt;HomeState),ROUND(L1717*M1717,2),0)),"")</f>
        <v/>
      </c>
      <c r="Q1717" s="61" t="str">
        <f aca="false">IF(IsPro,IF($D1717="","",L1717+N1717+O1717+P1717),"")</f>
        <v/>
      </c>
      <c r="R1717" s="61" t="str">
        <f aca="false">IF(IsPro,IF($D1717="","",ROUND(N($E1717)*IFERROR(INDEX(Items!$P$5:$P$504,U1717),0),2)),"")</f>
        <v/>
      </c>
      <c r="S1717" s="61" t="str">
        <f aca="false">IF(IsPro,IF($D1717="","",L1717-R1717),"")</f>
        <v/>
      </c>
      <c r="T1717" s="60" t="str">
        <f aca="false">IF(IsPro,IF($D1717="","",IF(U1717="","UNKNOWN ITEM",IF(INDEX(Items!$O$5:$O$504,U1717)&lt;0,"NEG STOCK",IF(K1717&lt;INDEX(Items!$P$5:$P$504,U1717),"BELOW COST","OK")))),IF($D1717="","","PRO PLAN"))</f>
        <v/>
      </c>
      <c r="U1717" s="60" t="str">
        <f aca="false">IF(IsPro,IF($D1717="","",IFERROR(MATCH($D1717,Items!$A$5:$A$504,0),"")),"")</f>
        <v/>
      </c>
      <c r="V1717" s="60" t="str">
        <f aca="false">IF(IsPro,IF($C1717="","",IFERROR(MATCH($C1717,Parties!$A$5:$A$304,0),"")),"")</f>
        <v/>
      </c>
      <c r="W1717" s="60" t="str">
        <f aca="false">IF(IsPro,IF($B1717="","",IFERROR(VALUE(SUBSTITUTE($B1717,InvPrefix,"")),0)),"")</f>
        <v/>
      </c>
      <c r="X1717" s="61" t="str">
        <f aca="false">IF(IsPro,IF($D1717="","",IF(OR($H1717="",$H1717="Credit"),0,Q1717)),"")</f>
        <v/>
      </c>
    </row>
    <row r="1718" customFormat="false" ht="15" hidden="false" customHeight="false" outlineLevel="0" collapsed="false">
      <c r="A1718" s="55"/>
      <c r="B1718" s="56"/>
      <c r="C1718" s="56"/>
      <c r="D1718" s="56"/>
      <c r="E1718" s="57"/>
      <c r="F1718" s="58"/>
      <c r="G1718" s="59"/>
      <c r="H1718" s="56"/>
      <c r="I1718" s="56"/>
      <c r="J1718" s="60" t="str">
        <f aca="false">IF(IsPro,IF($D1718="","",IFERROR(INDEX(Items!$D$5:$D$504,U1718),"")),"")</f>
        <v/>
      </c>
      <c r="K1718" s="61" t="str">
        <f aca="false">IF(IsPro,IF($D1718="","",IF($F1718="",IFERROR(INDEX(Items!$H$5:$H$504,U1718),0),$F1718)),"")</f>
        <v/>
      </c>
      <c r="L1718" s="61" t="str">
        <f aca="false">IF(IsPro,IF($D1718="","",ROUND(N($E1718)*K1718*(1-N($G1718)),2)),"")</f>
        <v/>
      </c>
      <c r="M1718" s="62" t="str">
        <f aca="false">IF(IsPro,IF($D1718="","",IFERROR(INDEX(Items!$F$5:$F$504,U1718),0)),"")</f>
        <v/>
      </c>
      <c r="N1718" s="61" t="str">
        <f aca="false">IF(IsPro,IF($D1718="","",IF(AND(V1718&lt;&gt;"",INDEX(Parties!$E$5:$E$304,V1718)&lt;&gt;"",INDEX(Parties!$E$5:$E$304,V1718)&lt;&gt;HomeState),0,ROUND(L1718*M1718/2,2))),"")</f>
        <v/>
      </c>
      <c r="O1718" s="61" t="str">
        <f aca="false">IF(IsPro,IF($D1718="","",N1718),"")</f>
        <v/>
      </c>
      <c r="P1718" s="61" t="str">
        <f aca="false">IF(IsPro,IF($D1718="","",IF(AND(V1718&lt;&gt;"",INDEX(Parties!$E$5:$E$304,V1718)&lt;&gt;"",INDEX(Parties!$E$5:$E$304,V1718)&lt;&gt;HomeState),ROUND(L1718*M1718,2),0)),"")</f>
        <v/>
      </c>
      <c r="Q1718" s="61" t="str">
        <f aca="false">IF(IsPro,IF($D1718="","",L1718+N1718+O1718+P1718),"")</f>
        <v/>
      </c>
      <c r="R1718" s="61" t="str">
        <f aca="false">IF(IsPro,IF($D1718="","",ROUND(N($E1718)*IFERROR(INDEX(Items!$P$5:$P$504,U1718),0),2)),"")</f>
        <v/>
      </c>
      <c r="S1718" s="61" t="str">
        <f aca="false">IF(IsPro,IF($D1718="","",L1718-R1718),"")</f>
        <v/>
      </c>
      <c r="T1718" s="60" t="str">
        <f aca="false">IF(IsPro,IF($D1718="","",IF(U1718="","UNKNOWN ITEM",IF(INDEX(Items!$O$5:$O$504,U1718)&lt;0,"NEG STOCK",IF(K1718&lt;INDEX(Items!$P$5:$P$504,U1718),"BELOW COST","OK")))),IF($D1718="","","PRO PLAN"))</f>
        <v/>
      </c>
      <c r="U1718" s="60" t="str">
        <f aca="false">IF(IsPro,IF($D1718="","",IFERROR(MATCH($D1718,Items!$A$5:$A$504,0),"")),"")</f>
        <v/>
      </c>
      <c r="V1718" s="60" t="str">
        <f aca="false">IF(IsPro,IF($C1718="","",IFERROR(MATCH($C1718,Parties!$A$5:$A$304,0),"")),"")</f>
        <v/>
      </c>
      <c r="W1718" s="60" t="str">
        <f aca="false">IF(IsPro,IF($B1718="","",IFERROR(VALUE(SUBSTITUTE($B1718,InvPrefix,"")),0)),"")</f>
        <v/>
      </c>
      <c r="X1718" s="61" t="str">
        <f aca="false">IF(IsPro,IF($D1718="","",IF(OR($H1718="",$H1718="Credit"),0,Q1718)),"")</f>
        <v/>
      </c>
    </row>
    <row r="1719" customFormat="false" ht="15" hidden="false" customHeight="false" outlineLevel="0" collapsed="false">
      <c r="A1719" s="55"/>
      <c r="B1719" s="56"/>
      <c r="C1719" s="56"/>
      <c r="D1719" s="56"/>
      <c r="E1719" s="57"/>
      <c r="F1719" s="58"/>
      <c r="G1719" s="59"/>
      <c r="H1719" s="56"/>
      <c r="I1719" s="56"/>
      <c r="J1719" s="60" t="str">
        <f aca="false">IF(IsPro,IF($D1719="","",IFERROR(INDEX(Items!$D$5:$D$504,U1719),"")),"")</f>
        <v/>
      </c>
      <c r="K1719" s="61" t="str">
        <f aca="false">IF(IsPro,IF($D1719="","",IF($F1719="",IFERROR(INDEX(Items!$H$5:$H$504,U1719),0),$F1719)),"")</f>
        <v/>
      </c>
      <c r="L1719" s="61" t="str">
        <f aca="false">IF(IsPro,IF($D1719="","",ROUND(N($E1719)*K1719*(1-N($G1719)),2)),"")</f>
        <v/>
      </c>
      <c r="M1719" s="62" t="str">
        <f aca="false">IF(IsPro,IF($D1719="","",IFERROR(INDEX(Items!$F$5:$F$504,U1719),0)),"")</f>
        <v/>
      </c>
      <c r="N1719" s="61" t="str">
        <f aca="false">IF(IsPro,IF($D1719="","",IF(AND(V1719&lt;&gt;"",INDEX(Parties!$E$5:$E$304,V1719)&lt;&gt;"",INDEX(Parties!$E$5:$E$304,V1719)&lt;&gt;HomeState),0,ROUND(L1719*M1719/2,2))),"")</f>
        <v/>
      </c>
      <c r="O1719" s="61" t="str">
        <f aca="false">IF(IsPro,IF($D1719="","",N1719),"")</f>
        <v/>
      </c>
      <c r="P1719" s="61" t="str">
        <f aca="false">IF(IsPro,IF($D1719="","",IF(AND(V1719&lt;&gt;"",INDEX(Parties!$E$5:$E$304,V1719)&lt;&gt;"",INDEX(Parties!$E$5:$E$304,V1719)&lt;&gt;HomeState),ROUND(L1719*M1719,2),0)),"")</f>
        <v/>
      </c>
      <c r="Q1719" s="61" t="str">
        <f aca="false">IF(IsPro,IF($D1719="","",L1719+N1719+O1719+P1719),"")</f>
        <v/>
      </c>
      <c r="R1719" s="61" t="str">
        <f aca="false">IF(IsPro,IF($D1719="","",ROUND(N($E1719)*IFERROR(INDEX(Items!$P$5:$P$504,U1719),0),2)),"")</f>
        <v/>
      </c>
      <c r="S1719" s="61" t="str">
        <f aca="false">IF(IsPro,IF($D1719="","",L1719-R1719),"")</f>
        <v/>
      </c>
      <c r="T1719" s="60" t="str">
        <f aca="false">IF(IsPro,IF($D1719="","",IF(U1719="","UNKNOWN ITEM",IF(INDEX(Items!$O$5:$O$504,U1719)&lt;0,"NEG STOCK",IF(K1719&lt;INDEX(Items!$P$5:$P$504,U1719),"BELOW COST","OK")))),IF($D1719="","","PRO PLAN"))</f>
        <v/>
      </c>
      <c r="U1719" s="60" t="str">
        <f aca="false">IF(IsPro,IF($D1719="","",IFERROR(MATCH($D1719,Items!$A$5:$A$504,0),"")),"")</f>
        <v/>
      </c>
      <c r="V1719" s="60" t="str">
        <f aca="false">IF(IsPro,IF($C1719="","",IFERROR(MATCH($C1719,Parties!$A$5:$A$304,0),"")),"")</f>
        <v/>
      </c>
      <c r="W1719" s="60" t="str">
        <f aca="false">IF(IsPro,IF($B1719="","",IFERROR(VALUE(SUBSTITUTE($B1719,InvPrefix,"")),0)),"")</f>
        <v/>
      </c>
      <c r="X1719" s="61" t="str">
        <f aca="false">IF(IsPro,IF($D1719="","",IF(OR($H1719="",$H1719="Credit"),0,Q1719)),"")</f>
        <v/>
      </c>
    </row>
    <row r="1720" customFormat="false" ht="15" hidden="false" customHeight="false" outlineLevel="0" collapsed="false">
      <c r="A1720" s="55"/>
      <c r="B1720" s="56"/>
      <c r="C1720" s="56"/>
      <c r="D1720" s="56"/>
      <c r="E1720" s="57"/>
      <c r="F1720" s="58"/>
      <c r="G1720" s="59"/>
      <c r="H1720" s="56"/>
      <c r="I1720" s="56"/>
      <c r="J1720" s="60" t="str">
        <f aca="false">IF(IsPro,IF($D1720="","",IFERROR(INDEX(Items!$D$5:$D$504,U1720),"")),"")</f>
        <v/>
      </c>
      <c r="K1720" s="61" t="str">
        <f aca="false">IF(IsPro,IF($D1720="","",IF($F1720="",IFERROR(INDEX(Items!$H$5:$H$504,U1720),0),$F1720)),"")</f>
        <v/>
      </c>
      <c r="L1720" s="61" t="str">
        <f aca="false">IF(IsPro,IF($D1720="","",ROUND(N($E1720)*K1720*(1-N($G1720)),2)),"")</f>
        <v/>
      </c>
      <c r="M1720" s="62" t="str">
        <f aca="false">IF(IsPro,IF($D1720="","",IFERROR(INDEX(Items!$F$5:$F$504,U1720),0)),"")</f>
        <v/>
      </c>
      <c r="N1720" s="61" t="str">
        <f aca="false">IF(IsPro,IF($D1720="","",IF(AND(V1720&lt;&gt;"",INDEX(Parties!$E$5:$E$304,V1720)&lt;&gt;"",INDEX(Parties!$E$5:$E$304,V1720)&lt;&gt;HomeState),0,ROUND(L1720*M1720/2,2))),"")</f>
        <v/>
      </c>
      <c r="O1720" s="61" t="str">
        <f aca="false">IF(IsPro,IF($D1720="","",N1720),"")</f>
        <v/>
      </c>
      <c r="P1720" s="61" t="str">
        <f aca="false">IF(IsPro,IF($D1720="","",IF(AND(V1720&lt;&gt;"",INDEX(Parties!$E$5:$E$304,V1720)&lt;&gt;"",INDEX(Parties!$E$5:$E$304,V1720)&lt;&gt;HomeState),ROUND(L1720*M1720,2),0)),"")</f>
        <v/>
      </c>
      <c r="Q1720" s="61" t="str">
        <f aca="false">IF(IsPro,IF($D1720="","",L1720+N1720+O1720+P1720),"")</f>
        <v/>
      </c>
      <c r="R1720" s="61" t="str">
        <f aca="false">IF(IsPro,IF($D1720="","",ROUND(N($E1720)*IFERROR(INDEX(Items!$P$5:$P$504,U1720),0),2)),"")</f>
        <v/>
      </c>
      <c r="S1720" s="61" t="str">
        <f aca="false">IF(IsPro,IF($D1720="","",L1720-R1720),"")</f>
        <v/>
      </c>
      <c r="T1720" s="60" t="str">
        <f aca="false">IF(IsPro,IF($D1720="","",IF(U1720="","UNKNOWN ITEM",IF(INDEX(Items!$O$5:$O$504,U1720)&lt;0,"NEG STOCK",IF(K1720&lt;INDEX(Items!$P$5:$P$504,U1720),"BELOW COST","OK")))),IF($D1720="","","PRO PLAN"))</f>
        <v/>
      </c>
      <c r="U1720" s="60" t="str">
        <f aca="false">IF(IsPro,IF($D1720="","",IFERROR(MATCH($D1720,Items!$A$5:$A$504,0),"")),"")</f>
        <v/>
      </c>
      <c r="V1720" s="60" t="str">
        <f aca="false">IF(IsPro,IF($C1720="","",IFERROR(MATCH($C1720,Parties!$A$5:$A$304,0),"")),"")</f>
        <v/>
      </c>
      <c r="W1720" s="60" t="str">
        <f aca="false">IF(IsPro,IF($B1720="","",IFERROR(VALUE(SUBSTITUTE($B1720,InvPrefix,"")),0)),"")</f>
        <v/>
      </c>
      <c r="X1720" s="61" t="str">
        <f aca="false">IF(IsPro,IF($D1720="","",IF(OR($H1720="",$H1720="Credit"),0,Q1720)),"")</f>
        <v/>
      </c>
    </row>
    <row r="1721" customFormat="false" ht="15" hidden="false" customHeight="false" outlineLevel="0" collapsed="false">
      <c r="A1721" s="55"/>
      <c r="B1721" s="56"/>
      <c r="C1721" s="56"/>
      <c r="D1721" s="56"/>
      <c r="E1721" s="57"/>
      <c r="F1721" s="58"/>
      <c r="G1721" s="59"/>
      <c r="H1721" s="56"/>
      <c r="I1721" s="56"/>
      <c r="J1721" s="60" t="str">
        <f aca="false">IF(IsPro,IF($D1721="","",IFERROR(INDEX(Items!$D$5:$D$504,U1721),"")),"")</f>
        <v/>
      </c>
      <c r="K1721" s="61" t="str">
        <f aca="false">IF(IsPro,IF($D1721="","",IF($F1721="",IFERROR(INDEX(Items!$H$5:$H$504,U1721),0),$F1721)),"")</f>
        <v/>
      </c>
      <c r="L1721" s="61" t="str">
        <f aca="false">IF(IsPro,IF($D1721="","",ROUND(N($E1721)*K1721*(1-N($G1721)),2)),"")</f>
        <v/>
      </c>
      <c r="M1721" s="62" t="str">
        <f aca="false">IF(IsPro,IF($D1721="","",IFERROR(INDEX(Items!$F$5:$F$504,U1721),0)),"")</f>
        <v/>
      </c>
      <c r="N1721" s="61" t="str">
        <f aca="false">IF(IsPro,IF($D1721="","",IF(AND(V1721&lt;&gt;"",INDEX(Parties!$E$5:$E$304,V1721)&lt;&gt;"",INDEX(Parties!$E$5:$E$304,V1721)&lt;&gt;HomeState),0,ROUND(L1721*M1721/2,2))),"")</f>
        <v/>
      </c>
      <c r="O1721" s="61" t="str">
        <f aca="false">IF(IsPro,IF($D1721="","",N1721),"")</f>
        <v/>
      </c>
      <c r="P1721" s="61" t="str">
        <f aca="false">IF(IsPro,IF($D1721="","",IF(AND(V1721&lt;&gt;"",INDEX(Parties!$E$5:$E$304,V1721)&lt;&gt;"",INDEX(Parties!$E$5:$E$304,V1721)&lt;&gt;HomeState),ROUND(L1721*M1721,2),0)),"")</f>
        <v/>
      </c>
      <c r="Q1721" s="61" t="str">
        <f aca="false">IF(IsPro,IF($D1721="","",L1721+N1721+O1721+P1721),"")</f>
        <v/>
      </c>
      <c r="R1721" s="61" t="str">
        <f aca="false">IF(IsPro,IF($D1721="","",ROUND(N($E1721)*IFERROR(INDEX(Items!$P$5:$P$504,U1721),0),2)),"")</f>
        <v/>
      </c>
      <c r="S1721" s="61" t="str">
        <f aca="false">IF(IsPro,IF($D1721="","",L1721-R1721),"")</f>
        <v/>
      </c>
      <c r="T1721" s="60" t="str">
        <f aca="false">IF(IsPro,IF($D1721="","",IF(U1721="","UNKNOWN ITEM",IF(INDEX(Items!$O$5:$O$504,U1721)&lt;0,"NEG STOCK",IF(K1721&lt;INDEX(Items!$P$5:$P$504,U1721),"BELOW COST","OK")))),IF($D1721="","","PRO PLAN"))</f>
        <v/>
      </c>
      <c r="U1721" s="60" t="str">
        <f aca="false">IF(IsPro,IF($D1721="","",IFERROR(MATCH($D1721,Items!$A$5:$A$504,0),"")),"")</f>
        <v/>
      </c>
      <c r="V1721" s="60" t="str">
        <f aca="false">IF(IsPro,IF($C1721="","",IFERROR(MATCH($C1721,Parties!$A$5:$A$304,0),"")),"")</f>
        <v/>
      </c>
      <c r="W1721" s="60" t="str">
        <f aca="false">IF(IsPro,IF($B1721="","",IFERROR(VALUE(SUBSTITUTE($B1721,InvPrefix,"")),0)),"")</f>
        <v/>
      </c>
      <c r="X1721" s="61" t="str">
        <f aca="false">IF(IsPro,IF($D1721="","",IF(OR($H1721="",$H1721="Credit"),0,Q1721)),"")</f>
        <v/>
      </c>
    </row>
    <row r="1722" customFormat="false" ht="15" hidden="false" customHeight="false" outlineLevel="0" collapsed="false">
      <c r="A1722" s="55"/>
      <c r="B1722" s="56"/>
      <c r="C1722" s="56"/>
      <c r="D1722" s="56"/>
      <c r="E1722" s="57"/>
      <c r="F1722" s="58"/>
      <c r="G1722" s="59"/>
      <c r="H1722" s="56"/>
      <c r="I1722" s="56"/>
      <c r="J1722" s="60" t="str">
        <f aca="false">IF(IsPro,IF($D1722="","",IFERROR(INDEX(Items!$D$5:$D$504,U1722),"")),"")</f>
        <v/>
      </c>
      <c r="K1722" s="61" t="str">
        <f aca="false">IF(IsPro,IF($D1722="","",IF($F1722="",IFERROR(INDEX(Items!$H$5:$H$504,U1722),0),$F1722)),"")</f>
        <v/>
      </c>
      <c r="L1722" s="61" t="str">
        <f aca="false">IF(IsPro,IF($D1722="","",ROUND(N($E1722)*K1722*(1-N($G1722)),2)),"")</f>
        <v/>
      </c>
      <c r="M1722" s="62" t="str">
        <f aca="false">IF(IsPro,IF($D1722="","",IFERROR(INDEX(Items!$F$5:$F$504,U1722),0)),"")</f>
        <v/>
      </c>
      <c r="N1722" s="61" t="str">
        <f aca="false">IF(IsPro,IF($D1722="","",IF(AND(V1722&lt;&gt;"",INDEX(Parties!$E$5:$E$304,V1722)&lt;&gt;"",INDEX(Parties!$E$5:$E$304,V1722)&lt;&gt;HomeState),0,ROUND(L1722*M1722/2,2))),"")</f>
        <v/>
      </c>
      <c r="O1722" s="61" t="str">
        <f aca="false">IF(IsPro,IF($D1722="","",N1722),"")</f>
        <v/>
      </c>
      <c r="P1722" s="61" t="str">
        <f aca="false">IF(IsPro,IF($D1722="","",IF(AND(V1722&lt;&gt;"",INDEX(Parties!$E$5:$E$304,V1722)&lt;&gt;"",INDEX(Parties!$E$5:$E$304,V1722)&lt;&gt;HomeState),ROUND(L1722*M1722,2),0)),"")</f>
        <v/>
      </c>
      <c r="Q1722" s="61" t="str">
        <f aca="false">IF(IsPro,IF($D1722="","",L1722+N1722+O1722+P1722),"")</f>
        <v/>
      </c>
      <c r="R1722" s="61" t="str">
        <f aca="false">IF(IsPro,IF($D1722="","",ROUND(N($E1722)*IFERROR(INDEX(Items!$P$5:$P$504,U1722),0),2)),"")</f>
        <v/>
      </c>
      <c r="S1722" s="61" t="str">
        <f aca="false">IF(IsPro,IF($D1722="","",L1722-R1722),"")</f>
        <v/>
      </c>
      <c r="T1722" s="60" t="str">
        <f aca="false">IF(IsPro,IF($D1722="","",IF(U1722="","UNKNOWN ITEM",IF(INDEX(Items!$O$5:$O$504,U1722)&lt;0,"NEG STOCK",IF(K1722&lt;INDEX(Items!$P$5:$P$504,U1722),"BELOW COST","OK")))),IF($D1722="","","PRO PLAN"))</f>
        <v/>
      </c>
      <c r="U1722" s="60" t="str">
        <f aca="false">IF(IsPro,IF($D1722="","",IFERROR(MATCH($D1722,Items!$A$5:$A$504,0),"")),"")</f>
        <v/>
      </c>
      <c r="V1722" s="60" t="str">
        <f aca="false">IF(IsPro,IF($C1722="","",IFERROR(MATCH($C1722,Parties!$A$5:$A$304,0),"")),"")</f>
        <v/>
      </c>
      <c r="W1722" s="60" t="str">
        <f aca="false">IF(IsPro,IF($B1722="","",IFERROR(VALUE(SUBSTITUTE($B1722,InvPrefix,"")),0)),"")</f>
        <v/>
      </c>
      <c r="X1722" s="61" t="str">
        <f aca="false">IF(IsPro,IF($D1722="","",IF(OR($H1722="",$H1722="Credit"),0,Q1722)),"")</f>
        <v/>
      </c>
    </row>
    <row r="1723" customFormat="false" ht="15" hidden="false" customHeight="false" outlineLevel="0" collapsed="false">
      <c r="A1723" s="55"/>
      <c r="B1723" s="56"/>
      <c r="C1723" s="56"/>
      <c r="D1723" s="56"/>
      <c r="E1723" s="57"/>
      <c r="F1723" s="58"/>
      <c r="G1723" s="59"/>
      <c r="H1723" s="56"/>
      <c r="I1723" s="56"/>
      <c r="J1723" s="60" t="str">
        <f aca="false">IF(IsPro,IF($D1723="","",IFERROR(INDEX(Items!$D$5:$D$504,U1723),"")),"")</f>
        <v/>
      </c>
      <c r="K1723" s="61" t="str">
        <f aca="false">IF(IsPro,IF($D1723="","",IF($F1723="",IFERROR(INDEX(Items!$H$5:$H$504,U1723),0),$F1723)),"")</f>
        <v/>
      </c>
      <c r="L1723" s="61" t="str">
        <f aca="false">IF(IsPro,IF($D1723="","",ROUND(N($E1723)*K1723*(1-N($G1723)),2)),"")</f>
        <v/>
      </c>
      <c r="M1723" s="62" t="str">
        <f aca="false">IF(IsPro,IF($D1723="","",IFERROR(INDEX(Items!$F$5:$F$504,U1723),0)),"")</f>
        <v/>
      </c>
      <c r="N1723" s="61" t="str">
        <f aca="false">IF(IsPro,IF($D1723="","",IF(AND(V1723&lt;&gt;"",INDEX(Parties!$E$5:$E$304,V1723)&lt;&gt;"",INDEX(Parties!$E$5:$E$304,V1723)&lt;&gt;HomeState),0,ROUND(L1723*M1723/2,2))),"")</f>
        <v/>
      </c>
      <c r="O1723" s="61" t="str">
        <f aca="false">IF(IsPro,IF($D1723="","",N1723),"")</f>
        <v/>
      </c>
      <c r="P1723" s="61" t="str">
        <f aca="false">IF(IsPro,IF($D1723="","",IF(AND(V1723&lt;&gt;"",INDEX(Parties!$E$5:$E$304,V1723)&lt;&gt;"",INDEX(Parties!$E$5:$E$304,V1723)&lt;&gt;HomeState),ROUND(L1723*M1723,2),0)),"")</f>
        <v/>
      </c>
      <c r="Q1723" s="61" t="str">
        <f aca="false">IF(IsPro,IF($D1723="","",L1723+N1723+O1723+P1723),"")</f>
        <v/>
      </c>
      <c r="R1723" s="61" t="str">
        <f aca="false">IF(IsPro,IF($D1723="","",ROUND(N($E1723)*IFERROR(INDEX(Items!$P$5:$P$504,U1723),0),2)),"")</f>
        <v/>
      </c>
      <c r="S1723" s="61" t="str">
        <f aca="false">IF(IsPro,IF($D1723="","",L1723-R1723),"")</f>
        <v/>
      </c>
      <c r="T1723" s="60" t="str">
        <f aca="false">IF(IsPro,IF($D1723="","",IF(U1723="","UNKNOWN ITEM",IF(INDEX(Items!$O$5:$O$504,U1723)&lt;0,"NEG STOCK",IF(K1723&lt;INDEX(Items!$P$5:$P$504,U1723),"BELOW COST","OK")))),IF($D1723="","","PRO PLAN"))</f>
        <v/>
      </c>
      <c r="U1723" s="60" t="str">
        <f aca="false">IF(IsPro,IF($D1723="","",IFERROR(MATCH($D1723,Items!$A$5:$A$504,0),"")),"")</f>
        <v/>
      </c>
      <c r="V1723" s="60" t="str">
        <f aca="false">IF(IsPro,IF($C1723="","",IFERROR(MATCH($C1723,Parties!$A$5:$A$304,0),"")),"")</f>
        <v/>
      </c>
      <c r="W1723" s="60" t="str">
        <f aca="false">IF(IsPro,IF($B1723="","",IFERROR(VALUE(SUBSTITUTE($B1723,InvPrefix,"")),0)),"")</f>
        <v/>
      </c>
      <c r="X1723" s="61" t="str">
        <f aca="false">IF(IsPro,IF($D1723="","",IF(OR($H1723="",$H1723="Credit"),0,Q1723)),"")</f>
        <v/>
      </c>
    </row>
    <row r="1724" customFormat="false" ht="15" hidden="false" customHeight="false" outlineLevel="0" collapsed="false">
      <c r="A1724" s="55"/>
      <c r="B1724" s="56"/>
      <c r="C1724" s="56"/>
      <c r="D1724" s="56"/>
      <c r="E1724" s="57"/>
      <c r="F1724" s="58"/>
      <c r="G1724" s="59"/>
      <c r="H1724" s="56"/>
      <c r="I1724" s="56"/>
      <c r="J1724" s="60" t="str">
        <f aca="false">IF(IsPro,IF($D1724="","",IFERROR(INDEX(Items!$D$5:$D$504,U1724),"")),"")</f>
        <v/>
      </c>
      <c r="K1724" s="61" t="str">
        <f aca="false">IF(IsPro,IF($D1724="","",IF($F1724="",IFERROR(INDEX(Items!$H$5:$H$504,U1724),0),$F1724)),"")</f>
        <v/>
      </c>
      <c r="L1724" s="61" t="str">
        <f aca="false">IF(IsPro,IF($D1724="","",ROUND(N($E1724)*K1724*(1-N($G1724)),2)),"")</f>
        <v/>
      </c>
      <c r="M1724" s="62" t="str">
        <f aca="false">IF(IsPro,IF($D1724="","",IFERROR(INDEX(Items!$F$5:$F$504,U1724),0)),"")</f>
        <v/>
      </c>
      <c r="N1724" s="61" t="str">
        <f aca="false">IF(IsPro,IF($D1724="","",IF(AND(V1724&lt;&gt;"",INDEX(Parties!$E$5:$E$304,V1724)&lt;&gt;"",INDEX(Parties!$E$5:$E$304,V1724)&lt;&gt;HomeState),0,ROUND(L1724*M1724/2,2))),"")</f>
        <v/>
      </c>
      <c r="O1724" s="61" t="str">
        <f aca="false">IF(IsPro,IF($D1724="","",N1724),"")</f>
        <v/>
      </c>
      <c r="P1724" s="61" t="str">
        <f aca="false">IF(IsPro,IF($D1724="","",IF(AND(V1724&lt;&gt;"",INDEX(Parties!$E$5:$E$304,V1724)&lt;&gt;"",INDEX(Parties!$E$5:$E$304,V1724)&lt;&gt;HomeState),ROUND(L1724*M1724,2),0)),"")</f>
        <v/>
      </c>
      <c r="Q1724" s="61" t="str">
        <f aca="false">IF(IsPro,IF($D1724="","",L1724+N1724+O1724+P1724),"")</f>
        <v/>
      </c>
      <c r="R1724" s="61" t="str">
        <f aca="false">IF(IsPro,IF($D1724="","",ROUND(N($E1724)*IFERROR(INDEX(Items!$P$5:$P$504,U1724),0),2)),"")</f>
        <v/>
      </c>
      <c r="S1724" s="61" t="str">
        <f aca="false">IF(IsPro,IF($D1724="","",L1724-R1724),"")</f>
        <v/>
      </c>
      <c r="T1724" s="60" t="str">
        <f aca="false">IF(IsPro,IF($D1724="","",IF(U1724="","UNKNOWN ITEM",IF(INDEX(Items!$O$5:$O$504,U1724)&lt;0,"NEG STOCK",IF(K1724&lt;INDEX(Items!$P$5:$P$504,U1724),"BELOW COST","OK")))),IF($D1724="","","PRO PLAN"))</f>
        <v/>
      </c>
      <c r="U1724" s="60" t="str">
        <f aca="false">IF(IsPro,IF($D1724="","",IFERROR(MATCH($D1724,Items!$A$5:$A$504,0),"")),"")</f>
        <v/>
      </c>
      <c r="V1724" s="60" t="str">
        <f aca="false">IF(IsPro,IF($C1724="","",IFERROR(MATCH($C1724,Parties!$A$5:$A$304,0),"")),"")</f>
        <v/>
      </c>
      <c r="W1724" s="60" t="str">
        <f aca="false">IF(IsPro,IF($B1724="","",IFERROR(VALUE(SUBSTITUTE($B1724,InvPrefix,"")),0)),"")</f>
        <v/>
      </c>
      <c r="X1724" s="61" t="str">
        <f aca="false">IF(IsPro,IF($D1724="","",IF(OR($H1724="",$H1724="Credit"),0,Q1724)),"")</f>
        <v/>
      </c>
    </row>
    <row r="1725" customFormat="false" ht="15" hidden="false" customHeight="false" outlineLevel="0" collapsed="false">
      <c r="A1725" s="55"/>
      <c r="B1725" s="56"/>
      <c r="C1725" s="56"/>
      <c r="D1725" s="56"/>
      <c r="E1725" s="57"/>
      <c r="F1725" s="58"/>
      <c r="G1725" s="59"/>
      <c r="H1725" s="56"/>
      <c r="I1725" s="56"/>
      <c r="J1725" s="60" t="str">
        <f aca="false">IF(IsPro,IF($D1725="","",IFERROR(INDEX(Items!$D$5:$D$504,U1725),"")),"")</f>
        <v/>
      </c>
      <c r="K1725" s="61" t="str">
        <f aca="false">IF(IsPro,IF($D1725="","",IF($F1725="",IFERROR(INDEX(Items!$H$5:$H$504,U1725),0),$F1725)),"")</f>
        <v/>
      </c>
      <c r="L1725" s="61" t="str">
        <f aca="false">IF(IsPro,IF($D1725="","",ROUND(N($E1725)*K1725*(1-N($G1725)),2)),"")</f>
        <v/>
      </c>
      <c r="M1725" s="62" t="str">
        <f aca="false">IF(IsPro,IF($D1725="","",IFERROR(INDEX(Items!$F$5:$F$504,U1725),0)),"")</f>
        <v/>
      </c>
      <c r="N1725" s="61" t="str">
        <f aca="false">IF(IsPro,IF($D1725="","",IF(AND(V1725&lt;&gt;"",INDEX(Parties!$E$5:$E$304,V1725)&lt;&gt;"",INDEX(Parties!$E$5:$E$304,V1725)&lt;&gt;HomeState),0,ROUND(L1725*M1725/2,2))),"")</f>
        <v/>
      </c>
      <c r="O1725" s="61" t="str">
        <f aca="false">IF(IsPro,IF($D1725="","",N1725),"")</f>
        <v/>
      </c>
      <c r="P1725" s="61" t="str">
        <f aca="false">IF(IsPro,IF($D1725="","",IF(AND(V1725&lt;&gt;"",INDEX(Parties!$E$5:$E$304,V1725)&lt;&gt;"",INDEX(Parties!$E$5:$E$304,V1725)&lt;&gt;HomeState),ROUND(L1725*M1725,2),0)),"")</f>
        <v/>
      </c>
      <c r="Q1725" s="61" t="str">
        <f aca="false">IF(IsPro,IF($D1725="","",L1725+N1725+O1725+P1725),"")</f>
        <v/>
      </c>
      <c r="R1725" s="61" t="str">
        <f aca="false">IF(IsPro,IF($D1725="","",ROUND(N($E1725)*IFERROR(INDEX(Items!$P$5:$P$504,U1725),0),2)),"")</f>
        <v/>
      </c>
      <c r="S1725" s="61" t="str">
        <f aca="false">IF(IsPro,IF($D1725="","",L1725-R1725),"")</f>
        <v/>
      </c>
      <c r="T1725" s="60" t="str">
        <f aca="false">IF(IsPro,IF($D1725="","",IF(U1725="","UNKNOWN ITEM",IF(INDEX(Items!$O$5:$O$504,U1725)&lt;0,"NEG STOCK",IF(K1725&lt;INDEX(Items!$P$5:$P$504,U1725),"BELOW COST","OK")))),IF($D1725="","","PRO PLAN"))</f>
        <v/>
      </c>
      <c r="U1725" s="60" t="str">
        <f aca="false">IF(IsPro,IF($D1725="","",IFERROR(MATCH($D1725,Items!$A$5:$A$504,0),"")),"")</f>
        <v/>
      </c>
      <c r="V1725" s="60" t="str">
        <f aca="false">IF(IsPro,IF($C1725="","",IFERROR(MATCH($C1725,Parties!$A$5:$A$304,0),"")),"")</f>
        <v/>
      </c>
      <c r="W1725" s="60" t="str">
        <f aca="false">IF(IsPro,IF($B1725="","",IFERROR(VALUE(SUBSTITUTE($B1725,InvPrefix,"")),0)),"")</f>
        <v/>
      </c>
      <c r="X1725" s="61" t="str">
        <f aca="false">IF(IsPro,IF($D1725="","",IF(OR($H1725="",$H1725="Credit"),0,Q1725)),"")</f>
        <v/>
      </c>
    </row>
    <row r="1726" customFormat="false" ht="15" hidden="false" customHeight="false" outlineLevel="0" collapsed="false">
      <c r="A1726" s="55"/>
      <c r="B1726" s="56"/>
      <c r="C1726" s="56"/>
      <c r="D1726" s="56"/>
      <c r="E1726" s="57"/>
      <c r="F1726" s="58"/>
      <c r="G1726" s="59"/>
      <c r="H1726" s="56"/>
      <c r="I1726" s="56"/>
      <c r="J1726" s="60" t="str">
        <f aca="false">IF(IsPro,IF($D1726="","",IFERROR(INDEX(Items!$D$5:$D$504,U1726),"")),"")</f>
        <v/>
      </c>
      <c r="K1726" s="61" t="str">
        <f aca="false">IF(IsPro,IF($D1726="","",IF($F1726="",IFERROR(INDEX(Items!$H$5:$H$504,U1726),0),$F1726)),"")</f>
        <v/>
      </c>
      <c r="L1726" s="61" t="str">
        <f aca="false">IF(IsPro,IF($D1726="","",ROUND(N($E1726)*K1726*(1-N($G1726)),2)),"")</f>
        <v/>
      </c>
      <c r="M1726" s="62" t="str">
        <f aca="false">IF(IsPro,IF($D1726="","",IFERROR(INDEX(Items!$F$5:$F$504,U1726),0)),"")</f>
        <v/>
      </c>
      <c r="N1726" s="61" t="str">
        <f aca="false">IF(IsPro,IF($D1726="","",IF(AND(V1726&lt;&gt;"",INDEX(Parties!$E$5:$E$304,V1726)&lt;&gt;"",INDEX(Parties!$E$5:$E$304,V1726)&lt;&gt;HomeState),0,ROUND(L1726*M1726/2,2))),"")</f>
        <v/>
      </c>
      <c r="O1726" s="61" t="str">
        <f aca="false">IF(IsPro,IF($D1726="","",N1726),"")</f>
        <v/>
      </c>
      <c r="P1726" s="61" t="str">
        <f aca="false">IF(IsPro,IF($D1726="","",IF(AND(V1726&lt;&gt;"",INDEX(Parties!$E$5:$E$304,V1726)&lt;&gt;"",INDEX(Parties!$E$5:$E$304,V1726)&lt;&gt;HomeState),ROUND(L1726*M1726,2),0)),"")</f>
        <v/>
      </c>
      <c r="Q1726" s="61" t="str">
        <f aca="false">IF(IsPro,IF($D1726="","",L1726+N1726+O1726+P1726),"")</f>
        <v/>
      </c>
      <c r="R1726" s="61" t="str">
        <f aca="false">IF(IsPro,IF($D1726="","",ROUND(N($E1726)*IFERROR(INDEX(Items!$P$5:$P$504,U1726),0),2)),"")</f>
        <v/>
      </c>
      <c r="S1726" s="61" t="str">
        <f aca="false">IF(IsPro,IF($D1726="","",L1726-R1726),"")</f>
        <v/>
      </c>
      <c r="T1726" s="60" t="str">
        <f aca="false">IF(IsPro,IF($D1726="","",IF(U1726="","UNKNOWN ITEM",IF(INDEX(Items!$O$5:$O$504,U1726)&lt;0,"NEG STOCK",IF(K1726&lt;INDEX(Items!$P$5:$P$504,U1726),"BELOW COST","OK")))),IF($D1726="","","PRO PLAN"))</f>
        <v/>
      </c>
      <c r="U1726" s="60" t="str">
        <f aca="false">IF(IsPro,IF($D1726="","",IFERROR(MATCH($D1726,Items!$A$5:$A$504,0),"")),"")</f>
        <v/>
      </c>
      <c r="V1726" s="60" t="str">
        <f aca="false">IF(IsPro,IF($C1726="","",IFERROR(MATCH($C1726,Parties!$A$5:$A$304,0),"")),"")</f>
        <v/>
      </c>
      <c r="W1726" s="60" t="str">
        <f aca="false">IF(IsPro,IF($B1726="","",IFERROR(VALUE(SUBSTITUTE($B1726,InvPrefix,"")),0)),"")</f>
        <v/>
      </c>
      <c r="X1726" s="61" t="str">
        <f aca="false">IF(IsPro,IF($D1726="","",IF(OR($H1726="",$H1726="Credit"),0,Q1726)),"")</f>
        <v/>
      </c>
    </row>
    <row r="1727" customFormat="false" ht="15" hidden="false" customHeight="false" outlineLevel="0" collapsed="false">
      <c r="A1727" s="55"/>
      <c r="B1727" s="56"/>
      <c r="C1727" s="56"/>
      <c r="D1727" s="56"/>
      <c r="E1727" s="57"/>
      <c r="F1727" s="58"/>
      <c r="G1727" s="59"/>
      <c r="H1727" s="56"/>
      <c r="I1727" s="56"/>
      <c r="J1727" s="60" t="str">
        <f aca="false">IF(IsPro,IF($D1727="","",IFERROR(INDEX(Items!$D$5:$D$504,U1727),"")),"")</f>
        <v/>
      </c>
      <c r="K1727" s="61" t="str">
        <f aca="false">IF(IsPro,IF($D1727="","",IF($F1727="",IFERROR(INDEX(Items!$H$5:$H$504,U1727),0),$F1727)),"")</f>
        <v/>
      </c>
      <c r="L1727" s="61" t="str">
        <f aca="false">IF(IsPro,IF($D1727="","",ROUND(N($E1727)*K1727*(1-N($G1727)),2)),"")</f>
        <v/>
      </c>
      <c r="M1727" s="62" t="str">
        <f aca="false">IF(IsPro,IF($D1727="","",IFERROR(INDEX(Items!$F$5:$F$504,U1727),0)),"")</f>
        <v/>
      </c>
      <c r="N1727" s="61" t="str">
        <f aca="false">IF(IsPro,IF($D1727="","",IF(AND(V1727&lt;&gt;"",INDEX(Parties!$E$5:$E$304,V1727)&lt;&gt;"",INDEX(Parties!$E$5:$E$304,V1727)&lt;&gt;HomeState),0,ROUND(L1727*M1727/2,2))),"")</f>
        <v/>
      </c>
      <c r="O1727" s="61" t="str">
        <f aca="false">IF(IsPro,IF($D1727="","",N1727),"")</f>
        <v/>
      </c>
      <c r="P1727" s="61" t="str">
        <f aca="false">IF(IsPro,IF($D1727="","",IF(AND(V1727&lt;&gt;"",INDEX(Parties!$E$5:$E$304,V1727)&lt;&gt;"",INDEX(Parties!$E$5:$E$304,V1727)&lt;&gt;HomeState),ROUND(L1727*M1727,2),0)),"")</f>
        <v/>
      </c>
      <c r="Q1727" s="61" t="str">
        <f aca="false">IF(IsPro,IF($D1727="","",L1727+N1727+O1727+P1727),"")</f>
        <v/>
      </c>
      <c r="R1727" s="61" t="str">
        <f aca="false">IF(IsPro,IF($D1727="","",ROUND(N($E1727)*IFERROR(INDEX(Items!$P$5:$P$504,U1727),0),2)),"")</f>
        <v/>
      </c>
      <c r="S1727" s="61" t="str">
        <f aca="false">IF(IsPro,IF($D1727="","",L1727-R1727),"")</f>
        <v/>
      </c>
      <c r="T1727" s="60" t="str">
        <f aca="false">IF(IsPro,IF($D1727="","",IF(U1727="","UNKNOWN ITEM",IF(INDEX(Items!$O$5:$O$504,U1727)&lt;0,"NEG STOCK",IF(K1727&lt;INDEX(Items!$P$5:$P$504,U1727),"BELOW COST","OK")))),IF($D1727="","","PRO PLAN"))</f>
        <v/>
      </c>
      <c r="U1727" s="60" t="str">
        <f aca="false">IF(IsPro,IF($D1727="","",IFERROR(MATCH($D1727,Items!$A$5:$A$504,0),"")),"")</f>
        <v/>
      </c>
      <c r="V1727" s="60" t="str">
        <f aca="false">IF(IsPro,IF($C1727="","",IFERROR(MATCH($C1727,Parties!$A$5:$A$304,0),"")),"")</f>
        <v/>
      </c>
      <c r="W1727" s="60" t="str">
        <f aca="false">IF(IsPro,IF($B1727="","",IFERROR(VALUE(SUBSTITUTE($B1727,InvPrefix,"")),0)),"")</f>
        <v/>
      </c>
      <c r="X1727" s="61" t="str">
        <f aca="false">IF(IsPro,IF($D1727="","",IF(OR($H1727="",$H1727="Credit"),0,Q1727)),"")</f>
        <v/>
      </c>
    </row>
    <row r="1728" customFormat="false" ht="15" hidden="false" customHeight="false" outlineLevel="0" collapsed="false">
      <c r="A1728" s="55"/>
      <c r="B1728" s="56"/>
      <c r="C1728" s="56"/>
      <c r="D1728" s="56"/>
      <c r="E1728" s="57"/>
      <c r="F1728" s="58"/>
      <c r="G1728" s="59"/>
      <c r="H1728" s="56"/>
      <c r="I1728" s="56"/>
      <c r="J1728" s="60" t="str">
        <f aca="false">IF(IsPro,IF($D1728="","",IFERROR(INDEX(Items!$D$5:$D$504,U1728),"")),"")</f>
        <v/>
      </c>
      <c r="K1728" s="61" t="str">
        <f aca="false">IF(IsPro,IF($D1728="","",IF($F1728="",IFERROR(INDEX(Items!$H$5:$H$504,U1728),0),$F1728)),"")</f>
        <v/>
      </c>
      <c r="L1728" s="61" t="str">
        <f aca="false">IF(IsPro,IF($D1728="","",ROUND(N($E1728)*K1728*(1-N($G1728)),2)),"")</f>
        <v/>
      </c>
      <c r="M1728" s="62" t="str">
        <f aca="false">IF(IsPro,IF($D1728="","",IFERROR(INDEX(Items!$F$5:$F$504,U1728),0)),"")</f>
        <v/>
      </c>
      <c r="N1728" s="61" t="str">
        <f aca="false">IF(IsPro,IF($D1728="","",IF(AND(V1728&lt;&gt;"",INDEX(Parties!$E$5:$E$304,V1728)&lt;&gt;"",INDEX(Parties!$E$5:$E$304,V1728)&lt;&gt;HomeState),0,ROUND(L1728*M1728/2,2))),"")</f>
        <v/>
      </c>
      <c r="O1728" s="61" t="str">
        <f aca="false">IF(IsPro,IF($D1728="","",N1728),"")</f>
        <v/>
      </c>
      <c r="P1728" s="61" t="str">
        <f aca="false">IF(IsPro,IF($D1728="","",IF(AND(V1728&lt;&gt;"",INDEX(Parties!$E$5:$E$304,V1728)&lt;&gt;"",INDEX(Parties!$E$5:$E$304,V1728)&lt;&gt;HomeState),ROUND(L1728*M1728,2),0)),"")</f>
        <v/>
      </c>
      <c r="Q1728" s="61" t="str">
        <f aca="false">IF(IsPro,IF($D1728="","",L1728+N1728+O1728+P1728),"")</f>
        <v/>
      </c>
      <c r="R1728" s="61" t="str">
        <f aca="false">IF(IsPro,IF($D1728="","",ROUND(N($E1728)*IFERROR(INDEX(Items!$P$5:$P$504,U1728),0),2)),"")</f>
        <v/>
      </c>
      <c r="S1728" s="61" t="str">
        <f aca="false">IF(IsPro,IF($D1728="","",L1728-R1728),"")</f>
        <v/>
      </c>
      <c r="T1728" s="60" t="str">
        <f aca="false">IF(IsPro,IF($D1728="","",IF(U1728="","UNKNOWN ITEM",IF(INDEX(Items!$O$5:$O$504,U1728)&lt;0,"NEG STOCK",IF(K1728&lt;INDEX(Items!$P$5:$P$504,U1728),"BELOW COST","OK")))),IF($D1728="","","PRO PLAN"))</f>
        <v/>
      </c>
      <c r="U1728" s="60" t="str">
        <f aca="false">IF(IsPro,IF($D1728="","",IFERROR(MATCH($D1728,Items!$A$5:$A$504,0),"")),"")</f>
        <v/>
      </c>
      <c r="V1728" s="60" t="str">
        <f aca="false">IF(IsPro,IF($C1728="","",IFERROR(MATCH($C1728,Parties!$A$5:$A$304,0),"")),"")</f>
        <v/>
      </c>
      <c r="W1728" s="60" t="str">
        <f aca="false">IF(IsPro,IF($B1728="","",IFERROR(VALUE(SUBSTITUTE($B1728,InvPrefix,"")),0)),"")</f>
        <v/>
      </c>
      <c r="X1728" s="61" t="str">
        <f aca="false">IF(IsPro,IF($D1728="","",IF(OR($H1728="",$H1728="Credit"),0,Q1728)),"")</f>
        <v/>
      </c>
    </row>
    <row r="1729" customFormat="false" ht="15" hidden="false" customHeight="false" outlineLevel="0" collapsed="false">
      <c r="A1729" s="55"/>
      <c r="B1729" s="56"/>
      <c r="C1729" s="56"/>
      <c r="D1729" s="56"/>
      <c r="E1729" s="57"/>
      <c r="F1729" s="58"/>
      <c r="G1729" s="59"/>
      <c r="H1729" s="56"/>
      <c r="I1729" s="56"/>
      <c r="J1729" s="60" t="str">
        <f aca="false">IF(IsPro,IF($D1729="","",IFERROR(INDEX(Items!$D$5:$D$504,U1729),"")),"")</f>
        <v/>
      </c>
      <c r="K1729" s="61" t="str">
        <f aca="false">IF(IsPro,IF($D1729="","",IF($F1729="",IFERROR(INDEX(Items!$H$5:$H$504,U1729),0),$F1729)),"")</f>
        <v/>
      </c>
      <c r="L1729" s="61" t="str">
        <f aca="false">IF(IsPro,IF($D1729="","",ROUND(N($E1729)*K1729*(1-N($G1729)),2)),"")</f>
        <v/>
      </c>
      <c r="M1729" s="62" t="str">
        <f aca="false">IF(IsPro,IF($D1729="","",IFERROR(INDEX(Items!$F$5:$F$504,U1729),0)),"")</f>
        <v/>
      </c>
      <c r="N1729" s="61" t="str">
        <f aca="false">IF(IsPro,IF($D1729="","",IF(AND(V1729&lt;&gt;"",INDEX(Parties!$E$5:$E$304,V1729)&lt;&gt;"",INDEX(Parties!$E$5:$E$304,V1729)&lt;&gt;HomeState),0,ROUND(L1729*M1729/2,2))),"")</f>
        <v/>
      </c>
      <c r="O1729" s="61" t="str">
        <f aca="false">IF(IsPro,IF($D1729="","",N1729),"")</f>
        <v/>
      </c>
      <c r="P1729" s="61" t="str">
        <f aca="false">IF(IsPro,IF($D1729="","",IF(AND(V1729&lt;&gt;"",INDEX(Parties!$E$5:$E$304,V1729)&lt;&gt;"",INDEX(Parties!$E$5:$E$304,V1729)&lt;&gt;HomeState),ROUND(L1729*M1729,2),0)),"")</f>
        <v/>
      </c>
      <c r="Q1729" s="61" t="str">
        <f aca="false">IF(IsPro,IF($D1729="","",L1729+N1729+O1729+P1729),"")</f>
        <v/>
      </c>
      <c r="R1729" s="61" t="str">
        <f aca="false">IF(IsPro,IF($D1729="","",ROUND(N($E1729)*IFERROR(INDEX(Items!$P$5:$P$504,U1729),0),2)),"")</f>
        <v/>
      </c>
      <c r="S1729" s="61" t="str">
        <f aca="false">IF(IsPro,IF($D1729="","",L1729-R1729),"")</f>
        <v/>
      </c>
      <c r="T1729" s="60" t="str">
        <f aca="false">IF(IsPro,IF($D1729="","",IF(U1729="","UNKNOWN ITEM",IF(INDEX(Items!$O$5:$O$504,U1729)&lt;0,"NEG STOCK",IF(K1729&lt;INDEX(Items!$P$5:$P$504,U1729),"BELOW COST","OK")))),IF($D1729="","","PRO PLAN"))</f>
        <v/>
      </c>
      <c r="U1729" s="60" t="str">
        <f aca="false">IF(IsPro,IF($D1729="","",IFERROR(MATCH($D1729,Items!$A$5:$A$504,0),"")),"")</f>
        <v/>
      </c>
      <c r="V1729" s="60" t="str">
        <f aca="false">IF(IsPro,IF($C1729="","",IFERROR(MATCH($C1729,Parties!$A$5:$A$304,0),"")),"")</f>
        <v/>
      </c>
      <c r="W1729" s="60" t="str">
        <f aca="false">IF(IsPro,IF($B1729="","",IFERROR(VALUE(SUBSTITUTE($B1729,InvPrefix,"")),0)),"")</f>
        <v/>
      </c>
      <c r="X1729" s="61" t="str">
        <f aca="false">IF(IsPro,IF($D1729="","",IF(OR($H1729="",$H1729="Credit"),0,Q1729)),"")</f>
        <v/>
      </c>
    </row>
    <row r="1730" customFormat="false" ht="15" hidden="false" customHeight="false" outlineLevel="0" collapsed="false">
      <c r="A1730" s="55"/>
      <c r="B1730" s="56"/>
      <c r="C1730" s="56"/>
      <c r="D1730" s="56"/>
      <c r="E1730" s="57"/>
      <c r="F1730" s="58"/>
      <c r="G1730" s="59"/>
      <c r="H1730" s="56"/>
      <c r="I1730" s="56"/>
      <c r="J1730" s="60" t="str">
        <f aca="false">IF(IsPro,IF($D1730="","",IFERROR(INDEX(Items!$D$5:$D$504,U1730),"")),"")</f>
        <v/>
      </c>
      <c r="K1730" s="61" t="str">
        <f aca="false">IF(IsPro,IF($D1730="","",IF($F1730="",IFERROR(INDEX(Items!$H$5:$H$504,U1730),0),$F1730)),"")</f>
        <v/>
      </c>
      <c r="L1730" s="61" t="str">
        <f aca="false">IF(IsPro,IF($D1730="","",ROUND(N($E1730)*K1730*(1-N($G1730)),2)),"")</f>
        <v/>
      </c>
      <c r="M1730" s="62" t="str">
        <f aca="false">IF(IsPro,IF($D1730="","",IFERROR(INDEX(Items!$F$5:$F$504,U1730),0)),"")</f>
        <v/>
      </c>
      <c r="N1730" s="61" t="str">
        <f aca="false">IF(IsPro,IF($D1730="","",IF(AND(V1730&lt;&gt;"",INDEX(Parties!$E$5:$E$304,V1730)&lt;&gt;"",INDEX(Parties!$E$5:$E$304,V1730)&lt;&gt;HomeState),0,ROUND(L1730*M1730/2,2))),"")</f>
        <v/>
      </c>
      <c r="O1730" s="61" t="str">
        <f aca="false">IF(IsPro,IF($D1730="","",N1730),"")</f>
        <v/>
      </c>
      <c r="P1730" s="61" t="str">
        <f aca="false">IF(IsPro,IF($D1730="","",IF(AND(V1730&lt;&gt;"",INDEX(Parties!$E$5:$E$304,V1730)&lt;&gt;"",INDEX(Parties!$E$5:$E$304,V1730)&lt;&gt;HomeState),ROUND(L1730*M1730,2),0)),"")</f>
        <v/>
      </c>
      <c r="Q1730" s="61" t="str">
        <f aca="false">IF(IsPro,IF($D1730="","",L1730+N1730+O1730+P1730),"")</f>
        <v/>
      </c>
      <c r="R1730" s="61" t="str">
        <f aca="false">IF(IsPro,IF($D1730="","",ROUND(N($E1730)*IFERROR(INDEX(Items!$P$5:$P$504,U1730),0),2)),"")</f>
        <v/>
      </c>
      <c r="S1730" s="61" t="str">
        <f aca="false">IF(IsPro,IF($D1730="","",L1730-R1730),"")</f>
        <v/>
      </c>
      <c r="T1730" s="60" t="str">
        <f aca="false">IF(IsPro,IF($D1730="","",IF(U1730="","UNKNOWN ITEM",IF(INDEX(Items!$O$5:$O$504,U1730)&lt;0,"NEG STOCK",IF(K1730&lt;INDEX(Items!$P$5:$P$504,U1730),"BELOW COST","OK")))),IF($D1730="","","PRO PLAN"))</f>
        <v/>
      </c>
      <c r="U1730" s="60" t="str">
        <f aca="false">IF(IsPro,IF($D1730="","",IFERROR(MATCH($D1730,Items!$A$5:$A$504,0),"")),"")</f>
        <v/>
      </c>
      <c r="V1730" s="60" t="str">
        <f aca="false">IF(IsPro,IF($C1730="","",IFERROR(MATCH($C1730,Parties!$A$5:$A$304,0),"")),"")</f>
        <v/>
      </c>
      <c r="W1730" s="60" t="str">
        <f aca="false">IF(IsPro,IF($B1730="","",IFERROR(VALUE(SUBSTITUTE($B1730,InvPrefix,"")),0)),"")</f>
        <v/>
      </c>
      <c r="X1730" s="61" t="str">
        <f aca="false">IF(IsPro,IF($D1730="","",IF(OR($H1730="",$H1730="Credit"),0,Q1730)),"")</f>
        <v/>
      </c>
    </row>
    <row r="1731" customFormat="false" ht="15" hidden="false" customHeight="false" outlineLevel="0" collapsed="false">
      <c r="A1731" s="55"/>
      <c r="B1731" s="56"/>
      <c r="C1731" s="56"/>
      <c r="D1731" s="56"/>
      <c r="E1731" s="57"/>
      <c r="F1731" s="58"/>
      <c r="G1731" s="59"/>
      <c r="H1731" s="56"/>
      <c r="I1731" s="56"/>
      <c r="J1731" s="60" t="str">
        <f aca="false">IF(IsPro,IF($D1731="","",IFERROR(INDEX(Items!$D$5:$D$504,U1731),"")),"")</f>
        <v/>
      </c>
      <c r="K1731" s="61" t="str">
        <f aca="false">IF(IsPro,IF($D1731="","",IF($F1731="",IFERROR(INDEX(Items!$H$5:$H$504,U1731),0),$F1731)),"")</f>
        <v/>
      </c>
      <c r="L1731" s="61" t="str">
        <f aca="false">IF(IsPro,IF($D1731="","",ROUND(N($E1731)*K1731*(1-N($G1731)),2)),"")</f>
        <v/>
      </c>
      <c r="M1731" s="62" t="str">
        <f aca="false">IF(IsPro,IF($D1731="","",IFERROR(INDEX(Items!$F$5:$F$504,U1731),0)),"")</f>
        <v/>
      </c>
      <c r="N1731" s="61" t="str">
        <f aca="false">IF(IsPro,IF($D1731="","",IF(AND(V1731&lt;&gt;"",INDEX(Parties!$E$5:$E$304,V1731)&lt;&gt;"",INDEX(Parties!$E$5:$E$304,V1731)&lt;&gt;HomeState),0,ROUND(L1731*M1731/2,2))),"")</f>
        <v/>
      </c>
      <c r="O1731" s="61" t="str">
        <f aca="false">IF(IsPro,IF($D1731="","",N1731),"")</f>
        <v/>
      </c>
      <c r="P1731" s="61" t="str">
        <f aca="false">IF(IsPro,IF($D1731="","",IF(AND(V1731&lt;&gt;"",INDEX(Parties!$E$5:$E$304,V1731)&lt;&gt;"",INDEX(Parties!$E$5:$E$304,V1731)&lt;&gt;HomeState),ROUND(L1731*M1731,2),0)),"")</f>
        <v/>
      </c>
      <c r="Q1731" s="61" t="str">
        <f aca="false">IF(IsPro,IF($D1731="","",L1731+N1731+O1731+P1731),"")</f>
        <v/>
      </c>
      <c r="R1731" s="61" t="str">
        <f aca="false">IF(IsPro,IF($D1731="","",ROUND(N($E1731)*IFERROR(INDEX(Items!$P$5:$P$504,U1731),0),2)),"")</f>
        <v/>
      </c>
      <c r="S1731" s="61" t="str">
        <f aca="false">IF(IsPro,IF($D1731="","",L1731-R1731),"")</f>
        <v/>
      </c>
      <c r="T1731" s="60" t="str">
        <f aca="false">IF(IsPro,IF($D1731="","",IF(U1731="","UNKNOWN ITEM",IF(INDEX(Items!$O$5:$O$504,U1731)&lt;0,"NEG STOCK",IF(K1731&lt;INDEX(Items!$P$5:$P$504,U1731),"BELOW COST","OK")))),IF($D1731="","","PRO PLAN"))</f>
        <v/>
      </c>
      <c r="U1731" s="60" t="str">
        <f aca="false">IF(IsPro,IF($D1731="","",IFERROR(MATCH($D1731,Items!$A$5:$A$504,0),"")),"")</f>
        <v/>
      </c>
      <c r="V1731" s="60" t="str">
        <f aca="false">IF(IsPro,IF($C1731="","",IFERROR(MATCH($C1731,Parties!$A$5:$A$304,0),"")),"")</f>
        <v/>
      </c>
      <c r="W1731" s="60" t="str">
        <f aca="false">IF(IsPro,IF($B1731="","",IFERROR(VALUE(SUBSTITUTE($B1731,InvPrefix,"")),0)),"")</f>
        <v/>
      </c>
      <c r="X1731" s="61" t="str">
        <f aca="false">IF(IsPro,IF($D1731="","",IF(OR($H1731="",$H1731="Credit"),0,Q1731)),"")</f>
        <v/>
      </c>
    </row>
    <row r="1732" customFormat="false" ht="15" hidden="false" customHeight="false" outlineLevel="0" collapsed="false">
      <c r="A1732" s="55"/>
      <c r="B1732" s="56"/>
      <c r="C1732" s="56"/>
      <c r="D1732" s="56"/>
      <c r="E1732" s="57"/>
      <c r="F1732" s="58"/>
      <c r="G1732" s="59"/>
      <c r="H1732" s="56"/>
      <c r="I1732" s="56"/>
      <c r="J1732" s="60" t="str">
        <f aca="false">IF(IsPro,IF($D1732="","",IFERROR(INDEX(Items!$D$5:$D$504,U1732),"")),"")</f>
        <v/>
      </c>
      <c r="K1732" s="61" t="str">
        <f aca="false">IF(IsPro,IF($D1732="","",IF($F1732="",IFERROR(INDEX(Items!$H$5:$H$504,U1732),0),$F1732)),"")</f>
        <v/>
      </c>
      <c r="L1732" s="61" t="str">
        <f aca="false">IF(IsPro,IF($D1732="","",ROUND(N($E1732)*K1732*(1-N($G1732)),2)),"")</f>
        <v/>
      </c>
      <c r="M1732" s="62" t="str">
        <f aca="false">IF(IsPro,IF($D1732="","",IFERROR(INDEX(Items!$F$5:$F$504,U1732),0)),"")</f>
        <v/>
      </c>
      <c r="N1732" s="61" t="str">
        <f aca="false">IF(IsPro,IF($D1732="","",IF(AND(V1732&lt;&gt;"",INDEX(Parties!$E$5:$E$304,V1732)&lt;&gt;"",INDEX(Parties!$E$5:$E$304,V1732)&lt;&gt;HomeState),0,ROUND(L1732*M1732/2,2))),"")</f>
        <v/>
      </c>
      <c r="O1732" s="61" t="str">
        <f aca="false">IF(IsPro,IF($D1732="","",N1732),"")</f>
        <v/>
      </c>
      <c r="P1732" s="61" t="str">
        <f aca="false">IF(IsPro,IF($D1732="","",IF(AND(V1732&lt;&gt;"",INDEX(Parties!$E$5:$E$304,V1732)&lt;&gt;"",INDEX(Parties!$E$5:$E$304,V1732)&lt;&gt;HomeState),ROUND(L1732*M1732,2),0)),"")</f>
        <v/>
      </c>
      <c r="Q1732" s="61" t="str">
        <f aca="false">IF(IsPro,IF($D1732="","",L1732+N1732+O1732+P1732),"")</f>
        <v/>
      </c>
      <c r="R1732" s="61" t="str">
        <f aca="false">IF(IsPro,IF($D1732="","",ROUND(N($E1732)*IFERROR(INDEX(Items!$P$5:$P$504,U1732),0),2)),"")</f>
        <v/>
      </c>
      <c r="S1732" s="61" t="str">
        <f aca="false">IF(IsPro,IF($D1732="","",L1732-R1732),"")</f>
        <v/>
      </c>
      <c r="T1732" s="60" t="str">
        <f aca="false">IF(IsPro,IF($D1732="","",IF(U1732="","UNKNOWN ITEM",IF(INDEX(Items!$O$5:$O$504,U1732)&lt;0,"NEG STOCK",IF(K1732&lt;INDEX(Items!$P$5:$P$504,U1732),"BELOW COST","OK")))),IF($D1732="","","PRO PLAN"))</f>
        <v/>
      </c>
      <c r="U1732" s="60" t="str">
        <f aca="false">IF(IsPro,IF($D1732="","",IFERROR(MATCH($D1732,Items!$A$5:$A$504,0),"")),"")</f>
        <v/>
      </c>
      <c r="V1732" s="60" t="str">
        <f aca="false">IF(IsPro,IF($C1732="","",IFERROR(MATCH($C1732,Parties!$A$5:$A$304,0),"")),"")</f>
        <v/>
      </c>
      <c r="W1732" s="60" t="str">
        <f aca="false">IF(IsPro,IF($B1732="","",IFERROR(VALUE(SUBSTITUTE($B1732,InvPrefix,"")),0)),"")</f>
        <v/>
      </c>
      <c r="X1732" s="61" t="str">
        <f aca="false">IF(IsPro,IF($D1732="","",IF(OR($H1732="",$H1732="Credit"),0,Q1732)),"")</f>
        <v/>
      </c>
    </row>
    <row r="1733" customFormat="false" ht="15" hidden="false" customHeight="false" outlineLevel="0" collapsed="false">
      <c r="A1733" s="55"/>
      <c r="B1733" s="56"/>
      <c r="C1733" s="56"/>
      <c r="D1733" s="56"/>
      <c r="E1733" s="57"/>
      <c r="F1733" s="58"/>
      <c r="G1733" s="59"/>
      <c r="H1733" s="56"/>
      <c r="I1733" s="56"/>
      <c r="J1733" s="60" t="str">
        <f aca="false">IF(IsPro,IF($D1733="","",IFERROR(INDEX(Items!$D$5:$D$504,U1733),"")),"")</f>
        <v/>
      </c>
      <c r="K1733" s="61" t="str">
        <f aca="false">IF(IsPro,IF($D1733="","",IF($F1733="",IFERROR(INDEX(Items!$H$5:$H$504,U1733),0),$F1733)),"")</f>
        <v/>
      </c>
      <c r="L1733" s="61" t="str">
        <f aca="false">IF(IsPro,IF($D1733="","",ROUND(N($E1733)*K1733*(1-N($G1733)),2)),"")</f>
        <v/>
      </c>
      <c r="M1733" s="62" t="str">
        <f aca="false">IF(IsPro,IF($D1733="","",IFERROR(INDEX(Items!$F$5:$F$504,U1733),0)),"")</f>
        <v/>
      </c>
      <c r="N1733" s="61" t="str">
        <f aca="false">IF(IsPro,IF($D1733="","",IF(AND(V1733&lt;&gt;"",INDEX(Parties!$E$5:$E$304,V1733)&lt;&gt;"",INDEX(Parties!$E$5:$E$304,V1733)&lt;&gt;HomeState),0,ROUND(L1733*M1733/2,2))),"")</f>
        <v/>
      </c>
      <c r="O1733" s="61" t="str">
        <f aca="false">IF(IsPro,IF($D1733="","",N1733),"")</f>
        <v/>
      </c>
      <c r="P1733" s="61" t="str">
        <f aca="false">IF(IsPro,IF($D1733="","",IF(AND(V1733&lt;&gt;"",INDEX(Parties!$E$5:$E$304,V1733)&lt;&gt;"",INDEX(Parties!$E$5:$E$304,V1733)&lt;&gt;HomeState),ROUND(L1733*M1733,2),0)),"")</f>
        <v/>
      </c>
      <c r="Q1733" s="61" t="str">
        <f aca="false">IF(IsPro,IF($D1733="","",L1733+N1733+O1733+P1733),"")</f>
        <v/>
      </c>
      <c r="R1733" s="61" t="str">
        <f aca="false">IF(IsPro,IF($D1733="","",ROUND(N($E1733)*IFERROR(INDEX(Items!$P$5:$P$504,U1733),0),2)),"")</f>
        <v/>
      </c>
      <c r="S1733" s="61" t="str">
        <f aca="false">IF(IsPro,IF($D1733="","",L1733-R1733),"")</f>
        <v/>
      </c>
      <c r="T1733" s="60" t="str">
        <f aca="false">IF(IsPro,IF($D1733="","",IF(U1733="","UNKNOWN ITEM",IF(INDEX(Items!$O$5:$O$504,U1733)&lt;0,"NEG STOCK",IF(K1733&lt;INDEX(Items!$P$5:$P$504,U1733),"BELOW COST","OK")))),IF($D1733="","","PRO PLAN"))</f>
        <v/>
      </c>
      <c r="U1733" s="60" t="str">
        <f aca="false">IF(IsPro,IF($D1733="","",IFERROR(MATCH($D1733,Items!$A$5:$A$504,0),"")),"")</f>
        <v/>
      </c>
      <c r="V1733" s="60" t="str">
        <f aca="false">IF(IsPro,IF($C1733="","",IFERROR(MATCH($C1733,Parties!$A$5:$A$304,0),"")),"")</f>
        <v/>
      </c>
      <c r="W1733" s="60" t="str">
        <f aca="false">IF(IsPro,IF($B1733="","",IFERROR(VALUE(SUBSTITUTE($B1733,InvPrefix,"")),0)),"")</f>
        <v/>
      </c>
      <c r="X1733" s="61" t="str">
        <f aca="false">IF(IsPro,IF($D1733="","",IF(OR($H1733="",$H1733="Credit"),0,Q1733)),"")</f>
        <v/>
      </c>
    </row>
    <row r="1734" customFormat="false" ht="15" hidden="false" customHeight="false" outlineLevel="0" collapsed="false">
      <c r="A1734" s="55"/>
      <c r="B1734" s="56"/>
      <c r="C1734" s="56"/>
      <c r="D1734" s="56"/>
      <c r="E1734" s="57"/>
      <c r="F1734" s="58"/>
      <c r="G1734" s="59"/>
      <c r="H1734" s="56"/>
      <c r="I1734" s="56"/>
      <c r="J1734" s="60" t="str">
        <f aca="false">IF(IsPro,IF($D1734="","",IFERROR(INDEX(Items!$D$5:$D$504,U1734),"")),"")</f>
        <v/>
      </c>
      <c r="K1734" s="61" t="str">
        <f aca="false">IF(IsPro,IF($D1734="","",IF($F1734="",IFERROR(INDEX(Items!$H$5:$H$504,U1734),0),$F1734)),"")</f>
        <v/>
      </c>
      <c r="L1734" s="61" t="str">
        <f aca="false">IF(IsPro,IF($D1734="","",ROUND(N($E1734)*K1734*(1-N($G1734)),2)),"")</f>
        <v/>
      </c>
      <c r="M1734" s="62" t="str">
        <f aca="false">IF(IsPro,IF($D1734="","",IFERROR(INDEX(Items!$F$5:$F$504,U1734),0)),"")</f>
        <v/>
      </c>
      <c r="N1734" s="61" t="str">
        <f aca="false">IF(IsPro,IF($D1734="","",IF(AND(V1734&lt;&gt;"",INDEX(Parties!$E$5:$E$304,V1734)&lt;&gt;"",INDEX(Parties!$E$5:$E$304,V1734)&lt;&gt;HomeState),0,ROUND(L1734*M1734/2,2))),"")</f>
        <v/>
      </c>
      <c r="O1734" s="61" t="str">
        <f aca="false">IF(IsPro,IF($D1734="","",N1734),"")</f>
        <v/>
      </c>
      <c r="P1734" s="61" t="str">
        <f aca="false">IF(IsPro,IF($D1734="","",IF(AND(V1734&lt;&gt;"",INDEX(Parties!$E$5:$E$304,V1734)&lt;&gt;"",INDEX(Parties!$E$5:$E$304,V1734)&lt;&gt;HomeState),ROUND(L1734*M1734,2),0)),"")</f>
        <v/>
      </c>
      <c r="Q1734" s="61" t="str">
        <f aca="false">IF(IsPro,IF($D1734="","",L1734+N1734+O1734+P1734),"")</f>
        <v/>
      </c>
      <c r="R1734" s="61" t="str">
        <f aca="false">IF(IsPro,IF($D1734="","",ROUND(N($E1734)*IFERROR(INDEX(Items!$P$5:$P$504,U1734),0),2)),"")</f>
        <v/>
      </c>
      <c r="S1734" s="61" t="str">
        <f aca="false">IF(IsPro,IF($D1734="","",L1734-R1734),"")</f>
        <v/>
      </c>
      <c r="T1734" s="60" t="str">
        <f aca="false">IF(IsPro,IF($D1734="","",IF(U1734="","UNKNOWN ITEM",IF(INDEX(Items!$O$5:$O$504,U1734)&lt;0,"NEG STOCK",IF(K1734&lt;INDEX(Items!$P$5:$P$504,U1734),"BELOW COST","OK")))),IF($D1734="","","PRO PLAN"))</f>
        <v/>
      </c>
      <c r="U1734" s="60" t="str">
        <f aca="false">IF(IsPro,IF($D1734="","",IFERROR(MATCH($D1734,Items!$A$5:$A$504,0),"")),"")</f>
        <v/>
      </c>
      <c r="V1734" s="60" t="str">
        <f aca="false">IF(IsPro,IF($C1734="","",IFERROR(MATCH($C1734,Parties!$A$5:$A$304,0),"")),"")</f>
        <v/>
      </c>
      <c r="W1734" s="60" t="str">
        <f aca="false">IF(IsPro,IF($B1734="","",IFERROR(VALUE(SUBSTITUTE($B1734,InvPrefix,"")),0)),"")</f>
        <v/>
      </c>
      <c r="X1734" s="61" t="str">
        <f aca="false">IF(IsPro,IF($D1734="","",IF(OR($H1734="",$H1734="Credit"),0,Q1734)),"")</f>
        <v/>
      </c>
    </row>
    <row r="1735" customFormat="false" ht="15" hidden="false" customHeight="false" outlineLevel="0" collapsed="false">
      <c r="A1735" s="55"/>
      <c r="B1735" s="56"/>
      <c r="C1735" s="56"/>
      <c r="D1735" s="56"/>
      <c r="E1735" s="57"/>
      <c r="F1735" s="58"/>
      <c r="G1735" s="59"/>
      <c r="H1735" s="56"/>
      <c r="I1735" s="56"/>
      <c r="J1735" s="60" t="str">
        <f aca="false">IF(IsPro,IF($D1735="","",IFERROR(INDEX(Items!$D$5:$D$504,U1735),"")),"")</f>
        <v/>
      </c>
      <c r="K1735" s="61" t="str">
        <f aca="false">IF(IsPro,IF($D1735="","",IF($F1735="",IFERROR(INDEX(Items!$H$5:$H$504,U1735),0),$F1735)),"")</f>
        <v/>
      </c>
      <c r="L1735" s="61" t="str">
        <f aca="false">IF(IsPro,IF($D1735="","",ROUND(N($E1735)*K1735*(1-N($G1735)),2)),"")</f>
        <v/>
      </c>
      <c r="M1735" s="62" t="str">
        <f aca="false">IF(IsPro,IF($D1735="","",IFERROR(INDEX(Items!$F$5:$F$504,U1735),0)),"")</f>
        <v/>
      </c>
      <c r="N1735" s="61" t="str">
        <f aca="false">IF(IsPro,IF($D1735="","",IF(AND(V1735&lt;&gt;"",INDEX(Parties!$E$5:$E$304,V1735)&lt;&gt;"",INDEX(Parties!$E$5:$E$304,V1735)&lt;&gt;HomeState),0,ROUND(L1735*M1735/2,2))),"")</f>
        <v/>
      </c>
      <c r="O1735" s="61" t="str">
        <f aca="false">IF(IsPro,IF($D1735="","",N1735),"")</f>
        <v/>
      </c>
      <c r="P1735" s="61" t="str">
        <f aca="false">IF(IsPro,IF($D1735="","",IF(AND(V1735&lt;&gt;"",INDEX(Parties!$E$5:$E$304,V1735)&lt;&gt;"",INDEX(Parties!$E$5:$E$304,V1735)&lt;&gt;HomeState),ROUND(L1735*M1735,2),0)),"")</f>
        <v/>
      </c>
      <c r="Q1735" s="61" t="str">
        <f aca="false">IF(IsPro,IF($D1735="","",L1735+N1735+O1735+P1735),"")</f>
        <v/>
      </c>
      <c r="R1735" s="61" t="str">
        <f aca="false">IF(IsPro,IF($D1735="","",ROUND(N($E1735)*IFERROR(INDEX(Items!$P$5:$P$504,U1735),0),2)),"")</f>
        <v/>
      </c>
      <c r="S1735" s="61" t="str">
        <f aca="false">IF(IsPro,IF($D1735="","",L1735-R1735),"")</f>
        <v/>
      </c>
      <c r="T1735" s="60" t="str">
        <f aca="false">IF(IsPro,IF($D1735="","",IF(U1735="","UNKNOWN ITEM",IF(INDEX(Items!$O$5:$O$504,U1735)&lt;0,"NEG STOCK",IF(K1735&lt;INDEX(Items!$P$5:$P$504,U1735),"BELOW COST","OK")))),IF($D1735="","","PRO PLAN"))</f>
        <v/>
      </c>
      <c r="U1735" s="60" t="str">
        <f aca="false">IF(IsPro,IF($D1735="","",IFERROR(MATCH($D1735,Items!$A$5:$A$504,0),"")),"")</f>
        <v/>
      </c>
      <c r="V1735" s="60" t="str">
        <f aca="false">IF(IsPro,IF($C1735="","",IFERROR(MATCH($C1735,Parties!$A$5:$A$304,0),"")),"")</f>
        <v/>
      </c>
      <c r="W1735" s="60" t="str">
        <f aca="false">IF(IsPro,IF($B1735="","",IFERROR(VALUE(SUBSTITUTE($B1735,InvPrefix,"")),0)),"")</f>
        <v/>
      </c>
      <c r="X1735" s="61" t="str">
        <f aca="false">IF(IsPro,IF($D1735="","",IF(OR($H1735="",$H1735="Credit"),0,Q1735)),"")</f>
        <v/>
      </c>
    </row>
    <row r="1736" customFormat="false" ht="15" hidden="false" customHeight="false" outlineLevel="0" collapsed="false">
      <c r="A1736" s="55"/>
      <c r="B1736" s="56"/>
      <c r="C1736" s="56"/>
      <c r="D1736" s="56"/>
      <c r="E1736" s="57"/>
      <c r="F1736" s="58"/>
      <c r="G1736" s="59"/>
      <c r="H1736" s="56"/>
      <c r="I1736" s="56"/>
      <c r="J1736" s="60" t="str">
        <f aca="false">IF(IsPro,IF($D1736="","",IFERROR(INDEX(Items!$D$5:$D$504,U1736),"")),"")</f>
        <v/>
      </c>
      <c r="K1736" s="61" t="str">
        <f aca="false">IF(IsPro,IF($D1736="","",IF($F1736="",IFERROR(INDEX(Items!$H$5:$H$504,U1736),0),$F1736)),"")</f>
        <v/>
      </c>
      <c r="L1736" s="61" t="str">
        <f aca="false">IF(IsPro,IF($D1736="","",ROUND(N($E1736)*K1736*(1-N($G1736)),2)),"")</f>
        <v/>
      </c>
      <c r="M1736" s="62" t="str">
        <f aca="false">IF(IsPro,IF($D1736="","",IFERROR(INDEX(Items!$F$5:$F$504,U1736),0)),"")</f>
        <v/>
      </c>
      <c r="N1736" s="61" t="str">
        <f aca="false">IF(IsPro,IF($D1736="","",IF(AND(V1736&lt;&gt;"",INDEX(Parties!$E$5:$E$304,V1736)&lt;&gt;"",INDEX(Parties!$E$5:$E$304,V1736)&lt;&gt;HomeState),0,ROUND(L1736*M1736/2,2))),"")</f>
        <v/>
      </c>
      <c r="O1736" s="61" t="str">
        <f aca="false">IF(IsPro,IF($D1736="","",N1736),"")</f>
        <v/>
      </c>
      <c r="P1736" s="61" t="str">
        <f aca="false">IF(IsPro,IF($D1736="","",IF(AND(V1736&lt;&gt;"",INDEX(Parties!$E$5:$E$304,V1736)&lt;&gt;"",INDEX(Parties!$E$5:$E$304,V1736)&lt;&gt;HomeState),ROUND(L1736*M1736,2),0)),"")</f>
        <v/>
      </c>
      <c r="Q1736" s="61" t="str">
        <f aca="false">IF(IsPro,IF($D1736="","",L1736+N1736+O1736+P1736),"")</f>
        <v/>
      </c>
      <c r="R1736" s="61" t="str">
        <f aca="false">IF(IsPro,IF($D1736="","",ROUND(N($E1736)*IFERROR(INDEX(Items!$P$5:$P$504,U1736),0),2)),"")</f>
        <v/>
      </c>
      <c r="S1736" s="61" t="str">
        <f aca="false">IF(IsPro,IF($D1736="","",L1736-R1736),"")</f>
        <v/>
      </c>
      <c r="T1736" s="60" t="str">
        <f aca="false">IF(IsPro,IF($D1736="","",IF(U1736="","UNKNOWN ITEM",IF(INDEX(Items!$O$5:$O$504,U1736)&lt;0,"NEG STOCK",IF(K1736&lt;INDEX(Items!$P$5:$P$504,U1736),"BELOW COST","OK")))),IF($D1736="","","PRO PLAN"))</f>
        <v/>
      </c>
      <c r="U1736" s="60" t="str">
        <f aca="false">IF(IsPro,IF($D1736="","",IFERROR(MATCH($D1736,Items!$A$5:$A$504,0),"")),"")</f>
        <v/>
      </c>
      <c r="V1736" s="60" t="str">
        <f aca="false">IF(IsPro,IF($C1736="","",IFERROR(MATCH($C1736,Parties!$A$5:$A$304,0),"")),"")</f>
        <v/>
      </c>
      <c r="W1736" s="60" t="str">
        <f aca="false">IF(IsPro,IF($B1736="","",IFERROR(VALUE(SUBSTITUTE($B1736,InvPrefix,"")),0)),"")</f>
        <v/>
      </c>
      <c r="X1736" s="61" t="str">
        <f aca="false">IF(IsPro,IF($D1736="","",IF(OR($H1736="",$H1736="Credit"),0,Q1736)),"")</f>
        <v/>
      </c>
    </row>
    <row r="1737" customFormat="false" ht="15" hidden="false" customHeight="false" outlineLevel="0" collapsed="false">
      <c r="A1737" s="55"/>
      <c r="B1737" s="56"/>
      <c r="C1737" s="56"/>
      <c r="D1737" s="56"/>
      <c r="E1737" s="57"/>
      <c r="F1737" s="58"/>
      <c r="G1737" s="59"/>
      <c r="H1737" s="56"/>
      <c r="I1737" s="56"/>
      <c r="J1737" s="60" t="str">
        <f aca="false">IF(IsPro,IF($D1737="","",IFERROR(INDEX(Items!$D$5:$D$504,U1737),"")),"")</f>
        <v/>
      </c>
      <c r="K1737" s="61" t="str">
        <f aca="false">IF(IsPro,IF($D1737="","",IF($F1737="",IFERROR(INDEX(Items!$H$5:$H$504,U1737),0),$F1737)),"")</f>
        <v/>
      </c>
      <c r="L1737" s="61" t="str">
        <f aca="false">IF(IsPro,IF($D1737="","",ROUND(N($E1737)*K1737*(1-N($G1737)),2)),"")</f>
        <v/>
      </c>
      <c r="M1737" s="62" t="str">
        <f aca="false">IF(IsPro,IF($D1737="","",IFERROR(INDEX(Items!$F$5:$F$504,U1737),0)),"")</f>
        <v/>
      </c>
      <c r="N1737" s="61" t="str">
        <f aca="false">IF(IsPro,IF($D1737="","",IF(AND(V1737&lt;&gt;"",INDEX(Parties!$E$5:$E$304,V1737)&lt;&gt;"",INDEX(Parties!$E$5:$E$304,V1737)&lt;&gt;HomeState),0,ROUND(L1737*M1737/2,2))),"")</f>
        <v/>
      </c>
      <c r="O1737" s="61" t="str">
        <f aca="false">IF(IsPro,IF($D1737="","",N1737),"")</f>
        <v/>
      </c>
      <c r="P1737" s="61" t="str">
        <f aca="false">IF(IsPro,IF($D1737="","",IF(AND(V1737&lt;&gt;"",INDEX(Parties!$E$5:$E$304,V1737)&lt;&gt;"",INDEX(Parties!$E$5:$E$304,V1737)&lt;&gt;HomeState),ROUND(L1737*M1737,2),0)),"")</f>
        <v/>
      </c>
      <c r="Q1737" s="61" t="str">
        <f aca="false">IF(IsPro,IF($D1737="","",L1737+N1737+O1737+P1737),"")</f>
        <v/>
      </c>
      <c r="R1737" s="61" t="str">
        <f aca="false">IF(IsPro,IF($D1737="","",ROUND(N($E1737)*IFERROR(INDEX(Items!$P$5:$P$504,U1737),0),2)),"")</f>
        <v/>
      </c>
      <c r="S1737" s="61" t="str">
        <f aca="false">IF(IsPro,IF($D1737="","",L1737-R1737),"")</f>
        <v/>
      </c>
      <c r="T1737" s="60" t="str">
        <f aca="false">IF(IsPro,IF($D1737="","",IF(U1737="","UNKNOWN ITEM",IF(INDEX(Items!$O$5:$O$504,U1737)&lt;0,"NEG STOCK",IF(K1737&lt;INDEX(Items!$P$5:$P$504,U1737),"BELOW COST","OK")))),IF($D1737="","","PRO PLAN"))</f>
        <v/>
      </c>
      <c r="U1737" s="60" t="str">
        <f aca="false">IF(IsPro,IF($D1737="","",IFERROR(MATCH($D1737,Items!$A$5:$A$504,0),"")),"")</f>
        <v/>
      </c>
      <c r="V1737" s="60" t="str">
        <f aca="false">IF(IsPro,IF($C1737="","",IFERROR(MATCH($C1737,Parties!$A$5:$A$304,0),"")),"")</f>
        <v/>
      </c>
      <c r="W1737" s="60" t="str">
        <f aca="false">IF(IsPro,IF($B1737="","",IFERROR(VALUE(SUBSTITUTE($B1737,InvPrefix,"")),0)),"")</f>
        <v/>
      </c>
      <c r="X1737" s="61" t="str">
        <f aca="false">IF(IsPro,IF($D1737="","",IF(OR($H1737="",$H1737="Credit"),0,Q1737)),"")</f>
        <v/>
      </c>
    </row>
    <row r="1738" customFormat="false" ht="15" hidden="false" customHeight="false" outlineLevel="0" collapsed="false">
      <c r="A1738" s="55"/>
      <c r="B1738" s="56"/>
      <c r="C1738" s="56"/>
      <c r="D1738" s="56"/>
      <c r="E1738" s="57"/>
      <c r="F1738" s="58"/>
      <c r="G1738" s="59"/>
      <c r="H1738" s="56"/>
      <c r="I1738" s="56"/>
      <c r="J1738" s="60" t="str">
        <f aca="false">IF(IsPro,IF($D1738="","",IFERROR(INDEX(Items!$D$5:$D$504,U1738),"")),"")</f>
        <v/>
      </c>
      <c r="K1738" s="61" t="str">
        <f aca="false">IF(IsPro,IF($D1738="","",IF($F1738="",IFERROR(INDEX(Items!$H$5:$H$504,U1738),0),$F1738)),"")</f>
        <v/>
      </c>
      <c r="L1738" s="61" t="str">
        <f aca="false">IF(IsPro,IF($D1738="","",ROUND(N($E1738)*K1738*(1-N($G1738)),2)),"")</f>
        <v/>
      </c>
      <c r="M1738" s="62" t="str">
        <f aca="false">IF(IsPro,IF($D1738="","",IFERROR(INDEX(Items!$F$5:$F$504,U1738),0)),"")</f>
        <v/>
      </c>
      <c r="N1738" s="61" t="str">
        <f aca="false">IF(IsPro,IF($D1738="","",IF(AND(V1738&lt;&gt;"",INDEX(Parties!$E$5:$E$304,V1738)&lt;&gt;"",INDEX(Parties!$E$5:$E$304,V1738)&lt;&gt;HomeState),0,ROUND(L1738*M1738/2,2))),"")</f>
        <v/>
      </c>
      <c r="O1738" s="61" t="str">
        <f aca="false">IF(IsPro,IF($D1738="","",N1738),"")</f>
        <v/>
      </c>
      <c r="P1738" s="61" t="str">
        <f aca="false">IF(IsPro,IF($D1738="","",IF(AND(V1738&lt;&gt;"",INDEX(Parties!$E$5:$E$304,V1738)&lt;&gt;"",INDEX(Parties!$E$5:$E$304,V1738)&lt;&gt;HomeState),ROUND(L1738*M1738,2),0)),"")</f>
        <v/>
      </c>
      <c r="Q1738" s="61" t="str">
        <f aca="false">IF(IsPro,IF($D1738="","",L1738+N1738+O1738+P1738),"")</f>
        <v/>
      </c>
      <c r="R1738" s="61" t="str">
        <f aca="false">IF(IsPro,IF($D1738="","",ROUND(N($E1738)*IFERROR(INDEX(Items!$P$5:$P$504,U1738),0),2)),"")</f>
        <v/>
      </c>
      <c r="S1738" s="61" t="str">
        <f aca="false">IF(IsPro,IF($D1738="","",L1738-R1738),"")</f>
        <v/>
      </c>
      <c r="T1738" s="60" t="str">
        <f aca="false">IF(IsPro,IF($D1738="","",IF(U1738="","UNKNOWN ITEM",IF(INDEX(Items!$O$5:$O$504,U1738)&lt;0,"NEG STOCK",IF(K1738&lt;INDEX(Items!$P$5:$P$504,U1738),"BELOW COST","OK")))),IF($D1738="","","PRO PLAN"))</f>
        <v/>
      </c>
      <c r="U1738" s="60" t="str">
        <f aca="false">IF(IsPro,IF($D1738="","",IFERROR(MATCH($D1738,Items!$A$5:$A$504,0),"")),"")</f>
        <v/>
      </c>
      <c r="V1738" s="60" t="str">
        <f aca="false">IF(IsPro,IF($C1738="","",IFERROR(MATCH($C1738,Parties!$A$5:$A$304,0),"")),"")</f>
        <v/>
      </c>
      <c r="W1738" s="60" t="str">
        <f aca="false">IF(IsPro,IF($B1738="","",IFERROR(VALUE(SUBSTITUTE($B1738,InvPrefix,"")),0)),"")</f>
        <v/>
      </c>
      <c r="X1738" s="61" t="str">
        <f aca="false">IF(IsPro,IF($D1738="","",IF(OR($H1738="",$H1738="Credit"),0,Q1738)),"")</f>
        <v/>
      </c>
    </row>
    <row r="1739" customFormat="false" ht="15" hidden="false" customHeight="false" outlineLevel="0" collapsed="false">
      <c r="A1739" s="55"/>
      <c r="B1739" s="56"/>
      <c r="C1739" s="56"/>
      <c r="D1739" s="56"/>
      <c r="E1739" s="57"/>
      <c r="F1739" s="58"/>
      <c r="G1739" s="59"/>
      <c r="H1739" s="56"/>
      <c r="I1739" s="56"/>
      <c r="J1739" s="60" t="str">
        <f aca="false">IF(IsPro,IF($D1739="","",IFERROR(INDEX(Items!$D$5:$D$504,U1739),"")),"")</f>
        <v/>
      </c>
      <c r="K1739" s="61" t="str">
        <f aca="false">IF(IsPro,IF($D1739="","",IF($F1739="",IFERROR(INDEX(Items!$H$5:$H$504,U1739),0),$F1739)),"")</f>
        <v/>
      </c>
      <c r="L1739" s="61" t="str">
        <f aca="false">IF(IsPro,IF($D1739="","",ROUND(N($E1739)*K1739*(1-N($G1739)),2)),"")</f>
        <v/>
      </c>
      <c r="M1739" s="62" t="str">
        <f aca="false">IF(IsPro,IF($D1739="","",IFERROR(INDEX(Items!$F$5:$F$504,U1739),0)),"")</f>
        <v/>
      </c>
      <c r="N1739" s="61" t="str">
        <f aca="false">IF(IsPro,IF($D1739="","",IF(AND(V1739&lt;&gt;"",INDEX(Parties!$E$5:$E$304,V1739)&lt;&gt;"",INDEX(Parties!$E$5:$E$304,V1739)&lt;&gt;HomeState),0,ROUND(L1739*M1739/2,2))),"")</f>
        <v/>
      </c>
      <c r="O1739" s="61" t="str">
        <f aca="false">IF(IsPro,IF($D1739="","",N1739),"")</f>
        <v/>
      </c>
      <c r="P1739" s="61" t="str">
        <f aca="false">IF(IsPro,IF($D1739="","",IF(AND(V1739&lt;&gt;"",INDEX(Parties!$E$5:$E$304,V1739)&lt;&gt;"",INDEX(Parties!$E$5:$E$304,V1739)&lt;&gt;HomeState),ROUND(L1739*M1739,2),0)),"")</f>
        <v/>
      </c>
      <c r="Q1739" s="61" t="str">
        <f aca="false">IF(IsPro,IF($D1739="","",L1739+N1739+O1739+P1739),"")</f>
        <v/>
      </c>
      <c r="R1739" s="61" t="str">
        <f aca="false">IF(IsPro,IF($D1739="","",ROUND(N($E1739)*IFERROR(INDEX(Items!$P$5:$P$504,U1739),0),2)),"")</f>
        <v/>
      </c>
      <c r="S1739" s="61" t="str">
        <f aca="false">IF(IsPro,IF($D1739="","",L1739-R1739),"")</f>
        <v/>
      </c>
      <c r="T1739" s="60" t="str">
        <f aca="false">IF(IsPro,IF($D1739="","",IF(U1739="","UNKNOWN ITEM",IF(INDEX(Items!$O$5:$O$504,U1739)&lt;0,"NEG STOCK",IF(K1739&lt;INDEX(Items!$P$5:$P$504,U1739),"BELOW COST","OK")))),IF($D1739="","","PRO PLAN"))</f>
        <v/>
      </c>
      <c r="U1739" s="60" t="str">
        <f aca="false">IF(IsPro,IF($D1739="","",IFERROR(MATCH($D1739,Items!$A$5:$A$504,0),"")),"")</f>
        <v/>
      </c>
      <c r="V1739" s="60" t="str">
        <f aca="false">IF(IsPro,IF($C1739="","",IFERROR(MATCH($C1739,Parties!$A$5:$A$304,0),"")),"")</f>
        <v/>
      </c>
      <c r="W1739" s="60" t="str">
        <f aca="false">IF(IsPro,IF($B1739="","",IFERROR(VALUE(SUBSTITUTE($B1739,InvPrefix,"")),0)),"")</f>
        <v/>
      </c>
      <c r="X1739" s="61" t="str">
        <f aca="false">IF(IsPro,IF($D1739="","",IF(OR($H1739="",$H1739="Credit"),0,Q1739)),"")</f>
        <v/>
      </c>
    </row>
    <row r="1740" customFormat="false" ht="15" hidden="false" customHeight="false" outlineLevel="0" collapsed="false">
      <c r="A1740" s="55"/>
      <c r="B1740" s="56"/>
      <c r="C1740" s="56"/>
      <c r="D1740" s="56"/>
      <c r="E1740" s="57"/>
      <c r="F1740" s="58"/>
      <c r="G1740" s="59"/>
      <c r="H1740" s="56"/>
      <c r="I1740" s="56"/>
      <c r="J1740" s="60" t="str">
        <f aca="false">IF(IsPro,IF($D1740="","",IFERROR(INDEX(Items!$D$5:$D$504,U1740),"")),"")</f>
        <v/>
      </c>
      <c r="K1740" s="61" t="str">
        <f aca="false">IF(IsPro,IF($D1740="","",IF($F1740="",IFERROR(INDEX(Items!$H$5:$H$504,U1740),0),$F1740)),"")</f>
        <v/>
      </c>
      <c r="L1740" s="61" t="str">
        <f aca="false">IF(IsPro,IF($D1740="","",ROUND(N($E1740)*K1740*(1-N($G1740)),2)),"")</f>
        <v/>
      </c>
      <c r="M1740" s="62" t="str">
        <f aca="false">IF(IsPro,IF($D1740="","",IFERROR(INDEX(Items!$F$5:$F$504,U1740),0)),"")</f>
        <v/>
      </c>
      <c r="N1740" s="61" t="str">
        <f aca="false">IF(IsPro,IF($D1740="","",IF(AND(V1740&lt;&gt;"",INDEX(Parties!$E$5:$E$304,V1740)&lt;&gt;"",INDEX(Parties!$E$5:$E$304,V1740)&lt;&gt;HomeState),0,ROUND(L1740*M1740/2,2))),"")</f>
        <v/>
      </c>
      <c r="O1740" s="61" t="str">
        <f aca="false">IF(IsPro,IF($D1740="","",N1740),"")</f>
        <v/>
      </c>
      <c r="P1740" s="61" t="str">
        <f aca="false">IF(IsPro,IF($D1740="","",IF(AND(V1740&lt;&gt;"",INDEX(Parties!$E$5:$E$304,V1740)&lt;&gt;"",INDEX(Parties!$E$5:$E$304,V1740)&lt;&gt;HomeState),ROUND(L1740*M1740,2),0)),"")</f>
        <v/>
      </c>
      <c r="Q1740" s="61" t="str">
        <f aca="false">IF(IsPro,IF($D1740="","",L1740+N1740+O1740+P1740),"")</f>
        <v/>
      </c>
      <c r="R1740" s="61" t="str">
        <f aca="false">IF(IsPro,IF($D1740="","",ROUND(N($E1740)*IFERROR(INDEX(Items!$P$5:$P$504,U1740),0),2)),"")</f>
        <v/>
      </c>
      <c r="S1740" s="61" t="str">
        <f aca="false">IF(IsPro,IF($D1740="","",L1740-R1740),"")</f>
        <v/>
      </c>
      <c r="T1740" s="60" t="str">
        <f aca="false">IF(IsPro,IF($D1740="","",IF(U1740="","UNKNOWN ITEM",IF(INDEX(Items!$O$5:$O$504,U1740)&lt;0,"NEG STOCK",IF(K1740&lt;INDEX(Items!$P$5:$P$504,U1740),"BELOW COST","OK")))),IF($D1740="","","PRO PLAN"))</f>
        <v/>
      </c>
      <c r="U1740" s="60" t="str">
        <f aca="false">IF(IsPro,IF($D1740="","",IFERROR(MATCH($D1740,Items!$A$5:$A$504,0),"")),"")</f>
        <v/>
      </c>
      <c r="V1740" s="60" t="str">
        <f aca="false">IF(IsPro,IF($C1740="","",IFERROR(MATCH($C1740,Parties!$A$5:$A$304,0),"")),"")</f>
        <v/>
      </c>
      <c r="W1740" s="60" t="str">
        <f aca="false">IF(IsPro,IF($B1740="","",IFERROR(VALUE(SUBSTITUTE($B1740,InvPrefix,"")),0)),"")</f>
        <v/>
      </c>
      <c r="X1740" s="61" t="str">
        <f aca="false">IF(IsPro,IF($D1740="","",IF(OR($H1740="",$H1740="Credit"),0,Q1740)),"")</f>
        <v/>
      </c>
    </row>
    <row r="1741" customFormat="false" ht="15" hidden="false" customHeight="false" outlineLevel="0" collapsed="false">
      <c r="A1741" s="55"/>
      <c r="B1741" s="56"/>
      <c r="C1741" s="56"/>
      <c r="D1741" s="56"/>
      <c r="E1741" s="57"/>
      <c r="F1741" s="58"/>
      <c r="G1741" s="59"/>
      <c r="H1741" s="56"/>
      <c r="I1741" s="56"/>
      <c r="J1741" s="60" t="str">
        <f aca="false">IF(IsPro,IF($D1741="","",IFERROR(INDEX(Items!$D$5:$D$504,U1741),"")),"")</f>
        <v/>
      </c>
      <c r="K1741" s="61" t="str">
        <f aca="false">IF(IsPro,IF($D1741="","",IF($F1741="",IFERROR(INDEX(Items!$H$5:$H$504,U1741),0),$F1741)),"")</f>
        <v/>
      </c>
      <c r="L1741" s="61" t="str">
        <f aca="false">IF(IsPro,IF($D1741="","",ROUND(N($E1741)*K1741*(1-N($G1741)),2)),"")</f>
        <v/>
      </c>
      <c r="M1741" s="62" t="str">
        <f aca="false">IF(IsPro,IF($D1741="","",IFERROR(INDEX(Items!$F$5:$F$504,U1741),0)),"")</f>
        <v/>
      </c>
      <c r="N1741" s="61" t="str">
        <f aca="false">IF(IsPro,IF($D1741="","",IF(AND(V1741&lt;&gt;"",INDEX(Parties!$E$5:$E$304,V1741)&lt;&gt;"",INDEX(Parties!$E$5:$E$304,V1741)&lt;&gt;HomeState),0,ROUND(L1741*M1741/2,2))),"")</f>
        <v/>
      </c>
      <c r="O1741" s="61" t="str">
        <f aca="false">IF(IsPro,IF($D1741="","",N1741),"")</f>
        <v/>
      </c>
      <c r="P1741" s="61" t="str">
        <f aca="false">IF(IsPro,IF($D1741="","",IF(AND(V1741&lt;&gt;"",INDEX(Parties!$E$5:$E$304,V1741)&lt;&gt;"",INDEX(Parties!$E$5:$E$304,V1741)&lt;&gt;HomeState),ROUND(L1741*M1741,2),0)),"")</f>
        <v/>
      </c>
      <c r="Q1741" s="61" t="str">
        <f aca="false">IF(IsPro,IF($D1741="","",L1741+N1741+O1741+P1741),"")</f>
        <v/>
      </c>
      <c r="R1741" s="61" t="str">
        <f aca="false">IF(IsPro,IF($D1741="","",ROUND(N($E1741)*IFERROR(INDEX(Items!$P$5:$P$504,U1741),0),2)),"")</f>
        <v/>
      </c>
      <c r="S1741" s="61" t="str">
        <f aca="false">IF(IsPro,IF($D1741="","",L1741-R1741),"")</f>
        <v/>
      </c>
      <c r="T1741" s="60" t="str">
        <f aca="false">IF(IsPro,IF($D1741="","",IF(U1741="","UNKNOWN ITEM",IF(INDEX(Items!$O$5:$O$504,U1741)&lt;0,"NEG STOCK",IF(K1741&lt;INDEX(Items!$P$5:$P$504,U1741),"BELOW COST","OK")))),IF($D1741="","","PRO PLAN"))</f>
        <v/>
      </c>
      <c r="U1741" s="60" t="str">
        <f aca="false">IF(IsPro,IF($D1741="","",IFERROR(MATCH($D1741,Items!$A$5:$A$504,0),"")),"")</f>
        <v/>
      </c>
      <c r="V1741" s="60" t="str">
        <f aca="false">IF(IsPro,IF($C1741="","",IFERROR(MATCH($C1741,Parties!$A$5:$A$304,0),"")),"")</f>
        <v/>
      </c>
      <c r="W1741" s="60" t="str">
        <f aca="false">IF(IsPro,IF($B1741="","",IFERROR(VALUE(SUBSTITUTE($B1741,InvPrefix,"")),0)),"")</f>
        <v/>
      </c>
      <c r="X1741" s="61" t="str">
        <f aca="false">IF(IsPro,IF($D1741="","",IF(OR($H1741="",$H1741="Credit"),0,Q1741)),"")</f>
        <v/>
      </c>
    </row>
    <row r="1742" customFormat="false" ht="15" hidden="false" customHeight="false" outlineLevel="0" collapsed="false">
      <c r="A1742" s="55"/>
      <c r="B1742" s="56"/>
      <c r="C1742" s="56"/>
      <c r="D1742" s="56"/>
      <c r="E1742" s="57"/>
      <c r="F1742" s="58"/>
      <c r="G1742" s="59"/>
      <c r="H1742" s="56"/>
      <c r="I1742" s="56"/>
      <c r="J1742" s="60" t="str">
        <f aca="false">IF(IsPro,IF($D1742="","",IFERROR(INDEX(Items!$D$5:$D$504,U1742),"")),"")</f>
        <v/>
      </c>
      <c r="K1742" s="61" t="str">
        <f aca="false">IF(IsPro,IF($D1742="","",IF($F1742="",IFERROR(INDEX(Items!$H$5:$H$504,U1742),0),$F1742)),"")</f>
        <v/>
      </c>
      <c r="L1742" s="61" t="str">
        <f aca="false">IF(IsPro,IF($D1742="","",ROUND(N($E1742)*K1742*(1-N($G1742)),2)),"")</f>
        <v/>
      </c>
      <c r="M1742" s="62" t="str">
        <f aca="false">IF(IsPro,IF($D1742="","",IFERROR(INDEX(Items!$F$5:$F$504,U1742),0)),"")</f>
        <v/>
      </c>
      <c r="N1742" s="61" t="str">
        <f aca="false">IF(IsPro,IF($D1742="","",IF(AND(V1742&lt;&gt;"",INDEX(Parties!$E$5:$E$304,V1742)&lt;&gt;"",INDEX(Parties!$E$5:$E$304,V1742)&lt;&gt;HomeState),0,ROUND(L1742*M1742/2,2))),"")</f>
        <v/>
      </c>
      <c r="O1742" s="61" t="str">
        <f aca="false">IF(IsPro,IF($D1742="","",N1742),"")</f>
        <v/>
      </c>
      <c r="P1742" s="61" t="str">
        <f aca="false">IF(IsPro,IF($D1742="","",IF(AND(V1742&lt;&gt;"",INDEX(Parties!$E$5:$E$304,V1742)&lt;&gt;"",INDEX(Parties!$E$5:$E$304,V1742)&lt;&gt;HomeState),ROUND(L1742*M1742,2),0)),"")</f>
        <v/>
      </c>
      <c r="Q1742" s="61" t="str">
        <f aca="false">IF(IsPro,IF($D1742="","",L1742+N1742+O1742+P1742),"")</f>
        <v/>
      </c>
      <c r="R1742" s="61" t="str">
        <f aca="false">IF(IsPro,IF($D1742="","",ROUND(N($E1742)*IFERROR(INDEX(Items!$P$5:$P$504,U1742),0),2)),"")</f>
        <v/>
      </c>
      <c r="S1742" s="61" t="str">
        <f aca="false">IF(IsPro,IF($D1742="","",L1742-R1742),"")</f>
        <v/>
      </c>
      <c r="T1742" s="60" t="str">
        <f aca="false">IF(IsPro,IF($D1742="","",IF(U1742="","UNKNOWN ITEM",IF(INDEX(Items!$O$5:$O$504,U1742)&lt;0,"NEG STOCK",IF(K1742&lt;INDEX(Items!$P$5:$P$504,U1742),"BELOW COST","OK")))),IF($D1742="","","PRO PLAN"))</f>
        <v/>
      </c>
      <c r="U1742" s="60" t="str">
        <f aca="false">IF(IsPro,IF($D1742="","",IFERROR(MATCH($D1742,Items!$A$5:$A$504,0),"")),"")</f>
        <v/>
      </c>
      <c r="V1742" s="60" t="str">
        <f aca="false">IF(IsPro,IF($C1742="","",IFERROR(MATCH($C1742,Parties!$A$5:$A$304,0),"")),"")</f>
        <v/>
      </c>
      <c r="W1742" s="60" t="str">
        <f aca="false">IF(IsPro,IF($B1742="","",IFERROR(VALUE(SUBSTITUTE($B1742,InvPrefix,"")),0)),"")</f>
        <v/>
      </c>
      <c r="X1742" s="61" t="str">
        <f aca="false">IF(IsPro,IF($D1742="","",IF(OR($H1742="",$H1742="Credit"),0,Q1742)),"")</f>
        <v/>
      </c>
    </row>
    <row r="1743" customFormat="false" ht="15" hidden="false" customHeight="false" outlineLevel="0" collapsed="false">
      <c r="A1743" s="55"/>
      <c r="B1743" s="56"/>
      <c r="C1743" s="56"/>
      <c r="D1743" s="56"/>
      <c r="E1743" s="57"/>
      <c r="F1743" s="58"/>
      <c r="G1743" s="59"/>
      <c r="H1743" s="56"/>
      <c r="I1743" s="56"/>
      <c r="J1743" s="60" t="str">
        <f aca="false">IF(IsPro,IF($D1743="","",IFERROR(INDEX(Items!$D$5:$D$504,U1743),"")),"")</f>
        <v/>
      </c>
      <c r="K1743" s="61" t="str">
        <f aca="false">IF(IsPro,IF($D1743="","",IF($F1743="",IFERROR(INDEX(Items!$H$5:$H$504,U1743),0),$F1743)),"")</f>
        <v/>
      </c>
      <c r="L1743" s="61" t="str">
        <f aca="false">IF(IsPro,IF($D1743="","",ROUND(N($E1743)*K1743*(1-N($G1743)),2)),"")</f>
        <v/>
      </c>
      <c r="M1743" s="62" t="str">
        <f aca="false">IF(IsPro,IF($D1743="","",IFERROR(INDEX(Items!$F$5:$F$504,U1743),0)),"")</f>
        <v/>
      </c>
      <c r="N1743" s="61" t="str">
        <f aca="false">IF(IsPro,IF($D1743="","",IF(AND(V1743&lt;&gt;"",INDEX(Parties!$E$5:$E$304,V1743)&lt;&gt;"",INDEX(Parties!$E$5:$E$304,V1743)&lt;&gt;HomeState),0,ROUND(L1743*M1743/2,2))),"")</f>
        <v/>
      </c>
      <c r="O1743" s="61" t="str">
        <f aca="false">IF(IsPro,IF($D1743="","",N1743),"")</f>
        <v/>
      </c>
      <c r="P1743" s="61" t="str">
        <f aca="false">IF(IsPro,IF($D1743="","",IF(AND(V1743&lt;&gt;"",INDEX(Parties!$E$5:$E$304,V1743)&lt;&gt;"",INDEX(Parties!$E$5:$E$304,V1743)&lt;&gt;HomeState),ROUND(L1743*M1743,2),0)),"")</f>
        <v/>
      </c>
      <c r="Q1743" s="61" t="str">
        <f aca="false">IF(IsPro,IF($D1743="","",L1743+N1743+O1743+P1743),"")</f>
        <v/>
      </c>
      <c r="R1743" s="61" t="str">
        <f aca="false">IF(IsPro,IF($D1743="","",ROUND(N($E1743)*IFERROR(INDEX(Items!$P$5:$P$504,U1743),0),2)),"")</f>
        <v/>
      </c>
      <c r="S1743" s="61" t="str">
        <f aca="false">IF(IsPro,IF($D1743="","",L1743-R1743),"")</f>
        <v/>
      </c>
      <c r="T1743" s="60" t="str">
        <f aca="false">IF(IsPro,IF($D1743="","",IF(U1743="","UNKNOWN ITEM",IF(INDEX(Items!$O$5:$O$504,U1743)&lt;0,"NEG STOCK",IF(K1743&lt;INDEX(Items!$P$5:$P$504,U1743),"BELOW COST","OK")))),IF($D1743="","","PRO PLAN"))</f>
        <v/>
      </c>
      <c r="U1743" s="60" t="str">
        <f aca="false">IF(IsPro,IF($D1743="","",IFERROR(MATCH($D1743,Items!$A$5:$A$504,0),"")),"")</f>
        <v/>
      </c>
      <c r="V1743" s="60" t="str">
        <f aca="false">IF(IsPro,IF($C1743="","",IFERROR(MATCH($C1743,Parties!$A$5:$A$304,0),"")),"")</f>
        <v/>
      </c>
      <c r="W1743" s="60" t="str">
        <f aca="false">IF(IsPro,IF($B1743="","",IFERROR(VALUE(SUBSTITUTE($B1743,InvPrefix,"")),0)),"")</f>
        <v/>
      </c>
      <c r="X1743" s="61" t="str">
        <f aca="false">IF(IsPro,IF($D1743="","",IF(OR($H1743="",$H1743="Credit"),0,Q1743)),"")</f>
        <v/>
      </c>
    </row>
    <row r="1744" customFormat="false" ht="15" hidden="false" customHeight="false" outlineLevel="0" collapsed="false">
      <c r="A1744" s="55"/>
      <c r="B1744" s="56"/>
      <c r="C1744" s="56"/>
      <c r="D1744" s="56"/>
      <c r="E1744" s="57"/>
      <c r="F1744" s="58"/>
      <c r="G1744" s="59"/>
      <c r="H1744" s="56"/>
      <c r="I1744" s="56"/>
      <c r="J1744" s="60" t="str">
        <f aca="false">IF(IsPro,IF($D1744="","",IFERROR(INDEX(Items!$D$5:$D$504,U1744),"")),"")</f>
        <v/>
      </c>
      <c r="K1744" s="61" t="str">
        <f aca="false">IF(IsPro,IF($D1744="","",IF($F1744="",IFERROR(INDEX(Items!$H$5:$H$504,U1744),0),$F1744)),"")</f>
        <v/>
      </c>
      <c r="L1744" s="61" t="str">
        <f aca="false">IF(IsPro,IF($D1744="","",ROUND(N($E1744)*K1744*(1-N($G1744)),2)),"")</f>
        <v/>
      </c>
      <c r="M1744" s="62" t="str">
        <f aca="false">IF(IsPro,IF($D1744="","",IFERROR(INDEX(Items!$F$5:$F$504,U1744),0)),"")</f>
        <v/>
      </c>
      <c r="N1744" s="61" t="str">
        <f aca="false">IF(IsPro,IF($D1744="","",IF(AND(V1744&lt;&gt;"",INDEX(Parties!$E$5:$E$304,V1744)&lt;&gt;"",INDEX(Parties!$E$5:$E$304,V1744)&lt;&gt;HomeState),0,ROUND(L1744*M1744/2,2))),"")</f>
        <v/>
      </c>
      <c r="O1744" s="61" t="str">
        <f aca="false">IF(IsPro,IF($D1744="","",N1744),"")</f>
        <v/>
      </c>
      <c r="P1744" s="61" t="str">
        <f aca="false">IF(IsPro,IF($D1744="","",IF(AND(V1744&lt;&gt;"",INDEX(Parties!$E$5:$E$304,V1744)&lt;&gt;"",INDEX(Parties!$E$5:$E$304,V1744)&lt;&gt;HomeState),ROUND(L1744*M1744,2),0)),"")</f>
        <v/>
      </c>
      <c r="Q1744" s="61" t="str">
        <f aca="false">IF(IsPro,IF($D1744="","",L1744+N1744+O1744+P1744),"")</f>
        <v/>
      </c>
      <c r="R1744" s="61" t="str">
        <f aca="false">IF(IsPro,IF($D1744="","",ROUND(N($E1744)*IFERROR(INDEX(Items!$P$5:$P$504,U1744),0),2)),"")</f>
        <v/>
      </c>
      <c r="S1744" s="61" t="str">
        <f aca="false">IF(IsPro,IF($D1744="","",L1744-R1744),"")</f>
        <v/>
      </c>
      <c r="T1744" s="60" t="str">
        <f aca="false">IF(IsPro,IF($D1744="","",IF(U1744="","UNKNOWN ITEM",IF(INDEX(Items!$O$5:$O$504,U1744)&lt;0,"NEG STOCK",IF(K1744&lt;INDEX(Items!$P$5:$P$504,U1744),"BELOW COST","OK")))),IF($D1744="","","PRO PLAN"))</f>
        <v/>
      </c>
      <c r="U1744" s="60" t="str">
        <f aca="false">IF(IsPro,IF($D1744="","",IFERROR(MATCH($D1744,Items!$A$5:$A$504,0),"")),"")</f>
        <v/>
      </c>
      <c r="V1744" s="60" t="str">
        <f aca="false">IF(IsPro,IF($C1744="","",IFERROR(MATCH($C1744,Parties!$A$5:$A$304,0),"")),"")</f>
        <v/>
      </c>
      <c r="W1744" s="60" t="str">
        <f aca="false">IF(IsPro,IF($B1744="","",IFERROR(VALUE(SUBSTITUTE($B1744,InvPrefix,"")),0)),"")</f>
        <v/>
      </c>
      <c r="X1744" s="61" t="str">
        <f aca="false">IF(IsPro,IF($D1744="","",IF(OR($H1744="",$H1744="Credit"),0,Q1744)),"")</f>
        <v/>
      </c>
    </row>
    <row r="1745" customFormat="false" ht="15" hidden="false" customHeight="false" outlineLevel="0" collapsed="false">
      <c r="A1745" s="55"/>
      <c r="B1745" s="56"/>
      <c r="C1745" s="56"/>
      <c r="D1745" s="56"/>
      <c r="E1745" s="57"/>
      <c r="F1745" s="58"/>
      <c r="G1745" s="59"/>
      <c r="H1745" s="56"/>
      <c r="I1745" s="56"/>
      <c r="J1745" s="60" t="str">
        <f aca="false">IF(IsPro,IF($D1745="","",IFERROR(INDEX(Items!$D$5:$D$504,U1745),"")),"")</f>
        <v/>
      </c>
      <c r="K1745" s="61" t="str">
        <f aca="false">IF(IsPro,IF($D1745="","",IF($F1745="",IFERROR(INDEX(Items!$H$5:$H$504,U1745),0),$F1745)),"")</f>
        <v/>
      </c>
      <c r="L1745" s="61" t="str">
        <f aca="false">IF(IsPro,IF($D1745="","",ROUND(N($E1745)*K1745*(1-N($G1745)),2)),"")</f>
        <v/>
      </c>
      <c r="M1745" s="62" t="str">
        <f aca="false">IF(IsPro,IF($D1745="","",IFERROR(INDEX(Items!$F$5:$F$504,U1745),0)),"")</f>
        <v/>
      </c>
      <c r="N1745" s="61" t="str">
        <f aca="false">IF(IsPro,IF($D1745="","",IF(AND(V1745&lt;&gt;"",INDEX(Parties!$E$5:$E$304,V1745)&lt;&gt;"",INDEX(Parties!$E$5:$E$304,V1745)&lt;&gt;HomeState),0,ROUND(L1745*M1745/2,2))),"")</f>
        <v/>
      </c>
      <c r="O1745" s="61" t="str">
        <f aca="false">IF(IsPro,IF($D1745="","",N1745),"")</f>
        <v/>
      </c>
      <c r="P1745" s="61" t="str">
        <f aca="false">IF(IsPro,IF($D1745="","",IF(AND(V1745&lt;&gt;"",INDEX(Parties!$E$5:$E$304,V1745)&lt;&gt;"",INDEX(Parties!$E$5:$E$304,V1745)&lt;&gt;HomeState),ROUND(L1745*M1745,2),0)),"")</f>
        <v/>
      </c>
      <c r="Q1745" s="61" t="str">
        <f aca="false">IF(IsPro,IF($D1745="","",L1745+N1745+O1745+P1745),"")</f>
        <v/>
      </c>
      <c r="R1745" s="61" t="str">
        <f aca="false">IF(IsPro,IF($D1745="","",ROUND(N($E1745)*IFERROR(INDEX(Items!$P$5:$P$504,U1745),0),2)),"")</f>
        <v/>
      </c>
      <c r="S1745" s="61" t="str">
        <f aca="false">IF(IsPro,IF($D1745="","",L1745-R1745),"")</f>
        <v/>
      </c>
      <c r="T1745" s="60" t="str">
        <f aca="false">IF(IsPro,IF($D1745="","",IF(U1745="","UNKNOWN ITEM",IF(INDEX(Items!$O$5:$O$504,U1745)&lt;0,"NEG STOCK",IF(K1745&lt;INDEX(Items!$P$5:$P$504,U1745),"BELOW COST","OK")))),IF($D1745="","","PRO PLAN"))</f>
        <v/>
      </c>
      <c r="U1745" s="60" t="str">
        <f aca="false">IF(IsPro,IF($D1745="","",IFERROR(MATCH($D1745,Items!$A$5:$A$504,0),"")),"")</f>
        <v/>
      </c>
      <c r="V1745" s="60" t="str">
        <f aca="false">IF(IsPro,IF($C1745="","",IFERROR(MATCH($C1745,Parties!$A$5:$A$304,0),"")),"")</f>
        <v/>
      </c>
      <c r="W1745" s="60" t="str">
        <f aca="false">IF(IsPro,IF($B1745="","",IFERROR(VALUE(SUBSTITUTE($B1745,InvPrefix,"")),0)),"")</f>
        <v/>
      </c>
      <c r="X1745" s="61" t="str">
        <f aca="false">IF(IsPro,IF($D1745="","",IF(OR($H1745="",$H1745="Credit"),0,Q1745)),"")</f>
        <v/>
      </c>
    </row>
    <row r="1746" customFormat="false" ht="15" hidden="false" customHeight="false" outlineLevel="0" collapsed="false">
      <c r="A1746" s="55"/>
      <c r="B1746" s="56"/>
      <c r="C1746" s="56"/>
      <c r="D1746" s="56"/>
      <c r="E1746" s="57"/>
      <c r="F1746" s="58"/>
      <c r="G1746" s="59"/>
      <c r="H1746" s="56"/>
      <c r="I1746" s="56"/>
      <c r="J1746" s="60" t="str">
        <f aca="false">IF(IsPro,IF($D1746="","",IFERROR(INDEX(Items!$D$5:$D$504,U1746),"")),"")</f>
        <v/>
      </c>
      <c r="K1746" s="61" t="str">
        <f aca="false">IF(IsPro,IF($D1746="","",IF($F1746="",IFERROR(INDEX(Items!$H$5:$H$504,U1746),0),$F1746)),"")</f>
        <v/>
      </c>
      <c r="L1746" s="61" t="str">
        <f aca="false">IF(IsPro,IF($D1746="","",ROUND(N($E1746)*K1746*(1-N($G1746)),2)),"")</f>
        <v/>
      </c>
      <c r="M1746" s="62" t="str">
        <f aca="false">IF(IsPro,IF($D1746="","",IFERROR(INDEX(Items!$F$5:$F$504,U1746),0)),"")</f>
        <v/>
      </c>
      <c r="N1746" s="61" t="str">
        <f aca="false">IF(IsPro,IF($D1746="","",IF(AND(V1746&lt;&gt;"",INDEX(Parties!$E$5:$E$304,V1746)&lt;&gt;"",INDEX(Parties!$E$5:$E$304,V1746)&lt;&gt;HomeState),0,ROUND(L1746*M1746/2,2))),"")</f>
        <v/>
      </c>
      <c r="O1746" s="61" t="str">
        <f aca="false">IF(IsPro,IF($D1746="","",N1746),"")</f>
        <v/>
      </c>
      <c r="P1746" s="61" t="str">
        <f aca="false">IF(IsPro,IF($D1746="","",IF(AND(V1746&lt;&gt;"",INDEX(Parties!$E$5:$E$304,V1746)&lt;&gt;"",INDEX(Parties!$E$5:$E$304,V1746)&lt;&gt;HomeState),ROUND(L1746*M1746,2),0)),"")</f>
        <v/>
      </c>
      <c r="Q1746" s="61" t="str">
        <f aca="false">IF(IsPro,IF($D1746="","",L1746+N1746+O1746+P1746),"")</f>
        <v/>
      </c>
      <c r="R1746" s="61" t="str">
        <f aca="false">IF(IsPro,IF($D1746="","",ROUND(N($E1746)*IFERROR(INDEX(Items!$P$5:$P$504,U1746),0),2)),"")</f>
        <v/>
      </c>
      <c r="S1746" s="61" t="str">
        <f aca="false">IF(IsPro,IF($D1746="","",L1746-R1746),"")</f>
        <v/>
      </c>
      <c r="T1746" s="60" t="str">
        <f aca="false">IF(IsPro,IF($D1746="","",IF(U1746="","UNKNOWN ITEM",IF(INDEX(Items!$O$5:$O$504,U1746)&lt;0,"NEG STOCK",IF(K1746&lt;INDEX(Items!$P$5:$P$504,U1746),"BELOW COST","OK")))),IF($D1746="","","PRO PLAN"))</f>
        <v/>
      </c>
      <c r="U1746" s="60" t="str">
        <f aca="false">IF(IsPro,IF($D1746="","",IFERROR(MATCH($D1746,Items!$A$5:$A$504,0),"")),"")</f>
        <v/>
      </c>
      <c r="V1746" s="60" t="str">
        <f aca="false">IF(IsPro,IF($C1746="","",IFERROR(MATCH($C1746,Parties!$A$5:$A$304,0),"")),"")</f>
        <v/>
      </c>
      <c r="W1746" s="60" t="str">
        <f aca="false">IF(IsPro,IF($B1746="","",IFERROR(VALUE(SUBSTITUTE($B1746,InvPrefix,"")),0)),"")</f>
        <v/>
      </c>
      <c r="X1746" s="61" t="str">
        <f aca="false">IF(IsPro,IF($D1746="","",IF(OR($H1746="",$H1746="Credit"),0,Q1746)),"")</f>
        <v/>
      </c>
    </row>
    <row r="1747" customFormat="false" ht="15" hidden="false" customHeight="false" outlineLevel="0" collapsed="false">
      <c r="A1747" s="55"/>
      <c r="B1747" s="56"/>
      <c r="C1747" s="56"/>
      <c r="D1747" s="56"/>
      <c r="E1747" s="57"/>
      <c r="F1747" s="58"/>
      <c r="G1747" s="59"/>
      <c r="H1747" s="56"/>
      <c r="I1747" s="56"/>
      <c r="J1747" s="60" t="str">
        <f aca="false">IF(IsPro,IF($D1747="","",IFERROR(INDEX(Items!$D$5:$D$504,U1747),"")),"")</f>
        <v/>
      </c>
      <c r="K1747" s="61" t="str">
        <f aca="false">IF(IsPro,IF($D1747="","",IF($F1747="",IFERROR(INDEX(Items!$H$5:$H$504,U1747),0),$F1747)),"")</f>
        <v/>
      </c>
      <c r="L1747" s="61" t="str">
        <f aca="false">IF(IsPro,IF($D1747="","",ROUND(N($E1747)*K1747*(1-N($G1747)),2)),"")</f>
        <v/>
      </c>
      <c r="M1747" s="62" t="str">
        <f aca="false">IF(IsPro,IF($D1747="","",IFERROR(INDEX(Items!$F$5:$F$504,U1747),0)),"")</f>
        <v/>
      </c>
      <c r="N1747" s="61" t="str">
        <f aca="false">IF(IsPro,IF($D1747="","",IF(AND(V1747&lt;&gt;"",INDEX(Parties!$E$5:$E$304,V1747)&lt;&gt;"",INDEX(Parties!$E$5:$E$304,V1747)&lt;&gt;HomeState),0,ROUND(L1747*M1747/2,2))),"")</f>
        <v/>
      </c>
      <c r="O1747" s="61" t="str">
        <f aca="false">IF(IsPro,IF($D1747="","",N1747),"")</f>
        <v/>
      </c>
      <c r="P1747" s="61" t="str">
        <f aca="false">IF(IsPro,IF($D1747="","",IF(AND(V1747&lt;&gt;"",INDEX(Parties!$E$5:$E$304,V1747)&lt;&gt;"",INDEX(Parties!$E$5:$E$304,V1747)&lt;&gt;HomeState),ROUND(L1747*M1747,2),0)),"")</f>
        <v/>
      </c>
      <c r="Q1747" s="61" t="str">
        <f aca="false">IF(IsPro,IF($D1747="","",L1747+N1747+O1747+P1747),"")</f>
        <v/>
      </c>
      <c r="R1747" s="61" t="str">
        <f aca="false">IF(IsPro,IF($D1747="","",ROUND(N($E1747)*IFERROR(INDEX(Items!$P$5:$P$504,U1747),0),2)),"")</f>
        <v/>
      </c>
      <c r="S1747" s="61" t="str">
        <f aca="false">IF(IsPro,IF($D1747="","",L1747-R1747),"")</f>
        <v/>
      </c>
      <c r="T1747" s="60" t="str">
        <f aca="false">IF(IsPro,IF($D1747="","",IF(U1747="","UNKNOWN ITEM",IF(INDEX(Items!$O$5:$O$504,U1747)&lt;0,"NEG STOCK",IF(K1747&lt;INDEX(Items!$P$5:$P$504,U1747),"BELOW COST","OK")))),IF($D1747="","","PRO PLAN"))</f>
        <v/>
      </c>
      <c r="U1747" s="60" t="str">
        <f aca="false">IF(IsPro,IF($D1747="","",IFERROR(MATCH($D1747,Items!$A$5:$A$504,0),"")),"")</f>
        <v/>
      </c>
      <c r="V1747" s="60" t="str">
        <f aca="false">IF(IsPro,IF($C1747="","",IFERROR(MATCH($C1747,Parties!$A$5:$A$304,0),"")),"")</f>
        <v/>
      </c>
      <c r="W1747" s="60" t="str">
        <f aca="false">IF(IsPro,IF($B1747="","",IFERROR(VALUE(SUBSTITUTE($B1747,InvPrefix,"")),0)),"")</f>
        <v/>
      </c>
      <c r="X1747" s="61" t="str">
        <f aca="false">IF(IsPro,IF($D1747="","",IF(OR($H1747="",$H1747="Credit"),0,Q1747)),"")</f>
        <v/>
      </c>
    </row>
    <row r="1748" customFormat="false" ht="15" hidden="false" customHeight="false" outlineLevel="0" collapsed="false">
      <c r="A1748" s="55"/>
      <c r="B1748" s="56"/>
      <c r="C1748" s="56"/>
      <c r="D1748" s="56"/>
      <c r="E1748" s="57"/>
      <c r="F1748" s="58"/>
      <c r="G1748" s="59"/>
      <c r="H1748" s="56"/>
      <c r="I1748" s="56"/>
      <c r="J1748" s="60" t="str">
        <f aca="false">IF(IsPro,IF($D1748="","",IFERROR(INDEX(Items!$D$5:$D$504,U1748),"")),"")</f>
        <v/>
      </c>
      <c r="K1748" s="61" t="str">
        <f aca="false">IF(IsPro,IF($D1748="","",IF($F1748="",IFERROR(INDEX(Items!$H$5:$H$504,U1748),0),$F1748)),"")</f>
        <v/>
      </c>
      <c r="L1748" s="61" t="str">
        <f aca="false">IF(IsPro,IF($D1748="","",ROUND(N($E1748)*K1748*(1-N($G1748)),2)),"")</f>
        <v/>
      </c>
      <c r="M1748" s="62" t="str">
        <f aca="false">IF(IsPro,IF($D1748="","",IFERROR(INDEX(Items!$F$5:$F$504,U1748),0)),"")</f>
        <v/>
      </c>
      <c r="N1748" s="61" t="str">
        <f aca="false">IF(IsPro,IF($D1748="","",IF(AND(V1748&lt;&gt;"",INDEX(Parties!$E$5:$E$304,V1748)&lt;&gt;"",INDEX(Parties!$E$5:$E$304,V1748)&lt;&gt;HomeState),0,ROUND(L1748*M1748/2,2))),"")</f>
        <v/>
      </c>
      <c r="O1748" s="61" t="str">
        <f aca="false">IF(IsPro,IF($D1748="","",N1748),"")</f>
        <v/>
      </c>
      <c r="P1748" s="61" t="str">
        <f aca="false">IF(IsPro,IF($D1748="","",IF(AND(V1748&lt;&gt;"",INDEX(Parties!$E$5:$E$304,V1748)&lt;&gt;"",INDEX(Parties!$E$5:$E$304,V1748)&lt;&gt;HomeState),ROUND(L1748*M1748,2),0)),"")</f>
        <v/>
      </c>
      <c r="Q1748" s="61" t="str">
        <f aca="false">IF(IsPro,IF($D1748="","",L1748+N1748+O1748+P1748),"")</f>
        <v/>
      </c>
      <c r="R1748" s="61" t="str">
        <f aca="false">IF(IsPro,IF($D1748="","",ROUND(N($E1748)*IFERROR(INDEX(Items!$P$5:$P$504,U1748),0),2)),"")</f>
        <v/>
      </c>
      <c r="S1748" s="61" t="str">
        <f aca="false">IF(IsPro,IF($D1748="","",L1748-R1748),"")</f>
        <v/>
      </c>
      <c r="T1748" s="60" t="str">
        <f aca="false">IF(IsPro,IF($D1748="","",IF(U1748="","UNKNOWN ITEM",IF(INDEX(Items!$O$5:$O$504,U1748)&lt;0,"NEG STOCK",IF(K1748&lt;INDEX(Items!$P$5:$P$504,U1748),"BELOW COST","OK")))),IF($D1748="","","PRO PLAN"))</f>
        <v/>
      </c>
      <c r="U1748" s="60" t="str">
        <f aca="false">IF(IsPro,IF($D1748="","",IFERROR(MATCH($D1748,Items!$A$5:$A$504,0),"")),"")</f>
        <v/>
      </c>
      <c r="V1748" s="60" t="str">
        <f aca="false">IF(IsPro,IF($C1748="","",IFERROR(MATCH($C1748,Parties!$A$5:$A$304,0),"")),"")</f>
        <v/>
      </c>
      <c r="W1748" s="60" t="str">
        <f aca="false">IF(IsPro,IF($B1748="","",IFERROR(VALUE(SUBSTITUTE($B1748,InvPrefix,"")),0)),"")</f>
        <v/>
      </c>
      <c r="X1748" s="61" t="str">
        <f aca="false">IF(IsPro,IF($D1748="","",IF(OR($H1748="",$H1748="Credit"),0,Q1748)),"")</f>
        <v/>
      </c>
    </row>
    <row r="1749" customFormat="false" ht="15" hidden="false" customHeight="false" outlineLevel="0" collapsed="false">
      <c r="A1749" s="55"/>
      <c r="B1749" s="56"/>
      <c r="C1749" s="56"/>
      <c r="D1749" s="56"/>
      <c r="E1749" s="57"/>
      <c r="F1749" s="58"/>
      <c r="G1749" s="59"/>
      <c r="H1749" s="56"/>
      <c r="I1749" s="56"/>
      <c r="J1749" s="60" t="str">
        <f aca="false">IF(IsPro,IF($D1749="","",IFERROR(INDEX(Items!$D$5:$D$504,U1749),"")),"")</f>
        <v/>
      </c>
      <c r="K1749" s="61" t="str">
        <f aca="false">IF(IsPro,IF($D1749="","",IF($F1749="",IFERROR(INDEX(Items!$H$5:$H$504,U1749),0),$F1749)),"")</f>
        <v/>
      </c>
      <c r="L1749" s="61" t="str">
        <f aca="false">IF(IsPro,IF($D1749="","",ROUND(N($E1749)*K1749*(1-N($G1749)),2)),"")</f>
        <v/>
      </c>
      <c r="M1749" s="62" t="str">
        <f aca="false">IF(IsPro,IF($D1749="","",IFERROR(INDEX(Items!$F$5:$F$504,U1749),0)),"")</f>
        <v/>
      </c>
      <c r="N1749" s="61" t="str">
        <f aca="false">IF(IsPro,IF($D1749="","",IF(AND(V1749&lt;&gt;"",INDEX(Parties!$E$5:$E$304,V1749)&lt;&gt;"",INDEX(Parties!$E$5:$E$304,V1749)&lt;&gt;HomeState),0,ROUND(L1749*M1749/2,2))),"")</f>
        <v/>
      </c>
      <c r="O1749" s="61" t="str">
        <f aca="false">IF(IsPro,IF($D1749="","",N1749),"")</f>
        <v/>
      </c>
      <c r="P1749" s="61" t="str">
        <f aca="false">IF(IsPro,IF($D1749="","",IF(AND(V1749&lt;&gt;"",INDEX(Parties!$E$5:$E$304,V1749)&lt;&gt;"",INDEX(Parties!$E$5:$E$304,V1749)&lt;&gt;HomeState),ROUND(L1749*M1749,2),0)),"")</f>
        <v/>
      </c>
      <c r="Q1749" s="61" t="str">
        <f aca="false">IF(IsPro,IF($D1749="","",L1749+N1749+O1749+P1749),"")</f>
        <v/>
      </c>
      <c r="R1749" s="61" t="str">
        <f aca="false">IF(IsPro,IF($D1749="","",ROUND(N($E1749)*IFERROR(INDEX(Items!$P$5:$P$504,U1749),0),2)),"")</f>
        <v/>
      </c>
      <c r="S1749" s="61" t="str">
        <f aca="false">IF(IsPro,IF($D1749="","",L1749-R1749),"")</f>
        <v/>
      </c>
      <c r="T1749" s="60" t="str">
        <f aca="false">IF(IsPro,IF($D1749="","",IF(U1749="","UNKNOWN ITEM",IF(INDEX(Items!$O$5:$O$504,U1749)&lt;0,"NEG STOCK",IF(K1749&lt;INDEX(Items!$P$5:$P$504,U1749),"BELOW COST","OK")))),IF($D1749="","","PRO PLAN"))</f>
        <v/>
      </c>
      <c r="U1749" s="60" t="str">
        <f aca="false">IF(IsPro,IF($D1749="","",IFERROR(MATCH($D1749,Items!$A$5:$A$504,0),"")),"")</f>
        <v/>
      </c>
      <c r="V1749" s="60" t="str">
        <f aca="false">IF(IsPro,IF($C1749="","",IFERROR(MATCH($C1749,Parties!$A$5:$A$304,0),"")),"")</f>
        <v/>
      </c>
      <c r="W1749" s="60" t="str">
        <f aca="false">IF(IsPro,IF($B1749="","",IFERROR(VALUE(SUBSTITUTE($B1749,InvPrefix,"")),0)),"")</f>
        <v/>
      </c>
      <c r="X1749" s="61" t="str">
        <f aca="false">IF(IsPro,IF($D1749="","",IF(OR($H1749="",$H1749="Credit"),0,Q1749)),"")</f>
        <v/>
      </c>
    </row>
    <row r="1750" customFormat="false" ht="15" hidden="false" customHeight="false" outlineLevel="0" collapsed="false">
      <c r="A1750" s="55"/>
      <c r="B1750" s="56"/>
      <c r="C1750" s="56"/>
      <c r="D1750" s="56"/>
      <c r="E1750" s="57"/>
      <c r="F1750" s="58"/>
      <c r="G1750" s="59"/>
      <c r="H1750" s="56"/>
      <c r="I1750" s="56"/>
      <c r="J1750" s="60" t="str">
        <f aca="false">IF(IsPro,IF($D1750="","",IFERROR(INDEX(Items!$D$5:$D$504,U1750),"")),"")</f>
        <v/>
      </c>
      <c r="K1750" s="61" t="str">
        <f aca="false">IF(IsPro,IF($D1750="","",IF($F1750="",IFERROR(INDEX(Items!$H$5:$H$504,U1750),0),$F1750)),"")</f>
        <v/>
      </c>
      <c r="L1750" s="61" t="str">
        <f aca="false">IF(IsPro,IF($D1750="","",ROUND(N($E1750)*K1750*(1-N($G1750)),2)),"")</f>
        <v/>
      </c>
      <c r="M1750" s="62" t="str">
        <f aca="false">IF(IsPro,IF($D1750="","",IFERROR(INDEX(Items!$F$5:$F$504,U1750),0)),"")</f>
        <v/>
      </c>
      <c r="N1750" s="61" t="str">
        <f aca="false">IF(IsPro,IF($D1750="","",IF(AND(V1750&lt;&gt;"",INDEX(Parties!$E$5:$E$304,V1750)&lt;&gt;"",INDEX(Parties!$E$5:$E$304,V1750)&lt;&gt;HomeState),0,ROUND(L1750*M1750/2,2))),"")</f>
        <v/>
      </c>
      <c r="O1750" s="61" t="str">
        <f aca="false">IF(IsPro,IF($D1750="","",N1750),"")</f>
        <v/>
      </c>
      <c r="P1750" s="61" t="str">
        <f aca="false">IF(IsPro,IF($D1750="","",IF(AND(V1750&lt;&gt;"",INDEX(Parties!$E$5:$E$304,V1750)&lt;&gt;"",INDEX(Parties!$E$5:$E$304,V1750)&lt;&gt;HomeState),ROUND(L1750*M1750,2),0)),"")</f>
        <v/>
      </c>
      <c r="Q1750" s="61" t="str">
        <f aca="false">IF(IsPro,IF($D1750="","",L1750+N1750+O1750+P1750),"")</f>
        <v/>
      </c>
      <c r="R1750" s="61" t="str">
        <f aca="false">IF(IsPro,IF($D1750="","",ROUND(N($E1750)*IFERROR(INDEX(Items!$P$5:$P$504,U1750),0),2)),"")</f>
        <v/>
      </c>
      <c r="S1750" s="61" t="str">
        <f aca="false">IF(IsPro,IF($D1750="","",L1750-R1750),"")</f>
        <v/>
      </c>
      <c r="T1750" s="60" t="str">
        <f aca="false">IF(IsPro,IF($D1750="","",IF(U1750="","UNKNOWN ITEM",IF(INDEX(Items!$O$5:$O$504,U1750)&lt;0,"NEG STOCK",IF(K1750&lt;INDEX(Items!$P$5:$P$504,U1750),"BELOW COST","OK")))),IF($D1750="","","PRO PLAN"))</f>
        <v/>
      </c>
      <c r="U1750" s="60" t="str">
        <f aca="false">IF(IsPro,IF($D1750="","",IFERROR(MATCH($D1750,Items!$A$5:$A$504,0),"")),"")</f>
        <v/>
      </c>
      <c r="V1750" s="60" t="str">
        <f aca="false">IF(IsPro,IF($C1750="","",IFERROR(MATCH($C1750,Parties!$A$5:$A$304,0),"")),"")</f>
        <v/>
      </c>
      <c r="W1750" s="60" t="str">
        <f aca="false">IF(IsPro,IF($B1750="","",IFERROR(VALUE(SUBSTITUTE($B1750,InvPrefix,"")),0)),"")</f>
        <v/>
      </c>
      <c r="X1750" s="61" t="str">
        <f aca="false">IF(IsPro,IF($D1750="","",IF(OR($H1750="",$H1750="Credit"),0,Q1750)),"")</f>
        <v/>
      </c>
    </row>
    <row r="1751" customFormat="false" ht="15" hidden="false" customHeight="false" outlineLevel="0" collapsed="false">
      <c r="A1751" s="55"/>
      <c r="B1751" s="56"/>
      <c r="C1751" s="56"/>
      <c r="D1751" s="56"/>
      <c r="E1751" s="57"/>
      <c r="F1751" s="58"/>
      <c r="G1751" s="59"/>
      <c r="H1751" s="56"/>
      <c r="I1751" s="56"/>
      <c r="J1751" s="60" t="str">
        <f aca="false">IF(IsPro,IF($D1751="","",IFERROR(INDEX(Items!$D$5:$D$504,U1751),"")),"")</f>
        <v/>
      </c>
      <c r="K1751" s="61" t="str">
        <f aca="false">IF(IsPro,IF($D1751="","",IF($F1751="",IFERROR(INDEX(Items!$H$5:$H$504,U1751),0),$F1751)),"")</f>
        <v/>
      </c>
      <c r="L1751" s="61" t="str">
        <f aca="false">IF(IsPro,IF($D1751="","",ROUND(N($E1751)*K1751*(1-N($G1751)),2)),"")</f>
        <v/>
      </c>
      <c r="M1751" s="62" t="str">
        <f aca="false">IF(IsPro,IF($D1751="","",IFERROR(INDEX(Items!$F$5:$F$504,U1751),0)),"")</f>
        <v/>
      </c>
      <c r="N1751" s="61" t="str">
        <f aca="false">IF(IsPro,IF($D1751="","",IF(AND(V1751&lt;&gt;"",INDEX(Parties!$E$5:$E$304,V1751)&lt;&gt;"",INDEX(Parties!$E$5:$E$304,V1751)&lt;&gt;HomeState),0,ROUND(L1751*M1751/2,2))),"")</f>
        <v/>
      </c>
      <c r="O1751" s="61" t="str">
        <f aca="false">IF(IsPro,IF($D1751="","",N1751),"")</f>
        <v/>
      </c>
      <c r="P1751" s="61" t="str">
        <f aca="false">IF(IsPro,IF($D1751="","",IF(AND(V1751&lt;&gt;"",INDEX(Parties!$E$5:$E$304,V1751)&lt;&gt;"",INDEX(Parties!$E$5:$E$304,V1751)&lt;&gt;HomeState),ROUND(L1751*M1751,2),0)),"")</f>
        <v/>
      </c>
      <c r="Q1751" s="61" t="str">
        <f aca="false">IF(IsPro,IF($D1751="","",L1751+N1751+O1751+P1751),"")</f>
        <v/>
      </c>
      <c r="R1751" s="61" t="str">
        <f aca="false">IF(IsPro,IF($D1751="","",ROUND(N($E1751)*IFERROR(INDEX(Items!$P$5:$P$504,U1751),0),2)),"")</f>
        <v/>
      </c>
      <c r="S1751" s="61" t="str">
        <f aca="false">IF(IsPro,IF($D1751="","",L1751-R1751),"")</f>
        <v/>
      </c>
      <c r="T1751" s="60" t="str">
        <f aca="false">IF(IsPro,IF($D1751="","",IF(U1751="","UNKNOWN ITEM",IF(INDEX(Items!$O$5:$O$504,U1751)&lt;0,"NEG STOCK",IF(K1751&lt;INDEX(Items!$P$5:$P$504,U1751),"BELOW COST","OK")))),IF($D1751="","","PRO PLAN"))</f>
        <v/>
      </c>
      <c r="U1751" s="60" t="str">
        <f aca="false">IF(IsPro,IF($D1751="","",IFERROR(MATCH($D1751,Items!$A$5:$A$504,0),"")),"")</f>
        <v/>
      </c>
      <c r="V1751" s="60" t="str">
        <f aca="false">IF(IsPro,IF($C1751="","",IFERROR(MATCH($C1751,Parties!$A$5:$A$304,0),"")),"")</f>
        <v/>
      </c>
      <c r="W1751" s="60" t="str">
        <f aca="false">IF(IsPro,IF($B1751="","",IFERROR(VALUE(SUBSTITUTE($B1751,InvPrefix,"")),0)),"")</f>
        <v/>
      </c>
      <c r="X1751" s="61" t="str">
        <f aca="false">IF(IsPro,IF($D1751="","",IF(OR($H1751="",$H1751="Credit"),0,Q1751)),"")</f>
        <v/>
      </c>
    </row>
    <row r="1752" customFormat="false" ht="15" hidden="false" customHeight="false" outlineLevel="0" collapsed="false">
      <c r="A1752" s="55"/>
      <c r="B1752" s="56"/>
      <c r="C1752" s="56"/>
      <c r="D1752" s="56"/>
      <c r="E1752" s="57"/>
      <c r="F1752" s="58"/>
      <c r="G1752" s="59"/>
      <c r="H1752" s="56"/>
      <c r="I1752" s="56"/>
      <c r="J1752" s="60" t="str">
        <f aca="false">IF(IsPro,IF($D1752="","",IFERROR(INDEX(Items!$D$5:$D$504,U1752),"")),"")</f>
        <v/>
      </c>
      <c r="K1752" s="61" t="str">
        <f aca="false">IF(IsPro,IF($D1752="","",IF($F1752="",IFERROR(INDEX(Items!$H$5:$H$504,U1752),0),$F1752)),"")</f>
        <v/>
      </c>
      <c r="L1752" s="61" t="str">
        <f aca="false">IF(IsPro,IF($D1752="","",ROUND(N($E1752)*K1752*(1-N($G1752)),2)),"")</f>
        <v/>
      </c>
      <c r="M1752" s="62" t="str">
        <f aca="false">IF(IsPro,IF($D1752="","",IFERROR(INDEX(Items!$F$5:$F$504,U1752),0)),"")</f>
        <v/>
      </c>
      <c r="N1752" s="61" t="str">
        <f aca="false">IF(IsPro,IF($D1752="","",IF(AND(V1752&lt;&gt;"",INDEX(Parties!$E$5:$E$304,V1752)&lt;&gt;"",INDEX(Parties!$E$5:$E$304,V1752)&lt;&gt;HomeState),0,ROUND(L1752*M1752/2,2))),"")</f>
        <v/>
      </c>
      <c r="O1752" s="61" t="str">
        <f aca="false">IF(IsPro,IF($D1752="","",N1752),"")</f>
        <v/>
      </c>
      <c r="P1752" s="61" t="str">
        <f aca="false">IF(IsPro,IF($D1752="","",IF(AND(V1752&lt;&gt;"",INDEX(Parties!$E$5:$E$304,V1752)&lt;&gt;"",INDEX(Parties!$E$5:$E$304,V1752)&lt;&gt;HomeState),ROUND(L1752*M1752,2),0)),"")</f>
        <v/>
      </c>
      <c r="Q1752" s="61" t="str">
        <f aca="false">IF(IsPro,IF($D1752="","",L1752+N1752+O1752+P1752),"")</f>
        <v/>
      </c>
      <c r="R1752" s="61" t="str">
        <f aca="false">IF(IsPro,IF($D1752="","",ROUND(N($E1752)*IFERROR(INDEX(Items!$P$5:$P$504,U1752),0),2)),"")</f>
        <v/>
      </c>
      <c r="S1752" s="61" t="str">
        <f aca="false">IF(IsPro,IF($D1752="","",L1752-R1752),"")</f>
        <v/>
      </c>
      <c r="T1752" s="60" t="str">
        <f aca="false">IF(IsPro,IF($D1752="","",IF(U1752="","UNKNOWN ITEM",IF(INDEX(Items!$O$5:$O$504,U1752)&lt;0,"NEG STOCK",IF(K1752&lt;INDEX(Items!$P$5:$P$504,U1752),"BELOW COST","OK")))),IF($D1752="","","PRO PLAN"))</f>
        <v/>
      </c>
      <c r="U1752" s="60" t="str">
        <f aca="false">IF(IsPro,IF($D1752="","",IFERROR(MATCH($D1752,Items!$A$5:$A$504,0),"")),"")</f>
        <v/>
      </c>
      <c r="V1752" s="60" t="str">
        <f aca="false">IF(IsPro,IF($C1752="","",IFERROR(MATCH($C1752,Parties!$A$5:$A$304,0),"")),"")</f>
        <v/>
      </c>
      <c r="W1752" s="60" t="str">
        <f aca="false">IF(IsPro,IF($B1752="","",IFERROR(VALUE(SUBSTITUTE($B1752,InvPrefix,"")),0)),"")</f>
        <v/>
      </c>
      <c r="X1752" s="61" t="str">
        <f aca="false">IF(IsPro,IF($D1752="","",IF(OR($H1752="",$H1752="Credit"),0,Q1752)),"")</f>
        <v/>
      </c>
    </row>
    <row r="1753" customFormat="false" ht="15" hidden="false" customHeight="false" outlineLevel="0" collapsed="false">
      <c r="A1753" s="55"/>
      <c r="B1753" s="56"/>
      <c r="C1753" s="56"/>
      <c r="D1753" s="56"/>
      <c r="E1753" s="57"/>
      <c r="F1753" s="58"/>
      <c r="G1753" s="59"/>
      <c r="H1753" s="56"/>
      <c r="I1753" s="56"/>
      <c r="J1753" s="60" t="str">
        <f aca="false">IF(IsPro,IF($D1753="","",IFERROR(INDEX(Items!$D$5:$D$504,U1753),"")),"")</f>
        <v/>
      </c>
      <c r="K1753" s="61" t="str">
        <f aca="false">IF(IsPro,IF($D1753="","",IF($F1753="",IFERROR(INDEX(Items!$H$5:$H$504,U1753),0),$F1753)),"")</f>
        <v/>
      </c>
      <c r="L1753" s="61" t="str">
        <f aca="false">IF(IsPro,IF($D1753="","",ROUND(N($E1753)*K1753*(1-N($G1753)),2)),"")</f>
        <v/>
      </c>
      <c r="M1753" s="62" t="str">
        <f aca="false">IF(IsPro,IF($D1753="","",IFERROR(INDEX(Items!$F$5:$F$504,U1753),0)),"")</f>
        <v/>
      </c>
      <c r="N1753" s="61" t="str">
        <f aca="false">IF(IsPro,IF($D1753="","",IF(AND(V1753&lt;&gt;"",INDEX(Parties!$E$5:$E$304,V1753)&lt;&gt;"",INDEX(Parties!$E$5:$E$304,V1753)&lt;&gt;HomeState),0,ROUND(L1753*M1753/2,2))),"")</f>
        <v/>
      </c>
      <c r="O1753" s="61" t="str">
        <f aca="false">IF(IsPro,IF($D1753="","",N1753),"")</f>
        <v/>
      </c>
      <c r="P1753" s="61" t="str">
        <f aca="false">IF(IsPro,IF($D1753="","",IF(AND(V1753&lt;&gt;"",INDEX(Parties!$E$5:$E$304,V1753)&lt;&gt;"",INDEX(Parties!$E$5:$E$304,V1753)&lt;&gt;HomeState),ROUND(L1753*M1753,2),0)),"")</f>
        <v/>
      </c>
      <c r="Q1753" s="61" t="str">
        <f aca="false">IF(IsPro,IF($D1753="","",L1753+N1753+O1753+P1753),"")</f>
        <v/>
      </c>
      <c r="R1753" s="61" t="str">
        <f aca="false">IF(IsPro,IF($D1753="","",ROUND(N($E1753)*IFERROR(INDEX(Items!$P$5:$P$504,U1753),0),2)),"")</f>
        <v/>
      </c>
      <c r="S1753" s="61" t="str">
        <f aca="false">IF(IsPro,IF($D1753="","",L1753-R1753),"")</f>
        <v/>
      </c>
      <c r="T1753" s="60" t="str">
        <f aca="false">IF(IsPro,IF($D1753="","",IF(U1753="","UNKNOWN ITEM",IF(INDEX(Items!$O$5:$O$504,U1753)&lt;0,"NEG STOCK",IF(K1753&lt;INDEX(Items!$P$5:$P$504,U1753),"BELOW COST","OK")))),IF($D1753="","","PRO PLAN"))</f>
        <v/>
      </c>
      <c r="U1753" s="60" t="str">
        <f aca="false">IF(IsPro,IF($D1753="","",IFERROR(MATCH($D1753,Items!$A$5:$A$504,0),"")),"")</f>
        <v/>
      </c>
      <c r="V1753" s="60" t="str">
        <f aca="false">IF(IsPro,IF($C1753="","",IFERROR(MATCH($C1753,Parties!$A$5:$A$304,0),"")),"")</f>
        <v/>
      </c>
      <c r="W1753" s="60" t="str">
        <f aca="false">IF(IsPro,IF($B1753="","",IFERROR(VALUE(SUBSTITUTE($B1753,InvPrefix,"")),0)),"")</f>
        <v/>
      </c>
      <c r="X1753" s="61" t="str">
        <f aca="false">IF(IsPro,IF($D1753="","",IF(OR($H1753="",$H1753="Credit"),0,Q1753)),"")</f>
        <v/>
      </c>
    </row>
    <row r="1754" customFormat="false" ht="15" hidden="false" customHeight="false" outlineLevel="0" collapsed="false">
      <c r="A1754" s="55"/>
      <c r="B1754" s="56"/>
      <c r="C1754" s="56"/>
      <c r="D1754" s="56"/>
      <c r="E1754" s="57"/>
      <c r="F1754" s="58"/>
      <c r="G1754" s="59"/>
      <c r="H1754" s="56"/>
      <c r="I1754" s="56"/>
      <c r="J1754" s="60" t="str">
        <f aca="false">IF(IsPro,IF($D1754="","",IFERROR(INDEX(Items!$D$5:$D$504,U1754),"")),"")</f>
        <v/>
      </c>
      <c r="K1754" s="61" t="str">
        <f aca="false">IF(IsPro,IF($D1754="","",IF($F1754="",IFERROR(INDEX(Items!$H$5:$H$504,U1754),0),$F1754)),"")</f>
        <v/>
      </c>
      <c r="L1754" s="61" t="str">
        <f aca="false">IF(IsPro,IF($D1754="","",ROUND(N($E1754)*K1754*(1-N($G1754)),2)),"")</f>
        <v/>
      </c>
      <c r="M1754" s="62" t="str">
        <f aca="false">IF(IsPro,IF($D1754="","",IFERROR(INDEX(Items!$F$5:$F$504,U1754),0)),"")</f>
        <v/>
      </c>
      <c r="N1754" s="61" t="str">
        <f aca="false">IF(IsPro,IF($D1754="","",IF(AND(V1754&lt;&gt;"",INDEX(Parties!$E$5:$E$304,V1754)&lt;&gt;"",INDEX(Parties!$E$5:$E$304,V1754)&lt;&gt;HomeState),0,ROUND(L1754*M1754/2,2))),"")</f>
        <v/>
      </c>
      <c r="O1754" s="61" t="str">
        <f aca="false">IF(IsPro,IF($D1754="","",N1754),"")</f>
        <v/>
      </c>
      <c r="P1754" s="61" t="str">
        <f aca="false">IF(IsPro,IF($D1754="","",IF(AND(V1754&lt;&gt;"",INDEX(Parties!$E$5:$E$304,V1754)&lt;&gt;"",INDEX(Parties!$E$5:$E$304,V1754)&lt;&gt;HomeState),ROUND(L1754*M1754,2),0)),"")</f>
        <v/>
      </c>
      <c r="Q1754" s="61" t="str">
        <f aca="false">IF(IsPro,IF($D1754="","",L1754+N1754+O1754+P1754),"")</f>
        <v/>
      </c>
      <c r="R1754" s="61" t="str">
        <f aca="false">IF(IsPro,IF($D1754="","",ROUND(N($E1754)*IFERROR(INDEX(Items!$P$5:$P$504,U1754),0),2)),"")</f>
        <v/>
      </c>
      <c r="S1754" s="61" t="str">
        <f aca="false">IF(IsPro,IF($D1754="","",L1754-R1754),"")</f>
        <v/>
      </c>
      <c r="T1754" s="60" t="str">
        <f aca="false">IF(IsPro,IF($D1754="","",IF(U1754="","UNKNOWN ITEM",IF(INDEX(Items!$O$5:$O$504,U1754)&lt;0,"NEG STOCK",IF(K1754&lt;INDEX(Items!$P$5:$P$504,U1754),"BELOW COST","OK")))),IF($D1754="","","PRO PLAN"))</f>
        <v/>
      </c>
      <c r="U1754" s="60" t="str">
        <f aca="false">IF(IsPro,IF($D1754="","",IFERROR(MATCH($D1754,Items!$A$5:$A$504,0),"")),"")</f>
        <v/>
      </c>
      <c r="V1754" s="60" t="str">
        <f aca="false">IF(IsPro,IF($C1754="","",IFERROR(MATCH($C1754,Parties!$A$5:$A$304,0),"")),"")</f>
        <v/>
      </c>
      <c r="W1754" s="60" t="str">
        <f aca="false">IF(IsPro,IF($B1754="","",IFERROR(VALUE(SUBSTITUTE($B1754,InvPrefix,"")),0)),"")</f>
        <v/>
      </c>
      <c r="X1754" s="61" t="str">
        <f aca="false">IF(IsPro,IF($D1754="","",IF(OR($H1754="",$H1754="Credit"),0,Q1754)),"")</f>
        <v/>
      </c>
    </row>
    <row r="1755" customFormat="false" ht="15" hidden="false" customHeight="false" outlineLevel="0" collapsed="false">
      <c r="A1755" s="55"/>
      <c r="B1755" s="56"/>
      <c r="C1755" s="56"/>
      <c r="D1755" s="56"/>
      <c r="E1755" s="57"/>
      <c r="F1755" s="58"/>
      <c r="G1755" s="59"/>
      <c r="H1755" s="56"/>
      <c r="I1755" s="56"/>
      <c r="J1755" s="60" t="str">
        <f aca="false">IF(IsPro,IF($D1755="","",IFERROR(INDEX(Items!$D$5:$D$504,U1755),"")),"")</f>
        <v/>
      </c>
      <c r="K1755" s="61" t="str">
        <f aca="false">IF(IsPro,IF($D1755="","",IF($F1755="",IFERROR(INDEX(Items!$H$5:$H$504,U1755),0),$F1755)),"")</f>
        <v/>
      </c>
      <c r="L1755" s="61" t="str">
        <f aca="false">IF(IsPro,IF($D1755="","",ROUND(N($E1755)*K1755*(1-N($G1755)),2)),"")</f>
        <v/>
      </c>
      <c r="M1755" s="62" t="str">
        <f aca="false">IF(IsPro,IF($D1755="","",IFERROR(INDEX(Items!$F$5:$F$504,U1755),0)),"")</f>
        <v/>
      </c>
      <c r="N1755" s="61" t="str">
        <f aca="false">IF(IsPro,IF($D1755="","",IF(AND(V1755&lt;&gt;"",INDEX(Parties!$E$5:$E$304,V1755)&lt;&gt;"",INDEX(Parties!$E$5:$E$304,V1755)&lt;&gt;HomeState),0,ROUND(L1755*M1755/2,2))),"")</f>
        <v/>
      </c>
      <c r="O1755" s="61" t="str">
        <f aca="false">IF(IsPro,IF($D1755="","",N1755),"")</f>
        <v/>
      </c>
      <c r="P1755" s="61" t="str">
        <f aca="false">IF(IsPro,IF($D1755="","",IF(AND(V1755&lt;&gt;"",INDEX(Parties!$E$5:$E$304,V1755)&lt;&gt;"",INDEX(Parties!$E$5:$E$304,V1755)&lt;&gt;HomeState),ROUND(L1755*M1755,2),0)),"")</f>
        <v/>
      </c>
      <c r="Q1755" s="61" t="str">
        <f aca="false">IF(IsPro,IF($D1755="","",L1755+N1755+O1755+P1755),"")</f>
        <v/>
      </c>
      <c r="R1755" s="61" t="str">
        <f aca="false">IF(IsPro,IF($D1755="","",ROUND(N($E1755)*IFERROR(INDEX(Items!$P$5:$P$504,U1755),0),2)),"")</f>
        <v/>
      </c>
      <c r="S1755" s="61" t="str">
        <f aca="false">IF(IsPro,IF($D1755="","",L1755-R1755),"")</f>
        <v/>
      </c>
      <c r="T1755" s="60" t="str">
        <f aca="false">IF(IsPro,IF($D1755="","",IF(U1755="","UNKNOWN ITEM",IF(INDEX(Items!$O$5:$O$504,U1755)&lt;0,"NEG STOCK",IF(K1755&lt;INDEX(Items!$P$5:$P$504,U1755),"BELOW COST","OK")))),IF($D1755="","","PRO PLAN"))</f>
        <v/>
      </c>
      <c r="U1755" s="60" t="str">
        <f aca="false">IF(IsPro,IF($D1755="","",IFERROR(MATCH($D1755,Items!$A$5:$A$504,0),"")),"")</f>
        <v/>
      </c>
      <c r="V1755" s="60" t="str">
        <f aca="false">IF(IsPro,IF($C1755="","",IFERROR(MATCH($C1755,Parties!$A$5:$A$304,0),"")),"")</f>
        <v/>
      </c>
      <c r="W1755" s="60" t="str">
        <f aca="false">IF(IsPro,IF($B1755="","",IFERROR(VALUE(SUBSTITUTE($B1755,InvPrefix,"")),0)),"")</f>
        <v/>
      </c>
      <c r="X1755" s="61" t="str">
        <f aca="false">IF(IsPro,IF($D1755="","",IF(OR($H1755="",$H1755="Credit"),0,Q1755)),"")</f>
        <v/>
      </c>
    </row>
    <row r="1756" customFormat="false" ht="15" hidden="false" customHeight="false" outlineLevel="0" collapsed="false">
      <c r="A1756" s="55"/>
      <c r="B1756" s="56"/>
      <c r="C1756" s="56"/>
      <c r="D1756" s="56"/>
      <c r="E1756" s="57"/>
      <c r="F1756" s="58"/>
      <c r="G1756" s="59"/>
      <c r="H1756" s="56"/>
      <c r="I1756" s="56"/>
      <c r="J1756" s="60" t="str">
        <f aca="false">IF(IsPro,IF($D1756="","",IFERROR(INDEX(Items!$D$5:$D$504,U1756),"")),"")</f>
        <v/>
      </c>
      <c r="K1756" s="61" t="str">
        <f aca="false">IF(IsPro,IF($D1756="","",IF($F1756="",IFERROR(INDEX(Items!$H$5:$H$504,U1756),0),$F1756)),"")</f>
        <v/>
      </c>
      <c r="L1756" s="61" t="str">
        <f aca="false">IF(IsPro,IF($D1756="","",ROUND(N($E1756)*K1756*(1-N($G1756)),2)),"")</f>
        <v/>
      </c>
      <c r="M1756" s="62" t="str">
        <f aca="false">IF(IsPro,IF($D1756="","",IFERROR(INDEX(Items!$F$5:$F$504,U1756),0)),"")</f>
        <v/>
      </c>
      <c r="N1756" s="61" t="str">
        <f aca="false">IF(IsPro,IF($D1756="","",IF(AND(V1756&lt;&gt;"",INDEX(Parties!$E$5:$E$304,V1756)&lt;&gt;"",INDEX(Parties!$E$5:$E$304,V1756)&lt;&gt;HomeState),0,ROUND(L1756*M1756/2,2))),"")</f>
        <v/>
      </c>
      <c r="O1756" s="61" t="str">
        <f aca="false">IF(IsPro,IF($D1756="","",N1756),"")</f>
        <v/>
      </c>
      <c r="P1756" s="61" t="str">
        <f aca="false">IF(IsPro,IF($D1756="","",IF(AND(V1756&lt;&gt;"",INDEX(Parties!$E$5:$E$304,V1756)&lt;&gt;"",INDEX(Parties!$E$5:$E$304,V1756)&lt;&gt;HomeState),ROUND(L1756*M1756,2),0)),"")</f>
        <v/>
      </c>
      <c r="Q1756" s="61" t="str">
        <f aca="false">IF(IsPro,IF($D1756="","",L1756+N1756+O1756+P1756),"")</f>
        <v/>
      </c>
      <c r="R1756" s="61" t="str">
        <f aca="false">IF(IsPro,IF($D1756="","",ROUND(N($E1756)*IFERROR(INDEX(Items!$P$5:$P$504,U1756),0),2)),"")</f>
        <v/>
      </c>
      <c r="S1756" s="61" t="str">
        <f aca="false">IF(IsPro,IF($D1756="","",L1756-R1756),"")</f>
        <v/>
      </c>
      <c r="T1756" s="60" t="str">
        <f aca="false">IF(IsPro,IF($D1756="","",IF(U1756="","UNKNOWN ITEM",IF(INDEX(Items!$O$5:$O$504,U1756)&lt;0,"NEG STOCK",IF(K1756&lt;INDEX(Items!$P$5:$P$504,U1756),"BELOW COST","OK")))),IF($D1756="","","PRO PLAN"))</f>
        <v/>
      </c>
      <c r="U1756" s="60" t="str">
        <f aca="false">IF(IsPro,IF($D1756="","",IFERROR(MATCH($D1756,Items!$A$5:$A$504,0),"")),"")</f>
        <v/>
      </c>
      <c r="V1756" s="60" t="str">
        <f aca="false">IF(IsPro,IF($C1756="","",IFERROR(MATCH($C1756,Parties!$A$5:$A$304,0),"")),"")</f>
        <v/>
      </c>
      <c r="W1756" s="60" t="str">
        <f aca="false">IF(IsPro,IF($B1756="","",IFERROR(VALUE(SUBSTITUTE($B1756,InvPrefix,"")),0)),"")</f>
        <v/>
      </c>
      <c r="X1756" s="61" t="str">
        <f aca="false">IF(IsPro,IF($D1756="","",IF(OR($H1756="",$H1756="Credit"),0,Q1756)),"")</f>
        <v/>
      </c>
    </row>
    <row r="1757" customFormat="false" ht="15" hidden="false" customHeight="false" outlineLevel="0" collapsed="false">
      <c r="A1757" s="55"/>
      <c r="B1757" s="56"/>
      <c r="C1757" s="56"/>
      <c r="D1757" s="56"/>
      <c r="E1757" s="57"/>
      <c r="F1757" s="58"/>
      <c r="G1757" s="59"/>
      <c r="H1757" s="56"/>
      <c r="I1757" s="56"/>
      <c r="J1757" s="60" t="str">
        <f aca="false">IF(IsPro,IF($D1757="","",IFERROR(INDEX(Items!$D$5:$D$504,U1757),"")),"")</f>
        <v/>
      </c>
      <c r="K1757" s="61" t="str">
        <f aca="false">IF(IsPro,IF($D1757="","",IF($F1757="",IFERROR(INDEX(Items!$H$5:$H$504,U1757),0),$F1757)),"")</f>
        <v/>
      </c>
      <c r="L1757" s="61" t="str">
        <f aca="false">IF(IsPro,IF($D1757="","",ROUND(N($E1757)*K1757*(1-N($G1757)),2)),"")</f>
        <v/>
      </c>
      <c r="M1757" s="62" t="str">
        <f aca="false">IF(IsPro,IF($D1757="","",IFERROR(INDEX(Items!$F$5:$F$504,U1757),0)),"")</f>
        <v/>
      </c>
      <c r="N1757" s="61" t="str">
        <f aca="false">IF(IsPro,IF($D1757="","",IF(AND(V1757&lt;&gt;"",INDEX(Parties!$E$5:$E$304,V1757)&lt;&gt;"",INDEX(Parties!$E$5:$E$304,V1757)&lt;&gt;HomeState),0,ROUND(L1757*M1757/2,2))),"")</f>
        <v/>
      </c>
      <c r="O1757" s="61" t="str">
        <f aca="false">IF(IsPro,IF($D1757="","",N1757),"")</f>
        <v/>
      </c>
      <c r="P1757" s="61" t="str">
        <f aca="false">IF(IsPro,IF($D1757="","",IF(AND(V1757&lt;&gt;"",INDEX(Parties!$E$5:$E$304,V1757)&lt;&gt;"",INDEX(Parties!$E$5:$E$304,V1757)&lt;&gt;HomeState),ROUND(L1757*M1757,2),0)),"")</f>
        <v/>
      </c>
      <c r="Q1757" s="61" t="str">
        <f aca="false">IF(IsPro,IF($D1757="","",L1757+N1757+O1757+P1757),"")</f>
        <v/>
      </c>
      <c r="R1757" s="61" t="str">
        <f aca="false">IF(IsPro,IF($D1757="","",ROUND(N($E1757)*IFERROR(INDEX(Items!$P$5:$P$504,U1757),0),2)),"")</f>
        <v/>
      </c>
      <c r="S1757" s="61" t="str">
        <f aca="false">IF(IsPro,IF($D1757="","",L1757-R1757),"")</f>
        <v/>
      </c>
      <c r="T1757" s="60" t="str">
        <f aca="false">IF(IsPro,IF($D1757="","",IF(U1757="","UNKNOWN ITEM",IF(INDEX(Items!$O$5:$O$504,U1757)&lt;0,"NEG STOCK",IF(K1757&lt;INDEX(Items!$P$5:$P$504,U1757),"BELOW COST","OK")))),IF($D1757="","","PRO PLAN"))</f>
        <v/>
      </c>
      <c r="U1757" s="60" t="str">
        <f aca="false">IF(IsPro,IF($D1757="","",IFERROR(MATCH($D1757,Items!$A$5:$A$504,0),"")),"")</f>
        <v/>
      </c>
      <c r="V1757" s="60" t="str">
        <f aca="false">IF(IsPro,IF($C1757="","",IFERROR(MATCH($C1757,Parties!$A$5:$A$304,0),"")),"")</f>
        <v/>
      </c>
      <c r="W1757" s="60" t="str">
        <f aca="false">IF(IsPro,IF($B1757="","",IFERROR(VALUE(SUBSTITUTE($B1757,InvPrefix,"")),0)),"")</f>
        <v/>
      </c>
      <c r="X1757" s="61" t="str">
        <f aca="false">IF(IsPro,IF($D1757="","",IF(OR($H1757="",$H1757="Credit"),0,Q1757)),"")</f>
        <v/>
      </c>
    </row>
    <row r="1758" customFormat="false" ht="15" hidden="false" customHeight="false" outlineLevel="0" collapsed="false">
      <c r="A1758" s="55"/>
      <c r="B1758" s="56"/>
      <c r="C1758" s="56"/>
      <c r="D1758" s="56"/>
      <c r="E1758" s="57"/>
      <c r="F1758" s="58"/>
      <c r="G1758" s="59"/>
      <c r="H1758" s="56"/>
      <c r="I1758" s="56"/>
      <c r="J1758" s="60" t="str">
        <f aca="false">IF(IsPro,IF($D1758="","",IFERROR(INDEX(Items!$D$5:$D$504,U1758),"")),"")</f>
        <v/>
      </c>
      <c r="K1758" s="61" t="str">
        <f aca="false">IF(IsPro,IF($D1758="","",IF($F1758="",IFERROR(INDEX(Items!$H$5:$H$504,U1758),0),$F1758)),"")</f>
        <v/>
      </c>
      <c r="L1758" s="61" t="str">
        <f aca="false">IF(IsPro,IF($D1758="","",ROUND(N($E1758)*K1758*(1-N($G1758)),2)),"")</f>
        <v/>
      </c>
      <c r="M1758" s="62" t="str">
        <f aca="false">IF(IsPro,IF($D1758="","",IFERROR(INDEX(Items!$F$5:$F$504,U1758),0)),"")</f>
        <v/>
      </c>
      <c r="N1758" s="61" t="str">
        <f aca="false">IF(IsPro,IF($D1758="","",IF(AND(V1758&lt;&gt;"",INDEX(Parties!$E$5:$E$304,V1758)&lt;&gt;"",INDEX(Parties!$E$5:$E$304,V1758)&lt;&gt;HomeState),0,ROUND(L1758*M1758/2,2))),"")</f>
        <v/>
      </c>
      <c r="O1758" s="61" t="str">
        <f aca="false">IF(IsPro,IF($D1758="","",N1758),"")</f>
        <v/>
      </c>
      <c r="P1758" s="61" t="str">
        <f aca="false">IF(IsPro,IF($D1758="","",IF(AND(V1758&lt;&gt;"",INDEX(Parties!$E$5:$E$304,V1758)&lt;&gt;"",INDEX(Parties!$E$5:$E$304,V1758)&lt;&gt;HomeState),ROUND(L1758*M1758,2),0)),"")</f>
        <v/>
      </c>
      <c r="Q1758" s="61" t="str">
        <f aca="false">IF(IsPro,IF($D1758="","",L1758+N1758+O1758+P1758),"")</f>
        <v/>
      </c>
      <c r="R1758" s="61" t="str">
        <f aca="false">IF(IsPro,IF($D1758="","",ROUND(N($E1758)*IFERROR(INDEX(Items!$P$5:$P$504,U1758),0),2)),"")</f>
        <v/>
      </c>
      <c r="S1758" s="61" t="str">
        <f aca="false">IF(IsPro,IF($D1758="","",L1758-R1758),"")</f>
        <v/>
      </c>
      <c r="T1758" s="60" t="str">
        <f aca="false">IF(IsPro,IF($D1758="","",IF(U1758="","UNKNOWN ITEM",IF(INDEX(Items!$O$5:$O$504,U1758)&lt;0,"NEG STOCK",IF(K1758&lt;INDEX(Items!$P$5:$P$504,U1758),"BELOW COST","OK")))),IF($D1758="","","PRO PLAN"))</f>
        <v/>
      </c>
      <c r="U1758" s="60" t="str">
        <f aca="false">IF(IsPro,IF($D1758="","",IFERROR(MATCH($D1758,Items!$A$5:$A$504,0),"")),"")</f>
        <v/>
      </c>
      <c r="V1758" s="60" t="str">
        <f aca="false">IF(IsPro,IF($C1758="","",IFERROR(MATCH($C1758,Parties!$A$5:$A$304,0),"")),"")</f>
        <v/>
      </c>
      <c r="W1758" s="60" t="str">
        <f aca="false">IF(IsPro,IF($B1758="","",IFERROR(VALUE(SUBSTITUTE($B1758,InvPrefix,"")),0)),"")</f>
        <v/>
      </c>
      <c r="X1758" s="61" t="str">
        <f aca="false">IF(IsPro,IF($D1758="","",IF(OR($H1758="",$H1758="Credit"),0,Q1758)),"")</f>
        <v/>
      </c>
    </row>
    <row r="1759" customFormat="false" ht="15" hidden="false" customHeight="false" outlineLevel="0" collapsed="false">
      <c r="A1759" s="55"/>
      <c r="B1759" s="56"/>
      <c r="C1759" s="56"/>
      <c r="D1759" s="56"/>
      <c r="E1759" s="57"/>
      <c r="F1759" s="58"/>
      <c r="G1759" s="59"/>
      <c r="H1759" s="56"/>
      <c r="I1759" s="56"/>
      <c r="J1759" s="60" t="str">
        <f aca="false">IF(IsPro,IF($D1759="","",IFERROR(INDEX(Items!$D$5:$D$504,U1759),"")),"")</f>
        <v/>
      </c>
      <c r="K1759" s="61" t="str">
        <f aca="false">IF(IsPro,IF($D1759="","",IF($F1759="",IFERROR(INDEX(Items!$H$5:$H$504,U1759),0),$F1759)),"")</f>
        <v/>
      </c>
      <c r="L1759" s="61" t="str">
        <f aca="false">IF(IsPro,IF($D1759="","",ROUND(N($E1759)*K1759*(1-N($G1759)),2)),"")</f>
        <v/>
      </c>
      <c r="M1759" s="62" t="str">
        <f aca="false">IF(IsPro,IF($D1759="","",IFERROR(INDEX(Items!$F$5:$F$504,U1759),0)),"")</f>
        <v/>
      </c>
      <c r="N1759" s="61" t="str">
        <f aca="false">IF(IsPro,IF($D1759="","",IF(AND(V1759&lt;&gt;"",INDEX(Parties!$E$5:$E$304,V1759)&lt;&gt;"",INDEX(Parties!$E$5:$E$304,V1759)&lt;&gt;HomeState),0,ROUND(L1759*M1759/2,2))),"")</f>
        <v/>
      </c>
      <c r="O1759" s="61" t="str">
        <f aca="false">IF(IsPro,IF($D1759="","",N1759),"")</f>
        <v/>
      </c>
      <c r="P1759" s="61" t="str">
        <f aca="false">IF(IsPro,IF($D1759="","",IF(AND(V1759&lt;&gt;"",INDEX(Parties!$E$5:$E$304,V1759)&lt;&gt;"",INDEX(Parties!$E$5:$E$304,V1759)&lt;&gt;HomeState),ROUND(L1759*M1759,2),0)),"")</f>
        <v/>
      </c>
      <c r="Q1759" s="61" t="str">
        <f aca="false">IF(IsPro,IF($D1759="","",L1759+N1759+O1759+P1759),"")</f>
        <v/>
      </c>
      <c r="R1759" s="61" t="str">
        <f aca="false">IF(IsPro,IF($D1759="","",ROUND(N($E1759)*IFERROR(INDEX(Items!$P$5:$P$504,U1759),0),2)),"")</f>
        <v/>
      </c>
      <c r="S1759" s="61" t="str">
        <f aca="false">IF(IsPro,IF($D1759="","",L1759-R1759),"")</f>
        <v/>
      </c>
      <c r="T1759" s="60" t="str">
        <f aca="false">IF(IsPro,IF($D1759="","",IF(U1759="","UNKNOWN ITEM",IF(INDEX(Items!$O$5:$O$504,U1759)&lt;0,"NEG STOCK",IF(K1759&lt;INDEX(Items!$P$5:$P$504,U1759),"BELOW COST","OK")))),IF($D1759="","","PRO PLAN"))</f>
        <v/>
      </c>
      <c r="U1759" s="60" t="str">
        <f aca="false">IF(IsPro,IF($D1759="","",IFERROR(MATCH($D1759,Items!$A$5:$A$504,0),"")),"")</f>
        <v/>
      </c>
      <c r="V1759" s="60" t="str">
        <f aca="false">IF(IsPro,IF($C1759="","",IFERROR(MATCH($C1759,Parties!$A$5:$A$304,0),"")),"")</f>
        <v/>
      </c>
      <c r="W1759" s="60" t="str">
        <f aca="false">IF(IsPro,IF($B1759="","",IFERROR(VALUE(SUBSTITUTE($B1759,InvPrefix,"")),0)),"")</f>
        <v/>
      </c>
      <c r="X1759" s="61" t="str">
        <f aca="false">IF(IsPro,IF($D1759="","",IF(OR($H1759="",$H1759="Credit"),0,Q1759)),"")</f>
        <v/>
      </c>
    </row>
    <row r="1760" customFormat="false" ht="15" hidden="false" customHeight="false" outlineLevel="0" collapsed="false">
      <c r="A1760" s="55"/>
      <c r="B1760" s="56"/>
      <c r="C1760" s="56"/>
      <c r="D1760" s="56"/>
      <c r="E1760" s="57"/>
      <c r="F1760" s="58"/>
      <c r="G1760" s="59"/>
      <c r="H1760" s="56"/>
      <c r="I1760" s="56"/>
      <c r="J1760" s="60" t="str">
        <f aca="false">IF(IsPro,IF($D1760="","",IFERROR(INDEX(Items!$D$5:$D$504,U1760),"")),"")</f>
        <v/>
      </c>
      <c r="K1760" s="61" t="str">
        <f aca="false">IF(IsPro,IF($D1760="","",IF($F1760="",IFERROR(INDEX(Items!$H$5:$H$504,U1760),0),$F1760)),"")</f>
        <v/>
      </c>
      <c r="L1760" s="61" t="str">
        <f aca="false">IF(IsPro,IF($D1760="","",ROUND(N($E1760)*K1760*(1-N($G1760)),2)),"")</f>
        <v/>
      </c>
      <c r="M1760" s="62" t="str">
        <f aca="false">IF(IsPro,IF($D1760="","",IFERROR(INDEX(Items!$F$5:$F$504,U1760),0)),"")</f>
        <v/>
      </c>
      <c r="N1760" s="61" t="str">
        <f aca="false">IF(IsPro,IF($D1760="","",IF(AND(V1760&lt;&gt;"",INDEX(Parties!$E$5:$E$304,V1760)&lt;&gt;"",INDEX(Parties!$E$5:$E$304,V1760)&lt;&gt;HomeState),0,ROUND(L1760*M1760/2,2))),"")</f>
        <v/>
      </c>
      <c r="O1760" s="61" t="str">
        <f aca="false">IF(IsPro,IF($D1760="","",N1760),"")</f>
        <v/>
      </c>
      <c r="P1760" s="61" t="str">
        <f aca="false">IF(IsPro,IF($D1760="","",IF(AND(V1760&lt;&gt;"",INDEX(Parties!$E$5:$E$304,V1760)&lt;&gt;"",INDEX(Parties!$E$5:$E$304,V1760)&lt;&gt;HomeState),ROUND(L1760*M1760,2),0)),"")</f>
        <v/>
      </c>
      <c r="Q1760" s="61" t="str">
        <f aca="false">IF(IsPro,IF($D1760="","",L1760+N1760+O1760+P1760),"")</f>
        <v/>
      </c>
      <c r="R1760" s="61" t="str">
        <f aca="false">IF(IsPro,IF($D1760="","",ROUND(N($E1760)*IFERROR(INDEX(Items!$P$5:$P$504,U1760),0),2)),"")</f>
        <v/>
      </c>
      <c r="S1760" s="61" t="str">
        <f aca="false">IF(IsPro,IF($D1760="","",L1760-R1760),"")</f>
        <v/>
      </c>
      <c r="T1760" s="60" t="str">
        <f aca="false">IF(IsPro,IF($D1760="","",IF(U1760="","UNKNOWN ITEM",IF(INDEX(Items!$O$5:$O$504,U1760)&lt;0,"NEG STOCK",IF(K1760&lt;INDEX(Items!$P$5:$P$504,U1760),"BELOW COST","OK")))),IF($D1760="","","PRO PLAN"))</f>
        <v/>
      </c>
      <c r="U1760" s="60" t="str">
        <f aca="false">IF(IsPro,IF($D1760="","",IFERROR(MATCH($D1760,Items!$A$5:$A$504,0),"")),"")</f>
        <v/>
      </c>
      <c r="V1760" s="60" t="str">
        <f aca="false">IF(IsPro,IF($C1760="","",IFERROR(MATCH($C1760,Parties!$A$5:$A$304,0),"")),"")</f>
        <v/>
      </c>
      <c r="W1760" s="60" t="str">
        <f aca="false">IF(IsPro,IF($B1760="","",IFERROR(VALUE(SUBSTITUTE($B1760,InvPrefix,"")),0)),"")</f>
        <v/>
      </c>
      <c r="X1760" s="61" t="str">
        <f aca="false">IF(IsPro,IF($D1760="","",IF(OR($H1760="",$H1760="Credit"),0,Q1760)),"")</f>
        <v/>
      </c>
    </row>
    <row r="1761" customFormat="false" ht="15" hidden="false" customHeight="false" outlineLevel="0" collapsed="false">
      <c r="A1761" s="55"/>
      <c r="B1761" s="56"/>
      <c r="C1761" s="56"/>
      <c r="D1761" s="56"/>
      <c r="E1761" s="57"/>
      <c r="F1761" s="58"/>
      <c r="G1761" s="59"/>
      <c r="H1761" s="56"/>
      <c r="I1761" s="56"/>
      <c r="J1761" s="60" t="str">
        <f aca="false">IF(IsPro,IF($D1761="","",IFERROR(INDEX(Items!$D$5:$D$504,U1761),"")),"")</f>
        <v/>
      </c>
      <c r="K1761" s="61" t="str">
        <f aca="false">IF(IsPro,IF($D1761="","",IF($F1761="",IFERROR(INDEX(Items!$H$5:$H$504,U1761),0),$F1761)),"")</f>
        <v/>
      </c>
      <c r="L1761" s="61" t="str">
        <f aca="false">IF(IsPro,IF($D1761="","",ROUND(N($E1761)*K1761*(1-N($G1761)),2)),"")</f>
        <v/>
      </c>
      <c r="M1761" s="62" t="str">
        <f aca="false">IF(IsPro,IF($D1761="","",IFERROR(INDEX(Items!$F$5:$F$504,U1761),0)),"")</f>
        <v/>
      </c>
      <c r="N1761" s="61" t="str">
        <f aca="false">IF(IsPro,IF($D1761="","",IF(AND(V1761&lt;&gt;"",INDEX(Parties!$E$5:$E$304,V1761)&lt;&gt;"",INDEX(Parties!$E$5:$E$304,V1761)&lt;&gt;HomeState),0,ROUND(L1761*M1761/2,2))),"")</f>
        <v/>
      </c>
      <c r="O1761" s="61" t="str">
        <f aca="false">IF(IsPro,IF($D1761="","",N1761),"")</f>
        <v/>
      </c>
      <c r="P1761" s="61" t="str">
        <f aca="false">IF(IsPro,IF($D1761="","",IF(AND(V1761&lt;&gt;"",INDEX(Parties!$E$5:$E$304,V1761)&lt;&gt;"",INDEX(Parties!$E$5:$E$304,V1761)&lt;&gt;HomeState),ROUND(L1761*M1761,2),0)),"")</f>
        <v/>
      </c>
      <c r="Q1761" s="61" t="str">
        <f aca="false">IF(IsPro,IF($D1761="","",L1761+N1761+O1761+P1761),"")</f>
        <v/>
      </c>
      <c r="R1761" s="61" t="str">
        <f aca="false">IF(IsPro,IF($D1761="","",ROUND(N($E1761)*IFERROR(INDEX(Items!$P$5:$P$504,U1761),0),2)),"")</f>
        <v/>
      </c>
      <c r="S1761" s="61" t="str">
        <f aca="false">IF(IsPro,IF($D1761="","",L1761-R1761),"")</f>
        <v/>
      </c>
      <c r="T1761" s="60" t="str">
        <f aca="false">IF(IsPro,IF($D1761="","",IF(U1761="","UNKNOWN ITEM",IF(INDEX(Items!$O$5:$O$504,U1761)&lt;0,"NEG STOCK",IF(K1761&lt;INDEX(Items!$P$5:$P$504,U1761),"BELOW COST","OK")))),IF($D1761="","","PRO PLAN"))</f>
        <v/>
      </c>
      <c r="U1761" s="60" t="str">
        <f aca="false">IF(IsPro,IF($D1761="","",IFERROR(MATCH($D1761,Items!$A$5:$A$504,0),"")),"")</f>
        <v/>
      </c>
      <c r="V1761" s="60" t="str">
        <f aca="false">IF(IsPro,IF($C1761="","",IFERROR(MATCH($C1761,Parties!$A$5:$A$304,0),"")),"")</f>
        <v/>
      </c>
      <c r="W1761" s="60" t="str">
        <f aca="false">IF(IsPro,IF($B1761="","",IFERROR(VALUE(SUBSTITUTE($B1761,InvPrefix,"")),0)),"")</f>
        <v/>
      </c>
      <c r="X1761" s="61" t="str">
        <f aca="false">IF(IsPro,IF($D1761="","",IF(OR($H1761="",$H1761="Credit"),0,Q1761)),"")</f>
        <v/>
      </c>
    </row>
    <row r="1762" customFormat="false" ht="15" hidden="false" customHeight="false" outlineLevel="0" collapsed="false">
      <c r="A1762" s="55"/>
      <c r="B1762" s="56"/>
      <c r="C1762" s="56"/>
      <c r="D1762" s="56"/>
      <c r="E1762" s="57"/>
      <c r="F1762" s="58"/>
      <c r="G1762" s="59"/>
      <c r="H1762" s="56"/>
      <c r="I1762" s="56"/>
      <c r="J1762" s="60" t="str">
        <f aca="false">IF(IsPro,IF($D1762="","",IFERROR(INDEX(Items!$D$5:$D$504,U1762),"")),"")</f>
        <v/>
      </c>
      <c r="K1762" s="61" t="str">
        <f aca="false">IF(IsPro,IF($D1762="","",IF($F1762="",IFERROR(INDEX(Items!$H$5:$H$504,U1762),0),$F1762)),"")</f>
        <v/>
      </c>
      <c r="L1762" s="61" t="str">
        <f aca="false">IF(IsPro,IF($D1762="","",ROUND(N($E1762)*K1762*(1-N($G1762)),2)),"")</f>
        <v/>
      </c>
      <c r="M1762" s="62" t="str">
        <f aca="false">IF(IsPro,IF($D1762="","",IFERROR(INDEX(Items!$F$5:$F$504,U1762),0)),"")</f>
        <v/>
      </c>
      <c r="N1762" s="61" t="str">
        <f aca="false">IF(IsPro,IF($D1762="","",IF(AND(V1762&lt;&gt;"",INDEX(Parties!$E$5:$E$304,V1762)&lt;&gt;"",INDEX(Parties!$E$5:$E$304,V1762)&lt;&gt;HomeState),0,ROUND(L1762*M1762/2,2))),"")</f>
        <v/>
      </c>
      <c r="O1762" s="61" t="str">
        <f aca="false">IF(IsPro,IF($D1762="","",N1762),"")</f>
        <v/>
      </c>
      <c r="P1762" s="61" t="str">
        <f aca="false">IF(IsPro,IF($D1762="","",IF(AND(V1762&lt;&gt;"",INDEX(Parties!$E$5:$E$304,V1762)&lt;&gt;"",INDEX(Parties!$E$5:$E$304,V1762)&lt;&gt;HomeState),ROUND(L1762*M1762,2),0)),"")</f>
        <v/>
      </c>
      <c r="Q1762" s="61" t="str">
        <f aca="false">IF(IsPro,IF($D1762="","",L1762+N1762+O1762+P1762),"")</f>
        <v/>
      </c>
      <c r="R1762" s="61" t="str">
        <f aca="false">IF(IsPro,IF($D1762="","",ROUND(N($E1762)*IFERROR(INDEX(Items!$P$5:$P$504,U1762),0),2)),"")</f>
        <v/>
      </c>
      <c r="S1762" s="61" t="str">
        <f aca="false">IF(IsPro,IF($D1762="","",L1762-R1762),"")</f>
        <v/>
      </c>
      <c r="T1762" s="60" t="str">
        <f aca="false">IF(IsPro,IF($D1762="","",IF(U1762="","UNKNOWN ITEM",IF(INDEX(Items!$O$5:$O$504,U1762)&lt;0,"NEG STOCK",IF(K1762&lt;INDEX(Items!$P$5:$P$504,U1762),"BELOW COST","OK")))),IF($D1762="","","PRO PLAN"))</f>
        <v/>
      </c>
      <c r="U1762" s="60" t="str">
        <f aca="false">IF(IsPro,IF($D1762="","",IFERROR(MATCH($D1762,Items!$A$5:$A$504,0),"")),"")</f>
        <v/>
      </c>
      <c r="V1762" s="60" t="str">
        <f aca="false">IF(IsPro,IF($C1762="","",IFERROR(MATCH($C1762,Parties!$A$5:$A$304,0),"")),"")</f>
        <v/>
      </c>
      <c r="W1762" s="60" t="str">
        <f aca="false">IF(IsPro,IF($B1762="","",IFERROR(VALUE(SUBSTITUTE($B1762,InvPrefix,"")),0)),"")</f>
        <v/>
      </c>
      <c r="X1762" s="61" t="str">
        <f aca="false">IF(IsPro,IF($D1762="","",IF(OR($H1762="",$H1762="Credit"),0,Q1762)),"")</f>
        <v/>
      </c>
    </row>
    <row r="1763" customFormat="false" ht="15" hidden="false" customHeight="false" outlineLevel="0" collapsed="false">
      <c r="A1763" s="55"/>
      <c r="B1763" s="56"/>
      <c r="C1763" s="56"/>
      <c r="D1763" s="56"/>
      <c r="E1763" s="57"/>
      <c r="F1763" s="58"/>
      <c r="G1763" s="59"/>
      <c r="H1763" s="56"/>
      <c r="I1763" s="56"/>
      <c r="J1763" s="60" t="str">
        <f aca="false">IF(IsPro,IF($D1763="","",IFERROR(INDEX(Items!$D$5:$D$504,U1763),"")),"")</f>
        <v/>
      </c>
      <c r="K1763" s="61" t="str">
        <f aca="false">IF(IsPro,IF($D1763="","",IF($F1763="",IFERROR(INDEX(Items!$H$5:$H$504,U1763),0),$F1763)),"")</f>
        <v/>
      </c>
      <c r="L1763" s="61" t="str">
        <f aca="false">IF(IsPro,IF($D1763="","",ROUND(N($E1763)*K1763*(1-N($G1763)),2)),"")</f>
        <v/>
      </c>
      <c r="M1763" s="62" t="str">
        <f aca="false">IF(IsPro,IF($D1763="","",IFERROR(INDEX(Items!$F$5:$F$504,U1763),0)),"")</f>
        <v/>
      </c>
      <c r="N1763" s="61" t="str">
        <f aca="false">IF(IsPro,IF($D1763="","",IF(AND(V1763&lt;&gt;"",INDEX(Parties!$E$5:$E$304,V1763)&lt;&gt;"",INDEX(Parties!$E$5:$E$304,V1763)&lt;&gt;HomeState),0,ROUND(L1763*M1763/2,2))),"")</f>
        <v/>
      </c>
      <c r="O1763" s="61" t="str">
        <f aca="false">IF(IsPro,IF($D1763="","",N1763),"")</f>
        <v/>
      </c>
      <c r="P1763" s="61" t="str">
        <f aca="false">IF(IsPro,IF($D1763="","",IF(AND(V1763&lt;&gt;"",INDEX(Parties!$E$5:$E$304,V1763)&lt;&gt;"",INDEX(Parties!$E$5:$E$304,V1763)&lt;&gt;HomeState),ROUND(L1763*M1763,2),0)),"")</f>
        <v/>
      </c>
      <c r="Q1763" s="61" t="str">
        <f aca="false">IF(IsPro,IF($D1763="","",L1763+N1763+O1763+P1763),"")</f>
        <v/>
      </c>
      <c r="R1763" s="61" t="str">
        <f aca="false">IF(IsPro,IF($D1763="","",ROUND(N($E1763)*IFERROR(INDEX(Items!$P$5:$P$504,U1763),0),2)),"")</f>
        <v/>
      </c>
      <c r="S1763" s="61" t="str">
        <f aca="false">IF(IsPro,IF($D1763="","",L1763-R1763),"")</f>
        <v/>
      </c>
      <c r="T1763" s="60" t="str">
        <f aca="false">IF(IsPro,IF($D1763="","",IF(U1763="","UNKNOWN ITEM",IF(INDEX(Items!$O$5:$O$504,U1763)&lt;0,"NEG STOCK",IF(K1763&lt;INDEX(Items!$P$5:$P$504,U1763),"BELOW COST","OK")))),IF($D1763="","","PRO PLAN"))</f>
        <v/>
      </c>
      <c r="U1763" s="60" t="str">
        <f aca="false">IF(IsPro,IF($D1763="","",IFERROR(MATCH($D1763,Items!$A$5:$A$504,0),"")),"")</f>
        <v/>
      </c>
      <c r="V1763" s="60" t="str">
        <f aca="false">IF(IsPro,IF($C1763="","",IFERROR(MATCH($C1763,Parties!$A$5:$A$304,0),"")),"")</f>
        <v/>
      </c>
      <c r="W1763" s="60" t="str">
        <f aca="false">IF(IsPro,IF($B1763="","",IFERROR(VALUE(SUBSTITUTE($B1763,InvPrefix,"")),0)),"")</f>
        <v/>
      </c>
      <c r="X1763" s="61" t="str">
        <f aca="false">IF(IsPro,IF($D1763="","",IF(OR($H1763="",$H1763="Credit"),0,Q1763)),"")</f>
        <v/>
      </c>
    </row>
    <row r="1764" customFormat="false" ht="15" hidden="false" customHeight="false" outlineLevel="0" collapsed="false">
      <c r="A1764" s="55"/>
      <c r="B1764" s="56"/>
      <c r="C1764" s="56"/>
      <c r="D1764" s="56"/>
      <c r="E1764" s="57"/>
      <c r="F1764" s="58"/>
      <c r="G1764" s="59"/>
      <c r="H1764" s="56"/>
      <c r="I1764" s="56"/>
      <c r="J1764" s="60" t="str">
        <f aca="false">IF(IsPro,IF($D1764="","",IFERROR(INDEX(Items!$D$5:$D$504,U1764),"")),"")</f>
        <v/>
      </c>
      <c r="K1764" s="61" t="str">
        <f aca="false">IF(IsPro,IF($D1764="","",IF($F1764="",IFERROR(INDEX(Items!$H$5:$H$504,U1764),0),$F1764)),"")</f>
        <v/>
      </c>
      <c r="L1764" s="61" t="str">
        <f aca="false">IF(IsPro,IF($D1764="","",ROUND(N($E1764)*K1764*(1-N($G1764)),2)),"")</f>
        <v/>
      </c>
      <c r="M1764" s="62" t="str">
        <f aca="false">IF(IsPro,IF($D1764="","",IFERROR(INDEX(Items!$F$5:$F$504,U1764),0)),"")</f>
        <v/>
      </c>
      <c r="N1764" s="61" t="str">
        <f aca="false">IF(IsPro,IF($D1764="","",IF(AND(V1764&lt;&gt;"",INDEX(Parties!$E$5:$E$304,V1764)&lt;&gt;"",INDEX(Parties!$E$5:$E$304,V1764)&lt;&gt;HomeState),0,ROUND(L1764*M1764/2,2))),"")</f>
        <v/>
      </c>
      <c r="O1764" s="61" t="str">
        <f aca="false">IF(IsPro,IF($D1764="","",N1764),"")</f>
        <v/>
      </c>
      <c r="P1764" s="61" t="str">
        <f aca="false">IF(IsPro,IF($D1764="","",IF(AND(V1764&lt;&gt;"",INDEX(Parties!$E$5:$E$304,V1764)&lt;&gt;"",INDEX(Parties!$E$5:$E$304,V1764)&lt;&gt;HomeState),ROUND(L1764*M1764,2),0)),"")</f>
        <v/>
      </c>
      <c r="Q1764" s="61" t="str">
        <f aca="false">IF(IsPro,IF($D1764="","",L1764+N1764+O1764+P1764),"")</f>
        <v/>
      </c>
      <c r="R1764" s="61" t="str">
        <f aca="false">IF(IsPro,IF($D1764="","",ROUND(N($E1764)*IFERROR(INDEX(Items!$P$5:$P$504,U1764),0),2)),"")</f>
        <v/>
      </c>
      <c r="S1764" s="61" t="str">
        <f aca="false">IF(IsPro,IF($D1764="","",L1764-R1764),"")</f>
        <v/>
      </c>
      <c r="T1764" s="60" t="str">
        <f aca="false">IF(IsPro,IF($D1764="","",IF(U1764="","UNKNOWN ITEM",IF(INDEX(Items!$O$5:$O$504,U1764)&lt;0,"NEG STOCK",IF(K1764&lt;INDEX(Items!$P$5:$P$504,U1764),"BELOW COST","OK")))),IF($D1764="","","PRO PLAN"))</f>
        <v/>
      </c>
      <c r="U1764" s="60" t="str">
        <f aca="false">IF(IsPro,IF($D1764="","",IFERROR(MATCH($D1764,Items!$A$5:$A$504,0),"")),"")</f>
        <v/>
      </c>
      <c r="V1764" s="60" t="str">
        <f aca="false">IF(IsPro,IF($C1764="","",IFERROR(MATCH($C1764,Parties!$A$5:$A$304,0),"")),"")</f>
        <v/>
      </c>
      <c r="W1764" s="60" t="str">
        <f aca="false">IF(IsPro,IF($B1764="","",IFERROR(VALUE(SUBSTITUTE($B1764,InvPrefix,"")),0)),"")</f>
        <v/>
      </c>
      <c r="X1764" s="61" t="str">
        <f aca="false">IF(IsPro,IF($D1764="","",IF(OR($H1764="",$H1764="Credit"),0,Q1764)),"")</f>
        <v/>
      </c>
    </row>
    <row r="1765" customFormat="false" ht="15" hidden="false" customHeight="false" outlineLevel="0" collapsed="false">
      <c r="A1765" s="55"/>
      <c r="B1765" s="56"/>
      <c r="C1765" s="56"/>
      <c r="D1765" s="56"/>
      <c r="E1765" s="57"/>
      <c r="F1765" s="58"/>
      <c r="G1765" s="59"/>
      <c r="H1765" s="56"/>
      <c r="I1765" s="56"/>
      <c r="J1765" s="60" t="str">
        <f aca="false">IF(IsPro,IF($D1765="","",IFERROR(INDEX(Items!$D$5:$D$504,U1765),"")),"")</f>
        <v/>
      </c>
      <c r="K1765" s="61" t="str">
        <f aca="false">IF(IsPro,IF($D1765="","",IF($F1765="",IFERROR(INDEX(Items!$H$5:$H$504,U1765),0),$F1765)),"")</f>
        <v/>
      </c>
      <c r="L1765" s="61" t="str">
        <f aca="false">IF(IsPro,IF($D1765="","",ROUND(N($E1765)*K1765*(1-N($G1765)),2)),"")</f>
        <v/>
      </c>
      <c r="M1765" s="62" t="str">
        <f aca="false">IF(IsPro,IF($D1765="","",IFERROR(INDEX(Items!$F$5:$F$504,U1765),0)),"")</f>
        <v/>
      </c>
      <c r="N1765" s="61" t="str">
        <f aca="false">IF(IsPro,IF($D1765="","",IF(AND(V1765&lt;&gt;"",INDEX(Parties!$E$5:$E$304,V1765)&lt;&gt;"",INDEX(Parties!$E$5:$E$304,V1765)&lt;&gt;HomeState),0,ROUND(L1765*M1765/2,2))),"")</f>
        <v/>
      </c>
      <c r="O1765" s="61" t="str">
        <f aca="false">IF(IsPro,IF($D1765="","",N1765),"")</f>
        <v/>
      </c>
      <c r="P1765" s="61" t="str">
        <f aca="false">IF(IsPro,IF($D1765="","",IF(AND(V1765&lt;&gt;"",INDEX(Parties!$E$5:$E$304,V1765)&lt;&gt;"",INDEX(Parties!$E$5:$E$304,V1765)&lt;&gt;HomeState),ROUND(L1765*M1765,2),0)),"")</f>
        <v/>
      </c>
      <c r="Q1765" s="61" t="str">
        <f aca="false">IF(IsPro,IF($D1765="","",L1765+N1765+O1765+P1765),"")</f>
        <v/>
      </c>
      <c r="R1765" s="61" t="str">
        <f aca="false">IF(IsPro,IF($D1765="","",ROUND(N($E1765)*IFERROR(INDEX(Items!$P$5:$P$504,U1765),0),2)),"")</f>
        <v/>
      </c>
      <c r="S1765" s="61" t="str">
        <f aca="false">IF(IsPro,IF($D1765="","",L1765-R1765),"")</f>
        <v/>
      </c>
      <c r="T1765" s="60" t="str">
        <f aca="false">IF(IsPro,IF($D1765="","",IF(U1765="","UNKNOWN ITEM",IF(INDEX(Items!$O$5:$O$504,U1765)&lt;0,"NEG STOCK",IF(K1765&lt;INDEX(Items!$P$5:$P$504,U1765),"BELOW COST","OK")))),IF($D1765="","","PRO PLAN"))</f>
        <v/>
      </c>
      <c r="U1765" s="60" t="str">
        <f aca="false">IF(IsPro,IF($D1765="","",IFERROR(MATCH($D1765,Items!$A$5:$A$504,0),"")),"")</f>
        <v/>
      </c>
      <c r="V1765" s="60" t="str">
        <f aca="false">IF(IsPro,IF($C1765="","",IFERROR(MATCH($C1765,Parties!$A$5:$A$304,0),"")),"")</f>
        <v/>
      </c>
      <c r="W1765" s="60" t="str">
        <f aca="false">IF(IsPro,IF($B1765="","",IFERROR(VALUE(SUBSTITUTE($B1765,InvPrefix,"")),0)),"")</f>
        <v/>
      </c>
      <c r="X1765" s="61" t="str">
        <f aca="false">IF(IsPro,IF($D1765="","",IF(OR($H1765="",$H1765="Credit"),0,Q1765)),"")</f>
        <v/>
      </c>
    </row>
    <row r="1766" customFormat="false" ht="15" hidden="false" customHeight="false" outlineLevel="0" collapsed="false">
      <c r="A1766" s="55"/>
      <c r="B1766" s="56"/>
      <c r="C1766" s="56"/>
      <c r="D1766" s="56"/>
      <c r="E1766" s="57"/>
      <c r="F1766" s="58"/>
      <c r="G1766" s="59"/>
      <c r="H1766" s="56"/>
      <c r="I1766" s="56"/>
      <c r="J1766" s="60" t="str">
        <f aca="false">IF(IsPro,IF($D1766="","",IFERROR(INDEX(Items!$D$5:$D$504,U1766),"")),"")</f>
        <v/>
      </c>
      <c r="K1766" s="61" t="str">
        <f aca="false">IF(IsPro,IF($D1766="","",IF($F1766="",IFERROR(INDEX(Items!$H$5:$H$504,U1766),0),$F1766)),"")</f>
        <v/>
      </c>
      <c r="L1766" s="61" t="str">
        <f aca="false">IF(IsPro,IF($D1766="","",ROUND(N($E1766)*K1766*(1-N($G1766)),2)),"")</f>
        <v/>
      </c>
      <c r="M1766" s="62" t="str">
        <f aca="false">IF(IsPro,IF($D1766="","",IFERROR(INDEX(Items!$F$5:$F$504,U1766),0)),"")</f>
        <v/>
      </c>
      <c r="N1766" s="61" t="str">
        <f aca="false">IF(IsPro,IF($D1766="","",IF(AND(V1766&lt;&gt;"",INDEX(Parties!$E$5:$E$304,V1766)&lt;&gt;"",INDEX(Parties!$E$5:$E$304,V1766)&lt;&gt;HomeState),0,ROUND(L1766*M1766/2,2))),"")</f>
        <v/>
      </c>
      <c r="O1766" s="61" t="str">
        <f aca="false">IF(IsPro,IF($D1766="","",N1766),"")</f>
        <v/>
      </c>
      <c r="P1766" s="61" t="str">
        <f aca="false">IF(IsPro,IF($D1766="","",IF(AND(V1766&lt;&gt;"",INDEX(Parties!$E$5:$E$304,V1766)&lt;&gt;"",INDEX(Parties!$E$5:$E$304,V1766)&lt;&gt;HomeState),ROUND(L1766*M1766,2),0)),"")</f>
        <v/>
      </c>
      <c r="Q1766" s="61" t="str">
        <f aca="false">IF(IsPro,IF($D1766="","",L1766+N1766+O1766+P1766),"")</f>
        <v/>
      </c>
      <c r="R1766" s="61" t="str">
        <f aca="false">IF(IsPro,IF($D1766="","",ROUND(N($E1766)*IFERROR(INDEX(Items!$P$5:$P$504,U1766),0),2)),"")</f>
        <v/>
      </c>
      <c r="S1766" s="61" t="str">
        <f aca="false">IF(IsPro,IF($D1766="","",L1766-R1766),"")</f>
        <v/>
      </c>
      <c r="T1766" s="60" t="str">
        <f aca="false">IF(IsPro,IF($D1766="","",IF(U1766="","UNKNOWN ITEM",IF(INDEX(Items!$O$5:$O$504,U1766)&lt;0,"NEG STOCK",IF(K1766&lt;INDEX(Items!$P$5:$P$504,U1766),"BELOW COST","OK")))),IF($D1766="","","PRO PLAN"))</f>
        <v/>
      </c>
      <c r="U1766" s="60" t="str">
        <f aca="false">IF(IsPro,IF($D1766="","",IFERROR(MATCH($D1766,Items!$A$5:$A$504,0),"")),"")</f>
        <v/>
      </c>
      <c r="V1766" s="60" t="str">
        <f aca="false">IF(IsPro,IF($C1766="","",IFERROR(MATCH($C1766,Parties!$A$5:$A$304,0),"")),"")</f>
        <v/>
      </c>
      <c r="W1766" s="60" t="str">
        <f aca="false">IF(IsPro,IF($B1766="","",IFERROR(VALUE(SUBSTITUTE($B1766,InvPrefix,"")),0)),"")</f>
        <v/>
      </c>
      <c r="X1766" s="61" t="str">
        <f aca="false">IF(IsPro,IF($D1766="","",IF(OR($H1766="",$H1766="Credit"),0,Q1766)),"")</f>
        <v/>
      </c>
    </row>
    <row r="1767" customFormat="false" ht="15" hidden="false" customHeight="false" outlineLevel="0" collapsed="false">
      <c r="A1767" s="55"/>
      <c r="B1767" s="56"/>
      <c r="C1767" s="56"/>
      <c r="D1767" s="56"/>
      <c r="E1767" s="57"/>
      <c r="F1767" s="58"/>
      <c r="G1767" s="59"/>
      <c r="H1767" s="56"/>
      <c r="I1767" s="56"/>
      <c r="J1767" s="60" t="str">
        <f aca="false">IF(IsPro,IF($D1767="","",IFERROR(INDEX(Items!$D$5:$D$504,U1767),"")),"")</f>
        <v/>
      </c>
      <c r="K1767" s="61" t="str">
        <f aca="false">IF(IsPro,IF($D1767="","",IF($F1767="",IFERROR(INDEX(Items!$H$5:$H$504,U1767),0),$F1767)),"")</f>
        <v/>
      </c>
      <c r="L1767" s="61" t="str">
        <f aca="false">IF(IsPro,IF($D1767="","",ROUND(N($E1767)*K1767*(1-N($G1767)),2)),"")</f>
        <v/>
      </c>
      <c r="M1767" s="62" t="str">
        <f aca="false">IF(IsPro,IF($D1767="","",IFERROR(INDEX(Items!$F$5:$F$504,U1767),0)),"")</f>
        <v/>
      </c>
      <c r="N1767" s="61" t="str">
        <f aca="false">IF(IsPro,IF($D1767="","",IF(AND(V1767&lt;&gt;"",INDEX(Parties!$E$5:$E$304,V1767)&lt;&gt;"",INDEX(Parties!$E$5:$E$304,V1767)&lt;&gt;HomeState),0,ROUND(L1767*M1767/2,2))),"")</f>
        <v/>
      </c>
      <c r="O1767" s="61" t="str">
        <f aca="false">IF(IsPro,IF($D1767="","",N1767),"")</f>
        <v/>
      </c>
      <c r="P1767" s="61" t="str">
        <f aca="false">IF(IsPro,IF($D1767="","",IF(AND(V1767&lt;&gt;"",INDEX(Parties!$E$5:$E$304,V1767)&lt;&gt;"",INDEX(Parties!$E$5:$E$304,V1767)&lt;&gt;HomeState),ROUND(L1767*M1767,2),0)),"")</f>
        <v/>
      </c>
      <c r="Q1767" s="61" t="str">
        <f aca="false">IF(IsPro,IF($D1767="","",L1767+N1767+O1767+P1767),"")</f>
        <v/>
      </c>
      <c r="R1767" s="61" t="str">
        <f aca="false">IF(IsPro,IF($D1767="","",ROUND(N($E1767)*IFERROR(INDEX(Items!$P$5:$P$504,U1767),0),2)),"")</f>
        <v/>
      </c>
      <c r="S1767" s="61" t="str">
        <f aca="false">IF(IsPro,IF($D1767="","",L1767-R1767),"")</f>
        <v/>
      </c>
      <c r="T1767" s="60" t="str">
        <f aca="false">IF(IsPro,IF($D1767="","",IF(U1767="","UNKNOWN ITEM",IF(INDEX(Items!$O$5:$O$504,U1767)&lt;0,"NEG STOCK",IF(K1767&lt;INDEX(Items!$P$5:$P$504,U1767),"BELOW COST","OK")))),IF($D1767="","","PRO PLAN"))</f>
        <v/>
      </c>
      <c r="U1767" s="60" t="str">
        <f aca="false">IF(IsPro,IF($D1767="","",IFERROR(MATCH($D1767,Items!$A$5:$A$504,0),"")),"")</f>
        <v/>
      </c>
      <c r="V1767" s="60" t="str">
        <f aca="false">IF(IsPro,IF($C1767="","",IFERROR(MATCH($C1767,Parties!$A$5:$A$304,0),"")),"")</f>
        <v/>
      </c>
      <c r="W1767" s="60" t="str">
        <f aca="false">IF(IsPro,IF($B1767="","",IFERROR(VALUE(SUBSTITUTE($B1767,InvPrefix,"")),0)),"")</f>
        <v/>
      </c>
      <c r="X1767" s="61" t="str">
        <f aca="false">IF(IsPro,IF($D1767="","",IF(OR($H1767="",$H1767="Credit"),0,Q1767)),"")</f>
        <v/>
      </c>
    </row>
    <row r="1768" customFormat="false" ht="15" hidden="false" customHeight="false" outlineLevel="0" collapsed="false">
      <c r="A1768" s="55"/>
      <c r="B1768" s="56"/>
      <c r="C1768" s="56"/>
      <c r="D1768" s="56"/>
      <c r="E1768" s="57"/>
      <c r="F1768" s="58"/>
      <c r="G1768" s="59"/>
      <c r="H1768" s="56"/>
      <c r="I1768" s="56"/>
      <c r="J1768" s="60" t="str">
        <f aca="false">IF(IsPro,IF($D1768="","",IFERROR(INDEX(Items!$D$5:$D$504,U1768),"")),"")</f>
        <v/>
      </c>
      <c r="K1768" s="61" t="str">
        <f aca="false">IF(IsPro,IF($D1768="","",IF($F1768="",IFERROR(INDEX(Items!$H$5:$H$504,U1768),0),$F1768)),"")</f>
        <v/>
      </c>
      <c r="L1768" s="61" t="str">
        <f aca="false">IF(IsPro,IF($D1768="","",ROUND(N($E1768)*K1768*(1-N($G1768)),2)),"")</f>
        <v/>
      </c>
      <c r="M1768" s="62" t="str">
        <f aca="false">IF(IsPro,IF($D1768="","",IFERROR(INDEX(Items!$F$5:$F$504,U1768),0)),"")</f>
        <v/>
      </c>
      <c r="N1768" s="61" t="str">
        <f aca="false">IF(IsPro,IF($D1768="","",IF(AND(V1768&lt;&gt;"",INDEX(Parties!$E$5:$E$304,V1768)&lt;&gt;"",INDEX(Parties!$E$5:$E$304,V1768)&lt;&gt;HomeState),0,ROUND(L1768*M1768/2,2))),"")</f>
        <v/>
      </c>
      <c r="O1768" s="61" t="str">
        <f aca="false">IF(IsPro,IF($D1768="","",N1768),"")</f>
        <v/>
      </c>
      <c r="P1768" s="61" t="str">
        <f aca="false">IF(IsPro,IF($D1768="","",IF(AND(V1768&lt;&gt;"",INDEX(Parties!$E$5:$E$304,V1768)&lt;&gt;"",INDEX(Parties!$E$5:$E$304,V1768)&lt;&gt;HomeState),ROUND(L1768*M1768,2),0)),"")</f>
        <v/>
      </c>
      <c r="Q1768" s="61" t="str">
        <f aca="false">IF(IsPro,IF($D1768="","",L1768+N1768+O1768+P1768),"")</f>
        <v/>
      </c>
      <c r="R1768" s="61" t="str">
        <f aca="false">IF(IsPro,IF($D1768="","",ROUND(N($E1768)*IFERROR(INDEX(Items!$P$5:$P$504,U1768),0),2)),"")</f>
        <v/>
      </c>
      <c r="S1768" s="61" t="str">
        <f aca="false">IF(IsPro,IF($D1768="","",L1768-R1768),"")</f>
        <v/>
      </c>
      <c r="T1768" s="60" t="str">
        <f aca="false">IF(IsPro,IF($D1768="","",IF(U1768="","UNKNOWN ITEM",IF(INDEX(Items!$O$5:$O$504,U1768)&lt;0,"NEG STOCK",IF(K1768&lt;INDEX(Items!$P$5:$P$504,U1768),"BELOW COST","OK")))),IF($D1768="","","PRO PLAN"))</f>
        <v/>
      </c>
      <c r="U1768" s="60" t="str">
        <f aca="false">IF(IsPro,IF($D1768="","",IFERROR(MATCH($D1768,Items!$A$5:$A$504,0),"")),"")</f>
        <v/>
      </c>
      <c r="V1768" s="60" t="str">
        <f aca="false">IF(IsPro,IF($C1768="","",IFERROR(MATCH($C1768,Parties!$A$5:$A$304,0),"")),"")</f>
        <v/>
      </c>
      <c r="W1768" s="60" t="str">
        <f aca="false">IF(IsPro,IF($B1768="","",IFERROR(VALUE(SUBSTITUTE($B1768,InvPrefix,"")),0)),"")</f>
        <v/>
      </c>
      <c r="X1768" s="61" t="str">
        <f aca="false">IF(IsPro,IF($D1768="","",IF(OR($H1768="",$H1768="Credit"),0,Q1768)),"")</f>
        <v/>
      </c>
    </row>
    <row r="1769" customFormat="false" ht="15" hidden="false" customHeight="false" outlineLevel="0" collapsed="false">
      <c r="A1769" s="55"/>
      <c r="B1769" s="56"/>
      <c r="C1769" s="56"/>
      <c r="D1769" s="56"/>
      <c r="E1769" s="57"/>
      <c r="F1769" s="58"/>
      <c r="G1769" s="59"/>
      <c r="H1769" s="56"/>
      <c r="I1769" s="56"/>
      <c r="J1769" s="60" t="str">
        <f aca="false">IF(IsPro,IF($D1769="","",IFERROR(INDEX(Items!$D$5:$D$504,U1769),"")),"")</f>
        <v/>
      </c>
      <c r="K1769" s="61" t="str">
        <f aca="false">IF(IsPro,IF($D1769="","",IF($F1769="",IFERROR(INDEX(Items!$H$5:$H$504,U1769),0),$F1769)),"")</f>
        <v/>
      </c>
      <c r="L1769" s="61" t="str">
        <f aca="false">IF(IsPro,IF($D1769="","",ROUND(N($E1769)*K1769*(1-N($G1769)),2)),"")</f>
        <v/>
      </c>
      <c r="M1769" s="62" t="str">
        <f aca="false">IF(IsPro,IF($D1769="","",IFERROR(INDEX(Items!$F$5:$F$504,U1769),0)),"")</f>
        <v/>
      </c>
      <c r="N1769" s="61" t="str">
        <f aca="false">IF(IsPro,IF($D1769="","",IF(AND(V1769&lt;&gt;"",INDEX(Parties!$E$5:$E$304,V1769)&lt;&gt;"",INDEX(Parties!$E$5:$E$304,V1769)&lt;&gt;HomeState),0,ROUND(L1769*M1769/2,2))),"")</f>
        <v/>
      </c>
      <c r="O1769" s="61" t="str">
        <f aca="false">IF(IsPro,IF($D1769="","",N1769),"")</f>
        <v/>
      </c>
      <c r="P1769" s="61" t="str">
        <f aca="false">IF(IsPro,IF($D1769="","",IF(AND(V1769&lt;&gt;"",INDEX(Parties!$E$5:$E$304,V1769)&lt;&gt;"",INDEX(Parties!$E$5:$E$304,V1769)&lt;&gt;HomeState),ROUND(L1769*M1769,2),0)),"")</f>
        <v/>
      </c>
      <c r="Q1769" s="61" t="str">
        <f aca="false">IF(IsPro,IF($D1769="","",L1769+N1769+O1769+P1769),"")</f>
        <v/>
      </c>
      <c r="R1769" s="61" t="str">
        <f aca="false">IF(IsPro,IF($D1769="","",ROUND(N($E1769)*IFERROR(INDEX(Items!$P$5:$P$504,U1769),0),2)),"")</f>
        <v/>
      </c>
      <c r="S1769" s="61" t="str">
        <f aca="false">IF(IsPro,IF($D1769="","",L1769-R1769),"")</f>
        <v/>
      </c>
      <c r="T1769" s="60" t="str">
        <f aca="false">IF(IsPro,IF($D1769="","",IF(U1769="","UNKNOWN ITEM",IF(INDEX(Items!$O$5:$O$504,U1769)&lt;0,"NEG STOCK",IF(K1769&lt;INDEX(Items!$P$5:$P$504,U1769),"BELOW COST","OK")))),IF($D1769="","","PRO PLAN"))</f>
        <v/>
      </c>
      <c r="U1769" s="60" t="str">
        <f aca="false">IF(IsPro,IF($D1769="","",IFERROR(MATCH($D1769,Items!$A$5:$A$504,0),"")),"")</f>
        <v/>
      </c>
      <c r="V1769" s="60" t="str">
        <f aca="false">IF(IsPro,IF($C1769="","",IFERROR(MATCH($C1769,Parties!$A$5:$A$304,0),"")),"")</f>
        <v/>
      </c>
      <c r="W1769" s="60" t="str">
        <f aca="false">IF(IsPro,IF($B1769="","",IFERROR(VALUE(SUBSTITUTE($B1769,InvPrefix,"")),0)),"")</f>
        <v/>
      </c>
      <c r="X1769" s="61" t="str">
        <f aca="false">IF(IsPro,IF($D1769="","",IF(OR($H1769="",$H1769="Credit"),0,Q1769)),"")</f>
        <v/>
      </c>
    </row>
    <row r="1770" customFormat="false" ht="15" hidden="false" customHeight="false" outlineLevel="0" collapsed="false">
      <c r="A1770" s="55"/>
      <c r="B1770" s="56"/>
      <c r="C1770" s="56"/>
      <c r="D1770" s="56"/>
      <c r="E1770" s="57"/>
      <c r="F1770" s="58"/>
      <c r="G1770" s="59"/>
      <c r="H1770" s="56"/>
      <c r="I1770" s="56"/>
      <c r="J1770" s="60" t="str">
        <f aca="false">IF(IsPro,IF($D1770="","",IFERROR(INDEX(Items!$D$5:$D$504,U1770),"")),"")</f>
        <v/>
      </c>
      <c r="K1770" s="61" t="str">
        <f aca="false">IF(IsPro,IF($D1770="","",IF($F1770="",IFERROR(INDEX(Items!$H$5:$H$504,U1770),0),$F1770)),"")</f>
        <v/>
      </c>
      <c r="L1770" s="61" t="str">
        <f aca="false">IF(IsPro,IF($D1770="","",ROUND(N($E1770)*K1770*(1-N($G1770)),2)),"")</f>
        <v/>
      </c>
      <c r="M1770" s="62" t="str">
        <f aca="false">IF(IsPro,IF($D1770="","",IFERROR(INDEX(Items!$F$5:$F$504,U1770),0)),"")</f>
        <v/>
      </c>
      <c r="N1770" s="61" t="str">
        <f aca="false">IF(IsPro,IF($D1770="","",IF(AND(V1770&lt;&gt;"",INDEX(Parties!$E$5:$E$304,V1770)&lt;&gt;"",INDEX(Parties!$E$5:$E$304,V1770)&lt;&gt;HomeState),0,ROUND(L1770*M1770/2,2))),"")</f>
        <v/>
      </c>
      <c r="O1770" s="61" t="str">
        <f aca="false">IF(IsPro,IF($D1770="","",N1770),"")</f>
        <v/>
      </c>
      <c r="P1770" s="61" t="str">
        <f aca="false">IF(IsPro,IF($D1770="","",IF(AND(V1770&lt;&gt;"",INDEX(Parties!$E$5:$E$304,V1770)&lt;&gt;"",INDEX(Parties!$E$5:$E$304,V1770)&lt;&gt;HomeState),ROUND(L1770*M1770,2),0)),"")</f>
        <v/>
      </c>
      <c r="Q1770" s="61" t="str">
        <f aca="false">IF(IsPro,IF($D1770="","",L1770+N1770+O1770+P1770),"")</f>
        <v/>
      </c>
      <c r="R1770" s="61" t="str">
        <f aca="false">IF(IsPro,IF($D1770="","",ROUND(N($E1770)*IFERROR(INDEX(Items!$P$5:$P$504,U1770),0),2)),"")</f>
        <v/>
      </c>
      <c r="S1770" s="61" t="str">
        <f aca="false">IF(IsPro,IF($D1770="","",L1770-R1770),"")</f>
        <v/>
      </c>
      <c r="T1770" s="60" t="str">
        <f aca="false">IF(IsPro,IF($D1770="","",IF(U1770="","UNKNOWN ITEM",IF(INDEX(Items!$O$5:$O$504,U1770)&lt;0,"NEG STOCK",IF(K1770&lt;INDEX(Items!$P$5:$P$504,U1770),"BELOW COST","OK")))),IF($D1770="","","PRO PLAN"))</f>
        <v/>
      </c>
      <c r="U1770" s="60" t="str">
        <f aca="false">IF(IsPro,IF($D1770="","",IFERROR(MATCH($D1770,Items!$A$5:$A$504,0),"")),"")</f>
        <v/>
      </c>
      <c r="V1770" s="60" t="str">
        <f aca="false">IF(IsPro,IF($C1770="","",IFERROR(MATCH($C1770,Parties!$A$5:$A$304,0),"")),"")</f>
        <v/>
      </c>
      <c r="W1770" s="60" t="str">
        <f aca="false">IF(IsPro,IF($B1770="","",IFERROR(VALUE(SUBSTITUTE($B1770,InvPrefix,"")),0)),"")</f>
        <v/>
      </c>
      <c r="X1770" s="61" t="str">
        <f aca="false">IF(IsPro,IF($D1770="","",IF(OR($H1770="",$H1770="Credit"),0,Q1770)),"")</f>
        <v/>
      </c>
    </row>
    <row r="1771" customFormat="false" ht="15" hidden="false" customHeight="false" outlineLevel="0" collapsed="false">
      <c r="A1771" s="55"/>
      <c r="B1771" s="56"/>
      <c r="C1771" s="56"/>
      <c r="D1771" s="56"/>
      <c r="E1771" s="57"/>
      <c r="F1771" s="58"/>
      <c r="G1771" s="59"/>
      <c r="H1771" s="56"/>
      <c r="I1771" s="56"/>
      <c r="J1771" s="60" t="str">
        <f aca="false">IF(IsPro,IF($D1771="","",IFERROR(INDEX(Items!$D$5:$D$504,U1771),"")),"")</f>
        <v/>
      </c>
      <c r="K1771" s="61" t="str">
        <f aca="false">IF(IsPro,IF($D1771="","",IF($F1771="",IFERROR(INDEX(Items!$H$5:$H$504,U1771),0),$F1771)),"")</f>
        <v/>
      </c>
      <c r="L1771" s="61" t="str">
        <f aca="false">IF(IsPro,IF($D1771="","",ROUND(N($E1771)*K1771*(1-N($G1771)),2)),"")</f>
        <v/>
      </c>
      <c r="M1771" s="62" t="str">
        <f aca="false">IF(IsPro,IF($D1771="","",IFERROR(INDEX(Items!$F$5:$F$504,U1771),0)),"")</f>
        <v/>
      </c>
      <c r="N1771" s="61" t="str">
        <f aca="false">IF(IsPro,IF($D1771="","",IF(AND(V1771&lt;&gt;"",INDEX(Parties!$E$5:$E$304,V1771)&lt;&gt;"",INDEX(Parties!$E$5:$E$304,V1771)&lt;&gt;HomeState),0,ROUND(L1771*M1771/2,2))),"")</f>
        <v/>
      </c>
      <c r="O1771" s="61" t="str">
        <f aca="false">IF(IsPro,IF($D1771="","",N1771),"")</f>
        <v/>
      </c>
      <c r="P1771" s="61" t="str">
        <f aca="false">IF(IsPro,IF($D1771="","",IF(AND(V1771&lt;&gt;"",INDEX(Parties!$E$5:$E$304,V1771)&lt;&gt;"",INDEX(Parties!$E$5:$E$304,V1771)&lt;&gt;HomeState),ROUND(L1771*M1771,2),0)),"")</f>
        <v/>
      </c>
      <c r="Q1771" s="61" t="str">
        <f aca="false">IF(IsPro,IF($D1771="","",L1771+N1771+O1771+P1771),"")</f>
        <v/>
      </c>
      <c r="R1771" s="61" t="str">
        <f aca="false">IF(IsPro,IF($D1771="","",ROUND(N($E1771)*IFERROR(INDEX(Items!$P$5:$P$504,U1771),0),2)),"")</f>
        <v/>
      </c>
      <c r="S1771" s="61" t="str">
        <f aca="false">IF(IsPro,IF($D1771="","",L1771-R1771),"")</f>
        <v/>
      </c>
      <c r="T1771" s="60" t="str">
        <f aca="false">IF(IsPro,IF($D1771="","",IF(U1771="","UNKNOWN ITEM",IF(INDEX(Items!$O$5:$O$504,U1771)&lt;0,"NEG STOCK",IF(K1771&lt;INDEX(Items!$P$5:$P$504,U1771),"BELOW COST","OK")))),IF($D1771="","","PRO PLAN"))</f>
        <v/>
      </c>
      <c r="U1771" s="60" t="str">
        <f aca="false">IF(IsPro,IF($D1771="","",IFERROR(MATCH($D1771,Items!$A$5:$A$504,0),"")),"")</f>
        <v/>
      </c>
      <c r="V1771" s="60" t="str">
        <f aca="false">IF(IsPro,IF($C1771="","",IFERROR(MATCH($C1771,Parties!$A$5:$A$304,0),"")),"")</f>
        <v/>
      </c>
      <c r="W1771" s="60" t="str">
        <f aca="false">IF(IsPro,IF($B1771="","",IFERROR(VALUE(SUBSTITUTE($B1771,InvPrefix,"")),0)),"")</f>
        <v/>
      </c>
      <c r="X1771" s="61" t="str">
        <f aca="false">IF(IsPro,IF($D1771="","",IF(OR($H1771="",$H1771="Credit"),0,Q1771)),"")</f>
        <v/>
      </c>
    </row>
    <row r="1772" customFormat="false" ht="15" hidden="false" customHeight="false" outlineLevel="0" collapsed="false">
      <c r="A1772" s="55"/>
      <c r="B1772" s="56"/>
      <c r="C1772" s="56"/>
      <c r="D1772" s="56"/>
      <c r="E1772" s="57"/>
      <c r="F1772" s="58"/>
      <c r="G1772" s="59"/>
      <c r="H1772" s="56"/>
      <c r="I1772" s="56"/>
      <c r="J1772" s="60" t="str">
        <f aca="false">IF(IsPro,IF($D1772="","",IFERROR(INDEX(Items!$D$5:$D$504,U1772),"")),"")</f>
        <v/>
      </c>
      <c r="K1772" s="61" t="str">
        <f aca="false">IF(IsPro,IF($D1772="","",IF($F1772="",IFERROR(INDEX(Items!$H$5:$H$504,U1772),0),$F1772)),"")</f>
        <v/>
      </c>
      <c r="L1772" s="61" t="str">
        <f aca="false">IF(IsPro,IF($D1772="","",ROUND(N($E1772)*K1772*(1-N($G1772)),2)),"")</f>
        <v/>
      </c>
      <c r="M1772" s="62" t="str">
        <f aca="false">IF(IsPro,IF($D1772="","",IFERROR(INDEX(Items!$F$5:$F$504,U1772),0)),"")</f>
        <v/>
      </c>
      <c r="N1772" s="61" t="str">
        <f aca="false">IF(IsPro,IF($D1772="","",IF(AND(V1772&lt;&gt;"",INDEX(Parties!$E$5:$E$304,V1772)&lt;&gt;"",INDEX(Parties!$E$5:$E$304,V1772)&lt;&gt;HomeState),0,ROUND(L1772*M1772/2,2))),"")</f>
        <v/>
      </c>
      <c r="O1772" s="61" t="str">
        <f aca="false">IF(IsPro,IF($D1772="","",N1772),"")</f>
        <v/>
      </c>
      <c r="P1772" s="61" t="str">
        <f aca="false">IF(IsPro,IF($D1772="","",IF(AND(V1772&lt;&gt;"",INDEX(Parties!$E$5:$E$304,V1772)&lt;&gt;"",INDEX(Parties!$E$5:$E$304,V1772)&lt;&gt;HomeState),ROUND(L1772*M1772,2),0)),"")</f>
        <v/>
      </c>
      <c r="Q1772" s="61" t="str">
        <f aca="false">IF(IsPro,IF($D1772="","",L1772+N1772+O1772+P1772),"")</f>
        <v/>
      </c>
      <c r="R1772" s="61" t="str">
        <f aca="false">IF(IsPro,IF($D1772="","",ROUND(N($E1772)*IFERROR(INDEX(Items!$P$5:$P$504,U1772),0),2)),"")</f>
        <v/>
      </c>
      <c r="S1772" s="61" t="str">
        <f aca="false">IF(IsPro,IF($D1772="","",L1772-R1772),"")</f>
        <v/>
      </c>
      <c r="T1772" s="60" t="str">
        <f aca="false">IF(IsPro,IF($D1772="","",IF(U1772="","UNKNOWN ITEM",IF(INDEX(Items!$O$5:$O$504,U1772)&lt;0,"NEG STOCK",IF(K1772&lt;INDEX(Items!$P$5:$P$504,U1772),"BELOW COST","OK")))),IF($D1772="","","PRO PLAN"))</f>
        <v/>
      </c>
      <c r="U1772" s="60" t="str">
        <f aca="false">IF(IsPro,IF($D1772="","",IFERROR(MATCH($D1772,Items!$A$5:$A$504,0),"")),"")</f>
        <v/>
      </c>
      <c r="V1772" s="60" t="str">
        <f aca="false">IF(IsPro,IF($C1772="","",IFERROR(MATCH($C1772,Parties!$A$5:$A$304,0),"")),"")</f>
        <v/>
      </c>
      <c r="W1772" s="60" t="str">
        <f aca="false">IF(IsPro,IF($B1772="","",IFERROR(VALUE(SUBSTITUTE($B1772,InvPrefix,"")),0)),"")</f>
        <v/>
      </c>
      <c r="X1772" s="61" t="str">
        <f aca="false">IF(IsPro,IF($D1772="","",IF(OR($H1772="",$H1772="Credit"),0,Q1772)),"")</f>
        <v/>
      </c>
    </row>
    <row r="1773" customFormat="false" ht="15" hidden="false" customHeight="false" outlineLevel="0" collapsed="false">
      <c r="A1773" s="55"/>
      <c r="B1773" s="56"/>
      <c r="C1773" s="56"/>
      <c r="D1773" s="56"/>
      <c r="E1773" s="57"/>
      <c r="F1773" s="58"/>
      <c r="G1773" s="59"/>
      <c r="H1773" s="56"/>
      <c r="I1773" s="56"/>
      <c r="J1773" s="60" t="str">
        <f aca="false">IF(IsPro,IF($D1773="","",IFERROR(INDEX(Items!$D$5:$D$504,U1773),"")),"")</f>
        <v/>
      </c>
      <c r="K1773" s="61" t="str">
        <f aca="false">IF(IsPro,IF($D1773="","",IF($F1773="",IFERROR(INDEX(Items!$H$5:$H$504,U1773),0),$F1773)),"")</f>
        <v/>
      </c>
      <c r="L1773" s="61" t="str">
        <f aca="false">IF(IsPro,IF($D1773="","",ROUND(N($E1773)*K1773*(1-N($G1773)),2)),"")</f>
        <v/>
      </c>
      <c r="M1773" s="62" t="str">
        <f aca="false">IF(IsPro,IF($D1773="","",IFERROR(INDEX(Items!$F$5:$F$504,U1773),0)),"")</f>
        <v/>
      </c>
      <c r="N1773" s="61" t="str">
        <f aca="false">IF(IsPro,IF($D1773="","",IF(AND(V1773&lt;&gt;"",INDEX(Parties!$E$5:$E$304,V1773)&lt;&gt;"",INDEX(Parties!$E$5:$E$304,V1773)&lt;&gt;HomeState),0,ROUND(L1773*M1773/2,2))),"")</f>
        <v/>
      </c>
      <c r="O1773" s="61" t="str">
        <f aca="false">IF(IsPro,IF($D1773="","",N1773),"")</f>
        <v/>
      </c>
      <c r="P1773" s="61" t="str">
        <f aca="false">IF(IsPro,IF($D1773="","",IF(AND(V1773&lt;&gt;"",INDEX(Parties!$E$5:$E$304,V1773)&lt;&gt;"",INDEX(Parties!$E$5:$E$304,V1773)&lt;&gt;HomeState),ROUND(L1773*M1773,2),0)),"")</f>
        <v/>
      </c>
      <c r="Q1773" s="61" t="str">
        <f aca="false">IF(IsPro,IF($D1773="","",L1773+N1773+O1773+P1773),"")</f>
        <v/>
      </c>
      <c r="R1773" s="61" t="str">
        <f aca="false">IF(IsPro,IF($D1773="","",ROUND(N($E1773)*IFERROR(INDEX(Items!$P$5:$P$504,U1773),0),2)),"")</f>
        <v/>
      </c>
      <c r="S1773" s="61" t="str">
        <f aca="false">IF(IsPro,IF($D1773="","",L1773-R1773),"")</f>
        <v/>
      </c>
      <c r="T1773" s="60" t="str">
        <f aca="false">IF(IsPro,IF($D1773="","",IF(U1773="","UNKNOWN ITEM",IF(INDEX(Items!$O$5:$O$504,U1773)&lt;0,"NEG STOCK",IF(K1773&lt;INDEX(Items!$P$5:$P$504,U1773),"BELOW COST","OK")))),IF($D1773="","","PRO PLAN"))</f>
        <v/>
      </c>
      <c r="U1773" s="60" t="str">
        <f aca="false">IF(IsPro,IF($D1773="","",IFERROR(MATCH($D1773,Items!$A$5:$A$504,0),"")),"")</f>
        <v/>
      </c>
      <c r="V1773" s="60" t="str">
        <f aca="false">IF(IsPro,IF($C1773="","",IFERROR(MATCH($C1773,Parties!$A$5:$A$304,0),"")),"")</f>
        <v/>
      </c>
      <c r="W1773" s="60" t="str">
        <f aca="false">IF(IsPro,IF($B1773="","",IFERROR(VALUE(SUBSTITUTE($B1773,InvPrefix,"")),0)),"")</f>
        <v/>
      </c>
      <c r="X1773" s="61" t="str">
        <f aca="false">IF(IsPro,IF($D1773="","",IF(OR($H1773="",$H1773="Credit"),0,Q1773)),"")</f>
        <v/>
      </c>
    </row>
    <row r="1774" customFormat="false" ht="15" hidden="false" customHeight="false" outlineLevel="0" collapsed="false">
      <c r="A1774" s="55"/>
      <c r="B1774" s="56"/>
      <c r="C1774" s="56"/>
      <c r="D1774" s="56"/>
      <c r="E1774" s="57"/>
      <c r="F1774" s="58"/>
      <c r="G1774" s="59"/>
      <c r="H1774" s="56"/>
      <c r="I1774" s="56"/>
      <c r="J1774" s="60" t="str">
        <f aca="false">IF(IsPro,IF($D1774="","",IFERROR(INDEX(Items!$D$5:$D$504,U1774),"")),"")</f>
        <v/>
      </c>
      <c r="K1774" s="61" t="str">
        <f aca="false">IF(IsPro,IF($D1774="","",IF($F1774="",IFERROR(INDEX(Items!$H$5:$H$504,U1774),0),$F1774)),"")</f>
        <v/>
      </c>
      <c r="L1774" s="61" t="str">
        <f aca="false">IF(IsPro,IF($D1774="","",ROUND(N($E1774)*K1774*(1-N($G1774)),2)),"")</f>
        <v/>
      </c>
      <c r="M1774" s="62" t="str">
        <f aca="false">IF(IsPro,IF($D1774="","",IFERROR(INDEX(Items!$F$5:$F$504,U1774),0)),"")</f>
        <v/>
      </c>
      <c r="N1774" s="61" t="str">
        <f aca="false">IF(IsPro,IF($D1774="","",IF(AND(V1774&lt;&gt;"",INDEX(Parties!$E$5:$E$304,V1774)&lt;&gt;"",INDEX(Parties!$E$5:$E$304,V1774)&lt;&gt;HomeState),0,ROUND(L1774*M1774/2,2))),"")</f>
        <v/>
      </c>
      <c r="O1774" s="61" t="str">
        <f aca="false">IF(IsPro,IF($D1774="","",N1774),"")</f>
        <v/>
      </c>
      <c r="P1774" s="61" t="str">
        <f aca="false">IF(IsPro,IF($D1774="","",IF(AND(V1774&lt;&gt;"",INDEX(Parties!$E$5:$E$304,V1774)&lt;&gt;"",INDEX(Parties!$E$5:$E$304,V1774)&lt;&gt;HomeState),ROUND(L1774*M1774,2),0)),"")</f>
        <v/>
      </c>
      <c r="Q1774" s="61" t="str">
        <f aca="false">IF(IsPro,IF($D1774="","",L1774+N1774+O1774+P1774),"")</f>
        <v/>
      </c>
      <c r="R1774" s="61" t="str">
        <f aca="false">IF(IsPro,IF($D1774="","",ROUND(N($E1774)*IFERROR(INDEX(Items!$P$5:$P$504,U1774),0),2)),"")</f>
        <v/>
      </c>
      <c r="S1774" s="61" t="str">
        <f aca="false">IF(IsPro,IF($D1774="","",L1774-R1774),"")</f>
        <v/>
      </c>
      <c r="T1774" s="60" t="str">
        <f aca="false">IF(IsPro,IF($D1774="","",IF(U1774="","UNKNOWN ITEM",IF(INDEX(Items!$O$5:$O$504,U1774)&lt;0,"NEG STOCK",IF(K1774&lt;INDEX(Items!$P$5:$P$504,U1774),"BELOW COST","OK")))),IF($D1774="","","PRO PLAN"))</f>
        <v/>
      </c>
      <c r="U1774" s="60" t="str">
        <f aca="false">IF(IsPro,IF($D1774="","",IFERROR(MATCH($D1774,Items!$A$5:$A$504,0),"")),"")</f>
        <v/>
      </c>
      <c r="V1774" s="60" t="str">
        <f aca="false">IF(IsPro,IF($C1774="","",IFERROR(MATCH($C1774,Parties!$A$5:$A$304,0),"")),"")</f>
        <v/>
      </c>
      <c r="W1774" s="60" t="str">
        <f aca="false">IF(IsPro,IF($B1774="","",IFERROR(VALUE(SUBSTITUTE($B1774,InvPrefix,"")),0)),"")</f>
        <v/>
      </c>
      <c r="X1774" s="61" t="str">
        <f aca="false">IF(IsPro,IF($D1774="","",IF(OR($H1774="",$H1774="Credit"),0,Q1774)),"")</f>
        <v/>
      </c>
    </row>
    <row r="1775" customFormat="false" ht="15" hidden="false" customHeight="false" outlineLevel="0" collapsed="false">
      <c r="A1775" s="55"/>
      <c r="B1775" s="56"/>
      <c r="C1775" s="56"/>
      <c r="D1775" s="56"/>
      <c r="E1775" s="57"/>
      <c r="F1775" s="58"/>
      <c r="G1775" s="59"/>
      <c r="H1775" s="56"/>
      <c r="I1775" s="56"/>
      <c r="J1775" s="60" t="str">
        <f aca="false">IF(IsPro,IF($D1775="","",IFERROR(INDEX(Items!$D$5:$D$504,U1775),"")),"")</f>
        <v/>
      </c>
      <c r="K1775" s="61" t="str">
        <f aca="false">IF(IsPro,IF($D1775="","",IF($F1775="",IFERROR(INDEX(Items!$H$5:$H$504,U1775),0),$F1775)),"")</f>
        <v/>
      </c>
      <c r="L1775" s="61" t="str">
        <f aca="false">IF(IsPro,IF($D1775="","",ROUND(N($E1775)*K1775*(1-N($G1775)),2)),"")</f>
        <v/>
      </c>
      <c r="M1775" s="62" t="str">
        <f aca="false">IF(IsPro,IF($D1775="","",IFERROR(INDEX(Items!$F$5:$F$504,U1775),0)),"")</f>
        <v/>
      </c>
      <c r="N1775" s="61" t="str">
        <f aca="false">IF(IsPro,IF($D1775="","",IF(AND(V1775&lt;&gt;"",INDEX(Parties!$E$5:$E$304,V1775)&lt;&gt;"",INDEX(Parties!$E$5:$E$304,V1775)&lt;&gt;HomeState),0,ROUND(L1775*M1775/2,2))),"")</f>
        <v/>
      </c>
      <c r="O1775" s="61" t="str">
        <f aca="false">IF(IsPro,IF($D1775="","",N1775),"")</f>
        <v/>
      </c>
      <c r="P1775" s="61" t="str">
        <f aca="false">IF(IsPro,IF($D1775="","",IF(AND(V1775&lt;&gt;"",INDEX(Parties!$E$5:$E$304,V1775)&lt;&gt;"",INDEX(Parties!$E$5:$E$304,V1775)&lt;&gt;HomeState),ROUND(L1775*M1775,2),0)),"")</f>
        <v/>
      </c>
      <c r="Q1775" s="61" t="str">
        <f aca="false">IF(IsPro,IF($D1775="","",L1775+N1775+O1775+P1775),"")</f>
        <v/>
      </c>
      <c r="R1775" s="61" t="str">
        <f aca="false">IF(IsPro,IF($D1775="","",ROUND(N($E1775)*IFERROR(INDEX(Items!$P$5:$P$504,U1775),0),2)),"")</f>
        <v/>
      </c>
      <c r="S1775" s="61" t="str">
        <f aca="false">IF(IsPro,IF($D1775="","",L1775-R1775),"")</f>
        <v/>
      </c>
      <c r="T1775" s="60" t="str">
        <f aca="false">IF(IsPro,IF($D1775="","",IF(U1775="","UNKNOWN ITEM",IF(INDEX(Items!$O$5:$O$504,U1775)&lt;0,"NEG STOCK",IF(K1775&lt;INDEX(Items!$P$5:$P$504,U1775),"BELOW COST","OK")))),IF($D1775="","","PRO PLAN"))</f>
        <v/>
      </c>
      <c r="U1775" s="60" t="str">
        <f aca="false">IF(IsPro,IF($D1775="","",IFERROR(MATCH($D1775,Items!$A$5:$A$504,0),"")),"")</f>
        <v/>
      </c>
      <c r="V1775" s="60" t="str">
        <f aca="false">IF(IsPro,IF($C1775="","",IFERROR(MATCH($C1775,Parties!$A$5:$A$304,0),"")),"")</f>
        <v/>
      </c>
      <c r="W1775" s="60" t="str">
        <f aca="false">IF(IsPro,IF($B1775="","",IFERROR(VALUE(SUBSTITUTE($B1775,InvPrefix,"")),0)),"")</f>
        <v/>
      </c>
      <c r="X1775" s="61" t="str">
        <f aca="false">IF(IsPro,IF($D1775="","",IF(OR($H1775="",$H1775="Credit"),0,Q1775)),"")</f>
        <v/>
      </c>
    </row>
    <row r="1776" customFormat="false" ht="15" hidden="false" customHeight="false" outlineLevel="0" collapsed="false">
      <c r="A1776" s="55"/>
      <c r="B1776" s="56"/>
      <c r="C1776" s="56"/>
      <c r="D1776" s="56"/>
      <c r="E1776" s="57"/>
      <c r="F1776" s="58"/>
      <c r="G1776" s="59"/>
      <c r="H1776" s="56"/>
      <c r="I1776" s="56"/>
      <c r="J1776" s="60" t="str">
        <f aca="false">IF(IsPro,IF($D1776="","",IFERROR(INDEX(Items!$D$5:$D$504,U1776),"")),"")</f>
        <v/>
      </c>
      <c r="K1776" s="61" t="str">
        <f aca="false">IF(IsPro,IF($D1776="","",IF($F1776="",IFERROR(INDEX(Items!$H$5:$H$504,U1776),0),$F1776)),"")</f>
        <v/>
      </c>
      <c r="L1776" s="61" t="str">
        <f aca="false">IF(IsPro,IF($D1776="","",ROUND(N($E1776)*K1776*(1-N($G1776)),2)),"")</f>
        <v/>
      </c>
      <c r="M1776" s="62" t="str">
        <f aca="false">IF(IsPro,IF($D1776="","",IFERROR(INDEX(Items!$F$5:$F$504,U1776),0)),"")</f>
        <v/>
      </c>
      <c r="N1776" s="61" t="str">
        <f aca="false">IF(IsPro,IF($D1776="","",IF(AND(V1776&lt;&gt;"",INDEX(Parties!$E$5:$E$304,V1776)&lt;&gt;"",INDEX(Parties!$E$5:$E$304,V1776)&lt;&gt;HomeState),0,ROUND(L1776*M1776/2,2))),"")</f>
        <v/>
      </c>
      <c r="O1776" s="61" t="str">
        <f aca="false">IF(IsPro,IF($D1776="","",N1776),"")</f>
        <v/>
      </c>
      <c r="P1776" s="61" t="str">
        <f aca="false">IF(IsPro,IF($D1776="","",IF(AND(V1776&lt;&gt;"",INDEX(Parties!$E$5:$E$304,V1776)&lt;&gt;"",INDEX(Parties!$E$5:$E$304,V1776)&lt;&gt;HomeState),ROUND(L1776*M1776,2),0)),"")</f>
        <v/>
      </c>
      <c r="Q1776" s="61" t="str">
        <f aca="false">IF(IsPro,IF($D1776="","",L1776+N1776+O1776+P1776),"")</f>
        <v/>
      </c>
      <c r="R1776" s="61" t="str">
        <f aca="false">IF(IsPro,IF($D1776="","",ROUND(N($E1776)*IFERROR(INDEX(Items!$P$5:$P$504,U1776),0),2)),"")</f>
        <v/>
      </c>
      <c r="S1776" s="61" t="str">
        <f aca="false">IF(IsPro,IF($D1776="","",L1776-R1776),"")</f>
        <v/>
      </c>
      <c r="T1776" s="60" t="str">
        <f aca="false">IF(IsPro,IF($D1776="","",IF(U1776="","UNKNOWN ITEM",IF(INDEX(Items!$O$5:$O$504,U1776)&lt;0,"NEG STOCK",IF(K1776&lt;INDEX(Items!$P$5:$P$504,U1776),"BELOW COST","OK")))),IF($D1776="","","PRO PLAN"))</f>
        <v/>
      </c>
      <c r="U1776" s="60" t="str">
        <f aca="false">IF(IsPro,IF($D1776="","",IFERROR(MATCH($D1776,Items!$A$5:$A$504,0),"")),"")</f>
        <v/>
      </c>
      <c r="V1776" s="60" t="str">
        <f aca="false">IF(IsPro,IF($C1776="","",IFERROR(MATCH($C1776,Parties!$A$5:$A$304,0),"")),"")</f>
        <v/>
      </c>
      <c r="W1776" s="60" t="str">
        <f aca="false">IF(IsPro,IF($B1776="","",IFERROR(VALUE(SUBSTITUTE($B1776,InvPrefix,"")),0)),"")</f>
        <v/>
      </c>
      <c r="X1776" s="61" t="str">
        <f aca="false">IF(IsPro,IF($D1776="","",IF(OR($H1776="",$H1776="Credit"),0,Q1776)),"")</f>
        <v/>
      </c>
    </row>
    <row r="1777" customFormat="false" ht="15" hidden="false" customHeight="false" outlineLevel="0" collapsed="false">
      <c r="A1777" s="55"/>
      <c r="B1777" s="56"/>
      <c r="C1777" s="56"/>
      <c r="D1777" s="56"/>
      <c r="E1777" s="57"/>
      <c r="F1777" s="58"/>
      <c r="G1777" s="59"/>
      <c r="H1777" s="56"/>
      <c r="I1777" s="56"/>
      <c r="J1777" s="60" t="str">
        <f aca="false">IF(IsPro,IF($D1777="","",IFERROR(INDEX(Items!$D$5:$D$504,U1777),"")),"")</f>
        <v/>
      </c>
      <c r="K1777" s="61" t="str">
        <f aca="false">IF(IsPro,IF($D1777="","",IF($F1777="",IFERROR(INDEX(Items!$H$5:$H$504,U1777),0),$F1777)),"")</f>
        <v/>
      </c>
      <c r="L1777" s="61" t="str">
        <f aca="false">IF(IsPro,IF($D1777="","",ROUND(N($E1777)*K1777*(1-N($G1777)),2)),"")</f>
        <v/>
      </c>
      <c r="M1777" s="62" t="str">
        <f aca="false">IF(IsPro,IF($D1777="","",IFERROR(INDEX(Items!$F$5:$F$504,U1777),0)),"")</f>
        <v/>
      </c>
      <c r="N1777" s="61" t="str">
        <f aca="false">IF(IsPro,IF($D1777="","",IF(AND(V1777&lt;&gt;"",INDEX(Parties!$E$5:$E$304,V1777)&lt;&gt;"",INDEX(Parties!$E$5:$E$304,V1777)&lt;&gt;HomeState),0,ROUND(L1777*M1777/2,2))),"")</f>
        <v/>
      </c>
      <c r="O1777" s="61" t="str">
        <f aca="false">IF(IsPro,IF($D1777="","",N1777),"")</f>
        <v/>
      </c>
      <c r="P1777" s="61" t="str">
        <f aca="false">IF(IsPro,IF($D1777="","",IF(AND(V1777&lt;&gt;"",INDEX(Parties!$E$5:$E$304,V1777)&lt;&gt;"",INDEX(Parties!$E$5:$E$304,V1777)&lt;&gt;HomeState),ROUND(L1777*M1777,2),0)),"")</f>
        <v/>
      </c>
      <c r="Q1777" s="61" t="str">
        <f aca="false">IF(IsPro,IF($D1777="","",L1777+N1777+O1777+P1777),"")</f>
        <v/>
      </c>
      <c r="R1777" s="61" t="str">
        <f aca="false">IF(IsPro,IF($D1777="","",ROUND(N($E1777)*IFERROR(INDEX(Items!$P$5:$P$504,U1777),0),2)),"")</f>
        <v/>
      </c>
      <c r="S1777" s="61" t="str">
        <f aca="false">IF(IsPro,IF($D1777="","",L1777-R1777),"")</f>
        <v/>
      </c>
      <c r="T1777" s="60" t="str">
        <f aca="false">IF(IsPro,IF($D1777="","",IF(U1777="","UNKNOWN ITEM",IF(INDEX(Items!$O$5:$O$504,U1777)&lt;0,"NEG STOCK",IF(K1777&lt;INDEX(Items!$P$5:$P$504,U1777),"BELOW COST","OK")))),IF($D1777="","","PRO PLAN"))</f>
        <v/>
      </c>
      <c r="U1777" s="60" t="str">
        <f aca="false">IF(IsPro,IF($D1777="","",IFERROR(MATCH($D1777,Items!$A$5:$A$504,0),"")),"")</f>
        <v/>
      </c>
      <c r="V1777" s="60" t="str">
        <f aca="false">IF(IsPro,IF($C1777="","",IFERROR(MATCH($C1777,Parties!$A$5:$A$304,0),"")),"")</f>
        <v/>
      </c>
      <c r="W1777" s="60" t="str">
        <f aca="false">IF(IsPro,IF($B1777="","",IFERROR(VALUE(SUBSTITUTE($B1777,InvPrefix,"")),0)),"")</f>
        <v/>
      </c>
      <c r="X1777" s="61" t="str">
        <f aca="false">IF(IsPro,IF($D1777="","",IF(OR($H1777="",$H1777="Credit"),0,Q1777)),"")</f>
        <v/>
      </c>
    </row>
    <row r="1778" customFormat="false" ht="15" hidden="false" customHeight="false" outlineLevel="0" collapsed="false">
      <c r="A1778" s="55"/>
      <c r="B1778" s="56"/>
      <c r="C1778" s="56"/>
      <c r="D1778" s="56"/>
      <c r="E1778" s="57"/>
      <c r="F1778" s="58"/>
      <c r="G1778" s="59"/>
      <c r="H1778" s="56"/>
      <c r="I1778" s="56"/>
      <c r="J1778" s="60" t="str">
        <f aca="false">IF(IsPro,IF($D1778="","",IFERROR(INDEX(Items!$D$5:$D$504,U1778),"")),"")</f>
        <v/>
      </c>
      <c r="K1778" s="61" t="str">
        <f aca="false">IF(IsPro,IF($D1778="","",IF($F1778="",IFERROR(INDEX(Items!$H$5:$H$504,U1778),0),$F1778)),"")</f>
        <v/>
      </c>
      <c r="L1778" s="61" t="str">
        <f aca="false">IF(IsPro,IF($D1778="","",ROUND(N($E1778)*K1778*(1-N($G1778)),2)),"")</f>
        <v/>
      </c>
      <c r="M1778" s="62" t="str">
        <f aca="false">IF(IsPro,IF($D1778="","",IFERROR(INDEX(Items!$F$5:$F$504,U1778),0)),"")</f>
        <v/>
      </c>
      <c r="N1778" s="61" t="str">
        <f aca="false">IF(IsPro,IF($D1778="","",IF(AND(V1778&lt;&gt;"",INDEX(Parties!$E$5:$E$304,V1778)&lt;&gt;"",INDEX(Parties!$E$5:$E$304,V1778)&lt;&gt;HomeState),0,ROUND(L1778*M1778/2,2))),"")</f>
        <v/>
      </c>
      <c r="O1778" s="61" t="str">
        <f aca="false">IF(IsPro,IF($D1778="","",N1778),"")</f>
        <v/>
      </c>
      <c r="P1778" s="61" t="str">
        <f aca="false">IF(IsPro,IF($D1778="","",IF(AND(V1778&lt;&gt;"",INDEX(Parties!$E$5:$E$304,V1778)&lt;&gt;"",INDEX(Parties!$E$5:$E$304,V1778)&lt;&gt;HomeState),ROUND(L1778*M1778,2),0)),"")</f>
        <v/>
      </c>
      <c r="Q1778" s="61" t="str">
        <f aca="false">IF(IsPro,IF($D1778="","",L1778+N1778+O1778+P1778),"")</f>
        <v/>
      </c>
      <c r="R1778" s="61" t="str">
        <f aca="false">IF(IsPro,IF($D1778="","",ROUND(N($E1778)*IFERROR(INDEX(Items!$P$5:$P$504,U1778),0),2)),"")</f>
        <v/>
      </c>
      <c r="S1778" s="61" t="str">
        <f aca="false">IF(IsPro,IF($D1778="","",L1778-R1778),"")</f>
        <v/>
      </c>
      <c r="T1778" s="60" t="str">
        <f aca="false">IF(IsPro,IF($D1778="","",IF(U1778="","UNKNOWN ITEM",IF(INDEX(Items!$O$5:$O$504,U1778)&lt;0,"NEG STOCK",IF(K1778&lt;INDEX(Items!$P$5:$P$504,U1778),"BELOW COST","OK")))),IF($D1778="","","PRO PLAN"))</f>
        <v/>
      </c>
      <c r="U1778" s="60" t="str">
        <f aca="false">IF(IsPro,IF($D1778="","",IFERROR(MATCH($D1778,Items!$A$5:$A$504,0),"")),"")</f>
        <v/>
      </c>
      <c r="V1778" s="60" t="str">
        <f aca="false">IF(IsPro,IF($C1778="","",IFERROR(MATCH($C1778,Parties!$A$5:$A$304,0),"")),"")</f>
        <v/>
      </c>
      <c r="W1778" s="60" t="str">
        <f aca="false">IF(IsPro,IF($B1778="","",IFERROR(VALUE(SUBSTITUTE($B1778,InvPrefix,"")),0)),"")</f>
        <v/>
      </c>
      <c r="X1778" s="61" t="str">
        <f aca="false">IF(IsPro,IF($D1778="","",IF(OR($H1778="",$H1778="Credit"),0,Q1778)),"")</f>
        <v/>
      </c>
    </row>
    <row r="1779" customFormat="false" ht="15" hidden="false" customHeight="false" outlineLevel="0" collapsed="false">
      <c r="A1779" s="55"/>
      <c r="B1779" s="56"/>
      <c r="C1779" s="56"/>
      <c r="D1779" s="56"/>
      <c r="E1779" s="57"/>
      <c r="F1779" s="58"/>
      <c r="G1779" s="59"/>
      <c r="H1779" s="56"/>
      <c r="I1779" s="56"/>
      <c r="J1779" s="60" t="str">
        <f aca="false">IF(IsPro,IF($D1779="","",IFERROR(INDEX(Items!$D$5:$D$504,U1779),"")),"")</f>
        <v/>
      </c>
      <c r="K1779" s="61" t="str">
        <f aca="false">IF(IsPro,IF($D1779="","",IF($F1779="",IFERROR(INDEX(Items!$H$5:$H$504,U1779),0),$F1779)),"")</f>
        <v/>
      </c>
      <c r="L1779" s="61" t="str">
        <f aca="false">IF(IsPro,IF($D1779="","",ROUND(N($E1779)*K1779*(1-N($G1779)),2)),"")</f>
        <v/>
      </c>
      <c r="M1779" s="62" t="str">
        <f aca="false">IF(IsPro,IF($D1779="","",IFERROR(INDEX(Items!$F$5:$F$504,U1779),0)),"")</f>
        <v/>
      </c>
      <c r="N1779" s="61" t="str">
        <f aca="false">IF(IsPro,IF($D1779="","",IF(AND(V1779&lt;&gt;"",INDEX(Parties!$E$5:$E$304,V1779)&lt;&gt;"",INDEX(Parties!$E$5:$E$304,V1779)&lt;&gt;HomeState),0,ROUND(L1779*M1779/2,2))),"")</f>
        <v/>
      </c>
      <c r="O1779" s="61" t="str">
        <f aca="false">IF(IsPro,IF($D1779="","",N1779),"")</f>
        <v/>
      </c>
      <c r="P1779" s="61" t="str">
        <f aca="false">IF(IsPro,IF($D1779="","",IF(AND(V1779&lt;&gt;"",INDEX(Parties!$E$5:$E$304,V1779)&lt;&gt;"",INDEX(Parties!$E$5:$E$304,V1779)&lt;&gt;HomeState),ROUND(L1779*M1779,2),0)),"")</f>
        <v/>
      </c>
      <c r="Q1779" s="61" t="str">
        <f aca="false">IF(IsPro,IF($D1779="","",L1779+N1779+O1779+P1779),"")</f>
        <v/>
      </c>
      <c r="R1779" s="61" t="str">
        <f aca="false">IF(IsPro,IF($D1779="","",ROUND(N($E1779)*IFERROR(INDEX(Items!$P$5:$P$504,U1779),0),2)),"")</f>
        <v/>
      </c>
      <c r="S1779" s="61" t="str">
        <f aca="false">IF(IsPro,IF($D1779="","",L1779-R1779),"")</f>
        <v/>
      </c>
      <c r="T1779" s="60" t="str">
        <f aca="false">IF(IsPro,IF($D1779="","",IF(U1779="","UNKNOWN ITEM",IF(INDEX(Items!$O$5:$O$504,U1779)&lt;0,"NEG STOCK",IF(K1779&lt;INDEX(Items!$P$5:$P$504,U1779),"BELOW COST","OK")))),IF($D1779="","","PRO PLAN"))</f>
        <v/>
      </c>
      <c r="U1779" s="60" t="str">
        <f aca="false">IF(IsPro,IF($D1779="","",IFERROR(MATCH($D1779,Items!$A$5:$A$504,0),"")),"")</f>
        <v/>
      </c>
      <c r="V1779" s="60" t="str">
        <f aca="false">IF(IsPro,IF($C1779="","",IFERROR(MATCH($C1779,Parties!$A$5:$A$304,0),"")),"")</f>
        <v/>
      </c>
      <c r="W1779" s="60" t="str">
        <f aca="false">IF(IsPro,IF($B1779="","",IFERROR(VALUE(SUBSTITUTE($B1779,InvPrefix,"")),0)),"")</f>
        <v/>
      </c>
      <c r="X1779" s="61" t="str">
        <f aca="false">IF(IsPro,IF($D1779="","",IF(OR($H1779="",$H1779="Credit"),0,Q1779)),"")</f>
        <v/>
      </c>
    </row>
    <row r="1780" customFormat="false" ht="15" hidden="false" customHeight="false" outlineLevel="0" collapsed="false">
      <c r="A1780" s="55"/>
      <c r="B1780" s="56"/>
      <c r="C1780" s="56"/>
      <c r="D1780" s="56"/>
      <c r="E1780" s="57"/>
      <c r="F1780" s="58"/>
      <c r="G1780" s="59"/>
      <c r="H1780" s="56"/>
      <c r="I1780" s="56"/>
      <c r="J1780" s="60" t="str">
        <f aca="false">IF(IsPro,IF($D1780="","",IFERROR(INDEX(Items!$D$5:$D$504,U1780),"")),"")</f>
        <v/>
      </c>
      <c r="K1780" s="61" t="str">
        <f aca="false">IF(IsPro,IF($D1780="","",IF($F1780="",IFERROR(INDEX(Items!$H$5:$H$504,U1780),0),$F1780)),"")</f>
        <v/>
      </c>
      <c r="L1780" s="61" t="str">
        <f aca="false">IF(IsPro,IF($D1780="","",ROUND(N($E1780)*K1780*(1-N($G1780)),2)),"")</f>
        <v/>
      </c>
      <c r="M1780" s="62" t="str">
        <f aca="false">IF(IsPro,IF($D1780="","",IFERROR(INDEX(Items!$F$5:$F$504,U1780),0)),"")</f>
        <v/>
      </c>
      <c r="N1780" s="61" t="str">
        <f aca="false">IF(IsPro,IF($D1780="","",IF(AND(V1780&lt;&gt;"",INDEX(Parties!$E$5:$E$304,V1780)&lt;&gt;"",INDEX(Parties!$E$5:$E$304,V1780)&lt;&gt;HomeState),0,ROUND(L1780*M1780/2,2))),"")</f>
        <v/>
      </c>
      <c r="O1780" s="61" t="str">
        <f aca="false">IF(IsPro,IF($D1780="","",N1780),"")</f>
        <v/>
      </c>
      <c r="P1780" s="61" t="str">
        <f aca="false">IF(IsPro,IF($D1780="","",IF(AND(V1780&lt;&gt;"",INDEX(Parties!$E$5:$E$304,V1780)&lt;&gt;"",INDEX(Parties!$E$5:$E$304,V1780)&lt;&gt;HomeState),ROUND(L1780*M1780,2),0)),"")</f>
        <v/>
      </c>
      <c r="Q1780" s="61" t="str">
        <f aca="false">IF(IsPro,IF($D1780="","",L1780+N1780+O1780+P1780),"")</f>
        <v/>
      </c>
      <c r="R1780" s="61" t="str">
        <f aca="false">IF(IsPro,IF($D1780="","",ROUND(N($E1780)*IFERROR(INDEX(Items!$P$5:$P$504,U1780),0),2)),"")</f>
        <v/>
      </c>
      <c r="S1780" s="61" t="str">
        <f aca="false">IF(IsPro,IF($D1780="","",L1780-R1780),"")</f>
        <v/>
      </c>
      <c r="T1780" s="60" t="str">
        <f aca="false">IF(IsPro,IF($D1780="","",IF(U1780="","UNKNOWN ITEM",IF(INDEX(Items!$O$5:$O$504,U1780)&lt;0,"NEG STOCK",IF(K1780&lt;INDEX(Items!$P$5:$P$504,U1780),"BELOW COST","OK")))),IF($D1780="","","PRO PLAN"))</f>
        <v/>
      </c>
      <c r="U1780" s="60" t="str">
        <f aca="false">IF(IsPro,IF($D1780="","",IFERROR(MATCH($D1780,Items!$A$5:$A$504,0),"")),"")</f>
        <v/>
      </c>
      <c r="V1780" s="60" t="str">
        <f aca="false">IF(IsPro,IF($C1780="","",IFERROR(MATCH($C1780,Parties!$A$5:$A$304,0),"")),"")</f>
        <v/>
      </c>
      <c r="W1780" s="60" t="str">
        <f aca="false">IF(IsPro,IF($B1780="","",IFERROR(VALUE(SUBSTITUTE($B1780,InvPrefix,"")),0)),"")</f>
        <v/>
      </c>
      <c r="X1780" s="61" t="str">
        <f aca="false">IF(IsPro,IF($D1780="","",IF(OR($H1780="",$H1780="Credit"),0,Q1780)),"")</f>
        <v/>
      </c>
    </row>
    <row r="1781" customFormat="false" ht="15" hidden="false" customHeight="false" outlineLevel="0" collapsed="false">
      <c r="A1781" s="55"/>
      <c r="B1781" s="56"/>
      <c r="C1781" s="56"/>
      <c r="D1781" s="56"/>
      <c r="E1781" s="57"/>
      <c r="F1781" s="58"/>
      <c r="G1781" s="59"/>
      <c r="H1781" s="56"/>
      <c r="I1781" s="56"/>
      <c r="J1781" s="60" t="str">
        <f aca="false">IF(IsPro,IF($D1781="","",IFERROR(INDEX(Items!$D$5:$D$504,U1781),"")),"")</f>
        <v/>
      </c>
      <c r="K1781" s="61" t="str">
        <f aca="false">IF(IsPro,IF($D1781="","",IF($F1781="",IFERROR(INDEX(Items!$H$5:$H$504,U1781),0),$F1781)),"")</f>
        <v/>
      </c>
      <c r="L1781" s="61" t="str">
        <f aca="false">IF(IsPro,IF($D1781="","",ROUND(N($E1781)*K1781*(1-N($G1781)),2)),"")</f>
        <v/>
      </c>
      <c r="M1781" s="62" t="str">
        <f aca="false">IF(IsPro,IF($D1781="","",IFERROR(INDEX(Items!$F$5:$F$504,U1781),0)),"")</f>
        <v/>
      </c>
      <c r="N1781" s="61" t="str">
        <f aca="false">IF(IsPro,IF($D1781="","",IF(AND(V1781&lt;&gt;"",INDEX(Parties!$E$5:$E$304,V1781)&lt;&gt;"",INDEX(Parties!$E$5:$E$304,V1781)&lt;&gt;HomeState),0,ROUND(L1781*M1781/2,2))),"")</f>
        <v/>
      </c>
      <c r="O1781" s="61" t="str">
        <f aca="false">IF(IsPro,IF($D1781="","",N1781),"")</f>
        <v/>
      </c>
      <c r="P1781" s="61" t="str">
        <f aca="false">IF(IsPro,IF($D1781="","",IF(AND(V1781&lt;&gt;"",INDEX(Parties!$E$5:$E$304,V1781)&lt;&gt;"",INDEX(Parties!$E$5:$E$304,V1781)&lt;&gt;HomeState),ROUND(L1781*M1781,2),0)),"")</f>
        <v/>
      </c>
      <c r="Q1781" s="61" t="str">
        <f aca="false">IF(IsPro,IF($D1781="","",L1781+N1781+O1781+P1781),"")</f>
        <v/>
      </c>
      <c r="R1781" s="61" t="str">
        <f aca="false">IF(IsPro,IF($D1781="","",ROUND(N($E1781)*IFERROR(INDEX(Items!$P$5:$P$504,U1781),0),2)),"")</f>
        <v/>
      </c>
      <c r="S1781" s="61" t="str">
        <f aca="false">IF(IsPro,IF($D1781="","",L1781-R1781),"")</f>
        <v/>
      </c>
      <c r="T1781" s="60" t="str">
        <f aca="false">IF(IsPro,IF($D1781="","",IF(U1781="","UNKNOWN ITEM",IF(INDEX(Items!$O$5:$O$504,U1781)&lt;0,"NEG STOCK",IF(K1781&lt;INDEX(Items!$P$5:$P$504,U1781),"BELOW COST","OK")))),IF($D1781="","","PRO PLAN"))</f>
        <v/>
      </c>
      <c r="U1781" s="60" t="str">
        <f aca="false">IF(IsPro,IF($D1781="","",IFERROR(MATCH($D1781,Items!$A$5:$A$504,0),"")),"")</f>
        <v/>
      </c>
      <c r="V1781" s="60" t="str">
        <f aca="false">IF(IsPro,IF($C1781="","",IFERROR(MATCH($C1781,Parties!$A$5:$A$304,0),"")),"")</f>
        <v/>
      </c>
      <c r="W1781" s="60" t="str">
        <f aca="false">IF(IsPro,IF($B1781="","",IFERROR(VALUE(SUBSTITUTE($B1781,InvPrefix,"")),0)),"")</f>
        <v/>
      </c>
      <c r="X1781" s="61" t="str">
        <f aca="false">IF(IsPro,IF($D1781="","",IF(OR($H1781="",$H1781="Credit"),0,Q1781)),"")</f>
        <v/>
      </c>
    </row>
    <row r="1782" customFormat="false" ht="15" hidden="false" customHeight="false" outlineLevel="0" collapsed="false">
      <c r="A1782" s="55"/>
      <c r="B1782" s="56"/>
      <c r="C1782" s="56"/>
      <c r="D1782" s="56"/>
      <c r="E1782" s="57"/>
      <c r="F1782" s="58"/>
      <c r="G1782" s="59"/>
      <c r="H1782" s="56"/>
      <c r="I1782" s="56"/>
      <c r="J1782" s="60" t="str">
        <f aca="false">IF(IsPro,IF($D1782="","",IFERROR(INDEX(Items!$D$5:$D$504,U1782),"")),"")</f>
        <v/>
      </c>
      <c r="K1782" s="61" t="str">
        <f aca="false">IF(IsPro,IF($D1782="","",IF($F1782="",IFERROR(INDEX(Items!$H$5:$H$504,U1782),0),$F1782)),"")</f>
        <v/>
      </c>
      <c r="L1782" s="61" t="str">
        <f aca="false">IF(IsPro,IF($D1782="","",ROUND(N($E1782)*K1782*(1-N($G1782)),2)),"")</f>
        <v/>
      </c>
      <c r="M1782" s="62" t="str">
        <f aca="false">IF(IsPro,IF($D1782="","",IFERROR(INDEX(Items!$F$5:$F$504,U1782),0)),"")</f>
        <v/>
      </c>
      <c r="N1782" s="61" t="str">
        <f aca="false">IF(IsPro,IF($D1782="","",IF(AND(V1782&lt;&gt;"",INDEX(Parties!$E$5:$E$304,V1782)&lt;&gt;"",INDEX(Parties!$E$5:$E$304,V1782)&lt;&gt;HomeState),0,ROUND(L1782*M1782/2,2))),"")</f>
        <v/>
      </c>
      <c r="O1782" s="61" t="str">
        <f aca="false">IF(IsPro,IF($D1782="","",N1782),"")</f>
        <v/>
      </c>
      <c r="P1782" s="61" t="str">
        <f aca="false">IF(IsPro,IF($D1782="","",IF(AND(V1782&lt;&gt;"",INDEX(Parties!$E$5:$E$304,V1782)&lt;&gt;"",INDEX(Parties!$E$5:$E$304,V1782)&lt;&gt;HomeState),ROUND(L1782*M1782,2),0)),"")</f>
        <v/>
      </c>
      <c r="Q1782" s="61" t="str">
        <f aca="false">IF(IsPro,IF($D1782="","",L1782+N1782+O1782+P1782),"")</f>
        <v/>
      </c>
      <c r="R1782" s="61" t="str">
        <f aca="false">IF(IsPro,IF($D1782="","",ROUND(N($E1782)*IFERROR(INDEX(Items!$P$5:$P$504,U1782),0),2)),"")</f>
        <v/>
      </c>
      <c r="S1782" s="61" t="str">
        <f aca="false">IF(IsPro,IF($D1782="","",L1782-R1782),"")</f>
        <v/>
      </c>
      <c r="T1782" s="60" t="str">
        <f aca="false">IF(IsPro,IF($D1782="","",IF(U1782="","UNKNOWN ITEM",IF(INDEX(Items!$O$5:$O$504,U1782)&lt;0,"NEG STOCK",IF(K1782&lt;INDEX(Items!$P$5:$P$504,U1782),"BELOW COST","OK")))),IF($D1782="","","PRO PLAN"))</f>
        <v/>
      </c>
      <c r="U1782" s="60" t="str">
        <f aca="false">IF(IsPro,IF($D1782="","",IFERROR(MATCH($D1782,Items!$A$5:$A$504,0),"")),"")</f>
        <v/>
      </c>
      <c r="V1782" s="60" t="str">
        <f aca="false">IF(IsPro,IF($C1782="","",IFERROR(MATCH($C1782,Parties!$A$5:$A$304,0),"")),"")</f>
        <v/>
      </c>
      <c r="W1782" s="60" t="str">
        <f aca="false">IF(IsPro,IF($B1782="","",IFERROR(VALUE(SUBSTITUTE($B1782,InvPrefix,"")),0)),"")</f>
        <v/>
      </c>
      <c r="X1782" s="61" t="str">
        <f aca="false">IF(IsPro,IF($D1782="","",IF(OR($H1782="",$H1782="Credit"),0,Q1782)),"")</f>
        <v/>
      </c>
    </row>
    <row r="1783" customFormat="false" ht="15" hidden="false" customHeight="false" outlineLevel="0" collapsed="false">
      <c r="A1783" s="55"/>
      <c r="B1783" s="56"/>
      <c r="C1783" s="56"/>
      <c r="D1783" s="56"/>
      <c r="E1783" s="57"/>
      <c r="F1783" s="58"/>
      <c r="G1783" s="59"/>
      <c r="H1783" s="56"/>
      <c r="I1783" s="56"/>
      <c r="J1783" s="60" t="str">
        <f aca="false">IF(IsPro,IF($D1783="","",IFERROR(INDEX(Items!$D$5:$D$504,U1783),"")),"")</f>
        <v/>
      </c>
      <c r="K1783" s="61" t="str">
        <f aca="false">IF(IsPro,IF($D1783="","",IF($F1783="",IFERROR(INDEX(Items!$H$5:$H$504,U1783),0),$F1783)),"")</f>
        <v/>
      </c>
      <c r="L1783" s="61" t="str">
        <f aca="false">IF(IsPro,IF($D1783="","",ROUND(N($E1783)*K1783*(1-N($G1783)),2)),"")</f>
        <v/>
      </c>
      <c r="M1783" s="62" t="str">
        <f aca="false">IF(IsPro,IF($D1783="","",IFERROR(INDEX(Items!$F$5:$F$504,U1783),0)),"")</f>
        <v/>
      </c>
      <c r="N1783" s="61" t="str">
        <f aca="false">IF(IsPro,IF($D1783="","",IF(AND(V1783&lt;&gt;"",INDEX(Parties!$E$5:$E$304,V1783)&lt;&gt;"",INDEX(Parties!$E$5:$E$304,V1783)&lt;&gt;HomeState),0,ROUND(L1783*M1783/2,2))),"")</f>
        <v/>
      </c>
      <c r="O1783" s="61" t="str">
        <f aca="false">IF(IsPro,IF($D1783="","",N1783),"")</f>
        <v/>
      </c>
      <c r="P1783" s="61" t="str">
        <f aca="false">IF(IsPro,IF($D1783="","",IF(AND(V1783&lt;&gt;"",INDEX(Parties!$E$5:$E$304,V1783)&lt;&gt;"",INDEX(Parties!$E$5:$E$304,V1783)&lt;&gt;HomeState),ROUND(L1783*M1783,2),0)),"")</f>
        <v/>
      </c>
      <c r="Q1783" s="61" t="str">
        <f aca="false">IF(IsPro,IF($D1783="","",L1783+N1783+O1783+P1783),"")</f>
        <v/>
      </c>
      <c r="R1783" s="61" t="str">
        <f aca="false">IF(IsPro,IF($D1783="","",ROUND(N($E1783)*IFERROR(INDEX(Items!$P$5:$P$504,U1783),0),2)),"")</f>
        <v/>
      </c>
      <c r="S1783" s="61" t="str">
        <f aca="false">IF(IsPro,IF($D1783="","",L1783-R1783),"")</f>
        <v/>
      </c>
      <c r="T1783" s="60" t="str">
        <f aca="false">IF(IsPro,IF($D1783="","",IF(U1783="","UNKNOWN ITEM",IF(INDEX(Items!$O$5:$O$504,U1783)&lt;0,"NEG STOCK",IF(K1783&lt;INDEX(Items!$P$5:$P$504,U1783),"BELOW COST","OK")))),IF($D1783="","","PRO PLAN"))</f>
        <v/>
      </c>
      <c r="U1783" s="60" t="str">
        <f aca="false">IF(IsPro,IF($D1783="","",IFERROR(MATCH($D1783,Items!$A$5:$A$504,0),"")),"")</f>
        <v/>
      </c>
      <c r="V1783" s="60" t="str">
        <f aca="false">IF(IsPro,IF($C1783="","",IFERROR(MATCH($C1783,Parties!$A$5:$A$304,0),"")),"")</f>
        <v/>
      </c>
      <c r="W1783" s="60" t="str">
        <f aca="false">IF(IsPro,IF($B1783="","",IFERROR(VALUE(SUBSTITUTE($B1783,InvPrefix,"")),0)),"")</f>
        <v/>
      </c>
      <c r="X1783" s="61" t="str">
        <f aca="false">IF(IsPro,IF($D1783="","",IF(OR($H1783="",$H1783="Credit"),0,Q1783)),"")</f>
        <v/>
      </c>
    </row>
    <row r="1784" customFormat="false" ht="15" hidden="false" customHeight="false" outlineLevel="0" collapsed="false">
      <c r="A1784" s="55"/>
      <c r="B1784" s="56"/>
      <c r="C1784" s="56"/>
      <c r="D1784" s="56"/>
      <c r="E1784" s="57"/>
      <c r="F1784" s="58"/>
      <c r="G1784" s="59"/>
      <c r="H1784" s="56"/>
      <c r="I1784" s="56"/>
      <c r="J1784" s="60" t="str">
        <f aca="false">IF(IsPro,IF($D1784="","",IFERROR(INDEX(Items!$D$5:$D$504,U1784),"")),"")</f>
        <v/>
      </c>
      <c r="K1784" s="61" t="str">
        <f aca="false">IF(IsPro,IF($D1784="","",IF($F1784="",IFERROR(INDEX(Items!$H$5:$H$504,U1784),0),$F1784)),"")</f>
        <v/>
      </c>
      <c r="L1784" s="61" t="str">
        <f aca="false">IF(IsPro,IF($D1784="","",ROUND(N($E1784)*K1784*(1-N($G1784)),2)),"")</f>
        <v/>
      </c>
      <c r="M1784" s="62" t="str">
        <f aca="false">IF(IsPro,IF($D1784="","",IFERROR(INDEX(Items!$F$5:$F$504,U1784),0)),"")</f>
        <v/>
      </c>
      <c r="N1784" s="61" t="str">
        <f aca="false">IF(IsPro,IF($D1784="","",IF(AND(V1784&lt;&gt;"",INDEX(Parties!$E$5:$E$304,V1784)&lt;&gt;"",INDEX(Parties!$E$5:$E$304,V1784)&lt;&gt;HomeState),0,ROUND(L1784*M1784/2,2))),"")</f>
        <v/>
      </c>
      <c r="O1784" s="61" t="str">
        <f aca="false">IF(IsPro,IF($D1784="","",N1784),"")</f>
        <v/>
      </c>
      <c r="P1784" s="61" t="str">
        <f aca="false">IF(IsPro,IF($D1784="","",IF(AND(V1784&lt;&gt;"",INDEX(Parties!$E$5:$E$304,V1784)&lt;&gt;"",INDEX(Parties!$E$5:$E$304,V1784)&lt;&gt;HomeState),ROUND(L1784*M1784,2),0)),"")</f>
        <v/>
      </c>
      <c r="Q1784" s="61" t="str">
        <f aca="false">IF(IsPro,IF($D1784="","",L1784+N1784+O1784+P1784),"")</f>
        <v/>
      </c>
      <c r="R1784" s="61" t="str">
        <f aca="false">IF(IsPro,IF($D1784="","",ROUND(N($E1784)*IFERROR(INDEX(Items!$P$5:$P$504,U1784),0),2)),"")</f>
        <v/>
      </c>
      <c r="S1784" s="61" t="str">
        <f aca="false">IF(IsPro,IF($D1784="","",L1784-R1784),"")</f>
        <v/>
      </c>
      <c r="T1784" s="60" t="str">
        <f aca="false">IF(IsPro,IF($D1784="","",IF(U1784="","UNKNOWN ITEM",IF(INDEX(Items!$O$5:$O$504,U1784)&lt;0,"NEG STOCK",IF(K1784&lt;INDEX(Items!$P$5:$P$504,U1784),"BELOW COST","OK")))),IF($D1784="","","PRO PLAN"))</f>
        <v/>
      </c>
      <c r="U1784" s="60" t="str">
        <f aca="false">IF(IsPro,IF($D1784="","",IFERROR(MATCH($D1784,Items!$A$5:$A$504,0),"")),"")</f>
        <v/>
      </c>
      <c r="V1784" s="60" t="str">
        <f aca="false">IF(IsPro,IF($C1784="","",IFERROR(MATCH($C1784,Parties!$A$5:$A$304,0),"")),"")</f>
        <v/>
      </c>
      <c r="W1784" s="60" t="str">
        <f aca="false">IF(IsPro,IF($B1784="","",IFERROR(VALUE(SUBSTITUTE($B1784,InvPrefix,"")),0)),"")</f>
        <v/>
      </c>
      <c r="X1784" s="61" t="str">
        <f aca="false">IF(IsPro,IF($D1784="","",IF(OR($H1784="",$H1784="Credit"),0,Q1784)),"")</f>
        <v/>
      </c>
    </row>
    <row r="1785" customFormat="false" ht="15" hidden="false" customHeight="false" outlineLevel="0" collapsed="false">
      <c r="A1785" s="55"/>
      <c r="B1785" s="56"/>
      <c r="C1785" s="56"/>
      <c r="D1785" s="56"/>
      <c r="E1785" s="57"/>
      <c r="F1785" s="58"/>
      <c r="G1785" s="59"/>
      <c r="H1785" s="56"/>
      <c r="I1785" s="56"/>
      <c r="J1785" s="60" t="str">
        <f aca="false">IF(IsPro,IF($D1785="","",IFERROR(INDEX(Items!$D$5:$D$504,U1785),"")),"")</f>
        <v/>
      </c>
      <c r="K1785" s="61" t="str">
        <f aca="false">IF(IsPro,IF($D1785="","",IF($F1785="",IFERROR(INDEX(Items!$H$5:$H$504,U1785),0),$F1785)),"")</f>
        <v/>
      </c>
      <c r="L1785" s="61" t="str">
        <f aca="false">IF(IsPro,IF($D1785="","",ROUND(N($E1785)*K1785*(1-N($G1785)),2)),"")</f>
        <v/>
      </c>
      <c r="M1785" s="62" t="str">
        <f aca="false">IF(IsPro,IF($D1785="","",IFERROR(INDEX(Items!$F$5:$F$504,U1785),0)),"")</f>
        <v/>
      </c>
      <c r="N1785" s="61" t="str">
        <f aca="false">IF(IsPro,IF($D1785="","",IF(AND(V1785&lt;&gt;"",INDEX(Parties!$E$5:$E$304,V1785)&lt;&gt;"",INDEX(Parties!$E$5:$E$304,V1785)&lt;&gt;HomeState),0,ROUND(L1785*M1785/2,2))),"")</f>
        <v/>
      </c>
      <c r="O1785" s="61" t="str">
        <f aca="false">IF(IsPro,IF($D1785="","",N1785),"")</f>
        <v/>
      </c>
      <c r="P1785" s="61" t="str">
        <f aca="false">IF(IsPro,IF($D1785="","",IF(AND(V1785&lt;&gt;"",INDEX(Parties!$E$5:$E$304,V1785)&lt;&gt;"",INDEX(Parties!$E$5:$E$304,V1785)&lt;&gt;HomeState),ROUND(L1785*M1785,2),0)),"")</f>
        <v/>
      </c>
      <c r="Q1785" s="61" t="str">
        <f aca="false">IF(IsPro,IF($D1785="","",L1785+N1785+O1785+P1785),"")</f>
        <v/>
      </c>
      <c r="R1785" s="61" t="str">
        <f aca="false">IF(IsPro,IF($D1785="","",ROUND(N($E1785)*IFERROR(INDEX(Items!$P$5:$P$504,U1785),0),2)),"")</f>
        <v/>
      </c>
      <c r="S1785" s="61" t="str">
        <f aca="false">IF(IsPro,IF($D1785="","",L1785-R1785),"")</f>
        <v/>
      </c>
      <c r="T1785" s="60" t="str">
        <f aca="false">IF(IsPro,IF($D1785="","",IF(U1785="","UNKNOWN ITEM",IF(INDEX(Items!$O$5:$O$504,U1785)&lt;0,"NEG STOCK",IF(K1785&lt;INDEX(Items!$P$5:$P$504,U1785),"BELOW COST","OK")))),IF($D1785="","","PRO PLAN"))</f>
        <v/>
      </c>
      <c r="U1785" s="60" t="str">
        <f aca="false">IF(IsPro,IF($D1785="","",IFERROR(MATCH($D1785,Items!$A$5:$A$504,0),"")),"")</f>
        <v/>
      </c>
      <c r="V1785" s="60" t="str">
        <f aca="false">IF(IsPro,IF($C1785="","",IFERROR(MATCH($C1785,Parties!$A$5:$A$304,0),"")),"")</f>
        <v/>
      </c>
      <c r="W1785" s="60" t="str">
        <f aca="false">IF(IsPro,IF($B1785="","",IFERROR(VALUE(SUBSTITUTE($B1785,InvPrefix,"")),0)),"")</f>
        <v/>
      </c>
      <c r="X1785" s="61" t="str">
        <f aca="false">IF(IsPro,IF($D1785="","",IF(OR($H1785="",$H1785="Credit"),0,Q1785)),"")</f>
        <v/>
      </c>
    </row>
    <row r="1786" customFormat="false" ht="15" hidden="false" customHeight="false" outlineLevel="0" collapsed="false">
      <c r="A1786" s="55"/>
      <c r="B1786" s="56"/>
      <c r="C1786" s="56"/>
      <c r="D1786" s="56"/>
      <c r="E1786" s="57"/>
      <c r="F1786" s="58"/>
      <c r="G1786" s="59"/>
      <c r="H1786" s="56"/>
      <c r="I1786" s="56"/>
      <c r="J1786" s="60" t="str">
        <f aca="false">IF(IsPro,IF($D1786="","",IFERROR(INDEX(Items!$D$5:$D$504,U1786),"")),"")</f>
        <v/>
      </c>
      <c r="K1786" s="61" t="str">
        <f aca="false">IF(IsPro,IF($D1786="","",IF($F1786="",IFERROR(INDEX(Items!$H$5:$H$504,U1786),0),$F1786)),"")</f>
        <v/>
      </c>
      <c r="L1786" s="61" t="str">
        <f aca="false">IF(IsPro,IF($D1786="","",ROUND(N($E1786)*K1786*(1-N($G1786)),2)),"")</f>
        <v/>
      </c>
      <c r="M1786" s="62" t="str">
        <f aca="false">IF(IsPro,IF($D1786="","",IFERROR(INDEX(Items!$F$5:$F$504,U1786),0)),"")</f>
        <v/>
      </c>
      <c r="N1786" s="61" t="str">
        <f aca="false">IF(IsPro,IF($D1786="","",IF(AND(V1786&lt;&gt;"",INDEX(Parties!$E$5:$E$304,V1786)&lt;&gt;"",INDEX(Parties!$E$5:$E$304,V1786)&lt;&gt;HomeState),0,ROUND(L1786*M1786/2,2))),"")</f>
        <v/>
      </c>
      <c r="O1786" s="61" t="str">
        <f aca="false">IF(IsPro,IF($D1786="","",N1786),"")</f>
        <v/>
      </c>
      <c r="P1786" s="61" t="str">
        <f aca="false">IF(IsPro,IF($D1786="","",IF(AND(V1786&lt;&gt;"",INDEX(Parties!$E$5:$E$304,V1786)&lt;&gt;"",INDEX(Parties!$E$5:$E$304,V1786)&lt;&gt;HomeState),ROUND(L1786*M1786,2),0)),"")</f>
        <v/>
      </c>
      <c r="Q1786" s="61" t="str">
        <f aca="false">IF(IsPro,IF($D1786="","",L1786+N1786+O1786+P1786),"")</f>
        <v/>
      </c>
      <c r="R1786" s="61" t="str">
        <f aca="false">IF(IsPro,IF($D1786="","",ROUND(N($E1786)*IFERROR(INDEX(Items!$P$5:$P$504,U1786),0),2)),"")</f>
        <v/>
      </c>
      <c r="S1786" s="61" t="str">
        <f aca="false">IF(IsPro,IF($D1786="","",L1786-R1786),"")</f>
        <v/>
      </c>
      <c r="T1786" s="60" t="str">
        <f aca="false">IF(IsPro,IF($D1786="","",IF(U1786="","UNKNOWN ITEM",IF(INDEX(Items!$O$5:$O$504,U1786)&lt;0,"NEG STOCK",IF(K1786&lt;INDEX(Items!$P$5:$P$504,U1786),"BELOW COST","OK")))),IF($D1786="","","PRO PLAN"))</f>
        <v/>
      </c>
      <c r="U1786" s="60" t="str">
        <f aca="false">IF(IsPro,IF($D1786="","",IFERROR(MATCH($D1786,Items!$A$5:$A$504,0),"")),"")</f>
        <v/>
      </c>
      <c r="V1786" s="60" t="str">
        <f aca="false">IF(IsPro,IF($C1786="","",IFERROR(MATCH($C1786,Parties!$A$5:$A$304,0),"")),"")</f>
        <v/>
      </c>
      <c r="W1786" s="60" t="str">
        <f aca="false">IF(IsPro,IF($B1786="","",IFERROR(VALUE(SUBSTITUTE($B1786,InvPrefix,"")),0)),"")</f>
        <v/>
      </c>
      <c r="X1786" s="61" t="str">
        <f aca="false">IF(IsPro,IF($D1786="","",IF(OR($H1786="",$H1786="Credit"),0,Q1786)),"")</f>
        <v/>
      </c>
    </row>
    <row r="1787" customFormat="false" ht="15" hidden="false" customHeight="false" outlineLevel="0" collapsed="false">
      <c r="A1787" s="55"/>
      <c r="B1787" s="56"/>
      <c r="C1787" s="56"/>
      <c r="D1787" s="56"/>
      <c r="E1787" s="57"/>
      <c r="F1787" s="58"/>
      <c r="G1787" s="59"/>
      <c r="H1787" s="56"/>
      <c r="I1787" s="56"/>
      <c r="J1787" s="60" t="str">
        <f aca="false">IF(IsPro,IF($D1787="","",IFERROR(INDEX(Items!$D$5:$D$504,U1787),"")),"")</f>
        <v/>
      </c>
      <c r="K1787" s="61" t="str">
        <f aca="false">IF(IsPro,IF($D1787="","",IF($F1787="",IFERROR(INDEX(Items!$H$5:$H$504,U1787),0),$F1787)),"")</f>
        <v/>
      </c>
      <c r="L1787" s="61" t="str">
        <f aca="false">IF(IsPro,IF($D1787="","",ROUND(N($E1787)*K1787*(1-N($G1787)),2)),"")</f>
        <v/>
      </c>
      <c r="M1787" s="62" t="str">
        <f aca="false">IF(IsPro,IF($D1787="","",IFERROR(INDEX(Items!$F$5:$F$504,U1787),0)),"")</f>
        <v/>
      </c>
      <c r="N1787" s="61" t="str">
        <f aca="false">IF(IsPro,IF($D1787="","",IF(AND(V1787&lt;&gt;"",INDEX(Parties!$E$5:$E$304,V1787)&lt;&gt;"",INDEX(Parties!$E$5:$E$304,V1787)&lt;&gt;HomeState),0,ROUND(L1787*M1787/2,2))),"")</f>
        <v/>
      </c>
      <c r="O1787" s="61" t="str">
        <f aca="false">IF(IsPro,IF($D1787="","",N1787),"")</f>
        <v/>
      </c>
      <c r="P1787" s="61" t="str">
        <f aca="false">IF(IsPro,IF($D1787="","",IF(AND(V1787&lt;&gt;"",INDEX(Parties!$E$5:$E$304,V1787)&lt;&gt;"",INDEX(Parties!$E$5:$E$304,V1787)&lt;&gt;HomeState),ROUND(L1787*M1787,2),0)),"")</f>
        <v/>
      </c>
      <c r="Q1787" s="61" t="str">
        <f aca="false">IF(IsPro,IF($D1787="","",L1787+N1787+O1787+P1787),"")</f>
        <v/>
      </c>
      <c r="R1787" s="61" t="str">
        <f aca="false">IF(IsPro,IF($D1787="","",ROUND(N($E1787)*IFERROR(INDEX(Items!$P$5:$P$504,U1787),0),2)),"")</f>
        <v/>
      </c>
      <c r="S1787" s="61" t="str">
        <f aca="false">IF(IsPro,IF($D1787="","",L1787-R1787),"")</f>
        <v/>
      </c>
      <c r="T1787" s="60" t="str">
        <f aca="false">IF(IsPro,IF($D1787="","",IF(U1787="","UNKNOWN ITEM",IF(INDEX(Items!$O$5:$O$504,U1787)&lt;0,"NEG STOCK",IF(K1787&lt;INDEX(Items!$P$5:$P$504,U1787),"BELOW COST","OK")))),IF($D1787="","","PRO PLAN"))</f>
        <v/>
      </c>
      <c r="U1787" s="60" t="str">
        <f aca="false">IF(IsPro,IF($D1787="","",IFERROR(MATCH($D1787,Items!$A$5:$A$504,0),"")),"")</f>
        <v/>
      </c>
      <c r="V1787" s="60" t="str">
        <f aca="false">IF(IsPro,IF($C1787="","",IFERROR(MATCH($C1787,Parties!$A$5:$A$304,0),"")),"")</f>
        <v/>
      </c>
      <c r="W1787" s="60" t="str">
        <f aca="false">IF(IsPro,IF($B1787="","",IFERROR(VALUE(SUBSTITUTE($B1787,InvPrefix,"")),0)),"")</f>
        <v/>
      </c>
      <c r="X1787" s="61" t="str">
        <f aca="false">IF(IsPro,IF($D1787="","",IF(OR($H1787="",$H1787="Credit"),0,Q1787)),"")</f>
        <v/>
      </c>
    </row>
    <row r="1788" customFormat="false" ht="15" hidden="false" customHeight="false" outlineLevel="0" collapsed="false">
      <c r="A1788" s="55"/>
      <c r="B1788" s="56"/>
      <c r="C1788" s="56"/>
      <c r="D1788" s="56"/>
      <c r="E1788" s="57"/>
      <c r="F1788" s="58"/>
      <c r="G1788" s="59"/>
      <c r="H1788" s="56"/>
      <c r="I1788" s="56"/>
      <c r="J1788" s="60" t="str">
        <f aca="false">IF(IsPro,IF($D1788="","",IFERROR(INDEX(Items!$D$5:$D$504,U1788),"")),"")</f>
        <v/>
      </c>
      <c r="K1788" s="61" t="str">
        <f aca="false">IF(IsPro,IF($D1788="","",IF($F1788="",IFERROR(INDEX(Items!$H$5:$H$504,U1788),0),$F1788)),"")</f>
        <v/>
      </c>
      <c r="L1788" s="61" t="str">
        <f aca="false">IF(IsPro,IF($D1788="","",ROUND(N($E1788)*K1788*(1-N($G1788)),2)),"")</f>
        <v/>
      </c>
      <c r="M1788" s="62" t="str">
        <f aca="false">IF(IsPro,IF($D1788="","",IFERROR(INDEX(Items!$F$5:$F$504,U1788),0)),"")</f>
        <v/>
      </c>
      <c r="N1788" s="61" t="str">
        <f aca="false">IF(IsPro,IF($D1788="","",IF(AND(V1788&lt;&gt;"",INDEX(Parties!$E$5:$E$304,V1788)&lt;&gt;"",INDEX(Parties!$E$5:$E$304,V1788)&lt;&gt;HomeState),0,ROUND(L1788*M1788/2,2))),"")</f>
        <v/>
      </c>
      <c r="O1788" s="61" t="str">
        <f aca="false">IF(IsPro,IF($D1788="","",N1788),"")</f>
        <v/>
      </c>
      <c r="P1788" s="61" t="str">
        <f aca="false">IF(IsPro,IF($D1788="","",IF(AND(V1788&lt;&gt;"",INDEX(Parties!$E$5:$E$304,V1788)&lt;&gt;"",INDEX(Parties!$E$5:$E$304,V1788)&lt;&gt;HomeState),ROUND(L1788*M1788,2),0)),"")</f>
        <v/>
      </c>
      <c r="Q1788" s="61" t="str">
        <f aca="false">IF(IsPro,IF($D1788="","",L1788+N1788+O1788+P1788),"")</f>
        <v/>
      </c>
      <c r="R1788" s="61" t="str">
        <f aca="false">IF(IsPro,IF($D1788="","",ROUND(N($E1788)*IFERROR(INDEX(Items!$P$5:$P$504,U1788),0),2)),"")</f>
        <v/>
      </c>
      <c r="S1788" s="61" t="str">
        <f aca="false">IF(IsPro,IF($D1788="","",L1788-R1788),"")</f>
        <v/>
      </c>
      <c r="T1788" s="60" t="str">
        <f aca="false">IF(IsPro,IF($D1788="","",IF(U1788="","UNKNOWN ITEM",IF(INDEX(Items!$O$5:$O$504,U1788)&lt;0,"NEG STOCK",IF(K1788&lt;INDEX(Items!$P$5:$P$504,U1788),"BELOW COST","OK")))),IF($D1788="","","PRO PLAN"))</f>
        <v/>
      </c>
      <c r="U1788" s="60" t="str">
        <f aca="false">IF(IsPro,IF($D1788="","",IFERROR(MATCH($D1788,Items!$A$5:$A$504,0),"")),"")</f>
        <v/>
      </c>
      <c r="V1788" s="60" t="str">
        <f aca="false">IF(IsPro,IF($C1788="","",IFERROR(MATCH($C1788,Parties!$A$5:$A$304,0),"")),"")</f>
        <v/>
      </c>
      <c r="W1788" s="60" t="str">
        <f aca="false">IF(IsPro,IF($B1788="","",IFERROR(VALUE(SUBSTITUTE($B1788,InvPrefix,"")),0)),"")</f>
        <v/>
      </c>
      <c r="X1788" s="61" t="str">
        <f aca="false">IF(IsPro,IF($D1788="","",IF(OR($H1788="",$H1788="Credit"),0,Q1788)),"")</f>
        <v/>
      </c>
    </row>
    <row r="1789" customFormat="false" ht="15" hidden="false" customHeight="false" outlineLevel="0" collapsed="false">
      <c r="A1789" s="55"/>
      <c r="B1789" s="56"/>
      <c r="C1789" s="56"/>
      <c r="D1789" s="56"/>
      <c r="E1789" s="57"/>
      <c r="F1789" s="58"/>
      <c r="G1789" s="59"/>
      <c r="H1789" s="56"/>
      <c r="I1789" s="56"/>
      <c r="J1789" s="60" t="str">
        <f aca="false">IF(IsPro,IF($D1789="","",IFERROR(INDEX(Items!$D$5:$D$504,U1789),"")),"")</f>
        <v/>
      </c>
      <c r="K1789" s="61" t="str">
        <f aca="false">IF(IsPro,IF($D1789="","",IF($F1789="",IFERROR(INDEX(Items!$H$5:$H$504,U1789),0),$F1789)),"")</f>
        <v/>
      </c>
      <c r="L1789" s="61" t="str">
        <f aca="false">IF(IsPro,IF($D1789="","",ROUND(N($E1789)*K1789*(1-N($G1789)),2)),"")</f>
        <v/>
      </c>
      <c r="M1789" s="62" t="str">
        <f aca="false">IF(IsPro,IF($D1789="","",IFERROR(INDEX(Items!$F$5:$F$504,U1789),0)),"")</f>
        <v/>
      </c>
      <c r="N1789" s="61" t="str">
        <f aca="false">IF(IsPro,IF($D1789="","",IF(AND(V1789&lt;&gt;"",INDEX(Parties!$E$5:$E$304,V1789)&lt;&gt;"",INDEX(Parties!$E$5:$E$304,V1789)&lt;&gt;HomeState),0,ROUND(L1789*M1789/2,2))),"")</f>
        <v/>
      </c>
      <c r="O1789" s="61" t="str">
        <f aca="false">IF(IsPro,IF($D1789="","",N1789),"")</f>
        <v/>
      </c>
      <c r="P1789" s="61" t="str">
        <f aca="false">IF(IsPro,IF($D1789="","",IF(AND(V1789&lt;&gt;"",INDEX(Parties!$E$5:$E$304,V1789)&lt;&gt;"",INDEX(Parties!$E$5:$E$304,V1789)&lt;&gt;HomeState),ROUND(L1789*M1789,2),0)),"")</f>
        <v/>
      </c>
      <c r="Q1789" s="61" t="str">
        <f aca="false">IF(IsPro,IF($D1789="","",L1789+N1789+O1789+P1789),"")</f>
        <v/>
      </c>
      <c r="R1789" s="61" t="str">
        <f aca="false">IF(IsPro,IF($D1789="","",ROUND(N($E1789)*IFERROR(INDEX(Items!$P$5:$P$504,U1789),0),2)),"")</f>
        <v/>
      </c>
      <c r="S1789" s="61" t="str">
        <f aca="false">IF(IsPro,IF($D1789="","",L1789-R1789),"")</f>
        <v/>
      </c>
      <c r="T1789" s="60" t="str">
        <f aca="false">IF(IsPro,IF($D1789="","",IF(U1789="","UNKNOWN ITEM",IF(INDEX(Items!$O$5:$O$504,U1789)&lt;0,"NEG STOCK",IF(K1789&lt;INDEX(Items!$P$5:$P$504,U1789),"BELOW COST","OK")))),IF($D1789="","","PRO PLAN"))</f>
        <v/>
      </c>
      <c r="U1789" s="60" t="str">
        <f aca="false">IF(IsPro,IF($D1789="","",IFERROR(MATCH($D1789,Items!$A$5:$A$504,0),"")),"")</f>
        <v/>
      </c>
      <c r="V1789" s="60" t="str">
        <f aca="false">IF(IsPro,IF($C1789="","",IFERROR(MATCH($C1789,Parties!$A$5:$A$304,0),"")),"")</f>
        <v/>
      </c>
      <c r="W1789" s="60" t="str">
        <f aca="false">IF(IsPro,IF($B1789="","",IFERROR(VALUE(SUBSTITUTE($B1789,InvPrefix,"")),0)),"")</f>
        <v/>
      </c>
      <c r="X1789" s="61" t="str">
        <f aca="false">IF(IsPro,IF($D1789="","",IF(OR($H1789="",$H1789="Credit"),0,Q1789)),"")</f>
        <v/>
      </c>
    </row>
    <row r="1790" customFormat="false" ht="15" hidden="false" customHeight="false" outlineLevel="0" collapsed="false">
      <c r="A1790" s="55"/>
      <c r="B1790" s="56"/>
      <c r="C1790" s="56"/>
      <c r="D1790" s="56"/>
      <c r="E1790" s="57"/>
      <c r="F1790" s="58"/>
      <c r="G1790" s="59"/>
      <c r="H1790" s="56"/>
      <c r="I1790" s="56"/>
      <c r="J1790" s="60" t="str">
        <f aca="false">IF(IsPro,IF($D1790="","",IFERROR(INDEX(Items!$D$5:$D$504,U1790),"")),"")</f>
        <v/>
      </c>
      <c r="K1790" s="61" t="str">
        <f aca="false">IF(IsPro,IF($D1790="","",IF($F1790="",IFERROR(INDEX(Items!$H$5:$H$504,U1790),0),$F1790)),"")</f>
        <v/>
      </c>
      <c r="L1790" s="61" t="str">
        <f aca="false">IF(IsPro,IF($D1790="","",ROUND(N($E1790)*K1790*(1-N($G1790)),2)),"")</f>
        <v/>
      </c>
      <c r="M1790" s="62" t="str">
        <f aca="false">IF(IsPro,IF($D1790="","",IFERROR(INDEX(Items!$F$5:$F$504,U1790),0)),"")</f>
        <v/>
      </c>
      <c r="N1790" s="61" t="str">
        <f aca="false">IF(IsPro,IF($D1790="","",IF(AND(V1790&lt;&gt;"",INDEX(Parties!$E$5:$E$304,V1790)&lt;&gt;"",INDEX(Parties!$E$5:$E$304,V1790)&lt;&gt;HomeState),0,ROUND(L1790*M1790/2,2))),"")</f>
        <v/>
      </c>
      <c r="O1790" s="61" t="str">
        <f aca="false">IF(IsPro,IF($D1790="","",N1790),"")</f>
        <v/>
      </c>
      <c r="P1790" s="61" t="str">
        <f aca="false">IF(IsPro,IF($D1790="","",IF(AND(V1790&lt;&gt;"",INDEX(Parties!$E$5:$E$304,V1790)&lt;&gt;"",INDEX(Parties!$E$5:$E$304,V1790)&lt;&gt;HomeState),ROUND(L1790*M1790,2),0)),"")</f>
        <v/>
      </c>
      <c r="Q1790" s="61" t="str">
        <f aca="false">IF(IsPro,IF($D1790="","",L1790+N1790+O1790+P1790),"")</f>
        <v/>
      </c>
      <c r="R1790" s="61" t="str">
        <f aca="false">IF(IsPro,IF($D1790="","",ROUND(N($E1790)*IFERROR(INDEX(Items!$P$5:$P$504,U1790),0),2)),"")</f>
        <v/>
      </c>
      <c r="S1790" s="61" t="str">
        <f aca="false">IF(IsPro,IF($D1790="","",L1790-R1790),"")</f>
        <v/>
      </c>
      <c r="T1790" s="60" t="str">
        <f aca="false">IF(IsPro,IF($D1790="","",IF(U1790="","UNKNOWN ITEM",IF(INDEX(Items!$O$5:$O$504,U1790)&lt;0,"NEG STOCK",IF(K1790&lt;INDEX(Items!$P$5:$P$504,U1790),"BELOW COST","OK")))),IF($D1790="","","PRO PLAN"))</f>
        <v/>
      </c>
      <c r="U1790" s="60" t="str">
        <f aca="false">IF(IsPro,IF($D1790="","",IFERROR(MATCH($D1790,Items!$A$5:$A$504,0),"")),"")</f>
        <v/>
      </c>
      <c r="V1790" s="60" t="str">
        <f aca="false">IF(IsPro,IF($C1790="","",IFERROR(MATCH($C1790,Parties!$A$5:$A$304,0),"")),"")</f>
        <v/>
      </c>
      <c r="W1790" s="60" t="str">
        <f aca="false">IF(IsPro,IF($B1790="","",IFERROR(VALUE(SUBSTITUTE($B1790,InvPrefix,"")),0)),"")</f>
        <v/>
      </c>
      <c r="X1790" s="61" t="str">
        <f aca="false">IF(IsPro,IF($D1790="","",IF(OR($H1790="",$H1790="Credit"),0,Q1790)),"")</f>
        <v/>
      </c>
    </row>
    <row r="1791" customFormat="false" ht="15" hidden="false" customHeight="false" outlineLevel="0" collapsed="false">
      <c r="A1791" s="55"/>
      <c r="B1791" s="56"/>
      <c r="C1791" s="56"/>
      <c r="D1791" s="56"/>
      <c r="E1791" s="57"/>
      <c r="F1791" s="58"/>
      <c r="G1791" s="59"/>
      <c r="H1791" s="56"/>
      <c r="I1791" s="56"/>
      <c r="J1791" s="60" t="str">
        <f aca="false">IF(IsPro,IF($D1791="","",IFERROR(INDEX(Items!$D$5:$D$504,U1791),"")),"")</f>
        <v/>
      </c>
      <c r="K1791" s="61" t="str">
        <f aca="false">IF(IsPro,IF($D1791="","",IF($F1791="",IFERROR(INDEX(Items!$H$5:$H$504,U1791),0),$F1791)),"")</f>
        <v/>
      </c>
      <c r="L1791" s="61" t="str">
        <f aca="false">IF(IsPro,IF($D1791="","",ROUND(N($E1791)*K1791*(1-N($G1791)),2)),"")</f>
        <v/>
      </c>
      <c r="M1791" s="62" t="str">
        <f aca="false">IF(IsPro,IF($D1791="","",IFERROR(INDEX(Items!$F$5:$F$504,U1791),0)),"")</f>
        <v/>
      </c>
      <c r="N1791" s="61" t="str">
        <f aca="false">IF(IsPro,IF($D1791="","",IF(AND(V1791&lt;&gt;"",INDEX(Parties!$E$5:$E$304,V1791)&lt;&gt;"",INDEX(Parties!$E$5:$E$304,V1791)&lt;&gt;HomeState),0,ROUND(L1791*M1791/2,2))),"")</f>
        <v/>
      </c>
      <c r="O1791" s="61" t="str">
        <f aca="false">IF(IsPro,IF($D1791="","",N1791),"")</f>
        <v/>
      </c>
      <c r="P1791" s="61" t="str">
        <f aca="false">IF(IsPro,IF($D1791="","",IF(AND(V1791&lt;&gt;"",INDEX(Parties!$E$5:$E$304,V1791)&lt;&gt;"",INDEX(Parties!$E$5:$E$304,V1791)&lt;&gt;HomeState),ROUND(L1791*M1791,2),0)),"")</f>
        <v/>
      </c>
      <c r="Q1791" s="61" t="str">
        <f aca="false">IF(IsPro,IF($D1791="","",L1791+N1791+O1791+P1791),"")</f>
        <v/>
      </c>
      <c r="R1791" s="61" t="str">
        <f aca="false">IF(IsPro,IF($D1791="","",ROUND(N($E1791)*IFERROR(INDEX(Items!$P$5:$P$504,U1791),0),2)),"")</f>
        <v/>
      </c>
      <c r="S1791" s="61" t="str">
        <f aca="false">IF(IsPro,IF($D1791="","",L1791-R1791),"")</f>
        <v/>
      </c>
      <c r="T1791" s="60" t="str">
        <f aca="false">IF(IsPro,IF($D1791="","",IF(U1791="","UNKNOWN ITEM",IF(INDEX(Items!$O$5:$O$504,U1791)&lt;0,"NEG STOCK",IF(K1791&lt;INDEX(Items!$P$5:$P$504,U1791),"BELOW COST","OK")))),IF($D1791="","","PRO PLAN"))</f>
        <v/>
      </c>
      <c r="U1791" s="60" t="str">
        <f aca="false">IF(IsPro,IF($D1791="","",IFERROR(MATCH($D1791,Items!$A$5:$A$504,0),"")),"")</f>
        <v/>
      </c>
      <c r="V1791" s="60" t="str">
        <f aca="false">IF(IsPro,IF($C1791="","",IFERROR(MATCH($C1791,Parties!$A$5:$A$304,0),"")),"")</f>
        <v/>
      </c>
      <c r="W1791" s="60" t="str">
        <f aca="false">IF(IsPro,IF($B1791="","",IFERROR(VALUE(SUBSTITUTE($B1791,InvPrefix,"")),0)),"")</f>
        <v/>
      </c>
      <c r="X1791" s="61" t="str">
        <f aca="false">IF(IsPro,IF($D1791="","",IF(OR($H1791="",$H1791="Credit"),0,Q1791)),"")</f>
        <v/>
      </c>
    </row>
    <row r="1792" customFormat="false" ht="15" hidden="false" customHeight="false" outlineLevel="0" collapsed="false">
      <c r="A1792" s="55"/>
      <c r="B1792" s="56"/>
      <c r="C1792" s="56"/>
      <c r="D1792" s="56"/>
      <c r="E1792" s="57"/>
      <c r="F1792" s="58"/>
      <c r="G1792" s="59"/>
      <c r="H1792" s="56"/>
      <c r="I1792" s="56"/>
      <c r="J1792" s="60" t="str">
        <f aca="false">IF(IsPro,IF($D1792="","",IFERROR(INDEX(Items!$D$5:$D$504,U1792),"")),"")</f>
        <v/>
      </c>
      <c r="K1792" s="61" t="str">
        <f aca="false">IF(IsPro,IF($D1792="","",IF($F1792="",IFERROR(INDEX(Items!$H$5:$H$504,U1792),0),$F1792)),"")</f>
        <v/>
      </c>
      <c r="L1792" s="61" t="str">
        <f aca="false">IF(IsPro,IF($D1792="","",ROUND(N($E1792)*K1792*(1-N($G1792)),2)),"")</f>
        <v/>
      </c>
      <c r="M1792" s="62" t="str">
        <f aca="false">IF(IsPro,IF($D1792="","",IFERROR(INDEX(Items!$F$5:$F$504,U1792),0)),"")</f>
        <v/>
      </c>
      <c r="N1792" s="61" t="str">
        <f aca="false">IF(IsPro,IF($D1792="","",IF(AND(V1792&lt;&gt;"",INDEX(Parties!$E$5:$E$304,V1792)&lt;&gt;"",INDEX(Parties!$E$5:$E$304,V1792)&lt;&gt;HomeState),0,ROUND(L1792*M1792/2,2))),"")</f>
        <v/>
      </c>
      <c r="O1792" s="61" t="str">
        <f aca="false">IF(IsPro,IF($D1792="","",N1792),"")</f>
        <v/>
      </c>
      <c r="P1792" s="61" t="str">
        <f aca="false">IF(IsPro,IF($D1792="","",IF(AND(V1792&lt;&gt;"",INDEX(Parties!$E$5:$E$304,V1792)&lt;&gt;"",INDEX(Parties!$E$5:$E$304,V1792)&lt;&gt;HomeState),ROUND(L1792*M1792,2),0)),"")</f>
        <v/>
      </c>
      <c r="Q1792" s="61" t="str">
        <f aca="false">IF(IsPro,IF($D1792="","",L1792+N1792+O1792+P1792),"")</f>
        <v/>
      </c>
      <c r="R1792" s="61" t="str">
        <f aca="false">IF(IsPro,IF($D1792="","",ROUND(N($E1792)*IFERROR(INDEX(Items!$P$5:$P$504,U1792),0),2)),"")</f>
        <v/>
      </c>
      <c r="S1792" s="61" t="str">
        <f aca="false">IF(IsPro,IF($D1792="","",L1792-R1792),"")</f>
        <v/>
      </c>
      <c r="T1792" s="60" t="str">
        <f aca="false">IF(IsPro,IF($D1792="","",IF(U1792="","UNKNOWN ITEM",IF(INDEX(Items!$O$5:$O$504,U1792)&lt;0,"NEG STOCK",IF(K1792&lt;INDEX(Items!$P$5:$P$504,U1792),"BELOW COST","OK")))),IF($D1792="","","PRO PLAN"))</f>
        <v/>
      </c>
      <c r="U1792" s="60" t="str">
        <f aca="false">IF(IsPro,IF($D1792="","",IFERROR(MATCH($D1792,Items!$A$5:$A$504,0),"")),"")</f>
        <v/>
      </c>
      <c r="V1792" s="60" t="str">
        <f aca="false">IF(IsPro,IF($C1792="","",IFERROR(MATCH($C1792,Parties!$A$5:$A$304,0),"")),"")</f>
        <v/>
      </c>
      <c r="W1792" s="60" t="str">
        <f aca="false">IF(IsPro,IF($B1792="","",IFERROR(VALUE(SUBSTITUTE($B1792,InvPrefix,"")),0)),"")</f>
        <v/>
      </c>
      <c r="X1792" s="61" t="str">
        <f aca="false">IF(IsPro,IF($D1792="","",IF(OR($H1792="",$H1792="Credit"),0,Q1792)),"")</f>
        <v/>
      </c>
    </row>
    <row r="1793" customFormat="false" ht="15" hidden="false" customHeight="false" outlineLevel="0" collapsed="false">
      <c r="A1793" s="55"/>
      <c r="B1793" s="56"/>
      <c r="C1793" s="56"/>
      <c r="D1793" s="56"/>
      <c r="E1793" s="57"/>
      <c r="F1793" s="58"/>
      <c r="G1793" s="59"/>
      <c r="H1793" s="56"/>
      <c r="I1793" s="56"/>
      <c r="J1793" s="60" t="str">
        <f aca="false">IF(IsPro,IF($D1793="","",IFERROR(INDEX(Items!$D$5:$D$504,U1793),"")),"")</f>
        <v/>
      </c>
      <c r="K1793" s="61" t="str">
        <f aca="false">IF(IsPro,IF($D1793="","",IF($F1793="",IFERROR(INDEX(Items!$H$5:$H$504,U1793),0),$F1793)),"")</f>
        <v/>
      </c>
      <c r="L1793" s="61" t="str">
        <f aca="false">IF(IsPro,IF($D1793="","",ROUND(N($E1793)*K1793*(1-N($G1793)),2)),"")</f>
        <v/>
      </c>
      <c r="M1793" s="62" t="str">
        <f aca="false">IF(IsPro,IF($D1793="","",IFERROR(INDEX(Items!$F$5:$F$504,U1793),0)),"")</f>
        <v/>
      </c>
      <c r="N1793" s="61" t="str">
        <f aca="false">IF(IsPro,IF($D1793="","",IF(AND(V1793&lt;&gt;"",INDEX(Parties!$E$5:$E$304,V1793)&lt;&gt;"",INDEX(Parties!$E$5:$E$304,V1793)&lt;&gt;HomeState),0,ROUND(L1793*M1793/2,2))),"")</f>
        <v/>
      </c>
      <c r="O1793" s="61" t="str">
        <f aca="false">IF(IsPro,IF($D1793="","",N1793),"")</f>
        <v/>
      </c>
      <c r="P1793" s="61" t="str">
        <f aca="false">IF(IsPro,IF($D1793="","",IF(AND(V1793&lt;&gt;"",INDEX(Parties!$E$5:$E$304,V1793)&lt;&gt;"",INDEX(Parties!$E$5:$E$304,V1793)&lt;&gt;HomeState),ROUND(L1793*M1793,2),0)),"")</f>
        <v/>
      </c>
      <c r="Q1793" s="61" t="str">
        <f aca="false">IF(IsPro,IF($D1793="","",L1793+N1793+O1793+P1793),"")</f>
        <v/>
      </c>
      <c r="R1793" s="61" t="str">
        <f aca="false">IF(IsPro,IF($D1793="","",ROUND(N($E1793)*IFERROR(INDEX(Items!$P$5:$P$504,U1793),0),2)),"")</f>
        <v/>
      </c>
      <c r="S1793" s="61" t="str">
        <f aca="false">IF(IsPro,IF($D1793="","",L1793-R1793),"")</f>
        <v/>
      </c>
      <c r="T1793" s="60" t="str">
        <f aca="false">IF(IsPro,IF($D1793="","",IF(U1793="","UNKNOWN ITEM",IF(INDEX(Items!$O$5:$O$504,U1793)&lt;0,"NEG STOCK",IF(K1793&lt;INDEX(Items!$P$5:$P$504,U1793),"BELOW COST","OK")))),IF($D1793="","","PRO PLAN"))</f>
        <v/>
      </c>
      <c r="U1793" s="60" t="str">
        <f aca="false">IF(IsPro,IF($D1793="","",IFERROR(MATCH($D1793,Items!$A$5:$A$504,0),"")),"")</f>
        <v/>
      </c>
      <c r="V1793" s="60" t="str">
        <f aca="false">IF(IsPro,IF($C1793="","",IFERROR(MATCH($C1793,Parties!$A$5:$A$304,0),"")),"")</f>
        <v/>
      </c>
      <c r="W1793" s="60" t="str">
        <f aca="false">IF(IsPro,IF($B1793="","",IFERROR(VALUE(SUBSTITUTE($B1793,InvPrefix,"")),0)),"")</f>
        <v/>
      </c>
      <c r="X1793" s="61" t="str">
        <f aca="false">IF(IsPro,IF($D1793="","",IF(OR($H1793="",$H1793="Credit"),0,Q1793)),"")</f>
        <v/>
      </c>
    </row>
    <row r="1794" customFormat="false" ht="15" hidden="false" customHeight="false" outlineLevel="0" collapsed="false">
      <c r="A1794" s="55"/>
      <c r="B1794" s="56"/>
      <c r="C1794" s="56"/>
      <c r="D1794" s="56"/>
      <c r="E1794" s="57"/>
      <c r="F1794" s="58"/>
      <c r="G1794" s="59"/>
      <c r="H1794" s="56"/>
      <c r="I1794" s="56"/>
      <c r="J1794" s="60" t="str">
        <f aca="false">IF(IsPro,IF($D1794="","",IFERROR(INDEX(Items!$D$5:$D$504,U1794),"")),"")</f>
        <v/>
      </c>
      <c r="K1794" s="61" t="str">
        <f aca="false">IF(IsPro,IF($D1794="","",IF($F1794="",IFERROR(INDEX(Items!$H$5:$H$504,U1794),0),$F1794)),"")</f>
        <v/>
      </c>
      <c r="L1794" s="61" t="str">
        <f aca="false">IF(IsPro,IF($D1794="","",ROUND(N($E1794)*K1794*(1-N($G1794)),2)),"")</f>
        <v/>
      </c>
      <c r="M1794" s="62" t="str">
        <f aca="false">IF(IsPro,IF($D1794="","",IFERROR(INDEX(Items!$F$5:$F$504,U1794),0)),"")</f>
        <v/>
      </c>
      <c r="N1794" s="61" t="str">
        <f aca="false">IF(IsPro,IF($D1794="","",IF(AND(V1794&lt;&gt;"",INDEX(Parties!$E$5:$E$304,V1794)&lt;&gt;"",INDEX(Parties!$E$5:$E$304,V1794)&lt;&gt;HomeState),0,ROUND(L1794*M1794/2,2))),"")</f>
        <v/>
      </c>
      <c r="O1794" s="61" t="str">
        <f aca="false">IF(IsPro,IF($D1794="","",N1794),"")</f>
        <v/>
      </c>
      <c r="P1794" s="61" t="str">
        <f aca="false">IF(IsPro,IF($D1794="","",IF(AND(V1794&lt;&gt;"",INDEX(Parties!$E$5:$E$304,V1794)&lt;&gt;"",INDEX(Parties!$E$5:$E$304,V1794)&lt;&gt;HomeState),ROUND(L1794*M1794,2),0)),"")</f>
        <v/>
      </c>
      <c r="Q1794" s="61" t="str">
        <f aca="false">IF(IsPro,IF($D1794="","",L1794+N1794+O1794+P1794),"")</f>
        <v/>
      </c>
      <c r="R1794" s="61" t="str">
        <f aca="false">IF(IsPro,IF($D1794="","",ROUND(N($E1794)*IFERROR(INDEX(Items!$P$5:$P$504,U1794),0),2)),"")</f>
        <v/>
      </c>
      <c r="S1794" s="61" t="str">
        <f aca="false">IF(IsPro,IF($D1794="","",L1794-R1794),"")</f>
        <v/>
      </c>
      <c r="T1794" s="60" t="str">
        <f aca="false">IF(IsPro,IF($D1794="","",IF(U1794="","UNKNOWN ITEM",IF(INDEX(Items!$O$5:$O$504,U1794)&lt;0,"NEG STOCK",IF(K1794&lt;INDEX(Items!$P$5:$P$504,U1794),"BELOW COST","OK")))),IF($D1794="","","PRO PLAN"))</f>
        <v/>
      </c>
      <c r="U1794" s="60" t="str">
        <f aca="false">IF(IsPro,IF($D1794="","",IFERROR(MATCH($D1794,Items!$A$5:$A$504,0),"")),"")</f>
        <v/>
      </c>
      <c r="V1794" s="60" t="str">
        <f aca="false">IF(IsPro,IF($C1794="","",IFERROR(MATCH($C1794,Parties!$A$5:$A$304,0),"")),"")</f>
        <v/>
      </c>
      <c r="W1794" s="60" t="str">
        <f aca="false">IF(IsPro,IF($B1794="","",IFERROR(VALUE(SUBSTITUTE($B1794,InvPrefix,"")),0)),"")</f>
        <v/>
      </c>
      <c r="X1794" s="61" t="str">
        <f aca="false">IF(IsPro,IF($D1794="","",IF(OR($H1794="",$H1794="Credit"),0,Q1794)),"")</f>
        <v/>
      </c>
    </row>
    <row r="1795" customFormat="false" ht="15" hidden="false" customHeight="false" outlineLevel="0" collapsed="false">
      <c r="A1795" s="55"/>
      <c r="B1795" s="56"/>
      <c r="C1795" s="56"/>
      <c r="D1795" s="56"/>
      <c r="E1795" s="57"/>
      <c r="F1795" s="58"/>
      <c r="G1795" s="59"/>
      <c r="H1795" s="56"/>
      <c r="I1795" s="56"/>
      <c r="J1795" s="60" t="str">
        <f aca="false">IF(IsPro,IF($D1795="","",IFERROR(INDEX(Items!$D$5:$D$504,U1795),"")),"")</f>
        <v/>
      </c>
      <c r="K1795" s="61" t="str">
        <f aca="false">IF(IsPro,IF($D1795="","",IF($F1795="",IFERROR(INDEX(Items!$H$5:$H$504,U1795),0),$F1795)),"")</f>
        <v/>
      </c>
      <c r="L1795" s="61" t="str">
        <f aca="false">IF(IsPro,IF($D1795="","",ROUND(N($E1795)*K1795*(1-N($G1795)),2)),"")</f>
        <v/>
      </c>
      <c r="M1795" s="62" t="str">
        <f aca="false">IF(IsPro,IF($D1795="","",IFERROR(INDEX(Items!$F$5:$F$504,U1795),0)),"")</f>
        <v/>
      </c>
      <c r="N1795" s="61" t="str">
        <f aca="false">IF(IsPro,IF($D1795="","",IF(AND(V1795&lt;&gt;"",INDEX(Parties!$E$5:$E$304,V1795)&lt;&gt;"",INDEX(Parties!$E$5:$E$304,V1795)&lt;&gt;HomeState),0,ROUND(L1795*M1795/2,2))),"")</f>
        <v/>
      </c>
      <c r="O1795" s="61" t="str">
        <f aca="false">IF(IsPro,IF($D1795="","",N1795),"")</f>
        <v/>
      </c>
      <c r="P1795" s="61" t="str">
        <f aca="false">IF(IsPro,IF($D1795="","",IF(AND(V1795&lt;&gt;"",INDEX(Parties!$E$5:$E$304,V1795)&lt;&gt;"",INDEX(Parties!$E$5:$E$304,V1795)&lt;&gt;HomeState),ROUND(L1795*M1795,2),0)),"")</f>
        <v/>
      </c>
      <c r="Q1795" s="61" t="str">
        <f aca="false">IF(IsPro,IF($D1795="","",L1795+N1795+O1795+P1795),"")</f>
        <v/>
      </c>
      <c r="R1795" s="61" t="str">
        <f aca="false">IF(IsPro,IF($D1795="","",ROUND(N($E1795)*IFERROR(INDEX(Items!$P$5:$P$504,U1795),0),2)),"")</f>
        <v/>
      </c>
      <c r="S1795" s="61" t="str">
        <f aca="false">IF(IsPro,IF($D1795="","",L1795-R1795),"")</f>
        <v/>
      </c>
      <c r="T1795" s="60" t="str">
        <f aca="false">IF(IsPro,IF($D1795="","",IF(U1795="","UNKNOWN ITEM",IF(INDEX(Items!$O$5:$O$504,U1795)&lt;0,"NEG STOCK",IF(K1795&lt;INDEX(Items!$P$5:$P$504,U1795),"BELOW COST","OK")))),IF($D1795="","","PRO PLAN"))</f>
        <v/>
      </c>
      <c r="U1795" s="60" t="str">
        <f aca="false">IF(IsPro,IF($D1795="","",IFERROR(MATCH($D1795,Items!$A$5:$A$504,0),"")),"")</f>
        <v/>
      </c>
      <c r="V1795" s="60" t="str">
        <f aca="false">IF(IsPro,IF($C1795="","",IFERROR(MATCH($C1795,Parties!$A$5:$A$304,0),"")),"")</f>
        <v/>
      </c>
      <c r="W1795" s="60" t="str">
        <f aca="false">IF(IsPro,IF($B1795="","",IFERROR(VALUE(SUBSTITUTE($B1795,InvPrefix,"")),0)),"")</f>
        <v/>
      </c>
      <c r="X1795" s="61" t="str">
        <f aca="false">IF(IsPro,IF($D1795="","",IF(OR($H1795="",$H1795="Credit"),0,Q1795)),"")</f>
        <v/>
      </c>
    </row>
    <row r="1796" customFormat="false" ht="15" hidden="false" customHeight="false" outlineLevel="0" collapsed="false">
      <c r="A1796" s="55"/>
      <c r="B1796" s="56"/>
      <c r="C1796" s="56"/>
      <c r="D1796" s="56"/>
      <c r="E1796" s="57"/>
      <c r="F1796" s="58"/>
      <c r="G1796" s="59"/>
      <c r="H1796" s="56"/>
      <c r="I1796" s="56"/>
      <c r="J1796" s="60" t="str">
        <f aca="false">IF(IsPro,IF($D1796="","",IFERROR(INDEX(Items!$D$5:$D$504,U1796),"")),"")</f>
        <v/>
      </c>
      <c r="K1796" s="61" t="str">
        <f aca="false">IF(IsPro,IF($D1796="","",IF($F1796="",IFERROR(INDEX(Items!$H$5:$H$504,U1796),0),$F1796)),"")</f>
        <v/>
      </c>
      <c r="L1796" s="61" t="str">
        <f aca="false">IF(IsPro,IF($D1796="","",ROUND(N($E1796)*K1796*(1-N($G1796)),2)),"")</f>
        <v/>
      </c>
      <c r="M1796" s="62" t="str">
        <f aca="false">IF(IsPro,IF($D1796="","",IFERROR(INDEX(Items!$F$5:$F$504,U1796),0)),"")</f>
        <v/>
      </c>
      <c r="N1796" s="61" t="str">
        <f aca="false">IF(IsPro,IF($D1796="","",IF(AND(V1796&lt;&gt;"",INDEX(Parties!$E$5:$E$304,V1796)&lt;&gt;"",INDEX(Parties!$E$5:$E$304,V1796)&lt;&gt;HomeState),0,ROUND(L1796*M1796/2,2))),"")</f>
        <v/>
      </c>
      <c r="O1796" s="61" t="str">
        <f aca="false">IF(IsPro,IF($D1796="","",N1796),"")</f>
        <v/>
      </c>
      <c r="P1796" s="61" t="str">
        <f aca="false">IF(IsPro,IF($D1796="","",IF(AND(V1796&lt;&gt;"",INDEX(Parties!$E$5:$E$304,V1796)&lt;&gt;"",INDEX(Parties!$E$5:$E$304,V1796)&lt;&gt;HomeState),ROUND(L1796*M1796,2),0)),"")</f>
        <v/>
      </c>
      <c r="Q1796" s="61" t="str">
        <f aca="false">IF(IsPro,IF($D1796="","",L1796+N1796+O1796+P1796),"")</f>
        <v/>
      </c>
      <c r="R1796" s="61" t="str">
        <f aca="false">IF(IsPro,IF($D1796="","",ROUND(N($E1796)*IFERROR(INDEX(Items!$P$5:$P$504,U1796),0),2)),"")</f>
        <v/>
      </c>
      <c r="S1796" s="61" t="str">
        <f aca="false">IF(IsPro,IF($D1796="","",L1796-R1796),"")</f>
        <v/>
      </c>
      <c r="T1796" s="60" t="str">
        <f aca="false">IF(IsPro,IF($D1796="","",IF(U1796="","UNKNOWN ITEM",IF(INDEX(Items!$O$5:$O$504,U1796)&lt;0,"NEG STOCK",IF(K1796&lt;INDEX(Items!$P$5:$P$504,U1796),"BELOW COST","OK")))),IF($D1796="","","PRO PLAN"))</f>
        <v/>
      </c>
      <c r="U1796" s="60" t="str">
        <f aca="false">IF(IsPro,IF($D1796="","",IFERROR(MATCH($D1796,Items!$A$5:$A$504,0),"")),"")</f>
        <v/>
      </c>
      <c r="V1796" s="60" t="str">
        <f aca="false">IF(IsPro,IF($C1796="","",IFERROR(MATCH($C1796,Parties!$A$5:$A$304,0),"")),"")</f>
        <v/>
      </c>
      <c r="W1796" s="60" t="str">
        <f aca="false">IF(IsPro,IF($B1796="","",IFERROR(VALUE(SUBSTITUTE($B1796,InvPrefix,"")),0)),"")</f>
        <v/>
      </c>
      <c r="X1796" s="61" t="str">
        <f aca="false">IF(IsPro,IF($D1796="","",IF(OR($H1796="",$H1796="Credit"),0,Q1796)),"")</f>
        <v/>
      </c>
    </row>
    <row r="1797" customFormat="false" ht="15" hidden="false" customHeight="false" outlineLevel="0" collapsed="false">
      <c r="A1797" s="55"/>
      <c r="B1797" s="56"/>
      <c r="C1797" s="56"/>
      <c r="D1797" s="56"/>
      <c r="E1797" s="57"/>
      <c r="F1797" s="58"/>
      <c r="G1797" s="59"/>
      <c r="H1797" s="56"/>
      <c r="I1797" s="56"/>
      <c r="J1797" s="60" t="str">
        <f aca="false">IF(IsPro,IF($D1797="","",IFERROR(INDEX(Items!$D$5:$D$504,U1797),"")),"")</f>
        <v/>
      </c>
      <c r="K1797" s="61" t="str">
        <f aca="false">IF(IsPro,IF($D1797="","",IF($F1797="",IFERROR(INDEX(Items!$H$5:$H$504,U1797),0),$F1797)),"")</f>
        <v/>
      </c>
      <c r="L1797" s="61" t="str">
        <f aca="false">IF(IsPro,IF($D1797="","",ROUND(N($E1797)*K1797*(1-N($G1797)),2)),"")</f>
        <v/>
      </c>
      <c r="M1797" s="62" t="str">
        <f aca="false">IF(IsPro,IF($D1797="","",IFERROR(INDEX(Items!$F$5:$F$504,U1797),0)),"")</f>
        <v/>
      </c>
      <c r="N1797" s="61" t="str">
        <f aca="false">IF(IsPro,IF($D1797="","",IF(AND(V1797&lt;&gt;"",INDEX(Parties!$E$5:$E$304,V1797)&lt;&gt;"",INDEX(Parties!$E$5:$E$304,V1797)&lt;&gt;HomeState),0,ROUND(L1797*M1797/2,2))),"")</f>
        <v/>
      </c>
      <c r="O1797" s="61" t="str">
        <f aca="false">IF(IsPro,IF($D1797="","",N1797),"")</f>
        <v/>
      </c>
      <c r="P1797" s="61" t="str">
        <f aca="false">IF(IsPro,IF($D1797="","",IF(AND(V1797&lt;&gt;"",INDEX(Parties!$E$5:$E$304,V1797)&lt;&gt;"",INDEX(Parties!$E$5:$E$304,V1797)&lt;&gt;HomeState),ROUND(L1797*M1797,2),0)),"")</f>
        <v/>
      </c>
      <c r="Q1797" s="61" t="str">
        <f aca="false">IF(IsPro,IF($D1797="","",L1797+N1797+O1797+P1797),"")</f>
        <v/>
      </c>
      <c r="R1797" s="61" t="str">
        <f aca="false">IF(IsPro,IF($D1797="","",ROUND(N($E1797)*IFERROR(INDEX(Items!$P$5:$P$504,U1797),0),2)),"")</f>
        <v/>
      </c>
      <c r="S1797" s="61" t="str">
        <f aca="false">IF(IsPro,IF($D1797="","",L1797-R1797),"")</f>
        <v/>
      </c>
      <c r="T1797" s="60" t="str">
        <f aca="false">IF(IsPro,IF($D1797="","",IF(U1797="","UNKNOWN ITEM",IF(INDEX(Items!$O$5:$O$504,U1797)&lt;0,"NEG STOCK",IF(K1797&lt;INDEX(Items!$P$5:$P$504,U1797),"BELOW COST","OK")))),IF($D1797="","","PRO PLAN"))</f>
        <v/>
      </c>
      <c r="U1797" s="60" t="str">
        <f aca="false">IF(IsPro,IF($D1797="","",IFERROR(MATCH($D1797,Items!$A$5:$A$504,0),"")),"")</f>
        <v/>
      </c>
      <c r="V1797" s="60" t="str">
        <f aca="false">IF(IsPro,IF($C1797="","",IFERROR(MATCH($C1797,Parties!$A$5:$A$304,0),"")),"")</f>
        <v/>
      </c>
      <c r="W1797" s="60" t="str">
        <f aca="false">IF(IsPro,IF($B1797="","",IFERROR(VALUE(SUBSTITUTE($B1797,InvPrefix,"")),0)),"")</f>
        <v/>
      </c>
      <c r="X1797" s="61" t="str">
        <f aca="false">IF(IsPro,IF($D1797="","",IF(OR($H1797="",$H1797="Credit"),0,Q1797)),"")</f>
        <v/>
      </c>
    </row>
    <row r="1798" customFormat="false" ht="15" hidden="false" customHeight="false" outlineLevel="0" collapsed="false">
      <c r="A1798" s="55"/>
      <c r="B1798" s="56"/>
      <c r="C1798" s="56"/>
      <c r="D1798" s="56"/>
      <c r="E1798" s="57"/>
      <c r="F1798" s="58"/>
      <c r="G1798" s="59"/>
      <c r="H1798" s="56"/>
      <c r="I1798" s="56"/>
      <c r="J1798" s="60" t="str">
        <f aca="false">IF(IsPro,IF($D1798="","",IFERROR(INDEX(Items!$D$5:$D$504,U1798),"")),"")</f>
        <v/>
      </c>
      <c r="K1798" s="61" t="str">
        <f aca="false">IF(IsPro,IF($D1798="","",IF($F1798="",IFERROR(INDEX(Items!$H$5:$H$504,U1798),0),$F1798)),"")</f>
        <v/>
      </c>
      <c r="L1798" s="61" t="str">
        <f aca="false">IF(IsPro,IF($D1798="","",ROUND(N($E1798)*K1798*(1-N($G1798)),2)),"")</f>
        <v/>
      </c>
      <c r="M1798" s="62" t="str">
        <f aca="false">IF(IsPro,IF($D1798="","",IFERROR(INDEX(Items!$F$5:$F$504,U1798),0)),"")</f>
        <v/>
      </c>
      <c r="N1798" s="61" t="str">
        <f aca="false">IF(IsPro,IF($D1798="","",IF(AND(V1798&lt;&gt;"",INDEX(Parties!$E$5:$E$304,V1798)&lt;&gt;"",INDEX(Parties!$E$5:$E$304,V1798)&lt;&gt;HomeState),0,ROUND(L1798*M1798/2,2))),"")</f>
        <v/>
      </c>
      <c r="O1798" s="61" t="str">
        <f aca="false">IF(IsPro,IF($D1798="","",N1798),"")</f>
        <v/>
      </c>
      <c r="P1798" s="61" t="str">
        <f aca="false">IF(IsPro,IF($D1798="","",IF(AND(V1798&lt;&gt;"",INDEX(Parties!$E$5:$E$304,V1798)&lt;&gt;"",INDEX(Parties!$E$5:$E$304,V1798)&lt;&gt;HomeState),ROUND(L1798*M1798,2),0)),"")</f>
        <v/>
      </c>
      <c r="Q1798" s="61" t="str">
        <f aca="false">IF(IsPro,IF($D1798="","",L1798+N1798+O1798+P1798),"")</f>
        <v/>
      </c>
      <c r="R1798" s="61" t="str">
        <f aca="false">IF(IsPro,IF($D1798="","",ROUND(N($E1798)*IFERROR(INDEX(Items!$P$5:$P$504,U1798),0),2)),"")</f>
        <v/>
      </c>
      <c r="S1798" s="61" t="str">
        <f aca="false">IF(IsPro,IF($D1798="","",L1798-R1798),"")</f>
        <v/>
      </c>
      <c r="T1798" s="60" t="str">
        <f aca="false">IF(IsPro,IF($D1798="","",IF(U1798="","UNKNOWN ITEM",IF(INDEX(Items!$O$5:$O$504,U1798)&lt;0,"NEG STOCK",IF(K1798&lt;INDEX(Items!$P$5:$P$504,U1798),"BELOW COST","OK")))),IF($D1798="","","PRO PLAN"))</f>
        <v/>
      </c>
      <c r="U1798" s="60" t="str">
        <f aca="false">IF(IsPro,IF($D1798="","",IFERROR(MATCH($D1798,Items!$A$5:$A$504,0),"")),"")</f>
        <v/>
      </c>
      <c r="V1798" s="60" t="str">
        <f aca="false">IF(IsPro,IF($C1798="","",IFERROR(MATCH($C1798,Parties!$A$5:$A$304,0),"")),"")</f>
        <v/>
      </c>
      <c r="W1798" s="60" t="str">
        <f aca="false">IF(IsPro,IF($B1798="","",IFERROR(VALUE(SUBSTITUTE($B1798,InvPrefix,"")),0)),"")</f>
        <v/>
      </c>
      <c r="X1798" s="61" t="str">
        <f aca="false">IF(IsPro,IF($D1798="","",IF(OR($H1798="",$H1798="Credit"),0,Q1798)),"")</f>
        <v/>
      </c>
    </row>
    <row r="1799" customFormat="false" ht="15" hidden="false" customHeight="false" outlineLevel="0" collapsed="false">
      <c r="A1799" s="55"/>
      <c r="B1799" s="56"/>
      <c r="C1799" s="56"/>
      <c r="D1799" s="56"/>
      <c r="E1799" s="57"/>
      <c r="F1799" s="58"/>
      <c r="G1799" s="59"/>
      <c r="H1799" s="56"/>
      <c r="I1799" s="56"/>
      <c r="J1799" s="60" t="str">
        <f aca="false">IF(IsPro,IF($D1799="","",IFERROR(INDEX(Items!$D$5:$D$504,U1799),"")),"")</f>
        <v/>
      </c>
      <c r="K1799" s="61" t="str">
        <f aca="false">IF(IsPro,IF($D1799="","",IF($F1799="",IFERROR(INDEX(Items!$H$5:$H$504,U1799),0),$F1799)),"")</f>
        <v/>
      </c>
      <c r="L1799" s="61" t="str">
        <f aca="false">IF(IsPro,IF($D1799="","",ROUND(N($E1799)*K1799*(1-N($G1799)),2)),"")</f>
        <v/>
      </c>
      <c r="M1799" s="62" t="str">
        <f aca="false">IF(IsPro,IF($D1799="","",IFERROR(INDEX(Items!$F$5:$F$504,U1799),0)),"")</f>
        <v/>
      </c>
      <c r="N1799" s="61" t="str">
        <f aca="false">IF(IsPro,IF($D1799="","",IF(AND(V1799&lt;&gt;"",INDEX(Parties!$E$5:$E$304,V1799)&lt;&gt;"",INDEX(Parties!$E$5:$E$304,V1799)&lt;&gt;HomeState),0,ROUND(L1799*M1799/2,2))),"")</f>
        <v/>
      </c>
      <c r="O1799" s="61" t="str">
        <f aca="false">IF(IsPro,IF($D1799="","",N1799),"")</f>
        <v/>
      </c>
      <c r="P1799" s="61" t="str">
        <f aca="false">IF(IsPro,IF($D1799="","",IF(AND(V1799&lt;&gt;"",INDEX(Parties!$E$5:$E$304,V1799)&lt;&gt;"",INDEX(Parties!$E$5:$E$304,V1799)&lt;&gt;HomeState),ROUND(L1799*M1799,2),0)),"")</f>
        <v/>
      </c>
      <c r="Q1799" s="61" t="str">
        <f aca="false">IF(IsPro,IF($D1799="","",L1799+N1799+O1799+P1799),"")</f>
        <v/>
      </c>
      <c r="R1799" s="61" t="str">
        <f aca="false">IF(IsPro,IF($D1799="","",ROUND(N($E1799)*IFERROR(INDEX(Items!$P$5:$P$504,U1799),0),2)),"")</f>
        <v/>
      </c>
      <c r="S1799" s="61" t="str">
        <f aca="false">IF(IsPro,IF($D1799="","",L1799-R1799),"")</f>
        <v/>
      </c>
      <c r="T1799" s="60" t="str">
        <f aca="false">IF(IsPro,IF($D1799="","",IF(U1799="","UNKNOWN ITEM",IF(INDEX(Items!$O$5:$O$504,U1799)&lt;0,"NEG STOCK",IF(K1799&lt;INDEX(Items!$P$5:$P$504,U1799),"BELOW COST","OK")))),IF($D1799="","","PRO PLAN"))</f>
        <v/>
      </c>
      <c r="U1799" s="60" t="str">
        <f aca="false">IF(IsPro,IF($D1799="","",IFERROR(MATCH($D1799,Items!$A$5:$A$504,0),"")),"")</f>
        <v/>
      </c>
      <c r="V1799" s="60" t="str">
        <f aca="false">IF(IsPro,IF($C1799="","",IFERROR(MATCH($C1799,Parties!$A$5:$A$304,0),"")),"")</f>
        <v/>
      </c>
      <c r="W1799" s="60" t="str">
        <f aca="false">IF(IsPro,IF($B1799="","",IFERROR(VALUE(SUBSTITUTE($B1799,InvPrefix,"")),0)),"")</f>
        <v/>
      </c>
      <c r="X1799" s="61" t="str">
        <f aca="false">IF(IsPro,IF($D1799="","",IF(OR($H1799="",$H1799="Credit"),0,Q1799)),"")</f>
        <v/>
      </c>
    </row>
    <row r="1800" customFormat="false" ht="15" hidden="false" customHeight="false" outlineLevel="0" collapsed="false">
      <c r="A1800" s="55"/>
      <c r="B1800" s="56"/>
      <c r="C1800" s="56"/>
      <c r="D1800" s="56"/>
      <c r="E1800" s="57"/>
      <c r="F1800" s="58"/>
      <c r="G1800" s="59"/>
      <c r="H1800" s="56"/>
      <c r="I1800" s="56"/>
      <c r="J1800" s="60" t="str">
        <f aca="false">IF(IsPro,IF($D1800="","",IFERROR(INDEX(Items!$D$5:$D$504,U1800),"")),"")</f>
        <v/>
      </c>
      <c r="K1800" s="61" t="str">
        <f aca="false">IF(IsPro,IF($D1800="","",IF($F1800="",IFERROR(INDEX(Items!$H$5:$H$504,U1800),0),$F1800)),"")</f>
        <v/>
      </c>
      <c r="L1800" s="61" t="str">
        <f aca="false">IF(IsPro,IF($D1800="","",ROUND(N($E1800)*K1800*(1-N($G1800)),2)),"")</f>
        <v/>
      </c>
      <c r="M1800" s="62" t="str">
        <f aca="false">IF(IsPro,IF($D1800="","",IFERROR(INDEX(Items!$F$5:$F$504,U1800),0)),"")</f>
        <v/>
      </c>
      <c r="N1800" s="61" t="str">
        <f aca="false">IF(IsPro,IF($D1800="","",IF(AND(V1800&lt;&gt;"",INDEX(Parties!$E$5:$E$304,V1800)&lt;&gt;"",INDEX(Parties!$E$5:$E$304,V1800)&lt;&gt;HomeState),0,ROUND(L1800*M1800/2,2))),"")</f>
        <v/>
      </c>
      <c r="O1800" s="61" t="str">
        <f aca="false">IF(IsPro,IF($D1800="","",N1800),"")</f>
        <v/>
      </c>
      <c r="P1800" s="61" t="str">
        <f aca="false">IF(IsPro,IF($D1800="","",IF(AND(V1800&lt;&gt;"",INDEX(Parties!$E$5:$E$304,V1800)&lt;&gt;"",INDEX(Parties!$E$5:$E$304,V1800)&lt;&gt;HomeState),ROUND(L1800*M1800,2),0)),"")</f>
        <v/>
      </c>
      <c r="Q1800" s="61" t="str">
        <f aca="false">IF(IsPro,IF($D1800="","",L1800+N1800+O1800+P1800),"")</f>
        <v/>
      </c>
      <c r="R1800" s="61" t="str">
        <f aca="false">IF(IsPro,IF($D1800="","",ROUND(N($E1800)*IFERROR(INDEX(Items!$P$5:$P$504,U1800),0),2)),"")</f>
        <v/>
      </c>
      <c r="S1800" s="61" t="str">
        <f aca="false">IF(IsPro,IF($D1800="","",L1800-R1800),"")</f>
        <v/>
      </c>
      <c r="T1800" s="60" t="str">
        <f aca="false">IF(IsPro,IF($D1800="","",IF(U1800="","UNKNOWN ITEM",IF(INDEX(Items!$O$5:$O$504,U1800)&lt;0,"NEG STOCK",IF(K1800&lt;INDEX(Items!$P$5:$P$504,U1800),"BELOW COST","OK")))),IF($D1800="","","PRO PLAN"))</f>
        <v/>
      </c>
      <c r="U1800" s="60" t="str">
        <f aca="false">IF(IsPro,IF($D1800="","",IFERROR(MATCH($D1800,Items!$A$5:$A$504,0),"")),"")</f>
        <v/>
      </c>
      <c r="V1800" s="60" t="str">
        <f aca="false">IF(IsPro,IF($C1800="","",IFERROR(MATCH($C1800,Parties!$A$5:$A$304,0),"")),"")</f>
        <v/>
      </c>
      <c r="W1800" s="60" t="str">
        <f aca="false">IF(IsPro,IF($B1800="","",IFERROR(VALUE(SUBSTITUTE($B1800,InvPrefix,"")),0)),"")</f>
        <v/>
      </c>
      <c r="X1800" s="61" t="str">
        <f aca="false">IF(IsPro,IF($D1800="","",IF(OR($H1800="",$H1800="Credit"),0,Q1800)),"")</f>
        <v/>
      </c>
    </row>
    <row r="1801" customFormat="false" ht="15" hidden="false" customHeight="false" outlineLevel="0" collapsed="false">
      <c r="A1801" s="55"/>
      <c r="B1801" s="56"/>
      <c r="C1801" s="56"/>
      <c r="D1801" s="56"/>
      <c r="E1801" s="57"/>
      <c r="F1801" s="58"/>
      <c r="G1801" s="59"/>
      <c r="H1801" s="56"/>
      <c r="I1801" s="56"/>
      <c r="J1801" s="60" t="str">
        <f aca="false">IF(IsPro,IF($D1801="","",IFERROR(INDEX(Items!$D$5:$D$504,U1801),"")),"")</f>
        <v/>
      </c>
      <c r="K1801" s="61" t="str">
        <f aca="false">IF(IsPro,IF($D1801="","",IF($F1801="",IFERROR(INDEX(Items!$H$5:$H$504,U1801),0),$F1801)),"")</f>
        <v/>
      </c>
      <c r="L1801" s="61" t="str">
        <f aca="false">IF(IsPro,IF($D1801="","",ROUND(N($E1801)*K1801*(1-N($G1801)),2)),"")</f>
        <v/>
      </c>
      <c r="M1801" s="62" t="str">
        <f aca="false">IF(IsPro,IF($D1801="","",IFERROR(INDEX(Items!$F$5:$F$504,U1801),0)),"")</f>
        <v/>
      </c>
      <c r="N1801" s="61" t="str">
        <f aca="false">IF(IsPro,IF($D1801="","",IF(AND(V1801&lt;&gt;"",INDEX(Parties!$E$5:$E$304,V1801)&lt;&gt;"",INDEX(Parties!$E$5:$E$304,V1801)&lt;&gt;HomeState),0,ROUND(L1801*M1801/2,2))),"")</f>
        <v/>
      </c>
      <c r="O1801" s="61" t="str">
        <f aca="false">IF(IsPro,IF($D1801="","",N1801),"")</f>
        <v/>
      </c>
      <c r="P1801" s="61" t="str">
        <f aca="false">IF(IsPro,IF($D1801="","",IF(AND(V1801&lt;&gt;"",INDEX(Parties!$E$5:$E$304,V1801)&lt;&gt;"",INDEX(Parties!$E$5:$E$304,V1801)&lt;&gt;HomeState),ROUND(L1801*M1801,2),0)),"")</f>
        <v/>
      </c>
      <c r="Q1801" s="61" t="str">
        <f aca="false">IF(IsPro,IF($D1801="","",L1801+N1801+O1801+P1801),"")</f>
        <v/>
      </c>
      <c r="R1801" s="61" t="str">
        <f aca="false">IF(IsPro,IF($D1801="","",ROUND(N($E1801)*IFERROR(INDEX(Items!$P$5:$P$504,U1801),0),2)),"")</f>
        <v/>
      </c>
      <c r="S1801" s="61" t="str">
        <f aca="false">IF(IsPro,IF($D1801="","",L1801-R1801),"")</f>
        <v/>
      </c>
      <c r="T1801" s="60" t="str">
        <f aca="false">IF(IsPro,IF($D1801="","",IF(U1801="","UNKNOWN ITEM",IF(INDEX(Items!$O$5:$O$504,U1801)&lt;0,"NEG STOCK",IF(K1801&lt;INDEX(Items!$P$5:$P$504,U1801),"BELOW COST","OK")))),IF($D1801="","","PRO PLAN"))</f>
        <v/>
      </c>
      <c r="U1801" s="60" t="str">
        <f aca="false">IF(IsPro,IF($D1801="","",IFERROR(MATCH($D1801,Items!$A$5:$A$504,0),"")),"")</f>
        <v/>
      </c>
      <c r="V1801" s="60" t="str">
        <f aca="false">IF(IsPro,IF($C1801="","",IFERROR(MATCH($C1801,Parties!$A$5:$A$304,0),"")),"")</f>
        <v/>
      </c>
      <c r="W1801" s="60" t="str">
        <f aca="false">IF(IsPro,IF($B1801="","",IFERROR(VALUE(SUBSTITUTE($B1801,InvPrefix,"")),0)),"")</f>
        <v/>
      </c>
      <c r="X1801" s="61" t="str">
        <f aca="false">IF(IsPro,IF($D1801="","",IF(OR($H1801="",$H1801="Credit"),0,Q1801)),"")</f>
        <v/>
      </c>
    </row>
    <row r="1802" customFormat="false" ht="15" hidden="false" customHeight="false" outlineLevel="0" collapsed="false">
      <c r="A1802" s="55"/>
      <c r="B1802" s="56"/>
      <c r="C1802" s="56"/>
      <c r="D1802" s="56"/>
      <c r="E1802" s="57"/>
      <c r="F1802" s="58"/>
      <c r="G1802" s="59"/>
      <c r="H1802" s="56"/>
      <c r="I1802" s="56"/>
      <c r="J1802" s="60" t="str">
        <f aca="false">IF(IsPro,IF($D1802="","",IFERROR(INDEX(Items!$D$5:$D$504,U1802),"")),"")</f>
        <v/>
      </c>
      <c r="K1802" s="61" t="str">
        <f aca="false">IF(IsPro,IF($D1802="","",IF($F1802="",IFERROR(INDEX(Items!$H$5:$H$504,U1802),0),$F1802)),"")</f>
        <v/>
      </c>
      <c r="L1802" s="61" t="str">
        <f aca="false">IF(IsPro,IF($D1802="","",ROUND(N($E1802)*K1802*(1-N($G1802)),2)),"")</f>
        <v/>
      </c>
      <c r="M1802" s="62" t="str">
        <f aca="false">IF(IsPro,IF($D1802="","",IFERROR(INDEX(Items!$F$5:$F$504,U1802),0)),"")</f>
        <v/>
      </c>
      <c r="N1802" s="61" t="str">
        <f aca="false">IF(IsPro,IF($D1802="","",IF(AND(V1802&lt;&gt;"",INDEX(Parties!$E$5:$E$304,V1802)&lt;&gt;"",INDEX(Parties!$E$5:$E$304,V1802)&lt;&gt;HomeState),0,ROUND(L1802*M1802/2,2))),"")</f>
        <v/>
      </c>
      <c r="O1802" s="61" t="str">
        <f aca="false">IF(IsPro,IF($D1802="","",N1802),"")</f>
        <v/>
      </c>
      <c r="P1802" s="61" t="str">
        <f aca="false">IF(IsPro,IF($D1802="","",IF(AND(V1802&lt;&gt;"",INDEX(Parties!$E$5:$E$304,V1802)&lt;&gt;"",INDEX(Parties!$E$5:$E$304,V1802)&lt;&gt;HomeState),ROUND(L1802*M1802,2),0)),"")</f>
        <v/>
      </c>
      <c r="Q1802" s="61" t="str">
        <f aca="false">IF(IsPro,IF($D1802="","",L1802+N1802+O1802+P1802),"")</f>
        <v/>
      </c>
      <c r="R1802" s="61" t="str">
        <f aca="false">IF(IsPro,IF($D1802="","",ROUND(N($E1802)*IFERROR(INDEX(Items!$P$5:$P$504,U1802),0),2)),"")</f>
        <v/>
      </c>
      <c r="S1802" s="61" t="str">
        <f aca="false">IF(IsPro,IF($D1802="","",L1802-R1802),"")</f>
        <v/>
      </c>
      <c r="T1802" s="60" t="str">
        <f aca="false">IF(IsPro,IF($D1802="","",IF(U1802="","UNKNOWN ITEM",IF(INDEX(Items!$O$5:$O$504,U1802)&lt;0,"NEG STOCK",IF(K1802&lt;INDEX(Items!$P$5:$P$504,U1802),"BELOW COST","OK")))),IF($D1802="","","PRO PLAN"))</f>
        <v/>
      </c>
      <c r="U1802" s="60" t="str">
        <f aca="false">IF(IsPro,IF($D1802="","",IFERROR(MATCH($D1802,Items!$A$5:$A$504,0),"")),"")</f>
        <v/>
      </c>
      <c r="V1802" s="60" t="str">
        <f aca="false">IF(IsPro,IF($C1802="","",IFERROR(MATCH($C1802,Parties!$A$5:$A$304,0),"")),"")</f>
        <v/>
      </c>
      <c r="W1802" s="60" t="str">
        <f aca="false">IF(IsPro,IF($B1802="","",IFERROR(VALUE(SUBSTITUTE($B1802,InvPrefix,"")),0)),"")</f>
        <v/>
      </c>
      <c r="X1802" s="61" t="str">
        <f aca="false">IF(IsPro,IF($D1802="","",IF(OR($H1802="",$H1802="Credit"),0,Q1802)),"")</f>
        <v/>
      </c>
    </row>
    <row r="1803" customFormat="false" ht="15" hidden="false" customHeight="false" outlineLevel="0" collapsed="false">
      <c r="A1803" s="55"/>
      <c r="B1803" s="56"/>
      <c r="C1803" s="56"/>
      <c r="D1803" s="56"/>
      <c r="E1803" s="57"/>
      <c r="F1803" s="58"/>
      <c r="G1803" s="59"/>
      <c r="H1803" s="56"/>
      <c r="I1803" s="56"/>
      <c r="J1803" s="60" t="str">
        <f aca="false">IF(IsPro,IF($D1803="","",IFERROR(INDEX(Items!$D$5:$D$504,U1803),"")),"")</f>
        <v/>
      </c>
      <c r="K1803" s="61" t="str">
        <f aca="false">IF(IsPro,IF($D1803="","",IF($F1803="",IFERROR(INDEX(Items!$H$5:$H$504,U1803),0),$F1803)),"")</f>
        <v/>
      </c>
      <c r="L1803" s="61" t="str">
        <f aca="false">IF(IsPro,IF($D1803="","",ROUND(N($E1803)*K1803*(1-N($G1803)),2)),"")</f>
        <v/>
      </c>
      <c r="M1803" s="62" t="str">
        <f aca="false">IF(IsPro,IF($D1803="","",IFERROR(INDEX(Items!$F$5:$F$504,U1803),0)),"")</f>
        <v/>
      </c>
      <c r="N1803" s="61" t="str">
        <f aca="false">IF(IsPro,IF($D1803="","",IF(AND(V1803&lt;&gt;"",INDEX(Parties!$E$5:$E$304,V1803)&lt;&gt;"",INDEX(Parties!$E$5:$E$304,V1803)&lt;&gt;HomeState),0,ROUND(L1803*M1803/2,2))),"")</f>
        <v/>
      </c>
      <c r="O1803" s="61" t="str">
        <f aca="false">IF(IsPro,IF($D1803="","",N1803),"")</f>
        <v/>
      </c>
      <c r="P1803" s="61" t="str">
        <f aca="false">IF(IsPro,IF($D1803="","",IF(AND(V1803&lt;&gt;"",INDEX(Parties!$E$5:$E$304,V1803)&lt;&gt;"",INDEX(Parties!$E$5:$E$304,V1803)&lt;&gt;HomeState),ROUND(L1803*M1803,2),0)),"")</f>
        <v/>
      </c>
      <c r="Q1803" s="61" t="str">
        <f aca="false">IF(IsPro,IF($D1803="","",L1803+N1803+O1803+P1803),"")</f>
        <v/>
      </c>
      <c r="R1803" s="61" t="str">
        <f aca="false">IF(IsPro,IF($D1803="","",ROUND(N($E1803)*IFERROR(INDEX(Items!$P$5:$P$504,U1803),0),2)),"")</f>
        <v/>
      </c>
      <c r="S1803" s="61" t="str">
        <f aca="false">IF(IsPro,IF($D1803="","",L1803-R1803),"")</f>
        <v/>
      </c>
      <c r="T1803" s="60" t="str">
        <f aca="false">IF(IsPro,IF($D1803="","",IF(U1803="","UNKNOWN ITEM",IF(INDEX(Items!$O$5:$O$504,U1803)&lt;0,"NEG STOCK",IF(K1803&lt;INDEX(Items!$P$5:$P$504,U1803),"BELOW COST","OK")))),IF($D1803="","","PRO PLAN"))</f>
        <v/>
      </c>
      <c r="U1803" s="60" t="str">
        <f aca="false">IF(IsPro,IF($D1803="","",IFERROR(MATCH($D1803,Items!$A$5:$A$504,0),"")),"")</f>
        <v/>
      </c>
      <c r="V1803" s="60" t="str">
        <f aca="false">IF(IsPro,IF($C1803="","",IFERROR(MATCH($C1803,Parties!$A$5:$A$304,0),"")),"")</f>
        <v/>
      </c>
      <c r="W1803" s="60" t="str">
        <f aca="false">IF(IsPro,IF($B1803="","",IFERROR(VALUE(SUBSTITUTE($B1803,InvPrefix,"")),0)),"")</f>
        <v/>
      </c>
      <c r="X1803" s="61" t="str">
        <f aca="false">IF(IsPro,IF($D1803="","",IF(OR($H1803="",$H1803="Credit"),0,Q1803)),"")</f>
        <v/>
      </c>
    </row>
    <row r="1804" customFormat="false" ht="15" hidden="false" customHeight="false" outlineLevel="0" collapsed="false">
      <c r="A1804" s="55"/>
      <c r="B1804" s="56"/>
      <c r="C1804" s="56"/>
      <c r="D1804" s="56"/>
      <c r="E1804" s="57"/>
      <c r="F1804" s="58"/>
      <c r="G1804" s="59"/>
      <c r="H1804" s="56"/>
      <c r="I1804" s="56"/>
      <c r="J1804" s="60" t="str">
        <f aca="false">IF(IsPro,IF($D1804="","",IFERROR(INDEX(Items!$D$5:$D$504,U1804),"")),"")</f>
        <v/>
      </c>
      <c r="K1804" s="61" t="str">
        <f aca="false">IF(IsPro,IF($D1804="","",IF($F1804="",IFERROR(INDEX(Items!$H$5:$H$504,U1804),0),$F1804)),"")</f>
        <v/>
      </c>
      <c r="L1804" s="61" t="str">
        <f aca="false">IF(IsPro,IF($D1804="","",ROUND(N($E1804)*K1804*(1-N($G1804)),2)),"")</f>
        <v/>
      </c>
      <c r="M1804" s="62" t="str">
        <f aca="false">IF(IsPro,IF($D1804="","",IFERROR(INDEX(Items!$F$5:$F$504,U1804),0)),"")</f>
        <v/>
      </c>
      <c r="N1804" s="61" t="str">
        <f aca="false">IF(IsPro,IF($D1804="","",IF(AND(V1804&lt;&gt;"",INDEX(Parties!$E$5:$E$304,V1804)&lt;&gt;"",INDEX(Parties!$E$5:$E$304,V1804)&lt;&gt;HomeState),0,ROUND(L1804*M1804/2,2))),"")</f>
        <v/>
      </c>
      <c r="O1804" s="61" t="str">
        <f aca="false">IF(IsPro,IF($D1804="","",N1804),"")</f>
        <v/>
      </c>
      <c r="P1804" s="61" t="str">
        <f aca="false">IF(IsPro,IF($D1804="","",IF(AND(V1804&lt;&gt;"",INDEX(Parties!$E$5:$E$304,V1804)&lt;&gt;"",INDEX(Parties!$E$5:$E$304,V1804)&lt;&gt;HomeState),ROUND(L1804*M1804,2),0)),"")</f>
        <v/>
      </c>
      <c r="Q1804" s="61" t="str">
        <f aca="false">IF(IsPro,IF($D1804="","",L1804+N1804+O1804+P1804),"")</f>
        <v/>
      </c>
      <c r="R1804" s="61" t="str">
        <f aca="false">IF(IsPro,IF($D1804="","",ROUND(N($E1804)*IFERROR(INDEX(Items!$P$5:$P$504,U1804),0),2)),"")</f>
        <v/>
      </c>
      <c r="S1804" s="61" t="str">
        <f aca="false">IF(IsPro,IF($D1804="","",L1804-R1804),"")</f>
        <v/>
      </c>
      <c r="T1804" s="60" t="str">
        <f aca="false">IF(IsPro,IF($D1804="","",IF(U1804="","UNKNOWN ITEM",IF(INDEX(Items!$O$5:$O$504,U1804)&lt;0,"NEG STOCK",IF(K1804&lt;INDEX(Items!$P$5:$P$504,U1804),"BELOW COST","OK")))),IF($D1804="","","PRO PLAN"))</f>
        <v/>
      </c>
      <c r="U1804" s="60" t="str">
        <f aca="false">IF(IsPro,IF($D1804="","",IFERROR(MATCH($D1804,Items!$A$5:$A$504,0),"")),"")</f>
        <v/>
      </c>
      <c r="V1804" s="60" t="str">
        <f aca="false">IF(IsPro,IF($C1804="","",IFERROR(MATCH($C1804,Parties!$A$5:$A$304,0),"")),"")</f>
        <v/>
      </c>
      <c r="W1804" s="60" t="str">
        <f aca="false">IF(IsPro,IF($B1804="","",IFERROR(VALUE(SUBSTITUTE($B1804,InvPrefix,"")),0)),"")</f>
        <v/>
      </c>
      <c r="X1804" s="61" t="str">
        <f aca="false">IF(IsPro,IF($D1804="","",IF(OR($H1804="",$H1804="Credit"),0,Q1804)),"")</f>
        <v/>
      </c>
    </row>
    <row r="1805" customFormat="false" ht="15" hidden="false" customHeight="false" outlineLevel="0" collapsed="false">
      <c r="A1805" s="55"/>
      <c r="B1805" s="56"/>
      <c r="C1805" s="56"/>
      <c r="D1805" s="56"/>
      <c r="E1805" s="57"/>
      <c r="F1805" s="58"/>
      <c r="G1805" s="59"/>
      <c r="H1805" s="56"/>
      <c r="I1805" s="56"/>
      <c r="J1805" s="60" t="str">
        <f aca="false">IF(IsPro,IF($D1805="","",IFERROR(INDEX(Items!$D$5:$D$504,U1805),"")),"")</f>
        <v/>
      </c>
      <c r="K1805" s="61" t="str">
        <f aca="false">IF(IsPro,IF($D1805="","",IF($F1805="",IFERROR(INDEX(Items!$H$5:$H$504,U1805),0),$F1805)),"")</f>
        <v/>
      </c>
      <c r="L1805" s="61" t="str">
        <f aca="false">IF(IsPro,IF($D1805="","",ROUND(N($E1805)*K1805*(1-N($G1805)),2)),"")</f>
        <v/>
      </c>
      <c r="M1805" s="62" t="str">
        <f aca="false">IF(IsPro,IF($D1805="","",IFERROR(INDEX(Items!$F$5:$F$504,U1805),0)),"")</f>
        <v/>
      </c>
      <c r="N1805" s="61" t="str">
        <f aca="false">IF(IsPro,IF($D1805="","",IF(AND(V1805&lt;&gt;"",INDEX(Parties!$E$5:$E$304,V1805)&lt;&gt;"",INDEX(Parties!$E$5:$E$304,V1805)&lt;&gt;HomeState),0,ROUND(L1805*M1805/2,2))),"")</f>
        <v/>
      </c>
      <c r="O1805" s="61" t="str">
        <f aca="false">IF(IsPro,IF($D1805="","",N1805),"")</f>
        <v/>
      </c>
      <c r="P1805" s="61" t="str">
        <f aca="false">IF(IsPro,IF($D1805="","",IF(AND(V1805&lt;&gt;"",INDEX(Parties!$E$5:$E$304,V1805)&lt;&gt;"",INDEX(Parties!$E$5:$E$304,V1805)&lt;&gt;HomeState),ROUND(L1805*M1805,2),0)),"")</f>
        <v/>
      </c>
      <c r="Q1805" s="61" t="str">
        <f aca="false">IF(IsPro,IF($D1805="","",L1805+N1805+O1805+P1805),"")</f>
        <v/>
      </c>
      <c r="R1805" s="61" t="str">
        <f aca="false">IF(IsPro,IF($D1805="","",ROUND(N($E1805)*IFERROR(INDEX(Items!$P$5:$P$504,U1805),0),2)),"")</f>
        <v/>
      </c>
      <c r="S1805" s="61" t="str">
        <f aca="false">IF(IsPro,IF($D1805="","",L1805-R1805),"")</f>
        <v/>
      </c>
      <c r="T1805" s="60" t="str">
        <f aca="false">IF(IsPro,IF($D1805="","",IF(U1805="","UNKNOWN ITEM",IF(INDEX(Items!$O$5:$O$504,U1805)&lt;0,"NEG STOCK",IF(K1805&lt;INDEX(Items!$P$5:$P$504,U1805),"BELOW COST","OK")))),IF($D1805="","","PRO PLAN"))</f>
        <v/>
      </c>
      <c r="U1805" s="60" t="str">
        <f aca="false">IF(IsPro,IF($D1805="","",IFERROR(MATCH($D1805,Items!$A$5:$A$504,0),"")),"")</f>
        <v/>
      </c>
      <c r="V1805" s="60" t="str">
        <f aca="false">IF(IsPro,IF($C1805="","",IFERROR(MATCH($C1805,Parties!$A$5:$A$304,0),"")),"")</f>
        <v/>
      </c>
      <c r="W1805" s="60" t="str">
        <f aca="false">IF(IsPro,IF($B1805="","",IFERROR(VALUE(SUBSTITUTE($B1805,InvPrefix,"")),0)),"")</f>
        <v/>
      </c>
      <c r="X1805" s="61" t="str">
        <f aca="false">IF(IsPro,IF($D1805="","",IF(OR($H1805="",$H1805="Credit"),0,Q1805)),"")</f>
        <v/>
      </c>
    </row>
    <row r="1806" customFormat="false" ht="15" hidden="false" customHeight="false" outlineLevel="0" collapsed="false">
      <c r="A1806" s="55"/>
      <c r="B1806" s="56"/>
      <c r="C1806" s="56"/>
      <c r="D1806" s="56"/>
      <c r="E1806" s="57"/>
      <c r="F1806" s="58"/>
      <c r="G1806" s="59"/>
      <c r="H1806" s="56"/>
      <c r="I1806" s="56"/>
      <c r="J1806" s="60" t="str">
        <f aca="false">IF(IsPro,IF($D1806="","",IFERROR(INDEX(Items!$D$5:$D$504,U1806),"")),"")</f>
        <v/>
      </c>
      <c r="K1806" s="61" t="str">
        <f aca="false">IF(IsPro,IF($D1806="","",IF($F1806="",IFERROR(INDEX(Items!$H$5:$H$504,U1806),0),$F1806)),"")</f>
        <v/>
      </c>
      <c r="L1806" s="61" t="str">
        <f aca="false">IF(IsPro,IF($D1806="","",ROUND(N($E1806)*K1806*(1-N($G1806)),2)),"")</f>
        <v/>
      </c>
      <c r="M1806" s="62" t="str">
        <f aca="false">IF(IsPro,IF($D1806="","",IFERROR(INDEX(Items!$F$5:$F$504,U1806),0)),"")</f>
        <v/>
      </c>
      <c r="N1806" s="61" t="str">
        <f aca="false">IF(IsPro,IF($D1806="","",IF(AND(V1806&lt;&gt;"",INDEX(Parties!$E$5:$E$304,V1806)&lt;&gt;"",INDEX(Parties!$E$5:$E$304,V1806)&lt;&gt;HomeState),0,ROUND(L1806*M1806/2,2))),"")</f>
        <v/>
      </c>
      <c r="O1806" s="61" t="str">
        <f aca="false">IF(IsPro,IF($D1806="","",N1806),"")</f>
        <v/>
      </c>
      <c r="P1806" s="61" t="str">
        <f aca="false">IF(IsPro,IF($D1806="","",IF(AND(V1806&lt;&gt;"",INDEX(Parties!$E$5:$E$304,V1806)&lt;&gt;"",INDEX(Parties!$E$5:$E$304,V1806)&lt;&gt;HomeState),ROUND(L1806*M1806,2),0)),"")</f>
        <v/>
      </c>
      <c r="Q1806" s="61" t="str">
        <f aca="false">IF(IsPro,IF($D1806="","",L1806+N1806+O1806+P1806),"")</f>
        <v/>
      </c>
      <c r="R1806" s="61" t="str">
        <f aca="false">IF(IsPro,IF($D1806="","",ROUND(N($E1806)*IFERROR(INDEX(Items!$P$5:$P$504,U1806),0),2)),"")</f>
        <v/>
      </c>
      <c r="S1806" s="61" t="str">
        <f aca="false">IF(IsPro,IF($D1806="","",L1806-R1806),"")</f>
        <v/>
      </c>
      <c r="T1806" s="60" t="str">
        <f aca="false">IF(IsPro,IF($D1806="","",IF(U1806="","UNKNOWN ITEM",IF(INDEX(Items!$O$5:$O$504,U1806)&lt;0,"NEG STOCK",IF(K1806&lt;INDEX(Items!$P$5:$P$504,U1806),"BELOW COST","OK")))),IF($D1806="","","PRO PLAN"))</f>
        <v/>
      </c>
      <c r="U1806" s="60" t="str">
        <f aca="false">IF(IsPro,IF($D1806="","",IFERROR(MATCH($D1806,Items!$A$5:$A$504,0),"")),"")</f>
        <v/>
      </c>
      <c r="V1806" s="60" t="str">
        <f aca="false">IF(IsPro,IF($C1806="","",IFERROR(MATCH($C1806,Parties!$A$5:$A$304,0),"")),"")</f>
        <v/>
      </c>
      <c r="W1806" s="60" t="str">
        <f aca="false">IF(IsPro,IF($B1806="","",IFERROR(VALUE(SUBSTITUTE($B1806,InvPrefix,"")),0)),"")</f>
        <v/>
      </c>
      <c r="X1806" s="61" t="str">
        <f aca="false">IF(IsPro,IF($D1806="","",IF(OR($H1806="",$H1806="Credit"),0,Q1806)),"")</f>
        <v/>
      </c>
    </row>
    <row r="1807" customFormat="false" ht="15" hidden="false" customHeight="false" outlineLevel="0" collapsed="false">
      <c r="A1807" s="55"/>
      <c r="B1807" s="56"/>
      <c r="C1807" s="56"/>
      <c r="D1807" s="56"/>
      <c r="E1807" s="57"/>
      <c r="F1807" s="58"/>
      <c r="G1807" s="59"/>
      <c r="H1807" s="56"/>
      <c r="I1807" s="56"/>
      <c r="J1807" s="60" t="str">
        <f aca="false">IF(IsPro,IF($D1807="","",IFERROR(INDEX(Items!$D$5:$D$504,U1807),"")),"")</f>
        <v/>
      </c>
      <c r="K1807" s="61" t="str">
        <f aca="false">IF(IsPro,IF($D1807="","",IF($F1807="",IFERROR(INDEX(Items!$H$5:$H$504,U1807),0),$F1807)),"")</f>
        <v/>
      </c>
      <c r="L1807" s="61" t="str">
        <f aca="false">IF(IsPro,IF($D1807="","",ROUND(N($E1807)*K1807*(1-N($G1807)),2)),"")</f>
        <v/>
      </c>
      <c r="M1807" s="62" t="str">
        <f aca="false">IF(IsPro,IF($D1807="","",IFERROR(INDEX(Items!$F$5:$F$504,U1807),0)),"")</f>
        <v/>
      </c>
      <c r="N1807" s="61" t="str">
        <f aca="false">IF(IsPro,IF($D1807="","",IF(AND(V1807&lt;&gt;"",INDEX(Parties!$E$5:$E$304,V1807)&lt;&gt;"",INDEX(Parties!$E$5:$E$304,V1807)&lt;&gt;HomeState),0,ROUND(L1807*M1807/2,2))),"")</f>
        <v/>
      </c>
      <c r="O1807" s="61" t="str">
        <f aca="false">IF(IsPro,IF($D1807="","",N1807),"")</f>
        <v/>
      </c>
      <c r="P1807" s="61" t="str">
        <f aca="false">IF(IsPro,IF($D1807="","",IF(AND(V1807&lt;&gt;"",INDEX(Parties!$E$5:$E$304,V1807)&lt;&gt;"",INDEX(Parties!$E$5:$E$304,V1807)&lt;&gt;HomeState),ROUND(L1807*M1807,2),0)),"")</f>
        <v/>
      </c>
      <c r="Q1807" s="61" t="str">
        <f aca="false">IF(IsPro,IF($D1807="","",L1807+N1807+O1807+P1807),"")</f>
        <v/>
      </c>
      <c r="R1807" s="61" t="str">
        <f aca="false">IF(IsPro,IF($D1807="","",ROUND(N($E1807)*IFERROR(INDEX(Items!$P$5:$P$504,U1807),0),2)),"")</f>
        <v/>
      </c>
      <c r="S1807" s="61" t="str">
        <f aca="false">IF(IsPro,IF($D1807="","",L1807-R1807),"")</f>
        <v/>
      </c>
      <c r="T1807" s="60" t="str">
        <f aca="false">IF(IsPro,IF($D1807="","",IF(U1807="","UNKNOWN ITEM",IF(INDEX(Items!$O$5:$O$504,U1807)&lt;0,"NEG STOCK",IF(K1807&lt;INDEX(Items!$P$5:$P$504,U1807),"BELOW COST","OK")))),IF($D1807="","","PRO PLAN"))</f>
        <v/>
      </c>
      <c r="U1807" s="60" t="str">
        <f aca="false">IF(IsPro,IF($D1807="","",IFERROR(MATCH($D1807,Items!$A$5:$A$504,0),"")),"")</f>
        <v/>
      </c>
      <c r="V1807" s="60" t="str">
        <f aca="false">IF(IsPro,IF($C1807="","",IFERROR(MATCH($C1807,Parties!$A$5:$A$304,0),"")),"")</f>
        <v/>
      </c>
      <c r="W1807" s="60" t="str">
        <f aca="false">IF(IsPro,IF($B1807="","",IFERROR(VALUE(SUBSTITUTE($B1807,InvPrefix,"")),0)),"")</f>
        <v/>
      </c>
      <c r="X1807" s="61" t="str">
        <f aca="false">IF(IsPro,IF($D1807="","",IF(OR($H1807="",$H1807="Credit"),0,Q1807)),"")</f>
        <v/>
      </c>
    </row>
    <row r="1808" customFormat="false" ht="15" hidden="false" customHeight="false" outlineLevel="0" collapsed="false">
      <c r="A1808" s="55"/>
      <c r="B1808" s="56"/>
      <c r="C1808" s="56"/>
      <c r="D1808" s="56"/>
      <c r="E1808" s="57"/>
      <c r="F1808" s="58"/>
      <c r="G1808" s="59"/>
      <c r="H1808" s="56"/>
      <c r="I1808" s="56"/>
      <c r="J1808" s="60" t="str">
        <f aca="false">IF(IsPro,IF($D1808="","",IFERROR(INDEX(Items!$D$5:$D$504,U1808),"")),"")</f>
        <v/>
      </c>
      <c r="K1808" s="61" t="str">
        <f aca="false">IF(IsPro,IF($D1808="","",IF($F1808="",IFERROR(INDEX(Items!$H$5:$H$504,U1808),0),$F1808)),"")</f>
        <v/>
      </c>
      <c r="L1808" s="61" t="str">
        <f aca="false">IF(IsPro,IF($D1808="","",ROUND(N($E1808)*K1808*(1-N($G1808)),2)),"")</f>
        <v/>
      </c>
      <c r="M1808" s="62" t="str">
        <f aca="false">IF(IsPro,IF($D1808="","",IFERROR(INDEX(Items!$F$5:$F$504,U1808),0)),"")</f>
        <v/>
      </c>
      <c r="N1808" s="61" t="str">
        <f aca="false">IF(IsPro,IF($D1808="","",IF(AND(V1808&lt;&gt;"",INDEX(Parties!$E$5:$E$304,V1808)&lt;&gt;"",INDEX(Parties!$E$5:$E$304,V1808)&lt;&gt;HomeState),0,ROUND(L1808*M1808/2,2))),"")</f>
        <v/>
      </c>
      <c r="O1808" s="61" t="str">
        <f aca="false">IF(IsPro,IF($D1808="","",N1808),"")</f>
        <v/>
      </c>
      <c r="P1808" s="61" t="str">
        <f aca="false">IF(IsPro,IF($D1808="","",IF(AND(V1808&lt;&gt;"",INDEX(Parties!$E$5:$E$304,V1808)&lt;&gt;"",INDEX(Parties!$E$5:$E$304,V1808)&lt;&gt;HomeState),ROUND(L1808*M1808,2),0)),"")</f>
        <v/>
      </c>
      <c r="Q1808" s="61" t="str">
        <f aca="false">IF(IsPro,IF($D1808="","",L1808+N1808+O1808+P1808),"")</f>
        <v/>
      </c>
      <c r="R1808" s="61" t="str">
        <f aca="false">IF(IsPro,IF($D1808="","",ROUND(N($E1808)*IFERROR(INDEX(Items!$P$5:$P$504,U1808),0),2)),"")</f>
        <v/>
      </c>
      <c r="S1808" s="61" t="str">
        <f aca="false">IF(IsPro,IF($D1808="","",L1808-R1808),"")</f>
        <v/>
      </c>
      <c r="T1808" s="60" t="str">
        <f aca="false">IF(IsPro,IF($D1808="","",IF(U1808="","UNKNOWN ITEM",IF(INDEX(Items!$O$5:$O$504,U1808)&lt;0,"NEG STOCK",IF(K1808&lt;INDEX(Items!$P$5:$P$504,U1808),"BELOW COST","OK")))),IF($D1808="","","PRO PLAN"))</f>
        <v/>
      </c>
      <c r="U1808" s="60" t="str">
        <f aca="false">IF(IsPro,IF($D1808="","",IFERROR(MATCH($D1808,Items!$A$5:$A$504,0),"")),"")</f>
        <v/>
      </c>
      <c r="V1808" s="60" t="str">
        <f aca="false">IF(IsPro,IF($C1808="","",IFERROR(MATCH($C1808,Parties!$A$5:$A$304,0),"")),"")</f>
        <v/>
      </c>
      <c r="W1808" s="60" t="str">
        <f aca="false">IF(IsPro,IF($B1808="","",IFERROR(VALUE(SUBSTITUTE($B1808,InvPrefix,"")),0)),"")</f>
        <v/>
      </c>
      <c r="X1808" s="61" t="str">
        <f aca="false">IF(IsPro,IF($D1808="","",IF(OR($H1808="",$H1808="Credit"),0,Q1808)),"")</f>
        <v/>
      </c>
    </row>
    <row r="1809" customFormat="false" ht="15" hidden="false" customHeight="false" outlineLevel="0" collapsed="false">
      <c r="A1809" s="55"/>
      <c r="B1809" s="56"/>
      <c r="C1809" s="56"/>
      <c r="D1809" s="56"/>
      <c r="E1809" s="57"/>
      <c r="F1809" s="58"/>
      <c r="G1809" s="59"/>
      <c r="H1809" s="56"/>
      <c r="I1809" s="56"/>
      <c r="J1809" s="60" t="str">
        <f aca="false">IF(IsPro,IF($D1809="","",IFERROR(INDEX(Items!$D$5:$D$504,U1809),"")),"")</f>
        <v/>
      </c>
      <c r="K1809" s="61" t="str">
        <f aca="false">IF(IsPro,IF($D1809="","",IF($F1809="",IFERROR(INDEX(Items!$H$5:$H$504,U1809),0),$F1809)),"")</f>
        <v/>
      </c>
      <c r="L1809" s="61" t="str">
        <f aca="false">IF(IsPro,IF($D1809="","",ROUND(N($E1809)*K1809*(1-N($G1809)),2)),"")</f>
        <v/>
      </c>
      <c r="M1809" s="62" t="str">
        <f aca="false">IF(IsPro,IF($D1809="","",IFERROR(INDEX(Items!$F$5:$F$504,U1809),0)),"")</f>
        <v/>
      </c>
      <c r="N1809" s="61" t="str">
        <f aca="false">IF(IsPro,IF($D1809="","",IF(AND(V1809&lt;&gt;"",INDEX(Parties!$E$5:$E$304,V1809)&lt;&gt;"",INDEX(Parties!$E$5:$E$304,V1809)&lt;&gt;HomeState),0,ROUND(L1809*M1809/2,2))),"")</f>
        <v/>
      </c>
      <c r="O1809" s="61" t="str">
        <f aca="false">IF(IsPro,IF($D1809="","",N1809),"")</f>
        <v/>
      </c>
      <c r="P1809" s="61" t="str">
        <f aca="false">IF(IsPro,IF($D1809="","",IF(AND(V1809&lt;&gt;"",INDEX(Parties!$E$5:$E$304,V1809)&lt;&gt;"",INDEX(Parties!$E$5:$E$304,V1809)&lt;&gt;HomeState),ROUND(L1809*M1809,2),0)),"")</f>
        <v/>
      </c>
      <c r="Q1809" s="61" t="str">
        <f aca="false">IF(IsPro,IF($D1809="","",L1809+N1809+O1809+P1809),"")</f>
        <v/>
      </c>
      <c r="R1809" s="61" t="str">
        <f aca="false">IF(IsPro,IF($D1809="","",ROUND(N($E1809)*IFERROR(INDEX(Items!$P$5:$P$504,U1809),0),2)),"")</f>
        <v/>
      </c>
      <c r="S1809" s="61" t="str">
        <f aca="false">IF(IsPro,IF($D1809="","",L1809-R1809),"")</f>
        <v/>
      </c>
      <c r="T1809" s="60" t="str">
        <f aca="false">IF(IsPro,IF($D1809="","",IF(U1809="","UNKNOWN ITEM",IF(INDEX(Items!$O$5:$O$504,U1809)&lt;0,"NEG STOCK",IF(K1809&lt;INDEX(Items!$P$5:$P$504,U1809),"BELOW COST","OK")))),IF($D1809="","","PRO PLAN"))</f>
        <v/>
      </c>
      <c r="U1809" s="60" t="str">
        <f aca="false">IF(IsPro,IF($D1809="","",IFERROR(MATCH($D1809,Items!$A$5:$A$504,0),"")),"")</f>
        <v/>
      </c>
      <c r="V1809" s="60" t="str">
        <f aca="false">IF(IsPro,IF($C1809="","",IFERROR(MATCH($C1809,Parties!$A$5:$A$304,0),"")),"")</f>
        <v/>
      </c>
      <c r="W1809" s="60" t="str">
        <f aca="false">IF(IsPro,IF($B1809="","",IFERROR(VALUE(SUBSTITUTE($B1809,InvPrefix,"")),0)),"")</f>
        <v/>
      </c>
      <c r="X1809" s="61" t="str">
        <f aca="false">IF(IsPro,IF($D1809="","",IF(OR($H1809="",$H1809="Credit"),0,Q1809)),"")</f>
        <v/>
      </c>
    </row>
    <row r="1810" customFormat="false" ht="15" hidden="false" customHeight="false" outlineLevel="0" collapsed="false">
      <c r="A1810" s="55"/>
      <c r="B1810" s="56"/>
      <c r="C1810" s="56"/>
      <c r="D1810" s="56"/>
      <c r="E1810" s="57"/>
      <c r="F1810" s="58"/>
      <c r="G1810" s="59"/>
      <c r="H1810" s="56"/>
      <c r="I1810" s="56"/>
      <c r="J1810" s="60" t="str">
        <f aca="false">IF(IsPro,IF($D1810="","",IFERROR(INDEX(Items!$D$5:$D$504,U1810),"")),"")</f>
        <v/>
      </c>
      <c r="K1810" s="61" t="str">
        <f aca="false">IF(IsPro,IF($D1810="","",IF($F1810="",IFERROR(INDEX(Items!$H$5:$H$504,U1810),0),$F1810)),"")</f>
        <v/>
      </c>
      <c r="L1810" s="61" t="str">
        <f aca="false">IF(IsPro,IF($D1810="","",ROUND(N($E1810)*K1810*(1-N($G1810)),2)),"")</f>
        <v/>
      </c>
      <c r="M1810" s="62" t="str">
        <f aca="false">IF(IsPro,IF($D1810="","",IFERROR(INDEX(Items!$F$5:$F$504,U1810),0)),"")</f>
        <v/>
      </c>
      <c r="N1810" s="61" t="str">
        <f aca="false">IF(IsPro,IF($D1810="","",IF(AND(V1810&lt;&gt;"",INDEX(Parties!$E$5:$E$304,V1810)&lt;&gt;"",INDEX(Parties!$E$5:$E$304,V1810)&lt;&gt;HomeState),0,ROUND(L1810*M1810/2,2))),"")</f>
        <v/>
      </c>
      <c r="O1810" s="61" t="str">
        <f aca="false">IF(IsPro,IF($D1810="","",N1810),"")</f>
        <v/>
      </c>
      <c r="P1810" s="61" t="str">
        <f aca="false">IF(IsPro,IF($D1810="","",IF(AND(V1810&lt;&gt;"",INDEX(Parties!$E$5:$E$304,V1810)&lt;&gt;"",INDEX(Parties!$E$5:$E$304,V1810)&lt;&gt;HomeState),ROUND(L1810*M1810,2),0)),"")</f>
        <v/>
      </c>
      <c r="Q1810" s="61" t="str">
        <f aca="false">IF(IsPro,IF($D1810="","",L1810+N1810+O1810+P1810),"")</f>
        <v/>
      </c>
      <c r="R1810" s="61" t="str">
        <f aca="false">IF(IsPro,IF($D1810="","",ROUND(N($E1810)*IFERROR(INDEX(Items!$P$5:$P$504,U1810),0),2)),"")</f>
        <v/>
      </c>
      <c r="S1810" s="61" t="str">
        <f aca="false">IF(IsPro,IF($D1810="","",L1810-R1810),"")</f>
        <v/>
      </c>
      <c r="T1810" s="60" t="str">
        <f aca="false">IF(IsPro,IF($D1810="","",IF(U1810="","UNKNOWN ITEM",IF(INDEX(Items!$O$5:$O$504,U1810)&lt;0,"NEG STOCK",IF(K1810&lt;INDEX(Items!$P$5:$P$504,U1810),"BELOW COST","OK")))),IF($D1810="","","PRO PLAN"))</f>
        <v/>
      </c>
      <c r="U1810" s="60" t="str">
        <f aca="false">IF(IsPro,IF($D1810="","",IFERROR(MATCH($D1810,Items!$A$5:$A$504,0),"")),"")</f>
        <v/>
      </c>
      <c r="V1810" s="60" t="str">
        <f aca="false">IF(IsPro,IF($C1810="","",IFERROR(MATCH($C1810,Parties!$A$5:$A$304,0),"")),"")</f>
        <v/>
      </c>
      <c r="W1810" s="60" t="str">
        <f aca="false">IF(IsPro,IF($B1810="","",IFERROR(VALUE(SUBSTITUTE($B1810,InvPrefix,"")),0)),"")</f>
        <v/>
      </c>
      <c r="X1810" s="61" t="str">
        <f aca="false">IF(IsPro,IF($D1810="","",IF(OR($H1810="",$H1810="Credit"),0,Q1810)),"")</f>
        <v/>
      </c>
    </row>
    <row r="1811" customFormat="false" ht="15" hidden="false" customHeight="false" outlineLevel="0" collapsed="false">
      <c r="A1811" s="55"/>
      <c r="B1811" s="56"/>
      <c r="C1811" s="56"/>
      <c r="D1811" s="56"/>
      <c r="E1811" s="57"/>
      <c r="F1811" s="58"/>
      <c r="G1811" s="59"/>
      <c r="H1811" s="56"/>
      <c r="I1811" s="56"/>
      <c r="J1811" s="60" t="str">
        <f aca="false">IF(IsPro,IF($D1811="","",IFERROR(INDEX(Items!$D$5:$D$504,U1811),"")),"")</f>
        <v/>
      </c>
      <c r="K1811" s="61" t="str">
        <f aca="false">IF(IsPro,IF($D1811="","",IF($F1811="",IFERROR(INDEX(Items!$H$5:$H$504,U1811),0),$F1811)),"")</f>
        <v/>
      </c>
      <c r="L1811" s="61" t="str">
        <f aca="false">IF(IsPro,IF($D1811="","",ROUND(N($E1811)*K1811*(1-N($G1811)),2)),"")</f>
        <v/>
      </c>
      <c r="M1811" s="62" t="str">
        <f aca="false">IF(IsPro,IF($D1811="","",IFERROR(INDEX(Items!$F$5:$F$504,U1811),0)),"")</f>
        <v/>
      </c>
      <c r="N1811" s="61" t="str">
        <f aca="false">IF(IsPro,IF($D1811="","",IF(AND(V1811&lt;&gt;"",INDEX(Parties!$E$5:$E$304,V1811)&lt;&gt;"",INDEX(Parties!$E$5:$E$304,V1811)&lt;&gt;HomeState),0,ROUND(L1811*M1811/2,2))),"")</f>
        <v/>
      </c>
      <c r="O1811" s="61" t="str">
        <f aca="false">IF(IsPro,IF($D1811="","",N1811),"")</f>
        <v/>
      </c>
      <c r="P1811" s="61" t="str">
        <f aca="false">IF(IsPro,IF($D1811="","",IF(AND(V1811&lt;&gt;"",INDEX(Parties!$E$5:$E$304,V1811)&lt;&gt;"",INDEX(Parties!$E$5:$E$304,V1811)&lt;&gt;HomeState),ROUND(L1811*M1811,2),0)),"")</f>
        <v/>
      </c>
      <c r="Q1811" s="61" t="str">
        <f aca="false">IF(IsPro,IF($D1811="","",L1811+N1811+O1811+P1811),"")</f>
        <v/>
      </c>
      <c r="R1811" s="61" t="str">
        <f aca="false">IF(IsPro,IF($D1811="","",ROUND(N($E1811)*IFERROR(INDEX(Items!$P$5:$P$504,U1811),0),2)),"")</f>
        <v/>
      </c>
      <c r="S1811" s="61" t="str">
        <f aca="false">IF(IsPro,IF($D1811="","",L1811-R1811),"")</f>
        <v/>
      </c>
      <c r="T1811" s="60" t="str">
        <f aca="false">IF(IsPro,IF($D1811="","",IF(U1811="","UNKNOWN ITEM",IF(INDEX(Items!$O$5:$O$504,U1811)&lt;0,"NEG STOCK",IF(K1811&lt;INDEX(Items!$P$5:$P$504,U1811),"BELOW COST","OK")))),IF($D1811="","","PRO PLAN"))</f>
        <v/>
      </c>
      <c r="U1811" s="60" t="str">
        <f aca="false">IF(IsPro,IF($D1811="","",IFERROR(MATCH($D1811,Items!$A$5:$A$504,0),"")),"")</f>
        <v/>
      </c>
      <c r="V1811" s="60" t="str">
        <f aca="false">IF(IsPro,IF($C1811="","",IFERROR(MATCH($C1811,Parties!$A$5:$A$304,0),"")),"")</f>
        <v/>
      </c>
      <c r="W1811" s="60" t="str">
        <f aca="false">IF(IsPro,IF($B1811="","",IFERROR(VALUE(SUBSTITUTE($B1811,InvPrefix,"")),0)),"")</f>
        <v/>
      </c>
      <c r="X1811" s="61" t="str">
        <f aca="false">IF(IsPro,IF($D1811="","",IF(OR($H1811="",$H1811="Credit"),0,Q1811)),"")</f>
        <v/>
      </c>
    </row>
    <row r="1812" customFormat="false" ht="15" hidden="false" customHeight="false" outlineLevel="0" collapsed="false">
      <c r="A1812" s="55"/>
      <c r="B1812" s="56"/>
      <c r="C1812" s="56"/>
      <c r="D1812" s="56"/>
      <c r="E1812" s="57"/>
      <c r="F1812" s="58"/>
      <c r="G1812" s="59"/>
      <c r="H1812" s="56"/>
      <c r="I1812" s="56"/>
      <c r="J1812" s="60" t="str">
        <f aca="false">IF(IsPro,IF($D1812="","",IFERROR(INDEX(Items!$D$5:$D$504,U1812),"")),"")</f>
        <v/>
      </c>
      <c r="K1812" s="61" t="str">
        <f aca="false">IF(IsPro,IF($D1812="","",IF($F1812="",IFERROR(INDEX(Items!$H$5:$H$504,U1812),0),$F1812)),"")</f>
        <v/>
      </c>
      <c r="L1812" s="61" t="str">
        <f aca="false">IF(IsPro,IF($D1812="","",ROUND(N($E1812)*K1812*(1-N($G1812)),2)),"")</f>
        <v/>
      </c>
      <c r="M1812" s="62" t="str">
        <f aca="false">IF(IsPro,IF($D1812="","",IFERROR(INDEX(Items!$F$5:$F$504,U1812),0)),"")</f>
        <v/>
      </c>
      <c r="N1812" s="61" t="str">
        <f aca="false">IF(IsPro,IF($D1812="","",IF(AND(V1812&lt;&gt;"",INDEX(Parties!$E$5:$E$304,V1812)&lt;&gt;"",INDEX(Parties!$E$5:$E$304,V1812)&lt;&gt;HomeState),0,ROUND(L1812*M1812/2,2))),"")</f>
        <v/>
      </c>
      <c r="O1812" s="61" t="str">
        <f aca="false">IF(IsPro,IF($D1812="","",N1812),"")</f>
        <v/>
      </c>
      <c r="P1812" s="61" t="str">
        <f aca="false">IF(IsPro,IF($D1812="","",IF(AND(V1812&lt;&gt;"",INDEX(Parties!$E$5:$E$304,V1812)&lt;&gt;"",INDEX(Parties!$E$5:$E$304,V1812)&lt;&gt;HomeState),ROUND(L1812*M1812,2),0)),"")</f>
        <v/>
      </c>
      <c r="Q1812" s="61" t="str">
        <f aca="false">IF(IsPro,IF($D1812="","",L1812+N1812+O1812+P1812),"")</f>
        <v/>
      </c>
      <c r="R1812" s="61" t="str">
        <f aca="false">IF(IsPro,IF($D1812="","",ROUND(N($E1812)*IFERROR(INDEX(Items!$P$5:$P$504,U1812),0),2)),"")</f>
        <v/>
      </c>
      <c r="S1812" s="61" t="str">
        <f aca="false">IF(IsPro,IF($D1812="","",L1812-R1812),"")</f>
        <v/>
      </c>
      <c r="T1812" s="60" t="str">
        <f aca="false">IF(IsPro,IF($D1812="","",IF(U1812="","UNKNOWN ITEM",IF(INDEX(Items!$O$5:$O$504,U1812)&lt;0,"NEG STOCK",IF(K1812&lt;INDEX(Items!$P$5:$P$504,U1812),"BELOW COST","OK")))),IF($D1812="","","PRO PLAN"))</f>
        <v/>
      </c>
      <c r="U1812" s="60" t="str">
        <f aca="false">IF(IsPro,IF($D1812="","",IFERROR(MATCH($D1812,Items!$A$5:$A$504,0),"")),"")</f>
        <v/>
      </c>
      <c r="V1812" s="60" t="str">
        <f aca="false">IF(IsPro,IF($C1812="","",IFERROR(MATCH($C1812,Parties!$A$5:$A$304,0),"")),"")</f>
        <v/>
      </c>
      <c r="W1812" s="60" t="str">
        <f aca="false">IF(IsPro,IF($B1812="","",IFERROR(VALUE(SUBSTITUTE($B1812,InvPrefix,"")),0)),"")</f>
        <v/>
      </c>
      <c r="X1812" s="61" t="str">
        <f aca="false">IF(IsPro,IF($D1812="","",IF(OR($H1812="",$H1812="Credit"),0,Q1812)),"")</f>
        <v/>
      </c>
    </row>
    <row r="1813" customFormat="false" ht="15" hidden="false" customHeight="false" outlineLevel="0" collapsed="false">
      <c r="A1813" s="55"/>
      <c r="B1813" s="56"/>
      <c r="C1813" s="56"/>
      <c r="D1813" s="56"/>
      <c r="E1813" s="57"/>
      <c r="F1813" s="58"/>
      <c r="G1813" s="59"/>
      <c r="H1813" s="56"/>
      <c r="I1813" s="56"/>
      <c r="J1813" s="60" t="str">
        <f aca="false">IF(IsPro,IF($D1813="","",IFERROR(INDEX(Items!$D$5:$D$504,U1813),"")),"")</f>
        <v/>
      </c>
      <c r="K1813" s="61" t="str">
        <f aca="false">IF(IsPro,IF($D1813="","",IF($F1813="",IFERROR(INDEX(Items!$H$5:$H$504,U1813),0),$F1813)),"")</f>
        <v/>
      </c>
      <c r="L1813" s="61" t="str">
        <f aca="false">IF(IsPro,IF($D1813="","",ROUND(N($E1813)*K1813*(1-N($G1813)),2)),"")</f>
        <v/>
      </c>
      <c r="M1813" s="62" t="str">
        <f aca="false">IF(IsPro,IF($D1813="","",IFERROR(INDEX(Items!$F$5:$F$504,U1813),0)),"")</f>
        <v/>
      </c>
      <c r="N1813" s="61" t="str">
        <f aca="false">IF(IsPro,IF($D1813="","",IF(AND(V1813&lt;&gt;"",INDEX(Parties!$E$5:$E$304,V1813)&lt;&gt;"",INDEX(Parties!$E$5:$E$304,V1813)&lt;&gt;HomeState),0,ROUND(L1813*M1813/2,2))),"")</f>
        <v/>
      </c>
      <c r="O1813" s="61" t="str">
        <f aca="false">IF(IsPro,IF($D1813="","",N1813),"")</f>
        <v/>
      </c>
      <c r="P1813" s="61" t="str">
        <f aca="false">IF(IsPro,IF($D1813="","",IF(AND(V1813&lt;&gt;"",INDEX(Parties!$E$5:$E$304,V1813)&lt;&gt;"",INDEX(Parties!$E$5:$E$304,V1813)&lt;&gt;HomeState),ROUND(L1813*M1813,2),0)),"")</f>
        <v/>
      </c>
      <c r="Q1813" s="61" t="str">
        <f aca="false">IF(IsPro,IF($D1813="","",L1813+N1813+O1813+P1813),"")</f>
        <v/>
      </c>
      <c r="R1813" s="61" t="str">
        <f aca="false">IF(IsPro,IF($D1813="","",ROUND(N($E1813)*IFERROR(INDEX(Items!$P$5:$P$504,U1813),0),2)),"")</f>
        <v/>
      </c>
      <c r="S1813" s="61" t="str">
        <f aca="false">IF(IsPro,IF($D1813="","",L1813-R1813),"")</f>
        <v/>
      </c>
      <c r="T1813" s="60" t="str">
        <f aca="false">IF(IsPro,IF($D1813="","",IF(U1813="","UNKNOWN ITEM",IF(INDEX(Items!$O$5:$O$504,U1813)&lt;0,"NEG STOCK",IF(K1813&lt;INDEX(Items!$P$5:$P$504,U1813),"BELOW COST","OK")))),IF($D1813="","","PRO PLAN"))</f>
        <v/>
      </c>
      <c r="U1813" s="60" t="str">
        <f aca="false">IF(IsPro,IF($D1813="","",IFERROR(MATCH($D1813,Items!$A$5:$A$504,0),"")),"")</f>
        <v/>
      </c>
      <c r="V1813" s="60" t="str">
        <f aca="false">IF(IsPro,IF($C1813="","",IFERROR(MATCH($C1813,Parties!$A$5:$A$304,0),"")),"")</f>
        <v/>
      </c>
      <c r="W1813" s="60" t="str">
        <f aca="false">IF(IsPro,IF($B1813="","",IFERROR(VALUE(SUBSTITUTE($B1813,InvPrefix,"")),0)),"")</f>
        <v/>
      </c>
      <c r="X1813" s="61" t="str">
        <f aca="false">IF(IsPro,IF($D1813="","",IF(OR($H1813="",$H1813="Credit"),0,Q1813)),"")</f>
        <v/>
      </c>
    </row>
    <row r="1814" customFormat="false" ht="15" hidden="false" customHeight="false" outlineLevel="0" collapsed="false">
      <c r="A1814" s="55"/>
      <c r="B1814" s="56"/>
      <c r="C1814" s="56"/>
      <c r="D1814" s="56"/>
      <c r="E1814" s="57"/>
      <c r="F1814" s="58"/>
      <c r="G1814" s="59"/>
      <c r="H1814" s="56"/>
      <c r="I1814" s="56"/>
      <c r="J1814" s="60" t="str">
        <f aca="false">IF(IsPro,IF($D1814="","",IFERROR(INDEX(Items!$D$5:$D$504,U1814),"")),"")</f>
        <v/>
      </c>
      <c r="K1814" s="61" t="str">
        <f aca="false">IF(IsPro,IF($D1814="","",IF($F1814="",IFERROR(INDEX(Items!$H$5:$H$504,U1814),0),$F1814)),"")</f>
        <v/>
      </c>
      <c r="L1814" s="61" t="str">
        <f aca="false">IF(IsPro,IF($D1814="","",ROUND(N($E1814)*K1814*(1-N($G1814)),2)),"")</f>
        <v/>
      </c>
      <c r="M1814" s="62" t="str">
        <f aca="false">IF(IsPro,IF($D1814="","",IFERROR(INDEX(Items!$F$5:$F$504,U1814),0)),"")</f>
        <v/>
      </c>
      <c r="N1814" s="61" t="str">
        <f aca="false">IF(IsPro,IF($D1814="","",IF(AND(V1814&lt;&gt;"",INDEX(Parties!$E$5:$E$304,V1814)&lt;&gt;"",INDEX(Parties!$E$5:$E$304,V1814)&lt;&gt;HomeState),0,ROUND(L1814*M1814/2,2))),"")</f>
        <v/>
      </c>
      <c r="O1814" s="61" t="str">
        <f aca="false">IF(IsPro,IF($D1814="","",N1814),"")</f>
        <v/>
      </c>
      <c r="P1814" s="61" t="str">
        <f aca="false">IF(IsPro,IF($D1814="","",IF(AND(V1814&lt;&gt;"",INDEX(Parties!$E$5:$E$304,V1814)&lt;&gt;"",INDEX(Parties!$E$5:$E$304,V1814)&lt;&gt;HomeState),ROUND(L1814*M1814,2),0)),"")</f>
        <v/>
      </c>
      <c r="Q1814" s="61" t="str">
        <f aca="false">IF(IsPro,IF($D1814="","",L1814+N1814+O1814+P1814),"")</f>
        <v/>
      </c>
      <c r="R1814" s="61" t="str">
        <f aca="false">IF(IsPro,IF($D1814="","",ROUND(N($E1814)*IFERROR(INDEX(Items!$P$5:$P$504,U1814),0),2)),"")</f>
        <v/>
      </c>
      <c r="S1814" s="61" t="str">
        <f aca="false">IF(IsPro,IF($D1814="","",L1814-R1814),"")</f>
        <v/>
      </c>
      <c r="T1814" s="60" t="str">
        <f aca="false">IF(IsPro,IF($D1814="","",IF(U1814="","UNKNOWN ITEM",IF(INDEX(Items!$O$5:$O$504,U1814)&lt;0,"NEG STOCK",IF(K1814&lt;INDEX(Items!$P$5:$P$504,U1814),"BELOW COST","OK")))),IF($D1814="","","PRO PLAN"))</f>
        <v/>
      </c>
      <c r="U1814" s="60" t="str">
        <f aca="false">IF(IsPro,IF($D1814="","",IFERROR(MATCH($D1814,Items!$A$5:$A$504,0),"")),"")</f>
        <v/>
      </c>
      <c r="V1814" s="60" t="str">
        <f aca="false">IF(IsPro,IF($C1814="","",IFERROR(MATCH($C1814,Parties!$A$5:$A$304,0),"")),"")</f>
        <v/>
      </c>
      <c r="W1814" s="60" t="str">
        <f aca="false">IF(IsPro,IF($B1814="","",IFERROR(VALUE(SUBSTITUTE($B1814,InvPrefix,"")),0)),"")</f>
        <v/>
      </c>
      <c r="X1814" s="61" t="str">
        <f aca="false">IF(IsPro,IF($D1814="","",IF(OR($H1814="",$H1814="Credit"),0,Q1814)),"")</f>
        <v/>
      </c>
    </row>
    <row r="1815" customFormat="false" ht="15" hidden="false" customHeight="false" outlineLevel="0" collapsed="false">
      <c r="A1815" s="55"/>
      <c r="B1815" s="56"/>
      <c r="C1815" s="56"/>
      <c r="D1815" s="56"/>
      <c r="E1815" s="57"/>
      <c r="F1815" s="58"/>
      <c r="G1815" s="59"/>
      <c r="H1815" s="56"/>
      <c r="I1815" s="56"/>
      <c r="J1815" s="60" t="str">
        <f aca="false">IF(IsPro,IF($D1815="","",IFERROR(INDEX(Items!$D$5:$D$504,U1815),"")),"")</f>
        <v/>
      </c>
      <c r="K1815" s="61" t="str">
        <f aca="false">IF(IsPro,IF($D1815="","",IF($F1815="",IFERROR(INDEX(Items!$H$5:$H$504,U1815),0),$F1815)),"")</f>
        <v/>
      </c>
      <c r="L1815" s="61" t="str">
        <f aca="false">IF(IsPro,IF($D1815="","",ROUND(N($E1815)*K1815*(1-N($G1815)),2)),"")</f>
        <v/>
      </c>
      <c r="M1815" s="62" t="str">
        <f aca="false">IF(IsPro,IF($D1815="","",IFERROR(INDEX(Items!$F$5:$F$504,U1815),0)),"")</f>
        <v/>
      </c>
      <c r="N1815" s="61" t="str">
        <f aca="false">IF(IsPro,IF($D1815="","",IF(AND(V1815&lt;&gt;"",INDEX(Parties!$E$5:$E$304,V1815)&lt;&gt;"",INDEX(Parties!$E$5:$E$304,V1815)&lt;&gt;HomeState),0,ROUND(L1815*M1815/2,2))),"")</f>
        <v/>
      </c>
      <c r="O1815" s="61" t="str">
        <f aca="false">IF(IsPro,IF($D1815="","",N1815),"")</f>
        <v/>
      </c>
      <c r="P1815" s="61" t="str">
        <f aca="false">IF(IsPro,IF($D1815="","",IF(AND(V1815&lt;&gt;"",INDEX(Parties!$E$5:$E$304,V1815)&lt;&gt;"",INDEX(Parties!$E$5:$E$304,V1815)&lt;&gt;HomeState),ROUND(L1815*M1815,2),0)),"")</f>
        <v/>
      </c>
      <c r="Q1815" s="61" t="str">
        <f aca="false">IF(IsPro,IF($D1815="","",L1815+N1815+O1815+P1815),"")</f>
        <v/>
      </c>
      <c r="R1815" s="61" t="str">
        <f aca="false">IF(IsPro,IF($D1815="","",ROUND(N($E1815)*IFERROR(INDEX(Items!$P$5:$P$504,U1815),0),2)),"")</f>
        <v/>
      </c>
      <c r="S1815" s="61" t="str">
        <f aca="false">IF(IsPro,IF($D1815="","",L1815-R1815),"")</f>
        <v/>
      </c>
      <c r="T1815" s="60" t="str">
        <f aca="false">IF(IsPro,IF($D1815="","",IF(U1815="","UNKNOWN ITEM",IF(INDEX(Items!$O$5:$O$504,U1815)&lt;0,"NEG STOCK",IF(K1815&lt;INDEX(Items!$P$5:$P$504,U1815),"BELOW COST","OK")))),IF($D1815="","","PRO PLAN"))</f>
        <v/>
      </c>
      <c r="U1815" s="60" t="str">
        <f aca="false">IF(IsPro,IF($D1815="","",IFERROR(MATCH($D1815,Items!$A$5:$A$504,0),"")),"")</f>
        <v/>
      </c>
      <c r="V1815" s="60" t="str">
        <f aca="false">IF(IsPro,IF($C1815="","",IFERROR(MATCH($C1815,Parties!$A$5:$A$304,0),"")),"")</f>
        <v/>
      </c>
      <c r="W1815" s="60" t="str">
        <f aca="false">IF(IsPro,IF($B1815="","",IFERROR(VALUE(SUBSTITUTE($B1815,InvPrefix,"")),0)),"")</f>
        <v/>
      </c>
      <c r="X1815" s="61" t="str">
        <f aca="false">IF(IsPro,IF($D1815="","",IF(OR($H1815="",$H1815="Credit"),0,Q1815)),"")</f>
        <v/>
      </c>
    </row>
    <row r="1816" customFormat="false" ht="15" hidden="false" customHeight="false" outlineLevel="0" collapsed="false">
      <c r="A1816" s="55"/>
      <c r="B1816" s="56"/>
      <c r="C1816" s="56"/>
      <c r="D1816" s="56"/>
      <c r="E1816" s="57"/>
      <c r="F1816" s="58"/>
      <c r="G1816" s="59"/>
      <c r="H1816" s="56"/>
      <c r="I1816" s="56"/>
      <c r="J1816" s="60" t="str">
        <f aca="false">IF(IsPro,IF($D1816="","",IFERROR(INDEX(Items!$D$5:$D$504,U1816),"")),"")</f>
        <v/>
      </c>
      <c r="K1816" s="61" t="str">
        <f aca="false">IF(IsPro,IF($D1816="","",IF($F1816="",IFERROR(INDEX(Items!$H$5:$H$504,U1816),0),$F1816)),"")</f>
        <v/>
      </c>
      <c r="L1816" s="61" t="str">
        <f aca="false">IF(IsPro,IF($D1816="","",ROUND(N($E1816)*K1816*(1-N($G1816)),2)),"")</f>
        <v/>
      </c>
      <c r="M1816" s="62" t="str">
        <f aca="false">IF(IsPro,IF($D1816="","",IFERROR(INDEX(Items!$F$5:$F$504,U1816),0)),"")</f>
        <v/>
      </c>
      <c r="N1816" s="61" t="str">
        <f aca="false">IF(IsPro,IF($D1816="","",IF(AND(V1816&lt;&gt;"",INDEX(Parties!$E$5:$E$304,V1816)&lt;&gt;"",INDEX(Parties!$E$5:$E$304,V1816)&lt;&gt;HomeState),0,ROUND(L1816*M1816/2,2))),"")</f>
        <v/>
      </c>
      <c r="O1816" s="61" t="str">
        <f aca="false">IF(IsPro,IF($D1816="","",N1816),"")</f>
        <v/>
      </c>
      <c r="P1816" s="61" t="str">
        <f aca="false">IF(IsPro,IF($D1816="","",IF(AND(V1816&lt;&gt;"",INDEX(Parties!$E$5:$E$304,V1816)&lt;&gt;"",INDEX(Parties!$E$5:$E$304,V1816)&lt;&gt;HomeState),ROUND(L1816*M1816,2),0)),"")</f>
        <v/>
      </c>
      <c r="Q1816" s="61" t="str">
        <f aca="false">IF(IsPro,IF($D1816="","",L1816+N1816+O1816+P1816),"")</f>
        <v/>
      </c>
      <c r="R1816" s="61" t="str">
        <f aca="false">IF(IsPro,IF($D1816="","",ROUND(N($E1816)*IFERROR(INDEX(Items!$P$5:$P$504,U1816),0),2)),"")</f>
        <v/>
      </c>
      <c r="S1816" s="61" t="str">
        <f aca="false">IF(IsPro,IF($D1816="","",L1816-R1816),"")</f>
        <v/>
      </c>
      <c r="T1816" s="60" t="str">
        <f aca="false">IF(IsPro,IF($D1816="","",IF(U1816="","UNKNOWN ITEM",IF(INDEX(Items!$O$5:$O$504,U1816)&lt;0,"NEG STOCK",IF(K1816&lt;INDEX(Items!$P$5:$P$504,U1816),"BELOW COST","OK")))),IF($D1816="","","PRO PLAN"))</f>
        <v/>
      </c>
      <c r="U1816" s="60" t="str">
        <f aca="false">IF(IsPro,IF($D1816="","",IFERROR(MATCH($D1816,Items!$A$5:$A$504,0),"")),"")</f>
        <v/>
      </c>
      <c r="V1816" s="60" t="str">
        <f aca="false">IF(IsPro,IF($C1816="","",IFERROR(MATCH($C1816,Parties!$A$5:$A$304,0),"")),"")</f>
        <v/>
      </c>
      <c r="W1816" s="60" t="str">
        <f aca="false">IF(IsPro,IF($B1816="","",IFERROR(VALUE(SUBSTITUTE($B1816,InvPrefix,"")),0)),"")</f>
        <v/>
      </c>
      <c r="X1816" s="61" t="str">
        <f aca="false">IF(IsPro,IF($D1816="","",IF(OR($H1816="",$H1816="Credit"),0,Q1816)),"")</f>
        <v/>
      </c>
    </row>
    <row r="1817" customFormat="false" ht="15" hidden="false" customHeight="false" outlineLevel="0" collapsed="false">
      <c r="A1817" s="55"/>
      <c r="B1817" s="56"/>
      <c r="C1817" s="56"/>
      <c r="D1817" s="56"/>
      <c r="E1817" s="57"/>
      <c r="F1817" s="58"/>
      <c r="G1817" s="59"/>
      <c r="H1817" s="56"/>
      <c r="I1817" s="56"/>
      <c r="J1817" s="60" t="str">
        <f aca="false">IF(IsPro,IF($D1817="","",IFERROR(INDEX(Items!$D$5:$D$504,U1817),"")),"")</f>
        <v/>
      </c>
      <c r="K1817" s="61" t="str">
        <f aca="false">IF(IsPro,IF($D1817="","",IF($F1817="",IFERROR(INDEX(Items!$H$5:$H$504,U1817),0),$F1817)),"")</f>
        <v/>
      </c>
      <c r="L1817" s="61" t="str">
        <f aca="false">IF(IsPro,IF($D1817="","",ROUND(N($E1817)*K1817*(1-N($G1817)),2)),"")</f>
        <v/>
      </c>
      <c r="M1817" s="62" t="str">
        <f aca="false">IF(IsPro,IF($D1817="","",IFERROR(INDEX(Items!$F$5:$F$504,U1817),0)),"")</f>
        <v/>
      </c>
      <c r="N1817" s="61" t="str">
        <f aca="false">IF(IsPro,IF($D1817="","",IF(AND(V1817&lt;&gt;"",INDEX(Parties!$E$5:$E$304,V1817)&lt;&gt;"",INDEX(Parties!$E$5:$E$304,V1817)&lt;&gt;HomeState),0,ROUND(L1817*M1817/2,2))),"")</f>
        <v/>
      </c>
      <c r="O1817" s="61" t="str">
        <f aca="false">IF(IsPro,IF($D1817="","",N1817),"")</f>
        <v/>
      </c>
      <c r="P1817" s="61" t="str">
        <f aca="false">IF(IsPro,IF($D1817="","",IF(AND(V1817&lt;&gt;"",INDEX(Parties!$E$5:$E$304,V1817)&lt;&gt;"",INDEX(Parties!$E$5:$E$304,V1817)&lt;&gt;HomeState),ROUND(L1817*M1817,2),0)),"")</f>
        <v/>
      </c>
      <c r="Q1817" s="61" t="str">
        <f aca="false">IF(IsPro,IF($D1817="","",L1817+N1817+O1817+P1817),"")</f>
        <v/>
      </c>
      <c r="R1817" s="61" t="str">
        <f aca="false">IF(IsPro,IF($D1817="","",ROUND(N($E1817)*IFERROR(INDEX(Items!$P$5:$P$504,U1817),0),2)),"")</f>
        <v/>
      </c>
      <c r="S1817" s="61" t="str">
        <f aca="false">IF(IsPro,IF($D1817="","",L1817-R1817),"")</f>
        <v/>
      </c>
      <c r="T1817" s="60" t="str">
        <f aca="false">IF(IsPro,IF($D1817="","",IF(U1817="","UNKNOWN ITEM",IF(INDEX(Items!$O$5:$O$504,U1817)&lt;0,"NEG STOCK",IF(K1817&lt;INDEX(Items!$P$5:$P$504,U1817),"BELOW COST","OK")))),IF($D1817="","","PRO PLAN"))</f>
        <v/>
      </c>
      <c r="U1817" s="60" t="str">
        <f aca="false">IF(IsPro,IF($D1817="","",IFERROR(MATCH($D1817,Items!$A$5:$A$504,0),"")),"")</f>
        <v/>
      </c>
      <c r="V1817" s="60" t="str">
        <f aca="false">IF(IsPro,IF($C1817="","",IFERROR(MATCH($C1817,Parties!$A$5:$A$304,0),"")),"")</f>
        <v/>
      </c>
      <c r="W1817" s="60" t="str">
        <f aca="false">IF(IsPro,IF($B1817="","",IFERROR(VALUE(SUBSTITUTE($B1817,InvPrefix,"")),0)),"")</f>
        <v/>
      </c>
      <c r="X1817" s="61" t="str">
        <f aca="false">IF(IsPro,IF($D1817="","",IF(OR($H1817="",$H1817="Credit"),0,Q1817)),"")</f>
        <v/>
      </c>
    </row>
    <row r="1818" customFormat="false" ht="15" hidden="false" customHeight="false" outlineLevel="0" collapsed="false">
      <c r="A1818" s="55"/>
      <c r="B1818" s="56"/>
      <c r="C1818" s="56"/>
      <c r="D1818" s="56"/>
      <c r="E1818" s="57"/>
      <c r="F1818" s="58"/>
      <c r="G1818" s="59"/>
      <c r="H1818" s="56"/>
      <c r="I1818" s="56"/>
      <c r="J1818" s="60" t="str">
        <f aca="false">IF(IsPro,IF($D1818="","",IFERROR(INDEX(Items!$D$5:$D$504,U1818),"")),"")</f>
        <v/>
      </c>
      <c r="K1818" s="61" t="str">
        <f aca="false">IF(IsPro,IF($D1818="","",IF($F1818="",IFERROR(INDEX(Items!$H$5:$H$504,U1818),0),$F1818)),"")</f>
        <v/>
      </c>
      <c r="L1818" s="61" t="str">
        <f aca="false">IF(IsPro,IF($D1818="","",ROUND(N($E1818)*K1818*(1-N($G1818)),2)),"")</f>
        <v/>
      </c>
      <c r="M1818" s="62" t="str">
        <f aca="false">IF(IsPro,IF($D1818="","",IFERROR(INDEX(Items!$F$5:$F$504,U1818),0)),"")</f>
        <v/>
      </c>
      <c r="N1818" s="61" t="str">
        <f aca="false">IF(IsPro,IF($D1818="","",IF(AND(V1818&lt;&gt;"",INDEX(Parties!$E$5:$E$304,V1818)&lt;&gt;"",INDEX(Parties!$E$5:$E$304,V1818)&lt;&gt;HomeState),0,ROUND(L1818*M1818/2,2))),"")</f>
        <v/>
      </c>
      <c r="O1818" s="61" t="str">
        <f aca="false">IF(IsPro,IF($D1818="","",N1818),"")</f>
        <v/>
      </c>
      <c r="P1818" s="61" t="str">
        <f aca="false">IF(IsPro,IF($D1818="","",IF(AND(V1818&lt;&gt;"",INDEX(Parties!$E$5:$E$304,V1818)&lt;&gt;"",INDEX(Parties!$E$5:$E$304,V1818)&lt;&gt;HomeState),ROUND(L1818*M1818,2),0)),"")</f>
        <v/>
      </c>
      <c r="Q1818" s="61" t="str">
        <f aca="false">IF(IsPro,IF($D1818="","",L1818+N1818+O1818+P1818),"")</f>
        <v/>
      </c>
      <c r="R1818" s="61" t="str">
        <f aca="false">IF(IsPro,IF($D1818="","",ROUND(N($E1818)*IFERROR(INDEX(Items!$P$5:$P$504,U1818),0),2)),"")</f>
        <v/>
      </c>
      <c r="S1818" s="61" t="str">
        <f aca="false">IF(IsPro,IF($D1818="","",L1818-R1818),"")</f>
        <v/>
      </c>
      <c r="T1818" s="60" t="str">
        <f aca="false">IF(IsPro,IF($D1818="","",IF(U1818="","UNKNOWN ITEM",IF(INDEX(Items!$O$5:$O$504,U1818)&lt;0,"NEG STOCK",IF(K1818&lt;INDEX(Items!$P$5:$P$504,U1818),"BELOW COST","OK")))),IF($D1818="","","PRO PLAN"))</f>
        <v/>
      </c>
      <c r="U1818" s="60" t="str">
        <f aca="false">IF(IsPro,IF($D1818="","",IFERROR(MATCH($D1818,Items!$A$5:$A$504,0),"")),"")</f>
        <v/>
      </c>
      <c r="V1818" s="60" t="str">
        <f aca="false">IF(IsPro,IF($C1818="","",IFERROR(MATCH($C1818,Parties!$A$5:$A$304,0),"")),"")</f>
        <v/>
      </c>
      <c r="W1818" s="60" t="str">
        <f aca="false">IF(IsPro,IF($B1818="","",IFERROR(VALUE(SUBSTITUTE($B1818,InvPrefix,"")),0)),"")</f>
        <v/>
      </c>
      <c r="X1818" s="61" t="str">
        <f aca="false">IF(IsPro,IF($D1818="","",IF(OR($H1818="",$H1818="Credit"),0,Q1818)),"")</f>
        <v/>
      </c>
    </row>
    <row r="1819" customFormat="false" ht="15" hidden="false" customHeight="false" outlineLevel="0" collapsed="false">
      <c r="A1819" s="55"/>
      <c r="B1819" s="56"/>
      <c r="C1819" s="56"/>
      <c r="D1819" s="56"/>
      <c r="E1819" s="57"/>
      <c r="F1819" s="58"/>
      <c r="G1819" s="59"/>
      <c r="H1819" s="56"/>
      <c r="I1819" s="56"/>
      <c r="J1819" s="60" t="str">
        <f aca="false">IF(IsPro,IF($D1819="","",IFERROR(INDEX(Items!$D$5:$D$504,U1819),"")),"")</f>
        <v/>
      </c>
      <c r="K1819" s="61" t="str">
        <f aca="false">IF(IsPro,IF($D1819="","",IF($F1819="",IFERROR(INDEX(Items!$H$5:$H$504,U1819),0),$F1819)),"")</f>
        <v/>
      </c>
      <c r="L1819" s="61" t="str">
        <f aca="false">IF(IsPro,IF($D1819="","",ROUND(N($E1819)*K1819*(1-N($G1819)),2)),"")</f>
        <v/>
      </c>
      <c r="M1819" s="62" t="str">
        <f aca="false">IF(IsPro,IF($D1819="","",IFERROR(INDEX(Items!$F$5:$F$504,U1819),0)),"")</f>
        <v/>
      </c>
      <c r="N1819" s="61" t="str">
        <f aca="false">IF(IsPro,IF($D1819="","",IF(AND(V1819&lt;&gt;"",INDEX(Parties!$E$5:$E$304,V1819)&lt;&gt;"",INDEX(Parties!$E$5:$E$304,V1819)&lt;&gt;HomeState),0,ROUND(L1819*M1819/2,2))),"")</f>
        <v/>
      </c>
      <c r="O1819" s="61" t="str">
        <f aca="false">IF(IsPro,IF($D1819="","",N1819),"")</f>
        <v/>
      </c>
      <c r="P1819" s="61" t="str">
        <f aca="false">IF(IsPro,IF($D1819="","",IF(AND(V1819&lt;&gt;"",INDEX(Parties!$E$5:$E$304,V1819)&lt;&gt;"",INDEX(Parties!$E$5:$E$304,V1819)&lt;&gt;HomeState),ROUND(L1819*M1819,2),0)),"")</f>
        <v/>
      </c>
      <c r="Q1819" s="61" t="str">
        <f aca="false">IF(IsPro,IF($D1819="","",L1819+N1819+O1819+P1819),"")</f>
        <v/>
      </c>
      <c r="R1819" s="61" t="str">
        <f aca="false">IF(IsPro,IF($D1819="","",ROUND(N($E1819)*IFERROR(INDEX(Items!$P$5:$P$504,U1819),0),2)),"")</f>
        <v/>
      </c>
      <c r="S1819" s="61" t="str">
        <f aca="false">IF(IsPro,IF($D1819="","",L1819-R1819),"")</f>
        <v/>
      </c>
      <c r="T1819" s="60" t="str">
        <f aca="false">IF(IsPro,IF($D1819="","",IF(U1819="","UNKNOWN ITEM",IF(INDEX(Items!$O$5:$O$504,U1819)&lt;0,"NEG STOCK",IF(K1819&lt;INDEX(Items!$P$5:$P$504,U1819),"BELOW COST","OK")))),IF($D1819="","","PRO PLAN"))</f>
        <v/>
      </c>
      <c r="U1819" s="60" t="str">
        <f aca="false">IF(IsPro,IF($D1819="","",IFERROR(MATCH($D1819,Items!$A$5:$A$504,0),"")),"")</f>
        <v/>
      </c>
      <c r="V1819" s="60" t="str">
        <f aca="false">IF(IsPro,IF($C1819="","",IFERROR(MATCH($C1819,Parties!$A$5:$A$304,0),"")),"")</f>
        <v/>
      </c>
      <c r="W1819" s="60" t="str">
        <f aca="false">IF(IsPro,IF($B1819="","",IFERROR(VALUE(SUBSTITUTE($B1819,InvPrefix,"")),0)),"")</f>
        <v/>
      </c>
      <c r="X1819" s="61" t="str">
        <f aca="false">IF(IsPro,IF($D1819="","",IF(OR($H1819="",$H1819="Credit"),0,Q1819)),"")</f>
        <v/>
      </c>
    </row>
    <row r="1820" customFormat="false" ht="15" hidden="false" customHeight="false" outlineLevel="0" collapsed="false">
      <c r="A1820" s="55"/>
      <c r="B1820" s="56"/>
      <c r="C1820" s="56"/>
      <c r="D1820" s="56"/>
      <c r="E1820" s="57"/>
      <c r="F1820" s="58"/>
      <c r="G1820" s="59"/>
      <c r="H1820" s="56"/>
      <c r="I1820" s="56"/>
      <c r="J1820" s="60" t="str">
        <f aca="false">IF(IsPro,IF($D1820="","",IFERROR(INDEX(Items!$D$5:$D$504,U1820),"")),"")</f>
        <v/>
      </c>
      <c r="K1820" s="61" t="str">
        <f aca="false">IF(IsPro,IF($D1820="","",IF($F1820="",IFERROR(INDEX(Items!$H$5:$H$504,U1820),0),$F1820)),"")</f>
        <v/>
      </c>
      <c r="L1820" s="61" t="str">
        <f aca="false">IF(IsPro,IF($D1820="","",ROUND(N($E1820)*K1820*(1-N($G1820)),2)),"")</f>
        <v/>
      </c>
      <c r="M1820" s="62" t="str">
        <f aca="false">IF(IsPro,IF($D1820="","",IFERROR(INDEX(Items!$F$5:$F$504,U1820),0)),"")</f>
        <v/>
      </c>
      <c r="N1820" s="61" t="str">
        <f aca="false">IF(IsPro,IF($D1820="","",IF(AND(V1820&lt;&gt;"",INDEX(Parties!$E$5:$E$304,V1820)&lt;&gt;"",INDEX(Parties!$E$5:$E$304,V1820)&lt;&gt;HomeState),0,ROUND(L1820*M1820/2,2))),"")</f>
        <v/>
      </c>
      <c r="O1820" s="61" t="str">
        <f aca="false">IF(IsPro,IF($D1820="","",N1820),"")</f>
        <v/>
      </c>
      <c r="P1820" s="61" t="str">
        <f aca="false">IF(IsPro,IF($D1820="","",IF(AND(V1820&lt;&gt;"",INDEX(Parties!$E$5:$E$304,V1820)&lt;&gt;"",INDEX(Parties!$E$5:$E$304,V1820)&lt;&gt;HomeState),ROUND(L1820*M1820,2),0)),"")</f>
        <v/>
      </c>
      <c r="Q1820" s="61" t="str">
        <f aca="false">IF(IsPro,IF($D1820="","",L1820+N1820+O1820+P1820),"")</f>
        <v/>
      </c>
      <c r="R1820" s="61" t="str">
        <f aca="false">IF(IsPro,IF($D1820="","",ROUND(N($E1820)*IFERROR(INDEX(Items!$P$5:$P$504,U1820),0),2)),"")</f>
        <v/>
      </c>
      <c r="S1820" s="61" t="str">
        <f aca="false">IF(IsPro,IF($D1820="","",L1820-R1820),"")</f>
        <v/>
      </c>
      <c r="T1820" s="60" t="str">
        <f aca="false">IF(IsPro,IF($D1820="","",IF(U1820="","UNKNOWN ITEM",IF(INDEX(Items!$O$5:$O$504,U1820)&lt;0,"NEG STOCK",IF(K1820&lt;INDEX(Items!$P$5:$P$504,U1820),"BELOW COST","OK")))),IF($D1820="","","PRO PLAN"))</f>
        <v/>
      </c>
      <c r="U1820" s="60" t="str">
        <f aca="false">IF(IsPro,IF($D1820="","",IFERROR(MATCH($D1820,Items!$A$5:$A$504,0),"")),"")</f>
        <v/>
      </c>
      <c r="V1820" s="60" t="str">
        <f aca="false">IF(IsPro,IF($C1820="","",IFERROR(MATCH($C1820,Parties!$A$5:$A$304,0),"")),"")</f>
        <v/>
      </c>
      <c r="W1820" s="60" t="str">
        <f aca="false">IF(IsPro,IF($B1820="","",IFERROR(VALUE(SUBSTITUTE($B1820,InvPrefix,"")),0)),"")</f>
        <v/>
      </c>
      <c r="X1820" s="61" t="str">
        <f aca="false">IF(IsPro,IF($D1820="","",IF(OR($H1820="",$H1820="Credit"),0,Q1820)),"")</f>
        <v/>
      </c>
    </row>
    <row r="1821" customFormat="false" ht="15" hidden="false" customHeight="false" outlineLevel="0" collapsed="false">
      <c r="A1821" s="55"/>
      <c r="B1821" s="56"/>
      <c r="C1821" s="56"/>
      <c r="D1821" s="56"/>
      <c r="E1821" s="57"/>
      <c r="F1821" s="58"/>
      <c r="G1821" s="59"/>
      <c r="H1821" s="56"/>
      <c r="I1821" s="56"/>
      <c r="J1821" s="60" t="str">
        <f aca="false">IF(IsPro,IF($D1821="","",IFERROR(INDEX(Items!$D$5:$D$504,U1821),"")),"")</f>
        <v/>
      </c>
      <c r="K1821" s="61" t="str">
        <f aca="false">IF(IsPro,IF($D1821="","",IF($F1821="",IFERROR(INDEX(Items!$H$5:$H$504,U1821),0),$F1821)),"")</f>
        <v/>
      </c>
      <c r="L1821" s="61" t="str">
        <f aca="false">IF(IsPro,IF($D1821="","",ROUND(N($E1821)*K1821*(1-N($G1821)),2)),"")</f>
        <v/>
      </c>
      <c r="M1821" s="62" t="str">
        <f aca="false">IF(IsPro,IF($D1821="","",IFERROR(INDEX(Items!$F$5:$F$504,U1821),0)),"")</f>
        <v/>
      </c>
      <c r="N1821" s="61" t="str">
        <f aca="false">IF(IsPro,IF($D1821="","",IF(AND(V1821&lt;&gt;"",INDEX(Parties!$E$5:$E$304,V1821)&lt;&gt;"",INDEX(Parties!$E$5:$E$304,V1821)&lt;&gt;HomeState),0,ROUND(L1821*M1821/2,2))),"")</f>
        <v/>
      </c>
      <c r="O1821" s="61" t="str">
        <f aca="false">IF(IsPro,IF($D1821="","",N1821),"")</f>
        <v/>
      </c>
      <c r="P1821" s="61" t="str">
        <f aca="false">IF(IsPro,IF($D1821="","",IF(AND(V1821&lt;&gt;"",INDEX(Parties!$E$5:$E$304,V1821)&lt;&gt;"",INDEX(Parties!$E$5:$E$304,V1821)&lt;&gt;HomeState),ROUND(L1821*M1821,2),0)),"")</f>
        <v/>
      </c>
      <c r="Q1821" s="61" t="str">
        <f aca="false">IF(IsPro,IF($D1821="","",L1821+N1821+O1821+P1821),"")</f>
        <v/>
      </c>
      <c r="R1821" s="61" t="str">
        <f aca="false">IF(IsPro,IF($D1821="","",ROUND(N($E1821)*IFERROR(INDEX(Items!$P$5:$P$504,U1821),0),2)),"")</f>
        <v/>
      </c>
      <c r="S1821" s="61" t="str">
        <f aca="false">IF(IsPro,IF($D1821="","",L1821-R1821),"")</f>
        <v/>
      </c>
      <c r="T1821" s="60" t="str">
        <f aca="false">IF(IsPro,IF($D1821="","",IF(U1821="","UNKNOWN ITEM",IF(INDEX(Items!$O$5:$O$504,U1821)&lt;0,"NEG STOCK",IF(K1821&lt;INDEX(Items!$P$5:$P$504,U1821),"BELOW COST","OK")))),IF($D1821="","","PRO PLAN"))</f>
        <v/>
      </c>
      <c r="U1821" s="60" t="str">
        <f aca="false">IF(IsPro,IF($D1821="","",IFERROR(MATCH($D1821,Items!$A$5:$A$504,0),"")),"")</f>
        <v/>
      </c>
      <c r="V1821" s="60" t="str">
        <f aca="false">IF(IsPro,IF($C1821="","",IFERROR(MATCH($C1821,Parties!$A$5:$A$304,0),"")),"")</f>
        <v/>
      </c>
      <c r="W1821" s="60" t="str">
        <f aca="false">IF(IsPro,IF($B1821="","",IFERROR(VALUE(SUBSTITUTE($B1821,InvPrefix,"")),0)),"")</f>
        <v/>
      </c>
      <c r="X1821" s="61" t="str">
        <f aca="false">IF(IsPro,IF($D1821="","",IF(OR($H1821="",$H1821="Credit"),0,Q1821)),"")</f>
        <v/>
      </c>
    </row>
    <row r="1822" customFormat="false" ht="15" hidden="false" customHeight="false" outlineLevel="0" collapsed="false">
      <c r="A1822" s="55"/>
      <c r="B1822" s="56"/>
      <c r="C1822" s="56"/>
      <c r="D1822" s="56"/>
      <c r="E1822" s="57"/>
      <c r="F1822" s="58"/>
      <c r="G1822" s="59"/>
      <c r="H1822" s="56"/>
      <c r="I1822" s="56"/>
      <c r="J1822" s="60" t="str">
        <f aca="false">IF(IsPro,IF($D1822="","",IFERROR(INDEX(Items!$D$5:$D$504,U1822),"")),"")</f>
        <v/>
      </c>
      <c r="K1822" s="61" t="str">
        <f aca="false">IF(IsPro,IF($D1822="","",IF($F1822="",IFERROR(INDEX(Items!$H$5:$H$504,U1822),0),$F1822)),"")</f>
        <v/>
      </c>
      <c r="L1822" s="61" t="str">
        <f aca="false">IF(IsPro,IF($D1822="","",ROUND(N($E1822)*K1822*(1-N($G1822)),2)),"")</f>
        <v/>
      </c>
      <c r="M1822" s="62" t="str">
        <f aca="false">IF(IsPro,IF($D1822="","",IFERROR(INDEX(Items!$F$5:$F$504,U1822),0)),"")</f>
        <v/>
      </c>
      <c r="N1822" s="61" t="str">
        <f aca="false">IF(IsPro,IF($D1822="","",IF(AND(V1822&lt;&gt;"",INDEX(Parties!$E$5:$E$304,V1822)&lt;&gt;"",INDEX(Parties!$E$5:$E$304,V1822)&lt;&gt;HomeState),0,ROUND(L1822*M1822/2,2))),"")</f>
        <v/>
      </c>
      <c r="O1822" s="61" t="str">
        <f aca="false">IF(IsPro,IF($D1822="","",N1822),"")</f>
        <v/>
      </c>
      <c r="P1822" s="61" t="str">
        <f aca="false">IF(IsPro,IF($D1822="","",IF(AND(V1822&lt;&gt;"",INDEX(Parties!$E$5:$E$304,V1822)&lt;&gt;"",INDEX(Parties!$E$5:$E$304,V1822)&lt;&gt;HomeState),ROUND(L1822*M1822,2),0)),"")</f>
        <v/>
      </c>
      <c r="Q1822" s="61" t="str">
        <f aca="false">IF(IsPro,IF($D1822="","",L1822+N1822+O1822+P1822),"")</f>
        <v/>
      </c>
      <c r="R1822" s="61" t="str">
        <f aca="false">IF(IsPro,IF($D1822="","",ROUND(N($E1822)*IFERROR(INDEX(Items!$P$5:$P$504,U1822),0),2)),"")</f>
        <v/>
      </c>
      <c r="S1822" s="61" t="str">
        <f aca="false">IF(IsPro,IF($D1822="","",L1822-R1822),"")</f>
        <v/>
      </c>
      <c r="T1822" s="60" t="str">
        <f aca="false">IF(IsPro,IF($D1822="","",IF(U1822="","UNKNOWN ITEM",IF(INDEX(Items!$O$5:$O$504,U1822)&lt;0,"NEG STOCK",IF(K1822&lt;INDEX(Items!$P$5:$P$504,U1822),"BELOW COST","OK")))),IF($D1822="","","PRO PLAN"))</f>
        <v/>
      </c>
      <c r="U1822" s="60" t="str">
        <f aca="false">IF(IsPro,IF($D1822="","",IFERROR(MATCH($D1822,Items!$A$5:$A$504,0),"")),"")</f>
        <v/>
      </c>
      <c r="V1822" s="60" t="str">
        <f aca="false">IF(IsPro,IF($C1822="","",IFERROR(MATCH($C1822,Parties!$A$5:$A$304,0),"")),"")</f>
        <v/>
      </c>
      <c r="W1822" s="60" t="str">
        <f aca="false">IF(IsPro,IF($B1822="","",IFERROR(VALUE(SUBSTITUTE($B1822,InvPrefix,"")),0)),"")</f>
        <v/>
      </c>
      <c r="X1822" s="61" t="str">
        <f aca="false">IF(IsPro,IF($D1822="","",IF(OR($H1822="",$H1822="Credit"),0,Q1822)),"")</f>
        <v/>
      </c>
    </row>
    <row r="1823" customFormat="false" ht="15" hidden="false" customHeight="false" outlineLevel="0" collapsed="false">
      <c r="A1823" s="55"/>
      <c r="B1823" s="56"/>
      <c r="C1823" s="56"/>
      <c r="D1823" s="56"/>
      <c r="E1823" s="57"/>
      <c r="F1823" s="58"/>
      <c r="G1823" s="59"/>
      <c r="H1823" s="56"/>
      <c r="I1823" s="56"/>
      <c r="J1823" s="60" t="str">
        <f aca="false">IF(IsPro,IF($D1823="","",IFERROR(INDEX(Items!$D$5:$D$504,U1823),"")),"")</f>
        <v/>
      </c>
      <c r="K1823" s="61" t="str">
        <f aca="false">IF(IsPro,IF($D1823="","",IF($F1823="",IFERROR(INDEX(Items!$H$5:$H$504,U1823),0),$F1823)),"")</f>
        <v/>
      </c>
      <c r="L1823" s="61" t="str">
        <f aca="false">IF(IsPro,IF($D1823="","",ROUND(N($E1823)*K1823*(1-N($G1823)),2)),"")</f>
        <v/>
      </c>
      <c r="M1823" s="62" t="str">
        <f aca="false">IF(IsPro,IF($D1823="","",IFERROR(INDEX(Items!$F$5:$F$504,U1823),0)),"")</f>
        <v/>
      </c>
      <c r="N1823" s="61" t="str">
        <f aca="false">IF(IsPro,IF($D1823="","",IF(AND(V1823&lt;&gt;"",INDEX(Parties!$E$5:$E$304,V1823)&lt;&gt;"",INDEX(Parties!$E$5:$E$304,V1823)&lt;&gt;HomeState),0,ROUND(L1823*M1823/2,2))),"")</f>
        <v/>
      </c>
      <c r="O1823" s="61" t="str">
        <f aca="false">IF(IsPro,IF($D1823="","",N1823),"")</f>
        <v/>
      </c>
      <c r="P1823" s="61" t="str">
        <f aca="false">IF(IsPro,IF($D1823="","",IF(AND(V1823&lt;&gt;"",INDEX(Parties!$E$5:$E$304,V1823)&lt;&gt;"",INDEX(Parties!$E$5:$E$304,V1823)&lt;&gt;HomeState),ROUND(L1823*M1823,2),0)),"")</f>
        <v/>
      </c>
      <c r="Q1823" s="61" t="str">
        <f aca="false">IF(IsPro,IF($D1823="","",L1823+N1823+O1823+P1823),"")</f>
        <v/>
      </c>
      <c r="R1823" s="61" t="str">
        <f aca="false">IF(IsPro,IF($D1823="","",ROUND(N($E1823)*IFERROR(INDEX(Items!$P$5:$P$504,U1823),0),2)),"")</f>
        <v/>
      </c>
      <c r="S1823" s="61" t="str">
        <f aca="false">IF(IsPro,IF($D1823="","",L1823-R1823),"")</f>
        <v/>
      </c>
      <c r="T1823" s="60" t="str">
        <f aca="false">IF(IsPro,IF($D1823="","",IF(U1823="","UNKNOWN ITEM",IF(INDEX(Items!$O$5:$O$504,U1823)&lt;0,"NEG STOCK",IF(K1823&lt;INDEX(Items!$P$5:$P$504,U1823),"BELOW COST","OK")))),IF($D1823="","","PRO PLAN"))</f>
        <v/>
      </c>
      <c r="U1823" s="60" t="str">
        <f aca="false">IF(IsPro,IF($D1823="","",IFERROR(MATCH($D1823,Items!$A$5:$A$504,0),"")),"")</f>
        <v/>
      </c>
      <c r="V1823" s="60" t="str">
        <f aca="false">IF(IsPro,IF($C1823="","",IFERROR(MATCH($C1823,Parties!$A$5:$A$304,0),"")),"")</f>
        <v/>
      </c>
      <c r="W1823" s="60" t="str">
        <f aca="false">IF(IsPro,IF($B1823="","",IFERROR(VALUE(SUBSTITUTE($B1823,InvPrefix,"")),0)),"")</f>
        <v/>
      </c>
      <c r="X1823" s="61" t="str">
        <f aca="false">IF(IsPro,IF($D1823="","",IF(OR($H1823="",$H1823="Credit"),0,Q1823)),"")</f>
        <v/>
      </c>
    </row>
    <row r="1824" customFormat="false" ht="15" hidden="false" customHeight="false" outlineLevel="0" collapsed="false">
      <c r="A1824" s="55"/>
      <c r="B1824" s="56"/>
      <c r="C1824" s="56"/>
      <c r="D1824" s="56"/>
      <c r="E1824" s="57"/>
      <c r="F1824" s="58"/>
      <c r="G1824" s="59"/>
      <c r="H1824" s="56"/>
      <c r="I1824" s="56"/>
      <c r="J1824" s="60" t="str">
        <f aca="false">IF(IsPro,IF($D1824="","",IFERROR(INDEX(Items!$D$5:$D$504,U1824),"")),"")</f>
        <v/>
      </c>
      <c r="K1824" s="61" t="str">
        <f aca="false">IF(IsPro,IF($D1824="","",IF($F1824="",IFERROR(INDEX(Items!$H$5:$H$504,U1824),0),$F1824)),"")</f>
        <v/>
      </c>
      <c r="L1824" s="61" t="str">
        <f aca="false">IF(IsPro,IF($D1824="","",ROUND(N($E1824)*K1824*(1-N($G1824)),2)),"")</f>
        <v/>
      </c>
      <c r="M1824" s="62" t="str">
        <f aca="false">IF(IsPro,IF($D1824="","",IFERROR(INDEX(Items!$F$5:$F$504,U1824),0)),"")</f>
        <v/>
      </c>
      <c r="N1824" s="61" t="str">
        <f aca="false">IF(IsPro,IF($D1824="","",IF(AND(V1824&lt;&gt;"",INDEX(Parties!$E$5:$E$304,V1824)&lt;&gt;"",INDEX(Parties!$E$5:$E$304,V1824)&lt;&gt;HomeState),0,ROUND(L1824*M1824/2,2))),"")</f>
        <v/>
      </c>
      <c r="O1824" s="61" t="str">
        <f aca="false">IF(IsPro,IF($D1824="","",N1824),"")</f>
        <v/>
      </c>
      <c r="P1824" s="61" t="str">
        <f aca="false">IF(IsPro,IF($D1824="","",IF(AND(V1824&lt;&gt;"",INDEX(Parties!$E$5:$E$304,V1824)&lt;&gt;"",INDEX(Parties!$E$5:$E$304,V1824)&lt;&gt;HomeState),ROUND(L1824*M1824,2),0)),"")</f>
        <v/>
      </c>
      <c r="Q1824" s="61" t="str">
        <f aca="false">IF(IsPro,IF($D1824="","",L1824+N1824+O1824+P1824),"")</f>
        <v/>
      </c>
      <c r="R1824" s="61" t="str">
        <f aca="false">IF(IsPro,IF($D1824="","",ROUND(N($E1824)*IFERROR(INDEX(Items!$P$5:$P$504,U1824),0),2)),"")</f>
        <v/>
      </c>
      <c r="S1824" s="61" t="str">
        <f aca="false">IF(IsPro,IF($D1824="","",L1824-R1824),"")</f>
        <v/>
      </c>
      <c r="T1824" s="60" t="str">
        <f aca="false">IF(IsPro,IF($D1824="","",IF(U1824="","UNKNOWN ITEM",IF(INDEX(Items!$O$5:$O$504,U1824)&lt;0,"NEG STOCK",IF(K1824&lt;INDEX(Items!$P$5:$P$504,U1824),"BELOW COST","OK")))),IF($D1824="","","PRO PLAN"))</f>
        <v/>
      </c>
      <c r="U1824" s="60" t="str">
        <f aca="false">IF(IsPro,IF($D1824="","",IFERROR(MATCH($D1824,Items!$A$5:$A$504,0),"")),"")</f>
        <v/>
      </c>
      <c r="V1824" s="60" t="str">
        <f aca="false">IF(IsPro,IF($C1824="","",IFERROR(MATCH($C1824,Parties!$A$5:$A$304,0),"")),"")</f>
        <v/>
      </c>
      <c r="W1824" s="60" t="str">
        <f aca="false">IF(IsPro,IF($B1824="","",IFERROR(VALUE(SUBSTITUTE($B1824,InvPrefix,"")),0)),"")</f>
        <v/>
      </c>
      <c r="X1824" s="61" t="str">
        <f aca="false">IF(IsPro,IF($D1824="","",IF(OR($H1824="",$H1824="Credit"),0,Q1824)),"")</f>
        <v/>
      </c>
    </row>
    <row r="1825" customFormat="false" ht="15" hidden="false" customHeight="false" outlineLevel="0" collapsed="false">
      <c r="A1825" s="55"/>
      <c r="B1825" s="56"/>
      <c r="C1825" s="56"/>
      <c r="D1825" s="56"/>
      <c r="E1825" s="57"/>
      <c r="F1825" s="58"/>
      <c r="G1825" s="59"/>
      <c r="H1825" s="56"/>
      <c r="I1825" s="56"/>
      <c r="J1825" s="60" t="str">
        <f aca="false">IF(IsPro,IF($D1825="","",IFERROR(INDEX(Items!$D$5:$D$504,U1825),"")),"")</f>
        <v/>
      </c>
      <c r="K1825" s="61" t="str">
        <f aca="false">IF(IsPro,IF($D1825="","",IF($F1825="",IFERROR(INDEX(Items!$H$5:$H$504,U1825),0),$F1825)),"")</f>
        <v/>
      </c>
      <c r="L1825" s="61" t="str">
        <f aca="false">IF(IsPro,IF($D1825="","",ROUND(N($E1825)*K1825*(1-N($G1825)),2)),"")</f>
        <v/>
      </c>
      <c r="M1825" s="62" t="str">
        <f aca="false">IF(IsPro,IF($D1825="","",IFERROR(INDEX(Items!$F$5:$F$504,U1825),0)),"")</f>
        <v/>
      </c>
      <c r="N1825" s="61" t="str">
        <f aca="false">IF(IsPro,IF($D1825="","",IF(AND(V1825&lt;&gt;"",INDEX(Parties!$E$5:$E$304,V1825)&lt;&gt;"",INDEX(Parties!$E$5:$E$304,V1825)&lt;&gt;HomeState),0,ROUND(L1825*M1825/2,2))),"")</f>
        <v/>
      </c>
      <c r="O1825" s="61" t="str">
        <f aca="false">IF(IsPro,IF($D1825="","",N1825),"")</f>
        <v/>
      </c>
      <c r="P1825" s="61" t="str">
        <f aca="false">IF(IsPro,IF($D1825="","",IF(AND(V1825&lt;&gt;"",INDEX(Parties!$E$5:$E$304,V1825)&lt;&gt;"",INDEX(Parties!$E$5:$E$304,V1825)&lt;&gt;HomeState),ROUND(L1825*M1825,2),0)),"")</f>
        <v/>
      </c>
      <c r="Q1825" s="61" t="str">
        <f aca="false">IF(IsPro,IF($D1825="","",L1825+N1825+O1825+P1825),"")</f>
        <v/>
      </c>
      <c r="R1825" s="61" t="str">
        <f aca="false">IF(IsPro,IF($D1825="","",ROUND(N($E1825)*IFERROR(INDEX(Items!$P$5:$P$504,U1825),0),2)),"")</f>
        <v/>
      </c>
      <c r="S1825" s="61" t="str">
        <f aca="false">IF(IsPro,IF($D1825="","",L1825-R1825),"")</f>
        <v/>
      </c>
      <c r="T1825" s="60" t="str">
        <f aca="false">IF(IsPro,IF($D1825="","",IF(U1825="","UNKNOWN ITEM",IF(INDEX(Items!$O$5:$O$504,U1825)&lt;0,"NEG STOCK",IF(K1825&lt;INDEX(Items!$P$5:$P$504,U1825),"BELOW COST","OK")))),IF($D1825="","","PRO PLAN"))</f>
        <v/>
      </c>
      <c r="U1825" s="60" t="str">
        <f aca="false">IF(IsPro,IF($D1825="","",IFERROR(MATCH($D1825,Items!$A$5:$A$504,0),"")),"")</f>
        <v/>
      </c>
      <c r="V1825" s="60" t="str">
        <f aca="false">IF(IsPro,IF($C1825="","",IFERROR(MATCH($C1825,Parties!$A$5:$A$304,0),"")),"")</f>
        <v/>
      </c>
      <c r="W1825" s="60" t="str">
        <f aca="false">IF(IsPro,IF($B1825="","",IFERROR(VALUE(SUBSTITUTE($B1825,InvPrefix,"")),0)),"")</f>
        <v/>
      </c>
      <c r="X1825" s="61" t="str">
        <f aca="false">IF(IsPro,IF($D1825="","",IF(OR($H1825="",$H1825="Credit"),0,Q1825)),"")</f>
        <v/>
      </c>
    </row>
    <row r="1826" customFormat="false" ht="15" hidden="false" customHeight="false" outlineLevel="0" collapsed="false">
      <c r="A1826" s="55"/>
      <c r="B1826" s="56"/>
      <c r="C1826" s="56"/>
      <c r="D1826" s="56"/>
      <c r="E1826" s="57"/>
      <c r="F1826" s="58"/>
      <c r="G1826" s="59"/>
      <c r="H1826" s="56"/>
      <c r="I1826" s="56"/>
      <c r="J1826" s="60" t="str">
        <f aca="false">IF(IsPro,IF($D1826="","",IFERROR(INDEX(Items!$D$5:$D$504,U1826),"")),"")</f>
        <v/>
      </c>
      <c r="K1826" s="61" t="str">
        <f aca="false">IF(IsPro,IF($D1826="","",IF($F1826="",IFERROR(INDEX(Items!$H$5:$H$504,U1826),0),$F1826)),"")</f>
        <v/>
      </c>
      <c r="L1826" s="61" t="str">
        <f aca="false">IF(IsPro,IF($D1826="","",ROUND(N($E1826)*K1826*(1-N($G1826)),2)),"")</f>
        <v/>
      </c>
      <c r="M1826" s="62" t="str">
        <f aca="false">IF(IsPro,IF($D1826="","",IFERROR(INDEX(Items!$F$5:$F$504,U1826),0)),"")</f>
        <v/>
      </c>
      <c r="N1826" s="61" t="str">
        <f aca="false">IF(IsPro,IF($D1826="","",IF(AND(V1826&lt;&gt;"",INDEX(Parties!$E$5:$E$304,V1826)&lt;&gt;"",INDEX(Parties!$E$5:$E$304,V1826)&lt;&gt;HomeState),0,ROUND(L1826*M1826/2,2))),"")</f>
        <v/>
      </c>
      <c r="O1826" s="61" t="str">
        <f aca="false">IF(IsPro,IF($D1826="","",N1826),"")</f>
        <v/>
      </c>
      <c r="P1826" s="61" t="str">
        <f aca="false">IF(IsPro,IF($D1826="","",IF(AND(V1826&lt;&gt;"",INDEX(Parties!$E$5:$E$304,V1826)&lt;&gt;"",INDEX(Parties!$E$5:$E$304,V1826)&lt;&gt;HomeState),ROUND(L1826*M1826,2),0)),"")</f>
        <v/>
      </c>
      <c r="Q1826" s="61" t="str">
        <f aca="false">IF(IsPro,IF($D1826="","",L1826+N1826+O1826+P1826),"")</f>
        <v/>
      </c>
      <c r="R1826" s="61" t="str">
        <f aca="false">IF(IsPro,IF($D1826="","",ROUND(N($E1826)*IFERROR(INDEX(Items!$P$5:$P$504,U1826),0),2)),"")</f>
        <v/>
      </c>
      <c r="S1826" s="61" t="str">
        <f aca="false">IF(IsPro,IF($D1826="","",L1826-R1826),"")</f>
        <v/>
      </c>
      <c r="T1826" s="60" t="str">
        <f aca="false">IF(IsPro,IF($D1826="","",IF(U1826="","UNKNOWN ITEM",IF(INDEX(Items!$O$5:$O$504,U1826)&lt;0,"NEG STOCK",IF(K1826&lt;INDEX(Items!$P$5:$P$504,U1826),"BELOW COST","OK")))),IF($D1826="","","PRO PLAN"))</f>
        <v/>
      </c>
      <c r="U1826" s="60" t="str">
        <f aca="false">IF(IsPro,IF($D1826="","",IFERROR(MATCH($D1826,Items!$A$5:$A$504,0),"")),"")</f>
        <v/>
      </c>
      <c r="V1826" s="60" t="str">
        <f aca="false">IF(IsPro,IF($C1826="","",IFERROR(MATCH($C1826,Parties!$A$5:$A$304,0),"")),"")</f>
        <v/>
      </c>
      <c r="W1826" s="60" t="str">
        <f aca="false">IF(IsPro,IF($B1826="","",IFERROR(VALUE(SUBSTITUTE($B1826,InvPrefix,"")),0)),"")</f>
        <v/>
      </c>
      <c r="X1826" s="61" t="str">
        <f aca="false">IF(IsPro,IF($D1826="","",IF(OR($H1826="",$H1826="Credit"),0,Q1826)),"")</f>
        <v/>
      </c>
    </row>
    <row r="1827" customFormat="false" ht="15" hidden="false" customHeight="false" outlineLevel="0" collapsed="false">
      <c r="A1827" s="55"/>
      <c r="B1827" s="56"/>
      <c r="C1827" s="56"/>
      <c r="D1827" s="56"/>
      <c r="E1827" s="57"/>
      <c r="F1827" s="58"/>
      <c r="G1827" s="59"/>
      <c r="H1827" s="56"/>
      <c r="I1827" s="56"/>
      <c r="J1827" s="60" t="str">
        <f aca="false">IF(IsPro,IF($D1827="","",IFERROR(INDEX(Items!$D$5:$D$504,U1827),"")),"")</f>
        <v/>
      </c>
      <c r="K1827" s="61" t="str">
        <f aca="false">IF(IsPro,IF($D1827="","",IF($F1827="",IFERROR(INDEX(Items!$H$5:$H$504,U1827),0),$F1827)),"")</f>
        <v/>
      </c>
      <c r="L1827" s="61" t="str">
        <f aca="false">IF(IsPro,IF($D1827="","",ROUND(N($E1827)*K1827*(1-N($G1827)),2)),"")</f>
        <v/>
      </c>
      <c r="M1827" s="62" t="str">
        <f aca="false">IF(IsPro,IF($D1827="","",IFERROR(INDEX(Items!$F$5:$F$504,U1827),0)),"")</f>
        <v/>
      </c>
      <c r="N1827" s="61" t="str">
        <f aca="false">IF(IsPro,IF($D1827="","",IF(AND(V1827&lt;&gt;"",INDEX(Parties!$E$5:$E$304,V1827)&lt;&gt;"",INDEX(Parties!$E$5:$E$304,V1827)&lt;&gt;HomeState),0,ROUND(L1827*M1827/2,2))),"")</f>
        <v/>
      </c>
      <c r="O1827" s="61" t="str">
        <f aca="false">IF(IsPro,IF($D1827="","",N1827),"")</f>
        <v/>
      </c>
      <c r="P1827" s="61" t="str">
        <f aca="false">IF(IsPro,IF($D1827="","",IF(AND(V1827&lt;&gt;"",INDEX(Parties!$E$5:$E$304,V1827)&lt;&gt;"",INDEX(Parties!$E$5:$E$304,V1827)&lt;&gt;HomeState),ROUND(L1827*M1827,2),0)),"")</f>
        <v/>
      </c>
      <c r="Q1827" s="61" t="str">
        <f aca="false">IF(IsPro,IF($D1827="","",L1827+N1827+O1827+P1827),"")</f>
        <v/>
      </c>
      <c r="R1827" s="61" t="str">
        <f aca="false">IF(IsPro,IF($D1827="","",ROUND(N($E1827)*IFERROR(INDEX(Items!$P$5:$P$504,U1827),0),2)),"")</f>
        <v/>
      </c>
      <c r="S1827" s="61" t="str">
        <f aca="false">IF(IsPro,IF($D1827="","",L1827-R1827),"")</f>
        <v/>
      </c>
      <c r="T1827" s="60" t="str">
        <f aca="false">IF(IsPro,IF($D1827="","",IF(U1827="","UNKNOWN ITEM",IF(INDEX(Items!$O$5:$O$504,U1827)&lt;0,"NEG STOCK",IF(K1827&lt;INDEX(Items!$P$5:$P$504,U1827),"BELOW COST","OK")))),IF($D1827="","","PRO PLAN"))</f>
        <v/>
      </c>
      <c r="U1827" s="60" t="str">
        <f aca="false">IF(IsPro,IF($D1827="","",IFERROR(MATCH($D1827,Items!$A$5:$A$504,0),"")),"")</f>
        <v/>
      </c>
      <c r="V1827" s="60" t="str">
        <f aca="false">IF(IsPro,IF($C1827="","",IFERROR(MATCH($C1827,Parties!$A$5:$A$304,0),"")),"")</f>
        <v/>
      </c>
      <c r="W1827" s="60" t="str">
        <f aca="false">IF(IsPro,IF($B1827="","",IFERROR(VALUE(SUBSTITUTE($B1827,InvPrefix,"")),0)),"")</f>
        <v/>
      </c>
      <c r="X1827" s="61" t="str">
        <f aca="false">IF(IsPro,IF($D1827="","",IF(OR($H1827="",$H1827="Credit"),0,Q1827)),"")</f>
        <v/>
      </c>
    </row>
    <row r="1828" customFormat="false" ht="15" hidden="false" customHeight="false" outlineLevel="0" collapsed="false">
      <c r="A1828" s="55"/>
      <c r="B1828" s="56"/>
      <c r="C1828" s="56"/>
      <c r="D1828" s="56"/>
      <c r="E1828" s="57"/>
      <c r="F1828" s="58"/>
      <c r="G1828" s="59"/>
      <c r="H1828" s="56"/>
      <c r="I1828" s="56"/>
      <c r="J1828" s="60" t="str">
        <f aca="false">IF(IsPro,IF($D1828="","",IFERROR(INDEX(Items!$D$5:$D$504,U1828),"")),"")</f>
        <v/>
      </c>
      <c r="K1828" s="61" t="str">
        <f aca="false">IF(IsPro,IF($D1828="","",IF($F1828="",IFERROR(INDEX(Items!$H$5:$H$504,U1828),0),$F1828)),"")</f>
        <v/>
      </c>
      <c r="L1828" s="61" t="str">
        <f aca="false">IF(IsPro,IF($D1828="","",ROUND(N($E1828)*K1828*(1-N($G1828)),2)),"")</f>
        <v/>
      </c>
      <c r="M1828" s="62" t="str">
        <f aca="false">IF(IsPro,IF($D1828="","",IFERROR(INDEX(Items!$F$5:$F$504,U1828),0)),"")</f>
        <v/>
      </c>
      <c r="N1828" s="61" t="str">
        <f aca="false">IF(IsPro,IF($D1828="","",IF(AND(V1828&lt;&gt;"",INDEX(Parties!$E$5:$E$304,V1828)&lt;&gt;"",INDEX(Parties!$E$5:$E$304,V1828)&lt;&gt;HomeState),0,ROUND(L1828*M1828/2,2))),"")</f>
        <v/>
      </c>
      <c r="O1828" s="61" t="str">
        <f aca="false">IF(IsPro,IF($D1828="","",N1828),"")</f>
        <v/>
      </c>
      <c r="P1828" s="61" t="str">
        <f aca="false">IF(IsPro,IF($D1828="","",IF(AND(V1828&lt;&gt;"",INDEX(Parties!$E$5:$E$304,V1828)&lt;&gt;"",INDEX(Parties!$E$5:$E$304,V1828)&lt;&gt;HomeState),ROUND(L1828*M1828,2),0)),"")</f>
        <v/>
      </c>
      <c r="Q1828" s="61" t="str">
        <f aca="false">IF(IsPro,IF($D1828="","",L1828+N1828+O1828+P1828),"")</f>
        <v/>
      </c>
      <c r="R1828" s="61" t="str">
        <f aca="false">IF(IsPro,IF($D1828="","",ROUND(N($E1828)*IFERROR(INDEX(Items!$P$5:$P$504,U1828),0),2)),"")</f>
        <v/>
      </c>
      <c r="S1828" s="61" t="str">
        <f aca="false">IF(IsPro,IF($D1828="","",L1828-R1828),"")</f>
        <v/>
      </c>
      <c r="T1828" s="60" t="str">
        <f aca="false">IF(IsPro,IF($D1828="","",IF(U1828="","UNKNOWN ITEM",IF(INDEX(Items!$O$5:$O$504,U1828)&lt;0,"NEG STOCK",IF(K1828&lt;INDEX(Items!$P$5:$P$504,U1828),"BELOW COST","OK")))),IF($D1828="","","PRO PLAN"))</f>
        <v/>
      </c>
      <c r="U1828" s="60" t="str">
        <f aca="false">IF(IsPro,IF($D1828="","",IFERROR(MATCH($D1828,Items!$A$5:$A$504,0),"")),"")</f>
        <v/>
      </c>
      <c r="V1828" s="60" t="str">
        <f aca="false">IF(IsPro,IF($C1828="","",IFERROR(MATCH($C1828,Parties!$A$5:$A$304,0),"")),"")</f>
        <v/>
      </c>
      <c r="W1828" s="60" t="str">
        <f aca="false">IF(IsPro,IF($B1828="","",IFERROR(VALUE(SUBSTITUTE($B1828,InvPrefix,"")),0)),"")</f>
        <v/>
      </c>
      <c r="X1828" s="61" t="str">
        <f aca="false">IF(IsPro,IF($D1828="","",IF(OR($H1828="",$H1828="Credit"),0,Q1828)),"")</f>
        <v/>
      </c>
    </row>
    <row r="1829" customFormat="false" ht="15" hidden="false" customHeight="false" outlineLevel="0" collapsed="false">
      <c r="A1829" s="55"/>
      <c r="B1829" s="56"/>
      <c r="C1829" s="56"/>
      <c r="D1829" s="56"/>
      <c r="E1829" s="57"/>
      <c r="F1829" s="58"/>
      <c r="G1829" s="59"/>
      <c r="H1829" s="56"/>
      <c r="I1829" s="56"/>
      <c r="J1829" s="60" t="str">
        <f aca="false">IF(IsPro,IF($D1829="","",IFERROR(INDEX(Items!$D$5:$D$504,U1829),"")),"")</f>
        <v/>
      </c>
      <c r="K1829" s="61" t="str">
        <f aca="false">IF(IsPro,IF($D1829="","",IF($F1829="",IFERROR(INDEX(Items!$H$5:$H$504,U1829),0),$F1829)),"")</f>
        <v/>
      </c>
      <c r="L1829" s="61" t="str">
        <f aca="false">IF(IsPro,IF($D1829="","",ROUND(N($E1829)*K1829*(1-N($G1829)),2)),"")</f>
        <v/>
      </c>
      <c r="M1829" s="62" t="str">
        <f aca="false">IF(IsPro,IF($D1829="","",IFERROR(INDEX(Items!$F$5:$F$504,U1829),0)),"")</f>
        <v/>
      </c>
      <c r="N1829" s="61" t="str">
        <f aca="false">IF(IsPro,IF($D1829="","",IF(AND(V1829&lt;&gt;"",INDEX(Parties!$E$5:$E$304,V1829)&lt;&gt;"",INDEX(Parties!$E$5:$E$304,V1829)&lt;&gt;HomeState),0,ROUND(L1829*M1829/2,2))),"")</f>
        <v/>
      </c>
      <c r="O1829" s="61" t="str">
        <f aca="false">IF(IsPro,IF($D1829="","",N1829),"")</f>
        <v/>
      </c>
      <c r="P1829" s="61" t="str">
        <f aca="false">IF(IsPro,IF($D1829="","",IF(AND(V1829&lt;&gt;"",INDEX(Parties!$E$5:$E$304,V1829)&lt;&gt;"",INDEX(Parties!$E$5:$E$304,V1829)&lt;&gt;HomeState),ROUND(L1829*M1829,2),0)),"")</f>
        <v/>
      </c>
      <c r="Q1829" s="61" t="str">
        <f aca="false">IF(IsPro,IF($D1829="","",L1829+N1829+O1829+P1829),"")</f>
        <v/>
      </c>
      <c r="R1829" s="61" t="str">
        <f aca="false">IF(IsPro,IF($D1829="","",ROUND(N($E1829)*IFERROR(INDEX(Items!$P$5:$P$504,U1829),0),2)),"")</f>
        <v/>
      </c>
      <c r="S1829" s="61" t="str">
        <f aca="false">IF(IsPro,IF($D1829="","",L1829-R1829),"")</f>
        <v/>
      </c>
      <c r="T1829" s="60" t="str">
        <f aca="false">IF(IsPro,IF($D1829="","",IF(U1829="","UNKNOWN ITEM",IF(INDEX(Items!$O$5:$O$504,U1829)&lt;0,"NEG STOCK",IF(K1829&lt;INDEX(Items!$P$5:$P$504,U1829),"BELOW COST","OK")))),IF($D1829="","","PRO PLAN"))</f>
        <v/>
      </c>
      <c r="U1829" s="60" t="str">
        <f aca="false">IF(IsPro,IF($D1829="","",IFERROR(MATCH($D1829,Items!$A$5:$A$504,0),"")),"")</f>
        <v/>
      </c>
      <c r="V1829" s="60" t="str">
        <f aca="false">IF(IsPro,IF($C1829="","",IFERROR(MATCH($C1829,Parties!$A$5:$A$304,0),"")),"")</f>
        <v/>
      </c>
      <c r="W1829" s="60" t="str">
        <f aca="false">IF(IsPro,IF($B1829="","",IFERROR(VALUE(SUBSTITUTE($B1829,InvPrefix,"")),0)),"")</f>
        <v/>
      </c>
      <c r="X1829" s="61" t="str">
        <f aca="false">IF(IsPro,IF($D1829="","",IF(OR($H1829="",$H1829="Credit"),0,Q1829)),"")</f>
        <v/>
      </c>
    </row>
    <row r="1830" customFormat="false" ht="15" hidden="false" customHeight="false" outlineLevel="0" collapsed="false">
      <c r="A1830" s="55"/>
      <c r="B1830" s="56"/>
      <c r="C1830" s="56"/>
      <c r="D1830" s="56"/>
      <c r="E1830" s="57"/>
      <c r="F1830" s="58"/>
      <c r="G1830" s="59"/>
      <c r="H1830" s="56"/>
      <c r="I1830" s="56"/>
      <c r="J1830" s="60" t="str">
        <f aca="false">IF(IsPro,IF($D1830="","",IFERROR(INDEX(Items!$D$5:$D$504,U1830),"")),"")</f>
        <v/>
      </c>
      <c r="K1830" s="61" t="str">
        <f aca="false">IF(IsPro,IF($D1830="","",IF($F1830="",IFERROR(INDEX(Items!$H$5:$H$504,U1830),0),$F1830)),"")</f>
        <v/>
      </c>
      <c r="L1830" s="61" t="str">
        <f aca="false">IF(IsPro,IF($D1830="","",ROUND(N($E1830)*K1830*(1-N($G1830)),2)),"")</f>
        <v/>
      </c>
      <c r="M1830" s="62" t="str">
        <f aca="false">IF(IsPro,IF($D1830="","",IFERROR(INDEX(Items!$F$5:$F$504,U1830),0)),"")</f>
        <v/>
      </c>
      <c r="N1830" s="61" t="str">
        <f aca="false">IF(IsPro,IF($D1830="","",IF(AND(V1830&lt;&gt;"",INDEX(Parties!$E$5:$E$304,V1830)&lt;&gt;"",INDEX(Parties!$E$5:$E$304,V1830)&lt;&gt;HomeState),0,ROUND(L1830*M1830/2,2))),"")</f>
        <v/>
      </c>
      <c r="O1830" s="61" t="str">
        <f aca="false">IF(IsPro,IF($D1830="","",N1830),"")</f>
        <v/>
      </c>
      <c r="P1830" s="61" t="str">
        <f aca="false">IF(IsPro,IF($D1830="","",IF(AND(V1830&lt;&gt;"",INDEX(Parties!$E$5:$E$304,V1830)&lt;&gt;"",INDEX(Parties!$E$5:$E$304,V1830)&lt;&gt;HomeState),ROUND(L1830*M1830,2),0)),"")</f>
        <v/>
      </c>
      <c r="Q1830" s="61" t="str">
        <f aca="false">IF(IsPro,IF($D1830="","",L1830+N1830+O1830+P1830),"")</f>
        <v/>
      </c>
      <c r="R1830" s="61" t="str">
        <f aca="false">IF(IsPro,IF($D1830="","",ROUND(N($E1830)*IFERROR(INDEX(Items!$P$5:$P$504,U1830),0),2)),"")</f>
        <v/>
      </c>
      <c r="S1830" s="61" t="str">
        <f aca="false">IF(IsPro,IF($D1830="","",L1830-R1830),"")</f>
        <v/>
      </c>
      <c r="T1830" s="60" t="str">
        <f aca="false">IF(IsPro,IF($D1830="","",IF(U1830="","UNKNOWN ITEM",IF(INDEX(Items!$O$5:$O$504,U1830)&lt;0,"NEG STOCK",IF(K1830&lt;INDEX(Items!$P$5:$P$504,U1830),"BELOW COST","OK")))),IF($D1830="","","PRO PLAN"))</f>
        <v/>
      </c>
      <c r="U1830" s="60" t="str">
        <f aca="false">IF(IsPro,IF($D1830="","",IFERROR(MATCH($D1830,Items!$A$5:$A$504,0),"")),"")</f>
        <v/>
      </c>
      <c r="V1830" s="60" t="str">
        <f aca="false">IF(IsPro,IF($C1830="","",IFERROR(MATCH($C1830,Parties!$A$5:$A$304,0),"")),"")</f>
        <v/>
      </c>
      <c r="W1830" s="60" t="str">
        <f aca="false">IF(IsPro,IF($B1830="","",IFERROR(VALUE(SUBSTITUTE($B1830,InvPrefix,"")),0)),"")</f>
        <v/>
      </c>
      <c r="X1830" s="61" t="str">
        <f aca="false">IF(IsPro,IF($D1830="","",IF(OR($H1830="",$H1830="Credit"),0,Q1830)),"")</f>
        <v/>
      </c>
    </row>
    <row r="1831" customFormat="false" ht="15" hidden="false" customHeight="false" outlineLevel="0" collapsed="false">
      <c r="A1831" s="55"/>
      <c r="B1831" s="56"/>
      <c r="C1831" s="56"/>
      <c r="D1831" s="56"/>
      <c r="E1831" s="57"/>
      <c r="F1831" s="58"/>
      <c r="G1831" s="59"/>
      <c r="H1831" s="56"/>
      <c r="I1831" s="56"/>
      <c r="J1831" s="60" t="str">
        <f aca="false">IF(IsPro,IF($D1831="","",IFERROR(INDEX(Items!$D$5:$D$504,U1831),"")),"")</f>
        <v/>
      </c>
      <c r="K1831" s="61" t="str">
        <f aca="false">IF(IsPro,IF($D1831="","",IF($F1831="",IFERROR(INDEX(Items!$H$5:$H$504,U1831),0),$F1831)),"")</f>
        <v/>
      </c>
      <c r="L1831" s="61" t="str">
        <f aca="false">IF(IsPro,IF($D1831="","",ROUND(N($E1831)*K1831*(1-N($G1831)),2)),"")</f>
        <v/>
      </c>
      <c r="M1831" s="62" t="str">
        <f aca="false">IF(IsPro,IF($D1831="","",IFERROR(INDEX(Items!$F$5:$F$504,U1831),0)),"")</f>
        <v/>
      </c>
      <c r="N1831" s="61" t="str">
        <f aca="false">IF(IsPro,IF($D1831="","",IF(AND(V1831&lt;&gt;"",INDEX(Parties!$E$5:$E$304,V1831)&lt;&gt;"",INDEX(Parties!$E$5:$E$304,V1831)&lt;&gt;HomeState),0,ROUND(L1831*M1831/2,2))),"")</f>
        <v/>
      </c>
      <c r="O1831" s="61" t="str">
        <f aca="false">IF(IsPro,IF($D1831="","",N1831),"")</f>
        <v/>
      </c>
      <c r="P1831" s="61" t="str">
        <f aca="false">IF(IsPro,IF($D1831="","",IF(AND(V1831&lt;&gt;"",INDEX(Parties!$E$5:$E$304,V1831)&lt;&gt;"",INDEX(Parties!$E$5:$E$304,V1831)&lt;&gt;HomeState),ROUND(L1831*M1831,2),0)),"")</f>
        <v/>
      </c>
      <c r="Q1831" s="61" t="str">
        <f aca="false">IF(IsPro,IF($D1831="","",L1831+N1831+O1831+P1831),"")</f>
        <v/>
      </c>
      <c r="R1831" s="61" t="str">
        <f aca="false">IF(IsPro,IF($D1831="","",ROUND(N($E1831)*IFERROR(INDEX(Items!$P$5:$P$504,U1831),0),2)),"")</f>
        <v/>
      </c>
      <c r="S1831" s="61" t="str">
        <f aca="false">IF(IsPro,IF($D1831="","",L1831-R1831),"")</f>
        <v/>
      </c>
      <c r="T1831" s="60" t="str">
        <f aca="false">IF(IsPro,IF($D1831="","",IF(U1831="","UNKNOWN ITEM",IF(INDEX(Items!$O$5:$O$504,U1831)&lt;0,"NEG STOCK",IF(K1831&lt;INDEX(Items!$P$5:$P$504,U1831),"BELOW COST","OK")))),IF($D1831="","","PRO PLAN"))</f>
        <v/>
      </c>
      <c r="U1831" s="60" t="str">
        <f aca="false">IF(IsPro,IF($D1831="","",IFERROR(MATCH($D1831,Items!$A$5:$A$504,0),"")),"")</f>
        <v/>
      </c>
      <c r="V1831" s="60" t="str">
        <f aca="false">IF(IsPro,IF($C1831="","",IFERROR(MATCH($C1831,Parties!$A$5:$A$304,0),"")),"")</f>
        <v/>
      </c>
      <c r="W1831" s="60" t="str">
        <f aca="false">IF(IsPro,IF($B1831="","",IFERROR(VALUE(SUBSTITUTE($B1831,InvPrefix,"")),0)),"")</f>
        <v/>
      </c>
      <c r="X1831" s="61" t="str">
        <f aca="false">IF(IsPro,IF($D1831="","",IF(OR($H1831="",$H1831="Credit"),0,Q1831)),"")</f>
        <v/>
      </c>
    </row>
    <row r="1832" customFormat="false" ht="15" hidden="false" customHeight="false" outlineLevel="0" collapsed="false">
      <c r="A1832" s="55"/>
      <c r="B1832" s="56"/>
      <c r="C1832" s="56"/>
      <c r="D1832" s="56"/>
      <c r="E1832" s="57"/>
      <c r="F1832" s="58"/>
      <c r="G1832" s="59"/>
      <c r="H1832" s="56"/>
      <c r="I1832" s="56"/>
      <c r="J1832" s="60" t="str">
        <f aca="false">IF(IsPro,IF($D1832="","",IFERROR(INDEX(Items!$D$5:$D$504,U1832),"")),"")</f>
        <v/>
      </c>
      <c r="K1832" s="61" t="str">
        <f aca="false">IF(IsPro,IF($D1832="","",IF($F1832="",IFERROR(INDEX(Items!$H$5:$H$504,U1832),0),$F1832)),"")</f>
        <v/>
      </c>
      <c r="L1832" s="61" t="str">
        <f aca="false">IF(IsPro,IF($D1832="","",ROUND(N($E1832)*K1832*(1-N($G1832)),2)),"")</f>
        <v/>
      </c>
      <c r="M1832" s="62" t="str">
        <f aca="false">IF(IsPro,IF($D1832="","",IFERROR(INDEX(Items!$F$5:$F$504,U1832),0)),"")</f>
        <v/>
      </c>
      <c r="N1832" s="61" t="str">
        <f aca="false">IF(IsPro,IF($D1832="","",IF(AND(V1832&lt;&gt;"",INDEX(Parties!$E$5:$E$304,V1832)&lt;&gt;"",INDEX(Parties!$E$5:$E$304,V1832)&lt;&gt;HomeState),0,ROUND(L1832*M1832/2,2))),"")</f>
        <v/>
      </c>
      <c r="O1832" s="61" t="str">
        <f aca="false">IF(IsPro,IF($D1832="","",N1832),"")</f>
        <v/>
      </c>
      <c r="P1832" s="61" t="str">
        <f aca="false">IF(IsPro,IF($D1832="","",IF(AND(V1832&lt;&gt;"",INDEX(Parties!$E$5:$E$304,V1832)&lt;&gt;"",INDEX(Parties!$E$5:$E$304,V1832)&lt;&gt;HomeState),ROUND(L1832*M1832,2),0)),"")</f>
        <v/>
      </c>
      <c r="Q1832" s="61" t="str">
        <f aca="false">IF(IsPro,IF($D1832="","",L1832+N1832+O1832+P1832),"")</f>
        <v/>
      </c>
      <c r="R1832" s="61" t="str">
        <f aca="false">IF(IsPro,IF($D1832="","",ROUND(N($E1832)*IFERROR(INDEX(Items!$P$5:$P$504,U1832),0),2)),"")</f>
        <v/>
      </c>
      <c r="S1832" s="61" t="str">
        <f aca="false">IF(IsPro,IF($D1832="","",L1832-R1832),"")</f>
        <v/>
      </c>
      <c r="T1832" s="60" t="str">
        <f aca="false">IF(IsPro,IF($D1832="","",IF(U1832="","UNKNOWN ITEM",IF(INDEX(Items!$O$5:$O$504,U1832)&lt;0,"NEG STOCK",IF(K1832&lt;INDEX(Items!$P$5:$P$504,U1832),"BELOW COST","OK")))),IF($D1832="","","PRO PLAN"))</f>
        <v/>
      </c>
      <c r="U1832" s="60" t="str">
        <f aca="false">IF(IsPro,IF($D1832="","",IFERROR(MATCH($D1832,Items!$A$5:$A$504,0),"")),"")</f>
        <v/>
      </c>
      <c r="V1832" s="60" t="str">
        <f aca="false">IF(IsPro,IF($C1832="","",IFERROR(MATCH($C1832,Parties!$A$5:$A$304,0),"")),"")</f>
        <v/>
      </c>
      <c r="W1832" s="60" t="str">
        <f aca="false">IF(IsPro,IF($B1832="","",IFERROR(VALUE(SUBSTITUTE($B1832,InvPrefix,"")),0)),"")</f>
        <v/>
      </c>
      <c r="X1832" s="61" t="str">
        <f aca="false">IF(IsPro,IF($D1832="","",IF(OR($H1832="",$H1832="Credit"),0,Q1832)),"")</f>
        <v/>
      </c>
    </row>
    <row r="1833" customFormat="false" ht="15" hidden="false" customHeight="false" outlineLevel="0" collapsed="false">
      <c r="A1833" s="55"/>
      <c r="B1833" s="56"/>
      <c r="C1833" s="56"/>
      <c r="D1833" s="56"/>
      <c r="E1833" s="57"/>
      <c r="F1833" s="58"/>
      <c r="G1833" s="59"/>
      <c r="H1833" s="56"/>
      <c r="I1833" s="56"/>
      <c r="J1833" s="60" t="str">
        <f aca="false">IF(IsPro,IF($D1833="","",IFERROR(INDEX(Items!$D$5:$D$504,U1833),"")),"")</f>
        <v/>
      </c>
      <c r="K1833" s="61" t="str">
        <f aca="false">IF(IsPro,IF($D1833="","",IF($F1833="",IFERROR(INDEX(Items!$H$5:$H$504,U1833),0),$F1833)),"")</f>
        <v/>
      </c>
      <c r="L1833" s="61" t="str">
        <f aca="false">IF(IsPro,IF($D1833="","",ROUND(N($E1833)*K1833*(1-N($G1833)),2)),"")</f>
        <v/>
      </c>
      <c r="M1833" s="62" t="str">
        <f aca="false">IF(IsPro,IF($D1833="","",IFERROR(INDEX(Items!$F$5:$F$504,U1833),0)),"")</f>
        <v/>
      </c>
      <c r="N1833" s="61" t="str">
        <f aca="false">IF(IsPro,IF($D1833="","",IF(AND(V1833&lt;&gt;"",INDEX(Parties!$E$5:$E$304,V1833)&lt;&gt;"",INDEX(Parties!$E$5:$E$304,V1833)&lt;&gt;HomeState),0,ROUND(L1833*M1833/2,2))),"")</f>
        <v/>
      </c>
      <c r="O1833" s="61" t="str">
        <f aca="false">IF(IsPro,IF($D1833="","",N1833),"")</f>
        <v/>
      </c>
      <c r="P1833" s="61" t="str">
        <f aca="false">IF(IsPro,IF($D1833="","",IF(AND(V1833&lt;&gt;"",INDEX(Parties!$E$5:$E$304,V1833)&lt;&gt;"",INDEX(Parties!$E$5:$E$304,V1833)&lt;&gt;HomeState),ROUND(L1833*M1833,2),0)),"")</f>
        <v/>
      </c>
      <c r="Q1833" s="61" t="str">
        <f aca="false">IF(IsPro,IF($D1833="","",L1833+N1833+O1833+P1833),"")</f>
        <v/>
      </c>
      <c r="R1833" s="61" t="str">
        <f aca="false">IF(IsPro,IF($D1833="","",ROUND(N($E1833)*IFERROR(INDEX(Items!$P$5:$P$504,U1833),0),2)),"")</f>
        <v/>
      </c>
      <c r="S1833" s="61" t="str">
        <f aca="false">IF(IsPro,IF($D1833="","",L1833-R1833),"")</f>
        <v/>
      </c>
      <c r="T1833" s="60" t="str">
        <f aca="false">IF(IsPro,IF($D1833="","",IF(U1833="","UNKNOWN ITEM",IF(INDEX(Items!$O$5:$O$504,U1833)&lt;0,"NEG STOCK",IF(K1833&lt;INDEX(Items!$P$5:$P$504,U1833),"BELOW COST","OK")))),IF($D1833="","","PRO PLAN"))</f>
        <v/>
      </c>
      <c r="U1833" s="60" t="str">
        <f aca="false">IF(IsPro,IF($D1833="","",IFERROR(MATCH($D1833,Items!$A$5:$A$504,0),"")),"")</f>
        <v/>
      </c>
      <c r="V1833" s="60" t="str">
        <f aca="false">IF(IsPro,IF($C1833="","",IFERROR(MATCH($C1833,Parties!$A$5:$A$304,0),"")),"")</f>
        <v/>
      </c>
      <c r="W1833" s="60" t="str">
        <f aca="false">IF(IsPro,IF($B1833="","",IFERROR(VALUE(SUBSTITUTE($B1833,InvPrefix,"")),0)),"")</f>
        <v/>
      </c>
      <c r="X1833" s="61" t="str">
        <f aca="false">IF(IsPro,IF($D1833="","",IF(OR($H1833="",$H1833="Credit"),0,Q1833)),"")</f>
        <v/>
      </c>
    </row>
    <row r="1834" customFormat="false" ht="15" hidden="false" customHeight="false" outlineLevel="0" collapsed="false">
      <c r="A1834" s="55"/>
      <c r="B1834" s="56"/>
      <c r="C1834" s="56"/>
      <c r="D1834" s="56"/>
      <c r="E1834" s="57"/>
      <c r="F1834" s="58"/>
      <c r="G1834" s="59"/>
      <c r="H1834" s="56"/>
      <c r="I1834" s="56"/>
      <c r="J1834" s="60" t="str">
        <f aca="false">IF(IsPro,IF($D1834="","",IFERROR(INDEX(Items!$D$5:$D$504,U1834),"")),"")</f>
        <v/>
      </c>
      <c r="K1834" s="61" t="str">
        <f aca="false">IF(IsPro,IF($D1834="","",IF($F1834="",IFERROR(INDEX(Items!$H$5:$H$504,U1834),0),$F1834)),"")</f>
        <v/>
      </c>
      <c r="L1834" s="61" t="str">
        <f aca="false">IF(IsPro,IF($D1834="","",ROUND(N($E1834)*K1834*(1-N($G1834)),2)),"")</f>
        <v/>
      </c>
      <c r="M1834" s="62" t="str">
        <f aca="false">IF(IsPro,IF($D1834="","",IFERROR(INDEX(Items!$F$5:$F$504,U1834),0)),"")</f>
        <v/>
      </c>
      <c r="N1834" s="61" t="str">
        <f aca="false">IF(IsPro,IF($D1834="","",IF(AND(V1834&lt;&gt;"",INDEX(Parties!$E$5:$E$304,V1834)&lt;&gt;"",INDEX(Parties!$E$5:$E$304,V1834)&lt;&gt;HomeState),0,ROUND(L1834*M1834/2,2))),"")</f>
        <v/>
      </c>
      <c r="O1834" s="61" t="str">
        <f aca="false">IF(IsPro,IF($D1834="","",N1834),"")</f>
        <v/>
      </c>
      <c r="P1834" s="61" t="str">
        <f aca="false">IF(IsPro,IF($D1834="","",IF(AND(V1834&lt;&gt;"",INDEX(Parties!$E$5:$E$304,V1834)&lt;&gt;"",INDEX(Parties!$E$5:$E$304,V1834)&lt;&gt;HomeState),ROUND(L1834*M1834,2),0)),"")</f>
        <v/>
      </c>
      <c r="Q1834" s="61" t="str">
        <f aca="false">IF(IsPro,IF($D1834="","",L1834+N1834+O1834+P1834),"")</f>
        <v/>
      </c>
      <c r="R1834" s="61" t="str">
        <f aca="false">IF(IsPro,IF($D1834="","",ROUND(N($E1834)*IFERROR(INDEX(Items!$P$5:$P$504,U1834),0),2)),"")</f>
        <v/>
      </c>
      <c r="S1834" s="61" t="str">
        <f aca="false">IF(IsPro,IF($D1834="","",L1834-R1834),"")</f>
        <v/>
      </c>
      <c r="T1834" s="60" t="str">
        <f aca="false">IF(IsPro,IF($D1834="","",IF(U1834="","UNKNOWN ITEM",IF(INDEX(Items!$O$5:$O$504,U1834)&lt;0,"NEG STOCK",IF(K1834&lt;INDEX(Items!$P$5:$P$504,U1834),"BELOW COST","OK")))),IF($D1834="","","PRO PLAN"))</f>
        <v/>
      </c>
      <c r="U1834" s="60" t="str">
        <f aca="false">IF(IsPro,IF($D1834="","",IFERROR(MATCH($D1834,Items!$A$5:$A$504,0),"")),"")</f>
        <v/>
      </c>
      <c r="V1834" s="60" t="str">
        <f aca="false">IF(IsPro,IF($C1834="","",IFERROR(MATCH($C1834,Parties!$A$5:$A$304,0),"")),"")</f>
        <v/>
      </c>
      <c r="W1834" s="60" t="str">
        <f aca="false">IF(IsPro,IF($B1834="","",IFERROR(VALUE(SUBSTITUTE($B1834,InvPrefix,"")),0)),"")</f>
        <v/>
      </c>
      <c r="X1834" s="61" t="str">
        <f aca="false">IF(IsPro,IF($D1834="","",IF(OR($H1834="",$H1834="Credit"),0,Q1834)),"")</f>
        <v/>
      </c>
    </row>
    <row r="1835" customFormat="false" ht="15" hidden="false" customHeight="false" outlineLevel="0" collapsed="false">
      <c r="A1835" s="55"/>
      <c r="B1835" s="56"/>
      <c r="C1835" s="56"/>
      <c r="D1835" s="56"/>
      <c r="E1835" s="57"/>
      <c r="F1835" s="58"/>
      <c r="G1835" s="59"/>
      <c r="H1835" s="56"/>
      <c r="I1835" s="56"/>
      <c r="J1835" s="60" t="str">
        <f aca="false">IF(IsPro,IF($D1835="","",IFERROR(INDEX(Items!$D$5:$D$504,U1835),"")),"")</f>
        <v/>
      </c>
      <c r="K1835" s="61" t="str">
        <f aca="false">IF(IsPro,IF($D1835="","",IF($F1835="",IFERROR(INDEX(Items!$H$5:$H$504,U1835),0),$F1835)),"")</f>
        <v/>
      </c>
      <c r="L1835" s="61" t="str">
        <f aca="false">IF(IsPro,IF($D1835="","",ROUND(N($E1835)*K1835*(1-N($G1835)),2)),"")</f>
        <v/>
      </c>
      <c r="M1835" s="62" t="str">
        <f aca="false">IF(IsPro,IF($D1835="","",IFERROR(INDEX(Items!$F$5:$F$504,U1835),0)),"")</f>
        <v/>
      </c>
      <c r="N1835" s="61" t="str">
        <f aca="false">IF(IsPro,IF($D1835="","",IF(AND(V1835&lt;&gt;"",INDEX(Parties!$E$5:$E$304,V1835)&lt;&gt;"",INDEX(Parties!$E$5:$E$304,V1835)&lt;&gt;HomeState),0,ROUND(L1835*M1835/2,2))),"")</f>
        <v/>
      </c>
      <c r="O1835" s="61" t="str">
        <f aca="false">IF(IsPro,IF($D1835="","",N1835),"")</f>
        <v/>
      </c>
      <c r="P1835" s="61" t="str">
        <f aca="false">IF(IsPro,IF($D1835="","",IF(AND(V1835&lt;&gt;"",INDEX(Parties!$E$5:$E$304,V1835)&lt;&gt;"",INDEX(Parties!$E$5:$E$304,V1835)&lt;&gt;HomeState),ROUND(L1835*M1835,2),0)),"")</f>
        <v/>
      </c>
      <c r="Q1835" s="61" t="str">
        <f aca="false">IF(IsPro,IF($D1835="","",L1835+N1835+O1835+P1835),"")</f>
        <v/>
      </c>
      <c r="R1835" s="61" t="str">
        <f aca="false">IF(IsPro,IF($D1835="","",ROUND(N($E1835)*IFERROR(INDEX(Items!$P$5:$P$504,U1835),0),2)),"")</f>
        <v/>
      </c>
      <c r="S1835" s="61" t="str">
        <f aca="false">IF(IsPro,IF($D1835="","",L1835-R1835),"")</f>
        <v/>
      </c>
      <c r="T1835" s="60" t="str">
        <f aca="false">IF(IsPro,IF($D1835="","",IF(U1835="","UNKNOWN ITEM",IF(INDEX(Items!$O$5:$O$504,U1835)&lt;0,"NEG STOCK",IF(K1835&lt;INDEX(Items!$P$5:$P$504,U1835),"BELOW COST","OK")))),IF($D1835="","","PRO PLAN"))</f>
        <v/>
      </c>
      <c r="U1835" s="60" t="str">
        <f aca="false">IF(IsPro,IF($D1835="","",IFERROR(MATCH($D1835,Items!$A$5:$A$504,0),"")),"")</f>
        <v/>
      </c>
      <c r="V1835" s="60" t="str">
        <f aca="false">IF(IsPro,IF($C1835="","",IFERROR(MATCH($C1835,Parties!$A$5:$A$304,0),"")),"")</f>
        <v/>
      </c>
      <c r="W1835" s="60" t="str">
        <f aca="false">IF(IsPro,IF($B1835="","",IFERROR(VALUE(SUBSTITUTE($B1835,InvPrefix,"")),0)),"")</f>
        <v/>
      </c>
      <c r="X1835" s="61" t="str">
        <f aca="false">IF(IsPro,IF($D1835="","",IF(OR($H1835="",$H1835="Credit"),0,Q1835)),"")</f>
        <v/>
      </c>
    </row>
    <row r="1836" customFormat="false" ht="15" hidden="false" customHeight="false" outlineLevel="0" collapsed="false">
      <c r="A1836" s="55"/>
      <c r="B1836" s="56"/>
      <c r="C1836" s="56"/>
      <c r="D1836" s="56"/>
      <c r="E1836" s="57"/>
      <c r="F1836" s="58"/>
      <c r="G1836" s="59"/>
      <c r="H1836" s="56"/>
      <c r="I1836" s="56"/>
      <c r="J1836" s="60" t="str">
        <f aca="false">IF(IsPro,IF($D1836="","",IFERROR(INDEX(Items!$D$5:$D$504,U1836),"")),"")</f>
        <v/>
      </c>
      <c r="K1836" s="61" t="str">
        <f aca="false">IF(IsPro,IF($D1836="","",IF($F1836="",IFERROR(INDEX(Items!$H$5:$H$504,U1836),0),$F1836)),"")</f>
        <v/>
      </c>
      <c r="L1836" s="61" t="str">
        <f aca="false">IF(IsPro,IF($D1836="","",ROUND(N($E1836)*K1836*(1-N($G1836)),2)),"")</f>
        <v/>
      </c>
      <c r="M1836" s="62" t="str">
        <f aca="false">IF(IsPro,IF($D1836="","",IFERROR(INDEX(Items!$F$5:$F$504,U1836),0)),"")</f>
        <v/>
      </c>
      <c r="N1836" s="61" t="str">
        <f aca="false">IF(IsPro,IF($D1836="","",IF(AND(V1836&lt;&gt;"",INDEX(Parties!$E$5:$E$304,V1836)&lt;&gt;"",INDEX(Parties!$E$5:$E$304,V1836)&lt;&gt;HomeState),0,ROUND(L1836*M1836/2,2))),"")</f>
        <v/>
      </c>
      <c r="O1836" s="61" t="str">
        <f aca="false">IF(IsPro,IF($D1836="","",N1836),"")</f>
        <v/>
      </c>
      <c r="P1836" s="61" t="str">
        <f aca="false">IF(IsPro,IF($D1836="","",IF(AND(V1836&lt;&gt;"",INDEX(Parties!$E$5:$E$304,V1836)&lt;&gt;"",INDEX(Parties!$E$5:$E$304,V1836)&lt;&gt;HomeState),ROUND(L1836*M1836,2),0)),"")</f>
        <v/>
      </c>
      <c r="Q1836" s="61" t="str">
        <f aca="false">IF(IsPro,IF($D1836="","",L1836+N1836+O1836+P1836),"")</f>
        <v/>
      </c>
      <c r="R1836" s="61" t="str">
        <f aca="false">IF(IsPro,IF($D1836="","",ROUND(N($E1836)*IFERROR(INDEX(Items!$P$5:$P$504,U1836),0),2)),"")</f>
        <v/>
      </c>
      <c r="S1836" s="61" t="str">
        <f aca="false">IF(IsPro,IF($D1836="","",L1836-R1836),"")</f>
        <v/>
      </c>
      <c r="T1836" s="60" t="str">
        <f aca="false">IF(IsPro,IF($D1836="","",IF(U1836="","UNKNOWN ITEM",IF(INDEX(Items!$O$5:$O$504,U1836)&lt;0,"NEG STOCK",IF(K1836&lt;INDEX(Items!$P$5:$P$504,U1836),"BELOW COST","OK")))),IF($D1836="","","PRO PLAN"))</f>
        <v/>
      </c>
      <c r="U1836" s="60" t="str">
        <f aca="false">IF(IsPro,IF($D1836="","",IFERROR(MATCH($D1836,Items!$A$5:$A$504,0),"")),"")</f>
        <v/>
      </c>
      <c r="V1836" s="60" t="str">
        <f aca="false">IF(IsPro,IF($C1836="","",IFERROR(MATCH($C1836,Parties!$A$5:$A$304,0),"")),"")</f>
        <v/>
      </c>
      <c r="W1836" s="60" t="str">
        <f aca="false">IF(IsPro,IF($B1836="","",IFERROR(VALUE(SUBSTITUTE($B1836,InvPrefix,"")),0)),"")</f>
        <v/>
      </c>
      <c r="X1836" s="61" t="str">
        <f aca="false">IF(IsPro,IF($D1836="","",IF(OR($H1836="",$H1836="Credit"),0,Q1836)),"")</f>
        <v/>
      </c>
    </row>
    <row r="1837" customFormat="false" ht="15" hidden="false" customHeight="false" outlineLevel="0" collapsed="false">
      <c r="A1837" s="55"/>
      <c r="B1837" s="56"/>
      <c r="C1837" s="56"/>
      <c r="D1837" s="56"/>
      <c r="E1837" s="57"/>
      <c r="F1837" s="58"/>
      <c r="G1837" s="59"/>
      <c r="H1837" s="56"/>
      <c r="I1837" s="56"/>
      <c r="J1837" s="60" t="str">
        <f aca="false">IF(IsPro,IF($D1837="","",IFERROR(INDEX(Items!$D$5:$D$504,U1837),"")),"")</f>
        <v/>
      </c>
      <c r="K1837" s="61" t="str">
        <f aca="false">IF(IsPro,IF($D1837="","",IF($F1837="",IFERROR(INDEX(Items!$H$5:$H$504,U1837),0),$F1837)),"")</f>
        <v/>
      </c>
      <c r="L1837" s="61" t="str">
        <f aca="false">IF(IsPro,IF($D1837="","",ROUND(N($E1837)*K1837*(1-N($G1837)),2)),"")</f>
        <v/>
      </c>
      <c r="M1837" s="62" t="str">
        <f aca="false">IF(IsPro,IF($D1837="","",IFERROR(INDEX(Items!$F$5:$F$504,U1837),0)),"")</f>
        <v/>
      </c>
      <c r="N1837" s="61" t="str">
        <f aca="false">IF(IsPro,IF($D1837="","",IF(AND(V1837&lt;&gt;"",INDEX(Parties!$E$5:$E$304,V1837)&lt;&gt;"",INDEX(Parties!$E$5:$E$304,V1837)&lt;&gt;HomeState),0,ROUND(L1837*M1837/2,2))),"")</f>
        <v/>
      </c>
      <c r="O1837" s="61" t="str">
        <f aca="false">IF(IsPro,IF($D1837="","",N1837),"")</f>
        <v/>
      </c>
      <c r="P1837" s="61" t="str">
        <f aca="false">IF(IsPro,IF($D1837="","",IF(AND(V1837&lt;&gt;"",INDEX(Parties!$E$5:$E$304,V1837)&lt;&gt;"",INDEX(Parties!$E$5:$E$304,V1837)&lt;&gt;HomeState),ROUND(L1837*M1837,2),0)),"")</f>
        <v/>
      </c>
      <c r="Q1837" s="61" t="str">
        <f aca="false">IF(IsPro,IF($D1837="","",L1837+N1837+O1837+P1837),"")</f>
        <v/>
      </c>
      <c r="R1837" s="61" t="str">
        <f aca="false">IF(IsPro,IF($D1837="","",ROUND(N($E1837)*IFERROR(INDEX(Items!$P$5:$P$504,U1837),0),2)),"")</f>
        <v/>
      </c>
      <c r="S1837" s="61" t="str">
        <f aca="false">IF(IsPro,IF($D1837="","",L1837-R1837),"")</f>
        <v/>
      </c>
      <c r="T1837" s="60" t="str">
        <f aca="false">IF(IsPro,IF($D1837="","",IF(U1837="","UNKNOWN ITEM",IF(INDEX(Items!$O$5:$O$504,U1837)&lt;0,"NEG STOCK",IF(K1837&lt;INDEX(Items!$P$5:$P$504,U1837),"BELOW COST","OK")))),IF($D1837="","","PRO PLAN"))</f>
        <v/>
      </c>
      <c r="U1837" s="60" t="str">
        <f aca="false">IF(IsPro,IF($D1837="","",IFERROR(MATCH($D1837,Items!$A$5:$A$504,0),"")),"")</f>
        <v/>
      </c>
      <c r="V1837" s="60" t="str">
        <f aca="false">IF(IsPro,IF($C1837="","",IFERROR(MATCH($C1837,Parties!$A$5:$A$304,0),"")),"")</f>
        <v/>
      </c>
      <c r="W1837" s="60" t="str">
        <f aca="false">IF(IsPro,IF($B1837="","",IFERROR(VALUE(SUBSTITUTE($B1837,InvPrefix,"")),0)),"")</f>
        <v/>
      </c>
      <c r="X1837" s="61" t="str">
        <f aca="false">IF(IsPro,IF($D1837="","",IF(OR($H1837="",$H1837="Credit"),0,Q1837)),"")</f>
        <v/>
      </c>
    </row>
    <row r="1838" customFormat="false" ht="15" hidden="false" customHeight="false" outlineLevel="0" collapsed="false">
      <c r="A1838" s="55"/>
      <c r="B1838" s="56"/>
      <c r="C1838" s="56"/>
      <c r="D1838" s="56"/>
      <c r="E1838" s="57"/>
      <c r="F1838" s="58"/>
      <c r="G1838" s="59"/>
      <c r="H1838" s="56"/>
      <c r="I1838" s="56"/>
      <c r="J1838" s="60" t="str">
        <f aca="false">IF(IsPro,IF($D1838="","",IFERROR(INDEX(Items!$D$5:$D$504,U1838),"")),"")</f>
        <v/>
      </c>
      <c r="K1838" s="61" t="str">
        <f aca="false">IF(IsPro,IF($D1838="","",IF($F1838="",IFERROR(INDEX(Items!$H$5:$H$504,U1838),0),$F1838)),"")</f>
        <v/>
      </c>
      <c r="L1838" s="61" t="str">
        <f aca="false">IF(IsPro,IF($D1838="","",ROUND(N($E1838)*K1838*(1-N($G1838)),2)),"")</f>
        <v/>
      </c>
      <c r="M1838" s="62" t="str">
        <f aca="false">IF(IsPro,IF($D1838="","",IFERROR(INDEX(Items!$F$5:$F$504,U1838),0)),"")</f>
        <v/>
      </c>
      <c r="N1838" s="61" t="str">
        <f aca="false">IF(IsPro,IF($D1838="","",IF(AND(V1838&lt;&gt;"",INDEX(Parties!$E$5:$E$304,V1838)&lt;&gt;"",INDEX(Parties!$E$5:$E$304,V1838)&lt;&gt;HomeState),0,ROUND(L1838*M1838/2,2))),"")</f>
        <v/>
      </c>
      <c r="O1838" s="61" t="str">
        <f aca="false">IF(IsPro,IF($D1838="","",N1838),"")</f>
        <v/>
      </c>
      <c r="P1838" s="61" t="str">
        <f aca="false">IF(IsPro,IF($D1838="","",IF(AND(V1838&lt;&gt;"",INDEX(Parties!$E$5:$E$304,V1838)&lt;&gt;"",INDEX(Parties!$E$5:$E$304,V1838)&lt;&gt;HomeState),ROUND(L1838*M1838,2),0)),"")</f>
        <v/>
      </c>
      <c r="Q1838" s="61" t="str">
        <f aca="false">IF(IsPro,IF($D1838="","",L1838+N1838+O1838+P1838),"")</f>
        <v/>
      </c>
      <c r="R1838" s="61" t="str">
        <f aca="false">IF(IsPro,IF($D1838="","",ROUND(N($E1838)*IFERROR(INDEX(Items!$P$5:$P$504,U1838),0),2)),"")</f>
        <v/>
      </c>
      <c r="S1838" s="61" t="str">
        <f aca="false">IF(IsPro,IF($D1838="","",L1838-R1838),"")</f>
        <v/>
      </c>
      <c r="T1838" s="60" t="str">
        <f aca="false">IF(IsPro,IF($D1838="","",IF(U1838="","UNKNOWN ITEM",IF(INDEX(Items!$O$5:$O$504,U1838)&lt;0,"NEG STOCK",IF(K1838&lt;INDEX(Items!$P$5:$P$504,U1838),"BELOW COST","OK")))),IF($D1838="","","PRO PLAN"))</f>
        <v/>
      </c>
      <c r="U1838" s="60" t="str">
        <f aca="false">IF(IsPro,IF($D1838="","",IFERROR(MATCH($D1838,Items!$A$5:$A$504,0),"")),"")</f>
        <v/>
      </c>
      <c r="V1838" s="60" t="str">
        <f aca="false">IF(IsPro,IF($C1838="","",IFERROR(MATCH($C1838,Parties!$A$5:$A$304,0),"")),"")</f>
        <v/>
      </c>
      <c r="W1838" s="60" t="str">
        <f aca="false">IF(IsPro,IF($B1838="","",IFERROR(VALUE(SUBSTITUTE($B1838,InvPrefix,"")),0)),"")</f>
        <v/>
      </c>
      <c r="X1838" s="61" t="str">
        <f aca="false">IF(IsPro,IF($D1838="","",IF(OR($H1838="",$H1838="Credit"),0,Q1838)),"")</f>
        <v/>
      </c>
    </row>
    <row r="1839" customFormat="false" ht="15" hidden="false" customHeight="false" outlineLevel="0" collapsed="false">
      <c r="A1839" s="55"/>
      <c r="B1839" s="56"/>
      <c r="C1839" s="56"/>
      <c r="D1839" s="56"/>
      <c r="E1839" s="57"/>
      <c r="F1839" s="58"/>
      <c r="G1839" s="59"/>
      <c r="H1839" s="56"/>
      <c r="I1839" s="56"/>
      <c r="J1839" s="60" t="str">
        <f aca="false">IF(IsPro,IF($D1839="","",IFERROR(INDEX(Items!$D$5:$D$504,U1839),"")),"")</f>
        <v/>
      </c>
      <c r="K1839" s="61" t="str">
        <f aca="false">IF(IsPro,IF($D1839="","",IF($F1839="",IFERROR(INDEX(Items!$H$5:$H$504,U1839),0),$F1839)),"")</f>
        <v/>
      </c>
      <c r="L1839" s="61" t="str">
        <f aca="false">IF(IsPro,IF($D1839="","",ROUND(N($E1839)*K1839*(1-N($G1839)),2)),"")</f>
        <v/>
      </c>
      <c r="M1839" s="62" t="str">
        <f aca="false">IF(IsPro,IF($D1839="","",IFERROR(INDEX(Items!$F$5:$F$504,U1839),0)),"")</f>
        <v/>
      </c>
      <c r="N1839" s="61" t="str">
        <f aca="false">IF(IsPro,IF($D1839="","",IF(AND(V1839&lt;&gt;"",INDEX(Parties!$E$5:$E$304,V1839)&lt;&gt;"",INDEX(Parties!$E$5:$E$304,V1839)&lt;&gt;HomeState),0,ROUND(L1839*M1839/2,2))),"")</f>
        <v/>
      </c>
      <c r="O1839" s="61" t="str">
        <f aca="false">IF(IsPro,IF($D1839="","",N1839),"")</f>
        <v/>
      </c>
      <c r="P1839" s="61" t="str">
        <f aca="false">IF(IsPro,IF($D1839="","",IF(AND(V1839&lt;&gt;"",INDEX(Parties!$E$5:$E$304,V1839)&lt;&gt;"",INDEX(Parties!$E$5:$E$304,V1839)&lt;&gt;HomeState),ROUND(L1839*M1839,2),0)),"")</f>
        <v/>
      </c>
      <c r="Q1839" s="61" t="str">
        <f aca="false">IF(IsPro,IF($D1839="","",L1839+N1839+O1839+P1839),"")</f>
        <v/>
      </c>
      <c r="R1839" s="61" t="str">
        <f aca="false">IF(IsPro,IF($D1839="","",ROUND(N($E1839)*IFERROR(INDEX(Items!$P$5:$P$504,U1839),0),2)),"")</f>
        <v/>
      </c>
      <c r="S1839" s="61" t="str">
        <f aca="false">IF(IsPro,IF($D1839="","",L1839-R1839),"")</f>
        <v/>
      </c>
      <c r="T1839" s="60" t="str">
        <f aca="false">IF(IsPro,IF($D1839="","",IF(U1839="","UNKNOWN ITEM",IF(INDEX(Items!$O$5:$O$504,U1839)&lt;0,"NEG STOCK",IF(K1839&lt;INDEX(Items!$P$5:$P$504,U1839),"BELOW COST","OK")))),IF($D1839="","","PRO PLAN"))</f>
        <v/>
      </c>
      <c r="U1839" s="60" t="str">
        <f aca="false">IF(IsPro,IF($D1839="","",IFERROR(MATCH($D1839,Items!$A$5:$A$504,0),"")),"")</f>
        <v/>
      </c>
      <c r="V1839" s="60" t="str">
        <f aca="false">IF(IsPro,IF($C1839="","",IFERROR(MATCH($C1839,Parties!$A$5:$A$304,0),"")),"")</f>
        <v/>
      </c>
      <c r="W1839" s="60" t="str">
        <f aca="false">IF(IsPro,IF($B1839="","",IFERROR(VALUE(SUBSTITUTE($B1839,InvPrefix,"")),0)),"")</f>
        <v/>
      </c>
      <c r="X1839" s="61" t="str">
        <f aca="false">IF(IsPro,IF($D1839="","",IF(OR($H1839="",$H1839="Credit"),0,Q1839)),"")</f>
        <v/>
      </c>
    </row>
    <row r="1840" customFormat="false" ht="15" hidden="false" customHeight="false" outlineLevel="0" collapsed="false">
      <c r="A1840" s="55"/>
      <c r="B1840" s="56"/>
      <c r="C1840" s="56"/>
      <c r="D1840" s="56"/>
      <c r="E1840" s="57"/>
      <c r="F1840" s="58"/>
      <c r="G1840" s="59"/>
      <c r="H1840" s="56"/>
      <c r="I1840" s="56"/>
      <c r="J1840" s="60" t="str">
        <f aca="false">IF(IsPro,IF($D1840="","",IFERROR(INDEX(Items!$D$5:$D$504,U1840),"")),"")</f>
        <v/>
      </c>
      <c r="K1840" s="61" t="str">
        <f aca="false">IF(IsPro,IF($D1840="","",IF($F1840="",IFERROR(INDEX(Items!$H$5:$H$504,U1840),0),$F1840)),"")</f>
        <v/>
      </c>
      <c r="L1840" s="61" t="str">
        <f aca="false">IF(IsPro,IF($D1840="","",ROUND(N($E1840)*K1840*(1-N($G1840)),2)),"")</f>
        <v/>
      </c>
      <c r="M1840" s="62" t="str">
        <f aca="false">IF(IsPro,IF($D1840="","",IFERROR(INDEX(Items!$F$5:$F$504,U1840),0)),"")</f>
        <v/>
      </c>
      <c r="N1840" s="61" t="str">
        <f aca="false">IF(IsPro,IF($D1840="","",IF(AND(V1840&lt;&gt;"",INDEX(Parties!$E$5:$E$304,V1840)&lt;&gt;"",INDEX(Parties!$E$5:$E$304,V1840)&lt;&gt;HomeState),0,ROUND(L1840*M1840/2,2))),"")</f>
        <v/>
      </c>
      <c r="O1840" s="61" t="str">
        <f aca="false">IF(IsPro,IF($D1840="","",N1840),"")</f>
        <v/>
      </c>
      <c r="P1840" s="61" t="str">
        <f aca="false">IF(IsPro,IF($D1840="","",IF(AND(V1840&lt;&gt;"",INDEX(Parties!$E$5:$E$304,V1840)&lt;&gt;"",INDEX(Parties!$E$5:$E$304,V1840)&lt;&gt;HomeState),ROUND(L1840*M1840,2),0)),"")</f>
        <v/>
      </c>
      <c r="Q1840" s="61" t="str">
        <f aca="false">IF(IsPro,IF($D1840="","",L1840+N1840+O1840+P1840),"")</f>
        <v/>
      </c>
      <c r="R1840" s="61" t="str">
        <f aca="false">IF(IsPro,IF($D1840="","",ROUND(N($E1840)*IFERROR(INDEX(Items!$P$5:$P$504,U1840),0),2)),"")</f>
        <v/>
      </c>
      <c r="S1840" s="61" t="str">
        <f aca="false">IF(IsPro,IF($D1840="","",L1840-R1840),"")</f>
        <v/>
      </c>
      <c r="T1840" s="60" t="str">
        <f aca="false">IF(IsPro,IF($D1840="","",IF(U1840="","UNKNOWN ITEM",IF(INDEX(Items!$O$5:$O$504,U1840)&lt;0,"NEG STOCK",IF(K1840&lt;INDEX(Items!$P$5:$P$504,U1840),"BELOW COST","OK")))),IF($D1840="","","PRO PLAN"))</f>
        <v/>
      </c>
      <c r="U1840" s="60" t="str">
        <f aca="false">IF(IsPro,IF($D1840="","",IFERROR(MATCH($D1840,Items!$A$5:$A$504,0),"")),"")</f>
        <v/>
      </c>
      <c r="V1840" s="60" t="str">
        <f aca="false">IF(IsPro,IF($C1840="","",IFERROR(MATCH($C1840,Parties!$A$5:$A$304,0),"")),"")</f>
        <v/>
      </c>
      <c r="W1840" s="60" t="str">
        <f aca="false">IF(IsPro,IF($B1840="","",IFERROR(VALUE(SUBSTITUTE($B1840,InvPrefix,"")),0)),"")</f>
        <v/>
      </c>
      <c r="X1840" s="61" t="str">
        <f aca="false">IF(IsPro,IF($D1840="","",IF(OR($H1840="",$H1840="Credit"),0,Q1840)),"")</f>
        <v/>
      </c>
    </row>
    <row r="1841" customFormat="false" ht="15" hidden="false" customHeight="false" outlineLevel="0" collapsed="false">
      <c r="A1841" s="55"/>
      <c r="B1841" s="56"/>
      <c r="C1841" s="56"/>
      <c r="D1841" s="56"/>
      <c r="E1841" s="57"/>
      <c r="F1841" s="58"/>
      <c r="G1841" s="59"/>
      <c r="H1841" s="56"/>
      <c r="I1841" s="56"/>
      <c r="J1841" s="60" t="str">
        <f aca="false">IF(IsPro,IF($D1841="","",IFERROR(INDEX(Items!$D$5:$D$504,U1841),"")),"")</f>
        <v/>
      </c>
      <c r="K1841" s="61" t="str">
        <f aca="false">IF(IsPro,IF($D1841="","",IF($F1841="",IFERROR(INDEX(Items!$H$5:$H$504,U1841),0),$F1841)),"")</f>
        <v/>
      </c>
      <c r="L1841" s="61" t="str">
        <f aca="false">IF(IsPro,IF($D1841="","",ROUND(N($E1841)*K1841*(1-N($G1841)),2)),"")</f>
        <v/>
      </c>
      <c r="M1841" s="62" t="str">
        <f aca="false">IF(IsPro,IF($D1841="","",IFERROR(INDEX(Items!$F$5:$F$504,U1841),0)),"")</f>
        <v/>
      </c>
      <c r="N1841" s="61" t="str">
        <f aca="false">IF(IsPro,IF($D1841="","",IF(AND(V1841&lt;&gt;"",INDEX(Parties!$E$5:$E$304,V1841)&lt;&gt;"",INDEX(Parties!$E$5:$E$304,V1841)&lt;&gt;HomeState),0,ROUND(L1841*M1841/2,2))),"")</f>
        <v/>
      </c>
      <c r="O1841" s="61" t="str">
        <f aca="false">IF(IsPro,IF($D1841="","",N1841),"")</f>
        <v/>
      </c>
      <c r="P1841" s="61" t="str">
        <f aca="false">IF(IsPro,IF($D1841="","",IF(AND(V1841&lt;&gt;"",INDEX(Parties!$E$5:$E$304,V1841)&lt;&gt;"",INDEX(Parties!$E$5:$E$304,V1841)&lt;&gt;HomeState),ROUND(L1841*M1841,2),0)),"")</f>
        <v/>
      </c>
      <c r="Q1841" s="61" t="str">
        <f aca="false">IF(IsPro,IF($D1841="","",L1841+N1841+O1841+P1841),"")</f>
        <v/>
      </c>
      <c r="R1841" s="61" t="str">
        <f aca="false">IF(IsPro,IF($D1841="","",ROUND(N($E1841)*IFERROR(INDEX(Items!$P$5:$P$504,U1841),0),2)),"")</f>
        <v/>
      </c>
      <c r="S1841" s="61" t="str">
        <f aca="false">IF(IsPro,IF($D1841="","",L1841-R1841),"")</f>
        <v/>
      </c>
      <c r="T1841" s="60" t="str">
        <f aca="false">IF(IsPro,IF($D1841="","",IF(U1841="","UNKNOWN ITEM",IF(INDEX(Items!$O$5:$O$504,U1841)&lt;0,"NEG STOCK",IF(K1841&lt;INDEX(Items!$P$5:$P$504,U1841),"BELOW COST","OK")))),IF($D1841="","","PRO PLAN"))</f>
        <v/>
      </c>
      <c r="U1841" s="60" t="str">
        <f aca="false">IF(IsPro,IF($D1841="","",IFERROR(MATCH($D1841,Items!$A$5:$A$504,0),"")),"")</f>
        <v/>
      </c>
      <c r="V1841" s="60" t="str">
        <f aca="false">IF(IsPro,IF($C1841="","",IFERROR(MATCH($C1841,Parties!$A$5:$A$304,0),"")),"")</f>
        <v/>
      </c>
      <c r="W1841" s="60" t="str">
        <f aca="false">IF(IsPro,IF($B1841="","",IFERROR(VALUE(SUBSTITUTE($B1841,InvPrefix,"")),0)),"")</f>
        <v/>
      </c>
      <c r="X1841" s="61" t="str">
        <f aca="false">IF(IsPro,IF($D1841="","",IF(OR($H1841="",$H1841="Credit"),0,Q1841)),"")</f>
        <v/>
      </c>
    </row>
    <row r="1842" customFormat="false" ht="15" hidden="false" customHeight="false" outlineLevel="0" collapsed="false">
      <c r="A1842" s="55"/>
      <c r="B1842" s="56"/>
      <c r="C1842" s="56"/>
      <c r="D1842" s="56"/>
      <c r="E1842" s="57"/>
      <c r="F1842" s="58"/>
      <c r="G1842" s="59"/>
      <c r="H1842" s="56"/>
      <c r="I1842" s="56"/>
      <c r="J1842" s="60" t="str">
        <f aca="false">IF(IsPro,IF($D1842="","",IFERROR(INDEX(Items!$D$5:$D$504,U1842),"")),"")</f>
        <v/>
      </c>
      <c r="K1842" s="61" t="str">
        <f aca="false">IF(IsPro,IF($D1842="","",IF($F1842="",IFERROR(INDEX(Items!$H$5:$H$504,U1842),0),$F1842)),"")</f>
        <v/>
      </c>
      <c r="L1842" s="61" t="str">
        <f aca="false">IF(IsPro,IF($D1842="","",ROUND(N($E1842)*K1842*(1-N($G1842)),2)),"")</f>
        <v/>
      </c>
      <c r="M1842" s="62" t="str">
        <f aca="false">IF(IsPro,IF($D1842="","",IFERROR(INDEX(Items!$F$5:$F$504,U1842),0)),"")</f>
        <v/>
      </c>
      <c r="N1842" s="61" t="str">
        <f aca="false">IF(IsPro,IF($D1842="","",IF(AND(V1842&lt;&gt;"",INDEX(Parties!$E$5:$E$304,V1842)&lt;&gt;"",INDEX(Parties!$E$5:$E$304,V1842)&lt;&gt;HomeState),0,ROUND(L1842*M1842/2,2))),"")</f>
        <v/>
      </c>
      <c r="O1842" s="61" t="str">
        <f aca="false">IF(IsPro,IF($D1842="","",N1842),"")</f>
        <v/>
      </c>
      <c r="P1842" s="61" t="str">
        <f aca="false">IF(IsPro,IF($D1842="","",IF(AND(V1842&lt;&gt;"",INDEX(Parties!$E$5:$E$304,V1842)&lt;&gt;"",INDEX(Parties!$E$5:$E$304,V1842)&lt;&gt;HomeState),ROUND(L1842*M1842,2),0)),"")</f>
        <v/>
      </c>
      <c r="Q1842" s="61" t="str">
        <f aca="false">IF(IsPro,IF($D1842="","",L1842+N1842+O1842+P1842),"")</f>
        <v/>
      </c>
      <c r="R1842" s="61" t="str">
        <f aca="false">IF(IsPro,IF($D1842="","",ROUND(N($E1842)*IFERROR(INDEX(Items!$P$5:$P$504,U1842),0),2)),"")</f>
        <v/>
      </c>
      <c r="S1842" s="61" t="str">
        <f aca="false">IF(IsPro,IF($D1842="","",L1842-R1842),"")</f>
        <v/>
      </c>
      <c r="T1842" s="60" t="str">
        <f aca="false">IF(IsPro,IF($D1842="","",IF(U1842="","UNKNOWN ITEM",IF(INDEX(Items!$O$5:$O$504,U1842)&lt;0,"NEG STOCK",IF(K1842&lt;INDEX(Items!$P$5:$P$504,U1842),"BELOW COST","OK")))),IF($D1842="","","PRO PLAN"))</f>
        <v/>
      </c>
      <c r="U1842" s="60" t="str">
        <f aca="false">IF(IsPro,IF($D1842="","",IFERROR(MATCH($D1842,Items!$A$5:$A$504,0),"")),"")</f>
        <v/>
      </c>
      <c r="V1842" s="60" t="str">
        <f aca="false">IF(IsPro,IF($C1842="","",IFERROR(MATCH($C1842,Parties!$A$5:$A$304,0),"")),"")</f>
        <v/>
      </c>
      <c r="W1842" s="60" t="str">
        <f aca="false">IF(IsPro,IF($B1842="","",IFERROR(VALUE(SUBSTITUTE($B1842,InvPrefix,"")),0)),"")</f>
        <v/>
      </c>
      <c r="X1842" s="61" t="str">
        <f aca="false">IF(IsPro,IF($D1842="","",IF(OR($H1842="",$H1842="Credit"),0,Q1842)),"")</f>
        <v/>
      </c>
    </row>
    <row r="1843" customFormat="false" ht="15" hidden="false" customHeight="false" outlineLevel="0" collapsed="false">
      <c r="A1843" s="55"/>
      <c r="B1843" s="56"/>
      <c r="C1843" s="56"/>
      <c r="D1843" s="56"/>
      <c r="E1843" s="57"/>
      <c r="F1843" s="58"/>
      <c r="G1843" s="59"/>
      <c r="H1843" s="56"/>
      <c r="I1843" s="56"/>
      <c r="J1843" s="60" t="str">
        <f aca="false">IF(IsPro,IF($D1843="","",IFERROR(INDEX(Items!$D$5:$D$504,U1843),"")),"")</f>
        <v/>
      </c>
      <c r="K1843" s="61" t="str">
        <f aca="false">IF(IsPro,IF($D1843="","",IF($F1843="",IFERROR(INDEX(Items!$H$5:$H$504,U1843),0),$F1843)),"")</f>
        <v/>
      </c>
      <c r="L1843" s="61" t="str">
        <f aca="false">IF(IsPro,IF($D1843="","",ROUND(N($E1843)*K1843*(1-N($G1843)),2)),"")</f>
        <v/>
      </c>
      <c r="M1843" s="62" t="str">
        <f aca="false">IF(IsPro,IF($D1843="","",IFERROR(INDEX(Items!$F$5:$F$504,U1843),0)),"")</f>
        <v/>
      </c>
      <c r="N1843" s="61" t="str">
        <f aca="false">IF(IsPro,IF($D1843="","",IF(AND(V1843&lt;&gt;"",INDEX(Parties!$E$5:$E$304,V1843)&lt;&gt;"",INDEX(Parties!$E$5:$E$304,V1843)&lt;&gt;HomeState),0,ROUND(L1843*M1843/2,2))),"")</f>
        <v/>
      </c>
      <c r="O1843" s="61" t="str">
        <f aca="false">IF(IsPro,IF($D1843="","",N1843),"")</f>
        <v/>
      </c>
      <c r="P1843" s="61" t="str">
        <f aca="false">IF(IsPro,IF($D1843="","",IF(AND(V1843&lt;&gt;"",INDEX(Parties!$E$5:$E$304,V1843)&lt;&gt;"",INDEX(Parties!$E$5:$E$304,V1843)&lt;&gt;HomeState),ROUND(L1843*M1843,2),0)),"")</f>
        <v/>
      </c>
      <c r="Q1843" s="61" t="str">
        <f aca="false">IF(IsPro,IF($D1843="","",L1843+N1843+O1843+P1843),"")</f>
        <v/>
      </c>
      <c r="R1843" s="61" t="str">
        <f aca="false">IF(IsPro,IF($D1843="","",ROUND(N($E1843)*IFERROR(INDEX(Items!$P$5:$P$504,U1843),0),2)),"")</f>
        <v/>
      </c>
      <c r="S1843" s="61" t="str">
        <f aca="false">IF(IsPro,IF($D1843="","",L1843-R1843),"")</f>
        <v/>
      </c>
      <c r="T1843" s="60" t="str">
        <f aca="false">IF(IsPro,IF($D1843="","",IF(U1843="","UNKNOWN ITEM",IF(INDEX(Items!$O$5:$O$504,U1843)&lt;0,"NEG STOCK",IF(K1843&lt;INDEX(Items!$P$5:$P$504,U1843),"BELOW COST","OK")))),IF($D1843="","","PRO PLAN"))</f>
        <v/>
      </c>
      <c r="U1843" s="60" t="str">
        <f aca="false">IF(IsPro,IF($D1843="","",IFERROR(MATCH($D1843,Items!$A$5:$A$504,0),"")),"")</f>
        <v/>
      </c>
      <c r="V1843" s="60" t="str">
        <f aca="false">IF(IsPro,IF($C1843="","",IFERROR(MATCH($C1843,Parties!$A$5:$A$304,0),"")),"")</f>
        <v/>
      </c>
      <c r="W1843" s="60" t="str">
        <f aca="false">IF(IsPro,IF($B1843="","",IFERROR(VALUE(SUBSTITUTE($B1843,InvPrefix,"")),0)),"")</f>
        <v/>
      </c>
      <c r="X1843" s="61" t="str">
        <f aca="false">IF(IsPro,IF($D1843="","",IF(OR($H1843="",$H1843="Credit"),0,Q1843)),"")</f>
        <v/>
      </c>
    </row>
    <row r="1844" customFormat="false" ht="15" hidden="false" customHeight="false" outlineLevel="0" collapsed="false">
      <c r="A1844" s="55"/>
      <c r="B1844" s="56"/>
      <c r="C1844" s="56"/>
      <c r="D1844" s="56"/>
      <c r="E1844" s="57"/>
      <c r="F1844" s="58"/>
      <c r="G1844" s="59"/>
      <c r="H1844" s="56"/>
      <c r="I1844" s="56"/>
      <c r="J1844" s="60" t="str">
        <f aca="false">IF(IsPro,IF($D1844="","",IFERROR(INDEX(Items!$D$5:$D$504,U1844),"")),"")</f>
        <v/>
      </c>
      <c r="K1844" s="61" t="str">
        <f aca="false">IF(IsPro,IF($D1844="","",IF($F1844="",IFERROR(INDEX(Items!$H$5:$H$504,U1844),0),$F1844)),"")</f>
        <v/>
      </c>
      <c r="L1844" s="61" t="str">
        <f aca="false">IF(IsPro,IF($D1844="","",ROUND(N($E1844)*K1844*(1-N($G1844)),2)),"")</f>
        <v/>
      </c>
      <c r="M1844" s="62" t="str">
        <f aca="false">IF(IsPro,IF($D1844="","",IFERROR(INDEX(Items!$F$5:$F$504,U1844),0)),"")</f>
        <v/>
      </c>
      <c r="N1844" s="61" t="str">
        <f aca="false">IF(IsPro,IF($D1844="","",IF(AND(V1844&lt;&gt;"",INDEX(Parties!$E$5:$E$304,V1844)&lt;&gt;"",INDEX(Parties!$E$5:$E$304,V1844)&lt;&gt;HomeState),0,ROUND(L1844*M1844/2,2))),"")</f>
        <v/>
      </c>
      <c r="O1844" s="61" t="str">
        <f aca="false">IF(IsPro,IF($D1844="","",N1844),"")</f>
        <v/>
      </c>
      <c r="P1844" s="61" t="str">
        <f aca="false">IF(IsPro,IF($D1844="","",IF(AND(V1844&lt;&gt;"",INDEX(Parties!$E$5:$E$304,V1844)&lt;&gt;"",INDEX(Parties!$E$5:$E$304,V1844)&lt;&gt;HomeState),ROUND(L1844*M1844,2),0)),"")</f>
        <v/>
      </c>
      <c r="Q1844" s="61" t="str">
        <f aca="false">IF(IsPro,IF($D1844="","",L1844+N1844+O1844+P1844),"")</f>
        <v/>
      </c>
      <c r="R1844" s="61" t="str">
        <f aca="false">IF(IsPro,IF($D1844="","",ROUND(N($E1844)*IFERROR(INDEX(Items!$P$5:$P$504,U1844),0),2)),"")</f>
        <v/>
      </c>
      <c r="S1844" s="61" t="str">
        <f aca="false">IF(IsPro,IF($D1844="","",L1844-R1844),"")</f>
        <v/>
      </c>
      <c r="T1844" s="60" t="str">
        <f aca="false">IF(IsPro,IF($D1844="","",IF(U1844="","UNKNOWN ITEM",IF(INDEX(Items!$O$5:$O$504,U1844)&lt;0,"NEG STOCK",IF(K1844&lt;INDEX(Items!$P$5:$P$504,U1844),"BELOW COST","OK")))),IF($D1844="","","PRO PLAN"))</f>
        <v/>
      </c>
      <c r="U1844" s="60" t="str">
        <f aca="false">IF(IsPro,IF($D1844="","",IFERROR(MATCH($D1844,Items!$A$5:$A$504,0),"")),"")</f>
        <v/>
      </c>
      <c r="V1844" s="60" t="str">
        <f aca="false">IF(IsPro,IF($C1844="","",IFERROR(MATCH($C1844,Parties!$A$5:$A$304,0),"")),"")</f>
        <v/>
      </c>
      <c r="W1844" s="60" t="str">
        <f aca="false">IF(IsPro,IF($B1844="","",IFERROR(VALUE(SUBSTITUTE($B1844,InvPrefix,"")),0)),"")</f>
        <v/>
      </c>
      <c r="X1844" s="61" t="str">
        <f aca="false">IF(IsPro,IF($D1844="","",IF(OR($H1844="",$H1844="Credit"),0,Q1844)),"")</f>
        <v/>
      </c>
    </row>
    <row r="1845" customFormat="false" ht="15" hidden="false" customHeight="false" outlineLevel="0" collapsed="false">
      <c r="A1845" s="55"/>
      <c r="B1845" s="56"/>
      <c r="C1845" s="56"/>
      <c r="D1845" s="56"/>
      <c r="E1845" s="57"/>
      <c r="F1845" s="58"/>
      <c r="G1845" s="59"/>
      <c r="H1845" s="56"/>
      <c r="I1845" s="56"/>
      <c r="J1845" s="60" t="str">
        <f aca="false">IF(IsPro,IF($D1845="","",IFERROR(INDEX(Items!$D$5:$D$504,U1845),"")),"")</f>
        <v/>
      </c>
      <c r="K1845" s="61" t="str">
        <f aca="false">IF(IsPro,IF($D1845="","",IF($F1845="",IFERROR(INDEX(Items!$H$5:$H$504,U1845),0),$F1845)),"")</f>
        <v/>
      </c>
      <c r="L1845" s="61" t="str">
        <f aca="false">IF(IsPro,IF($D1845="","",ROUND(N($E1845)*K1845*(1-N($G1845)),2)),"")</f>
        <v/>
      </c>
      <c r="M1845" s="62" t="str">
        <f aca="false">IF(IsPro,IF($D1845="","",IFERROR(INDEX(Items!$F$5:$F$504,U1845),0)),"")</f>
        <v/>
      </c>
      <c r="N1845" s="61" t="str">
        <f aca="false">IF(IsPro,IF($D1845="","",IF(AND(V1845&lt;&gt;"",INDEX(Parties!$E$5:$E$304,V1845)&lt;&gt;"",INDEX(Parties!$E$5:$E$304,V1845)&lt;&gt;HomeState),0,ROUND(L1845*M1845/2,2))),"")</f>
        <v/>
      </c>
      <c r="O1845" s="61" t="str">
        <f aca="false">IF(IsPro,IF($D1845="","",N1845),"")</f>
        <v/>
      </c>
      <c r="P1845" s="61" t="str">
        <f aca="false">IF(IsPro,IF($D1845="","",IF(AND(V1845&lt;&gt;"",INDEX(Parties!$E$5:$E$304,V1845)&lt;&gt;"",INDEX(Parties!$E$5:$E$304,V1845)&lt;&gt;HomeState),ROUND(L1845*M1845,2),0)),"")</f>
        <v/>
      </c>
      <c r="Q1845" s="61" t="str">
        <f aca="false">IF(IsPro,IF($D1845="","",L1845+N1845+O1845+P1845),"")</f>
        <v/>
      </c>
      <c r="R1845" s="61" t="str">
        <f aca="false">IF(IsPro,IF($D1845="","",ROUND(N($E1845)*IFERROR(INDEX(Items!$P$5:$P$504,U1845),0),2)),"")</f>
        <v/>
      </c>
      <c r="S1845" s="61" t="str">
        <f aca="false">IF(IsPro,IF($D1845="","",L1845-R1845),"")</f>
        <v/>
      </c>
      <c r="T1845" s="60" t="str">
        <f aca="false">IF(IsPro,IF($D1845="","",IF(U1845="","UNKNOWN ITEM",IF(INDEX(Items!$O$5:$O$504,U1845)&lt;0,"NEG STOCK",IF(K1845&lt;INDEX(Items!$P$5:$P$504,U1845),"BELOW COST","OK")))),IF($D1845="","","PRO PLAN"))</f>
        <v/>
      </c>
      <c r="U1845" s="60" t="str">
        <f aca="false">IF(IsPro,IF($D1845="","",IFERROR(MATCH($D1845,Items!$A$5:$A$504,0),"")),"")</f>
        <v/>
      </c>
      <c r="V1845" s="60" t="str">
        <f aca="false">IF(IsPro,IF($C1845="","",IFERROR(MATCH($C1845,Parties!$A$5:$A$304,0),"")),"")</f>
        <v/>
      </c>
      <c r="W1845" s="60" t="str">
        <f aca="false">IF(IsPro,IF($B1845="","",IFERROR(VALUE(SUBSTITUTE($B1845,InvPrefix,"")),0)),"")</f>
        <v/>
      </c>
      <c r="X1845" s="61" t="str">
        <f aca="false">IF(IsPro,IF($D1845="","",IF(OR($H1845="",$H1845="Credit"),0,Q1845)),"")</f>
        <v/>
      </c>
    </row>
    <row r="1846" customFormat="false" ht="15" hidden="false" customHeight="false" outlineLevel="0" collapsed="false">
      <c r="A1846" s="55"/>
      <c r="B1846" s="56"/>
      <c r="C1846" s="56"/>
      <c r="D1846" s="56"/>
      <c r="E1846" s="57"/>
      <c r="F1846" s="58"/>
      <c r="G1846" s="59"/>
      <c r="H1846" s="56"/>
      <c r="I1846" s="56"/>
      <c r="J1846" s="60" t="str">
        <f aca="false">IF(IsPro,IF($D1846="","",IFERROR(INDEX(Items!$D$5:$D$504,U1846),"")),"")</f>
        <v/>
      </c>
      <c r="K1846" s="61" t="str">
        <f aca="false">IF(IsPro,IF($D1846="","",IF($F1846="",IFERROR(INDEX(Items!$H$5:$H$504,U1846),0),$F1846)),"")</f>
        <v/>
      </c>
      <c r="L1846" s="61" t="str">
        <f aca="false">IF(IsPro,IF($D1846="","",ROUND(N($E1846)*K1846*(1-N($G1846)),2)),"")</f>
        <v/>
      </c>
      <c r="M1846" s="62" t="str">
        <f aca="false">IF(IsPro,IF($D1846="","",IFERROR(INDEX(Items!$F$5:$F$504,U1846),0)),"")</f>
        <v/>
      </c>
      <c r="N1846" s="61" t="str">
        <f aca="false">IF(IsPro,IF($D1846="","",IF(AND(V1846&lt;&gt;"",INDEX(Parties!$E$5:$E$304,V1846)&lt;&gt;"",INDEX(Parties!$E$5:$E$304,V1846)&lt;&gt;HomeState),0,ROUND(L1846*M1846/2,2))),"")</f>
        <v/>
      </c>
      <c r="O1846" s="61" t="str">
        <f aca="false">IF(IsPro,IF($D1846="","",N1846),"")</f>
        <v/>
      </c>
      <c r="P1846" s="61" t="str">
        <f aca="false">IF(IsPro,IF($D1846="","",IF(AND(V1846&lt;&gt;"",INDEX(Parties!$E$5:$E$304,V1846)&lt;&gt;"",INDEX(Parties!$E$5:$E$304,V1846)&lt;&gt;HomeState),ROUND(L1846*M1846,2),0)),"")</f>
        <v/>
      </c>
      <c r="Q1846" s="61" t="str">
        <f aca="false">IF(IsPro,IF($D1846="","",L1846+N1846+O1846+P1846),"")</f>
        <v/>
      </c>
      <c r="R1846" s="61" t="str">
        <f aca="false">IF(IsPro,IF($D1846="","",ROUND(N($E1846)*IFERROR(INDEX(Items!$P$5:$P$504,U1846),0),2)),"")</f>
        <v/>
      </c>
      <c r="S1846" s="61" t="str">
        <f aca="false">IF(IsPro,IF($D1846="","",L1846-R1846),"")</f>
        <v/>
      </c>
      <c r="T1846" s="60" t="str">
        <f aca="false">IF(IsPro,IF($D1846="","",IF(U1846="","UNKNOWN ITEM",IF(INDEX(Items!$O$5:$O$504,U1846)&lt;0,"NEG STOCK",IF(K1846&lt;INDEX(Items!$P$5:$P$504,U1846),"BELOW COST","OK")))),IF($D1846="","","PRO PLAN"))</f>
        <v/>
      </c>
      <c r="U1846" s="60" t="str">
        <f aca="false">IF(IsPro,IF($D1846="","",IFERROR(MATCH($D1846,Items!$A$5:$A$504,0),"")),"")</f>
        <v/>
      </c>
      <c r="V1846" s="60" t="str">
        <f aca="false">IF(IsPro,IF($C1846="","",IFERROR(MATCH($C1846,Parties!$A$5:$A$304,0),"")),"")</f>
        <v/>
      </c>
      <c r="W1846" s="60" t="str">
        <f aca="false">IF(IsPro,IF($B1846="","",IFERROR(VALUE(SUBSTITUTE($B1846,InvPrefix,"")),0)),"")</f>
        <v/>
      </c>
      <c r="X1846" s="61" t="str">
        <f aca="false">IF(IsPro,IF($D1846="","",IF(OR($H1846="",$H1846="Credit"),0,Q1846)),"")</f>
        <v/>
      </c>
    </row>
    <row r="1847" customFormat="false" ht="15" hidden="false" customHeight="false" outlineLevel="0" collapsed="false">
      <c r="A1847" s="55"/>
      <c r="B1847" s="56"/>
      <c r="C1847" s="56"/>
      <c r="D1847" s="56"/>
      <c r="E1847" s="57"/>
      <c r="F1847" s="58"/>
      <c r="G1847" s="59"/>
      <c r="H1847" s="56"/>
      <c r="I1847" s="56"/>
      <c r="J1847" s="60" t="str">
        <f aca="false">IF(IsPro,IF($D1847="","",IFERROR(INDEX(Items!$D$5:$D$504,U1847),"")),"")</f>
        <v/>
      </c>
      <c r="K1847" s="61" t="str">
        <f aca="false">IF(IsPro,IF($D1847="","",IF($F1847="",IFERROR(INDEX(Items!$H$5:$H$504,U1847),0),$F1847)),"")</f>
        <v/>
      </c>
      <c r="L1847" s="61" t="str">
        <f aca="false">IF(IsPro,IF($D1847="","",ROUND(N($E1847)*K1847*(1-N($G1847)),2)),"")</f>
        <v/>
      </c>
      <c r="M1847" s="62" t="str">
        <f aca="false">IF(IsPro,IF($D1847="","",IFERROR(INDEX(Items!$F$5:$F$504,U1847),0)),"")</f>
        <v/>
      </c>
      <c r="N1847" s="61" t="str">
        <f aca="false">IF(IsPro,IF($D1847="","",IF(AND(V1847&lt;&gt;"",INDEX(Parties!$E$5:$E$304,V1847)&lt;&gt;"",INDEX(Parties!$E$5:$E$304,V1847)&lt;&gt;HomeState),0,ROUND(L1847*M1847/2,2))),"")</f>
        <v/>
      </c>
      <c r="O1847" s="61" t="str">
        <f aca="false">IF(IsPro,IF($D1847="","",N1847),"")</f>
        <v/>
      </c>
      <c r="P1847" s="61" t="str">
        <f aca="false">IF(IsPro,IF($D1847="","",IF(AND(V1847&lt;&gt;"",INDEX(Parties!$E$5:$E$304,V1847)&lt;&gt;"",INDEX(Parties!$E$5:$E$304,V1847)&lt;&gt;HomeState),ROUND(L1847*M1847,2),0)),"")</f>
        <v/>
      </c>
      <c r="Q1847" s="61" t="str">
        <f aca="false">IF(IsPro,IF($D1847="","",L1847+N1847+O1847+P1847),"")</f>
        <v/>
      </c>
      <c r="R1847" s="61" t="str">
        <f aca="false">IF(IsPro,IF($D1847="","",ROUND(N($E1847)*IFERROR(INDEX(Items!$P$5:$P$504,U1847),0),2)),"")</f>
        <v/>
      </c>
      <c r="S1847" s="61" t="str">
        <f aca="false">IF(IsPro,IF($D1847="","",L1847-R1847),"")</f>
        <v/>
      </c>
      <c r="T1847" s="60" t="str">
        <f aca="false">IF(IsPro,IF($D1847="","",IF(U1847="","UNKNOWN ITEM",IF(INDEX(Items!$O$5:$O$504,U1847)&lt;0,"NEG STOCK",IF(K1847&lt;INDEX(Items!$P$5:$P$504,U1847),"BELOW COST","OK")))),IF($D1847="","","PRO PLAN"))</f>
        <v/>
      </c>
      <c r="U1847" s="60" t="str">
        <f aca="false">IF(IsPro,IF($D1847="","",IFERROR(MATCH($D1847,Items!$A$5:$A$504,0),"")),"")</f>
        <v/>
      </c>
      <c r="V1847" s="60" t="str">
        <f aca="false">IF(IsPro,IF($C1847="","",IFERROR(MATCH($C1847,Parties!$A$5:$A$304,0),"")),"")</f>
        <v/>
      </c>
      <c r="W1847" s="60" t="str">
        <f aca="false">IF(IsPro,IF($B1847="","",IFERROR(VALUE(SUBSTITUTE($B1847,InvPrefix,"")),0)),"")</f>
        <v/>
      </c>
      <c r="X1847" s="61" t="str">
        <f aca="false">IF(IsPro,IF($D1847="","",IF(OR($H1847="",$H1847="Credit"),0,Q1847)),"")</f>
        <v/>
      </c>
    </row>
    <row r="1848" customFormat="false" ht="15" hidden="false" customHeight="false" outlineLevel="0" collapsed="false">
      <c r="A1848" s="55"/>
      <c r="B1848" s="56"/>
      <c r="C1848" s="56"/>
      <c r="D1848" s="56"/>
      <c r="E1848" s="57"/>
      <c r="F1848" s="58"/>
      <c r="G1848" s="59"/>
      <c r="H1848" s="56"/>
      <c r="I1848" s="56"/>
      <c r="J1848" s="60" t="str">
        <f aca="false">IF(IsPro,IF($D1848="","",IFERROR(INDEX(Items!$D$5:$D$504,U1848),"")),"")</f>
        <v/>
      </c>
      <c r="K1848" s="61" t="str">
        <f aca="false">IF(IsPro,IF($D1848="","",IF($F1848="",IFERROR(INDEX(Items!$H$5:$H$504,U1848),0),$F1848)),"")</f>
        <v/>
      </c>
      <c r="L1848" s="61" t="str">
        <f aca="false">IF(IsPro,IF($D1848="","",ROUND(N($E1848)*K1848*(1-N($G1848)),2)),"")</f>
        <v/>
      </c>
      <c r="M1848" s="62" t="str">
        <f aca="false">IF(IsPro,IF($D1848="","",IFERROR(INDEX(Items!$F$5:$F$504,U1848),0)),"")</f>
        <v/>
      </c>
      <c r="N1848" s="61" t="str">
        <f aca="false">IF(IsPro,IF($D1848="","",IF(AND(V1848&lt;&gt;"",INDEX(Parties!$E$5:$E$304,V1848)&lt;&gt;"",INDEX(Parties!$E$5:$E$304,V1848)&lt;&gt;HomeState),0,ROUND(L1848*M1848/2,2))),"")</f>
        <v/>
      </c>
      <c r="O1848" s="61" t="str">
        <f aca="false">IF(IsPro,IF($D1848="","",N1848),"")</f>
        <v/>
      </c>
      <c r="P1848" s="61" t="str">
        <f aca="false">IF(IsPro,IF($D1848="","",IF(AND(V1848&lt;&gt;"",INDEX(Parties!$E$5:$E$304,V1848)&lt;&gt;"",INDEX(Parties!$E$5:$E$304,V1848)&lt;&gt;HomeState),ROUND(L1848*M1848,2),0)),"")</f>
        <v/>
      </c>
      <c r="Q1848" s="61" t="str">
        <f aca="false">IF(IsPro,IF($D1848="","",L1848+N1848+O1848+P1848),"")</f>
        <v/>
      </c>
      <c r="R1848" s="61" t="str">
        <f aca="false">IF(IsPro,IF($D1848="","",ROUND(N($E1848)*IFERROR(INDEX(Items!$P$5:$P$504,U1848),0),2)),"")</f>
        <v/>
      </c>
      <c r="S1848" s="61" t="str">
        <f aca="false">IF(IsPro,IF($D1848="","",L1848-R1848),"")</f>
        <v/>
      </c>
      <c r="T1848" s="60" t="str">
        <f aca="false">IF(IsPro,IF($D1848="","",IF(U1848="","UNKNOWN ITEM",IF(INDEX(Items!$O$5:$O$504,U1848)&lt;0,"NEG STOCK",IF(K1848&lt;INDEX(Items!$P$5:$P$504,U1848),"BELOW COST","OK")))),IF($D1848="","","PRO PLAN"))</f>
        <v/>
      </c>
      <c r="U1848" s="60" t="str">
        <f aca="false">IF(IsPro,IF($D1848="","",IFERROR(MATCH($D1848,Items!$A$5:$A$504,0),"")),"")</f>
        <v/>
      </c>
      <c r="V1848" s="60" t="str">
        <f aca="false">IF(IsPro,IF($C1848="","",IFERROR(MATCH($C1848,Parties!$A$5:$A$304,0),"")),"")</f>
        <v/>
      </c>
      <c r="W1848" s="60" t="str">
        <f aca="false">IF(IsPro,IF($B1848="","",IFERROR(VALUE(SUBSTITUTE($B1848,InvPrefix,"")),0)),"")</f>
        <v/>
      </c>
      <c r="X1848" s="61" t="str">
        <f aca="false">IF(IsPro,IF($D1848="","",IF(OR($H1848="",$H1848="Credit"),0,Q1848)),"")</f>
        <v/>
      </c>
    </row>
    <row r="1849" customFormat="false" ht="15" hidden="false" customHeight="false" outlineLevel="0" collapsed="false">
      <c r="A1849" s="55"/>
      <c r="B1849" s="56"/>
      <c r="C1849" s="56"/>
      <c r="D1849" s="56"/>
      <c r="E1849" s="57"/>
      <c r="F1849" s="58"/>
      <c r="G1849" s="59"/>
      <c r="H1849" s="56"/>
      <c r="I1849" s="56"/>
      <c r="J1849" s="60" t="str">
        <f aca="false">IF(IsPro,IF($D1849="","",IFERROR(INDEX(Items!$D$5:$D$504,U1849),"")),"")</f>
        <v/>
      </c>
      <c r="K1849" s="61" t="str">
        <f aca="false">IF(IsPro,IF($D1849="","",IF($F1849="",IFERROR(INDEX(Items!$H$5:$H$504,U1849),0),$F1849)),"")</f>
        <v/>
      </c>
      <c r="L1849" s="61" t="str">
        <f aca="false">IF(IsPro,IF($D1849="","",ROUND(N($E1849)*K1849*(1-N($G1849)),2)),"")</f>
        <v/>
      </c>
      <c r="M1849" s="62" t="str">
        <f aca="false">IF(IsPro,IF($D1849="","",IFERROR(INDEX(Items!$F$5:$F$504,U1849),0)),"")</f>
        <v/>
      </c>
      <c r="N1849" s="61" t="str">
        <f aca="false">IF(IsPro,IF($D1849="","",IF(AND(V1849&lt;&gt;"",INDEX(Parties!$E$5:$E$304,V1849)&lt;&gt;"",INDEX(Parties!$E$5:$E$304,V1849)&lt;&gt;HomeState),0,ROUND(L1849*M1849/2,2))),"")</f>
        <v/>
      </c>
      <c r="O1849" s="61" t="str">
        <f aca="false">IF(IsPro,IF($D1849="","",N1849),"")</f>
        <v/>
      </c>
      <c r="P1849" s="61" t="str">
        <f aca="false">IF(IsPro,IF($D1849="","",IF(AND(V1849&lt;&gt;"",INDEX(Parties!$E$5:$E$304,V1849)&lt;&gt;"",INDEX(Parties!$E$5:$E$304,V1849)&lt;&gt;HomeState),ROUND(L1849*M1849,2),0)),"")</f>
        <v/>
      </c>
      <c r="Q1849" s="61" t="str">
        <f aca="false">IF(IsPro,IF($D1849="","",L1849+N1849+O1849+P1849),"")</f>
        <v/>
      </c>
      <c r="R1849" s="61" t="str">
        <f aca="false">IF(IsPro,IF($D1849="","",ROUND(N($E1849)*IFERROR(INDEX(Items!$P$5:$P$504,U1849),0),2)),"")</f>
        <v/>
      </c>
      <c r="S1849" s="61" t="str">
        <f aca="false">IF(IsPro,IF($D1849="","",L1849-R1849),"")</f>
        <v/>
      </c>
      <c r="T1849" s="60" t="str">
        <f aca="false">IF(IsPro,IF($D1849="","",IF(U1849="","UNKNOWN ITEM",IF(INDEX(Items!$O$5:$O$504,U1849)&lt;0,"NEG STOCK",IF(K1849&lt;INDEX(Items!$P$5:$P$504,U1849),"BELOW COST","OK")))),IF($D1849="","","PRO PLAN"))</f>
        <v/>
      </c>
      <c r="U1849" s="60" t="str">
        <f aca="false">IF(IsPro,IF($D1849="","",IFERROR(MATCH($D1849,Items!$A$5:$A$504,0),"")),"")</f>
        <v/>
      </c>
      <c r="V1849" s="60" t="str">
        <f aca="false">IF(IsPro,IF($C1849="","",IFERROR(MATCH($C1849,Parties!$A$5:$A$304,0),"")),"")</f>
        <v/>
      </c>
      <c r="W1849" s="60" t="str">
        <f aca="false">IF(IsPro,IF($B1849="","",IFERROR(VALUE(SUBSTITUTE($B1849,InvPrefix,"")),0)),"")</f>
        <v/>
      </c>
      <c r="X1849" s="61" t="str">
        <f aca="false">IF(IsPro,IF($D1849="","",IF(OR($H1849="",$H1849="Credit"),0,Q1849)),"")</f>
        <v/>
      </c>
    </row>
    <row r="1850" customFormat="false" ht="15" hidden="false" customHeight="false" outlineLevel="0" collapsed="false">
      <c r="A1850" s="55"/>
      <c r="B1850" s="56"/>
      <c r="C1850" s="56"/>
      <c r="D1850" s="56"/>
      <c r="E1850" s="57"/>
      <c r="F1850" s="58"/>
      <c r="G1850" s="59"/>
      <c r="H1850" s="56"/>
      <c r="I1850" s="56"/>
      <c r="J1850" s="60" t="str">
        <f aca="false">IF(IsPro,IF($D1850="","",IFERROR(INDEX(Items!$D$5:$D$504,U1850),"")),"")</f>
        <v/>
      </c>
      <c r="K1850" s="61" t="str">
        <f aca="false">IF(IsPro,IF($D1850="","",IF($F1850="",IFERROR(INDEX(Items!$H$5:$H$504,U1850),0),$F1850)),"")</f>
        <v/>
      </c>
      <c r="L1850" s="61" t="str">
        <f aca="false">IF(IsPro,IF($D1850="","",ROUND(N($E1850)*K1850*(1-N($G1850)),2)),"")</f>
        <v/>
      </c>
      <c r="M1850" s="62" t="str">
        <f aca="false">IF(IsPro,IF($D1850="","",IFERROR(INDEX(Items!$F$5:$F$504,U1850),0)),"")</f>
        <v/>
      </c>
      <c r="N1850" s="61" t="str">
        <f aca="false">IF(IsPro,IF($D1850="","",IF(AND(V1850&lt;&gt;"",INDEX(Parties!$E$5:$E$304,V1850)&lt;&gt;"",INDEX(Parties!$E$5:$E$304,V1850)&lt;&gt;HomeState),0,ROUND(L1850*M1850/2,2))),"")</f>
        <v/>
      </c>
      <c r="O1850" s="61" t="str">
        <f aca="false">IF(IsPro,IF($D1850="","",N1850),"")</f>
        <v/>
      </c>
      <c r="P1850" s="61" t="str">
        <f aca="false">IF(IsPro,IF($D1850="","",IF(AND(V1850&lt;&gt;"",INDEX(Parties!$E$5:$E$304,V1850)&lt;&gt;"",INDEX(Parties!$E$5:$E$304,V1850)&lt;&gt;HomeState),ROUND(L1850*M1850,2),0)),"")</f>
        <v/>
      </c>
      <c r="Q1850" s="61" t="str">
        <f aca="false">IF(IsPro,IF($D1850="","",L1850+N1850+O1850+P1850),"")</f>
        <v/>
      </c>
      <c r="R1850" s="61" t="str">
        <f aca="false">IF(IsPro,IF($D1850="","",ROUND(N($E1850)*IFERROR(INDEX(Items!$P$5:$P$504,U1850),0),2)),"")</f>
        <v/>
      </c>
      <c r="S1850" s="61" t="str">
        <f aca="false">IF(IsPro,IF($D1850="","",L1850-R1850),"")</f>
        <v/>
      </c>
      <c r="T1850" s="60" t="str">
        <f aca="false">IF(IsPro,IF($D1850="","",IF(U1850="","UNKNOWN ITEM",IF(INDEX(Items!$O$5:$O$504,U1850)&lt;0,"NEG STOCK",IF(K1850&lt;INDEX(Items!$P$5:$P$504,U1850),"BELOW COST","OK")))),IF($D1850="","","PRO PLAN"))</f>
        <v/>
      </c>
      <c r="U1850" s="60" t="str">
        <f aca="false">IF(IsPro,IF($D1850="","",IFERROR(MATCH($D1850,Items!$A$5:$A$504,0),"")),"")</f>
        <v/>
      </c>
      <c r="V1850" s="60" t="str">
        <f aca="false">IF(IsPro,IF($C1850="","",IFERROR(MATCH($C1850,Parties!$A$5:$A$304,0),"")),"")</f>
        <v/>
      </c>
      <c r="W1850" s="60" t="str">
        <f aca="false">IF(IsPro,IF($B1850="","",IFERROR(VALUE(SUBSTITUTE($B1850,InvPrefix,"")),0)),"")</f>
        <v/>
      </c>
      <c r="X1850" s="61" t="str">
        <f aca="false">IF(IsPro,IF($D1850="","",IF(OR($H1850="",$H1850="Credit"),0,Q1850)),"")</f>
        <v/>
      </c>
    </row>
    <row r="1851" customFormat="false" ht="15" hidden="false" customHeight="false" outlineLevel="0" collapsed="false">
      <c r="A1851" s="55"/>
      <c r="B1851" s="56"/>
      <c r="C1851" s="56"/>
      <c r="D1851" s="56"/>
      <c r="E1851" s="57"/>
      <c r="F1851" s="58"/>
      <c r="G1851" s="59"/>
      <c r="H1851" s="56"/>
      <c r="I1851" s="56"/>
      <c r="J1851" s="60" t="str">
        <f aca="false">IF(IsPro,IF($D1851="","",IFERROR(INDEX(Items!$D$5:$D$504,U1851),"")),"")</f>
        <v/>
      </c>
      <c r="K1851" s="61" t="str">
        <f aca="false">IF(IsPro,IF($D1851="","",IF($F1851="",IFERROR(INDEX(Items!$H$5:$H$504,U1851),0),$F1851)),"")</f>
        <v/>
      </c>
      <c r="L1851" s="61" t="str">
        <f aca="false">IF(IsPro,IF($D1851="","",ROUND(N($E1851)*K1851*(1-N($G1851)),2)),"")</f>
        <v/>
      </c>
      <c r="M1851" s="62" t="str">
        <f aca="false">IF(IsPro,IF($D1851="","",IFERROR(INDEX(Items!$F$5:$F$504,U1851),0)),"")</f>
        <v/>
      </c>
      <c r="N1851" s="61" t="str">
        <f aca="false">IF(IsPro,IF($D1851="","",IF(AND(V1851&lt;&gt;"",INDEX(Parties!$E$5:$E$304,V1851)&lt;&gt;"",INDEX(Parties!$E$5:$E$304,V1851)&lt;&gt;HomeState),0,ROUND(L1851*M1851/2,2))),"")</f>
        <v/>
      </c>
      <c r="O1851" s="61" t="str">
        <f aca="false">IF(IsPro,IF($D1851="","",N1851),"")</f>
        <v/>
      </c>
      <c r="P1851" s="61" t="str">
        <f aca="false">IF(IsPro,IF($D1851="","",IF(AND(V1851&lt;&gt;"",INDEX(Parties!$E$5:$E$304,V1851)&lt;&gt;"",INDEX(Parties!$E$5:$E$304,V1851)&lt;&gt;HomeState),ROUND(L1851*M1851,2),0)),"")</f>
        <v/>
      </c>
      <c r="Q1851" s="61" t="str">
        <f aca="false">IF(IsPro,IF($D1851="","",L1851+N1851+O1851+P1851),"")</f>
        <v/>
      </c>
      <c r="R1851" s="61" t="str">
        <f aca="false">IF(IsPro,IF($D1851="","",ROUND(N($E1851)*IFERROR(INDEX(Items!$P$5:$P$504,U1851),0),2)),"")</f>
        <v/>
      </c>
      <c r="S1851" s="61" t="str">
        <f aca="false">IF(IsPro,IF($D1851="","",L1851-R1851),"")</f>
        <v/>
      </c>
      <c r="T1851" s="60" t="str">
        <f aca="false">IF(IsPro,IF($D1851="","",IF(U1851="","UNKNOWN ITEM",IF(INDEX(Items!$O$5:$O$504,U1851)&lt;0,"NEG STOCK",IF(K1851&lt;INDEX(Items!$P$5:$P$504,U1851),"BELOW COST","OK")))),IF($D1851="","","PRO PLAN"))</f>
        <v/>
      </c>
      <c r="U1851" s="60" t="str">
        <f aca="false">IF(IsPro,IF($D1851="","",IFERROR(MATCH($D1851,Items!$A$5:$A$504,0),"")),"")</f>
        <v/>
      </c>
      <c r="V1851" s="60" t="str">
        <f aca="false">IF(IsPro,IF($C1851="","",IFERROR(MATCH($C1851,Parties!$A$5:$A$304,0),"")),"")</f>
        <v/>
      </c>
      <c r="W1851" s="60" t="str">
        <f aca="false">IF(IsPro,IF($B1851="","",IFERROR(VALUE(SUBSTITUTE($B1851,InvPrefix,"")),0)),"")</f>
        <v/>
      </c>
      <c r="X1851" s="61" t="str">
        <f aca="false">IF(IsPro,IF($D1851="","",IF(OR($H1851="",$H1851="Credit"),0,Q1851)),"")</f>
        <v/>
      </c>
    </row>
    <row r="1852" customFormat="false" ht="15" hidden="false" customHeight="false" outlineLevel="0" collapsed="false">
      <c r="A1852" s="55"/>
      <c r="B1852" s="56"/>
      <c r="C1852" s="56"/>
      <c r="D1852" s="56"/>
      <c r="E1852" s="57"/>
      <c r="F1852" s="58"/>
      <c r="G1852" s="59"/>
      <c r="H1852" s="56"/>
      <c r="I1852" s="56"/>
      <c r="J1852" s="60" t="str">
        <f aca="false">IF(IsPro,IF($D1852="","",IFERROR(INDEX(Items!$D$5:$D$504,U1852),"")),"")</f>
        <v/>
      </c>
      <c r="K1852" s="61" t="str">
        <f aca="false">IF(IsPro,IF($D1852="","",IF($F1852="",IFERROR(INDEX(Items!$H$5:$H$504,U1852),0),$F1852)),"")</f>
        <v/>
      </c>
      <c r="L1852" s="61" t="str">
        <f aca="false">IF(IsPro,IF($D1852="","",ROUND(N($E1852)*K1852*(1-N($G1852)),2)),"")</f>
        <v/>
      </c>
      <c r="M1852" s="62" t="str">
        <f aca="false">IF(IsPro,IF($D1852="","",IFERROR(INDEX(Items!$F$5:$F$504,U1852),0)),"")</f>
        <v/>
      </c>
      <c r="N1852" s="61" t="str">
        <f aca="false">IF(IsPro,IF($D1852="","",IF(AND(V1852&lt;&gt;"",INDEX(Parties!$E$5:$E$304,V1852)&lt;&gt;"",INDEX(Parties!$E$5:$E$304,V1852)&lt;&gt;HomeState),0,ROUND(L1852*M1852/2,2))),"")</f>
        <v/>
      </c>
      <c r="O1852" s="61" t="str">
        <f aca="false">IF(IsPro,IF($D1852="","",N1852),"")</f>
        <v/>
      </c>
      <c r="P1852" s="61" t="str">
        <f aca="false">IF(IsPro,IF($D1852="","",IF(AND(V1852&lt;&gt;"",INDEX(Parties!$E$5:$E$304,V1852)&lt;&gt;"",INDEX(Parties!$E$5:$E$304,V1852)&lt;&gt;HomeState),ROUND(L1852*M1852,2),0)),"")</f>
        <v/>
      </c>
      <c r="Q1852" s="61" t="str">
        <f aca="false">IF(IsPro,IF($D1852="","",L1852+N1852+O1852+P1852),"")</f>
        <v/>
      </c>
      <c r="R1852" s="61" t="str">
        <f aca="false">IF(IsPro,IF($D1852="","",ROUND(N($E1852)*IFERROR(INDEX(Items!$P$5:$P$504,U1852),0),2)),"")</f>
        <v/>
      </c>
      <c r="S1852" s="61" t="str">
        <f aca="false">IF(IsPro,IF($D1852="","",L1852-R1852),"")</f>
        <v/>
      </c>
      <c r="T1852" s="60" t="str">
        <f aca="false">IF(IsPro,IF($D1852="","",IF(U1852="","UNKNOWN ITEM",IF(INDEX(Items!$O$5:$O$504,U1852)&lt;0,"NEG STOCK",IF(K1852&lt;INDEX(Items!$P$5:$P$504,U1852),"BELOW COST","OK")))),IF($D1852="","","PRO PLAN"))</f>
        <v/>
      </c>
      <c r="U1852" s="60" t="str">
        <f aca="false">IF(IsPro,IF($D1852="","",IFERROR(MATCH($D1852,Items!$A$5:$A$504,0),"")),"")</f>
        <v/>
      </c>
      <c r="V1852" s="60" t="str">
        <f aca="false">IF(IsPro,IF($C1852="","",IFERROR(MATCH($C1852,Parties!$A$5:$A$304,0),"")),"")</f>
        <v/>
      </c>
      <c r="W1852" s="60" t="str">
        <f aca="false">IF(IsPro,IF($B1852="","",IFERROR(VALUE(SUBSTITUTE($B1852,InvPrefix,"")),0)),"")</f>
        <v/>
      </c>
      <c r="X1852" s="61" t="str">
        <f aca="false">IF(IsPro,IF($D1852="","",IF(OR($H1852="",$H1852="Credit"),0,Q1852)),"")</f>
        <v/>
      </c>
    </row>
    <row r="1853" customFormat="false" ht="15" hidden="false" customHeight="false" outlineLevel="0" collapsed="false">
      <c r="A1853" s="55"/>
      <c r="B1853" s="56"/>
      <c r="C1853" s="56"/>
      <c r="D1853" s="56"/>
      <c r="E1853" s="57"/>
      <c r="F1853" s="58"/>
      <c r="G1853" s="59"/>
      <c r="H1853" s="56"/>
      <c r="I1853" s="56"/>
      <c r="J1853" s="60" t="str">
        <f aca="false">IF(IsPro,IF($D1853="","",IFERROR(INDEX(Items!$D$5:$D$504,U1853),"")),"")</f>
        <v/>
      </c>
      <c r="K1853" s="61" t="str">
        <f aca="false">IF(IsPro,IF($D1853="","",IF($F1853="",IFERROR(INDEX(Items!$H$5:$H$504,U1853),0),$F1853)),"")</f>
        <v/>
      </c>
      <c r="L1853" s="61" t="str">
        <f aca="false">IF(IsPro,IF($D1853="","",ROUND(N($E1853)*K1853*(1-N($G1853)),2)),"")</f>
        <v/>
      </c>
      <c r="M1853" s="62" t="str">
        <f aca="false">IF(IsPro,IF($D1853="","",IFERROR(INDEX(Items!$F$5:$F$504,U1853),0)),"")</f>
        <v/>
      </c>
      <c r="N1853" s="61" t="str">
        <f aca="false">IF(IsPro,IF($D1853="","",IF(AND(V1853&lt;&gt;"",INDEX(Parties!$E$5:$E$304,V1853)&lt;&gt;"",INDEX(Parties!$E$5:$E$304,V1853)&lt;&gt;HomeState),0,ROUND(L1853*M1853/2,2))),"")</f>
        <v/>
      </c>
      <c r="O1853" s="61" t="str">
        <f aca="false">IF(IsPro,IF($D1853="","",N1853),"")</f>
        <v/>
      </c>
      <c r="P1853" s="61" t="str">
        <f aca="false">IF(IsPro,IF($D1853="","",IF(AND(V1853&lt;&gt;"",INDEX(Parties!$E$5:$E$304,V1853)&lt;&gt;"",INDEX(Parties!$E$5:$E$304,V1853)&lt;&gt;HomeState),ROUND(L1853*M1853,2),0)),"")</f>
        <v/>
      </c>
      <c r="Q1853" s="61" t="str">
        <f aca="false">IF(IsPro,IF($D1853="","",L1853+N1853+O1853+P1853),"")</f>
        <v/>
      </c>
      <c r="R1853" s="61" t="str">
        <f aca="false">IF(IsPro,IF($D1853="","",ROUND(N($E1853)*IFERROR(INDEX(Items!$P$5:$P$504,U1853),0),2)),"")</f>
        <v/>
      </c>
      <c r="S1853" s="61" t="str">
        <f aca="false">IF(IsPro,IF($D1853="","",L1853-R1853),"")</f>
        <v/>
      </c>
      <c r="T1853" s="60" t="str">
        <f aca="false">IF(IsPro,IF($D1853="","",IF(U1853="","UNKNOWN ITEM",IF(INDEX(Items!$O$5:$O$504,U1853)&lt;0,"NEG STOCK",IF(K1853&lt;INDEX(Items!$P$5:$P$504,U1853),"BELOW COST","OK")))),IF($D1853="","","PRO PLAN"))</f>
        <v/>
      </c>
      <c r="U1853" s="60" t="str">
        <f aca="false">IF(IsPro,IF($D1853="","",IFERROR(MATCH($D1853,Items!$A$5:$A$504,0),"")),"")</f>
        <v/>
      </c>
      <c r="V1853" s="60" t="str">
        <f aca="false">IF(IsPro,IF($C1853="","",IFERROR(MATCH($C1853,Parties!$A$5:$A$304,0),"")),"")</f>
        <v/>
      </c>
      <c r="W1853" s="60" t="str">
        <f aca="false">IF(IsPro,IF($B1853="","",IFERROR(VALUE(SUBSTITUTE($B1853,InvPrefix,"")),0)),"")</f>
        <v/>
      </c>
      <c r="X1853" s="61" t="str">
        <f aca="false">IF(IsPro,IF($D1853="","",IF(OR($H1853="",$H1853="Credit"),0,Q1853)),"")</f>
        <v/>
      </c>
    </row>
    <row r="1854" customFormat="false" ht="15" hidden="false" customHeight="false" outlineLevel="0" collapsed="false">
      <c r="A1854" s="55"/>
      <c r="B1854" s="56"/>
      <c r="C1854" s="56"/>
      <c r="D1854" s="56"/>
      <c r="E1854" s="57"/>
      <c r="F1854" s="58"/>
      <c r="G1854" s="59"/>
      <c r="H1854" s="56"/>
      <c r="I1854" s="56"/>
      <c r="J1854" s="60" t="str">
        <f aca="false">IF(IsPro,IF($D1854="","",IFERROR(INDEX(Items!$D$5:$D$504,U1854),"")),"")</f>
        <v/>
      </c>
      <c r="K1854" s="61" t="str">
        <f aca="false">IF(IsPro,IF($D1854="","",IF($F1854="",IFERROR(INDEX(Items!$H$5:$H$504,U1854),0),$F1854)),"")</f>
        <v/>
      </c>
      <c r="L1854" s="61" t="str">
        <f aca="false">IF(IsPro,IF($D1854="","",ROUND(N($E1854)*K1854*(1-N($G1854)),2)),"")</f>
        <v/>
      </c>
      <c r="M1854" s="62" t="str">
        <f aca="false">IF(IsPro,IF($D1854="","",IFERROR(INDEX(Items!$F$5:$F$504,U1854),0)),"")</f>
        <v/>
      </c>
      <c r="N1854" s="61" t="str">
        <f aca="false">IF(IsPro,IF($D1854="","",IF(AND(V1854&lt;&gt;"",INDEX(Parties!$E$5:$E$304,V1854)&lt;&gt;"",INDEX(Parties!$E$5:$E$304,V1854)&lt;&gt;HomeState),0,ROUND(L1854*M1854/2,2))),"")</f>
        <v/>
      </c>
      <c r="O1854" s="61" t="str">
        <f aca="false">IF(IsPro,IF($D1854="","",N1854),"")</f>
        <v/>
      </c>
      <c r="P1854" s="61" t="str">
        <f aca="false">IF(IsPro,IF($D1854="","",IF(AND(V1854&lt;&gt;"",INDEX(Parties!$E$5:$E$304,V1854)&lt;&gt;"",INDEX(Parties!$E$5:$E$304,V1854)&lt;&gt;HomeState),ROUND(L1854*M1854,2),0)),"")</f>
        <v/>
      </c>
      <c r="Q1854" s="61" t="str">
        <f aca="false">IF(IsPro,IF($D1854="","",L1854+N1854+O1854+P1854),"")</f>
        <v/>
      </c>
      <c r="R1854" s="61" t="str">
        <f aca="false">IF(IsPro,IF($D1854="","",ROUND(N($E1854)*IFERROR(INDEX(Items!$P$5:$P$504,U1854),0),2)),"")</f>
        <v/>
      </c>
      <c r="S1854" s="61" t="str">
        <f aca="false">IF(IsPro,IF($D1854="","",L1854-R1854),"")</f>
        <v/>
      </c>
      <c r="T1854" s="60" t="str">
        <f aca="false">IF(IsPro,IF($D1854="","",IF(U1854="","UNKNOWN ITEM",IF(INDEX(Items!$O$5:$O$504,U1854)&lt;0,"NEG STOCK",IF(K1854&lt;INDEX(Items!$P$5:$P$504,U1854),"BELOW COST","OK")))),IF($D1854="","","PRO PLAN"))</f>
        <v/>
      </c>
      <c r="U1854" s="60" t="str">
        <f aca="false">IF(IsPro,IF($D1854="","",IFERROR(MATCH($D1854,Items!$A$5:$A$504,0),"")),"")</f>
        <v/>
      </c>
      <c r="V1854" s="60" t="str">
        <f aca="false">IF(IsPro,IF($C1854="","",IFERROR(MATCH($C1854,Parties!$A$5:$A$304,0),"")),"")</f>
        <v/>
      </c>
      <c r="W1854" s="60" t="str">
        <f aca="false">IF(IsPro,IF($B1854="","",IFERROR(VALUE(SUBSTITUTE($B1854,InvPrefix,"")),0)),"")</f>
        <v/>
      </c>
      <c r="X1854" s="61" t="str">
        <f aca="false">IF(IsPro,IF($D1854="","",IF(OR($H1854="",$H1854="Credit"),0,Q1854)),"")</f>
        <v/>
      </c>
    </row>
    <row r="1855" customFormat="false" ht="15" hidden="false" customHeight="false" outlineLevel="0" collapsed="false">
      <c r="A1855" s="55"/>
      <c r="B1855" s="56"/>
      <c r="C1855" s="56"/>
      <c r="D1855" s="56"/>
      <c r="E1855" s="57"/>
      <c r="F1855" s="58"/>
      <c r="G1855" s="59"/>
      <c r="H1855" s="56"/>
      <c r="I1855" s="56"/>
      <c r="J1855" s="60" t="str">
        <f aca="false">IF(IsPro,IF($D1855="","",IFERROR(INDEX(Items!$D$5:$D$504,U1855),"")),"")</f>
        <v/>
      </c>
      <c r="K1855" s="61" t="str">
        <f aca="false">IF(IsPro,IF($D1855="","",IF($F1855="",IFERROR(INDEX(Items!$H$5:$H$504,U1855),0),$F1855)),"")</f>
        <v/>
      </c>
      <c r="L1855" s="61" t="str">
        <f aca="false">IF(IsPro,IF($D1855="","",ROUND(N($E1855)*K1855*(1-N($G1855)),2)),"")</f>
        <v/>
      </c>
      <c r="M1855" s="62" t="str">
        <f aca="false">IF(IsPro,IF($D1855="","",IFERROR(INDEX(Items!$F$5:$F$504,U1855),0)),"")</f>
        <v/>
      </c>
      <c r="N1855" s="61" t="str">
        <f aca="false">IF(IsPro,IF($D1855="","",IF(AND(V1855&lt;&gt;"",INDEX(Parties!$E$5:$E$304,V1855)&lt;&gt;"",INDEX(Parties!$E$5:$E$304,V1855)&lt;&gt;HomeState),0,ROUND(L1855*M1855/2,2))),"")</f>
        <v/>
      </c>
      <c r="O1855" s="61" t="str">
        <f aca="false">IF(IsPro,IF($D1855="","",N1855),"")</f>
        <v/>
      </c>
      <c r="P1855" s="61" t="str">
        <f aca="false">IF(IsPro,IF($D1855="","",IF(AND(V1855&lt;&gt;"",INDEX(Parties!$E$5:$E$304,V1855)&lt;&gt;"",INDEX(Parties!$E$5:$E$304,V1855)&lt;&gt;HomeState),ROUND(L1855*M1855,2),0)),"")</f>
        <v/>
      </c>
      <c r="Q1855" s="61" t="str">
        <f aca="false">IF(IsPro,IF($D1855="","",L1855+N1855+O1855+P1855),"")</f>
        <v/>
      </c>
      <c r="R1855" s="61" t="str">
        <f aca="false">IF(IsPro,IF($D1855="","",ROUND(N($E1855)*IFERROR(INDEX(Items!$P$5:$P$504,U1855),0),2)),"")</f>
        <v/>
      </c>
      <c r="S1855" s="61" t="str">
        <f aca="false">IF(IsPro,IF($D1855="","",L1855-R1855),"")</f>
        <v/>
      </c>
      <c r="T1855" s="60" t="str">
        <f aca="false">IF(IsPro,IF($D1855="","",IF(U1855="","UNKNOWN ITEM",IF(INDEX(Items!$O$5:$O$504,U1855)&lt;0,"NEG STOCK",IF(K1855&lt;INDEX(Items!$P$5:$P$504,U1855),"BELOW COST","OK")))),IF($D1855="","","PRO PLAN"))</f>
        <v/>
      </c>
      <c r="U1855" s="60" t="str">
        <f aca="false">IF(IsPro,IF($D1855="","",IFERROR(MATCH($D1855,Items!$A$5:$A$504,0),"")),"")</f>
        <v/>
      </c>
      <c r="V1855" s="60" t="str">
        <f aca="false">IF(IsPro,IF($C1855="","",IFERROR(MATCH($C1855,Parties!$A$5:$A$304,0),"")),"")</f>
        <v/>
      </c>
      <c r="W1855" s="60" t="str">
        <f aca="false">IF(IsPro,IF($B1855="","",IFERROR(VALUE(SUBSTITUTE($B1855,InvPrefix,"")),0)),"")</f>
        <v/>
      </c>
      <c r="X1855" s="61" t="str">
        <f aca="false">IF(IsPro,IF($D1855="","",IF(OR($H1855="",$H1855="Credit"),0,Q1855)),"")</f>
        <v/>
      </c>
    </row>
    <row r="1856" customFormat="false" ht="15" hidden="false" customHeight="false" outlineLevel="0" collapsed="false">
      <c r="A1856" s="55"/>
      <c r="B1856" s="56"/>
      <c r="C1856" s="56"/>
      <c r="D1856" s="56"/>
      <c r="E1856" s="57"/>
      <c r="F1856" s="58"/>
      <c r="G1856" s="59"/>
      <c r="H1856" s="56"/>
      <c r="I1856" s="56"/>
      <c r="J1856" s="60" t="str">
        <f aca="false">IF(IsPro,IF($D1856="","",IFERROR(INDEX(Items!$D$5:$D$504,U1856),"")),"")</f>
        <v/>
      </c>
      <c r="K1856" s="61" t="str">
        <f aca="false">IF(IsPro,IF($D1856="","",IF($F1856="",IFERROR(INDEX(Items!$H$5:$H$504,U1856),0),$F1856)),"")</f>
        <v/>
      </c>
      <c r="L1856" s="61" t="str">
        <f aca="false">IF(IsPro,IF($D1856="","",ROUND(N($E1856)*K1856*(1-N($G1856)),2)),"")</f>
        <v/>
      </c>
      <c r="M1856" s="62" t="str">
        <f aca="false">IF(IsPro,IF($D1856="","",IFERROR(INDEX(Items!$F$5:$F$504,U1856),0)),"")</f>
        <v/>
      </c>
      <c r="N1856" s="61" t="str">
        <f aca="false">IF(IsPro,IF($D1856="","",IF(AND(V1856&lt;&gt;"",INDEX(Parties!$E$5:$E$304,V1856)&lt;&gt;"",INDEX(Parties!$E$5:$E$304,V1856)&lt;&gt;HomeState),0,ROUND(L1856*M1856/2,2))),"")</f>
        <v/>
      </c>
      <c r="O1856" s="61" t="str">
        <f aca="false">IF(IsPro,IF($D1856="","",N1856),"")</f>
        <v/>
      </c>
      <c r="P1856" s="61" t="str">
        <f aca="false">IF(IsPro,IF($D1856="","",IF(AND(V1856&lt;&gt;"",INDEX(Parties!$E$5:$E$304,V1856)&lt;&gt;"",INDEX(Parties!$E$5:$E$304,V1856)&lt;&gt;HomeState),ROUND(L1856*M1856,2),0)),"")</f>
        <v/>
      </c>
      <c r="Q1856" s="61" t="str">
        <f aca="false">IF(IsPro,IF($D1856="","",L1856+N1856+O1856+P1856),"")</f>
        <v/>
      </c>
      <c r="R1856" s="61" t="str">
        <f aca="false">IF(IsPro,IF($D1856="","",ROUND(N($E1856)*IFERROR(INDEX(Items!$P$5:$P$504,U1856),0),2)),"")</f>
        <v/>
      </c>
      <c r="S1856" s="61" t="str">
        <f aca="false">IF(IsPro,IF($D1856="","",L1856-R1856),"")</f>
        <v/>
      </c>
      <c r="T1856" s="60" t="str">
        <f aca="false">IF(IsPro,IF($D1856="","",IF(U1856="","UNKNOWN ITEM",IF(INDEX(Items!$O$5:$O$504,U1856)&lt;0,"NEG STOCK",IF(K1856&lt;INDEX(Items!$P$5:$P$504,U1856),"BELOW COST","OK")))),IF($D1856="","","PRO PLAN"))</f>
        <v/>
      </c>
      <c r="U1856" s="60" t="str">
        <f aca="false">IF(IsPro,IF($D1856="","",IFERROR(MATCH($D1856,Items!$A$5:$A$504,0),"")),"")</f>
        <v/>
      </c>
      <c r="V1856" s="60" t="str">
        <f aca="false">IF(IsPro,IF($C1856="","",IFERROR(MATCH($C1856,Parties!$A$5:$A$304,0),"")),"")</f>
        <v/>
      </c>
      <c r="W1856" s="60" t="str">
        <f aca="false">IF(IsPro,IF($B1856="","",IFERROR(VALUE(SUBSTITUTE($B1856,InvPrefix,"")),0)),"")</f>
        <v/>
      </c>
      <c r="X1856" s="61" t="str">
        <f aca="false">IF(IsPro,IF($D1856="","",IF(OR($H1856="",$H1856="Credit"),0,Q1856)),"")</f>
        <v/>
      </c>
    </row>
    <row r="1857" customFormat="false" ht="15" hidden="false" customHeight="false" outlineLevel="0" collapsed="false">
      <c r="A1857" s="55"/>
      <c r="B1857" s="56"/>
      <c r="C1857" s="56"/>
      <c r="D1857" s="56"/>
      <c r="E1857" s="57"/>
      <c r="F1857" s="58"/>
      <c r="G1857" s="59"/>
      <c r="H1857" s="56"/>
      <c r="I1857" s="56"/>
      <c r="J1857" s="60" t="str">
        <f aca="false">IF(IsPro,IF($D1857="","",IFERROR(INDEX(Items!$D$5:$D$504,U1857),"")),"")</f>
        <v/>
      </c>
      <c r="K1857" s="61" t="str">
        <f aca="false">IF(IsPro,IF($D1857="","",IF($F1857="",IFERROR(INDEX(Items!$H$5:$H$504,U1857),0),$F1857)),"")</f>
        <v/>
      </c>
      <c r="L1857" s="61" t="str">
        <f aca="false">IF(IsPro,IF($D1857="","",ROUND(N($E1857)*K1857*(1-N($G1857)),2)),"")</f>
        <v/>
      </c>
      <c r="M1857" s="62" t="str">
        <f aca="false">IF(IsPro,IF($D1857="","",IFERROR(INDEX(Items!$F$5:$F$504,U1857),0)),"")</f>
        <v/>
      </c>
      <c r="N1857" s="61" t="str">
        <f aca="false">IF(IsPro,IF($D1857="","",IF(AND(V1857&lt;&gt;"",INDEX(Parties!$E$5:$E$304,V1857)&lt;&gt;"",INDEX(Parties!$E$5:$E$304,V1857)&lt;&gt;HomeState),0,ROUND(L1857*M1857/2,2))),"")</f>
        <v/>
      </c>
      <c r="O1857" s="61" t="str">
        <f aca="false">IF(IsPro,IF($D1857="","",N1857),"")</f>
        <v/>
      </c>
      <c r="P1857" s="61" t="str">
        <f aca="false">IF(IsPro,IF($D1857="","",IF(AND(V1857&lt;&gt;"",INDEX(Parties!$E$5:$E$304,V1857)&lt;&gt;"",INDEX(Parties!$E$5:$E$304,V1857)&lt;&gt;HomeState),ROUND(L1857*M1857,2),0)),"")</f>
        <v/>
      </c>
      <c r="Q1857" s="61" t="str">
        <f aca="false">IF(IsPro,IF($D1857="","",L1857+N1857+O1857+P1857),"")</f>
        <v/>
      </c>
      <c r="R1857" s="61" t="str">
        <f aca="false">IF(IsPro,IF($D1857="","",ROUND(N($E1857)*IFERROR(INDEX(Items!$P$5:$P$504,U1857),0),2)),"")</f>
        <v/>
      </c>
      <c r="S1857" s="61" t="str">
        <f aca="false">IF(IsPro,IF($D1857="","",L1857-R1857),"")</f>
        <v/>
      </c>
      <c r="T1857" s="60" t="str">
        <f aca="false">IF(IsPro,IF($D1857="","",IF(U1857="","UNKNOWN ITEM",IF(INDEX(Items!$O$5:$O$504,U1857)&lt;0,"NEG STOCK",IF(K1857&lt;INDEX(Items!$P$5:$P$504,U1857),"BELOW COST","OK")))),IF($D1857="","","PRO PLAN"))</f>
        <v/>
      </c>
      <c r="U1857" s="60" t="str">
        <f aca="false">IF(IsPro,IF($D1857="","",IFERROR(MATCH($D1857,Items!$A$5:$A$504,0),"")),"")</f>
        <v/>
      </c>
      <c r="V1857" s="60" t="str">
        <f aca="false">IF(IsPro,IF($C1857="","",IFERROR(MATCH($C1857,Parties!$A$5:$A$304,0),"")),"")</f>
        <v/>
      </c>
      <c r="W1857" s="60" t="str">
        <f aca="false">IF(IsPro,IF($B1857="","",IFERROR(VALUE(SUBSTITUTE($B1857,InvPrefix,"")),0)),"")</f>
        <v/>
      </c>
      <c r="X1857" s="61" t="str">
        <f aca="false">IF(IsPro,IF($D1857="","",IF(OR($H1857="",$H1857="Credit"),0,Q1857)),"")</f>
        <v/>
      </c>
    </row>
    <row r="1858" customFormat="false" ht="15" hidden="false" customHeight="false" outlineLevel="0" collapsed="false">
      <c r="A1858" s="55"/>
      <c r="B1858" s="56"/>
      <c r="C1858" s="56"/>
      <c r="D1858" s="56"/>
      <c r="E1858" s="57"/>
      <c r="F1858" s="58"/>
      <c r="G1858" s="59"/>
      <c r="H1858" s="56"/>
      <c r="I1858" s="56"/>
      <c r="J1858" s="60" t="str">
        <f aca="false">IF(IsPro,IF($D1858="","",IFERROR(INDEX(Items!$D$5:$D$504,U1858),"")),"")</f>
        <v/>
      </c>
      <c r="K1858" s="61" t="str">
        <f aca="false">IF(IsPro,IF($D1858="","",IF($F1858="",IFERROR(INDEX(Items!$H$5:$H$504,U1858),0),$F1858)),"")</f>
        <v/>
      </c>
      <c r="L1858" s="61" t="str">
        <f aca="false">IF(IsPro,IF($D1858="","",ROUND(N($E1858)*K1858*(1-N($G1858)),2)),"")</f>
        <v/>
      </c>
      <c r="M1858" s="62" t="str">
        <f aca="false">IF(IsPro,IF($D1858="","",IFERROR(INDEX(Items!$F$5:$F$504,U1858),0)),"")</f>
        <v/>
      </c>
      <c r="N1858" s="61" t="str">
        <f aca="false">IF(IsPro,IF($D1858="","",IF(AND(V1858&lt;&gt;"",INDEX(Parties!$E$5:$E$304,V1858)&lt;&gt;"",INDEX(Parties!$E$5:$E$304,V1858)&lt;&gt;HomeState),0,ROUND(L1858*M1858/2,2))),"")</f>
        <v/>
      </c>
      <c r="O1858" s="61" t="str">
        <f aca="false">IF(IsPro,IF($D1858="","",N1858),"")</f>
        <v/>
      </c>
      <c r="P1858" s="61" t="str">
        <f aca="false">IF(IsPro,IF($D1858="","",IF(AND(V1858&lt;&gt;"",INDEX(Parties!$E$5:$E$304,V1858)&lt;&gt;"",INDEX(Parties!$E$5:$E$304,V1858)&lt;&gt;HomeState),ROUND(L1858*M1858,2),0)),"")</f>
        <v/>
      </c>
      <c r="Q1858" s="61" t="str">
        <f aca="false">IF(IsPro,IF($D1858="","",L1858+N1858+O1858+P1858),"")</f>
        <v/>
      </c>
      <c r="R1858" s="61" t="str">
        <f aca="false">IF(IsPro,IF($D1858="","",ROUND(N($E1858)*IFERROR(INDEX(Items!$P$5:$P$504,U1858),0),2)),"")</f>
        <v/>
      </c>
      <c r="S1858" s="61" t="str">
        <f aca="false">IF(IsPro,IF($D1858="","",L1858-R1858),"")</f>
        <v/>
      </c>
      <c r="T1858" s="60" t="str">
        <f aca="false">IF(IsPro,IF($D1858="","",IF(U1858="","UNKNOWN ITEM",IF(INDEX(Items!$O$5:$O$504,U1858)&lt;0,"NEG STOCK",IF(K1858&lt;INDEX(Items!$P$5:$P$504,U1858),"BELOW COST","OK")))),IF($D1858="","","PRO PLAN"))</f>
        <v/>
      </c>
      <c r="U1858" s="60" t="str">
        <f aca="false">IF(IsPro,IF($D1858="","",IFERROR(MATCH($D1858,Items!$A$5:$A$504,0),"")),"")</f>
        <v/>
      </c>
      <c r="V1858" s="60" t="str">
        <f aca="false">IF(IsPro,IF($C1858="","",IFERROR(MATCH($C1858,Parties!$A$5:$A$304,0),"")),"")</f>
        <v/>
      </c>
      <c r="W1858" s="60" t="str">
        <f aca="false">IF(IsPro,IF($B1858="","",IFERROR(VALUE(SUBSTITUTE($B1858,InvPrefix,"")),0)),"")</f>
        <v/>
      </c>
      <c r="X1858" s="61" t="str">
        <f aca="false">IF(IsPro,IF($D1858="","",IF(OR($H1858="",$H1858="Credit"),0,Q1858)),"")</f>
        <v/>
      </c>
    </row>
    <row r="1859" customFormat="false" ht="15" hidden="false" customHeight="false" outlineLevel="0" collapsed="false">
      <c r="A1859" s="55"/>
      <c r="B1859" s="56"/>
      <c r="C1859" s="56"/>
      <c r="D1859" s="56"/>
      <c r="E1859" s="57"/>
      <c r="F1859" s="58"/>
      <c r="G1859" s="59"/>
      <c r="H1859" s="56"/>
      <c r="I1859" s="56"/>
      <c r="J1859" s="60" t="str">
        <f aca="false">IF(IsPro,IF($D1859="","",IFERROR(INDEX(Items!$D$5:$D$504,U1859),"")),"")</f>
        <v/>
      </c>
      <c r="K1859" s="61" t="str">
        <f aca="false">IF(IsPro,IF($D1859="","",IF($F1859="",IFERROR(INDEX(Items!$H$5:$H$504,U1859),0),$F1859)),"")</f>
        <v/>
      </c>
      <c r="L1859" s="61" t="str">
        <f aca="false">IF(IsPro,IF($D1859="","",ROUND(N($E1859)*K1859*(1-N($G1859)),2)),"")</f>
        <v/>
      </c>
      <c r="M1859" s="62" t="str">
        <f aca="false">IF(IsPro,IF($D1859="","",IFERROR(INDEX(Items!$F$5:$F$504,U1859),0)),"")</f>
        <v/>
      </c>
      <c r="N1859" s="61" t="str">
        <f aca="false">IF(IsPro,IF($D1859="","",IF(AND(V1859&lt;&gt;"",INDEX(Parties!$E$5:$E$304,V1859)&lt;&gt;"",INDEX(Parties!$E$5:$E$304,V1859)&lt;&gt;HomeState),0,ROUND(L1859*M1859/2,2))),"")</f>
        <v/>
      </c>
      <c r="O1859" s="61" t="str">
        <f aca="false">IF(IsPro,IF($D1859="","",N1859),"")</f>
        <v/>
      </c>
      <c r="P1859" s="61" t="str">
        <f aca="false">IF(IsPro,IF($D1859="","",IF(AND(V1859&lt;&gt;"",INDEX(Parties!$E$5:$E$304,V1859)&lt;&gt;"",INDEX(Parties!$E$5:$E$304,V1859)&lt;&gt;HomeState),ROUND(L1859*M1859,2),0)),"")</f>
        <v/>
      </c>
      <c r="Q1859" s="61" t="str">
        <f aca="false">IF(IsPro,IF($D1859="","",L1859+N1859+O1859+P1859),"")</f>
        <v/>
      </c>
      <c r="R1859" s="61" t="str">
        <f aca="false">IF(IsPro,IF($D1859="","",ROUND(N($E1859)*IFERROR(INDEX(Items!$P$5:$P$504,U1859),0),2)),"")</f>
        <v/>
      </c>
      <c r="S1859" s="61" t="str">
        <f aca="false">IF(IsPro,IF($D1859="","",L1859-R1859),"")</f>
        <v/>
      </c>
      <c r="T1859" s="60" t="str">
        <f aca="false">IF(IsPro,IF($D1859="","",IF(U1859="","UNKNOWN ITEM",IF(INDEX(Items!$O$5:$O$504,U1859)&lt;0,"NEG STOCK",IF(K1859&lt;INDEX(Items!$P$5:$P$504,U1859),"BELOW COST","OK")))),IF($D1859="","","PRO PLAN"))</f>
        <v/>
      </c>
      <c r="U1859" s="60" t="str">
        <f aca="false">IF(IsPro,IF($D1859="","",IFERROR(MATCH($D1859,Items!$A$5:$A$504,0),"")),"")</f>
        <v/>
      </c>
      <c r="V1859" s="60" t="str">
        <f aca="false">IF(IsPro,IF($C1859="","",IFERROR(MATCH($C1859,Parties!$A$5:$A$304,0),"")),"")</f>
        <v/>
      </c>
      <c r="W1859" s="60" t="str">
        <f aca="false">IF(IsPro,IF($B1859="","",IFERROR(VALUE(SUBSTITUTE($B1859,InvPrefix,"")),0)),"")</f>
        <v/>
      </c>
      <c r="X1859" s="61" t="str">
        <f aca="false">IF(IsPro,IF($D1859="","",IF(OR($H1859="",$H1859="Credit"),0,Q1859)),"")</f>
        <v/>
      </c>
    </row>
    <row r="1860" customFormat="false" ht="15" hidden="false" customHeight="false" outlineLevel="0" collapsed="false">
      <c r="A1860" s="55"/>
      <c r="B1860" s="56"/>
      <c r="C1860" s="56"/>
      <c r="D1860" s="56"/>
      <c r="E1860" s="57"/>
      <c r="F1860" s="58"/>
      <c r="G1860" s="59"/>
      <c r="H1860" s="56"/>
      <c r="I1860" s="56"/>
      <c r="J1860" s="60" t="str">
        <f aca="false">IF(IsPro,IF($D1860="","",IFERROR(INDEX(Items!$D$5:$D$504,U1860),"")),"")</f>
        <v/>
      </c>
      <c r="K1860" s="61" t="str">
        <f aca="false">IF(IsPro,IF($D1860="","",IF($F1860="",IFERROR(INDEX(Items!$H$5:$H$504,U1860),0),$F1860)),"")</f>
        <v/>
      </c>
      <c r="L1860" s="61" t="str">
        <f aca="false">IF(IsPro,IF($D1860="","",ROUND(N($E1860)*K1860*(1-N($G1860)),2)),"")</f>
        <v/>
      </c>
      <c r="M1860" s="62" t="str">
        <f aca="false">IF(IsPro,IF($D1860="","",IFERROR(INDEX(Items!$F$5:$F$504,U1860),0)),"")</f>
        <v/>
      </c>
      <c r="N1860" s="61" t="str">
        <f aca="false">IF(IsPro,IF($D1860="","",IF(AND(V1860&lt;&gt;"",INDEX(Parties!$E$5:$E$304,V1860)&lt;&gt;"",INDEX(Parties!$E$5:$E$304,V1860)&lt;&gt;HomeState),0,ROUND(L1860*M1860/2,2))),"")</f>
        <v/>
      </c>
      <c r="O1860" s="61" t="str">
        <f aca="false">IF(IsPro,IF($D1860="","",N1860),"")</f>
        <v/>
      </c>
      <c r="P1860" s="61" t="str">
        <f aca="false">IF(IsPro,IF($D1860="","",IF(AND(V1860&lt;&gt;"",INDEX(Parties!$E$5:$E$304,V1860)&lt;&gt;"",INDEX(Parties!$E$5:$E$304,V1860)&lt;&gt;HomeState),ROUND(L1860*M1860,2),0)),"")</f>
        <v/>
      </c>
      <c r="Q1860" s="61" t="str">
        <f aca="false">IF(IsPro,IF($D1860="","",L1860+N1860+O1860+P1860),"")</f>
        <v/>
      </c>
      <c r="R1860" s="61" t="str">
        <f aca="false">IF(IsPro,IF($D1860="","",ROUND(N($E1860)*IFERROR(INDEX(Items!$P$5:$P$504,U1860),0),2)),"")</f>
        <v/>
      </c>
      <c r="S1860" s="61" t="str">
        <f aca="false">IF(IsPro,IF($D1860="","",L1860-R1860),"")</f>
        <v/>
      </c>
      <c r="T1860" s="60" t="str">
        <f aca="false">IF(IsPro,IF($D1860="","",IF(U1860="","UNKNOWN ITEM",IF(INDEX(Items!$O$5:$O$504,U1860)&lt;0,"NEG STOCK",IF(K1860&lt;INDEX(Items!$P$5:$P$504,U1860),"BELOW COST","OK")))),IF($D1860="","","PRO PLAN"))</f>
        <v/>
      </c>
      <c r="U1860" s="60" t="str">
        <f aca="false">IF(IsPro,IF($D1860="","",IFERROR(MATCH($D1860,Items!$A$5:$A$504,0),"")),"")</f>
        <v/>
      </c>
      <c r="V1860" s="60" t="str">
        <f aca="false">IF(IsPro,IF($C1860="","",IFERROR(MATCH($C1860,Parties!$A$5:$A$304,0),"")),"")</f>
        <v/>
      </c>
      <c r="W1860" s="60" t="str">
        <f aca="false">IF(IsPro,IF($B1860="","",IFERROR(VALUE(SUBSTITUTE($B1860,InvPrefix,"")),0)),"")</f>
        <v/>
      </c>
      <c r="X1860" s="61" t="str">
        <f aca="false">IF(IsPro,IF($D1860="","",IF(OR($H1860="",$H1860="Credit"),0,Q1860)),"")</f>
        <v/>
      </c>
    </row>
    <row r="1861" customFormat="false" ht="15" hidden="false" customHeight="false" outlineLevel="0" collapsed="false">
      <c r="A1861" s="55"/>
      <c r="B1861" s="56"/>
      <c r="C1861" s="56"/>
      <c r="D1861" s="56"/>
      <c r="E1861" s="57"/>
      <c r="F1861" s="58"/>
      <c r="G1861" s="59"/>
      <c r="H1861" s="56"/>
      <c r="I1861" s="56"/>
      <c r="J1861" s="60" t="str">
        <f aca="false">IF(IsPro,IF($D1861="","",IFERROR(INDEX(Items!$D$5:$D$504,U1861),"")),"")</f>
        <v/>
      </c>
      <c r="K1861" s="61" t="str">
        <f aca="false">IF(IsPro,IF($D1861="","",IF($F1861="",IFERROR(INDEX(Items!$H$5:$H$504,U1861),0),$F1861)),"")</f>
        <v/>
      </c>
      <c r="L1861" s="61" t="str">
        <f aca="false">IF(IsPro,IF($D1861="","",ROUND(N($E1861)*K1861*(1-N($G1861)),2)),"")</f>
        <v/>
      </c>
      <c r="M1861" s="62" t="str">
        <f aca="false">IF(IsPro,IF($D1861="","",IFERROR(INDEX(Items!$F$5:$F$504,U1861),0)),"")</f>
        <v/>
      </c>
      <c r="N1861" s="61" t="str">
        <f aca="false">IF(IsPro,IF($D1861="","",IF(AND(V1861&lt;&gt;"",INDEX(Parties!$E$5:$E$304,V1861)&lt;&gt;"",INDEX(Parties!$E$5:$E$304,V1861)&lt;&gt;HomeState),0,ROUND(L1861*M1861/2,2))),"")</f>
        <v/>
      </c>
      <c r="O1861" s="61" t="str">
        <f aca="false">IF(IsPro,IF($D1861="","",N1861),"")</f>
        <v/>
      </c>
      <c r="P1861" s="61" t="str">
        <f aca="false">IF(IsPro,IF($D1861="","",IF(AND(V1861&lt;&gt;"",INDEX(Parties!$E$5:$E$304,V1861)&lt;&gt;"",INDEX(Parties!$E$5:$E$304,V1861)&lt;&gt;HomeState),ROUND(L1861*M1861,2),0)),"")</f>
        <v/>
      </c>
      <c r="Q1861" s="61" t="str">
        <f aca="false">IF(IsPro,IF($D1861="","",L1861+N1861+O1861+P1861),"")</f>
        <v/>
      </c>
      <c r="R1861" s="61" t="str">
        <f aca="false">IF(IsPro,IF($D1861="","",ROUND(N($E1861)*IFERROR(INDEX(Items!$P$5:$P$504,U1861),0),2)),"")</f>
        <v/>
      </c>
      <c r="S1861" s="61" t="str">
        <f aca="false">IF(IsPro,IF($D1861="","",L1861-R1861),"")</f>
        <v/>
      </c>
      <c r="T1861" s="60" t="str">
        <f aca="false">IF(IsPro,IF($D1861="","",IF(U1861="","UNKNOWN ITEM",IF(INDEX(Items!$O$5:$O$504,U1861)&lt;0,"NEG STOCK",IF(K1861&lt;INDEX(Items!$P$5:$P$504,U1861),"BELOW COST","OK")))),IF($D1861="","","PRO PLAN"))</f>
        <v/>
      </c>
      <c r="U1861" s="60" t="str">
        <f aca="false">IF(IsPro,IF($D1861="","",IFERROR(MATCH($D1861,Items!$A$5:$A$504,0),"")),"")</f>
        <v/>
      </c>
      <c r="V1861" s="60" t="str">
        <f aca="false">IF(IsPro,IF($C1861="","",IFERROR(MATCH($C1861,Parties!$A$5:$A$304,0),"")),"")</f>
        <v/>
      </c>
      <c r="W1861" s="60" t="str">
        <f aca="false">IF(IsPro,IF($B1861="","",IFERROR(VALUE(SUBSTITUTE($B1861,InvPrefix,"")),0)),"")</f>
        <v/>
      </c>
      <c r="X1861" s="61" t="str">
        <f aca="false">IF(IsPro,IF($D1861="","",IF(OR($H1861="",$H1861="Credit"),0,Q1861)),"")</f>
        <v/>
      </c>
    </row>
    <row r="1862" customFormat="false" ht="15" hidden="false" customHeight="false" outlineLevel="0" collapsed="false">
      <c r="A1862" s="55"/>
      <c r="B1862" s="56"/>
      <c r="C1862" s="56"/>
      <c r="D1862" s="56"/>
      <c r="E1862" s="57"/>
      <c r="F1862" s="58"/>
      <c r="G1862" s="59"/>
      <c r="H1862" s="56"/>
      <c r="I1862" s="56"/>
      <c r="J1862" s="60" t="str">
        <f aca="false">IF(IsPro,IF($D1862="","",IFERROR(INDEX(Items!$D$5:$D$504,U1862),"")),"")</f>
        <v/>
      </c>
      <c r="K1862" s="61" t="str">
        <f aca="false">IF(IsPro,IF($D1862="","",IF($F1862="",IFERROR(INDEX(Items!$H$5:$H$504,U1862),0),$F1862)),"")</f>
        <v/>
      </c>
      <c r="L1862" s="61" t="str">
        <f aca="false">IF(IsPro,IF($D1862="","",ROUND(N($E1862)*K1862*(1-N($G1862)),2)),"")</f>
        <v/>
      </c>
      <c r="M1862" s="62" t="str">
        <f aca="false">IF(IsPro,IF($D1862="","",IFERROR(INDEX(Items!$F$5:$F$504,U1862),0)),"")</f>
        <v/>
      </c>
      <c r="N1862" s="61" t="str">
        <f aca="false">IF(IsPro,IF($D1862="","",IF(AND(V1862&lt;&gt;"",INDEX(Parties!$E$5:$E$304,V1862)&lt;&gt;"",INDEX(Parties!$E$5:$E$304,V1862)&lt;&gt;HomeState),0,ROUND(L1862*M1862/2,2))),"")</f>
        <v/>
      </c>
      <c r="O1862" s="61" t="str">
        <f aca="false">IF(IsPro,IF($D1862="","",N1862),"")</f>
        <v/>
      </c>
      <c r="P1862" s="61" t="str">
        <f aca="false">IF(IsPro,IF($D1862="","",IF(AND(V1862&lt;&gt;"",INDEX(Parties!$E$5:$E$304,V1862)&lt;&gt;"",INDEX(Parties!$E$5:$E$304,V1862)&lt;&gt;HomeState),ROUND(L1862*M1862,2),0)),"")</f>
        <v/>
      </c>
      <c r="Q1862" s="61" t="str">
        <f aca="false">IF(IsPro,IF($D1862="","",L1862+N1862+O1862+P1862),"")</f>
        <v/>
      </c>
      <c r="R1862" s="61" t="str">
        <f aca="false">IF(IsPro,IF($D1862="","",ROUND(N($E1862)*IFERROR(INDEX(Items!$P$5:$P$504,U1862),0),2)),"")</f>
        <v/>
      </c>
      <c r="S1862" s="61" t="str">
        <f aca="false">IF(IsPro,IF($D1862="","",L1862-R1862),"")</f>
        <v/>
      </c>
      <c r="T1862" s="60" t="str">
        <f aca="false">IF(IsPro,IF($D1862="","",IF(U1862="","UNKNOWN ITEM",IF(INDEX(Items!$O$5:$O$504,U1862)&lt;0,"NEG STOCK",IF(K1862&lt;INDEX(Items!$P$5:$P$504,U1862),"BELOW COST","OK")))),IF($D1862="","","PRO PLAN"))</f>
        <v/>
      </c>
      <c r="U1862" s="60" t="str">
        <f aca="false">IF(IsPro,IF($D1862="","",IFERROR(MATCH($D1862,Items!$A$5:$A$504,0),"")),"")</f>
        <v/>
      </c>
      <c r="V1862" s="60" t="str">
        <f aca="false">IF(IsPro,IF($C1862="","",IFERROR(MATCH($C1862,Parties!$A$5:$A$304,0),"")),"")</f>
        <v/>
      </c>
      <c r="W1862" s="60" t="str">
        <f aca="false">IF(IsPro,IF($B1862="","",IFERROR(VALUE(SUBSTITUTE($B1862,InvPrefix,"")),0)),"")</f>
        <v/>
      </c>
      <c r="X1862" s="61" t="str">
        <f aca="false">IF(IsPro,IF($D1862="","",IF(OR($H1862="",$H1862="Credit"),0,Q1862)),"")</f>
        <v/>
      </c>
    </row>
    <row r="1863" customFormat="false" ht="15" hidden="false" customHeight="false" outlineLevel="0" collapsed="false">
      <c r="A1863" s="55"/>
      <c r="B1863" s="56"/>
      <c r="C1863" s="56"/>
      <c r="D1863" s="56"/>
      <c r="E1863" s="57"/>
      <c r="F1863" s="58"/>
      <c r="G1863" s="59"/>
      <c r="H1863" s="56"/>
      <c r="I1863" s="56"/>
      <c r="J1863" s="60" t="str">
        <f aca="false">IF(IsPro,IF($D1863="","",IFERROR(INDEX(Items!$D$5:$D$504,U1863),"")),"")</f>
        <v/>
      </c>
      <c r="K1863" s="61" t="str">
        <f aca="false">IF(IsPro,IF($D1863="","",IF($F1863="",IFERROR(INDEX(Items!$H$5:$H$504,U1863),0),$F1863)),"")</f>
        <v/>
      </c>
      <c r="L1863" s="61" t="str">
        <f aca="false">IF(IsPro,IF($D1863="","",ROUND(N($E1863)*K1863*(1-N($G1863)),2)),"")</f>
        <v/>
      </c>
      <c r="M1863" s="62" t="str">
        <f aca="false">IF(IsPro,IF($D1863="","",IFERROR(INDEX(Items!$F$5:$F$504,U1863),0)),"")</f>
        <v/>
      </c>
      <c r="N1863" s="61" t="str">
        <f aca="false">IF(IsPro,IF($D1863="","",IF(AND(V1863&lt;&gt;"",INDEX(Parties!$E$5:$E$304,V1863)&lt;&gt;"",INDEX(Parties!$E$5:$E$304,V1863)&lt;&gt;HomeState),0,ROUND(L1863*M1863/2,2))),"")</f>
        <v/>
      </c>
      <c r="O1863" s="61" t="str">
        <f aca="false">IF(IsPro,IF($D1863="","",N1863),"")</f>
        <v/>
      </c>
      <c r="P1863" s="61" t="str">
        <f aca="false">IF(IsPro,IF($D1863="","",IF(AND(V1863&lt;&gt;"",INDEX(Parties!$E$5:$E$304,V1863)&lt;&gt;"",INDEX(Parties!$E$5:$E$304,V1863)&lt;&gt;HomeState),ROUND(L1863*M1863,2),0)),"")</f>
        <v/>
      </c>
      <c r="Q1863" s="61" t="str">
        <f aca="false">IF(IsPro,IF($D1863="","",L1863+N1863+O1863+P1863),"")</f>
        <v/>
      </c>
      <c r="R1863" s="61" t="str">
        <f aca="false">IF(IsPro,IF($D1863="","",ROUND(N($E1863)*IFERROR(INDEX(Items!$P$5:$P$504,U1863),0),2)),"")</f>
        <v/>
      </c>
      <c r="S1863" s="61" t="str">
        <f aca="false">IF(IsPro,IF($D1863="","",L1863-R1863),"")</f>
        <v/>
      </c>
      <c r="T1863" s="60" t="str">
        <f aca="false">IF(IsPro,IF($D1863="","",IF(U1863="","UNKNOWN ITEM",IF(INDEX(Items!$O$5:$O$504,U1863)&lt;0,"NEG STOCK",IF(K1863&lt;INDEX(Items!$P$5:$P$504,U1863),"BELOW COST","OK")))),IF($D1863="","","PRO PLAN"))</f>
        <v/>
      </c>
      <c r="U1863" s="60" t="str">
        <f aca="false">IF(IsPro,IF($D1863="","",IFERROR(MATCH($D1863,Items!$A$5:$A$504,0),"")),"")</f>
        <v/>
      </c>
      <c r="V1863" s="60" t="str">
        <f aca="false">IF(IsPro,IF($C1863="","",IFERROR(MATCH($C1863,Parties!$A$5:$A$304,0),"")),"")</f>
        <v/>
      </c>
      <c r="W1863" s="60" t="str">
        <f aca="false">IF(IsPro,IF($B1863="","",IFERROR(VALUE(SUBSTITUTE($B1863,InvPrefix,"")),0)),"")</f>
        <v/>
      </c>
      <c r="X1863" s="61" t="str">
        <f aca="false">IF(IsPro,IF($D1863="","",IF(OR($H1863="",$H1863="Credit"),0,Q1863)),"")</f>
        <v/>
      </c>
    </row>
    <row r="1864" customFormat="false" ht="15" hidden="false" customHeight="false" outlineLevel="0" collapsed="false">
      <c r="A1864" s="55"/>
      <c r="B1864" s="56"/>
      <c r="C1864" s="56"/>
      <c r="D1864" s="56"/>
      <c r="E1864" s="57"/>
      <c r="F1864" s="58"/>
      <c r="G1864" s="59"/>
      <c r="H1864" s="56"/>
      <c r="I1864" s="56"/>
      <c r="J1864" s="60" t="str">
        <f aca="false">IF(IsPro,IF($D1864="","",IFERROR(INDEX(Items!$D$5:$D$504,U1864),"")),"")</f>
        <v/>
      </c>
      <c r="K1864" s="61" t="str">
        <f aca="false">IF(IsPro,IF($D1864="","",IF($F1864="",IFERROR(INDEX(Items!$H$5:$H$504,U1864),0),$F1864)),"")</f>
        <v/>
      </c>
      <c r="L1864" s="61" t="str">
        <f aca="false">IF(IsPro,IF($D1864="","",ROUND(N($E1864)*K1864*(1-N($G1864)),2)),"")</f>
        <v/>
      </c>
      <c r="M1864" s="62" t="str">
        <f aca="false">IF(IsPro,IF($D1864="","",IFERROR(INDEX(Items!$F$5:$F$504,U1864),0)),"")</f>
        <v/>
      </c>
      <c r="N1864" s="61" t="str">
        <f aca="false">IF(IsPro,IF($D1864="","",IF(AND(V1864&lt;&gt;"",INDEX(Parties!$E$5:$E$304,V1864)&lt;&gt;"",INDEX(Parties!$E$5:$E$304,V1864)&lt;&gt;HomeState),0,ROUND(L1864*M1864/2,2))),"")</f>
        <v/>
      </c>
      <c r="O1864" s="61" t="str">
        <f aca="false">IF(IsPro,IF($D1864="","",N1864),"")</f>
        <v/>
      </c>
      <c r="P1864" s="61" t="str">
        <f aca="false">IF(IsPro,IF($D1864="","",IF(AND(V1864&lt;&gt;"",INDEX(Parties!$E$5:$E$304,V1864)&lt;&gt;"",INDEX(Parties!$E$5:$E$304,V1864)&lt;&gt;HomeState),ROUND(L1864*M1864,2),0)),"")</f>
        <v/>
      </c>
      <c r="Q1864" s="61" t="str">
        <f aca="false">IF(IsPro,IF($D1864="","",L1864+N1864+O1864+P1864),"")</f>
        <v/>
      </c>
      <c r="R1864" s="61" t="str">
        <f aca="false">IF(IsPro,IF($D1864="","",ROUND(N($E1864)*IFERROR(INDEX(Items!$P$5:$P$504,U1864),0),2)),"")</f>
        <v/>
      </c>
      <c r="S1864" s="61" t="str">
        <f aca="false">IF(IsPro,IF($D1864="","",L1864-R1864),"")</f>
        <v/>
      </c>
      <c r="T1864" s="60" t="str">
        <f aca="false">IF(IsPro,IF($D1864="","",IF(U1864="","UNKNOWN ITEM",IF(INDEX(Items!$O$5:$O$504,U1864)&lt;0,"NEG STOCK",IF(K1864&lt;INDEX(Items!$P$5:$P$504,U1864),"BELOW COST","OK")))),IF($D1864="","","PRO PLAN"))</f>
        <v/>
      </c>
      <c r="U1864" s="60" t="str">
        <f aca="false">IF(IsPro,IF($D1864="","",IFERROR(MATCH($D1864,Items!$A$5:$A$504,0),"")),"")</f>
        <v/>
      </c>
      <c r="V1864" s="60" t="str">
        <f aca="false">IF(IsPro,IF($C1864="","",IFERROR(MATCH($C1864,Parties!$A$5:$A$304,0),"")),"")</f>
        <v/>
      </c>
      <c r="W1864" s="60" t="str">
        <f aca="false">IF(IsPro,IF($B1864="","",IFERROR(VALUE(SUBSTITUTE($B1864,InvPrefix,"")),0)),"")</f>
        <v/>
      </c>
      <c r="X1864" s="61" t="str">
        <f aca="false">IF(IsPro,IF($D1864="","",IF(OR($H1864="",$H1864="Credit"),0,Q1864)),"")</f>
        <v/>
      </c>
    </row>
    <row r="1865" customFormat="false" ht="15" hidden="false" customHeight="false" outlineLevel="0" collapsed="false">
      <c r="A1865" s="55"/>
      <c r="B1865" s="56"/>
      <c r="C1865" s="56"/>
      <c r="D1865" s="56"/>
      <c r="E1865" s="57"/>
      <c r="F1865" s="58"/>
      <c r="G1865" s="59"/>
      <c r="H1865" s="56"/>
      <c r="I1865" s="56"/>
      <c r="J1865" s="60" t="str">
        <f aca="false">IF(IsPro,IF($D1865="","",IFERROR(INDEX(Items!$D$5:$D$504,U1865),"")),"")</f>
        <v/>
      </c>
      <c r="K1865" s="61" t="str">
        <f aca="false">IF(IsPro,IF($D1865="","",IF($F1865="",IFERROR(INDEX(Items!$H$5:$H$504,U1865),0),$F1865)),"")</f>
        <v/>
      </c>
      <c r="L1865" s="61" t="str">
        <f aca="false">IF(IsPro,IF($D1865="","",ROUND(N($E1865)*K1865*(1-N($G1865)),2)),"")</f>
        <v/>
      </c>
      <c r="M1865" s="62" t="str">
        <f aca="false">IF(IsPro,IF($D1865="","",IFERROR(INDEX(Items!$F$5:$F$504,U1865),0)),"")</f>
        <v/>
      </c>
      <c r="N1865" s="61" t="str">
        <f aca="false">IF(IsPro,IF($D1865="","",IF(AND(V1865&lt;&gt;"",INDEX(Parties!$E$5:$E$304,V1865)&lt;&gt;"",INDEX(Parties!$E$5:$E$304,V1865)&lt;&gt;HomeState),0,ROUND(L1865*M1865/2,2))),"")</f>
        <v/>
      </c>
      <c r="O1865" s="61" t="str">
        <f aca="false">IF(IsPro,IF($D1865="","",N1865),"")</f>
        <v/>
      </c>
      <c r="P1865" s="61" t="str">
        <f aca="false">IF(IsPro,IF($D1865="","",IF(AND(V1865&lt;&gt;"",INDEX(Parties!$E$5:$E$304,V1865)&lt;&gt;"",INDEX(Parties!$E$5:$E$304,V1865)&lt;&gt;HomeState),ROUND(L1865*M1865,2),0)),"")</f>
        <v/>
      </c>
      <c r="Q1865" s="61" t="str">
        <f aca="false">IF(IsPro,IF($D1865="","",L1865+N1865+O1865+P1865),"")</f>
        <v/>
      </c>
      <c r="R1865" s="61" t="str">
        <f aca="false">IF(IsPro,IF($D1865="","",ROUND(N($E1865)*IFERROR(INDEX(Items!$P$5:$P$504,U1865),0),2)),"")</f>
        <v/>
      </c>
      <c r="S1865" s="61" t="str">
        <f aca="false">IF(IsPro,IF($D1865="","",L1865-R1865),"")</f>
        <v/>
      </c>
      <c r="T1865" s="60" t="str">
        <f aca="false">IF(IsPro,IF($D1865="","",IF(U1865="","UNKNOWN ITEM",IF(INDEX(Items!$O$5:$O$504,U1865)&lt;0,"NEG STOCK",IF(K1865&lt;INDEX(Items!$P$5:$P$504,U1865),"BELOW COST","OK")))),IF($D1865="","","PRO PLAN"))</f>
        <v/>
      </c>
      <c r="U1865" s="60" t="str">
        <f aca="false">IF(IsPro,IF($D1865="","",IFERROR(MATCH($D1865,Items!$A$5:$A$504,0),"")),"")</f>
        <v/>
      </c>
      <c r="V1865" s="60" t="str">
        <f aca="false">IF(IsPro,IF($C1865="","",IFERROR(MATCH($C1865,Parties!$A$5:$A$304,0),"")),"")</f>
        <v/>
      </c>
      <c r="W1865" s="60" t="str">
        <f aca="false">IF(IsPro,IF($B1865="","",IFERROR(VALUE(SUBSTITUTE($B1865,InvPrefix,"")),0)),"")</f>
        <v/>
      </c>
      <c r="X1865" s="61" t="str">
        <f aca="false">IF(IsPro,IF($D1865="","",IF(OR($H1865="",$H1865="Credit"),0,Q1865)),"")</f>
        <v/>
      </c>
    </row>
    <row r="1866" customFormat="false" ht="15" hidden="false" customHeight="false" outlineLevel="0" collapsed="false">
      <c r="A1866" s="55"/>
      <c r="B1866" s="56"/>
      <c r="C1866" s="56"/>
      <c r="D1866" s="56"/>
      <c r="E1866" s="57"/>
      <c r="F1866" s="58"/>
      <c r="G1866" s="59"/>
      <c r="H1866" s="56"/>
      <c r="I1866" s="56"/>
      <c r="J1866" s="60" t="str">
        <f aca="false">IF(IsPro,IF($D1866="","",IFERROR(INDEX(Items!$D$5:$D$504,U1866),"")),"")</f>
        <v/>
      </c>
      <c r="K1866" s="61" t="str">
        <f aca="false">IF(IsPro,IF($D1866="","",IF($F1866="",IFERROR(INDEX(Items!$H$5:$H$504,U1866),0),$F1866)),"")</f>
        <v/>
      </c>
      <c r="L1866" s="61" t="str">
        <f aca="false">IF(IsPro,IF($D1866="","",ROUND(N($E1866)*K1866*(1-N($G1866)),2)),"")</f>
        <v/>
      </c>
      <c r="M1866" s="62" t="str">
        <f aca="false">IF(IsPro,IF($D1866="","",IFERROR(INDEX(Items!$F$5:$F$504,U1866),0)),"")</f>
        <v/>
      </c>
      <c r="N1866" s="61" t="str">
        <f aca="false">IF(IsPro,IF($D1866="","",IF(AND(V1866&lt;&gt;"",INDEX(Parties!$E$5:$E$304,V1866)&lt;&gt;"",INDEX(Parties!$E$5:$E$304,V1866)&lt;&gt;HomeState),0,ROUND(L1866*M1866/2,2))),"")</f>
        <v/>
      </c>
      <c r="O1866" s="61" t="str">
        <f aca="false">IF(IsPro,IF($D1866="","",N1866),"")</f>
        <v/>
      </c>
      <c r="P1866" s="61" t="str">
        <f aca="false">IF(IsPro,IF($D1866="","",IF(AND(V1866&lt;&gt;"",INDEX(Parties!$E$5:$E$304,V1866)&lt;&gt;"",INDEX(Parties!$E$5:$E$304,V1866)&lt;&gt;HomeState),ROUND(L1866*M1866,2),0)),"")</f>
        <v/>
      </c>
      <c r="Q1866" s="61" t="str">
        <f aca="false">IF(IsPro,IF($D1866="","",L1866+N1866+O1866+P1866),"")</f>
        <v/>
      </c>
      <c r="R1866" s="61" t="str">
        <f aca="false">IF(IsPro,IF($D1866="","",ROUND(N($E1866)*IFERROR(INDEX(Items!$P$5:$P$504,U1866),0),2)),"")</f>
        <v/>
      </c>
      <c r="S1866" s="61" t="str">
        <f aca="false">IF(IsPro,IF($D1866="","",L1866-R1866),"")</f>
        <v/>
      </c>
      <c r="T1866" s="60" t="str">
        <f aca="false">IF(IsPro,IF($D1866="","",IF(U1866="","UNKNOWN ITEM",IF(INDEX(Items!$O$5:$O$504,U1866)&lt;0,"NEG STOCK",IF(K1866&lt;INDEX(Items!$P$5:$P$504,U1866),"BELOW COST","OK")))),IF($D1866="","","PRO PLAN"))</f>
        <v/>
      </c>
      <c r="U1866" s="60" t="str">
        <f aca="false">IF(IsPro,IF($D1866="","",IFERROR(MATCH($D1866,Items!$A$5:$A$504,0),"")),"")</f>
        <v/>
      </c>
      <c r="V1866" s="60" t="str">
        <f aca="false">IF(IsPro,IF($C1866="","",IFERROR(MATCH($C1866,Parties!$A$5:$A$304,0),"")),"")</f>
        <v/>
      </c>
      <c r="W1866" s="60" t="str">
        <f aca="false">IF(IsPro,IF($B1866="","",IFERROR(VALUE(SUBSTITUTE($B1866,InvPrefix,"")),0)),"")</f>
        <v/>
      </c>
      <c r="X1866" s="61" t="str">
        <f aca="false">IF(IsPro,IF($D1866="","",IF(OR($H1866="",$H1866="Credit"),0,Q1866)),"")</f>
        <v/>
      </c>
    </row>
    <row r="1867" customFormat="false" ht="15" hidden="false" customHeight="false" outlineLevel="0" collapsed="false">
      <c r="A1867" s="55"/>
      <c r="B1867" s="56"/>
      <c r="C1867" s="56"/>
      <c r="D1867" s="56"/>
      <c r="E1867" s="57"/>
      <c r="F1867" s="58"/>
      <c r="G1867" s="59"/>
      <c r="H1867" s="56"/>
      <c r="I1867" s="56"/>
      <c r="J1867" s="60" t="str">
        <f aca="false">IF(IsPro,IF($D1867="","",IFERROR(INDEX(Items!$D$5:$D$504,U1867),"")),"")</f>
        <v/>
      </c>
      <c r="K1867" s="61" t="str">
        <f aca="false">IF(IsPro,IF($D1867="","",IF($F1867="",IFERROR(INDEX(Items!$H$5:$H$504,U1867),0),$F1867)),"")</f>
        <v/>
      </c>
      <c r="L1867" s="61" t="str">
        <f aca="false">IF(IsPro,IF($D1867="","",ROUND(N($E1867)*K1867*(1-N($G1867)),2)),"")</f>
        <v/>
      </c>
      <c r="M1867" s="62" t="str">
        <f aca="false">IF(IsPro,IF($D1867="","",IFERROR(INDEX(Items!$F$5:$F$504,U1867),0)),"")</f>
        <v/>
      </c>
      <c r="N1867" s="61" t="str">
        <f aca="false">IF(IsPro,IF($D1867="","",IF(AND(V1867&lt;&gt;"",INDEX(Parties!$E$5:$E$304,V1867)&lt;&gt;"",INDEX(Parties!$E$5:$E$304,V1867)&lt;&gt;HomeState),0,ROUND(L1867*M1867/2,2))),"")</f>
        <v/>
      </c>
      <c r="O1867" s="61" t="str">
        <f aca="false">IF(IsPro,IF($D1867="","",N1867),"")</f>
        <v/>
      </c>
      <c r="P1867" s="61" t="str">
        <f aca="false">IF(IsPro,IF($D1867="","",IF(AND(V1867&lt;&gt;"",INDEX(Parties!$E$5:$E$304,V1867)&lt;&gt;"",INDEX(Parties!$E$5:$E$304,V1867)&lt;&gt;HomeState),ROUND(L1867*M1867,2),0)),"")</f>
        <v/>
      </c>
      <c r="Q1867" s="61" t="str">
        <f aca="false">IF(IsPro,IF($D1867="","",L1867+N1867+O1867+P1867),"")</f>
        <v/>
      </c>
      <c r="R1867" s="61" t="str">
        <f aca="false">IF(IsPro,IF($D1867="","",ROUND(N($E1867)*IFERROR(INDEX(Items!$P$5:$P$504,U1867),0),2)),"")</f>
        <v/>
      </c>
      <c r="S1867" s="61" t="str">
        <f aca="false">IF(IsPro,IF($D1867="","",L1867-R1867),"")</f>
        <v/>
      </c>
      <c r="T1867" s="60" t="str">
        <f aca="false">IF(IsPro,IF($D1867="","",IF(U1867="","UNKNOWN ITEM",IF(INDEX(Items!$O$5:$O$504,U1867)&lt;0,"NEG STOCK",IF(K1867&lt;INDEX(Items!$P$5:$P$504,U1867),"BELOW COST","OK")))),IF($D1867="","","PRO PLAN"))</f>
        <v/>
      </c>
      <c r="U1867" s="60" t="str">
        <f aca="false">IF(IsPro,IF($D1867="","",IFERROR(MATCH($D1867,Items!$A$5:$A$504,0),"")),"")</f>
        <v/>
      </c>
      <c r="V1867" s="60" t="str">
        <f aca="false">IF(IsPro,IF($C1867="","",IFERROR(MATCH($C1867,Parties!$A$5:$A$304,0),"")),"")</f>
        <v/>
      </c>
      <c r="W1867" s="60" t="str">
        <f aca="false">IF(IsPro,IF($B1867="","",IFERROR(VALUE(SUBSTITUTE($B1867,InvPrefix,"")),0)),"")</f>
        <v/>
      </c>
      <c r="X1867" s="61" t="str">
        <f aca="false">IF(IsPro,IF($D1867="","",IF(OR($H1867="",$H1867="Credit"),0,Q1867)),"")</f>
        <v/>
      </c>
    </row>
    <row r="1868" customFormat="false" ht="15" hidden="false" customHeight="false" outlineLevel="0" collapsed="false">
      <c r="A1868" s="55"/>
      <c r="B1868" s="56"/>
      <c r="C1868" s="56"/>
      <c r="D1868" s="56"/>
      <c r="E1868" s="57"/>
      <c r="F1868" s="58"/>
      <c r="G1868" s="59"/>
      <c r="H1868" s="56"/>
      <c r="I1868" s="56"/>
      <c r="J1868" s="60" t="str">
        <f aca="false">IF(IsPro,IF($D1868="","",IFERROR(INDEX(Items!$D$5:$D$504,U1868),"")),"")</f>
        <v/>
      </c>
      <c r="K1868" s="61" t="str">
        <f aca="false">IF(IsPro,IF($D1868="","",IF($F1868="",IFERROR(INDEX(Items!$H$5:$H$504,U1868),0),$F1868)),"")</f>
        <v/>
      </c>
      <c r="L1868" s="61" t="str">
        <f aca="false">IF(IsPro,IF($D1868="","",ROUND(N($E1868)*K1868*(1-N($G1868)),2)),"")</f>
        <v/>
      </c>
      <c r="M1868" s="62" t="str">
        <f aca="false">IF(IsPro,IF($D1868="","",IFERROR(INDEX(Items!$F$5:$F$504,U1868),0)),"")</f>
        <v/>
      </c>
      <c r="N1868" s="61" t="str">
        <f aca="false">IF(IsPro,IF($D1868="","",IF(AND(V1868&lt;&gt;"",INDEX(Parties!$E$5:$E$304,V1868)&lt;&gt;"",INDEX(Parties!$E$5:$E$304,V1868)&lt;&gt;HomeState),0,ROUND(L1868*M1868/2,2))),"")</f>
        <v/>
      </c>
      <c r="O1868" s="61" t="str">
        <f aca="false">IF(IsPro,IF($D1868="","",N1868),"")</f>
        <v/>
      </c>
      <c r="P1868" s="61" t="str">
        <f aca="false">IF(IsPro,IF($D1868="","",IF(AND(V1868&lt;&gt;"",INDEX(Parties!$E$5:$E$304,V1868)&lt;&gt;"",INDEX(Parties!$E$5:$E$304,V1868)&lt;&gt;HomeState),ROUND(L1868*M1868,2),0)),"")</f>
        <v/>
      </c>
      <c r="Q1868" s="61" t="str">
        <f aca="false">IF(IsPro,IF($D1868="","",L1868+N1868+O1868+P1868),"")</f>
        <v/>
      </c>
      <c r="R1868" s="61" t="str">
        <f aca="false">IF(IsPro,IF($D1868="","",ROUND(N($E1868)*IFERROR(INDEX(Items!$P$5:$P$504,U1868),0),2)),"")</f>
        <v/>
      </c>
      <c r="S1868" s="61" t="str">
        <f aca="false">IF(IsPro,IF($D1868="","",L1868-R1868),"")</f>
        <v/>
      </c>
      <c r="T1868" s="60" t="str">
        <f aca="false">IF(IsPro,IF($D1868="","",IF(U1868="","UNKNOWN ITEM",IF(INDEX(Items!$O$5:$O$504,U1868)&lt;0,"NEG STOCK",IF(K1868&lt;INDEX(Items!$P$5:$P$504,U1868),"BELOW COST","OK")))),IF($D1868="","","PRO PLAN"))</f>
        <v/>
      </c>
      <c r="U1868" s="60" t="str">
        <f aca="false">IF(IsPro,IF($D1868="","",IFERROR(MATCH($D1868,Items!$A$5:$A$504,0),"")),"")</f>
        <v/>
      </c>
      <c r="V1868" s="60" t="str">
        <f aca="false">IF(IsPro,IF($C1868="","",IFERROR(MATCH($C1868,Parties!$A$5:$A$304,0),"")),"")</f>
        <v/>
      </c>
      <c r="W1868" s="60" t="str">
        <f aca="false">IF(IsPro,IF($B1868="","",IFERROR(VALUE(SUBSTITUTE($B1868,InvPrefix,"")),0)),"")</f>
        <v/>
      </c>
      <c r="X1868" s="61" t="str">
        <f aca="false">IF(IsPro,IF($D1868="","",IF(OR($H1868="",$H1868="Credit"),0,Q1868)),"")</f>
        <v/>
      </c>
    </row>
    <row r="1869" customFormat="false" ht="15" hidden="false" customHeight="false" outlineLevel="0" collapsed="false">
      <c r="A1869" s="55"/>
      <c r="B1869" s="56"/>
      <c r="C1869" s="56"/>
      <c r="D1869" s="56"/>
      <c r="E1869" s="57"/>
      <c r="F1869" s="58"/>
      <c r="G1869" s="59"/>
      <c r="H1869" s="56"/>
      <c r="I1869" s="56"/>
      <c r="J1869" s="60" t="str">
        <f aca="false">IF(IsPro,IF($D1869="","",IFERROR(INDEX(Items!$D$5:$D$504,U1869),"")),"")</f>
        <v/>
      </c>
      <c r="K1869" s="61" t="str">
        <f aca="false">IF(IsPro,IF($D1869="","",IF($F1869="",IFERROR(INDEX(Items!$H$5:$H$504,U1869),0),$F1869)),"")</f>
        <v/>
      </c>
      <c r="L1869" s="61" t="str">
        <f aca="false">IF(IsPro,IF($D1869="","",ROUND(N($E1869)*K1869*(1-N($G1869)),2)),"")</f>
        <v/>
      </c>
      <c r="M1869" s="62" t="str">
        <f aca="false">IF(IsPro,IF($D1869="","",IFERROR(INDEX(Items!$F$5:$F$504,U1869),0)),"")</f>
        <v/>
      </c>
      <c r="N1869" s="61" t="str">
        <f aca="false">IF(IsPro,IF($D1869="","",IF(AND(V1869&lt;&gt;"",INDEX(Parties!$E$5:$E$304,V1869)&lt;&gt;"",INDEX(Parties!$E$5:$E$304,V1869)&lt;&gt;HomeState),0,ROUND(L1869*M1869/2,2))),"")</f>
        <v/>
      </c>
      <c r="O1869" s="61" t="str">
        <f aca="false">IF(IsPro,IF($D1869="","",N1869),"")</f>
        <v/>
      </c>
      <c r="P1869" s="61" t="str">
        <f aca="false">IF(IsPro,IF($D1869="","",IF(AND(V1869&lt;&gt;"",INDEX(Parties!$E$5:$E$304,V1869)&lt;&gt;"",INDEX(Parties!$E$5:$E$304,V1869)&lt;&gt;HomeState),ROUND(L1869*M1869,2),0)),"")</f>
        <v/>
      </c>
      <c r="Q1869" s="61" t="str">
        <f aca="false">IF(IsPro,IF($D1869="","",L1869+N1869+O1869+P1869),"")</f>
        <v/>
      </c>
      <c r="R1869" s="61" t="str">
        <f aca="false">IF(IsPro,IF($D1869="","",ROUND(N($E1869)*IFERROR(INDEX(Items!$P$5:$P$504,U1869),0),2)),"")</f>
        <v/>
      </c>
      <c r="S1869" s="61" t="str">
        <f aca="false">IF(IsPro,IF($D1869="","",L1869-R1869),"")</f>
        <v/>
      </c>
      <c r="T1869" s="60" t="str">
        <f aca="false">IF(IsPro,IF($D1869="","",IF(U1869="","UNKNOWN ITEM",IF(INDEX(Items!$O$5:$O$504,U1869)&lt;0,"NEG STOCK",IF(K1869&lt;INDEX(Items!$P$5:$P$504,U1869),"BELOW COST","OK")))),IF($D1869="","","PRO PLAN"))</f>
        <v/>
      </c>
      <c r="U1869" s="60" t="str">
        <f aca="false">IF(IsPro,IF($D1869="","",IFERROR(MATCH($D1869,Items!$A$5:$A$504,0),"")),"")</f>
        <v/>
      </c>
      <c r="V1869" s="60" t="str">
        <f aca="false">IF(IsPro,IF($C1869="","",IFERROR(MATCH($C1869,Parties!$A$5:$A$304,0),"")),"")</f>
        <v/>
      </c>
      <c r="W1869" s="60" t="str">
        <f aca="false">IF(IsPro,IF($B1869="","",IFERROR(VALUE(SUBSTITUTE($B1869,InvPrefix,"")),0)),"")</f>
        <v/>
      </c>
      <c r="X1869" s="61" t="str">
        <f aca="false">IF(IsPro,IF($D1869="","",IF(OR($H1869="",$H1869="Credit"),0,Q1869)),"")</f>
        <v/>
      </c>
    </row>
    <row r="1870" customFormat="false" ht="15" hidden="false" customHeight="false" outlineLevel="0" collapsed="false">
      <c r="A1870" s="55"/>
      <c r="B1870" s="56"/>
      <c r="C1870" s="56"/>
      <c r="D1870" s="56"/>
      <c r="E1870" s="57"/>
      <c r="F1870" s="58"/>
      <c r="G1870" s="59"/>
      <c r="H1870" s="56"/>
      <c r="I1870" s="56"/>
      <c r="J1870" s="60" t="str">
        <f aca="false">IF(IsPro,IF($D1870="","",IFERROR(INDEX(Items!$D$5:$D$504,U1870),"")),"")</f>
        <v/>
      </c>
      <c r="K1870" s="61" t="str">
        <f aca="false">IF(IsPro,IF($D1870="","",IF($F1870="",IFERROR(INDEX(Items!$H$5:$H$504,U1870),0),$F1870)),"")</f>
        <v/>
      </c>
      <c r="L1870" s="61" t="str">
        <f aca="false">IF(IsPro,IF($D1870="","",ROUND(N($E1870)*K1870*(1-N($G1870)),2)),"")</f>
        <v/>
      </c>
      <c r="M1870" s="62" t="str">
        <f aca="false">IF(IsPro,IF($D1870="","",IFERROR(INDEX(Items!$F$5:$F$504,U1870),0)),"")</f>
        <v/>
      </c>
      <c r="N1870" s="61" t="str">
        <f aca="false">IF(IsPro,IF($D1870="","",IF(AND(V1870&lt;&gt;"",INDEX(Parties!$E$5:$E$304,V1870)&lt;&gt;"",INDEX(Parties!$E$5:$E$304,V1870)&lt;&gt;HomeState),0,ROUND(L1870*M1870/2,2))),"")</f>
        <v/>
      </c>
      <c r="O1870" s="61" t="str">
        <f aca="false">IF(IsPro,IF($D1870="","",N1870),"")</f>
        <v/>
      </c>
      <c r="P1870" s="61" t="str">
        <f aca="false">IF(IsPro,IF($D1870="","",IF(AND(V1870&lt;&gt;"",INDEX(Parties!$E$5:$E$304,V1870)&lt;&gt;"",INDEX(Parties!$E$5:$E$304,V1870)&lt;&gt;HomeState),ROUND(L1870*M1870,2),0)),"")</f>
        <v/>
      </c>
      <c r="Q1870" s="61" t="str">
        <f aca="false">IF(IsPro,IF($D1870="","",L1870+N1870+O1870+P1870),"")</f>
        <v/>
      </c>
      <c r="R1870" s="61" t="str">
        <f aca="false">IF(IsPro,IF($D1870="","",ROUND(N($E1870)*IFERROR(INDEX(Items!$P$5:$P$504,U1870),0),2)),"")</f>
        <v/>
      </c>
      <c r="S1870" s="61" t="str">
        <f aca="false">IF(IsPro,IF($D1870="","",L1870-R1870),"")</f>
        <v/>
      </c>
      <c r="T1870" s="60" t="str">
        <f aca="false">IF(IsPro,IF($D1870="","",IF(U1870="","UNKNOWN ITEM",IF(INDEX(Items!$O$5:$O$504,U1870)&lt;0,"NEG STOCK",IF(K1870&lt;INDEX(Items!$P$5:$P$504,U1870),"BELOW COST","OK")))),IF($D1870="","","PRO PLAN"))</f>
        <v/>
      </c>
      <c r="U1870" s="60" t="str">
        <f aca="false">IF(IsPro,IF($D1870="","",IFERROR(MATCH($D1870,Items!$A$5:$A$504,0),"")),"")</f>
        <v/>
      </c>
      <c r="V1870" s="60" t="str">
        <f aca="false">IF(IsPro,IF($C1870="","",IFERROR(MATCH($C1870,Parties!$A$5:$A$304,0),"")),"")</f>
        <v/>
      </c>
      <c r="W1870" s="60" t="str">
        <f aca="false">IF(IsPro,IF($B1870="","",IFERROR(VALUE(SUBSTITUTE($B1870,InvPrefix,"")),0)),"")</f>
        <v/>
      </c>
      <c r="X1870" s="61" t="str">
        <f aca="false">IF(IsPro,IF($D1870="","",IF(OR($H1870="",$H1870="Credit"),0,Q1870)),"")</f>
        <v/>
      </c>
    </row>
    <row r="1871" customFormat="false" ht="15" hidden="false" customHeight="false" outlineLevel="0" collapsed="false">
      <c r="A1871" s="55"/>
      <c r="B1871" s="56"/>
      <c r="C1871" s="56"/>
      <c r="D1871" s="56"/>
      <c r="E1871" s="57"/>
      <c r="F1871" s="58"/>
      <c r="G1871" s="59"/>
      <c r="H1871" s="56"/>
      <c r="I1871" s="56"/>
      <c r="J1871" s="60" t="str">
        <f aca="false">IF(IsPro,IF($D1871="","",IFERROR(INDEX(Items!$D$5:$D$504,U1871),"")),"")</f>
        <v/>
      </c>
      <c r="K1871" s="61" t="str">
        <f aca="false">IF(IsPro,IF($D1871="","",IF($F1871="",IFERROR(INDEX(Items!$H$5:$H$504,U1871),0),$F1871)),"")</f>
        <v/>
      </c>
      <c r="L1871" s="61" t="str">
        <f aca="false">IF(IsPro,IF($D1871="","",ROUND(N($E1871)*K1871*(1-N($G1871)),2)),"")</f>
        <v/>
      </c>
      <c r="M1871" s="62" t="str">
        <f aca="false">IF(IsPro,IF($D1871="","",IFERROR(INDEX(Items!$F$5:$F$504,U1871),0)),"")</f>
        <v/>
      </c>
      <c r="N1871" s="61" t="str">
        <f aca="false">IF(IsPro,IF($D1871="","",IF(AND(V1871&lt;&gt;"",INDEX(Parties!$E$5:$E$304,V1871)&lt;&gt;"",INDEX(Parties!$E$5:$E$304,V1871)&lt;&gt;HomeState),0,ROUND(L1871*M1871/2,2))),"")</f>
        <v/>
      </c>
      <c r="O1871" s="61" t="str">
        <f aca="false">IF(IsPro,IF($D1871="","",N1871),"")</f>
        <v/>
      </c>
      <c r="P1871" s="61" t="str">
        <f aca="false">IF(IsPro,IF($D1871="","",IF(AND(V1871&lt;&gt;"",INDEX(Parties!$E$5:$E$304,V1871)&lt;&gt;"",INDEX(Parties!$E$5:$E$304,V1871)&lt;&gt;HomeState),ROUND(L1871*M1871,2),0)),"")</f>
        <v/>
      </c>
      <c r="Q1871" s="61" t="str">
        <f aca="false">IF(IsPro,IF($D1871="","",L1871+N1871+O1871+P1871),"")</f>
        <v/>
      </c>
      <c r="R1871" s="61" t="str">
        <f aca="false">IF(IsPro,IF($D1871="","",ROUND(N($E1871)*IFERROR(INDEX(Items!$P$5:$P$504,U1871),0),2)),"")</f>
        <v/>
      </c>
      <c r="S1871" s="61" t="str">
        <f aca="false">IF(IsPro,IF($D1871="","",L1871-R1871),"")</f>
        <v/>
      </c>
      <c r="T1871" s="60" t="str">
        <f aca="false">IF(IsPro,IF($D1871="","",IF(U1871="","UNKNOWN ITEM",IF(INDEX(Items!$O$5:$O$504,U1871)&lt;0,"NEG STOCK",IF(K1871&lt;INDEX(Items!$P$5:$P$504,U1871),"BELOW COST","OK")))),IF($D1871="","","PRO PLAN"))</f>
        <v/>
      </c>
      <c r="U1871" s="60" t="str">
        <f aca="false">IF(IsPro,IF($D1871="","",IFERROR(MATCH($D1871,Items!$A$5:$A$504,0),"")),"")</f>
        <v/>
      </c>
      <c r="V1871" s="60" t="str">
        <f aca="false">IF(IsPro,IF($C1871="","",IFERROR(MATCH($C1871,Parties!$A$5:$A$304,0),"")),"")</f>
        <v/>
      </c>
      <c r="W1871" s="60" t="str">
        <f aca="false">IF(IsPro,IF($B1871="","",IFERROR(VALUE(SUBSTITUTE($B1871,InvPrefix,"")),0)),"")</f>
        <v/>
      </c>
      <c r="X1871" s="61" t="str">
        <f aca="false">IF(IsPro,IF($D1871="","",IF(OR($H1871="",$H1871="Credit"),0,Q1871)),"")</f>
        <v/>
      </c>
    </row>
    <row r="1872" customFormat="false" ht="15" hidden="false" customHeight="false" outlineLevel="0" collapsed="false">
      <c r="A1872" s="55"/>
      <c r="B1872" s="56"/>
      <c r="C1872" s="56"/>
      <c r="D1872" s="56"/>
      <c r="E1872" s="57"/>
      <c r="F1872" s="58"/>
      <c r="G1872" s="59"/>
      <c r="H1872" s="56"/>
      <c r="I1872" s="56"/>
      <c r="J1872" s="60" t="str">
        <f aca="false">IF(IsPro,IF($D1872="","",IFERROR(INDEX(Items!$D$5:$D$504,U1872),"")),"")</f>
        <v/>
      </c>
      <c r="K1872" s="61" t="str">
        <f aca="false">IF(IsPro,IF($D1872="","",IF($F1872="",IFERROR(INDEX(Items!$H$5:$H$504,U1872),0),$F1872)),"")</f>
        <v/>
      </c>
      <c r="L1872" s="61" t="str">
        <f aca="false">IF(IsPro,IF($D1872="","",ROUND(N($E1872)*K1872*(1-N($G1872)),2)),"")</f>
        <v/>
      </c>
      <c r="M1872" s="62" t="str">
        <f aca="false">IF(IsPro,IF($D1872="","",IFERROR(INDEX(Items!$F$5:$F$504,U1872),0)),"")</f>
        <v/>
      </c>
      <c r="N1872" s="61" t="str">
        <f aca="false">IF(IsPro,IF($D1872="","",IF(AND(V1872&lt;&gt;"",INDEX(Parties!$E$5:$E$304,V1872)&lt;&gt;"",INDEX(Parties!$E$5:$E$304,V1872)&lt;&gt;HomeState),0,ROUND(L1872*M1872/2,2))),"")</f>
        <v/>
      </c>
      <c r="O1872" s="61" t="str">
        <f aca="false">IF(IsPro,IF($D1872="","",N1872),"")</f>
        <v/>
      </c>
      <c r="P1872" s="61" t="str">
        <f aca="false">IF(IsPro,IF($D1872="","",IF(AND(V1872&lt;&gt;"",INDEX(Parties!$E$5:$E$304,V1872)&lt;&gt;"",INDEX(Parties!$E$5:$E$304,V1872)&lt;&gt;HomeState),ROUND(L1872*M1872,2),0)),"")</f>
        <v/>
      </c>
      <c r="Q1872" s="61" t="str">
        <f aca="false">IF(IsPro,IF($D1872="","",L1872+N1872+O1872+P1872),"")</f>
        <v/>
      </c>
      <c r="R1872" s="61" t="str">
        <f aca="false">IF(IsPro,IF($D1872="","",ROUND(N($E1872)*IFERROR(INDEX(Items!$P$5:$P$504,U1872),0),2)),"")</f>
        <v/>
      </c>
      <c r="S1872" s="61" t="str">
        <f aca="false">IF(IsPro,IF($D1872="","",L1872-R1872),"")</f>
        <v/>
      </c>
      <c r="T1872" s="60" t="str">
        <f aca="false">IF(IsPro,IF($D1872="","",IF(U1872="","UNKNOWN ITEM",IF(INDEX(Items!$O$5:$O$504,U1872)&lt;0,"NEG STOCK",IF(K1872&lt;INDEX(Items!$P$5:$P$504,U1872),"BELOW COST","OK")))),IF($D1872="","","PRO PLAN"))</f>
        <v/>
      </c>
      <c r="U1872" s="60" t="str">
        <f aca="false">IF(IsPro,IF($D1872="","",IFERROR(MATCH($D1872,Items!$A$5:$A$504,0),"")),"")</f>
        <v/>
      </c>
      <c r="V1872" s="60" t="str">
        <f aca="false">IF(IsPro,IF($C1872="","",IFERROR(MATCH($C1872,Parties!$A$5:$A$304,0),"")),"")</f>
        <v/>
      </c>
      <c r="W1872" s="60" t="str">
        <f aca="false">IF(IsPro,IF($B1872="","",IFERROR(VALUE(SUBSTITUTE($B1872,InvPrefix,"")),0)),"")</f>
        <v/>
      </c>
      <c r="X1872" s="61" t="str">
        <f aca="false">IF(IsPro,IF($D1872="","",IF(OR($H1872="",$H1872="Credit"),0,Q1872)),"")</f>
        <v/>
      </c>
    </row>
    <row r="1873" customFormat="false" ht="15" hidden="false" customHeight="false" outlineLevel="0" collapsed="false">
      <c r="A1873" s="55"/>
      <c r="B1873" s="56"/>
      <c r="C1873" s="56"/>
      <c r="D1873" s="56"/>
      <c r="E1873" s="57"/>
      <c r="F1873" s="58"/>
      <c r="G1873" s="59"/>
      <c r="H1873" s="56"/>
      <c r="I1873" s="56"/>
      <c r="J1873" s="60" t="str">
        <f aca="false">IF(IsPro,IF($D1873="","",IFERROR(INDEX(Items!$D$5:$D$504,U1873),"")),"")</f>
        <v/>
      </c>
      <c r="K1873" s="61" t="str">
        <f aca="false">IF(IsPro,IF($D1873="","",IF($F1873="",IFERROR(INDEX(Items!$H$5:$H$504,U1873),0),$F1873)),"")</f>
        <v/>
      </c>
      <c r="L1873" s="61" t="str">
        <f aca="false">IF(IsPro,IF($D1873="","",ROUND(N($E1873)*K1873*(1-N($G1873)),2)),"")</f>
        <v/>
      </c>
      <c r="M1873" s="62" t="str">
        <f aca="false">IF(IsPro,IF($D1873="","",IFERROR(INDEX(Items!$F$5:$F$504,U1873),0)),"")</f>
        <v/>
      </c>
      <c r="N1873" s="61" t="str">
        <f aca="false">IF(IsPro,IF($D1873="","",IF(AND(V1873&lt;&gt;"",INDEX(Parties!$E$5:$E$304,V1873)&lt;&gt;"",INDEX(Parties!$E$5:$E$304,V1873)&lt;&gt;HomeState),0,ROUND(L1873*M1873/2,2))),"")</f>
        <v/>
      </c>
      <c r="O1873" s="61" t="str">
        <f aca="false">IF(IsPro,IF($D1873="","",N1873),"")</f>
        <v/>
      </c>
      <c r="P1873" s="61" t="str">
        <f aca="false">IF(IsPro,IF($D1873="","",IF(AND(V1873&lt;&gt;"",INDEX(Parties!$E$5:$E$304,V1873)&lt;&gt;"",INDEX(Parties!$E$5:$E$304,V1873)&lt;&gt;HomeState),ROUND(L1873*M1873,2),0)),"")</f>
        <v/>
      </c>
      <c r="Q1873" s="61" t="str">
        <f aca="false">IF(IsPro,IF($D1873="","",L1873+N1873+O1873+P1873),"")</f>
        <v/>
      </c>
      <c r="R1873" s="61" t="str">
        <f aca="false">IF(IsPro,IF($D1873="","",ROUND(N($E1873)*IFERROR(INDEX(Items!$P$5:$P$504,U1873),0),2)),"")</f>
        <v/>
      </c>
      <c r="S1873" s="61" t="str">
        <f aca="false">IF(IsPro,IF($D1873="","",L1873-R1873),"")</f>
        <v/>
      </c>
      <c r="T1873" s="60" t="str">
        <f aca="false">IF(IsPro,IF($D1873="","",IF(U1873="","UNKNOWN ITEM",IF(INDEX(Items!$O$5:$O$504,U1873)&lt;0,"NEG STOCK",IF(K1873&lt;INDEX(Items!$P$5:$P$504,U1873),"BELOW COST","OK")))),IF($D1873="","","PRO PLAN"))</f>
        <v/>
      </c>
      <c r="U1873" s="60" t="str">
        <f aca="false">IF(IsPro,IF($D1873="","",IFERROR(MATCH($D1873,Items!$A$5:$A$504,0),"")),"")</f>
        <v/>
      </c>
      <c r="V1873" s="60" t="str">
        <f aca="false">IF(IsPro,IF($C1873="","",IFERROR(MATCH($C1873,Parties!$A$5:$A$304,0),"")),"")</f>
        <v/>
      </c>
      <c r="W1873" s="60" t="str">
        <f aca="false">IF(IsPro,IF($B1873="","",IFERROR(VALUE(SUBSTITUTE($B1873,InvPrefix,"")),0)),"")</f>
        <v/>
      </c>
      <c r="X1873" s="61" t="str">
        <f aca="false">IF(IsPro,IF($D1873="","",IF(OR($H1873="",$H1873="Credit"),0,Q1873)),"")</f>
        <v/>
      </c>
    </row>
    <row r="1874" customFormat="false" ht="15" hidden="false" customHeight="false" outlineLevel="0" collapsed="false">
      <c r="A1874" s="55"/>
      <c r="B1874" s="56"/>
      <c r="C1874" s="56"/>
      <c r="D1874" s="56"/>
      <c r="E1874" s="57"/>
      <c r="F1874" s="58"/>
      <c r="G1874" s="59"/>
      <c r="H1874" s="56"/>
      <c r="I1874" s="56"/>
      <c r="J1874" s="60" t="str">
        <f aca="false">IF(IsPro,IF($D1874="","",IFERROR(INDEX(Items!$D$5:$D$504,U1874),"")),"")</f>
        <v/>
      </c>
      <c r="K1874" s="61" t="str">
        <f aca="false">IF(IsPro,IF($D1874="","",IF($F1874="",IFERROR(INDEX(Items!$H$5:$H$504,U1874),0),$F1874)),"")</f>
        <v/>
      </c>
      <c r="L1874" s="61" t="str">
        <f aca="false">IF(IsPro,IF($D1874="","",ROUND(N($E1874)*K1874*(1-N($G1874)),2)),"")</f>
        <v/>
      </c>
      <c r="M1874" s="62" t="str">
        <f aca="false">IF(IsPro,IF($D1874="","",IFERROR(INDEX(Items!$F$5:$F$504,U1874),0)),"")</f>
        <v/>
      </c>
      <c r="N1874" s="61" t="str">
        <f aca="false">IF(IsPro,IF($D1874="","",IF(AND(V1874&lt;&gt;"",INDEX(Parties!$E$5:$E$304,V1874)&lt;&gt;"",INDEX(Parties!$E$5:$E$304,V1874)&lt;&gt;HomeState),0,ROUND(L1874*M1874/2,2))),"")</f>
        <v/>
      </c>
      <c r="O1874" s="61" t="str">
        <f aca="false">IF(IsPro,IF($D1874="","",N1874),"")</f>
        <v/>
      </c>
      <c r="P1874" s="61" t="str">
        <f aca="false">IF(IsPro,IF($D1874="","",IF(AND(V1874&lt;&gt;"",INDEX(Parties!$E$5:$E$304,V1874)&lt;&gt;"",INDEX(Parties!$E$5:$E$304,V1874)&lt;&gt;HomeState),ROUND(L1874*M1874,2),0)),"")</f>
        <v/>
      </c>
      <c r="Q1874" s="61" t="str">
        <f aca="false">IF(IsPro,IF($D1874="","",L1874+N1874+O1874+P1874),"")</f>
        <v/>
      </c>
      <c r="R1874" s="61" t="str">
        <f aca="false">IF(IsPro,IF($D1874="","",ROUND(N($E1874)*IFERROR(INDEX(Items!$P$5:$P$504,U1874),0),2)),"")</f>
        <v/>
      </c>
      <c r="S1874" s="61" t="str">
        <f aca="false">IF(IsPro,IF($D1874="","",L1874-R1874),"")</f>
        <v/>
      </c>
      <c r="T1874" s="60" t="str">
        <f aca="false">IF(IsPro,IF($D1874="","",IF(U1874="","UNKNOWN ITEM",IF(INDEX(Items!$O$5:$O$504,U1874)&lt;0,"NEG STOCK",IF(K1874&lt;INDEX(Items!$P$5:$P$504,U1874),"BELOW COST","OK")))),IF($D1874="","","PRO PLAN"))</f>
        <v/>
      </c>
      <c r="U1874" s="60" t="str">
        <f aca="false">IF(IsPro,IF($D1874="","",IFERROR(MATCH($D1874,Items!$A$5:$A$504,0),"")),"")</f>
        <v/>
      </c>
      <c r="V1874" s="60" t="str">
        <f aca="false">IF(IsPro,IF($C1874="","",IFERROR(MATCH($C1874,Parties!$A$5:$A$304,0),"")),"")</f>
        <v/>
      </c>
      <c r="W1874" s="60" t="str">
        <f aca="false">IF(IsPro,IF($B1874="","",IFERROR(VALUE(SUBSTITUTE($B1874,InvPrefix,"")),0)),"")</f>
        <v/>
      </c>
      <c r="X1874" s="61" t="str">
        <f aca="false">IF(IsPro,IF($D1874="","",IF(OR($H1874="",$H1874="Credit"),0,Q1874)),"")</f>
        <v/>
      </c>
    </row>
    <row r="1875" customFormat="false" ht="15" hidden="false" customHeight="false" outlineLevel="0" collapsed="false">
      <c r="A1875" s="55"/>
      <c r="B1875" s="56"/>
      <c r="C1875" s="56"/>
      <c r="D1875" s="56"/>
      <c r="E1875" s="57"/>
      <c r="F1875" s="58"/>
      <c r="G1875" s="59"/>
      <c r="H1875" s="56"/>
      <c r="I1875" s="56"/>
      <c r="J1875" s="60" t="str">
        <f aca="false">IF(IsPro,IF($D1875="","",IFERROR(INDEX(Items!$D$5:$D$504,U1875),"")),"")</f>
        <v/>
      </c>
      <c r="K1875" s="61" t="str">
        <f aca="false">IF(IsPro,IF($D1875="","",IF($F1875="",IFERROR(INDEX(Items!$H$5:$H$504,U1875),0),$F1875)),"")</f>
        <v/>
      </c>
      <c r="L1875" s="61" t="str">
        <f aca="false">IF(IsPro,IF($D1875="","",ROUND(N($E1875)*K1875*(1-N($G1875)),2)),"")</f>
        <v/>
      </c>
      <c r="M1875" s="62" t="str">
        <f aca="false">IF(IsPro,IF($D1875="","",IFERROR(INDEX(Items!$F$5:$F$504,U1875),0)),"")</f>
        <v/>
      </c>
      <c r="N1875" s="61" t="str">
        <f aca="false">IF(IsPro,IF($D1875="","",IF(AND(V1875&lt;&gt;"",INDEX(Parties!$E$5:$E$304,V1875)&lt;&gt;"",INDEX(Parties!$E$5:$E$304,V1875)&lt;&gt;HomeState),0,ROUND(L1875*M1875/2,2))),"")</f>
        <v/>
      </c>
      <c r="O1875" s="61" t="str">
        <f aca="false">IF(IsPro,IF($D1875="","",N1875),"")</f>
        <v/>
      </c>
      <c r="P1875" s="61" t="str">
        <f aca="false">IF(IsPro,IF($D1875="","",IF(AND(V1875&lt;&gt;"",INDEX(Parties!$E$5:$E$304,V1875)&lt;&gt;"",INDEX(Parties!$E$5:$E$304,V1875)&lt;&gt;HomeState),ROUND(L1875*M1875,2),0)),"")</f>
        <v/>
      </c>
      <c r="Q1875" s="61" t="str">
        <f aca="false">IF(IsPro,IF($D1875="","",L1875+N1875+O1875+P1875),"")</f>
        <v/>
      </c>
      <c r="R1875" s="61" t="str">
        <f aca="false">IF(IsPro,IF($D1875="","",ROUND(N($E1875)*IFERROR(INDEX(Items!$P$5:$P$504,U1875),0),2)),"")</f>
        <v/>
      </c>
      <c r="S1875" s="61" t="str">
        <f aca="false">IF(IsPro,IF($D1875="","",L1875-R1875),"")</f>
        <v/>
      </c>
      <c r="T1875" s="60" t="str">
        <f aca="false">IF(IsPro,IF($D1875="","",IF(U1875="","UNKNOWN ITEM",IF(INDEX(Items!$O$5:$O$504,U1875)&lt;0,"NEG STOCK",IF(K1875&lt;INDEX(Items!$P$5:$P$504,U1875),"BELOW COST","OK")))),IF($D1875="","","PRO PLAN"))</f>
        <v/>
      </c>
      <c r="U1875" s="60" t="str">
        <f aca="false">IF(IsPro,IF($D1875="","",IFERROR(MATCH($D1875,Items!$A$5:$A$504,0),"")),"")</f>
        <v/>
      </c>
      <c r="V1875" s="60" t="str">
        <f aca="false">IF(IsPro,IF($C1875="","",IFERROR(MATCH($C1875,Parties!$A$5:$A$304,0),"")),"")</f>
        <v/>
      </c>
      <c r="W1875" s="60" t="str">
        <f aca="false">IF(IsPro,IF($B1875="","",IFERROR(VALUE(SUBSTITUTE($B1875,InvPrefix,"")),0)),"")</f>
        <v/>
      </c>
      <c r="X1875" s="61" t="str">
        <f aca="false">IF(IsPro,IF($D1875="","",IF(OR($H1875="",$H1875="Credit"),0,Q1875)),"")</f>
        <v/>
      </c>
    </row>
    <row r="1876" customFormat="false" ht="15" hidden="false" customHeight="false" outlineLevel="0" collapsed="false">
      <c r="A1876" s="55"/>
      <c r="B1876" s="56"/>
      <c r="C1876" s="56"/>
      <c r="D1876" s="56"/>
      <c r="E1876" s="57"/>
      <c r="F1876" s="58"/>
      <c r="G1876" s="59"/>
      <c r="H1876" s="56"/>
      <c r="I1876" s="56"/>
      <c r="J1876" s="60" t="str">
        <f aca="false">IF(IsPro,IF($D1876="","",IFERROR(INDEX(Items!$D$5:$D$504,U1876),"")),"")</f>
        <v/>
      </c>
      <c r="K1876" s="61" t="str">
        <f aca="false">IF(IsPro,IF($D1876="","",IF($F1876="",IFERROR(INDEX(Items!$H$5:$H$504,U1876),0),$F1876)),"")</f>
        <v/>
      </c>
      <c r="L1876" s="61" t="str">
        <f aca="false">IF(IsPro,IF($D1876="","",ROUND(N($E1876)*K1876*(1-N($G1876)),2)),"")</f>
        <v/>
      </c>
      <c r="M1876" s="62" t="str">
        <f aca="false">IF(IsPro,IF($D1876="","",IFERROR(INDEX(Items!$F$5:$F$504,U1876),0)),"")</f>
        <v/>
      </c>
      <c r="N1876" s="61" t="str">
        <f aca="false">IF(IsPro,IF($D1876="","",IF(AND(V1876&lt;&gt;"",INDEX(Parties!$E$5:$E$304,V1876)&lt;&gt;"",INDEX(Parties!$E$5:$E$304,V1876)&lt;&gt;HomeState),0,ROUND(L1876*M1876/2,2))),"")</f>
        <v/>
      </c>
      <c r="O1876" s="61" t="str">
        <f aca="false">IF(IsPro,IF($D1876="","",N1876),"")</f>
        <v/>
      </c>
      <c r="P1876" s="61" t="str">
        <f aca="false">IF(IsPro,IF($D1876="","",IF(AND(V1876&lt;&gt;"",INDEX(Parties!$E$5:$E$304,V1876)&lt;&gt;"",INDEX(Parties!$E$5:$E$304,V1876)&lt;&gt;HomeState),ROUND(L1876*M1876,2),0)),"")</f>
        <v/>
      </c>
      <c r="Q1876" s="61" t="str">
        <f aca="false">IF(IsPro,IF($D1876="","",L1876+N1876+O1876+P1876),"")</f>
        <v/>
      </c>
      <c r="R1876" s="61" t="str">
        <f aca="false">IF(IsPro,IF($D1876="","",ROUND(N($E1876)*IFERROR(INDEX(Items!$P$5:$P$504,U1876),0),2)),"")</f>
        <v/>
      </c>
      <c r="S1876" s="61" t="str">
        <f aca="false">IF(IsPro,IF($D1876="","",L1876-R1876),"")</f>
        <v/>
      </c>
      <c r="T1876" s="60" t="str">
        <f aca="false">IF(IsPro,IF($D1876="","",IF(U1876="","UNKNOWN ITEM",IF(INDEX(Items!$O$5:$O$504,U1876)&lt;0,"NEG STOCK",IF(K1876&lt;INDEX(Items!$P$5:$P$504,U1876),"BELOW COST","OK")))),IF($D1876="","","PRO PLAN"))</f>
        <v/>
      </c>
      <c r="U1876" s="60" t="str">
        <f aca="false">IF(IsPro,IF($D1876="","",IFERROR(MATCH($D1876,Items!$A$5:$A$504,0),"")),"")</f>
        <v/>
      </c>
      <c r="V1876" s="60" t="str">
        <f aca="false">IF(IsPro,IF($C1876="","",IFERROR(MATCH($C1876,Parties!$A$5:$A$304,0),"")),"")</f>
        <v/>
      </c>
      <c r="W1876" s="60" t="str">
        <f aca="false">IF(IsPro,IF($B1876="","",IFERROR(VALUE(SUBSTITUTE($B1876,InvPrefix,"")),0)),"")</f>
        <v/>
      </c>
      <c r="X1876" s="61" t="str">
        <f aca="false">IF(IsPro,IF($D1876="","",IF(OR($H1876="",$H1876="Credit"),0,Q1876)),"")</f>
        <v/>
      </c>
    </row>
    <row r="1877" customFormat="false" ht="15" hidden="false" customHeight="false" outlineLevel="0" collapsed="false">
      <c r="A1877" s="55"/>
      <c r="B1877" s="56"/>
      <c r="C1877" s="56"/>
      <c r="D1877" s="56"/>
      <c r="E1877" s="57"/>
      <c r="F1877" s="58"/>
      <c r="G1877" s="59"/>
      <c r="H1877" s="56"/>
      <c r="I1877" s="56"/>
      <c r="J1877" s="60" t="str">
        <f aca="false">IF(IsPro,IF($D1877="","",IFERROR(INDEX(Items!$D$5:$D$504,U1877),"")),"")</f>
        <v/>
      </c>
      <c r="K1877" s="61" t="str">
        <f aca="false">IF(IsPro,IF($D1877="","",IF($F1877="",IFERROR(INDEX(Items!$H$5:$H$504,U1877),0),$F1877)),"")</f>
        <v/>
      </c>
      <c r="L1877" s="61" t="str">
        <f aca="false">IF(IsPro,IF($D1877="","",ROUND(N($E1877)*K1877*(1-N($G1877)),2)),"")</f>
        <v/>
      </c>
      <c r="M1877" s="62" t="str">
        <f aca="false">IF(IsPro,IF($D1877="","",IFERROR(INDEX(Items!$F$5:$F$504,U1877),0)),"")</f>
        <v/>
      </c>
      <c r="N1877" s="61" t="str">
        <f aca="false">IF(IsPro,IF($D1877="","",IF(AND(V1877&lt;&gt;"",INDEX(Parties!$E$5:$E$304,V1877)&lt;&gt;"",INDEX(Parties!$E$5:$E$304,V1877)&lt;&gt;HomeState),0,ROUND(L1877*M1877/2,2))),"")</f>
        <v/>
      </c>
      <c r="O1877" s="61" t="str">
        <f aca="false">IF(IsPro,IF($D1877="","",N1877),"")</f>
        <v/>
      </c>
      <c r="P1877" s="61" t="str">
        <f aca="false">IF(IsPro,IF($D1877="","",IF(AND(V1877&lt;&gt;"",INDEX(Parties!$E$5:$E$304,V1877)&lt;&gt;"",INDEX(Parties!$E$5:$E$304,V1877)&lt;&gt;HomeState),ROUND(L1877*M1877,2),0)),"")</f>
        <v/>
      </c>
      <c r="Q1877" s="61" t="str">
        <f aca="false">IF(IsPro,IF($D1877="","",L1877+N1877+O1877+P1877),"")</f>
        <v/>
      </c>
      <c r="R1877" s="61" t="str">
        <f aca="false">IF(IsPro,IF($D1877="","",ROUND(N($E1877)*IFERROR(INDEX(Items!$P$5:$P$504,U1877),0),2)),"")</f>
        <v/>
      </c>
      <c r="S1877" s="61" t="str">
        <f aca="false">IF(IsPro,IF($D1877="","",L1877-R1877),"")</f>
        <v/>
      </c>
      <c r="T1877" s="60" t="str">
        <f aca="false">IF(IsPro,IF($D1877="","",IF(U1877="","UNKNOWN ITEM",IF(INDEX(Items!$O$5:$O$504,U1877)&lt;0,"NEG STOCK",IF(K1877&lt;INDEX(Items!$P$5:$P$504,U1877),"BELOW COST","OK")))),IF($D1877="","","PRO PLAN"))</f>
        <v/>
      </c>
      <c r="U1877" s="60" t="str">
        <f aca="false">IF(IsPro,IF($D1877="","",IFERROR(MATCH($D1877,Items!$A$5:$A$504,0),"")),"")</f>
        <v/>
      </c>
      <c r="V1877" s="60" t="str">
        <f aca="false">IF(IsPro,IF($C1877="","",IFERROR(MATCH($C1877,Parties!$A$5:$A$304,0),"")),"")</f>
        <v/>
      </c>
      <c r="W1877" s="60" t="str">
        <f aca="false">IF(IsPro,IF($B1877="","",IFERROR(VALUE(SUBSTITUTE($B1877,InvPrefix,"")),0)),"")</f>
        <v/>
      </c>
      <c r="X1877" s="61" t="str">
        <f aca="false">IF(IsPro,IF($D1877="","",IF(OR($H1877="",$H1877="Credit"),0,Q1877)),"")</f>
        <v/>
      </c>
    </row>
    <row r="1878" customFormat="false" ht="15" hidden="false" customHeight="false" outlineLevel="0" collapsed="false">
      <c r="A1878" s="55"/>
      <c r="B1878" s="56"/>
      <c r="C1878" s="56"/>
      <c r="D1878" s="56"/>
      <c r="E1878" s="57"/>
      <c r="F1878" s="58"/>
      <c r="G1878" s="59"/>
      <c r="H1878" s="56"/>
      <c r="I1878" s="56"/>
      <c r="J1878" s="60" t="str">
        <f aca="false">IF(IsPro,IF($D1878="","",IFERROR(INDEX(Items!$D$5:$D$504,U1878),"")),"")</f>
        <v/>
      </c>
      <c r="K1878" s="61" t="str">
        <f aca="false">IF(IsPro,IF($D1878="","",IF($F1878="",IFERROR(INDEX(Items!$H$5:$H$504,U1878),0),$F1878)),"")</f>
        <v/>
      </c>
      <c r="L1878" s="61" t="str">
        <f aca="false">IF(IsPro,IF($D1878="","",ROUND(N($E1878)*K1878*(1-N($G1878)),2)),"")</f>
        <v/>
      </c>
      <c r="M1878" s="62" t="str">
        <f aca="false">IF(IsPro,IF($D1878="","",IFERROR(INDEX(Items!$F$5:$F$504,U1878),0)),"")</f>
        <v/>
      </c>
      <c r="N1878" s="61" t="str">
        <f aca="false">IF(IsPro,IF($D1878="","",IF(AND(V1878&lt;&gt;"",INDEX(Parties!$E$5:$E$304,V1878)&lt;&gt;"",INDEX(Parties!$E$5:$E$304,V1878)&lt;&gt;HomeState),0,ROUND(L1878*M1878/2,2))),"")</f>
        <v/>
      </c>
      <c r="O1878" s="61" t="str">
        <f aca="false">IF(IsPro,IF($D1878="","",N1878),"")</f>
        <v/>
      </c>
      <c r="P1878" s="61" t="str">
        <f aca="false">IF(IsPro,IF($D1878="","",IF(AND(V1878&lt;&gt;"",INDEX(Parties!$E$5:$E$304,V1878)&lt;&gt;"",INDEX(Parties!$E$5:$E$304,V1878)&lt;&gt;HomeState),ROUND(L1878*M1878,2),0)),"")</f>
        <v/>
      </c>
      <c r="Q1878" s="61" t="str">
        <f aca="false">IF(IsPro,IF($D1878="","",L1878+N1878+O1878+P1878),"")</f>
        <v/>
      </c>
      <c r="R1878" s="61" t="str">
        <f aca="false">IF(IsPro,IF($D1878="","",ROUND(N($E1878)*IFERROR(INDEX(Items!$P$5:$P$504,U1878),0),2)),"")</f>
        <v/>
      </c>
      <c r="S1878" s="61" t="str">
        <f aca="false">IF(IsPro,IF($D1878="","",L1878-R1878),"")</f>
        <v/>
      </c>
      <c r="T1878" s="60" t="str">
        <f aca="false">IF(IsPro,IF($D1878="","",IF(U1878="","UNKNOWN ITEM",IF(INDEX(Items!$O$5:$O$504,U1878)&lt;0,"NEG STOCK",IF(K1878&lt;INDEX(Items!$P$5:$P$504,U1878),"BELOW COST","OK")))),IF($D1878="","","PRO PLAN"))</f>
        <v/>
      </c>
      <c r="U1878" s="60" t="str">
        <f aca="false">IF(IsPro,IF($D1878="","",IFERROR(MATCH($D1878,Items!$A$5:$A$504,0),"")),"")</f>
        <v/>
      </c>
      <c r="V1878" s="60" t="str">
        <f aca="false">IF(IsPro,IF($C1878="","",IFERROR(MATCH($C1878,Parties!$A$5:$A$304,0),"")),"")</f>
        <v/>
      </c>
      <c r="W1878" s="60" t="str">
        <f aca="false">IF(IsPro,IF($B1878="","",IFERROR(VALUE(SUBSTITUTE($B1878,InvPrefix,"")),0)),"")</f>
        <v/>
      </c>
      <c r="X1878" s="61" t="str">
        <f aca="false">IF(IsPro,IF($D1878="","",IF(OR($H1878="",$H1878="Credit"),0,Q1878)),"")</f>
        <v/>
      </c>
    </row>
    <row r="1879" customFormat="false" ht="15" hidden="false" customHeight="false" outlineLevel="0" collapsed="false">
      <c r="A1879" s="55"/>
      <c r="B1879" s="56"/>
      <c r="C1879" s="56"/>
      <c r="D1879" s="56"/>
      <c r="E1879" s="57"/>
      <c r="F1879" s="58"/>
      <c r="G1879" s="59"/>
      <c r="H1879" s="56"/>
      <c r="I1879" s="56"/>
      <c r="J1879" s="60" t="str">
        <f aca="false">IF(IsPro,IF($D1879="","",IFERROR(INDEX(Items!$D$5:$D$504,U1879),"")),"")</f>
        <v/>
      </c>
      <c r="K1879" s="61" t="str">
        <f aca="false">IF(IsPro,IF($D1879="","",IF($F1879="",IFERROR(INDEX(Items!$H$5:$H$504,U1879),0),$F1879)),"")</f>
        <v/>
      </c>
      <c r="L1879" s="61" t="str">
        <f aca="false">IF(IsPro,IF($D1879="","",ROUND(N($E1879)*K1879*(1-N($G1879)),2)),"")</f>
        <v/>
      </c>
      <c r="M1879" s="62" t="str">
        <f aca="false">IF(IsPro,IF($D1879="","",IFERROR(INDEX(Items!$F$5:$F$504,U1879),0)),"")</f>
        <v/>
      </c>
      <c r="N1879" s="61" t="str">
        <f aca="false">IF(IsPro,IF($D1879="","",IF(AND(V1879&lt;&gt;"",INDEX(Parties!$E$5:$E$304,V1879)&lt;&gt;"",INDEX(Parties!$E$5:$E$304,V1879)&lt;&gt;HomeState),0,ROUND(L1879*M1879/2,2))),"")</f>
        <v/>
      </c>
      <c r="O1879" s="61" t="str">
        <f aca="false">IF(IsPro,IF($D1879="","",N1879),"")</f>
        <v/>
      </c>
      <c r="P1879" s="61" t="str">
        <f aca="false">IF(IsPro,IF($D1879="","",IF(AND(V1879&lt;&gt;"",INDEX(Parties!$E$5:$E$304,V1879)&lt;&gt;"",INDEX(Parties!$E$5:$E$304,V1879)&lt;&gt;HomeState),ROUND(L1879*M1879,2),0)),"")</f>
        <v/>
      </c>
      <c r="Q1879" s="61" t="str">
        <f aca="false">IF(IsPro,IF($D1879="","",L1879+N1879+O1879+P1879),"")</f>
        <v/>
      </c>
      <c r="R1879" s="61" t="str">
        <f aca="false">IF(IsPro,IF($D1879="","",ROUND(N($E1879)*IFERROR(INDEX(Items!$P$5:$P$504,U1879),0),2)),"")</f>
        <v/>
      </c>
      <c r="S1879" s="61" t="str">
        <f aca="false">IF(IsPro,IF($D1879="","",L1879-R1879),"")</f>
        <v/>
      </c>
      <c r="T1879" s="60" t="str">
        <f aca="false">IF(IsPro,IF($D1879="","",IF(U1879="","UNKNOWN ITEM",IF(INDEX(Items!$O$5:$O$504,U1879)&lt;0,"NEG STOCK",IF(K1879&lt;INDEX(Items!$P$5:$P$504,U1879),"BELOW COST","OK")))),IF($D1879="","","PRO PLAN"))</f>
        <v/>
      </c>
      <c r="U1879" s="60" t="str">
        <f aca="false">IF(IsPro,IF($D1879="","",IFERROR(MATCH($D1879,Items!$A$5:$A$504,0),"")),"")</f>
        <v/>
      </c>
      <c r="V1879" s="60" t="str">
        <f aca="false">IF(IsPro,IF($C1879="","",IFERROR(MATCH($C1879,Parties!$A$5:$A$304,0),"")),"")</f>
        <v/>
      </c>
      <c r="W1879" s="60" t="str">
        <f aca="false">IF(IsPro,IF($B1879="","",IFERROR(VALUE(SUBSTITUTE($B1879,InvPrefix,"")),0)),"")</f>
        <v/>
      </c>
      <c r="X1879" s="61" t="str">
        <f aca="false">IF(IsPro,IF($D1879="","",IF(OR($H1879="",$H1879="Credit"),0,Q1879)),"")</f>
        <v/>
      </c>
    </row>
    <row r="1880" customFormat="false" ht="15" hidden="false" customHeight="false" outlineLevel="0" collapsed="false">
      <c r="A1880" s="55"/>
      <c r="B1880" s="56"/>
      <c r="C1880" s="56"/>
      <c r="D1880" s="56"/>
      <c r="E1880" s="57"/>
      <c r="F1880" s="58"/>
      <c r="G1880" s="59"/>
      <c r="H1880" s="56"/>
      <c r="I1880" s="56"/>
      <c r="J1880" s="60" t="str">
        <f aca="false">IF(IsPro,IF($D1880="","",IFERROR(INDEX(Items!$D$5:$D$504,U1880),"")),"")</f>
        <v/>
      </c>
      <c r="K1880" s="61" t="str">
        <f aca="false">IF(IsPro,IF($D1880="","",IF($F1880="",IFERROR(INDEX(Items!$H$5:$H$504,U1880),0),$F1880)),"")</f>
        <v/>
      </c>
      <c r="L1880" s="61" t="str">
        <f aca="false">IF(IsPro,IF($D1880="","",ROUND(N($E1880)*K1880*(1-N($G1880)),2)),"")</f>
        <v/>
      </c>
      <c r="M1880" s="62" t="str">
        <f aca="false">IF(IsPro,IF($D1880="","",IFERROR(INDEX(Items!$F$5:$F$504,U1880),0)),"")</f>
        <v/>
      </c>
      <c r="N1880" s="61" t="str">
        <f aca="false">IF(IsPro,IF($D1880="","",IF(AND(V1880&lt;&gt;"",INDEX(Parties!$E$5:$E$304,V1880)&lt;&gt;"",INDEX(Parties!$E$5:$E$304,V1880)&lt;&gt;HomeState),0,ROUND(L1880*M1880/2,2))),"")</f>
        <v/>
      </c>
      <c r="O1880" s="61" t="str">
        <f aca="false">IF(IsPro,IF($D1880="","",N1880),"")</f>
        <v/>
      </c>
      <c r="P1880" s="61" t="str">
        <f aca="false">IF(IsPro,IF($D1880="","",IF(AND(V1880&lt;&gt;"",INDEX(Parties!$E$5:$E$304,V1880)&lt;&gt;"",INDEX(Parties!$E$5:$E$304,V1880)&lt;&gt;HomeState),ROUND(L1880*M1880,2),0)),"")</f>
        <v/>
      </c>
      <c r="Q1880" s="61" t="str">
        <f aca="false">IF(IsPro,IF($D1880="","",L1880+N1880+O1880+P1880),"")</f>
        <v/>
      </c>
      <c r="R1880" s="61" t="str">
        <f aca="false">IF(IsPro,IF($D1880="","",ROUND(N($E1880)*IFERROR(INDEX(Items!$P$5:$P$504,U1880),0),2)),"")</f>
        <v/>
      </c>
      <c r="S1880" s="61" t="str">
        <f aca="false">IF(IsPro,IF($D1880="","",L1880-R1880),"")</f>
        <v/>
      </c>
      <c r="T1880" s="60" t="str">
        <f aca="false">IF(IsPro,IF($D1880="","",IF(U1880="","UNKNOWN ITEM",IF(INDEX(Items!$O$5:$O$504,U1880)&lt;0,"NEG STOCK",IF(K1880&lt;INDEX(Items!$P$5:$P$504,U1880),"BELOW COST","OK")))),IF($D1880="","","PRO PLAN"))</f>
        <v/>
      </c>
      <c r="U1880" s="60" t="str">
        <f aca="false">IF(IsPro,IF($D1880="","",IFERROR(MATCH($D1880,Items!$A$5:$A$504,0),"")),"")</f>
        <v/>
      </c>
      <c r="V1880" s="60" t="str">
        <f aca="false">IF(IsPro,IF($C1880="","",IFERROR(MATCH($C1880,Parties!$A$5:$A$304,0),"")),"")</f>
        <v/>
      </c>
      <c r="W1880" s="60" t="str">
        <f aca="false">IF(IsPro,IF($B1880="","",IFERROR(VALUE(SUBSTITUTE($B1880,InvPrefix,"")),0)),"")</f>
        <v/>
      </c>
      <c r="X1880" s="61" t="str">
        <f aca="false">IF(IsPro,IF($D1880="","",IF(OR($H1880="",$H1880="Credit"),0,Q1880)),"")</f>
        <v/>
      </c>
    </row>
    <row r="1881" customFormat="false" ht="15" hidden="false" customHeight="false" outlineLevel="0" collapsed="false">
      <c r="A1881" s="55"/>
      <c r="B1881" s="56"/>
      <c r="C1881" s="56"/>
      <c r="D1881" s="56"/>
      <c r="E1881" s="57"/>
      <c r="F1881" s="58"/>
      <c r="G1881" s="59"/>
      <c r="H1881" s="56"/>
      <c r="I1881" s="56"/>
      <c r="J1881" s="60" t="str">
        <f aca="false">IF(IsPro,IF($D1881="","",IFERROR(INDEX(Items!$D$5:$D$504,U1881),"")),"")</f>
        <v/>
      </c>
      <c r="K1881" s="61" t="str">
        <f aca="false">IF(IsPro,IF($D1881="","",IF($F1881="",IFERROR(INDEX(Items!$H$5:$H$504,U1881),0),$F1881)),"")</f>
        <v/>
      </c>
      <c r="L1881" s="61" t="str">
        <f aca="false">IF(IsPro,IF($D1881="","",ROUND(N($E1881)*K1881*(1-N($G1881)),2)),"")</f>
        <v/>
      </c>
      <c r="M1881" s="62" t="str">
        <f aca="false">IF(IsPro,IF($D1881="","",IFERROR(INDEX(Items!$F$5:$F$504,U1881),0)),"")</f>
        <v/>
      </c>
      <c r="N1881" s="61" t="str">
        <f aca="false">IF(IsPro,IF($D1881="","",IF(AND(V1881&lt;&gt;"",INDEX(Parties!$E$5:$E$304,V1881)&lt;&gt;"",INDEX(Parties!$E$5:$E$304,V1881)&lt;&gt;HomeState),0,ROUND(L1881*M1881/2,2))),"")</f>
        <v/>
      </c>
      <c r="O1881" s="61" t="str">
        <f aca="false">IF(IsPro,IF($D1881="","",N1881),"")</f>
        <v/>
      </c>
      <c r="P1881" s="61" t="str">
        <f aca="false">IF(IsPro,IF($D1881="","",IF(AND(V1881&lt;&gt;"",INDEX(Parties!$E$5:$E$304,V1881)&lt;&gt;"",INDEX(Parties!$E$5:$E$304,V1881)&lt;&gt;HomeState),ROUND(L1881*M1881,2),0)),"")</f>
        <v/>
      </c>
      <c r="Q1881" s="61" t="str">
        <f aca="false">IF(IsPro,IF($D1881="","",L1881+N1881+O1881+P1881),"")</f>
        <v/>
      </c>
      <c r="R1881" s="61" t="str">
        <f aca="false">IF(IsPro,IF($D1881="","",ROUND(N($E1881)*IFERROR(INDEX(Items!$P$5:$P$504,U1881),0),2)),"")</f>
        <v/>
      </c>
      <c r="S1881" s="61" t="str">
        <f aca="false">IF(IsPro,IF($D1881="","",L1881-R1881),"")</f>
        <v/>
      </c>
      <c r="T1881" s="60" t="str">
        <f aca="false">IF(IsPro,IF($D1881="","",IF(U1881="","UNKNOWN ITEM",IF(INDEX(Items!$O$5:$O$504,U1881)&lt;0,"NEG STOCK",IF(K1881&lt;INDEX(Items!$P$5:$P$504,U1881),"BELOW COST","OK")))),IF($D1881="","","PRO PLAN"))</f>
        <v/>
      </c>
      <c r="U1881" s="60" t="str">
        <f aca="false">IF(IsPro,IF($D1881="","",IFERROR(MATCH($D1881,Items!$A$5:$A$504,0),"")),"")</f>
        <v/>
      </c>
      <c r="V1881" s="60" t="str">
        <f aca="false">IF(IsPro,IF($C1881="","",IFERROR(MATCH($C1881,Parties!$A$5:$A$304,0),"")),"")</f>
        <v/>
      </c>
      <c r="W1881" s="60" t="str">
        <f aca="false">IF(IsPro,IF($B1881="","",IFERROR(VALUE(SUBSTITUTE($B1881,InvPrefix,"")),0)),"")</f>
        <v/>
      </c>
      <c r="X1881" s="61" t="str">
        <f aca="false">IF(IsPro,IF($D1881="","",IF(OR($H1881="",$H1881="Credit"),0,Q1881)),"")</f>
        <v/>
      </c>
    </row>
    <row r="1882" customFormat="false" ht="15" hidden="false" customHeight="false" outlineLevel="0" collapsed="false">
      <c r="A1882" s="55"/>
      <c r="B1882" s="56"/>
      <c r="C1882" s="56"/>
      <c r="D1882" s="56"/>
      <c r="E1882" s="57"/>
      <c r="F1882" s="58"/>
      <c r="G1882" s="59"/>
      <c r="H1882" s="56"/>
      <c r="I1882" s="56"/>
      <c r="J1882" s="60" t="str">
        <f aca="false">IF(IsPro,IF($D1882="","",IFERROR(INDEX(Items!$D$5:$D$504,U1882),"")),"")</f>
        <v/>
      </c>
      <c r="K1882" s="61" t="str">
        <f aca="false">IF(IsPro,IF($D1882="","",IF($F1882="",IFERROR(INDEX(Items!$H$5:$H$504,U1882),0),$F1882)),"")</f>
        <v/>
      </c>
      <c r="L1882" s="61" t="str">
        <f aca="false">IF(IsPro,IF($D1882="","",ROUND(N($E1882)*K1882*(1-N($G1882)),2)),"")</f>
        <v/>
      </c>
      <c r="M1882" s="62" t="str">
        <f aca="false">IF(IsPro,IF($D1882="","",IFERROR(INDEX(Items!$F$5:$F$504,U1882),0)),"")</f>
        <v/>
      </c>
      <c r="N1882" s="61" t="str">
        <f aca="false">IF(IsPro,IF($D1882="","",IF(AND(V1882&lt;&gt;"",INDEX(Parties!$E$5:$E$304,V1882)&lt;&gt;"",INDEX(Parties!$E$5:$E$304,V1882)&lt;&gt;HomeState),0,ROUND(L1882*M1882/2,2))),"")</f>
        <v/>
      </c>
      <c r="O1882" s="61" t="str">
        <f aca="false">IF(IsPro,IF($D1882="","",N1882),"")</f>
        <v/>
      </c>
      <c r="P1882" s="61" t="str">
        <f aca="false">IF(IsPro,IF($D1882="","",IF(AND(V1882&lt;&gt;"",INDEX(Parties!$E$5:$E$304,V1882)&lt;&gt;"",INDEX(Parties!$E$5:$E$304,V1882)&lt;&gt;HomeState),ROUND(L1882*M1882,2),0)),"")</f>
        <v/>
      </c>
      <c r="Q1882" s="61" t="str">
        <f aca="false">IF(IsPro,IF($D1882="","",L1882+N1882+O1882+P1882),"")</f>
        <v/>
      </c>
      <c r="R1882" s="61" t="str">
        <f aca="false">IF(IsPro,IF($D1882="","",ROUND(N($E1882)*IFERROR(INDEX(Items!$P$5:$P$504,U1882),0),2)),"")</f>
        <v/>
      </c>
      <c r="S1882" s="61" t="str">
        <f aca="false">IF(IsPro,IF($D1882="","",L1882-R1882),"")</f>
        <v/>
      </c>
      <c r="T1882" s="60" t="str">
        <f aca="false">IF(IsPro,IF($D1882="","",IF(U1882="","UNKNOWN ITEM",IF(INDEX(Items!$O$5:$O$504,U1882)&lt;0,"NEG STOCK",IF(K1882&lt;INDEX(Items!$P$5:$P$504,U1882),"BELOW COST","OK")))),IF($D1882="","","PRO PLAN"))</f>
        <v/>
      </c>
      <c r="U1882" s="60" t="str">
        <f aca="false">IF(IsPro,IF($D1882="","",IFERROR(MATCH($D1882,Items!$A$5:$A$504,0),"")),"")</f>
        <v/>
      </c>
      <c r="V1882" s="60" t="str">
        <f aca="false">IF(IsPro,IF($C1882="","",IFERROR(MATCH($C1882,Parties!$A$5:$A$304,0),"")),"")</f>
        <v/>
      </c>
      <c r="W1882" s="60" t="str">
        <f aca="false">IF(IsPro,IF($B1882="","",IFERROR(VALUE(SUBSTITUTE($B1882,InvPrefix,"")),0)),"")</f>
        <v/>
      </c>
      <c r="X1882" s="61" t="str">
        <f aca="false">IF(IsPro,IF($D1882="","",IF(OR($H1882="",$H1882="Credit"),0,Q1882)),"")</f>
        <v/>
      </c>
    </row>
    <row r="1883" customFormat="false" ht="15" hidden="false" customHeight="false" outlineLevel="0" collapsed="false">
      <c r="A1883" s="55"/>
      <c r="B1883" s="56"/>
      <c r="C1883" s="56"/>
      <c r="D1883" s="56"/>
      <c r="E1883" s="57"/>
      <c r="F1883" s="58"/>
      <c r="G1883" s="59"/>
      <c r="H1883" s="56"/>
      <c r="I1883" s="56"/>
      <c r="J1883" s="60" t="str">
        <f aca="false">IF(IsPro,IF($D1883="","",IFERROR(INDEX(Items!$D$5:$D$504,U1883),"")),"")</f>
        <v/>
      </c>
      <c r="K1883" s="61" t="str">
        <f aca="false">IF(IsPro,IF($D1883="","",IF($F1883="",IFERROR(INDEX(Items!$H$5:$H$504,U1883),0),$F1883)),"")</f>
        <v/>
      </c>
      <c r="L1883" s="61" t="str">
        <f aca="false">IF(IsPro,IF($D1883="","",ROUND(N($E1883)*K1883*(1-N($G1883)),2)),"")</f>
        <v/>
      </c>
      <c r="M1883" s="62" t="str">
        <f aca="false">IF(IsPro,IF($D1883="","",IFERROR(INDEX(Items!$F$5:$F$504,U1883),0)),"")</f>
        <v/>
      </c>
      <c r="N1883" s="61" t="str">
        <f aca="false">IF(IsPro,IF($D1883="","",IF(AND(V1883&lt;&gt;"",INDEX(Parties!$E$5:$E$304,V1883)&lt;&gt;"",INDEX(Parties!$E$5:$E$304,V1883)&lt;&gt;HomeState),0,ROUND(L1883*M1883/2,2))),"")</f>
        <v/>
      </c>
      <c r="O1883" s="61" t="str">
        <f aca="false">IF(IsPro,IF($D1883="","",N1883),"")</f>
        <v/>
      </c>
      <c r="P1883" s="61" t="str">
        <f aca="false">IF(IsPro,IF($D1883="","",IF(AND(V1883&lt;&gt;"",INDEX(Parties!$E$5:$E$304,V1883)&lt;&gt;"",INDEX(Parties!$E$5:$E$304,V1883)&lt;&gt;HomeState),ROUND(L1883*M1883,2),0)),"")</f>
        <v/>
      </c>
      <c r="Q1883" s="61" t="str">
        <f aca="false">IF(IsPro,IF($D1883="","",L1883+N1883+O1883+P1883),"")</f>
        <v/>
      </c>
      <c r="R1883" s="61" t="str">
        <f aca="false">IF(IsPro,IF($D1883="","",ROUND(N($E1883)*IFERROR(INDEX(Items!$P$5:$P$504,U1883),0),2)),"")</f>
        <v/>
      </c>
      <c r="S1883" s="61" t="str">
        <f aca="false">IF(IsPro,IF($D1883="","",L1883-R1883),"")</f>
        <v/>
      </c>
      <c r="T1883" s="60" t="str">
        <f aca="false">IF(IsPro,IF($D1883="","",IF(U1883="","UNKNOWN ITEM",IF(INDEX(Items!$O$5:$O$504,U1883)&lt;0,"NEG STOCK",IF(K1883&lt;INDEX(Items!$P$5:$P$504,U1883),"BELOW COST","OK")))),IF($D1883="","","PRO PLAN"))</f>
        <v/>
      </c>
      <c r="U1883" s="60" t="str">
        <f aca="false">IF(IsPro,IF($D1883="","",IFERROR(MATCH($D1883,Items!$A$5:$A$504,0),"")),"")</f>
        <v/>
      </c>
      <c r="V1883" s="60" t="str">
        <f aca="false">IF(IsPro,IF($C1883="","",IFERROR(MATCH($C1883,Parties!$A$5:$A$304,0),"")),"")</f>
        <v/>
      </c>
      <c r="W1883" s="60" t="str">
        <f aca="false">IF(IsPro,IF($B1883="","",IFERROR(VALUE(SUBSTITUTE($B1883,InvPrefix,"")),0)),"")</f>
        <v/>
      </c>
      <c r="X1883" s="61" t="str">
        <f aca="false">IF(IsPro,IF($D1883="","",IF(OR($H1883="",$H1883="Credit"),0,Q1883)),"")</f>
        <v/>
      </c>
    </row>
    <row r="1884" customFormat="false" ht="15" hidden="false" customHeight="false" outlineLevel="0" collapsed="false">
      <c r="A1884" s="55"/>
      <c r="B1884" s="56"/>
      <c r="C1884" s="56"/>
      <c r="D1884" s="56"/>
      <c r="E1884" s="57"/>
      <c r="F1884" s="58"/>
      <c r="G1884" s="59"/>
      <c r="H1884" s="56"/>
      <c r="I1884" s="56"/>
      <c r="J1884" s="60" t="str">
        <f aca="false">IF(IsPro,IF($D1884="","",IFERROR(INDEX(Items!$D$5:$D$504,U1884),"")),"")</f>
        <v/>
      </c>
      <c r="K1884" s="61" t="str">
        <f aca="false">IF(IsPro,IF($D1884="","",IF($F1884="",IFERROR(INDEX(Items!$H$5:$H$504,U1884),0),$F1884)),"")</f>
        <v/>
      </c>
      <c r="L1884" s="61" t="str">
        <f aca="false">IF(IsPro,IF($D1884="","",ROUND(N($E1884)*K1884*(1-N($G1884)),2)),"")</f>
        <v/>
      </c>
      <c r="M1884" s="62" t="str">
        <f aca="false">IF(IsPro,IF($D1884="","",IFERROR(INDEX(Items!$F$5:$F$504,U1884),0)),"")</f>
        <v/>
      </c>
      <c r="N1884" s="61" t="str">
        <f aca="false">IF(IsPro,IF($D1884="","",IF(AND(V1884&lt;&gt;"",INDEX(Parties!$E$5:$E$304,V1884)&lt;&gt;"",INDEX(Parties!$E$5:$E$304,V1884)&lt;&gt;HomeState),0,ROUND(L1884*M1884/2,2))),"")</f>
        <v/>
      </c>
      <c r="O1884" s="61" t="str">
        <f aca="false">IF(IsPro,IF($D1884="","",N1884),"")</f>
        <v/>
      </c>
      <c r="P1884" s="61" t="str">
        <f aca="false">IF(IsPro,IF($D1884="","",IF(AND(V1884&lt;&gt;"",INDEX(Parties!$E$5:$E$304,V1884)&lt;&gt;"",INDEX(Parties!$E$5:$E$304,V1884)&lt;&gt;HomeState),ROUND(L1884*M1884,2),0)),"")</f>
        <v/>
      </c>
      <c r="Q1884" s="61" t="str">
        <f aca="false">IF(IsPro,IF($D1884="","",L1884+N1884+O1884+P1884),"")</f>
        <v/>
      </c>
      <c r="R1884" s="61" t="str">
        <f aca="false">IF(IsPro,IF($D1884="","",ROUND(N($E1884)*IFERROR(INDEX(Items!$P$5:$P$504,U1884),0),2)),"")</f>
        <v/>
      </c>
      <c r="S1884" s="61" t="str">
        <f aca="false">IF(IsPro,IF($D1884="","",L1884-R1884),"")</f>
        <v/>
      </c>
      <c r="T1884" s="60" t="str">
        <f aca="false">IF(IsPro,IF($D1884="","",IF(U1884="","UNKNOWN ITEM",IF(INDEX(Items!$O$5:$O$504,U1884)&lt;0,"NEG STOCK",IF(K1884&lt;INDEX(Items!$P$5:$P$504,U1884),"BELOW COST","OK")))),IF($D1884="","","PRO PLAN"))</f>
        <v/>
      </c>
      <c r="U1884" s="60" t="str">
        <f aca="false">IF(IsPro,IF($D1884="","",IFERROR(MATCH($D1884,Items!$A$5:$A$504,0),"")),"")</f>
        <v/>
      </c>
      <c r="V1884" s="60" t="str">
        <f aca="false">IF(IsPro,IF($C1884="","",IFERROR(MATCH($C1884,Parties!$A$5:$A$304,0),"")),"")</f>
        <v/>
      </c>
      <c r="W1884" s="60" t="str">
        <f aca="false">IF(IsPro,IF($B1884="","",IFERROR(VALUE(SUBSTITUTE($B1884,InvPrefix,"")),0)),"")</f>
        <v/>
      </c>
      <c r="X1884" s="61" t="str">
        <f aca="false">IF(IsPro,IF($D1884="","",IF(OR($H1884="",$H1884="Credit"),0,Q1884)),"")</f>
        <v/>
      </c>
    </row>
    <row r="1885" customFormat="false" ht="15" hidden="false" customHeight="false" outlineLevel="0" collapsed="false">
      <c r="A1885" s="55"/>
      <c r="B1885" s="56"/>
      <c r="C1885" s="56"/>
      <c r="D1885" s="56"/>
      <c r="E1885" s="57"/>
      <c r="F1885" s="58"/>
      <c r="G1885" s="59"/>
      <c r="H1885" s="56"/>
      <c r="I1885" s="56"/>
      <c r="J1885" s="60" t="str">
        <f aca="false">IF(IsPro,IF($D1885="","",IFERROR(INDEX(Items!$D$5:$D$504,U1885),"")),"")</f>
        <v/>
      </c>
      <c r="K1885" s="61" t="str">
        <f aca="false">IF(IsPro,IF($D1885="","",IF($F1885="",IFERROR(INDEX(Items!$H$5:$H$504,U1885),0),$F1885)),"")</f>
        <v/>
      </c>
      <c r="L1885" s="61" t="str">
        <f aca="false">IF(IsPro,IF($D1885="","",ROUND(N($E1885)*K1885*(1-N($G1885)),2)),"")</f>
        <v/>
      </c>
      <c r="M1885" s="62" t="str">
        <f aca="false">IF(IsPro,IF($D1885="","",IFERROR(INDEX(Items!$F$5:$F$504,U1885),0)),"")</f>
        <v/>
      </c>
      <c r="N1885" s="61" t="str">
        <f aca="false">IF(IsPro,IF($D1885="","",IF(AND(V1885&lt;&gt;"",INDEX(Parties!$E$5:$E$304,V1885)&lt;&gt;"",INDEX(Parties!$E$5:$E$304,V1885)&lt;&gt;HomeState),0,ROUND(L1885*M1885/2,2))),"")</f>
        <v/>
      </c>
      <c r="O1885" s="61" t="str">
        <f aca="false">IF(IsPro,IF($D1885="","",N1885),"")</f>
        <v/>
      </c>
      <c r="P1885" s="61" t="str">
        <f aca="false">IF(IsPro,IF($D1885="","",IF(AND(V1885&lt;&gt;"",INDEX(Parties!$E$5:$E$304,V1885)&lt;&gt;"",INDEX(Parties!$E$5:$E$304,V1885)&lt;&gt;HomeState),ROUND(L1885*M1885,2),0)),"")</f>
        <v/>
      </c>
      <c r="Q1885" s="61" t="str">
        <f aca="false">IF(IsPro,IF($D1885="","",L1885+N1885+O1885+P1885),"")</f>
        <v/>
      </c>
      <c r="R1885" s="61" t="str">
        <f aca="false">IF(IsPro,IF($D1885="","",ROUND(N($E1885)*IFERROR(INDEX(Items!$P$5:$P$504,U1885),0),2)),"")</f>
        <v/>
      </c>
      <c r="S1885" s="61" t="str">
        <f aca="false">IF(IsPro,IF($D1885="","",L1885-R1885),"")</f>
        <v/>
      </c>
      <c r="T1885" s="60" t="str">
        <f aca="false">IF(IsPro,IF($D1885="","",IF(U1885="","UNKNOWN ITEM",IF(INDEX(Items!$O$5:$O$504,U1885)&lt;0,"NEG STOCK",IF(K1885&lt;INDEX(Items!$P$5:$P$504,U1885),"BELOW COST","OK")))),IF($D1885="","","PRO PLAN"))</f>
        <v/>
      </c>
      <c r="U1885" s="60" t="str">
        <f aca="false">IF(IsPro,IF($D1885="","",IFERROR(MATCH($D1885,Items!$A$5:$A$504,0),"")),"")</f>
        <v/>
      </c>
      <c r="V1885" s="60" t="str">
        <f aca="false">IF(IsPro,IF($C1885="","",IFERROR(MATCH($C1885,Parties!$A$5:$A$304,0),"")),"")</f>
        <v/>
      </c>
      <c r="W1885" s="60" t="str">
        <f aca="false">IF(IsPro,IF($B1885="","",IFERROR(VALUE(SUBSTITUTE($B1885,InvPrefix,"")),0)),"")</f>
        <v/>
      </c>
      <c r="X1885" s="61" t="str">
        <f aca="false">IF(IsPro,IF($D1885="","",IF(OR($H1885="",$H1885="Credit"),0,Q1885)),"")</f>
        <v/>
      </c>
    </row>
    <row r="1886" customFormat="false" ht="15" hidden="false" customHeight="false" outlineLevel="0" collapsed="false">
      <c r="A1886" s="55"/>
      <c r="B1886" s="56"/>
      <c r="C1886" s="56"/>
      <c r="D1886" s="56"/>
      <c r="E1886" s="57"/>
      <c r="F1886" s="58"/>
      <c r="G1886" s="59"/>
      <c r="H1886" s="56"/>
      <c r="I1886" s="56"/>
      <c r="J1886" s="60" t="str">
        <f aca="false">IF(IsPro,IF($D1886="","",IFERROR(INDEX(Items!$D$5:$D$504,U1886),"")),"")</f>
        <v/>
      </c>
      <c r="K1886" s="61" t="str">
        <f aca="false">IF(IsPro,IF($D1886="","",IF($F1886="",IFERROR(INDEX(Items!$H$5:$H$504,U1886),0),$F1886)),"")</f>
        <v/>
      </c>
      <c r="L1886" s="61" t="str">
        <f aca="false">IF(IsPro,IF($D1886="","",ROUND(N($E1886)*K1886*(1-N($G1886)),2)),"")</f>
        <v/>
      </c>
      <c r="M1886" s="62" t="str">
        <f aca="false">IF(IsPro,IF($D1886="","",IFERROR(INDEX(Items!$F$5:$F$504,U1886),0)),"")</f>
        <v/>
      </c>
      <c r="N1886" s="61" t="str">
        <f aca="false">IF(IsPro,IF($D1886="","",IF(AND(V1886&lt;&gt;"",INDEX(Parties!$E$5:$E$304,V1886)&lt;&gt;"",INDEX(Parties!$E$5:$E$304,V1886)&lt;&gt;HomeState),0,ROUND(L1886*M1886/2,2))),"")</f>
        <v/>
      </c>
      <c r="O1886" s="61" t="str">
        <f aca="false">IF(IsPro,IF($D1886="","",N1886),"")</f>
        <v/>
      </c>
      <c r="P1886" s="61" t="str">
        <f aca="false">IF(IsPro,IF($D1886="","",IF(AND(V1886&lt;&gt;"",INDEX(Parties!$E$5:$E$304,V1886)&lt;&gt;"",INDEX(Parties!$E$5:$E$304,V1886)&lt;&gt;HomeState),ROUND(L1886*M1886,2),0)),"")</f>
        <v/>
      </c>
      <c r="Q1886" s="61" t="str">
        <f aca="false">IF(IsPro,IF($D1886="","",L1886+N1886+O1886+P1886),"")</f>
        <v/>
      </c>
      <c r="R1886" s="61" t="str">
        <f aca="false">IF(IsPro,IF($D1886="","",ROUND(N($E1886)*IFERROR(INDEX(Items!$P$5:$P$504,U1886),0),2)),"")</f>
        <v/>
      </c>
      <c r="S1886" s="61" t="str">
        <f aca="false">IF(IsPro,IF($D1886="","",L1886-R1886),"")</f>
        <v/>
      </c>
      <c r="T1886" s="60" t="str">
        <f aca="false">IF(IsPro,IF($D1886="","",IF(U1886="","UNKNOWN ITEM",IF(INDEX(Items!$O$5:$O$504,U1886)&lt;0,"NEG STOCK",IF(K1886&lt;INDEX(Items!$P$5:$P$504,U1886),"BELOW COST","OK")))),IF($D1886="","","PRO PLAN"))</f>
        <v/>
      </c>
      <c r="U1886" s="60" t="str">
        <f aca="false">IF(IsPro,IF($D1886="","",IFERROR(MATCH($D1886,Items!$A$5:$A$504,0),"")),"")</f>
        <v/>
      </c>
      <c r="V1886" s="60" t="str">
        <f aca="false">IF(IsPro,IF($C1886="","",IFERROR(MATCH($C1886,Parties!$A$5:$A$304,0),"")),"")</f>
        <v/>
      </c>
      <c r="W1886" s="60" t="str">
        <f aca="false">IF(IsPro,IF($B1886="","",IFERROR(VALUE(SUBSTITUTE($B1886,InvPrefix,"")),0)),"")</f>
        <v/>
      </c>
      <c r="X1886" s="61" t="str">
        <f aca="false">IF(IsPro,IF($D1886="","",IF(OR($H1886="",$H1886="Credit"),0,Q1886)),"")</f>
        <v/>
      </c>
    </row>
    <row r="1887" customFormat="false" ht="15" hidden="false" customHeight="false" outlineLevel="0" collapsed="false">
      <c r="A1887" s="55"/>
      <c r="B1887" s="56"/>
      <c r="C1887" s="56"/>
      <c r="D1887" s="56"/>
      <c r="E1887" s="57"/>
      <c r="F1887" s="58"/>
      <c r="G1887" s="59"/>
      <c r="H1887" s="56"/>
      <c r="I1887" s="56"/>
      <c r="J1887" s="60" t="str">
        <f aca="false">IF(IsPro,IF($D1887="","",IFERROR(INDEX(Items!$D$5:$D$504,U1887),"")),"")</f>
        <v/>
      </c>
      <c r="K1887" s="61" t="str">
        <f aca="false">IF(IsPro,IF($D1887="","",IF($F1887="",IFERROR(INDEX(Items!$H$5:$H$504,U1887),0),$F1887)),"")</f>
        <v/>
      </c>
      <c r="L1887" s="61" t="str">
        <f aca="false">IF(IsPro,IF($D1887="","",ROUND(N($E1887)*K1887*(1-N($G1887)),2)),"")</f>
        <v/>
      </c>
      <c r="M1887" s="62" t="str">
        <f aca="false">IF(IsPro,IF($D1887="","",IFERROR(INDEX(Items!$F$5:$F$504,U1887),0)),"")</f>
        <v/>
      </c>
      <c r="N1887" s="61" t="str">
        <f aca="false">IF(IsPro,IF($D1887="","",IF(AND(V1887&lt;&gt;"",INDEX(Parties!$E$5:$E$304,V1887)&lt;&gt;"",INDEX(Parties!$E$5:$E$304,V1887)&lt;&gt;HomeState),0,ROUND(L1887*M1887/2,2))),"")</f>
        <v/>
      </c>
      <c r="O1887" s="61" t="str">
        <f aca="false">IF(IsPro,IF($D1887="","",N1887),"")</f>
        <v/>
      </c>
      <c r="P1887" s="61" t="str">
        <f aca="false">IF(IsPro,IF($D1887="","",IF(AND(V1887&lt;&gt;"",INDEX(Parties!$E$5:$E$304,V1887)&lt;&gt;"",INDEX(Parties!$E$5:$E$304,V1887)&lt;&gt;HomeState),ROUND(L1887*M1887,2),0)),"")</f>
        <v/>
      </c>
      <c r="Q1887" s="61" t="str">
        <f aca="false">IF(IsPro,IF($D1887="","",L1887+N1887+O1887+P1887),"")</f>
        <v/>
      </c>
      <c r="R1887" s="61" t="str">
        <f aca="false">IF(IsPro,IF($D1887="","",ROUND(N($E1887)*IFERROR(INDEX(Items!$P$5:$P$504,U1887),0),2)),"")</f>
        <v/>
      </c>
      <c r="S1887" s="61" t="str">
        <f aca="false">IF(IsPro,IF($D1887="","",L1887-R1887),"")</f>
        <v/>
      </c>
      <c r="T1887" s="60" t="str">
        <f aca="false">IF(IsPro,IF($D1887="","",IF(U1887="","UNKNOWN ITEM",IF(INDEX(Items!$O$5:$O$504,U1887)&lt;0,"NEG STOCK",IF(K1887&lt;INDEX(Items!$P$5:$P$504,U1887),"BELOW COST","OK")))),IF($D1887="","","PRO PLAN"))</f>
        <v/>
      </c>
      <c r="U1887" s="60" t="str">
        <f aca="false">IF(IsPro,IF($D1887="","",IFERROR(MATCH($D1887,Items!$A$5:$A$504,0),"")),"")</f>
        <v/>
      </c>
      <c r="V1887" s="60" t="str">
        <f aca="false">IF(IsPro,IF($C1887="","",IFERROR(MATCH($C1887,Parties!$A$5:$A$304,0),"")),"")</f>
        <v/>
      </c>
      <c r="W1887" s="60" t="str">
        <f aca="false">IF(IsPro,IF($B1887="","",IFERROR(VALUE(SUBSTITUTE($B1887,InvPrefix,"")),0)),"")</f>
        <v/>
      </c>
      <c r="X1887" s="61" t="str">
        <f aca="false">IF(IsPro,IF($D1887="","",IF(OR($H1887="",$H1887="Credit"),0,Q1887)),"")</f>
        <v/>
      </c>
    </row>
    <row r="1888" customFormat="false" ht="15" hidden="false" customHeight="false" outlineLevel="0" collapsed="false">
      <c r="A1888" s="55"/>
      <c r="B1888" s="56"/>
      <c r="C1888" s="56"/>
      <c r="D1888" s="56"/>
      <c r="E1888" s="57"/>
      <c r="F1888" s="58"/>
      <c r="G1888" s="59"/>
      <c r="H1888" s="56"/>
      <c r="I1888" s="56"/>
      <c r="J1888" s="60" t="str">
        <f aca="false">IF(IsPro,IF($D1888="","",IFERROR(INDEX(Items!$D$5:$D$504,U1888),"")),"")</f>
        <v/>
      </c>
      <c r="K1888" s="61" t="str">
        <f aca="false">IF(IsPro,IF($D1888="","",IF($F1888="",IFERROR(INDEX(Items!$H$5:$H$504,U1888),0),$F1888)),"")</f>
        <v/>
      </c>
      <c r="L1888" s="61" t="str">
        <f aca="false">IF(IsPro,IF($D1888="","",ROUND(N($E1888)*K1888*(1-N($G1888)),2)),"")</f>
        <v/>
      </c>
      <c r="M1888" s="62" t="str">
        <f aca="false">IF(IsPro,IF($D1888="","",IFERROR(INDEX(Items!$F$5:$F$504,U1888),0)),"")</f>
        <v/>
      </c>
      <c r="N1888" s="61" t="str">
        <f aca="false">IF(IsPro,IF($D1888="","",IF(AND(V1888&lt;&gt;"",INDEX(Parties!$E$5:$E$304,V1888)&lt;&gt;"",INDEX(Parties!$E$5:$E$304,V1888)&lt;&gt;HomeState),0,ROUND(L1888*M1888/2,2))),"")</f>
        <v/>
      </c>
      <c r="O1888" s="61" t="str">
        <f aca="false">IF(IsPro,IF($D1888="","",N1888),"")</f>
        <v/>
      </c>
      <c r="P1888" s="61" t="str">
        <f aca="false">IF(IsPro,IF($D1888="","",IF(AND(V1888&lt;&gt;"",INDEX(Parties!$E$5:$E$304,V1888)&lt;&gt;"",INDEX(Parties!$E$5:$E$304,V1888)&lt;&gt;HomeState),ROUND(L1888*M1888,2),0)),"")</f>
        <v/>
      </c>
      <c r="Q1888" s="61" t="str">
        <f aca="false">IF(IsPro,IF($D1888="","",L1888+N1888+O1888+P1888),"")</f>
        <v/>
      </c>
      <c r="R1888" s="61" t="str">
        <f aca="false">IF(IsPro,IF($D1888="","",ROUND(N($E1888)*IFERROR(INDEX(Items!$P$5:$P$504,U1888),0),2)),"")</f>
        <v/>
      </c>
      <c r="S1888" s="61" t="str">
        <f aca="false">IF(IsPro,IF($D1888="","",L1888-R1888),"")</f>
        <v/>
      </c>
      <c r="T1888" s="60" t="str">
        <f aca="false">IF(IsPro,IF($D1888="","",IF(U1888="","UNKNOWN ITEM",IF(INDEX(Items!$O$5:$O$504,U1888)&lt;0,"NEG STOCK",IF(K1888&lt;INDEX(Items!$P$5:$P$504,U1888),"BELOW COST","OK")))),IF($D1888="","","PRO PLAN"))</f>
        <v/>
      </c>
      <c r="U1888" s="60" t="str">
        <f aca="false">IF(IsPro,IF($D1888="","",IFERROR(MATCH($D1888,Items!$A$5:$A$504,0),"")),"")</f>
        <v/>
      </c>
      <c r="V1888" s="60" t="str">
        <f aca="false">IF(IsPro,IF($C1888="","",IFERROR(MATCH($C1888,Parties!$A$5:$A$304,0),"")),"")</f>
        <v/>
      </c>
      <c r="W1888" s="60" t="str">
        <f aca="false">IF(IsPro,IF($B1888="","",IFERROR(VALUE(SUBSTITUTE($B1888,InvPrefix,"")),0)),"")</f>
        <v/>
      </c>
      <c r="X1888" s="61" t="str">
        <f aca="false">IF(IsPro,IF($D1888="","",IF(OR($H1888="",$H1888="Credit"),0,Q1888)),"")</f>
        <v/>
      </c>
    </row>
    <row r="1889" customFormat="false" ht="15" hidden="false" customHeight="false" outlineLevel="0" collapsed="false">
      <c r="A1889" s="55"/>
      <c r="B1889" s="56"/>
      <c r="C1889" s="56"/>
      <c r="D1889" s="56"/>
      <c r="E1889" s="57"/>
      <c r="F1889" s="58"/>
      <c r="G1889" s="59"/>
      <c r="H1889" s="56"/>
      <c r="I1889" s="56"/>
      <c r="J1889" s="60" t="str">
        <f aca="false">IF(IsPro,IF($D1889="","",IFERROR(INDEX(Items!$D$5:$D$504,U1889),"")),"")</f>
        <v/>
      </c>
      <c r="K1889" s="61" t="str">
        <f aca="false">IF(IsPro,IF($D1889="","",IF($F1889="",IFERROR(INDEX(Items!$H$5:$H$504,U1889),0),$F1889)),"")</f>
        <v/>
      </c>
      <c r="L1889" s="61" t="str">
        <f aca="false">IF(IsPro,IF($D1889="","",ROUND(N($E1889)*K1889*(1-N($G1889)),2)),"")</f>
        <v/>
      </c>
      <c r="M1889" s="62" t="str">
        <f aca="false">IF(IsPro,IF($D1889="","",IFERROR(INDEX(Items!$F$5:$F$504,U1889),0)),"")</f>
        <v/>
      </c>
      <c r="N1889" s="61" t="str">
        <f aca="false">IF(IsPro,IF($D1889="","",IF(AND(V1889&lt;&gt;"",INDEX(Parties!$E$5:$E$304,V1889)&lt;&gt;"",INDEX(Parties!$E$5:$E$304,V1889)&lt;&gt;HomeState),0,ROUND(L1889*M1889/2,2))),"")</f>
        <v/>
      </c>
      <c r="O1889" s="61" t="str">
        <f aca="false">IF(IsPro,IF($D1889="","",N1889),"")</f>
        <v/>
      </c>
      <c r="P1889" s="61" t="str">
        <f aca="false">IF(IsPro,IF($D1889="","",IF(AND(V1889&lt;&gt;"",INDEX(Parties!$E$5:$E$304,V1889)&lt;&gt;"",INDEX(Parties!$E$5:$E$304,V1889)&lt;&gt;HomeState),ROUND(L1889*M1889,2),0)),"")</f>
        <v/>
      </c>
      <c r="Q1889" s="61" t="str">
        <f aca="false">IF(IsPro,IF($D1889="","",L1889+N1889+O1889+P1889),"")</f>
        <v/>
      </c>
      <c r="R1889" s="61" t="str">
        <f aca="false">IF(IsPro,IF($D1889="","",ROUND(N($E1889)*IFERROR(INDEX(Items!$P$5:$P$504,U1889),0),2)),"")</f>
        <v/>
      </c>
      <c r="S1889" s="61" t="str">
        <f aca="false">IF(IsPro,IF($D1889="","",L1889-R1889),"")</f>
        <v/>
      </c>
      <c r="T1889" s="60" t="str">
        <f aca="false">IF(IsPro,IF($D1889="","",IF(U1889="","UNKNOWN ITEM",IF(INDEX(Items!$O$5:$O$504,U1889)&lt;0,"NEG STOCK",IF(K1889&lt;INDEX(Items!$P$5:$P$504,U1889),"BELOW COST","OK")))),IF($D1889="","","PRO PLAN"))</f>
        <v/>
      </c>
      <c r="U1889" s="60" t="str">
        <f aca="false">IF(IsPro,IF($D1889="","",IFERROR(MATCH($D1889,Items!$A$5:$A$504,0),"")),"")</f>
        <v/>
      </c>
      <c r="V1889" s="60" t="str">
        <f aca="false">IF(IsPro,IF($C1889="","",IFERROR(MATCH($C1889,Parties!$A$5:$A$304,0),"")),"")</f>
        <v/>
      </c>
      <c r="W1889" s="60" t="str">
        <f aca="false">IF(IsPro,IF($B1889="","",IFERROR(VALUE(SUBSTITUTE($B1889,InvPrefix,"")),0)),"")</f>
        <v/>
      </c>
      <c r="X1889" s="61" t="str">
        <f aca="false">IF(IsPro,IF($D1889="","",IF(OR($H1889="",$H1889="Credit"),0,Q1889)),"")</f>
        <v/>
      </c>
    </row>
    <row r="1890" customFormat="false" ht="15" hidden="false" customHeight="false" outlineLevel="0" collapsed="false">
      <c r="A1890" s="55"/>
      <c r="B1890" s="56"/>
      <c r="C1890" s="56"/>
      <c r="D1890" s="56"/>
      <c r="E1890" s="57"/>
      <c r="F1890" s="58"/>
      <c r="G1890" s="59"/>
      <c r="H1890" s="56"/>
      <c r="I1890" s="56"/>
      <c r="J1890" s="60" t="str">
        <f aca="false">IF(IsPro,IF($D1890="","",IFERROR(INDEX(Items!$D$5:$D$504,U1890),"")),"")</f>
        <v/>
      </c>
      <c r="K1890" s="61" t="str">
        <f aca="false">IF(IsPro,IF($D1890="","",IF($F1890="",IFERROR(INDEX(Items!$H$5:$H$504,U1890),0),$F1890)),"")</f>
        <v/>
      </c>
      <c r="L1890" s="61" t="str">
        <f aca="false">IF(IsPro,IF($D1890="","",ROUND(N($E1890)*K1890*(1-N($G1890)),2)),"")</f>
        <v/>
      </c>
      <c r="M1890" s="62" t="str">
        <f aca="false">IF(IsPro,IF($D1890="","",IFERROR(INDEX(Items!$F$5:$F$504,U1890),0)),"")</f>
        <v/>
      </c>
      <c r="N1890" s="61" t="str">
        <f aca="false">IF(IsPro,IF($D1890="","",IF(AND(V1890&lt;&gt;"",INDEX(Parties!$E$5:$E$304,V1890)&lt;&gt;"",INDEX(Parties!$E$5:$E$304,V1890)&lt;&gt;HomeState),0,ROUND(L1890*M1890/2,2))),"")</f>
        <v/>
      </c>
      <c r="O1890" s="61" t="str">
        <f aca="false">IF(IsPro,IF($D1890="","",N1890),"")</f>
        <v/>
      </c>
      <c r="P1890" s="61" t="str">
        <f aca="false">IF(IsPro,IF($D1890="","",IF(AND(V1890&lt;&gt;"",INDEX(Parties!$E$5:$E$304,V1890)&lt;&gt;"",INDEX(Parties!$E$5:$E$304,V1890)&lt;&gt;HomeState),ROUND(L1890*M1890,2),0)),"")</f>
        <v/>
      </c>
      <c r="Q1890" s="61" t="str">
        <f aca="false">IF(IsPro,IF($D1890="","",L1890+N1890+O1890+P1890),"")</f>
        <v/>
      </c>
      <c r="R1890" s="61" t="str">
        <f aca="false">IF(IsPro,IF($D1890="","",ROUND(N($E1890)*IFERROR(INDEX(Items!$P$5:$P$504,U1890),0),2)),"")</f>
        <v/>
      </c>
      <c r="S1890" s="61" t="str">
        <f aca="false">IF(IsPro,IF($D1890="","",L1890-R1890),"")</f>
        <v/>
      </c>
      <c r="T1890" s="60" t="str">
        <f aca="false">IF(IsPro,IF($D1890="","",IF(U1890="","UNKNOWN ITEM",IF(INDEX(Items!$O$5:$O$504,U1890)&lt;0,"NEG STOCK",IF(K1890&lt;INDEX(Items!$P$5:$P$504,U1890),"BELOW COST","OK")))),IF($D1890="","","PRO PLAN"))</f>
        <v/>
      </c>
      <c r="U1890" s="60" t="str">
        <f aca="false">IF(IsPro,IF($D1890="","",IFERROR(MATCH($D1890,Items!$A$5:$A$504,0),"")),"")</f>
        <v/>
      </c>
      <c r="V1890" s="60" t="str">
        <f aca="false">IF(IsPro,IF($C1890="","",IFERROR(MATCH($C1890,Parties!$A$5:$A$304,0),"")),"")</f>
        <v/>
      </c>
      <c r="W1890" s="60" t="str">
        <f aca="false">IF(IsPro,IF($B1890="","",IFERROR(VALUE(SUBSTITUTE($B1890,InvPrefix,"")),0)),"")</f>
        <v/>
      </c>
      <c r="X1890" s="61" t="str">
        <f aca="false">IF(IsPro,IF($D1890="","",IF(OR($H1890="",$H1890="Credit"),0,Q1890)),"")</f>
        <v/>
      </c>
    </row>
    <row r="1891" customFormat="false" ht="15" hidden="false" customHeight="false" outlineLevel="0" collapsed="false">
      <c r="A1891" s="55"/>
      <c r="B1891" s="56"/>
      <c r="C1891" s="56"/>
      <c r="D1891" s="56"/>
      <c r="E1891" s="57"/>
      <c r="F1891" s="58"/>
      <c r="G1891" s="59"/>
      <c r="H1891" s="56"/>
      <c r="I1891" s="56"/>
      <c r="J1891" s="60" t="str">
        <f aca="false">IF(IsPro,IF($D1891="","",IFERROR(INDEX(Items!$D$5:$D$504,U1891),"")),"")</f>
        <v/>
      </c>
      <c r="K1891" s="61" t="str">
        <f aca="false">IF(IsPro,IF($D1891="","",IF($F1891="",IFERROR(INDEX(Items!$H$5:$H$504,U1891),0),$F1891)),"")</f>
        <v/>
      </c>
      <c r="L1891" s="61" t="str">
        <f aca="false">IF(IsPro,IF($D1891="","",ROUND(N($E1891)*K1891*(1-N($G1891)),2)),"")</f>
        <v/>
      </c>
      <c r="M1891" s="62" t="str">
        <f aca="false">IF(IsPro,IF($D1891="","",IFERROR(INDEX(Items!$F$5:$F$504,U1891),0)),"")</f>
        <v/>
      </c>
      <c r="N1891" s="61" t="str">
        <f aca="false">IF(IsPro,IF($D1891="","",IF(AND(V1891&lt;&gt;"",INDEX(Parties!$E$5:$E$304,V1891)&lt;&gt;"",INDEX(Parties!$E$5:$E$304,V1891)&lt;&gt;HomeState),0,ROUND(L1891*M1891/2,2))),"")</f>
        <v/>
      </c>
      <c r="O1891" s="61" t="str">
        <f aca="false">IF(IsPro,IF($D1891="","",N1891),"")</f>
        <v/>
      </c>
      <c r="P1891" s="61" t="str">
        <f aca="false">IF(IsPro,IF($D1891="","",IF(AND(V1891&lt;&gt;"",INDEX(Parties!$E$5:$E$304,V1891)&lt;&gt;"",INDEX(Parties!$E$5:$E$304,V1891)&lt;&gt;HomeState),ROUND(L1891*M1891,2),0)),"")</f>
        <v/>
      </c>
      <c r="Q1891" s="61" t="str">
        <f aca="false">IF(IsPro,IF($D1891="","",L1891+N1891+O1891+P1891),"")</f>
        <v/>
      </c>
      <c r="R1891" s="61" t="str">
        <f aca="false">IF(IsPro,IF($D1891="","",ROUND(N($E1891)*IFERROR(INDEX(Items!$P$5:$P$504,U1891),0),2)),"")</f>
        <v/>
      </c>
      <c r="S1891" s="61" t="str">
        <f aca="false">IF(IsPro,IF($D1891="","",L1891-R1891),"")</f>
        <v/>
      </c>
      <c r="T1891" s="60" t="str">
        <f aca="false">IF(IsPro,IF($D1891="","",IF(U1891="","UNKNOWN ITEM",IF(INDEX(Items!$O$5:$O$504,U1891)&lt;0,"NEG STOCK",IF(K1891&lt;INDEX(Items!$P$5:$P$504,U1891),"BELOW COST","OK")))),IF($D1891="","","PRO PLAN"))</f>
        <v/>
      </c>
      <c r="U1891" s="60" t="str">
        <f aca="false">IF(IsPro,IF($D1891="","",IFERROR(MATCH($D1891,Items!$A$5:$A$504,0),"")),"")</f>
        <v/>
      </c>
      <c r="V1891" s="60" t="str">
        <f aca="false">IF(IsPro,IF($C1891="","",IFERROR(MATCH($C1891,Parties!$A$5:$A$304,0),"")),"")</f>
        <v/>
      </c>
      <c r="W1891" s="60" t="str">
        <f aca="false">IF(IsPro,IF($B1891="","",IFERROR(VALUE(SUBSTITUTE($B1891,InvPrefix,"")),0)),"")</f>
        <v/>
      </c>
      <c r="X1891" s="61" t="str">
        <f aca="false">IF(IsPro,IF($D1891="","",IF(OR($H1891="",$H1891="Credit"),0,Q1891)),"")</f>
        <v/>
      </c>
    </row>
    <row r="1892" customFormat="false" ht="15" hidden="false" customHeight="false" outlineLevel="0" collapsed="false">
      <c r="A1892" s="55"/>
      <c r="B1892" s="56"/>
      <c r="C1892" s="56"/>
      <c r="D1892" s="56"/>
      <c r="E1892" s="57"/>
      <c r="F1892" s="58"/>
      <c r="G1892" s="59"/>
      <c r="H1892" s="56"/>
      <c r="I1892" s="56"/>
      <c r="J1892" s="60" t="str">
        <f aca="false">IF(IsPro,IF($D1892="","",IFERROR(INDEX(Items!$D$5:$D$504,U1892),"")),"")</f>
        <v/>
      </c>
      <c r="K1892" s="61" t="str">
        <f aca="false">IF(IsPro,IF($D1892="","",IF($F1892="",IFERROR(INDEX(Items!$H$5:$H$504,U1892),0),$F1892)),"")</f>
        <v/>
      </c>
      <c r="L1892" s="61" t="str">
        <f aca="false">IF(IsPro,IF($D1892="","",ROUND(N($E1892)*K1892*(1-N($G1892)),2)),"")</f>
        <v/>
      </c>
      <c r="M1892" s="62" t="str">
        <f aca="false">IF(IsPro,IF($D1892="","",IFERROR(INDEX(Items!$F$5:$F$504,U1892),0)),"")</f>
        <v/>
      </c>
      <c r="N1892" s="61" t="str">
        <f aca="false">IF(IsPro,IF($D1892="","",IF(AND(V1892&lt;&gt;"",INDEX(Parties!$E$5:$E$304,V1892)&lt;&gt;"",INDEX(Parties!$E$5:$E$304,V1892)&lt;&gt;HomeState),0,ROUND(L1892*M1892/2,2))),"")</f>
        <v/>
      </c>
      <c r="O1892" s="61" t="str">
        <f aca="false">IF(IsPro,IF($D1892="","",N1892),"")</f>
        <v/>
      </c>
      <c r="P1892" s="61" t="str">
        <f aca="false">IF(IsPro,IF($D1892="","",IF(AND(V1892&lt;&gt;"",INDEX(Parties!$E$5:$E$304,V1892)&lt;&gt;"",INDEX(Parties!$E$5:$E$304,V1892)&lt;&gt;HomeState),ROUND(L1892*M1892,2),0)),"")</f>
        <v/>
      </c>
      <c r="Q1892" s="61" t="str">
        <f aca="false">IF(IsPro,IF($D1892="","",L1892+N1892+O1892+P1892),"")</f>
        <v/>
      </c>
      <c r="R1892" s="61" t="str">
        <f aca="false">IF(IsPro,IF($D1892="","",ROUND(N($E1892)*IFERROR(INDEX(Items!$P$5:$P$504,U1892),0),2)),"")</f>
        <v/>
      </c>
      <c r="S1892" s="61" t="str">
        <f aca="false">IF(IsPro,IF($D1892="","",L1892-R1892),"")</f>
        <v/>
      </c>
      <c r="T1892" s="60" t="str">
        <f aca="false">IF(IsPro,IF($D1892="","",IF(U1892="","UNKNOWN ITEM",IF(INDEX(Items!$O$5:$O$504,U1892)&lt;0,"NEG STOCK",IF(K1892&lt;INDEX(Items!$P$5:$P$504,U1892),"BELOW COST","OK")))),IF($D1892="","","PRO PLAN"))</f>
        <v/>
      </c>
      <c r="U1892" s="60" t="str">
        <f aca="false">IF(IsPro,IF($D1892="","",IFERROR(MATCH($D1892,Items!$A$5:$A$504,0),"")),"")</f>
        <v/>
      </c>
      <c r="V1892" s="60" t="str">
        <f aca="false">IF(IsPro,IF($C1892="","",IFERROR(MATCH($C1892,Parties!$A$5:$A$304,0),"")),"")</f>
        <v/>
      </c>
      <c r="W1892" s="60" t="str">
        <f aca="false">IF(IsPro,IF($B1892="","",IFERROR(VALUE(SUBSTITUTE($B1892,InvPrefix,"")),0)),"")</f>
        <v/>
      </c>
      <c r="X1892" s="61" t="str">
        <f aca="false">IF(IsPro,IF($D1892="","",IF(OR($H1892="",$H1892="Credit"),0,Q1892)),"")</f>
        <v/>
      </c>
    </row>
    <row r="1893" customFormat="false" ht="15" hidden="false" customHeight="false" outlineLevel="0" collapsed="false">
      <c r="A1893" s="55"/>
      <c r="B1893" s="56"/>
      <c r="C1893" s="56"/>
      <c r="D1893" s="56"/>
      <c r="E1893" s="57"/>
      <c r="F1893" s="58"/>
      <c r="G1893" s="59"/>
      <c r="H1893" s="56"/>
      <c r="I1893" s="56"/>
      <c r="J1893" s="60" t="str">
        <f aca="false">IF(IsPro,IF($D1893="","",IFERROR(INDEX(Items!$D$5:$D$504,U1893),"")),"")</f>
        <v/>
      </c>
      <c r="K1893" s="61" t="str">
        <f aca="false">IF(IsPro,IF($D1893="","",IF($F1893="",IFERROR(INDEX(Items!$H$5:$H$504,U1893),0),$F1893)),"")</f>
        <v/>
      </c>
      <c r="L1893" s="61" t="str">
        <f aca="false">IF(IsPro,IF($D1893="","",ROUND(N($E1893)*K1893*(1-N($G1893)),2)),"")</f>
        <v/>
      </c>
      <c r="M1893" s="62" t="str">
        <f aca="false">IF(IsPro,IF($D1893="","",IFERROR(INDEX(Items!$F$5:$F$504,U1893),0)),"")</f>
        <v/>
      </c>
      <c r="N1893" s="61" t="str">
        <f aca="false">IF(IsPro,IF($D1893="","",IF(AND(V1893&lt;&gt;"",INDEX(Parties!$E$5:$E$304,V1893)&lt;&gt;"",INDEX(Parties!$E$5:$E$304,V1893)&lt;&gt;HomeState),0,ROUND(L1893*M1893/2,2))),"")</f>
        <v/>
      </c>
      <c r="O1893" s="61" t="str">
        <f aca="false">IF(IsPro,IF($D1893="","",N1893),"")</f>
        <v/>
      </c>
      <c r="P1893" s="61" t="str">
        <f aca="false">IF(IsPro,IF($D1893="","",IF(AND(V1893&lt;&gt;"",INDEX(Parties!$E$5:$E$304,V1893)&lt;&gt;"",INDEX(Parties!$E$5:$E$304,V1893)&lt;&gt;HomeState),ROUND(L1893*M1893,2),0)),"")</f>
        <v/>
      </c>
      <c r="Q1893" s="61" t="str">
        <f aca="false">IF(IsPro,IF($D1893="","",L1893+N1893+O1893+P1893),"")</f>
        <v/>
      </c>
      <c r="R1893" s="61" t="str">
        <f aca="false">IF(IsPro,IF($D1893="","",ROUND(N($E1893)*IFERROR(INDEX(Items!$P$5:$P$504,U1893),0),2)),"")</f>
        <v/>
      </c>
      <c r="S1893" s="61" t="str">
        <f aca="false">IF(IsPro,IF($D1893="","",L1893-R1893),"")</f>
        <v/>
      </c>
      <c r="T1893" s="60" t="str">
        <f aca="false">IF(IsPro,IF($D1893="","",IF(U1893="","UNKNOWN ITEM",IF(INDEX(Items!$O$5:$O$504,U1893)&lt;0,"NEG STOCK",IF(K1893&lt;INDEX(Items!$P$5:$P$504,U1893),"BELOW COST","OK")))),IF($D1893="","","PRO PLAN"))</f>
        <v/>
      </c>
      <c r="U1893" s="60" t="str">
        <f aca="false">IF(IsPro,IF($D1893="","",IFERROR(MATCH($D1893,Items!$A$5:$A$504,0),"")),"")</f>
        <v/>
      </c>
      <c r="V1893" s="60" t="str">
        <f aca="false">IF(IsPro,IF($C1893="","",IFERROR(MATCH($C1893,Parties!$A$5:$A$304,0),"")),"")</f>
        <v/>
      </c>
      <c r="W1893" s="60" t="str">
        <f aca="false">IF(IsPro,IF($B1893="","",IFERROR(VALUE(SUBSTITUTE($B1893,InvPrefix,"")),0)),"")</f>
        <v/>
      </c>
      <c r="X1893" s="61" t="str">
        <f aca="false">IF(IsPro,IF($D1893="","",IF(OR($H1893="",$H1893="Credit"),0,Q1893)),"")</f>
        <v/>
      </c>
    </row>
    <row r="1894" customFormat="false" ht="15" hidden="false" customHeight="false" outlineLevel="0" collapsed="false">
      <c r="A1894" s="55"/>
      <c r="B1894" s="56"/>
      <c r="C1894" s="56"/>
      <c r="D1894" s="56"/>
      <c r="E1894" s="57"/>
      <c r="F1894" s="58"/>
      <c r="G1894" s="59"/>
      <c r="H1894" s="56"/>
      <c r="I1894" s="56"/>
      <c r="J1894" s="60" t="str">
        <f aca="false">IF(IsPro,IF($D1894="","",IFERROR(INDEX(Items!$D$5:$D$504,U1894),"")),"")</f>
        <v/>
      </c>
      <c r="K1894" s="61" t="str">
        <f aca="false">IF(IsPro,IF($D1894="","",IF($F1894="",IFERROR(INDEX(Items!$H$5:$H$504,U1894),0),$F1894)),"")</f>
        <v/>
      </c>
      <c r="L1894" s="61" t="str">
        <f aca="false">IF(IsPro,IF($D1894="","",ROUND(N($E1894)*K1894*(1-N($G1894)),2)),"")</f>
        <v/>
      </c>
      <c r="M1894" s="62" t="str">
        <f aca="false">IF(IsPro,IF($D1894="","",IFERROR(INDEX(Items!$F$5:$F$504,U1894),0)),"")</f>
        <v/>
      </c>
      <c r="N1894" s="61" t="str">
        <f aca="false">IF(IsPro,IF($D1894="","",IF(AND(V1894&lt;&gt;"",INDEX(Parties!$E$5:$E$304,V1894)&lt;&gt;"",INDEX(Parties!$E$5:$E$304,V1894)&lt;&gt;HomeState),0,ROUND(L1894*M1894/2,2))),"")</f>
        <v/>
      </c>
      <c r="O1894" s="61" t="str">
        <f aca="false">IF(IsPro,IF($D1894="","",N1894),"")</f>
        <v/>
      </c>
      <c r="P1894" s="61" t="str">
        <f aca="false">IF(IsPro,IF($D1894="","",IF(AND(V1894&lt;&gt;"",INDEX(Parties!$E$5:$E$304,V1894)&lt;&gt;"",INDEX(Parties!$E$5:$E$304,V1894)&lt;&gt;HomeState),ROUND(L1894*M1894,2),0)),"")</f>
        <v/>
      </c>
      <c r="Q1894" s="61" t="str">
        <f aca="false">IF(IsPro,IF($D1894="","",L1894+N1894+O1894+P1894),"")</f>
        <v/>
      </c>
      <c r="R1894" s="61" t="str">
        <f aca="false">IF(IsPro,IF($D1894="","",ROUND(N($E1894)*IFERROR(INDEX(Items!$P$5:$P$504,U1894),0),2)),"")</f>
        <v/>
      </c>
      <c r="S1894" s="61" t="str">
        <f aca="false">IF(IsPro,IF($D1894="","",L1894-R1894),"")</f>
        <v/>
      </c>
      <c r="T1894" s="60" t="str">
        <f aca="false">IF(IsPro,IF($D1894="","",IF(U1894="","UNKNOWN ITEM",IF(INDEX(Items!$O$5:$O$504,U1894)&lt;0,"NEG STOCK",IF(K1894&lt;INDEX(Items!$P$5:$P$504,U1894),"BELOW COST","OK")))),IF($D1894="","","PRO PLAN"))</f>
        <v/>
      </c>
      <c r="U1894" s="60" t="str">
        <f aca="false">IF(IsPro,IF($D1894="","",IFERROR(MATCH($D1894,Items!$A$5:$A$504,0),"")),"")</f>
        <v/>
      </c>
      <c r="V1894" s="60" t="str">
        <f aca="false">IF(IsPro,IF($C1894="","",IFERROR(MATCH($C1894,Parties!$A$5:$A$304,0),"")),"")</f>
        <v/>
      </c>
      <c r="W1894" s="60" t="str">
        <f aca="false">IF(IsPro,IF($B1894="","",IFERROR(VALUE(SUBSTITUTE($B1894,InvPrefix,"")),0)),"")</f>
        <v/>
      </c>
      <c r="X1894" s="61" t="str">
        <f aca="false">IF(IsPro,IF($D1894="","",IF(OR($H1894="",$H1894="Credit"),0,Q1894)),"")</f>
        <v/>
      </c>
    </row>
    <row r="1895" customFormat="false" ht="15" hidden="false" customHeight="false" outlineLevel="0" collapsed="false">
      <c r="A1895" s="55"/>
      <c r="B1895" s="56"/>
      <c r="C1895" s="56"/>
      <c r="D1895" s="56"/>
      <c r="E1895" s="57"/>
      <c r="F1895" s="58"/>
      <c r="G1895" s="59"/>
      <c r="H1895" s="56"/>
      <c r="I1895" s="56"/>
      <c r="J1895" s="60" t="str">
        <f aca="false">IF(IsPro,IF($D1895="","",IFERROR(INDEX(Items!$D$5:$D$504,U1895),"")),"")</f>
        <v/>
      </c>
      <c r="K1895" s="61" t="str">
        <f aca="false">IF(IsPro,IF($D1895="","",IF($F1895="",IFERROR(INDEX(Items!$H$5:$H$504,U1895),0),$F1895)),"")</f>
        <v/>
      </c>
      <c r="L1895" s="61" t="str">
        <f aca="false">IF(IsPro,IF($D1895="","",ROUND(N($E1895)*K1895*(1-N($G1895)),2)),"")</f>
        <v/>
      </c>
      <c r="M1895" s="62" t="str">
        <f aca="false">IF(IsPro,IF($D1895="","",IFERROR(INDEX(Items!$F$5:$F$504,U1895),0)),"")</f>
        <v/>
      </c>
      <c r="N1895" s="61" t="str">
        <f aca="false">IF(IsPro,IF($D1895="","",IF(AND(V1895&lt;&gt;"",INDEX(Parties!$E$5:$E$304,V1895)&lt;&gt;"",INDEX(Parties!$E$5:$E$304,V1895)&lt;&gt;HomeState),0,ROUND(L1895*M1895/2,2))),"")</f>
        <v/>
      </c>
      <c r="O1895" s="61" t="str">
        <f aca="false">IF(IsPro,IF($D1895="","",N1895),"")</f>
        <v/>
      </c>
      <c r="P1895" s="61" t="str">
        <f aca="false">IF(IsPro,IF($D1895="","",IF(AND(V1895&lt;&gt;"",INDEX(Parties!$E$5:$E$304,V1895)&lt;&gt;"",INDEX(Parties!$E$5:$E$304,V1895)&lt;&gt;HomeState),ROUND(L1895*M1895,2),0)),"")</f>
        <v/>
      </c>
      <c r="Q1895" s="61" t="str">
        <f aca="false">IF(IsPro,IF($D1895="","",L1895+N1895+O1895+P1895),"")</f>
        <v/>
      </c>
      <c r="R1895" s="61" t="str">
        <f aca="false">IF(IsPro,IF($D1895="","",ROUND(N($E1895)*IFERROR(INDEX(Items!$P$5:$P$504,U1895),0),2)),"")</f>
        <v/>
      </c>
      <c r="S1895" s="61" t="str">
        <f aca="false">IF(IsPro,IF($D1895="","",L1895-R1895),"")</f>
        <v/>
      </c>
      <c r="T1895" s="60" t="str">
        <f aca="false">IF(IsPro,IF($D1895="","",IF(U1895="","UNKNOWN ITEM",IF(INDEX(Items!$O$5:$O$504,U1895)&lt;0,"NEG STOCK",IF(K1895&lt;INDEX(Items!$P$5:$P$504,U1895),"BELOW COST","OK")))),IF($D1895="","","PRO PLAN"))</f>
        <v/>
      </c>
      <c r="U1895" s="60" t="str">
        <f aca="false">IF(IsPro,IF($D1895="","",IFERROR(MATCH($D1895,Items!$A$5:$A$504,0),"")),"")</f>
        <v/>
      </c>
      <c r="V1895" s="60" t="str">
        <f aca="false">IF(IsPro,IF($C1895="","",IFERROR(MATCH($C1895,Parties!$A$5:$A$304,0),"")),"")</f>
        <v/>
      </c>
      <c r="W1895" s="60" t="str">
        <f aca="false">IF(IsPro,IF($B1895="","",IFERROR(VALUE(SUBSTITUTE($B1895,InvPrefix,"")),0)),"")</f>
        <v/>
      </c>
      <c r="X1895" s="61" t="str">
        <f aca="false">IF(IsPro,IF($D1895="","",IF(OR($H1895="",$H1895="Credit"),0,Q1895)),"")</f>
        <v/>
      </c>
    </row>
    <row r="1896" customFormat="false" ht="15" hidden="false" customHeight="false" outlineLevel="0" collapsed="false">
      <c r="A1896" s="55"/>
      <c r="B1896" s="56"/>
      <c r="C1896" s="56"/>
      <c r="D1896" s="56"/>
      <c r="E1896" s="57"/>
      <c r="F1896" s="58"/>
      <c r="G1896" s="59"/>
      <c r="H1896" s="56"/>
      <c r="I1896" s="56"/>
      <c r="J1896" s="60" t="str">
        <f aca="false">IF(IsPro,IF($D1896="","",IFERROR(INDEX(Items!$D$5:$D$504,U1896),"")),"")</f>
        <v/>
      </c>
      <c r="K1896" s="61" t="str">
        <f aca="false">IF(IsPro,IF($D1896="","",IF($F1896="",IFERROR(INDEX(Items!$H$5:$H$504,U1896),0),$F1896)),"")</f>
        <v/>
      </c>
      <c r="L1896" s="61" t="str">
        <f aca="false">IF(IsPro,IF($D1896="","",ROUND(N($E1896)*K1896*(1-N($G1896)),2)),"")</f>
        <v/>
      </c>
      <c r="M1896" s="62" t="str">
        <f aca="false">IF(IsPro,IF($D1896="","",IFERROR(INDEX(Items!$F$5:$F$504,U1896),0)),"")</f>
        <v/>
      </c>
      <c r="N1896" s="61" t="str">
        <f aca="false">IF(IsPro,IF($D1896="","",IF(AND(V1896&lt;&gt;"",INDEX(Parties!$E$5:$E$304,V1896)&lt;&gt;"",INDEX(Parties!$E$5:$E$304,V1896)&lt;&gt;HomeState),0,ROUND(L1896*M1896/2,2))),"")</f>
        <v/>
      </c>
      <c r="O1896" s="61" t="str">
        <f aca="false">IF(IsPro,IF($D1896="","",N1896),"")</f>
        <v/>
      </c>
      <c r="P1896" s="61" t="str">
        <f aca="false">IF(IsPro,IF($D1896="","",IF(AND(V1896&lt;&gt;"",INDEX(Parties!$E$5:$E$304,V1896)&lt;&gt;"",INDEX(Parties!$E$5:$E$304,V1896)&lt;&gt;HomeState),ROUND(L1896*M1896,2),0)),"")</f>
        <v/>
      </c>
      <c r="Q1896" s="61" t="str">
        <f aca="false">IF(IsPro,IF($D1896="","",L1896+N1896+O1896+P1896),"")</f>
        <v/>
      </c>
      <c r="R1896" s="61" t="str">
        <f aca="false">IF(IsPro,IF($D1896="","",ROUND(N($E1896)*IFERROR(INDEX(Items!$P$5:$P$504,U1896),0),2)),"")</f>
        <v/>
      </c>
      <c r="S1896" s="61" t="str">
        <f aca="false">IF(IsPro,IF($D1896="","",L1896-R1896),"")</f>
        <v/>
      </c>
      <c r="T1896" s="60" t="str">
        <f aca="false">IF(IsPro,IF($D1896="","",IF(U1896="","UNKNOWN ITEM",IF(INDEX(Items!$O$5:$O$504,U1896)&lt;0,"NEG STOCK",IF(K1896&lt;INDEX(Items!$P$5:$P$504,U1896),"BELOW COST","OK")))),IF($D1896="","","PRO PLAN"))</f>
        <v/>
      </c>
      <c r="U1896" s="60" t="str">
        <f aca="false">IF(IsPro,IF($D1896="","",IFERROR(MATCH($D1896,Items!$A$5:$A$504,0),"")),"")</f>
        <v/>
      </c>
      <c r="V1896" s="60" t="str">
        <f aca="false">IF(IsPro,IF($C1896="","",IFERROR(MATCH($C1896,Parties!$A$5:$A$304,0),"")),"")</f>
        <v/>
      </c>
      <c r="W1896" s="60" t="str">
        <f aca="false">IF(IsPro,IF($B1896="","",IFERROR(VALUE(SUBSTITUTE($B1896,InvPrefix,"")),0)),"")</f>
        <v/>
      </c>
      <c r="X1896" s="61" t="str">
        <f aca="false">IF(IsPro,IF($D1896="","",IF(OR($H1896="",$H1896="Credit"),0,Q1896)),"")</f>
        <v/>
      </c>
    </row>
    <row r="1897" customFormat="false" ht="15" hidden="false" customHeight="false" outlineLevel="0" collapsed="false">
      <c r="A1897" s="55"/>
      <c r="B1897" s="56"/>
      <c r="C1897" s="56"/>
      <c r="D1897" s="56"/>
      <c r="E1897" s="57"/>
      <c r="F1897" s="58"/>
      <c r="G1897" s="59"/>
      <c r="H1897" s="56"/>
      <c r="I1897" s="56"/>
      <c r="J1897" s="60" t="str">
        <f aca="false">IF(IsPro,IF($D1897="","",IFERROR(INDEX(Items!$D$5:$D$504,U1897),"")),"")</f>
        <v/>
      </c>
      <c r="K1897" s="61" t="str">
        <f aca="false">IF(IsPro,IF($D1897="","",IF($F1897="",IFERROR(INDEX(Items!$H$5:$H$504,U1897),0),$F1897)),"")</f>
        <v/>
      </c>
      <c r="L1897" s="61" t="str">
        <f aca="false">IF(IsPro,IF($D1897="","",ROUND(N($E1897)*K1897*(1-N($G1897)),2)),"")</f>
        <v/>
      </c>
      <c r="M1897" s="62" t="str">
        <f aca="false">IF(IsPro,IF($D1897="","",IFERROR(INDEX(Items!$F$5:$F$504,U1897),0)),"")</f>
        <v/>
      </c>
      <c r="N1897" s="61" t="str">
        <f aca="false">IF(IsPro,IF($D1897="","",IF(AND(V1897&lt;&gt;"",INDEX(Parties!$E$5:$E$304,V1897)&lt;&gt;"",INDEX(Parties!$E$5:$E$304,V1897)&lt;&gt;HomeState),0,ROUND(L1897*M1897/2,2))),"")</f>
        <v/>
      </c>
      <c r="O1897" s="61" t="str">
        <f aca="false">IF(IsPro,IF($D1897="","",N1897),"")</f>
        <v/>
      </c>
      <c r="P1897" s="61" t="str">
        <f aca="false">IF(IsPro,IF($D1897="","",IF(AND(V1897&lt;&gt;"",INDEX(Parties!$E$5:$E$304,V1897)&lt;&gt;"",INDEX(Parties!$E$5:$E$304,V1897)&lt;&gt;HomeState),ROUND(L1897*M1897,2),0)),"")</f>
        <v/>
      </c>
      <c r="Q1897" s="61" t="str">
        <f aca="false">IF(IsPro,IF($D1897="","",L1897+N1897+O1897+P1897),"")</f>
        <v/>
      </c>
      <c r="R1897" s="61" t="str">
        <f aca="false">IF(IsPro,IF($D1897="","",ROUND(N($E1897)*IFERROR(INDEX(Items!$P$5:$P$504,U1897),0),2)),"")</f>
        <v/>
      </c>
      <c r="S1897" s="61" t="str">
        <f aca="false">IF(IsPro,IF($D1897="","",L1897-R1897),"")</f>
        <v/>
      </c>
      <c r="T1897" s="60" t="str">
        <f aca="false">IF(IsPro,IF($D1897="","",IF(U1897="","UNKNOWN ITEM",IF(INDEX(Items!$O$5:$O$504,U1897)&lt;0,"NEG STOCK",IF(K1897&lt;INDEX(Items!$P$5:$P$504,U1897),"BELOW COST","OK")))),IF($D1897="","","PRO PLAN"))</f>
        <v/>
      </c>
      <c r="U1897" s="60" t="str">
        <f aca="false">IF(IsPro,IF($D1897="","",IFERROR(MATCH($D1897,Items!$A$5:$A$504,0),"")),"")</f>
        <v/>
      </c>
      <c r="V1897" s="60" t="str">
        <f aca="false">IF(IsPro,IF($C1897="","",IFERROR(MATCH($C1897,Parties!$A$5:$A$304,0),"")),"")</f>
        <v/>
      </c>
      <c r="W1897" s="60" t="str">
        <f aca="false">IF(IsPro,IF($B1897="","",IFERROR(VALUE(SUBSTITUTE($B1897,InvPrefix,"")),0)),"")</f>
        <v/>
      </c>
      <c r="X1897" s="61" t="str">
        <f aca="false">IF(IsPro,IF($D1897="","",IF(OR($H1897="",$H1897="Credit"),0,Q1897)),"")</f>
        <v/>
      </c>
    </row>
    <row r="1898" customFormat="false" ht="15" hidden="false" customHeight="false" outlineLevel="0" collapsed="false">
      <c r="A1898" s="55"/>
      <c r="B1898" s="56"/>
      <c r="C1898" s="56"/>
      <c r="D1898" s="56"/>
      <c r="E1898" s="57"/>
      <c r="F1898" s="58"/>
      <c r="G1898" s="59"/>
      <c r="H1898" s="56"/>
      <c r="I1898" s="56"/>
      <c r="J1898" s="60" t="str">
        <f aca="false">IF(IsPro,IF($D1898="","",IFERROR(INDEX(Items!$D$5:$D$504,U1898),"")),"")</f>
        <v/>
      </c>
      <c r="K1898" s="61" t="str">
        <f aca="false">IF(IsPro,IF($D1898="","",IF($F1898="",IFERROR(INDEX(Items!$H$5:$H$504,U1898),0),$F1898)),"")</f>
        <v/>
      </c>
      <c r="L1898" s="61" t="str">
        <f aca="false">IF(IsPro,IF($D1898="","",ROUND(N($E1898)*K1898*(1-N($G1898)),2)),"")</f>
        <v/>
      </c>
      <c r="M1898" s="62" t="str">
        <f aca="false">IF(IsPro,IF($D1898="","",IFERROR(INDEX(Items!$F$5:$F$504,U1898),0)),"")</f>
        <v/>
      </c>
      <c r="N1898" s="61" t="str">
        <f aca="false">IF(IsPro,IF($D1898="","",IF(AND(V1898&lt;&gt;"",INDEX(Parties!$E$5:$E$304,V1898)&lt;&gt;"",INDEX(Parties!$E$5:$E$304,V1898)&lt;&gt;HomeState),0,ROUND(L1898*M1898/2,2))),"")</f>
        <v/>
      </c>
      <c r="O1898" s="61" t="str">
        <f aca="false">IF(IsPro,IF($D1898="","",N1898),"")</f>
        <v/>
      </c>
      <c r="P1898" s="61" t="str">
        <f aca="false">IF(IsPro,IF($D1898="","",IF(AND(V1898&lt;&gt;"",INDEX(Parties!$E$5:$E$304,V1898)&lt;&gt;"",INDEX(Parties!$E$5:$E$304,V1898)&lt;&gt;HomeState),ROUND(L1898*M1898,2),0)),"")</f>
        <v/>
      </c>
      <c r="Q1898" s="61" t="str">
        <f aca="false">IF(IsPro,IF($D1898="","",L1898+N1898+O1898+P1898),"")</f>
        <v/>
      </c>
      <c r="R1898" s="61" t="str">
        <f aca="false">IF(IsPro,IF($D1898="","",ROUND(N($E1898)*IFERROR(INDEX(Items!$P$5:$P$504,U1898),0),2)),"")</f>
        <v/>
      </c>
      <c r="S1898" s="61" t="str">
        <f aca="false">IF(IsPro,IF($D1898="","",L1898-R1898),"")</f>
        <v/>
      </c>
      <c r="T1898" s="60" t="str">
        <f aca="false">IF(IsPro,IF($D1898="","",IF(U1898="","UNKNOWN ITEM",IF(INDEX(Items!$O$5:$O$504,U1898)&lt;0,"NEG STOCK",IF(K1898&lt;INDEX(Items!$P$5:$P$504,U1898),"BELOW COST","OK")))),IF($D1898="","","PRO PLAN"))</f>
        <v/>
      </c>
      <c r="U1898" s="60" t="str">
        <f aca="false">IF(IsPro,IF($D1898="","",IFERROR(MATCH($D1898,Items!$A$5:$A$504,0),"")),"")</f>
        <v/>
      </c>
      <c r="V1898" s="60" t="str">
        <f aca="false">IF(IsPro,IF($C1898="","",IFERROR(MATCH($C1898,Parties!$A$5:$A$304,0),"")),"")</f>
        <v/>
      </c>
      <c r="W1898" s="60" t="str">
        <f aca="false">IF(IsPro,IF($B1898="","",IFERROR(VALUE(SUBSTITUTE($B1898,InvPrefix,"")),0)),"")</f>
        <v/>
      </c>
      <c r="X1898" s="61" t="str">
        <f aca="false">IF(IsPro,IF($D1898="","",IF(OR($H1898="",$H1898="Credit"),0,Q1898)),"")</f>
        <v/>
      </c>
    </row>
    <row r="1899" customFormat="false" ht="15" hidden="false" customHeight="false" outlineLevel="0" collapsed="false">
      <c r="A1899" s="55"/>
      <c r="B1899" s="56"/>
      <c r="C1899" s="56"/>
      <c r="D1899" s="56"/>
      <c r="E1899" s="57"/>
      <c r="F1899" s="58"/>
      <c r="G1899" s="59"/>
      <c r="H1899" s="56"/>
      <c r="I1899" s="56"/>
      <c r="J1899" s="60" t="str">
        <f aca="false">IF(IsPro,IF($D1899="","",IFERROR(INDEX(Items!$D$5:$D$504,U1899),"")),"")</f>
        <v/>
      </c>
      <c r="K1899" s="61" t="str">
        <f aca="false">IF(IsPro,IF($D1899="","",IF($F1899="",IFERROR(INDEX(Items!$H$5:$H$504,U1899),0),$F1899)),"")</f>
        <v/>
      </c>
      <c r="L1899" s="61" t="str">
        <f aca="false">IF(IsPro,IF($D1899="","",ROUND(N($E1899)*K1899*(1-N($G1899)),2)),"")</f>
        <v/>
      </c>
      <c r="M1899" s="62" t="str">
        <f aca="false">IF(IsPro,IF($D1899="","",IFERROR(INDEX(Items!$F$5:$F$504,U1899),0)),"")</f>
        <v/>
      </c>
      <c r="N1899" s="61" t="str">
        <f aca="false">IF(IsPro,IF($D1899="","",IF(AND(V1899&lt;&gt;"",INDEX(Parties!$E$5:$E$304,V1899)&lt;&gt;"",INDEX(Parties!$E$5:$E$304,V1899)&lt;&gt;HomeState),0,ROUND(L1899*M1899/2,2))),"")</f>
        <v/>
      </c>
      <c r="O1899" s="61" t="str">
        <f aca="false">IF(IsPro,IF($D1899="","",N1899),"")</f>
        <v/>
      </c>
      <c r="P1899" s="61" t="str">
        <f aca="false">IF(IsPro,IF($D1899="","",IF(AND(V1899&lt;&gt;"",INDEX(Parties!$E$5:$E$304,V1899)&lt;&gt;"",INDEX(Parties!$E$5:$E$304,V1899)&lt;&gt;HomeState),ROUND(L1899*M1899,2),0)),"")</f>
        <v/>
      </c>
      <c r="Q1899" s="61" t="str">
        <f aca="false">IF(IsPro,IF($D1899="","",L1899+N1899+O1899+P1899),"")</f>
        <v/>
      </c>
      <c r="R1899" s="61" t="str">
        <f aca="false">IF(IsPro,IF($D1899="","",ROUND(N($E1899)*IFERROR(INDEX(Items!$P$5:$P$504,U1899),0),2)),"")</f>
        <v/>
      </c>
      <c r="S1899" s="61" t="str">
        <f aca="false">IF(IsPro,IF($D1899="","",L1899-R1899),"")</f>
        <v/>
      </c>
      <c r="T1899" s="60" t="str">
        <f aca="false">IF(IsPro,IF($D1899="","",IF(U1899="","UNKNOWN ITEM",IF(INDEX(Items!$O$5:$O$504,U1899)&lt;0,"NEG STOCK",IF(K1899&lt;INDEX(Items!$P$5:$P$504,U1899),"BELOW COST","OK")))),IF($D1899="","","PRO PLAN"))</f>
        <v/>
      </c>
      <c r="U1899" s="60" t="str">
        <f aca="false">IF(IsPro,IF($D1899="","",IFERROR(MATCH($D1899,Items!$A$5:$A$504,0),"")),"")</f>
        <v/>
      </c>
      <c r="V1899" s="60" t="str">
        <f aca="false">IF(IsPro,IF($C1899="","",IFERROR(MATCH($C1899,Parties!$A$5:$A$304,0),"")),"")</f>
        <v/>
      </c>
      <c r="W1899" s="60" t="str">
        <f aca="false">IF(IsPro,IF($B1899="","",IFERROR(VALUE(SUBSTITUTE($B1899,InvPrefix,"")),0)),"")</f>
        <v/>
      </c>
      <c r="X1899" s="61" t="str">
        <f aca="false">IF(IsPro,IF($D1899="","",IF(OR($H1899="",$H1899="Credit"),0,Q1899)),"")</f>
        <v/>
      </c>
    </row>
    <row r="1900" customFormat="false" ht="15" hidden="false" customHeight="false" outlineLevel="0" collapsed="false">
      <c r="A1900" s="55"/>
      <c r="B1900" s="56"/>
      <c r="C1900" s="56"/>
      <c r="D1900" s="56"/>
      <c r="E1900" s="57"/>
      <c r="F1900" s="58"/>
      <c r="G1900" s="59"/>
      <c r="H1900" s="56"/>
      <c r="I1900" s="56"/>
      <c r="J1900" s="60" t="str">
        <f aca="false">IF(IsPro,IF($D1900="","",IFERROR(INDEX(Items!$D$5:$D$504,U1900),"")),"")</f>
        <v/>
      </c>
      <c r="K1900" s="61" t="str">
        <f aca="false">IF(IsPro,IF($D1900="","",IF($F1900="",IFERROR(INDEX(Items!$H$5:$H$504,U1900),0),$F1900)),"")</f>
        <v/>
      </c>
      <c r="L1900" s="61" t="str">
        <f aca="false">IF(IsPro,IF($D1900="","",ROUND(N($E1900)*K1900*(1-N($G1900)),2)),"")</f>
        <v/>
      </c>
      <c r="M1900" s="62" t="str">
        <f aca="false">IF(IsPro,IF($D1900="","",IFERROR(INDEX(Items!$F$5:$F$504,U1900),0)),"")</f>
        <v/>
      </c>
      <c r="N1900" s="61" t="str">
        <f aca="false">IF(IsPro,IF($D1900="","",IF(AND(V1900&lt;&gt;"",INDEX(Parties!$E$5:$E$304,V1900)&lt;&gt;"",INDEX(Parties!$E$5:$E$304,V1900)&lt;&gt;HomeState),0,ROUND(L1900*M1900/2,2))),"")</f>
        <v/>
      </c>
      <c r="O1900" s="61" t="str">
        <f aca="false">IF(IsPro,IF($D1900="","",N1900),"")</f>
        <v/>
      </c>
      <c r="P1900" s="61" t="str">
        <f aca="false">IF(IsPro,IF($D1900="","",IF(AND(V1900&lt;&gt;"",INDEX(Parties!$E$5:$E$304,V1900)&lt;&gt;"",INDEX(Parties!$E$5:$E$304,V1900)&lt;&gt;HomeState),ROUND(L1900*M1900,2),0)),"")</f>
        <v/>
      </c>
      <c r="Q1900" s="61" t="str">
        <f aca="false">IF(IsPro,IF($D1900="","",L1900+N1900+O1900+P1900),"")</f>
        <v/>
      </c>
      <c r="R1900" s="61" t="str">
        <f aca="false">IF(IsPro,IF($D1900="","",ROUND(N($E1900)*IFERROR(INDEX(Items!$P$5:$P$504,U1900),0),2)),"")</f>
        <v/>
      </c>
      <c r="S1900" s="61" t="str">
        <f aca="false">IF(IsPro,IF($D1900="","",L1900-R1900),"")</f>
        <v/>
      </c>
      <c r="T1900" s="60" t="str">
        <f aca="false">IF(IsPro,IF($D1900="","",IF(U1900="","UNKNOWN ITEM",IF(INDEX(Items!$O$5:$O$504,U1900)&lt;0,"NEG STOCK",IF(K1900&lt;INDEX(Items!$P$5:$P$504,U1900),"BELOW COST","OK")))),IF($D1900="","","PRO PLAN"))</f>
        <v/>
      </c>
      <c r="U1900" s="60" t="str">
        <f aca="false">IF(IsPro,IF($D1900="","",IFERROR(MATCH($D1900,Items!$A$5:$A$504,0),"")),"")</f>
        <v/>
      </c>
      <c r="V1900" s="60" t="str">
        <f aca="false">IF(IsPro,IF($C1900="","",IFERROR(MATCH($C1900,Parties!$A$5:$A$304,0),"")),"")</f>
        <v/>
      </c>
      <c r="W1900" s="60" t="str">
        <f aca="false">IF(IsPro,IF($B1900="","",IFERROR(VALUE(SUBSTITUTE($B1900,InvPrefix,"")),0)),"")</f>
        <v/>
      </c>
      <c r="X1900" s="61" t="str">
        <f aca="false">IF(IsPro,IF($D1900="","",IF(OR($H1900="",$H1900="Credit"),0,Q1900)),"")</f>
        <v/>
      </c>
    </row>
    <row r="1901" customFormat="false" ht="15" hidden="false" customHeight="false" outlineLevel="0" collapsed="false">
      <c r="A1901" s="55"/>
      <c r="B1901" s="56"/>
      <c r="C1901" s="56"/>
      <c r="D1901" s="56"/>
      <c r="E1901" s="57"/>
      <c r="F1901" s="58"/>
      <c r="G1901" s="59"/>
      <c r="H1901" s="56"/>
      <c r="I1901" s="56"/>
      <c r="J1901" s="60" t="str">
        <f aca="false">IF(IsPro,IF($D1901="","",IFERROR(INDEX(Items!$D$5:$D$504,U1901),"")),"")</f>
        <v/>
      </c>
      <c r="K1901" s="61" t="str">
        <f aca="false">IF(IsPro,IF($D1901="","",IF($F1901="",IFERROR(INDEX(Items!$H$5:$H$504,U1901),0),$F1901)),"")</f>
        <v/>
      </c>
      <c r="L1901" s="61" t="str">
        <f aca="false">IF(IsPro,IF($D1901="","",ROUND(N($E1901)*K1901*(1-N($G1901)),2)),"")</f>
        <v/>
      </c>
      <c r="M1901" s="62" t="str">
        <f aca="false">IF(IsPro,IF($D1901="","",IFERROR(INDEX(Items!$F$5:$F$504,U1901),0)),"")</f>
        <v/>
      </c>
      <c r="N1901" s="61" t="str">
        <f aca="false">IF(IsPro,IF($D1901="","",IF(AND(V1901&lt;&gt;"",INDEX(Parties!$E$5:$E$304,V1901)&lt;&gt;"",INDEX(Parties!$E$5:$E$304,V1901)&lt;&gt;HomeState),0,ROUND(L1901*M1901/2,2))),"")</f>
        <v/>
      </c>
      <c r="O1901" s="61" t="str">
        <f aca="false">IF(IsPro,IF($D1901="","",N1901),"")</f>
        <v/>
      </c>
      <c r="P1901" s="61" t="str">
        <f aca="false">IF(IsPro,IF($D1901="","",IF(AND(V1901&lt;&gt;"",INDEX(Parties!$E$5:$E$304,V1901)&lt;&gt;"",INDEX(Parties!$E$5:$E$304,V1901)&lt;&gt;HomeState),ROUND(L1901*M1901,2),0)),"")</f>
        <v/>
      </c>
      <c r="Q1901" s="61" t="str">
        <f aca="false">IF(IsPro,IF($D1901="","",L1901+N1901+O1901+P1901),"")</f>
        <v/>
      </c>
      <c r="R1901" s="61" t="str">
        <f aca="false">IF(IsPro,IF($D1901="","",ROUND(N($E1901)*IFERROR(INDEX(Items!$P$5:$P$504,U1901),0),2)),"")</f>
        <v/>
      </c>
      <c r="S1901" s="61" t="str">
        <f aca="false">IF(IsPro,IF($D1901="","",L1901-R1901),"")</f>
        <v/>
      </c>
      <c r="T1901" s="60" t="str">
        <f aca="false">IF(IsPro,IF($D1901="","",IF(U1901="","UNKNOWN ITEM",IF(INDEX(Items!$O$5:$O$504,U1901)&lt;0,"NEG STOCK",IF(K1901&lt;INDEX(Items!$P$5:$P$504,U1901),"BELOW COST","OK")))),IF($D1901="","","PRO PLAN"))</f>
        <v/>
      </c>
      <c r="U1901" s="60" t="str">
        <f aca="false">IF(IsPro,IF($D1901="","",IFERROR(MATCH($D1901,Items!$A$5:$A$504,0),"")),"")</f>
        <v/>
      </c>
      <c r="V1901" s="60" t="str">
        <f aca="false">IF(IsPro,IF($C1901="","",IFERROR(MATCH($C1901,Parties!$A$5:$A$304,0),"")),"")</f>
        <v/>
      </c>
      <c r="W1901" s="60" t="str">
        <f aca="false">IF(IsPro,IF($B1901="","",IFERROR(VALUE(SUBSTITUTE($B1901,InvPrefix,"")),0)),"")</f>
        <v/>
      </c>
      <c r="X1901" s="61" t="str">
        <f aca="false">IF(IsPro,IF($D1901="","",IF(OR($H1901="",$H1901="Credit"),0,Q1901)),"")</f>
        <v/>
      </c>
    </row>
    <row r="1902" customFormat="false" ht="15" hidden="false" customHeight="false" outlineLevel="0" collapsed="false">
      <c r="A1902" s="55"/>
      <c r="B1902" s="56"/>
      <c r="C1902" s="56"/>
      <c r="D1902" s="56"/>
      <c r="E1902" s="57"/>
      <c r="F1902" s="58"/>
      <c r="G1902" s="59"/>
      <c r="H1902" s="56"/>
      <c r="I1902" s="56"/>
      <c r="J1902" s="60" t="str">
        <f aca="false">IF(IsPro,IF($D1902="","",IFERROR(INDEX(Items!$D$5:$D$504,U1902),"")),"")</f>
        <v/>
      </c>
      <c r="K1902" s="61" t="str">
        <f aca="false">IF(IsPro,IF($D1902="","",IF($F1902="",IFERROR(INDEX(Items!$H$5:$H$504,U1902),0),$F1902)),"")</f>
        <v/>
      </c>
      <c r="L1902" s="61" t="str">
        <f aca="false">IF(IsPro,IF($D1902="","",ROUND(N($E1902)*K1902*(1-N($G1902)),2)),"")</f>
        <v/>
      </c>
      <c r="M1902" s="62" t="str">
        <f aca="false">IF(IsPro,IF($D1902="","",IFERROR(INDEX(Items!$F$5:$F$504,U1902),0)),"")</f>
        <v/>
      </c>
      <c r="N1902" s="61" t="str">
        <f aca="false">IF(IsPro,IF($D1902="","",IF(AND(V1902&lt;&gt;"",INDEX(Parties!$E$5:$E$304,V1902)&lt;&gt;"",INDEX(Parties!$E$5:$E$304,V1902)&lt;&gt;HomeState),0,ROUND(L1902*M1902/2,2))),"")</f>
        <v/>
      </c>
      <c r="O1902" s="61" t="str">
        <f aca="false">IF(IsPro,IF($D1902="","",N1902),"")</f>
        <v/>
      </c>
      <c r="P1902" s="61" t="str">
        <f aca="false">IF(IsPro,IF($D1902="","",IF(AND(V1902&lt;&gt;"",INDEX(Parties!$E$5:$E$304,V1902)&lt;&gt;"",INDEX(Parties!$E$5:$E$304,V1902)&lt;&gt;HomeState),ROUND(L1902*M1902,2),0)),"")</f>
        <v/>
      </c>
      <c r="Q1902" s="61" t="str">
        <f aca="false">IF(IsPro,IF($D1902="","",L1902+N1902+O1902+P1902),"")</f>
        <v/>
      </c>
      <c r="R1902" s="61" t="str">
        <f aca="false">IF(IsPro,IF($D1902="","",ROUND(N($E1902)*IFERROR(INDEX(Items!$P$5:$P$504,U1902),0),2)),"")</f>
        <v/>
      </c>
      <c r="S1902" s="61" t="str">
        <f aca="false">IF(IsPro,IF($D1902="","",L1902-R1902),"")</f>
        <v/>
      </c>
      <c r="T1902" s="60" t="str">
        <f aca="false">IF(IsPro,IF($D1902="","",IF(U1902="","UNKNOWN ITEM",IF(INDEX(Items!$O$5:$O$504,U1902)&lt;0,"NEG STOCK",IF(K1902&lt;INDEX(Items!$P$5:$P$504,U1902),"BELOW COST","OK")))),IF($D1902="","","PRO PLAN"))</f>
        <v/>
      </c>
      <c r="U1902" s="60" t="str">
        <f aca="false">IF(IsPro,IF($D1902="","",IFERROR(MATCH($D1902,Items!$A$5:$A$504,0),"")),"")</f>
        <v/>
      </c>
      <c r="V1902" s="60" t="str">
        <f aca="false">IF(IsPro,IF($C1902="","",IFERROR(MATCH($C1902,Parties!$A$5:$A$304,0),"")),"")</f>
        <v/>
      </c>
      <c r="W1902" s="60" t="str">
        <f aca="false">IF(IsPro,IF($B1902="","",IFERROR(VALUE(SUBSTITUTE($B1902,InvPrefix,"")),0)),"")</f>
        <v/>
      </c>
      <c r="X1902" s="61" t="str">
        <f aca="false">IF(IsPro,IF($D1902="","",IF(OR($H1902="",$H1902="Credit"),0,Q1902)),"")</f>
        <v/>
      </c>
    </row>
    <row r="1903" customFormat="false" ht="15" hidden="false" customHeight="false" outlineLevel="0" collapsed="false">
      <c r="A1903" s="55"/>
      <c r="B1903" s="56"/>
      <c r="C1903" s="56"/>
      <c r="D1903" s="56"/>
      <c r="E1903" s="57"/>
      <c r="F1903" s="58"/>
      <c r="G1903" s="59"/>
      <c r="H1903" s="56"/>
      <c r="I1903" s="56"/>
      <c r="J1903" s="60" t="str">
        <f aca="false">IF(IsPro,IF($D1903="","",IFERROR(INDEX(Items!$D$5:$D$504,U1903),"")),"")</f>
        <v/>
      </c>
      <c r="K1903" s="61" t="str">
        <f aca="false">IF(IsPro,IF($D1903="","",IF($F1903="",IFERROR(INDEX(Items!$H$5:$H$504,U1903),0),$F1903)),"")</f>
        <v/>
      </c>
      <c r="L1903" s="61" t="str">
        <f aca="false">IF(IsPro,IF($D1903="","",ROUND(N($E1903)*K1903*(1-N($G1903)),2)),"")</f>
        <v/>
      </c>
      <c r="M1903" s="62" t="str">
        <f aca="false">IF(IsPro,IF($D1903="","",IFERROR(INDEX(Items!$F$5:$F$504,U1903),0)),"")</f>
        <v/>
      </c>
      <c r="N1903" s="61" t="str">
        <f aca="false">IF(IsPro,IF($D1903="","",IF(AND(V1903&lt;&gt;"",INDEX(Parties!$E$5:$E$304,V1903)&lt;&gt;"",INDEX(Parties!$E$5:$E$304,V1903)&lt;&gt;HomeState),0,ROUND(L1903*M1903/2,2))),"")</f>
        <v/>
      </c>
      <c r="O1903" s="61" t="str">
        <f aca="false">IF(IsPro,IF($D1903="","",N1903),"")</f>
        <v/>
      </c>
      <c r="P1903" s="61" t="str">
        <f aca="false">IF(IsPro,IF($D1903="","",IF(AND(V1903&lt;&gt;"",INDEX(Parties!$E$5:$E$304,V1903)&lt;&gt;"",INDEX(Parties!$E$5:$E$304,V1903)&lt;&gt;HomeState),ROUND(L1903*M1903,2),0)),"")</f>
        <v/>
      </c>
      <c r="Q1903" s="61" t="str">
        <f aca="false">IF(IsPro,IF($D1903="","",L1903+N1903+O1903+P1903),"")</f>
        <v/>
      </c>
      <c r="R1903" s="61" t="str">
        <f aca="false">IF(IsPro,IF($D1903="","",ROUND(N($E1903)*IFERROR(INDEX(Items!$P$5:$P$504,U1903),0),2)),"")</f>
        <v/>
      </c>
      <c r="S1903" s="61" t="str">
        <f aca="false">IF(IsPro,IF($D1903="","",L1903-R1903),"")</f>
        <v/>
      </c>
      <c r="T1903" s="60" t="str">
        <f aca="false">IF(IsPro,IF($D1903="","",IF(U1903="","UNKNOWN ITEM",IF(INDEX(Items!$O$5:$O$504,U1903)&lt;0,"NEG STOCK",IF(K1903&lt;INDEX(Items!$P$5:$P$504,U1903),"BELOW COST","OK")))),IF($D1903="","","PRO PLAN"))</f>
        <v/>
      </c>
      <c r="U1903" s="60" t="str">
        <f aca="false">IF(IsPro,IF($D1903="","",IFERROR(MATCH($D1903,Items!$A$5:$A$504,0),"")),"")</f>
        <v/>
      </c>
      <c r="V1903" s="60" t="str">
        <f aca="false">IF(IsPro,IF($C1903="","",IFERROR(MATCH($C1903,Parties!$A$5:$A$304,0),"")),"")</f>
        <v/>
      </c>
      <c r="W1903" s="60" t="str">
        <f aca="false">IF(IsPro,IF($B1903="","",IFERROR(VALUE(SUBSTITUTE($B1903,InvPrefix,"")),0)),"")</f>
        <v/>
      </c>
      <c r="X1903" s="61" t="str">
        <f aca="false">IF(IsPro,IF($D1903="","",IF(OR($H1903="",$H1903="Credit"),0,Q1903)),"")</f>
        <v/>
      </c>
    </row>
    <row r="1904" customFormat="false" ht="15" hidden="false" customHeight="false" outlineLevel="0" collapsed="false">
      <c r="A1904" s="55"/>
      <c r="B1904" s="56"/>
      <c r="C1904" s="56"/>
      <c r="D1904" s="56"/>
      <c r="E1904" s="57"/>
      <c r="F1904" s="58"/>
      <c r="G1904" s="59"/>
      <c r="H1904" s="56"/>
      <c r="I1904" s="56"/>
      <c r="J1904" s="60" t="str">
        <f aca="false">IF(IsPro,IF($D1904="","",IFERROR(INDEX(Items!$D$5:$D$504,U1904),"")),"")</f>
        <v/>
      </c>
      <c r="K1904" s="61" t="str">
        <f aca="false">IF(IsPro,IF($D1904="","",IF($F1904="",IFERROR(INDEX(Items!$H$5:$H$504,U1904),0),$F1904)),"")</f>
        <v/>
      </c>
      <c r="L1904" s="61" t="str">
        <f aca="false">IF(IsPro,IF($D1904="","",ROUND(N($E1904)*K1904*(1-N($G1904)),2)),"")</f>
        <v/>
      </c>
      <c r="M1904" s="62" t="str">
        <f aca="false">IF(IsPro,IF($D1904="","",IFERROR(INDEX(Items!$F$5:$F$504,U1904),0)),"")</f>
        <v/>
      </c>
      <c r="N1904" s="61" t="str">
        <f aca="false">IF(IsPro,IF($D1904="","",IF(AND(V1904&lt;&gt;"",INDEX(Parties!$E$5:$E$304,V1904)&lt;&gt;"",INDEX(Parties!$E$5:$E$304,V1904)&lt;&gt;HomeState),0,ROUND(L1904*M1904/2,2))),"")</f>
        <v/>
      </c>
      <c r="O1904" s="61" t="str">
        <f aca="false">IF(IsPro,IF($D1904="","",N1904),"")</f>
        <v/>
      </c>
      <c r="P1904" s="61" t="str">
        <f aca="false">IF(IsPro,IF($D1904="","",IF(AND(V1904&lt;&gt;"",INDEX(Parties!$E$5:$E$304,V1904)&lt;&gt;"",INDEX(Parties!$E$5:$E$304,V1904)&lt;&gt;HomeState),ROUND(L1904*M1904,2),0)),"")</f>
        <v/>
      </c>
      <c r="Q1904" s="61" t="str">
        <f aca="false">IF(IsPro,IF($D1904="","",L1904+N1904+O1904+P1904),"")</f>
        <v/>
      </c>
      <c r="R1904" s="61" t="str">
        <f aca="false">IF(IsPro,IF($D1904="","",ROUND(N($E1904)*IFERROR(INDEX(Items!$P$5:$P$504,U1904),0),2)),"")</f>
        <v/>
      </c>
      <c r="S1904" s="61" t="str">
        <f aca="false">IF(IsPro,IF($D1904="","",L1904-R1904),"")</f>
        <v/>
      </c>
      <c r="T1904" s="60" t="str">
        <f aca="false">IF(IsPro,IF($D1904="","",IF(U1904="","UNKNOWN ITEM",IF(INDEX(Items!$O$5:$O$504,U1904)&lt;0,"NEG STOCK",IF(K1904&lt;INDEX(Items!$P$5:$P$504,U1904),"BELOW COST","OK")))),IF($D1904="","","PRO PLAN"))</f>
        <v/>
      </c>
      <c r="U1904" s="60" t="str">
        <f aca="false">IF(IsPro,IF($D1904="","",IFERROR(MATCH($D1904,Items!$A$5:$A$504,0),"")),"")</f>
        <v/>
      </c>
      <c r="V1904" s="60" t="str">
        <f aca="false">IF(IsPro,IF($C1904="","",IFERROR(MATCH($C1904,Parties!$A$5:$A$304,0),"")),"")</f>
        <v/>
      </c>
      <c r="W1904" s="60" t="str">
        <f aca="false">IF(IsPro,IF($B1904="","",IFERROR(VALUE(SUBSTITUTE($B1904,InvPrefix,"")),0)),"")</f>
        <v/>
      </c>
      <c r="X1904" s="61" t="str">
        <f aca="false">IF(IsPro,IF($D1904="","",IF(OR($H1904="",$H1904="Credit"),0,Q1904)),"")</f>
        <v/>
      </c>
    </row>
    <row r="1905" customFormat="false" ht="15" hidden="false" customHeight="false" outlineLevel="0" collapsed="false">
      <c r="A1905" s="55"/>
      <c r="B1905" s="56"/>
      <c r="C1905" s="56"/>
      <c r="D1905" s="56"/>
      <c r="E1905" s="57"/>
      <c r="F1905" s="58"/>
      <c r="G1905" s="59"/>
      <c r="H1905" s="56"/>
      <c r="I1905" s="56"/>
      <c r="J1905" s="60" t="str">
        <f aca="false">IF(IsPro,IF($D1905="","",IFERROR(INDEX(Items!$D$5:$D$504,U1905),"")),"")</f>
        <v/>
      </c>
      <c r="K1905" s="61" t="str">
        <f aca="false">IF(IsPro,IF($D1905="","",IF($F1905="",IFERROR(INDEX(Items!$H$5:$H$504,U1905),0),$F1905)),"")</f>
        <v/>
      </c>
      <c r="L1905" s="61" t="str">
        <f aca="false">IF(IsPro,IF($D1905="","",ROUND(N($E1905)*K1905*(1-N($G1905)),2)),"")</f>
        <v/>
      </c>
      <c r="M1905" s="62" t="str">
        <f aca="false">IF(IsPro,IF($D1905="","",IFERROR(INDEX(Items!$F$5:$F$504,U1905),0)),"")</f>
        <v/>
      </c>
      <c r="N1905" s="61" t="str">
        <f aca="false">IF(IsPro,IF($D1905="","",IF(AND(V1905&lt;&gt;"",INDEX(Parties!$E$5:$E$304,V1905)&lt;&gt;"",INDEX(Parties!$E$5:$E$304,V1905)&lt;&gt;HomeState),0,ROUND(L1905*M1905/2,2))),"")</f>
        <v/>
      </c>
      <c r="O1905" s="61" t="str">
        <f aca="false">IF(IsPro,IF($D1905="","",N1905),"")</f>
        <v/>
      </c>
      <c r="P1905" s="61" t="str">
        <f aca="false">IF(IsPro,IF($D1905="","",IF(AND(V1905&lt;&gt;"",INDEX(Parties!$E$5:$E$304,V1905)&lt;&gt;"",INDEX(Parties!$E$5:$E$304,V1905)&lt;&gt;HomeState),ROUND(L1905*M1905,2),0)),"")</f>
        <v/>
      </c>
      <c r="Q1905" s="61" t="str">
        <f aca="false">IF(IsPro,IF($D1905="","",L1905+N1905+O1905+P1905),"")</f>
        <v/>
      </c>
      <c r="R1905" s="61" t="str">
        <f aca="false">IF(IsPro,IF($D1905="","",ROUND(N($E1905)*IFERROR(INDEX(Items!$P$5:$P$504,U1905),0),2)),"")</f>
        <v/>
      </c>
      <c r="S1905" s="61" t="str">
        <f aca="false">IF(IsPro,IF($D1905="","",L1905-R1905),"")</f>
        <v/>
      </c>
      <c r="T1905" s="60" t="str">
        <f aca="false">IF(IsPro,IF($D1905="","",IF(U1905="","UNKNOWN ITEM",IF(INDEX(Items!$O$5:$O$504,U1905)&lt;0,"NEG STOCK",IF(K1905&lt;INDEX(Items!$P$5:$P$504,U1905),"BELOW COST","OK")))),IF($D1905="","","PRO PLAN"))</f>
        <v/>
      </c>
      <c r="U1905" s="60" t="str">
        <f aca="false">IF(IsPro,IF($D1905="","",IFERROR(MATCH($D1905,Items!$A$5:$A$504,0),"")),"")</f>
        <v/>
      </c>
      <c r="V1905" s="60" t="str">
        <f aca="false">IF(IsPro,IF($C1905="","",IFERROR(MATCH($C1905,Parties!$A$5:$A$304,0),"")),"")</f>
        <v/>
      </c>
      <c r="W1905" s="60" t="str">
        <f aca="false">IF(IsPro,IF($B1905="","",IFERROR(VALUE(SUBSTITUTE($B1905,InvPrefix,"")),0)),"")</f>
        <v/>
      </c>
      <c r="X1905" s="61" t="str">
        <f aca="false">IF(IsPro,IF($D1905="","",IF(OR($H1905="",$H1905="Credit"),0,Q1905)),"")</f>
        <v/>
      </c>
    </row>
    <row r="1906" customFormat="false" ht="15" hidden="false" customHeight="false" outlineLevel="0" collapsed="false">
      <c r="A1906" s="55"/>
      <c r="B1906" s="56"/>
      <c r="C1906" s="56"/>
      <c r="D1906" s="56"/>
      <c r="E1906" s="57"/>
      <c r="F1906" s="58"/>
      <c r="G1906" s="59"/>
      <c r="H1906" s="56"/>
      <c r="I1906" s="56"/>
      <c r="J1906" s="60" t="str">
        <f aca="false">IF(IsPro,IF($D1906="","",IFERROR(INDEX(Items!$D$5:$D$504,U1906),"")),"")</f>
        <v/>
      </c>
      <c r="K1906" s="61" t="str">
        <f aca="false">IF(IsPro,IF($D1906="","",IF($F1906="",IFERROR(INDEX(Items!$H$5:$H$504,U1906),0),$F1906)),"")</f>
        <v/>
      </c>
      <c r="L1906" s="61" t="str">
        <f aca="false">IF(IsPro,IF($D1906="","",ROUND(N($E1906)*K1906*(1-N($G1906)),2)),"")</f>
        <v/>
      </c>
      <c r="M1906" s="62" t="str">
        <f aca="false">IF(IsPro,IF($D1906="","",IFERROR(INDEX(Items!$F$5:$F$504,U1906),0)),"")</f>
        <v/>
      </c>
      <c r="N1906" s="61" t="str">
        <f aca="false">IF(IsPro,IF($D1906="","",IF(AND(V1906&lt;&gt;"",INDEX(Parties!$E$5:$E$304,V1906)&lt;&gt;"",INDEX(Parties!$E$5:$E$304,V1906)&lt;&gt;HomeState),0,ROUND(L1906*M1906/2,2))),"")</f>
        <v/>
      </c>
      <c r="O1906" s="61" t="str">
        <f aca="false">IF(IsPro,IF($D1906="","",N1906),"")</f>
        <v/>
      </c>
      <c r="P1906" s="61" t="str">
        <f aca="false">IF(IsPro,IF($D1906="","",IF(AND(V1906&lt;&gt;"",INDEX(Parties!$E$5:$E$304,V1906)&lt;&gt;"",INDEX(Parties!$E$5:$E$304,V1906)&lt;&gt;HomeState),ROUND(L1906*M1906,2),0)),"")</f>
        <v/>
      </c>
      <c r="Q1906" s="61" t="str">
        <f aca="false">IF(IsPro,IF($D1906="","",L1906+N1906+O1906+P1906),"")</f>
        <v/>
      </c>
      <c r="R1906" s="61" t="str">
        <f aca="false">IF(IsPro,IF($D1906="","",ROUND(N($E1906)*IFERROR(INDEX(Items!$P$5:$P$504,U1906),0),2)),"")</f>
        <v/>
      </c>
      <c r="S1906" s="61" t="str">
        <f aca="false">IF(IsPro,IF($D1906="","",L1906-R1906),"")</f>
        <v/>
      </c>
      <c r="T1906" s="60" t="str">
        <f aca="false">IF(IsPro,IF($D1906="","",IF(U1906="","UNKNOWN ITEM",IF(INDEX(Items!$O$5:$O$504,U1906)&lt;0,"NEG STOCK",IF(K1906&lt;INDEX(Items!$P$5:$P$504,U1906),"BELOW COST","OK")))),IF($D1906="","","PRO PLAN"))</f>
        <v/>
      </c>
      <c r="U1906" s="60" t="str">
        <f aca="false">IF(IsPro,IF($D1906="","",IFERROR(MATCH($D1906,Items!$A$5:$A$504,0),"")),"")</f>
        <v/>
      </c>
      <c r="V1906" s="60" t="str">
        <f aca="false">IF(IsPro,IF($C1906="","",IFERROR(MATCH($C1906,Parties!$A$5:$A$304,0),"")),"")</f>
        <v/>
      </c>
      <c r="W1906" s="60" t="str">
        <f aca="false">IF(IsPro,IF($B1906="","",IFERROR(VALUE(SUBSTITUTE($B1906,InvPrefix,"")),0)),"")</f>
        <v/>
      </c>
      <c r="X1906" s="61" t="str">
        <f aca="false">IF(IsPro,IF($D1906="","",IF(OR($H1906="",$H1906="Credit"),0,Q1906)),"")</f>
        <v/>
      </c>
    </row>
    <row r="1907" customFormat="false" ht="15" hidden="false" customHeight="false" outlineLevel="0" collapsed="false">
      <c r="A1907" s="55"/>
      <c r="B1907" s="56"/>
      <c r="C1907" s="56"/>
      <c r="D1907" s="56"/>
      <c r="E1907" s="57"/>
      <c r="F1907" s="58"/>
      <c r="G1907" s="59"/>
      <c r="H1907" s="56"/>
      <c r="I1907" s="56"/>
      <c r="J1907" s="60" t="str">
        <f aca="false">IF(IsPro,IF($D1907="","",IFERROR(INDEX(Items!$D$5:$D$504,U1907),"")),"")</f>
        <v/>
      </c>
      <c r="K1907" s="61" t="str">
        <f aca="false">IF(IsPro,IF($D1907="","",IF($F1907="",IFERROR(INDEX(Items!$H$5:$H$504,U1907),0),$F1907)),"")</f>
        <v/>
      </c>
      <c r="L1907" s="61" t="str">
        <f aca="false">IF(IsPro,IF($D1907="","",ROUND(N($E1907)*K1907*(1-N($G1907)),2)),"")</f>
        <v/>
      </c>
      <c r="M1907" s="62" t="str">
        <f aca="false">IF(IsPro,IF($D1907="","",IFERROR(INDEX(Items!$F$5:$F$504,U1907),0)),"")</f>
        <v/>
      </c>
      <c r="N1907" s="61" t="str">
        <f aca="false">IF(IsPro,IF($D1907="","",IF(AND(V1907&lt;&gt;"",INDEX(Parties!$E$5:$E$304,V1907)&lt;&gt;"",INDEX(Parties!$E$5:$E$304,V1907)&lt;&gt;HomeState),0,ROUND(L1907*M1907/2,2))),"")</f>
        <v/>
      </c>
      <c r="O1907" s="61" t="str">
        <f aca="false">IF(IsPro,IF($D1907="","",N1907),"")</f>
        <v/>
      </c>
      <c r="P1907" s="61" t="str">
        <f aca="false">IF(IsPro,IF($D1907="","",IF(AND(V1907&lt;&gt;"",INDEX(Parties!$E$5:$E$304,V1907)&lt;&gt;"",INDEX(Parties!$E$5:$E$304,V1907)&lt;&gt;HomeState),ROUND(L1907*M1907,2),0)),"")</f>
        <v/>
      </c>
      <c r="Q1907" s="61" t="str">
        <f aca="false">IF(IsPro,IF($D1907="","",L1907+N1907+O1907+P1907),"")</f>
        <v/>
      </c>
      <c r="R1907" s="61" t="str">
        <f aca="false">IF(IsPro,IF($D1907="","",ROUND(N($E1907)*IFERROR(INDEX(Items!$P$5:$P$504,U1907),0),2)),"")</f>
        <v/>
      </c>
      <c r="S1907" s="61" t="str">
        <f aca="false">IF(IsPro,IF($D1907="","",L1907-R1907),"")</f>
        <v/>
      </c>
      <c r="T1907" s="60" t="str">
        <f aca="false">IF(IsPro,IF($D1907="","",IF(U1907="","UNKNOWN ITEM",IF(INDEX(Items!$O$5:$O$504,U1907)&lt;0,"NEG STOCK",IF(K1907&lt;INDEX(Items!$P$5:$P$504,U1907),"BELOW COST","OK")))),IF($D1907="","","PRO PLAN"))</f>
        <v/>
      </c>
      <c r="U1907" s="60" t="str">
        <f aca="false">IF(IsPro,IF($D1907="","",IFERROR(MATCH($D1907,Items!$A$5:$A$504,0),"")),"")</f>
        <v/>
      </c>
      <c r="V1907" s="60" t="str">
        <f aca="false">IF(IsPro,IF($C1907="","",IFERROR(MATCH($C1907,Parties!$A$5:$A$304,0),"")),"")</f>
        <v/>
      </c>
      <c r="W1907" s="60" t="str">
        <f aca="false">IF(IsPro,IF($B1907="","",IFERROR(VALUE(SUBSTITUTE($B1907,InvPrefix,"")),0)),"")</f>
        <v/>
      </c>
      <c r="X1907" s="61" t="str">
        <f aca="false">IF(IsPro,IF($D1907="","",IF(OR($H1907="",$H1907="Credit"),0,Q1907)),"")</f>
        <v/>
      </c>
    </row>
    <row r="1908" customFormat="false" ht="15" hidden="false" customHeight="false" outlineLevel="0" collapsed="false">
      <c r="A1908" s="55"/>
      <c r="B1908" s="56"/>
      <c r="C1908" s="56"/>
      <c r="D1908" s="56"/>
      <c r="E1908" s="57"/>
      <c r="F1908" s="58"/>
      <c r="G1908" s="59"/>
      <c r="H1908" s="56"/>
      <c r="I1908" s="56"/>
      <c r="J1908" s="60" t="str">
        <f aca="false">IF(IsPro,IF($D1908="","",IFERROR(INDEX(Items!$D$5:$D$504,U1908),"")),"")</f>
        <v/>
      </c>
      <c r="K1908" s="61" t="str">
        <f aca="false">IF(IsPro,IF($D1908="","",IF($F1908="",IFERROR(INDEX(Items!$H$5:$H$504,U1908),0),$F1908)),"")</f>
        <v/>
      </c>
      <c r="L1908" s="61" t="str">
        <f aca="false">IF(IsPro,IF($D1908="","",ROUND(N($E1908)*K1908*(1-N($G1908)),2)),"")</f>
        <v/>
      </c>
      <c r="M1908" s="62" t="str">
        <f aca="false">IF(IsPro,IF($D1908="","",IFERROR(INDEX(Items!$F$5:$F$504,U1908),0)),"")</f>
        <v/>
      </c>
      <c r="N1908" s="61" t="str">
        <f aca="false">IF(IsPro,IF($D1908="","",IF(AND(V1908&lt;&gt;"",INDEX(Parties!$E$5:$E$304,V1908)&lt;&gt;"",INDEX(Parties!$E$5:$E$304,V1908)&lt;&gt;HomeState),0,ROUND(L1908*M1908/2,2))),"")</f>
        <v/>
      </c>
      <c r="O1908" s="61" t="str">
        <f aca="false">IF(IsPro,IF($D1908="","",N1908),"")</f>
        <v/>
      </c>
      <c r="P1908" s="61" t="str">
        <f aca="false">IF(IsPro,IF($D1908="","",IF(AND(V1908&lt;&gt;"",INDEX(Parties!$E$5:$E$304,V1908)&lt;&gt;"",INDEX(Parties!$E$5:$E$304,V1908)&lt;&gt;HomeState),ROUND(L1908*M1908,2),0)),"")</f>
        <v/>
      </c>
      <c r="Q1908" s="61" t="str">
        <f aca="false">IF(IsPro,IF($D1908="","",L1908+N1908+O1908+P1908),"")</f>
        <v/>
      </c>
      <c r="R1908" s="61" t="str">
        <f aca="false">IF(IsPro,IF($D1908="","",ROUND(N($E1908)*IFERROR(INDEX(Items!$P$5:$P$504,U1908),0),2)),"")</f>
        <v/>
      </c>
      <c r="S1908" s="61" t="str">
        <f aca="false">IF(IsPro,IF($D1908="","",L1908-R1908),"")</f>
        <v/>
      </c>
      <c r="T1908" s="60" t="str">
        <f aca="false">IF(IsPro,IF($D1908="","",IF(U1908="","UNKNOWN ITEM",IF(INDEX(Items!$O$5:$O$504,U1908)&lt;0,"NEG STOCK",IF(K1908&lt;INDEX(Items!$P$5:$P$504,U1908),"BELOW COST","OK")))),IF($D1908="","","PRO PLAN"))</f>
        <v/>
      </c>
      <c r="U1908" s="60" t="str">
        <f aca="false">IF(IsPro,IF($D1908="","",IFERROR(MATCH($D1908,Items!$A$5:$A$504,0),"")),"")</f>
        <v/>
      </c>
      <c r="V1908" s="60" t="str">
        <f aca="false">IF(IsPro,IF($C1908="","",IFERROR(MATCH($C1908,Parties!$A$5:$A$304,0),"")),"")</f>
        <v/>
      </c>
      <c r="W1908" s="60" t="str">
        <f aca="false">IF(IsPro,IF($B1908="","",IFERROR(VALUE(SUBSTITUTE($B1908,InvPrefix,"")),0)),"")</f>
        <v/>
      </c>
      <c r="X1908" s="61" t="str">
        <f aca="false">IF(IsPro,IF($D1908="","",IF(OR($H1908="",$H1908="Credit"),0,Q1908)),"")</f>
        <v/>
      </c>
    </row>
    <row r="1909" customFormat="false" ht="15" hidden="false" customHeight="false" outlineLevel="0" collapsed="false">
      <c r="A1909" s="55"/>
      <c r="B1909" s="56"/>
      <c r="C1909" s="56"/>
      <c r="D1909" s="56"/>
      <c r="E1909" s="57"/>
      <c r="F1909" s="58"/>
      <c r="G1909" s="59"/>
      <c r="H1909" s="56"/>
      <c r="I1909" s="56"/>
      <c r="J1909" s="60" t="str">
        <f aca="false">IF(IsPro,IF($D1909="","",IFERROR(INDEX(Items!$D$5:$D$504,U1909),"")),"")</f>
        <v/>
      </c>
      <c r="K1909" s="61" t="str">
        <f aca="false">IF(IsPro,IF($D1909="","",IF($F1909="",IFERROR(INDEX(Items!$H$5:$H$504,U1909),0),$F1909)),"")</f>
        <v/>
      </c>
      <c r="L1909" s="61" t="str">
        <f aca="false">IF(IsPro,IF($D1909="","",ROUND(N($E1909)*K1909*(1-N($G1909)),2)),"")</f>
        <v/>
      </c>
      <c r="M1909" s="62" t="str">
        <f aca="false">IF(IsPro,IF($D1909="","",IFERROR(INDEX(Items!$F$5:$F$504,U1909),0)),"")</f>
        <v/>
      </c>
      <c r="N1909" s="61" t="str">
        <f aca="false">IF(IsPro,IF($D1909="","",IF(AND(V1909&lt;&gt;"",INDEX(Parties!$E$5:$E$304,V1909)&lt;&gt;"",INDEX(Parties!$E$5:$E$304,V1909)&lt;&gt;HomeState),0,ROUND(L1909*M1909/2,2))),"")</f>
        <v/>
      </c>
      <c r="O1909" s="61" t="str">
        <f aca="false">IF(IsPro,IF($D1909="","",N1909),"")</f>
        <v/>
      </c>
      <c r="P1909" s="61" t="str">
        <f aca="false">IF(IsPro,IF($D1909="","",IF(AND(V1909&lt;&gt;"",INDEX(Parties!$E$5:$E$304,V1909)&lt;&gt;"",INDEX(Parties!$E$5:$E$304,V1909)&lt;&gt;HomeState),ROUND(L1909*M1909,2),0)),"")</f>
        <v/>
      </c>
      <c r="Q1909" s="61" t="str">
        <f aca="false">IF(IsPro,IF($D1909="","",L1909+N1909+O1909+P1909),"")</f>
        <v/>
      </c>
      <c r="R1909" s="61" t="str">
        <f aca="false">IF(IsPro,IF($D1909="","",ROUND(N($E1909)*IFERROR(INDEX(Items!$P$5:$P$504,U1909),0),2)),"")</f>
        <v/>
      </c>
      <c r="S1909" s="61" t="str">
        <f aca="false">IF(IsPro,IF($D1909="","",L1909-R1909),"")</f>
        <v/>
      </c>
      <c r="T1909" s="60" t="str">
        <f aca="false">IF(IsPro,IF($D1909="","",IF(U1909="","UNKNOWN ITEM",IF(INDEX(Items!$O$5:$O$504,U1909)&lt;0,"NEG STOCK",IF(K1909&lt;INDEX(Items!$P$5:$P$504,U1909),"BELOW COST","OK")))),IF($D1909="","","PRO PLAN"))</f>
        <v/>
      </c>
      <c r="U1909" s="60" t="str">
        <f aca="false">IF(IsPro,IF($D1909="","",IFERROR(MATCH($D1909,Items!$A$5:$A$504,0),"")),"")</f>
        <v/>
      </c>
      <c r="V1909" s="60" t="str">
        <f aca="false">IF(IsPro,IF($C1909="","",IFERROR(MATCH($C1909,Parties!$A$5:$A$304,0),"")),"")</f>
        <v/>
      </c>
      <c r="W1909" s="60" t="str">
        <f aca="false">IF(IsPro,IF($B1909="","",IFERROR(VALUE(SUBSTITUTE($B1909,InvPrefix,"")),0)),"")</f>
        <v/>
      </c>
      <c r="X1909" s="61" t="str">
        <f aca="false">IF(IsPro,IF($D1909="","",IF(OR($H1909="",$H1909="Credit"),0,Q1909)),"")</f>
        <v/>
      </c>
    </row>
    <row r="1910" customFormat="false" ht="15" hidden="false" customHeight="false" outlineLevel="0" collapsed="false">
      <c r="A1910" s="55"/>
      <c r="B1910" s="56"/>
      <c r="C1910" s="56"/>
      <c r="D1910" s="56"/>
      <c r="E1910" s="57"/>
      <c r="F1910" s="58"/>
      <c r="G1910" s="59"/>
      <c r="H1910" s="56"/>
      <c r="I1910" s="56"/>
      <c r="J1910" s="60" t="str">
        <f aca="false">IF(IsPro,IF($D1910="","",IFERROR(INDEX(Items!$D$5:$D$504,U1910),"")),"")</f>
        <v/>
      </c>
      <c r="K1910" s="61" t="str">
        <f aca="false">IF(IsPro,IF($D1910="","",IF($F1910="",IFERROR(INDEX(Items!$H$5:$H$504,U1910),0),$F1910)),"")</f>
        <v/>
      </c>
      <c r="L1910" s="61" t="str">
        <f aca="false">IF(IsPro,IF($D1910="","",ROUND(N($E1910)*K1910*(1-N($G1910)),2)),"")</f>
        <v/>
      </c>
      <c r="M1910" s="62" t="str">
        <f aca="false">IF(IsPro,IF($D1910="","",IFERROR(INDEX(Items!$F$5:$F$504,U1910),0)),"")</f>
        <v/>
      </c>
      <c r="N1910" s="61" t="str">
        <f aca="false">IF(IsPro,IF($D1910="","",IF(AND(V1910&lt;&gt;"",INDEX(Parties!$E$5:$E$304,V1910)&lt;&gt;"",INDEX(Parties!$E$5:$E$304,V1910)&lt;&gt;HomeState),0,ROUND(L1910*M1910/2,2))),"")</f>
        <v/>
      </c>
      <c r="O1910" s="61" t="str">
        <f aca="false">IF(IsPro,IF($D1910="","",N1910),"")</f>
        <v/>
      </c>
      <c r="P1910" s="61" t="str">
        <f aca="false">IF(IsPro,IF($D1910="","",IF(AND(V1910&lt;&gt;"",INDEX(Parties!$E$5:$E$304,V1910)&lt;&gt;"",INDEX(Parties!$E$5:$E$304,V1910)&lt;&gt;HomeState),ROUND(L1910*M1910,2),0)),"")</f>
        <v/>
      </c>
      <c r="Q1910" s="61" t="str">
        <f aca="false">IF(IsPro,IF($D1910="","",L1910+N1910+O1910+P1910),"")</f>
        <v/>
      </c>
      <c r="R1910" s="61" t="str">
        <f aca="false">IF(IsPro,IF($D1910="","",ROUND(N($E1910)*IFERROR(INDEX(Items!$P$5:$P$504,U1910),0),2)),"")</f>
        <v/>
      </c>
      <c r="S1910" s="61" t="str">
        <f aca="false">IF(IsPro,IF($D1910="","",L1910-R1910),"")</f>
        <v/>
      </c>
      <c r="T1910" s="60" t="str">
        <f aca="false">IF(IsPro,IF($D1910="","",IF(U1910="","UNKNOWN ITEM",IF(INDEX(Items!$O$5:$O$504,U1910)&lt;0,"NEG STOCK",IF(K1910&lt;INDEX(Items!$P$5:$P$504,U1910),"BELOW COST","OK")))),IF($D1910="","","PRO PLAN"))</f>
        <v/>
      </c>
      <c r="U1910" s="60" t="str">
        <f aca="false">IF(IsPro,IF($D1910="","",IFERROR(MATCH($D1910,Items!$A$5:$A$504,0),"")),"")</f>
        <v/>
      </c>
      <c r="V1910" s="60" t="str">
        <f aca="false">IF(IsPro,IF($C1910="","",IFERROR(MATCH($C1910,Parties!$A$5:$A$304,0),"")),"")</f>
        <v/>
      </c>
      <c r="W1910" s="60" t="str">
        <f aca="false">IF(IsPro,IF($B1910="","",IFERROR(VALUE(SUBSTITUTE($B1910,InvPrefix,"")),0)),"")</f>
        <v/>
      </c>
      <c r="X1910" s="61" t="str">
        <f aca="false">IF(IsPro,IF($D1910="","",IF(OR($H1910="",$H1910="Credit"),0,Q1910)),"")</f>
        <v/>
      </c>
    </row>
    <row r="1911" customFormat="false" ht="15" hidden="false" customHeight="false" outlineLevel="0" collapsed="false">
      <c r="A1911" s="55"/>
      <c r="B1911" s="56"/>
      <c r="C1911" s="56"/>
      <c r="D1911" s="56"/>
      <c r="E1911" s="57"/>
      <c r="F1911" s="58"/>
      <c r="G1911" s="59"/>
      <c r="H1911" s="56"/>
      <c r="I1911" s="56"/>
      <c r="J1911" s="60" t="str">
        <f aca="false">IF(IsPro,IF($D1911="","",IFERROR(INDEX(Items!$D$5:$D$504,U1911),"")),"")</f>
        <v/>
      </c>
      <c r="K1911" s="61" t="str">
        <f aca="false">IF(IsPro,IF($D1911="","",IF($F1911="",IFERROR(INDEX(Items!$H$5:$H$504,U1911),0),$F1911)),"")</f>
        <v/>
      </c>
      <c r="L1911" s="61" t="str">
        <f aca="false">IF(IsPro,IF($D1911="","",ROUND(N($E1911)*K1911*(1-N($G1911)),2)),"")</f>
        <v/>
      </c>
      <c r="M1911" s="62" t="str">
        <f aca="false">IF(IsPro,IF($D1911="","",IFERROR(INDEX(Items!$F$5:$F$504,U1911),0)),"")</f>
        <v/>
      </c>
      <c r="N1911" s="61" t="str">
        <f aca="false">IF(IsPro,IF($D1911="","",IF(AND(V1911&lt;&gt;"",INDEX(Parties!$E$5:$E$304,V1911)&lt;&gt;"",INDEX(Parties!$E$5:$E$304,V1911)&lt;&gt;HomeState),0,ROUND(L1911*M1911/2,2))),"")</f>
        <v/>
      </c>
      <c r="O1911" s="61" t="str">
        <f aca="false">IF(IsPro,IF($D1911="","",N1911),"")</f>
        <v/>
      </c>
      <c r="P1911" s="61" t="str">
        <f aca="false">IF(IsPro,IF($D1911="","",IF(AND(V1911&lt;&gt;"",INDEX(Parties!$E$5:$E$304,V1911)&lt;&gt;"",INDEX(Parties!$E$5:$E$304,V1911)&lt;&gt;HomeState),ROUND(L1911*M1911,2),0)),"")</f>
        <v/>
      </c>
      <c r="Q1911" s="61" t="str">
        <f aca="false">IF(IsPro,IF($D1911="","",L1911+N1911+O1911+P1911),"")</f>
        <v/>
      </c>
      <c r="R1911" s="61" t="str">
        <f aca="false">IF(IsPro,IF($D1911="","",ROUND(N($E1911)*IFERROR(INDEX(Items!$P$5:$P$504,U1911),0),2)),"")</f>
        <v/>
      </c>
      <c r="S1911" s="61" t="str">
        <f aca="false">IF(IsPro,IF($D1911="","",L1911-R1911),"")</f>
        <v/>
      </c>
      <c r="T1911" s="60" t="str">
        <f aca="false">IF(IsPro,IF($D1911="","",IF(U1911="","UNKNOWN ITEM",IF(INDEX(Items!$O$5:$O$504,U1911)&lt;0,"NEG STOCK",IF(K1911&lt;INDEX(Items!$P$5:$P$504,U1911),"BELOW COST","OK")))),IF($D1911="","","PRO PLAN"))</f>
        <v/>
      </c>
      <c r="U1911" s="60" t="str">
        <f aca="false">IF(IsPro,IF($D1911="","",IFERROR(MATCH($D1911,Items!$A$5:$A$504,0),"")),"")</f>
        <v/>
      </c>
      <c r="V1911" s="60" t="str">
        <f aca="false">IF(IsPro,IF($C1911="","",IFERROR(MATCH($C1911,Parties!$A$5:$A$304,0),"")),"")</f>
        <v/>
      </c>
      <c r="W1911" s="60" t="str">
        <f aca="false">IF(IsPro,IF($B1911="","",IFERROR(VALUE(SUBSTITUTE($B1911,InvPrefix,"")),0)),"")</f>
        <v/>
      </c>
      <c r="X1911" s="61" t="str">
        <f aca="false">IF(IsPro,IF($D1911="","",IF(OR($H1911="",$H1911="Credit"),0,Q1911)),"")</f>
        <v/>
      </c>
    </row>
    <row r="1912" customFormat="false" ht="15" hidden="false" customHeight="false" outlineLevel="0" collapsed="false">
      <c r="A1912" s="55"/>
      <c r="B1912" s="56"/>
      <c r="C1912" s="56"/>
      <c r="D1912" s="56"/>
      <c r="E1912" s="57"/>
      <c r="F1912" s="58"/>
      <c r="G1912" s="59"/>
      <c r="H1912" s="56"/>
      <c r="I1912" s="56"/>
      <c r="J1912" s="60" t="str">
        <f aca="false">IF(IsPro,IF($D1912="","",IFERROR(INDEX(Items!$D$5:$D$504,U1912),"")),"")</f>
        <v/>
      </c>
      <c r="K1912" s="61" t="str">
        <f aca="false">IF(IsPro,IF($D1912="","",IF($F1912="",IFERROR(INDEX(Items!$H$5:$H$504,U1912),0),$F1912)),"")</f>
        <v/>
      </c>
      <c r="L1912" s="61" t="str">
        <f aca="false">IF(IsPro,IF($D1912="","",ROUND(N($E1912)*K1912*(1-N($G1912)),2)),"")</f>
        <v/>
      </c>
      <c r="M1912" s="62" t="str">
        <f aca="false">IF(IsPro,IF($D1912="","",IFERROR(INDEX(Items!$F$5:$F$504,U1912),0)),"")</f>
        <v/>
      </c>
      <c r="N1912" s="61" t="str">
        <f aca="false">IF(IsPro,IF($D1912="","",IF(AND(V1912&lt;&gt;"",INDEX(Parties!$E$5:$E$304,V1912)&lt;&gt;"",INDEX(Parties!$E$5:$E$304,V1912)&lt;&gt;HomeState),0,ROUND(L1912*M1912/2,2))),"")</f>
        <v/>
      </c>
      <c r="O1912" s="61" t="str">
        <f aca="false">IF(IsPro,IF($D1912="","",N1912),"")</f>
        <v/>
      </c>
      <c r="P1912" s="61" t="str">
        <f aca="false">IF(IsPro,IF($D1912="","",IF(AND(V1912&lt;&gt;"",INDEX(Parties!$E$5:$E$304,V1912)&lt;&gt;"",INDEX(Parties!$E$5:$E$304,V1912)&lt;&gt;HomeState),ROUND(L1912*M1912,2),0)),"")</f>
        <v/>
      </c>
      <c r="Q1912" s="61" t="str">
        <f aca="false">IF(IsPro,IF($D1912="","",L1912+N1912+O1912+P1912),"")</f>
        <v/>
      </c>
      <c r="R1912" s="61" t="str">
        <f aca="false">IF(IsPro,IF($D1912="","",ROUND(N($E1912)*IFERROR(INDEX(Items!$P$5:$P$504,U1912),0),2)),"")</f>
        <v/>
      </c>
      <c r="S1912" s="61" t="str">
        <f aca="false">IF(IsPro,IF($D1912="","",L1912-R1912),"")</f>
        <v/>
      </c>
      <c r="T1912" s="60" t="str">
        <f aca="false">IF(IsPro,IF($D1912="","",IF(U1912="","UNKNOWN ITEM",IF(INDEX(Items!$O$5:$O$504,U1912)&lt;0,"NEG STOCK",IF(K1912&lt;INDEX(Items!$P$5:$P$504,U1912),"BELOW COST","OK")))),IF($D1912="","","PRO PLAN"))</f>
        <v/>
      </c>
      <c r="U1912" s="60" t="str">
        <f aca="false">IF(IsPro,IF($D1912="","",IFERROR(MATCH($D1912,Items!$A$5:$A$504,0),"")),"")</f>
        <v/>
      </c>
      <c r="V1912" s="60" t="str">
        <f aca="false">IF(IsPro,IF($C1912="","",IFERROR(MATCH($C1912,Parties!$A$5:$A$304,0),"")),"")</f>
        <v/>
      </c>
      <c r="W1912" s="60" t="str">
        <f aca="false">IF(IsPro,IF($B1912="","",IFERROR(VALUE(SUBSTITUTE($B1912,InvPrefix,"")),0)),"")</f>
        <v/>
      </c>
      <c r="X1912" s="61" t="str">
        <f aca="false">IF(IsPro,IF($D1912="","",IF(OR($H1912="",$H1912="Credit"),0,Q1912)),"")</f>
        <v/>
      </c>
    </row>
    <row r="1913" customFormat="false" ht="15" hidden="false" customHeight="false" outlineLevel="0" collapsed="false">
      <c r="A1913" s="55"/>
      <c r="B1913" s="56"/>
      <c r="C1913" s="56"/>
      <c r="D1913" s="56"/>
      <c r="E1913" s="57"/>
      <c r="F1913" s="58"/>
      <c r="G1913" s="59"/>
      <c r="H1913" s="56"/>
      <c r="I1913" s="56"/>
      <c r="J1913" s="60" t="str">
        <f aca="false">IF(IsPro,IF($D1913="","",IFERROR(INDEX(Items!$D$5:$D$504,U1913),"")),"")</f>
        <v/>
      </c>
      <c r="K1913" s="61" t="str">
        <f aca="false">IF(IsPro,IF($D1913="","",IF($F1913="",IFERROR(INDEX(Items!$H$5:$H$504,U1913),0),$F1913)),"")</f>
        <v/>
      </c>
      <c r="L1913" s="61" t="str">
        <f aca="false">IF(IsPro,IF($D1913="","",ROUND(N($E1913)*K1913*(1-N($G1913)),2)),"")</f>
        <v/>
      </c>
      <c r="M1913" s="62" t="str">
        <f aca="false">IF(IsPro,IF($D1913="","",IFERROR(INDEX(Items!$F$5:$F$504,U1913),0)),"")</f>
        <v/>
      </c>
      <c r="N1913" s="61" t="str">
        <f aca="false">IF(IsPro,IF($D1913="","",IF(AND(V1913&lt;&gt;"",INDEX(Parties!$E$5:$E$304,V1913)&lt;&gt;"",INDEX(Parties!$E$5:$E$304,V1913)&lt;&gt;HomeState),0,ROUND(L1913*M1913/2,2))),"")</f>
        <v/>
      </c>
      <c r="O1913" s="61" t="str">
        <f aca="false">IF(IsPro,IF($D1913="","",N1913),"")</f>
        <v/>
      </c>
      <c r="P1913" s="61" t="str">
        <f aca="false">IF(IsPro,IF($D1913="","",IF(AND(V1913&lt;&gt;"",INDEX(Parties!$E$5:$E$304,V1913)&lt;&gt;"",INDEX(Parties!$E$5:$E$304,V1913)&lt;&gt;HomeState),ROUND(L1913*M1913,2),0)),"")</f>
        <v/>
      </c>
      <c r="Q1913" s="61" t="str">
        <f aca="false">IF(IsPro,IF($D1913="","",L1913+N1913+O1913+P1913),"")</f>
        <v/>
      </c>
      <c r="R1913" s="61" t="str">
        <f aca="false">IF(IsPro,IF($D1913="","",ROUND(N($E1913)*IFERROR(INDEX(Items!$P$5:$P$504,U1913),0),2)),"")</f>
        <v/>
      </c>
      <c r="S1913" s="61" t="str">
        <f aca="false">IF(IsPro,IF($D1913="","",L1913-R1913),"")</f>
        <v/>
      </c>
      <c r="T1913" s="60" t="str">
        <f aca="false">IF(IsPro,IF($D1913="","",IF(U1913="","UNKNOWN ITEM",IF(INDEX(Items!$O$5:$O$504,U1913)&lt;0,"NEG STOCK",IF(K1913&lt;INDEX(Items!$P$5:$P$504,U1913),"BELOW COST","OK")))),IF($D1913="","","PRO PLAN"))</f>
        <v/>
      </c>
      <c r="U1913" s="60" t="str">
        <f aca="false">IF(IsPro,IF($D1913="","",IFERROR(MATCH($D1913,Items!$A$5:$A$504,0),"")),"")</f>
        <v/>
      </c>
      <c r="V1913" s="60" t="str">
        <f aca="false">IF(IsPro,IF($C1913="","",IFERROR(MATCH($C1913,Parties!$A$5:$A$304,0),"")),"")</f>
        <v/>
      </c>
      <c r="W1913" s="60" t="str">
        <f aca="false">IF(IsPro,IF($B1913="","",IFERROR(VALUE(SUBSTITUTE($B1913,InvPrefix,"")),0)),"")</f>
        <v/>
      </c>
      <c r="X1913" s="61" t="str">
        <f aca="false">IF(IsPro,IF($D1913="","",IF(OR($H1913="",$H1913="Credit"),0,Q1913)),"")</f>
        <v/>
      </c>
    </row>
    <row r="1914" customFormat="false" ht="15" hidden="false" customHeight="false" outlineLevel="0" collapsed="false">
      <c r="A1914" s="55"/>
      <c r="B1914" s="56"/>
      <c r="C1914" s="56"/>
      <c r="D1914" s="56"/>
      <c r="E1914" s="57"/>
      <c r="F1914" s="58"/>
      <c r="G1914" s="59"/>
      <c r="H1914" s="56"/>
      <c r="I1914" s="56"/>
      <c r="J1914" s="60" t="str">
        <f aca="false">IF(IsPro,IF($D1914="","",IFERROR(INDEX(Items!$D$5:$D$504,U1914),"")),"")</f>
        <v/>
      </c>
      <c r="K1914" s="61" t="str">
        <f aca="false">IF(IsPro,IF($D1914="","",IF($F1914="",IFERROR(INDEX(Items!$H$5:$H$504,U1914),0),$F1914)),"")</f>
        <v/>
      </c>
      <c r="L1914" s="61" t="str">
        <f aca="false">IF(IsPro,IF($D1914="","",ROUND(N($E1914)*K1914*(1-N($G1914)),2)),"")</f>
        <v/>
      </c>
      <c r="M1914" s="62" t="str">
        <f aca="false">IF(IsPro,IF($D1914="","",IFERROR(INDEX(Items!$F$5:$F$504,U1914),0)),"")</f>
        <v/>
      </c>
      <c r="N1914" s="61" t="str">
        <f aca="false">IF(IsPro,IF($D1914="","",IF(AND(V1914&lt;&gt;"",INDEX(Parties!$E$5:$E$304,V1914)&lt;&gt;"",INDEX(Parties!$E$5:$E$304,V1914)&lt;&gt;HomeState),0,ROUND(L1914*M1914/2,2))),"")</f>
        <v/>
      </c>
      <c r="O1914" s="61" t="str">
        <f aca="false">IF(IsPro,IF($D1914="","",N1914),"")</f>
        <v/>
      </c>
      <c r="P1914" s="61" t="str">
        <f aca="false">IF(IsPro,IF($D1914="","",IF(AND(V1914&lt;&gt;"",INDEX(Parties!$E$5:$E$304,V1914)&lt;&gt;"",INDEX(Parties!$E$5:$E$304,V1914)&lt;&gt;HomeState),ROUND(L1914*M1914,2),0)),"")</f>
        <v/>
      </c>
      <c r="Q1914" s="61" t="str">
        <f aca="false">IF(IsPro,IF($D1914="","",L1914+N1914+O1914+P1914),"")</f>
        <v/>
      </c>
      <c r="R1914" s="61" t="str">
        <f aca="false">IF(IsPro,IF($D1914="","",ROUND(N($E1914)*IFERROR(INDEX(Items!$P$5:$P$504,U1914),0),2)),"")</f>
        <v/>
      </c>
      <c r="S1914" s="61" t="str">
        <f aca="false">IF(IsPro,IF($D1914="","",L1914-R1914),"")</f>
        <v/>
      </c>
      <c r="T1914" s="60" t="str">
        <f aca="false">IF(IsPro,IF($D1914="","",IF(U1914="","UNKNOWN ITEM",IF(INDEX(Items!$O$5:$O$504,U1914)&lt;0,"NEG STOCK",IF(K1914&lt;INDEX(Items!$P$5:$P$504,U1914),"BELOW COST","OK")))),IF($D1914="","","PRO PLAN"))</f>
        <v/>
      </c>
      <c r="U1914" s="60" t="str">
        <f aca="false">IF(IsPro,IF($D1914="","",IFERROR(MATCH($D1914,Items!$A$5:$A$504,0),"")),"")</f>
        <v/>
      </c>
      <c r="V1914" s="60" t="str">
        <f aca="false">IF(IsPro,IF($C1914="","",IFERROR(MATCH($C1914,Parties!$A$5:$A$304,0),"")),"")</f>
        <v/>
      </c>
      <c r="W1914" s="60" t="str">
        <f aca="false">IF(IsPro,IF($B1914="","",IFERROR(VALUE(SUBSTITUTE($B1914,InvPrefix,"")),0)),"")</f>
        <v/>
      </c>
      <c r="X1914" s="61" t="str">
        <f aca="false">IF(IsPro,IF($D1914="","",IF(OR($H1914="",$H1914="Credit"),0,Q1914)),"")</f>
        <v/>
      </c>
    </row>
    <row r="1915" customFormat="false" ht="15" hidden="false" customHeight="false" outlineLevel="0" collapsed="false">
      <c r="A1915" s="55"/>
      <c r="B1915" s="56"/>
      <c r="C1915" s="56"/>
      <c r="D1915" s="56"/>
      <c r="E1915" s="57"/>
      <c r="F1915" s="58"/>
      <c r="G1915" s="59"/>
      <c r="H1915" s="56"/>
      <c r="I1915" s="56"/>
      <c r="J1915" s="60" t="str">
        <f aca="false">IF(IsPro,IF($D1915="","",IFERROR(INDEX(Items!$D$5:$D$504,U1915),"")),"")</f>
        <v/>
      </c>
      <c r="K1915" s="61" t="str">
        <f aca="false">IF(IsPro,IF($D1915="","",IF($F1915="",IFERROR(INDEX(Items!$H$5:$H$504,U1915),0),$F1915)),"")</f>
        <v/>
      </c>
      <c r="L1915" s="61" t="str">
        <f aca="false">IF(IsPro,IF($D1915="","",ROUND(N($E1915)*K1915*(1-N($G1915)),2)),"")</f>
        <v/>
      </c>
      <c r="M1915" s="62" t="str">
        <f aca="false">IF(IsPro,IF($D1915="","",IFERROR(INDEX(Items!$F$5:$F$504,U1915),0)),"")</f>
        <v/>
      </c>
      <c r="N1915" s="61" t="str">
        <f aca="false">IF(IsPro,IF($D1915="","",IF(AND(V1915&lt;&gt;"",INDEX(Parties!$E$5:$E$304,V1915)&lt;&gt;"",INDEX(Parties!$E$5:$E$304,V1915)&lt;&gt;HomeState),0,ROUND(L1915*M1915/2,2))),"")</f>
        <v/>
      </c>
      <c r="O1915" s="61" t="str">
        <f aca="false">IF(IsPro,IF($D1915="","",N1915),"")</f>
        <v/>
      </c>
      <c r="P1915" s="61" t="str">
        <f aca="false">IF(IsPro,IF($D1915="","",IF(AND(V1915&lt;&gt;"",INDEX(Parties!$E$5:$E$304,V1915)&lt;&gt;"",INDEX(Parties!$E$5:$E$304,V1915)&lt;&gt;HomeState),ROUND(L1915*M1915,2),0)),"")</f>
        <v/>
      </c>
      <c r="Q1915" s="61" t="str">
        <f aca="false">IF(IsPro,IF($D1915="","",L1915+N1915+O1915+P1915),"")</f>
        <v/>
      </c>
      <c r="R1915" s="61" t="str">
        <f aca="false">IF(IsPro,IF($D1915="","",ROUND(N($E1915)*IFERROR(INDEX(Items!$P$5:$P$504,U1915),0),2)),"")</f>
        <v/>
      </c>
      <c r="S1915" s="61" t="str">
        <f aca="false">IF(IsPro,IF($D1915="","",L1915-R1915),"")</f>
        <v/>
      </c>
      <c r="T1915" s="60" t="str">
        <f aca="false">IF(IsPro,IF($D1915="","",IF(U1915="","UNKNOWN ITEM",IF(INDEX(Items!$O$5:$O$504,U1915)&lt;0,"NEG STOCK",IF(K1915&lt;INDEX(Items!$P$5:$P$504,U1915),"BELOW COST","OK")))),IF($D1915="","","PRO PLAN"))</f>
        <v/>
      </c>
      <c r="U1915" s="60" t="str">
        <f aca="false">IF(IsPro,IF($D1915="","",IFERROR(MATCH($D1915,Items!$A$5:$A$504,0),"")),"")</f>
        <v/>
      </c>
      <c r="V1915" s="60" t="str">
        <f aca="false">IF(IsPro,IF($C1915="","",IFERROR(MATCH($C1915,Parties!$A$5:$A$304,0),"")),"")</f>
        <v/>
      </c>
      <c r="W1915" s="60" t="str">
        <f aca="false">IF(IsPro,IF($B1915="","",IFERROR(VALUE(SUBSTITUTE($B1915,InvPrefix,"")),0)),"")</f>
        <v/>
      </c>
      <c r="X1915" s="61" t="str">
        <f aca="false">IF(IsPro,IF($D1915="","",IF(OR($H1915="",$H1915="Credit"),0,Q1915)),"")</f>
        <v/>
      </c>
    </row>
    <row r="1916" customFormat="false" ht="15" hidden="false" customHeight="false" outlineLevel="0" collapsed="false">
      <c r="A1916" s="55"/>
      <c r="B1916" s="56"/>
      <c r="C1916" s="56"/>
      <c r="D1916" s="56"/>
      <c r="E1916" s="57"/>
      <c r="F1916" s="58"/>
      <c r="G1916" s="59"/>
      <c r="H1916" s="56"/>
      <c r="I1916" s="56"/>
      <c r="J1916" s="60" t="str">
        <f aca="false">IF(IsPro,IF($D1916="","",IFERROR(INDEX(Items!$D$5:$D$504,U1916),"")),"")</f>
        <v/>
      </c>
      <c r="K1916" s="61" t="str">
        <f aca="false">IF(IsPro,IF($D1916="","",IF($F1916="",IFERROR(INDEX(Items!$H$5:$H$504,U1916),0),$F1916)),"")</f>
        <v/>
      </c>
      <c r="L1916" s="61" t="str">
        <f aca="false">IF(IsPro,IF($D1916="","",ROUND(N($E1916)*K1916*(1-N($G1916)),2)),"")</f>
        <v/>
      </c>
      <c r="M1916" s="62" t="str">
        <f aca="false">IF(IsPro,IF($D1916="","",IFERROR(INDEX(Items!$F$5:$F$504,U1916),0)),"")</f>
        <v/>
      </c>
      <c r="N1916" s="61" t="str">
        <f aca="false">IF(IsPro,IF($D1916="","",IF(AND(V1916&lt;&gt;"",INDEX(Parties!$E$5:$E$304,V1916)&lt;&gt;"",INDEX(Parties!$E$5:$E$304,V1916)&lt;&gt;HomeState),0,ROUND(L1916*M1916/2,2))),"")</f>
        <v/>
      </c>
      <c r="O1916" s="61" t="str">
        <f aca="false">IF(IsPro,IF($D1916="","",N1916),"")</f>
        <v/>
      </c>
      <c r="P1916" s="61" t="str">
        <f aca="false">IF(IsPro,IF($D1916="","",IF(AND(V1916&lt;&gt;"",INDEX(Parties!$E$5:$E$304,V1916)&lt;&gt;"",INDEX(Parties!$E$5:$E$304,V1916)&lt;&gt;HomeState),ROUND(L1916*M1916,2),0)),"")</f>
        <v/>
      </c>
      <c r="Q1916" s="61" t="str">
        <f aca="false">IF(IsPro,IF($D1916="","",L1916+N1916+O1916+P1916),"")</f>
        <v/>
      </c>
      <c r="R1916" s="61" t="str">
        <f aca="false">IF(IsPro,IF($D1916="","",ROUND(N($E1916)*IFERROR(INDEX(Items!$P$5:$P$504,U1916),0),2)),"")</f>
        <v/>
      </c>
      <c r="S1916" s="61" t="str">
        <f aca="false">IF(IsPro,IF($D1916="","",L1916-R1916),"")</f>
        <v/>
      </c>
      <c r="T1916" s="60" t="str">
        <f aca="false">IF(IsPro,IF($D1916="","",IF(U1916="","UNKNOWN ITEM",IF(INDEX(Items!$O$5:$O$504,U1916)&lt;0,"NEG STOCK",IF(K1916&lt;INDEX(Items!$P$5:$P$504,U1916),"BELOW COST","OK")))),IF($D1916="","","PRO PLAN"))</f>
        <v/>
      </c>
      <c r="U1916" s="60" t="str">
        <f aca="false">IF(IsPro,IF($D1916="","",IFERROR(MATCH($D1916,Items!$A$5:$A$504,0),"")),"")</f>
        <v/>
      </c>
      <c r="V1916" s="60" t="str">
        <f aca="false">IF(IsPro,IF($C1916="","",IFERROR(MATCH($C1916,Parties!$A$5:$A$304,0),"")),"")</f>
        <v/>
      </c>
      <c r="W1916" s="60" t="str">
        <f aca="false">IF(IsPro,IF($B1916="","",IFERROR(VALUE(SUBSTITUTE($B1916,InvPrefix,"")),0)),"")</f>
        <v/>
      </c>
      <c r="X1916" s="61" t="str">
        <f aca="false">IF(IsPro,IF($D1916="","",IF(OR($H1916="",$H1916="Credit"),0,Q1916)),"")</f>
        <v/>
      </c>
    </row>
    <row r="1917" customFormat="false" ht="15" hidden="false" customHeight="false" outlineLevel="0" collapsed="false">
      <c r="A1917" s="55"/>
      <c r="B1917" s="56"/>
      <c r="C1917" s="56"/>
      <c r="D1917" s="56"/>
      <c r="E1917" s="57"/>
      <c r="F1917" s="58"/>
      <c r="G1917" s="59"/>
      <c r="H1917" s="56"/>
      <c r="I1917" s="56"/>
      <c r="J1917" s="60" t="str">
        <f aca="false">IF(IsPro,IF($D1917="","",IFERROR(INDEX(Items!$D$5:$D$504,U1917),"")),"")</f>
        <v/>
      </c>
      <c r="K1917" s="61" t="str">
        <f aca="false">IF(IsPro,IF($D1917="","",IF($F1917="",IFERROR(INDEX(Items!$H$5:$H$504,U1917),0),$F1917)),"")</f>
        <v/>
      </c>
      <c r="L1917" s="61" t="str">
        <f aca="false">IF(IsPro,IF($D1917="","",ROUND(N($E1917)*K1917*(1-N($G1917)),2)),"")</f>
        <v/>
      </c>
      <c r="M1917" s="62" t="str">
        <f aca="false">IF(IsPro,IF($D1917="","",IFERROR(INDEX(Items!$F$5:$F$504,U1917),0)),"")</f>
        <v/>
      </c>
      <c r="N1917" s="61" t="str">
        <f aca="false">IF(IsPro,IF($D1917="","",IF(AND(V1917&lt;&gt;"",INDEX(Parties!$E$5:$E$304,V1917)&lt;&gt;"",INDEX(Parties!$E$5:$E$304,V1917)&lt;&gt;HomeState),0,ROUND(L1917*M1917/2,2))),"")</f>
        <v/>
      </c>
      <c r="O1917" s="61" t="str">
        <f aca="false">IF(IsPro,IF($D1917="","",N1917),"")</f>
        <v/>
      </c>
      <c r="P1917" s="61" t="str">
        <f aca="false">IF(IsPro,IF($D1917="","",IF(AND(V1917&lt;&gt;"",INDEX(Parties!$E$5:$E$304,V1917)&lt;&gt;"",INDEX(Parties!$E$5:$E$304,V1917)&lt;&gt;HomeState),ROUND(L1917*M1917,2),0)),"")</f>
        <v/>
      </c>
      <c r="Q1917" s="61" t="str">
        <f aca="false">IF(IsPro,IF($D1917="","",L1917+N1917+O1917+P1917),"")</f>
        <v/>
      </c>
      <c r="R1917" s="61" t="str">
        <f aca="false">IF(IsPro,IF($D1917="","",ROUND(N($E1917)*IFERROR(INDEX(Items!$P$5:$P$504,U1917),0),2)),"")</f>
        <v/>
      </c>
      <c r="S1917" s="61" t="str">
        <f aca="false">IF(IsPro,IF($D1917="","",L1917-R1917),"")</f>
        <v/>
      </c>
      <c r="T1917" s="60" t="str">
        <f aca="false">IF(IsPro,IF($D1917="","",IF(U1917="","UNKNOWN ITEM",IF(INDEX(Items!$O$5:$O$504,U1917)&lt;0,"NEG STOCK",IF(K1917&lt;INDEX(Items!$P$5:$P$504,U1917),"BELOW COST","OK")))),IF($D1917="","","PRO PLAN"))</f>
        <v/>
      </c>
      <c r="U1917" s="60" t="str">
        <f aca="false">IF(IsPro,IF($D1917="","",IFERROR(MATCH($D1917,Items!$A$5:$A$504,0),"")),"")</f>
        <v/>
      </c>
      <c r="V1917" s="60" t="str">
        <f aca="false">IF(IsPro,IF($C1917="","",IFERROR(MATCH($C1917,Parties!$A$5:$A$304,0),"")),"")</f>
        <v/>
      </c>
      <c r="W1917" s="60" t="str">
        <f aca="false">IF(IsPro,IF($B1917="","",IFERROR(VALUE(SUBSTITUTE($B1917,InvPrefix,"")),0)),"")</f>
        <v/>
      </c>
      <c r="X1917" s="61" t="str">
        <f aca="false">IF(IsPro,IF($D1917="","",IF(OR($H1917="",$H1917="Credit"),0,Q1917)),"")</f>
        <v/>
      </c>
    </row>
    <row r="1918" customFormat="false" ht="15" hidden="false" customHeight="false" outlineLevel="0" collapsed="false">
      <c r="A1918" s="55"/>
      <c r="B1918" s="56"/>
      <c r="C1918" s="56"/>
      <c r="D1918" s="56"/>
      <c r="E1918" s="57"/>
      <c r="F1918" s="58"/>
      <c r="G1918" s="59"/>
      <c r="H1918" s="56"/>
      <c r="I1918" s="56"/>
      <c r="J1918" s="60" t="str">
        <f aca="false">IF(IsPro,IF($D1918="","",IFERROR(INDEX(Items!$D$5:$D$504,U1918),"")),"")</f>
        <v/>
      </c>
      <c r="K1918" s="61" t="str">
        <f aca="false">IF(IsPro,IF($D1918="","",IF($F1918="",IFERROR(INDEX(Items!$H$5:$H$504,U1918),0),$F1918)),"")</f>
        <v/>
      </c>
      <c r="L1918" s="61" t="str">
        <f aca="false">IF(IsPro,IF($D1918="","",ROUND(N($E1918)*K1918*(1-N($G1918)),2)),"")</f>
        <v/>
      </c>
      <c r="M1918" s="62" t="str">
        <f aca="false">IF(IsPro,IF($D1918="","",IFERROR(INDEX(Items!$F$5:$F$504,U1918),0)),"")</f>
        <v/>
      </c>
      <c r="N1918" s="61" t="str">
        <f aca="false">IF(IsPro,IF($D1918="","",IF(AND(V1918&lt;&gt;"",INDEX(Parties!$E$5:$E$304,V1918)&lt;&gt;"",INDEX(Parties!$E$5:$E$304,V1918)&lt;&gt;HomeState),0,ROUND(L1918*M1918/2,2))),"")</f>
        <v/>
      </c>
      <c r="O1918" s="61" t="str">
        <f aca="false">IF(IsPro,IF($D1918="","",N1918),"")</f>
        <v/>
      </c>
      <c r="P1918" s="61" t="str">
        <f aca="false">IF(IsPro,IF($D1918="","",IF(AND(V1918&lt;&gt;"",INDEX(Parties!$E$5:$E$304,V1918)&lt;&gt;"",INDEX(Parties!$E$5:$E$304,V1918)&lt;&gt;HomeState),ROUND(L1918*M1918,2),0)),"")</f>
        <v/>
      </c>
      <c r="Q1918" s="61" t="str">
        <f aca="false">IF(IsPro,IF($D1918="","",L1918+N1918+O1918+P1918),"")</f>
        <v/>
      </c>
      <c r="R1918" s="61" t="str">
        <f aca="false">IF(IsPro,IF($D1918="","",ROUND(N($E1918)*IFERROR(INDEX(Items!$P$5:$P$504,U1918),0),2)),"")</f>
        <v/>
      </c>
      <c r="S1918" s="61" t="str">
        <f aca="false">IF(IsPro,IF($D1918="","",L1918-R1918),"")</f>
        <v/>
      </c>
      <c r="T1918" s="60" t="str">
        <f aca="false">IF(IsPro,IF($D1918="","",IF(U1918="","UNKNOWN ITEM",IF(INDEX(Items!$O$5:$O$504,U1918)&lt;0,"NEG STOCK",IF(K1918&lt;INDEX(Items!$P$5:$P$504,U1918),"BELOW COST","OK")))),IF($D1918="","","PRO PLAN"))</f>
        <v/>
      </c>
      <c r="U1918" s="60" t="str">
        <f aca="false">IF(IsPro,IF($D1918="","",IFERROR(MATCH($D1918,Items!$A$5:$A$504,0),"")),"")</f>
        <v/>
      </c>
      <c r="V1918" s="60" t="str">
        <f aca="false">IF(IsPro,IF($C1918="","",IFERROR(MATCH($C1918,Parties!$A$5:$A$304,0),"")),"")</f>
        <v/>
      </c>
      <c r="W1918" s="60" t="str">
        <f aca="false">IF(IsPro,IF($B1918="","",IFERROR(VALUE(SUBSTITUTE($B1918,InvPrefix,"")),0)),"")</f>
        <v/>
      </c>
      <c r="X1918" s="61" t="str">
        <f aca="false">IF(IsPro,IF($D1918="","",IF(OR($H1918="",$H1918="Credit"),0,Q1918)),"")</f>
        <v/>
      </c>
    </row>
    <row r="1919" customFormat="false" ht="15" hidden="false" customHeight="false" outlineLevel="0" collapsed="false">
      <c r="A1919" s="55"/>
      <c r="B1919" s="56"/>
      <c r="C1919" s="56"/>
      <c r="D1919" s="56"/>
      <c r="E1919" s="57"/>
      <c r="F1919" s="58"/>
      <c r="G1919" s="59"/>
      <c r="H1919" s="56"/>
      <c r="I1919" s="56"/>
      <c r="J1919" s="60" t="str">
        <f aca="false">IF(IsPro,IF($D1919="","",IFERROR(INDEX(Items!$D$5:$D$504,U1919),"")),"")</f>
        <v/>
      </c>
      <c r="K1919" s="61" t="str">
        <f aca="false">IF(IsPro,IF($D1919="","",IF($F1919="",IFERROR(INDEX(Items!$H$5:$H$504,U1919),0),$F1919)),"")</f>
        <v/>
      </c>
      <c r="L1919" s="61" t="str">
        <f aca="false">IF(IsPro,IF($D1919="","",ROUND(N($E1919)*K1919*(1-N($G1919)),2)),"")</f>
        <v/>
      </c>
      <c r="M1919" s="62" t="str">
        <f aca="false">IF(IsPro,IF($D1919="","",IFERROR(INDEX(Items!$F$5:$F$504,U1919),0)),"")</f>
        <v/>
      </c>
      <c r="N1919" s="61" t="str">
        <f aca="false">IF(IsPro,IF($D1919="","",IF(AND(V1919&lt;&gt;"",INDEX(Parties!$E$5:$E$304,V1919)&lt;&gt;"",INDEX(Parties!$E$5:$E$304,V1919)&lt;&gt;HomeState),0,ROUND(L1919*M1919/2,2))),"")</f>
        <v/>
      </c>
      <c r="O1919" s="61" t="str">
        <f aca="false">IF(IsPro,IF($D1919="","",N1919),"")</f>
        <v/>
      </c>
      <c r="P1919" s="61" t="str">
        <f aca="false">IF(IsPro,IF($D1919="","",IF(AND(V1919&lt;&gt;"",INDEX(Parties!$E$5:$E$304,V1919)&lt;&gt;"",INDEX(Parties!$E$5:$E$304,V1919)&lt;&gt;HomeState),ROUND(L1919*M1919,2),0)),"")</f>
        <v/>
      </c>
      <c r="Q1919" s="61" t="str">
        <f aca="false">IF(IsPro,IF($D1919="","",L1919+N1919+O1919+P1919),"")</f>
        <v/>
      </c>
      <c r="R1919" s="61" t="str">
        <f aca="false">IF(IsPro,IF($D1919="","",ROUND(N($E1919)*IFERROR(INDEX(Items!$P$5:$P$504,U1919),0),2)),"")</f>
        <v/>
      </c>
      <c r="S1919" s="61" t="str">
        <f aca="false">IF(IsPro,IF($D1919="","",L1919-R1919),"")</f>
        <v/>
      </c>
      <c r="T1919" s="60" t="str">
        <f aca="false">IF(IsPro,IF($D1919="","",IF(U1919="","UNKNOWN ITEM",IF(INDEX(Items!$O$5:$O$504,U1919)&lt;0,"NEG STOCK",IF(K1919&lt;INDEX(Items!$P$5:$P$504,U1919),"BELOW COST","OK")))),IF($D1919="","","PRO PLAN"))</f>
        <v/>
      </c>
      <c r="U1919" s="60" t="str">
        <f aca="false">IF(IsPro,IF($D1919="","",IFERROR(MATCH($D1919,Items!$A$5:$A$504,0),"")),"")</f>
        <v/>
      </c>
      <c r="V1919" s="60" t="str">
        <f aca="false">IF(IsPro,IF($C1919="","",IFERROR(MATCH($C1919,Parties!$A$5:$A$304,0),"")),"")</f>
        <v/>
      </c>
      <c r="W1919" s="60" t="str">
        <f aca="false">IF(IsPro,IF($B1919="","",IFERROR(VALUE(SUBSTITUTE($B1919,InvPrefix,"")),0)),"")</f>
        <v/>
      </c>
      <c r="X1919" s="61" t="str">
        <f aca="false">IF(IsPro,IF($D1919="","",IF(OR($H1919="",$H1919="Credit"),0,Q1919)),"")</f>
        <v/>
      </c>
    </row>
    <row r="1920" customFormat="false" ht="15" hidden="false" customHeight="false" outlineLevel="0" collapsed="false">
      <c r="A1920" s="55"/>
      <c r="B1920" s="56"/>
      <c r="C1920" s="56"/>
      <c r="D1920" s="56"/>
      <c r="E1920" s="57"/>
      <c r="F1920" s="58"/>
      <c r="G1920" s="59"/>
      <c r="H1920" s="56"/>
      <c r="I1920" s="56"/>
      <c r="J1920" s="60" t="str">
        <f aca="false">IF(IsPro,IF($D1920="","",IFERROR(INDEX(Items!$D$5:$D$504,U1920),"")),"")</f>
        <v/>
      </c>
      <c r="K1920" s="61" t="str">
        <f aca="false">IF(IsPro,IF($D1920="","",IF($F1920="",IFERROR(INDEX(Items!$H$5:$H$504,U1920),0),$F1920)),"")</f>
        <v/>
      </c>
      <c r="L1920" s="61" t="str">
        <f aca="false">IF(IsPro,IF($D1920="","",ROUND(N($E1920)*K1920*(1-N($G1920)),2)),"")</f>
        <v/>
      </c>
      <c r="M1920" s="62" t="str">
        <f aca="false">IF(IsPro,IF($D1920="","",IFERROR(INDEX(Items!$F$5:$F$504,U1920),0)),"")</f>
        <v/>
      </c>
      <c r="N1920" s="61" t="str">
        <f aca="false">IF(IsPro,IF($D1920="","",IF(AND(V1920&lt;&gt;"",INDEX(Parties!$E$5:$E$304,V1920)&lt;&gt;"",INDEX(Parties!$E$5:$E$304,V1920)&lt;&gt;HomeState),0,ROUND(L1920*M1920/2,2))),"")</f>
        <v/>
      </c>
      <c r="O1920" s="61" t="str">
        <f aca="false">IF(IsPro,IF($D1920="","",N1920),"")</f>
        <v/>
      </c>
      <c r="P1920" s="61" t="str">
        <f aca="false">IF(IsPro,IF($D1920="","",IF(AND(V1920&lt;&gt;"",INDEX(Parties!$E$5:$E$304,V1920)&lt;&gt;"",INDEX(Parties!$E$5:$E$304,V1920)&lt;&gt;HomeState),ROUND(L1920*M1920,2),0)),"")</f>
        <v/>
      </c>
      <c r="Q1920" s="61" t="str">
        <f aca="false">IF(IsPro,IF($D1920="","",L1920+N1920+O1920+P1920),"")</f>
        <v/>
      </c>
      <c r="R1920" s="61" t="str">
        <f aca="false">IF(IsPro,IF($D1920="","",ROUND(N($E1920)*IFERROR(INDEX(Items!$P$5:$P$504,U1920),0),2)),"")</f>
        <v/>
      </c>
      <c r="S1920" s="61" t="str">
        <f aca="false">IF(IsPro,IF($D1920="","",L1920-R1920),"")</f>
        <v/>
      </c>
      <c r="T1920" s="60" t="str">
        <f aca="false">IF(IsPro,IF($D1920="","",IF(U1920="","UNKNOWN ITEM",IF(INDEX(Items!$O$5:$O$504,U1920)&lt;0,"NEG STOCK",IF(K1920&lt;INDEX(Items!$P$5:$P$504,U1920),"BELOW COST","OK")))),IF($D1920="","","PRO PLAN"))</f>
        <v/>
      </c>
      <c r="U1920" s="60" t="str">
        <f aca="false">IF(IsPro,IF($D1920="","",IFERROR(MATCH($D1920,Items!$A$5:$A$504,0),"")),"")</f>
        <v/>
      </c>
      <c r="V1920" s="60" t="str">
        <f aca="false">IF(IsPro,IF($C1920="","",IFERROR(MATCH($C1920,Parties!$A$5:$A$304,0),"")),"")</f>
        <v/>
      </c>
      <c r="W1920" s="60" t="str">
        <f aca="false">IF(IsPro,IF($B1920="","",IFERROR(VALUE(SUBSTITUTE($B1920,InvPrefix,"")),0)),"")</f>
        <v/>
      </c>
      <c r="X1920" s="61" t="str">
        <f aca="false">IF(IsPro,IF($D1920="","",IF(OR($H1920="",$H1920="Credit"),0,Q1920)),"")</f>
        <v/>
      </c>
    </row>
    <row r="1921" customFormat="false" ht="15" hidden="false" customHeight="false" outlineLevel="0" collapsed="false">
      <c r="A1921" s="55"/>
      <c r="B1921" s="56"/>
      <c r="C1921" s="56"/>
      <c r="D1921" s="56"/>
      <c r="E1921" s="57"/>
      <c r="F1921" s="58"/>
      <c r="G1921" s="59"/>
      <c r="H1921" s="56"/>
      <c r="I1921" s="56"/>
      <c r="J1921" s="60" t="str">
        <f aca="false">IF(IsPro,IF($D1921="","",IFERROR(INDEX(Items!$D$5:$D$504,U1921),"")),"")</f>
        <v/>
      </c>
      <c r="K1921" s="61" t="str">
        <f aca="false">IF(IsPro,IF($D1921="","",IF($F1921="",IFERROR(INDEX(Items!$H$5:$H$504,U1921),0),$F1921)),"")</f>
        <v/>
      </c>
      <c r="L1921" s="61" t="str">
        <f aca="false">IF(IsPro,IF($D1921="","",ROUND(N($E1921)*K1921*(1-N($G1921)),2)),"")</f>
        <v/>
      </c>
      <c r="M1921" s="62" t="str">
        <f aca="false">IF(IsPro,IF($D1921="","",IFERROR(INDEX(Items!$F$5:$F$504,U1921),0)),"")</f>
        <v/>
      </c>
      <c r="N1921" s="61" t="str">
        <f aca="false">IF(IsPro,IF($D1921="","",IF(AND(V1921&lt;&gt;"",INDEX(Parties!$E$5:$E$304,V1921)&lt;&gt;"",INDEX(Parties!$E$5:$E$304,V1921)&lt;&gt;HomeState),0,ROUND(L1921*M1921/2,2))),"")</f>
        <v/>
      </c>
      <c r="O1921" s="61" t="str">
        <f aca="false">IF(IsPro,IF($D1921="","",N1921),"")</f>
        <v/>
      </c>
      <c r="P1921" s="61" t="str">
        <f aca="false">IF(IsPro,IF($D1921="","",IF(AND(V1921&lt;&gt;"",INDEX(Parties!$E$5:$E$304,V1921)&lt;&gt;"",INDEX(Parties!$E$5:$E$304,V1921)&lt;&gt;HomeState),ROUND(L1921*M1921,2),0)),"")</f>
        <v/>
      </c>
      <c r="Q1921" s="61" t="str">
        <f aca="false">IF(IsPro,IF($D1921="","",L1921+N1921+O1921+P1921),"")</f>
        <v/>
      </c>
      <c r="R1921" s="61" t="str">
        <f aca="false">IF(IsPro,IF($D1921="","",ROUND(N($E1921)*IFERROR(INDEX(Items!$P$5:$P$504,U1921),0),2)),"")</f>
        <v/>
      </c>
      <c r="S1921" s="61" t="str">
        <f aca="false">IF(IsPro,IF($D1921="","",L1921-R1921),"")</f>
        <v/>
      </c>
      <c r="T1921" s="60" t="str">
        <f aca="false">IF(IsPro,IF($D1921="","",IF(U1921="","UNKNOWN ITEM",IF(INDEX(Items!$O$5:$O$504,U1921)&lt;0,"NEG STOCK",IF(K1921&lt;INDEX(Items!$P$5:$P$504,U1921),"BELOW COST","OK")))),IF($D1921="","","PRO PLAN"))</f>
        <v/>
      </c>
      <c r="U1921" s="60" t="str">
        <f aca="false">IF(IsPro,IF($D1921="","",IFERROR(MATCH($D1921,Items!$A$5:$A$504,0),"")),"")</f>
        <v/>
      </c>
      <c r="V1921" s="60" t="str">
        <f aca="false">IF(IsPro,IF($C1921="","",IFERROR(MATCH($C1921,Parties!$A$5:$A$304,0),"")),"")</f>
        <v/>
      </c>
      <c r="W1921" s="60" t="str">
        <f aca="false">IF(IsPro,IF($B1921="","",IFERROR(VALUE(SUBSTITUTE($B1921,InvPrefix,"")),0)),"")</f>
        <v/>
      </c>
      <c r="X1921" s="61" t="str">
        <f aca="false">IF(IsPro,IF($D1921="","",IF(OR($H1921="",$H1921="Credit"),0,Q1921)),"")</f>
        <v/>
      </c>
    </row>
    <row r="1922" customFormat="false" ht="15" hidden="false" customHeight="false" outlineLevel="0" collapsed="false">
      <c r="A1922" s="55"/>
      <c r="B1922" s="56"/>
      <c r="C1922" s="56"/>
      <c r="D1922" s="56"/>
      <c r="E1922" s="57"/>
      <c r="F1922" s="58"/>
      <c r="G1922" s="59"/>
      <c r="H1922" s="56"/>
      <c r="I1922" s="56"/>
      <c r="J1922" s="60" t="str">
        <f aca="false">IF(IsPro,IF($D1922="","",IFERROR(INDEX(Items!$D$5:$D$504,U1922),"")),"")</f>
        <v/>
      </c>
      <c r="K1922" s="61" t="str">
        <f aca="false">IF(IsPro,IF($D1922="","",IF($F1922="",IFERROR(INDEX(Items!$H$5:$H$504,U1922),0),$F1922)),"")</f>
        <v/>
      </c>
      <c r="L1922" s="61" t="str">
        <f aca="false">IF(IsPro,IF($D1922="","",ROUND(N($E1922)*K1922*(1-N($G1922)),2)),"")</f>
        <v/>
      </c>
      <c r="M1922" s="62" t="str">
        <f aca="false">IF(IsPro,IF($D1922="","",IFERROR(INDEX(Items!$F$5:$F$504,U1922),0)),"")</f>
        <v/>
      </c>
      <c r="N1922" s="61" t="str">
        <f aca="false">IF(IsPro,IF($D1922="","",IF(AND(V1922&lt;&gt;"",INDEX(Parties!$E$5:$E$304,V1922)&lt;&gt;"",INDEX(Parties!$E$5:$E$304,V1922)&lt;&gt;HomeState),0,ROUND(L1922*M1922/2,2))),"")</f>
        <v/>
      </c>
      <c r="O1922" s="61" t="str">
        <f aca="false">IF(IsPro,IF($D1922="","",N1922),"")</f>
        <v/>
      </c>
      <c r="P1922" s="61" t="str">
        <f aca="false">IF(IsPro,IF($D1922="","",IF(AND(V1922&lt;&gt;"",INDEX(Parties!$E$5:$E$304,V1922)&lt;&gt;"",INDEX(Parties!$E$5:$E$304,V1922)&lt;&gt;HomeState),ROUND(L1922*M1922,2),0)),"")</f>
        <v/>
      </c>
      <c r="Q1922" s="61" t="str">
        <f aca="false">IF(IsPro,IF($D1922="","",L1922+N1922+O1922+P1922),"")</f>
        <v/>
      </c>
      <c r="R1922" s="61" t="str">
        <f aca="false">IF(IsPro,IF($D1922="","",ROUND(N($E1922)*IFERROR(INDEX(Items!$P$5:$P$504,U1922),0),2)),"")</f>
        <v/>
      </c>
      <c r="S1922" s="61" t="str">
        <f aca="false">IF(IsPro,IF($D1922="","",L1922-R1922),"")</f>
        <v/>
      </c>
      <c r="T1922" s="60" t="str">
        <f aca="false">IF(IsPro,IF($D1922="","",IF(U1922="","UNKNOWN ITEM",IF(INDEX(Items!$O$5:$O$504,U1922)&lt;0,"NEG STOCK",IF(K1922&lt;INDEX(Items!$P$5:$P$504,U1922),"BELOW COST","OK")))),IF($D1922="","","PRO PLAN"))</f>
        <v/>
      </c>
      <c r="U1922" s="60" t="str">
        <f aca="false">IF(IsPro,IF($D1922="","",IFERROR(MATCH($D1922,Items!$A$5:$A$504,0),"")),"")</f>
        <v/>
      </c>
      <c r="V1922" s="60" t="str">
        <f aca="false">IF(IsPro,IF($C1922="","",IFERROR(MATCH($C1922,Parties!$A$5:$A$304,0),"")),"")</f>
        <v/>
      </c>
      <c r="W1922" s="60" t="str">
        <f aca="false">IF(IsPro,IF($B1922="","",IFERROR(VALUE(SUBSTITUTE($B1922,InvPrefix,"")),0)),"")</f>
        <v/>
      </c>
      <c r="X1922" s="61" t="str">
        <f aca="false">IF(IsPro,IF($D1922="","",IF(OR($H1922="",$H1922="Credit"),0,Q1922)),"")</f>
        <v/>
      </c>
    </row>
    <row r="1923" customFormat="false" ht="15" hidden="false" customHeight="false" outlineLevel="0" collapsed="false">
      <c r="A1923" s="55"/>
      <c r="B1923" s="56"/>
      <c r="C1923" s="56"/>
      <c r="D1923" s="56"/>
      <c r="E1923" s="57"/>
      <c r="F1923" s="58"/>
      <c r="G1923" s="59"/>
      <c r="H1923" s="56"/>
      <c r="I1923" s="56"/>
      <c r="J1923" s="60" t="str">
        <f aca="false">IF(IsPro,IF($D1923="","",IFERROR(INDEX(Items!$D$5:$D$504,U1923),"")),"")</f>
        <v/>
      </c>
      <c r="K1923" s="61" t="str">
        <f aca="false">IF(IsPro,IF($D1923="","",IF($F1923="",IFERROR(INDEX(Items!$H$5:$H$504,U1923),0),$F1923)),"")</f>
        <v/>
      </c>
      <c r="L1923" s="61" t="str">
        <f aca="false">IF(IsPro,IF($D1923="","",ROUND(N($E1923)*K1923*(1-N($G1923)),2)),"")</f>
        <v/>
      </c>
      <c r="M1923" s="62" t="str">
        <f aca="false">IF(IsPro,IF($D1923="","",IFERROR(INDEX(Items!$F$5:$F$504,U1923),0)),"")</f>
        <v/>
      </c>
      <c r="N1923" s="61" t="str">
        <f aca="false">IF(IsPro,IF($D1923="","",IF(AND(V1923&lt;&gt;"",INDEX(Parties!$E$5:$E$304,V1923)&lt;&gt;"",INDEX(Parties!$E$5:$E$304,V1923)&lt;&gt;HomeState),0,ROUND(L1923*M1923/2,2))),"")</f>
        <v/>
      </c>
      <c r="O1923" s="61" t="str">
        <f aca="false">IF(IsPro,IF($D1923="","",N1923),"")</f>
        <v/>
      </c>
      <c r="P1923" s="61" t="str">
        <f aca="false">IF(IsPro,IF($D1923="","",IF(AND(V1923&lt;&gt;"",INDEX(Parties!$E$5:$E$304,V1923)&lt;&gt;"",INDEX(Parties!$E$5:$E$304,V1923)&lt;&gt;HomeState),ROUND(L1923*M1923,2),0)),"")</f>
        <v/>
      </c>
      <c r="Q1923" s="61" t="str">
        <f aca="false">IF(IsPro,IF($D1923="","",L1923+N1923+O1923+P1923),"")</f>
        <v/>
      </c>
      <c r="R1923" s="61" t="str">
        <f aca="false">IF(IsPro,IF($D1923="","",ROUND(N($E1923)*IFERROR(INDEX(Items!$P$5:$P$504,U1923),0),2)),"")</f>
        <v/>
      </c>
      <c r="S1923" s="61" t="str">
        <f aca="false">IF(IsPro,IF($D1923="","",L1923-R1923),"")</f>
        <v/>
      </c>
      <c r="T1923" s="60" t="str">
        <f aca="false">IF(IsPro,IF($D1923="","",IF(U1923="","UNKNOWN ITEM",IF(INDEX(Items!$O$5:$O$504,U1923)&lt;0,"NEG STOCK",IF(K1923&lt;INDEX(Items!$P$5:$P$504,U1923),"BELOW COST","OK")))),IF($D1923="","","PRO PLAN"))</f>
        <v/>
      </c>
      <c r="U1923" s="60" t="str">
        <f aca="false">IF(IsPro,IF($D1923="","",IFERROR(MATCH($D1923,Items!$A$5:$A$504,0),"")),"")</f>
        <v/>
      </c>
      <c r="V1923" s="60" t="str">
        <f aca="false">IF(IsPro,IF($C1923="","",IFERROR(MATCH($C1923,Parties!$A$5:$A$304,0),"")),"")</f>
        <v/>
      </c>
      <c r="W1923" s="60" t="str">
        <f aca="false">IF(IsPro,IF($B1923="","",IFERROR(VALUE(SUBSTITUTE($B1923,InvPrefix,"")),0)),"")</f>
        <v/>
      </c>
      <c r="X1923" s="61" t="str">
        <f aca="false">IF(IsPro,IF($D1923="","",IF(OR($H1923="",$H1923="Credit"),0,Q1923)),"")</f>
        <v/>
      </c>
    </row>
    <row r="1924" customFormat="false" ht="15" hidden="false" customHeight="false" outlineLevel="0" collapsed="false">
      <c r="A1924" s="55"/>
      <c r="B1924" s="56"/>
      <c r="C1924" s="56"/>
      <c r="D1924" s="56"/>
      <c r="E1924" s="57"/>
      <c r="F1924" s="58"/>
      <c r="G1924" s="59"/>
      <c r="H1924" s="56"/>
      <c r="I1924" s="56"/>
      <c r="J1924" s="60" t="str">
        <f aca="false">IF(IsPro,IF($D1924="","",IFERROR(INDEX(Items!$D$5:$D$504,U1924),"")),"")</f>
        <v/>
      </c>
      <c r="K1924" s="61" t="str">
        <f aca="false">IF(IsPro,IF($D1924="","",IF($F1924="",IFERROR(INDEX(Items!$H$5:$H$504,U1924),0),$F1924)),"")</f>
        <v/>
      </c>
      <c r="L1924" s="61" t="str">
        <f aca="false">IF(IsPro,IF($D1924="","",ROUND(N($E1924)*K1924*(1-N($G1924)),2)),"")</f>
        <v/>
      </c>
      <c r="M1924" s="62" t="str">
        <f aca="false">IF(IsPro,IF($D1924="","",IFERROR(INDEX(Items!$F$5:$F$504,U1924),0)),"")</f>
        <v/>
      </c>
      <c r="N1924" s="61" t="str">
        <f aca="false">IF(IsPro,IF($D1924="","",IF(AND(V1924&lt;&gt;"",INDEX(Parties!$E$5:$E$304,V1924)&lt;&gt;"",INDEX(Parties!$E$5:$E$304,V1924)&lt;&gt;HomeState),0,ROUND(L1924*M1924/2,2))),"")</f>
        <v/>
      </c>
      <c r="O1924" s="61" t="str">
        <f aca="false">IF(IsPro,IF($D1924="","",N1924),"")</f>
        <v/>
      </c>
      <c r="P1924" s="61" t="str">
        <f aca="false">IF(IsPro,IF($D1924="","",IF(AND(V1924&lt;&gt;"",INDEX(Parties!$E$5:$E$304,V1924)&lt;&gt;"",INDEX(Parties!$E$5:$E$304,V1924)&lt;&gt;HomeState),ROUND(L1924*M1924,2),0)),"")</f>
        <v/>
      </c>
      <c r="Q1924" s="61" t="str">
        <f aca="false">IF(IsPro,IF($D1924="","",L1924+N1924+O1924+P1924),"")</f>
        <v/>
      </c>
      <c r="R1924" s="61" t="str">
        <f aca="false">IF(IsPro,IF($D1924="","",ROUND(N($E1924)*IFERROR(INDEX(Items!$P$5:$P$504,U1924),0),2)),"")</f>
        <v/>
      </c>
      <c r="S1924" s="61" t="str">
        <f aca="false">IF(IsPro,IF($D1924="","",L1924-R1924),"")</f>
        <v/>
      </c>
      <c r="T1924" s="60" t="str">
        <f aca="false">IF(IsPro,IF($D1924="","",IF(U1924="","UNKNOWN ITEM",IF(INDEX(Items!$O$5:$O$504,U1924)&lt;0,"NEG STOCK",IF(K1924&lt;INDEX(Items!$P$5:$P$504,U1924),"BELOW COST","OK")))),IF($D1924="","","PRO PLAN"))</f>
        <v/>
      </c>
      <c r="U1924" s="60" t="str">
        <f aca="false">IF(IsPro,IF($D1924="","",IFERROR(MATCH($D1924,Items!$A$5:$A$504,0),"")),"")</f>
        <v/>
      </c>
      <c r="V1924" s="60" t="str">
        <f aca="false">IF(IsPro,IF($C1924="","",IFERROR(MATCH($C1924,Parties!$A$5:$A$304,0),"")),"")</f>
        <v/>
      </c>
      <c r="W1924" s="60" t="str">
        <f aca="false">IF(IsPro,IF($B1924="","",IFERROR(VALUE(SUBSTITUTE($B1924,InvPrefix,"")),0)),"")</f>
        <v/>
      </c>
      <c r="X1924" s="61" t="str">
        <f aca="false">IF(IsPro,IF($D1924="","",IF(OR($H1924="",$H1924="Credit"),0,Q1924)),"")</f>
        <v/>
      </c>
    </row>
    <row r="1925" customFormat="false" ht="15" hidden="false" customHeight="false" outlineLevel="0" collapsed="false">
      <c r="A1925" s="55"/>
      <c r="B1925" s="56"/>
      <c r="C1925" s="56"/>
      <c r="D1925" s="56"/>
      <c r="E1925" s="57"/>
      <c r="F1925" s="58"/>
      <c r="G1925" s="59"/>
      <c r="H1925" s="56"/>
      <c r="I1925" s="56"/>
      <c r="J1925" s="60" t="str">
        <f aca="false">IF(IsPro,IF($D1925="","",IFERROR(INDEX(Items!$D$5:$D$504,U1925),"")),"")</f>
        <v/>
      </c>
      <c r="K1925" s="61" t="str">
        <f aca="false">IF(IsPro,IF($D1925="","",IF($F1925="",IFERROR(INDEX(Items!$H$5:$H$504,U1925),0),$F1925)),"")</f>
        <v/>
      </c>
      <c r="L1925" s="61" t="str">
        <f aca="false">IF(IsPro,IF($D1925="","",ROUND(N($E1925)*K1925*(1-N($G1925)),2)),"")</f>
        <v/>
      </c>
      <c r="M1925" s="62" t="str">
        <f aca="false">IF(IsPro,IF($D1925="","",IFERROR(INDEX(Items!$F$5:$F$504,U1925),0)),"")</f>
        <v/>
      </c>
      <c r="N1925" s="61" t="str">
        <f aca="false">IF(IsPro,IF($D1925="","",IF(AND(V1925&lt;&gt;"",INDEX(Parties!$E$5:$E$304,V1925)&lt;&gt;"",INDEX(Parties!$E$5:$E$304,V1925)&lt;&gt;HomeState),0,ROUND(L1925*M1925/2,2))),"")</f>
        <v/>
      </c>
      <c r="O1925" s="61" t="str">
        <f aca="false">IF(IsPro,IF($D1925="","",N1925),"")</f>
        <v/>
      </c>
      <c r="P1925" s="61" t="str">
        <f aca="false">IF(IsPro,IF($D1925="","",IF(AND(V1925&lt;&gt;"",INDEX(Parties!$E$5:$E$304,V1925)&lt;&gt;"",INDEX(Parties!$E$5:$E$304,V1925)&lt;&gt;HomeState),ROUND(L1925*M1925,2),0)),"")</f>
        <v/>
      </c>
      <c r="Q1925" s="61" t="str">
        <f aca="false">IF(IsPro,IF($D1925="","",L1925+N1925+O1925+P1925),"")</f>
        <v/>
      </c>
      <c r="R1925" s="61" t="str">
        <f aca="false">IF(IsPro,IF($D1925="","",ROUND(N($E1925)*IFERROR(INDEX(Items!$P$5:$P$504,U1925),0),2)),"")</f>
        <v/>
      </c>
      <c r="S1925" s="61" t="str">
        <f aca="false">IF(IsPro,IF($D1925="","",L1925-R1925),"")</f>
        <v/>
      </c>
      <c r="T1925" s="60" t="str">
        <f aca="false">IF(IsPro,IF($D1925="","",IF(U1925="","UNKNOWN ITEM",IF(INDEX(Items!$O$5:$O$504,U1925)&lt;0,"NEG STOCK",IF(K1925&lt;INDEX(Items!$P$5:$P$504,U1925),"BELOW COST","OK")))),IF($D1925="","","PRO PLAN"))</f>
        <v/>
      </c>
      <c r="U1925" s="60" t="str">
        <f aca="false">IF(IsPro,IF($D1925="","",IFERROR(MATCH($D1925,Items!$A$5:$A$504,0),"")),"")</f>
        <v/>
      </c>
      <c r="V1925" s="60" t="str">
        <f aca="false">IF(IsPro,IF($C1925="","",IFERROR(MATCH($C1925,Parties!$A$5:$A$304,0),"")),"")</f>
        <v/>
      </c>
      <c r="W1925" s="60" t="str">
        <f aca="false">IF(IsPro,IF($B1925="","",IFERROR(VALUE(SUBSTITUTE($B1925,InvPrefix,"")),0)),"")</f>
        <v/>
      </c>
      <c r="X1925" s="61" t="str">
        <f aca="false">IF(IsPro,IF($D1925="","",IF(OR($H1925="",$H1925="Credit"),0,Q1925)),"")</f>
        <v/>
      </c>
    </row>
    <row r="1926" customFormat="false" ht="15" hidden="false" customHeight="false" outlineLevel="0" collapsed="false">
      <c r="A1926" s="55"/>
      <c r="B1926" s="56"/>
      <c r="C1926" s="56"/>
      <c r="D1926" s="56"/>
      <c r="E1926" s="57"/>
      <c r="F1926" s="58"/>
      <c r="G1926" s="59"/>
      <c r="H1926" s="56"/>
      <c r="I1926" s="56"/>
      <c r="J1926" s="60" t="str">
        <f aca="false">IF(IsPro,IF($D1926="","",IFERROR(INDEX(Items!$D$5:$D$504,U1926),"")),"")</f>
        <v/>
      </c>
      <c r="K1926" s="61" t="str">
        <f aca="false">IF(IsPro,IF($D1926="","",IF($F1926="",IFERROR(INDEX(Items!$H$5:$H$504,U1926),0),$F1926)),"")</f>
        <v/>
      </c>
      <c r="L1926" s="61" t="str">
        <f aca="false">IF(IsPro,IF($D1926="","",ROUND(N($E1926)*K1926*(1-N($G1926)),2)),"")</f>
        <v/>
      </c>
      <c r="M1926" s="62" t="str">
        <f aca="false">IF(IsPro,IF($D1926="","",IFERROR(INDEX(Items!$F$5:$F$504,U1926),0)),"")</f>
        <v/>
      </c>
      <c r="N1926" s="61" t="str">
        <f aca="false">IF(IsPro,IF($D1926="","",IF(AND(V1926&lt;&gt;"",INDEX(Parties!$E$5:$E$304,V1926)&lt;&gt;"",INDEX(Parties!$E$5:$E$304,V1926)&lt;&gt;HomeState),0,ROUND(L1926*M1926/2,2))),"")</f>
        <v/>
      </c>
      <c r="O1926" s="61" t="str">
        <f aca="false">IF(IsPro,IF($D1926="","",N1926),"")</f>
        <v/>
      </c>
      <c r="P1926" s="61" t="str">
        <f aca="false">IF(IsPro,IF($D1926="","",IF(AND(V1926&lt;&gt;"",INDEX(Parties!$E$5:$E$304,V1926)&lt;&gt;"",INDEX(Parties!$E$5:$E$304,V1926)&lt;&gt;HomeState),ROUND(L1926*M1926,2),0)),"")</f>
        <v/>
      </c>
      <c r="Q1926" s="61" t="str">
        <f aca="false">IF(IsPro,IF($D1926="","",L1926+N1926+O1926+P1926),"")</f>
        <v/>
      </c>
      <c r="R1926" s="61" t="str">
        <f aca="false">IF(IsPro,IF($D1926="","",ROUND(N($E1926)*IFERROR(INDEX(Items!$P$5:$P$504,U1926),0),2)),"")</f>
        <v/>
      </c>
      <c r="S1926" s="61" t="str">
        <f aca="false">IF(IsPro,IF($D1926="","",L1926-R1926),"")</f>
        <v/>
      </c>
      <c r="T1926" s="60" t="str">
        <f aca="false">IF(IsPro,IF($D1926="","",IF(U1926="","UNKNOWN ITEM",IF(INDEX(Items!$O$5:$O$504,U1926)&lt;0,"NEG STOCK",IF(K1926&lt;INDEX(Items!$P$5:$P$504,U1926),"BELOW COST","OK")))),IF($D1926="","","PRO PLAN"))</f>
        <v/>
      </c>
      <c r="U1926" s="60" t="str">
        <f aca="false">IF(IsPro,IF($D1926="","",IFERROR(MATCH($D1926,Items!$A$5:$A$504,0),"")),"")</f>
        <v/>
      </c>
      <c r="V1926" s="60" t="str">
        <f aca="false">IF(IsPro,IF($C1926="","",IFERROR(MATCH($C1926,Parties!$A$5:$A$304,0),"")),"")</f>
        <v/>
      </c>
      <c r="W1926" s="60" t="str">
        <f aca="false">IF(IsPro,IF($B1926="","",IFERROR(VALUE(SUBSTITUTE($B1926,InvPrefix,"")),0)),"")</f>
        <v/>
      </c>
      <c r="X1926" s="61" t="str">
        <f aca="false">IF(IsPro,IF($D1926="","",IF(OR($H1926="",$H1926="Credit"),0,Q1926)),"")</f>
        <v/>
      </c>
    </row>
    <row r="1927" customFormat="false" ht="15" hidden="false" customHeight="false" outlineLevel="0" collapsed="false">
      <c r="A1927" s="55"/>
      <c r="B1927" s="56"/>
      <c r="C1927" s="56"/>
      <c r="D1927" s="56"/>
      <c r="E1927" s="57"/>
      <c r="F1927" s="58"/>
      <c r="G1927" s="59"/>
      <c r="H1927" s="56"/>
      <c r="I1927" s="56"/>
      <c r="J1927" s="60" t="str">
        <f aca="false">IF(IsPro,IF($D1927="","",IFERROR(INDEX(Items!$D$5:$D$504,U1927),"")),"")</f>
        <v/>
      </c>
      <c r="K1927" s="61" t="str">
        <f aca="false">IF(IsPro,IF($D1927="","",IF($F1927="",IFERROR(INDEX(Items!$H$5:$H$504,U1927),0),$F1927)),"")</f>
        <v/>
      </c>
      <c r="L1927" s="61" t="str">
        <f aca="false">IF(IsPro,IF($D1927="","",ROUND(N($E1927)*K1927*(1-N($G1927)),2)),"")</f>
        <v/>
      </c>
      <c r="M1927" s="62" t="str">
        <f aca="false">IF(IsPro,IF($D1927="","",IFERROR(INDEX(Items!$F$5:$F$504,U1927),0)),"")</f>
        <v/>
      </c>
      <c r="N1927" s="61" t="str">
        <f aca="false">IF(IsPro,IF($D1927="","",IF(AND(V1927&lt;&gt;"",INDEX(Parties!$E$5:$E$304,V1927)&lt;&gt;"",INDEX(Parties!$E$5:$E$304,V1927)&lt;&gt;HomeState),0,ROUND(L1927*M1927/2,2))),"")</f>
        <v/>
      </c>
      <c r="O1927" s="61" t="str">
        <f aca="false">IF(IsPro,IF($D1927="","",N1927),"")</f>
        <v/>
      </c>
      <c r="P1927" s="61" t="str">
        <f aca="false">IF(IsPro,IF($D1927="","",IF(AND(V1927&lt;&gt;"",INDEX(Parties!$E$5:$E$304,V1927)&lt;&gt;"",INDEX(Parties!$E$5:$E$304,V1927)&lt;&gt;HomeState),ROUND(L1927*M1927,2),0)),"")</f>
        <v/>
      </c>
      <c r="Q1927" s="61" t="str">
        <f aca="false">IF(IsPro,IF($D1927="","",L1927+N1927+O1927+P1927),"")</f>
        <v/>
      </c>
      <c r="R1927" s="61" t="str">
        <f aca="false">IF(IsPro,IF($D1927="","",ROUND(N($E1927)*IFERROR(INDEX(Items!$P$5:$P$504,U1927),0),2)),"")</f>
        <v/>
      </c>
      <c r="S1927" s="61" t="str">
        <f aca="false">IF(IsPro,IF($D1927="","",L1927-R1927),"")</f>
        <v/>
      </c>
      <c r="T1927" s="60" t="str">
        <f aca="false">IF(IsPro,IF($D1927="","",IF(U1927="","UNKNOWN ITEM",IF(INDEX(Items!$O$5:$O$504,U1927)&lt;0,"NEG STOCK",IF(K1927&lt;INDEX(Items!$P$5:$P$504,U1927),"BELOW COST","OK")))),IF($D1927="","","PRO PLAN"))</f>
        <v/>
      </c>
      <c r="U1927" s="60" t="str">
        <f aca="false">IF(IsPro,IF($D1927="","",IFERROR(MATCH($D1927,Items!$A$5:$A$504,0),"")),"")</f>
        <v/>
      </c>
      <c r="V1927" s="60" t="str">
        <f aca="false">IF(IsPro,IF($C1927="","",IFERROR(MATCH($C1927,Parties!$A$5:$A$304,0),"")),"")</f>
        <v/>
      </c>
      <c r="W1927" s="60" t="str">
        <f aca="false">IF(IsPro,IF($B1927="","",IFERROR(VALUE(SUBSTITUTE($B1927,InvPrefix,"")),0)),"")</f>
        <v/>
      </c>
      <c r="X1927" s="61" t="str">
        <f aca="false">IF(IsPro,IF($D1927="","",IF(OR($H1927="",$H1927="Credit"),0,Q1927)),"")</f>
        <v/>
      </c>
    </row>
    <row r="1928" customFormat="false" ht="15" hidden="false" customHeight="false" outlineLevel="0" collapsed="false">
      <c r="A1928" s="55"/>
      <c r="B1928" s="56"/>
      <c r="C1928" s="56"/>
      <c r="D1928" s="56"/>
      <c r="E1928" s="57"/>
      <c r="F1928" s="58"/>
      <c r="G1928" s="59"/>
      <c r="H1928" s="56"/>
      <c r="I1928" s="56"/>
      <c r="J1928" s="60" t="str">
        <f aca="false">IF(IsPro,IF($D1928="","",IFERROR(INDEX(Items!$D$5:$D$504,U1928),"")),"")</f>
        <v/>
      </c>
      <c r="K1928" s="61" t="str">
        <f aca="false">IF(IsPro,IF($D1928="","",IF($F1928="",IFERROR(INDEX(Items!$H$5:$H$504,U1928),0),$F1928)),"")</f>
        <v/>
      </c>
      <c r="L1928" s="61" t="str">
        <f aca="false">IF(IsPro,IF($D1928="","",ROUND(N($E1928)*K1928*(1-N($G1928)),2)),"")</f>
        <v/>
      </c>
      <c r="M1928" s="62" t="str">
        <f aca="false">IF(IsPro,IF($D1928="","",IFERROR(INDEX(Items!$F$5:$F$504,U1928),0)),"")</f>
        <v/>
      </c>
      <c r="N1928" s="61" t="str">
        <f aca="false">IF(IsPro,IF($D1928="","",IF(AND(V1928&lt;&gt;"",INDEX(Parties!$E$5:$E$304,V1928)&lt;&gt;"",INDEX(Parties!$E$5:$E$304,V1928)&lt;&gt;HomeState),0,ROUND(L1928*M1928/2,2))),"")</f>
        <v/>
      </c>
      <c r="O1928" s="61" t="str">
        <f aca="false">IF(IsPro,IF($D1928="","",N1928),"")</f>
        <v/>
      </c>
      <c r="P1928" s="61" t="str">
        <f aca="false">IF(IsPro,IF($D1928="","",IF(AND(V1928&lt;&gt;"",INDEX(Parties!$E$5:$E$304,V1928)&lt;&gt;"",INDEX(Parties!$E$5:$E$304,V1928)&lt;&gt;HomeState),ROUND(L1928*M1928,2),0)),"")</f>
        <v/>
      </c>
      <c r="Q1928" s="61" t="str">
        <f aca="false">IF(IsPro,IF($D1928="","",L1928+N1928+O1928+P1928),"")</f>
        <v/>
      </c>
      <c r="R1928" s="61" t="str">
        <f aca="false">IF(IsPro,IF($D1928="","",ROUND(N($E1928)*IFERROR(INDEX(Items!$P$5:$P$504,U1928),0),2)),"")</f>
        <v/>
      </c>
      <c r="S1928" s="61" t="str">
        <f aca="false">IF(IsPro,IF($D1928="","",L1928-R1928),"")</f>
        <v/>
      </c>
      <c r="T1928" s="60" t="str">
        <f aca="false">IF(IsPro,IF($D1928="","",IF(U1928="","UNKNOWN ITEM",IF(INDEX(Items!$O$5:$O$504,U1928)&lt;0,"NEG STOCK",IF(K1928&lt;INDEX(Items!$P$5:$P$504,U1928),"BELOW COST","OK")))),IF($D1928="","","PRO PLAN"))</f>
        <v/>
      </c>
      <c r="U1928" s="60" t="str">
        <f aca="false">IF(IsPro,IF($D1928="","",IFERROR(MATCH($D1928,Items!$A$5:$A$504,0),"")),"")</f>
        <v/>
      </c>
      <c r="V1928" s="60" t="str">
        <f aca="false">IF(IsPro,IF($C1928="","",IFERROR(MATCH($C1928,Parties!$A$5:$A$304,0),"")),"")</f>
        <v/>
      </c>
      <c r="W1928" s="60" t="str">
        <f aca="false">IF(IsPro,IF($B1928="","",IFERROR(VALUE(SUBSTITUTE($B1928,InvPrefix,"")),0)),"")</f>
        <v/>
      </c>
      <c r="X1928" s="61" t="str">
        <f aca="false">IF(IsPro,IF($D1928="","",IF(OR($H1928="",$H1928="Credit"),0,Q1928)),"")</f>
        <v/>
      </c>
    </row>
    <row r="1929" customFormat="false" ht="15" hidden="false" customHeight="false" outlineLevel="0" collapsed="false">
      <c r="A1929" s="55"/>
      <c r="B1929" s="56"/>
      <c r="C1929" s="56"/>
      <c r="D1929" s="56"/>
      <c r="E1929" s="57"/>
      <c r="F1929" s="58"/>
      <c r="G1929" s="59"/>
      <c r="H1929" s="56"/>
      <c r="I1929" s="56"/>
      <c r="J1929" s="60" t="str">
        <f aca="false">IF(IsPro,IF($D1929="","",IFERROR(INDEX(Items!$D$5:$D$504,U1929),"")),"")</f>
        <v/>
      </c>
      <c r="K1929" s="61" t="str">
        <f aca="false">IF(IsPro,IF($D1929="","",IF($F1929="",IFERROR(INDEX(Items!$H$5:$H$504,U1929),0),$F1929)),"")</f>
        <v/>
      </c>
      <c r="L1929" s="61" t="str">
        <f aca="false">IF(IsPro,IF($D1929="","",ROUND(N($E1929)*K1929*(1-N($G1929)),2)),"")</f>
        <v/>
      </c>
      <c r="M1929" s="62" t="str">
        <f aca="false">IF(IsPro,IF($D1929="","",IFERROR(INDEX(Items!$F$5:$F$504,U1929),0)),"")</f>
        <v/>
      </c>
      <c r="N1929" s="61" t="str">
        <f aca="false">IF(IsPro,IF($D1929="","",IF(AND(V1929&lt;&gt;"",INDEX(Parties!$E$5:$E$304,V1929)&lt;&gt;"",INDEX(Parties!$E$5:$E$304,V1929)&lt;&gt;HomeState),0,ROUND(L1929*M1929/2,2))),"")</f>
        <v/>
      </c>
      <c r="O1929" s="61" t="str">
        <f aca="false">IF(IsPro,IF($D1929="","",N1929),"")</f>
        <v/>
      </c>
      <c r="P1929" s="61" t="str">
        <f aca="false">IF(IsPro,IF($D1929="","",IF(AND(V1929&lt;&gt;"",INDEX(Parties!$E$5:$E$304,V1929)&lt;&gt;"",INDEX(Parties!$E$5:$E$304,V1929)&lt;&gt;HomeState),ROUND(L1929*M1929,2),0)),"")</f>
        <v/>
      </c>
      <c r="Q1929" s="61" t="str">
        <f aca="false">IF(IsPro,IF($D1929="","",L1929+N1929+O1929+P1929),"")</f>
        <v/>
      </c>
      <c r="R1929" s="61" t="str">
        <f aca="false">IF(IsPro,IF($D1929="","",ROUND(N($E1929)*IFERROR(INDEX(Items!$P$5:$P$504,U1929),0),2)),"")</f>
        <v/>
      </c>
      <c r="S1929" s="61" t="str">
        <f aca="false">IF(IsPro,IF($D1929="","",L1929-R1929),"")</f>
        <v/>
      </c>
      <c r="T1929" s="60" t="str">
        <f aca="false">IF(IsPro,IF($D1929="","",IF(U1929="","UNKNOWN ITEM",IF(INDEX(Items!$O$5:$O$504,U1929)&lt;0,"NEG STOCK",IF(K1929&lt;INDEX(Items!$P$5:$P$504,U1929),"BELOW COST","OK")))),IF($D1929="","","PRO PLAN"))</f>
        <v/>
      </c>
      <c r="U1929" s="60" t="str">
        <f aca="false">IF(IsPro,IF($D1929="","",IFERROR(MATCH($D1929,Items!$A$5:$A$504,0),"")),"")</f>
        <v/>
      </c>
      <c r="V1929" s="60" t="str">
        <f aca="false">IF(IsPro,IF($C1929="","",IFERROR(MATCH($C1929,Parties!$A$5:$A$304,0),"")),"")</f>
        <v/>
      </c>
      <c r="W1929" s="60" t="str">
        <f aca="false">IF(IsPro,IF($B1929="","",IFERROR(VALUE(SUBSTITUTE($B1929,InvPrefix,"")),0)),"")</f>
        <v/>
      </c>
      <c r="X1929" s="61" t="str">
        <f aca="false">IF(IsPro,IF($D1929="","",IF(OR($H1929="",$H1929="Credit"),0,Q1929)),"")</f>
        <v/>
      </c>
    </row>
    <row r="1930" customFormat="false" ht="15" hidden="false" customHeight="false" outlineLevel="0" collapsed="false">
      <c r="A1930" s="55"/>
      <c r="B1930" s="56"/>
      <c r="C1930" s="56"/>
      <c r="D1930" s="56"/>
      <c r="E1930" s="57"/>
      <c r="F1930" s="58"/>
      <c r="G1930" s="59"/>
      <c r="H1930" s="56"/>
      <c r="I1930" s="56"/>
      <c r="J1930" s="60" t="str">
        <f aca="false">IF(IsPro,IF($D1930="","",IFERROR(INDEX(Items!$D$5:$D$504,U1930),"")),"")</f>
        <v/>
      </c>
      <c r="K1930" s="61" t="str">
        <f aca="false">IF(IsPro,IF($D1930="","",IF($F1930="",IFERROR(INDEX(Items!$H$5:$H$504,U1930),0),$F1930)),"")</f>
        <v/>
      </c>
      <c r="L1930" s="61" t="str">
        <f aca="false">IF(IsPro,IF($D1930="","",ROUND(N($E1930)*K1930*(1-N($G1930)),2)),"")</f>
        <v/>
      </c>
      <c r="M1930" s="62" t="str">
        <f aca="false">IF(IsPro,IF($D1930="","",IFERROR(INDEX(Items!$F$5:$F$504,U1930),0)),"")</f>
        <v/>
      </c>
      <c r="N1930" s="61" t="str">
        <f aca="false">IF(IsPro,IF($D1930="","",IF(AND(V1930&lt;&gt;"",INDEX(Parties!$E$5:$E$304,V1930)&lt;&gt;"",INDEX(Parties!$E$5:$E$304,V1930)&lt;&gt;HomeState),0,ROUND(L1930*M1930/2,2))),"")</f>
        <v/>
      </c>
      <c r="O1930" s="61" t="str">
        <f aca="false">IF(IsPro,IF($D1930="","",N1930),"")</f>
        <v/>
      </c>
      <c r="P1930" s="61" t="str">
        <f aca="false">IF(IsPro,IF($D1930="","",IF(AND(V1930&lt;&gt;"",INDEX(Parties!$E$5:$E$304,V1930)&lt;&gt;"",INDEX(Parties!$E$5:$E$304,V1930)&lt;&gt;HomeState),ROUND(L1930*M1930,2),0)),"")</f>
        <v/>
      </c>
      <c r="Q1930" s="61" t="str">
        <f aca="false">IF(IsPro,IF($D1930="","",L1930+N1930+O1930+P1930),"")</f>
        <v/>
      </c>
      <c r="R1930" s="61" t="str">
        <f aca="false">IF(IsPro,IF($D1930="","",ROUND(N($E1930)*IFERROR(INDEX(Items!$P$5:$P$504,U1930),0),2)),"")</f>
        <v/>
      </c>
      <c r="S1930" s="61" t="str">
        <f aca="false">IF(IsPro,IF($D1930="","",L1930-R1930),"")</f>
        <v/>
      </c>
      <c r="T1930" s="60" t="str">
        <f aca="false">IF(IsPro,IF($D1930="","",IF(U1930="","UNKNOWN ITEM",IF(INDEX(Items!$O$5:$O$504,U1930)&lt;0,"NEG STOCK",IF(K1930&lt;INDEX(Items!$P$5:$P$504,U1930),"BELOW COST","OK")))),IF($D1930="","","PRO PLAN"))</f>
        <v/>
      </c>
      <c r="U1930" s="60" t="str">
        <f aca="false">IF(IsPro,IF($D1930="","",IFERROR(MATCH($D1930,Items!$A$5:$A$504,0),"")),"")</f>
        <v/>
      </c>
      <c r="V1930" s="60" t="str">
        <f aca="false">IF(IsPro,IF($C1930="","",IFERROR(MATCH($C1930,Parties!$A$5:$A$304,0),"")),"")</f>
        <v/>
      </c>
      <c r="W1930" s="60" t="str">
        <f aca="false">IF(IsPro,IF($B1930="","",IFERROR(VALUE(SUBSTITUTE($B1930,InvPrefix,"")),0)),"")</f>
        <v/>
      </c>
      <c r="X1930" s="61" t="str">
        <f aca="false">IF(IsPro,IF($D1930="","",IF(OR($H1930="",$H1930="Credit"),0,Q1930)),"")</f>
        <v/>
      </c>
    </row>
    <row r="1931" customFormat="false" ht="15" hidden="false" customHeight="false" outlineLevel="0" collapsed="false">
      <c r="A1931" s="55"/>
      <c r="B1931" s="56"/>
      <c r="C1931" s="56"/>
      <c r="D1931" s="56"/>
      <c r="E1931" s="57"/>
      <c r="F1931" s="58"/>
      <c r="G1931" s="59"/>
      <c r="H1931" s="56"/>
      <c r="I1931" s="56"/>
      <c r="J1931" s="60" t="str">
        <f aca="false">IF(IsPro,IF($D1931="","",IFERROR(INDEX(Items!$D$5:$D$504,U1931),"")),"")</f>
        <v/>
      </c>
      <c r="K1931" s="61" t="str">
        <f aca="false">IF(IsPro,IF($D1931="","",IF($F1931="",IFERROR(INDEX(Items!$H$5:$H$504,U1931),0),$F1931)),"")</f>
        <v/>
      </c>
      <c r="L1931" s="61" t="str">
        <f aca="false">IF(IsPro,IF($D1931="","",ROUND(N($E1931)*K1931*(1-N($G1931)),2)),"")</f>
        <v/>
      </c>
      <c r="M1931" s="62" t="str">
        <f aca="false">IF(IsPro,IF($D1931="","",IFERROR(INDEX(Items!$F$5:$F$504,U1931),0)),"")</f>
        <v/>
      </c>
      <c r="N1931" s="61" t="str">
        <f aca="false">IF(IsPro,IF($D1931="","",IF(AND(V1931&lt;&gt;"",INDEX(Parties!$E$5:$E$304,V1931)&lt;&gt;"",INDEX(Parties!$E$5:$E$304,V1931)&lt;&gt;HomeState),0,ROUND(L1931*M1931/2,2))),"")</f>
        <v/>
      </c>
      <c r="O1931" s="61" t="str">
        <f aca="false">IF(IsPro,IF($D1931="","",N1931),"")</f>
        <v/>
      </c>
      <c r="P1931" s="61" t="str">
        <f aca="false">IF(IsPro,IF($D1931="","",IF(AND(V1931&lt;&gt;"",INDEX(Parties!$E$5:$E$304,V1931)&lt;&gt;"",INDEX(Parties!$E$5:$E$304,V1931)&lt;&gt;HomeState),ROUND(L1931*M1931,2),0)),"")</f>
        <v/>
      </c>
      <c r="Q1931" s="61" t="str">
        <f aca="false">IF(IsPro,IF($D1931="","",L1931+N1931+O1931+P1931),"")</f>
        <v/>
      </c>
      <c r="R1931" s="61" t="str">
        <f aca="false">IF(IsPro,IF($D1931="","",ROUND(N($E1931)*IFERROR(INDEX(Items!$P$5:$P$504,U1931),0),2)),"")</f>
        <v/>
      </c>
      <c r="S1931" s="61" t="str">
        <f aca="false">IF(IsPro,IF($D1931="","",L1931-R1931),"")</f>
        <v/>
      </c>
      <c r="T1931" s="60" t="str">
        <f aca="false">IF(IsPro,IF($D1931="","",IF(U1931="","UNKNOWN ITEM",IF(INDEX(Items!$O$5:$O$504,U1931)&lt;0,"NEG STOCK",IF(K1931&lt;INDEX(Items!$P$5:$P$504,U1931),"BELOW COST","OK")))),IF($D1931="","","PRO PLAN"))</f>
        <v/>
      </c>
      <c r="U1931" s="60" t="str">
        <f aca="false">IF(IsPro,IF($D1931="","",IFERROR(MATCH($D1931,Items!$A$5:$A$504,0),"")),"")</f>
        <v/>
      </c>
      <c r="V1931" s="60" t="str">
        <f aca="false">IF(IsPro,IF($C1931="","",IFERROR(MATCH($C1931,Parties!$A$5:$A$304,0),"")),"")</f>
        <v/>
      </c>
      <c r="W1931" s="60" t="str">
        <f aca="false">IF(IsPro,IF($B1931="","",IFERROR(VALUE(SUBSTITUTE($B1931,InvPrefix,"")),0)),"")</f>
        <v/>
      </c>
      <c r="X1931" s="61" t="str">
        <f aca="false">IF(IsPro,IF($D1931="","",IF(OR($H1931="",$H1931="Credit"),0,Q1931)),"")</f>
        <v/>
      </c>
    </row>
    <row r="1932" customFormat="false" ht="15" hidden="false" customHeight="false" outlineLevel="0" collapsed="false">
      <c r="A1932" s="55"/>
      <c r="B1932" s="56"/>
      <c r="C1932" s="56"/>
      <c r="D1932" s="56"/>
      <c r="E1932" s="57"/>
      <c r="F1932" s="58"/>
      <c r="G1932" s="59"/>
      <c r="H1932" s="56"/>
      <c r="I1932" s="56"/>
      <c r="J1932" s="60" t="str">
        <f aca="false">IF(IsPro,IF($D1932="","",IFERROR(INDEX(Items!$D$5:$D$504,U1932),"")),"")</f>
        <v/>
      </c>
      <c r="K1932" s="61" t="str">
        <f aca="false">IF(IsPro,IF($D1932="","",IF($F1932="",IFERROR(INDEX(Items!$H$5:$H$504,U1932),0),$F1932)),"")</f>
        <v/>
      </c>
      <c r="L1932" s="61" t="str">
        <f aca="false">IF(IsPro,IF($D1932="","",ROUND(N($E1932)*K1932*(1-N($G1932)),2)),"")</f>
        <v/>
      </c>
      <c r="M1932" s="62" t="str">
        <f aca="false">IF(IsPro,IF($D1932="","",IFERROR(INDEX(Items!$F$5:$F$504,U1932),0)),"")</f>
        <v/>
      </c>
      <c r="N1932" s="61" t="str">
        <f aca="false">IF(IsPro,IF($D1932="","",IF(AND(V1932&lt;&gt;"",INDEX(Parties!$E$5:$E$304,V1932)&lt;&gt;"",INDEX(Parties!$E$5:$E$304,V1932)&lt;&gt;HomeState),0,ROUND(L1932*M1932/2,2))),"")</f>
        <v/>
      </c>
      <c r="O1932" s="61" t="str">
        <f aca="false">IF(IsPro,IF($D1932="","",N1932),"")</f>
        <v/>
      </c>
      <c r="P1932" s="61" t="str">
        <f aca="false">IF(IsPro,IF($D1932="","",IF(AND(V1932&lt;&gt;"",INDEX(Parties!$E$5:$E$304,V1932)&lt;&gt;"",INDEX(Parties!$E$5:$E$304,V1932)&lt;&gt;HomeState),ROUND(L1932*M1932,2),0)),"")</f>
        <v/>
      </c>
      <c r="Q1932" s="61" t="str">
        <f aca="false">IF(IsPro,IF($D1932="","",L1932+N1932+O1932+P1932),"")</f>
        <v/>
      </c>
      <c r="R1932" s="61" t="str">
        <f aca="false">IF(IsPro,IF($D1932="","",ROUND(N($E1932)*IFERROR(INDEX(Items!$P$5:$P$504,U1932),0),2)),"")</f>
        <v/>
      </c>
      <c r="S1932" s="61" t="str">
        <f aca="false">IF(IsPro,IF($D1932="","",L1932-R1932),"")</f>
        <v/>
      </c>
      <c r="T1932" s="60" t="str">
        <f aca="false">IF(IsPro,IF($D1932="","",IF(U1932="","UNKNOWN ITEM",IF(INDEX(Items!$O$5:$O$504,U1932)&lt;0,"NEG STOCK",IF(K1932&lt;INDEX(Items!$P$5:$P$504,U1932),"BELOW COST","OK")))),IF($D1932="","","PRO PLAN"))</f>
        <v/>
      </c>
      <c r="U1932" s="60" t="str">
        <f aca="false">IF(IsPro,IF($D1932="","",IFERROR(MATCH($D1932,Items!$A$5:$A$504,0),"")),"")</f>
        <v/>
      </c>
      <c r="V1932" s="60" t="str">
        <f aca="false">IF(IsPro,IF($C1932="","",IFERROR(MATCH($C1932,Parties!$A$5:$A$304,0),"")),"")</f>
        <v/>
      </c>
      <c r="W1932" s="60" t="str">
        <f aca="false">IF(IsPro,IF($B1932="","",IFERROR(VALUE(SUBSTITUTE($B1932,InvPrefix,"")),0)),"")</f>
        <v/>
      </c>
      <c r="X1932" s="61" t="str">
        <f aca="false">IF(IsPro,IF($D1932="","",IF(OR($H1932="",$H1932="Credit"),0,Q1932)),"")</f>
        <v/>
      </c>
    </row>
    <row r="1933" customFormat="false" ht="15" hidden="false" customHeight="false" outlineLevel="0" collapsed="false">
      <c r="A1933" s="55"/>
      <c r="B1933" s="56"/>
      <c r="C1933" s="56"/>
      <c r="D1933" s="56"/>
      <c r="E1933" s="57"/>
      <c r="F1933" s="58"/>
      <c r="G1933" s="59"/>
      <c r="H1933" s="56"/>
      <c r="I1933" s="56"/>
      <c r="J1933" s="60" t="str">
        <f aca="false">IF(IsPro,IF($D1933="","",IFERROR(INDEX(Items!$D$5:$D$504,U1933),"")),"")</f>
        <v/>
      </c>
      <c r="K1933" s="61" t="str">
        <f aca="false">IF(IsPro,IF($D1933="","",IF($F1933="",IFERROR(INDEX(Items!$H$5:$H$504,U1933),0),$F1933)),"")</f>
        <v/>
      </c>
      <c r="L1933" s="61" t="str">
        <f aca="false">IF(IsPro,IF($D1933="","",ROUND(N($E1933)*K1933*(1-N($G1933)),2)),"")</f>
        <v/>
      </c>
      <c r="M1933" s="62" t="str">
        <f aca="false">IF(IsPro,IF($D1933="","",IFERROR(INDEX(Items!$F$5:$F$504,U1933),0)),"")</f>
        <v/>
      </c>
      <c r="N1933" s="61" t="str">
        <f aca="false">IF(IsPro,IF($D1933="","",IF(AND(V1933&lt;&gt;"",INDEX(Parties!$E$5:$E$304,V1933)&lt;&gt;"",INDEX(Parties!$E$5:$E$304,V1933)&lt;&gt;HomeState),0,ROUND(L1933*M1933/2,2))),"")</f>
        <v/>
      </c>
      <c r="O1933" s="61" t="str">
        <f aca="false">IF(IsPro,IF($D1933="","",N1933),"")</f>
        <v/>
      </c>
      <c r="P1933" s="61" t="str">
        <f aca="false">IF(IsPro,IF($D1933="","",IF(AND(V1933&lt;&gt;"",INDEX(Parties!$E$5:$E$304,V1933)&lt;&gt;"",INDEX(Parties!$E$5:$E$304,V1933)&lt;&gt;HomeState),ROUND(L1933*M1933,2),0)),"")</f>
        <v/>
      </c>
      <c r="Q1933" s="61" t="str">
        <f aca="false">IF(IsPro,IF($D1933="","",L1933+N1933+O1933+P1933),"")</f>
        <v/>
      </c>
      <c r="R1933" s="61" t="str">
        <f aca="false">IF(IsPro,IF($D1933="","",ROUND(N($E1933)*IFERROR(INDEX(Items!$P$5:$P$504,U1933),0),2)),"")</f>
        <v/>
      </c>
      <c r="S1933" s="61" t="str">
        <f aca="false">IF(IsPro,IF($D1933="","",L1933-R1933),"")</f>
        <v/>
      </c>
      <c r="T1933" s="60" t="str">
        <f aca="false">IF(IsPro,IF($D1933="","",IF(U1933="","UNKNOWN ITEM",IF(INDEX(Items!$O$5:$O$504,U1933)&lt;0,"NEG STOCK",IF(K1933&lt;INDEX(Items!$P$5:$P$504,U1933),"BELOW COST","OK")))),IF($D1933="","","PRO PLAN"))</f>
        <v/>
      </c>
      <c r="U1933" s="60" t="str">
        <f aca="false">IF(IsPro,IF($D1933="","",IFERROR(MATCH($D1933,Items!$A$5:$A$504,0),"")),"")</f>
        <v/>
      </c>
      <c r="V1933" s="60" t="str">
        <f aca="false">IF(IsPro,IF($C1933="","",IFERROR(MATCH($C1933,Parties!$A$5:$A$304,0),"")),"")</f>
        <v/>
      </c>
      <c r="W1933" s="60" t="str">
        <f aca="false">IF(IsPro,IF($B1933="","",IFERROR(VALUE(SUBSTITUTE($B1933,InvPrefix,"")),0)),"")</f>
        <v/>
      </c>
      <c r="X1933" s="61" t="str">
        <f aca="false">IF(IsPro,IF($D1933="","",IF(OR($H1933="",$H1933="Credit"),0,Q1933)),"")</f>
        <v/>
      </c>
    </row>
    <row r="1934" customFormat="false" ht="15" hidden="false" customHeight="false" outlineLevel="0" collapsed="false">
      <c r="A1934" s="55"/>
      <c r="B1934" s="56"/>
      <c r="C1934" s="56"/>
      <c r="D1934" s="56"/>
      <c r="E1934" s="57"/>
      <c r="F1934" s="58"/>
      <c r="G1934" s="59"/>
      <c r="H1934" s="56"/>
      <c r="I1934" s="56"/>
      <c r="J1934" s="60" t="str">
        <f aca="false">IF(IsPro,IF($D1934="","",IFERROR(INDEX(Items!$D$5:$D$504,U1934),"")),"")</f>
        <v/>
      </c>
      <c r="K1934" s="61" t="str">
        <f aca="false">IF(IsPro,IF($D1934="","",IF($F1934="",IFERROR(INDEX(Items!$H$5:$H$504,U1934),0),$F1934)),"")</f>
        <v/>
      </c>
      <c r="L1934" s="61" t="str">
        <f aca="false">IF(IsPro,IF($D1934="","",ROUND(N($E1934)*K1934*(1-N($G1934)),2)),"")</f>
        <v/>
      </c>
      <c r="M1934" s="62" t="str">
        <f aca="false">IF(IsPro,IF($D1934="","",IFERROR(INDEX(Items!$F$5:$F$504,U1934),0)),"")</f>
        <v/>
      </c>
      <c r="N1934" s="61" t="str">
        <f aca="false">IF(IsPro,IF($D1934="","",IF(AND(V1934&lt;&gt;"",INDEX(Parties!$E$5:$E$304,V1934)&lt;&gt;"",INDEX(Parties!$E$5:$E$304,V1934)&lt;&gt;HomeState),0,ROUND(L1934*M1934/2,2))),"")</f>
        <v/>
      </c>
      <c r="O1934" s="61" t="str">
        <f aca="false">IF(IsPro,IF($D1934="","",N1934),"")</f>
        <v/>
      </c>
      <c r="P1934" s="61" t="str">
        <f aca="false">IF(IsPro,IF($D1934="","",IF(AND(V1934&lt;&gt;"",INDEX(Parties!$E$5:$E$304,V1934)&lt;&gt;"",INDEX(Parties!$E$5:$E$304,V1934)&lt;&gt;HomeState),ROUND(L1934*M1934,2),0)),"")</f>
        <v/>
      </c>
      <c r="Q1934" s="61" t="str">
        <f aca="false">IF(IsPro,IF($D1934="","",L1934+N1934+O1934+P1934),"")</f>
        <v/>
      </c>
      <c r="R1934" s="61" t="str">
        <f aca="false">IF(IsPro,IF($D1934="","",ROUND(N($E1934)*IFERROR(INDEX(Items!$P$5:$P$504,U1934),0),2)),"")</f>
        <v/>
      </c>
      <c r="S1934" s="61" t="str">
        <f aca="false">IF(IsPro,IF($D1934="","",L1934-R1934),"")</f>
        <v/>
      </c>
      <c r="T1934" s="60" t="str">
        <f aca="false">IF(IsPro,IF($D1934="","",IF(U1934="","UNKNOWN ITEM",IF(INDEX(Items!$O$5:$O$504,U1934)&lt;0,"NEG STOCK",IF(K1934&lt;INDEX(Items!$P$5:$P$504,U1934),"BELOW COST","OK")))),IF($D1934="","","PRO PLAN"))</f>
        <v/>
      </c>
      <c r="U1934" s="60" t="str">
        <f aca="false">IF(IsPro,IF($D1934="","",IFERROR(MATCH($D1934,Items!$A$5:$A$504,0),"")),"")</f>
        <v/>
      </c>
      <c r="V1934" s="60" t="str">
        <f aca="false">IF(IsPro,IF($C1934="","",IFERROR(MATCH($C1934,Parties!$A$5:$A$304,0),"")),"")</f>
        <v/>
      </c>
      <c r="W1934" s="60" t="str">
        <f aca="false">IF(IsPro,IF($B1934="","",IFERROR(VALUE(SUBSTITUTE($B1934,InvPrefix,"")),0)),"")</f>
        <v/>
      </c>
      <c r="X1934" s="61" t="str">
        <f aca="false">IF(IsPro,IF($D1934="","",IF(OR($H1934="",$H1934="Credit"),0,Q1934)),"")</f>
        <v/>
      </c>
    </row>
    <row r="1935" customFormat="false" ht="15" hidden="false" customHeight="false" outlineLevel="0" collapsed="false">
      <c r="A1935" s="55"/>
      <c r="B1935" s="56"/>
      <c r="C1935" s="56"/>
      <c r="D1935" s="56"/>
      <c r="E1935" s="57"/>
      <c r="F1935" s="58"/>
      <c r="G1935" s="59"/>
      <c r="H1935" s="56"/>
      <c r="I1935" s="56"/>
      <c r="J1935" s="60" t="str">
        <f aca="false">IF(IsPro,IF($D1935="","",IFERROR(INDEX(Items!$D$5:$D$504,U1935),"")),"")</f>
        <v/>
      </c>
      <c r="K1935" s="61" t="str">
        <f aca="false">IF(IsPro,IF($D1935="","",IF($F1935="",IFERROR(INDEX(Items!$H$5:$H$504,U1935),0),$F1935)),"")</f>
        <v/>
      </c>
      <c r="L1935" s="61" t="str">
        <f aca="false">IF(IsPro,IF($D1935="","",ROUND(N($E1935)*K1935*(1-N($G1935)),2)),"")</f>
        <v/>
      </c>
      <c r="M1935" s="62" t="str">
        <f aca="false">IF(IsPro,IF($D1935="","",IFERROR(INDEX(Items!$F$5:$F$504,U1935),0)),"")</f>
        <v/>
      </c>
      <c r="N1935" s="61" t="str">
        <f aca="false">IF(IsPro,IF($D1935="","",IF(AND(V1935&lt;&gt;"",INDEX(Parties!$E$5:$E$304,V1935)&lt;&gt;"",INDEX(Parties!$E$5:$E$304,V1935)&lt;&gt;HomeState),0,ROUND(L1935*M1935/2,2))),"")</f>
        <v/>
      </c>
      <c r="O1935" s="61" t="str">
        <f aca="false">IF(IsPro,IF($D1935="","",N1935),"")</f>
        <v/>
      </c>
      <c r="P1935" s="61" t="str">
        <f aca="false">IF(IsPro,IF($D1935="","",IF(AND(V1935&lt;&gt;"",INDEX(Parties!$E$5:$E$304,V1935)&lt;&gt;"",INDEX(Parties!$E$5:$E$304,V1935)&lt;&gt;HomeState),ROUND(L1935*M1935,2),0)),"")</f>
        <v/>
      </c>
      <c r="Q1935" s="61" t="str">
        <f aca="false">IF(IsPro,IF($D1935="","",L1935+N1935+O1935+P1935),"")</f>
        <v/>
      </c>
      <c r="R1935" s="61" t="str">
        <f aca="false">IF(IsPro,IF($D1935="","",ROUND(N($E1935)*IFERROR(INDEX(Items!$P$5:$P$504,U1935),0),2)),"")</f>
        <v/>
      </c>
      <c r="S1935" s="61" t="str">
        <f aca="false">IF(IsPro,IF($D1935="","",L1935-R1935),"")</f>
        <v/>
      </c>
      <c r="T1935" s="60" t="str">
        <f aca="false">IF(IsPro,IF($D1935="","",IF(U1935="","UNKNOWN ITEM",IF(INDEX(Items!$O$5:$O$504,U1935)&lt;0,"NEG STOCK",IF(K1935&lt;INDEX(Items!$P$5:$P$504,U1935),"BELOW COST","OK")))),IF($D1935="","","PRO PLAN"))</f>
        <v/>
      </c>
      <c r="U1935" s="60" t="str">
        <f aca="false">IF(IsPro,IF($D1935="","",IFERROR(MATCH($D1935,Items!$A$5:$A$504,0),"")),"")</f>
        <v/>
      </c>
      <c r="V1935" s="60" t="str">
        <f aca="false">IF(IsPro,IF($C1935="","",IFERROR(MATCH($C1935,Parties!$A$5:$A$304,0),"")),"")</f>
        <v/>
      </c>
      <c r="W1935" s="60" t="str">
        <f aca="false">IF(IsPro,IF($B1935="","",IFERROR(VALUE(SUBSTITUTE($B1935,InvPrefix,"")),0)),"")</f>
        <v/>
      </c>
      <c r="X1935" s="61" t="str">
        <f aca="false">IF(IsPro,IF($D1935="","",IF(OR($H1935="",$H1935="Credit"),0,Q1935)),"")</f>
        <v/>
      </c>
    </row>
    <row r="1936" customFormat="false" ht="15" hidden="false" customHeight="false" outlineLevel="0" collapsed="false">
      <c r="A1936" s="55"/>
      <c r="B1936" s="56"/>
      <c r="C1936" s="56"/>
      <c r="D1936" s="56"/>
      <c r="E1936" s="57"/>
      <c r="F1936" s="58"/>
      <c r="G1936" s="59"/>
      <c r="H1936" s="56"/>
      <c r="I1936" s="56"/>
      <c r="J1936" s="60" t="str">
        <f aca="false">IF(IsPro,IF($D1936="","",IFERROR(INDEX(Items!$D$5:$D$504,U1936),"")),"")</f>
        <v/>
      </c>
      <c r="K1936" s="61" t="str">
        <f aca="false">IF(IsPro,IF($D1936="","",IF($F1936="",IFERROR(INDEX(Items!$H$5:$H$504,U1936),0),$F1936)),"")</f>
        <v/>
      </c>
      <c r="L1936" s="61" t="str">
        <f aca="false">IF(IsPro,IF($D1936="","",ROUND(N($E1936)*K1936*(1-N($G1936)),2)),"")</f>
        <v/>
      </c>
      <c r="M1936" s="62" t="str">
        <f aca="false">IF(IsPro,IF($D1936="","",IFERROR(INDEX(Items!$F$5:$F$504,U1936),0)),"")</f>
        <v/>
      </c>
      <c r="N1936" s="61" t="str">
        <f aca="false">IF(IsPro,IF($D1936="","",IF(AND(V1936&lt;&gt;"",INDEX(Parties!$E$5:$E$304,V1936)&lt;&gt;"",INDEX(Parties!$E$5:$E$304,V1936)&lt;&gt;HomeState),0,ROUND(L1936*M1936/2,2))),"")</f>
        <v/>
      </c>
      <c r="O1936" s="61" t="str">
        <f aca="false">IF(IsPro,IF($D1936="","",N1936),"")</f>
        <v/>
      </c>
      <c r="P1936" s="61" t="str">
        <f aca="false">IF(IsPro,IF($D1936="","",IF(AND(V1936&lt;&gt;"",INDEX(Parties!$E$5:$E$304,V1936)&lt;&gt;"",INDEX(Parties!$E$5:$E$304,V1936)&lt;&gt;HomeState),ROUND(L1936*M1936,2),0)),"")</f>
        <v/>
      </c>
      <c r="Q1936" s="61" t="str">
        <f aca="false">IF(IsPro,IF($D1936="","",L1936+N1936+O1936+P1936),"")</f>
        <v/>
      </c>
      <c r="R1936" s="61" t="str">
        <f aca="false">IF(IsPro,IF($D1936="","",ROUND(N($E1936)*IFERROR(INDEX(Items!$P$5:$P$504,U1936),0),2)),"")</f>
        <v/>
      </c>
      <c r="S1936" s="61" t="str">
        <f aca="false">IF(IsPro,IF($D1936="","",L1936-R1936),"")</f>
        <v/>
      </c>
      <c r="T1936" s="60" t="str">
        <f aca="false">IF(IsPro,IF($D1936="","",IF(U1936="","UNKNOWN ITEM",IF(INDEX(Items!$O$5:$O$504,U1936)&lt;0,"NEG STOCK",IF(K1936&lt;INDEX(Items!$P$5:$P$504,U1936),"BELOW COST","OK")))),IF($D1936="","","PRO PLAN"))</f>
        <v/>
      </c>
      <c r="U1936" s="60" t="str">
        <f aca="false">IF(IsPro,IF($D1936="","",IFERROR(MATCH($D1936,Items!$A$5:$A$504,0),"")),"")</f>
        <v/>
      </c>
      <c r="V1936" s="60" t="str">
        <f aca="false">IF(IsPro,IF($C1936="","",IFERROR(MATCH($C1936,Parties!$A$5:$A$304,0),"")),"")</f>
        <v/>
      </c>
      <c r="W1936" s="60" t="str">
        <f aca="false">IF(IsPro,IF($B1936="","",IFERROR(VALUE(SUBSTITUTE($B1936,InvPrefix,"")),0)),"")</f>
        <v/>
      </c>
      <c r="X1936" s="61" t="str">
        <f aca="false">IF(IsPro,IF($D1936="","",IF(OR($H1936="",$H1936="Credit"),0,Q1936)),"")</f>
        <v/>
      </c>
    </row>
    <row r="1937" customFormat="false" ht="15" hidden="false" customHeight="false" outlineLevel="0" collapsed="false">
      <c r="A1937" s="55"/>
      <c r="B1937" s="56"/>
      <c r="C1937" s="56"/>
      <c r="D1937" s="56"/>
      <c r="E1937" s="57"/>
      <c r="F1937" s="58"/>
      <c r="G1937" s="59"/>
      <c r="H1937" s="56"/>
      <c r="I1937" s="56"/>
      <c r="J1937" s="60" t="str">
        <f aca="false">IF(IsPro,IF($D1937="","",IFERROR(INDEX(Items!$D$5:$D$504,U1937),"")),"")</f>
        <v/>
      </c>
      <c r="K1937" s="61" t="str">
        <f aca="false">IF(IsPro,IF($D1937="","",IF($F1937="",IFERROR(INDEX(Items!$H$5:$H$504,U1937),0),$F1937)),"")</f>
        <v/>
      </c>
      <c r="L1937" s="61" t="str">
        <f aca="false">IF(IsPro,IF($D1937="","",ROUND(N($E1937)*K1937*(1-N($G1937)),2)),"")</f>
        <v/>
      </c>
      <c r="M1937" s="62" t="str">
        <f aca="false">IF(IsPro,IF($D1937="","",IFERROR(INDEX(Items!$F$5:$F$504,U1937),0)),"")</f>
        <v/>
      </c>
      <c r="N1937" s="61" t="str">
        <f aca="false">IF(IsPro,IF($D1937="","",IF(AND(V1937&lt;&gt;"",INDEX(Parties!$E$5:$E$304,V1937)&lt;&gt;"",INDEX(Parties!$E$5:$E$304,V1937)&lt;&gt;HomeState),0,ROUND(L1937*M1937/2,2))),"")</f>
        <v/>
      </c>
      <c r="O1937" s="61" t="str">
        <f aca="false">IF(IsPro,IF($D1937="","",N1937),"")</f>
        <v/>
      </c>
      <c r="P1937" s="61" t="str">
        <f aca="false">IF(IsPro,IF($D1937="","",IF(AND(V1937&lt;&gt;"",INDEX(Parties!$E$5:$E$304,V1937)&lt;&gt;"",INDEX(Parties!$E$5:$E$304,V1937)&lt;&gt;HomeState),ROUND(L1937*M1937,2),0)),"")</f>
        <v/>
      </c>
      <c r="Q1937" s="61" t="str">
        <f aca="false">IF(IsPro,IF($D1937="","",L1937+N1937+O1937+P1937),"")</f>
        <v/>
      </c>
      <c r="R1937" s="61" t="str">
        <f aca="false">IF(IsPro,IF($D1937="","",ROUND(N($E1937)*IFERROR(INDEX(Items!$P$5:$P$504,U1937),0),2)),"")</f>
        <v/>
      </c>
      <c r="S1937" s="61" t="str">
        <f aca="false">IF(IsPro,IF($D1937="","",L1937-R1937),"")</f>
        <v/>
      </c>
      <c r="T1937" s="60" t="str">
        <f aca="false">IF(IsPro,IF($D1937="","",IF(U1937="","UNKNOWN ITEM",IF(INDEX(Items!$O$5:$O$504,U1937)&lt;0,"NEG STOCK",IF(K1937&lt;INDEX(Items!$P$5:$P$504,U1937),"BELOW COST","OK")))),IF($D1937="","","PRO PLAN"))</f>
        <v/>
      </c>
      <c r="U1937" s="60" t="str">
        <f aca="false">IF(IsPro,IF($D1937="","",IFERROR(MATCH($D1937,Items!$A$5:$A$504,0),"")),"")</f>
        <v/>
      </c>
      <c r="V1937" s="60" t="str">
        <f aca="false">IF(IsPro,IF($C1937="","",IFERROR(MATCH($C1937,Parties!$A$5:$A$304,0),"")),"")</f>
        <v/>
      </c>
      <c r="W1937" s="60" t="str">
        <f aca="false">IF(IsPro,IF($B1937="","",IFERROR(VALUE(SUBSTITUTE($B1937,InvPrefix,"")),0)),"")</f>
        <v/>
      </c>
      <c r="X1937" s="61" t="str">
        <f aca="false">IF(IsPro,IF($D1937="","",IF(OR($H1937="",$H1937="Credit"),0,Q1937)),"")</f>
        <v/>
      </c>
    </row>
    <row r="1938" customFormat="false" ht="15" hidden="false" customHeight="false" outlineLevel="0" collapsed="false">
      <c r="A1938" s="55"/>
      <c r="B1938" s="56"/>
      <c r="C1938" s="56"/>
      <c r="D1938" s="56"/>
      <c r="E1938" s="57"/>
      <c r="F1938" s="58"/>
      <c r="G1938" s="59"/>
      <c r="H1938" s="56"/>
      <c r="I1938" s="56"/>
      <c r="J1938" s="60" t="str">
        <f aca="false">IF(IsPro,IF($D1938="","",IFERROR(INDEX(Items!$D$5:$D$504,U1938),"")),"")</f>
        <v/>
      </c>
      <c r="K1938" s="61" t="str">
        <f aca="false">IF(IsPro,IF($D1938="","",IF($F1938="",IFERROR(INDEX(Items!$H$5:$H$504,U1938),0),$F1938)),"")</f>
        <v/>
      </c>
      <c r="L1938" s="61" t="str">
        <f aca="false">IF(IsPro,IF($D1938="","",ROUND(N($E1938)*K1938*(1-N($G1938)),2)),"")</f>
        <v/>
      </c>
      <c r="M1938" s="62" t="str">
        <f aca="false">IF(IsPro,IF($D1938="","",IFERROR(INDEX(Items!$F$5:$F$504,U1938),0)),"")</f>
        <v/>
      </c>
      <c r="N1938" s="61" t="str">
        <f aca="false">IF(IsPro,IF($D1938="","",IF(AND(V1938&lt;&gt;"",INDEX(Parties!$E$5:$E$304,V1938)&lt;&gt;"",INDEX(Parties!$E$5:$E$304,V1938)&lt;&gt;HomeState),0,ROUND(L1938*M1938/2,2))),"")</f>
        <v/>
      </c>
      <c r="O1938" s="61" t="str">
        <f aca="false">IF(IsPro,IF($D1938="","",N1938),"")</f>
        <v/>
      </c>
      <c r="P1938" s="61" t="str">
        <f aca="false">IF(IsPro,IF($D1938="","",IF(AND(V1938&lt;&gt;"",INDEX(Parties!$E$5:$E$304,V1938)&lt;&gt;"",INDEX(Parties!$E$5:$E$304,V1938)&lt;&gt;HomeState),ROUND(L1938*M1938,2),0)),"")</f>
        <v/>
      </c>
      <c r="Q1938" s="61" t="str">
        <f aca="false">IF(IsPro,IF($D1938="","",L1938+N1938+O1938+P1938),"")</f>
        <v/>
      </c>
      <c r="R1938" s="61" t="str">
        <f aca="false">IF(IsPro,IF($D1938="","",ROUND(N($E1938)*IFERROR(INDEX(Items!$P$5:$P$504,U1938),0),2)),"")</f>
        <v/>
      </c>
      <c r="S1938" s="61" t="str">
        <f aca="false">IF(IsPro,IF($D1938="","",L1938-R1938),"")</f>
        <v/>
      </c>
      <c r="T1938" s="60" t="str">
        <f aca="false">IF(IsPro,IF($D1938="","",IF(U1938="","UNKNOWN ITEM",IF(INDEX(Items!$O$5:$O$504,U1938)&lt;0,"NEG STOCK",IF(K1938&lt;INDEX(Items!$P$5:$P$504,U1938),"BELOW COST","OK")))),IF($D1938="","","PRO PLAN"))</f>
        <v/>
      </c>
      <c r="U1938" s="60" t="str">
        <f aca="false">IF(IsPro,IF($D1938="","",IFERROR(MATCH($D1938,Items!$A$5:$A$504,0),"")),"")</f>
        <v/>
      </c>
      <c r="V1938" s="60" t="str">
        <f aca="false">IF(IsPro,IF($C1938="","",IFERROR(MATCH($C1938,Parties!$A$5:$A$304,0),"")),"")</f>
        <v/>
      </c>
      <c r="W1938" s="60" t="str">
        <f aca="false">IF(IsPro,IF($B1938="","",IFERROR(VALUE(SUBSTITUTE($B1938,InvPrefix,"")),0)),"")</f>
        <v/>
      </c>
      <c r="X1938" s="61" t="str">
        <f aca="false">IF(IsPro,IF($D1938="","",IF(OR($H1938="",$H1938="Credit"),0,Q1938)),"")</f>
        <v/>
      </c>
    </row>
    <row r="1939" customFormat="false" ht="15" hidden="false" customHeight="false" outlineLevel="0" collapsed="false">
      <c r="A1939" s="55"/>
      <c r="B1939" s="56"/>
      <c r="C1939" s="56"/>
      <c r="D1939" s="56"/>
      <c r="E1939" s="57"/>
      <c r="F1939" s="58"/>
      <c r="G1939" s="59"/>
      <c r="H1939" s="56"/>
      <c r="I1939" s="56"/>
      <c r="J1939" s="60" t="str">
        <f aca="false">IF(IsPro,IF($D1939="","",IFERROR(INDEX(Items!$D$5:$D$504,U1939),"")),"")</f>
        <v/>
      </c>
      <c r="K1939" s="61" t="str">
        <f aca="false">IF(IsPro,IF($D1939="","",IF($F1939="",IFERROR(INDEX(Items!$H$5:$H$504,U1939),0),$F1939)),"")</f>
        <v/>
      </c>
      <c r="L1939" s="61" t="str">
        <f aca="false">IF(IsPro,IF($D1939="","",ROUND(N($E1939)*K1939*(1-N($G1939)),2)),"")</f>
        <v/>
      </c>
      <c r="M1939" s="62" t="str">
        <f aca="false">IF(IsPro,IF($D1939="","",IFERROR(INDEX(Items!$F$5:$F$504,U1939),0)),"")</f>
        <v/>
      </c>
      <c r="N1939" s="61" t="str">
        <f aca="false">IF(IsPro,IF($D1939="","",IF(AND(V1939&lt;&gt;"",INDEX(Parties!$E$5:$E$304,V1939)&lt;&gt;"",INDEX(Parties!$E$5:$E$304,V1939)&lt;&gt;HomeState),0,ROUND(L1939*M1939/2,2))),"")</f>
        <v/>
      </c>
      <c r="O1939" s="61" t="str">
        <f aca="false">IF(IsPro,IF($D1939="","",N1939),"")</f>
        <v/>
      </c>
      <c r="P1939" s="61" t="str">
        <f aca="false">IF(IsPro,IF($D1939="","",IF(AND(V1939&lt;&gt;"",INDEX(Parties!$E$5:$E$304,V1939)&lt;&gt;"",INDEX(Parties!$E$5:$E$304,V1939)&lt;&gt;HomeState),ROUND(L1939*M1939,2),0)),"")</f>
        <v/>
      </c>
      <c r="Q1939" s="61" t="str">
        <f aca="false">IF(IsPro,IF($D1939="","",L1939+N1939+O1939+P1939),"")</f>
        <v/>
      </c>
      <c r="R1939" s="61" t="str">
        <f aca="false">IF(IsPro,IF($D1939="","",ROUND(N($E1939)*IFERROR(INDEX(Items!$P$5:$P$504,U1939),0),2)),"")</f>
        <v/>
      </c>
      <c r="S1939" s="61" t="str">
        <f aca="false">IF(IsPro,IF($D1939="","",L1939-R1939),"")</f>
        <v/>
      </c>
      <c r="T1939" s="60" t="str">
        <f aca="false">IF(IsPro,IF($D1939="","",IF(U1939="","UNKNOWN ITEM",IF(INDEX(Items!$O$5:$O$504,U1939)&lt;0,"NEG STOCK",IF(K1939&lt;INDEX(Items!$P$5:$P$504,U1939),"BELOW COST","OK")))),IF($D1939="","","PRO PLAN"))</f>
        <v/>
      </c>
      <c r="U1939" s="60" t="str">
        <f aca="false">IF(IsPro,IF($D1939="","",IFERROR(MATCH($D1939,Items!$A$5:$A$504,0),"")),"")</f>
        <v/>
      </c>
      <c r="V1939" s="60" t="str">
        <f aca="false">IF(IsPro,IF($C1939="","",IFERROR(MATCH($C1939,Parties!$A$5:$A$304,0),"")),"")</f>
        <v/>
      </c>
      <c r="W1939" s="60" t="str">
        <f aca="false">IF(IsPro,IF($B1939="","",IFERROR(VALUE(SUBSTITUTE($B1939,InvPrefix,"")),0)),"")</f>
        <v/>
      </c>
      <c r="X1939" s="61" t="str">
        <f aca="false">IF(IsPro,IF($D1939="","",IF(OR($H1939="",$H1939="Credit"),0,Q1939)),"")</f>
        <v/>
      </c>
    </row>
    <row r="1940" customFormat="false" ht="15" hidden="false" customHeight="false" outlineLevel="0" collapsed="false">
      <c r="A1940" s="55"/>
      <c r="B1940" s="56"/>
      <c r="C1940" s="56"/>
      <c r="D1940" s="56"/>
      <c r="E1940" s="57"/>
      <c r="F1940" s="58"/>
      <c r="G1940" s="59"/>
      <c r="H1940" s="56"/>
      <c r="I1940" s="56"/>
      <c r="J1940" s="60" t="str">
        <f aca="false">IF(IsPro,IF($D1940="","",IFERROR(INDEX(Items!$D$5:$D$504,U1940),"")),"")</f>
        <v/>
      </c>
      <c r="K1940" s="61" t="str">
        <f aca="false">IF(IsPro,IF($D1940="","",IF($F1940="",IFERROR(INDEX(Items!$H$5:$H$504,U1940),0),$F1940)),"")</f>
        <v/>
      </c>
      <c r="L1940" s="61" t="str">
        <f aca="false">IF(IsPro,IF($D1940="","",ROUND(N($E1940)*K1940*(1-N($G1940)),2)),"")</f>
        <v/>
      </c>
      <c r="M1940" s="62" t="str">
        <f aca="false">IF(IsPro,IF($D1940="","",IFERROR(INDEX(Items!$F$5:$F$504,U1940),0)),"")</f>
        <v/>
      </c>
      <c r="N1940" s="61" t="str">
        <f aca="false">IF(IsPro,IF($D1940="","",IF(AND(V1940&lt;&gt;"",INDEX(Parties!$E$5:$E$304,V1940)&lt;&gt;"",INDEX(Parties!$E$5:$E$304,V1940)&lt;&gt;HomeState),0,ROUND(L1940*M1940/2,2))),"")</f>
        <v/>
      </c>
      <c r="O1940" s="61" t="str">
        <f aca="false">IF(IsPro,IF($D1940="","",N1940),"")</f>
        <v/>
      </c>
      <c r="P1940" s="61" t="str">
        <f aca="false">IF(IsPro,IF($D1940="","",IF(AND(V1940&lt;&gt;"",INDEX(Parties!$E$5:$E$304,V1940)&lt;&gt;"",INDEX(Parties!$E$5:$E$304,V1940)&lt;&gt;HomeState),ROUND(L1940*M1940,2),0)),"")</f>
        <v/>
      </c>
      <c r="Q1940" s="61" t="str">
        <f aca="false">IF(IsPro,IF($D1940="","",L1940+N1940+O1940+P1940),"")</f>
        <v/>
      </c>
      <c r="R1940" s="61" t="str">
        <f aca="false">IF(IsPro,IF($D1940="","",ROUND(N($E1940)*IFERROR(INDEX(Items!$P$5:$P$504,U1940),0),2)),"")</f>
        <v/>
      </c>
      <c r="S1940" s="61" t="str">
        <f aca="false">IF(IsPro,IF($D1940="","",L1940-R1940),"")</f>
        <v/>
      </c>
      <c r="T1940" s="60" t="str">
        <f aca="false">IF(IsPro,IF($D1940="","",IF(U1940="","UNKNOWN ITEM",IF(INDEX(Items!$O$5:$O$504,U1940)&lt;0,"NEG STOCK",IF(K1940&lt;INDEX(Items!$P$5:$P$504,U1940),"BELOW COST","OK")))),IF($D1940="","","PRO PLAN"))</f>
        <v/>
      </c>
      <c r="U1940" s="60" t="str">
        <f aca="false">IF(IsPro,IF($D1940="","",IFERROR(MATCH($D1940,Items!$A$5:$A$504,0),"")),"")</f>
        <v/>
      </c>
      <c r="V1940" s="60" t="str">
        <f aca="false">IF(IsPro,IF($C1940="","",IFERROR(MATCH($C1940,Parties!$A$5:$A$304,0),"")),"")</f>
        <v/>
      </c>
      <c r="W1940" s="60" t="str">
        <f aca="false">IF(IsPro,IF($B1940="","",IFERROR(VALUE(SUBSTITUTE($B1940,InvPrefix,"")),0)),"")</f>
        <v/>
      </c>
      <c r="X1940" s="61" t="str">
        <f aca="false">IF(IsPro,IF($D1940="","",IF(OR($H1940="",$H1940="Credit"),0,Q1940)),"")</f>
        <v/>
      </c>
    </row>
    <row r="1941" customFormat="false" ht="15" hidden="false" customHeight="false" outlineLevel="0" collapsed="false">
      <c r="A1941" s="55"/>
      <c r="B1941" s="56"/>
      <c r="C1941" s="56"/>
      <c r="D1941" s="56"/>
      <c r="E1941" s="57"/>
      <c r="F1941" s="58"/>
      <c r="G1941" s="59"/>
      <c r="H1941" s="56"/>
      <c r="I1941" s="56"/>
      <c r="J1941" s="60" t="str">
        <f aca="false">IF(IsPro,IF($D1941="","",IFERROR(INDEX(Items!$D$5:$D$504,U1941),"")),"")</f>
        <v/>
      </c>
      <c r="K1941" s="61" t="str">
        <f aca="false">IF(IsPro,IF($D1941="","",IF($F1941="",IFERROR(INDEX(Items!$H$5:$H$504,U1941),0),$F1941)),"")</f>
        <v/>
      </c>
      <c r="L1941" s="61" t="str">
        <f aca="false">IF(IsPro,IF($D1941="","",ROUND(N($E1941)*K1941*(1-N($G1941)),2)),"")</f>
        <v/>
      </c>
      <c r="M1941" s="62" t="str">
        <f aca="false">IF(IsPro,IF($D1941="","",IFERROR(INDEX(Items!$F$5:$F$504,U1941),0)),"")</f>
        <v/>
      </c>
      <c r="N1941" s="61" t="str">
        <f aca="false">IF(IsPro,IF($D1941="","",IF(AND(V1941&lt;&gt;"",INDEX(Parties!$E$5:$E$304,V1941)&lt;&gt;"",INDEX(Parties!$E$5:$E$304,V1941)&lt;&gt;HomeState),0,ROUND(L1941*M1941/2,2))),"")</f>
        <v/>
      </c>
      <c r="O1941" s="61" t="str">
        <f aca="false">IF(IsPro,IF($D1941="","",N1941),"")</f>
        <v/>
      </c>
      <c r="P1941" s="61" t="str">
        <f aca="false">IF(IsPro,IF($D1941="","",IF(AND(V1941&lt;&gt;"",INDEX(Parties!$E$5:$E$304,V1941)&lt;&gt;"",INDEX(Parties!$E$5:$E$304,V1941)&lt;&gt;HomeState),ROUND(L1941*M1941,2),0)),"")</f>
        <v/>
      </c>
      <c r="Q1941" s="61" t="str">
        <f aca="false">IF(IsPro,IF($D1941="","",L1941+N1941+O1941+P1941),"")</f>
        <v/>
      </c>
      <c r="R1941" s="61" t="str">
        <f aca="false">IF(IsPro,IF($D1941="","",ROUND(N($E1941)*IFERROR(INDEX(Items!$P$5:$P$504,U1941),0),2)),"")</f>
        <v/>
      </c>
      <c r="S1941" s="61" t="str">
        <f aca="false">IF(IsPro,IF($D1941="","",L1941-R1941),"")</f>
        <v/>
      </c>
      <c r="T1941" s="60" t="str">
        <f aca="false">IF(IsPro,IF($D1941="","",IF(U1941="","UNKNOWN ITEM",IF(INDEX(Items!$O$5:$O$504,U1941)&lt;0,"NEG STOCK",IF(K1941&lt;INDEX(Items!$P$5:$P$504,U1941),"BELOW COST","OK")))),IF($D1941="","","PRO PLAN"))</f>
        <v/>
      </c>
      <c r="U1941" s="60" t="str">
        <f aca="false">IF(IsPro,IF($D1941="","",IFERROR(MATCH($D1941,Items!$A$5:$A$504,0),"")),"")</f>
        <v/>
      </c>
      <c r="V1941" s="60" t="str">
        <f aca="false">IF(IsPro,IF($C1941="","",IFERROR(MATCH($C1941,Parties!$A$5:$A$304,0),"")),"")</f>
        <v/>
      </c>
      <c r="W1941" s="60" t="str">
        <f aca="false">IF(IsPro,IF($B1941="","",IFERROR(VALUE(SUBSTITUTE($B1941,InvPrefix,"")),0)),"")</f>
        <v/>
      </c>
      <c r="X1941" s="61" t="str">
        <f aca="false">IF(IsPro,IF($D1941="","",IF(OR($H1941="",$H1941="Credit"),0,Q1941)),"")</f>
        <v/>
      </c>
    </row>
    <row r="1942" customFormat="false" ht="15" hidden="false" customHeight="false" outlineLevel="0" collapsed="false">
      <c r="A1942" s="55"/>
      <c r="B1942" s="56"/>
      <c r="C1942" s="56"/>
      <c r="D1942" s="56"/>
      <c r="E1942" s="57"/>
      <c r="F1942" s="58"/>
      <c r="G1942" s="59"/>
      <c r="H1942" s="56"/>
      <c r="I1942" s="56"/>
      <c r="J1942" s="60" t="str">
        <f aca="false">IF(IsPro,IF($D1942="","",IFERROR(INDEX(Items!$D$5:$D$504,U1942),"")),"")</f>
        <v/>
      </c>
      <c r="K1942" s="61" t="str">
        <f aca="false">IF(IsPro,IF($D1942="","",IF($F1942="",IFERROR(INDEX(Items!$H$5:$H$504,U1942),0),$F1942)),"")</f>
        <v/>
      </c>
      <c r="L1942" s="61" t="str">
        <f aca="false">IF(IsPro,IF($D1942="","",ROUND(N($E1942)*K1942*(1-N($G1942)),2)),"")</f>
        <v/>
      </c>
      <c r="M1942" s="62" t="str">
        <f aca="false">IF(IsPro,IF($D1942="","",IFERROR(INDEX(Items!$F$5:$F$504,U1942),0)),"")</f>
        <v/>
      </c>
      <c r="N1942" s="61" t="str">
        <f aca="false">IF(IsPro,IF($D1942="","",IF(AND(V1942&lt;&gt;"",INDEX(Parties!$E$5:$E$304,V1942)&lt;&gt;"",INDEX(Parties!$E$5:$E$304,V1942)&lt;&gt;HomeState),0,ROUND(L1942*M1942/2,2))),"")</f>
        <v/>
      </c>
      <c r="O1942" s="61" t="str">
        <f aca="false">IF(IsPro,IF($D1942="","",N1942),"")</f>
        <v/>
      </c>
      <c r="P1942" s="61" t="str">
        <f aca="false">IF(IsPro,IF($D1942="","",IF(AND(V1942&lt;&gt;"",INDEX(Parties!$E$5:$E$304,V1942)&lt;&gt;"",INDEX(Parties!$E$5:$E$304,V1942)&lt;&gt;HomeState),ROUND(L1942*M1942,2),0)),"")</f>
        <v/>
      </c>
      <c r="Q1942" s="61" t="str">
        <f aca="false">IF(IsPro,IF($D1942="","",L1942+N1942+O1942+P1942),"")</f>
        <v/>
      </c>
      <c r="R1942" s="61" t="str">
        <f aca="false">IF(IsPro,IF($D1942="","",ROUND(N($E1942)*IFERROR(INDEX(Items!$P$5:$P$504,U1942),0),2)),"")</f>
        <v/>
      </c>
      <c r="S1942" s="61" t="str">
        <f aca="false">IF(IsPro,IF($D1942="","",L1942-R1942),"")</f>
        <v/>
      </c>
      <c r="T1942" s="60" t="str">
        <f aca="false">IF(IsPro,IF($D1942="","",IF(U1942="","UNKNOWN ITEM",IF(INDEX(Items!$O$5:$O$504,U1942)&lt;0,"NEG STOCK",IF(K1942&lt;INDEX(Items!$P$5:$P$504,U1942),"BELOW COST","OK")))),IF($D1942="","","PRO PLAN"))</f>
        <v/>
      </c>
      <c r="U1942" s="60" t="str">
        <f aca="false">IF(IsPro,IF($D1942="","",IFERROR(MATCH($D1942,Items!$A$5:$A$504,0),"")),"")</f>
        <v/>
      </c>
      <c r="V1942" s="60" t="str">
        <f aca="false">IF(IsPro,IF($C1942="","",IFERROR(MATCH($C1942,Parties!$A$5:$A$304,0),"")),"")</f>
        <v/>
      </c>
      <c r="W1942" s="60" t="str">
        <f aca="false">IF(IsPro,IF($B1942="","",IFERROR(VALUE(SUBSTITUTE($B1942,InvPrefix,"")),0)),"")</f>
        <v/>
      </c>
      <c r="X1942" s="61" t="str">
        <f aca="false">IF(IsPro,IF($D1942="","",IF(OR($H1942="",$H1942="Credit"),0,Q1942)),"")</f>
        <v/>
      </c>
    </row>
    <row r="1943" customFormat="false" ht="15" hidden="false" customHeight="false" outlineLevel="0" collapsed="false">
      <c r="A1943" s="55"/>
      <c r="B1943" s="56"/>
      <c r="C1943" s="56"/>
      <c r="D1943" s="56"/>
      <c r="E1943" s="57"/>
      <c r="F1943" s="58"/>
      <c r="G1943" s="59"/>
      <c r="H1943" s="56"/>
      <c r="I1943" s="56"/>
      <c r="J1943" s="60" t="str">
        <f aca="false">IF(IsPro,IF($D1943="","",IFERROR(INDEX(Items!$D$5:$D$504,U1943),"")),"")</f>
        <v/>
      </c>
      <c r="K1943" s="61" t="str">
        <f aca="false">IF(IsPro,IF($D1943="","",IF($F1943="",IFERROR(INDEX(Items!$H$5:$H$504,U1943),0),$F1943)),"")</f>
        <v/>
      </c>
      <c r="L1943" s="61" t="str">
        <f aca="false">IF(IsPro,IF($D1943="","",ROUND(N($E1943)*K1943*(1-N($G1943)),2)),"")</f>
        <v/>
      </c>
      <c r="M1943" s="62" t="str">
        <f aca="false">IF(IsPro,IF($D1943="","",IFERROR(INDEX(Items!$F$5:$F$504,U1943),0)),"")</f>
        <v/>
      </c>
      <c r="N1943" s="61" t="str">
        <f aca="false">IF(IsPro,IF($D1943="","",IF(AND(V1943&lt;&gt;"",INDEX(Parties!$E$5:$E$304,V1943)&lt;&gt;"",INDEX(Parties!$E$5:$E$304,V1943)&lt;&gt;HomeState),0,ROUND(L1943*M1943/2,2))),"")</f>
        <v/>
      </c>
      <c r="O1943" s="61" t="str">
        <f aca="false">IF(IsPro,IF($D1943="","",N1943),"")</f>
        <v/>
      </c>
      <c r="P1943" s="61" t="str">
        <f aca="false">IF(IsPro,IF($D1943="","",IF(AND(V1943&lt;&gt;"",INDEX(Parties!$E$5:$E$304,V1943)&lt;&gt;"",INDEX(Parties!$E$5:$E$304,V1943)&lt;&gt;HomeState),ROUND(L1943*M1943,2),0)),"")</f>
        <v/>
      </c>
      <c r="Q1943" s="61" t="str">
        <f aca="false">IF(IsPro,IF($D1943="","",L1943+N1943+O1943+P1943),"")</f>
        <v/>
      </c>
      <c r="R1943" s="61" t="str">
        <f aca="false">IF(IsPro,IF($D1943="","",ROUND(N($E1943)*IFERROR(INDEX(Items!$P$5:$P$504,U1943),0),2)),"")</f>
        <v/>
      </c>
      <c r="S1943" s="61" t="str">
        <f aca="false">IF(IsPro,IF($D1943="","",L1943-R1943),"")</f>
        <v/>
      </c>
      <c r="T1943" s="60" t="str">
        <f aca="false">IF(IsPro,IF($D1943="","",IF(U1943="","UNKNOWN ITEM",IF(INDEX(Items!$O$5:$O$504,U1943)&lt;0,"NEG STOCK",IF(K1943&lt;INDEX(Items!$P$5:$P$504,U1943),"BELOW COST","OK")))),IF($D1943="","","PRO PLAN"))</f>
        <v/>
      </c>
      <c r="U1943" s="60" t="str">
        <f aca="false">IF(IsPro,IF($D1943="","",IFERROR(MATCH($D1943,Items!$A$5:$A$504,0),"")),"")</f>
        <v/>
      </c>
      <c r="V1943" s="60" t="str">
        <f aca="false">IF(IsPro,IF($C1943="","",IFERROR(MATCH($C1943,Parties!$A$5:$A$304,0),"")),"")</f>
        <v/>
      </c>
      <c r="W1943" s="60" t="str">
        <f aca="false">IF(IsPro,IF($B1943="","",IFERROR(VALUE(SUBSTITUTE($B1943,InvPrefix,"")),0)),"")</f>
        <v/>
      </c>
      <c r="X1943" s="61" t="str">
        <f aca="false">IF(IsPro,IF($D1943="","",IF(OR($H1943="",$H1943="Credit"),0,Q1943)),"")</f>
        <v/>
      </c>
    </row>
    <row r="1944" customFormat="false" ht="15" hidden="false" customHeight="false" outlineLevel="0" collapsed="false">
      <c r="A1944" s="55"/>
      <c r="B1944" s="56"/>
      <c r="C1944" s="56"/>
      <c r="D1944" s="56"/>
      <c r="E1944" s="57"/>
      <c r="F1944" s="58"/>
      <c r="G1944" s="59"/>
      <c r="H1944" s="56"/>
      <c r="I1944" s="56"/>
      <c r="J1944" s="60" t="str">
        <f aca="false">IF(IsPro,IF($D1944="","",IFERROR(INDEX(Items!$D$5:$D$504,U1944),"")),"")</f>
        <v/>
      </c>
      <c r="K1944" s="61" t="str">
        <f aca="false">IF(IsPro,IF($D1944="","",IF($F1944="",IFERROR(INDEX(Items!$H$5:$H$504,U1944),0),$F1944)),"")</f>
        <v/>
      </c>
      <c r="L1944" s="61" t="str">
        <f aca="false">IF(IsPro,IF($D1944="","",ROUND(N($E1944)*K1944*(1-N($G1944)),2)),"")</f>
        <v/>
      </c>
      <c r="M1944" s="62" t="str">
        <f aca="false">IF(IsPro,IF($D1944="","",IFERROR(INDEX(Items!$F$5:$F$504,U1944),0)),"")</f>
        <v/>
      </c>
      <c r="N1944" s="61" t="str">
        <f aca="false">IF(IsPro,IF($D1944="","",IF(AND(V1944&lt;&gt;"",INDEX(Parties!$E$5:$E$304,V1944)&lt;&gt;"",INDEX(Parties!$E$5:$E$304,V1944)&lt;&gt;HomeState),0,ROUND(L1944*M1944/2,2))),"")</f>
        <v/>
      </c>
      <c r="O1944" s="61" t="str">
        <f aca="false">IF(IsPro,IF($D1944="","",N1944),"")</f>
        <v/>
      </c>
      <c r="P1944" s="61" t="str">
        <f aca="false">IF(IsPro,IF($D1944="","",IF(AND(V1944&lt;&gt;"",INDEX(Parties!$E$5:$E$304,V1944)&lt;&gt;"",INDEX(Parties!$E$5:$E$304,V1944)&lt;&gt;HomeState),ROUND(L1944*M1944,2),0)),"")</f>
        <v/>
      </c>
      <c r="Q1944" s="61" t="str">
        <f aca="false">IF(IsPro,IF($D1944="","",L1944+N1944+O1944+P1944),"")</f>
        <v/>
      </c>
      <c r="R1944" s="61" t="str">
        <f aca="false">IF(IsPro,IF($D1944="","",ROUND(N($E1944)*IFERROR(INDEX(Items!$P$5:$P$504,U1944),0),2)),"")</f>
        <v/>
      </c>
      <c r="S1944" s="61" t="str">
        <f aca="false">IF(IsPro,IF($D1944="","",L1944-R1944),"")</f>
        <v/>
      </c>
      <c r="T1944" s="60" t="str">
        <f aca="false">IF(IsPro,IF($D1944="","",IF(U1944="","UNKNOWN ITEM",IF(INDEX(Items!$O$5:$O$504,U1944)&lt;0,"NEG STOCK",IF(K1944&lt;INDEX(Items!$P$5:$P$504,U1944),"BELOW COST","OK")))),IF($D1944="","","PRO PLAN"))</f>
        <v/>
      </c>
      <c r="U1944" s="60" t="str">
        <f aca="false">IF(IsPro,IF($D1944="","",IFERROR(MATCH($D1944,Items!$A$5:$A$504,0),"")),"")</f>
        <v/>
      </c>
      <c r="V1944" s="60" t="str">
        <f aca="false">IF(IsPro,IF($C1944="","",IFERROR(MATCH($C1944,Parties!$A$5:$A$304,0),"")),"")</f>
        <v/>
      </c>
      <c r="W1944" s="60" t="str">
        <f aca="false">IF(IsPro,IF($B1944="","",IFERROR(VALUE(SUBSTITUTE($B1944,InvPrefix,"")),0)),"")</f>
        <v/>
      </c>
      <c r="X1944" s="61" t="str">
        <f aca="false">IF(IsPro,IF($D1944="","",IF(OR($H1944="",$H1944="Credit"),0,Q1944)),"")</f>
        <v/>
      </c>
    </row>
    <row r="1945" customFormat="false" ht="15" hidden="false" customHeight="false" outlineLevel="0" collapsed="false">
      <c r="A1945" s="55"/>
      <c r="B1945" s="56"/>
      <c r="C1945" s="56"/>
      <c r="D1945" s="56"/>
      <c r="E1945" s="57"/>
      <c r="F1945" s="58"/>
      <c r="G1945" s="59"/>
      <c r="H1945" s="56"/>
      <c r="I1945" s="56"/>
      <c r="J1945" s="60" t="str">
        <f aca="false">IF(IsPro,IF($D1945="","",IFERROR(INDEX(Items!$D$5:$D$504,U1945),"")),"")</f>
        <v/>
      </c>
      <c r="K1945" s="61" t="str">
        <f aca="false">IF(IsPro,IF($D1945="","",IF($F1945="",IFERROR(INDEX(Items!$H$5:$H$504,U1945),0),$F1945)),"")</f>
        <v/>
      </c>
      <c r="L1945" s="61" t="str">
        <f aca="false">IF(IsPro,IF($D1945="","",ROUND(N($E1945)*K1945*(1-N($G1945)),2)),"")</f>
        <v/>
      </c>
      <c r="M1945" s="62" t="str">
        <f aca="false">IF(IsPro,IF($D1945="","",IFERROR(INDEX(Items!$F$5:$F$504,U1945),0)),"")</f>
        <v/>
      </c>
      <c r="N1945" s="61" t="str">
        <f aca="false">IF(IsPro,IF($D1945="","",IF(AND(V1945&lt;&gt;"",INDEX(Parties!$E$5:$E$304,V1945)&lt;&gt;"",INDEX(Parties!$E$5:$E$304,V1945)&lt;&gt;HomeState),0,ROUND(L1945*M1945/2,2))),"")</f>
        <v/>
      </c>
      <c r="O1945" s="61" t="str">
        <f aca="false">IF(IsPro,IF($D1945="","",N1945),"")</f>
        <v/>
      </c>
      <c r="P1945" s="61" t="str">
        <f aca="false">IF(IsPro,IF($D1945="","",IF(AND(V1945&lt;&gt;"",INDEX(Parties!$E$5:$E$304,V1945)&lt;&gt;"",INDEX(Parties!$E$5:$E$304,V1945)&lt;&gt;HomeState),ROUND(L1945*M1945,2),0)),"")</f>
        <v/>
      </c>
      <c r="Q1945" s="61" t="str">
        <f aca="false">IF(IsPro,IF($D1945="","",L1945+N1945+O1945+P1945),"")</f>
        <v/>
      </c>
      <c r="R1945" s="61" t="str">
        <f aca="false">IF(IsPro,IF($D1945="","",ROUND(N($E1945)*IFERROR(INDEX(Items!$P$5:$P$504,U1945),0),2)),"")</f>
        <v/>
      </c>
      <c r="S1945" s="61" t="str">
        <f aca="false">IF(IsPro,IF($D1945="","",L1945-R1945),"")</f>
        <v/>
      </c>
      <c r="T1945" s="60" t="str">
        <f aca="false">IF(IsPro,IF($D1945="","",IF(U1945="","UNKNOWN ITEM",IF(INDEX(Items!$O$5:$O$504,U1945)&lt;0,"NEG STOCK",IF(K1945&lt;INDEX(Items!$P$5:$P$504,U1945),"BELOW COST","OK")))),IF($D1945="","","PRO PLAN"))</f>
        <v/>
      </c>
      <c r="U1945" s="60" t="str">
        <f aca="false">IF(IsPro,IF($D1945="","",IFERROR(MATCH($D1945,Items!$A$5:$A$504,0),"")),"")</f>
        <v/>
      </c>
      <c r="V1945" s="60" t="str">
        <f aca="false">IF(IsPro,IF($C1945="","",IFERROR(MATCH($C1945,Parties!$A$5:$A$304,0),"")),"")</f>
        <v/>
      </c>
      <c r="W1945" s="60" t="str">
        <f aca="false">IF(IsPro,IF($B1945="","",IFERROR(VALUE(SUBSTITUTE($B1945,InvPrefix,"")),0)),"")</f>
        <v/>
      </c>
      <c r="X1945" s="61" t="str">
        <f aca="false">IF(IsPro,IF($D1945="","",IF(OR($H1945="",$H1945="Credit"),0,Q1945)),"")</f>
        <v/>
      </c>
    </row>
    <row r="1946" customFormat="false" ht="15" hidden="false" customHeight="false" outlineLevel="0" collapsed="false">
      <c r="A1946" s="55"/>
      <c r="B1946" s="56"/>
      <c r="C1946" s="56"/>
      <c r="D1946" s="56"/>
      <c r="E1946" s="57"/>
      <c r="F1946" s="58"/>
      <c r="G1946" s="59"/>
      <c r="H1946" s="56"/>
      <c r="I1946" s="56"/>
      <c r="J1946" s="60" t="str">
        <f aca="false">IF(IsPro,IF($D1946="","",IFERROR(INDEX(Items!$D$5:$D$504,U1946),"")),"")</f>
        <v/>
      </c>
      <c r="K1946" s="61" t="str">
        <f aca="false">IF(IsPro,IF($D1946="","",IF($F1946="",IFERROR(INDEX(Items!$H$5:$H$504,U1946),0),$F1946)),"")</f>
        <v/>
      </c>
      <c r="L1946" s="61" t="str">
        <f aca="false">IF(IsPro,IF($D1946="","",ROUND(N($E1946)*K1946*(1-N($G1946)),2)),"")</f>
        <v/>
      </c>
      <c r="M1946" s="62" t="str">
        <f aca="false">IF(IsPro,IF($D1946="","",IFERROR(INDEX(Items!$F$5:$F$504,U1946),0)),"")</f>
        <v/>
      </c>
      <c r="N1946" s="61" t="str">
        <f aca="false">IF(IsPro,IF($D1946="","",IF(AND(V1946&lt;&gt;"",INDEX(Parties!$E$5:$E$304,V1946)&lt;&gt;"",INDEX(Parties!$E$5:$E$304,V1946)&lt;&gt;HomeState),0,ROUND(L1946*M1946/2,2))),"")</f>
        <v/>
      </c>
      <c r="O1946" s="61" t="str">
        <f aca="false">IF(IsPro,IF($D1946="","",N1946),"")</f>
        <v/>
      </c>
      <c r="P1946" s="61" t="str">
        <f aca="false">IF(IsPro,IF($D1946="","",IF(AND(V1946&lt;&gt;"",INDEX(Parties!$E$5:$E$304,V1946)&lt;&gt;"",INDEX(Parties!$E$5:$E$304,V1946)&lt;&gt;HomeState),ROUND(L1946*M1946,2),0)),"")</f>
        <v/>
      </c>
      <c r="Q1946" s="61" t="str">
        <f aca="false">IF(IsPro,IF($D1946="","",L1946+N1946+O1946+P1946),"")</f>
        <v/>
      </c>
      <c r="R1946" s="61" t="str">
        <f aca="false">IF(IsPro,IF($D1946="","",ROUND(N($E1946)*IFERROR(INDEX(Items!$P$5:$P$504,U1946),0),2)),"")</f>
        <v/>
      </c>
      <c r="S1946" s="61" t="str">
        <f aca="false">IF(IsPro,IF($D1946="","",L1946-R1946),"")</f>
        <v/>
      </c>
      <c r="T1946" s="60" t="str">
        <f aca="false">IF(IsPro,IF($D1946="","",IF(U1946="","UNKNOWN ITEM",IF(INDEX(Items!$O$5:$O$504,U1946)&lt;0,"NEG STOCK",IF(K1946&lt;INDEX(Items!$P$5:$P$504,U1946),"BELOW COST","OK")))),IF($D1946="","","PRO PLAN"))</f>
        <v/>
      </c>
      <c r="U1946" s="60" t="str">
        <f aca="false">IF(IsPro,IF($D1946="","",IFERROR(MATCH($D1946,Items!$A$5:$A$504,0),"")),"")</f>
        <v/>
      </c>
      <c r="V1946" s="60" t="str">
        <f aca="false">IF(IsPro,IF($C1946="","",IFERROR(MATCH($C1946,Parties!$A$5:$A$304,0),"")),"")</f>
        <v/>
      </c>
      <c r="W1946" s="60" t="str">
        <f aca="false">IF(IsPro,IF($B1946="","",IFERROR(VALUE(SUBSTITUTE($B1946,InvPrefix,"")),0)),"")</f>
        <v/>
      </c>
      <c r="X1946" s="61" t="str">
        <f aca="false">IF(IsPro,IF($D1946="","",IF(OR($H1946="",$H1946="Credit"),0,Q1946)),"")</f>
        <v/>
      </c>
    </row>
    <row r="1947" customFormat="false" ht="15" hidden="false" customHeight="false" outlineLevel="0" collapsed="false">
      <c r="A1947" s="55"/>
      <c r="B1947" s="56"/>
      <c r="C1947" s="56"/>
      <c r="D1947" s="56"/>
      <c r="E1947" s="57"/>
      <c r="F1947" s="58"/>
      <c r="G1947" s="59"/>
      <c r="H1947" s="56"/>
      <c r="I1947" s="56"/>
      <c r="J1947" s="60" t="str">
        <f aca="false">IF(IsPro,IF($D1947="","",IFERROR(INDEX(Items!$D$5:$D$504,U1947),"")),"")</f>
        <v/>
      </c>
      <c r="K1947" s="61" t="str">
        <f aca="false">IF(IsPro,IF($D1947="","",IF($F1947="",IFERROR(INDEX(Items!$H$5:$H$504,U1947),0),$F1947)),"")</f>
        <v/>
      </c>
      <c r="L1947" s="61" t="str">
        <f aca="false">IF(IsPro,IF($D1947="","",ROUND(N($E1947)*K1947*(1-N($G1947)),2)),"")</f>
        <v/>
      </c>
      <c r="M1947" s="62" t="str">
        <f aca="false">IF(IsPro,IF($D1947="","",IFERROR(INDEX(Items!$F$5:$F$504,U1947),0)),"")</f>
        <v/>
      </c>
      <c r="N1947" s="61" t="str">
        <f aca="false">IF(IsPro,IF($D1947="","",IF(AND(V1947&lt;&gt;"",INDEX(Parties!$E$5:$E$304,V1947)&lt;&gt;"",INDEX(Parties!$E$5:$E$304,V1947)&lt;&gt;HomeState),0,ROUND(L1947*M1947/2,2))),"")</f>
        <v/>
      </c>
      <c r="O1947" s="61" t="str">
        <f aca="false">IF(IsPro,IF($D1947="","",N1947),"")</f>
        <v/>
      </c>
      <c r="P1947" s="61" t="str">
        <f aca="false">IF(IsPro,IF($D1947="","",IF(AND(V1947&lt;&gt;"",INDEX(Parties!$E$5:$E$304,V1947)&lt;&gt;"",INDEX(Parties!$E$5:$E$304,V1947)&lt;&gt;HomeState),ROUND(L1947*M1947,2),0)),"")</f>
        <v/>
      </c>
      <c r="Q1947" s="61" t="str">
        <f aca="false">IF(IsPro,IF($D1947="","",L1947+N1947+O1947+P1947),"")</f>
        <v/>
      </c>
      <c r="R1947" s="61" t="str">
        <f aca="false">IF(IsPro,IF($D1947="","",ROUND(N($E1947)*IFERROR(INDEX(Items!$P$5:$P$504,U1947),0),2)),"")</f>
        <v/>
      </c>
      <c r="S1947" s="61" t="str">
        <f aca="false">IF(IsPro,IF($D1947="","",L1947-R1947),"")</f>
        <v/>
      </c>
      <c r="T1947" s="60" t="str">
        <f aca="false">IF(IsPro,IF($D1947="","",IF(U1947="","UNKNOWN ITEM",IF(INDEX(Items!$O$5:$O$504,U1947)&lt;0,"NEG STOCK",IF(K1947&lt;INDEX(Items!$P$5:$P$504,U1947),"BELOW COST","OK")))),IF($D1947="","","PRO PLAN"))</f>
        <v/>
      </c>
      <c r="U1947" s="60" t="str">
        <f aca="false">IF(IsPro,IF($D1947="","",IFERROR(MATCH($D1947,Items!$A$5:$A$504,0),"")),"")</f>
        <v/>
      </c>
      <c r="V1947" s="60" t="str">
        <f aca="false">IF(IsPro,IF($C1947="","",IFERROR(MATCH($C1947,Parties!$A$5:$A$304,0),"")),"")</f>
        <v/>
      </c>
      <c r="W1947" s="60" t="str">
        <f aca="false">IF(IsPro,IF($B1947="","",IFERROR(VALUE(SUBSTITUTE($B1947,InvPrefix,"")),0)),"")</f>
        <v/>
      </c>
      <c r="X1947" s="61" t="str">
        <f aca="false">IF(IsPro,IF($D1947="","",IF(OR($H1947="",$H1947="Credit"),0,Q1947)),"")</f>
        <v/>
      </c>
    </row>
    <row r="1948" customFormat="false" ht="15" hidden="false" customHeight="false" outlineLevel="0" collapsed="false">
      <c r="A1948" s="55"/>
      <c r="B1948" s="56"/>
      <c r="C1948" s="56"/>
      <c r="D1948" s="56"/>
      <c r="E1948" s="57"/>
      <c r="F1948" s="58"/>
      <c r="G1948" s="59"/>
      <c r="H1948" s="56"/>
      <c r="I1948" s="56"/>
      <c r="J1948" s="60" t="str">
        <f aca="false">IF(IsPro,IF($D1948="","",IFERROR(INDEX(Items!$D$5:$D$504,U1948),"")),"")</f>
        <v/>
      </c>
      <c r="K1948" s="61" t="str">
        <f aca="false">IF(IsPro,IF($D1948="","",IF($F1948="",IFERROR(INDEX(Items!$H$5:$H$504,U1948),0),$F1948)),"")</f>
        <v/>
      </c>
      <c r="L1948" s="61" t="str">
        <f aca="false">IF(IsPro,IF($D1948="","",ROUND(N($E1948)*K1948*(1-N($G1948)),2)),"")</f>
        <v/>
      </c>
      <c r="M1948" s="62" t="str">
        <f aca="false">IF(IsPro,IF($D1948="","",IFERROR(INDEX(Items!$F$5:$F$504,U1948),0)),"")</f>
        <v/>
      </c>
      <c r="N1948" s="61" t="str">
        <f aca="false">IF(IsPro,IF($D1948="","",IF(AND(V1948&lt;&gt;"",INDEX(Parties!$E$5:$E$304,V1948)&lt;&gt;"",INDEX(Parties!$E$5:$E$304,V1948)&lt;&gt;HomeState),0,ROUND(L1948*M1948/2,2))),"")</f>
        <v/>
      </c>
      <c r="O1948" s="61" t="str">
        <f aca="false">IF(IsPro,IF($D1948="","",N1948),"")</f>
        <v/>
      </c>
      <c r="P1948" s="61" t="str">
        <f aca="false">IF(IsPro,IF($D1948="","",IF(AND(V1948&lt;&gt;"",INDEX(Parties!$E$5:$E$304,V1948)&lt;&gt;"",INDEX(Parties!$E$5:$E$304,V1948)&lt;&gt;HomeState),ROUND(L1948*M1948,2),0)),"")</f>
        <v/>
      </c>
      <c r="Q1948" s="61" t="str">
        <f aca="false">IF(IsPro,IF($D1948="","",L1948+N1948+O1948+P1948),"")</f>
        <v/>
      </c>
      <c r="R1948" s="61" t="str">
        <f aca="false">IF(IsPro,IF($D1948="","",ROUND(N($E1948)*IFERROR(INDEX(Items!$P$5:$P$504,U1948),0),2)),"")</f>
        <v/>
      </c>
      <c r="S1948" s="61" t="str">
        <f aca="false">IF(IsPro,IF($D1948="","",L1948-R1948),"")</f>
        <v/>
      </c>
      <c r="T1948" s="60" t="str">
        <f aca="false">IF(IsPro,IF($D1948="","",IF(U1948="","UNKNOWN ITEM",IF(INDEX(Items!$O$5:$O$504,U1948)&lt;0,"NEG STOCK",IF(K1948&lt;INDEX(Items!$P$5:$P$504,U1948),"BELOW COST","OK")))),IF($D1948="","","PRO PLAN"))</f>
        <v/>
      </c>
      <c r="U1948" s="60" t="str">
        <f aca="false">IF(IsPro,IF($D1948="","",IFERROR(MATCH($D1948,Items!$A$5:$A$504,0),"")),"")</f>
        <v/>
      </c>
      <c r="V1948" s="60" t="str">
        <f aca="false">IF(IsPro,IF($C1948="","",IFERROR(MATCH($C1948,Parties!$A$5:$A$304,0),"")),"")</f>
        <v/>
      </c>
      <c r="W1948" s="60" t="str">
        <f aca="false">IF(IsPro,IF($B1948="","",IFERROR(VALUE(SUBSTITUTE($B1948,InvPrefix,"")),0)),"")</f>
        <v/>
      </c>
      <c r="X1948" s="61" t="str">
        <f aca="false">IF(IsPro,IF($D1948="","",IF(OR($H1948="",$H1948="Credit"),0,Q1948)),"")</f>
        <v/>
      </c>
    </row>
    <row r="1949" customFormat="false" ht="15" hidden="false" customHeight="false" outlineLevel="0" collapsed="false">
      <c r="A1949" s="55"/>
      <c r="B1949" s="56"/>
      <c r="C1949" s="56"/>
      <c r="D1949" s="56"/>
      <c r="E1949" s="57"/>
      <c r="F1949" s="58"/>
      <c r="G1949" s="59"/>
      <c r="H1949" s="56"/>
      <c r="I1949" s="56"/>
      <c r="J1949" s="60" t="str">
        <f aca="false">IF(IsPro,IF($D1949="","",IFERROR(INDEX(Items!$D$5:$D$504,U1949),"")),"")</f>
        <v/>
      </c>
      <c r="K1949" s="61" t="str">
        <f aca="false">IF(IsPro,IF($D1949="","",IF($F1949="",IFERROR(INDEX(Items!$H$5:$H$504,U1949),0),$F1949)),"")</f>
        <v/>
      </c>
      <c r="L1949" s="61" t="str">
        <f aca="false">IF(IsPro,IF($D1949="","",ROUND(N($E1949)*K1949*(1-N($G1949)),2)),"")</f>
        <v/>
      </c>
      <c r="M1949" s="62" t="str">
        <f aca="false">IF(IsPro,IF($D1949="","",IFERROR(INDEX(Items!$F$5:$F$504,U1949),0)),"")</f>
        <v/>
      </c>
      <c r="N1949" s="61" t="str">
        <f aca="false">IF(IsPro,IF($D1949="","",IF(AND(V1949&lt;&gt;"",INDEX(Parties!$E$5:$E$304,V1949)&lt;&gt;"",INDEX(Parties!$E$5:$E$304,V1949)&lt;&gt;HomeState),0,ROUND(L1949*M1949/2,2))),"")</f>
        <v/>
      </c>
      <c r="O1949" s="61" t="str">
        <f aca="false">IF(IsPro,IF($D1949="","",N1949),"")</f>
        <v/>
      </c>
      <c r="P1949" s="61" t="str">
        <f aca="false">IF(IsPro,IF($D1949="","",IF(AND(V1949&lt;&gt;"",INDEX(Parties!$E$5:$E$304,V1949)&lt;&gt;"",INDEX(Parties!$E$5:$E$304,V1949)&lt;&gt;HomeState),ROUND(L1949*M1949,2),0)),"")</f>
        <v/>
      </c>
      <c r="Q1949" s="61" t="str">
        <f aca="false">IF(IsPro,IF($D1949="","",L1949+N1949+O1949+P1949),"")</f>
        <v/>
      </c>
      <c r="R1949" s="61" t="str">
        <f aca="false">IF(IsPro,IF($D1949="","",ROUND(N($E1949)*IFERROR(INDEX(Items!$P$5:$P$504,U1949),0),2)),"")</f>
        <v/>
      </c>
      <c r="S1949" s="61" t="str">
        <f aca="false">IF(IsPro,IF($D1949="","",L1949-R1949),"")</f>
        <v/>
      </c>
      <c r="T1949" s="60" t="str">
        <f aca="false">IF(IsPro,IF($D1949="","",IF(U1949="","UNKNOWN ITEM",IF(INDEX(Items!$O$5:$O$504,U1949)&lt;0,"NEG STOCK",IF(K1949&lt;INDEX(Items!$P$5:$P$504,U1949),"BELOW COST","OK")))),IF($D1949="","","PRO PLAN"))</f>
        <v/>
      </c>
      <c r="U1949" s="60" t="str">
        <f aca="false">IF(IsPro,IF($D1949="","",IFERROR(MATCH($D1949,Items!$A$5:$A$504,0),"")),"")</f>
        <v/>
      </c>
      <c r="V1949" s="60" t="str">
        <f aca="false">IF(IsPro,IF($C1949="","",IFERROR(MATCH($C1949,Parties!$A$5:$A$304,0),"")),"")</f>
        <v/>
      </c>
      <c r="W1949" s="60" t="str">
        <f aca="false">IF(IsPro,IF($B1949="","",IFERROR(VALUE(SUBSTITUTE($B1949,InvPrefix,"")),0)),"")</f>
        <v/>
      </c>
      <c r="X1949" s="61" t="str">
        <f aca="false">IF(IsPro,IF($D1949="","",IF(OR($H1949="",$H1949="Credit"),0,Q1949)),"")</f>
        <v/>
      </c>
    </row>
    <row r="1950" customFormat="false" ht="15" hidden="false" customHeight="false" outlineLevel="0" collapsed="false">
      <c r="A1950" s="55"/>
      <c r="B1950" s="56"/>
      <c r="C1950" s="56"/>
      <c r="D1950" s="56"/>
      <c r="E1950" s="57"/>
      <c r="F1950" s="58"/>
      <c r="G1950" s="59"/>
      <c r="H1950" s="56"/>
      <c r="I1950" s="56"/>
      <c r="J1950" s="60" t="str">
        <f aca="false">IF(IsPro,IF($D1950="","",IFERROR(INDEX(Items!$D$5:$D$504,U1950),"")),"")</f>
        <v/>
      </c>
      <c r="K1950" s="61" t="str">
        <f aca="false">IF(IsPro,IF($D1950="","",IF($F1950="",IFERROR(INDEX(Items!$H$5:$H$504,U1950),0),$F1950)),"")</f>
        <v/>
      </c>
      <c r="L1950" s="61" t="str">
        <f aca="false">IF(IsPro,IF($D1950="","",ROUND(N($E1950)*K1950*(1-N($G1950)),2)),"")</f>
        <v/>
      </c>
      <c r="M1950" s="62" t="str">
        <f aca="false">IF(IsPro,IF($D1950="","",IFERROR(INDEX(Items!$F$5:$F$504,U1950),0)),"")</f>
        <v/>
      </c>
      <c r="N1950" s="61" t="str">
        <f aca="false">IF(IsPro,IF($D1950="","",IF(AND(V1950&lt;&gt;"",INDEX(Parties!$E$5:$E$304,V1950)&lt;&gt;"",INDEX(Parties!$E$5:$E$304,V1950)&lt;&gt;HomeState),0,ROUND(L1950*M1950/2,2))),"")</f>
        <v/>
      </c>
      <c r="O1950" s="61" t="str">
        <f aca="false">IF(IsPro,IF($D1950="","",N1950),"")</f>
        <v/>
      </c>
      <c r="P1950" s="61" t="str">
        <f aca="false">IF(IsPro,IF($D1950="","",IF(AND(V1950&lt;&gt;"",INDEX(Parties!$E$5:$E$304,V1950)&lt;&gt;"",INDEX(Parties!$E$5:$E$304,V1950)&lt;&gt;HomeState),ROUND(L1950*M1950,2),0)),"")</f>
        <v/>
      </c>
      <c r="Q1950" s="61" t="str">
        <f aca="false">IF(IsPro,IF($D1950="","",L1950+N1950+O1950+P1950),"")</f>
        <v/>
      </c>
      <c r="R1950" s="61" t="str">
        <f aca="false">IF(IsPro,IF($D1950="","",ROUND(N($E1950)*IFERROR(INDEX(Items!$P$5:$P$504,U1950),0),2)),"")</f>
        <v/>
      </c>
      <c r="S1950" s="61" t="str">
        <f aca="false">IF(IsPro,IF($D1950="","",L1950-R1950),"")</f>
        <v/>
      </c>
      <c r="T1950" s="60" t="str">
        <f aca="false">IF(IsPro,IF($D1950="","",IF(U1950="","UNKNOWN ITEM",IF(INDEX(Items!$O$5:$O$504,U1950)&lt;0,"NEG STOCK",IF(K1950&lt;INDEX(Items!$P$5:$P$504,U1950),"BELOW COST","OK")))),IF($D1950="","","PRO PLAN"))</f>
        <v/>
      </c>
      <c r="U1950" s="60" t="str">
        <f aca="false">IF(IsPro,IF($D1950="","",IFERROR(MATCH($D1950,Items!$A$5:$A$504,0),"")),"")</f>
        <v/>
      </c>
      <c r="V1950" s="60" t="str">
        <f aca="false">IF(IsPro,IF($C1950="","",IFERROR(MATCH($C1950,Parties!$A$5:$A$304,0),"")),"")</f>
        <v/>
      </c>
      <c r="W1950" s="60" t="str">
        <f aca="false">IF(IsPro,IF($B1950="","",IFERROR(VALUE(SUBSTITUTE($B1950,InvPrefix,"")),0)),"")</f>
        <v/>
      </c>
      <c r="X1950" s="61" t="str">
        <f aca="false">IF(IsPro,IF($D1950="","",IF(OR($H1950="",$H1950="Credit"),0,Q1950)),"")</f>
        <v/>
      </c>
    </row>
    <row r="1951" customFormat="false" ht="15" hidden="false" customHeight="false" outlineLevel="0" collapsed="false">
      <c r="A1951" s="55"/>
      <c r="B1951" s="56"/>
      <c r="C1951" s="56"/>
      <c r="D1951" s="56"/>
      <c r="E1951" s="57"/>
      <c r="F1951" s="58"/>
      <c r="G1951" s="59"/>
      <c r="H1951" s="56"/>
      <c r="I1951" s="56"/>
      <c r="J1951" s="60" t="str">
        <f aca="false">IF(IsPro,IF($D1951="","",IFERROR(INDEX(Items!$D$5:$D$504,U1951),"")),"")</f>
        <v/>
      </c>
      <c r="K1951" s="61" t="str">
        <f aca="false">IF(IsPro,IF($D1951="","",IF($F1951="",IFERROR(INDEX(Items!$H$5:$H$504,U1951),0),$F1951)),"")</f>
        <v/>
      </c>
      <c r="L1951" s="61" t="str">
        <f aca="false">IF(IsPro,IF($D1951="","",ROUND(N($E1951)*K1951*(1-N($G1951)),2)),"")</f>
        <v/>
      </c>
      <c r="M1951" s="62" t="str">
        <f aca="false">IF(IsPro,IF($D1951="","",IFERROR(INDEX(Items!$F$5:$F$504,U1951),0)),"")</f>
        <v/>
      </c>
      <c r="N1951" s="61" t="str">
        <f aca="false">IF(IsPro,IF($D1951="","",IF(AND(V1951&lt;&gt;"",INDEX(Parties!$E$5:$E$304,V1951)&lt;&gt;"",INDEX(Parties!$E$5:$E$304,V1951)&lt;&gt;HomeState),0,ROUND(L1951*M1951/2,2))),"")</f>
        <v/>
      </c>
      <c r="O1951" s="61" t="str">
        <f aca="false">IF(IsPro,IF($D1951="","",N1951),"")</f>
        <v/>
      </c>
      <c r="P1951" s="61" t="str">
        <f aca="false">IF(IsPro,IF($D1951="","",IF(AND(V1951&lt;&gt;"",INDEX(Parties!$E$5:$E$304,V1951)&lt;&gt;"",INDEX(Parties!$E$5:$E$304,V1951)&lt;&gt;HomeState),ROUND(L1951*M1951,2),0)),"")</f>
        <v/>
      </c>
      <c r="Q1951" s="61" t="str">
        <f aca="false">IF(IsPro,IF($D1951="","",L1951+N1951+O1951+P1951),"")</f>
        <v/>
      </c>
      <c r="R1951" s="61" t="str">
        <f aca="false">IF(IsPro,IF($D1951="","",ROUND(N($E1951)*IFERROR(INDEX(Items!$P$5:$P$504,U1951),0),2)),"")</f>
        <v/>
      </c>
      <c r="S1951" s="61" t="str">
        <f aca="false">IF(IsPro,IF($D1951="","",L1951-R1951),"")</f>
        <v/>
      </c>
      <c r="T1951" s="60" t="str">
        <f aca="false">IF(IsPro,IF($D1951="","",IF(U1951="","UNKNOWN ITEM",IF(INDEX(Items!$O$5:$O$504,U1951)&lt;0,"NEG STOCK",IF(K1951&lt;INDEX(Items!$P$5:$P$504,U1951),"BELOW COST","OK")))),IF($D1951="","","PRO PLAN"))</f>
        <v/>
      </c>
      <c r="U1951" s="60" t="str">
        <f aca="false">IF(IsPro,IF($D1951="","",IFERROR(MATCH($D1951,Items!$A$5:$A$504,0),"")),"")</f>
        <v/>
      </c>
      <c r="V1951" s="60" t="str">
        <f aca="false">IF(IsPro,IF($C1951="","",IFERROR(MATCH($C1951,Parties!$A$5:$A$304,0),"")),"")</f>
        <v/>
      </c>
      <c r="W1951" s="60" t="str">
        <f aca="false">IF(IsPro,IF($B1951="","",IFERROR(VALUE(SUBSTITUTE($B1951,InvPrefix,"")),0)),"")</f>
        <v/>
      </c>
      <c r="X1951" s="61" t="str">
        <f aca="false">IF(IsPro,IF($D1951="","",IF(OR($H1951="",$H1951="Credit"),0,Q1951)),"")</f>
        <v/>
      </c>
    </row>
    <row r="1952" customFormat="false" ht="15" hidden="false" customHeight="false" outlineLevel="0" collapsed="false">
      <c r="A1952" s="55"/>
      <c r="B1952" s="56"/>
      <c r="C1952" s="56"/>
      <c r="D1952" s="56"/>
      <c r="E1952" s="57"/>
      <c r="F1952" s="58"/>
      <c r="G1952" s="59"/>
      <c r="H1952" s="56"/>
      <c r="I1952" s="56"/>
      <c r="J1952" s="60" t="str">
        <f aca="false">IF(IsPro,IF($D1952="","",IFERROR(INDEX(Items!$D$5:$D$504,U1952),"")),"")</f>
        <v/>
      </c>
      <c r="K1952" s="61" t="str">
        <f aca="false">IF(IsPro,IF($D1952="","",IF($F1952="",IFERROR(INDEX(Items!$H$5:$H$504,U1952),0),$F1952)),"")</f>
        <v/>
      </c>
      <c r="L1952" s="61" t="str">
        <f aca="false">IF(IsPro,IF($D1952="","",ROUND(N($E1952)*K1952*(1-N($G1952)),2)),"")</f>
        <v/>
      </c>
      <c r="M1952" s="62" t="str">
        <f aca="false">IF(IsPro,IF($D1952="","",IFERROR(INDEX(Items!$F$5:$F$504,U1952),0)),"")</f>
        <v/>
      </c>
      <c r="N1952" s="61" t="str">
        <f aca="false">IF(IsPro,IF($D1952="","",IF(AND(V1952&lt;&gt;"",INDEX(Parties!$E$5:$E$304,V1952)&lt;&gt;"",INDEX(Parties!$E$5:$E$304,V1952)&lt;&gt;HomeState),0,ROUND(L1952*M1952/2,2))),"")</f>
        <v/>
      </c>
      <c r="O1952" s="61" t="str">
        <f aca="false">IF(IsPro,IF($D1952="","",N1952),"")</f>
        <v/>
      </c>
      <c r="P1952" s="61" t="str">
        <f aca="false">IF(IsPro,IF($D1952="","",IF(AND(V1952&lt;&gt;"",INDEX(Parties!$E$5:$E$304,V1952)&lt;&gt;"",INDEX(Parties!$E$5:$E$304,V1952)&lt;&gt;HomeState),ROUND(L1952*M1952,2),0)),"")</f>
        <v/>
      </c>
      <c r="Q1952" s="61" t="str">
        <f aca="false">IF(IsPro,IF($D1952="","",L1952+N1952+O1952+P1952),"")</f>
        <v/>
      </c>
      <c r="R1952" s="61" t="str">
        <f aca="false">IF(IsPro,IF($D1952="","",ROUND(N($E1952)*IFERROR(INDEX(Items!$P$5:$P$504,U1952),0),2)),"")</f>
        <v/>
      </c>
      <c r="S1952" s="61" t="str">
        <f aca="false">IF(IsPro,IF($D1952="","",L1952-R1952),"")</f>
        <v/>
      </c>
      <c r="T1952" s="60" t="str">
        <f aca="false">IF(IsPro,IF($D1952="","",IF(U1952="","UNKNOWN ITEM",IF(INDEX(Items!$O$5:$O$504,U1952)&lt;0,"NEG STOCK",IF(K1952&lt;INDEX(Items!$P$5:$P$504,U1952),"BELOW COST","OK")))),IF($D1952="","","PRO PLAN"))</f>
        <v/>
      </c>
      <c r="U1952" s="60" t="str">
        <f aca="false">IF(IsPro,IF($D1952="","",IFERROR(MATCH($D1952,Items!$A$5:$A$504,0),"")),"")</f>
        <v/>
      </c>
      <c r="V1952" s="60" t="str">
        <f aca="false">IF(IsPro,IF($C1952="","",IFERROR(MATCH($C1952,Parties!$A$5:$A$304,0),"")),"")</f>
        <v/>
      </c>
      <c r="W1952" s="60" t="str">
        <f aca="false">IF(IsPro,IF($B1952="","",IFERROR(VALUE(SUBSTITUTE($B1952,InvPrefix,"")),0)),"")</f>
        <v/>
      </c>
      <c r="X1952" s="61" t="str">
        <f aca="false">IF(IsPro,IF($D1952="","",IF(OR($H1952="",$H1952="Credit"),0,Q1952)),"")</f>
        <v/>
      </c>
    </row>
    <row r="1953" customFormat="false" ht="15" hidden="false" customHeight="false" outlineLevel="0" collapsed="false">
      <c r="A1953" s="55"/>
      <c r="B1953" s="56"/>
      <c r="C1953" s="56"/>
      <c r="D1953" s="56"/>
      <c r="E1953" s="57"/>
      <c r="F1953" s="58"/>
      <c r="G1953" s="59"/>
      <c r="H1953" s="56"/>
      <c r="I1953" s="56"/>
      <c r="J1953" s="60" t="str">
        <f aca="false">IF(IsPro,IF($D1953="","",IFERROR(INDEX(Items!$D$5:$D$504,U1953),"")),"")</f>
        <v/>
      </c>
      <c r="K1953" s="61" t="str">
        <f aca="false">IF(IsPro,IF($D1953="","",IF($F1953="",IFERROR(INDEX(Items!$H$5:$H$504,U1953),0),$F1953)),"")</f>
        <v/>
      </c>
      <c r="L1953" s="61" t="str">
        <f aca="false">IF(IsPro,IF($D1953="","",ROUND(N($E1953)*K1953*(1-N($G1953)),2)),"")</f>
        <v/>
      </c>
      <c r="M1953" s="62" t="str">
        <f aca="false">IF(IsPro,IF($D1953="","",IFERROR(INDEX(Items!$F$5:$F$504,U1953),0)),"")</f>
        <v/>
      </c>
      <c r="N1953" s="61" t="str">
        <f aca="false">IF(IsPro,IF($D1953="","",IF(AND(V1953&lt;&gt;"",INDEX(Parties!$E$5:$E$304,V1953)&lt;&gt;"",INDEX(Parties!$E$5:$E$304,V1953)&lt;&gt;HomeState),0,ROUND(L1953*M1953/2,2))),"")</f>
        <v/>
      </c>
      <c r="O1953" s="61" t="str">
        <f aca="false">IF(IsPro,IF($D1953="","",N1953),"")</f>
        <v/>
      </c>
      <c r="P1953" s="61" t="str">
        <f aca="false">IF(IsPro,IF($D1953="","",IF(AND(V1953&lt;&gt;"",INDEX(Parties!$E$5:$E$304,V1953)&lt;&gt;"",INDEX(Parties!$E$5:$E$304,V1953)&lt;&gt;HomeState),ROUND(L1953*M1953,2),0)),"")</f>
        <v/>
      </c>
      <c r="Q1953" s="61" t="str">
        <f aca="false">IF(IsPro,IF($D1953="","",L1953+N1953+O1953+P1953),"")</f>
        <v/>
      </c>
      <c r="R1953" s="61" t="str">
        <f aca="false">IF(IsPro,IF($D1953="","",ROUND(N($E1953)*IFERROR(INDEX(Items!$P$5:$P$504,U1953),0),2)),"")</f>
        <v/>
      </c>
      <c r="S1953" s="61" t="str">
        <f aca="false">IF(IsPro,IF($D1953="","",L1953-R1953),"")</f>
        <v/>
      </c>
      <c r="T1953" s="60" t="str">
        <f aca="false">IF(IsPro,IF($D1953="","",IF(U1953="","UNKNOWN ITEM",IF(INDEX(Items!$O$5:$O$504,U1953)&lt;0,"NEG STOCK",IF(K1953&lt;INDEX(Items!$P$5:$P$504,U1953),"BELOW COST","OK")))),IF($D1953="","","PRO PLAN"))</f>
        <v/>
      </c>
      <c r="U1953" s="60" t="str">
        <f aca="false">IF(IsPro,IF($D1953="","",IFERROR(MATCH($D1953,Items!$A$5:$A$504,0),"")),"")</f>
        <v/>
      </c>
      <c r="V1953" s="60" t="str">
        <f aca="false">IF(IsPro,IF($C1953="","",IFERROR(MATCH($C1953,Parties!$A$5:$A$304,0),"")),"")</f>
        <v/>
      </c>
      <c r="W1953" s="60" t="str">
        <f aca="false">IF(IsPro,IF($B1953="","",IFERROR(VALUE(SUBSTITUTE($B1953,InvPrefix,"")),0)),"")</f>
        <v/>
      </c>
      <c r="X1953" s="61" t="str">
        <f aca="false">IF(IsPro,IF($D1953="","",IF(OR($H1953="",$H1953="Credit"),0,Q1953)),"")</f>
        <v/>
      </c>
    </row>
    <row r="1954" customFormat="false" ht="15" hidden="false" customHeight="false" outlineLevel="0" collapsed="false">
      <c r="A1954" s="55"/>
      <c r="B1954" s="56"/>
      <c r="C1954" s="56"/>
      <c r="D1954" s="56"/>
      <c r="E1954" s="57"/>
      <c r="F1954" s="58"/>
      <c r="G1954" s="59"/>
      <c r="H1954" s="56"/>
      <c r="I1954" s="56"/>
      <c r="J1954" s="60" t="str">
        <f aca="false">IF(IsPro,IF($D1954="","",IFERROR(INDEX(Items!$D$5:$D$504,U1954),"")),"")</f>
        <v/>
      </c>
      <c r="K1954" s="61" t="str">
        <f aca="false">IF(IsPro,IF($D1954="","",IF($F1954="",IFERROR(INDEX(Items!$H$5:$H$504,U1954),0),$F1954)),"")</f>
        <v/>
      </c>
      <c r="L1954" s="61" t="str">
        <f aca="false">IF(IsPro,IF($D1954="","",ROUND(N($E1954)*K1954*(1-N($G1954)),2)),"")</f>
        <v/>
      </c>
      <c r="M1954" s="62" t="str">
        <f aca="false">IF(IsPro,IF($D1954="","",IFERROR(INDEX(Items!$F$5:$F$504,U1954),0)),"")</f>
        <v/>
      </c>
      <c r="N1954" s="61" t="str">
        <f aca="false">IF(IsPro,IF($D1954="","",IF(AND(V1954&lt;&gt;"",INDEX(Parties!$E$5:$E$304,V1954)&lt;&gt;"",INDEX(Parties!$E$5:$E$304,V1954)&lt;&gt;HomeState),0,ROUND(L1954*M1954/2,2))),"")</f>
        <v/>
      </c>
      <c r="O1954" s="61" t="str">
        <f aca="false">IF(IsPro,IF($D1954="","",N1954),"")</f>
        <v/>
      </c>
      <c r="P1954" s="61" t="str">
        <f aca="false">IF(IsPro,IF($D1954="","",IF(AND(V1954&lt;&gt;"",INDEX(Parties!$E$5:$E$304,V1954)&lt;&gt;"",INDEX(Parties!$E$5:$E$304,V1954)&lt;&gt;HomeState),ROUND(L1954*M1954,2),0)),"")</f>
        <v/>
      </c>
      <c r="Q1954" s="61" t="str">
        <f aca="false">IF(IsPro,IF($D1954="","",L1954+N1954+O1954+P1954),"")</f>
        <v/>
      </c>
      <c r="R1954" s="61" t="str">
        <f aca="false">IF(IsPro,IF($D1954="","",ROUND(N($E1954)*IFERROR(INDEX(Items!$P$5:$P$504,U1954),0),2)),"")</f>
        <v/>
      </c>
      <c r="S1954" s="61" t="str">
        <f aca="false">IF(IsPro,IF($D1954="","",L1954-R1954),"")</f>
        <v/>
      </c>
      <c r="T1954" s="60" t="str">
        <f aca="false">IF(IsPro,IF($D1954="","",IF(U1954="","UNKNOWN ITEM",IF(INDEX(Items!$O$5:$O$504,U1954)&lt;0,"NEG STOCK",IF(K1954&lt;INDEX(Items!$P$5:$P$504,U1954),"BELOW COST","OK")))),IF($D1954="","","PRO PLAN"))</f>
        <v/>
      </c>
      <c r="U1954" s="60" t="str">
        <f aca="false">IF(IsPro,IF($D1954="","",IFERROR(MATCH($D1954,Items!$A$5:$A$504,0),"")),"")</f>
        <v/>
      </c>
      <c r="V1954" s="60" t="str">
        <f aca="false">IF(IsPro,IF($C1954="","",IFERROR(MATCH($C1954,Parties!$A$5:$A$304,0),"")),"")</f>
        <v/>
      </c>
      <c r="W1954" s="60" t="str">
        <f aca="false">IF(IsPro,IF($B1954="","",IFERROR(VALUE(SUBSTITUTE($B1954,InvPrefix,"")),0)),"")</f>
        <v/>
      </c>
      <c r="X1954" s="61" t="str">
        <f aca="false">IF(IsPro,IF($D1954="","",IF(OR($H1954="",$H1954="Credit"),0,Q1954)),"")</f>
        <v/>
      </c>
    </row>
    <row r="1955" customFormat="false" ht="15" hidden="false" customHeight="false" outlineLevel="0" collapsed="false">
      <c r="A1955" s="55"/>
      <c r="B1955" s="56"/>
      <c r="C1955" s="56"/>
      <c r="D1955" s="56"/>
      <c r="E1955" s="57"/>
      <c r="F1955" s="58"/>
      <c r="G1955" s="59"/>
      <c r="H1955" s="56"/>
      <c r="I1955" s="56"/>
      <c r="J1955" s="60" t="str">
        <f aca="false">IF(IsPro,IF($D1955="","",IFERROR(INDEX(Items!$D$5:$D$504,U1955),"")),"")</f>
        <v/>
      </c>
      <c r="K1955" s="61" t="str">
        <f aca="false">IF(IsPro,IF($D1955="","",IF($F1955="",IFERROR(INDEX(Items!$H$5:$H$504,U1955),0),$F1955)),"")</f>
        <v/>
      </c>
      <c r="L1955" s="61" t="str">
        <f aca="false">IF(IsPro,IF($D1955="","",ROUND(N($E1955)*K1955*(1-N($G1955)),2)),"")</f>
        <v/>
      </c>
      <c r="M1955" s="62" t="str">
        <f aca="false">IF(IsPro,IF($D1955="","",IFERROR(INDEX(Items!$F$5:$F$504,U1955),0)),"")</f>
        <v/>
      </c>
      <c r="N1955" s="61" t="str">
        <f aca="false">IF(IsPro,IF($D1955="","",IF(AND(V1955&lt;&gt;"",INDEX(Parties!$E$5:$E$304,V1955)&lt;&gt;"",INDEX(Parties!$E$5:$E$304,V1955)&lt;&gt;HomeState),0,ROUND(L1955*M1955/2,2))),"")</f>
        <v/>
      </c>
      <c r="O1955" s="61" t="str">
        <f aca="false">IF(IsPro,IF($D1955="","",N1955),"")</f>
        <v/>
      </c>
      <c r="P1955" s="61" t="str">
        <f aca="false">IF(IsPro,IF($D1955="","",IF(AND(V1955&lt;&gt;"",INDEX(Parties!$E$5:$E$304,V1955)&lt;&gt;"",INDEX(Parties!$E$5:$E$304,V1955)&lt;&gt;HomeState),ROUND(L1955*M1955,2),0)),"")</f>
        <v/>
      </c>
      <c r="Q1955" s="61" t="str">
        <f aca="false">IF(IsPro,IF($D1955="","",L1955+N1955+O1955+P1955),"")</f>
        <v/>
      </c>
      <c r="R1955" s="61" t="str">
        <f aca="false">IF(IsPro,IF($D1955="","",ROUND(N($E1955)*IFERROR(INDEX(Items!$P$5:$P$504,U1955),0),2)),"")</f>
        <v/>
      </c>
      <c r="S1955" s="61" t="str">
        <f aca="false">IF(IsPro,IF($D1955="","",L1955-R1955),"")</f>
        <v/>
      </c>
      <c r="T1955" s="60" t="str">
        <f aca="false">IF(IsPro,IF($D1955="","",IF(U1955="","UNKNOWN ITEM",IF(INDEX(Items!$O$5:$O$504,U1955)&lt;0,"NEG STOCK",IF(K1955&lt;INDEX(Items!$P$5:$P$504,U1955),"BELOW COST","OK")))),IF($D1955="","","PRO PLAN"))</f>
        <v/>
      </c>
      <c r="U1955" s="60" t="str">
        <f aca="false">IF(IsPro,IF($D1955="","",IFERROR(MATCH($D1955,Items!$A$5:$A$504,0),"")),"")</f>
        <v/>
      </c>
      <c r="V1955" s="60" t="str">
        <f aca="false">IF(IsPro,IF($C1955="","",IFERROR(MATCH($C1955,Parties!$A$5:$A$304,0),"")),"")</f>
        <v/>
      </c>
      <c r="W1955" s="60" t="str">
        <f aca="false">IF(IsPro,IF($B1955="","",IFERROR(VALUE(SUBSTITUTE($B1955,InvPrefix,"")),0)),"")</f>
        <v/>
      </c>
      <c r="X1955" s="61" t="str">
        <f aca="false">IF(IsPro,IF($D1955="","",IF(OR($H1955="",$H1955="Credit"),0,Q1955)),"")</f>
        <v/>
      </c>
    </row>
    <row r="1956" customFormat="false" ht="15" hidden="false" customHeight="false" outlineLevel="0" collapsed="false">
      <c r="A1956" s="55"/>
      <c r="B1956" s="56"/>
      <c r="C1956" s="56"/>
      <c r="D1956" s="56"/>
      <c r="E1956" s="57"/>
      <c r="F1956" s="58"/>
      <c r="G1956" s="59"/>
      <c r="H1956" s="56"/>
      <c r="I1956" s="56"/>
      <c r="J1956" s="60" t="str">
        <f aca="false">IF(IsPro,IF($D1956="","",IFERROR(INDEX(Items!$D$5:$D$504,U1956),"")),"")</f>
        <v/>
      </c>
      <c r="K1956" s="61" t="str">
        <f aca="false">IF(IsPro,IF($D1956="","",IF($F1956="",IFERROR(INDEX(Items!$H$5:$H$504,U1956),0),$F1956)),"")</f>
        <v/>
      </c>
      <c r="L1956" s="61" t="str">
        <f aca="false">IF(IsPro,IF($D1956="","",ROUND(N($E1956)*K1956*(1-N($G1956)),2)),"")</f>
        <v/>
      </c>
      <c r="M1956" s="62" t="str">
        <f aca="false">IF(IsPro,IF($D1956="","",IFERROR(INDEX(Items!$F$5:$F$504,U1956),0)),"")</f>
        <v/>
      </c>
      <c r="N1956" s="61" t="str">
        <f aca="false">IF(IsPro,IF($D1956="","",IF(AND(V1956&lt;&gt;"",INDEX(Parties!$E$5:$E$304,V1956)&lt;&gt;"",INDEX(Parties!$E$5:$E$304,V1956)&lt;&gt;HomeState),0,ROUND(L1956*M1956/2,2))),"")</f>
        <v/>
      </c>
      <c r="O1956" s="61" t="str">
        <f aca="false">IF(IsPro,IF($D1956="","",N1956),"")</f>
        <v/>
      </c>
      <c r="P1956" s="61" t="str">
        <f aca="false">IF(IsPro,IF($D1956="","",IF(AND(V1956&lt;&gt;"",INDEX(Parties!$E$5:$E$304,V1956)&lt;&gt;"",INDEX(Parties!$E$5:$E$304,V1956)&lt;&gt;HomeState),ROUND(L1956*M1956,2),0)),"")</f>
        <v/>
      </c>
      <c r="Q1956" s="61" t="str">
        <f aca="false">IF(IsPro,IF($D1956="","",L1956+N1956+O1956+P1956),"")</f>
        <v/>
      </c>
      <c r="R1956" s="61" t="str">
        <f aca="false">IF(IsPro,IF($D1956="","",ROUND(N($E1956)*IFERROR(INDEX(Items!$P$5:$P$504,U1956),0),2)),"")</f>
        <v/>
      </c>
      <c r="S1956" s="61" t="str">
        <f aca="false">IF(IsPro,IF($D1956="","",L1956-R1956),"")</f>
        <v/>
      </c>
      <c r="T1956" s="60" t="str">
        <f aca="false">IF(IsPro,IF($D1956="","",IF(U1956="","UNKNOWN ITEM",IF(INDEX(Items!$O$5:$O$504,U1956)&lt;0,"NEG STOCK",IF(K1956&lt;INDEX(Items!$P$5:$P$504,U1956),"BELOW COST","OK")))),IF($D1956="","","PRO PLAN"))</f>
        <v/>
      </c>
      <c r="U1956" s="60" t="str">
        <f aca="false">IF(IsPro,IF($D1956="","",IFERROR(MATCH($D1956,Items!$A$5:$A$504,0),"")),"")</f>
        <v/>
      </c>
      <c r="V1956" s="60" t="str">
        <f aca="false">IF(IsPro,IF($C1956="","",IFERROR(MATCH($C1956,Parties!$A$5:$A$304,0),"")),"")</f>
        <v/>
      </c>
      <c r="W1956" s="60" t="str">
        <f aca="false">IF(IsPro,IF($B1956="","",IFERROR(VALUE(SUBSTITUTE($B1956,InvPrefix,"")),0)),"")</f>
        <v/>
      </c>
      <c r="X1956" s="61" t="str">
        <f aca="false">IF(IsPro,IF($D1956="","",IF(OR($H1956="",$H1956="Credit"),0,Q1956)),"")</f>
        <v/>
      </c>
    </row>
    <row r="1957" customFormat="false" ht="15" hidden="false" customHeight="false" outlineLevel="0" collapsed="false">
      <c r="A1957" s="55"/>
      <c r="B1957" s="56"/>
      <c r="C1957" s="56"/>
      <c r="D1957" s="56"/>
      <c r="E1957" s="57"/>
      <c r="F1957" s="58"/>
      <c r="G1957" s="59"/>
      <c r="H1957" s="56"/>
      <c r="I1957" s="56"/>
      <c r="J1957" s="60" t="str">
        <f aca="false">IF(IsPro,IF($D1957="","",IFERROR(INDEX(Items!$D$5:$D$504,U1957),"")),"")</f>
        <v/>
      </c>
      <c r="K1957" s="61" t="str">
        <f aca="false">IF(IsPro,IF($D1957="","",IF($F1957="",IFERROR(INDEX(Items!$H$5:$H$504,U1957),0),$F1957)),"")</f>
        <v/>
      </c>
      <c r="L1957" s="61" t="str">
        <f aca="false">IF(IsPro,IF($D1957="","",ROUND(N($E1957)*K1957*(1-N($G1957)),2)),"")</f>
        <v/>
      </c>
      <c r="M1957" s="62" t="str">
        <f aca="false">IF(IsPro,IF($D1957="","",IFERROR(INDEX(Items!$F$5:$F$504,U1957),0)),"")</f>
        <v/>
      </c>
      <c r="N1957" s="61" t="str">
        <f aca="false">IF(IsPro,IF($D1957="","",IF(AND(V1957&lt;&gt;"",INDEX(Parties!$E$5:$E$304,V1957)&lt;&gt;"",INDEX(Parties!$E$5:$E$304,V1957)&lt;&gt;HomeState),0,ROUND(L1957*M1957/2,2))),"")</f>
        <v/>
      </c>
      <c r="O1957" s="61" t="str">
        <f aca="false">IF(IsPro,IF($D1957="","",N1957),"")</f>
        <v/>
      </c>
      <c r="P1957" s="61" t="str">
        <f aca="false">IF(IsPro,IF($D1957="","",IF(AND(V1957&lt;&gt;"",INDEX(Parties!$E$5:$E$304,V1957)&lt;&gt;"",INDEX(Parties!$E$5:$E$304,V1957)&lt;&gt;HomeState),ROUND(L1957*M1957,2),0)),"")</f>
        <v/>
      </c>
      <c r="Q1957" s="61" t="str">
        <f aca="false">IF(IsPro,IF($D1957="","",L1957+N1957+O1957+P1957),"")</f>
        <v/>
      </c>
      <c r="R1957" s="61" t="str">
        <f aca="false">IF(IsPro,IF($D1957="","",ROUND(N($E1957)*IFERROR(INDEX(Items!$P$5:$P$504,U1957),0),2)),"")</f>
        <v/>
      </c>
      <c r="S1957" s="61" t="str">
        <f aca="false">IF(IsPro,IF($D1957="","",L1957-R1957),"")</f>
        <v/>
      </c>
      <c r="T1957" s="60" t="str">
        <f aca="false">IF(IsPro,IF($D1957="","",IF(U1957="","UNKNOWN ITEM",IF(INDEX(Items!$O$5:$O$504,U1957)&lt;0,"NEG STOCK",IF(K1957&lt;INDEX(Items!$P$5:$P$504,U1957),"BELOW COST","OK")))),IF($D1957="","","PRO PLAN"))</f>
        <v/>
      </c>
      <c r="U1957" s="60" t="str">
        <f aca="false">IF(IsPro,IF($D1957="","",IFERROR(MATCH($D1957,Items!$A$5:$A$504,0),"")),"")</f>
        <v/>
      </c>
      <c r="V1957" s="60" t="str">
        <f aca="false">IF(IsPro,IF($C1957="","",IFERROR(MATCH($C1957,Parties!$A$5:$A$304,0),"")),"")</f>
        <v/>
      </c>
      <c r="W1957" s="60" t="str">
        <f aca="false">IF(IsPro,IF($B1957="","",IFERROR(VALUE(SUBSTITUTE($B1957,InvPrefix,"")),0)),"")</f>
        <v/>
      </c>
      <c r="X1957" s="61" t="str">
        <f aca="false">IF(IsPro,IF($D1957="","",IF(OR($H1957="",$H1957="Credit"),0,Q1957)),"")</f>
        <v/>
      </c>
    </row>
    <row r="1958" customFormat="false" ht="15" hidden="false" customHeight="false" outlineLevel="0" collapsed="false">
      <c r="A1958" s="55"/>
      <c r="B1958" s="56"/>
      <c r="C1958" s="56"/>
      <c r="D1958" s="56"/>
      <c r="E1958" s="57"/>
      <c r="F1958" s="58"/>
      <c r="G1958" s="59"/>
      <c r="H1958" s="56"/>
      <c r="I1958" s="56"/>
      <c r="J1958" s="60" t="str">
        <f aca="false">IF(IsPro,IF($D1958="","",IFERROR(INDEX(Items!$D$5:$D$504,U1958),"")),"")</f>
        <v/>
      </c>
      <c r="K1958" s="61" t="str">
        <f aca="false">IF(IsPro,IF($D1958="","",IF($F1958="",IFERROR(INDEX(Items!$H$5:$H$504,U1958),0),$F1958)),"")</f>
        <v/>
      </c>
      <c r="L1958" s="61" t="str">
        <f aca="false">IF(IsPro,IF($D1958="","",ROUND(N($E1958)*K1958*(1-N($G1958)),2)),"")</f>
        <v/>
      </c>
      <c r="M1958" s="62" t="str">
        <f aca="false">IF(IsPro,IF($D1958="","",IFERROR(INDEX(Items!$F$5:$F$504,U1958),0)),"")</f>
        <v/>
      </c>
      <c r="N1958" s="61" t="str">
        <f aca="false">IF(IsPro,IF($D1958="","",IF(AND(V1958&lt;&gt;"",INDEX(Parties!$E$5:$E$304,V1958)&lt;&gt;"",INDEX(Parties!$E$5:$E$304,V1958)&lt;&gt;HomeState),0,ROUND(L1958*M1958/2,2))),"")</f>
        <v/>
      </c>
      <c r="O1958" s="61" t="str">
        <f aca="false">IF(IsPro,IF($D1958="","",N1958),"")</f>
        <v/>
      </c>
      <c r="P1958" s="61" t="str">
        <f aca="false">IF(IsPro,IF($D1958="","",IF(AND(V1958&lt;&gt;"",INDEX(Parties!$E$5:$E$304,V1958)&lt;&gt;"",INDEX(Parties!$E$5:$E$304,V1958)&lt;&gt;HomeState),ROUND(L1958*M1958,2),0)),"")</f>
        <v/>
      </c>
      <c r="Q1958" s="61" t="str">
        <f aca="false">IF(IsPro,IF($D1958="","",L1958+N1958+O1958+P1958),"")</f>
        <v/>
      </c>
      <c r="R1958" s="61" t="str">
        <f aca="false">IF(IsPro,IF($D1958="","",ROUND(N($E1958)*IFERROR(INDEX(Items!$P$5:$P$504,U1958),0),2)),"")</f>
        <v/>
      </c>
      <c r="S1958" s="61" t="str">
        <f aca="false">IF(IsPro,IF($D1958="","",L1958-R1958),"")</f>
        <v/>
      </c>
      <c r="T1958" s="60" t="str">
        <f aca="false">IF(IsPro,IF($D1958="","",IF(U1958="","UNKNOWN ITEM",IF(INDEX(Items!$O$5:$O$504,U1958)&lt;0,"NEG STOCK",IF(K1958&lt;INDEX(Items!$P$5:$P$504,U1958),"BELOW COST","OK")))),IF($D1958="","","PRO PLAN"))</f>
        <v/>
      </c>
      <c r="U1958" s="60" t="str">
        <f aca="false">IF(IsPro,IF($D1958="","",IFERROR(MATCH($D1958,Items!$A$5:$A$504,0),"")),"")</f>
        <v/>
      </c>
      <c r="V1958" s="60" t="str">
        <f aca="false">IF(IsPro,IF($C1958="","",IFERROR(MATCH($C1958,Parties!$A$5:$A$304,0),"")),"")</f>
        <v/>
      </c>
      <c r="W1958" s="60" t="str">
        <f aca="false">IF(IsPro,IF($B1958="","",IFERROR(VALUE(SUBSTITUTE($B1958,InvPrefix,"")),0)),"")</f>
        <v/>
      </c>
      <c r="X1958" s="61" t="str">
        <f aca="false">IF(IsPro,IF($D1958="","",IF(OR($H1958="",$H1958="Credit"),0,Q1958)),"")</f>
        <v/>
      </c>
    </row>
    <row r="1959" customFormat="false" ht="15" hidden="false" customHeight="false" outlineLevel="0" collapsed="false">
      <c r="A1959" s="55"/>
      <c r="B1959" s="56"/>
      <c r="C1959" s="56"/>
      <c r="D1959" s="56"/>
      <c r="E1959" s="57"/>
      <c r="F1959" s="58"/>
      <c r="G1959" s="59"/>
      <c r="H1959" s="56"/>
      <c r="I1959" s="56"/>
      <c r="J1959" s="60" t="str">
        <f aca="false">IF(IsPro,IF($D1959="","",IFERROR(INDEX(Items!$D$5:$D$504,U1959),"")),"")</f>
        <v/>
      </c>
      <c r="K1959" s="61" t="str">
        <f aca="false">IF(IsPro,IF($D1959="","",IF($F1959="",IFERROR(INDEX(Items!$H$5:$H$504,U1959),0),$F1959)),"")</f>
        <v/>
      </c>
      <c r="L1959" s="61" t="str">
        <f aca="false">IF(IsPro,IF($D1959="","",ROUND(N($E1959)*K1959*(1-N($G1959)),2)),"")</f>
        <v/>
      </c>
      <c r="M1959" s="62" t="str">
        <f aca="false">IF(IsPro,IF($D1959="","",IFERROR(INDEX(Items!$F$5:$F$504,U1959),0)),"")</f>
        <v/>
      </c>
      <c r="N1959" s="61" t="str">
        <f aca="false">IF(IsPro,IF($D1959="","",IF(AND(V1959&lt;&gt;"",INDEX(Parties!$E$5:$E$304,V1959)&lt;&gt;"",INDEX(Parties!$E$5:$E$304,V1959)&lt;&gt;HomeState),0,ROUND(L1959*M1959/2,2))),"")</f>
        <v/>
      </c>
      <c r="O1959" s="61" t="str">
        <f aca="false">IF(IsPro,IF($D1959="","",N1959),"")</f>
        <v/>
      </c>
      <c r="P1959" s="61" t="str">
        <f aca="false">IF(IsPro,IF($D1959="","",IF(AND(V1959&lt;&gt;"",INDEX(Parties!$E$5:$E$304,V1959)&lt;&gt;"",INDEX(Parties!$E$5:$E$304,V1959)&lt;&gt;HomeState),ROUND(L1959*M1959,2),0)),"")</f>
        <v/>
      </c>
      <c r="Q1959" s="61" t="str">
        <f aca="false">IF(IsPro,IF($D1959="","",L1959+N1959+O1959+P1959),"")</f>
        <v/>
      </c>
      <c r="R1959" s="61" t="str">
        <f aca="false">IF(IsPro,IF($D1959="","",ROUND(N($E1959)*IFERROR(INDEX(Items!$P$5:$P$504,U1959),0),2)),"")</f>
        <v/>
      </c>
      <c r="S1959" s="61" t="str">
        <f aca="false">IF(IsPro,IF($D1959="","",L1959-R1959),"")</f>
        <v/>
      </c>
      <c r="T1959" s="60" t="str">
        <f aca="false">IF(IsPro,IF($D1959="","",IF(U1959="","UNKNOWN ITEM",IF(INDEX(Items!$O$5:$O$504,U1959)&lt;0,"NEG STOCK",IF(K1959&lt;INDEX(Items!$P$5:$P$504,U1959),"BELOW COST","OK")))),IF($D1959="","","PRO PLAN"))</f>
        <v/>
      </c>
      <c r="U1959" s="60" t="str">
        <f aca="false">IF(IsPro,IF($D1959="","",IFERROR(MATCH($D1959,Items!$A$5:$A$504,0),"")),"")</f>
        <v/>
      </c>
      <c r="V1959" s="60" t="str">
        <f aca="false">IF(IsPro,IF($C1959="","",IFERROR(MATCH($C1959,Parties!$A$5:$A$304,0),"")),"")</f>
        <v/>
      </c>
      <c r="W1959" s="60" t="str">
        <f aca="false">IF(IsPro,IF($B1959="","",IFERROR(VALUE(SUBSTITUTE($B1959,InvPrefix,"")),0)),"")</f>
        <v/>
      </c>
      <c r="X1959" s="61" t="str">
        <f aca="false">IF(IsPro,IF($D1959="","",IF(OR($H1959="",$H1959="Credit"),0,Q1959)),"")</f>
        <v/>
      </c>
    </row>
    <row r="1960" customFormat="false" ht="15" hidden="false" customHeight="false" outlineLevel="0" collapsed="false">
      <c r="A1960" s="55"/>
      <c r="B1960" s="56"/>
      <c r="C1960" s="56"/>
      <c r="D1960" s="56"/>
      <c r="E1960" s="57"/>
      <c r="F1960" s="58"/>
      <c r="G1960" s="59"/>
      <c r="H1960" s="56"/>
      <c r="I1960" s="56"/>
      <c r="J1960" s="60" t="str">
        <f aca="false">IF(IsPro,IF($D1960="","",IFERROR(INDEX(Items!$D$5:$D$504,U1960),"")),"")</f>
        <v/>
      </c>
      <c r="K1960" s="61" t="str">
        <f aca="false">IF(IsPro,IF($D1960="","",IF($F1960="",IFERROR(INDEX(Items!$H$5:$H$504,U1960),0),$F1960)),"")</f>
        <v/>
      </c>
      <c r="L1960" s="61" t="str">
        <f aca="false">IF(IsPro,IF($D1960="","",ROUND(N($E1960)*K1960*(1-N($G1960)),2)),"")</f>
        <v/>
      </c>
      <c r="M1960" s="62" t="str">
        <f aca="false">IF(IsPro,IF($D1960="","",IFERROR(INDEX(Items!$F$5:$F$504,U1960),0)),"")</f>
        <v/>
      </c>
      <c r="N1960" s="61" t="str">
        <f aca="false">IF(IsPro,IF($D1960="","",IF(AND(V1960&lt;&gt;"",INDEX(Parties!$E$5:$E$304,V1960)&lt;&gt;"",INDEX(Parties!$E$5:$E$304,V1960)&lt;&gt;HomeState),0,ROUND(L1960*M1960/2,2))),"")</f>
        <v/>
      </c>
      <c r="O1960" s="61" t="str">
        <f aca="false">IF(IsPro,IF($D1960="","",N1960),"")</f>
        <v/>
      </c>
      <c r="P1960" s="61" t="str">
        <f aca="false">IF(IsPro,IF($D1960="","",IF(AND(V1960&lt;&gt;"",INDEX(Parties!$E$5:$E$304,V1960)&lt;&gt;"",INDEX(Parties!$E$5:$E$304,V1960)&lt;&gt;HomeState),ROUND(L1960*M1960,2),0)),"")</f>
        <v/>
      </c>
      <c r="Q1960" s="61" t="str">
        <f aca="false">IF(IsPro,IF($D1960="","",L1960+N1960+O1960+P1960),"")</f>
        <v/>
      </c>
      <c r="R1960" s="61" t="str">
        <f aca="false">IF(IsPro,IF($D1960="","",ROUND(N($E1960)*IFERROR(INDEX(Items!$P$5:$P$504,U1960),0),2)),"")</f>
        <v/>
      </c>
      <c r="S1960" s="61" t="str">
        <f aca="false">IF(IsPro,IF($D1960="","",L1960-R1960),"")</f>
        <v/>
      </c>
      <c r="T1960" s="60" t="str">
        <f aca="false">IF(IsPro,IF($D1960="","",IF(U1960="","UNKNOWN ITEM",IF(INDEX(Items!$O$5:$O$504,U1960)&lt;0,"NEG STOCK",IF(K1960&lt;INDEX(Items!$P$5:$P$504,U1960),"BELOW COST","OK")))),IF($D1960="","","PRO PLAN"))</f>
        <v/>
      </c>
      <c r="U1960" s="60" t="str">
        <f aca="false">IF(IsPro,IF($D1960="","",IFERROR(MATCH($D1960,Items!$A$5:$A$504,0),"")),"")</f>
        <v/>
      </c>
      <c r="V1960" s="60" t="str">
        <f aca="false">IF(IsPro,IF($C1960="","",IFERROR(MATCH($C1960,Parties!$A$5:$A$304,0),"")),"")</f>
        <v/>
      </c>
      <c r="W1960" s="60" t="str">
        <f aca="false">IF(IsPro,IF($B1960="","",IFERROR(VALUE(SUBSTITUTE($B1960,InvPrefix,"")),0)),"")</f>
        <v/>
      </c>
      <c r="X1960" s="61" t="str">
        <f aca="false">IF(IsPro,IF($D1960="","",IF(OR($H1960="",$H1960="Credit"),0,Q1960)),"")</f>
        <v/>
      </c>
    </row>
    <row r="1961" customFormat="false" ht="15" hidden="false" customHeight="false" outlineLevel="0" collapsed="false">
      <c r="A1961" s="55"/>
      <c r="B1961" s="56"/>
      <c r="C1961" s="56"/>
      <c r="D1961" s="56"/>
      <c r="E1961" s="57"/>
      <c r="F1961" s="58"/>
      <c r="G1961" s="59"/>
      <c r="H1961" s="56"/>
      <c r="I1961" s="56"/>
      <c r="J1961" s="60" t="str">
        <f aca="false">IF(IsPro,IF($D1961="","",IFERROR(INDEX(Items!$D$5:$D$504,U1961),"")),"")</f>
        <v/>
      </c>
      <c r="K1961" s="61" t="str">
        <f aca="false">IF(IsPro,IF($D1961="","",IF($F1961="",IFERROR(INDEX(Items!$H$5:$H$504,U1961),0),$F1961)),"")</f>
        <v/>
      </c>
      <c r="L1961" s="61" t="str">
        <f aca="false">IF(IsPro,IF($D1961="","",ROUND(N($E1961)*K1961*(1-N($G1961)),2)),"")</f>
        <v/>
      </c>
      <c r="M1961" s="62" t="str">
        <f aca="false">IF(IsPro,IF($D1961="","",IFERROR(INDEX(Items!$F$5:$F$504,U1961),0)),"")</f>
        <v/>
      </c>
      <c r="N1961" s="61" t="str">
        <f aca="false">IF(IsPro,IF($D1961="","",IF(AND(V1961&lt;&gt;"",INDEX(Parties!$E$5:$E$304,V1961)&lt;&gt;"",INDEX(Parties!$E$5:$E$304,V1961)&lt;&gt;HomeState),0,ROUND(L1961*M1961/2,2))),"")</f>
        <v/>
      </c>
      <c r="O1961" s="61" t="str">
        <f aca="false">IF(IsPro,IF($D1961="","",N1961),"")</f>
        <v/>
      </c>
      <c r="P1961" s="61" t="str">
        <f aca="false">IF(IsPro,IF($D1961="","",IF(AND(V1961&lt;&gt;"",INDEX(Parties!$E$5:$E$304,V1961)&lt;&gt;"",INDEX(Parties!$E$5:$E$304,V1961)&lt;&gt;HomeState),ROUND(L1961*M1961,2),0)),"")</f>
        <v/>
      </c>
      <c r="Q1961" s="61" t="str">
        <f aca="false">IF(IsPro,IF($D1961="","",L1961+N1961+O1961+P1961),"")</f>
        <v/>
      </c>
      <c r="R1961" s="61" t="str">
        <f aca="false">IF(IsPro,IF($D1961="","",ROUND(N($E1961)*IFERROR(INDEX(Items!$P$5:$P$504,U1961),0),2)),"")</f>
        <v/>
      </c>
      <c r="S1961" s="61" t="str">
        <f aca="false">IF(IsPro,IF($D1961="","",L1961-R1961),"")</f>
        <v/>
      </c>
      <c r="T1961" s="60" t="str">
        <f aca="false">IF(IsPro,IF($D1961="","",IF(U1961="","UNKNOWN ITEM",IF(INDEX(Items!$O$5:$O$504,U1961)&lt;0,"NEG STOCK",IF(K1961&lt;INDEX(Items!$P$5:$P$504,U1961),"BELOW COST","OK")))),IF($D1961="","","PRO PLAN"))</f>
        <v/>
      </c>
      <c r="U1961" s="60" t="str">
        <f aca="false">IF(IsPro,IF($D1961="","",IFERROR(MATCH($D1961,Items!$A$5:$A$504,0),"")),"")</f>
        <v/>
      </c>
      <c r="V1961" s="60" t="str">
        <f aca="false">IF(IsPro,IF($C1961="","",IFERROR(MATCH($C1961,Parties!$A$5:$A$304,0),"")),"")</f>
        <v/>
      </c>
      <c r="W1961" s="60" t="str">
        <f aca="false">IF(IsPro,IF($B1961="","",IFERROR(VALUE(SUBSTITUTE($B1961,InvPrefix,"")),0)),"")</f>
        <v/>
      </c>
      <c r="X1961" s="61" t="str">
        <f aca="false">IF(IsPro,IF($D1961="","",IF(OR($H1961="",$H1961="Credit"),0,Q1961)),"")</f>
        <v/>
      </c>
    </row>
    <row r="1962" customFormat="false" ht="15" hidden="false" customHeight="false" outlineLevel="0" collapsed="false">
      <c r="A1962" s="55"/>
      <c r="B1962" s="56"/>
      <c r="C1962" s="56"/>
      <c r="D1962" s="56"/>
      <c r="E1962" s="57"/>
      <c r="F1962" s="58"/>
      <c r="G1962" s="59"/>
      <c r="H1962" s="56"/>
      <c r="I1962" s="56"/>
      <c r="J1962" s="60" t="str">
        <f aca="false">IF(IsPro,IF($D1962="","",IFERROR(INDEX(Items!$D$5:$D$504,U1962),"")),"")</f>
        <v/>
      </c>
      <c r="K1962" s="61" t="str">
        <f aca="false">IF(IsPro,IF($D1962="","",IF($F1962="",IFERROR(INDEX(Items!$H$5:$H$504,U1962),0),$F1962)),"")</f>
        <v/>
      </c>
      <c r="L1962" s="61" t="str">
        <f aca="false">IF(IsPro,IF($D1962="","",ROUND(N($E1962)*K1962*(1-N($G1962)),2)),"")</f>
        <v/>
      </c>
      <c r="M1962" s="62" t="str">
        <f aca="false">IF(IsPro,IF($D1962="","",IFERROR(INDEX(Items!$F$5:$F$504,U1962),0)),"")</f>
        <v/>
      </c>
      <c r="N1962" s="61" t="str">
        <f aca="false">IF(IsPro,IF($D1962="","",IF(AND(V1962&lt;&gt;"",INDEX(Parties!$E$5:$E$304,V1962)&lt;&gt;"",INDEX(Parties!$E$5:$E$304,V1962)&lt;&gt;HomeState),0,ROUND(L1962*M1962/2,2))),"")</f>
        <v/>
      </c>
      <c r="O1962" s="61" t="str">
        <f aca="false">IF(IsPro,IF($D1962="","",N1962),"")</f>
        <v/>
      </c>
      <c r="P1962" s="61" t="str">
        <f aca="false">IF(IsPro,IF($D1962="","",IF(AND(V1962&lt;&gt;"",INDEX(Parties!$E$5:$E$304,V1962)&lt;&gt;"",INDEX(Parties!$E$5:$E$304,V1962)&lt;&gt;HomeState),ROUND(L1962*M1962,2),0)),"")</f>
        <v/>
      </c>
      <c r="Q1962" s="61" t="str">
        <f aca="false">IF(IsPro,IF($D1962="","",L1962+N1962+O1962+P1962),"")</f>
        <v/>
      </c>
      <c r="R1962" s="61" t="str">
        <f aca="false">IF(IsPro,IF($D1962="","",ROUND(N($E1962)*IFERROR(INDEX(Items!$P$5:$P$504,U1962),0),2)),"")</f>
        <v/>
      </c>
      <c r="S1962" s="61" t="str">
        <f aca="false">IF(IsPro,IF($D1962="","",L1962-R1962),"")</f>
        <v/>
      </c>
      <c r="T1962" s="60" t="str">
        <f aca="false">IF(IsPro,IF($D1962="","",IF(U1962="","UNKNOWN ITEM",IF(INDEX(Items!$O$5:$O$504,U1962)&lt;0,"NEG STOCK",IF(K1962&lt;INDEX(Items!$P$5:$P$504,U1962),"BELOW COST","OK")))),IF($D1962="","","PRO PLAN"))</f>
        <v/>
      </c>
      <c r="U1962" s="60" t="str">
        <f aca="false">IF(IsPro,IF($D1962="","",IFERROR(MATCH($D1962,Items!$A$5:$A$504,0),"")),"")</f>
        <v/>
      </c>
      <c r="V1962" s="60" t="str">
        <f aca="false">IF(IsPro,IF($C1962="","",IFERROR(MATCH($C1962,Parties!$A$5:$A$304,0),"")),"")</f>
        <v/>
      </c>
      <c r="W1962" s="60" t="str">
        <f aca="false">IF(IsPro,IF($B1962="","",IFERROR(VALUE(SUBSTITUTE($B1962,InvPrefix,"")),0)),"")</f>
        <v/>
      </c>
      <c r="X1962" s="61" t="str">
        <f aca="false">IF(IsPro,IF($D1962="","",IF(OR($H1962="",$H1962="Credit"),0,Q1962)),"")</f>
        <v/>
      </c>
    </row>
    <row r="1963" customFormat="false" ht="15" hidden="false" customHeight="false" outlineLevel="0" collapsed="false">
      <c r="A1963" s="55"/>
      <c r="B1963" s="56"/>
      <c r="C1963" s="56"/>
      <c r="D1963" s="56"/>
      <c r="E1963" s="57"/>
      <c r="F1963" s="58"/>
      <c r="G1963" s="59"/>
      <c r="H1963" s="56"/>
      <c r="I1963" s="56"/>
      <c r="J1963" s="60" t="str">
        <f aca="false">IF(IsPro,IF($D1963="","",IFERROR(INDEX(Items!$D$5:$D$504,U1963),"")),"")</f>
        <v/>
      </c>
      <c r="K1963" s="61" t="str">
        <f aca="false">IF(IsPro,IF($D1963="","",IF($F1963="",IFERROR(INDEX(Items!$H$5:$H$504,U1963),0),$F1963)),"")</f>
        <v/>
      </c>
      <c r="L1963" s="61" t="str">
        <f aca="false">IF(IsPro,IF($D1963="","",ROUND(N($E1963)*K1963*(1-N($G1963)),2)),"")</f>
        <v/>
      </c>
      <c r="M1963" s="62" t="str">
        <f aca="false">IF(IsPro,IF($D1963="","",IFERROR(INDEX(Items!$F$5:$F$504,U1963),0)),"")</f>
        <v/>
      </c>
      <c r="N1963" s="61" t="str">
        <f aca="false">IF(IsPro,IF($D1963="","",IF(AND(V1963&lt;&gt;"",INDEX(Parties!$E$5:$E$304,V1963)&lt;&gt;"",INDEX(Parties!$E$5:$E$304,V1963)&lt;&gt;HomeState),0,ROUND(L1963*M1963/2,2))),"")</f>
        <v/>
      </c>
      <c r="O1963" s="61" t="str">
        <f aca="false">IF(IsPro,IF($D1963="","",N1963),"")</f>
        <v/>
      </c>
      <c r="P1963" s="61" t="str">
        <f aca="false">IF(IsPro,IF($D1963="","",IF(AND(V1963&lt;&gt;"",INDEX(Parties!$E$5:$E$304,V1963)&lt;&gt;"",INDEX(Parties!$E$5:$E$304,V1963)&lt;&gt;HomeState),ROUND(L1963*M1963,2),0)),"")</f>
        <v/>
      </c>
      <c r="Q1963" s="61" t="str">
        <f aca="false">IF(IsPro,IF($D1963="","",L1963+N1963+O1963+P1963),"")</f>
        <v/>
      </c>
      <c r="R1963" s="61" t="str">
        <f aca="false">IF(IsPro,IF($D1963="","",ROUND(N($E1963)*IFERROR(INDEX(Items!$P$5:$P$504,U1963),0),2)),"")</f>
        <v/>
      </c>
      <c r="S1963" s="61" t="str">
        <f aca="false">IF(IsPro,IF($D1963="","",L1963-R1963),"")</f>
        <v/>
      </c>
      <c r="T1963" s="60" t="str">
        <f aca="false">IF(IsPro,IF($D1963="","",IF(U1963="","UNKNOWN ITEM",IF(INDEX(Items!$O$5:$O$504,U1963)&lt;0,"NEG STOCK",IF(K1963&lt;INDEX(Items!$P$5:$P$504,U1963),"BELOW COST","OK")))),IF($D1963="","","PRO PLAN"))</f>
        <v/>
      </c>
      <c r="U1963" s="60" t="str">
        <f aca="false">IF(IsPro,IF($D1963="","",IFERROR(MATCH($D1963,Items!$A$5:$A$504,0),"")),"")</f>
        <v/>
      </c>
      <c r="V1963" s="60" t="str">
        <f aca="false">IF(IsPro,IF($C1963="","",IFERROR(MATCH($C1963,Parties!$A$5:$A$304,0),"")),"")</f>
        <v/>
      </c>
      <c r="W1963" s="60" t="str">
        <f aca="false">IF(IsPro,IF($B1963="","",IFERROR(VALUE(SUBSTITUTE($B1963,InvPrefix,"")),0)),"")</f>
        <v/>
      </c>
      <c r="X1963" s="61" t="str">
        <f aca="false">IF(IsPro,IF($D1963="","",IF(OR($H1963="",$H1963="Credit"),0,Q1963)),"")</f>
        <v/>
      </c>
    </row>
    <row r="1964" customFormat="false" ht="15" hidden="false" customHeight="false" outlineLevel="0" collapsed="false">
      <c r="A1964" s="55"/>
      <c r="B1964" s="56"/>
      <c r="C1964" s="56"/>
      <c r="D1964" s="56"/>
      <c r="E1964" s="57"/>
      <c r="F1964" s="58"/>
      <c r="G1964" s="59"/>
      <c r="H1964" s="56"/>
      <c r="I1964" s="56"/>
      <c r="J1964" s="60" t="str">
        <f aca="false">IF(IsPro,IF($D1964="","",IFERROR(INDEX(Items!$D$5:$D$504,U1964),"")),"")</f>
        <v/>
      </c>
      <c r="K1964" s="61" t="str">
        <f aca="false">IF(IsPro,IF($D1964="","",IF($F1964="",IFERROR(INDEX(Items!$H$5:$H$504,U1964),0),$F1964)),"")</f>
        <v/>
      </c>
      <c r="L1964" s="61" t="str">
        <f aca="false">IF(IsPro,IF($D1964="","",ROUND(N($E1964)*K1964*(1-N($G1964)),2)),"")</f>
        <v/>
      </c>
      <c r="M1964" s="62" t="str">
        <f aca="false">IF(IsPro,IF($D1964="","",IFERROR(INDEX(Items!$F$5:$F$504,U1964),0)),"")</f>
        <v/>
      </c>
      <c r="N1964" s="61" t="str">
        <f aca="false">IF(IsPro,IF($D1964="","",IF(AND(V1964&lt;&gt;"",INDEX(Parties!$E$5:$E$304,V1964)&lt;&gt;"",INDEX(Parties!$E$5:$E$304,V1964)&lt;&gt;HomeState),0,ROUND(L1964*M1964/2,2))),"")</f>
        <v/>
      </c>
      <c r="O1964" s="61" t="str">
        <f aca="false">IF(IsPro,IF($D1964="","",N1964),"")</f>
        <v/>
      </c>
      <c r="P1964" s="61" t="str">
        <f aca="false">IF(IsPro,IF($D1964="","",IF(AND(V1964&lt;&gt;"",INDEX(Parties!$E$5:$E$304,V1964)&lt;&gt;"",INDEX(Parties!$E$5:$E$304,V1964)&lt;&gt;HomeState),ROUND(L1964*M1964,2),0)),"")</f>
        <v/>
      </c>
      <c r="Q1964" s="61" t="str">
        <f aca="false">IF(IsPro,IF($D1964="","",L1964+N1964+O1964+P1964),"")</f>
        <v/>
      </c>
      <c r="R1964" s="61" t="str">
        <f aca="false">IF(IsPro,IF($D1964="","",ROUND(N($E1964)*IFERROR(INDEX(Items!$P$5:$P$504,U1964),0),2)),"")</f>
        <v/>
      </c>
      <c r="S1964" s="61" t="str">
        <f aca="false">IF(IsPro,IF($D1964="","",L1964-R1964),"")</f>
        <v/>
      </c>
      <c r="T1964" s="60" t="str">
        <f aca="false">IF(IsPro,IF($D1964="","",IF(U1964="","UNKNOWN ITEM",IF(INDEX(Items!$O$5:$O$504,U1964)&lt;0,"NEG STOCK",IF(K1964&lt;INDEX(Items!$P$5:$P$504,U1964),"BELOW COST","OK")))),IF($D1964="","","PRO PLAN"))</f>
        <v/>
      </c>
      <c r="U1964" s="60" t="str">
        <f aca="false">IF(IsPro,IF($D1964="","",IFERROR(MATCH($D1964,Items!$A$5:$A$504,0),"")),"")</f>
        <v/>
      </c>
      <c r="V1964" s="60" t="str">
        <f aca="false">IF(IsPro,IF($C1964="","",IFERROR(MATCH($C1964,Parties!$A$5:$A$304,0),"")),"")</f>
        <v/>
      </c>
      <c r="W1964" s="60" t="str">
        <f aca="false">IF(IsPro,IF($B1964="","",IFERROR(VALUE(SUBSTITUTE($B1964,InvPrefix,"")),0)),"")</f>
        <v/>
      </c>
      <c r="X1964" s="61" t="str">
        <f aca="false">IF(IsPro,IF($D1964="","",IF(OR($H1964="",$H1964="Credit"),0,Q1964)),"")</f>
        <v/>
      </c>
    </row>
    <row r="1965" customFormat="false" ht="15" hidden="false" customHeight="false" outlineLevel="0" collapsed="false">
      <c r="A1965" s="55"/>
      <c r="B1965" s="56"/>
      <c r="C1965" s="56"/>
      <c r="D1965" s="56"/>
      <c r="E1965" s="57"/>
      <c r="F1965" s="58"/>
      <c r="G1965" s="59"/>
      <c r="H1965" s="56"/>
      <c r="I1965" s="56"/>
      <c r="J1965" s="60" t="str">
        <f aca="false">IF(IsPro,IF($D1965="","",IFERROR(INDEX(Items!$D$5:$D$504,U1965),"")),"")</f>
        <v/>
      </c>
      <c r="K1965" s="61" t="str">
        <f aca="false">IF(IsPro,IF($D1965="","",IF($F1965="",IFERROR(INDEX(Items!$H$5:$H$504,U1965),0),$F1965)),"")</f>
        <v/>
      </c>
      <c r="L1965" s="61" t="str">
        <f aca="false">IF(IsPro,IF($D1965="","",ROUND(N($E1965)*K1965*(1-N($G1965)),2)),"")</f>
        <v/>
      </c>
      <c r="M1965" s="62" t="str">
        <f aca="false">IF(IsPro,IF($D1965="","",IFERROR(INDEX(Items!$F$5:$F$504,U1965),0)),"")</f>
        <v/>
      </c>
      <c r="N1965" s="61" t="str">
        <f aca="false">IF(IsPro,IF($D1965="","",IF(AND(V1965&lt;&gt;"",INDEX(Parties!$E$5:$E$304,V1965)&lt;&gt;"",INDEX(Parties!$E$5:$E$304,V1965)&lt;&gt;HomeState),0,ROUND(L1965*M1965/2,2))),"")</f>
        <v/>
      </c>
      <c r="O1965" s="61" t="str">
        <f aca="false">IF(IsPro,IF($D1965="","",N1965),"")</f>
        <v/>
      </c>
      <c r="P1965" s="61" t="str">
        <f aca="false">IF(IsPro,IF($D1965="","",IF(AND(V1965&lt;&gt;"",INDEX(Parties!$E$5:$E$304,V1965)&lt;&gt;"",INDEX(Parties!$E$5:$E$304,V1965)&lt;&gt;HomeState),ROUND(L1965*M1965,2),0)),"")</f>
        <v/>
      </c>
      <c r="Q1965" s="61" t="str">
        <f aca="false">IF(IsPro,IF($D1965="","",L1965+N1965+O1965+P1965),"")</f>
        <v/>
      </c>
      <c r="R1965" s="61" t="str">
        <f aca="false">IF(IsPro,IF($D1965="","",ROUND(N($E1965)*IFERROR(INDEX(Items!$P$5:$P$504,U1965),0),2)),"")</f>
        <v/>
      </c>
      <c r="S1965" s="61" t="str">
        <f aca="false">IF(IsPro,IF($D1965="","",L1965-R1965),"")</f>
        <v/>
      </c>
      <c r="T1965" s="60" t="str">
        <f aca="false">IF(IsPro,IF($D1965="","",IF(U1965="","UNKNOWN ITEM",IF(INDEX(Items!$O$5:$O$504,U1965)&lt;0,"NEG STOCK",IF(K1965&lt;INDEX(Items!$P$5:$P$504,U1965),"BELOW COST","OK")))),IF($D1965="","","PRO PLAN"))</f>
        <v/>
      </c>
      <c r="U1965" s="60" t="str">
        <f aca="false">IF(IsPro,IF($D1965="","",IFERROR(MATCH($D1965,Items!$A$5:$A$504,0),"")),"")</f>
        <v/>
      </c>
      <c r="V1965" s="60" t="str">
        <f aca="false">IF(IsPro,IF($C1965="","",IFERROR(MATCH($C1965,Parties!$A$5:$A$304,0),"")),"")</f>
        <v/>
      </c>
      <c r="W1965" s="60" t="str">
        <f aca="false">IF(IsPro,IF($B1965="","",IFERROR(VALUE(SUBSTITUTE($B1965,InvPrefix,"")),0)),"")</f>
        <v/>
      </c>
      <c r="X1965" s="61" t="str">
        <f aca="false">IF(IsPro,IF($D1965="","",IF(OR($H1965="",$H1965="Credit"),0,Q1965)),"")</f>
        <v/>
      </c>
    </row>
    <row r="1966" customFormat="false" ht="15" hidden="false" customHeight="false" outlineLevel="0" collapsed="false">
      <c r="A1966" s="55"/>
      <c r="B1966" s="56"/>
      <c r="C1966" s="56"/>
      <c r="D1966" s="56"/>
      <c r="E1966" s="57"/>
      <c r="F1966" s="58"/>
      <c r="G1966" s="59"/>
      <c r="H1966" s="56"/>
      <c r="I1966" s="56"/>
      <c r="J1966" s="60" t="str">
        <f aca="false">IF(IsPro,IF($D1966="","",IFERROR(INDEX(Items!$D$5:$D$504,U1966),"")),"")</f>
        <v/>
      </c>
      <c r="K1966" s="61" t="str">
        <f aca="false">IF(IsPro,IF($D1966="","",IF($F1966="",IFERROR(INDEX(Items!$H$5:$H$504,U1966),0),$F1966)),"")</f>
        <v/>
      </c>
      <c r="L1966" s="61" t="str">
        <f aca="false">IF(IsPro,IF($D1966="","",ROUND(N($E1966)*K1966*(1-N($G1966)),2)),"")</f>
        <v/>
      </c>
      <c r="M1966" s="62" t="str">
        <f aca="false">IF(IsPro,IF($D1966="","",IFERROR(INDEX(Items!$F$5:$F$504,U1966),0)),"")</f>
        <v/>
      </c>
      <c r="N1966" s="61" t="str">
        <f aca="false">IF(IsPro,IF($D1966="","",IF(AND(V1966&lt;&gt;"",INDEX(Parties!$E$5:$E$304,V1966)&lt;&gt;"",INDEX(Parties!$E$5:$E$304,V1966)&lt;&gt;HomeState),0,ROUND(L1966*M1966/2,2))),"")</f>
        <v/>
      </c>
      <c r="O1966" s="61" t="str">
        <f aca="false">IF(IsPro,IF($D1966="","",N1966),"")</f>
        <v/>
      </c>
      <c r="P1966" s="61" t="str">
        <f aca="false">IF(IsPro,IF($D1966="","",IF(AND(V1966&lt;&gt;"",INDEX(Parties!$E$5:$E$304,V1966)&lt;&gt;"",INDEX(Parties!$E$5:$E$304,V1966)&lt;&gt;HomeState),ROUND(L1966*M1966,2),0)),"")</f>
        <v/>
      </c>
      <c r="Q1966" s="61" t="str">
        <f aca="false">IF(IsPro,IF($D1966="","",L1966+N1966+O1966+P1966),"")</f>
        <v/>
      </c>
      <c r="R1966" s="61" t="str">
        <f aca="false">IF(IsPro,IF($D1966="","",ROUND(N($E1966)*IFERROR(INDEX(Items!$P$5:$P$504,U1966),0),2)),"")</f>
        <v/>
      </c>
      <c r="S1966" s="61" t="str">
        <f aca="false">IF(IsPro,IF($D1966="","",L1966-R1966),"")</f>
        <v/>
      </c>
      <c r="T1966" s="60" t="str">
        <f aca="false">IF(IsPro,IF($D1966="","",IF(U1966="","UNKNOWN ITEM",IF(INDEX(Items!$O$5:$O$504,U1966)&lt;0,"NEG STOCK",IF(K1966&lt;INDEX(Items!$P$5:$P$504,U1966),"BELOW COST","OK")))),IF($D1966="","","PRO PLAN"))</f>
        <v/>
      </c>
      <c r="U1966" s="60" t="str">
        <f aca="false">IF(IsPro,IF($D1966="","",IFERROR(MATCH($D1966,Items!$A$5:$A$504,0),"")),"")</f>
        <v/>
      </c>
      <c r="V1966" s="60" t="str">
        <f aca="false">IF(IsPro,IF($C1966="","",IFERROR(MATCH($C1966,Parties!$A$5:$A$304,0),"")),"")</f>
        <v/>
      </c>
      <c r="W1966" s="60" t="str">
        <f aca="false">IF(IsPro,IF($B1966="","",IFERROR(VALUE(SUBSTITUTE($B1966,InvPrefix,"")),0)),"")</f>
        <v/>
      </c>
      <c r="X1966" s="61" t="str">
        <f aca="false">IF(IsPro,IF($D1966="","",IF(OR($H1966="",$H1966="Credit"),0,Q1966)),"")</f>
        <v/>
      </c>
    </row>
    <row r="1967" customFormat="false" ht="15" hidden="false" customHeight="false" outlineLevel="0" collapsed="false">
      <c r="A1967" s="55"/>
      <c r="B1967" s="56"/>
      <c r="C1967" s="56"/>
      <c r="D1967" s="56"/>
      <c r="E1967" s="57"/>
      <c r="F1967" s="58"/>
      <c r="G1967" s="59"/>
      <c r="H1967" s="56"/>
      <c r="I1967" s="56"/>
      <c r="J1967" s="60" t="str">
        <f aca="false">IF(IsPro,IF($D1967="","",IFERROR(INDEX(Items!$D$5:$D$504,U1967),"")),"")</f>
        <v/>
      </c>
      <c r="K1967" s="61" t="str">
        <f aca="false">IF(IsPro,IF($D1967="","",IF($F1967="",IFERROR(INDEX(Items!$H$5:$H$504,U1967),0),$F1967)),"")</f>
        <v/>
      </c>
      <c r="L1967" s="61" t="str">
        <f aca="false">IF(IsPro,IF($D1967="","",ROUND(N($E1967)*K1967*(1-N($G1967)),2)),"")</f>
        <v/>
      </c>
      <c r="M1967" s="62" t="str">
        <f aca="false">IF(IsPro,IF($D1967="","",IFERROR(INDEX(Items!$F$5:$F$504,U1967),0)),"")</f>
        <v/>
      </c>
      <c r="N1967" s="61" t="str">
        <f aca="false">IF(IsPro,IF($D1967="","",IF(AND(V1967&lt;&gt;"",INDEX(Parties!$E$5:$E$304,V1967)&lt;&gt;"",INDEX(Parties!$E$5:$E$304,V1967)&lt;&gt;HomeState),0,ROUND(L1967*M1967/2,2))),"")</f>
        <v/>
      </c>
      <c r="O1967" s="61" t="str">
        <f aca="false">IF(IsPro,IF($D1967="","",N1967),"")</f>
        <v/>
      </c>
      <c r="P1967" s="61" t="str">
        <f aca="false">IF(IsPro,IF($D1967="","",IF(AND(V1967&lt;&gt;"",INDEX(Parties!$E$5:$E$304,V1967)&lt;&gt;"",INDEX(Parties!$E$5:$E$304,V1967)&lt;&gt;HomeState),ROUND(L1967*M1967,2),0)),"")</f>
        <v/>
      </c>
      <c r="Q1967" s="61" t="str">
        <f aca="false">IF(IsPro,IF($D1967="","",L1967+N1967+O1967+P1967),"")</f>
        <v/>
      </c>
      <c r="R1967" s="61" t="str">
        <f aca="false">IF(IsPro,IF($D1967="","",ROUND(N($E1967)*IFERROR(INDEX(Items!$P$5:$P$504,U1967),0),2)),"")</f>
        <v/>
      </c>
      <c r="S1967" s="61" t="str">
        <f aca="false">IF(IsPro,IF($D1967="","",L1967-R1967),"")</f>
        <v/>
      </c>
      <c r="T1967" s="60" t="str">
        <f aca="false">IF(IsPro,IF($D1967="","",IF(U1967="","UNKNOWN ITEM",IF(INDEX(Items!$O$5:$O$504,U1967)&lt;0,"NEG STOCK",IF(K1967&lt;INDEX(Items!$P$5:$P$504,U1967),"BELOW COST","OK")))),IF($D1967="","","PRO PLAN"))</f>
        <v/>
      </c>
      <c r="U1967" s="60" t="str">
        <f aca="false">IF(IsPro,IF($D1967="","",IFERROR(MATCH($D1967,Items!$A$5:$A$504,0),"")),"")</f>
        <v/>
      </c>
      <c r="V1967" s="60" t="str">
        <f aca="false">IF(IsPro,IF($C1967="","",IFERROR(MATCH($C1967,Parties!$A$5:$A$304,0),"")),"")</f>
        <v/>
      </c>
      <c r="W1967" s="60" t="str">
        <f aca="false">IF(IsPro,IF($B1967="","",IFERROR(VALUE(SUBSTITUTE($B1967,InvPrefix,"")),0)),"")</f>
        <v/>
      </c>
      <c r="X1967" s="61" t="str">
        <f aca="false">IF(IsPro,IF($D1967="","",IF(OR($H1967="",$H1967="Credit"),0,Q1967)),"")</f>
        <v/>
      </c>
    </row>
    <row r="1968" customFormat="false" ht="15" hidden="false" customHeight="false" outlineLevel="0" collapsed="false">
      <c r="A1968" s="55"/>
      <c r="B1968" s="56"/>
      <c r="C1968" s="56"/>
      <c r="D1968" s="56"/>
      <c r="E1968" s="57"/>
      <c r="F1968" s="58"/>
      <c r="G1968" s="59"/>
      <c r="H1968" s="56"/>
      <c r="I1968" s="56"/>
      <c r="J1968" s="60" t="str">
        <f aca="false">IF(IsPro,IF($D1968="","",IFERROR(INDEX(Items!$D$5:$D$504,U1968),"")),"")</f>
        <v/>
      </c>
      <c r="K1968" s="61" t="str">
        <f aca="false">IF(IsPro,IF($D1968="","",IF($F1968="",IFERROR(INDEX(Items!$H$5:$H$504,U1968),0),$F1968)),"")</f>
        <v/>
      </c>
      <c r="L1968" s="61" t="str">
        <f aca="false">IF(IsPro,IF($D1968="","",ROUND(N($E1968)*K1968*(1-N($G1968)),2)),"")</f>
        <v/>
      </c>
      <c r="M1968" s="62" t="str">
        <f aca="false">IF(IsPro,IF($D1968="","",IFERROR(INDEX(Items!$F$5:$F$504,U1968),0)),"")</f>
        <v/>
      </c>
      <c r="N1968" s="61" t="str">
        <f aca="false">IF(IsPro,IF($D1968="","",IF(AND(V1968&lt;&gt;"",INDEX(Parties!$E$5:$E$304,V1968)&lt;&gt;"",INDEX(Parties!$E$5:$E$304,V1968)&lt;&gt;HomeState),0,ROUND(L1968*M1968/2,2))),"")</f>
        <v/>
      </c>
      <c r="O1968" s="61" t="str">
        <f aca="false">IF(IsPro,IF($D1968="","",N1968),"")</f>
        <v/>
      </c>
      <c r="P1968" s="61" t="str">
        <f aca="false">IF(IsPro,IF($D1968="","",IF(AND(V1968&lt;&gt;"",INDEX(Parties!$E$5:$E$304,V1968)&lt;&gt;"",INDEX(Parties!$E$5:$E$304,V1968)&lt;&gt;HomeState),ROUND(L1968*M1968,2),0)),"")</f>
        <v/>
      </c>
      <c r="Q1968" s="61" t="str">
        <f aca="false">IF(IsPro,IF($D1968="","",L1968+N1968+O1968+P1968),"")</f>
        <v/>
      </c>
      <c r="R1968" s="61" t="str">
        <f aca="false">IF(IsPro,IF($D1968="","",ROUND(N($E1968)*IFERROR(INDEX(Items!$P$5:$P$504,U1968),0),2)),"")</f>
        <v/>
      </c>
      <c r="S1968" s="61" t="str">
        <f aca="false">IF(IsPro,IF($D1968="","",L1968-R1968),"")</f>
        <v/>
      </c>
      <c r="T1968" s="60" t="str">
        <f aca="false">IF(IsPro,IF($D1968="","",IF(U1968="","UNKNOWN ITEM",IF(INDEX(Items!$O$5:$O$504,U1968)&lt;0,"NEG STOCK",IF(K1968&lt;INDEX(Items!$P$5:$P$504,U1968),"BELOW COST","OK")))),IF($D1968="","","PRO PLAN"))</f>
        <v/>
      </c>
      <c r="U1968" s="60" t="str">
        <f aca="false">IF(IsPro,IF($D1968="","",IFERROR(MATCH($D1968,Items!$A$5:$A$504,0),"")),"")</f>
        <v/>
      </c>
      <c r="V1968" s="60" t="str">
        <f aca="false">IF(IsPro,IF($C1968="","",IFERROR(MATCH($C1968,Parties!$A$5:$A$304,0),"")),"")</f>
        <v/>
      </c>
      <c r="W1968" s="60" t="str">
        <f aca="false">IF(IsPro,IF($B1968="","",IFERROR(VALUE(SUBSTITUTE($B1968,InvPrefix,"")),0)),"")</f>
        <v/>
      </c>
      <c r="X1968" s="61" t="str">
        <f aca="false">IF(IsPro,IF($D1968="","",IF(OR($H1968="",$H1968="Credit"),0,Q1968)),"")</f>
        <v/>
      </c>
    </row>
    <row r="1969" customFormat="false" ht="15" hidden="false" customHeight="false" outlineLevel="0" collapsed="false">
      <c r="A1969" s="55"/>
      <c r="B1969" s="56"/>
      <c r="C1969" s="56"/>
      <c r="D1969" s="56"/>
      <c r="E1969" s="57"/>
      <c r="F1969" s="58"/>
      <c r="G1969" s="59"/>
      <c r="H1969" s="56"/>
      <c r="I1969" s="56"/>
      <c r="J1969" s="60" t="str">
        <f aca="false">IF(IsPro,IF($D1969="","",IFERROR(INDEX(Items!$D$5:$D$504,U1969),"")),"")</f>
        <v/>
      </c>
      <c r="K1969" s="61" t="str">
        <f aca="false">IF(IsPro,IF($D1969="","",IF($F1969="",IFERROR(INDEX(Items!$H$5:$H$504,U1969),0),$F1969)),"")</f>
        <v/>
      </c>
      <c r="L1969" s="61" t="str">
        <f aca="false">IF(IsPro,IF($D1969="","",ROUND(N($E1969)*K1969*(1-N($G1969)),2)),"")</f>
        <v/>
      </c>
      <c r="M1969" s="62" t="str">
        <f aca="false">IF(IsPro,IF($D1969="","",IFERROR(INDEX(Items!$F$5:$F$504,U1969),0)),"")</f>
        <v/>
      </c>
      <c r="N1969" s="61" t="str">
        <f aca="false">IF(IsPro,IF($D1969="","",IF(AND(V1969&lt;&gt;"",INDEX(Parties!$E$5:$E$304,V1969)&lt;&gt;"",INDEX(Parties!$E$5:$E$304,V1969)&lt;&gt;HomeState),0,ROUND(L1969*M1969/2,2))),"")</f>
        <v/>
      </c>
      <c r="O1969" s="61" t="str">
        <f aca="false">IF(IsPro,IF($D1969="","",N1969),"")</f>
        <v/>
      </c>
      <c r="P1969" s="61" t="str">
        <f aca="false">IF(IsPro,IF($D1969="","",IF(AND(V1969&lt;&gt;"",INDEX(Parties!$E$5:$E$304,V1969)&lt;&gt;"",INDEX(Parties!$E$5:$E$304,V1969)&lt;&gt;HomeState),ROUND(L1969*M1969,2),0)),"")</f>
        <v/>
      </c>
      <c r="Q1969" s="61" t="str">
        <f aca="false">IF(IsPro,IF($D1969="","",L1969+N1969+O1969+P1969),"")</f>
        <v/>
      </c>
      <c r="R1969" s="61" t="str">
        <f aca="false">IF(IsPro,IF($D1969="","",ROUND(N($E1969)*IFERROR(INDEX(Items!$P$5:$P$504,U1969),0),2)),"")</f>
        <v/>
      </c>
      <c r="S1969" s="61" t="str">
        <f aca="false">IF(IsPro,IF($D1969="","",L1969-R1969),"")</f>
        <v/>
      </c>
      <c r="T1969" s="60" t="str">
        <f aca="false">IF(IsPro,IF($D1969="","",IF(U1969="","UNKNOWN ITEM",IF(INDEX(Items!$O$5:$O$504,U1969)&lt;0,"NEG STOCK",IF(K1969&lt;INDEX(Items!$P$5:$P$504,U1969),"BELOW COST","OK")))),IF($D1969="","","PRO PLAN"))</f>
        <v/>
      </c>
      <c r="U1969" s="60" t="str">
        <f aca="false">IF(IsPro,IF($D1969="","",IFERROR(MATCH($D1969,Items!$A$5:$A$504,0),"")),"")</f>
        <v/>
      </c>
      <c r="V1969" s="60" t="str">
        <f aca="false">IF(IsPro,IF($C1969="","",IFERROR(MATCH($C1969,Parties!$A$5:$A$304,0),"")),"")</f>
        <v/>
      </c>
      <c r="W1969" s="60" t="str">
        <f aca="false">IF(IsPro,IF($B1969="","",IFERROR(VALUE(SUBSTITUTE($B1969,InvPrefix,"")),0)),"")</f>
        <v/>
      </c>
      <c r="X1969" s="61" t="str">
        <f aca="false">IF(IsPro,IF($D1969="","",IF(OR($H1969="",$H1969="Credit"),0,Q1969)),"")</f>
        <v/>
      </c>
    </row>
    <row r="1970" customFormat="false" ht="15" hidden="false" customHeight="false" outlineLevel="0" collapsed="false">
      <c r="A1970" s="55"/>
      <c r="B1970" s="56"/>
      <c r="C1970" s="56"/>
      <c r="D1970" s="56"/>
      <c r="E1970" s="57"/>
      <c r="F1970" s="58"/>
      <c r="G1970" s="59"/>
      <c r="H1970" s="56"/>
      <c r="I1970" s="56"/>
      <c r="J1970" s="60" t="str">
        <f aca="false">IF(IsPro,IF($D1970="","",IFERROR(INDEX(Items!$D$5:$D$504,U1970),"")),"")</f>
        <v/>
      </c>
      <c r="K1970" s="61" t="str">
        <f aca="false">IF(IsPro,IF($D1970="","",IF($F1970="",IFERROR(INDEX(Items!$H$5:$H$504,U1970),0),$F1970)),"")</f>
        <v/>
      </c>
      <c r="L1970" s="61" t="str">
        <f aca="false">IF(IsPro,IF($D1970="","",ROUND(N($E1970)*K1970*(1-N($G1970)),2)),"")</f>
        <v/>
      </c>
      <c r="M1970" s="62" t="str">
        <f aca="false">IF(IsPro,IF($D1970="","",IFERROR(INDEX(Items!$F$5:$F$504,U1970),0)),"")</f>
        <v/>
      </c>
      <c r="N1970" s="61" t="str">
        <f aca="false">IF(IsPro,IF($D1970="","",IF(AND(V1970&lt;&gt;"",INDEX(Parties!$E$5:$E$304,V1970)&lt;&gt;"",INDEX(Parties!$E$5:$E$304,V1970)&lt;&gt;HomeState),0,ROUND(L1970*M1970/2,2))),"")</f>
        <v/>
      </c>
      <c r="O1970" s="61" t="str">
        <f aca="false">IF(IsPro,IF($D1970="","",N1970),"")</f>
        <v/>
      </c>
      <c r="P1970" s="61" t="str">
        <f aca="false">IF(IsPro,IF($D1970="","",IF(AND(V1970&lt;&gt;"",INDEX(Parties!$E$5:$E$304,V1970)&lt;&gt;"",INDEX(Parties!$E$5:$E$304,V1970)&lt;&gt;HomeState),ROUND(L1970*M1970,2),0)),"")</f>
        <v/>
      </c>
      <c r="Q1970" s="61" t="str">
        <f aca="false">IF(IsPro,IF($D1970="","",L1970+N1970+O1970+P1970),"")</f>
        <v/>
      </c>
      <c r="R1970" s="61" t="str">
        <f aca="false">IF(IsPro,IF($D1970="","",ROUND(N($E1970)*IFERROR(INDEX(Items!$P$5:$P$504,U1970),0),2)),"")</f>
        <v/>
      </c>
      <c r="S1970" s="61" t="str">
        <f aca="false">IF(IsPro,IF($D1970="","",L1970-R1970),"")</f>
        <v/>
      </c>
      <c r="T1970" s="60" t="str">
        <f aca="false">IF(IsPro,IF($D1970="","",IF(U1970="","UNKNOWN ITEM",IF(INDEX(Items!$O$5:$O$504,U1970)&lt;0,"NEG STOCK",IF(K1970&lt;INDEX(Items!$P$5:$P$504,U1970),"BELOW COST","OK")))),IF($D1970="","","PRO PLAN"))</f>
        <v/>
      </c>
      <c r="U1970" s="60" t="str">
        <f aca="false">IF(IsPro,IF($D1970="","",IFERROR(MATCH($D1970,Items!$A$5:$A$504,0),"")),"")</f>
        <v/>
      </c>
      <c r="V1970" s="60" t="str">
        <f aca="false">IF(IsPro,IF($C1970="","",IFERROR(MATCH($C1970,Parties!$A$5:$A$304,0),"")),"")</f>
        <v/>
      </c>
      <c r="W1970" s="60" t="str">
        <f aca="false">IF(IsPro,IF($B1970="","",IFERROR(VALUE(SUBSTITUTE($B1970,InvPrefix,"")),0)),"")</f>
        <v/>
      </c>
      <c r="X1970" s="61" t="str">
        <f aca="false">IF(IsPro,IF($D1970="","",IF(OR($H1970="",$H1970="Credit"),0,Q1970)),"")</f>
        <v/>
      </c>
    </row>
    <row r="1971" customFormat="false" ht="15" hidden="false" customHeight="false" outlineLevel="0" collapsed="false">
      <c r="A1971" s="55"/>
      <c r="B1971" s="56"/>
      <c r="C1971" s="56"/>
      <c r="D1971" s="56"/>
      <c r="E1971" s="57"/>
      <c r="F1971" s="58"/>
      <c r="G1971" s="59"/>
      <c r="H1971" s="56"/>
      <c r="I1971" s="56"/>
      <c r="J1971" s="60" t="str">
        <f aca="false">IF(IsPro,IF($D1971="","",IFERROR(INDEX(Items!$D$5:$D$504,U1971),"")),"")</f>
        <v/>
      </c>
      <c r="K1971" s="61" t="str">
        <f aca="false">IF(IsPro,IF($D1971="","",IF($F1971="",IFERROR(INDEX(Items!$H$5:$H$504,U1971),0),$F1971)),"")</f>
        <v/>
      </c>
      <c r="L1971" s="61" t="str">
        <f aca="false">IF(IsPro,IF($D1971="","",ROUND(N($E1971)*K1971*(1-N($G1971)),2)),"")</f>
        <v/>
      </c>
      <c r="M1971" s="62" t="str">
        <f aca="false">IF(IsPro,IF($D1971="","",IFERROR(INDEX(Items!$F$5:$F$504,U1971),0)),"")</f>
        <v/>
      </c>
      <c r="N1971" s="61" t="str">
        <f aca="false">IF(IsPro,IF($D1971="","",IF(AND(V1971&lt;&gt;"",INDEX(Parties!$E$5:$E$304,V1971)&lt;&gt;"",INDEX(Parties!$E$5:$E$304,V1971)&lt;&gt;HomeState),0,ROUND(L1971*M1971/2,2))),"")</f>
        <v/>
      </c>
      <c r="O1971" s="61" t="str">
        <f aca="false">IF(IsPro,IF($D1971="","",N1971),"")</f>
        <v/>
      </c>
      <c r="P1971" s="61" t="str">
        <f aca="false">IF(IsPro,IF($D1971="","",IF(AND(V1971&lt;&gt;"",INDEX(Parties!$E$5:$E$304,V1971)&lt;&gt;"",INDEX(Parties!$E$5:$E$304,V1971)&lt;&gt;HomeState),ROUND(L1971*M1971,2),0)),"")</f>
        <v/>
      </c>
      <c r="Q1971" s="61" t="str">
        <f aca="false">IF(IsPro,IF($D1971="","",L1971+N1971+O1971+P1971),"")</f>
        <v/>
      </c>
      <c r="R1971" s="61" t="str">
        <f aca="false">IF(IsPro,IF($D1971="","",ROUND(N($E1971)*IFERROR(INDEX(Items!$P$5:$P$504,U1971),0),2)),"")</f>
        <v/>
      </c>
      <c r="S1971" s="61" t="str">
        <f aca="false">IF(IsPro,IF($D1971="","",L1971-R1971),"")</f>
        <v/>
      </c>
      <c r="T1971" s="60" t="str">
        <f aca="false">IF(IsPro,IF($D1971="","",IF(U1971="","UNKNOWN ITEM",IF(INDEX(Items!$O$5:$O$504,U1971)&lt;0,"NEG STOCK",IF(K1971&lt;INDEX(Items!$P$5:$P$504,U1971),"BELOW COST","OK")))),IF($D1971="","","PRO PLAN"))</f>
        <v/>
      </c>
      <c r="U1971" s="60" t="str">
        <f aca="false">IF(IsPro,IF($D1971="","",IFERROR(MATCH($D1971,Items!$A$5:$A$504,0),"")),"")</f>
        <v/>
      </c>
      <c r="V1971" s="60" t="str">
        <f aca="false">IF(IsPro,IF($C1971="","",IFERROR(MATCH($C1971,Parties!$A$5:$A$304,0),"")),"")</f>
        <v/>
      </c>
      <c r="W1971" s="60" t="str">
        <f aca="false">IF(IsPro,IF($B1971="","",IFERROR(VALUE(SUBSTITUTE($B1971,InvPrefix,"")),0)),"")</f>
        <v/>
      </c>
      <c r="X1971" s="61" t="str">
        <f aca="false">IF(IsPro,IF($D1971="","",IF(OR($H1971="",$H1971="Credit"),0,Q1971)),"")</f>
        <v/>
      </c>
    </row>
    <row r="1972" customFormat="false" ht="15" hidden="false" customHeight="false" outlineLevel="0" collapsed="false">
      <c r="A1972" s="55"/>
      <c r="B1972" s="56"/>
      <c r="C1972" s="56"/>
      <c r="D1972" s="56"/>
      <c r="E1972" s="57"/>
      <c r="F1972" s="58"/>
      <c r="G1972" s="59"/>
      <c r="H1972" s="56"/>
      <c r="I1972" s="56"/>
      <c r="J1972" s="60" t="str">
        <f aca="false">IF(IsPro,IF($D1972="","",IFERROR(INDEX(Items!$D$5:$D$504,U1972),"")),"")</f>
        <v/>
      </c>
      <c r="K1972" s="61" t="str">
        <f aca="false">IF(IsPro,IF($D1972="","",IF($F1972="",IFERROR(INDEX(Items!$H$5:$H$504,U1972),0),$F1972)),"")</f>
        <v/>
      </c>
      <c r="L1972" s="61" t="str">
        <f aca="false">IF(IsPro,IF($D1972="","",ROUND(N($E1972)*K1972*(1-N($G1972)),2)),"")</f>
        <v/>
      </c>
      <c r="M1972" s="62" t="str">
        <f aca="false">IF(IsPro,IF($D1972="","",IFERROR(INDEX(Items!$F$5:$F$504,U1972),0)),"")</f>
        <v/>
      </c>
      <c r="N1972" s="61" t="str">
        <f aca="false">IF(IsPro,IF($D1972="","",IF(AND(V1972&lt;&gt;"",INDEX(Parties!$E$5:$E$304,V1972)&lt;&gt;"",INDEX(Parties!$E$5:$E$304,V1972)&lt;&gt;HomeState),0,ROUND(L1972*M1972/2,2))),"")</f>
        <v/>
      </c>
      <c r="O1972" s="61" t="str">
        <f aca="false">IF(IsPro,IF($D1972="","",N1972),"")</f>
        <v/>
      </c>
      <c r="P1972" s="61" t="str">
        <f aca="false">IF(IsPro,IF($D1972="","",IF(AND(V1972&lt;&gt;"",INDEX(Parties!$E$5:$E$304,V1972)&lt;&gt;"",INDEX(Parties!$E$5:$E$304,V1972)&lt;&gt;HomeState),ROUND(L1972*M1972,2),0)),"")</f>
        <v/>
      </c>
      <c r="Q1972" s="61" t="str">
        <f aca="false">IF(IsPro,IF($D1972="","",L1972+N1972+O1972+P1972),"")</f>
        <v/>
      </c>
      <c r="R1972" s="61" t="str">
        <f aca="false">IF(IsPro,IF($D1972="","",ROUND(N($E1972)*IFERROR(INDEX(Items!$P$5:$P$504,U1972),0),2)),"")</f>
        <v/>
      </c>
      <c r="S1972" s="61" t="str">
        <f aca="false">IF(IsPro,IF($D1972="","",L1972-R1972),"")</f>
        <v/>
      </c>
      <c r="T1972" s="60" t="str">
        <f aca="false">IF(IsPro,IF($D1972="","",IF(U1972="","UNKNOWN ITEM",IF(INDEX(Items!$O$5:$O$504,U1972)&lt;0,"NEG STOCK",IF(K1972&lt;INDEX(Items!$P$5:$P$504,U1972),"BELOW COST","OK")))),IF($D1972="","","PRO PLAN"))</f>
        <v/>
      </c>
      <c r="U1972" s="60" t="str">
        <f aca="false">IF(IsPro,IF($D1972="","",IFERROR(MATCH($D1972,Items!$A$5:$A$504,0),"")),"")</f>
        <v/>
      </c>
      <c r="V1972" s="60" t="str">
        <f aca="false">IF(IsPro,IF($C1972="","",IFERROR(MATCH($C1972,Parties!$A$5:$A$304,0),"")),"")</f>
        <v/>
      </c>
      <c r="W1972" s="60" t="str">
        <f aca="false">IF(IsPro,IF($B1972="","",IFERROR(VALUE(SUBSTITUTE($B1972,InvPrefix,"")),0)),"")</f>
        <v/>
      </c>
      <c r="X1972" s="61" t="str">
        <f aca="false">IF(IsPro,IF($D1972="","",IF(OR($H1972="",$H1972="Credit"),0,Q1972)),"")</f>
        <v/>
      </c>
    </row>
    <row r="1973" customFormat="false" ht="15" hidden="false" customHeight="false" outlineLevel="0" collapsed="false">
      <c r="A1973" s="55"/>
      <c r="B1973" s="56"/>
      <c r="C1973" s="56"/>
      <c r="D1973" s="56"/>
      <c r="E1973" s="57"/>
      <c r="F1973" s="58"/>
      <c r="G1973" s="59"/>
      <c r="H1973" s="56"/>
      <c r="I1973" s="56"/>
      <c r="J1973" s="60" t="str">
        <f aca="false">IF(IsPro,IF($D1973="","",IFERROR(INDEX(Items!$D$5:$D$504,U1973),"")),"")</f>
        <v/>
      </c>
      <c r="K1973" s="61" t="str">
        <f aca="false">IF(IsPro,IF($D1973="","",IF($F1973="",IFERROR(INDEX(Items!$H$5:$H$504,U1973),0),$F1973)),"")</f>
        <v/>
      </c>
      <c r="L1973" s="61" t="str">
        <f aca="false">IF(IsPro,IF($D1973="","",ROUND(N($E1973)*K1973*(1-N($G1973)),2)),"")</f>
        <v/>
      </c>
      <c r="M1973" s="62" t="str">
        <f aca="false">IF(IsPro,IF($D1973="","",IFERROR(INDEX(Items!$F$5:$F$504,U1973),0)),"")</f>
        <v/>
      </c>
      <c r="N1973" s="61" t="str">
        <f aca="false">IF(IsPro,IF($D1973="","",IF(AND(V1973&lt;&gt;"",INDEX(Parties!$E$5:$E$304,V1973)&lt;&gt;"",INDEX(Parties!$E$5:$E$304,V1973)&lt;&gt;HomeState),0,ROUND(L1973*M1973/2,2))),"")</f>
        <v/>
      </c>
      <c r="O1973" s="61" t="str">
        <f aca="false">IF(IsPro,IF($D1973="","",N1973),"")</f>
        <v/>
      </c>
      <c r="P1973" s="61" t="str">
        <f aca="false">IF(IsPro,IF($D1973="","",IF(AND(V1973&lt;&gt;"",INDEX(Parties!$E$5:$E$304,V1973)&lt;&gt;"",INDEX(Parties!$E$5:$E$304,V1973)&lt;&gt;HomeState),ROUND(L1973*M1973,2),0)),"")</f>
        <v/>
      </c>
      <c r="Q1973" s="61" t="str">
        <f aca="false">IF(IsPro,IF($D1973="","",L1973+N1973+O1973+P1973),"")</f>
        <v/>
      </c>
      <c r="R1973" s="61" t="str">
        <f aca="false">IF(IsPro,IF($D1973="","",ROUND(N($E1973)*IFERROR(INDEX(Items!$P$5:$P$504,U1973),0),2)),"")</f>
        <v/>
      </c>
      <c r="S1973" s="61" t="str">
        <f aca="false">IF(IsPro,IF($D1973="","",L1973-R1973),"")</f>
        <v/>
      </c>
      <c r="T1973" s="60" t="str">
        <f aca="false">IF(IsPro,IF($D1973="","",IF(U1973="","UNKNOWN ITEM",IF(INDEX(Items!$O$5:$O$504,U1973)&lt;0,"NEG STOCK",IF(K1973&lt;INDEX(Items!$P$5:$P$504,U1973),"BELOW COST","OK")))),IF($D1973="","","PRO PLAN"))</f>
        <v/>
      </c>
      <c r="U1973" s="60" t="str">
        <f aca="false">IF(IsPro,IF($D1973="","",IFERROR(MATCH($D1973,Items!$A$5:$A$504,0),"")),"")</f>
        <v/>
      </c>
      <c r="V1973" s="60" t="str">
        <f aca="false">IF(IsPro,IF($C1973="","",IFERROR(MATCH($C1973,Parties!$A$5:$A$304,0),"")),"")</f>
        <v/>
      </c>
      <c r="W1973" s="60" t="str">
        <f aca="false">IF(IsPro,IF($B1973="","",IFERROR(VALUE(SUBSTITUTE($B1973,InvPrefix,"")),0)),"")</f>
        <v/>
      </c>
      <c r="X1973" s="61" t="str">
        <f aca="false">IF(IsPro,IF($D1973="","",IF(OR($H1973="",$H1973="Credit"),0,Q1973)),"")</f>
        <v/>
      </c>
    </row>
    <row r="1974" customFormat="false" ht="15" hidden="false" customHeight="false" outlineLevel="0" collapsed="false">
      <c r="A1974" s="55"/>
      <c r="B1974" s="56"/>
      <c r="C1974" s="56"/>
      <c r="D1974" s="56"/>
      <c r="E1974" s="57"/>
      <c r="F1974" s="58"/>
      <c r="G1974" s="59"/>
      <c r="H1974" s="56"/>
      <c r="I1974" s="56"/>
      <c r="J1974" s="60" t="str">
        <f aca="false">IF(IsPro,IF($D1974="","",IFERROR(INDEX(Items!$D$5:$D$504,U1974),"")),"")</f>
        <v/>
      </c>
      <c r="K1974" s="61" t="str">
        <f aca="false">IF(IsPro,IF($D1974="","",IF($F1974="",IFERROR(INDEX(Items!$H$5:$H$504,U1974),0),$F1974)),"")</f>
        <v/>
      </c>
      <c r="L1974" s="61" t="str">
        <f aca="false">IF(IsPro,IF($D1974="","",ROUND(N($E1974)*K1974*(1-N($G1974)),2)),"")</f>
        <v/>
      </c>
      <c r="M1974" s="62" t="str">
        <f aca="false">IF(IsPro,IF($D1974="","",IFERROR(INDEX(Items!$F$5:$F$504,U1974),0)),"")</f>
        <v/>
      </c>
      <c r="N1974" s="61" t="str">
        <f aca="false">IF(IsPro,IF($D1974="","",IF(AND(V1974&lt;&gt;"",INDEX(Parties!$E$5:$E$304,V1974)&lt;&gt;"",INDEX(Parties!$E$5:$E$304,V1974)&lt;&gt;HomeState),0,ROUND(L1974*M1974/2,2))),"")</f>
        <v/>
      </c>
      <c r="O1974" s="61" t="str">
        <f aca="false">IF(IsPro,IF($D1974="","",N1974),"")</f>
        <v/>
      </c>
      <c r="P1974" s="61" t="str">
        <f aca="false">IF(IsPro,IF($D1974="","",IF(AND(V1974&lt;&gt;"",INDEX(Parties!$E$5:$E$304,V1974)&lt;&gt;"",INDEX(Parties!$E$5:$E$304,V1974)&lt;&gt;HomeState),ROUND(L1974*M1974,2),0)),"")</f>
        <v/>
      </c>
      <c r="Q1974" s="61" t="str">
        <f aca="false">IF(IsPro,IF($D1974="","",L1974+N1974+O1974+P1974),"")</f>
        <v/>
      </c>
      <c r="R1974" s="61" t="str">
        <f aca="false">IF(IsPro,IF($D1974="","",ROUND(N($E1974)*IFERROR(INDEX(Items!$P$5:$P$504,U1974),0),2)),"")</f>
        <v/>
      </c>
      <c r="S1974" s="61" t="str">
        <f aca="false">IF(IsPro,IF($D1974="","",L1974-R1974),"")</f>
        <v/>
      </c>
      <c r="T1974" s="60" t="str">
        <f aca="false">IF(IsPro,IF($D1974="","",IF(U1974="","UNKNOWN ITEM",IF(INDEX(Items!$O$5:$O$504,U1974)&lt;0,"NEG STOCK",IF(K1974&lt;INDEX(Items!$P$5:$P$504,U1974),"BELOW COST","OK")))),IF($D1974="","","PRO PLAN"))</f>
        <v/>
      </c>
      <c r="U1974" s="60" t="str">
        <f aca="false">IF(IsPro,IF($D1974="","",IFERROR(MATCH($D1974,Items!$A$5:$A$504,0),"")),"")</f>
        <v/>
      </c>
      <c r="V1974" s="60" t="str">
        <f aca="false">IF(IsPro,IF($C1974="","",IFERROR(MATCH($C1974,Parties!$A$5:$A$304,0),"")),"")</f>
        <v/>
      </c>
      <c r="W1974" s="60" t="str">
        <f aca="false">IF(IsPro,IF($B1974="","",IFERROR(VALUE(SUBSTITUTE($B1974,InvPrefix,"")),0)),"")</f>
        <v/>
      </c>
      <c r="X1974" s="61" t="str">
        <f aca="false">IF(IsPro,IF($D1974="","",IF(OR($H1974="",$H1974="Credit"),0,Q1974)),"")</f>
        <v/>
      </c>
    </row>
    <row r="1975" customFormat="false" ht="15" hidden="false" customHeight="false" outlineLevel="0" collapsed="false">
      <c r="A1975" s="55"/>
      <c r="B1975" s="56"/>
      <c r="C1975" s="56"/>
      <c r="D1975" s="56"/>
      <c r="E1975" s="57"/>
      <c r="F1975" s="58"/>
      <c r="G1975" s="59"/>
      <c r="H1975" s="56"/>
      <c r="I1975" s="56"/>
      <c r="J1975" s="60" t="str">
        <f aca="false">IF(IsPro,IF($D1975="","",IFERROR(INDEX(Items!$D$5:$D$504,U1975),"")),"")</f>
        <v/>
      </c>
      <c r="K1975" s="61" t="str">
        <f aca="false">IF(IsPro,IF($D1975="","",IF($F1975="",IFERROR(INDEX(Items!$H$5:$H$504,U1975),0),$F1975)),"")</f>
        <v/>
      </c>
      <c r="L1975" s="61" t="str">
        <f aca="false">IF(IsPro,IF($D1975="","",ROUND(N($E1975)*K1975*(1-N($G1975)),2)),"")</f>
        <v/>
      </c>
      <c r="M1975" s="62" t="str">
        <f aca="false">IF(IsPro,IF($D1975="","",IFERROR(INDEX(Items!$F$5:$F$504,U1975),0)),"")</f>
        <v/>
      </c>
      <c r="N1975" s="61" t="str">
        <f aca="false">IF(IsPro,IF($D1975="","",IF(AND(V1975&lt;&gt;"",INDEX(Parties!$E$5:$E$304,V1975)&lt;&gt;"",INDEX(Parties!$E$5:$E$304,V1975)&lt;&gt;HomeState),0,ROUND(L1975*M1975/2,2))),"")</f>
        <v/>
      </c>
      <c r="O1975" s="61" t="str">
        <f aca="false">IF(IsPro,IF($D1975="","",N1975),"")</f>
        <v/>
      </c>
      <c r="P1975" s="61" t="str">
        <f aca="false">IF(IsPro,IF($D1975="","",IF(AND(V1975&lt;&gt;"",INDEX(Parties!$E$5:$E$304,V1975)&lt;&gt;"",INDEX(Parties!$E$5:$E$304,V1975)&lt;&gt;HomeState),ROUND(L1975*M1975,2),0)),"")</f>
        <v/>
      </c>
      <c r="Q1975" s="61" t="str">
        <f aca="false">IF(IsPro,IF($D1975="","",L1975+N1975+O1975+P1975),"")</f>
        <v/>
      </c>
      <c r="R1975" s="61" t="str">
        <f aca="false">IF(IsPro,IF($D1975="","",ROUND(N($E1975)*IFERROR(INDEX(Items!$P$5:$P$504,U1975),0),2)),"")</f>
        <v/>
      </c>
      <c r="S1975" s="61" t="str">
        <f aca="false">IF(IsPro,IF($D1975="","",L1975-R1975),"")</f>
        <v/>
      </c>
      <c r="T1975" s="60" t="str">
        <f aca="false">IF(IsPro,IF($D1975="","",IF(U1975="","UNKNOWN ITEM",IF(INDEX(Items!$O$5:$O$504,U1975)&lt;0,"NEG STOCK",IF(K1975&lt;INDEX(Items!$P$5:$P$504,U1975),"BELOW COST","OK")))),IF($D1975="","","PRO PLAN"))</f>
        <v/>
      </c>
      <c r="U1975" s="60" t="str">
        <f aca="false">IF(IsPro,IF($D1975="","",IFERROR(MATCH($D1975,Items!$A$5:$A$504,0),"")),"")</f>
        <v/>
      </c>
      <c r="V1975" s="60" t="str">
        <f aca="false">IF(IsPro,IF($C1975="","",IFERROR(MATCH($C1975,Parties!$A$5:$A$304,0),"")),"")</f>
        <v/>
      </c>
      <c r="W1975" s="60" t="str">
        <f aca="false">IF(IsPro,IF($B1975="","",IFERROR(VALUE(SUBSTITUTE($B1975,InvPrefix,"")),0)),"")</f>
        <v/>
      </c>
      <c r="X1975" s="61" t="str">
        <f aca="false">IF(IsPro,IF($D1975="","",IF(OR($H1975="",$H1975="Credit"),0,Q1975)),"")</f>
        <v/>
      </c>
    </row>
    <row r="1976" customFormat="false" ht="15" hidden="false" customHeight="false" outlineLevel="0" collapsed="false">
      <c r="A1976" s="55"/>
      <c r="B1976" s="56"/>
      <c r="C1976" s="56"/>
      <c r="D1976" s="56"/>
      <c r="E1976" s="57"/>
      <c r="F1976" s="58"/>
      <c r="G1976" s="59"/>
      <c r="H1976" s="56"/>
      <c r="I1976" s="56"/>
      <c r="J1976" s="60" t="str">
        <f aca="false">IF(IsPro,IF($D1976="","",IFERROR(INDEX(Items!$D$5:$D$504,U1976),"")),"")</f>
        <v/>
      </c>
      <c r="K1976" s="61" t="str">
        <f aca="false">IF(IsPro,IF($D1976="","",IF($F1976="",IFERROR(INDEX(Items!$H$5:$H$504,U1976),0),$F1976)),"")</f>
        <v/>
      </c>
      <c r="L1976" s="61" t="str">
        <f aca="false">IF(IsPro,IF($D1976="","",ROUND(N($E1976)*K1976*(1-N($G1976)),2)),"")</f>
        <v/>
      </c>
      <c r="M1976" s="62" t="str">
        <f aca="false">IF(IsPro,IF($D1976="","",IFERROR(INDEX(Items!$F$5:$F$504,U1976),0)),"")</f>
        <v/>
      </c>
      <c r="N1976" s="61" t="str">
        <f aca="false">IF(IsPro,IF($D1976="","",IF(AND(V1976&lt;&gt;"",INDEX(Parties!$E$5:$E$304,V1976)&lt;&gt;"",INDEX(Parties!$E$5:$E$304,V1976)&lt;&gt;HomeState),0,ROUND(L1976*M1976/2,2))),"")</f>
        <v/>
      </c>
      <c r="O1976" s="61" t="str">
        <f aca="false">IF(IsPro,IF($D1976="","",N1976),"")</f>
        <v/>
      </c>
      <c r="P1976" s="61" t="str">
        <f aca="false">IF(IsPro,IF($D1976="","",IF(AND(V1976&lt;&gt;"",INDEX(Parties!$E$5:$E$304,V1976)&lt;&gt;"",INDEX(Parties!$E$5:$E$304,V1976)&lt;&gt;HomeState),ROUND(L1976*M1976,2),0)),"")</f>
        <v/>
      </c>
      <c r="Q1976" s="61" t="str">
        <f aca="false">IF(IsPro,IF($D1976="","",L1976+N1976+O1976+P1976),"")</f>
        <v/>
      </c>
      <c r="R1976" s="61" t="str">
        <f aca="false">IF(IsPro,IF($D1976="","",ROUND(N($E1976)*IFERROR(INDEX(Items!$P$5:$P$504,U1976),0),2)),"")</f>
        <v/>
      </c>
      <c r="S1976" s="61" t="str">
        <f aca="false">IF(IsPro,IF($D1976="","",L1976-R1976),"")</f>
        <v/>
      </c>
      <c r="T1976" s="60" t="str">
        <f aca="false">IF(IsPro,IF($D1976="","",IF(U1976="","UNKNOWN ITEM",IF(INDEX(Items!$O$5:$O$504,U1976)&lt;0,"NEG STOCK",IF(K1976&lt;INDEX(Items!$P$5:$P$504,U1976),"BELOW COST","OK")))),IF($D1976="","","PRO PLAN"))</f>
        <v/>
      </c>
      <c r="U1976" s="60" t="str">
        <f aca="false">IF(IsPro,IF($D1976="","",IFERROR(MATCH($D1976,Items!$A$5:$A$504,0),"")),"")</f>
        <v/>
      </c>
      <c r="V1976" s="60" t="str">
        <f aca="false">IF(IsPro,IF($C1976="","",IFERROR(MATCH($C1976,Parties!$A$5:$A$304,0),"")),"")</f>
        <v/>
      </c>
      <c r="W1976" s="60" t="str">
        <f aca="false">IF(IsPro,IF($B1976="","",IFERROR(VALUE(SUBSTITUTE($B1976,InvPrefix,"")),0)),"")</f>
        <v/>
      </c>
      <c r="X1976" s="61" t="str">
        <f aca="false">IF(IsPro,IF($D1976="","",IF(OR($H1976="",$H1976="Credit"),0,Q1976)),"")</f>
        <v/>
      </c>
    </row>
    <row r="1977" customFormat="false" ht="15" hidden="false" customHeight="false" outlineLevel="0" collapsed="false">
      <c r="A1977" s="55"/>
      <c r="B1977" s="56"/>
      <c r="C1977" s="56"/>
      <c r="D1977" s="56"/>
      <c r="E1977" s="57"/>
      <c r="F1977" s="58"/>
      <c r="G1977" s="59"/>
      <c r="H1977" s="56"/>
      <c r="I1977" s="56"/>
      <c r="J1977" s="60" t="str">
        <f aca="false">IF(IsPro,IF($D1977="","",IFERROR(INDEX(Items!$D$5:$D$504,U1977),"")),"")</f>
        <v/>
      </c>
      <c r="K1977" s="61" t="str">
        <f aca="false">IF(IsPro,IF($D1977="","",IF($F1977="",IFERROR(INDEX(Items!$H$5:$H$504,U1977),0),$F1977)),"")</f>
        <v/>
      </c>
      <c r="L1977" s="61" t="str">
        <f aca="false">IF(IsPro,IF($D1977="","",ROUND(N($E1977)*K1977*(1-N($G1977)),2)),"")</f>
        <v/>
      </c>
      <c r="M1977" s="62" t="str">
        <f aca="false">IF(IsPro,IF($D1977="","",IFERROR(INDEX(Items!$F$5:$F$504,U1977),0)),"")</f>
        <v/>
      </c>
      <c r="N1977" s="61" t="str">
        <f aca="false">IF(IsPro,IF($D1977="","",IF(AND(V1977&lt;&gt;"",INDEX(Parties!$E$5:$E$304,V1977)&lt;&gt;"",INDEX(Parties!$E$5:$E$304,V1977)&lt;&gt;HomeState),0,ROUND(L1977*M1977/2,2))),"")</f>
        <v/>
      </c>
      <c r="O1977" s="61" t="str">
        <f aca="false">IF(IsPro,IF($D1977="","",N1977),"")</f>
        <v/>
      </c>
      <c r="P1977" s="61" t="str">
        <f aca="false">IF(IsPro,IF($D1977="","",IF(AND(V1977&lt;&gt;"",INDEX(Parties!$E$5:$E$304,V1977)&lt;&gt;"",INDEX(Parties!$E$5:$E$304,V1977)&lt;&gt;HomeState),ROUND(L1977*M1977,2),0)),"")</f>
        <v/>
      </c>
      <c r="Q1977" s="61" t="str">
        <f aca="false">IF(IsPro,IF($D1977="","",L1977+N1977+O1977+P1977),"")</f>
        <v/>
      </c>
      <c r="R1977" s="61" t="str">
        <f aca="false">IF(IsPro,IF($D1977="","",ROUND(N($E1977)*IFERROR(INDEX(Items!$P$5:$P$504,U1977),0),2)),"")</f>
        <v/>
      </c>
      <c r="S1977" s="61" t="str">
        <f aca="false">IF(IsPro,IF($D1977="","",L1977-R1977),"")</f>
        <v/>
      </c>
      <c r="T1977" s="60" t="str">
        <f aca="false">IF(IsPro,IF($D1977="","",IF(U1977="","UNKNOWN ITEM",IF(INDEX(Items!$O$5:$O$504,U1977)&lt;0,"NEG STOCK",IF(K1977&lt;INDEX(Items!$P$5:$P$504,U1977),"BELOW COST","OK")))),IF($D1977="","","PRO PLAN"))</f>
        <v/>
      </c>
      <c r="U1977" s="60" t="str">
        <f aca="false">IF(IsPro,IF($D1977="","",IFERROR(MATCH($D1977,Items!$A$5:$A$504,0),"")),"")</f>
        <v/>
      </c>
      <c r="V1977" s="60" t="str">
        <f aca="false">IF(IsPro,IF($C1977="","",IFERROR(MATCH($C1977,Parties!$A$5:$A$304,0),"")),"")</f>
        <v/>
      </c>
      <c r="W1977" s="60" t="str">
        <f aca="false">IF(IsPro,IF($B1977="","",IFERROR(VALUE(SUBSTITUTE($B1977,InvPrefix,"")),0)),"")</f>
        <v/>
      </c>
      <c r="X1977" s="61" t="str">
        <f aca="false">IF(IsPro,IF($D1977="","",IF(OR($H1977="",$H1977="Credit"),0,Q1977)),"")</f>
        <v/>
      </c>
    </row>
    <row r="1978" customFormat="false" ht="15" hidden="false" customHeight="false" outlineLevel="0" collapsed="false">
      <c r="A1978" s="55"/>
      <c r="B1978" s="56"/>
      <c r="C1978" s="56"/>
      <c r="D1978" s="56"/>
      <c r="E1978" s="57"/>
      <c r="F1978" s="58"/>
      <c r="G1978" s="59"/>
      <c r="H1978" s="56"/>
      <c r="I1978" s="56"/>
      <c r="J1978" s="60" t="str">
        <f aca="false">IF(IsPro,IF($D1978="","",IFERROR(INDEX(Items!$D$5:$D$504,U1978),"")),"")</f>
        <v/>
      </c>
      <c r="K1978" s="61" t="str">
        <f aca="false">IF(IsPro,IF($D1978="","",IF($F1978="",IFERROR(INDEX(Items!$H$5:$H$504,U1978),0),$F1978)),"")</f>
        <v/>
      </c>
      <c r="L1978" s="61" t="str">
        <f aca="false">IF(IsPro,IF($D1978="","",ROUND(N($E1978)*K1978*(1-N($G1978)),2)),"")</f>
        <v/>
      </c>
      <c r="M1978" s="62" t="str">
        <f aca="false">IF(IsPro,IF($D1978="","",IFERROR(INDEX(Items!$F$5:$F$504,U1978),0)),"")</f>
        <v/>
      </c>
      <c r="N1978" s="61" t="str">
        <f aca="false">IF(IsPro,IF($D1978="","",IF(AND(V1978&lt;&gt;"",INDEX(Parties!$E$5:$E$304,V1978)&lt;&gt;"",INDEX(Parties!$E$5:$E$304,V1978)&lt;&gt;HomeState),0,ROUND(L1978*M1978/2,2))),"")</f>
        <v/>
      </c>
      <c r="O1978" s="61" t="str">
        <f aca="false">IF(IsPro,IF($D1978="","",N1978),"")</f>
        <v/>
      </c>
      <c r="P1978" s="61" t="str">
        <f aca="false">IF(IsPro,IF($D1978="","",IF(AND(V1978&lt;&gt;"",INDEX(Parties!$E$5:$E$304,V1978)&lt;&gt;"",INDEX(Parties!$E$5:$E$304,V1978)&lt;&gt;HomeState),ROUND(L1978*M1978,2),0)),"")</f>
        <v/>
      </c>
      <c r="Q1978" s="61" t="str">
        <f aca="false">IF(IsPro,IF($D1978="","",L1978+N1978+O1978+P1978),"")</f>
        <v/>
      </c>
      <c r="R1978" s="61" t="str">
        <f aca="false">IF(IsPro,IF($D1978="","",ROUND(N($E1978)*IFERROR(INDEX(Items!$P$5:$P$504,U1978),0),2)),"")</f>
        <v/>
      </c>
      <c r="S1978" s="61" t="str">
        <f aca="false">IF(IsPro,IF($D1978="","",L1978-R1978),"")</f>
        <v/>
      </c>
      <c r="T1978" s="60" t="str">
        <f aca="false">IF(IsPro,IF($D1978="","",IF(U1978="","UNKNOWN ITEM",IF(INDEX(Items!$O$5:$O$504,U1978)&lt;0,"NEG STOCK",IF(K1978&lt;INDEX(Items!$P$5:$P$504,U1978),"BELOW COST","OK")))),IF($D1978="","","PRO PLAN"))</f>
        <v/>
      </c>
      <c r="U1978" s="60" t="str">
        <f aca="false">IF(IsPro,IF($D1978="","",IFERROR(MATCH($D1978,Items!$A$5:$A$504,0),"")),"")</f>
        <v/>
      </c>
      <c r="V1978" s="60" t="str">
        <f aca="false">IF(IsPro,IF($C1978="","",IFERROR(MATCH($C1978,Parties!$A$5:$A$304,0),"")),"")</f>
        <v/>
      </c>
      <c r="W1978" s="60" t="str">
        <f aca="false">IF(IsPro,IF($B1978="","",IFERROR(VALUE(SUBSTITUTE($B1978,InvPrefix,"")),0)),"")</f>
        <v/>
      </c>
      <c r="X1978" s="61" t="str">
        <f aca="false">IF(IsPro,IF($D1978="","",IF(OR($H1978="",$H1978="Credit"),0,Q1978)),"")</f>
        <v/>
      </c>
    </row>
    <row r="1979" customFormat="false" ht="15" hidden="false" customHeight="false" outlineLevel="0" collapsed="false">
      <c r="A1979" s="55"/>
      <c r="B1979" s="56"/>
      <c r="C1979" s="56"/>
      <c r="D1979" s="56"/>
      <c r="E1979" s="57"/>
      <c r="F1979" s="58"/>
      <c r="G1979" s="59"/>
      <c r="H1979" s="56"/>
      <c r="I1979" s="56"/>
      <c r="J1979" s="60" t="str">
        <f aca="false">IF(IsPro,IF($D1979="","",IFERROR(INDEX(Items!$D$5:$D$504,U1979),"")),"")</f>
        <v/>
      </c>
      <c r="K1979" s="61" t="str">
        <f aca="false">IF(IsPro,IF($D1979="","",IF($F1979="",IFERROR(INDEX(Items!$H$5:$H$504,U1979),0),$F1979)),"")</f>
        <v/>
      </c>
      <c r="L1979" s="61" t="str">
        <f aca="false">IF(IsPro,IF($D1979="","",ROUND(N($E1979)*K1979*(1-N($G1979)),2)),"")</f>
        <v/>
      </c>
      <c r="M1979" s="62" t="str">
        <f aca="false">IF(IsPro,IF($D1979="","",IFERROR(INDEX(Items!$F$5:$F$504,U1979),0)),"")</f>
        <v/>
      </c>
      <c r="N1979" s="61" t="str">
        <f aca="false">IF(IsPro,IF($D1979="","",IF(AND(V1979&lt;&gt;"",INDEX(Parties!$E$5:$E$304,V1979)&lt;&gt;"",INDEX(Parties!$E$5:$E$304,V1979)&lt;&gt;HomeState),0,ROUND(L1979*M1979/2,2))),"")</f>
        <v/>
      </c>
      <c r="O1979" s="61" t="str">
        <f aca="false">IF(IsPro,IF($D1979="","",N1979),"")</f>
        <v/>
      </c>
      <c r="P1979" s="61" t="str">
        <f aca="false">IF(IsPro,IF($D1979="","",IF(AND(V1979&lt;&gt;"",INDEX(Parties!$E$5:$E$304,V1979)&lt;&gt;"",INDEX(Parties!$E$5:$E$304,V1979)&lt;&gt;HomeState),ROUND(L1979*M1979,2),0)),"")</f>
        <v/>
      </c>
      <c r="Q1979" s="61" t="str">
        <f aca="false">IF(IsPro,IF($D1979="","",L1979+N1979+O1979+P1979),"")</f>
        <v/>
      </c>
      <c r="R1979" s="61" t="str">
        <f aca="false">IF(IsPro,IF($D1979="","",ROUND(N($E1979)*IFERROR(INDEX(Items!$P$5:$P$504,U1979),0),2)),"")</f>
        <v/>
      </c>
      <c r="S1979" s="61" t="str">
        <f aca="false">IF(IsPro,IF($D1979="","",L1979-R1979),"")</f>
        <v/>
      </c>
      <c r="T1979" s="60" t="str">
        <f aca="false">IF(IsPro,IF($D1979="","",IF(U1979="","UNKNOWN ITEM",IF(INDEX(Items!$O$5:$O$504,U1979)&lt;0,"NEG STOCK",IF(K1979&lt;INDEX(Items!$P$5:$P$504,U1979),"BELOW COST","OK")))),IF($D1979="","","PRO PLAN"))</f>
        <v/>
      </c>
      <c r="U1979" s="60" t="str">
        <f aca="false">IF(IsPro,IF($D1979="","",IFERROR(MATCH($D1979,Items!$A$5:$A$504,0),"")),"")</f>
        <v/>
      </c>
      <c r="V1979" s="60" t="str">
        <f aca="false">IF(IsPro,IF($C1979="","",IFERROR(MATCH($C1979,Parties!$A$5:$A$304,0),"")),"")</f>
        <v/>
      </c>
      <c r="W1979" s="60" t="str">
        <f aca="false">IF(IsPro,IF($B1979="","",IFERROR(VALUE(SUBSTITUTE($B1979,InvPrefix,"")),0)),"")</f>
        <v/>
      </c>
      <c r="X1979" s="61" t="str">
        <f aca="false">IF(IsPro,IF($D1979="","",IF(OR($H1979="",$H1979="Credit"),0,Q1979)),"")</f>
        <v/>
      </c>
    </row>
    <row r="1980" customFormat="false" ht="15" hidden="false" customHeight="false" outlineLevel="0" collapsed="false">
      <c r="A1980" s="55"/>
      <c r="B1980" s="56"/>
      <c r="C1980" s="56"/>
      <c r="D1980" s="56"/>
      <c r="E1980" s="57"/>
      <c r="F1980" s="58"/>
      <c r="G1980" s="59"/>
      <c r="H1980" s="56"/>
      <c r="I1980" s="56"/>
      <c r="J1980" s="60" t="str">
        <f aca="false">IF(IsPro,IF($D1980="","",IFERROR(INDEX(Items!$D$5:$D$504,U1980),"")),"")</f>
        <v/>
      </c>
      <c r="K1980" s="61" t="str">
        <f aca="false">IF(IsPro,IF($D1980="","",IF($F1980="",IFERROR(INDEX(Items!$H$5:$H$504,U1980),0),$F1980)),"")</f>
        <v/>
      </c>
      <c r="L1980" s="61" t="str">
        <f aca="false">IF(IsPro,IF($D1980="","",ROUND(N($E1980)*K1980*(1-N($G1980)),2)),"")</f>
        <v/>
      </c>
      <c r="M1980" s="62" t="str">
        <f aca="false">IF(IsPro,IF($D1980="","",IFERROR(INDEX(Items!$F$5:$F$504,U1980),0)),"")</f>
        <v/>
      </c>
      <c r="N1980" s="61" t="str">
        <f aca="false">IF(IsPro,IF($D1980="","",IF(AND(V1980&lt;&gt;"",INDEX(Parties!$E$5:$E$304,V1980)&lt;&gt;"",INDEX(Parties!$E$5:$E$304,V1980)&lt;&gt;HomeState),0,ROUND(L1980*M1980/2,2))),"")</f>
        <v/>
      </c>
      <c r="O1980" s="61" t="str">
        <f aca="false">IF(IsPro,IF($D1980="","",N1980),"")</f>
        <v/>
      </c>
      <c r="P1980" s="61" t="str">
        <f aca="false">IF(IsPro,IF($D1980="","",IF(AND(V1980&lt;&gt;"",INDEX(Parties!$E$5:$E$304,V1980)&lt;&gt;"",INDEX(Parties!$E$5:$E$304,V1980)&lt;&gt;HomeState),ROUND(L1980*M1980,2),0)),"")</f>
        <v/>
      </c>
      <c r="Q1980" s="61" t="str">
        <f aca="false">IF(IsPro,IF($D1980="","",L1980+N1980+O1980+P1980),"")</f>
        <v/>
      </c>
      <c r="R1980" s="61" t="str">
        <f aca="false">IF(IsPro,IF($D1980="","",ROUND(N($E1980)*IFERROR(INDEX(Items!$P$5:$P$504,U1980),0),2)),"")</f>
        <v/>
      </c>
      <c r="S1980" s="61" t="str">
        <f aca="false">IF(IsPro,IF($D1980="","",L1980-R1980),"")</f>
        <v/>
      </c>
      <c r="T1980" s="60" t="str">
        <f aca="false">IF(IsPro,IF($D1980="","",IF(U1980="","UNKNOWN ITEM",IF(INDEX(Items!$O$5:$O$504,U1980)&lt;0,"NEG STOCK",IF(K1980&lt;INDEX(Items!$P$5:$P$504,U1980),"BELOW COST","OK")))),IF($D1980="","","PRO PLAN"))</f>
        <v/>
      </c>
      <c r="U1980" s="60" t="str">
        <f aca="false">IF(IsPro,IF($D1980="","",IFERROR(MATCH($D1980,Items!$A$5:$A$504,0),"")),"")</f>
        <v/>
      </c>
      <c r="V1980" s="60" t="str">
        <f aca="false">IF(IsPro,IF($C1980="","",IFERROR(MATCH($C1980,Parties!$A$5:$A$304,0),"")),"")</f>
        <v/>
      </c>
      <c r="W1980" s="60" t="str">
        <f aca="false">IF(IsPro,IF($B1980="","",IFERROR(VALUE(SUBSTITUTE($B1980,InvPrefix,"")),0)),"")</f>
        <v/>
      </c>
      <c r="X1980" s="61" t="str">
        <f aca="false">IF(IsPro,IF($D1980="","",IF(OR($H1980="",$H1980="Credit"),0,Q1980)),"")</f>
        <v/>
      </c>
    </row>
    <row r="1981" customFormat="false" ht="15" hidden="false" customHeight="false" outlineLevel="0" collapsed="false">
      <c r="A1981" s="55"/>
      <c r="B1981" s="56"/>
      <c r="C1981" s="56"/>
      <c r="D1981" s="56"/>
      <c r="E1981" s="57"/>
      <c r="F1981" s="58"/>
      <c r="G1981" s="59"/>
      <c r="H1981" s="56"/>
      <c r="I1981" s="56"/>
      <c r="J1981" s="60" t="str">
        <f aca="false">IF(IsPro,IF($D1981="","",IFERROR(INDEX(Items!$D$5:$D$504,U1981),"")),"")</f>
        <v/>
      </c>
      <c r="K1981" s="61" t="str">
        <f aca="false">IF(IsPro,IF($D1981="","",IF($F1981="",IFERROR(INDEX(Items!$H$5:$H$504,U1981),0),$F1981)),"")</f>
        <v/>
      </c>
      <c r="L1981" s="61" t="str">
        <f aca="false">IF(IsPro,IF($D1981="","",ROUND(N($E1981)*K1981*(1-N($G1981)),2)),"")</f>
        <v/>
      </c>
      <c r="M1981" s="62" t="str">
        <f aca="false">IF(IsPro,IF($D1981="","",IFERROR(INDEX(Items!$F$5:$F$504,U1981),0)),"")</f>
        <v/>
      </c>
      <c r="N1981" s="61" t="str">
        <f aca="false">IF(IsPro,IF($D1981="","",IF(AND(V1981&lt;&gt;"",INDEX(Parties!$E$5:$E$304,V1981)&lt;&gt;"",INDEX(Parties!$E$5:$E$304,V1981)&lt;&gt;HomeState),0,ROUND(L1981*M1981/2,2))),"")</f>
        <v/>
      </c>
      <c r="O1981" s="61" t="str">
        <f aca="false">IF(IsPro,IF($D1981="","",N1981),"")</f>
        <v/>
      </c>
      <c r="P1981" s="61" t="str">
        <f aca="false">IF(IsPro,IF($D1981="","",IF(AND(V1981&lt;&gt;"",INDEX(Parties!$E$5:$E$304,V1981)&lt;&gt;"",INDEX(Parties!$E$5:$E$304,V1981)&lt;&gt;HomeState),ROUND(L1981*M1981,2),0)),"")</f>
        <v/>
      </c>
      <c r="Q1981" s="61" t="str">
        <f aca="false">IF(IsPro,IF($D1981="","",L1981+N1981+O1981+P1981),"")</f>
        <v/>
      </c>
      <c r="R1981" s="61" t="str">
        <f aca="false">IF(IsPro,IF($D1981="","",ROUND(N($E1981)*IFERROR(INDEX(Items!$P$5:$P$504,U1981),0),2)),"")</f>
        <v/>
      </c>
      <c r="S1981" s="61" t="str">
        <f aca="false">IF(IsPro,IF($D1981="","",L1981-R1981),"")</f>
        <v/>
      </c>
      <c r="T1981" s="60" t="str">
        <f aca="false">IF(IsPro,IF($D1981="","",IF(U1981="","UNKNOWN ITEM",IF(INDEX(Items!$O$5:$O$504,U1981)&lt;0,"NEG STOCK",IF(K1981&lt;INDEX(Items!$P$5:$P$504,U1981),"BELOW COST","OK")))),IF($D1981="","","PRO PLAN"))</f>
        <v/>
      </c>
      <c r="U1981" s="60" t="str">
        <f aca="false">IF(IsPro,IF($D1981="","",IFERROR(MATCH($D1981,Items!$A$5:$A$504,0),"")),"")</f>
        <v/>
      </c>
      <c r="V1981" s="60" t="str">
        <f aca="false">IF(IsPro,IF($C1981="","",IFERROR(MATCH($C1981,Parties!$A$5:$A$304,0),"")),"")</f>
        <v/>
      </c>
      <c r="W1981" s="60" t="str">
        <f aca="false">IF(IsPro,IF($B1981="","",IFERROR(VALUE(SUBSTITUTE($B1981,InvPrefix,"")),0)),"")</f>
        <v/>
      </c>
      <c r="X1981" s="61" t="str">
        <f aca="false">IF(IsPro,IF($D1981="","",IF(OR($H1981="",$H1981="Credit"),0,Q1981)),"")</f>
        <v/>
      </c>
    </row>
    <row r="1982" customFormat="false" ht="15" hidden="false" customHeight="false" outlineLevel="0" collapsed="false">
      <c r="A1982" s="55"/>
      <c r="B1982" s="56"/>
      <c r="C1982" s="56"/>
      <c r="D1982" s="56"/>
      <c r="E1982" s="57"/>
      <c r="F1982" s="58"/>
      <c r="G1982" s="59"/>
      <c r="H1982" s="56"/>
      <c r="I1982" s="56"/>
      <c r="J1982" s="60" t="str">
        <f aca="false">IF(IsPro,IF($D1982="","",IFERROR(INDEX(Items!$D$5:$D$504,U1982),"")),"")</f>
        <v/>
      </c>
      <c r="K1982" s="61" t="str">
        <f aca="false">IF(IsPro,IF($D1982="","",IF($F1982="",IFERROR(INDEX(Items!$H$5:$H$504,U1982),0),$F1982)),"")</f>
        <v/>
      </c>
      <c r="L1982" s="61" t="str">
        <f aca="false">IF(IsPro,IF($D1982="","",ROUND(N($E1982)*K1982*(1-N($G1982)),2)),"")</f>
        <v/>
      </c>
      <c r="M1982" s="62" t="str">
        <f aca="false">IF(IsPro,IF($D1982="","",IFERROR(INDEX(Items!$F$5:$F$504,U1982),0)),"")</f>
        <v/>
      </c>
      <c r="N1982" s="61" t="str">
        <f aca="false">IF(IsPro,IF($D1982="","",IF(AND(V1982&lt;&gt;"",INDEX(Parties!$E$5:$E$304,V1982)&lt;&gt;"",INDEX(Parties!$E$5:$E$304,V1982)&lt;&gt;HomeState),0,ROUND(L1982*M1982/2,2))),"")</f>
        <v/>
      </c>
      <c r="O1982" s="61" t="str">
        <f aca="false">IF(IsPro,IF($D1982="","",N1982),"")</f>
        <v/>
      </c>
      <c r="P1982" s="61" t="str">
        <f aca="false">IF(IsPro,IF($D1982="","",IF(AND(V1982&lt;&gt;"",INDEX(Parties!$E$5:$E$304,V1982)&lt;&gt;"",INDEX(Parties!$E$5:$E$304,V1982)&lt;&gt;HomeState),ROUND(L1982*M1982,2),0)),"")</f>
        <v/>
      </c>
      <c r="Q1982" s="61" t="str">
        <f aca="false">IF(IsPro,IF($D1982="","",L1982+N1982+O1982+P1982),"")</f>
        <v/>
      </c>
      <c r="R1982" s="61" t="str">
        <f aca="false">IF(IsPro,IF($D1982="","",ROUND(N($E1982)*IFERROR(INDEX(Items!$P$5:$P$504,U1982),0),2)),"")</f>
        <v/>
      </c>
      <c r="S1982" s="61" t="str">
        <f aca="false">IF(IsPro,IF($D1982="","",L1982-R1982),"")</f>
        <v/>
      </c>
      <c r="T1982" s="60" t="str">
        <f aca="false">IF(IsPro,IF($D1982="","",IF(U1982="","UNKNOWN ITEM",IF(INDEX(Items!$O$5:$O$504,U1982)&lt;0,"NEG STOCK",IF(K1982&lt;INDEX(Items!$P$5:$P$504,U1982),"BELOW COST","OK")))),IF($D1982="","","PRO PLAN"))</f>
        <v/>
      </c>
      <c r="U1982" s="60" t="str">
        <f aca="false">IF(IsPro,IF($D1982="","",IFERROR(MATCH($D1982,Items!$A$5:$A$504,0),"")),"")</f>
        <v/>
      </c>
      <c r="V1982" s="60" t="str">
        <f aca="false">IF(IsPro,IF($C1982="","",IFERROR(MATCH($C1982,Parties!$A$5:$A$304,0),"")),"")</f>
        <v/>
      </c>
      <c r="W1982" s="60" t="str">
        <f aca="false">IF(IsPro,IF($B1982="","",IFERROR(VALUE(SUBSTITUTE($B1982,InvPrefix,"")),0)),"")</f>
        <v/>
      </c>
      <c r="X1982" s="61" t="str">
        <f aca="false">IF(IsPro,IF($D1982="","",IF(OR($H1982="",$H1982="Credit"),0,Q1982)),"")</f>
        <v/>
      </c>
    </row>
    <row r="1983" customFormat="false" ht="15" hidden="false" customHeight="false" outlineLevel="0" collapsed="false">
      <c r="A1983" s="55"/>
      <c r="B1983" s="56"/>
      <c r="C1983" s="56"/>
      <c r="D1983" s="56"/>
      <c r="E1983" s="57"/>
      <c r="F1983" s="58"/>
      <c r="G1983" s="59"/>
      <c r="H1983" s="56"/>
      <c r="I1983" s="56"/>
      <c r="J1983" s="60" t="str">
        <f aca="false">IF(IsPro,IF($D1983="","",IFERROR(INDEX(Items!$D$5:$D$504,U1983),"")),"")</f>
        <v/>
      </c>
      <c r="K1983" s="61" t="str">
        <f aca="false">IF(IsPro,IF($D1983="","",IF($F1983="",IFERROR(INDEX(Items!$H$5:$H$504,U1983),0),$F1983)),"")</f>
        <v/>
      </c>
      <c r="L1983" s="61" t="str">
        <f aca="false">IF(IsPro,IF($D1983="","",ROUND(N($E1983)*K1983*(1-N($G1983)),2)),"")</f>
        <v/>
      </c>
      <c r="M1983" s="62" t="str">
        <f aca="false">IF(IsPro,IF($D1983="","",IFERROR(INDEX(Items!$F$5:$F$504,U1983),0)),"")</f>
        <v/>
      </c>
      <c r="N1983" s="61" t="str">
        <f aca="false">IF(IsPro,IF($D1983="","",IF(AND(V1983&lt;&gt;"",INDEX(Parties!$E$5:$E$304,V1983)&lt;&gt;"",INDEX(Parties!$E$5:$E$304,V1983)&lt;&gt;HomeState),0,ROUND(L1983*M1983/2,2))),"")</f>
        <v/>
      </c>
      <c r="O1983" s="61" t="str">
        <f aca="false">IF(IsPro,IF($D1983="","",N1983),"")</f>
        <v/>
      </c>
      <c r="P1983" s="61" t="str">
        <f aca="false">IF(IsPro,IF($D1983="","",IF(AND(V1983&lt;&gt;"",INDEX(Parties!$E$5:$E$304,V1983)&lt;&gt;"",INDEX(Parties!$E$5:$E$304,V1983)&lt;&gt;HomeState),ROUND(L1983*M1983,2),0)),"")</f>
        <v/>
      </c>
      <c r="Q1983" s="61" t="str">
        <f aca="false">IF(IsPro,IF($D1983="","",L1983+N1983+O1983+P1983),"")</f>
        <v/>
      </c>
      <c r="R1983" s="61" t="str">
        <f aca="false">IF(IsPro,IF($D1983="","",ROUND(N($E1983)*IFERROR(INDEX(Items!$P$5:$P$504,U1983),0),2)),"")</f>
        <v/>
      </c>
      <c r="S1983" s="61" t="str">
        <f aca="false">IF(IsPro,IF($D1983="","",L1983-R1983),"")</f>
        <v/>
      </c>
      <c r="T1983" s="60" t="str">
        <f aca="false">IF(IsPro,IF($D1983="","",IF(U1983="","UNKNOWN ITEM",IF(INDEX(Items!$O$5:$O$504,U1983)&lt;0,"NEG STOCK",IF(K1983&lt;INDEX(Items!$P$5:$P$504,U1983),"BELOW COST","OK")))),IF($D1983="","","PRO PLAN"))</f>
        <v/>
      </c>
      <c r="U1983" s="60" t="str">
        <f aca="false">IF(IsPro,IF($D1983="","",IFERROR(MATCH($D1983,Items!$A$5:$A$504,0),"")),"")</f>
        <v/>
      </c>
      <c r="V1983" s="60" t="str">
        <f aca="false">IF(IsPro,IF($C1983="","",IFERROR(MATCH($C1983,Parties!$A$5:$A$304,0),"")),"")</f>
        <v/>
      </c>
      <c r="W1983" s="60" t="str">
        <f aca="false">IF(IsPro,IF($B1983="","",IFERROR(VALUE(SUBSTITUTE($B1983,InvPrefix,"")),0)),"")</f>
        <v/>
      </c>
      <c r="X1983" s="61" t="str">
        <f aca="false">IF(IsPro,IF($D1983="","",IF(OR($H1983="",$H1983="Credit"),0,Q1983)),"")</f>
        <v/>
      </c>
    </row>
    <row r="1984" customFormat="false" ht="15" hidden="false" customHeight="false" outlineLevel="0" collapsed="false">
      <c r="A1984" s="55"/>
      <c r="B1984" s="56"/>
      <c r="C1984" s="56"/>
      <c r="D1984" s="56"/>
      <c r="E1984" s="57"/>
      <c r="F1984" s="58"/>
      <c r="G1984" s="59"/>
      <c r="H1984" s="56"/>
      <c r="I1984" s="56"/>
      <c r="J1984" s="60" t="str">
        <f aca="false">IF(IsPro,IF($D1984="","",IFERROR(INDEX(Items!$D$5:$D$504,U1984),"")),"")</f>
        <v/>
      </c>
      <c r="K1984" s="61" t="str">
        <f aca="false">IF(IsPro,IF($D1984="","",IF($F1984="",IFERROR(INDEX(Items!$H$5:$H$504,U1984),0),$F1984)),"")</f>
        <v/>
      </c>
      <c r="L1984" s="61" t="str">
        <f aca="false">IF(IsPro,IF($D1984="","",ROUND(N($E1984)*K1984*(1-N($G1984)),2)),"")</f>
        <v/>
      </c>
      <c r="M1984" s="62" t="str">
        <f aca="false">IF(IsPro,IF($D1984="","",IFERROR(INDEX(Items!$F$5:$F$504,U1984),0)),"")</f>
        <v/>
      </c>
      <c r="N1984" s="61" t="str">
        <f aca="false">IF(IsPro,IF($D1984="","",IF(AND(V1984&lt;&gt;"",INDEX(Parties!$E$5:$E$304,V1984)&lt;&gt;"",INDEX(Parties!$E$5:$E$304,V1984)&lt;&gt;HomeState),0,ROUND(L1984*M1984/2,2))),"")</f>
        <v/>
      </c>
      <c r="O1984" s="61" t="str">
        <f aca="false">IF(IsPro,IF($D1984="","",N1984),"")</f>
        <v/>
      </c>
      <c r="P1984" s="61" t="str">
        <f aca="false">IF(IsPro,IF($D1984="","",IF(AND(V1984&lt;&gt;"",INDEX(Parties!$E$5:$E$304,V1984)&lt;&gt;"",INDEX(Parties!$E$5:$E$304,V1984)&lt;&gt;HomeState),ROUND(L1984*M1984,2),0)),"")</f>
        <v/>
      </c>
      <c r="Q1984" s="61" t="str">
        <f aca="false">IF(IsPro,IF($D1984="","",L1984+N1984+O1984+P1984),"")</f>
        <v/>
      </c>
      <c r="R1984" s="61" t="str">
        <f aca="false">IF(IsPro,IF($D1984="","",ROUND(N($E1984)*IFERROR(INDEX(Items!$P$5:$P$504,U1984),0),2)),"")</f>
        <v/>
      </c>
      <c r="S1984" s="61" t="str">
        <f aca="false">IF(IsPro,IF($D1984="","",L1984-R1984),"")</f>
        <v/>
      </c>
      <c r="T1984" s="60" t="str">
        <f aca="false">IF(IsPro,IF($D1984="","",IF(U1984="","UNKNOWN ITEM",IF(INDEX(Items!$O$5:$O$504,U1984)&lt;0,"NEG STOCK",IF(K1984&lt;INDEX(Items!$P$5:$P$504,U1984),"BELOW COST","OK")))),IF($D1984="","","PRO PLAN"))</f>
        <v/>
      </c>
      <c r="U1984" s="60" t="str">
        <f aca="false">IF(IsPro,IF($D1984="","",IFERROR(MATCH($D1984,Items!$A$5:$A$504,0),"")),"")</f>
        <v/>
      </c>
      <c r="V1984" s="60" t="str">
        <f aca="false">IF(IsPro,IF($C1984="","",IFERROR(MATCH($C1984,Parties!$A$5:$A$304,0),"")),"")</f>
        <v/>
      </c>
      <c r="W1984" s="60" t="str">
        <f aca="false">IF(IsPro,IF($B1984="","",IFERROR(VALUE(SUBSTITUTE($B1984,InvPrefix,"")),0)),"")</f>
        <v/>
      </c>
      <c r="X1984" s="61" t="str">
        <f aca="false">IF(IsPro,IF($D1984="","",IF(OR($H1984="",$H1984="Credit"),0,Q1984)),"")</f>
        <v/>
      </c>
    </row>
    <row r="1985" customFormat="false" ht="15" hidden="false" customHeight="false" outlineLevel="0" collapsed="false">
      <c r="A1985" s="55"/>
      <c r="B1985" s="56"/>
      <c r="C1985" s="56"/>
      <c r="D1985" s="56"/>
      <c r="E1985" s="57"/>
      <c r="F1985" s="58"/>
      <c r="G1985" s="59"/>
      <c r="H1985" s="56"/>
      <c r="I1985" s="56"/>
      <c r="J1985" s="60" t="str">
        <f aca="false">IF(IsPro,IF($D1985="","",IFERROR(INDEX(Items!$D$5:$D$504,U1985),"")),"")</f>
        <v/>
      </c>
      <c r="K1985" s="61" t="str">
        <f aca="false">IF(IsPro,IF($D1985="","",IF($F1985="",IFERROR(INDEX(Items!$H$5:$H$504,U1985),0),$F1985)),"")</f>
        <v/>
      </c>
      <c r="L1985" s="61" t="str">
        <f aca="false">IF(IsPro,IF($D1985="","",ROUND(N($E1985)*K1985*(1-N($G1985)),2)),"")</f>
        <v/>
      </c>
      <c r="M1985" s="62" t="str">
        <f aca="false">IF(IsPro,IF($D1985="","",IFERROR(INDEX(Items!$F$5:$F$504,U1985),0)),"")</f>
        <v/>
      </c>
      <c r="N1985" s="61" t="str">
        <f aca="false">IF(IsPro,IF($D1985="","",IF(AND(V1985&lt;&gt;"",INDEX(Parties!$E$5:$E$304,V1985)&lt;&gt;"",INDEX(Parties!$E$5:$E$304,V1985)&lt;&gt;HomeState),0,ROUND(L1985*M1985/2,2))),"")</f>
        <v/>
      </c>
      <c r="O1985" s="61" t="str">
        <f aca="false">IF(IsPro,IF($D1985="","",N1985),"")</f>
        <v/>
      </c>
      <c r="P1985" s="61" t="str">
        <f aca="false">IF(IsPro,IF($D1985="","",IF(AND(V1985&lt;&gt;"",INDEX(Parties!$E$5:$E$304,V1985)&lt;&gt;"",INDEX(Parties!$E$5:$E$304,V1985)&lt;&gt;HomeState),ROUND(L1985*M1985,2),0)),"")</f>
        <v/>
      </c>
      <c r="Q1985" s="61" t="str">
        <f aca="false">IF(IsPro,IF($D1985="","",L1985+N1985+O1985+P1985),"")</f>
        <v/>
      </c>
      <c r="R1985" s="61" t="str">
        <f aca="false">IF(IsPro,IF($D1985="","",ROUND(N($E1985)*IFERROR(INDEX(Items!$P$5:$P$504,U1985),0),2)),"")</f>
        <v/>
      </c>
      <c r="S1985" s="61" t="str">
        <f aca="false">IF(IsPro,IF($D1985="","",L1985-R1985),"")</f>
        <v/>
      </c>
      <c r="T1985" s="60" t="str">
        <f aca="false">IF(IsPro,IF($D1985="","",IF(U1985="","UNKNOWN ITEM",IF(INDEX(Items!$O$5:$O$504,U1985)&lt;0,"NEG STOCK",IF(K1985&lt;INDEX(Items!$P$5:$P$504,U1985),"BELOW COST","OK")))),IF($D1985="","","PRO PLAN"))</f>
        <v/>
      </c>
      <c r="U1985" s="60" t="str">
        <f aca="false">IF(IsPro,IF($D1985="","",IFERROR(MATCH($D1985,Items!$A$5:$A$504,0),"")),"")</f>
        <v/>
      </c>
      <c r="V1985" s="60" t="str">
        <f aca="false">IF(IsPro,IF($C1985="","",IFERROR(MATCH($C1985,Parties!$A$5:$A$304,0),"")),"")</f>
        <v/>
      </c>
      <c r="W1985" s="60" t="str">
        <f aca="false">IF(IsPro,IF($B1985="","",IFERROR(VALUE(SUBSTITUTE($B1985,InvPrefix,"")),0)),"")</f>
        <v/>
      </c>
      <c r="X1985" s="61" t="str">
        <f aca="false">IF(IsPro,IF($D1985="","",IF(OR($H1985="",$H1985="Credit"),0,Q1985)),"")</f>
        <v/>
      </c>
    </row>
    <row r="1986" customFormat="false" ht="15" hidden="false" customHeight="false" outlineLevel="0" collapsed="false">
      <c r="A1986" s="55"/>
      <c r="B1986" s="56"/>
      <c r="C1986" s="56"/>
      <c r="D1986" s="56"/>
      <c r="E1986" s="57"/>
      <c r="F1986" s="58"/>
      <c r="G1986" s="59"/>
      <c r="H1986" s="56"/>
      <c r="I1986" s="56"/>
      <c r="J1986" s="60" t="str">
        <f aca="false">IF(IsPro,IF($D1986="","",IFERROR(INDEX(Items!$D$5:$D$504,U1986),"")),"")</f>
        <v/>
      </c>
      <c r="K1986" s="61" t="str">
        <f aca="false">IF(IsPro,IF($D1986="","",IF($F1986="",IFERROR(INDEX(Items!$H$5:$H$504,U1986),0),$F1986)),"")</f>
        <v/>
      </c>
      <c r="L1986" s="61" t="str">
        <f aca="false">IF(IsPro,IF($D1986="","",ROUND(N($E1986)*K1986*(1-N($G1986)),2)),"")</f>
        <v/>
      </c>
      <c r="M1986" s="62" t="str">
        <f aca="false">IF(IsPro,IF($D1986="","",IFERROR(INDEX(Items!$F$5:$F$504,U1986),0)),"")</f>
        <v/>
      </c>
      <c r="N1986" s="61" t="str">
        <f aca="false">IF(IsPro,IF($D1986="","",IF(AND(V1986&lt;&gt;"",INDEX(Parties!$E$5:$E$304,V1986)&lt;&gt;"",INDEX(Parties!$E$5:$E$304,V1986)&lt;&gt;HomeState),0,ROUND(L1986*M1986/2,2))),"")</f>
        <v/>
      </c>
      <c r="O1986" s="61" t="str">
        <f aca="false">IF(IsPro,IF($D1986="","",N1986),"")</f>
        <v/>
      </c>
      <c r="P1986" s="61" t="str">
        <f aca="false">IF(IsPro,IF($D1986="","",IF(AND(V1986&lt;&gt;"",INDEX(Parties!$E$5:$E$304,V1986)&lt;&gt;"",INDEX(Parties!$E$5:$E$304,V1986)&lt;&gt;HomeState),ROUND(L1986*M1986,2),0)),"")</f>
        <v/>
      </c>
      <c r="Q1986" s="61" t="str">
        <f aca="false">IF(IsPro,IF($D1986="","",L1986+N1986+O1986+P1986),"")</f>
        <v/>
      </c>
      <c r="R1986" s="61" t="str">
        <f aca="false">IF(IsPro,IF($D1986="","",ROUND(N($E1986)*IFERROR(INDEX(Items!$P$5:$P$504,U1986),0),2)),"")</f>
        <v/>
      </c>
      <c r="S1986" s="61" t="str">
        <f aca="false">IF(IsPro,IF($D1986="","",L1986-R1986),"")</f>
        <v/>
      </c>
      <c r="T1986" s="60" t="str">
        <f aca="false">IF(IsPro,IF($D1986="","",IF(U1986="","UNKNOWN ITEM",IF(INDEX(Items!$O$5:$O$504,U1986)&lt;0,"NEG STOCK",IF(K1986&lt;INDEX(Items!$P$5:$P$504,U1986),"BELOW COST","OK")))),IF($D1986="","","PRO PLAN"))</f>
        <v/>
      </c>
      <c r="U1986" s="60" t="str">
        <f aca="false">IF(IsPro,IF($D1986="","",IFERROR(MATCH($D1986,Items!$A$5:$A$504,0),"")),"")</f>
        <v/>
      </c>
      <c r="V1986" s="60" t="str">
        <f aca="false">IF(IsPro,IF($C1986="","",IFERROR(MATCH($C1986,Parties!$A$5:$A$304,0),"")),"")</f>
        <v/>
      </c>
      <c r="W1986" s="60" t="str">
        <f aca="false">IF(IsPro,IF($B1986="","",IFERROR(VALUE(SUBSTITUTE($B1986,InvPrefix,"")),0)),"")</f>
        <v/>
      </c>
      <c r="X1986" s="61" t="str">
        <f aca="false">IF(IsPro,IF($D1986="","",IF(OR($H1986="",$H1986="Credit"),0,Q1986)),"")</f>
        <v/>
      </c>
    </row>
    <row r="1987" customFormat="false" ht="15" hidden="false" customHeight="false" outlineLevel="0" collapsed="false">
      <c r="A1987" s="55"/>
      <c r="B1987" s="56"/>
      <c r="C1987" s="56"/>
      <c r="D1987" s="56"/>
      <c r="E1987" s="57"/>
      <c r="F1987" s="58"/>
      <c r="G1987" s="59"/>
      <c r="H1987" s="56"/>
      <c r="I1987" s="56"/>
      <c r="J1987" s="60" t="str">
        <f aca="false">IF(IsPro,IF($D1987="","",IFERROR(INDEX(Items!$D$5:$D$504,U1987),"")),"")</f>
        <v/>
      </c>
      <c r="K1987" s="61" t="str">
        <f aca="false">IF(IsPro,IF($D1987="","",IF($F1987="",IFERROR(INDEX(Items!$H$5:$H$504,U1987),0),$F1987)),"")</f>
        <v/>
      </c>
      <c r="L1987" s="61" t="str">
        <f aca="false">IF(IsPro,IF($D1987="","",ROUND(N($E1987)*K1987*(1-N($G1987)),2)),"")</f>
        <v/>
      </c>
      <c r="M1987" s="62" t="str">
        <f aca="false">IF(IsPro,IF($D1987="","",IFERROR(INDEX(Items!$F$5:$F$504,U1987),0)),"")</f>
        <v/>
      </c>
      <c r="N1987" s="61" t="str">
        <f aca="false">IF(IsPro,IF($D1987="","",IF(AND(V1987&lt;&gt;"",INDEX(Parties!$E$5:$E$304,V1987)&lt;&gt;"",INDEX(Parties!$E$5:$E$304,V1987)&lt;&gt;HomeState),0,ROUND(L1987*M1987/2,2))),"")</f>
        <v/>
      </c>
      <c r="O1987" s="61" t="str">
        <f aca="false">IF(IsPro,IF($D1987="","",N1987),"")</f>
        <v/>
      </c>
      <c r="P1987" s="61" t="str">
        <f aca="false">IF(IsPro,IF($D1987="","",IF(AND(V1987&lt;&gt;"",INDEX(Parties!$E$5:$E$304,V1987)&lt;&gt;"",INDEX(Parties!$E$5:$E$304,V1987)&lt;&gt;HomeState),ROUND(L1987*M1987,2),0)),"")</f>
        <v/>
      </c>
      <c r="Q1987" s="61" t="str">
        <f aca="false">IF(IsPro,IF($D1987="","",L1987+N1987+O1987+P1987),"")</f>
        <v/>
      </c>
      <c r="R1987" s="61" t="str">
        <f aca="false">IF(IsPro,IF($D1987="","",ROUND(N($E1987)*IFERROR(INDEX(Items!$P$5:$P$504,U1987),0),2)),"")</f>
        <v/>
      </c>
      <c r="S1987" s="61" t="str">
        <f aca="false">IF(IsPro,IF($D1987="","",L1987-R1987),"")</f>
        <v/>
      </c>
      <c r="T1987" s="60" t="str">
        <f aca="false">IF(IsPro,IF($D1987="","",IF(U1987="","UNKNOWN ITEM",IF(INDEX(Items!$O$5:$O$504,U1987)&lt;0,"NEG STOCK",IF(K1987&lt;INDEX(Items!$P$5:$P$504,U1987),"BELOW COST","OK")))),IF($D1987="","","PRO PLAN"))</f>
        <v/>
      </c>
      <c r="U1987" s="60" t="str">
        <f aca="false">IF(IsPro,IF($D1987="","",IFERROR(MATCH($D1987,Items!$A$5:$A$504,0),"")),"")</f>
        <v/>
      </c>
      <c r="V1987" s="60" t="str">
        <f aca="false">IF(IsPro,IF($C1987="","",IFERROR(MATCH($C1987,Parties!$A$5:$A$304,0),"")),"")</f>
        <v/>
      </c>
      <c r="W1987" s="60" t="str">
        <f aca="false">IF(IsPro,IF($B1987="","",IFERROR(VALUE(SUBSTITUTE($B1987,InvPrefix,"")),0)),"")</f>
        <v/>
      </c>
      <c r="X1987" s="61" t="str">
        <f aca="false">IF(IsPro,IF($D1987="","",IF(OR($H1987="",$H1987="Credit"),0,Q1987)),"")</f>
        <v/>
      </c>
    </row>
    <row r="1988" customFormat="false" ht="15" hidden="false" customHeight="false" outlineLevel="0" collapsed="false">
      <c r="A1988" s="55"/>
      <c r="B1988" s="56"/>
      <c r="C1988" s="56"/>
      <c r="D1988" s="56"/>
      <c r="E1988" s="57"/>
      <c r="F1988" s="58"/>
      <c r="G1988" s="59"/>
      <c r="H1988" s="56"/>
      <c r="I1988" s="56"/>
      <c r="J1988" s="60" t="str">
        <f aca="false">IF(IsPro,IF($D1988="","",IFERROR(INDEX(Items!$D$5:$D$504,U1988),"")),"")</f>
        <v/>
      </c>
      <c r="K1988" s="61" t="str">
        <f aca="false">IF(IsPro,IF($D1988="","",IF($F1988="",IFERROR(INDEX(Items!$H$5:$H$504,U1988),0),$F1988)),"")</f>
        <v/>
      </c>
      <c r="L1988" s="61" t="str">
        <f aca="false">IF(IsPro,IF($D1988="","",ROUND(N($E1988)*K1988*(1-N($G1988)),2)),"")</f>
        <v/>
      </c>
      <c r="M1988" s="62" t="str">
        <f aca="false">IF(IsPro,IF($D1988="","",IFERROR(INDEX(Items!$F$5:$F$504,U1988),0)),"")</f>
        <v/>
      </c>
      <c r="N1988" s="61" t="str">
        <f aca="false">IF(IsPro,IF($D1988="","",IF(AND(V1988&lt;&gt;"",INDEX(Parties!$E$5:$E$304,V1988)&lt;&gt;"",INDEX(Parties!$E$5:$E$304,V1988)&lt;&gt;HomeState),0,ROUND(L1988*M1988/2,2))),"")</f>
        <v/>
      </c>
      <c r="O1988" s="61" t="str">
        <f aca="false">IF(IsPro,IF($D1988="","",N1988),"")</f>
        <v/>
      </c>
      <c r="P1988" s="61" t="str">
        <f aca="false">IF(IsPro,IF($D1988="","",IF(AND(V1988&lt;&gt;"",INDEX(Parties!$E$5:$E$304,V1988)&lt;&gt;"",INDEX(Parties!$E$5:$E$304,V1988)&lt;&gt;HomeState),ROUND(L1988*M1988,2),0)),"")</f>
        <v/>
      </c>
      <c r="Q1988" s="61" t="str">
        <f aca="false">IF(IsPro,IF($D1988="","",L1988+N1988+O1988+P1988),"")</f>
        <v/>
      </c>
      <c r="R1988" s="61" t="str">
        <f aca="false">IF(IsPro,IF($D1988="","",ROUND(N($E1988)*IFERROR(INDEX(Items!$P$5:$P$504,U1988),0),2)),"")</f>
        <v/>
      </c>
      <c r="S1988" s="61" t="str">
        <f aca="false">IF(IsPro,IF($D1988="","",L1988-R1988),"")</f>
        <v/>
      </c>
      <c r="T1988" s="60" t="str">
        <f aca="false">IF(IsPro,IF($D1988="","",IF(U1988="","UNKNOWN ITEM",IF(INDEX(Items!$O$5:$O$504,U1988)&lt;0,"NEG STOCK",IF(K1988&lt;INDEX(Items!$P$5:$P$504,U1988),"BELOW COST","OK")))),IF($D1988="","","PRO PLAN"))</f>
        <v/>
      </c>
      <c r="U1988" s="60" t="str">
        <f aca="false">IF(IsPro,IF($D1988="","",IFERROR(MATCH($D1988,Items!$A$5:$A$504,0),"")),"")</f>
        <v/>
      </c>
      <c r="V1988" s="60" t="str">
        <f aca="false">IF(IsPro,IF($C1988="","",IFERROR(MATCH($C1988,Parties!$A$5:$A$304,0),"")),"")</f>
        <v/>
      </c>
      <c r="W1988" s="60" t="str">
        <f aca="false">IF(IsPro,IF($B1988="","",IFERROR(VALUE(SUBSTITUTE($B1988,InvPrefix,"")),0)),"")</f>
        <v/>
      </c>
      <c r="X1988" s="61" t="str">
        <f aca="false">IF(IsPro,IF($D1988="","",IF(OR($H1988="",$H1988="Credit"),0,Q1988)),"")</f>
        <v/>
      </c>
    </row>
    <row r="1989" customFormat="false" ht="15" hidden="false" customHeight="false" outlineLevel="0" collapsed="false">
      <c r="A1989" s="55"/>
      <c r="B1989" s="56"/>
      <c r="C1989" s="56"/>
      <c r="D1989" s="56"/>
      <c r="E1989" s="57"/>
      <c r="F1989" s="58"/>
      <c r="G1989" s="59"/>
      <c r="H1989" s="56"/>
      <c r="I1989" s="56"/>
      <c r="J1989" s="60" t="str">
        <f aca="false">IF(IsPro,IF($D1989="","",IFERROR(INDEX(Items!$D$5:$D$504,U1989),"")),"")</f>
        <v/>
      </c>
      <c r="K1989" s="61" t="str">
        <f aca="false">IF(IsPro,IF($D1989="","",IF($F1989="",IFERROR(INDEX(Items!$H$5:$H$504,U1989),0),$F1989)),"")</f>
        <v/>
      </c>
      <c r="L1989" s="61" t="str">
        <f aca="false">IF(IsPro,IF($D1989="","",ROUND(N($E1989)*K1989*(1-N($G1989)),2)),"")</f>
        <v/>
      </c>
      <c r="M1989" s="62" t="str">
        <f aca="false">IF(IsPro,IF($D1989="","",IFERROR(INDEX(Items!$F$5:$F$504,U1989),0)),"")</f>
        <v/>
      </c>
      <c r="N1989" s="61" t="str">
        <f aca="false">IF(IsPro,IF($D1989="","",IF(AND(V1989&lt;&gt;"",INDEX(Parties!$E$5:$E$304,V1989)&lt;&gt;"",INDEX(Parties!$E$5:$E$304,V1989)&lt;&gt;HomeState),0,ROUND(L1989*M1989/2,2))),"")</f>
        <v/>
      </c>
      <c r="O1989" s="61" t="str">
        <f aca="false">IF(IsPro,IF($D1989="","",N1989),"")</f>
        <v/>
      </c>
      <c r="P1989" s="61" t="str">
        <f aca="false">IF(IsPro,IF($D1989="","",IF(AND(V1989&lt;&gt;"",INDEX(Parties!$E$5:$E$304,V1989)&lt;&gt;"",INDEX(Parties!$E$5:$E$304,V1989)&lt;&gt;HomeState),ROUND(L1989*M1989,2),0)),"")</f>
        <v/>
      </c>
      <c r="Q1989" s="61" t="str">
        <f aca="false">IF(IsPro,IF($D1989="","",L1989+N1989+O1989+P1989),"")</f>
        <v/>
      </c>
      <c r="R1989" s="61" t="str">
        <f aca="false">IF(IsPro,IF($D1989="","",ROUND(N($E1989)*IFERROR(INDEX(Items!$P$5:$P$504,U1989),0),2)),"")</f>
        <v/>
      </c>
      <c r="S1989" s="61" t="str">
        <f aca="false">IF(IsPro,IF($D1989="","",L1989-R1989),"")</f>
        <v/>
      </c>
      <c r="T1989" s="60" t="str">
        <f aca="false">IF(IsPro,IF($D1989="","",IF(U1989="","UNKNOWN ITEM",IF(INDEX(Items!$O$5:$O$504,U1989)&lt;0,"NEG STOCK",IF(K1989&lt;INDEX(Items!$P$5:$P$504,U1989),"BELOW COST","OK")))),IF($D1989="","","PRO PLAN"))</f>
        <v/>
      </c>
      <c r="U1989" s="60" t="str">
        <f aca="false">IF(IsPro,IF($D1989="","",IFERROR(MATCH($D1989,Items!$A$5:$A$504,0),"")),"")</f>
        <v/>
      </c>
      <c r="V1989" s="60" t="str">
        <f aca="false">IF(IsPro,IF($C1989="","",IFERROR(MATCH($C1989,Parties!$A$5:$A$304,0),"")),"")</f>
        <v/>
      </c>
      <c r="W1989" s="60" t="str">
        <f aca="false">IF(IsPro,IF($B1989="","",IFERROR(VALUE(SUBSTITUTE($B1989,InvPrefix,"")),0)),"")</f>
        <v/>
      </c>
      <c r="X1989" s="61" t="str">
        <f aca="false">IF(IsPro,IF($D1989="","",IF(OR($H1989="",$H1989="Credit"),0,Q1989)),"")</f>
        <v/>
      </c>
    </row>
    <row r="1990" customFormat="false" ht="15" hidden="false" customHeight="false" outlineLevel="0" collapsed="false">
      <c r="A1990" s="55"/>
      <c r="B1990" s="56"/>
      <c r="C1990" s="56"/>
      <c r="D1990" s="56"/>
      <c r="E1990" s="57"/>
      <c r="F1990" s="58"/>
      <c r="G1990" s="59"/>
      <c r="H1990" s="56"/>
      <c r="I1990" s="56"/>
      <c r="J1990" s="60" t="str">
        <f aca="false">IF(IsPro,IF($D1990="","",IFERROR(INDEX(Items!$D$5:$D$504,U1990),"")),"")</f>
        <v/>
      </c>
      <c r="K1990" s="61" t="str">
        <f aca="false">IF(IsPro,IF($D1990="","",IF($F1990="",IFERROR(INDEX(Items!$H$5:$H$504,U1990),0),$F1990)),"")</f>
        <v/>
      </c>
      <c r="L1990" s="61" t="str">
        <f aca="false">IF(IsPro,IF($D1990="","",ROUND(N($E1990)*K1990*(1-N($G1990)),2)),"")</f>
        <v/>
      </c>
      <c r="M1990" s="62" t="str">
        <f aca="false">IF(IsPro,IF($D1990="","",IFERROR(INDEX(Items!$F$5:$F$504,U1990),0)),"")</f>
        <v/>
      </c>
      <c r="N1990" s="61" t="str">
        <f aca="false">IF(IsPro,IF($D1990="","",IF(AND(V1990&lt;&gt;"",INDEX(Parties!$E$5:$E$304,V1990)&lt;&gt;"",INDEX(Parties!$E$5:$E$304,V1990)&lt;&gt;HomeState),0,ROUND(L1990*M1990/2,2))),"")</f>
        <v/>
      </c>
      <c r="O1990" s="61" t="str">
        <f aca="false">IF(IsPro,IF($D1990="","",N1990),"")</f>
        <v/>
      </c>
      <c r="P1990" s="61" t="str">
        <f aca="false">IF(IsPro,IF($D1990="","",IF(AND(V1990&lt;&gt;"",INDEX(Parties!$E$5:$E$304,V1990)&lt;&gt;"",INDEX(Parties!$E$5:$E$304,V1990)&lt;&gt;HomeState),ROUND(L1990*M1990,2),0)),"")</f>
        <v/>
      </c>
      <c r="Q1990" s="61" t="str">
        <f aca="false">IF(IsPro,IF($D1990="","",L1990+N1990+O1990+P1990),"")</f>
        <v/>
      </c>
      <c r="R1990" s="61" t="str">
        <f aca="false">IF(IsPro,IF($D1990="","",ROUND(N($E1990)*IFERROR(INDEX(Items!$P$5:$P$504,U1990),0),2)),"")</f>
        <v/>
      </c>
      <c r="S1990" s="61" t="str">
        <f aca="false">IF(IsPro,IF($D1990="","",L1990-R1990),"")</f>
        <v/>
      </c>
      <c r="T1990" s="60" t="str">
        <f aca="false">IF(IsPro,IF($D1990="","",IF(U1990="","UNKNOWN ITEM",IF(INDEX(Items!$O$5:$O$504,U1990)&lt;0,"NEG STOCK",IF(K1990&lt;INDEX(Items!$P$5:$P$504,U1990),"BELOW COST","OK")))),IF($D1990="","","PRO PLAN"))</f>
        <v/>
      </c>
      <c r="U1990" s="60" t="str">
        <f aca="false">IF(IsPro,IF($D1990="","",IFERROR(MATCH($D1990,Items!$A$5:$A$504,0),"")),"")</f>
        <v/>
      </c>
      <c r="V1990" s="60" t="str">
        <f aca="false">IF(IsPro,IF($C1990="","",IFERROR(MATCH($C1990,Parties!$A$5:$A$304,0),"")),"")</f>
        <v/>
      </c>
      <c r="W1990" s="60" t="str">
        <f aca="false">IF(IsPro,IF($B1990="","",IFERROR(VALUE(SUBSTITUTE($B1990,InvPrefix,"")),0)),"")</f>
        <v/>
      </c>
      <c r="X1990" s="61" t="str">
        <f aca="false">IF(IsPro,IF($D1990="","",IF(OR($H1990="",$H1990="Credit"),0,Q1990)),"")</f>
        <v/>
      </c>
    </row>
    <row r="1991" customFormat="false" ht="15" hidden="false" customHeight="false" outlineLevel="0" collapsed="false">
      <c r="A1991" s="55"/>
      <c r="B1991" s="56"/>
      <c r="C1991" s="56"/>
      <c r="D1991" s="56"/>
      <c r="E1991" s="57"/>
      <c r="F1991" s="58"/>
      <c r="G1991" s="59"/>
      <c r="H1991" s="56"/>
      <c r="I1991" s="56"/>
      <c r="J1991" s="60" t="str">
        <f aca="false">IF(IsPro,IF($D1991="","",IFERROR(INDEX(Items!$D$5:$D$504,U1991),"")),"")</f>
        <v/>
      </c>
      <c r="K1991" s="61" t="str">
        <f aca="false">IF(IsPro,IF($D1991="","",IF($F1991="",IFERROR(INDEX(Items!$H$5:$H$504,U1991),0),$F1991)),"")</f>
        <v/>
      </c>
      <c r="L1991" s="61" t="str">
        <f aca="false">IF(IsPro,IF($D1991="","",ROUND(N($E1991)*K1991*(1-N($G1991)),2)),"")</f>
        <v/>
      </c>
      <c r="M1991" s="62" t="str">
        <f aca="false">IF(IsPro,IF($D1991="","",IFERROR(INDEX(Items!$F$5:$F$504,U1991),0)),"")</f>
        <v/>
      </c>
      <c r="N1991" s="61" t="str">
        <f aca="false">IF(IsPro,IF($D1991="","",IF(AND(V1991&lt;&gt;"",INDEX(Parties!$E$5:$E$304,V1991)&lt;&gt;"",INDEX(Parties!$E$5:$E$304,V1991)&lt;&gt;HomeState),0,ROUND(L1991*M1991/2,2))),"")</f>
        <v/>
      </c>
      <c r="O1991" s="61" t="str">
        <f aca="false">IF(IsPro,IF($D1991="","",N1991),"")</f>
        <v/>
      </c>
      <c r="P1991" s="61" t="str">
        <f aca="false">IF(IsPro,IF($D1991="","",IF(AND(V1991&lt;&gt;"",INDEX(Parties!$E$5:$E$304,V1991)&lt;&gt;"",INDEX(Parties!$E$5:$E$304,V1991)&lt;&gt;HomeState),ROUND(L1991*M1991,2),0)),"")</f>
        <v/>
      </c>
      <c r="Q1991" s="61" t="str">
        <f aca="false">IF(IsPro,IF($D1991="","",L1991+N1991+O1991+P1991),"")</f>
        <v/>
      </c>
      <c r="R1991" s="61" t="str">
        <f aca="false">IF(IsPro,IF($D1991="","",ROUND(N($E1991)*IFERROR(INDEX(Items!$P$5:$P$504,U1991),0),2)),"")</f>
        <v/>
      </c>
      <c r="S1991" s="61" t="str">
        <f aca="false">IF(IsPro,IF($D1991="","",L1991-R1991),"")</f>
        <v/>
      </c>
      <c r="T1991" s="60" t="str">
        <f aca="false">IF(IsPro,IF($D1991="","",IF(U1991="","UNKNOWN ITEM",IF(INDEX(Items!$O$5:$O$504,U1991)&lt;0,"NEG STOCK",IF(K1991&lt;INDEX(Items!$P$5:$P$504,U1991),"BELOW COST","OK")))),IF($D1991="","","PRO PLAN"))</f>
        <v/>
      </c>
      <c r="U1991" s="60" t="str">
        <f aca="false">IF(IsPro,IF($D1991="","",IFERROR(MATCH($D1991,Items!$A$5:$A$504,0),"")),"")</f>
        <v/>
      </c>
      <c r="V1991" s="60" t="str">
        <f aca="false">IF(IsPro,IF($C1991="","",IFERROR(MATCH($C1991,Parties!$A$5:$A$304,0),"")),"")</f>
        <v/>
      </c>
      <c r="W1991" s="60" t="str">
        <f aca="false">IF(IsPro,IF($B1991="","",IFERROR(VALUE(SUBSTITUTE($B1991,InvPrefix,"")),0)),"")</f>
        <v/>
      </c>
      <c r="X1991" s="61" t="str">
        <f aca="false">IF(IsPro,IF($D1991="","",IF(OR($H1991="",$H1991="Credit"),0,Q1991)),"")</f>
        <v/>
      </c>
    </row>
    <row r="1992" customFormat="false" ht="15" hidden="false" customHeight="false" outlineLevel="0" collapsed="false">
      <c r="A1992" s="55"/>
      <c r="B1992" s="56"/>
      <c r="C1992" s="56"/>
      <c r="D1992" s="56"/>
      <c r="E1992" s="57"/>
      <c r="F1992" s="58"/>
      <c r="G1992" s="59"/>
      <c r="H1992" s="56"/>
      <c r="I1992" s="56"/>
      <c r="J1992" s="60" t="str">
        <f aca="false">IF(IsPro,IF($D1992="","",IFERROR(INDEX(Items!$D$5:$D$504,U1992),"")),"")</f>
        <v/>
      </c>
      <c r="K1992" s="61" t="str">
        <f aca="false">IF(IsPro,IF($D1992="","",IF($F1992="",IFERROR(INDEX(Items!$H$5:$H$504,U1992),0),$F1992)),"")</f>
        <v/>
      </c>
      <c r="L1992" s="61" t="str">
        <f aca="false">IF(IsPro,IF($D1992="","",ROUND(N($E1992)*K1992*(1-N($G1992)),2)),"")</f>
        <v/>
      </c>
      <c r="M1992" s="62" t="str">
        <f aca="false">IF(IsPro,IF($D1992="","",IFERROR(INDEX(Items!$F$5:$F$504,U1992),0)),"")</f>
        <v/>
      </c>
      <c r="N1992" s="61" t="str">
        <f aca="false">IF(IsPro,IF($D1992="","",IF(AND(V1992&lt;&gt;"",INDEX(Parties!$E$5:$E$304,V1992)&lt;&gt;"",INDEX(Parties!$E$5:$E$304,V1992)&lt;&gt;HomeState),0,ROUND(L1992*M1992/2,2))),"")</f>
        <v/>
      </c>
      <c r="O1992" s="61" t="str">
        <f aca="false">IF(IsPro,IF($D1992="","",N1992),"")</f>
        <v/>
      </c>
      <c r="P1992" s="61" t="str">
        <f aca="false">IF(IsPro,IF($D1992="","",IF(AND(V1992&lt;&gt;"",INDEX(Parties!$E$5:$E$304,V1992)&lt;&gt;"",INDEX(Parties!$E$5:$E$304,V1992)&lt;&gt;HomeState),ROUND(L1992*M1992,2),0)),"")</f>
        <v/>
      </c>
      <c r="Q1992" s="61" t="str">
        <f aca="false">IF(IsPro,IF($D1992="","",L1992+N1992+O1992+P1992),"")</f>
        <v/>
      </c>
      <c r="R1992" s="61" t="str">
        <f aca="false">IF(IsPro,IF($D1992="","",ROUND(N($E1992)*IFERROR(INDEX(Items!$P$5:$P$504,U1992),0),2)),"")</f>
        <v/>
      </c>
      <c r="S1992" s="61" t="str">
        <f aca="false">IF(IsPro,IF($D1992="","",L1992-R1992),"")</f>
        <v/>
      </c>
      <c r="T1992" s="60" t="str">
        <f aca="false">IF(IsPro,IF($D1992="","",IF(U1992="","UNKNOWN ITEM",IF(INDEX(Items!$O$5:$O$504,U1992)&lt;0,"NEG STOCK",IF(K1992&lt;INDEX(Items!$P$5:$P$504,U1992),"BELOW COST","OK")))),IF($D1992="","","PRO PLAN"))</f>
        <v/>
      </c>
      <c r="U1992" s="60" t="str">
        <f aca="false">IF(IsPro,IF($D1992="","",IFERROR(MATCH($D1992,Items!$A$5:$A$504,0),"")),"")</f>
        <v/>
      </c>
      <c r="V1992" s="60" t="str">
        <f aca="false">IF(IsPro,IF($C1992="","",IFERROR(MATCH($C1992,Parties!$A$5:$A$304,0),"")),"")</f>
        <v/>
      </c>
      <c r="W1992" s="60" t="str">
        <f aca="false">IF(IsPro,IF($B1992="","",IFERROR(VALUE(SUBSTITUTE($B1992,InvPrefix,"")),0)),"")</f>
        <v/>
      </c>
      <c r="X1992" s="61" t="str">
        <f aca="false">IF(IsPro,IF($D1992="","",IF(OR($H1992="",$H1992="Credit"),0,Q1992)),"")</f>
        <v/>
      </c>
    </row>
    <row r="1993" customFormat="false" ht="15" hidden="false" customHeight="false" outlineLevel="0" collapsed="false">
      <c r="A1993" s="55"/>
      <c r="B1993" s="56"/>
      <c r="C1993" s="56"/>
      <c r="D1993" s="56"/>
      <c r="E1993" s="57"/>
      <c r="F1993" s="58"/>
      <c r="G1993" s="59"/>
      <c r="H1993" s="56"/>
      <c r="I1993" s="56"/>
      <c r="J1993" s="60" t="str">
        <f aca="false">IF(IsPro,IF($D1993="","",IFERROR(INDEX(Items!$D$5:$D$504,U1993),"")),"")</f>
        <v/>
      </c>
      <c r="K1993" s="61" t="str">
        <f aca="false">IF(IsPro,IF($D1993="","",IF($F1993="",IFERROR(INDEX(Items!$H$5:$H$504,U1993),0),$F1993)),"")</f>
        <v/>
      </c>
      <c r="L1993" s="61" t="str">
        <f aca="false">IF(IsPro,IF($D1993="","",ROUND(N($E1993)*K1993*(1-N($G1993)),2)),"")</f>
        <v/>
      </c>
      <c r="M1993" s="62" t="str">
        <f aca="false">IF(IsPro,IF($D1993="","",IFERROR(INDEX(Items!$F$5:$F$504,U1993),0)),"")</f>
        <v/>
      </c>
      <c r="N1993" s="61" t="str">
        <f aca="false">IF(IsPro,IF($D1993="","",IF(AND(V1993&lt;&gt;"",INDEX(Parties!$E$5:$E$304,V1993)&lt;&gt;"",INDEX(Parties!$E$5:$E$304,V1993)&lt;&gt;HomeState),0,ROUND(L1993*M1993/2,2))),"")</f>
        <v/>
      </c>
      <c r="O1993" s="61" t="str">
        <f aca="false">IF(IsPro,IF($D1993="","",N1993),"")</f>
        <v/>
      </c>
      <c r="P1993" s="61" t="str">
        <f aca="false">IF(IsPro,IF($D1993="","",IF(AND(V1993&lt;&gt;"",INDEX(Parties!$E$5:$E$304,V1993)&lt;&gt;"",INDEX(Parties!$E$5:$E$304,V1993)&lt;&gt;HomeState),ROUND(L1993*M1993,2),0)),"")</f>
        <v/>
      </c>
      <c r="Q1993" s="61" t="str">
        <f aca="false">IF(IsPro,IF($D1993="","",L1993+N1993+O1993+P1993),"")</f>
        <v/>
      </c>
      <c r="R1993" s="61" t="str">
        <f aca="false">IF(IsPro,IF($D1993="","",ROUND(N($E1993)*IFERROR(INDEX(Items!$P$5:$P$504,U1993),0),2)),"")</f>
        <v/>
      </c>
      <c r="S1993" s="61" t="str">
        <f aca="false">IF(IsPro,IF($D1993="","",L1993-R1993),"")</f>
        <v/>
      </c>
      <c r="T1993" s="60" t="str">
        <f aca="false">IF(IsPro,IF($D1993="","",IF(U1993="","UNKNOWN ITEM",IF(INDEX(Items!$O$5:$O$504,U1993)&lt;0,"NEG STOCK",IF(K1993&lt;INDEX(Items!$P$5:$P$504,U1993),"BELOW COST","OK")))),IF($D1993="","","PRO PLAN"))</f>
        <v/>
      </c>
      <c r="U1993" s="60" t="str">
        <f aca="false">IF(IsPro,IF($D1993="","",IFERROR(MATCH($D1993,Items!$A$5:$A$504,0),"")),"")</f>
        <v/>
      </c>
      <c r="V1993" s="60" t="str">
        <f aca="false">IF(IsPro,IF($C1993="","",IFERROR(MATCH($C1993,Parties!$A$5:$A$304,0),"")),"")</f>
        <v/>
      </c>
      <c r="W1993" s="60" t="str">
        <f aca="false">IF(IsPro,IF($B1993="","",IFERROR(VALUE(SUBSTITUTE($B1993,InvPrefix,"")),0)),"")</f>
        <v/>
      </c>
      <c r="X1993" s="61" t="str">
        <f aca="false">IF(IsPro,IF($D1993="","",IF(OR($H1993="",$H1993="Credit"),0,Q1993)),"")</f>
        <v/>
      </c>
    </row>
    <row r="1994" customFormat="false" ht="15" hidden="false" customHeight="false" outlineLevel="0" collapsed="false">
      <c r="A1994" s="55"/>
      <c r="B1994" s="56"/>
      <c r="C1994" s="56"/>
      <c r="D1994" s="56"/>
      <c r="E1994" s="57"/>
      <c r="F1994" s="58"/>
      <c r="G1994" s="59"/>
      <c r="H1994" s="56"/>
      <c r="I1994" s="56"/>
      <c r="J1994" s="60" t="str">
        <f aca="false">IF(IsPro,IF($D1994="","",IFERROR(INDEX(Items!$D$5:$D$504,U1994),"")),"")</f>
        <v/>
      </c>
      <c r="K1994" s="61" t="str">
        <f aca="false">IF(IsPro,IF($D1994="","",IF($F1994="",IFERROR(INDEX(Items!$H$5:$H$504,U1994),0),$F1994)),"")</f>
        <v/>
      </c>
      <c r="L1994" s="61" t="str">
        <f aca="false">IF(IsPro,IF($D1994="","",ROUND(N($E1994)*K1994*(1-N($G1994)),2)),"")</f>
        <v/>
      </c>
      <c r="M1994" s="62" t="str">
        <f aca="false">IF(IsPro,IF($D1994="","",IFERROR(INDEX(Items!$F$5:$F$504,U1994),0)),"")</f>
        <v/>
      </c>
      <c r="N1994" s="61" t="str">
        <f aca="false">IF(IsPro,IF($D1994="","",IF(AND(V1994&lt;&gt;"",INDEX(Parties!$E$5:$E$304,V1994)&lt;&gt;"",INDEX(Parties!$E$5:$E$304,V1994)&lt;&gt;HomeState),0,ROUND(L1994*M1994/2,2))),"")</f>
        <v/>
      </c>
      <c r="O1994" s="61" t="str">
        <f aca="false">IF(IsPro,IF($D1994="","",N1994),"")</f>
        <v/>
      </c>
      <c r="P1994" s="61" t="str">
        <f aca="false">IF(IsPro,IF($D1994="","",IF(AND(V1994&lt;&gt;"",INDEX(Parties!$E$5:$E$304,V1994)&lt;&gt;"",INDEX(Parties!$E$5:$E$304,V1994)&lt;&gt;HomeState),ROUND(L1994*M1994,2),0)),"")</f>
        <v/>
      </c>
      <c r="Q1994" s="61" t="str">
        <f aca="false">IF(IsPro,IF($D1994="","",L1994+N1994+O1994+P1994),"")</f>
        <v/>
      </c>
      <c r="R1994" s="61" t="str">
        <f aca="false">IF(IsPro,IF($D1994="","",ROUND(N($E1994)*IFERROR(INDEX(Items!$P$5:$P$504,U1994),0),2)),"")</f>
        <v/>
      </c>
      <c r="S1994" s="61" t="str">
        <f aca="false">IF(IsPro,IF($D1994="","",L1994-R1994),"")</f>
        <v/>
      </c>
      <c r="T1994" s="60" t="str">
        <f aca="false">IF(IsPro,IF($D1994="","",IF(U1994="","UNKNOWN ITEM",IF(INDEX(Items!$O$5:$O$504,U1994)&lt;0,"NEG STOCK",IF(K1994&lt;INDEX(Items!$P$5:$P$504,U1994),"BELOW COST","OK")))),IF($D1994="","","PRO PLAN"))</f>
        <v/>
      </c>
      <c r="U1994" s="60" t="str">
        <f aca="false">IF(IsPro,IF($D1994="","",IFERROR(MATCH($D1994,Items!$A$5:$A$504,0),"")),"")</f>
        <v/>
      </c>
      <c r="V1994" s="60" t="str">
        <f aca="false">IF(IsPro,IF($C1994="","",IFERROR(MATCH($C1994,Parties!$A$5:$A$304,0),"")),"")</f>
        <v/>
      </c>
      <c r="W1994" s="60" t="str">
        <f aca="false">IF(IsPro,IF($B1994="","",IFERROR(VALUE(SUBSTITUTE($B1994,InvPrefix,"")),0)),"")</f>
        <v/>
      </c>
      <c r="X1994" s="61" t="str">
        <f aca="false">IF(IsPro,IF($D1994="","",IF(OR($H1994="",$H1994="Credit"),0,Q1994)),"")</f>
        <v/>
      </c>
    </row>
    <row r="1995" customFormat="false" ht="15" hidden="false" customHeight="false" outlineLevel="0" collapsed="false">
      <c r="A1995" s="55"/>
      <c r="B1995" s="56"/>
      <c r="C1995" s="56"/>
      <c r="D1995" s="56"/>
      <c r="E1995" s="57"/>
      <c r="F1995" s="58"/>
      <c r="G1995" s="59"/>
      <c r="H1995" s="56"/>
      <c r="I1995" s="56"/>
      <c r="J1995" s="60" t="str">
        <f aca="false">IF(IsPro,IF($D1995="","",IFERROR(INDEX(Items!$D$5:$D$504,U1995),"")),"")</f>
        <v/>
      </c>
      <c r="K1995" s="61" t="str">
        <f aca="false">IF(IsPro,IF($D1995="","",IF($F1995="",IFERROR(INDEX(Items!$H$5:$H$504,U1995),0),$F1995)),"")</f>
        <v/>
      </c>
      <c r="L1995" s="61" t="str">
        <f aca="false">IF(IsPro,IF($D1995="","",ROUND(N($E1995)*K1995*(1-N($G1995)),2)),"")</f>
        <v/>
      </c>
      <c r="M1995" s="62" t="str">
        <f aca="false">IF(IsPro,IF($D1995="","",IFERROR(INDEX(Items!$F$5:$F$504,U1995),0)),"")</f>
        <v/>
      </c>
      <c r="N1995" s="61" t="str">
        <f aca="false">IF(IsPro,IF($D1995="","",IF(AND(V1995&lt;&gt;"",INDEX(Parties!$E$5:$E$304,V1995)&lt;&gt;"",INDEX(Parties!$E$5:$E$304,V1995)&lt;&gt;HomeState),0,ROUND(L1995*M1995/2,2))),"")</f>
        <v/>
      </c>
      <c r="O1995" s="61" t="str">
        <f aca="false">IF(IsPro,IF($D1995="","",N1995),"")</f>
        <v/>
      </c>
      <c r="P1995" s="61" t="str">
        <f aca="false">IF(IsPro,IF($D1995="","",IF(AND(V1995&lt;&gt;"",INDEX(Parties!$E$5:$E$304,V1995)&lt;&gt;"",INDEX(Parties!$E$5:$E$304,V1995)&lt;&gt;HomeState),ROUND(L1995*M1995,2),0)),"")</f>
        <v/>
      </c>
      <c r="Q1995" s="61" t="str">
        <f aca="false">IF(IsPro,IF($D1995="","",L1995+N1995+O1995+P1995),"")</f>
        <v/>
      </c>
      <c r="R1995" s="61" t="str">
        <f aca="false">IF(IsPro,IF($D1995="","",ROUND(N($E1995)*IFERROR(INDEX(Items!$P$5:$P$504,U1995),0),2)),"")</f>
        <v/>
      </c>
      <c r="S1995" s="61" t="str">
        <f aca="false">IF(IsPro,IF($D1995="","",L1995-R1995),"")</f>
        <v/>
      </c>
      <c r="T1995" s="60" t="str">
        <f aca="false">IF(IsPro,IF($D1995="","",IF(U1995="","UNKNOWN ITEM",IF(INDEX(Items!$O$5:$O$504,U1995)&lt;0,"NEG STOCK",IF(K1995&lt;INDEX(Items!$P$5:$P$504,U1995),"BELOW COST","OK")))),IF($D1995="","","PRO PLAN"))</f>
        <v/>
      </c>
      <c r="U1995" s="60" t="str">
        <f aca="false">IF(IsPro,IF($D1995="","",IFERROR(MATCH($D1995,Items!$A$5:$A$504,0),"")),"")</f>
        <v/>
      </c>
      <c r="V1995" s="60" t="str">
        <f aca="false">IF(IsPro,IF($C1995="","",IFERROR(MATCH($C1995,Parties!$A$5:$A$304,0),"")),"")</f>
        <v/>
      </c>
      <c r="W1995" s="60" t="str">
        <f aca="false">IF(IsPro,IF($B1995="","",IFERROR(VALUE(SUBSTITUTE($B1995,InvPrefix,"")),0)),"")</f>
        <v/>
      </c>
      <c r="X1995" s="61" t="str">
        <f aca="false">IF(IsPro,IF($D1995="","",IF(OR($H1995="",$H1995="Credit"),0,Q1995)),"")</f>
        <v/>
      </c>
    </row>
    <row r="1996" customFormat="false" ht="15" hidden="false" customHeight="false" outlineLevel="0" collapsed="false">
      <c r="A1996" s="55"/>
      <c r="B1996" s="56"/>
      <c r="C1996" s="56"/>
      <c r="D1996" s="56"/>
      <c r="E1996" s="57"/>
      <c r="F1996" s="58"/>
      <c r="G1996" s="59"/>
      <c r="H1996" s="56"/>
      <c r="I1996" s="56"/>
      <c r="J1996" s="60" t="str">
        <f aca="false">IF(IsPro,IF($D1996="","",IFERROR(INDEX(Items!$D$5:$D$504,U1996),"")),"")</f>
        <v/>
      </c>
      <c r="K1996" s="61" t="str">
        <f aca="false">IF(IsPro,IF($D1996="","",IF($F1996="",IFERROR(INDEX(Items!$H$5:$H$504,U1996),0),$F1996)),"")</f>
        <v/>
      </c>
      <c r="L1996" s="61" t="str">
        <f aca="false">IF(IsPro,IF($D1996="","",ROUND(N($E1996)*K1996*(1-N($G1996)),2)),"")</f>
        <v/>
      </c>
      <c r="M1996" s="62" t="str">
        <f aca="false">IF(IsPro,IF($D1996="","",IFERROR(INDEX(Items!$F$5:$F$504,U1996),0)),"")</f>
        <v/>
      </c>
      <c r="N1996" s="61" t="str">
        <f aca="false">IF(IsPro,IF($D1996="","",IF(AND(V1996&lt;&gt;"",INDEX(Parties!$E$5:$E$304,V1996)&lt;&gt;"",INDEX(Parties!$E$5:$E$304,V1996)&lt;&gt;HomeState),0,ROUND(L1996*M1996/2,2))),"")</f>
        <v/>
      </c>
      <c r="O1996" s="61" t="str">
        <f aca="false">IF(IsPro,IF($D1996="","",N1996),"")</f>
        <v/>
      </c>
      <c r="P1996" s="61" t="str">
        <f aca="false">IF(IsPro,IF($D1996="","",IF(AND(V1996&lt;&gt;"",INDEX(Parties!$E$5:$E$304,V1996)&lt;&gt;"",INDEX(Parties!$E$5:$E$304,V1996)&lt;&gt;HomeState),ROUND(L1996*M1996,2),0)),"")</f>
        <v/>
      </c>
      <c r="Q1996" s="61" t="str">
        <f aca="false">IF(IsPro,IF($D1996="","",L1996+N1996+O1996+P1996),"")</f>
        <v/>
      </c>
      <c r="R1996" s="61" t="str">
        <f aca="false">IF(IsPro,IF($D1996="","",ROUND(N($E1996)*IFERROR(INDEX(Items!$P$5:$P$504,U1996),0),2)),"")</f>
        <v/>
      </c>
      <c r="S1996" s="61" t="str">
        <f aca="false">IF(IsPro,IF($D1996="","",L1996-R1996),"")</f>
        <v/>
      </c>
      <c r="T1996" s="60" t="str">
        <f aca="false">IF(IsPro,IF($D1996="","",IF(U1996="","UNKNOWN ITEM",IF(INDEX(Items!$O$5:$O$504,U1996)&lt;0,"NEG STOCK",IF(K1996&lt;INDEX(Items!$P$5:$P$504,U1996),"BELOW COST","OK")))),IF($D1996="","","PRO PLAN"))</f>
        <v/>
      </c>
      <c r="U1996" s="60" t="str">
        <f aca="false">IF(IsPro,IF($D1996="","",IFERROR(MATCH($D1996,Items!$A$5:$A$504,0),"")),"")</f>
        <v/>
      </c>
      <c r="V1996" s="60" t="str">
        <f aca="false">IF(IsPro,IF($C1996="","",IFERROR(MATCH($C1996,Parties!$A$5:$A$304,0),"")),"")</f>
        <v/>
      </c>
      <c r="W1996" s="60" t="str">
        <f aca="false">IF(IsPro,IF($B1996="","",IFERROR(VALUE(SUBSTITUTE($B1996,InvPrefix,"")),0)),"")</f>
        <v/>
      </c>
      <c r="X1996" s="61" t="str">
        <f aca="false">IF(IsPro,IF($D1996="","",IF(OR($H1996="",$H1996="Credit"),0,Q1996)),"")</f>
        <v/>
      </c>
    </row>
    <row r="1997" customFormat="false" ht="15" hidden="false" customHeight="false" outlineLevel="0" collapsed="false">
      <c r="A1997" s="55"/>
      <c r="B1997" s="56"/>
      <c r="C1997" s="56"/>
      <c r="D1997" s="56"/>
      <c r="E1997" s="57"/>
      <c r="F1997" s="58"/>
      <c r="G1997" s="59"/>
      <c r="H1997" s="56"/>
      <c r="I1997" s="56"/>
      <c r="J1997" s="60" t="str">
        <f aca="false">IF(IsPro,IF($D1997="","",IFERROR(INDEX(Items!$D$5:$D$504,U1997),"")),"")</f>
        <v/>
      </c>
      <c r="K1997" s="61" t="str">
        <f aca="false">IF(IsPro,IF($D1997="","",IF($F1997="",IFERROR(INDEX(Items!$H$5:$H$504,U1997),0),$F1997)),"")</f>
        <v/>
      </c>
      <c r="L1997" s="61" t="str">
        <f aca="false">IF(IsPro,IF($D1997="","",ROUND(N($E1997)*K1997*(1-N($G1997)),2)),"")</f>
        <v/>
      </c>
      <c r="M1997" s="62" t="str">
        <f aca="false">IF(IsPro,IF($D1997="","",IFERROR(INDEX(Items!$F$5:$F$504,U1997),0)),"")</f>
        <v/>
      </c>
      <c r="N1997" s="61" t="str">
        <f aca="false">IF(IsPro,IF($D1997="","",IF(AND(V1997&lt;&gt;"",INDEX(Parties!$E$5:$E$304,V1997)&lt;&gt;"",INDEX(Parties!$E$5:$E$304,V1997)&lt;&gt;HomeState),0,ROUND(L1997*M1997/2,2))),"")</f>
        <v/>
      </c>
      <c r="O1997" s="61" t="str">
        <f aca="false">IF(IsPro,IF($D1997="","",N1997),"")</f>
        <v/>
      </c>
      <c r="P1997" s="61" t="str">
        <f aca="false">IF(IsPro,IF($D1997="","",IF(AND(V1997&lt;&gt;"",INDEX(Parties!$E$5:$E$304,V1997)&lt;&gt;"",INDEX(Parties!$E$5:$E$304,V1997)&lt;&gt;HomeState),ROUND(L1997*M1997,2),0)),"")</f>
        <v/>
      </c>
      <c r="Q1997" s="61" t="str">
        <f aca="false">IF(IsPro,IF($D1997="","",L1997+N1997+O1997+P1997),"")</f>
        <v/>
      </c>
      <c r="R1997" s="61" t="str">
        <f aca="false">IF(IsPro,IF($D1997="","",ROUND(N($E1997)*IFERROR(INDEX(Items!$P$5:$P$504,U1997),0),2)),"")</f>
        <v/>
      </c>
      <c r="S1997" s="61" t="str">
        <f aca="false">IF(IsPro,IF($D1997="","",L1997-R1997),"")</f>
        <v/>
      </c>
      <c r="T1997" s="60" t="str">
        <f aca="false">IF(IsPro,IF($D1997="","",IF(U1997="","UNKNOWN ITEM",IF(INDEX(Items!$O$5:$O$504,U1997)&lt;0,"NEG STOCK",IF(K1997&lt;INDEX(Items!$P$5:$P$504,U1997),"BELOW COST","OK")))),IF($D1997="","","PRO PLAN"))</f>
        <v/>
      </c>
      <c r="U1997" s="60" t="str">
        <f aca="false">IF(IsPro,IF($D1997="","",IFERROR(MATCH($D1997,Items!$A$5:$A$504,0),"")),"")</f>
        <v/>
      </c>
      <c r="V1997" s="60" t="str">
        <f aca="false">IF(IsPro,IF($C1997="","",IFERROR(MATCH($C1997,Parties!$A$5:$A$304,0),"")),"")</f>
        <v/>
      </c>
      <c r="W1997" s="60" t="str">
        <f aca="false">IF(IsPro,IF($B1997="","",IFERROR(VALUE(SUBSTITUTE($B1997,InvPrefix,"")),0)),"")</f>
        <v/>
      </c>
      <c r="X1997" s="61" t="str">
        <f aca="false">IF(IsPro,IF($D1997="","",IF(OR($H1997="",$H1997="Credit"),0,Q1997)),"")</f>
        <v/>
      </c>
    </row>
    <row r="1998" customFormat="false" ht="15" hidden="false" customHeight="false" outlineLevel="0" collapsed="false">
      <c r="A1998" s="55"/>
      <c r="B1998" s="56"/>
      <c r="C1998" s="56"/>
      <c r="D1998" s="56"/>
      <c r="E1998" s="57"/>
      <c r="F1998" s="58"/>
      <c r="G1998" s="59"/>
      <c r="H1998" s="56"/>
      <c r="I1998" s="56"/>
      <c r="J1998" s="60" t="str">
        <f aca="false">IF(IsPro,IF($D1998="","",IFERROR(INDEX(Items!$D$5:$D$504,U1998),"")),"")</f>
        <v/>
      </c>
      <c r="K1998" s="61" t="str">
        <f aca="false">IF(IsPro,IF($D1998="","",IF($F1998="",IFERROR(INDEX(Items!$H$5:$H$504,U1998),0),$F1998)),"")</f>
        <v/>
      </c>
      <c r="L1998" s="61" t="str">
        <f aca="false">IF(IsPro,IF($D1998="","",ROUND(N($E1998)*K1998*(1-N($G1998)),2)),"")</f>
        <v/>
      </c>
      <c r="M1998" s="62" t="str">
        <f aca="false">IF(IsPro,IF($D1998="","",IFERROR(INDEX(Items!$F$5:$F$504,U1998),0)),"")</f>
        <v/>
      </c>
      <c r="N1998" s="61" t="str">
        <f aca="false">IF(IsPro,IF($D1998="","",IF(AND(V1998&lt;&gt;"",INDEX(Parties!$E$5:$E$304,V1998)&lt;&gt;"",INDEX(Parties!$E$5:$E$304,V1998)&lt;&gt;HomeState),0,ROUND(L1998*M1998/2,2))),"")</f>
        <v/>
      </c>
      <c r="O1998" s="61" t="str">
        <f aca="false">IF(IsPro,IF($D1998="","",N1998),"")</f>
        <v/>
      </c>
      <c r="P1998" s="61" t="str">
        <f aca="false">IF(IsPro,IF($D1998="","",IF(AND(V1998&lt;&gt;"",INDEX(Parties!$E$5:$E$304,V1998)&lt;&gt;"",INDEX(Parties!$E$5:$E$304,V1998)&lt;&gt;HomeState),ROUND(L1998*M1998,2),0)),"")</f>
        <v/>
      </c>
      <c r="Q1998" s="61" t="str">
        <f aca="false">IF(IsPro,IF($D1998="","",L1998+N1998+O1998+P1998),"")</f>
        <v/>
      </c>
      <c r="R1998" s="61" t="str">
        <f aca="false">IF(IsPro,IF($D1998="","",ROUND(N($E1998)*IFERROR(INDEX(Items!$P$5:$P$504,U1998),0),2)),"")</f>
        <v/>
      </c>
      <c r="S1998" s="61" t="str">
        <f aca="false">IF(IsPro,IF($D1998="","",L1998-R1998),"")</f>
        <v/>
      </c>
      <c r="T1998" s="60" t="str">
        <f aca="false">IF(IsPro,IF($D1998="","",IF(U1998="","UNKNOWN ITEM",IF(INDEX(Items!$O$5:$O$504,U1998)&lt;0,"NEG STOCK",IF(K1998&lt;INDEX(Items!$P$5:$P$504,U1998),"BELOW COST","OK")))),IF($D1998="","","PRO PLAN"))</f>
        <v/>
      </c>
      <c r="U1998" s="60" t="str">
        <f aca="false">IF(IsPro,IF($D1998="","",IFERROR(MATCH($D1998,Items!$A$5:$A$504,0),"")),"")</f>
        <v/>
      </c>
      <c r="V1998" s="60" t="str">
        <f aca="false">IF(IsPro,IF($C1998="","",IFERROR(MATCH($C1998,Parties!$A$5:$A$304,0),"")),"")</f>
        <v/>
      </c>
      <c r="W1998" s="60" t="str">
        <f aca="false">IF(IsPro,IF($B1998="","",IFERROR(VALUE(SUBSTITUTE($B1998,InvPrefix,"")),0)),"")</f>
        <v/>
      </c>
      <c r="X1998" s="61" t="str">
        <f aca="false">IF(IsPro,IF($D1998="","",IF(OR($H1998="",$H1998="Credit"),0,Q1998)),"")</f>
        <v/>
      </c>
    </row>
    <row r="1999" customFormat="false" ht="15" hidden="false" customHeight="false" outlineLevel="0" collapsed="false">
      <c r="A1999" s="55"/>
      <c r="B1999" s="56"/>
      <c r="C1999" s="56"/>
      <c r="D1999" s="56"/>
      <c r="E1999" s="57"/>
      <c r="F1999" s="58"/>
      <c r="G1999" s="59"/>
      <c r="H1999" s="56"/>
      <c r="I1999" s="56"/>
      <c r="J1999" s="60" t="str">
        <f aca="false">IF(IsPro,IF($D1999="","",IFERROR(INDEX(Items!$D$5:$D$504,U1999),"")),"")</f>
        <v/>
      </c>
      <c r="K1999" s="61" t="str">
        <f aca="false">IF(IsPro,IF($D1999="","",IF($F1999="",IFERROR(INDEX(Items!$H$5:$H$504,U1999),0),$F1999)),"")</f>
        <v/>
      </c>
      <c r="L1999" s="61" t="str">
        <f aca="false">IF(IsPro,IF($D1999="","",ROUND(N($E1999)*K1999*(1-N($G1999)),2)),"")</f>
        <v/>
      </c>
      <c r="M1999" s="62" t="str">
        <f aca="false">IF(IsPro,IF($D1999="","",IFERROR(INDEX(Items!$F$5:$F$504,U1999),0)),"")</f>
        <v/>
      </c>
      <c r="N1999" s="61" t="str">
        <f aca="false">IF(IsPro,IF($D1999="","",IF(AND(V1999&lt;&gt;"",INDEX(Parties!$E$5:$E$304,V1999)&lt;&gt;"",INDEX(Parties!$E$5:$E$304,V1999)&lt;&gt;HomeState),0,ROUND(L1999*M1999/2,2))),"")</f>
        <v/>
      </c>
      <c r="O1999" s="61" t="str">
        <f aca="false">IF(IsPro,IF($D1999="","",N1999),"")</f>
        <v/>
      </c>
      <c r="P1999" s="61" t="str">
        <f aca="false">IF(IsPro,IF($D1999="","",IF(AND(V1999&lt;&gt;"",INDEX(Parties!$E$5:$E$304,V1999)&lt;&gt;"",INDEX(Parties!$E$5:$E$304,V1999)&lt;&gt;HomeState),ROUND(L1999*M1999,2),0)),"")</f>
        <v/>
      </c>
      <c r="Q1999" s="61" t="str">
        <f aca="false">IF(IsPro,IF($D1999="","",L1999+N1999+O1999+P1999),"")</f>
        <v/>
      </c>
      <c r="R1999" s="61" t="str">
        <f aca="false">IF(IsPro,IF($D1999="","",ROUND(N($E1999)*IFERROR(INDEX(Items!$P$5:$P$504,U1999),0),2)),"")</f>
        <v/>
      </c>
      <c r="S1999" s="61" t="str">
        <f aca="false">IF(IsPro,IF($D1999="","",L1999-R1999),"")</f>
        <v/>
      </c>
      <c r="T1999" s="60" t="str">
        <f aca="false">IF(IsPro,IF($D1999="","",IF(U1999="","UNKNOWN ITEM",IF(INDEX(Items!$O$5:$O$504,U1999)&lt;0,"NEG STOCK",IF(K1999&lt;INDEX(Items!$P$5:$P$504,U1999),"BELOW COST","OK")))),IF($D1999="","","PRO PLAN"))</f>
        <v/>
      </c>
      <c r="U1999" s="60" t="str">
        <f aca="false">IF(IsPro,IF($D1999="","",IFERROR(MATCH($D1999,Items!$A$5:$A$504,0),"")),"")</f>
        <v/>
      </c>
      <c r="V1999" s="60" t="str">
        <f aca="false">IF(IsPro,IF($C1999="","",IFERROR(MATCH($C1999,Parties!$A$5:$A$304,0),"")),"")</f>
        <v/>
      </c>
      <c r="W1999" s="60" t="str">
        <f aca="false">IF(IsPro,IF($B1999="","",IFERROR(VALUE(SUBSTITUTE($B1999,InvPrefix,"")),0)),"")</f>
        <v/>
      </c>
      <c r="X1999" s="61" t="str">
        <f aca="false">IF(IsPro,IF($D1999="","",IF(OR($H1999="",$H1999="Credit"),0,Q1999)),"")</f>
        <v/>
      </c>
    </row>
    <row r="2000" customFormat="false" ht="15" hidden="false" customHeight="false" outlineLevel="0" collapsed="false">
      <c r="A2000" s="55"/>
      <c r="B2000" s="56"/>
      <c r="C2000" s="56"/>
      <c r="D2000" s="56"/>
      <c r="E2000" s="57"/>
      <c r="F2000" s="58"/>
      <c r="G2000" s="59"/>
      <c r="H2000" s="56"/>
      <c r="I2000" s="56"/>
      <c r="J2000" s="60" t="str">
        <f aca="false">IF(IsPro,IF($D2000="","",IFERROR(INDEX(Items!$D$5:$D$504,U2000),"")),"")</f>
        <v/>
      </c>
      <c r="K2000" s="61" t="str">
        <f aca="false">IF(IsPro,IF($D2000="","",IF($F2000="",IFERROR(INDEX(Items!$H$5:$H$504,U2000),0),$F2000)),"")</f>
        <v/>
      </c>
      <c r="L2000" s="61" t="str">
        <f aca="false">IF(IsPro,IF($D2000="","",ROUND(N($E2000)*K2000*(1-N($G2000)),2)),"")</f>
        <v/>
      </c>
      <c r="M2000" s="62" t="str">
        <f aca="false">IF(IsPro,IF($D2000="","",IFERROR(INDEX(Items!$F$5:$F$504,U2000),0)),"")</f>
        <v/>
      </c>
      <c r="N2000" s="61" t="str">
        <f aca="false">IF(IsPro,IF($D2000="","",IF(AND(V2000&lt;&gt;"",INDEX(Parties!$E$5:$E$304,V2000)&lt;&gt;"",INDEX(Parties!$E$5:$E$304,V2000)&lt;&gt;HomeState),0,ROUND(L2000*M2000/2,2))),"")</f>
        <v/>
      </c>
      <c r="O2000" s="61" t="str">
        <f aca="false">IF(IsPro,IF($D2000="","",N2000),"")</f>
        <v/>
      </c>
      <c r="P2000" s="61" t="str">
        <f aca="false">IF(IsPro,IF($D2000="","",IF(AND(V2000&lt;&gt;"",INDEX(Parties!$E$5:$E$304,V2000)&lt;&gt;"",INDEX(Parties!$E$5:$E$304,V2000)&lt;&gt;HomeState),ROUND(L2000*M2000,2),0)),"")</f>
        <v/>
      </c>
      <c r="Q2000" s="61" t="str">
        <f aca="false">IF(IsPro,IF($D2000="","",L2000+N2000+O2000+P2000),"")</f>
        <v/>
      </c>
      <c r="R2000" s="61" t="str">
        <f aca="false">IF(IsPro,IF($D2000="","",ROUND(N($E2000)*IFERROR(INDEX(Items!$P$5:$P$504,U2000),0),2)),"")</f>
        <v/>
      </c>
      <c r="S2000" s="61" t="str">
        <f aca="false">IF(IsPro,IF($D2000="","",L2000-R2000),"")</f>
        <v/>
      </c>
      <c r="T2000" s="60" t="str">
        <f aca="false">IF(IsPro,IF($D2000="","",IF(U2000="","UNKNOWN ITEM",IF(INDEX(Items!$O$5:$O$504,U2000)&lt;0,"NEG STOCK",IF(K2000&lt;INDEX(Items!$P$5:$P$504,U2000),"BELOW COST","OK")))),IF($D2000="","","PRO PLAN"))</f>
        <v/>
      </c>
      <c r="U2000" s="60" t="str">
        <f aca="false">IF(IsPro,IF($D2000="","",IFERROR(MATCH($D2000,Items!$A$5:$A$504,0),"")),"")</f>
        <v/>
      </c>
      <c r="V2000" s="60" t="str">
        <f aca="false">IF(IsPro,IF($C2000="","",IFERROR(MATCH($C2000,Parties!$A$5:$A$304,0),"")),"")</f>
        <v/>
      </c>
      <c r="W2000" s="60" t="str">
        <f aca="false">IF(IsPro,IF($B2000="","",IFERROR(VALUE(SUBSTITUTE($B2000,InvPrefix,"")),0)),"")</f>
        <v/>
      </c>
      <c r="X2000" s="61" t="str">
        <f aca="false">IF(IsPro,IF($D2000="","",IF(OR($H2000="",$H2000="Credit"),0,Q2000)),"")</f>
        <v/>
      </c>
    </row>
    <row r="2001" customFormat="false" ht="15" hidden="false" customHeight="false" outlineLevel="0" collapsed="false">
      <c r="A2001" s="55"/>
      <c r="B2001" s="56"/>
      <c r="C2001" s="56"/>
      <c r="D2001" s="56"/>
      <c r="E2001" s="57"/>
      <c r="F2001" s="58"/>
      <c r="G2001" s="59"/>
      <c r="H2001" s="56"/>
      <c r="I2001" s="56"/>
      <c r="J2001" s="60" t="str">
        <f aca="false">IF(IsPro,IF($D2001="","",IFERROR(INDEX(Items!$D$5:$D$504,U2001),"")),"")</f>
        <v/>
      </c>
      <c r="K2001" s="61" t="str">
        <f aca="false">IF(IsPro,IF($D2001="","",IF($F2001="",IFERROR(INDEX(Items!$H$5:$H$504,U2001),0),$F2001)),"")</f>
        <v/>
      </c>
      <c r="L2001" s="61" t="str">
        <f aca="false">IF(IsPro,IF($D2001="","",ROUND(N($E2001)*K2001*(1-N($G2001)),2)),"")</f>
        <v/>
      </c>
      <c r="M2001" s="62" t="str">
        <f aca="false">IF(IsPro,IF($D2001="","",IFERROR(INDEX(Items!$F$5:$F$504,U2001),0)),"")</f>
        <v/>
      </c>
      <c r="N2001" s="61" t="str">
        <f aca="false">IF(IsPro,IF($D2001="","",IF(AND(V2001&lt;&gt;"",INDEX(Parties!$E$5:$E$304,V2001)&lt;&gt;"",INDEX(Parties!$E$5:$E$304,V2001)&lt;&gt;HomeState),0,ROUND(L2001*M2001/2,2))),"")</f>
        <v/>
      </c>
      <c r="O2001" s="61" t="str">
        <f aca="false">IF(IsPro,IF($D2001="","",N2001),"")</f>
        <v/>
      </c>
      <c r="P2001" s="61" t="str">
        <f aca="false">IF(IsPro,IF($D2001="","",IF(AND(V2001&lt;&gt;"",INDEX(Parties!$E$5:$E$304,V2001)&lt;&gt;"",INDEX(Parties!$E$5:$E$304,V2001)&lt;&gt;HomeState),ROUND(L2001*M2001,2),0)),"")</f>
        <v/>
      </c>
      <c r="Q2001" s="61" t="str">
        <f aca="false">IF(IsPro,IF($D2001="","",L2001+N2001+O2001+P2001),"")</f>
        <v/>
      </c>
      <c r="R2001" s="61" t="str">
        <f aca="false">IF(IsPro,IF($D2001="","",ROUND(N($E2001)*IFERROR(INDEX(Items!$P$5:$P$504,U2001),0),2)),"")</f>
        <v/>
      </c>
      <c r="S2001" s="61" t="str">
        <f aca="false">IF(IsPro,IF($D2001="","",L2001-R2001),"")</f>
        <v/>
      </c>
      <c r="T2001" s="60" t="str">
        <f aca="false">IF(IsPro,IF($D2001="","",IF(U2001="","UNKNOWN ITEM",IF(INDEX(Items!$O$5:$O$504,U2001)&lt;0,"NEG STOCK",IF(K2001&lt;INDEX(Items!$P$5:$P$504,U2001),"BELOW COST","OK")))),IF($D2001="","","PRO PLAN"))</f>
        <v/>
      </c>
      <c r="U2001" s="60" t="str">
        <f aca="false">IF(IsPro,IF($D2001="","",IFERROR(MATCH($D2001,Items!$A$5:$A$504,0),"")),"")</f>
        <v/>
      </c>
      <c r="V2001" s="60" t="str">
        <f aca="false">IF(IsPro,IF($C2001="","",IFERROR(MATCH($C2001,Parties!$A$5:$A$304,0),"")),"")</f>
        <v/>
      </c>
      <c r="W2001" s="60" t="str">
        <f aca="false">IF(IsPro,IF($B2001="","",IFERROR(VALUE(SUBSTITUTE($B2001,InvPrefix,"")),0)),"")</f>
        <v/>
      </c>
      <c r="X2001" s="61" t="str">
        <f aca="false">IF(IsPro,IF($D2001="","",IF(OR($H2001="",$H2001="Credit"),0,Q2001)),"")</f>
        <v/>
      </c>
    </row>
    <row r="2002" customFormat="false" ht="15" hidden="false" customHeight="false" outlineLevel="0" collapsed="false">
      <c r="A2002" s="55"/>
      <c r="B2002" s="56"/>
      <c r="C2002" s="56"/>
      <c r="D2002" s="56"/>
      <c r="E2002" s="57"/>
      <c r="F2002" s="58"/>
      <c r="G2002" s="59"/>
      <c r="H2002" s="56"/>
      <c r="I2002" s="56"/>
      <c r="J2002" s="60" t="str">
        <f aca="false">IF(IsPro,IF($D2002="","",IFERROR(INDEX(Items!$D$5:$D$504,U2002),"")),"")</f>
        <v/>
      </c>
      <c r="K2002" s="61" t="str">
        <f aca="false">IF(IsPro,IF($D2002="","",IF($F2002="",IFERROR(INDEX(Items!$H$5:$H$504,U2002),0),$F2002)),"")</f>
        <v/>
      </c>
      <c r="L2002" s="61" t="str">
        <f aca="false">IF(IsPro,IF($D2002="","",ROUND(N($E2002)*K2002*(1-N($G2002)),2)),"")</f>
        <v/>
      </c>
      <c r="M2002" s="62" t="str">
        <f aca="false">IF(IsPro,IF($D2002="","",IFERROR(INDEX(Items!$F$5:$F$504,U2002),0)),"")</f>
        <v/>
      </c>
      <c r="N2002" s="61" t="str">
        <f aca="false">IF(IsPro,IF($D2002="","",IF(AND(V2002&lt;&gt;"",INDEX(Parties!$E$5:$E$304,V2002)&lt;&gt;"",INDEX(Parties!$E$5:$E$304,V2002)&lt;&gt;HomeState),0,ROUND(L2002*M2002/2,2))),"")</f>
        <v/>
      </c>
      <c r="O2002" s="61" t="str">
        <f aca="false">IF(IsPro,IF($D2002="","",N2002),"")</f>
        <v/>
      </c>
      <c r="P2002" s="61" t="str">
        <f aca="false">IF(IsPro,IF($D2002="","",IF(AND(V2002&lt;&gt;"",INDEX(Parties!$E$5:$E$304,V2002)&lt;&gt;"",INDEX(Parties!$E$5:$E$304,V2002)&lt;&gt;HomeState),ROUND(L2002*M2002,2),0)),"")</f>
        <v/>
      </c>
      <c r="Q2002" s="61" t="str">
        <f aca="false">IF(IsPro,IF($D2002="","",L2002+N2002+O2002+P2002),"")</f>
        <v/>
      </c>
      <c r="R2002" s="61" t="str">
        <f aca="false">IF(IsPro,IF($D2002="","",ROUND(N($E2002)*IFERROR(INDEX(Items!$P$5:$P$504,U2002),0),2)),"")</f>
        <v/>
      </c>
      <c r="S2002" s="61" t="str">
        <f aca="false">IF(IsPro,IF($D2002="","",L2002-R2002),"")</f>
        <v/>
      </c>
      <c r="T2002" s="60" t="str">
        <f aca="false">IF(IsPro,IF($D2002="","",IF(U2002="","UNKNOWN ITEM",IF(INDEX(Items!$O$5:$O$504,U2002)&lt;0,"NEG STOCK",IF(K2002&lt;INDEX(Items!$P$5:$P$504,U2002),"BELOW COST","OK")))),IF($D2002="","","PRO PLAN"))</f>
        <v/>
      </c>
      <c r="U2002" s="60" t="str">
        <f aca="false">IF(IsPro,IF($D2002="","",IFERROR(MATCH($D2002,Items!$A$5:$A$504,0),"")),"")</f>
        <v/>
      </c>
      <c r="V2002" s="60" t="str">
        <f aca="false">IF(IsPro,IF($C2002="","",IFERROR(MATCH($C2002,Parties!$A$5:$A$304,0),"")),"")</f>
        <v/>
      </c>
      <c r="W2002" s="60" t="str">
        <f aca="false">IF(IsPro,IF($B2002="","",IFERROR(VALUE(SUBSTITUTE($B2002,InvPrefix,"")),0)),"")</f>
        <v/>
      </c>
      <c r="X2002" s="61" t="str">
        <f aca="false">IF(IsPro,IF($D2002="","",IF(OR($H2002="",$H2002="Credit"),0,Q2002)),"")</f>
        <v/>
      </c>
    </row>
    <row r="2003" customFormat="false" ht="15" hidden="false" customHeight="false" outlineLevel="0" collapsed="false">
      <c r="A2003" s="55"/>
      <c r="B2003" s="56"/>
      <c r="C2003" s="56"/>
      <c r="D2003" s="56"/>
      <c r="E2003" s="57"/>
      <c r="F2003" s="58"/>
      <c r="G2003" s="59"/>
      <c r="H2003" s="56"/>
      <c r="I2003" s="56"/>
      <c r="J2003" s="60" t="str">
        <f aca="false">IF(IsPro,IF($D2003="","",IFERROR(INDEX(Items!$D$5:$D$504,U2003),"")),"")</f>
        <v/>
      </c>
      <c r="K2003" s="61" t="str">
        <f aca="false">IF(IsPro,IF($D2003="","",IF($F2003="",IFERROR(INDEX(Items!$H$5:$H$504,U2003),0),$F2003)),"")</f>
        <v/>
      </c>
      <c r="L2003" s="61" t="str">
        <f aca="false">IF(IsPro,IF($D2003="","",ROUND(N($E2003)*K2003*(1-N($G2003)),2)),"")</f>
        <v/>
      </c>
      <c r="M2003" s="62" t="str">
        <f aca="false">IF(IsPro,IF($D2003="","",IFERROR(INDEX(Items!$F$5:$F$504,U2003),0)),"")</f>
        <v/>
      </c>
      <c r="N2003" s="61" t="str">
        <f aca="false">IF(IsPro,IF($D2003="","",IF(AND(V2003&lt;&gt;"",INDEX(Parties!$E$5:$E$304,V2003)&lt;&gt;"",INDEX(Parties!$E$5:$E$304,V2003)&lt;&gt;HomeState),0,ROUND(L2003*M2003/2,2))),"")</f>
        <v/>
      </c>
      <c r="O2003" s="61" t="str">
        <f aca="false">IF(IsPro,IF($D2003="","",N2003),"")</f>
        <v/>
      </c>
      <c r="P2003" s="61" t="str">
        <f aca="false">IF(IsPro,IF($D2003="","",IF(AND(V2003&lt;&gt;"",INDEX(Parties!$E$5:$E$304,V2003)&lt;&gt;"",INDEX(Parties!$E$5:$E$304,V2003)&lt;&gt;HomeState),ROUND(L2003*M2003,2),0)),"")</f>
        <v/>
      </c>
      <c r="Q2003" s="61" t="str">
        <f aca="false">IF(IsPro,IF($D2003="","",L2003+N2003+O2003+P2003),"")</f>
        <v/>
      </c>
      <c r="R2003" s="61" t="str">
        <f aca="false">IF(IsPro,IF($D2003="","",ROUND(N($E2003)*IFERROR(INDEX(Items!$P$5:$P$504,U2003),0),2)),"")</f>
        <v/>
      </c>
      <c r="S2003" s="61" t="str">
        <f aca="false">IF(IsPro,IF($D2003="","",L2003-R2003),"")</f>
        <v/>
      </c>
      <c r="T2003" s="60" t="str">
        <f aca="false">IF(IsPro,IF($D2003="","",IF(U2003="","UNKNOWN ITEM",IF(INDEX(Items!$O$5:$O$504,U2003)&lt;0,"NEG STOCK",IF(K2003&lt;INDEX(Items!$P$5:$P$504,U2003),"BELOW COST","OK")))),IF($D2003="","","PRO PLAN"))</f>
        <v/>
      </c>
      <c r="U2003" s="60" t="str">
        <f aca="false">IF(IsPro,IF($D2003="","",IFERROR(MATCH($D2003,Items!$A$5:$A$504,0),"")),"")</f>
        <v/>
      </c>
      <c r="V2003" s="60" t="str">
        <f aca="false">IF(IsPro,IF($C2003="","",IFERROR(MATCH($C2003,Parties!$A$5:$A$304,0),"")),"")</f>
        <v/>
      </c>
      <c r="W2003" s="60" t="str">
        <f aca="false">IF(IsPro,IF($B2003="","",IFERROR(VALUE(SUBSTITUTE($B2003,InvPrefix,"")),0)),"")</f>
        <v/>
      </c>
      <c r="X2003" s="61" t="str">
        <f aca="false">IF(IsPro,IF($D2003="","",IF(OR($H2003="",$H2003="Credit"),0,Q2003)),"")</f>
        <v/>
      </c>
    </row>
    <row r="2004" customFormat="false" ht="15" hidden="false" customHeight="false" outlineLevel="0" collapsed="false">
      <c r="A2004" s="55"/>
      <c r="B2004" s="56"/>
      <c r="C2004" s="56"/>
      <c r="D2004" s="56"/>
      <c r="E2004" s="57"/>
      <c r="F2004" s="58"/>
      <c r="G2004" s="59"/>
      <c r="H2004" s="56"/>
      <c r="I2004" s="56"/>
      <c r="J2004" s="60" t="str">
        <f aca="false">IF(IsPro,IF($D2004="","",IFERROR(INDEX(Items!$D$5:$D$504,U2004),"")),"")</f>
        <v/>
      </c>
      <c r="K2004" s="61" t="str">
        <f aca="false">IF(IsPro,IF($D2004="","",IF($F2004="",IFERROR(INDEX(Items!$H$5:$H$504,U2004),0),$F2004)),"")</f>
        <v/>
      </c>
      <c r="L2004" s="61" t="str">
        <f aca="false">IF(IsPro,IF($D2004="","",ROUND(N($E2004)*K2004*(1-N($G2004)),2)),"")</f>
        <v/>
      </c>
      <c r="M2004" s="62" t="str">
        <f aca="false">IF(IsPro,IF($D2004="","",IFERROR(INDEX(Items!$F$5:$F$504,U2004),0)),"")</f>
        <v/>
      </c>
      <c r="N2004" s="61" t="str">
        <f aca="false">IF(IsPro,IF($D2004="","",IF(AND(V2004&lt;&gt;"",INDEX(Parties!$E$5:$E$304,V2004)&lt;&gt;"",INDEX(Parties!$E$5:$E$304,V2004)&lt;&gt;HomeState),0,ROUND(L2004*M2004/2,2))),"")</f>
        <v/>
      </c>
      <c r="O2004" s="61" t="str">
        <f aca="false">IF(IsPro,IF($D2004="","",N2004),"")</f>
        <v/>
      </c>
      <c r="P2004" s="61" t="str">
        <f aca="false">IF(IsPro,IF($D2004="","",IF(AND(V2004&lt;&gt;"",INDEX(Parties!$E$5:$E$304,V2004)&lt;&gt;"",INDEX(Parties!$E$5:$E$304,V2004)&lt;&gt;HomeState),ROUND(L2004*M2004,2),0)),"")</f>
        <v/>
      </c>
      <c r="Q2004" s="61" t="str">
        <f aca="false">IF(IsPro,IF($D2004="","",L2004+N2004+O2004+P2004),"")</f>
        <v/>
      </c>
      <c r="R2004" s="61" t="str">
        <f aca="false">IF(IsPro,IF($D2004="","",ROUND(N($E2004)*IFERROR(INDEX(Items!$P$5:$P$504,U2004),0),2)),"")</f>
        <v/>
      </c>
      <c r="S2004" s="61" t="str">
        <f aca="false">IF(IsPro,IF($D2004="","",L2004-R2004),"")</f>
        <v/>
      </c>
      <c r="T2004" s="60" t="str">
        <f aca="false">IF(IsPro,IF($D2004="","",IF(U2004="","UNKNOWN ITEM",IF(INDEX(Items!$O$5:$O$504,U2004)&lt;0,"NEG STOCK",IF(K2004&lt;INDEX(Items!$P$5:$P$504,U2004),"BELOW COST","OK")))),IF($D2004="","","PRO PLAN"))</f>
        <v/>
      </c>
      <c r="U2004" s="60" t="str">
        <f aca="false">IF(IsPro,IF($D2004="","",IFERROR(MATCH($D2004,Items!$A$5:$A$504,0),"")),"")</f>
        <v/>
      </c>
      <c r="V2004" s="60" t="str">
        <f aca="false">IF(IsPro,IF($C2004="","",IFERROR(MATCH($C2004,Parties!$A$5:$A$304,0),"")),"")</f>
        <v/>
      </c>
      <c r="W2004" s="60" t="str">
        <f aca="false">IF(IsPro,IF($B2004="","",IFERROR(VALUE(SUBSTITUTE($B2004,InvPrefix,"")),0)),"")</f>
        <v/>
      </c>
      <c r="X2004" s="61" t="str">
        <f aca="false">IF(IsPro,IF($D2004="","",IF(OR($H2004="",$H2004="Credit"),0,Q2004)),"")</f>
        <v/>
      </c>
    </row>
    <row r="2005" customFormat="false" ht="15" hidden="false" customHeight="false" outlineLevel="0" collapsed="false">
      <c r="A2005" s="55"/>
      <c r="B2005" s="56"/>
      <c r="C2005" s="56"/>
      <c r="D2005" s="56"/>
      <c r="E2005" s="57"/>
      <c r="F2005" s="58"/>
      <c r="G2005" s="59"/>
      <c r="H2005" s="56"/>
      <c r="I2005" s="56"/>
      <c r="J2005" s="60" t="str">
        <f aca="false">IF(IsPro,IF($D2005="","",IFERROR(INDEX(Items!$D$5:$D$504,U2005),"")),"")</f>
        <v/>
      </c>
      <c r="K2005" s="61" t="str">
        <f aca="false">IF(IsPro,IF($D2005="","",IF($F2005="",IFERROR(INDEX(Items!$H$5:$H$504,U2005),0),$F2005)),"")</f>
        <v/>
      </c>
      <c r="L2005" s="61" t="str">
        <f aca="false">IF(IsPro,IF($D2005="","",ROUND(N($E2005)*K2005*(1-N($G2005)),2)),"")</f>
        <v/>
      </c>
      <c r="M2005" s="62" t="str">
        <f aca="false">IF(IsPro,IF($D2005="","",IFERROR(INDEX(Items!$F$5:$F$504,U2005),0)),"")</f>
        <v/>
      </c>
      <c r="N2005" s="61" t="str">
        <f aca="false">IF(IsPro,IF($D2005="","",IF(AND(V2005&lt;&gt;"",INDEX(Parties!$E$5:$E$304,V2005)&lt;&gt;"",INDEX(Parties!$E$5:$E$304,V2005)&lt;&gt;HomeState),0,ROUND(L2005*M2005/2,2))),"")</f>
        <v/>
      </c>
      <c r="O2005" s="61" t="str">
        <f aca="false">IF(IsPro,IF($D2005="","",N2005),"")</f>
        <v/>
      </c>
      <c r="P2005" s="61" t="str">
        <f aca="false">IF(IsPro,IF($D2005="","",IF(AND(V2005&lt;&gt;"",INDEX(Parties!$E$5:$E$304,V2005)&lt;&gt;"",INDEX(Parties!$E$5:$E$304,V2005)&lt;&gt;HomeState),ROUND(L2005*M2005,2),0)),"")</f>
        <v/>
      </c>
      <c r="Q2005" s="61" t="str">
        <f aca="false">IF(IsPro,IF($D2005="","",L2005+N2005+O2005+P2005),"")</f>
        <v/>
      </c>
      <c r="R2005" s="61" t="str">
        <f aca="false">IF(IsPro,IF($D2005="","",ROUND(N($E2005)*IFERROR(INDEX(Items!$P$5:$P$504,U2005),0),2)),"")</f>
        <v/>
      </c>
      <c r="S2005" s="61" t="str">
        <f aca="false">IF(IsPro,IF($D2005="","",L2005-R2005),"")</f>
        <v/>
      </c>
      <c r="T2005" s="60" t="str">
        <f aca="false">IF(IsPro,IF($D2005="","",IF(U2005="","UNKNOWN ITEM",IF(INDEX(Items!$O$5:$O$504,U2005)&lt;0,"NEG STOCK",IF(K2005&lt;INDEX(Items!$P$5:$P$504,U2005),"BELOW COST","OK")))),IF($D2005="","","PRO PLAN"))</f>
        <v/>
      </c>
      <c r="U2005" s="60" t="str">
        <f aca="false">IF(IsPro,IF($D2005="","",IFERROR(MATCH($D2005,Items!$A$5:$A$504,0),"")),"")</f>
        <v/>
      </c>
      <c r="V2005" s="60" t="str">
        <f aca="false">IF(IsPro,IF($C2005="","",IFERROR(MATCH($C2005,Parties!$A$5:$A$304,0),"")),"")</f>
        <v/>
      </c>
      <c r="W2005" s="60" t="str">
        <f aca="false">IF(IsPro,IF($B2005="","",IFERROR(VALUE(SUBSTITUTE($B2005,InvPrefix,"")),0)),"")</f>
        <v/>
      </c>
      <c r="X2005" s="61" t="str">
        <f aca="false">IF(IsPro,IF($D2005="","",IF(OR($H2005="",$H2005="Credit"),0,Q2005)),"")</f>
        <v/>
      </c>
    </row>
    <row r="2006" customFormat="false" ht="15" hidden="false" customHeight="false" outlineLevel="0" collapsed="false">
      <c r="A2006" s="55"/>
      <c r="B2006" s="56"/>
      <c r="C2006" s="56"/>
      <c r="D2006" s="56"/>
      <c r="E2006" s="57"/>
      <c r="F2006" s="58"/>
      <c r="G2006" s="59"/>
      <c r="H2006" s="56"/>
      <c r="I2006" s="56"/>
      <c r="J2006" s="60" t="str">
        <f aca="false">IF(IsPro,IF($D2006="","",IFERROR(INDEX(Items!$D$5:$D$504,U2006),"")),"")</f>
        <v/>
      </c>
      <c r="K2006" s="61" t="str">
        <f aca="false">IF(IsPro,IF($D2006="","",IF($F2006="",IFERROR(INDEX(Items!$H$5:$H$504,U2006),0),$F2006)),"")</f>
        <v/>
      </c>
      <c r="L2006" s="61" t="str">
        <f aca="false">IF(IsPro,IF($D2006="","",ROUND(N($E2006)*K2006*(1-N($G2006)),2)),"")</f>
        <v/>
      </c>
      <c r="M2006" s="62" t="str">
        <f aca="false">IF(IsPro,IF($D2006="","",IFERROR(INDEX(Items!$F$5:$F$504,U2006),0)),"")</f>
        <v/>
      </c>
      <c r="N2006" s="61" t="str">
        <f aca="false">IF(IsPro,IF($D2006="","",IF(AND(V2006&lt;&gt;"",INDEX(Parties!$E$5:$E$304,V2006)&lt;&gt;"",INDEX(Parties!$E$5:$E$304,V2006)&lt;&gt;HomeState),0,ROUND(L2006*M2006/2,2))),"")</f>
        <v/>
      </c>
      <c r="O2006" s="61" t="str">
        <f aca="false">IF(IsPro,IF($D2006="","",N2006),"")</f>
        <v/>
      </c>
      <c r="P2006" s="61" t="str">
        <f aca="false">IF(IsPro,IF($D2006="","",IF(AND(V2006&lt;&gt;"",INDEX(Parties!$E$5:$E$304,V2006)&lt;&gt;"",INDEX(Parties!$E$5:$E$304,V2006)&lt;&gt;HomeState),ROUND(L2006*M2006,2),0)),"")</f>
        <v/>
      </c>
      <c r="Q2006" s="61" t="str">
        <f aca="false">IF(IsPro,IF($D2006="","",L2006+N2006+O2006+P2006),"")</f>
        <v/>
      </c>
      <c r="R2006" s="61" t="str">
        <f aca="false">IF(IsPro,IF($D2006="","",ROUND(N($E2006)*IFERROR(INDEX(Items!$P$5:$P$504,U2006),0),2)),"")</f>
        <v/>
      </c>
      <c r="S2006" s="61" t="str">
        <f aca="false">IF(IsPro,IF($D2006="","",L2006-R2006),"")</f>
        <v/>
      </c>
      <c r="T2006" s="60" t="str">
        <f aca="false">IF(IsPro,IF($D2006="","",IF(U2006="","UNKNOWN ITEM",IF(INDEX(Items!$O$5:$O$504,U2006)&lt;0,"NEG STOCK",IF(K2006&lt;INDEX(Items!$P$5:$P$504,U2006),"BELOW COST","OK")))),IF($D2006="","","PRO PLAN"))</f>
        <v/>
      </c>
      <c r="U2006" s="60" t="str">
        <f aca="false">IF(IsPro,IF($D2006="","",IFERROR(MATCH($D2006,Items!$A$5:$A$504,0),"")),"")</f>
        <v/>
      </c>
      <c r="V2006" s="60" t="str">
        <f aca="false">IF(IsPro,IF($C2006="","",IFERROR(MATCH($C2006,Parties!$A$5:$A$304,0),"")),"")</f>
        <v/>
      </c>
      <c r="W2006" s="60" t="str">
        <f aca="false">IF(IsPro,IF($B2006="","",IFERROR(VALUE(SUBSTITUTE($B2006,InvPrefix,"")),0)),"")</f>
        <v/>
      </c>
      <c r="X2006" s="61" t="str">
        <f aca="false">IF(IsPro,IF($D2006="","",IF(OR($H2006="",$H2006="Credit"),0,Q2006)),"")</f>
        <v/>
      </c>
    </row>
    <row r="2007" customFormat="false" ht="15" hidden="false" customHeight="false" outlineLevel="0" collapsed="false">
      <c r="A2007" s="55"/>
      <c r="B2007" s="56"/>
      <c r="C2007" s="56"/>
      <c r="D2007" s="56"/>
      <c r="E2007" s="57"/>
      <c r="F2007" s="58"/>
      <c r="G2007" s="59"/>
      <c r="H2007" s="56"/>
      <c r="I2007" s="56"/>
      <c r="J2007" s="60" t="str">
        <f aca="false">IF(IsPro,IF($D2007="","",IFERROR(INDEX(Items!$D$5:$D$504,U2007),"")),"")</f>
        <v/>
      </c>
      <c r="K2007" s="61" t="str">
        <f aca="false">IF(IsPro,IF($D2007="","",IF($F2007="",IFERROR(INDEX(Items!$H$5:$H$504,U2007),0),$F2007)),"")</f>
        <v/>
      </c>
      <c r="L2007" s="61" t="str">
        <f aca="false">IF(IsPro,IF($D2007="","",ROUND(N($E2007)*K2007*(1-N($G2007)),2)),"")</f>
        <v/>
      </c>
      <c r="M2007" s="62" t="str">
        <f aca="false">IF(IsPro,IF($D2007="","",IFERROR(INDEX(Items!$F$5:$F$504,U2007),0)),"")</f>
        <v/>
      </c>
      <c r="N2007" s="61" t="str">
        <f aca="false">IF(IsPro,IF($D2007="","",IF(AND(V2007&lt;&gt;"",INDEX(Parties!$E$5:$E$304,V2007)&lt;&gt;"",INDEX(Parties!$E$5:$E$304,V2007)&lt;&gt;HomeState),0,ROUND(L2007*M2007/2,2))),"")</f>
        <v/>
      </c>
      <c r="O2007" s="61" t="str">
        <f aca="false">IF(IsPro,IF($D2007="","",N2007),"")</f>
        <v/>
      </c>
      <c r="P2007" s="61" t="str">
        <f aca="false">IF(IsPro,IF($D2007="","",IF(AND(V2007&lt;&gt;"",INDEX(Parties!$E$5:$E$304,V2007)&lt;&gt;"",INDEX(Parties!$E$5:$E$304,V2007)&lt;&gt;HomeState),ROUND(L2007*M2007,2),0)),"")</f>
        <v/>
      </c>
      <c r="Q2007" s="61" t="str">
        <f aca="false">IF(IsPro,IF($D2007="","",L2007+N2007+O2007+P2007),"")</f>
        <v/>
      </c>
      <c r="R2007" s="61" t="str">
        <f aca="false">IF(IsPro,IF($D2007="","",ROUND(N($E2007)*IFERROR(INDEX(Items!$P$5:$P$504,U2007),0),2)),"")</f>
        <v/>
      </c>
      <c r="S2007" s="61" t="str">
        <f aca="false">IF(IsPro,IF($D2007="","",L2007-R2007),"")</f>
        <v/>
      </c>
      <c r="T2007" s="60" t="str">
        <f aca="false">IF(IsPro,IF($D2007="","",IF(U2007="","UNKNOWN ITEM",IF(INDEX(Items!$O$5:$O$504,U2007)&lt;0,"NEG STOCK",IF(K2007&lt;INDEX(Items!$P$5:$P$504,U2007),"BELOW COST","OK")))),IF($D2007="","","PRO PLAN"))</f>
        <v/>
      </c>
      <c r="U2007" s="60" t="str">
        <f aca="false">IF(IsPro,IF($D2007="","",IFERROR(MATCH($D2007,Items!$A$5:$A$504,0),"")),"")</f>
        <v/>
      </c>
      <c r="V2007" s="60" t="str">
        <f aca="false">IF(IsPro,IF($C2007="","",IFERROR(MATCH($C2007,Parties!$A$5:$A$304,0),"")),"")</f>
        <v/>
      </c>
      <c r="W2007" s="60" t="str">
        <f aca="false">IF(IsPro,IF($B2007="","",IFERROR(VALUE(SUBSTITUTE($B2007,InvPrefix,"")),0)),"")</f>
        <v/>
      </c>
      <c r="X2007" s="61" t="str">
        <f aca="false">IF(IsPro,IF($D2007="","",IF(OR($H2007="",$H2007="Credit"),0,Q2007)),"")</f>
        <v/>
      </c>
    </row>
    <row r="2008" customFormat="false" ht="15" hidden="false" customHeight="false" outlineLevel="0" collapsed="false">
      <c r="A2008" s="55"/>
      <c r="B2008" s="56"/>
      <c r="C2008" s="56"/>
      <c r="D2008" s="56"/>
      <c r="E2008" s="57"/>
      <c r="F2008" s="58"/>
      <c r="G2008" s="59"/>
      <c r="H2008" s="56"/>
      <c r="I2008" s="56"/>
      <c r="J2008" s="60" t="str">
        <f aca="false">IF(IsPro,IF($D2008="","",IFERROR(INDEX(Items!$D$5:$D$504,U2008),"")),"")</f>
        <v/>
      </c>
      <c r="K2008" s="61" t="str">
        <f aca="false">IF(IsPro,IF($D2008="","",IF($F2008="",IFERROR(INDEX(Items!$H$5:$H$504,U2008),0),$F2008)),"")</f>
        <v/>
      </c>
      <c r="L2008" s="61" t="str">
        <f aca="false">IF(IsPro,IF($D2008="","",ROUND(N($E2008)*K2008*(1-N($G2008)),2)),"")</f>
        <v/>
      </c>
      <c r="M2008" s="62" t="str">
        <f aca="false">IF(IsPro,IF($D2008="","",IFERROR(INDEX(Items!$F$5:$F$504,U2008),0)),"")</f>
        <v/>
      </c>
      <c r="N2008" s="61" t="str">
        <f aca="false">IF(IsPro,IF($D2008="","",IF(AND(V2008&lt;&gt;"",INDEX(Parties!$E$5:$E$304,V2008)&lt;&gt;"",INDEX(Parties!$E$5:$E$304,V2008)&lt;&gt;HomeState),0,ROUND(L2008*M2008/2,2))),"")</f>
        <v/>
      </c>
      <c r="O2008" s="61" t="str">
        <f aca="false">IF(IsPro,IF($D2008="","",N2008),"")</f>
        <v/>
      </c>
      <c r="P2008" s="61" t="str">
        <f aca="false">IF(IsPro,IF($D2008="","",IF(AND(V2008&lt;&gt;"",INDEX(Parties!$E$5:$E$304,V2008)&lt;&gt;"",INDEX(Parties!$E$5:$E$304,V2008)&lt;&gt;HomeState),ROUND(L2008*M2008,2),0)),"")</f>
        <v/>
      </c>
      <c r="Q2008" s="61" t="str">
        <f aca="false">IF(IsPro,IF($D2008="","",L2008+N2008+O2008+P2008),"")</f>
        <v/>
      </c>
      <c r="R2008" s="61" t="str">
        <f aca="false">IF(IsPro,IF($D2008="","",ROUND(N($E2008)*IFERROR(INDEX(Items!$P$5:$P$504,U2008),0),2)),"")</f>
        <v/>
      </c>
      <c r="S2008" s="61" t="str">
        <f aca="false">IF(IsPro,IF($D2008="","",L2008-R2008),"")</f>
        <v/>
      </c>
      <c r="T2008" s="60" t="str">
        <f aca="false">IF(IsPro,IF($D2008="","",IF(U2008="","UNKNOWN ITEM",IF(INDEX(Items!$O$5:$O$504,U2008)&lt;0,"NEG STOCK",IF(K2008&lt;INDEX(Items!$P$5:$P$504,U2008),"BELOW COST","OK")))),IF($D2008="","","PRO PLAN"))</f>
        <v/>
      </c>
      <c r="U2008" s="60" t="str">
        <f aca="false">IF(IsPro,IF($D2008="","",IFERROR(MATCH($D2008,Items!$A$5:$A$504,0),"")),"")</f>
        <v/>
      </c>
      <c r="V2008" s="60" t="str">
        <f aca="false">IF(IsPro,IF($C2008="","",IFERROR(MATCH($C2008,Parties!$A$5:$A$304,0),"")),"")</f>
        <v/>
      </c>
      <c r="W2008" s="60" t="str">
        <f aca="false">IF(IsPro,IF($B2008="","",IFERROR(VALUE(SUBSTITUTE($B2008,InvPrefix,"")),0)),"")</f>
        <v/>
      </c>
      <c r="X2008" s="61" t="str">
        <f aca="false">IF(IsPro,IF($D2008="","",IF(OR($H2008="",$H2008="Credit"),0,Q2008)),"")</f>
        <v/>
      </c>
    </row>
    <row r="2009" customFormat="false" ht="15" hidden="false" customHeight="false" outlineLevel="0" collapsed="false">
      <c r="A2009" s="55"/>
      <c r="B2009" s="56"/>
      <c r="C2009" s="56"/>
      <c r="D2009" s="56"/>
      <c r="E2009" s="57"/>
      <c r="F2009" s="58"/>
      <c r="G2009" s="59"/>
      <c r="H2009" s="56"/>
      <c r="I2009" s="56"/>
      <c r="J2009" s="60" t="str">
        <f aca="false">IF(IsPro,IF($D2009="","",IFERROR(INDEX(Items!$D$5:$D$504,U2009),"")),"")</f>
        <v/>
      </c>
      <c r="K2009" s="61" t="str">
        <f aca="false">IF(IsPro,IF($D2009="","",IF($F2009="",IFERROR(INDEX(Items!$H$5:$H$504,U2009),0),$F2009)),"")</f>
        <v/>
      </c>
      <c r="L2009" s="61" t="str">
        <f aca="false">IF(IsPro,IF($D2009="","",ROUND(N($E2009)*K2009*(1-N($G2009)),2)),"")</f>
        <v/>
      </c>
      <c r="M2009" s="62" t="str">
        <f aca="false">IF(IsPro,IF($D2009="","",IFERROR(INDEX(Items!$F$5:$F$504,U2009),0)),"")</f>
        <v/>
      </c>
      <c r="N2009" s="61" t="str">
        <f aca="false">IF(IsPro,IF($D2009="","",IF(AND(V2009&lt;&gt;"",INDEX(Parties!$E$5:$E$304,V2009)&lt;&gt;"",INDEX(Parties!$E$5:$E$304,V2009)&lt;&gt;HomeState),0,ROUND(L2009*M2009/2,2))),"")</f>
        <v/>
      </c>
      <c r="O2009" s="61" t="str">
        <f aca="false">IF(IsPro,IF($D2009="","",N2009),"")</f>
        <v/>
      </c>
      <c r="P2009" s="61" t="str">
        <f aca="false">IF(IsPro,IF($D2009="","",IF(AND(V2009&lt;&gt;"",INDEX(Parties!$E$5:$E$304,V2009)&lt;&gt;"",INDEX(Parties!$E$5:$E$304,V2009)&lt;&gt;HomeState),ROUND(L2009*M2009,2),0)),"")</f>
        <v/>
      </c>
      <c r="Q2009" s="61" t="str">
        <f aca="false">IF(IsPro,IF($D2009="","",L2009+N2009+O2009+P2009),"")</f>
        <v/>
      </c>
      <c r="R2009" s="61" t="str">
        <f aca="false">IF(IsPro,IF($D2009="","",ROUND(N($E2009)*IFERROR(INDEX(Items!$P$5:$P$504,U2009),0),2)),"")</f>
        <v/>
      </c>
      <c r="S2009" s="61" t="str">
        <f aca="false">IF(IsPro,IF($D2009="","",L2009-R2009),"")</f>
        <v/>
      </c>
      <c r="T2009" s="60" t="str">
        <f aca="false">IF(IsPro,IF($D2009="","",IF(U2009="","UNKNOWN ITEM",IF(INDEX(Items!$O$5:$O$504,U2009)&lt;0,"NEG STOCK",IF(K2009&lt;INDEX(Items!$P$5:$P$504,U2009),"BELOW COST","OK")))),IF($D2009="","","PRO PLAN"))</f>
        <v/>
      </c>
      <c r="U2009" s="60" t="str">
        <f aca="false">IF(IsPro,IF($D2009="","",IFERROR(MATCH($D2009,Items!$A$5:$A$504,0),"")),"")</f>
        <v/>
      </c>
      <c r="V2009" s="60" t="str">
        <f aca="false">IF(IsPro,IF($C2009="","",IFERROR(MATCH($C2009,Parties!$A$5:$A$304,0),"")),"")</f>
        <v/>
      </c>
      <c r="W2009" s="60" t="str">
        <f aca="false">IF(IsPro,IF($B2009="","",IFERROR(VALUE(SUBSTITUTE($B2009,InvPrefix,"")),0)),"")</f>
        <v/>
      </c>
      <c r="X2009" s="61" t="str">
        <f aca="false">IF(IsPro,IF($D2009="","",IF(OR($H2009="",$H2009="Credit"),0,Q2009)),"")</f>
        <v/>
      </c>
    </row>
    <row r="2010" customFormat="false" ht="15" hidden="false" customHeight="false" outlineLevel="0" collapsed="false">
      <c r="A2010" s="55"/>
      <c r="B2010" s="56"/>
      <c r="C2010" s="56"/>
      <c r="D2010" s="56"/>
      <c r="E2010" s="57"/>
      <c r="F2010" s="58"/>
      <c r="G2010" s="59"/>
      <c r="H2010" s="56"/>
      <c r="I2010" s="56"/>
      <c r="J2010" s="60" t="str">
        <f aca="false">IF(IsPro,IF($D2010="","",IFERROR(INDEX(Items!$D$5:$D$504,U2010),"")),"")</f>
        <v/>
      </c>
      <c r="K2010" s="61" t="str">
        <f aca="false">IF(IsPro,IF($D2010="","",IF($F2010="",IFERROR(INDEX(Items!$H$5:$H$504,U2010),0),$F2010)),"")</f>
        <v/>
      </c>
      <c r="L2010" s="61" t="str">
        <f aca="false">IF(IsPro,IF($D2010="","",ROUND(N($E2010)*K2010*(1-N($G2010)),2)),"")</f>
        <v/>
      </c>
      <c r="M2010" s="62" t="str">
        <f aca="false">IF(IsPro,IF($D2010="","",IFERROR(INDEX(Items!$F$5:$F$504,U2010),0)),"")</f>
        <v/>
      </c>
      <c r="N2010" s="61" t="str">
        <f aca="false">IF(IsPro,IF($D2010="","",IF(AND(V2010&lt;&gt;"",INDEX(Parties!$E$5:$E$304,V2010)&lt;&gt;"",INDEX(Parties!$E$5:$E$304,V2010)&lt;&gt;HomeState),0,ROUND(L2010*M2010/2,2))),"")</f>
        <v/>
      </c>
      <c r="O2010" s="61" t="str">
        <f aca="false">IF(IsPro,IF($D2010="","",N2010),"")</f>
        <v/>
      </c>
      <c r="P2010" s="61" t="str">
        <f aca="false">IF(IsPro,IF($D2010="","",IF(AND(V2010&lt;&gt;"",INDEX(Parties!$E$5:$E$304,V2010)&lt;&gt;"",INDEX(Parties!$E$5:$E$304,V2010)&lt;&gt;HomeState),ROUND(L2010*M2010,2),0)),"")</f>
        <v/>
      </c>
      <c r="Q2010" s="61" t="str">
        <f aca="false">IF(IsPro,IF($D2010="","",L2010+N2010+O2010+P2010),"")</f>
        <v/>
      </c>
      <c r="R2010" s="61" t="str">
        <f aca="false">IF(IsPro,IF($D2010="","",ROUND(N($E2010)*IFERROR(INDEX(Items!$P$5:$P$504,U2010),0),2)),"")</f>
        <v/>
      </c>
      <c r="S2010" s="61" t="str">
        <f aca="false">IF(IsPro,IF($D2010="","",L2010-R2010),"")</f>
        <v/>
      </c>
      <c r="T2010" s="60" t="str">
        <f aca="false">IF(IsPro,IF($D2010="","",IF(U2010="","UNKNOWN ITEM",IF(INDEX(Items!$O$5:$O$504,U2010)&lt;0,"NEG STOCK",IF(K2010&lt;INDEX(Items!$P$5:$P$504,U2010),"BELOW COST","OK")))),IF($D2010="","","PRO PLAN"))</f>
        <v/>
      </c>
      <c r="U2010" s="60" t="str">
        <f aca="false">IF(IsPro,IF($D2010="","",IFERROR(MATCH($D2010,Items!$A$5:$A$504,0),"")),"")</f>
        <v/>
      </c>
      <c r="V2010" s="60" t="str">
        <f aca="false">IF(IsPro,IF($C2010="","",IFERROR(MATCH($C2010,Parties!$A$5:$A$304,0),"")),"")</f>
        <v/>
      </c>
      <c r="W2010" s="60" t="str">
        <f aca="false">IF(IsPro,IF($B2010="","",IFERROR(VALUE(SUBSTITUTE($B2010,InvPrefix,"")),0)),"")</f>
        <v/>
      </c>
      <c r="X2010" s="61" t="str">
        <f aca="false">IF(IsPro,IF($D2010="","",IF(OR($H2010="",$H2010="Credit"),0,Q2010)),"")</f>
        <v/>
      </c>
    </row>
    <row r="2011" customFormat="false" ht="15" hidden="false" customHeight="false" outlineLevel="0" collapsed="false">
      <c r="A2011" s="55"/>
      <c r="B2011" s="56"/>
      <c r="C2011" s="56"/>
      <c r="D2011" s="56"/>
      <c r="E2011" s="57"/>
      <c r="F2011" s="58"/>
      <c r="G2011" s="59"/>
      <c r="H2011" s="56"/>
      <c r="I2011" s="56"/>
      <c r="J2011" s="60" t="str">
        <f aca="false">IF(IsPro,IF($D2011="","",IFERROR(INDEX(Items!$D$5:$D$504,U2011),"")),"")</f>
        <v/>
      </c>
      <c r="K2011" s="61" t="str">
        <f aca="false">IF(IsPro,IF($D2011="","",IF($F2011="",IFERROR(INDEX(Items!$H$5:$H$504,U2011),0),$F2011)),"")</f>
        <v/>
      </c>
      <c r="L2011" s="61" t="str">
        <f aca="false">IF(IsPro,IF($D2011="","",ROUND(N($E2011)*K2011*(1-N($G2011)),2)),"")</f>
        <v/>
      </c>
      <c r="M2011" s="62" t="str">
        <f aca="false">IF(IsPro,IF($D2011="","",IFERROR(INDEX(Items!$F$5:$F$504,U2011),0)),"")</f>
        <v/>
      </c>
      <c r="N2011" s="61" t="str">
        <f aca="false">IF(IsPro,IF($D2011="","",IF(AND(V2011&lt;&gt;"",INDEX(Parties!$E$5:$E$304,V2011)&lt;&gt;"",INDEX(Parties!$E$5:$E$304,V2011)&lt;&gt;HomeState),0,ROUND(L2011*M2011/2,2))),"")</f>
        <v/>
      </c>
      <c r="O2011" s="61" t="str">
        <f aca="false">IF(IsPro,IF($D2011="","",N2011),"")</f>
        <v/>
      </c>
      <c r="P2011" s="61" t="str">
        <f aca="false">IF(IsPro,IF($D2011="","",IF(AND(V2011&lt;&gt;"",INDEX(Parties!$E$5:$E$304,V2011)&lt;&gt;"",INDEX(Parties!$E$5:$E$304,V2011)&lt;&gt;HomeState),ROUND(L2011*M2011,2),0)),"")</f>
        <v/>
      </c>
      <c r="Q2011" s="61" t="str">
        <f aca="false">IF(IsPro,IF($D2011="","",L2011+N2011+O2011+P2011),"")</f>
        <v/>
      </c>
      <c r="R2011" s="61" t="str">
        <f aca="false">IF(IsPro,IF($D2011="","",ROUND(N($E2011)*IFERROR(INDEX(Items!$P$5:$P$504,U2011),0),2)),"")</f>
        <v/>
      </c>
      <c r="S2011" s="61" t="str">
        <f aca="false">IF(IsPro,IF($D2011="","",L2011-R2011),"")</f>
        <v/>
      </c>
      <c r="T2011" s="60" t="str">
        <f aca="false">IF(IsPro,IF($D2011="","",IF(U2011="","UNKNOWN ITEM",IF(INDEX(Items!$O$5:$O$504,U2011)&lt;0,"NEG STOCK",IF(K2011&lt;INDEX(Items!$P$5:$P$504,U2011),"BELOW COST","OK")))),IF($D2011="","","PRO PLAN"))</f>
        <v/>
      </c>
      <c r="U2011" s="60" t="str">
        <f aca="false">IF(IsPro,IF($D2011="","",IFERROR(MATCH($D2011,Items!$A$5:$A$504,0),"")),"")</f>
        <v/>
      </c>
      <c r="V2011" s="60" t="str">
        <f aca="false">IF(IsPro,IF($C2011="","",IFERROR(MATCH($C2011,Parties!$A$5:$A$304,0),"")),"")</f>
        <v/>
      </c>
      <c r="W2011" s="60" t="str">
        <f aca="false">IF(IsPro,IF($B2011="","",IFERROR(VALUE(SUBSTITUTE($B2011,InvPrefix,"")),0)),"")</f>
        <v/>
      </c>
      <c r="X2011" s="61" t="str">
        <f aca="false">IF(IsPro,IF($D2011="","",IF(OR($H2011="",$H2011="Credit"),0,Q2011)),"")</f>
        <v/>
      </c>
    </row>
    <row r="2012" customFormat="false" ht="15" hidden="false" customHeight="false" outlineLevel="0" collapsed="false">
      <c r="A2012" s="55"/>
      <c r="B2012" s="56"/>
      <c r="C2012" s="56"/>
      <c r="D2012" s="56"/>
      <c r="E2012" s="57"/>
      <c r="F2012" s="58"/>
      <c r="G2012" s="59"/>
      <c r="H2012" s="56"/>
      <c r="I2012" s="56"/>
      <c r="J2012" s="60" t="str">
        <f aca="false">IF(IsPro,IF($D2012="","",IFERROR(INDEX(Items!$D$5:$D$504,U2012),"")),"")</f>
        <v/>
      </c>
      <c r="K2012" s="61" t="str">
        <f aca="false">IF(IsPro,IF($D2012="","",IF($F2012="",IFERROR(INDEX(Items!$H$5:$H$504,U2012),0),$F2012)),"")</f>
        <v/>
      </c>
      <c r="L2012" s="61" t="str">
        <f aca="false">IF(IsPro,IF($D2012="","",ROUND(N($E2012)*K2012*(1-N($G2012)),2)),"")</f>
        <v/>
      </c>
      <c r="M2012" s="62" t="str">
        <f aca="false">IF(IsPro,IF($D2012="","",IFERROR(INDEX(Items!$F$5:$F$504,U2012),0)),"")</f>
        <v/>
      </c>
      <c r="N2012" s="61" t="str">
        <f aca="false">IF(IsPro,IF($D2012="","",IF(AND(V2012&lt;&gt;"",INDEX(Parties!$E$5:$E$304,V2012)&lt;&gt;"",INDEX(Parties!$E$5:$E$304,V2012)&lt;&gt;HomeState),0,ROUND(L2012*M2012/2,2))),"")</f>
        <v/>
      </c>
      <c r="O2012" s="61" t="str">
        <f aca="false">IF(IsPro,IF($D2012="","",N2012),"")</f>
        <v/>
      </c>
      <c r="P2012" s="61" t="str">
        <f aca="false">IF(IsPro,IF($D2012="","",IF(AND(V2012&lt;&gt;"",INDEX(Parties!$E$5:$E$304,V2012)&lt;&gt;"",INDEX(Parties!$E$5:$E$304,V2012)&lt;&gt;HomeState),ROUND(L2012*M2012,2),0)),"")</f>
        <v/>
      </c>
      <c r="Q2012" s="61" t="str">
        <f aca="false">IF(IsPro,IF($D2012="","",L2012+N2012+O2012+P2012),"")</f>
        <v/>
      </c>
      <c r="R2012" s="61" t="str">
        <f aca="false">IF(IsPro,IF($D2012="","",ROUND(N($E2012)*IFERROR(INDEX(Items!$P$5:$P$504,U2012),0),2)),"")</f>
        <v/>
      </c>
      <c r="S2012" s="61" t="str">
        <f aca="false">IF(IsPro,IF($D2012="","",L2012-R2012),"")</f>
        <v/>
      </c>
      <c r="T2012" s="60" t="str">
        <f aca="false">IF(IsPro,IF($D2012="","",IF(U2012="","UNKNOWN ITEM",IF(INDEX(Items!$O$5:$O$504,U2012)&lt;0,"NEG STOCK",IF(K2012&lt;INDEX(Items!$P$5:$P$504,U2012),"BELOW COST","OK")))),IF($D2012="","","PRO PLAN"))</f>
        <v/>
      </c>
      <c r="U2012" s="60" t="str">
        <f aca="false">IF(IsPro,IF($D2012="","",IFERROR(MATCH($D2012,Items!$A$5:$A$504,0),"")),"")</f>
        <v/>
      </c>
      <c r="V2012" s="60" t="str">
        <f aca="false">IF(IsPro,IF($C2012="","",IFERROR(MATCH($C2012,Parties!$A$5:$A$304,0),"")),"")</f>
        <v/>
      </c>
      <c r="W2012" s="60" t="str">
        <f aca="false">IF(IsPro,IF($B2012="","",IFERROR(VALUE(SUBSTITUTE($B2012,InvPrefix,"")),0)),"")</f>
        <v/>
      </c>
      <c r="X2012" s="61" t="str">
        <f aca="false">IF(IsPro,IF($D2012="","",IF(OR($H2012="",$H2012="Credit"),0,Q2012)),"")</f>
        <v/>
      </c>
    </row>
    <row r="2013" customFormat="false" ht="15" hidden="false" customHeight="false" outlineLevel="0" collapsed="false">
      <c r="A2013" s="55"/>
      <c r="B2013" s="56"/>
      <c r="C2013" s="56"/>
      <c r="D2013" s="56"/>
      <c r="E2013" s="57"/>
      <c r="F2013" s="58"/>
      <c r="G2013" s="59"/>
      <c r="H2013" s="56"/>
      <c r="I2013" s="56"/>
      <c r="J2013" s="60" t="str">
        <f aca="false">IF(IsPro,IF($D2013="","",IFERROR(INDEX(Items!$D$5:$D$504,U2013),"")),"")</f>
        <v/>
      </c>
      <c r="K2013" s="61" t="str">
        <f aca="false">IF(IsPro,IF($D2013="","",IF($F2013="",IFERROR(INDEX(Items!$H$5:$H$504,U2013),0),$F2013)),"")</f>
        <v/>
      </c>
      <c r="L2013" s="61" t="str">
        <f aca="false">IF(IsPro,IF($D2013="","",ROUND(N($E2013)*K2013*(1-N($G2013)),2)),"")</f>
        <v/>
      </c>
      <c r="M2013" s="62" t="str">
        <f aca="false">IF(IsPro,IF($D2013="","",IFERROR(INDEX(Items!$F$5:$F$504,U2013),0)),"")</f>
        <v/>
      </c>
      <c r="N2013" s="61" t="str">
        <f aca="false">IF(IsPro,IF($D2013="","",IF(AND(V2013&lt;&gt;"",INDEX(Parties!$E$5:$E$304,V2013)&lt;&gt;"",INDEX(Parties!$E$5:$E$304,V2013)&lt;&gt;HomeState),0,ROUND(L2013*M2013/2,2))),"")</f>
        <v/>
      </c>
      <c r="O2013" s="61" t="str">
        <f aca="false">IF(IsPro,IF($D2013="","",N2013),"")</f>
        <v/>
      </c>
      <c r="P2013" s="61" t="str">
        <f aca="false">IF(IsPro,IF($D2013="","",IF(AND(V2013&lt;&gt;"",INDEX(Parties!$E$5:$E$304,V2013)&lt;&gt;"",INDEX(Parties!$E$5:$E$304,V2013)&lt;&gt;HomeState),ROUND(L2013*M2013,2),0)),"")</f>
        <v/>
      </c>
      <c r="Q2013" s="61" t="str">
        <f aca="false">IF(IsPro,IF($D2013="","",L2013+N2013+O2013+P2013),"")</f>
        <v/>
      </c>
      <c r="R2013" s="61" t="str">
        <f aca="false">IF(IsPro,IF($D2013="","",ROUND(N($E2013)*IFERROR(INDEX(Items!$P$5:$P$504,U2013),0),2)),"")</f>
        <v/>
      </c>
      <c r="S2013" s="61" t="str">
        <f aca="false">IF(IsPro,IF($D2013="","",L2013-R2013),"")</f>
        <v/>
      </c>
      <c r="T2013" s="60" t="str">
        <f aca="false">IF(IsPro,IF($D2013="","",IF(U2013="","UNKNOWN ITEM",IF(INDEX(Items!$O$5:$O$504,U2013)&lt;0,"NEG STOCK",IF(K2013&lt;INDEX(Items!$P$5:$P$504,U2013),"BELOW COST","OK")))),IF($D2013="","","PRO PLAN"))</f>
        <v/>
      </c>
      <c r="U2013" s="60" t="str">
        <f aca="false">IF(IsPro,IF($D2013="","",IFERROR(MATCH($D2013,Items!$A$5:$A$504,0),"")),"")</f>
        <v/>
      </c>
      <c r="V2013" s="60" t="str">
        <f aca="false">IF(IsPro,IF($C2013="","",IFERROR(MATCH($C2013,Parties!$A$5:$A$304,0),"")),"")</f>
        <v/>
      </c>
      <c r="W2013" s="60" t="str">
        <f aca="false">IF(IsPro,IF($B2013="","",IFERROR(VALUE(SUBSTITUTE($B2013,InvPrefix,"")),0)),"")</f>
        <v/>
      </c>
      <c r="X2013" s="61" t="str">
        <f aca="false">IF(IsPro,IF($D2013="","",IF(OR($H2013="",$H2013="Credit"),0,Q2013)),"")</f>
        <v/>
      </c>
    </row>
    <row r="2014" customFormat="false" ht="15" hidden="false" customHeight="false" outlineLevel="0" collapsed="false">
      <c r="A2014" s="55"/>
      <c r="B2014" s="56"/>
      <c r="C2014" s="56"/>
      <c r="D2014" s="56"/>
      <c r="E2014" s="57"/>
      <c r="F2014" s="58"/>
      <c r="G2014" s="59"/>
      <c r="H2014" s="56"/>
      <c r="I2014" s="56"/>
      <c r="J2014" s="60" t="str">
        <f aca="false">IF(IsPro,IF($D2014="","",IFERROR(INDEX(Items!$D$5:$D$504,U2014),"")),"")</f>
        <v/>
      </c>
      <c r="K2014" s="61" t="str">
        <f aca="false">IF(IsPro,IF($D2014="","",IF($F2014="",IFERROR(INDEX(Items!$H$5:$H$504,U2014),0),$F2014)),"")</f>
        <v/>
      </c>
      <c r="L2014" s="61" t="str">
        <f aca="false">IF(IsPro,IF($D2014="","",ROUND(N($E2014)*K2014*(1-N($G2014)),2)),"")</f>
        <v/>
      </c>
      <c r="M2014" s="62" t="str">
        <f aca="false">IF(IsPro,IF($D2014="","",IFERROR(INDEX(Items!$F$5:$F$504,U2014),0)),"")</f>
        <v/>
      </c>
      <c r="N2014" s="61" t="str">
        <f aca="false">IF(IsPro,IF($D2014="","",IF(AND(V2014&lt;&gt;"",INDEX(Parties!$E$5:$E$304,V2014)&lt;&gt;"",INDEX(Parties!$E$5:$E$304,V2014)&lt;&gt;HomeState),0,ROUND(L2014*M2014/2,2))),"")</f>
        <v/>
      </c>
      <c r="O2014" s="61" t="str">
        <f aca="false">IF(IsPro,IF($D2014="","",N2014),"")</f>
        <v/>
      </c>
      <c r="P2014" s="61" t="str">
        <f aca="false">IF(IsPro,IF($D2014="","",IF(AND(V2014&lt;&gt;"",INDEX(Parties!$E$5:$E$304,V2014)&lt;&gt;"",INDEX(Parties!$E$5:$E$304,V2014)&lt;&gt;HomeState),ROUND(L2014*M2014,2),0)),"")</f>
        <v/>
      </c>
      <c r="Q2014" s="61" t="str">
        <f aca="false">IF(IsPro,IF($D2014="","",L2014+N2014+O2014+P2014),"")</f>
        <v/>
      </c>
      <c r="R2014" s="61" t="str">
        <f aca="false">IF(IsPro,IF($D2014="","",ROUND(N($E2014)*IFERROR(INDEX(Items!$P$5:$P$504,U2014),0),2)),"")</f>
        <v/>
      </c>
      <c r="S2014" s="61" t="str">
        <f aca="false">IF(IsPro,IF($D2014="","",L2014-R2014),"")</f>
        <v/>
      </c>
      <c r="T2014" s="60" t="str">
        <f aca="false">IF(IsPro,IF($D2014="","",IF(U2014="","UNKNOWN ITEM",IF(INDEX(Items!$O$5:$O$504,U2014)&lt;0,"NEG STOCK",IF(K2014&lt;INDEX(Items!$P$5:$P$504,U2014),"BELOW COST","OK")))),IF($D2014="","","PRO PLAN"))</f>
        <v/>
      </c>
      <c r="U2014" s="60" t="str">
        <f aca="false">IF(IsPro,IF($D2014="","",IFERROR(MATCH($D2014,Items!$A$5:$A$504,0),"")),"")</f>
        <v/>
      </c>
      <c r="V2014" s="60" t="str">
        <f aca="false">IF(IsPro,IF($C2014="","",IFERROR(MATCH($C2014,Parties!$A$5:$A$304,0),"")),"")</f>
        <v/>
      </c>
      <c r="W2014" s="60" t="str">
        <f aca="false">IF(IsPro,IF($B2014="","",IFERROR(VALUE(SUBSTITUTE($B2014,InvPrefix,"")),0)),"")</f>
        <v/>
      </c>
      <c r="X2014" s="61" t="str">
        <f aca="false">IF(IsPro,IF($D2014="","",IF(OR($H2014="",$H2014="Credit"),0,Q2014)),"")</f>
        <v/>
      </c>
    </row>
    <row r="2015" customFormat="false" ht="15" hidden="false" customHeight="false" outlineLevel="0" collapsed="false">
      <c r="A2015" s="55"/>
      <c r="B2015" s="56"/>
      <c r="C2015" s="56"/>
      <c r="D2015" s="56"/>
      <c r="E2015" s="57"/>
      <c r="F2015" s="58"/>
      <c r="G2015" s="59"/>
      <c r="H2015" s="56"/>
      <c r="I2015" s="56"/>
      <c r="J2015" s="60" t="str">
        <f aca="false">IF(IsPro,IF($D2015="","",IFERROR(INDEX(Items!$D$5:$D$504,U2015),"")),"")</f>
        <v/>
      </c>
      <c r="K2015" s="61" t="str">
        <f aca="false">IF(IsPro,IF($D2015="","",IF($F2015="",IFERROR(INDEX(Items!$H$5:$H$504,U2015),0),$F2015)),"")</f>
        <v/>
      </c>
      <c r="L2015" s="61" t="str">
        <f aca="false">IF(IsPro,IF($D2015="","",ROUND(N($E2015)*K2015*(1-N($G2015)),2)),"")</f>
        <v/>
      </c>
      <c r="M2015" s="62" t="str">
        <f aca="false">IF(IsPro,IF($D2015="","",IFERROR(INDEX(Items!$F$5:$F$504,U2015),0)),"")</f>
        <v/>
      </c>
      <c r="N2015" s="61" t="str">
        <f aca="false">IF(IsPro,IF($D2015="","",IF(AND(V2015&lt;&gt;"",INDEX(Parties!$E$5:$E$304,V2015)&lt;&gt;"",INDEX(Parties!$E$5:$E$304,V2015)&lt;&gt;HomeState),0,ROUND(L2015*M2015/2,2))),"")</f>
        <v/>
      </c>
      <c r="O2015" s="61" t="str">
        <f aca="false">IF(IsPro,IF($D2015="","",N2015),"")</f>
        <v/>
      </c>
      <c r="P2015" s="61" t="str">
        <f aca="false">IF(IsPro,IF($D2015="","",IF(AND(V2015&lt;&gt;"",INDEX(Parties!$E$5:$E$304,V2015)&lt;&gt;"",INDEX(Parties!$E$5:$E$304,V2015)&lt;&gt;HomeState),ROUND(L2015*M2015,2),0)),"")</f>
        <v/>
      </c>
      <c r="Q2015" s="61" t="str">
        <f aca="false">IF(IsPro,IF($D2015="","",L2015+N2015+O2015+P2015),"")</f>
        <v/>
      </c>
      <c r="R2015" s="61" t="str">
        <f aca="false">IF(IsPro,IF($D2015="","",ROUND(N($E2015)*IFERROR(INDEX(Items!$P$5:$P$504,U2015),0),2)),"")</f>
        <v/>
      </c>
      <c r="S2015" s="61" t="str">
        <f aca="false">IF(IsPro,IF($D2015="","",L2015-R2015),"")</f>
        <v/>
      </c>
      <c r="T2015" s="60" t="str">
        <f aca="false">IF(IsPro,IF($D2015="","",IF(U2015="","UNKNOWN ITEM",IF(INDEX(Items!$O$5:$O$504,U2015)&lt;0,"NEG STOCK",IF(K2015&lt;INDEX(Items!$P$5:$P$504,U2015),"BELOW COST","OK")))),IF($D2015="","","PRO PLAN"))</f>
        <v/>
      </c>
      <c r="U2015" s="60" t="str">
        <f aca="false">IF(IsPro,IF($D2015="","",IFERROR(MATCH($D2015,Items!$A$5:$A$504,0),"")),"")</f>
        <v/>
      </c>
      <c r="V2015" s="60" t="str">
        <f aca="false">IF(IsPro,IF($C2015="","",IFERROR(MATCH($C2015,Parties!$A$5:$A$304,0),"")),"")</f>
        <v/>
      </c>
      <c r="W2015" s="60" t="str">
        <f aca="false">IF(IsPro,IF($B2015="","",IFERROR(VALUE(SUBSTITUTE($B2015,InvPrefix,"")),0)),"")</f>
        <v/>
      </c>
      <c r="X2015" s="61" t="str">
        <f aca="false">IF(IsPro,IF($D2015="","",IF(OR($H2015="",$H2015="Credit"),0,Q2015)),"")</f>
        <v/>
      </c>
    </row>
    <row r="2016" customFormat="false" ht="15" hidden="false" customHeight="false" outlineLevel="0" collapsed="false">
      <c r="A2016" s="55"/>
      <c r="B2016" s="56"/>
      <c r="C2016" s="56"/>
      <c r="D2016" s="56"/>
      <c r="E2016" s="57"/>
      <c r="F2016" s="58"/>
      <c r="G2016" s="59"/>
      <c r="H2016" s="56"/>
      <c r="I2016" s="56"/>
      <c r="J2016" s="60" t="str">
        <f aca="false">IF(IsPro,IF($D2016="","",IFERROR(INDEX(Items!$D$5:$D$504,U2016),"")),"")</f>
        <v/>
      </c>
      <c r="K2016" s="61" t="str">
        <f aca="false">IF(IsPro,IF($D2016="","",IF($F2016="",IFERROR(INDEX(Items!$H$5:$H$504,U2016),0),$F2016)),"")</f>
        <v/>
      </c>
      <c r="L2016" s="61" t="str">
        <f aca="false">IF(IsPro,IF($D2016="","",ROUND(N($E2016)*K2016*(1-N($G2016)),2)),"")</f>
        <v/>
      </c>
      <c r="M2016" s="62" t="str">
        <f aca="false">IF(IsPro,IF($D2016="","",IFERROR(INDEX(Items!$F$5:$F$504,U2016),0)),"")</f>
        <v/>
      </c>
      <c r="N2016" s="61" t="str">
        <f aca="false">IF(IsPro,IF($D2016="","",IF(AND(V2016&lt;&gt;"",INDEX(Parties!$E$5:$E$304,V2016)&lt;&gt;"",INDEX(Parties!$E$5:$E$304,V2016)&lt;&gt;HomeState),0,ROUND(L2016*M2016/2,2))),"")</f>
        <v/>
      </c>
      <c r="O2016" s="61" t="str">
        <f aca="false">IF(IsPro,IF($D2016="","",N2016),"")</f>
        <v/>
      </c>
      <c r="P2016" s="61" t="str">
        <f aca="false">IF(IsPro,IF($D2016="","",IF(AND(V2016&lt;&gt;"",INDEX(Parties!$E$5:$E$304,V2016)&lt;&gt;"",INDEX(Parties!$E$5:$E$304,V2016)&lt;&gt;HomeState),ROUND(L2016*M2016,2),0)),"")</f>
        <v/>
      </c>
      <c r="Q2016" s="61" t="str">
        <f aca="false">IF(IsPro,IF($D2016="","",L2016+N2016+O2016+P2016),"")</f>
        <v/>
      </c>
      <c r="R2016" s="61" t="str">
        <f aca="false">IF(IsPro,IF($D2016="","",ROUND(N($E2016)*IFERROR(INDEX(Items!$P$5:$P$504,U2016),0),2)),"")</f>
        <v/>
      </c>
      <c r="S2016" s="61" t="str">
        <f aca="false">IF(IsPro,IF($D2016="","",L2016-R2016),"")</f>
        <v/>
      </c>
      <c r="T2016" s="60" t="str">
        <f aca="false">IF(IsPro,IF($D2016="","",IF(U2016="","UNKNOWN ITEM",IF(INDEX(Items!$O$5:$O$504,U2016)&lt;0,"NEG STOCK",IF(K2016&lt;INDEX(Items!$P$5:$P$504,U2016),"BELOW COST","OK")))),IF($D2016="","","PRO PLAN"))</f>
        <v/>
      </c>
      <c r="U2016" s="60" t="str">
        <f aca="false">IF(IsPro,IF($D2016="","",IFERROR(MATCH($D2016,Items!$A$5:$A$504,0),"")),"")</f>
        <v/>
      </c>
      <c r="V2016" s="60" t="str">
        <f aca="false">IF(IsPro,IF($C2016="","",IFERROR(MATCH($C2016,Parties!$A$5:$A$304,0),"")),"")</f>
        <v/>
      </c>
      <c r="W2016" s="60" t="str">
        <f aca="false">IF(IsPro,IF($B2016="","",IFERROR(VALUE(SUBSTITUTE($B2016,InvPrefix,"")),0)),"")</f>
        <v/>
      </c>
      <c r="X2016" s="61" t="str">
        <f aca="false">IF(IsPro,IF($D2016="","",IF(OR($H2016="",$H2016="Credit"),0,Q2016)),"")</f>
        <v/>
      </c>
    </row>
    <row r="2017" customFormat="false" ht="15" hidden="false" customHeight="false" outlineLevel="0" collapsed="false">
      <c r="A2017" s="55"/>
      <c r="B2017" s="56"/>
      <c r="C2017" s="56"/>
      <c r="D2017" s="56"/>
      <c r="E2017" s="57"/>
      <c r="F2017" s="58"/>
      <c r="G2017" s="59"/>
      <c r="H2017" s="56"/>
      <c r="I2017" s="56"/>
      <c r="J2017" s="60" t="str">
        <f aca="false">IF(IsPro,IF($D2017="","",IFERROR(INDEX(Items!$D$5:$D$504,U2017),"")),"")</f>
        <v/>
      </c>
      <c r="K2017" s="61" t="str">
        <f aca="false">IF(IsPro,IF($D2017="","",IF($F2017="",IFERROR(INDEX(Items!$H$5:$H$504,U2017),0),$F2017)),"")</f>
        <v/>
      </c>
      <c r="L2017" s="61" t="str">
        <f aca="false">IF(IsPro,IF($D2017="","",ROUND(N($E2017)*K2017*(1-N($G2017)),2)),"")</f>
        <v/>
      </c>
      <c r="M2017" s="62" t="str">
        <f aca="false">IF(IsPro,IF($D2017="","",IFERROR(INDEX(Items!$F$5:$F$504,U2017),0)),"")</f>
        <v/>
      </c>
      <c r="N2017" s="61" t="str">
        <f aca="false">IF(IsPro,IF($D2017="","",IF(AND(V2017&lt;&gt;"",INDEX(Parties!$E$5:$E$304,V2017)&lt;&gt;"",INDEX(Parties!$E$5:$E$304,V2017)&lt;&gt;HomeState),0,ROUND(L2017*M2017/2,2))),"")</f>
        <v/>
      </c>
      <c r="O2017" s="61" t="str">
        <f aca="false">IF(IsPro,IF($D2017="","",N2017),"")</f>
        <v/>
      </c>
      <c r="P2017" s="61" t="str">
        <f aca="false">IF(IsPro,IF($D2017="","",IF(AND(V2017&lt;&gt;"",INDEX(Parties!$E$5:$E$304,V2017)&lt;&gt;"",INDEX(Parties!$E$5:$E$304,V2017)&lt;&gt;HomeState),ROUND(L2017*M2017,2),0)),"")</f>
        <v/>
      </c>
      <c r="Q2017" s="61" t="str">
        <f aca="false">IF(IsPro,IF($D2017="","",L2017+N2017+O2017+P2017),"")</f>
        <v/>
      </c>
      <c r="R2017" s="61" t="str">
        <f aca="false">IF(IsPro,IF($D2017="","",ROUND(N($E2017)*IFERROR(INDEX(Items!$P$5:$P$504,U2017),0),2)),"")</f>
        <v/>
      </c>
      <c r="S2017" s="61" t="str">
        <f aca="false">IF(IsPro,IF($D2017="","",L2017-R2017),"")</f>
        <v/>
      </c>
      <c r="T2017" s="60" t="str">
        <f aca="false">IF(IsPro,IF($D2017="","",IF(U2017="","UNKNOWN ITEM",IF(INDEX(Items!$O$5:$O$504,U2017)&lt;0,"NEG STOCK",IF(K2017&lt;INDEX(Items!$P$5:$P$504,U2017),"BELOW COST","OK")))),IF($D2017="","","PRO PLAN"))</f>
        <v/>
      </c>
      <c r="U2017" s="60" t="str">
        <f aca="false">IF(IsPro,IF($D2017="","",IFERROR(MATCH($D2017,Items!$A$5:$A$504,0),"")),"")</f>
        <v/>
      </c>
      <c r="V2017" s="60" t="str">
        <f aca="false">IF(IsPro,IF($C2017="","",IFERROR(MATCH($C2017,Parties!$A$5:$A$304,0),"")),"")</f>
        <v/>
      </c>
      <c r="W2017" s="60" t="str">
        <f aca="false">IF(IsPro,IF($B2017="","",IFERROR(VALUE(SUBSTITUTE($B2017,InvPrefix,"")),0)),"")</f>
        <v/>
      </c>
      <c r="X2017" s="61" t="str">
        <f aca="false">IF(IsPro,IF($D2017="","",IF(OR($H2017="",$H2017="Credit"),0,Q2017)),"")</f>
        <v/>
      </c>
    </row>
    <row r="2018" customFormat="false" ht="15" hidden="false" customHeight="false" outlineLevel="0" collapsed="false">
      <c r="A2018" s="55"/>
      <c r="B2018" s="56"/>
      <c r="C2018" s="56"/>
      <c r="D2018" s="56"/>
      <c r="E2018" s="57"/>
      <c r="F2018" s="58"/>
      <c r="G2018" s="59"/>
      <c r="H2018" s="56"/>
      <c r="I2018" s="56"/>
      <c r="J2018" s="60" t="str">
        <f aca="false">IF(IsPro,IF($D2018="","",IFERROR(INDEX(Items!$D$5:$D$504,U2018),"")),"")</f>
        <v/>
      </c>
      <c r="K2018" s="61" t="str">
        <f aca="false">IF(IsPro,IF($D2018="","",IF($F2018="",IFERROR(INDEX(Items!$H$5:$H$504,U2018),0),$F2018)),"")</f>
        <v/>
      </c>
      <c r="L2018" s="61" t="str">
        <f aca="false">IF(IsPro,IF($D2018="","",ROUND(N($E2018)*K2018*(1-N($G2018)),2)),"")</f>
        <v/>
      </c>
      <c r="M2018" s="62" t="str">
        <f aca="false">IF(IsPro,IF($D2018="","",IFERROR(INDEX(Items!$F$5:$F$504,U2018),0)),"")</f>
        <v/>
      </c>
      <c r="N2018" s="61" t="str">
        <f aca="false">IF(IsPro,IF($D2018="","",IF(AND(V2018&lt;&gt;"",INDEX(Parties!$E$5:$E$304,V2018)&lt;&gt;"",INDEX(Parties!$E$5:$E$304,V2018)&lt;&gt;HomeState),0,ROUND(L2018*M2018/2,2))),"")</f>
        <v/>
      </c>
      <c r="O2018" s="61" t="str">
        <f aca="false">IF(IsPro,IF($D2018="","",N2018),"")</f>
        <v/>
      </c>
      <c r="P2018" s="61" t="str">
        <f aca="false">IF(IsPro,IF($D2018="","",IF(AND(V2018&lt;&gt;"",INDEX(Parties!$E$5:$E$304,V2018)&lt;&gt;"",INDEX(Parties!$E$5:$E$304,V2018)&lt;&gt;HomeState),ROUND(L2018*M2018,2),0)),"")</f>
        <v/>
      </c>
      <c r="Q2018" s="61" t="str">
        <f aca="false">IF(IsPro,IF($D2018="","",L2018+N2018+O2018+P2018),"")</f>
        <v/>
      </c>
      <c r="R2018" s="61" t="str">
        <f aca="false">IF(IsPro,IF($D2018="","",ROUND(N($E2018)*IFERROR(INDEX(Items!$P$5:$P$504,U2018),0),2)),"")</f>
        <v/>
      </c>
      <c r="S2018" s="61" t="str">
        <f aca="false">IF(IsPro,IF($D2018="","",L2018-R2018),"")</f>
        <v/>
      </c>
      <c r="T2018" s="60" t="str">
        <f aca="false">IF(IsPro,IF($D2018="","",IF(U2018="","UNKNOWN ITEM",IF(INDEX(Items!$O$5:$O$504,U2018)&lt;0,"NEG STOCK",IF(K2018&lt;INDEX(Items!$P$5:$P$504,U2018),"BELOW COST","OK")))),IF($D2018="","","PRO PLAN"))</f>
        <v/>
      </c>
      <c r="U2018" s="60" t="str">
        <f aca="false">IF(IsPro,IF($D2018="","",IFERROR(MATCH($D2018,Items!$A$5:$A$504,0),"")),"")</f>
        <v/>
      </c>
      <c r="V2018" s="60" t="str">
        <f aca="false">IF(IsPro,IF($C2018="","",IFERROR(MATCH($C2018,Parties!$A$5:$A$304,0),"")),"")</f>
        <v/>
      </c>
      <c r="W2018" s="60" t="str">
        <f aca="false">IF(IsPro,IF($B2018="","",IFERROR(VALUE(SUBSTITUTE($B2018,InvPrefix,"")),0)),"")</f>
        <v/>
      </c>
      <c r="X2018" s="61" t="str">
        <f aca="false">IF(IsPro,IF($D2018="","",IF(OR($H2018="",$H2018="Credit"),0,Q2018)),"")</f>
        <v/>
      </c>
    </row>
    <row r="2019" customFormat="false" ht="15" hidden="false" customHeight="false" outlineLevel="0" collapsed="false">
      <c r="A2019" s="55"/>
      <c r="B2019" s="56"/>
      <c r="C2019" s="56"/>
      <c r="D2019" s="56"/>
      <c r="E2019" s="57"/>
      <c r="F2019" s="58"/>
      <c r="G2019" s="59"/>
      <c r="H2019" s="56"/>
      <c r="I2019" s="56"/>
      <c r="J2019" s="60" t="str">
        <f aca="false">IF(IsPro,IF($D2019="","",IFERROR(INDEX(Items!$D$5:$D$504,U2019),"")),"")</f>
        <v/>
      </c>
      <c r="K2019" s="61" t="str">
        <f aca="false">IF(IsPro,IF($D2019="","",IF($F2019="",IFERROR(INDEX(Items!$H$5:$H$504,U2019),0),$F2019)),"")</f>
        <v/>
      </c>
      <c r="L2019" s="61" t="str">
        <f aca="false">IF(IsPro,IF($D2019="","",ROUND(N($E2019)*K2019*(1-N($G2019)),2)),"")</f>
        <v/>
      </c>
      <c r="M2019" s="62" t="str">
        <f aca="false">IF(IsPro,IF($D2019="","",IFERROR(INDEX(Items!$F$5:$F$504,U2019),0)),"")</f>
        <v/>
      </c>
      <c r="N2019" s="61" t="str">
        <f aca="false">IF(IsPro,IF($D2019="","",IF(AND(V2019&lt;&gt;"",INDEX(Parties!$E$5:$E$304,V2019)&lt;&gt;"",INDEX(Parties!$E$5:$E$304,V2019)&lt;&gt;HomeState),0,ROUND(L2019*M2019/2,2))),"")</f>
        <v/>
      </c>
      <c r="O2019" s="61" t="str">
        <f aca="false">IF(IsPro,IF($D2019="","",N2019),"")</f>
        <v/>
      </c>
      <c r="P2019" s="61" t="str">
        <f aca="false">IF(IsPro,IF($D2019="","",IF(AND(V2019&lt;&gt;"",INDEX(Parties!$E$5:$E$304,V2019)&lt;&gt;"",INDEX(Parties!$E$5:$E$304,V2019)&lt;&gt;HomeState),ROUND(L2019*M2019,2),0)),"")</f>
        <v/>
      </c>
      <c r="Q2019" s="61" t="str">
        <f aca="false">IF(IsPro,IF($D2019="","",L2019+N2019+O2019+P2019),"")</f>
        <v/>
      </c>
      <c r="R2019" s="61" t="str">
        <f aca="false">IF(IsPro,IF($D2019="","",ROUND(N($E2019)*IFERROR(INDEX(Items!$P$5:$P$504,U2019),0),2)),"")</f>
        <v/>
      </c>
      <c r="S2019" s="61" t="str">
        <f aca="false">IF(IsPro,IF($D2019="","",L2019-R2019),"")</f>
        <v/>
      </c>
      <c r="T2019" s="60" t="str">
        <f aca="false">IF(IsPro,IF($D2019="","",IF(U2019="","UNKNOWN ITEM",IF(INDEX(Items!$O$5:$O$504,U2019)&lt;0,"NEG STOCK",IF(K2019&lt;INDEX(Items!$P$5:$P$504,U2019),"BELOW COST","OK")))),IF($D2019="","","PRO PLAN"))</f>
        <v/>
      </c>
      <c r="U2019" s="60" t="str">
        <f aca="false">IF(IsPro,IF($D2019="","",IFERROR(MATCH($D2019,Items!$A$5:$A$504,0),"")),"")</f>
        <v/>
      </c>
      <c r="V2019" s="60" t="str">
        <f aca="false">IF(IsPro,IF($C2019="","",IFERROR(MATCH($C2019,Parties!$A$5:$A$304,0),"")),"")</f>
        <v/>
      </c>
      <c r="W2019" s="60" t="str">
        <f aca="false">IF(IsPro,IF($B2019="","",IFERROR(VALUE(SUBSTITUTE($B2019,InvPrefix,"")),0)),"")</f>
        <v/>
      </c>
      <c r="X2019" s="61" t="str">
        <f aca="false">IF(IsPro,IF($D2019="","",IF(OR($H2019="",$H2019="Credit"),0,Q2019)),"")</f>
        <v/>
      </c>
    </row>
    <row r="2020" customFormat="false" ht="15" hidden="false" customHeight="false" outlineLevel="0" collapsed="false">
      <c r="A2020" s="55"/>
      <c r="B2020" s="56"/>
      <c r="C2020" s="56"/>
      <c r="D2020" s="56"/>
      <c r="E2020" s="57"/>
      <c r="F2020" s="58"/>
      <c r="G2020" s="59"/>
      <c r="H2020" s="56"/>
      <c r="I2020" s="56"/>
      <c r="J2020" s="60" t="str">
        <f aca="false">IF(IsPro,IF($D2020="","",IFERROR(INDEX(Items!$D$5:$D$504,U2020),"")),"")</f>
        <v/>
      </c>
      <c r="K2020" s="61" t="str">
        <f aca="false">IF(IsPro,IF($D2020="","",IF($F2020="",IFERROR(INDEX(Items!$H$5:$H$504,U2020),0),$F2020)),"")</f>
        <v/>
      </c>
      <c r="L2020" s="61" t="str">
        <f aca="false">IF(IsPro,IF($D2020="","",ROUND(N($E2020)*K2020*(1-N($G2020)),2)),"")</f>
        <v/>
      </c>
      <c r="M2020" s="62" t="str">
        <f aca="false">IF(IsPro,IF($D2020="","",IFERROR(INDEX(Items!$F$5:$F$504,U2020),0)),"")</f>
        <v/>
      </c>
      <c r="N2020" s="61" t="str">
        <f aca="false">IF(IsPro,IF($D2020="","",IF(AND(V2020&lt;&gt;"",INDEX(Parties!$E$5:$E$304,V2020)&lt;&gt;"",INDEX(Parties!$E$5:$E$304,V2020)&lt;&gt;HomeState),0,ROUND(L2020*M2020/2,2))),"")</f>
        <v/>
      </c>
      <c r="O2020" s="61" t="str">
        <f aca="false">IF(IsPro,IF($D2020="","",N2020),"")</f>
        <v/>
      </c>
      <c r="P2020" s="61" t="str">
        <f aca="false">IF(IsPro,IF($D2020="","",IF(AND(V2020&lt;&gt;"",INDEX(Parties!$E$5:$E$304,V2020)&lt;&gt;"",INDEX(Parties!$E$5:$E$304,V2020)&lt;&gt;HomeState),ROUND(L2020*M2020,2),0)),"")</f>
        <v/>
      </c>
      <c r="Q2020" s="61" t="str">
        <f aca="false">IF(IsPro,IF($D2020="","",L2020+N2020+O2020+P2020),"")</f>
        <v/>
      </c>
      <c r="R2020" s="61" t="str">
        <f aca="false">IF(IsPro,IF($D2020="","",ROUND(N($E2020)*IFERROR(INDEX(Items!$P$5:$P$504,U2020),0),2)),"")</f>
        <v/>
      </c>
      <c r="S2020" s="61" t="str">
        <f aca="false">IF(IsPro,IF($D2020="","",L2020-R2020),"")</f>
        <v/>
      </c>
      <c r="T2020" s="60" t="str">
        <f aca="false">IF(IsPro,IF($D2020="","",IF(U2020="","UNKNOWN ITEM",IF(INDEX(Items!$O$5:$O$504,U2020)&lt;0,"NEG STOCK",IF(K2020&lt;INDEX(Items!$P$5:$P$504,U2020),"BELOW COST","OK")))),IF($D2020="","","PRO PLAN"))</f>
        <v/>
      </c>
      <c r="U2020" s="60" t="str">
        <f aca="false">IF(IsPro,IF($D2020="","",IFERROR(MATCH($D2020,Items!$A$5:$A$504,0),"")),"")</f>
        <v/>
      </c>
      <c r="V2020" s="60" t="str">
        <f aca="false">IF(IsPro,IF($C2020="","",IFERROR(MATCH($C2020,Parties!$A$5:$A$304,0),"")),"")</f>
        <v/>
      </c>
      <c r="W2020" s="60" t="str">
        <f aca="false">IF(IsPro,IF($B2020="","",IFERROR(VALUE(SUBSTITUTE($B2020,InvPrefix,"")),0)),"")</f>
        <v/>
      </c>
      <c r="X2020" s="61" t="str">
        <f aca="false">IF(IsPro,IF($D2020="","",IF(OR($H2020="",$H2020="Credit"),0,Q2020)),"")</f>
        <v/>
      </c>
    </row>
    <row r="2021" customFormat="false" ht="15" hidden="false" customHeight="false" outlineLevel="0" collapsed="false">
      <c r="A2021" s="55"/>
      <c r="B2021" s="56"/>
      <c r="C2021" s="56"/>
      <c r="D2021" s="56"/>
      <c r="E2021" s="57"/>
      <c r="F2021" s="58"/>
      <c r="G2021" s="59"/>
      <c r="H2021" s="56"/>
      <c r="I2021" s="56"/>
      <c r="J2021" s="60" t="str">
        <f aca="false">IF(IsPro,IF($D2021="","",IFERROR(INDEX(Items!$D$5:$D$504,U2021),"")),"")</f>
        <v/>
      </c>
      <c r="K2021" s="61" t="str">
        <f aca="false">IF(IsPro,IF($D2021="","",IF($F2021="",IFERROR(INDEX(Items!$H$5:$H$504,U2021),0),$F2021)),"")</f>
        <v/>
      </c>
      <c r="L2021" s="61" t="str">
        <f aca="false">IF(IsPro,IF($D2021="","",ROUND(N($E2021)*K2021*(1-N($G2021)),2)),"")</f>
        <v/>
      </c>
      <c r="M2021" s="62" t="str">
        <f aca="false">IF(IsPro,IF($D2021="","",IFERROR(INDEX(Items!$F$5:$F$504,U2021),0)),"")</f>
        <v/>
      </c>
      <c r="N2021" s="61" t="str">
        <f aca="false">IF(IsPro,IF($D2021="","",IF(AND(V2021&lt;&gt;"",INDEX(Parties!$E$5:$E$304,V2021)&lt;&gt;"",INDEX(Parties!$E$5:$E$304,V2021)&lt;&gt;HomeState),0,ROUND(L2021*M2021/2,2))),"")</f>
        <v/>
      </c>
      <c r="O2021" s="61" t="str">
        <f aca="false">IF(IsPro,IF($D2021="","",N2021),"")</f>
        <v/>
      </c>
      <c r="P2021" s="61" t="str">
        <f aca="false">IF(IsPro,IF($D2021="","",IF(AND(V2021&lt;&gt;"",INDEX(Parties!$E$5:$E$304,V2021)&lt;&gt;"",INDEX(Parties!$E$5:$E$304,V2021)&lt;&gt;HomeState),ROUND(L2021*M2021,2),0)),"")</f>
        <v/>
      </c>
      <c r="Q2021" s="61" t="str">
        <f aca="false">IF(IsPro,IF($D2021="","",L2021+N2021+O2021+P2021),"")</f>
        <v/>
      </c>
      <c r="R2021" s="61" t="str">
        <f aca="false">IF(IsPro,IF($D2021="","",ROUND(N($E2021)*IFERROR(INDEX(Items!$P$5:$P$504,U2021),0),2)),"")</f>
        <v/>
      </c>
      <c r="S2021" s="61" t="str">
        <f aca="false">IF(IsPro,IF($D2021="","",L2021-R2021),"")</f>
        <v/>
      </c>
      <c r="T2021" s="60" t="str">
        <f aca="false">IF(IsPro,IF($D2021="","",IF(U2021="","UNKNOWN ITEM",IF(INDEX(Items!$O$5:$O$504,U2021)&lt;0,"NEG STOCK",IF(K2021&lt;INDEX(Items!$P$5:$P$504,U2021),"BELOW COST","OK")))),IF($D2021="","","PRO PLAN"))</f>
        <v/>
      </c>
      <c r="U2021" s="60" t="str">
        <f aca="false">IF(IsPro,IF($D2021="","",IFERROR(MATCH($D2021,Items!$A$5:$A$504,0),"")),"")</f>
        <v/>
      </c>
      <c r="V2021" s="60" t="str">
        <f aca="false">IF(IsPro,IF($C2021="","",IFERROR(MATCH($C2021,Parties!$A$5:$A$304,0),"")),"")</f>
        <v/>
      </c>
      <c r="W2021" s="60" t="str">
        <f aca="false">IF(IsPro,IF($B2021="","",IFERROR(VALUE(SUBSTITUTE($B2021,InvPrefix,"")),0)),"")</f>
        <v/>
      </c>
      <c r="X2021" s="61" t="str">
        <f aca="false">IF(IsPro,IF($D2021="","",IF(OR($H2021="",$H2021="Credit"),0,Q2021)),"")</f>
        <v/>
      </c>
    </row>
    <row r="2022" customFormat="false" ht="15" hidden="false" customHeight="false" outlineLevel="0" collapsed="false">
      <c r="A2022" s="55"/>
      <c r="B2022" s="56"/>
      <c r="C2022" s="56"/>
      <c r="D2022" s="56"/>
      <c r="E2022" s="57"/>
      <c r="F2022" s="58"/>
      <c r="G2022" s="59"/>
      <c r="H2022" s="56"/>
      <c r="I2022" s="56"/>
      <c r="J2022" s="60" t="str">
        <f aca="false">IF(IsPro,IF($D2022="","",IFERROR(INDEX(Items!$D$5:$D$504,U2022),"")),"")</f>
        <v/>
      </c>
      <c r="K2022" s="61" t="str">
        <f aca="false">IF(IsPro,IF($D2022="","",IF($F2022="",IFERROR(INDEX(Items!$H$5:$H$504,U2022),0),$F2022)),"")</f>
        <v/>
      </c>
      <c r="L2022" s="61" t="str">
        <f aca="false">IF(IsPro,IF($D2022="","",ROUND(N($E2022)*K2022*(1-N($G2022)),2)),"")</f>
        <v/>
      </c>
      <c r="M2022" s="62" t="str">
        <f aca="false">IF(IsPro,IF($D2022="","",IFERROR(INDEX(Items!$F$5:$F$504,U2022),0)),"")</f>
        <v/>
      </c>
      <c r="N2022" s="61" t="str">
        <f aca="false">IF(IsPro,IF($D2022="","",IF(AND(V2022&lt;&gt;"",INDEX(Parties!$E$5:$E$304,V2022)&lt;&gt;"",INDEX(Parties!$E$5:$E$304,V2022)&lt;&gt;HomeState),0,ROUND(L2022*M2022/2,2))),"")</f>
        <v/>
      </c>
      <c r="O2022" s="61" t="str">
        <f aca="false">IF(IsPro,IF($D2022="","",N2022),"")</f>
        <v/>
      </c>
      <c r="P2022" s="61" t="str">
        <f aca="false">IF(IsPro,IF($D2022="","",IF(AND(V2022&lt;&gt;"",INDEX(Parties!$E$5:$E$304,V2022)&lt;&gt;"",INDEX(Parties!$E$5:$E$304,V2022)&lt;&gt;HomeState),ROUND(L2022*M2022,2),0)),"")</f>
        <v/>
      </c>
      <c r="Q2022" s="61" t="str">
        <f aca="false">IF(IsPro,IF($D2022="","",L2022+N2022+O2022+P2022),"")</f>
        <v/>
      </c>
      <c r="R2022" s="61" t="str">
        <f aca="false">IF(IsPro,IF($D2022="","",ROUND(N($E2022)*IFERROR(INDEX(Items!$P$5:$P$504,U2022),0),2)),"")</f>
        <v/>
      </c>
      <c r="S2022" s="61" t="str">
        <f aca="false">IF(IsPro,IF($D2022="","",L2022-R2022),"")</f>
        <v/>
      </c>
      <c r="T2022" s="60" t="str">
        <f aca="false">IF(IsPro,IF($D2022="","",IF(U2022="","UNKNOWN ITEM",IF(INDEX(Items!$O$5:$O$504,U2022)&lt;0,"NEG STOCK",IF(K2022&lt;INDEX(Items!$P$5:$P$504,U2022),"BELOW COST","OK")))),IF($D2022="","","PRO PLAN"))</f>
        <v/>
      </c>
      <c r="U2022" s="60" t="str">
        <f aca="false">IF(IsPro,IF($D2022="","",IFERROR(MATCH($D2022,Items!$A$5:$A$504,0),"")),"")</f>
        <v/>
      </c>
      <c r="V2022" s="60" t="str">
        <f aca="false">IF(IsPro,IF($C2022="","",IFERROR(MATCH($C2022,Parties!$A$5:$A$304,0),"")),"")</f>
        <v/>
      </c>
      <c r="W2022" s="60" t="str">
        <f aca="false">IF(IsPro,IF($B2022="","",IFERROR(VALUE(SUBSTITUTE($B2022,InvPrefix,"")),0)),"")</f>
        <v/>
      </c>
      <c r="X2022" s="61" t="str">
        <f aca="false">IF(IsPro,IF($D2022="","",IF(OR($H2022="",$H2022="Credit"),0,Q2022)),"")</f>
        <v/>
      </c>
    </row>
    <row r="2023" customFormat="false" ht="15" hidden="false" customHeight="false" outlineLevel="0" collapsed="false">
      <c r="A2023" s="55"/>
      <c r="B2023" s="56"/>
      <c r="C2023" s="56"/>
      <c r="D2023" s="56"/>
      <c r="E2023" s="57"/>
      <c r="F2023" s="58"/>
      <c r="G2023" s="59"/>
      <c r="H2023" s="56"/>
      <c r="I2023" s="56"/>
      <c r="J2023" s="60" t="str">
        <f aca="false">IF(IsPro,IF($D2023="","",IFERROR(INDEX(Items!$D$5:$D$504,U2023),"")),"")</f>
        <v/>
      </c>
      <c r="K2023" s="61" t="str">
        <f aca="false">IF(IsPro,IF($D2023="","",IF($F2023="",IFERROR(INDEX(Items!$H$5:$H$504,U2023),0),$F2023)),"")</f>
        <v/>
      </c>
      <c r="L2023" s="61" t="str">
        <f aca="false">IF(IsPro,IF($D2023="","",ROUND(N($E2023)*K2023*(1-N($G2023)),2)),"")</f>
        <v/>
      </c>
      <c r="M2023" s="62" t="str">
        <f aca="false">IF(IsPro,IF($D2023="","",IFERROR(INDEX(Items!$F$5:$F$504,U2023),0)),"")</f>
        <v/>
      </c>
      <c r="N2023" s="61" t="str">
        <f aca="false">IF(IsPro,IF($D2023="","",IF(AND(V2023&lt;&gt;"",INDEX(Parties!$E$5:$E$304,V2023)&lt;&gt;"",INDEX(Parties!$E$5:$E$304,V2023)&lt;&gt;HomeState),0,ROUND(L2023*M2023/2,2))),"")</f>
        <v/>
      </c>
      <c r="O2023" s="61" t="str">
        <f aca="false">IF(IsPro,IF($D2023="","",N2023),"")</f>
        <v/>
      </c>
      <c r="P2023" s="61" t="str">
        <f aca="false">IF(IsPro,IF($D2023="","",IF(AND(V2023&lt;&gt;"",INDEX(Parties!$E$5:$E$304,V2023)&lt;&gt;"",INDEX(Parties!$E$5:$E$304,V2023)&lt;&gt;HomeState),ROUND(L2023*M2023,2),0)),"")</f>
        <v/>
      </c>
      <c r="Q2023" s="61" t="str">
        <f aca="false">IF(IsPro,IF($D2023="","",L2023+N2023+O2023+P2023),"")</f>
        <v/>
      </c>
      <c r="R2023" s="61" t="str">
        <f aca="false">IF(IsPro,IF($D2023="","",ROUND(N($E2023)*IFERROR(INDEX(Items!$P$5:$P$504,U2023),0),2)),"")</f>
        <v/>
      </c>
      <c r="S2023" s="61" t="str">
        <f aca="false">IF(IsPro,IF($D2023="","",L2023-R2023),"")</f>
        <v/>
      </c>
      <c r="T2023" s="60" t="str">
        <f aca="false">IF(IsPro,IF($D2023="","",IF(U2023="","UNKNOWN ITEM",IF(INDEX(Items!$O$5:$O$504,U2023)&lt;0,"NEG STOCK",IF(K2023&lt;INDEX(Items!$P$5:$P$504,U2023),"BELOW COST","OK")))),IF($D2023="","","PRO PLAN"))</f>
        <v/>
      </c>
      <c r="U2023" s="60" t="str">
        <f aca="false">IF(IsPro,IF($D2023="","",IFERROR(MATCH($D2023,Items!$A$5:$A$504,0),"")),"")</f>
        <v/>
      </c>
      <c r="V2023" s="60" t="str">
        <f aca="false">IF(IsPro,IF($C2023="","",IFERROR(MATCH($C2023,Parties!$A$5:$A$304,0),"")),"")</f>
        <v/>
      </c>
      <c r="W2023" s="60" t="str">
        <f aca="false">IF(IsPro,IF($B2023="","",IFERROR(VALUE(SUBSTITUTE($B2023,InvPrefix,"")),0)),"")</f>
        <v/>
      </c>
      <c r="X2023" s="61" t="str">
        <f aca="false">IF(IsPro,IF($D2023="","",IF(OR($H2023="",$H2023="Credit"),0,Q2023)),"")</f>
        <v/>
      </c>
    </row>
    <row r="2024" customFormat="false" ht="15" hidden="false" customHeight="false" outlineLevel="0" collapsed="false">
      <c r="A2024" s="55"/>
      <c r="B2024" s="56"/>
      <c r="C2024" s="56"/>
      <c r="D2024" s="56"/>
      <c r="E2024" s="57"/>
      <c r="F2024" s="58"/>
      <c r="G2024" s="59"/>
      <c r="H2024" s="56"/>
      <c r="I2024" s="56"/>
      <c r="J2024" s="60" t="str">
        <f aca="false">IF(IsPro,IF($D2024="","",IFERROR(INDEX(Items!$D$5:$D$504,U2024),"")),"")</f>
        <v/>
      </c>
      <c r="K2024" s="61" t="str">
        <f aca="false">IF(IsPro,IF($D2024="","",IF($F2024="",IFERROR(INDEX(Items!$H$5:$H$504,U2024),0),$F2024)),"")</f>
        <v/>
      </c>
      <c r="L2024" s="61" t="str">
        <f aca="false">IF(IsPro,IF($D2024="","",ROUND(N($E2024)*K2024*(1-N($G2024)),2)),"")</f>
        <v/>
      </c>
      <c r="M2024" s="62" t="str">
        <f aca="false">IF(IsPro,IF($D2024="","",IFERROR(INDEX(Items!$F$5:$F$504,U2024),0)),"")</f>
        <v/>
      </c>
      <c r="N2024" s="61" t="str">
        <f aca="false">IF(IsPro,IF($D2024="","",IF(AND(V2024&lt;&gt;"",INDEX(Parties!$E$5:$E$304,V2024)&lt;&gt;"",INDEX(Parties!$E$5:$E$304,V2024)&lt;&gt;HomeState),0,ROUND(L2024*M2024/2,2))),"")</f>
        <v/>
      </c>
      <c r="O2024" s="61" t="str">
        <f aca="false">IF(IsPro,IF($D2024="","",N2024),"")</f>
        <v/>
      </c>
      <c r="P2024" s="61" t="str">
        <f aca="false">IF(IsPro,IF($D2024="","",IF(AND(V2024&lt;&gt;"",INDEX(Parties!$E$5:$E$304,V2024)&lt;&gt;"",INDEX(Parties!$E$5:$E$304,V2024)&lt;&gt;HomeState),ROUND(L2024*M2024,2),0)),"")</f>
        <v/>
      </c>
      <c r="Q2024" s="61" t="str">
        <f aca="false">IF(IsPro,IF($D2024="","",L2024+N2024+O2024+P2024),"")</f>
        <v/>
      </c>
      <c r="R2024" s="61" t="str">
        <f aca="false">IF(IsPro,IF($D2024="","",ROUND(N($E2024)*IFERROR(INDEX(Items!$P$5:$P$504,U2024),0),2)),"")</f>
        <v/>
      </c>
      <c r="S2024" s="61" t="str">
        <f aca="false">IF(IsPro,IF($D2024="","",L2024-R2024),"")</f>
        <v/>
      </c>
      <c r="T2024" s="60" t="str">
        <f aca="false">IF(IsPro,IF($D2024="","",IF(U2024="","UNKNOWN ITEM",IF(INDEX(Items!$O$5:$O$504,U2024)&lt;0,"NEG STOCK",IF(K2024&lt;INDEX(Items!$P$5:$P$504,U2024),"BELOW COST","OK")))),IF($D2024="","","PRO PLAN"))</f>
        <v/>
      </c>
      <c r="U2024" s="60" t="str">
        <f aca="false">IF(IsPro,IF($D2024="","",IFERROR(MATCH($D2024,Items!$A$5:$A$504,0),"")),"")</f>
        <v/>
      </c>
      <c r="V2024" s="60" t="str">
        <f aca="false">IF(IsPro,IF($C2024="","",IFERROR(MATCH($C2024,Parties!$A$5:$A$304,0),"")),"")</f>
        <v/>
      </c>
      <c r="W2024" s="60" t="str">
        <f aca="false">IF(IsPro,IF($B2024="","",IFERROR(VALUE(SUBSTITUTE($B2024,InvPrefix,"")),0)),"")</f>
        <v/>
      </c>
      <c r="X2024" s="61" t="str">
        <f aca="false">IF(IsPro,IF($D2024="","",IF(OR($H2024="",$H2024="Credit"),0,Q2024)),"")</f>
        <v/>
      </c>
    </row>
    <row r="2025" customFormat="false" ht="15" hidden="false" customHeight="false" outlineLevel="0" collapsed="false">
      <c r="A2025" s="55"/>
      <c r="B2025" s="56"/>
      <c r="C2025" s="56"/>
      <c r="D2025" s="56"/>
      <c r="E2025" s="57"/>
      <c r="F2025" s="58"/>
      <c r="G2025" s="59"/>
      <c r="H2025" s="56"/>
      <c r="I2025" s="56"/>
      <c r="J2025" s="60" t="str">
        <f aca="false">IF(IsPro,IF($D2025="","",IFERROR(INDEX(Items!$D$5:$D$504,U2025),"")),"")</f>
        <v/>
      </c>
      <c r="K2025" s="61" t="str">
        <f aca="false">IF(IsPro,IF($D2025="","",IF($F2025="",IFERROR(INDEX(Items!$H$5:$H$504,U2025),0),$F2025)),"")</f>
        <v/>
      </c>
      <c r="L2025" s="61" t="str">
        <f aca="false">IF(IsPro,IF($D2025="","",ROUND(N($E2025)*K2025*(1-N($G2025)),2)),"")</f>
        <v/>
      </c>
      <c r="M2025" s="62" t="str">
        <f aca="false">IF(IsPro,IF($D2025="","",IFERROR(INDEX(Items!$F$5:$F$504,U2025),0)),"")</f>
        <v/>
      </c>
      <c r="N2025" s="61" t="str">
        <f aca="false">IF(IsPro,IF($D2025="","",IF(AND(V2025&lt;&gt;"",INDEX(Parties!$E$5:$E$304,V2025)&lt;&gt;"",INDEX(Parties!$E$5:$E$304,V2025)&lt;&gt;HomeState),0,ROUND(L2025*M2025/2,2))),"")</f>
        <v/>
      </c>
      <c r="O2025" s="61" t="str">
        <f aca="false">IF(IsPro,IF($D2025="","",N2025),"")</f>
        <v/>
      </c>
      <c r="P2025" s="61" t="str">
        <f aca="false">IF(IsPro,IF($D2025="","",IF(AND(V2025&lt;&gt;"",INDEX(Parties!$E$5:$E$304,V2025)&lt;&gt;"",INDEX(Parties!$E$5:$E$304,V2025)&lt;&gt;HomeState),ROUND(L2025*M2025,2),0)),"")</f>
        <v/>
      </c>
      <c r="Q2025" s="61" t="str">
        <f aca="false">IF(IsPro,IF($D2025="","",L2025+N2025+O2025+P2025),"")</f>
        <v/>
      </c>
      <c r="R2025" s="61" t="str">
        <f aca="false">IF(IsPro,IF($D2025="","",ROUND(N($E2025)*IFERROR(INDEX(Items!$P$5:$P$504,U2025),0),2)),"")</f>
        <v/>
      </c>
      <c r="S2025" s="61" t="str">
        <f aca="false">IF(IsPro,IF($D2025="","",L2025-R2025),"")</f>
        <v/>
      </c>
      <c r="T2025" s="60" t="str">
        <f aca="false">IF(IsPro,IF($D2025="","",IF(U2025="","UNKNOWN ITEM",IF(INDEX(Items!$O$5:$O$504,U2025)&lt;0,"NEG STOCK",IF(K2025&lt;INDEX(Items!$P$5:$P$504,U2025),"BELOW COST","OK")))),IF($D2025="","","PRO PLAN"))</f>
        <v/>
      </c>
      <c r="U2025" s="60" t="str">
        <f aca="false">IF(IsPro,IF($D2025="","",IFERROR(MATCH($D2025,Items!$A$5:$A$504,0),"")),"")</f>
        <v/>
      </c>
      <c r="V2025" s="60" t="str">
        <f aca="false">IF(IsPro,IF($C2025="","",IFERROR(MATCH($C2025,Parties!$A$5:$A$304,0),"")),"")</f>
        <v/>
      </c>
      <c r="W2025" s="60" t="str">
        <f aca="false">IF(IsPro,IF($B2025="","",IFERROR(VALUE(SUBSTITUTE($B2025,InvPrefix,"")),0)),"")</f>
        <v/>
      </c>
      <c r="X2025" s="61" t="str">
        <f aca="false">IF(IsPro,IF($D2025="","",IF(OR($H2025="",$H2025="Credit"),0,Q2025)),"")</f>
        <v/>
      </c>
    </row>
    <row r="2026" customFormat="false" ht="15" hidden="false" customHeight="false" outlineLevel="0" collapsed="false">
      <c r="A2026" s="55"/>
      <c r="B2026" s="56"/>
      <c r="C2026" s="56"/>
      <c r="D2026" s="56"/>
      <c r="E2026" s="57"/>
      <c r="F2026" s="58"/>
      <c r="G2026" s="59"/>
      <c r="H2026" s="56"/>
      <c r="I2026" s="56"/>
      <c r="J2026" s="60" t="str">
        <f aca="false">IF(IsPro,IF($D2026="","",IFERROR(INDEX(Items!$D$5:$D$504,U2026),"")),"")</f>
        <v/>
      </c>
      <c r="K2026" s="61" t="str">
        <f aca="false">IF(IsPro,IF($D2026="","",IF($F2026="",IFERROR(INDEX(Items!$H$5:$H$504,U2026),0),$F2026)),"")</f>
        <v/>
      </c>
      <c r="L2026" s="61" t="str">
        <f aca="false">IF(IsPro,IF($D2026="","",ROUND(N($E2026)*K2026*(1-N($G2026)),2)),"")</f>
        <v/>
      </c>
      <c r="M2026" s="62" t="str">
        <f aca="false">IF(IsPro,IF($D2026="","",IFERROR(INDEX(Items!$F$5:$F$504,U2026),0)),"")</f>
        <v/>
      </c>
      <c r="N2026" s="61" t="str">
        <f aca="false">IF(IsPro,IF($D2026="","",IF(AND(V2026&lt;&gt;"",INDEX(Parties!$E$5:$E$304,V2026)&lt;&gt;"",INDEX(Parties!$E$5:$E$304,V2026)&lt;&gt;HomeState),0,ROUND(L2026*M2026/2,2))),"")</f>
        <v/>
      </c>
      <c r="O2026" s="61" t="str">
        <f aca="false">IF(IsPro,IF($D2026="","",N2026),"")</f>
        <v/>
      </c>
      <c r="P2026" s="61" t="str">
        <f aca="false">IF(IsPro,IF($D2026="","",IF(AND(V2026&lt;&gt;"",INDEX(Parties!$E$5:$E$304,V2026)&lt;&gt;"",INDEX(Parties!$E$5:$E$304,V2026)&lt;&gt;HomeState),ROUND(L2026*M2026,2),0)),"")</f>
        <v/>
      </c>
      <c r="Q2026" s="61" t="str">
        <f aca="false">IF(IsPro,IF($D2026="","",L2026+N2026+O2026+P2026),"")</f>
        <v/>
      </c>
      <c r="R2026" s="61" t="str">
        <f aca="false">IF(IsPro,IF($D2026="","",ROUND(N($E2026)*IFERROR(INDEX(Items!$P$5:$P$504,U2026),0),2)),"")</f>
        <v/>
      </c>
      <c r="S2026" s="61" t="str">
        <f aca="false">IF(IsPro,IF($D2026="","",L2026-R2026),"")</f>
        <v/>
      </c>
      <c r="T2026" s="60" t="str">
        <f aca="false">IF(IsPro,IF($D2026="","",IF(U2026="","UNKNOWN ITEM",IF(INDEX(Items!$O$5:$O$504,U2026)&lt;0,"NEG STOCK",IF(K2026&lt;INDEX(Items!$P$5:$P$504,U2026),"BELOW COST","OK")))),IF($D2026="","","PRO PLAN"))</f>
        <v/>
      </c>
      <c r="U2026" s="60" t="str">
        <f aca="false">IF(IsPro,IF($D2026="","",IFERROR(MATCH($D2026,Items!$A$5:$A$504,0),"")),"")</f>
        <v/>
      </c>
      <c r="V2026" s="60" t="str">
        <f aca="false">IF(IsPro,IF($C2026="","",IFERROR(MATCH($C2026,Parties!$A$5:$A$304,0),"")),"")</f>
        <v/>
      </c>
      <c r="W2026" s="60" t="str">
        <f aca="false">IF(IsPro,IF($B2026="","",IFERROR(VALUE(SUBSTITUTE($B2026,InvPrefix,"")),0)),"")</f>
        <v/>
      </c>
      <c r="X2026" s="61" t="str">
        <f aca="false">IF(IsPro,IF($D2026="","",IF(OR($H2026="",$H2026="Credit"),0,Q2026)),"")</f>
        <v/>
      </c>
    </row>
    <row r="2027" customFormat="false" ht="15" hidden="false" customHeight="false" outlineLevel="0" collapsed="false">
      <c r="A2027" s="55"/>
      <c r="B2027" s="56"/>
      <c r="C2027" s="56"/>
      <c r="D2027" s="56"/>
      <c r="E2027" s="57"/>
      <c r="F2027" s="58"/>
      <c r="G2027" s="59"/>
      <c r="H2027" s="56"/>
      <c r="I2027" s="56"/>
      <c r="J2027" s="60" t="str">
        <f aca="false">IF(IsPro,IF($D2027="","",IFERROR(INDEX(Items!$D$5:$D$504,U2027),"")),"")</f>
        <v/>
      </c>
      <c r="K2027" s="61" t="str">
        <f aca="false">IF(IsPro,IF($D2027="","",IF($F2027="",IFERROR(INDEX(Items!$H$5:$H$504,U2027),0),$F2027)),"")</f>
        <v/>
      </c>
      <c r="L2027" s="61" t="str">
        <f aca="false">IF(IsPro,IF($D2027="","",ROUND(N($E2027)*K2027*(1-N($G2027)),2)),"")</f>
        <v/>
      </c>
      <c r="M2027" s="62" t="str">
        <f aca="false">IF(IsPro,IF($D2027="","",IFERROR(INDEX(Items!$F$5:$F$504,U2027),0)),"")</f>
        <v/>
      </c>
      <c r="N2027" s="61" t="str">
        <f aca="false">IF(IsPro,IF($D2027="","",IF(AND(V2027&lt;&gt;"",INDEX(Parties!$E$5:$E$304,V2027)&lt;&gt;"",INDEX(Parties!$E$5:$E$304,V2027)&lt;&gt;HomeState),0,ROUND(L2027*M2027/2,2))),"")</f>
        <v/>
      </c>
      <c r="O2027" s="61" t="str">
        <f aca="false">IF(IsPro,IF($D2027="","",N2027),"")</f>
        <v/>
      </c>
      <c r="P2027" s="61" t="str">
        <f aca="false">IF(IsPro,IF($D2027="","",IF(AND(V2027&lt;&gt;"",INDEX(Parties!$E$5:$E$304,V2027)&lt;&gt;"",INDEX(Parties!$E$5:$E$304,V2027)&lt;&gt;HomeState),ROUND(L2027*M2027,2),0)),"")</f>
        <v/>
      </c>
      <c r="Q2027" s="61" t="str">
        <f aca="false">IF(IsPro,IF($D2027="","",L2027+N2027+O2027+P2027),"")</f>
        <v/>
      </c>
      <c r="R2027" s="61" t="str">
        <f aca="false">IF(IsPro,IF($D2027="","",ROUND(N($E2027)*IFERROR(INDEX(Items!$P$5:$P$504,U2027),0),2)),"")</f>
        <v/>
      </c>
      <c r="S2027" s="61" t="str">
        <f aca="false">IF(IsPro,IF($D2027="","",L2027-R2027),"")</f>
        <v/>
      </c>
      <c r="T2027" s="60" t="str">
        <f aca="false">IF(IsPro,IF($D2027="","",IF(U2027="","UNKNOWN ITEM",IF(INDEX(Items!$O$5:$O$504,U2027)&lt;0,"NEG STOCK",IF(K2027&lt;INDEX(Items!$P$5:$P$504,U2027),"BELOW COST","OK")))),IF($D2027="","","PRO PLAN"))</f>
        <v/>
      </c>
      <c r="U2027" s="60" t="str">
        <f aca="false">IF(IsPro,IF($D2027="","",IFERROR(MATCH($D2027,Items!$A$5:$A$504,0),"")),"")</f>
        <v/>
      </c>
      <c r="V2027" s="60" t="str">
        <f aca="false">IF(IsPro,IF($C2027="","",IFERROR(MATCH($C2027,Parties!$A$5:$A$304,0),"")),"")</f>
        <v/>
      </c>
      <c r="W2027" s="60" t="str">
        <f aca="false">IF(IsPro,IF($B2027="","",IFERROR(VALUE(SUBSTITUTE($B2027,InvPrefix,"")),0)),"")</f>
        <v/>
      </c>
      <c r="X2027" s="61" t="str">
        <f aca="false">IF(IsPro,IF($D2027="","",IF(OR($H2027="",$H2027="Credit"),0,Q2027)),"")</f>
        <v/>
      </c>
    </row>
    <row r="2028" customFormat="false" ht="15" hidden="false" customHeight="false" outlineLevel="0" collapsed="false">
      <c r="A2028" s="55"/>
      <c r="B2028" s="56"/>
      <c r="C2028" s="56"/>
      <c r="D2028" s="56"/>
      <c r="E2028" s="57"/>
      <c r="F2028" s="58"/>
      <c r="G2028" s="59"/>
      <c r="H2028" s="56"/>
      <c r="I2028" s="56"/>
      <c r="J2028" s="60" t="str">
        <f aca="false">IF(IsPro,IF($D2028="","",IFERROR(INDEX(Items!$D$5:$D$504,U2028),"")),"")</f>
        <v/>
      </c>
      <c r="K2028" s="61" t="str">
        <f aca="false">IF(IsPro,IF($D2028="","",IF($F2028="",IFERROR(INDEX(Items!$H$5:$H$504,U2028),0),$F2028)),"")</f>
        <v/>
      </c>
      <c r="L2028" s="61" t="str">
        <f aca="false">IF(IsPro,IF($D2028="","",ROUND(N($E2028)*K2028*(1-N($G2028)),2)),"")</f>
        <v/>
      </c>
      <c r="M2028" s="62" t="str">
        <f aca="false">IF(IsPro,IF($D2028="","",IFERROR(INDEX(Items!$F$5:$F$504,U2028),0)),"")</f>
        <v/>
      </c>
      <c r="N2028" s="61" t="str">
        <f aca="false">IF(IsPro,IF($D2028="","",IF(AND(V2028&lt;&gt;"",INDEX(Parties!$E$5:$E$304,V2028)&lt;&gt;"",INDEX(Parties!$E$5:$E$304,V2028)&lt;&gt;HomeState),0,ROUND(L2028*M2028/2,2))),"")</f>
        <v/>
      </c>
      <c r="O2028" s="61" t="str">
        <f aca="false">IF(IsPro,IF($D2028="","",N2028),"")</f>
        <v/>
      </c>
      <c r="P2028" s="61" t="str">
        <f aca="false">IF(IsPro,IF($D2028="","",IF(AND(V2028&lt;&gt;"",INDEX(Parties!$E$5:$E$304,V2028)&lt;&gt;"",INDEX(Parties!$E$5:$E$304,V2028)&lt;&gt;HomeState),ROUND(L2028*M2028,2),0)),"")</f>
        <v/>
      </c>
      <c r="Q2028" s="61" t="str">
        <f aca="false">IF(IsPro,IF($D2028="","",L2028+N2028+O2028+P2028),"")</f>
        <v/>
      </c>
      <c r="R2028" s="61" t="str">
        <f aca="false">IF(IsPro,IF($D2028="","",ROUND(N($E2028)*IFERROR(INDEX(Items!$P$5:$P$504,U2028),0),2)),"")</f>
        <v/>
      </c>
      <c r="S2028" s="61" t="str">
        <f aca="false">IF(IsPro,IF($D2028="","",L2028-R2028),"")</f>
        <v/>
      </c>
      <c r="T2028" s="60" t="str">
        <f aca="false">IF(IsPro,IF($D2028="","",IF(U2028="","UNKNOWN ITEM",IF(INDEX(Items!$O$5:$O$504,U2028)&lt;0,"NEG STOCK",IF(K2028&lt;INDEX(Items!$P$5:$P$504,U2028),"BELOW COST","OK")))),IF($D2028="","","PRO PLAN"))</f>
        <v/>
      </c>
      <c r="U2028" s="60" t="str">
        <f aca="false">IF(IsPro,IF($D2028="","",IFERROR(MATCH($D2028,Items!$A$5:$A$504,0),"")),"")</f>
        <v/>
      </c>
      <c r="V2028" s="60" t="str">
        <f aca="false">IF(IsPro,IF($C2028="","",IFERROR(MATCH($C2028,Parties!$A$5:$A$304,0),"")),"")</f>
        <v/>
      </c>
      <c r="W2028" s="60" t="str">
        <f aca="false">IF(IsPro,IF($B2028="","",IFERROR(VALUE(SUBSTITUTE($B2028,InvPrefix,"")),0)),"")</f>
        <v/>
      </c>
      <c r="X2028" s="61" t="str">
        <f aca="false">IF(IsPro,IF($D2028="","",IF(OR($H2028="",$H2028="Credit"),0,Q2028)),"")</f>
        <v/>
      </c>
    </row>
    <row r="2029" customFormat="false" ht="15" hidden="false" customHeight="false" outlineLevel="0" collapsed="false">
      <c r="A2029" s="55"/>
      <c r="B2029" s="56"/>
      <c r="C2029" s="56"/>
      <c r="D2029" s="56"/>
      <c r="E2029" s="57"/>
      <c r="F2029" s="58"/>
      <c r="G2029" s="59"/>
      <c r="H2029" s="56"/>
      <c r="I2029" s="56"/>
      <c r="J2029" s="60" t="str">
        <f aca="false">IF(IsPro,IF($D2029="","",IFERROR(INDEX(Items!$D$5:$D$504,U2029),"")),"")</f>
        <v/>
      </c>
      <c r="K2029" s="61" t="str">
        <f aca="false">IF(IsPro,IF($D2029="","",IF($F2029="",IFERROR(INDEX(Items!$H$5:$H$504,U2029),0),$F2029)),"")</f>
        <v/>
      </c>
      <c r="L2029" s="61" t="str">
        <f aca="false">IF(IsPro,IF($D2029="","",ROUND(N($E2029)*K2029*(1-N($G2029)),2)),"")</f>
        <v/>
      </c>
      <c r="M2029" s="62" t="str">
        <f aca="false">IF(IsPro,IF($D2029="","",IFERROR(INDEX(Items!$F$5:$F$504,U2029),0)),"")</f>
        <v/>
      </c>
      <c r="N2029" s="61" t="str">
        <f aca="false">IF(IsPro,IF($D2029="","",IF(AND(V2029&lt;&gt;"",INDEX(Parties!$E$5:$E$304,V2029)&lt;&gt;"",INDEX(Parties!$E$5:$E$304,V2029)&lt;&gt;HomeState),0,ROUND(L2029*M2029/2,2))),"")</f>
        <v/>
      </c>
      <c r="O2029" s="61" t="str">
        <f aca="false">IF(IsPro,IF($D2029="","",N2029),"")</f>
        <v/>
      </c>
      <c r="P2029" s="61" t="str">
        <f aca="false">IF(IsPro,IF($D2029="","",IF(AND(V2029&lt;&gt;"",INDEX(Parties!$E$5:$E$304,V2029)&lt;&gt;"",INDEX(Parties!$E$5:$E$304,V2029)&lt;&gt;HomeState),ROUND(L2029*M2029,2),0)),"")</f>
        <v/>
      </c>
      <c r="Q2029" s="61" t="str">
        <f aca="false">IF(IsPro,IF($D2029="","",L2029+N2029+O2029+P2029),"")</f>
        <v/>
      </c>
      <c r="R2029" s="61" t="str">
        <f aca="false">IF(IsPro,IF($D2029="","",ROUND(N($E2029)*IFERROR(INDEX(Items!$P$5:$P$504,U2029),0),2)),"")</f>
        <v/>
      </c>
      <c r="S2029" s="61" t="str">
        <f aca="false">IF(IsPro,IF($D2029="","",L2029-R2029),"")</f>
        <v/>
      </c>
      <c r="T2029" s="60" t="str">
        <f aca="false">IF(IsPro,IF($D2029="","",IF(U2029="","UNKNOWN ITEM",IF(INDEX(Items!$O$5:$O$504,U2029)&lt;0,"NEG STOCK",IF(K2029&lt;INDEX(Items!$P$5:$P$504,U2029),"BELOW COST","OK")))),IF($D2029="","","PRO PLAN"))</f>
        <v/>
      </c>
      <c r="U2029" s="60" t="str">
        <f aca="false">IF(IsPro,IF($D2029="","",IFERROR(MATCH($D2029,Items!$A$5:$A$504,0),"")),"")</f>
        <v/>
      </c>
      <c r="V2029" s="60" t="str">
        <f aca="false">IF(IsPro,IF($C2029="","",IFERROR(MATCH($C2029,Parties!$A$5:$A$304,0),"")),"")</f>
        <v/>
      </c>
      <c r="W2029" s="60" t="str">
        <f aca="false">IF(IsPro,IF($B2029="","",IFERROR(VALUE(SUBSTITUTE($B2029,InvPrefix,"")),0)),"")</f>
        <v/>
      </c>
      <c r="X2029" s="61" t="str">
        <f aca="false">IF(IsPro,IF($D2029="","",IF(OR($H2029="",$H2029="Credit"),0,Q2029)),"")</f>
        <v/>
      </c>
    </row>
    <row r="2030" customFormat="false" ht="15" hidden="false" customHeight="false" outlineLevel="0" collapsed="false">
      <c r="A2030" s="55"/>
      <c r="B2030" s="56"/>
      <c r="C2030" s="56"/>
      <c r="D2030" s="56"/>
      <c r="E2030" s="57"/>
      <c r="F2030" s="58"/>
      <c r="G2030" s="59"/>
      <c r="H2030" s="56"/>
      <c r="I2030" s="56"/>
      <c r="J2030" s="60" t="str">
        <f aca="false">IF(IsPro,IF($D2030="","",IFERROR(INDEX(Items!$D$5:$D$504,U2030),"")),"")</f>
        <v/>
      </c>
      <c r="K2030" s="61" t="str">
        <f aca="false">IF(IsPro,IF($D2030="","",IF($F2030="",IFERROR(INDEX(Items!$H$5:$H$504,U2030),0),$F2030)),"")</f>
        <v/>
      </c>
      <c r="L2030" s="61" t="str">
        <f aca="false">IF(IsPro,IF($D2030="","",ROUND(N($E2030)*K2030*(1-N($G2030)),2)),"")</f>
        <v/>
      </c>
      <c r="M2030" s="62" t="str">
        <f aca="false">IF(IsPro,IF($D2030="","",IFERROR(INDEX(Items!$F$5:$F$504,U2030),0)),"")</f>
        <v/>
      </c>
      <c r="N2030" s="61" t="str">
        <f aca="false">IF(IsPro,IF($D2030="","",IF(AND(V2030&lt;&gt;"",INDEX(Parties!$E$5:$E$304,V2030)&lt;&gt;"",INDEX(Parties!$E$5:$E$304,V2030)&lt;&gt;HomeState),0,ROUND(L2030*M2030/2,2))),"")</f>
        <v/>
      </c>
      <c r="O2030" s="61" t="str">
        <f aca="false">IF(IsPro,IF($D2030="","",N2030),"")</f>
        <v/>
      </c>
      <c r="P2030" s="61" t="str">
        <f aca="false">IF(IsPro,IF($D2030="","",IF(AND(V2030&lt;&gt;"",INDEX(Parties!$E$5:$E$304,V2030)&lt;&gt;"",INDEX(Parties!$E$5:$E$304,V2030)&lt;&gt;HomeState),ROUND(L2030*M2030,2),0)),"")</f>
        <v/>
      </c>
      <c r="Q2030" s="61" t="str">
        <f aca="false">IF(IsPro,IF($D2030="","",L2030+N2030+O2030+P2030),"")</f>
        <v/>
      </c>
      <c r="R2030" s="61" t="str">
        <f aca="false">IF(IsPro,IF($D2030="","",ROUND(N($E2030)*IFERROR(INDEX(Items!$P$5:$P$504,U2030),0),2)),"")</f>
        <v/>
      </c>
      <c r="S2030" s="61" t="str">
        <f aca="false">IF(IsPro,IF($D2030="","",L2030-R2030),"")</f>
        <v/>
      </c>
      <c r="T2030" s="60" t="str">
        <f aca="false">IF(IsPro,IF($D2030="","",IF(U2030="","UNKNOWN ITEM",IF(INDEX(Items!$O$5:$O$504,U2030)&lt;0,"NEG STOCK",IF(K2030&lt;INDEX(Items!$P$5:$P$504,U2030),"BELOW COST","OK")))),IF($D2030="","","PRO PLAN"))</f>
        <v/>
      </c>
      <c r="U2030" s="60" t="str">
        <f aca="false">IF(IsPro,IF($D2030="","",IFERROR(MATCH($D2030,Items!$A$5:$A$504,0),"")),"")</f>
        <v/>
      </c>
      <c r="V2030" s="60" t="str">
        <f aca="false">IF(IsPro,IF($C2030="","",IFERROR(MATCH($C2030,Parties!$A$5:$A$304,0),"")),"")</f>
        <v/>
      </c>
      <c r="W2030" s="60" t="str">
        <f aca="false">IF(IsPro,IF($B2030="","",IFERROR(VALUE(SUBSTITUTE($B2030,InvPrefix,"")),0)),"")</f>
        <v/>
      </c>
      <c r="X2030" s="61" t="str">
        <f aca="false">IF(IsPro,IF($D2030="","",IF(OR($H2030="",$H2030="Credit"),0,Q2030)),"")</f>
        <v/>
      </c>
    </row>
    <row r="2031" customFormat="false" ht="15" hidden="false" customHeight="false" outlineLevel="0" collapsed="false">
      <c r="A2031" s="55"/>
      <c r="B2031" s="56"/>
      <c r="C2031" s="56"/>
      <c r="D2031" s="56"/>
      <c r="E2031" s="57"/>
      <c r="F2031" s="58"/>
      <c r="G2031" s="59"/>
      <c r="H2031" s="56"/>
      <c r="I2031" s="56"/>
      <c r="J2031" s="60" t="str">
        <f aca="false">IF(IsPro,IF($D2031="","",IFERROR(INDEX(Items!$D$5:$D$504,U2031),"")),"")</f>
        <v/>
      </c>
      <c r="K2031" s="61" t="str">
        <f aca="false">IF(IsPro,IF($D2031="","",IF($F2031="",IFERROR(INDEX(Items!$H$5:$H$504,U2031),0),$F2031)),"")</f>
        <v/>
      </c>
      <c r="L2031" s="61" t="str">
        <f aca="false">IF(IsPro,IF($D2031="","",ROUND(N($E2031)*K2031*(1-N($G2031)),2)),"")</f>
        <v/>
      </c>
      <c r="M2031" s="62" t="str">
        <f aca="false">IF(IsPro,IF($D2031="","",IFERROR(INDEX(Items!$F$5:$F$504,U2031),0)),"")</f>
        <v/>
      </c>
      <c r="N2031" s="61" t="str">
        <f aca="false">IF(IsPro,IF($D2031="","",IF(AND(V2031&lt;&gt;"",INDEX(Parties!$E$5:$E$304,V2031)&lt;&gt;"",INDEX(Parties!$E$5:$E$304,V2031)&lt;&gt;HomeState),0,ROUND(L2031*M2031/2,2))),"")</f>
        <v/>
      </c>
      <c r="O2031" s="61" t="str">
        <f aca="false">IF(IsPro,IF($D2031="","",N2031),"")</f>
        <v/>
      </c>
      <c r="P2031" s="61" t="str">
        <f aca="false">IF(IsPro,IF($D2031="","",IF(AND(V2031&lt;&gt;"",INDEX(Parties!$E$5:$E$304,V2031)&lt;&gt;"",INDEX(Parties!$E$5:$E$304,V2031)&lt;&gt;HomeState),ROUND(L2031*M2031,2),0)),"")</f>
        <v/>
      </c>
      <c r="Q2031" s="61" t="str">
        <f aca="false">IF(IsPro,IF($D2031="","",L2031+N2031+O2031+P2031),"")</f>
        <v/>
      </c>
      <c r="R2031" s="61" t="str">
        <f aca="false">IF(IsPro,IF($D2031="","",ROUND(N($E2031)*IFERROR(INDEX(Items!$P$5:$P$504,U2031),0),2)),"")</f>
        <v/>
      </c>
      <c r="S2031" s="61" t="str">
        <f aca="false">IF(IsPro,IF($D2031="","",L2031-R2031),"")</f>
        <v/>
      </c>
      <c r="T2031" s="60" t="str">
        <f aca="false">IF(IsPro,IF($D2031="","",IF(U2031="","UNKNOWN ITEM",IF(INDEX(Items!$O$5:$O$504,U2031)&lt;0,"NEG STOCK",IF(K2031&lt;INDEX(Items!$P$5:$P$504,U2031),"BELOW COST","OK")))),IF($D2031="","","PRO PLAN"))</f>
        <v/>
      </c>
      <c r="U2031" s="60" t="str">
        <f aca="false">IF(IsPro,IF($D2031="","",IFERROR(MATCH($D2031,Items!$A$5:$A$504,0),"")),"")</f>
        <v/>
      </c>
      <c r="V2031" s="60" t="str">
        <f aca="false">IF(IsPro,IF($C2031="","",IFERROR(MATCH($C2031,Parties!$A$5:$A$304,0),"")),"")</f>
        <v/>
      </c>
      <c r="W2031" s="60" t="str">
        <f aca="false">IF(IsPro,IF($B2031="","",IFERROR(VALUE(SUBSTITUTE($B2031,InvPrefix,"")),0)),"")</f>
        <v/>
      </c>
      <c r="X2031" s="61" t="str">
        <f aca="false">IF(IsPro,IF($D2031="","",IF(OR($H2031="",$H2031="Credit"),0,Q2031)),"")</f>
        <v/>
      </c>
    </row>
    <row r="2032" customFormat="false" ht="15" hidden="false" customHeight="false" outlineLevel="0" collapsed="false">
      <c r="A2032" s="55"/>
      <c r="B2032" s="56"/>
      <c r="C2032" s="56"/>
      <c r="D2032" s="56"/>
      <c r="E2032" s="57"/>
      <c r="F2032" s="58"/>
      <c r="G2032" s="59"/>
      <c r="H2032" s="56"/>
      <c r="I2032" s="56"/>
      <c r="J2032" s="60" t="str">
        <f aca="false">IF(IsPro,IF($D2032="","",IFERROR(INDEX(Items!$D$5:$D$504,U2032),"")),"")</f>
        <v/>
      </c>
      <c r="K2032" s="61" t="str">
        <f aca="false">IF(IsPro,IF($D2032="","",IF($F2032="",IFERROR(INDEX(Items!$H$5:$H$504,U2032),0),$F2032)),"")</f>
        <v/>
      </c>
      <c r="L2032" s="61" t="str">
        <f aca="false">IF(IsPro,IF($D2032="","",ROUND(N($E2032)*K2032*(1-N($G2032)),2)),"")</f>
        <v/>
      </c>
      <c r="M2032" s="62" t="str">
        <f aca="false">IF(IsPro,IF($D2032="","",IFERROR(INDEX(Items!$F$5:$F$504,U2032),0)),"")</f>
        <v/>
      </c>
      <c r="N2032" s="61" t="str">
        <f aca="false">IF(IsPro,IF($D2032="","",IF(AND(V2032&lt;&gt;"",INDEX(Parties!$E$5:$E$304,V2032)&lt;&gt;"",INDEX(Parties!$E$5:$E$304,V2032)&lt;&gt;HomeState),0,ROUND(L2032*M2032/2,2))),"")</f>
        <v/>
      </c>
      <c r="O2032" s="61" t="str">
        <f aca="false">IF(IsPro,IF($D2032="","",N2032),"")</f>
        <v/>
      </c>
      <c r="P2032" s="61" t="str">
        <f aca="false">IF(IsPro,IF($D2032="","",IF(AND(V2032&lt;&gt;"",INDEX(Parties!$E$5:$E$304,V2032)&lt;&gt;"",INDEX(Parties!$E$5:$E$304,V2032)&lt;&gt;HomeState),ROUND(L2032*M2032,2),0)),"")</f>
        <v/>
      </c>
      <c r="Q2032" s="61" t="str">
        <f aca="false">IF(IsPro,IF($D2032="","",L2032+N2032+O2032+P2032),"")</f>
        <v/>
      </c>
      <c r="R2032" s="61" t="str">
        <f aca="false">IF(IsPro,IF($D2032="","",ROUND(N($E2032)*IFERROR(INDEX(Items!$P$5:$P$504,U2032),0),2)),"")</f>
        <v/>
      </c>
      <c r="S2032" s="61" t="str">
        <f aca="false">IF(IsPro,IF($D2032="","",L2032-R2032),"")</f>
        <v/>
      </c>
      <c r="T2032" s="60" t="str">
        <f aca="false">IF(IsPro,IF($D2032="","",IF(U2032="","UNKNOWN ITEM",IF(INDEX(Items!$O$5:$O$504,U2032)&lt;0,"NEG STOCK",IF(K2032&lt;INDEX(Items!$P$5:$P$504,U2032),"BELOW COST","OK")))),IF($D2032="","","PRO PLAN"))</f>
        <v/>
      </c>
      <c r="U2032" s="60" t="str">
        <f aca="false">IF(IsPro,IF($D2032="","",IFERROR(MATCH($D2032,Items!$A$5:$A$504,0),"")),"")</f>
        <v/>
      </c>
      <c r="V2032" s="60" t="str">
        <f aca="false">IF(IsPro,IF($C2032="","",IFERROR(MATCH($C2032,Parties!$A$5:$A$304,0),"")),"")</f>
        <v/>
      </c>
      <c r="W2032" s="60" t="str">
        <f aca="false">IF(IsPro,IF($B2032="","",IFERROR(VALUE(SUBSTITUTE($B2032,InvPrefix,"")),0)),"")</f>
        <v/>
      </c>
      <c r="X2032" s="61" t="str">
        <f aca="false">IF(IsPro,IF($D2032="","",IF(OR($H2032="",$H2032="Credit"),0,Q2032)),"")</f>
        <v/>
      </c>
    </row>
    <row r="2033" customFormat="false" ht="15" hidden="false" customHeight="false" outlineLevel="0" collapsed="false">
      <c r="A2033" s="55"/>
      <c r="B2033" s="56"/>
      <c r="C2033" s="56"/>
      <c r="D2033" s="56"/>
      <c r="E2033" s="57"/>
      <c r="F2033" s="58"/>
      <c r="G2033" s="59"/>
      <c r="H2033" s="56"/>
      <c r="I2033" s="56"/>
      <c r="J2033" s="60" t="str">
        <f aca="false">IF(IsPro,IF($D2033="","",IFERROR(INDEX(Items!$D$5:$D$504,U2033),"")),"")</f>
        <v/>
      </c>
      <c r="K2033" s="61" t="str">
        <f aca="false">IF(IsPro,IF($D2033="","",IF($F2033="",IFERROR(INDEX(Items!$H$5:$H$504,U2033),0),$F2033)),"")</f>
        <v/>
      </c>
      <c r="L2033" s="61" t="str">
        <f aca="false">IF(IsPro,IF($D2033="","",ROUND(N($E2033)*K2033*(1-N($G2033)),2)),"")</f>
        <v/>
      </c>
      <c r="M2033" s="62" t="str">
        <f aca="false">IF(IsPro,IF($D2033="","",IFERROR(INDEX(Items!$F$5:$F$504,U2033),0)),"")</f>
        <v/>
      </c>
      <c r="N2033" s="61" t="str">
        <f aca="false">IF(IsPro,IF($D2033="","",IF(AND(V2033&lt;&gt;"",INDEX(Parties!$E$5:$E$304,V2033)&lt;&gt;"",INDEX(Parties!$E$5:$E$304,V2033)&lt;&gt;HomeState),0,ROUND(L2033*M2033/2,2))),"")</f>
        <v/>
      </c>
      <c r="O2033" s="61" t="str">
        <f aca="false">IF(IsPro,IF($D2033="","",N2033),"")</f>
        <v/>
      </c>
      <c r="P2033" s="61" t="str">
        <f aca="false">IF(IsPro,IF($D2033="","",IF(AND(V2033&lt;&gt;"",INDEX(Parties!$E$5:$E$304,V2033)&lt;&gt;"",INDEX(Parties!$E$5:$E$304,V2033)&lt;&gt;HomeState),ROUND(L2033*M2033,2),0)),"")</f>
        <v/>
      </c>
      <c r="Q2033" s="61" t="str">
        <f aca="false">IF(IsPro,IF($D2033="","",L2033+N2033+O2033+P2033),"")</f>
        <v/>
      </c>
      <c r="R2033" s="61" t="str">
        <f aca="false">IF(IsPro,IF($D2033="","",ROUND(N($E2033)*IFERROR(INDEX(Items!$P$5:$P$504,U2033),0),2)),"")</f>
        <v/>
      </c>
      <c r="S2033" s="61" t="str">
        <f aca="false">IF(IsPro,IF($D2033="","",L2033-R2033),"")</f>
        <v/>
      </c>
      <c r="T2033" s="60" t="str">
        <f aca="false">IF(IsPro,IF($D2033="","",IF(U2033="","UNKNOWN ITEM",IF(INDEX(Items!$O$5:$O$504,U2033)&lt;0,"NEG STOCK",IF(K2033&lt;INDEX(Items!$P$5:$P$504,U2033),"BELOW COST","OK")))),IF($D2033="","","PRO PLAN"))</f>
        <v/>
      </c>
      <c r="U2033" s="60" t="str">
        <f aca="false">IF(IsPro,IF($D2033="","",IFERROR(MATCH($D2033,Items!$A$5:$A$504,0),"")),"")</f>
        <v/>
      </c>
      <c r="V2033" s="60" t="str">
        <f aca="false">IF(IsPro,IF($C2033="","",IFERROR(MATCH($C2033,Parties!$A$5:$A$304,0),"")),"")</f>
        <v/>
      </c>
      <c r="W2033" s="60" t="str">
        <f aca="false">IF(IsPro,IF($B2033="","",IFERROR(VALUE(SUBSTITUTE($B2033,InvPrefix,"")),0)),"")</f>
        <v/>
      </c>
      <c r="X2033" s="61" t="str">
        <f aca="false">IF(IsPro,IF($D2033="","",IF(OR($H2033="",$H2033="Credit"),0,Q2033)),"")</f>
        <v/>
      </c>
    </row>
    <row r="2034" customFormat="false" ht="15" hidden="false" customHeight="false" outlineLevel="0" collapsed="false">
      <c r="A2034" s="55"/>
      <c r="B2034" s="56"/>
      <c r="C2034" s="56"/>
      <c r="D2034" s="56"/>
      <c r="E2034" s="57"/>
      <c r="F2034" s="58"/>
      <c r="G2034" s="59"/>
      <c r="H2034" s="56"/>
      <c r="I2034" s="56"/>
      <c r="J2034" s="60" t="str">
        <f aca="false">IF(IsPro,IF($D2034="","",IFERROR(INDEX(Items!$D$5:$D$504,U2034),"")),"")</f>
        <v/>
      </c>
      <c r="K2034" s="61" t="str">
        <f aca="false">IF(IsPro,IF($D2034="","",IF($F2034="",IFERROR(INDEX(Items!$H$5:$H$504,U2034),0),$F2034)),"")</f>
        <v/>
      </c>
      <c r="L2034" s="61" t="str">
        <f aca="false">IF(IsPro,IF($D2034="","",ROUND(N($E2034)*K2034*(1-N($G2034)),2)),"")</f>
        <v/>
      </c>
      <c r="M2034" s="62" t="str">
        <f aca="false">IF(IsPro,IF($D2034="","",IFERROR(INDEX(Items!$F$5:$F$504,U2034),0)),"")</f>
        <v/>
      </c>
      <c r="N2034" s="61" t="str">
        <f aca="false">IF(IsPro,IF($D2034="","",IF(AND(V2034&lt;&gt;"",INDEX(Parties!$E$5:$E$304,V2034)&lt;&gt;"",INDEX(Parties!$E$5:$E$304,V2034)&lt;&gt;HomeState),0,ROUND(L2034*M2034/2,2))),"")</f>
        <v/>
      </c>
      <c r="O2034" s="61" t="str">
        <f aca="false">IF(IsPro,IF($D2034="","",N2034),"")</f>
        <v/>
      </c>
      <c r="P2034" s="61" t="str">
        <f aca="false">IF(IsPro,IF($D2034="","",IF(AND(V2034&lt;&gt;"",INDEX(Parties!$E$5:$E$304,V2034)&lt;&gt;"",INDEX(Parties!$E$5:$E$304,V2034)&lt;&gt;HomeState),ROUND(L2034*M2034,2),0)),"")</f>
        <v/>
      </c>
      <c r="Q2034" s="61" t="str">
        <f aca="false">IF(IsPro,IF($D2034="","",L2034+N2034+O2034+P2034),"")</f>
        <v/>
      </c>
      <c r="R2034" s="61" t="str">
        <f aca="false">IF(IsPro,IF($D2034="","",ROUND(N($E2034)*IFERROR(INDEX(Items!$P$5:$P$504,U2034),0),2)),"")</f>
        <v/>
      </c>
      <c r="S2034" s="61" t="str">
        <f aca="false">IF(IsPro,IF($D2034="","",L2034-R2034),"")</f>
        <v/>
      </c>
      <c r="T2034" s="60" t="str">
        <f aca="false">IF(IsPro,IF($D2034="","",IF(U2034="","UNKNOWN ITEM",IF(INDEX(Items!$O$5:$O$504,U2034)&lt;0,"NEG STOCK",IF(K2034&lt;INDEX(Items!$P$5:$P$504,U2034),"BELOW COST","OK")))),IF($D2034="","","PRO PLAN"))</f>
        <v/>
      </c>
      <c r="U2034" s="60" t="str">
        <f aca="false">IF(IsPro,IF($D2034="","",IFERROR(MATCH($D2034,Items!$A$5:$A$504,0),"")),"")</f>
        <v/>
      </c>
      <c r="V2034" s="60" t="str">
        <f aca="false">IF(IsPro,IF($C2034="","",IFERROR(MATCH($C2034,Parties!$A$5:$A$304,0),"")),"")</f>
        <v/>
      </c>
      <c r="W2034" s="60" t="str">
        <f aca="false">IF(IsPro,IF($B2034="","",IFERROR(VALUE(SUBSTITUTE($B2034,InvPrefix,"")),0)),"")</f>
        <v/>
      </c>
      <c r="X2034" s="61" t="str">
        <f aca="false">IF(IsPro,IF($D2034="","",IF(OR($H2034="",$H2034="Credit"),0,Q2034)),"")</f>
        <v/>
      </c>
    </row>
    <row r="2035" customFormat="false" ht="15" hidden="false" customHeight="false" outlineLevel="0" collapsed="false">
      <c r="A2035" s="55"/>
      <c r="B2035" s="56"/>
      <c r="C2035" s="56"/>
      <c r="D2035" s="56"/>
      <c r="E2035" s="57"/>
      <c r="F2035" s="58"/>
      <c r="G2035" s="59"/>
      <c r="H2035" s="56"/>
      <c r="I2035" s="56"/>
      <c r="J2035" s="60" t="str">
        <f aca="false">IF(IsPro,IF($D2035="","",IFERROR(INDEX(Items!$D$5:$D$504,U2035),"")),"")</f>
        <v/>
      </c>
      <c r="K2035" s="61" t="str">
        <f aca="false">IF(IsPro,IF($D2035="","",IF($F2035="",IFERROR(INDEX(Items!$H$5:$H$504,U2035),0),$F2035)),"")</f>
        <v/>
      </c>
      <c r="L2035" s="61" t="str">
        <f aca="false">IF(IsPro,IF($D2035="","",ROUND(N($E2035)*K2035*(1-N($G2035)),2)),"")</f>
        <v/>
      </c>
      <c r="M2035" s="62" t="str">
        <f aca="false">IF(IsPro,IF($D2035="","",IFERROR(INDEX(Items!$F$5:$F$504,U2035),0)),"")</f>
        <v/>
      </c>
      <c r="N2035" s="61" t="str">
        <f aca="false">IF(IsPro,IF($D2035="","",IF(AND(V2035&lt;&gt;"",INDEX(Parties!$E$5:$E$304,V2035)&lt;&gt;"",INDEX(Parties!$E$5:$E$304,V2035)&lt;&gt;HomeState),0,ROUND(L2035*M2035/2,2))),"")</f>
        <v/>
      </c>
      <c r="O2035" s="61" t="str">
        <f aca="false">IF(IsPro,IF($D2035="","",N2035),"")</f>
        <v/>
      </c>
      <c r="P2035" s="61" t="str">
        <f aca="false">IF(IsPro,IF($D2035="","",IF(AND(V2035&lt;&gt;"",INDEX(Parties!$E$5:$E$304,V2035)&lt;&gt;"",INDEX(Parties!$E$5:$E$304,V2035)&lt;&gt;HomeState),ROUND(L2035*M2035,2),0)),"")</f>
        <v/>
      </c>
      <c r="Q2035" s="61" t="str">
        <f aca="false">IF(IsPro,IF($D2035="","",L2035+N2035+O2035+P2035),"")</f>
        <v/>
      </c>
      <c r="R2035" s="61" t="str">
        <f aca="false">IF(IsPro,IF($D2035="","",ROUND(N($E2035)*IFERROR(INDEX(Items!$P$5:$P$504,U2035),0),2)),"")</f>
        <v/>
      </c>
      <c r="S2035" s="61" t="str">
        <f aca="false">IF(IsPro,IF($D2035="","",L2035-R2035),"")</f>
        <v/>
      </c>
      <c r="T2035" s="60" t="str">
        <f aca="false">IF(IsPro,IF($D2035="","",IF(U2035="","UNKNOWN ITEM",IF(INDEX(Items!$O$5:$O$504,U2035)&lt;0,"NEG STOCK",IF(K2035&lt;INDEX(Items!$P$5:$P$504,U2035),"BELOW COST","OK")))),IF($D2035="","","PRO PLAN"))</f>
        <v/>
      </c>
      <c r="U2035" s="60" t="str">
        <f aca="false">IF(IsPro,IF($D2035="","",IFERROR(MATCH($D2035,Items!$A$5:$A$504,0),"")),"")</f>
        <v/>
      </c>
      <c r="V2035" s="60" t="str">
        <f aca="false">IF(IsPro,IF($C2035="","",IFERROR(MATCH($C2035,Parties!$A$5:$A$304,0),"")),"")</f>
        <v/>
      </c>
      <c r="W2035" s="60" t="str">
        <f aca="false">IF(IsPro,IF($B2035="","",IFERROR(VALUE(SUBSTITUTE($B2035,InvPrefix,"")),0)),"")</f>
        <v/>
      </c>
      <c r="X2035" s="61" t="str">
        <f aca="false">IF(IsPro,IF($D2035="","",IF(OR($H2035="",$H2035="Credit"),0,Q2035)),"")</f>
        <v/>
      </c>
    </row>
    <row r="2036" customFormat="false" ht="15" hidden="false" customHeight="false" outlineLevel="0" collapsed="false">
      <c r="A2036" s="55"/>
      <c r="B2036" s="56"/>
      <c r="C2036" s="56"/>
      <c r="D2036" s="56"/>
      <c r="E2036" s="57"/>
      <c r="F2036" s="58"/>
      <c r="G2036" s="59"/>
      <c r="H2036" s="56"/>
      <c r="I2036" s="56"/>
      <c r="J2036" s="60" t="str">
        <f aca="false">IF(IsPro,IF($D2036="","",IFERROR(INDEX(Items!$D$5:$D$504,U2036),"")),"")</f>
        <v/>
      </c>
      <c r="K2036" s="61" t="str">
        <f aca="false">IF(IsPro,IF($D2036="","",IF($F2036="",IFERROR(INDEX(Items!$H$5:$H$504,U2036),0),$F2036)),"")</f>
        <v/>
      </c>
      <c r="L2036" s="61" t="str">
        <f aca="false">IF(IsPro,IF($D2036="","",ROUND(N($E2036)*K2036*(1-N($G2036)),2)),"")</f>
        <v/>
      </c>
      <c r="M2036" s="62" t="str">
        <f aca="false">IF(IsPro,IF($D2036="","",IFERROR(INDEX(Items!$F$5:$F$504,U2036),0)),"")</f>
        <v/>
      </c>
      <c r="N2036" s="61" t="str">
        <f aca="false">IF(IsPro,IF($D2036="","",IF(AND(V2036&lt;&gt;"",INDEX(Parties!$E$5:$E$304,V2036)&lt;&gt;"",INDEX(Parties!$E$5:$E$304,V2036)&lt;&gt;HomeState),0,ROUND(L2036*M2036/2,2))),"")</f>
        <v/>
      </c>
      <c r="O2036" s="61" t="str">
        <f aca="false">IF(IsPro,IF($D2036="","",N2036),"")</f>
        <v/>
      </c>
      <c r="P2036" s="61" t="str">
        <f aca="false">IF(IsPro,IF($D2036="","",IF(AND(V2036&lt;&gt;"",INDEX(Parties!$E$5:$E$304,V2036)&lt;&gt;"",INDEX(Parties!$E$5:$E$304,V2036)&lt;&gt;HomeState),ROUND(L2036*M2036,2),0)),"")</f>
        <v/>
      </c>
      <c r="Q2036" s="61" t="str">
        <f aca="false">IF(IsPro,IF($D2036="","",L2036+N2036+O2036+P2036),"")</f>
        <v/>
      </c>
      <c r="R2036" s="61" t="str">
        <f aca="false">IF(IsPro,IF($D2036="","",ROUND(N($E2036)*IFERROR(INDEX(Items!$P$5:$P$504,U2036),0),2)),"")</f>
        <v/>
      </c>
      <c r="S2036" s="61" t="str">
        <f aca="false">IF(IsPro,IF($D2036="","",L2036-R2036),"")</f>
        <v/>
      </c>
      <c r="T2036" s="60" t="str">
        <f aca="false">IF(IsPro,IF($D2036="","",IF(U2036="","UNKNOWN ITEM",IF(INDEX(Items!$O$5:$O$504,U2036)&lt;0,"NEG STOCK",IF(K2036&lt;INDEX(Items!$P$5:$P$504,U2036),"BELOW COST","OK")))),IF($D2036="","","PRO PLAN"))</f>
        <v/>
      </c>
      <c r="U2036" s="60" t="str">
        <f aca="false">IF(IsPro,IF($D2036="","",IFERROR(MATCH($D2036,Items!$A$5:$A$504,0),"")),"")</f>
        <v/>
      </c>
      <c r="V2036" s="60" t="str">
        <f aca="false">IF(IsPro,IF($C2036="","",IFERROR(MATCH($C2036,Parties!$A$5:$A$304,0),"")),"")</f>
        <v/>
      </c>
      <c r="W2036" s="60" t="str">
        <f aca="false">IF(IsPro,IF($B2036="","",IFERROR(VALUE(SUBSTITUTE($B2036,InvPrefix,"")),0)),"")</f>
        <v/>
      </c>
      <c r="X2036" s="61" t="str">
        <f aca="false">IF(IsPro,IF($D2036="","",IF(OR($H2036="",$H2036="Credit"),0,Q2036)),"")</f>
        <v/>
      </c>
    </row>
    <row r="2037" customFormat="false" ht="15" hidden="false" customHeight="false" outlineLevel="0" collapsed="false">
      <c r="A2037" s="55"/>
      <c r="B2037" s="56"/>
      <c r="C2037" s="56"/>
      <c r="D2037" s="56"/>
      <c r="E2037" s="57"/>
      <c r="F2037" s="58"/>
      <c r="G2037" s="59"/>
      <c r="H2037" s="56"/>
      <c r="I2037" s="56"/>
      <c r="J2037" s="60" t="str">
        <f aca="false">IF(IsPro,IF($D2037="","",IFERROR(INDEX(Items!$D$5:$D$504,U2037),"")),"")</f>
        <v/>
      </c>
      <c r="K2037" s="61" t="str">
        <f aca="false">IF(IsPro,IF($D2037="","",IF($F2037="",IFERROR(INDEX(Items!$H$5:$H$504,U2037),0),$F2037)),"")</f>
        <v/>
      </c>
      <c r="L2037" s="61" t="str">
        <f aca="false">IF(IsPro,IF($D2037="","",ROUND(N($E2037)*K2037*(1-N($G2037)),2)),"")</f>
        <v/>
      </c>
      <c r="M2037" s="62" t="str">
        <f aca="false">IF(IsPro,IF($D2037="","",IFERROR(INDEX(Items!$F$5:$F$504,U2037),0)),"")</f>
        <v/>
      </c>
      <c r="N2037" s="61" t="str">
        <f aca="false">IF(IsPro,IF($D2037="","",IF(AND(V2037&lt;&gt;"",INDEX(Parties!$E$5:$E$304,V2037)&lt;&gt;"",INDEX(Parties!$E$5:$E$304,V2037)&lt;&gt;HomeState),0,ROUND(L2037*M2037/2,2))),"")</f>
        <v/>
      </c>
      <c r="O2037" s="61" t="str">
        <f aca="false">IF(IsPro,IF($D2037="","",N2037),"")</f>
        <v/>
      </c>
      <c r="P2037" s="61" t="str">
        <f aca="false">IF(IsPro,IF($D2037="","",IF(AND(V2037&lt;&gt;"",INDEX(Parties!$E$5:$E$304,V2037)&lt;&gt;"",INDEX(Parties!$E$5:$E$304,V2037)&lt;&gt;HomeState),ROUND(L2037*M2037,2),0)),"")</f>
        <v/>
      </c>
      <c r="Q2037" s="61" t="str">
        <f aca="false">IF(IsPro,IF($D2037="","",L2037+N2037+O2037+P2037),"")</f>
        <v/>
      </c>
      <c r="R2037" s="61" t="str">
        <f aca="false">IF(IsPro,IF($D2037="","",ROUND(N($E2037)*IFERROR(INDEX(Items!$P$5:$P$504,U2037),0),2)),"")</f>
        <v/>
      </c>
      <c r="S2037" s="61" t="str">
        <f aca="false">IF(IsPro,IF($D2037="","",L2037-R2037),"")</f>
        <v/>
      </c>
      <c r="T2037" s="60" t="str">
        <f aca="false">IF(IsPro,IF($D2037="","",IF(U2037="","UNKNOWN ITEM",IF(INDEX(Items!$O$5:$O$504,U2037)&lt;0,"NEG STOCK",IF(K2037&lt;INDEX(Items!$P$5:$P$504,U2037),"BELOW COST","OK")))),IF($D2037="","","PRO PLAN"))</f>
        <v/>
      </c>
      <c r="U2037" s="60" t="str">
        <f aca="false">IF(IsPro,IF($D2037="","",IFERROR(MATCH($D2037,Items!$A$5:$A$504,0),"")),"")</f>
        <v/>
      </c>
      <c r="V2037" s="60" t="str">
        <f aca="false">IF(IsPro,IF($C2037="","",IFERROR(MATCH($C2037,Parties!$A$5:$A$304,0),"")),"")</f>
        <v/>
      </c>
      <c r="W2037" s="60" t="str">
        <f aca="false">IF(IsPro,IF($B2037="","",IFERROR(VALUE(SUBSTITUTE($B2037,InvPrefix,"")),0)),"")</f>
        <v/>
      </c>
      <c r="X2037" s="61" t="str">
        <f aca="false">IF(IsPro,IF($D2037="","",IF(OR($H2037="",$H2037="Credit"),0,Q2037)),"")</f>
        <v/>
      </c>
    </row>
    <row r="2038" customFormat="false" ht="15" hidden="false" customHeight="false" outlineLevel="0" collapsed="false">
      <c r="A2038" s="55"/>
      <c r="B2038" s="56"/>
      <c r="C2038" s="56"/>
      <c r="D2038" s="56"/>
      <c r="E2038" s="57"/>
      <c r="F2038" s="58"/>
      <c r="G2038" s="59"/>
      <c r="H2038" s="56"/>
      <c r="I2038" s="56"/>
      <c r="J2038" s="60" t="str">
        <f aca="false">IF(IsPro,IF($D2038="","",IFERROR(INDEX(Items!$D$5:$D$504,U2038),"")),"")</f>
        <v/>
      </c>
      <c r="K2038" s="61" t="str">
        <f aca="false">IF(IsPro,IF($D2038="","",IF($F2038="",IFERROR(INDEX(Items!$H$5:$H$504,U2038),0),$F2038)),"")</f>
        <v/>
      </c>
      <c r="L2038" s="61" t="str">
        <f aca="false">IF(IsPro,IF($D2038="","",ROUND(N($E2038)*K2038*(1-N($G2038)),2)),"")</f>
        <v/>
      </c>
      <c r="M2038" s="62" t="str">
        <f aca="false">IF(IsPro,IF($D2038="","",IFERROR(INDEX(Items!$F$5:$F$504,U2038),0)),"")</f>
        <v/>
      </c>
      <c r="N2038" s="61" t="str">
        <f aca="false">IF(IsPro,IF($D2038="","",IF(AND(V2038&lt;&gt;"",INDEX(Parties!$E$5:$E$304,V2038)&lt;&gt;"",INDEX(Parties!$E$5:$E$304,V2038)&lt;&gt;HomeState),0,ROUND(L2038*M2038/2,2))),"")</f>
        <v/>
      </c>
      <c r="O2038" s="61" t="str">
        <f aca="false">IF(IsPro,IF($D2038="","",N2038),"")</f>
        <v/>
      </c>
      <c r="P2038" s="61" t="str">
        <f aca="false">IF(IsPro,IF($D2038="","",IF(AND(V2038&lt;&gt;"",INDEX(Parties!$E$5:$E$304,V2038)&lt;&gt;"",INDEX(Parties!$E$5:$E$304,V2038)&lt;&gt;HomeState),ROUND(L2038*M2038,2),0)),"")</f>
        <v/>
      </c>
      <c r="Q2038" s="61" t="str">
        <f aca="false">IF(IsPro,IF($D2038="","",L2038+N2038+O2038+P2038),"")</f>
        <v/>
      </c>
      <c r="R2038" s="61" t="str">
        <f aca="false">IF(IsPro,IF($D2038="","",ROUND(N($E2038)*IFERROR(INDEX(Items!$P$5:$P$504,U2038),0),2)),"")</f>
        <v/>
      </c>
      <c r="S2038" s="61" t="str">
        <f aca="false">IF(IsPro,IF($D2038="","",L2038-R2038),"")</f>
        <v/>
      </c>
      <c r="T2038" s="60" t="str">
        <f aca="false">IF(IsPro,IF($D2038="","",IF(U2038="","UNKNOWN ITEM",IF(INDEX(Items!$O$5:$O$504,U2038)&lt;0,"NEG STOCK",IF(K2038&lt;INDEX(Items!$P$5:$P$504,U2038),"BELOW COST","OK")))),IF($D2038="","","PRO PLAN"))</f>
        <v/>
      </c>
      <c r="U2038" s="60" t="str">
        <f aca="false">IF(IsPro,IF($D2038="","",IFERROR(MATCH($D2038,Items!$A$5:$A$504,0),"")),"")</f>
        <v/>
      </c>
      <c r="V2038" s="60" t="str">
        <f aca="false">IF(IsPro,IF($C2038="","",IFERROR(MATCH($C2038,Parties!$A$5:$A$304,0),"")),"")</f>
        <v/>
      </c>
      <c r="W2038" s="60" t="str">
        <f aca="false">IF(IsPro,IF($B2038="","",IFERROR(VALUE(SUBSTITUTE($B2038,InvPrefix,"")),0)),"")</f>
        <v/>
      </c>
      <c r="X2038" s="61" t="str">
        <f aca="false">IF(IsPro,IF($D2038="","",IF(OR($H2038="",$H2038="Credit"),0,Q2038)),"")</f>
        <v/>
      </c>
    </row>
    <row r="2039" customFormat="false" ht="15" hidden="false" customHeight="false" outlineLevel="0" collapsed="false">
      <c r="A2039" s="55"/>
      <c r="B2039" s="56"/>
      <c r="C2039" s="56"/>
      <c r="D2039" s="56"/>
      <c r="E2039" s="57"/>
      <c r="F2039" s="58"/>
      <c r="G2039" s="59"/>
      <c r="H2039" s="56"/>
      <c r="I2039" s="56"/>
      <c r="J2039" s="60" t="str">
        <f aca="false">IF(IsPro,IF($D2039="","",IFERROR(INDEX(Items!$D$5:$D$504,U2039),"")),"")</f>
        <v/>
      </c>
      <c r="K2039" s="61" t="str">
        <f aca="false">IF(IsPro,IF($D2039="","",IF($F2039="",IFERROR(INDEX(Items!$H$5:$H$504,U2039),0),$F2039)),"")</f>
        <v/>
      </c>
      <c r="L2039" s="61" t="str">
        <f aca="false">IF(IsPro,IF($D2039="","",ROUND(N($E2039)*K2039*(1-N($G2039)),2)),"")</f>
        <v/>
      </c>
      <c r="M2039" s="62" t="str">
        <f aca="false">IF(IsPro,IF($D2039="","",IFERROR(INDEX(Items!$F$5:$F$504,U2039),0)),"")</f>
        <v/>
      </c>
      <c r="N2039" s="61" t="str">
        <f aca="false">IF(IsPro,IF($D2039="","",IF(AND(V2039&lt;&gt;"",INDEX(Parties!$E$5:$E$304,V2039)&lt;&gt;"",INDEX(Parties!$E$5:$E$304,V2039)&lt;&gt;HomeState),0,ROUND(L2039*M2039/2,2))),"")</f>
        <v/>
      </c>
      <c r="O2039" s="61" t="str">
        <f aca="false">IF(IsPro,IF($D2039="","",N2039),"")</f>
        <v/>
      </c>
      <c r="P2039" s="61" t="str">
        <f aca="false">IF(IsPro,IF($D2039="","",IF(AND(V2039&lt;&gt;"",INDEX(Parties!$E$5:$E$304,V2039)&lt;&gt;"",INDEX(Parties!$E$5:$E$304,V2039)&lt;&gt;HomeState),ROUND(L2039*M2039,2),0)),"")</f>
        <v/>
      </c>
      <c r="Q2039" s="61" t="str">
        <f aca="false">IF(IsPro,IF($D2039="","",L2039+N2039+O2039+P2039),"")</f>
        <v/>
      </c>
      <c r="R2039" s="61" t="str">
        <f aca="false">IF(IsPro,IF($D2039="","",ROUND(N($E2039)*IFERROR(INDEX(Items!$P$5:$P$504,U2039),0),2)),"")</f>
        <v/>
      </c>
      <c r="S2039" s="61" t="str">
        <f aca="false">IF(IsPro,IF($D2039="","",L2039-R2039),"")</f>
        <v/>
      </c>
      <c r="T2039" s="60" t="str">
        <f aca="false">IF(IsPro,IF($D2039="","",IF(U2039="","UNKNOWN ITEM",IF(INDEX(Items!$O$5:$O$504,U2039)&lt;0,"NEG STOCK",IF(K2039&lt;INDEX(Items!$P$5:$P$504,U2039),"BELOW COST","OK")))),IF($D2039="","","PRO PLAN"))</f>
        <v/>
      </c>
      <c r="U2039" s="60" t="str">
        <f aca="false">IF(IsPro,IF($D2039="","",IFERROR(MATCH($D2039,Items!$A$5:$A$504,0),"")),"")</f>
        <v/>
      </c>
      <c r="V2039" s="60" t="str">
        <f aca="false">IF(IsPro,IF($C2039="","",IFERROR(MATCH($C2039,Parties!$A$5:$A$304,0),"")),"")</f>
        <v/>
      </c>
      <c r="W2039" s="60" t="str">
        <f aca="false">IF(IsPro,IF($B2039="","",IFERROR(VALUE(SUBSTITUTE($B2039,InvPrefix,"")),0)),"")</f>
        <v/>
      </c>
      <c r="X2039" s="61" t="str">
        <f aca="false">IF(IsPro,IF($D2039="","",IF(OR($H2039="",$H2039="Credit"),0,Q2039)),"")</f>
        <v/>
      </c>
    </row>
    <row r="2040" customFormat="false" ht="15" hidden="false" customHeight="false" outlineLevel="0" collapsed="false">
      <c r="A2040" s="55"/>
      <c r="B2040" s="56"/>
      <c r="C2040" s="56"/>
      <c r="D2040" s="56"/>
      <c r="E2040" s="57"/>
      <c r="F2040" s="58"/>
      <c r="G2040" s="59"/>
      <c r="H2040" s="56"/>
      <c r="I2040" s="56"/>
      <c r="J2040" s="60" t="str">
        <f aca="false">IF(IsPro,IF($D2040="","",IFERROR(INDEX(Items!$D$5:$D$504,U2040),"")),"")</f>
        <v/>
      </c>
      <c r="K2040" s="61" t="str">
        <f aca="false">IF(IsPro,IF($D2040="","",IF($F2040="",IFERROR(INDEX(Items!$H$5:$H$504,U2040),0),$F2040)),"")</f>
        <v/>
      </c>
      <c r="L2040" s="61" t="str">
        <f aca="false">IF(IsPro,IF($D2040="","",ROUND(N($E2040)*K2040*(1-N($G2040)),2)),"")</f>
        <v/>
      </c>
      <c r="M2040" s="62" t="str">
        <f aca="false">IF(IsPro,IF($D2040="","",IFERROR(INDEX(Items!$F$5:$F$504,U2040),0)),"")</f>
        <v/>
      </c>
      <c r="N2040" s="61" t="str">
        <f aca="false">IF(IsPro,IF($D2040="","",IF(AND(V2040&lt;&gt;"",INDEX(Parties!$E$5:$E$304,V2040)&lt;&gt;"",INDEX(Parties!$E$5:$E$304,V2040)&lt;&gt;HomeState),0,ROUND(L2040*M2040/2,2))),"")</f>
        <v/>
      </c>
      <c r="O2040" s="61" t="str">
        <f aca="false">IF(IsPro,IF($D2040="","",N2040),"")</f>
        <v/>
      </c>
      <c r="P2040" s="61" t="str">
        <f aca="false">IF(IsPro,IF($D2040="","",IF(AND(V2040&lt;&gt;"",INDEX(Parties!$E$5:$E$304,V2040)&lt;&gt;"",INDEX(Parties!$E$5:$E$304,V2040)&lt;&gt;HomeState),ROUND(L2040*M2040,2),0)),"")</f>
        <v/>
      </c>
      <c r="Q2040" s="61" t="str">
        <f aca="false">IF(IsPro,IF($D2040="","",L2040+N2040+O2040+P2040),"")</f>
        <v/>
      </c>
      <c r="R2040" s="61" t="str">
        <f aca="false">IF(IsPro,IF($D2040="","",ROUND(N($E2040)*IFERROR(INDEX(Items!$P$5:$P$504,U2040),0),2)),"")</f>
        <v/>
      </c>
      <c r="S2040" s="61" t="str">
        <f aca="false">IF(IsPro,IF($D2040="","",L2040-R2040),"")</f>
        <v/>
      </c>
      <c r="T2040" s="60" t="str">
        <f aca="false">IF(IsPro,IF($D2040="","",IF(U2040="","UNKNOWN ITEM",IF(INDEX(Items!$O$5:$O$504,U2040)&lt;0,"NEG STOCK",IF(K2040&lt;INDEX(Items!$P$5:$P$504,U2040),"BELOW COST","OK")))),IF($D2040="","","PRO PLAN"))</f>
        <v/>
      </c>
      <c r="U2040" s="60" t="str">
        <f aca="false">IF(IsPro,IF($D2040="","",IFERROR(MATCH($D2040,Items!$A$5:$A$504,0),"")),"")</f>
        <v/>
      </c>
      <c r="V2040" s="60" t="str">
        <f aca="false">IF(IsPro,IF($C2040="","",IFERROR(MATCH($C2040,Parties!$A$5:$A$304,0),"")),"")</f>
        <v/>
      </c>
      <c r="W2040" s="60" t="str">
        <f aca="false">IF(IsPro,IF($B2040="","",IFERROR(VALUE(SUBSTITUTE($B2040,InvPrefix,"")),0)),"")</f>
        <v/>
      </c>
      <c r="X2040" s="61" t="str">
        <f aca="false">IF(IsPro,IF($D2040="","",IF(OR($H2040="",$H2040="Credit"),0,Q2040)),"")</f>
        <v/>
      </c>
    </row>
    <row r="2041" customFormat="false" ht="15" hidden="false" customHeight="false" outlineLevel="0" collapsed="false">
      <c r="A2041" s="55"/>
      <c r="B2041" s="56"/>
      <c r="C2041" s="56"/>
      <c r="D2041" s="56"/>
      <c r="E2041" s="57"/>
      <c r="F2041" s="58"/>
      <c r="G2041" s="59"/>
      <c r="H2041" s="56"/>
      <c r="I2041" s="56"/>
      <c r="J2041" s="60" t="str">
        <f aca="false">IF(IsPro,IF($D2041="","",IFERROR(INDEX(Items!$D$5:$D$504,U2041),"")),"")</f>
        <v/>
      </c>
      <c r="K2041" s="61" t="str">
        <f aca="false">IF(IsPro,IF($D2041="","",IF($F2041="",IFERROR(INDEX(Items!$H$5:$H$504,U2041),0),$F2041)),"")</f>
        <v/>
      </c>
      <c r="L2041" s="61" t="str">
        <f aca="false">IF(IsPro,IF($D2041="","",ROUND(N($E2041)*K2041*(1-N($G2041)),2)),"")</f>
        <v/>
      </c>
      <c r="M2041" s="62" t="str">
        <f aca="false">IF(IsPro,IF($D2041="","",IFERROR(INDEX(Items!$F$5:$F$504,U2041),0)),"")</f>
        <v/>
      </c>
      <c r="N2041" s="61" t="str">
        <f aca="false">IF(IsPro,IF($D2041="","",IF(AND(V2041&lt;&gt;"",INDEX(Parties!$E$5:$E$304,V2041)&lt;&gt;"",INDEX(Parties!$E$5:$E$304,V2041)&lt;&gt;HomeState),0,ROUND(L2041*M2041/2,2))),"")</f>
        <v/>
      </c>
      <c r="O2041" s="61" t="str">
        <f aca="false">IF(IsPro,IF($D2041="","",N2041),"")</f>
        <v/>
      </c>
      <c r="P2041" s="61" t="str">
        <f aca="false">IF(IsPro,IF($D2041="","",IF(AND(V2041&lt;&gt;"",INDEX(Parties!$E$5:$E$304,V2041)&lt;&gt;"",INDEX(Parties!$E$5:$E$304,V2041)&lt;&gt;HomeState),ROUND(L2041*M2041,2),0)),"")</f>
        <v/>
      </c>
      <c r="Q2041" s="61" t="str">
        <f aca="false">IF(IsPro,IF($D2041="","",L2041+N2041+O2041+P2041),"")</f>
        <v/>
      </c>
      <c r="R2041" s="61" t="str">
        <f aca="false">IF(IsPro,IF($D2041="","",ROUND(N($E2041)*IFERROR(INDEX(Items!$P$5:$P$504,U2041),0),2)),"")</f>
        <v/>
      </c>
      <c r="S2041" s="61" t="str">
        <f aca="false">IF(IsPro,IF($D2041="","",L2041-R2041),"")</f>
        <v/>
      </c>
      <c r="T2041" s="60" t="str">
        <f aca="false">IF(IsPro,IF($D2041="","",IF(U2041="","UNKNOWN ITEM",IF(INDEX(Items!$O$5:$O$504,U2041)&lt;0,"NEG STOCK",IF(K2041&lt;INDEX(Items!$P$5:$P$504,U2041),"BELOW COST","OK")))),IF($D2041="","","PRO PLAN"))</f>
        <v/>
      </c>
      <c r="U2041" s="60" t="str">
        <f aca="false">IF(IsPro,IF($D2041="","",IFERROR(MATCH($D2041,Items!$A$5:$A$504,0),"")),"")</f>
        <v/>
      </c>
      <c r="V2041" s="60" t="str">
        <f aca="false">IF(IsPro,IF($C2041="","",IFERROR(MATCH($C2041,Parties!$A$5:$A$304,0),"")),"")</f>
        <v/>
      </c>
      <c r="W2041" s="60" t="str">
        <f aca="false">IF(IsPro,IF($B2041="","",IFERROR(VALUE(SUBSTITUTE($B2041,InvPrefix,"")),0)),"")</f>
        <v/>
      </c>
      <c r="X2041" s="61" t="str">
        <f aca="false">IF(IsPro,IF($D2041="","",IF(OR($H2041="",$H2041="Credit"),0,Q2041)),"")</f>
        <v/>
      </c>
    </row>
    <row r="2042" customFormat="false" ht="15" hidden="false" customHeight="false" outlineLevel="0" collapsed="false">
      <c r="A2042" s="55"/>
      <c r="B2042" s="56"/>
      <c r="C2042" s="56"/>
      <c r="D2042" s="56"/>
      <c r="E2042" s="57"/>
      <c r="F2042" s="58"/>
      <c r="G2042" s="59"/>
      <c r="H2042" s="56"/>
      <c r="I2042" s="56"/>
      <c r="J2042" s="60" t="str">
        <f aca="false">IF(IsPro,IF($D2042="","",IFERROR(INDEX(Items!$D$5:$D$504,U2042),"")),"")</f>
        <v/>
      </c>
      <c r="K2042" s="61" t="str">
        <f aca="false">IF(IsPro,IF($D2042="","",IF($F2042="",IFERROR(INDEX(Items!$H$5:$H$504,U2042),0),$F2042)),"")</f>
        <v/>
      </c>
      <c r="L2042" s="61" t="str">
        <f aca="false">IF(IsPro,IF($D2042="","",ROUND(N($E2042)*K2042*(1-N($G2042)),2)),"")</f>
        <v/>
      </c>
      <c r="M2042" s="62" t="str">
        <f aca="false">IF(IsPro,IF($D2042="","",IFERROR(INDEX(Items!$F$5:$F$504,U2042),0)),"")</f>
        <v/>
      </c>
      <c r="N2042" s="61" t="str">
        <f aca="false">IF(IsPro,IF($D2042="","",IF(AND(V2042&lt;&gt;"",INDEX(Parties!$E$5:$E$304,V2042)&lt;&gt;"",INDEX(Parties!$E$5:$E$304,V2042)&lt;&gt;HomeState),0,ROUND(L2042*M2042/2,2))),"")</f>
        <v/>
      </c>
      <c r="O2042" s="61" t="str">
        <f aca="false">IF(IsPro,IF($D2042="","",N2042),"")</f>
        <v/>
      </c>
      <c r="P2042" s="61" t="str">
        <f aca="false">IF(IsPro,IF($D2042="","",IF(AND(V2042&lt;&gt;"",INDEX(Parties!$E$5:$E$304,V2042)&lt;&gt;"",INDEX(Parties!$E$5:$E$304,V2042)&lt;&gt;HomeState),ROUND(L2042*M2042,2),0)),"")</f>
        <v/>
      </c>
      <c r="Q2042" s="61" t="str">
        <f aca="false">IF(IsPro,IF($D2042="","",L2042+N2042+O2042+P2042),"")</f>
        <v/>
      </c>
      <c r="R2042" s="61" t="str">
        <f aca="false">IF(IsPro,IF($D2042="","",ROUND(N($E2042)*IFERROR(INDEX(Items!$P$5:$P$504,U2042),0),2)),"")</f>
        <v/>
      </c>
      <c r="S2042" s="61" t="str">
        <f aca="false">IF(IsPro,IF($D2042="","",L2042-R2042),"")</f>
        <v/>
      </c>
      <c r="T2042" s="60" t="str">
        <f aca="false">IF(IsPro,IF($D2042="","",IF(U2042="","UNKNOWN ITEM",IF(INDEX(Items!$O$5:$O$504,U2042)&lt;0,"NEG STOCK",IF(K2042&lt;INDEX(Items!$P$5:$P$504,U2042),"BELOW COST","OK")))),IF($D2042="","","PRO PLAN"))</f>
        <v/>
      </c>
      <c r="U2042" s="60" t="str">
        <f aca="false">IF(IsPro,IF($D2042="","",IFERROR(MATCH($D2042,Items!$A$5:$A$504,0),"")),"")</f>
        <v/>
      </c>
      <c r="V2042" s="60" t="str">
        <f aca="false">IF(IsPro,IF($C2042="","",IFERROR(MATCH($C2042,Parties!$A$5:$A$304,0),"")),"")</f>
        <v/>
      </c>
      <c r="W2042" s="60" t="str">
        <f aca="false">IF(IsPro,IF($B2042="","",IFERROR(VALUE(SUBSTITUTE($B2042,InvPrefix,"")),0)),"")</f>
        <v/>
      </c>
      <c r="X2042" s="61" t="str">
        <f aca="false">IF(IsPro,IF($D2042="","",IF(OR($H2042="",$H2042="Credit"),0,Q2042)),"")</f>
        <v/>
      </c>
    </row>
    <row r="2043" customFormat="false" ht="15" hidden="false" customHeight="false" outlineLevel="0" collapsed="false">
      <c r="A2043" s="55"/>
      <c r="B2043" s="56"/>
      <c r="C2043" s="56"/>
      <c r="D2043" s="56"/>
      <c r="E2043" s="57"/>
      <c r="F2043" s="58"/>
      <c r="G2043" s="59"/>
      <c r="H2043" s="56"/>
      <c r="I2043" s="56"/>
      <c r="J2043" s="60" t="str">
        <f aca="false">IF(IsPro,IF($D2043="","",IFERROR(INDEX(Items!$D$5:$D$504,U2043),"")),"")</f>
        <v/>
      </c>
      <c r="K2043" s="61" t="str">
        <f aca="false">IF(IsPro,IF($D2043="","",IF($F2043="",IFERROR(INDEX(Items!$H$5:$H$504,U2043),0),$F2043)),"")</f>
        <v/>
      </c>
      <c r="L2043" s="61" t="str">
        <f aca="false">IF(IsPro,IF($D2043="","",ROUND(N($E2043)*K2043*(1-N($G2043)),2)),"")</f>
        <v/>
      </c>
      <c r="M2043" s="62" t="str">
        <f aca="false">IF(IsPro,IF($D2043="","",IFERROR(INDEX(Items!$F$5:$F$504,U2043),0)),"")</f>
        <v/>
      </c>
      <c r="N2043" s="61" t="str">
        <f aca="false">IF(IsPro,IF($D2043="","",IF(AND(V2043&lt;&gt;"",INDEX(Parties!$E$5:$E$304,V2043)&lt;&gt;"",INDEX(Parties!$E$5:$E$304,V2043)&lt;&gt;HomeState),0,ROUND(L2043*M2043/2,2))),"")</f>
        <v/>
      </c>
      <c r="O2043" s="61" t="str">
        <f aca="false">IF(IsPro,IF($D2043="","",N2043),"")</f>
        <v/>
      </c>
      <c r="P2043" s="61" t="str">
        <f aca="false">IF(IsPro,IF($D2043="","",IF(AND(V2043&lt;&gt;"",INDEX(Parties!$E$5:$E$304,V2043)&lt;&gt;"",INDEX(Parties!$E$5:$E$304,V2043)&lt;&gt;HomeState),ROUND(L2043*M2043,2),0)),"")</f>
        <v/>
      </c>
      <c r="Q2043" s="61" t="str">
        <f aca="false">IF(IsPro,IF($D2043="","",L2043+N2043+O2043+P2043),"")</f>
        <v/>
      </c>
      <c r="R2043" s="61" t="str">
        <f aca="false">IF(IsPro,IF($D2043="","",ROUND(N($E2043)*IFERROR(INDEX(Items!$P$5:$P$504,U2043),0),2)),"")</f>
        <v/>
      </c>
      <c r="S2043" s="61" t="str">
        <f aca="false">IF(IsPro,IF($D2043="","",L2043-R2043),"")</f>
        <v/>
      </c>
      <c r="T2043" s="60" t="str">
        <f aca="false">IF(IsPro,IF($D2043="","",IF(U2043="","UNKNOWN ITEM",IF(INDEX(Items!$O$5:$O$504,U2043)&lt;0,"NEG STOCK",IF(K2043&lt;INDEX(Items!$P$5:$P$504,U2043),"BELOW COST","OK")))),IF($D2043="","","PRO PLAN"))</f>
        <v/>
      </c>
      <c r="U2043" s="60" t="str">
        <f aca="false">IF(IsPro,IF($D2043="","",IFERROR(MATCH($D2043,Items!$A$5:$A$504,0),"")),"")</f>
        <v/>
      </c>
      <c r="V2043" s="60" t="str">
        <f aca="false">IF(IsPro,IF($C2043="","",IFERROR(MATCH($C2043,Parties!$A$5:$A$304,0),"")),"")</f>
        <v/>
      </c>
      <c r="W2043" s="60" t="str">
        <f aca="false">IF(IsPro,IF($B2043="","",IFERROR(VALUE(SUBSTITUTE($B2043,InvPrefix,"")),0)),"")</f>
        <v/>
      </c>
      <c r="X2043" s="61" t="str">
        <f aca="false">IF(IsPro,IF($D2043="","",IF(OR($H2043="",$H2043="Credit"),0,Q2043)),"")</f>
        <v/>
      </c>
    </row>
    <row r="2044" customFormat="false" ht="15" hidden="false" customHeight="false" outlineLevel="0" collapsed="false">
      <c r="A2044" s="55"/>
      <c r="B2044" s="56"/>
      <c r="C2044" s="56"/>
      <c r="D2044" s="56"/>
      <c r="E2044" s="57"/>
      <c r="F2044" s="58"/>
      <c r="G2044" s="59"/>
      <c r="H2044" s="56"/>
      <c r="I2044" s="56"/>
      <c r="J2044" s="60" t="str">
        <f aca="false">IF(IsPro,IF($D2044="","",IFERROR(INDEX(Items!$D$5:$D$504,U2044),"")),"")</f>
        <v/>
      </c>
      <c r="K2044" s="61" t="str">
        <f aca="false">IF(IsPro,IF($D2044="","",IF($F2044="",IFERROR(INDEX(Items!$H$5:$H$504,U2044),0),$F2044)),"")</f>
        <v/>
      </c>
      <c r="L2044" s="61" t="str">
        <f aca="false">IF(IsPro,IF($D2044="","",ROUND(N($E2044)*K2044*(1-N($G2044)),2)),"")</f>
        <v/>
      </c>
      <c r="M2044" s="62" t="str">
        <f aca="false">IF(IsPro,IF($D2044="","",IFERROR(INDEX(Items!$F$5:$F$504,U2044),0)),"")</f>
        <v/>
      </c>
      <c r="N2044" s="61" t="str">
        <f aca="false">IF(IsPro,IF($D2044="","",IF(AND(V2044&lt;&gt;"",INDEX(Parties!$E$5:$E$304,V2044)&lt;&gt;"",INDEX(Parties!$E$5:$E$304,V2044)&lt;&gt;HomeState),0,ROUND(L2044*M2044/2,2))),"")</f>
        <v/>
      </c>
      <c r="O2044" s="61" t="str">
        <f aca="false">IF(IsPro,IF($D2044="","",N2044),"")</f>
        <v/>
      </c>
      <c r="P2044" s="61" t="str">
        <f aca="false">IF(IsPro,IF($D2044="","",IF(AND(V2044&lt;&gt;"",INDEX(Parties!$E$5:$E$304,V2044)&lt;&gt;"",INDEX(Parties!$E$5:$E$304,V2044)&lt;&gt;HomeState),ROUND(L2044*M2044,2),0)),"")</f>
        <v/>
      </c>
      <c r="Q2044" s="61" t="str">
        <f aca="false">IF(IsPro,IF($D2044="","",L2044+N2044+O2044+P2044),"")</f>
        <v/>
      </c>
      <c r="R2044" s="61" t="str">
        <f aca="false">IF(IsPro,IF($D2044="","",ROUND(N($E2044)*IFERROR(INDEX(Items!$P$5:$P$504,U2044),0),2)),"")</f>
        <v/>
      </c>
      <c r="S2044" s="61" t="str">
        <f aca="false">IF(IsPro,IF($D2044="","",L2044-R2044),"")</f>
        <v/>
      </c>
      <c r="T2044" s="60" t="str">
        <f aca="false">IF(IsPro,IF($D2044="","",IF(U2044="","UNKNOWN ITEM",IF(INDEX(Items!$O$5:$O$504,U2044)&lt;0,"NEG STOCK",IF(K2044&lt;INDEX(Items!$P$5:$P$504,U2044),"BELOW COST","OK")))),IF($D2044="","","PRO PLAN"))</f>
        <v/>
      </c>
      <c r="U2044" s="60" t="str">
        <f aca="false">IF(IsPro,IF($D2044="","",IFERROR(MATCH($D2044,Items!$A$5:$A$504,0),"")),"")</f>
        <v/>
      </c>
      <c r="V2044" s="60" t="str">
        <f aca="false">IF(IsPro,IF($C2044="","",IFERROR(MATCH($C2044,Parties!$A$5:$A$304,0),"")),"")</f>
        <v/>
      </c>
      <c r="W2044" s="60" t="str">
        <f aca="false">IF(IsPro,IF($B2044="","",IFERROR(VALUE(SUBSTITUTE($B2044,InvPrefix,"")),0)),"")</f>
        <v/>
      </c>
      <c r="X2044" s="61" t="str">
        <f aca="false">IF(IsPro,IF($D2044="","",IF(OR($H2044="",$H2044="Credit"),0,Q2044)),"")</f>
        <v/>
      </c>
    </row>
    <row r="2045" customFormat="false" ht="15" hidden="false" customHeight="false" outlineLevel="0" collapsed="false">
      <c r="A2045" s="55"/>
      <c r="B2045" s="56"/>
      <c r="C2045" s="56"/>
      <c r="D2045" s="56"/>
      <c r="E2045" s="57"/>
      <c r="F2045" s="58"/>
      <c r="G2045" s="59"/>
      <c r="H2045" s="56"/>
      <c r="I2045" s="56"/>
      <c r="J2045" s="60" t="str">
        <f aca="false">IF(IsPro,IF($D2045="","",IFERROR(INDEX(Items!$D$5:$D$504,U2045),"")),"")</f>
        <v/>
      </c>
      <c r="K2045" s="61" t="str">
        <f aca="false">IF(IsPro,IF($D2045="","",IF($F2045="",IFERROR(INDEX(Items!$H$5:$H$504,U2045),0),$F2045)),"")</f>
        <v/>
      </c>
      <c r="L2045" s="61" t="str">
        <f aca="false">IF(IsPro,IF($D2045="","",ROUND(N($E2045)*K2045*(1-N($G2045)),2)),"")</f>
        <v/>
      </c>
      <c r="M2045" s="62" t="str">
        <f aca="false">IF(IsPro,IF($D2045="","",IFERROR(INDEX(Items!$F$5:$F$504,U2045),0)),"")</f>
        <v/>
      </c>
      <c r="N2045" s="61" t="str">
        <f aca="false">IF(IsPro,IF($D2045="","",IF(AND(V2045&lt;&gt;"",INDEX(Parties!$E$5:$E$304,V2045)&lt;&gt;"",INDEX(Parties!$E$5:$E$304,V2045)&lt;&gt;HomeState),0,ROUND(L2045*M2045/2,2))),"")</f>
        <v/>
      </c>
      <c r="O2045" s="61" t="str">
        <f aca="false">IF(IsPro,IF($D2045="","",N2045),"")</f>
        <v/>
      </c>
      <c r="P2045" s="61" t="str">
        <f aca="false">IF(IsPro,IF($D2045="","",IF(AND(V2045&lt;&gt;"",INDEX(Parties!$E$5:$E$304,V2045)&lt;&gt;"",INDEX(Parties!$E$5:$E$304,V2045)&lt;&gt;HomeState),ROUND(L2045*M2045,2),0)),"")</f>
        <v/>
      </c>
      <c r="Q2045" s="61" t="str">
        <f aca="false">IF(IsPro,IF($D2045="","",L2045+N2045+O2045+P2045),"")</f>
        <v/>
      </c>
      <c r="R2045" s="61" t="str">
        <f aca="false">IF(IsPro,IF($D2045="","",ROUND(N($E2045)*IFERROR(INDEX(Items!$P$5:$P$504,U2045),0),2)),"")</f>
        <v/>
      </c>
      <c r="S2045" s="61" t="str">
        <f aca="false">IF(IsPro,IF($D2045="","",L2045-R2045),"")</f>
        <v/>
      </c>
      <c r="T2045" s="60" t="str">
        <f aca="false">IF(IsPro,IF($D2045="","",IF(U2045="","UNKNOWN ITEM",IF(INDEX(Items!$O$5:$O$504,U2045)&lt;0,"NEG STOCK",IF(K2045&lt;INDEX(Items!$P$5:$P$504,U2045),"BELOW COST","OK")))),IF($D2045="","","PRO PLAN"))</f>
        <v/>
      </c>
      <c r="U2045" s="60" t="str">
        <f aca="false">IF(IsPro,IF($D2045="","",IFERROR(MATCH($D2045,Items!$A$5:$A$504,0),"")),"")</f>
        <v/>
      </c>
      <c r="V2045" s="60" t="str">
        <f aca="false">IF(IsPro,IF($C2045="","",IFERROR(MATCH($C2045,Parties!$A$5:$A$304,0),"")),"")</f>
        <v/>
      </c>
      <c r="W2045" s="60" t="str">
        <f aca="false">IF(IsPro,IF($B2045="","",IFERROR(VALUE(SUBSTITUTE($B2045,InvPrefix,"")),0)),"")</f>
        <v/>
      </c>
      <c r="X2045" s="61" t="str">
        <f aca="false">IF(IsPro,IF($D2045="","",IF(OR($H2045="",$H2045="Credit"),0,Q2045)),"")</f>
        <v/>
      </c>
    </row>
    <row r="2046" customFormat="false" ht="15" hidden="false" customHeight="false" outlineLevel="0" collapsed="false">
      <c r="A2046" s="55"/>
      <c r="B2046" s="56"/>
      <c r="C2046" s="56"/>
      <c r="D2046" s="56"/>
      <c r="E2046" s="57"/>
      <c r="F2046" s="58"/>
      <c r="G2046" s="59"/>
      <c r="H2046" s="56"/>
      <c r="I2046" s="56"/>
      <c r="J2046" s="60" t="str">
        <f aca="false">IF(IsPro,IF($D2046="","",IFERROR(INDEX(Items!$D$5:$D$504,U2046),"")),"")</f>
        <v/>
      </c>
      <c r="K2046" s="61" t="str">
        <f aca="false">IF(IsPro,IF($D2046="","",IF($F2046="",IFERROR(INDEX(Items!$H$5:$H$504,U2046),0),$F2046)),"")</f>
        <v/>
      </c>
      <c r="L2046" s="61" t="str">
        <f aca="false">IF(IsPro,IF($D2046="","",ROUND(N($E2046)*K2046*(1-N($G2046)),2)),"")</f>
        <v/>
      </c>
      <c r="M2046" s="62" t="str">
        <f aca="false">IF(IsPro,IF($D2046="","",IFERROR(INDEX(Items!$F$5:$F$504,U2046),0)),"")</f>
        <v/>
      </c>
      <c r="N2046" s="61" t="str">
        <f aca="false">IF(IsPro,IF($D2046="","",IF(AND(V2046&lt;&gt;"",INDEX(Parties!$E$5:$E$304,V2046)&lt;&gt;"",INDEX(Parties!$E$5:$E$304,V2046)&lt;&gt;HomeState),0,ROUND(L2046*M2046/2,2))),"")</f>
        <v/>
      </c>
      <c r="O2046" s="61" t="str">
        <f aca="false">IF(IsPro,IF($D2046="","",N2046),"")</f>
        <v/>
      </c>
      <c r="P2046" s="61" t="str">
        <f aca="false">IF(IsPro,IF($D2046="","",IF(AND(V2046&lt;&gt;"",INDEX(Parties!$E$5:$E$304,V2046)&lt;&gt;"",INDEX(Parties!$E$5:$E$304,V2046)&lt;&gt;HomeState),ROUND(L2046*M2046,2),0)),"")</f>
        <v/>
      </c>
      <c r="Q2046" s="61" t="str">
        <f aca="false">IF(IsPro,IF($D2046="","",L2046+N2046+O2046+P2046),"")</f>
        <v/>
      </c>
      <c r="R2046" s="61" t="str">
        <f aca="false">IF(IsPro,IF($D2046="","",ROUND(N($E2046)*IFERROR(INDEX(Items!$P$5:$P$504,U2046),0),2)),"")</f>
        <v/>
      </c>
      <c r="S2046" s="61" t="str">
        <f aca="false">IF(IsPro,IF($D2046="","",L2046-R2046),"")</f>
        <v/>
      </c>
      <c r="T2046" s="60" t="str">
        <f aca="false">IF(IsPro,IF($D2046="","",IF(U2046="","UNKNOWN ITEM",IF(INDEX(Items!$O$5:$O$504,U2046)&lt;0,"NEG STOCK",IF(K2046&lt;INDEX(Items!$P$5:$P$504,U2046),"BELOW COST","OK")))),IF($D2046="","","PRO PLAN"))</f>
        <v/>
      </c>
      <c r="U2046" s="60" t="str">
        <f aca="false">IF(IsPro,IF($D2046="","",IFERROR(MATCH($D2046,Items!$A$5:$A$504,0),"")),"")</f>
        <v/>
      </c>
      <c r="V2046" s="60" t="str">
        <f aca="false">IF(IsPro,IF($C2046="","",IFERROR(MATCH($C2046,Parties!$A$5:$A$304,0),"")),"")</f>
        <v/>
      </c>
      <c r="W2046" s="60" t="str">
        <f aca="false">IF(IsPro,IF($B2046="","",IFERROR(VALUE(SUBSTITUTE($B2046,InvPrefix,"")),0)),"")</f>
        <v/>
      </c>
      <c r="X2046" s="61" t="str">
        <f aca="false">IF(IsPro,IF($D2046="","",IF(OR($H2046="",$H2046="Credit"),0,Q2046)),"")</f>
        <v/>
      </c>
    </row>
    <row r="2047" customFormat="false" ht="15" hidden="false" customHeight="false" outlineLevel="0" collapsed="false">
      <c r="A2047" s="55"/>
      <c r="B2047" s="56"/>
      <c r="C2047" s="56"/>
      <c r="D2047" s="56"/>
      <c r="E2047" s="57"/>
      <c r="F2047" s="58"/>
      <c r="G2047" s="59"/>
      <c r="H2047" s="56"/>
      <c r="I2047" s="56"/>
      <c r="J2047" s="60" t="str">
        <f aca="false">IF(IsPro,IF($D2047="","",IFERROR(INDEX(Items!$D$5:$D$504,U2047),"")),"")</f>
        <v/>
      </c>
      <c r="K2047" s="61" t="str">
        <f aca="false">IF(IsPro,IF($D2047="","",IF($F2047="",IFERROR(INDEX(Items!$H$5:$H$504,U2047),0),$F2047)),"")</f>
        <v/>
      </c>
      <c r="L2047" s="61" t="str">
        <f aca="false">IF(IsPro,IF($D2047="","",ROUND(N($E2047)*K2047*(1-N($G2047)),2)),"")</f>
        <v/>
      </c>
      <c r="M2047" s="62" t="str">
        <f aca="false">IF(IsPro,IF($D2047="","",IFERROR(INDEX(Items!$F$5:$F$504,U2047),0)),"")</f>
        <v/>
      </c>
      <c r="N2047" s="61" t="str">
        <f aca="false">IF(IsPro,IF($D2047="","",IF(AND(V2047&lt;&gt;"",INDEX(Parties!$E$5:$E$304,V2047)&lt;&gt;"",INDEX(Parties!$E$5:$E$304,V2047)&lt;&gt;HomeState),0,ROUND(L2047*M2047/2,2))),"")</f>
        <v/>
      </c>
      <c r="O2047" s="61" t="str">
        <f aca="false">IF(IsPro,IF($D2047="","",N2047),"")</f>
        <v/>
      </c>
      <c r="P2047" s="61" t="str">
        <f aca="false">IF(IsPro,IF($D2047="","",IF(AND(V2047&lt;&gt;"",INDEX(Parties!$E$5:$E$304,V2047)&lt;&gt;"",INDEX(Parties!$E$5:$E$304,V2047)&lt;&gt;HomeState),ROUND(L2047*M2047,2),0)),"")</f>
        <v/>
      </c>
      <c r="Q2047" s="61" t="str">
        <f aca="false">IF(IsPro,IF($D2047="","",L2047+N2047+O2047+P2047),"")</f>
        <v/>
      </c>
      <c r="R2047" s="61" t="str">
        <f aca="false">IF(IsPro,IF($D2047="","",ROUND(N($E2047)*IFERROR(INDEX(Items!$P$5:$P$504,U2047),0),2)),"")</f>
        <v/>
      </c>
      <c r="S2047" s="61" t="str">
        <f aca="false">IF(IsPro,IF($D2047="","",L2047-R2047),"")</f>
        <v/>
      </c>
      <c r="T2047" s="60" t="str">
        <f aca="false">IF(IsPro,IF($D2047="","",IF(U2047="","UNKNOWN ITEM",IF(INDEX(Items!$O$5:$O$504,U2047)&lt;0,"NEG STOCK",IF(K2047&lt;INDEX(Items!$P$5:$P$504,U2047),"BELOW COST","OK")))),IF($D2047="","","PRO PLAN"))</f>
        <v/>
      </c>
      <c r="U2047" s="60" t="str">
        <f aca="false">IF(IsPro,IF($D2047="","",IFERROR(MATCH($D2047,Items!$A$5:$A$504,0),"")),"")</f>
        <v/>
      </c>
      <c r="V2047" s="60" t="str">
        <f aca="false">IF(IsPro,IF($C2047="","",IFERROR(MATCH($C2047,Parties!$A$5:$A$304,0),"")),"")</f>
        <v/>
      </c>
      <c r="W2047" s="60" t="str">
        <f aca="false">IF(IsPro,IF($B2047="","",IFERROR(VALUE(SUBSTITUTE($B2047,InvPrefix,"")),0)),"")</f>
        <v/>
      </c>
      <c r="X2047" s="61" t="str">
        <f aca="false">IF(IsPro,IF($D2047="","",IF(OR($H2047="",$H2047="Credit"),0,Q2047)),"")</f>
        <v/>
      </c>
    </row>
    <row r="2048" customFormat="false" ht="15" hidden="false" customHeight="false" outlineLevel="0" collapsed="false">
      <c r="A2048" s="55"/>
      <c r="B2048" s="56"/>
      <c r="C2048" s="56"/>
      <c r="D2048" s="56"/>
      <c r="E2048" s="57"/>
      <c r="F2048" s="58"/>
      <c r="G2048" s="59"/>
      <c r="H2048" s="56"/>
      <c r="I2048" s="56"/>
      <c r="J2048" s="60" t="str">
        <f aca="false">IF(IsPro,IF($D2048="","",IFERROR(INDEX(Items!$D$5:$D$504,U2048),"")),"")</f>
        <v/>
      </c>
      <c r="K2048" s="61" t="str">
        <f aca="false">IF(IsPro,IF($D2048="","",IF($F2048="",IFERROR(INDEX(Items!$H$5:$H$504,U2048),0),$F2048)),"")</f>
        <v/>
      </c>
      <c r="L2048" s="61" t="str">
        <f aca="false">IF(IsPro,IF($D2048="","",ROUND(N($E2048)*K2048*(1-N($G2048)),2)),"")</f>
        <v/>
      </c>
      <c r="M2048" s="62" t="str">
        <f aca="false">IF(IsPro,IF($D2048="","",IFERROR(INDEX(Items!$F$5:$F$504,U2048),0)),"")</f>
        <v/>
      </c>
      <c r="N2048" s="61" t="str">
        <f aca="false">IF(IsPro,IF($D2048="","",IF(AND(V2048&lt;&gt;"",INDEX(Parties!$E$5:$E$304,V2048)&lt;&gt;"",INDEX(Parties!$E$5:$E$304,V2048)&lt;&gt;HomeState),0,ROUND(L2048*M2048/2,2))),"")</f>
        <v/>
      </c>
      <c r="O2048" s="61" t="str">
        <f aca="false">IF(IsPro,IF($D2048="","",N2048),"")</f>
        <v/>
      </c>
      <c r="P2048" s="61" t="str">
        <f aca="false">IF(IsPro,IF($D2048="","",IF(AND(V2048&lt;&gt;"",INDEX(Parties!$E$5:$E$304,V2048)&lt;&gt;"",INDEX(Parties!$E$5:$E$304,V2048)&lt;&gt;HomeState),ROUND(L2048*M2048,2),0)),"")</f>
        <v/>
      </c>
      <c r="Q2048" s="61" t="str">
        <f aca="false">IF(IsPro,IF($D2048="","",L2048+N2048+O2048+P2048),"")</f>
        <v/>
      </c>
      <c r="R2048" s="61" t="str">
        <f aca="false">IF(IsPro,IF($D2048="","",ROUND(N($E2048)*IFERROR(INDEX(Items!$P$5:$P$504,U2048),0),2)),"")</f>
        <v/>
      </c>
      <c r="S2048" s="61" t="str">
        <f aca="false">IF(IsPro,IF($D2048="","",L2048-R2048),"")</f>
        <v/>
      </c>
      <c r="T2048" s="60" t="str">
        <f aca="false">IF(IsPro,IF($D2048="","",IF(U2048="","UNKNOWN ITEM",IF(INDEX(Items!$O$5:$O$504,U2048)&lt;0,"NEG STOCK",IF(K2048&lt;INDEX(Items!$P$5:$P$504,U2048),"BELOW COST","OK")))),IF($D2048="","","PRO PLAN"))</f>
        <v/>
      </c>
      <c r="U2048" s="60" t="str">
        <f aca="false">IF(IsPro,IF($D2048="","",IFERROR(MATCH($D2048,Items!$A$5:$A$504,0),"")),"")</f>
        <v/>
      </c>
      <c r="V2048" s="60" t="str">
        <f aca="false">IF(IsPro,IF($C2048="","",IFERROR(MATCH($C2048,Parties!$A$5:$A$304,0),"")),"")</f>
        <v/>
      </c>
      <c r="W2048" s="60" t="str">
        <f aca="false">IF(IsPro,IF($B2048="","",IFERROR(VALUE(SUBSTITUTE($B2048,InvPrefix,"")),0)),"")</f>
        <v/>
      </c>
      <c r="X2048" s="61" t="str">
        <f aca="false">IF(IsPro,IF($D2048="","",IF(OR($H2048="",$H2048="Credit"),0,Q2048)),"")</f>
        <v/>
      </c>
    </row>
    <row r="2049" customFormat="false" ht="15" hidden="false" customHeight="false" outlineLevel="0" collapsed="false">
      <c r="A2049" s="55"/>
      <c r="B2049" s="56"/>
      <c r="C2049" s="56"/>
      <c r="D2049" s="56"/>
      <c r="E2049" s="57"/>
      <c r="F2049" s="58"/>
      <c r="G2049" s="59"/>
      <c r="H2049" s="56"/>
      <c r="I2049" s="56"/>
      <c r="J2049" s="60" t="str">
        <f aca="false">IF(IsPro,IF($D2049="","",IFERROR(INDEX(Items!$D$5:$D$504,U2049),"")),"")</f>
        <v/>
      </c>
      <c r="K2049" s="61" t="str">
        <f aca="false">IF(IsPro,IF($D2049="","",IF($F2049="",IFERROR(INDEX(Items!$H$5:$H$504,U2049),0),$F2049)),"")</f>
        <v/>
      </c>
      <c r="L2049" s="61" t="str">
        <f aca="false">IF(IsPro,IF($D2049="","",ROUND(N($E2049)*K2049*(1-N($G2049)),2)),"")</f>
        <v/>
      </c>
      <c r="M2049" s="62" t="str">
        <f aca="false">IF(IsPro,IF($D2049="","",IFERROR(INDEX(Items!$F$5:$F$504,U2049),0)),"")</f>
        <v/>
      </c>
      <c r="N2049" s="61" t="str">
        <f aca="false">IF(IsPro,IF($D2049="","",IF(AND(V2049&lt;&gt;"",INDEX(Parties!$E$5:$E$304,V2049)&lt;&gt;"",INDEX(Parties!$E$5:$E$304,V2049)&lt;&gt;HomeState),0,ROUND(L2049*M2049/2,2))),"")</f>
        <v/>
      </c>
      <c r="O2049" s="61" t="str">
        <f aca="false">IF(IsPro,IF($D2049="","",N2049),"")</f>
        <v/>
      </c>
      <c r="P2049" s="61" t="str">
        <f aca="false">IF(IsPro,IF($D2049="","",IF(AND(V2049&lt;&gt;"",INDEX(Parties!$E$5:$E$304,V2049)&lt;&gt;"",INDEX(Parties!$E$5:$E$304,V2049)&lt;&gt;HomeState),ROUND(L2049*M2049,2),0)),"")</f>
        <v/>
      </c>
      <c r="Q2049" s="61" t="str">
        <f aca="false">IF(IsPro,IF($D2049="","",L2049+N2049+O2049+P2049),"")</f>
        <v/>
      </c>
      <c r="R2049" s="61" t="str">
        <f aca="false">IF(IsPro,IF($D2049="","",ROUND(N($E2049)*IFERROR(INDEX(Items!$P$5:$P$504,U2049),0),2)),"")</f>
        <v/>
      </c>
      <c r="S2049" s="61" t="str">
        <f aca="false">IF(IsPro,IF($D2049="","",L2049-R2049),"")</f>
        <v/>
      </c>
      <c r="T2049" s="60" t="str">
        <f aca="false">IF(IsPro,IF($D2049="","",IF(U2049="","UNKNOWN ITEM",IF(INDEX(Items!$O$5:$O$504,U2049)&lt;0,"NEG STOCK",IF(K2049&lt;INDEX(Items!$P$5:$P$504,U2049),"BELOW COST","OK")))),IF($D2049="","","PRO PLAN"))</f>
        <v/>
      </c>
      <c r="U2049" s="60" t="str">
        <f aca="false">IF(IsPro,IF($D2049="","",IFERROR(MATCH($D2049,Items!$A$5:$A$504,0),"")),"")</f>
        <v/>
      </c>
      <c r="V2049" s="60" t="str">
        <f aca="false">IF(IsPro,IF($C2049="","",IFERROR(MATCH($C2049,Parties!$A$5:$A$304,0),"")),"")</f>
        <v/>
      </c>
      <c r="W2049" s="60" t="str">
        <f aca="false">IF(IsPro,IF($B2049="","",IFERROR(VALUE(SUBSTITUTE($B2049,InvPrefix,"")),0)),"")</f>
        <v/>
      </c>
      <c r="X2049" s="61" t="str">
        <f aca="false">IF(IsPro,IF($D2049="","",IF(OR($H2049="",$H2049="Credit"),0,Q2049)),"")</f>
        <v/>
      </c>
    </row>
    <row r="2050" customFormat="false" ht="15" hidden="false" customHeight="false" outlineLevel="0" collapsed="false">
      <c r="A2050" s="55"/>
      <c r="B2050" s="56"/>
      <c r="C2050" s="56"/>
      <c r="D2050" s="56"/>
      <c r="E2050" s="57"/>
      <c r="F2050" s="58"/>
      <c r="G2050" s="59"/>
      <c r="H2050" s="56"/>
      <c r="I2050" s="56"/>
      <c r="J2050" s="60" t="str">
        <f aca="false">IF(IsPro,IF($D2050="","",IFERROR(INDEX(Items!$D$5:$D$504,U2050),"")),"")</f>
        <v/>
      </c>
      <c r="K2050" s="61" t="str">
        <f aca="false">IF(IsPro,IF($D2050="","",IF($F2050="",IFERROR(INDEX(Items!$H$5:$H$504,U2050),0),$F2050)),"")</f>
        <v/>
      </c>
      <c r="L2050" s="61" t="str">
        <f aca="false">IF(IsPro,IF($D2050="","",ROUND(N($E2050)*K2050*(1-N($G2050)),2)),"")</f>
        <v/>
      </c>
      <c r="M2050" s="62" t="str">
        <f aca="false">IF(IsPro,IF($D2050="","",IFERROR(INDEX(Items!$F$5:$F$504,U2050),0)),"")</f>
        <v/>
      </c>
      <c r="N2050" s="61" t="str">
        <f aca="false">IF(IsPro,IF($D2050="","",IF(AND(V2050&lt;&gt;"",INDEX(Parties!$E$5:$E$304,V2050)&lt;&gt;"",INDEX(Parties!$E$5:$E$304,V2050)&lt;&gt;HomeState),0,ROUND(L2050*M2050/2,2))),"")</f>
        <v/>
      </c>
      <c r="O2050" s="61" t="str">
        <f aca="false">IF(IsPro,IF($D2050="","",N2050),"")</f>
        <v/>
      </c>
      <c r="P2050" s="61" t="str">
        <f aca="false">IF(IsPro,IF($D2050="","",IF(AND(V2050&lt;&gt;"",INDEX(Parties!$E$5:$E$304,V2050)&lt;&gt;"",INDEX(Parties!$E$5:$E$304,V2050)&lt;&gt;HomeState),ROUND(L2050*M2050,2),0)),"")</f>
        <v/>
      </c>
      <c r="Q2050" s="61" t="str">
        <f aca="false">IF(IsPro,IF($D2050="","",L2050+N2050+O2050+P2050),"")</f>
        <v/>
      </c>
      <c r="R2050" s="61" t="str">
        <f aca="false">IF(IsPro,IF($D2050="","",ROUND(N($E2050)*IFERROR(INDEX(Items!$P$5:$P$504,U2050),0),2)),"")</f>
        <v/>
      </c>
      <c r="S2050" s="61" t="str">
        <f aca="false">IF(IsPro,IF($D2050="","",L2050-R2050),"")</f>
        <v/>
      </c>
      <c r="T2050" s="60" t="str">
        <f aca="false">IF(IsPro,IF($D2050="","",IF(U2050="","UNKNOWN ITEM",IF(INDEX(Items!$O$5:$O$504,U2050)&lt;0,"NEG STOCK",IF(K2050&lt;INDEX(Items!$P$5:$P$504,U2050),"BELOW COST","OK")))),IF($D2050="","","PRO PLAN"))</f>
        <v/>
      </c>
      <c r="U2050" s="60" t="str">
        <f aca="false">IF(IsPro,IF($D2050="","",IFERROR(MATCH($D2050,Items!$A$5:$A$504,0),"")),"")</f>
        <v/>
      </c>
      <c r="V2050" s="60" t="str">
        <f aca="false">IF(IsPro,IF($C2050="","",IFERROR(MATCH($C2050,Parties!$A$5:$A$304,0),"")),"")</f>
        <v/>
      </c>
      <c r="W2050" s="60" t="str">
        <f aca="false">IF(IsPro,IF($B2050="","",IFERROR(VALUE(SUBSTITUTE($B2050,InvPrefix,"")),0)),"")</f>
        <v/>
      </c>
      <c r="X2050" s="61" t="str">
        <f aca="false">IF(IsPro,IF($D2050="","",IF(OR($H2050="",$H2050="Credit"),0,Q2050)),"")</f>
        <v/>
      </c>
    </row>
    <row r="2051" customFormat="false" ht="15" hidden="false" customHeight="false" outlineLevel="0" collapsed="false">
      <c r="A2051" s="55"/>
      <c r="B2051" s="56"/>
      <c r="C2051" s="56"/>
      <c r="D2051" s="56"/>
      <c r="E2051" s="57"/>
      <c r="F2051" s="58"/>
      <c r="G2051" s="59"/>
      <c r="H2051" s="56"/>
      <c r="I2051" s="56"/>
      <c r="J2051" s="60" t="str">
        <f aca="false">IF(IsPro,IF($D2051="","",IFERROR(INDEX(Items!$D$5:$D$504,U2051),"")),"")</f>
        <v/>
      </c>
      <c r="K2051" s="61" t="str">
        <f aca="false">IF(IsPro,IF($D2051="","",IF($F2051="",IFERROR(INDEX(Items!$H$5:$H$504,U2051),0),$F2051)),"")</f>
        <v/>
      </c>
      <c r="L2051" s="61" t="str">
        <f aca="false">IF(IsPro,IF($D2051="","",ROUND(N($E2051)*K2051*(1-N($G2051)),2)),"")</f>
        <v/>
      </c>
      <c r="M2051" s="62" t="str">
        <f aca="false">IF(IsPro,IF($D2051="","",IFERROR(INDEX(Items!$F$5:$F$504,U2051),0)),"")</f>
        <v/>
      </c>
      <c r="N2051" s="61" t="str">
        <f aca="false">IF(IsPro,IF($D2051="","",IF(AND(V2051&lt;&gt;"",INDEX(Parties!$E$5:$E$304,V2051)&lt;&gt;"",INDEX(Parties!$E$5:$E$304,V2051)&lt;&gt;HomeState),0,ROUND(L2051*M2051/2,2))),"")</f>
        <v/>
      </c>
      <c r="O2051" s="61" t="str">
        <f aca="false">IF(IsPro,IF($D2051="","",N2051),"")</f>
        <v/>
      </c>
      <c r="P2051" s="61" t="str">
        <f aca="false">IF(IsPro,IF($D2051="","",IF(AND(V2051&lt;&gt;"",INDEX(Parties!$E$5:$E$304,V2051)&lt;&gt;"",INDEX(Parties!$E$5:$E$304,V2051)&lt;&gt;HomeState),ROUND(L2051*M2051,2),0)),"")</f>
        <v/>
      </c>
      <c r="Q2051" s="61" t="str">
        <f aca="false">IF(IsPro,IF($D2051="","",L2051+N2051+O2051+P2051),"")</f>
        <v/>
      </c>
      <c r="R2051" s="61" t="str">
        <f aca="false">IF(IsPro,IF($D2051="","",ROUND(N($E2051)*IFERROR(INDEX(Items!$P$5:$P$504,U2051),0),2)),"")</f>
        <v/>
      </c>
      <c r="S2051" s="61" t="str">
        <f aca="false">IF(IsPro,IF($D2051="","",L2051-R2051),"")</f>
        <v/>
      </c>
      <c r="T2051" s="60" t="str">
        <f aca="false">IF(IsPro,IF($D2051="","",IF(U2051="","UNKNOWN ITEM",IF(INDEX(Items!$O$5:$O$504,U2051)&lt;0,"NEG STOCK",IF(K2051&lt;INDEX(Items!$P$5:$P$504,U2051),"BELOW COST","OK")))),IF($D2051="","","PRO PLAN"))</f>
        <v/>
      </c>
      <c r="U2051" s="60" t="str">
        <f aca="false">IF(IsPro,IF($D2051="","",IFERROR(MATCH($D2051,Items!$A$5:$A$504,0),"")),"")</f>
        <v/>
      </c>
      <c r="V2051" s="60" t="str">
        <f aca="false">IF(IsPro,IF($C2051="","",IFERROR(MATCH($C2051,Parties!$A$5:$A$304,0),"")),"")</f>
        <v/>
      </c>
      <c r="W2051" s="60" t="str">
        <f aca="false">IF(IsPro,IF($B2051="","",IFERROR(VALUE(SUBSTITUTE($B2051,InvPrefix,"")),0)),"")</f>
        <v/>
      </c>
      <c r="X2051" s="61" t="str">
        <f aca="false">IF(IsPro,IF($D2051="","",IF(OR($H2051="",$H2051="Credit"),0,Q2051)),"")</f>
        <v/>
      </c>
    </row>
    <row r="2052" customFormat="false" ht="15" hidden="false" customHeight="false" outlineLevel="0" collapsed="false">
      <c r="A2052" s="55"/>
      <c r="B2052" s="56"/>
      <c r="C2052" s="56"/>
      <c r="D2052" s="56"/>
      <c r="E2052" s="57"/>
      <c r="F2052" s="58"/>
      <c r="G2052" s="59"/>
      <c r="H2052" s="56"/>
      <c r="I2052" s="56"/>
      <c r="J2052" s="60" t="str">
        <f aca="false">IF(IsPro,IF($D2052="","",IFERROR(INDEX(Items!$D$5:$D$504,U2052),"")),"")</f>
        <v/>
      </c>
      <c r="K2052" s="61" t="str">
        <f aca="false">IF(IsPro,IF($D2052="","",IF($F2052="",IFERROR(INDEX(Items!$H$5:$H$504,U2052),0),$F2052)),"")</f>
        <v/>
      </c>
      <c r="L2052" s="61" t="str">
        <f aca="false">IF(IsPro,IF($D2052="","",ROUND(N($E2052)*K2052*(1-N($G2052)),2)),"")</f>
        <v/>
      </c>
      <c r="M2052" s="62" t="str">
        <f aca="false">IF(IsPro,IF($D2052="","",IFERROR(INDEX(Items!$F$5:$F$504,U2052),0)),"")</f>
        <v/>
      </c>
      <c r="N2052" s="61" t="str">
        <f aca="false">IF(IsPro,IF($D2052="","",IF(AND(V2052&lt;&gt;"",INDEX(Parties!$E$5:$E$304,V2052)&lt;&gt;"",INDEX(Parties!$E$5:$E$304,V2052)&lt;&gt;HomeState),0,ROUND(L2052*M2052/2,2))),"")</f>
        <v/>
      </c>
      <c r="O2052" s="61" t="str">
        <f aca="false">IF(IsPro,IF($D2052="","",N2052),"")</f>
        <v/>
      </c>
      <c r="P2052" s="61" t="str">
        <f aca="false">IF(IsPro,IF($D2052="","",IF(AND(V2052&lt;&gt;"",INDEX(Parties!$E$5:$E$304,V2052)&lt;&gt;"",INDEX(Parties!$E$5:$E$304,V2052)&lt;&gt;HomeState),ROUND(L2052*M2052,2),0)),"")</f>
        <v/>
      </c>
      <c r="Q2052" s="61" t="str">
        <f aca="false">IF(IsPro,IF($D2052="","",L2052+N2052+O2052+P2052),"")</f>
        <v/>
      </c>
      <c r="R2052" s="61" t="str">
        <f aca="false">IF(IsPro,IF($D2052="","",ROUND(N($E2052)*IFERROR(INDEX(Items!$P$5:$P$504,U2052),0),2)),"")</f>
        <v/>
      </c>
      <c r="S2052" s="61" t="str">
        <f aca="false">IF(IsPro,IF($D2052="","",L2052-R2052),"")</f>
        <v/>
      </c>
      <c r="T2052" s="60" t="str">
        <f aca="false">IF(IsPro,IF($D2052="","",IF(U2052="","UNKNOWN ITEM",IF(INDEX(Items!$O$5:$O$504,U2052)&lt;0,"NEG STOCK",IF(K2052&lt;INDEX(Items!$P$5:$P$504,U2052),"BELOW COST","OK")))),IF($D2052="","","PRO PLAN"))</f>
        <v/>
      </c>
      <c r="U2052" s="60" t="str">
        <f aca="false">IF(IsPro,IF($D2052="","",IFERROR(MATCH($D2052,Items!$A$5:$A$504,0),"")),"")</f>
        <v/>
      </c>
      <c r="V2052" s="60" t="str">
        <f aca="false">IF(IsPro,IF($C2052="","",IFERROR(MATCH($C2052,Parties!$A$5:$A$304,0),"")),"")</f>
        <v/>
      </c>
      <c r="W2052" s="60" t="str">
        <f aca="false">IF(IsPro,IF($B2052="","",IFERROR(VALUE(SUBSTITUTE($B2052,InvPrefix,"")),0)),"")</f>
        <v/>
      </c>
      <c r="X2052" s="61" t="str">
        <f aca="false">IF(IsPro,IF($D2052="","",IF(OR($H2052="",$H2052="Credit"),0,Q2052)),"")</f>
        <v/>
      </c>
    </row>
    <row r="2053" customFormat="false" ht="15" hidden="false" customHeight="false" outlineLevel="0" collapsed="false">
      <c r="A2053" s="55"/>
      <c r="B2053" s="56"/>
      <c r="C2053" s="56"/>
      <c r="D2053" s="56"/>
      <c r="E2053" s="57"/>
      <c r="F2053" s="58"/>
      <c r="G2053" s="59"/>
      <c r="H2053" s="56"/>
      <c r="I2053" s="56"/>
      <c r="J2053" s="60" t="str">
        <f aca="false">IF(IsPro,IF($D2053="","",IFERROR(INDEX(Items!$D$5:$D$504,U2053),"")),"")</f>
        <v/>
      </c>
      <c r="K2053" s="61" t="str">
        <f aca="false">IF(IsPro,IF($D2053="","",IF($F2053="",IFERROR(INDEX(Items!$H$5:$H$504,U2053),0),$F2053)),"")</f>
        <v/>
      </c>
      <c r="L2053" s="61" t="str">
        <f aca="false">IF(IsPro,IF($D2053="","",ROUND(N($E2053)*K2053*(1-N($G2053)),2)),"")</f>
        <v/>
      </c>
      <c r="M2053" s="62" t="str">
        <f aca="false">IF(IsPro,IF($D2053="","",IFERROR(INDEX(Items!$F$5:$F$504,U2053),0)),"")</f>
        <v/>
      </c>
      <c r="N2053" s="61" t="str">
        <f aca="false">IF(IsPro,IF($D2053="","",IF(AND(V2053&lt;&gt;"",INDEX(Parties!$E$5:$E$304,V2053)&lt;&gt;"",INDEX(Parties!$E$5:$E$304,V2053)&lt;&gt;HomeState),0,ROUND(L2053*M2053/2,2))),"")</f>
        <v/>
      </c>
      <c r="O2053" s="61" t="str">
        <f aca="false">IF(IsPro,IF($D2053="","",N2053),"")</f>
        <v/>
      </c>
      <c r="P2053" s="61" t="str">
        <f aca="false">IF(IsPro,IF($D2053="","",IF(AND(V2053&lt;&gt;"",INDEX(Parties!$E$5:$E$304,V2053)&lt;&gt;"",INDEX(Parties!$E$5:$E$304,V2053)&lt;&gt;HomeState),ROUND(L2053*M2053,2),0)),"")</f>
        <v/>
      </c>
      <c r="Q2053" s="61" t="str">
        <f aca="false">IF(IsPro,IF($D2053="","",L2053+N2053+O2053+P2053),"")</f>
        <v/>
      </c>
      <c r="R2053" s="61" t="str">
        <f aca="false">IF(IsPro,IF($D2053="","",ROUND(N($E2053)*IFERROR(INDEX(Items!$P$5:$P$504,U2053),0),2)),"")</f>
        <v/>
      </c>
      <c r="S2053" s="61" t="str">
        <f aca="false">IF(IsPro,IF($D2053="","",L2053-R2053),"")</f>
        <v/>
      </c>
      <c r="T2053" s="60" t="str">
        <f aca="false">IF(IsPro,IF($D2053="","",IF(U2053="","UNKNOWN ITEM",IF(INDEX(Items!$O$5:$O$504,U2053)&lt;0,"NEG STOCK",IF(K2053&lt;INDEX(Items!$P$5:$P$504,U2053),"BELOW COST","OK")))),IF($D2053="","","PRO PLAN"))</f>
        <v/>
      </c>
      <c r="U2053" s="60" t="str">
        <f aca="false">IF(IsPro,IF($D2053="","",IFERROR(MATCH($D2053,Items!$A$5:$A$504,0),"")),"")</f>
        <v/>
      </c>
      <c r="V2053" s="60" t="str">
        <f aca="false">IF(IsPro,IF($C2053="","",IFERROR(MATCH($C2053,Parties!$A$5:$A$304,0),"")),"")</f>
        <v/>
      </c>
      <c r="W2053" s="60" t="str">
        <f aca="false">IF(IsPro,IF($B2053="","",IFERROR(VALUE(SUBSTITUTE($B2053,InvPrefix,"")),0)),"")</f>
        <v/>
      </c>
      <c r="X2053" s="61" t="str">
        <f aca="false">IF(IsPro,IF($D2053="","",IF(OR($H2053="",$H2053="Credit"),0,Q2053)),"")</f>
        <v/>
      </c>
    </row>
    <row r="2054" customFormat="false" ht="15" hidden="false" customHeight="false" outlineLevel="0" collapsed="false">
      <c r="A2054" s="55"/>
      <c r="B2054" s="56"/>
      <c r="C2054" s="56"/>
      <c r="D2054" s="56"/>
      <c r="E2054" s="57"/>
      <c r="F2054" s="58"/>
      <c r="G2054" s="59"/>
      <c r="H2054" s="56"/>
      <c r="I2054" s="56"/>
      <c r="J2054" s="60" t="str">
        <f aca="false">IF(IsPro,IF($D2054="","",IFERROR(INDEX(Items!$D$5:$D$504,U2054),"")),"")</f>
        <v/>
      </c>
      <c r="K2054" s="61" t="str">
        <f aca="false">IF(IsPro,IF($D2054="","",IF($F2054="",IFERROR(INDEX(Items!$H$5:$H$504,U2054),0),$F2054)),"")</f>
        <v/>
      </c>
      <c r="L2054" s="61" t="str">
        <f aca="false">IF(IsPro,IF($D2054="","",ROUND(N($E2054)*K2054*(1-N($G2054)),2)),"")</f>
        <v/>
      </c>
      <c r="M2054" s="62" t="str">
        <f aca="false">IF(IsPro,IF($D2054="","",IFERROR(INDEX(Items!$F$5:$F$504,U2054),0)),"")</f>
        <v/>
      </c>
      <c r="N2054" s="61" t="str">
        <f aca="false">IF(IsPro,IF($D2054="","",IF(AND(V2054&lt;&gt;"",INDEX(Parties!$E$5:$E$304,V2054)&lt;&gt;"",INDEX(Parties!$E$5:$E$304,V2054)&lt;&gt;HomeState),0,ROUND(L2054*M2054/2,2))),"")</f>
        <v/>
      </c>
      <c r="O2054" s="61" t="str">
        <f aca="false">IF(IsPro,IF($D2054="","",N2054),"")</f>
        <v/>
      </c>
      <c r="P2054" s="61" t="str">
        <f aca="false">IF(IsPro,IF($D2054="","",IF(AND(V2054&lt;&gt;"",INDEX(Parties!$E$5:$E$304,V2054)&lt;&gt;"",INDEX(Parties!$E$5:$E$304,V2054)&lt;&gt;HomeState),ROUND(L2054*M2054,2),0)),"")</f>
        <v/>
      </c>
      <c r="Q2054" s="61" t="str">
        <f aca="false">IF(IsPro,IF($D2054="","",L2054+N2054+O2054+P2054),"")</f>
        <v/>
      </c>
      <c r="R2054" s="61" t="str">
        <f aca="false">IF(IsPro,IF($D2054="","",ROUND(N($E2054)*IFERROR(INDEX(Items!$P$5:$P$504,U2054),0),2)),"")</f>
        <v/>
      </c>
      <c r="S2054" s="61" t="str">
        <f aca="false">IF(IsPro,IF($D2054="","",L2054-R2054),"")</f>
        <v/>
      </c>
      <c r="T2054" s="60" t="str">
        <f aca="false">IF(IsPro,IF($D2054="","",IF(U2054="","UNKNOWN ITEM",IF(INDEX(Items!$O$5:$O$504,U2054)&lt;0,"NEG STOCK",IF(K2054&lt;INDEX(Items!$P$5:$P$504,U2054),"BELOW COST","OK")))),IF($D2054="","","PRO PLAN"))</f>
        <v/>
      </c>
      <c r="U2054" s="60" t="str">
        <f aca="false">IF(IsPro,IF($D2054="","",IFERROR(MATCH($D2054,Items!$A$5:$A$504,0),"")),"")</f>
        <v/>
      </c>
      <c r="V2054" s="60" t="str">
        <f aca="false">IF(IsPro,IF($C2054="","",IFERROR(MATCH($C2054,Parties!$A$5:$A$304,0),"")),"")</f>
        <v/>
      </c>
      <c r="W2054" s="60" t="str">
        <f aca="false">IF(IsPro,IF($B2054="","",IFERROR(VALUE(SUBSTITUTE($B2054,InvPrefix,"")),0)),"")</f>
        <v/>
      </c>
      <c r="X2054" s="61" t="str">
        <f aca="false">IF(IsPro,IF($D2054="","",IF(OR($H2054="",$H2054="Credit"),0,Q2054)),"")</f>
        <v/>
      </c>
    </row>
    <row r="2055" customFormat="false" ht="15" hidden="false" customHeight="false" outlineLevel="0" collapsed="false">
      <c r="A2055" s="55"/>
      <c r="B2055" s="56"/>
      <c r="C2055" s="56"/>
      <c r="D2055" s="56"/>
      <c r="E2055" s="57"/>
      <c r="F2055" s="58"/>
      <c r="G2055" s="59"/>
      <c r="H2055" s="56"/>
      <c r="I2055" s="56"/>
      <c r="J2055" s="60" t="str">
        <f aca="false">IF(IsPro,IF($D2055="","",IFERROR(INDEX(Items!$D$5:$D$504,U2055),"")),"")</f>
        <v/>
      </c>
      <c r="K2055" s="61" t="str">
        <f aca="false">IF(IsPro,IF($D2055="","",IF($F2055="",IFERROR(INDEX(Items!$H$5:$H$504,U2055),0),$F2055)),"")</f>
        <v/>
      </c>
      <c r="L2055" s="61" t="str">
        <f aca="false">IF(IsPro,IF($D2055="","",ROUND(N($E2055)*K2055*(1-N($G2055)),2)),"")</f>
        <v/>
      </c>
      <c r="M2055" s="62" t="str">
        <f aca="false">IF(IsPro,IF($D2055="","",IFERROR(INDEX(Items!$F$5:$F$504,U2055),0)),"")</f>
        <v/>
      </c>
      <c r="N2055" s="61" t="str">
        <f aca="false">IF(IsPro,IF($D2055="","",IF(AND(V2055&lt;&gt;"",INDEX(Parties!$E$5:$E$304,V2055)&lt;&gt;"",INDEX(Parties!$E$5:$E$304,V2055)&lt;&gt;HomeState),0,ROUND(L2055*M2055/2,2))),"")</f>
        <v/>
      </c>
      <c r="O2055" s="61" t="str">
        <f aca="false">IF(IsPro,IF($D2055="","",N2055),"")</f>
        <v/>
      </c>
      <c r="P2055" s="61" t="str">
        <f aca="false">IF(IsPro,IF($D2055="","",IF(AND(V2055&lt;&gt;"",INDEX(Parties!$E$5:$E$304,V2055)&lt;&gt;"",INDEX(Parties!$E$5:$E$304,V2055)&lt;&gt;HomeState),ROUND(L2055*M2055,2),0)),"")</f>
        <v/>
      </c>
      <c r="Q2055" s="61" t="str">
        <f aca="false">IF(IsPro,IF($D2055="","",L2055+N2055+O2055+P2055),"")</f>
        <v/>
      </c>
      <c r="R2055" s="61" t="str">
        <f aca="false">IF(IsPro,IF($D2055="","",ROUND(N($E2055)*IFERROR(INDEX(Items!$P$5:$P$504,U2055),0),2)),"")</f>
        <v/>
      </c>
      <c r="S2055" s="61" t="str">
        <f aca="false">IF(IsPro,IF($D2055="","",L2055-R2055),"")</f>
        <v/>
      </c>
      <c r="T2055" s="60" t="str">
        <f aca="false">IF(IsPro,IF($D2055="","",IF(U2055="","UNKNOWN ITEM",IF(INDEX(Items!$O$5:$O$504,U2055)&lt;0,"NEG STOCK",IF(K2055&lt;INDEX(Items!$P$5:$P$504,U2055),"BELOW COST","OK")))),IF($D2055="","","PRO PLAN"))</f>
        <v/>
      </c>
      <c r="U2055" s="60" t="str">
        <f aca="false">IF(IsPro,IF($D2055="","",IFERROR(MATCH($D2055,Items!$A$5:$A$504,0),"")),"")</f>
        <v/>
      </c>
      <c r="V2055" s="60" t="str">
        <f aca="false">IF(IsPro,IF($C2055="","",IFERROR(MATCH($C2055,Parties!$A$5:$A$304,0),"")),"")</f>
        <v/>
      </c>
      <c r="W2055" s="60" t="str">
        <f aca="false">IF(IsPro,IF($B2055="","",IFERROR(VALUE(SUBSTITUTE($B2055,InvPrefix,"")),0)),"")</f>
        <v/>
      </c>
      <c r="X2055" s="61" t="str">
        <f aca="false">IF(IsPro,IF($D2055="","",IF(OR($H2055="",$H2055="Credit"),0,Q2055)),"")</f>
        <v/>
      </c>
    </row>
    <row r="2056" customFormat="false" ht="15" hidden="false" customHeight="false" outlineLevel="0" collapsed="false">
      <c r="A2056" s="55"/>
      <c r="B2056" s="56"/>
      <c r="C2056" s="56"/>
      <c r="D2056" s="56"/>
      <c r="E2056" s="57"/>
      <c r="F2056" s="58"/>
      <c r="G2056" s="59"/>
      <c r="H2056" s="56"/>
      <c r="I2056" s="56"/>
      <c r="J2056" s="60" t="str">
        <f aca="false">IF(IsPro,IF($D2056="","",IFERROR(INDEX(Items!$D$5:$D$504,U2056),"")),"")</f>
        <v/>
      </c>
      <c r="K2056" s="61" t="str">
        <f aca="false">IF(IsPro,IF($D2056="","",IF($F2056="",IFERROR(INDEX(Items!$H$5:$H$504,U2056),0),$F2056)),"")</f>
        <v/>
      </c>
      <c r="L2056" s="61" t="str">
        <f aca="false">IF(IsPro,IF($D2056="","",ROUND(N($E2056)*K2056*(1-N($G2056)),2)),"")</f>
        <v/>
      </c>
      <c r="M2056" s="62" t="str">
        <f aca="false">IF(IsPro,IF($D2056="","",IFERROR(INDEX(Items!$F$5:$F$504,U2056),0)),"")</f>
        <v/>
      </c>
      <c r="N2056" s="61" t="str">
        <f aca="false">IF(IsPro,IF($D2056="","",IF(AND(V2056&lt;&gt;"",INDEX(Parties!$E$5:$E$304,V2056)&lt;&gt;"",INDEX(Parties!$E$5:$E$304,V2056)&lt;&gt;HomeState),0,ROUND(L2056*M2056/2,2))),"")</f>
        <v/>
      </c>
      <c r="O2056" s="61" t="str">
        <f aca="false">IF(IsPro,IF($D2056="","",N2056),"")</f>
        <v/>
      </c>
      <c r="P2056" s="61" t="str">
        <f aca="false">IF(IsPro,IF($D2056="","",IF(AND(V2056&lt;&gt;"",INDEX(Parties!$E$5:$E$304,V2056)&lt;&gt;"",INDEX(Parties!$E$5:$E$304,V2056)&lt;&gt;HomeState),ROUND(L2056*M2056,2),0)),"")</f>
        <v/>
      </c>
      <c r="Q2056" s="61" t="str">
        <f aca="false">IF(IsPro,IF($D2056="","",L2056+N2056+O2056+P2056),"")</f>
        <v/>
      </c>
      <c r="R2056" s="61" t="str">
        <f aca="false">IF(IsPro,IF($D2056="","",ROUND(N($E2056)*IFERROR(INDEX(Items!$P$5:$P$504,U2056),0),2)),"")</f>
        <v/>
      </c>
      <c r="S2056" s="61" t="str">
        <f aca="false">IF(IsPro,IF($D2056="","",L2056-R2056),"")</f>
        <v/>
      </c>
      <c r="T2056" s="60" t="str">
        <f aca="false">IF(IsPro,IF($D2056="","",IF(U2056="","UNKNOWN ITEM",IF(INDEX(Items!$O$5:$O$504,U2056)&lt;0,"NEG STOCK",IF(K2056&lt;INDEX(Items!$P$5:$P$504,U2056),"BELOW COST","OK")))),IF($D2056="","","PRO PLAN"))</f>
        <v/>
      </c>
      <c r="U2056" s="60" t="str">
        <f aca="false">IF(IsPro,IF($D2056="","",IFERROR(MATCH($D2056,Items!$A$5:$A$504,0),"")),"")</f>
        <v/>
      </c>
      <c r="V2056" s="60" t="str">
        <f aca="false">IF(IsPro,IF($C2056="","",IFERROR(MATCH($C2056,Parties!$A$5:$A$304,0),"")),"")</f>
        <v/>
      </c>
      <c r="W2056" s="60" t="str">
        <f aca="false">IF(IsPro,IF($B2056="","",IFERROR(VALUE(SUBSTITUTE($B2056,InvPrefix,"")),0)),"")</f>
        <v/>
      </c>
      <c r="X2056" s="61" t="str">
        <f aca="false">IF(IsPro,IF($D2056="","",IF(OR($H2056="",$H2056="Credit"),0,Q2056)),"")</f>
        <v/>
      </c>
    </row>
    <row r="2057" customFormat="false" ht="15" hidden="false" customHeight="false" outlineLevel="0" collapsed="false">
      <c r="A2057" s="55"/>
      <c r="B2057" s="56"/>
      <c r="C2057" s="56"/>
      <c r="D2057" s="56"/>
      <c r="E2057" s="57"/>
      <c r="F2057" s="58"/>
      <c r="G2057" s="59"/>
      <c r="H2057" s="56"/>
      <c r="I2057" s="56"/>
      <c r="J2057" s="60" t="str">
        <f aca="false">IF(IsPro,IF($D2057="","",IFERROR(INDEX(Items!$D$5:$D$504,U2057),"")),"")</f>
        <v/>
      </c>
      <c r="K2057" s="61" t="str">
        <f aca="false">IF(IsPro,IF($D2057="","",IF($F2057="",IFERROR(INDEX(Items!$H$5:$H$504,U2057),0),$F2057)),"")</f>
        <v/>
      </c>
      <c r="L2057" s="61" t="str">
        <f aca="false">IF(IsPro,IF($D2057="","",ROUND(N($E2057)*K2057*(1-N($G2057)),2)),"")</f>
        <v/>
      </c>
      <c r="M2057" s="62" t="str">
        <f aca="false">IF(IsPro,IF($D2057="","",IFERROR(INDEX(Items!$F$5:$F$504,U2057),0)),"")</f>
        <v/>
      </c>
      <c r="N2057" s="61" t="str">
        <f aca="false">IF(IsPro,IF($D2057="","",IF(AND(V2057&lt;&gt;"",INDEX(Parties!$E$5:$E$304,V2057)&lt;&gt;"",INDEX(Parties!$E$5:$E$304,V2057)&lt;&gt;HomeState),0,ROUND(L2057*M2057/2,2))),"")</f>
        <v/>
      </c>
      <c r="O2057" s="61" t="str">
        <f aca="false">IF(IsPro,IF($D2057="","",N2057),"")</f>
        <v/>
      </c>
      <c r="P2057" s="61" t="str">
        <f aca="false">IF(IsPro,IF($D2057="","",IF(AND(V2057&lt;&gt;"",INDEX(Parties!$E$5:$E$304,V2057)&lt;&gt;"",INDEX(Parties!$E$5:$E$304,V2057)&lt;&gt;HomeState),ROUND(L2057*M2057,2),0)),"")</f>
        <v/>
      </c>
      <c r="Q2057" s="61" t="str">
        <f aca="false">IF(IsPro,IF($D2057="","",L2057+N2057+O2057+P2057),"")</f>
        <v/>
      </c>
      <c r="R2057" s="61" t="str">
        <f aca="false">IF(IsPro,IF($D2057="","",ROUND(N($E2057)*IFERROR(INDEX(Items!$P$5:$P$504,U2057),0),2)),"")</f>
        <v/>
      </c>
      <c r="S2057" s="61" t="str">
        <f aca="false">IF(IsPro,IF($D2057="","",L2057-R2057),"")</f>
        <v/>
      </c>
      <c r="T2057" s="60" t="str">
        <f aca="false">IF(IsPro,IF($D2057="","",IF(U2057="","UNKNOWN ITEM",IF(INDEX(Items!$O$5:$O$504,U2057)&lt;0,"NEG STOCK",IF(K2057&lt;INDEX(Items!$P$5:$P$504,U2057),"BELOW COST","OK")))),IF($D2057="","","PRO PLAN"))</f>
        <v/>
      </c>
      <c r="U2057" s="60" t="str">
        <f aca="false">IF(IsPro,IF($D2057="","",IFERROR(MATCH($D2057,Items!$A$5:$A$504,0),"")),"")</f>
        <v/>
      </c>
      <c r="V2057" s="60" t="str">
        <f aca="false">IF(IsPro,IF($C2057="","",IFERROR(MATCH($C2057,Parties!$A$5:$A$304,0),"")),"")</f>
        <v/>
      </c>
      <c r="W2057" s="60" t="str">
        <f aca="false">IF(IsPro,IF($B2057="","",IFERROR(VALUE(SUBSTITUTE($B2057,InvPrefix,"")),0)),"")</f>
        <v/>
      </c>
      <c r="X2057" s="61" t="str">
        <f aca="false">IF(IsPro,IF($D2057="","",IF(OR($H2057="",$H2057="Credit"),0,Q2057)),"")</f>
        <v/>
      </c>
    </row>
    <row r="2058" customFormat="false" ht="15" hidden="false" customHeight="false" outlineLevel="0" collapsed="false">
      <c r="A2058" s="55"/>
      <c r="B2058" s="56"/>
      <c r="C2058" s="56"/>
      <c r="D2058" s="56"/>
      <c r="E2058" s="57"/>
      <c r="F2058" s="58"/>
      <c r="G2058" s="59"/>
      <c r="H2058" s="56"/>
      <c r="I2058" s="56"/>
      <c r="J2058" s="60" t="str">
        <f aca="false">IF(IsPro,IF($D2058="","",IFERROR(INDEX(Items!$D$5:$D$504,U2058),"")),"")</f>
        <v/>
      </c>
      <c r="K2058" s="61" t="str">
        <f aca="false">IF(IsPro,IF($D2058="","",IF($F2058="",IFERROR(INDEX(Items!$H$5:$H$504,U2058),0),$F2058)),"")</f>
        <v/>
      </c>
      <c r="L2058" s="61" t="str">
        <f aca="false">IF(IsPro,IF($D2058="","",ROUND(N($E2058)*K2058*(1-N($G2058)),2)),"")</f>
        <v/>
      </c>
      <c r="M2058" s="62" t="str">
        <f aca="false">IF(IsPro,IF($D2058="","",IFERROR(INDEX(Items!$F$5:$F$504,U2058),0)),"")</f>
        <v/>
      </c>
      <c r="N2058" s="61" t="str">
        <f aca="false">IF(IsPro,IF($D2058="","",IF(AND(V2058&lt;&gt;"",INDEX(Parties!$E$5:$E$304,V2058)&lt;&gt;"",INDEX(Parties!$E$5:$E$304,V2058)&lt;&gt;HomeState),0,ROUND(L2058*M2058/2,2))),"")</f>
        <v/>
      </c>
      <c r="O2058" s="61" t="str">
        <f aca="false">IF(IsPro,IF($D2058="","",N2058),"")</f>
        <v/>
      </c>
      <c r="P2058" s="61" t="str">
        <f aca="false">IF(IsPro,IF($D2058="","",IF(AND(V2058&lt;&gt;"",INDEX(Parties!$E$5:$E$304,V2058)&lt;&gt;"",INDEX(Parties!$E$5:$E$304,V2058)&lt;&gt;HomeState),ROUND(L2058*M2058,2),0)),"")</f>
        <v/>
      </c>
      <c r="Q2058" s="61" t="str">
        <f aca="false">IF(IsPro,IF($D2058="","",L2058+N2058+O2058+P2058),"")</f>
        <v/>
      </c>
      <c r="R2058" s="61" t="str">
        <f aca="false">IF(IsPro,IF($D2058="","",ROUND(N($E2058)*IFERROR(INDEX(Items!$P$5:$P$504,U2058),0),2)),"")</f>
        <v/>
      </c>
      <c r="S2058" s="61" t="str">
        <f aca="false">IF(IsPro,IF($D2058="","",L2058-R2058),"")</f>
        <v/>
      </c>
      <c r="T2058" s="60" t="str">
        <f aca="false">IF(IsPro,IF($D2058="","",IF(U2058="","UNKNOWN ITEM",IF(INDEX(Items!$O$5:$O$504,U2058)&lt;0,"NEG STOCK",IF(K2058&lt;INDEX(Items!$P$5:$P$504,U2058),"BELOW COST","OK")))),IF($D2058="","","PRO PLAN"))</f>
        <v/>
      </c>
      <c r="U2058" s="60" t="str">
        <f aca="false">IF(IsPro,IF($D2058="","",IFERROR(MATCH($D2058,Items!$A$5:$A$504,0),"")),"")</f>
        <v/>
      </c>
      <c r="V2058" s="60" t="str">
        <f aca="false">IF(IsPro,IF($C2058="","",IFERROR(MATCH($C2058,Parties!$A$5:$A$304,0),"")),"")</f>
        <v/>
      </c>
      <c r="W2058" s="60" t="str">
        <f aca="false">IF(IsPro,IF($B2058="","",IFERROR(VALUE(SUBSTITUTE($B2058,InvPrefix,"")),0)),"")</f>
        <v/>
      </c>
      <c r="X2058" s="61" t="str">
        <f aca="false">IF(IsPro,IF($D2058="","",IF(OR($H2058="",$H2058="Credit"),0,Q2058)),"")</f>
        <v/>
      </c>
    </row>
    <row r="2059" customFormat="false" ht="15" hidden="false" customHeight="false" outlineLevel="0" collapsed="false">
      <c r="A2059" s="55"/>
      <c r="B2059" s="56"/>
      <c r="C2059" s="56"/>
      <c r="D2059" s="56"/>
      <c r="E2059" s="57"/>
      <c r="F2059" s="58"/>
      <c r="G2059" s="59"/>
      <c r="H2059" s="56"/>
      <c r="I2059" s="56"/>
      <c r="J2059" s="60" t="str">
        <f aca="false">IF(IsPro,IF($D2059="","",IFERROR(INDEX(Items!$D$5:$D$504,U2059),"")),"")</f>
        <v/>
      </c>
      <c r="K2059" s="61" t="str">
        <f aca="false">IF(IsPro,IF($D2059="","",IF($F2059="",IFERROR(INDEX(Items!$H$5:$H$504,U2059),0),$F2059)),"")</f>
        <v/>
      </c>
      <c r="L2059" s="61" t="str">
        <f aca="false">IF(IsPro,IF($D2059="","",ROUND(N($E2059)*K2059*(1-N($G2059)),2)),"")</f>
        <v/>
      </c>
      <c r="M2059" s="62" t="str">
        <f aca="false">IF(IsPro,IF($D2059="","",IFERROR(INDEX(Items!$F$5:$F$504,U2059),0)),"")</f>
        <v/>
      </c>
      <c r="N2059" s="61" t="str">
        <f aca="false">IF(IsPro,IF($D2059="","",IF(AND(V2059&lt;&gt;"",INDEX(Parties!$E$5:$E$304,V2059)&lt;&gt;"",INDEX(Parties!$E$5:$E$304,V2059)&lt;&gt;HomeState),0,ROUND(L2059*M2059/2,2))),"")</f>
        <v/>
      </c>
      <c r="O2059" s="61" t="str">
        <f aca="false">IF(IsPro,IF($D2059="","",N2059),"")</f>
        <v/>
      </c>
      <c r="P2059" s="61" t="str">
        <f aca="false">IF(IsPro,IF($D2059="","",IF(AND(V2059&lt;&gt;"",INDEX(Parties!$E$5:$E$304,V2059)&lt;&gt;"",INDEX(Parties!$E$5:$E$304,V2059)&lt;&gt;HomeState),ROUND(L2059*M2059,2),0)),"")</f>
        <v/>
      </c>
      <c r="Q2059" s="61" t="str">
        <f aca="false">IF(IsPro,IF($D2059="","",L2059+N2059+O2059+P2059),"")</f>
        <v/>
      </c>
      <c r="R2059" s="61" t="str">
        <f aca="false">IF(IsPro,IF($D2059="","",ROUND(N($E2059)*IFERROR(INDEX(Items!$P$5:$P$504,U2059),0),2)),"")</f>
        <v/>
      </c>
      <c r="S2059" s="61" t="str">
        <f aca="false">IF(IsPro,IF($D2059="","",L2059-R2059),"")</f>
        <v/>
      </c>
      <c r="T2059" s="60" t="str">
        <f aca="false">IF(IsPro,IF($D2059="","",IF(U2059="","UNKNOWN ITEM",IF(INDEX(Items!$O$5:$O$504,U2059)&lt;0,"NEG STOCK",IF(K2059&lt;INDEX(Items!$P$5:$P$504,U2059),"BELOW COST","OK")))),IF($D2059="","","PRO PLAN"))</f>
        <v/>
      </c>
      <c r="U2059" s="60" t="str">
        <f aca="false">IF(IsPro,IF($D2059="","",IFERROR(MATCH($D2059,Items!$A$5:$A$504,0),"")),"")</f>
        <v/>
      </c>
      <c r="V2059" s="60" t="str">
        <f aca="false">IF(IsPro,IF($C2059="","",IFERROR(MATCH($C2059,Parties!$A$5:$A$304,0),"")),"")</f>
        <v/>
      </c>
      <c r="W2059" s="60" t="str">
        <f aca="false">IF(IsPro,IF($B2059="","",IFERROR(VALUE(SUBSTITUTE($B2059,InvPrefix,"")),0)),"")</f>
        <v/>
      </c>
      <c r="X2059" s="61" t="str">
        <f aca="false">IF(IsPro,IF($D2059="","",IF(OR($H2059="",$H2059="Credit"),0,Q2059)),"")</f>
        <v/>
      </c>
    </row>
    <row r="2060" customFormat="false" ht="15" hidden="false" customHeight="false" outlineLevel="0" collapsed="false">
      <c r="A2060" s="55"/>
      <c r="B2060" s="56"/>
      <c r="C2060" s="56"/>
      <c r="D2060" s="56"/>
      <c r="E2060" s="57"/>
      <c r="F2060" s="58"/>
      <c r="G2060" s="59"/>
      <c r="H2060" s="56"/>
      <c r="I2060" s="56"/>
      <c r="J2060" s="60" t="str">
        <f aca="false">IF(IsPro,IF($D2060="","",IFERROR(INDEX(Items!$D$5:$D$504,U2060),"")),"")</f>
        <v/>
      </c>
      <c r="K2060" s="61" t="str">
        <f aca="false">IF(IsPro,IF($D2060="","",IF($F2060="",IFERROR(INDEX(Items!$H$5:$H$504,U2060),0),$F2060)),"")</f>
        <v/>
      </c>
      <c r="L2060" s="61" t="str">
        <f aca="false">IF(IsPro,IF($D2060="","",ROUND(N($E2060)*K2060*(1-N($G2060)),2)),"")</f>
        <v/>
      </c>
      <c r="M2060" s="62" t="str">
        <f aca="false">IF(IsPro,IF($D2060="","",IFERROR(INDEX(Items!$F$5:$F$504,U2060),0)),"")</f>
        <v/>
      </c>
      <c r="N2060" s="61" t="str">
        <f aca="false">IF(IsPro,IF($D2060="","",IF(AND(V2060&lt;&gt;"",INDEX(Parties!$E$5:$E$304,V2060)&lt;&gt;"",INDEX(Parties!$E$5:$E$304,V2060)&lt;&gt;HomeState),0,ROUND(L2060*M2060/2,2))),"")</f>
        <v/>
      </c>
      <c r="O2060" s="61" t="str">
        <f aca="false">IF(IsPro,IF($D2060="","",N2060),"")</f>
        <v/>
      </c>
      <c r="P2060" s="61" t="str">
        <f aca="false">IF(IsPro,IF($D2060="","",IF(AND(V2060&lt;&gt;"",INDEX(Parties!$E$5:$E$304,V2060)&lt;&gt;"",INDEX(Parties!$E$5:$E$304,V2060)&lt;&gt;HomeState),ROUND(L2060*M2060,2),0)),"")</f>
        <v/>
      </c>
      <c r="Q2060" s="61" t="str">
        <f aca="false">IF(IsPro,IF($D2060="","",L2060+N2060+O2060+P2060),"")</f>
        <v/>
      </c>
      <c r="R2060" s="61" t="str">
        <f aca="false">IF(IsPro,IF($D2060="","",ROUND(N($E2060)*IFERROR(INDEX(Items!$P$5:$P$504,U2060),0),2)),"")</f>
        <v/>
      </c>
      <c r="S2060" s="61" t="str">
        <f aca="false">IF(IsPro,IF($D2060="","",L2060-R2060),"")</f>
        <v/>
      </c>
      <c r="T2060" s="60" t="str">
        <f aca="false">IF(IsPro,IF($D2060="","",IF(U2060="","UNKNOWN ITEM",IF(INDEX(Items!$O$5:$O$504,U2060)&lt;0,"NEG STOCK",IF(K2060&lt;INDEX(Items!$P$5:$P$504,U2060),"BELOW COST","OK")))),IF($D2060="","","PRO PLAN"))</f>
        <v/>
      </c>
      <c r="U2060" s="60" t="str">
        <f aca="false">IF(IsPro,IF($D2060="","",IFERROR(MATCH($D2060,Items!$A$5:$A$504,0),"")),"")</f>
        <v/>
      </c>
      <c r="V2060" s="60" t="str">
        <f aca="false">IF(IsPro,IF($C2060="","",IFERROR(MATCH($C2060,Parties!$A$5:$A$304,0),"")),"")</f>
        <v/>
      </c>
      <c r="W2060" s="60" t="str">
        <f aca="false">IF(IsPro,IF($B2060="","",IFERROR(VALUE(SUBSTITUTE($B2060,InvPrefix,"")),0)),"")</f>
        <v/>
      </c>
      <c r="X2060" s="61" t="str">
        <f aca="false">IF(IsPro,IF($D2060="","",IF(OR($H2060="",$H2060="Credit"),0,Q2060)),"")</f>
        <v/>
      </c>
    </row>
    <row r="2061" customFormat="false" ht="15" hidden="false" customHeight="false" outlineLevel="0" collapsed="false">
      <c r="A2061" s="55"/>
      <c r="B2061" s="56"/>
      <c r="C2061" s="56"/>
      <c r="D2061" s="56"/>
      <c r="E2061" s="57"/>
      <c r="F2061" s="58"/>
      <c r="G2061" s="59"/>
      <c r="H2061" s="56"/>
      <c r="I2061" s="56"/>
      <c r="J2061" s="60" t="str">
        <f aca="false">IF(IsPro,IF($D2061="","",IFERROR(INDEX(Items!$D$5:$D$504,U2061),"")),"")</f>
        <v/>
      </c>
      <c r="K2061" s="61" t="str">
        <f aca="false">IF(IsPro,IF($D2061="","",IF($F2061="",IFERROR(INDEX(Items!$H$5:$H$504,U2061),0),$F2061)),"")</f>
        <v/>
      </c>
      <c r="L2061" s="61" t="str">
        <f aca="false">IF(IsPro,IF($D2061="","",ROUND(N($E2061)*K2061*(1-N($G2061)),2)),"")</f>
        <v/>
      </c>
      <c r="M2061" s="62" t="str">
        <f aca="false">IF(IsPro,IF($D2061="","",IFERROR(INDEX(Items!$F$5:$F$504,U2061),0)),"")</f>
        <v/>
      </c>
      <c r="N2061" s="61" t="str">
        <f aca="false">IF(IsPro,IF($D2061="","",IF(AND(V2061&lt;&gt;"",INDEX(Parties!$E$5:$E$304,V2061)&lt;&gt;"",INDEX(Parties!$E$5:$E$304,V2061)&lt;&gt;HomeState),0,ROUND(L2061*M2061/2,2))),"")</f>
        <v/>
      </c>
      <c r="O2061" s="61" t="str">
        <f aca="false">IF(IsPro,IF($D2061="","",N2061),"")</f>
        <v/>
      </c>
      <c r="P2061" s="61" t="str">
        <f aca="false">IF(IsPro,IF($D2061="","",IF(AND(V2061&lt;&gt;"",INDEX(Parties!$E$5:$E$304,V2061)&lt;&gt;"",INDEX(Parties!$E$5:$E$304,V2061)&lt;&gt;HomeState),ROUND(L2061*M2061,2),0)),"")</f>
        <v/>
      </c>
      <c r="Q2061" s="61" t="str">
        <f aca="false">IF(IsPro,IF($D2061="","",L2061+N2061+O2061+P2061),"")</f>
        <v/>
      </c>
      <c r="R2061" s="61" t="str">
        <f aca="false">IF(IsPro,IF($D2061="","",ROUND(N($E2061)*IFERROR(INDEX(Items!$P$5:$P$504,U2061),0),2)),"")</f>
        <v/>
      </c>
      <c r="S2061" s="61" t="str">
        <f aca="false">IF(IsPro,IF($D2061="","",L2061-R2061),"")</f>
        <v/>
      </c>
      <c r="T2061" s="60" t="str">
        <f aca="false">IF(IsPro,IF($D2061="","",IF(U2061="","UNKNOWN ITEM",IF(INDEX(Items!$O$5:$O$504,U2061)&lt;0,"NEG STOCK",IF(K2061&lt;INDEX(Items!$P$5:$P$504,U2061),"BELOW COST","OK")))),IF($D2061="","","PRO PLAN"))</f>
        <v/>
      </c>
      <c r="U2061" s="60" t="str">
        <f aca="false">IF(IsPro,IF($D2061="","",IFERROR(MATCH($D2061,Items!$A$5:$A$504,0),"")),"")</f>
        <v/>
      </c>
      <c r="V2061" s="60" t="str">
        <f aca="false">IF(IsPro,IF($C2061="","",IFERROR(MATCH($C2061,Parties!$A$5:$A$304,0),"")),"")</f>
        <v/>
      </c>
      <c r="W2061" s="60" t="str">
        <f aca="false">IF(IsPro,IF($B2061="","",IFERROR(VALUE(SUBSTITUTE($B2061,InvPrefix,"")),0)),"")</f>
        <v/>
      </c>
      <c r="X2061" s="61" t="str">
        <f aca="false">IF(IsPro,IF($D2061="","",IF(OR($H2061="",$H2061="Credit"),0,Q2061)),"")</f>
        <v/>
      </c>
    </row>
    <row r="2062" customFormat="false" ht="15" hidden="false" customHeight="false" outlineLevel="0" collapsed="false">
      <c r="A2062" s="55"/>
      <c r="B2062" s="56"/>
      <c r="C2062" s="56"/>
      <c r="D2062" s="56"/>
      <c r="E2062" s="57"/>
      <c r="F2062" s="58"/>
      <c r="G2062" s="59"/>
      <c r="H2062" s="56"/>
      <c r="I2062" s="56"/>
      <c r="J2062" s="60" t="str">
        <f aca="false">IF(IsPro,IF($D2062="","",IFERROR(INDEX(Items!$D$5:$D$504,U2062),"")),"")</f>
        <v/>
      </c>
      <c r="K2062" s="61" t="str">
        <f aca="false">IF(IsPro,IF($D2062="","",IF($F2062="",IFERROR(INDEX(Items!$H$5:$H$504,U2062),0),$F2062)),"")</f>
        <v/>
      </c>
      <c r="L2062" s="61" t="str">
        <f aca="false">IF(IsPro,IF($D2062="","",ROUND(N($E2062)*K2062*(1-N($G2062)),2)),"")</f>
        <v/>
      </c>
      <c r="M2062" s="62" t="str">
        <f aca="false">IF(IsPro,IF($D2062="","",IFERROR(INDEX(Items!$F$5:$F$504,U2062),0)),"")</f>
        <v/>
      </c>
      <c r="N2062" s="61" t="str">
        <f aca="false">IF(IsPro,IF($D2062="","",IF(AND(V2062&lt;&gt;"",INDEX(Parties!$E$5:$E$304,V2062)&lt;&gt;"",INDEX(Parties!$E$5:$E$304,V2062)&lt;&gt;HomeState),0,ROUND(L2062*M2062/2,2))),"")</f>
        <v/>
      </c>
      <c r="O2062" s="61" t="str">
        <f aca="false">IF(IsPro,IF($D2062="","",N2062),"")</f>
        <v/>
      </c>
      <c r="P2062" s="61" t="str">
        <f aca="false">IF(IsPro,IF($D2062="","",IF(AND(V2062&lt;&gt;"",INDEX(Parties!$E$5:$E$304,V2062)&lt;&gt;"",INDEX(Parties!$E$5:$E$304,V2062)&lt;&gt;HomeState),ROUND(L2062*M2062,2),0)),"")</f>
        <v/>
      </c>
      <c r="Q2062" s="61" t="str">
        <f aca="false">IF(IsPro,IF($D2062="","",L2062+N2062+O2062+P2062),"")</f>
        <v/>
      </c>
      <c r="R2062" s="61" t="str">
        <f aca="false">IF(IsPro,IF($D2062="","",ROUND(N($E2062)*IFERROR(INDEX(Items!$P$5:$P$504,U2062),0),2)),"")</f>
        <v/>
      </c>
      <c r="S2062" s="61" t="str">
        <f aca="false">IF(IsPro,IF($D2062="","",L2062-R2062),"")</f>
        <v/>
      </c>
      <c r="T2062" s="60" t="str">
        <f aca="false">IF(IsPro,IF($D2062="","",IF(U2062="","UNKNOWN ITEM",IF(INDEX(Items!$O$5:$O$504,U2062)&lt;0,"NEG STOCK",IF(K2062&lt;INDEX(Items!$P$5:$P$504,U2062),"BELOW COST","OK")))),IF($D2062="","","PRO PLAN"))</f>
        <v/>
      </c>
      <c r="U2062" s="60" t="str">
        <f aca="false">IF(IsPro,IF($D2062="","",IFERROR(MATCH($D2062,Items!$A$5:$A$504,0),"")),"")</f>
        <v/>
      </c>
      <c r="V2062" s="60" t="str">
        <f aca="false">IF(IsPro,IF($C2062="","",IFERROR(MATCH($C2062,Parties!$A$5:$A$304,0),"")),"")</f>
        <v/>
      </c>
      <c r="W2062" s="60" t="str">
        <f aca="false">IF(IsPro,IF($B2062="","",IFERROR(VALUE(SUBSTITUTE($B2062,InvPrefix,"")),0)),"")</f>
        <v/>
      </c>
      <c r="X2062" s="61" t="str">
        <f aca="false">IF(IsPro,IF($D2062="","",IF(OR($H2062="",$H2062="Credit"),0,Q2062)),"")</f>
        <v/>
      </c>
    </row>
    <row r="2063" customFormat="false" ht="15" hidden="false" customHeight="false" outlineLevel="0" collapsed="false">
      <c r="A2063" s="55"/>
      <c r="B2063" s="56"/>
      <c r="C2063" s="56"/>
      <c r="D2063" s="56"/>
      <c r="E2063" s="57"/>
      <c r="F2063" s="58"/>
      <c r="G2063" s="59"/>
      <c r="H2063" s="56"/>
      <c r="I2063" s="56"/>
      <c r="J2063" s="60" t="str">
        <f aca="false">IF(IsPro,IF($D2063="","",IFERROR(INDEX(Items!$D$5:$D$504,U2063),"")),"")</f>
        <v/>
      </c>
      <c r="K2063" s="61" t="str">
        <f aca="false">IF(IsPro,IF($D2063="","",IF($F2063="",IFERROR(INDEX(Items!$H$5:$H$504,U2063),0),$F2063)),"")</f>
        <v/>
      </c>
      <c r="L2063" s="61" t="str">
        <f aca="false">IF(IsPro,IF($D2063="","",ROUND(N($E2063)*K2063*(1-N($G2063)),2)),"")</f>
        <v/>
      </c>
      <c r="M2063" s="62" t="str">
        <f aca="false">IF(IsPro,IF($D2063="","",IFERROR(INDEX(Items!$F$5:$F$504,U2063),0)),"")</f>
        <v/>
      </c>
      <c r="N2063" s="61" t="str">
        <f aca="false">IF(IsPro,IF($D2063="","",IF(AND(V2063&lt;&gt;"",INDEX(Parties!$E$5:$E$304,V2063)&lt;&gt;"",INDEX(Parties!$E$5:$E$304,V2063)&lt;&gt;HomeState),0,ROUND(L2063*M2063/2,2))),"")</f>
        <v/>
      </c>
      <c r="O2063" s="61" t="str">
        <f aca="false">IF(IsPro,IF($D2063="","",N2063),"")</f>
        <v/>
      </c>
      <c r="P2063" s="61" t="str">
        <f aca="false">IF(IsPro,IF($D2063="","",IF(AND(V2063&lt;&gt;"",INDEX(Parties!$E$5:$E$304,V2063)&lt;&gt;"",INDEX(Parties!$E$5:$E$304,V2063)&lt;&gt;HomeState),ROUND(L2063*M2063,2),0)),"")</f>
        <v/>
      </c>
      <c r="Q2063" s="61" t="str">
        <f aca="false">IF(IsPro,IF($D2063="","",L2063+N2063+O2063+P2063),"")</f>
        <v/>
      </c>
      <c r="R2063" s="61" t="str">
        <f aca="false">IF(IsPro,IF($D2063="","",ROUND(N($E2063)*IFERROR(INDEX(Items!$P$5:$P$504,U2063),0),2)),"")</f>
        <v/>
      </c>
      <c r="S2063" s="61" t="str">
        <f aca="false">IF(IsPro,IF($D2063="","",L2063-R2063),"")</f>
        <v/>
      </c>
      <c r="T2063" s="60" t="str">
        <f aca="false">IF(IsPro,IF($D2063="","",IF(U2063="","UNKNOWN ITEM",IF(INDEX(Items!$O$5:$O$504,U2063)&lt;0,"NEG STOCK",IF(K2063&lt;INDEX(Items!$P$5:$P$504,U2063),"BELOW COST","OK")))),IF($D2063="","","PRO PLAN"))</f>
        <v/>
      </c>
      <c r="U2063" s="60" t="str">
        <f aca="false">IF(IsPro,IF($D2063="","",IFERROR(MATCH($D2063,Items!$A$5:$A$504,0),"")),"")</f>
        <v/>
      </c>
      <c r="V2063" s="60" t="str">
        <f aca="false">IF(IsPro,IF($C2063="","",IFERROR(MATCH($C2063,Parties!$A$5:$A$304,0),"")),"")</f>
        <v/>
      </c>
      <c r="W2063" s="60" t="str">
        <f aca="false">IF(IsPro,IF($B2063="","",IFERROR(VALUE(SUBSTITUTE($B2063,InvPrefix,"")),0)),"")</f>
        <v/>
      </c>
      <c r="X2063" s="61" t="str">
        <f aca="false">IF(IsPro,IF($D2063="","",IF(OR($H2063="",$H2063="Credit"),0,Q2063)),"")</f>
        <v/>
      </c>
    </row>
    <row r="2064" customFormat="false" ht="15" hidden="false" customHeight="false" outlineLevel="0" collapsed="false">
      <c r="A2064" s="55"/>
      <c r="B2064" s="56"/>
      <c r="C2064" s="56"/>
      <c r="D2064" s="56"/>
      <c r="E2064" s="57"/>
      <c r="F2064" s="58"/>
      <c r="G2064" s="59"/>
      <c r="H2064" s="56"/>
      <c r="I2064" s="56"/>
      <c r="J2064" s="60" t="str">
        <f aca="false">IF(IsPro,IF($D2064="","",IFERROR(INDEX(Items!$D$5:$D$504,U2064),"")),"")</f>
        <v/>
      </c>
      <c r="K2064" s="61" t="str">
        <f aca="false">IF(IsPro,IF($D2064="","",IF($F2064="",IFERROR(INDEX(Items!$H$5:$H$504,U2064),0),$F2064)),"")</f>
        <v/>
      </c>
      <c r="L2064" s="61" t="str">
        <f aca="false">IF(IsPro,IF($D2064="","",ROUND(N($E2064)*K2064*(1-N($G2064)),2)),"")</f>
        <v/>
      </c>
      <c r="M2064" s="62" t="str">
        <f aca="false">IF(IsPro,IF($D2064="","",IFERROR(INDEX(Items!$F$5:$F$504,U2064),0)),"")</f>
        <v/>
      </c>
      <c r="N2064" s="61" t="str">
        <f aca="false">IF(IsPro,IF($D2064="","",IF(AND(V2064&lt;&gt;"",INDEX(Parties!$E$5:$E$304,V2064)&lt;&gt;"",INDEX(Parties!$E$5:$E$304,V2064)&lt;&gt;HomeState),0,ROUND(L2064*M2064/2,2))),"")</f>
        <v/>
      </c>
      <c r="O2064" s="61" t="str">
        <f aca="false">IF(IsPro,IF($D2064="","",N2064),"")</f>
        <v/>
      </c>
      <c r="P2064" s="61" t="str">
        <f aca="false">IF(IsPro,IF($D2064="","",IF(AND(V2064&lt;&gt;"",INDEX(Parties!$E$5:$E$304,V2064)&lt;&gt;"",INDEX(Parties!$E$5:$E$304,V2064)&lt;&gt;HomeState),ROUND(L2064*M2064,2),0)),"")</f>
        <v/>
      </c>
      <c r="Q2064" s="61" t="str">
        <f aca="false">IF(IsPro,IF($D2064="","",L2064+N2064+O2064+P2064),"")</f>
        <v/>
      </c>
      <c r="R2064" s="61" t="str">
        <f aca="false">IF(IsPro,IF($D2064="","",ROUND(N($E2064)*IFERROR(INDEX(Items!$P$5:$P$504,U2064),0),2)),"")</f>
        <v/>
      </c>
      <c r="S2064" s="61" t="str">
        <f aca="false">IF(IsPro,IF($D2064="","",L2064-R2064),"")</f>
        <v/>
      </c>
      <c r="T2064" s="60" t="str">
        <f aca="false">IF(IsPro,IF($D2064="","",IF(U2064="","UNKNOWN ITEM",IF(INDEX(Items!$O$5:$O$504,U2064)&lt;0,"NEG STOCK",IF(K2064&lt;INDEX(Items!$P$5:$P$504,U2064),"BELOW COST","OK")))),IF($D2064="","","PRO PLAN"))</f>
        <v/>
      </c>
      <c r="U2064" s="60" t="str">
        <f aca="false">IF(IsPro,IF($D2064="","",IFERROR(MATCH($D2064,Items!$A$5:$A$504,0),"")),"")</f>
        <v/>
      </c>
      <c r="V2064" s="60" t="str">
        <f aca="false">IF(IsPro,IF($C2064="","",IFERROR(MATCH($C2064,Parties!$A$5:$A$304,0),"")),"")</f>
        <v/>
      </c>
      <c r="W2064" s="60" t="str">
        <f aca="false">IF(IsPro,IF($B2064="","",IFERROR(VALUE(SUBSTITUTE($B2064,InvPrefix,"")),0)),"")</f>
        <v/>
      </c>
      <c r="X2064" s="61" t="str">
        <f aca="false">IF(IsPro,IF($D2064="","",IF(OR($H2064="",$H2064="Credit"),0,Q2064)),"")</f>
        <v/>
      </c>
    </row>
    <row r="2065" customFormat="false" ht="15" hidden="false" customHeight="false" outlineLevel="0" collapsed="false">
      <c r="A2065" s="55"/>
      <c r="B2065" s="56"/>
      <c r="C2065" s="56"/>
      <c r="D2065" s="56"/>
      <c r="E2065" s="57"/>
      <c r="F2065" s="58"/>
      <c r="G2065" s="59"/>
      <c r="H2065" s="56"/>
      <c r="I2065" s="56"/>
      <c r="J2065" s="60" t="str">
        <f aca="false">IF(IsPro,IF($D2065="","",IFERROR(INDEX(Items!$D$5:$D$504,U2065),"")),"")</f>
        <v/>
      </c>
      <c r="K2065" s="61" t="str">
        <f aca="false">IF(IsPro,IF($D2065="","",IF($F2065="",IFERROR(INDEX(Items!$H$5:$H$504,U2065),0),$F2065)),"")</f>
        <v/>
      </c>
      <c r="L2065" s="61" t="str">
        <f aca="false">IF(IsPro,IF($D2065="","",ROUND(N($E2065)*K2065*(1-N($G2065)),2)),"")</f>
        <v/>
      </c>
      <c r="M2065" s="62" t="str">
        <f aca="false">IF(IsPro,IF($D2065="","",IFERROR(INDEX(Items!$F$5:$F$504,U2065),0)),"")</f>
        <v/>
      </c>
      <c r="N2065" s="61" t="str">
        <f aca="false">IF(IsPro,IF($D2065="","",IF(AND(V2065&lt;&gt;"",INDEX(Parties!$E$5:$E$304,V2065)&lt;&gt;"",INDEX(Parties!$E$5:$E$304,V2065)&lt;&gt;HomeState),0,ROUND(L2065*M2065/2,2))),"")</f>
        <v/>
      </c>
      <c r="O2065" s="61" t="str">
        <f aca="false">IF(IsPro,IF($D2065="","",N2065),"")</f>
        <v/>
      </c>
      <c r="P2065" s="61" t="str">
        <f aca="false">IF(IsPro,IF($D2065="","",IF(AND(V2065&lt;&gt;"",INDEX(Parties!$E$5:$E$304,V2065)&lt;&gt;"",INDEX(Parties!$E$5:$E$304,V2065)&lt;&gt;HomeState),ROUND(L2065*M2065,2),0)),"")</f>
        <v/>
      </c>
      <c r="Q2065" s="61" t="str">
        <f aca="false">IF(IsPro,IF($D2065="","",L2065+N2065+O2065+P2065),"")</f>
        <v/>
      </c>
      <c r="R2065" s="61" t="str">
        <f aca="false">IF(IsPro,IF($D2065="","",ROUND(N($E2065)*IFERROR(INDEX(Items!$P$5:$P$504,U2065),0),2)),"")</f>
        <v/>
      </c>
      <c r="S2065" s="61" t="str">
        <f aca="false">IF(IsPro,IF($D2065="","",L2065-R2065),"")</f>
        <v/>
      </c>
      <c r="T2065" s="60" t="str">
        <f aca="false">IF(IsPro,IF($D2065="","",IF(U2065="","UNKNOWN ITEM",IF(INDEX(Items!$O$5:$O$504,U2065)&lt;0,"NEG STOCK",IF(K2065&lt;INDEX(Items!$P$5:$P$504,U2065),"BELOW COST","OK")))),IF($D2065="","","PRO PLAN"))</f>
        <v/>
      </c>
      <c r="U2065" s="60" t="str">
        <f aca="false">IF(IsPro,IF($D2065="","",IFERROR(MATCH($D2065,Items!$A$5:$A$504,0),"")),"")</f>
        <v/>
      </c>
      <c r="V2065" s="60" t="str">
        <f aca="false">IF(IsPro,IF($C2065="","",IFERROR(MATCH($C2065,Parties!$A$5:$A$304,0),"")),"")</f>
        <v/>
      </c>
      <c r="W2065" s="60" t="str">
        <f aca="false">IF(IsPro,IF($B2065="","",IFERROR(VALUE(SUBSTITUTE($B2065,InvPrefix,"")),0)),"")</f>
        <v/>
      </c>
      <c r="X2065" s="61" t="str">
        <f aca="false">IF(IsPro,IF($D2065="","",IF(OR($H2065="",$H2065="Credit"),0,Q2065)),"")</f>
        <v/>
      </c>
    </row>
    <row r="2066" customFormat="false" ht="15" hidden="false" customHeight="false" outlineLevel="0" collapsed="false">
      <c r="A2066" s="55"/>
      <c r="B2066" s="56"/>
      <c r="C2066" s="56"/>
      <c r="D2066" s="56"/>
      <c r="E2066" s="57"/>
      <c r="F2066" s="58"/>
      <c r="G2066" s="59"/>
      <c r="H2066" s="56"/>
      <c r="I2066" s="56"/>
      <c r="J2066" s="60" t="str">
        <f aca="false">IF(IsPro,IF($D2066="","",IFERROR(INDEX(Items!$D$5:$D$504,U2066),"")),"")</f>
        <v/>
      </c>
      <c r="K2066" s="61" t="str">
        <f aca="false">IF(IsPro,IF($D2066="","",IF($F2066="",IFERROR(INDEX(Items!$H$5:$H$504,U2066),0),$F2066)),"")</f>
        <v/>
      </c>
      <c r="L2066" s="61" t="str">
        <f aca="false">IF(IsPro,IF($D2066="","",ROUND(N($E2066)*K2066*(1-N($G2066)),2)),"")</f>
        <v/>
      </c>
      <c r="M2066" s="62" t="str">
        <f aca="false">IF(IsPro,IF($D2066="","",IFERROR(INDEX(Items!$F$5:$F$504,U2066),0)),"")</f>
        <v/>
      </c>
      <c r="N2066" s="61" t="str">
        <f aca="false">IF(IsPro,IF($D2066="","",IF(AND(V2066&lt;&gt;"",INDEX(Parties!$E$5:$E$304,V2066)&lt;&gt;"",INDEX(Parties!$E$5:$E$304,V2066)&lt;&gt;HomeState),0,ROUND(L2066*M2066/2,2))),"")</f>
        <v/>
      </c>
      <c r="O2066" s="61" t="str">
        <f aca="false">IF(IsPro,IF($D2066="","",N2066),"")</f>
        <v/>
      </c>
      <c r="P2066" s="61" t="str">
        <f aca="false">IF(IsPro,IF($D2066="","",IF(AND(V2066&lt;&gt;"",INDEX(Parties!$E$5:$E$304,V2066)&lt;&gt;"",INDEX(Parties!$E$5:$E$304,V2066)&lt;&gt;HomeState),ROUND(L2066*M2066,2),0)),"")</f>
        <v/>
      </c>
      <c r="Q2066" s="61" t="str">
        <f aca="false">IF(IsPro,IF($D2066="","",L2066+N2066+O2066+P2066),"")</f>
        <v/>
      </c>
      <c r="R2066" s="61" t="str">
        <f aca="false">IF(IsPro,IF($D2066="","",ROUND(N($E2066)*IFERROR(INDEX(Items!$P$5:$P$504,U2066),0),2)),"")</f>
        <v/>
      </c>
      <c r="S2066" s="61" t="str">
        <f aca="false">IF(IsPro,IF($D2066="","",L2066-R2066),"")</f>
        <v/>
      </c>
      <c r="T2066" s="60" t="str">
        <f aca="false">IF(IsPro,IF($D2066="","",IF(U2066="","UNKNOWN ITEM",IF(INDEX(Items!$O$5:$O$504,U2066)&lt;0,"NEG STOCK",IF(K2066&lt;INDEX(Items!$P$5:$P$504,U2066),"BELOW COST","OK")))),IF($D2066="","","PRO PLAN"))</f>
        <v/>
      </c>
      <c r="U2066" s="60" t="str">
        <f aca="false">IF(IsPro,IF($D2066="","",IFERROR(MATCH($D2066,Items!$A$5:$A$504,0),"")),"")</f>
        <v/>
      </c>
      <c r="V2066" s="60" t="str">
        <f aca="false">IF(IsPro,IF($C2066="","",IFERROR(MATCH($C2066,Parties!$A$5:$A$304,0),"")),"")</f>
        <v/>
      </c>
      <c r="W2066" s="60" t="str">
        <f aca="false">IF(IsPro,IF($B2066="","",IFERROR(VALUE(SUBSTITUTE($B2066,InvPrefix,"")),0)),"")</f>
        <v/>
      </c>
      <c r="X2066" s="61" t="str">
        <f aca="false">IF(IsPro,IF($D2066="","",IF(OR($H2066="",$H2066="Credit"),0,Q2066)),"")</f>
        <v/>
      </c>
    </row>
    <row r="2067" customFormat="false" ht="15" hidden="false" customHeight="false" outlineLevel="0" collapsed="false">
      <c r="A2067" s="55"/>
      <c r="B2067" s="56"/>
      <c r="C2067" s="56"/>
      <c r="D2067" s="56"/>
      <c r="E2067" s="57"/>
      <c r="F2067" s="58"/>
      <c r="G2067" s="59"/>
      <c r="H2067" s="56"/>
      <c r="I2067" s="56"/>
      <c r="J2067" s="60" t="str">
        <f aca="false">IF(IsPro,IF($D2067="","",IFERROR(INDEX(Items!$D$5:$D$504,U2067),"")),"")</f>
        <v/>
      </c>
      <c r="K2067" s="61" t="str">
        <f aca="false">IF(IsPro,IF($D2067="","",IF($F2067="",IFERROR(INDEX(Items!$H$5:$H$504,U2067),0),$F2067)),"")</f>
        <v/>
      </c>
      <c r="L2067" s="61" t="str">
        <f aca="false">IF(IsPro,IF($D2067="","",ROUND(N($E2067)*K2067*(1-N($G2067)),2)),"")</f>
        <v/>
      </c>
      <c r="M2067" s="62" t="str">
        <f aca="false">IF(IsPro,IF($D2067="","",IFERROR(INDEX(Items!$F$5:$F$504,U2067),0)),"")</f>
        <v/>
      </c>
      <c r="N2067" s="61" t="str">
        <f aca="false">IF(IsPro,IF($D2067="","",IF(AND(V2067&lt;&gt;"",INDEX(Parties!$E$5:$E$304,V2067)&lt;&gt;"",INDEX(Parties!$E$5:$E$304,V2067)&lt;&gt;HomeState),0,ROUND(L2067*M2067/2,2))),"")</f>
        <v/>
      </c>
      <c r="O2067" s="61" t="str">
        <f aca="false">IF(IsPro,IF($D2067="","",N2067),"")</f>
        <v/>
      </c>
      <c r="P2067" s="61" t="str">
        <f aca="false">IF(IsPro,IF($D2067="","",IF(AND(V2067&lt;&gt;"",INDEX(Parties!$E$5:$E$304,V2067)&lt;&gt;"",INDEX(Parties!$E$5:$E$304,V2067)&lt;&gt;HomeState),ROUND(L2067*M2067,2),0)),"")</f>
        <v/>
      </c>
      <c r="Q2067" s="61" t="str">
        <f aca="false">IF(IsPro,IF($D2067="","",L2067+N2067+O2067+P2067),"")</f>
        <v/>
      </c>
      <c r="R2067" s="61" t="str">
        <f aca="false">IF(IsPro,IF($D2067="","",ROUND(N($E2067)*IFERROR(INDEX(Items!$P$5:$P$504,U2067),0),2)),"")</f>
        <v/>
      </c>
      <c r="S2067" s="61" t="str">
        <f aca="false">IF(IsPro,IF($D2067="","",L2067-R2067),"")</f>
        <v/>
      </c>
      <c r="T2067" s="60" t="str">
        <f aca="false">IF(IsPro,IF($D2067="","",IF(U2067="","UNKNOWN ITEM",IF(INDEX(Items!$O$5:$O$504,U2067)&lt;0,"NEG STOCK",IF(K2067&lt;INDEX(Items!$P$5:$P$504,U2067),"BELOW COST","OK")))),IF($D2067="","","PRO PLAN"))</f>
        <v/>
      </c>
      <c r="U2067" s="60" t="str">
        <f aca="false">IF(IsPro,IF($D2067="","",IFERROR(MATCH($D2067,Items!$A$5:$A$504,0),"")),"")</f>
        <v/>
      </c>
      <c r="V2067" s="60" t="str">
        <f aca="false">IF(IsPro,IF($C2067="","",IFERROR(MATCH($C2067,Parties!$A$5:$A$304,0),"")),"")</f>
        <v/>
      </c>
      <c r="W2067" s="60" t="str">
        <f aca="false">IF(IsPro,IF($B2067="","",IFERROR(VALUE(SUBSTITUTE($B2067,InvPrefix,"")),0)),"")</f>
        <v/>
      </c>
      <c r="X2067" s="61" t="str">
        <f aca="false">IF(IsPro,IF($D2067="","",IF(OR($H2067="",$H2067="Credit"),0,Q2067)),"")</f>
        <v/>
      </c>
    </row>
    <row r="2068" customFormat="false" ht="15" hidden="false" customHeight="false" outlineLevel="0" collapsed="false">
      <c r="A2068" s="55"/>
      <c r="B2068" s="56"/>
      <c r="C2068" s="56"/>
      <c r="D2068" s="56"/>
      <c r="E2068" s="57"/>
      <c r="F2068" s="58"/>
      <c r="G2068" s="59"/>
      <c r="H2068" s="56"/>
      <c r="I2068" s="56"/>
      <c r="J2068" s="60" t="str">
        <f aca="false">IF(IsPro,IF($D2068="","",IFERROR(INDEX(Items!$D$5:$D$504,U2068),"")),"")</f>
        <v/>
      </c>
      <c r="K2068" s="61" t="str">
        <f aca="false">IF(IsPro,IF($D2068="","",IF($F2068="",IFERROR(INDEX(Items!$H$5:$H$504,U2068),0),$F2068)),"")</f>
        <v/>
      </c>
      <c r="L2068" s="61" t="str">
        <f aca="false">IF(IsPro,IF($D2068="","",ROUND(N($E2068)*K2068*(1-N($G2068)),2)),"")</f>
        <v/>
      </c>
      <c r="M2068" s="62" t="str">
        <f aca="false">IF(IsPro,IF($D2068="","",IFERROR(INDEX(Items!$F$5:$F$504,U2068),0)),"")</f>
        <v/>
      </c>
      <c r="N2068" s="61" t="str">
        <f aca="false">IF(IsPro,IF($D2068="","",IF(AND(V2068&lt;&gt;"",INDEX(Parties!$E$5:$E$304,V2068)&lt;&gt;"",INDEX(Parties!$E$5:$E$304,V2068)&lt;&gt;HomeState),0,ROUND(L2068*M2068/2,2))),"")</f>
        <v/>
      </c>
      <c r="O2068" s="61" t="str">
        <f aca="false">IF(IsPro,IF($D2068="","",N2068),"")</f>
        <v/>
      </c>
      <c r="P2068" s="61" t="str">
        <f aca="false">IF(IsPro,IF($D2068="","",IF(AND(V2068&lt;&gt;"",INDEX(Parties!$E$5:$E$304,V2068)&lt;&gt;"",INDEX(Parties!$E$5:$E$304,V2068)&lt;&gt;HomeState),ROUND(L2068*M2068,2),0)),"")</f>
        <v/>
      </c>
      <c r="Q2068" s="61" t="str">
        <f aca="false">IF(IsPro,IF($D2068="","",L2068+N2068+O2068+P2068),"")</f>
        <v/>
      </c>
      <c r="R2068" s="61" t="str">
        <f aca="false">IF(IsPro,IF($D2068="","",ROUND(N($E2068)*IFERROR(INDEX(Items!$P$5:$P$504,U2068),0),2)),"")</f>
        <v/>
      </c>
      <c r="S2068" s="61" t="str">
        <f aca="false">IF(IsPro,IF($D2068="","",L2068-R2068),"")</f>
        <v/>
      </c>
      <c r="T2068" s="60" t="str">
        <f aca="false">IF(IsPro,IF($D2068="","",IF(U2068="","UNKNOWN ITEM",IF(INDEX(Items!$O$5:$O$504,U2068)&lt;0,"NEG STOCK",IF(K2068&lt;INDEX(Items!$P$5:$P$504,U2068),"BELOW COST","OK")))),IF($D2068="","","PRO PLAN"))</f>
        <v/>
      </c>
      <c r="U2068" s="60" t="str">
        <f aca="false">IF(IsPro,IF($D2068="","",IFERROR(MATCH($D2068,Items!$A$5:$A$504,0),"")),"")</f>
        <v/>
      </c>
      <c r="V2068" s="60" t="str">
        <f aca="false">IF(IsPro,IF($C2068="","",IFERROR(MATCH($C2068,Parties!$A$5:$A$304,0),"")),"")</f>
        <v/>
      </c>
      <c r="W2068" s="60" t="str">
        <f aca="false">IF(IsPro,IF($B2068="","",IFERROR(VALUE(SUBSTITUTE($B2068,InvPrefix,"")),0)),"")</f>
        <v/>
      </c>
      <c r="X2068" s="61" t="str">
        <f aca="false">IF(IsPro,IF($D2068="","",IF(OR($H2068="",$H2068="Credit"),0,Q2068)),"")</f>
        <v/>
      </c>
    </row>
    <row r="2069" customFormat="false" ht="15" hidden="false" customHeight="false" outlineLevel="0" collapsed="false">
      <c r="A2069" s="55"/>
      <c r="B2069" s="56"/>
      <c r="C2069" s="56"/>
      <c r="D2069" s="56"/>
      <c r="E2069" s="57"/>
      <c r="F2069" s="58"/>
      <c r="G2069" s="59"/>
      <c r="H2069" s="56"/>
      <c r="I2069" s="56"/>
      <c r="J2069" s="60" t="str">
        <f aca="false">IF(IsPro,IF($D2069="","",IFERROR(INDEX(Items!$D$5:$D$504,U2069),"")),"")</f>
        <v/>
      </c>
      <c r="K2069" s="61" t="str">
        <f aca="false">IF(IsPro,IF($D2069="","",IF($F2069="",IFERROR(INDEX(Items!$H$5:$H$504,U2069),0),$F2069)),"")</f>
        <v/>
      </c>
      <c r="L2069" s="61" t="str">
        <f aca="false">IF(IsPro,IF($D2069="","",ROUND(N($E2069)*K2069*(1-N($G2069)),2)),"")</f>
        <v/>
      </c>
      <c r="M2069" s="62" t="str">
        <f aca="false">IF(IsPro,IF($D2069="","",IFERROR(INDEX(Items!$F$5:$F$504,U2069),0)),"")</f>
        <v/>
      </c>
      <c r="N2069" s="61" t="str">
        <f aca="false">IF(IsPro,IF($D2069="","",IF(AND(V2069&lt;&gt;"",INDEX(Parties!$E$5:$E$304,V2069)&lt;&gt;"",INDEX(Parties!$E$5:$E$304,V2069)&lt;&gt;HomeState),0,ROUND(L2069*M2069/2,2))),"")</f>
        <v/>
      </c>
      <c r="O2069" s="61" t="str">
        <f aca="false">IF(IsPro,IF($D2069="","",N2069),"")</f>
        <v/>
      </c>
      <c r="P2069" s="61" t="str">
        <f aca="false">IF(IsPro,IF($D2069="","",IF(AND(V2069&lt;&gt;"",INDEX(Parties!$E$5:$E$304,V2069)&lt;&gt;"",INDEX(Parties!$E$5:$E$304,V2069)&lt;&gt;HomeState),ROUND(L2069*M2069,2),0)),"")</f>
        <v/>
      </c>
      <c r="Q2069" s="61" t="str">
        <f aca="false">IF(IsPro,IF($D2069="","",L2069+N2069+O2069+P2069),"")</f>
        <v/>
      </c>
      <c r="R2069" s="61" t="str">
        <f aca="false">IF(IsPro,IF($D2069="","",ROUND(N($E2069)*IFERROR(INDEX(Items!$P$5:$P$504,U2069),0),2)),"")</f>
        <v/>
      </c>
      <c r="S2069" s="61" t="str">
        <f aca="false">IF(IsPro,IF($D2069="","",L2069-R2069),"")</f>
        <v/>
      </c>
      <c r="T2069" s="60" t="str">
        <f aca="false">IF(IsPro,IF($D2069="","",IF(U2069="","UNKNOWN ITEM",IF(INDEX(Items!$O$5:$O$504,U2069)&lt;0,"NEG STOCK",IF(K2069&lt;INDEX(Items!$P$5:$P$504,U2069),"BELOW COST","OK")))),IF($D2069="","","PRO PLAN"))</f>
        <v/>
      </c>
      <c r="U2069" s="60" t="str">
        <f aca="false">IF(IsPro,IF($D2069="","",IFERROR(MATCH($D2069,Items!$A$5:$A$504,0),"")),"")</f>
        <v/>
      </c>
      <c r="V2069" s="60" t="str">
        <f aca="false">IF(IsPro,IF($C2069="","",IFERROR(MATCH($C2069,Parties!$A$5:$A$304,0),"")),"")</f>
        <v/>
      </c>
      <c r="W2069" s="60" t="str">
        <f aca="false">IF(IsPro,IF($B2069="","",IFERROR(VALUE(SUBSTITUTE($B2069,InvPrefix,"")),0)),"")</f>
        <v/>
      </c>
      <c r="X2069" s="61" t="str">
        <f aca="false">IF(IsPro,IF($D2069="","",IF(OR($H2069="",$H2069="Credit"),0,Q2069)),"")</f>
        <v/>
      </c>
    </row>
    <row r="2070" customFormat="false" ht="15" hidden="false" customHeight="false" outlineLevel="0" collapsed="false">
      <c r="A2070" s="55"/>
      <c r="B2070" s="56"/>
      <c r="C2070" s="56"/>
      <c r="D2070" s="56"/>
      <c r="E2070" s="57"/>
      <c r="F2070" s="58"/>
      <c r="G2070" s="59"/>
      <c r="H2070" s="56"/>
      <c r="I2070" s="56"/>
      <c r="J2070" s="60" t="str">
        <f aca="false">IF(IsPro,IF($D2070="","",IFERROR(INDEX(Items!$D$5:$D$504,U2070),"")),"")</f>
        <v/>
      </c>
      <c r="K2070" s="61" t="str">
        <f aca="false">IF(IsPro,IF($D2070="","",IF($F2070="",IFERROR(INDEX(Items!$H$5:$H$504,U2070),0),$F2070)),"")</f>
        <v/>
      </c>
      <c r="L2070" s="61" t="str">
        <f aca="false">IF(IsPro,IF($D2070="","",ROUND(N($E2070)*K2070*(1-N($G2070)),2)),"")</f>
        <v/>
      </c>
      <c r="M2070" s="62" t="str">
        <f aca="false">IF(IsPro,IF($D2070="","",IFERROR(INDEX(Items!$F$5:$F$504,U2070),0)),"")</f>
        <v/>
      </c>
      <c r="N2070" s="61" t="str">
        <f aca="false">IF(IsPro,IF($D2070="","",IF(AND(V2070&lt;&gt;"",INDEX(Parties!$E$5:$E$304,V2070)&lt;&gt;"",INDEX(Parties!$E$5:$E$304,V2070)&lt;&gt;HomeState),0,ROUND(L2070*M2070/2,2))),"")</f>
        <v/>
      </c>
      <c r="O2070" s="61" t="str">
        <f aca="false">IF(IsPro,IF($D2070="","",N2070),"")</f>
        <v/>
      </c>
      <c r="P2070" s="61" t="str">
        <f aca="false">IF(IsPro,IF($D2070="","",IF(AND(V2070&lt;&gt;"",INDEX(Parties!$E$5:$E$304,V2070)&lt;&gt;"",INDEX(Parties!$E$5:$E$304,V2070)&lt;&gt;HomeState),ROUND(L2070*M2070,2),0)),"")</f>
        <v/>
      </c>
      <c r="Q2070" s="61" t="str">
        <f aca="false">IF(IsPro,IF($D2070="","",L2070+N2070+O2070+P2070),"")</f>
        <v/>
      </c>
      <c r="R2070" s="61" t="str">
        <f aca="false">IF(IsPro,IF($D2070="","",ROUND(N($E2070)*IFERROR(INDEX(Items!$P$5:$P$504,U2070),0),2)),"")</f>
        <v/>
      </c>
      <c r="S2070" s="61" t="str">
        <f aca="false">IF(IsPro,IF($D2070="","",L2070-R2070),"")</f>
        <v/>
      </c>
      <c r="T2070" s="60" t="str">
        <f aca="false">IF(IsPro,IF($D2070="","",IF(U2070="","UNKNOWN ITEM",IF(INDEX(Items!$O$5:$O$504,U2070)&lt;0,"NEG STOCK",IF(K2070&lt;INDEX(Items!$P$5:$P$504,U2070),"BELOW COST","OK")))),IF($D2070="","","PRO PLAN"))</f>
        <v/>
      </c>
      <c r="U2070" s="60" t="str">
        <f aca="false">IF(IsPro,IF($D2070="","",IFERROR(MATCH($D2070,Items!$A$5:$A$504,0),"")),"")</f>
        <v/>
      </c>
      <c r="V2070" s="60" t="str">
        <f aca="false">IF(IsPro,IF($C2070="","",IFERROR(MATCH($C2070,Parties!$A$5:$A$304,0),"")),"")</f>
        <v/>
      </c>
      <c r="W2070" s="60" t="str">
        <f aca="false">IF(IsPro,IF($B2070="","",IFERROR(VALUE(SUBSTITUTE($B2070,InvPrefix,"")),0)),"")</f>
        <v/>
      </c>
      <c r="X2070" s="61" t="str">
        <f aca="false">IF(IsPro,IF($D2070="","",IF(OR($H2070="",$H2070="Credit"),0,Q2070)),"")</f>
        <v/>
      </c>
    </row>
    <row r="2071" customFormat="false" ht="15" hidden="false" customHeight="false" outlineLevel="0" collapsed="false">
      <c r="A2071" s="55"/>
      <c r="B2071" s="56"/>
      <c r="C2071" s="56"/>
      <c r="D2071" s="56"/>
      <c r="E2071" s="57"/>
      <c r="F2071" s="58"/>
      <c r="G2071" s="59"/>
      <c r="H2071" s="56"/>
      <c r="I2071" s="56"/>
      <c r="J2071" s="60" t="str">
        <f aca="false">IF(IsPro,IF($D2071="","",IFERROR(INDEX(Items!$D$5:$D$504,U2071),"")),"")</f>
        <v/>
      </c>
      <c r="K2071" s="61" t="str">
        <f aca="false">IF(IsPro,IF($D2071="","",IF($F2071="",IFERROR(INDEX(Items!$H$5:$H$504,U2071),0),$F2071)),"")</f>
        <v/>
      </c>
      <c r="L2071" s="61" t="str">
        <f aca="false">IF(IsPro,IF($D2071="","",ROUND(N($E2071)*K2071*(1-N($G2071)),2)),"")</f>
        <v/>
      </c>
      <c r="M2071" s="62" t="str">
        <f aca="false">IF(IsPro,IF($D2071="","",IFERROR(INDEX(Items!$F$5:$F$504,U2071),0)),"")</f>
        <v/>
      </c>
      <c r="N2071" s="61" t="str">
        <f aca="false">IF(IsPro,IF($D2071="","",IF(AND(V2071&lt;&gt;"",INDEX(Parties!$E$5:$E$304,V2071)&lt;&gt;"",INDEX(Parties!$E$5:$E$304,V2071)&lt;&gt;HomeState),0,ROUND(L2071*M2071/2,2))),"")</f>
        <v/>
      </c>
      <c r="O2071" s="61" t="str">
        <f aca="false">IF(IsPro,IF($D2071="","",N2071),"")</f>
        <v/>
      </c>
      <c r="P2071" s="61" t="str">
        <f aca="false">IF(IsPro,IF($D2071="","",IF(AND(V2071&lt;&gt;"",INDEX(Parties!$E$5:$E$304,V2071)&lt;&gt;"",INDEX(Parties!$E$5:$E$304,V2071)&lt;&gt;HomeState),ROUND(L2071*M2071,2),0)),"")</f>
        <v/>
      </c>
      <c r="Q2071" s="61" t="str">
        <f aca="false">IF(IsPro,IF($D2071="","",L2071+N2071+O2071+P2071),"")</f>
        <v/>
      </c>
      <c r="R2071" s="61" t="str">
        <f aca="false">IF(IsPro,IF($D2071="","",ROUND(N($E2071)*IFERROR(INDEX(Items!$P$5:$P$504,U2071),0),2)),"")</f>
        <v/>
      </c>
      <c r="S2071" s="61" t="str">
        <f aca="false">IF(IsPro,IF($D2071="","",L2071-R2071),"")</f>
        <v/>
      </c>
      <c r="T2071" s="60" t="str">
        <f aca="false">IF(IsPro,IF($D2071="","",IF(U2071="","UNKNOWN ITEM",IF(INDEX(Items!$O$5:$O$504,U2071)&lt;0,"NEG STOCK",IF(K2071&lt;INDEX(Items!$P$5:$P$504,U2071),"BELOW COST","OK")))),IF($D2071="","","PRO PLAN"))</f>
        <v/>
      </c>
      <c r="U2071" s="60" t="str">
        <f aca="false">IF(IsPro,IF($D2071="","",IFERROR(MATCH($D2071,Items!$A$5:$A$504,0),"")),"")</f>
        <v/>
      </c>
      <c r="V2071" s="60" t="str">
        <f aca="false">IF(IsPro,IF($C2071="","",IFERROR(MATCH($C2071,Parties!$A$5:$A$304,0),"")),"")</f>
        <v/>
      </c>
      <c r="W2071" s="60" t="str">
        <f aca="false">IF(IsPro,IF($B2071="","",IFERROR(VALUE(SUBSTITUTE($B2071,InvPrefix,"")),0)),"")</f>
        <v/>
      </c>
      <c r="X2071" s="61" t="str">
        <f aca="false">IF(IsPro,IF($D2071="","",IF(OR($H2071="",$H2071="Credit"),0,Q2071)),"")</f>
        <v/>
      </c>
    </row>
    <row r="2072" customFormat="false" ht="15" hidden="false" customHeight="false" outlineLevel="0" collapsed="false">
      <c r="A2072" s="55"/>
      <c r="B2072" s="56"/>
      <c r="C2072" s="56"/>
      <c r="D2072" s="56"/>
      <c r="E2072" s="57"/>
      <c r="F2072" s="58"/>
      <c r="G2072" s="59"/>
      <c r="H2072" s="56"/>
      <c r="I2072" s="56"/>
      <c r="J2072" s="60" t="str">
        <f aca="false">IF(IsPro,IF($D2072="","",IFERROR(INDEX(Items!$D$5:$D$504,U2072),"")),"")</f>
        <v/>
      </c>
      <c r="K2072" s="61" t="str">
        <f aca="false">IF(IsPro,IF($D2072="","",IF($F2072="",IFERROR(INDEX(Items!$H$5:$H$504,U2072),0),$F2072)),"")</f>
        <v/>
      </c>
      <c r="L2072" s="61" t="str">
        <f aca="false">IF(IsPro,IF($D2072="","",ROUND(N($E2072)*K2072*(1-N($G2072)),2)),"")</f>
        <v/>
      </c>
      <c r="M2072" s="62" t="str">
        <f aca="false">IF(IsPro,IF($D2072="","",IFERROR(INDEX(Items!$F$5:$F$504,U2072),0)),"")</f>
        <v/>
      </c>
      <c r="N2072" s="61" t="str">
        <f aca="false">IF(IsPro,IF($D2072="","",IF(AND(V2072&lt;&gt;"",INDEX(Parties!$E$5:$E$304,V2072)&lt;&gt;"",INDEX(Parties!$E$5:$E$304,V2072)&lt;&gt;HomeState),0,ROUND(L2072*M2072/2,2))),"")</f>
        <v/>
      </c>
      <c r="O2072" s="61" t="str">
        <f aca="false">IF(IsPro,IF($D2072="","",N2072),"")</f>
        <v/>
      </c>
      <c r="P2072" s="61" t="str">
        <f aca="false">IF(IsPro,IF($D2072="","",IF(AND(V2072&lt;&gt;"",INDEX(Parties!$E$5:$E$304,V2072)&lt;&gt;"",INDEX(Parties!$E$5:$E$304,V2072)&lt;&gt;HomeState),ROUND(L2072*M2072,2),0)),"")</f>
        <v/>
      </c>
      <c r="Q2072" s="61" t="str">
        <f aca="false">IF(IsPro,IF($D2072="","",L2072+N2072+O2072+P2072),"")</f>
        <v/>
      </c>
      <c r="R2072" s="61" t="str">
        <f aca="false">IF(IsPro,IF($D2072="","",ROUND(N($E2072)*IFERROR(INDEX(Items!$P$5:$P$504,U2072),0),2)),"")</f>
        <v/>
      </c>
      <c r="S2072" s="61" t="str">
        <f aca="false">IF(IsPro,IF($D2072="","",L2072-R2072),"")</f>
        <v/>
      </c>
      <c r="T2072" s="60" t="str">
        <f aca="false">IF(IsPro,IF($D2072="","",IF(U2072="","UNKNOWN ITEM",IF(INDEX(Items!$O$5:$O$504,U2072)&lt;0,"NEG STOCK",IF(K2072&lt;INDEX(Items!$P$5:$P$504,U2072),"BELOW COST","OK")))),IF($D2072="","","PRO PLAN"))</f>
        <v/>
      </c>
      <c r="U2072" s="60" t="str">
        <f aca="false">IF(IsPro,IF($D2072="","",IFERROR(MATCH($D2072,Items!$A$5:$A$504,0),"")),"")</f>
        <v/>
      </c>
      <c r="V2072" s="60" t="str">
        <f aca="false">IF(IsPro,IF($C2072="","",IFERROR(MATCH($C2072,Parties!$A$5:$A$304,0),"")),"")</f>
        <v/>
      </c>
      <c r="W2072" s="60" t="str">
        <f aca="false">IF(IsPro,IF($B2072="","",IFERROR(VALUE(SUBSTITUTE($B2072,InvPrefix,"")),0)),"")</f>
        <v/>
      </c>
      <c r="X2072" s="61" t="str">
        <f aca="false">IF(IsPro,IF($D2072="","",IF(OR($H2072="",$H2072="Credit"),0,Q2072)),"")</f>
        <v/>
      </c>
    </row>
    <row r="2073" customFormat="false" ht="15" hidden="false" customHeight="false" outlineLevel="0" collapsed="false">
      <c r="A2073" s="55"/>
      <c r="B2073" s="56"/>
      <c r="C2073" s="56"/>
      <c r="D2073" s="56"/>
      <c r="E2073" s="57"/>
      <c r="F2073" s="58"/>
      <c r="G2073" s="59"/>
      <c r="H2073" s="56"/>
      <c r="I2073" s="56"/>
      <c r="J2073" s="60" t="str">
        <f aca="false">IF(IsPro,IF($D2073="","",IFERROR(INDEX(Items!$D$5:$D$504,U2073),"")),"")</f>
        <v/>
      </c>
      <c r="K2073" s="61" t="str">
        <f aca="false">IF(IsPro,IF($D2073="","",IF($F2073="",IFERROR(INDEX(Items!$H$5:$H$504,U2073),0),$F2073)),"")</f>
        <v/>
      </c>
      <c r="L2073" s="61" t="str">
        <f aca="false">IF(IsPro,IF($D2073="","",ROUND(N($E2073)*K2073*(1-N($G2073)),2)),"")</f>
        <v/>
      </c>
      <c r="M2073" s="62" t="str">
        <f aca="false">IF(IsPro,IF($D2073="","",IFERROR(INDEX(Items!$F$5:$F$504,U2073),0)),"")</f>
        <v/>
      </c>
      <c r="N2073" s="61" t="str">
        <f aca="false">IF(IsPro,IF($D2073="","",IF(AND(V2073&lt;&gt;"",INDEX(Parties!$E$5:$E$304,V2073)&lt;&gt;"",INDEX(Parties!$E$5:$E$304,V2073)&lt;&gt;HomeState),0,ROUND(L2073*M2073/2,2))),"")</f>
        <v/>
      </c>
      <c r="O2073" s="61" t="str">
        <f aca="false">IF(IsPro,IF($D2073="","",N2073),"")</f>
        <v/>
      </c>
      <c r="P2073" s="61" t="str">
        <f aca="false">IF(IsPro,IF($D2073="","",IF(AND(V2073&lt;&gt;"",INDEX(Parties!$E$5:$E$304,V2073)&lt;&gt;"",INDEX(Parties!$E$5:$E$304,V2073)&lt;&gt;HomeState),ROUND(L2073*M2073,2),0)),"")</f>
        <v/>
      </c>
      <c r="Q2073" s="61" t="str">
        <f aca="false">IF(IsPro,IF($D2073="","",L2073+N2073+O2073+P2073),"")</f>
        <v/>
      </c>
      <c r="R2073" s="61" t="str">
        <f aca="false">IF(IsPro,IF($D2073="","",ROUND(N($E2073)*IFERROR(INDEX(Items!$P$5:$P$504,U2073),0),2)),"")</f>
        <v/>
      </c>
      <c r="S2073" s="61" t="str">
        <f aca="false">IF(IsPro,IF($D2073="","",L2073-R2073),"")</f>
        <v/>
      </c>
      <c r="T2073" s="60" t="str">
        <f aca="false">IF(IsPro,IF($D2073="","",IF(U2073="","UNKNOWN ITEM",IF(INDEX(Items!$O$5:$O$504,U2073)&lt;0,"NEG STOCK",IF(K2073&lt;INDEX(Items!$P$5:$P$504,U2073),"BELOW COST","OK")))),IF($D2073="","","PRO PLAN"))</f>
        <v/>
      </c>
      <c r="U2073" s="60" t="str">
        <f aca="false">IF(IsPro,IF($D2073="","",IFERROR(MATCH($D2073,Items!$A$5:$A$504,0),"")),"")</f>
        <v/>
      </c>
      <c r="V2073" s="60" t="str">
        <f aca="false">IF(IsPro,IF($C2073="","",IFERROR(MATCH($C2073,Parties!$A$5:$A$304,0),"")),"")</f>
        <v/>
      </c>
      <c r="W2073" s="60" t="str">
        <f aca="false">IF(IsPro,IF($B2073="","",IFERROR(VALUE(SUBSTITUTE($B2073,InvPrefix,"")),0)),"")</f>
        <v/>
      </c>
      <c r="X2073" s="61" t="str">
        <f aca="false">IF(IsPro,IF($D2073="","",IF(OR($H2073="",$H2073="Credit"),0,Q2073)),"")</f>
        <v/>
      </c>
    </row>
    <row r="2074" customFormat="false" ht="15" hidden="false" customHeight="false" outlineLevel="0" collapsed="false">
      <c r="A2074" s="55"/>
      <c r="B2074" s="56"/>
      <c r="C2074" s="56"/>
      <c r="D2074" s="56"/>
      <c r="E2074" s="57"/>
      <c r="F2074" s="58"/>
      <c r="G2074" s="59"/>
      <c r="H2074" s="56"/>
      <c r="I2074" s="56"/>
      <c r="J2074" s="60" t="str">
        <f aca="false">IF(IsPro,IF($D2074="","",IFERROR(INDEX(Items!$D$5:$D$504,U2074),"")),"")</f>
        <v/>
      </c>
      <c r="K2074" s="61" t="str">
        <f aca="false">IF(IsPro,IF($D2074="","",IF($F2074="",IFERROR(INDEX(Items!$H$5:$H$504,U2074),0),$F2074)),"")</f>
        <v/>
      </c>
      <c r="L2074" s="61" t="str">
        <f aca="false">IF(IsPro,IF($D2074="","",ROUND(N($E2074)*K2074*(1-N($G2074)),2)),"")</f>
        <v/>
      </c>
      <c r="M2074" s="62" t="str">
        <f aca="false">IF(IsPro,IF($D2074="","",IFERROR(INDEX(Items!$F$5:$F$504,U2074),0)),"")</f>
        <v/>
      </c>
      <c r="N2074" s="61" t="str">
        <f aca="false">IF(IsPro,IF($D2074="","",IF(AND(V2074&lt;&gt;"",INDEX(Parties!$E$5:$E$304,V2074)&lt;&gt;"",INDEX(Parties!$E$5:$E$304,V2074)&lt;&gt;HomeState),0,ROUND(L2074*M2074/2,2))),"")</f>
        <v/>
      </c>
      <c r="O2074" s="61" t="str">
        <f aca="false">IF(IsPro,IF($D2074="","",N2074),"")</f>
        <v/>
      </c>
      <c r="P2074" s="61" t="str">
        <f aca="false">IF(IsPro,IF($D2074="","",IF(AND(V2074&lt;&gt;"",INDEX(Parties!$E$5:$E$304,V2074)&lt;&gt;"",INDEX(Parties!$E$5:$E$304,V2074)&lt;&gt;HomeState),ROUND(L2074*M2074,2),0)),"")</f>
        <v/>
      </c>
      <c r="Q2074" s="61" t="str">
        <f aca="false">IF(IsPro,IF($D2074="","",L2074+N2074+O2074+P2074),"")</f>
        <v/>
      </c>
      <c r="R2074" s="61" t="str">
        <f aca="false">IF(IsPro,IF($D2074="","",ROUND(N($E2074)*IFERROR(INDEX(Items!$P$5:$P$504,U2074),0),2)),"")</f>
        <v/>
      </c>
      <c r="S2074" s="61" t="str">
        <f aca="false">IF(IsPro,IF($D2074="","",L2074-R2074),"")</f>
        <v/>
      </c>
      <c r="T2074" s="60" t="str">
        <f aca="false">IF(IsPro,IF($D2074="","",IF(U2074="","UNKNOWN ITEM",IF(INDEX(Items!$O$5:$O$504,U2074)&lt;0,"NEG STOCK",IF(K2074&lt;INDEX(Items!$P$5:$P$504,U2074),"BELOW COST","OK")))),IF($D2074="","","PRO PLAN"))</f>
        <v/>
      </c>
      <c r="U2074" s="60" t="str">
        <f aca="false">IF(IsPro,IF($D2074="","",IFERROR(MATCH($D2074,Items!$A$5:$A$504,0),"")),"")</f>
        <v/>
      </c>
      <c r="V2074" s="60" t="str">
        <f aca="false">IF(IsPro,IF($C2074="","",IFERROR(MATCH($C2074,Parties!$A$5:$A$304,0),"")),"")</f>
        <v/>
      </c>
      <c r="W2074" s="60" t="str">
        <f aca="false">IF(IsPro,IF($B2074="","",IFERROR(VALUE(SUBSTITUTE($B2074,InvPrefix,"")),0)),"")</f>
        <v/>
      </c>
      <c r="X2074" s="61" t="str">
        <f aca="false">IF(IsPro,IF($D2074="","",IF(OR($H2074="",$H2074="Credit"),0,Q2074)),"")</f>
        <v/>
      </c>
    </row>
    <row r="2075" customFormat="false" ht="15" hidden="false" customHeight="false" outlineLevel="0" collapsed="false">
      <c r="A2075" s="55"/>
      <c r="B2075" s="56"/>
      <c r="C2075" s="56"/>
      <c r="D2075" s="56"/>
      <c r="E2075" s="57"/>
      <c r="F2075" s="58"/>
      <c r="G2075" s="59"/>
      <c r="H2075" s="56"/>
      <c r="I2075" s="56"/>
      <c r="J2075" s="60" t="str">
        <f aca="false">IF(IsPro,IF($D2075="","",IFERROR(INDEX(Items!$D$5:$D$504,U2075),"")),"")</f>
        <v/>
      </c>
      <c r="K2075" s="61" t="str">
        <f aca="false">IF(IsPro,IF($D2075="","",IF($F2075="",IFERROR(INDEX(Items!$H$5:$H$504,U2075),0),$F2075)),"")</f>
        <v/>
      </c>
      <c r="L2075" s="61" t="str">
        <f aca="false">IF(IsPro,IF($D2075="","",ROUND(N($E2075)*K2075*(1-N($G2075)),2)),"")</f>
        <v/>
      </c>
      <c r="M2075" s="62" t="str">
        <f aca="false">IF(IsPro,IF($D2075="","",IFERROR(INDEX(Items!$F$5:$F$504,U2075),0)),"")</f>
        <v/>
      </c>
      <c r="N2075" s="61" t="str">
        <f aca="false">IF(IsPro,IF($D2075="","",IF(AND(V2075&lt;&gt;"",INDEX(Parties!$E$5:$E$304,V2075)&lt;&gt;"",INDEX(Parties!$E$5:$E$304,V2075)&lt;&gt;HomeState),0,ROUND(L2075*M2075/2,2))),"")</f>
        <v/>
      </c>
      <c r="O2075" s="61" t="str">
        <f aca="false">IF(IsPro,IF($D2075="","",N2075),"")</f>
        <v/>
      </c>
      <c r="P2075" s="61" t="str">
        <f aca="false">IF(IsPro,IF($D2075="","",IF(AND(V2075&lt;&gt;"",INDEX(Parties!$E$5:$E$304,V2075)&lt;&gt;"",INDEX(Parties!$E$5:$E$304,V2075)&lt;&gt;HomeState),ROUND(L2075*M2075,2),0)),"")</f>
        <v/>
      </c>
      <c r="Q2075" s="61" t="str">
        <f aca="false">IF(IsPro,IF($D2075="","",L2075+N2075+O2075+P2075),"")</f>
        <v/>
      </c>
      <c r="R2075" s="61" t="str">
        <f aca="false">IF(IsPro,IF($D2075="","",ROUND(N($E2075)*IFERROR(INDEX(Items!$P$5:$P$504,U2075),0),2)),"")</f>
        <v/>
      </c>
      <c r="S2075" s="61" t="str">
        <f aca="false">IF(IsPro,IF($D2075="","",L2075-R2075),"")</f>
        <v/>
      </c>
      <c r="T2075" s="60" t="str">
        <f aca="false">IF(IsPro,IF($D2075="","",IF(U2075="","UNKNOWN ITEM",IF(INDEX(Items!$O$5:$O$504,U2075)&lt;0,"NEG STOCK",IF(K2075&lt;INDEX(Items!$P$5:$P$504,U2075),"BELOW COST","OK")))),IF($D2075="","","PRO PLAN"))</f>
        <v/>
      </c>
      <c r="U2075" s="60" t="str">
        <f aca="false">IF(IsPro,IF($D2075="","",IFERROR(MATCH($D2075,Items!$A$5:$A$504,0),"")),"")</f>
        <v/>
      </c>
      <c r="V2075" s="60" t="str">
        <f aca="false">IF(IsPro,IF($C2075="","",IFERROR(MATCH($C2075,Parties!$A$5:$A$304,0),"")),"")</f>
        <v/>
      </c>
      <c r="W2075" s="60" t="str">
        <f aca="false">IF(IsPro,IF($B2075="","",IFERROR(VALUE(SUBSTITUTE($B2075,InvPrefix,"")),0)),"")</f>
        <v/>
      </c>
      <c r="X2075" s="61" t="str">
        <f aca="false">IF(IsPro,IF($D2075="","",IF(OR($H2075="",$H2075="Credit"),0,Q2075)),"")</f>
        <v/>
      </c>
    </row>
    <row r="2076" customFormat="false" ht="15" hidden="false" customHeight="false" outlineLevel="0" collapsed="false">
      <c r="A2076" s="55"/>
      <c r="B2076" s="56"/>
      <c r="C2076" s="56"/>
      <c r="D2076" s="56"/>
      <c r="E2076" s="57"/>
      <c r="F2076" s="58"/>
      <c r="G2076" s="59"/>
      <c r="H2076" s="56"/>
      <c r="I2076" s="56"/>
      <c r="J2076" s="60" t="str">
        <f aca="false">IF(IsPro,IF($D2076="","",IFERROR(INDEX(Items!$D$5:$D$504,U2076),"")),"")</f>
        <v/>
      </c>
      <c r="K2076" s="61" t="str">
        <f aca="false">IF(IsPro,IF($D2076="","",IF($F2076="",IFERROR(INDEX(Items!$H$5:$H$504,U2076),0),$F2076)),"")</f>
        <v/>
      </c>
      <c r="L2076" s="61" t="str">
        <f aca="false">IF(IsPro,IF($D2076="","",ROUND(N($E2076)*K2076*(1-N($G2076)),2)),"")</f>
        <v/>
      </c>
      <c r="M2076" s="62" t="str">
        <f aca="false">IF(IsPro,IF($D2076="","",IFERROR(INDEX(Items!$F$5:$F$504,U2076),0)),"")</f>
        <v/>
      </c>
      <c r="N2076" s="61" t="str">
        <f aca="false">IF(IsPro,IF($D2076="","",IF(AND(V2076&lt;&gt;"",INDEX(Parties!$E$5:$E$304,V2076)&lt;&gt;"",INDEX(Parties!$E$5:$E$304,V2076)&lt;&gt;HomeState),0,ROUND(L2076*M2076/2,2))),"")</f>
        <v/>
      </c>
      <c r="O2076" s="61" t="str">
        <f aca="false">IF(IsPro,IF($D2076="","",N2076),"")</f>
        <v/>
      </c>
      <c r="P2076" s="61" t="str">
        <f aca="false">IF(IsPro,IF($D2076="","",IF(AND(V2076&lt;&gt;"",INDEX(Parties!$E$5:$E$304,V2076)&lt;&gt;"",INDEX(Parties!$E$5:$E$304,V2076)&lt;&gt;HomeState),ROUND(L2076*M2076,2),0)),"")</f>
        <v/>
      </c>
      <c r="Q2076" s="61" t="str">
        <f aca="false">IF(IsPro,IF($D2076="","",L2076+N2076+O2076+P2076),"")</f>
        <v/>
      </c>
      <c r="R2076" s="61" t="str">
        <f aca="false">IF(IsPro,IF($D2076="","",ROUND(N($E2076)*IFERROR(INDEX(Items!$P$5:$P$504,U2076),0),2)),"")</f>
        <v/>
      </c>
      <c r="S2076" s="61" t="str">
        <f aca="false">IF(IsPro,IF($D2076="","",L2076-R2076),"")</f>
        <v/>
      </c>
      <c r="T2076" s="60" t="str">
        <f aca="false">IF(IsPro,IF($D2076="","",IF(U2076="","UNKNOWN ITEM",IF(INDEX(Items!$O$5:$O$504,U2076)&lt;0,"NEG STOCK",IF(K2076&lt;INDEX(Items!$P$5:$P$504,U2076),"BELOW COST","OK")))),IF($D2076="","","PRO PLAN"))</f>
        <v/>
      </c>
      <c r="U2076" s="60" t="str">
        <f aca="false">IF(IsPro,IF($D2076="","",IFERROR(MATCH($D2076,Items!$A$5:$A$504,0),"")),"")</f>
        <v/>
      </c>
      <c r="V2076" s="60" t="str">
        <f aca="false">IF(IsPro,IF($C2076="","",IFERROR(MATCH($C2076,Parties!$A$5:$A$304,0),"")),"")</f>
        <v/>
      </c>
      <c r="W2076" s="60" t="str">
        <f aca="false">IF(IsPro,IF($B2076="","",IFERROR(VALUE(SUBSTITUTE($B2076,InvPrefix,"")),0)),"")</f>
        <v/>
      </c>
      <c r="X2076" s="61" t="str">
        <f aca="false">IF(IsPro,IF($D2076="","",IF(OR($H2076="",$H2076="Credit"),0,Q2076)),"")</f>
        <v/>
      </c>
    </row>
    <row r="2077" customFormat="false" ht="15" hidden="false" customHeight="false" outlineLevel="0" collapsed="false">
      <c r="A2077" s="55"/>
      <c r="B2077" s="56"/>
      <c r="C2077" s="56"/>
      <c r="D2077" s="56"/>
      <c r="E2077" s="57"/>
      <c r="F2077" s="58"/>
      <c r="G2077" s="59"/>
      <c r="H2077" s="56"/>
      <c r="I2077" s="56"/>
      <c r="J2077" s="60" t="str">
        <f aca="false">IF(IsPro,IF($D2077="","",IFERROR(INDEX(Items!$D$5:$D$504,U2077),"")),"")</f>
        <v/>
      </c>
      <c r="K2077" s="61" t="str">
        <f aca="false">IF(IsPro,IF($D2077="","",IF($F2077="",IFERROR(INDEX(Items!$H$5:$H$504,U2077),0),$F2077)),"")</f>
        <v/>
      </c>
      <c r="L2077" s="61" t="str">
        <f aca="false">IF(IsPro,IF($D2077="","",ROUND(N($E2077)*K2077*(1-N($G2077)),2)),"")</f>
        <v/>
      </c>
      <c r="M2077" s="62" t="str">
        <f aca="false">IF(IsPro,IF($D2077="","",IFERROR(INDEX(Items!$F$5:$F$504,U2077),0)),"")</f>
        <v/>
      </c>
      <c r="N2077" s="61" t="str">
        <f aca="false">IF(IsPro,IF($D2077="","",IF(AND(V2077&lt;&gt;"",INDEX(Parties!$E$5:$E$304,V2077)&lt;&gt;"",INDEX(Parties!$E$5:$E$304,V2077)&lt;&gt;HomeState),0,ROUND(L2077*M2077/2,2))),"")</f>
        <v/>
      </c>
      <c r="O2077" s="61" t="str">
        <f aca="false">IF(IsPro,IF($D2077="","",N2077),"")</f>
        <v/>
      </c>
      <c r="P2077" s="61" t="str">
        <f aca="false">IF(IsPro,IF($D2077="","",IF(AND(V2077&lt;&gt;"",INDEX(Parties!$E$5:$E$304,V2077)&lt;&gt;"",INDEX(Parties!$E$5:$E$304,V2077)&lt;&gt;HomeState),ROUND(L2077*M2077,2),0)),"")</f>
        <v/>
      </c>
      <c r="Q2077" s="61" t="str">
        <f aca="false">IF(IsPro,IF($D2077="","",L2077+N2077+O2077+P2077),"")</f>
        <v/>
      </c>
      <c r="R2077" s="61" t="str">
        <f aca="false">IF(IsPro,IF($D2077="","",ROUND(N($E2077)*IFERROR(INDEX(Items!$P$5:$P$504,U2077),0),2)),"")</f>
        <v/>
      </c>
      <c r="S2077" s="61" t="str">
        <f aca="false">IF(IsPro,IF($D2077="","",L2077-R2077),"")</f>
        <v/>
      </c>
      <c r="T2077" s="60" t="str">
        <f aca="false">IF(IsPro,IF($D2077="","",IF(U2077="","UNKNOWN ITEM",IF(INDEX(Items!$O$5:$O$504,U2077)&lt;0,"NEG STOCK",IF(K2077&lt;INDEX(Items!$P$5:$P$504,U2077),"BELOW COST","OK")))),IF($D2077="","","PRO PLAN"))</f>
        <v/>
      </c>
      <c r="U2077" s="60" t="str">
        <f aca="false">IF(IsPro,IF($D2077="","",IFERROR(MATCH($D2077,Items!$A$5:$A$504,0),"")),"")</f>
        <v/>
      </c>
      <c r="V2077" s="60" t="str">
        <f aca="false">IF(IsPro,IF($C2077="","",IFERROR(MATCH($C2077,Parties!$A$5:$A$304,0),"")),"")</f>
        <v/>
      </c>
      <c r="W2077" s="60" t="str">
        <f aca="false">IF(IsPro,IF($B2077="","",IFERROR(VALUE(SUBSTITUTE($B2077,InvPrefix,"")),0)),"")</f>
        <v/>
      </c>
      <c r="X2077" s="61" t="str">
        <f aca="false">IF(IsPro,IF($D2077="","",IF(OR($H2077="",$H2077="Credit"),0,Q2077)),"")</f>
        <v/>
      </c>
    </row>
    <row r="2078" customFormat="false" ht="15" hidden="false" customHeight="false" outlineLevel="0" collapsed="false">
      <c r="A2078" s="55"/>
      <c r="B2078" s="56"/>
      <c r="C2078" s="56"/>
      <c r="D2078" s="56"/>
      <c r="E2078" s="57"/>
      <c r="F2078" s="58"/>
      <c r="G2078" s="59"/>
      <c r="H2078" s="56"/>
      <c r="I2078" s="56"/>
      <c r="J2078" s="60" t="str">
        <f aca="false">IF(IsPro,IF($D2078="","",IFERROR(INDEX(Items!$D$5:$D$504,U2078),"")),"")</f>
        <v/>
      </c>
      <c r="K2078" s="61" t="str">
        <f aca="false">IF(IsPro,IF($D2078="","",IF($F2078="",IFERROR(INDEX(Items!$H$5:$H$504,U2078),0),$F2078)),"")</f>
        <v/>
      </c>
      <c r="L2078" s="61" t="str">
        <f aca="false">IF(IsPro,IF($D2078="","",ROUND(N($E2078)*K2078*(1-N($G2078)),2)),"")</f>
        <v/>
      </c>
      <c r="M2078" s="62" t="str">
        <f aca="false">IF(IsPro,IF($D2078="","",IFERROR(INDEX(Items!$F$5:$F$504,U2078),0)),"")</f>
        <v/>
      </c>
      <c r="N2078" s="61" t="str">
        <f aca="false">IF(IsPro,IF($D2078="","",IF(AND(V2078&lt;&gt;"",INDEX(Parties!$E$5:$E$304,V2078)&lt;&gt;"",INDEX(Parties!$E$5:$E$304,V2078)&lt;&gt;HomeState),0,ROUND(L2078*M2078/2,2))),"")</f>
        <v/>
      </c>
      <c r="O2078" s="61" t="str">
        <f aca="false">IF(IsPro,IF($D2078="","",N2078),"")</f>
        <v/>
      </c>
      <c r="P2078" s="61" t="str">
        <f aca="false">IF(IsPro,IF($D2078="","",IF(AND(V2078&lt;&gt;"",INDEX(Parties!$E$5:$E$304,V2078)&lt;&gt;"",INDEX(Parties!$E$5:$E$304,V2078)&lt;&gt;HomeState),ROUND(L2078*M2078,2),0)),"")</f>
        <v/>
      </c>
      <c r="Q2078" s="61" t="str">
        <f aca="false">IF(IsPro,IF($D2078="","",L2078+N2078+O2078+P2078),"")</f>
        <v/>
      </c>
      <c r="R2078" s="61" t="str">
        <f aca="false">IF(IsPro,IF($D2078="","",ROUND(N($E2078)*IFERROR(INDEX(Items!$P$5:$P$504,U2078),0),2)),"")</f>
        <v/>
      </c>
      <c r="S2078" s="61" t="str">
        <f aca="false">IF(IsPro,IF($D2078="","",L2078-R2078),"")</f>
        <v/>
      </c>
      <c r="T2078" s="60" t="str">
        <f aca="false">IF(IsPro,IF($D2078="","",IF(U2078="","UNKNOWN ITEM",IF(INDEX(Items!$O$5:$O$504,U2078)&lt;0,"NEG STOCK",IF(K2078&lt;INDEX(Items!$P$5:$P$504,U2078),"BELOW COST","OK")))),IF($D2078="","","PRO PLAN"))</f>
        <v/>
      </c>
      <c r="U2078" s="60" t="str">
        <f aca="false">IF(IsPro,IF($D2078="","",IFERROR(MATCH($D2078,Items!$A$5:$A$504,0),"")),"")</f>
        <v/>
      </c>
      <c r="V2078" s="60" t="str">
        <f aca="false">IF(IsPro,IF($C2078="","",IFERROR(MATCH($C2078,Parties!$A$5:$A$304,0),"")),"")</f>
        <v/>
      </c>
      <c r="W2078" s="60" t="str">
        <f aca="false">IF(IsPro,IF($B2078="","",IFERROR(VALUE(SUBSTITUTE($B2078,InvPrefix,"")),0)),"")</f>
        <v/>
      </c>
      <c r="X2078" s="61" t="str">
        <f aca="false">IF(IsPro,IF($D2078="","",IF(OR($H2078="",$H2078="Credit"),0,Q2078)),"")</f>
        <v/>
      </c>
    </row>
    <row r="2079" customFormat="false" ht="15" hidden="false" customHeight="false" outlineLevel="0" collapsed="false">
      <c r="A2079" s="55"/>
      <c r="B2079" s="56"/>
      <c r="C2079" s="56"/>
      <c r="D2079" s="56"/>
      <c r="E2079" s="57"/>
      <c r="F2079" s="58"/>
      <c r="G2079" s="59"/>
      <c r="H2079" s="56"/>
      <c r="I2079" s="56"/>
      <c r="J2079" s="60" t="str">
        <f aca="false">IF(IsPro,IF($D2079="","",IFERROR(INDEX(Items!$D$5:$D$504,U2079),"")),"")</f>
        <v/>
      </c>
      <c r="K2079" s="61" t="str">
        <f aca="false">IF(IsPro,IF($D2079="","",IF($F2079="",IFERROR(INDEX(Items!$H$5:$H$504,U2079),0),$F2079)),"")</f>
        <v/>
      </c>
      <c r="L2079" s="61" t="str">
        <f aca="false">IF(IsPro,IF($D2079="","",ROUND(N($E2079)*K2079*(1-N($G2079)),2)),"")</f>
        <v/>
      </c>
      <c r="M2079" s="62" t="str">
        <f aca="false">IF(IsPro,IF($D2079="","",IFERROR(INDEX(Items!$F$5:$F$504,U2079),0)),"")</f>
        <v/>
      </c>
      <c r="N2079" s="61" t="str">
        <f aca="false">IF(IsPro,IF($D2079="","",IF(AND(V2079&lt;&gt;"",INDEX(Parties!$E$5:$E$304,V2079)&lt;&gt;"",INDEX(Parties!$E$5:$E$304,V2079)&lt;&gt;HomeState),0,ROUND(L2079*M2079/2,2))),"")</f>
        <v/>
      </c>
      <c r="O2079" s="61" t="str">
        <f aca="false">IF(IsPro,IF($D2079="","",N2079),"")</f>
        <v/>
      </c>
      <c r="P2079" s="61" t="str">
        <f aca="false">IF(IsPro,IF($D2079="","",IF(AND(V2079&lt;&gt;"",INDEX(Parties!$E$5:$E$304,V2079)&lt;&gt;"",INDEX(Parties!$E$5:$E$304,V2079)&lt;&gt;HomeState),ROUND(L2079*M2079,2),0)),"")</f>
        <v/>
      </c>
      <c r="Q2079" s="61" t="str">
        <f aca="false">IF(IsPro,IF($D2079="","",L2079+N2079+O2079+P2079),"")</f>
        <v/>
      </c>
      <c r="R2079" s="61" t="str">
        <f aca="false">IF(IsPro,IF($D2079="","",ROUND(N($E2079)*IFERROR(INDEX(Items!$P$5:$P$504,U2079),0),2)),"")</f>
        <v/>
      </c>
      <c r="S2079" s="61" t="str">
        <f aca="false">IF(IsPro,IF($D2079="","",L2079-R2079),"")</f>
        <v/>
      </c>
      <c r="T2079" s="60" t="str">
        <f aca="false">IF(IsPro,IF($D2079="","",IF(U2079="","UNKNOWN ITEM",IF(INDEX(Items!$O$5:$O$504,U2079)&lt;0,"NEG STOCK",IF(K2079&lt;INDEX(Items!$P$5:$P$504,U2079),"BELOW COST","OK")))),IF($D2079="","","PRO PLAN"))</f>
        <v/>
      </c>
      <c r="U2079" s="60" t="str">
        <f aca="false">IF(IsPro,IF($D2079="","",IFERROR(MATCH($D2079,Items!$A$5:$A$504,0),"")),"")</f>
        <v/>
      </c>
      <c r="V2079" s="60" t="str">
        <f aca="false">IF(IsPro,IF($C2079="","",IFERROR(MATCH($C2079,Parties!$A$5:$A$304,0),"")),"")</f>
        <v/>
      </c>
      <c r="W2079" s="60" t="str">
        <f aca="false">IF(IsPro,IF($B2079="","",IFERROR(VALUE(SUBSTITUTE($B2079,InvPrefix,"")),0)),"")</f>
        <v/>
      </c>
      <c r="X2079" s="61" t="str">
        <f aca="false">IF(IsPro,IF($D2079="","",IF(OR($H2079="",$H2079="Credit"),0,Q2079)),"")</f>
        <v/>
      </c>
    </row>
    <row r="2080" customFormat="false" ht="15" hidden="false" customHeight="false" outlineLevel="0" collapsed="false">
      <c r="A2080" s="55"/>
      <c r="B2080" s="56"/>
      <c r="C2080" s="56"/>
      <c r="D2080" s="56"/>
      <c r="E2080" s="57"/>
      <c r="F2080" s="58"/>
      <c r="G2080" s="59"/>
      <c r="H2080" s="56"/>
      <c r="I2080" s="56"/>
      <c r="J2080" s="60" t="str">
        <f aca="false">IF(IsPro,IF($D2080="","",IFERROR(INDEX(Items!$D$5:$D$504,U2080),"")),"")</f>
        <v/>
      </c>
      <c r="K2080" s="61" t="str">
        <f aca="false">IF(IsPro,IF($D2080="","",IF($F2080="",IFERROR(INDEX(Items!$H$5:$H$504,U2080),0),$F2080)),"")</f>
        <v/>
      </c>
      <c r="L2080" s="61" t="str">
        <f aca="false">IF(IsPro,IF($D2080="","",ROUND(N($E2080)*K2080*(1-N($G2080)),2)),"")</f>
        <v/>
      </c>
      <c r="M2080" s="62" t="str">
        <f aca="false">IF(IsPro,IF($D2080="","",IFERROR(INDEX(Items!$F$5:$F$504,U2080),0)),"")</f>
        <v/>
      </c>
      <c r="N2080" s="61" t="str">
        <f aca="false">IF(IsPro,IF($D2080="","",IF(AND(V2080&lt;&gt;"",INDEX(Parties!$E$5:$E$304,V2080)&lt;&gt;"",INDEX(Parties!$E$5:$E$304,V2080)&lt;&gt;HomeState),0,ROUND(L2080*M2080/2,2))),"")</f>
        <v/>
      </c>
      <c r="O2080" s="61" t="str">
        <f aca="false">IF(IsPro,IF($D2080="","",N2080),"")</f>
        <v/>
      </c>
      <c r="P2080" s="61" t="str">
        <f aca="false">IF(IsPro,IF($D2080="","",IF(AND(V2080&lt;&gt;"",INDEX(Parties!$E$5:$E$304,V2080)&lt;&gt;"",INDEX(Parties!$E$5:$E$304,V2080)&lt;&gt;HomeState),ROUND(L2080*M2080,2),0)),"")</f>
        <v/>
      </c>
      <c r="Q2080" s="61" t="str">
        <f aca="false">IF(IsPro,IF($D2080="","",L2080+N2080+O2080+P2080),"")</f>
        <v/>
      </c>
      <c r="R2080" s="61" t="str">
        <f aca="false">IF(IsPro,IF($D2080="","",ROUND(N($E2080)*IFERROR(INDEX(Items!$P$5:$P$504,U2080),0),2)),"")</f>
        <v/>
      </c>
      <c r="S2080" s="61" t="str">
        <f aca="false">IF(IsPro,IF($D2080="","",L2080-R2080),"")</f>
        <v/>
      </c>
      <c r="T2080" s="60" t="str">
        <f aca="false">IF(IsPro,IF($D2080="","",IF(U2080="","UNKNOWN ITEM",IF(INDEX(Items!$O$5:$O$504,U2080)&lt;0,"NEG STOCK",IF(K2080&lt;INDEX(Items!$P$5:$P$504,U2080),"BELOW COST","OK")))),IF($D2080="","","PRO PLAN"))</f>
        <v/>
      </c>
      <c r="U2080" s="60" t="str">
        <f aca="false">IF(IsPro,IF($D2080="","",IFERROR(MATCH($D2080,Items!$A$5:$A$504,0),"")),"")</f>
        <v/>
      </c>
      <c r="V2080" s="60" t="str">
        <f aca="false">IF(IsPro,IF($C2080="","",IFERROR(MATCH($C2080,Parties!$A$5:$A$304,0),"")),"")</f>
        <v/>
      </c>
      <c r="W2080" s="60" t="str">
        <f aca="false">IF(IsPro,IF($B2080="","",IFERROR(VALUE(SUBSTITUTE($B2080,InvPrefix,"")),0)),"")</f>
        <v/>
      </c>
      <c r="X2080" s="61" t="str">
        <f aca="false">IF(IsPro,IF($D2080="","",IF(OR($H2080="",$H2080="Credit"),0,Q2080)),"")</f>
        <v/>
      </c>
    </row>
    <row r="2081" customFormat="false" ht="15" hidden="false" customHeight="false" outlineLevel="0" collapsed="false">
      <c r="A2081" s="55"/>
      <c r="B2081" s="56"/>
      <c r="C2081" s="56"/>
      <c r="D2081" s="56"/>
      <c r="E2081" s="57"/>
      <c r="F2081" s="58"/>
      <c r="G2081" s="59"/>
      <c r="H2081" s="56"/>
      <c r="I2081" s="56"/>
      <c r="J2081" s="60" t="str">
        <f aca="false">IF(IsPro,IF($D2081="","",IFERROR(INDEX(Items!$D$5:$D$504,U2081),"")),"")</f>
        <v/>
      </c>
      <c r="K2081" s="61" t="str">
        <f aca="false">IF(IsPro,IF($D2081="","",IF($F2081="",IFERROR(INDEX(Items!$H$5:$H$504,U2081),0),$F2081)),"")</f>
        <v/>
      </c>
      <c r="L2081" s="61" t="str">
        <f aca="false">IF(IsPro,IF($D2081="","",ROUND(N($E2081)*K2081*(1-N($G2081)),2)),"")</f>
        <v/>
      </c>
      <c r="M2081" s="62" t="str">
        <f aca="false">IF(IsPro,IF($D2081="","",IFERROR(INDEX(Items!$F$5:$F$504,U2081),0)),"")</f>
        <v/>
      </c>
      <c r="N2081" s="61" t="str">
        <f aca="false">IF(IsPro,IF($D2081="","",IF(AND(V2081&lt;&gt;"",INDEX(Parties!$E$5:$E$304,V2081)&lt;&gt;"",INDEX(Parties!$E$5:$E$304,V2081)&lt;&gt;HomeState),0,ROUND(L2081*M2081/2,2))),"")</f>
        <v/>
      </c>
      <c r="O2081" s="61" t="str">
        <f aca="false">IF(IsPro,IF($D2081="","",N2081),"")</f>
        <v/>
      </c>
      <c r="P2081" s="61" t="str">
        <f aca="false">IF(IsPro,IF($D2081="","",IF(AND(V2081&lt;&gt;"",INDEX(Parties!$E$5:$E$304,V2081)&lt;&gt;"",INDEX(Parties!$E$5:$E$304,V2081)&lt;&gt;HomeState),ROUND(L2081*M2081,2),0)),"")</f>
        <v/>
      </c>
      <c r="Q2081" s="61" t="str">
        <f aca="false">IF(IsPro,IF($D2081="","",L2081+N2081+O2081+P2081),"")</f>
        <v/>
      </c>
      <c r="R2081" s="61" t="str">
        <f aca="false">IF(IsPro,IF($D2081="","",ROUND(N($E2081)*IFERROR(INDEX(Items!$P$5:$P$504,U2081),0),2)),"")</f>
        <v/>
      </c>
      <c r="S2081" s="61" t="str">
        <f aca="false">IF(IsPro,IF($D2081="","",L2081-R2081),"")</f>
        <v/>
      </c>
      <c r="T2081" s="60" t="str">
        <f aca="false">IF(IsPro,IF($D2081="","",IF(U2081="","UNKNOWN ITEM",IF(INDEX(Items!$O$5:$O$504,U2081)&lt;0,"NEG STOCK",IF(K2081&lt;INDEX(Items!$P$5:$P$504,U2081),"BELOW COST","OK")))),IF($D2081="","","PRO PLAN"))</f>
        <v/>
      </c>
      <c r="U2081" s="60" t="str">
        <f aca="false">IF(IsPro,IF($D2081="","",IFERROR(MATCH($D2081,Items!$A$5:$A$504,0),"")),"")</f>
        <v/>
      </c>
      <c r="V2081" s="60" t="str">
        <f aca="false">IF(IsPro,IF($C2081="","",IFERROR(MATCH($C2081,Parties!$A$5:$A$304,0),"")),"")</f>
        <v/>
      </c>
      <c r="W2081" s="60" t="str">
        <f aca="false">IF(IsPro,IF($B2081="","",IFERROR(VALUE(SUBSTITUTE($B2081,InvPrefix,"")),0)),"")</f>
        <v/>
      </c>
      <c r="X2081" s="61" t="str">
        <f aca="false">IF(IsPro,IF($D2081="","",IF(OR($H2081="",$H2081="Credit"),0,Q2081)),"")</f>
        <v/>
      </c>
    </row>
    <row r="2082" customFormat="false" ht="15" hidden="false" customHeight="false" outlineLevel="0" collapsed="false">
      <c r="A2082" s="55"/>
      <c r="B2082" s="56"/>
      <c r="C2082" s="56"/>
      <c r="D2082" s="56"/>
      <c r="E2082" s="57"/>
      <c r="F2082" s="58"/>
      <c r="G2082" s="59"/>
      <c r="H2082" s="56"/>
      <c r="I2082" s="56"/>
      <c r="J2082" s="60" t="str">
        <f aca="false">IF(IsPro,IF($D2082="","",IFERROR(INDEX(Items!$D$5:$D$504,U2082),"")),"")</f>
        <v/>
      </c>
      <c r="K2082" s="61" t="str">
        <f aca="false">IF(IsPro,IF($D2082="","",IF($F2082="",IFERROR(INDEX(Items!$H$5:$H$504,U2082),0),$F2082)),"")</f>
        <v/>
      </c>
      <c r="L2082" s="61" t="str">
        <f aca="false">IF(IsPro,IF($D2082="","",ROUND(N($E2082)*K2082*(1-N($G2082)),2)),"")</f>
        <v/>
      </c>
      <c r="M2082" s="62" t="str">
        <f aca="false">IF(IsPro,IF($D2082="","",IFERROR(INDEX(Items!$F$5:$F$504,U2082),0)),"")</f>
        <v/>
      </c>
      <c r="N2082" s="61" t="str">
        <f aca="false">IF(IsPro,IF($D2082="","",IF(AND(V2082&lt;&gt;"",INDEX(Parties!$E$5:$E$304,V2082)&lt;&gt;"",INDEX(Parties!$E$5:$E$304,V2082)&lt;&gt;HomeState),0,ROUND(L2082*M2082/2,2))),"")</f>
        <v/>
      </c>
      <c r="O2082" s="61" t="str">
        <f aca="false">IF(IsPro,IF($D2082="","",N2082),"")</f>
        <v/>
      </c>
      <c r="P2082" s="61" t="str">
        <f aca="false">IF(IsPro,IF($D2082="","",IF(AND(V2082&lt;&gt;"",INDEX(Parties!$E$5:$E$304,V2082)&lt;&gt;"",INDEX(Parties!$E$5:$E$304,V2082)&lt;&gt;HomeState),ROUND(L2082*M2082,2),0)),"")</f>
        <v/>
      </c>
      <c r="Q2082" s="61" t="str">
        <f aca="false">IF(IsPro,IF($D2082="","",L2082+N2082+O2082+P2082),"")</f>
        <v/>
      </c>
      <c r="R2082" s="61" t="str">
        <f aca="false">IF(IsPro,IF($D2082="","",ROUND(N($E2082)*IFERROR(INDEX(Items!$P$5:$P$504,U2082),0),2)),"")</f>
        <v/>
      </c>
      <c r="S2082" s="61" t="str">
        <f aca="false">IF(IsPro,IF($D2082="","",L2082-R2082),"")</f>
        <v/>
      </c>
      <c r="T2082" s="60" t="str">
        <f aca="false">IF(IsPro,IF($D2082="","",IF(U2082="","UNKNOWN ITEM",IF(INDEX(Items!$O$5:$O$504,U2082)&lt;0,"NEG STOCK",IF(K2082&lt;INDEX(Items!$P$5:$P$504,U2082),"BELOW COST","OK")))),IF($D2082="","","PRO PLAN"))</f>
        <v/>
      </c>
      <c r="U2082" s="60" t="str">
        <f aca="false">IF(IsPro,IF($D2082="","",IFERROR(MATCH($D2082,Items!$A$5:$A$504,0),"")),"")</f>
        <v/>
      </c>
      <c r="V2082" s="60" t="str">
        <f aca="false">IF(IsPro,IF($C2082="","",IFERROR(MATCH($C2082,Parties!$A$5:$A$304,0),"")),"")</f>
        <v/>
      </c>
      <c r="W2082" s="60" t="str">
        <f aca="false">IF(IsPro,IF($B2082="","",IFERROR(VALUE(SUBSTITUTE($B2082,InvPrefix,"")),0)),"")</f>
        <v/>
      </c>
      <c r="X2082" s="61" t="str">
        <f aca="false">IF(IsPro,IF($D2082="","",IF(OR($H2082="",$H2082="Credit"),0,Q2082)),"")</f>
        <v/>
      </c>
    </row>
    <row r="2083" customFormat="false" ht="15" hidden="false" customHeight="false" outlineLevel="0" collapsed="false">
      <c r="A2083" s="55"/>
      <c r="B2083" s="56"/>
      <c r="C2083" s="56"/>
      <c r="D2083" s="56"/>
      <c r="E2083" s="57"/>
      <c r="F2083" s="58"/>
      <c r="G2083" s="59"/>
      <c r="H2083" s="56"/>
      <c r="I2083" s="56"/>
      <c r="J2083" s="60" t="str">
        <f aca="false">IF(IsPro,IF($D2083="","",IFERROR(INDEX(Items!$D$5:$D$504,U2083),"")),"")</f>
        <v/>
      </c>
      <c r="K2083" s="61" t="str">
        <f aca="false">IF(IsPro,IF($D2083="","",IF($F2083="",IFERROR(INDEX(Items!$H$5:$H$504,U2083),0),$F2083)),"")</f>
        <v/>
      </c>
      <c r="L2083" s="61" t="str">
        <f aca="false">IF(IsPro,IF($D2083="","",ROUND(N($E2083)*K2083*(1-N($G2083)),2)),"")</f>
        <v/>
      </c>
      <c r="M2083" s="62" t="str">
        <f aca="false">IF(IsPro,IF($D2083="","",IFERROR(INDEX(Items!$F$5:$F$504,U2083),0)),"")</f>
        <v/>
      </c>
      <c r="N2083" s="61" t="str">
        <f aca="false">IF(IsPro,IF($D2083="","",IF(AND(V2083&lt;&gt;"",INDEX(Parties!$E$5:$E$304,V2083)&lt;&gt;"",INDEX(Parties!$E$5:$E$304,V2083)&lt;&gt;HomeState),0,ROUND(L2083*M2083/2,2))),"")</f>
        <v/>
      </c>
      <c r="O2083" s="61" t="str">
        <f aca="false">IF(IsPro,IF($D2083="","",N2083),"")</f>
        <v/>
      </c>
      <c r="P2083" s="61" t="str">
        <f aca="false">IF(IsPro,IF($D2083="","",IF(AND(V2083&lt;&gt;"",INDEX(Parties!$E$5:$E$304,V2083)&lt;&gt;"",INDEX(Parties!$E$5:$E$304,V2083)&lt;&gt;HomeState),ROUND(L2083*M2083,2),0)),"")</f>
        <v/>
      </c>
      <c r="Q2083" s="61" t="str">
        <f aca="false">IF(IsPro,IF($D2083="","",L2083+N2083+O2083+P2083),"")</f>
        <v/>
      </c>
      <c r="R2083" s="61" t="str">
        <f aca="false">IF(IsPro,IF($D2083="","",ROUND(N($E2083)*IFERROR(INDEX(Items!$P$5:$P$504,U2083),0),2)),"")</f>
        <v/>
      </c>
      <c r="S2083" s="61" t="str">
        <f aca="false">IF(IsPro,IF($D2083="","",L2083-R2083),"")</f>
        <v/>
      </c>
      <c r="T2083" s="60" t="str">
        <f aca="false">IF(IsPro,IF($D2083="","",IF(U2083="","UNKNOWN ITEM",IF(INDEX(Items!$O$5:$O$504,U2083)&lt;0,"NEG STOCK",IF(K2083&lt;INDEX(Items!$P$5:$P$504,U2083),"BELOW COST","OK")))),IF($D2083="","","PRO PLAN"))</f>
        <v/>
      </c>
      <c r="U2083" s="60" t="str">
        <f aca="false">IF(IsPro,IF($D2083="","",IFERROR(MATCH($D2083,Items!$A$5:$A$504,0),"")),"")</f>
        <v/>
      </c>
      <c r="V2083" s="60" t="str">
        <f aca="false">IF(IsPro,IF($C2083="","",IFERROR(MATCH($C2083,Parties!$A$5:$A$304,0),"")),"")</f>
        <v/>
      </c>
      <c r="W2083" s="60" t="str">
        <f aca="false">IF(IsPro,IF($B2083="","",IFERROR(VALUE(SUBSTITUTE($B2083,InvPrefix,"")),0)),"")</f>
        <v/>
      </c>
      <c r="X2083" s="61" t="str">
        <f aca="false">IF(IsPro,IF($D2083="","",IF(OR($H2083="",$H2083="Credit"),0,Q2083)),"")</f>
        <v/>
      </c>
    </row>
    <row r="2084" customFormat="false" ht="15" hidden="false" customHeight="false" outlineLevel="0" collapsed="false">
      <c r="A2084" s="55"/>
      <c r="B2084" s="56"/>
      <c r="C2084" s="56"/>
      <c r="D2084" s="56"/>
      <c r="E2084" s="57"/>
      <c r="F2084" s="58"/>
      <c r="G2084" s="59"/>
      <c r="H2084" s="56"/>
      <c r="I2084" s="56"/>
      <c r="J2084" s="60" t="str">
        <f aca="false">IF(IsPro,IF($D2084="","",IFERROR(INDEX(Items!$D$5:$D$504,U2084),"")),"")</f>
        <v/>
      </c>
      <c r="K2084" s="61" t="str">
        <f aca="false">IF(IsPro,IF($D2084="","",IF($F2084="",IFERROR(INDEX(Items!$H$5:$H$504,U2084),0),$F2084)),"")</f>
        <v/>
      </c>
      <c r="L2084" s="61" t="str">
        <f aca="false">IF(IsPro,IF($D2084="","",ROUND(N($E2084)*K2084*(1-N($G2084)),2)),"")</f>
        <v/>
      </c>
      <c r="M2084" s="62" t="str">
        <f aca="false">IF(IsPro,IF($D2084="","",IFERROR(INDEX(Items!$F$5:$F$504,U2084),0)),"")</f>
        <v/>
      </c>
      <c r="N2084" s="61" t="str">
        <f aca="false">IF(IsPro,IF($D2084="","",IF(AND(V2084&lt;&gt;"",INDEX(Parties!$E$5:$E$304,V2084)&lt;&gt;"",INDEX(Parties!$E$5:$E$304,V2084)&lt;&gt;HomeState),0,ROUND(L2084*M2084/2,2))),"")</f>
        <v/>
      </c>
      <c r="O2084" s="61" t="str">
        <f aca="false">IF(IsPro,IF($D2084="","",N2084),"")</f>
        <v/>
      </c>
      <c r="P2084" s="61" t="str">
        <f aca="false">IF(IsPro,IF($D2084="","",IF(AND(V2084&lt;&gt;"",INDEX(Parties!$E$5:$E$304,V2084)&lt;&gt;"",INDEX(Parties!$E$5:$E$304,V2084)&lt;&gt;HomeState),ROUND(L2084*M2084,2),0)),"")</f>
        <v/>
      </c>
      <c r="Q2084" s="61" t="str">
        <f aca="false">IF(IsPro,IF($D2084="","",L2084+N2084+O2084+P2084),"")</f>
        <v/>
      </c>
      <c r="R2084" s="61" t="str">
        <f aca="false">IF(IsPro,IF($D2084="","",ROUND(N($E2084)*IFERROR(INDEX(Items!$P$5:$P$504,U2084),0),2)),"")</f>
        <v/>
      </c>
      <c r="S2084" s="61" t="str">
        <f aca="false">IF(IsPro,IF($D2084="","",L2084-R2084),"")</f>
        <v/>
      </c>
      <c r="T2084" s="60" t="str">
        <f aca="false">IF(IsPro,IF($D2084="","",IF(U2084="","UNKNOWN ITEM",IF(INDEX(Items!$O$5:$O$504,U2084)&lt;0,"NEG STOCK",IF(K2084&lt;INDEX(Items!$P$5:$P$504,U2084),"BELOW COST","OK")))),IF($D2084="","","PRO PLAN"))</f>
        <v/>
      </c>
      <c r="U2084" s="60" t="str">
        <f aca="false">IF(IsPro,IF($D2084="","",IFERROR(MATCH($D2084,Items!$A$5:$A$504,0),"")),"")</f>
        <v/>
      </c>
      <c r="V2084" s="60" t="str">
        <f aca="false">IF(IsPro,IF($C2084="","",IFERROR(MATCH($C2084,Parties!$A$5:$A$304,0),"")),"")</f>
        <v/>
      </c>
      <c r="W2084" s="60" t="str">
        <f aca="false">IF(IsPro,IF($B2084="","",IFERROR(VALUE(SUBSTITUTE($B2084,InvPrefix,"")),0)),"")</f>
        <v/>
      </c>
      <c r="X2084" s="61" t="str">
        <f aca="false">IF(IsPro,IF($D2084="","",IF(OR($H2084="",$H2084="Credit"),0,Q2084)),"")</f>
        <v/>
      </c>
    </row>
    <row r="2085" customFormat="false" ht="15" hidden="false" customHeight="false" outlineLevel="0" collapsed="false">
      <c r="A2085" s="55"/>
      <c r="B2085" s="56"/>
      <c r="C2085" s="56"/>
      <c r="D2085" s="56"/>
      <c r="E2085" s="57"/>
      <c r="F2085" s="58"/>
      <c r="G2085" s="59"/>
      <c r="H2085" s="56"/>
      <c r="I2085" s="56"/>
      <c r="J2085" s="60" t="str">
        <f aca="false">IF(IsPro,IF($D2085="","",IFERROR(INDEX(Items!$D$5:$D$504,U2085),"")),"")</f>
        <v/>
      </c>
      <c r="K2085" s="61" t="str">
        <f aca="false">IF(IsPro,IF($D2085="","",IF($F2085="",IFERROR(INDEX(Items!$H$5:$H$504,U2085),0),$F2085)),"")</f>
        <v/>
      </c>
      <c r="L2085" s="61" t="str">
        <f aca="false">IF(IsPro,IF($D2085="","",ROUND(N($E2085)*K2085*(1-N($G2085)),2)),"")</f>
        <v/>
      </c>
      <c r="M2085" s="62" t="str">
        <f aca="false">IF(IsPro,IF($D2085="","",IFERROR(INDEX(Items!$F$5:$F$504,U2085),0)),"")</f>
        <v/>
      </c>
      <c r="N2085" s="61" t="str">
        <f aca="false">IF(IsPro,IF($D2085="","",IF(AND(V2085&lt;&gt;"",INDEX(Parties!$E$5:$E$304,V2085)&lt;&gt;"",INDEX(Parties!$E$5:$E$304,V2085)&lt;&gt;HomeState),0,ROUND(L2085*M2085/2,2))),"")</f>
        <v/>
      </c>
      <c r="O2085" s="61" t="str">
        <f aca="false">IF(IsPro,IF($D2085="","",N2085),"")</f>
        <v/>
      </c>
      <c r="P2085" s="61" t="str">
        <f aca="false">IF(IsPro,IF($D2085="","",IF(AND(V2085&lt;&gt;"",INDEX(Parties!$E$5:$E$304,V2085)&lt;&gt;"",INDEX(Parties!$E$5:$E$304,V2085)&lt;&gt;HomeState),ROUND(L2085*M2085,2),0)),"")</f>
        <v/>
      </c>
      <c r="Q2085" s="61" t="str">
        <f aca="false">IF(IsPro,IF($D2085="","",L2085+N2085+O2085+P2085),"")</f>
        <v/>
      </c>
      <c r="R2085" s="61" t="str">
        <f aca="false">IF(IsPro,IF($D2085="","",ROUND(N($E2085)*IFERROR(INDEX(Items!$P$5:$P$504,U2085),0),2)),"")</f>
        <v/>
      </c>
      <c r="S2085" s="61" t="str">
        <f aca="false">IF(IsPro,IF($D2085="","",L2085-R2085),"")</f>
        <v/>
      </c>
      <c r="T2085" s="60" t="str">
        <f aca="false">IF(IsPro,IF($D2085="","",IF(U2085="","UNKNOWN ITEM",IF(INDEX(Items!$O$5:$O$504,U2085)&lt;0,"NEG STOCK",IF(K2085&lt;INDEX(Items!$P$5:$P$504,U2085),"BELOW COST","OK")))),IF($D2085="","","PRO PLAN"))</f>
        <v/>
      </c>
      <c r="U2085" s="60" t="str">
        <f aca="false">IF(IsPro,IF($D2085="","",IFERROR(MATCH($D2085,Items!$A$5:$A$504,0),"")),"")</f>
        <v/>
      </c>
      <c r="V2085" s="60" t="str">
        <f aca="false">IF(IsPro,IF($C2085="","",IFERROR(MATCH($C2085,Parties!$A$5:$A$304,0),"")),"")</f>
        <v/>
      </c>
      <c r="W2085" s="60" t="str">
        <f aca="false">IF(IsPro,IF($B2085="","",IFERROR(VALUE(SUBSTITUTE($B2085,InvPrefix,"")),0)),"")</f>
        <v/>
      </c>
      <c r="X2085" s="61" t="str">
        <f aca="false">IF(IsPro,IF($D2085="","",IF(OR($H2085="",$H2085="Credit"),0,Q2085)),"")</f>
        <v/>
      </c>
    </row>
    <row r="2086" customFormat="false" ht="15" hidden="false" customHeight="false" outlineLevel="0" collapsed="false">
      <c r="A2086" s="55"/>
      <c r="B2086" s="56"/>
      <c r="C2086" s="56"/>
      <c r="D2086" s="56"/>
      <c r="E2086" s="57"/>
      <c r="F2086" s="58"/>
      <c r="G2086" s="59"/>
      <c r="H2086" s="56"/>
      <c r="I2086" s="56"/>
      <c r="J2086" s="60" t="str">
        <f aca="false">IF(IsPro,IF($D2086="","",IFERROR(INDEX(Items!$D$5:$D$504,U2086),"")),"")</f>
        <v/>
      </c>
      <c r="K2086" s="61" t="str">
        <f aca="false">IF(IsPro,IF($D2086="","",IF($F2086="",IFERROR(INDEX(Items!$H$5:$H$504,U2086),0),$F2086)),"")</f>
        <v/>
      </c>
      <c r="L2086" s="61" t="str">
        <f aca="false">IF(IsPro,IF($D2086="","",ROUND(N($E2086)*K2086*(1-N($G2086)),2)),"")</f>
        <v/>
      </c>
      <c r="M2086" s="62" t="str">
        <f aca="false">IF(IsPro,IF($D2086="","",IFERROR(INDEX(Items!$F$5:$F$504,U2086),0)),"")</f>
        <v/>
      </c>
      <c r="N2086" s="61" t="str">
        <f aca="false">IF(IsPro,IF($D2086="","",IF(AND(V2086&lt;&gt;"",INDEX(Parties!$E$5:$E$304,V2086)&lt;&gt;"",INDEX(Parties!$E$5:$E$304,V2086)&lt;&gt;HomeState),0,ROUND(L2086*M2086/2,2))),"")</f>
        <v/>
      </c>
      <c r="O2086" s="61" t="str">
        <f aca="false">IF(IsPro,IF($D2086="","",N2086),"")</f>
        <v/>
      </c>
      <c r="P2086" s="61" t="str">
        <f aca="false">IF(IsPro,IF($D2086="","",IF(AND(V2086&lt;&gt;"",INDEX(Parties!$E$5:$E$304,V2086)&lt;&gt;"",INDEX(Parties!$E$5:$E$304,V2086)&lt;&gt;HomeState),ROUND(L2086*M2086,2),0)),"")</f>
        <v/>
      </c>
      <c r="Q2086" s="61" t="str">
        <f aca="false">IF(IsPro,IF($D2086="","",L2086+N2086+O2086+P2086),"")</f>
        <v/>
      </c>
      <c r="R2086" s="61" t="str">
        <f aca="false">IF(IsPro,IF($D2086="","",ROUND(N($E2086)*IFERROR(INDEX(Items!$P$5:$P$504,U2086),0),2)),"")</f>
        <v/>
      </c>
      <c r="S2086" s="61" t="str">
        <f aca="false">IF(IsPro,IF($D2086="","",L2086-R2086),"")</f>
        <v/>
      </c>
      <c r="T2086" s="60" t="str">
        <f aca="false">IF(IsPro,IF($D2086="","",IF(U2086="","UNKNOWN ITEM",IF(INDEX(Items!$O$5:$O$504,U2086)&lt;0,"NEG STOCK",IF(K2086&lt;INDEX(Items!$P$5:$P$504,U2086),"BELOW COST","OK")))),IF($D2086="","","PRO PLAN"))</f>
        <v/>
      </c>
      <c r="U2086" s="60" t="str">
        <f aca="false">IF(IsPro,IF($D2086="","",IFERROR(MATCH($D2086,Items!$A$5:$A$504,0),"")),"")</f>
        <v/>
      </c>
      <c r="V2086" s="60" t="str">
        <f aca="false">IF(IsPro,IF($C2086="","",IFERROR(MATCH($C2086,Parties!$A$5:$A$304,0),"")),"")</f>
        <v/>
      </c>
      <c r="W2086" s="60" t="str">
        <f aca="false">IF(IsPro,IF($B2086="","",IFERROR(VALUE(SUBSTITUTE($B2086,InvPrefix,"")),0)),"")</f>
        <v/>
      </c>
      <c r="X2086" s="61" t="str">
        <f aca="false">IF(IsPro,IF($D2086="","",IF(OR($H2086="",$H2086="Credit"),0,Q2086)),"")</f>
        <v/>
      </c>
    </row>
    <row r="2087" customFormat="false" ht="15" hidden="false" customHeight="false" outlineLevel="0" collapsed="false">
      <c r="A2087" s="55"/>
      <c r="B2087" s="56"/>
      <c r="C2087" s="56"/>
      <c r="D2087" s="56"/>
      <c r="E2087" s="57"/>
      <c r="F2087" s="58"/>
      <c r="G2087" s="59"/>
      <c r="H2087" s="56"/>
      <c r="I2087" s="56"/>
      <c r="J2087" s="60" t="str">
        <f aca="false">IF(IsPro,IF($D2087="","",IFERROR(INDEX(Items!$D$5:$D$504,U2087),"")),"")</f>
        <v/>
      </c>
      <c r="K2087" s="61" t="str">
        <f aca="false">IF(IsPro,IF($D2087="","",IF($F2087="",IFERROR(INDEX(Items!$H$5:$H$504,U2087),0),$F2087)),"")</f>
        <v/>
      </c>
      <c r="L2087" s="61" t="str">
        <f aca="false">IF(IsPro,IF($D2087="","",ROUND(N($E2087)*K2087*(1-N($G2087)),2)),"")</f>
        <v/>
      </c>
      <c r="M2087" s="62" t="str">
        <f aca="false">IF(IsPro,IF($D2087="","",IFERROR(INDEX(Items!$F$5:$F$504,U2087),0)),"")</f>
        <v/>
      </c>
      <c r="N2087" s="61" t="str">
        <f aca="false">IF(IsPro,IF($D2087="","",IF(AND(V2087&lt;&gt;"",INDEX(Parties!$E$5:$E$304,V2087)&lt;&gt;"",INDEX(Parties!$E$5:$E$304,V2087)&lt;&gt;HomeState),0,ROUND(L2087*M2087/2,2))),"")</f>
        <v/>
      </c>
      <c r="O2087" s="61" t="str">
        <f aca="false">IF(IsPro,IF($D2087="","",N2087),"")</f>
        <v/>
      </c>
      <c r="P2087" s="61" t="str">
        <f aca="false">IF(IsPro,IF($D2087="","",IF(AND(V2087&lt;&gt;"",INDEX(Parties!$E$5:$E$304,V2087)&lt;&gt;"",INDEX(Parties!$E$5:$E$304,V2087)&lt;&gt;HomeState),ROUND(L2087*M2087,2),0)),"")</f>
        <v/>
      </c>
      <c r="Q2087" s="61" t="str">
        <f aca="false">IF(IsPro,IF($D2087="","",L2087+N2087+O2087+P2087),"")</f>
        <v/>
      </c>
      <c r="R2087" s="61" t="str">
        <f aca="false">IF(IsPro,IF($D2087="","",ROUND(N($E2087)*IFERROR(INDEX(Items!$P$5:$P$504,U2087),0),2)),"")</f>
        <v/>
      </c>
      <c r="S2087" s="61" t="str">
        <f aca="false">IF(IsPro,IF($D2087="","",L2087-R2087),"")</f>
        <v/>
      </c>
      <c r="T2087" s="60" t="str">
        <f aca="false">IF(IsPro,IF($D2087="","",IF(U2087="","UNKNOWN ITEM",IF(INDEX(Items!$O$5:$O$504,U2087)&lt;0,"NEG STOCK",IF(K2087&lt;INDEX(Items!$P$5:$P$504,U2087),"BELOW COST","OK")))),IF($D2087="","","PRO PLAN"))</f>
        <v/>
      </c>
      <c r="U2087" s="60" t="str">
        <f aca="false">IF(IsPro,IF($D2087="","",IFERROR(MATCH($D2087,Items!$A$5:$A$504,0),"")),"")</f>
        <v/>
      </c>
      <c r="V2087" s="60" t="str">
        <f aca="false">IF(IsPro,IF($C2087="","",IFERROR(MATCH($C2087,Parties!$A$5:$A$304,0),"")),"")</f>
        <v/>
      </c>
      <c r="W2087" s="60" t="str">
        <f aca="false">IF(IsPro,IF($B2087="","",IFERROR(VALUE(SUBSTITUTE($B2087,InvPrefix,"")),0)),"")</f>
        <v/>
      </c>
      <c r="X2087" s="61" t="str">
        <f aca="false">IF(IsPro,IF($D2087="","",IF(OR($H2087="",$H2087="Credit"),0,Q2087)),"")</f>
        <v/>
      </c>
    </row>
    <row r="2088" customFormat="false" ht="15" hidden="false" customHeight="false" outlineLevel="0" collapsed="false">
      <c r="A2088" s="55"/>
      <c r="B2088" s="56"/>
      <c r="C2088" s="56"/>
      <c r="D2088" s="56"/>
      <c r="E2088" s="57"/>
      <c r="F2088" s="58"/>
      <c r="G2088" s="59"/>
      <c r="H2088" s="56"/>
      <c r="I2088" s="56"/>
      <c r="J2088" s="60" t="str">
        <f aca="false">IF(IsPro,IF($D2088="","",IFERROR(INDEX(Items!$D$5:$D$504,U2088),"")),"")</f>
        <v/>
      </c>
      <c r="K2088" s="61" t="str">
        <f aca="false">IF(IsPro,IF($D2088="","",IF($F2088="",IFERROR(INDEX(Items!$H$5:$H$504,U2088),0),$F2088)),"")</f>
        <v/>
      </c>
      <c r="L2088" s="61" t="str">
        <f aca="false">IF(IsPro,IF($D2088="","",ROUND(N($E2088)*K2088*(1-N($G2088)),2)),"")</f>
        <v/>
      </c>
      <c r="M2088" s="62" t="str">
        <f aca="false">IF(IsPro,IF($D2088="","",IFERROR(INDEX(Items!$F$5:$F$504,U2088),0)),"")</f>
        <v/>
      </c>
      <c r="N2088" s="61" t="str">
        <f aca="false">IF(IsPro,IF($D2088="","",IF(AND(V2088&lt;&gt;"",INDEX(Parties!$E$5:$E$304,V2088)&lt;&gt;"",INDEX(Parties!$E$5:$E$304,V2088)&lt;&gt;HomeState),0,ROUND(L2088*M2088/2,2))),"")</f>
        <v/>
      </c>
      <c r="O2088" s="61" t="str">
        <f aca="false">IF(IsPro,IF($D2088="","",N2088),"")</f>
        <v/>
      </c>
      <c r="P2088" s="61" t="str">
        <f aca="false">IF(IsPro,IF($D2088="","",IF(AND(V2088&lt;&gt;"",INDEX(Parties!$E$5:$E$304,V2088)&lt;&gt;"",INDEX(Parties!$E$5:$E$304,V2088)&lt;&gt;HomeState),ROUND(L2088*M2088,2),0)),"")</f>
        <v/>
      </c>
      <c r="Q2088" s="61" t="str">
        <f aca="false">IF(IsPro,IF($D2088="","",L2088+N2088+O2088+P2088),"")</f>
        <v/>
      </c>
      <c r="R2088" s="61" t="str">
        <f aca="false">IF(IsPro,IF($D2088="","",ROUND(N($E2088)*IFERROR(INDEX(Items!$P$5:$P$504,U2088),0),2)),"")</f>
        <v/>
      </c>
      <c r="S2088" s="61" t="str">
        <f aca="false">IF(IsPro,IF($D2088="","",L2088-R2088),"")</f>
        <v/>
      </c>
      <c r="T2088" s="60" t="str">
        <f aca="false">IF(IsPro,IF($D2088="","",IF(U2088="","UNKNOWN ITEM",IF(INDEX(Items!$O$5:$O$504,U2088)&lt;0,"NEG STOCK",IF(K2088&lt;INDEX(Items!$P$5:$P$504,U2088),"BELOW COST","OK")))),IF($D2088="","","PRO PLAN"))</f>
        <v/>
      </c>
      <c r="U2088" s="60" t="str">
        <f aca="false">IF(IsPro,IF($D2088="","",IFERROR(MATCH($D2088,Items!$A$5:$A$504,0),"")),"")</f>
        <v/>
      </c>
      <c r="V2088" s="60" t="str">
        <f aca="false">IF(IsPro,IF($C2088="","",IFERROR(MATCH($C2088,Parties!$A$5:$A$304,0),"")),"")</f>
        <v/>
      </c>
      <c r="W2088" s="60" t="str">
        <f aca="false">IF(IsPro,IF($B2088="","",IFERROR(VALUE(SUBSTITUTE($B2088,InvPrefix,"")),0)),"")</f>
        <v/>
      </c>
      <c r="X2088" s="61" t="str">
        <f aca="false">IF(IsPro,IF($D2088="","",IF(OR($H2088="",$H2088="Credit"),0,Q2088)),"")</f>
        <v/>
      </c>
    </row>
    <row r="2089" customFormat="false" ht="15" hidden="false" customHeight="false" outlineLevel="0" collapsed="false">
      <c r="A2089" s="55"/>
      <c r="B2089" s="56"/>
      <c r="C2089" s="56"/>
      <c r="D2089" s="56"/>
      <c r="E2089" s="57"/>
      <c r="F2089" s="58"/>
      <c r="G2089" s="59"/>
      <c r="H2089" s="56"/>
      <c r="I2089" s="56"/>
      <c r="J2089" s="60" t="str">
        <f aca="false">IF(IsPro,IF($D2089="","",IFERROR(INDEX(Items!$D$5:$D$504,U2089),"")),"")</f>
        <v/>
      </c>
      <c r="K2089" s="61" t="str">
        <f aca="false">IF(IsPro,IF($D2089="","",IF($F2089="",IFERROR(INDEX(Items!$H$5:$H$504,U2089),0),$F2089)),"")</f>
        <v/>
      </c>
      <c r="L2089" s="61" t="str">
        <f aca="false">IF(IsPro,IF($D2089="","",ROUND(N($E2089)*K2089*(1-N($G2089)),2)),"")</f>
        <v/>
      </c>
      <c r="M2089" s="62" t="str">
        <f aca="false">IF(IsPro,IF($D2089="","",IFERROR(INDEX(Items!$F$5:$F$504,U2089),0)),"")</f>
        <v/>
      </c>
      <c r="N2089" s="61" t="str">
        <f aca="false">IF(IsPro,IF($D2089="","",IF(AND(V2089&lt;&gt;"",INDEX(Parties!$E$5:$E$304,V2089)&lt;&gt;"",INDEX(Parties!$E$5:$E$304,V2089)&lt;&gt;HomeState),0,ROUND(L2089*M2089/2,2))),"")</f>
        <v/>
      </c>
      <c r="O2089" s="61" t="str">
        <f aca="false">IF(IsPro,IF($D2089="","",N2089),"")</f>
        <v/>
      </c>
      <c r="P2089" s="61" t="str">
        <f aca="false">IF(IsPro,IF($D2089="","",IF(AND(V2089&lt;&gt;"",INDEX(Parties!$E$5:$E$304,V2089)&lt;&gt;"",INDEX(Parties!$E$5:$E$304,V2089)&lt;&gt;HomeState),ROUND(L2089*M2089,2),0)),"")</f>
        <v/>
      </c>
      <c r="Q2089" s="61" t="str">
        <f aca="false">IF(IsPro,IF($D2089="","",L2089+N2089+O2089+P2089),"")</f>
        <v/>
      </c>
      <c r="R2089" s="61" t="str">
        <f aca="false">IF(IsPro,IF($D2089="","",ROUND(N($E2089)*IFERROR(INDEX(Items!$P$5:$P$504,U2089),0),2)),"")</f>
        <v/>
      </c>
      <c r="S2089" s="61" t="str">
        <f aca="false">IF(IsPro,IF($D2089="","",L2089-R2089),"")</f>
        <v/>
      </c>
      <c r="T2089" s="60" t="str">
        <f aca="false">IF(IsPro,IF($D2089="","",IF(U2089="","UNKNOWN ITEM",IF(INDEX(Items!$O$5:$O$504,U2089)&lt;0,"NEG STOCK",IF(K2089&lt;INDEX(Items!$P$5:$P$504,U2089),"BELOW COST","OK")))),IF($D2089="","","PRO PLAN"))</f>
        <v/>
      </c>
      <c r="U2089" s="60" t="str">
        <f aca="false">IF(IsPro,IF($D2089="","",IFERROR(MATCH($D2089,Items!$A$5:$A$504,0),"")),"")</f>
        <v/>
      </c>
      <c r="V2089" s="60" t="str">
        <f aca="false">IF(IsPro,IF($C2089="","",IFERROR(MATCH($C2089,Parties!$A$5:$A$304,0),"")),"")</f>
        <v/>
      </c>
      <c r="W2089" s="60" t="str">
        <f aca="false">IF(IsPro,IF($B2089="","",IFERROR(VALUE(SUBSTITUTE($B2089,InvPrefix,"")),0)),"")</f>
        <v/>
      </c>
      <c r="X2089" s="61" t="str">
        <f aca="false">IF(IsPro,IF($D2089="","",IF(OR($H2089="",$H2089="Credit"),0,Q2089)),"")</f>
        <v/>
      </c>
    </row>
    <row r="2090" customFormat="false" ht="15" hidden="false" customHeight="false" outlineLevel="0" collapsed="false">
      <c r="A2090" s="55"/>
      <c r="B2090" s="56"/>
      <c r="C2090" s="56"/>
      <c r="D2090" s="56"/>
      <c r="E2090" s="57"/>
      <c r="F2090" s="58"/>
      <c r="G2090" s="59"/>
      <c r="H2090" s="56"/>
      <c r="I2090" s="56"/>
      <c r="J2090" s="60" t="str">
        <f aca="false">IF(IsPro,IF($D2090="","",IFERROR(INDEX(Items!$D$5:$D$504,U2090),"")),"")</f>
        <v/>
      </c>
      <c r="K2090" s="61" t="str">
        <f aca="false">IF(IsPro,IF($D2090="","",IF($F2090="",IFERROR(INDEX(Items!$H$5:$H$504,U2090),0),$F2090)),"")</f>
        <v/>
      </c>
      <c r="L2090" s="61" t="str">
        <f aca="false">IF(IsPro,IF($D2090="","",ROUND(N($E2090)*K2090*(1-N($G2090)),2)),"")</f>
        <v/>
      </c>
      <c r="M2090" s="62" t="str">
        <f aca="false">IF(IsPro,IF($D2090="","",IFERROR(INDEX(Items!$F$5:$F$504,U2090),0)),"")</f>
        <v/>
      </c>
      <c r="N2090" s="61" t="str">
        <f aca="false">IF(IsPro,IF($D2090="","",IF(AND(V2090&lt;&gt;"",INDEX(Parties!$E$5:$E$304,V2090)&lt;&gt;"",INDEX(Parties!$E$5:$E$304,V2090)&lt;&gt;HomeState),0,ROUND(L2090*M2090/2,2))),"")</f>
        <v/>
      </c>
      <c r="O2090" s="61" t="str">
        <f aca="false">IF(IsPro,IF($D2090="","",N2090),"")</f>
        <v/>
      </c>
      <c r="P2090" s="61" t="str">
        <f aca="false">IF(IsPro,IF($D2090="","",IF(AND(V2090&lt;&gt;"",INDEX(Parties!$E$5:$E$304,V2090)&lt;&gt;"",INDEX(Parties!$E$5:$E$304,V2090)&lt;&gt;HomeState),ROUND(L2090*M2090,2),0)),"")</f>
        <v/>
      </c>
      <c r="Q2090" s="61" t="str">
        <f aca="false">IF(IsPro,IF($D2090="","",L2090+N2090+O2090+P2090),"")</f>
        <v/>
      </c>
      <c r="R2090" s="61" t="str">
        <f aca="false">IF(IsPro,IF($D2090="","",ROUND(N($E2090)*IFERROR(INDEX(Items!$P$5:$P$504,U2090),0),2)),"")</f>
        <v/>
      </c>
      <c r="S2090" s="61" t="str">
        <f aca="false">IF(IsPro,IF($D2090="","",L2090-R2090),"")</f>
        <v/>
      </c>
      <c r="T2090" s="60" t="str">
        <f aca="false">IF(IsPro,IF($D2090="","",IF(U2090="","UNKNOWN ITEM",IF(INDEX(Items!$O$5:$O$504,U2090)&lt;0,"NEG STOCK",IF(K2090&lt;INDEX(Items!$P$5:$P$504,U2090),"BELOW COST","OK")))),IF($D2090="","","PRO PLAN"))</f>
        <v/>
      </c>
      <c r="U2090" s="60" t="str">
        <f aca="false">IF(IsPro,IF($D2090="","",IFERROR(MATCH($D2090,Items!$A$5:$A$504,0),"")),"")</f>
        <v/>
      </c>
      <c r="V2090" s="60" t="str">
        <f aca="false">IF(IsPro,IF($C2090="","",IFERROR(MATCH($C2090,Parties!$A$5:$A$304,0),"")),"")</f>
        <v/>
      </c>
      <c r="W2090" s="60" t="str">
        <f aca="false">IF(IsPro,IF($B2090="","",IFERROR(VALUE(SUBSTITUTE($B2090,InvPrefix,"")),0)),"")</f>
        <v/>
      </c>
      <c r="X2090" s="61" t="str">
        <f aca="false">IF(IsPro,IF($D2090="","",IF(OR($H2090="",$H2090="Credit"),0,Q2090)),"")</f>
        <v/>
      </c>
    </row>
    <row r="2091" customFormat="false" ht="15" hidden="false" customHeight="false" outlineLevel="0" collapsed="false">
      <c r="A2091" s="55"/>
      <c r="B2091" s="56"/>
      <c r="C2091" s="56"/>
      <c r="D2091" s="56"/>
      <c r="E2091" s="57"/>
      <c r="F2091" s="58"/>
      <c r="G2091" s="59"/>
      <c r="H2091" s="56"/>
      <c r="I2091" s="56"/>
      <c r="J2091" s="60" t="str">
        <f aca="false">IF(IsPro,IF($D2091="","",IFERROR(INDEX(Items!$D$5:$D$504,U2091),"")),"")</f>
        <v/>
      </c>
      <c r="K2091" s="61" t="str">
        <f aca="false">IF(IsPro,IF($D2091="","",IF($F2091="",IFERROR(INDEX(Items!$H$5:$H$504,U2091),0),$F2091)),"")</f>
        <v/>
      </c>
      <c r="L2091" s="61" t="str">
        <f aca="false">IF(IsPro,IF($D2091="","",ROUND(N($E2091)*K2091*(1-N($G2091)),2)),"")</f>
        <v/>
      </c>
      <c r="M2091" s="62" t="str">
        <f aca="false">IF(IsPro,IF($D2091="","",IFERROR(INDEX(Items!$F$5:$F$504,U2091),0)),"")</f>
        <v/>
      </c>
      <c r="N2091" s="61" t="str">
        <f aca="false">IF(IsPro,IF($D2091="","",IF(AND(V2091&lt;&gt;"",INDEX(Parties!$E$5:$E$304,V2091)&lt;&gt;"",INDEX(Parties!$E$5:$E$304,V2091)&lt;&gt;HomeState),0,ROUND(L2091*M2091/2,2))),"")</f>
        <v/>
      </c>
      <c r="O2091" s="61" t="str">
        <f aca="false">IF(IsPro,IF($D2091="","",N2091),"")</f>
        <v/>
      </c>
      <c r="P2091" s="61" t="str">
        <f aca="false">IF(IsPro,IF($D2091="","",IF(AND(V2091&lt;&gt;"",INDEX(Parties!$E$5:$E$304,V2091)&lt;&gt;"",INDEX(Parties!$E$5:$E$304,V2091)&lt;&gt;HomeState),ROUND(L2091*M2091,2),0)),"")</f>
        <v/>
      </c>
      <c r="Q2091" s="61" t="str">
        <f aca="false">IF(IsPro,IF($D2091="","",L2091+N2091+O2091+P2091),"")</f>
        <v/>
      </c>
      <c r="R2091" s="61" t="str">
        <f aca="false">IF(IsPro,IF($D2091="","",ROUND(N($E2091)*IFERROR(INDEX(Items!$P$5:$P$504,U2091),0),2)),"")</f>
        <v/>
      </c>
      <c r="S2091" s="61" t="str">
        <f aca="false">IF(IsPro,IF($D2091="","",L2091-R2091),"")</f>
        <v/>
      </c>
      <c r="T2091" s="60" t="str">
        <f aca="false">IF(IsPro,IF($D2091="","",IF(U2091="","UNKNOWN ITEM",IF(INDEX(Items!$O$5:$O$504,U2091)&lt;0,"NEG STOCK",IF(K2091&lt;INDEX(Items!$P$5:$P$504,U2091),"BELOW COST","OK")))),IF($D2091="","","PRO PLAN"))</f>
        <v/>
      </c>
      <c r="U2091" s="60" t="str">
        <f aca="false">IF(IsPro,IF($D2091="","",IFERROR(MATCH($D2091,Items!$A$5:$A$504,0),"")),"")</f>
        <v/>
      </c>
      <c r="V2091" s="60" t="str">
        <f aca="false">IF(IsPro,IF($C2091="","",IFERROR(MATCH($C2091,Parties!$A$5:$A$304,0),"")),"")</f>
        <v/>
      </c>
      <c r="W2091" s="60" t="str">
        <f aca="false">IF(IsPro,IF($B2091="","",IFERROR(VALUE(SUBSTITUTE($B2091,InvPrefix,"")),0)),"")</f>
        <v/>
      </c>
      <c r="X2091" s="61" t="str">
        <f aca="false">IF(IsPro,IF($D2091="","",IF(OR($H2091="",$H2091="Credit"),0,Q2091)),"")</f>
        <v/>
      </c>
    </row>
    <row r="2092" customFormat="false" ht="15" hidden="false" customHeight="false" outlineLevel="0" collapsed="false">
      <c r="A2092" s="55"/>
      <c r="B2092" s="56"/>
      <c r="C2092" s="56"/>
      <c r="D2092" s="56"/>
      <c r="E2092" s="57"/>
      <c r="F2092" s="58"/>
      <c r="G2092" s="59"/>
      <c r="H2092" s="56"/>
      <c r="I2092" s="56"/>
      <c r="J2092" s="60" t="str">
        <f aca="false">IF(IsPro,IF($D2092="","",IFERROR(INDEX(Items!$D$5:$D$504,U2092),"")),"")</f>
        <v/>
      </c>
      <c r="K2092" s="61" t="str">
        <f aca="false">IF(IsPro,IF($D2092="","",IF($F2092="",IFERROR(INDEX(Items!$H$5:$H$504,U2092),0),$F2092)),"")</f>
        <v/>
      </c>
      <c r="L2092" s="61" t="str">
        <f aca="false">IF(IsPro,IF($D2092="","",ROUND(N($E2092)*K2092*(1-N($G2092)),2)),"")</f>
        <v/>
      </c>
      <c r="M2092" s="62" t="str">
        <f aca="false">IF(IsPro,IF($D2092="","",IFERROR(INDEX(Items!$F$5:$F$504,U2092),0)),"")</f>
        <v/>
      </c>
      <c r="N2092" s="61" t="str">
        <f aca="false">IF(IsPro,IF($D2092="","",IF(AND(V2092&lt;&gt;"",INDEX(Parties!$E$5:$E$304,V2092)&lt;&gt;"",INDEX(Parties!$E$5:$E$304,V2092)&lt;&gt;HomeState),0,ROUND(L2092*M2092/2,2))),"")</f>
        <v/>
      </c>
      <c r="O2092" s="61" t="str">
        <f aca="false">IF(IsPro,IF($D2092="","",N2092),"")</f>
        <v/>
      </c>
      <c r="P2092" s="61" t="str">
        <f aca="false">IF(IsPro,IF($D2092="","",IF(AND(V2092&lt;&gt;"",INDEX(Parties!$E$5:$E$304,V2092)&lt;&gt;"",INDEX(Parties!$E$5:$E$304,V2092)&lt;&gt;HomeState),ROUND(L2092*M2092,2),0)),"")</f>
        <v/>
      </c>
      <c r="Q2092" s="61" t="str">
        <f aca="false">IF(IsPro,IF($D2092="","",L2092+N2092+O2092+P2092),"")</f>
        <v/>
      </c>
      <c r="R2092" s="61" t="str">
        <f aca="false">IF(IsPro,IF($D2092="","",ROUND(N($E2092)*IFERROR(INDEX(Items!$P$5:$P$504,U2092),0),2)),"")</f>
        <v/>
      </c>
      <c r="S2092" s="61" t="str">
        <f aca="false">IF(IsPro,IF($D2092="","",L2092-R2092),"")</f>
        <v/>
      </c>
      <c r="T2092" s="60" t="str">
        <f aca="false">IF(IsPro,IF($D2092="","",IF(U2092="","UNKNOWN ITEM",IF(INDEX(Items!$O$5:$O$504,U2092)&lt;0,"NEG STOCK",IF(K2092&lt;INDEX(Items!$P$5:$P$504,U2092),"BELOW COST","OK")))),IF($D2092="","","PRO PLAN"))</f>
        <v/>
      </c>
      <c r="U2092" s="60" t="str">
        <f aca="false">IF(IsPro,IF($D2092="","",IFERROR(MATCH($D2092,Items!$A$5:$A$504,0),"")),"")</f>
        <v/>
      </c>
      <c r="V2092" s="60" t="str">
        <f aca="false">IF(IsPro,IF($C2092="","",IFERROR(MATCH($C2092,Parties!$A$5:$A$304,0),"")),"")</f>
        <v/>
      </c>
      <c r="W2092" s="60" t="str">
        <f aca="false">IF(IsPro,IF($B2092="","",IFERROR(VALUE(SUBSTITUTE($B2092,InvPrefix,"")),0)),"")</f>
        <v/>
      </c>
      <c r="X2092" s="61" t="str">
        <f aca="false">IF(IsPro,IF($D2092="","",IF(OR($H2092="",$H2092="Credit"),0,Q2092)),"")</f>
        <v/>
      </c>
    </row>
    <row r="2093" customFormat="false" ht="15" hidden="false" customHeight="false" outlineLevel="0" collapsed="false">
      <c r="A2093" s="55"/>
      <c r="B2093" s="56"/>
      <c r="C2093" s="56"/>
      <c r="D2093" s="56"/>
      <c r="E2093" s="57"/>
      <c r="F2093" s="58"/>
      <c r="G2093" s="59"/>
      <c r="H2093" s="56"/>
      <c r="I2093" s="56"/>
      <c r="J2093" s="60" t="str">
        <f aca="false">IF(IsPro,IF($D2093="","",IFERROR(INDEX(Items!$D$5:$D$504,U2093),"")),"")</f>
        <v/>
      </c>
      <c r="K2093" s="61" t="str">
        <f aca="false">IF(IsPro,IF($D2093="","",IF($F2093="",IFERROR(INDEX(Items!$H$5:$H$504,U2093),0),$F2093)),"")</f>
        <v/>
      </c>
      <c r="L2093" s="61" t="str">
        <f aca="false">IF(IsPro,IF($D2093="","",ROUND(N($E2093)*K2093*(1-N($G2093)),2)),"")</f>
        <v/>
      </c>
      <c r="M2093" s="62" t="str">
        <f aca="false">IF(IsPro,IF($D2093="","",IFERROR(INDEX(Items!$F$5:$F$504,U2093),0)),"")</f>
        <v/>
      </c>
      <c r="N2093" s="61" t="str">
        <f aca="false">IF(IsPro,IF($D2093="","",IF(AND(V2093&lt;&gt;"",INDEX(Parties!$E$5:$E$304,V2093)&lt;&gt;"",INDEX(Parties!$E$5:$E$304,V2093)&lt;&gt;HomeState),0,ROUND(L2093*M2093/2,2))),"")</f>
        <v/>
      </c>
      <c r="O2093" s="61" t="str">
        <f aca="false">IF(IsPro,IF($D2093="","",N2093),"")</f>
        <v/>
      </c>
      <c r="P2093" s="61" t="str">
        <f aca="false">IF(IsPro,IF($D2093="","",IF(AND(V2093&lt;&gt;"",INDEX(Parties!$E$5:$E$304,V2093)&lt;&gt;"",INDEX(Parties!$E$5:$E$304,V2093)&lt;&gt;HomeState),ROUND(L2093*M2093,2),0)),"")</f>
        <v/>
      </c>
      <c r="Q2093" s="61" t="str">
        <f aca="false">IF(IsPro,IF($D2093="","",L2093+N2093+O2093+P2093),"")</f>
        <v/>
      </c>
      <c r="R2093" s="61" t="str">
        <f aca="false">IF(IsPro,IF($D2093="","",ROUND(N($E2093)*IFERROR(INDEX(Items!$P$5:$P$504,U2093),0),2)),"")</f>
        <v/>
      </c>
      <c r="S2093" s="61" t="str">
        <f aca="false">IF(IsPro,IF($D2093="","",L2093-R2093),"")</f>
        <v/>
      </c>
      <c r="T2093" s="60" t="str">
        <f aca="false">IF(IsPro,IF($D2093="","",IF(U2093="","UNKNOWN ITEM",IF(INDEX(Items!$O$5:$O$504,U2093)&lt;0,"NEG STOCK",IF(K2093&lt;INDEX(Items!$P$5:$P$504,U2093),"BELOW COST","OK")))),IF($D2093="","","PRO PLAN"))</f>
        <v/>
      </c>
      <c r="U2093" s="60" t="str">
        <f aca="false">IF(IsPro,IF($D2093="","",IFERROR(MATCH($D2093,Items!$A$5:$A$504,0),"")),"")</f>
        <v/>
      </c>
      <c r="V2093" s="60" t="str">
        <f aca="false">IF(IsPro,IF($C2093="","",IFERROR(MATCH($C2093,Parties!$A$5:$A$304,0),"")),"")</f>
        <v/>
      </c>
      <c r="W2093" s="60" t="str">
        <f aca="false">IF(IsPro,IF($B2093="","",IFERROR(VALUE(SUBSTITUTE($B2093,InvPrefix,"")),0)),"")</f>
        <v/>
      </c>
      <c r="X2093" s="61" t="str">
        <f aca="false">IF(IsPro,IF($D2093="","",IF(OR($H2093="",$H2093="Credit"),0,Q2093)),"")</f>
        <v/>
      </c>
    </row>
    <row r="2094" customFormat="false" ht="15" hidden="false" customHeight="false" outlineLevel="0" collapsed="false">
      <c r="A2094" s="55"/>
      <c r="B2094" s="56"/>
      <c r="C2094" s="56"/>
      <c r="D2094" s="56"/>
      <c r="E2094" s="57"/>
      <c r="F2094" s="58"/>
      <c r="G2094" s="59"/>
      <c r="H2094" s="56"/>
      <c r="I2094" s="56"/>
      <c r="J2094" s="60" t="str">
        <f aca="false">IF(IsPro,IF($D2094="","",IFERROR(INDEX(Items!$D$5:$D$504,U2094),"")),"")</f>
        <v/>
      </c>
      <c r="K2094" s="61" t="str">
        <f aca="false">IF(IsPro,IF($D2094="","",IF($F2094="",IFERROR(INDEX(Items!$H$5:$H$504,U2094),0),$F2094)),"")</f>
        <v/>
      </c>
      <c r="L2094" s="61" t="str">
        <f aca="false">IF(IsPro,IF($D2094="","",ROUND(N($E2094)*K2094*(1-N($G2094)),2)),"")</f>
        <v/>
      </c>
      <c r="M2094" s="62" t="str">
        <f aca="false">IF(IsPro,IF($D2094="","",IFERROR(INDEX(Items!$F$5:$F$504,U2094),0)),"")</f>
        <v/>
      </c>
      <c r="N2094" s="61" t="str">
        <f aca="false">IF(IsPro,IF($D2094="","",IF(AND(V2094&lt;&gt;"",INDEX(Parties!$E$5:$E$304,V2094)&lt;&gt;"",INDEX(Parties!$E$5:$E$304,V2094)&lt;&gt;HomeState),0,ROUND(L2094*M2094/2,2))),"")</f>
        <v/>
      </c>
      <c r="O2094" s="61" t="str">
        <f aca="false">IF(IsPro,IF($D2094="","",N2094),"")</f>
        <v/>
      </c>
      <c r="P2094" s="61" t="str">
        <f aca="false">IF(IsPro,IF($D2094="","",IF(AND(V2094&lt;&gt;"",INDEX(Parties!$E$5:$E$304,V2094)&lt;&gt;"",INDEX(Parties!$E$5:$E$304,V2094)&lt;&gt;HomeState),ROUND(L2094*M2094,2),0)),"")</f>
        <v/>
      </c>
      <c r="Q2094" s="61" t="str">
        <f aca="false">IF(IsPro,IF($D2094="","",L2094+N2094+O2094+P2094),"")</f>
        <v/>
      </c>
      <c r="R2094" s="61" t="str">
        <f aca="false">IF(IsPro,IF($D2094="","",ROUND(N($E2094)*IFERROR(INDEX(Items!$P$5:$P$504,U2094),0),2)),"")</f>
        <v/>
      </c>
      <c r="S2094" s="61" t="str">
        <f aca="false">IF(IsPro,IF($D2094="","",L2094-R2094),"")</f>
        <v/>
      </c>
      <c r="T2094" s="60" t="str">
        <f aca="false">IF(IsPro,IF($D2094="","",IF(U2094="","UNKNOWN ITEM",IF(INDEX(Items!$O$5:$O$504,U2094)&lt;0,"NEG STOCK",IF(K2094&lt;INDEX(Items!$P$5:$P$504,U2094),"BELOW COST","OK")))),IF($D2094="","","PRO PLAN"))</f>
        <v/>
      </c>
      <c r="U2094" s="60" t="str">
        <f aca="false">IF(IsPro,IF($D2094="","",IFERROR(MATCH($D2094,Items!$A$5:$A$504,0),"")),"")</f>
        <v/>
      </c>
      <c r="V2094" s="60" t="str">
        <f aca="false">IF(IsPro,IF($C2094="","",IFERROR(MATCH($C2094,Parties!$A$5:$A$304,0),"")),"")</f>
        <v/>
      </c>
      <c r="W2094" s="60" t="str">
        <f aca="false">IF(IsPro,IF($B2094="","",IFERROR(VALUE(SUBSTITUTE($B2094,InvPrefix,"")),0)),"")</f>
        <v/>
      </c>
      <c r="X2094" s="61" t="str">
        <f aca="false">IF(IsPro,IF($D2094="","",IF(OR($H2094="",$H2094="Credit"),0,Q2094)),"")</f>
        <v/>
      </c>
    </row>
    <row r="2095" customFormat="false" ht="15" hidden="false" customHeight="false" outlineLevel="0" collapsed="false">
      <c r="A2095" s="55"/>
      <c r="B2095" s="56"/>
      <c r="C2095" s="56"/>
      <c r="D2095" s="56"/>
      <c r="E2095" s="57"/>
      <c r="F2095" s="58"/>
      <c r="G2095" s="59"/>
      <c r="H2095" s="56"/>
      <c r="I2095" s="56"/>
      <c r="J2095" s="60" t="str">
        <f aca="false">IF(IsPro,IF($D2095="","",IFERROR(INDEX(Items!$D$5:$D$504,U2095),"")),"")</f>
        <v/>
      </c>
      <c r="K2095" s="61" t="str">
        <f aca="false">IF(IsPro,IF($D2095="","",IF($F2095="",IFERROR(INDEX(Items!$H$5:$H$504,U2095),0),$F2095)),"")</f>
        <v/>
      </c>
      <c r="L2095" s="61" t="str">
        <f aca="false">IF(IsPro,IF($D2095="","",ROUND(N($E2095)*K2095*(1-N($G2095)),2)),"")</f>
        <v/>
      </c>
      <c r="M2095" s="62" t="str">
        <f aca="false">IF(IsPro,IF($D2095="","",IFERROR(INDEX(Items!$F$5:$F$504,U2095),0)),"")</f>
        <v/>
      </c>
      <c r="N2095" s="61" t="str">
        <f aca="false">IF(IsPro,IF($D2095="","",IF(AND(V2095&lt;&gt;"",INDEX(Parties!$E$5:$E$304,V2095)&lt;&gt;"",INDEX(Parties!$E$5:$E$304,V2095)&lt;&gt;HomeState),0,ROUND(L2095*M2095/2,2))),"")</f>
        <v/>
      </c>
      <c r="O2095" s="61" t="str">
        <f aca="false">IF(IsPro,IF($D2095="","",N2095),"")</f>
        <v/>
      </c>
      <c r="P2095" s="61" t="str">
        <f aca="false">IF(IsPro,IF($D2095="","",IF(AND(V2095&lt;&gt;"",INDEX(Parties!$E$5:$E$304,V2095)&lt;&gt;"",INDEX(Parties!$E$5:$E$304,V2095)&lt;&gt;HomeState),ROUND(L2095*M2095,2),0)),"")</f>
        <v/>
      </c>
      <c r="Q2095" s="61" t="str">
        <f aca="false">IF(IsPro,IF($D2095="","",L2095+N2095+O2095+P2095),"")</f>
        <v/>
      </c>
      <c r="R2095" s="61" t="str">
        <f aca="false">IF(IsPro,IF($D2095="","",ROUND(N($E2095)*IFERROR(INDEX(Items!$P$5:$P$504,U2095),0),2)),"")</f>
        <v/>
      </c>
      <c r="S2095" s="61" t="str">
        <f aca="false">IF(IsPro,IF($D2095="","",L2095-R2095),"")</f>
        <v/>
      </c>
      <c r="T2095" s="60" t="str">
        <f aca="false">IF(IsPro,IF($D2095="","",IF(U2095="","UNKNOWN ITEM",IF(INDEX(Items!$O$5:$O$504,U2095)&lt;0,"NEG STOCK",IF(K2095&lt;INDEX(Items!$P$5:$P$504,U2095),"BELOW COST","OK")))),IF($D2095="","","PRO PLAN"))</f>
        <v/>
      </c>
      <c r="U2095" s="60" t="str">
        <f aca="false">IF(IsPro,IF($D2095="","",IFERROR(MATCH($D2095,Items!$A$5:$A$504,0),"")),"")</f>
        <v/>
      </c>
      <c r="V2095" s="60" t="str">
        <f aca="false">IF(IsPro,IF($C2095="","",IFERROR(MATCH($C2095,Parties!$A$5:$A$304,0),"")),"")</f>
        <v/>
      </c>
      <c r="W2095" s="60" t="str">
        <f aca="false">IF(IsPro,IF($B2095="","",IFERROR(VALUE(SUBSTITUTE($B2095,InvPrefix,"")),0)),"")</f>
        <v/>
      </c>
      <c r="X2095" s="61" t="str">
        <f aca="false">IF(IsPro,IF($D2095="","",IF(OR($H2095="",$H2095="Credit"),0,Q2095)),"")</f>
        <v/>
      </c>
    </row>
    <row r="2096" customFormat="false" ht="15" hidden="false" customHeight="false" outlineLevel="0" collapsed="false">
      <c r="A2096" s="55"/>
      <c r="B2096" s="56"/>
      <c r="C2096" s="56"/>
      <c r="D2096" s="56"/>
      <c r="E2096" s="57"/>
      <c r="F2096" s="58"/>
      <c r="G2096" s="59"/>
      <c r="H2096" s="56"/>
      <c r="I2096" s="56"/>
      <c r="J2096" s="60" t="str">
        <f aca="false">IF(IsPro,IF($D2096="","",IFERROR(INDEX(Items!$D$5:$D$504,U2096),"")),"")</f>
        <v/>
      </c>
      <c r="K2096" s="61" t="str">
        <f aca="false">IF(IsPro,IF($D2096="","",IF($F2096="",IFERROR(INDEX(Items!$H$5:$H$504,U2096),0),$F2096)),"")</f>
        <v/>
      </c>
      <c r="L2096" s="61" t="str">
        <f aca="false">IF(IsPro,IF($D2096="","",ROUND(N($E2096)*K2096*(1-N($G2096)),2)),"")</f>
        <v/>
      </c>
      <c r="M2096" s="62" t="str">
        <f aca="false">IF(IsPro,IF($D2096="","",IFERROR(INDEX(Items!$F$5:$F$504,U2096),0)),"")</f>
        <v/>
      </c>
      <c r="N2096" s="61" t="str">
        <f aca="false">IF(IsPro,IF($D2096="","",IF(AND(V2096&lt;&gt;"",INDEX(Parties!$E$5:$E$304,V2096)&lt;&gt;"",INDEX(Parties!$E$5:$E$304,V2096)&lt;&gt;HomeState),0,ROUND(L2096*M2096/2,2))),"")</f>
        <v/>
      </c>
      <c r="O2096" s="61" t="str">
        <f aca="false">IF(IsPro,IF($D2096="","",N2096),"")</f>
        <v/>
      </c>
      <c r="P2096" s="61" t="str">
        <f aca="false">IF(IsPro,IF($D2096="","",IF(AND(V2096&lt;&gt;"",INDEX(Parties!$E$5:$E$304,V2096)&lt;&gt;"",INDEX(Parties!$E$5:$E$304,V2096)&lt;&gt;HomeState),ROUND(L2096*M2096,2),0)),"")</f>
        <v/>
      </c>
      <c r="Q2096" s="61" t="str">
        <f aca="false">IF(IsPro,IF($D2096="","",L2096+N2096+O2096+P2096),"")</f>
        <v/>
      </c>
      <c r="R2096" s="61" t="str">
        <f aca="false">IF(IsPro,IF($D2096="","",ROUND(N($E2096)*IFERROR(INDEX(Items!$P$5:$P$504,U2096),0),2)),"")</f>
        <v/>
      </c>
      <c r="S2096" s="61" t="str">
        <f aca="false">IF(IsPro,IF($D2096="","",L2096-R2096),"")</f>
        <v/>
      </c>
      <c r="T2096" s="60" t="str">
        <f aca="false">IF(IsPro,IF($D2096="","",IF(U2096="","UNKNOWN ITEM",IF(INDEX(Items!$O$5:$O$504,U2096)&lt;0,"NEG STOCK",IF(K2096&lt;INDEX(Items!$P$5:$P$504,U2096),"BELOW COST","OK")))),IF($D2096="","","PRO PLAN"))</f>
        <v/>
      </c>
      <c r="U2096" s="60" t="str">
        <f aca="false">IF(IsPro,IF($D2096="","",IFERROR(MATCH($D2096,Items!$A$5:$A$504,0),"")),"")</f>
        <v/>
      </c>
      <c r="V2096" s="60" t="str">
        <f aca="false">IF(IsPro,IF($C2096="","",IFERROR(MATCH($C2096,Parties!$A$5:$A$304,0),"")),"")</f>
        <v/>
      </c>
      <c r="W2096" s="60" t="str">
        <f aca="false">IF(IsPro,IF($B2096="","",IFERROR(VALUE(SUBSTITUTE($B2096,InvPrefix,"")),0)),"")</f>
        <v/>
      </c>
      <c r="X2096" s="61" t="str">
        <f aca="false">IF(IsPro,IF($D2096="","",IF(OR($H2096="",$H2096="Credit"),0,Q2096)),"")</f>
        <v/>
      </c>
    </row>
    <row r="2097" customFormat="false" ht="15" hidden="false" customHeight="false" outlineLevel="0" collapsed="false">
      <c r="A2097" s="55"/>
      <c r="B2097" s="56"/>
      <c r="C2097" s="56"/>
      <c r="D2097" s="56"/>
      <c r="E2097" s="57"/>
      <c r="F2097" s="58"/>
      <c r="G2097" s="59"/>
      <c r="H2097" s="56"/>
      <c r="I2097" s="56"/>
      <c r="J2097" s="60" t="str">
        <f aca="false">IF(IsPro,IF($D2097="","",IFERROR(INDEX(Items!$D$5:$D$504,U2097),"")),"")</f>
        <v/>
      </c>
      <c r="K2097" s="61" t="str">
        <f aca="false">IF(IsPro,IF($D2097="","",IF($F2097="",IFERROR(INDEX(Items!$H$5:$H$504,U2097),0),$F2097)),"")</f>
        <v/>
      </c>
      <c r="L2097" s="61" t="str">
        <f aca="false">IF(IsPro,IF($D2097="","",ROUND(N($E2097)*K2097*(1-N($G2097)),2)),"")</f>
        <v/>
      </c>
      <c r="M2097" s="62" t="str">
        <f aca="false">IF(IsPro,IF($D2097="","",IFERROR(INDEX(Items!$F$5:$F$504,U2097),0)),"")</f>
        <v/>
      </c>
      <c r="N2097" s="61" t="str">
        <f aca="false">IF(IsPro,IF($D2097="","",IF(AND(V2097&lt;&gt;"",INDEX(Parties!$E$5:$E$304,V2097)&lt;&gt;"",INDEX(Parties!$E$5:$E$304,V2097)&lt;&gt;HomeState),0,ROUND(L2097*M2097/2,2))),"")</f>
        <v/>
      </c>
      <c r="O2097" s="61" t="str">
        <f aca="false">IF(IsPro,IF($D2097="","",N2097),"")</f>
        <v/>
      </c>
      <c r="P2097" s="61" t="str">
        <f aca="false">IF(IsPro,IF($D2097="","",IF(AND(V2097&lt;&gt;"",INDEX(Parties!$E$5:$E$304,V2097)&lt;&gt;"",INDEX(Parties!$E$5:$E$304,V2097)&lt;&gt;HomeState),ROUND(L2097*M2097,2),0)),"")</f>
        <v/>
      </c>
      <c r="Q2097" s="61" t="str">
        <f aca="false">IF(IsPro,IF($D2097="","",L2097+N2097+O2097+P2097),"")</f>
        <v/>
      </c>
      <c r="R2097" s="61" t="str">
        <f aca="false">IF(IsPro,IF($D2097="","",ROUND(N($E2097)*IFERROR(INDEX(Items!$P$5:$P$504,U2097),0),2)),"")</f>
        <v/>
      </c>
      <c r="S2097" s="61" t="str">
        <f aca="false">IF(IsPro,IF($D2097="","",L2097-R2097),"")</f>
        <v/>
      </c>
      <c r="T2097" s="60" t="str">
        <f aca="false">IF(IsPro,IF($D2097="","",IF(U2097="","UNKNOWN ITEM",IF(INDEX(Items!$O$5:$O$504,U2097)&lt;0,"NEG STOCK",IF(K2097&lt;INDEX(Items!$P$5:$P$504,U2097),"BELOW COST","OK")))),IF($D2097="","","PRO PLAN"))</f>
        <v/>
      </c>
      <c r="U2097" s="60" t="str">
        <f aca="false">IF(IsPro,IF($D2097="","",IFERROR(MATCH($D2097,Items!$A$5:$A$504,0),"")),"")</f>
        <v/>
      </c>
      <c r="V2097" s="60" t="str">
        <f aca="false">IF(IsPro,IF($C2097="","",IFERROR(MATCH($C2097,Parties!$A$5:$A$304,0),"")),"")</f>
        <v/>
      </c>
      <c r="W2097" s="60" t="str">
        <f aca="false">IF(IsPro,IF($B2097="","",IFERROR(VALUE(SUBSTITUTE($B2097,InvPrefix,"")),0)),"")</f>
        <v/>
      </c>
      <c r="X2097" s="61" t="str">
        <f aca="false">IF(IsPro,IF($D2097="","",IF(OR($H2097="",$H2097="Credit"),0,Q2097)),"")</f>
        <v/>
      </c>
    </row>
    <row r="2098" customFormat="false" ht="15" hidden="false" customHeight="false" outlineLevel="0" collapsed="false">
      <c r="A2098" s="55"/>
      <c r="B2098" s="56"/>
      <c r="C2098" s="56"/>
      <c r="D2098" s="56"/>
      <c r="E2098" s="57"/>
      <c r="F2098" s="58"/>
      <c r="G2098" s="59"/>
      <c r="H2098" s="56"/>
      <c r="I2098" s="56"/>
      <c r="J2098" s="60" t="str">
        <f aca="false">IF(IsPro,IF($D2098="","",IFERROR(INDEX(Items!$D$5:$D$504,U2098),"")),"")</f>
        <v/>
      </c>
      <c r="K2098" s="61" t="str">
        <f aca="false">IF(IsPro,IF($D2098="","",IF($F2098="",IFERROR(INDEX(Items!$H$5:$H$504,U2098),0),$F2098)),"")</f>
        <v/>
      </c>
      <c r="L2098" s="61" t="str">
        <f aca="false">IF(IsPro,IF($D2098="","",ROUND(N($E2098)*K2098*(1-N($G2098)),2)),"")</f>
        <v/>
      </c>
      <c r="M2098" s="62" t="str">
        <f aca="false">IF(IsPro,IF($D2098="","",IFERROR(INDEX(Items!$F$5:$F$504,U2098),0)),"")</f>
        <v/>
      </c>
      <c r="N2098" s="61" t="str">
        <f aca="false">IF(IsPro,IF($D2098="","",IF(AND(V2098&lt;&gt;"",INDEX(Parties!$E$5:$E$304,V2098)&lt;&gt;"",INDEX(Parties!$E$5:$E$304,V2098)&lt;&gt;HomeState),0,ROUND(L2098*M2098/2,2))),"")</f>
        <v/>
      </c>
      <c r="O2098" s="61" t="str">
        <f aca="false">IF(IsPro,IF($D2098="","",N2098),"")</f>
        <v/>
      </c>
      <c r="P2098" s="61" t="str">
        <f aca="false">IF(IsPro,IF($D2098="","",IF(AND(V2098&lt;&gt;"",INDEX(Parties!$E$5:$E$304,V2098)&lt;&gt;"",INDEX(Parties!$E$5:$E$304,V2098)&lt;&gt;HomeState),ROUND(L2098*M2098,2),0)),"")</f>
        <v/>
      </c>
      <c r="Q2098" s="61" t="str">
        <f aca="false">IF(IsPro,IF($D2098="","",L2098+N2098+O2098+P2098),"")</f>
        <v/>
      </c>
      <c r="R2098" s="61" t="str">
        <f aca="false">IF(IsPro,IF($D2098="","",ROUND(N($E2098)*IFERROR(INDEX(Items!$P$5:$P$504,U2098),0),2)),"")</f>
        <v/>
      </c>
      <c r="S2098" s="61" t="str">
        <f aca="false">IF(IsPro,IF($D2098="","",L2098-R2098),"")</f>
        <v/>
      </c>
      <c r="T2098" s="60" t="str">
        <f aca="false">IF(IsPro,IF($D2098="","",IF(U2098="","UNKNOWN ITEM",IF(INDEX(Items!$O$5:$O$504,U2098)&lt;0,"NEG STOCK",IF(K2098&lt;INDEX(Items!$P$5:$P$504,U2098),"BELOW COST","OK")))),IF($D2098="","","PRO PLAN"))</f>
        <v/>
      </c>
      <c r="U2098" s="60" t="str">
        <f aca="false">IF(IsPro,IF($D2098="","",IFERROR(MATCH($D2098,Items!$A$5:$A$504,0),"")),"")</f>
        <v/>
      </c>
      <c r="V2098" s="60" t="str">
        <f aca="false">IF(IsPro,IF($C2098="","",IFERROR(MATCH($C2098,Parties!$A$5:$A$304,0),"")),"")</f>
        <v/>
      </c>
      <c r="W2098" s="60" t="str">
        <f aca="false">IF(IsPro,IF($B2098="","",IFERROR(VALUE(SUBSTITUTE($B2098,InvPrefix,"")),0)),"")</f>
        <v/>
      </c>
      <c r="X2098" s="61" t="str">
        <f aca="false">IF(IsPro,IF($D2098="","",IF(OR($H2098="",$H2098="Credit"),0,Q2098)),"")</f>
        <v/>
      </c>
    </row>
    <row r="2099" customFormat="false" ht="15" hidden="false" customHeight="false" outlineLevel="0" collapsed="false">
      <c r="A2099" s="55"/>
      <c r="B2099" s="56"/>
      <c r="C2099" s="56"/>
      <c r="D2099" s="56"/>
      <c r="E2099" s="57"/>
      <c r="F2099" s="58"/>
      <c r="G2099" s="59"/>
      <c r="H2099" s="56"/>
      <c r="I2099" s="56"/>
      <c r="J2099" s="60" t="str">
        <f aca="false">IF(IsPro,IF($D2099="","",IFERROR(INDEX(Items!$D$5:$D$504,U2099),"")),"")</f>
        <v/>
      </c>
      <c r="K2099" s="61" t="str">
        <f aca="false">IF(IsPro,IF($D2099="","",IF($F2099="",IFERROR(INDEX(Items!$H$5:$H$504,U2099),0),$F2099)),"")</f>
        <v/>
      </c>
      <c r="L2099" s="61" t="str">
        <f aca="false">IF(IsPro,IF($D2099="","",ROUND(N($E2099)*K2099*(1-N($G2099)),2)),"")</f>
        <v/>
      </c>
      <c r="M2099" s="62" t="str">
        <f aca="false">IF(IsPro,IF($D2099="","",IFERROR(INDEX(Items!$F$5:$F$504,U2099),0)),"")</f>
        <v/>
      </c>
      <c r="N2099" s="61" t="str">
        <f aca="false">IF(IsPro,IF($D2099="","",IF(AND(V2099&lt;&gt;"",INDEX(Parties!$E$5:$E$304,V2099)&lt;&gt;"",INDEX(Parties!$E$5:$E$304,V2099)&lt;&gt;HomeState),0,ROUND(L2099*M2099/2,2))),"")</f>
        <v/>
      </c>
      <c r="O2099" s="61" t="str">
        <f aca="false">IF(IsPro,IF($D2099="","",N2099),"")</f>
        <v/>
      </c>
      <c r="P2099" s="61" t="str">
        <f aca="false">IF(IsPro,IF($D2099="","",IF(AND(V2099&lt;&gt;"",INDEX(Parties!$E$5:$E$304,V2099)&lt;&gt;"",INDEX(Parties!$E$5:$E$304,V2099)&lt;&gt;HomeState),ROUND(L2099*M2099,2),0)),"")</f>
        <v/>
      </c>
      <c r="Q2099" s="61" t="str">
        <f aca="false">IF(IsPro,IF($D2099="","",L2099+N2099+O2099+P2099),"")</f>
        <v/>
      </c>
      <c r="R2099" s="61" t="str">
        <f aca="false">IF(IsPro,IF($D2099="","",ROUND(N($E2099)*IFERROR(INDEX(Items!$P$5:$P$504,U2099),0),2)),"")</f>
        <v/>
      </c>
      <c r="S2099" s="61" t="str">
        <f aca="false">IF(IsPro,IF($D2099="","",L2099-R2099),"")</f>
        <v/>
      </c>
      <c r="T2099" s="60" t="str">
        <f aca="false">IF(IsPro,IF($D2099="","",IF(U2099="","UNKNOWN ITEM",IF(INDEX(Items!$O$5:$O$504,U2099)&lt;0,"NEG STOCK",IF(K2099&lt;INDEX(Items!$P$5:$P$504,U2099),"BELOW COST","OK")))),IF($D2099="","","PRO PLAN"))</f>
        <v/>
      </c>
      <c r="U2099" s="60" t="str">
        <f aca="false">IF(IsPro,IF($D2099="","",IFERROR(MATCH($D2099,Items!$A$5:$A$504,0),"")),"")</f>
        <v/>
      </c>
      <c r="V2099" s="60" t="str">
        <f aca="false">IF(IsPro,IF($C2099="","",IFERROR(MATCH($C2099,Parties!$A$5:$A$304,0),"")),"")</f>
        <v/>
      </c>
      <c r="W2099" s="60" t="str">
        <f aca="false">IF(IsPro,IF($B2099="","",IFERROR(VALUE(SUBSTITUTE($B2099,InvPrefix,"")),0)),"")</f>
        <v/>
      </c>
      <c r="X2099" s="61" t="str">
        <f aca="false">IF(IsPro,IF($D2099="","",IF(OR($H2099="",$H2099="Credit"),0,Q2099)),"")</f>
        <v/>
      </c>
    </row>
    <row r="2100" customFormat="false" ht="15" hidden="false" customHeight="false" outlineLevel="0" collapsed="false">
      <c r="A2100" s="55"/>
      <c r="B2100" s="56"/>
      <c r="C2100" s="56"/>
      <c r="D2100" s="56"/>
      <c r="E2100" s="57"/>
      <c r="F2100" s="58"/>
      <c r="G2100" s="59"/>
      <c r="H2100" s="56"/>
      <c r="I2100" s="56"/>
      <c r="J2100" s="60" t="str">
        <f aca="false">IF(IsPro,IF($D2100="","",IFERROR(INDEX(Items!$D$5:$D$504,U2100),"")),"")</f>
        <v/>
      </c>
      <c r="K2100" s="61" t="str">
        <f aca="false">IF(IsPro,IF($D2100="","",IF($F2100="",IFERROR(INDEX(Items!$H$5:$H$504,U2100),0),$F2100)),"")</f>
        <v/>
      </c>
      <c r="L2100" s="61" t="str">
        <f aca="false">IF(IsPro,IF($D2100="","",ROUND(N($E2100)*K2100*(1-N($G2100)),2)),"")</f>
        <v/>
      </c>
      <c r="M2100" s="62" t="str">
        <f aca="false">IF(IsPro,IF($D2100="","",IFERROR(INDEX(Items!$F$5:$F$504,U2100),0)),"")</f>
        <v/>
      </c>
      <c r="N2100" s="61" t="str">
        <f aca="false">IF(IsPro,IF($D2100="","",IF(AND(V2100&lt;&gt;"",INDEX(Parties!$E$5:$E$304,V2100)&lt;&gt;"",INDEX(Parties!$E$5:$E$304,V2100)&lt;&gt;HomeState),0,ROUND(L2100*M2100/2,2))),"")</f>
        <v/>
      </c>
      <c r="O2100" s="61" t="str">
        <f aca="false">IF(IsPro,IF($D2100="","",N2100),"")</f>
        <v/>
      </c>
      <c r="P2100" s="61" t="str">
        <f aca="false">IF(IsPro,IF($D2100="","",IF(AND(V2100&lt;&gt;"",INDEX(Parties!$E$5:$E$304,V2100)&lt;&gt;"",INDEX(Parties!$E$5:$E$304,V2100)&lt;&gt;HomeState),ROUND(L2100*M2100,2),0)),"")</f>
        <v/>
      </c>
      <c r="Q2100" s="61" t="str">
        <f aca="false">IF(IsPro,IF($D2100="","",L2100+N2100+O2100+P2100),"")</f>
        <v/>
      </c>
      <c r="R2100" s="61" t="str">
        <f aca="false">IF(IsPro,IF($D2100="","",ROUND(N($E2100)*IFERROR(INDEX(Items!$P$5:$P$504,U2100),0),2)),"")</f>
        <v/>
      </c>
      <c r="S2100" s="61" t="str">
        <f aca="false">IF(IsPro,IF($D2100="","",L2100-R2100),"")</f>
        <v/>
      </c>
      <c r="T2100" s="60" t="str">
        <f aca="false">IF(IsPro,IF($D2100="","",IF(U2100="","UNKNOWN ITEM",IF(INDEX(Items!$O$5:$O$504,U2100)&lt;0,"NEG STOCK",IF(K2100&lt;INDEX(Items!$P$5:$P$504,U2100),"BELOW COST","OK")))),IF($D2100="","","PRO PLAN"))</f>
        <v/>
      </c>
      <c r="U2100" s="60" t="str">
        <f aca="false">IF(IsPro,IF($D2100="","",IFERROR(MATCH($D2100,Items!$A$5:$A$504,0),"")),"")</f>
        <v/>
      </c>
      <c r="V2100" s="60" t="str">
        <f aca="false">IF(IsPro,IF($C2100="","",IFERROR(MATCH($C2100,Parties!$A$5:$A$304,0),"")),"")</f>
        <v/>
      </c>
      <c r="W2100" s="60" t="str">
        <f aca="false">IF(IsPro,IF($B2100="","",IFERROR(VALUE(SUBSTITUTE($B2100,InvPrefix,"")),0)),"")</f>
        <v/>
      </c>
      <c r="X2100" s="61" t="str">
        <f aca="false">IF(IsPro,IF($D2100="","",IF(OR($H2100="",$H2100="Credit"),0,Q2100)),"")</f>
        <v/>
      </c>
    </row>
    <row r="2101" customFormat="false" ht="15" hidden="false" customHeight="false" outlineLevel="0" collapsed="false">
      <c r="A2101" s="55"/>
      <c r="B2101" s="56"/>
      <c r="C2101" s="56"/>
      <c r="D2101" s="56"/>
      <c r="E2101" s="57"/>
      <c r="F2101" s="58"/>
      <c r="G2101" s="59"/>
      <c r="H2101" s="56"/>
      <c r="I2101" s="56"/>
      <c r="J2101" s="60" t="str">
        <f aca="false">IF(IsPro,IF($D2101="","",IFERROR(INDEX(Items!$D$5:$D$504,U2101),"")),"")</f>
        <v/>
      </c>
      <c r="K2101" s="61" t="str">
        <f aca="false">IF(IsPro,IF($D2101="","",IF($F2101="",IFERROR(INDEX(Items!$H$5:$H$504,U2101),0),$F2101)),"")</f>
        <v/>
      </c>
      <c r="L2101" s="61" t="str">
        <f aca="false">IF(IsPro,IF($D2101="","",ROUND(N($E2101)*K2101*(1-N($G2101)),2)),"")</f>
        <v/>
      </c>
      <c r="M2101" s="62" t="str">
        <f aca="false">IF(IsPro,IF($D2101="","",IFERROR(INDEX(Items!$F$5:$F$504,U2101),0)),"")</f>
        <v/>
      </c>
      <c r="N2101" s="61" t="str">
        <f aca="false">IF(IsPro,IF($D2101="","",IF(AND(V2101&lt;&gt;"",INDEX(Parties!$E$5:$E$304,V2101)&lt;&gt;"",INDEX(Parties!$E$5:$E$304,V2101)&lt;&gt;HomeState),0,ROUND(L2101*M2101/2,2))),"")</f>
        <v/>
      </c>
      <c r="O2101" s="61" t="str">
        <f aca="false">IF(IsPro,IF($D2101="","",N2101),"")</f>
        <v/>
      </c>
      <c r="P2101" s="61" t="str">
        <f aca="false">IF(IsPro,IF($D2101="","",IF(AND(V2101&lt;&gt;"",INDEX(Parties!$E$5:$E$304,V2101)&lt;&gt;"",INDEX(Parties!$E$5:$E$304,V2101)&lt;&gt;HomeState),ROUND(L2101*M2101,2),0)),"")</f>
        <v/>
      </c>
      <c r="Q2101" s="61" t="str">
        <f aca="false">IF(IsPro,IF($D2101="","",L2101+N2101+O2101+P2101),"")</f>
        <v/>
      </c>
      <c r="R2101" s="61" t="str">
        <f aca="false">IF(IsPro,IF($D2101="","",ROUND(N($E2101)*IFERROR(INDEX(Items!$P$5:$P$504,U2101),0),2)),"")</f>
        <v/>
      </c>
      <c r="S2101" s="61" t="str">
        <f aca="false">IF(IsPro,IF($D2101="","",L2101-R2101),"")</f>
        <v/>
      </c>
      <c r="T2101" s="60" t="str">
        <f aca="false">IF(IsPro,IF($D2101="","",IF(U2101="","UNKNOWN ITEM",IF(INDEX(Items!$O$5:$O$504,U2101)&lt;0,"NEG STOCK",IF(K2101&lt;INDEX(Items!$P$5:$P$504,U2101),"BELOW COST","OK")))),IF($D2101="","","PRO PLAN"))</f>
        <v/>
      </c>
      <c r="U2101" s="60" t="str">
        <f aca="false">IF(IsPro,IF($D2101="","",IFERROR(MATCH($D2101,Items!$A$5:$A$504,0),"")),"")</f>
        <v/>
      </c>
      <c r="V2101" s="60" t="str">
        <f aca="false">IF(IsPro,IF($C2101="","",IFERROR(MATCH($C2101,Parties!$A$5:$A$304,0),"")),"")</f>
        <v/>
      </c>
      <c r="W2101" s="60" t="str">
        <f aca="false">IF(IsPro,IF($B2101="","",IFERROR(VALUE(SUBSTITUTE($B2101,InvPrefix,"")),0)),"")</f>
        <v/>
      </c>
      <c r="X2101" s="61" t="str">
        <f aca="false">IF(IsPro,IF($D2101="","",IF(OR($H2101="",$H2101="Credit"),0,Q2101)),"")</f>
        <v/>
      </c>
    </row>
    <row r="2102" customFormat="false" ht="15" hidden="false" customHeight="false" outlineLevel="0" collapsed="false">
      <c r="A2102" s="55"/>
      <c r="B2102" s="56"/>
      <c r="C2102" s="56"/>
      <c r="D2102" s="56"/>
      <c r="E2102" s="57"/>
      <c r="F2102" s="58"/>
      <c r="G2102" s="59"/>
      <c r="H2102" s="56"/>
      <c r="I2102" s="56"/>
      <c r="J2102" s="60" t="str">
        <f aca="false">IF(IsPro,IF($D2102="","",IFERROR(INDEX(Items!$D$5:$D$504,U2102),"")),"")</f>
        <v/>
      </c>
      <c r="K2102" s="61" t="str">
        <f aca="false">IF(IsPro,IF($D2102="","",IF($F2102="",IFERROR(INDEX(Items!$H$5:$H$504,U2102),0),$F2102)),"")</f>
        <v/>
      </c>
      <c r="L2102" s="61" t="str">
        <f aca="false">IF(IsPro,IF($D2102="","",ROUND(N($E2102)*K2102*(1-N($G2102)),2)),"")</f>
        <v/>
      </c>
      <c r="M2102" s="62" t="str">
        <f aca="false">IF(IsPro,IF($D2102="","",IFERROR(INDEX(Items!$F$5:$F$504,U2102),0)),"")</f>
        <v/>
      </c>
      <c r="N2102" s="61" t="str">
        <f aca="false">IF(IsPro,IF($D2102="","",IF(AND(V2102&lt;&gt;"",INDEX(Parties!$E$5:$E$304,V2102)&lt;&gt;"",INDEX(Parties!$E$5:$E$304,V2102)&lt;&gt;HomeState),0,ROUND(L2102*M2102/2,2))),"")</f>
        <v/>
      </c>
      <c r="O2102" s="61" t="str">
        <f aca="false">IF(IsPro,IF($D2102="","",N2102),"")</f>
        <v/>
      </c>
      <c r="P2102" s="61" t="str">
        <f aca="false">IF(IsPro,IF($D2102="","",IF(AND(V2102&lt;&gt;"",INDEX(Parties!$E$5:$E$304,V2102)&lt;&gt;"",INDEX(Parties!$E$5:$E$304,V2102)&lt;&gt;HomeState),ROUND(L2102*M2102,2),0)),"")</f>
        <v/>
      </c>
      <c r="Q2102" s="61" t="str">
        <f aca="false">IF(IsPro,IF($D2102="","",L2102+N2102+O2102+P2102),"")</f>
        <v/>
      </c>
      <c r="R2102" s="61" t="str">
        <f aca="false">IF(IsPro,IF($D2102="","",ROUND(N($E2102)*IFERROR(INDEX(Items!$P$5:$P$504,U2102),0),2)),"")</f>
        <v/>
      </c>
      <c r="S2102" s="61" t="str">
        <f aca="false">IF(IsPro,IF($D2102="","",L2102-R2102),"")</f>
        <v/>
      </c>
      <c r="T2102" s="60" t="str">
        <f aca="false">IF(IsPro,IF($D2102="","",IF(U2102="","UNKNOWN ITEM",IF(INDEX(Items!$O$5:$O$504,U2102)&lt;0,"NEG STOCK",IF(K2102&lt;INDEX(Items!$P$5:$P$504,U2102),"BELOW COST","OK")))),IF($D2102="","","PRO PLAN"))</f>
        <v/>
      </c>
      <c r="U2102" s="60" t="str">
        <f aca="false">IF(IsPro,IF($D2102="","",IFERROR(MATCH($D2102,Items!$A$5:$A$504,0),"")),"")</f>
        <v/>
      </c>
      <c r="V2102" s="60" t="str">
        <f aca="false">IF(IsPro,IF($C2102="","",IFERROR(MATCH($C2102,Parties!$A$5:$A$304,0),"")),"")</f>
        <v/>
      </c>
      <c r="W2102" s="60" t="str">
        <f aca="false">IF(IsPro,IF($B2102="","",IFERROR(VALUE(SUBSTITUTE($B2102,InvPrefix,"")),0)),"")</f>
        <v/>
      </c>
      <c r="X2102" s="61" t="str">
        <f aca="false">IF(IsPro,IF($D2102="","",IF(OR($H2102="",$H2102="Credit"),0,Q2102)),"")</f>
        <v/>
      </c>
    </row>
    <row r="2103" customFormat="false" ht="15" hidden="false" customHeight="false" outlineLevel="0" collapsed="false">
      <c r="A2103" s="55"/>
      <c r="B2103" s="56"/>
      <c r="C2103" s="56"/>
      <c r="D2103" s="56"/>
      <c r="E2103" s="57"/>
      <c r="F2103" s="58"/>
      <c r="G2103" s="59"/>
      <c r="H2103" s="56"/>
      <c r="I2103" s="56"/>
      <c r="J2103" s="60" t="str">
        <f aca="false">IF(IsPro,IF($D2103="","",IFERROR(INDEX(Items!$D$5:$D$504,U2103),"")),"")</f>
        <v/>
      </c>
      <c r="K2103" s="61" t="str">
        <f aca="false">IF(IsPro,IF($D2103="","",IF($F2103="",IFERROR(INDEX(Items!$H$5:$H$504,U2103),0),$F2103)),"")</f>
        <v/>
      </c>
      <c r="L2103" s="61" t="str">
        <f aca="false">IF(IsPro,IF($D2103="","",ROUND(N($E2103)*K2103*(1-N($G2103)),2)),"")</f>
        <v/>
      </c>
      <c r="M2103" s="62" t="str">
        <f aca="false">IF(IsPro,IF($D2103="","",IFERROR(INDEX(Items!$F$5:$F$504,U2103),0)),"")</f>
        <v/>
      </c>
      <c r="N2103" s="61" t="str">
        <f aca="false">IF(IsPro,IF($D2103="","",IF(AND(V2103&lt;&gt;"",INDEX(Parties!$E$5:$E$304,V2103)&lt;&gt;"",INDEX(Parties!$E$5:$E$304,V2103)&lt;&gt;HomeState),0,ROUND(L2103*M2103/2,2))),"")</f>
        <v/>
      </c>
      <c r="O2103" s="61" t="str">
        <f aca="false">IF(IsPro,IF($D2103="","",N2103),"")</f>
        <v/>
      </c>
      <c r="P2103" s="61" t="str">
        <f aca="false">IF(IsPro,IF($D2103="","",IF(AND(V2103&lt;&gt;"",INDEX(Parties!$E$5:$E$304,V2103)&lt;&gt;"",INDEX(Parties!$E$5:$E$304,V2103)&lt;&gt;HomeState),ROUND(L2103*M2103,2),0)),"")</f>
        <v/>
      </c>
      <c r="Q2103" s="61" t="str">
        <f aca="false">IF(IsPro,IF($D2103="","",L2103+N2103+O2103+P2103),"")</f>
        <v/>
      </c>
      <c r="R2103" s="61" t="str">
        <f aca="false">IF(IsPro,IF($D2103="","",ROUND(N($E2103)*IFERROR(INDEX(Items!$P$5:$P$504,U2103),0),2)),"")</f>
        <v/>
      </c>
      <c r="S2103" s="61" t="str">
        <f aca="false">IF(IsPro,IF($D2103="","",L2103-R2103),"")</f>
        <v/>
      </c>
      <c r="T2103" s="60" t="str">
        <f aca="false">IF(IsPro,IF($D2103="","",IF(U2103="","UNKNOWN ITEM",IF(INDEX(Items!$O$5:$O$504,U2103)&lt;0,"NEG STOCK",IF(K2103&lt;INDEX(Items!$P$5:$P$504,U2103),"BELOW COST","OK")))),IF($D2103="","","PRO PLAN"))</f>
        <v/>
      </c>
      <c r="U2103" s="60" t="str">
        <f aca="false">IF(IsPro,IF($D2103="","",IFERROR(MATCH($D2103,Items!$A$5:$A$504,0),"")),"")</f>
        <v/>
      </c>
      <c r="V2103" s="60" t="str">
        <f aca="false">IF(IsPro,IF($C2103="","",IFERROR(MATCH($C2103,Parties!$A$5:$A$304,0),"")),"")</f>
        <v/>
      </c>
      <c r="W2103" s="60" t="str">
        <f aca="false">IF(IsPro,IF($B2103="","",IFERROR(VALUE(SUBSTITUTE($B2103,InvPrefix,"")),0)),"")</f>
        <v/>
      </c>
      <c r="X2103" s="61" t="str">
        <f aca="false">IF(IsPro,IF($D2103="","",IF(OR($H2103="",$H2103="Credit"),0,Q2103)),"")</f>
        <v/>
      </c>
    </row>
    <row r="2104" customFormat="false" ht="15" hidden="false" customHeight="false" outlineLevel="0" collapsed="false">
      <c r="A2104" s="55"/>
      <c r="B2104" s="56"/>
      <c r="C2104" s="56"/>
      <c r="D2104" s="56"/>
      <c r="E2104" s="57"/>
      <c r="F2104" s="58"/>
      <c r="G2104" s="59"/>
      <c r="H2104" s="56"/>
      <c r="I2104" s="56"/>
      <c r="J2104" s="60" t="str">
        <f aca="false">IF(IsPro,IF($D2104="","",IFERROR(INDEX(Items!$D$5:$D$504,U2104),"")),"")</f>
        <v/>
      </c>
      <c r="K2104" s="61" t="str">
        <f aca="false">IF(IsPro,IF($D2104="","",IF($F2104="",IFERROR(INDEX(Items!$H$5:$H$504,U2104),0),$F2104)),"")</f>
        <v/>
      </c>
      <c r="L2104" s="61" t="str">
        <f aca="false">IF(IsPro,IF($D2104="","",ROUND(N($E2104)*K2104*(1-N($G2104)),2)),"")</f>
        <v/>
      </c>
      <c r="M2104" s="62" t="str">
        <f aca="false">IF(IsPro,IF($D2104="","",IFERROR(INDEX(Items!$F$5:$F$504,U2104),0)),"")</f>
        <v/>
      </c>
      <c r="N2104" s="61" t="str">
        <f aca="false">IF(IsPro,IF($D2104="","",IF(AND(V2104&lt;&gt;"",INDEX(Parties!$E$5:$E$304,V2104)&lt;&gt;"",INDEX(Parties!$E$5:$E$304,V2104)&lt;&gt;HomeState),0,ROUND(L2104*M2104/2,2))),"")</f>
        <v/>
      </c>
      <c r="O2104" s="61" t="str">
        <f aca="false">IF(IsPro,IF($D2104="","",N2104),"")</f>
        <v/>
      </c>
      <c r="P2104" s="61" t="str">
        <f aca="false">IF(IsPro,IF($D2104="","",IF(AND(V2104&lt;&gt;"",INDEX(Parties!$E$5:$E$304,V2104)&lt;&gt;"",INDEX(Parties!$E$5:$E$304,V2104)&lt;&gt;HomeState),ROUND(L2104*M2104,2),0)),"")</f>
        <v/>
      </c>
      <c r="Q2104" s="61" t="str">
        <f aca="false">IF(IsPro,IF($D2104="","",L2104+N2104+O2104+P2104),"")</f>
        <v/>
      </c>
      <c r="R2104" s="61" t="str">
        <f aca="false">IF(IsPro,IF($D2104="","",ROUND(N($E2104)*IFERROR(INDEX(Items!$P$5:$P$504,U2104),0),2)),"")</f>
        <v/>
      </c>
      <c r="S2104" s="61" t="str">
        <f aca="false">IF(IsPro,IF($D2104="","",L2104-R2104),"")</f>
        <v/>
      </c>
      <c r="T2104" s="60" t="str">
        <f aca="false">IF(IsPro,IF($D2104="","",IF(U2104="","UNKNOWN ITEM",IF(INDEX(Items!$O$5:$O$504,U2104)&lt;0,"NEG STOCK",IF(K2104&lt;INDEX(Items!$P$5:$P$504,U2104),"BELOW COST","OK")))),IF($D2104="","","PRO PLAN"))</f>
        <v/>
      </c>
      <c r="U2104" s="60" t="str">
        <f aca="false">IF(IsPro,IF($D2104="","",IFERROR(MATCH($D2104,Items!$A$5:$A$504,0),"")),"")</f>
        <v/>
      </c>
      <c r="V2104" s="60" t="str">
        <f aca="false">IF(IsPro,IF($C2104="","",IFERROR(MATCH($C2104,Parties!$A$5:$A$304,0),"")),"")</f>
        <v/>
      </c>
      <c r="W2104" s="60" t="str">
        <f aca="false">IF(IsPro,IF($B2104="","",IFERROR(VALUE(SUBSTITUTE($B2104,InvPrefix,"")),0)),"")</f>
        <v/>
      </c>
      <c r="X2104" s="61" t="str">
        <f aca="false">IF(IsPro,IF($D2104="","",IF(OR($H2104="",$H2104="Credit"),0,Q2104)),"")</f>
        <v/>
      </c>
    </row>
    <row r="2105" customFormat="false" ht="15" hidden="false" customHeight="false" outlineLevel="0" collapsed="false">
      <c r="A2105" s="55"/>
      <c r="B2105" s="56"/>
      <c r="C2105" s="56"/>
      <c r="D2105" s="56"/>
      <c r="E2105" s="57"/>
      <c r="F2105" s="58"/>
      <c r="G2105" s="59"/>
      <c r="H2105" s="56"/>
      <c r="I2105" s="56"/>
      <c r="J2105" s="60" t="str">
        <f aca="false">IF(IsPro,IF($D2105="","",IFERROR(INDEX(Items!$D$5:$D$504,U2105),"")),"")</f>
        <v/>
      </c>
      <c r="K2105" s="61" t="str">
        <f aca="false">IF(IsPro,IF($D2105="","",IF($F2105="",IFERROR(INDEX(Items!$H$5:$H$504,U2105),0),$F2105)),"")</f>
        <v/>
      </c>
      <c r="L2105" s="61" t="str">
        <f aca="false">IF(IsPro,IF($D2105="","",ROUND(N($E2105)*K2105*(1-N($G2105)),2)),"")</f>
        <v/>
      </c>
      <c r="M2105" s="62" t="str">
        <f aca="false">IF(IsPro,IF($D2105="","",IFERROR(INDEX(Items!$F$5:$F$504,U2105),0)),"")</f>
        <v/>
      </c>
      <c r="N2105" s="61" t="str">
        <f aca="false">IF(IsPro,IF($D2105="","",IF(AND(V2105&lt;&gt;"",INDEX(Parties!$E$5:$E$304,V2105)&lt;&gt;"",INDEX(Parties!$E$5:$E$304,V2105)&lt;&gt;HomeState),0,ROUND(L2105*M2105/2,2))),"")</f>
        <v/>
      </c>
      <c r="O2105" s="61" t="str">
        <f aca="false">IF(IsPro,IF($D2105="","",N2105),"")</f>
        <v/>
      </c>
      <c r="P2105" s="61" t="str">
        <f aca="false">IF(IsPro,IF($D2105="","",IF(AND(V2105&lt;&gt;"",INDEX(Parties!$E$5:$E$304,V2105)&lt;&gt;"",INDEX(Parties!$E$5:$E$304,V2105)&lt;&gt;HomeState),ROUND(L2105*M2105,2),0)),"")</f>
        <v/>
      </c>
      <c r="Q2105" s="61" t="str">
        <f aca="false">IF(IsPro,IF($D2105="","",L2105+N2105+O2105+P2105),"")</f>
        <v/>
      </c>
      <c r="R2105" s="61" t="str">
        <f aca="false">IF(IsPro,IF($D2105="","",ROUND(N($E2105)*IFERROR(INDEX(Items!$P$5:$P$504,U2105),0),2)),"")</f>
        <v/>
      </c>
      <c r="S2105" s="61" t="str">
        <f aca="false">IF(IsPro,IF($D2105="","",L2105-R2105),"")</f>
        <v/>
      </c>
      <c r="T2105" s="60" t="str">
        <f aca="false">IF(IsPro,IF($D2105="","",IF(U2105="","UNKNOWN ITEM",IF(INDEX(Items!$O$5:$O$504,U2105)&lt;0,"NEG STOCK",IF(K2105&lt;INDEX(Items!$P$5:$P$504,U2105),"BELOW COST","OK")))),IF($D2105="","","PRO PLAN"))</f>
        <v/>
      </c>
      <c r="U2105" s="60" t="str">
        <f aca="false">IF(IsPro,IF($D2105="","",IFERROR(MATCH($D2105,Items!$A$5:$A$504,0),"")),"")</f>
        <v/>
      </c>
      <c r="V2105" s="60" t="str">
        <f aca="false">IF(IsPro,IF($C2105="","",IFERROR(MATCH($C2105,Parties!$A$5:$A$304,0),"")),"")</f>
        <v/>
      </c>
      <c r="W2105" s="60" t="str">
        <f aca="false">IF(IsPro,IF($B2105="","",IFERROR(VALUE(SUBSTITUTE($B2105,InvPrefix,"")),0)),"")</f>
        <v/>
      </c>
      <c r="X2105" s="61" t="str">
        <f aca="false">IF(IsPro,IF($D2105="","",IF(OR($H2105="",$H2105="Credit"),0,Q2105)),"")</f>
        <v/>
      </c>
    </row>
    <row r="2106" customFormat="false" ht="15" hidden="false" customHeight="false" outlineLevel="0" collapsed="false">
      <c r="A2106" s="55"/>
      <c r="B2106" s="56"/>
      <c r="C2106" s="56"/>
      <c r="D2106" s="56"/>
      <c r="E2106" s="57"/>
      <c r="F2106" s="58"/>
      <c r="G2106" s="59"/>
      <c r="H2106" s="56"/>
      <c r="I2106" s="56"/>
      <c r="J2106" s="60" t="str">
        <f aca="false">IF(IsPro,IF($D2106="","",IFERROR(INDEX(Items!$D$5:$D$504,U2106),"")),"")</f>
        <v/>
      </c>
      <c r="K2106" s="61" t="str">
        <f aca="false">IF(IsPro,IF($D2106="","",IF($F2106="",IFERROR(INDEX(Items!$H$5:$H$504,U2106),0),$F2106)),"")</f>
        <v/>
      </c>
      <c r="L2106" s="61" t="str">
        <f aca="false">IF(IsPro,IF($D2106="","",ROUND(N($E2106)*K2106*(1-N($G2106)),2)),"")</f>
        <v/>
      </c>
      <c r="M2106" s="62" t="str">
        <f aca="false">IF(IsPro,IF($D2106="","",IFERROR(INDEX(Items!$F$5:$F$504,U2106),0)),"")</f>
        <v/>
      </c>
      <c r="N2106" s="61" t="str">
        <f aca="false">IF(IsPro,IF($D2106="","",IF(AND(V2106&lt;&gt;"",INDEX(Parties!$E$5:$E$304,V2106)&lt;&gt;"",INDEX(Parties!$E$5:$E$304,V2106)&lt;&gt;HomeState),0,ROUND(L2106*M2106/2,2))),"")</f>
        <v/>
      </c>
      <c r="O2106" s="61" t="str">
        <f aca="false">IF(IsPro,IF($D2106="","",N2106),"")</f>
        <v/>
      </c>
      <c r="P2106" s="61" t="str">
        <f aca="false">IF(IsPro,IF($D2106="","",IF(AND(V2106&lt;&gt;"",INDEX(Parties!$E$5:$E$304,V2106)&lt;&gt;"",INDEX(Parties!$E$5:$E$304,V2106)&lt;&gt;HomeState),ROUND(L2106*M2106,2),0)),"")</f>
        <v/>
      </c>
      <c r="Q2106" s="61" t="str">
        <f aca="false">IF(IsPro,IF($D2106="","",L2106+N2106+O2106+P2106),"")</f>
        <v/>
      </c>
      <c r="R2106" s="61" t="str">
        <f aca="false">IF(IsPro,IF($D2106="","",ROUND(N($E2106)*IFERROR(INDEX(Items!$P$5:$P$504,U2106),0),2)),"")</f>
        <v/>
      </c>
      <c r="S2106" s="61" t="str">
        <f aca="false">IF(IsPro,IF($D2106="","",L2106-R2106),"")</f>
        <v/>
      </c>
      <c r="T2106" s="60" t="str">
        <f aca="false">IF(IsPro,IF($D2106="","",IF(U2106="","UNKNOWN ITEM",IF(INDEX(Items!$O$5:$O$504,U2106)&lt;0,"NEG STOCK",IF(K2106&lt;INDEX(Items!$P$5:$P$504,U2106),"BELOW COST","OK")))),IF($D2106="","","PRO PLAN"))</f>
        <v/>
      </c>
      <c r="U2106" s="60" t="str">
        <f aca="false">IF(IsPro,IF($D2106="","",IFERROR(MATCH($D2106,Items!$A$5:$A$504,0),"")),"")</f>
        <v/>
      </c>
      <c r="V2106" s="60" t="str">
        <f aca="false">IF(IsPro,IF($C2106="","",IFERROR(MATCH($C2106,Parties!$A$5:$A$304,0),"")),"")</f>
        <v/>
      </c>
      <c r="W2106" s="60" t="str">
        <f aca="false">IF(IsPro,IF($B2106="","",IFERROR(VALUE(SUBSTITUTE($B2106,InvPrefix,"")),0)),"")</f>
        <v/>
      </c>
      <c r="X2106" s="61" t="str">
        <f aca="false">IF(IsPro,IF($D2106="","",IF(OR($H2106="",$H2106="Credit"),0,Q2106)),"")</f>
        <v/>
      </c>
    </row>
    <row r="2107" customFormat="false" ht="15" hidden="false" customHeight="false" outlineLevel="0" collapsed="false">
      <c r="A2107" s="55"/>
      <c r="B2107" s="56"/>
      <c r="C2107" s="56"/>
      <c r="D2107" s="56"/>
      <c r="E2107" s="57"/>
      <c r="F2107" s="58"/>
      <c r="G2107" s="59"/>
      <c r="H2107" s="56"/>
      <c r="I2107" s="56"/>
      <c r="J2107" s="60" t="str">
        <f aca="false">IF(IsPro,IF($D2107="","",IFERROR(INDEX(Items!$D$5:$D$504,U2107),"")),"")</f>
        <v/>
      </c>
      <c r="K2107" s="61" t="str">
        <f aca="false">IF(IsPro,IF($D2107="","",IF($F2107="",IFERROR(INDEX(Items!$H$5:$H$504,U2107),0),$F2107)),"")</f>
        <v/>
      </c>
      <c r="L2107" s="61" t="str">
        <f aca="false">IF(IsPro,IF($D2107="","",ROUND(N($E2107)*K2107*(1-N($G2107)),2)),"")</f>
        <v/>
      </c>
      <c r="M2107" s="62" t="str">
        <f aca="false">IF(IsPro,IF($D2107="","",IFERROR(INDEX(Items!$F$5:$F$504,U2107),0)),"")</f>
        <v/>
      </c>
      <c r="N2107" s="61" t="str">
        <f aca="false">IF(IsPro,IF($D2107="","",IF(AND(V2107&lt;&gt;"",INDEX(Parties!$E$5:$E$304,V2107)&lt;&gt;"",INDEX(Parties!$E$5:$E$304,V2107)&lt;&gt;HomeState),0,ROUND(L2107*M2107/2,2))),"")</f>
        <v/>
      </c>
      <c r="O2107" s="61" t="str">
        <f aca="false">IF(IsPro,IF($D2107="","",N2107),"")</f>
        <v/>
      </c>
      <c r="P2107" s="61" t="str">
        <f aca="false">IF(IsPro,IF($D2107="","",IF(AND(V2107&lt;&gt;"",INDEX(Parties!$E$5:$E$304,V2107)&lt;&gt;"",INDEX(Parties!$E$5:$E$304,V2107)&lt;&gt;HomeState),ROUND(L2107*M2107,2),0)),"")</f>
        <v/>
      </c>
      <c r="Q2107" s="61" t="str">
        <f aca="false">IF(IsPro,IF($D2107="","",L2107+N2107+O2107+P2107),"")</f>
        <v/>
      </c>
      <c r="R2107" s="61" t="str">
        <f aca="false">IF(IsPro,IF($D2107="","",ROUND(N($E2107)*IFERROR(INDEX(Items!$P$5:$P$504,U2107),0),2)),"")</f>
        <v/>
      </c>
      <c r="S2107" s="61" t="str">
        <f aca="false">IF(IsPro,IF($D2107="","",L2107-R2107),"")</f>
        <v/>
      </c>
      <c r="T2107" s="60" t="str">
        <f aca="false">IF(IsPro,IF($D2107="","",IF(U2107="","UNKNOWN ITEM",IF(INDEX(Items!$O$5:$O$504,U2107)&lt;0,"NEG STOCK",IF(K2107&lt;INDEX(Items!$P$5:$P$504,U2107),"BELOW COST","OK")))),IF($D2107="","","PRO PLAN"))</f>
        <v/>
      </c>
      <c r="U2107" s="60" t="str">
        <f aca="false">IF(IsPro,IF($D2107="","",IFERROR(MATCH($D2107,Items!$A$5:$A$504,0),"")),"")</f>
        <v/>
      </c>
      <c r="V2107" s="60" t="str">
        <f aca="false">IF(IsPro,IF($C2107="","",IFERROR(MATCH($C2107,Parties!$A$5:$A$304,0),"")),"")</f>
        <v/>
      </c>
      <c r="W2107" s="60" t="str">
        <f aca="false">IF(IsPro,IF($B2107="","",IFERROR(VALUE(SUBSTITUTE($B2107,InvPrefix,"")),0)),"")</f>
        <v/>
      </c>
      <c r="X2107" s="61" t="str">
        <f aca="false">IF(IsPro,IF($D2107="","",IF(OR($H2107="",$H2107="Credit"),0,Q2107)),"")</f>
        <v/>
      </c>
    </row>
    <row r="2108" customFormat="false" ht="15" hidden="false" customHeight="false" outlineLevel="0" collapsed="false">
      <c r="A2108" s="55"/>
      <c r="B2108" s="56"/>
      <c r="C2108" s="56"/>
      <c r="D2108" s="56"/>
      <c r="E2108" s="57"/>
      <c r="F2108" s="58"/>
      <c r="G2108" s="59"/>
      <c r="H2108" s="56"/>
      <c r="I2108" s="56"/>
      <c r="J2108" s="60" t="str">
        <f aca="false">IF(IsPro,IF($D2108="","",IFERROR(INDEX(Items!$D$5:$D$504,U2108),"")),"")</f>
        <v/>
      </c>
      <c r="K2108" s="61" t="str">
        <f aca="false">IF(IsPro,IF($D2108="","",IF($F2108="",IFERROR(INDEX(Items!$H$5:$H$504,U2108),0),$F2108)),"")</f>
        <v/>
      </c>
      <c r="L2108" s="61" t="str">
        <f aca="false">IF(IsPro,IF($D2108="","",ROUND(N($E2108)*K2108*(1-N($G2108)),2)),"")</f>
        <v/>
      </c>
      <c r="M2108" s="62" t="str">
        <f aca="false">IF(IsPro,IF($D2108="","",IFERROR(INDEX(Items!$F$5:$F$504,U2108),0)),"")</f>
        <v/>
      </c>
      <c r="N2108" s="61" t="str">
        <f aca="false">IF(IsPro,IF($D2108="","",IF(AND(V2108&lt;&gt;"",INDEX(Parties!$E$5:$E$304,V2108)&lt;&gt;"",INDEX(Parties!$E$5:$E$304,V2108)&lt;&gt;HomeState),0,ROUND(L2108*M2108/2,2))),"")</f>
        <v/>
      </c>
      <c r="O2108" s="61" t="str">
        <f aca="false">IF(IsPro,IF($D2108="","",N2108),"")</f>
        <v/>
      </c>
      <c r="P2108" s="61" t="str">
        <f aca="false">IF(IsPro,IF($D2108="","",IF(AND(V2108&lt;&gt;"",INDEX(Parties!$E$5:$E$304,V2108)&lt;&gt;"",INDEX(Parties!$E$5:$E$304,V2108)&lt;&gt;HomeState),ROUND(L2108*M2108,2),0)),"")</f>
        <v/>
      </c>
      <c r="Q2108" s="61" t="str">
        <f aca="false">IF(IsPro,IF($D2108="","",L2108+N2108+O2108+P2108),"")</f>
        <v/>
      </c>
      <c r="R2108" s="61" t="str">
        <f aca="false">IF(IsPro,IF($D2108="","",ROUND(N($E2108)*IFERROR(INDEX(Items!$P$5:$P$504,U2108),0),2)),"")</f>
        <v/>
      </c>
      <c r="S2108" s="61" t="str">
        <f aca="false">IF(IsPro,IF($D2108="","",L2108-R2108),"")</f>
        <v/>
      </c>
      <c r="T2108" s="60" t="str">
        <f aca="false">IF(IsPro,IF($D2108="","",IF(U2108="","UNKNOWN ITEM",IF(INDEX(Items!$O$5:$O$504,U2108)&lt;0,"NEG STOCK",IF(K2108&lt;INDEX(Items!$P$5:$P$504,U2108),"BELOW COST","OK")))),IF($D2108="","","PRO PLAN"))</f>
        <v/>
      </c>
      <c r="U2108" s="60" t="str">
        <f aca="false">IF(IsPro,IF($D2108="","",IFERROR(MATCH($D2108,Items!$A$5:$A$504,0),"")),"")</f>
        <v/>
      </c>
      <c r="V2108" s="60" t="str">
        <f aca="false">IF(IsPro,IF($C2108="","",IFERROR(MATCH($C2108,Parties!$A$5:$A$304,0),"")),"")</f>
        <v/>
      </c>
      <c r="W2108" s="60" t="str">
        <f aca="false">IF(IsPro,IF($B2108="","",IFERROR(VALUE(SUBSTITUTE($B2108,InvPrefix,"")),0)),"")</f>
        <v/>
      </c>
      <c r="X2108" s="61" t="str">
        <f aca="false">IF(IsPro,IF($D2108="","",IF(OR($H2108="",$H2108="Credit"),0,Q2108)),"")</f>
        <v/>
      </c>
    </row>
    <row r="2109" customFormat="false" ht="15" hidden="false" customHeight="false" outlineLevel="0" collapsed="false">
      <c r="A2109" s="55"/>
      <c r="B2109" s="56"/>
      <c r="C2109" s="56"/>
      <c r="D2109" s="56"/>
      <c r="E2109" s="57"/>
      <c r="F2109" s="58"/>
      <c r="G2109" s="59"/>
      <c r="H2109" s="56"/>
      <c r="I2109" s="56"/>
      <c r="J2109" s="60" t="str">
        <f aca="false">IF(IsPro,IF($D2109="","",IFERROR(INDEX(Items!$D$5:$D$504,U2109),"")),"")</f>
        <v/>
      </c>
      <c r="K2109" s="61" t="str">
        <f aca="false">IF(IsPro,IF($D2109="","",IF($F2109="",IFERROR(INDEX(Items!$H$5:$H$504,U2109),0),$F2109)),"")</f>
        <v/>
      </c>
      <c r="L2109" s="61" t="str">
        <f aca="false">IF(IsPro,IF($D2109="","",ROUND(N($E2109)*K2109*(1-N($G2109)),2)),"")</f>
        <v/>
      </c>
      <c r="M2109" s="62" t="str">
        <f aca="false">IF(IsPro,IF($D2109="","",IFERROR(INDEX(Items!$F$5:$F$504,U2109),0)),"")</f>
        <v/>
      </c>
      <c r="N2109" s="61" t="str">
        <f aca="false">IF(IsPro,IF($D2109="","",IF(AND(V2109&lt;&gt;"",INDEX(Parties!$E$5:$E$304,V2109)&lt;&gt;"",INDEX(Parties!$E$5:$E$304,V2109)&lt;&gt;HomeState),0,ROUND(L2109*M2109/2,2))),"")</f>
        <v/>
      </c>
      <c r="O2109" s="61" t="str">
        <f aca="false">IF(IsPro,IF($D2109="","",N2109),"")</f>
        <v/>
      </c>
      <c r="P2109" s="61" t="str">
        <f aca="false">IF(IsPro,IF($D2109="","",IF(AND(V2109&lt;&gt;"",INDEX(Parties!$E$5:$E$304,V2109)&lt;&gt;"",INDEX(Parties!$E$5:$E$304,V2109)&lt;&gt;HomeState),ROUND(L2109*M2109,2),0)),"")</f>
        <v/>
      </c>
      <c r="Q2109" s="61" t="str">
        <f aca="false">IF(IsPro,IF($D2109="","",L2109+N2109+O2109+P2109),"")</f>
        <v/>
      </c>
      <c r="R2109" s="61" t="str">
        <f aca="false">IF(IsPro,IF($D2109="","",ROUND(N($E2109)*IFERROR(INDEX(Items!$P$5:$P$504,U2109),0),2)),"")</f>
        <v/>
      </c>
      <c r="S2109" s="61" t="str">
        <f aca="false">IF(IsPro,IF($D2109="","",L2109-R2109),"")</f>
        <v/>
      </c>
      <c r="T2109" s="60" t="str">
        <f aca="false">IF(IsPro,IF($D2109="","",IF(U2109="","UNKNOWN ITEM",IF(INDEX(Items!$O$5:$O$504,U2109)&lt;0,"NEG STOCK",IF(K2109&lt;INDEX(Items!$P$5:$P$504,U2109),"BELOW COST","OK")))),IF($D2109="","","PRO PLAN"))</f>
        <v/>
      </c>
      <c r="U2109" s="60" t="str">
        <f aca="false">IF(IsPro,IF($D2109="","",IFERROR(MATCH($D2109,Items!$A$5:$A$504,0),"")),"")</f>
        <v/>
      </c>
      <c r="V2109" s="60" t="str">
        <f aca="false">IF(IsPro,IF($C2109="","",IFERROR(MATCH($C2109,Parties!$A$5:$A$304,0),"")),"")</f>
        <v/>
      </c>
      <c r="W2109" s="60" t="str">
        <f aca="false">IF(IsPro,IF($B2109="","",IFERROR(VALUE(SUBSTITUTE($B2109,InvPrefix,"")),0)),"")</f>
        <v/>
      </c>
      <c r="X2109" s="61" t="str">
        <f aca="false">IF(IsPro,IF($D2109="","",IF(OR($H2109="",$H2109="Credit"),0,Q2109)),"")</f>
        <v/>
      </c>
    </row>
    <row r="2110" customFormat="false" ht="15" hidden="false" customHeight="false" outlineLevel="0" collapsed="false">
      <c r="A2110" s="55"/>
      <c r="B2110" s="56"/>
      <c r="C2110" s="56"/>
      <c r="D2110" s="56"/>
      <c r="E2110" s="57"/>
      <c r="F2110" s="58"/>
      <c r="G2110" s="59"/>
      <c r="H2110" s="56"/>
      <c r="I2110" s="56"/>
      <c r="J2110" s="60" t="str">
        <f aca="false">IF(IsPro,IF($D2110="","",IFERROR(INDEX(Items!$D$5:$D$504,U2110),"")),"")</f>
        <v/>
      </c>
      <c r="K2110" s="61" t="str">
        <f aca="false">IF(IsPro,IF($D2110="","",IF($F2110="",IFERROR(INDEX(Items!$H$5:$H$504,U2110),0),$F2110)),"")</f>
        <v/>
      </c>
      <c r="L2110" s="61" t="str">
        <f aca="false">IF(IsPro,IF($D2110="","",ROUND(N($E2110)*K2110*(1-N($G2110)),2)),"")</f>
        <v/>
      </c>
      <c r="M2110" s="62" t="str">
        <f aca="false">IF(IsPro,IF($D2110="","",IFERROR(INDEX(Items!$F$5:$F$504,U2110),0)),"")</f>
        <v/>
      </c>
      <c r="N2110" s="61" t="str">
        <f aca="false">IF(IsPro,IF($D2110="","",IF(AND(V2110&lt;&gt;"",INDEX(Parties!$E$5:$E$304,V2110)&lt;&gt;"",INDEX(Parties!$E$5:$E$304,V2110)&lt;&gt;HomeState),0,ROUND(L2110*M2110/2,2))),"")</f>
        <v/>
      </c>
      <c r="O2110" s="61" t="str">
        <f aca="false">IF(IsPro,IF($D2110="","",N2110),"")</f>
        <v/>
      </c>
      <c r="P2110" s="61" t="str">
        <f aca="false">IF(IsPro,IF($D2110="","",IF(AND(V2110&lt;&gt;"",INDEX(Parties!$E$5:$E$304,V2110)&lt;&gt;"",INDEX(Parties!$E$5:$E$304,V2110)&lt;&gt;HomeState),ROUND(L2110*M2110,2),0)),"")</f>
        <v/>
      </c>
      <c r="Q2110" s="61" t="str">
        <f aca="false">IF(IsPro,IF($D2110="","",L2110+N2110+O2110+P2110),"")</f>
        <v/>
      </c>
      <c r="R2110" s="61" t="str">
        <f aca="false">IF(IsPro,IF($D2110="","",ROUND(N($E2110)*IFERROR(INDEX(Items!$P$5:$P$504,U2110),0),2)),"")</f>
        <v/>
      </c>
      <c r="S2110" s="61" t="str">
        <f aca="false">IF(IsPro,IF($D2110="","",L2110-R2110),"")</f>
        <v/>
      </c>
      <c r="T2110" s="60" t="str">
        <f aca="false">IF(IsPro,IF($D2110="","",IF(U2110="","UNKNOWN ITEM",IF(INDEX(Items!$O$5:$O$504,U2110)&lt;0,"NEG STOCK",IF(K2110&lt;INDEX(Items!$P$5:$P$504,U2110),"BELOW COST","OK")))),IF($D2110="","","PRO PLAN"))</f>
        <v/>
      </c>
      <c r="U2110" s="60" t="str">
        <f aca="false">IF(IsPro,IF($D2110="","",IFERROR(MATCH($D2110,Items!$A$5:$A$504,0),"")),"")</f>
        <v/>
      </c>
      <c r="V2110" s="60" t="str">
        <f aca="false">IF(IsPro,IF($C2110="","",IFERROR(MATCH($C2110,Parties!$A$5:$A$304,0),"")),"")</f>
        <v/>
      </c>
      <c r="W2110" s="60" t="str">
        <f aca="false">IF(IsPro,IF($B2110="","",IFERROR(VALUE(SUBSTITUTE($B2110,InvPrefix,"")),0)),"")</f>
        <v/>
      </c>
      <c r="X2110" s="61" t="str">
        <f aca="false">IF(IsPro,IF($D2110="","",IF(OR($H2110="",$H2110="Credit"),0,Q2110)),"")</f>
        <v/>
      </c>
    </row>
    <row r="2111" customFormat="false" ht="15" hidden="false" customHeight="false" outlineLevel="0" collapsed="false">
      <c r="A2111" s="55"/>
      <c r="B2111" s="56"/>
      <c r="C2111" s="56"/>
      <c r="D2111" s="56"/>
      <c r="E2111" s="57"/>
      <c r="F2111" s="58"/>
      <c r="G2111" s="59"/>
      <c r="H2111" s="56"/>
      <c r="I2111" s="56"/>
      <c r="J2111" s="60" t="str">
        <f aca="false">IF(IsPro,IF($D2111="","",IFERROR(INDEX(Items!$D$5:$D$504,U2111),"")),"")</f>
        <v/>
      </c>
      <c r="K2111" s="61" t="str">
        <f aca="false">IF(IsPro,IF($D2111="","",IF($F2111="",IFERROR(INDEX(Items!$H$5:$H$504,U2111),0),$F2111)),"")</f>
        <v/>
      </c>
      <c r="L2111" s="61" t="str">
        <f aca="false">IF(IsPro,IF($D2111="","",ROUND(N($E2111)*K2111*(1-N($G2111)),2)),"")</f>
        <v/>
      </c>
      <c r="M2111" s="62" t="str">
        <f aca="false">IF(IsPro,IF($D2111="","",IFERROR(INDEX(Items!$F$5:$F$504,U2111),0)),"")</f>
        <v/>
      </c>
      <c r="N2111" s="61" t="str">
        <f aca="false">IF(IsPro,IF($D2111="","",IF(AND(V2111&lt;&gt;"",INDEX(Parties!$E$5:$E$304,V2111)&lt;&gt;"",INDEX(Parties!$E$5:$E$304,V2111)&lt;&gt;HomeState),0,ROUND(L2111*M2111/2,2))),"")</f>
        <v/>
      </c>
      <c r="O2111" s="61" t="str">
        <f aca="false">IF(IsPro,IF($D2111="","",N2111),"")</f>
        <v/>
      </c>
      <c r="P2111" s="61" t="str">
        <f aca="false">IF(IsPro,IF($D2111="","",IF(AND(V2111&lt;&gt;"",INDEX(Parties!$E$5:$E$304,V2111)&lt;&gt;"",INDEX(Parties!$E$5:$E$304,V2111)&lt;&gt;HomeState),ROUND(L2111*M2111,2),0)),"")</f>
        <v/>
      </c>
      <c r="Q2111" s="61" t="str">
        <f aca="false">IF(IsPro,IF($D2111="","",L2111+N2111+O2111+P2111),"")</f>
        <v/>
      </c>
      <c r="R2111" s="61" t="str">
        <f aca="false">IF(IsPro,IF($D2111="","",ROUND(N($E2111)*IFERROR(INDEX(Items!$P$5:$P$504,U2111),0),2)),"")</f>
        <v/>
      </c>
      <c r="S2111" s="61" t="str">
        <f aca="false">IF(IsPro,IF($D2111="","",L2111-R2111),"")</f>
        <v/>
      </c>
      <c r="T2111" s="60" t="str">
        <f aca="false">IF(IsPro,IF($D2111="","",IF(U2111="","UNKNOWN ITEM",IF(INDEX(Items!$O$5:$O$504,U2111)&lt;0,"NEG STOCK",IF(K2111&lt;INDEX(Items!$P$5:$P$504,U2111),"BELOW COST","OK")))),IF($D2111="","","PRO PLAN"))</f>
        <v/>
      </c>
      <c r="U2111" s="60" t="str">
        <f aca="false">IF(IsPro,IF($D2111="","",IFERROR(MATCH($D2111,Items!$A$5:$A$504,0),"")),"")</f>
        <v/>
      </c>
      <c r="V2111" s="60" t="str">
        <f aca="false">IF(IsPro,IF($C2111="","",IFERROR(MATCH($C2111,Parties!$A$5:$A$304,0),"")),"")</f>
        <v/>
      </c>
      <c r="W2111" s="60" t="str">
        <f aca="false">IF(IsPro,IF($B2111="","",IFERROR(VALUE(SUBSTITUTE($B2111,InvPrefix,"")),0)),"")</f>
        <v/>
      </c>
      <c r="X2111" s="61" t="str">
        <f aca="false">IF(IsPro,IF($D2111="","",IF(OR($H2111="",$H2111="Credit"),0,Q2111)),"")</f>
        <v/>
      </c>
    </row>
    <row r="2112" customFormat="false" ht="15" hidden="false" customHeight="false" outlineLevel="0" collapsed="false">
      <c r="A2112" s="55"/>
      <c r="B2112" s="56"/>
      <c r="C2112" s="56"/>
      <c r="D2112" s="56"/>
      <c r="E2112" s="57"/>
      <c r="F2112" s="58"/>
      <c r="G2112" s="59"/>
      <c r="H2112" s="56"/>
      <c r="I2112" s="56"/>
      <c r="J2112" s="60" t="str">
        <f aca="false">IF(IsPro,IF($D2112="","",IFERROR(INDEX(Items!$D$5:$D$504,U2112),"")),"")</f>
        <v/>
      </c>
      <c r="K2112" s="61" t="str">
        <f aca="false">IF(IsPro,IF($D2112="","",IF($F2112="",IFERROR(INDEX(Items!$H$5:$H$504,U2112),0),$F2112)),"")</f>
        <v/>
      </c>
      <c r="L2112" s="61" t="str">
        <f aca="false">IF(IsPro,IF($D2112="","",ROUND(N($E2112)*K2112*(1-N($G2112)),2)),"")</f>
        <v/>
      </c>
      <c r="M2112" s="62" t="str">
        <f aca="false">IF(IsPro,IF($D2112="","",IFERROR(INDEX(Items!$F$5:$F$504,U2112),0)),"")</f>
        <v/>
      </c>
      <c r="N2112" s="61" t="str">
        <f aca="false">IF(IsPro,IF($D2112="","",IF(AND(V2112&lt;&gt;"",INDEX(Parties!$E$5:$E$304,V2112)&lt;&gt;"",INDEX(Parties!$E$5:$E$304,V2112)&lt;&gt;HomeState),0,ROUND(L2112*M2112/2,2))),"")</f>
        <v/>
      </c>
      <c r="O2112" s="61" t="str">
        <f aca="false">IF(IsPro,IF($D2112="","",N2112),"")</f>
        <v/>
      </c>
      <c r="P2112" s="61" t="str">
        <f aca="false">IF(IsPro,IF($D2112="","",IF(AND(V2112&lt;&gt;"",INDEX(Parties!$E$5:$E$304,V2112)&lt;&gt;"",INDEX(Parties!$E$5:$E$304,V2112)&lt;&gt;HomeState),ROUND(L2112*M2112,2),0)),"")</f>
        <v/>
      </c>
      <c r="Q2112" s="61" t="str">
        <f aca="false">IF(IsPro,IF($D2112="","",L2112+N2112+O2112+P2112),"")</f>
        <v/>
      </c>
      <c r="R2112" s="61" t="str">
        <f aca="false">IF(IsPro,IF($D2112="","",ROUND(N($E2112)*IFERROR(INDEX(Items!$P$5:$P$504,U2112),0),2)),"")</f>
        <v/>
      </c>
      <c r="S2112" s="61" t="str">
        <f aca="false">IF(IsPro,IF($D2112="","",L2112-R2112),"")</f>
        <v/>
      </c>
      <c r="T2112" s="60" t="str">
        <f aca="false">IF(IsPro,IF($D2112="","",IF(U2112="","UNKNOWN ITEM",IF(INDEX(Items!$O$5:$O$504,U2112)&lt;0,"NEG STOCK",IF(K2112&lt;INDEX(Items!$P$5:$P$504,U2112),"BELOW COST","OK")))),IF($D2112="","","PRO PLAN"))</f>
        <v/>
      </c>
      <c r="U2112" s="60" t="str">
        <f aca="false">IF(IsPro,IF($D2112="","",IFERROR(MATCH($D2112,Items!$A$5:$A$504,0),"")),"")</f>
        <v/>
      </c>
      <c r="V2112" s="60" t="str">
        <f aca="false">IF(IsPro,IF($C2112="","",IFERROR(MATCH($C2112,Parties!$A$5:$A$304,0),"")),"")</f>
        <v/>
      </c>
      <c r="W2112" s="60" t="str">
        <f aca="false">IF(IsPro,IF($B2112="","",IFERROR(VALUE(SUBSTITUTE($B2112,InvPrefix,"")),0)),"")</f>
        <v/>
      </c>
      <c r="X2112" s="61" t="str">
        <f aca="false">IF(IsPro,IF($D2112="","",IF(OR($H2112="",$H2112="Credit"),0,Q2112)),"")</f>
        <v/>
      </c>
    </row>
    <row r="2113" customFormat="false" ht="15" hidden="false" customHeight="false" outlineLevel="0" collapsed="false">
      <c r="A2113" s="55"/>
      <c r="B2113" s="56"/>
      <c r="C2113" s="56"/>
      <c r="D2113" s="56"/>
      <c r="E2113" s="57"/>
      <c r="F2113" s="58"/>
      <c r="G2113" s="59"/>
      <c r="H2113" s="56"/>
      <c r="I2113" s="56"/>
      <c r="J2113" s="60" t="str">
        <f aca="false">IF(IsPro,IF($D2113="","",IFERROR(INDEX(Items!$D$5:$D$504,U2113),"")),"")</f>
        <v/>
      </c>
      <c r="K2113" s="61" t="str">
        <f aca="false">IF(IsPro,IF($D2113="","",IF($F2113="",IFERROR(INDEX(Items!$H$5:$H$504,U2113),0),$F2113)),"")</f>
        <v/>
      </c>
      <c r="L2113" s="61" t="str">
        <f aca="false">IF(IsPro,IF($D2113="","",ROUND(N($E2113)*K2113*(1-N($G2113)),2)),"")</f>
        <v/>
      </c>
      <c r="M2113" s="62" t="str">
        <f aca="false">IF(IsPro,IF($D2113="","",IFERROR(INDEX(Items!$F$5:$F$504,U2113),0)),"")</f>
        <v/>
      </c>
      <c r="N2113" s="61" t="str">
        <f aca="false">IF(IsPro,IF($D2113="","",IF(AND(V2113&lt;&gt;"",INDEX(Parties!$E$5:$E$304,V2113)&lt;&gt;"",INDEX(Parties!$E$5:$E$304,V2113)&lt;&gt;HomeState),0,ROUND(L2113*M2113/2,2))),"")</f>
        <v/>
      </c>
      <c r="O2113" s="61" t="str">
        <f aca="false">IF(IsPro,IF($D2113="","",N2113),"")</f>
        <v/>
      </c>
      <c r="P2113" s="61" t="str">
        <f aca="false">IF(IsPro,IF($D2113="","",IF(AND(V2113&lt;&gt;"",INDEX(Parties!$E$5:$E$304,V2113)&lt;&gt;"",INDEX(Parties!$E$5:$E$304,V2113)&lt;&gt;HomeState),ROUND(L2113*M2113,2),0)),"")</f>
        <v/>
      </c>
      <c r="Q2113" s="61" t="str">
        <f aca="false">IF(IsPro,IF($D2113="","",L2113+N2113+O2113+P2113),"")</f>
        <v/>
      </c>
      <c r="R2113" s="61" t="str">
        <f aca="false">IF(IsPro,IF($D2113="","",ROUND(N($E2113)*IFERROR(INDEX(Items!$P$5:$P$504,U2113),0),2)),"")</f>
        <v/>
      </c>
      <c r="S2113" s="61" t="str">
        <f aca="false">IF(IsPro,IF($D2113="","",L2113-R2113),"")</f>
        <v/>
      </c>
      <c r="T2113" s="60" t="str">
        <f aca="false">IF(IsPro,IF($D2113="","",IF(U2113="","UNKNOWN ITEM",IF(INDEX(Items!$O$5:$O$504,U2113)&lt;0,"NEG STOCK",IF(K2113&lt;INDEX(Items!$P$5:$P$504,U2113),"BELOW COST","OK")))),IF($D2113="","","PRO PLAN"))</f>
        <v/>
      </c>
      <c r="U2113" s="60" t="str">
        <f aca="false">IF(IsPro,IF($D2113="","",IFERROR(MATCH($D2113,Items!$A$5:$A$504,0),"")),"")</f>
        <v/>
      </c>
      <c r="V2113" s="60" t="str">
        <f aca="false">IF(IsPro,IF($C2113="","",IFERROR(MATCH($C2113,Parties!$A$5:$A$304,0),"")),"")</f>
        <v/>
      </c>
      <c r="W2113" s="60" t="str">
        <f aca="false">IF(IsPro,IF($B2113="","",IFERROR(VALUE(SUBSTITUTE($B2113,InvPrefix,"")),0)),"")</f>
        <v/>
      </c>
      <c r="X2113" s="61" t="str">
        <f aca="false">IF(IsPro,IF($D2113="","",IF(OR($H2113="",$H2113="Credit"),0,Q2113)),"")</f>
        <v/>
      </c>
    </row>
    <row r="2114" customFormat="false" ht="15" hidden="false" customHeight="false" outlineLevel="0" collapsed="false">
      <c r="A2114" s="55"/>
      <c r="B2114" s="56"/>
      <c r="C2114" s="56"/>
      <c r="D2114" s="56"/>
      <c r="E2114" s="57"/>
      <c r="F2114" s="58"/>
      <c r="G2114" s="59"/>
      <c r="H2114" s="56"/>
      <c r="I2114" s="56"/>
      <c r="J2114" s="60" t="str">
        <f aca="false">IF(IsPro,IF($D2114="","",IFERROR(INDEX(Items!$D$5:$D$504,U2114),"")),"")</f>
        <v/>
      </c>
      <c r="K2114" s="61" t="str">
        <f aca="false">IF(IsPro,IF($D2114="","",IF($F2114="",IFERROR(INDEX(Items!$H$5:$H$504,U2114),0),$F2114)),"")</f>
        <v/>
      </c>
      <c r="L2114" s="61" t="str">
        <f aca="false">IF(IsPro,IF($D2114="","",ROUND(N($E2114)*K2114*(1-N($G2114)),2)),"")</f>
        <v/>
      </c>
      <c r="M2114" s="62" t="str">
        <f aca="false">IF(IsPro,IF($D2114="","",IFERROR(INDEX(Items!$F$5:$F$504,U2114),0)),"")</f>
        <v/>
      </c>
      <c r="N2114" s="61" t="str">
        <f aca="false">IF(IsPro,IF($D2114="","",IF(AND(V2114&lt;&gt;"",INDEX(Parties!$E$5:$E$304,V2114)&lt;&gt;"",INDEX(Parties!$E$5:$E$304,V2114)&lt;&gt;HomeState),0,ROUND(L2114*M2114/2,2))),"")</f>
        <v/>
      </c>
      <c r="O2114" s="61" t="str">
        <f aca="false">IF(IsPro,IF($D2114="","",N2114),"")</f>
        <v/>
      </c>
      <c r="P2114" s="61" t="str">
        <f aca="false">IF(IsPro,IF($D2114="","",IF(AND(V2114&lt;&gt;"",INDEX(Parties!$E$5:$E$304,V2114)&lt;&gt;"",INDEX(Parties!$E$5:$E$304,V2114)&lt;&gt;HomeState),ROUND(L2114*M2114,2),0)),"")</f>
        <v/>
      </c>
      <c r="Q2114" s="61" t="str">
        <f aca="false">IF(IsPro,IF($D2114="","",L2114+N2114+O2114+P2114),"")</f>
        <v/>
      </c>
      <c r="R2114" s="61" t="str">
        <f aca="false">IF(IsPro,IF($D2114="","",ROUND(N($E2114)*IFERROR(INDEX(Items!$P$5:$P$504,U2114),0),2)),"")</f>
        <v/>
      </c>
      <c r="S2114" s="61" t="str">
        <f aca="false">IF(IsPro,IF($D2114="","",L2114-R2114),"")</f>
        <v/>
      </c>
      <c r="T2114" s="60" t="str">
        <f aca="false">IF(IsPro,IF($D2114="","",IF(U2114="","UNKNOWN ITEM",IF(INDEX(Items!$O$5:$O$504,U2114)&lt;0,"NEG STOCK",IF(K2114&lt;INDEX(Items!$P$5:$P$504,U2114),"BELOW COST","OK")))),IF($D2114="","","PRO PLAN"))</f>
        <v/>
      </c>
      <c r="U2114" s="60" t="str">
        <f aca="false">IF(IsPro,IF($D2114="","",IFERROR(MATCH($D2114,Items!$A$5:$A$504,0),"")),"")</f>
        <v/>
      </c>
      <c r="V2114" s="60" t="str">
        <f aca="false">IF(IsPro,IF($C2114="","",IFERROR(MATCH($C2114,Parties!$A$5:$A$304,0),"")),"")</f>
        <v/>
      </c>
      <c r="W2114" s="60" t="str">
        <f aca="false">IF(IsPro,IF($B2114="","",IFERROR(VALUE(SUBSTITUTE($B2114,InvPrefix,"")),0)),"")</f>
        <v/>
      </c>
      <c r="X2114" s="61" t="str">
        <f aca="false">IF(IsPro,IF($D2114="","",IF(OR($H2114="",$H2114="Credit"),0,Q2114)),"")</f>
        <v/>
      </c>
    </row>
    <row r="2115" customFormat="false" ht="15" hidden="false" customHeight="false" outlineLevel="0" collapsed="false">
      <c r="A2115" s="55"/>
      <c r="B2115" s="56"/>
      <c r="C2115" s="56"/>
      <c r="D2115" s="56"/>
      <c r="E2115" s="57"/>
      <c r="F2115" s="58"/>
      <c r="G2115" s="59"/>
      <c r="H2115" s="56"/>
      <c r="I2115" s="56"/>
      <c r="J2115" s="60" t="str">
        <f aca="false">IF(IsPro,IF($D2115="","",IFERROR(INDEX(Items!$D$5:$D$504,U2115),"")),"")</f>
        <v/>
      </c>
      <c r="K2115" s="61" t="str">
        <f aca="false">IF(IsPro,IF($D2115="","",IF($F2115="",IFERROR(INDEX(Items!$H$5:$H$504,U2115),0),$F2115)),"")</f>
        <v/>
      </c>
      <c r="L2115" s="61" t="str">
        <f aca="false">IF(IsPro,IF($D2115="","",ROUND(N($E2115)*K2115*(1-N($G2115)),2)),"")</f>
        <v/>
      </c>
      <c r="M2115" s="62" t="str">
        <f aca="false">IF(IsPro,IF($D2115="","",IFERROR(INDEX(Items!$F$5:$F$504,U2115),0)),"")</f>
        <v/>
      </c>
      <c r="N2115" s="61" t="str">
        <f aca="false">IF(IsPro,IF($D2115="","",IF(AND(V2115&lt;&gt;"",INDEX(Parties!$E$5:$E$304,V2115)&lt;&gt;"",INDEX(Parties!$E$5:$E$304,V2115)&lt;&gt;HomeState),0,ROUND(L2115*M2115/2,2))),"")</f>
        <v/>
      </c>
      <c r="O2115" s="61" t="str">
        <f aca="false">IF(IsPro,IF($D2115="","",N2115),"")</f>
        <v/>
      </c>
      <c r="P2115" s="61" t="str">
        <f aca="false">IF(IsPro,IF($D2115="","",IF(AND(V2115&lt;&gt;"",INDEX(Parties!$E$5:$E$304,V2115)&lt;&gt;"",INDEX(Parties!$E$5:$E$304,V2115)&lt;&gt;HomeState),ROUND(L2115*M2115,2),0)),"")</f>
        <v/>
      </c>
      <c r="Q2115" s="61" t="str">
        <f aca="false">IF(IsPro,IF($D2115="","",L2115+N2115+O2115+P2115),"")</f>
        <v/>
      </c>
      <c r="R2115" s="61" t="str">
        <f aca="false">IF(IsPro,IF($D2115="","",ROUND(N($E2115)*IFERROR(INDEX(Items!$P$5:$P$504,U2115),0),2)),"")</f>
        <v/>
      </c>
      <c r="S2115" s="61" t="str">
        <f aca="false">IF(IsPro,IF($D2115="","",L2115-R2115),"")</f>
        <v/>
      </c>
      <c r="T2115" s="60" t="str">
        <f aca="false">IF(IsPro,IF($D2115="","",IF(U2115="","UNKNOWN ITEM",IF(INDEX(Items!$O$5:$O$504,U2115)&lt;0,"NEG STOCK",IF(K2115&lt;INDEX(Items!$P$5:$P$504,U2115),"BELOW COST","OK")))),IF($D2115="","","PRO PLAN"))</f>
        <v/>
      </c>
      <c r="U2115" s="60" t="str">
        <f aca="false">IF(IsPro,IF($D2115="","",IFERROR(MATCH($D2115,Items!$A$5:$A$504,0),"")),"")</f>
        <v/>
      </c>
      <c r="V2115" s="60" t="str">
        <f aca="false">IF(IsPro,IF($C2115="","",IFERROR(MATCH($C2115,Parties!$A$5:$A$304,0),"")),"")</f>
        <v/>
      </c>
      <c r="W2115" s="60" t="str">
        <f aca="false">IF(IsPro,IF($B2115="","",IFERROR(VALUE(SUBSTITUTE($B2115,InvPrefix,"")),0)),"")</f>
        <v/>
      </c>
      <c r="X2115" s="61" t="str">
        <f aca="false">IF(IsPro,IF($D2115="","",IF(OR($H2115="",$H2115="Credit"),0,Q2115)),"")</f>
        <v/>
      </c>
    </row>
    <row r="2116" customFormat="false" ht="15" hidden="false" customHeight="false" outlineLevel="0" collapsed="false">
      <c r="A2116" s="55"/>
      <c r="B2116" s="56"/>
      <c r="C2116" s="56"/>
      <c r="D2116" s="56"/>
      <c r="E2116" s="57"/>
      <c r="F2116" s="58"/>
      <c r="G2116" s="59"/>
      <c r="H2116" s="56"/>
      <c r="I2116" s="56"/>
      <c r="J2116" s="60" t="str">
        <f aca="false">IF(IsPro,IF($D2116="","",IFERROR(INDEX(Items!$D$5:$D$504,U2116),"")),"")</f>
        <v/>
      </c>
      <c r="K2116" s="61" t="str">
        <f aca="false">IF(IsPro,IF($D2116="","",IF($F2116="",IFERROR(INDEX(Items!$H$5:$H$504,U2116),0),$F2116)),"")</f>
        <v/>
      </c>
      <c r="L2116" s="61" t="str">
        <f aca="false">IF(IsPro,IF($D2116="","",ROUND(N($E2116)*K2116*(1-N($G2116)),2)),"")</f>
        <v/>
      </c>
      <c r="M2116" s="62" t="str">
        <f aca="false">IF(IsPro,IF($D2116="","",IFERROR(INDEX(Items!$F$5:$F$504,U2116),0)),"")</f>
        <v/>
      </c>
      <c r="N2116" s="61" t="str">
        <f aca="false">IF(IsPro,IF($D2116="","",IF(AND(V2116&lt;&gt;"",INDEX(Parties!$E$5:$E$304,V2116)&lt;&gt;"",INDEX(Parties!$E$5:$E$304,V2116)&lt;&gt;HomeState),0,ROUND(L2116*M2116/2,2))),"")</f>
        <v/>
      </c>
      <c r="O2116" s="61" t="str">
        <f aca="false">IF(IsPro,IF($D2116="","",N2116),"")</f>
        <v/>
      </c>
      <c r="P2116" s="61" t="str">
        <f aca="false">IF(IsPro,IF($D2116="","",IF(AND(V2116&lt;&gt;"",INDEX(Parties!$E$5:$E$304,V2116)&lt;&gt;"",INDEX(Parties!$E$5:$E$304,V2116)&lt;&gt;HomeState),ROUND(L2116*M2116,2),0)),"")</f>
        <v/>
      </c>
      <c r="Q2116" s="61" t="str">
        <f aca="false">IF(IsPro,IF($D2116="","",L2116+N2116+O2116+P2116),"")</f>
        <v/>
      </c>
      <c r="R2116" s="61" t="str">
        <f aca="false">IF(IsPro,IF($D2116="","",ROUND(N($E2116)*IFERROR(INDEX(Items!$P$5:$P$504,U2116),0),2)),"")</f>
        <v/>
      </c>
      <c r="S2116" s="61" t="str">
        <f aca="false">IF(IsPro,IF($D2116="","",L2116-R2116),"")</f>
        <v/>
      </c>
      <c r="T2116" s="60" t="str">
        <f aca="false">IF(IsPro,IF($D2116="","",IF(U2116="","UNKNOWN ITEM",IF(INDEX(Items!$O$5:$O$504,U2116)&lt;0,"NEG STOCK",IF(K2116&lt;INDEX(Items!$P$5:$P$504,U2116),"BELOW COST","OK")))),IF($D2116="","","PRO PLAN"))</f>
        <v/>
      </c>
      <c r="U2116" s="60" t="str">
        <f aca="false">IF(IsPro,IF($D2116="","",IFERROR(MATCH($D2116,Items!$A$5:$A$504,0),"")),"")</f>
        <v/>
      </c>
      <c r="V2116" s="60" t="str">
        <f aca="false">IF(IsPro,IF($C2116="","",IFERROR(MATCH($C2116,Parties!$A$5:$A$304,0),"")),"")</f>
        <v/>
      </c>
      <c r="W2116" s="60" t="str">
        <f aca="false">IF(IsPro,IF($B2116="","",IFERROR(VALUE(SUBSTITUTE($B2116,InvPrefix,"")),0)),"")</f>
        <v/>
      </c>
      <c r="X2116" s="61" t="str">
        <f aca="false">IF(IsPro,IF($D2116="","",IF(OR($H2116="",$H2116="Credit"),0,Q2116)),"")</f>
        <v/>
      </c>
    </row>
    <row r="2117" customFormat="false" ht="15" hidden="false" customHeight="false" outlineLevel="0" collapsed="false">
      <c r="A2117" s="55"/>
      <c r="B2117" s="56"/>
      <c r="C2117" s="56"/>
      <c r="D2117" s="56"/>
      <c r="E2117" s="57"/>
      <c r="F2117" s="58"/>
      <c r="G2117" s="59"/>
      <c r="H2117" s="56"/>
      <c r="I2117" s="56"/>
      <c r="J2117" s="60" t="str">
        <f aca="false">IF(IsPro,IF($D2117="","",IFERROR(INDEX(Items!$D$5:$D$504,U2117),"")),"")</f>
        <v/>
      </c>
      <c r="K2117" s="61" t="str">
        <f aca="false">IF(IsPro,IF($D2117="","",IF($F2117="",IFERROR(INDEX(Items!$H$5:$H$504,U2117),0),$F2117)),"")</f>
        <v/>
      </c>
      <c r="L2117" s="61" t="str">
        <f aca="false">IF(IsPro,IF($D2117="","",ROUND(N($E2117)*K2117*(1-N($G2117)),2)),"")</f>
        <v/>
      </c>
      <c r="M2117" s="62" t="str">
        <f aca="false">IF(IsPro,IF($D2117="","",IFERROR(INDEX(Items!$F$5:$F$504,U2117),0)),"")</f>
        <v/>
      </c>
      <c r="N2117" s="61" t="str">
        <f aca="false">IF(IsPro,IF($D2117="","",IF(AND(V2117&lt;&gt;"",INDEX(Parties!$E$5:$E$304,V2117)&lt;&gt;"",INDEX(Parties!$E$5:$E$304,V2117)&lt;&gt;HomeState),0,ROUND(L2117*M2117/2,2))),"")</f>
        <v/>
      </c>
      <c r="O2117" s="61" t="str">
        <f aca="false">IF(IsPro,IF($D2117="","",N2117),"")</f>
        <v/>
      </c>
      <c r="P2117" s="61" t="str">
        <f aca="false">IF(IsPro,IF($D2117="","",IF(AND(V2117&lt;&gt;"",INDEX(Parties!$E$5:$E$304,V2117)&lt;&gt;"",INDEX(Parties!$E$5:$E$304,V2117)&lt;&gt;HomeState),ROUND(L2117*M2117,2),0)),"")</f>
        <v/>
      </c>
      <c r="Q2117" s="61" t="str">
        <f aca="false">IF(IsPro,IF($D2117="","",L2117+N2117+O2117+P2117),"")</f>
        <v/>
      </c>
      <c r="R2117" s="61" t="str">
        <f aca="false">IF(IsPro,IF($D2117="","",ROUND(N($E2117)*IFERROR(INDEX(Items!$P$5:$P$504,U2117),0),2)),"")</f>
        <v/>
      </c>
      <c r="S2117" s="61" t="str">
        <f aca="false">IF(IsPro,IF($D2117="","",L2117-R2117),"")</f>
        <v/>
      </c>
      <c r="T2117" s="60" t="str">
        <f aca="false">IF(IsPro,IF($D2117="","",IF(U2117="","UNKNOWN ITEM",IF(INDEX(Items!$O$5:$O$504,U2117)&lt;0,"NEG STOCK",IF(K2117&lt;INDEX(Items!$P$5:$P$504,U2117),"BELOW COST","OK")))),IF($D2117="","","PRO PLAN"))</f>
        <v/>
      </c>
      <c r="U2117" s="60" t="str">
        <f aca="false">IF(IsPro,IF($D2117="","",IFERROR(MATCH($D2117,Items!$A$5:$A$504,0),"")),"")</f>
        <v/>
      </c>
      <c r="V2117" s="60" t="str">
        <f aca="false">IF(IsPro,IF($C2117="","",IFERROR(MATCH($C2117,Parties!$A$5:$A$304,0),"")),"")</f>
        <v/>
      </c>
      <c r="W2117" s="60" t="str">
        <f aca="false">IF(IsPro,IF($B2117="","",IFERROR(VALUE(SUBSTITUTE($B2117,InvPrefix,"")),0)),"")</f>
        <v/>
      </c>
      <c r="X2117" s="61" t="str">
        <f aca="false">IF(IsPro,IF($D2117="","",IF(OR($H2117="",$H2117="Credit"),0,Q2117)),"")</f>
        <v/>
      </c>
    </row>
    <row r="2118" customFormat="false" ht="15" hidden="false" customHeight="false" outlineLevel="0" collapsed="false">
      <c r="A2118" s="55"/>
      <c r="B2118" s="56"/>
      <c r="C2118" s="56"/>
      <c r="D2118" s="56"/>
      <c r="E2118" s="57"/>
      <c r="F2118" s="58"/>
      <c r="G2118" s="59"/>
      <c r="H2118" s="56"/>
      <c r="I2118" s="56"/>
      <c r="J2118" s="60" t="str">
        <f aca="false">IF(IsPro,IF($D2118="","",IFERROR(INDEX(Items!$D$5:$D$504,U2118),"")),"")</f>
        <v/>
      </c>
      <c r="K2118" s="61" t="str">
        <f aca="false">IF(IsPro,IF($D2118="","",IF($F2118="",IFERROR(INDEX(Items!$H$5:$H$504,U2118),0),$F2118)),"")</f>
        <v/>
      </c>
      <c r="L2118" s="61" t="str">
        <f aca="false">IF(IsPro,IF($D2118="","",ROUND(N($E2118)*K2118*(1-N($G2118)),2)),"")</f>
        <v/>
      </c>
      <c r="M2118" s="62" t="str">
        <f aca="false">IF(IsPro,IF($D2118="","",IFERROR(INDEX(Items!$F$5:$F$504,U2118),0)),"")</f>
        <v/>
      </c>
      <c r="N2118" s="61" t="str">
        <f aca="false">IF(IsPro,IF($D2118="","",IF(AND(V2118&lt;&gt;"",INDEX(Parties!$E$5:$E$304,V2118)&lt;&gt;"",INDEX(Parties!$E$5:$E$304,V2118)&lt;&gt;HomeState),0,ROUND(L2118*M2118/2,2))),"")</f>
        <v/>
      </c>
      <c r="O2118" s="61" t="str">
        <f aca="false">IF(IsPro,IF($D2118="","",N2118),"")</f>
        <v/>
      </c>
      <c r="P2118" s="61" t="str">
        <f aca="false">IF(IsPro,IF($D2118="","",IF(AND(V2118&lt;&gt;"",INDEX(Parties!$E$5:$E$304,V2118)&lt;&gt;"",INDEX(Parties!$E$5:$E$304,V2118)&lt;&gt;HomeState),ROUND(L2118*M2118,2),0)),"")</f>
        <v/>
      </c>
      <c r="Q2118" s="61" t="str">
        <f aca="false">IF(IsPro,IF($D2118="","",L2118+N2118+O2118+P2118),"")</f>
        <v/>
      </c>
      <c r="R2118" s="61" t="str">
        <f aca="false">IF(IsPro,IF($D2118="","",ROUND(N($E2118)*IFERROR(INDEX(Items!$P$5:$P$504,U2118),0),2)),"")</f>
        <v/>
      </c>
      <c r="S2118" s="61" t="str">
        <f aca="false">IF(IsPro,IF($D2118="","",L2118-R2118),"")</f>
        <v/>
      </c>
      <c r="T2118" s="60" t="str">
        <f aca="false">IF(IsPro,IF($D2118="","",IF(U2118="","UNKNOWN ITEM",IF(INDEX(Items!$O$5:$O$504,U2118)&lt;0,"NEG STOCK",IF(K2118&lt;INDEX(Items!$P$5:$P$504,U2118),"BELOW COST","OK")))),IF($D2118="","","PRO PLAN"))</f>
        <v/>
      </c>
      <c r="U2118" s="60" t="str">
        <f aca="false">IF(IsPro,IF($D2118="","",IFERROR(MATCH($D2118,Items!$A$5:$A$504,0),"")),"")</f>
        <v/>
      </c>
      <c r="V2118" s="60" t="str">
        <f aca="false">IF(IsPro,IF($C2118="","",IFERROR(MATCH($C2118,Parties!$A$5:$A$304,0),"")),"")</f>
        <v/>
      </c>
      <c r="W2118" s="60" t="str">
        <f aca="false">IF(IsPro,IF($B2118="","",IFERROR(VALUE(SUBSTITUTE($B2118,InvPrefix,"")),0)),"")</f>
        <v/>
      </c>
      <c r="X2118" s="61" t="str">
        <f aca="false">IF(IsPro,IF($D2118="","",IF(OR($H2118="",$H2118="Credit"),0,Q2118)),"")</f>
        <v/>
      </c>
    </row>
    <row r="2119" customFormat="false" ht="15" hidden="false" customHeight="false" outlineLevel="0" collapsed="false">
      <c r="A2119" s="55"/>
      <c r="B2119" s="56"/>
      <c r="C2119" s="56"/>
      <c r="D2119" s="56"/>
      <c r="E2119" s="57"/>
      <c r="F2119" s="58"/>
      <c r="G2119" s="59"/>
      <c r="H2119" s="56"/>
      <c r="I2119" s="56"/>
      <c r="J2119" s="60" t="str">
        <f aca="false">IF(IsPro,IF($D2119="","",IFERROR(INDEX(Items!$D$5:$D$504,U2119),"")),"")</f>
        <v/>
      </c>
      <c r="K2119" s="61" t="str">
        <f aca="false">IF(IsPro,IF($D2119="","",IF($F2119="",IFERROR(INDEX(Items!$H$5:$H$504,U2119),0),$F2119)),"")</f>
        <v/>
      </c>
      <c r="L2119" s="61" t="str">
        <f aca="false">IF(IsPro,IF($D2119="","",ROUND(N($E2119)*K2119*(1-N($G2119)),2)),"")</f>
        <v/>
      </c>
      <c r="M2119" s="62" t="str">
        <f aca="false">IF(IsPro,IF($D2119="","",IFERROR(INDEX(Items!$F$5:$F$504,U2119),0)),"")</f>
        <v/>
      </c>
      <c r="N2119" s="61" t="str">
        <f aca="false">IF(IsPro,IF($D2119="","",IF(AND(V2119&lt;&gt;"",INDEX(Parties!$E$5:$E$304,V2119)&lt;&gt;"",INDEX(Parties!$E$5:$E$304,V2119)&lt;&gt;HomeState),0,ROUND(L2119*M2119/2,2))),"")</f>
        <v/>
      </c>
      <c r="O2119" s="61" t="str">
        <f aca="false">IF(IsPro,IF($D2119="","",N2119),"")</f>
        <v/>
      </c>
      <c r="P2119" s="61" t="str">
        <f aca="false">IF(IsPro,IF($D2119="","",IF(AND(V2119&lt;&gt;"",INDEX(Parties!$E$5:$E$304,V2119)&lt;&gt;"",INDEX(Parties!$E$5:$E$304,V2119)&lt;&gt;HomeState),ROUND(L2119*M2119,2),0)),"")</f>
        <v/>
      </c>
      <c r="Q2119" s="61" t="str">
        <f aca="false">IF(IsPro,IF($D2119="","",L2119+N2119+O2119+P2119),"")</f>
        <v/>
      </c>
      <c r="R2119" s="61" t="str">
        <f aca="false">IF(IsPro,IF($D2119="","",ROUND(N($E2119)*IFERROR(INDEX(Items!$P$5:$P$504,U2119),0),2)),"")</f>
        <v/>
      </c>
      <c r="S2119" s="61" t="str">
        <f aca="false">IF(IsPro,IF($D2119="","",L2119-R2119),"")</f>
        <v/>
      </c>
      <c r="T2119" s="60" t="str">
        <f aca="false">IF(IsPro,IF($D2119="","",IF(U2119="","UNKNOWN ITEM",IF(INDEX(Items!$O$5:$O$504,U2119)&lt;0,"NEG STOCK",IF(K2119&lt;INDEX(Items!$P$5:$P$504,U2119),"BELOW COST","OK")))),IF($D2119="","","PRO PLAN"))</f>
        <v/>
      </c>
      <c r="U2119" s="60" t="str">
        <f aca="false">IF(IsPro,IF($D2119="","",IFERROR(MATCH($D2119,Items!$A$5:$A$504,0),"")),"")</f>
        <v/>
      </c>
      <c r="V2119" s="60" t="str">
        <f aca="false">IF(IsPro,IF($C2119="","",IFERROR(MATCH($C2119,Parties!$A$5:$A$304,0),"")),"")</f>
        <v/>
      </c>
      <c r="W2119" s="60" t="str">
        <f aca="false">IF(IsPro,IF($B2119="","",IFERROR(VALUE(SUBSTITUTE($B2119,InvPrefix,"")),0)),"")</f>
        <v/>
      </c>
      <c r="X2119" s="61" t="str">
        <f aca="false">IF(IsPro,IF($D2119="","",IF(OR($H2119="",$H2119="Credit"),0,Q2119)),"")</f>
        <v/>
      </c>
    </row>
    <row r="2120" customFormat="false" ht="15" hidden="false" customHeight="false" outlineLevel="0" collapsed="false">
      <c r="A2120" s="55"/>
      <c r="B2120" s="56"/>
      <c r="C2120" s="56"/>
      <c r="D2120" s="56"/>
      <c r="E2120" s="57"/>
      <c r="F2120" s="58"/>
      <c r="G2120" s="59"/>
      <c r="H2120" s="56"/>
      <c r="I2120" s="56"/>
      <c r="J2120" s="60" t="str">
        <f aca="false">IF(IsPro,IF($D2120="","",IFERROR(INDEX(Items!$D$5:$D$504,U2120),"")),"")</f>
        <v/>
      </c>
      <c r="K2120" s="61" t="str">
        <f aca="false">IF(IsPro,IF($D2120="","",IF($F2120="",IFERROR(INDEX(Items!$H$5:$H$504,U2120),0),$F2120)),"")</f>
        <v/>
      </c>
      <c r="L2120" s="61" t="str">
        <f aca="false">IF(IsPro,IF($D2120="","",ROUND(N($E2120)*K2120*(1-N($G2120)),2)),"")</f>
        <v/>
      </c>
      <c r="M2120" s="62" t="str">
        <f aca="false">IF(IsPro,IF($D2120="","",IFERROR(INDEX(Items!$F$5:$F$504,U2120),0)),"")</f>
        <v/>
      </c>
      <c r="N2120" s="61" t="str">
        <f aca="false">IF(IsPro,IF($D2120="","",IF(AND(V2120&lt;&gt;"",INDEX(Parties!$E$5:$E$304,V2120)&lt;&gt;"",INDEX(Parties!$E$5:$E$304,V2120)&lt;&gt;HomeState),0,ROUND(L2120*M2120/2,2))),"")</f>
        <v/>
      </c>
      <c r="O2120" s="61" t="str">
        <f aca="false">IF(IsPro,IF($D2120="","",N2120),"")</f>
        <v/>
      </c>
      <c r="P2120" s="61" t="str">
        <f aca="false">IF(IsPro,IF($D2120="","",IF(AND(V2120&lt;&gt;"",INDEX(Parties!$E$5:$E$304,V2120)&lt;&gt;"",INDEX(Parties!$E$5:$E$304,V2120)&lt;&gt;HomeState),ROUND(L2120*M2120,2),0)),"")</f>
        <v/>
      </c>
      <c r="Q2120" s="61" t="str">
        <f aca="false">IF(IsPro,IF($D2120="","",L2120+N2120+O2120+P2120),"")</f>
        <v/>
      </c>
      <c r="R2120" s="61" t="str">
        <f aca="false">IF(IsPro,IF($D2120="","",ROUND(N($E2120)*IFERROR(INDEX(Items!$P$5:$P$504,U2120),0),2)),"")</f>
        <v/>
      </c>
      <c r="S2120" s="61" t="str">
        <f aca="false">IF(IsPro,IF($D2120="","",L2120-R2120),"")</f>
        <v/>
      </c>
      <c r="T2120" s="60" t="str">
        <f aca="false">IF(IsPro,IF($D2120="","",IF(U2120="","UNKNOWN ITEM",IF(INDEX(Items!$O$5:$O$504,U2120)&lt;0,"NEG STOCK",IF(K2120&lt;INDEX(Items!$P$5:$P$504,U2120),"BELOW COST","OK")))),IF($D2120="","","PRO PLAN"))</f>
        <v/>
      </c>
      <c r="U2120" s="60" t="str">
        <f aca="false">IF(IsPro,IF($D2120="","",IFERROR(MATCH($D2120,Items!$A$5:$A$504,0),"")),"")</f>
        <v/>
      </c>
      <c r="V2120" s="60" t="str">
        <f aca="false">IF(IsPro,IF($C2120="","",IFERROR(MATCH($C2120,Parties!$A$5:$A$304,0),"")),"")</f>
        <v/>
      </c>
      <c r="W2120" s="60" t="str">
        <f aca="false">IF(IsPro,IF($B2120="","",IFERROR(VALUE(SUBSTITUTE($B2120,InvPrefix,"")),0)),"")</f>
        <v/>
      </c>
      <c r="X2120" s="61" t="str">
        <f aca="false">IF(IsPro,IF($D2120="","",IF(OR($H2120="",$H2120="Credit"),0,Q2120)),"")</f>
        <v/>
      </c>
    </row>
    <row r="2121" customFormat="false" ht="15" hidden="false" customHeight="false" outlineLevel="0" collapsed="false">
      <c r="A2121" s="55"/>
      <c r="B2121" s="56"/>
      <c r="C2121" s="56"/>
      <c r="D2121" s="56"/>
      <c r="E2121" s="57"/>
      <c r="F2121" s="58"/>
      <c r="G2121" s="59"/>
      <c r="H2121" s="56"/>
      <c r="I2121" s="56"/>
      <c r="J2121" s="60" t="str">
        <f aca="false">IF(IsPro,IF($D2121="","",IFERROR(INDEX(Items!$D$5:$D$504,U2121),"")),"")</f>
        <v/>
      </c>
      <c r="K2121" s="61" t="str">
        <f aca="false">IF(IsPro,IF($D2121="","",IF($F2121="",IFERROR(INDEX(Items!$H$5:$H$504,U2121),0),$F2121)),"")</f>
        <v/>
      </c>
      <c r="L2121" s="61" t="str">
        <f aca="false">IF(IsPro,IF($D2121="","",ROUND(N($E2121)*K2121*(1-N($G2121)),2)),"")</f>
        <v/>
      </c>
      <c r="M2121" s="62" t="str">
        <f aca="false">IF(IsPro,IF($D2121="","",IFERROR(INDEX(Items!$F$5:$F$504,U2121),0)),"")</f>
        <v/>
      </c>
      <c r="N2121" s="61" t="str">
        <f aca="false">IF(IsPro,IF($D2121="","",IF(AND(V2121&lt;&gt;"",INDEX(Parties!$E$5:$E$304,V2121)&lt;&gt;"",INDEX(Parties!$E$5:$E$304,V2121)&lt;&gt;HomeState),0,ROUND(L2121*M2121/2,2))),"")</f>
        <v/>
      </c>
      <c r="O2121" s="61" t="str">
        <f aca="false">IF(IsPro,IF($D2121="","",N2121),"")</f>
        <v/>
      </c>
      <c r="P2121" s="61" t="str">
        <f aca="false">IF(IsPro,IF($D2121="","",IF(AND(V2121&lt;&gt;"",INDEX(Parties!$E$5:$E$304,V2121)&lt;&gt;"",INDEX(Parties!$E$5:$E$304,V2121)&lt;&gt;HomeState),ROUND(L2121*M2121,2),0)),"")</f>
        <v/>
      </c>
      <c r="Q2121" s="61" t="str">
        <f aca="false">IF(IsPro,IF($D2121="","",L2121+N2121+O2121+P2121),"")</f>
        <v/>
      </c>
      <c r="R2121" s="61" t="str">
        <f aca="false">IF(IsPro,IF($D2121="","",ROUND(N($E2121)*IFERROR(INDEX(Items!$P$5:$P$504,U2121),0),2)),"")</f>
        <v/>
      </c>
      <c r="S2121" s="61" t="str">
        <f aca="false">IF(IsPro,IF($D2121="","",L2121-R2121),"")</f>
        <v/>
      </c>
      <c r="T2121" s="60" t="str">
        <f aca="false">IF(IsPro,IF($D2121="","",IF(U2121="","UNKNOWN ITEM",IF(INDEX(Items!$O$5:$O$504,U2121)&lt;0,"NEG STOCK",IF(K2121&lt;INDEX(Items!$P$5:$P$504,U2121),"BELOW COST","OK")))),IF($D2121="","","PRO PLAN"))</f>
        <v/>
      </c>
      <c r="U2121" s="60" t="str">
        <f aca="false">IF(IsPro,IF($D2121="","",IFERROR(MATCH($D2121,Items!$A$5:$A$504,0),"")),"")</f>
        <v/>
      </c>
      <c r="V2121" s="60" t="str">
        <f aca="false">IF(IsPro,IF($C2121="","",IFERROR(MATCH($C2121,Parties!$A$5:$A$304,0),"")),"")</f>
        <v/>
      </c>
      <c r="W2121" s="60" t="str">
        <f aca="false">IF(IsPro,IF($B2121="","",IFERROR(VALUE(SUBSTITUTE($B2121,InvPrefix,"")),0)),"")</f>
        <v/>
      </c>
      <c r="X2121" s="61" t="str">
        <f aca="false">IF(IsPro,IF($D2121="","",IF(OR($H2121="",$H2121="Credit"),0,Q2121)),"")</f>
        <v/>
      </c>
    </row>
    <row r="2122" customFormat="false" ht="15" hidden="false" customHeight="false" outlineLevel="0" collapsed="false">
      <c r="A2122" s="55"/>
      <c r="B2122" s="56"/>
      <c r="C2122" s="56"/>
      <c r="D2122" s="56"/>
      <c r="E2122" s="57"/>
      <c r="F2122" s="58"/>
      <c r="G2122" s="59"/>
      <c r="H2122" s="56"/>
      <c r="I2122" s="56"/>
      <c r="J2122" s="60" t="str">
        <f aca="false">IF(IsPro,IF($D2122="","",IFERROR(INDEX(Items!$D$5:$D$504,U2122),"")),"")</f>
        <v/>
      </c>
      <c r="K2122" s="61" t="str">
        <f aca="false">IF(IsPro,IF($D2122="","",IF($F2122="",IFERROR(INDEX(Items!$H$5:$H$504,U2122),0),$F2122)),"")</f>
        <v/>
      </c>
      <c r="L2122" s="61" t="str">
        <f aca="false">IF(IsPro,IF($D2122="","",ROUND(N($E2122)*K2122*(1-N($G2122)),2)),"")</f>
        <v/>
      </c>
      <c r="M2122" s="62" t="str">
        <f aca="false">IF(IsPro,IF($D2122="","",IFERROR(INDEX(Items!$F$5:$F$504,U2122),0)),"")</f>
        <v/>
      </c>
      <c r="N2122" s="61" t="str">
        <f aca="false">IF(IsPro,IF($D2122="","",IF(AND(V2122&lt;&gt;"",INDEX(Parties!$E$5:$E$304,V2122)&lt;&gt;"",INDEX(Parties!$E$5:$E$304,V2122)&lt;&gt;HomeState),0,ROUND(L2122*M2122/2,2))),"")</f>
        <v/>
      </c>
      <c r="O2122" s="61" t="str">
        <f aca="false">IF(IsPro,IF($D2122="","",N2122),"")</f>
        <v/>
      </c>
      <c r="P2122" s="61" t="str">
        <f aca="false">IF(IsPro,IF($D2122="","",IF(AND(V2122&lt;&gt;"",INDEX(Parties!$E$5:$E$304,V2122)&lt;&gt;"",INDEX(Parties!$E$5:$E$304,V2122)&lt;&gt;HomeState),ROUND(L2122*M2122,2),0)),"")</f>
        <v/>
      </c>
      <c r="Q2122" s="61" t="str">
        <f aca="false">IF(IsPro,IF($D2122="","",L2122+N2122+O2122+P2122),"")</f>
        <v/>
      </c>
      <c r="R2122" s="61" t="str">
        <f aca="false">IF(IsPro,IF($D2122="","",ROUND(N($E2122)*IFERROR(INDEX(Items!$P$5:$P$504,U2122),0),2)),"")</f>
        <v/>
      </c>
      <c r="S2122" s="61" t="str">
        <f aca="false">IF(IsPro,IF($D2122="","",L2122-R2122),"")</f>
        <v/>
      </c>
      <c r="T2122" s="60" t="str">
        <f aca="false">IF(IsPro,IF($D2122="","",IF(U2122="","UNKNOWN ITEM",IF(INDEX(Items!$O$5:$O$504,U2122)&lt;0,"NEG STOCK",IF(K2122&lt;INDEX(Items!$P$5:$P$504,U2122),"BELOW COST","OK")))),IF($D2122="","","PRO PLAN"))</f>
        <v/>
      </c>
      <c r="U2122" s="60" t="str">
        <f aca="false">IF(IsPro,IF($D2122="","",IFERROR(MATCH($D2122,Items!$A$5:$A$504,0),"")),"")</f>
        <v/>
      </c>
      <c r="V2122" s="60" t="str">
        <f aca="false">IF(IsPro,IF($C2122="","",IFERROR(MATCH($C2122,Parties!$A$5:$A$304,0),"")),"")</f>
        <v/>
      </c>
      <c r="W2122" s="60" t="str">
        <f aca="false">IF(IsPro,IF($B2122="","",IFERROR(VALUE(SUBSTITUTE($B2122,InvPrefix,"")),0)),"")</f>
        <v/>
      </c>
      <c r="X2122" s="61" t="str">
        <f aca="false">IF(IsPro,IF($D2122="","",IF(OR($H2122="",$H2122="Credit"),0,Q2122)),"")</f>
        <v/>
      </c>
    </row>
    <row r="2123" customFormat="false" ht="15" hidden="false" customHeight="false" outlineLevel="0" collapsed="false">
      <c r="A2123" s="55"/>
      <c r="B2123" s="56"/>
      <c r="C2123" s="56"/>
      <c r="D2123" s="56"/>
      <c r="E2123" s="57"/>
      <c r="F2123" s="58"/>
      <c r="G2123" s="59"/>
      <c r="H2123" s="56"/>
      <c r="I2123" s="56"/>
      <c r="J2123" s="60" t="str">
        <f aca="false">IF(IsPro,IF($D2123="","",IFERROR(INDEX(Items!$D$5:$D$504,U2123),"")),"")</f>
        <v/>
      </c>
      <c r="K2123" s="61" t="str">
        <f aca="false">IF(IsPro,IF($D2123="","",IF($F2123="",IFERROR(INDEX(Items!$H$5:$H$504,U2123),0),$F2123)),"")</f>
        <v/>
      </c>
      <c r="L2123" s="61" t="str">
        <f aca="false">IF(IsPro,IF($D2123="","",ROUND(N($E2123)*K2123*(1-N($G2123)),2)),"")</f>
        <v/>
      </c>
      <c r="M2123" s="62" t="str">
        <f aca="false">IF(IsPro,IF($D2123="","",IFERROR(INDEX(Items!$F$5:$F$504,U2123),0)),"")</f>
        <v/>
      </c>
      <c r="N2123" s="61" t="str">
        <f aca="false">IF(IsPro,IF($D2123="","",IF(AND(V2123&lt;&gt;"",INDEX(Parties!$E$5:$E$304,V2123)&lt;&gt;"",INDEX(Parties!$E$5:$E$304,V2123)&lt;&gt;HomeState),0,ROUND(L2123*M2123/2,2))),"")</f>
        <v/>
      </c>
      <c r="O2123" s="61" t="str">
        <f aca="false">IF(IsPro,IF($D2123="","",N2123),"")</f>
        <v/>
      </c>
      <c r="P2123" s="61" t="str">
        <f aca="false">IF(IsPro,IF($D2123="","",IF(AND(V2123&lt;&gt;"",INDEX(Parties!$E$5:$E$304,V2123)&lt;&gt;"",INDEX(Parties!$E$5:$E$304,V2123)&lt;&gt;HomeState),ROUND(L2123*M2123,2),0)),"")</f>
        <v/>
      </c>
      <c r="Q2123" s="61" t="str">
        <f aca="false">IF(IsPro,IF($D2123="","",L2123+N2123+O2123+P2123),"")</f>
        <v/>
      </c>
      <c r="R2123" s="61" t="str">
        <f aca="false">IF(IsPro,IF($D2123="","",ROUND(N($E2123)*IFERROR(INDEX(Items!$P$5:$P$504,U2123),0),2)),"")</f>
        <v/>
      </c>
      <c r="S2123" s="61" t="str">
        <f aca="false">IF(IsPro,IF($D2123="","",L2123-R2123),"")</f>
        <v/>
      </c>
      <c r="T2123" s="60" t="str">
        <f aca="false">IF(IsPro,IF($D2123="","",IF(U2123="","UNKNOWN ITEM",IF(INDEX(Items!$O$5:$O$504,U2123)&lt;0,"NEG STOCK",IF(K2123&lt;INDEX(Items!$P$5:$P$504,U2123),"BELOW COST","OK")))),IF($D2123="","","PRO PLAN"))</f>
        <v/>
      </c>
      <c r="U2123" s="60" t="str">
        <f aca="false">IF(IsPro,IF($D2123="","",IFERROR(MATCH($D2123,Items!$A$5:$A$504,0),"")),"")</f>
        <v/>
      </c>
      <c r="V2123" s="60" t="str">
        <f aca="false">IF(IsPro,IF($C2123="","",IFERROR(MATCH($C2123,Parties!$A$5:$A$304,0),"")),"")</f>
        <v/>
      </c>
      <c r="W2123" s="60" t="str">
        <f aca="false">IF(IsPro,IF($B2123="","",IFERROR(VALUE(SUBSTITUTE($B2123,InvPrefix,"")),0)),"")</f>
        <v/>
      </c>
      <c r="X2123" s="61" t="str">
        <f aca="false">IF(IsPro,IF($D2123="","",IF(OR($H2123="",$H2123="Credit"),0,Q2123)),"")</f>
        <v/>
      </c>
    </row>
    <row r="2124" customFormat="false" ht="15" hidden="false" customHeight="false" outlineLevel="0" collapsed="false">
      <c r="A2124" s="55"/>
      <c r="B2124" s="56"/>
      <c r="C2124" s="56"/>
      <c r="D2124" s="56"/>
      <c r="E2124" s="57"/>
      <c r="F2124" s="58"/>
      <c r="G2124" s="59"/>
      <c r="H2124" s="56"/>
      <c r="I2124" s="56"/>
      <c r="J2124" s="60" t="str">
        <f aca="false">IF(IsPro,IF($D2124="","",IFERROR(INDEX(Items!$D$5:$D$504,U2124),"")),"")</f>
        <v/>
      </c>
      <c r="K2124" s="61" t="str">
        <f aca="false">IF(IsPro,IF($D2124="","",IF($F2124="",IFERROR(INDEX(Items!$H$5:$H$504,U2124),0),$F2124)),"")</f>
        <v/>
      </c>
      <c r="L2124" s="61" t="str">
        <f aca="false">IF(IsPro,IF($D2124="","",ROUND(N($E2124)*K2124*(1-N($G2124)),2)),"")</f>
        <v/>
      </c>
      <c r="M2124" s="62" t="str">
        <f aca="false">IF(IsPro,IF($D2124="","",IFERROR(INDEX(Items!$F$5:$F$504,U2124),0)),"")</f>
        <v/>
      </c>
      <c r="N2124" s="61" t="str">
        <f aca="false">IF(IsPro,IF($D2124="","",IF(AND(V2124&lt;&gt;"",INDEX(Parties!$E$5:$E$304,V2124)&lt;&gt;"",INDEX(Parties!$E$5:$E$304,V2124)&lt;&gt;HomeState),0,ROUND(L2124*M2124/2,2))),"")</f>
        <v/>
      </c>
      <c r="O2124" s="61" t="str">
        <f aca="false">IF(IsPro,IF($D2124="","",N2124),"")</f>
        <v/>
      </c>
      <c r="P2124" s="61" t="str">
        <f aca="false">IF(IsPro,IF($D2124="","",IF(AND(V2124&lt;&gt;"",INDEX(Parties!$E$5:$E$304,V2124)&lt;&gt;"",INDEX(Parties!$E$5:$E$304,V2124)&lt;&gt;HomeState),ROUND(L2124*M2124,2),0)),"")</f>
        <v/>
      </c>
      <c r="Q2124" s="61" t="str">
        <f aca="false">IF(IsPro,IF($D2124="","",L2124+N2124+O2124+P2124),"")</f>
        <v/>
      </c>
      <c r="R2124" s="61" t="str">
        <f aca="false">IF(IsPro,IF($D2124="","",ROUND(N($E2124)*IFERROR(INDEX(Items!$P$5:$P$504,U2124),0),2)),"")</f>
        <v/>
      </c>
      <c r="S2124" s="61" t="str">
        <f aca="false">IF(IsPro,IF($D2124="","",L2124-R2124),"")</f>
        <v/>
      </c>
      <c r="T2124" s="60" t="str">
        <f aca="false">IF(IsPro,IF($D2124="","",IF(U2124="","UNKNOWN ITEM",IF(INDEX(Items!$O$5:$O$504,U2124)&lt;0,"NEG STOCK",IF(K2124&lt;INDEX(Items!$P$5:$P$504,U2124),"BELOW COST","OK")))),IF($D2124="","","PRO PLAN"))</f>
        <v/>
      </c>
      <c r="U2124" s="60" t="str">
        <f aca="false">IF(IsPro,IF($D2124="","",IFERROR(MATCH($D2124,Items!$A$5:$A$504,0),"")),"")</f>
        <v/>
      </c>
      <c r="V2124" s="60" t="str">
        <f aca="false">IF(IsPro,IF($C2124="","",IFERROR(MATCH($C2124,Parties!$A$5:$A$304,0),"")),"")</f>
        <v/>
      </c>
      <c r="W2124" s="60" t="str">
        <f aca="false">IF(IsPro,IF($B2124="","",IFERROR(VALUE(SUBSTITUTE($B2124,InvPrefix,"")),0)),"")</f>
        <v/>
      </c>
      <c r="X2124" s="61" t="str">
        <f aca="false">IF(IsPro,IF($D2124="","",IF(OR($H2124="",$H2124="Credit"),0,Q2124)),"")</f>
        <v/>
      </c>
    </row>
    <row r="2125" customFormat="false" ht="15" hidden="false" customHeight="false" outlineLevel="0" collapsed="false">
      <c r="A2125" s="55"/>
      <c r="B2125" s="56"/>
      <c r="C2125" s="56"/>
      <c r="D2125" s="56"/>
      <c r="E2125" s="57"/>
      <c r="F2125" s="58"/>
      <c r="G2125" s="59"/>
      <c r="H2125" s="56"/>
      <c r="I2125" s="56"/>
      <c r="J2125" s="60" t="str">
        <f aca="false">IF(IsPro,IF($D2125="","",IFERROR(INDEX(Items!$D$5:$D$504,U2125),"")),"")</f>
        <v/>
      </c>
      <c r="K2125" s="61" t="str">
        <f aca="false">IF(IsPro,IF($D2125="","",IF($F2125="",IFERROR(INDEX(Items!$H$5:$H$504,U2125),0),$F2125)),"")</f>
        <v/>
      </c>
      <c r="L2125" s="61" t="str">
        <f aca="false">IF(IsPro,IF($D2125="","",ROUND(N($E2125)*K2125*(1-N($G2125)),2)),"")</f>
        <v/>
      </c>
      <c r="M2125" s="62" t="str">
        <f aca="false">IF(IsPro,IF($D2125="","",IFERROR(INDEX(Items!$F$5:$F$504,U2125),0)),"")</f>
        <v/>
      </c>
      <c r="N2125" s="61" t="str">
        <f aca="false">IF(IsPro,IF($D2125="","",IF(AND(V2125&lt;&gt;"",INDEX(Parties!$E$5:$E$304,V2125)&lt;&gt;"",INDEX(Parties!$E$5:$E$304,V2125)&lt;&gt;HomeState),0,ROUND(L2125*M2125/2,2))),"")</f>
        <v/>
      </c>
      <c r="O2125" s="61" t="str">
        <f aca="false">IF(IsPro,IF($D2125="","",N2125),"")</f>
        <v/>
      </c>
      <c r="P2125" s="61" t="str">
        <f aca="false">IF(IsPro,IF($D2125="","",IF(AND(V2125&lt;&gt;"",INDEX(Parties!$E$5:$E$304,V2125)&lt;&gt;"",INDEX(Parties!$E$5:$E$304,V2125)&lt;&gt;HomeState),ROUND(L2125*M2125,2),0)),"")</f>
        <v/>
      </c>
      <c r="Q2125" s="61" t="str">
        <f aca="false">IF(IsPro,IF($D2125="","",L2125+N2125+O2125+P2125),"")</f>
        <v/>
      </c>
      <c r="R2125" s="61" t="str">
        <f aca="false">IF(IsPro,IF($D2125="","",ROUND(N($E2125)*IFERROR(INDEX(Items!$P$5:$P$504,U2125),0),2)),"")</f>
        <v/>
      </c>
      <c r="S2125" s="61" t="str">
        <f aca="false">IF(IsPro,IF($D2125="","",L2125-R2125),"")</f>
        <v/>
      </c>
      <c r="T2125" s="60" t="str">
        <f aca="false">IF(IsPro,IF($D2125="","",IF(U2125="","UNKNOWN ITEM",IF(INDEX(Items!$O$5:$O$504,U2125)&lt;0,"NEG STOCK",IF(K2125&lt;INDEX(Items!$P$5:$P$504,U2125),"BELOW COST","OK")))),IF($D2125="","","PRO PLAN"))</f>
        <v/>
      </c>
      <c r="U2125" s="60" t="str">
        <f aca="false">IF(IsPro,IF($D2125="","",IFERROR(MATCH($D2125,Items!$A$5:$A$504,0),"")),"")</f>
        <v/>
      </c>
      <c r="V2125" s="60" t="str">
        <f aca="false">IF(IsPro,IF($C2125="","",IFERROR(MATCH($C2125,Parties!$A$5:$A$304,0),"")),"")</f>
        <v/>
      </c>
      <c r="W2125" s="60" t="str">
        <f aca="false">IF(IsPro,IF($B2125="","",IFERROR(VALUE(SUBSTITUTE($B2125,InvPrefix,"")),0)),"")</f>
        <v/>
      </c>
      <c r="X2125" s="61" t="str">
        <f aca="false">IF(IsPro,IF($D2125="","",IF(OR($H2125="",$H2125="Credit"),0,Q2125)),"")</f>
        <v/>
      </c>
    </row>
    <row r="2126" customFormat="false" ht="15" hidden="false" customHeight="false" outlineLevel="0" collapsed="false">
      <c r="A2126" s="55"/>
      <c r="B2126" s="56"/>
      <c r="C2126" s="56"/>
      <c r="D2126" s="56"/>
      <c r="E2126" s="57"/>
      <c r="F2126" s="58"/>
      <c r="G2126" s="59"/>
      <c r="H2126" s="56"/>
      <c r="I2126" s="56"/>
      <c r="J2126" s="60" t="str">
        <f aca="false">IF(IsPro,IF($D2126="","",IFERROR(INDEX(Items!$D$5:$D$504,U2126),"")),"")</f>
        <v/>
      </c>
      <c r="K2126" s="61" t="str">
        <f aca="false">IF(IsPro,IF($D2126="","",IF($F2126="",IFERROR(INDEX(Items!$H$5:$H$504,U2126),0),$F2126)),"")</f>
        <v/>
      </c>
      <c r="L2126" s="61" t="str">
        <f aca="false">IF(IsPro,IF($D2126="","",ROUND(N($E2126)*K2126*(1-N($G2126)),2)),"")</f>
        <v/>
      </c>
      <c r="M2126" s="62" t="str">
        <f aca="false">IF(IsPro,IF($D2126="","",IFERROR(INDEX(Items!$F$5:$F$504,U2126),0)),"")</f>
        <v/>
      </c>
      <c r="N2126" s="61" t="str">
        <f aca="false">IF(IsPro,IF($D2126="","",IF(AND(V2126&lt;&gt;"",INDEX(Parties!$E$5:$E$304,V2126)&lt;&gt;"",INDEX(Parties!$E$5:$E$304,V2126)&lt;&gt;HomeState),0,ROUND(L2126*M2126/2,2))),"")</f>
        <v/>
      </c>
      <c r="O2126" s="61" t="str">
        <f aca="false">IF(IsPro,IF($D2126="","",N2126),"")</f>
        <v/>
      </c>
      <c r="P2126" s="61" t="str">
        <f aca="false">IF(IsPro,IF($D2126="","",IF(AND(V2126&lt;&gt;"",INDEX(Parties!$E$5:$E$304,V2126)&lt;&gt;"",INDEX(Parties!$E$5:$E$304,V2126)&lt;&gt;HomeState),ROUND(L2126*M2126,2),0)),"")</f>
        <v/>
      </c>
      <c r="Q2126" s="61" t="str">
        <f aca="false">IF(IsPro,IF($D2126="","",L2126+N2126+O2126+P2126),"")</f>
        <v/>
      </c>
      <c r="R2126" s="61" t="str">
        <f aca="false">IF(IsPro,IF($D2126="","",ROUND(N($E2126)*IFERROR(INDEX(Items!$P$5:$P$504,U2126),0),2)),"")</f>
        <v/>
      </c>
      <c r="S2126" s="61" t="str">
        <f aca="false">IF(IsPro,IF($D2126="","",L2126-R2126),"")</f>
        <v/>
      </c>
      <c r="T2126" s="60" t="str">
        <f aca="false">IF(IsPro,IF($D2126="","",IF(U2126="","UNKNOWN ITEM",IF(INDEX(Items!$O$5:$O$504,U2126)&lt;0,"NEG STOCK",IF(K2126&lt;INDEX(Items!$P$5:$P$504,U2126),"BELOW COST","OK")))),IF($D2126="","","PRO PLAN"))</f>
        <v/>
      </c>
      <c r="U2126" s="60" t="str">
        <f aca="false">IF(IsPro,IF($D2126="","",IFERROR(MATCH($D2126,Items!$A$5:$A$504,0),"")),"")</f>
        <v/>
      </c>
      <c r="V2126" s="60" t="str">
        <f aca="false">IF(IsPro,IF($C2126="","",IFERROR(MATCH($C2126,Parties!$A$5:$A$304,0),"")),"")</f>
        <v/>
      </c>
      <c r="W2126" s="60" t="str">
        <f aca="false">IF(IsPro,IF($B2126="","",IFERROR(VALUE(SUBSTITUTE($B2126,InvPrefix,"")),0)),"")</f>
        <v/>
      </c>
      <c r="X2126" s="61" t="str">
        <f aca="false">IF(IsPro,IF($D2126="","",IF(OR($H2126="",$H2126="Credit"),0,Q2126)),"")</f>
        <v/>
      </c>
    </row>
    <row r="2127" customFormat="false" ht="15" hidden="false" customHeight="false" outlineLevel="0" collapsed="false">
      <c r="A2127" s="55"/>
      <c r="B2127" s="56"/>
      <c r="C2127" s="56"/>
      <c r="D2127" s="56"/>
      <c r="E2127" s="57"/>
      <c r="F2127" s="58"/>
      <c r="G2127" s="59"/>
      <c r="H2127" s="56"/>
      <c r="I2127" s="56"/>
      <c r="J2127" s="60" t="str">
        <f aca="false">IF(IsPro,IF($D2127="","",IFERROR(INDEX(Items!$D$5:$D$504,U2127),"")),"")</f>
        <v/>
      </c>
      <c r="K2127" s="61" t="str">
        <f aca="false">IF(IsPro,IF($D2127="","",IF($F2127="",IFERROR(INDEX(Items!$H$5:$H$504,U2127),0),$F2127)),"")</f>
        <v/>
      </c>
      <c r="L2127" s="61" t="str">
        <f aca="false">IF(IsPro,IF($D2127="","",ROUND(N($E2127)*K2127*(1-N($G2127)),2)),"")</f>
        <v/>
      </c>
      <c r="M2127" s="62" t="str">
        <f aca="false">IF(IsPro,IF($D2127="","",IFERROR(INDEX(Items!$F$5:$F$504,U2127),0)),"")</f>
        <v/>
      </c>
      <c r="N2127" s="61" t="str">
        <f aca="false">IF(IsPro,IF($D2127="","",IF(AND(V2127&lt;&gt;"",INDEX(Parties!$E$5:$E$304,V2127)&lt;&gt;"",INDEX(Parties!$E$5:$E$304,V2127)&lt;&gt;HomeState),0,ROUND(L2127*M2127/2,2))),"")</f>
        <v/>
      </c>
      <c r="O2127" s="61" t="str">
        <f aca="false">IF(IsPro,IF($D2127="","",N2127),"")</f>
        <v/>
      </c>
      <c r="P2127" s="61" t="str">
        <f aca="false">IF(IsPro,IF($D2127="","",IF(AND(V2127&lt;&gt;"",INDEX(Parties!$E$5:$E$304,V2127)&lt;&gt;"",INDEX(Parties!$E$5:$E$304,V2127)&lt;&gt;HomeState),ROUND(L2127*M2127,2),0)),"")</f>
        <v/>
      </c>
      <c r="Q2127" s="61" t="str">
        <f aca="false">IF(IsPro,IF($D2127="","",L2127+N2127+O2127+P2127),"")</f>
        <v/>
      </c>
      <c r="R2127" s="61" t="str">
        <f aca="false">IF(IsPro,IF($D2127="","",ROUND(N($E2127)*IFERROR(INDEX(Items!$P$5:$P$504,U2127),0),2)),"")</f>
        <v/>
      </c>
      <c r="S2127" s="61" t="str">
        <f aca="false">IF(IsPro,IF($D2127="","",L2127-R2127),"")</f>
        <v/>
      </c>
      <c r="T2127" s="60" t="str">
        <f aca="false">IF(IsPro,IF($D2127="","",IF(U2127="","UNKNOWN ITEM",IF(INDEX(Items!$O$5:$O$504,U2127)&lt;0,"NEG STOCK",IF(K2127&lt;INDEX(Items!$P$5:$P$504,U2127),"BELOW COST","OK")))),IF($D2127="","","PRO PLAN"))</f>
        <v/>
      </c>
      <c r="U2127" s="60" t="str">
        <f aca="false">IF(IsPro,IF($D2127="","",IFERROR(MATCH($D2127,Items!$A$5:$A$504,0),"")),"")</f>
        <v/>
      </c>
      <c r="V2127" s="60" t="str">
        <f aca="false">IF(IsPro,IF($C2127="","",IFERROR(MATCH($C2127,Parties!$A$5:$A$304,0),"")),"")</f>
        <v/>
      </c>
      <c r="W2127" s="60" t="str">
        <f aca="false">IF(IsPro,IF($B2127="","",IFERROR(VALUE(SUBSTITUTE($B2127,InvPrefix,"")),0)),"")</f>
        <v/>
      </c>
      <c r="X2127" s="61" t="str">
        <f aca="false">IF(IsPro,IF($D2127="","",IF(OR($H2127="",$H2127="Credit"),0,Q2127)),"")</f>
        <v/>
      </c>
    </row>
    <row r="2128" customFormat="false" ht="15" hidden="false" customHeight="false" outlineLevel="0" collapsed="false">
      <c r="A2128" s="55"/>
      <c r="B2128" s="56"/>
      <c r="C2128" s="56"/>
      <c r="D2128" s="56"/>
      <c r="E2128" s="57"/>
      <c r="F2128" s="58"/>
      <c r="G2128" s="59"/>
      <c r="H2128" s="56"/>
      <c r="I2128" s="56"/>
      <c r="J2128" s="60" t="str">
        <f aca="false">IF(IsPro,IF($D2128="","",IFERROR(INDEX(Items!$D$5:$D$504,U2128),"")),"")</f>
        <v/>
      </c>
      <c r="K2128" s="61" t="str">
        <f aca="false">IF(IsPro,IF($D2128="","",IF($F2128="",IFERROR(INDEX(Items!$H$5:$H$504,U2128),0),$F2128)),"")</f>
        <v/>
      </c>
      <c r="L2128" s="61" t="str">
        <f aca="false">IF(IsPro,IF($D2128="","",ROUND(N($E2128)*K2128*(1-N($G2128)),2)),"")</f>
        <v/>
      </c>
      <c r="M2128" s="62" t="str">
        <f aca="false">IF(IsPro,IF($D2128="","",IFERROR(INDEX(Items!$F$5:$F$504,U2128),0)),"")</f>
        <v/>
      </c>
      <c r="N2128" s="61" t="str">
        <f aca="false">IF(IsPro,IF($D2128="","",IF(AND(V2128&lt;&gt;"",INDEX(Parties!$E$5:$E$304,V2128)&lt;&gt;"",INDEX(Parties!$E$5:$E$304,V2128)&lt;&gt;HomeState),0,ROUND(L2128*M2128/2,2))),"")</f>
        <v/>
      </c>
      <c r="O2128" s="61" t="str">
        <f aca="false">IF(IsPro,IF($D2128="","",N2128),"")</f>
        <v/>
      </c>
      <c r="P2128" s="61" t="str">
        <f aca="false">IF(IsPro,IF($D2128="","",IF(AND(V2128&lt;&gt;"",INDEX(Parties!$E$5:$E$304,V2128)&lt;&gt;"",INDEX(Parties!$E$5:$E$304,V2128)&lt;&gt;HomeState),ROUND(L2128*M2128,2),0)),"")</f>
        <v/>
      </c>
      <c r="Q2128" s="61" t="str">
        <f aca="false">IF(IsPro,IF($D2128="","",L2128+N2128+O2128+P2128),"")</f>
        <v/>
      </c>
      <c r="R2128" s="61" t="str">
        <f aca="false">IF(IsPro,IF($D2128="","",ROUND(N($E2128)*IFERROR(INDEX(Items!$P$5:$P$504,U2128),0),2)),"")</f>
        <v/>
      </c>
      <c r="S2128" s="61" t="str">
        <f aca="false">IF(IsPro,IF($D2128="","",L2128-R2128),"")</f>
        <v/>
      </c>
      <c r="T2128" s="60" t="str">
        <f aca="false">IF(IsPro,IF($D2128="","",IF(U2128="","UNKNOWN ITEM",IF(INDEX(Items!$O$5:$O$504,U2128)&lt;0,"NEG STOCK",IF(K2128&lt;INDEX(Items!$P$5:$P$504,U2128),"BELOW COST","OK")))),IF($D2128="","","PRO PLAN"))</f>
        <v/>
      </c>
      <c r="U2128" s="60" t="str">
        <f aca="false">IF(IsPro,IF($D2128="","",IFERROR(MATCH($D2128,Items!$A$5:$A$504,0),"")),"")</f>
        <v/>
      </c>
      <c r="V2128" s="60" t="str">
        <f aca="false">IF(IsPro,IF($C2128="","",IFERROR(MATCH($C2128,Parties!$A$5:$A$304,0),"")),"")</f>
        <v/>
      </c>
      <c r="W2128" s="60" t="str">
        <f aca="false">IF(IsPro,IF($B2128="","",IFERROR(VALUE(SUBSTITUTE($B2128,InvPrefix,"")),0)),"")</f>
        <v/>
      </c>
      <c r="X2128" s="61" t="str">
        <f aca="false">IF(IsPro,IF($D2128="","",IF(OR($H2128="",$H2128="Credit"),0,Q2128)),"")</f>
        <v/>
      </c>
    </row>
    <row r="2129" customFormat="false" ht="15" hidden="false" customHeight="false" outlineLevel="0" collapsed="false">
      <c r="A2129" s="55"/>
      <c r="B2129" s="56"/>
      <c r="C2129" s="56"/>
      <c r="D2129" s="56"/>
      <c r="E2129" s="57"/>
      <c r="F2129" s="58"/>
      <c r="G2129" s="59"/>
      <c r="H2129" s="56"/>
      <c r="I2129" s="56"/>
      <c r="J2129" s="60" t="str">
        <f aca="false">IF(IsPro,IF($D2129="","",IFERROR(INDEX(Items!$D$5:$D$504,U2129),"")),"")</f>
        <v/>
      </c>
      <c r="K2129" s="61" t="str">
        <f aca="false">IF(IsPro,IF($D2129="","",IF($F2129="",IFERROR(INDEX(Items!$H$5:$H$504,U2129),0),$F2129)),"")</f>
        <v/>
      </c>
      <c r="L2129" s="61" t="str">
        <f aca="false">IF(IsPro,IF($D2129="","",ROUND(N($E2129)*K2129*(1-N($G2129)),2)),"")</f>
        <v/>
      </c>
      <c r="M2129" s="62" t="str">
        <f aca="false">IF(IsPro,IF($D2129="","",IFERROR(INDEX(Items!$F$5:$F$504,U2129),0)),"")</f>
        <v/>
      </c>
      <c r="N2129" s="61" t="str">
        <f aca="false">IF(IsPro,IF($D2129="","",IF(AND(V2129&lt;&gt;"",INDEX(Parties!$E$5:$E$304,V2129)&lt;&gt;"",INDEX(Parties!$E$5:$E$304,V2129)&lt;&gt;HomeState),0,ROUND(L2129*M2129/2,2))),"")</f>
        <v/>
      </c>
      <c r="O2129" s="61" t="str">
        <f aca="false">IF(IsPro,IF($D2129="","",N2129),"")</f>
        <v/>
      </c>
      <c r="P2129" s="61" t="str">
        <f aca="false">IF(IsPro,IF($D2129="","",IF(AND(V2129&lt;&gt;"",INDEX(Parties!$E$5:$E$304,V2129)&lt;&gt;"",INDEX(Parties!$E$5:$E$304,V2129)&lt;&gt;HomeState),ROUND(L2129*M2129,2),0)),"")</f>
        <v/>
      </c>
      <c r="Q2129" s="61" t="str">
        <f aca="false">IF(IsPro,IF($D2129="","",L2129+N2129+O2129+P2129),"")</f>
        <v/>
      </c>
      <c r="R2129" s="61" t="str">
        <f aca="false">IF(IsPro,IF($D2129="","",ROUND(N($E2129)*IFERROR(INDEX(Items!$P$5:$P$504,U2129),0),2)),"")</f>
        <v/>
      </c>
      <c r="S2129" s="61" t="str">
        <f aca="false">IF(IsPro,IF($D2129="","",L2129-R2129),"")</f>
        <v/>
      </c>
      <c r="T2129" s="60" t="str">
        <f aca="false">IF(IsPro,IF($D2129="","",IF(U2129="","UNKNOWN ITEM",IF(INDEX(Items!$O$5:$O$504,U2129)&lt;0,"NEG STOCK",IF(K2129&lt;INDEX(Items!$P$5:$P$504,U2129),"BELOW COST","OK")))),IF($D2129="","","PRO PLAN"))</f>
        <v/>
      </c>
      <c r="U2129" s="60" t="str">
        <f aca="false">IF(IsPro,IF($D2129="","",IFERROR(MATCH($D2129,Items!$A$5:$A$504,0),"")),"")</f>
        <v/>
      </c>
      <c r="V2129" s="60" t="str">
        <f aca="false">IF(IsPro,IF($C2129="","",IFERROR(MATCH($C2129,Parties!$A$5:$A$304,0),"")),"")</f>
        <v/>
      </c>
      <c r="W2129" s="60" t="str">
        <f aca="false">IF(IsPro,IF($B2129="","",IFERROR(VALUE(SUBSTITUTE($B2129,InvPrefix,"")),0)),"")</f>
        <v/>
      </c>
      <c r="X2129" s="61" t="str">
        <f aca="false">IF(IsPro,IF($D2129="","",IF(OR($H2129="",$H2129="Credit"),0,Q2129)),"")</f>
        <v/>
      </c>
    </row>
    <row r="2130" customFormat="false" ht="15" hidden="false" customHeight="false" outlineLevel="0" collapsed="false">
      <c r="A2130" s="55"/>
      <c r="B2130" s="56"/>
      <c r="C2130" s="56"/>
      <c r="D2130" s="56"/>
      <c r="E2130" s="57"/>
      <c r="F2130" s="58"/>
      <c r="G2130" s="59"/>
      <c r="H2130" s="56"/>
      <c r="I2130" s="56"/>
      <c r="J2130" s="60" t="str">
        <f aca="false">IF(IsPro,IF($D2130="","",IFERROR(INDEX(Items!$D$5:$D$504,U2130),"")),"")</f>
        <v/>
      </c>
      <c r="K2130" s="61" t="str">
        <f aca="false">IF(IsPro,IF($D2130="","",IF($F2130="",IFERROR(INDEX(Items!$H$5:$H$504,U2130),0),$F2130)),"")</f>
        <v/>
      </c>
      <c r="L2130" s="61" t="str">
        <f aca="false">IF(IsPro,IF($D2130="","",ROUND(N($E2130)*K2130*(1-N($G2130)),2)),"")</f>
        <v/>
      </c>
      <c r="M2130" s="62" t="str">
        <f aca="false">IF(IsPro,IF($D2130="","",IFERROR(INDEX(Items!$F$5:$F$504,U2130),0)),"")</f>
        <v/>
      </c>
      <c r="N2130" s="61" t="str">
        <f aca="false">IF(IsPro,IF($D2130="","",IF(AND(V2130&lt;&gt;"",INDEX(Parties!$E$5:$E$304,V2130)&lt;&gt;"",INDEX(Parties!$E$5:$E$304,V2130)&lt;&gt;HomeState),0,ROUND(L2130*M2130/2,2))),"")</f>
        <v/>
      </c>
      <c r="O2130" s="61" t="str">
        <f aca="false">IF(IsPro,IF($D2130="","",N2130),"")</f>
        <v/>
      </c>
      <c r="P2130" s="61" t="str">
        <f aca="false">IF(IsPro,IF($D2130="","",IF(AND(V2130&lt;&gt;"",INDEX(Parties!$E$5:$E$304,V2130)&lt;&gt;"",INDEX(Parties!$E$5:$E$304,V2130)&lt;&gt;HomeState),ROUND(L2130*M2130,2),0)),"")</f>
        <v/>
      </c>
      <c r="Q2130" s="61" t="str">
        <f aca="false">IF(IsPro,IF($D2130="","",L2130+N2130+O2130+P2130),"")</f>
        <v/>
      </c>
      <c r="R2130" s="61" t="str">
        <f aca="false">IF(IsPro,IF($D2130="","",ROUND(N($E2130)*IFERROR(INDEX(Items!$P$5:$P$504,U2130),0),2)),"")</f>
        <v/>
      </c>
      <c r="S2130" s="61" t="str">
        <f aca="false">IF(IsPro,IF($D2130="","",L2130-R2130),"")</f>
        <v/>
      </c>
      <c r="T2130" s="60" t="str">
        <f aca="false">IF(IsPro,IF($D2130="","",IF(U2130="","UNKNOWN ITEM",IF(INDEX(Items!$O$5:$O$504,U2130)&lt;0,"NEG STOCK",IF(K2130&lt;INDEX(Items!$P$5:$P$504,U2130),"BELOW COST","OK")))),IF($D2130="","","PRO PLAN"))</f>
        <v/>
      </c>
      <c r="U2130" s="60" t="str">
        <f aca="false">IF(IsPro,IF($D2130="","",IFERROR(MATCH($D2130,Items!$A$5:$A$504,0),"")),"")</f>
        <v/>
      </c>
      <c r="V2130" s="60" t="str">
        <f aca="false">IF(IsPro,IF($C2130="","",IFERROR(MATCH($C2130,Parties!$A$5:$A$304,0),"")),"")</f>
        <v/>
      </c>
      <c r="W2130" s="60" t="str">
        <f aca="false">IF(IsPro,IF($B2130="","",IFERROR(VALUE(SUBSTITUTE($B2130,InvPrefix,"")),0)),"")</f>
        <v/>
      </c>
      <c r="X2130" s="61" t="str">
        <f aca="false">IF(IsPro,IF($D2130="","",IF(OR($H2130="",$H2130="Credit"),0,Q2130)),"")</f>
        <v/>
      </c>
    </row>
    <row r="2131" customFormat="false" ht="15" hidden="false" customHeight="false" outlineLevel="0" collapsed="false">
      <c r="A2131" s="55"/>
      <c r="B2131" s="56"/>
      <c r="C2131" s="56"/>
      <c r="D2131" s="56"/>
      <c r="E2131" s="57"/>
      <c r="F2131" s="58"/>
      <c r="G2131" s="59"/>
      <c r="H2131" s="56"/>
      <c r="I2131" s="56"/>
      <c r="J2131" s="60" t="str">
        <f aca="false">IF(IsPro,IF($D2131="","",IFERROR(INDEX(Items!$D$5:$D$504,U2131),"")),"")</f>
        <v/>
      </c>
      <c r="K2131" s="61" t="str">
        <f aca="false">IF(IsPro,IF($D2131="","",IF($F2131="",IFERROR(INDEX(Items!$H$5:$H$504,U2131),0),$F2131)),"")</f>
        <v/>
      </c>
      <c r="L2131" s="61" t="str">
        <f aca="false">IF(IsPro,IF($D2131="","",ROUND(N($E2131)*K2131*(1-N($G2131)),2)),"")</f>
        <v/>
      </c>
      <c r="M2131" s="62" t="str">
        <f aca="false">IF(IsPro,IF($D2131="","",IFERROR(INDEX(Items!$F$5:$F$504,U2131),0)),"")</f>
        <v/>
      </c>
      <c r="N2131" s="61" t="str">
        <f aca="false">IF(IsPro,IF($D2131="","",IF(AND(V2131&lt;&gt;"",INDEX(Parties!$E$5:$E$304,V2131)&lt;&gt;"",INDEX(Parties!$E$5:$E$304,V2131)&lt;&gt;HomeState),0,ROUND(L2131*M2131/2,2))),"")</f>
        <v/>
      </c>
      <c r="O2131" s="61" t="str">
        <f aca="false">IF(IsPro,IF($D2131="","",N2131),"")</f>
        <v/>
      </c>
      <c r="P2131" s="61" t="str">
        <f aca="false">IF(IsPro,IF($D2131="","",IF(AND(V2131&lt;&gt;"",INDEX(Parties!$E$5:$E$304,V2131)&lt;&gt;"",INDEX(Parties!$E$5:$E$304,V2131)&lt;&gt;HomeState),ROUND(L2131*M2131,2),0)),"")</f>
        <v/>
      </c>
      <c r="Q2131" s="61" t="str">
        <f aca="false">IF(IsPro,IF($D2131="","",L2131+N2131+O2131+P2131),"")</f>
        <v/>
      </c>
      <c r="R2131" s="61" t="str">
        <f aca="false">IF(IsPro,IF($D2131="","",ROUND(N($E2131)*IFERROR(INDEX(Items!$P$5:$P$504,U2131),0),2)),"")</f>
        <v/>
      </c>
      <c r="S2131" s="61" t="str">
        <f aca="false">IF(IsPro,IF($D2131="","",L2131-R2131),"")</f>
        <v/>
      </c>
      <c r="T2131" s="60" t="str">
        <f aca="false">IF(IsPro,IF($D2131="","",IF(U2131="","UNKNOWN ITEM",IF(INDEX(Items!$O$5:$O$504,U2131)&lt;0,"NEG STOCK",IF(K2131&lt;INDEX(Items!$P$5:$P$504,U2131),"BELOW COST","OK")))),IF($D2131="","","PRO PLAN"))</f>
        <v/>
      </c>
      <c r="U2131" s="60" t="str">
        <f aca="false">IF(IsPro,IF($D2131="","",IFERROR(MATCH($D2131,Items!$A$5:$A$504,0),"")),"")</f>
        <v/>
      </c>
      <c r="V2131" s="60" t="str">
        <f aca="false">IF(IsPro,IF($C2131="","",IFERROR(MATCH($C2131,Parties!$A$5:$A$304,0),"")),"")</f>
        <v/>
      </c>
      <c r="W2131" s="60" t="str">
        <f aca="false">IF(IsPro,IF($B2131="","",IFERROR(VALUE(SUBSTITUTE($B2131,InvPrefix,"")),0)),"")</f>
        <v/>
      </c>
      <c r="X2131" s="61" t="str">
        <f aca="false">IF(IsPro,IF($D2131="","",IF(OR($H2131="",$H2131="Credit"),0,Q2131)),"")</f>
        <v/>
      </c>
    </row>
    <row r="2132" customFormat="false" ht="15" hidden="false" customHeight="false" outlineLevel="0" collapsed="false">
      <c r="A2132" s="55"/>
      <c r="B2132" s="56"/>
      <c r="C2132" s="56"/>
      <c r="D2132" s="56"/>
      <c r="E2132" s="57"/>
      <c r="F2132" s="58"/>
      <c r="G2132" s="59"/>
      <c r="H2132" s="56"/>
      <c r="I2132" s="56"/>
      <c r="J2132" s="60" t="str">
        <f aca="false">IF(IsPro,IF($D2132="","",IFERROR(INDEX(Items!$D$5:$D$504,U2132),"")),"")</f>
        <v/>
      </c>
      <c r="K2132" s="61" t="str">
        <f aca="false">IF(IsPro,IF($D2132="","",IF($F2132="",IFERROR(INDEX(Items!$H$5:$H$504,U2132),0),$F2132)),"")</f>
        <v/>
      </c>
      <c r="L2132" s="61" t="str">
        <f aca="false">IF(IsPro,IF($D2132="","",ROUND(N($E2132)*K2132*(1-N($G2132)),2)),"")</f>
        <v/>
      </c>
      <c r="M2132" s="62" t="str">
        <f aca="false">IF(IsPro,IF($D2132="","",IFERROR(INDEX(Items!$F$5:$F$504,U2132),0)),"")</f>
        <v/>
      </c>
      <c r="N2132" s="61" t="str">
        <f aca="false">IF(IsPro,IF($D2132="","",IF(AND(V2132&lt;&gt;"",INDEX(Parties!$E$5:$E$304,V2132)&lt;&gt;"",INDEX(Parties!$E$5:$E$304,V2132)&lt;&gt;HomeState),0,ROUND(L2132*M2132/2,2))),"")</f>
        <v/>
      </c>
      <c r="O2132" s="61" t="str">
        <f aca="false">IF(IsPro,IF($D2132="","",N2132),"")</f>
        <v/>
      </c>
      <c r="P2132" s="61" t="str">
        <f aca="false">IF(IsPro,IF($D2132="","",IF(AND(V2132&lt;&gt;"",INDEX(Parties!$E$5:$E$304,V2132)&lt;&gt;"",INDEX(Parties!$E$5:$E$304,V2132)&lt;&gt;HomeState),ROUND(L2132*M2132,2),0)),"")</f>
        <v/>
      </c>
      <c r="Q2132" s="61" t="str">
        <f aca="false">IF(IsPro,IF($D2132="","",L2132+N2132+O2132+P2132),"")</f>
        <v/>
      </c>
      <c r="R2132" s="61" t="str">
        <f aca="false">IF(IsPro,IF($D2132="","",ROUND(N($E2132)*IFERROR(INDEX(Items!$P$5:$P$504,U2132),0),2)),"")</f>
        <v/>
      </c>
      <c r="S2132" s="61" t="str">
        <f aca="false">IF(IsPro,IF($D2132="","",L2132-R2132),"")</f>
        <v/>
      </c>
      <c r="T2132" s="60" t="str">
        <f aca="false">IF(IsPro,IF($D2132="","",IF(U2132="","UNKNOWN ITEM",IF(INDEX(Items!$O$5:$O$504,U2132)&lt;0,"NEG STOCK",IF(K2132&lt;INDEX(Items!$P$5:$P$504,U2132),"BELOW COST","OK")))),IF($D2132="","","PRO PLAN"))</f>
        <v/>
      </c>
      <c r="U2132" s="60" t="str">
        <f aca="false">IF(IsPro,IF($D2132="","",IFERROR(MATCH($D2132,Items!$A$5:$A$504,0),"")),"")</f>
        <v/>
      </c>
      <c r="V2132" s="60" t="str">
        <f aca="false">IF(IsPro,IF($C2132="","",IFERROR(MATCH($C2132,Parties!$A$5:$A$304,0),"")),"")</f>
        <v/>
      </c>
      <c r="W2132" s="60" t="str">
        <f aca="false">IF(IsPro,IF($B2132="","",IFERROR(VALUE(SUBSTITUTE($B2132,InvPrefix,"")),0)),"")</f>
        <v/>
      </c>
      <c r="X2132" s="61" t="str">
        <f aca="false">IF(IsPro,IF($D2132="","",IF(OR($H2132="",$H2132="Credit"),0,Q2132)),"")</f>
        <v/>
      </c>
    </row>
    <row r="2133" customFormat="false" ht="15" hidden="false" customHeight="false" outlineLevel="0" collapsed="false">
      <c r="A2133" s="55"/>
      <c r="B2133" s="56"/>
      <c r="C2133" s="56"/>
      <c r="D2133" s="56"/>
      <c r="E2133" s="57"/>
      <c r="F2133" s="58"/>
      <c r="G2133" s="59"/>
      <c r="H2133" s="56"/>
      <c r="I2133" s="56"/>
      <c r="J2133" s="60" t="str">
        <f aca="false">IF(IsPro,IF($D2133="","",IFERROR(INDEX(Items!$D$5:$D$504,U2133),"")),"")</f>
        <v/>
      </c>
      <c r="K2133" s="61" t="str">
        <f aca="false">IF(IsPro,IF($D2133="","",IF($F2133="",IFERROR(INDEX(Items!$H$5:$H$504,U2133),0),$F2133)),"")</f>
        <v/>
      </c>
      <c r="L2133" s="61" t="str">
        <f aca="false">IF(IsPro,IF($D2133="","",ROUND(N($E2133)*K2133*(1-N($G2133)),2)),"")</f>
        <v/>
      </c>
      <c r="M2133" s="62" t="str">
        <f aca="false">IF(IsPro,IF($D2133="","",IFERROR(INDEX(Items!$F$5:$F$504,U2133),0)),"")</f>
        <v/>
      </c>
      <c r="N2133" s="61" t="str">
        <f aca="false">IF(IsPro,IF($D2133="","",IF(AND(V2133&lt;&gt;"",INDEX(Parties!$E$5:$E$304,V2133)&lt;&gt;"",INDEX(Parties!$E$5:$E$304,V2133)&lt;&gt;HomeState),0,ROUND(L2133*M2133/2,2))),"")</f>
        <v/>
      </c>
      <c r="O2133" s="61" t="str">
        <f aca="false">IF(IsPro,IF($D2133="","",N2133),"")</f>
        <v/>
      </c>
      <c r="P2133" s="61" t="str">
        <f aca="false">IF(IsPro,IF($D2133="","",IF(AND(V2133&lt;&gt;"",INDEX(Parties!$E$5:$E$304,V2133)&lt;&gt;"",INDEX(Parties!$E$5:$E$304,V2133)&lt;&gt;HomeState),ROUND(L2133*M2133,2),0)),"")</f>
        <v/>
      </c>
      <c r="Q2133" s="61" t="str">
        <f aca="false">IF(IsPro,IF($D2133="","",L2133+N2133+O2133+P2133),"")</f>
        <v/>
      </c>
      <c r="R2133" s="61" t="str">
        <f aca="false">IF(IsPro,IF($D2133="","",ROUND(N($E2133)*IFERROR(INDEX(Items!$P$5:$P$504,U2133),0),2)),"")</f>
        <v/>
      </c>
      <c r="S2133" s="61" t="str">
        <f aca="false">IF(IsPro,IF($D2133="","",L2133-R2133),"")</f>
        <v/>
      </c>
      <c r="T2133" s="60" t="str">
        <f aca="false">IF(IsPro,IF($D2133="","",IF(U2133="","UNKNOWN ITEM",IF(INDEX(Items!$O$5:$O$504,U2133)&lt;0,"NEG STOCK",IF(K2133&lt;INDEX(Items!$P$5:$P$504,U2133),"BELOW COST","OK")))),IF($D2133="","","PRO PLAN"))</f>
        <v/>
      </c>
      <c r="U2133" s="60" t="str">
        <f aca="false">IF(IsPro,IF($D2133="","",IFERROR(MATCH($D2133,Items!$A$5:$A$504,0),"")),"")</f>
        <v/>
      </c>
      <c r="V2133" s="60" t="str">
        <f aca="false">IF(IsPro,IF($C2133="","",IFERROR(MATCH($C2133,Parties!$A$5:$A$304,0),"")),"")</f>
        <v/>
      </c>
      <c r="W2133" s="60" t="str">
        <f aca="false">IF(IsPro,IF($B2133="","",IFERROR(VALUE(SUBSTITUTE($B2133,InvPrefix,"")),0)),"")</f>
        <v/>
      </c>
      <c r="X2133" s="61" t="str">
        <f aca="false">IF(IsPro,IF($D2133="","",IF(OR($H2133="",$H2133="Credit"),0,Q2133)),"")</f>
        <v/>
      </c>
    </row>
    <row r="2134" customFormat="false" ht="15" hidden="false" customHeight="false" outlineLevel="0" collapsed="false">
      <c r="A2134" s="55"/>
      <c r="B2134" s="56"/>
      <c r="C2134" s="56"/>
      <c r="D2134" s="56"/>
      <c r="E2134" s="57"/>
      <c r="F2134" s="58"/>
      <c r="G2134" s="59"/>
      <c r="H2134" s="56"/>
      <c r="I2134" s="56"/>
      <c r="J2134" s="60" t="str">
        <f aca="false">IF(IsPro,IF($D2134="","",IFERROR(INDEX(Items!$D$5:$D$504,U2134),"")),"")</f>
        <v/>
      </c>
      <c r="K2134" s="61" t="str">
        <f aca="false">IF(IsPro,IF($D2134="","",IF($F2134="",IFERROR(INDEX(Items!$H$5:$H$504,U2134),0),$F2134)),"")</f>
        <v/>
      </c>
      <c r="L2134" s="61" t="str">
        <f aca="false">IF(IsPro,IF($D2134="","",ROUND(N($E2134)*K2134*(1-N($G2134)),2)),"")</f>
        <v/>
      </c>
      <c r="M2134" s="62" t="str">
        <f aca="false">IF(IsPro,IF($D2134="","",IFERROR(INDEX(Items!$F$5:$F$504,U2134),0)),"")</f>
        <v/>
      </c>
      <c r="N2134" s="61" t="str">
        <f aca="false">IF(IsPro,IF($D2134="","",IF(AND(V2134&lt;&gt;"",INDEX(Parties!$E$5:$E$304,V2134)&lt;&gt;"",INDEX(Parties!$E$5:$E$304,V2134)&lt;&gt;HomeState),0,ROUND(L2134*M2134/2,2))),"")</f>
        <v/>
      </c>
      <c r="O2134" s="61" t="str">
        <f aca="false">IF(IsPro,IF($D2134="","",N2134),"")</f>
        <v/>
      </c>
      <c r="P2134" s="61" t="str">
        <f aca="false">IF(IsPro,IF($D2134="","",IF(AND(V2134&lt;&gt;"",INDEX(Parties!$E$5:$E$304,V2134)&lt;&gt;"",INDEX(Parties!$E$5:$E$304,V2134)&lt;&gt;HomeState),ROUND(L2134*M2134,2),0)),"")</f>
        <v/>
      </c>
      <c r="Q2134" s="61" t="str">
        <f aca="false">IF(IsPro,IF($D2134="","",L2134+N2134+O2134+P2134),"")</f>
        <v/>
      </c>
      <c r="R2134" s="61" t="str">
        <f aca="false">IF(IsPro,IF($D2134="","",ROUND(N($E2134)*IFERROR(INDEX(Items!$P$5:$P$504,U2134),0),2)),"")</f>
        <v/>
      </c>
      <c r="S2134" s="61" t="str">
        <f aca="false">IF(IsPro,IF($D2134="","",L2134-R2134),"")</f>
        <v/>
      </c>
      <c r="T2134" s="60" t="str">
        <f aca="false">IF(IsPro,IF($D2134="","",IF(U2134="","UNKNOWN ITEM",IF(INDEX(Items!$O$5:$O$504,U2134)&lt;0,"NEG STOCK",IF(K2134&lt;INDEX(Items!$P$5:$P$504,U2134),"BELOW COST","OK")))),IF($D2134="","","PRO PLAN"))</f>
        <v/>
      </c>
      <c r="U2134" s="60" t="str">
        <f aca="false">IF(IsPro,IF($D2134="","",IFERROR(MATCH($D2134,Items!$A$5:$A$504,0),"")),"")</f>
        <v/>
      </c>
      <c r="V2134" s="60" t="str">
        <f aca="false">IF(IsPro,IF($C2134="","",IFERROR(MATCH($C2134,Parties!$A$5:$A$304,0),"")),"")</f>
        <v/>
      </c>
      <c r="W2134" s="60" t="str">
        <f aca="false">IF(IsPro,IF($B2134="","",IFERROR(VALUE(SUBSTITUTE($B2134,InvPrefix,"")),0)),"")</f>
        <v/>
      </c>
      <c r="X2134" s="61" t="str">
        <f aca="false">IF(IsPro,IF($D2134="","",IF(OR($H2134="",$H2134="Credit"),0,Q2134)),"")</f>
        <v/>
      </c>
    </row>
    <row r="2135" customFormat="false" ht="15" hidden="false" customHeight="false" outlineLevel="0" collapsed="false">
      <c r="A2135" s="55"/>
      <c r="B2135" s="56"/>
      <c r="C2135" s="56"/>
      <c r="D2135" s="56"/>
      <c r="E2135" s="57"/>
      <c r="F2135" s="58"/>
      <c r="G2135" s="59"/>
      <c r="H2135" s="56"/>
      <c r="I2135" s="56"/>
      <c r="J2135" s="60" t="str">
        <f aca="false">IF(IsPro,IF($D2135="","",IFERROR(INDEX(Items!$D$5:$D$504,U2135),"")),"")</f>
        <v/>
      </c>
      <c r="K2135" s="61" t="str">
        <f aca="false">IF(IsPro,IF($D2135="","",IF($F2135="",IFERROR(INDEX(Items!$H$5:$H$504,U2135),0),$F2135)),"")</f>
        <v/>
      </c>
      <c r="L2135" s="61" t="str">
        <f aca="false">IF(IsPro,IF($D2135="","",ROUND(N($E2135)*K2135*(1-N($G2135)),2)),"")</f>
        <v/>
      </c>
      <c r="M2135" s="62" t="str">
        <f aca="false">IF(IsPro,IF($D2135="","",IFERROR(INDEX(Items!$F$5:$F$504,U2135),0)),"")</f>
        <v/>
      </c>
      <c r="N2135" s="61" t="str">
        <f aca="false">IF(IsPro,IF($D2135="","",IF(AND(V2135&lt;&gt;"",INDEX(Parties!$E$5:$E$304,V2135)&lt;&gt;"",INDEX(Parties!$E$5:$E$304,V2135)&lt;&gt;HomeState),0,ROUND(L2135*M2135/2,2))),"")</f>
        <v/>
      </c>
      <c r="O2135" s="61" t="str">
        <f aca="false">IF(IsPro,IF($D2135="","",N2135),"")</f>
        <v/>
      </c>
      <c r="P2135" s="61" t="str">
        <f aca="false">IF(IsPro,IF($D2135="","",IF(AND(V2135&lt;&gt;"",INDEX(Parties!$E$5:$E$304,V2135)&lt;&gt;"",INDEX(Parties!$E$5:$E$304,V2135)&lt;&gt;HomeState),ROUND(L2135*M2135,2),0)),"")</f>
        <v/>
      </c>
      <c r="Q2135" s="61" t="str">
        <f aca="false">IF(IsPro,IF($D2135="","",L2135+N2135+O2135+P2135),"")</f>
        <v/>
      </c>
      <c r="R2135" s="61" t="str">
        <f aca="false">IF(IsPro,IF($D2135="","",ROUND(N($E2135)*IFERROR(INDEX(Items!$P$5:$P$504,U2135),0),2)),"")</f>
        <v/>
      </c>
      <c r="S2135" s="61" t="str">
        <f aca="false">IF(IsPro,IF($D2135="","",L2135-R2135),"")</f>
        <v/>
      </c>
      <c r="T2135" s="60" t="str">
        <f aca="false">IF(IsPro,IF($D2135="","",IF(U2135="","UNKNOWN ITEM",IF(INDEX(Items!$O$5:$O$504,U2135)&lt;0,"NEG STOCK",IF(K2135&lt;INDEX(Items!$P$5:$P$504,U2135),"BELOW COST","OK")))),IF($D2135="","","PRO PLAN"))</f>
        <v/>
      </c>
      <c r="U2135" s="60" t="str">
        <f aca="false">IF(IsPro,IF($D2135="","",IFERROR(MATCH($D2135,Items!$A$5:$A$504,0),"")),"")</f>
        <v/>
      </c>
      <c r="V2135" s="60" t="str">
        <f aca="false">IF(IsPro,IF($C2135="","",IFERROR(MATCH($C2135,Parties!$A$5:$A$304,0),"")),"")</f>
        <v/>
      </c>
      <c r="W2135" s="60" t="str">
        <f aca="false">IF(IsPro,IF($B2135="","",IFERROR(VALUE(SUBSTITUTE($B2135,InvPrefix,"")),0)),"")</f>
        <v/>
      </c>
      <c r="X2135" s="61" t="str">
        <f aca="false">IF(IsPro,IF($D2135="","",IF(OR($H2135="",$H2135="Credit"),0,Q2135)),"")</f>
        <v/>
      </c>
    </row>
    <row r="2136" customFormat="false" ht="15" hidden="false" customHeight="false" outlineLevel="0" collapsed="false">
      <c r="A2136" s="55"/>
      <c r="B2136" s="56"/>
      <c r="C2136" s="56"/>
      <c r="D2136" s="56"/>
      <c r="E2136" s="57"/>
      <c r="F2136" s="58"/>
      <c r="G2136" s="59"/>
      <c r="H2136" s="56"/>
      <c r="I2136" s="56"/>
      <c r="J2136" s="60" t="str">
        <f aca="false">IF(IsPro,IF($D2136="","",IFERROR(INDEX(Items!$D$5:$D$504,U2136),"")),"")</f>
        <v/>
      </c>
      <c r="K2136" s="61" t="str">
        <f aca="false">IF(IsPro,IF($D2136="","",IF($F2136="",IFERROR(INDEX(Items!$H$5:$H$504,U2136),0),$F2136)),"")</f>
        <v/>
      </c>
      <c r="L2136" s="61" t="str">
        <f aca="false">IF(IsPro,IF($D2136="","",ROUND(N($E2136)*K2136*(1-N($G2136)),2)),"")</f>
        <v/>
      </c>
      <c r="M2136" s="62" t="str">
        <f aca="false">IF(IsPro,IF($D2136="","",IFERROR(INDEX(Items!$F$5:$F$504,U2136),0)),"")</f>
        <v/>
      </c>
      <c r="N2136" s="61" t="str">
        <f aca="false">IF(IsPro,IF($D2136="","",IF(AND(V2136&lt;&gt;"",INDEX(Parties!$E$5:$E$304,V2136)&lt;&gt;"",INDEX(Parties!$E$5:$E$304,V2136)&lt;&gt;HomeState),0,ROUND(L2136*M2136/2,2))),"")</f>
        <v/>
      </c>
      <c r="O2136" s="61" t="str">
        <f aca="false">IF(IsPro,IF($D2136="","",N2136),"")</f>
        <v/>
      </c>
      <c r="P2136" s="61" t="str">
        <f aca="false">IF(IsPro,IF($D2136="","",IF(AND(V2136&lt;&gt;"",INDEX(Parties!$E$5:$E$304,V2136)&lt;&gt;"",INDEX(Parties!$E$5:$E$304,V2136)&lt;&gt;HomeState),ROUND(L2136*M2136,2),0)),"")</f>
        <v/>
      </c>
      <c r="Q2136" s="61" t="str">
        <f aca="false">IF(IsPro,IF($D2136="","",L2136+N2136+O2136+P2136),"")</f>
        <v/>
      </c>
      <c r="R2136" s="61" t="str">
        <f aca="false">IF(IsPro,IF($D2136="","",ROUND(N($E2136)*IFERROR(INDEX(Items!$P$5:$P$504,U2136),0),2)),"")</f>
        <v/>
      </c>
      <c r="S2136" s="61" t="str">
        <f aca="false">IF(IsPro,IF($D2136="","",L2136-R2136),"")</f>
        <v/>
      </c>
      <c r="T2136" s="60" t="str">
        <f aca="false">IF(IsPro,IF($D2136="","",IF(U2136="","UNKNOWN ITEM",IF(INDEX(Items!$O$5:$O$504,U2136)&lt;0,"NEG STOCK",IF(K2136&lt;INDEX(Items!$P$5:$P$504,U2136),"BELOW COST","OK")))),IF($D2136="","","PRO PLAN"))</f>
        <v/>
      </c>
      <c r="U2136" s="60" t="str">
        <f aca="false">IF(IsPro,IF($D2136="","",IFERROR(MATCH($D2136,Items!$A$5:$A$504,0),"")),"")</f>
        <v/>
      </c>
      <c r="V2136" s="60" t="str">
        <f aca="false">IF(IsPro,IF($C2136="","",IFERROR(MATCH($C2136,Parties!$A$5:$A$304,0),"")),"")</f>
        <v/>
      </c>
      <c r="W2136" s="60" t="str">
        <f aca="false">IF(IsPro,IF($B2136="","",IFERROR(VALUE(SUBSTITUTE($B2136,InvPrefix,"")),0)),"")</f>
        <v/>
      </c>
      <c r="X2136" s="61" t="str">
        <f aca="false">IF(IsPro,IF($D2136="","",IF(OR($H2136="",$H2136="Credit"),0,Q2136)),"")</f>
        <v/>
      </c>
    </row>
    <row r="2137" customFormat="false" ht="15" hidden="false" customHeight="false" outlineLevel="0" collapsed="false">
      <c r="A2137" s="55"/>
      <c r="B2137" s="56"/>
      <c r="C2137" s="56"/>
      <c r="D2137" s="56"/>
      <c r="E2137" s="57"/>
      <c r="F2137" s="58"/>
      <c r="G2137" s="59"/>
      <c r="H2137" s="56"/>
      <c r="I2137" s="56"/>
      <c r="J2137" s="60" t="str">
        <f aca="false">IF(IsPro,IF($D2137="","",IFERROR(INDEX(Items!$D$5:$D$504,U2137),"")),"")</f>
        <v/>
      </c>
      <c r="K2137" s="61" t="str">
        <f aca="false">IF(IsPro,IF($D2137="","",IF($F2137="",IFERROR(INDEX(Items!$H$5:$H$504,U2137),0),$F2137)),"")</f>
        <v/>
      </c>
      <c r="L2137" s="61" t="str">
        <f aca="false">IF(IsPro,IF($D2137="","",ROUND(N($E2137)*K2137*(1-N($G2137)),2)),"")</f>
        <v/>
      </c>
      <c r="M2137" s="62" t="str">
        <f aca="false">IF(IsPro,IF($D2137="","",IFERROR(INDEX(Items!$F$5:$F$504,U2137),0)),"")</f>
        <v/>
      </c>
      <c r="N2137" s="61" t="str">
        <f aca="false">IF(IsPro,IF($D2137="","",IF(AND(V2137&lt;&gt;"",INDEX(Parties!$E$5:$E$304,V2137)&lt;&gt;"",INDEX(Parties!$E$5:$E$304,V2137)&lt;&gt;HomeState),0,ROUND(L2137*M2137/2,2))),"")</f>
        <v/>
      </c>
      <c r="O2137" s="61" t="str">
        <f aca="false">IF(IsPro,IF($D2137="","",N2137),"")</f>
        <v/>
      </c>
      <c r="P2137" s="61" t="str">
        <f aca="false">IF(IsPro,IF($D2137="","",IF(AND(V2137&lt;&gt;"",INDEX(Parties!$E$5:$E$304,V2137)&lt;&gt;"",INDEX(Parties!$E$5:$E$304,V2137)&lt;&gt;HomeState),ROUND(L2137*M2137,2),0)),"")</f>
        <v/>
      </c>
      <c r="Q2137" s="61" t="str">
        <f aca="false">IF(IsPro,IF($D2137="","",L2137+N2137+O2137+P2137),"")</f>
        <v/>
      </c>
      <c r="R2137" s="61" t="str">
        <f aca="false">IF(IsPro,IF($D2137="","",ROUND(N($E2137)*IFERROR(INDEX(Items!$P$5:$P$504,U2137),0),2)),"")</f>
        <v/>
      </c>
      <c r="S2137" s="61" t="str">
        <f aca="false">IF(IsPro,IF($D2137="","",L2137-R2137),"")</f>
        <v/>
      </c>
      <c r="T2137" s="60" t="str">
        <f aca="false">IF(IsPro,IF($D2137="","",IF(U2137="","UNKNOWN ITEM",IF(INDEX(Items!$O$5:$O$504,U2137)&lt;0,"NEG STOCK",IF(K2137&lt;INDEX(Items!$P$5:$P$504,U2137),"BELOW COST","OK")))),IF($D2137="","","PRO PLAN"))</f>
        <v/>
      </c>
      <c r="U2137" s="60" t="str">
        <f aca="false">IF(IsPro,IF($D2137="","",IFERROR(MATCH($D2137,Items!$A$5:$A$504,0),"")),"")</f>
        <v/>
      </c>
      <c r="V2137" s="60" t="str">
        <f aca="false">IF(IsPro,IF($C2137="","",IFERROR(MATCH($C2137,Parties!$A$5:$A$304,0),"")),"")</f>
        <v/>
      </c>
      <c r="W2137" s="60" t="str">
        <f aca="false">IF(IsPro,IF($B2137="","",IFERROR(VALUE(SUBSTITUTE($B2137,InvPrefix,"")),0)),"")</f>
        <v/>
      </c>
      <c r="X2137" s="61" t="str">
        <f aca="false">IF(IsPro,IF($D2137="","",IF(OR($H2137="",$H2137="Credit"),0,Q2137)),"")</f>
        <v/>
      </c>
    </row>
    <row r="2138" customFormat="false" ht="15" hidden="false" customHeight="false" outlineLevel="0" collapsed="false">
      <c r="A2138" s="55"/>
      <c r="B2138" s="56"/>
      <c r="C2138" s="56"/>
      <c r="D2138" s="56"/>
      <c r="E2138" s="57"/>
      <c r="F2138" s="58"/>
      <c r="G2138" s="59"/>
      <c r="H2138" s="56"/>
      <c r="I2138" s="56"/>
      <c r="J2138" s="60" t="str">
        <f aca="false">IF(IsPro,IF($D2138="","",IFERROR(INDEX(Items!$D$5:$D$504,U2138),"")),"")</f>
        <v/>
      </c>
      <c r="K2138" s="61" t="str">
        <f aca="false">IF(IsPro,IF($D2138="","",IF($F2138="",IFERROR(INDEX(Items!$H$5:$H$504,U2138),0),$F2138)),"")</f>
        <v/>
      </c>
      <c r="L2138" s="61" t="str">
        <f aca="false">IF(IsPro,IF($D2138="","",ROUND(N($E2138)*K2138*(1-N($G2138)),2)),"")</f>
        <v/>
      </c>
      <c r="M2138" s="62" t="str">
        <f aca="false">IF(IsPro,IF($D2138="","",IFERROR(INDEX(Items!$F$5:$F$504,U2138),0)),"")</f>
        <v/>
      </c>
      <c r="N2138" s="61" t="str">
        <f aca="false">IF(IsPro,IF($D2138="","",IF(AND(V2138&lt;&gt;"",INDEX(Parties!$E$5:$E$304,V2138)&lt;&gt;"",INDEX(Parties!$E$5:$E$304,V2138)&lt;&gt;HomeState),0,ROUND(L2138*M2138/2,2))),"")</f>
        <v/>
      </c>
      <c r="O2138" s="61" t="str">
        <f aca="false">IF(IsPro,IF($D2138="","",N2138),"")</f>
        <v/>
      </c>
      <c r="P2138" s="61" t="str">
        <f aca="false">IF(IsPro,IF($D2138="","",IF(AND(V2138&lt;&gt;"",INDEX(Parties!$E$5:$E$304,V2138)&lt;&gt;"",INDEX(Parties!$E$5:$E$304,V2138)&lt;&gt;HomeState),ROUND(L2138*M2138,2),0)),"")</f>
        <v/>
      </c>
      <c r="Q2138" s="61" t="str">
        <f aca="false">IF(IsPro,IF($D2138="","",L2138+N2138+O2138+P2138),"")</f>
        <v/>
      </c>
      <c r="R2138" s="61" t="str">
        <f aca="false">IF(IsPro,IF($D2138="","",ROUND(N($E2138)*IFERROR(INDEX(Items!$P$5:$P$504,U2138),0),2)),"")</f>
        <v/>
      </c>
      <c r="S2138" s="61" t="str">
        <f aca="false">IF(IsPro,IF($D2138="","",L2138-R2138),"")</f>
        <v/>
      </c>
      <c r="T2138" s="60" t="str">
        <f aca="false">IF(IsPro,IF($D2138="","",IF(U2138="","UNKNOWN ITEM",IF(INDEX(Items!$O$5:$O$504,U2138)&lt;0,"NEG STOCK",IF(K2138&lt;INDEX(Items!$P$5:$P$504,U2138),"BELOW COST","OK")))),IF($D2138="","","PRO PLAN"))</f>
        <v/>
      </c>
      <c r="U2138" s="60" t="str">
        <f aca="false">IF(IsPro,IF($D2138="","",IFERROR(MATCH($D2138,Items!$A$5:$A$504,0),"")),"")</f>
        <v/>
      </c>
      <c r="V2138" s="60" t="str">
        <f aca="false">IF(IsPro,IF($C2138="","",IFERROR(MATCH($C2138,Parties!$A$5:$A$304,0),"")),"")</f>
        <v/>
      </c>
      <c r="W2138" s="60" t="str">
        <f aca="false">IF(IsPro,IF($B2138="","",IFERROR(VALUE(SUBSTITUTE($B2138,InvPrefix,"")),0)),"")</f>
        <v/>
      </c>
      <c r="X2138" s="61" t="str">
        <f aca="false">IF(IsPro,IF($D2138="","",IF(OR($H2138="",$H2138="Credit"),0,Q2138)),"")</f>
        <v/>
      </c>
    </row>
    <row r="2139" customFormat="false" ht="15" hidden="false" customHeight="false" outlineLevel="0" collapsed="false">
      <c r="A2139" s="55"/>
      <c r="B2139" s="56"/>
      <c r="C2139" s="56"/>
      <c r="D2139" s="56"/>
      <c r="E2139" s="57"/>
      <c r="F2139" s="58"/>
      <c r="G2139" s="59"/>
      <c r="H2139" s="56"/>
      <c r="I2139" s="56"/>
      <c r="J2139" s="60" t="str">
        <f aca="false">IF(IsPro,IF($D2139="","",IFERROR(INDEX(Items!$D$5:$D$504,U2139),"")),"")</f>
        <v/>
      </c>
      <c r="K2139" s="61" t="str">
        <f aca="false">IF(IsPro,IF($D2139="","",IF($F2139="",IFERROR(INDEX(Items!$H$5:$H$504,U2139),0),$F2139)),"")</f>
        <v/>
      </c>
      <c r="L2139" s="61" t="str">
        <f aca="false">IF(IsPro,IF($D2139="","",ROUND(N($E2139)*K2139*(1-N($G2139)),2)),"")</f>
        <v/>
      </c>
      <c r="M2139" s="62" t="str">
        <f aca="false">IF(IsPro,IF($D2139="","",IFERROR(INDEX(Items!$F$5:$F$504,U2139),0)),"")</f>
        <v/>
      </c>
      <c r="N2139" s="61" t="str">
        <f aca="false">IF(IsPro,IF($D2139="","",IF(AND(V2139&lt;&gt;"",INDEX(Parties!$E$5:$E$304,V2139)&lt;&gt;"",INDEX(Parties!$E$5:$E$304,V2139)&lt;&gt;HomeState),0,ROUND(L2139*M2139/2,2))),"")</f>
        <v/>
      </c>
      <c r="O2139" s="61" t="str">
        <f aca="false">IF(IsPro,IF($D2139="","",N2139),"")</f>
        <v/>
      </c>
      <c r="P2139" s="61" t="str">
        <f aca="false">IF(IsPro,IF($D2139="","",IF(AND(V2139&lt;&gt;"",INDEX(Parties!$E$5:$E$304,V2139)&lt;&gt;"",INDEX(Parties!$E$5:$E$304,V2139)&lt;&gt;HomeState),ROUND(L2139*M2139,2),0)),"")</f>
        <v/>
      </c>
      <c r="Q2139" s="61" t="str">
        <f aca="false">IF(IsPro,IF($D2139="","",L2139+N2139+O2139+P2139),"")</f>
        <v/>
      </c>
      <c r="R2139" s="61" t="str">
        <f aca="false">IF(IsPro,IF($D2139="","",ROUND(N($E2139)*IFERROR(INDEX(Items!$P$5:$P$504,U2139),0),2)),"")</f>
        <v/>
      </c>
      <c r="S2139" s="61" t="str">
        <f aca="false">IF(IsPro,IF($D2139="","",L2139-R2139),"")</f>
        <v/>
      </c>
      <c r="T2139" s="60" t="str">
        <f aca="false">IF(IsPro,IF($D2139="","",IF(U2139="","UNKNOWN ITEM",IF(INDEX(Items!$O$5:$O$504,U2139)&lt;0,"NEG STOCK",IF(K2139&lt;INDEX(Items!$P$5:$P$504,U2139),"BELOW COST","OK")))),IF($D2139="","","PRO PLAN"))</f>
        <v/>
      </c>
      <c r="U2139" s="60" t="str">
        <f aca="false">IF(IsPro,IF($D2139="","",IFERROR(MATCH($D2139,Items!$A$5:$A$504,0),"")),"")</f>
        <v/>
      </c>
      <c r="V2139" s="60" t="str">
        <f aca="false">IF(IsPro,IF($C2139="","",IFERROR(MATCH($C2139,Parties!$A$5:$A$304,0),"")),"")</f>
        <v/>
      </c>
      <c r="W2139" s="60" t="str">
        <f aca="false">IF(IsPro,IF($B2139="","",IFERROR(VALUE(SUBSTITUTE($B2139,InvPrefix,"")),0)),"")</f>
        <v/>
      </c>
      <c r="X2139" s="61" t="str">
        <f aca="false">IF(IsPro,IF($D2139="","",IF(OR($H2139="",$H2139="Credit"),0,Q2139)),"")</f>
        <v/>
      </c>
    </row>
    <row r="2140" customFormat="false" ht="15" hidden="false" customHeight="false" outlineLevel="0" collapsed="false">
      <c r="A2140" s="55"/>
      <c r="B2140" s="56"/>
      <c r="C2140" s="56"/>
      <c r="D2140" s="56"/>
      <c r="E2140" s="57"/>
      <c r="F2140" s="58"/>
      <c r="G2140" s="59"/>
      <c r="H2140" s="56"/>
      <c r="I2140" s="56"/>
      <c r="J2140" s="60" t="str">
        <f aca="false">IF(IsPro,IF($D2140="","",IFERROR(INDEX(Items!$D$5:$D$504,U2140),"")),"")</f>
        <v/>
      </c>
      <c r="K2140" s="61" t="str">
        <f aca="false">IF(IsPro,IF($D2140="","",IF($F2140="",IFERROR(INDEX(Items!$H$5:$H$504,U2140),0),$F2140)),"")</f>
        <v/>
      </c>
      <c r="L2140" s="61" t="str">
        <f aca="false">IF(IsPro,IF($D2140="","",ROUND(N($E2140)*K2140*(1-N($G2140)),2)),"")</f>
        <v/>
      </c>
      <c r="M2140" s="62" t="str">
        <f aca="false">IF(IsPro,IF($D2140="","",IFERROR(INDEX(Items!$F$5:$F$504,U2140),0)),"")</f>
        <v/>
      </c>
      <c r="N2140" s="61" t="str">
        <f aca="false">IF(IsPro,IF($D2140="","",IF(AND(V2140&lt;&gt;"",INDEX(Parties!$E$5:$E$304,V2140)&lt;&gt;"",INDEX(Parties!$E$5:$E$304,V2140)&lt;&gt;HomeState),0,ROUND(L2140*M2140/2,2))),"")</f>
        <v/>
      </c>
      <c r="O2140" s="61" t="str">
        <f aca="false">IF(IsPro,IF($D2140="","",N2140),"")</f>
        <v/>
      </c>
      <c r="P2140" s="61" t="str">
        <f aca="false">IF(IsPro,IF($D2140="","",IF(AND(V2140&lt;&gt;"",INDEX(Parties!$E$5:$E$304,V2140)&lt;&gt;"",INDEX(Parties!$E$5:$E$304,V2140)&lt;&gt;HomeState),ROUND(L2140*M2140,2),0)),"")</f>
        <v/>
      </c>
      <c r="Q2140" s="61" t="str">
        <f aca="false">IF(IsPro,IF($D2140="","",L2140+N2140+O2140+P2140),"")</f>
        <v/>
      </c>
      <c r="R2140" s="61" t="str">
        <f aca="false">IF(IsPro,IF($D2140="","",ROUND(N($E2140)*IFERROR(INDEX(Items!$P$5:$P$504,U2140),0),2)),"")</f>
        <v/>
      </c>
      <c r="S2140" s="61" t="str">
        <f aca="false">IF(IsPro,IF($D2140="","",L2140-R2140),"")</f>
        <v/>
      </c>
      <c r="T2140" s="60" t="str">
        <f aca="false">IF(IsPro,IF($D2140="","",IF(U2140="","UNKNOWN ITEM",IF(INDEX(Items!$O$5:$O$504,U2140)&lt;0,"NEG STOCK",IF(K2140&lt;INDEX(Items!$P$5:$P$504,U2140),"BELOW COST","OK")))),IF($D2140="","","PRO PLAN"))</f>
        <v/>
      </c>
      <c r="U2140" s="60" t="str">
        <f aca="false">IF(IsPro,IF($D2140="","",IFERROR(MATCH($D2140,Items!$A$5:$A$504,0),"")),"")</f>
        <v/>
      </c>
      <c r="V2140" s="60" t="str">
        <f aca="false">IF(IsPro,IF($C2140="","",IFERROR(MATCH($C2140,Parties!$A$5:$A$304,0),"")),"")</f>
        <v/>
      </c>
      <c r="W2140" s="60" t="str">
        <f aca="false">IF(IsPro,IF($B2140="","",IFERROR(VALUE(SUBSTITUTE($B2140,InvPrefix,"")),0)),"")</f>
        <v/>
      </c>
      <c r="X2140" s="61" t="str">
        <f aca="false">IF(IsPro,IF($D2140="","",IF(OR($H2140="",$H2140="Credit"),0,Q2140)),"")</f>
        <v/>
      </c>
    </row>
    <row r="2141" customFormat="false" ht="15" hidden="false" customHeight="false" outlineLevel="0" collapsed="false">
      <c r="A2141" s="55"/>
      <c r="B2141" s="56"/>
      <c r="C2141" s="56"/>
      <c r="D2141" s="56"/>
      <c r="E2141" s="57"/>
      <c r="F2141" s="58"/>
      <c r="G2141" s="59"/>
      <c r="H2141" s="56"/>
      <c r="I2141" s="56"/>
      <c r="J2141" s="60" t="str">
        <f aca="false">IF(IsPro,IF($D2141="","",IFERROR(INDEX(Items!$D$5:$D$504,U2141),"")),"")</f>
        <v/>
      </c>
      <c r="K2141" s="61" t="str">
        <f aca="false">IF(IsPro,IF($D2141="","",IF($F2141="",IFERROR(INDEX(Items!$H$5:$H$504,U2141),0),$F2141)),"")</f>
        <v/>
      </c>
      <c r="L2141" s="61" t="str">
        <f aca="false">IF(IsPro,IF($D2141="","",ROUND(N($E2141)*K2141*(1-N($G2141)),2)),"")</f>
        <v/>
      </c>
      <c r="M2141" s="62" t="str">
        <f aca="false">IF(IsPro,IF($D2141="","",IFERROR(INDEX(Items!$F$5:$F$504,U2141),0)),"")</f>
        <v/>
      </c>
      <c r="N2141" s="61" t="str">
        <f aca="false">IF(IsPro,IF($D2141="","",IF(AND(V2141&lt;&gt;"",INDEX(Parties!$E$5:$E$304,V2141)&lt;&gt;"",INDEX(Parties!$E$5:$E$304,V2141)&lt;&gt;HomeState),0,ROUND(L2141*M2141/2,2))),"")</f>
        <v/>
      </c>
      <c r="O2141" s="61" t="str">
        <f aca="false">IF(IsPro,IF($D2141="","",N2141),"")</f>
        <v/>
      </c>
      <c r="P2141" s="61" t="str">
        <f aca="false">IF(IsPro,IF($D2141="","",IF(AND(V2141&lt;&gt;"",INDEX(Parties!$E$5:$E$304,V2141)&lt;&gt;"",INDEX(Parties!$E$5:$E$304,V2141)&lt;&gt;HomeState),ROUND(L2141*M2141,2),0)),"")</f>
        <v/>
      </c>
      <c r="Q2141" s="61" t="str">
        <f aca="false">IF(IsPro,IF($D2141="","",L2141+N2141+O2141+P2141),"")</f>
        <v/>
      </c>
      <c r="R2141" s="61" t="str">
        <f aca="false">IF(IsPro,IF($D2141="","",ROUND(N($E2141)*IFERROR(INDEX(Items!$P$5:$P$504,U2141),0),2)),"")</f>
        <v/>
      </c>
      <c r="S2141" s="61" t="str">
        <f aca="false">IF(IsPro,IF($D2141="","",L2141-R2141),"")</f>
        <v/>
      </c>
      <c r="T2141" s="60" t="str">
        <f aca="false">IF(IsPro,IF($D2141="","",IF(U2141="","UNKNOWN ITEM",IF(INDEX(Items!$O$5:$O$504,U2141)&lt;0,"NEG STOCK",IF(K2141&lt;INDEX(Items!$P$5:$P$504,U2141),"BELOW COST","OK")))),IF($D2141="","","PRO PLAN"))</f>
        <v/>
      </c>
      <c r="U2141" s="60" t="str">
        <f aca="false">IF(IsPro,IF($D2141="","",IFERROR(MATCH($D2141,Items!$A$5:$A$504,0),"")),"")</f>
        <v/>
      </c>
      <c r="V2141" s="60" t="str">
        <f aca="false">IF(IsPro,IF($C2141="","",IFERROR(MATCH($C2141,Parties!$A$5:$A$304,0),"")),"")</f>
        <v/>
      </c>
      <c r="W2141" s="60" t="str">
        <f aca="false">IF(IsPro,IF($B2141="","",IFERROR(VALUE(SUBSTITUTE($B2141,InvPrefix,"")),0)),"")</f>
        <v/>
      </c>
      <c r="X2141" s="61" t="str">
        <f aca="false">IF(IsPro,IF($D2141="","",IF(OR($H2141="",$H2141="Credit"),0,Q2141)),"")</f>
        <v/>
      </c>
    </row>
    <row r="2142" customFormat="false" ht="15" hidden="false" customHeight="false" outlineLevel="0" collapsed="false">
      <c r="A2142" s="55"/>
      <c r="B2142" s="56"/>
      <c r="C2142" s="56"/>
      <c r="D2142" s="56"/>
      <c r="E2142" s="57"/>
      <c r="F2142" s="58"/>
      <c r="G2142" s="59"/>
      <c r="H2142" s="56"/>
      <c r="I2142" s="56"/>
      <c r="J2142" s="60" t="str">
        <f aca="false">IF(IsPro,IF($D2142="","",IFERROR(INDEX(Items!$D$5:$D$504,U2142),"")),"")</f>
        <v/>
      </c>
      <c r="K2142" s="61" t="str">
        <f aca="false">IF(IsPro,IF($D2142="","",IF($F2142="",IFERROR(INDEX(Items!$H$5:$H$504,U2142),0),$F2142)),"")</f>
        <v/>
      </c>
      <c r="L2142" s="61" t="str">
        <f aca="false">IF(IsPro,IF($D2142="","",ROUND(N($E2142)*K2142*(1-N($G2142)),2)),"")</f>
        <v/>
      </c>
      <c r="M2142" s="62" t="str">
        <f aca="false">IF(IsPro,IF($D2142="","",IFERROR(INDEX(Items!$F$5:$F$504,U2142),0)),"")</f>
        <v/>
      </c>
      <c r="N2142" s="61" t="str">
        <f aca="false">IF(IsPro,IF($D2142="","",IF(AND(V2142&lt;&gt;"",INDEX(Parties!$E$5:$E$304,V2142)&lt;&gt;"",INDEX(Parties!$E$5:$E$304,V2142)&lt;&gt;HomeState),0,ROUND(L2142*M2142/2,2))),"")</f>
        <v/>
      </c>
      <c r="O2142" s="61" t="str">
        <f aca="false">IF(IsPro,IF($D2142="","",N2142),"")</f>
        <v/>
      </c>
      <c r="P2142" s="61" t="str">
        <f aca="false">IF(IsPro,IF($D2142="","",IF(AND(V2142&lt;&gt;"",INDEX(Parties!$E$5:$E$304,V2142)&lt;&gt;"",INDEX(Parties!$E$5:$E$304,V2142)&lt;&gt;HomeState),ROUND(L2142*M2142,2),0)),"")</f>
        <v/>
      </c>
      <c r="Q2142" s="61" t="str">
        <f aca="false">IF(IsPro,IF($D2142="","",L2142+N2142+O2142+P2142),"")</f>
        <v/>
      </c>
      <c r="R2142" s="61" t="str">
        <f aca="false">IF(IsPro,IF($D2142="","",ROUND(N($E2142)*IFERROR(INDEX(Items!$P$5:$P$504,U2142),0),2)),"")</f>
        <v/>
      </c>
      <c r="S2142" s="61" t="str">
        <f aca="false">IF(IsPro,IF($D2142="","",L2142-R2142),"")</f>
        <v/>
      </c>
      <c r="T2142" s="60" t="str">
        <f aca="false">IF(IsPro,IF($D2142="","",IF(U2142="","UNKNOWN ITEM",IF(INDEX(Items!$O$5:$O$504,U2142)&lt;0,"NEG STOCK",IF(K2142&lt;INDEX(Items!$P$5:$P$504,U2142),"BELOW COST","OK")))),IF($D2142="","","PRO PLAN"))</f>
        <v/>
      </c>
      <c r="U2142" s="60" t="str">
        <f aca="false">IF(IsPro,IF($D2142="","",IFERROR(MATCH($D2142,Items!$A$5:$A$504,0),"")),"")</f>
        <v/>
      </c>
      <c r="V2142" s="60" t="str">
        <f aca="false">IF(IsPro,IF($C2142="","",IFERROR(MATCH($C2142,Parties!$A$5:$A$304,0),"")),"")</f>
        <v/>
      </c>
      <c r="W2142" s="60" t="str">
        <f aca="false">IF(IsPro,IF($B2142="","",IFERROR(VALUE(SUBSTITUTE($B2142,InvPrefix,"")),0)),"")</f>
        <v/>
      </c>
      <c r="X2142" s="61" t="str">
        <f aca="false">IF(IsPro,IF($D2142="","",IF(OR($H2142="",$H2142="Credit"),0,Q2142)),"")</f>
        <v/>
      </c>
    </row>
    <row r="2143" customFormat="false" ht="15" hidden="false" customHeight="false" outlineLevel="0" collapsed="false">
      <c r="A2143" s="55"/>
      <c r="B2143" s="56"/>
      <c r="C2143" s="56"/>
      <c r="D2143" s="56"/>
      <c r="E2143" s="57"/>
      <c r="F2143" s="58"/>
      <c r="G2143" s="59"/>
      <c r="H2143" s="56"/>
      <c r="I2143" s="56"/>
      <c r="J2143" s="60" t="str">
        <f aca="false">IF(IsPro,IF($D2143="","",IFERROR(INDEX(Items!$D$5:$D$504,U2143),"")),"")</f>
        <v/>
      </c>
      <c r="K2143" s="61" t="str">
        <f aca="false">IF(IsPro,IF($D2143="","",IF($F2143="",IFERROR(INDEX(Items!$H$5:$H$504,U2143),0),$F2143)),"")</f>
        <v/>
      </c>
      <c r="L2143" s="61" t="str">
        <f aca="false">IF(IsPro,IF($D2143="","",ROUND(N($E2143)*K2143*(1-N($G2143)),2)),"")</f>
        <v/>
      </c>
      <c r="M2143" s="62" t="str">
        <f aca="false">IF(IsPro,IF($D2143="","",IFERROR(INDEX(Items!$F$5:$F$504,U2143),0)),"")</f>
        <v/>
      </c>
      <c r="N2143" s="61" t="str">
        <f aca="false">IF(IsPro,IF($D2143="","",IF(AND(V2143&lt;&gt;"",INDEX(Parties!$E$5:$E$304,V2143)&lt;&gt;"",INDEX(Parties!$E$5:$E$304,V2143)&lt;&gt;HomeState),0,ROUND(L2143*M2143/2,2))),"")</f>
        <v/>
      </c>
      <c r="O2143" s="61" t="str">
        <f aca="false">IF(IsPro,IF($D2143="","",N2143),"")</f>
        <v/>
      </c>
      <c r="P2143" s="61" t="str">
        <f aca="false">IF(IsPro,IF($D2143="","",IF(AND(V2143&lt;&gt;"",INDEX(Parties!$E$5:$E$304,V2143)&lt;&gt;"",INDEX(Parties!$E$5:$E$304,V2143)&lt;&gt;HomeState),ROUND(L2143*M2143,2),0)),"")</f>
        <v/>
      </c>
      <c r="Q2143" s="61" t="str">
        <f aca="false">IF(IsPro,IF($D2143="","",L2143+N2143+O2143+P2143),"")</f>
        <v/>
      </c>
      <c r="R2143" s="61" t="str">
        <f aca="false">IF(IsPro,IF($D2143="","",ROUND(N($E2143)*IFERROR(INDEX(Items!$P$5:$P$504,U2143),0),2)),"")</f>
        <v/>
      </c>
      <c r="S2143" s="61" t="str">
        <f aca="false">IF(IsPro,IF($D2143="","",L2143-R2143),"")</f>
        <v/>
      </c>
      <c r="T2143" s="60" t="str">
        <f aca="false">IF(IsPro,IF($D2143="","",IF(U2143="","UNKNOWN ITEM",IF(INDEX(Items!$O$5:$O$504,U2143)&lt;0,"NEG STOCK",IF(K2143&lt;INDEX(Items!$P$5:$P$504,U2143),"BELOW COST","OK")))),IF($D2143="","","PRO PLAN"))</f>
        <v/>
      </c>
      <c r="U2143" s="60" t="str">
        <f aca="false">IF(IsPro,IF($D2143="","",IFERROR(MATCH($D2143,Items!$A$5:$A$504,0),"")),"")</f>
        <v/>
      </c>
      <c r="V2143" s="60" t="str">
        <f aca="false">IF(IsPro,IF($C2143="","",IFERROR(MATCH($C2143,Parties!$A$5:$A$304,0),"")),"")</f>
        <v/>
      </c>
      <c r="W2143" s="60" t="str">
        <f aca="false">IF(IsPro,IF($B2143="","",IFERROR(VALUE(SUBSTITUTE($B2143,InvPrefix,"")),0)),"")</f>
        <v/>
      </c>
      <c r="X2143" s="61" t="str">
        <f aca="false">IF(IsPro,IF($D2143="","",IF(OR($H2143="",$H2143="Credit"),0,Q2143)),"")</f>
        <v/>
      </c>
    </row>
    <row r="2144" customFormat="false" ht="15" hidden="false" customHeight="false" outlineLevel="0" collapsed="false">
      <c r="A2144" s="55"/>
      <c r="B2144" s="56"/>
      <c r="C2144" s="56"/>
      <c r="D2144" s="56"/>
      <c r="E2144" s="57"/>
      <c r="F2144" s="58"/>
      <c r="G2144" s="59"/>
      <c r="H2144" s="56"/>
      <c r="I2144" s="56"/>
      <c r="J2144" s="60" t="str">
        <f aca="false">IF(IsPro,IF($D2144="","",IFERROR(INDEX(Items!$D$5:$D$504,U2144),"")),"")</f>
        <v/>
      </c>
      <c r="K2144" s="61" t="str">
        <f aca="false">IF(IsPro,IF($D2144="","",IF($F2144="",IFERROR(INDEX(Items!$H$5:$H$504,U2144),0),$F2144)),"")</f>
        <v/>
      </c>
      <c r="L2144" s="61" t="str">
        <f aca="false">IF(IsPro,IF($D2144="","",ROUND(N($E2144)*K2144*(1-N($G2144)),2)),"")</f>
        <v/>
      </c>
      <c r="M2144" s="62" t="str">
        <f aca="false">IF(IsPro,IF($D2144="","",IFERROR(INDEX(Items!$F$5:$F$504,U2144),0)),"")</f>
        <v/>
      </c>
      <c r="N2144" s="61" t="str">
        <f aca="false">IF(IsPro,IF($D2144="","",IF(AND(V2144&lt;&gt;"",INDEX(Parties!$E$5:$E$304,V2144)&lt;&gt;"",INDEX(Parties!$E$5:$E$304,V2144)&lt;&gt;HomeState),0,ROUND(L2144*M2144/2,2))),"")</f>
        <v/>
      </c>
      <c r="O2144" s="61" t="str">
        <f aca="false">IF(IsPro,IF($D2144="","",N2144),"")</f>
        <v/>
      </c>
      <c r="P2144" s="61" t="str">
        <f aca="false">IF(IsPro,IF($D2144="","",IF(AND(V2144&lt;&gt;"",INDEX(Parties!$E$5:$E$304,V2144)&lt;&gt;"",INDEX(Parties!$E$5:$E$304,V2144)&lt;&gt;HomeState),ROUND(L2144*M2144,2),0)),"")</f>
        <v/>
      </c>
      <c r="Q2144" s="61" t="str">
        <f aca="false">IF(IsPro,IF($D2144="","",L2144+N2144+O2144+P2144),"")</f>
        <v/>
      </c>
      <c r="R2144" s="61" t="str">
        <f aca="false">IF(IsPro,IF($D2144="","",ROUND(N($E2144)*IFERROR(INDEX(Items!$P$5:$P$504,U2144),0),2)),"")</f>
        <v/>
      </c>
      <c r="S2144" s="61" t="str">
        <f aca="false">IF(IsPro,IF($D2144="","",L2144-R2144),"")</f>
        <v/>
      </c>
      <c r="T2144" s="60" t="str">
        <f aca="false">IF(IsPro,IF($D2144="","",IF(U2144="","UNKNOWN ITEM",IF(INDEX(Items!$O$5:$O$504,U2144)&lt;0,"NEG STOCK",IF(K2144&lt;INDEX(Items!$P$5:$P$504,U2144),"BELOW COST","OK")))),IF($D2144="","","PRO PLAN"))</f>
        <v/>
      </c>
      <c r="U2144" s="60" t="str">
        <f aca="false">IF(IsPro,IF($D2144="","",IFERROR(MATCH($D2144,Items!$A$5:$A$504,0),"")),"")</f>
        <v/>
      </c>
      <c r="V2144" s="60" t="str">
        <f aca="false">IF(IsPro,IF($C2144="","",IFERROR(MATCH($C2144,Parties!$A$5:$A$304,0),"")),"")</f>
        <v/>
      </c>
      <c r="W2144" s="60" t="str">
        <f aca="false">IF(IsPro,IF($B2144="","",IFERROR(VALUE(SUBSTITUTE($B2144,InvPrefix,"")),0)),"")</f>
        <v/>
      </c>
      <c r="X2144" s="61" t="str">
        <f aca="false">IF(IsPro,IF($D2144="","",IF(OR($H2144="",$H2144="Credit"),0,Q2144)),"")</f>
        <v/>
      </c>
    </row>
    <row r="2145" customFormat="false" ht="15" hidden="false" customHeight="false" outlineLevel="0" collapsed="false">
      <c r="A2145" s="55"/>
      <c r="B2145" s="56"/>
      <c r="C2145" s="56"/>
      <c r="D2145" s="56"/>
      <c r="E2145" s="57"/>
      <c r="F2145" s="58"/>
      <c r="G2145" s="59"/>
      <c r="H2145" s="56"/>
      <c r="I2145" s="56"/>
      <c r="J2145" s="60" t="str">
        <f aca="false">IF(IsPro,IF($D2145="","",IFERROR(INDEX(Items!$D$5:$D$504,U2145),"")),"")</f>
        <v/>
      </c>
      <c r="K2145" s="61" t="str">
        <f aca="false">IF(IsPro,IF($D2145="","",IF($F2145="",IFERROR(INDEX(Items!$H$5:$H$504,U2145),0),$F2145)),"")</f>
        <v/>
      </c>
      <c r="L2145" s="61" t="str">
        <f aca="false">IF(IsPro,IF($D2145="","",ROUND(N($E2145)*K2145*(1-N($G2145)),2)),"")</f>
        <v/>
      </c>
      <c r="M2145" s="62" t="str">
        <f aca="false">IF(IsPro,IF($D2145="","",IFERROR(INDEX(Items!$F$5:$F$504,U2145),0)),"")</f>
        <v/>
      </c>
      <c r="N2145" s="61" t="str">
        <f aca="false">IF(IsPro,IF($D2145="","",IF(AND(V2145&lt;&gt;"",INDEX(Parties!$E$5:$E$304,V2145)&lt;&gt;"",INDEX(Parties!$E$5:$E$304,V2145)&lt;&gt;HomeState),0,ROUND(L2145*M2145/2,2))),"")</f>
        <v/>
      </c>
      <c r="O2145" s="61" t="str">
        <f aca="false">IF(IsPro,IF($D2145="","",N2145),"")</f>
        <v/>
      </c>
      <c r="P2145" s="61" t="str">
        <f aca="false">IF(IsPro,IF($D2145="","",IF(AND(V2145&lt;&gt;"",INDEX(Parties!$E$5:$E$304,V2145)&lt;&gt;"",INDEX(Parties!$E$5:$E$304,V2145)&lt;&gt;HomeState),ROUND(L2145*M2145,2),0)),"")</f>
        <v/>
      </c>
      <c r="Q2145" s="61" t="str">
        <f aca="false">IF(IsPro,IF($D2145="","",L2145+N2145+O2145+P2145),"")</f>
        <v/>
      </c>
      <c r="R2145" s="61" t="str">
        <f aca="false">IF(IsPro,IF($D2145="","",ROUND(N($E2145)*IFERROR(INDEX(Items!$P$5:$P$504,U2145),0),2)),"")</f>
        <v/>
      </c>
      <c r="S2145" s="61" t="str">
        <f aca="false">IF(IsPro,IF($D2145="","",L2145-R2145),"")</f>
        <v/>
      </c>
      <c r="T2145" s="60" t="str">
        <f aca="false">IF(IsPro,IF($D2145="","",IF(U2145="","UNKNOWN ITEM",IF(INDEX(Items!$O$5:$O$504,U2145)&lt;0,"NEG STOCK",IF(K2145&lt;INDEX(Items!$P$5:$P$504,U2145),"BELOW COST","OK")))),IF($D2145="","","PRO PLAN"))</f>
        <v/>
      </c>
      <c r="U2145" s="60" t="str">
        <f aca="false">IF(IsPro,IF($D2145="","",IFERROR(MATCH($D2145,Items!$A$5:$A$504,0),"")),"")</f>
        <v/>
      </c>
      <c r="V2145" s="60" t="str">
        <f aca="false">IF(IsPro,IF($C2145="","",IFERROR(MATCH($C2145,Parties!$A$5:$A$304,0),"")),"")</f>
        <v/>
      </c>
      <c r="W2145" s="60" t="str">
        <f aca="false">IF(IsPro,IF($B2145="","",IFERROR(VALUE(SUBSTITUTE($B2145,InvPrefix,"")),0)),"")</f>
        <v/>
      </c>
      <c r="X2145" s="61" t="str">
        <f aca="false">IF(IsPro,IF($D2145="","",IF(OR($H2145="",$H2145="Credit"),0,Q2145)),"")</f>
        <v/>
      </c>
    </row>
    <row r="2146" customFormat="false" ht="15" hidden="false" customHeight="false" outlineLevel="0" collapsed="false">
      <c r="A2146" s="55"/>
      <c r="B2146" s="56"/>
      <c r="C2146" s="56"/>
      <c r="D2146" s="56"/>
      <c r="E2146" s="57"/>
      <c r="F2146" s="58"/>
      <c r="G2146" s="59"/>
      <c r="H2146" s="56"/>
      <c r="I2146" s="56"/>
      <c r="J2146" s="60" t="str">
        <f aca="false">IF(IsPro,IF($D2146="","",IFERROR(INDEX(Items!$D$5:$D$504,U2146),"")),"")</f>
        <v/>
      </c>
      <c r="K2146" s="61" t="str">
        <f aca="false">IF(IsPro,IF($D2146="","",IF($F2146="",IFERROR(INDEX(Items!$H$5:$H$504,U2146),0),$F2146)),"")</f>
        <v/>
      </c>
      <c r="L2146" s="61" t="str">
        <f aca="false">IF(IsPro,IF($D2146="","",ROUND(N($E2146)*K2146*(1-N($G2146)),2)),"")</f>
        <v/>
      </c>
      <c r="M2146" s="62" t="str">
        <f aca="false">IF(IsPro,IF($D2146="","",IFERROR(INDEX(Items!$F$5:$F$504,U2146),0)),"")</f>
        <v/>
      </c>
      <c r="N2146" s="61" t="str">
        <f aca="false">IF(IsPro,IF($D2146="","",IF(AND(V2146&lt;&gt;"",INDEX(Parties!$E$5:$E$304,V2146)&lt;&gt;"",INDEX(Parties!$E$5:$E$304,V2146)&lt;&gt;HomeState),0,ROUND(L2146*M2146/2,2))),"")</f>
        <v/>
      </c>
      <c r="O2146" s="61" t="str">
        <f aca="false">IF(IsPro,IF($D2146="","",N2146),"")</f>
        <v/>
      </c>
      <c r="P2146" s="61" t="str">
        <f aca="false">IF(IsPro,IF($D2146="","",IF(AND(V2146&lt;&gt;"",INDEX(Parties!$E$5:$E$304,V2146)&lt;&gt;"",INDEX(Parties!$E$5:$E$304,V2146)&lt;&gt;HomeState),ROUND(L2146*M2146,2),0)),"")</f>
        <v/>
      </c>
      <c r="Q2146" s="61" t="str">
        <f aca="false">IF(IsPro,IF($D2146="","",L2146+N2146+O2146+P2146),"")</f>
        <v/>
      </c>
      <c r="R2146" s="61" t="str">
        <f aca="false">IF(IsPro,IF($D2146="","",ROUND(N($E2146)*IFERROR(INDEX(Items!$P$5:$P$504,U2146),0),2)),"")</f>
        <v/>
      </c>
      <c r="S2146" s="61" t="str">
        <f aca="false">IF(IsPro,IF($D2146="","",L2146-R2146),"")</f>
        <v/>
      </c>
      <c r="T2146" s="60" t="str">
        <f aca="false">IF(IsPro,IF($D2146="","",IF(U2146="","UNKNOWN ITEM",IF(INDEX(Items!$O$5:$O$504,U2146)&lt;0,"NEG STOCK",IF(K2146&lt;INDEX(Items!$P$5:$P$504,U2146),"BELOW COST","OK")))),IF($D2146="","","PRO PLAN"))</f>
        <v/>
      </c>
      <c r="U2146" s="60" t="str">
        <f aca="false">IF(IsPro,IF($D2146="","",IFERROR(MATCH($D2146,Items!$A$5:$A$504,0),"")),"")</f>
        <v/>
      </c>
      <c r="V2146" s="60" t="str">
        <f aca="false">IF(IsPro,IF($C2146="","",IFERROR(MATCH($C2146,Parties!$A$5:$A$304,0),"")),"")</f>
        <v/>
      </c>
      <c r="W2146" s="60" t="str">
        <f aca="false">IF(IsPro,IF($B2146="","",IFERROR(VALUE(SUBSTITUTE($B2146,InvPrefix,"")),0)),"")</f>
        <v/>
      </c>
      <c r="X2146" s="61" t="str">
        <f aca="false">IF(IsPro,IF($D2146="","",IF(OR($H2146="",$H2146="Credit"),0,Q2146)),"")</f>
        <v/>
      </c>
    </row>
    <row r="2147" customFormat="false" ht="15" hidden="false" customHeight="false" outlineLevel="0" collapsed="false">
      <c r="A2147" s="55"/>
      <c r="B2147" s="56"/>
      <c r="C2147" s="56"/>
      <c r="D2147" s="56"/>
      <c r="E2147" s="57"/>
      <c r="F2147" s="58"/>
      <c r="G2147" s="59"/>
      <c r="H2147" s="56"/>
      <c r="I2147" s="56"/>
      <c r="J2147" s="60" t="str">
        <f aca="false">IF(IsPro,IF($D2147="","",IFERROR(INDEX(Items!$D$5:$D$504,U2147),"")),"")</f>
        <v/>
      </c>
      <c r="K2147" s="61" t="str">
        <f aca="false">IF(IsPro,IF($D2147="","",IF($F2147="",IFERROR(INDEX(Items!$H$5:$H$504,U2147),0),$F2147)),"")</f>
        <v/>
      </c>
      <c r="L2147" s="61" t="str">
        <f aca="false">IF(IsPro,IF($D2147="","",ROUND(N($E2147)*K2147*(1-N($G2147)),2)),"")</f>
        <v/>
      </c>
      <c r="M2147" s="62" t="str">
        <f aca="false">IF(IsPro,IF($D2147="","",IFERROR(INDEX(Items!$F$5:$F$504,U2147),0)),"")</f>
        <v/>
      </c>
      <c r="N2147" s="61" t="str">
        <f aca="false">IF(IsPro,IF($D2147="","",IF(AND(V2147&lt;&gt;"",INDEX(Parties!$E$5:$E$304,V2147)&lt;&gt;"",INDEX(Parties!$E$5:$E$304,V2147)&lt;&gt;HomeState),0,ROUND(L2147*M2147/2,2))),"")</f>
        <v/>
      </c>
      <c r="O2147" s="61" t="str">
        <f aca="false">IF(IsPro,IF($D2147="","",N2147),"")</f>
        <v/>
      </c>
      <c r="P2147" s="61" t="str">
        <f aca="false">IF(IsPro,IF($D2147="","",IF(AND(V2147&lt;&gt;"",INDEX(Parties!$E$5:$E$304,V2147)&lt;&gt;"",INDEX(Parties!$E$5:$E$304,V2147)&lt;&gt;HomeState),ROUND(L2147*M2147,2),0)),"")</f>
        <v/>
      </c>
      <c r="Q2147" s="61" t="str">
        <f aca="false">IF(IsPro,IF($D2147="","",L2147+N2147+O2147+P2147),"")</f>
        <v/>
      </c>
      <c r="R2147" s="61" t="str">
        <f aca="false">IF(IsPro,IF($D2147="","",ROUND(N($E2147)*IFERROR(INDEX(Items!$P$5:$P$504,U2147),0),2)),"")</f>
        <v/>
      </c>
      <c r="S2147" s="61" t="str">
        <f aca="false">IF(IsPro,IF($D2147="","",L2147-R2147),"")</f>
        <v/>
      </c>
      <c r="T2147" s="60" t="str">
        <f aca="false">IF(IsPro,IF($D2147="","",IF(U2147="","UNKNOWN ITEM",IF(INDEX(Items!$O$5:$O$504,U2147)&lt;0,"NEG STOCK",IF(K2147&lt;INDEX(Items!$P$5:$P$504,U2147),"BELOW COST","OK")))),IF($D2147="","","PRO PLAN"))</f>
        <v/>
      </c>
      <c r="U2147" s="60" t="str">
        <f aca="false">IF(IsPro,IF($D2147="","",IFERROR(MATCH($D2147,Items!$A$5:$A$504,0),"")),"")</f>
        <v/>
      </c>
      <c r="V2147" s="60" t="str">
        <f aca="false">IF(IsPro,IF($C2147="","",IFERROR(MATCH($C2147,Parties!$A$5:$A$304,0),"")),"")</f>
        <v/>
      </c>
      <c r="W2147" s="60" t="str">
        <f aca="false">IF(IsPro,IF($B2147="","",IFERROR(VALUE(SUBSTITUTE($B2147,InvPrefix,"")),0)),"")</f>
        <v/>
      </c>
      <c r="X2147" s="61" t="str">
        <f aca="false">IF(IsPro,IF($D2147="","",IF(OR($H2147="",$H2147="Credit"),0,Q2147)),"")</f>
        <v/>
      </c>
    </row>
    <row r="2148" customFormat="false" ht="15" hidden="false" customHeight="false" outlineLevel="0" collapsed="false">
      <c r="A2148" s="55"/>
      <c r="B2148" s="56"/>
      <c r="C2148" s="56"/>
      <c r="D2148" s="56"/>
      <c r="E2148" s="57"/>
      <c r="F2148" s="58"/>
      <c r="G2148" s="59"/>
      <c r="H2148" s="56"/>
      <c r="I2148" s="56"/>
      <c r="J2148" s="60" t="str">
        <f aca="false">IF(IsPro,IF($D2148="","",IFERROR(INDEX(Items!$D$5:$D$504,U2148),"")),"")</f>
        <v/>
      </c>
      <c r="K2148" s="61" t="str">
        <f aca="false">IF(IsPro,IF($D2148="","",IF($F2148="",IFERROR(INDEX(Items!$H$5:$H$504,U2148),0),$F2148)),"")</f>
        <v/>
      </c>
      <c r="L2148" s="61" t="str">
        <f aca="false">IF(IsPro,IF($D2148="","",ROUND(N($E2148)*K2148*(1-N($G2148)),2)),"")</f>
        <v/>
      </c>
      <c r="M2148" s="62" t="str">
        <f aca="false">IF(IsPro,IF($D2148="","",IFERROR(INDEX(Items!$F$5:$F$504,U2148),0)),"")</f>
        <v/>
      </c>
      <c r="N2148" s="61" t="str">
        <f aca="false">IF(IsPro,IF($D2148="","",IF(AND(V2148&lt;&gt;"",INDEX(Parties!$E$5:$E$304,V2148)&lt;&gt;"",INDEX(Parties!$E$5:$E$304,V2148)&lt;&gt;HomeState),0,ROUND(L2148*M2148/2,2))),"")</f>
        <v/>
      </c>
      <c r="O2148" s="61" t="str">
        <f aca="false">IF(IsPro,IF($D2148="","",N2148),"")</f>
        <v/>
      </c>
      <c r="P2148" s="61" t="str">
        <f aca="false">IF(IsPro,IF($D2148="","",IF(AND(V2148&lt;&gt;"",INDEX(Parties!$E$5:$E$304,V2148)&lt;&gt;"",INDEX(Parties!$E$5:$E$304,V2148)&lt;&gt;HomeState),ROUND(L2148*M2148,2),0)),"")</f>
        <v/>
      </c>
      <c r="Q2148" s="61" t="str">
        <f aca="false">IF(IsPro,IF($D2148="","",L2148+N2148+O2148+P2148),"")</f>
        <v/>
      </c>
      <c r="R2148" s="61" t="str">
        <f aca="false">IF(IsPro,IF($D2148="","",ROUND(N($E2148)*IFERROR(INDEX(Items!$P$5:$P$504,U2148),0),2)),"")</f>
        <v/>
      </c>
      <c r="S2148" s="61" t="str">
        <f aca="false">IF(IsPro,IF($D2148="","",L2148-R2148),"")</f>
        <v/>
      </c>
      <c r="T2148" s="60" t="str">
        <f aca="false">IF(IsPro,IF($D2148="","",IF(U2148="","UNKNOWN ITEM",IF(INDEX(Items!$O$5:$O$504,U2148)&lt;0,"NEG STOCK",IF(K2148&lt;INDEX(Items!$P$5:$P$504,U2148),"BELOW COST","OK")))),IF($D2148="","","PRO PLAN"))</f>
        <v/>
      </c>
      <c r="U2148" s="60" t="str">
        <f aca="false">IF(IsPro,IF($D2148="","",IFERROR(MATCH($D2148,Items!$A$5:$A$504,0),"")),"")</f>
        <v/>
      </c>
      <c r="V2148" s="60" t="str">
        <f aca="false">IF(IsPro,IF($C2148="","",IFERROR(MATCH($C2148,Parties!$A$5:$A$304,0),"")),"")</f>
        <v/>
      </c>
      <c r="W2148" s="60" t="str">
        <f aca="false">IF(IsPro,IF($B2148="","",IFERROR(VALUE(SUBSTITUTE($B2148,InvPrefix,"")),0)),"")</f>
        <v/>
      </c>
      <c r="X2148" s="61" t="str">
        <f aca="false">IF(IsPro,IF($D2148="","",IF(OR($H2148="",$H2148="Credit"),0,Q2148)),"")</f>
        <v/>
      </c>
    </row>
    <row r="2149" customFormat="false" ht="15" hidden="false" customHeight="false" outlineLevel="0" collapsed="false">
      <c r="A2149" s="55"/>
      <c r="B2149" s="56"/>
      <c r="C2149" s="56"/>
      <c r="D2149" s="56"/>
      <c r="E2149" s="57"/>
      <c r="F2149" s="58"/>
      <c r="G2149" s="59"/>
      <c r="H2149" s="56"/>
      <c r="I2149" s="56"/>
      <c r="J2149" s="60" t="str">
        <f aca="false">IF(IsPro,IF($D2149="","",IFERROR(INDEX(Items!$D$5:$D$504,U2149),"")),"")</f>
        <v/>
      </c>
      <c r="K2149" s="61" t="str">
        <f aca="false">IF(IsPro,IF($D2149="","",IF($F2149="",IFERROR(INDEX(Items!$H$5:$H$504,U2149),0),$F2149)),"")</f>
        <v/>
      </c>
      <c r="L2149" s="61" t="str">
        <f aca="false">IF(IsPro,IF($D2149="","",ROUND(N($E2149)*K2149*(1-N($G2149)),2)),"")</f>
        <v/>
      </c>
      <c r="M2149" s="62" t="str">
        <f aca="false">IF(IsPro,IF($D2149="","",IFERROR(INDEX(Items!$F$5:$F$504,U2149),0)),"")</f>
        <v/>
      </c>
      <c r="N2149" s="61" t="str">
        <f aca="false">IF(IsPro,IF($D2149="","",IF(AND(V2149&lt;&gt;"",INDEX(Parties!$E$5:$E$304,V2149)&lt;&gt;"",INDEX(Parties!$E$5:$E$304,V2149)&lt;&gt;HomeState),0,ROUND(L2149*M2149/2,2))),"")</f>
        <v/>
      </c>
      <c r="O2149" s="61" t="str">
        <f aca="false">IF(IsPro,IF($D2149="","",N2149),"")</f>
        <v/>
      </c>
      <c r="P2149" s="61" t="str">
        <f aca="false">IF(IsPro,IF($D2149="","",IF(AND(V2149&lt;&gt;"",INDEX(Parties!$E$5:$E$304,V2149)&lt;&gt;"",INDEX(Parties!$E$5:$E$304,V2149)&lt;&gt;HomeState),ROUND(L2149*M2149,2),0)),"")</f>
        <v/>
      </c>
      <c r="Q2149" s="61" t="str">
        <f aca="false">IF(IsPro,IF($D2149="","",L2149+N2149+O2149+P2149),"")</f>
        <v/>
      </c>
      <c r="R2149" s="61" t="str">
        <f aca="false">IF(IsPro,IF($D2149="","",ROUND(N($E2149)*IFERROR(INDEX(Items!$P$5:$P$504,U2149),0),2)),"")</f>
        <v/>
      </c>
      <c r="S2149" s="61" t="str">
        <f aca="false">IF(IsPro,IF($D2149="","",L2149-R2149),"")</f>
        <v/>
      </c>
      <c r="T2149" s="60" t="str">
        <f aca="false">IF(IsPro,IF($D2149="","",IF(U2149="","UNKNOWN ITEM",IF(INDEX(Items!$O$5:$O$504,U2149)&lt;0,"NEG STOCK",IF(K2149&lt;INDEX(Items!$P$5:$P$504,U2149),"BELOW COST","OK")))),IF($D2149="","","PRO PLAN"))</f>
        <v/>
      </c>
      <c r="U2149" s="60" t="str">
        <f aca="false">IF(IsPro,IF($D2149="","",IFERROR(MATCH($D2149,Items!$A$5:$A$504,0),"")),"")</f>
        <v/>
      </c>
      <c r="V2149" s="60" t="str">
        <f aca="false">IF(IsPro,IF($C2149="","",IFERROR(MATCH($C2149,Parties!$A$5:$A$304,0),"")),"")</f>
        <v/>
      </c>
      <c r="W2149" s="60" t="str">
        <f aca="false">IF(IsPro,IF($B2149="","",IFERROR(VALUE(SUBSTITUTE($B2149,InvPrefix,"")),0)),"")</f>
        <v/>
      </c>
      <c r="X2149" s="61" t="str">
        <f aca="false">IF(IsPro,IF($D2149="","",IF(OR($H2149="",$H2149="Credit"),0,Q2149)),"")</f>
        <v/>
      </c>
    </row>
    <row r="2150" customFormat="false" ht="15" hidden="false" customHeight="false" outlineLevel="0" collapsed="false">
      <c r="A2150" s="55"/>
      <c r="B2150" s="56"/>
      <c r="C2150" s="56"/>
      <c r="D2150" s="56"/>
      <c r="E2150" s="57"/>
      <c r="F2150" s="58"/>
      <c r="G2150" s="59"/>
      <c r="H2150" s="56"/>
      <c r="I2150" s="56"/>
      <c r="J2150" s="60" t="str">
        <f aca="false">IF(IsPro,IF($D2150="","",IFERROR(INDEX(Items!$D$5:$D$504,U2150),"")),"")</f>
        <v/>
      </c>
      <c r="K2150" s="61" t="str">
        <f aca="false">IF(IsPro,IF($D2150="","",IF($F2150="",IFERROR(INDEX(Items!$H$5:$H$504,U2150),0),$F2150)),"")</f>
        <v/>
      </c>
      <c r="L2150" s="61" t="str">
        <f aca="false">IF(IsPro,IF($D2150="","",ROUND(N($E2150)*K2150*(1-N($G2150)),2)),"")</f>
        <v/>
      </c>
      <c r="M2150" s="62" t="str">
        <f aca="false">IF(IsPro,IF($D2150="","",IFERROR(INDEX(Items!$F$5:$F$504,U2150),0)),"")</f>
        <v/>
      </c>
      <c r="N2150" s="61" t="str">
        <f aca="false">IF(IsPro,IF($D2150="","",IF(AND(V2150&lt;&gt;"",INDEX(Parties!$E$5:$E$304,V2150)&lt;&gt;"",INDEX(Parties!$E$5:$E$304,V2150)&lt;&gt;HomeState),0,ROUND(L2150*M2150/2,2))),"")</f>
        <v/>
      </c>
      <c r="O2150" s="61" t="str">
        <f aca="false">IF(IsPro,IF($D2150="","",N2150),"")</f>
        <v/>
      </c>
      <c r="P2150" s="61" t="str">
        <f aca="false">IF(IsPro,IF($D2150="","",IF(AND(V2150&lt;&gt;"",INDEX(Parties!$E$5:$E$304,V2150)&lt;&gt;"",INDEX(Parties!$E$5:$E$304,V2150)&lt;&gt;HomeState),ROUND(L2150*M2150,2),0)),"")</f>
        <v/>
      </c>
      <c r="Q2150" s="61" t="str">
        <f aca="false">IF(IsPro,IF($D2150="","",L2150+N2150+O2150+P2150),"")</f>
        <v/>
      </c>
      <c r="R2150" s="61" t="str">
        <f aca="false">IF(IsPro,IF($D2150="","",ROUND(N($E2150)*IFERROR(INDEX(Items!$P$5:$P$504,U2150),0),2)),"")</f>
        <v/>
      </c>
      <c r="S2150" s="61" t="str">
        <f aca="false">IF(IsPro,IF($D2150="","",L2150-R2150),"")</f>
        <v/>
      </c>
      <c r="T2150" s="60" t="str">
        <f aca="false">IF(IsPro,IF($D2150="","",IF(U2150="","UNKNOWN ITEM",IF(INDEX(Items!$O$5:$O$504,U2150)&lt;0,"NEG STOCK",IF(K2150&lt;INDEX(Items!$P$5:$P$504,U2150),"BELOW COST","OK")))),IF($D2150="","","PRO PLAN"))</f>
        <v/>
      </c>
      <c r="U2150" s="60" t="str">
        <f aca="false">IF(IsPro,IF($D2150="","",IFERROR(MATCH($D2150,Items!$A$5:$A$504,0),"")),"")</f>
        <v/>
      </c>
      <c r="V2150" s="60" t="str">
        <f aca="false">IF(IsPro,IF($C2150="","",IFERROR(MATCH($C2150,Parties!$A$5:$A$304,0),"")),"")</f>
        <v/>
      </c>
      <c r="W2150" s="60" t="str">
        <f aca="false">IF(IsPro,IF($B2150="","",IFERROR(VALUE(SUBSTITUTE($B2150,InvPrefix,"")),0)),"")</f>
        <v/>
      </c>
      <c r="X2150" s="61" t="str">
        <f aca="false">IF(IsPro,IF($D2150="","",IF(OR($H2150="",$H2150="Credit"),0,Q2150)),"")</f>
        <v/>
      </c>
    </row>
    <row r="2151" customFormat="false" ht="15" hidden="false" customHeight="false" outlineLevel="0" collapsed="false">
      <c r="A2151" s="55"/>
      <c r="B2151" s="56"/>
      <c r="C2151" s="56"/>
      <c r="D2151" s="56"/>
      <c r="E2151" s="57"/>
      <c r="F2151" s="58"/>
      <c r="G2151" s="59"/>
      <c r="H2151" s="56"/>
      <c r="I2151" s="56"/>
      <c r="J2151" s="60" t="str">
        <f aca="false">IF(IsPro,IF($D2151="","",IFERROR(INDEX(Items!$D$5:$D$504,U2151),"")),"")</f>
        <v/>
      </c>
      <c r="K2151" s="61" t="str">
        <f aca="false">IF(IsPro,IF($D2151="","",IF($F2151="",IFERROR(INDEX(Items!$H$5:$H$504,U2151),0),$F2151)),"")</f>
        <v/>
      </c>
      <c r="L2151" s="61" t="str">
        <f aca="false">IF(IsPro,IF($D2151="","",ROUND(N($E2151)*K2151*(1-N($G2151)),2)),"")</f>
        <v/>
      </c>
      <c r="M2151" s="62" t="str">
        <f aca="false">IF(IsPro,IF($D2151="","",IFERROR(INDEX(Items!$F$5:$F$504,U2151),0)),"")</f>
        <v/>
      </c>
      <c r="N2151" s="61" t="str">
        <f aca="false">IF(IsPro,IF($D2151="","",IF(AND(V2151&lt;&gt;"",INDEX(Parties!$E$5:$E$304,V2151)&lt;&gt;"",INDEX(Parties!$E$5:$E$304,V2151)&lt;&gt;HomeState),0,ROUND(L2151*M2151/2,2))),"")</f>
        <v/>
      </c>
      <c r="O2151" s="61" t="str">
        <f aca="false">IF(IsPro,IF($D2151="","",N2151),"")</f>
        <v/>
      </c>
      <c r="P2151" s="61" t="str">
        <f aca="false">IF(IsPro,IF($D2151="","",IF(AND(V2151&lt;&gt;"",INDEX(Parties!$E$5:$E$304,V2151)&lt;&gt;"",INDEX(Parties!$E$5:$E$304,V2151)&lt;&gt;HomeState),ROUND(L2151*M2151,2),0)),"")</f>
        <v/>
      </c>
      <c r="Q2151" s="61" t="str">
        <f aca="false">IF(IsPro,IF($D2151="","",L2151+N2151+O2151+P2151),"")</f>
        <v/>
      </c>
      <c r="R2151" s="61" t="str">
        <f aca="false">IF(IsPro,IF($D2151="","",ROUND(N($E2151)*IFERROR(INDEX(Items!$P$5:$P$504,U2151),0),2)),"")</f>
        <v/>
      </c>
      <c r="S2151" s="61" t="str">
        <f aca="false">IF(IsPro,IF($D2151="","",L2151-R2151),"")</f>
        <v/>
      </c>
      <c r="T2151" s="60" t="str">
        <f aca="false">IF(IsPro,IF($D2151="","",IF(U2151="","UNKNOWN ITEM",IF(INDEX(Items!$O$5:$O$504,U2151)&lt;0,"NEG STOCK",IF(K2151&lt;INDEX(Items!$P$5:$P$504,U2151),"BELOW COST","OK")))),IF($D2151="","","PRO PLAN"))</f>
        <v/>
      </c>
      <c r="U2151" s="60" t="str">
        <f aca="false">IF(IsPro,IF($D2151="","",IFERROR(MATCH($D2151,Items!$A$5:$A$504,0),"")),"")</f>
        <v/>
      </c>
      <c r="V2151" s="60" t="str">
        <f aca="false">IF(IsPro,IF($C2151="","",IFERROR(MATCH($C2151,Parties!$A$5:$A$304,0),"")),"")</f>
        <v/>
      </c>
      <c r="W2151" s="60" t="str">
        <f aca="false">IF(IsPro,IF($B2151="","",IFERROR(VALUE(SUBSTITUTE($B2151,InvPrefix,"")),0)),"")</f>
        <v/>
      </c>
      <c r="X2151" s="61" t="str">
        <f aca="false">IF(IsPro,IF($D2151="","",IF(OR($H2151="",$H2151="Credit"),0,Q2151)),"")</f>
        <v/>
      </c>
    </row>
    <row r="2152" customFormat="false" ht="15" hidden="false" customHeight="false" outlineLevel="0" collapsed="false">
      <c r="A2152" s="55"/>
      <c r="B2152" s="56"/>
      <c r="C2152" s="56"/>
      <c r="D2152" s="56"/>
      <c r="E2152" s="57"/>
      <c r="F2152" s="58"/>
      <c r="G2152" s="59"/>
      <c r="H2152" s="56"/>
      <c r="I2152" s="56"/>
      <c r="J2152" s="60" t="str">
        <f aca="false">IF(IsPro,IF($D2152="","",IFERROR(INDEX(Items!$D$5:$D$504,U2152),"")),"")</f>
        <v/>
      </c>
      <c r="K2152" s="61" t="str">
        <f aca="false">IF(IsPro,IF($D2152="","",IF($F2152="",IFERROR(INDEX(Items!$H$5:$H$504,U2152),0),$F2152)),"")</f>
        <v/>
      </c>
      <c r="L2152" s="61" t="str">
        <f aca="false">IF(IsPro,IF($D2152="","",ROUND(N($E2152)*K2152*(1-N($G2152)),2)),"")</f>
        <v/>
      </c>
      <c r="M2152" s="62" t="str">
        <f aca="false">IF(IsPro,IF($D2152="","",IFERROR(INDEX(Items!$F$5:$F$504,U2152),0)),"")</f>
        <v/>
      </c>
      <c r="N2152" s="61" t="str">
        <f aca="false">IF(IsPro,IF($D2152="","",IF(AND(V2152&lt;&gt;"",INDEX(Parties!$E$5:$E$304,V2152)&lt;&gt;"",INDEX(Parties!$E$5:$E$304,V2152)&lt;&gt;HomeState),0,ROUND(L2152*M2152/2,2))),"")</f>
        <v/>
      </c>
      <c r="O2152" s="61" t="str">
        <f aca="false">IF(IsPro,IF($D2152="","",N2152),"")</f>
        <v/>
      </c>
      <c r="P2152" s="61" t="str">
        <f aca="false">IF(IsPro,IF($D2152="","",IF(AND(V2152&lt;&gt;"",INDEX(Parties!$E$5:$E$304,V2152)&lt;&gt;"",INDEX(Parties!$E$5:$E$304,V2152)&lt;&gt;HomeState),ROUND(L2152*M2152,2),0)),"")</f>
        <v/>
      </c>
      <c r="Q2152" s="61" t="str">
        <f aca="false">IF(IsPro,IF($D2152="","",L2152+N2152+O2152+P2152),"")</f>
        <v/>
      </c>
      <c r="R2152" s="61" t="str">
        <f aca="false">IF(IsPro,IF($D2152="","",ROUND(N($E2152)*IFERROR(INDEX(Items!$P$5:$P$504,U2152),0),2)),"")</f>
        <v/>
      </c>
      <c r="S2152" s="61" t="str">
        <f aca="false">IF(IsPro,IF($D2152="","",L2152-R2152),"")</f>
        <v/>
      </c>
      <c r="T2152" s="60" t="str">
        <f aca="false">IF(IsPro,IF($D2152="","",IF(U2152="","UNKNOWN ITEM",IF(INDEX(Items!$O$5:$O$504,U2152)&lt;0,"NEG STOCK",IF(K2152&lt;INDEX(Items!$P$5:$P$504,U2152),"BELOW COST","OK")))),IF($D2152="","","PRO PLAN"))</f>
        <v/>
      </c>
      <c r="U2152" s="60" t="str">
        <f aca="false">IF(IsPro,IF($D2152="","",IFERROR(MATCH($D2152,Items!$A$5:$A$504,0),"")),"")</f>
        <v/>
      </c>
      <c r="V2152" s="60" t="str">
        <f aca="false">IF(IsPro,IF($C2152="","",IFERROR(MATCH($C2152,Parties!$A$5:$A$304,0),"")),"")</f>
        <v/>
      </c>
      <c r="W2152" s="60" t="str">
        <f aca="false">IF(IsPro,IF($B2152="","",IFERROR(VALUE(SUBSTITUTE($B2152,InvPrefix,"")),0)),"")</f>
        <v/>
      </c>
      <c r="X2152" s="61" t="str">
        <f aca="false">IF(IsPro,IF($D2152="","",IF(OR($H2152="",$H2152="Credit"),0,Q2152)),"")</f>
        <v/>
      </c>
    </row>
    <row r="2153" customFormat="false" ht="15" hidden="false" customHeight="false" outlineLevel="0" collapsed="false">
      <c r="A2153" s="55"/>
      <c r="B2153" s="56"/>
      <c r="C2153" s="56"/>
      <c r="D2153" s="56"/>
      <c r="E2153" s="57"/>
      <c r="F2153" s="58"/>
      <c r="G2153" s="59"/>
      <c r="H2153" s="56"/>
      <c r="I2153" s="56"/>
      <c r="J2153" s="60" t="str">
        <f aca="false">IF(IsPro,IF($D2153="","",IFERROR(INDEX(Items!$D$5:$D$504,U2153),"")),"")</f>
        <v/>
      </c>
      <c r="K2153" s="61" t="str">
        <f aca="false">IF(IsPro,IF($D2153="","",IF($F2153="",IFERROR(INDEX(Items!$H$5:$H$504,U2153),0),$F2153)),"")</f>
        <v/>
      </c>
      <c r="L2153" s="61" t="str">
        <f aca="false">IF(IsPro,IF($D2153="","",ROUND(N($E2153)*K2153*(1-N($G2153)),2)),"")</f>
        <v/>
      </c>
      <c r="M2153" s="62" t="str">
        <f aca="false">IF(IsPro,IF($D2153="","",IFERROR(INDEX(Items!$F$5:$F$504,U2153),0)),"")</f>
        <v/>
      </c>
      <c r="N2153" s="61" t="str">
        <f aca="false">IF(IsPro,IF($D2153="","",IF(AND(V2153&lt;&gt;"",INDEX(Parties!$E$5:$E$304,V2153)&lt;&gt;"",INDEX(Parties!$E$5:$E$304,V2153)&lt;&gt;HomeState),0,ROUND(L2153*M2153/2,2))),"")</f>
        <v/>
      </c>
      <c r="O2153" s="61" t="str">
        <f aca="false">IF(IsPro,IF($D2153="","",N2153),"")</f>
        <v/>
      </c>
      <c r="P2153" s="61" t="str">
        <f aca="false">IF(IsPro,IF($D2153="","",IF(AND(V2153&lt;&gt;"",INDEX(Parties!$E$5:$E$304,V2153)&lt;&gt;"",INDEX(Parties!$E$5:$E$304,V2153)&lt;&gt;HomeState),ROUND(L2153*M2153,2),0)),"")</f>
        <v/>
      </c>
      <c r="Q2153" s="61" t="str">
        <f aca="false">IF(IsPro,IF($D2153="","",L2153+N2153+O2153+P2153),"")</f>
        <v/>
      </c>
      <c r="R2153" s="61" t="str">
        <f aca="false">IF(IsPro,IF($D2153="","",ROUND(N($E2153)*IFERROR(INDEX(Items!$P$5:$P$504,U2153),0),2)),"")</f>
        <v/>
      </c>
      <c r="S2153" s="61" t="str">
        <f aca="false">IF(IsPro,IF($D2153="","",L2153-R2153),"")</f>
        <v/>
      </c>
      <c r="T2153" s="60" t="str">
        <f aca="false">IF(IsPro,IF($D2153="","",IF(U2153="","UNKNOWN ITEM",IF(INDEX(Items!$O$5:$O$504,U2153)&lt;0,"NEG STOCK",IF(K2153&lt;INDEX(Items!$P$5:$P$504,U2153),"BELOW COST","OK")))),IF($D2153="","","PRO PLAN"))</f>
        <v/>
      </c>
      <c r="U2153" s="60" t="str">
        <f aca="false">IF(IsPro,IF($D2153="","",IFERROR(MATCH($D2153,Items!$A$5:$A$504,0),"")),"")</f>
        <v/>
      </c>
      <c r="V2153" s="60" t="str">
        <f aca="false">IF(IsPro,IF($C2153="","",IFERROR(MATCH($C2153,Parties!$A$5:$A$304,0),"")),"")</f>
        <v/>
      </c>
      <c r="W2153" s="60" t="str">
        <f aca="false">IF(IsPro,IF($B2153="","",IFERROR(VALUE(SUBSTITUTE($B2153,InvPrefix,"")),0)),"")</f>
        <v/>
      </c>
      <c r="X2153" s="61" t="str">
        <f aca="false">IF(IsPro,IF($D2153="","",IF(OR($H2153="",$H2153="Credit"),0,Q2153)),"")</f>
        <v/>
      </c>
    </row>
    <row r="2154" customFormat="false" ht="15" hidden="false" customHeight="false" outlineLevel="0" collapsed="false">
      <c r="A2154" s="55"/>
      <c r="B2154" s="56"/>
      <c r="C2154" s="56"/>
      <c r="D2154" s="56"/>
      <c r="E2154" s="57"/>
      <c r="F2154" s="58"/>
      <c r="G2154" s="59"/>
      <c r="H2154" s="56"/>
      <c r="I2154" s="56"/>
      <c r="J2154" s="60" t="str">
        <f aca="false">IF(IsPro,IF($D2154="","",IFERROR(INDEX(Items!$D$5:$D$504,U2154),"")),"")</f>
        <v/>
      </c>
      <c r="K2154" s="61" t="str">
        <f aca="false">IF(IsPro,IF($D2154="","",IF($F2154="",IFERROR(INDEX(Items!$H$5:$H$504,U2154),0),$F2154)),"")</f>
        <v/>
      </c>
      <c r="L2154" s="61" t="str">
        <f aca="false">IF(IsPro,IF($D2154="","",ROUND(N($E2154)*K2154*(1-N($G2154)),2)),"")</f>
        <v/>
      </c>
      <c r="M2154" s="62" t="str">
        <f aca="false">IF(IsPro,IF($D2154="","",IFERROR(INDEX(Items!$F$5:$F$504,U2154),0)),"")</f>
        <v/>
      </c>
      <c r="N2154" s="61" t="str">
        <f aca="false">IF(IsPro,IF($D2154="","",IF(AND(V2154&lt;&gt;"",INDEX(Parties!$E$5:$E$304,V2154)&lt;&gt;"",INDEX(Parties!$E$5:$E$304,V2154)&lt;&gt;HomeState),0,ROUND(L2154*M2154/2,2))),"")</f>
        <v/>
      </c>
      <c r="O2154" s="61" t="str">
        <f aca="false">IF(IsPro,IF($D2154="","",N2154),"")</f>
        <v/>
      </c>
      <c r="P2154" s="61" t="str">
        <f aca="false">IF(IsPro,IF($D2154="","",IF(AND(V2154&lt;&gt;"",INDEX(Parties!$E$5:$E$304,V2154)&lt;&gt;"",INDEX(Parties!$E$5:$E$304,V2154)&lt;&gt;HomeState),ROUND(L2154*M2154,2),0)),"")</f>
        <v/>
      </c>
      <c r="Q2154" s="61" t="str">
        <f aca="false">IF(IsPro,IF($D2154="","",L2154+N2154+O2154+P2154),"")</f>
        <v/>
      </c>
      <c r="R2154" s="61" t="str">
        <f aca="false">IF(IsPro,IF($D2154="","",ROUND(N($E2154)*IFERROR(INDEX(Items!$P$5:$P$504,U2154),0),2)),"")</f>
        <v/>
      </c>
      <c r="S2154" s="61" t="str">
        <f aca="false">IF(IsPro,IF($D2154="","",L2154-R2154),"")</f>
        <v/>
      </c>
      <c r="T2154" s="60" t="str">
        <f aca="false">IF(IsPro,IF($D2154="","",IF(U2154="","UNKNOWN ITEM",IF(INDEX(Items!$O$5:$O$504,U2154)&lt;0,"NEG STOCK",IF(K2154&lt;INDEX(Items!$P$5:$P$504,U2154),"BELOW COST","OK")))),IF($D2154="","","PRO PLAN"))</f>
        <v/>
      </c>
      <c r="U2154" s="60" t="str">
        <f aca="false">IF(IsPro,IF($D2154="","",IFERROR(MATCH($D2154,Items!$A$5:$A$504,0),"")),"")</f>
        <v/>
      </c>
      <c r="V2154" s="60" t="str">
        <f aca="false">IF(IsPro,IF($C2154="","",IFERROR(MATCH($C2154,Parties!$A$5:$A$304,0),"")),"")</f>
        <v/>
      </c>
      <c r="W2154" s="60" t="str">
        <f aca="false">IF(IsPro,IF($B2154="","",IFERROR(VALUE(SUBSTITUTE($B2154,InvPrefix,"")),0)),"")</f>
        <v/>
      </c>
      <c r="X2154" s="61" t="str">
        <f aca="false">IF(IsPro,IF($D2154="","",IF(OR($H2154="",$H2154="Credit"),0,Q2154)),"")</f>
        <v/>
      </c>
    </row>
    <row r="2155" customFormat="false" ht="15" hidden="false" customHeight="false" outlineLevel="0" collapsed="false">
      <c r="A2155" s="55"/>
      <c r="B2155" s="56"/>
      <c r="C2155" s="56"/>
      <c r="D2155" s="56"/>
      <c r="E2155" s="57"/>
      <c r="F2155" s="58"/>
      <c r="G2155" s="59"/>
      <c r="H2155" s="56"/>
      <c r="I2155" s="56"/>
      <c r="J2155" s="60" t="str">
        <f aca="false">IF(IsPro,IF($D2155="","",IFERROR(INDEX(Items!$D$5:$D$504,U2155),"")),"")</f>
        <v/>
      </c>
      <c r="K2155" s="61" t="str">
        <f aca="false">IF(IsPro,IF($D2155="","",IF($F2155="",IFERROR(INDEX(Items!$H$5:$H$504,U2155),0),$F2155)),"")</f>
        <v/>
      </c>
      <c r="L2155" s="61" t="str">
        <f aca="false">IF(IsPro,IF($D2155="","",ROUND(N($E2155)*K2155*(1-N($G2155)),2)),"")</f>
        <v/>
      </c>
      <c r="M2155" s="62" t="str">
        <f aca="false">IF(IsPro,IF($D2155="","",IFERROR(INDEX(Items!$F$5:$F$504,U2155),0)),"")</f>
        <v/>
      </c>
      <c r="N2155" s="61" t="str">
        <f aca="false">IF(IsPro,IF($D2155="","",IF(AND(V2155&lt;&gt;"",INDEX(Parties!$E$5:$E$304,V2155)&lt;&gt;"",INDEX(Parties!$E$5:$E$304,V2155)&lt;&gt;HomeState),0,ROUND(L2155*M2155/2,2))),"")</f>
        <v/>
      </c>
      <c r="O2155" s="61" t="str">
        <f aca="false">IF(IsPro,IF($D2155="","",N2155),"")</f>
        <v/>
      </c>
      <c r="P2155" s="61" t="str">
        <f aca="false">IF(IsPro,IF($D2155="","",IF(AND(V2155&lt;&gt;"",INDEX(Parties!$E$5:$E$304,V2155)&lt;&gt;"",INDEX(Parties!$E$5:$E$304,V2155)&lt;&gt;HomeState),ROUND(L2155*M2155,2),0)),"")</f>
        <v/>
      </c>
      <c r="Q2155" s="61" t="str">
        <f aca="false">IF(IsPro,IF($D2155="","",L2155+N2155+O2155+P2155),"")</f>
        <v/>
      </c>
      <c r="R2155" s="61" t="str">
        <f aca="false">IF(IsPro,IF($D2155="","",ROUND(N($E2155)*IFERROR(INDEX(Items!$P$5:$P$504,U2155),0),2)),"")</f>
        <v/>
      </c>
      <c r="S2155" s="61" t="str">
        <f aca="false">IF(IsPro,IF($D2155="","",L2155-R2155),"")</f>
        <v/>
      </c>
      <c r="T2155" s="60" t="str">
        <f aca="false">IF(IsPro,IF($D2155="","",IF(U2155="","UNKNOWN ITEM",IF(INDEX(Items!$O$5:$O$504,U2155)&lt;0,"NEG STOCK",IF(K2155&lt;INDEX(Items!$P$5:$P$504,U2155),"BELOW COST","OK")))),IF($D2155="","","PRO PLAN"))</f>
        <v/>
      </c>
      <c r="U2155" s="60" t="str">
        <f aca="false">IF(IsPro,IF($D2155="","",IFERROR(MATCH($D2155,Items!$A$5:$A$504,0),"")),"")</f>
        <v/>
      </c>
      <c r="V2155" s="60" t="str">
        <f aca="false">IF(IsPro,IF($C2155="","",IFERROR(MATCH($C2155,Parties!$A$5:$A$304,0),"")),"")</f>
        <v/>
      </c>
      <c r="W2155" s="60" t="str">
        <f aca="false">IF(IsPro,IF($B2155="","",IFERROR(VALUE(SUBSTITUTE($B2155,InvPrefix,"")),0)),"")</f>
        <v/>
      </c>
      <c r="X2155" s="61" t="str">
        <f aca="false">IF(IsPro,IF($D2155="","",IF(OR($H2155="",$H2155="Credit"),0,Q2155)),"")</f>
        <v/>
      </c>
    </row>
    <row r="2156" customFormat="false" ht="15" hidden="false" customHeight="false" outlineLevel="0" collapsed="false">
      <c r="A2156" s="55"/>
      <c r="B2156" s="56"/>
      <c r="C2156" s="56"/>
      <c r="D2156" s="56"/>
      <c r="E2156" s="57"/>
      <c r="F2156" s="58"/>
      <c r="G2156" s="59"/>
      <c r="H2156" s="56"/>
      <c r="I2156" s="56"/>
      <c r="J2156" s="60" t="str">
        <f aca="false">IF(IsPro,IF($D2156="","",IFERROR(INDEX(Items!$D$5:$D$504,U2156),"")),"")</f>
        <v/>
      </c>
      <c r="K2156" s="61" t="str">
        <f aca="false">IF(IsPro,IF($D2156="","",IF($F2156="",IFERROR(INDEX(Items!$H$5:$H$504,U2156),0),$F2156)),"")</f>
        <v/>
      </c>
      <c r="L2156" s="61" t="str">
        <f aca="false">IF(IsPro,IF($D2156="","",ROUND(N($E2156)*K2156*(1-N($G2156)),2)),"")</f>
        <v/>
      </c>
      <c r="M2156" s="62" t="str">
        <f aca="false">IF(IsPro,IF($D2156="","",IFERROR(INDEX(Items!$F$5:$F$504,U2156),0)),"")</f>
        <v/>
      </c>
      <c r="N2156" s="61" t="str">
        <f aca="false">IF(IsPro,IF($D2156="","",IF(AND(V2156&lt;&gt;"",INDEX(Parties!$E$5:$E$304,V2156)&lt;&gt;"",INDEX(Parties!$E$5:$E$304,V2156)&lt;&gt;HomeState),0,ROUND(L2156*M2156/2,2))),"")</f>
        <v/>
      </c>
      <c r="O2156" s="61" t="str">
        <f aca="false">IF(IsPro,IF($D2156="","",N2156),"")</f>
        <v/>
      </c>
      <c r="P2156" s="61" t="str">
        <f aca="false">IF(IsPro,IF($D2156="","",IF(AND(V2156&lt;&gt;"",INDEX(Parties!$E$5:$E$304,V2156)&lt;&gt;"",INDEX(Parties!$E$5:$E$304,V2156)&lt;&gt;HomeState),ROUND(L2156*M2156,2),0)),"")</f>
        <v/>
      </c>
      <c r="Q2156" s="61" t="str">
        <f aca="false">IF(IsPro,IF($D2156="","",L2156+N2156+O2156+P2156),"")</f>
        <v/>
      </c>
      <c r="R2156" s="61" t="str">
        <f aca="false">IF(IsPro,IF($D2156="","",ROUND(N($E2156)*IFERROR(INDEX(Items!$P$5:$P$504,U2156),0),2)),"")</f>
        <v/>
      </c>
      <c r="S2156" s="61" t="str">
        <f aca="false">IF(IsPro,IF($D2156="","",L2156-R2156),"")</f>
        <v/>
      </c>
      <c r="T2156" s="60" t="str">
        <f aca="false">IF(IsPro,IF($D2156="","",IF(U2156="","UNKNOWN ITEM",IF(INDEX(Items!$O$5:$O$504,U2156)&lt;0,"NEG STOCK",IF(K2156&lt;INDEX(Items!$P$5:$P$504,U2156),"BELOW COST","OK")))),IF($D2156="","","PRO PLAN"))</f>
        <v/>
      </c>
      <c r="U2156" s="60" t="str">
        <f aca="false">IF(IsPro,IF($D2156="","",IFERROR(MATCH($D2156,Items!$A$5:$A$504,0),"")),"")</f>
        <v/>
      </c>
      <c r="V2156" s="60" t="str">
        <f aca="false">IF(IsPro,IF($C2156="","",IFERROR(MATCH($C2156,Parties!$A$5:$A$304,0),"")),"")</f>
        <v/>
      </c>
      <c r="W2156" s="60" t="str">
        <f aca="false">IF(IsPro,IF($B2156="","",IFERROR(VALUE(SUBSTITUTE($B2156,InvPrefix,"")),0)),"")</f>
        <v/>
      </c>
      <c r="X2156" s="61" t="str">
        <f aca="false">IF(IsPro,IF($D2156="","",IF(OR($H2156="",$H2156="Credit"),0,Q2156)),"")</f>
        <v/>
      </c>
    </row>
    <row r="2157" customFormat="false" ht="15" hidden="false" customHeight="false" outlineLevel="0" collapsed="false">
      <c r="A2157" s="55"/>
      <c r="B2157" s="56"/>
      <c r="C2157" s="56"/>
      <c r="D2157" s="56"/>
      <c r="E2157" s="57"/>
      <c r="F2157" s="58"/>
      <c r="G2157" s="59"/>
      <c r="H2157" s="56"/>
      <c r="I2157" s="56"/>
      <c r="J2157" s="60" t="str">
        <f aca="false">IF(IsPro,IF($D2157="","",IFERROR(INDEX(Items!$D$5:$D$504,U2157),"")),"")</f>
        <v/>
      </c>
      <c r="K2157" s="61" t="str">
        <f aca="false">IF(IsPro,IF($D2157="","",IF($F2157="",IFERROR(INDEX(Items!$H$5:$H$504,U2157),0),$F2157)),"")</f>
        <v/>
      </c>
      <c r="L2157" s="61" t="str">
        <f aca="false">IF(IsPro,IF($D2157="","",ROUND(N($E2157)*K2157*(1-N($G2157)),2)),"")</f>
        <v/>
      </c>
      <c r="M2157" s="62" t="str">
        <f aca="false">IF(IsPro,IF($D2157="","",IFERROR(INDEX(Items!$F$5:$F$504,U2157),0)),"")</f>
        <v/>
      </c>
      <c r="N2157" s="61" t="str">
        <f aca="false">IF(IsPro,IF($D2157="","",IF(AND(V2157&lt;&gt;"",INDEX(Parties!$E$5:$E$304,V2157)&lt;&gt;"",INDEX(Parties!$E$5:$E$304,V2157)&lt;&gt;HomeState),0,ROUND(L2157*M2157/2,2))),"")</f>
        <v/>
      </c>
      <c r="O2157" s="61" t="str">
        <f aca="false">IF(IsPro,IF($D2157="","",N2157),"")</f>
        <v/>
      </c>
      <c r="P2157" s="61" t="str">
        <f aca="false">IF(IsPro,IF($D2157="","",IF(AND(V2157&lt;&gt;"",INDEX(Parties!$E$5:$E$304,V2157)&lt;&gt;"",INDEX(Parties!$E$5:$E$304,V2157)&lt;&gt;HomeState),ROUND(L2157*M2157,2),0)),"")</f>
        <v/>
      </c>
      <c r="Q2157" s="61" t="str">
        <f aca="false">IF(IsPro,IF($D2157="","",L2157+N2157+O2157+P2157),"")</f>
        <v/>
      </c>
      <c r="R2157" s="61" t="str">
        <f aca="false">IF(IsPro,IF($D2157="","",ROUND(N($E2157)*IFERROR(INDEX(Items!$P$5:$P$504,U2157),0),2)),"")</f>
        <v/>
      </c>
      <c r="S2157" s="61" t="str">
        <f aca="false">IF(IsPro,IF($D2157="","",L2157-R2157),"")</f>
        <v/>
      </c>
      <c r="T2157" s="60" t="str">
        <f aca="false">IF(IsPro,IF($D2157="","",IF(U2157="","UNKNOWN ITEM",IF(INDEX(Items!$O$5:$O$504,U2157)&lt;0,"NEG STOCK",IF(K2157&lt;INDEX(Items!$P$5:$P$504,U2157),"BELOW COST","OK")))),IF($D2157="","","PRO PLAN"))</f>
        <v/>
      </c>
      <c r="U2157" s="60" t="str">
        <f aca="false">IF(IsPro,IF($D2157="","",IFERROR(MATCH($D2157,Items!$A$5:$A$504,0),"")),"")</f>
        <v/>
      </c>
      <c r="V2157" s="60" t="str">
        <f aca="false">IF(IsPro,IF($C2157="","",IFERROR(MATCH($C2157,Parties!$A$5:$A$304,0),"")),"")</f>
        <v/>
      </c>
      <c r="W2157" s="60" t="str">
        <f aca="false">IF(IsPro,IF($B2157="","",IFERROR(VALUE(SUBSTITUTE($B2157,InvPrefix,"")),0)),"")</f>
        <v/>
      </c>
      <c r="X2157" s="61" t="str">
        <f aca="false">IF(IsPro,IF($D2157="","",IF(OR($H2157="",$H2157="Credit"),0,Q2157)),"")</f>
        <v/>
      </c>
    </row>
    <row r="2158" customFormat="false" ht="15" hidden="false" customHeight="false" outlineLevel="0" collapsed="false">
      <c r="A2158" s="55"/>
      <c r="B2158" s="56"/>
      <c r="C2158" s="56"/>
      <c r="D2158" s="56"/>
      <c r="E2158" s="57"/>
      <c r="F2158" s="58"/>
      <c r="G2158" s="59"/>
      <c r="H2158" s="56"/>
      <c r="I2158" s="56"/>
      <c r="J2158" s="60" t="str">
        <f aca="false">IF(IsPro,IF($D2158="","",IFERROR(INDEX(Items!$D$5:$D$504,U2158),"")),"")</f>
        <v/>
      </c>
      <c r="K2158" s="61" t="str">
        <f aca="false">IF(IsPro,IF($D2158="","",IF($F2158="",IFERROR(INDEX(Items!$H$5:$H$504,U2158),0),$F2158)),"")</f>
        <v/>
      </c>
      <c r="L2158" s="61" t="str">
        <f aca="false">IF(IsPro,IF($D2158="","",ROUND(N($E2158)*K2158*(1-N($G2158)),2)),"")</f>
        <v/>
      </c>
      <c r="M2158" s="62" t="str">
        <f aca="false">IF(IsPro,IF($D2158="","",IFERROR(INDEX(Items!$F$5:$F$504,U2158),0)),"")</f>
        <v/>
      </c>
      <c r="N2158" s="61" t="str">
        <f aca="false">IF(IsPro,IF($D2158="","",IF(AND(V2158&lt;&gt;"",INDEX(Parties!$E$5:$E$304,V2158)&lt;&gt;"",INDEX(Parties!$E$5:$E$304,V2158)&lt;&gt;HomeState),0,ROUND(L2158*M2158/2,2))),"")</f>
        <v/>
      </c>
      <c r="O2158" s="61" t="str">
        <f aca="false">IF(IsPro,IF($D2158="","",N2158),"")</f>
        <v/>
      </c>
      <c r="P2158" s="61" t="str">
        <f aca="false">IF(IsPro,IF($D2158="","",IF(AND(V2158&lt;&gt;"",INDEX(Parties!$E$5:$E$304,V2158)&lt;&gt;"",INDEX(Parties!$E$5:$E$304,V2158)&lt;&gt;HomeState),ROUND(L2158*M2158,2),0)),"")</f>
        <v/>
      </c>
      <c r="Q2158" s="61" t="str">
        <f aca="false">IF(IsPro,IF($D2158="","",L2158+N2158+O2158+P2158),"")</f>
        <v/>
      </c>
      <c r="R2158" s="61" t="str">
        <f aca="false">IF(IsPro,IF($D2158="","",ROUND(N($E2158)*IFERROR(INDEX(Items!$P$5:$P$504,U2158),0),2)),"")</f>
        <v/>
      </c>
      <c r="S2158" s="61" t="str">
        <f aca="false">IF(IsPro,IF($D2158="","",L2158-R2158),"")</f>
        <v/>
      </c>
      <c r="T2158" s="60" t="str">
        <f aca="false">IF(IsPro,IF($D2158="","",IF(U2158="","UNKNOWN ITEM",IF(INDEX(Items!$O$5:$O$504,U2158)&lt;0,"NEG STOCK",IF(K2158&lt;INDEX(Items!$P$5:$P$504,U2158),"BELOW COST","OK")))),IF($D2158="","","PRO PLAN"))</f>
        <v/>
      </c>
      <c r="U2158" s="60" t="str">
        <f aca="false">IF(IsPro,IF($D2158="","",IFERROR(MATCH($D2158,Items!$A$5:$A$504,0),"")),"")</f>
        <v/>
      </c>
      <c r="V2158" s="60" t="str">
        <f aca="false">IF(IsPro,IF($C2158="","",IFERROR(MATCH($C2158,Parties!$A$5:$A$304,0),"")),"")</f>
        <v/>
      </c>
      <c r="W2158" s="60" t="str">
        <f aca="false">IF(IsPro,IF($B2158="","",IFERROR(VALUE(SUBSTITUTE($B2158,InvPrefix,"")),0)),"")</f>
        <v/>
      </c>
      <c r="X2158" s="61" t="str">
        <f aca="false">IF(IsPro,IF($D2158="","",IF(OR($H2158="",$H2158="Credit"),0,Q2158)),"")</f>
        <v/>
      </c>
    </row>
    <row r="2159" customFormat="false" ht="15" hidden="false" customHeight="false" outlineLevel="0" collapsed="false">
      <c r="A2159" s="55"/>
      <c r="B2159" s="56"/>
      <c r="C2159" s="56"/>
      <c r="D2159" s="56"/>
      <c r="E2159" s="57"/>
      <c r="F2159" s="58"/>
      <c r="G2159" s="59"/>
      <c r="H2159" s="56"/>
      <c r="I2159" s="56"/>
      <c r="J2159" s="60" t="str">
        <f aca="false">IF(IsPro,IF($D2159="","",IFERROR(INDEX(Items!$D$5:$D$504,U2159),"")),"")</f>
        <v/>
      </c>
      <c r="K2159" s="61" t="str">
        <f aca="false">IF(IsPro,IF($D2159="","",IF($F2159="",IFERROR(INDEX(Items!$H$5:$H$504,U2159),0),$F2159)),"")</f>
        <v/>
      </c>
      <c r="L2159" s="61" t="str">
        <f aca="false">IF(IsPro,IF($D2159="","",ROUND(N($E2159)*K2159*(1-N($G2159)),2)),"")</f>
        <v/>
      </c>
      <c r="M2159" s="62" t="str">
        <f aca="false">IF(IsPro,IF($D2159="","",IFERROR(INDEX(Items!$F$5:$F$504,U2159),0)),"")</f>
        <v/>
      </c>
      <c r="N2159" s="61" t="str">
        <f aca="false">IF(IsPro,IF($D2159="","",IF(AND(V2159&lt;&gt;"",INDEX(Parties!$E$5:$E$304,V2159)&lt;&gt;"",INDEX(Parties!$E$5:$E$304,V2159)&lt;&gt;HomeState),0,ROUND(L2159*M2159/2,2))),"")</f>
        <v/>
      </c>
      <c r="O2159" s="61" t="str">
        <f aca="false">IF(IsPro,IF($D2159="","",N2159),"")</f>
        <v/>
      </c>
      <c r="P2159" s="61" t="str">
        <f aca="false">IF(IsPro,IF($D2159="","",IF(AND(V2159&lt;&gt;"",INDEX(Parties!$E$5:$E$304,V2159)&lt;&gt;"",INDEX(Parties!$E$5:$E$304,V2159)&lt;&gt;HomeState),ROUND(L2159*M2159,2),0)),"")</f>
        <v/>
      </c>
      <c r="Q2159" s="61" t="str">
        <f aca="false">IF(IsPro,IF($D2159="","",L2159+N2159+O2159+P2159),"")</f>
        <v/>
      </c>
      <c r="R2159" s="61" t="str">
        <f aca="false">IF(IsPro,IF($D2159="","",ROUND(N($E2159)*IFERROR(INDEX(Items!$P$5:$P$504,U2159),0),2)),"")</f>
        <v/>
      </c>
      <c r="S2159" s="61" t="str">
        <f aca="false">IF(IsPro,IF($D2159="","",L2159-R2159),"")</f>
        <v/>
      </c>
      <c r="T2159" s="60" t="str">
        <f aca="false">IF(IsPro,IF($D2159="","",IF(U2159="","UNKNOWN ITEM",IF(INDEX(Items!$O$5:$O$504,U2159)&lt;0,"NEG STOCK",IF(K2159&lt;INDEX(Items!$P$5:$P$504,U2159),"BELOW COST","OK")))),IF($D2159="","","PRO PLAN"))</f>
        <v/>
      </c>
      <c r="U2159" s="60" t="str">
        <f aca="false">IF(IsPro,IF($D2159="","",IFERROR(MATCH($D2159,Items!$A$5:$A$504,0),"")),"")</f>
        <v/>
      </c>
      <c r="V2159" s="60" t="str">
        <f aca="false">IF(IsPro,IF($C2159="","",IFERROR(MATCH($C2159,Parties!$A$5:$A$304,0),"")),"")</f>
        <v/>
      </c>
      <c r="W2159" s="60" t="str">
        <f aca="false">IF(IsPro,IF($B2159="","",IFERROR(VALUE(SUBSTITUTE($B2159,InvPrefix,"")),0)),"")</f>
        <v/>
      </c>
      <c r="X2159" s="61" t="str">
        <f aca="false">IF(IsPro,IF($D2159="","",IF(OR($H2159="",$H2159="Credit"),0,Q2159)),"")</f>
        <v/>
      </c>
    </row>
    <row r="2160" customFormat="false" ht="15" hidden="false" customHeight="false" outlineLevel="0" collapsed="false">
      <c r="A2160" s="55"/>
      <c r="B2160" s="56"/>
      <c r="C2160" s="56"/>
      <c r="D2160" s="56"/>
      <c r="E2160" s="57"/>
      <c r="F2160" s="58"/>
      <c r="G2160" s="59"/>
      <c r="H2160" s="56"/>
      <c r="I2160" s="56"/>
      <c r="J2160" s="60" t="str">
        <f aca="false">IF(IsPro,IF($D2160="","",IFERROR(INDEX(Items!$D$5:$D$504,U2160),"")),"")</f>
        <v/>
      </c>
      <c r="K2160" s="61" t="str">
        <f aca="false">IF(IsPro,IF($D2160="","",IF($F2160="",IFERROR(INDEX(Items!$H$5:$H$504,U2160),0),$F2160)),"")</f>
        <v/>
      </c>
      <c r="L2160" s="61" t="str">
        <f aca="false">IF(IsPro,IF($D2160="","",ROUND(N($E2160)*K2160*(1-N($G2160)),2)),"")</f>
        <v/>
      </c>
      <c r="M2160" s="62" t="str">
        <f aca="false">IF(IsPro,IF($D2160="","",IFERROR(INDEX(Items!$F$5:$F$504,U2160),0)),"")</f>
        <v/>
      </c>
      <c r="N2160" s="61" t="str">
        <f aca="false">IF(IsPro,IF($D2160="","",IF(AND(V2160&lt;&gt;"",INDEX(Parties!$E$5:$E$304,V2160)&lt;&gt;"",INDEX(Parties!$E$5:$E$304,V2160)&lt;&gt;HomeState),0,ROUND(L2160*M2160/2,2))),"")</f>
        <v/>
      </c>
      <c r="O2160" s="61" t="str">
        <f aca="false">IF(IsPro,IF($D2160="","",N2160),"")</f>
        <v/>
      </c>
      <c r="P2160" s="61" t="str">
        <f aca="false">IF(IsPro,IF($D2160="","",IF(AND(V2160&lt;&gt;"",INDEX(Parties!$E$5:$E$304,V2160)&lt;&gt;"",INDEX(Parties!$E$5:$E$304,V2160)&lt;&gt;HomeState),ROUND(L2160*M2160,2),0)),"")</f>
        <v/>
      </c>
      <c r="Q2160" s="61" t="str">
        <f aca="false">IF(IsPro,IF($D2160="","",L2160+N2160+O2160+P2160),"")</f>
        <v/>
      </c>
      <c r="R2160" s="61" t="str">
        <f aca="false">IF(IsPro,IF($D2160="","",ROUND(N($E2160)*IFERROR(INDEX(Items!$P$5:$P$504,U2160),0),2)),"")</f>
        <v/>
      </c>
      <c r="S2160" s="61" t="str">
        <f aca="false">IF(IsPro,IF($D2160="","",L2160-R2160),"")</f>
        <v/>
      </c>
      <c r="T2160" s="60" t="str">
        <f aca="false">IF(IsPro,IF($D2160="","",IF(U2160="","UNKNOWN ITEM",IF(INDEX(Items!$O$5:$O$504,U2160)&lt;0,"NEG STOCK",IF(K2160&lt;INDEX(Items!$P$5:$P$504,U2160),"BELOW COST","OK")))),IF($D2160="","","PRO PLAN"))</f>
        <v/>
      </c>
      <c r="U2160" s="60" t="str">
        <f aca="false">IF(IsPro,IF($D2160="","",IFERROR(MATCH($D2160,Items!$A$5:$A$504,0),"")),"")</f>
        <v/>
      </c>
      <c r="V2160" s="60" t="str">
        <f aca="false">IF(IsPro,IF($C2160="","",IFERROR(MATCH($C2160,Parties!$A$5:$A$304,0),"")),"")</f>
        <v/>
      </c>
      <c r="W2160" s="60" t="str">
        <f aca="false">IF(IsPro,IF($B2160="","",IFERROR(VALUE(SUBSTITUTE($B2160,InvPrefix,"")),0)),"")</f>
        <v/>
      </c>
      <c r="X2160" s="61" t="str">
        <f aca="false">IF(IsPro,IF($D2160="","",IF(OR($H2160="",$H2160="Credit"),0,Q2160)),"")</f>
        <v/>
      </c>
    </row>
    <row r="2161" customFormat="false" ht="15" hidden="false" customHeight="false" outlineLevel="0" collapsed="false">
      <c r="A2161" s="55"/>
      <c r="B2161" s="56"/>
      <c r="C2161" s="56"/>
      <c r="D2161" s="56"/>
      <c r="E2161" s="57"/>
      <c r="F2161" s="58"/>
      <c r="G2161" s="59"/>
      <c r="H2161" s="56"/>
      <c r="I2161" s="56"/>
      <c r="J2161" s="60" t="str">
        <f aca="false">IF(IsPro,IF($D2161="","",IFERROR(INDEX(Items!$D$5:$D$504,U2161),"")),"")</f>
        <v/>
      </c>
      <c r="K2161" s="61" t="str">
        <f aca="false">IF(IsPro,IF($D2161="","",IF($F2161="",IFERROR(INDEX(Items!$H$5:$H$504,U2161),0),$F2161)),"")</f>
        <v/>
      </c>
      <c r="L2161" s="61" t="str">
        <f aca="false">IF(IsPro,IF($D2161="","",ROUND(N($E2161)*K2161*(1-N($G2161)),2)),"")</f>
        <v/>
      </c>
      <c r="M2161" s="62" t="str">
        <f aca="false">IF(IsPro,IF($D2161="","",IFERROR(INDEX(Items!$F$5:$F$504,U2161),0)),"")</f>
        <v/>
      </c>
      <c r="N2161" s="61" t="str">
        <f aca="false">IF(IsPro,IF($D2161="","",IF(AND(V2161&lt;&gt;"",INDEX(Parties!$E$5:$E$304,V2161)&lt;&gt;"",INDEX(Parties!$E$5:$E$304,V2161)&lt;&gt;HomeState),0,ROUND(L2161*M2161/2,2))),"")</f>
        <v/>
      </c>
      <c r="O2161" s="61" t="str">
        <f aca="false">IF(IsPro,IF($D2161="","",N2161),"")</f>
        <v/>
      </c>
      <c r="P2161" s="61" t="str">
        <f aca="false">IF(IsPro,IF($D2161="","",IF(AND(V2161&lt;&gt;"",INDEX(Parties!$E$5:$E$304,V2161)&lt;&gt;"",INDEX(Parties!$E$5:$E$304,V2161)&lt;&gt;HomeState),ROUND(L2161*M2161,2),0)),"")</f>
        <v/>
      </c>
      <c r="Q2161" s="61" t="str">
        <f aca="false">IF(IsPro,IF($D2161="","",L2161+N2161+O2161+P2161),"")</f>
        <v/>
      </c>
      <c r="R2161" s="61" t="str">
        <f aca="false">IF(IsPro,IF($D2161="","",ROUND(N($E2161)*IFERROR(INDEX(Items!$P$5:$P$504,U2161),0),2)),"")</f>
        <v/>
      </c>
      <c r="S2161" s="61" t="str">
        <f aca="false">IF(IsPro,IF($D2161="","",L2161-R2161),"")</f>
        <v/>
      </c>
      <c r="T2161" s="60" t="str">
        <f aca="false">IF(IsPro,IF($D2161="","",IF(U2161="","UNKNOWN ITEM",IF(INDEX(Items!$O$5:$O$504,U2161)&lt;0,"NEG STOCK",IF(K2161&lt;INDEX(Items!$P$5:$P$504,U2161),"BELOW COST","OK")))),IF($D2161="","","PRO PLAN"))</f>
        <v/>
      </c>
      <c r="U2161" s="60" t="str">
        <f aca="false">IF(IsPro,IF($D2161="","",IFERROR(MATCH($D2161,Items!$A$5:$A$504,0),"")),"")</f>
        <v/>
      </c>
      <c r="V2161" s="60" t="str">
        <f aca="false">IF(IsPro,IF($C2161="","",IFERROR(MATCH($C2161,Parties!$A$5:$A$304,0),"")),"")</f>
        <v/>
      </c>
      <c r="W2161" s="60" t="str">
        <f aca="false">IF(IsPro,IF($B2161="","",IFERROR(VALUE(SUBSTITUTE($B2161,InvPrefix,"")),0)),"")</f>
        <v/>
      </c>
      <c r="X2161" s="61" t="str">
        <f aca="false">IF(IsPro,IF($D2161="","",IF(OR($H2161="",$H2161="Credit"),0,Q2161)),"")</f>
        <v/>
      </c>
    </row>
    <row r="2162" customFormat="false" ht="15" hidden="false" customHeight="false" outlineLevel="0" collapsed="false">
      <c r="A2162" s="55"/>
      <c r="B2162" s="56"/>
      <c r="C2162" s="56"/>
      <c r="D2162" s="56"/>
      <c r="E2162" s="57"/>
      <c r="F2162" s="58"/>
      <c r="G2162" s="59"/>
      <c r="H2162" s="56"/>
      <c r="I2162" s="56"/>
      <c r="J2162" s="60" t="str">
        <f aca="false">IF(IsPro,IF($D2162="","",IFERROR(INDEX(Items!$D$5:$D$504,U2162),"")),"")</f>
        <v/>
      </c>
      <c r="K2162" s="61" t="str">
        <f aca="false">IF(IsPro,IF($D2162="","",IF($F2162="",IFERROR(INDEX(Items!$H$5:$H$504,U2162),0),$F2162)),"")</f>
        <v/>
      </c>
      <c r="L2162" s="61" t="str">
        <f aca="false">IF(IsPro,IF($D2162="","",ROUND(N($E2162)*K2162*(1-N($G2162)),2)),"")</f>
        <v/>
      </c>
      <c r="M2162" s="62" t="str">
        <f aca="false">IF(IsPro,IF($D2162="","",IFERROR(INDEX(Items!$F$5:$F$504,U2162),0)),"")</f>
        <v/>
      </c>
      <c r="N2162" s="61" t="str">
        <f aca="false">IF(IsPro,IF($D2162="","",IF(AND(V2162&lt;&gt;"",INDEX(Parties!$E$5:$E$304,V2162)&lt;&gt;"",INDEX(Parties!$E$5:$E$304,V2162)&lt;&gt;HomeState),0,ROUND(L2162*M2162/2,2))),"")</f>
        <v/>
      </c>
      <c r="O2162" s="61" t="str">
        <f aca="false">IF(IsPro,IF($D2162="","",N2162),"")</f>
        <v/>
      </c>
      <c r="P2162" s="61" t="str">
        <f aca="false">IF(IsPro,IF($D2162="","",IF(AND(V2162&lt;&gt;"",INDEX(Parties!$E$5:$E$304,V2162)&lt;&gt;"",INDEX(Parties!$E$5:$E$304,V2162)&lt;&gt;HomeState),ROUND(L2162*M2162,2),0)),"")</f>
        <v/>
      </c>
      <c r="Q2162" s="61" t="str">
        <f aca="false">IF(IsPro,IF($D2162="","",L2162+N2162+O2162+P2162),"")</f>
        <v/>
      </c>
      <c r="R2162" s="61" t="str">
        <f aca="false">IF(IsPro,IF($D2162="","",ROUND(N($E2162)*IFERROR(INDEX(Items!$P$5:$P$504,U2162),0),2)),"")</f>
        <v/>
      </c>
      <c r="S2162" s="61" t="str">
        <f aca="false">IF(IsPro,IF($D2162="","",L2162-R2162),"")</f>
        <v/>
      </c>
      <c r="T2162" s="60" t="str">
        <f aca="false">IF(IsPro,IF($D2162="","",IF(U2162="","UNKNOWN ITEM",IF(INDEX(Items!$O$5:$O$504,U2162)&lt;0,"NEG STOCK",IF(K2162&lt;INDEX(Items!$P$5:$P$504,U2162),"BELOW COST","OK")))),IF($D2162="","","PRO PLAN"))</f>
        <v/>
      </c>
      <c r="U2162" s="60" t="str">
        <f aca="false">IF(IsPro,IF($D2162="","",IFERROR(MATCH($D2162,Items!$A$5:$A$504,0),"")),"")</f>
        <v/>
      </c>
      <c r="V2162" s="60" t="str">
        <f aca="false">IF(IsPro,IF($C2162="","",IFERROR(MATCH($C2162,Parties!$A$5:$A$304,0),"")),"")</f>
        <v/>
      </c>
      <c r="W2162" s="60" t="str">
        <f aca="false">IF(IsPro,IF($B2162="","",IFERROR(VALUE(SUBSTITUTE($B2162,InvPrefix,"")),0)),"")</f>
        <v/>
      </c>
      <c r="X2162" s="61" t="str">
        <f aca="false">IF(IsPro,IF($D2162="","",IF(OR($H2162="",$H2162="Credit"),0,Q2162)),"")</f>
        <v/>
      </c>
    </row>
    <row r="2163" customFormat="false" ht="15" hidden="false" customHeight="false" outlineLevel="0" collapsed="false">
      <c r="A2163" s="55"/>
      <c r="B2163" s="56"/>
      <c r="C2163" s="56"/>
      <c r="D2163" s="56"/>
      <c r="E2163" s="57"/>
      <c r="F2163" s="58"/>
      <c r="G2163" s="59"/>
      <c r="H2163" s="56"/>
      <c r="I2163" s="56"/>
      <c r="J2163" s="60" t="str">
        <f aca="false">IF(IsPro,IF($D2163="","",IFERROR(INDEX(Items!$D$5:$D$504,U2163),"")),"")</f>
        <v/>
      </c>
      <c r="K2163" s="61" t="str">
        <f aca="false">IF(IsPro,IF($D2163="","",IF($F2163="",IFERROR(INDEX(Items!$H$5:$H$504,U2163),0),$F2163)),"")</f>
        <v/>
      </c>
      <c r="L2163" s="61" t="str">
        <f aca="false">IF(IsPro,IF($D2163="","",ROUND(N($E2163)*K2163*(1-N($G2163)),2)),"")</f>
        <v/>
      </c>
      <c r="M2163" s="62" t="str">
        <f aca="false">IF(IsPro,IF($D2163="","",IFERROR(INDEX(Items!$F$5:$F$504,U2163),0)),"")</f>
        <v/>
      </c>
      <c r="N2163" s="61" t="str">
        <f aca="false">IF(IsPro,IF($D2163="","",IF(AND(V2163&lt;&gt;"",INDEX(Parties!$E$5:$E$304,V2163)&lt;&gt;"",INDEX(Parties!$E$5:$E$304,V2163)&lt;&gt;HomeState),0,ROUND(L2163*M2163/2,2))),"")</f>
        <v/>
      </c>
      <c r="O2163" s="61" t="str">
        <f aca="false">IF(IsPro,IF($D2163="","",N2163),"")</f>
        <v/>
      </c>
      <c r="P2163" s="61" t="str">
        <f aca="false">IF(IsPro,IF($D2163="","",IF(AND(V2163&lt;&gt;"",INDEX(Parties!$E$5:$E$304,V2163)&lt;&gt;"",INDEX(Parties!$E$5:$E$304,V2163)&lt;&gt;HomeState),ROUND(L2163*M2163,2),0)),"")</f>
        <v/>
      </c>
      <c r="Q2163" s="61" t="str">
        <f aca="false">IF(IsPro,IF($D2163="","",L2163+N2163+O2163+P2163),"")</f>
        <v/>
      </c>
      <c r="R2163" s="61" t="str">
        <f aca="false">IF(IsPro,IF($D2163="","",ROUND(N($E2163)*IFERROR(INDEX(Items!$P$5:$P$504,U2163),0),2)),"")</f>
        <v/>
      </c>
      <c r="S2163" s="61" t="str">
        <f aca="false">IF(IsPro,IF($D2163="","",L2163-R2163),"")</f>
        <v/>
      </c>
      <c r="T2163" s="60" t="str">
        <f aca="false">IF(IsPro,IF($D2163="","",IF(U2163="","UNKNOWN ITEM",IF(INDEX(Items!$O$5:$O$504,U2163)&lt;0,"NEG STOCK",IF(K2163&lt;INDEX(Items!$P$5:$P$504,U2163),"BELOW COST","OK")))),IF($D2163="","","PRO PLAN"))</f>
        <v/>
      </c>
      <c r="U2163" s="60" t="str">
        <f aca="false">IF(IsPro,IF($D2163="","",IFERROR(MATCH($D2163,Items!$A$5:$A$504,0),"")),"")</f>
        <v/>
      </c>
      <c r="V2163" s="60" t="str">
        <f aca="false">IF(IsPro,IF($C2163="","",IFERROR(MATCH($C2163,Parties!$A$5:$A$304,0),"")),"")</f>
        <v/>
      </c>
      <c r="W2163" s="60" t="str">
        <f aca="false">IF(IsPro,IF($B2163="","",IFERROR(VALUE(SUBSTITUTE($B2163,InvPrefix,"")),0)),"")</f>
        <v/>
      </c>
      <c r="X2163" s="61" t="str">
        <f aca="false">IF(IsPro,IF($D2163="","",IF(OR($H2163="",$H2163="Credit"),0,Q2163)),"")</f>
        <v/>
      </c>
    </row>
    <row r="2164" customFormat="false" ht="15" hidden="false" customHeight="false" outlineLevel="0" collapsed="false">
      <c r="A2164" s="55"/>
      <c r="B2164" s="56"/>
      <c r="C2164" s="56"/>
      <c r="D2164" s="56"/>
      <c r="E2164" s="57"/>
      <c r="F2164" s="58"/>
      <c r="G2164" s="59"/>
      <c r="H2164" s="56"/>
      <c r="I2164" s="56"/>
      <c r="J2164" s="60" t="str">
        <f aca="false">IF(IsPro,IF($D2164="","",IFERROR(INDEX(Items!$D$5:$D$504,U2164),"")),"")</f>
        <v/>
      </c>
      <c r="K2164" s="61" t="str">
        <f aca="false">IF(IsPro,IF($D2164="","",IF($F2164="",IFERROR(INDEX(Items!$H$5:$H$504,U2164),0),$F2164)),"")</f>
        <v/>
      </c>
      <c r="L2164" s="61" t="str">
        <f aca="false">IF(IsPro,IF($D2164="","",ROUND(N($E2164)*K2164*(1-N($G2164)),2)),"")</f>
        <v/>
      </c>
      <c r="M2164" s="62" t="str">
        <f aca="false">IF(IsPro,IF($D2164="","",IFERROR(INDEX(Items!$F$5:$F$504,U2164),0)),"")</f>
        <v/>
      </c>
      <c r="N2164" s="61" t="str">
        <f aca="false">IF(IsPro,IF($D2164="","",IF(AND(V2164&lt;&gt;"",INDEX(Parties!$E$5:$E$304,V2164)&lt;&gt;"",INDEX(Parties!$E$5:$E$304,V2164)&lt;&gt;HomeState),0,ROUND(L2164*M2164/2,2))),"")</f>
        <v/>
      </c>
      <c r="O2164" s="61" t="str">
        <f aca="false">IF(IsPro,IF($D2164="","",N2164),"")</f>
        <v/>
      </c>
      <c r="P2164" s="61" t="str">
        <f aca="false">IF(IsPro,IF($D2164="","",IF(AND(V2164&lt;&gt;"",INDEX(Parties!$E$5:$E$304,V2164)&lt;&gt;"",INDEX(Parties!$E$5:$E$304,V2164)&lt;&gt;HomeState),ROUND(L2164*M2164,2),0)),"")</f>
        <v/>
      </c>
      <c r="Q2164" s="61" t="str">
        <f aca="false">IF(IsPro,IF($D2164="","",L2164+N2164+O2164+P2164),"")</f>
        <v/>
      </c>
      <c r="R2164" s="61" t="str">
        <f aca="false">IF(IsPro,IF($D2164="","",ROUND(N($E2164)*IFERROR(INDEX(Items!$P$5:$P$504,U2164),0),2)),"")</f>
        <v/>
      </c>
      <c r="S2164" s="61" t="str">
        <f aca="false">IF(IsPro,IF($D2164="","",L2164-R2164),"")</f>
        <v/>
      </c>
      <c r="T2164" s="60" t="str">
        <f aca="false">IF(IsPro,IF($D2164="","",IF(U2164="","UNKNOWN ITEM",IF(INDEX(Items!$O$5:$O$504,U2164)&lt;0,"NEG STOCK",IF(K2164&lt;INDEX(Items!$P$5:$P$504,U2164),"BELOW COST","OK")))),IF($D2164="","","PRO PLAN"))</f>
        <v/>
      </c>
      <c r="U2164" s="60" t="str">
        <f aca="false">IF(IsPro,IF($D2164="","",IFERROR(MATCH($D2164,Items!$A$5:$A$504,0),"")),"")</f>
        <v/>
      </c>
      <c r="V2164" s="60" t="str">
        <f aca="false">IF(IsPro,IF($C2164="","",IFERROR(MATCH($C2164,Parties!$A$5:$A$304,0),"")),"")</f>
        <v/>
      </c>
      <c r="W2164" s="60" t="str">
        <f aca="false">IF(IsPro,IF($B2164="","",IFERROR(VALUE(SUBSTITUTE($B2164,InvPrefix,"")),0)),"")</f>
        <v/>
      </c>
      <c r="X2164" s="61" t="str">
        <f aca="false">IF(IsPro,IF($D2164="","",IF(OR($H2164="",$H2164="Credit"),0,Q2164)),"")</f>
        <v/>
      </c>
    </row>
    <row r="2165" customFormat="false" ht="15" hidden="false" customHeight="false" outlineLevel="0" collapsed="false">
      <c r="A2165" s="55"/>
      <c r="B2165" s="56"/>
      <c r="C2165" s="56"/>
      <c r="D2165" s="56"/>
      <c r="E2165" s="57"/>
      <c r="F2165" s="58"/>
      <c r="G2165" s="59"/>
      <c r="H2165" s="56"/>
      <c r="I2165" s="56"/>
      <c r="J2165" s="60" t="str">
        <f aca="false">IF(IsPro,IF($D2165="","",IFERROR(INDEX(Items!$D$5:$D$504,U2165),"")),"")</f>
        <v/>
      </c>
      <c r="K2165" s="61" t="str">
        <f aca="false">IF(IsPro,IF($D2165="","",IF($F2165="",IFERROR(INDEX(Items!$H$5:$H$504,U2165),0),$F2165)),"")</f>
        <v/>
      </c>
      <c r="L2165" s="61" t="str">
        <f aca="false">IF(IsPro,IF($D2165="","",ROUND(N($E2165)*K2165*(1-N($G2165)),2)),"")</f>
        <v/>
      </c>
      <c r="M2165" s="62" t="str">
        <f aca="false">IF(IsPro,IF($D2165="","",IFERROR(INDEX(Items!$F$5:$F$504,U2165),0)),"")</f>
        <v/>
      </c>
      <c r="N2165" s="61" t="str">
        <f aca="false">IF(IsPro,IF($D2165="","",IF(AND(V2165&lt;&gt;"",INDEX(Parties!$E$5:$E$304,V2165)&lt;&gt;"",INDEX(Parties!$E$5:$E$304,V2165)&lt;&gt;HomeState),0,ROUND(L2165*M2165/2,2))),"")</f>
        <v/>
      </c>
      <c r="O2165" s="61" t="str">
        <f aca="false">IF(IsPro,IF($D2165="","",N2165),"")</f>
        <v/>
      </c>
      <c r="P2165" s="61" t="str">
        <f aca="false">IF(IsPro,IF($D2165="","",IF(AND(V2165&lt;&gt;"",INDEX(Parties!$E$5:$E$304,V2165)&lt;&gt;"",INDEX(Parties!$E$5:$E$304,V2165)&lt;&gt;HomeState),ROUND(L2165*M2165,2),0)),"")</f>
        <v/>
      </c>
      <c r="Q2165" s="61" t="str">
        <f aca="false">IF(IsPro,IF($D2165="","",L2165+N2165+O2165+P2165),"")</f>
        <v/>
      </c>
      <c r="R2165" s="61" t="str">
        <f aca="false">IF(IsPro,IF($D2165="","",ROUND(N($E2165)*IFERROR(INDEX(Items!$P$5:$P$504,U2165),0),2)),"")</f>
        <v/>
      </c>
      <c r="S2165" s="61" t="str">
        <f aca="false">IF(IsPro,IF($D2165="","",L2165-R2165),"")</f>
        <v/>
      </c>
      <c r="T2165" s="60" t="str">
        <f aca="false">IF(IsPro,IF($D2165="","",IF(U2165="","UNKNOWN ITEM",IF(INDEX(Items!$O$5:$O$504,U2165)&lt;0,"NEG STOCK",IF(K2165&lt;INDEX(Items!$P$5:$P$504,U2165),"BELOW COST","OK")))),IF($D2165="","","PRO PLAN"))</f>
        <v/>
      </c>
      <c r="U2165" s="60" t="str">
        <f aca="false">IF(IsPro,IF($D2165="","",IFERROR(MATCH($D2165,Items!$A$5:$A$504,0),"")),"")</f>
        <v/>
      </c>
      <c r="V2165" s="60" t="str">
        <f aca="false">IF(IsPro,IF($C2165="","",IFERROR(MATCH($C2165,Parties!$A$5:$A$304,0),"")),"")</f>
        <v/>
      </c>
      <c r="W2165" s="60" t="str">
        <f aca="false">IF(IsPro,IF($B2165="","",IFERROR(VALUE(SUBSTITUTE($B2165,InvPrefix,"")),0)),"")</f>
        <v/>
      </c>
      <c r="X2165" s="61" t="str">
        <f aca="false">IF(IsPro,IF($D2165="","",IF(OR($H2165="",$H2165="Credit"),0,Q2165)),"")</f>
        <v/>
      </c>
    </row>
    <row r="2166" customFormat="false" ht="15" hidden="false" customHeight="false" outlineLevel="0" collapsed="false">
      <c r="A2166" s="55"/>
      <c r="B2166" s="56"/>
      <c r="C2166" s="56"/>
      <c r="D2166" s="56"/>
      <c r="E2166" s="57"/>
      <c r="F2166" s="58"/>
      <c r="G2166" s="59"/>
      <c r="H2166" s="56"/>
      <c r="I2166" s="56"/>
      <c r="J2166" s="60" t="str">
        <f aca="false">IF(IsPro,IF($D2166="","",IFERROR(INDEX(Items!$D$5:$D$504,U2166),"")),"")</f>
        <v/>
      </c>
      <c r="K2166" s="61" t="str">
        <f aca="false">IF(IsPro,IF($D2166="","",IF($F2166="",IFERROR(INDEX(Items!$H$5:$H$504,U2166),0),$F2166)),"")</f>
        <v/>
      </c>
      <c r="L2166" s="61" t="str">
        <f aca="false">IF(IsPro,IF($D2166="","",ROUND(N($E2166)*K2166*(1-N($G2166)),2)),"")</f>
        <v/>
      </c>
      <c r="M2166" s="62" t="str">
        <f aca="false">IF(IsPro,IF($D2166="","",IFERROR(INDEX(Items!$F$5:$F$504,U2166),0)),"")</f>
        <v/>
      </c>
      <c r="N2166" s="61" t="str">
        <f aca="false">IF(IsPro,IF($D2166="","",IF(AND(V2166&lt;&gt;"",INDEX(Parties!$E$5:$E$304,V2166)&lt;&gt;"",INDEX(Parties!$E$5:$E$304,V2166)&lt;&gt;HomeState),0,ROUND(L2166*M2166/2,2))),"")</f>
        <v/>
      </c>
      <c r="O2166" s="61" t="str">
        <f aca="false">IF(IsPro,IF($D2166="","",N2166),"")</f>
        <v/>
      </c>
      <c r="P2166" s="61" t="str">
        <f aca="false">IF(IsPro,IF($D2166="","",IF(AND(V2166&lt;&gt;"",INDEX(Parties!$E$5:$E$304,V2166)&lt;&gt;"",INDEX(Parties!$E$5:$E$304,V2166)&lt;&gt;HomeState),ROUND(L2166*M2166,2),0)),"")</f>
        <v/>
      </c>
      <c r="Q2166" s="61" t="str">
        <f aca="false">IF(IsPro,IF($D2166="","",L2166+N2166+O2166+P2166),"")</f>
        <v/>
      </c>
      <c r="R2166" s="61" t="str">
        <f aca="false">IF(IsPro,IF($D2166="","",ROUND(N($E2166)*IFERROR(INDEX(Items!$P$5:$P$504,U2166),0),2)),"")</f>
        <v/>
      </c>
      <c r="S2166" s="61" t="str">
        <f aca="false">IF(IsPro,IF($D2166="","",L2166-R2166),"")</f>
        <v/>
      </c>
      <c r="T2166" s="60" t="str">
        <f aca="false">IF(IsPro,IF($D2166="","",IF(U2166="","UNKNOWN ITEM",IF(INDEX(Items!$O$5:$O$504,U2166)&lt;0,"NEG STOCK",IF(K2166&lt;INDEX(Items!$P$5:$P$504,U2166),"BELOW COST","OK")))),IF($D2166="","","PRO PLAN"))</f>
        <v/>
      </c>
      <c r="U2166" s="60" t="str">
        <f aca="false">IF(IsPro,IF($D2166="","",IFERROR(MATCH($D2166,Items!$A$5:$A$504,0),"")),"")</f>
        <v/>
      </c>
      <c r="V2166" s="60" t="str">
        <f aca="false">IF(IsPro,IF($C2166="","",IFERROR(MATCH($C2166,Parties!$A$5:$A$304,0),"")),"")</f>
        <v/>
      </c>
      <c r="W2166" s="60" t="str">
        <f aca="false">IF(IsPro,IF($B2166="","",IFERROR(VALUE(SUBSTITUTE($B2166,InvPrefix,"")),0)),"")</f>
        <v/>
      </c>
      <c r="X2166" s="61" t="str">
        <f aca="false">IF(IsPro,IF($D2166="","",IF(OR($H2166="",$H2166="Credit"),0,Q2166)),"")</f>
        <v/>
      </c>
    </row>
    <row r="2167" customFormat="false" ht="15" hidden="false" customHeight="false" outlineLevel="0" collapsed="false">
      <c r="A2167" s="55"/>
      <c r="B2167" s="56"/>
      <c r="C2167" s="56"/>
      <c r="D2167" s="56"/>
      <c r="E2167" s="57"/>
      <c r="F2167" s="58"/>
      <c r="G2167" s="59"/>
      <c r="H2167" s="56"/>
      <c r="I2167" s="56"/>
      <c r="J2167" s="60" t="str">
        <f aca="false">IF(IsPro,IF($D2167="","",IFERROR(INDEX(Items!$D$5:$D$504,U2167),"")),"")</f>
        <v/>
      </c>
      <c r="K2167" s="61" t="str">
        <f aca="false">IF(IsPro,IF($D2167="","",IF($F2167="",IFERROR(INDEX(Items!$H$5:$H$504,U2167),0),$F2167)),"")</f>
        <v/>
      </c>
      <c r="L2167" s="61" t="str">
        <f aca="false">IF(IsPro,IF($D2167="","",ROUND(N($E2167)*K2167*(1-N($G2167)),2)),"")</f>
        <v/>
      </c>
      <c r="M2167" s="62" t="str">
        <f aca="false">IF(IsPro,IF($D2167="","",IFERROR(INDEX(Items!$F$5:$F$504,U2167),0)),"")</f>
        <v/>
      </c>
      <c r="N2167" s="61" t="str">
        <f aca="false">IF(IsPro,IF($D2167="","",IF(AND(V2167&lt;&gt;"",INDEX(Parties!$E$5:$E$304,V2167)&lt;&gt;"",INDEX(Parties!$E$5:$E$304,V2167)&lt;&gt;HomeState),0,ROUND(L2167*M2167/2,2))),"")</f>
        <v/>
      </c>
      <c r="O2167" s="61" t="str">
        <f aca="false">IF(IsPro,IF($D2167="","",N2167),"")</f>
        <v/>
      </c>
      <c r="P2167" s="61" t="str">
        <f aca="false">IF(IsPro,IF($D2167="","",IF(AND(V2167&lt;&gt;"",INDEX(Parties!$E$5:$E$304,V2167)&lt;&gt;"",INDEX(Parties!$E$5:$E$304,V2167)&lt;&gt;HomeState),ROUND(L2167*M2167,2),0)),"")</f>
        <v/>
      </c>
      <c r="Q2167" s="61" t="str">
        <f aca="false">IF(IsPro,IF($D2167="","",L2167+N2167+O2167+P2167),"")</f>
        <v/>
      </c>
      <c r="R2167" s="61" t="str">
        <f aca="false">IF(IsPro,IF($D2167="","",ROUND(N($E2167)*IFERROR(INDEX(Items!$P$5:$P$504,U2167),0),2)),"")</f>
        <v/>
      </c>
      <c r="S2167" s="61" t="str">
        <f aca="false">IF(IsPro,IF($D2167="","",L2167-R2167),"")</f>
        <v/>
      </c>
      <c r="T2167" s="60" t="str">
        <f aca="false">IF(IsPro,IF($D2167="","",IF(U2167="","UNKNOWN ITEM",IF(INDEX(Items!$O$5:$O$504,U2167)&lt;0,"NEG STOCK",IF(K2167&lt;INDEX(Items!$P$5:$P$504,U2167),"BELOW COST","OK")))),IF($D2167="","","PRO PLAN"))</f>
        <v/>
      </c>
      <c r="U2167" s="60" t="str">
        <f aca="false">IF(IsPro,IF($D2167="","",IFERROR(MATCH($D2167,Items!$A$5:$A$504,0),"")),"")</f>
        <v/>
      </c>
      <c r="V2167" s="60" t="str">
        <f aca="false">IF(IsPro,IF($C2167="","",IFERROR(MATCH($C2167,Parties!$A$5:$A$304,0),"")),"")</f>
        <v/>
      </c>
      <c r="W2167" s="60" t="str">
        <f aca="false">IF(IsPro,IF($B2167="","",IFERROR(VALUE(SUBSTITUTE($B2167,InvPrefix,"")),0)),"")</f>
        <v/>
      </c>
      <c r="X2167" s="61" t="str">
        <f aca="false">IF(IsPro,IF($D2167="","",IF(OR($H2167="",$H2167="Credit"),0,Q2167)),"")</f>
        <v/>
      </c>
    </row>
    <row r="2168" customFormat="false" ht="15" hidden="false" customHeight="false" outlineLevel="0" collapsed="false">
      <c r="A2168" s="55"/>
      <c r="B2168" s="56"/>
      <c r="C2168" s="56"/>
      <c r="D2168" s="56"/>
      <c r="E2168" s="57"/>
      <c r="F2168" s="58"/>
      <c r="G2168" s="59"/>
      <c r="H2168" s="56"/>
      <c r="I2168" s="56"/>
      <c r="J2168" s="60" t="str">
        <f aca="false">IF(IsPro,IF($D2168="","",IFERROR(INDEX(Items!$D$5:$D$504,U2168),"")),"")</f>
        <v/>
      </c>
      <c r="K2168" s="61" t="str">
        <f aca="false">IF(IsPro,IF($D2168="","",IF($F2168="",IFERROR(INDEX(Items!$H$5:$H$504,U2168),0),$F2168)),"")</f>
        <v/>
      </c>
      <c r="L2168" s="61" t="str">
        <f aca="false">IF(IsPro,IF($D2168="","",ROUND(N($E2168)*K2168*(1-N($G2168)),2)),"")</f>
        <v/>
      </c>
      <c r="M2168" s="62" t="str">
        <f aca="false">IF(IsPro,IF($D2168="","",IFERROR(INDEX(Items!$F$5:$F$504,U2168),0)),"")</f>
        <v/>
      </c>
      <c r="N2168" s="61" t="str">
        <f aca="false">IF(IsPro,IF($D2168="","",IF(AND(V2168&lt;&gt;"",INDEX(Parties!$E$5:$E$304,V2168)&lt;&gt;"",INDEX(Parties!$E$5:$E$304,V2168)&lt;&gt;HomeState),0,ROUND(L2168*M2168/2,2))),"")</f>
        <v/>
      </c>
      <c r="O2168" s="61" t="str">
        <f aca="false">IF(IsPro,IF($D2168="","",N2168),"")</f>
        <v/>
      </c>
      <c r="P2168" s="61" t="str">
        <f aca="false">IF(IsPro,IF($D2168="","",IF(AND(V2168&lt;&gt;"",INDEX(Parties!$E$5:$E$304,V2168)&lt;&gt;"",INDEX(Parties!$E$5:$E$304,V2168)&lt;&gt;HomeState),ROUND(L2168*M2168,2),0)),"")</f>
        <v/>
      </c>
      <c r="Q2168" s="61" t="str">
        <f aca="false">IF(IsPro,IF($D2168="","",L2168+N2168+O2168+P2168),"")</f>
        <v/>
      </c>
      <c r="R2168" s="61" t="str">
        <f aca="false">IF(IsPro,IF($D2168="","",ROUND(N($E2168)*IFERROR(INDEX(Items!$P$5:$P$504,U2168),0),2)),"")</f>
        <v/>
      </c>
      <c r="S2168" s="61" t="str">
        <f aca="false">IF(IsPro,IF($D2168="","",L2168-R2168),"")</f>
        <v/>
      </c>
      <c r="T2168" s="60" t="str">
        <f aca="false">IF(IsPro,IF($D2168="","",IF(U2168="","UNKNOWN ITEM",IF(INDEX(Items!$O$5:$O$504,U2168)&lt;0,"NEG STOCK",IF(K2168&lt;INDEX(Items!$P$5:$P$504,U2168),"BELOW COST","OK")))),IF($D2168="","","PRO PLAN"))</f>
        <v/>
      </c>
      <c r="U2168" s="60" t="str">
        <f aca="false">IF(IsPro,IF($D2168="","",IFERROR(MATCH($D2168,Items!$A$5:$A$504,0),"")),"")</f>
        <v/>
      </c>
      <c r="V2168" s="60" t="str">
        <f aca="false">IF(IsPro,IF($C2168="","",IFERROR(MATCH($C2168,Parties!$A$5:$A$304,0),"")),"")</f>
        <v/>
      </c>
      <c r="W2168" s="60" t="str">
        <f aca="false">IF(IsPro,IF($B2168="","",IFERROR(VALUE(SUBSTITUTE($B2168,InvPrefix,"")),0)),"")</f>
        <v/>
      </c>
      <c r="X2168" s="61" t="str">
        <f aca="false">IF(IsPro,IF($D2168="","",IF(OR($H2168="",$H2168="Credit"),0,Q2168)),"")</f>
        <v/>
      </c>
    </row>
    <row r="2169" customFormat="false" ht="15" hidden="false" customHeight="false" outlineLevel="0" collapsed="false">
      <c r="A2169" s="55"/>
      <c r="B2169" s="56"/>
      <c r="C2169" s="56"/>
      <c r="D2169" s="56"/>
      <c r="E2169" s="57"/>
      <c r="F2169" s="58"/>
      <c r="G2169" s="59"/>
      <c r="H2169" s="56"/>
      <c r="I2169" s="56"/>
      <c r="J2169" s="60" t="str">
        <f aca="false">IF(IsPro,IF($D2169="","",IFERROR(INDEX(Items!$D$5:$D$504,U2169),"")),"")</f>
        <v/>
      </c>
      <c r="K2169" s="61" t="str">
        <f aca="false">IF(IsPro,IF($D2169="","",IF($F2169="",IFERROR(INDEX(Items!$H$5:$H$504,U2169),0),$F2169)),"")</f>
        <v/>
      </c>
      <c r="L2169" s="61" t="str">
        <f aca="false">IF(IsPro,IF($D2169="","",ROUND(N($E2169)*K2169*(1-N($G2169)),2)),"")</f>
        <v/>
      </c>
      <c r="M2169" s="62" t="str">
        <f aca="false">IF(IsPro,IF($D2169="","",IFERROR(INDEX(Items!$F$5:$F$504,U2169),0)),"")</f>
        <v/>
      </c>
      <c r="N2169" s="61" t="str">
        <f aca="false">IF(IsPro,IF($D2169="","",IF(AND(V2169&lt;&gt;"",INDEX(Parties!$E$5:$E$304,V2169)&lt;&gt;"",INDEX(Parties!$E$5:$E$304,V2169)&lt;&gt;HomeState),0,ROUND(L2169*M2169/2,2))),"")</f>
        <v/>
      </c>
      <c r="O2169" s="61" t="str">
        <f aca="false">IF(IsPro,IF($D2169="","",N2169),"")</f>
        <v/>
      </c>
      <c r="P2169" s="61" t="str">
        <f aca="false">IF(IsPro,IF($D2169="","",IF(AND(V2169&lt;&gt;"",INDEX(Parties!$E$5:$E$304,V2169)&lt;&gt;"",INDEX(Parties!$E$5:$E$304,V2169)&lt;&gt;HomeState),ROUND(L2169*M2169,2),0)),"")</f>
        <v/>
      </c>
      <c r="Q2169" s="61" t="str">
        <f aca="false">IF(IsPro,IF($D2169="","",L2169+N2169+O2169+P2169),"")</f>
        <v/>
      </c>
      <c r="R2169" s="61" t="str">
        <f aca="false">IF(IsPro,IF($D2169="","",ROUND(N($E2169)*IFERROR(INDEX(Items!$P$5:$P$504,U2169),0),2)),"")</f>
        <v/>
      </c>
      <c r="S2169" s="61" t="str">
        <f aca="false">IF(IsPro,IF($D2169="","",L2169-R2169),"")</f>
        <v/>
      </c>
      <c r="T2169" s="60" t="str">
        <f aca="false">IF(IsPro,IF($D2169="","",IF(U2169="","UNKNOWN ITEM",IF(INDEX(Items!$O$5:$O$504,U2169)&lt;0,"NEG STOCK",IF(K2169&lt;INDEX(Items!$P$5:$P$504,U2169),"BELOW COST","OK")))),IF($D2169="","","PRO PLAN"))</f>
        <v/>
      </c>
      <c r="U2169" s="60" t="str">
        <f aca="false">IF(IsPro,IF($D2169="","",IFERROR(MATCH($D2169,Items!$A$5:$A$504,0),"")),"")</f>
        <v/>
      </c>
      <c r="V2169" s="60" t="str">
        <f aca="false">IF(IsPro,IF($C2169="","",IFERROR(MATCH($C2169,Parties!$A$5:$A$304,0),"")),"")</f>
        <v/>
      </c>
      <c r="W2169" s="60" t="str">
        <f aca="false">IF(IsPro,IF($B2169="","",IFERROR(VALUE(SUBSTITUTE($B2169,InvPrefix,"")),0)),"")</f>
        <v/>
      </c>
      <c r="X2169" s="61" t="str">
        <f aca="false">IF(IsPro,IF($D2169="","",IF(OR($H2169="",$H2169="Credit"),0,Q2169)),"")</f>
        <v/>
      </c>
    </row>
    <row r="2170" customFormat="false" ht="15" hidden="false" customHeight="false" outlineLevel="0" collapsed="false">
      <c r="A2170" s="55"/>
      <c r="B2170" s="56"/>
      <c r="C2170" s="56"/>
      <c r="D2170" s="56"/>
      <c r="E2170" s="57"/>
      <c r="F2170" s="58"/>
      <c r="G2170" s="59"/>
      <c r="H2170" s="56"/>
      <c r="I2170" s="56"/>
      <c r="J2170" s="60" t="str">
        <f aca="false">IF(IsPro,IF($D2170="","",IFERROR(INDEX(Items!$D$5:$D$504,U2170),"")),"")</f>
        <v/>
      </c>
      <c r="K2170" s="61" t="str">
        <f aca="false">IF(IsPro,IF($D2170="","",IF($F2170="",IFERROR(INDEX(Items!$H$5:$H$504,U2170),0),$F2170)),"")</f>
        <v/>
      </c>
      <c r="L2170" s="61" t="str">
        <f aca="false">IF(IsPro,IF($D2170="","",ROUND(N($E2170)*K2170*(1-N($G2170)),2)),"")</f>
        <v/>
      </c>
      <c r="M2170" s="62" t="str">
        <f aca="false">IF(IsPro,IF($D2170="","",IFERROR(INDEX(Items!$F$5:$F$504,U2170),0)),"")</f>
        <v/>
      </c>
      <c r="N2170" s="61" t="str">
        <f aca="false">IF(IsPro,IF($D2170="","",IF(AND(V2170&lt;&gt;"",INDEX(Parties!$E$5:$E$304,V2170)&lt;&gt;"",INDEX(Parties!$E$5:$E$304,V2170)&lt;&gt;HomeState),0,ROUND(L2170*M2170/2,2))),"")</f>
        <v/>
      </c>
      <c r="O2170" s="61" t="str">
        <f aca="false">IF(IsPro,IF($D2170="","",N2170),"")</f>
        <v/>
      </c>
      <c r="P2170" s="61" t="str">
        <f aca="false">IF(IsPro,IF($D2170="","",IF(AND(V2170&lt;&gt;"",INDEX(Parties!$E$5:$E$304,V2170)&lt;&gt;"",INDEX(Parties!$E$5:$E$304,V2170)&lt;&gt;HomeState),ROUND(L2170*M2170,2),0)),"")</f>
        <v/>
      </c>
      <c r="Q2170" s="61" t="str">
        <f aca="false">IF(IsPro,IF($D2170="","",L2170+N2170+O2170+P2170),"")</f>
        <v/>
      </c>
      <c r="R2170" s="61" t="str">
        <f aca="false">IF(IsPro,IF($D2170="","",ROUND(N($E2170)*IFERROR(INDEX(Items!$P$5:$P$504,U2170),0),2)),"")</f>
        <v/>
      </c>
      <c r="S2170" s="61" t="str">
        <f aca="false">IF(IsPro,IF($D2170="","",L2170-R2170),"")</f>
        <v/>
      </c>
      <c r="T2170" s="60" t="str">
        <f aca="false">IF(IsPro,IF($D2170="","",IF(U2170="","UNKNOWN ITEM",IF(INDEX(Items!$O$5:$O$504,U2170)&lt;0,"NEG STOCK",IF(K2170&lt;INDEX(Items!$P$5:$P$504,U2170),"BELOW COST","OK")))),IF($D2170="","","PRO PLAN"))</f>
        <v/>
      </c>
      <c r="U2170" s="60" t="str">
        <f aca="false">IF(IsPro,IF($D2170="","",IFERROR(MATCH($D2170,Items!$A$5:$A$504,0),"")),"")</f>
        <v/>
      </c>
      <c r="V2170" s="60" t="str">
        <f aca="false">IF(IsPro,IF($C2170="","",IFERROR(MATCH($C2170,Parties!$A$5:$A$304,0),"")),"")</f>
        <v/>
      </c>
      <c r="W2170" s="60" t="str">
        <f aca="false">IF(IsPro,IF($B2170="","",IFERROR(VALUE(SUBSTITUTE($B2170,InvPrefix,"")),0)),"")</f>
        <v/>
      </c>
      <c r="X2170" s="61" t="str">
        <f aca="false">IF(IsPro,IF($D2170="","",IF(OR($H2170="",$H2170="Credit"),0,Q2170)),"")</f>
        <v/>
      </c>
    </row>
    <row r="2171" customFormat="false" ht="15" hidden="false" customHeight="false" outlineLevel="0" collapsed="false">
      <c r="A2171" s="55"/>
      <c r="B2171" s="56"/>
      <c r="C2171" s="56"/>
      <c r="D2171" s="56"/>
      <c r="E2171" s="57"/>
      <c r="F2171" s="58"/>
      <c r="G2171" s="59"/>
      <c r="H2171" s="56"/>
      <c r="I2171" s="56"/>
      <c r="J2171" s="60" t="str">
        <f aca="false">IF(IsPro,IF($D2171="","",IFERROR(INDEX(Items!$D$5:$D$504,U2171),"")),"")</f>
        <v/>
      </c>
      <c r="K2171" s="61" t="str">
        <f aca="false">IF(IsPro,IF($D2171="","",IF($F2171="",IFERROR(INDEX(Items!$H$5:$H$504,U2171),0),$F2171)),"")</f>
        <v/>
      </c>
      <c r="L2171" s="61" t="str">
        <f aca="false">IF(IsPro,IF($D2171="","",ROUND(N($E2171)*K2171*(1-N($G2171)),2)),"")</f>
        <v/>
      </c>
      <c r="M2171" s="62" t="str">
        <f aca="false">IF(IsPro,IF($D2171="","",IFERROR(INDEX(Items!$F$5:$F$504,U2171),0)),"")</f>
        <v/>
      </c>
      <c r="N2171" s="61" t="str">
        <f aca="false">IF(IsPro,IF($D2171="","",IF(AND(V2171&lt;&gt;"",INDEX(Parties!$E$5:$E$304,V2171)&lt;&gt;"",INDEX(Parties!$E$5:$E$304,V2171)&lt;&gt;HomeState),0,ROUND(L2171*M2171/2,2))),"")</f>
        <v/>
      </c>
      <c r="O2171" s="61" t="str">
        <f aca="false">IF(IsPro,IF($D2171="","",N2171),"")</f>
        <v/>
      </c>
      <c r="P2171" s="61" t="str">
        <f aca="false">IF(IsPro,IF($D2171="","",IF(AND(V2171&lt;&gt;"",INDEX(Parties!$E$5:$E$304,V2171)&lt;&gt;"",INDEX(Parties!$E$5:$E$304,V2171)&lt;&gt;HomeState),ROUND(L2171*M2171,2),0)),"")</f>
        <v/>
      </c>
      <c r="Q2171" s="61" t="str">
        <f aca="false">IF(IsPro,IF($D2171="","",L2171+N2171+O2171+P2171),"")</f>
        <v/>
      </c>
      <c r="R2171" s="61" t="str">
        <f aca="false">IF(IsPro,IF($D2171="","",ROUND(N($E2171)*IFERROR(INDEX(Items!$P$5:$P$504,U2171),0),2)),"")</f>
        <v/>
      </c>
      <c r="S2171" s="61" t="str">
        <f aca="false">IF(IsPro,IF($D2171="","",L2171-R2171),"")</f>
        <v/>
      </c>
      <c r="T2171" s="60" t="str">
        <f aca="false">IF(IsPro,IF($D2171="","",IF(U2171="","UNKNOWN ITEM",IF(INDEX(Items!$O$5:$O$504,U2171)&lt;0,"NEG STOCK",IF(K2171&lt;INDEX(Items!$P$5:$P$504,U2171),"BELOW COST","OK")))),IF($D2171="","","PRO PLAN"))</f>
        <v/>
      </c>
      <c r="U2171" s="60" t="str">
        <f aca="false">IF(IsPro,IF($D2171="","",IFERROR(MATCH($D2171,Items!$A$5:$A$504,0),"")),"")</f>
        <v/>
      </c>
      <c r="V2171" s="60" t="str">
        <f aca="false">IF(IsPro,IF($C2171="","",IFERROR(MATCH($C2171,Parties!$A$5:$A$304,0),"")),"")</f>
        <v/>
      </c>
      <c r="W2171" s="60" t="str">
        <f aca="false">IF(IsPro,IF($B2171="","",IFERROR(VALUE(SUBSTITUTE($B2171,InvPrefix,"")),0)),"")</f>
        <v/>
      </c>
      <c r="X2171" s="61" t="str">
        <f aca="false">IF(IsPro,IF($D2171="","",IF(OR($H2171="",$H2171="Credit"),0,Q2171)),"")</f>
        <v/>
      </c>
    </row>
    <row r="2172" customFormat="false" ht="15" hidden="false" customHeight="false" outlineLevel="0" collapsed="false">
      <c r="A2172" s="55"/>
      <c r="B2172" s="56"/>
      <c r="C2172" s="56"/>
      <c r="D2172" s="56"/>
      <c r="E2172" s="57"/>
      <c r="F2172" s="58"/>
      <c r="G2172" s="59"/>
      <c r="H2172" s="56"/>
      <c r="I2172" s="56"/>
      <c r="J2172" s="60" t="str">
        <f aca="false">IF(IsPro,IF($D2172="","",IFERROR(INDEX(Items!$D$5:$D$504,U2172),"")),"")</f>
        <v/>
      </c>
      <c r="K2172" s="61" t="str">
        <f aca="false">IF(IsPro,IF($D2172="","",IF($F2172="",IFERROR(INDEX(Items!$H$5:$H$504,U2172),0),$F2172)),"")</f>
        <v/>
      </c>
      <c r="L2172" s="61" t="str">
        <f aca="false">IF(IsPro,IF($D2172="","",ROUND(N($E2172)*K2172*(1-N($G2172)),2)),"")</f>
        <v/>
      </c>
      <c r="M2172" s="62" t="str">
        <f aca="false">IF(IsPro,IF($D2172="","",IFERROR(INDEX(Items!$F$5:$F$504,U2172),0)),"")</f>
        <v/>
      </c>
      <c r="N2172" s="61" t="str">
        <f aca="false">IF(IsPro,IF($D2172="","",IF(AND(V2172&lt;&gt;"",INDEX(Parties!$E$5:$E$304,V2172)&lt;&gt;"",INDEX(Parties!$E$5:$E$304,V2172)&lt;&gt;HomeState),0,ROUND(L2172*M2172/2,2))),"")</f>
        <v/>
      </c>
      <c r="O2172" s="61" t="str">
        <f aca="false">IF(IsPro,IF($D2172="","",N2172),"")</f>
        <v/>
      </c>
      <c r="P2172" s="61" t="str">
        <f aca="false">IF(IsPro,IF($D2172="","",IF(AND(V2172&lt;&gt;"",INDEX(Parties!$E$5:$E$304,V2172)&lt;&gt;"",INDEX(Parties!$E$5:$E$304,V2172)&lt;&gt;HomeState),ROUND(L2172*M2172,2),0)),"")</f>
        <v/>
      </c>
      <c r="Q2172" s="61" t="str">
        <f aca="false">IF(IsPro,IF($D2172="","",L2172+N2172+O2172+P2172),"")</f>
        <v/>
      </c>
      <c r="R2172" s="61" t="str">
        <f aca="false">IF(IsPro,IF($D2172="","",ROUND(N($E2172)*IFERROR(INDEX(Items!$P$5:$P$504,U2172),0),2)),"")</f>
        <v/>
      </c>
      <c r="S2172" s="61" t="str">
        <f aca="false">IF(IsPro,IF($D2172="","",L2172-R2172),"")</f>
        <v/>
      </c>
      <c r="T2172" s="60" t="str">
        <f aca="false">IF(IsPro,IF($D2172="","",IF(U2172="","UNKNOWN ITEM",IF(INDEX(Items!$O$5:$O$504,U2172)&lt;0,"NEG STOCK",IF(K2172&lt;INDEX(Items!$P$5:$P$504,U2172),"BELOW COST","OK")))),IF($D2172="","","PRO PLAN"))</f>
        <v/>
      </c>
      <c r="U2172" s="60" t="str">
        <f aca="false">IF(IsPro,IF($D2172="","",IFERROR(MATCH($D2172,Items!$A$5:$A$504,0),"")),"")</f>
        <v/>
      </c>
      <c r="V2172" s="60" t="str">
        <f aca="false">IF(IsPro,IF($C2172="","",IFERROR(MATCH($C2172,Parties!$A$5:$A$304,0),"")),"")</f>
        <v/>
      </c>
      <c r="W2172" s="60" t="str">
        <f aca="false">IF(IsPro,IF($B2172="","",IFERROR(VALUE(SUBSTITUTE($B2172,InvPrefix,"")),0)),"")</f>
        <v/>
      </c>
      <c r="X2172" s="61" t="str">
        <f aca="false">IF(IsPro,IF($D2172="","",IF(OR($H2172="",$H2172="Credit"),0,Q2172)),"")</f>
        <v/>
      </c>
    </row>
    <row r="2173" customFormat="false" ht="15" hidden="false" customHeight="false" outlineLevel="0" collapsed="false">
      <c r="A2173" s="55"/>
      <c r="B2173" s="56"/>
      <c r="C2173" s="56"/>
      <c r="D2173" s="56"/>
      <c r="E2173" s="57"/>
      <c r="F2173" s="58"/>
      <c r="G2173" s="59"/>
      <c r="H2173" s="56"/>
      <c r="I2173" s="56"/>
      <c r="J2173" s="60" t="str">
        <f aca="false">IF(IsPro,IF($D2173="","",IFERROR(INDEX(Items!$D$5:$D$504,U2173),"")),"")</f>
        <v/>
      </c>
      <c r="K2173" s="61" t="str">
        <f aca="false">IF(IsPro,IF($D2173="","",IF($F2173="",IFERROR(INDEX(Items!$H$5:$H$504,U2173),0),$F2173)),"")</f>
        <v/>
      </c>
      <c r="L2173" s="61" t="str">
        <f aca="false">IF(IsPro,IF($D2173="","",ROUND(N($E2173)*K2173*(1-N($G2173)),2)),"")</f>
        <v/>
      </c>
      <c r="M2173" s="62" t="str">
        <f aca="false">IF(IsPro,IF($D2173="","",IFERROR(INDEX(Items!$F$5:$F$504,U2173),0)),"")</f>
        <v/>
      </c>
      <c r="N2173" s="61" t="str">
        <f aca="false">IF(IsPro,IF($D2173="","",IF(AND(V2173&lt;&gt;"",INDEX(Parties!$E$5:$E$304,V2173)&lt;&gt;"",INDEX(Parties!$E$5:$E$304,V2173)&lt;&gt;HomeState),0,ROUND(L2173*M2173/2,2))),"")</f>
        <v/>
      </c>
      <c r="O2173" s="61" t="str">
        <f aca="false">IF(IsPro,IF($D2173="","",N2173),"")</f>
        <v/>
      </c>
      <c r="P2173" s="61" t="str">
        <f aca="false">IF(IsPro,IF($D2173="","",IF(AND(V2173&lt;&gt;"",INDEX(Parties!$E$5:$E$304,V2173)&lt;&gt;"",INDEX(Parties!$E$5:$E$304,V2173)&lt;&gt;HomeState),ROUND(L2173*M2173,2),0)),"")</f>
        <v/>
      </c>
      <c r="Q2173" s="61" t="str">
        <f aca="false">IF(IsPro,IF($D2173="","",L2173+N2173+O2173+P2173),"")</f>
        <v/>
      </c>
      <c r="R2173" s="61" t="str">
        <f aca="false">IF(IsPro,IF($D2173="","",ROUND(N($E2173)*IFERROR(INDEX(Items!$P$5:$P$504,U2173),0),2)),"")</f>
        <v/>
      </c>
      <c r="S2173" s="61" t="str">
        <f aca="false">IF(IsPro,IF($D2173="","",L2173-R2173),"")</f>
        <v/>
      </c>
      <c r="T2173" s="60" t="str">
        <f aca="false">IF(IsPro,IF($D2173="","",IF(U2173="","UNKNOWN ITEM",IF(INDEX(Items!$O$5:$O$504,U2173)&lt;0,"NEG STOCK",IF(K2173&lt;INDEX(Items!$P$5:$P$504,U2173),"BELOW COST","OK")))),IF($D2173="","","PRO PLAN"))</f>
        <v/>
      </c>
      <c r="U2173" s="60" t="str">
        <f aca="false">IF(IsPro,IF($D2173="","",IFERROR(MATCH($D2173,Items!$A$5:$A$504,0),"")),"")</f>
        <v/>
      </c>
      <c r="V2173" s="60" t="str">
        <f aca="false">IF(IsPro,IF($C2173="","",IFERROR(MATCH($C2173,Parties!$A$5:$A$304,0),"")),"")</f>
        <v/>
      </c>
      <c r="W2173" s="60" t="str">
        <f aca="false">IF(IsPro,IF($B2173="","",IFERROR(VALUE(SUBSTITUTE($B2173,InvPrefix,"")),0)),"")</f>
        <v/>
      </c>
      <c r="X2173" s="61" t="str">
        <f aca="false">IF(IsPro,IF($D2173="","",IF(OR($H2173="",$H2173="Credit"),0,Q2173)),"")</f>
        <v/>
      </c>
    </row>
    <row r="2174" customFormat="false" ht="15" hidden="false" customHeight="false" outlineLevel="0" collapsed="false">
      <c r="A2174" s="55"/>
      <c r="B2174" s="56"/>
      <c r="C2174" s="56"/>
      <c r="D2174" s="56"/>
      <c r="E2174" s="57"/>
      <c r="F2174" s="58"/>
      <c r="G2174" s="59"/>
      <c r="H2174" s="56"/>
      <c r="I2174" s="56"/>
      <c r="J2174" s="60" t="str">
        <f aca="false">IF(IsPro,IF($D2174="","",IFERROR(INDEX(Items!$D$5:$D$504,U2174),"")),"")</f>
        <v/>
      </c>
      <c r="K2174" s="61" t="str">
        <f aca="false">IF(IsPro,IF($D2174="","",IF($F2174="",IFERROR(INDEX(Items!$H$5:$H$504,U2174),0),$F2174)),"")</f>
        <v/>
      </c>
      <c r="L2174" s="61" t="str">
        <f aca="false">IF(IsPro,IF($D2174="","",ROUND(N($E2174)*K2174*(1-N($G2174)),2)),"")</f>
        <v/>
      </c>
      <c r="M2174" s="62" t="str">
        <f aca="false">IF(IsPro,IF($D2174="","",IFERROR(INDEX(Items!$F$5:$F$504,U2174),0)),"")</f>
        <v/>
      </c>
      <c r="N2174" s="61" t="str">
        <f aca="false">IF(IsPro,IF($D2174="","",IF(AND(V2174&lt;&gt;"",INDEX(Parties!$E$5:$E$304,V2174)&lt;&gt;"",INDEX(Parties!$E$5:$E$304,V2174)&lt;&gt;HomeState),0,ROUND(L2174*M2174/2,2))),"")</f>
        <v/>
      </c>
      <c r="O2174" s="61" t="str">
        <f aca="false">IF(IsPro,IF($D2174="","",N2174),"")</f>
        <v/>
      </c>
      <c r="P2174" s="61" t="str">
        <f aca="false">IF(IsPro,IF($D2174="","",IF(AND(V2174&lt;&gt;"",INDEX(Parties!$E$5:$E$304,V2174)&lt;&gt;"",INDEX(Parties!$E$5:$E$304,V2174)&lt;&gt;HomeState),ROUND(L2174*M2174,2),0)),"")</f>
        <v/>
      </c>
      <c r="Q2174" s="61" t="str">
        <f aca="false">IF(IsPro,IF($D2174="","",L2174+N2174+O2174+P2174),"")</f>
        <v/>
      </c>
      <c r="R2174" s="61" t="str">
        <f aca="false">IF(IsPro,IF($D2174="","",ROUND(N($E2174)*IFERROR(INDEX(Items!$P$5:$P$504,U2174),0),2)),"")</f>
        <v/>
      </c>
      <c r="S2174" s="61" t="str">
        <f aca="false">IF(IsPro,IF($D2174="","",L2174-R2174),"")</f>
        <v/>
      </c>
      <c r="T2174" s="60" t="str">
        <f aca="false">IF(IsPro,IF($D2174="","",IF(U2174="","UNKNOWN ITEM",IF(INDEX(Items!$O$5:$O$504,U2174)&lt;0,"NEG STOCK",IF(K2174&lt;INDEX(Items!$P$5:$P$504,U2174),"BELOW COST","OK")))),IF($D2174="","","PRO PLAN"))</f>
        <v/>
      </c>
      <c r="U2174" s="60" t="str">
        <f aca="false">IF(IsPro,IF($D2174="","",IFERROR(MATCH($D2174,Items!$A$5:$A$504,0),"")),"")</f>
        <v/>
      </c>
      <c r="V2174" s="60" t="str">
        <f aca="false">IF(IsPro,IF($C2174="","",IFERROR(MATCH($C2174,Parties!$A$5:$A$304,0),"")),"")</f>
        <v/>
      </c>
      <c r="W2174" s="60" t="str">
        <f aca="false">IF(IsPro,IF($B2174="","",IFERROR(VALUE(SUBSTITUTE($B2174,InvPrefix,"")),0)),"")</f>
        <v/>
      </c>
      <c r="X2174" s="61" t="str">
        <f aca="false">IF(IsPro,IF($D2174="","",IF(OR($H2174="",$H2174="Credit"),0,Q2174)),"")</f>
        <v/>
      </c>
    </row>
    <row r="2175" customFormat="false" ht="15" hidden="false" customHeight="false" outlineLevel="0" collapsed="false">
      <c r="A2175" s="55"/>
      <c r="B2175" s="56"/>
      <c r="C2175" s="56"/>
      <c r="D2175" s="56"/>
      <c r="E2175" s="57"/>
      <c r="F2175" s="58"/>
      <c r="G2175" s="59"/>
      <c r="H2175" s="56"/>
      <c r="I2175" s="56"/>
      <c r="J2175" s="60" t="str">
        <f aca="false">IF(IsPro,IF($D2175="","",IFERROR(INDEX(Items!$D$5:$D$504,U2175),"")),"")</f>
        <v/>
      </c>
      <c r="K2175" s="61" t="str">
        <f aca="false">IF(IsPro,IF($D2175="","",IF($F2175="",IFERROR(INDEX(Items!$H$5:$H$504,U2175),0),$F2175)),"")</f>
        <v/>
      </c>
      <c r="L2175" s="61" t="str">
        <f aca="false">IF(IsPro,IF($D2175="","",ROUND(N($E2175)*K2175*(1-N($G2175)),2)),"")</f>
        <v/>
      </c>
      <c r="M2175" s="62" t="str">
        <f aca="false">IF(IsPro,IF($D2175="","",IFERROR(INDEX(Items!$F$5:$F$504,U2175),0)),"")</f>
        <v/>
      </c>
      <c r="N2175" s="61" t="str">
        <f aca="false">IF(IsPro,IF($D2175="","",IF(AND(V2175&lt;&gt;"",INDEX(Parties!$E$5:$E$304,V2175)&lt;&gt;"",INDEX(Parties!$E$5:$E$304,V2175)&lt;&gt;HomeState),0,ROUND(L2175*M2175/2,2))),"")</f>
        <v/>
      </c>
      <c r="O2175" s="61" t="str">
        <f aca="false">IF(IsPro,IF($D2175="","",N2175),"")</f>
        <v/>
      </c>
      <c r="P2175" s="61" t="str">
        <f aca="false">IF(IsPro,IF($D2175="","",IF(AND(V2175&lt;&gt;"",INDEX(Parties!$E$5:$E$304,V2175)&lt;&gt;"",INDEX(Parties!$E$5:$E$304,V2175)&lt;&gt;HomeState),ROUND(L2175*M2175,2),0)),"")</f>
        <v/>
      </c>
      <c r="Q2175" s="61" t="str">
        <f aca="false">IF(IsPro,IF($D2175="","",L2175+N2175+O2175+P2175),"")</f>
        <v/>
      </c>
      <c r="R2175" s="61" t="str">
        <f aca="false">IF(IsPro,IF($D2175="","",ROUND(N($E2175)*IFERROR(INDEX(Items!$P$5:$P$504,U2175),0),2)),"")</f>
        <v/>
      </c>
      <c r="S2175" s="61" t="str">
        <f aca="false">IF(IsPro,IF($D2175="","",L2175-R2175),"")</f>
        <v/>
      </c>
      <c r="T2175" s="60" t="str">
        <f aca="false">IF(IsPro,IF($D2175="","",IF(U2175="","UNKNOWN ITEM",IF(INDEX(Items!$O$5:$O$504,U2175)&lt;0,"NEG STOCK",IF(K2175&lt;INDEX(Items!$P$5:$P$504,U2175),"BELOW COST","OK")))),IF($D2175="","","PRO PLAN"))</f>
        <v/>
      </c>
      <c r="U2175" s="60" t="str">
        <f aca="false">IF(IsPro,IF($D2175="","",IFERROR(MATCH($D2175,Items!$A$5:$A$504,0),"")),"")</f>
        <v/>
      </c>
      <c r="V2175" s="60" t="str">
        <f aca="false">IF(IsPro,IF($C2175="","",IFERROR(MATCH($C2175,Parties!$A$5:$A$304,0),"")),"")</f>
        <v/>
      </c>
      <c r="W2175" s="60" t="str">
        <f aca="false">IF(IsPro,IF($B2175="","",IFERROR(VALUE(SUBSTITUTE($B2175,InvPrefix,"")),0)),"")</f>
        <v/>
      </c>
      <c r="X2175" s="61" t="str">
        <f aca="false">IF(IsPro,IF($D2175="","",IF(OR($H2175="",$H2175="Credit"),0,Q2175)),"")</f>
        <v/>
      </c>
    </row>
    <row r="2176" customFormat="false" ht="15" hidden="false" customHeight="false" outlineLevel="0" collapsed="false">
      <c r="A2176" s="55"/>
      <c r="B2176" s="56"/>
      <c r="C2176" s="56"/>
      <c r="D2176" s="56"/>
      <c r="E2176" s="57"/>
      <c r="F2176" s="58"/>
      <c r="G2176" s="59"/>
      <c r="H2176" s="56"/>
      <c r="I2176" s="56"/>
      <c r="J2176" s="60" t="str">
        <f aca="false">IF(IsPro,IF($D2176="","",IFERROR(INDEX(Items!$D$5:$D$504,U2176),"")),"")</f>
        <v/>
      </c>
      <c r="K2176" s="61" t="str">
        <f aca="false">IF(IsPro,IF($D2176="","",IF($F2176="",IFERROR(INDEX(Items!$H$5:$H$504,U2176),0),$F2176)),"")</f>
        <v/>
      </c>
      <c r="L2176" s="61" t="str">
        <f aca="false">IF(IsPro,IF($D2176="","",ROUND(N($E2176)*K2176*(1-N($G2176)),2)),"")</f>
        <v/>
      </c>
      <c r="M2176" s="62" t="str">
        <f aca="false">IF(IsPro,IF($D2176="","",IFERROR(INDEX(Items!$F$5:$F$504,U2176),0)),"")</f>
        <v/>
      </c>
      <c r="N2176" s="61" t="str">
        <f aca="false">IF(IsPro,IF($D2176="","",IF(AND(V2176&lt;&gt;"",INDEX(Parties!$E$5:$E$304,V2176)&lt;&gt;"",INDEX(Parties!$E$5:$E$304,V2176)&lt;&gt;HomeState),0,ROUND(L2176*M2176/2,2))),"")</f>
        <v/>
      </c>
      <c r="O2176" s="61" t="str">
        <f aca="false">IF(IsPro,IF($D2176="","",N2176),"")</f>
        <v/>
      </c>
      <c r="P2176" s="61" t="str">
        <f aca="false">IF(IsPro,IF($D2176="","",IF(AND(V2176&lt;&gt;"",INDEX(Parties!$E$5:$E$304,V2176)&lt;&gt;"",INDEX(Parties!$E$5:$E$304,V2176)&lt;&gt;HomeState),ROUND(L2176*M2176,2),0)),"")</f>
        <v/>
      </c>
      <c r="Q2176" s="61" t="str">
        <f aca="false">IF(IsPro,IF($D2176="","",L2176+N2176+O2176+P2176),"")</f>
        <v/>
      </c>
      <c r="R2176" s="61" t="str">
        <f aca="false">IF(IsPro,IF($D2176="","",ROUND(N($E2176)*IFERROR(INDEX(Items!$P$5:$P$504,U2176),0),2)),"")</f>
        <v/>
      </c>
      <c r="S2176" s="61" t="str">
        <f aca="false">IF(IsPro,IF($D2176="","",L2176-R2176),"")</f>
        <v/>
      </c>
      <c r="T2176" s="60" t="str">
        <f aca="false">IF(IsPro,IF($D2176="","",IF(U2176="","UNKNOWN ITEM",IF(INDEX(Items!$O$5:$O$504,U2176)&lt;0,"NEG STOCK",IF(K2176&lt;INDEX(Items!$P$5:$P$504,U2176),"BELOW COST","OK")))),IF($D2176="","","PRO PLAN"))</f>
        <v/>
      </c>
      <c r="U2176" s="60" t="str">
        <f aca="false">IF(IsPro,IF($D2176="","",IFERROR(MATCH($D2176,Items!$A$5:$A$504,0),"")),"")</f>
        <v/>
      </c>
      <c r="V2176" s="60" t="str">
        <f aca="false">IF(IsPro,IF($C2176="","",IFERROR(MATCH($C2176,Parties!$A$5:$A$304,0),"")),"")</f>
        <v/>
      </c>
      <c r="W2176" s="60" t="str">
        <f aca="false">IF(IsPro,IF($B2176="","",IFERROR(VALUE(SUBSTITUTE($B2176,InvPrefix,"")),0)),"")</f>
        <v/>
      </c>
      <c r="X2176" s="61" t="str">
        <f aca="false">IF(IsPro,IF($D2176="","",IF(OR($H2176="",$H2176="Credit"),0,Q2176)),"")</f>
        <v/>
      </c>
    </row>
    <row r="2177" customFormat="false" ht="15" hidden="false" customHeight="false" outlineLevel="0" collapsed="false">
      <c r="A2177" s="55"/>
      <c r="B2177" s="56"/>
      <c r="C2177" s="56"/>
      <c r="D2177" s="56"/>
      <c r="E2177" s="57"/>
      <c r="F2177" s="58"/>
      <c r="G2177" s="59"/>
      <c r="H2177" s="56"/>
      <c r="I2177" s="56"/>
      <c r="J2177" s="60" t="str">
        <f aca="false">IF(IsPro,IF($D2177="","",IFERROR(INDEX(Items!$D$5:$D$504,U2177),"")),"")</f>
        <v/>
      </c>
      <c r="K2177" s="61" t="str">
        <f aca="false">IF(IsPro,IF($D2177="","",IF($F2177="",IFERROR(INDEX(Items!$H$5:$H$504,U2177),0),$F2177)),"")</f>
        <v/>
      </c>
      <c r="L2177" s="61" t="str">
        <f aca="false">IF(IsPro,IF($D2177="","",ROUND(N($E2177)*K2177*(1-N($G2177)),2)),"")</f>
        <v/>
      </c>
      <c r="M2177" s="62" t="str">
        <f aca="false">IF(IsPro,IF($D2177="","",IFERROR(INDEX(Items!$F$5:$F$504,U2177),0)),"")</f>
        <v/>
      </c>
      <c r="N2177" s="61" t="str">
        <f aca="false">IF(IsPro,IF($D2177="","",IF(AND(V2177&lt;&gt;"",INDEX(Parties!$E$5:$E$304,V2177)&lt;&gt;"",INDEX(Parties!$E$5:$E$304,V2177)&lt;&gt;HomeState),0,ROUND(L2177*M2177/2,2))),"")</f>
        <v/>
      </c>
      <c r="O2177" s="61" t="str">
        <f aca="false">IF(IsPro,IF($D2177="","",N2177),"")</f>
        <v/>
      </c>
      <c r="P2177" s="61" t="str">
        <f aca="false">IF(IsPro,IF($D2177="","",IF(AND(V2177&lt;&gt;"",INDEX(Parties!$E$5:$E$304,V2177)&lt;&gt;"",INDEX(Parties!$E$5:$E$304,V2177)&lt;&gt;HomeState),ROUND(L2177*M2177,2),0)),"")</f>
        <v/>
      </c>
      <c r="Q2177" s="61" t="str">
        <f aca="false">IF(IsPro,IF($D2177="","",L2177+N2177+O2177+P2177),"")</f>
        <v/>
      </c>
      <c r="R2177" s="61" t="str">
        <f aca="false">IF(IsPro,IF($D2177="","",ROUND(N($E2177)*IFERROR(INDEX(Items!$P$5:$P$504,U2177),0),2)),"")</f>
        <v/>
      </c>
      <c r="S2177" s="61" t="str">
        <f aca="false">IF(IsPro,IF($D2177="","",L2177-R2177),"")</f>
        <v/>
      </c>
      <c r="T2177" s="60" t="str">
        <f aca="false">IF(IsPro,IF($D2177="","",IF(U2177="","UNKNOWN ITEM",IF(INDEX(Items!$O$5:$O$504,U2177)&lt;0,"NEG STOCK",IF(K2177&lt;INDEX(Items!$P$5:$P$504,U2177),"BELOW COST","OK")))),IF($D2177="","","PRO PLAN"))</f>
        <v/>
      </c>
      <c r="U2177" s="60" t="str">
        <f aca="false">IF(IsPro,IF($D2177="","",IFERROR(MATCH($D2177,Items!$A$5:$A$504,0),"")),"")</f>
        <v/>
      </c>
      <c r="V2177" s="60" t="str">
        <f aca="false">IF(IsPro,IF($C2177="","",IFERROR(MATCH($C2177,Parties!$A$5:$A$304,0),"")),"")</f>
        <v/>
      </c>
      <c r="W2177" s="60" t="str">
        <f aca="false">IF(IsPro,IF($B2177="","",IFERROR(VALUE(SUBSTITUTE($B2177,InvPrefix,"")),0)),"")</f>
        <v/>
      </c>
      <c r="X2177" s="61" t="str">
        <f aca="false">IF(IsPro,IF($D2177="","",IF(OR($H2177="",$H2177="Credit"),0,Q2177)),"")</f>
        <v/>
      </c>
    </row>
    <row r="2178" customFormat="false" ht="15" hidden="false" customHeight="false" outlineLevel="0" collapsed="false">
      <c r="A2178" s="55"/>
      <c r="B2178" s="56"/>
      <c r="C2178" s="56"/>
      <c r="D2178" s="56"/>
      <c r="E2178" s="57"/>
      <c r="F2178" s="58"/>
      <c r="G2178" s="59"/>
      <c r="H2178" s="56"/>
      <c r="I2178" s="56"/>
      <c r="J2178" s="60" t="str">
        <f aca="false">IF(IsPro,IF($D2178="","",IFERROR(INDEX(Items!$D$5:$D$504,U2178),"")),"")</f>
        <v/>
      </c>
      <c r="K2178" s="61" t="str">
        <f aca="false">IF(IsPro,IF($D2178="","",IF($F2178="",IFERROR(INDEX(Items!$H$5:$H$504,U2178),0),$F2178)),"")</f>
        <v/>
      </c>
      <c r="L2178" s="61" t="str">
        <f aca="false">IF(IsPro,IF($D2178="","",ROUND(N($E2178)*K2178*(1-N($G2178)),2)),"")</f>
        <v/>
      </c>
      <c r="M2178" s="62" t="str">
        <f aca="false">IF(IsPro,IF($D2178="","",IFERROR(INDEX(Items!$F$5:$F$504,U2178),0)),"")</f>
        <v/>
      </c>
      <c r="N2178" s="61" t="str">
        <f aca="false">IF(IsPro,IF($D2178="","",IF(AND(V2178&lt;&gt;"",INDEX(Parties!$E$5:$E$304,V2178)&lt;&gt;"",INDEX(Parties!$E$5:$E$304,V2178)&lt;&gt;HomeState),0,ROUND(L2178*M2178/2,2))),"")</f>
        <v/>
      </c>
      <c r="O2178" s="61" t="str">
        <f aca="false">IF(IsPro,IF($D2178="","",N2178),"")</f>
        <v/>
      </c>
      <c r="P2178" s="61" t="str">
        <f aca="false">IF(IsPro,IF($D2178="","",IF(AND(V2178&lt;&gt;"",INDEX(Parties!$E$5:$E$304,V2178)&lt;&gt;"",INDEX(Parties!$E$5:$E$304,V2178)&lt;&gt;HomeState),ROUND(L2178*M2178,2),0)),"")</f>
        <v/>
      </c>
      <c r="Q2178" s="61" t="str">
        <f aca="false">IF(IsPro,IF($D2178="","",L2178+N2178+O2178+P2178),"")</f>
        <v/>
      </c>
      <c r="R2178" s="61" t="str">
        <f aca="false">IF(IsPro,IF($D2178="","",ROUND(N($E2178)*IFERROR(INDEX(Items!$P$5:$P$504,U2178),0),2)),"")</f>
        <v/>
      </c>
      <c r="S2178" s="61" t="str">
        <f aca="false">IF(IsPro,IF($D2178="","",L2178-R2178),"")</f>
        <v/>
      </c>
      <c r="T2178" s="60" t="str">
        <f aca="false">IF(IsPro,IF($D2178="","",IF(U2178="","UNKNOWN ITEM",IF(INDEX(Items!$O$5:$O$504,U2178)&lt;0,"NEG STOCK",IF(K2178&lt;INDEX(Items!$P$5:$P$504,U2178),"BELOW COST","OK")))),IF($D2178="","","PRO PLAN"))</f>
        <v/>
      </c>
      <c r="U2178" s="60" t="str">
        <f aca="false">IF(IsPro,IF($D2178="","",IFERROR(MATCH($D2178,Items!$A$5:$A$504,0),"")),"")</f>
        <v/>
      </c>
      <c r="V2178" s="60" t="str">
        <f aca="false">IF(IsPro,IF($C2178="","",IFERROR(MATCH($C2178,Parties!$A$5:$A$304,0),"")),"")</f>
        <v/>
      </c>
      <c r="W2178" s="60" t="str">
        <f aca="false">IF(IsPro,IF($B2178="","",IFERROR(VALUE(SUBSTITUTE($B2178,InvPrefix,"")),0)),"")</f>
        <v/>
      </c>
      <c r="X2178" s="61" t="str">
        <f aca="false">IF(IsPro,IF($D2178="","",IF(OR($H2178="",$H2178="Credit"),0,Q2178)),"")</f>
        <v/>
      </c>
    </row>
    <row r="2179" customFormat="false" ht="15" hidden="false" customHeight="false" outlineLevel="0" collapsed="false">
      <c r="A2179" s="55"/>
      <c r="B2179" s="56"/>
      <c r="C2179" s="56"/>
      <c r="D2179" s="56"/>
      <c r="E2179" s="57"/>
      <c r="F2179" s="58"/>
      <c r="G2179" s="59"/>
      <c r="H2179" s="56"/>
      <c r="I2179" s="56"/>
      <c r="J2179" s="60" t="str">
        <f aca="false">IF(IsPro,IF($D2179="","",IFERROR(INDEX(Items!$D$5:$D$504,U2179),"")),"")</f>
        <v/>
      </c>
      <c r="K2179" s="61" t="str">
        <f aca="false">IF(IsPro,IF($D2179="","",IF($F2179="",IFERROR(INDEX(Items!$H$5:$H$504,U2179),0),$F2179)),"")</f>
        <v/>
      </c>
      <c r="L2179" s="61" t="str">
        <f aca="false">IF(IsPro,IF($D2179="","",ROUND(N($E2179)*K2179*(1-N($G2179)),2)),"")</f>
        <v/>
      </c>
      <c r="M2179" s="62" t="str">
        <f aca="false">IF(IsPro,IF($D2179="","",IFERROR(INDEX(Items!$F$5:$F$504,U2179),0)),"")</f>
        <v/>
      </c>
      <c r="N2179" s="61" t="str">
        <f aca="false">IF(IsPro,IF($D2179="","",IF(AND(V2179&lt;&gt;"",INDEX(Parties!$E$5:$E$304,V2179)&lt;&gt;"",INDEX(Parties!$E$5:$E$304,V2179)&lt;&gt;HomeState),0,ROUND(L2179*M2179/2,2))),"")</f>
        <v/>
      </c>
      <c r="O2179" s="61" t="str">
        <f aca="false">IF(IsPro,IF($D2179="","",N2179),"")</f>
        <v/>
      </c>
      <c r="P2179" s="61" t="str">
        <f aca="false">IF(IsPro,IF($D2179="","",IF(AND(V2179&lt;&gt;"",INDEX(Parties!$E$5:$E$304,V2179)&lt;&gt;"",INDEX(Parties!$E$5:$E$304,V2179)&lt;&gt;HomeState),ROUND(L2179*M2179,2),0)),"")</f>
        <v/>
      </c>
      <c r="Q2179" s="61" t="str">
        <f aca="false">IF(IsPro,IF($D2179="","",L2179+N2179+O2179+P2179),"")</f>
        <v/>
      </c>
      <c r="R2179" s="61" t="str">
        <f aca="false">IF(IsPro,IF($D2179="","",ROUND(N($E2179)*IFERROR(INDEX(Items!$P$5:$P$504,U2179),0),2)),"")</f>
        <v/>
      </c>
      <c r="S2179" s="61" t="str">
        <f aca="false">IF(IsPro,IF($D2179="","",L2179-R2179),"")</f>
        <v/>
      </c>
      <c r="T2179" s="60" t="str">
        <f aca="false">IF(IsPro,IF($D2179="","",IF(U2179="","UNKNOWN ITEM",IF(INDEX(Items!$O$5:$O$504,U2179)&lt;0,"NEG STOCK",IF(K2179&lt;INDEX(Items!$P$5:$P$504,U2179),"BELOW COST","OK")))),IF($D2179="","","PRO PLAN"))</f>
        <v/>
      </c>
      <c r="U2179" s="60" t="str">
        <f aca="false">IF(IsPro,IF($D2179="","",IFERROR(MATCH($D2179,Items!$A$5:$A$504,0),"")),"")</f>
        <v/>
      </c>
      <c r="V2179" s="60" t="str">
        <f aca="false">IF(IsPro,IF($C2179="","",IFERROR(MATCH($C2179,Parties!$A$5:$A$304,0),"")),"")</f>
        <v/>
      </c>
      <c r="W2179" s="60" t="str">
        <f aca="false">IF(IsPro,IF($B2179="","",IFERROR(VALUE(SUBSTITUTE($B2179,InvPrefix,"")),0)),"")</f>
        <v/>
      </c>
      <c r="X2179" s="61" t="str">
        <f aca="false">IF(IsPro,IF($D2179="","",IF(OR($H2179="",$H2179="Credit"),0,Q2179)),"")</f>
        <v/>
      </c>
    </row>
    <row r="2180" customFormat="false" ht="15" hidden="false" customHeight="false" outlineLevel="0" collapsed="false">
      <c r="A2180" s="55"/>
      <c r="B2180" s="56"/>
      <c r="C2180" s="56"/>
      <c r="D2180" s="56"/>
      <c r="E2180" s="57"/>
      <c r="F2180" s="58"/>
      <c r="G2180" s="59"/>
      <c r="H2180" s="56"/>
      <c r="I2180" s="56"/>
      <c r="J2180" s="60" t="str">
        <f aca="false">IF(IsPro,IF($D2180="","",IFERROR(INDEX(Items!$D$5:$D$504,U2180),"")),"")</f>
        <v/>
      </c>
      <c r="K2180" s="61" t="str">
        <f aca="false">IF(IsPro,IF($D2180="","",IF($F2180="",IFERROR(INDEX(Items!$H$5:$H$504,U2180),0),$F2180)),"")</f>
        <v/>
      </c>
      <c r="L2180" s="61" t="str">
        <f aca="false">IF(IsPro,IF($D2180="","",ROUND(N($E2180)*K2180*(1-N($G2180)),2)),"")</f>
        <v/>
      </c>
      <c r="M2180" s="62" t="str">
        <f aca="false">IF(IsPro,IF($D2180="","",IFERROR(INDEX(Items!$F$5:$F$504,U2180),0)),"")</f>
        <v/>
      </c>
      <c r="N2180" s="61" t="str">
        <f aca="false">IF(IsPro,IF($D2180="","",IF(AND(V2180&lt;&gt;"",INDEX(Parties!$E$5:$E$304,V2180)&lt;&gt;"",INDEX(Parties!$E$5:$E$304,V2180)&lt;&gt;HomeState),0,ROUND(L2180*M2180/2,2))),"")</f>
        <v/>
      </c>
      <c r="O2180" s="61" t="str">
        <f aca="false">IF(IsPro,IF($D2180="","",N2180),"")</f>
        <v/>
      </c>
      <c r="P2180" s="61" t="str">
        <f aca="false">IF(IsPro,IF($D2180="","",IF(AND(V2180&lt;&gt;"",INDEX(Parties!$E$5:$E$304,V2180)&lt;&gt;"",INDEX(Parties!$E$5:$E$304,V2180)&lt;&gt;HomeState),ROUND(L2180*M2180,2),0)),"")</f>
        <v/>
      </c>
      <c r="Q2180" s="61" t="str">
        <f aca="false">IF(IsPro,IF($D2180="","",L2180+N2180+O2180+P2180),"")</f>
        <v/>
      </c>
      <c r="R2180" s="61" t="str">
        <f aca="false">IF(IsPro,IF($D2180="","",ROUND(N($E2180)*IFERROR(INDEX(Items!$P$5:$P$504,U2180),0),2)),"")</f>
        <v/>
      </c>
      <c r="S2180" s="61" t="str">
        <f aca="false">IF(IsPro,IF($D2180="","",L2180-R2180),"")</f>
        <v/>
      </c>
      <c r="T2180" s="60" t="str">
        <f aca="false">IF(IsPro,IF($D2180="","",IF(U2180="","UNKNOWN ITEM",IF(INDEX(Items!$O$5:$O$504,U2180)&lt;0,"NEG STOCK",IF(K2180&lt;INDEX(Items!$P$5:$P$504,U2180),"BELOW COST","OK")))),IF($D2180="","","PRO PLAN"))</f>
        <v/>
      </c>
      <c r="U2180" s="60" t="str">
        <f aca="false">IF(IsPro,IF($D2180="","",IFERROR(MATCH($D2180,Items!$A$5:$A$504,0),"")),"")</f>
        <v/>
      </c>
      <c r="V2180" s="60" t="str">
        <f aca="false">IF(IsPro,IF($C2180="","",IFERROR(MATCH($C2180,Parties!$A$5:$A$304,0),"")),"")</f>
        <v/>
      </c>
      <c r="W2180" s="60" t="str">
        <f aca="false">IF(IsPro,IF($B2180="","",IFERROR(VALUE(SUBSTITUTE($B2180,InvPrefix,"")),0)),"")</f>
        <v/>
      </c>
      <c r="X2180" s="61" t="str">
        <f aca="false">IF(IsPro,IF($D2180="","",IF(OR($H2180="",$H2180="Credit"),0,Q2180)),"")</f>
        <v/>
      </c>
    </row>
    <row r="2181" customFormat="false" ht="15" hidden="false" customHeight="false" outlineLevel="0" collapsed="false">
      <c r="A2181" s="55"/>
      <c r="B2181" s="56"/>
      <c r="C2181" s="56"/>
      <c r="D2181" s="56"/>
      <c r="E2181" s="57"/>
      <c r="F2181" s="58"/>
      <c r="G2181" s="59"/>
      <c r="H2181" s="56"/>
      <c r="I2181" s="56"/>
      <c r="J2181" s="60" t="str">
        <f aca="false">IF(IsPro,IF($D2181="","",IFERROR(INDEX(Items!$D$5:$D$504,U2181),"")),"")</f>
        <v/>
      </c>
      <c r="K2181" s="61" t="str">
        <f aca="false">IF(IsPro,IF($D2181="","",IF($F2181="",IFERROR(INDEX(Items!$H$5:$H$504,U2181),0),$F2181)),"")</f>
        <v/>
      </c>
      <c r="L2181" s="61" t="str">
        <f aca="false">IF(IsPro,IF($D2181="","",ROUND(N($E2181)*K2181*(1-N($G2181)),2)),"")</f>
        <v/>
      </c>
      <c r="M2181" s="62" t="str">
        <f aca="false">IF(IsPro,IF($D2181="","",IFERROR(INDEX(Items!$F$5:$F$504,U2181),0)),"")</f>
        <v/>
      </c>
      <c r="N2181" s="61" t="str">
        <f aca="false">IF(IsPro,IF($D2181="","",IF(AND(V2181&lt;&gt;"",INDEX(Parties!$E$5:$E$304,V2181)&lt;&gt;"",INDEX(Parties!$E$5:$E$304,V2181)&lt;&gt;HomeState),0,ROUND(L2181*M2181/2,2))),"")</f>
        <v/>
      </c>
      <c r="O2181" s="61" t="str">
        <f aca="false">IF(IsPro,IF($D2181="","",N2181),"")</f>
        <v/>
      </c>
      <c r="P2181" s="61" t="str">
        <f aca="false">IF(IsPro,IF($D2181="","",IF(AND(V2181&lt;&gt;"",INDEX(Parties!$E$5:$E$304,V2181)&lt;&gt;"",INDEX(Parties!$E$5:$E$304,V2181)&lt;&gt;HomeState),ROUND(L2181*M2181,2),0)),"")</f>
        <v/>
      </c>
      <c r="Q2181" s="61" t="str">
        <f aca="false">IF(IsPro,IF($D2181="","",L2181+N2181+O2181+P2181),"")</f>
        <v/>
      </c>
      <c r="R2181" s="61" t="str">
        <f aca="false">IF(IsPro,IF($D2181="","",ROUND(N($E2181)*IFERROR(INDEX(Items!$P$5:$P$504,U2181),0),2)),"")</f>
        <v/>
      </c>
      <c r="S2181" s="61" t="str">
        <f aca="false">IF(IsPro,IF($D2181="","",L2181-R2181),"")</f>
        <v/>
      </c>
      <c r="T2181" s="60" t="str">
        <f aca="false">IF(IsPro,IF($D2181="","",IF(U2181="","UNKNOWN ITEM",IF(INDEX(Items!$O$5:$O$504,U2181)&lt;0,"NEG STOCK",IF(K2181&lt;INDEX(Items!$P$5:$P$504,U2181),"BELOW COST","OK")))),IF($D2181="","","PRO PLAN"))</f>
        <v/>
      </c>
      <c r="U2181" s="60" t="str">
        <f aca="false">IF(IsPro,IF($D2181="","",IFERROR(MATCH($D2181,Items!$A$5:$A$504,0),"")),"")</f>
        <v/>
      </c>
      <c r="V2181" s="60" t="str">
        <f aca="false">IF(IsPro,IF($C2181="","",IFERROR(MATCH($C2181,Parties!$A$5:$A$304,0),"")),"")</f>
        <v/>
      </c>
      <c r="W2181" s="60" t="str">
        <f aca="false">IF(IsPro,IF($B2181="","",IFERROR(VALUE(SUBSTITUTE($B2181,InvPrefix,"")),0)),"")</f>
        <v/>
      </c>
      <c r="X2181" s="61" t="str">
        <f aca="false">IF(IsPro,IF($D2181="","",IF(OR($H2181="",$H2181="Credit"),0,Q2181)),"")</f>
        <v/>
      </c>
    </row>
    <row r="2182" customFormat="false" ht="15" hidden="false" customHeight="false" outlineLevel="0" collapsed="false">
      <c r="A2182" s="55"/>
      <c r="B2182" s="56"/>
      <c r="C2182" s="56"/>
      <c r="D2182" s="56"/>
      <c r="E2182" s="57"/>
      <c r="F2182" s="58"/>
      <c r="G2182" s="59"/>
      <c r="H2182" s="56"/>
      <c r="I2182" s="56"/>
      <c r="J2182" s="60" t="str">
        <f aca="false">IF(IsPro,IF($D2182="","",IFERROR(INDEX(Items!$D$5:$D$504,U2182),"")),"")</f>
        <v/>
      </c>
      <c r="K2182" s="61" t="str">
        <f aca="false">IF(IsPro,IF($D2182="","",IF($F2182="",IFERROR(INDEX(Items!$H$5:$H$504,U2182),0),$F2182)),"")</f>
        <v/>
      </c>
      <c r="L2182" s="61" t="str">
        <f aca="false">IF(IsPro,IF($D2182="","",ROUND(N($E2182)*K2182*(1-N($G2182)),2)),"")</f>
        <v/>
      </c>
      <c r="M2182" s="62" t="str">
        <f aca="false">IF(IsPro,IF($D2182="","",IFERROR(INDEX(Items!$F$5:$F$504,U2182),0)),"")</f>
        <v/>
      </c>
      <c r="N2182" s="61" t="str">
        <f aca="false">IF(IsPro,IF($D2182="","",IF(AND(V2182&lt;&gt;"",INDEX(Parties!$E$5:$E$304,V2182)&lt;&gt;"",INDEX(Parties!$E$5:$E$304,V2182)&lt;&gt;HomeState),0,ROUND(L2182*M2182/2,2))),"")</f>
        <v/>
      </c>
      <c r="O2182" s="61" t="str">
        <f aca="false">IF(IsPro,IF($D2182="","",N2182),"")</f>
        <v/>
      </c>
      <c r="P2182" s="61" t="str">
        <f aca="false">IF(IsPro,IF($D2182="","",IF(AND(V2182&lt;&gt;"",INDEX(Parties!$E$5:$E$304,V2182)&lt;&gt;"",INDEX(Parties!$E$5:$E$304,V2182)&lt;&gt;HomeState),ROUND(L2182*M2182,2),0)),"")</f>
        <v/>
      </c>
      <c r="Q2182" s="61" t="str">
        <f aca="false">IF(IsPro,IF($D2182="","",L2182+N2182+O2182+P2182),"")</f>
        <v/>
      </c>
      <c r="R2182" s="61" t="str">
        <f aca="false">IF(IsPro,IF($D2182="","",ROUND(N($E2182)*IFERROR(INDEX(Items!$P$5:$P$504,U2182),0),2)),"")</f>
        <v/>
      </c>
      <c r="S2182" s="61" t="str">
        <f aca="false">IF(IsPro,IF($D2182="","",L2182-R2182),"")</f>
        <v/>
      </c>
      <c r="T2182" s="60" t="str">
        <f aca="false">IF(IsPro,IF($D2182="","",IF(U2182="","UNKNOWN ITEM",IF(INDEX(Items!$O$5:$O$504,U2182)&lt;0,"NEG STOCK",IF(K2182&lt;INDEX(Items!$P$5:$P$504,U2182),"BELOW COST","OK")))),IF($D2182="","","PRO PLAN"))</f>
        <v/>
      </c>
      <c r="U2182" s="60" t="str">
        <f aca="false">IF(IsPro,IF($D2182="","",IFERROR(MATCH($D2182,Items!$A$5:$A$504,0),"")),"")</f>
        <v/>
      </c>
      <c r="V2182" s="60" t="str">
        <f aca="false">IF(IsPro,IF($C2182="","",IFERROR(MATCH($C2182,Parties!$A$5:$A$304,0),"")),"")</f>
        <v/>
      </c>
      <c r="W2182" s="60" t="str">
        <f aca="false">IF(IsPro,IF($B2182="","",IFERROR(VALUE(SUBSTITUTE($B2182,InvPrefix,"")),0)),"")</f>
        <v/>
      </c>
      <c r="X2182" s="61" t="str">
        <f aca="false">IF(IsPro,IF($D2182="","",IF(OR($H2182="",$H2182="Credit"),0,Q2182)),"")</f>
        <v/>
      </c>
    </row>
    <row r="2183" customFormat="false" ht="15" hidden="false" customHeight="false" outlineLevel="0" collapsed="false">
      <c r="A2183" s="55"/>
      <c r="B2183" s="56"/>
      <c r="C2183" s="56"/>
      <c r="D2183" s="56"/>
      <c r="E2183" s="57"/>
      <c r="F2183" s="58"/>
      <c r="G2183" s="59"/>
      <c r="H2183" s="56"/>
      <c r="I2183" s="56"/>
      <c r="J2183" s="60" t="str">
        <f aca="false">IF(IsPro,IF($D2183="","",IFERROR(INDEX(Items!$D$5:$D$504,U2183),"")),"")</f>
        <v/>
      </c>
      <c r="K2183" s="61" t="str">
        <f aca="false">IF(IsPro,IF($D2183="","",IF($F2183="",IFERROR(INDEX(Items!$H$5:$H$504,U2183),0),$F2183)),"")</f>
        <v/>
      </c>
      <c r="L2183" s="61" t="str">
        <f aca="false">IF(IsPro,IF($D2183="","",ROUND(N($E2183)*K2183*(1-N($G2183)),2)),"")</f>
        <v/>
      </c>
      <c r="M2183" s="62" t="str">
        <f aca="false">IF(IsPro,IF($D2183="","",IFERROR(INDEX(Items!$F$5:$F$504,U2183),0)),"")</f>
        <v/>
      </c>
      <c r="N2183" s="61" t="str">
        <f aca="false">IF(IsPro,IF($D2183="","",IF(AND(V2183&lt;&gt;"",INDEX(Parties!$E$5:$E$304,V2183)&lt;&gt;"",INDEX(Parties!$E$5:$E$304,V2183)&lt;&gt;HomeState),0,ROUND(L2183*M2183/2,2))),"")</f>
        <v/>
      </c>
      <c r="O2183" s="61" t="str">
        <f aca="false">IF(IsPro,IF($D2183="","",N2183),"")</f>
        <v/>
      </c>
      <c r="P2183" s="61" t="str">
        <f aca="false">IF(IsPro,IF($D2183="","",IF(AND(V2183&lt;&gt;"",INDEX(Parties!$E$5:$E$304,V2183)&lt;&gt;"",INDEX(Parties!$E$5:$E$304,V2183)&lt;&gt;HomeState),ROUND(L2183*M2183,2),0)),"")</f>
        <v/>
      </c>
      <c r="Q2183" s="61" t="str">
        <f aca="false">IF(IsPro,IF($D2183="","",L2183+N2183+O2183+P2183),"")</f>
        <v/>
      </c>
      <c r="R2183" s="61" t="str">
        <f aca="false">IF(IsPro,IF($D2183="","",ROUND(N($E2183)*IFERROR(INDEX(Items!$P$5:$P$504,U2183),0),2)),"")</f>
        <v/>
      </c>
      <c r="S2183" s="61" t="str">
        <f aca="false">IF(IsPro,IF($D2183="","",L2183-R2183),"")</f>
        <v/>
      </c>
      <c r="T2183" s="60" t="str">
        <f aca="false">IF(IsPro,IF($D2183="","",IF(U2183="","UNKNOWN ITEM",IF(INDEX(Items!$O$5:$O$504,U2183)&lt;0,"NEG STOCK",IF(K2183&lt;INDEX(Items!$P$5:$P$504,U2183),"BELOW COST","OK")))),IF($D2183="","","PRO PLAN"))</f>
        <v/>
      </c>
      <c r="U2183" s="60" t="str">
        <f aca="false">IF(IsPro,IF($D2183="","",IFERROR(MATCH($D2183,Items!$A$5:$A$504,0),"")),"")</f>
        <v/>
      </c>
      <c r="V2183" s="60" t="str">
        <f aca="false">IF(IsPro,IF($C2183="","",IFERROR(MATCH($C2183,Parties!$A$5:$A$304,0),"")),"")</f>
        <v/>
      </c>
      <c r="W2183" s="60" t="str">
        <f aca="false">IF(IsPro,IF($B2183="","",IFERROR(VALUE(SUBSTITUTE($B2183,InvPrefix,"")),0)),"")</f>
        <v/>
      </c>
      <c r="X2183" s="61" t="str">
        <f aca="false">IF(IsPro,IF($D2183="","",IF(OR($H2183="",$H2183="Credit"),0,Q2183)),"")</f>
        <v/>
      </c>
    </row>
    <row r="2184" customFormat="false" ht="15" hidden="false" customHeight="false" outlineLevel="0" collapsed="false">
      <c r="A2184" s="55"/>
      <c r="B2184" s="56"/>
      <c r="C2184" s="56"/>
      <c r="D2184" s="56"/>
      <c r="E2184" s="57"/>
      <c r="F2184" s="58"/>
      <c r="G2184" s="59"/>
      <c r="H2184" s="56"/>
      <c r="I2184" s="56"/>
      <c r="J2184" s="60" t="str">
        <f aca="false">IF(IsPro,IF($D2184="","",IFERROR(INDEX(Items!$D$5:$D$504,U2184),"")),"")</f>
        <v/>
      </c>
      <c r="K2184" s="61" t="str">
        <f aca="false">IF(IsPro,IF($D2184="","",IF($F2184="",IFERROR(INDEX(Items!$H$5:$H$504,U2184),0),$F2184)),"")</f>
        <v/>
      </c>
      <c r="L2184" s="61" t="str">
        <f aca="false">IF(IsPro,IF($D2184="","",ROUND(N($E2184)*K2184*(1-N($G2184)),2)),"")</f>
        <v/>
      </c>
      <c r="M2184" s="62" t="str">
        <f aca="false">IF(IsPro,IF($D2184="","",IFERROR(INDEX(Items!$F$5:$F$504,U2184),0)),"")</f>
        <v/>
      </c>
      <c r="N2184" s="61" t="str">
        <f aca="false">IF(IsPro,IF($D2184="","",IF(AND(V2184&lt;&gt;"",INDEX(Parties!$E$5:$E$304,V2184)&lt;&gt;"",INDEX(Parties!$E$5:$E$304,V2184)&lt;&gt;HomeState),0,ROUND(L2184*M2184/2,2))),"")</f>
        <v/>
      </c>
      <c r="O2184" s="61" t="str">
        <f aca="false">IF(IsPro,IF($D2184="","",N2184),"")</f>
        <v/>
      </c>
      <c r="P2184" s="61" t="str">
        <f aca="false">IF(IsPro,IF($D2184="","",IF(AND(V2184&lt;&gt;"",INDEX(Parties!$E$5:$E$304,V2184)&lt;&gt;"",INDEX(Parties!$E$5:$E$304,V2184)&lt;&gt;HomeState),ROUND(L2184*M2184,2),0)),"")</f>
        <v/>
      </c>
      <c r="Q2184" s="61" t="str">
        <f aca="false">IF(IsPro,IF($D2184="","",L2184+N2184+O2184+P2184),"")</f>
        <v/>
      </c>
      <c r="R2184" s="61" t="str">
        <f aca="false">IF(IsPro,IF($D2184="","",ROUND(N($E2184)*IFERROR(INDEX(Items!$P$5:$P$504,U2184),0),2)),"")</f>
        <v/>
      </c>
      <c r="S2184" s="61" t="str">
        <f aca="false">IF(IsPro,IF($D2184="","",L2184-R2184),"")</f>
        <v/>
      </c>
      <c r="T2184" s="60" t="str">
        <f aca="false">IF(IsPro,IF($D2184="","",IF(U2184="","UNKNOWN ITEM",IF(INDEX(Items!$O$5:$O$504,U2184)&lt;0,"NEG STOCK",IF(K2184&lt;INDEX(Items!$P$5:$P$504,U2184),"BELOW COST","OK")))),IF($D2184="","","PRO PLAN"))</f>
        <v/>
      </c>
      <c r="U2184" s="60" t="str">
        <f aca="false">IF(IsPro,IF($D2184="","",IFERROR(MATCH($D2184,Items!$A$5:$A$504,0),"")),"")</f>
        <v/>
      </c>
      <c r="V2184" s="60" t="str">
        <f aca="false">IF(IsPro,IF($C2184="","",IFERROR(MATCH($C2184,Parties!$A$5:$A$304,0),"")),"")</f>
        <v/>
      </c>
      <c r="W2184" s="60" t="str">
        <f aca="false">IF(IsPro,IF($B2184="","",IFERROR(VALUE(SUBSTITUTE($B2184,InvPrefix,"")),0)),"")</f>
        <v/>
      </c>
      <c r="X2184" s="61" t="str">
        <f aca="false">IF(IsPro,IF($D2184="","",IF(OR($H2184="",$H2184="Credit"),0,Q2184)),"")</f>
        <v/>
      </c>
    </row>
    <row r="2185" customFormat="false" ht="15" hidden="false" customHeight="false" outlineLevel="0" collapsed="false">
      <c r="A2185" s="55"/>
      <c r="B2185" s="56"/>
      <c r="C2185" s="56"/>
      <c r="D2185" s="56"/>
      <c r="E2185" s="57"/>
      <c r="F2185" s="58"/>
      <c r="G2185" s="59"/>
      <c r="H2185" s="56"/>
      <c r="I2185" s="56"/>
      <c r="J2185" s="60" t="str">
        <f aca="false">IF(IsPro,IF($D2185="","",IFERROR(INDEX(Items!$D$5:$D$504,U2185),"")),"")</f>
        <v/>
      </c>
      <c r="K2185" s="61" t="str">
        <f aca="false">IF(IsPro,IF($D2185="","",IF($F2185="",IFERROR(INDEX(Items!$H$5:$H$504,U2185),0),$F2185)),"")</f>
        <v/>
      </c>
      <c r="L2185" s="61" t="str">
        <f aca="false">IF(IsPro,IF($D2185="","",ROUND(N($E2185)*K2185*(1-N($G2185)),2)),"")</f>
        <v/>
      </c>
      <c r="M2185" s="62" t="str">
        <f aca="false">IF(IsPro,IF($D2185="","",IFERROR(INDEX(Items!$F$5:$F$504,U2185),0)),"")</f>
        <v/>
      </c>
      <c r="N2185" s="61" t="str">
        <f aca="false">IF(IsPro,IF($D2185="","",IF(AND(V2185&lt;&gt;"",INDEX(Parties!$E$5:$E$304,V2185)&lt;&gt;"",INDEX(Parties!$E$5:$E$304,V2185)&lt;&gt;HomeState),0,ROUND(L2185*M2185/2,2))),"")</f>
        <v/>
      </c>
      <c r="O2185" s="61" t="str">
        <f aca="false">IF(IsPro,IF($D2185="","",N2185),"")</f>
        <v/>
      </c>
      <c r="P2185" s="61" t="str">
        <f aca="false">IF(IsPro,IF($D2185="","",IF(AND(V2185&lt;&gt;"",INDEX(Parties!$E$5:$E$304,V2185)&lt;&gt;"",INDEX(Parties!$E$5:$E$304,V2185)&lt;&gt;HomeState),ROUND(L2185*M2185,2),0)),"")</f>
        <v/>
      </c>
      <c r="Q2185" s="61" t="str">
        <f aca="false">IF(IsPro,IF($D2185="","",L2185+N2185+O2185+P2185),"")</f>
        <v/>
      </c>
      <c r="R2185" s="61" t="str">
        <f aca="false">IF(IsPro,IF($D2185="","",ROUND(N($E2185)*IFERROR(INDEX(Items!$P$5:$P$504,U2185),0),2)),"")</f>
        <v/>
      </c>
      <c r="S2185" s="61" t="str">
        <f aca="false">IF(IsPro,IF($D2185="","",L2185-R2185),"")</f>
        <v/>
      </c>
      <c r="T2185" s="60" t="str">
        <f aca="false">IF(IsPro,IF($D2185="","",IF(U2185="","UNKNOWN ITEM",IF(INDEX(Items!$O$5:$O$504,U2185)&lt;0,"NEG STOCK",IF(K2185&lt;INDEX(Items!$P$5:$P$504,U2185),"BELOW COST","OK")))),IF($D2185="","","PRO PLAN"))</f>
        <v/>
      </c>
      <c r="U2185" s="60" t="str">
        <f aca="false">IF(IsPro,IF($D2185="","",IFERROR(MATCH($D2185,Items!$A$5:$A$504,0),"")),"")</f>
        <v/>
      </c>
      <c r="V2185" s="60" t="str">
        <f aca="false">IF(IsPro,IF($C2185="","",IFERROR(MATCH($C2185,Parties!$A$5:$A$304,0),"")),"")</f>
        <v/>
      </c>
      <c r="W2185" s="60" t="str">
        <f aca="false">IF(IsPro,IF($B2185="","",IFERROR(VALUE(SUBSTITUTE($B2185,InvPrefix,"")),0)),"")</f>
        <v/>
      </c>
      <c r="X2185" s="61" t="str">
        <f aca="false">IF(IsPro,IF($D2185="","",IF(OR($H2185="",$H2185="Credit"),0,Q2185)),"")</f>
        <v/>
      </c>
    </row>
    <row r="2186" customFormat="false" ht="15" hidden="false" customHeight="false" outlineLevel="0" collapsed="false">
      <c r="A2186" s="55"/>
      <c r="B2186" s="56"/>
      <c r="C2186" s="56"/>
      <c r="D2186" s="56"/>
      <c r="E2186" s="57"/>
      <c r="F2186" s="58"/>
      <c r="G2186" s="59"/>
      <c r="H2186" s="56"/>
      <c r="I2186" s="56"/>
      <c r="J2186" s="60" t="str">
        <f aca="false">IF(IsPro,IF($D2186="","",IFERROR(INDEX(Items!$D$5:$D$504,U2186),"")),"")</f>
        <v/>
      </c>
      <c r="K2186" s="61" t="str">
        <f aca="false">IF(IsPro,IF($D2186="","",IF($F2186="",IFERROR(INDEX(Items!$H$5:$H$504,U2186),0),$F2186)),"")</f>
        <v/>
      </c>
      <c r="L2186" s="61" t="str">
        <f aca="false">IF(IsPro,IF($D2186="","",ROUND(N($E2186)*K2186*(1-N($G2186)),2)),"")</f>
        <v/>
      </c>
      <c r="M2186" s="62" t="str">
        <f aca="false">IF(IsPro,IF($D2186="","",IFERROR(INDEX(Items!$F$5:$F$504,U2186),0)),"")</f>
        <v/>
      </c>
      <c r="N2186" s="61" t="str">
        <f aca="false">IF(IsPro,IF($D2186="","",IF(AND(V2186&lt;&gt;"",INDEX(Parties!$E$5:$E$304,V2186)&lt;&gt;"",INDEX(Parties!$E$5:$E$304,V2186)&lt;&gt;HomeState),0,ROUND(L2186*M2186/2,2))),"")</f>
        <v/>
      </c>
      <c r="O2186" s="61" t="str">
        <f aca="false">IF(IsPro,IF($D2186="","",N2186),"")</f>
        <v/>
      </c>
      <c r="P2186" s="61" t="str">
        <f aca="false">IF(IsPro,IF($D2186="","",IF(AND(V2186&lt;&gt;"",INDEX(Parties!$E$5:$E$304,V2186)&lt;&gt;"",INDEX(Parties!$E$5:$E$304,V2186)&lt;&gt;HomeState),ROUND(L2186*M2186,2),0)),"")</f>
        <v/>
      </c>
      <c r="Q2186" s="61" t="str">
        <f aca="false">IF(IsPro,IF($D2186="","",L2186+N2186+O2186+P2186),"")</f>
        <v/>
      </c>
      <c r="R2186" s="61" t="str">
        <f aca="false">IF(IsPro,IF($D2186="","",ROUND(N($E2186)*IFERROR(INDEX(Items!$P$5:$P$504,U2186),0),2)),"")</f>
        <v/>
      </c>
      <c r="S2186" s="61" t="str">
        <f aca="false">IF(IsPro,IF($D2186="","",L2186-R2186),"")</f>
        <v/>
      </c>
      <c r="T2186" s="60" t="str">
        <f aca="false">IF(IsPro,IF($D2186="","",IF(U2186="","UNKNOWN ITEM",IF(INDEX(Items!$O$5:$O$504,U2186)&lt;0,"NEG STOCK",IF(K2186&lt;INDEX(Items!$P$5:$P$504,U2186),"BELOW COST","OK")))),IF($D2186="","","PRO PLAN"))</f>
        <v/>
      </c>
      <c r="U2186" s="60" t="str">
        <f aca="false">IF(IsPro,IF($D2186="","",IFERROR(MATCH($D2186,Items!$A$5:$A$504,0),"")),"")</f>
        <v/>
      </c>
      <c r="V2186" s="60" t="str">
        <f aca="false">IF(IsPro,IF($C2186="","",IFERROR(MATCH($C2186,Parties!$A$5:$A$304,0),"")),"")</f>
        <v/>
      </c>
      <c r="W2186" s="60" t="str">
        <f aca="false">IF(IsPro,IF($B2186="","",IFERROR(VALUE(SUBSTITUTE($B2186,InvPrefix,"")),0)),"")</f>
        <v/>
      </c>
      <c r="X2186" s="61" t="str">
        <f aca="false">IF(IsPro,IF($D2186="","",IF(OR($H2186="",$H2186="Credit"),0,Q2186)),"")</f>
        <v/>
      </c>
    </row>
    <row r="2187" customFormat="false" ht="15" hidden="false" customHeight="false" outlineLevel="0" collapsed="false">
      <c r="A2187" s="55"/>
      <c r="B2187" s="56"/>
      <c r="C2187" s="56"/>
      <c r="D2187" s="56"/>
      <c r="E2187" s="57"/>
      <c r="F2187" s="58"/>
      <c r="G2187" s="59"/>
      <c r="H2187" s="56"/>
      <c r="I2187" s="56"/>
      <c r="J2187" s="60" t="str">
        <f aca="false">IF(IsPro,IF($D2187="","",IFERROR(INDEX(Items!$D$5:$D$504,U2187),"")),"")</f>
        <v/>
      </c>
      <c r="K2187" s="61" t="str">
        <f aca="false">IF(IsPro,IF($D2187="","",IF($F2187="",IFERROR(INDEX(Items!$H$5:$H$504,U2187),0),$F2187)),"")</f>
        <v/>
      </c>
      <c r="L2187" s="61" t="str">
        <f aca="false">IF(IsPro,IF($D2187="","",ROUND(N($E2187)*K2187*(1-N($G2187)),2)),"")</f>
        <v/>
      </c>
      <c r="M2187" s="62" t="str">
        <f aca="false">IF(IsPro,IF($D2187="","",IFERROR(INDEX(Items!$F$5:$F$504,U2187),0)),"")</f>
        <v/>
      </c>
      <c r="N2187" s="61" t="str">
        <f aca="false">IF(IsPro,IF($D2187="","",IF(AND(V2187&lt;&gt;"",INDEX(Parties!$E$5:$E$304,V2187)&lt;&gt;"",INDEX(Parties!$E$5:$E$304,V2187)&lt;&gt;HomeState),0,ROUND(L2187*M2187/2,2))),"")</f>
        <v/>
      </c>
      <c r="O2187" s="61" t="str">
        <f aca="false">IF(IsPro,IF($D2187="","",N2187),"")</f>
        <v/>
      </c>
      <c r="P2187" s="61" t="str">
        <f aca="false">IF(IsPro,IF($D2187="","",IF(AND(V2187&lt;&gt;"",INDEX(Parties!$E$5:$E$304,V2187)&lt;&gt;"",INDEX(Parties!$E$5:$E$304,V2187)&lt;&gt;HomeState),ROUND(L2187*M2187,2),0)),"")</f>
        <v/>
      </c>
      <c r="Q2187" s="61" t="str">
        <f aca="false">IF(IsPro,IF($D2187="","",L2187+N2187+O2187+P2187),"")</f>
        <v/>
      </c>
      <c r="R2187" s="61" t="str">
        <f aca="false">IF(IsPro,IF($D2187="","",ROUND(N($E2187)*IFERROR(INDEX(Items!$P$5:$P$504,U2187),0),2)),"")</f>
        <v/>
      </c>
      <c r="S2187" s="61" t="str">
        <f aca="false">IF(IsPro,IF($D2187="","",L2187-R2187),"")</f>
        <v/>
      </c>
      <c r="T2187" s="60" t="str">
        <f aca="false">IF(IsPro,IF($D2187="","",IF(U2187="","UNKNOWN ITEM",IF(INDEX(Items!$O$5:$O$504,U2187)&lt;0,"NEG STOCK",IF(K2187&lt;INDEX(Items!$P$5:$P$504,U2187),"BELOW COST","OK")))),IF($D2187="","","PRO PLAN"))</f>
        <v/>
      </c>
      <c r="U2187" s="60" t="str">
        <f aca="false">IF(IsPro,IF($D2187="","",IFERROR(MATCH($D2187,Items!$A$5:$A$504,0),"")),"")</f>
        <v/>
      </c>
      <c r="V2187" s="60" t="str">
        <f aca="false">IF(IsPro,IF($C2187="","",IFERROR(MATCH($C2187,Parties!$A$5:$A$304,0),"")),"")</f>
        <v/>
      </c>
      <c r="W2187" s="60" t="str">
        <f aca="false">IF(IsPro,IF($B2187="","",IFERROR(VALUE(SUBSTITUTE($B2187,InvPrefix,"")),0)),"")</f>
        <v/>
      </c>
      <c r="X2187" s="61" t="str">
        <f aca="false">IF(IsPro,IF($D2187="","",IF(OR($H2187="",$H2187="Credit"),0,Q2187)),"")</f>
        <v/>
      </c>
    </row>
    <row r="2188" customFormat="false" ht="15" hidden="false" customHeight="false" outlineLevel="0" collapsed="false">
      <c r="A2188" s="55"/>
      <c r="B2188" s="56"/>
      <c r="C2188" s="56"/>
      <c r="D2188" s="56"/>
      <c r="E2188" s="57"/>
      <c r="F2188" s="58"/>
      <c r="G2188" s="59"/>
      <c r="H2188" s="56"/>
      <c r="I2188" s="56"/>
      <c r="J2188" s="60" t="str">
        <f aca="false">IF(IsPro,IF($D2188="","",IFERROR(INDEX(Items!$D$5:$D$504,U2188),"")),"")</f>
        <v/>
      </c>
      <c r="K2188" s="61" t="str">
        <f aca="false">IF(IsPro,IF($D2188="","",IF($F2188="",IFERROR(INDEX(Items!$H$5:$H$504,U2188),0),$F2188)),"")</f>
        <v/>
      </c>
      <c r="L2188" s="61" t="str">
        <f aca="false">IF(IsPro,IF($D2188="","",ROUND(N($E2188)*K2188*(1-N($G2188)),2)),"")</f>
        <v/>
      </c>
      <c r="M2188" s="62" t="str">
        <f aca="false">IF(IsPro,IF($D2188="","",IFERROR(INDEX(Items!$F$5:$F$504,U2188),0)),"")</f>
        <v/>
      </c>
      <c r="N2188" s="61" t="str">
        <f aca="false">IF(IsPro,IF($D2188="","",IF(AND(V2188&lt;&gt;"",INDEX(Parties!$E$5:$E$304,V2188)&lt;&gt;"",INDEX(Parties!$E$5:$E$304,V2188)&lt;&gt;HomeState),0,ROUND(L2188*M2188/2,2))),"")</f>
        <v/>
      </c>
      <c r="O2188" s="61" t="str">
        <f aca="false">IF(IsPro,IF($D2188="","",N2188),"")</f>
        <v/>
      </c>
      <c r="P2188" s="61" t="str">
        <f aca="false">IF(IsPro,IF($D2188="","",IF(AND(V2188&lt;&gt;"",INDEX(Parties!$E$5:$E$304,V2188)&lt;&gt;"",INDEX(Parties!$E$5:$E$304,V2188)&lt;&gt;HomeState),ROUND(L2188*M2188,2),0)),"")</f>
        <v/>
      </c>
      <c r="Q2188" s="61" t="str">
        <f aca="false">IF(IsPro,IF($D2188="","",L2188+N2188+O2188+P2188),"")</f>
        <v/>
      </c>
      <c r="R2188" s="61" t="str">
        <f aca="false">IF(IsPro,IF($D2188="","",ROUND(N($E2188)*IFERROR(INDEX(Items!$P$5:$P$504,U2188),0),2)),"")</f>
        <v/>
      </c>
      <c r="S2188" s="61" t="str">
        <f aca="false">IF(IsPro,IF($D2188="","",L2188-R2188),"")</f>
        <v/>
      </c>
      <c r="T2188" s="60" t="str">
        <f aca="false">IF(IsPro,IF($D2188="","",IF(U2188="","UNKNOWN ITEM",IF(INDEX(Items!$O$5:$O$504,U2188)&lt;0,"NEG STOCK",IF(K2188&lt;INDEX(Items!$P$5:$P$504,U2188),"BELOW COST","OK")))),IF($D2188="","","PRO PLAN"))</f>
        <v/>
      </c>
      <c r="U2188" s="60" t="str">
        <f aca="false">IF(IsPro,IF($D2188="","",IFERROR(MATCH($D2188,Items!$A$5:$A$504,0),"")),"")</f>
        <v/>
      </c>
      <c r="V2188" s="60" t="str">
        <f aca="false">IF(IsPro,IF($C2188="","",IFERROR(MATCH($C2188,Parties!$A$5:$A$304,0),"")),"")</f>
        <v/>
      </c>
      <c r="W2188" s="60" t="str">
        <f aca="false">IF(IsPro,IF($B2188="","",IFERROR(VALUE(SUBSTITUTE($B2188,InvPrefix,"")),0)),"")</f>
        <v/>
      </c>
      <c r="X2188" s="61" t="str">
        <f aca="false">IF(IsPro,IF($D2188="","",IF(OR($H2188="",$H2188="Credit"),0,Q2188)),"")</f>
        <v/>
      </c>
    </row>
    <row r="2189" customFormat="false" ht="15" hidden="false" customHeight="false" outlineLevel="0" collapsed="false">
      <c r="A2189" s="55"/>
      <c r="B2189" s="56"/>
      <c r="C2189" s="56"/>
      <c r="D2189" s="56"/>
      <c r="E2189" s="57"/>
      <c r="F2189" s="58"/>
      <c r="G2189" s="59"/>
      <c r="H2189" s="56"/>
      <c r="I2189" s="56"/>
      <c r="J2189" s="60" t="str">
        <f aca="false">IF(IsPro,IF($D2189="","",IFERROR(INDEX(Items!$D$5:$D$504,U2189),"")),"")</f>
        <v/>
      </c>
      <c r="K2189" s="61" t="str">
        <f aca="false">IF(IsPro,IF($D2189="","",IF($F2189="",IFERROR(INDEX(Items!$H$5:$H$504,U2189),0),$F2189)),"")</f>
        <v/>
      </c>
      <c r="L2189" s="61" t="str">
        <f aca="false">IF(IsPro,IF($D2189="","",ROUND(N($E2189)*K2189*(1-N($G2189)),2)),"")</f>
        <v/>
      </c>
      <c r="M2189" s="62" t="str">
        <f aca="false">IF(IsPro,IF($D2189="","",IFERROR(INDEX(Items!$F$5:$F$504,U2189),0)),"")</f>
        <v/>
      </c>
      <c r="N2189" s="61" t="str">
        <f aca="false">IF(IsPro,IF($D2189="","",IF(AND(V2189&lt;&gt;"",INDEX(Parties!$E$5:$E$304,V2189)&lt;&gt;"",INDEX(Parties!$E$5:$E$304,V2189)&lt;&gt;HomeState),0,ROUND(L2189*M2189/2,2))),"")</f>
        <v/>
      </c>
      <c r="O2189" s="61" t="str">
        <f aca="false">IF(IsPro,IF($D2189="","",N2189),"")</f>
        <v/>
      </c>
      <c r="P2189" s="61" t="str">
        <f aca="false">IF(IsPro,IF($D2189="","",IF(AND(V2189&lt;&gt;"",INDEX(Parties!$E$5:$E$304,V2189)&lt;&gt;"",INDEX(Parties!$E$5:$E$304,V2189)&lt;&gt;HomeState),ROUND(L2189*M2189,2),0)),"")</f>
        <v/>
      </c>
      <c r="Q2189" s="61" t="str">
        <f aca="false">IF(IsPro,IF($D2189="","",L2189+N2189+O2189+P2189),"")</f>
        <v/>
      </c>
      <c r="R2189" s="61" t="str">
        <f aca="false">IF(IsPro,IF($D2189="","",ROUND(N($E2189)*IFERROR(INDEX(Items!$P$5:$P$504,U2189),0),2)),"")</f>
        <v/>
      </c>
      <c r="S2189" s="61" t="str">
        <f aca="false">IF(IsPro,IF($D2189="","",L2189-R2189),"")</f>
        <v/>
      </c>
      <c r="T2189" s="60" t="str">
        <f aca="false">IF(IsPro,IF($D2189="","",IF(U2189="","UNKNOWN ITEM",IF(INDEX(Items!$O$5:$O$504,U2189)&lt;0,"NEG STOCK",IF(K2189&lt;INDEX(Items!$P$5:$P$504,U2189),"BELOW COST","OK")))),IF($D2189="","","PRO PLAN"))</f>
        <v/>
      </c>
      <c r="U2189" s="60" t="str">
        <f aca="false">IF(IsPro,IF($D2189="","",IFERROR(MATCH($D2189,Items!$A$5:$A$504,0),"")),"")</f>
        <v/>
      </c>
      <c r="V2189" s="60" t="str">
        <f aca="false">IF(IsPro,IF($C2189="","",IFERROR(MATCH($C2189,Parties!$A$5:$A$304,0),"")),"")</f>
        <v/>
      </c>
      <c r="W2189" s="60" t="str">
        <f aca="false">IF(IsPro,IF($B2189="","",IFERROR(VALUE(SUBSTITUTE($B2189,InvPrefix,"")),0)),"")</f>
        <v/>
      </c>
      <c r="X2189" s="61" t="str">
        <f aca="false">IF(IsPro,IF($D2189="","",IF(OR($H2189="",$H2189="Credit"),0,Q2189)),"")</f>
        <v/>
      </c>
    </row>
    <row r="2190" customFormat="false" ht="15" hidden="false" customHeight="false" outlineLevel="0" collapsed="false">
      <c r="A2190" s="55"/>
      <c r="B2190" s="56"/>
      <c r="C2190" s="56"/>
      <c r="D2190" s="56"/>
      <c r="E2190" s="57"/>
      <c r="F2190" s="58"/>
      <c r="G2190" s="59"/>
      <c r="H2190" s="56"/>
      <c r="I2190" s="56"/>
      <c r="J2190" s="60" t="str">
        <f aca="false">IF(IsPro,IF($D2190="","",IFERROR(INDEX(Items!$D$5:$D$504,U2190),"")),"")</f>
        <v/>
      </c>
      <c r="K2190" s="61" t="str">
        <f aca="false">IF(IsPro,IF($D2190="","",IF($F2190="",IFERROR(INDEX(Items!$H$5:$H$504,U2190),0),$F2190)),"")</f>
        <v/>
      </c>
      <c r="L2190" s="61" t="str">
        <f aca="false">IF(IsPro,IF($D2190="","",ROUND(N($E2190)*K2190*(1-N($G2190)),2)),"")</f>
        <v/>
      </c>
      <c r="M2190" s="62" t="str">
        <f aca="false">IF(IsPro,IF($D2190="","",IFERROR(INDEX(Items!$F$5:$F$504,U2190),0)),"")</f>
        <v/>
      </c>
      <c r="N2190" s="61" t="str">
        <f aca="false">IF(IsPro,IF($D2190="","",IF(AND(V2190&lt;&gt;"",INDEX(Parties!$E$5:$E$304,V2190)&lt;&gt;"",INDEX(Parties!$E$5:$E$304,V2190)&lt;&gt;HomeState),0,ROUND(L2190*M2190/2,2))),"")</f>
        <v/>
      </c>
      <c r="O2190" s="61" t="str">
        <f aca="false">IF(IsPro,IF($D2190="","",N2190),"")</f>
        <v/>
      </c>
      <c r="P2190" s="61" t="str">
        <f aca="false">IF(IsPro,IF($D2190="","",IF(AND(V2190&lt;&gt;"",INDEX(Parties!$E$5:$E$304,V2190)&lt;&gt;"",INDEX(Parties!$E$5:$E$304,V2190)&lt;&gt;HomeState),ROUND(L2190*M2190,2),0)),"")</f>
        <v/>
      </c>
      <c r="Q2190" s="61" t="str">
        <f aca="false">IF(IsPro,IF($D2190="","",L2190+N2190+O2190+P2190),"")</f>
        <v/>
      </c>
      <c r="R2190" s="61" t="str">
        <f aca="false">IF(IsPro,IF($D2190="","",ROUND(N($E2190)*IFERROR(INDEX(Items!$P$5:$P$504,U2190),0),2)),"")</f>
        <v/>
      </c>
      <c r="S2190" s="61" t="str">
        <f aca="false">IF(IsPro,IF($D2190="","",L2190-R2190),"")</f>
        <v/>
      </c>
      <c r="T2190" s="60" t="str">
        <f aca="false">IF(IsPro,IF($D2190="","",IF(U2190="","UNKNOWN ITEM",IF(INDEX(Items!$O$5:$O$504,U2190)&lt;0,"NEG STOCK",IF(K2190&lt;INDEX(Items!$P$5:$P$504,U2190),"BELOW COST","OK")))),IF($D2190="","","PRO PLAN"))</f>
        <v/>
      </c>
      <c r="U2190" s="60" t="str">
        <f aca="false">IF(IsPro,IF($D2190="","",IFERROR(MATCH($D2190,Items!$A$5:$A$504,0),"")),"")</f>
        <v/>
      </c>
      <c r="V2190" s="60" t="str">
        <f aca="false">IF(IsPro,IF($C2190="","",IFERROR(MATCH($C2190,Parties!$A$5:$A$304,0),"")),"")</f>
        <v/>
      </c>
      <c r="W2190" s="60" t="str">
        <f aca="false">IF(IsPro,IF($B2190="","",IFERROR(VALUE(SUBSTITUTE($B2190,InvPrefix,"")),0)),"")</f>
        <v/>
      </c>
      <c r="X2190" s="61" t="str">
        <f aca="false">IF(IsPro,IF($D2190="","",IF(OR($H2190="",$H2190="Credit"),0,Q2190)),"")</f>
        <v/>
      </c>
    </row>
    <row r="2191" customFormat="false" ht="15" hidden="false" customHeight="false" outlineLevel="0" collapsed="false">
      <c r="A2191" s="55"/>
      <c r="B2191" s="56"/>
      <c r="C2191" s="56"/>
      <c r="D2191" s="56"/>
      <c r="E2191" s="57"/>
      <c r="F2191" s="58"/>
      <c r="G2191" s="59"/>
      <c r="H2191" s="56"/>
      <c r="I2191" s="56"/>
      <c r="J2191" s="60" t="str">
        <f aca="false">IF(IsPro,IF($D2191="","",IFERROR(INDEX(Items!$D$5:$D$504,U2191),"")),"")</f>
        <v/>
      </c>
      <c r="K2191" s="61" t="str">
        <f aca="false">IF(IsPro,IF($D2191="","",IF($F2191="",IFERROR(INDEX(Items!$H$5:$H$504,U2191),0),$F2191)),"")</f>
        <v/>
      </c>
      <c r="L2191" s="61" t="str">
        <f aca="false">IF(IsPro,IF($D2191="","",ROUND(N($E2191)*K2191*(1-N($G2191)),2)),"")</f>
        <v/>
      </c>
      <c r="M2191" s="62" t="str">
        <f aca="false">IF(IsPro,IF($D2191="","",IFERROR(INDEX(Items!$F$5:$F$504,U2191),0)),"")</f>
        <v/>
      </c>
      <c r="N2191" s="61" t="str">
        <f aca="false">IF(IsPro,IF($D2191="","",IF(AND(V2191&lt;&gt;"",INDEX(Parties!$E$5:$E$304,V2191)&lt;&gt;"",INDEX(Parties!$E$5:$E$304,V2191)&lt;&gt;HomeState),0,ROUND(L2191*M2191/2,2))),"")</f>
        <v/>
      </c>
      <c r="O2191" s="61" t="str">
        <f aca="false">IF(IsPro,IF($D2191="","",N2191),"")</f>
        <v/>
      </c>
      <c r="P2191" s="61" t="str">
        <f aca="false">IF(IsPro,IF($D2191="","",IF(AND(V2191&lt;&gt;"",INDEX(Parties!$E$5:$E$304,V2191)&lt;&gt;"",INDEX(Parties!$E$5:$E$304,V2191)&lt;&gt;HomeState),ROUND(L2191*M2191,2),0)),"")</f>
        <v/>
      </c>
      <c r="Q2191" s="61" t="str">
        <f aca="false">IF(IsPro,IF($D2191="","",L2191+N2191+O2191+P2191),"")</f>
        <v/>
      </c>
      <c r="R2191" s="61" t="str">
        <f aca="false">IF(IsPro,IF($D2191="","",ROUND(N($E2191)*IFERROR(INDEX(Items!$P$5:$P$504,U2191),0),2)),"")</f>
        <v/>
      </c>
      <c r="S2191" s="61" t="str">
        <f aca="false">IF(IsPro,IF($D2191="","",L2191-R2191),"")</f>
        <v/>
      </c>
      <c r="T2191" s="60" t="str">
        <f aca="false">IF(IsPro,IF($D2191="","",IF(U2191="","UNKNOWN ITEM",IF(INDEX(Items!$O$5:$O$504,U2191)&lt;0,"NEG STOCK",IF(K2191&lt;INDEX(Items!$P$5:$P$504,U2191),"BELOW COST","OK")))),IF($D2191="","","PRO PLAN"))</f>
        <v/>
      </c>
      <c r="U2191" s="60" t="str">
        <f aca="false">IF(IsPro,IF($D2191="","",IFERROR(MATCH($D2191,Items!$A$5:$A$504,0),"")),"")</f>
        <v/>
      </c>
      <c r="V2191" s="60" t="str">
        <f aca="false">IF(IsPro,IF($C2191="","",IFERROR(MATCH($C2191,Parties!$A$5:$A$304,0),"")),"")</f>
        <v/>
      </c>
      <c r="W2191" s="60" t="str">
        <f aca="false">IF(IsPro,IF($B2191="","",IFERROR(VALUE(SUBSTITUTE($B2191,InvPrefix,"")),0)),"")</f>
        <v/>
      </c>
      <c r="X2191" s="61" t="str">
        <f aca="false">IF(IsPro,IF($D2191="","",IF(OR($H2191="",$H2191="Credit"),0,Q2191)),"")</f>
        <v/>
      </c>
    </row>
    <row r="2192" customFormat="false" ht="15" hidden="false" customHeight="false" outlineLevel="0" collapsed="false">
      <c r="A2192" s="55"/>
      <c r="B2192" s="56"/>
      <c r="C2192" s="56"/>
      <c r="D2192" s="56"/>
      <c r="E2192" s="57"/>
      <c r="F2192" s="58"/>
      <c r="G2192" s="59"/>
      <c r="H2192" s="56"/>
      <c r="I2192" s="56"/>
      <c r="J2192" s="60" t="str">
        <f aca="false">IF(IsPro,IF($D2192="","",IFERROR(INDEX(Items!$D$5:$D$504,U2192),"")),"")</f>
        <v/>
      </c>
      <c r="K2192" s="61" t="str">
        <f aca="false">IF(IsPro,IF($D2192="","",IF($F2192="",IFERROR(INDEX(Items!$H$5:$H$504,U2192),0),$F2192)),"")</f>
        <v/>
      </c>
      <c r="L2192" s="61" t="str">
        <f aca="false">IF(IsPro,IF($D2192="","",ROUND(N($E2192)*K2192*(1-N($G2192)),2)),"")</f>
        <v/>
      </c>
      <c r="M2192" s="62" t="str">
        <f aca="false">IF(IsPro,IF($D2192="","",IFERROR(INDEX(Items!$F$5:$F$504,U2192),0)),"")</f>
        <v/>
      </c>
      <c r="N2192" s="61" t="str">
        <f aca="false">IF(IsPro,IF($D2192="","",IF(AND(V2192&lt;&gt;"",INDEX(Parties!$E$5:$E$304,V2192)&lt;&gt;"",INDEX(Parties!$E$5:$E$304,V2192)&lt;&gt;HomeState),0,ROUND(L2192*M2192/2,2))),"")</f>
        <v/>
      </c>
      <c r="O2192" s="61" t="str">
        <f aca="false">IF(IsPro,IF($D2192="","",N2192),"")</f>
        <v/>
      </c>
      <c r="P2192" s="61" t="str">
        <f aca="false">IF(IsPro,IF($D2192="","",IF(AND(V2192&lt;&gt;"",INDEX(Parties!$E$5:$E$304,V2192)&lt;&gt;"",INDEX(Parties!$E$5:$E$304,V2192)&lt;&gt;HomeState),ROUND(L2192*M2192,2),0)),"")</f>
        <v/>
      </c>
      <c r="Q2192" s="61" t="str">
        <f aca="false">IF(IsPro,IF($D2192="","",L2192+N2192+O2192+P2192),"")</f>
        <v/>
      </c>
      <c r="R2192" s="61" t="str">
        <f aca="false">IF(IsPro,IF($D2192="","",ROUND(N($E2192)*IFERROR(INDEX(Items!$P$5:$P$504,U2192),0),2)),"")</f>
        <v/>
      </c>
      <c r="S2192" s="61" t="str">
        <f aca="false">IF(IsPro,IF($D2192="","",L2192-R2192),"")</f>
        <v/>
      </c>
      <c r="T2192" s="60" t="str">
        <f aca="false">IF(IsPro,IF($D2192="","",IF(U2192="","UNKNOWN ITEM",IF(INDEX(Items!$O$5:$O$504,U2192)&lt;0,"NEG STOCK",IF(K2192&lt;INDEX(Items!$P$5:$P$504,U2192),"BELOW COST","OK")))),IF($D2192="","","PRO PLAN"))</f>
        <v/>
      </c>
      <c r="U2192" s="60" t="str">
        <f aca="false">IF(IsPro,IF($D2192="","",IFERROR(MATCH($D2192,Items!$A$5:$A$504,0),"")),"")</f>
        <v/>
      </c>
      <c r="V2192" s="60" t="str">
        <f aca="false">IF(IsPro,IF($C2192="","",IFERROR(MATCH($C2192,Parties!$A$5:$A$304,0),"")),"")</f>
        <v/>
      </c>
      <c r="W2192" s="60" t="str">
        <f aca="false">IF(IsPro,IF($B2192="","",IFERROR(VALUE(SUBSTITUTE($B2192,InvPrefix,"")),0)),"")</f>
        <v/>
      </c>
      <c r="X2192" s="61" t="str">
        <f aca="false">IF(IsPro,IF($D2192="","",IF(OR($H2192="",$H2192="Credit"),0,Q2192)),"")</f>
        <v/>
      </c>
    </row>
    <row r="2193" customFormat="false" ht="15" hidden="false" customHeight="false" outlineLevel="0" collapsed="false">
      <c r="A2193" s="55"/>
      <c r="B2193" s="56"/>
      <c r="C2193" s="56"/>
      <c r="D2193" s="56"/>
      <c r="E2193" s="57"/>
      <c r="F2193" s="58"/>
      <c r="G2193" s="59"/>
      <c r="H2193" s="56"/>
      <c r="I2193" s="56"/>
      <c r="J2193" s="60" t="str">
        <f aca="false">IF(IsPro,IF($D2193="","",IFERROR(INDEX(Items!$D$5:$D$504,U2193),"")),"")</f>
        <v/>
      </c>
      <c r="K2193" s="61" t="str">
        <f aca="false">IF(IsPro,IF($D2193="","",IF($F2193="",IFERROR(INDEX(Items!$H$5:$H$504,U2193),0),$F2193)),"")</f>
        <v/>
      </c>
      <c r="L2193" s="61" t="str">
        <f aca="false">IF(IsPro,IF($D2193="","",ROUND(N($E2193)*K2193*(1-N($G2193)),2)),"")</f>
        <v/>
      </c>
      <c r="M2193" s="62" t="str">
        <f aca="false">IF(IsPro,IF($D2193="","",IFERROR(INDEX(Items!$F$5:$F$504,U2193),0)),"")</f>
        <v/>
      </c>
      <c r="N2193" s="61" t="str">
        <f aca="false">IF(IsPro,IF($D2193="","",IF(AND(V2193&lt;&gt;"",INDEX(Parties!$E$5:$E$304,V2193)&lt;&gt;"",INDEX(Parties!$E$5:$E$304,V2193)&lt;&gt;HomeState),0,ROUND(L2193*M2193/2,2))),"")</f>
        <v/>
      </c>
      <c r="O2193" s="61" t="str">
        <f aca="false">IF(IsPro,IF($D2193="","",N2193),"")</f>
        <v/>
      </c>
      <c r="P2193" s="61" t="str">
        <f aca="false">IF(IsPro,IF($D2193="","",IF(AND(V2193&lt;&gt;"",INDEX(Parties!$E$5:$E$304,V2193)&lt;&gt;"",INDEX(Parties!$E$5:$E$304,V2193)&lt;&gt;HomeState),ROUND(L2193*M2193,2),0)),"")</f>
        <v/>
      </c>
      <c r="Q2193" s="61" t="str">
        <f aca="false">IF(IsPro,IF($D2193="","",L2193+N2193+O2193+P2193),"")</f>
        <v/>
      </c>
      <c r="R2193" s="61" t="str">
        <f aca="false">IF(IsPro,IF($D2193="","",ROUND(N($E2193)*IFERROR(INDEX(Items!$P$5:$P$504,U2193),0),2)),"")</f>
        <v/>
      </c>
      <c r="S2193" s="61" t="str">
        <f aca="false">IF(IsPro,IF($D2193="","",L2193-R2193),"")</f>
        <v/>
      </c>
      <c r="T2193" s="60" t="str">
        <f aca="false">IF(IsPro,IF($D2193="","",IF(U2193="","UNKNOWN ITEM",IF(INDEX(Items!$O$5:$O$504,U2193)&lt;0,"NEG STOCK",IF(K2193&lt;INDEX(Items!$P$5:$P$504,U2193),"BELOW COST","OK")))),IF($D2193="","","PRO PLAN"))</f>
        <v/>
      </c>
      <c r="U2193" s="60" t="str">
        <f aca="false">IF(IsPro,IF($D2193="","",IFERROR(MATCH($D2193,Items!$A$5:$A$504,0),"")),"")</f>
        <v/>
      </c>
      <c r="V2193" s="60" t="str">
        <f aca="false">IF(IsPro,IF($C2193="","",IFERROR(MATCH($C2193,Parties!$A$5:$A$304,0),"")),"")</f>
        <v/>
      </c>
      <c r="W2193" s="60" t="str">
        <f aca="false">IF(IsPro,IF($B2193="","",IFERROR(VALUE(SUBSTITUTE($B2193,InvPrefix,"")),0)),"")</f>
        <v/>
      </c>
      <c r="X2193" s="61" t="str">
        <f aca="false">IF(IsPro,IF($D2193="","",IF(OR($H2193="",$H2193="Credit"),0,Q2193)),"")</f>
        <v/>
      </c>
    </row>
    <row r="2194" customFormat="false" ht="15" hidden="false" customHeight="false" outlineLevel="0" collapsed="false">
      <c r="A2194" s="55"/>
      <c r="B2194" s="56"/>
      <c r="C2194" s="56"/>
      <c r="D2194" s="56"/>
      <c r="E2194" s="57"/>
      <c r="F2194" s="58"/>
      <c r="G2194" s="59"/>
      <c r="H2194" s="56"/>
      <c r="I2194" s="56"/>
      <c r="J2194" s="60" t="str">
        <f aca="false">IF(IsPro,IF($D2194="","",IFERROR(INDEX(Items!$D$5:$D$504,U2194),"")),"")</f>
        <v/>
      </c>
      <c r="K2194" s="61" t="str">
        <f aca="false">IF(IsPro,IF($D2194="","",IF($F2194="",IFERROR(INDEX(Items!$H$5:$H$504,U2194),0),$F2194)),"")</f>
        <v/>
      </c>
      <c r="L2194" s="61" t="str">
        <f aca="false">IF(IsPro,IF($D2194="","",ROUND(N($E2194)*K2194*(1-N($G2194)),2)),"")</f>
        <v/>
      </c>
      <c r="M2194" s="62" t="str">
        <f aca="false">IF(IsPro,IF($D2194="","",IFERROR(INDEX(Items!$F$5:$F$504,U2194),0)),"")</f>
        <v/>
      </c>
      <c r="N2194" s="61" t="str">
        <f aca="false">IF(IsPro,IF($D2194="","",IF(AND(V2194&lt;&gt;"",INDEX(Parties!$E$5:$E$304,V2194)&lt;&gt;"",INDEX(Parties!$E$5:$E$304,V2194)&lt;&gt;HomeState),0,ROUND(L2194*M2194/2,2))),"")</f>
        <v/>
      </c>
      <c r="O2194" s="61" t="str">
        <f aca="false">IF(IsPro,IF($D2194="","",N2194),"")</f>
        <v/>
      </c>
      <c r="P2194" s="61" t="str">
        <f aca="false">IF(IsPro,IF($D2194="","",IF(AND(V2194&lt;&gt;"",INDEX(Parties!$E$5:$E$304,V2194)&lt;&gt;"",INDEX(Parties!$E$5:$E$304,V2194)&lt;&gt;HomeState),ROUND(L2194*M2194,2),0)),"")</f>
        <v/>
      </c>
      <c r="Q2194" s="61" t="str">
        <f aca="false">IF(IsPro,IF($D2194="","",L2194+N2194+O2194+P2194),"")</f>
        <v/>
      </c>
      <c r="R2194" s="61" t="str">
        <f aca="false">IF(IsPro,IF($D2194="","",ROUND(N($E2194)*IFERROR(INDEX(Items!$P$5:$P$504,U2194),0),2)),"")</f>
        <v/>
      </c>
      <c r="S2194" s="61" t="str">
        <f aca="false">IF(IsPro,IF($D2194="","",L2194-R2194),"")</f>
        <v/>
      </c>
      <c r="T2194" s="60" t="str">
        <f aca="false">IF(IsPro,IF($D2194="","",IF(U2194="","UNKNOWN ITEM",IF(INDEX(Items!$O$5:$O$504,U2194)&lt;0,"NEG STOCK",IF(K2194&lt;INDEX(Items!$P$5:$P$504,U2194),"BELOW COST","OK")))),IF($D2194="","","PRO PLAN"))</f>
        <v/>
      </c>
      <c r="U2194" s="60" t="str">
        <f aca="false">IF(IsPro,IF($D2194="","",IFERROR(MATCH($D2194,Items!$A$5:$A$504,0),"")),"")</f>
        <v/>
      </c>
      <c r="V2194" s="60" t="str">
        <f aca="false">IF(IsPro,IF($C2194="","",IFERROR(MATCH($C2194,Parties!$A$5:$A$304,0),"")),"")</f>
        <v/>
      </c>
      <c r="W2194" s="60" t="str">
        <f aca="false">IF(IsPro,IF($B2194="","",IFERROR(VALUE(SUBSTITUTE($B2194,InvPrefix,"")),0)),"")</f>
        <v/>
      </c>
      <c r="X2194" s="61" t="str">
        <f aca="false">IF(IsPro,IF($D2194="","",IF(OR($H2194="",$H2194="Credit"),0,Q2194)),"")</f>
        <v/>
      </c>
    </row>
    <row r="2195" customFormat="false" ht="15" hidden="false" customHeight="false" outlineLevel="0" collapsed="false">
      <c r="A2195" s="55"/>
      <c r="B2195" s="56"/>
      <c r="C2195" s="56"/>
      <c r="D2195" s="56"/>
      <c r="E2195" s="57"/>
      <c r="F2195" s="58"/>
      <c r="G2195" s="59"/>
      <c r="H2195" s="56"/>
      <c r="I2195" s="56"/>
      <c r="J2195" s="60" t="str">
        <f aca="false">IF(IsPro,IF($D2195="","",IFERROR(INDEX(Items!$D$5:$D$504,U2195),"")),"")</f>
        <v/>
      </c>
      <c r="K2195" s="61" t="str">
        <f aca="false">IF(IsPro,IF($D2195="","",IF($F2195="",IFERROR(INDEX(Items!$H$5:$H$504,U2195),0),$F2195)),"")</f>
        <v/>
      </c>
      <c r="L2195" s="61" t="str">
        <f aca="false">IF(IsPro,IF($D2195="","",ROUND(N($E2195)*K2195*(1-N($G2195)),2)),"")</f>
        <v/>
      </c>
      <c r="M2195" s="62" t="str">
        <f aca="false">IF(IsPro,IF($D2195="","",IFERROR(INDEX(Items!$F$5:$F$504,U2195),0)),"")</f>
        <v/>
      </c>
      <c r="N2195" s="61" t="str">
        <f aca="false">IF(IsPro,IF($D2195="","",IF(AND(V2195&lt;&gt;"",INDEX(Parties!$E$5:$E$304,V2195)&lt;&gt;"",INDEX(Parties!$E$5:$E$304,V2195)&lt;&gt;HomeState),0,ROUND(L2195*M2195/2,2))),"")</f>
        <v/>
      </c>
      <c r="O2195" s="61" t="str">
        <f aca="false">IF(IsPro,IF($D2195="","",N2195),"")</f>
        <v/>
      </c>
      <c r="P2195" s="61" t="str">
        <f aca="false">IF(IsPro,IF($D2195="","",IF(AND(V2195&lt;&gt;"",INDEX(Parties!$E$5:$E$304,V2195)&lt;&gt;"",INDEX(Parties!$E$5:$E$304,V2195)&lt;&gt;HomeState),ROUND(L2195*M2195,2),0)),"")</f>
        <v/>
      </c>
      <c r="Q2195" s="61" t="str">
        <f aca="false">IF(IsPro,IF($D2195="","",L2195+N2195+O2195+P2195),"")</f>
        <v/>
      </c>
      <c r="R2195" s="61" t="str">
        <f aca="false">IF(IsPro,IF($D2195="","",ROUND(N($E2195)*IFERROR(INDEX(Items!$P$5:$P$504,U2195),0),2)),"")</f>
        <v/>
      </c>
      <c r="S2195" s="61" t="str">
        <f aca="false">IF(IsPro,IF($D2195="","",L2195-R2195),"")</f>
        <v/>
      </c>
      <c r="T2195" s="60" t="str">
        <f aca="false">IF(IsPro,IF($D2195="","",IF(U2195="","UNKNOWN ITEM",IF(INDEX(Items!$O$5:$O$504,U2195)&lt;0,"NEG STOCK",IF(K2195&lt;INDEX(Items!$P$5:$P$504,U2195),"BELOW COST","OK")))),IF($D2195="","","PRO PLAN"))</f>
        <v/>
      </c>
      <c r="U2195" s="60" t="str">
        <f aca="false">IF(IsPro,IF($D2195="","",IFERROR(MATCH($D2195,Items!$A$5:$A$504,0),"")),"")</f>
        <v/>
      </c>
      <c r="V2195" s="60" t="str">
        <f aca="false">IF(IsPro,IF($C2195="","",IFERROR(MATCH($C2195,Parties!$A$5:$A$304,0),"")),"")</f>
        <v/>
      </c>
      <c r="W2195" s="60" t="str">
        <f aca="false">IF(IsPro,IF($B2195="","",IFERROR(VALUE(SUBSTITUTE($B2195,InvPrefix,"")),0)),"")</f>
        <v/>
      </c>
      <c r="X2195" s="61" t="str">
        <f aca="false">IF(IsPro,IF($D2195="","",IF(OR($H2195="",$H2195="Credit"),0,Q2195)),"")</f>
        <v/>
      </c>
    </row>
    <row r="2196" customFormat="false" ht="15" hidden="false" customHeight="false" outlineLevel="0" collapsed="false">
      <c r="A2196" s="55"/>
      <c r="B2196" s="56"/>
      <c r="C2196" s="56"/>
      <c r="D2196" s="56"/>
      <c r="E2196" s="57"/>
      <c r="F2196" s="58"/>
      <c r="G2196" s="59"/>
      <c r="H2196" s="56"/>
      <c r="I2196" s="56"/>
      <c r="J2196" s="60" t="str">
        <f aca="false">IF(IsPro,IF($D2196="","",IFERROR(INDEX(Items!$D$5:$D$504,U2196),"")),"")</f>
        <v/>
      </c>
      <c r="K2196" s="61" t="str">
        <f aca="false">IF(IsPro,IF($D2196="","",IF($F2196="",IFERROR(INDEX(Items!$H$5:$H$504,U2196),0),$F2196)),"")</f>
        <v/>
      </c>
      <c r="L2196" s="61" t="str">
        <f aca="false">IF(IsPro,IF($D2196="","",ROUND(N($E2196)*K2196*(1-N($G2196)),2)),"")</f>
        <v/>
      </c>
      <c r="M2196" s="62" t="str">
        <f aca="false">IF(IsPro,IF($D2196="","",IFERROR(INDEX(Items!$F$5:$F$504,U2196),0)),"")</f>
        <v/>
      </c>
      <c r="N2196" s="61" t="str">
        <f aca="false">IF(IsPro,IF($D2196="","",IF(AND(V2196&lt;&gt;"",INDEX(Parties!$E$5:$E$304,V2196)&lt;&gt;"",INDEX(Parties!$E$5:$E$304,V2196)&lt;&gt;HomeState),0,ROUND(L2196*M2196/2,2))),"")</f>
        <v/>
      </c>
      <c r="O2196" s="61" t="str">
        <f aca="false">IF(IsPro,IF($D2196="","",N2196),"")</f>
        <v/>
      </c>
      <c r="P2196" s="61" t="str">
        <f aca="false">IF(IsPro,IF($D2196="","",IF(AND(V2196&lt;&gt;"",INDEX(Parties!$E$5:$E$304,V2196)&lt;&gt;"",INDEX(Parties!$E$5:$E$304,V2196)&lt;&gt;HomeState),ROUND(L2196*M2196,2),0)),"")</f>
        <v/>
      </c>
      <c r="Q2196" s="61" t="str">
        <f aca="false">IF(IsPro,IF($D2196="","",L2196+N2196+O2196+P2196),"")</f>
        <v/>
      </c>
      <c r="R2196" s="61" t="str">
        <f aca="false">IF(IsPro,IF($D2196="","",ROUND(N($E2196)*IFERROR(INDEX(Items!$P$5:$P$504,U2196),0),2)),"")</f>
        <v/>
      </c>
      <c r="S2196" s="61" t="str">
        <f aca="false">IF(IsPro,IF($D2196="","",L2196-R2196),"")</f>
        <v/>
      </c>
      <c r="T2196" s="60" t="str">
        <f aca="false">IF(IsPro,IF($D2196="","",IF(U2196="","UNKNOWN ITEM",IF(INDEX(Items!$O$5:$O$504,U2196)&lt;0,"NEG STOCK",IF(K2196&lt;INDEX(Items!$P$5:$P$504,U2196),"BELOW COST","OK")))),IF($D2196="","","PRO PLAN"))</f>
        <v/>
      </c>
      <c r="U2196" s="60" t="str">
        <f aca="false">IF(IsPro,IF($D2196="","",IFERROR(MATCH($D2196,Items!$A$5:$A$504,0),"")),"")</f>
        <v/>
      </c>
      <c r="V2196" s="60" t="str">
        <f aca="false">IF(IsPro,IF($C2196="","",IFERROR(MATCH($C2196,Parties!$A$5:$A$304,0),"")),"")</f>
        <v/>
      </c>
      <c r="W2196" s="60" t="str">
        <f aca="false">IF(IsPro,IF($B2196="","",IFERROR(VALUE(SUBSTITUTE($B2196,InvPrefix,"")),0)),"")</f>
        <v/>
      </c>
      <c r="X2196" s="61" t="str">
        <f aca="false">IF(IsPro,IF($D2196="","",IF(OR($H2196="",$H2196="Credit"),0,Q2196)),"")</f>
        <v/>
      </c>
    </row>
    <row r="2197" customFormat="false" ht="15" hidden="false" customHeight="false" outlineLevel="0" collapsed="false">
      <c r="A2197" s="55"/>
      <c r="B2197" s="56"/>
      <c r="C2197" s="56"/>
      <c r="D2197" s="56"/>
      <c r="E2197" s="57"/>
      <c r="F2197" s="58"/>
      <c r="G2197" s="59"/>
      <c r="H2197" s="56"/>
      <c r="I2197" s="56"/>
      <c r="J2197" s="60" t="str">
        <f aca="false">IF(IsPro,IF($D2197="","",IFERROR(INDEX(Items!$D$5:$D$504,U2197),"")),"")</f>
        <v/>
      </c>
      <c r="K2197" s="61" t="str">
        <f aca="false">IF(IsPro,IF($D2197="","",IF($F2197="",IFERROR(INDEX(Items!$H$5:$H$504,U2197),0),$F2197)),"")</f>
        <v/>
      </c>
      <c r="L2197" s="61" t="str">
        <f aca="false">IF(IsPro,IF($D2197="","",ROUND(N($E2197)*K2197*(1-N($G2197)),2)),"")</f>
        <v/>
      </c>
      <c r="M2197" s="62" t="str">
        <f aca="false">IF(IsPro,IF($D2197="","",IFERROR(INDEX(Items!$F$5:$F$504,U2197),0)),"")</f>
        <v/>
      </c>
      <c r="N2197" s="61" t="str">
        <f aca="false">IF(IsPro,IF($D2197="","",IF(AND(V2197&lt;&gt;"",INDEX(Parties!$E$5:$E$304,V2197)&lt;&gt;"",INDEX(Parties!$E$5:$E$304,V2197)&lt;&gt;HomeState),0,ROUND(L2197*M2197/2,2))),"")</f>
        <v/>
      </c>
      <c r="O2197" s="61" t="str">
        <f aca="false">IF(IsPro,IF($D2197="","",N2197),"")</f>
        <v/>
      </c>
      <c r="P2197" s="61" t="str">
        <f aca="false">IF(IsPro,IF($D2197="","",IF(AND(V2197&lt;&gt;"",INDEX(Parties!$E$5:$E$304,V2197)&lt;&gt;"",INDEX(Parties!$E$5:$E$304,V2197)&lt;&gt;HomeState),ROUND(L2197*M2197,2),0)),"")</f>
        <v/>
      </c>
      <c r="Q2197" s="61" t="str">
        <f aca="false">IF(IsPro,IF($D2197="","",L2197+N2197+O2197+P2197),"")</f>
        <v/>
      </c>
      <c r="R2197" s="61" t="str">
        <f aca="false">IF(IsPro,IF($D2197="","",ROUND(N($E2197)*IFERROR(INDEX(Items!$P$5:$P$504,U2197),0),2)),"")</f>
        <v/>
      </c>
      <c r="S2197" s="61" t="str">
        <f aca="false">IF(IsPro,IF($D2197="","",L2197-R2197),"")</f>
        <v/>
      </c>
      <c r="T2197" s="60" t="str">
        <f aca="false">IF(IsPro,IF($D2197="","",IF(U2197="","UNKNOWN ITEM",IF(INDEX(Items!$O$5:$O$504,U2197)&lt;0,"NEG STOCK",IF(K2197&lt;INDEX(Items!$P$5:$P$504,U2197),"BELOW COST","OK")))),IF($D2197="","","PRO PLAN"))</f>
        <v/>
      </c>
      <c r="U2197" s="60" t="str">
        <f aca="false">IF(IsPro,IF($D2197="","",IFERROR(MATCH($D2197,Items!$A$5:$A$504,0),"")),"")</f>
        <v/>
      </c>
      <c r="V2197" s="60" t="str">
        <f aca="false">IF(IsPro,IF($C2197="","",IFERROR(MATCH($C2197,Parties!$A$5:$A$304,0),"")),"")</f>
        <v/>
      </c>
      <c r="W2197" s="60" t="str">
        <f aca="false">IF(IsPro,IF($B2197="","",IFERROR(VALUE(SUBSTITUTE($B2197,InvPrefix,"")),0)),"")</f>
        <v/>
      </c>
      <c r="X2197" s="61" t="str">
        <f aca="false">IF(IsPro,IF($D2197="","",IF(OR($H2197="",$H2197="Credit"),0,Q2197)),"")</f>
        <v/>
      </c>
    </row>
    <row r="2198" customFormat="false" ht="15" hidden="false" customHeight="false" outlineLevel="0" collapsed="false">
      <c r="A2198" s="55"/>
      <c r="B2198" s="56"/>
      <c r="C2198" s="56"/>
      <c r="D2198" s="56"/>
      <c r="E2198" s="57"/>
      <c r="F2198" s="58"/>
      <c r="G2198" s="59"/>
      <c r="H2198" s="56"/>
      <c r="I2198" s="56"/>
      <c r="J2198" s="60" t="str">
        <f aca="false">IF(IsPro,IF($D2198="","",IFERROR(INDEX(Items!$D$5:$D$504,U2198),"")),"")</f>
        <v/>
      </c>
      <c r="K2198" s="61" t="str">
        <f aca="false">IF(IsPro,IF($D2198="","",IF($F2198="",IFERROR(INDEX(Items!$H$5:$H$504,U2198),0),$F2198)),"")</f>
        <v/>
      </c>
      <c r="L2198" s="61" t="str">
        <f aca="false">IF(IsPro,IF($D2198="","",ROUND(N($E2198)*K2198*(1-N($G2198)),2)),"")</f>
        <v/>
      </c>
      <c r="M2198" s="62" t="str">
        <f aca="false">IF(IsPro,IF($D2198="","",IFERROR(INDEX(Items!$F$5:$F$504,U2198),0)),"")</f>
        <v/>
      </c>
      <c r="N2198" s="61" t="str">
        <f aca="false">IF(IsPro,IF($D2198="","",IF(AND(V2198&lt;&gt;"",INDEX(Parties!$E$5:$E$304,V2198)&lt;&gt;"",INDEX(Parties!$E$5:$E$304,V2198)&lt;&gt;HomeState),0,ROUND(L2198*M2198/2,2))),"")</f>
        <v/>
      </c>
      <c r="O2198" s="61" t="str">
        <f aca="false">IF(IsPro,IF($D2198="","",N2198),"")</f>
        <v/>
      </c>
      <c r="P2198" s="61" t="str">
        <f aca="false">IF(IsPro,IF($D2198="","",IF(AND(V2198&lt;&gt;"",INDEX(Parties!$E$5:$E$304,V2198)&lt;&gt;"",INDEX(Parties!$E$5:$E$304,V2198)&lt;&gt;HomeState),ROUND(L2198*M2198,2),0)),"")</f>
        <v/>
      </c>
      <c r="Q2198" s="61" t="str">
        <f aca="false">IF(IsPro,IF($D2198="","",L2198+N2198+O2198+P2198),"")</f>
        <v/>
      </c>
      <c r="R2198" s="61" t="str">
        <f aca="false">IF(IsPro,IF($D2198="","",ROUND(N($E2198)*IFERROR(INDEX(Items!$P$5:$P$504,U2198),0),2)),"")</f>
        <v/>
      </c>
      <c r="S2198" s="61" t="str">
        <f aca="false">IF(IsPro,IF($D2198="","",L2198-R2198),"")</f>
        <v/>
      </c>
      <c r="T2198" s="60" t="str">
        <f aca="false">IF(IsPro,IF($D2198="","",IF(U2198="","UNKNOWN ITEM",IF(INDEX(Items!$O$5:$O$504,U2198)&lt;0,"NEG STOCK",IF(K2198&lt;INDEX(Items!$P$5:$P$504,U2198),"BELOW COST","OK")))),IF($D2198="","","PRO PLAN"))</f>
        <v/>
      </c>
      <c r="U2198" s="60" t="str">
        <f aca="false">IF(IsPro,IF($D2198="","",IFERROR(MATCH($D2198,Items!$A$5:$A$504,0),"")),"")</f>
        <v/>
      </c>
      <c r="V2198" s="60" t="str">
        <f aca="false">IF(IsPro,IF($C2198="","",IFERROR(MATCH($C2198,Parties!$A$5:$A$304,0),"")),"")</f>
        <v/>
      </c>
      <c r="W2198" s="60" t="str">
        <f aca="false">IF(IsPro,IF($B2198="","",IFERROR(VALUE(SUBSTITUTE($B2198,InvPrefix,"")),0)),"")</f>
        <v/>
      </c>
      <c r="X2198" s="61" t="str">
        <f aca="false">IF(IsPro,IF($D2198="","",IF(OR($H2198="",$H2198="Credit"),0,Q2198)),"")</f>
        <v/>
      </c>
    </row>
    <row r="2199" customFormat="false" ht="15" hidden="false" customHeight="false" outlineLevel="0" collapsed="false">
      <c r="A2199" s="55"/>
      <c r="B2199" s="56"/>
      <c r="C2199" s="56"/>
      <c r="D2199" s="56"/>
      <c r="E2199" s="57"/>
      <c r="F2199" s="58"/>
      <c r="G2199" s="59"/>
      <c r="H2199" s="56"/>
      <c r="I2199" s="56"/>
      <c r="J2199" s="60" t="str">
        <f aca="false">IF(IsPro,IF($D2199="","",IFERROR(INDEX(Items!$D$5:$D$504,U2199),"")),"")</f>
        <v/>
      </c>
      <c r="K2199" s="61" t="str">
        <f aca="false">IF(IsPro,IF($D2199="","",IF($F2199="",IFERROR(INDEX(Items!$H$5:$H$504,U2199),0),$F2199)),"")</f>
        <v/>
      </c>
      <c r="L2199" s="61" t="str">
        <f aca="false">IF(IsPro,IF($D2199="","",ROUND(N($E2199)*K2199*(1-N($G2199)),2)),"")</f>
        <v/>
      </c>
      <c r="M2199" s="62" t="str">
        <f aca="false">IF(IsPro,IF($D2199="","",IFERROR(INDEX(Items!$F$5:$F$504,U2199),0)),"")</f>
        <v/>
      </c>
      <c r="N2199" s="61" t="str">
        <f aca="false">IF(IsPro,IF($D2199="","",IF(AND(V2199&lt;&gt;"",INDEX(Parties!$E$5:$E$304,V2199)&lt;&gt;"",INDEX(Parties!$E$5:$E$304,V2199)&lt;&gt;HomeState),0,ROUND(L2199*M2199/2,2))),"")</f>
        <v/>
      </c>
      <c r="O2199" s="61" t="str">
        <f aca="false">IF(IsPro,IF($D2199="","",N2199),"")</f>
        <v/>
      </c>
      <c r="P2199" s="61" t="str">
        <f aca="false">IF(IsPro,IF($D2199="","",IF(AND(V2199&lt;&gt;"",INDEX(Parties!$E$5:$E$304,V2199)&lt;&gt;"",INDEX(Parties!$E$5:$E$304,V2199)&lt;&gt;HomeState),ROUND(L2199*M2199,2),0)),"")</f>
        <v/>
      </c>
      <c r="Q2199" s="61" t="str">
        <f aca="false">IF(IsPro,IF($D2199="","",L2199+N2199+O2199+P2199),"")</f>
        <v/>
      </c>
      <c r="R2199" s="61" t="str">
        <f aca="false">IF(IsPro,IF($D2199="","",ROUND(N($E2199)*IFERROR(INDEX(Items!$P$5:$P$504,U2199),0),2)),"")</f>
        <v/>
      </c>
      <c r="S2199" s="61" t="str">
        <f aca="false">IF(IsPro,IF($D2199="","",L2199-R2199),"")</f>
        <v/>
      </c>
      <c r="T2199" s="60" t="str">
        <f aca="false">IF(IsPro,IF($D2199="","",IF(U2199="","UNKNOWN ITEM",IF(INDEX(Items!$O$5:$O$504,U2199)&lt;0,"NEG STOCK",IF(K2199&lt;INDEX(Items!$P$5:$P$504,U2199),"BELOW COST","OK")))),IF($D2199="","","PRO PLAN"))</f>
        <v/>
      </c>
      <c r="U2199" s="60" t="str">
        <f aca="false">IF(IsPro,IF($D2199="","",IFERROR(MATCH($D2199,Items!$A$5:$A$504,0),"")),"")</f>
        <v/>
      </c>
      <c r="V2199" s="60" t="str">
        <f aca="false">IF(IsPro,IF($C2199="","",IFERROR(MATCH($C2199,Parties!$A$5:$A$304,0),"")),"")</f>
        <v/>
      </c>
      <c r="W2199" s="60" t="str">
        <f aca="false">IF(IsPro,IF($B2199="","",IFERROR(VALUE(SUBSTITUTE($B2199,InvPrefix,"")),0)),"")</f>
        <v/>
      </c>
      <c r="X2199" s="61" t="str">
        <f aca="false">IF(IsPro,IF($D2199="","",IF(OR($H2199="",$H2199="Credit"),0,Q2199)),"")</f>
        <v/>
      </c>
    </row>
    <row r="2200" customFormat="false" ht="15" hidden="false" customHeight="false" outlineLevel="0" collapsed="false">
      <c r="A2200" s="55"/>
      <c r="B2200" s="56"/>
      <c r="C2200" s="56"/>
      <c r="D2200" s="56"/>
      <c r="E2200" s="57"/>
      <c r="F2200" s="58"/>
      <c r="G2200" s="59"/>
      <c r="H2200" s="56"/>
      <c r="I2200" s="56"/>
      <c r="J2200" s="60" t="str">
        <f aca="false">IF(IsPro,IF($D2200="","",IFERROR(INDEX(Items!$D$5:$D$504,U2200),"")),"")</f>
        <v/>
      </c>
      <c r="K2200" s="61" t="str">
        <f aca="false">IF(IsPro,IF($D2200="","",IF($F2200="",IFERROR(INDEX(Items!$H$5:$H$504,U2200),0),$F2200)),"")</f>
        <v/>
      </c>
      <c r="L2200" s="61" t="str">
        <f aca="false">IF(IsPro,IF($D2200="","",ROUND(N($E2200)*K2200*(1-N($G2200)),2)),"")</f>
        <v/>
      </c>
      <c r="M2200" s="62" t="str">
        <f aca="false">IF(IsPro,IF($D2200="","",IFERROR(INDEX(Items!$F$5:$F$504,U2200),0)),"")</f>
        <v/>
      </c>
      <c r="N2200" s="61" t="str">
        <f aca="false">IF(IsPro,IF($D2200="","",IF(AND(V2200&lt;&gt;"",INDEX(Parties!$E$5:$E$304,V2200)&lt;&gt;"",INDEX(Parties!$E$5:$E$304,V2200)&lt;&gt;HomeState),0,ROUND(L2200*M2200/2,2))),"")</f>
        <v/>
      </c>
      <c r="O2200" s="61" t="str">
        <f aca="false">IF(IsPro,IF($D2200="","",N2200),"")</f>
        <v/>
      </c>
      <c r="P2200" s="61" t="str">
        <f aca="false">IF(IsPro,IF($D2200="","",IF(AND(V2200&lt;&gt;"",INDEX(Parties!$E$5:$E$304,V2200)&lt;&gt;"",INDEX(Parties!$E$5:$E$304,V2200)&lt;&gt;HomeState),ROUND(L2200*M2200,2),0)),"")</f>
        <v/>
      </c>
      <c r="Q2200" s="61" t="str">
        <f aca="false">IF(IsPro,IF($D2200="","",L2200+N2200+O2200+P2200),"")</f>
        <v/>
      </c>
      <c r="R2200" s="61" t="str">
        <f aca="false">IF(IsPro,IF($D2200="","",ROUND(N($E2200)*IFERROR(INDEX(Items!$P$5:$P$504,U2200),0),2)),"")</f>
        <v/>
      </c>
      <c r="S2200" s="61" t="str">
        <f aca="false">IF(IsPro,IF($D2200="","",L2200-R2200),"")</f>
        <v/>
      </c>
      <c r="T2200" s="60" t="str">
        <f aca="false">IF(IsPro,IF($D2200="","",IF(U2200="","UNKNOWN ITEM",IF(INDEX(Items!$O$5:$O$504,U2200)&lt;0,"NEG STOCK",IF(K2200&lt;INDEX(Items!$P$5:$P$504,U2200),"BELOW COST","OK")))),IF($D2200="","","PRO PLAN"))</f>
        <v/>
      </c>
      <c r="U2200" s="60" t="str">
        <f aca="false">IF(IsPro,IF($D2200="","",IFERROR(MATCH($D2200,Items!$A$5:$A$504,0),"")),"")</f>
        <v/>
      </c>
      <c r="V2200" s="60" t="str">
        <f aca="false">IF(IsPro,IF($C2200="","",IFERROR(MATCH($C2200,Parties!$A$5:$A$304,0),"")),"")</f>
        <v/>
      </c>
      <c r="W2200" s="60" t="str">
        <f aca="false">IF(IsPro,IF($B2200="","",IFERROR(VALUE(SUBSTITUTE($B2200,InvPrefix,"")),0)),"")</f>
        <v/>
      </c>
      <c r="X2200" s="61" t="str">
        <f aca="false">IF(IsPro,IF($D2200="","",IF(OR($H2200="",$H2200="Credit"),0,Q2200)),"")</f>
        <v/>
      </c>
    </row>
    <row r="2201" customFormat="false" ht="15" hidden="false" customHeight="false" outlineLevel="0" collapsed="false">
      <c r="A2201" s="55"/>
      <c r="B2201" s="56"/>
      <c r="C2201" s="56"/>
      <c r="D2201" s="56"/>
      <c r="E2201" s="57"/>
      <c r="F2201" s="58"/>
      <c r="G2201" s="59"/>
      <c r="H2201" s="56"/>
      <c r="I2201" s="56"/>
      <c r="J2201" s="60" t="str">
        <f aca="false">IF(IsPro,IF($D2201="","",IFERROR(INDEX(Items!$D$5:$D$504,U2201),"")),"")</f>
        <v/>
      </c>
      <c r="K2201" s="61" t="str">
        <f aca="false">IF(IsPro,IF($D2201="","",IF($F2201="",IFERROR(INDEX(Items!$H$5:$H$504,U2201),0),$F2201)),"")</f>
        <v/>
      </c>
      <c r="L2201" s="61" t="str">
        <f aca="false">IF(IsPro,IF($D2201="","",ROUND(N($E2201)*K2201*(1-N($G2201)),2)),"")</f>
        <v/>
      </c>
      <c r="M2201" s="62" t="str">
        <f aca="false">IF(IsPro,IF($D2201="","",IFERROR(INDEX(Items!$F$5:$F$504,U2201),0)),"")</f>
        <v/>
      </c>
      <c r="N2201" s="61" t="str">
        <f aca="false">IF(IsPro,IF($D2201="","",IF(AND(V2201&lt;&gt;"",INDEX(Parties!$E$5:$E$304,V2201)&lt;&gt;"",INDEX(Parties!$E$5:$E$304,V2201)&lt;&gt;HomeState),0,ROUND(L2201*M2201/2,2))),"")</f>
        <v/>
      </c>
      <c r="O2201" s="61" t="str">
        <f aca="false">IF(IsPro,IF($D2201="","",N2201),"")</f>
        <v/>
      </c>
      <c r="P2201" s="61" t="str">
        <f aca="false">IF(IsPro,IF($D2201="","",IF(AND(V2201&lt;&gt;"",INDEX(Parties!$E$5:$E$304,V2201)&lt;&gt;"",INDEX(Parties!$E$5:$E$304,V2201)&lt;&gt;HomeState),ROUND(L2201*M2201,2),0)),"")</f>
        <v/>
      </c>
      <c r="Q2201" s="61" t="str">
        <f aca="false">IF(IsPro,IF($D2201="","",L2201+N2201+O2201+P2201),"")</f>
        <v/>
      </c>
      <c r="R2201" s="61" t="str">
        <f aca="false">IF(IsPro,IF($D2201="","",ROUND(N($E2201)*IFERROR(INDEX(Items!$P$5:$P$504,U2201),0),2)),"")</f>
        <v/>
      </c>
      <c r="S2201" s="61" t="str">
        <f aca="false">IF(IsPro,IF($D2201="","",L2201-R2201),"")</f>
        <v/>
      </c>
      <c r="T2201" s="60" t="str">
        <f aca="false">IF(IsPro,IF($D2201="","",IF(U2201="","UNKNOWN ITEM",IF(INDEX(Items!$O$5:$O$504,U2201)&lt;0,"NEG STOCK",IF(K2201&lt;INDEX(Items!$P$5:$P$504,U2201),"BELOW COST","OK")))),IF($D2201="","","PRO PLAN"))</f>
        <v/>
      </c>
      <c r="U2201" s="60" t="str">
        <f aca="false">IF(IsPro,IF($D2201="","",IFERROR(MATCH($D2201,Items!$A$5:$A$504,0),"")),"")</f>
        <v/>
      </c>
      <c r="V2201" s="60" t="str">
        <f aca="false">IF(IsPro,IF($C2201="","",IFERROR(MATCH($C2201,Parties!$A$5:$A$304,0),"")),"")</f>
        <v/>
      </c>
      <c r="W2201" s="60" t="str">
        <f aca="false">IF(IsPro,IF($B2201="","",IFERROR(VALUE(SUBSTITUTE($B2201,InvPrefix,"")),0)),"")</f>
        <v/>
      </c>
      <c r="X2201" s="61" t="str">
        <f aca="false">IF(IsPro,IF($D2201="","",IF(OR($H2201="",$H2201="Credit"),0,Q2201)),"")</f>
        <v/>
      </c>
    </row>
    <row r="2202" customFormat="false" ht="15" hidden="false" customHeight="false" outlineLevel="0" collapsed="false">
      <c r="A2202" s="55"/>
      <c r="B2202" s="56"/>
      <c r="C2202" s="56"/>
      <c r="D2202" s="56"/>
      <c r="E2202" s="57"/>
      <c r="F2202" s="58"/>
      <c r="G2202" s="59"/>
      <c r="H2202" s="56"/>
      <c r="I2202" s="56"/>
      <c r="J2202" s="60" t="str">
        <f aca="false">IF(IsPro,IF($D2202="","",IFERROR(INDEX(Items!$D$5:$D$504,U2202),"")),"")</f>
        <v/>
      </c>
      <c r="K2202" s="61" t="str">
        <f aca="false">IF(IsPro,IF($D2202="","",IF($F2202="",IFERROR(INDEX(Items!$H$5:$H$504,U2202),0),$F2202)),"")</f>
        <v/>
      </c>
      <c r="L2202" s="61" t="str">
        <f aca="false">IF(IsPro,IF($D2202="","",ROUND(N($E2202)*K2202*(1-N($G2202)),2)),"")</f>
        <v/>
      </c>
      <c r="M2202" s="62" t="str">
        <f aca="false">IF(IsPro,IF($D2202="","",IFERROR(INDEX(Items!$F$5:$F$504,U2202),0)),"")</f>
        <v/>
      </c>
      <c r="N2202" s="61" t="str">
        <f aca="false">IF(IsPro,IF($D2202="","",IF(AND(V2202&lt;&gt;"",INDEX(Parties!$E$5:$E$304,V2202)&lt;&gt;"",INDEX(Parties!$E$5:$E$304,V2202)&lt;&gt;HomeState),0,ROUND(L2202*M2202/2,2))),"")</f>
        <v/>
      </c>
      <c r="O2202" s="61" t="str">
        <f aca="false">IF(IsPro,IF($D2202="","",N2202),"")</f>
        <v/>
      </c>
      <c r="P2202" s="61" t="str">
        <f aca="false">IF(IsPro,IF($D2202="","",IF(AND(V2202&lt;&gt;"",INDEX(Parties!$E$5:$E$304,V2202)&lt;&gt;"",INDEX(Parties!$E$5:$E$304,V2202)&lt;&gt;HomeState),ROUND(L2202*M2202,2),0)),"")</f>
        <v/>
      </c>
      <c r="Q2202" s="61" t="str">
        <f aca="false">IF(IsPro,IF($D2202="","",L2202+N2202+O2202+P2202),"")</f>
        <v/>
      </c>
      <c r="R2202" s="61" t="str">
        <f aca="false">IF(IsPro,IF($D2202="","",ROUND(N($E2202)*IFERROR(INDEX(Items!$P$5:$P$504,U2202),0),2)),"")</f>
        <v/>
      </c>
      <c r="S2202" s="61" t="str">
        <f aca="false">IF(IsPro,IF($D2202="","",L2202-R2202),"")</f>
        <v/>
      </c>
      <c r="T2202" s="60" t="str">
        <f aca="false">IF(IsPro,IF($D2202="","",IF(U2202="","UNKNOWN ITEM",IF(INDEX(Items!$O$5:$O$504,U2202)&lt;0,"NEG STOCK",IF(K2202&lt;INDEX(Items!$P$5:$P$504,U2202),"BELOW COST","OK")))),IF($D2202="","","PRO PLAN"))</f>
        <v/>
      </c>
      <c r="U2202" s="60" t="str">
        <f aca="false">IF(IsPro,IF($D2202="","",IFERROR(MATCH($D2202,Items!$A$5:$A$504,0),"")),"")</f>
        <v/>
      </c>
      <c r="V2202" s="60" t="str">
        <f aca="false">IF(IsPro,IF($C2202="","",IFERROR(MATCH($C2202,Parties!$A$5:$A$304,0),"")),"")</f>
        <v/>
      </c>
      <c r="W2202" s="60" t="str">
        <f aca="false">IF(IsPro,IF($B2202="","",IFERROR(VALUE(SUBSTITUTE($B2202,InvPrefix,"")),0)),"")</f>
        <v/>
      </c>
      <c r="X2202" s="61" t="str">
        <f aca="false">IF(IsPro,IF($D2202="","",IF(OR($H2202="",$H2202="Credit"),0,Q2202)),"")</f>
        <v/>
      </c>
    </row>
    <row r="2203" customFormat="false" ht="15" hidden="false" customHeight="false" outlineLevel="0" collapsed="false">
      <c r="A2203" s="55"/>
      <c r="B2203" s="56"/>
      <c r="C2203" s="56"/>
      <c r="D2203" s="56"/>
      <c r="E2203" s="57"/>
      <c r="F2203" s="58"/>
      <c r="G2203" s="59"/>
      <c r="H2203" s="56"/>
      <c r="I2203" s="56"/>
      <c r="J2203" s="60" t="str">
        <f aca="false">IF(IsPro,IF($D2203="","",IFERROR(INDEX(Items!$D$5:$D$504,U2203),"")),"")</f>
        <v/>
      </c>
      <c r="K2203" s="61" t="str">
        <f aca="false">IF(IsPro,IF($D2203="","",IF($F2203="",IFERROR(INDEX(Items!$H$5:$H$504,U2203),0),$F2203)),"")</f>
        <v/>
      </c>
      <c r="L2203" s="61" t="str">
        <f aca="false">IF(IsPro,IF($D2203="","",ROUND(N($E2203)*K2203*(1-N($G2203)),2)),"")</f>
        <v/>
      </c>
      <c r="M2203" s="62" t="str">
        <f aca="false">IF(IsPro,IF($D2203="","",IFERROR(INDEX(Items!$F$5:$F$504,U2203),0)),"")</f>
        <v/>
      </c>
      <c r="N2203" s="61" t="str">
        <f aca="false">IF(IsPro,IF($D2203="","",IF(AND(V2203&lt;&gt;"",INDEX(Parties!$E$5:$E$304,V2203)&lt;&gt;"",INDEX(Parties!$E$5:$E$304,V2203)&lt;&gt;HomeState),0,ROUND(L2203*M2203/2,2))),"")</f>
        <v/>
      </c>
      <c r="O2203" s="61" t="str">
        <f aca="false">IF(IsPro,IF($D2203="","",N2203),"")</f>
        <v/>
      </c>
      <c r="P2203" s="61" t="str">
        <f aca="false">IF(IsPro,IF($D2203="","",IF(AND(V2203&lt;&gt;"",INDEX(Parties!$E$5:$E$304,V2203)&lt;&gt;"",INDEX(Parties!$E$5:$E$304,V2203)&lt;&gt;HomeState),ROUND(L2203*M2203,2),0)),"")</f>
        <v/>
      </c>
      <c r="Q2203" s="61" t="str">
        <f aca="false">IF(IsPro,IF($D2203="","",L2203+N2203+O2203+P2203),"")</f>
        <v/>
      </c>
      <c r="R2203" s="61" t="str">
        <f aca="false">IF(IsPro,IF($D2203="","",ROUND(N($E2203)*IFERROR(INDEX(Items!$P$5:$P$504,U2203),0),2)),"")</f>
        <v/>
      </c>
      <c r="S2203" s="61" t="str">
        <f aca="false">IF(IsPro,IF($D2203="","",L2203-R2203),"")</f>
        <v/>
      </c>
      <c r="T2203" s="60" t="str">
        <f aca="false">IF(IsPro,IF($D2203="","",IF(U2203="","UNKNOWN ITEM",IF(INDEX(Items!$O$5:$O$504,U2203)&lt;0,"NEG STOCK",IF(K2203&lt;INDEX(Items!$P$5:$P$504,U2203),"BELOW COST","OK")))),IF($D2203="","","PRO PLAN"))</f>
        <v/>
      </c>
      <c r="U2203" s="60" t="str">
        <f aca="false">IF(IsPro,IF($D2203="","",IFERROR(MATCH($D2203,Items!$A$5:$A$504,0),"")),"")</f>
        <v/>
      </c>
      <c r="V2203" s="60" t="str">
        <f aca="false">IF(IsPro,IF($C2203="","",IFERROR(MATCH($C2203,Parties!$A$5:$A$304,0),"")),"")</f>
        <v/>
      </c>
      <c r="W2203" s="60" t="str">
        <f aca="false">IF(IsPro,IF($B2203="","",IFERROR(VALUE(SUBSTITUTE($B2203,InvPrefix,"")),0)),"")</f>
        <v/>
      </c>
      <c r="X2203" s="61" t="str">
        <f aca="false">IF(IsPro,IF($D2203="","",IF(OR($H2203="",$H2203="Credit"),0,Q2203)),"")</f>
        <v/>
      </c>
    </row>
    <row r="2204" customFormat="false" ht="15" hidden="false" customHeight="false" outlineLevel="0" collapsed="false">
      <c r="A2204" s="55"/>
      <c r="B2204" s="56"/>
      <c r="C2204" s="56"/>
      <c r="D2204" s="56"/>
      <c r="E2204" s="57"/>
      <c r="F2204" s="58"/>
      <c r="G2204" s="59"/>
      <c r="H2204" s="56"/>
      <c r="I2204" s="56"/>
      <c r="J2204" s="60" t="str">
        <f aca="false">IF(IsPro,IF($D2204="","",IFERROR(INDEX(Items!$D$5:$D$504,U2204),"")),"")</f>
        <v/>
      </c>
      <c r="K2204" s="61" t="str">
        <f aca="false">IF(IsPro,IF($D2204="","",IF($F2204="",IFERROR(INDEX(Items!$H$5:$H$504,U2204),0),$F2204)),"")</f>
        <v/>
      </c>
      <c r="L2204" s="61" t="str">
        <f aca="false">IF(IsPro,IF($D2204="","",ROUND(N($E2204)*K2204*(1-N($G2204)),2)),"")</f>
        <v/>
      </c>
      <c r="M2204" s="62" t="str">
        <f aca="false">IF(IsPro,IF($D2204="","",IFERROR(INDEX(Items!$F$5:$F$504,U2204),0)),"")</f>
        <v/>
      </c>
      <c r="N2204" s="61" t="str">
        <f aca="false">IF(IsPro,IF($D2204="","",IF(AND(V2204&lt;&gt;"",INDEX(Parties!$E$5:$E$304,V2204)&lt;&gt;"",INDEX(Parties!$E$5:$E$304,V2204)&lt;&gt;HomeState),0,ROUND(L2204*M2204/2,2))),"")</f>
        <v/>
      </c>
      <c r="O2204" s="61" t="str">
        <f aca="false">IF(IsPro,IF($D2204="","",N2204),"")</f>
        <v/>
      </c>
      <c r="P2204" s="61" t="str">
        <f aca="false">IF(IsPro,IF($D2204="","",IF(AND(V2204&lt;&gt;"",INDEX(Parties!$E$5:$E$304,V2204)&lt;&gt;"",INDEX(Parties!$E$5:$E$304,V2204)&lt;&gt;HomeState),ROUND(L2204*M2204,2),0)),"")</f>
        <v/>
      </c>
      <c r="Q2204" s="61" t="str">
        <f aca="false">IF(IsPro,IF($D2204="","",L2204+N2204+O2204+P2204),"")</f>
        <v/>
      </c>
      <c r="R2204" s="61" t="str">
        <f aca="false">IF(IsPro,IF($D2204="","",ROUND(N($E2204)*IFERROR(INDEX(Items!$P$5:$P$504,U2204),0),2)),"")</f>
        <v/>
      </c>
      <c r="S2204" s="61" t="str">
        <f aca="false">IF(IsPro,IF($D2204="","",L2204-R2204),"")</f>
        <v/>
      </c>
      <c r="T2204" s="60" t="str">
        <f aca="false">IF(IsPro,IF($D2204="","",IF(U2204="","UNKNOWN ITEM",IF(INDEX(Items!$O$5:$O$504,U2204)&lt;0,"NEG STOCK",IF(K2204&lt;INDEX(Items!$P$5:$P$504,U2204),"BELOW COST","OK")))),IF($D2204="","","PRO PLAN"))</f>
        <v/>
      </c>
      <c r="U2204" s="60" t="str">
        <f aca="false">IF(IsPro,IF($D2204="","",IFERROR(MATCH($D2204,Items!$A$5:$A$504,0),"")),"")</f>
        <v/>
      </c>
      <c r="V2204" s="60" t="str">
        <f aca="false">IF(IsPro,IF($C2204="","",IFERROR(MATCH($C2204,Parties!$A$5:$A$304,0),"")),"")</f>
        <v/>
      </c>
      <c r="W2204" s="60" t="str">
        <f aca="false">IF(IsPro,IF($B2204="","",IFERROR(VALUE(SUBSTITUTE($B2204,InvPrefix,"")),0)),"")</f>
        <v/>
      </c>
      <c r="X2204" s="61" t="str">
        <f aca="false">IF(IsPro,IF($D2204="","",IF(OR($H2204="",$H2204="Credit"),0,Q2204)),"")</f>
        <v/>
      </c>
    </row>
    <row r="2205" customFormat="false" ht="15" hidden="false" customHeight="false" outlineLevel="0" collapsed="false">
      <c r="A2205" s="55"/>
      <c r="B2205" s="56"/>
      <c r="C2205" s="56"/>
      <c r="D2205" s="56"/>
      <c r="E2205" s="57"/>
      <c r="F2205" s="58"/>
      <c r="G2205" s="59"/>
      <c r="H2205" s="56"/>
      <c r="I2205" s="56"/>
      <c r="J2205" s="60" t="str">
        <f aca="false">IF(IsPro,IF($D2205="","",IFERROR(INDEX(Items!$D$5:$D$504,U2205),"")),"")</f>
        <v/>
      </c>
      <c r="K2205" s="61" t="str">
        <f aca="false">IF(IsPro,IF($D2205="","",IF($F2205="",IFERROR(INDEX(Items!$H$5:$H$504,U2205),0),$F2205)),"")</f>
        <v/>
      </c>
      <c r="L2205" s="61" t="str">
        <f aca="false">IF(IsPro,IF($D2205="","",ROUND(N($E2205)*K2205*(1-N($G2205)),2)),"")</f>
        <v/>
      </c>
      <c r="M2205" s="62" t="str">
        <f aca="false">IF(IsPro,IF($D2205="","",IFERROR(INDEX(Items!$F$5:$F$504,U2205),0)),"")</f>
        <v/>
      </c>
      <c r="N2205" s="61" t="str">
        <f aca="false">IF(IsPro,IF($D2205="","",IF(AND(V2205&lt;&gt;"",INDEX(Parties!$E$5:$E$304,V2205)&lt;&gt;"",INDEX(Parties!$E$5:$E$304,V2205)&lt;&gt;HomeState),0,ROUND(L2205*M2205/2,2))),"")</f>
        <v/>
      </c>
      <c r="O2205" s="61" t="str">
        <f aca="false">IF(IsPro,IF($D2205="","",N2205),"")</f>
        <v/>
      </c>
      <c r="P2205" s="61" t="str">
        <f aca="false">IF(IsPro,IF($D2205="","",IF(AND(V2205&lt;&gt;"",INDEX(Parties!$E$5:$E$304,V2205)&lt;&gt;"",INDEX(Parties!$E$5:$E$304,V2205)&lt;&gt;HomeState),ROUND(L2205*M2205,2),0)),"")</f>
        <v/>
      </c>
      <c r="Q2205" s="61" t="str">
        <f aca="false">IF(IsPro,IF($D2205="","",L2205+N2205+O2205+P2205),"")</f>
        <v/>
      </c>
      <c r="R2205" s="61" t="str">
        <f aca="false">IF(IsPro,IF($D2205="","",ROUND(N($E2205)*IFERROR(INDEX(Items!$P$5:$P$504,U2205),0),2)),"")</f>
        <v/>
      </c>
      <c r="S2205" s="61" t="str">
        <f aca="false">IF(IsPro,IF($D2205="","",L2205-R2205),"")</f>
        <v/>
      </c>
      <c r="T2205" s="60" t="str">
        <f aca="false">IF(IsPro,IF($D2205="","",IF(U2205="","UNKNOWN ITEM",IF(INDEX(Items!$O$5:$O$504,U2205)&lt;0,"NEG STOCK",IF(K2205&lt;INDEX(Items!$P$5:$P$504,U2205),"BELOW COST","OK")))),IF($D2205="","","PRO PLAN"))</f>
        <v/>
      </c>
      <c r="U2205" s="60" t="str">
        <f aca="false">IF(IsPro,IF($D2205="","",IFERROR(MATCH($D2205,Items!$A$5:$A$504,0),"")),"")</f>
        <v/>
      </c>
      <c r="V2205" s="60" t="str">
        <f aca="false">IF(IsPro,IF($C2205="","",IFERROR(MATCH($C2205,Parties!$A$5:$A$304,0),"")),"")</f>
        <v/>
      </c>
      <c r="W2205" s="60" t="str">
        <f aca="false">IF(IsPro,IF($B2205="","",IFERROR(VALUE(SUBSTITUTE($B2205,InvPrefix,"")),0)),"")</f>
        <v/>
      </c>
      <c r="X2205" s="61" t="str">
        <f aca="false">IF(IsPro,IF($D2205="","",IF(OR($H2205="",$H2205="Credit"),0,Q2205)),"")</f>
        <v/>
      </c>
    </row>
    <row r="2206" customFormat="false" ht="15" hidden="false" customHeight="false" outlineLevel="0" collapsed="false">
      <c r="A2206" s="55"/>
      <c r="B2206" s="56"/>
      <c r="C2206" s="56"/>
      <c r="D2206" s="56"/>
      <c r="E2206" s="57"/>
      <c r="F2206" s="58"/>
      <c r="G2206" s="59"/>
      <c r="H2206" s="56"/>
      <c r="I2206" s="56"/>
      <c r="J2206" s="60" t="str">
        <f aca="false">IF(IsPro,IF($D2206="","",IFERROR(INDEX(Items!$D$5:$D$504,U2206),"")),"")</f>
        <v/>
      </c>
      <c r="K2206" s="61" t="str">
        <f aca="false">IF(IsPro,IF($D2206="","",IF($F2206="",IFERROR(INDEX(Items!$H$5:$H$504,U2206),0),$F2206)),"")</f>
        <v/>
      </c>
      <c r="L2206" s="61" t="str">
        <f aca="false">IF(IsPro,IF($D2206="","",ROUND(N($E2206)*K2206*(1-N($G2206)),2)),"")</f>
        <v/>
      </c>
      <c r="M2206" s="62" t="str">
        <f aca="false">IF(IsPro,IF($D2206="","",IFERROR(INDEX(Items!$F$5:$F$504,U2206),0)),"")</f>
        <v/>
      </c>
      <c r="N2206" s="61" t="str">
        <f aca="false">IF(IsPro,IF($D2206="","",IF(AND(V2206&lt;&gt;"",INDEX(Parties!$E$5:$E$304,V2206)&lt;&gt;"",INDEX(Parties!$E$5:$E$304,V2206)&lt;&gt;HomeState),0,ROUND(L2206*M2206/2,2))),"")</f>
        <v/>
      </c>
      <c r="O2206" s="61" t="str">
        <f aca="false">IF(IsPro,IF($D2206="","",N2206),"")</f>
        <v/>
      </c>
      <c r="P2206" s="61" t="str">
        <f aca="false">IF(IsPro,IF($D2206="","",IF(AND(V2206&lt;&gt;"",INDEX(Parties!$E$5:$E$304,V2206)&lt;&gt;"",INDEX(Parties!$E$5:$E$304,V2206)&lt;&gt;HomeState),ROUND(L2206*M2206,2),0)),"")</f>
        <v/>
      </c>
      <c r="Q2206" s="61" t="str">
        <f aca="false">IF(IsPro,IF($D2206="","",L2206+N2206+O2206+P2206),"")</f>
        <v/>
      </c>
      <c r="R2206" s="61" t="str">
        <f aca="false">IF(IsPro,IF($D2206="","",ROUND(N($E2206)*IFERROR(INDEX(Items!$P$5:$P$504,U2206),0),2)),"")</f>
        <v/>
      </c>
      <c r="S2206" s="61" t="str">
        <f aca="false">IF(IsPro,IF($D2206="","",L2206-R2206),"")</f>
        <v/>
      </c>
      <c r="T2206" s="60" t="str">
        <f aca="false">IF(IsPro,IF($D2206="","",IF(U2206="","UNKNOWN ITEM",IF(INDEX(Items!$O$5:$O$504,U2206)&lt;0,"NEG STOCK",IF(K2206&lt;INDEX(Items!$P$5:$P$504,U2206),"BELOW COST","OK")))),IF($D2206="","","PRO PLAN"))</f>
        <v/>
      </c>
      <c r="U2206" s="60" t="str">
        <f aca="false">IF(IsPro,IF($D2206="","",IFERROR(MATCH($D2206,Items!$A$5:$A$504,0),"")),"")</f>
        <v/>
      </c>
      <c r="V2206" s="60" t="str">
        <f aca="false">IF(IsPro,IF($C2206="","",IFERROR(MATCH($C2206,Parties!$A$5:$A$304,0),"")),"")</f>
        <v/>
      </c>
      <c r="W2206" s="60" t="str">
        <f aca="false">IF(IsPro,IF($B2206="","",IFERROR(VALUE(SUBSTITUTE($B2206,InvPrefix,"")),0)),"")</f>
        <v/>
      </c>
      <c r="X2206" s="61" t="str">
        <f aca="false">IF(IsPro,IF($D2206="","",IF(OR($H2206="",$H2206="Credit"),0,Q2206)),"")</f>
        <v/>
      </c>
    </row>
    <row r="2207" customFormat="false" ht="15" hidden="false" customHeight="false" outlineLevel="0" collapsed="false">
      <c r="A2207" s="55"/>
      <c r="B2207" s="56"/>
      <c r="C2207" s="56"/>
      <c r="D2207" s="56"/>
      <c r="E2207" s="57"/>
      <c r="F2207" s="58"/>
      <c r="G2207" s="59"/>
      <c r="H2207" s="56"/>
      <c r="I2207" s="56"/>
      <c r="J2207" s="60" t="str">
        <f aca="false">IF(IsPro,IF($D2207="","",IFERROR(INDEX(Items!$D$5:$D$504,U2207),"")),"")</f>
        <v/>
      </c>
      <c r="K2207" s="61" t="str">
        <f aca="false">IF(IsPro,IF($D2207="","",IF($F2207="",IFERROR(INDEX(Items!$H$5:$H$504,U2207),0),$F2207)),"")</f>
        <v/>
      </c>
      <c r="L2207" s="61" t="str">
        <f aca="false">IF(IsPro,IF($D2207="","",ROUND(N($E2207)*K2207*(1-N($G2207)),2)),"")</f>
        <v/>
      </c>
      <c r="M2207" s="62" t="str">
        <f aca="false">IF(IsPro,IF($D2207="","",IFERROR(INDEX(Items!$F$5:$F$504,U2207),0)),"")</f>
        <v/>
      </c>
      <c r="N2207" s="61" t="str">
        <f aca="false">IF(IsPro,IF($D2207="","",IF(AND(V2207&lt;&gt;"",INDEX(Parties!$E$5:$E$304,V2207)&lt;&gt;"",INDEX(Parties!$E$5:$E$304,V2207)&lt;&gt;HomeState),0,ROUND(L2207*M2207/2,2))),"")</f>
        <v/>
      </c>
      <c r="O2207" s="61" t="str">
        <f aca="false">IF(IsPro,IF($D2207="","",N2207),"")</f>
        <v/>
      </c>
      <c r="P2207" s="61" t="str">
        <f aca="false">IF(IsPro,IF($D2207="","",IF(AND(V2207&lt;&gt;"",INDEX(Parties!$E$5:$E$304,V2207)&lt;&gt;"",INDEX(Parties!$E$5:$E$304,V2207)&lt;&gt;HomeState),ROUND(L2207*M2207,2),0)),"")</f>
        <v/>
      </c>
      <c r="Q2207" s="61" t="str">
        <f aca="false">IF(IsPro,IF($D2207="","",L2207+N2207+O2207+P2207),"")</f>
        <v/>
      </c>
      <c r="R2207" s="61" t="str">
        <f aca="false">IF(IsPro,IF($D2207="","",ROUND(N($E2207)*IFERROR(INDEX(Items!$P$5:$P$504,U2207),0),2)),"")</f>
        <v/>
      </c>
      <c r="S2207" s="61" t="str">
        <f aca="false">IF(IsPro,IF($D2207="","",L2207-R2207),"")</f>
        <v/>
      </c>
      <c r="T2207" s="60" t="str">
        <f aca="false">IF(IsPro,IF($D2207="","",IF(U2207="","UNKNOWN ITEM",IF(INDEX(Items!$O$5:$O$504,U2207)&lt;0,"NEG STOCK",IF(K2207&lt;INDEX(Items!$P$5:$P$504,U2207),"BELOW COST","OK")))),IF($D2207="","","PRO PLAN"))</f>
        <v/>
      </c>
      <c r="U2207" s="60" t="str">
        <f aca="false">IF(IsPro,IF($D2207="","",IFERROR(MATCH($D2207,Items!$A$5:$A$504,0),"")),"")</f>
        <v/>
      </c>
      <c r="V2207" s="60" t="str">
        <f aca="false">IF(IsPro,IF($C2207="","",IFERROR(MATCH($C2207,Parties!$A$5:$A$304,0),"")),"")</f>
        <v/>
      </c>
      <c r="W2207" s="60" t="str">
        <f aca="false">IF(IsPro,IF($B2207="","",IFERROR(VALUE(SUBSTITUTE($B2207,InvPrefix,"")),0)),"")</f>
        <v/>
      </c>
      <c r="X2207" s="61" t="str">
        <f aca="false">IF(IsPro,IF($D2207="","",IF(OR($H2207="",$H2207="Credit"),0,Q2207)),"")</f>
        <v/>
      </c>
    </row>
    <row r="2208" customFormat="false" ht="15" hidden="false" customHeight="false" outlineLevel="0" collapsed="false">
      <c r="A2208" s="55"/>
      <c r="B2208" s="56"/>
      <c r="C2208" s="56"/>
      <c r="D2208" s="56"/>
      <c r="E2208" s="57"/>
      <c r="F2208" s="58"/>
      <c r="G2208" s="59"/>
      <c r="H2208" s="56"/>
      <c r="I2208" s="56"/>
      <c r="J2208" s="60" t="str">
        <f aca="false">IF(IsPro,IF($D2208="","",IFERROR(INDEX(Items!$D$5:$D$504,U2208),"")),"")</f>
        <v/>
      </c>
      <c r="K2208" s="61" t="str">
        <f aca="false">IF(IsPro,IF($D2208="","",IF($F2208="",IFERROR(INDEX(Items!$H$5:$H$504,U2208),0),$F2208)),"")</f>
        <v/>
      </c>
      <c r="L2208" s="61" t="str">
        <f aca="false">IF(IsPro,IF($D2208="","",ROUND(N($E2208)*K2208*(1-N($G2208)),2)),"")</f>
        <v/>
      </c>
      <c r="M2208" s="62" t="str">
        <f aca="false">IF(IsPro,IF($D2208="","",IFERROR(INDEX(Items!$F$5:$F$504,U2208),0)),"")</f>
        <v/>
      </c>
      <c r="N2208" s="61" t="str">
        <f aca="false">IF(IsPro,IF($D2208="","",IF(AND(V2208&lt;&gt;"",INDEX(Parties!$E$5:$E$304,V2208)&lt;&gt;"",INDEX(Parties!$E$5:$E$304,V2208)&lt;&gt;HomeState),0,ROUND(L2208*M2208/2,2))),"")</f>
        <v/>
      </c>
      <c r="O2208" s="61" t="str">
        <f aca="false">IF(IsPro,IF($D2208="","",N2208),"")</f>
        <v/>
      </c>
      <c r="P2208" s="61" t="str">
        <f aca="false">IF(IsPro,IF($D2208="","",IF(AND(V2208&lt;&gt;"",INDEX(Parties!$E$5:$E$304,V2208)&lt;&gt;"",INDEX(Parties!$E$5:$E$304,V2208)&lt;&gt;HomeState),ROUND(L2208*M2208,2),0)),"")</f>
        <v/>
      </c>
      <c r="Q2208" s="61" t="str">
        <f aca="false">IF(IsPro,IF($D2208="","",L2208+N2208+O2208+P2208),"")</f>
        <v/>
      </c>
      <c r="R2208" s="61" t="str">
        <f aca="false">IF(IsPro,IF($D2208="","",ROUND(N($E2208)*IFERROR(INDEX(Items!$P$5:$P$504,U2208),0),2)),"")</f>
        <v/>
      </c>
      <c r="S2208" s="61" t="str">
        <f aca="false">IF(IsPro,IF($D2208="","",L2208-R2208),"")</f>
        <v/>
      </c>
      <c r="T2208" s="60" t="str">
        <f aca="false">IF(IsPro,IF($D2208="","",IF(U2208="","UNKNOWN ITEM",IF(INDEX(Items!$O$5:$O$504,U2208)&lt;0,"NEG STOCK",IF(K2208&lt;INDEX(Items!$P$5:$P$504,U2208),"BELOW COST","OK")))),IF($D2208="","","PRO PLAN"))</f>
        <v/>
      </c>
      <c r="U2208" s="60" t="str">
        <f aca="false">IF(IsPro,IF($D2208="","",IFERROR(MATCH($D2208,Items!$A$5:$A$504,0),"")),"")</f>
        <v/>
      </c>
      <c r="V2208" s="60" t="str">
        <f aca="false">IF(IsPro,IF($C2208="","",IFERROR(MATCH($C2208,Parties!$A$5:$A$304,0),"")),"")</f>
        <v/>
      </c>
      <c r="W2208" s="60" t="str">
        <f aca="false">IF(IsPro,IF($B2208="","",IFERROR(VALUE(SUBSTITUTE($B2208,InvPrefix,"")),0)),"")</f>
        <v/>
      </c>
      <c r="X2208" s="61" t="str">
        <f aca="false">IF(IsPro,IF($D2208="","",IF(OR($H2208="",$H2208="Credit"),0,Q2208)),"")</f>
        <v/>
      </c>
    </row>
    <row r="2209" customFormat="false" ht="15" hidden="false" customHeight="false" outlineLevel="0" collapsed="false">
      <c r="A2209" s="55"/>
      <c r="B2209" s="56"/>
      <c r="C2209" s="56"/>
      <c r="D2209" s="56"/>
      <c r="E2209" s="57"/>
      <c r="F2209" s="58"/>
      <c r="G2209" s="59"/>
      <c r="H2209" s="56"/>
      <c r="I2209" s="56"/>
      <c r="J2209" s="60" t="str">
        <f aca="false">IF(IsPro,IF($D2209="","",IFERROR(INDEX(Items!$D$5:$D$504,U2209),"")),"")</f>
        <v/>
      </c>
      <c r="K2209" s="61" t="str">
        <f aca="false">IF(IsPro,IF($D2209="","",IF($F2209="",IFERROR(INDEX(Items!$H$5:$H$504,U2209),0),$F2209)),"")</f>
        <v/>
      </c>
      <c r="L2209" s="61" t="str">
        <f aca="false">IF(IsPro,IF($D2209="","",ROUND(N($E2209)*K2209*(1-N($G2209)),2)),"")</f>
        <v/>
      </c>
      <c r="M2209" s="62" t="str">
        <f aca="false">IF(IsPro,IF($D2209="","",IFERROR(INDEX(Items!$F$5:$F$504,U2209),0)),"")</f>
        <v/>
      </c>
      <c r="N2209" s="61" t="str">
        <f aca="false">IF(IsPro,IF($D2209="","",IF(AND(V2209&lt;&gt;"",INDEX(Parties!$E$5:$E$304,V2209)&lt;&gt;"",INDEX(Parties!$E$5:$E$304,V2209)&lt;&gt;HomeState),0,ROUND(L2209*M2209/2,2))),"")</f>
        <v/>
      </c>
      <c r="O2209" s="61" t="str">
        <f aca="false">IF(IsPro,IF($D2209="","",N2209),"")</f>
        <v/>
      </c>
      <c r="P2209" s="61" t="str">
        <f aca="false">IF(IsPro,IF($D2209="","",IF(AND(V2209&lt;&gt;"",INDEX(Parties!$E$5:$E$304,V2209)&lt;&gt;"",INDEX(Parties!$E$5:$E$304,V2209)&lt;&gt;HomeState),ROUND(L2209*M2209,2),0)),"")</f>
        <v/>
      </c>
      <c r="Q2209" s="61" t="str">
        <f aca="false">IF(IsPro,IF($D2209="","",L2209+N2209+O2209+P2209),"")</f>
        <v/>
      </c>
      <c r="R2209" s="61" t="str">
        <f aca="false">IF(IsPro,IF($D2209="","",ROUND(N($E2209)*IFERROR(INDEX(Items!$P$5:$P$504,U2209),0),2)),"")</f>
        <v/>
      </c>
      <c r="S2209" s="61" t="str">
        <f aca="false">IF(IsPro,IF($D2209="","",L2209-R2209),"")</f>
        <v/>
      </c>
      <c r="T2209" s="60" t="str">
        <f aca="false">IF(IsPro,IF($D2209="","",IF(U2209="","UNKNOWN ITEM",IF(INDEX(Items!$O$5:$O$504,U2209)&lt;0,"NEG STOCK",IF(K2209&lt;INDEX(Items!$P$5:$P$504,U2209),"BELOW COST","OK")))),IF($D2209="","","PRO PLAN"))</f>
        <v/>
      </c>
      <c r="U2209" s="60" t="str">
        <f aca="false">IF(IsPro,IF($D2209="","",IFERROR(MATCH($D2209,Items!$A$5:$A$504,0),"")),"")</f>
        <v/>
      </c>
      <c r="V2209" s="60" t="str">
        <f aca="false">IF(IsPro,IF($C2209="","",IFERROR(MATCH($C2209,Parties!$A$5:$A$304,0),"")),"")</f>
        <v/>
      </c>
      <c r="W2209" s="60" t="str">
        <f aca="false">IF(IsPro,IF($B2209="","",IFERROR(VALUE(SUBSTITUTE($B2209,InvPrefix,"")),0)),"")</f>
        <v/>
      </c>
      <c r="X2209" s="61" t="str">
        <f aca="false">IF(IsPro,IF($D2209="","",IF(OR($H2209="",$H2209="Credit"),0,Q2209)),"")</f>
        <v/>
      </c>
    </row>
    <row r="2210" customFormat="false" ht="15" hidden="false" customHeight="false" outlineLevel="0" collapsed="false">
      <c r="A2210" s="55"/>
      <c r="B2210" s="56"/>
      <c r="C2210" s="56"/>
      <c r="D2210" s="56"/>
      <c r="E2210" s="57"/>
      <c r="F2210" s="58"/>
      <c r="G2210" s="59"/>
      <c r="H2210" s="56"/>
      <c r="I2210" s="56"/>
      <c r="J2210" s="60" t="str">
        <f aca="false">IF(IsPro,IF($D2210="","",IFERROR(INDEX(Items!$D$5:$D$504,U2210),"")),"")</f>
        <v/>
      </c>
      <c r="K2210" s="61" t="str">
        <f aca="false">IF(IsPro,IF($D2210="","",IF($F2210="",IFERROR(INDEX(Items!$H$5:$H$504,U2210),0),$F2210)),"")</f>
        <v/>
      </c>
      <c r="L2210" s="61" t="str">
        <f aca="false">IF(IsPro,IF($D2210="","",ROUND(N($E2210)*K2210*(1-N($G2210)),2)),"")</f>
        <v/>
      </c>
      <c r="M2210" s="62" t="str">
        <f aca="false">IF(IsPro,IF($D2210="","",IFERROR(INDEX(Items!$F$5:$F$504,U2210),0)),"")</f>
        <v/>
      </c>
      <c r="N2210" s="61" t="str">
        <f aca="false">IF(IsPro,IF($D2210="","",IF(AND(V2210&lt;&gt;"",INDEX(Parties!$E$5:$E$304,V2210)&lt;&gt;"",INDEX(Parties!$E$5:$E$304,V2210)&lt;&gt;HomeState),0,ROUND(L2210*M2210/2,2))),"")</f>
        <v/>
      </c>
      <c r="O2210" s="61" t="str">
        <f aca="false">IF(IsPro,IF($D2210="","",N2210),"")</f>
        <v/>
      </c>
      <c r="P2210" s="61" t="str">
        <f aca="false">IF(IsPro,IF($D2210="","",IF(AND(V2210&lt;&gt;"",INDEX(Parties!$E$5:$E$304,V2210)&lt;&gt;"",INDEX(Parties!$E$5:$E$304,V2210)&lt;&gt;HomeState),ROUND(L2210*M2210,2),0)),"")</f>
        <v/>
      </c>
      <c r="Q2210" s="61" t="str">
        <f aca="false">IF(IsPro,IF($D2210="","",L2210+N2210+O2210+P2210),"")</f>
        <v/>
      </c>
      <c r="R2210" s="61" t="str">
        <f aca="false">IF(IsPro,IF($D2210="","",ROUND(N($E2210)*IFERROR(INDEX(Items!$P$5:$P$504,U2210),0),2)),"")</f>
        <v/>
      </c>
      <c r="S2210" s="61" t="str">
        <f aca="false">IF(IsPro,IF($D2210="","",L2210-R2210),"")</f>
        <v/>
      </c>
      <c r="T2210" s="60" t="str">
        <f aca="false">IF(IsPro,IF($D2210="","",IF(U2210="","UNKNOWN ITEM",IF(INDEX(Items!$O$5:$O$504,U2210)&lt;0,"NEG STOCK",IF(K2210&lt;INDEX(Items!$P$5:$P$504,U2210),"BELOW COST","OK")))),IF($D2210="","","PRO PLAN"))</f>
        <v/>
      </c>
      <c r="U2210" s="60" t="str">
        <f aca="false">IF(IsPro,IF($D2210="","",IFERROR(MATCH($D2210,Items!$A$5:$A$504,0),"")),"")</f>
        <v/>
      </c>
      <c r="V2210" s="60" t="str">
        <f aca="false">IF(IsPro,IF($C2210="","",IFERROR(MATCH($C2210,Parties!$A$5:$A$304,0),"")),"")</f>
        <v/>
      </c>
      <c r="W2210" s="60" t="str">
        <f aca="false">IF(IsPro,IF($B2210="","",IFERROR(VALUE(SUBSTITUTE($B2210,InvPrefix,"")),0)),"")</f>
        <v/>
      </c>
      <c r="X2210" s="61" t="str">
        <f aca="false">IF(IsPro,IF($D2210="","",IF(OR($H2210="",$H2210="Credit"),0,Q2210)),"")</f>
        <v/>
      </c>
    </row>
    <row r="2211" customFormat="false" ht="15" hidden="false" customHeight="false" outlineLevel="0" collapsed="false">
      <c r="A2211" s="55"/>
      <c r="B2211" s="56"/>
      <c r="C2211" s="56"/>
      <c r="D2211" s="56"/>
      <c r="E2211" s="57"/>
      <c r="F2211" s="58"/>
      <c r="G2211" s="59"/>
      <c r="H2211" s="56"/>
      <c r="I2211" s="56"/>
      <c r="J2211" s="60" t="str">
        <f aca="false">IF(IsPro,IF($D2211="","",IFERROR(INDEX(Items!$D$5:$D$504,U2211),"")),"")</f>
        <v/>
      </c>
      <c r="K2211" s="61" t="str">
        <f aca="false">IF(IsPro,IF($D2211="","",IF($F2211="",IFERROR(INDEX(Items!$H$5:$H$504,U2211),0),$F2211)),"")</f>
        <v/>
      </c>
      <c r="L2211" s="61" t="str">
        <f aca="false">IF(IsPro,IF($D2211="","",ROUND(N($E2211)*K2211*(1-N($G2211)),2)),"")</f>
        <v/>
      </c>
      <c r="M2211" s="62" t="str">
        <f aca="false">IF(IsPro,IF($D2211="","",IFERROR(INDEX(Items!$F$5:$F$504,U2211),0)),"")</f>
        <v/>
      </c>
      <c r="N2211" s="61" t="str">
        <f aca="false">IF(IsPro,IF($D2211="","",IF(AND(V2211&lt;&gt;"",INDEX(Parties!$E$5:$E$304,V2211)&lt;&gt;"",INDEX(Parties!$E$5:$E$304,V2211)&lt;&gt;HomeState),0,ROUND(L2211*M2211/2,2))),"")</f>
        <v/>
      </c>
      <c r="O2211" s="61" t="str">
        <f aca="false">IF(IsPro,IF($D2211="","",N2211),"")</f>
        <v/>
      </c>
      <c r="P2211" s="61" t="str">
        <f aca="false">IF(IsPro,IF($D2211="","",IF(AND(V2211&lt;&gt;"",INDEX(Parties!$E$5:$E$304,V2211)&lt;&gt;"",INDEX(Parties!$E$5:$E$304,V2211)&lt;&gt;HomeState),ROUND(L2211*M2211,2),0)),"")</f>
        <v/>
      </c>
      <c r="Q2211" s="61" t="str">
        <f aca="false">IF(IsPro,IF($D2211="","",L2211+N2211+O2211+P2211),"")</f>
        <v/>
      </c>
      <c r="R2211" s="61" t="str">
        <f aca="false">IF(IsPro,IF($D2211="","",ROUND(N($E2211)*IFERROR(INDEX(Items!$P$5:$P$504,U2211),0),2)),"")</f>
        <v/>
      </c>
      <c r="S2211" s="61" t="str">
        <f aca="false">IF(IsPro,IF($D2211="","",L2211-R2211),"")</f>
        <v/>
      </c>
      <c r="T2211" s="60" t="str">
        <f aca="false">IF(IsPro,IF($D2211="","",IF(U2211="","UNKNOWN ITEM",IF(INDEX(Items!$O$5:$O$504,U2211)&lt;0,"NEG STOCK",IF(K2211&lt;INDEX(Items!$P$5:$P$504,U2211),"BELOW COST","OK")))),IF($D2211="","","PRO PLAN"))</f>
        <v/>
      </c>
      <c r="U2211" s="60" t="str">
        <f aca="false">IF(IsPro,IF($D2211="","",IFERROR(MATCH($D2211,Items!$A$5:$A$504,0),"")),"")</f>
        <v/>
      </c>
      <c r="V2211" s="60" t="str">
        <f aca="false">IF(IsPro,IF($C2211="","",IFERROR(MATCH($C2211,Parties!$A$5:$A$304,0),"")),"")</f>
        <v/>
      </c>
      <c r="W2211" s="60" t="str">
        <f aca="false">IF(IsPro,IF($B2211="","",IFERROR(VALUE(SUBSTITUTE($B2211,InvPrefix,"")),0)),"")</f>
        <v/>
      </c>
      <c r="X2211" s="61" t="str">
        <f aca="false">IF(IsPro,IF($D2211="","",IF(OR($H2211="",$H2211="Credit"),0,Q2211)),"")</f>
        <v/>
      </c>
    </row>
    <row r="2212" customFormat="false" ht="15" hidden="false" customHeight="false" outlineLevel="0" collapsed="false">
      <c r="A2212" s="55"/>
      <c r="B2212" s="56"/>
      <c r="C2212" s="56"/>
      <c r="D2212" s="56"/>
      <c r="E2212" s="57"/>
      <c r="F2212" s="58"/>
      <c r="G2212" s="59"/>
      <c r="H2212" s="56"/>
      <c r="I2212" s="56"/>
      <c r="J2212" s="60" t="str">
        <f aca="false">IF(IsPro,IF($D2212="","",IFERROR(INDEX(Items!$D$5:$D$504,U2212),"")),"")</f>
        <v/>
      </c>
      <c r="K2212" s="61" t="str">
        <f aca="false">IF(IsPro,IF($D2212="","",IF($F2212="",IFERROR(INDEX(Items!$H$5:$H$504,U2212),0),$F2212)),"")</f>
        <v/>
      </c>
      <c r="L2212" s="61" t="str">
        <f aca="false">IF(IsPro,IF($D2212="","",ROUND(N($E2212)*K2212*(1-N($G2212)),2)),"")</f>
        <v/>
      </c>
      <c r="M2212" s="62" t="str">
        <f aca="false">IF(IsPro,IF($D2212="","",IFERROR(INDEX(Items!$F$5:$F$504,U2212),0)),"")</f>
        <v/>
      </c>
      <c r="N2212" s="61" t="str">
        <f aca="false">IF(IsPro,IF($D2212="","",IF(AND(V2212&lt;&gt;"",INDEX(Parties!$E$5:$E$304,V2212)&lt;&gt;"",INDEX(Parties!$E$5:$E$304,V2212)&lt;&gt;HomeState),0,ROUND(L2212*M2212/2,2))),"")</f>
        <v/>
      </c>
      <c r="O2212" s="61" t="str">
        <f aca="false">IF(IsPro,IF($D2212="","",N2212),"")</f>
        <v/>
      </c>
      <c r="P2212" s="61" t="str">
        <f aca="false">IF(IsPro,IF($D2212="","",IF(AND(V2212&lt;&gt;"",INDEX(Parties!$E$5:$E$304,V2212)&lt;&gt;"",INDEX(Parties!$E$5:$E$304,V2212)&lt;&gt;HomeState),ROUND(L2212*M2212,2),0)),"")</f>
        <v/>
      </c>
      <c r="Q2212" s="61" t="str">
        <f aca="false">IF(IsPro,IF($D2212="","",L2212+N2212+O2212+P2212),"")</f>
        <v/>
      </c>
      <c r="R2212" s="61" t="str">
        <f aca="false">IF(IsPro,IF($D2212="","",ROUND(N($E2212)*IFERROR(INDEX(Items!$P$5:$P$504,U2212),0),2)),"")</f>
        <v/>
      </c>
      <c r="S2212" s="61" t="str">
        <f aca="false">IF(IsPro,IF($D2212="","",L2212-R2212),"")</f>
        <v/>
      </c>
      <c r="T2212" s="60" t="str">
        <f aca="false">IF(IsPro,IF($D2212="","",IF(U2212="","UNKNOWN ITEM",IF(INDEX(Items!$O$5:$O$504,U2212)&lt;0,"NEG STOCK",IF(K2212&lt;INDEX(Items!$P$5:$P$504,U2212),"BELOW COST","OK")))),IF($D2212="","","PRO PLAN"))</f>
        <v/>
      </c>
      <c r="U2212" s="60" t="str">
        <f aca="false">IF(IsPro,IF($D2212="","",IFERROR(MATCH($D2212,Items!$A$5:$A$504,0),"")),"")</f>
        <v/>
      </c>
      <c r="V2212" s="60" t="str">
        <f aca="false">IF(IsPro,IF($C2212="","",IFERROR(MATCH($C2212,Parties!$A$5:$A$304,0),"")),"")</f>
        <v/>
      </c>
      <c r="W2212" s="60" t="str">
        <f aca="false">IF(IsPro,IF($B2212="","",IFERROR(VALUE(SUBSTITUTE($B2212,InvPrefix,"")),0)),"")</f>
        <v/>
      </c>
      <c r="X2212" s="61" t="str">
        <f aca="false">IF(IsPro,IF($D2212="","",IF(OR($H2212="",$H2212="Credit"),0,Q2212)),"")</f>
        <v/>
      </c>
    </row>
    <row r="2213" customFormat="false" ht="15" hidden="false" customHeight="false" outlineLevel="0" collapsed="false">
      <c r="A2213" s="55"/>
      <c r="B2213" s="56"/>
      <c r="C2213" s="56"/>
      <c r="D2213" s="56"/>
      <c r="E2213" s="57"/>
      <c r="F2213" s="58"/>
      <c r="G2213" s="59"/>
      <c r="H2213" s="56"/>
      <c r="I2213" s="56"/>
      <c r="J2213" s="60" t="str">
        <f aca="false">IF(IsPro,IF($D2213="","",IFERROR(INDEX(Items!$D$5:$D$504,U2213),"")),"")</f>
        <v/>
      </c>
      <c r="K2213" s="61" t="str">
        <f aca="false">IF(IsPro,IF($D2213="","",IF($F2213="",IFERROR(INDEX(Items!$H$5:$H$504,U2213),0),$F2213)),"")</f>
        <v/>
      </c>
      <c r="L2213" s="61" t="str">
        <f aca="false">IF(IsPro,IF($D2213="","",ROUND(N($E2213)*K2213*(1-N($G2213)),2)),"")</f>
        <v/>
      </c>
      <c r="M2213" s="62" t="str">
        <f aca="false">IF(IsPro,IF($D2213="","",IFERROR(INDEX(Items!$F$5:$F$504,U2213),0)),"")</f>
        <v/>
      </c>
      <c r="N2213" s="61" t="str">
        <f aca="false">IF(IsPro,IF($D2213="","",IF(AND(V2213&lt;&gt;"",INDEX(Parties!$E$5:$E$304,V2213)&lt;&gt;"",INDEX(Parties!$E$5:$E$304,V2213)&lt;&gt;HomeState),0,ROUND(L2213*M2213/2,2))),"")</f>
        <v/>
      </c>
      <c r="O2213" s="61" t="str">
        <f aca="false">IF(IsPro,IF($D2213="","",N2213),"")</f>
        <v/>
      </c>
      <c r="P2213" s="61" t="str">
        <f aca="false">IF(IsPro,IF($D2213="","",IF(AND(V2213&lt;&gt;"",INDEX(Parties!$E$5:$E$304,V2213)&lt;&gt;"",INDEX(Parties!$E$5:$E$304,V2213)&lt;&gt;HomeState),ROUND(L2213*M2213,2),0)),"")</f>
        <v/>
      </c>
      <c r="Q2213" s="61" t="str">
        <f aca="false">IF(IsPro,IF($D2213="","",L2213+N2213+O2213+P2213),"")</f>
        <v/>
      </c>
      <c r="R2213" s="61" t="str">
        <f aca="false">IF(IsPro,IF($D2213="","",ROUND(N($E2213)*IFERROR(INDEX(Items!$P$5:$P$504,U2213),0),2)),"")</f>
        <v/>
      </c>
      <c r="S2213" s="61" t="str">
        <f aca="false">IF(IsPro,IF($D2213="","",L2213-R2213),"")</f>
        <v/>
      </c>
      <c r="T2213" s="60" t="str">
        <f aca="false">IF(IsPro,IF($D2213="","",IF(U2213="","UNKNOWN ITEM",IF(INDEX(Items!$O$5:$O$504,U2213)&lt;0,"NEG STOCK",IF(K2213&lt;INDEX(Items!$P$5:$P$504,U2213),"BELOW COST","OK")))),IF($D2213="","","PRO PLAN"))</f>
        <v/>
      </c>
      <c r="U2213" s="60" t="str">
        <f aca="false">IF(IsPro,IF($D2213="","",IFERROR(MATCH($D2213,Items!$A$5:$A$504,0),"")),"")</f>
        <v/>
      </c>
      <c r="V2213" s="60" t="str">
        <f aca="false">IF(IsPro,IF($C2213="","",IFERROR(MATCH($C2213,Parties!$A$5:$A$304,0),"")),"")</f>
        <v/>
      </c>
      <c r="W2213" s="60" t="str">
        <f aca="false">IF(IsPro,IF($B2213="","",IFERROR(VALUE(SUBSTITUTE($B2213,InvPrefix,"")),0)),"")</f>
        <v/>
      </c>
      <c r="X2213" s="61" t="str">
        <f aca="false">IF(IsPro,IF($D2213="","",IF(OR($H2213="",$H2213="Credit"),0,Q2213)),"")</f>
        <v/>
      </c>
    </row>
    <row r="2214" customFormat="false" ht="15" hidden="false" customHeight="false" outlineLevel="0" collapsed="false">
      <c r="A2214" s="55"/>
      <c r="B2214" s="56"/>
      <c r="C2214" s="56"/>
      <c r="D2214" s="56"/>
      <c r="E2214" s="57"/>
      <c r="F2214" s="58"/>
      <c r="G2214" s="59"/>
      <c r="H2214" s="56"/>
      <c r="I2214" s="56"/>
      <c r="J2214" s="60" t="str">
        <f aca="false">IF(IsPro,IF($D2214="","",IFERROR(INDEX(Items!$D$5:$D$504,U2214),"")),"")</f>
        <v/>
      </c>
      <c r="K2214" s="61" t="str">
        <f aca="false">IF(IsPro,IF($D2214="","",IF($F2214="",IFERROR(INDEX(Items!$H$5:$H$504,U2214),0),$F2214)),"")</f>
        <v/>
      </c>
      <c r="L2214" s="61" t="str">
        <f aca="false">IF(IsPro,IF($D2214="","",ROUND(N($E2214)*K2214*(1-N($G2214)),2)),"")</f>
        <v/>
      </c>
      <c r="M2214" s="62" t="str">
        <f aca="false">IF(IsPro,IF($D2214="","",IFERROR(INDEX(Items!$F$5:$F$504,U2214),0)),"")</f>
        <v/>
      </c>
      <c r="N2214" s="61" t="str">
        <f aca="false">IF(IsPro,IF($D2214="","",IF(AND(V2214&lt;&gt;"",INDEX(Parties!$E$5:$E$304,V2214)&lt;&gt;"",INDEX(Parties!$E$5:$E$304,V2214)&lt;&gt;HomeState),0,ROUND(L2214*M2214/2,2))),"")</f>
        <v/>
      </c>
      <c r="O2214" s="61" t="str">
        <f aca="false">IF(IsPro,IF($D2214="","",N2214),"")</f>
        <v/>
      </c>
      <c r="P2214" s="61" t="str">
        <f aca="false">IF(IsPro,IF($D2214="","",IF(AND(V2214&lt;&gt;"",INDEX(Parties!$E$5:$E$304,V2214)&lt;&gt;"",INDEX(Parties!$E$5:$E$304,V2214)&lt;&gt;HomeState),ROUND(L2214*M2214,2),0)),"")</f>
        <v/>
      </c>
      <c r="Q2214" s="61" t="str">
        <f aca="false">IF(IsPro,IF($D2214="","",L2214+N2214+O2214+P2214),"")</f>
        <v/>
      </c>
      <c r="R2214" s="61" t="str">
        <f aca="false">IF(IsPro,IF($D2214="","",ROUND(N($E2214)*IFERROR(INDEX(Items!$P$5:$P$504,U2214),0),2)),"")</f>
        <v/>
      </c>
      <c r="S2214" s="61" t="str">
        <f aca="false">IF(IsPro,IF($D2214="","",L2214-R2214),"")</f>
        <v/>
      </c>
      <c r="T2214" s="60" t="str">
        <f aca="false">IF(IsPro,IF($D2214="","",IF(U2214="","UNKNOWN ITEM",IF(INDEX(Items!$O$5:$O$504,U2214)&lt;0,"NEG STOCK",IF(K2214&lt;INDEX(Items!$P$5:$P$504,U2214),"BELOW COST","OK")))),IF($D2214="","","PRO PLAN"))</f>
        <v/>
      </c>
      <c r="U2214" s="60" t="str">
        <f aca="false">IF(IsPro,IF($D2214="","",IFERROR(MATCH($D2214,Items!$A$5:$A$504,0),"")),"")</f>
        <v/>
      </c>
      <c r="V2214" s="60" t="str">
        <f aca="false">IF(IsPro,IF($C2214="","",IFERROR(MATCH($C2214,Parties!$A$5:$A$304,0),"")),"")</f>
        <v/>
      </c>
      <c r="W2214" s="60" t="str">
        <f aca="false">IF(IsPro,IF($B2214="","",IFERROR(VALUE(SUBSTITUTE($B2214,InvPrefix,"")),0)),"")</f>
        <v/>
      </c>
      <c r="X2214" s="61" t="str">
        <f aca="false">IF(IsPro,IF($D2214="","",IF(OR($H2214="",$H2214="Credit"),0,Q2214)),"")</f>
        <v/>
      </c>
    </row>
    <row r="2215" customFormat="false" ht="15" hidden="false" customHeight="false" outlineLevel="0" collapsed="false">
      <c r="A2215" s="55"/>
      <c r="B2215" s="56"/>
      <c r="C2215" s="56"/>
      <c r="D2215" s="56"/>
      <c r="E2215" s="57"/>
      <c r="F2215" s="58"/>
      <c r="G2215" s="59"/>
      <c r="H2215" s="56"/>
      <c r="I2215" s="56"/>
      <c r="J2215" s="60" t="str">
        <f aca="false">IF(IsPro,IF($D2215="","",IFERROR(INDEX(Items!$D$5:$D$504,U2215),"")),"")</f>
        <v/>
      </c>
      <c r="K2215" s="61" t="str">
        <f aca="false">IF(IsPro,IF($D2215="","",IF($F2215="",IFERROR(INDEX(Items!$H$5:$H$504,U2215),0),$F2215)),"")</f>
        <v/>
      </c>
      <c r="L2215" s="61" t="str">
        <f aca="false">IF(IsPro,IF($D2215="","",ROUND(N($E2215)*K2215*(1-N($G2215)),2)),"")</f>
        <v/>
      </c>
      <c r="M2215" s="62" t="str">
        <f aca="false">IF(IsPro,IF($D2215="","",IFERROR(INDEX(Items!$F$5:$F$504,U2215),0)),"")</f>
        <v/>
      </c>
      <c r="N2215" s="61" t="str">
        <f aca="false">IF(IsPro,IF($D2215="","",IF(AND(V2215&lt;&gt;"",INDEX(Parties!$E$5:$E$304,V2215)&lt;&gt;"",INDEX(Parties!$E$5:$E$304,V2215)&lt;&gt;HomeState),0,ROUND(L2215*M2215/2,2))),"")</f>
        <v/>
      </c>
      <c r="O2215" s="61" t="str">
        <f aca="false">IF(IsPro,IF($D2215="","",N2215),"")</f>
        <v/>
      </c>
      <c r="P2215" s="61" t="str">
        <f aca="false">IF(IsPro,IF($D2215="","",IF(AND(V2215&lt;&gt;"",INDEX(Parties!$E$5:$E$304,V2215)&lt;&gt;"",INDEX(Parties!$E$5:$E$304,V2215)&lt;&gt;HomeState),ROUND(L2215*M2215,2),0)),"")</f>
        <v/>
      </c>
      <c r="Q2215" s="61" t="str">
        <f aca="false">IF(IsPro,IF($D2215="","",L2215+N2215+O2215+P2215),"")</f>
        <v/>
      </c>
      <c r="R2215" s="61" t="str">
        <f aca="false">IF(IsPro,IF($D2215="","",ROUND(N($E2215)*IFERROR(INDEX(Items!$P$5:$P$504,U2215),0),2)),"")</f>
        <v/>
      </c>
      <c r="S2215" s="61" t="str">
        <f aca="false">IF(IsPro,IF($D2215="","",L2215-R2215),"")</f>
        <v/>
      </c>
      <c r="T2215" s="60" t="str">
        <f aca="false">IF(IsPro,IF($D2215="","",IF(U2215="","UNKNOWN ITEM",IF(INDEX(Items!$O$5:$O$504,U2215)&lt;0,"NEG STOCK",IF(K2215&lt;INDEX(Items!$P$5:$P$504,U2215),"BELOW COST","OK")))),IF($D2215="","","PRO PLAN"))</f>
        <v/>
      </c>
      <c r="U2215" s="60" t="str">
        <f aca="false">IF(IsPro,IF($D2215="","",IFERROR(MATCH($D2215,Items!$A$5:$A$504,0),"")),"")</f>
        <v/>
      </c>
      <c r="V2215" s="60" t="str">
        <f aca="false">IF(IsPro,IF($C2215="","",IFERROR(MATCH($C2215,Parties!$A$5:$A$304,0),"")),"")</f>
        <v/>
      </c>
      <c r="W2215" s="60" t="str">
        <f aca="false">IF(IsPro,IF($B2215="","",IFERROR(VALUE(SUBSTITUTE($B2215,InvPrefix,"")),0)),"")</f>
        <v/>
      </c>
      <c r="X2215" s="61" t="str">
        <f aca="false">IF(IsPro,IF($D2215="","",IF(OR($H2215="",$H2215="Credit"),0,Q2215)),"")</f>
        <v/>
      </c>
    </row>
    <row r="2216" customFormat="false" ht="15" hidden="false" customHeight="false" outlineLevel="0" collapsed="false">
      <c r="A2216" s="55"/>
      <c r="B2216" s="56"/>
      <c r="C2216" s="56"/>
      <c r="D2216" s="56"/>
      <c r="E2216" s="57"/>
      <c r="F2216" s="58"/>
      <c r="G2216" s="59"/>
      <c r="H2216" s="56"/>
      <c r="I2216" s="56"/>
      <c r="J2216" s="60" t="str">
        <f aca="false">IF(IsPro,IF($D2216="","",IFERROR(INDEX(Items!$D$5:$D$504,U2216),"")),"")</f>
        <v/>
      </c>
      <c r="K2216" s="61" t="str">
        <f aca="false">IF(IsPro,IF($D2216="","",IF($F2216="",IFERROR(INDEX(Items!$H$5:$H$504,U2216),0),$F2216)),"")</f>
        <v/>
      </c>
      <c r="L2216" s="61" t="str">
        <f aca="false">IF(IsPro,IF($D2216="","",ROUND(N($E2216)*K2216*(1-N($G2216)),2)),"")</f>
        <v/>
      </c>
      <c r="M2216" s="62" t="str">
        <f aca="false">IF(IsPro,IF($D2216="","",IFERROR(INDEX(Items!$F$5:$F$504,U2216),0)),"")</f>
        <v/>
      </c>
      <c r="N2216" s="61" t="str">
        <f aca="false">IF(IsPro,IF($D2216="","",IF(AND(V2216&lt;&gt;"",INDEX(Parties!$E$5:$E$304,V2216)&lt;&gt;"",INDEX(Parties!$E$5:$E$304,V2216)&lt;&gt;HomeState),0,ROUND(L2216*M2216/2,2))),"")</f>
        <v/>
      </c>
      <c r="O2216" s="61" t="str">
        <f aca="false">IF(IsPro,IF($D2216="","",N2216),"")</f>
        <v/>
      </c>
      <c r="P2216" s="61" t="str">
        <f aca="false">IF(IsPro,IF($D2216="","",IF(AND(V2216&lt;&gt;"",INDEX(Parties!$E$5:$E$304,V2216)&lt;&gt;"",INDEX(Parties!$E$5:$E$304,V2216)&lt;&gt;HomeState),ROUND(L2216*M2216,2),0)),"")</f>
        <v/>
      </c>
      <c r="Q2216" s="61" t="str">
        <f aca="false">IF(IsPro,IF($D2216="","",L2216+N2216+O2216+P2216),"")</f>
        <v/>
      </c>
      <c r="R2216" s="61" t="str">
        <f aca="false">IF(IsPro,IF($D2216="","",ROUND(N($E2216)*IFERROR(INDEX(Items!$P$5:$P$504,U2216),0),2)),"")</f>
        <v/>
      </c>
      <c r="S2216" s="61" t="str">
        <f aca="false">IF(IsPro,IF($D2216="","",L2216-R2216),"")</f>
        <v/>
      </c>
      <c r="T2216" s="60" t="str">
        <f aca="false">IF(IsPro,IF($D2216="","",IF(U2216="","UNKNOWN ITEM",IF(INDEX(Items!$O$5:$O$504,U2216)&lt;0,"NEG STOCK",IF(K2216&lt;INDEX(Items!$P$5:$P$504,U2216),"BELOW COST","OK")))),IF($D2216="","","PRO PLAN"))</f>
        <v/>
      </c>
      <c r="U2216" s="60" t="str">
        <f aca="false">IF(IsPro,IF($D2216="","",IFERROR(MATCH($D2216,Items!$A$5:$A$504,0),"")),"")</f>
        <v/>
      </c>
      <c r="V2216" s="60" t="str">
        <f aca="false">IF(IsPro,IF($C2216="","",IFERROR(MATCH($C2216,Parties!$A$5:$A$304,0),"")),"")</f>
        <v/>
      </c>
      <c r="W2216" s="60" t="str">
        <f aca="false">IF(IsPro,IF($B2216="","",IFERROR(VALUE(SUBSTITUTE($B2216,InvPrefix,"")),0)),"")</f>
        <v/>
      </c>
      <c r="X2216" s="61" t="str">
        <f aca="false">IF(IsPro,IF($D2216="","",IF(OR($H2216="",$H2216="Credit"),0,Q2216)),"")</f>
        <v/>
      </c>
    </row>
    <row r="2217" customFormat="false" ht="15" hidden="false" customHeight="false" outlineLevel="0" collapsed="false">
      <c r="A2217" s="55"/>
      <c r="B2217" s="56"/>
      <c r="C2217" s="56"/>
      <c r="D2217" s="56"/>
      <c r="E2217" s="57"/>
      <c r="F2217" s="58"/>
      <c r="G2217" s="59"/>
      <c r="H2217" s="56"/>
      <c r="I2217" s="56"/>
      <c r="J2217" s="60" t="str">
        <f aca="false">IF(IsPro,IF($D2217="","",IFERROR(INDEX(Items!$D$5:$D$504,U2217),"")),"")</f>
        <v/>
      </c>
      <c r="K2217" s="61" t="str">
        <f aca="false">IF(IsPro,IF($D2217="","",IF($F2217="",IFERROR(INDEX(Items!$H$5:$H$504,U2217),0),$F2217)),"")</f>
        <v/>
      </c>
      <c r="L2217" s="61" t="str">
        <f aca="false">IF(IsPro,IF($D2217="","",ROUND(N($E2217)*K2217*(1-N($G2217)),2)),"")</f>
        <v/>
      </c>
      <c r="M2217" s="62" t="str">
        <f aca="false">IF(IsPro,IF($D2217="","",IFERROR(INDEX(Items!$F$5:$F$504,U2217),0)),"")</f>
        <v/>
      </c>
      <c r="N2217" s="61" t="str">
        <f aca="false">IF(IsPro,IF($D2217="","",IF(AND(V2217&lt;&gt;"",INDEX(Parties!$E$5:$E$304,V2217)&lt;&gt;"",INDEX(Parties!$E$5:$E$304,V2217)&lt;&gt;HomeState),0,ROUND(L2217*M2217/2,2))),"")</f>
        <v/>
      </c>
      <c r="O2217" s="61" t="str">
        <f aca="false">IF(IsPro,IF($D2217="","",N2217),"")</f>
        <v/>
      </c>
      <c r="P2217" s="61" t="str">
        <f aca="false">IF(IsPro,IF($D2217="","",IF(AND(V2217&lt;&gt;"",INDEX(Parties!$E$5:$E$304,V2217)&lt;&gt;"",INDEX(Parties!$E$5:$E$304,V2217)&lt;&gt;HomeState),ROUND(L2217*M2217,2),0)),"")</f>
        <v/>
      </c>
      <c r="Q2217" s="61" t="str">
        <f aca="false">IF(IsPro,IF($D2217="","",L2217+N2217+O2217+P2217),"")</f>
        <v/>
      </c>
      <c r="R2217" s="61" t="str">
        <f aca="false">IF(IsPro,IF($D2217="","",ROUND(N($E2217)*IFERROR(INDEX(Items!$P$5:$P$504,U2217),0),2)),"")</f>
        <v/>
      </c>
      <c r="S2217" s="61" t="str">
        <f aca="false">IF(IsPro,IF($D2217="","",L2217-R2217),"")</f>
        <v/>
      </c>
      <c r="T2217" s="60" t="str">
        <f aca="false">IF(IsPro,IF($D2217="","",IF(U2217="","UNKNOWN ITEM",IF(INDEX(Items!$O$5:$O$504,U2217)&lt;0,"NEG STOCK",IF(K2217&lt;INDEX(Items!$P$5:$P$504,U2217),"BELOW COST","OK")))),IF($D2217="","","PRO PLAN"))</f>
        <v/>
      </c>
      <c r="U2217" s="60" t="str">
        <f aca="false">IF(IsPro,IF($D2217="","",IFERROR(MATCH($D2217,Items!$A$5:$A$504,0),"")),"")</f>
        <v/>
      </c>
      <c r="V2217" s="60" t="str">
        <f aca="false">IF(IsPro,IF($C2217="","",IFERROR(MATCH($C2217,Parties!$A$5:$A$304,0),"")),"")</f>
        <v/>
      </c>
      <c r="W2217" s="60" t="str">
        <f aca="false">IF(IsPro,IF($B2217="","",IFERROR(VALUE(SUBSTITUTE($B2217,InvPrefix,"")),0)),"")</f>
        <v/>
      </c>
      <c r="X2217" s="61" t="str">
        <f aca="false">IF(IsPro,IF($D2217="","",IF(OR($H2217="",$H2217="Credit"),0,Q2217)),"")</f>
        <v/>
      </c>
    </row>
    <row r="2218" customFormat="false" ht="15" hidden="false" customHeight="false" outlineLevel="0" collapsed="false">
      <c r="A2218" s="55"/>
      <c r="B2218" s="56"/>
      <c r="C2218" s="56"/>
      <c r="D2218" s="56"/>
      <c r="E2218" s="57"/>
      <c r="F2218" s="58"/>
      <c r="G2218" s="59"/>
      <c r="H2218" s="56"/>
      <c r="I2218" s="56"/>
      <c r="J2218" s="60" t="str">
        <f aca="false">IF(IsPro,IF($D2218="","",IFERROR(INDEX(Items!$D$5:$D$504,U2218),"")),"")</f>
        <v/>
      </c>
      <c r="K2218" s="61" t="str">
        <f aca="false">IF(IsPro,IF($D2218="","",IF($F2218="",IFERROR(INDEX(Items!$H$5:$H$504,U2218),0),$F2218)),"")</f>
        <v/>
      </c>
      <c r="L2218" s="61" t="str">
        <f aca="false">IF(IsPro,IF($D2218="","",ROUND(N($E2218)*K2218*(1-N($G2218)),2)),"")</f>
        <v/>
      </c>
      <c r="M2218" s="62" t="str">
        <f aca="false">IF(IsPro,IF($D2218="","",IFERROR(INDEX(Items!$F$5:$F$504,U2218),0)),"")</f>
        <v/>
      </c>
      <c r="N2218" s="61" t="str">
        <f aca="false">IF(IsPro,IF($D2218="","",IF(AND(V2218&lt;&gt;"",INDEX(Parties!$E$5:$E$304,V2218)&lt;&gt;"",INDEX(Parties!$E$5:$E$304,V2218)&lt;&gt;HomeState),0,ROUND(L2218*M2218/2,2))),"")</f>
        <v/>
      </c>
      <c r="O2218" s="61" t="str">
        <f aca="false">IF(IsPro,IF($D2218="","",N2218),"")</f>
        <v/>
      </c>
      <c r="P2218" s="61" t="str">
        <f aca="false">IF(IsPro,IF($D2218="","",IF(AND(V2218&lt;&gt;"",INDEX(Parties!$E$5:$E$304,V2218)&lt;&gt;"",INDEX(Parties!$E$5:$E$304,V2218)&lt;&gt;HomeState),ROUND(L2218*M2218,2),0)),"")</f>
        <v/>
      </c>
      <c r="Q2218" s="61" t="str">
        <f aca="false">IF(IsPro,IF($D2218="","",L2218+N2218+O2218+P2218),"")</f>
        <v/>
      </c>
      <c r="R2218" s="61" t="str">
        <f aca="false">IF(IsPro,IF($D2218="","",ROUND(N($E2218)*IFERROR(INDEX(Items!$P$5:$P$504,U2218),0),2)),"")</f>
        <v/>
      </c>
      <c r="S2218" s="61" t="str">
        <f aca="false">IF(IsPro,IF($D2218="","",L2218-R2218),"")</f>
        <v/>
      </c>
      <c r="T2218" s="60" t="str">
        <f aca="false">IF(IsPro,IF($D2218="","",IF(U2218="","UNKNOWN ITEM",IF(INDEX(Items!$O$5:$O$504,U2218)&lt;0,"NEG STOCK",IF(K2218&lt;INDEX(Items!$P$5:$P$504,U2218),"BELOW COST","OK")))),IF($D2218="","","PRO PLAN"))</f>
        <v/>
      </c>
      <c r="U2218" s="60" t="str">
        <f aca="false">IF(IsPro,IF($D2218="","",IFERROR(MATCH($D2218,Items!$A$5:$A$504,0),"")),"")</f>
        <v/>
      </c>
      <c r="V2218" s="60" t="str">
        <f aca="false">IF(IsPro,IF($C2218="","",IFERROR(MATCH($C2218,Parties!$A$5:$A$304,0),"")),"")</f>
        <v/>
      </c>
      <c r="W2218" s="60" t="str">
        <f aca="false">IF(IsPro,IF($B2218="","",IFERROR(VALUE(SUBSTITUTE($B2218,InvPrefix,"")),0)),"")</f>
        <v/>
      </c>
      <c r="X2218" s="61" t="str">
        <f aca="false">IF(IsPro,IF($D2218="","",IF(OR($H2218="",$H2218="Credit"),0,Q2218)),"")</f>
        <v/>
      </c>
    </row>
    <row r="2219" customFormat="false" ht="15" hidden="false" customHeight="false" outlineLevel="0" collapsed="false">
      <c r="A2219" s="55"/>
      <c r="B2219" s="56"/>
      <c r="C2219" s="56"/>
      <c r="D2219" s="56"/>
      <c r="E2219" s="57"/>
      <c r="F2219" s="58"/>
      <c r="G2219" s="59"/>
      <c r="H2219" s="56"/>
      <c r="I2219" s="56"/>
      <c r="J2219" s="60" t="str">
        <f aca="false">IF(IsPro,IF($D2219="","",IFERROR(INDEX(Items!$D$5:$D$504,U2219),"")),"")</f>
        <v/>
      </c>
      <c r="K2219" s="61" t="str">
        <f aca="false">IF(IsPro,IF($D2219="","",IF($F2219="",IFERROR(INDEX(Items!$H$5:$H$504,U2219),0),$F2219)),"")</f>
        <v/>
      </c>
      <c r="L2219" s="61" t="str">
        <f aca="false">IF(IsPro,IF($D2219="","",ROUND(N($E2219)*K2219*(1-N($G2219)),2)),"")</f>
        <v/>
      </c>
      <c r="M2219" s="62" t="str">
        <f aca="false">IF(IsPro,IF($D2219="","",IFERROR(INDEX(Items!$F$5:$F$504,U2219),0)),"")</f>
        <v/>
      </c>
      <c r="N2219" s="61" t="str">
        <f aca="false">IF(IsPro,IF($D2219="","",IF(AND(V2219&lt;&gt;"",INDEX(Parties!$E$5:$E$304,V2219)&lt;&gt;"",INDEX(Parties!$E$5:$E$304,V2219)&lt;&gt;HomeState),0,ROUND(L2219*M2219/2,2))),"")</f>
        <v/>
      </c>
      <c r="O2219" s="61" t="str">
        <f aca="false">IF(IsPro,IF($D2219="","",N2219),"")</f>
        <v/>
      </c>
      <c r="P2219" s="61" t="str">
        <f aca="false">IF(IsPro,IF($D2219="","",IF(AND(V2219&lt;&gt;"",INDEX(Parties!$E$5:$E$304,V2219)&lt;&gt;"",INDEX(Parties!$E$5:$E$304,V2219)&lt;&gt;HomeState),ROUND(L2219*M2219,2),0)),"")</f>
        <v/>
      </c>
      <c r="Q2219" s="61" t="str">
        <f aca="false">IF(IsPro,IF($D2219="","",L2219+N2219+O2219+P2219),"")</f>
        <v/>
      </c>
      <c r="R2219" s="61" t="str">
        <f aca="false">IF(IsPro,IF($D2219="","",ROUND(N($E2219)*IFERROR(INDEX(Items!$P$5:$P$504,U2219),0),2)),"")</f>
        <v/>
      </c>
      <c r="S2219" s="61" t="str">
        <f aca="false">IF(IsPro,IF($D2219="","",L2219-R2219),"")</f>
        <v/>
      </c>
      <c r="T2219" s="60" t="str">
        <f aca="false">IF(IsPro,IF($D2219="","",IF(U2219="","UNKNOWN ITEM",IF(INDEX(Items!$O$5:$O$504,U2219)&lt;0,"NEG STOCK",IF(K2219&lt;INDEX(Items!$P$5:$P$504,U2219),"BELOW COST","OK")))),IF($D2219="","","PRO PLAN"))</f>
        <v/>
      </c>
      <c r="U2219" s="60" t="str">
        <f aca="false">IF(IsPro,IF($D2219="","",IFERROR(MATCH($D2219,Items!$A$5:$A$504,0),"")),"")</f>
        <v/>
      </c>
      <c r="V2219" s="60" t="str">
        <f aca="false">IF(IsPro,IF($C2219="","",IFERROR(MATCH($C2219,Parties!$A$5:$A$304,0),"")),"")</f>
        <v/>
      </c>
      <c r="W2219" s="60" t="str">
        <f aca="false">IF(IsPro,IF($B2219="","",IFERROR(VALUE(SUBSTITUTE($B2219,InvPrefix,"")),0)),"")</f>
        <v/>
      </c>
      <c r="X2219" s="61" t="str">
        <f aca="false">IF(IsPro,IF($D2219="","",IF(OR($H2219="",$H2219="Credit"),0,Q2219)),"")</f>
        <v/>
      </c>
    </row>
    <row r="2220" customFormat="false" ht="15" hidden="false" customHeight="false" outlineLevel="0" collapsed="false">
      <c r="A2220" s="55"/>
      <c r="B2220" s="56"/>
      <c r="C2220" s="56"/>
      <c r="D2220" s="56"/>
      <c r="E2220" s="57"/>
      <c r="F2220" s="58"/>
      <c r="G2220" s="59"/>
      <c r="H2220" s="56"/>
      <c r="I2220" s="56"/>
      <c r="J2220" s="60" t="str">
        <f aca="false">IF(IsPro,IF($D2220="","",IFERROR(INDEX(Items!$D$5:$D$504,U2220),"")),"")</f>
        <v/>
      </c>
      <c r="K2220" s="61" t="str">
        <f aca="false">IF(IsPro,IF($D2220="","",IF($F2220="",IFERROR(INDEX(Items!$H$5:$H$504,U2220),0),$F2220)),"")</f>
        <v/>
      </c>
      <c r="L2220" s="61" t="str">
        <f aca="false">IF(IsPro,IF($D2220="","",ROUND(N($E2220)*K2220*(1-N($G2220)),2)),"")</f>
        <v/>
      </c>
      <c r="M2220" s="62" t="str">
        <f aca="false">IF(IsPro,IF($D2220="","",IFERROR(INDEX(Items!$F$5:$F$504,U2220),0)),"")</f>
        <v/>
      </c>
      <c r="N2220" s="61" t="str">
        <f aca="false">IF(IsPro,IF($D2220="","",IF(AND(V2220&lt;&gt;"",INDEX(Parties!$E$5:$E$304,V2220)&lt;&gt;"",INDEX(Parties!$E$5:$E$304,V2220)&lt;&gt;HomeState),0,ROUND(L2220*M2220/2,2))),"")</f>
        <v/>
      </c>
      <c r="O2220" s="61" t="str">
        <f aca="false">IF(IsPro,IF($D2220="","",N2220),"")</f>
        <v/>
      </c>
      <c r="P2220" s="61" t="str">
        <f aca="false">IF(IsPro,IF($D2220="","",IF(AND(V2220&lt;&gt;"",INDEX(Parties!$E$5:$E$304,V2220)&lt;&gt;"",INDEX(Parties!$E$5:$E$304,V2220)&lt;&gt;HomeState),ROUND(L2220*M2220,2),0)),"")</f>
        <v/>
      </c>
      <c r="Q2220" s="61" t="str">
        <f aca="false">IF(IsPro,IF($D2220="","",L2220+N2220+O2220+P2220),"")</f>
        <v/>
      </c>
      <c r="R2220" s="61" t="str">
        <f aca="false">IF(IsPro,IF($D2220="","",ROUND(N($E2220)*IFERROR(INDEX(Items!$P$5:$P$504,U2220),0),2)),"")</f>
        <v/>
      </c>
      <c r="S2220" s="61" t="str">
        <f aca="false">IF(IsPro,IF($D2220="","",L2220-R2220),"")</f>
        <v/>
      </c>
      <c r="T2220" s="60" t="str">
        <f aca="false">IF(IsPro,IF($D2220="","",IF(U2220="","UNKNOWN ITEM",IF(INDEX(Items!$O$5:$O$504,U2220)&lt;0,"NEG STOCK",IF(K2220&lt;INDEX(Items!$P$5:$P$504,U2220),"BELOW COST","OK")))),IF($D2220="","","PRO PLAN"))</f>
        <v/>
      </c>
      <c r="U2220" s="60" t="str">
        <f aca="false">IF(IsPro,IF($D2220="","",IFERROR(MATCH($D2220,Items!$A$5:$A$504,0),"")),"")</f>
        <v/>
      </c>
      <c r="V2220" s="60" t="str">
        <f aca="false">IF(IsPro,IF($C2220="","",IFERROR(MATCH($C2220,Parties!$A$5:$A$304,0),"")),"")</f>
        <v/>
      </c>
      <c r="W2220" s="60" t="str">
        <f aca="false">IF(IsPro,IF($B2220="","",IFERROR(VALUE(SUBSTITUTE($B2220,InvPrefix,"")),0)),"")</f>
        <v/>
      </c>
      <c r="X2220" s="61" t="str">
        <f aca="false">IF(IsPro,IF($D2220="","",IF(OR($H2220="",$H2220="Credit"),0,Q2220)),"")</f>
        <v/>
      </c>
    </row>
    <row r="2221" customFormat="false" ht="15" hidden="false" customHeight="false" outlineLevel="0" collapsed="false">
      <c r="A2221" s="55"/>
      <c r="B2221" s="56"/>
      <c r="C2221" s="56"/>
      <c r="D2221" s="56"/>
      <c r="E2221" s="57"/>
      <c r="F2221" s="58"/>
      <c r="G2221" s="59"/>
      <c r="H2221" s="56"/>
      <c r="I2221" s="56"/>
      <c r="J2221" s="60" t="str">
        <f aca="false">IF(IsPro,IF($D2221="","",IFERROR(INDEX(Items!$D$5:$D$504,U2221),"")),"")</f>
        <v/>
      </c>
      <c r="K2221" s="61" t="str">
        <f aca="false">IF(IsPro,IF($D2221="","",IF($F2221="",IFERROR(INDEX(Items!$H$5:$H$504,U2221),0),$F2221)),"")</f>
        <v/>
      </c>
      <c r="L2221" s="61" t="str">
        <f aca="false">IF(IsPro,IF($D2221="","",ROUND(N($E2221)*K2221*(1-N($G2221)),2)),"")</f>
        <v/>
      </c>
      <c r="M2221" s="62" t="str">
        <f aca="false">IF(IsPro,IF($D2221="","",IFERROR(INDEX(Items!$F$5:$F$504,U2221),0)),"")</f>
        <v/>
      </c>
      <c r="N2221" s="61" t="str">
        <f aca="false">IF(IsPro,IF($D2221="","",IF(AND(V2221&lt;&gt;"",INDEX(Parties!$E$5:$E$304,V2221)&lt;&gt;"",INDEX(Parties!$E$5:$E$304,V2221)&lt;&gt;HomeState),0,ROUND(L2221*M2221/2,2))),"")</f>
        <v/>
      </c>
      <c r="O2221" s="61" t="str">
        <f aca="false">IF(IsPro,IF($D2221="","",N2221),"")</f>
        <v/>
      </c>
      <c r="P2221" s="61" t="str">
        <f aca="false">IF(IsPro,IF($D2221="","",IF(AND(V2221&lt;&gt;"",INDEX(Parties!$E$5:$E$304,V2221)&lt;&gt;"",INDEX(Parties!$E$5:$E$304,V2221)&lt;&gt;HomeState),ROUND(L2221*M2221,2),0)),"")</f>
        <v/>
      </c>
      <c r="Q2221" s="61" t="str">
        <f aca="false">IF(IsPro,IF($D2221="","",L2221+N2221+O2221+P2221),"")</f>
        <v/>
      </c>
      <c r="R2221" s="61" t="str">
        <f aca="false">IF(IsPro,IF($D2221="","",ROUND(N($E2221)*IFERROR(INDEX(Items!$P$5:$P$504,U2221),0),2)),"")</f>
        <v/>
      </c>
      <c r="S2221" s="61" t="str">
        <f aca="false">IF(IsPro,IF($D2221="","",L2221-R2221),"")</f>
        <v/>
      </c>
      <c r="T2221" s="60" t="str">
        <f aca="false">IF(IsPro,IF($D2221="","",IF(U2221="","UNKNOWN ITEM",IF(INDEX(Items!$O$5:$O$504,U2221)&lt;0,"NEG STOCK",IF(K2221&lt;INDEX(Items!$P$5:$P$504,U2221),"BELOW COST","OK")))),IF($D2221="","","PRO PLAN"))</f>
        <v/>
      </c>
      <c r="U2221" s="60" t="str">
        <f aca="false">IF(IsPro,IF($D2221="","",IFERROR(MATCH($D2221,Items!$A$5:$A$504,0),"")),"")</f>
        <v/>
      </c>
      <c r="V2221" s="60" t="str">
        <f aca="false">IF(IsPro,IF($C2221="","",IFERROR(MATCH($C2221,Parties!$A$5:$A$304,0),"")),"")</f>
        <v/>
      </c>
      <c r="W2221" s="60" t="str">
        <f aca="false">IF(IsPro,IF($B2221="","",IFERROR(VALUE(SUBSTITUTE($B2221,InvPrefix,"")),0)),"")</f>
        <v/>
      </c>
      <c r="X2221" s="61" t="str">
        <f aca="false">IF(IsPro,IF($D2221="","",IF(OR($H2221="",$H2221="Credit"),0,Q2221)),"")</f>
        <v/>
      </c>
    </row>
    <row r="2222" customFormat="false" ht="15" hidden="false" customHeight="false" outlineLevel="0" collapsed="false">
      <c r="A2222" s="55"/>
      <c r="B2222" s="56"/>
      <c r="C2222" s="56"/>
      <c r="D2222" s="56"/>
      <c r="E2222" s="57"/>
      <c r="F2222" s="58"/>
      <c r="G2222" s="59"/>
      <c r="H2222" s="56"/>
      <c r="I2222" s="56"/>
      <c r="J2222" s="60" t="str">
        <f aca="false">IF(IsPro,IF($D2222="","",IFERROR(INDEX(Items!$D$5:$D$504,U2222),"")),"")</f>
        <v/>
      </c>
      <c r="K2222" s="61" t="str">
        <f aca="false">IF(IsPro,IF($D2222="","",IF($F2222="",IFERROR(INDEX(Items!$H$5:$H$504,U2222),0),$F2222)),"")</f>
        <v/>
      </c>
      <c r="L2222" s="61" t="str">
        <f aca="false">IF(IsPro,IF($D2222="","",ROUND(N($E2222)*K2222*(1-N($G2222)),2)),"")</f>
        <v/>
      </c>
      <c r="M2222" s="62" t="str">
        <f aca="false">IF(IsPro,IF($D2222="","",IFERROR(INDEX(Items!$F$5:$F$504,U2222),0)),"")</f>
        <v/>
      </c>
      <c r="N2222" s="61" t="str">
        <f aca="false">IF(IsPro,IF($D2222="","",IF(AND(V2222&lt;&gt;"",INDEX(Parties!$E$5:$E$304,V2222)&lt;&gt;"",INDEX(Parties!$E$5:$E$304,V2222)&lt;&gt;HomeState),0,ROUND(L2222*M2222/2,2))),"")</f>
        <v/>
      </c>
      <c r="O2222" s="61" t="str">
        <f aca="false">IF(IsPro,IF($D2222="","",N2222),"")</f>
        <v/>
      </c>
      <c r="P2222" s="61" t="str">
        <f aca="false">IF(IsPro,IF($D2222="","",IF(AND(V2222&lt;&gt;"",INDEX(Parties!$E$5:$E$304,V2222)&lt;&gt;"",INDEX(Parties!$E$5:$E$304,V2222)&lt;&gt;HomeState),ROUND(L2222*M2222,2),0)),"")</f>
        <v/>
      </c>
      <c r="Q2222" s="61" t="str">
        <f aca="false">IF(IsPro,IF($D2222="","",L2222+N2222+O2222+P2222),"")</f>
        <v/>
      </c>
      <c r="R2222" s="61" t="str">
        <f aca="false">IF(IsPro,IF($D2222="","",ROUND(N($E2222)*IFERROR(INDEX(Items!$P$5:$P$504,U2222),0),2)),"")</f>
        <v/>
      </c>
      <c r="S2222" s="61" t="str">
        <f aca="false">IF(IsPro,IF($D2222="","",L2222-R2222),"")</f>
        <v/>
      </c>
      <c r="T2222" s="60" t="str">
        <f aca="false">IF(IsPro,IF($D2222="","",IF(U2222="","UNKNOWN ITEM",IF(INDEX(Items!$O$5:$O$504,U2222)&lt;0,"NEG STOCK",IF(K2222&lt;INDEX(Items!$P$5:$P$504,U2222),"BELOW COST","OK")))),IF($D2222="","","PRO PLAN"))</f>
        <v/>
      </c>
      <c r="U2222" s="60" t="str">
        <f aca="false">IF(IsPro,IF($D2222="","",IFERROR(MATCH($D2222,Items!$A$5:$A$504,0),"")),"")</f>
        <v/>
      </c>
      <c r="V2222" s="60" t="str">
        <f aca="false">IF(IsPro,IF($C2222="","",IFERROR(MATCH($C2222,Parties!$A$5:$A$304,0),"")),"")</f>
        <v/>
      </c>
      <c r="W2222" s="60" t="str">
        <f aca="false">IF(IsPro,IF($B2222="","",IFERROR(VALUE(SUBSTITUTE($B2222,InvPrefix,"")),0)),"")</f>
        <v/>
      </c>
      <c r="X2222" s="61" t="str">
        <f aca="false">IF(IsPro,IF($D2222="","",IF(OR($H2222="",$H2222="Credit"),0,Q2222)),"")</f>
        <v/>
      </c>
    </row>
    <row r="2223" customFormat="false" ht="15" hidden="false" customHeight="false" outlineLevel="0" collapsed="false">
      <c r="A2223" s="55"/>
      <c r="B2223" s="56"/>
      <c r="C2223" s="56"/>
      <c r="D2223" s="56"/>
      <c r="E2223" s="57"/>
      <c r="F2223" s="58"/>
      <c r="G2223" s="59"/>
      <c r="H2223" s="56"/>
      <c r="I2223" s="56"/>
      <c r="J2223" s="60" t="str">
        <f aca="false">IF(IsPro,IF($D2223="","",IFERROR(INDEX(Items!$D$5:$D$504,U2223),"")),"")</f>
        <v/>
      </c>
      <c r="K2223" s="61" t="str">
        <f aca="false">IF(IsPro,IF($D2223="","",IF($F2223="",IFERROR(INDEX(Items!$H$5:$H$504,U2223),0),$F2223)),"")</f>
        <v/>
      </c>
      <c r="L2223" s="61" t="str">
        <f aca="false">IF(IsPro,IF($D2223="","",ROUND(N($E2223)*K2223*(1-N($G2223)),2)),"")</f>
        <v/>
      </c>
      <c r="M2223" s="62" t="str">
        <f aca="false">IF(IsPro,IF($D2223="","",IFERROR(INDEX(Items!$F$5:$F$504,U2223),0)),"")</f>
        <v/>
      </c>
      <c r="N2223" s="61" t="str">
        <f aca="false">IF(IsPro,IF($D2223="","",IF(AND(V2223&lt;&gt;"",INDEX(Parties!$E$5:$E$304,V2223)&lt;&gt;"",INDEX(Parties!$E$5:$E$304,V2223)&lt;&gt;HomeState),0,ROUND(L2223*M2223/2,2))),"")</f>
        <v/>
      </c>
      <c r="O2223" s="61" t="str">
        <f aca="false">IF(IsPro,IF($D2223="","",N2223),"")</f>
        <v/>
      </c>
      <c r="P2223" s="61" t="str">
        <f aca="false">IF(IsPro,IF($D2223="","",IF(AND(V2223&lt;&gt;"",INDEX(Parties!$E$5:$E$304,V2223)&lt;&gt;"",INDEX(Parties!$E$5:$E$304,V2223)&lt;&gt;HomeState),ROUND(L2223*M2223,2),0)),"")</f>
        <v/>
      </c>
      <c r="Q2223" s="61" t="str">
        <f aca="false">IF(IsPro,IF($D2223="","",L2223+N2223+O2223+P2223),"")</f>
        <v/>
      </c>
      <c r="R2223" s="61" t="str">
        <f aca="false">IF(IsPro,IF($D2223="","",ROUND(N($E2223)*IFERROR(INDEX(Items!$P$5:$P$504,U2223),0),2)),"")</f>
        <v/>
      </c>
      <c r="S2223" s="61" t="str">
        <f aca="false">IF(IsPro,IF($D2223="","",L2223-R2223),"")</f>
        <v/>
      </c>
      <c r="T2223" s="60" t="str">
        <f aca="false">IF(IsPro,IF($D2223="","",IF(U2223="","UNKNOWN ITEM",IF(INDEX(Items!$O$5:$O$504,U2223)&lt;0,"NEG STOCK",IF(K2223&lt;INDEX(Items!$P$5:$P$504,U2223),"BELOW COST","OK")))),IF($D2223="","","PRO PLAN"))</f>
        <v/>
      </c>
      <c r="U2223" s="60" t="str">
        <f aca="false">IF(IsPro,IF($D2223="","",IFERROR(MATCH($D2223,Items!$A$5:$A$504,0),"")),"")</f>
        <v/>
      </c>
      <c r="V2223" s="60" t="str">
        <f aca="false">IF(IsPro,IF($C2223="","",IFERROR(MATCH($C2223,Parties!$A$5:$A$304,0),"")),"")</f>
        <v/>
      </c>
      <c r="W2223" s="60" t="str">
        <f aca="false">IF(IsPro,IF($B2223="","",IFERROR(VALUE(SUBSTITUTE($B2223,InvPrefix,"")),0)),"")</f>
        <v/>
      </c>
      <c r="X2223" s="61" t="str">
        <f aca="false">IF(IsPro,IF($D2223="","",IF(OR($H2223="",$H2223="Credit"),0,Q2223)),"")</f>
        <v/>
      </c>
    </row>
    <row r="2224" customFormat="false" ht="15" hidden="false" customHeight="false" outlineLevel="0" collapsed="false">
      <c r="A2224" s="55"/>
      <c r="B2224" s="56"/>
      <c r="C2224" s="56"/>
      <c r="D2224" s="56"/>
      <c r="E2224" s="57"/>
      <c r="F2224" s="58"/>
      <c r="G2224" s="59"/>
      <c r="H2224" s="56"/>
      <c r="I2224" s="56"/>
      <c r="J2224" s="60" t="str">
        <f aca="false">IF(IsPro,IF($D2224="","",IFERROR(INDEX(Items!$D$5:$D$504,U2224),"")),"")</f>
        <v/>
      </c>
      <c r="K2224" s="61" t="str">
        <f aca="false">IF(IsPro,IF($D2224="","",IF($F2224="",IFERROR(INDEX(Items!$H$5:$H$504,U2224),0),$F2224)),"")</f>
        <v/>
      </c>
      <c r="L2224" s="61" t="str">
        <f aca="false">IF(IsPro,IF($D2224="","",ROUND(N($E2224)*K2224*(1-N($G2224)),2)),"")</f>
        <v/>
      </c>
      <c r="M2224" s="62" t="str">
        <f aca="false">IF(IsPro,IF($D2224="","",IFERROR(INDEX(Items!$F$5:$F$504,U2224),0)),"")</f>
        <v/>
      </c>
      <c r="N2224" s="61" t="str">
        <f aca="false">IF(IsPro,IF($D2224="","",IF(AND(V2224&lt;&gt;"",INDEX(Parties!$E$5:$E$304,V2224)&lt;&gt;"",INDEX(Parties!$E$5:$E$304,V2224)&lt;&gt;HomeState),0,ROUND(L2224*M2224/2,2))),"")</f>
        <v/>
      </c>
      <c r="O2224" s="61" t="str">
        <f aca="false">IF(IsPro,IF($D2224="","",N2224),"")</f>
        <v/>
      </c>
      <c r="P2224" s="61" t="str">
        <f aca="false">IF(IsPro,IF($D2224="","",IF(AND(V2224&lt;&gt;"",INDEX(Parties!$E$5:$E$304,V2224)&lt;&gt;"",INDEX(Parties!$E$5:$E$304,V2224)&lt;&gt;HomeState),ROUND(L2224*M2224,2),0)),"")</f>
        <v/>
      </c>
      <c r="Q2224" s="61" t="str">
        <f aca="false">IF(IsPro,IF($D2224="","",L2224+N2224+O2224+P2224),"")</f>
        <v/>
      </c>
      <c r="R2224" s="61" t="str">
        <f aca="false">IF(IsPro,IF($D2224="","",ROUND(N($E2224)*IFERROR(INDEX(Items!$P$5:$P$504,U2224),0),2)),"")</f>
        <v/>
      </c>
      <c r="S2224" s="61" t="str">
        <f aca="false">IF(IsPro,IF($D2224="","",L2224-R2224),"")</f>
        <v/>
      </c>
      <c r="T2224" s="60" t="str">
        <f aca="false">IF(IsPro,IF($D2224="","",IF(U2224="","UNKNOWN ITEM",IF(INDEX(Items!$O$5:$O$504,U2224)&lt;0,"NEG STOCK",IF(K2224&lt;INDEX(Items!$P$5:$P$504,U2224),"BELOW COST","OK")))),IF($D2224="","","PRO PLAN"))</f>
        <v/>
      </c>
      <c r="U2224" s="60" t="str">
        <f aca="false">IF(IsPro,IF($D2224="","",IFERROR(MATCH($D2224,Items!$A$5:$A$504,0),"")),"")</f>
        <v/>
      </c>
      <c r="V2224" s="60" t="str">
        <f aca="false">IF(IsPro,IF($C2224="","",IFERROR(MATCH($C2224,Parties!$A$5:$A$304,0),"")),"")</f>
        <v/>
      </c>
      <c r="W2224" s="60" t="str">
        <f aca="false">IF(IsPro,IF($B2224="","",IFERROR(VALUE(SUBSTITUTE($B2224,InvPrefix,"")),0)),"")</f>
        <v/>
      </c>
      <c r="X2224" s="61" t="str">
        <f aca="false">IF(IsPro,IF($D2224="","",IF(OR($H2224="",$H2224="Credit"),0,Q2224)),"")</f>
        <v/>
      </c>
    </row>
    <row r="2225" customFormat="false" ht="15" hidden="false" customHeight="false" outlineLevel="0" collapsed="false">
      <c r="A2225" s="55"/>
      <c r="B2225" s="56"/>
      <c r="C2225" s="56"/>
      <c r="D2225" s="56"/>
      <c r="E2225" s="57"/>
      <c r="F2225" s="58"/>
      <c r="G2225" s="59"/>
      <c r="H2225" s="56"/>
      <c r="I2225" s="56"/>
      <c r="J2225" s="60" t="str">
        <f aca="false">IF(IsPro,IF($D2225="","",IFERROR(INDEX(Items!$D$5:$D$504,U2225),"")),"")</f>
        <v/>
      </c>
      <c r="K2225" s="61" t="str">
        <f aca="false">IF(IsPro,IF($D2225="","",IF($F2225="",IFERROR(INDEX(Items!$H$5:$H$504,U2225),0),$F2225)),"")</f>
        <v/>
      </c>
      <c r="L2225" s="61" t="str">
        <f aca="false">IF(IsPro,IF($D2225="","",ROUND(N($E2225)*K2225*(1-N($G2225)),2)),"")</f>
        <v/>
      </c>
      <c r="M2225" s="62" t="str">
        <f aca="false">IF(IsPro,IF($D2225="","",IFERROR(INDEX(Items!$F$5:$F$504,U2225),0)),"")</f>
        <v/>
      </c>
      <c r="N2225" s="61" t="str">
        <f aca="false">IF(IsPro,IF($D2225="","",IF(AND(V2225&lt;&gt;"",INDEX(Parties!$E$5:$E$304,V2225)&lt;&gt;"",INDEX(Parties!$E$5:$E$304,V2225)&lt;&gt;HomeState),0,ROUND(L2225*M2225/2,2))),"")</f>
        <v/>
      </c>
      <c r="O2225" s="61" t="str">
        <f aca="false">IF(IsPro,IF($D2225="","",N2225),"")</f>
        <v/>
      </c>
      <c r="P2225" s="61" t="str">
        <f aca="false">IF(IsPro,IF($D2225="","",IF(AND(V2225&lt;&gt;"",INDEX(Parties!$E$5:$E$304,V2225)&lt;&gt;"",INDEX(Parties!$E$5:$E$304,V2225)&lt;&gt;HomeState),ROUND(L2225*M2225,2),0)),"")</f>
        <v/>
      </c>
      <c r="Q2225" s="61" t="str">
        <f aca="false">IF(IsPro,IF($D2225="","",L2225+N2225+O2225+P2225),"")</f>
        <v/>
      </c>
      <c r="R2225" s="61" t="str">
        <f aca="false">IF(IsPro,IF($D2225="","",ROUND(N($E2225)*IFERROR(INDEX(Items!$P$5:$P$504,U2225),0),2)),"")</f>
        <v/>
      </c>
      <c r="S2225" s="61" t="str">
        <f aca="false">IF(IsPro,IF($D2225="","",L2225-R2225),"")</f>
        <v/>
      </c>
      <c r="T2225" s="60" t="str">
        <f aca="false">IF(IsPro,IF($D2225="","",IF(U2225="","UNKNOWN ITEM",IF(INDEX(Items!$O$5:$O$504,U2225)&lt;0,"NEG STOCK",IF(K2225&lt;INDEX(Items!$P$5:$P$504,U2225),"BELOW COST","OK")))),IF($D2225="","","PRO PLAN"))</f>
        <v/>
      </c>
      <c r="U2225" s="60" t="str">
        <f aca="false">IF(IsPro,IF($D2225="","",IFERROR(MATCH($D2225,Items!$A$5:$A$504,0),"")),"")</f>
        <v/>
      </c>
      <c r="V2225" s="60" t="str">
        <f aca="false">IF(IsPro,IF($C2225="","",IFERROR(MATCH($C2225,Parties!$A$5:$A$304,0),"")),"")</f>
        <v/>
      </c>
      <c r="W2225" s="60" t="str">
        <f aca="false">IF(IsPro,IF($B2225="","",IFERROR(VALUE(SUBSTITUTE($B2225,InvPrefix,"")),0)),"")</f>
        <v/>
      </c>
      <c r="X2225" s="61" t="str">
        <f aca="false">IF(IsPro,IF($D2225="","",IF(OR($H2225="",$H2225="Credit"),0,Q2225)),"")</f>
        <v/>
      </c>
    </row>
    <row r="2226" customFormat="false" ht="15" hidden="false" customHeight="false" outlineLevel="0" collapsed="false">
      <c r="A2226" s="55"/>
      <c r="B2226" s="56"/>
      <c r="C2226" s="56"/>
      <c r="D2226" s="56"/>
      <c r="E2226" s="57"/>
      <c r="F2226" s="58"/>
      <c r="G2226" s="59"/>
      <c r="H2226" s="56"/>
      <c r="I2226" s="56"/>
      <c r="J2226" s="60" t="str">
        <f aca="false">IF(IsPro,IF($D2226="","",IFERROR(INDEX(Items!$D$5:$D$504,U2226),"")),"")</f>
        <v/>
      </c>
      <c r="K2226" s="61" t="str">
        <f aca="false">IF(IsPro,IF($D2226="","",IF($F2226="",IFERROR(INDEX(Items!$H$5:$H$504,U2226),0),$F2226)),"")</f>
        <v/>
      </c>
      <c r="L2226" s="61" t="str">
        <f aca="false">IF(IsPro,IF($D2226="","",ROUND(N($E2226)*K2226*(1-N($G2226)),2)),"")</f>
        <v/>
      </c>
      <c r="M2226" s="62" t="str">
        <f aca="false">IF(IsPro,IF($D2226="","",IFERROR(INDEX(Items!$F$5:$F$504,U2226),0)),"")</f>
        <v/>
      </c>
      <c r="N2226" s="61" t="str">
        <f aca="false">IF(IsPro,IF($D2226="","",IF(AND(V2226&lt;&gt;"",INDEX(Parties!$E$5:$E$304,V2226)&lt;&gt;"",INDEX(Parties!$E$5:$E$304,V2226)&lt;&gt;HomeState),0,ROUND(L2226*M2226/2,2))),"")</f>
        <v/>
      </c>
      <c r="O2226" s="61" t="str">
        <f aca="false">IF(IsPro,IF($D2226="","",N2226),"")</f>
        <v/>
      </c>
      <c r="P2226" s="61" t="str">
        <f aca="false">IF(IsPro,IF($D2226="","",IF(AND(V2226&lt;&gt;"",INDEX(Parties!$E$5:$E$304,V2226)&lt;&gt;"",INDEX(Parties!$E$5:$E$304,V2226)&lt;&gt;HomeState),ROUND(L2226*M2226,2),0)),"")</f>
        <v/>
      </c>
      <c r="Q2226" s="61" t="str">
        <f aca="false">IF(IsPro,IF($D2226="","",L2226+N2226+O2226+P2226),"")</f>
        <v/>
      </c>
      <c r="R2226" s="61" t="str">
        <f aca="false">IF(IsPro,IF($D2226="","",ROUND(N($E2226)*IFERROR(INDEX(Items!$P$5:$P$504,U2226),0),2)),"")</f>
        <v/>
      </c>
      <c r="S2226" s="61" t="str">
        <f aca="false">IF(IsPro,IF($D2226="","",L2226-R2226),"")</f>
        <v/>
      </c>
      <c r="T2226" s="60" t="str">
        <f aca="false">IF(IsPro,IF($D2226="","",IF(U2226="","UNKNOWN ITEM",IF(INDEX(Items!$O$5:$O$504,U2226)&lt;0,"NEG STOCK",IF(K2226&lt;INDEX(Items!$P$5:$P$504,U2226),"BELOW COST","OK")))),IF($D2226="","","PRO PLAN"))</f>
        <v/>
      </c>
      <c r="U2226" s="60" t="str">
        <f aca="false">IF(IsPro,IF($D2226="","",IFERROR(MATCH($D2226,Items!$A$5:$A$504,0),"")),"")</f>
        <v/>
      </c>
      <c r="V2226" s="60" t="str">
        <f aca="false">IF(IsPro,IF($C2226="","",IFERROR(MATCH($C2226,Parties!$A$5:$A$304,0),"")),"")</f>
        <v/>
      </c>
      <c r="W2226" s="60" t="str">
        <f aca="false">IF(IsPro,IF($B2226="","",IFERROR(VALUE(SUBSTITUTE($B2226,InvPrefix,"")),0)),"")</f>
        <v/>
      </c>
      <c r="X2226" s="61" t="str">
        <f aca="false">IF(IsPro,IF($D2226="","",IF(OR($H2226="",$H2226="Credit"),0,Q2226)),"")</f>
        <v/>
      </c>
    </row>
    <row r="2227" customFormat="false" ht="15" hidden="false" customHeight="false" outlineLevel="0" collapsed="false">
      <c r="A2227" s="55"/>
      <c r="B2227" s="56"/>
      <c r="C2227" s="56"/>
      <c r="D2227" s="56"/>
      <c r="E2227" s="57"/>
      <c r="F2227" s="58"/>
      <c r="G2227" s="59"/>
      <c r="H2227" s="56"/>
      <c r="I2227" s="56"/>
      <c r="J2227" s="60" t="str">
        <f aca="false">IF(IsPro,IF($D2227="","",IFERROR(INDEX(Items!$D$5:$D$504,U2227),"")),"")</f>
        <v/>
      </c>
      <c r="K2227" s="61" t="str">
        <f aca="false">IF(IsPro,IF($D2227="","",IF($F2227="",IFERROR(INDEX(Items!$H$5:$H$504,U2227),0),$F2227)),"")</f>
        <v/>
      </c>
      <c r="L2227" s="61" t="str">
        <f aca="false">IF(IsPro,IF($D2227="","",ROUND(N($E2227)*K2227*(1-N($G2227)),2)),"")</f>
        <v/>
      </c>
      <c r="M2227" s="62" t="str">
        <f aca="false">IF(IsPro,IF($D2227="","",IFERROR(INDEX(Items!$F$5:$F$504,U2227),0)),"")</f>
        <v/>
      </c>
      <c r="N2227" s="61" t="str">
        <f aca="false">IF(IsPro,IF($D2227="","",IF(AND(V2227&lt;&gt;"",INDEX(Parties!$E$5:$E$304,V2227)&lt;&gt;"",INDEX(Parties!$E$5:$E$304,V2227)&lt;&gt;HomeState),0,ROUND(L2227*M2227/2,2))),"")</f>
        <v/>
      </c>
      <c r="O2227" s="61" t="str">
        <f aca="false">IF(IsPro,IF($D2227="","",N2227),"")</f>
        <v/>
      </c>
      <c r="P2227" s="61" t="str">
        <f aca="false">IF(IsPro,IF($D2227="","",IF(AND(V2227&lt;&gt;"",INDEX(Parties!$E$5:$E$304,V2227)&lt;&gt;"",INDEX(Parties!$E$5:$E$304,V2227)&lt;&gt;HomeState),ROUND(L2227*M2227,2),0)),"")</f>
        <v/>
      </c>
      <c r="Q2227" s="61" t="str">
        <f aca="false">IF(IsPro,IF($D2227="","",L2227+N2227+O2227+P2227),"")</f>
        <v/>
      </c>
      <c r="R2227" s="61" t="str">
        <f aca="false">IF(IsPro,IF($D2227="","",ROUND(N($E2227)*IFERROR(INDEX(Items!$P$5:$P$504,U2227),0),2)),"")</f>
        <v/>
      </c>
      <c r="S2227" s="61" t="str">
        <f aca="false">IF(IsPro,IF($D2227="","",L2227-R2227),"")</f>
        <v/>
      </c>
      <c r="T2227" s="60" t="str">
        <f aca="false">IF(IsPro,IF($D2227="","",IF(U2227="","UNKNOWN ITEM",IF(INDEX(Items!$O$5:$O$504,U2227)&lt;0,"NEG STOCK",IF(K2227&lt;INDEX(Items!$P$5:$P$504,U2227),"BELOW COST","OK")))),IF($D2227="","","PRO PLAN"))</f>
        <v/>
      </c>
      <c r="U2227" s="60" t="str">
        <f aca="false">IF(IsPro,IF($D2227="","",IFERROR(MATCH($D2227,Items!$A$5:$A$504,0),"")),"")</f>
        <v/>
      </c>
      <c r="V2227" s="60" t="str">
        <f aca="false">IF(IsPro,IF($C2227="","",IFERROR(MATCH($C2227,Parties!$A$5:$A$304,0),"")),"")</f>
        <v/>
      </c>
      <c r="W2227" s="60" t="str">
        <f aca="false">IF(IsPro,IF($B2227="","",IFERROR(VALUE(SUBSTITUTE($B2227,InvPrefix,"")),0)),"")</f>
        <v/>
      </c>
      <c r="X2227" s="61" t="str">
        <f aca="false">IF(IsPro,IF($D2227="","",IF(OR($H2227="",$H2227="Credit"),0,Q2227)),"")</f>
        <v/>
      </c>
    </row>
    <row r="2228" customFormat="false" ht="15" hidden="false" customHeight="false" outlineLevel="0" collapsed="false">
      <c r="A2228" s="55"/>
      <c r="B2228" s="56"/>
      <c r="C2228" s="56"/>
      <c r="D2228" s="56"/>
      <c r="E2228" s="57"/>
      <c r="F2228" s="58"/>
      <c r="G2228" s="59"/>
      <c r="H2228" s="56"/>
      <c r="I2228" s="56"/>
      <c r="J2228" s="60" t="str">
        <f aca="false">IF(IsPro,IF($D2228="","",IFERROR(INDEX(Items!$D$5:$D$504,U2228),"")),"")</f>
        <v/>
      </c>
      <c r="K2228" s="61" t="str">
        <f aca="false">IF(IsPro,IF($D2228="","",IF($F2228="",IFERROR(INDEX(Items!$H$5:$H$504,U2228),0),$F2228)),"")</f>
        <v/>
      </c>
      <c r="L2228" s="61" t="str">
        <f aca="false">IF(IsPro,IF($D2228="","",ROUND(N($E2228)*K2228*(1-N($G2228)),2)),"")</f>
        <v/>
      </c>
      <c r="M2228" s="62" t="str">
        <f aca="false">IF(IsPro,IF($D2228="","",IFERROR(INDEX(Items!$F$5:$F$504,U2228),0)),"")</f>
        <v/>
      </c>
      <c r="N2228" s="61" t="str">
        <f aca="false">IF(IsPro,IF($D2228="","",IF(AND(V2228&lt;&gt;"",INDEX(Parties!$E$5:$E$304,V2228)&lt;&gt;"",INDEX(Parties!$E$5:$E$304,V2228)&lt;&gt;HomeState),0,ROUND(L2228*M2228/2,2))),"")</f>
        <v/>
      </c>
      <c r="O2228" s="61" t="str">
        <f aca="false">IF(IsPro,IF($D2228="","",N2228),"")</f>
        <v/>
      </c>
      <c r="P2228" s="61" t="str">
        <f aca="false">IF(IsPro,IF($D2228="","",IF(AND(V2228&lt;&gt;"",INDEX(Parties!$E$5:$E$304,V2228)&lt;&gt;"",INDEX(Parties!$E$5:$E$304,V2228)&lt;&gt;HomeState),ROUND(L2228*M2228,2),0)),"")</f>
        <v/>
      </c>
      <c r="Q2228" s="61" t="str">
        <f aca="false">IF(IsPro,IF($D2228="","",L2228+N2228+O2228+P2228),"")</f>
        <v/>
      </c>
      <c r="R2228" s="61" t="str">
        <f aca="false">IF(IsPro,IF($D2228="","",ROUND(N($E2228)*IFERROR(INDEX(Items!$P$5:$P$504,U2228),0),2)),"")</f>
        <v/>
      </c>
      <c r="S2228" s="61" t="str">
        <f aca="false">IF(IsPro,IF($D2228="","",L2228-R2228),"")</f>
        <v/>
      </c>
      <c r="T2228" s="60" t="str">
        <f aca="false">IF(IsPro,IF($D2228="","",IF(U2228="","UNKNOWN ITEM",IF(INDEX(Items!$O$5:$O$504,U2228)&lt;0,"NEG STOCK",IF(K2228&lt;INDEX(Items!$P$5:$P$504,U2228),"BELOW COST","OK")))),IF($D2228="","","PRO PLAN"))</f>
        <v/>
      </c>
      <c r="U2228" s="60" t="str">
        <f aca="false">IF(IsPro,IF($D2228="","",IFERROR(MATCH($D2228,Items!$A$5:$A$504,0),"")),"")</f>
        <v/>
      </c>
      <c r="V2228" s="60" t="str">
        <f aca="false">IF(IsPro,IF($C2228="","",IFERROR(MATCH($C2228,Parties!$A$5:$A$304,0),"")),"")</f>
        <v/>
      </c>
      <c r="W2228" s="60" t="str">
        <f aca="false">IF(IsPro,IF($B2228="","",IFERROR(VALUE(SUBSTITUTE($B2228,InvPrefix,"")),0)),"")</f>
        <v/>
      </c>
      <c r="X2228" s="61" t="str">
        <f aca="false">IF(IsPro,IF($D2228="","",IF(OR($H2228="",$H2228="Credit"),0,Q2228)),"")</f>
        <v/>
      </c>
    </row>
    <row r="2229" customFormat="false" ht="15" hidden="false" customHeight="false" outlineLevel="0" collapsed="false">
      <c r="A2229" s="55"/>
      <c r="B2229" s="56"/>
      <c r="C2229" s="56"/>
      <c r="D2229" s="56"/>
      <c r="E2229" s="57"/>
      <c r="F2229" s="58"/>
      <c r="G2229" s="59"/>
      <c r="H2229" s="56"/>
      <c r="I2229" s="56"/>
      <c r="J2229" s="60" t="str">
        <f aca="false">IF(IsPro,IF($D2229="","",IFERROR(INDEX(Items!$D$5:$D$504,U2229),"")),"")</f>
        <v/>
      </c>
      <c r="K2229" s="61" t="str">
        <f aca="false">IF(IsPro,IF($D2229="","",IF($F2229="",IFERROR(INDEX(Items!$H$5:$H$504,U2229),0),$F2229)),"")</f>
        <v/>
      </c>
      <c r="L2229" s="61" t="str">
        <f aca="false">IF(IsPro,IF($D2229="","",ROUND(N($E2229)*K2229*(1-N($G2229)),2)),"")</f>
        <v/>
      </c>
      <c r="M2229" s="62" t="str">
        <f aca="false">IF(IsPro,IF($D2229="","",IFERROR(INDEX(Items!$F$5:$F$504,U2229),0)),"")</f>
        <v/>
      </c>
      <c r="N2229" s="61" t="str">
        <f aca="false">IF(IsPro,IF($D2229="","",IF(AND(V2229&lt;&gt;"",INDEX(Parties!$E$5:$E$304,V2229)&lt;&gt;"",INDEX(Parties!$E$5:$E$304,V2229)&lt;&gt;HomeState),0,ROUND(L2229*M2229/2,2))),"")</f>
        <v/>
      </c>
      <c r="O2229" s="61" t="str">
        <f aca="false">IF(IsPro,IF($D2229="","",N2229),"")</f>
        <v/>
      </c>
      <c r="P2229" s="61" t="str">
        <f aca="false">IF(IsPro,IF($D2229="","",IF(AND(V2229&lt;&gt;"",INDEX(Parties!$E$5:$E$304,V2229)&lt;&gt;"",INDEX(Parties!$E$5:$E$304,V2229)&lt;&gt;HomeState),ROUND(L2229*M2229,2),0)),"")</f>
        <v/>
      </c>
      <c r="Q2229" s="61" t="str">
        <f aca="false">IF(IsPro,IF($D2229="","",L2229+N2229+O2229+P2229),"")</f>
        <v/>
      </c>
      <c r="R2229" s="61" t="str">
        <f aca="false">IF(IsPro,IF($D2229="","",ROUND(N($E2229)*IFERROR(INDEX(Items!$P$5:$P$504,U2229),0),2)),"")</f>
        <v/>
      </c>
      <c r="S2229" s="61" t="str">
        <f aca="false">IF(IsPro,IF($D2229="","",L2229-R2229),"")</f>
        <v/>
      </c>
      <c r="T2229" s="60" t="str">
        <f aca="false">IF(IsPro,IF($D2229="","",IF(U2229="","UNKNOWN ITEM",IF(INDEX(Items!$O$5:$O$504,U2229)&lt;0,"NEG STOCK",IF(K2229&lt;INDEX(Items!$P$5:$P$504,U2229),"BELOW COST","OK")))),IF($D2229="","","PRO PLAN"))</f>
        <v/>
      </c>
      <c r="U2229" s="60" t="str">
        <f aca="false">IF(IsPro,IF($D2229="","",IFERROR(MATCH($D2229,Items!$A$5:$A$504,0),"")),"")</f>
        <v/>
      </c>
      <c r="V2229" s="60" t="str">
        <f aca="false">IF(IsPro,IF($C2229="","",IFERROR(MATCH($C2229,Parties!$A$5:$A$304,0),"")),"")</f>
        <v/>
      </c>
      <c r="W2229" s="60" t="str">
        <f aca="false">IF(IsPro,IF($B2229="","",IFERROR(VALUE(SUBSTITUTE($B2229,InvPrefix,"")),0)),"")</f>
        <v/>
      </c>
      <c r="X2229" s="61" t="str">
        <f aca="false">IF(IsPro,IF($D2229="","",IF(OR($H2229="",$H2229="Credit"),0,Q2229)),"")</f>
        <v/>
      </c>
    </row>
    <row r="2230" customFormat="false" ht="15" hidden="false" customHeight="false" outlineLevel="0" collapsed="false">
      <c r="A2230" s="55"/>
      <c r="B2230" s="56"/>
      <c r="C2230" s="56"/>
      <c r="D2230" s="56"/>
      <c r="E2230" s="57"/>
      <c r="F2230" s="58"/>
      <c r="G2230" s="59"/>
      <c r="H2230" s="56"/>
      <c r="I2230" s="56"/>
      <c r="J2230" s="60" t="str">
        <f aca="false">IF(IsPro,IF($D2230="","",IFERROR(INDEX(Items!$D$5:$D$504,U2230),"")),"")</f>
        <v/>
      </c>
      <c r="K2230" s="61" t="str">
        <f aca="false">IF(IsPro,IF($D2230="","",IF($F2230="",IFERROR(INDEX(Items!$H$5:$H$504,U2230),0),$F2230)),"")</f>
        <v/>
      </c>
      <c r="L2230" s="61" t="str">
        <f aca="false">IF(IsPro,IF($D2230="","",ROUND(N($E2230)*K2230*(1-N($G2230)),2)),"")</f>
        <v/>
      </c>
      <c r="M2230" s="62" t="str">
        <f aca="false">IF(IsPro,IF($D2230="","",IFERROR(INDEX(Items!$F$5:$F$504,U2230),0)),"")</f>
        <v/>
      </c>
      <c r="N2230" s="61" t="str">
        <f aca="false">IF(IsPro,IF($D2230="","",IF(AND(V2230&lt;&gt;"",INDEX(Parties!$E$5:$E$304,V2230)&lt;&gt;"",INDEX(Parties!$E$5:$E$304,V2230)&lt;&gt;HomeState),0,ROUND(L2230*M2230/2,2))),"")</f>
        <v/>
      </c>
      <c r="O2230" s="61" t="str">
        <f aca="false">IF(IsPro,IF($D2230="","",N2230),"")</f>
        <v/>
      </c>
      <c r="P2230" s="61" t="str">
        <f aca="false">IF(IsPro,IF($D2230="","",IF(AND(V2230&lt;&gt;"",INDEX(Parties!$E$5:$E$304,V2230)&lt;&gt;"",INDEX(Parties!$E$5:$E$304,V2230)&lt;&gt;HomeState),ROUND(L2230*M2230,2),0)),"")</f>
        <v/>
      </c>
      <c r="Q2230" s="61" t="str">
        <f aca="false">IF(IsPro,IF($D2230="","",L2230+N2230+O2230+P2230),"")</f>
        <v/>
      </c>
      <c r="R2230" s="61" t="str">
        <f aca="false">IF(IsPro,IF($D2230="","",ROUND(N($E2230)*IFERROR(INDEX(Items!$P$5:$P$504,U2230),0),2)),"")</f>
        <v/>
      </c>
      <c r="S2230" s="61" t="str">
        <f aca="false">IF(IsPro,IF($D2230="","",L2230-R2230),"")</f>
        <v/>
      </c>
      <c r="T2230" s="60" t="str">
        <f aca="false">IF(IsPro,IF($D2230="","",IF(U2230="","UNKNOWN ITEM",IF(INDEX(Items!$O$5:$O$504,U2230)&lt;0,"NEG STOCK",IF(K2230&lt;INDEX(Items!$P$5:$P$504,U2230),"BELOW COST","OK")))),IF($D2230="","","PRO PLAN"))</f>
        <v/>
      </c>
      <c r="U2230" s="60" t="str">
        <f aca="false">IF(IsPro,IF($D2230="","",IFERROR(MATCH($D2230,Items!$A$5:$A$504,0),"")),"")</f>
        <v/>
      </c>
      <c r="V2230" s="60" t="str">
        <f aca="false">IF(IsPro,IF($C2230="","",IFERROR(MATCH($C2230,Parties!$A$5:$A$304,0),"")),"")</f>
        <v/>
      </c>
      <c r="W2230" s="60" t="str">
        <f aca="false">IF(IsPro,IF($B2230="","",IFERROR(VALUE(SUBSTITUTE($B2230,InvPrefix,"")),0)),"")</f>
        <v/>
      </c>
      <c r="X2230" s="61" t="str">
        <f aca="false">IF(IsPro,IF($D2230="","",IF(OR($H2230="",$H2230="Credit"),0,Q2230)),"")</f>
        <v/>
      </c>
    </row>
    <row r="2231" customFormat="false" ht="15" hidden="false" customHeight="false" outlineLevel="0" collapsed="false">
      <c r="A2231" s="55"/>
      <c r="B2231" s="56"/>
      <c r="C2231" s="56"/>
      <c r="D2231" s="56"/>
      <c r="E2231" s="57"/>
      <c r="F2231" s="58"/>
      <c r="G2231" s="59"/>
      <c r="H2231" s="56"/>
      <c r="I2231" s="56"/>
      <c r="J2231" s="60" t="str">
        <f aca="false">IF(IsPro,IF($D2231="","",IFERROR(INDEX(Items!$D$5:$D$504,U2231),"")),"")</f>
        <v/>
      </c>
      <c r="K2231" s="61" t="str">
        <f aca="false">IF(IsPro,IF($D2231="","",IF($F2231="",IFERROR(INDEX(Items!$H$5:$H$504,U2231),0),$F2231)),"")</f>
        <v/>
      </c>
      <c r="L2231" s="61" t="str">
        <f aca="false">IF(IsPro,IF($D2231="","",ROUND(N($E2231)*K2231*(1-N($G2231)),2)),"")</f>
        <v/>
      </c>
      <c r="M2231" s="62" t="str">
        <f aca="false">IF(IsPro,IF($D2231="","",IFERROR(INDEX(Items!$F$5:$F$504,U2231),0)),"")</f>
        <v/>
      </c>
      <c r="N2231" s="61" t="str">
        <f aca="false">IF(IsPro,IF($D2231="","",IF(AND(V2231&lt;&gt;"",INDEX(Parties!$E$5:$E$304,V2231)&lt;&gt;"",INDEX(Parties!$E$5:$E$304,V2231)&lt;&gt;HomeState),0,ROUND(L2231*M2231/2,2))),"")</f>
        <v/>
      </c>
      <c r="O2231" s="61" t="str">
        <f aca="false">IF(IsPro,IF($D2231="","",N2231),"")</f>
        <v/>
      </c>
      <c r="P2231" s="61" t="str">
        <f aca="false">IF(IsPro,IF($D2231="","",IF(AND(V2231&lt;&gt;"",INDEX(Parties!$E$5:$E$304,V2231)&lt;&gt;"",INDEX(Parties!$E$5:$E$304,V2231)&lt;&gt;HomeState),ROUND(L2231*M2231,2),0)),"")</f>
        <v/>
      </c>
      <c r="Q2231" s="61" t="str">
        <f aca="false">IF(IsPro,IF($D2231="","",L2231+N2231+O2231+P2231),"")</f>
        <v/>
      </c>
      <c r="R2231" s="61" t="str">
        <f aca="false">IF(IsPro,IF($D2231="","",ROUND(N($E2231)*IFERROR(INDEX(Items!$P$5:$P$504,U2231),0),2)),"")</f>
        <v/>
      </c>
      <c r="S2231" s="61" t="str">
        <f aca="false">IF(IsPro,IF($D2231="","",L2231-R2231),"")</f>
        <v/>
      </c>
      <c r="T2231" s="60" t="str">
        <f aca="false">IF(IsPro,IF($D2231="","",IF(U2231="","UNKNOWN ITEM",IF(INDEX(Items!$O$5:$O$504,U2231)&lt;0,"NEG STOCK",IF(K2231&lt;INDEX(Items!$P$5:$P$504,U2231),"BELOW COST","OK")))),IF($D2231="","","PRO PLAN"))</f>
        <v/>
      </c>
      <c r="U2231" s="60" t="str">
        <f aca="false">IF(IsPro,IF($D2231="","",IFERROR(MATCH($D2231,Items!$A$5:$A$504,0),"")),"")</f>
        <v/>
      </c>
      <c r="V2231" s="60" t="str">
        <f aca="false">IF(IsPro,IF($C2231="","",IFERROR(MATCH($C2231,Parties!$A$5:$A$304,0),"")),"")</f>
        <v/>
      </c>
      <c r="W2231" s="60" t="str">
        <f aca="false">IF(IsPro,IF($B2231="","",IFERROR(VALUE(SUBSTITUTE($B2231,InvPrefix,"")),0)),"")</f>
        <v/>
      </c>
      <c r="X2231" s="61" t="str">
        <f aca="false">IF(IsPro,IF($D2231="","",IF(OR($H2231="",$H2231="Credit"),0,Q2231)),"")</f>
        <v/>
      </c>
    </row>
    <row r="2232" customFormat="false" ht="15" hidden="false" customHeight="false" outlineLevel="0" collapsed="false">
      <c r="A2232" s="55"/>
      <c r="B2232" s="56"/>
      <c r="C2232" s="56"/>
      <c r="D2232" s="56"/>
      <c r="E2232" s="57"/>
      <c r="F2232" s="58"/>
      <c r="G2232" s="59"/>
      <c r="H2232" s="56"/>
      <c r="I2232" s="56"/>
      <c r="J2232" s="60" t="str">
        <f aca="false">IF(IsPro,IF($D2232="","",IFERROR(INDEX(Items!$D$5:$D$504,U2232),"")),"")</f>
        <v/>
      </c>
      <c r="K2232" s="61" t="str">
        <f aca="false">IF(IsPro,IF($D2232="","",IF($F2232="",IFERROR(INDEX(Items!$H$5:$H$504,U2232),0),$F2232)),"")</f>
        <v/>
      </c>
      <c r="L2232" s="61" t="str">
        <f aca="false">IF(IsPro,IF($D2232="","",ROUND(N($E2232)*K2232*(1-N($G2232)),2)),"")</f>
        <v/>
      </c>
      <c r="M2232" s="62" t="str">
        <f aca="false">IF(IsPro,IF($D2232="","",IFERROR(INDEX(Items!$F$5:$F$504,U2232),0)),"")</f>
        <v/>
      </c>
      <c r="N2232" s="61" t="str">
        <f aca="false">IF(IsPro,IF($D2232="","",IF(AND(V2232&lt;&gt;"",INDEX(Parties!$E$5:$E$304,V2232)&lt;&gt;"",INDEX(Parties!$E$5:$E$304,V2232)&lt;&gt;HomeState),0,ROUND(L2232*M2232/2,2))),"")</f>
        <v/>
      </c>
      <c r="O2232" s="61" t="str">
        <f aca="false">IF(IsPro,IF($D2232="","",N2232),"")</f>
        <v/>
      </c>
      <c r="P2232" s="61" t="str">
        <f aca="false">IF(IsPro,IF($D2232="","",IF(AND(V2232&lt;&gt;"",INDEX(Parties!$E$5:$E$304,V2232)&lt;&gt;"",INDEX(Parties!$E$5:$E$304,V2232)&lt;&gt;HomeState),ROUND(L2232*M2232,2),0)),"")</f>
        <v/>
      </c>
      <c r="Q2232" s="61" t="str">
        <f aca="false">IF(IsPro,IF($D2232="","",L2232+N2232+O2232+P2232),"")</f>
        <v/>
      </c>
      <c r="R2232" s="61" t="str">
        <f aca="false">IF(IsPro,IF($D2232="","",ROUND(N($E2232)*IFERROR(INDEX(Items!$P$5:$P$504,U2232),0),2)),"")</f>
        <v/>
      </c>
      <c r="S2232" s="61" t="str">
        <f aca="false">IF(IsPro,IF($D2232="","",L2232-R2232),"")</f>
        <v/>
      </c>
      <c r="T2232" s="60" t="str">
        <f aca="false">IF(IsPro,IF($D2232="","",IF(U2232="","UNKNOWN ITEM",IF(INDEX(Items!$O$5:$O$504,U2232)&lt;0,"NEG STOCK",IF(K2232&lt;INDEX(Items!$P$5:$P$504,U2232),"BELOW COST","OK")))),IF($D2232="","","PRO PLAN"))</f>
        <v/>
      </c>
      <c r="U2232" s="60" t="str">
        <f aca="false">IF(IsPro,IF($D2232="","",IFERROR(MATCH($D2232,Items!$A$5:$A$504,0),"")),"")</f>
        <v/>
      </c>
      <c r="V2232" s="60" t="str">
        <f aca="false">IF(IsPro,IF($C2232="","",IFERROR(MATCH($C2232,Parties!$A$5:$A$304,0),"")),"")</f>
        <v/>
      </c>
      <c r="W2232" s="60" t="str">
        <f aca="false">IF(IsPro,IF($B2232="","",IFERROR(VALUE(SUBSTITUTE($B2232,InvPrefix,"")),0)),"")</f>
        <v/>
      </c>
      <c r="X2232" s="61" t="str">
        <f aca="false">IF(IsPro,IF($D2232="","",IF(OR($H2232="",$H2232="Credit"),0,Q2232)),"")</f>
        <v/>
      </c>
    </row>
    <row r="2233" customFormat="false" ht="15" hidden="false" customHeight="false" outlineLevel="0" collapsed="false">
      <c r="A2233" s="55"/>
      <c r="B2233" s="56"/>
      <c r="C2233" s="56"/>
      <c r="D2233" s="56"/>
      <c r="E2233" s="57"/>
      <c r="F2233" s="58"/>
      <c r="G2233" s="59"/>
      <c r="H2233" s="56"/>
      <c r="I2233" s="56"/>
      <c r="J2233" s="60" t="str">
        <f aca="false">IF(IsPro,IF($D2233="","",IFERROR(INDEX(Items!$D$5:$D$504,U2233),"")),"")</f>
        <v/>
      </c>
      <c r="K2233" s="61" t="str">
        <f aca="false">IF(IsPro,IF($D2233="","",IF($F2233="",IFERROR(INDEX(Items!$H$5:$H$504,U2233),0),$F2233)),"")</f>
        <v/>
      </c>
      <c r="L2233" s="61" t="str">
        <f aca="false">IF(IsPro,IF($D2233="","",ROUND(N($E2233)*K2233*(1-N($G2233)),2)),"")</f>
        <v/>
      </c>
      <c r="M2233" s="62" t="str">
        <f aca="false">IF(IsPro,IF($D2233="","",IFERROR(INDEX(Items!$F$5:$F$504,U2233),0)),"")</f>
        <v/>
      </c>
      <c r="N2233" s="61" t="str">
        <f aca="false">IF(IsPro,IF($D2233="","",IF(AND(V2233&lt;&gt;"",INDEX(Parties!$E$5:$E$304,V2233)&lt;&gt;"",INDEX(Parties!$E$5:$E$304,V2233)&lt;&gt;HomeState),0,ROUND(L2233*M2233/2,2))),"")</f>
        <v/>
      </c>
      <c r="O2233" s="61" t="str">
        <f aca="false">IF(IsPro,IF($D2233="","",N2233),"")</f>
        <v/>
      </c>
      <c r="P2233" s="61" t="str">
        <f aca="false">IF(IsPro,IF($D2233="","",IF(AND(V2233&lt;&gt;"",INDEX(Parties!$E$5:$E$304,V2233)&lt;&gt;"",INDEX(Parties!$E$5:$E$304,V2233)&lt;&gt;HomeState),ROUND(L2233*M2233,2),0)),"")</f>
        <v/>
      </c>
      <c r="Q2233" s="61" t="str">
        <f aca="false">IF(IsPro,IF($D2233="","",L2233+N2233+O2233+P2233),"")</f>
        <v/>
      </c>
      <c r="R2233" s="61" t="str">
        <f aca="false">IF(IsPro,IF($D2233="","",ROUND(N($E2233)*IFERROR(INDEX(Items!$P$5:$P$504,U2233),0),2)),"")</f>
        <v/>
      </c>
      <c r="S2233" s="61" t="str">
        <f aca="false">IF(IsPro,IF($D2233="","",L2233-R2233),"")</f>
        <v/>
      </c>
      <c r="T2233" s="60" t="str">
        <f aca="false">IF(IsPro,IF($D2233="","",IF(U2233="","UNKNOWN ITEM",IF(INDEX(Items!$O$5:$O$504,U2233)&lt;0,"NEG STOCK",IF(K2233&lt;INDEX(Items!$P$5:$P$504,U2233),"BELOW COST","OK")))),IF($D2233="","","PRO PLAN"))</f>
        <v/>
      </c>
      <c r="U2233" s="60" t="str">
        <f aca="false">IF(IsPro,IF($D2233="","",IFERROR(MATCH($D2233,Items!$A$5:$A$504,0),"")),"")</f>
        <v/>
      </c>
      <c r="V2233" s="60" t="str">
        <f aca="false">IF(IsPro,IF($C2233="","",IFERROR(MATCH($C2233,Parties!$A$5:$A$304,0),"")),"")</f>
        <v/>
      </c>
      <c r="W2233" s="60" t="str">
        <f aca="false">IF(IsPro,IF($B2233="","",IFERROR(VALUE(SUBSTITUTE($B2233,InvPrefix,"")),0)),"")</f>
        <v/>
      </c>
      <c r="X2233" s="61" t="str">
        <f aca="false">IF(IsPro,IF($D2233="","",IF(OR($H2233="",$H2233="Credit"),0,Q2233)),"")</f>
        <v/>
      </c>
    </row>
    <row r="2234" customFormat="false" ht="15" hidden="false" customHeight="false" outlineLevel="0" collapsed="false">
      <c r="A2234" s="55"/>
      <c r="B2234" s="56"/>
      <c r="C2234" s="56"/>
      <c r="D2234" s="56"/>
      <c r="E2234" s="57"/>
      <c r="F2234" s="58"/>
      <c r="G2234" s="59"/>
      <c r="H2234" s="56"/>
      <c r="I2234" s="56"/>
      <c r="J2234" s="60" t="str">
        <f aca="false">IF(IsPro,IF($D2234="","",IFERROR(INDEX(Items!$D$5:$D$504,U2234),"")),"")</f>
        <v/>
      </c>
      <c r="K2234" s="61" t="str">
        <f aca="false">IF(IsPro,IF($D2234="","",IF($F2234="",IFERROR(INDEX(Items!$H$5:$H$504,U2234),0),$F2234)),"")</f>
        <v/>
      </c>
      <c r="L2234" s="61" t="str">
        <f aca="false">IF(IsPro,IF($D2234="","",ROUND(N($E2234)*K2234*(1-N($G2234)),2)),"")</f>
        <v/>
      </c>
      <c r="M2234" s="62" t="str">
        <f aca="false">IF(IsPro,IF($D2234="","",IFERROR(INDEX(Items!$F$5:$F$504,U2234),0)),"")</f>
        <v/>
      </c>
      <c r="N2234" s="61" t="str">
        <f aca="false">IF(IsPro,IF($D2234="","",IF(AND(V2234&lt;&gt;"",INDEX(Parties!$E$5:$E$304,V2234)&lt;&gt;"",INDEX(Parties!$E$5:$E$304,V2234)&lt;&gt;HomeState),0,ROUND(L2234*M2234/2,2))),"")</f>
        <v/>
      </c>
      <c r="O2234" s="61" t="str">
        <f aca="false">IF(IsPro,IF($D2234="","",N2234),"")</f>
        <v/>
      </c>
      <c r="P2234" s="61" t="str">
        <f aca="false">IF(IsPro,IF($D2234="","",IF(AND(V2234&lt;&gt;"",INDEX(Parties!$E$5:$E$304,V2234)&lt;&gt;"",INDEX(Parties!$E$5:$E$304,V2234)&lt;&gt;HomeState),ROUND(L2234*M2234,2),0)),"")</f>
        <v/>
      </c>
      <c r="Q2234" s="61" t="str">
        <f aca="false">IF(IsPro,IF($D2234="","",L2234+N2234+O2234+P2234),"")</f>
        <v/>
      </c>
      <c r="R2234" s="61" t="str">
        <f aca="false">IF(IsPro,IF($D2234="","",ROUND(N($E2234)*IFERROR(INDEX(Items!$P$5:$P$504,U2234),0),2)),"")</f>
        <v/>
      </c>
      <c r="S2234" s="61" t="str">
        <f aca="false">IF(IsPro,IF($D2234="","",L2234-R2234),"")</f>
        <v/>
      </c>
      <c r="T2234" s="60" t="str">
        <f aca="false">IF(IsPro,IF($D2234="","",IF(U2234="","UNKNOWN ITEM",IF(INDEX(Items!$O$5:$O$504,U2234)&lt;0,"NEG STOCK",IF(K2234&lt;INDEX(Items!$P$5:$P$504,U2234),"BELOW COST","OK")))),IF($D2234="","","PRO PLAN"))</f>
        <v/>
      </c>
      <c r="U2234" s="60" t="str">
        <f aca="false">IF(IsPro,IF($D2234="","",IFERROR(MATCH($D2234,Items!$A$5:$A$504,0),"")),"")</f>
        <v/>
      </c>
      <c r="V2234" s="60" t="str">
        <f aca="false">IF(IsPro,IF($C2234="","",IFERROR(MATCH($C2234,Parties!$A$5:$A$304,0),"")),"")</f>
        <v/>
      </c>
      <c r="W2234" s="60" t="str">
        <f aca="false">IF(IsPro,IF($B2234="","",IFERROR(VALUE(SUBSTITUTE($B2234,InvPrefix,"")),0)),"")</f>
        <v/>
      </c>
      <c r="X2234" s="61" t="str">
        <f aca="false">IF(IsPro,IF($D2234="","",IF(OR($H2234="",$H2234="Credit"),0,Q2234)),"")</f>
        <v/>
      </c>
    </row>
    <row r="2235" customFormat="false" ht="15" hidden="false" customHeight="false" outlineLevel="0" collapsed="false">
      <c r="A2235" s="55"/>
      <c r="B2235" s="56"/>
      <c r="C2235" s="56"/>
      <c r="D2235" s="56"/>
      <c r="E2235" s="57"/>
      <c r="F2235" s="58"/>
      <c r="G2235" s="59"/>
      <c r="H2235" s="56"/>
      <c r="I2235" s="56"/>
      <c r="J2235" s="60" t="str">
        <f aca="false">IF(IsPro,IF($D2235="","",IFERROR(INDEX(Items!$D$5:$D$504,U2235),"")),"")</f>
        <v/>
      </c>
      <c r="K2235" s="61" t="str">
        <f aca="false">IF(IsPro,IF($D2235="","",IF($F2235="",IFERROR(INDEX(Items!$H$5:$H$504,U2235),0),$F2235)),"")</f>
        <v/>
      </c>
      <c r="L2235" s="61" t="str">
        <f aca="false">IF(IsPro,IF($D2235="","",ROUND(N($E2235)*K2235*(1-N($G2235)),2)),"")</f>
        <v/>
      </c>
      <c r="M2235" s="62" t="str">
        <f aca="false">IF(IsPro,IF($D2235="","",IFERROR(INDEX(Items!$F$5:$F$504,U2235),0)),"")</f>
        <v/>
      </c>
      <c r="N2235" s="61" t="str">
        <f aca="false">IF(IsPro,IF($D2235="","",IF(AND(V2235&lt;&gt;"",INDEX(Parties!$E$5:$E$304,V2235)&lt;&gt;"",INDEX(Parties!$E$5:$E$304,V2235)&lt;&gt;HomeState),0,ROUND(L2235*M2235/2,2))),"")</f>
        <v/>
      </c>
      <c r="O2235" s="61" t="str">
        <f aca="false">IF(IsPro,IF($D2235="","",N2235),"")</f>
        <v/>
      </c>
      <c r="P2235" s="61" t="str">
        <f aca="false">IF(IsPro,IF($D2235="","",IF(AND(V2235&lt;&gt;"",INDEX(Parties!$E$5:$E$304,V2235)&lt;&gt;"",INDEX(Parties!$E$5:$E$304,V2235)&lt;&gt;HomeState),ROUND(L2235*M2235,2),0)),"")</f>
        <v/>
      </c>
      <c r="Q2235" s="61" t="str">
        <f aca="false">IF(IsPro,IF($D2235="","",L2235+N2235+O2235+P2235),"")</f>
        <v/>
      </c>
      <c r="R2235" s="61" t="str">
        <f aca="false">IF(IsPro,IF($D2235="","",ROUND(N($E2235)*IFERROR(INDEX(Items!$P$5:$P$504,U2235),0),2)),"")</f>
        <v/>
      </c>
      <c r="S2235" s="61" t="str">
        <f aca="false">IF(IsPro,IF($D2235="","",L2235-R2235),"")</f>
        <v/>
      </c>
      <c r="T2235" s="60" t="str">
        <f aca="false">IF(IsPro,IF($D2235="","",IF(U2235="","UNKNOWN ITEM",IF(INDEX(Items!$O$5:$O$504,U2235)&lt;0,"NEG STOCK",IF(K2235&lt;INDEX(Items!$P$5:$P$504,U2235),"BELOW COST","OK")))),IF($D2235="","","PRO PLAN"))</f>
        <v/>
      </c>
      <c r="U2235" s="60" t="str">
        <f aca="false">IF(IsPro,IF($D2235="","",IFERROR(MATCH($D2235,Items!$A$5:$A$504,0),"")),"")</f>
        <v/>
      </c>
      <c r="V2235" s="60" t="str">
        <f aca="false">IF(IsPro,IF($C2235="","",IFERROR(MATCH($C2235,Parties!$A$5:$A$304,0),"")),"")</f>
        <v/>
      </c>
      <c r="W2235" s="60" t="str">
        <f aca="false">IF(IsPro,IF($B2235="","",IFERROR(VALUE(SUBSTITUTE($B2235,InvPrefix,"")),0)),"")</f>
        <v/>
      </c>
      <c r="X2235" s="61" t="str">
        <f aca="false">IF(IsPro,IF($D2235="","",IF(OR($H2235="",$H2235="Credit"),0,Q2235)),"")</f>
        <v/>
      </c>
    </row>
    <row r="2236" customFormat="false" ht="15" hidden="false" customHeight="false" outlineLevel="0" collapsed="false">
      <c r="A2236" s="55"/>
      <c r="B2236" s="56"/>
      <c r="C2236" s="56"/>
      <c r="D2236" s="56"/>
      <c r="E2236" s="57"/>
      <c r="F2236" s="58"/>
      <c r="G2236" s="59"/>
      <c r="H2236" s="56"/>
      <c r="I2236" s="56"/>
      <c r="J2236" s="60" t="str">
        <f aca="false">IF(IsPro,IF($D2236="","",IFERROR(INDEX(Items!$D$5:$D$504,U2236),"")),"")</f>
        <v/>
      </c>
      <c r="K2236" s="61" t="str">
        <f aca="false">IF(IsPro,IF($D2236="","",IF($F2236="",IFERROR(INDEX(Items!$H$5:$H$504,U2236),0),$F2236)),"")</f>
        <v/>
      </c>
      <c r="L2236" s="61" t="str">
        <f aca="false">IF(IsPro,IF($D2236="","",ROUND(N($E2236)*K2236*(1-N($G2236)),2)),"")</f>
        <v/>
      </c>
      <c r="M2236" s="62" t="str">
        <f aca="false">IF(IsPro,IF($D2236="","",IFERROR(INDEX(Items!$F$5:$F$504,U2236),0)),"")</f>
        <v/>
      </c>
      <c r="N2236" s="61" t="str">
        <f aca="false">IF(IsPro,IF($D2236="","",IF(AND(V2236&lt;&gt;"",INDEX(Parties!$E$5:$E$304,V2236)&lt;&gt;"",INDEX(Parties!$E$5:$E$304,V2236)&lt;&gt;HomeState),0,ROUND(L2236*M2236/2,2))),"")</f>
        <v/>
      </c>
      <c r="O2236" s="61" t="str">
        <f aca="false">IF(IsPro,IF($D2236="","",N2236),"")</f>
        <v/>
      </c>
      <c r="P2236" s="61" t="str">
        <f aca="false">IF(IsPro,IF($D2236="","",IF(AND(V2236&lt;&gt;"",INDEX(Parties!$E$5:$E$304,V2236)&lt;&gt;"",INDEX(Parties!$E$5:$E$304,V2236)&lt;&gt;HomeState),ROUND(L2236*M2236,2),0)),"")</f>
        <v/>
      </c>
      <c r="Q2236" s="61" t="str">
        <f aca="false">IF(IsPro,IF($D2236="","",L2236+N2236+O2236+P2236),"")</f>
        <v/>
      </c>
      <c r="R2236" s="61" t="str">
        <f aca="false">IF(IsPro,IF($D2236="","",ROUND(N($E2236)*IFERROR(INDEX(Items!$P$5:$P$504,U2236),0),2)),"")</f>
        <v/>
      </c>
      <c r="S2236" s="61" t="str">
        <f aca="false">IF(IsPro,IF($D2236="","",L2236-R2236),"")</f>
        <v/>
      </c>
      <c r="T2236" s="60" t="str">
        <f aca="false">IF(IsPro,IF($D2236="","",IF(U2236="","UNKNOWN ITEM",IF(INDEX(Items!$O$5:$O$504,U2236)&lt;0,"NEG STOCK",IF(K2236&lt;INDEX(Items!$P$5:$P$504,U2236),"BELOW COST","OK")))),IF($D2236="","","PRO PLAN"))</f>
        <v/>
      </c>
      <c r="U2236" s="60" t="str">
        <f aca="false">IF(IsPro,IF($D2236="","",IFERROR(MATCH($D2236,Items!$A$5:$A$504,0),"")),"")</f>
        <v/>
      </c>
      <c r="V2236" s="60" t="str">
        <f aca="false">IF(IsPro,IF($C2236="","",IFERROR(MATCH($C2236,Parties!$A$5:$A$304,0),"")),"")</f>
        <v/>
      </c>
      <c r="W2236" s="60" t="str">
        <f aca="false">IF(IsPro,IF($B2236="","",IFERROR(VALUE(SUBSTITUTE($B2236,InvPrefix,"")),0)),"")</f>
        <v/>
      </c>
      <c r="X2236" s="61" t="str">
        <f aca="false">IF(IsPro,IF($D2236="","",IF(OR($H2236="",$H2236="Credit"),0,Q2236)),"")</f>
        <v/>
      </c>
    </row>
    <row r="2237" customFormat="false" ht="15" hidden="false" customHeight="false" outlineLevel="0" collapsed="false">
      <c r="A2237" s="55"/>
      <c r="B2237" s="56"/>
      <c r="C2237" s="56"/>
      <c r="D2237" s="56"/>
      <c r="E2237" s="57"/>
      <c r="F2237" s="58"/>
      <c r="G2237" s="59"/>
      <c r="H2237" s="56"/>
      <c r="I2237" s="56"/>
      <c r="J2237" s="60" t="str">
        <f aca="false">IF(IsPro,IF($D2237="","",IFERROR(INDEX(Items!$D$5:$D$504,U2237),"")),"")</f>
        <v/>
      </c>
      <c r="K2237" s="61" t="str">
        <f aca="false">IF(IsPro,IF($D2237="","",IF($F2237="",IFERROR(INDEX(Items!$H$5:$H$504,U2237),0),$F2237)),"")</f>
        <v/>
      </c>
      <c r="L2237" s="61" t="str">
        <f aca="false">IF(IsPro,IF($D2237="","",ROUND(N($E2237)*K2237*(1-N($G2237)),2)),"")</f>
        <v/>
      </c>
      <c r="M2237" s="62" t="str">
        <f aca="false">IF(IsPro,IF($D2237="","",IFERROR(INDEX(Items!$F$5:$F$504,U2237),0)),"")</f>
        <v/>
      </c>
      <c r="N2237" s="61" t="str">
        <f aca="false">IF(IsPro,IF($D2237="","",IF(AND(V2237&lt;&gt;"",INDEX(Parties!$E$5:$E$304,V2237)&lt;&gt;"",INDEX(Parties!$E$5:$E$304,V2237)&lt;&gt;HomeState),0,ROUND(L2237*M2237/2,2))),"")</f>
        <v/>
      </c>
      <c r="O2237" s="61" t="str">
        <f aca="false">IF(IsPro,IF($D2237="","",N2237),"")</f>
        <v/>
      </c>
      <c r="P2237" s="61" t="str">
        <f aca="false">IF(IsPro,IF($D2237="","",IF(AND(V2237&lt;&gt;"",INDEX(Parties!$E$5:$E$304,V2237)&lt;&gt;"",INDEX(Parties!$E$5:$E$304,V2237)&lt;&gt;HomeState),ROUND(L2237*M2237,2),0)),"")</f>
        <v/>
      </c>
      <c r="Q2237" s="61" t="str">
        <f aca="false">IF(IsPro,IF($D2237="","",L2237+N2237+O2237+P2237),"")</f>
        <v/>
      </c>
      <c r="R2237" s="61" t="str">
        <f aca="false">IF(IsPro,IF($D2237="","",ROUND(N($E2237)*IFERROR(INDEX(Items!$P$5:$P$504,U2237),0),2)),"")</f>
        <v/>
      </c>
      <c r="S2237" s="61" t="str">
        <f aca="false">IF(IsPro,IF($D2237="","",L2237-R2237),"")</f>
        <v/>
      </c>
      <c r="T2237" s="60" t="str">
        <f aca="false">IF(IsPro,IF($D2237="","",IF(U2237="","UNKNOWN ITEM",IF(INDEX(Items!$O$5:$O$504,U2237)&lt;0,"NEG STOCK",IF(K2237&lt;INDEX(Items!$P$5:$P$504,U2237),"BELOW COST","OK")))),IF($D2237="","","PRO PLAN"))</f>
        <v/>
      </c>
      <c r="U2237" s="60" t="str">
        <f aca="false">IF(IsPro,IF($D2237="","",IFERROR(MATCH($D2237,Items!$A$5:$A$504,0),"")),"")</f>
        <v/>
      </c>
      <c r="V2237" s="60" t="str">
        <f aca="false">IF(IsPro,IF($C2237="","",IFERROR(MATCH($C2237,Parties!$A$5:$A$304,0),"")),"")</f>
        <v/>
      </c>
      <c r="W2237" s="60" t="str">
        <f aca="false">IF(IsPro,IF($B2237="","",IFERROR(VALUE(SUBSTITUTE($B2237,InvPrefix,"")),0)),"")</f>
        <v/>
      </c>
      <c r="X2237" s="61" t="str">
        <f aca="false">IF(IsPro,IF($D2237="","",IF(OR($H2237="",$H2237="Credit"),0,Q2237)),"")</f>
        <v/>
      </c>
    </row>
    <row r="2238" customFormat="false" ht="15" hidden="false" customHeight="false" outlineLevel="0" collapsed="false">
      <c r="A2238" s="55"/>
      <c r="B2238" s="56"/>
      <c r="C2238" s="56"/>
      <c r="D2238" s="56"/>
      <c r="E2238" s="57"/>
      <c r="F2238" s="58"/>
      <c r="G2238" s="59"/>
      <c r="H2238" s="56"/>
      <c r="I2238" s="56"/>
      <c r="J2238" s="60" t="str">
        <f aca="false">IF(IsPro,IF($D2238="","",IFERROR(INDEX(Items!$D$5:$D$504,U2238),"")),"")</f>
        <v/>
      </c>
      <c r="K2238" s="61" t="str">
        <f aca="false">IF(IsPro,IF($D2238="","",IF($F2238="",IFERROR(INDEX(Items!$H$5:$H$504,U2238),0),$F2238)),"")</f>
        <v/>
      </c>
      <c r="L2238" s="61" t="str">
        <f aca="false">IF(IsPro,IF($D2238="","",ROUND(N($E2238)*K2238*(1-N($G2238)),2)),"")</f>
        <v/>
      </c>
      <c r="M2238" s="62" t="str">
        <f aca="false">IF(IsPro,IF($D2238="","",IFERROR(INDEX(Items!$F$5:$F$504,U2238),0)),"")</f>
        <v/>
      </c>
      <c r="N2238" s="61" t="str">
        <f aca="false">IF(IsPro,IF($D2238="","",IF(AND(V2238&lt;&gt;"",INDEX(Parties!$E$5:$E$304,V2238)&lt;&gt;"",INDEX(Parties!$E$5:$E$304,V2238)&lt;&gt;HomeState),0,ROUND(L2238*M2238/2,2))),"")</f>
        <v/>
      </c>
      <c r="O2238" s="61" t="str">
        <f aca="false">IF(IsPro,IF($D2238="","",N2238),"")</f>
        <v/>
      </c>
      <c r="P2238" s="61" t="str">
        <f aca="false">IF(IsPro,IF($D2238="","",IF(AND(V2238&lt;&gt;"",INDEX(Parties!$E$5:$E$304,V2238)&lt;&gt;"",INDEX(Parties!$E$5:$E$304,V2238)&lt;&gt;HomeState),ROUND(L2238*M2238,2),0)),"")</f>
        <v/>
      </c>
      <c r="Q2238" s="61" t="str">
        <f aca="false">IF(IsPro,IF($D2238="","",L2238+N2238+O2238+P2238),"")</f>
        <v/>
      </c>
      <c r="R2238" s="61" t="str">
        <f aca="false">IF(IsPro,IF($D2238="","",ROUND(N($E2238)*IFERROR(INDEX(Items!$P$5:$P$504,U2238),0),2)),"")</f>
        <v/>
      </c>
      <c r="S2238" s="61" t="str">
        <f aca="false">IF(IsPro,IF($D2238="","",L2238-R2238),"")</f>
        <v/>
      </c>
      <c r="T2238" s="60" t="str">
        <f aca="false">IF(IsPro,IF($D2238="","",IF(U2238="","UNKNOWN ITEM",IF(INDEX(Items!$O$5:$O$504,U2238)&lt;0,"NEG STOCK",IF(K2238&lt;INDEX(Items!$P$5:$P$504,U2238),"BELOW COST","OK")))),IF($D2238="","","PRO PLAN"))</f>
        <v/>
      </c>
      <c r="U2238" s="60" t="str">
        <f aca="false">IF(IsPro,IF($D2238="","",IFERROR(MATCH($D2238,Items!$A$5:$A$504,0),"")),"")</f>
        <v/>
      </c>
      <c r="V2238" s="60" t="str">
        <f aca="false">IF(IsPro,IF($C2238="","",IFERROR(MATCH($C2238,Parties!$A$5:$A$304,0),"")),"")</f>
        <v/>
      </c>
      <c r="W2238" s="60" t="str">
        <f aca="false">IF(IsPro,IF($B2238="","",IFERROR(VALUE(SUBSTITUTE($B2238,InvPrefix,"")),0)),"")</f>
        <v/>
      </c>
      <c r="X2238" s="61" t="str">
        <f aca="false">IF(IsPro,IF($D2238="","",IF(OR($H2238="",$H2238="Credit"),0,Q2238)),"")</f>
        <v/>
      </c>
    </row>
    <row r="2239" customFormat="false" ht="15" hidden="false" customHeight="false" outlineLevel="0" collapsed="false">
      <c r="A2239" s="55"/>
      <c r="B2239" s="56"/>
      <c r="C2239" s="56"/>
      <c r="D2239" s="56"/>
      <c r="E2239" s="57"/>
      <c r="F2239" s="58"/>
      <c r="G2239" s="59"/>
      <c r="H2239" s="56"/>
      <c r="I2239" s="56"/>
      <c r="J2239" s="60" t="str">
        <f aca="false">IF(IsPro,IF($D2239="","",IFERROR(INDEX(Items!$D$5:$D$504,U2239),"")),"")</f>
        <v/>
      </c>
      <c r="K2239" s="61" t="str">
        <f aca="false">IF(IsPro,IF($D2239="","",IF($F2239="",IFERROR(INDEX(Items!$H$5:$H$504,U2239),0),$F2239)),"")</f>
        <v/>
      </c>
      <c r="L2239" s="61" t="str">
        <f aca="false">IF(IsPro,IF($D2239="","",ROUND(N($E2239)*K2239*(1-N($G2239)),2)),"")</f>
        <v/>
      </c>
      <c r="M2239" s="62" t="str">
        <f aca="false">IF(IsPro,IF($D2239="","",IFERROR(INDEX(Items!$F$5:$F$504,U2239),0)),"")</f>
        <v/>
      </c>
      <c r="N2239" s="61" t="str">
        <f aca="false">IF(IsPro,IF($D2239="","",IF(AND(V2239&lt;&gt;"",INDEX(Parties!$E$5:$E$304,V2239)&lt;&gt;"",INDEX(Parties!$E$5:$E$304,V2239)&lt;&gt;HomeState),0,ROUND(L2239*M2239/2,2))),"")</f>
        <v/>
      </c>
      <c r="O2239" s="61" t="str">
        <f aca="false">IF(IsPro,IF($D2239="","",N2239),"")</f>
        <v/>
      </c>
      <c r="P2239" s="61" t="str">
        <f aca="false">IF(IsPro,IF($D2239="","",IF(AND(V2239&lt;&gt;"",INDEX(Parties!$E$5:$E$304,V2239)&lt;&gt;"",INDEX(Parties!$E$5:$E$304,V2239)&lt;&gt;HomeState),ROUND(L2239*M2239,2),0)),"")</f>
        <v/>
      </c>
      <c r="Q2239" s="61" t="str">
        <f aca="false">IF(IsPro,IF($D2239="","",L2239+N2239+O2239+P2239),"")</f>
        <v/>
      </c>
      <c r="R2239" s="61" t="str">
        <f aca="false">IF(IsPro,IF($D2239="","",ROUND(N($E2239)*IFERROR(INDEX(Items!$P$5:$P$504,U2239),0),2)),"")</f>
        <v/>
      </c>
      <c r="S2239" s="61" t="str">
        <f aca="false">IF(IsPro,IF($D2239="","",L2239-R2239),"")</f>
        <v/>
      </c>
      <c r="T2239" s="60" t="str">
        <f aca="false">IF(IsPro,IF($D2239="","",IF(U2239="","UNKNOWN ITEM",IF(INDEX(Items!$O$5:$O$504,U2239)&lt;0,"NEG STOCK",IF(K2239&lt;INDEX(Items!$P$5:$P$504,U2239),"BELOW COST","OK")))),IF($D2239="","","PRO PLAN"))</f>
        <v/>
      </c>
      <c r="U2239" s="60" t="str">
        <f aca="false">IF(IsPro,IF($D2239="","",IFERROR(MATCH($D2239,Items!$A$5:$A$504,0),"")),"")</f>
        <v/>
      </c>
      <c r="V2239" s="60" t="str">
        <f aca="false">IF(IsPro,IF($C2239="","",IFERROR(MATCH($C2239,Parties!$A$5:$A$304,0),"")),"")</f>
        <v/>
      </c>
      <c r="W2239" s="60" t="str">
        <f aca="false">IF(IsPro,IF($B2239="","",IFERROR(VALUE(SUBSTITUTE($B2239,InvPrefix,"")),0)),"")</f>
        <v/>
      </c>
      <c r="X2239" s="61" t="str">
        <f aca="false">IF(IsPro,IF($D2239="","",IF(OR($H2239="",$H2239="Credit"),0,Q2239)),"")</f>
        <v/>
      </c>
    </row>
    <row r="2240" customFormat="false" ht="15" hidden="false" customHeight="false" outlineLevel="0" collapsed="false">
      <c r="A2240" s="55"/>
      <c r="B2240" s="56"/>
      <c r="C2240" s="56"/>
      <c r="D2240" s="56"/>
      <c r="E2240" s="57"/>
      <c r="F2240" s="58"/>
      <c r="G2240" s="59"/>
      <c r="H2240" s="56"/>
      <c r="I2240" s="56"/>
      <c r="J2240" s="60" t="str">
        <f aca="false">IF(IsPro,IF($D2240="","",IFERROR(INDEX(Items!$D$5:$D$504,U2240),"")),"")</f>
        <v/>
      </c>
      <c r="K2240" s="61" t="str">
        <f aca="false">IF(IsPro,IF($D2240="","",IF($F2240="",IFERROR(INDEX(Items!$H$5:$H$504,U2240),0),$F2240)),"")</f>
        <v/>
      </c>
      <c r="L2240" s="61" t="str">
        <f aca="false">IF(IsPro,IF($D2240="","",ROUND(N($E2240)*K2240*(1-N($G2240)),2)),"")</f>
        <v/>
      </c>
      <c r="M2240" s="62" t="str">
        <f aca="false">IF(IsPro,IF($D2240="","",IFERROR(INDEX(Items!$F$5:$F$504,U2240),0)),"")</f>
        <v/>
      </c>
      <c r="N2240" s="61" t="str">
        <f aca="false">IF(IsPro,IF($D2240="","",IF(AND(V2240&lt;&gt;"",INDEX(Parties!$E$5:$E$304,V2240)&lt;&gt;"",INDEX(Parties!$E$5:$E$304,V2240)&lt;&gt;HomeState),0,ROUND(L2240*M2240/2,2))),"")</f>
        <v/>
      </c>
      <c r="O2240" s="61" t="str">
        <f aca="false">IF(IsPro,IF($D2240="","",N2240),"")</f>
        <v/>
      </c>
      <c r="P2240" s="61" t="str">
        <f aca="false">IF(IsPro,IF($D2240="","",IF(AND(V2240&lt;&gt;"",INDEX(Parties!$E$5:$E$304,V2240)&lt;&gt;"",INDEX(Parties!$E$5:$E$304,V2240)&lt;&gt;HomeState),ROUND(L2240*M2240,2),0)),"")</f>
        <v/>
      </c>
      <c r="Q2240" s="61" t="str">
        <f aca="false">IF(IsPro,IF($D2240="","",L2240+N2240+O2240+P2240),"")</f>
        <v/>
      </c>
      <c r="R2240" s="61" t="str">
        <f aca="false">IF(IsPro,IF($D2240="","",ROUND(N($E2240)*IFERROR(INDEX(Items!$P$5:$P$504,U2240),0),2)),"")</f>
        <v/>
      </c>
      <c r="S2240" s="61" t="str">
        <f aca="false">IF(IsPro,IF($D2240="","",L2240-R2240),"")</f>
        <v/>
      </c>
      <c r="T2240" s="60" t="str">
        <f aca="false">IF(IsPro,IF($D2240="","",IF(U2240="","UNKNOWN ITEM",IF(INDEX(Items!$O$5:$O$504,U2240)&lt;0,"NEG STOCK",IF(K2240&lt;INDEX(Items!$P$5:$P$504,U2240),"BELOW COST","OK")))),IF($D2240="","","PRO PLAN"))</f>
        <v/>
      </c>
      <c r="U2240" s="60" t="str">
        <f aca="false">IF(IsPro,IF($D2240="","",IFERROR(MATCH($D2240,Items!$A$5:$A$504,0),"")),"")</f>
        <v/>
      </c>
      <c r="V2240" s="60" t="str">
        <f aca="false">IF(IsPro,IF($C2240="","",IFERROR(MATCH($C2240,Parties!$A$5:$A$304,0),"")),"")</f>
        <v/>
      </c>
      <c r="W2240" s="60" t="str">
        <f aca="false">IF(IsPro,IF($B2240="","",IFERROR(VALUE(SUBSTITUTE($B2240,InvPrefix,"")),0)),"")</f>
        <v/>
      </c>
      <c r="X2240" s="61" t="str">
        <f aca="false">IF(IsPro,IF($D2240="","",IF(OR($H2240="",$H2240="Credit"),0,Q2240)),"")</f>
        <v/>
      </c>
    </row>
    <row r="2241" customFormat="false" ht="15" hidden="false" customHeight="false" outlineLevel="0" collapsed="false">
      <c r="A2241" s="55"/>
      <c r="B2241" s="56"/>
      <c r="C2241" s="56"/>
      <c r="D2241" s="56"/>
      <c r="E2241" s="57"/>
      <c r="F2241" s="58"/>
      <c r="G2241" s="59"/>
      <c r="H2241" s="56"/>
      <c r="I2241" s="56"/>
      <c r="J2241" s="60" t="str">
        <f aca="false">IF(IsPro,IF($D2241="","",IFERROR(INDEX(Items!$D$5:$D$504,U2241),"")),"")</f>
        <v/>
      </c>
      <c r="K2241" s="61" t="str">
        <f aca="false">IF(IsPro,IF($D2241="","",IF($F2241="",IFERROR(INDEX(Items!$H$5:$H$504,U2241),0),$F2241)),"")</f>
        <v/>
      </c>
      <c r="L2241" s="61" t="str">
        <f aca="false">IF(IsPro,IF($D2241="","",ROUND(N($E2241)*K2241*(1-N($G2241)),2)),"")</f>
        <v/>
      </c>
      <c r="M2241" s="62" t="str">
        <f aca="false">IF(IsPro,IF($D2241="","",IFERROR(INDEX(Items!$F$5:$F$504,U2241),0)),"")</f>
        <v/>
      </c>
      <c r="N2241" s="61" t="str">
        <f aca="false">IF(IsPro,IF($D2241="","",IF(AND(V2241&lt;&gt;"",INDEX(Parties!$E$5:$E$304,V2241)&lt;&gt;"",INDEX(Parties!$E$5:$E$304,V2241)&lt;&gt;HomeState),0,ROUND(L2241*M2241/2,2))),"")</f>
        <v/>
      </c>
      <c r="O2241" s="61" t="str">
        <f aca="false">IF(IsPro,IF($D2241="","",N2241),"")</f>
        <v/>
      </c>
      <c r="P2241" s="61" t="str">
        <f aca="false">IF(IsPro,IF($D2241="","",IF(AND(V2241&lt;&gt;"",INDEX(Parties!$E$5:$E$304,V2241)&lt;&gt;"",INDEX(Parties!$E$5:$E$304,V2241)&lt;&gt;HomeState),ROUND(L2241*M2241,2),0)),"")</f>
        <v/>
      </c>
      <c r="Q2241" s="61" t="str">
        <f aca="false">IF(IsPro,IF($D2241="","",L2241+N2241+O2241+P2241),"")</f>
        <v/>
      </c>
      <c r="R2241" s="61" t="str">
        <f aca="false">IF(IsPro,IF($D2241="","",ROUND(N($E2241)*IFERROR(INDEX(Items!$P$5:$P$504,U2241),0),2)),"")</f>
        <v/>
      </c>
      <c r="S2241" s="61" t="str">
        <f aca="false">IF(IsPro,IF($D2241="","",L2241-R2241),"")</f>
        <v/>
      </c>
      <c r="T2241" s="60" t="str">
        <f aca="false">IF(IsPro,IF($D2241="","",IF(U2241="","UNKNOWN ITEM",IF(INDEX(Items!$O$5:$O$504,U2241)&lt;0,"NEG STOCK",IF(K2241&lt;INDEX(Items!$P$5:$P$504,U2241),"BELOW COST","OK")))),IF($D2241="","","PRO PLAN"))</f>
        <v/>
      </c>
      <c r="U2241" s="60" t="str">
        <f aca="false">IF(IsPro,IF($D2241="","",IFERROR(MATCH($D2241,Items!$A$5:$A$504,0),"")),"")</f>
        <v/>
      </c>
      <c r="V2241" s="60" t="str">
        <f aca="false">IF(IsPro,IF($C2241="","",IFERROR(MATCH($C2241,Parties!$A$5:$A$304,0),"")),"")</f>
        <v/>
      </c>
      <c r="W2241" s="60" t="str">
        <f aca="false">IF(IsPro,IF($B2241="","",IFERROR(VALUE(SUBSTITUTE($B2241,InvPrefix,"")),0)),"")</f>
        <v/>
      </c>
      <c r="X2241" s="61" t="str">
        <f aca="false">IF(IsPro,IF($D2241="","",IF(OR($H2241="",$H2241="Credit"),0,Q2241)),"")</f>
        <v/>
      </c>
    </row>
    <row r="2242" customFormat="false" ht="15" hidden="false" customHeight="false" outlineLevel="0" collapsed="false">
      <c r="A2242" s="55"/>
      <c r="B2242" s="56"/>
      <c r="C2242" s="56"/>
      <c r="D2242" s="56"/>
      <c r="E2242" s="57"/>
      <c r="F2242" s="58"/>
      <c r="G2242" s="59"/>
      <c r="H2242" s="56"/>
      <c r="I2242" s="56"/>
      <c r="J2242" s="60" t="str">
        <f aca="false">IF(IsPro,IF($D2242="","",IFERROR(INDEX(Items!$D$5:$D$504,U2242),"")),"")</f>
        <v/>
      </c>
      <c r="K2242" s="61" t="str">
        <f aca="false">IF(IsPro,IF($D2242="","",IF($F2242="",IFERROR(INDEX(Items!$H$5:$H$504,U2242),0),$F2242)),"")</f>
        <v/>
      </c>
      <c r="L2242" s="61" t="str">
        <f aca="false">IF(IsPro,IF($D2242="","",ROUND(N($E2242)*K2242*(1-N($G2242)),2)),"")</f>
        <v/>
      </c>
      <c r="M2242" s="62" t="str">
        <f aca="false">IF(IsPro,IF($D2242="","",IFERROR(INDEX(Items!$F$5:$F$504,U2242),0)),"")</f>
        <v/>
      </c>
      <c r="N2242" s="61" t="str">
        <f aca="false">IF(IsPro,IF($D2242="","",IF(AND(V2242&lt;&gt;"",INDEX(Parties!$E$5:$E$304,V2242)&lt;&gt;"",INDEX(Parties!$E$5:$E$304,V2242)&lt;&gt;HomeState),0,ROUND(L2242*M2242/2,2))),"")</f>
        <v/>
      </c>
      <c r="O2242" s="61" t="str">
        <f aca="false">IF(IsPro,IF($D2242="","",N2242),"")</f>
        <v/>
      </c>
      <c r="P2242" s="61" t="str">
        <f aca="false">IF(IsPro,IF($D2242="","",IF(AND(V2242&lt;&gt;"",INDEX(Parties!$E$5:$E$304,V2242)&lt;&gt;"",INDEX(Parties!$E$5:$E$304,V2242)&lt;&gt;HomeState),ROUND(L2242*M2242,2),0)),"")</f>
        <v/>
      </c>
      <c r="Q2242" s="61" t="str">
        <f aca="false">IF(IsPro,IF($D2242="","",L2242+N2242+O2242+P2242),"")</f>
        <v/>
      </c>
      <c r="R2242" s="61" t="str">
        <f aca="false">IF(IsPro,IF($D2242="","",ROUND(N($E2242)*IFERROR(INDEX(Items!$P$5:$P$504,U2242),0),2)),"")</f>
        <v/>
      </c>
      <c r="S2242" s="61" t="str">
        <f aca="false">IF(IsPro,IF($D2242="","",L2242-R2242),"")</f>
        <v/>
      </c>
      <c r="T2242" s="60" t="str">
        <f aca="false">IF(IsPro,IF($D2242="","",IF(U2242="","UNKNOWN ITEM",IF(INDEX(Items!$O$5:$O$504,U2242)&lt;0,"NEG STOCK",IF(K2242&lt;INDEX(Items!$P$5:$P$504,U2242),"BELOW COST","OK")))),IF($D2242="","","PRO PLAN"))</f>
        <v/>
      </c>
      <c r="U2242" s="60" t="str">
        <f aca="false">IF(IsPro,IF($D2242="","",IFERROR(MATCH($D2242,Items!$A$5:$A$504,0),"")),"")</f>
        <v/>
      </c>
      <c r="V2242" s="60" t="str">
        <f aca="false">IF(IsPro,IF($C2242="","",IFERROR(MATCH($C2242,Parties!$A$5:$A$304,0),"")),"")</f>
        <v/>
      </c>
      <c r="W2242" s="60" t="str">
        <f aca="false">IF(IsPro,IF($B2242="","",IFERROR(VALUE(SUBSTITUTE($B2242,InvPrefix,"")),0)),"")</f>
        <v/>
      </c>
      <c r="X2242" s="61" t="str">
        <f aca="false">IF(IsPro,IF($D2242="","",IF(OR($H2242="",$H2242="Credit"),0,Q2242)),"")</f>
        <v/>
      </c>
    </row>
    <row r="2243" customFormat="false" ht="15" hidden="false" customHeight="false" outlineLevel="0" collapsed="false">
      <c r="A2243" s="55"/>
      <c r="B2243" s="56"/>
      <c r="C2243" s="56"/>
      <c r="D2243" s="56"/>
      <c r="E2243" s="57"/>
      <c r="F2243" s="58"/>
      <c r="G2243" s="59"/>
      <c r="H2243" s="56"/>
      <c r="I2243" s="56"/>
      <c r="J2243" s="60" t="str">
        <f aca="false">IF(IsPro,IF($D2243="","",IFERROR(INDEX(Items!$D$5:$D$504,U2243),"")),"")</f>
        <v/>
      </c>
      <c r="K2243" s="61" t="str">
        <f aca="false">IF(IsPro,IF($D2243="","",IF($F2243="",IFERROR(INDEX(Items!$H$5:$H$504,U2243),0),$F2243)),"")</f>
        <v/>
      </c>
      <c r="L2243" s="61" t="str">
        <f aca="false">IF(IsPro,IF($D2243="","",ROUND(N($E2243)*K2243*(1-N($G2243)),2)),"")</f>
        <v/>
      </c>
      <c r="M2243" s="62" t="str">
        <f aca="false">IF(IsPro,IF($D2243="","",IFERROR(INDEX(Items!$F$5:$F$504,U2243),0)),"")</f>
        <v/>
      </c>
      <c r="N2243" s="61" t="str">
        <f aca="false">IF(IsPro,IF($D2243="","",IF(AND(V2243&lt;&gt;"",INDEX(Parties!$E$5:$E$304,V2243)&lt;&gt;"",INDEX(Parties!$E$5:$E$304,V2243)&lt;&gt;HomeState),0,ROUND(L2243*M2243/2,2))),"")</f>
        <v/>
      </c>
      <c r="O2243" s="61" t="str">
        <f aca="false">IF(IsPro,IF($D2243="","",N2243),"")</f>
        <v/>
      </c>
      <c r="P2243" s="61" t="str">
        <f aca="false">IF(IsPro,IF($D2243="","",IF(AND(V2243&lt;&gt;"",INDEX(Parties!$E$5:$E$304,V2243)&lt;&gt;"",INDEX(Parties!$E$5:$E$304,V2243)&lt;&gt;HomeState),ROUND(L2243*M2243,2),0)),"")</f>
        <v/>
      </c>
      <c r="Q2243" s="61" t="str">
        <f aca="false">IF(IsPro,IF($D2243="","",L2243+N2243+O2243+P2243),"")</f>
        <v/>
      </c>
      <c r="R2243" s="61" t="str">
        <f aca="false">IF(IsPro,IF($D2243="","",ROUND(N($E2243)*IFERROR(INDEX(Items!$P$5:$P$504,U2243),0),2)),"")</f>
        <v/>
      </c>
      <c r="S2243" s="61" t="str">
        <f aca="false">IF(IsPro,IF($D2243="","",L2243-R2243),"")</f>
        <v/>
      </c>
      <c r="T2243" s="60" t="str">
        <f aca="false">IF(IsPro,IF($D2243="","",IF(U2243="","UNKNOWN ITEM",IF(INDEX(Items!$O$5:$O$504,U2243)&lt;0,"NEG STOCK",IF(K2243&lt;INDEX(Items!$P$5:$P$504,U2243),"BELOW COST","OK")))),IF($D2243="","","PRO PLAN"))</f>
        <v/>
      </c>
      <c r="U2243" s="60" t="str">
        <f aca="false">IF(IsPro,IF($D2243="","",IFERROR(MATCH($D2243,Items!$A$5:$A$504,0),"")),"")</f>
        <v/>
      </c>
      <c r="V2243" s="60" t="str">
        <f aca="false">IF(IsPro,IF($C2243="","",IFERROR(MATCH($C2243,Parties!$A$5:$A$304,0),"")),"")</f>
        <v/>
      </c>
      <c r="W2243" s="60" t="str">
        <f aca="false">IF(IsPro,IF($B2243="","",IFERROR(VALUE(SUBSTITUTE($B2243,InvPrefix,"")),0)),"")</f>
        <v/>
      </c>
      <c r="X2243" s="61" t="str">
        <f aca="false">IF(IsPro,IF($D2243="","",IF(OR($H2243="",$H2243="Credit"),0,Q2243)),"")</f>
        <v/>
      </c>
    </row>
    <row r="2244" customFormat="false" ht="15" hidden="false" customHeight="false" outlineLevel="0" collapsed="false">
      <c r="A2244" s="55"/>
      <c r="B2244" s="56"/>
      <c r="C2244" s="56"/>
      <c r="D2244" s="56"/>
      <c r="E2244" s="57"/>
      <c r="F2244" s="58"/>
      <c r="G2244" s="59"/>
      <c r="H2244" s="56"/>
      <c r="I2244" s="56"/>
      <c r="J2244" s="60" t="str">
        <f aca="false">IF(IsPro,IF($D2244="","",IFERROR(INDEX(Items!$D$5:$D$504,U2244),"")),"")</f>
        <v/>
      </c>
      <c r="K2244" s="61" t="str">
        <f aca="false">IF(IsPro,IF($D2244="","",IF($F2244="",IFERROR(INDEX(Items!$H$5:$H$504,U2244),0),$F2244)),"")</f>
        <v/>
      </c>
      <c r="L2244" s="61" t="str">
        <f aca="false">IF(IsPro,IF($D2244="","",ROUND(N($E2244)*K2244*(1-N($G2244)),2)),"")</f>
        <v/>
      </c>
      <c r="M2244" s="62" t="str">
        <f aca="false">IF(IsPro,IF($D2244="","",IFERROR(INDEX(Items!$F$5:$F$504,U2244),0)),"")</f>
        <v/>
      </c>
      <c r="N2244" s="61" t="str">
        <f aca="false">IF(IsPro,IF($D2244="","",IF(AND(V2244&lt;&gt;"",INDEX(Parties!$E$5:$E$304,V2244)&lt;&gt;"",INDEX(Parties!$E$5:$E$304,V2244)&lt;&gt;HomeState),0,ROUND(L2244*M2244/2,2))),"")</f>
        <v/>
      </c>
      <c r="O2244" s="61" t="str">
        <f aca="false">IF(IsPro,IF($D2244="","",N2244),"")</f>
        <v/>
      </c>
      <c r="P2244" s="61" t="str">
        <f aca="false">IF(IsPro,IF($D2244="","",IF(AND(V2244&lt;&gt;"",INDEX(Parties!$E$5:$E$304,V2244)&lt;&gt;"",INDEX(Parties!$E$5:$E$304,V2244)&lt;&gt;HomeState),ROUND(L2244*M2244,2),0)),"")</f>
        <v/>
      </c>
      <c r="Q2244" s="61" t="str">
        <f aca="false">IF(IsPro,IF($D2244="","",L2244+N2244+O2244+P2244),"")</f>
        <v/>
      </c>
      <c r="R2244" s="61" t="str">
        <f aca="false">IF(IsPro,IF($D2244="","",ROUND(N($E2244)*IFERROR(INDEX(Items!$P$5:$P$504,U2244),0),2)),"")</f>
        <v/>
      </c>
      <c r="S2244" s="61" t="str">
        <f aca="false">IF(IsPro,IF($D2244="","",L2244-R2244),"")</f>
        <v/>
      </c>
      <c r="T2244" s="60" t="str">
        <f aca="false">IF(IsPro,IF($D2244="","",IF(U2244="","UNKNOWN ITEM",IF(INDEX(Items!$O$5:$O$504,U2244)&lt;0,"NEG STOCK",IF(K2244&lt;INDEX(Items!$P$5:$P$504,U2244),"BELOW COST","OK")))),IF($D2244="","","PRO PLAN"))</f>
        <v/>
      </c>
      <c r="U2244" s="60" t="str">
        <f aca="false">IF(IsPro,IF($D2244="","",IFERROR(MATCH($D2244,Items!$A$5:$A$504,0),"")),"")</f>
        <v/>
      </c>
      <c r="V2244" s="60" t="str">
        <f aca="false">IF(IsPro,IF($C2244="","",IFERROR(MATCH($C2244,Parties!$A$5:$A$304,0),"")),"")</f>
        <v/>
      </c>
      <c r="W2244" s="60" t="str">
        <f aca="false">IF(IsPro,IF($B2244="","",IFERROR(VALUE(SUBSTITUTE($B2244,InvPrefix,"")),0)),"")</f>
        <v/>
      </c>
      <c r="X2244" s="61" t="str">
        <f aca="false">IF(IsPro,IF($D2244="","",IF(OR($H2244="",$H2244="Credit"),0,Q2244)),"")</f>
        <v/>
      </c>
    </row>
    <row r="2245" customFormat="false" ht="15" hidden="false" customHeight="false" outlineLevel="0" collapsed="false">
      <c r="A2245" s="55"/>
      <c r="B2245" s="56"/>
      <c r="C2245" s="56"/>
      <c r="D2245" s="56"/>
      <c r="E2245" s="57"/>
      <c r="F2245" s="58"/>
      <c r="G2245" s="59"/>
      <c r="H2245" s="56"/>
      <c r="I2245" s="56"/>
      <c r="J2245" s="60" t="str">
        <f aca="false">IF(IsPro,IF($D2245="","",IFERROR(INDEX(Items!$D$5:$D$504,U2245),"")),"")</f>
        <v/>
      </c>
      <c r="K2245" s="61" t="str">
        <f aca="false">IF(IsPro,IF($D2245="","",IF($F2245="",IFERROR(INDEX(Items!$H$5:$H$504,U2245),0),$F2245)),"")</f>
        <v/>
      </c>
      <c r="L2245" s="61" t="str">
        <f aca="false">IF(IsPro,IF($D2245="","",ROUND(N($E2245)*K2245*(1-N($G2245)),2)),"")</f>
        <v/>
      </c>
      <c r="M2245" s="62" t="str">
        <f aca="false">IF(IsPro,IF($D2245="","",IFERROR(INDEX(Items!$F$5:$F$504,U2245),0)),"")</f>
        <v/>
      </c>
      <c r="N2245" s="61" t="str">
        <f aca="false">IF(IsPro,IF($D2245="","",IF(AND(V2245&lt;&gt;"",INDEX(Parties!$E$5:$E$304,V2245)&lt;&gt;"",INDEX(Parties!$E$5:$E$304,V2245)&lt;&gt;HomeState),0,ROUND(L2245*M2245/2,2))),"")</f>
        <v/>
      </c>
      <c r="O2245" s="61" t="str">
        <f aca="false">IF(IsPro,IF($D2245="","",N2245),"")</f>
        <v/>
      </c>
      <c r="P2245" s="61" t="str">
        <f aca="false">IF(IsPro,IF($D2245="","",IF(AND(V2245&lt;&gt;"",INDEX(Parties!$E$5:$E$304,V2245)&lt;&gt;"",INDEX(Parties!$E$5:$E$304,V2245)&lt;&gt;HomeState),ROUND(L2245*M2245,2),0)),"")</f>
        <v/>
      </c>
      <c r="Q2245" s="61" t="str">
        <f aca="false">IF(IsPro,IF($D2245="","",L2245+N2245+O2245+P2245),"")</f>
        <v/>
      </c>
      <c r="R2245" s="61" t="str">
        <f aca="false">IF(IsPro,IF($D2245="","",ROUND(N($E2245)*IFERROR(INDEX(Items!$P$5:$P$504,U2245),0),2)),"")</f>
        <v/>
      </c>
      <c r="S2245" s="61" t="str">
        <f aca="false">IF(IsPro,IF($D2245="","",L2245-R2245),"")</f>
        <v/>
      </c>
      <c r="T2245" s="60" t="str">
        <f aca="false">IF(IsPro,IF($D2245="","",IF(U2245="","UNKNOWN ITEM",IF(INDEX(Items!$O$5:$O$504,U2245)&lt;0,"NEG STOCK",IF(K2245&lt;INDEX(Items!$P$5:$P$504,U2245),"BELOW COST","OK")))),IF($D2245="","","PRO PLAN"))</f>
        <v/>
      </c>
      <c r="U2245" s="60" t="str">
        <f aca="false">IF(IsPro,IF($D2245="","",IFERROR(MATCH($D2245,Items!$A$5:$A$504,0),"")),"")</f>
        <v/>
      </c>
      <c r="V2245" s="60" t="str">
        <f aca="false">IF(IsPro,IF($C2245="","",IFERROR(MATCH($C2245,Parties!$A$5:$A$304,0),"")),"")</f>
        <v/>
      </c>
      <c r="W2245" s="60" t="str">
        <f aca="false">IF(IsPro,IF($B2245="","",IFERROR(VALUE(SUBSTITUTE($B2245,InvPrefix,"")),0)),"")</f>
        <v/>
      </c>
      <c r="X2245" s="61" t="str">
        <f aca="false">IF(IsPro,IF($D2245="","",IF(OR($H2245="",$H2245="Credit"),0,Q2245)),"")</f>
        <v/>
      </c>
    </row>
    <row r="2246" customFormat="false" ht="15" hidden="false" customHeight="false" outlineLevel="0" collapsed="false">
      <c r="A2246" s="55"/>
      <c r="B2246" s="56"/>
      <c r="C2246" s="56"/>
      <c r="D2246" s="56"/>
      <c r="E2246" s="57"/>
      <c r="F2246" s="58"/>
      <c r="G2246" s="59"/>
      <c r="H2246" s="56"/>
      <c r="I2246" s="56"/>
      <c r="J2246" s="60" t="str">
        <f aca="false">IF(IsPro,IF($D2246="","",IFERROR(INDEX(Items!$D$5:$D$504,U2246),"")),"")</f>
        <v/>
      </c>
      <c r="K2246" s="61" t="str">
        <f aca="false">IF(IsPro,IF($D2246="","",IF($F2246="",IFERROR(INDEX(Items!$H$5:$H$504,U2246),0),$F2246)),"")</f>
        <v/>
      </c>
      <c r="L2246" s="61" t="str">
        <f aca="false">IF(IsPro,IF($D2246="","",ROUND(N($E2246)*K2246*(1-N($G2246)),2)),"")</f>
        <v/>
      </c>
      <c r="M2246" s="62" t="str">
        <f aca="false">IF(IsPro,IF($D2246="","",IFERROR(INDEX(Items!$F$5:$F$504,U2246),0)),"")</f>
        <v/>
      </c>
      <c r="N2246" s="61" t="str">
        <f aca="false">IF(IsPro,IF($D2246="","",IF(AND(V2246&lt;&gt;"",INDEX(Parties!$E$5:$E$304,V2246)&lt;&gt;"",INDEX(Parties!$E$5:$E$304,V2246)&lt;&gt;HomeState),0,ROUND(L2246*M2246/2,2))),"")</f>
        <v/>
      </c>
      <c r="O2246" s="61" t="str">
        <f aca="false">IF(IsPro,IF($D2246="","",N2246),"")</f>
        <v/>
      </c>
      <c r="P2246" s="61" t="str">
        <f aca="false">IF(IsPro,IF($D2246="","",IF(AND(V2246&lt;&gt;"",INDEX(Parties!$E$5:$E$304,V2246)&lt;&gt;"",INDEX(Parties!$E$5:$E$304,V2246)&lt;&gt;HomeState),ROUND(L2246*M2246,2),0)),"")</f>
        <v/>
      </c>
      <c r="Q2246" s="61" t="str">
        <f aca="false">IF(IsPro,IF($D2246="","",L2246+N2246+O2246+P2246),"")</f>
        <v/>
      </c>
      <c r="R2246" s="61" t="str">
        <f aca="false">IF(IsPro,IF($D2246="","",ROUND(N($E2246)*IFERROR(INDEX(Items!$P$5:$P$504,U2246),0),2)),"")</f>
        <v/>
      </c>
      <c r="S2246" s="61" t="str">
        <f aca="false">IF(IsPro,IF($D2246="","",L2246-R2246),"")</f>
        <v/>
      </c>
      <c r="T2246" s="60" t="str">
        <f aca="false">IF(IsPro,IF($D2246="","",IF(U2246="","UNKNOWN ITEM",IF(INDEX(Items!$O$5:$O$504,U2246)&lt;0,"NEG STOCK",IF(K2246&lt;INDEX(Items!$P$5:$P$504,U2246),"BELOW COST","OK")))),IF($D2246="","","PRO PLAN"))</f>
        <v/>
      </c>
      <c r="U2246" s="60" t="str">
        <f aca="false">IF(IsPro,IF($D2246="","",IFERROR(MATCH($D2246,Items!$A$5:$A$504,0),"")),"")</f>
        <v/>
      </c>
      <c r="V2246" s="60" t="str">
        <f aca="false">IF(IsPro,IF($C2246="","",IFERROR(MATCH($C2246,Parties!$A$5:$A$304,0),"")),"")</f>
        <v/>
      </c>
      <c r="W2246" s="60" t="str">
        <f aca="false">IF(IsPro,IF($B2246="","",IFERROR(VALUE(SUBSTITUTE($B2246,InvPrefix,"")),0)),"")</f>
        <v/>
      </c>
      <c r="X2246" s="61" t="str">
        <f aca="false">IF(IsPro,IF($D2246="","",IF(OR($H2246="",$H2246="Credit"),0,Q2246)),"")</f>
        <v/>
      </c>
    </row>
    <row r="2247" customFormat="false" ht="15" hidden="false" customHeight="false" outlineLevel="0" collapsed="false">
      <c r="A2247" s="55"/>
      <c r="B2247" s="56"/>
      <c r="C2247" s="56"/>
      <c r="D2247" s="56"/>
      <c r="E2247" s="57"/>
      <c r="F2247" s="58"/>
      <c r="G2247" s="59"/>
      <c r="H2247" s="56"/>
      <c r="I2247" s="56"/>
      <c r="J2247" s="60" t="str">
        <f aca="false">IF(IsPro,IF($D2247="","",IFERROR(INDEX(Items!$D$5:$D$504,U2247),"")),"")</f>
        <v/>
      </c>
      <c r="K2247" s="61" t="str">
        <f aca="false">IF(IsPro,IF($D2247="","",IF($F2247="",IFERROR(INDEX(Items!$H$5:$H$504,U2247),0),$F2247)),"")</f>
        <v/>
      </c>
      <c r="L2247" s="61" t="str">
        <f aca="false">IF(IsPro,IF($D2247="","",ROUND(N($E2247)*K2247*(1-N($G2247)),2)),"")</f>
        <v/>
      </c>
      <c r="M2247" s="62" t="str">
        <f aca="false">IF(IsPro,IF($D2247="","",IFERROR(INDEX(Items!$F$5:$F$504,U2247),0)),"")</f>
        <v/>
      </c>
      <c r="N2247" s="61" t="str">
        <f aca="false">IF(IsPro,IF($D2247="","",IF(AND(V2247&lt;&gt;"",INDEX(Parties!$E$5:$E$304,V2247)&lt;&gt;"",INDEX(Parties!$E$5:$E$304,V2247)&lt;&gt;HomeState),0,ROUND(L2247*M2247/2,2))),"")</f>
        <v/>
      </c>
      <c r="O2247" s="61" t="str">
        <f aca="false">IF(IsPro,IF($D2247="","",N2247),"")</f>
        <v/>
      </c>
      <c r="P2247" s="61" t="str">
        <f aca="false">IF(IsPro,IF($D2247="","",IF(AND(V2247&lt;&gt;"",INDEX(Parties!$E$5:$E$304,V2247)&lt;&gt;"",INDEX(Parties!$E$5:$E$304,V2247)&lt;&gt;HomeState),ROUND(L2247*M2247,2),0)),"")</f>
        <v/>
      </c>
      <c r="Q2247" s="61" t="str">
        <f aca="false">IF(IsPro,IF($D2247="","",L2247+N2247+O2247+P2247),"")</f>
        <v/>
      </c>
      <c r="R2247" s="61" t="str">
        <f aca="false">IF(IsPro,IF($D2247="","",ROUND(N($E2247)*IFERROR(INDEX(Items!$P$5:$P$504,U2247),0),2)),"")</f>
        <v/>
      </c>
      <c r="S2247" s="61" t="str">
        <f aca="false">IF(IsPro,IF($D2247="","",L2247-R2247),"")</f>
        <v/>
      </c>
      <c r="T2247" s="60" t="str">
        <f aca="false">IF(IsPro,IF($D2247="","",IF(U2247="","UNKNOWN ITEM",IF(INDEX(Items!$O$5:$O$504,U2247)&lt;0,"NEG STOCK",IF(K2247&lt;INDEX(Items!$P$5:$P$504,U2247),"BELOW COST","OK")))),IF($D2247="","","PRO PLAN"))</f>
        <v/>
      </c>
      <c r="U2247" s="60" t="str">
        <f aca="false">IF(IsPro,IF($D2247="","",IFERROR(MATCH($D2247,Items!$A$5:$A$504,0),"")),"")</f>
        <v/>
      </c>
      <c r="V2247" s="60" t="str">
        <f aca="false">IF(IsPro,IF($C2247="","",IFERROR(MATCH($C2247,Parties!$A$5:$A$304,0),"")),"")</f>
        <v/>
      </c>
      <c r="W2247" s="60" t="str">
        <f aca="false">IF(IsPro,IF($B2247="","",IFERROR(VALUE(SUBSTITUTE($B2247,InvPrefix,"")),0)),"")</f>
        <v/>
      </c>
      <c r="X2247" s="61" t="str">
        <f aca="false">IF(IsPro,IF($D2247="","",IF(OR($H2247="",$H2247="Credit"),0,Q2247)),"")</f>
        <v/>
      </c>
    </row>
    <row r="2248" customFormat="false" ht="15" hidden="false" customHeight="false" outlineLevel="0" collapsed="false">
      <c r="A2248" s="55"/>
      <c r="B2248" s="56"/>
      <c r="C2248" s="56"/>
      <c r="D2248" s="56"/>
      <c r="E2248" s="57"/>
      <c r="F2248" s="58"/>
      <c r="G2248" s="59"/>
      <c r="H2248" s="56"/>
      <c r="I2248" s="56"/>
      <c r="J2248" s="60" t="str">
        <f aca="false">IF(IsPro,IF($D2248="","",IFERROR(INDEX(Items!$D$5:$D$504,U2248),"")),"")</f>
        <v/>
      </c>
      <c r="K2248" s="61" t="str">
        <f aca="false">IF(IsPro,IF($D2248="","",IF($F2248="",IFERROR(INDEX(Items!$H$5:$H$504,U2248),0),$F2248)),"")</f>
        <v/>
      </c>
      <c r="L2248" s="61" t="str">
        <f aca="false">IF(IsPro,IF($D2248="","",ROUND(N($E2248)*K2248*(1-N($G2248)),2)),"")</f>
        <v/>
      </c>
      <c r="M2248" s="62" t="str">
        <f aca="false">IF(IsPro,IF($D2248="","",IFERROR(INDEX(Items!$F$5:$F$504,U2248),0)),"")</f>
        <v/>
      </c>
      <c r="N2248" s="61" t="str">
        <f aca="false">IF(IsPro,IF($D2248="","",IF(AND(V2248&lt;&gt;"",INDEX(Parties!$E$5:$E$304,V2248)&lt;&gt;"",INDEX(Parties!$E$5:$E$304,V2248)&lt;&gt;HomeState),0,ROUND(L2248*M2248/2,2))),"")</f>
        <v/>
      </c>
      <c r="O2248" s="61" t="str">
        <f aca="false">IF(IsPro,IF($D2248="","",N2248),"")</f>
        <v/>
      </c>
      <c r="P2248" s="61" t="str">
        <f aca="false">IF(IsPro,IF($D2248="","",IF(AND(V2248&lt;&gt;"",INDEX(Parties!$E$5:$E$304,V2248)&lt;&gt;"",INDEX(Parties!$E$5:$E$304,V2248)&lt;&gt;HomeState),ROUND(L2248*M2248,2),0)),"")</f>
        <v/>
      </c>
      <c r="Q2248" s="61" t="str">
        <f aca="false">IF(IsPro,IF($D2248="","",L2248+N2248+O2248+P2248),"")</f>
        <v/>
      </c>
      <c r="R2248" s="61" t="str">
        <f aca="false">IF(IsPro,IF($D2248="","",ROUND(N($E2248)*IFERROR(INDEX(Items!$P$5:$P$504,U2248),0),2)),"")</f>
        <v/>
      </c>
      <c r="S2248" s="61" t="str">
        <f aca="false">IF(IsPro,IF($D2248="","",L2248-R2248),"")</f>
        <v/>
      </c>
      <c r="T2248" s="60" t="str">
        <f aca="false">IF(IsPro,IF($D2248="","",IF(U2248="","UNKNOWN ITEM",IF(INDEX(Items!$O$5:$O$504,U2248)&lt;0,"NEG STOCK",IF(K2248&lt;INDEX(Items!$P$5:$P$504,U2248),"BELOW COST","OK")))),IF($D2248="","","PRO PLAN"))</f>
        <v/>
      </c>
      <c r="U2248" s="60" t="str">
        <f aca="false">IF(IsPro,IF($D2248="","",IFERROR(MATCH($D2248,Items!$A$5:$A$504,0),"")),"")</f>
        <v/>
      </c>
      <c r="V2248" s="60" t="str">
        <f aca="false">IF(IsPro,IF($C2248="","",IFERROR(MATCH($C2248,Parties!$A$5:$A$304,0),"")),"")</f>
        <v/>
      </c>
      <c r="W2248" s="60" t="str">
        <f aca="false">IF(IsPro,IF($B2248="","",IFERROR(VALUE(SUBSTITUTE($B2248,InvPrefix,"")),0)),"")</f>
        <v/>
      </c>
      <c r="X2248" s="61" t="str">
        <f aca="false">IF(IsPro,IF($D2248="","",IF(OR($H2248="",$H2248="Credit"),0,Q2248)),"")</f>
        <v/>
      </c>
    </row>
    <row r="2249" customFormat="false" ht="15" hidden="false" customHeight="false" outlineLevel="0" collapsed="false">
      <c r="A2249" s="55"/>
      <c r="B2249" s="56"/>
      <c r="C2249" s="56"/>
      <c r="D2249" s="56"/>
      <c r="E2249" s="57"/>
      <c r="F2249" s="58"/>
      <c r="G2249" s="59"/>
      <c r="H2249" s="56"/>
      <c r="I2249" s="56"/>
      <c r="J2249" s="60" t="str">
        <f aca="false">IF(IsPro,IF($D2249="","",IFERROR(INDEX(Items!$D$5:$D$504,U2249),"")),"")</f>
        <v/>
      </c>
      <c r="K2249" s="61" t="str">
        <f aca="false">IF(IsPro,IF($D2249="","",IF($F2249="",IFERROR(INDEX(Items!$H$5:$H$504,U2249),0),$F2249)),"")</f>
        <v/>
      </c>
      <c r="L2249" s="61" t="str">
        <f aca="false">IF(IsPro,IF($D2249="","",ROUND(N($E2249)*K2249*(1-N($G2249)),2)),"")</f>
        <v/>
      </c>
      <c r="M2249" s="62" t="str">
        <f aca="false">IF(IsPro,IF($D2249="","",IFERROR(INDEX(Items!$F$5:$F$504,U2249),0)),"")</f>
        <v/>
      </c>
      <c r="N2249" s="61" t="str">
        <f aca="false">IF(IsPro,IF($D2249="","",IF(AND(V2249&lt;&gt;"",INDEX(Parties!$E$5:$E$304,V2249)&lt;&gt;"",INDEX(Parties!$E$5:$E$304,V2249)&lt;&gt;HomeState),0,ROUND(L2249*M2249/2,2))),"")</f>
        <v/>
      </c>
      <c r="O2249" s="61" t="str">
        <f aca="false">IF(IsPro,IF($D2249="","",N2249),"")</f>
        <v/>
      </c>
      <c r="P2249" s="61" t="str">
        <f aca="false">IF(IsPro,IF($D2249="","",IF(AND(V2249&lt;&gt;"",INDEX(Parties!$E$5:$E$304,V2249)&lt;&gt;"",INDEX(Parties!$E$5:$E$304,V2249)&lt;&gt;HomeState),ROUND(L2249*M2249,2),0)),"")</f>
        <v/>
      </c>
      <c r="Q2249" s="61" t="str">
        <f aca="false">IF(IsPro,IF($D2249="","",L2249+N2249+O2249+P2249),"")</f>
        <v/>
      </c>
      <c r="R2249" s="61" t="str">
        <f aca="false">IF(IsPro,IF($D2249="","",ROUND(N($E2249)*IFERROR(INDEX(Items!$P$5:$P$504,U2249),0),2)),"")</f>
        <v/>
      </c>
      <c r="S2249" s="61" t="str">
        <f aca="false">IF(IsPro,IF($D2249="","",L2249-R2249),"")</f>
        <v/>
      </c>
      <c r="T2249" s="60" t="str">
        <f aca="false">IF(IsPro,IF($D2249="","",IF(U2249="","UNKNOWN ITEM",IF(INDEX(Items!$O$5:$O$504,U2249)&lt;0,"NEG STOCK",IF(K2249&lt;INDEX(Items!$P$5:$P$504,U2249),"BELOW COST","OK")))),IF($D2249="","","PRO PLAN"))</f>
        <v/>
      </c>
      <c r="U2249" s="60" t="str">
        <f aca="false">IF(IsPro,IF($D2249="","",IFERROR(MATCH($D2249,Items!$A$5:$A$504,0),"")),"")</f>
        <v/>
      </c>
      <c r="V2249" s="60" t="str">
        <f aca="false">IF(IsPro,IF($C2249="","",IFERROR(MATCH($C2249,Parties!$A$5:$A$304,0),"")),"")</f>
        <v/>
      </c>
      <c r="W2249" s="60" t="str">
        <f aca="false">IF(IsPro,IF($B2249="","",IFERROR(VALUE(SUBSTITUTE($B2249,InvPrefix,"")),0)),"")</f>
        <v/>
      </c>
      <c r="X2249" s="61" t="str">
        <f aca="false">IF(IsPro,IF($D2249="","",IF(OR($H2249="",$H2249="Credit"),0,Q2249)),"")</f>
        <v/>
      </c>
    </row>
    <row r="2250" customFormat="false" ht="15" hidden="false" customHeight="false" outlineLevel="0" collapsed="false">
      <c r="A2250" s="55"/>
      <c r="B2250" s="56"/>
      <c r="C2250" s="56"/>
      <c r="D2250" s="56"/>
      <c r="E2250" s="57"/>
      <c r="F2250" s="58"/>
      <c r="G2250" s="59"/>
      <c r="H2250" s="56"/>
      <c r="I2250" s="56"/>
      <c r="J2250" s="60" t="str">
        <f aca="false">IF(IsPro,IF($D2250="","",IFERROR(INDEX(Items!$D$5:$D$504,U2250),"")),"")</f>
        <v/>
      </c>
      <c r="K2250" s="61" t="str">
        <f aca="false">IF(IsPro,IF($D2250="","",IF($F2250="",IFERROR(INDEX(Items!$H$5:$H$504,U2250),0),$F2250)),"")</f>
        <v/>
      </c>
      <c r="L2250" s="61" t="str">
        <f aca="false">IF(IsPro,IF($D2250="","",ROUND(N($E2250)*K2250*(1-N($G2250)),2)),"")</f>
        <v/>
      </c>
      <c r="M2250" s="62" t="str">
        <f aca="false">IF(IsPro,IF($D2250="","",IFERROR(INDEX(Items!$F$5:$F$504,U2250),0)),"")</f>
        <v/>
      </c>
      <c r="N2250" s="61" t="str">
        <f aca="false">IF(IsPro,IF($D2250="","",IF(AND(V2250&lt;&gt;"",INDEX(Parties!$E$5:$E$304,V2250)&lt;&gt;"",INDEX(Parties!$E$5:$E$304,V2250)&lt;&gt;HomeState),0,ROUND(L2250*M2250/2,2))),"")</f>
        <v/>
      </c>
      <c r="O2250" s="61" t="str">
        <f aca="false">IF(IsPro,IF($D2250="","",N2250),"")</f>
        <v/>
      </c>
      <c r="P2250" s="61" t="str">
        <f aca="false">IF(IsPro,IF($D2250="","",IF(AND(V2250&lt;&gt;"",INDEX(Parties!$E$5:$E$304,V2250)&lt;&gt;"",INDEX(Parties!$E$5:$E$304,V2250)&lt;&gt;HomeState),ROUND(L2250*M2250,2),0)),"")</f>
        <v/>
      </c>
      <c r="Q2250" s="61" t="str">
        <f aca="false">IF(IsPro,IF($D2250="","",L2250+N2250+O2250+P2250),"")</f>
        <v/>
      </c>
      <c r="R2250" s="61" t="str">
        <f aca="false">IF(IsPro,IF($D2250="","",ROUND(N($E2250)*IFERROR(INDEX(Items!$P$5:$P$504,U2250),0),2)),"")</f>
        <v/>
      </c>
      <c r="S2250" s="61" t="str">
        <f aca="false">IF(IsPro,IF($D2250="","",L2250-R2250),"")</f>
        <v/>
      </c>
      <c r="T2250" s="60" t="str">
        <f aca="false">IF(IsPro,IF($D2250="","",IF(U2250="","UNKNOWN ITEM",IF(INDEX(Items!$O$5:$O$504,U2250)&lt;0,"NEG STOCK",IF(K2250&lt;INDEX(Items!$P$5:$P$504,U2250),"BELOW COST","OK")))),IF($D2250="","","PRO PLAN"))</f>
        <v/>
      </c>
      <c r="U2250" s="60" t="str">
        <f aca="false">IF(IsPro,IF($D2250="","",IFERROR(MATCH($D2250,Items!$A$5:$A$504,0),"")),"")</f>
        <v/>
      </c>
      <c r="V2250" s="60" t="str">
        <f aca="false">IF(IsPro,IF($C2250="","",IFERROR(MATCH($C2250,Parties!$A$5:$A$304,0),"")),"")</f>
        <v/>
      </c>
      <c r="W2250" s="60" t="str">
        <f aca="false">IF(IsPro,IF($B2250="","",IFERROR(VALUE(SUBSTITUTE($B2250,InvPrefix,"")),0)),"")</f>
        <v/>
      </c>
      <c r="X2250" s="61" t="str">
        <f aca="false">IF(IsPro,IF($D2250="","",IF(OR($H2250="",$H2250="Credit"),0,Q2250)),"")</f>
        <v/>
      </c>
    </row>
    <row r="2251" customFormat="false" ht="15" hidden="false" customHeight="false" outlineLevel="0" collapsed="false">
      <c r="A2251" s="55"/>
      <c r="B2251" s="56"/>
      <c r="C2251" s="56"/>
      <c r="D2251" s="56"/>
      <c r="E2251" s="57"/>
      <c r="F2251" s="58"/>
      <c r="G2251" s="59"/>
      <c r="H2251" s="56"/>
      <c r="I2251" s="56"/>
      <c r="J2251" s="60" t="str">
        <f aca="false">IF(IsPro,IF($D2251="","",IFERROR(INDEX(Items!$D$5:$D$504,U2251),"")),"")</f>
        <v/>
      </c>
      <c r="K2251" s="61" t="str">
        <f aca="false">IF(IsPro,IF($D2251="","",IF($F2251="",IFERROR(INDEX(Items!$H$5:$H$504,U2251),0),$F2251)),"")</f>
        <v/>
      </c>
      <c r="L2251" s="61" t="str">
        <f aca="false">IF(IsPro,IF($D2251="","",ROUND(N($E2251)*K2251*(1-N($G2251)),2)),"")</f>
        <v/>
      </c>
      <c r="M2251" s="62" t="str">
        <f aca="false">IF(IsPro,IF($D2251="","",IFERROR(INDEX(Items!$F$5:$F$504,U2251),0)),"")</f>
        <v/>
      </c>
      <c r="N2251" s="61" t="str">
        <f aca="false">IF(IsPro,IF($D2251="","",IF(AND(V2251&lt;&gt;"",INDEX(Parties!$E$5:$E$304,V2251)&lt;&gt;"",INDEX(Parties!$E$5:$E$304,V2251)&lt;&gt;HomeState),0,ROUND(L2251*M2251/2,2))),"")</f>
        <v/>
      </c>
      <c r="O2251" s="61" t="str">
        <f aca="false">IF(IsPro,IF($D2251="","",N2251),"")</f>
        <v/>
      </c>
      <c r="P2251" s="61" t="str">
        <f aca="false">IF(IsPro,IF($D2251="","",IF(AND(V2251&lt;&gt;"",INDEX(Parties!$E$5:$E$304,V2251)&lt;&gt;"",INDEX(Parties!$E$5:$E$304,V2251)&lt;&gt;HomeState),ROUND(L2251*M2251,2),0)),"")</f>
        <v/>
      </c>
      <c r="Q2251" s="61" t="str">
        <f aca="false">IF(IsPro,IF($D2251="","",L2251+N2251+O2251+P2251),"")</f>
        <v/>
      </c>
      <c r="R2251" s="61" t="str">
        <f aca="false">IF(IsPro,IF($D2251="","",ROUND(N($E2251)*IFERROR(INDEX(Items!$P$5:$P$504,U2251),0),2)),"")</f>
        <v/>
      </c>
      <c r="S2251" s="61" t="str">
        <f aca="false">IF(IsPro,IF($D2251="","",L2251-R2251),"")</f>
        <v/>
      </c>
      <c r="T2251" s="60" t="str">
        <f aca="false">IF(IsPro,IF($D2251="","",IF(U2251="","UNKNOWN ITEM",IF(INDEX(Items!$O$5:$O$504,U2251)&lt;0,"NEG STOCK",IF(K2251&lt;INDEX(Items!$P$5:$P$504,U2251),"BELOW COST","OK")))),IF($D2251="","","PRO PLAN"))</f>
        <v/>
      </c>
      <c r="U2251" s="60" t="str">
        <f aca="false">IF(IsPro,IF($D2251="","",IFERROR(MATCH($D2251,Items!$A$5:$A$504,0),"")),"")</f>
        <v/>
      </c>
      <c r="V2251" s="60" t="str">
        <f aca="false">IF(IsPro,IF($C2251="","",IFERROR(MATCH($C2251,Parties!$A$5:$A$304,0),"")),"")</f>
        <v/>
      </c>
      <c r="W2251" s="60" t="str">
        <f aca="false">IF(IsPro,IF($B2251="","",IFERROR(VALUE(SUBSTITUTE($B2251,InvPrefix,"")),0)),"")</f>
        <v/>
      </c>
      <c r="X2251" s="61" t="str">
        <f aca="false">IF(IsPro,IF($D2251="","",IF(OR($H2251="",$H2251="Credit"),0,Q2251)),"")</f>
        <v/>
      </c>
    </row>
    <row r="2252" customFormat="false" ht="15" hidden="false" customHeight="false" outlineLevel="0" collapsed="false">
      <c r="A2252" s="55"/>
      <c r="B2252" s="56"/>
      <c r="C2252" s="56"/>
      <c r="D2252" s="56"/>
      <c r="E2252" s="57"/>
      <c r="F2252" s="58"/>
      <c r="G2252" s="59"/>
      <c r="H2252" s="56"/>
      <c r="I2252" s="56"/>
      <c r="J2252" s="60" t="str">
        <f aca="false">IF(IsPro,IF($D2252="","",IFERROR(INDEX(Items!$D$5:$D$504,U2252),"")),"")</f>
        <v/>
      </c>
      <c r="K2252" s="61" t="str">
        <f aca="false">IF(IsPro,IF($D2252="","",IF($F2252="",IFERROR(INDEX(Items!$H$5:$H$504,U2252),0),$F2252)),"")</f>
        <v/>
      </c>
      <c r="L2252" s="61" t="str">
        <f aca="false">IF(IsPro,IF($D2252="","",ROUND(N($E2252)*K2252*(1-N($G2252)),2)),"")</f>
        <v/>
      </c>
      <c r="M2252" s="62" t="str">
        <f aca="false">IF(IsPro,IF($D2252="","",IFERROR(INDEX(Items!$F$5:$F$504,U2252),0)),"")</f>
        <v/>
      </c>
      <c r="N2252" s="61" t="str">
        <f aca="false">IF(IsPro,IF($D2252="","",IF(AND(V2252&lt;&gt;"",INDEX(Parties!$E$5:$E$304,V2252)&lt;&gt;"",INDEX(Parties!$E$5:$E$304,V2252)&lt;&gt;HomeState),0,ROUND(L2252*M2252/2,2))),"")</f>
        <v/>
      </c>
      <c r="O2252" s="61" t="str">
        <f aca="false">IF(IsPro,IF($D2252="","",N2252),"")</f>
        <v/>
      </c>
      <c r="P2252" s="61" t="str">
        <f aca="false">IF(IsPro,IF($D2252="","",IF(AND(V2252&lt;&gt;"",INDEX(Parties!$E$5:$E$304,V2252)&lt;&gt;"",INDEX(Parties!$E$5:$E$304,V2252)&lt;&gt;HomeState),ROUND(L2252*M2252,2),0)),"")</f>
        <v/>
      </c>
      <c r="Q2252" s="61" t="str">
        <f aca="false">IF(IsPro,IF($D2252="","",L2252+N2252+O2252+P2252),"")</f>
        <v/>
      </c>
      <c r="R2252" s="61" t="str">
        <f aca="false">IF(IsPro,IF($D2252="","",ROUND(N($E2252)*IFERROR(INDEX(Items!$P$5:$P$504,U2252),0),2)),"")</f>
        <v/>
      </c>
      <c r="S2252" s="61" t="str">
        <f aca="false">IF(IsPro,IF($D2252="","",L2252-R2252),"")</f>
        <v/>
      </c>
      <c r="T2252" s="60" t="str">
        <f aca="false">IF(IsPro,IF($D2252="","",IF(U2252="","UNKNOWN ITEM",IF(INDEX(Items!$O$5:$O$504,U2252)&lt;0,"NEG STOCK",IF(K2252&lt;INDEX(Items!$P$5:$P$504,U2252),"BELOW COST","OK")))),IF($D2252="","","PRO PLAN"))</f>
        <v/>
      </c>
      <c r="U2252" s="60" t="str">
        <f aca="false">IF(IsPro,IF($D2252="","",IFERROR(MATCH($D2252,Items!$A$5:$A$504,0),"")),"")</f>
        <v/>
      </c>
      <c r="V2252" s="60" t="str">
        <f aca="false">IF(IsPro,IF($C2252="","",IFERROR(MATCH($C2252,Parties!$A$5:$A$304,0),"")),"")</f>
        <v/>
      </c>
      <c r="W2252" s="60" t="str">
        <f aca="false">IF(IsPro,IF($B2252="","",IFERROR(VALUE(SUBSTITUTE($B2252,InvPrefix,"")),0)),"")</f>
        <v/>
      </c>
      <c r="X2252" s="61" t="str">
        <f aca="false">IF(IsPro,IF($D2252="","",IF(OR($H2252="",$H2252="Credit"),0,Q2252)),"")</f>
        <v/>
      </c>
    </row>
    <row r="2253" customFormat="false" ht="15" hidden="false" customHeight="false" outlineLevel="0" collapsed="false">
      <c r="A2253" s="55"/>
      <c r="B2253" s="56"/>
      <c r="C2253" s="56"/>
      <c r="D2253" s="56"/>
      <c r="E2253" s="57"/>
      <c r="F2253" s="58"/>
      <c r="G2253" s="59"/>
      <c r="H2253" s="56"/>
      <c r="I2253" s="56"/>
      <c r="J2253" s="60" t="str">
        <f aca="false">IF(IsPro,IF($D2253="","",IFERROR(INDEX(Items!$D$5:$D$504,U2253),"")),"")</f>
        <v/>
      </c>
      <c r="K2253" s="61" t="str">
        <f aca="false">IF(IsPro,IF($D2253="","",IF($F2253="",IFERROR(INDEX(Items!$H$5:$H$504,U2253),0),$F2253)),"")</f>
        <v/>
      </c>
      <c r="L2253" s="61" t="str">
        <f aca="false">IF(IsPro,IF($D2253="","",ROUND(N($E2253)*K2253*(1-N($G2253)),2)),"")</f>
        <v/>
      </c>
      <c r="M2253" s="62" t="str">
        <f aca="false">IF(IsPro,IF($D2253="","",IFERROR(INDEX(Items!$F$5:$F$504,U2253),0)),"")</f>
        <v/>
      </c>
      <c r="N2253" s="61" t="str">
        <f aca="false">IF(IsPro,IF($D2253="","",IF(AND(V2253&lt;&gt;"",INDEX(Parties!$E$5:$E$304,V2253)&lt;&gt;"",INDEX(Parties!$E$5:$E$304,V2253)&lt;&gt;HomeState),0,ROUND(L2253*M2253/2,2))),"")</f>
        <v/>
      </c>
      <c r="O2253" s="61" t="str">
        <f aca="false">IF(IsPro,IF($D2253="","",N2253),"")</f>
        <v/>
      </c>
      <c r="P2253" s="61" t="str">
        <f aca="false">IF(IsPro,IF($D2253="","",IF(AND(V2253&lt;&gt;"",INDEX(Parties!$E$5:$E$304,V2253)&lt;&gt;"",INDEX(Parties!$E$5:$E$304,V2253)&lt;&gt;HomeState),ROUND(L2253*M2253,2),0)),"")</f>
        <v/>
      </c>
      <c r="Q2253" s="61" t="str">
        <f aca="false">IF(IsPro,IF($D2253="","",L2253+N2253+O2253+P2253),"")</f>
        <v/>
      </c>
      <c r="R2253" s="61" t="str">
        <f aca="false">IF(IsPro,IF($D2253="","",ROUND(N($E2253)*IFERROR(INDEX(Items!$P$5:$P$504,U2253),0),2)),"")</f>
        <v/>
      </c>
      <c r="S2253" s="61" t="str">
        <f aca="false">IF(IsPro,IF($D2253="","",L2253-R2253),"")</f>
        <v/>
      </c>
      <c r="T2253" s="60" t="str">
        <f aca="false">IF(IsPro,IF($D2253="","",IF(U2253="","UNKNOWN ITEM",IF(INDEX(Items!$O$5:$O$504,U2253)&lt;0,"NEG STOCK",IF(K2253&lt;INDEX(Items!$P$5:$P$504,U2253),"BELOW COST","OK")))),IF($D2253="","","PRO PLAN"))</f>
        <v/>
      </c>
      <c r="U2253" s="60" t="str">
        <f aca="false">IF(IsPro,IF($D2253="","",IFERROR(MATCH($D2253,Items!$A$5:$A$504,0),"")),"")</f>
        <v/>
      </c>
      <c r="V2253" s="60" t="str">
        <f aca="false">IF(IsPro,IF($C2253="","",IFERROR(MATCH($C2253,Parties!$A$5:$A$304,0),"")),"")</f>
        <v/>
      </c>
      <c r="W2253" s="60" t="str">
        <f aca="false">IF(IsPro,IF($B2253="","",IFERROR(VALUE(SUBSTITUTE($B2253,InvPrefix,"")),0)),"")</f>
        <v/>
      </c>
      <c r="X2253" s="61" t="str">
        <f aca="false">IF(IsPro,IF($D2253="","",IF(OR($H2253="",$H2253="Credit"),0,Q2253)),"")</f>
        <v/>
      </c>
    </row>
    <row r="2254" customFormat="false" ht="15" hidden="false" customHeight="false" outlineLevel="0" collapsed="false">
      <c r="A2254" s="55"/>
      <c r="B2254" s="56"/>
      <c r="C2254" s="56"/>
      <c r="D2254" s="56"/>
      <c r="E2254" s="57"/>
      <c r="F2254" s="58"/>
      <c r="G2254" s="59"/>
      <c r="H2254" s="56"/>
      <c r="I2254" s="56"/>
      <c r="J2254" s="60" t="str">
        <f aca="false">IF(IsPro,IF($D2254="","",IFERROR(INDEX(Items!$D$5:$D$504,U2254),"")),"")</f>
        <v/>
      </c>
      <c r="K2254" s="61" t="str">
        <f aca="false">IF(IsPro,IF($D2254="","",IF($F2254="",IFERROR(INDEX(Items!$H$5:$H$504,U2254),0),$F2254)),"")</f>
        <v/>
      </c>
      <c r="L2254" s="61" t="str">
        <f aca="false">IF(IsPro,IF($D2254="","",ROUND(N($E2254)*K2254*(1-N($G2254)),2)),"")</f>
        <v/>
      </c>
      <c r="M2254" s="62" t="str">
        <f aca="false">IF(IsPro,IF($D2254="","",IFERROR(INDEX(Items!$F$5:$F$504,U2254),0)),"")</f>
        <v/>
      </c>
      <c r="N2254" s="61" t="str">
        <f aca="false">IF(IsPro,IF($D2254="","",IF(AND(V2254&lt;&gt;"",INDEX(Parties!$E$5:$E$304,V2254)&lt;&gt;"",INDEX(Parties!$E$5:$E$304,V2254)&lt;&gt;HomeState),0,ROUND(L2254*M2254/2,2))),"")</f>
        <v/>
      </c>
      <c r="O2254" s="61" t="str">
        <f aca="false">IF(IsPro,IF($D2254="","",N2254),"")</f>
        <v/>
      </c>
      <c r="P2254" s="61" t="str">
        <f aca="false">IF(IsPro,IF($D2254="","",IF(AND(V2254&lt;&gt;"",INDEX(Parties!$E$5:$E$304,V2254)&lt;&gt;"",INDEX(Parties!$E$5:$E$304,V2254)&lt;&gt;HomeState),ROUND(L2254*M2254,2),0)),"")</f>
        <v/>
      </c>
      <c r="Q2254" s="61" t="str">
        <f aca="false">IF(IsPro,IF($D2254="","",L2254+N2254+O2254+P2254),"")</f>
        <v/>
      </c>
      <c r="R2254" s="61" t="str">
        <f aca="false">IF(IsPro,IF($D2254="","",ROUND(N($E2254)*IFERROR(INDEX(Items!$P$5:$P$504,U2254),0),2)),"")</f>
        <v/>
      </c>
      <c r="S2254" s="61" t="str">
        <f aca="false">IF(IsPro,IF($D2254="","",L2254-R2254),"")</f>
        <v/>
      </c>
      <c r="T2254" s="60" t="str">
        <f aca="false">IF(IsPro,IF($D2254="","",IF(U2254="","UNKNOWN ITEM",IF(INDEX(Items!$O$5:$O$504,U2254)&lt;0,"NEG STOCK",IF(K2254&lt;INDEX(Items!$P$5:$P$504,U2254),"BELOW COST","OK")))),IF($D2254="","","PRO PLAN"))</f>
        <v/>
      </c>
      <c r="U2254" s="60" t="str">
        <f aca="false">IF(IsPro,IF($D2254="","",IFERROR(MATCH($D2254,Items!$A$5:$A$504,0),"")),"")</f>
        <v/>
      </c>
      <c r="V2254" s="60" t="str">
        <f aca="false">IF(IsPro,IF($C2254="","",IFERROR(MATCH($C2254,Parties!$A$5:$A$304,0),"")),"")</f>
        <v/>
      </c>
      <c r="W2254" s="60" t="str">
        <f aca="false">IF(IsPro,IF($B2254="","",IFERROR(VALUE(SUBSTITUTE($B2254,InvPrefix,"")),0)),"")</f>
        <v/>
      </c>
      <c r="X2254" s="61" t="str">
        <f aca="false">IF(IsPro,IF($D2254="","",IF(OR($H2254="",$H2254="Credit"),0,Q2254)),"")</f>
        <v/>
      </c>
    </row>
    <row r="2255" customFormat="false" ht="15" hidden="false" customHeight="false" outlineLevel="0" collapsed="false">
      <c r="A2255" s="55"/>
      <c r="B2255" s="56"/>
      <c r="C2255" s="56"/>
      <c r="D2255" s="56"/>
      <c r="E2255" s="57"/>
      <c r="F2255" s="58"/>
      <c r="G2255" s="59"/>
      <c r="H2255" s="56"/>
      <c r="I2255" s="56"/>
      <c r="J2255" s="60" t="str">
        <f aca="false">IF(IsPro,IF($D2255="","",IFERROR(INDEX(Items!$D$5:$D$504,U2255),"")),"")</f>
        <v/>
      </c>
      <c r="K2255" s="61" t="str">
        <f aca="false">IF(IsPro,IF($D2255="","",IF($F2255="",IFERROR(INDEX(Items!$H$5:$H$504,U2255),0),$F2255)),"")</f>
        <v/>
      </c>
      <c r="L2255" s="61" t="str">
        <f aca="false">IF(IsPro,IF($D2255="","",ROUND(N($E2255)*K2255*(1-N($G2255)),2)),"")</f>
        <v/>
      </c>
      <c r="M2255" s="62" t="str">
        <f aca="false">IF(IsPro,IF($D2255="","",IFERROR(INDEX(Items!$F$5:$F$504,U2255),0)),"")</f>
        <v/>
      </c>
      <c r="N2255" s="61" t="str">
        <f aca="false">IF(IsPro,IF($D2255="","",IF(AND(V2255&lt;&gt;"",INDEX(Parties!$E$5:$E$304,V2255)&lt;&gt;"",INDEX(Parties!$E$5:$E$304,V2255)&lt;&gt;HomeState),0,ROUND(L2255*M2255/2,2))),"")</f>
        <v/>
      </c>
      <c r="O2255" s="61" t="str">
        <f aca="false">IF(IsPro,IF($D2255="","",N2255),"")</f>
        <v/>
      </c>
      <c r="P2255" s="61" t="str">
        <f aca="false">IF(IsPro,IF($D2255="","",IF(AND(V2255&lt;&gt;"",INDEX(Parties!$E$5:$E$304,V2255)&lt;&gt;"",INDEX(Parties!$E$5:$E$304,V2255)&lt;&gt;HomeState),ROUND(L2255*M2255,2),0)),"")</f>
        <v/>
      </c>
      <c r="Q2255" s="61" t="str">
        <f aca="false">IF(IsPro,IF($D2255="","",L2255+N2255+O2255+P2255),"")</f>
        <v/>
      </c>
      <c r="R2255" s="61" t="str">
        <f aca="false">IF(IsPro,IF($D2255="","",ROUND(N($E2255)*IFERROR(INDEX(Items!$P$5:$P$504,U2255),0),2)),"")</f>
        <v/>
      </c>
      <c r="S2255" s="61" t="str">
        <f aca="false">IF(IsPro,IF($D2255="","",L2255-R2255),"")</f>
        <v/>
      </c>
      <c r="T2255" s="60" t="str">
        <f aca="false">IF(IsPro,IF($D2255="","",IF(U2255="","UNKNOWN ITEM",IF(INDEX(Items!$O$5:$O$504,U2255)&lt;0,"NEG STOCK",IF(K2255&lt;INDEX(Items!$P$5:$P$504,U2255),"BELOW COST","OK")))),IF($D2255="","","PRO PLAN"))</f>
        <v/>
      </c>
      <c r="U2255" s="60" t="str">
        <f aca="false">IF(IsPro,IF($D2255="","",IFERROR(MATCH($D2255,Items!$A$5:$A$504,0),"")),"")</f>
        <v/>
      </c>
      <c r="V2255" s="60" t="str">
        <f aca="false">IF(IsPro,IF($C2255="","",IFERROR(MATCH($C2255,Parties!$A$5:$A$304,0),"")),"")</f>
        <v/>
      </c>
      <c r="W2255" s="60" t="str">
        <f aca="false">IF(IsPro,IF($B2255="","",IFERROR(VALUE(SUBSTITUTE($B2255,InvPrefix,"")),0)),"")</f>
        <v/>
      </c>
      <c r="X2255" s="61" t="str">
        <f aca="false">IF(IsPro,IF($D2255="","",IF(OR($H2255="",$H2255="Credit"),0,Q2255)),"")</f>
        <v/>
      </c>
    </row>
    <row r="2256" customFormat="false" ht="15" hidden="false" customHeight="false" outlineLevel="0" collapsed="false">
      <c r="A2256" s="55"/>
      <c r="B2256" s="56"/>
      <c r="C2256" s="56"/>
      <c r="D2256" s="56"/>
      <c r="E2256" s="57"/>
      <c r="F2256" s="58"/>
      <c r="G2256" s="59"/>
      <c r="H2256" s="56"/>
      <c r="I2256" s="56"/>
      <c r="J2256" s="60" t="str">
        <f aca="false">IF(IsPro,IF($D2256="","",IFERROR(INDEX(Items!$D$5:$D$504,U2256),"")),"")</f>
        <v/>
      </c>
      <c r="K2256" s="61" t="str">
        <f aca="false">IF(IsPro,IF($D2256="","",IF($F2256="",IFERROR(INDEX(Items!$H$5:$H$504,U2256),0),$F2256)),"")</f>
        <v/>
      </c>
      <c r="L2256" s="61" t="str">
        <f aca="false">IF(IsPro,IF($D2256="","",ROUND(N($E2256)*K2256*(1-N($G2256)),2)),"")</f>
        <v/>
      </c>
      <c r="M2256" s="62" t="str">
        <f aca="false">IF(IsPro,IF($D2256="","",IFERROR(INDEX(Items!$F$5:$F$504,U2256),0)),"")</f>
        <v/>
      </c>
      <c r="N2256" s="61" t="str">
        <f aca="false">IF(IsPro,IF($D2256="","",IF(AND(V2256&lt;&gt;"",INDEX(Parties!$E$5:$E$304,V2256)&lt;&gt;"",INDEX(Parties!$E$5:$E$304,V2256)&lt;&gt;HomeState),0,ROUND(L2256*M2256/2,2))),"")</f>
        <v/>
      </c>
      <c r="O2256" s="61" t="str">
        <f aca="false">IF(IsPro,IF($D2256="","",N2256),"")</f>
        <v/>
      </c>
      <c r="P2256" s="61" t="str">
        <f aca="false">IF(IsPro,IF($D2256="","",IF(AND(V2256&lt;&gt;"",INDEX(Parties!$E$5:$E$304,V2256)&lt;&gt;"",INDEX(Parties!$E$5:$E$304,V2256)&lt;&gt;HomeState),ROUND(L2256*M2256,2),0)),"")</f>
        <v/>
      </c>
      <c r="Q2256" s="61" t="str">
        <f aca="false">IF(IsPro,IF($D2256="","",L2256+N2256+O2256+P2256),"")</f>
        <v/>
      </c>
      <c r="R2256" s="61" t="str">
        <f aca="false">IF(IsPro,IF($D2256="","",ROUND(N($E2256)*IFERROR(INDEX(Items!$P$5:$P$504,U2256),0),2)),"")</f>
        <v/>
      </c>
      <c r="S2256" s="61" t="str">
        <f aca="false">IF(IsPro,IF($D2256="","",L2256-R2256),"")</f>
        <v/>
      </c>
      <c r="T2256" s="60" t="str">
        <f aca="false">IF(IsPro,IF($D2256="","",IF(U2256="","UNKNOWN ITEM",IF(INDEX(Items!$O$5:$O$504,U2256)&lt;0,"NEG STOCK",IF(K2256&lt;INDEX(Items!$P$5:$P$504,U2256),"BELOW COST","OK")))),IF($D2256="","","PRO PLAN"))</f>
        <v/>
      </c>
      <c r="U2256" s="60" t="str">
        <f aca="false">IF(IsPro,IF($D2256="","",IFERROR(MATCH($D2256,Items!$A$5:$A$504,0),"")),"")</f>
        <v/>
      </c>
      <c r="V2256" s="60" t="str">
        <f aca="false">IF(IsPro,IF($C2256="","",IFERROR(MATCH($C2256,Parties!$A$5:$A$304,0),"")),"")</f>
        <v/>
      </c>
      <c r="W2256" s="60" t="str">
        <f aca="false">IF(IsPro,IF($B2256="","",IFERROR(VALUE(SUBSTITUTE($B2256,InvPrefix,"")),0)),"")</f>
        <v/>
      </c>
      <c r="X2256" s="61" t="str">
        <f aca="false">IF(IsPro,IF($D2256="","",IF(OR($H2256="",$H2256="Credit"),0,Q2256)),"")</f>
        <v/>
      </c>
    </row>
    <row r="2257" customFormat="false" ht="15" hidden="false" customHeight="false" outlineLevel="0" collapsed="false">
      <c r="A2257" s="55"/>
      <c r="B2257" s="56"/>
      <c r="C2257" s="56"/>
      <c r="D2257" s="56"/>
      <c r="E2257" s="57"/>
      <c r="F2257" s="58"/>
      <c r="G2257" s="59"/>
      <c r="H2257" s="56"/>
      <c r="I2257" s="56"/>
      <c r="J2257" s="60" t="str">
        <f aca="false">IF(IsPro,IF($D2257="","",IFERROR(INDEX(Items!$D$5:$D$504,U2257),"")),"")</f>
        <v/>
      </c>
      <c r="K2257" s="61" t="str">
        <f aca="false">IF(IsPro,IF($D2257="","",IF($F2257="",IFERROR(INDEX(Items!$H$5:$H$504,U2257),0),$F2257)),"")</f>
        <v/>
      </c>
      <c r="L2257" s="61" t="str">
        <f aca="false">IF(IsPro,IF($D2257="","",ROUND(N($E2257)*K2257*(1-N($G2257)),2)),"")</f>
        <v/>
      </c>
      <c r="M2257" s="62" t="str">
        <f aca="false">IF(IsPro,IF($D2257="","",IFERROR(INDEX(Items!$F$5:$F$504,U2257),0)),"")</f>
        <v/>
      </c>
      <c r="N2257" s="61" t="str">
        <f aca="false">IF(IsPro,IF($D2257="","",IF(AND(V2257&lt;&gt;"",INDEX(Parties!$E$5:$E$304,V2257)&lt;&gt;"",INDEX(Parties!$E$5:$E$304,V2257)&lt;&gt;HomeState),0,ROUND(L2257*M2257/2,2))),"")</f>
        <v/>
      </c>
      <c r="O2257" s="61" t="str">
        <f aca="false">IF(IsPro,IF($D2257="","",N2257),"")</f>
        <v/>
      </c>
      <c r="P2257" s="61" t="str">
        <f aca="false">IF(IsPro,IF($D2257="","",IF(AND(V2257&lt;&gt;"",INDEX(Parties!$E$5:$E$304,V2257)&lt;&gt;"",INDEX(Parties!$E$5:$E$304,V2257)&lt;&gt;HomeState),ROUND(L2257*M2257,2),0)),"")</f>
        <v/>
      </c>
      <c r="Q2257" s="61" t="str">
        <f aca="false">IF(IsPro,IF($D2257="","",L2257+N2257+O2257+P2257),"")</f>
        <v/>
      </c>
      <c r="R2257" s="61" t="str">
        <f aca="false">IF(IsPro,IF($D2257="","",ROUND(N($E2257)*IFERROR(INDEX(Items!$P$5:$P$504,U2257),0),2)),"")</f>
        <v/>
      </c>
      <c r="S2257" s="61" t="str">
        <f aca="false">IF(IsPro,IF($D2257="","",L2257-R2257),"")</f>
        <v/>
      </c>
      <c r="T2257" s="60" t="str">
        <f aca="false">IF(IsPro,IF($D2257="","",IF(U2257="","UNKNOWN ITEM",IF(INDEX(Items!$O$5:$O$504,U2257)&lt;0,"NEG STOCK",IF(K2257&lt;INDEX(Items!$P$5:$P$504,U2257),"BELOW COST","OK")))),IF($D2257="","","PRO PLAN"))</f>
        <v/>
      </c>
      <c r="U2257" s="60" t="str">
        <f aca="false">IF(IsPro,IF($D2257="","",IFERROR(MATCH($D2257,Items!$A$5:$A$504,0),"")),"")</f>
        <v/>
      </c>
      <c r="V2257" s="60" t="str">
        <f aca="false">IF(IsPro,IF($C2257="","",IFERROR(MATCH($C2257,Parties!$A$5:$A$304,0),"")),"")</f>
        <v/>
      </c>
      <c r="W2257" s="60" t="str">
        <f aca="false">IF(IsPro,IF($B2257="","",IFERROR(VALUE(SUBSTITUTE($B2257,InvPrefix,"")),0)),"")</f>
        <v/>
      </c>
      <c r="X2257" s="61" t="str">
        <f aca="false">IF(IsPro,IF($D2257="","",IF(OR($H2257="",$H2257="Credit"),0,Q2257)),"")</f>
        <v/>
      </c>
    </row>
    <row r="2258" customFormat="false" ht="15" hidden="false" customHeight="false" outlineLevel="0" collapsed="false">
      <c r="A2258" s="55"/>
      <c r="B2258" s="56"/>
      <c r="C2258" s="56"/>
      <c r="D2258" s="56"/>
      <c r="E2258" s="57"/>
      <c r="F2258" s="58"/>
      <c r="G2258" s="59"/>
      <c r="H2258" s="56"/>
      <c r="I2258" s="56"/>
      <c r="J2258" s="60" t="str">
        <f aca="false">IF(IsPro,IF($D2258="","",IFERROR(INDEX(Items!$D$5:$D$504,U2258),"")),"")</f>
        <v/>
      </c>
      <c r="K2258" s="61" t="str">
        <f aca="false">IF(IsPro,IF($D2258="","",IF($F2258="",IFERROR(INDEX(Items!$H$5:$H$504,U2258),0),$F2258)),"")</f>
        <v/>
      </c>
      <c r="L2258" s="61" t="str">
        <f aca="false">IF(IsPro,IF($D2258="","",ROUND(N($E2258)*K2258*(1-N($G2258)),2)),"")</f>
        <v/>
      </c>
      <c r="M2258" s="62" t="str">
        <f aca="false">IF(IsPro,IF($D2258="","",IFERROR(INDEX(Items!$F$5:$F$504,U2258),0)),"")</f>
        <v/>
      </c>
      <c r="N2258" s="61" t="str">
        <f aca="false">IF(IsPro,IF($D2258="","",IF(AND(V2258&lt;&gt;"",INDEX(Parties!$E$5:$E$304,V2258)&lt;&gt;"",INDEX(Parties!$E$5:$E$304,V2258)&lt;&gt;HomeState),0,ROUND(L2258*M2258/2,2))),"")</f>
        <v/>
      </c>
      <c r="O2258" s="61" t="str">
        <f aca="false">IF(IsPro,IF($D2258="","",N2258),"")</f>
        <v/>
      </c>
      <c r="P2258" s="61" t="str">
        <f aca="false">IF(IsPro,IF($D2258="","",IF(AND(V2258&lt;&gt;"",INDEX(Parties!$E$5:$E$304,V2258)&lt;&gt;"",INDEX(Parties!$E$5:$E$304,V2258)&lt;&gt;HomeState),ROUND(L2258*M2258,2),0)),"")</f>
        <v/>
      </c>
      <c r="Q2258" s="61" t="str">
        <f aca="false">IF(IsPro,IF($D2258="","",L2258+N2258+O2258+P2258),"")</f>
        <v/>
      </c>
      <c r="R2258" s="61" t="str">
        <f aca="false">IF(IsPro,IF($D2258="","",ROUND(N($E2258)*IFERROR(INDEX(Items!$P$5:$P$504,U2258),0),2)),"")</f>
        <v/>
      </c>
      <c r="S2258" s="61" t="str">
        <f aca="false">IF(IsPro,IF($D2258="","",L2258-R2258),"")</f>
        <v/>
      </c>
      <c r="T2258" s="60" t="str">
        <f aca="false">IF(IsPro,IF($D2258="","",IF(U2258="","UNKNOWN ITEM",IF(INDEX(Items!$O$5:$O$504,U2258)&lt;0,"NEG STOCK",IF(K2258&lt;INDEX(Items!$P$5:$P$504,U2258),"BELOW COST","OK")))),IF($D2258="","","PRO PLAN"))</f>
        <v/>
      </c>
      <c r="U2258" s="60" t="str">
        <f aca="false">IF(IsPro,IF($D2258="","",IFERROR(MATCH($D2258,Items!$A$5:$A$504,0),"")),"")</f>
        <v/>
      </c>
      <c r="V2258" s="60" t="str">
        <f aca="false">IF(IsPro,IF($C2258="","",IFERROR(MATCH($C2258,Parties!$A$5:$A$304,0),"")),"")</f>
        <v/>
      </c>
      <c r="W2258" s="60" t="str">
        <f aca="false">IF(IsPro,IF($B2258="","",IFERROR(VALUE(SUBSTITUTE($B2258,InvPrefix,"")),0)),"")</f>
        <v/>
      </c>
      <c r="X2258" s="61" t="str">
        <f aca="false">IF(IsPro,IF($D2258="","",IF(OR($H2258="",$H2258="Credit"),0,Q2258)),"")</f>
        <v/>
      </c>
    </row>
    <row r="2259" customFormat="false" ht="15" hidden="false" customHeight="false" outlineLevel="0" collapsed="false">
      <c r="A2259" s="55"/>
      <c r="B2259" s="56"/>
      <c r="C2259" s="56"/>
      <c r="D2259" s="56"/>
      <c r="E2259" s="57"/>
      <c r="F2259" s="58"/>
      <c r="G2259" s="59"/>
      <c r="H2259" s="56"/>
      <c r="I2259" s="56"/>
      <c r="J2259" s="60" t="str">
        <f aca="false">IF(IsPro,IF($D2259="","",IFERROR(INDEX(Items!$D$5:$D$504,U2259),"")),"")</f>
        <v/>
      </c>
      <c r="K2259" s="61" t="str">
        <f aca="false">IF(IsPro,IF($D2259="","",IF($F2259="",IFERROR(INDEX(Items!$H$5:$H$504,U2259),0),$F2259)),"")</f>
        <v/>
      </c>
      <c r="L2259" s="61" t="str">
        <f aca="false">IF(IsPro,IF($D2259="","",ROUND(N($E2259)*K2259*(1-N($G2259)),2)),"")</f>
        <v/>
      </c>
      <c r="M2259" s="62" t="str">
        <f aca="false">IF(IsPro,IF($D2259="","",IFERROR(INDEX(Items!$F$5:$F$504,U2259),0)),"")</f>
        <v/>
      </c>
      <c r="N2259" s="61" t="str">
        <f aca="false">IF(IsPro,IF($D2259="","",IF(AND(V2259&lt;&gt;"",INDEX(Parties!$E$5:$E$304,V2259)&lt;&gt;"",INDEX(Parties!$E$5:$E$304,V2259)&lt;&gt;HomeState),0,ROUND(L2259*M2259/2,2))),"")</f>
        <v/>
      </c>
      <c r="O2259" s="61" t="str">
        <f aca="false">IF(IsPro,IF($D2259="","",N2259),"")</f>
        <v/>
      </c>
      <c r="P2259" s="61" t="str">
        <f aca="false">IF(IsPro,IF($D2259="","",IF(AND(V2259&lt;&gt;"",INDEX(Parties!$E$5:$E$304,V2259)&lt;&gt;"",INDEX(Parties!$E$5:$E$304,V2259)&lt;&gt;HomeState),ROUND(L2259*M2259,2),0)),"")</f>
        <v/>
      </c>
      <c r="Q2259" s="61" t="str">
        <f aca="false">IF(IsPro,IF($D2259="","",L2259+N2259+O2259+P2259),"")</f>
        <v/>
      </c>
      <c r="R2259" s="61" t="str">
        <f aca="false">IF(IsPro,IF($D2259="","",ROUND(N($E2259)*IFERROR(INDEX(Items!$P$5:$P$504,U2259),0),2)),"")</f>
        <v/>
      </c>
      <c r="S2259" s="61" t="str">
        <f aca="false">IF(IsPro,IF($D2259="","",L2259-R2259),"")</f>
        <v/>
      </c>
      <c r="T2259" s="60" t="str">
        <f aca="false">IF(IsPro,IF($D2259="","",IF(U2259="","UNKNOWN ITEM",IF(INDEX(Items!$O$5:$O$504,U2259)&lt;0,"NEG STOCK",IF(K2259&lt;INDEX(Items!$P$5:$P$504,U2259),"BELOW COST","OK")))),IF($D2259="","","PRO PLAN"))</f>
        <v/>
      </c>
      <c r="U2259" s="60" t="str">
        <f aca="false">IF(IsPro,IF($D2259="","",IFERROR(MATCH($D2259,Items!$A$5:$A$504,0),"")),"")</f>
        <v/>
      </c>
      <c r="V2259" s="60" t="str">
        <f aca="false">IF(IsPro,IF($C2259="","",IFERROR(MATCH($C2259,Parties!$A$5:$A$304,0),"")),"")</f>
        <v/>
      </c>
      <c r="W2259" s="60" t="str">
        <f aca="false">IF(IsPro,IF($B2259="","",IFERROR(VALUE(SUBSTITUTE($B2259,InvPrefix,"")),0)),"")</f>
        <v/>
      </c>
      <c r="X2259" s="61" t="str">
        <f aca="false">IF(IsPro,IF($D2259="","",IF(OR($H2259="",$H2259="Credit"),0,Q2259)),"")</f>
        <v/>
      </c>
    </row>
    <row r="2260" customFormat="false" ht="15" hidden="false" customHeight="false" outlineLevel="0" collapsed="false">
      <c r="A2260" s="55"/>
      <c r="B2260" s="56"/>
      <c r="C2260" s="56"/>
      <c r="D2260" s="56"/>
      <c r="E2260" s="57"/>
      <c r="F2260" s="58"/>
      <c r="G2260" s="59"/>
      <c r="H2260" s="56"/>
      <c r="I2260" s="56"/>
      <c r="J2260" s="60" t="str">
        <f aca="false">IF(IsPro,IF($D2260="","",IFERROR(INDEX(Items!$D$5:$D$504,U2260),"")),"")</f>
        <v/>
      </c>
      <c r="K2260" s="61" t="str">
        <f aca="false">IF(IsPro,IF($D2260="","",IF($F2260="",IFERROR(INDEX(Items!$H$5:$H$504,U2260),0),$F2260)),"")</f>
        <v/>
      </c>
      <c r="L2260" s="61" t="str">
        <f aca="false">IF(IsPro,IF($D2260="","",ROUND(N($E2260)*K2260*(1-N($G2260)),2)),"")</f>
        <v/>
      </c>
      <c r="M2260" s="62" t="str">
        <f aca="false">IF(IsPro,IF($D2260="","",IFERROR(INDEX(Items!$F$5:$F$504,U2260),0)),"")</f>
        <v/>
      </c>
      <c r="N2260" s="61" t="str">
        <f aca="false">IF(IsPro,IF($D2260="","",IF(AND(V2260&lt;&gt;"",INDEX(Parties!$E$5:$E$304,V2260)&lt;&gt;"",INDEX(Parties!$E$5:$E$304,V2260)&lt;&gt;HomeState),0,ROUND(L2260*M2260/2,2))),"")</f>
        <v/>
      </c>
      <c r="O2260" s="61" t="str">
        <f aca="false">IF(IsPro,IF($D2260="","",N2260),"")</f>
        <v/>
      </c>
      <c r="P2260" s="61" t="str">
        <f aca="false">IF(IsPro,IF($D2260="","",IF(AND(V2260&lt;&gt;"",INDEX(Parties!$E$5:$E$304,V2260)&lt;&gt;"",INDEX(Parties!$E$5:$E$304,V2260)&lt;&gt;HomeState),ROUND(L2260*M2260,2),0)),"")</f>
        <v/>
      </c>
      <c r="Q2260" s="61" t="str">
        <f aca="false">IF(IsPro,IF($D2260="","",L2260+N2260+O2260+P2260),"")</f>
        <v/>
      </c>
      <c r="R2260" s="61" t="str">
        <f aca="false">IF(IsPro,IF($D2260="","",ROUND(N($E2260)*IFERROR(INDEX(Items!$P$5:$P$504,U2260),0),2)),"")</f>
        <v/>
      </c>
      <c r="S2260" s="61" t="str">
        <f aca="false">IF(IsPro,IF($D2260="","",L2260-R2260),"")</f>
        <v/>
      </c>
      <c r="T2260" s="60" t="str">
        <f aca="false">IF(IsPro,IF($D2260="","",IF(U2260="","UNKNOWN ITEM",IF(INDEX(Items!$O$5:$O$504,U2260)&lt;0,"NEG STOCK",IF(K2260&lt;INDEX(Items!$P$5:$P$504,U2260),"BELOW COST","OK")))),IF($D2260="","","PRO PLAN"))</f>
        <v/>
      </c>
      <c r="U2260" s="60" t="str">
        <f aca="false">IF(IsPro,IF($D2260="","",IFERROR(MATCH($D2260,Items!$A$5:$A$504,0),"")),"")</f>
        <v/>
      </c>
      <c r="V2260" s="60" t="str">
        <f aca="false">IF(IsPro,IF($C2260="","",IFERROR(MATCH($C2260,Parties!$A$5:$A$304,0),"")),"")</f>
        <v/>
      </c>
      <c r="W2260" s="60" t="str">
        <f aca="false">IF(IsPro,IF($B2260="","",IFERROR(VALUE(SUBSTITUTE($B2260,InvPrefix,"")),0)),"")</f>
        <v/>
      </c>
      <c r="X2260" s="61" t="str">
        <f aca="false">IF(IsPro,IF($D2260="","",IF(OR($H2260="",$H2260="Credit"),0,Q2260)),"")</f>
        <v/>
      </c>
    </row>
    <row r="2261" customFormat="false" ht="15" hidden="false" customHeight="false" outlineLevel="0" collapsed="false">
      <c r="A2261" s="55"/>
      <c r="B2261" s="56"/>
      <c r="C2261" s="56"/>
      <c r="D2261" s="56"/>
      <c r="E2261" s="57"/>
      <c r="F2261" s="58"/>
      <c r="G2261" s="59"/>
      <c r="H2261" s="56"/>
      <c r="I2261" s="56"/>
      <c r="J2261" s="60" t="str">
        <f aca="false">IF(IsPro,IF($D2261="","",IFERROR(INDEX(Items!$D$5:$D$504,U2261),"")),"")</f>
        <v/>
      </c>
      <c r="K2261" s="61" t="str">
        <f aca="false">IF(IsPro,IF($D2261="","",IF($F2261="",IFERROR(INDEX(Items!$H$5:$H$504,U2261),0),$F2261)),"")</f>
        <v/>
      </c>
      <c r="L2261" s="61" t="str">
        <f aca="false">IF(IsPro,IF($D2261="","",ROUND(N($E2261)*K2261*(1-N($G2261)),2)),"")</f>
        <v/>
      </c>
      <c r="M2261" s="62" t="str">
        <f aca="false">IF(IsPro,IF($D2261="","",IFERROR(INDEX(Items!$F$5:$F$504,U2261),0)),"")</f>
        <v/>
      </c>
      <c r="N2261" s="61" t="str">
        <f aca="false">IF(IsPro,IF($D2261="","",IF(AND(V2261&lt;&gt;"",INDEX(Parties!$E$5:$E$304,V2261)&lt;&gt;"",INDEX(Parties!$E$5:$E$304,V2261)&lt;&gt;HomeState),0,ROUND(L2261*M2261/2,2))),"")</f>
        <v/>
      </c>
      <c r="O2261" s="61" t="str">
        <f aca="false">IF(IsPro,IF($D2261="","",N2261),"")</f>
        <v/>
      </c>
      <c r="P2261" s="61" t="str">
        <f aca="false">IF(IsPro,IF($D2261="","",IF(AND(V2261&lt;&gt;"",INDEX(Parties!$E$5:$E$304,V2261)&lt;&gt;"",INDEX(Parties!$E$5:$E$304,V2261)&lt;&gt;HomeState),ROUND(L2261*M2261,2),0)),"")</f>
        <v/>
      </c>
      <c r="Q2261" s="61" t="str">
        <f aca="false">IF(IsPro,IF($D2261="","",L2261+N2261+O2261+P2261),"")</f>
        <v/>
      </c>
      <c r="R2261" s="61" t="str">
        <f aca="false">IF(IsPro,IF($D2261="","",ROUND(N($E2261)*IFERROR(INDEX(Items!$P$5:$P$504,U2261),0),2)),"")</f>
        <v/>
      </c>
      <c r="S2261" s="61" t="str">
        <f aca="false">IF(IsPro,IF($D2261="","",L2261-R2261),"")</f>
        <v/>
      </c>
      <c r="T2261" s="60" t="str">
        <f aca="false">IF(IsPro,IF($D2261="","",IF(U2261="","UNKNOWN ITEM",IF(INDEX(Items!$O$5:$O$504,U2261)&lt;0,"NEG STOCK",IF(K2261&lt;INDEX(Items!$P$5:$P$504,U2261),"BELOW COST","OK")))),IF($D2261="","","PRO PLAN"))</f>
        <v/>
      </c>
      <c r="U2261" s="60" t="str">
        <f aca="false">IF(IsPro,IF($D2261="","",IFERROR(MATCH($D2261,Items!$A$5:$A$504,0),"")),"")</f>
        <v/>
      </c>
      <c r="V2261" s="60" t="str">
        <f aca="false">IF(IsPro,IF($C2261="","",IFERROR(MATCH($C2261,Parties!$A$5:$A$304,0),"")),"")</f>
        <v/>
      </c>
      <c r="W2261" s="60" t="str">
        <f aca="false">IF(IsPro,IF($B2261="","",IFERROR(VALUE(SUBSTITUTE($B2261,InvPrefix,"")),0)),"")</f>
        <v/>
      </c>
      <c r="X2261" s="61" t="str">
        <f aca="false">IF(IsPro,IF($D2261="","",IF(OR($H2261="",$H2261="Credit"),0,Q2261)),"")</f>
        <v/>
      </c>
    </row>
    <row r="2262" customFormat="false" ht="15" hidden="false" customHeight="false" outlineLevel="0" collapsed="false">
      <c r="A2262" s="55"/>
      <c r="B2262" s="56"/>
      <c r="C2262" s="56"/>
      <c r="D2262" s="56"/>
      <c r="E2262" s="57"/>
      <c r="F2262" s="58"/>
      <c r="G2262" s="59"/>
      <c r="H2262" s="56"/>
      <c r="I2262" s="56"/>
      <c r="J2262" s="60" t="str">
        <f aca="false">IF(IsPro,IF($D2262="","",IFERROR(INDEX(Items!$D$5:$D$504,U2262),"")),"")</f>
        <v/>
      </c>
      <c r="K2262" s="61" t="str">
        <f aca="false">IF(IsPro,IF($D2262="","",IF($F2262="",IFERROR(INDEX(Items!$H$5:$H$504,U2262),0),$F2262)),"")</f>
        <v/>
      </c>
      <c r="L2262" s="61" t="str">
        <f aca="false">IF(IsPro,IF($D2262="","",ROUND(N($E2262)*K2262*(1-N($G2262)),2)),"")</f>
        <v/>
      </c>
      <c r="M2262" s="62" t="str">
        <f aca="false">IF(IsPro,IF($D2262="","",IFERROR(INDEX(Items!$F$5:$F$504,U2262),0)),"")</f>
        <v/>
      </c>
      <c r="N2262" s="61" t="str">
        <f aca="false">IF(IsPro,IF($D2262="","",IF(AND(V2262&lt;&gt;"",INDEX(Parties!$E$5:$E$304,V2262)&lt;&gt;"",INDEX(Parties!$E$5:$E$304,V2262)&lt;&gt;HomeState),0,ROUND(L2262*M2262/2,2))),"")</f>
        <v/>
      </c>
      <c r="O2262" s="61" t="str">
        <f aca="false">IF(IsPro,IF($D2262="","",N2262),"")</f>
        <v/>
      </c>
      <c r="P2262" s="61" t="str">
        <f aca="false">IF(IsPro,IF($D2262="","",IF(AND(V2262&lt;&gt;"",INDEX(Parties!$E$5:$E$304,V2262)&lt;&gt;"",INDEX(Parties!$E$5:$E$304,V2262)&lt;&gt;HomeState),ROUND(L2262*M2262,2),0)),"")</f>
        <v/>
      </c>
      <c r="Q2262" s="61" t="str">
        <f aca="false">IF(IsPro,IF($D2262="","",L2262+N2262+O2262+P2262),"")</f>
        <v/>
      </c>
      <c r="R2262" s="61" t="str">
        <f aca="false">IF(IsPro,IF($D2262="","",ROUND(N($E2262)*IFERROR(INDEX(Items!$P$5:$P$504,U2262),0),2)),"")</f>
        <v/>
      </c>
      <c r="S2262" s="61" t="str">
        <f aca="false">IF(IsPro,IF($D2262="","",L2262-R2262),"")</f>
        <v/>
      </c>
      <c r="T2262" s="60" t="str">
        <f aca="false">IF(IsPro,IF($D2262="","",IF(U2262="","UNKNOWN ITEM",IF(INDEX(Items!$O$5:$O$504,U2262)&lt;0,"NEG STOCK",IF(K2262&lt;INDEX(Items!$P$5:$P$504,U2262),"BELOW COST","OK")))),IF($D2262="","","PRO PLAN"))</f>
        <v/>
      </c>
      <c r="U2262" s="60" t="str">
        <f aca="false">IF(IsPro,IF($D2262="","",IFERROR(MATCH($D2262,Items!$A$5:$A$504,0),"")),"")</f>
        <v/>
      </c>
      <c r="V2262" s="60" t="str">
        <f aca="false">IF(IsPro,IF($C2262="","",IFERROR(MATCH($C2262,Parties!$A$5:$A$304,0),"")),"")</f>
        <v/>
      </c>
      <c r="W2262" s="60" t="str">
        <f aca="false">IF(IsPro,IF($B2262="","",IFERROR(VALUE(SUBSTITUTE($B2262,InvPrefix,"")),0)),"")</f>
        <v/>
      </c>
      <c r="X2262" s="61" t="str">
        <f aca="false">IF(IsPro,IF($D2262="","",IF(OR($H2262="",$H2262="Credit"),0,Q2262)),"")</f>
        <v/>
      </c>
    </row>
    <row r="2263" customFormat="false" ht="15" hidden="false" customHeight="false" outlineLevel="0" collapsed="false">
      <c r="A2263" s="55"/>
      <c r="B2263" s="56"/>
      <c r="C2263" s="56"/>
      <c r="D2263" s="56"/>
      <c r="E2263" s="57"/>
      <c r="F2263" s="58"/>
      <c r="G2263" s="59"/>
      <c r="H2263" s="56"/>
      <c r="I2263" s="56"/>
      <c r="J2263" s="60" t="str">
        <f aca="false">IF(IsPro,IF($D2263="","",IFERROR(INDEX(Items!$D$5:$D$504,U2263),"")),"")</f>
        <v/>
      </c>
      <c r="K2263" s="61" t="str">
        <f aca="false">IF(IsPro,IF($D2263="","",IF($F2263="",IFERROR(INDEX(Items!$H$5:$H$504,U2263),0),$F2263)),"")</f>
        <v/>
      </c>
      <c r="L2263" s="61" t="str">
        <f aca="false">IF(IsPro,IF($D2263="","",ROUND(N($E2263)*K2263*(1-N($G2263)),2)),"")</f>
        <v/>
      </c>
      <c r="M2263" s="62" t="str">
        <f aca="false">IF(IsPro,IF($D2263="","",IFERROR(INDEX(Items!$F$5:$F$504,U2263),0)),"")</f>
        <v/>
      </c>
      <c r="N2263" s="61" t="str">
        <f aca="false">IF(IsPro,IF($D2263="","",IF(AND(V2263&lt;&gt;"",INDEX(Parties!$E$5:$E$304,V2263)&lt;&gt;"",INDEX(Parties!$E$5:$E$304,V2263)&lt;&gt;HomeState),0,ROUND(L2263*M2263/2,2))),"")</f>
        <v/>
      </c>
      <c r="O2263" s="61" t="str">
        <f aca="false">IF(IsPro,IF($D2263="","",N2263),"")</f>
        <v/>
      </c>
      <c r="P2263" s="61" t="str">
        <f aca="false">IF(IsPro,IF($D2263="","",IF(AND(V2263&lt;&gt;"",INDEX(Parties!$E$5:$E$304,V2263)&lt;&gt;"",INDEX(Parties!$E$5:$E$304,V2263)&lt;&gt;HomeState),ROUND(L2263*M2263,2),0)),"")</f>
        <v/>
      </c>
      <c r="Q2263" s="61" t="str">
        <f aca="false">IF(IsPro,IF($D2263="","",L2263+N2263+O2263+P2263),"")</f>
        <v/>
      </c>
      <c r="R2263" s="61" t="str">
        <f aca="false">IF(IsPro,IF($D2263="","",ROUND(N($E2263)*IFERROR(INDEX(Items!$P$5:$P$504,U2263),0),2)),"")</f>
        <v/>
      </c>
      <c r="S2263" s="61" t="str">
        <f aca="false">IF(IsPro,IF($D2263="","",L2263-R2263),"")</f>
        <v/>
      </c>
      <c r="T2263" s="60" t="str">
        <f aca="false">IF(IsPro,IF($D2263="","",IF(U2263="","UNKNOWN ITEM",IF(INDEX(Items!$O$5:$O$504,U2263)&lt;0,"NEG STOCK",IF(K2263&lt;INDEX(Items!$P$5:$P$504,U2263),"BELOW COST","OK")))),IF($D2263="","","PRO PLAN"))</f>
        <v/>
      </c>
      <c r="U2263" s="60" t="str">
        <f aca="false">IF(IsPro,IF($D2263="","",IFERROR(MATCH($D2263,Items!$A$5:$A$504,0),"")),"")</f>
        <v/>
      </c>
      <c r="V2263" s="60" t="str">
        <f aca="false">IF(IsPro,IF($C2263="","",IFERROR(MATCH($C2263,Parties!$A$5:$A$304,0),"")),"")</f>
        <v/>
      </c>
      <c r="W2263" s="60" t="str">
        <f aca="false">IF(IsPro,IF($B2263="","",IFERROR(VALUE(SUBSTITUTE($B2263,InvPrefix,"")),0)),"")</f>
        <v/>
      </c>
      <c r="X2263" s="61" t="str">
        <f aca="false">IF(IsPro,IF($D2263="","",IF(OR($H2263="",$H2263="Credit"),0,Q2263)),"")</f>
        <v/>
      </c>
    </row>
    <row r="2264" customFormat="false" ht="15" hidden="false" customHeight="false" outlineLevel="0" collapsed="false">
      <c r="A2264" s="55"/>
      <c r="B2264" s="56"/>
      <c r="C2264" s="56"/>
      <c r="D2264" s="56"/>
      <c r="E2264" s="57"/>
      <c r="F2264" s="58"/>
      <c r="G2264" s="59"/>
      <c r="H2264" s="56"/>
      <c r="I2264" s="56"/>
      <c r="J2264" s="60" t="str">
        <f aca="false">IF(IsPro,IF($D2264="","",IFERROR(INDEX(Items!$D$5:$D$504,U2264),"")),"")</f>
        <v/>
      </c>
      <c r="K2264" s="61" t="str">
        <f aca="false">IF(IsPro,IF($D2264="","",IF($F2264="",IFERROR(INDEX(Items!$H$5:$H$504,U2264),0),$F2264)),"")</f>
        <v/>
      </c>
      <c r="L2264" s="61" t="str">
        <f aca="false">IF(IsPro,IF($D2264="","",ROUND(N($E2264)*K2264*(1-N($G2264)),2)),"")</f>
        <v/>
      </c>
      <c r="M2264" s="62" t="str">
        <f aca="false">IF(IsPro,IF($D2264="","",IFERROR(INDEX(Items!$F$5:$F$504,U2264),0)),"")</f>
        <v/>
      </c>
      <c r="N2264" s="61" t="str">
        <f aca="false">IF(IsPro,IF($D2264="","",IF(AND(V2264&lt;&gt;"",INDEX(Parties!$E$5:$E$304,V2264)&lt;&gt;"",INDEX(Parties!$E$5:$E$304,V2264)&lt;&gt;HomeState),0,ROUND(L2264*M2264/2,2))),"")</f>
        <v/>
      </c>
      <c r="O2264" s="61" t="str">
        <f aca="false">IF(IsPro,IF($D2264="","",N2264),"")</f>
        <v/>
      </c>
      <c r="P2264" s="61" t="str">
        <f aca="false">IF(IsPro,IF($D2264="","",IF(AND(V2264&lt;&gt;"",INDEX(Parties!$E$5:$E$304,V2264)&lt;&gt;"",INDEX(Parties!$E$5:$E$304,V2264)&lt;&gt;HomeState),ROUND(L2264*M2264,2),0)),"")</f>
        <v/>
      </c>
      <c r="Q2264" s="61" t="str">
        <f aca="false">IF(IsPro,IF($D2264="","",L2264+N2264+O2264+P2264),"")</f>
        <v/>
      </c>
      <c r="R2264" s="61" t="str">
        <f aca="false">IF(IsPro,IF($D2264="","",ROUND(N($E2264)*IFERROR(INDEX(Items!$P$5:$P$504,U2264),0),2)),"")</f>
        <v/>
      </c>
      <c r="S2264" s="61" t="str">
        <f aca="false">IF(IsPro,IF($D2264="","",L2264-R2264),"")</f>
        <v/>
      </c>
      <c r="T2264" s="60" t="str">
        <f aca="false">IF(IsPro,IF($D2264="","",IF(U2264="","UNKNOWN ITEM",IF(INDEX(Items!$O$5:$O$504,U2264)&lt;0,"NEG STOCK",IF(K2264&lt;INDEX(Items!$P$5:$P$504,U2264),"BELOW COST","OK")))),IF($D2264="","","PRO PLAN"))</f>
        <v/>
      </c>
      <c r="U2264" s="60" t="str">
        <f aca="false">IF(IsPro,IF($D2264="","",IFERROR(MATCH($D2264,Items!$A$5:$A$504,0),"")),"")</f>
        <v/>
      </c>
      <c r="V2264" s="60" t="str">
        <f aca="false">IF(IsPro,IF($C2264="","",IFERROR(MATCH($C2264,Parties!$A$5:$A$304,0),"")),"")</f>
        <v/>
      </c>
      <c r="W2264" s="60" t="str">
        <f aca="false">IF(IsPro,IF($B2264="","",IFERROR(VALUE(SUBSTITUTE($B2264,InvPrefix,"")),0)),"")</f>
        <v/>
      </c>
      <c r="X2264" s="61" t="str">
        <f aca="false">IF(IsPro,IF($D2264="","",IF(OR($H2264="",$H2264="Credit"),0,Q2264)),"")</f>
        <v/>
      </c>
    </row>
    <row r="2265" customFormat="false" ht="15" hidden="false" customHeight="false" outlineLevel="0" collapsed="false">
      <c r="A2265" s="55"/>
      <c r="B2265" s="56"/>
      <c r="C2265" s="56"/>
      <c r="D2265" s="56"/>
      <c r="E2265" s="57"/>
      <c r="F2265" s="58"/>
      <c r="G2265" s="59"/>
      <c r="H2265" s="56"/>
      <c r="I2265" s="56"/>
      <c r="J2265" s="60" t="str">
        <f aca="false">IF(IsPro,IF($D2265="","",IFERROR(INDEX(Items!$D$5:$D$504,U2265),"")),"")</f>
        <v/>
      </c>
      <c r="K2265" s="61" t="str">
        <f aca="false">IF(IsPro,IF($D2265="","",IF($F2265="",IFERROR(INDEX(Items!$H$5:$H$504,U2265),0),$F2265)),"")</f>
        <v/>
      </c>
      <c r="L2265" s="61" t="str">
        <f aca="false">IF(IsPro,IF($D2265="","",ROUND(N($E2265)*K2265*(1-N($G2265)),2)),"")</f>
        <v/>
      </c>
      <c r="M2265" s="62" t="str">
        <f aca="false">IF(IsPro,IF($D2265="","",IFERROR(INDEX(Items!$F$5:$F$504,U2265),0)),"")</f>
        <v/>
      </c>
      <c r="N2265" s="61" t="str">
        <f aca="false">IF(IsPro,IF($D2265="","",IF(AND(V2265&lt;&gt;"",INDEX(Parties!$E$5:$E$304,V2265)&lt;&gt;"",INDEX(Parties!$E$5:$E$304,V2265)&lt;&gt;HomeState),0,ROUND(L2265*M2265/2,2))),"")</f>
        <v/>
      </c>
      <c r="O2265" s="61" t="str">
        <f aca="false">IF(IsPro,IF($D2265="","",N2265),"")</f>
        <v/>
      </c>
      <c r="P2265" s="61" t="str">
        <f aca="false">IF(IsPro,IF($D2265="","",IF(AND(V2265&lt;&gt;"",INDEX(Parties!$E$5:$E$304,V2265)&lt;&gt;"",INDEX(Parties!$E$5:$E$304,V2265)&lt;&gt;HomeState),ROUND(L2265*M2265,2),0)),"")</f>
        <v/>
      </c>
      <c r="Q2265" s="61" t="str">
        <f aca="false">IF(IsPro,IF($D2265="","",L2265+N2265+O2265+P2265),"")</f>
        <v/>
      </c>
      <c r="R2265" s="61" t="str">
        <f aca="false">IF(IsPro,IF($D2265="","",ROUND(N($E2265)*IFERROR(INDEX(Items!$P$5:$P$504,U2265),0),2)),"")</f>
        <v/>
      </c>
      <c r="S2265" s="61" t="str">
        <f aca="false">IF(IsPro,IF($D2265="","",L2265-R2265),"")</f>
        <v/>
      </c>
      <c r="T2265" s="60" t="str">
        <f aca="false">IF(IsPro,IF($D2265="","",IF(U2265="","UNKNOWN ITEM",IF(INDEX(Items!$O$5:$O$504,U2265)&lt;0,"NEG STOCK",IF(K2265&lt;INDEX(Items!$P$5:$P$504,U2265),"BELOW COST","OK")))),IF($D2265="","","PRO PLAN"))</f>
        <v/>
      </c>
      <c r="U2265" s="60" t="str">
        <f aca="false">IF(IsPro,IF($D2265="","",IFERROR(MATCH($D2265,Items!$A$5:$A$504,0),"")),"")</f>
        <v/>
      </c>
      <c r="V2265" s="60" t="str">
        <f aca="false">IF(IsPro,IF($C2265="","",IFERROR(MATCH($C2265,Parties!$A$5:$A$304,0),"")),"")</f>
        <v/>
      </c>
      <c r="W2265" s="60" t="str">
        <f aca="false">IF(IsPro,IF($B2265="","",IFERROR(VALUE(SUBSTITUTE($B2265,InvPrefix,"")),0)),"")</f>
        <v/>
      </c>
      <c r="X2265" s="61" t="str">
        <f aca="false">IF(IsPro,IF($D2265="","",IF(OR($H2265="",$H2265="Credit"),0,Q2265)),"")</f>
        <v/>
      </c>
    </row>
    <row r="2266" customFormat="false" ht="15" hidden="false" customHeight="false" outlineLevel="0" collapsed="false">
      <c r="A2266" s="55"/>
      <c r="B2266" s="56"/>
      <c r="C2266" s="56"/>
      <c r="D2266" s="56"/>
      <c r="E2266" s="57"/>
      <c r="F2266" s="58"/>
      <c r="G2266" s="59"/>
      <c r="H2266" s="56"/>
      <c r="I2266" s="56"/>
      <c r="J2266" s="60" t="str">
        <f aca="false">IF(IsPro,IF($D2266="","",IFERROR(INDEX(Items!$D$5:$D$504,U2266),"")),"")</f>
        <v/>
      </c>
      <c r="K2266" s="61" t="str">
        <f aca="false">IF(IsPro,IF($D2266="","",IF($F2266="",IFERROR(INDEX(Items!$H$5:$H$504,U2266),0),$F2266)),"")</f>
        <v/>
      </c>
      <c r="L2266" s="61" t="str">
        <f aca="false">IF(IsPro,IF($D2266="","",ROUND(N($E2266)*K2266*(1-N($G2266)),2)),"")</f>
        <v/>
      </c>
      <c r="M2266" s="62" t="str">
        <f aca="false">IF(IsPro,IF($D2266="","",IFERROR(INDEX(Items!$F$5:$F$504,U2266),0)),"")</f>
        <v/>
      </c>
      <c r="N2266" s="61" t="str">
        <f aca="false">IF(IsPro,IF($D2266="","",IF(AND(V2266&lt;&gt;"",INDEX(Parties!$E$5:$E$304,V2266)&lt;&gt;"",INDEX(Parties!$E$5:$E$304,V2266)&lt;&gt;HomeState),0,ROUND(L2266*M2266/2,2))),"")</f>
        <v/>
      </c>
      <c r="O2266" s="61" t="str">
        <f aca="false">IF(IsPro,IF($D2266="","",N2266),"")</f>
        <v/>
      </c>
      <c r="P2266" s="61" t="str">
        <f aca="false">IF(IsPro,IF($D2266="","",IF(AND(V2266&lt;&gt;"",INDEX(Parties!$E$5:$E$304,V2266)&lt;&gt;"",INDEX(Parties!$E$5:$E$304,V2266)&lt;&gt;HomeState),ROUND(L2266*M2266,2),0)),"")</f>
        <v/>
      </c>
      <c r="Q2266" s="61" t="str">
        <f aca="false">IF(IsPro,IF($D2266="","",L2266+N2266+O2266+P2266),"")</f>
        <v/>
      </c>
      <c r="R2266" s="61" t="str">
        <f aca="false">IF(IsPro,IF($D2266="","",ROUND(N($E2266)*IFERROR(INDEX(Items!$P$5:$P$504,U2266),0),2)),"")</f>
        <v/>
      </c>
      <c r="S2266" s="61" t="str">
        <f aca="false">IF(IsPro,IF($D2266="","",L2266-R2266),"")</f>
        <v/>
      </c>
      <c r="T2266" s="60" t="str">
        <f aca="false">IF(IsPro,IF($D2266="","",IF(U2266="","UNKNOWN ITEM",IF(INDEX(Items!$O$5:$O$504,U2266)&lt;0,"NEG STOCK",IF(K2266&lt;INDEX(Items!$P$5:$P$504,U2266),"BELOW COST","OK")))),IF($D2266="","","PRO PLAN"))</f>
        <v/>
      </c>
      <c r="U2266" s="60" t="str">
        <f aca="false">IF(IsPro,IF($D2266="","",IFERROR(MATCH($D2266,Items!$A$5:$A$504,0),"")),"")</f>
        <v/>
      </c>
      <c r="V2266" s="60" t="str">
        <f aca="false">IF(IsPro,IF($C2266="","",IFERROR(MATCH($C2266,Parties!$A$5:$A$304,0),"")),"")</f>
        <v/>
      </c>
      <c r="W2266" s="60" t="str">
        <f aca="false">IF(IsPro,IF($B2266="","",IFERROR(VALUE(SUBSTITUTE($B2266,InvPrefix,"")),0)),"")</f>
        <v/>
      </c>
      <c r="X2266" s="61" t="str">
        <f aca="false">IF(IsPro,IF($D2266="","",IF(OR($H2266="",$H2266="Credit"),0,Q2266)),"")</f>
        <v/>
      </c>
    </row>
    <row r="2267" customFormat="false" ht="15" hidden="false" customHeight="false" outlineLevel="0" collapsed="false">
      <c r="A2267" s="55"/>
      <c r="B2267" s="56"/>
      <c r="C2267" s="56"/>
      <c r="D2267" s="56"/>
      <c r="E2267" s="57"/>
      <c r="F2267" s="58"/>
      <c r="G2267" s="59"/>
      <c r="H2267" s="56"/>
      <c r="I2267" s="56"/>
      <c r="J2267" s="60" t="str">
        <f aca="false">IF(IsPro,IF($D2267="","",IFERROR(INDEX(Items!$D$5:$D$504,U2267),"")),"")</f>
        <v/>
      </c>
      <c r="K2267" s="61" t="str">
        <f aca="false">IF(IsPro,IF($D2267="","",IF($F2267="",IFERROR(INDEX(Items!$H$5:$H$504,U2267),0),$F2267)),"")</f>
        <v/>
      </c>
      <c r="L2267" s="61" t="str">
        <f aca="false">IF(IsPro,IF($D2267="","",ROUND(N($E2267)*K2267*(1-N($G2267)),2)),"")</f>
        <v/>
      </c>
      <c r="M2267" s="62" t="str">
        <f aca="false">IF(IsPro,IF($D2267="","",IFERROR(INDEX(Items!$F$5:$F$504,U2267),0)),"")</f>
        <v/>
      </c>
      <c r="N2267" s="61" t="str">
        <f aca="false">IF(IsPro,IF($D2267="","",IF(AND(V2267&lt;&gt;"",INDEX(Parties!$E$5:$E$304,V2267)&lt;&gt;"",INDEX(Parties!$E$5:$E$304,V2267)&lt;&gt;HomeState),0,ROUND(L2267*M2267/2,2))),"")</f>
        <v/>
      </c>
      <c r="O2267" s="61" t="str">
        <f aca="false">IF(IsPro,IF($D2267="","",N2267),"")</f>
        <v/>
      </c>
      <c r="P2267" s="61" t="str">
        <f aca="false">IF(IsPro,IF($D2267="","",IF(AND(V2267&lt;&gt;"",INDEX(Parties!$E$5:$E$304,V2267)&lt;&gt;"",INDEX(Parties!$E$5:$E$304,V2267)&lt;&gt;HomeState),ROUND(L2267*M2267,2),0)),"")</f>
        <v/>
      </c>
      <c r="Q2267" s="61" t="str">
        <f aca="false">IF(IsPro,IF($D2267="","",L2267+N2267+O2267+P2267),"")</f>
        <v/>
      </c>
      <c r="R2267" s="61" t="str">
        <f aca="false">IF(IsPro,IF($D2267="","",ROUND(N($E2267)*IFERROR(INDEX(Items!$P$5:$P$504,U2267),0),2)),"")</f>
        <v/>
      </c>
      <c r="S2267" s="61" t="str">
        <f aca="false">IF(IsPro,IF($D2267="","",L2267-R2267),"")</f>
        <v/>
      </c>
      <c r="T2267" s="60" t="str">
        <f aca="false">IF(IsPro,IF($D2267="","",IF(U2267="","UNKNOWN ITEM",IF(INDEX(Items!$O$5:$O$504,U2267)&lt;0,"NEG STOCK",IF(K2267&lt;INDEX(Items!$P$5:$P$504,U2267),"BELOW COST","OK")))),IF($D2267="","","PRO PLAN"))</f>
        <v/>
      </c>
      <c r="U2267" s="60" t="str">
        <f aca="false">IF(IsPro,IF($D2267="","",IFERROR(MATCH($D2267,Items!$A$5:$A$504,0),"")),"")</f>
        <v/>
      </c>
      <c r="V2267" s="60" t="str">
        <f aca="false">IF(IsPro,IF($C2267="","",IFERROR(MATCH($C2267,Parties!$A$5:$A$304,0),"")),"")</f>
        <v/>
      </c>
      <c r="W2267" s="60" t="str">
        <f aca="false">IF(IsPro,IF($B2267="","",IFERROR(VALUE(SUBSTITUTE($B2267,InvPrefix,"")),0)),"")</f>
        <v/>
      </c>
      <c r="X2267" s="61" t="str">
        <f aca="false">IF(IsPro,IF($D2267="","",IF(OR($H2267="",$H2267="Credit"),0,Q2267)),"")</f>
        <v/>
      </c>
    </row>
    <row r="2268" customFormat="false" ht="15" hidden="false" customHeight="false" outlineLevel="0" collapsed="false">
      <c r="A2268" s="55"/>
      <c r="B2268" s="56"/>
      <c r="C2268" s="56"/>
      <c r="D2268" s="56"/>
      <c r="E2268" s="57"/>
      <c r="F2268" s="58"/>
      <c r="G2268" s="59"/>
      <c r="H2268" s="56"/>
      <c r="I2268" s="56"/>
      <c r="J2268" s="60" t="str">
        <f aca="false">IF(IsPro,IF($D2268="","",IFERROR(INDEX(Items!$D$5:$D$504,U2268),"")),"")</f>
        <v/>
      </c>
      <c r="K2268" s="61" t="str">
        <f aca="false">IF(IsPro,IF($D2268="","",IF($F2268="",IFERROR(INDEX(Items!$H$5:$H$504,U2268),0),$F2268)),"")</f>
        <v/>
      </c>
      <c r="L2268" s="61" t="str">
        <f aca="false">IF(IsPro,IF($D2268="","",ROUND(N($E2268)*K2268*(1-N($G2268)),2)),"")</f>
        <v/>
      </c>
      <c r="M2268" s="62" t="str">
        <f aca="false">IF(IsPro,IF($D2268="","",IFERROR(INDEX(Items!$F$5:$F$504,U2268),0)),"")</f>
        <v/>
      </c>
      <c r="N2268" s="61" t="str">
        <f aca="false">IF(IsPro,IF($D2268="","",IF(AND(V2268&lt;&gt;"",INDEX(Parties!$E$5:$E$304,V2268)&lt;&gt;"",INDEX(Parties!$E$5:$E$304,V2268)&lt;&gt;HomeState),0,ROUND(L2268*M2268/2,2))),"")</f>
        <v/>
      </c>
      <c r="O2268" s="61" t="str">
        <f aca="false">IF(IsPro,IF($D2268="","",N2268),"")</f>
        <v/>
      </c>
      <c r="P2268" s="61" t="str">
        <f aca="false">IF(IsPro,IF($D2268="","",IF(AND(V2268&lt;&gt;"",INDEX(Parties!$E$5:$E$304,V2268)&lt;&gt;"",INDEX(Parties!$E$5:$E$304,V2268)&lt;&gt;HomeState),ROUND(L2268*M2268,2),0)),"")</f>
        <v/>
      </c>
      <c r="Q2268" s="61" t="str">
        <f aca="false">IF(IsPro,IF($D2268="","",L2268+N2268+O2268+P2268),"")</f>
        <v/>
      </c>
      <c r="R2268" s="61" t="str">
        <f aca="false">IF(IsPro,IF($D2268="","",ROUND(N($E2268)*IFERROR(INDEX(Items!$P$5:$P$504,U2268),0),2)),"")</f>
        <v/>
      </c>
      <c r="S2268" s="61" t="str">
        <f aca="false">IF(IsPro,IF($D2268="","",L2268-R2268),"")</f>
        <v/>
      </c>
      <c r="T2268" s="60" t="str">
        <f aca="false">IF(IsPro,IF($D2268="","",IF(U2268="","UNKNOWN ITEM",IF(INDEX(Items!$O$5:$O$504,U2268)&lt;0,"NEG STOCK",IF(K2268&lt;INDEX(Items!$P$5:$P$504,U2268),"BELOW COST","OK")))),IF($D2268="","","PRO PLAN"))</f>
        <v/>
      </c>
      <c r="U2268" s="60" t="str">
        <f aca="false">IF(IsPro,IF($D2268="","",IFERROR(MATCH($D2268,Items!$A$5:$A$504,0),"")),"")</f>
        <v/>
      </c>
      <c r="V2268" s="60" t="str">
        <f aca="false">IF(IsPro,IF($C2268="","",IFERROR(MATCH($C2268,Parties!$A$5:$A$304,0),"")),"")</f>
        <v/>
      </c>
      <c r="W2268" s="60" t="str">
        <f aca="false">IF(IsPro,IF($B2268="","",IFERROR(VALUE(SUBSTITUTE($B2268,InvPrefix,"")),0)),"")</f>
        <v/>
      </c>
      <c r="X2268" s="61" t="str">
        <f aca="false">IF(IsPro,IF($D2268="","",IF(OR($H2268="",$H2268="Credit"),0,Q2268)),"")</f>
        <v/>
      </c>
    </row>
    <row r="2269" customFormat="false" ht="15" hidden="false" customHeight="false" outlineLevel="0" collapsed="false">
      <c r="A2269" s="55"/>
      <c r="B2269" s="56"/>
      <c r="C2269" s="56"/>
      <c r="D2269" s="56"/>
      <c r="E2269" s="57"/>
      <c r="F2269" s="58"/>
      <c r="G2269" s="59"/>
      <c r="H2269" s="56"/>
      <c r="I2269" s="56"/>
      <c r="J2269" s="60" t="str">
        <f aca="false">IF(IsPro,IF($D2269="","",IFERROR(INDEX(Items!$D$5:$D$504,U2269),"")),"")</f>
        <v/>
      </c>
      <c r="K2269" s="61" t="str">
        <f aca="false">IF(IsPro,IF($D2269="","",IF($F2269="",IFERROR(INDEX(Items!$H$5:$H$504,U2269),0),$F2269)),"")</f>
        <v/>
      </c>
      <c r="L2269" s="61" t="str">
        <f aca="false">IF(IsPro,IF($D2269="","",ROUND(N($E2269)*K2269*(1-N($G2269)),2)),"")</f>
        <v/>
      </c>
      <c r="M2269" s="62" t="str">
        <f aca="false">IF(IsPro,IF($D2269="","",IFERROR(INDEX(Items!$F$5:$F$504,U2269),0)),"")</f>
        <v/>
      </c>
      <c r="N2269" s="61" t="str">
        <f aca="false">IF(IsPro,IF($D2269="","",IF(AND(V2269&lt;&gt;"",INDEX(Parties!$E$5:$E$304,V2269)&lt;&gt;"",INDEX(Parties!$E$5:$E$304,V2269)&lt;&gt;HomeState),0,ROUND(L2269*M2269/2,2))),"")</f>
        <v/>
      </c>
      <c r="O2269" s="61" t="str">
        <f aca="false">IF(IsPro,IF($D2269="","",N2269),"")</f>
        <v/>
      </c>
      <c r="P2269" s="61" t="str">
        <f aca="false">IF(IsPro,IF($D2269="","",IF(AND(V2269&lt;&gt;"",INDEX(Parties!$E$5:$E$304,V2269)&lt;&gt;"",INDEX(Parties!$E$5:$E$304,V2269)&lt;&gt;HomeState),ROUND(L2269*M2269,2),0)),"")</f>
        <v/>
      </c>
      <c r="Q2269" s="61" t="str">
        <f aca="false">IF(IsPro,IF($D2269="","",L2269+N2269+O2269+P2269),"")</f>
        <v/>
      </c>
      <c r="R2269" s="61" t="str">
        <f aca="false">IF(IsPro,IF($D2269="","",ROUND(N($E2269)*IFERROR(INDEX(Items!$P$5:$P$504,U2269),0),2)),"")</f>
        <v/>
      </c>
      <c r="S2269" s="61" t="str">
        <f aca="false">IF(IsPro,IF($D2269="","",L2269-R2269),"")</f>
        <v/>
      </c>
      <c r="T2269" s="60" t="str">
        <f aca="false">IF(IsPro,IF($D2269="","",IF(U2269="","UNKNOWN ITEM",IF(INDEX(Items!$O$5:$O$504,U2269)&lt;0,"NEG STOCK",IF(K2269&lt;INDEX(Items!$P$5:$P$504,U2269),"BELOW COST","OK")))),IF($D2269="","","PRO PLAN"))</f>
        <v/>
      </c>
      <c r="U2269" s="60" t="str">
        <f aca="false">IF(IsPro,IF($D2269="","",IFERROR(MATCH($D2269,Items!$A$5:$A$504,0),"")),"")</f>
        <v/>
      </c>
      <c r="V2269" s="60" t="str">
        <f aca="false">IF(IsPro,IF($C2269="","",IFERROR(MATCH($C2269,Parties!$A$5:$A$304,0),"")),"")</f>
        <v/>
      </c>
      <c r="W2269" s="60" t="str">
        <f aca="false">IF(IsPro,IF($B2269="","",IFERROR(VALUE(SUBSTITUTE($B2269,InvPrefix,"")),0)),"")</f>
        <v/>
      </c>
      <c r="X2269" s="61" t="str">
        <f aca="false">IF(IsPro,IF($D2269="","",IF(OR($H2269="",$H2269="Credit"),0,Q2269)),"")</f>
        <v/>
      </c>
    </row>
    <row r="2270" customFormat="false" ht="15" hidden="false" customHeight="false" outlineLevel="0" collapsed="false">
      <c r="A2270" s="55"/>
      <c r="B2270" s="56"/>
      <c r="C2270" s="56"/>
      <c r="D2270" s="56"/>
      <c r="E2270" s="57"/>
      <c r="F2270" s="58"/>
      <c r="G2270" s="59"/>
      <c r="H2270" s="56"/>
      <c r="I2270" s="56"/>
      <c r="J2270" s="60" t="str">
        <f aca="false">IF(IsPro,IF($D2270="","",IFERROR(INDEX(Items!$D$5:$D$504,U2270),"")),"")</f>
        <v/>
      </c>
      <c r="K2270" s="61" t="str">
        <f aca="false">IF(IsPro,IF($D2270="","",IF($F2270="",IFERROR(INDEX(Items!$H$5:$H$504,U2270),0),$F2270)),"")</f>
        <v/>
      </c>
      <c r="L2270" s="61" t="str">
        <f aca="false">IF(IsPro,IF($D2270="","",ROUND(N($E2270)*K2270*(1-N($G2270)),2)),"")</f>
        <v/>
      </c>
      <c r="M2270" s="62" t="str">
        <f aca="false">IF(IsPro,IF($D2270="","",IFERROR(INDEX(Items!$F$5:$F$504,U2270),0)),"")</f>
        <v/>
      </c>
      <c r="N2270" s="61" t="str">
        <f aca="false">IF(IsPro,IF($D2270="","",IF(AND(V2270&lt;&gt;"",INDEX(Parties!$E$5:$E$304,V2270)&lt;&gt;"",INDEX(Parties!$E$5:$E$304,V2270)&lt;&gt;HomeState),0,ROUND(L2270*M2270/2,2))),"")</f>
        <v/>
      </c>
      <c r="O2270" s="61" t="str">
        <f aca="false">IF(IsPro,IF($D2270="","",N2270),"")</f>
        <v/>
      </c>
      <c r="P2270" s="61" t="str">
        <f aca="false">IF(IsPro,IF($D2270="","",IF(AND(V2270&lt;&gt;"",INDEX(Parties!$E$5:$E$304,V2270)&lt;&gt;"",INDEX(Parties!$E$5:$E$304,V2270)&lt;&gt;HomeState),ROUND(L2270*M2270,2),0)),"")</f>
        <v/>
      </c>
      <c r="Q2270" s="61" t="str">
        <f aca="false">IF(IsPro,IF($D2270="","",L2270+N2270+O2270+P2270),"")</f>
        <v/>
      </c>
      <c r="R2270" s="61" t="str">
        <f aca="false">IF(IsPro,IF($D2270="","",ROUND(N($E2270)*IFERROR(INDEX(Items!$P$5:$P$504,U2270),0),2)),"")</f>
        <v/>
      </c>
      <c r="S2270" s="61" t="str">
        <f aca="false">IF(IsPro,IF($D2270="","",L2270-R2270),"")</f>
        <v/>
      </c>
      <c r="T2270" s="60" t="str">
        <f aca="false">IF(IsPro,IF($D2270="","",IF(U2270="","UNKNOWN ITEM",IF(INDEX(Items!$O$5:$O$504,U2270)&lt;0,"NEG STOCK",IF(K2270&lt;INDEX(Items!$P$5:$P$504,U2270),"BELOW COST","OK")))),IF($D2270="","","PRO PLAN"))</f>
        <v/>
      </c>
      <c r="U2270" s="60" t="str">
        <f aca="false">IF(IsPro,IF($D2270="","",IFERROR(MATCH($D2270,Items!$A$5:$A$504,0),"")),"")</f>
        <v/>
      </c>
      <c r="V2270" s="60" t="str">
        <f aca="false">IF(IsPro,IF($C2270="","",IFERROR(MATCH($C2270,Parties!$A$5:$A$304,0),"")),"")</f>
        <v/>
      </c>
      <c r="W2270" s="60" t="str">
        <f aca="false">IF(IsPro,IF($B2270="","",IFERROR(VALUE(SUBSTITUTE($B2270,InvPrefix,"")),0)),"")</f>
        <v/>
      </c>
      <c r="X2270" s="61" t="str">
        <f aca="false">IF(IsPro,IF($D2270="","",IF(OR($H2270="",$H2270="Credit"),0,Q2270)),"")</f>
        <v/>
      </c>
    </row>
    <row r="2271" customFormat="false" ht="15" hidden="false" customHeight="false" outlineLevel="0" collapsed="false">
      <c r="A2271" s="55"/>
      <c r="B2271" s="56"/>
      <c r="C2271" s="56"/>
      <c r="D2271" s="56"/>
      <c r="E2271" s="57"/>
      <c r="F2271" s="58"/>
      <c r="G2271" s="59"/>
      <c r="H2271" s="56"/>
      <c r="I2271" s="56"/>
      <c r="J2271" s="60" t="str">
        <f aca="false">IF(IsPro,IF($D2271="","",IFERROR(INDEX(Items!$D$5:$D$504,U2271),"")),"")</f>
        <v/>
      </c>
      <c r="K2271" s="61" t="str">
        <f aca="false">IF(IsPro,IF($D2271="","",IF($F2271="",IFERROR(INDEX(Items!$H$5:$H$504,U2271),0),$F2271)),"")</f>
        <v/>
      </c>
      <c r="L2271" s="61" t="str">
        <f aca="false">IF(IsPro,IF($D2271="","",ROUND(N($E2271)*K2271*(1-N($G2271)),2)),"")</f>
        <v/>
      </c>
      <c r="M2271" s="62" t="str">
        <f aca="false">IF(IsPro,IF($D2271="","",IFERROR(INDEX(Items!$F$5:$F$504,U2271),0)),"")</f>
        <v/>
      </c>
      <c r="N2271" s="61" t="str">
        <f aca="false">IF(IsPro,IF($D2271="","",IF(AND(V2271&lt;&gt;"",INDEX(Parties!$E$5:$E$304,V2271)&lt;&gt;"",INDEX(Parties!$E$5:$E$304,V2271)&lt;&gt;HomeState),0,ROUND(L2271*M2271/2,2))),"")</f>
        <v/>
      </c>
      <c r="O2271" s="61" t="str">
        <f aca="false">IF(IsPro,IF($D2271="","",N2271),"")</f>
        <v/>
      </c>
      <c r="P2271" s="61" t="str">
        <f aca="false">IF(IsPro,IF($D2271="","",IF(AND(V2271&lt;&gt;"",INDEX(Parties!$E$5:$E$304,V2271)&lt;&gt;"",INDEX(Parties!$E$5:$E$304,V2271)&lt;&gt;HomeState),ROUND(L2271*M2271,2),0)),"")</f>
        <v/>
      </c>
      <c r="Q2271" s="61" t="str">
        <f aca="false">IF(IsPro,IF($D2271="","",L2271+N2271+O2271+P2271),"")</f>
        <v/>
      </c>
      <c r="R2271" s="61" t="str">
        <f aca="false">IF(IsPro,IF($D2271="","",ROUND(N($E2271)*IFERROR(INDEX(Items!$P$5:$P$504,U2271),0),2)),"")</f>
        <v/>
      </c>
      <c r="S2271" s="61" t="str">
        <f aca="false">IF(IsPro,IF($D2271="","",L2271-R2271),"")</f>
        <v/>
      </c>
      <c r="T2271" s="60" t="str">
        <f aca="false">IF(IsPro,IF($D2271="","",IF(U2271="","UNKNOWN ITEM",IF(INDEX(Items!$O$5:$O$504,U2271)&lt;0,"NEG STOCK",IF(K2271&lt;INDEX(Items!$P$5:$P$504,U2271),"BELOW COST","OK")))),IF($D2271="","","PRO PLAN"))</f>
        <v/>
      </c>
      <c r="U2271" s="60" t="str">
        <f aca="false">IF(IsPro,IF($D2271="","",IFERROR(MATCH($D2271,Items!$A$5:$A$504,0),"")),"")</f>
        <v/>
      </c>
      <c r="V2271" s="60" t="str">
        <f aca="false">IF(IsPro,IF($C2271="","",IFERROR(MATCH($C2271,Parties!$A$5:$A$304,0),"")),"")</f>
        <v/>
      </c>
      <c r="W2271" s="60" t="str">
        <f aca="false">IF(IsPro,IF($B2271="","",IFERROR(VALUE(SUBSTITUTE($B2271,InvPrefix,"")),0)),"")</f>
        <v/>
      </c>
      <c r="X2271" s="61" t="str">
        <f aca="false">IF(IsPro,IF($D2271="","",IF(OR($H2271="",$H2271="Credit"),0,Q2271)),"")</f>
        <v/>
      </c>
    </row>
    <row r="2272" customFormat="false" ht="15" hidden="false" customHeight="false" outlineLevel="0" collapsed="false">
      <c r="A2272" s="55"/>
      <c r="B2272" s="56"/>
      <c r="C2272" s="56"/>
      <c r="D2272" s="56"/>
      <c r="E2272" s="57"/>
      <c r="F2272" s="58"/>
      <c r="G2272" s="59"/>
      <c r="H2272" s="56"/>
      <c r="I2272" s="56"/>
      <c r="J2272" s="60" t="str">
        <f aca="false">IF(IsPro,IF($D2272="","",IFERROR(INDEX(Items!$D$5:$D$504,U2272),"")),"")</f>
        <v/>
      </c>
      <c r="K2272" s="61" t="str">
        <f aca="false">IF(IsPro,IF($D2272="","",IF($F2272="",IFERROR(INDEX(Items!$H$5:$H$504,U2272),0),$F2272)),"")</f>
        <v/>
      </c>
      <c r="L2272" s="61" t="str">
        <f aca="false">IF(IsPro,IF($D2272="","",ROUND(N($E2272)*K2272*(1-N($G2272)),2)),"")</f>
        <v/>
      </c>
      <c r="M2272" s="62" t="str">
        <f aca="false">IF(IsPro,IF($D2272="","",IFERROR(INDEX(Items!$F$5:$F$504,U2272),0)),"")</f>
        <v/>
      </c>
      <c r="N2272" s="61" t="str">
        <f aca="false">IF(IsPro,IF($D2272="","",IF(AND(V2272&lt;&gt;"",INDEX(Parties!$E$5:$E$304,V2272)&lt;&gt;"",INDEX(Parties!$E$5:$E$304,V2272)&lt;&gt;HomeState),0,ROUND(L2272*M2272/2,2))),"")</f>
        <v/>
      </c>
      <c r="O2272" s="61" t="str">
        <f aca="false">IF(IsPro,IF($D2272="","",N2272),"")</f>
        <v/>
      </c>
      <c r="P2272" s="61" t="str">
        <f aca="false">IF(IsPro,IF($D2272="","",IF(AND(V2272&lt;&gt;"",INDEX(Parties!$E$5:$E$304,V2272)&lt;&gt;"",INDEX(Parties!$E$5:$E$304,V2272)&lt;&gt;HomeState),ROUND(L2272*M2272,2),0)),"")</f>
        <v/>
      </c>
      <c r="Q2272" s="61" t="str">
        <f aca="false">IF(IsPro,IF($D2272="","",L2272+N2272+O2272+P2272),"")</f>
        <v/>
      </c>
      <c r="R2272" s="61" t="str">
        <f aca="false">IF(IsPro,IF($D2272="","",ROUND(N($E2272)*IFERROR(INDEX(Items!$P$5:$P$504,U2272),0),2)),"")</f>
        <v/>
      </c>
      <c r="S2272" s="61" t="str">
        <f aca="false">IF(IsPro,IF($D2272="","",L2272-R2272),"")</f>
        <v/>
      </c>
      <c r="T2272" s="60" t="str">
        <f aca="false">IF(IsPro,IF($D2272="","",IF(U2272="","UNKNOWN ITEM",IF(INDEX(Items!$O$5:$O$504,U2272)&lt;0,"NEG STOCK",IF(K2272&lt;INDEX(Items!$P$5:$P$504,U2272),"BELOW COST","OK")))),IF($D2272="","","PRO PLAN"))</f>
        <v/>
      </c>
      <c r="U2272" s="60" t="str">
        <f aca="false">IF(IsPro,IF($D2272="","",IFERROR(MATCH($D2272,Items!$A$5:$A$504,0),"")),"")</f>
        <v/>
      </c>
      <c r="V2272" s="60" t="str">
        <f aca="false">IF(IsPro,IF($C2272="","",IFERROR(MATCH($C2272,Parties!$A$5:$A$304,0),"")),"")</f>
        <v/>
      </c>
      <c r="W2272" s="60" t="str">
        <f aca="false">IF(IsPro,IF($B2272="","",IFERROR(VALUE(SUBSTITUTE($B2272,InvPrefix,"")),0)),"")</f>
        <v/>
      </c>
      <c r="X2272" s="61" t="str">
        <f aca="false">IF(IsPro,IF($D2272="","",IF(OR($H2272="",$H2272="Credit"),0,Q2272)),"")</f>
        <v/>
      </c>
    </row>
    <row r="2273" customFormat="false" ht="15" hidden="false" customHeight="false" outlineLevel="0" collapsed="false">
      <c r="A2273" s="55"/>
      <c r="B2273" s="56"/>
      <c r="C2273" s="56"/>
      <c r="D2273" s="56"/>
      <c r="E2273" s="57"/>
      <c r="F2273" s="58"/>
      <c r="G2273" s="59"/>
      <c r="H2273" s="56"/>
      <c r="I2273" s="56"/>
      <c r="J2273" s="60" t="str">
        <f aca="false">IF(IsPro,IF($D2273="","",IFERROR(INDEX(Items!$D$5:$D$504,U2273),"")),"")</f>
        <v/>
      </c>
      <c r="K2273" s="61" t="str">
        <f aca="false">IF(IsPro,IF($D2273="","",IF($F2273="",IFERROR(INDEX(Items!$H$5:$H$504,U2273),0),$F2273)),"")</f>
        <v/>
      </c>
      <c r="L2273" s="61" t="str">
        <f aca="false">IF(IsPro,IF($D2273="","",ROUND(N($E2273)*K2273*(1-N($G2273)),2)),"")</f>
        <v/>
      </c>
      <c r="M2273" s="62" t="str">
        <f aca="false">IF(IsPro,IF($D2273="","",IFERROR(INDEX(Items!$F$5:$F$504,U2273),0)),"")</f>
        <v/>
      </c>
      <c r="N2273" s="61" t="str">
        <f aca="false">IF(IsPro,IF($D2273="","",IF(AND(V2273&lt;&gt;"",INDEX(Parties!$E$5:$E$304,V2273)&lt;&gt;"",INDEX(Parties!$E$5:$E$304,V2273)&lt;&gt;HomeState),0,ROUND(L2273*M2273/2,2))),"")</f>
        <v/>
      </c>
      <c r="O2273" s="61" t="str">
        <f aca="false">IF(IsPro,IF($D2273="","",N2273),"")</f>
        <v/>
      </c>
      <c r="P2273" s="61" t="str">
        <f aca="false">IF(IsPro,IF($D2273="","",IF(AND(V2273&lt;&gt;"",INDEX(Parties!$E$5:$E$304,V2273)&lt;&gt;"",INDEX(Parties!$E$5:$E$304,V2273)&lt;&gt;HomeState),ROUND(L2273*M2273,2),0)),"")</f>
        <v/>
      </c>
      <c r="Q2273" s="61" t="str">
        <f aca="false">IF(IsPro,IF($D2273="","",L2273+N2273+O2273+P2273),"")</f>
        <v/>
      </c>
      <c r="R2273" s="61" t="str">
        <f aca="false">IF(IsPro,IF($D2273="","",ROUND(N($E2273)*IFERROR(INDEX(Items!$P$5:$P$504,U2273),0),2)),"")</f>
        <v/>
      </c>
      <c r="S2273" s="61" t="str">
        <f aca="false">IF(IsPro,IF($D2273="","",L2273-R2273),"")</f>
        <v/>
      </c>
      <c r="T2273" s="60" t="str">
        <f aca="false">IF(IsPro,IF($D2273="","",IF(U2273="","UNKNOWN ITEM",IF(INDEX(Items!$O$5:$O$504,U2273)&lt;0,"NEG STOCK",IF(K2273&lt;INDEX(Items!$P$5:$P$504,U2273),"BELOW COST","OK")))),IF($D2273="","","PRO PLAN"))</f>
        <v/>
      </c>
      <c r="U2273" s="60" t="str">
        <f aca="false">IF(IsPro,IF($D2273="","",IFERROR(MATCH($D2273,Items!$A$5:$A$504,0),"")),"")</f>
        <v/>
      </c>
      <c r="V2273" s="60" t="str">
        <f aca="false">IF(IsPro,IF($C2273="","",IFERROR(MATCH($C2273,Parties!$A$5:$A$304,0),"")),"")</f>
        <v/>
      </c>
      <c r="W2273" s="60" t="str">
        <f aca="false">IF(IsPro,IF($B2273="","",IFERROR(VALUE(SUBSTITUTE($B2273,InvPrefix,"")),0)),"")</f>
        <v/>
      </c>
      <c r="X2273" s="61" t="str">
        <f aca="false">IF(IsPro,IF($D2273="","",IF(OR($H2273="",$H2273="Credit"),0,Q2273)),"")</f>
        <v/>
      </c>
    </row>
    <row r="2274" customFormat="false" ht="15" hidden="false" customHeight="false" outlineLevel="0" collapsed="false">
      <c r="A2274" s="55"/>
      <c r="B2274" s="56"/>
      <c r="C2274" s="56"/>
      <c r="D2274" s="56"/>
      <c r="E2274" s="57"/>
      <c r="F2274" s="58"/>
      <c r="G2274" s="59"/>
      <c r="H2274" s="56"/>
      <c r="I2274" s="56"/>
      <c r="J2274" s="60" t="str">
        <f aca="false">IF(IsPro,IF($D2274="","",IFERROR(INDEX(Items!$D$5:$D$504,U2274),"")),"")</f>
        <v/>
      </c>
      <c r="K2274" s="61" t="str">
        <f aca="false">IF(IsPro,IF($D2274="","",IF($F2274="",IFERROR(INDEX(Items!$H$5:$H$504,U2274),0),$F2274)),"")</f>
        <v/>
      </c>
      <c r="L2274" s="61" t="str">
        <f aca="false">IF(IsPro,IF($D2274="","",ROUND(N($E2274)*K2274*(1-N($G2274)),2)),"")</f>
        <v/>
      </c>
      <c r="M2274" s="62" t="str">
        <f aca="false">IF(IsPro,IF($D2274="","",IFERROR(INDEX(Items!$F$5:$F$504,U2274),0)),"")</f>
        <v/>
      </c>
      <c r="N2274" s="61" t="str">
        <f aca="false">IF(IsPro,IF($D2274="","",IF(AND(V2274&lt;&gt;"",INDEX(Parties!$E$5:$E$304,V2274)&lt;&gt;"",INDEX(Parties!$E$5:$E$304,V2274)&lt;&gt;HomeState),0,ROUND(L2274*M2274/2,2))),"")</f>
        <v/>
      </c>
      <c r="O2274" s="61" t="str">
        <f aca="false">IF(IsPro,IF($D2274="","",N2274),"")</f>
        <v/>
      </c>
      <c r="P2274" s="61" t="str">
        <f aca="false">IF(IsPro,IF($D2274="","",IF(AND(V2274&lt;&gt;"",INDEX(Parties!$E$5:$E$304,V2274)&lt;&gt;"",INDEX(Parties!$E$5:$E$304,V2274)&lt;&gt;HomeState),ROUND(L2274*M2274,2),0)),"")</f>
        <v/>
      </c>
      <c r="Q2274" s="61" t="str">
        <f aca="false">IF(IsPro,IF($D2274="","",L2274+N2274+O2274+P2274),"")</f>
        <v/>
      </c>
      <c r="R2274" s="61" t="str">
        <f aca="false">IF(IsPro,IF($D2274="","",ROUND(N($E2274)*IFERROR(INDEX(Items!$P$5:$P$504,U2274),0),2)),"")</f>
        <v/>
      </c>
      <c r="S2274" s="61" t="str">
        <f aca="false">IF(IsPro,IF($D2274="","",L2274-R2274),"")</f>
        <v/>
      </c>
      <c r="T2274" s="60" t="str">
        <f aca="false">IF(IsPro,IF($D2274="","",IF(U2274="","UNKNOWN ITEM",IF(INDEX(Items!$O$5:$O$504,U2274)&lt;0,"NEG STOCK",IF(K2274&lt;INDEX(Items!$P$5:$P$504,U2274),"BELOW COST","OK")))),IF($D2274="","","PRO PLAN"))</f>
        <v/>
      </c>
      <c r="U2274" s="60" t="str">
        <f aca="false">IF(IsPro,IF($D2274="","",IFERROR(MATCH($D2274,Items!$A$5:$A$504,0),"")),"")</f>
        <v/>
      </c>
      <c r="V2274" s="60" t="str">
        <f aca="false">IF(IsPro,IF($C2274="","",IFERROR(MATCH($C2274,Parties!$A$5:$A$304,0),"")),"")</f>
        <v/>
      </c>
      <c r="W2274" s="60" t="str">
        <f aca="false">IF(IsPro,IF($B2274="","",IFERROR(VALUE(SUBSTITUTE($B2274,InvPrefix,"")),0)),"")</f>
        <v/>
      </c>
      <c r="X2274" s="61" t="str">
        <f aca="false">IF(IsPro,IF($D2274="","",IF(OR($H2274="",$H2274="Credit"),0,Q2274)),"")</f>
        <v/>
      </c>
    </row>
    <row r="2275" customFormat="false" ht="15" hidden="false" customHeight="false" outlineLevel="0" collapsed="false">
      <c r="A2275" s="55"/>
      <c r="B2275" s="56"/>
      <c r="C2275" s="56"/>
      <c r="D2275" s="56"/>
      <c r="E2275" s="57"/>
      <c r="F2275" s="58"/>
      <c r="G2275" s="59"/>
      <c r="H2275" s="56"/>
      <c r="I2275" s="56"/>
      <c r="J2275" s="60" t="str">
        <f aca="false">IF(IsPro,IF($D2275="","",IFERROR(INDEX(Items!$D$5:$D$504,U2275),"")),"")</f>
        <v/>
      </c>
      <c r="K2275" s="61" t="str">
        <f aca="false">IF(IsPro,IF($D2275="","",IF($F2275="",IFERROR(INDEX(Items!$H$5:$H$504,U2275),0),$F2275)),"")</f>
        <v/>
      </c>
      <c r="L2275" s="61" t="str">
        <f aca="false">IF(IsPro,IF($D2275="","",ROUND(N($E2275)*K2275*(1-N($G2275)),2)),"")</f>
        <v/>
      </c>
      <c r="M2275" s="62" t="str">
        <f aca="false">IF(IsPro,IF($D2275="","",IFERROR(INDEX(Items!$F$5:$F$504,U2275),0)),"")</f>
        <v/>
      </c>
      <c r="N2275" s="61" t="str">
        <f aca="false">IF(IsPro,IF($D2275="","",IF(AND(V2275&lt;&gt;"",INDEX(Parties!$E$5:$E$304,V2275)&lt;&gt;"",INDEX(Parties!$E$5:$E$304,V2275)&lt;&gt;HomeState),0,ROUND(L2275*M2275/2,2))),"")</f>
        <v/>
      </c>
      <c r="O2275" s="61" t="str">
        <f aca="false">IF(IsPro,IF($D2275="","",N2275),"")</f>
        <v/>
      </c>
      <c r="P2275" s="61" t="str">
        <f aca="false">IF(IsPro,IF($D2275="","",IF(AND(V2275&lt;&gt;"",INDEX(Parties!$E$5:$E$304,V2275)&lt;&gt;"",INDEX(Parties!$E$5:$E$304,V2275)&lt;&gt;HomeState),ROUND(L2275*M2275,2),0)),"")</f>
        <v/>
      </c>
      <c r="Q2275" s="61" t="str">
        <f aca="false">IF(IsPro,IF($D2275="","",L2275+N2275+O2275+P2275),"")</f>
        <v/>
      </c>
      <c r="R2275" s="61" t="str">
        <f aca="false">IF(IsPro,IF($D2275="","",ROUND(N($E2275)*IFERROR(INDEX(Items!$P$5:$P$504,U2275),0),2)),"")</f>
        <v/>
      </c>
      <c r="S2275" s="61" t="str">
        <f aca="false">IF(IsPro,IF($D2275="","",L2275-R2275),"")</f>
        <v/>
      </c>
      <c r="T2275" s="60" t="str">
        <f aca="false">IF(IsPro,IF($D2275="","",IF(U2275="","UNKNOWN ITEM",IF(INDEX(Items!$O$5:$O$504,U2275)&lt;0,"NEG STOCK",IF(K2275&lt;INDEX(Items!$P$5:$P$504,U2275),"BELOW COST","OK")))),IF($D2275="","","PRO PLAN"))</f>
        <v/>
      </c>
      <c r="U2275" s="60" t="str">
        <f aca="false">IF(IsPro,IF($D2275="","",IFERROR(MATCH($D2275,Items!$A$5:$A$504,0),"")),"")</f>
        <v/>
      </c>
      <c r="V2275" s="60" t="str">
        <f aca="false">IF(IsPro,IF($C2275="","",IFERROR(MATCH($C2275,Parties!$A$5:$A$304,0),"")),"")</f>
        <v/>
      </c>
      <c r="W2275" s="60" t="str">
        <f aca="false">IF(IsPro,IF($B2275="","",IFERROR(VALUE(SUBSTITUTE($B2275,InvPrefix,"")),0)),"")</f>
        <v/>
      </c>
      <c r="X2275" s="61" t="str">
        <f aca="false">IF(IsPro,IF($D2275="","",IF(OR($H2275="",$H2275="Credit"),0,Q2275)),"")</f>
        <v/>
      </c>
    </row>
    <row r="2276" customFormat="false" ht="15" hidden="false" customHeight="false" outlineLevel="0" collapsed="false">
      <c r="A2276" s="55"/>
      <c r="B2276" s="56"/>
      <c r="C2276" s="56"/>
      <c r="D2276" s="56"/>
      <c r="E2276" s="57"/>
      <c r="F2276" s="58"/>
      <c r="G2276" s="59"/>
      <c r="H2276" s="56"/>
      <c r="I2276" s="56"/>
      <c r="J2276" s="60" t="str">
        <f aca="false">IF(IsPro,IF($D2276="","",IFERROR(INDEX(Items!$D$5:$D$504,U2276),"")),"")</f>
        <v/>
      </c>
      <c r="K2276" s="61" t="str">
        <f aca="false">IF(IsPro,IF($D2276="","",IF($F2276="",IFERROR(INDEX(Items!$H$5:$H$504,U2276),0),$F2276)),"")</f>
        <v/>
      </c>
      <c r="L2276" s="61" t="str">
        <f aca="false">IF(IsPro,IF($D2276="","",ROUND(N($E2276)*K2276*(1-N($G2276)),2)),"")</f>
        <v/>
      </c>
      <c r="M2276" s="62" t="str">
        <f aca="false">IF(IsPro,IF($D2276="","",IFERROR(INDEX(Items!$F$5:$F$504,U2276),0)),"")</f>
        <v/>
      </c>
      <c r="N2276" s="61" t="str">
        <f aca="false">IF(IsPro,IF($D2276="","",IF(AND(V2276&lt;&gt;"",INDEX(Parties!$E$5:$E$304,V2276)&lt;&gt;"",INDEX(Parties!$E$5:$E$304,V2276)&lt;&gt;HomeState),0,ROUND(L2276*M2276/2,2))),"")</f>
        <v/>
      </c>
      <c r="O2276" s="61" t="str">
        <f aca="false">IF(IsPro,IF($D2276="","",N2276),"")</f>
        <v/>
      </c>
      <c r="P2276" s="61" t="str">
        <f aca="false">IF(IsPro,IF($D2276="","",IF(AND(V2276&lt;&gt;"",INDEX(Parties!$E$5:$E$304,V2276)&lt;&gt;"",INDEX(Parties!$E$5:$E$304,V2276)&lt;&gt;HomeState),ROUND(L2276*M2276,2),0)),"")</f>
        <v/>
      </c>
      <c r="Q2276" s="61" t="str">
        <f aca="false">IF(IsPro,IF($D2276="","",L2276+N2276+O2276+P2276),"")</f>
        <v/>
      </c>
      <c r="R2276" s="61" t="str">
        <f aca="false">IF(IsPro,IF($D2276="","",ROUND(N($E2276)*IFERROR(INDEX(Items!$P$5:$P$504,U2276),0),2)),"")</f>
        <v/>
      </c>
      <c r="S2276" s="61" t="str">
        <f aca="false">IF(IsPro,IF($D2276="","",L2276-R2276),"")</f>
        <v/>
      </c>
      <c r="T2276" s="60" t="str">
        <f aca="false">IF(IsPro,IF($D2276="","",IF(U2276="","UNKNOWN ITEM",IF(INDEX(Items!$O$5:$O$504,U2276)&lt;0,"NEG STOCK",IF(K2276&lt;INDEX(Items!$P$5:$P$504,U2276),"BELOW COST","OK")))),IF($D2276="","","PRO PLAN"))</f>
        <v/>
      </c>
      <c r="U2276" s="60" t="str">
        <f aca="false">IF(IsPro,IF($D2276="","",IFERROR(MATCH($D2276,Items!$A$5:$A$504,0),"")),"")</f>
        <v/>
      </c>
      <c r="V2276" s="60" t="str">
        <f aca="false">IF(IsPro,IF($C2276="","",IFERROR(MATCH($C2276,Parties!$A$5:$A$304,0),"")),"")</f>
        <v/>
      </c>
      <c r="W2276" s="60" t="str">
        <f aca="false">IF(IsPro,IF($B2276="","",IFERROR(VALUE(SUBSTITUTE($B2276,InvPrefix,"")),0)),"")</f>
        <v/>
      </c>
      <c r="X2276" s="61" t="str">
        <f aca="false">IF(IsPro,IF($D2276="","",IF(OR($H2276="",$H2276="Credit"),0,Q2276)),"")</f>
        <v/>
      </c>
    </row>
    <row r="2277" customFormat="false" ht="15" hidden="false" customHeight="false" outlineLevel="0" collapsed="false">
      <c r="A2277" s="55"/>
      <c r="B2277" s="56"/>
      <c r="C2277" s="56"/>
      <c r="D2277" s="56"/>
      <c r="E2277" s="57"/>
      <c r="F2277" s="58"/>
      <c r="G2277" s="59"/>
      <c r="H2277" s="56"/>
      <c r="I2277" s="56"/>
      <c r="J2277" s="60" t="str">
        <f aca="false">IF(IsPro,IF($D2277="","",IFERROR(INDEX(Items!$D$5:$D$504,U2277),"")),"")</f>
        <v/>
      </c>
      <c r="K2277" s="61" t="str">
        <f aca="false">IF(IsPro,IF($D2277="","",IF($F2277="",IFERROR(INDEX(Items!$H$5:$H$504,U2277),0),$F2277)),"")</f>
        <v/>
      </c>
      <c r="L2277" s="61" t="str">
        <f aca="false">IF(IsPro,IF($D2277="","",ROUND(N($E2277)*K2277*(1-N($G2277)),2)),"")</f>
        <v/>
      </c>
      <c r="M2277" s="62" t="str">
        <f aca="false">IF(IsPro,IF($D2277="","",IFERROR(INDEX(Items!$F$5:$F$504,U2277),0)),"")</f>
        <v/>
      </c>
      <c r="N2277" s="61" t="str">
        <f aca="false">IF(IsPro,IF($D2277="","",IF(AND(V2277&lt;&gt;"",INDEX(Parties!$E$5:$E$304,V2277)&lt;&gt;"",INDEX(Parties!$E$5:$E$304,V2277)&lt;&gt;HomeState),0,ROUND(L2277*M2277/2,2))),"")</f>
        <v/>
      </c>
      <c r="O2277" s="61" t="str">
        <f aca="false">IF(IsPro,IF($D2277="","",N2277),"")</f>
        <v/>
      </c>
      <c r="P2277" s="61" t="str">
        <f aca="false">IF(IsPro,IF($D2277="","",IF(AND(V2277&lt;&gt;"",INDEX(Parties!$E$5:$E$304,V2277)&lt;&gt;"",INDEX(Parties!$E$5:$E$304,V2277)&lt;&gt;HomeState),ROUND(L2277*M2277,2),0)),"")</f>
        <v/>
      </c>
      <c r="Q2277" s="61" t="str">
        <f aca="false">IF(IsPro,IF($D2277="","",L2277+N2277+O2277+P2277),"")</f>
        <v/>
      </c>
      <c r="R2277" s="61" t="str">
        <f aca="false">IF(IsPro,IF($D2277="","",ROUND(N($E2277)*IFERROR(INDEX(Items!$P$5:$P$504,U2277),0),2)),"")</f>
        <v/>
      </c>
      <c r="S2277" s="61" t="str">
        <f aca="false">IF(IsPro,IF($D2277="","",L2277-R2277),"")</f>
        <v/>
      </c>
      <c r="T2277" s="60" t="str">
        <f aca="false">IF(IsPro,IF($D2277="","",IF(U2277="","UNKNOWN ITEM",IF(INDEX(Items!$O$5:$O$504,U2277)&lt;0,"NEG STOCK",IF(K2277&lt;INDEX(Items!$P$5:$P$504,U2277),"BELOW COST","OK")))),IF($D2277="","","PRO PLAN"))</f>
        <v/>
      </c>
      <c r="U2277" s="60" t="str">
        <f aca="false">IF(IsPro,IF($D2277="","",IFERROR(MATCH($D2277,Items!$A$5:$A$504,0),"")),"")</f>
        <v/>
      </c>
      <c r="V2277" s="60" t="str">
        <f aca="false">IF(IsPro,IF($C2277="","",IFERROR(MATCH($C2277,Parties!$A$5:$A$304,0),"")),"")</f>
        <v/>
      </c>
      <c r="W2277" s="60" t="str">
        <f aca="false">IF(IsPro,IF($B2277="","",IFERROR(VALUE(SUBSTITUTE($B2277,InvPrefix,"")),0)),"")</f>
        <v/>
      </c>
      <c r="X2277" s="61" t="str">
        <f aca="false">IF(IsPro,IF($D2277="","",IF(OR($H2277="",$H2277="Credit"),0,Q2277)),"")</f>
        <v/>
      </c>
    </row>
    <row r="2278" customFormat="false" ht="15" hidden="false" customHeight="false" outlineLevel="0" collapsed="false">
      <c r="A2278" s="55"/>
      <c r="B2278" s="56"/>
      <c r="C2278" s="56"/>
      <c r="D2278" s="56"/>
      <c r="E2278" s="57"/>
      <c r="F2278" s="58"/>
      <c r="G2278" s="59"/>
      <c r="H2278" s="56"/>
      <c r="I2278" s="56"/>
      <c r="J2278" s="60" t="str">
        <f aca="false">IF(IsPro,IF($D2278="","",IFERROR(INDEX(Items!$D$5:$D$504,U2278),"")),"")</f>
        <v/>
      </c>
      <c r="K2278" s="61" t="str">
        <f aca="false">IF(IsPro,IF($D2278="","",IF($F2278="",IFERROR(INDEX(Items!$H$5:$H$504,U2278),0),$F2278)),"")</f>
        <v/>
      </c>
      <c r="L2278" s="61" t="str">
        <f aca="false">IF(IsPro,IF($D2278="","",ROUND(N($E2278)*K2278*(1-N($G2278)),2)),"")</f>
        <v/>
      </c>
      <c r="M2278" s="62" t="str">
        <f aca="false">IF(IsPro,IF($D2278="","",IFERROR(INDEX(Items!$F$5:$F$504,U2278),0)),"")</f>
        <v/>
      </c>
      <c r="N2278" s="61" t="str">
        <f aca="false">IF(IsPro,IF($D2278="","",IF(AND(V2278&lt;&gt;"",INDEX(Parties!$E$5:$E$304,V2278)&lt;&gt;"",INDEX(Parties!$E$5:$E$304,V2278)&lt;&gt;HomeState),0,ROUND(L2278*M2278/2,2))),"")</f>
        <v/>
      </c>
      <c r="O2278" s="61" t="str">
        <f aca="false">IF(IsPro,IF($D2278="","",N2278),"")</f>
        <v/>
      </c>
      <c r="P2278" s="61" t="str">
        <f aca="false">IF(IsPro,IF($D2278="","",IF(AND(V2278&lt;&gt;"",INDEX(Parties!$E$5:$E$304,V2278)&lt;&gt;"",INDEX(Parties!$E$5:$E$304,V2278)&lt;&gt;HomeState),ROUND(L2278*M2278,2),0)),"")</f>
        <v/>
      </c>
      <c r="Q2278" s="61" t="str">
        <f aca="false">IF(IsPro,IF($D2278="","",L2278+N2278+O2278+P2278),"")</f>
        <v/>
      </c>
      <c r="R2278" s="61" t="str">
        <f aca="false">IF(IsPro,IF($D2278="","",ROUND(N($E2278)*IFERROR(INDEX(Items!$P$5:$P$504,U2278),0),2)),"")</f>
        <v/>
      </c>
      <c r="S2278" s="61" t="str">
        <f aca="false">IF(IsPro,IF($D2278="","",L2278-R2278),"")</f>
        <v/>
      </c>
      <c r="T2278" s="60" t="str">
        <f aca="false">IF(IsPro,IF($D2278="","",IF(U2278="","UNKNOWN ITEM",IF(INDEX(Items!$O$5:$O$504,U2278)&lt;0,"NEG STOCK",IF(K2278&lt;INDEX(Items!$P$5:$P$504,U2278),"BELOW COST","OK")))),IF($D2278="","","PRO PLAN"))</f>
        <v/>
      </c>
      <c r="U2278" s="60" t="str">
        <f aca="false">IF(IsPro,IF($D2278="","",IFERROR(MATCH($D2278,Items!$A$5:$A$504,0),"")),"")</f>
        <v/>
      </c>
      <c r="V2278" s="60" t="str">
        <f aca="false">IF(IsPro,IF($C2278="","",IFERROR(MATCH($C2278,Parties!$A$5:$A$304,0),"")),"")</f>
        <v/>
      </c>
      <c r="W2278" s="60" t="str">
        <f aca="false">IF(IsPro,IF($B2278="","",IFERROR(VALUE(SUBSTITUTE($B2278,InvPrefix,"")),0)),"")</f>
        <v/>
      </c>
      <c r="X2278" s="61" t="str">
        <f aca="false">IF(IsPro,IF($D2278="","",IF(OR($H2278="",$H2278="Credit"),0,Q2278)),"")</f>
        <v/>
      </c>
    </row>
    <row r="2279" customFormat="false" ht="15" hidden="false" customHeight="false" outlineLevel="0" collapsed="false">
      <c r="A2279" s="55"/>
      <c r="B2279" s="56"/>
      <c r="C2279" s="56"/>
      <c r="D2279" s="56"/>
      <c r="E2279" s="57"/>
      <c r="F2279" s="58"/>
      <c r="G2279" s="59"/>
      <c r="H2279" s="56"/>
      <c r="I2279" s="56"/>
      <c r="J2279" s="60" t="str">
        <f aca="false">IF(IsPro,IF($D2279="","",IFERROR(INDEX(Items!$D$5:$D$504,U2279),"")),"")</f>
        <v/>
      </c>
      <c r="K2279" s="61" t="str">
        <f aca="false">IF(IsPro,IF($D2279="","",IF($F2279="",IFERROR(INDEX(Items!$H$5:$H$504,U2279),0),$F2279)),"")</f>
        <v/>
      </c>
      <c r="L2279" s="61" t="str">
        <f aca="false">IF(IsPro,IF($D2279="","",ROUND(N($E2279)*K2279*(1-N($G2279)),2)),"")</f>
        <v/>
      </c>
      <c r="M2279" s="62" t="str">
        <f aca="false">IF(IsPro,IF($D2279="","",IFERROR(INDEX(Items!$F$5:$F$504,U2279),0)),"")</f>
        <v/>
      </c>
      <c r="N2279" s="61" t="str">
        <f aca="false">IF(IsPro,IF($D2279="","",IF(AND(V2279&lt;&gt;"",INDEX(Parties!$E$5:$E$304,V2279)&lt;&gt;"",INDEX(Parties!$E$5:$E$304,V2279)&lt;&gt;HomeState),0,ROUND(L2279*M2279/2,2))),"")</f>
        <v/>
      </c>
      <c r="O2279" s="61" t="str">
        <f aca="false">IF(IsPro,IF($D2279="","",N2279),"")</f>
        <v/>
      </c>
      <c r="P2279" s="61" t="str">
        <f aca="false">IF(IsPro,IF($D2279="","",IF(AND(V2279&lt;&gt;"",INDEX(Parties!$E$5:$E$304,V2279)&lt;&gt;"",INDEX(Parties!$E$5:$E$304,V2279)&lt;&gt;HomeState),ROUND(L2279*M2279,2),0)),"")</f>
        <v/>
      </c>
      <c r="Q2279" s="61" t="str">
        <f aca="false">IF(IsPro,IF($D2279="","",L2279+N2279+O2279+P2279),"")</f>
        <v/>
      </c>
      <c r="R2279" s="61" t="str">
        <f aca="false">IF(IsPro,IF($D2279="","",ROUND(N($E2279)*IFERROR(INDEX(Items!$P$5:$P$504,U2279),0),2)),"")</f>
        <v/>
      </c>
      <c r="S2279" s="61" t="str">
        <f aca="false">IF(IsPro,IF($D2279="","",L2279-R2279),"")</f>
        <v/>
      </c>
      <c r="T2279" s="60" t="str">
        <f aca="false">IF(IsPro,IF($D2279="","",IF(U2279="","UNKNOWN ITEM",IF(INDEX(Items!$O$5:$O$504,U2279)&lt;0,"NEG STOCK",IF(K2279&lt;INDEX(Items!$P$5:$P$504,U2279),"BELOW COST","OK")))),IF($D2279="","","PRO PLAN"))</f>
        <v/>
      </c>
      <c r="U2279" s="60" t="str">
        <f aca="false">IF(IsPro,IF($D2279="","",IFERROR(MATCH($D2279,Items!$A$5:$A$504,0),"")),"")</f>
        <v/>
      </c>
      <c r="V2279" s="60" t="str">
        <f aca="false">IF(IsPro,IF($C2279="","",IFERROR(MATCH($C2279,Parties!$A$5:$A$304,0),"")),"")</f>
        <v/>
      </c>
      <c r="W2279" s="60" t="str">
        <f aca="false">IF(IsPro,IF($B2279="","",IFERROR(VALUE(SUBSTITUTE($B2279,InvPrefix,"")),0)),"")</f>
        <v/>
      </c>
      <c r="X2279" s="61" t="str">
        <f aca="false">IF(IsPro,IF($D2279="","",IF(OR($H2279="",$H2279="Credit"),0,Q2279)),"")</f>
        <v/>
      </c>
    </row>
    <row r="2280" customFormat="false" ht="15" hidden="false" customHeight="false" outlineLevel="0" collapsed="false">
      <c r="A2280" s="55"/>
      <c r="B2280" s="56"/>
      <c r="C2280" s="56"/>
      <c r="D2280" s="56"/>
      <c r="E2280" s="57"/>
      <c r="F2280" s="58"/>
      <c r="G2280" s="59"/>
      <c r="H2280" s="56"/>
      <c r="I2280" s="56"/>
      <c r="J2280" s="60" t="str">
        <f aca="false">IF(IsPro,IF($D2280="","",IFERROR(INDEX(Items!$D$5:$D$504,U2280),"")),"")</f>
        <v/>
      </c>
      <c r="K2280" s="61" t="str">
        <f aca="false">IF(IsPro,IF($D2280="","",IF($F2280="",IFERROR(INDEX(Items!$H$5:$H$504,U2280),0),$F2280)),"")</f>
        <v/>
      </c>
      <c r="L2280" s="61" t="str">
        <f aca="false">IF(IsPro,IF($D2280="","",ROUND(N($E2280)*K2280*(1-N($G2280)),2)),"")</f>
        <v/>
      </c>
      <c r="M2280" s="62" t="str">
        <f aca="false">IF(IsPro,IF($D2280="","",IFERROR(INDEX(Items!$F$5:$F$504,U2280),0)),"")</f>
        <v/>
      </c>
      <c r="N2280" s="61" t="str">
        <f aca="false">IF(IsPro,IF($D2280="","",IF(AND(V2280&lt;&gt;"",INDEX(Parties!$E$5:$E$304,V2280)&lt;&gt;"",INDEX(Parties!$E$5:$E$304,V2280)&lt;&gt;HomeState),0,ROUND(L2280*M2280/2,2))),"")</f>
        <v/>
      </c>
      <c r="O2280" s="61" t="str">
        <f aca="false">IF(IsPro,IF($D2280="","",N2280),"")</f>
        <v/>
      </c>
      <c r="P2280" s="61" t="str">
        <f aca="false">IF(IsPro,IF($D2280="","",IF(AND(V2280&lt;&gt;"",INDEX(Parties!$E$5:$E$304,V2280)&lt;&gt;"",INDEX(Parties!$E$5:$E$304,V2280)&lt;&gt;HomeState),ROUND(L2280*M2280,2),0)),"")</f>
        <v/>
      </c>
      <c r="Q2280" s="61" t="str">
        <f aca="false">IF(IsPro,IF($D2280="","",L2280+N2280+O2280+P2280),"")</f>
        <v/>
      </c>
      <c r="R2280" s="61" t="str">
        <f aca="false">IF(IsPro,IF($D2280="","",ROUND(N($E2280)*IFERROR(INDEX(Items!$P$5:$P$504,U2280),0),2)),"")</f>
        <v/>
      </c>
      <c r="S2280" s="61" t="str">
        <f aca="false">IF(IsPro,IF($D2280="","",L2280-R2280),"")</f>
        <v/>
      </c>
      <c r="T2280" s="60" t="str">
        <f aca="false">IF(IsPro,IF($D2280="","",IF(U2280="","UNKNOWN ITEM",IF(INDEX(Items!$O$5:$O$504,U2280)&lt;0,"NEG STOCK",IF(K2280&lt;INDEX(Items!$P$5:$P$504,U2280),"BELOW COST","OK")))),IF($D2280="","","PRO PLAN"))</f>
        <v/>
      </c>
      <c r="U2280" s="60" t="str">
        <f aca="false">IF(IsPro,IF($D2280="","",IFERROR(MATCH($D2280,Items!$A$5:$A$504,0),"")),"")</f>
        <v/>
      </c>
      <c r="V2280" s="60" t="str">
        <f aca="false">IF(IsPro,IF($C2280="","",IFERROR(MATCH($C2280,Parties!$A$5:$A$304,0),"")),"")</f>
        <v/>
      </c>
      <c r="W2280" s="60" t="str">
        <f aca="false">IF(IsPro,IF($B2280="","",IFERROR(VALUE(SUBSTITUTE($B2280,InvPrefix,"")),0)),"")</f>
        <v/>
      </c>
      <c r="X2280" s="61" t="str">
        <f aca="false">IF(IsPro,IF($D2280="","",IF(OR($H2280="",$H2280="Credit"),0,Q2280)),"")</f>
        <v/>
      </c>
    </row>
    <row r="2281" customFormat="false" ht="15" hidden="false" customHeight="false" outlineLevel="0" collapsed="false">
      <c r="A2281" s="55"/>
      <c r="B2281" s="56"/>
      <c r="C2281" s="56"/>
      <c r="D2281" s="56"/>
      <c r="E2281" s="57"/>
      <c r="F2281" s="58"/>
      <c r="G2281" s="59"/>
      <c r="H2281" s="56"/>
      <c r="I2281" s="56"/>
      <c r="J2281" s="60" t="str">
        <f aca="false">IF(IsPro,IF($D2281="","",IFERROR(INDEX(Items!$D$5:$D$504,U2281),"")),"")</f>
        <v/>
      </c>
      <c r="K2281" s="61" t="str">
        <f aca="false">IF(IsPro,IF($D2281="","",IF($F2281="",IFERROR(INDEX(Items!$H$5:$H$504,U2281),0),$F2281)),"")</f>
        <v/>
      </c>
      <c r="L2281" s="61" t="str">
        <f aca="false">IF(IsPro,IF($D2281="","",ROUND(N($E2281)*K2281*(1-N($G2281)),2)),"")</f>
        <v/>
      </c>
      <c r="M2281" s="62" t="str">
        <f aca="false">IF(IsPro,IF($D2281="","",IFERROR(INDEX(Items!$F$5:$F$504,U2281),0)),"")</f>
        <v/>
      </c>
      <c r="N2281" s="61" t="str">
        <f aca="false">IF(IsPro,IF($D2281="","",IF(AND(V2281&lt;&gt;"",INDEX(Parties!$E$5:$E$304,V2281)&lt;&gt;"",INDEX(Parties!$E$5:$E$304,V2281)&lt;&gt;HomeState),0,ROUND(L2281*M2281/2,2))),"")</f>
        <v/>
      </c>
      <c r="O2281" s="61" t="str">
        <f aca="false">IF(IsPro,IF($D2281="","",N2281),"")</f>
        <v/>
      </c>
      <c r="P2281" s="61" t="str">
        <f aca="false">IF(IsPro,IF($D2281="","",IF(AND(V2281&lt;&gt;"",INDEX(Parties!$E$5:$E$304,V2281)&lt;&gt;"",INDEX(Parties!$E$5:$E$304,V2281)&lt;&gt;HomeState),ROUND(L2281*M2281,2),0)),"")</f>
        <v/>
      </c>
      <c r="Q2281" s="61" t="str">
        <f aca="false">IF(IsPro,IF($D2281="","",L2281+N2281+O2281+P2281),"")</f>
        <v/>
      </c>
      <c r="R2281" s="61" t="str">
        <f aca="false">IF(IsPro,IF($D2281="","",ROUND(N($E2281)*IFERROR(INDEX(Items!$P$5:$P$504,U2281),0),2)),"")</f>
        <v/>
      </c>
      <c r="S2281" s="61" t="str">
        <f aca="false">IF(IsPro,IF($D2281="","",L2281-R2281),"")</f>
        <v/>
      </c>
      <c r="T2281" s="60" t="str">
        <f aca="false">IF(IsPro,IF($D2281="","",IF(U2281="","UNKNOWN ITEM",IF(INDEX(Items!$O$5:$O$504,U2281)&lt;0,"NEG STOCK",IF(K2281&lt;INDEX(Items!$P$5:$P$504,U2281),"BELOW COST","OK")))),IF($D2281="","","PRO PLAN"))</f>
        <v/>
      </c>
      <c r="U2281" s="60" t="str">
        <f aca="false">IF(IsPro,IF($D2281="","",IFERROR(MATCH($D2281,Items!$A$5:$A$504,0),"")),"")</f>
        <v/>
      </c>
      <c r="V2281" s="60" t="str">
        <f aca="false">IF(IsPro,IF($C2281="","",IFERROR(MATCH($C2281,Parties!$A$5:$A$304,0),"")),"")</f>
        <v/>
      </c>
      <c r="W2281" s="60" t="str">
        <f aca="false">IF(IsPro,IF($B2281="","",IFERROR(VALUE(SUBSTITUTE($B2281,InvPrefix,"")),0)),"")</f>
        <v/>
      </c>
      <c r="X2281" s="61" t="str">
        <f aca="false">IF(IsPro,IF($D2281="","",IF(OR($H2281="",$H2281="Credit"),0,Q2281)),"")</f>
        <v/>
      </c>
    </row>
    <row r="2282" customFormat="false" ht="15" hidden="false" customHeight="false" outlineLevel="0" collapsed="false">
      <c r="A2282" s="55"/>
      <c r="B2282" s="56"/>
      <c r="C2282" s="56"/>
      <c r="D2282" s="56"/>
      <c r="E2282" s="57"/>
      <c r="F2282" s="58"/>
      <c r="G2282" s="59"/>
      <c r="H2282" s="56"/>
      <c r="I2282" s="56"/>
      <c r="J2282" s="60" t="str">
        <f aca="false">IF(IsPro,IF($D2282="","",IFERROR(INDEX(Items!$D$5:$D$504,U2282),"")),"")</f>
        <v/>
      </c>
      <c r="K2282" s="61" t="str">
        <f aca="false">IF(IsPro,IF($D2282="","",IF($F2282="",IFERROR(INDEX(Items!$H$5:$H$504,U2282),0),$F2282)),"")</f>
        <v/>
      </c>
      <c r="L2282" s="61" t="str">
        <f aca="false">IF(IsPro,IF($D2282="","",ROUND(N($E2282)*K2282*(1-N($G2282)),2)),"")</f>
        <v/>
      </c>
      <c r="M2282" s="62" t="str">
        <f aca="false">IF(IsPro,IF($D2282="","",IFERROR(INDEX(Items!$F$5:$F$504,U2282),0)),"")</f>
        <v/>
      </c>
      <c r="N2282" s="61" t="str">
        <f aca="false">IF(IsPro,IF($D2282="","",IF(AND(V2282&lt;&gt;"",INDEX(Parties!$E$5:$E$304,V2282)&lt;&gt;"",INDEX(Parties!$E$5:$E$304,V2282)&lt;&gt;HomeState),0,ROUND(L2282*M2282/2,2))),"")</f>
        <v/>
      </c>
      <c r="O2282" s="61" t="str">
        <f aca="false">IF(IsPro,IF($D2282="","",N2282),"")</f>
        <v/>
      </c>
      <c r="P2282" s="61" t="str">
        <f aca="false">IF(IsPro,IF($D2282="","",IF(AND(V2282&lt;&gt;"",INDEX(Parties!$E$5:$E$304,V2282)&lt;&gt;"",INDEX(Parties!$E$5:$E$304,V2282)&lt;&gt;HomeState),ROUND(L2282*M2282,2),0)),"")</f>
        <v/>
      </c>
      <c r="Q2282" s="61" t="str">
        <f aca="false">IF(IsPro,IF($D2282="","",L2282+N2282+O2282+P2282),"")</f>
        <v/>
      </c>
      <c r="R2282" s="61" t="str">
        <f aca="false">IF(IsPro,IF($D2282="","",ROUND(N($E2282)*IFERROR(INDEX(Items!$P$5:$P$504,U2282),0),2)),"")</f>
        <v/>
      </c>
      <c r="S2282" s="61" t="str">
        <f aca="false">IF(IsPro,IF($D2282="","",L2282-R2282),"")</f>
        <v/>
      </c>
      <c r="T2282" s="60" t="str">
        <f aca="false">IF(IsPro,IF($D2282="","",IF(U2282="","UNKNOWN ITEM",IF(INDEX(Items!$O$5:$O$504,U2282)&lt;0,"NEG STOCK",IF(K2282&lt;INDEX(Items!$P$5:$P$504,U2282),"BELOW COST","OK")))),IF($D2282="","","PRO PLAN"))</f>
        <v/>
      </c>
      <c r="U2282" s="60" t="str">
        <f aca="false">IF(IsPro,IF($D2282="","",IFERROR(MATCH($D2282,Items!$A$5:$A$504,0),"")),"")</f>
        <v/>
      </c>
      <c r="V2282" s="60" t="str">
        <f aca="false">IF(IsPro,IF($C2282="","",IFERROR(MATCH($C2282,Parties!$A$5:$A$304,0),"")),"")</f>
        <v/>
      </c>
      <c r="W2282" s="60" t="str">
        <f aca="false">IF(IsPro,IF($B2282="","",IFERROR(VALUE(SUBSTITUTE($B2282,InvPrefix,"")),0)),"")</f>
        <v/>
      </c>
      <c r="X2282" s="61" t="str">
        <f aca="false">IF(IsPro,IF($D2282="","",IF(OR($H2282="",$H2282="Credit"),0,Q2282)),"")</f>
        <v/>
      </c>
    </row>
    <row r="2283" customFormat="false" ht="15" hidden="false" customHeight="false" outlineLevel="0" collapsed="false">
      <c r="A2283" s="55"/>
      <c r="B2283" s="56"/>
      <c r="C2283" s="56"/>
      <c r="D2283" s="56"/>
      <c r="E2283" s="57"/>
      <c r="F2283" s="58"/>
      <c r="G2283" s="59"/>
      <c r="H2283" s="56"/>
      <c r="I2283" s="56"/>
      <c r="J2283" s="60" t="str">
        <f aca="false">IF(IsPro,IF($D2283="","",IFERROR(INDEX(Items!$D$5:$D$504,U2283),"")),"")</f>
        <v/>
      </c>
      <c r="K2283" s="61" t="str">
        <f aca="false">IF(IsPro,IF($D2283="","",IF($F2283="",IFERROR(INDEX(Items!$H$5:$H$504,U2283),0),$F2283)),"")</f>
        <v/>
      </c>
      <c r="L2283" s="61" t="str">
        <f aca="false">IF(IsPro,IF($D2283="","",ROUND(N($E2283)*K2283*(1-N($G2283)),2)),"")</f>
        <v/>
      </c>
      <c r="M2283" s="62" t="str">
        <f aca="false">IF(IsPro,IF($D2283="","",IFERROR(INDEX(Items!$F$5:$F$504,U2283),0)),"")</f>
        <v/>
      </c>
      <c r="N2283" s="61" t="str">
        <f aca="false">IF(IsPro,IF($D2283="","",IF(AND(V2283&lt;&gt;"",INDEX(Parties!$E$5:$E$304,V2283)&lt;&gt;"",INDEX(Parties!$E$5:$E$304,V2283)&lt;&gt;HomeState),0,ROUND(L2283*M2283/2,2))),"")</f>
        <v/>
      </c>
      <c r="O2283" s="61" t="str">
        <f aca="false">IF(IsPro,IF($D2283="","",N2283),"")</f>
        <v/>
      </c>
      <c r="P2283" s="61" t="str">
        <f aca="false">IF(IsPro,IF($D2283="","",IF(AND(V2283&lt;&gt;"",INDEX(Parties!$E$5:$E$304,V2283)&lt;&gt;"",INDEX(Parties!$E$5:$E$304,V2283)&lt;&gt;HomeState),ROUND(L2283*M2283,2),0)),"")</f>
        <v/>
      </c>
      <c r="Q2283" s="61" t="str">
        <f aca="false">IF(IsPro,IF($D2283="","",L2283+N2283+O2283+P2283),"")</f>
        <v/>
      </c>
      <c r="R2283" s="61" t="str">
        <f aca="false">IF(IsPro,IF($D2283="","",ROUND(N($E2283)*IFERROR(INDEX(Items!$P$5:$P$504,U2283),0),2)),"")</f>
        <v/>
      </c>
      <c r="S2283" s="61" t="str">
        <f aca="false">IF(IsPro,IF($D2283="","",L2283-R2283),"")</f>
        <v/>
      </c>
      <c r="T2283" s="60" t="str">
        <f aca="false">IF(IsPro,IF($D2283="","",IF(U2283="","UNKNOWN ITEM",IF(INDEX(Items!$O$5:$O$504,U2283)&lt;0,"NEG STOCK",IF(K2283&lt;INDEX(Items!$P$5:$P$504,U2283),"BELOW COST","OK")))),IF($D2283="","","PRO PLAN"))</f>
        <v/>
      </c>
      <c r="U2283" s="60" t="str">
        <f aca="false">IF(IsPro,IF($D2283="","",IFERROR(MATCH($D2283,Items!$A$5:$A$504,0),"")),"")</f>
        <v/>
      </c>
      <c r="V2283" s="60" t="str">
        <f aca="false">IF(IsPro,IF($C2283="","",IFERROR(MATCH($C2283,Parties!$A$5:$A$304,0),"")),"")</f>
        <v/>
      </c>
      <c r="W2283" s="60" t="str">
        <f aca="false">IF(IsPro,IF($B2283="","",IFERROR(VALUE(SUBSTITUTE($B2283,InvPrefix,"")),0)),"")</f>
        <v/>
      </c>
      <c r="X2283" s="61" t="str">
        <f aca="false">IF(IsPro,IF($D2283="","",IF(OR($H2283="",$H2283="Credit"),0,Q2283)),"")</f>
        <v/>
      </c>
    </row>
    <row r="2284" customFormat="false" ht="15" hidden="false" customHeight="false" outlineLevel="0" collapsed="false">
      <c r="A2284" s="55"/>
      <c r="B2284" s="56"/>
      <c r="C2284" s="56"/>
      <c r="D2284" s="56"/>
      <c r="E2284" s="57"/>
      <c r="F2284" s="58"/>
      <c r="G2284" s="59"/>
      <c r="H2284" s="56"/>
      <c r="I2284" s="56"/>
      <c r="J2284" s="60" t="str">
        <f aca="false">IF(IsPro,IF($D2284="","",IFERROR(INDEX(Items!$D$5:$D$504,U2284),"")),"")</f>
        <v/>
      </c>
      <c r="K2284" s="61" t="str">
        <f aca="false">IF(IsPro,IF($D2284="","",IF($F2284="",IFERROR(INDEX(Items!$H$5:$H$504,U2284),0),$F2284)),"")</f>
        <v/>
      </c>
      <c r="L2284" s="61" t="str">
        <f aca="false">IF(IsPro,IF($D2284="","",ROUND(N($E2284)*K2284*(1-N($G2284)),2)),"")</f>
        <v/>
      </c>
      <c r="M2284" s="62" t="str">
        <f aca="false">IF(IsPro,IF($D2284="","",IFERROR(INDEX(Items!$F$5:$F$504,U2284),0)),"")</f>
        <v/>
      </c>
      <c r="N2284" s="61" t="str">
        <f aca="false">IF(IsPro,IF($D2284="","",IF(AND(V2284&lt;&gt;"",INDEX(Parties!$E$5:$E$304,V2284)&lt;&gt;"",INDEX(Parties!$E$5:$E$304,V2284)&lt;&gt;HomeState),0,ROUND(L2284*M2284/2,2))),"")</f>
        <v/>
      </c>
      <c r="O2284" s="61" t="str">
        <f aca="false">IF(IsPro,IF($D2284="","",N2284),"")</f>
        <v/>
      </c>
      <c r="P2284" s="61" t="str">
        <f aca="false">IF(IsPro,IF($D2284="","",IF(AND(V2284&lt;&gt;"",INDEX(Parties!$E$5:$E$304,V2284)&lt;&gt;"",INDEX(Parties!$E$5:$E$304,V2284)&lt;&gt;HomeState),ROUND(L2284*M2284,2),0)),"")</f>
        <v/>
      </c>
      <c r="Q2284" s="61" t="str">
        <f aca="false">IF(IsPro,IF($D2284="","",L2284+N2284+O2284+P2284),"")</f>
        <v/>
      </c>
      <c r="R2284" s="61" t="str">
        <f aca="false">IF(IsPro,IF($D2284="","",ROUND(N($E2284)*IFERROR(INDEX(Items!$P$5:$P$504,U2284),0),2)),"")</f>
        <v/>
      </c>
      <c r="S2284" s="61" t="str">
        <f aca="false">IF(IsPro,IF($D2284="","",L2284-R2284),"")</f>
        <v/>
      </c>
      <c r="T2284" s="60" t="str">
        <f aca="false">IF(IsPro,IF($D2284="","",IF(U2284="","UNKNOWN ITEM",IF(INDEX(Items!$O$5:$O$504,U2284)&lt;0,"NEG STOCK",IF(K2284&lt;INDEX(Items!$P$5:$P$504,U2284),"BELOW COST","OK")))),IF($D2284="","","PRO PLAN"))</f>
        <v/>
      </c>
      <c r="U2284" s="60" t="str">
        <f aca="false">IF(IsPro,IF($D2284="","",IFERROR(MATCH($D2284,Items!$A$5:$A$504,0),"")),"")</f>
        <v/>
      </c>
      <c r="V2284" s="60" t="str">
        <f aca="false">IF(IsPro,IF($C2284="","",IFERROR(MATCH($C2284,Parties!$A$5:$A$304,0),"")),"")</f>
        <v/>
      </c>
      <c r="W2284" s="60" t="str">
        <f aca="false">IF(IsPro,IF($B2284="","",IFERROR(VALUE(SUBSTITUTE($B2284,InvPrefix,"")),0)),"")</f>
        <v/>
      </c>
      <c r="X2284" s="61" t="str">
        <f aca="false">IF(IsPro,IF($D2284="","",IF(OR($H2284="",$H2284="Credit"),0,Q2284)),"")</f>
        <v/>
      </c>
    </row>
    <row r="2285" customFormat="false" ht="15" hidden="false" customHeight="false" outlineLevel="0" collapsed="false">
      <c r="A2285" s="55"/>
      <c r="B2285" s="56"/>
      <c r="C2285" s="56"/>
      <c r="D2285" s="56"/>
      <c r="E2285" s="57"/>
      <c r="F2285" s="58"/>
      <c r="G2285" s="59"/>
      <c r="H2285" s="56"/>
      <c r="I2285" s="56"/>
      <c r="J2285" s="60" t="str">
        <f aca="false">IF(IsPro,IF($D2285="","",IFERROR(INDEX(Items!$D$5:$D$504,U2285),"")),"")</f>
        <v/>
      </c>
      <c r="K2285" s="61" t="str">
        <f aca="false">IF(IsPro,IF($D2285="","",IF($F2285="",IFERROR(INDEX(Items!$H$5:$H$504,U2285),0),$F2285)),"")</f>
        <v/>
      </c>
      <c r="L2285" s="61" t="str">
        <f aca="false">IF(IsPro,IF($D2285="","",ROUND(N($E2285)*K2285*(1-N($G2285)),2)),"")</f>
        <v/>
      </c>
      <c r="M2285" s="62" t="str">
        <f aca="false">IF(IsPro,IF($D2285="","",IFERROR(INDEX(Items!$F$5:$F$504,U2285),0)),"")</f>
        <v/>
      </c>
      <c r="N2285" s="61" t="str">
        <f aca="false">IF(IsPro,IF($D2285="","",IF(AND(V2285&lt;&gt;"",INDEX(Parties!$E$5:$E$304,V2285)&lt;&gt;"",INDEX(Parties!$E$5:$E$304,V2285)&lt;&gt;HomeState),0,ROUND(L2285*M2285/2,2))),"")</f>
        <v/>
      </c>
      <c r="O2285" s="61" t="str">
        <f aca="false">IF(IsPro,IF($D2285="","",N2285),"")</f>
        <v/>
      </c>
      <c r="P2285" s="61" t="str">
        <f aca="false">IF(IsPro,IF($D2285="","",IF(AND(V2285&lt;&gt;"",INDEX(Parties!$E$5:$E$304,V2285)&lt;&gt;"",INDEX(Parties!$E$5:$E$304,V2285)&lt;&gt;HomeState),ROUND(L2285*M2285,2),0)),"")</f>
        <v/>
      </c>
      <c r="Q2285" s="61" t="str">
        <f aca="false">IF(IsPro,IF($D2285="","",L2285+N2285+O2285+P2285),"")</f>
        <v/>
      </c>
      <c r="R2285" s="61" t="str">
        <f aca="false">IF(IsPro,IF($D2285="","",ROUND(N($E2285)*IFERROR(INDEX(Items!$P$5:$P$504,U2285),0),2)),"")</f>
        <v/>
      </c>
      <c r="S2285" s="61" t="str">
        <f aca="false">IF(IsPro,IF($D2285="","",L2285-R2285),"")</f>
        <v/>
      </c>
      <c r="T2285" s="60" t="str">
        <f aca="false">IF(IsPro,IF($D2285="","",IF(U2285="","UNKNOWN ITEM",IF(INDEX(Items!$O$5:$O$504,U2285)&lt;0,"NEG STOCK",IF(K2285&lt;INDEX(Items!$P$5:$P$504,U2285),"BELOW COST","OK")))),IF($D2285="","","PRO PLAN"))</f>
        <v/>
      </c>
      <c r="U2285" s="60" t="str">
        <f aca="false">IF(IsPro,IF($D2285="","",IFERROR(MATCH($D2285,Items!$A$5:$A$504,0),"")),"")</f>
        <v/>
      </c>
      <c r="V2285" s="60" t="str">
        <f aca="false">IF(IsPro,IF($C2285="","",IFERROR(MATCH($C2285,Parties!$A$5:$A$304,0),"")),"")</f>
        <v/>
      </c>
      <c r="W2285" s="60" t="str">
        <f aca="false">IF(IsPro,IF($B2285="","",IFERROR(VALUE(SUBSTITUTE($B2285,InvPrefix,"")),0)),"")</f>
        <v/>
      </c>
      <c r="X2285" s="61" t="str">
        <f aca="false">IF(IsPro,IF($D2285="","",IF(OR($H2285="",$H2285="Credit"),0,Q2285)),"")</f>
        <v/>
      </c>
    </row>
    <row r="2286" customFormat="false" ht="15" hidden="false" customHeight="false" outlineLevel="0" collapsed="false">
      <c r="A2286" s="55"/>
      <c r="B2286" s="56"/>
      <c r="C2286" s="56"/>
      <c r="D2286" s="56"/>
      <c r="E2286" s="57"/>
      <c r="F2286" s="58"/>
      <c r="G2286" s="59"/>
      <c r="H2286" s="56"/>
      <c r="I2286" s="56"/>
      <c r="J2286" s="60" t="str">
        <f aca="false">IF(IsPro,IF($D2286="","",IFERROR(INDEX(Items!$D$5:$D$504,U2286),"")),"")</f>
        <v/>
      </c>
      <c r="K2286" s="61" t="str">
        <f aca="false">IF(IsPro,IF($D2286="","",IF($F2286="",IFERROR(INDEX(Items!$H$5:$H$504,U2286),0),$F2286)),"")</f>
        <v/>
      </c>
      <c r="L2286" s="61" t="str">
        <f aca="false">IF(IsPro,IF($D2286="","",ROUND(N($E2286)*K2286*(1-N($G2286)),2)),"")</f>
        <v/>
      </c>
      <c r="M2286" s="62" t="str">
        <f aca="false">IF(IsPro,IF($D2286="","",IFERROR(INDEX(Items!$F$5:$F$504,U2286),0)),"")</f>
        <v/>
      </c>
      <c r="N2286" s="61" t="str">
        <f aca="false">IF(IsPro,IF($D2286="","",IF(AND(V2286&lt;&gt;"",INDEX(Parties!$E$5:$E$304,V2286)&lt;&gt;"",INDEX(Parties!$E$5:$E$304,V2286)&lt;&gt;HomeState),0,ROUND(L2286*M2286/2,2))),"")</f>
        <v/>
      </c>
      <c r="O2286" s="61" t="str">
        <f aca="false">IF(IsPro,IF($D2286="","",N2286),"")</f>
        <v/>
      </c>
      <c r="P2286" s="61" t="str">
        <f aca="false">IF(IsPro,IF($D2286="","",IF(AND(V2286&lt;&gt;"",INDEX(Parties!$E$5:$E$304,V2286)&lt;&gt;"",INDEX(Parties!$E$5:$E$304,V2286)&lt;&gt;HomeState),ROUND(L2286*M2286,2),0)),"")</f>
        <v/>
      </c>
      <c r="Q2286" s="61" t="str">
        <f aca="false">IF(IsPro,IF($D2286="","",L2286+N2286+O2286+P2286),"")</f>
        <v/>
      </c>
      <c r="R2286" s="61" t="str">
        <f aca="false">IF(IsPro,IF($D2286="","",ROUND(N($E2286)*IFERROR(INDEX(Items!$P$5:$P$504,U2286),0),2)),"")</f>
        <v/>
      </c>
      <c r="S2286" s="61" t="str">
        <f aca="false">IF(IsPro,IF($D2286="","",L2286-R2286),"")</f>
        <v/>
      </c>
      <c r="T2286" s="60" t="str">
        <f aca="false">IF(IsPro,IF($D2286="","",IF(U2286="","UNKNOWN ITEM",IF(INDEX(Items!$O$5:$O$504,U2286)&lt;0,"NEG STOCK",IF(K2286&lt;INDEX(Items!$P$5:$P$504,U2286),"BELOW COST","OK")))),IF($D2286="","","PRO PLAN"))</f>
        <v/>
      </c>
      <c r="U2286" s="60" t="str">
        <f aca="false">IF(IsPro,IF($D2286="","",IFERROR(MATCH($D2286,Items!$A$5:$A$504,0),"")),"")</f>
        <v/>
      </c>
      <c r="V2286" s="60" t="str">
        <f aca="false">IF(IsPro,IF($C2286="","",IFERROR(MATCH($C2286,Parties!$A$5:$A$304,0),"")),"")</f>
        <v/>
      </c>
      <c r="W2286" s="60" t="str">
        <f aca="false">IF(IsPro,IF($B2286="","",IFERROR(VALUE(SUBSTITUTE($B2286,InvPrefix,"")),0)),"")</f>
        <v/>
      </c>
      <c r="X2286" s="61" t="str">
        <f aca="false">IF(IsPro,IF($D2286="","",IF(OR($H2286="",$H2286="Credit"),0,Q2286)),"")</f>
        <v/>
      </c>
    </row>
    <row r="2287" customFormat="false" ht="15" hidden="false" customHeight="false" outlineLevel="0" collapsed="false">
      <c r="A2287" s="55"/>
      <c r="B2287" s="56"/>
      <c r="C2287" s="56"/>
      <c r="D2287" s="56"/>
      <c r="E2287" s="57"/>
      <c r="F2287" s="58"/>
      <c r="G2287" s="59"/>
      <c r="H2287" s="56"/>
      <c r="I2287" s="56"/>
      <c r="J2287" s="60" t="str">
        <f aca="false">IF(IsPro,IF($D2287="","",IFERROR(INDEX(Items!$D$5:$D$504,U2287),"")),"")</f>
        <v/>
      </c>
      <c r="K2287" s="61" t="str">
        <f aca="false">IF(IsPro,IF($D2287="","",IF($F2287="",IFERROR(INDEX(Items!$H$5:$H$504,U2287),0),$F2287)),"")</f>
        <v/>
      </c>
      <c r="L2287" s="61" t="str">
        <f aca="false">IF(IsPro,IF($D2287="","",ROUND(N($E2287)*K2287*(1-N($G2287)),2)),"")</f>
        <v/>
      </c>
      <c r="M2287" s="62" t="str">
        <f aca="false">IF(IsPro,IF($D2287="","",IFERROR(INDEX(Items!$F$5:$F$504,U2287),0)),"")</f>
        <v/>
      </c>
      <c r="N2287" s="61" t="str">
        <f aca="false">IF(IsPro,IF($D2287="","",IF(AND(V2287&lt;&gt;"",INDEX(Parties!$E$5:$E$304,V2287)&lt;&gt;"",INDEX(Parties!$E$5:$E$304,V2287)&lt;&gt;HomeState),0,ROUND(L2287*M2287/2,2))),"")</f>
        <v/>
      </c>
      <c r="O2287" s="61" t="str">
        <f aca="false">IF(IsPro,IF($D2287="","",N2287),"")</f>
        <v/>
      </c>
      <c r="P2287" s="61" t="str">
        <f aca="false">IF(IsPro,IF($D2287="","",IF(AND(V2287&lt;&gt;"",INDEX(Parties!$E$5:$E$304,V2287)&lt;&gt;"",INDEX(Parties!$E$5:$E$304,V2287)&lt;&gt;HomeState),ROUND(L2287*M2287,2),0)),"")</f>
        <v/>
      </c>
      <c r="Q2287" s="61" t="str">
        <f aca="false">IF(IsPro,IF($D2287="","",L2287+N2287+O2287+P2287),"")</f>
        <v/>
      </c>
      <c r="R2287" s="61" t="str">
        <f aca="false">IF(IsPro,IF($D2287="","",ROUND(N($E2287)*IFERROR(INDEX(Items!$P$5:$P$504,U2287),0),2)),"")</f>
        <v/>
      </c>
      <c r="S2287" s="61" t="str">
        <f aca="false">IF(IsPro,IF($D2287="","",L2287-R2287),"")</f>
        <v/>
      </c>
      <c r="T2287" s="60" t="str">
        <f aca="false">IF(IsPro,IF($D2287="","",IF(U2287="","UNKNOWN ITEM",IF(INDEX(Items!$O$5:$O$504,U2287)&lt;0,"NEG STOCK",IF(K2287&lt;INDEX(Items!$P$5:$P$504,U2287),"BELOW COST","OK")))),IF($D2287="","","PRO PLAN"))</f>
        <v/>
      </c>
      <c r="U2287" s="60" t="str">
        <f aca="false">IF(IsPro,IF($D2287="","",IFERROR(MATCH($D2287,Items!$A$5:$A$504,0),"")),"")</f>
        <v/>
      </c>
      <c r="V2287" s="60" t="str">
        <f aca="false">IF(IsPro,IF($C2287="","",IFERROR(MATCH($C2287,Parties!$A$5:$A$304,0),"")),"")</f>
        <v/>
      </c>
      <c r="W2287" s="60" t="str">
        <f aca="false">IF(IsPro,IF($B2287="","",IFERROR(VALUE(SUBSTITUTE($B2287,InvPrefix,"")),0)),"")</f>
        <v/>
      </c>
      <c r="X2287" s="61" t="str">
        <f aca="false">IF(IsPro,IF($D2287="","",IF(OR($H2287="",$H2287="Credit"),0,Q2287)),"")</f>
        <v/>
      </c>
    </row>
    <row r="2288" customFormat="false" ht="15" hidden="false" customHeight="false" outlineLevel="0" collapsed="false">
      <c r="A2288" s="55"/>
      <c r="B2288" s="56"/>
      <c r="C2288" s="56"/>
      <c r="D2288" s="56"/>
      <c r="E2288" s="57"/>
      <c r="F2288" s="58"/>
      <c r="G2288" s="59"/>
      <c r="H2288" s="56"/>
      <c r="I2288" s="56"/>
      <c r="J2288" s="60" t="str">
        <f aca="false">IF(IsPro,IF($D2288="","",IFERROR(INDEX(Items!$D$5:$D$504,U2288),"")),"")</f>
        <v/>
      </c>
      <c r="K2288" s="61" t="str">
        <f aca="false">IF(IsPro,IF($D2288="","",IF($F2288="",IFERROR(INDEX(Items!$H$5:$H$504,U2288),0),$F2288)),"")</f>
        <v/>
      </c>
      <c r="L2288" s="61" t="str">
        <f aca="false">IF(IsPro,IF($D2288="","",ROUND(N($E2288)*K2288*(1-N($G2288)),2)),"")</f>
        <v/>
      </c>
      <c r="M2288" s="62" t="str">
        <f aca="false">IF(IsPro,IF($D2288="","",IFERROR(INDEX(Items!$F$5:$F$504,U2288),0)),"")</f>
        <v/>
      </c>
      <c r="N2288" s="61" t="str">
        <f aca="false">IF(IsPro,IF($D2288="","",IF(AND(V2288&lt;&gt;"",INDEX(Parties!$E$5:$E$304,V2288)&lt;&gt;"",INDEX(Parties!$E$5:$E$304,V2288)&lt;&gt;HomeState),0,ROUND(L2288*M2288/2,2))),"")</f>
        <v/>
      </c>
      <c r="O2288" s="61" t="str">
        <f aca="false">IF(IsPro,IF($D2288="","",N2288),"")</f>
        <v/>
      </c>
      <c r="P2288" s="61" t="str">
        <f aca="false">IF(IsPro,IF($D2288="","",IF(AND(V2288&lt;&gt;"",INDEX(Parties!$E$5:$E$304,V2288)&lt;&gt;"",INDEX(Parties!$E$5:$E$304,V2288)&lt;&gt;HomeState),ROUND(L2288*M2288,2),0)),"")</f>
        <v/>
      </c>
      <c r="Q2288" s="61" t="str">
        <f aca="false">IF(IsPro,IF($D2288="","",L2288+N2288+O2288+P2288),"")</f>
        <v/>
      </c>
      <c r="R2288" s="61" t="str">
        <f aca="false">IF(IsPro,IF($D2288="","",ROUND(N($E2288)*IFERROR(INDEX(Items!$P$5:$P$504,U2288),0),2)),"")</f>
        <v/>
      </c>
      <c r="S2288" s="61" t="str">
        <f aca="false">IF(IsPro,IF($D2288="","",L2288-R2288),"")</f>
        <v/>
      </c>
      <c r="T2288" s="60" t="str">
        <f aca="false">IF(IsPro,IF($D2288="","",IF(U2288="","UNKNOWN ITEM",IF(INDEX(Items!$O$5:$O$504,U2288)&lt;0,"NEG STOCK",IF(K2288&lt;INDEX(Items!$P$5:$P$504,U2288),"BELOW COST","OK")))),IF($D2288="","","PRO PLAN"))</f>
        <v/>
      </c>
      <c r="U2288" s="60" t="str">
        <f aca="false">IF(IsPro,IF($D2288="","",IFERROR(MATCH($D2288,Items!$A$5:$A$504,0),"")),"")</f>
        <v/>
      </c>
      <c r="V2288" s="60" t="str">
        <f aca="false">IF(IsPro,IF($C2288="","",IFERROR(MATCH($C2288,Parties!$A$5:$A$304,0),"")),"")</f>
        <v/>
      </c>
      <c r="W2288" s="60" t="str">
        <f aca="false">IF(IsPro,IF($B2288="","",IFERROR(VALUE(SUBSTITUTE($B2288,InvPrefix,"")),0)),"")</f>
        <v/>
      </c>
      <c r="X2288" s="61" t="str">
        <f aca="false">IF(IsPro,IF($D2288="","",IF(OR($H2288="",$H2288="Credit"),0,Q2288)),"")</f>
        <v/>
      </c>
    </row>
    <row r="2289" customFormat="false" ht="15" hidden="false" customHeight="false" outlineLevel="0" collapsed="false">
      <c r="A2289" s="55"/>
      <c r="B2289" s="56"/>
      <c r="C2289" s="56"/>
      <c r="D2289" s="56"/>
      <c r="E2289" s="57"/>
      <c r="F2289" s="58"/>
      <c r="G2289" s="59"/>
      <c r="H2289" s="56"/>
      <c r="I2289" s="56"/>
      <c r="J2289" s="60" t="str">
        <f aca="false">IF(IsPro,IF($D2289="","",IFERROR(INDEX(Items!$D$5:$D$504,U2289),"")),"")</f>
        <v/>
      </c>
      <c r="K2289" s="61" t="str">
        <f aca="false">IF(IsPro,IF($D2289="","",IF($F2289="",IFERROR(INDEX(Items!$H$5:$H$504,U2289),0),$F2289)),"")</f>
        <v/>
      </c>
      <c r="L2289" s="61" t="str">
        <f aca="false">IF(IsPro,IF($D2289="","",ROUND(N($E2289)*K2289*(1-N($G2289)),2)),"")</f>
        <v/>
      </c>
      <c r="M2289" s="62" t="str">
        <f aca="false">IF(IsPro,IF($D2289="","",IFERROR(INDEX(Items!$F$5:$F$504,U2289),0)),"")</f>
        <v/>
      </c>
      <c r="N2289" s="61" t="str">
        <f aca="false">IF(IsPro,IF($D2289="","",IF(AND(V2289&lt;&gt;"",INDEX(Parties!$E$5:$E$304,V2289)&lt;&gt;"",INDEX(Parties!$E$5:$E$304,V2289)&lt;&gt;HomeState),0,ROUND(L2289*M2289/2,2))),"")</f>
        <v/>
      </c>
      <c r="O2289" s="61" t="str">
        <f aca="false">IF(IsPro,IF($D2289="","",N2289),"")</f>
        <v/>
      </c>
      <c r="P2289" s="61" t="str">
        <f aca="false">IF(IsPro,IF($D2289="","",IF(AND(V2289&lt;&gt;"",INDEX(Parties!$E$5:$E$304,V2289)&lt;&gt;"",INDEX(Parties!$E$5:$E$304,V2289)&lt;&gt;HomeState),ROUND(L2289*M2289,2),0)),"")</f>
        <v/>
      </c>
      <c r="Q2289" s="61" t="str">
        <f aca="false">IF(IsPro,IF($D2289="","",L2289+N2289+O2289+P2289),"")</f>
        <v/>
      </c>
      <c r="R2289" s="61" t="str">
        <f aca="false">IF(IsPro,IF($D2289="","",ROUND(N($E2289)*IFERROR(INDEX(Items!$P$5:$P$504,U2289),0),2)),"")</f>
        <v/>
      </c>
      <c r="S2289" s="61" t="str">
        <f aca="false">IF(IsPro,IF($D2289="","",L2289-R2289),"")</f>
        <v/>
      </c>
      <c r="T2289" s="60" t="str">
        <f aca="false">IF(IsPro,IF($D2289="","",IF(U2289="","UNKNOWN ITEM",IF(INDEX(Items!$O$5:$O$504,U2289)&lt;0,"NEG STOCK",IF(K2289&lt;INDEX(Items!$P$5:$P$504,U2289),"BELOW COST","OK")))),IF($D2289="","","PRO PLAN"))</f>
        <v/>
      </c>
      <c r="U2289" s="60" t="str">
        <f aca="false">IF(IsPro,IF($D2289="","",IFERROR(MATCH($D2289,Items!$A$5:$A$504,0),"")),"")</f>
        <v/>
      </c>
      <c r="V2289" s="60" t="str">
        <f aca="false">IF(IsPro,IF($C2289="","",IFERROR(MATCH($C2289,Parties!$A$5:$A$304,0),"")),"")</f>
        <v/>
      </c>
      <c r="W2289" s="60" t="str">
        <f aca="false">IF(IsPro,IF($B2289="","",IFERROR(VALUE(SUBSTITUTE($B2289,InvPrefix,"")),0)),"")</f>
        <v/>
      </c>
      <c r="X2289" s="61" t="str">
        <f aca="false">IF(IsPro,IF($D2289="","",IF(OR($H2289="",$H2289="Credit"),0,Q2289)),"")</f>
        <v/>
      </c>
    </row>
    <row r="2290" customFormat="false" ht="15" hidden="false" customHeight="false" outlineLevel="0" collapsed="false">
      <c r="A2290" s="55"/>
      <c r="B2290" s="56"/>
      <c r="C2290" s="56"/>
      <c r="D2290" s="56"/>
      <c r="E2290" s="57"/>
      <c r="F2290" s="58"/>
      <c r="G2290" s="59"/>
      <c r="H2290" s="56"/>
      <c r="I2290" s="56"/>
      <c r="J2290" s="60" t="str">
        <f aca="false">IF(IsPro,IF($D2290="","",IFERROR(INDEX(Items!$D$5:$D$504,U2290),"")),"")</f>
        <v/>
      </c>
      <c r="K2290" s="61" t="str">
        <f aca="false">IF(IsPro,IF($D2290="","",IF($F2290="",IFERROR(INDEX(Items!$H$5:$H$504,U2290),0),$F2290)),"")</f>
        <v/>
      </c>
      <c r="L2290" s="61" t="str">
        <f aca="false">IF(IsPro,IF($D2290="","",ROUND(N($E2290)*K2290*(1-N($G2290)),2)),"")</f>
        <v/>
      </c>
      <c r="M2290" s="62" t="str">
        <f aca="false">IF(IsPro,IF($D2290="","",IFERROR(INDEX(Items!$F$5:$F$504,U2290),0)),"")</f>
        <v/>
      </c>
      <c r="N2290" s="61" t="str">
        <f aca="false">IF(IsPro,IF($D2290="","",IF(AND(V2290&lt;&gt;"",INDEX(Parties!$E$5:$E$304,V2290)&lt;&gt;"",INDEX(Parties!$E$5:$E$304,V2290)&lt;&gt;HomeState),0,ROUND(L2290*M2290/2,2))),"")</f>
        <v/>
      </c>
      <c r="O2290" s="61" t="str">
        <f aca="false">IF(IsPro,IF($D2290="","",N2290),"")</f>
        <v/>
      </c>
      <c r="P2290" s="61" t="str">
        <f aca="false">IF(IsPro,IF($D2290="","",IF(AND(V2290&lt;&gt;"",INDEX(Parties!$E$5:$E$304,V2290)&lt;&gt;"",INDEX(Parties!$E$5:$E$304,V2290)&lt;&gt;HomeState),ROUND(L2290*M2290,2),0)),"")</f>
        <v/>
      </c>
      <c r="Q2290" s="61" t="str">
        <f aca="false">IF(IsPro,IF($D2290="","",L2290+N2290+O2290+P2290),"")</f>
        <v/>
      </c>
      <c r="R2290" s="61" t="str">
        <f aca="false">IF(IsPro,IF($D2290="","",ROUND(N($E2290)*IFERROR(INDEX(Items!$P$5:$P$504,U2290),0),2)),"")</f>
        <v/>
      </c>
      <c r="S2290" s="61" t="str">
        <f aca="false">IF(IsPro,IF($D2290="","",L2290-R2290),"")</f>
        <v/>
      </c>
      <c r="T2290" s="60" t="str">
        <f aca="false">IF(IsPro,IF($D2290="","",IF(U2290="","UNKNOWN ITEM",IF(INDEX(Items!$O$5:$O$504,U2290)&lt;0,"NEG STOCK",IF(K2290&lt;INDEX(Items!$P$5:$P$504,U2290),"BELOW COST","OK")))),IF($D2290="","","PRO PLAN"))</f>
        <v/>
      </c>
      <c r="U2290" s="60" t="str">
        <f aca="false">IF(IsPro,IF($D2290="","",IFERROR(MATCH($D2290,Items!$A$5:$A$504,0),"")),"")</f>
        <v/>
      </c>
      <c r="V2290" s="60" t="str">
        <f aca="false">IF(IsPro,IF($C2290="","",IFERROR(MATCH($C2290,Parties!$A$5:$A$304,0),"")),"")</f>
        <v/>
      </c>
      <c r="W2290" s="60" t="str">
        <f aca="false">IF(IsPro,IF($B2290="","",IFERROR(VALUE(SUBSTITUTE($B2290,InvPrefix,"")),0)),"")</f>
        <v/>
      </c>
      <c r="X2290" s="61" t="str">
        <f aca="false">IF(IsPro,IF($D2290="","",IF(OR($H2290="",$H2290="Credit"),0,Q2290)),"")</f>
        <v/>
      </c>
    </row>
    <row r="2291" customFormat="false" ht="15" hidden="false" customHeight="false" outlineLevel="0" collapsed="false">
      <c r="A2291" s="55"/>
      <c r="B2291" s="56"/>
      <c r="C2291" s="56"/>
      <c r="D2291" s="56"/>
      <c r="E2291" s="57"/>
      <c r="F2291" s="58"/>
      <c r="G2291" s="59"/>
      <c r="H2291" s="56"/>
      <c r="I2291" s="56"/>
      <c r="J2291" s="60" t="str">
        <f aca="false">IF(IsPro,IF($D2291="","",IFERROR(INDEX(Items!$D$5:$D$504,U2291),"")),"")</f>
        <v/>
      </c>
      <c r="K2291" s="61" t="str">
        <f aca="false">IF(IsPro,IF($D2291="","",IF($F2291="",IFERROR(INDEX(Items!$H$5:$H$504,U2291),0),$F2291)),"")</f>
        <v/>
      </c>
      <c r="L2291" s="61" t="str">
        <f aca="false">IF(IsPro,IF($D2291="","",ROUND(N($E2291)*K2291*(1-N($G2291)),2)),"")</f>
        <v/>
      </c>
      <c r="M2291" s="62" t="str">
        <f aca="false">IF(IsPro,IF($D2291="","",IFERROR(INDEX(Items!$F$5:$F$504,U2291),0)),"")</f>
        <v/>
      </c>
      <c r="N2291" s="61" t="str">
        <f aca="false">IF(IsPro,IF($D2291="","",IF(AND(V2291&lt;&gt;"",INDEX(Parties!$E$5:$E$304,V2291)&lt;&gt;"",INDEX(Parties!$E$5:$E$304,V2291)&lt;&gt;HomeState),0,ROUND(L2291*M2291/2,2))),"")</f>
        <v/>
      </c>
      <c r="O2291" s="61" t="str">
        <f aca="false">IF(IsPro,IF($D2291="","",N2291),"")</f>
        <v/>
      </c>
      <c r="P2291" s="61" t="str">
        <f aca="false">IF(IsPro,IF($D2291="","",IF(AND(V2291&lt;&gt;"",INDEX(Parties!$E$5:$E$304,V2291)&lt;&gt;"",INDEX(Parties!$E$5:$E$304,V2291)&lt;&gt;HomeState),ROUND(L2291*M2291,2),0)),"")</f>
        <v/>
      </c>
      <c r="Q2291" s="61" t="str">
        <f aca="false">IF(IsPro,IF($D2291="","",L2291+N2291+O2291+P2291),"")</f>
        <v/>
      </c>
      <c r="R2291" s="61" t="str">
        <f aca="false">IF(IsPro,IF($D2291="","",ROUND(N($E2291)*IFERROR(INDEX(Items!$P$5:$P$504,U2291),0),2)),"")</f>
        <v/>
      </c>
      <c r="S2291" s="61" t="str">
        <f aca="false">IF(IsPro,IF($D2291="","",L2291-R2291),"")</f>
        <v/>
      </c>
      <c r="T2291" s="60" t="str">
        <f aca="false">IF(IsPro,IF($D2291="","",IF(U2291="","UNKNOWN ITEM",IF(INDEX(Items!$O$5:$O$504,U2291)&lt;0,"NEG STOCK",IF(K2291&lt;INDEX(Items!$P$5:$P$504,U2291),"BELOW COST","OK")))),IF($D2291="","","PRO PLAN"))</f>
        <v/>
      </c>
      <c r="U2291" s="60" t="str">
        <f aca="false">IF(IsPro,IF($D2291="","",IFERROR(MATCH($D2291,Items!$A$5:$A$504,0),"")),"")</f>
        <v/>
      </c>
      <c r="V2291" s="60" t="str">
        <f aca="false">IF(IsPro,IF($C2291="","",IFERROR(MATCH($C2291,Parties!$A$5:$A$304,0),"")),"")</f>
        <v/>
      </c>
      <c r="W2291" s="60" t="str">
        <f aca="false">IF(IsPro,IF($B2291="","",IFERROR(VALUE(SUBSTITUTE($B2291,InvPrefix,"")),0)),"")</f>
        <v/>
      </c>
      <c r="X2291" s="61" t="str">
        <f aca="false">IF(IsPro,IF($D2291="","",IF(OR($H2291="",$H2291="Credit"),0,Q2291)),"")</f>
        <v/>
      </c>
    </row>
    <row r="2292" customFormat="false" ht="15" hidden="false" customHeight="false" outlineLevel="0" collapsed="false">
      <c r="A2292" s="55"/>
      <c r="B2292" s="56"/>
      <c r="C2292" s="56"/>
      <c r="D2292" s="56"/>
      <c r="E2292" s="57"/>
      <c r="F2292" s="58"/>
      <c r="G2292" s="59"/>
      <c r="H2292" s="56"/>
      <c r="I2292" s="56"/>
      <c r="J2292" s="60" t="str">
        <f aca="false">IF(IsPro,IF($D2292="","",IFERROR(INDEX(Items!$D$5:$D$504,U2292),"")),"")</f>
        <v/>
      </c>
      <c r="K2292" s="61" t="str">
        <f aca="false">IF(IsPro,IF($D2292="","",IF($F2292="",IFERROR(INDEX(Items!$H$5:$H$504,U2292),0),$F2292)),"")</f>
        <v/>
      </c>
      <c r="L2292" s="61" t="str">
        <f aca="false">IF(IsPro,IF($D2292="","",ROUND(N($E2292)*K2292*(1-N($G2292)),2)),"")</f>
        <v/>
      </c>
      <c r="M2292" s="62" t="str">
        <f aca="false">IF(IsPro,IF($D2292="","",IFERROR(INDEX(Items!$F$5:$F$504,U2292),0)),"")</f>
        <v/>
      </c>
      <c r="N2292" s="61" t="str">
        <f aca="false">IF(IsPro,IF($D2292="","",IF(AND(V2292&lt;&gt;"",INDEX(Parties!$E$5:$E$304,V2292)&lt;&gt;"",INDEX(Parties!$E$5:$E$304,V2292)&lt;&gt;HomeState),0,ROUND(L2292*M2292/2,2))),"")</f>
        <v/>
      </c>
      <c r="O2292" s="61" t="str">
        <f aca="false">IF(IsPro,IF($D2292="","",N2292),"")</f>
        <v/>
      </c>
      <c r="P2292" s="61" t="str">
        <f aca="false">IF(IsPro,IF($D2292="","",IF(AND(V2292&lt;&gt;"",INDEX(Parties!$E$5:$E$304,V2292)&lt;&gt;"",INDEX(Parties!$E$5:$E$304,V2292)&lt;&gt;HomeState),ROUND(L2292*M2292,2),0)),"")</f>
        <v/>
      </c>
      <c r="Q2292" s="61" t="str">
        <f aca="false">IF(IsPro,IF($D2292="","",L2292+N2292+O2292+P2292),"")</f>
        <v/>
      </c>
      <c r="R2292" s="61" t="str">
        <f aca="false">IF(IsPro,IF($D2292="","",ROUND(N($E2292)*IFERROR(INDEX(Items!$P$5:$P$504,U2292),0),2)),"")</f>
        <v/>
      </c>
      <c r="S2292" s="61" t="str">
        <f aca="false">IF(IsPro,IF($D2292="","",L2292-R2292),"")</f>
        <v/>
      </c>
      <c r="T2292" s="60" t="str">
        <f aca="false">IF(IsPro,IF($D2292="","",IF(U2292="","UNKNOWN ITEM",IF(INDEX(Items!$O$5:$O$504,U2292)&lt;0,"NEG STOCK",IF(K2292&lt;INDEX(Items!$P$5:$P$504,U2292),"BELOW COST","OK")))),IF($D2292="","","PRO PLAN"))</f>
        <v/>
      </c>
      <c r="U2292" s="60" t="str">
        <f aca="false">IF(IsPro,IF($D2292="","",IFERROR(MATCH($D2292,Items!$A$5:$A$504,0),"")),"")</f>
        <v/>
      </c>
      <c r="V2292" s="60" t="str">
        <f aca="false">IF(IsPro,IF($C2292="","",IFERROR(MATCH($C2292,Parties!$A$5:$A$304,0),"")),"")</f>
        <v/>
      </c>
      <c r="W2292" s="60" t="str">
        <f aca="false">IF(IsPro,IF($B2292="","",IFERROR(VALUE(SUBSTITUTE($B2292,InvPrefix,"")),0)),"")</f>
        <v/>
      </c>
      <c r="X2292" s="61" t="str">
        <f aca="false">IF(IsPro,IF($D2292="","",IF(OR($H2292="",$H2292="Credit"),0,Q2292)),"")</f>
        <v/>
      </c>
    </row>
    <row r="2293" customFormat="false" ht="15" hidden="false" customHeight="false" outlineLevel="0" collapsed="false">
      <c r="A2293" s="55"/>
      <c r="B2293" s="56"/>
      <c r="C2293" s="56"/>
      <c r="D2293" s="56"/>
      <c r="E2293" s="57"/>
      <c r="F2293" s="58"/>
      <c r="G2293" s="59"/>
      <c r="H2293" s="56"/>
      <c r="I2293" s="56"/>
      <c r="J2293" s="60" t="str">
        <f aca="false">IF(IsPro,IF($D2293="","",IFERROR(INDEX(Items!$D$5:$D$504,U2293),"")),"")</f>
        <v/>
      </c>
      <c r="K2293" s="61" t="str">
        <f aca="false">IF(IsPro,IF($D2293="","",IF($F2293="",IFERROR(INDEX(Items!$H$5:$H$504,U2293),0),$F2293)),"")</f>
        <v/>
      </c>
      <c r="L2293" s="61" t="str">
        <f aca="false">IF(IsPro,IF($D2293="","",ROUND(N($E2293)*K2293*(1-N($G2293)),2)),"")</f>
        <v/>
      </c>
      <c r="M2293" s="62" t="str">
        <f aca="false">IF(IsPro,IF($D2293="","",IFERROR(INDEX(Items!$F$5:$F$504,U2293),0)),"")</f>
        <v/>
      </c>
      <c r="N2293" s="61" t="str">
        <f aca="false">IF(IsPro,IF($D2293="","",IF(AND(V2293&lt;&gt;"",INDEX(Parties!$E$5:$E$304,V2293)&lt;&gt;"",INDEX(Parties!$E$5:$E$304,V2293)&lt;&gt;HomeState),0,ROUND(L2293*M2293/2,2))),"")</f>
        <v/>
      </c>
      <c r="O2293" s="61" t="str">
        <f aca="false">IF(IsPro,IF($D2293="","",N2293),"")</f>
        <v/>
      </c>
      <c r="P2293" s="61" t="str">
        <f aca="false">IF(IsPro,IF($D2293="","",IF(AND(V2293&lt;&gt;"",INDEX(Parties!$E$5:$E$304,V2293)&lt;&gt;"",INDEX(Parties!$E$5:$E$304,V2293)&lt;&gt;HomeState),ROUND(L2293*M2293,2),0)),"")</f>
        <v/>
      </c>
      <c r="Q2293" s="61" t="str">
        <f aca="false">IF(IsPro,IF($D2293="","",L2293+N2293+O2293+P2293),"")</f>
        <v/>
      </c>
      <c r="R2293" s="61" t="str">
        <f aca="false">IF(IsPro,IF($D2293="","",ROUND(N($E2293)*IFERROR(INDEX(Items!$P$5:$P$504,U2293),0),2)),"")</f>
        <v/>
      </c>
      <c r="S2293" s="61" t="str">
        <f aca="false">IF(IsPro,IF($D2293="","",L2293-R2293),"")</f>
        <v/>
      </c>
      <c r="T2293" s="60" t="str">
        <f aca="false">IF(IsPro,IF($D2293="","",IF(U2293="","UNKNOWN ITEM",IF(INDEX(Items!$O$5:$O$504,U2293)&lt;0,"NEG STOCK",IF(K2293&lt;INDEX(Items!$P$5:$P$504,U2293),"BELOW COST","OK")))),IF($D2293="","","PRO PLAN"))</f>
        <v/>
      </c>
      <c r="U2293" s="60" t="str">
        <f aca="false">IF(IsPro,IF($D2293="","",IFERROR(MATCH($D2293,Items!$A$5:$A$504,0),"")),"")</f>
        <v/>
      </c>
      <c r="V2293" s="60" t="str">
        <f aca="false">IF(IsPro,IF($C2293="","",IFERROR(MATCH($C2293,Parties!$A$5:$A$304,0),"")),"")</f>
        <v/>
      </c>
      <c r="W2293" s="60" t="str">
        <f aca="false">IF(IsPro,IF($B2293="","",IFERROR(VALUE(SUBSTITUTE($B2293,InvPrefix,"")),0)),"")</f>
        <v/>
      </c>
      <c r="X2293" s="61" t="str">
        <f aca="false">IF(IsPro,IF($D2293="","",IF(OR($H2293="",$H2293="Credit"),0,Q2293)),"")</f>
        <v/>
      </c>
    </row>
    <row r="2294" customFormat="false" ht="15" hidden="false" customHeight="false" outlineLevel="0" collapsed="false">
      <c r="A2294" s="55"/>
      <c r="B2294" s="56"/>
      <c r="C2294" s="56"/>
      <c r="D2294" s="56"/>
      <c r="E2294" s="57"/>
      <c r="F2294" s="58"/>
      <c r="G2294" s="59"/>
      <c r="H2294" s="56"/>
      <c r="I2294" s="56"/>
      <c r="J2294" s="60" t="str">
        <f aca="false">IF(IsPro,IF($D2294="","",IFERROR(INDEX(Items!$D$5:$D$504,U2294),"")),"")</f>
        <v/>
      </c>
      <c r="K2294" s="61" t="str">
        <f aca="false">IF(IsPro,IF($D2294="","",IF($F2294="",IFERROR(INDEX(Items!$H$5:$H$504,U2294),0),$F2294)),"")</f>
        <v/>
      </c>
      <c r="L2294" s="61" t="str">
        <f aca="false">IF(IsPro,IF($D2294="","",ROUND(N($E2294)*K2294*(1-N($G2294)),2)),"")</f>
        <v/>
      </c>
      <c r="M2294" s="62" t="str">
        <f aca="false">IF(IsPro,IF($D2294="","",IFERROR(INDEX(Items!$F$5:$F$504,U2294),0)),"")</f>
        <v/>
      </c>
      <c r="N2294" s="61" t="str">
        <f aca="false">IF(IsPro,IF($D2294="","",IF(AND(V2294&lt;&gt;"",INDEX(Parties!$E$5:$E$304,V2294)&lt;&gt;"",INDEX(Parties!$E$5:$E$304,V2294)&lt;&gt;HomeState),0,ROUND(L2294*M2294/2,2))),"")</f>
        <v/>
      </c>
      <c r="O2294" s="61" t="str">
        <f aca="false">IF(IsPro,IF($D2294="","",N2294),"")</f>
        <v/>
      </c>
      <c r="P2294" s="61" t="str">
        <f aca="false">IF(IsPro,IF($D2294="","",IF(AND(V2294&lt;&gt;"",INDEX(Parties!$E$5:$E$304,V2294)&lt;&gt;"",INDEX(Parties!$E$5:$E$304,V2294)&lt;&gt;HomeState),ROUND(L2294*M2294,2),0)),"")</f>
        <v/>
      </c>
      <c r="Q2294" s="61" t="str">
        <f aca="false">IF(IsPro,IF($D2294="","",L2294+N2294+O2294+P2294),"")</f>
        <v/>
      </c>
      <c r="R2294" s="61" t="str">
        <f aca="false">IF(IsPro,IF($D2294="","",ROUND(N($E2294)*IFERROR(INDEX(Items!$P$5:$P$504,U2294),0),2)),"")</f>
        <v/>
      </c>
      <c r="S2294" s="61" t="str">
        <f aca="false">IF(IsPro,IF($D2294="","",L2294-R2294),"")</f>
        <v/>
      </c>
      <c r="T2294" s="60" t="str">
        <f aca="false">IF(IsPro,IF($D2294="","",IF(U2294="","UNKNOWN ITEM",IF(INDEX(Items!$O$5:$O$504,U2294)&lt;0,"NEG STOCK",IF(K2294&lt;INDEX(Items!$P$5:$P$504,U2294),"BELOW COST","OK")))),IF($D2294="","","PRO PLAN"))</f>
        <v/>
      </c>
      <c r="U2294" s="60" t="str">
        <f aca="false">IF(IsPro,IF($D2294="","",IFERROR(MATCH($D2294,Items!$A$5:$A$504,0),"")),"")</f>
        <v/>
      </c>
      <c r="V2294" s="60" t="str">
        <f aca="false">IF(IsPro,IF($C2294="","",IFERROR(MATCH($C2294,Parties!$A$5:$A$304,0),"")),"")</f>
        <v/>
      </c>
      <c r="W2294" s="60" t="str">
        <f aca="false">IF(IsPro,IF($B2294="","",IFERROR(VALUE(SUBSTITUTE($B2294,InvPrefix,"")),0)),"")</f>
        <v/>
      </c>
      <c r="X2294" s="61" t="str">
        <f aca="false">IF(IsPro,IF($D2294="","",IF(OR($H2294="",$H2294="Credit"),0,Q2294)),"")</f>
        <v/>
      </c>
    </row>
    <row r="2295" customFormat="false" ht="15" hidden="false" customHeight="false" outlineLevel="0" collapsed="false">
      <c r="A2295" s="55"/>
      <c r="B2295" s="56"/>
      <c r="C2295" s="56"/>
      <c r="D2295" s="56"/>
      <c r="E2295" s="57"/>
      <c r="F2295" s="58"/>
      <c r="G2295" s="59"/>
      <c r="H2295" s="56"/>
      <c r="I2295" s="56"/>
      <c r="J2295" s="60" t="str">
        <f aca="false">IF(IsPro,IF($D2295="","",IFERROR(INDEX(Items!$D$5:$D$504,U2295),"")),"")</f>
        <v/>
      </c>
      <c r="K2295" s="61" t="str">
        <f aca="false">IF(IsPro,IF($D2295="","",IF($F2295="",IFERROR(INDEX(Items!$H$5:$H$504,U2295),0),$F2295)),"")</f>
        <v/>
      </c>
      <c r="L2295" s="61" t="str">
        <f aca="false">IF(IsPro,IF($D2295="","",ROUND(N($E2295)*K2295*(1-N($G2295)),2)),"")</f>
        <v/>
      </c>
      <c r="M2295" s="62" t="str">
        <f aca="false">IF(IsPro,IF($D2295="","",IFERROR(INDEX(Items!$F$5:$F$504,U2295),0)),"")</f>
        <v/>
      </c>
      <c r="N2295" s="61" t="str">
        <f aca="false">IF(IsPro,IF($D2295="","",IF(AND(V2295&lt;&gt;"",INDEX(Parties!$E$5:$E$304,V2295)&lt;&gt;"",INDEX(Parties!$E$5:$E$304,V2295)&lt;&gt;HomeState),0,ROUND(L2295*M2295/2,2))),"")</f>
        <v/>
      </c>
      <c r="O2295" s="61" t="str">
        <f aca="false">IF(IsPro,IF($D2295="","",N2295),"")</f>
        <v/>
      </c>
      <c r="P2295" s="61" t="str">
        <f aca="false">IF(IsPro,IF($D2295="","",IF(AND(V2295&lt;&gt;"",INDEX(Parties!$E$5:$E$304,V2295)&lt;&gt;"",INDEX(Parties!$E$5:$E$304,V2295)&lt;&gt;HomeState),ROUND(L2295*M2295,2),0)),"")</f>
        <v/>
      </c>
      <c r="Q2295" s="61" t="str">
        <f aca="false">IF(IsPro,IF($D2295="","",L2295+N2295+O2295+P2295),"")</f>
        <v/>
      </c>
      <c r="R2295" s="61" t="str">
        <f aca="false">IF(IsPro,IF($D2295="","",ROUND(N($E2295)*IFERROR(INDEX(Items!$P$5:$P$504,U2295),0),2)),"")</f>
        <v/>
      </c>
      <c r="S2295" s="61" t="str">
        <f aca="false">IF(IsPro,IF($D2295="","",L2295-R2295),"")</f>
        <v/>
      </c>
      <c r="T2295" s="60" t="str">
        <f aca="false">IF(IsPro,IF($D2295="","",IF(U2295="","UNKNOWN ITEM",IF(INDEX(Items!$O$5:$O$504,U2295)&lt;0,"NEG STOCK",IF(K2295&lt;INDEX(Items!$P$5:$P$504,U2295),"BELOW COST","OK")))),IF($D2295="","","PRO PLAN"))</f>
        <v/>
      </c>
      <c r="U2295" s="60" t="str">
        <f aca="false">IF(IsPro,IF($D2295="","",IFERROR(MATCH($D2295,Items!$A$5:$A$504,0),"")),"")</f>
        <v/>
      </c>
      <c r="V2295" s="60" t="str">
        <f aca="false">IF(IsPro,IF($C2295="","",IFERROR(MATCH($C2295,Parties!$A$5:$A$304,0),"")),"")</f>
        <v/>
      </c>
      <c r="W2295" s="60" t="str">
        <f aca="false">IF(IsPro,IF($B2295="","",IFERROR(VALUE(SUBSTITUTE($B2295,InvPrefix,"")),0)),"")</f>
        <v/>
      </c>
      <c r="X2295" s="61" t="str">
        <f aca="false">IF(IsPro,IF($D2295="","",IF(OR($H2295="",$H2295="Credit"),0,Q2295)),"")</f>
        <v/>
      </c>
    </row>
    <row r="2296" customFormat="false" ht="15" hidden="false" customHeight="false" outlineLevel="0" collapsed="false">
      <c r="A2296" s="55"/>
      <c r="B2296" s="56"/>
      <c r="C2296" s="56"/>
      <c r="D2296" s="56"/>
      <c r="E2296" s="57"/>
      <c r="F2296" s="58"/>
      <c r="G2296" s="59"/>
      <c r="H2296" s="56"/>
      <c r="I2296" s="56"/>
      <c r="J2296" s="60" t="str">
        <f aca="false">IF(IsPro,IF($D2296="","",IFERROR(INDEX(Items!$D$5:$D$504,U2296),"")),"")</f>
        <v/>
      </c>
      <c r="K2296" s="61" t="str">
        <f aca="false">IF(IsPro,IF($D2296="","",IF($F2296="",IFERROR(INDEX(Items!$H$5:$H$504,U2296),0),$F2296)),"")</f>
        <v/>
      </c>
      <c r="L2296" s="61" t="str">
        <f aca="false">IF(IsPro,IF($D2296="","",ROUND(N($E2296)*K2296*(1-N($G2296)),2)),"")</f>
        <v/>
      </c>
      <c r="M2296" s="62" t="str">
        <f aca="false">IF(IsPro,IF($D2296="","",IFERROR(INDEX(Items!$F$5:$F$504,U2296),0)),"")</f>
        <v/>
      </c>
      <c r="N2296" s="61" t="str">
        <f aca="false">IF(IsPro,IF($D2296="","",IF(AND(V2296&lt;&gt;"",INDEX(Parties!$E$5:$E$304,V2296)&lt;&gt;"",INDEX(Parties!$E$5:$E$304,V2296)&lt;&gt;HomeState),0,ROUND(L2296*M2296/2,2))),"")</f>
        <v/>
      </c>
      <c r="O2296" s="61" t="str">
        <f aca="false">IF(IsPro,IF($D2296="","",N2296),"")</f>
        <v/>
      </c>
      <c r="P2296" s="61" t="str">
        <f aca="false">IF(IsPro,IF($D2296="","",IF(AND(V2296&lt;&gt;"",INDEX(Parties!$E$5:$E$304,V2296)&lt;&gt;"",INDEX(Parties!$E$5:$E$304,V2296)&lt;&gt;HomeState),ROUND(L2296*M2296,2),0)),"")</f>
        <v/>
      </c>
      <c r="Q2296" s="61" t="str">
        <f aca="false">IF(IsPro,IF($D2296="","",L2296+N2296+O2296+P2296),"")</f>
        <v/>
      </c>
      <c r="R2296" s="61" t="str">
        <f aca="false">IF(IsPro,IF($D2296="","",ROUND(N($E2296)*IFERROR(INDEX(Items!$P$5:$P$504,U2296),0),2)),"")</f>
        <v/>
      </c>
      <c r="S2296" s="61" t="str">
        <f aca="false">IF(IsPro,IF($D2296="","",L2296-R2296),"")</f>
        <v/>
      </c>
      <c r="T2296" s="60" t="str">
        <f aca="false">IF(IsPro,IF($D2296="","",IF(U2296="","UNKNOWN ITEM",IF(INDEX(Items!$O$5:$O$504,U2296)&lt;0,"NEG STOCK",IF(K2296&lt;INDEX(Items!$P$5:$P$504,U2296),"BELOW COST","OK")))),IF($D2296="","","PRO PLAN"))</f>
        <v/>
      </c>
      <c r="U2296" s="60" t="str">
        <f aca="false">IF(IsPro,IF($D2296="","",IFERROR(MATCH($D2296,Items!$A$5:$A$504,0),"")),"")</f>
        <v/>
      </c>
      <c r="V2296" s="60" t="str">
        <f aca="false">IF(IsPro,IF($C2296="","",IFERROR(MATCH($C2296,Parties!$A$5:$A$304,0),"")),"")</f>
        <v/>
      </c>
      <c r="W2296" s="60" t="str">
        <f aca="false">IF(IsPro,IF($B2296="","",IFERROR(VALUE(SUBSTITUTE($B2296,InvPrefix,"")),0)),"")</f>
        <v/>
      </c>
      <c r="X2296" s="61" t="str">
        <f aca="false">IF(IsPro,IF($D2296="","",IF(OR($H2296="",$H2296="Credit"),0,Q2296)),"")</f>
        <v/>
      </c>
    </row>
    <row r="2297" customFormat="false" ht="15" hidden="false" customHeight="false" outlineLevel="0" collapsed="false">
      <c r="A2297" s="55"/>
      <c r="B2297" s="56"/>
      <c r="C2297" s="56"/>
      <c r="D2297" s="56"/>
      <c r="E2297" s="57"/>
      <c r="F2297" s="58"/>
      <c r="G2297" s="59"/>
      <c r="H2297" s="56"/>
      <c r="I2297" s="56"/>
      <c r="J2297" s="60" t="str">
        <f aca="false">IF(IsPro,IF($D2297="","",IFERROR(INDEX(Items!$D$5:$D$504,U2297),"")),"")</f>
        <v/>
      </c>
      <c r="K2297" s="61" t="str">
        <f aca="false">IF(IsPro,IF($D2297="","",IF($F2297="",IFERROR(INDEX(Items!$H$5:$H$504,U2297),0),$F2297)),"")</f>
        <v/>
      </c>
      <c r="L2297" s="61" t="str">
        <f aca="false">IF(IsPro,IF($D2297="","",ROUND(N($E2297)*K2297*(1-N($G2297)),2)),"")</f>
        <v/>
      </c>
      <c r="M2297" s="62" t="str">
        <f aca="false">IF(IsPro,IF($D2297="","",IFERROR(INDEX(Items!$F$5:$F$504,U2297),0)),"")</f>
        <v/>
      </c>
      <c r="N2297" s="61" t="str">
        <f aca="false">IF(IsPro,IF($D2297="","",IF(AND(V2297&lt;&gt;"",INDEX(Parties!$E$5:$E$304,V2297)&lt;&gt;"",INDEX(Parties!$E$5:$E$304,V2297)&lt;&gt;HomeState),0,ROUND(L2297*M2297/2,2))),"")</f>
        <v/>
      </c>
      <c r="O2297" s="61" t="str">
        <f aca="false">IF(IsPro,IF($D2297="","",N2297),"")</f>
        <v/>
      </c>
      <c r="P2297" s="61" t="str">
        <f aca="false">IF(IsPro,IF($D2297="","",IF(AND(V2297&lt;&gt;"",INDEX(Parties!$E$5:$E$304,V2297)&lt;&gt;"",INDEX(Parties!$E$5:$E$304,V2297)&lt;&gt;HomeState),ROUND(L2297*M2297,2),0)),"")</f>
        <v/>
      </c>
      <c r="Q2297" s="61" t="str">
        <f aca="false">IF(IsPro,IF($D2297="","",L2297+N2297+O2297+P2297),"")</f>
        <v/>
      </c>
      <c r="R2297" s="61" t="str">
        <f aca="false">IF(IsPro,IF($D2297="","",ROUND(N($E2297)*IFERROR(INDEX(Items!$P$5:$P$504,U2297),0),2)),"")</f>
        <v/>
      </c>
      <c r="S2297" s="61" t="str">
        <f aca="false">IF(IsPro,IF($D2297="","",L2297-R2297),"")</f>
        <v/>
      </c>
      <c r="T2297" s="60" t="str">
        <f aca="false">IF(IsPro,IF($D2297="","",IF(U2297="","UNKNOWN ITEM",IF(INDEX(Items!$O$5:$O$504,U2297)&lt;0,"NEG STOCK",IF(K2297&lt;INDEX(Items!$P$5:$P$504,U2297),"BELOW COST","OK")))),IF($D2297="","","PRO PLAN"))</f>
        <v/>
      </c>
      <c r="U2297" s="60" t="str">
        <f aca="false">IF(IsPro,IF($D2297="","",IFERROR(MATCH($D2297,Items!$A$5:$A$504,0),"")),"")</f>
        <v/>
      </c>
      <c r="V2297" s="60" t="str">
        <f aca="false">IF(IsPro,IF($C2297="","",IFERROR(MATCH($C2297,Parties!$A$5:$A$304,0),"")),"")</f>
        <v/>
      </c>
      <c r="W2297" s="60" t="str">
        <f aca="false">IF(IsPro,IF($B2297="","",IFERROR(VALUE(SUBSTITUTE($B2297,InvPrefix,"")),0)),"")</f>
        <v/>
      </c>
      <c r="X2297" s="61" t="str">
        <f aca="false">IF(IsPro,IF($D2297="","",IF(OR($H2297="",$H2297="Credit"),0,Q2297)),"")</f>
        <v/>
      </c>
    </row>
    <row r="2298" customFormat="false" ht="15" hidden="false" customHeight="false" outlineLevel="0" collapsed="false">
      <c r="A2298" s="55"/>
      <c r="B2298" s="56"/>
      <c r="C2298" s="56"/>
      <c r="D2298" s="56"/>
      <c r="E2298" s="57"/>
      <c r="F2298" s="58"/>
      <c r="G2298" s="59"/>
      <c r="H2298" s="56"/>
      <c r="I2298" s="56"/>
      <c r="J2298" s="60" t="str">
        <f aca="false">IF(IsPro,IF($D2298="","",IFERROR(INDEX(Items!$D$5:$D$504,U2298),"")),"")</f>
        <v/>
      </c>
      <c r="K2298" s="61" t="str">
        <f aca="false">IF(IsPro,IF($D2298="","",IF($F2298="",IFERROR(INDEX(Items!$H$5:$H$504,U2298),0),$F2298)),"")</f>
        <v/>
      </c>
      <c r="L2298" s="61" t="str">
        <f aca="false">IF(IsPro,IF($D2298="","",ROUND(N($E2298)*K2298*(1-N($G2298)),2)),"")</f>
        <v/>
      </c>
      <c r="M2298" s="62" t="str">
        <f aca="false">IF(IsPro,IF($D2298="","",IFERROR(INDEX(Items!$F$5:$F$504,U2298),0)),"")</f>
        <v/>
      </c>
      <c r="N2298" s="61" t="str">
        <f aca="false">IF(IsPro,IF($D2298="","",IF(AND(V2298&lt;&gt;"",INDEX(Parties!$E$5:$E$304,V2298)&lt;&gt;"",INDEX(Parties!$E$5:$E$304,V2298)&lt;&gt;HomeState),0,ROUND(L2298*M2298/2,2))),"")</f>
        <v/>
      </c>
      <c r="O2298" s="61" t="str">
        <f aca="false">IF(IsPro,IF($D2298="","",N2298),"")</f>
        <v/>
      </c>
      <c r="P2298" s="61" t="str">
        <f aca="false">IF(IsPro,IF($D2298="","",IF(AND(V2298&lt;&gt;"",INDEX(Parties!$E$5:$E$304,V2298)&lt;&gt;"",INDEX(Parties!$E$5:$E$304,V2298)&lt;&gt;HomeState),ROUND(L2298*M2298,2),0)),"")</f>
        <v/>
      </c>
      <c r="Q2298" s="61" t="str">
        <f aca="false">IF(IsPro,IF($D2298="","",L2298+N2298+O2298+P2298),"")</f>
        <v/>
      </c>
      <c r="R2298" s="61" t="str">
        <f aca="false">IF(IsPro,IF($D2298="","",ROUND(N($E2298)*IFERROR(INDEX(Items!$P$5:$P$504,U2298),0),2)),"")</f>
        <v/>
      </c>
      <c r="S2298" s="61" t="str">
        <f aca="false">IF(IsPro,IF($D2298="","",L2298-R2298),"")</f>
        <v/>
      </c>
      <c r="T2298" s="60" t="str">
        <f aca="false">IF(IsPro,IF($D2298="","",IF(U2298="","UNKNOWN ITEM",IF(INDEX(Items!$O$5:$O$504,U2298)&lt;0,"NEG STOCK",IF(K2298&lt;INDEX(Items!$P$5:$P$504,U2298),"BELOW COST","OK")))),IF($D2298="","","PRO PLAN"))</f>
        <v/>
      </c>
      <c r="U2298" s="60" t="str">
        <f aca="false">IF(IsPro,IF($D2298="","",IFERROR(MATCH($D2298,Items!$A$5:$A$504,0),"")),"")</f>
        <v/>
      </c>
      <c r="V2298" s="60" t="str">
        <f aca="false">IF(IsPro,IF($C2298="","",IFERROR(MATCH($C2298,Parties!$A$5:$A$304,0),"")),"")</f>
        <v/>
      </c>
      <c r="W2298" s="60" t="str">
        <f aca="false">IF(IsPro,IF($B2298="","",IFERROR(VALUE(SUBSTITUTE($B2298,InvPrefix,"")),0)),"")</f>
        <v/>
      </c>
      <c r="X2298" s="61" t="str">
        <f aca="false">IF(IsPro,IF($D2298="","",IF(OR($H2298="",$H2298="Credit"),0,Q2298)),"")</f>
        <v/>
      </c>
    </row>
    <row r="2299" customFormat="false" ht="15" hidden="false" customHeight="false" outlineLevel="0" collapsed="false">
      <c r="A2299" s="55"/>
      <c r="B2299" s="56"/>
      <c r="C2299" s="56"/>
      <c r="D2299" s="56"/>
      <c r="E2299" s="57"/>
      <c r="F2299" s="58"/>
      <c r="G2299" s="59"/>
      <c r="H2299" s="56"/>
      <c r="I2299" s="56"/>
      <c r="J2299" s="60" t="str">
        <f aca="false">IF(IsPro,IF($D2299="","",IFERROR(INDEX(Items!$D$5:$D$504,U2299),"")),"")</f>
        <v/>
      </c>
      <c r="K2299" s="61" t="str">
        <f aca="false">IF(IsPro,IF($D2299="","",IF($F2299="",IFERROR(INDEX(Items!$H$5:$H$504,U2299),0),$F2299)),"")</f>
        <v/>
      </c>
      <c r="L2299" s="61" t="str">
        <f aca="false">IF(IsPro,IF($D2299="","",ROUND(N($E2299)*K2299*(1-N($G2299)),2)),"")</f>
        <v/>
      </c>
      <c r="M2299" s="62" t="str">
        <f aca="false">IF(IsPro,IF($D2299="","",IFERROR(INDEX(Items!$F$5:$F$504,U2299),0)),"")</f>
        <v/>
      </c>
      <c r="N2299" s="61" t="str">
        <f aca="false">IF(IsPro,IF($D2299="","",IF(AND(V2299&lt;&gt;"",INDEX(Parties!$E$5:$E$304,V2299)&lt;&gt;"",INDEX(Parties!$E$5:$E$304,V2299)&lt;&gt;HomeState),0,ROUND(L2299*M2299/2,2))),"")</f>
        <v/>
      </c>
      <c r="O2299" s="61" t="str">
        <f aca="false">IF(IsPro,IF($D2299="","",N2299),"")</f>
        <v/>
      </c>
      <c r="P2299" s="61" t="str">
        <f aca="false">IF(IsPro,IF($D2299="","",IF(AND(V2299&lt;&gt;"",INDEX(Parties!$E$5:$E$304,V2299)&lt;&gt;"",INDEX(Parties!$E$5:$E$304,V2299)&lt;&gt;HomeState),ROUND(L2299*M2299,2),0)),"")</f>
        <v/>
      </c>
      <c r="Q2299" s="61" t="str">
        <f aca="false">IF(IsPro,IF($D2299="","",L2299+N2299+O2299+P2299),"")</f>
        <v/>
      </c>
      <c r="R2299" s="61" t="str">
        <f aca="false">IF(IsPro,IF($D2299="","",ROUND(N($E2299)*IFERROR(INDEX(Items!$P$5:$P$504,U2299),0),2)),"")</f>
        <v/>
      </c>
      <c r="S2299" s="61" t="str">
        <f aca="false">IF(IsPro,IF($D2299="","",L2299-R2299),"")</f>
        <v/>
      </c>
      <c r="T2299" s="60" t="str">
        <f aca="false">IF(IsPro,IF($D2299="","",IF(U2299="","UNKNOWN ITEM",IF(INDEX(Items!$O$5:$O$504,U2299)&lt;0,"NEG STOCK",IF(K2299&lt;INDEX(Items!$P$5:$P$504,U2299),"BELOW COST","OK")))),IF($D2299="","","PRO PLAN"))</f>
        <v/>
      </c>
      <c r="U2299" s="60" t="str">
        <f aca="false">IF(IsPro,IF($D2299="","",IFERROR(MATCH($D2299,Items!$A$5:$A$504,0),"")),"")</f>
        <v/>
      </c>
      <c r="V2299" s="60" t="str">
        <f aca="false">IF(IsPro,IF($C2299="","",IFERROR(MATCH($C2299,Parties!$A$5:$A$304,0),"")),"")</f>
        <v/>
      </c>
      <c r="W2299" s="60" t="str">
        <f aca="false">IF(IsPro,IF($B2299="","",IFERROR(VALUE(SUBSTITUTE($B2299,InvPrefix,"")),0)),"")</f>
        <v/>
      </c>
      <c r="X2299" s="61" t="str">
        <f aca="false">IF(IsPro,IF($D2299="","",IF(OR($H2299="",$H2299="Credit"),0,Q2299)),"")</f>
        <v/>
      </c>
    </row>
    <row r="2300" customFormat="false" ht="15" hidden="false" customHeight="false" outlineLevel="0" collapsed="false">
      <c r="A2300" s="55"/>
      <c r="B2300" s="56"/>
      <c r="C2300" s="56"/>
      <c r="D2300" s="56"/>
      <c r="E2300" s="57"/>
      <c r="F2300" s="58"/>
      <c r="G2300" s="59"/>
      <c r="H2300" s="56"/>
      <c r="I2300" s="56"/>
      <c r="J2300" s="60" t="str">
        <f aca="false">IF(IsPro,IF($D2300="","",IFERROR(INDEX(Items!$D$5:$D$504,U2300),"")),"")</f>
        <v/>
      </c>
      <c r="K2300" s="61" t="str">
        <f aca="false">IF(IsPro,IF($D2300="","",IF($F2300="",IFERROR(INDEX(Items!$H$5:$H$504,U2300),0),$F2300)),"")</f>
        <v/>
      </c>
      <c r="L2300" s="61" t="str">
        <f aca="false">IF(IsPro,IF($D2300="","",ROUND(N($E2300)*K2300*(1-N($G2300)),2)),"")</f>
        <v/>
      </c>
      <c r="M2300" s="62" t="str">
        <f aca="false">IF(IsPro,IF($D2300="","",IFERROR(INDEX(Items!$F$5:$F$504,U2300),0)),"")</f>
        <v/>
      </c>
      <c r="N2300" s="61" t="str">
        <f aca="false">IF(IsPro,IF($D2300="","",IF(AND(V2300&lt;&gt;"",INDEX(Parties!$E$5:$E$304,V2300)&lt;&gt;"",INDEX(Parties!$E$5:$E$304,V2300)&lt;&gt;HomeState),0,ROUND(L2300*M2300/2,2))),"")</f>
        <v/>
      </c>
      <c r="O2300" s="61" t="str">
        <f aca="false">IF(IsPro,IF($D2300="","",N2300),"")</f>
        <v/>
      </c>
      <c r="P2300" s="61" t="str">
        <f aca="false">IF(IsPro,IF($D2300="","",IF(AND(V2300&lt;&gt;"",INDEX(Parties!$E$5:$E$304,V2300)&lt;&gt;"",INDEX(Parties!$E$5:$E$304,V2300)&lt;&gt;HomeState),ROUND(L2300*M2300,2),0)),"")</f>
        <v/>
      </c>
      <c r="Q2300" s="61" t="str">
        <f aca="false">IF(IsPro,IF($D2300="","",L2300+N2300+O2300+P2300),"")</f>
        <v/>
      </c>
      <c r="R2300" s="61" t="str">
        <f aca="false">IF(IsPro,IF($D2300="","",ROUND(N($E2300)*IFERROR(INDEX(Items!$P$5:$P$504,U2300),0),2)),"")</f>
        <v/>
      </c>
      <c r="S2300" s="61" t="str">
        <f aca="false">IF(IsPro,IF($D2300="","",L2300-R2300),"")</f>
        <v/>
      </c>
      <c r="T2300" s="60" t="str">
        <f aca="false">IF(IsPro,IF($D2300="","",IF(U2300="","UNKNOWN ITEM",IF(INDEX(Items!$O$5:$O$504,U2300)&lt;0,"NEG STOCK",IF(K2300&lt;INDEX(Items!$P$5:$P$504,U2300),"BELOW COST","OK")))),IF($D2300="","","PRO PLAN"))</f>
        <v/>
      </c>
      <c r="U2300" s="60" t="str">
        <f aca="false">IF(IsPro,IF($D2300="","",IFERROR(MATCH($D2300,Items!$A$5:$A$504,0),"")),"")</f>
        <v/>
      </c>
      <c r="V2300" s="60" t="str">
        <f aca="false">IF(IsPro,IF($C2300="","",IFERROR(MATCH($C2300,Parties!$A$5:$A$304,0),"")),"")</f>
        <v/>
      </c>
      <c r="W2300" s="60" t="str">
        <f aca="false">IF(IsPro,IF($B2300="","",IFERROR(VALUE(SUBSTITUTE($B2300,InvPrefix,"")),0)),"")</f>
        <v/>
      </c>
      <c r="X2300" s="61" t="str">
        <f aca="false">IF(IsPro,IF($D2300="","",IF(OR($H2300="",$H2300="Credit"),0,Q2300)),"")</f>
        <v/>
      </c>
    </row>
    <row r="2301" customFormat="false" ht="15" hidden="false" customHeight="false" outlineLevel="0" collapsed="false">
      <c r="A2301" s="55"/>
      <c r="B2301" s="56"/>
      <c r="C2301" s="56"/>
      <c r="D2301" s="56"/>
      <c r="E2301" s="57"/>
      <c r="F2301" s="58"/>
      <c r="G2301" s="59"/>
      <c r="H2301" s="56"/>
      <c r="I2301" s="56"/>
      <c r="J2301" s="60" t="str">
        <f aca="false">IF(IsPro,IF($D2301="","",IFERROR(INDEX(Items!$D$5:$D$504,U2301),"")),"")</f>
        <v/>
      </c>
      <c r="K2301" s="61" t="str">
        <f aca="false">IF(IsPro,IF($D2301="","",IF($F2301="",IFERROR(INDEX(Items!$H$5:$H$504,U2301),0),$F2301)),"")</f>
        <v/>
      </c>
      <c r="L2301" s="61" t="str">
        <f aca="false">IF(IsPro,IF($D2301="","",ROUND(N($E2301)*K2301*(1-N($G2301)),2)),"")</f>
        <v/>
      </c>
      <c r="M2301" s="62" t="str">
        <f aca="false">IF(IsPro,IF($D2301="","",IFERROR(INDEX(Items!$F$5:$F$504,U2301),0)),"")</f>
        <v/>
      </c>
      <c r="N2301" s="61" t="str">
        <f aca="false">IF(IsPro,IF($D2301="","",IF(AND(V2301&lt;&gt;"",INDEX(Parties!$E$5:$E$304,V2301)&lt;&gt;"",INDEX(Parties!$E$5:$E$304,V2301)&lt;&gt;HomeState),0,ROUND(L2301*M2301/2,2))),"")</f>
        <v/>
      </c>
      <c r="O2301" s="61" t="str">
        <f aca="false">IF(IsPro,IF($D2301="","",N2301),"")</f>
        <v/>
      </c>
      <c r="P2301" s="61" t="str">
        <f aca="false">IF(IsPro,IF($D2301="","",IF(AND(V2301&lt;&gt;"",INDEX(Parties!$E$5:$E$304,V2301)&lt;&gt;"",INDEX(Parties!$E$5:$E$304,V2301)&lt;&gt;HomeState),ROUND(L2301*M2301,2),0)),"")</f>
        <v/>
      </c>
      <c r="Q2301" s="61" t="str">
        <f aca="false">IF(IsPro,IF($D2301="","",L2301+N2301+O2301+P2301),"")</f>
        <v/>
      </c>
      <c r="R2301" s="61" t="str">
        <f aca="false">IF(IsPro,IF($D2301="","",ROUND(N($E2301)*IFERROR(INDEX(Items!$P$5:$P$504,U2301),0),2)),"")</f>
        <v/>
      </c>
      <c r="S2301" s="61" t="str">
        <f aca="false">IF(IsPro,IF($D2301="","",L2301-R2301),"")</f>
        <v/>
      </c>
      <c r="T2301" s="60" t="str">
        <f aca="false">IF(IsPro,IF($D2301="","",IF(U2301="","UNKNOWN ITEM",IF(INDEX(Items!$O$5:$O$504,U2301)&lt;0,"NEG STOCK",IF(K2301&lt;INDEX(Items!$P$5:$P$504,U2301),"BELOW COST","OK")))),IF($D2301="","","PRO PLAN"))</f>
        <v/>
      </c>
      <c r="U2301" s="60" t="str">
        <f aca="false">IF(IsPro,IF($D2301="","",IFERROR(MATCH($D2301,Items!$A$5:$A$504,0),"")),"")</f>
        <v/>
      </c>
      <c r="V2301" s="60" t="str">
        <f aca="false">IF(IsPro,IF($C2301="","",IFERROR(MATCH($C2301,Parties!$A$5:$A$304,0),"")),"")</f>
        <v/>
      </c>
      <c r="W2301" s="60" t="str">
        <f aca="false">IF(IsPro,IF($B2301="","",IFERROR(VALUE(SUBSTITUTE($B2301,InvPrefix,"")),0)),"")</f>
        <v/>
      </c>
      <c r="X2301" s="61" t="str">
        <f aca="false">IF(IsPro,IF($D2301="","",IF(OR($H2301="",$H2301="Credit"),0,Q2301)),"")</f>
        <v/>
      </c>
    </row>
    <row r="2302" customFormat="false" ht="15" hidden="false" customHeight="false" outlineLevel="0" collapsed="false">
      <c r="A2302" s="55"/>
      <c r="B2302" s="56"/>
      <c r="C2302" s="56"/>
      <c r="D2302" s="56"/>
      <c r="E2302" s="57"/>
      <c r="F2302" s="58"/>
      <c r="G2302" s="59"/>
      <c r="H2302" s="56"/>
      <c r="I2302" s="56"/>
      <c r="J2302" s="60" t="str">
        <f aca="false">IF(IsPro,IF($D2302="","",IFERROR(INDEX(Items!$D$5:$D$504,U2302),"")),"")</f>
        <v/>
      </c>
      <c r="K2302" s="61" t="str">
        <f aca="false">IF(IsPro,IF($D2302="","",IF($F2302="",IFERROR(INDEX(Items!$H$5:$H$504,U2302),0),$F2302)),"")</f>
        <v/>
      </c>
      <c r="L2302" s="61" t="str">
        <f aca="false">IF(IsPro,IF($D2302="","",ROUND(N($E2302)*K2302*(1-N($G2302)),2)),"")</f>
        <v/>
      </c>
      <c r="M2302" s="62" t="str">
        <f aca="false">IF(IsPro,IF($D2302="","",IFERROR(INDEX(Items!$F$5:$F$504,U2302),0)),"")</f>
        <v/>
      </c>
      <c r="N2302" s="61" t="str">
        <f aca="false">IF(IsPro,IF($D2302="","",IF(AND(V2302&lt;&gt;"",INDEX(Parties!$E$5:$E$304,V2302)&lt;&gt;"",INDEX(Parties!$E$5:$E$304,V2302)&lt;&gt;HomeState),0,ROUND(L2302*M2302/2,2))),"")</f>
        <v/>
      </c>
      <c r="O2302" s="61" t="str">
        <f aca="false">IF(IsPro,IF($D2302="","",N2302),"")</f>
        <v/>
      </c>
      <c r="P2302" s="61" t="str">
        <f aca="false">IF(IsPro,IF($D2302="","",IF(AND(V2302&lt;&gt;"",INDEX(Parties!$E$5:$E$304,V2302)&lt;&gt;"",INDEX(Parties!$E$5:$E$304,V2302)&lt;&gt;HomeState),ROUND(L2302*M2302,2),0)),"")</f>
        <v/>
      </c>
      <c r="Q2302" s="61" t="str">
        <f aca="false">IF(IsPro,IF($D2302="","",L2302+N2302+O2302+P2302),"")</f>
        <v/>
      </c>
      <c r="R2302" s="61" t="str">
        <f aca="false">IF(IsPro,IF($D2302="","",ROUND(N($E2302)*IFERROR(INDEX(Items!$P$5:$P$504,U2302),0),2)),"")</f>
        <v/>
      </c>
      <c r="S2302" s="61" t="str">
        <f aca="false">IF(IsPro,IF($D2302="","",L2302-R2302),"")</f>
        <v/>
      </c>
      <c r="T2302" s="60" t="str">
        <f aca="false">IF(IsPro,IF($D2302="","",IF(U2302="","UNKNOWN ITEM",IF(INDEX(Items!$O$5:$O$504,U2302)&lt;0,"NEG STOCK",IF(K2302&lt;INDEX(Items!$P$5:$P$504,U2302),"BELOW COST","OK")))),IF($D2302="","","PRO PLAN"))</f>
        <v/>
      </c>
      <c r="U2302" s="60" t="str">
        <f aca="false">IF(IsPro,IF($D2302="","",IFERROR(MATCH($D2302,Items!$A$5:$A$504,0),"")),"")</f>
        <v/>
      </c>
      <c r="V2302" s="60" t="str">
        <f aca="false">IF(IsPro,IF($C2302="","",IFERROR(MATCH($C2302,Parties!$A$5:$A$304,0),"")),"")</f>
        <v/>
      </c>
      <c r="W2302" s="60" t="str">
        <f aca="false">IF(IsPro,IF($B2302="","",IFERROR(VALUE(SUBSTITUTE($B2302,InvPrefix,"")),0)),"")</f>
        <v/>
      </c>
      <c r="X2302" s="61" t="str">
        <f aca="false">IF(IsPro,IF($D2302="","",IF(OR($H2302="",$H2302="Credit"),0,Q2302)),"")</f>
        <v/>
      </c>
    </row>
    <row r="2303" customFormat="false" ht="15" hidden="false" customHeight="false" outlineLevel="0" collapsed="false">
      <c r="A2303" s="55"/>
      <c r="B2303" s="56"/>
      <c r="C2303" s="56"/>
      <c r="D2303" s="56"/>
      <c r="E2303" s="57"/>
      <c r="F2303" s="58"/>
      <c r="G2303" s="59"/>
      <c r="H2303" s="56"/>
      <c r="I2303" s="56"/>
      <c r="J2303" s="60" t="str">
        <f aca="false">IF(IsPro,IF($D2303="","",IFERROR(INDEX(Items!$D$5:$D$504,U2303),"")),"")</f>
        <v/>
      </c>
      <c r="K2303" s="61" t="str">
        <f aca="false">IF(IsPro,IF($D2303="","",IF($F2303="",IFERROR(INDEX(Items!$H$5:$H$504,U2303),0),$F2303)),"")</f>
        <v/>
      </c>
      <c r="L2303" s="61" t="str">
        <f aca="false">IF(IsPro,IF($D2303="","",ROUND(N($E2303)*K2303*(1-N($G2303)),2)),"")</f>
        <v/>
      </c>
      <c r="M2303" s="62" t="str">
        <f aca="false">IF(IsPro,IF($D2303="","",IFERROR(INDEX(Items!$F$5:$F$504,U2303),0)),"")</f>
        <v/>
      </c>
      <c r="N2303" s="61" t="str">
        <f aca="false">IF(IsPro,IF($D2303="","",IF(AND(V2303&lt;&gt;"",INDEX(Parties!$E$5:$E$304,V2303)&lt;&gt;"",INDEX(Parties!$E$5:$E$304,V2303)&lt;&gt;HomeState),0,ROUND(L2303*M2303/2,2))),"")</f>
        <v/>
      </c>
      <c r="O2303" s="61" t="str">
        <f aca="false">IF(IsPro,IF($D2303="","",N2303),"")</f>
        <v/>
      </c>
      <c r="P2303" s="61" t="str">
        <f aca="false">IF(IsPro,IF($D2303="","",IF(AND(V2303&lt;&gt;"",INDEX(Parties!$E$5:$E$304,V2303)&lt;&gt;"",INDEX(Parties!$E$5:$E$304,V2303)&lt;&gt;HomeState),ROUND(L2303*M2303,2),0)),"")</f>
        <v/>
      </c>
      <c r="Q2303" s="61" t="str">
        <f aca="false">IF(IsPro,IF($D2303="","",L2303+N2303+O2303+P2303),"")</f>
        <v/>
      </c>
      <c r="R2303" s="61" t="str">
        <f aca="false">IF(IsPro,IF($D2303="","",ROUND(N($E2303)*IFERROR(INDEX(Items!$P$5:$P$504,U2303),0),2)),"")</f>
        <v/>
      </c>
      <c r="S2303" s="61" t="str">
        <f aca="false">IF(IsPro,IF($D2303="","",L2303-R2303),"")</f>
        <v/>
      </c>
      <c r="T2303" s="60" t="str">
        <f aca="false">IF(IsPro,IF($D2303="","",IF(U2303="","UNKNOWN ITEM",IF(INDEX(Items!$O$5:$O$504,U2303)&lt;0,"NEG STOCK",IF(K2303&lt;INDEX(Items!$P$5:$P$504,U2303),"BELOW COST","OK")))),IF($D2303="","","PRO PLAN"))</f>
        <v/>
      </c>
      <c r="U2303" s="60" t="str">
        <f aca="false">IF(IsPro,IF($D2303="","",IFERROR(MATCH($D2303,Items!$A$5:$A$504,0),"")),"")</f>
        <v/>
      </c>
      <c r="V2303" s="60" t="str">
        <f aca="false">IF(IsPro,IF($C2303="","",IFERROR(MATCH($C2303,Parties!$A$5:$A$304,0),"")),"")</f>
        <v/>
      </c>
      <c r="W2303" s="60" t="str">
        <f aca="false">IF(IsPro,IF($B2303="","",IFERROR(VALUE(SUBSTITUTE($B2303,InvPrefix,"")),0)),"")</f>
        <v/>
      </c>
      <c r="X2303" s="61" t="str">
        <f aca="false">IF(IsPro,IF($D2303="","",IF(OR($H2303="",$H2303="Credit"),0,Q2303)),"")</f>
        <v/>
      </c>
    </row>
    <row r="2304" customFormat="false" ht="15" hidden="false" customHeight="false" outlineLevel="0" collapsed="false">
      <c r="A2304" s="55"/>
      <c r="B2304" s="56"/>
      <c r="C2304" s="56"/>
      <c r="D2304" s="56"/>
      <c r="E2304" s="57"/>
      <c r="F2304" s="58"/>
      <c r="G2304" s="59"/>
      <c r="H2304" s="56"/>
      <c r="I2304" s="56"/>
      <c r="J2304" s="60" t="str">
        <f aca="false">IF(IsPro,IF($D2304="","",IFERROR(INDEX(Items!$D$5:$D$504,U2304),"")),"")</f>
        <v/>
      </c>
      <c r="K2304" s="61" t="str">
        <f aca="false">IF(IsPro,IF($D2304="","",IF($F2304="",IFERROR(INDEX(Items!$H$5:$H$504,U2304),0),$F2304)),"")</f>
        <v/>
      </c>
      <c r="L2304" s="61" t="str">
        <f aca="false">IF(IsPro,IF($D2304="","",ROUND(N($E2304)*K2304*(1-N($G2304)),2)),"")</f>
        <v/>
      </c>
      <c r="M2304" s="62" t="str">
        <f aca="false">IF(IsPro,IF($D2304="","",IFERROR(INDEX(Items!$F$5:$F$504,U2304),0)),"")</f>
        <v/>
      </c>
      <c r="N2304" s="61" t="str">
        <f aca="false">IF(IsPro,IF($D2304="","",IF(AND(V2304&lt;&gt;"",INDEX(Parties!$E$5:$E$304,V2304)&lt;&gt;"",INDEX(Parties!$E$5:$E$304,V2304)&lt;&gt;HomeState),0,ROUND(L2304*M2304/2,2))),"")</f>
        <v/>
      </c>
      <c r="O2304" s="61" t="str">
        <f aca="false">IF(IsPro,IF($D2304="","",N2304),"")</f>
        <v/>
      </c>
      <c r="P2304" s="61" t="str">
        <f aca="false">IF(IsPro,IF($D2304="","",IF(AND(V2304&lt;&gt;"",INDEX(Parties!$E$5:$E$304,V2304)&lt;&gt;"",INDEX(Parties!$E$5:$E$304,V2304)&lt;&gt;HomeState),ROUND(L2304*M2304,2),0)),"")</f>
        <v/>
      </c>
      <c r="Q2304" s="61" t="str">
        <f aca="false">IF(IsPro,IF($D2304="","",L2304+N2304+O2304+P2304),"")</f>
        <v/>
      </c>
      <c r="R2304" s="61" t="str">
        <f aca="false">IF(IsPro,IF($D2304="","",ROUND(N($E2304)*IFERROR(INDEX(Items!$P$5:$P$504,U2304),0),2)),"")</f>
        <v/>
      </c>
      <c r="S2304" s="61" t="str">
        <f aca="false">IF(IsPro,IF($D2304="","",L2304-R2304),"")</f>
        <v/>
      </c>
      <c r="T2304" s="60" t="str">
        <f aca="false">IF(IsPro,IF($D2304="","",IF(U2304="","UNKNOWN ITEM",IF(INDEX(Items!$O$5:$O$504,U2304)&lt;0,"NEG STOCK",IF(K2304&lt;INDEX(Items!$P$5:$P$504,U2304),"BELOW COST","OK")))),IF($D2304="","","PRO PLAN"))</f>
        <v/>
      </c>
      <c r="U2304" s="60" t="str">
        <f aca="false">IF(IsPro,IF($D2304="","",IFERROR(MATCH($D2304,Items!$A$5:$A$504,0),"")),"")</f>
        <v/>
      </c>
      <c r="V2304" s="60" t="str">
        <f aca="false">IF(IsPro,IF($C2304="","",IFERROR(MATCH($C2304,Parties!$A$5:$A$304,0),"")),"")</f>
        <v/>
      </c>
      <c r="W2304" s="60" t="str">
        <f aca="false">IF(IsPro,IF($B2304="","",IFERROR(VALUE(SUBSTITUTE($B2304,InvPrefix,"")),0)),"")</f>
        <v/>
      </c>
      <c r="X2304" s="61" t="str">
        <f aca="false">IF(IsPro,IF($D2304="","",IF(OR($H2304="",$H2304="Credit"),0,Q2304)),"")</f>
        <v/>
      </c>
    </row>
    <row r="2305" customFormat="false" ht="15" hidden="false" customHeight="false" outlineLevel="0" collapsed="false">
      <c r="A2305" s="55"/>
      <c r="B2305" s="56"/>
      <c r="C2305" s="56"/>
      <c r="D2305" s="56"/>
      <c r="E2305" s="57"/>
      <c r="F2305" s="58"/>
      <c r="G2305" s="59"/>
      <c r="H2305" s="56"/>
      <c r="I2305" s="56"/>
      <c r="J2305" s="60" t="str">
        <f aca="false">IF(IsPro,IF($D2305="","",IFERROR(INDEX(Items!$D$5:$D$504,U2305),"")),"")</f>
        <v/>
      </c>
      <c r="K2305" s="61" t="str">
        <f aca="false">IF(IsPro,IF($D2305="","",IF($F2305="",IFERROR(INDEX(Items!$H$5:$H$504,U2305),0),$F2305)),"")</f>
        <v/>
      </c>
      <c r="L2305" s="61" t="str">
        <f aca="false">IF(IsPro,IF($D2305="","",ROUND(N($E2305)*K2305*(1-N($G2305)),2)),"")</f>
        <v/>
      </c>
      <c r="M2305" s="62" t="str">
        <f aca="false">IF(IsPro,IF($D2305="","",IFERROR(INDEX(Items!$F$5:$F$504,U2305),0)),"")</f>
        <v/>
      </c>
      <c r="N2305" s="61" t="str">
        <f aca="false">IF(IsPro,IF($D2305="","",IF(AND(V2305&lt;&gt;"",INDEX(Parties!$E$5:$E$304,V2305)&lt;&gt;"",INDEX(Parties!$E$5:$E$304,V2305)&lt;&gt;HomeState),0,ROUND(L2305*M2305/2,2))),"")</f>
        <v/>
      </c>
      <c r="O2305" s="61" t="str">
        <f aca="false">IF(IsPro,IF($D2305="","",N2305),"")</f>
        <v/>
      </c>
      <c r="P2305" s="61" t="str">
        <f aca="false">IF(IsPro,IF($D2305="","",IF(AND(V2305&lt;&gt;"",INDEX(Parties!$E$5:$E$304,V2305)&lt;&gt;"",INDEX(Parties!$E$5:$E$304,V2305)&lt;&gt;HomeState),ROUND(L2305*M2305,2),0)),"")</f>
        <v/>
      </c>
      <c r="Q2305" s="61" t="str">
        <f aca="false">IF(IsPro,IF($D2305="","",L2305+N2305+O2305+P2305),"")</f>
        <v/>
      </c>
      <c r="R2305" s="61" t="str">
        <f aca="false">IF(IsPro,IF($D2305="","",ROUND(N($E2305)*IFERROR(INDEX(Items!$P$5:$P$504,U2305),0),2)),"")</f>
        <v/>
      </c>
      <c r="S2305" s="61" t="str">
        <f aca="false">IF(IsPro,IF($D2305="","",L2305-R2305),"")</f>
        <v/>
      </c>
      <c r="T2305" s="60" t="str">
        <f aca="false">IF(IsPro,IF($D2305="","",IF(U2305="","UNKNOWN ITEM",IF(INDEX(Items!$O$5:$O$504,U2305)&lt;0,"NEG STOCK",IF(K2305&lt;INDEX(Items!$P$5:$P$504,U2305),"BELOW COST","OK")))),IF($D2305="","","PRO PLAN"))</f>
        <v/>
      </c>
      <c r="U2305" s="60" t="str">
        <f aca="false">IF(IsPro,IF($D2305="","",IFERROR(MATCH($D2305,Items!$A$5:$A$504,0),"")),"")</f>
        <v/>
      </c>
      <c r="V2305" s="60" t="str">
        <f aca="false">IF(IsPro,IF($C2305="","",IFERROR(MATCH($C2305,Parties!$A$5:$A$304,0),"")),"")</f>
        <v/>
      </c>
      <c r="W2305" s="60" t="str">
        <f aca="false">IF(IsPro,IF($B2305="","",IFERROR(VALUE(SUBSTITUTE($B2305,InvPrefix,"")),0)),"")</f>
        <v/>
      </c>
      <c r="X2305" s="61" t="str">
        <f aca="false">IF(IsPro,IF($D2305="","",IF(OR($H2305="",$H2305="Credit"),0,Q2305)),"")</f>
        <v/>
      </c>
    </row>
    <row r="2306" customFormat="false" ht="15" hidden="false" customHeight="false" outlineLevel="0" collapsed="false">
      <c r="A2306" s="55"/>
      <c r="B2306" s="56"/>
      <c r="C2306" s="56"/>
      <c r="D2306" s="56"/>
      <c r="E2306" s="57"/>
      <c r="F2306" s="58"/>
      <c r="G2306" s="59"/>
      <c r="H2306" s="56"/>
      <c r="I2306" s="56"/>
      <c r="J2306" s="60" t="str">
        <f aca="false">IF(IsPro,IF($D2306="","",IFERROR(INDEX(Items!$D$5:$D$504,U2306),"")),"")</f>
        <v/>
      </c>
      <c r="K2306" s="61" t="str">
        <f aca="false">IF(IsPro,IF($D2306="","",IF($F2306="",IFERROR(INDEX(Items!$H$5:$H$504,U2306),0),$F2306)),"")</f>
        <v/>
      </c>
      <c r="L2306" s="61" t="str">
        <f aca="false">IF(IsPro,IF($D2306="","",ROUND(N($E2306)*K2306*(1-N($G2306)),2)),"")</f>
        <v/>
      </c>
      <c r="M2306" s="62" t="str">
        <f aca="false">IF(IsPro,IF($D2306="","",IFERROR(INDEX(Items!$F$5:$F$504,U2306),0)),"")</f>
        <v/>
      </c>
      <c r="N2306" s="61" t="str">
        <f aca="false">IF(IsPro,IF($D2306="","",IF(AND(V2306&lt;&gt;"",INDEX(Parties!$E$5:$E$304,V2306)&lt;&gt;"",INDEX(Parties!$E$5:$E$304,V2306)&lt;&gt;HomeState),0,ROUND(L2306*M2306/2,2))),"")</f>
        <v/>
      </c>
      <c r="O2306" s="61" t="str">
        <f aca="false">IF(IsPro,IF($D2306="","",N2306),"")</f>
        <v/>
      </c>
      <c r="P2306" s="61" t="str">
        <f aca="false">IF(IsPro,IF($D2306="","",IF(AND(V2306&lt;&gt;"",INDEX(Parties!$E$5:$E$304,V2306)&lt;&gt;"",INDEX(Parties!$E$5:$E$304,V2306)&lt;&gt;HomeState),ROUND(L2306*M2306,2),0)),"")</f>
        <v/>
      </c>
      <c r="Q2306" s="61" t="str">
        <f aca="false">IF(IsPro,IF($D2306="","",L2306+N2306+O2306+P2306),"")</f>
        <v/>
      </c>
      <c r="R2306" s="61" t="str">
        <f aca="false">IF(IsPro,IF($D2306="","",ROUND(N($E2306)*IFERROR(INDEX(Items!$P$5:$P$504,U2306),0),2)),"")</f>
        <v/>
      </c>
      <c r="S2306" s="61" t="str">
        <f aca="false">IF(IsPro,IF($D2306="","",L2306-R2306),"")</f>
        <v/>
      </c>
      <c r="T2306" s="60" t="str">
        <f aca="false">IF(IsPro,IF($D2306="","",IF(U2306="","UNKNOWN ITEM",IF(INDEX(Items!$O$5:$O$504,U2306)&lt;0,"NEG STOCK",IF(K2306&lt;INDEX(Items!$P$5:$P$504,U2306),"BELOW COST","OK")))),IF($D2306="","","PRO PLAN"))</f>
        <v/>
      </c>
      <c r="U2306" s="60" t="str">
        <f aca="false">IF(IsPro,IF($D2306="","",IFERROR(MATCH($D2306,Items!$A$5:$A$504,0),"")),"")</f>
        <v/>
      </c>
      <c r="V2306" s="60" t="str">
        <f aca="false">IF(IsPro,IF($C2306="","",IFERROR(MATCH($C2306,Parties!$A$5:$A$304,0),"")),"")</f>
        <v/>
      </c>
      <c r="W2306" s="60" t="str">
        <f aca="false">IF(IsPro,IF($B2306="","",IFERROR(VALUE(SUBSTITUTE($B2306,InvPrefix,"")),0)),"")</f>
        <v/>
      </c>
      <c r="X2306" s="61" t="str">
        <f aca="false">IF(IsPro,IF($D2306="","",IF(OR($H2306="",$H2306="Credit"),0,Q2306)),"")</f>
        <v/>
      </c>
    </row>
    <row r="2307" customFormat="false" ht="15" hidden="false" customHeight="false" outlineLevel="0" collapsed="false">
      <c r="A2307" s="55"/>
      <c r="B2307" s="56"/>
      <c r="C2307" s="56"/>
      <c r="D2307" s="56"/>
      <c r="E2307" s="57"/>
      <c r="F2307" s="58"/>
      <c r="G2307" s="59"/>
      <c r="H2307" s="56"/>
      <c r="I2307" s="56"/>
      <c r="J2307" s="60" t="str">
        <f aca="false">IF(IsPro,IF($D2307="","",IFERROR(INDEX(Items!$D$5:$D$504,U2307),"")),"")</f>
        <v/>
      </c>
      <c r="K2307" s="61" t="str">
        <f aca="false">IF(IsPro,IF($D2307="","",IF($F2307="",IFERROR(INDEX(Items!$H$5:$H$504,U2307),0),$F2307)),"")</f>
        <v/>
      </c>
      <c r="L2307" s="61" t="str">
        <f aca="false">IF(IsPro,IF($D2307="","",ROUND(N($E2307)*K2307*(1-N($G2307)),2)),"")</f>
        <v/>
      </c>
      <c r="M2307" s="62" t="str">
        <f aca="false">IF(IsPro,IF($D2307="","",IFERROR(INDEX(Items!$F$5:$F$504,U2307),0)),"")</f>
        <v/>
      </c>
      <c r="N2307" s="61" t="str">
        <f aca="false">IF(IsPro,IF($D2307="","",IF(AND(V2307&lt;&gt;"",INDEX(Parties!$E$5:$E$304,V2307)&lt;&gt;"",INDEX(Parties!$E$5:$E$304,V2307)&lt;&gt;HomeState),0,ROUND(L2307*M2307/2,2))),"")</f>
        <v/>
      </c>
      <c r="O2307" s="61" t="str">
        <f aca="false">IF(IsPro,IF($D2307="","",N2307),"")</f>
        <v/>
      </c>
      <c r="P2307" s="61" t="str">
        <f aca="false">IF(IsPro,IF($D2307="","",IF(AND(V2307&lt;&gt;"",INDEX(Parties!$E$5:$E$304,V2307)&lt;&gt;"",INDEX(Parties!$E$5:$E$304,V2307)&lt;&gt;HomeState),ROUND(L2307*M2307,2),0)),"")</f>
        <v/>
      </c>
      <c r="Q2307" s="61" t="str">
        <f aca="false">IF(IsPro,IF($D2307="","",L2307+N2307+O2307+P2307),"")</f>
        <v/>
      </c>
      <c r="R2307" s="61" t="str">
        <f aca="false">IF(IsPro,IF($D2307="","",ROUND(N($E2307)*IFERROR(INDEX(Items!$P$5:$P$504,U2307),0),2)),"")</f>
        <v/>
      </c>
      <c r="S2307" s="61" t="str">
        <f aca="false">IF(IsPro,IF($D2307="","",L2307-R2307),"")</f>
        <v/>
      </c>
      <c r="T2307" s="60" t="str">
        <f aca="false">IF(IsPro,IF($D2307="","",IF(U2307="","UNKNOWN ITEM",IF(INDEX(Items!$O$5:$O$504,U2307)&lt;0,"NEG STOCK",IF(K2307&lt;INDEX(Items!$P$5:$P$504,U2307),"BELOW COST","OK")))),IF($D2307="","","PRO PLAN"))</f>
        <v/>
      </c>
      <c r="U2307" s="60" t="str">
        <f aca="false">IF(IsPro,IF($D2307="","",IFERROR(MATCH($D2307,Items!$A$5:$A$504,0),"")),"")</f>
        <v/>
      </c>
      <c r="V2307" s="60" t="str">
        <f aca="false">IF(IsPro,IF($C2307="","",IFERROR(MATCH($C2307,Parties!$A$5:$A$304,0),"")),"")</f>
        <v/>
      </c>
      <c r="W2307" s="60" t="str">
        <f aca="false">IF(IsPro,IF($B2307="","",IFERROR(VALUE(SUBSTITUTE($B2307,InvPrefix,"")),0)),"")</f>
        <v/>
      </c>
      <c r="X2307" s="61" t="str">
        <f aca="false">IF(IsPro,IF($D2307="","",IF(OR($H2307="",$H2307="Credit"),0,Q2307)),"")</f>
        <v/>
      </c>
    </row>
    <row r="2308" customFormat="false" ht="15" hidden="false" customHeight="false" outlineLevel="0" collapsed="false">
      <c r="A2308" s="55"/>
      <c r="B2308" s="56"/>
      <c r="C2308" s="56"/>
      <c r="D2308" s="56"/>
      <c r="E2308" s="57"/>
      <c r="F2308" s="58"/>
      <c r="G2308" s="59"/>
      <c r="H2308" s="56"/>
      <c r="I2308" s="56"/>
      <c r="J2308" s="60" t="str">
        <f aca="false">IF(IsPro,IF($D2308="","",IFERROR(INDEX(Items!$D$5:$D$504,U2308),"")),"")</f>
        <v/>
      </c>
      <c r="K2308" s="61" t="str">
        <f aca="false">IF(IsPro,IF($D2308="","",IF($F2308="",IFERROR(INDEX(Items!$H$5:$H$504,U2308),0),$F2308)),"")</f>
        <v/>
      </c>
      <c r="L2308" s="61" t="str">
        <f aca="false">IF(IsPro,IF($D2308="","",ROUND(N($E2308)*K2308*(1-N($G2308)),2)),"")</f>
        <v/>
      </c>
      <c r="M2308" s="62" t="str">
        <f aca="false">IF(IsPro,IF($D2308="","",IFERROR(INDEX(Items!$F$5:$F$504,U2308),0)),"")</f>
        <v/>
      </c>
      <c r="N2308" s="61" t="str">
        <f aca="false">IF(IsPro,IF($D2308="","",IF(AND(V2308&lt;&gt;"",INDEX(Parties!$E$5:$E$304,V2308)&lt;&gt;"",INDEX(Parties!$E$5:$E$304,V2308)&lt;&gt;HomeState),0,ROUND(L2308*M2308/2,2))),"")</f>
        <v/>
      </c>
      <c r="O2308" s="61" t="str">
        <f aca="false">IF(IsPro,IF($D2308="","",N2308),"")</f>
        <v/>
      </c>
      <c r="P2308" s="61" t="str">
        <f aca="false">IF(IsPro,IF($D2308="","",IF(AND(V2308&lt;&gt;"",INDEX(Parties!$E$5:$E$304,V2308)&lt;&gt;"",INDEX(Parties!$E$5:$E$304,V2308)&lt;&gt;HomeState),ROUND(L2308*M2308,2),0)),"")</f>
        <v/>
      </c>
      <c r="Q2308" s="61" t="str">
        <f aca="false">IF(IsPro,IF($D2308="","",L2308+N2308+O2308+P2308),"")</f>
        <v/>
      </c>
      <c r="R2308" s="61" t="str">
        <f aca="false">IF(IsPro,IF($D2308="","",ROUND(N($E2308)*IFERROR(INDEX(Items!$P$5:$P$504,U2308),0),2)),"")</f>
        <v/>
      </c>
      <c r="S2308" s="61" t="str">
        <f aca="false">IF(IsPro,IF($D2308="","",L2308-R2308),"")</f>
        <v/>
      </c>
      <c r="T2308" s="60" t="str">
        <f aca="false">IF(IsPro,IF($D2308="","",IF(U2308="","UNKNOWN ITEM",IF(INDEX(Items!$O$5:$O$504,U2308)&lt;0,"NEG STOCK",IF(K2308&lt;INDEX(Items!$P$5:$P$504,U2308),"BELOW COST","OK")))),IF($D2308="","","PRO PLAN"))</f>
        <v/>
      </c>
      <c r="U2308" s="60" t="str">
        <f aca="false">IF(IsPro,IF($D2308="","",IFERROR(MATCH($D2308,Items!$A$5:$A$504,0),"")),"")</f>
        <v/>
      </c>
      <c r="V2308" s="60" t="str">
        <f aca="false">IF(IsPro,IF($C2308="","",IFERROR(MATCH($C2308,Parties!$A$5:$A$304,0),"")),"")</f>
        <v/>
      </c>
      <c r="W2308" s="60" t="str">
        <f aca="false">IF(IsPro,IF($B2308="","",IFERROR(VALUE(SUBSTITUTE($B2308,InvPrefix,"")),0)),"")</f>
        <v/>
      </c>
      <c r="X2308" s="61" t="str">
        <f aca="false">IF(IsPro,IF($D2308="","",IF(OR($H2308="",$H2308="Credit"),0,Q2308)),"")</f>
        <v/>
      </c>
    </row>
    <row r="2309" customFormat="false" ht="15" hidden="false" customHeight="false" outlineLevel="0" collapsed="false">
      <c r="A2309" s="55"/>
      <c r="B2309" s="56"/>
      <c r="C2309" s="56"/>
      <c r="D2309" s="56"/>
      <c r="E2309" s="57"/>
      <c r="F2309" s="58"/>
      <c r="G2309" s="59"/>
      <c r="H2309" s="56"/>
      <c r="I2309" s="56"/>
      <c r="J2309" s="60" t="str">
        <f aca="false">IF(IsPro,IF($D2309="","",IFERROR(INDEX(Items!$D$5:$D$504,U2309),"")),"")</f>
        <v/>
      </c>
      <c r="K2309" s="61" t="str">
        <f aca="false">IF(IsPro,IF($D2309="","",IF($F2309="",IFERROR(INDEX(Items!$H$5:$H$504,U2309),0),$F2309)),"")</f>
        <v/>
      </c>
      <c r="L2309" s="61" t="str">
        <f aca="false">IF(IsPro,IF($D2309="","",ROUND(N($E2309)*K2309*(1-N($G2309)),2)),"")</f>
        <v/>
      </c>
      <c r="M2309" s="62" t="str">
        <f aca="false">IF(IsPro,IF($D2309="","",IFERROR(INDEX(Items!$F$5:$F$504,U2309),0)),"")</f>
        <v/>
      </c>
      <c r="N2309" s="61" t="str">
        <f aca="false">IF(IsPro,IF($D2309="","",IF(AND(V2309&lt;&gt;"",INDEX(Parties!$E$5:$E$304,V2309)&lt;&gt;"",INDEX(Parties!$E$5:$E$304,V2309)&lt;&gt;HomeState),0,ROUND(L2309*M2309/2,2))),"")</f>
        <v/>
      </c>
      <c r="O2309" s="61" t="str">
        <f aca="false">IF(IsPro,IF($D2309="","",N2309),"")</f>
        <v/>
      </c>
      <c r="P2309" s="61" t="str">
        <f aca="false">IF(IsPro,IF($D2309="","",IF(AND(V2309&lt;&gt;"",INDEX(Parties!$E$5:$E$304,V2309)&lt;&gt;"",INDEX(Parties!$E$5:$E$304,V2309)&lt;&gt;HomeState),ROUND(L2309*M2309,2),0)),"")</f>
        <v/>
      </c>
      <c r="Q2309" s="61" t="str">
        <f aca="false">IF(IsPro,IF($D2309="","",L2309+N2309+O2309+P2309),"")</f>
        <v/>
      </c>
      <c r="R2309" s="61" t="str">
        <f aca="false">IF(IsPro,IF($D2309="","",ROUND(N($E2309)*IFERROR(INDEX(Items!$P$5:$P$504,U2309),0),2)),"")</f>
        <v/>
      </c>
      <c r="S2309" s="61" t="str">
        <f aca="false">IF(IsPro,IF($D2309="","",L2309-R2309),"")</f>
        <v/>
      </c>
      <c r="T2309" s="60" t="str">
        <f aca="false">IF(IsPro,IF($D2309="","",IF(U2309="","UNKNOWN ITEM",IF(INDEX(Items!$O$5:$O$504,U2309)&lt;0,"NEG STOCK",IF(K2309&lt;INDEX(Items!$P$5:$P$504,U2309),"BELOW COST","OK")))),IF($D2309="","","PRO PLAN"))</f>
        <v/>
      </c>
      <c r="U2309" s="60" t="str">
        <f aca="false">IF(IsPro,IF($D2309="","",IFERROR(MATCH($D2309,Items!$A$5:$A$504,0),"")),"")</f>
        <v/>
      </c>
      <c r="V2309" s="60" t="str">
        <f aca="false">IF(IsPro,IF($C2309="","",IFERROR(MATCH($C2309,Parties!$A$5:$A$304,0),"")),"")</f>
        <v/>
      </c>
      <c r="W2309" s="60" t="str">
        <f aca="false">IF(IsPro,IF($B2309="","",IFERROR(VALUE(SUBSTITUTE($B2309,InvPrefix,"")),0)),"")</f>
        <v/>
      </c>
      <c r="X2309" s="61" t="str">
        <f aca="false">IF(IsPro,IF($D2309="","",IF(OR($H2309="",$H2309="Credit"),0,Q2309)),"")</f>
        <v/>
      </c>
    </row>
    <row r="2310" customFormat="false" ht="15" hidden="false" customHeight="false" outlineLevel="0" collapsed="false">
      <c r="A2310" s="55"/>
      <c r="B2310" s="56"/>
      <c r="C2310" s="56"/>
      <c r="D2310" s="56"/>
      <c r="E2310" s="57"/>
      <c r="F2310" s="58"/>
      <c r="G2310" s="59"/>
      <c r="H2310" s="56"/>
      <c r="I2310" s="56"/>
      <c r="J2310" s="60" t="str">
        <f aca="false">IF(IsPro,IF($D2310="","",IFERROR(INDEX(Items!$D$5:$D$504,U2310),"")),"")</f>
        <v/>
      </c>
      <c r="K2310" s="61" t="str">
        <f aca="false">IF(IsPro,IF($D2310="","",IF($F2310="",IFERROR(INDEX(Items!$H$5:$H$504,U2310),0),$F2310)),"")</f>
        <v/>
      </c>
      <c r="L2310" s="61" t="str">
        <f aca="false">IF(IsPro,IF($D2310="","",ROUND(N($E2310)*K2310*(1-N($G2310)),2)),"")</f>
        <v/>
      </c>
      <c r="M2310" s="62" t="str">
        <f aca="false">IF(IsPro,IF($D2310="","",IFERROR(INDEX(Items!$F$5:$F$504,U2310),0)),"")</f>
        <v/>
      </c>
      <c r="N2310" s="61" t="str">
        <f aca="false">IF(IsPro,IF($D2310="","",IF(AND(V2310&lt;&gt;"",INDEX(Parties!$E$5:$E$304,V2310)&lt;&gt;"",INDEX(Parties!$E$5:$E$304,V2310)&lt;&gt;HomeState),0,ROUND(L2310*M2310/2,2))),"")</f>
        <v/>
      </c>
      <c r="O2310" s="61" t="str">
        <f aca="false">IF(IsPro,IF($D2310="","",N2310),"")</f>
        <v/>
      </c>
      <c r="P2310" s="61" t="str">
        <f aca="false">IF(IsPro,IF($D2310="","",IF(AND(V2310&lt;&gt;"",INDEX(Parties!$E$5:$E$304,V2310)&lt;&gt;"",INDEX(Parties!$E$5:$E$304,V2310)&lt;&gt;HomeState),ROUND(L2310*M2310,2),0)),"")</f>
        <v/>
      </c>
      <c r="Q2310" s="61" t="str">
        <f aca="false">IF(IsPro,IF($D2310="","",L2310+N2310+O2310+P2310),"")</f>
        <v/>
      </c>
      <c r="R2310" s="61" t="str">
        <f aca="false">IF(IsPro,IF($D2310="","",ROUND(N($E2310)*IFERROR(INDEX(Items!$P$5:$P$504,U2310),0),2)),"")</f>
        <v/>
      </c>
      <c r="S2310" s="61" t="str">
        <f aca="false">IF(IsPro,IF($D2310="","",L2310-R2310),"")</f>
        <v/>
      </c>
      <c r="T2310" s="60" t="str">
        <f aca="false">IF(IsPro,IF($D2310="","",IF(U2310="","UNKNOWN ITEM",IF(INDEX(Items!$O$5:$O$504,U2310)&lt;0,"NEG STOCK",IF(K2310&lt;INDEX(Items!$P$5:$P$504,U2310),"BELOW COST","OK")))),IF($D2310="","","PRO PLAN"))</f>
        <v/>
      </c>
      <c r="U2310" s="60" t="str">
        <f aca="false">IF(IsPro,IF($D2310="","",IFERROR(MATCH($D2310,Items!$A$5:$A$504,0),"")),"")</f>
        <v/>
      </c>
      <c r="V2310" s="60" t="str">
        <f aca="false">IF(IsPro,IF($C2310="","",IFERROR(MATCH($C2310,Parties!$A$5:$A$304,0),"")),"")</f>
        <v/>
      </c>
      <c r="W2310" s="60" t="str">
        <f aca="false">IF(IsPro,IF($B2310="","",IFERROR(VALUE(SUBSTITUTE($B2310,InvPrefix,"")),0)),"")</f>
        <v/>
      </c>
      <c r="X2310" s="61" t="str">
        <f aca="false">IF(IsPro,IF($D2310="","",IF(OR($H2310="",$H2310="Credit"),0,Q2310)),"")</f>
        <v/>
      </c>
    </row>
    <row r="2311" customFormat="false" ht="15" hidden="false" customHeight="false" outlineLevel="0" collapsed="false">
      <c r="A2311" s="55"/>
      <c r="B2311" s="56"/>
      <c r="C2311" s="56"/>
      <c r="D2311" s="56"/>
      <c r="E2311" s="57"/>
      <c r="F2311" s="58"/>
      <c r="G2311" s="59"/>
      <c r="H2311" s="56"/>
      <c r="I2311" s="56"/>
      <c r="J2311" s="60" t="str">
        <f aca="false">IF(IsPro,IF($D2311="","",IFERROR(INDEX(Items!$D$5:$D$504,U2311),"")),"")</f>
        <v/>
      </c>
      <c r="K2311" s="61" t="str">
        <f aca="false">IF(IsPro,IF($D2311="","",IF($F2311="",IFERROR(INDEX(Items!$H$5:$H$504,U2311),0),$F2311)),"")</f>
        <v/>
      </c>
      <c r="L2311" s="61" t="str">
        <f aca="false">IF(IsPro,IF($D2311="","",ROUND(N($E2311)*K2311*(1-N($G2311)),2)),"")</f>
        <v/>
      </c>
      <c r="M2311" s="62" t="str">
        <f aca="false">IF(IsPro,IF($D2311="","",IFERROR(INDEX(Items!$F$5:$F$504,U2311),0)),"")</f>
        <v/>
      </c>
      <c r="N2311" s="61" t="str">
        <f aca="false">IF(IsPro,IF($D2311="","",IF(AND(V2311&lt;&gt;"",INDEX(Parties!$E$5:$E$304,V2311)&lt;&gt;"",INDEX(Parties!$E$5:$E$304,V2311)&lt;&gt;HomeState),0,ROUND(L2311*M2311/2,2))),"")</f>
        <v/>
      </c>
      <c r="O2311" s="61" t="str">
        <f aca="false">IF(IsPro,IF($D2311="","",N2311),"")</f>
        <v/>
      </c>
      <c r="P2311" s="61" t="str">
        <f aca="false">IF(IsPro,IF($D2311="","",IF(AND(V2311&lt;&gt;"",INDEX(Parties!$E$5:$E$304,V2311)&lt;&gt;"",INDEX(Parties!$E$5:$E$304,V2311)&lt;&gt;HomeState),ROUND(L2311*M2311,2),0)),"")</f>
        <v/>
      </c>
      <c r="Q2311" s="61" t="str">
        <f aca="false">IF(IsPro,IF($D2311="","",L2311+N2311+O2311+P2311),"")</f>
        <v/>
      </c>
      <c r="R2311" s="61" t="str">
        <f aca="false">IF(IsPro,IF($D2311="","",ROUND(N($E2311)*IFERROR(INDEX(Items!$P$5:$P$504,U2311),0),2)),"")</f>
        <v/>
      </c>
      <c r="S2311" s="61" t="str">
        <f aca="false">IF(IsPro,IF($D2311="","",L2311-R2311),"")</f>
        <v/>
      </c>
      <c r="T2311" s="60" t="str">
        <f aca="false">IF(IsPro,IF($D2311="","",IF(U2311="","UNKNOWN ITEM",IF(INDEX(Items!$O$5:$O$504,U2311)&lt;0,"NEG STOCK",IF(K2311&lt;INDEX(Items!$P$5:$P$504,U2311),"BELOW COST","OK")))),IF($D2311="","","PRO PLAN"))</f>
        <v/>
      </c>
      <c r="U2311" s="60" t="str">
        <f aca="false">IF(IsPro,IF($D2311="","",IFERROR(MATCH($D2311,Items!$A$5:$A$504,0),"")),"")</f>
        <v/>
      </c>
      <c r="V2311" s="60" t="str">
        <f aca="false">IF(IsPro,IF($C2311="","",IFERROR(MATCH($C2311,Parties!$A$5:$A$304,0),"")),"")</f>
        <v/>
      </c>
      <c r="W2311" s="60" t="str">
        <f aca="false">IF(IsPro,IF($B2311="","",IFERROR(VALUE(SUBSTITUTE($B2311,InvPrefix,"")),0)),"")</f>
        <v/>
      </c>
      <c r="X2311" s="61" t="str">
        <f aca="false">IF(IsPro,IF($D2311="","",IF(OR($H2311="",$H2311="Credit"),0,Q2311)),"")</f>
        <v/>
      </c>
    </row>
    <row r="2312" customFormat="false" ht="15" hidden="false" customHeight="false" outlineLevel="0" collapsed="false">
      <c r="A2312" s="55"/>
      <c r="B2312" s="56"/>
      <c r="C2312" s="56"/>
      <c r="D2312" s="56"/>
      <c r="E2312" s="57"/>
      <c r="F2312" s="58"/>
      <c r="G2312" s="59"/>
      <c r="H2312" s="56"/>
      <c r="I2312" s="56"/>
      <c r="J2312" s="60" t="str">
        <f aca="false">IF(IsPro,IF($D2312="","",IFERROR(INDEX(Items!$D$5:$D$504,U2312),"")),"")</f>
        <v/>
      </c>
      <c r="K2312" s="61" t="str">
        <f aca="false">IF(IsPro,IF($D2312="","",IF($F2312="",IFERROR(INDEX(Items!$H$5:$H$504,U2312),0),$F2312)),"")</f>
        <v/>
      </c>
      <c r="L2312" s="61" t="str">
        <f aca="false">IF(IsPro,IF($D2312="","",ROUND(N($E2312)*K2312*(1-N($G2312)),2)),"")</f>
        <v/>
      </c>
      <c r="M2312" s="62" t="str">
        <f aca="false">IF(IsPro,IF($D2312="","",IFERROR(INDEX(Items!$F$5:$F$504,U2312),0)),"")</f>
        <v/>
      </c>
      <c r="N2312" s="61" t="str">
        <f aca="false">IF(IsPro,IF($D2312="","",IF(AND(V2312&lt;&gt;"",INDEX(Parties!$E$5:$E$304,V2312)&lt;&gt;"",INDEX(Parties!$E$5:$E$304,V2312)&lt;&gt;HomeState),0,ROUND(L2312*M2312/2,2))),"")</f>
        <v/>
      </c>
      <c r="O2312" s="61" t="str">
        <f aca="false">IF(IsPro,IF($D2312="","",N2312),"")</f>
        <v/>
      </c>
      <c r="P2312" s="61" t="str">
        <f aca="false">IF(IsPro,IF($D2312="","",IF(AND(V2312&lt;&gt;"",INDEX(Parties!$E$5:$E$304,V2312)&lt;&gt;"",INDEX(Parties!$E$5:$E$304,V2312)&lt;&gt;HomeState),ROUND(L2312*M2312,2),0)),"")</f>
        <v/>
      </c>
      <c r="Q2312" s="61" t="str">
        <f aca="false">IF(IsPro,IF($D2312="","",L2312+N2312+O2312+P2312),"")</f>
        <v/>
      </c>
      <c r="R2312" s="61" t="str">
        <f aca="false">IF(IsPro,IF($D2312="","",ROUND(N($E2312)*IFERROR(INDEX(Items!$P$5:$P$504,U2312),0),2)),"")</f>
        <v/>
      </c>
      <c r="S2312" s="61" t="str">
        <f aca="false">IF(IsPro,IF($D2312="","",L2312-R2312),"")</f>
        <v/>
      </c>
      <c r="T2312" s="60" t="str">
        <f aca="false">IF(IsPro,IF($D2312="","",IF(U2312="","UNKNOWN ITEM",IF(INDEX(Items!$O$5:$O$504,U2312)&lt;0,"NEG STOCK",IF(K2312&lt;INDEX(Items!$P$5:$P$504,U2312),"BELOW COST","OK")))),IF($D2312="","","PRO PLAN"))</f>
        <v/>
      </c>
      <c r="U2312" s="60" t="str">
        <f aca="false">IF(IsPro,IF($D2312="","",IFERROR(MATCH($D2312,Items!$A$5:$A$504,0),"")),"")</f>
        <v/>
      </c>
      <c r="V2312" s="60" t="str">
        <f aca="false">IF(IsPro,IF($C2312="","",IFERROR(MATCH($C2312,Parties!$A$5:$A$304,0),"")),"")</f>
        <v/>
      </c>
      <c r="W2312" s="60" t="str">
        <f aca="false">IF(IsPro,IF($B2312="","",IFERROR(VALUE(SUBSTITUTE($B2312,InvPrefix,"")),0)),"")</f>
        <v/>
      </c>
      <c r="X2312" s="61" t="str">
        <f aca="false">IF(IsPro,IF($D2312="","",IF(OR($H2312="",$H2312="Credit"),0,Q2312)),"")</f>
        <v/>
      </c>
    </row>
    <row r="2313" customFormat="false" ht="15" hidden="false" customHeight="false" outlineLevel="0" collapsed="false">
      <c r="A2313" s="55"/>
      <c r="B2313" s="56"/>
      <c r="C2313" s="56"/>
      <c r="D2313" s="56"/>
      <c r="E2313" s="57"/>
      <c r="F2313" s="58"/>
      <c r="G2313" s="59"/>
      <c r="H2313" s="56"/>
      <c r="I2313" s="56"/>
      <c r="J2313" s="60" t="str">
        <f aca="false">IF(IsPro,IF($D2313="","",IFERROR(INDEX(Items!$D$5:$D$504,U2313),"")),"")</f>
        <v/>
      </c>
      <c r="K2313" s="61" t="str">
        <f aca="false">IF(IsPro,IF($D2313="","",IF($F2313="",IFERROR(INDEX(Items!$H$5:$H$504,U2313),0),$F2313)),"")</f>
        <v/>
      </c>
      <c r="L2313" s="61" t="str">
        <f aca="false">IF(IsPro,IF($D2313="","",ROUND(N($E2313)*K2313*(1-N($G2313)),2)),"")</f>
        <v/>
      </c>
      <c r="M2313" s="62" t="str">
        <f aca="false">IF(IsPro,IF($D2313="","",IFERROR(INDEX(Items!$F$5:$F$504,U2313),0)),"")</f>
        <v/>
      </c>
      <c r="N2313" s="61" t="str">
        <f aca="false">IF(IsPro,IF($D2313="","",IF(AND(V2313&lt;&gt;"",INDEX(Parties!$E$5:$E$304,V2313)&lt;&gt;"",INDEX(Parties!$E$5:$E$304,V2313)&lt;&gt;HomeState),0,ROUND(L2313*M2313/2,2))),"")</f>
        <v/>
      </c>
      <c r="O2313" s="61" t="str">
        <f aca="false">IF(IsPro,IF($D2313="","",N2313),"")</f>
        <v/>
      </c>
      <c r="P2313" s="61" t="str">
        <f aca="false">IF(IsPro,IF($D2313="","",IF(AND(V2313&lt;&gt;"",INDEX(Parties!$E$5:$E$304,V2313)&lt;&gt;"",INDEX(Parties!$E$5:$E$304,V2313)&lt;&gt;HomeState),ROUND(L2313*M2313,2),0)),"")</f>
        <v/>
      </c>
      <c r="Q2313" s="61" t="str">
        <f aca="false">IF(IsPro,IF($D2313="","",L2313+N2313+O2313+P2313),"")</f>
        <v/>
      </c>
      <c r="R2313" s="61" t="str">
        <f aca="false">IF(IsPro,IF($D2313="","",ROUND(N($E2313)*IFERROR(INDEX(Items!$P$5:$P$504,U2313),0),2)),"")</f>
        <v/>
      </c>
      <c r="S2313" s="61" t="str">
        <f aca="false">IF(IsPro,IF($D2313="","",L2313-R2313),"")</f>
        <v/>
      </c>
      <c r="T2313" s="60" t="str">
        <f aca="false">IF(IsPro,IF($D2313="","",IF(U2313="","UNKNOWN ITEM",IF(INDEX(Items!$O$5:$O$504,U2313)&lt;0,"NEG STOCK",IF(K2313&lt;INDEX(Items!$P$5:$P$504,U2313),"BELOW COST","OK")))),IF($D2313="","","PRO PLAN"))</f>
        <v/>
      </c>
      <c r="U2313" s="60" t="str">
        <f aca="false">IF(IsPro,IF($D2313="","",IFERROR(MATCH($D2313,Items!$A$5:$A$504,0),"")),"")</f>
        <v/>
      </c>
      <c r="V2313" s="60" t="str">
        <f aca="false">IF(IsPro,IF($C2313="","",IFERROR(MATCH($C2313,Parties!$A$5:$A$304,0),"")),"")</f>
        <v/>
      </c>
      <c r="W2313" s="60" t="str">
        <f aca="false">IF(IsPro,IF($B2313="","",IFERROR(VALUE(SUBSTITUTE($B2313,InvPrefix,"")),0)),"")</f>
        <v/>
      </c>
      <c r="X2313" s="61" t="str">
        <f aca="false">IF(IsPro,IF($D2313="","",IF(OR($H2313="",$H2313="Credit"),0,Q2313)),"")</f>
        <v/>
      </c>
    </row>
    <row r="2314" customFormat="false" ht="15" hidden="false" customHeight="false" outlineLevel="0" collapsed="false">
      <c r="A2314" s="55"/>
      <c r="B2314" s="56"/>
      <c r="C2314" s="56"/>
      <c r="D2314" s="56"/>
      <c r="E2314" s="57"/>
      <c r="F2314" s="58"/>
      <c r="G2314" s="59"/>
      <c r="H2314" s="56"/>
      <c r="I2314" s="56"/>
      <c r="J2314" s="60" t="str">
        <f aca="false">IF(IsPro,IF($D2314="","",IFERROR(INDEX(Items!$D$5:$D$504,U2314),"")),"")</f>
        <v/>
      </c>
      <c r="K2314" s="61" t="str">
        <f aca="false">IF(IsPro,IF($D2314="","",IF($F2314="",IFERROR(INDEX(Items!$H$5:$H$504,U2314),0),$F2314)),"")</f>
        <v/>
      </c>
      <c r="L2314" s="61" t="str">
        <f aca="false">IF(IsPro,IF($D2314="","",ROUND(N($E2314)*K2314*(1-N($G2314)),2)),"")</f>
        <v/>
      </c>
      <c r="M2314" s="62" t="str">
        <f aca="false">IF(IsPro,IF($D2314="","",IFERROR(INDEX(Items!$F$5:$F$504,U2314),0)),"")</f>
        <v/>
      </c>
      <c r="N2314" s="61" t="str">
        <f aca="false">IF(IsPro,IF($D2314="","",IF(AND(V2314&lt;&gt;"",INDEX(Parties!$E$5:$E$304,V2314)&lt;&gt;"",INDEX(Parties!$E$5:$E$304,V2314)&lt;&gt;HomeState),0,ROUND(L2314*M2314/2,2))),"")</f>
        <v/>
      </c>
      <c r="O2314" s="61" t="str">
        <f aca="false">IF(IsPro,IF($D2314="","",N2314),"")</f>
        <v/>
      </c>
      <c r="P2314" s="61" t="str">
        <f aca="false">IF(IsPro,IF($D2314="","",IF(AND(V2314&lt;&gt;"",INDEX(Parties!$E$5:$E$304,V2314)&lt;&gt;"",INDEX(Parties!$E$5:$E$304,V2314)&lt;&gt;HomeState),ROUND(L2314*M2314,2),0)),"")</f>
        <v/>
      </c>
      <c r="Q2314" s="61" t="str">
        <f aca="false">IF(IsPro,IF($D2314="","",L2314+N2314+O2314+P2314),"")</f>
        <v/>
      </c>
      <c r="R2314" s="61" t="str">
        <f aca="false">IF(IsPro,IF($D2314="","",ROUND(N($E2314)*IFERROR(INDEX(Items!$P$5:$P$504,U2314),0),2)),"")</f>
        <v/>
      </c>
      <c r="S2314" s="61" t="str">
        <f aca="false">IF(IsPro,IF($D2314="","",L2314-R2314),"")</f>
        <v/>
      </c>
      <c r="T2314" s="60" t="str">
        <f aca="false">IF(IsPro,IF($D2314="","",IF(U2314="","UNKNOWN ITEM",IF(INDEX(Items!$O$5:$O$504,U2314)&lt;0,"NEG STOCK",IF(K2314&lt;INDEX(Items!$P$5:$P$504,U2314),"BELOW COST","OK")))),IF($D2314="","","PRO PLAN"))</f>
        <v/>
      </c>
      <c r="U2314" s="60" t="str">
        <f aca="false">IF(IsPro,IF($D2314="","",IFERROR(MATCH($D2314,Items!$A$5:$A$504,0),"")),"")</f>
        <v/>
      </c>
      <c r="V2314" s="60" t="str">
        <f aca="false">IF(IsPro,IF($C2314="","",IFERROR(MATCH($C2314,Parties!$A$5:$A$304,0),"")),"")</f>
        <v/>
      </c>
      <c r="W2314" s="60" t="str">
        <f aca="false">IF(IsPro,IF($B2314="","",IFERROR(VALUE(SUBSTITUTE($B2314,InvPrefix,"")),0)),"")</f>
        <v/>
      </c>
      <c r="X2314" s="61" t="str">
        <f aca="false">IF(IsPro,IF($D2314="","",IF(OR($H2314="",$H2314="Credit"),0,Q2314)),"")</f>
        <v/>
      </c>
    </row>
    <row r="2315" customFormat="false" ht="15" hidden="false" customHeight="false" outlineLevel="0" collapsed="false">
      <c r="A2315" s="55"/>
      <c r="B2315" s="56"/>
      <c r="C2315" s="56"/>
      <c r="D2315" s="56"/>
      <c r="E2315" s="57"/>
      <c r="F2315" s="58"/>
      <c r="G2315" s="59"/>
      <c r="H2315" s="56"/>
      <c r="I2315" s="56"/>
      <c r="J2315" s="60" t="str">
        <f aca="false">IF(IsPro,IF($D2315="","",IFERROR(INDEX(Items!$D$5:$D$504,U2315),"")),"")</f>
        <v/>
      </c>
      <c r="K2315" s="61" t="str">
        <f aca="false">IF(IsPro,IF($D2315="","",IF($F2315="",IFERROR(INDEX(Items!$H$5:$H$504,U2315),0),$F2315)),"")</f>
        <v/>
      </c>
      <c r="L2315" s="61" t="str">
        <f aca="false">IF(IsPro,IF($D2315="","",ROUND(N($E2315)*K2315*(1-N($G2315)),2)),"")</f>
        <v/>
      </c>
      <c r="M2315" s="62" t="str">
        <f aca="false">IF(IsPro,IF($D2315="","",IFERROR(INDEX(Items!$F$5:$F$504,U2315),0)),"")</f>
        <v/>
      </c>
      <c r="N2315" s="61" t="str">
        <f aca="false">IF(IsPro,IF($D2315="","",IF(AND(V2315&lt;&gt;"",INDEX(Parties!$E$5:$E$304,V2315)&lt;&gt;"",INDEX(Parties!$E$5:$E$304,V2315)&lt;&gt;HomeState),0,ROUND(L2315*M2315/2,2))),"")</f>
        <v/>
      </c>
      <c r="O2315" s="61" t="str">
        <f aca="false">IF(IsPro,IF($D2315="","",N2315),"")</f>
        <v/>
      </c>
      <c r="P2315" s="61" t="str">
        <f aca="false">IF(IsPro,IF($D2315="","",IF(AND(V2315&lt;&gt;"",INDEX(Parties!$E$5:$E$304,V2315)&lt;&gt;"",INDEX(Parties!$E$5:$E$304,V2315)&lt;&gt;HomeState),ROUND(L2315*M2315,2),0)),"")</f>
        <v/>
      </c>
      <c r="Q2315" s="61" t="str">
        <f aca="false">IF(IsPro,IF($D2315="","",L2315+N2315+O2315+P2315),"")</f>
        <v/>
      </c>
      <c r="R2315" s="61" t="str">
        <f aca="false">IF(IsPro,IF($D2315="","",ROUND(N($E2315)*IFERROR(INDEX(Items!$P$5:$P$504,U2315),0),2)),"")</f>
        <v/>
      </c>
      <c r="S2315" s="61" t="str">
        <f aca="false">IF(IsPro,IF($D2315="","",L2315-R2315),"")</f>
        <v/>
      </c>
      <c r="T2315" s="60" t="str">
        <f aca="false">IF(IsPro,IF($D2315="","",IF(U2315="","UNKNOWN ITEM",IF(INDEX(Items!$O$5:$O$504,U2315)&lt;0,"NEG STOCK",IF(K2315&lt;INDEX(Items!$P$5:$P$504,U2315),"BELOW COST","OK")))),IF($D2315="","","PRO PLAN"))</f>
        <v/>
      </c>
      <c r="U2315" s="60" t="str">
        <f aca="false">IF(IsPro,IF($D2315="","",IFERROR(MATCH($D2315,Items!$A$5:$A$504,0),"")),"")</f>
        <v/>
      </c>
      <c r="V2315" s="60" t="str">
        <f aca="false">IF(IsPro,IF($C2315="","",IFERROR(MATCH($C2315,Parties!$A$5:$A$304,0),"")),"")</f>
        <v/>
      </c>
      <c r="W2315" s="60" t="str">
        <f aca="false">IF(IsPro,IF($B2315="","",IFERROR(VALUE(SUBSTITUTE($B2315,InvPrefix,"")),0)),"")</f>
        <v/>
      </c>
      <c r="X2315" s="61" t="str">
        <f aca="false">IF(IsPro,IF($D2315="","",IF(OR($H2315="",$H2315="Credit"),0,Q2315)),"")</f>
        <v/>
      </c>
    </row>
    <row r="2316" customFormat="false" ht="15" hidden="false" customHeight="false" outlineLevel="0" collapsed="false">
      <c r="A2316" s="55"/>
      <c r="B2316" s="56"/>
      <c r="C2316" s="56"/>
      <c r="D2316" s="56"/>
      <c r="E2316" s="57"/>
      <c r="F2316" s="58"/>
      <c r="G2316" s="59"/>
      <c r="H2316" s="56"/>
      <c r="I2316" s="56"/>
      <c r="J2316" s="60" t="str">
        <f aca="false">IF(IsPro,IF($D2316="","",IFERROR(INDEX(Items!$D$5:$D$504,U2316),"")),"")</f>
        <v/>
      </c>
      <c r="K2316" s="61" t="str">
        <f aca="false">IF(IsPro,IF($D2316="","",IF($F2316="",IFERROR(INDEX(Items!$H$5:$H$504,U2316),0),$F2316)),"")</f>
        <v/>
      </c>
      <c r="L2316" s="61" t="str">
        <f aca="false">IF(IsPro,IF($D2316="","",ROUND(N($E2316)*K2316*(1-N($G2316)),2)),"")</f>
        <v/>
      </c>
      <c r="M2316" s="62" t="str">
        <f aca="false">IF(IsPro,IF($D2316="","",IFERROR(INDEX(Items!$F$5:$F$504,U2316),0)),"")</f>
        <v/>
      </c>
      <c r="N2316" s="61" t="str">
        <f aca="false">IF(IsPro,IF($D2316="","",IF(AND(V2316&lt;&gt;"",INDEX(Parties!$E$5:$E$304,V2316)&lt;&gt;"",INDEX(Parties!$E$5:$E$304,V2316)&lt;&gt;HomeState),0,ROUND(L2316*M2316/2,2))),"")</f>
        <v/>
      </c>
      <c r="O2316" s="61" t="str">
        <f aca="false">IF(IsPro,IF($D2316="","",N2316),"")</f>
        <v/>
      </c>
      <c r="P2316" s="61" t="str">
        <f aca="false">IF(IsPro,IF($D2316="","",IF(AND(V2316&lt;&gt;"",INDEX(Parties!$E$5:$E$304,V2316)&lt;&gt;"",INDEX(Parties!$E$5:$E$304,V2316)&lt;&gt;HomeState),ROUND(L2316*M2316,2),0)),"")</f>
        <v/>
      </c>
      <c r="Q2316" s="61" t="str">
        <f aca="false">IF(IsPro,IF($D2316="","",L2316+N2316+O2316+P2316),"")</f>
        <v/>
      </c>
      <c r="R2316" s="61" t="str">
        <f aca="false">IF(IsPro,IF($D2316="","",ROUND(N($E2316)*IFERROR(INDEX(Items!$P$5:$P$504,U2316),0),2)),"")</f>
        <v/>
      </c>
      <c r="S2316" s="61" t="str">
        <f aca="false">IF(IsPro,IF($D2316="","",L2316-R2316),"")</f>
        <v/>
      </c>
      <c r="T2316" s="60" t="str">
        <f aca="false">IF(IsPro,IF($D2316="","",IF(U2316="","UNKNOWN ITEM",IF(INDEX(Items!$O$5:$O$504,U2316)&lt;0,"NEG STOCK",IF(K2316&lt;INDEX(Items!$P$5:$P$504,U2316),"BELOW COST","OK")))),IF($D2316="","","PRO PLAN"))</f>
        <v/>
      </c>
      <c r="U2316" s="60" t="str">
        <f aca="false">IF(IsPro,IF($D2316="","",IFERROR(MATCH($D2316,Items!$A$5:$A$504,0),"")),"")</f>
        <v/>
      </c>
      <c r="V2316" s="60" t="str">
        <f aca="false">IF(IsPro,IF($C2316="","",IFERROR(MATCH($C2316,Parties!$A$5:$A$304,0),"")),"")</f>
        <v/>
      </c>
      <c r="W2316" s="60" t="str">
        <f aca="false">IF(IsPro,IF($B2316="","",IFERROR(VALUE(SUBSTITUTE($B2316,InvPrefix,"")),0)),"")</f>
        <v/>
      </c>
      <c r="X2316" s="61" t="str">
        <f aca="false">IF(IsPro,IF($D2316="","",IF(OR($H2316="",$H2316="Credit"),0,Q2316)),"")</f>
        <v/>
      </c>
    </row>
    <row r="2317" customFormat="false" ht="15" hidden="false" customHeight="false" outlineLevel="0" collapsed="false">
      <c r="A2317" s="55"/>
      <c r="B2317" s="56"/>
      <c r="C2317" s="56"/>
      <c r="D2317" s="56"/>
      <c r="E2317" s="57"/>
      <c r="F2317" s="58"/>
      <c r="G2317" s="59"/>
      <c r="H2317" s="56"/>
      <c r="I2317" s="56"/>
      <c r="J2317" s="60" t="str">
        <f aca="false">IF(IsPro,IF($D2317="","",IFERROR(INDEX(Items!$D$5:$D$504,U2317),"")),"")</f>
        <v/>
      </c>
      <c r="K2317" s="61" t="str">
        <f aca="false">IF(IsPro,IF($D2317="","",IF($F2317="",IFERROR(INDEX(Items!$H$5:$H$504,U2317),0),$F2317)),"")</f>
        <v/>
      </c>
      <c r="L2317" s="61" t="str">
        <f aca="false">IF(IsPro,IF($D2317="","",ROUND(N($E2317)*K2317*(1-N($G2317)),2)),"")</f>
        <v/>
      </c>
      <c r="M2317" s="62" t="str">
        <f aca="false">IF(IsPro,IF($D2317="","",IFERROR(INDEX(Items!$F$5:$F$504,U2317),0)),"")</f>
        <v/>
      </c>
      <c r="N2317" s="61" t="str">
        <f aca="false">IF(IsPro,IF($D2317="","",IF(AND(V2317&lt;&gt;"",INDEX(Parties!$E$5:$E$304,V2317)&lt;&gt;"",INDEX(Parties!$E$5:$E$304,V2317)&lt;&gt;HomeState),0,ROUND(L2317*M2317/2,2))),"")</f>
        <v/>
      </c>
      <c r="O2317" s="61" t="str">
        <f aca="false">IF(IsPro,IF($D2317="","",N2317),"")</f>
        <v/>
      </c>
      <c r="P2317" s="61" t="str">
        <f aca="false">IF(IsPro,IF($D2317="","",IF(AND(V2317&lt;&gt;"",INDEX(Parties!$E$5:$E$304,V2317)&lt;&gt;"",INDEX(Parties!$E$5:$E$304,V2317)&lt;&gt;HomeState),ROUND(L2317*M2317,2),0)),"")</f>
        <v/>
      </c>
      <c r="Q2317" s="61" t="str">
        <f aca="false">IF(IsPro,IF($D2317="","",L2317+N2317+O2317+P2317),"")</f>
        <v/>
      </c>
      <c r="R2317" s="61" t="str">
        <f aca="false">IF(IsPro,IF($D2317="","",ROUND(N($E2317)*IFERROR(INDEX(Items!$P$5:$P$504,U2317),0),2)),"")</f>
        <v/>
      </c>
      <c r="S2317" s="61" t="str">
        <f aca="false">IF(IsPro,IF($D2317="","",L2317-R2317),"")</f>
        <v/>
      </c>
      <c r="T2317" s="60" t="str">
        <f aca="false">IF(IsPro,IF($D2317="","",IF(U2317="","UNKNOWN ITEM",IF(INDEX(Items!$O$5:$O$504,U2317)&lt;0,"NEG STOCK",IF(K2317&lt;INDEX(Items!$P$5:$P$504,U2317),"BELOW COST","OK")))),IF($D2317="","","PRO PLAN"))</f>
        <v/>
      </c>
      <c r="U2317" s="60" t="str">
        <f aca="false">IF(IsPro,IF($D2317="","",IFERROR(MATCH($D2317,Items!$A$5:$A$504,0),"")),"")</f>
        <v/>
      </c>
      <c r="V2317" s="60" t="str">
        <f aca="false">IF(IsPro,IF($C2317="","",IFERROR(MATCH($C2317,Parties!$A$5:$A$304,0),"")),"")</f>
        <v/>
      </c>
      <c r="W2317" s="60" t="str">
        <f aca="false">IF(IsPro,IF($B2317="","",IFERROR(VALUE(SUBSTITUTE($B2317,InvPrefix,"")),0)),"")</f>
        <v/>
      </c>
      <c r="X2317" s="61" t="str">
        <f aca="false">IF(IsPro,IF($D2317="","",IF(OR($H2317="",$H2317="Credit"),0,Q2317)),"")</f>
        <v/>
      </c>
    </row>
    <row r="2318" customFormat="false" ht="15" hidden="false" customHeight="false" outlineLevel="0" collapsed="false">
      <c r="A2318" s="55"/>
      <c r="B2318" s="56"/>
      <c r="C2318" s="56"/>
      <c r="D2318" s="56"/>
      <c r="E2318" s="57"/>
      <c r="F2318" s="58"/>
      <c r="G2318" s="59"/>
      <c r="H2318" s="56"/>
      <c r="I2318" s="56"/>
      <c r="J2318" s="60" t="str">
        <f aca="false">IF(IsPro,IF($D2318="","",IFERROR(INDEX(Items!$D$5:$D$504,U2318),"")),"")</f>
        <v/>
      </c>
      <c r="K2318" s="61" t="str">
        <f aca="false">IF(IsPro,IF($D2318="","",IF($F2318="",IFERROR(INDEX(Items!$H$5:$H$504,U2318),0),$F2318)),"")</f>
        <v/>
      </c>
      <c r="L2318" s="61" t="str">
        <f aca="false">IF(IsPro,IF($D2318="","",ROUND(N($E2318)*K2318*(1-N($G2318)),2)),"")</f>
        <v/>
      </c>
      <c r="M2318" s="62" t="str">
        <f aca="false">IF(IsPro,IF($D2318="","",IFERROR(INDEX(Items!$F$5:$F$504,U2318),0)),"")</f>
        <v/>
      </c>
      <c r="N2318" s="61" t="str">
        <f aca="false">IF(IsPro,IF($D2318="","",IF(AND(V2318&lt;&gt;"",INDEX(Parties!$E$5:$E$304,V2318)&lt;&gt;"",INDEX(Parties!$E$5:$E$304,V2318)&lt;&gt;HomeState),0,ROUND(L2318*M2318/2,2))),"")</f>
        <v/>
      </c>
      <c r="O2318" s="61" t="str">
        <f aca="false">IF(IsPro,IF($D2318="","",N2318),"")</f>
        <v/>
      </c>
      <c r="P2318" s="61" t="str">
        <f aca="false">IF(IsPro,IF($D2318="","",IF(AND(V2318&lt;&gt;"",INDEX(Parties!$E$5:$E$304,V2318)&lt;&gt;"",INDEX(Parties!$E$5:$E$304,V2318)&lt;&gt;HomeState),ROUND(L2318*M2318,2),0)),"")</f>
        <v/>
      </c>
      <c r="Q2318" s="61" t="str">
        <f aca="false">IF(IsPro,IF($D2318="","",L2318+N2318+O2318+P2318),"")</f>
        <v/>
      </c>
      <c r="R2318" s="61" t="str">
        <f aca="false">IF(IsPro,IF($D2318="","",ROUND(N($E2318)*IFERROR(INDEX(Items!$P$5:$P$504,U2318),0),2)),"")</f>
        <v/>
      </c>
      <c r="S2318" s="61" t="str">
        <f aca="false">IF(IsPro,IF($D2318="","",L2318-R2318),"")</f>
        <v/>
      </c>
      <c r="T2318" s="60" t="str">
        <f aca="false">IF(IsPro,IF($D2318="","",IF(U2318="","UNKNOWN ITEM",IF(INDEX(Items!$O$5:$O$504,U2318)&lt;0,"NEG STOCK",IF(K2318&lt;INDEX(Items!$P$5:$P$504,U2318),"BELOW COST","OK")))),IF($D2318="","","PRO PLAN"))</f>
        <v/>
      </c>
      <c r="U2318" s="60" t="str">
        <f aca="false">IF(IsPro,IF($D2318="","",IFERROR(MATCH($D2318,Items!$A$5:$A$504,0),"")),"")</f>
        <v/>
      </c>
      <c r="V2318" s="60" t="str">
        <f aca="false">IF(IsPro,IF($C2318="","",IFERROR(MATCH($C2318,Parties!$A$5:$A$304,0),"")),"")</f>
        <v/>
      </c>
      <c r="W2318" s="60" t="str">
        <f aca="false">IF(IsPro,IF($B2318="","",IFERROR(VALUE(SUBSTITUTE($B2318,InvPrefix,"")),0)),"")</f>
        <v/>
      </c>
      <c r="X2318" s="61" t="str">
        <f aca="false">IF(IsPro,IF($D2318="","",IF(OR($H2318="",$H2318="Credit"),0,Q2318)),"")</f>
        <v/>
      </c>
    </row>
    <row r="2319" customFormat="false" ht="15" hidden="false" customHeight="false" outlineLevel="0" collapsed="false">
      <c r="A2319" s="55"/>
      <c r="B2319" s="56"/>
      <c r="C2319" s="56"/>
      <c r="D2319" s="56"/>
      <c r="E2319" s="57"/>
      <c r="F2319" s="58"/>
      <c r="G2319" s="59"/>
      <c r="H2319" s="56"/>
      <c r="I2319" s="56"/>
      <c r="J2319" s="60" t="str">
        <f aca="false">IF(IsPro,IF($D2319="","",IFERROR(INDEX(Items!$D$5:$D$504,U2319),"")),"")</f>
        <v/>
      </c>
      <c r="K2319" s="61" t="str">
        <f aca="false">IF(IsPro,IF($D2319="","",IF($F2319="",IFERROR(INDEX(Items!$H$5:$H$504,U2319),0),$F2319)),"")</f>
        <v/>
      </c>
      <c r="L2319" s="61" t="str">
        <f aca="false">IF(IsPro,IF($D2319="","",ROUND(N($E2319)*K2319*(1-N($G2319)),2)),"")</f>
        <v/>
      </c>
      <c r="M2319" s="62" t="str">
        <f aca="false">IF(IsPro,IF($D2319="","",IFERROR(INDEX(Items!$F$5:$F$504,U2319),0)),"")</f>
        <v/>
      </c>
      <c r="N2319" s="61" t="str">
        <f aca="false">IF(IsPro,IF($D2319="","",IF(AND(V2319&lt;&gt;"",INDEX(Parties!$E$5:$E$304,V2319)&lt;&gt;"",INDEX(Parties!$E$5:$E$304,V2319)&lt;&gt;HomeState),0,ROUND(L2319*M2319/2,2))),"")</f>
        <v/>
      </c>
      <c r="O2319" s="61" t="str">
        <f aca="false">IF(IsPro,IF($D2319="","",N2319),"")</f>
        <v/>
      </c>
      <c r="P2319" s="61" t="str">
        <f aca="false">IF(IsPro,IF($D2319="","",IF(AND(V2319&lt;&gt;"",INDEX(Parties!$E$5:$E$304,V2319)&lt;&gt;"",INDEX(Parties!$E$5:$E$304,V2319)&lt;&gt;HomeState),ROUND(L2319*M2319,2),0)),"")</f>
        <v/>
      </c>
      <c r="Q2319" s="61" t="str">
        <f aca="false">IF(IsPro,IF($D2319="","",L2319+N2319+O2319+P2319),"")</f>
        <v/>
      </c>
      <c r="R2319" s="61" t="str">
        <f aca="false">IF(IsPro,IF($D2319="","",ROUND(N($E2319)*IFERROR(INDEX(Items!$P$5:$P$504,U2319),0),2)),"")</f>
        <v/>
      </c>
      <c r="S2319" s="61" t="str">
        <f aca="false">IF(IsPro,IF($D2319="","",L2319-R2319),"")</f>
        <v/>
      </c>
      <c r="T2319" s="60" t="str">
        <f aca="false">IF(IsPro,IF($D2319="","",IF(U2319="","UNKNOWN ITEM",IF(INDEX(Items!$O$5:$O$504,U2319)&lt;0,"NEG STOCK",IF(K2319&lt;INDEX(Items!$P$5:$P$504,U2319),"BELOW COST","OK")))),IF($D2319="","","PRO PLAN"))</f>
        <v/>
      </c>
      <c r="U2319" s="60" t="str">
        <f aca="false">IF(IsPro,IF($D2319="","",IFERROR(MATCH($D2319,Items!$A$5:$A$504,0),"")),"")</f>
        <v/>
      </c>
      <c r="V2319" s="60" t="str">
        <f aca="false">IF(IsPro,IF($C2319="","",IFERROR(MATCH($C2319,Parties!$A$5:$A$304,0),"")),"")</f>
        <v/>
      </c>
      <c r="W2319" s="60" t="str">
        <f aca="false">IF(IsPro,IF($B2319="","",IFERROR(VALUE(SUBSTITUTE($B2319,InvPrefix,"")),0)),"")</f>
        <v/>
      </c>
      <c r="X2319" s="61" t="str">
        <f aca="false">IF(IsPro,IF($D2319="","",IF(OR($H2319="",$H2319="Credit"),0,Q2319)),"")</f>
        <v/>
      </c>
    </row>
    <row r="2320" customFormat="false" ht="15" hidden="false" customHeight="false" outlineLevel="0" collapsed="false">
      <c r="A2320" s="55"/>
      <c r="B2320" s="56"/>
      <c r="C2320" s="56"/>
      <c r="D2320" s="56"/>
      <c r="E2320" s="57"/>
      <c r="F2320" s="58"/>
      <c r="G2320" s="59"/>
      <c r="H2320" s="56"/>
      <c r="I2320" s="56"/>
      <c r="J2320" s="60" t="str">
        <f aca="false">IF(IsPro,IF($D2320="","",IFERROR(INDEX(Items!$D$5:$D$504,U2320),"")),"")</f>
        <v/>
      </c>
      <c r="K2320" s="61" t="str">
        <f aca="false">IF(IsPro,IF($D2320="","",IF($F2320="",IFERROR(INDEX(Items!$H$5:$H$504,U2320),0),$F2320)),"")</f>
        <v/>
      </c>
      <c r="L2320" s="61" t="str">
        <f aca="false">IF(IsPro,IF($D2320="","",ROUND(N($E2320)*K2320*(1-N($G2320)),2)),"")</f>
        <v/>
      </c>
      <c r="M2320" s="62" t="str">
        <f aca="false">IF(IsPro,IF($D2320="","",IFERROR(INDEX(Items!$F$5:$F$504,U2320),0)),"")</f>
        <v/>
      </c>
      <c r="N2320" s="61" t="str">
        <f aca="false">IF(IsPro,IF($D2320="","",IF(AND(V2320&lt;&gt;"",INDEX(Parties!$E$5:$E$304,V2320)&lt;&gt;"",INDEX(Parties!$E$5:$E$304,V2320)&lt;&gt;HomeState),0,ROUND(L2320*M2320/2,2))),"")</f>
        <v/>
      </c>
      <c r="O2320" s="61" t="str">
        <f aca="false">IF(IsPro,IF($D2320="","",N2320),"")</f>
        <v/>
      </c>
      <c r="P2320" s="61" t="str">
        <f aca="false">IF(IsPro,IF($D2320="","",IF(AND(V2320&lt;&gt;"",INDEX(Parties!$E$5:$E$304,V2320)&lt;&gt;"",INDEX(Parties!$E$5:$E$304,V2320)&lt;&gt;HomeState),ROUND(L2320*M2320,2),0)),"")</f>
        <v/>
      </c>
      <c r="Q2320" s="61" t="str">
        <f aca="false">IF(IsPro,IF($D2320="","",L2320+N2320+O2320+P2320),"")</f>
        <v/>
      </c>
      <c r="R2320" s="61" t="str">
        <f aca="false">IF(IsPro,IF($D2320="","",ROUND(N($E2320)*IFERROR(INDEX(Items!$P$5:$P$504,U2320),0),2)),"")</f>
        <v/>
      </c>
      <c r="S2320" s="61" t="str">
        <f aca="false">IF(IsPro,IF($D2320="","",L2320-R2320),"")</f>
        <v/>
      </c>
      <c r="T2320" s="60" t="str">
        <f aca="false">IF(IsPro,IF($D2320="","",IF(U2320="","UNKNOWN ITEM",IF(INDEX(Items!$O$5:$O$504,U2320)&lt;0,"NEG STOCK",IF(K2320&lt;INDEX(Items!$P$5:$P$504,U2320),"BELOW COST","OK")))),IF($D2320="","","PRO PLAN"))</f>
        <v/>
      </c>
      <c r="U2320" s="60" t="str">
        <f aca="false">IF(IsPro,IF($D2320="","",IFERROR(MATCH($D2320,Items!$A$5:$A$504,0),"")),"")</f>
        <v/>
      </c>
      <c r="V2320" s="60" t="str">
        <f aca="false">IF(IsPro,IF($C2320="","",IFERROR(MATCH($C2320,Parties!$A$5:$A$304,0),"")),"")</f>
        <v/>
      </c>
      <c r="W2320" s="60" t="str">
        <f aca="false">IF(IsPro,IF($B2320="","",IFERROR(VALUE(SUBSTITUTE($B2320,InvPrefix,"")),0)),"")</f>
        <v/>
      </c>
      <c r="X2320" s="61" t="str">
        <f aca="false">IF(IsPro,IF($D2320="","",IF(OR($H2320="",$H2320="Credit"),0,Q2320)),"")</f>
        <v/>
      </c>
    </row>
    <row r="2321" customFormat="false" ht="15" hidden="false" customHeight="false" outlineLevel="0" collapsed="false">
      <c r="A2321" s="55"/>
      <c r="B2321" s="56"/>
      <c r="C2321" s="56"/>
      <c r="D2321" s="56"/>
      <c r="E2321" s="57"/>
      <c r="F2321" s="58"/>
      <c r="G2321" s="59"/>
      <c r="H2321" s="56"/>
      <c r="I2321" s="56"/>
      <c r="J2321" s="60" t="str">
        <f aca="false">IF(IsPro,IF($D2321="","",IFERROR(INDEX(Items!$D$5:$D$504,U2321),"")),"")</f>
        <v/>
      </c>
      <c r="K2321" s="61" t="str">
        <f aca="false">IF(IsPro,IF($D2321="","",IF($F2321="",IFERROR(INDEX(Items!$H$5:$H$504,U2321),0),$F2321)),"")</f>
        <v/>
      </c>
      <c r="L2321" s="61" t="str">
        <f aca="false">IF(IsPro,IF($D2321="","",ROUND(N($E2321)*K2321*(1-N($G2321)),2)),"")</f>
        <v/>
      </c>
      <c r="M2321" s="62" t="str">
        <f aca="false">IF(IsPro,IF($D2321="","",IFERROR(INDEX(Items!$F$5:$F$504,U2321),0)),"")</f>
        <v/>
      </c>
      <c r="N2321" s="61" t="str">
        <f aca="false">IF(IsPro,IF($D2321="","",IF(AND(V2321&lt;&gt;"",INDEX(Parties!$E$5:$E$304,V2321)&lt;&gt;"",INDEX(Parties!$E$5:$E$304,V2321)&lt;&gt;HomeState),0,ROUND(L2321*M2321/2,2))),"")</f>
        <v/>
      </c>
      <c r="O2321" s="61" t="str">
        <f aca="false">IF(IsPro,IF($D2321="","",N2321),"")</f>
        <v/>
      </c>
      <c r="P2321" s="61" t="str">
        <f aca="false">IF(IsPro,IF($D2321="","",IF(AND(V2321&lt;&gt;"",INDEX(Parties!$E$5:$E$304,V2321)&lt;&gt;"",INDEX(Parties!$E$5:$E$304,V2321)&lt;&gt;HomeState),ROUND(L2321*M2321,2),0)),"")</f>
        <v/>
      </c>
      <c r="Q2321" s="61" t="str">
        <f aca="false">IF(IsPro,IF($D2321="","",L2321+N2321+O2321+P2321),"")</f>
        <v/>
      </c>
      <c r="R2321" s="61" t="str">
        <f aca="false">IF(IsPro,IF($D2321="","",ROUND(N($E2321)*IFERROR(INDEX(Items!$P$5:$P$504,U2321),0),2)),"")</f>
        <v/>
      </c>
      <c r="S2321" s="61" t="str">
        <f aca="false">IF(IsPro,IF($D2321="","",L2321-R2321),"")</f>
        <v/>
      </c>
      <c r="T2321" s="60" t="str">
        <f aca="false">IF(IsPro,IF($D2321="","",IF(U2321="","UNKNOWN ITEM",IF(INDEX(Items!$O$5:$O$504,U2321)&lt;0,"NEG STOCK",IF(K2321&lt;INDEX(Items!$P$5:$P$504,U2321),"BELOW COST","OK")))),IF($D2321="","","PRO PLAN"))</f>
        <v/>
      </c>
      <c r="U2321" s="60" t="str">
        <f aca="false">IF(IsPro,IF($D2321="","",IFERROR(MATCH($D2321,Items!$A$5:$A$504,0),"")),"")</f>
        <v/>
      </c>
      <c r="V2321" s="60" t="str">
        <f aca="false">IF(IsPro,IF($C2321="","",IFERROR(MATCH($C2321,Parties!$A$5:$A$304,0),"")),"")</f>
        <v/>
      </c>
      <c r="W2321" s="60" t="str">
        <f aca="false">IF(IsPro,IF($B2321="","",IFERROR(VALUE(SUBSTITUTE($B2321,InvPrefix,"")),0)),"")</f>
        <v/>
      </c>
      <c r="X2321" s="61" t="str">
        <f aca="false">IF(IsPro,IF($D2321="","",IF(OR($H2321="",$H2321="Credit"),0,Q2321)),"")</f>
        <v/>
      </c>
    </row>
    <row r="2322" customFormat="false" ht="15" hidden="false" customHeight="false" outlineLevel="0" collapsed="false">
      <c r="A2322" s="55"/>
      <c r="B2322" s="56"/>
      <c r="C2322" s="56"/>
      <c r="D2322" s="56"/>
      <c r="E2322" s="57"/>
      <c r="F2322" s="58"/>
      <c r="G2322" s="59"/>
      <c r="H2322" s="56"/>
      <c r="I2322" s="56"/>
      <c r="J2322" s="60" t="str">
        <f aca="false">IF(IsPro,IF($D2322="","",IFERROR(INDEX(Items!$D$5:$D$504,U2322),"")),"")</f>
        <v/>
      </c>
      <c r="K2322" s="61" t="str">
        <f aca="false">IF(IsPro,IF($D2322="","",IF($F2322="",IFERROR(INDEX(Items!$H$5:$H$504,U2322),0),$F2322)),"")</f>
        <v/>
      </c>
      <c r="L2322" s="61" t="str">
        <f aca="false">IF(IsPro,IF($D2322="","",ROUND(N($E2322)*K2322*(1-N($G2322)),2)),"")</f>
        <v/>
      </c>
      <c r="M2322" s="62" t="str">
        <f aca="false">IF(IsPro,IF($D2322="","",IFERROR(INDEX(Items!$F$5:$F$504,U2322),0)),"")</f>
        <v/>
      </c>
      <c r="N2322" s="61" t="str">
        <f aca="false">IF(IsPro,IF($D2322="","",IF(AND(V2322&lt;&gt;"",INDEX(Parties!$E$5:$E$304,V2322)&lt;&gt;"",INDEX(Parties!$E$5:$E$304,V2322)&lt;&gt;HomeState),0,ROUND(L2322*M2322/2,2))),"")</f>
        <v/>
      </c>
      <c r="O2322" s="61" t="str">
        <f aca="false">IF(IsPro,IF($D2322="","",N2322),"")</f>
        <v/>
      </c>
      <c r="P2322" s="61" t="str">
        <f aca="false">IF(IsPro,IF($D2322="","",IF(AND(V2322&lt;&gt;"",INDEX(Parties!$E$5:$E$304,V2322)&lt;&gt;"",INDEX(Parties!$E$5:$E$304,V2322)&lt;&gt;HomeState),ROUND(L2322*M2322,2),0)),"")</f>
        <v/>
      </c>
      <c r="Q2322" s="61" t="str">
        <f aca="false">IF(IsPro,IF($D2322="","",L2322+N2322+O2322+P2322),"")</f>
        <v/>
      </c>
      <c r="R2322" s="61" t="str">
        <f aca="false">IF(IsPro,IF($D2322="","",ROUND(N($E2322)*IFERROR(INDEX(Items!$P$5:$P$504,U2322),0),2)),"")</f>
        <v/>
      </c>
      <c r="S2322" s="61" t="str">
        <f aca="false">IF(IsPro,IF($D2322="","",L2322-R2322),"")</f>
        <v/>
      </c>
      <c r="T2322" s="60" t="str">
        <f aca="false">IF(IsPro,IF($D2322="","",IF(U2322="","UNKNOWN ITEM",IF(INDEX(Items!$O$5:$O$504,U2322)&lt;0,"NEG STOCK",IF(K2322&lt;INDEX(Items!$P$5:$P$504,U2322),"BELOW COST","OK")))),IF($D2322="","","PRO PLAN"))</f>
        <v/>
      </c>
      <c r="U2322" s="60" t="str">
        <f aca="false">IF(IsPro,IF($D2322="","",IFERROR(MATCH($D2322,Items!$A$5:$A$504,0),"")),"")</f>
        <v/>
      </c>
      <c r="V2322" s="60" t="str">
        <f aca="false">IF(IsPro,IF($C2322="","",IFERROR(MATCH($C2322,Parties!$A$5:$A$304,0),"")),"")</f>
        <v/>
      </c>
      <c r="W2322" s="60" t="str">
        <f aca="false">IF(IsPro,IF($B2322="","",IFERROR(VALUE(SUBSTITUTE($B2322,InvPrefix,"")),0)),"")</f>
        <v/>
      </c>
      <c r="X2322" s="61" t="str">
        <f aca="false">IF(IsPro,IF($D2322="","",IF(OR($H2322="",$H2322="Credit"),0,Q2322)),"")</f>
        <v/>
      </c>
    </row>
    <row r="2323" customFormat="false" ht="15" hidden="false" customHeight="false" outlineLevel="0" collapsed="false">
      <c r="A2323" s="55"/>
      <c r="B2323" s="56"/>
      <c r="C2323" s="56"/>
      <c r="D2323" s="56"/>
      <c r="E2323" s="57"/>
      <c r="F2323" s="58"/>
      <c r="G2323" s="59"/>
      <c r="H2323" s="56"/>
      <c r="I2323" s="56"/>
      <c r="J2323" s="60" t="str">
        <f aca="false">IF(IsPro,IF($D2323="","",IFERROR(INDEX(Items!$D$5:$D$504,U2323),"")),"")</f>
        <v/>
      </c>
      <c r="K2323" s="61" t="str">
        <f aca="false">IF(IsPro,IF($D2323="","",IF($F2323="",IFERROR(INDEX(Items!$H$5:$H$504,U2323),0),$F2323)),"")</f>
        <v/>
      </c>
      <c r="L2323" s="61" t="str">
        <f aca="false">IF(IsPro,IF($D2323="","",ROUND(N($E2323)*K2323*(1-N($G2323)),2)),"")</f>
        <v/>
      </c>
      <c r="M2323" s="62" t="str">
        <f aca="false">IF(IsPro,IF($D2323="","",IFERROR(INDEX(Items!$F$5:$F$504,U2323),0)),"")</f>
        <v/>
      </c>
      <c r="N2323" s="61" t="str">
        <f aca="false">IF(IsPro,IF($D2323="","",IF(AND(V2323&lt;&gt;"",INDEX(Parties!$E$5:$E$304,V2323)&lt;&gt;"",INDEX(Parties!$E$5:$E$304,V2323)&lt;&gt;HomeState),0,ROUND(L2323*M2323/2,2))),"")</f>
        <v/>
      </c>
      <c r="O2323" s="61" t="str">
        <f aca="false">IF(IsPro,IF($D2323="","",N2323),"")</f>
        <v/>
      </c>
      <c r="P2323" s="61" t="str">
        <f aca="false">IF(IsPro,IF($D2323="","",IF(AND(V2323&lt;&gt;"",INDEX(Parties!$E$5:$E$304,V2323)&lt;&gt;"",INDEX(Parties!$E$5:$E$304,V2323)&lt;&gt;HomeState),ROUND(L2323*M2323,2),0)),"")</f>
        <v/>
      </c>
      <c r="Q2323" s="61" t="str">
        <f aca="false">IF(IsPro,IF($D2323="","",L2323+N2323+O2323+P2323),"")</f>
        <v/>
      </c>
      <c r="R2323" s="61" t="str">
        <f aca="false">IF(IsPro,IF($D2323="","",ROUND(N($E2323)*IFERROR(INDEX(Items!$P$5:$P$504,U2323),0),2)),"")</f>
        <v/>
      </c>
      <c r="S2323" s="61" t="str">
        <f aca="false">IF(IsPro,IF($D2323="","",L2323-R2323),"")</f>
        <v/>
      </c>
      <c r="T2323" s="60" t="str">
        <f aca="false">IF(IsPro,IF($D2323="","",IF(U2323="","UNKNOWN ITEM",IF(INDEX(Items!$O$5:$O$504,U2323)&lt;0,"NEG STOCK",IF(K2323&lt;INDEX(Items!$P$5:$P$504,U2323),"BELOW COST","OK")))),IF($D2323="","","PRO PLAN"))</f>
        <v/>
      </c>
      <c r="U2323" s="60" t="str">
        <f aca="false">IF(IsPro,IF($D2323="","",IFERROR(MATCH($D2323,Items!$A$5:$A$504,0),"")),"")</f>
        <v/>
      </c>
      <c r="V2323" s="60" t="str">
        <f aca="false">IF(IsPro,IF($C2323="","",IFERROR(MATCH($C2323,Parties!$A$5:$A$304,0),"")),"")</f>
        <v/>
      </c>
      <c r="W2323" s="60" t="str">
        <f aca="false">IF(IsPro,IF($B2323="","",IFERROR(VALUE(SUBSTITUTE($B2323,InvPrefix,"")),0)),"")</f>
        <v/>
      </c>
      <c r="X2323" s="61" t="str">
        <f aca="false">IF(IsPro,IF($D2323="","",IF(OR($H2323="",$H2323="Credit"),0,Q2323)),"")</f>
        <v/>
      </c>
    </row>
    <row r="2324" customFormat="false" ht="15" hidden="false" customHeight="false" outlineLevel="0" collapsed="false">
      <c r="A2324" s="55"/>
      <c r="B2324" s="56"/>
      <c r="C2324" s="56"/>
      <c r="D2324" s="56"/>
      <c r="E2324" s="57"/>
      <c r="F2324" s="58"/>
      <c r="G2324" s="59"/>
      <c r="H2324" s="56"/>
      <c r="I2324" s="56"/>
      <c r="J2324" s="60" t="str">
        <f aca="false">IF(IsPro,IF($D2324="","",IFERROR(INDEX(Items!$D$5:$D$504,U2324),"")),"")</f>
        <v/>
      </c>
      <c r="K2324" s="61" t="str">
        <f aca="false">IF(IsPro,IF($D2324="","",IF($F2324="",IFERROR(INDEX(Items!$H$5:$H$504,U2324),0),$F2324)),"")</f>
        <v/>
      </c>
      <c r="L2324" s="61" t="str">
        <f aca="false">IF(IsPro,IF($D2324="","",ROUND(N($E2324)*K2324*(1-N($G2324)),2)),"")</f>
        <v/>
      </c>
      <c r="M2324" s="62" t="str">
        <f aca="false">IF(IsPro,IF($D2324="","",IFERROR(INDEX(Items!$F$5:$F$504,U2324),0)),"")</f>
        <v/>
      </c>
      <c r="N2324" s="61" t="str">
        <f aca="false">IF(IsPro,IF($D2324="","",IF(AND(V2324&lt;&gt;"",INDEX(Parties!$E$5:$E$304,V2324)&lt;&gt;"",INDEX(Parties!$E$5:$E$304,V2324)&lt;&gt;HomeState),0,ROUND(L2324*M2324/2,2))),"")</f>
        <v/>
      </c>
      <c r="O2324" s="61" t="str">
        <f aca="false">IF(IsPro,IF($D2324="","",N2324),"")</f>
        <v/>
      </c>
      <c r="P2324" s="61" t="str">
        <f aca="false">IF(IsPro,IF($D2324="","",IF(AND(V2324&lt;&gt;"",INDEX(Parties!$E$5:$E$304,V2324)&lt;&gt;"",INDEX(Parties!$E$5:$E$304,V2324)&lt;&gt;HomeState),ROUND(L2324*M2324,2),0)),"")</f>
        <v/>
      </c>
      <c r="Q2324" s="61" t="str">
        <f aca="false">IF(IsPro,IF($D2324="","",L2324+N2324+O2324+P2324),"")</f>
        <v/>
      </c>
      <c r="R2324" s="61" t="str">
        <f aca="false">IF(IsPro,IF($D2324="","",ROUND(N($E2324)*IFERROR(INDEX(Items!$P$5:$P$504,U2324),0),2)),"")</f>
        <v/>
      </c>
      <c r="S2324" s="61" t="str">
        <f aca="false">IF(IsPro,IF($D2324="","",L2324-R2324),"")</f>
        <v/>
      </c>
      <c r="T2324" s="60" t="str">
        <f aca="false">IF(IsPro,IF($D2324="","",IF(U2324="","UNKNOWN ITEM",IF(INDEX(Items!$O$5:$O$504,U2324)&lt;0,"NEG STOCK",IF(K2324&lt;INDEX(Items!$P$5:$P$504,U2324),"BELOW COST","OK")))),IF($D2324="","","PRO PLAN"))</f>
        <v/>
      </c>
      <c r="U2324" s="60" t="str">
        <f aca="false">IF(IsPro,IF($D2324="","",IFERROR(MATCH($D2324,Items!$A$5:$A$504,0),"")),"")</f>
        <v/>
      </c>
      <c r="V2324" s="60" t="str">
        <f aca="false">IF(IsPro,IF($C2324="","",IFERROR(MATCH($C2324,Parties!$A$5:$A$304,0),"")),"")</f>
        <v/>
      </c>
      <c r="W2324" s="60" t="str">
        <f aca="false">IF(IsPro,IF($B2324="","",IFERROR(VALUE(SUBSTITUTE($B2324,InvPrefix,"")),0)),"")</f>
        <v/>
      </c>
      <c r="X2324" s="61" t="str">
        <f aca="false">IF(IsPro,IF($D2324="","",IF(OR($H2324="",$H2324="Credit"),0,Q2324)),"")</f>
        <v/>
      </c>
    </row>
    <row r="2325" customFormat="false" ht="15" hidden="false" customHeight="false" outlineLevel="0" collapsed="false">
      <c r="A2325" s="55"/>
      <c r="B2325" s="56"/>
      <c r="C2325" s="56"/>
      <c r="D2325" s="56"/>
      <c r="E2325" s="57"/>
      <c r="F2325" s="58"/>
      <c r="G2325" s="59"/>
      <c r="H2325" s="56"/>
      <c r="I2325" s="56"/>
      <c r="J2325" s="60" t="str">
        <f aca="false">IF(IsPro,IF($D2325="","",IFERROR(INDEX(Items!$D$5:$D$504,U2325),"")),"")</f>
        <v/>
      </c>
      <c r="K2325" s="61" t="str">
        <f aca="false">IF(IsPro,IF($D2325="","",IF($F2325="",IFERROR(INDEX(Items!$H$5:$H$504,U2325),0),$F2325)),"")</f>
        <v/>
      </c>
      <c r="L2325" s="61" t="str">
        <f aca="false">IF(IsPro,IF($D2325="","",ROUND(N($E2325)*K2325*(1-N($G2325)),2)),"")</f>
        <v/>
      </c>
      <c r="M2325" s="62" t="str">
        <f aca="false">IF(IsPro,IF($D2325="","",IFERROR(INDEX(Items!$F$5:$F$504,U2325),0)),"")</f>
        <v/>
      </c>
      <c r="N2325" s="61" t="str">
        <f aca="false">IF(IsPro,IF($D2325="","",IF(AND(V2325&lt;&gt;"",INDEX(Parties!$E$5:$E$304,V2325)&lt;&gt;"",INDEX(Parties!$E$5:$E$304,V2325)&lt;&gt;HomeState),0,ROUND(L2325*M2325/2,2))),"")</f>
        <v/>
      </c>
      <c r="O2325" s="61" t="str">
        <f aca="false">IF(IsPro,IF($D2325="","",N2325),"")</f>
        <v/>
      </c>
      <c r="P2325" s="61" t="str">
        <f aca="false">IF(IsPro,IF($D2325="","",IF(AND(V2325&lt;&gt;"",INDEX(Parties!$E$5:$E$304,V2325)&lt;&gt;"",INDEX(Parties!$E$5:$E$304,V2325)&lt;&gt;HomeState),ROUND(L2325*M2325,2),0)),"")</f>
        <v/>
      </c>
      <c r="Q2325" s="61" t="str">
        <f aca="false">IF(IsPro,IF($D2325="","",L2325+N2325+O2325+P2325),"")</f>
        <v/>
      </c>
      <c r="R2325" s="61" t="str">
        <f aca="false">IF(IsPro,IF($D2325="","",ROUND(N($E2325)*IFERROR(INDEX(Items!$P$5:$P$504,U2325),0),2)),"")</f>
        <v/>
      </c>
      <c r="S2325" s="61" t="str">
        <f aca="false">IF(IsPro,IF($D2325="","",L2325-R2325),"")</f>
        <v/>
      </c>
      <c r="T2325" s="60" t="str">
        <f aca="false">IF(IsPro,IF($D2325="","",IF(U2325="","UNKNOWN ITEM",IF(INDEX(Items!$O$5:$O$504,U2325)&lt;0,"NEG STOCK",IF(K2325&lt;INDEX(Items!$P$5:$P$504,U2325),"BELOW COST","OK")))),IF($D2325="","","PRO PLAN"))</f>
        <v/>
      </c>
      <c r="U2325" s="60" t="str">
        <f aca="false">IF(IsPro,IF($D2325="","",IFERROR(MATCH($D2325,Items!$A$5:$A$504,0),"")),"")</f>
        <v/>
      </c>
      <c r="V2325" s="60" t="str">
        <f aca="false">IF(IsPro,IF($C2325="","",IFERROR(MATCH($C2325,Parties!$A$5:$A$304,0),"")),"")</f>
        <v/>
      </c>
      <c r="W2325" s="60" t="str">
        <f aca="false">IF(IsPro,IF($B2325="","",IFERROR(VALUE(SUBSTITUTE($B2325,InvPrefix,"")),0)),"")</f>
        <v/>
      </c>
      <c r="X2325" s="61" t="str">
        <f aca="false">IF(IsPro,IF($D2325="","",IF(OR($H2325="",$H2325="Credit"),0,Q2325)),"")</f>
        <v/>
      </c>
    </row>
    <row r="2326" customFormat="false" ht="15" hidden="false" customHeight="false" outlineLevel="0" collapsed="false">
      <c r="A2326" s="55"/>
      <c r="B2326" s="56"/>
      <c r="C2326" s="56"/>
      <c r="D2326" s="56"/>
      <c r="E2326" s="57"/>
      <c r="F2326" s="58"/>
      <c r="G2326" s="59"/>
      <c r="H2326" s="56"/>
      <c r="I2326" s="56"/>
      <c r="J2326" s="60" t="str">
        <f aca="false">IF(IsPro,IF($D2326="","",IFERROR(INDEX(Items!$D$5:$D$504,U2326),"")),"")</f>
        <v/>
      </c>
      <c r="K2326" s="61" t="str">
        <f aca="false">IF(IsPro,IF($D2326="","",IF($F2326="",IFERROR(INDEX(Items!$H$5:$H$504,U2326),0),$F2326)),"")</f>
        <v/>
      </c>
      <c r="L2326" s="61" t="str">
        <f aca="false">IF(IsPro,IF($D2326="","",ROUND(N($E2326)*K2326*(1-N($G2326)),2)),"")</f>
        <v/>
      </c>
      <c r="M2326" s="62" t="str">
        <f aca="false">IF(IsPro,IF($D2326="","",IFERROR(INDEX(Items!$F$5:$F$504,U2326),0)),"")</f>
        <v/>
      </c>
      <c r="N2326" s="61" t="str">
        <f aca="false">IF(IsPro,IF($D2326="","",IF(AND(V2326&lt;&gt;"",INDEX(Parties!$E$5:$E$304,V2326)&lt;&gt;"",INDEX(Parties!$E$5:$E$304,V2326)&lt;&gt;HomeState),0,ROUND(L2326*M2326/2,2))),"")</f>
        <v/>
      </c>
      <c r="O2326" s="61" t="str">
        <f aca="false">IF(IsPro,IF($D2326="","",N2326),"")</f>
        <v/>
      </c>
      <c r="P2326" s="61" t="str">
        <f aca="false">IF(IsPro,IF($D2326="","",IF(AND(V2326&lt;&gt;"",INDEX(Parties!$E$5:$E$304,V2326)&lt;&gt;"",INDEX(Parties!$E$5:$E$304,V2326)&lt;&gt;HomeState),ROUND(L2326*M2326,2),0)),"")</f>
        <v/>
      </c>
      <c r="Q2326" s="61" t="str">
        <f aca="false">IF(IsPro,IF($D2326="","",L2326+N2326+O2326+P2326),"")</f>
        <v/>
      </c>
      <c r="R2326" s="61" t="str">
        <f aca="false">IF(IsPro,IF($D2326="","",ROUND(N($E2326)*IFERROR(INDEX(Items!$P$5:$P$504,U2326),0),2)),"")</f>
        <v/>
      </c>
      <c r="S2326" s="61" t="str">
        <f aca="false">IF(IsPro,IF($D2326="","",L2326-R2326),"")</f>
        <v/>
      </c>
      <c r="T2326" s="60" t="str">
        <f aca="false">IF(IsPro,IF($D2326="","",IF(U2326="","UNKNOWN ITEM",IF(INDEX(Items!$O$5:$O$504,U2326)&lt;0,"NEG STOCK",IF(K2326&lt;INDEX(Items!$P$5:$P$504,U2326),"BELOW COST","OK")))),IF($D2326="","","PRO PLAN"))</f>
        <v/>
      </c>
      <c r="U2326" s="60" t="str">
        <f aca="false">IF(IsPro,IF($D2326="","",IFERROR(MATCH($D2326,Items!$A$5:$A$504,0),"")),"")</f>
        <v/>
      </c>
      <c r="V2326" s="60" t="str">
        <f aca="false">IF(IsPro,IF($C2326="","",IFERROR(MATCH($C2326,Parties!$A$5:$A$304,0),"")),"")</f>
        <v/>
      </c>
      <c r="W2326" s="60" t="str">
        <f aca="false">IF(IsPro,IF($B2326="","",IFERROR(VALUE(SUBSTITUTE($B2326,InvPrefix,"")),0)),"")</f>
        <v/>
      </c>
      <c r="X2326" s="61" t="str">
        <f aca="false">IF(IsPro,IF($D2326="","",IF(OR($H2326="",$H2326="Credit"),0,Q2326)),"")</f>
        <v/>
      </c>
    </row>
    <row r="2327" customFormat="false" ht="15" hidden="false" customHeight="false" outlineLevel="0" collapsed="false">
      <c r="A2327" s="55"/>
      <c r="B2327" s="56"/>
      <c r="C2327" s="56"/>
      <c r="D2327" s="56"/>
      <c r="E2327" s="57"/>
      <c r="F2327" s="58"/>
      <c r="G2327" s="59"/>
      <c r="H2327" s="56"/>
      <c r="I2327" s="56"/>
      <c r="J2327" s="60" t="str">
        <f aca="false">IF(IsPro,IF($D2327="","",IFERROR(INDEX(Items!$D$5:$D$504,U2327),"")),"")</f>
        <v/>
      </c>
      <c r="K2327" s="61" t="str">
        <f aca="false">IF(IsPro,IF($D2327="","",IF($F2327="",IFERROR(INDEX(Items!$H$5:$H$504,U2327),0),$F2327)),"")</f>
        <v/>
      </c>
      <c r="L2327" s="61" t="str">
        <f aca="false">IF(IsPro,IF($D2327="","",ROUND(N($E2327)*K2327*(1-N($G2327)),2)),"")</f>
        <v/>
      </c>
      <c r="M2327" s="62" t="str">
        <f aca="false">IF(IsPro,IF($D2327="","",IFERROR(INDEX(Items!$F$5:$F$504,U2327),0)),"")</f>
        <v/>
      </c>
      <c r="N2327" s="61" t="str">
        <f aca="false">IF(IsPro,IF($D2327="","",IF(AND(V2327&lt;&gt;"",INDEX(Parties!$E$5:$E$304,V2327)&lt;&gt;"",INDEX(Parties!$E$5:$E$304,V2327)&lt;&gt;HomeState),0,ROUND(L2327*M2327/2,2))),"")</f>
        <v/>
      </c>
      <c r="O2327" s="61" t="str">
        <f aca="false">IF(IsPro,IF($D2327="","",N2327),"")</f>
        <v/>
      </c>
      <c r="P2327" s="61" t="str">
        <f aca="false">IF(IsPro,IF($D2327="","",IF(AND(V2327&lt;&gt;"",INDEX(Parties!$E$5:$E$304,V2327)&lt;&gt;"",INDEX(Parties!$E$5:$E$304,V2327)&lt;&gt;HomeState),ROUND(L2327*M2327,2),0)),"")</f>
        <v/>
      </c>
      <c r="Q2327" s="61" t="str">
        <f aca="false">IF(IsPro,IF($D2327="","",L2327+N2327+O2327+P2327),"")</f>
        <v/>
      </c>
      <c r="R2327" s="61" t="str">
        <f aca="false">IF(IsPro,IF($D2327="","",ROUND(N($E2327)*IFERROR(INDEX(Items!$P$5:$P$504,U2327),0),2)),"")</f>
        <v/>
      </c>
      <c r="S2327" s="61" t="str">
        <f aca="false">IF(IsPro,IF($D2327="","",L2327-R2327),"")</f>
        <v/>
      </c>
      <c r="T2327" s="60" t="str">
        <f aca="false">IF(IsPro,IF($D2327="","",IF(U2327="","UNKNOWN ITEM",IF(INDEX(Items!$O$5:$O$504,U2327)&lt;0,"NEG STOCK",IF(K2327&lt;INDEX(Items!$P$5:$P$504,U2327),"BELOW COST","OK")))),IF($D2327="","","PRO PLAN"))</f>
        <v/>
      </c>
      <c r="U2327" s="60" t="str">
        <f aca="false">IF(IsPro,IF($D2327="","",IFERROR(MATCH($D2327,Items!$A$5:$A$504,0),"")),"")</f>
        <v/>
      </c>
      <c r="V2327" s="60" t="str">
        <f aca="false">IF(IsPro,IF($C2327="","",IFERROR(MATCH($C2327,Parties!$A$5:$A$304,0),"")),"")</f>
        <v/>
      </c>
      <c r="W2327" s="60" t="str">
        <f aca="false">IF(IsPro,IF($B2327="","",IFERROR(VALUE(SUBSTITUTE($B2327,InvPrefix,"")),0)),"")</f>
        <v/>
      </c>
      <c r="X2327" s="61" t="str">
        <f aca="false">IF(IsPro,IF($D2327="","",IF(OR($H2327="",$H2327="Credit"),0,Q2327)),"")</f>
        <v/>
      </c>
    </row>
    <row r="2328" customFormat="false" ht="15" hidden="false" customHeight="false" outlineLevel="0" collapsed="false">
      <c r="A2328" s="55"/>
      <c r="B2328" s="56"/>
      <c r="C2328" s="56"/>
      <c r="D2328" s="56"/>
      <c r="E2328" s="57"/>
      <c r="F2328" s="58"/>
      <c r="G2328" s="59"/>
      <c r="H2328" s="56"/>
      <c r="I2328" s="56"/>
      <c r="J2328" s="60" t="str">
        <f aca="false">IF(IsPro,IF($D2328="","",IFERROR(INDEX(Items!$D$5:$D$504,U2328),"")),"")</f>
        <v/>
      </c>
      <c r="K2328" s="61" t="str">
        <f aca="false">IF(IsPro,IF($D2328="","",IF($F2328="",IFERROR(INDEX(Items!$H$5:$H$504,U2328),0),$F2328)),"")</f>
        <v/>
      </c>
      <c r="L2328" s="61" t="str">
        <f aca="false">IF(IsPro,IF($D2328="","",ROUND(N($E2328)*K2328*(1-N($G2328)),2)),"")</f>
        <v/>
      </c>
      <c r="M2328" s="62" t="str">
        <f aca="false">IF(IsPro,IF($D2328="","",IFERROR(INDEX(Items!$F$5:$F$504,U2328),0)),"")</f>
        <v/>
      </c>
      <c r="N2328" s="61" t="str">
        <f aca="false">IF(IsPro,IF($D2328="","",IF(AND(V2328&lt;&gt;"",INDEX(Parties!$E$5:$E$304,V2328)&lt;&gt;"",INDEX(Parties!$E$5:$E$304,V2328)&lt;&gt;HomeState),0,ROUND(L2328*M2328/2,2))),"")</f>
        <v/>
      </c>
      <c r="O2328" s="61" t="str">
        <f aca="false">IF(IsPro,IF($D2328="","",N2328),"")</f>
        <v/>
      </c>
      <c r="P2328" s="61" t="str">
        <f aca="false">IF(IsPro,IF($D2328="","",IF(AND(V2328&lt;&gt;"",INDEX(Parties!$E$5:$E$304,V2328)&lt;&gt;"",INDEX(Parties!$E$5:$E$304,V2328)&lt;&gt;HomeState),ROUND(L2328*M2328,2),0)),"")</f>
        <v/>
      </c>
      <c r="Q2328" s="61" t="str">
        <f aca="false">IF(IsPro,IF($D2328="","",L2328+N2328+O2328+P2328),"")</f>
        <v/>
      </c>
      <c r="R2328" s="61" t="str">
        <f aca="false">IF(IsPro,IF($D2328="","",ROUND(N($E2328)*IFERROR(INDEX(Items!$P$5:$P$504,U2328),0),2)),"")</f>
        <v/>
      </c>
      <c r="S2328" s="61" t="str">
        <f aca="false">IF(IsPro,IF($D2328="","",L2328-R2328),"")</f>
        <v/>
      </c>
      <c r="T2328" s="60" t="str">
        <f aca="false">IF(IsPro,IF($D2328="","",IF(U2328="","UNKNOWN ITEM",IF(INDEX(Items!$O$5:$O$504,U2328)&lt;0,"NEG STOCK",IF(K2328&lt;INDEX(Items!$P$5:$P$504,U2328),"BELOW COST","OK")))),IF($D2328="","","PRO PLAN"))</f>
        <v/>
      </c>
      <c r="U2328" s="60" t="str">
        <f aca="false">IF(IsPro,IF($D2328="","",IFERROR(MATCH($D2328,Items!$A$5:$A$504,0),"")),"")</f>
        <v/>
      </c>
      <c r="V2328" s="60" t="str">
        <f aca="false">IF(IsPro,IF($C2328="","",IFERROR(MATCH($C2328,Parties!$A$5:$A$304,0),"")),"")</f>
        <v/>
      </c>
      <c r="W2328" s="60" t="str">
        <f aca="false">IF(IsPro,IF($B2328="","",IFERROR(VALUE(SUBSTITUTE($B2328,InvPrefix,"")),0)),"")</f>
        <v/>
      </c>
      <c r="X2328" s="61" t="str">
        <f aca="false">IF(IsPro,IF($D2328="","",IF(OR($H2328="",$H2328="Credit"),0,Q2328)),"")</f>
        <v/>
      </c>
    </row>
    <row r="2329" customFormat="false" ht="15" hidden="false" customHeight="false" outlineLevel="0" collapsed="false">
      <c r="A2329" s="55"/>
      <c r="B2329" s="56"/>
      <c r="C2329" s="56"/>
      <c r="D2329" s="56"/>
      <c r="E2329" s="57"/>
      <c r="F2329" s="58"/>
      <c r="G2329" s="59"/>
      <c r="H2329" s="56"/>
      <c r="I2329" s="56"/>
      <c r="J2329" s="60" t="str">
        <f aca="false">IF(IsPro,IF($D2329="","",IFERROR(INDEX(Items!$D$5:$D$504,U2329),"")),"")</f>
        <v/>
      </c>
      <c r="K2329" s="61" t="str">
        <f aca="false">IF(IsPro,IF($D2329="","",IF($F2329="",IFERROR(INDEX(Items!$H$5:$H$504,U2329),0),$F2329)),"")</f>
        <v/>
      </c>
      <c r="L2329" s="61" t="str">
        <f aca="false">IF(IsPro,IF($D2329="","",ROUND(N($E2329)*K2329*(1-N($G2329)),2)),"")</f>
        <v/>
      </c>
      <c r="M2329" s="62" t="str">
        <f aca="false">IF(IsPro,IF($D2329="","",IFERROR(INDEX(Items!$F$5:$F$504,U2329),0)),"")</f>
        <v/>
      </c>
      <c r="N2329" s="61" t="str">
        <f aca="false">IF(IsPro,IF($D2329="","",IF(AND(V2329&lt;&gt;"",INDEX(Parties!$E$5:$E$304,V2329)&lt;&gt;"",INDEX(Parties!$E$5:$E$304,V2329)&lt;&gt;HomeState),0,ROUND(L2329*M2329/2,2))),"")</f>
        <v/>
      </c>
      <c r="O2329" s="61" t="str">
        <f aca="false">IF(IsPro,IF($D2329="","",N2329),"")</f>
        <v/>
      </c>
      <c r="P2329" s="61" t="str">
        <f aca="false">IF(IsPro,IF($D2329="","",IF(AND(V2329&lt;&gt;"",INDEX(Parties!$E$5:$E$304,V2329)&lt;&gt;"",INDEX(Parties!$E$5:$E$304,V2329)&lt;&gt;HomeState),ROUND(L2329*M2329,2),0)),"")</f>
        <v/>
      </c>
      <c r="Q2329" s="61" t="str">
        <f aca="false">IF(IsPro,IF($D2329="","",L2329+N2329+O2329+P2329),"")</f>
        <v/>
      </c>
      <c r="R2329" s="61" t="str">
        <f aca="false">IF(IsPro,IF($D2329="","",ROUND(N($E2329)*IFERROR(INDEX(Items!$P$5:$P$504,U2329),0),2)),"")</f>
        <v/>
      </c>
      <c r="S2329" s="61" t="str">
        <f aca="false">IF(IsPro,IF($D2329="","",L2329-R2329),"")</f>
        <v/>
      </c>
      <c r="T2329" s="60" t="str">
        <f aca="false">IF(IsPro,IF($D2329="","",IF(U2329="","UNKNOWN ITEM",IF(INDEX(Items!$O$5:$O$504,U2329)&lt;0,"NEG STOCK",IF(K2329&lt;INDEX(Items!$P$5:$P$504,U2329),"BELOW COST","OK")))),IF($D2329="","","PRO PLAN"))</f>
        <v/>
      </c>
      <c r="U2329" s="60" t="str">
        <f aca="false">IF(IsPro,IF($D2329="","",IFERROR(MATCH($D2329,Items!$A$5:$A$504,0),"")),"")</f>
        <v/>
      </c>
      <c r="V2329" s="60" t="str">
        <f aca="false">IF(IsPro,IF($C2329="","",IFERROR(MATCH($C2329,Parties!$A$5:$A$304,0),"")),"")</f>
        <v/>
      </c>
      <c r="W2329" s="60" t="str">
        <f aca="false">IF(IsPro,IF($B2329="","",IFERROR(VALUE(SUBSTITUTE($B2329,InvPrefix,"")),0)),"")</f>
        <v/>
      </c>
      <c r="X2329" s="61" t="str">
        <f aca="false">IF(IsPro,IF($D2329="","",IF(OR($H2329="",$H2329="Credit"),0,Q2329)),"")</f>
        <v/>
      </c>
    </row>
    <row r="2330" customFormat="false" ht="15" hidden="false" customHeight="false" outlineLevel="0" collapsed="false">
      <c r="A2330" s="55"/>
      <c r="B2330" s="56"/>
      <c r="C2330" s="56"/>
      <c r="D2330" s="56"/>
      <c r="E2330" s="57"/>
      <c r="F2330" s="58"/>
      <c r="G2330" s="59"/>
      <c r="H2330" s="56"/>
      <c r="I2330" s="56"/>
      <c r="J2330" s="60" t="str">
        <f aca="false">IF(IsPro,IF($D2330="","",IFERROR(INDEX(Items!$D$5:$D$504,U2330),"")),"")</f>
        <v/>
      </c>
      <c r="K2330" s="61" t="str">
        <f aca="false">IF(IsPro,IF($D2330="","",IF($F2330="",IFERROR(INDEX(Items!$H$5:$H$504,U2330),0),$F2330)),"")</f>
        <v/>
      </c>
      <c r="L2330" s="61" t="str">
        <f aca="false">IF(IsPro,IF($D2330="","",ROUND(N($E2330)*K2330*(1-N($G2330)),2)),"")</f>
        <v/>
      </c>
      <c r="M2330" s="62" t="str">
        <f aca="false">IF(IsPro,IF($D2330="","",IFERROR(INDEX(Items!$F$5:$F$504,U2330),0)),"")</f>
        <v/>
      </c>
      <c r="N2330" s="61" t="str">
        <f aca="false">IF(IsPro,IF($D2330="","",IF(AND(V2330&lt;&gt;"",INDEX(Parties!$E$5:$E$304,V2330)&lt;&gt;"",INDEX(Parties!$E$5:$E$304,V2330)&lt;&gt;HomeState),0,ROUND(L2330*M2330/2,2))),"")</f>
        <v/>
      </c>
      <c r="O2330" s="61" t="str">
        <f aca="false">IF(IsPro,IF($D2330="","",N2330),"")</f>
        <v/>
      </c>
      <c r="P2330" s="61" t="str">
        <f aca="false">IF(IsPro,IF($D2330="","",IF(AND(V2330&lt;&gt;"",INDEX(Parties!$E$5:$E$304,V2330)&lt;&gt;"",INDEX(Parties!$E$5:$E$304,V2330)&lt;&gt;HomeState),ROUND(L2330*M2330,2),0)),"")</f>
        <v/>
      </c>
      <c r="Q2330" s="61" t="str">
        <f aca="false">IF(IsPro,IF($D2330="","",L2330+N2330+O2330+P2330),"")</f>
        <v/>
      </c>
      <c r="R2330" s="61" t="str">
        <f aca="false">IF(IsPro,IF($D2330="","",ROUND(N($E2330)*IFERROR(INDEX(Items!$P$5:$P$504,U2330),0),2)),"")</f>
        <v/>
      </c>
      <c r="S2330" s="61" t="str">
        <f aca="false">IF(IsPro,IF($D2330="","",L2330-R2330),"")</f>
        <v/>
      </c>
      <c r="T2330" s="60" t="str">
        <f aca="false">IF(IsPro,IF($D2330="","",IF(U2330="","UNKNOWN ITEM",IF(INDEX(Items!$O$5:$O$504,U2330)&lt;0,"NEG STOCK",IF(K2330&lt;INDEX(Items!$P$5:$P$504,U2330),"BELOW COST","OK")))),IF($D2330="","","PRO PLAN"))</f>
        <v/>
      </c>
      <c r="U2330" s="60" t="str">
        <f aca="false">IF(IsPro,IF($D2330="","",IFERROR(MATCH($D2330,Items!$A$5:$A$504,0),"")),"")</f>
        <v/>
      </c>
      <c r="V2330" s="60" t="str">
        <f aca="false">IF(IsPro,IF($C2330="","",IFERROR(MATCH($C2330,Parties!$A$5:$A$304,0),"")),"")</f>
        <v/>
      </c>
      <c r="W2330" s="60" t="str">
        <f aca="false">IF(IsPro,IF($B2330="","",IFERROR(VALUE(SUBSTITUTE($B2330,InvPrefix,"")),0)),"")</f>
        <v/>
      </c>
      <c r="X2330" s="61" t="str">
        <f aca="false">IF(IsPro,IF($D2330="","",IF(OR($H2330="",$H2330="Credit"),0,Q2330)),"")</f>
        <v/>
      </c>
    </row>
    <row r="2331" customFormat="false" ht="15" hidden="false" customHeight="false" outlineLevel="0" collapsed="false">
      <c r="A2331" s="55"/>
      <c r="B2331" s="56"/>
      <c r="C2331" s="56"/>
      <c r="D2331" s="56"/>
      <c r="E2331" s="57"/>
      <c r="F2331" s="58"/>
      <c r="G2331" s="59"/>
      <c r="H2331" s="56"/>
      <c r="I2331" s="56"/>
      <c r="J2331" s="60" t="str">
        <f aca="false">IF(IsPro,IF($D2331="","",IFERROR(INDEX(Items!$D$5:$D$504,U2331),"")),"")</f>
        <v/>
      </c>
      <c r="K2331" s="61" t="str">
        <f aca="false">IF(IsPro,IF($D2331="","",IF($F2331="",IFERROR(INDEX(Items!$H$5:$H$504,U2331),0),$F2331)),"")</f>
        <v/>
      </c>
      <c r="L2331" s="61" t="str">
        <f aca="false">IF(IsPro,IF($D2331="","",ROUND(N($E2331)*K2331*(1-N($G2331)),2)),"")</f>
        <v/>
      </c>
      <c r="M2331" s="62" t="str">
        <f aca="false">IF(IsPro,IF($D2331="","",IFERROR(INDEX(Items!$F$5:$F$504,U2331),0)),"")</f>
        <v/>
      </c>
      <c r="N2331" s="61" t="str">
        <f aca="false">IF(IsPro,IF($D2331="","",IF(AND(V2331&lt;&gt;"",INDEX(Parties!$E$5:$E$304,V2331)&lt;&gt;"",INDEX(Parties!$E$5:$E$304,V2331)&lt;&gt;HomeState),0,ROUND(L2331*M2331/2,2))),"")</f>
        <v/>
      </c>
      <c r="O2331" s="61" t="str">
        <f aca="false">IF(IsPro,IF($D2331="","",N2331),"")</f>
        <v/>
      </c>
      <c r="P2331" s="61" t="str">
        <f aca="false">IF(IsPro,IF($D2331="","",IF(AND(V2331&lt;&gt;"",INDEX(Parties!$E$5:$E$304,V2331)&lt;&gt;"",INDEX(Parties!$E$5:$E$304,V2331)&lt;&gt;HomeState),ROUND(L2331*M2331,2),0)),"")</f>
        <v/>
      </c>
      <c r="Q2331" s="61" t="str">
        <f aca="false">IF(IsPro,IF($D2331="","",L2331+N2331+O2331+P2331),"")</f>
        <v/>
      </c>
      <c r="R2331" s="61" t="str">
        <f aca="false">IF(IsPro,IF($D2331="","",ROUND(N($E2331)*IFERROR(INDEX(Items!$P$5:$P$504,U2331),0),2)),"")</f>
        <v/>
      </c>
      <c r="S2331" s="61" t="str">
        <f aca="false">IF(IsPro,IF($D2331="","",L2331-R2331),"")</f>
        <v/>
      </c>
      <c r="T2331" s="60" t="str">
        <f aca="false">IF(IsPro,IF($D2331="","",IF(U2331="","UNKNOWN ITEM",IF(INDEX(Items!$O$5:$O$504,U2331)&lt;0,"NEG STOCK",IF(K2331&lt;INDEX(Items!$P$5:$P$504,U2331),"BELOW COST","OK")))),IF($D2331="","","PRO PLAN"))</f>
        <v/>
      </c>
      <c r="U2331" s="60" t="str">
        <f aca="false">IF(IsPro,IF($D2331="","",IFERROR(MATCH($D2331,Items!$A$5:$A$504,0),"")),"")</f>
        <v/>
      </c>
      <c r="V2331" s="60" t="str">
        <f aca="false">IF(IsPro,IF($C2331="","",IFERROR(MATCH($C2331,Parties!$A$5:$A$304,0),"")),"")</f>
        <v/>
      </c>
      <c r="W2331" s="60" t="str">
        <f aca="false">IF(IsPro,IF($B2331="","",IFERROR(VALUE(SUBSTITUTE($B2331,InvPrefix,"")),0)),"")</f>
        <v/>
      </c>
      <c r="X2331" s="61" t="str">
        <f aca="false">IF(IsPro,IF($D2331="","",IF(OR($H2331="",$H2331="Credit"),0,Q2331)),"")</f>
        <v/>
      </c>
    </row>
    <row r="2332" customFormat="false" ht="15" hidden="false" customHeight="false" outlineLevel="0" collapsed="false">
      <c r="A2332" s="55"/>
      <c r="B2332" s="56"/>
      <c r="C2332" s="56"/>
      <c r="D2332" s="56"/>
      <c r="E2332" s="57"/>
      <c r="F2332" s="58"/>
      <c r="G2332" s="59"/>
      <c r="H2332" s="56"/>
      <c r="I2332" s="56"/>
      <c r="J2332" s="60" t="str">
        <f aca="false">IF(IsPro,IF($D2332="","",IFERROR(INDEX(Items!$D$5:$D$504,U2332),"")),"")</f>
        <v/>
      </c>
      <c r="K2332" s="61" t="str">
        <f aca="false">IF(IsPro,IF($D2332="","",IF($F2332="",IFERROR(INDEX(Items!$H$5:$H$504,U2332),0),$F2332)),"")</f>
        <v/>
      </c>
      <c r="L2332" s="61" t="str">
        <f aca="false">IF(IsPro,IF($D2332="","",ROUND(N($E2332)*K2332*(1-N($G2332)),2)),"")</f>
        <v/>
      </c>
      <c r="M2332" s="62" t="str">
        <f aca="false">IF(IsPro,IF($D2332="","",IFERROR(INDEX(Items!$F$5:$F$504,U2332),0)),"")</f>
        <v/>
      </c>
      <c r="N2332" s="61" t="str">
        <f aca="false">IF(IsPro,IF($D2332="","",IF(AND(V2332&lt;&gt;"",INDEX(Parties!$E$5:$E$304,V2332)&lt;&gt;"",INDEX(Parties!$E$5:$E$304,V2332)&lt;&gt;HomeState),0,ROUND(L2332*M2332/2,2))),"")</f>
        <v/>
      </c>
      <c r="O2332" s="61" t="str">
        <f aca="false">IF(IsPro,IF($D2332="","",N2332),"")</f>
        <v/>
      </c>
      <c r="P2332" s="61" t="str">
        <f aca="false">IF(IsPro,IF($D2332="","",IF(AND(V2332&lt;&gt;"",INDEX(Parties!$E$5:$E$304,V2332)&lt;&gt;"",INDEX(Parties!$E$5:$E$304,V2332)&lt;&gt;HomeState),ROUND(L2332*M2332,2),0)),"")</f>
        <v/>
      </c>
      <c r="Q2332" s="61" t="str">
        <f aca="false">IF(IsPro,IF($D2332="","",L2332+N2332+O2332+P2332),"")</f>
        <v/>
      </c>
      <c r="R2332" s="61" t="str">
        <f aca="false">IF(IsPro,IF($D2332="","",ROUND(N($E2332)*IFERROR(INDEX(Items!$P$5:$P$504,U2332),0),2)),"")</f>
        <v/>
      </c>
      <c r="S2332" s="61" t="str">
        <f aca="false">IF(IsPro,IF($D2332="","",L2332-R2332),"")</f>
        <v/>
      </c>
      <c r="T2332" s="60" t="str">
        <f aca="false">IF(IsPro,IF($D2332="","",IF(U2332="","UNKNOWN ITEM",IF(INDEX(Items!$O$5:$O$504,U2332)&lt;0,"NEG STOCK",IF(K2332&lt;INDEX(Items!$P$5:$P$504,U2332),"BELOW COST","OK")))),IF($D2332="","","PRO PLAN"))</f>
        <v/>
      </c>
      <c r="U2332" s="60" t="str">
        <f aca="false">IF(IsPro,IF($D2332="","",IFERROR(MATCH($D2332,Items!$A$5:$A$504,0),"")),"")</f>
        <v/>
      </c>
      <c r="V2332" s="60" t="str">
        <f aca="false">IF(IsPro,IF($C2332="","",IFERROR(MATCH($C2332,Parties!$A$5:$A$304,0),"")),"")</f>
        <v/>
      </c>
      <c r="W2332" s="60" t="str">
        <f aca="false">IF(IsPro,IF($B2332="","",IFERROR(VALUE(SUBSTITUTE($B2332,InvPrefix,"")),0)),"")</f>
        <v/>
      </c>
      <c r="X2332" s="61" t="str">
        <f aca="false">IF(IsPro,IF($D2332="","",IF(OR($H2332="",$H2332="Credit"),0,Q2332)),"")</f>
        <v/>
      </c>
    </row>
    <row r="2333" customFormat="false" ht="15" hidden="false" customHeight="false" outlineLevel="0" collapsed="false">
      <c r="A2333" s="55"/>
      <c r="B2333" s="56"/>
      <c r="C2333" s="56"/>
      <c r="D2333" s="56"/>
      <c r="E2333" s="57"/>
      <c r="F2333" s="58"/>
      <c r="G2333" s="59"/>
      <c r="H2333" s="56"/>
      <c r="I2333" s="56"/>
      <c r="J2333" s="60" t="str">
        <f aca="false">IF(IsPro,IF($D2333="","",IFERROR(INDEX(Items!$D$5:$D$504,U2333),"")),"")</f>
        <v/>
      </c>
      <c r="K2333" s="61" t="str">
        <f aca="false">IF(IsPro,IF($D2333="","",IF($F2333="",IFERROR(INDEX(Items!$H$5:$H$504,U2333),0),$F2333)),"")</f>
        <v/>
      </c>
      <c r="L2333" s="61" t="str">
        <f aca="false">IF(IsPro,IF($D2333="","",ROUND(N($E2333)*K2333*(1-N($G2333)),2)),"")</f>
        <v/>
      </c>
      <c r="M2333" s="62" t="str">
        <f aca="false">IF(IsPro,IF($D2333="","",IFERROR(INDEX(Items!$F$5:$F$504,U2333),0)),"")</f>
        <v/>
      </c>
      <c r="N2333" s="61" t="str">
        <f aca="false">IF(IsPro,IF($D2333="","",IF(AND(V2333&lt;&gt;"",INDEX(Parties!$E$5:$E$304,V2333)&lt;&gt;"",INDEX(Parties!$E$5:$E$304,V2333)&lt;&gt;HomeState),0,ROUND(L2333*M2333/2,2))),"")</f>
        <v/>
      </c>
      <c r="O2333" s="61" t="str">
        <f aca="false">IF(IsPro,IF($D2333="","",N2333),"")</f>
        <v/>
      </c>
      <c r="P2333" s="61" t="str">
        <f aca="false">IF(IsPro,IF($D2333="","",IF(AND(V2333&lt;&gt;"",INDEX(Parties!$E$5:$E$304,V2333)&lt;&gt;"",INDEX(Parties!$E$5:$E$304,V2333)&lt;&gt;HomeState),ROUND(L2333*M2333,2),0)),"")</f>
        <v/>
      </c>
      <c r="Q2333" s="61" t="str">
        <f aca="false">IF(IsPro,IF($D2333="","",L2333+N2333+O2333+P2333),"")</f>
        <v/>
      </c>
      <c r="R2333" s="61" t="str">
        <f aca="false">IF(IsPro,IF($D2333="","",ROUND(N($E2333)*IFERROR(INDEX(Items!$P$5:$P$504,U2333),0),2)),"")</f>
        <v/>
      </c>
      <c r="S2333" s="61" t="str">
        <f aca="false">IF(IsPro,IF($D2333="","",L2333-R2333),"")</f>
        <v/>
      </c>
      <c r="T2333" s="60" t="str">
        <f aca="false">IF(IsPro,IF($D2333="","",IF(U2333="","UNKNOWN ITEM",IF(INDEX(Items!$O$5:$O$504,U2333)&lt;0,"NEG STOCK",IF(K2333&lt;INDEX(Items!$P$5:$P$504,U2333),"BELOW COST","OK")))),IF($D2333="","","PRO PLAN"))</f>
        <v/>
      </c>
      <c r="U2333" s="60" t="str">
        <f aca="false">IF(IsPro,IF($D2333="","",IFERROR(MATCH($D2333,Items!$A$5:$A$504,0),"")),"")</f>
        <v/>
      </c>
      <c r="V2333" s="60" t="str">
        <f aca="false">IF(IsPro,IF($C2333="","",IFERROR(MATCH($C2333,Parties!$A$5:$A$304,0),"")),"")</f>
        <v/>
      </c>
      <c r="W2333" s="60" t="str">
        <f aca="false">IF(IsPro,IF($B2333="","",IFERROR(VALUE(SUBSTITUTE($B2333,InvPrefix,"")),0)),"")</f>
        <v/>
      </c>
      <c r="X2333" s="61" t="str">
        <f aca="false">IF(IsPro,IF($D2333="","",IF(OR($H2333="",$H2333="Credit"),0,Q2333)),"")</f>
        <v/>
      </c>
    </row>
    <row r="2334" customFormat="false" ht="15" hidden="false" customHeight="false" outlineLevel="0" collapsed="false">
      <c r="A2334" s="55"/>
      <c r="B2334" s="56"/>
      <c r="C2334" s="56"/>
      <c r="D2334" s="56"/>
      <c r="E2334" s="57"/>
      <c r="F2334" s="58"/>
      <c r="G2334" s="59"/>
      <c r="H2334" s="56"/>
      <c r="I2334" s="56"/>
      <c r="J2334" s="60" t="str">
        <f aca="false">IF(IsPro,IF($D2334="","",IFERROR(INDEX(Items!$D$5:$D$504,U2334),"")),"")</f>
        <v/>
      </c>
      <c r="K2334" s="61" t="str">
        <f aca="false">IF(IsPro,IF($D2334="","",IF($F2334="",IFERROR(INDEX(Items!$H$5:$H$504,U2334),0),$F2334)),"")</f>
        <v/>
      </c>
      <c r="L2334" s="61" t="str">
        <f aca="false">IF(IsPro,IF($D2334="","",ROUND(N($E2334)*K2334*(1-N($G2334)),2)),"")</f>
        <v/>
      </c>
      <c r="M2334" s="62" t="str">
        <f aca="false">IF(IsPro,IF($D2334="","",IFERROR(INDEX(Items!$F$5:$F$504,U2334),0)),"")</f>
        <v/>
      </c>
      <c r="N2334" s="61" t="str">
        <f aca="false">IF(IsPro,IF($D2334="","",IF(AND(V2334&lt;&gt;"",INDEX(Parties!$E$5:$E$304,V2334)&lt;&gt;"",INDEX(Parties!$E$5:$E$304,V2334)&lt;&gt;HomeState),0,ROUND(L2334*M2334/2,2))),"")</f>
        <v/>
      </c>
      <c r="O2334" s="61" t="str">
        <f aca="false">IF(IsPro,IF($D2334="","",N2334),"")</f>
        <v/>
      </c>
      <c r="P2334" s="61" t="str">
        <f aca="false">IF(IsPro,IF($D2334="","",IF(AND(V2334&lt;&gt;"",INDEX(Parties!$E$5:$E$304,V2334)&lt;&gt;"",INDEX(Parties!$E$5:$E$304,V2334)&lt;&gt;HomeState),ROUND(L2334*M2334,2),0)),"")</f>
        <v/>
      </c>
      <c r="Q2334" s="61" t="str">
        <f aca="false">IF(IsPro,IF($D2334="","",L2334+N2334+O2334+P2334),"")</f>
        <v/>
      </c>
      <c r="R2334" s="61" t="str">
        <f aca="false">IF(IsPro,IF($D2334="","",ROUND(N($E2334)*IFERROR(INDEX(Items!$P$5:$P$504,U2334),0),2)),"")</f>
        <v/>
      </c>
      <c r="S2334" s="61" t="str">
        <f aca="false">IF(IsPro,IF($D2334="","",L2334-R2334),"")</f>
        <v/>
      </c>
      <c r="T2334" s="60" t="str">
        <f aca="false">IF(IsPro,IF($D2334="","",IF(U2334="","UNKNOWN ITEM",IF(INDEX(Items!$O$5:$O$504,U2334)&lt;0,"NEG STOCK",IF(K2334&lt;INDEX(Items!$P$5:$P$504,U2334),"BELOW COST","OK")))),IF($D2334="","","PRO PLAN"))</f>
        <v/>
      </c>
      <c r="U2334" s="60" t="str">
        <f aca="false">IF(IsPro,IF($D2334="","",IFERROR(MATCH($D2334,Items!$A$5:$A$504,0),"")),"")</f>
        <v/>
      </c>
      <c r="V2334" s="60" t="str">
        <f aca="false">IF(IsPro,IF($C2334="","",IFERROR(MATCH($C2334,Parties!$A$5:$A$304,0),"")),"")</f>
        <v/>
      </c>
      <c r="W2334" s="60" t="str">
        <f aca="false">IF(IsPro,IF($B2334="","",IFERROR(VALUE(SUBSTITUTE($B2334,InvPrefix,"")),0)),"")</f>
        <v/>
      </c>
      <c r="X2334" s="61" t="str">
        <f aca="false">IF(IsPro,IF($D2334="","",IF(OR($H2334="",$H2334="Credit"),0,Q2334)),"")</f>
        <v/>
      </c>
    </row>
    <row r="2335" customFormat="false" ht="15" hidden="false" customHeight="false" outlineLevel="0" collapsed="false">
      <c r="A2335" s="55"/>
      <c r="B2335" s="56"/>
      <c r="C2335" s="56"/>
      <c r="D2335" s="56"/>
      <c r="E2335" s="57"/>
      <c r="F2335" s="58"/>
      <c r="G2335" s="59"/>
      <c r="H2335" s="56"/>
      <c r="I2335" s="56"/>
      <c r="J2335" s="60" t="str">
        <f aca="false">IF(IsPro,IF($D2335="","",IFERROR(INDEX(Items!$D$5:$D$504,U2335),"")),"")</f>
        <v/>
      </c>
      <c r="K2335" s="61" t="str">
        <f aca="false">IF(IsPro,IF($D2335="","",IF($F2335="",IFERROR(INDEX(Items!$H$5:$H$504,U2335),0),$F2335)),"")</f>
        <v/>
      </c>
      <c r="L2335" s="61" t="str">
        <f aca="false">IF(IsPro,IF($D2335="","",ROUND(N($E2335)*K2335*(1-N($G2335)),2)),"")</f>
        <v/>
      </c>
      <c r="M2335" s="62" t="str">
        <f aca="false">IF(IsPro,IF($D2335="","",IFERROR(INDEX(Items!$F$5:$F$504,U2335),0)),"")</f>
        <v/>
      </c>
      <c r="N2335" s="61" t="str">
        <f aca="false">IF(IsPro,IF($D2335="","",IF(AND(V2335&lt;&gt;"",INDEX(Parties!$E$5:$E$304,V2335)&lt;&gt;"",INDEX(Parties!$E$5:$E$304,V2335)&lt;&gt;HomeState),0,ROUND(L2335*M2335/2,2))),"")</f>
        <v/>
      </c>
      <c r="O2335" s="61" t="str">
        <f aca="false">IF(IsPro,IF($D2335="","",N2335),"")</f>
        <v/>
      </c>
      <c r="P2335" s="61" t="str">
        <f aca="false">IF(IsPro,IF($D2335="","",IF(AND(V2335&lt;&gt;"",INDEX(Parties!$E$5:$E$304,V2335)&lt;&gt;"",INDEX(Parties!$E$5:$E$304,V2335)&lt;&gt;HomeState),ROUND(L2335*M2335,2),0)),"")</f>
        <v/>
      </c>
      <c r="Q2335" s="61" t="str">
        <f aca="false">IF(IsPro,IF($D2335="","",L2335+N2335+O2335+P2335),"")</f>
        <v/>
      </c>
      <c r="R2335" s="61" t="str">
        <f aca="false">IF(IsPro,IF($D2335="","",ROUND(N($E2335)*IFERROR(INDEX(Items!$P$5:$P$504,U2335),0),2)),"")</f>
        <v/>
      </c>
      <c r="S2335" s="61" t="str">
        <f aca="false">IF(IsPro,IF($D2335="","",L2335-R2335),"")</f>
        <v/>
      </c>
      <c r="T2335" s="60" t="str">
        <f aca="false">IF(IsPro,IF($D2335="","",IF(U2335="","UNKNOWN ITEM",IF(INDEX(Items!$O$5:$O$504,U2335)&lt;0,"NEG STOCK",IF(K2335&lt;INDEX(Items!$P$5:$P$504,U2335),"BELOW COST","OK")))),IF($D2335="","","PRO PLAN"))</f>
        <v/>
      </c>
      <c r="U2335" s="60" t="str">
        <f aca="false">IF(IsPro,IF($D2335="","",IFERROR(MATCH($D2335,Items!$A$5:$A$504,0),"")),"")</f>
        <v/>
      </c>
      <c r="V2335" s="60" t="str">
        <f aca="false">IF(IsPro,IF($C2335="","",IFERROR(MATCH($C2335,Parties!$A$5:$A$304,0),"")),"")</f>
        <v/>
      </c>
      <c r="W2335" s="60" t="str">
        <f aca="false">IF(IsPro,IF($B2335="","",IFERROR(VALUE(SUBSTITUTE($B2335,InvPrefix,"")),0)),"")</f>
        <v/>
      </c>
      <c r="X2335" s="61" t="str">
        <f aca="false">IF(IsPro,IF($D2335="","",IF(OR($H2335="",$H2335="Credit"),0,Q2335)),"")</f>
        <v/>
      </c>
    </row>
    <row r="2336" customFormat="false" ht="15" hidden="false" customHeight="false" outlineLevel="0" collapsed="false">
      <c r="A2336" s="55"/>
      <c r="B2336" s="56"/>
      <c r="C2336" s="56"/>
      <c r="D2336" s="56"/>
      <c r="E2336" s="57"/>
      <c r="F2336" s="58"/>
      <c r="G2336" s="59"/>
      <c r="H2336" s="56"/>
      <c r="I2336" s="56"/>
      <c r="J2336" s="60" t="str">
        <f aca="false">IF(IsPro,IF($D2336="","",IFERROR(INDEX(Items!$D$5:$D$504,U2336),"")),"")</f>
        <v/>
      </c>
      <c r="K2336" s="61" t="str">
        <f aca="false">IF(IsPro,IF($D2336="","",IF($F2336="",IFERROR(INDEX(Items!$H$5:$H$504,U2336),0),$F2336)),"")</f>
        <v/>
      </c>
      <c r="L2336" s="61" t="str">
        <f aca="false">IF(IsPro,IF($D2336="","",ROUND(N($E2336)*K2336*(1-N($G2336)),2)),"")</f>
        <v/>
      </c>
      <c r="M2336" s="62" t="str">
        <f aca="false">IF(IsPro,IF($D2336="","",IFERROR(INDEX(Items!$F$5:$F$504,U2336),0)),"")</f>
        <v/>
      </c>
      <c r="N2336" s="61" t="str">
        <f aca="false">IF(IsPro,IF($D2336="","",IF(AND(V2336&lt;&gt;"",INDEX(Parties!$E$5:$E$304,V2336)&lt;&gt;"",INDEX(Parties!$E$5:$E$304,V2336)&lt;&gt;HomeState),0,ROUND(L2336*M2336/2,2))),"")</f>
        <v/>
      </c>
      <c r="O2336" s="61" t="str">
        <f aca="false">IF(IsPro,IF($D2336="","",N2336),"")</f>
        <v/>
      </c>
      <c r="P2336" s="61" t="str">
        <f aca="false">IF(IsPro,IF($D2336="","",IF(AND(V2336&lt;&gt;"",INDEX(Parties!$E$5:$E$304,V2336)&lt;&gt;"",INDEX(Parties!$E$5:$E$304,V2336)&lt;&gt;HomeState),ROUND(L2336*M2336,2),0)),"")</f>
        <v/>
      </c>
      <c r="Q2336" s="61" t="str">
        <f aca="false">IF(IsPro,IF($D2336="","",L2336+N2336+O2336+P2336),"")</f>
        <v/>
      </c>
      <c r="R2336" s="61" t="str">
        <f aca="false">IF(IsPro,IF($D2336="","",ROUND(N($E2336)*IFERROR(INDEX(Items!$P$5:$P$504,U2336),0),2)),"")</f>
        <v/>
      </c>
      <c r="S2336" s="61" t="str">
        <f aca="false">IF(IsPro,IF($D2336="","",L2336-R2336),"")</f>
        <v/>
      </c>
      <c r="T2336" s="60" t="str">
        <f aca="false">IF(IsPro,IF($D2336="","",IF(U2336="","UNKNOWN ITEM",IF(INDEX(Items!$O$5:$O$504,U2336)&lt;0,"NEG STOCK",IF(K2336&lt;INDEX(Items!$P$5:$P$504,U2336),"BELOW COST","OK")))),IF($D2336="","","PRO PLAN"))</f>
        <v/>
      </c>
      <c r="U2336" s="60" t="str">
        <f aca="false">IF(IsPro,IF($D2336="","",IFERROR(MATCH($D2336,Items!$A$5:$A$504,0),"")),"")</f>
        <v/>
      </c>
      <c r="V2336" s="60" t="str">
        <f aca="false">IF(IsPro,IF($C2336="","",IFERROR(MATCH($C2336,Parties!$A$5:$A$304,0),"")),"")</f>
        <v/>
      </c>
      <c r="W2336" s="60" t="str">
        <f aca="false">IF(IsPro,IF($B2336="","",IFERROR(VALUE(SUBSTITUTE($B2336,InvPrefix,"")),0)),"")</f>
        <v/>
      </c>
      <c r="X2336" s="61" t="str">
        <f aca="false">IF(IsPro,IF($D2336="","",IF(OR($H2336="",$H2336="Credit"),0,Q2336)),"")</f>
        <v/>
      </c>
    </row>
    <row r="2337" customFormat="false" ht="15" hidden="false" customHeight="false" outlineLevel="0" collapsed="false">
      <c r="A2337" s="55"/>
      <c r="B2337" s="56"/>
      <c r="C2337" s="56"/>
      <c r="D2337" s="56"/>
      <c r="E2337" s="57"/>
      <c r="F2337" s="58"/>
      <c r="G2337" s="59"/>
      <c r="H2337" s="56"/>
      <c r="I2337" s="56"/>
      <c r="J2337" s="60" t="str">
        <f aca="false">IF(IsPro,IF($D2337="","",IFERROR(INDEX(Items!$D$5:$D$504,U2337),"")),"")</f>
        <v/>
      </c>
      <c r="K2337" s="61" t="str">
        <f aca="false">IF(IsPro,IF($D2337="","",IF($F2337="",IFERROR(INDEX(Items!$H$5:$H$504,U2337),0),$F2337)),"")</f>
        <v/>
      </c>
      <c r="L2337" s="61" t="str">
        <f aca="false">IF(IsPro,IF($D2337="","",ROUND(N($E2337)*K2337*(1-N($G2337)),2)),"")</f>
        <v/>
      </c>
      <c r="M2337" s="62" t="str">
        <f aca="false">IF(IsPro,IF($D2337="","",IFERROR(INDEX(Items!$F$5:$F$504,U2337),0)),"")</f>
        <v/>
      </c>
      <c r="N2337" s="61" t="str">
        <f aca="false">IF(IsPro,IF($D2337="","",IF(AND(V2337&lt;&gt;"",INDEX(Parties!$E$5:$E$304,V2337)&lt;&gt;"",INDEX(Parties!$E$5:$E$304,V2337)&lt;&gt;HomeState),0,ROUND(L2337*M2337/2,2))),"")</f>
        <v/>
      </c>
      <c r="O2337" s="61" t="str">
        <f aca="false">IF(IsPro,IF($D2337="","",N2337),"")</f>
        <v/>
      </c>
      <c r="P2337" s="61" t="str">
        <f aca="false">IF(IsPro,IF($D2337="","",IF(AND(V2337&lt;&gt;"",INDEX(Parties!$E$5:$E$304,V2337)&lt;&gt;"",INDEX(Parties!$E$5:$E$304,V2337)&lt;&gt;HomeState),ROUND(L2337*M2337,2),0)),"")</f>
        <v/>
      </c>
      <c r="Q2337" s="61" t="str">
        <f aca="false">IF(IsPro,IF($D2337="","",L2337+N2337+O2337+P2337),"")</f>
        <v/>
      </c>
      <c r="R2337" s="61" t="str">
        <f aca="false">IF(IsPro,IF($D2337="","",ROUND(N($E2337)*IFERROR(INDEX(Items!$P$5:$P$504,U2337),0),2)),"")</f>
        <v/>
      </c>
      <c r="S2337" s="61" t="str">
        <f aca="false">IF(IsPro,IF($D2337="","",L2337-R2337),"")</f>
        <v/>
      </c>
      <c r="T2337" s="60" t="str">
        <f aca="false">IF(IsPro,IF($D2337="","",IF(U2337="","UNKNOWN ITEM",IF(INDEX(Items!$O$5:$O$504,U2337)&lt;0,"NEG STOCK",IF(K2337&lt;INDEX(Items!$P$5:$P$504,U2337),"BELOW COST","OK")))),IF($D2337="","","PRO PLAN"))</f>
        <v/>
      </c>
      <c r="U2337" s="60" t="str">
        <f aca="false">IF(IsPro,IF($D2337="","",IFERROR(MATCH($D2337,Items!$A$5:$A$504,0),"")),"")</f>
        <v/>
      </c>
      <c r="V2337" s="60" t="str">
        <f aca="false">IF(IsPro,IF($C2337="","",IFERROR(MATCH($C2337,Parties!$A$5:$A$304,0),"")),"")</f>
        <v/>
      </c>
      <c r="W2337" s="60" t="str">
        <f aca="false">IF(IsPro,IF($B2337="","",IFERROR(VALUE(SUBSTITUTE($B2337,InvPrefix,"")),0)),"")</f>
        <v/>
      </c>
      <c r="X2337" s="61" t="str">
        <f aca="false">IF(IsPro,IF($D2337="","",IF(OR($H2337="",$H2337="Credit"),0,Q2337)),"")</f>
        <v/>
      </c>
    </row>
    <row r="2338" customFormat="false" ht="15" hidden="false" customHeight="false" outlineLevel="0" collapsed="false">
      <c r="A2338" s="55"/>
      <c r="B2338" s="56"/>
      <c r="C2338" s="56"/>
      <c r="D2338" s="56"/>
      <c r="E2338" s="57"/>
      <c r="F2338" s="58"/>
      <c r="G2338" s="59"/>
      <c r="H2338" s="56"/>
      <c r="I2338" s="56"/>
      <c r="J2338" s="60" t="str">
        <f aca="false">IF(IsPro,IF($D2338="","",IFERROR(INDEX(Items!$D$5:$D$504,U2338),"")),"")</f>
        <v/>
      </c>
      <c r="K2338" s="61" t="str">
        <f aca="false">IF(IsPro,IF($D2338="","",IF($F2338="",IFERROR(INDEX(Items!$H$5:$H$504,U2338),0),$F2338)),"")</f>
        <v/>
      </c>
      <c r="L2338" s="61" t="str">
        <f aca="false">IF(IsPro,IF($D2338="","",ROUND(N($E2338)*K2338*(1-N($G2338)),2)),"")</f>
        <v/>
      </c>
      <c r="M2338" s="62" t="str">
        <f aca="false">IF(IsPro,IF($D2338="","",IFERROR(INDEX(Items!$F$5:$F$504,U2338),0)),"")</f>
        <v/>
      </c>
      <c r="N2338" s="61" t="str">
        <f aca="false">IF(IsPro,IF($D2338="","",IF(AND(V2338&lt;&gt;"",INDEX(Parties!$E$5:$E$304,V2338)&lt;&gt;"",INDEX(Parties!$E$5:$E$304,V2338)&lt;&gt;HomeState),0,ROUND(L2338*M2338/2,2))),"")</f>
        <v/>
      </c>
      <c r="O2338" s="61" t="str">
        <f aca="false">IF(IsPro,IF($D2338="","",N2338),"")</f>
        <v/>
      </c>
      <c r="P2338" s="61" t="str">
        <f aca="false">IF(IsPro,IF($D2338="","",IF(AND(V2338&lt;&gt;"",INDEX(Parties!$E$5:$E$304,V2338)&lt;&gt;"",INDEX(Parties!$E$5:$E$304,V2338)&lt;&gt;HomeState),ROUND(L2338*M2338,2),0)),"")</f>
        <v/>
      </c>
      <c r="Q2338" s="61" t="str">
        <f aca="false">IF(IsPro,IF($D2338="","",L2338+N2338+O2338+P2338),"")</f>
        <v/>
      </c>
      <c r="R2338" s="61" t="str">
        <f aca="false">IF(IsPro,IF($D2338="","",ROUND(N($E2338)*IFERROR(INDEX(Items!$P$5:$P$504,U2338),0),2)),"")</f>
        <v/>
      </c>
      <c r="S2338" s="61" t="str">
        <f aca="false">IF(IsPro,IF($D2338="","",L2338-R2338),"")</f>
        <v/>
      </c>
      <c r="T2338" s="60" t="str">
        <f aca="false">IF(IsPro,IF($D2338="","",IF(U2338="","UNKNOWN ITEM",IF(INDEX(Items!$O$5:$O$504,U2338)&lt;0,"NEG STOCK",IF(K2338&lt;INDEX(Items!$P$5:$P$504,U2338),"BELOW COST","OK")))),IF($D2338="","","PRO PLAN"))</f>
        <v/>
      </c>
      <c r="U2338" s="60" t="str">
        <f aca="false">IF(IsPro,IF($D2338="","",IFERROR(MATCH($D2338,Items!$A$5:$A$504,0),"")),"")</f>
        <v/>
      </c>
      <c r="V2338" s="60" t="str">
        <f aca="false">IF(IsPro,IF($C2338="","",IFERROR(MATCH($C2338,Parties!$A$5:$A$304,0),"")),"")</f>
        <v/>
      </c>
      <c r="W2338" s="60" t="str">
        <f aca="false">IF(IsPro,IF($B2338="","",IFERROR(VALUE(SUBSTITUTE($B2338,InvPrefix,"")),0)),"")</f>
        <v/>
      </c>
      <c r="X2338" s="61" t="str">
        <f aca="false">IF(IsPro,IF($D2338="","",IF(OR($H2338="",$H2338="Credit"),0,Q2338)),"")</f>
        <v/>
      </c>
    </row>
    <row r="2339" customFormat="false" ht="15" hidden="false" customHeight="false" outlineLevel="0" collapsed="false">
      <c r="A2339" s="55"/>
      <c r="B2339" s="56"/>
      <c r="C2339" s="56"/>
      <c r="D2339" s="56"/>
      <c r="E2339" s="57"/>
      <c r="F2339" s="58"/>
      <c r="G2339" s="59"/>
      <c r="H2339" s="56"/>
      <c r="I2339" s="56"/>
      <c r="J2339" s="60" t="str">
        <f aca="false">IF(IsPro,IF($D2339="","",IFERROR(INDEX(Items!$D$5:$D$504,U2339),"")),"")</f>
        <v/>
      </c>
      <c r="K2339" s="61" t="str">
        <f aca="false">IF(IsPro,IF($D2339="","",IF($F2339="",IFERROR(INDEX(Items!$H$5:$H$504,U2339),0),$F2339)),"")</f>
        <v/>
      </c>
      <c r="L2339" s="61" t="str">
        <f aca="false">IF(IsPro,IF($D2339="","",ROUND(N($E2339)*K2339*(1-N($G2339)),2)),"")</f>
        <v/>
      </c>
      <c r="M2339" s="62" t="str">
        <f aca="false">IF(IsPro,IF($D2339="","",IFERROR(INDEX(Items!$F$5:$F$504,U2339),0)),"")</f>
        <v/>
      </c>
      <c r="N2339" s="61" t="str">
        <f aca="false">IF(IsPro,IF($D2339="","",IF(AND(V2339&lt;&gt;"",INDEX(Parties!$E$5:$E$304,V2339)&lt;&gt;"",INDEX(Parties!$E$5:$E$304,V2339)&lt;&gt;HomeState),0,ROUND(L2339*M2339/2,2))),"")</f>
        <v/>
      </c>
      <c r="O2339" s="61" t="str">
        <f aca="false">IF(IsPro,IF($D2339="","",N2339),"")</f>
        <v/>
      </c>
      <c r="P2339" s="61" t="str">
        <f aca="false">IF(IsPro,IF($D2339="","",IF(AND(V2339&lt;&gt;"",INDEX(Parties!$E$5:$E$304,V2339)&lt;&gt;"",INDEX(Parties!$E$5:$E$304,V2339)&lt;&gt;HomeState),ROUND(L2339*M2339,2),0)),"")</f>
        <v/>
      </c>
      <c r="Q2339" s="61" t="str">
        <f aca="false">IF(IsPro,IF($D2339="","",L2339+N2339+O2339+P2339),"")</f>
        <v/>
      </c>
      <c r="R2339" s="61" t="str">
        <f aca="false">IF(IsPro,IF($D2339="","",ROUND(N($E2339)*IFERROR(INDEX(Items!$P$5:$P$504,U2339),0),2)),"")</f>
        <v/>
      </c>
      <c r="S2339" s="61" t="str">
        <f aca="false">IF(IsPro,IF($D2339="","",L2339-R2339),"")</f>
        <v/>
      </c>
      <c r="T2339" s="60" t="str">
        <f aca="false">IF(IsPro,IF($D2339="","",IF(U2339="","UNKNOWN ITEM",IF(INDEX(Items!$O$5:$O$504,U2339)&lt;0,"NEG STOCK",IF(K2339&lt;INDEX(Items!$P$5:$P$504,U2339),"BELOW COST","OK")))),IF($D2339="","","PRO PLAN"))</f>
        <v/>
      </c>
      <c r="U2339" s="60" t="str">
        <f aca="false">IF(IsPro,IF($D2339="","",IFERROR(MATCH($D2339,Items!$A$5:$A$504,0),"")),"")</f>
        <v/>
      </c>
      <c r="V2339" s="60" t="str">
        <f aca="false">IF(IsPro,IF($C2339="","",IFERROR(MATCH($C2339,Parties!$A$5:$A$304,0),"")),"")</f>
        <v/>
      </c>
      <c r="W2339" s="60" t="str">
        <f aca="false">IF(IsPro,IF($B2339="","",IFERROR(VALUE(SUBSTITUTE($B2339,InvPrefix,"")),0)),"")</f>
        <v/>
      </c>
      <c r="X2339" s="61" t="str">
        <f aca="false">IF(IsPro,IF($D2339="","",IF(OR($H2339="",$H2339="Credit"),0,Q2339)),"")</f>
        <v/>
      </c>
    </row>
    <row r="2340" customFormat="false" ht="15" hidden="false" customHeight="false" outlineLevel="0" collapsed="false">
      <c r="A2340" s="55"/>
      <c r="B2340" s="56"/>
      <c r="C2340" s="56"/>
      <c r="D2340" s="56"/>
      <c r="E2340" s="57"/>
      <c r="F2340" s="58"/>
      <c r="G2340" s="59"/>
      <c r="H2340" s="56"/>
      <c r="I2340" s="56"/>
      <c r="J2340" s="60" t="str">
        <f aca="false">IF(IsPro,IF($D2340="","",IFERROR(INDEX(Items!$D$5:$D$504,U2340),"")),"")</f>
        <v/>
      </c>
      <c r="K2340" s="61" t="str">
        <f aca="false">IF(IsPro,IF($D2340="","",IF($F2340="",IFERROR(INDEX(Items!$H$5:$H$504,U2340),0),$F2340)),"")</f>
        <v/>
      </c>
      <c r="L2340" s="61" t="str">
        <f aca="false">IF(IsPro,IF($D2340="","",ROUND(N($E2340)*K2340*(1-N($G2340)),2)),"")</f>
        <v/>
      </c>
      <c r="M2340" s="62" t="str">
        <f aca="false">IF(IsPro,IF($D2340="","",IFERROR(INDEX(Items!$F$5:$F$504,U2340),0)),"")</f>
        <v/>
      </c>
      <c r="N2340" s="61" t="str">
        <f aca="false">IF(IsPro,IF($D2340="","",IF(AND(V2340&lt;&gt;"",INDEX(Parties!$E$5:$E$304,V2340)&lt;&gt;"",INDEX(Parties!$E$5:$E$304,V2340)&lt;&gt;HomeState),0,ROUND(L2340*M2340/2,2))),"")</f>
        <v/>
      </c>
      <c r="O2340" s="61" t="str">
        <f aca="false">IF(IsPro,IF($D2340="","",N2340),"")</f>
        <v/>
      </c>
      <c r="P2340" s="61" t="str">
        <f aca="false">IF(IsPro,IF($D2340="","",IF(AND(V2340&lt;&gt;"",INDEX(Parties!$E$5:$E$304,V2340)&lt;&gt;"",INDEX(Parties!$E$5:$E$304,V2340)&lt;&gt;HomeState),ROUND(L2340*M2340,2),0)),"")</f>
        <v/>
      </c>
      <c r="Q2340" s="61" t="str">
        <f aca="false">IF(IsPro,IF($D2340="","",L2340+N2340+O2340+P2340),"")</f>
        <v/>
      </c>
      <c r="R2340" s="61" t="str">
        <f aca="false">IF(IsPro,IF($D2340="","",ROUND(N($E2340)*IFERROR(INDEX(Items!$P$5:$P$504,U2340),0),2)),"")</f>
        <v/>
      </c>
      <c r="S2340" s="61" t="str">
        <f aca="false">IF(IsPro,IF($D2340="","",L2340-R2340),"")</f>
        <v/>
      </c>
      <c r="T2340" s="60" t="str">
        <f aca="false">IF(IsPro,IF($D2340="","",IF(U2340="","UNKNOWN ITEM",IF(INDEX(Items!$O$5:$O$504,U2340)&lt;0,"NEG STOCK",IF(K2340&lt;INDEX(Items!$P$5:$P$504,U2340),"BELOW COST","OK")))),IF($D2340="","","PRO PLAN"))</f>
        <v/>
      </c>
      <c r="U2340" s="60" t="str">
        <f aca="false">IF(IsPro,IF($D2340="","",IFERROR(MATCH($D2340,Items!$A$5:$A$504,0),"")),"")</f>
        <v/>
      </c>
      <c r="V2340" s="60" t="str">
        <f aca="false">IF(IsPro,IF($C2340="","",IFERROR(MATCH($C2340,Parties!$A$5:$A$304,0),"")),"")</f>
        <v/>
      </c>
      <c r="W2340" s="60" t="str">
        <f aca="false">IF(IsPro,IF($B2340="","",IFERROR(VALUE(SUBSTITUTE($B2340,InvPrefix,"")),0)),"")</f>
        <v/>
      </c>
      <c r="X2340" s="61" t="str">
        <f aca="false">IF(IsPro,IF($D2340="","",IF(OR($H2340="",$H2340="Credit"),0,Q2340)),"")</f>
        <v/>
      </c>
    </row>
    <row r="2341" customFormat="false" ht="15" hidden="false" customHeight="false" outlineLevel="0" collapsed="false">
      <c r="A2341" s="55"/>
      <c r="B2341" s="56"/>
      <c r="C2341" s="56"/>
      <c r="D2341" s="56"/>
      <c r="E2341" s="57"/>
      <c r="F2341" s="58"/>
      <c r="G2341" s="59"/>
      <c r="H2341" s="56"/>
      <c r="I2341" s="56"/>
      <c r="J2341" s="60" t="str">
        <f aca="false">IF(IsPro,IF($D2341="","",IFERROR(INDEX(Items!$D$5:$D$504,U2341),"")),"")</f>
        <v/>
      </c>
      <c r="K2341" s="61" t="str">
        <f aca="false">IF(IsPro,IF($D2341="","",IF($F2341="",IFERROR(INDEX(Items!$H$5:$H$504,U2341),0),$F2341)),"")</f>
        <v/>
      </c>
      <c r="L2341" s="61" t="str">
        <f aca="false">IF(IsPro,IF($D2341="","",ROUND(N($E2341)*K2341*(1-N($G2341)),2)),"")</f>
        <v/>
      </c>
      <c r="M2341" s="62" t="str">
        <f aca="false">IF(IsPro,IF($D2341="","",IFERROR(INDEX(Items!$F$5:$F$504,U2341),0)),"")</f>
        <v/>
      </c>
      <c r="N2341" s="61" t="str">
        <f aca="false">IF(IsPro,IF($D2341="","",IF(AND(V2341&lt;&gt;"",INDEX(Parties!$E$5:$E$304,V2341)&lt;&gt;"",INDEX(Parties!$E$5:$E$304,V2341)&lt;&gt;HomeState),0,ROUND(L2341*M2341/2,2))),"")</f>
        <v/>
      </c>
      <c r="O2341" s="61" t="str">
        <f aca="false">IF(IsPro,IF($D2341="","",N2341),"")</f>
        <v/>
      </c>
      <c r="P2341" s="61" t="str">
        <f aca="false">IF(IsPro,IF($D2341="","",IF(AND(V2341&lt;&gt;"",INDEX(Parties!$E$5:$E$304,V2341)&lt;&gt;"",INDEX(Parties!$E$5:$E$304,V2341)&lt;&gt;HomeState),ROUND(L2341*M2341,2),0)),"")</f>
        <v/>
      </c>
      <c r="Q2341" s="61" t="str">
        <f aca="false">IF(IsPro,IF($D2341="","",L2341+N2341+O2341+P2341),"")</f>
        <v/>
      </c>
      <c r="R2341" s="61" t="str">
        <f aca="false">IF(IsPro,IF($D2341="","",ROUND(N($E2341)*IFERROR(INDEX(Items!$P$5:$P$504,U2341),0),2)),"")</f>
        <v/>
      </c>
      <c r="S2341" s="61" t="str">
        <f aca="false">IF(IsPro,IF($D2341="","",L2341-R2341),"")</f>
        <v/>
      </c>
      <c r="T2341" s="60" t="str">
        <f aca="false">IF(IsPro,IF($D2341="","",IF(U2341="","UNKNOWN ITEM",IF(INDEX(Items!$O$5:$O$504,U2341)&lt;0,"NEG STOCK",IF(K2341&lt;INDEX(Items!$P$5:$P$504,U2341),"BELOW COST","OK")))),IF($D2341="","","PRO PLAN"))</f>
        <v/>
      </c>
      <c r="U2341" s="60" t="str">
        <f aca="false">IF(IsPro,IF($D2341="","",IFERROR(MATCH($D2341,Items!$A$5:$A$504,0),"")),"")</f>
        <v/>
      </c>
      <c r="V2341" s="60" t="str">
        <f aca="false">IF(IsPro,IF($C2341="","",IFERROR(MATCH($C2341,Parties!$A$5:$A$304,0),"")),"")</f>
        <v/>
      </c>
      <c r="W2341" s="60" t="str">
        <f aca="false">IF(IsPro,IF($B2341="","",IFERROR(VALUE(SUBSTITUTE($B2341,InvPrefix,"")),0)),"")</f>
        <v/>
      </c>
      <c r="X2341" s="61" t="str">
        <f aca="false">IF(IsPro,IF($D2341="","",IF(OR($H2341="",$H2341="Credit"),0,Q2341)),"")</f>
        <v/>
      </c>
    </row>
    <row r="2342" customFormat="false" ht="15" hidden="false" customHeight="false" outlineLevel="0" collapsed="false">
      <c r="A2342" s="55"/>
      <c r="B2342" s="56"/>
      <c r="C2342" s="56"/>
      <c r="D2342" s="56"/>
      <c r="E2342" s="57"/>
      <c r="F2342" s="58"/>
      <c r="G2342" s="59"/>
      <c r="H2342" s="56"/>
      <c r="I2342" s="56"/>
      <c r="J2342" s="60" t="str">
        <f aca="false">IF(IsPro,IF($D2342="","",IFERROR(INDEX(Items!$D$5:$D$504,U2342),"")),"")</f>
        <v/>
      </c>
      <c r="K2342" s="61" t="str">
        <f aca="false">IF(IsPro,IF($D2342="","",IF($F2342="",IFERROR(INDEX(Items!$H$5:$H$504,U2342),0),$F2342)),"")</f>
        <v/>
      </c>
      <c r="L2342" s="61" t="str">
        <f aca="false">IF(IsPro,IF($D2342="","",ROUND(N($E2342)*K2342*(1-N($G2342)),2)),"")</f>
        <v/>
      </c>
      <c r="M2342" s="62" t="str">
        <f aca="false">IF(IsPro,IF($D2342="","",IFERROR(INDEX(Items!$F$5:$F$504,U2342),0)),"")</f>
        <v/>
      </c>
      <c r="N2342" s="61" t="str">
        <f aca="false">IF(IsPro,IF($D2342="","",IF(AND(V2342&lt;&gt;"",INDEX(Parties!$E$5:$E$304,V2342)&lt;&gt;"",INDEX(Parties!$E$5:$E$304,V2342)&lt;&gt;HomeState),0,ROUND(L2342*M2342/2,2))),"")</f>
        <v/>
      </c>
      <c r="O2342" s="61" t="str">
        <f aca="false">IF(IsPro,IF($D2342="","",N2342),"")</f>
        <v/>
      </c>
      <c r="P2342" s="61" t="str">
        <f aca="false">IF(IsPro,IF($D2342="","",IF(AND(V2342&lt;&gt;"",INDEX(Parties!$E$5:$E$304,V2342)&lt;&gt;"",INDEX(Parties!$E$5:$E$304,V2342)&lt;&gt;HomeState),ROUND(L2342*M2342,2),0)),"")</f>
        <v/>
      </c>
      <c r="Q2342" s="61" t="str">
        <f aca="false">IF(IsPro,IF($D2342="","",L2342+N2342+O2342+P2342),"")</f>
        <v/>
      </c>
      <c r="R2342" s="61" t="str">
        <f aca="false">IF(IsPro,IF($D2342="","",ROUND(N($E2342)*IFERROR(INDEX(Items!$P$5:$P$504,U2342),0),2)),"")</f>
        <v/>
      </c>
      <c r="S2342" s="61" t="str">
        <f aca="false">IF(IsPro,IF($D2342="","",L2342-R2342),"")</f>
        <v/>
      </c>
      <c r="T2342" s="60" t="str">
        <f aca="false">IF(IsPro,IF($D2342="","",IF(U2342="","UNKNOWN ITEM",IF(INDEX(Items!$O$5:$O$504,U2342)&lt;0,"NEG STOCK",IF(K2342&lt;INDEX(Items!$P$5:$P$504,U2342),"BELOW COST","OK")))),IF($D2342="","","PRO PLAN"))</f>
        <v/>
      </c>
      <c r="U2342" s="60" t="str">
        <f aca="false">IF(IsPro,IF($D2342="","",IFERROR(MATCH($D2342,Items!$A$5:$A$504,0),"")),"")</f>
        <v/>
      </c>
      <c r="V2342" s="60" t="str">
        <f aca="false">IF(IsPro,IF($C2342="","",IFERROR(MATCH($C2342,Parties!$A$5:$A$304,0),"")),"")</f>
        <v/>
      </c>
      <c r="W2342" s="60" t="str">
        <f aca="false">IF(IsPro,IF($B2342="","",IFERROR(VALUE(SUBSTITUTE($B2342,InvPrefix,"")),0)),"")</f>
        <v/>
      </c>
      <c r="X2342" s="61" t="str">
        <f aca="false">IF(IsPro,IF($D2342="","",IF(OR($H2342="",$H2342="Credit"),0,Q2342)),"")</f>
        <v/>
      </c>
    </row>
    <row r="2343" customFormat="false" ht="15" hidden="false" customHeight="false" outlineLevel="0" collapsed="false">
      <c r="A2343" s="55"/>
      <c r="B2343" s="56"/>
      <c r="C2343" s="56"/>
      <c r="D2343" s="56"/>
      <c r="E2343" s="57"/>
      <c r="F2343" s="58"/>
      <c r="G2343" s="59"/>
      <c r="H2343" s="56"/>
      <c r="I2343" s="56"/>
      <c r="J2343" s="60" t="str">
        <f aca="false">IF(IsPro,IF($D2343="","",IFERROR(INDEX(Items!$D$5:$D$504,U2343),"")),"")</f>
        <v/>
      </c>
      <c r="K2343" s="61" t="str">
        <f aca="false">IF(IsPro,IF($D2343="","",IF($F2343="",IFERROR(INDEX(Items!$H$5:$H$504,U2343),0),$F2343)),"")</f>
        <v/>
      </c>
      <c r="L2343" s="61" t="str">
        <f aca="false">IF(IsPro,IF($D2343="","",ROUND(N($E2343)*K2343*(1-N($G2343)),2)),"")</f>
        <v/>
      </c>
      <c r="M2343" s="62" t="str">
        <f aca="false">IF(IsPro,IF($D2343="","",IFERROR(INDEX(Items!$F$5:$F$504,U2343),0)),"")</f>
        <v/>
      </c>
      <c r="N2343" s="61" t="str">
        <f aca="false">IF(IsPro,IF($D2343="","",IF(AND(V2343&lt;&gt;"",INDEX(Parties!$E$5:$E$304,V2343)&lt;&gt;"",INDEX(Parties!$E$5:$E$304,V2343)&lt;&gt;HomeState),0,ROUND(L2343*M2343/2,2))),"")</f>
        <v/>
      </c>
      <c r="O2343" s="61" t="str">
        <f aca="false">IF(IsPro,IF($D2343="","",N2343),"")</f>
        <v/>
      </c>
      <c r="P2343" s="61" t="str">
        <f aca="false">IF(IsPro,IF($D2343="","",IF(AND(V2343&lt;&gt;"",INDEX(Parties!$E$5:$E$304,V2343)&lt;&gt;"",INDEX(Parties!$E$5:$E$304,V2343)&lt;&gt;HomeState),ROUND(L2343*M2343,2),0)),"")</f>
        <v/>
      </c>
      <c r="Q2343" s="61" t="str">
        <f aca="false">IF(IsPro,IF($D2343="","",L2343+N2343+O2343+P2343),"")</f>
        <v/>
      </c>
      <c r="R2343" s="61" t="str">
        <f aca="false">IF(IsPro,IF($D2343="","",ROUND(N($E2343)*IFERROR(INDEX(Items!$P$5:$P$504,U2343),0),2)),"")</f>
        <v/>
      </c>
      <c r="S2343" s="61" t="str">
        <f aca="false">IF(IsPro,IF($D2343="","",L2343-R2343),"")</f>
        <v/>
      </c>
      <c r="T2343" s="60" t="str">
        <f aca="false">IF(IsPro,IF($D2343="","",IF(U2343="","UNKNOWN ITEM",IF(INDEX(Items!$O$5:$O$504,U2343)&lt;0,"NEG STOCK",IF(K2343&lt;INDEX(Items!$P$5:$P$504,U2343),"BELOW COST","OK")))),IF($D2343="","","PRO PLAN"))</f>
        <v/>
      </c>
      <c r="U2343" s="60" t="str">
        <f aca="false">IF(IsPro,IF($D2343="","",IFERROR(MATCH($D2343,Items!$A$5:$A$504,0),"")),"")</f>
        <v/>
      </c>
      <c r="V2343" s="60" t="str">
        <f aca="false">IF(IsPro,IF($C2343="","",IFERROR(MATCH($C2343,Parties!$A$5:$A$304,0),"")),"")</f>
        <v/>
      </c>
      <c r="W2343" s="60" t="str">
        <f aca="false">IF(IsPro,IF($B2343="","",IFERROR(VALUE(SUBSTITUTE($B2343,InvPrefix,"")),0)),"")</f>
        <v/>
      </c>
      <c r="X2343" s="61" t="str">
        <f aca="false">IF(IsPro,IF($D2343="","",IF(OR($H2343="",$H2343="Credit"),0,Q2343)),"")</f>
        <v/>
      </c>
    </row>
    <row r="2344" customFormat="false" ht="15" hidden="false" customHeight="false" outlineLevel="0" collapsed="false">
      <c r="A2344" s="55"/>
      <c r="B2344" s="56"/>
      <c r="C2344" s="56"/>
      <c r="D2344" s="56"/>
      <c r="E2344" s="57"/>
      <c r="F2344" s="58"/>
      <c r="G2344" s="59"/>
      <c r="H2344" s="56"/>
      <c r="I2344" s="56"/>
      <c r="J2344" s="60" t="str">
        <f aca="false">IF(IsPro,IF($D2344="","",IFERROR(INDEX(Items!$D$5:$D$504,U2344),"")),"")</f>
        <v/>
      </c>
      <c r="K2344" s="61" t="str">
        <f aca="false">IF(IsPro,IF($D2344="","",IF($F2344="",IFERROR(INDEX(Items!$H$5:$H$504,U2344),0),$F2344)),"")</f>
        <v/>
      </c>
      <c r="L2344" s="61" t="str">
        <f aca="false">IF(IsPro,IF($D2344="","",ROUND(N($E2344)*K2344*(1-N($G2344)),2)),"")</f>
        <v/>
      </c>
      <c r="M2344" s="62" t="str">
        <f aca="false">IF(IsPro,IF($D2344="","",IFERROR(INDEX(Items!$F$5:$F$504,U2344),0)),"")</f>
        <v/>
      </c>
      <c r="N2344" s="61" t="str">
        <f aca="false">IF(IsPro,IF($D2344="","",IF(AND(V2344&lt;&gt;"",INDEX(Parties!$E$5:$E$304,V2344)&lt;&gt;"",INDEX(Parties!$E$5:$E$304,V2344)&lt;&gt;HomeState),0,ROUND(L2344*M2344/2,2))),"")</f>
        <v/>
      </c>
      <c r="O2344" s="61" t="str">
        <f aca="false">IF(IsPro,IF($D2344="","",N2344),"")</f>
        <v/>
      </c>
      <c r="P2344" s="61" t="str">
        <f aca="false">IF(IsPro,IF($D2344="","",IF(AND(V2344&lt;&gt;"",INDEX(Parties!$E$5:$E$304,V2344)&lt;&gt;"",INDEX(Parties!$E$5:$E$304,V2344)&lt;&gt;HomeState),ROUND(L2344*M2344,2),0)),"")</f>
        <v/>
      </c>
      <c r="Q2344" s="61" t="str">
        <f aca="false">IF(IsPro,IF($D2344="","",L2344+N2344+O2344+P2344),"")</f>
        <v/>
      </c>
      <c r="R2344" s="61" t="str">
        <f aca="false">IF(IsPro,IF($D2344="","",ROUND(N($E2344)*IFERROR(INDEX(Items!$P$5:$P$504,U2344),0),2)),"")</f>
        <v/>
      </c>
      <c r="S2344" s="61" t="str">
        <f aca="false">IF(IsPro,IF($D2344="","",L2344-R2344),"")</f>
        <v/>
      </c>
      <c r="T2344" s="60" t="str">
        <f aca="false">IF(IsPro,IF($D2344="","",IF(U2344="","UNKNOWN ITEM",IF(INDEX(Items!$O$5:$O$504,U2344)&lt;0,"NEG STOCK",IF(K2344&lt;INDEX(Items!$P$5:$P$504,U2344),"BELOW COST","OK")))),IF($D2344="","","PRO PLAN"))</f>
        <v/>
      </c>
      <c r="U2344" s="60" t="str">
        <f aca="false">IF(IsPro,IF($D2344="","",IFERROR(MATCH($D2344,Items!$A$5:$A$504,0),"")),"")</f>
        <v/>
      </c>
      <c r="V2344" s="60" t="str">
        <f aca="false">IF(IsPro,IF($C2344="","",IFERROR(MATCH($C2344,Parties!$A$5:$A$304,0),"")),"")</f>
        <v/>
      </c>
      <c r="W2344" s="60" t="str">
        <f aca="false">IF(IsPro,IF($B2344="","",IFERROR(VALUE(SUBSTITUTE($B2344,InvPrefix,"")),0)),"")</f>
        <v/>
      </c>
      <c r="X2344" s="61" t="str">
        <f aca="false">IF(IsPro,IF($D2344="","",IF(OR($H2344="",$H2344="Credit"),0,Q2344)),"")</f>
        <v/>
      </c>
    </row>
    <row r="2345" customFormat="false" ht="15" hidden="false" customHeight="false" outlineLevel="0" collapsed="false">
      <c r="A2345" s="55"/>
      <c r="B2345" s="56"/>
      <c r="C2345" s="56"/>
      <c r="D2345" s="56"/>
      <c r="E2345" s="57"/>
      <c r="F2345" s="58"/>
      <c r="G2345" s="59"/>
      <c r="H2345" s="56"/>
      <c r="I2345" s="56"/>
      <c r="J2345" s="60" t="str">
        <f aca="false">IF(IsPro,IF($D2345="","",IFERROR(INDEX(Items!$D$5:$D$504,U2345),"")),"")</f>
        <v/>
      </c>
      <c r="K2345" s="61" t="str">
        <f aca="false">IF(IsPro,IF($D2345="","",IF($F2345="",IFERROR(INDEX(Items!$H$5:$H$504,U2345),0),$F2345)),"")</f>
        <v/>
      </c>
      <c r="L2345" s="61" t="str">
        <f aca="false">IF(IsPro,IF($D2345="","",ROUND(N($E2345)*K2345*(1-N($G2345)),2)),"")</f>
        <v/>
      </c>
      <c r="M2345" s="62" t="str">
        <f aca="false">IF(IsPro,IF($D2345="","",IFERROR(INDEX(Items!$F$5:$F$504,U2345),0)),"")</f>
        <v/>
      </c>
      <c r="N2345" s="61" t="str">
        <f aca="false">IF(IsPro,IF($D2345="","",IF(AND(V2345&lt;&gt;"",INDEX(Parties!$E$5:$E$304,V2345)&lt;&gt;"",INDEX(Parties!$E$5:$E$304,V2345)&lt;&gt;HomeState),0,ROUND(L2345*M2345/2,2))),"")</f>
        <v/>
      </c>
      <c r="O2345" s="61" t="str">
        <f aca="false">IF(IsPro,IF($D2345="","",N2345),"")</f>
        <v/>
      </c>
      <c r="P2345" s="61" t="str">
        <f aca="false">IF(IsPro,IF($D2345="","",IF(AND(V2345&lt;&gt;"",INDEX(Parties!$E$5:$E$304,V2345)&lt;&gt;"",INDEX(Parties!$E$5:$E$304,V2345)&lt;&gt;HomeState),ROUND(L2345*M2345,2),0)),"")</f>
        <v/>
      </c>
      <c r="Q2345" s="61" t="str">
        <f aca="false">IF(IsPro,IF($D2345="","",L2345+N2345+O2345+P2345),"")</f>
        <v/>
      </c>
      <c r="R2345" s="61" t="str">
        <f aca="false">IF(IsPro,IF($D2345="","",ROUND(N($E2345)*IFERROR(INDEX(Items!$P$5:$P$504,U2345),0),2)),"")</f>
        <v/>
      </c>
      <c r="S2345" s="61" t="str">
        <f aca="false">IF(IsPro,IF($D2345="","",L2345-R2345),"")</f>
        <v/>
      </c>
      <c r="T2345" s="60" t="str">
        <f aca="false">IF(IsPro,IF($D2345="","",IF(U2345="","UNKNOWN ITEM",IF(INDEX(Items!$O$5:$O$504,U2345)&lt;0,"NEG STOCK",IF(K2345&lt;INDEX(Items!$P$5:$P$504,U2345),"BELOW COST","OK")))),IF($D2345="","","PRO PLAN"))</f>
        <v/>
      </c>
      <c r="U2345" s="60" t="str">
        <f aca="false">IF(IsPro,IF($D2345="","",IFERROR(MATCH($D2345,Items!$A$5:$A$504,0),"")),"")</f>
        <v/>
      </c>
      <c r="V2345" s="60" t="str">
        <f aca="false">IF(IsPro,IF($C2345="","",IFERROR(MATCH($C2345,Parties!$A$5:$A$304,0),"")),"")</f>
        <v/>
      </c>
      <c r="W2345" s="60" t="str">
        <f aca="false">IF(IsPro,IF($B2345="","",IFERROR(VALUE(SUBSTITUTE($B2345,InvPrefix,"")),0)),"")</f>
        <v/>
      </c>
      <c r="X2345" s="61" t="str">
        <f aca="false">IF(IsPro,IF($D2345="","",IF(OR($H2345="",$H2345="Credit"),0,Q2345)),"")</f>
        <v/>
      </c>
    </row>
    <row r="2346" customFormat="false" ht="15" hidden="false" customHeight="false" outlineLevel="0" collapsed="false">
      <c r="A2346" s="55"/>
      <c r="B2346" s="56"/>
      <c r="C2346" s="56"/>
      <c r="D2346" s="56"/>
      <c r="E2346" s="57"/>
      <c r="F2346" s="58"/>
      <c r="G2346" s="59"/>
      <c r="H2346" s="56"/>
      <c r="I2346" s="56"/>
      <c r="J2346" s="60" t="str">
        <f aca="false">IF(IsPro,IF($D2346="","",IFERROR(INDEX(Items!$D$5:$D$504,U2346),"")),"")</f>
        <v/>
      </c>
      <c r="K2346" s="61" t="str">
        <f aca="false">IF(IsPro,IF($D2346="","",IF($F2346="",IFERROR(INDEX(Items!$H$5:$H$504,U2346),0),$F2346)),"")</f>
        <v/>
      </c>
      <c r="L2346" s="61" t="str">
        <f aca="false">IF(IsPro,IF($D2346="","",ROUND(N($E2346)*K2346*(1-N($G2346)),2)),"")</f>
        <v/>
      </c>
      <c r="M2346" s="62" t="str">
        <f aca="false">IF(IsPro,IF($D2346="","",IFERROR(INDEX(Items!$F$5:$F$504,U2346),0)),"")</f>
        <v/>
      </c>
      <c r="N2346" s="61" t="str">
        <f aca="false">IF(IsPro,IF($D2346="","",IF(AND(V2346&lt;&gt;"",INDEX(Parties!$E$5:$E$304,V2346)&lt;&gt;"",INDEX(Parties!$E$5:$E$304,V2346)&lt;&gt;HomeState),0,ROUND(L2346*M2346/2,2))),"")</f>
        <v/>
      </c>
      <c r="O2346" s="61" t="str">
        <f aca="false">IF(IsPro,IF($D2346="","",N2346),"")</f>
        <v/>
      </c>
      <c r="P2346" s="61" t="str">
        <f aca="false">IF(IsPro,IF($D2346="","",IF(AND(V2346&lt;&gt;"",INDEX(Parties!$E$5:$E$304,V2346)&lt;&gt;"",INDEX(Parties!$E$5:$E$304,V2346)&lt;&gt;HomeState),ROUND(L2346*M2346,2),0)),"")</f>
        <v/>
      </c>
      <c r="Q2346" s="61" t="str">
        <f aca="false">IF(IsPro,IF($D2346="","",L2346+N2346+O2346+P2346),"")</f>
        <v/>
      </c>
      <c r="R2346" s="61" t="str">
        <f aca="false">IF(IsPro,IF($D2346="","",ROUND(N($E2346)*IFERROR(INDEX(Items!$P$5:$P$504,U2346),0),2)),"")</f>
        <v/>
      </c>
      <c r="S2346" s="61" t="str">
        <f aca="false">IF(IsPro,IF($D2346="","",L2346-R2346),"")</f>
        <v/>
      </c>
      <c r="T2346" s="60" t="str">
        <f aca="false">IF(IsPro,IF($D2346="","",IF(U2346="","UNKNOWN ITEM",IF(INDEX(Items!$O$5:$O$504,U2346)&lt;0,"NEG STOCK",IF(K2346&lt;INDEX(Items!$P$5:$P$504,U2346),"BELOW COST","OK")))),IF($D2346="","","PRO PLAN"))</f>
        <v/>
      </c>
      <c r="U2346" s="60" t="str">
        <f aca="false">IF(IsPro,IF($D2346="","",IFERROR(MATCH($D2346,Items!$A$5:$A$504,0),"")),"")</f>
        <v/>
      </c>
      <c r="V2346" s="60" t="str">
        <f aca="false">IF(IsPro,IF($C2346="","",IFERROR(MATCH($C2346,Parties!$A$5:$A$304,0),"")),"")</f>
        <v/>
      </c>
      <c r="W2346" s="60" t="str">
        <f aca="false">IF(IsPro,IF($B2346="","",IFERROR(VALUE(SUBSTITUTE($B2346,InvPrefix,"")),0)),"")</f>
        <v/>
      </c>
      <c r="X2346" s="61" t="str">
        <f aca="false">IF(IsPro,IF($D2346="","",IF(OR($H2346="",$H2346="Credit"),0,Q2346)),"")</f>
        <v/>
      </c>
    </row>
    <row r="2347" customFormat="false" ht="15" hidden="false" customHeight="false" outlineLevel="0" collapsed="false">
      <c r="A2347" s="55"/>
      <c r="B2347" s="56"/>
      <c r="C2347" s="56"/>
      <c r="D2347" s="56"/>
      <c r="E2347" s="57"/>
      <c r="F2347" s="58"/>
      <c r="G2347" s="59"/>
      <c r="H2347" s="56"/>
      <c r="I2347" s="56"/>
      <c r="J2347" s="60" t="str">
        <f aca="false">IF(IsPro,IF($D2347="","",IFERROR(INDEX(Items!$D$5:$D$504,U2347),"")),"")</f>
        <v/>
      </c>
      <c r="K2347" s="61" t="str">
        <f aca="false">IF(IsPro,IF($D2347="","",IF($F2347="",IFERROR(INDEX(Items!$H$5:$H$504,U2347),0),$F2347)),"")</f>
        <v/>
      </c>
      <c r="L2347" s="61" t="str">
        <f aca="false">IF(IsPro,IF($D2347="","",ROUND(N($E2347)*K2347*(1-N($G2347)),2)),"")</f>
        <v/>
      </c>
      <c r="M2347" s="62" t="str">
        <f aca="false">IF(IsPro,IF($D2347="","",IFERROR(INDEX(Items!$F$5:$F$504,U2347),0)),"")</f>
        <v/>
      </c>
      <c r="N2347" s="61" t="str">
        <f aca="false">IF(IsPro,IF($D2347="","",IF(AND(V2347&lt;&gt;"",INDEX(Parties!$E$5:$E$304,V2347)&lt;&gt;"",INDEX(Parties!$E$5:$E$304,V2347)&lt;&gt;HomeState),0,ROUND(L2347*M2347/2,2))),"")</f>
        <v/>
      </c>
      <c r="O2347" s="61" t="str">
        <f aca="false">IF(IsPro,IF($D2347="","",N2347),"")</f>
        <v/>
      </c>
      <c r="P2347" s="61" t="str">
        <f aca="false">IF(IsPro,IF($D2347="","",IF(AND(V2347&lt;&gt;"",INDEX(Parties!$E$5:$E$304,V2347)&lt;&gt;"",INDEX(Parties!$E$5:$E$304,V2347)&lt;&gt;HomeState),ROUND(L2347*M2347,2),0)),"")</f>
        <v/>
      </c>
      <c r="Q2347" s="61" t="str">
        <f aca="false">IF(IsPro,IF($D2347="","",L2347+N2347+O2347+P2347),"")</f>
        <v/>
      </c>
      <c r="R2347" s="61" t="str">
        <f aca="false">IF(IsPro,IF($D2347="","",ROUND(N($E2347)*IFERROR(INDEX(Items!$P$5:$P$504,U2347),0),2)),"")</f>
        <v/>
      </c>
      <c r="S2347" s="61" t="str">
        <f aca="false">IF(IsPro,IF($D2347="","",L2347-R2347),"")</f>
        <v/>
      </c>
      <c r="T2347" s="60" t="str">
        <f aca="false">IF(IsPro,IF($D2347="","",IF(U2347="","UNKNOWN ITEM",IF(INDEX(Items!$O$5:$O$504,U2347)&lt;0,"NEG STOCK",IF(K2347&lt;INDEX(Items!$P$5:$P$504,U2347),"BELOW COST","OK")))),IF($D2347="","","PRO PLAN"))</f>
        <v/>
      </c>
      <c r="U2347" s="60" t="str">
        <f aca="false">IF(IsPro,IF($D2347="","",IFERROR(MATCH($D2347,Items!$A$5:$A$504,0),"")),"")</f>
        <v/>
      </c>
      <c r="V2347" s="60" t="str">
        <f aca="false">IF(IsPro,IF($C2347="","",IFERROR(MATCH($C2347,Parties!$A$5:$A$304,0),"")),"")</f>
        <v/>
      </c>
      <c r="W2347" s="60" t="str">
        <f aca="false">IF(IsPro,IF($B2347="","",IFERROR(VALUE(SUBSTITUTE($B2347,InvPrefix,"")),0)),"")</f>
        <v/>
      </c>
      <c r="X2347" s="61" t="str">
        <f aca="false">IF(IsPro,IF($D2347="","",IF(OR($H2347="",$H2347="Credit"),0,Q2347)),"")</f>
        <v/>
      </c>
    </row>
    <row r="2348" customFormat="false" ht="15" hidden="false" customHeight="false" outlineLevel="0" collapsed="false">
      <c r="A2348" s="55"/>
      <c r="B2348" s="56"/>
      <c r="C2348" s="56"/>
      <c r="D2348" s="56"/>
      <c r="E2348" s="57"/>
      <c r="F2348" s="58"/>
      <c r="G2348" s="59"/>
      <c r="H2348" s="56"/>
      <c r="I2348" s="56"/>
      <c r="J2348" s="60" t="str">
        <f aca="false">IF(IsPro,IF($D2348="","",IFERROR(INDEX(Items!$D$5:$D$504,U2348),"")),"")</f>
        <v/>
      </c>
      <c r="K2348" s="61" t="str">
        <f aca="false">IF(IsPro,IF($D2348="","",IF($F2348="",IFERROR(INDEX(Items!$H$5:$H$504,U2348),0),$F2348)),"")</f>
        <v/>
      </c>
      <c r="L2348" s="61" t="str">
        <f aca="false">IF(IsPro,IF($D2348="","",ROUND(N($E2348)*K2348*(1-N($G2348)),2)),"")</f>
        <v/>
      </c>
      <c r="M2348" s="62" t="str">
        <f aca="false">IF(IsPro,IF($D2348="","",IFERROR(INDEX(Items!$F$5:$F$504,U2348),0)),"")</f>
        <v/>
      </c>
      <c r="N2348" s="61" t="str">
        <f aca="false">IF(IsPro,IF($D2348="","",IF(AND(V2348&lt;&gt;"",INDEX(Parties!$E$5:$E$304,V2348)&lt;&gt;"",INDEX(Parties!$E$5:$E$304,V2348)&lt;&gt;HomeState),0,ROUND(L2348*M2348/2,2))),"")</f>
        <v/>
      </c>
      <c r="O2348" s="61" t="str">
        <f aca="false">IF(IsPro,IF($D2348="","",N2348),"")</f>
        <v/>
      </c>
      <c r="P2348" s="61" t="str">
        <f aca="false">IF(IsPro,IF($D2348="","",IF(AND(V2348&lt;&gt;"",INDEX(Parties!$E$5:$E$304,V2348)&lt;&gt;"",INDEX(Parties!$E$5:$E$304,V2348)&lt;&gt;HomeState),ROUND(L2348*M2348,2),0)),"")</f>
        <v/>
      </c>
      <c r="Q2348" s="61" t="str">
        <f aca="false">IF(IsPro,IF($D2348="","",L2348+N2348+O2348+P2348),"")</f>
        <v/>
      </c>
      <c r="R2348" s="61" t="str">
        <f aca="false">IF(IsPro,IF($D2348="","",ROUND(N($E2348)*IFERROR(INDEX(Items!$P$5:$P$504,U2348),0),2)),"")</f>
        <v/>
      </c>
      <c r="S2348" s="61" t="str">
        <f aca="false">IF(IsPro,IF($D2348="","",L2348-R2348),"")</f>
        <v/>
      </c>
      <c r="T2348" s="60" t="str">
        <f aca="false">IF(IsPro,IF($D2348="","",IF(U2348="","UNKNOWN ITEM",IF(INDEX(Items!$O$5:$O$504,U2348)&lt;0,"NEG STOCK",IF(K2348&lt;INDEX(Items!$P$5:$P$504,U2348),"BELOW COST","OK")))),IF($D2348="","","PRO PLAN"))</f>
        <v/>
      </c>
      <c r="U2348" s="60" t="str">
        <f aca="false">IF(IsPro,IF($D2348="","",IFERROR(MATCH($D2348,Items!$A$5:$A$504,0),"")),"")</f>
        <v/>
      </c>
      <c r="V2348" s="60" t="str">
        <f aca="false">IF(IsPro,IF($C2348="","",IFERROR(MATCH($C2348,Parties!$A$5:$A$304,0),"")),"")</f>
        <v/>
      </c>
      <c r="W2348" s="60" t="str">
        <f aca="false">IF(IsPro,IF($B2348="","",IFERROR(VALUE(SUBSTITUTE($B2348,InvPrefix,"")),0)),"")</f>
        <v/>
      </c>
      <c r="X2348" s="61" t="str">
        <f aca="false">IF(IsPro,IF($D2348="","",IF(OR($H2348="",$H2348="Credit"),0,Q2348)),"")</f>
        <v/>
      </c>
    </row>
    <row r="2349" customFormat="false" ht="15" hidden="false" customHeight="false" outlineLevel="0" collapsed="false">
      <c r="A2349" s="55"/>
      <c r="B2349" s="56"/>
      <c r="C2349" s="56"/>
      <c r="D2349" s="56"/>
      <c r="E2349" s="57"/>
      <c r="F2349" s="58"/>
      <c r="G2349" s="59"/>
      <c r="H2349" s="56"/>
      <c r="I2349" s="56"/>
      <c r="J2349" s="60" t="str">
        <f aca="false">IF(IsPro,IF($D2349="","",IFERROR(INDEX(Items!$D$5:$D$504,U2349),"")),"")</f>
        <v/>
      </c>
      <c r="K2349" s="61" t="str">
        <f aca="false">IF(IsPro,IF($D2349="","",IF($F2349="",IFERROR(INDEX(Items!$H$5:$H$504,U2349),0),$F2349)),"")</f>
        <v/>
      </c>
      <c r="L2349" s="61" t="str">
        <f aca="false">IF(IsPro,IF($D2349="","",ROUND(N($E2349)*K2349*(1-N($G2349)),2)),"")</f>
        <v/>
      </c>
      <c r="M2349" s="62" t="str">
        <f aca="false">IF(IsPro,IF($D2349="","",IFERROR(INDEX(Items!$F$5:$F$504,U2349),0)),"")</f>
        <v/>
      </c>
      <c r="N2349" s="61" t="str">
        <f aca="false">IF(IsPro,IF($D2349="","",IF(AND(V2349&lt;&gt;"",INDEX(Parties!$E$5:$E$304,V2349)&lt;&gt;"",INDEX(Parties!$E$5:$E$304,V2349)&lt;&gt;HomeState),0,ROUND(L2349*M2349/2,2))),"")</f>
        <v/>
      </c>
      <c r="O2349" s="61" t="str">
        <f aca="false">IF(IsPro,IF($D2349="","",N2349),"")</f>
        <v/>
      </c>
      <c r="P2349" s="61" t="str">
        <f aca="false">IF(IsPro,IF($D2349="","",IF(AND(V2349&lt;&gt;"",INDEX(Parties!$E$5:$E$304,V2349)&lt;&gt;"",INDEX(Parties!$E$5:$E$304,V2349)&lt;&gt;HomeState),ROUND(L2349*M2349,2),0)),"")</f>
        <v/>
      </c>
      <c r="Q2349" s="61" t="str">
        <f aca="false">IF(IsPro,IF($D2349="","",L2349+N2349+O2349+P2349),"")</f>
        <v/>
      </c>
      <c r="R2349" s="61" t="str">
        <f aca="false">IF(IsPro,IF($D2349="","",ROUND(N($E2349)*IFERROR(INDEX(Items!$P$5:$P$504,U2349),0),2)),"")</f>
        <v/>
      </c>
      <c r="S2349" s="61" t="str">
        <f aca="false">IF(IsPro,IF($D2349="","",L2349-R2349),"")</f>
        <v/>
      </c>
      <c r="T2349" s="60" t="str">
        <f aca="false">IF(IsPro,IF($D2349="","",IF(U2349="","UNKNOWN ITEM",IF(INDEX(Items!$O$5:$O$504,U2349)&lt;0,"NEG STOCK",IF(K2349&lt;INDEX(Items!$P$5:$P$504,U2349),"BELOW COST","OK")))),IF($D2349="","","PRO PLAN"))</f>
        <v/>
      </c>
      <c r="U2349" s="60" t="str">
        <f aca="false">IF(IsPro,IF($D2349="","",IFERROR(MATCH($D2349,Items!$A$5:$A$504,0),"")),"")</f>
        <v/>
      </c>
      <c r="V2349" s="60" t="str">
        <f aca="false">IF(IsPro,IF($C2349="","",IFERROR(MATCH($C2349,Parties!$A$5:$A$304,0),"")),"")</f>
        <v/>
      </c>
      <c r="W2349" s="60" t="str">
        <f aca="false">IF(IsPro,IF($B2349="","",IFERROR(VALUE(SUBSTITUTE($B2349,InvPrefix,"")),0)),"")</f>
        <v/>
      </c>
      <c r="X2349" s="61" t="str">
        <f aca="false">IF(IsPro,IF($D2349="","",IF(OR($H2349="",$H2349="Credit"),0,Q2349)),"")</f>
        <v/>
      </c>
    </row>
    <row r="2350" customFormat="false" ht="15" hidden="false" customHeight="false" outlineLevel="0" collapsed="false">
      <c r="A2350" s="55"/>
      <c r="B2350" s="56"/>
      <c r="C2350" s="56"/>
      <c r="D2350" s="56"/>
      <c r="E2350" s="57"/>
      <c r="F2350" s="58"/>
      <c r="G2350" s="59"/>
      <c r="H2350" s="56"/>
      <c r="I2350" s="56"/>
      <c r="J2350" s="60" t="str">
        <f aca="false">IF(IsPro,IF($D2350="","",IFERROR(INDEX(Items!$D$5:$D$504,U2350),"")),"")</f>
        <v/>
      </c>
      <c r="K2350" s="61" t="str">
        <f aca="false">IF(IsPro,IF($D2350="","",IF($F2350="",IFERROR(INDEX(Items!$H$5:$H$504,U2350),0),$F2350)),"")</f>
        <v/>
      </c>
      <c r="L2350" s="61" t="str">
        <f aca="false">IF(IsPro,IF($D2350="","",ROUND(N($E2350)*K2350*(1-N($G2350)),2)),"")</f>
        <v/>
      </c>
      <c r="M2350" s="62" t="str">
        <f aca="false">IF(IsPro,IF($D2350="","",IFERROR(INDEX(Items!$F$5:$F$504,U2350),0)),"")</f>
        <v/>
      </c>
      <c r="N2350" s="61" t="str">
        <f aca="false">IF(IsPro,IF($D2350="","",IF(AND(V2350&lt;&gt;"",INDEX(Parties!$E$5:$E$304,V2350)&lt;&gt;"",INDEX(Parties!$E$5:$E$304,V2350)&lt;&gt;HomeState),0,ROUND(L2350*M2350/2,2))),"")</f>
        <v/>
      </c>
      <c r="O2350" s="61" t="str">
        <f aca="false">IF(IsPro,IF($D2350="","",N2350),"")</f>
        <v/>
      </c>
      <c r="P2350" s="61" t="str">
        <f aca="false">IF(IsPro,IF($D2350="","",IF(AND(V2350&lt;&gt;"",INDEX(Parties!$E$5:$E$304,V2350)&lt;&gt;"",INDEX(Parties!$E$5:$E$304,V2350)&lt;&gt;HomeState),ROUND(L2350*M2350,2),0)),"")</f>
        <v/>
      </c>
      <c r="Q2350" s="61" t="str">
        <f aca="false">IF(IsPro,IF($D2350="","",L2350+N2350+O2350+P2350),"")</f>
        <v/>
      </c>
      <c r="R2350" s="61" t="str">
        <f aca="false">IF(IsPro,IF($D2350="","",ROUND(N($E2350)*IFERROR(INDEX(Items!$P$5:$P$504,U2350),0),2)),"")</f>
        <v/>
      </c>
      <c r="S2350" s="61" t="str">
        <f aca="false">IF(IsPro,IF($D2350="","",L2350-R2350),"")</f>
        <v/>
      </c>
      <c r="T2350" s="60" t="str">
        <f aca="false">IF(IsPro,IF($D2350="","",IF(U2350="","UNKNOWN ITEM",IF(INDEX(Items!$O$5:$O$504,U2350)&lt;0,"NEG STOCK",IF(K2350&lt;INDEX(Items!$P$5:$P$504,U2350),"BELOW COST","OK")))),IF($D2350="","","PRO PLAN"))</f>
        <v/>
      </c>
      <c r="U2350" s="60" t="str">
        <f aca="false">IF(IsPro,IF($D2350="","",IFERROR(MATCH($D2350,Items!$A$5:$A$504,0),"")),"")</f>
        <v/>
      </c>
      <c r="V2350" s="60" t="str">
        <f aca="false">IF(IsPro,IF($C2350="","",IFERROR(MATCH($C2350,Parties!$A$5:$A$304,0),"")),"")</f>
        <v/>
      </c>
      <c r="W2350" s="60" t="str">
        <f aca="false">IF(IsPro,IF($B2350="","",IFERROR(VALUE(SUBSTITUTE($B2350,InvPrefix,"")),0)),"")</f>
        <v/>
      </c>
      <c r="X2350" s="61" t="str">
        <f aca="false">IF(IsPro,IF($D2350="","",IF(OR($H2350="",$H2350="Credit"),0,Q2350)),"")</f>
        <v/>
      </c>
    </row>
    <row r="2351" customFormat="false" ht="15" hidden="false" customHeight="false" outlineLevel="0" collapsed="false">
      <c r="A2351" s="55"/>
      <c r="B2351" s="56"/>
      <c r="C2351" s="56"/>
      <c r="D2351" s="56"/>
      <c r="E2351" s="57"/>
      <c r="F2351" s="58"/>
      <c r="G2351" s="59"/>
      <c r="H2351" s="56"/>
      <c r="I2351" s="56"/>
      <c r="J2351" s="60" t="str">
        <f aca="false">IF(IsPro,IF($D2351="","",IFERROR(INDEX(Items!$D$5:$D$504,U2351),"")),"")</f>
        <v/>
      </c>
      <c r="K2351" s="61" t="str">
        <f aca="false">IF(IsPro,IF($D2351="","",IF($F2351="",IFERROR(INDEX(Items!$H$5:$H$504,U2351),0),$F2351)),"")</f>
        <v/>
      </c>
      <c r="L2351" s="61" t="str">
        <f aca="false">IF(IsPro,IF($D2351="","",ROUND(N($E2351)*K2351*(1-N($G2351)),2)),"")</f>
        <v/>
      </c>
      <c r="M2351" s="62" t="str">
        <f aca="false">IF(IsPro,IF($D2351="","",IFERROR(INDEX(Items!$F$5:$F$504,U2351),0)),"")</f>
        <v/>
      </c>
      <c r="N2351" s="61" t="str">
        <f aca="false">IF(IsPro,IF($D2351="","",IF(AND(V2351&lt;&gt;"",INDEX(Parties!$E$5:$E$304,V2351)&lt;&gt;"",INDEX(Parties!$E$5:$E$304,V2351)&lt;&gt;HomeState),0,ROUND(L2351*M2351/2,2))),"")</f>
        <v/>
      </c>
      <c r="O2351" s="61" t="str">
        <f aca="false">IF(IsPro,IF($D2351="","",N2351),"")</f>
        <v/>
      </c>
      <c r="P2351" s="61" t="str">
        <f aca="false">IF(IsPro,IF($D2351="","",IF(AND(V2351&lt;&gt;"",INDEX(Parties!$E$5:$E$304,V2351)&lt;&gt;"",INDEX(Parties!$E$5:$E$304,V2351)&lt;&gt;HomeState),ROUND(L2351*M2351,2),0)),"")</f>
        <v/>
      </c>
      <c r="Q2351" s="61" t="str">
        <f aca="false">IF(IsPro,IF($D2351="","",L2351+N2351+O2351+P2351),"")</f>
        <v/>
      </c>
      <c r="R2351" s="61" t="str">
        <f aca="false">IF(IsPro,IF($D2351="","",ROUND(N($E2351)*IFERROR(INDEX(Items!$P$5:$P$504,U2351),0),2)),"")</f>
        <v/>
      </c>
      <c r="S2351" s="61" t="str">
        <f aca="false">IF(IsPro,IF($D2351="","",L2351-R2351),"")</f>
        <v/>
      </c>
      <c r="T2351" s="60" t="str">
        <f aca="false">IF(IsPro,IF($D2351="","",IF(U2351="","UNKNOWN ITEM",IF(INDEX(Items!$O$5:$O$504,U2351)&lt;0,"NEG STOCK",IF(K2351&lt;INDEX(Items!$P$5:$P$504,U2351),"BELOW COST","OK")))),IF($D2351="","","PRO PLAN"))</f>
        <v/>
      </c>
      <c r="U2351" s="60" t="str">
        <f aca="false">IF(IsPro,IF($D2351="","",IFERROR(MATCH($D2351,Items!$A$5:$A$504,0),"")),"")</f>
        <v/>
      </c>
      <c r="V2351" s="60" t="str">
        <f aca="false">IF(IsPro,IF($C2351="","",IFERROR(MATCH($C2351,Parties!$A$5:$A$304,0),"")),"")</f>
        <v/>
      </c>
      <c r="W2351" s="60" t="str">
        <f aca="false">IF(IsPro,IF($B2351="","",IFERROR(VALUE(SUBSTITUTE($B2351,InvPrefix,"")),0)),"")</f>
        <v/>
      </c>
      <c r="X2351" s="61" t="str">
        <f aca="false">IF(IsPro,IF($D2351="","",IF(OR($H2351="",$H2351="Credit"),0,Q2351)),"")</f>
        <v/>
      </c>
    </row>
    <row r="2352" customFormat="false" ht="15" hidden="false" customHeight="false" outlineLevel="0" collapsed="false">
      <c r="A2352" s="55"/>
      <c r="B2352" s="56"/>
      <c r="C2352" s="56"/>
      <c r="D2352" s="56"/>
      <c r="E2352" s="57"/>
      <c r="F2352" s="58"/>
      <c r="G2352" s="59"/>
      <c r="H2352" s="56"/>
      <c r="I2352" s="56"/>
      <c r="J2352" s="60" t="str">
        <f aca="false">IF(IsPro,IF($D2352="","",IFERROR(INDEX(Items!$D$5:$D$504,U2352),"")),"")</f>
        <v/>
      </c>
      <c r="K2352" s="61" t="str">
        <f aca="false">IF(IsPro,IF($D2352="","",IF($F2352="",IFERROR(INDEX(Items!$H$5:$H$504,U2352),0),$F2352)),"")</f>
        <v/>
      </c>
      <c r="L2352" s="61" t="str">
        <f aca="false">IF(IsPro,IF($D2352="","",ROUND(N($E2352)*K2352*(1-N($G2352)),2)),"")</f>
        <v/>
      </c>
      <c r="M2352" s="62" t="str">
        <f aca="false">IF(IsPro,IF($D2352="","",IFERROR(INDEX(Items!$F$5:$F$504,U2352),0)),"")</f>
        <v/>
      </c>
      <c r="N2352" s="61" t="str">
        <f aca="false">IF(IsPro,IF($D2352="","",IF(AND(V2352&lt;&gt;"",INDEX(Parties!$E$5:$E$304,V2352)&lt;&gt;"",INDEX(Parties!$E$5:$E$304,V2352)&lt;&gt;HomeState),0,ROUND(L2352*M2352/2,2))),"")</f>
        <v/>
      </c>
      <c r="O2352" s="61" t="str">
        <f aca="false">IF(IsPro,IF($D2352="","",N2352),"")</f>
        <v/>
      </c>
      <c r="P2352" s="61" t="str">
        <f aca="false">IF(IsPro,IF($D2352="","",IF(AND(V2352&lt;&gt;"",INDEX(Parties!$E$5:$E$304,V2352)&lt;&gt;"",INDEX(Parties!$E$5:$E$304,V2352)&lt;&gt;HomeState),ROUND(L2352*M2352,2),0)),"")</f>
        <v/>
      </c>
      <c r="Q2352" s="61" t="str">
        <f aca="false">IF(IsPro,IF($D2352="","",L2352+N2352+O2352+P2352),"")</f>
        <v/>
      </c>
      <c r="R2352" s="61" t="str">
        <f aca="false">IF(IsPro,IF($D2352="","",ROUND(N($E2352)*IFERROR(INDEX(Items!$P$5:$P$504,U2352),0),2)),"")</f>
        <v/>
      </c>
      <c r="S2352" s="61" t="str">
        <f aca="false">IF(IsPro,IF($D2352="","",L2352-R2352),"")</f>
        <v/>
      </c>
      <c r="T2352" s="60" t="str">
        <f aca="false">IF(IsPro,IF($D2352="","",IF(U2352="","UNKNOWN ITEM",IF(INDEX(Items!$O$5:$O$504,U2352)&lt;0,"NEG STOCK",IF(K2352&lt;INDEX(Items!$P$5:$P$504,U2352),"BELOW COST","OK")))),IF($D2352="","","PRO PLAN"))</f>
        <v/>
      </c>
      <c r="U2352" s="60" t="str">
        <f aca="false">IF(IsPro,IF($D2352="","",IFERROR(MATCH($D2352,Items!$A$5:$A$504,0),"")),"")</f>
        <v/>
      </c>
      <c r="V2352" s="60" t="str">
        <f aca="false">IF(IsPro,IF($C2352="","",IFERROR(MATCH($C2352,Parties!$A$5:$A$304,0),"")),"")</f>
        <v/>
      </c>
      <c r="W2352" s="60" t="str">
        <f aca="false">IF(IsPro,IF($B2352="","",IFERROR(VALUE(SUBSTITUTE($B2352,InvPrefix,"")),0)),"")</f>
        <v/>
      </c>
      <c r="X2352" s="61" t="str">
        <f aca="false">IF(IsPro,IF($D2352="","",IF(OR($H2352="",$H2352="Credit"),0,Q2352)),"")</f>
        <v/>
      </c>
    </row>
    <row r="2353" customFormat="false" ht="15" hidden="false" customHeight="false" outlineLevel="0" collapsed="false">
      <c r="A2353" s="55"/>
      <c r="B2353" s="56"/>
      <c r="C2353" s="56"/>
      <c r="D2353" s="56"/>
      <c r="E2353" s="57"/>
      <c r="F2353" s="58"/>
      <c r="G2353" s="59"/>
      <c r="H2353" s="56"/>
      <c r="I2353" s="56"/>
      <c r="J2353" s="60" t="str">
        <f aca="false">IF(IsPro,IF($D2353="","",IFERROR(INDEX(Items!$D$5:$D$504,U2353),"")),"")</f>
        <v/>
      </c>
      <c r="K2353" s="61" t="str">
        <f aca="false">IF(IsPro,IF($D2353="","",IF($F2353="",IFERROR(INDEX(Items!$H$5:$H$504,U2353),0),$F2353)),"")</f>
        <v/>
      </c>
      <c r="L2353" s="61" t="str">
        <f aca="false">IF(IsPro,IF($D2353="","",ROUND(N($E2353)*K2353*(1-N($G2353)),2)),"")</f>
        <v/>
      </c>
      <c r="M2353" s="62" t="str">
        <f aca="false">IF(IsPro,IF($D2353="","",IFERROR(INDEX(Items!$F$5:$F$504,U2353),0)),"")</f>
        <v/>
      </c>
      <c r="N2353" s="61" t="str">
        <f aca="false">IF(IsPro,IF($D2353="","",IF(AND(V2353&lt;&gt;"",INDEX(Parties!$E$5:$E$304,V2353)&lt;&gt;"",INDEX(Parties!$E$5:$E$304,V2353)&lt;&gt;HomeState),0,ROUND(L2353*M2353/2,2))),"")</f>
        <v/>
      </c>
      <c r="O2353" s="61" t="str">
        <f aca="false">IF(IsPro,IF($D2353="","",N2353),"")</f>
        <v/>
      </c>
      <c r="P2353" s="61" t="str">
        <f aca="false">IF(IsPro,IF($D2353="","",IF(AND(V2353&lt;&gt;"",INDEX(Parties!$E$5:$E$304,V2353)&lt;&gt;"",INDEX(Parties!$E$5:$E$304,V2353)&lt;&gt;HomeState),ROUND(L2353*M2353,2),0)),"")</f>
        <v/>
      </c>
      <c r="Q2353" s="61" t="str">
        <f aca="false">IF(IsPro,IF($D2353="","",L2353+N2353+O2353+P2353),"")</f>
        <v/>
      </c>
      <c r="R2353" s="61" t="str">
        <f aca="false">IF(IsPro,IF($D2353="","",ROUND(N($E2353)*IFERROR(INDEX(Items!$P$5:$P$504,U2353),0),2)),"")</f>
        <v/>
      </c>
      <c r="S2353" s="61" t="str">
        <f aca="false">IF(IsPro,IF($D2353="","",L2353-R2353),"")</f>
        <v/>
      </c>
      <c r="T2353" s="60" t="str">
        <f aca="false">IF(IsPro,IF($D2353="","",IF(U2353="","UNKNOWN ITEM",IF(INDEX(Items!$O$5:$O$504,U2353)&lt;0,"NEG STOCK",IF(K2353&lt;INDEX(Items!$P$5:$P$504,U2353),"BELOW COST","OK")))),IF($D2353="","","PRO PLAN"))</f>
        <v/>
      </c>
      <c r="U2353" s="60" t="str">
        <f aca="false">IF(IsPro,IF($D2353="","",IFERROR(MATCH($D2353,Items!$A$5:$A$504,0),"")),"")</f>
        <v/>
      </c>
      <c r="V2353" s="60" t="str">
        <f aca="false">IF(IsPro,IF($C2353="","",IFERROR(MATCH($C2353,Parties!$A$5:$A$304,0),"")),"")</f>
        <v/>
      </c>
      <c r="W2353" s="60" t="str">
        <f aca="false">IF(IsPro,IF($B2353="","",IFERROR(VALUE(SUBSTITUTE($B2353,InvPrefix,"")),0)),"")</f>
        <v/>
      </c>
      <c r="X2353" s="61" t="str">
        <f aca="false">IF(IsPro,IF($D2353="","",IF(OR($H2353="",$H2353="Credit"),0,Q2353)),"")</f>
        <v/>
      </c>
    </row>
    <row r="2354" customFormat="false" ht="15" hidden="false" customHeight="false" outlineLevel="0" collapsed="false">
      <c r="A2354" s="55"/>
      <c r="B2354" s="56"/>
      <c r="C2354" s="56"/>
      <c r="D2354" s="56"/>
      <c r="E2354" s="57"/>
      <c r="F2354" s="58"/>
      <c r="G2354" s="59"/>
      <c r="H2354" s="56"/>
      <c r="I2354" s="56"/>
      <c r="J2354" s="60" t="str">
        <f aca="false">IF(IsPro,IF($D2354="","",IFERROR(INDEX(Items!$D$5:$D$504,U2354),"")),"")</f>
        <v/>
      </c>
      <c r="K2354" s="61" t="str">
        <f aca="false">IF(IsPro,IF($D2354="","",IF($F2354="",IFERROR(INDEX(Items!$H$5:$H$504,U2354),0),$F2354)),"")</f>
        <v/>
      </c>
      <c r="L2354" s="61" t="str">
        <f aca="false">IF(IsPro,IF($D2354="","",ROUND(N($E2354)*K2354*(1-N($G2354)),2)),"")</f>
        <v/>
      </c>
      <c r="M2354" s="62" t="str">
        <f aca="false">IF(IsPro,IF($D2354="","",IFERROR(INDEX(Items!$F$5:$F$504,U2354),0)),"")</f>
        <v/>
      </c>
      <c r="N2354" s="61" t="str">
        <f aca="false">IF(IsPro,IF($D2354="","",IF(AND(V2354&lt;&gt;"",INDEX(Parties!$E$5:$E$304,V2354)&lt;&gt;"",INDEX(Parties!$E$5:$E$304,V2354)&lt;&gt;HomeState),0,ROUND(L2354*M2354/2,2))),"")</f>
        <v/>
      </c>
      <c r="O2354" s="61" t="str">
        <f aca="false">IF(IsPro,IF($D2354="","",N2354),"")</f>
        <v/>
      </c>
      <c r="P2354" s="61" t="str">
        <f aca="false">IF(IsPro,IF($D2354="","",IF(AND(V2354&lt;&gt;"",INDEX(Parties!$E$5:$E$304,V2354)&lt;&gt;"",INDEX(Parties!$E$5:$E$304,V2354)&lt;&gt;HomeState),ROUND(L2354*M2354,2),0)),"")</f>
        <v/>
      </c>
      <c r="Q2354" s="61" t="str">
        <f aca="false">IF(IsPro,IF($D2354="","",L2354+N2354+O2354+P2354),"")</f>
        <v/>
      </c>
      <c r="R2354" s="61" t="str">
        <f aca="false">IF(IsPro,IF($D2354="","",ROUND(N($E2354)*IFERROR(INDEX(Items!$P$5:$P$504,U2354),0),2)),"")</f>
        <v/>
      </c>
      <c r="S2354" s="61" t="str">
        <f aca="false">IF(IsPro,IF($D2354="","",L2354-R2354),"")</f>
        <v/>
      </c>
      <c r="T2354" s="60" t="str">
        <f aca="false">IF(IsPro,IF($D2354="","",IF(U2354="","UNKNOWN ITEM",IF(INDEX(Items!$O$5:$O$504,U2354)&lt;0,"NEG STOCK",IF(K2354&lt;INDEX(Items!$P$5:$P$504,U2354),"BELOW COST","OK")))),IF($D2354="","","PRO PLAN"))</f>
        <v/>
      </c>
      <c r="U2354" s="60" t="str">
        <f aca="false">IF(IsPro,IF($D2354="","",IFERROR(MATCH($D2354,Items!$A$5:$A$504,0),"")),"")</f>
        <v/>
      </c>
      <c r="V2354" s="60" t="str">
        <f aca="false">IF(IsPro,IF($C2354="","",IFERROR(MATCH($C2354,Parties!$A$5:$A$304,0),"")),"")</f>
        <v/>
      </c>
      <c r="W2354" s="60" t="str">
        <f aca="false">IF(IsPro,IF($B2354="","",IFERROR(VALUE(SUBSTITUTE($B2354,InvPrefix,"")),0)),"")</f>
        <v/>
      </c>
      <c r="X2354" s="61" t="str">
        <f aca="false">IF(IsPro,IF($D2354="","",IF(OR($H2354="",$H2354="Credit"),0,Q2354)),"")</f>
        <v/>
      </c>
    </row>
    <row r="2355" customFormat="false" ht="15" hidden="false" customHeight="false" outlineLevel="0" collapsed="false">
      <c r="A2355" s="55"/>
      <c r="B2355" s="56"/>
      <c r="C2355" s="56"/>
      <c r="D2355" s="56"/>
      <c r="E2355" s="57"/>
      <c r="F2355" s="58"/>
      <c r="G2355" s="59"/>
      <c r="H2355" s="56"/>
      <c r="I2355" s="56"/>
      <c r="J2355" s="60" t="str">
        <f aca="false">IF(IsPro,IF($D2355="","",IFERROR(INDEX(Items!$D$5:$D$504,U2355),"")),"")</f>
        <v/>
      </c>
      <c r="K2355" s="61" t="str">
        <f aca="false">IF(IsPro,IF($D2355="","",IF($F2355="",IFERROR(INDEX(Items!$H$5:$H$504,U2355),0),$F2355)),"")</f>
        <v/>
      </c>
      <c r="L2355" s="61" t="str">
        <f aca="false">IF(IsPro,IF($D2355="","",ROUND(N($E2355)*K2355*(1-N($G2355)),2)),"")</f>
        <v/>
      </c>
      <c r="M2355" s="62" t="str">
        <f aca="false">IF(IsPro,IF($D2355="","",IFERROR(INDEX(Items!$F$5:$F$504,U2355),0)),"")</f>
        <v/>
      </c>
      <c r="N2355" s="61" t="str">
        <f aca="false">IF(IsPro,IF($D2355="","",IF(AND(V2355&lt;&gt;"",INDEX(Parties!$E$5:$E$304,V2355)&lt;&gt;"",INDEX(Parties!$E$5:$E$304,V2355)&lt;&gt;HomeState),0,ROUND(L2355*M2355/2,2))),"")</f>
        <v/>
      </c>
      <c r="O2355" s="61" t="str">
        <f aca="false">IF(IsPro,IF($D2355="","",N2355),"")</f>
        <v/>
      </c>
      <c r="P2355" s="61" t="str">
        <f aca="false">IF(IsPro,IF($D2355="","",IF(AND(V2355&lt;&gt;"",INDEX(Parties!$E$5:$E$304,V2355)&lt;&gt;"",INDEX(Parties!$E$5:$E$304,V2355)&lt;&gt;HomeState),ROUND(L2355*M2355,2),0)),"")</f>
        <v/>
      </c>
      <c r="Q2355" s="61" t="str">
        <f aca="false">IF(IsPro,IF($D2355="","",L2355+N2355+O2355+P2355),"")</f>
        <v/>
      </c>
      <c r="R2355" s="61" t="str">
        <f aca="false">IF(IsPro,IF($D2355="","",ROUND(N($E2355)*IFERROR(INDEX(Items!$P$5:$P$504,U2355),0),2)),"")</f>
        <v/>
      </c>
      <c r="S2355" s="61" t="str">
        <f aca="false">IF(IsPro,IF($D2355="","",L2355-R2355),"")</f>
        <v/>
      </c>
      <c r="T2355" s="60" t="str">
        <f aca="false">IF(IsPro,IF($D2355="","",IF(U2355="","UNKNOWN ITEM",IF(INDEX(Items!$O$5:$O$504,U2355)&lt;0,"NEG STOCK",IF(K2355&lt;INDEX(Items!$P$5:$P$504,U2355),"BELOW COST","OK")))),IF($D2355="","","PRO PLAN"))</f>
        <v/>
      </c>
      <c r="U2355" s="60" t="str">
        <f aca="false">IF(IsPro,IF($D2355="","",IFERROR(MATCH($D2355,Items!$A$5:$A$504,0),"")),"")</f>
        <v/>
      </c>
      <c r="V2355" s="60" t="str">
        <f aca="false">IF(IsPro,IF($C2355="","",IFERROR(MATCH($C2355,Parties!$A$5:$A$304,0),"")),"")</f>
        <v/>
      </c>
      <c r="W2355" s="60" t="str">
        <f aca="false">IF(IsPro,IF($B2355="","",IFERROR(VALUE(SUBSTITUTE($B2355,InvPrefix,"")),0)),"")</f>
        <v/>
      </c>
      <c r="X2355" s="61" t="str">
        <f aca="false">IF(IsPro,IF($D2355="","",IF(OR($H2355="",$H2355="Credit"),0,Q2355)),"")</f>
        <v/>
      </c>
    </row>
    <row r="2356" customFormat="false" ht="15" hidden="false" customHeight="false" outlineLevel="0" collapsed="false">
      <c r="A2356" s="55"/>
      <c r="B2356" s="56"/>
      <c r="C2356" s="56"/>
      <c r="D2356" s="56"/>
      <c r="E2356" s="57"/>
      <c r="F2356" s="58"/>
      <c r="G2356" s="59"/>
      <c r="H2356" s="56"/>
      <c r="I2356" s="56"/>
      <c r="J2356" s="60" t="str">
        <f aca="false">IF(IsPro,IF($D2356="","",IFERROR(INDEX(Items!$D$5:$D$504,U2356),"")),"")</f>
        <v/>
      </c>
      <c r="K2356" s="61" t="str">
        <f aca="false">IF(IsPro,IF($D2356="","",IF($F2356="",IFERROR(INDEX(Items!$H$5:$H$504,U2356),0),$F2356)),"")</f>
        <v/>
      </c>
      <c r="L2356" s="61" t="str">
        <f aca="false">IF(IsPro,IF($D2356="","",ROUND(N($E2356)*K2356*(1-N($G2356)),2)),"")</f>
        <v/>
      </c>
      <c r="M2356" s="62" t="str">
        <f aca="false">IF(IsPro,IF($D2356="","",IFERROR(INDEX(Items!$F$5:$F$504,U2356),0)),"")</f>
        <v/>
      </c>
      <c r="N2356" s="61" t="str">
        <f aca="false">IF(IsPro,IF($D2356="","",IF(AND(V2356&lt;&gt;"",INDEX(Parties!$E$5:$E$304,V2356)&lt;&gt;"",INDEX(Parties!$E$5:$E$304,V2356)&lt;&gt;HomeState),0,ROUND(L2356*M2356/2,2))),"")</f>
        <v/>
      </c>
      <c r="O2356" s="61" t="str">
        <f aca="false">IF(IsPro,IF($D2356="","",N2356),"")</f>
        <v/>
      </c>
      <c r="P2356" s="61" t="str">
        <f aca="false">IF(IsPro,IF($D2356="","",IF(AND(V2356&lt;&gt;"",INDEX(Parties!$E$5:$E$304,V2356)&lt;&gt;"",INDEX(Parties!$E$5:$E$304,V2356)&lt;&gt;HomeState),ROUND(L2356*M2356,2),0)),"")</f>
        <v/>
      </c>
      <c r="Q2356" s="61" t="str">
        <f aca="false">IF(IsPro,IF($D2356="","",L2356+N2356+O2356+P2356),"")</f>
        <v/>
      </c>
      <c r="R2356" s="61" t="str">
        <f aca="false">IF(IsPro,IF($D2356="","",ROUND(N($E2356)*IFERROR(INDEX(Items!$P$5:$P$504,U2356),0),2)),"")</f>
        <v/>
      </c>
      <c r="S2356" s="61" t="str">
        <f aca="false">IF(IsPro,IF($D2356="","",L2356-R2356),"")</f>
        <v/>
      </c>
      <c r="T2356" s="60" t="str">
        <f aca="false">IF(IsPro,IF($D2356="","",IF(U2356="","UNKNOWN ITEM",IF(INDEX(Items!$O$5:$O$504,U2356)&lt;0,"NEG STOCK",IF(K2356&lt;INDEX(Items!$P$5:$P$504,U2356),"BELOW COST","OK")))),IF($D2356="","","PRO PLAN"))</f>
        <v/>
      </c>
      <c r="U2356" s="60" t="str">
        <f aca="false">IF(IsPro,IF($D2356="","",IFERROR(MATCH($D2356,Items!$A$5:$A$504,0),"")),"")</f>
        <v/>
      </c>
      <c r="V2356" s="60" t="str">
        <f aca="false">IF(IsPro,IF($C2356="","",IFERROR(MATCH($C2356,Parties!$A$5:$A$304,0),"")),"")</f>
        <v/>
      </c>
      <c r="W2356" s="60" t="str">
        <f aca="false">IF(IsPro,IF($B2356="","",IFERROR(VALUE(SUBSTITUTE($B2356,InvPrefix,"")),0)),"")</f>
        <v/>
      </c>
      <c r="X2356" s="61" t="str">
        <f aca="false">IF(IsPro,IF($D2356="","",IF(OR($H2356="",$H2356="Credit"),0,Q2356)),"")</f>
        <v/>
      </c>
    </row>
    <row r="2357" customFormat="false" ht="15" hidden="false" customHeight="false" outlineLevel="0" collapsed="false">
      <c r="A2357" s="55"/>
      <c r="B2357" s="56"/>
      <c r="C2357" s="56"/>
      <c r="D2357" s="56"/>
      <c r="E2357" s="57"/>
      <c r="F2357" s="58"/>
      <c r="G2357" s="59"/>
      <c r="H2357" s="56"/>
      <c r="I2357" s="56"/>
      <c r="J2357" s="60" t="str">
        <f aca="false">IF(IsPro,IF($D2357="","",IFERROR(INDEX(Items!$D$5:$D$504,U2357),"")),"")</f>
        <v/>
      </c>
      <c r="K2357" s="61" t="str">
        <f aca="false">IF(IsPro,IF($D2357="","",IF($F2357="",IFERROR(INDEX(Items!$H$5:$H$504,U2357),0),$F2357)),"")</f>
        <v/>
      </c>
      <c r="L2357" s="61" t="str">
        <f aca="false">IF(IsPro,IF($D2357="","",ROUND(N($E2357)*K2357*(1-N($G2357)),2)),"")</f>
        <v/>
      </c>
      <c r="M2357" s="62" t="str">
        <f aca="false">IF(IsPro,IF($D2357="","",IFERROR(INDEX(Items!$F$5:$F$504,U2357),0)),"")</f>
        <v/>
      </c>
      <c r="N2357" s="61" t="str">
        <f aca="false">IF(IsPro,IF($D2357="","",IF(AND(V2357&lt;&gt;"",INDEX(Parties!$E$5:$E$304,V2357)&lt;&gt;"",INDEX(Parties!$E$5:$E$304,V2357)&lt;&gt;HomeState),0,ROUND(L2357*M2357/2,2))),"")</f>
        <v/>
      </c>
      <c r="O2357" s="61" t="str">
        <f aca="false">IF(IsPro,IF($D2357="","",N2357),"")</f>
        <v/>
      </c>
      <c r="P2357" s="61" t="str">
        <f aca="false">IF(IsPro,IF($D2357="","",IF(AND(V2357&lt;&gt;"",INDEX(Parties!$E$5:$E$304,V2357)&lt;&gt;"",INDEX(Parties!$E$5:$E$304,V2357)&lt;&gt;HomeState),ROUND(L2357*M2357,2),0)),"")</f>
        <v/>
      </c>
      <c r="Q2357" s="61" t="str">
        <f aca="false">IF(IsPro,IF($D2357="","",L2357+N2357+O2357+P2357),"")</f>
        <v/>
      </c>
      <c r="R2357" s="61" t="str">
        <f aca="false">IF(IsPro,IF($D2357="","",ROUND(N($E2357)*IFERROR(INDEX(Items!$P$5:$P$504,U2357),0),2)),"")</f>
        <v/>
      </c>
      <c r="S2357" s="61" t="str">
        <f aca="false">IF(IsPro,IF($D2357="","",L2357-R2357),"")</f>
        <v/>
      </c>
      <c r="T2357" s="60" t="str">
        <f aca="false">IF(IsPro,IF($D2357="","",IF(U2357="","UNKNOWN ITEM",IF(INDEX(Items!$O$5:$O$504,U2357)&lt;0,"NEG STOCK",IF(K2357&lt;INDEX(Items!$P$5:$P$504,U2357),"BELOW COST","OK")))),IF($D2357="","","PRO PLAN"))</f>
        <v/>
      </c>
      <c r="U2357" s="60" t="str">
        <f aca="false">IF(IsPro,IF($D2357="","",IFERROR(MATCH($D2357,Items!$A$5:$A$504,0),"")),"")</f>
        <v/>
      </c>
      <c r="V2357" s="60" t="str">
        <f aca="false">IF(IsPro,IF($C2357="","",IFERROR(MATCH($C2357,Parties!$A$5:$A$304,0),"")),"")</f>
        <v/>
      </c>
      <c r="W2357" s="60" t="str">
        <f aca="false">IF(IsPro,IF($B2357="","",IFERROR(VALUE(SUBSTITUTE($B2357,InvPrefix,"")),0)),"")</f>
        <v/>
      </c>
      <c r="X2357" s="61" t="str">
        <f aca="false">IF(IsPro,IF($D2357="","",IF(OR($H2357="",$H2357="Credit"),0,Q2357)),"")</f>
        <v/>
      </c>
    </row>
    <row r="2358" customFormat="false" ht="15" hidden="false" customHeight="false" outlineLevel="0" collapsed="false">
      <c r="A2358" s="55"/>
      <c r="B2358" s="56"/>
      <c r="C2358" s="56"/>
      <c r="D2358" s="56"/>
      <c r="E2358" s="57"/>
      <c r="F2358" s="58"/>
      <c r="G2358" s="59"/>
      <c r="H2358" s="56"/>
      <c r="I2358" s="56"/>
      <c r="J2358" s="60" t="str">
        <f aca="false">IF(IsPro,IF($D2358="","",IFERROR(INDEX(Items!$D$5:$D$504,U2358),"")),"")</f>
        <v/>
      </c>
      <c r="K2358" s="61" t="str">
        <f aca="false">IF(IsPro,IF($D2358="","",IF($F2358="",IFERROR(INDEX(Items!$H$5:$H$504,U2358),0),$F2358)),"")</f>
        <v/>
      </c>
      <c r="L2358" s="61" t="str">
        <f aca="false">IF(IsPro,IF($D2358="","",ROUND(N($E2358)*K2358*(1-N($G2358)),2)),"")</f>
        <v/>
      </c>
      <c r="M2358" s="62" t="str">
        <f aca="false">IF(IsPro,IF($D2358="","",IFERROR(INDEX(Items!$F$5:$F$504,U2358),0)),"")</f>
        <v/>
      </c>
      <c r="N2358" s="61" t="str">
        <f aca="false">IF(IsPro,IF($D2358="","",IF(AND(V2358&lt;&gt;"",INDEX(Parties!$E$5:$E$304,V2358)&lt;&gt;"",INDEX(Parties!$E$5:$E$304,V2358)&lt;&gt;HomeState),0,ROUND(L2358*M2358/2,2))),"")</f>
        <v/>
      </c>
      <c r="O2358" s="61" t="str">
        <f aca="false">IF(IsPro,IF($D2358="","",N2358),"")</f>
        <v/>
      </c>
      <c r="P2358" s="61" t="str">
        <f aca="false">IF(IsPro,IF($D2358="","",IF(AND(V2358&lt;&gt;"",INDEX(Parties!$E$5:$E$304,V2358)&lt;&gt;"",INDEX(Parties!$E$5:$E$304,V2358)&lt;&gt;HomeState),ROUND(L2358*M2358,2),0)),"")</f>
        <v/>
      </c>
      <c r="Q2358" s="61" t="str">
        <f aca="false">IF(IsPro,IF($D2358="","",L2358+N2358+O2358+P2358),"")</f>
        <v/>
      </c>
      <c r="R2358" s="61" t="str">
        <f aca="false">IF(IsPro,IF($D2358="","",ROUND(N($E2358)*IFERROR(INDEX(Items!$P$5:$P$504,U2358),0),2)),"")</f>
        <v/>
      </c>
      <c r="S2358" s="61" t="str">
        <f aca="false">IF(IsPro,IF($D2358="","",L2358-R2358),"")</f>
        <v/>
      </c>
      <c r="T2358" s="60" t="str">
        <f aca="false">IF(IsPro,IF($D2358="","",IF(U2358="","UNKNOWN ITEM",IF(INDEX(Items!$O$5:$O$504,U2358)&lt;0,"NEG STOCK",IF(K2358&lt;INDEX(Items!$P$5:$P$504,U2358),"BELOW COST","OK")))),IF($D2358="","","PRO PLAN"))</f>
        <v/>
      </c>
      <c r="U2358" s="60" t="str">
        <f aca="false">IF(IsPro,IF($D2358="","",IFERROR(MATCH($D2358,Items!$A$5:$A$504,0),"")),"")</f>
        <v/>
      </c>
      <c r="V2358" s="60" t="str">
        <f aca="false">IF(IsPro,IF($C2358="","",IFERROR(MATCH($C2358,Parties!$A$5:$A$304,0),"")),"")</f>
        <v/>
      </c>
      <c r="W2358" s="60" t="str">
        <f aca="false">IF(IsPro,IF($B2358="","",IFERROR(VALUE(SUBSTITUTE($B2358,InvPrefix,"")),0)),"")</f>
        <v/>
      </c>
      <c r="X2358" s="61" t="str">
        <f aca="false">IF(IsPro,IF($D2358="","",IF(OR($H2358="",$H2358="Credit"),0,Q2358)),"")</f>
        <v/>
      </c>
    </row>
    <row r="2359" customFormat="false" ht="15" hidden="false" customHeight="false" outlineLevel="0" collapsed="false">
      <c r="A2359" s="55"/>
      <c r="B2359" s="56"/>
      <c r="C2359" s="56"/>
      <c r="D2359" s="56"/>
      <c r="E2359" s="57"/>
      <c r="F2359" s="58"/>
      <c r="G2359" s="59"/>
      <c r="H2359" s="56"/>
      <c r="I2359" s="56"/>
      <c r="J2359" s="60" t="str">
        <f aca="false">IF(IsPro,IF($D2359="","",IFERROR(INDEX(Items!$D$5:$D$504,U2359),"")),"")</f>
        <v/>
      </c>
      <c r="K2359" s="61" t="str">
        <f aca="false">IF(IsPro,IF($D2359="","",IF($F2359="",IFERROR(INDEX(Items!$H$5:$H$504,U2359),0),$F2359)),"")</f>
        <v/>
      </c>
      <c r="L2359" s="61" t="str">
        <f aca="false">IF(IsPro,IF($D2359="","",ROUND(N($E2359)*K2359*(1-N($G2359)),2)),"")</f>
        <v/>
      </c>
      <c r="M2359" s="62" t="str">
        <f aca="false">IF(IsPro,IF($D2359="","",IFERROR(INDEX(Items!$F$5:$F$504,U2359),0)),"")</f>
        <v/>
      </c>
      <c r="N2359" s="61" t="str">
        <f aca="false">IF(IsPro,IF($D2359="","",IF(AND(V2359&lt;&gt;"",INDEX(Parties!$E$5:$E$304,V2359)&lt;&gt;"",INDEX(Parties!$E$5:$E$304,V2359)&lt;&gt;HomeState),0,ROUND(L2359*M2359/2,2))),"")</f>
        <v/>
      </c>
      <c r="O2359" s="61" t="str">
        <f aca="false">IF(IsPro,IF($D2359="","",N2359),"")</f>
        <v/>
      </c>
      <c r="P2359" s="61" t="str">
        <f aca="false">IF(IsPro,IF($D2359="","",IF(AND(V2359&lt;&gt;"",INDEX(Parties!$E$5:$E$304,V2359)&lt;&gt;"",INDEX(Parties!$E$5:$E$304,V2359)&lt;&gt;HomeState),ROUND(L2359*M2359,2),0)),"")</f>
        <v/>
      </c>
      <c r="Q2359" s="61" t="str">
        <f aca="false">IF(IsPro,IF($D2359="","",L2359+N2359+O2359+P2359),"")</f>
        <v/>
      </c>
      <c r="R2359" s="61" t="str">
        <f aca="false">IF(IsPro,IF($D2359="","",ROUND(N($E2359)*IFERROR(INDEX(Items!$P$5:$P$504,U2359),0),2)),"")</f>
        <v/>
      </c>
      <c r="S2359" s="61" t="str">
        <f aca="false">IF(IsPro,IF($D2359="","",L2359-R2359),"")</f>
        <v/>
      </c>
      <c r="T2359" s="60" t="str">
        <f aca="false">IF(IsPro,IF($D2359="","",IF(U2359="","UNKNOWN ITEM",IF(INDEX(Items!$O$5:$O$504,U2359)&lt;0,"NEG STOCK",IF(K2359&lt;INDEX(Items!$P$5:$P$504,U2359),"BELOW COST","OK")))),IF($D2359="","","PRO PLAN"))</f>
        <v/>
      </c>
      <c r="U2359" s="60" t="str">
        <f aca="false">IF(IsPro,IF($D2359="","",IFERROR(MATCH($D2359,Items!$A$5:$A$504,0),"")),"")</f>
        <v/>
      </c>
      <c r="V2359" s="60" t="str">
        <f aca="false">IF(IsPro,IF($C2359="","",IFERROR(MATCH($C2359,Parties!$A$5:$A$304,0),"")),"")</f>
        <v/>
      </c>
      <c r="W2359" s="60" t="str">
        <f aca="false">IF(IsPro,IF($B2359="","",IFERROR(VALUE(SUBSTITUTE($B2359,InvPrefix,"")),0)),"")</f>
        <v/>
      </c>
      <c r="X2359" s="61" t="str">
        <f aca="false">IF(IsPro,IF($D2359="","",IF(OR($H2359="",$H2359="Credit"),0,Q2359)),"")</f>
        <v/>
      </c>
    </row>
    <row r="2360" customFormat="false" ht="15" hidden="false" customHeight="false" outlineLevel="0" collapsed="false">
      <c r="A2360" s="55"/>
      <c r="B2360" s="56"/>
      <c r="C2360" s="56"/>
      <c r="D2360" s="56"/>
      <c r="E2360" s="57"/>
      <c r="F2360" s="58"/>
      <c r="G2360" s="59"/>
      <c r="H2360" s="56"/>
      <c r="I2360" s="56"/>
      <c r="J2360" s="60" t="str">
        <f aca="false">IF(IsPro,IF($D2360="","",IFERROR(INDEX(Items!$D$5:$D$504,U2360),"")),"")</f>
        <v/>
      </c>
      <c r="K2360" s="61" t="str">
        <f aca="false">IF(IsPro,IF($D2360="","",IF($F2360="",IFERROR(INDEX(Items!$H$5:$H$504,U2360),0),$F2360)),"")</f>
        <v/>
      </c>
      <c r="L2360" s="61" t="str">
        <f aca="false">IF(IsPro,IF($D2360="","",ROUND(N($E2360)*K2360*(1-N($G2360)),2)),"")</f>
        <v/>
      </c>
      <c r="M2360" s="62" t="str">
        <f aca="false">IF(IsPro,IF($D2360="","",IFERROR(INDEX(Items!$F$5:$F$504,U2360),0)),"")</f>
        <v/>
      </c>
      <c r="N2360" s="61" t="str">
        <f aca="false">IF(IsPro,IF($D2360="","",IF(AND(V2360&lt;&gt;"",INDEX(Parties!$E$5:$E$304,V2360)&lt;&gt;"",INDEX(Parties!$E$5:$E$304,V2360)&lt;&gt;HomeState),0,ROUND(L2360*M2360/2,2))),"")</f>
        <v/>
      </c>
      <c r="O2360" s="61" t="str">
        <f aca="false">IF(IsPro,IF($D2360="","",N2360),"")</f>
        <v/>
      </c>
      <c r="P2360" s="61" t="str">
        <f aca="false">IF(IsPro,IF($D2360="","",IF(AND(V2360&lt;&gt;"",INDEX(Parties!$E$5:$E$304,V2360)&lt;&gt;"",INDEX(Parties!$E$5:$E$304,V2360)&lt;&gt;HomeState),ROUND(L2360*M2360,2),0)),"")</f>
        <v/>
      </c>
      <c r="Q2360" s="61" t="str">
        <f aca="false">IF(IsPro,IF($D2360="","",L2360+N2360+O2360+P2360),"")</f>
        <v/>
      </c>
      <c r="R2360" s="61" t="str">
        <f aca="false">IF(IsPro,IF($D2360="","",ROUND(N($E2360)*IFERROR(INDEX(Items!$P$5:$P$504,U2360),0),2)),"")</f>
        <v/>
      </c>
      <c r="S2360" s="61" t="str">
        <f aca="false">IF(IsPro,IF($D2360="","",L2360-R2360),"")</f>
        <v/>
      </c>
      <c r="T2360" s="60" t="str">
        <f aca="false">IF(IsPro,IF($D2360="","",IF(U2360="","UNKNOWN ITEM",IF(INDEX(Items!$O$5:$O$504,U2360)&lt;0,"NEG STOCK",IF(K2360&lt;INDEX(Items!$P$5:$P$504,U2360),"BELOW COST","OK")))),IF($D2360="","","PRO PLAN"))</f>
        <v/>
      </c>
      <c r="U2360" s="60" t="str">
        <f aca="false">IF(IsPro,IF($D2360="","",IFERROR(MATCH($D2360,Items!$A$5:$A$504,0),"")),"")</f>
        <v/>
      </c>
      <c r="V2360" s="60" t="str">
        <f aca="false">IF(IsPro,IF($C2360="","",IFERROR(MATCH($C2360,Parties!$A$5:$A$304,0),"")),"")</f>
        <v/>
      </c>
      <c r="W2360" s="60" t="str">
        <f aca="false">IF(IsPro,IF($B2360="","",IFERROR(VALUE(SUBSTITUTE($B2360,InvPrefix,"")),0)),"")</f>
        <v/>
      </c>
      <c r="X2360" s="61" t="str">
        <f aca="false">IF(IsPro,IF($D2360="","",IF(OR($H2360="",$H2360="Credit"),0,Q2360)),"")</f>
        <v/>
      </c>
    </row>
    <row r="2361" customFormat="false" ht="15" hidden="false" customHeight="false" outlineLevel="0" collapsed="false">
      <c r="A2361" s="55"/>
      <c r="B2361" s="56"/>
      <c r="C2361" s="56"/>
      <c r="D2361" s="56"/>
      <c r="E2361" s="57"/>
      <c r="F2361" s="58"/>
      <c r="G2361" s="59"/>
      <c r="H2361" s="56"/>
      <c r="I2361" s="56"/>
      <c r="J2361" s="60" t="str">
        <f aca="false">IF(IsPro,IF($D2361="","",IFERROR(INDEX(Items!$D$5:$D$504,U2361),"")),"")</f>
        <v/>
      </c>
      <c r="K2361" s="61" t="str">
        <f aca="false">IF(IsPro,IF($D2361="","",IF($F2361="",IFERROR(INDEX(Items!$H$5:$H$504,U2361),0),$F2361)),"")</f>
        <v/>
      </c>
      <c r="L2361" s="61" t="str">
        <f aca="false">IF(IsPro,IF($D2361="","",ROUND(N($E2361)*K2361*(1-N($G2361)),2)),"")</f>
        <v/>
      </c>
      <c r="M2361" s="62" t="str">
        <f aca="false">IF(IsPro,IF($D2361="","",IFERROR(INDEX(Items!$F$5:$F$504,U2361),0)),"")</f>
        <v/>
      </c>
      <c r="N2361" s="61" t="str">
        <f aca="false">IF(IsPro,IF($D2361="","",IF(AND(V2361&lt;&gt;"",INDEX(Parties!$E$5:$E$304,V2361)&lt;&gt;"",INDEX(Parties!$E$5:$E$304,V2361)&lt;&gt;HomeState),0,ROUND(L2361*M2361/2,2))),"")</f>
        <v/>
      </c>
      <c r="O2361" s="61" t="str">
        <f aca="false">IF(IsPro,IF($D2361="","",N2361),"")</f>
        <v/>
      </c>
      <c r="P2361" s="61" t="str">
        <f aca="false">IF(IsPro,IF($D2361="","",IF(AND(V2361&lt;&gt;"",INDEX(Parties!$E$5:$E$304,V2361)&lt;&gt;"",INDEX(Parties!$E$5:$E$304,V2361)&lt;&gt;HomeState),ROUND(L2361*M2361,2),0)),"")</f>
        <v/>
      </c>
      <c r="Q2361" s="61" t="str">
        <f aca="false">IF(IsPro,IF($D2361="","",L2361+N2361+O2361+P2361),"")</f>
        <v/>
      </c>
      <c r="R2361" s="61" t="str">
        <f aca="false">IF(IsPro,IF($D2361="","",ROUND(N($E2361)*IFERROR(INDEX(Items!$P$5:$P$504,U2361),0),2)),"")</f>
        <v/>
      </c>
      <c r="S2361" s="61" t="str">
        <f aca="false">IF(IsPro,IF($D2361="","",L2361-R2361),"")</f>
        <v/>
      </c>
      <c r="T2361" s="60" t="str">
        <f aca="false">IF(IsPro,IF($D2361="","",IF(U2361="","UNKNOWN ITEM",IF(INDEX(Items!$O$5:$O$504,U2361)&lt;0,"NEG STOCK",IF(K2361&lt;INDEX(Items!$P$5:$P$504,U2361),"BELOW COST","OK")))),IF($D2361="","","PRO PLAN"))</f>
        <v/>
      </c>
      <c r="U2361" s="60" t="str">
        <f aca="false">IF(IsPro,IF($D2361="","",IFERROR(MATCH($D2361,Items!$A$5:$A$504,0),"")),"")</f>
        <v/>
      </c>
      <c r="V2361" s="60" t="str">
        <f aca="false">IF(IsPro,IF($C2361="","",IFERROR(MATCH($C2361,Parties!$A$5:$A$304,0),"")),"")</f>
        <v/>
      </c>
      <c r="W2361" s="60" t="str">
        <f aca="false">IF(IsPro,IF($B2361="","",IFERROR(VALUE(SUBSTITUTE($B2361,InvPrefix,"")),0)),"")</f>
        <v/>
      </c>
      <c r="X2361" s="61" t="str">
        <f aca="false">IF(IsPro,IF($D2361="","",IF(OR($H2361="",$H2361="Credit"),0,Q2361)),"")</f>
        <v/>
      </c>
    </row>
    <row r="2362" customFormat="false" ht="15" hidden="false" customHeight="false" outlineLevel="0" collapsed="false">
      <c r="A2362" s="55"/>
      <c r="B2362" s="56"/>
      <c r="C2362" s="56"/>
      <c r="D2362" s="56"/>
      <c r="E2362" s="57"/>
      <c r="F2362" s="58"/>
      <c r="G2362" s="59"/>
      <c r="H2362" s="56"/>
      <c r="I2362" s="56"/>
      <c r="J2362" s="60" t="str">
        <f aca="false">IF(IsPro,IF($D2362="","",IFERROR(INDEX(Items!$D$5:$D$504,U2362),"")),"")</f>
        <v/>
      </c>
      <c r="K2362" s="61" t="str">
        <f aca="false">IF(IsPro,IF($D2362="","",IF($F2362="",IFERROR(INDEX(Items!$H$5:$H$504,U2362),0),$F2362)),"")</f>
        <v/>
      </c>
      <c r="L2362" s="61" t="str">
        <f aca="false">IF(IsPro,IF($D2362="","",ROUND(N($E2362)*K2362*(1-N($G2362)),2)),"")</f>
        <v/>
      </c>
      <c r="M2362" s="62" t="str">
        <f aca="false">IF(IsPro,IF($D2362="","",IFERROR(INDEX(Items!$F$5:$F$504,U2362),0)),"")</f>
        <v/>
      </c>
      <c r="N2362" s="61" t="str">
        <f aca="false">IF(IsPro,IF($D2362="","",IF(AND(V2362&lt;&gt;"",INDEX(Parties!$E$5:$E$304,V2362)&lt;&gt;"",INDEX(Parties!$E$5:$E$304,V2362)&lt;&gt;HomeState),0,ROUND(L2362*M2362/2,2))),"")</f>
        <v/>
      </c>
      <c r="O2362" s="61" t="str">
        <f aca="false">IF(IsPro,IF($D2362="","",N2362),"")</f>
        <v/>
      </c>
      <c r="P2362" s="61" t="str">
        <f aca="false">IF(IsPro,IF($D2362="","",IF(AND(V2362&lt;&gt;"",INDEX(Parties!$E$5:$E$304,V2362)&lt;&gt;"",INDEX(Parties!$E$5:$E$304,V2362)&lt;&gt;HomeState),ROUND(L2362*M2362,2),0)),"")</f>
        <v/>
      </c>
      <c r="Q2362" s="61" t="str">
        <f aca="false">IF(IsPro,IF($D2362="","",L2362+N2362+O2362+P2362),"")</f>
        <v/>
      </c>
      <c r="R2362" s="61" t="str">
        <f aca="false">IF(IsPro,IF($D2362="","",ROUND(N($E2362)*IFERROR(INDEX(Items!$P$5:$P$504,U2362),0),2)),"")</f>
        <v/>
      </c>
      <c r="S2362" s="61" t="str">
        <f aca="false">IF(IsPro,IF($D2362="","",L2362-R2362),"")</f>
        <v/>
      </c>
      <c r="T2362" s="60" t="str">
        <f aca="false">IF(IsPro,IF($D2362="","",IF(U2362="","UNKNOWN ITEM",IF(INDEX(Items!$O$5:$O$504,U2362)&lt;0,"NEG STOCK",IF(K2362&lt;INDEX(Items!$P$5:$P$504,U2362),"BELOW COST","OK")))),IF($D2362="","","PRO PLAN"))</f>
        <v/>
      </c>
      <c r="U2362" s="60" t="str">
        <f aca="false">IF(IsPro,IF($D2362="","",IFERROR(MATCH($D2362,Items!$A$5:$A$504,0),"")),"")</f>
        <v/>
      </c>
      <c r="V2362" s="60" t="str">
        <f aca="false">IF(IsPro,IF($C2362="","",IFERROR(MATCH($C2362,Parties!$A$5:$A$304,0),"")),"")</f>
        <v/>
      </c>
      <c r="W2362" s="60" t="str">
        <f aca="false">IF(IsPro,IF($B2362="","",IFERROR(VALUE(SUBSTITUTE($B2362,InvPrefix,"")),0)),"")</f>
        <v/>
      </c>
      <c r="X2362" s="61" t="str">
        <f aca="false">IF(IsPro,IF($D2362="","",IF(OR($H2362="",$H2362="Credit"),0,Q2362)),"")</f>
        <v/>
      </c>
    </row>
    <row r="2363" customFormat="false" ht="15" hidden="false" customHeight="false" outlineLevel="0" collapsed="false">
      <c r="A2363" s="55"/>
      <c r="B2363" s="56"/>
      <c r="C2363" s="56"/>
      <c r="D2363" s="56"/>
      <c r="E2363" s="57"/>
      <c r="F2363" s="58"/>
      <c r="G2363" s="59"/>
      <c r="H2363" s="56"/>
      <c r="I2363" s="56"/>
      <c r="J2363" s="60" t="str">
        <f aca="false">IF(IsPro,IF($D2363="","",IFERROR(INDEX(Items!$D$5:$D$504,U2363),"")),"")</f>
        <v/>
      </c>
      <c r="K2363" s="61" t="str">
        <f aca="false">IF(IsPro,IF($D2363="","",IF($F2363="",IFERROR(INDEX(Items!$H$5:$H$504,U2363),0),$F2363)),"")</f>
        <v/>
      </c>
      <c r="L2363" s="61" t="str">
        <f aca="false">IF(IsPro,IF($D2363="","",ROUND(N($E2363)*K2363*(1-N($G2363)),2)),"")</f>
        <v/>
      </c>
      <c r="M2363" s="62" t="str">
        <f aca="false">IF(IsPro,IF($D2363="","",IFERROR(INDEX(Items!$F$5:$F$504,U2363),0)),"")</f>
        <v/>
      </c>
      <c r="N2363" s="61" t="str">
        <f aca="false">IF(IsPro,IF($D2363="","",IF(AND(V2363&lt;&gt;"",INDEX(Parties!$E$5:$E$304,V2363)&lt;&gt;"",INDEX(Parties!$E$5:$E$304,V2363)&lt;&gt;HomeState),0,ROUND(L2363*M2363/2,2))),"")</f>
        <v/>
      </c>
      <c r="O2363" s="61" t="str">
        <f aca="false">IF(IsPro,IF($D2363="","",N2363),"")</f>
        <v/>
      </c>
      <c r="P2363" s="61" t="str">
        <f aca="false">IF(IsPro,IF($D2363="","",IF(AND(V2363&lt;&gt;"",INDEX(Parties!$E$5:$E$304,V2363)&lt;&gt;"",INDEX(Parties!$E$5:$E$304,V2363)&lt;&gt;HomeState),ROUND(L2363*M2363,2),0)),"")</f>
        <v/>
      </c>
      <c r="Q2363" s="61" t="str">
        <f aca="false">IF(IsPro,IF($D2363="","",L2363+N2363+O2363+P2363),"")</f>
        <v/>
      </c>
      <c r="R2363" s="61" t="str">
        <f aca="false">IF(IsPro,IF($D2363="","",ROUND(N($E2363)*IFERROR(INDEX(Items!$P$5:$P$504,U2363),0),2)),"")</f>
        <v/>
      </c>
      <c r="S2363" s="61" t="str">
        <f aca="false">IF(IsPro,IF($D2363="","",L2363-R2363),"")</f>
        <v/>
      </c>
      <c r="T2363" s="60" t="str">
        <f aca="false">IF(IsPro,IF($D2363="","",IF(U2363="","UNKNOWN ITEM",IF(INDEX(Items!$O$5:$O$504,U2363)&lt;0,"NEG STOCK",IF(K2363&lt;INDEX(Items!$P$5:$P$504,U2363),"BELOW COST","OK")))),IF($D2363="","","PRO PLAN"))</f>
        <v/>
      </c>
      <c r="U2363" s="60" t="str">
        <f aca="false">IF(IsPro,IF($D2363="","",IFERROR(MATCH($D2363,Items!$A$5:$A$504,0),"")),"")</f>
        <v/>
      </c>
      <c r="V2363" s="60" t="str">
        <f aca="false">IF(IsPro,IF($C2363="","",IFERROR(MATCH($C2363,Parties!$A$5:$A$304,0),"")),"")</f>
        <v/>
      </c>
      <c r="W2363" s="60" t="str">
        <f aca="false">IF(IsPro,IF($B2363="","",IFERROR(VALUE(SUBSTITUTE($B2363,InvPrefix,"")),0)),"")</f>
        <v/>
      </c>
      <c r="X2363" s="61" t="str">
        <f aca="false">IF(IsPro,IF($D2363="","",IF(OR($H2363="",$H2363="Credit"),0,Q2363)),"")</f>
        <v/>
      </c>
    </row>
    <row r="2364" customFormat="false" ht="15" hidden="false" customHeight="false" outlineLevel="0" collapsed="false">
      <c r="A2364" s="55"/>
      <c r="B2364" s="56"/>
      <c r="C2364" s="56"/>
      <c r="D2364" s="56"/>
      <c r="E2364" s="57"/>
      <c r="F2364" s="58"/>
      <c r="G2364" s="59"/>
      <c r="H2364" s="56"/>
      <c r="I2364" s="56"/>
      <c r="J2364" s="60" t="str">
        <f aca="false">IF(IsPro,IF($D2364="","",IFERROR(INDEX(Items!$D$5:$D$504,U2364),"")),"")</f>
        <v/>
      </c>
      <c r="K2364" s="61" t="str">
        <f aca="false">IF(IsPro,IF($D2364="","",IF($F2364="",IFERROR(INDEX(Items!$H$5:$H$504,U2364),0),$F2364)),"")</f>
        <v/>
      </c>
      <c r="L2364" s="61" t="str">
        <f aca="false">IF(IsPro,IF($D2364="","",ROUND(N($E2364)*K2364*(1-N($G2364)),2)),"")</f>
        <v/>
      </c>
      <c r="M2364" s="62" t="str">
        <f aca="false">IF(IsPro,IF($D2364="","",IFERROR(INDEX(Items!$F$5:$F$504,U2364),0)),"")</f>
        <v/>
      </c>
      <c r="N2364" s="61" t="str">
        <f aca="false">IF(IsPro,IF($D2364="","",IF(AND(V2364&lt;&gt;"",INDEX(Parties!$E$5:$E$304,V2364)&lt;&gt;"",INDEX(Parties!$E$5:$E$304,V2364)&lt;&gt;HomeState),0,ROUND(L2364*M2364/2,2))),"")</f>
        <v/>
      </c>
      <c r="O2364" s="61" t="str">
        <f aca="false">IF(IsPro,IF($D2364="","",N2364),"")</f>
        <v/>
      </c>
      <c r="P2364" s="61" t="str">
        <f aca="false">IF(IsPro,IF($D2364="","",IF(AND(V2364&lt;&gt;"",INDEX(Parties!$E$5:$E$304,V2364)&lt;&gt;"",INDEX(Parties!$E$5:$E$304,V2364)&lt;&gt;HomeState),ROUND(L2364*M2364,2),0)),"")</f>
        <v/>
      </c>
      <c r="Q2364" s="61" t="str">
        <f aca="false">IF(IsPro,IF($D2364="","",L2364+N2364+O2364+P2364),"")</f>
        <v/>
      </c>
      <c r="R2364" s="61" t="str">
        <f aca="false">IF(IsPro,IF($D2364="","",ROUND(N($E2364)*IFERROR(INDEX(Items!$P$5:$P$504,U2364),0),2)),"")</f>
        <v/>
      </c>
      <c r="S2364" s="61" t="str">
        <f aca="false">IF(IsPro,IF($D2364="","",L2364-R2364),"")</f>
        <v/>
      </c>
      <c r="T2364" s="60" t="str">
        <f aca="false">IF(IsPro,IF($D2364="","",IF(U2364="","UNKNOWN ITEM",IF(INDEX(Items!$O$5:$O$504,U2364)&lt;0,"NEG STOCK",IF(K2364&lt;INDEX(Items!$P$5:$P$504,U2364),"BELOW COST","OK")))),IF($D2364="","","PRO PLAN"))</f>
        <v/>
      </c>
      <c r="U2364" s="60" t="str">
        <f aca="false">IF(IsPro,IF($D2364="","",IFERROR(MATCH($D2364,Items!$A$5:$A$504,0),"")),"")</f>
        <v/>
      </c>
      <c r="V2364" s="60" t="str">
        <f aca="false">IF(IsPro,IF($C2364="","",IFERROR(MATCH($C2364,Parties!$A$5:$A$304,0),"")),"")</f>
        <v/>
      </c>
      <c r="W2364" s="60" t="str">
        <f aca="false">IF(IsPro,IF($B2364="","",IFERROR(VALUE(SUBSTITUTE($B2364,InvPrefix,"")),0)),"")</f>
        <v/>
      </c>
      <c r="X2364" s="61" t="str">
        <f aca="false">IF(IsPro,IF($D2364="","",IF(OR($H2364="",$H2364="Credit"),0,Q2364)),"")</f>
        <v/>
      </c>
    </row>
    <row r="2365" customFormat="false" ht="15" hidden="false" customHeight="false" outlineLevel="0" collapsed="false">
      <c r="A2365" s="55"/>
      <c r="B2365" s="56"/>
      <c r="C2365" s="56"/>
      <c r="D2365" s="56"/>
      <c r="E2365" s="57"/>
      <c r="F2365" s="58"/>
      <c r="G2365" s="59"/>
      <c r="H2365" s="56"/>
      <c r="I2365" s="56"/>
      <c r="J2365" s="60" t="str">
        <f aca="false">IF(IsPro,IF($D2365="","",IFERROR(INDEX(Items!$D$5:$D$504,U2365),"")),"")</f>
        <v/>
      </c>
      <c r="K2365" s="61" t="str">
        <f aca="false">IF(IsPro,IF($D2365="","",IF($F2365="",IFERROR(INDEX(Items!$H$5:$H$504,U2365),0),$F2365)),"")</f>
        <v/>
      </c>
      <c r="L2365" s="61" t="str">
        <f aca="false">IF(IsPro,IF($D2365="","",ROUND(N($E2365)*K2365*(1-N($G2365)),2)),"")</f>
        <v/>
      </c>
      <c r="M2365" s="62" t="str">
        <f aca="false">IF(IsPro,IF($D2365="","",IFERROR(INDEX(Items!$F$5:$F$504,U2365),0)),"")</f>
        <v/>
      </c>
      <c r="N2365" s="61" t="str">
        <f aca="false">IF(IsPro,IF($D2365="","",IF(AND(V2365&lt;&gt;"",INDEX(Parties!$E$5:$E$304,V2365)&lt;&gt;"",INDEX(Parties!$E$5:$E$304,V2365)&lt;&gt;HomeState),0,ROUND(L2365*M2365/2,2))),"")</f>
        <v/>
      </c>
      <c r="O2365" s="61" t="str">
        <f aca="false">IF(IsPro,IF($D2365="","",N2365),"")</f>
        <v/>
      </c>
      <c r="P2365" s="61" t="str">
        <f aca="false">IF(IsPro,IF($D2365="","",IF(AND(V2365&lt;&gt;"",INDEX(Parties!$E$5:$E$304,V2365)&lt;&gt;"",INDEX(Parties!$E$5:$E$304,V2365)&lt;&gt;HomeState),ROUND(L2365*M2365,2),0)),"")</f>
        <v/>
      </c>
      <c r="Q2365" s="61" t="str">
        <f aca="false">IF(IsPro,IF($D2365="","",L2365+N2365+O2365+P2365),"")</f>
        <v/>
      </c>
      <c r="R2365" s="61" t="str">
        <f aca="false">IF(IsPro,IF($D2365="","",ROUND(N($E2365)*IFERROR(INDEX(Items!$P$5:$P$504,U2365),0),2)),"")</f>
        <v/>
      </c>
      <c r="S2365" s="61" t="str">
        <f aca="false">IF(IsPro,IF($D2365="","",L2365-R2365),"")</f>
        <v/>
      </c>
      <c r="T2365" s="60" t="str">
        <f aca="false">IF(IsPro,IF($D2365="","",IF(U2365="","UNKNOWN ITEM",IF(INDEX(Items!$O$5:$O$504,U2365)&lt;0,"NEG STOCK",IF(K2365&lt;INDEX(Items!$P$5:$P$504,U2365),"BELOW COST","OK")))),IF($D2365="","","PRO PLAN"))</f>
        <v/>
      </c>
      <c r="U2365" s="60" t="str">
        <f aca="false">IF(IsPro,IF($D2365="","",IFERROR(MATCH($D2365,Items!$A$5:$A$504,0),"")),"")</f>
        <v/>
      </c>
      <c r="V2365" s="60" t="str">
        <f aca="false">IF(IsPro,IF($C2365="","",IFERROR(MATCH($C2365,Parties!$A$5:$A$304,0),"")),"")</f>
        <v/>
      </c>
      <c r="W2365" s="60" t="str">
        <f aca="false">IF(IsPro,IF($B2365="","",IFERROR(VALUE(SUBSTITUTE($B2365,InvPrefix,"")),0)),"")</f>
        <v/>
      </c>
      <c r="X2365" s="61" t="str">
        <f aca="false">IF(IsPro,IF($D2365="","",IF(OR($H2365="",$H2365="Credit"),0,Q2365)),"")</f>
        <v/>
      </c>
    </row>
    <row r="2366" customFormat="false" ht="15" hidden="false" customHeight="false" outlineLevel="0" collapsed="false">
      <c r="A2366" s="55"/>
      <c r="B2366" s="56"/>
      <c r="C2366" s="56"/>
      <c r="D2366" s="56"/>
      <c r="E2366" s="57"/>
      <c r="F2366" s="58"/>
      <c r="G2366" s="59"/>
      <c r="H2366" s="56"/>
      <c r="I2366" s="56"/>
      <c r="J2366" s="60" t="str">
        <f aca="false">IF(IsPro,IF($D2366="","",IFERROR(INDEX(Items!$D$5:$D$504,U2366),"")),"")</f>
        <v/>
      </c>
      <c r="K2366" s="61" t="str">
        <f aca="false">IF(IsPro,IF($D2366="","",IF($F2366="",IFERROR(INDEX(Items!$H$5:$H$504,U2366),0),$F2366)),"")</f>
        <v/>
      </c>
      <c r="L2366" s="61" t="str">
        <f aca="false">IF(IsPro,IF($D2366="","",ROUND(N($E2366)*K2366*(1-N($G2366)),2)),"")</f>
        <v/>
      </c>
      <c r="M2366" s="62" t="str">
        <f aca="false">IF(IsPro,IF($D2366="","",IFERROR(INDEX(Items!$F$5:$F$504,U2366),0)),"")</f>
        <v/>
      </c>
      <c r="N2366" s="61" t="str">
        <f aca="false">IF(IsPro,IF($D2366="","",IF(AND(V2366&lt;&gt;"",INDEX(Parties!$E$5:$E$304,V2366)&lt;&gt;"",INDEX(Parties!$E$5:$E$304,V2366)&lt;&gt;HomeState),0,ROUND(L2366*M2366/2,2))),"")</f>
        <v/>
      </c>
      <c r="O2366" s="61" t="str">
        <f aca="false">IF(IsPro,IF($D2366="","",N2366),"")</f>
        <v/>
      </c>
      <c r="P2366" s="61" t="str">
        <f aca="false">IF(IsPro,IF($D2366="","",IF(AND(V2366&lt;&gt;"",INDEX(Parties!$E$5:$E$304,V2366)&lt;&gt;"",INDEX(Parties!$E$5:$E$304,V2366)&lt;&gt;HomeState),ROUND(L2366*M2366,2),0)),"")</f>
        <v/>
      </c>
      <c r="Q2366" s="61" t="str">
        <f aca="false">IF(IsPro,IF($D2366="","",L2366+N2366+O2366+P2366),"")</f>
        <v/>
      </c>
      <c r="R2366" s="61" t="str">
        <f aca="false">IF(IsPro,IF($D2366="","",ROUND(N($E2366)*IFERROR(INDEX(Items!$P$5:$P$504,U2366),0),2)),"")</f>
        <v/>
      </c>
      <c r="S2366" s="61" t="str">
        <f aca="false">IF(IsPro,IF($D2366="","",L2366-R2366),"")</f>
        <v/>
      </c>
      <c r="T2366" s="60" t="str">
        <f aca="false">IF(IsPro,IF($D2366="","",IF(U2366="","UNKNOWN ITEM",IF(INDEX(Items!$O$5:$O$504,U2366)&lt;0,"NEG STOCK",IF(K2366&lt;INDEX(Items!$P$5:$P$504,U2366),"BELOW COST","OK")))),IF($D2366="","","PRO PLAN"))</f>
        <v/>
      </c>
      <c r="U2366" s="60" t="str">
        <f aca="false">IF(IsPro,IF($D2366="","",IFERROR(MATCH($D2366,Items!$A$5:$A$504,0),"")),"")</f>
        <v/>
      </c>
      <c r="V2366" s="60" t="str">
        <f aca="false">IF(IsPro,IF($C2366="","",IFERROR(MATCH($C2366,Parties!$A$5:$A$304,0),"")),"")</f>
        <v/>
      </c>
      <c r="W2366" s="60" t="str">
        <f aca="false">IF(IsPro,IF($B2366="","",IFERROR(VALUE(SUBSTITUTE($B2366,InvPrefix,"")),0)),"")</f>
        <v/>
      </c>
      <c r="X2366" s="61" t="str">
        <f aca="false">IF(IsPro,IF($D2366="","",IF(OR($H2366="",$H2366="Credit"),0,Q2366)),"")</f>
        <v/>
      </c>
    </row>
    <row r="2367" customFormat="false" ht="15" hidden="false" customHeight="false" outlineLevel="0" collapsed="false">
      <c r="A2367" s="55"/>
      <c r="B2367" s="56"/>
      <c r="C2367" s="56"/>
      <c r="D2367" s="56"/>
      <c r="E2367" s="57"/>
      <c r="F2367" s="58"/>
      <c r="G2367" s="59"/>
      <c r="H2367" s="56"/>
      <c r="I2367" s="56"/>
      <c r="J2367" s="60" t="str">
        <f aca="false">IF(IsPro,IF($D2367="","",IFERROR(INDEX(Items!$D$5:$D$504,U2367),"")),"")</f>
        <v/>
      </c>
      <c r="K2367" s="61" t="str">
        <f aca="false">IF(IsPro,IF($D2367="","",IF($F2367="",IFERROR(INDEX(Items!$H$5:$H$504,U2367),0),$F2367)),"")</f>
        <v/>
      </c>
      <c r="L2367" s="61" t="str">
        <f aca="false">IF(IsPro,IF($D2367="","",ROUND(N($E2367)*K2367*(1-N($G2367)),2)),"")</f>
        <v/>
      </c>
      <c r="M2367" s="62" t="str">
        <f aca="false">IF(IsPro,IF($D2367="","",IFERROR(INDEX(Items!$F$5:$F$504,U2367),0)),"")</f>
        <v/>
      </c>
      <c r="N2367" s="61" t="str">
        <f aca="false">IF(IsPro,IF($D2367="","",IF(AND(V2367&lt;&gt;"",INDEX(Parties!$E$5:$E$304,V2367)&lt;&gt;"",INDEX(Parties!$E$5:$E$304,V2367)&lt;&gt;HomeState),0,ROUND(L2367*M2367/2,2))),"")</f>
        <v/>
      </c>
      <c r="O2367" s="61" t="str">
        <f aca="false">IF(IsPro,IF($D2367="","",N2367),"")</f>
        <v/>
      </c>
      <c r="P2367" s="61" t="str">
        <f aca="false">IF(IsPro,IF($D2367="","",IF(AND(V2367&lt;&gt;"",INDEX(Parties!$E$5:$E$304,V2367)&lt;&gt;"",INDEX(Parties!$E$5:$E$304,V2367)&lt;&gt;HomeState),ROUND(L2367*M2367,2),0)),"")</f>
        <v/>
      </c>
      <c r="Q2367" s="61" t="str">
        <f aca="false">IF(IsPro,IF($D2367="","",L2367+N2367+O2367+P2367),"")</f>
        <v/>
      </c>
      <c r="R2367" s="61" t="str">
        <f aca="false">IF(IsPro,IF($D2367="","",ROUND(N($E2367)*IFERROR(INDEX(Items!$P$5:$P$504,U2367),0),2)),"")</f>
        <v/>
      </c>
      <c r="S2367" s="61" t="str">
        <f aca="false">IF(IsPro,IF($D2367="","",L2367-R2367),"")</f>
        <v/>
      </c>
      <c r="T2367" s="60" t="str">
        <f aca="false">IF(IsPro,IF($D2367="","",IF(U2367="","UNKNOWN ITEM",IF(INDEX(Items!$O$5:$O$504,U2367)&lt;0,"NEG STOCK",IF(K2367&lt;INDEX(Items!$P$5:$P$504,U2367),"BELOW COST","OK")))),IF($D2367="","","PRO PLAN"))</f>
        <v/>
      </c>
      <c r="U2367" s="60" t="str">
        <f aca="false">IF(IsPro,IF($D2367="","",IFERROR(MATCH($D2367,Items!$A$5:$A$504,0),"")),"")</f>
        <v/>
      </c>
      <c r="V2367" s="60" t="str">
        <f aca="false">IF(IsPro,IF($C2367="","",IFERROR(MATCH($C2367,Parties!$A$5:$A$304,0),"")),"")</f>
        <v/>
      </c>
      <c r="W2367" s="60" t="str">
        <f aca="false">IF(IsPro,IF($B2367="","",IFERROR(VALUE(SUBSTITUTE($B2367,InvPrefix,"")),0)),"")</f>
        <v/>
      </c>
      <c r="X2367" s="61" t="str">
        <f aca="false">IF(IsPro,IF($D2367="","",IF(OR($H2367="",$H2367="Credit"),0,Q2367)),"")</f>
        <v/>
      </c>
    </row>
    <row r="2368" customFormat="false" ht="15" hidden="false" customHeight="false" outlineLevel="0" collapsed="false">
      <c r="A2368" s="55"/>
      <c r="B2368" s="56"/>
      <c r="C2368" s="56"/>
      <c r="D2368" s="56"/>
      <c r="E2368" s="57"/>
      <c r="F2368" s="58"/>
      <c r="G2368" s="59"/>
      <c r="H2368" s="56"/>
      <c r="I2368" s="56"/>
      <c r="J2368" s="60" t="str">
        <f aca="false">IF(IsPro,IF($D2368="","",IFERROR(INDEX(Items!$D$5:$D$504,U2368),"")),"")</f>
        <v/>
      </c>
      <c r="K2368" s="61" t="str">
        <f aca="false">IF(IsPro,IF($D2368="","",IF($F2368="",IFERROR(INDEX(Items!$H$5:$H$504,U2368),0),$F2368)),"")</f>
        <v/>
      </c>
      <c r="L2368" s="61" t="str">
        <f aca="false">IF(IsPro,IF($D2368="","",ROUND(N($E2368)*K2368*(1-N($G2368)),2)),"")</f>
        <v/>
      </c>
      <c r="M2368" s="62" t="str">
        <f aca="false">IF(IsPro,IF($D2368="","",IFERROR(INDEX(Items!$F$5:$F$504,U2368),0)),"")</f>
        <v/>
      </c>
      <c r="N2368" s="61" t="str">
        <f aca="false">IF(IsPro,IF($D2368="","",IF(AND(V2368&lt;&gt;"",INDEX(Parties!$E$5:$E$304,V2368)&lt;&gt;"",INDEX(Parties!$E$5:$E$304,V2368)&lt;&gt;HomeState),0,ROUND(L2368*M2368/2,2))),"")</f>
        <v/>
      </c>
      <c r="O2368" s="61" t="str">
        <f aca="false">IF(IsPro,IF($D2368="","",N2368),"")</f>
        <v/>
      </c>
      <c r="P2368" s="61" t="str">
        <f aca="false">IF(IsPro,IF($D2368="","",IF(AND(V2368&lt;&gt;"",INDEX(Parties!$E$5:$E$304,V2368)&lt;&gt;"",INDEX(Parties!$E$5:$E$304,V2368)&lt;&gt;HomeState),ROUND(L2368*M2368,2),0)),"")</f>
        <v/>
      </c>
      <c r="Q2368" s="61" t="str">
        <f aca="false">IF(IsPro,IF($D2368="","",L2368+N2368+O2368+P2368),"")</f>
        <v/>
      </c>
      <c r="R2368" s="61" t="str">
        <f aca="false">IF(IsPro,IF($D2368="","",ROUND(N($E2368)*IFERROR(INDEX(Items!$P$5:$P$504,U2368),0),2)),"")</f>
        <v/>
      </c>
      <c r="S2368" s="61" t="str">
        <f aca="false">IF(IsPro,IF($D2368="","",L2368-R2368),"")</f>
        <v/>
      </c>
      <c r="T2368" s="60" t="str">
        <f aca="false">IF(IsPro,IF($D2368="","",IF(U2368="","UNKNOWN ITEM",IF(INDEX(Items!$O$5:$O$504,U2368)&lt;0,"NEG STOCK",IF(K2368&lt;INDEX(Items!$P$5:$P$504,U2368),"BELOW COST","OK")))),IF($D2368="","","PRO PLAN"))</f>
        <v/>
      </c>
      <c r="U2368" s="60" t="str">
        <f aca="false">IF(IsPro,IF($D2368="","",IFERROR(MATCH($D2368,Items!$A$5:$A$504,0),"")),"")</f>
        <v/>
      </c>
      <c r="V2368" s="60" t="str">
        <f aca="false">IF(IsPro,IF($C2368="","",IFERROR(MATCH($C2368,Parties!$A$5:$A$304,0),"")),"")</f>
        <v/>
      </c>
      <c r="W2368" s="60" t="str">
        <f aca="false">IF(IsPro,IF($B2368="","",IFERROR(VALUE(SUBSTITUTE($B2368,InvPrefix,"")),0)),"")</f>
        <v/>
      </c>
      <c r="X2368" s="61" t="str">
        <f aca="false">IF(IsPro,IF($D2368="","",IF(OR($H2368="",$H2368="Credit"),0,Q2368)),"")</f>
        <v/>
      </c>
    </row>
    <row r="2369" customFormat="false" ht="15" hidden="false" customHeight="false" outlineLevel="0" collapsed="false">
      <c r="A2369" s="55"/>
      <c r="B2369" s="56"/>
      <c r="C2369" s="56"/>
      <c r="D2369" s="56"/>
      <c r="E2369" s="57"/>
      <c r="F2369" s="58"/>
      <c r="G2369" s="59"/>
      <c r="H2369" s="56"/>
      <c r="I2369" s="56"/>
      <c r="J2369" s="60" t="str">
        <f aca="false">IF(IsPro,IF($D2369="","",IFERROR(INDEX(Items!$D$5:$D$504,U2369),"")),"")</f>
        <v/>
      </c>
      <c r="K2369" s="61" t="str">
        <f aca="false">IF(IsPro,IF($D2369="","",IF($F2369="",IFERROR(INDEX(Items!$H$5:$H$504,U2369),0),$F2369)),"")</f>
        <v/>
      </c>
      <c r="L2369" s="61" t="str">
        <f aca="false">IF(IsPro,IF($D2369="","",ROUND(N($E2369)*K2369*(1-N($G2369)),2)),"")</f>
        <v/>
      </c>
      <c r="M2369" s="62" t="str">
        <f aca="false">IF(IsPro,IF($D2369="","",IFERROR(INDEX(Items!$F$5:$F$504,U2369),0)),"")</f>
        <v/>
      </c>
      <c r="N2369" s="61" t="str">
        <f aca="false">IF(IsPro,IF($D2369="","",IF(AND(V2369&lt;&gt;"",INDEX(Parties!$E$5:$E$304,V2369)&lt;&gt;"",INDEX(Parties!$E$5:$E$304,V2369)&lt;&gt;HomeState),0,ROUND(L2369*M2369/2,2))),"")</f>
        <v/>
      </c>
      <c r="O2369" s="61" t="str">
        <f aca="false">IF(IsPro,IF($D2369="","",N2369),"")</f>
        <v/>
      </c>
      <c r="P2369" s="61" t="str">
        <f aca="false">IF(IsPro,IF($D2369="","",IF(AND(V2369&lt;&gt;"",INDEX(Parties!$E$5:$E$304,V2369)&lt;&gt;"",INDEX(Parties!$E$5:$E$304,V2369)&lt;&gt;HomeState),ROUND(L2369*M2369,2),0)),"")</f>
        <v/>
      </c>
      <c r="Q2369" s="61" t="str">
        <f aca="false">IF(IsPro,IF($D2369="","",L2369+N2369+O2369+P2369),"")</f>
        <v/>
      </c>
      <c r="R2369" s="61" t="str">
        <f aca="false">IF(IsPro,IF($D2369="","",ROUND(N($E2369)*IFERROR(INDEX(Items!$P$5:$P$504,U2369),0),2)),"")</f>
        <v/>
      </c>
      <c r="S2369" s="61" t="str">
        <f aca="false">IF(IsPro,IF($D2369="","",L2369-R2369),"")</f>
        <v/>
      </c>
      <c r="T2369" s="60" t="str">
        <f aca="false">IF(IsPro,IF($D2369="","",IF(U2369="","UNKNOWN ITEM",IF(INDEX(Items!$O$5:$O$504,U2369)&lt;0,"NEG STOCK",IF(K2369&lt;INDEX(Items!$P$5:$P$504,U2369),"BELOW COST","OK")))),IF($D2369="","","PRO PLAN"))</f>
        <v/>
      </c>
      <c r="U2369" s="60" t="str">
        <f aca="false">IF(IsPro,IF($D2369="","",IFERROR(MATCH($D2369,Items!$A$5:$A$504,0),"")),"")</f>
        <v/>
      </c>
      <c r="V2369" s="60" t="str">
        <f aca="false">IF(IsPro,IF($C2369="","",IFERROR(MATCH($C2369,Parties!$A$5:$A$304,0),"")),"")</f>
        <v/>
      </c>
      <c r="W2369" s="60" t="str">
        <f aca="false">IF(IsPro,IF($B2369="","",IFERROR(VALUE(SUBSTITUTE($B2369,InvPrefix,"")),0)),"")</f>
        <v/>
      </c>
      <c r="X2369" s="61" t="str">
        <f aca="false">IF(IsPro,IF($D2369="","",IF(OR($H2369="",$H2369="Credit"),0,Q2369)),"")</f>
        <v/>
      </c>
    </row>
    <row r="2370" customFormat="false" ht="15" hidden="false" customHeight="false" outlineLevel="0" collapsed="false">
      <c r="A2370" s="55"/>
      <c r="B2370" s="56"/>
      <c r="C2370" s="56"/>
      <c r="D2370" s="56"/>
      <c r="E2370" s="57"/>
      <c r="F2370" s="58"/>
      <c r="G2370" s="59"/>
      <c r="H2370" s="56"/>
      <c r="I2370" s="56"/>
      <c r="J2370" s="60" t="str">
        <f aca="false">IF(IsPro,IF($D2370="","",IFERROR(INDEX(Items!$D$5:$D$504,U2370),"")),"")</f>
        <v/>
      </c>
      <c r="K2370" s="61" t="str">
        <f aca="false">IF(IsPro,IF($D2370="","",IF($F2370="",IFERROR(INDEX(Items!$H$5:$H$504,U2370),0),$F2370)),"")</f>
        <v/>
      </c>
      <c r="L2370" s="61" t="str">
        <f aca="false">IF(IsPro,IF($D2370="","",ROUND(N($E2370)*K2370*(1-N($G2370)),2)),"")</f>
        <v/>
      </c>
      <c r="M2370" s="62" t="str">
        <f aca="false">IF(IsPro,IF($D2370="","",IFERROR(INDEX(Items!$F$5:$F$504,U2370),0)),"")</f>
        <v/>
      </c>
      <c r="N2370" s="61" t="str">
        <f aca="false">IF(IsPro,IF($D2370="","",IF(AND(V2370&lt;&gt;"",INDEX(Parties!$E$5:$E$304,V2370)&lt;&gt;"",INDEX(Parties!$E$5:$E$304,V2370)&lt;&gt;HomeState),0,ROUND(L2370*M2370/2,2))),"")</f>
        <v/>
      </c>
      <c r="O2370" s="61" t="str">
        <f aca="false">IF(IsPro,IF($D2370="","",N2370),"")</f>
        <v/>
      </c>
      <c r="P2370" s="61" t="str">
        <f aca="false">IF(IsPro,IF($D2370="","",IF(AND(V2370&lt;&gt;"",INDEX(Parties!$E$5:$E$304,V2370)&lt;&gt;"",INDEX(Parties!$E$5:$E$304,V2370)&lt;&gt;HomeState),ROUND(L2370*M2370,2),0)),"")</f>
        <v/>
      </c>
      <c r="Q2370" s="61" t="str">
        <f aca="false">IF(IsPro,IF($D2370="","",L2370+N2370+O2370+P2370),"")</f>
        <v/>
      </c>
      <c r="R2370" s="61" t="str">
        <f aca="false">IF(IsPro,IF($D2370="","",ROUND(N($E2370)*IFERROR(INDEX(Items!$P$5:$P$504,U2370),0),2)),"")</f>
        <v/>
      </c>
      <c r="S2370" s="61" t="str">
        <f aca="false">IF(IsPro,IF($D2370="","",L2370-R2370),"")</f>
        <v/>
      </c>
      <c r="T2370" s="60" t="str">
        <f aca="false">IF(IsPro,IF($D2370="","",IF(U2370="","UNKNOWN ITEM",IF(INDEX(Items!$O$5:$O$504,U2370)&lt;0,"NEG STOCK",IF(K2370&lt;INDEX(Items!$P$5:$P$504,U2370),"BELOW COST","OK")))),IF($D2370="","","PRO PLAN"))</f>
        <v/>
      </c>
      <c r="U2370" s="60" t="str">
        <f aca="false">IF(IsPro,IF($D2370="","",IFERROR(MATCH($D2370,Items!$A$5:$A$504,0),"")),"")</f>
        <v/>
      </c>
      <c r="V2370" s="60" t="str">
        <f aca="false">IF(IsPro,IF($C2370="","",IFERROR(MATCH($C2370,Parties!$A$5:$A$304,0),"")),"")</f>
        <v/>
      </c>
      <c r="W2370" s="60" t="str">
        <f aca="false">IF(IsPro,IF($B2370="","",IFERROR(VALUE(SUBSTITUTE($B2370,InvPrefix,"")),0)),"")</f>
        <v/>
      </c>
      <c r="X2370" s="61" t="str">
        <f aca="false">IF(IsPro,IF($D2370="","",IF(OR($H2370="",$H2370="Credit"),0,Q2370)),"")</f>
        <v/>
      </c>
    </row>
    <row r="2371" customFormat="false" ht="15" hidden="false" customHeight="false" outlineLevel="0" collapsed="false">
      <c r="A2371" s="55"/>
      <c r="B2371" s="56"/>
      <c r="C2371" s="56"/>
      <c r="D2371" s="56"/>
      <c r="E2371" s="57"/>
      <c r="F2371" s="58"/>
      <c r="G2371" s="59"/>
      <c r="H2371" s="56"/>
      <c r="I2371" s="56"/>
      <c r="J2371" s="60" t="str">
        <f aca="false">IF(IsPro,IF($D2371="","",IFERROR(INDEX(Items!$D$5:$D$504,U2371),"")),"")</f>
        <v/>
      </c>
      <c r="K2371" s="61" t="str">
        <f aca="false">IF(IsPro,IF($D2371="","",IF($F2371="",IFERROR(INDEX(Items!$H$5:$H$504,U2371),0),$F2371)),"")</f>
        <v/>
      </c>
      <c r="L2371" s="61" t="str">
        <f aca="false">IF(IsPro,IF($D2371="","",ROUND(N($E2371)*K2371*(1-N($G2371)),2)),"")</f>
        <v/>
      </c>
      <c r="M2371" s="62" t="str">
        <f aca="false">IF(IsPro,IF($D2371="","",IFERROR(INDEX(Items!$F$5:$F$504,U2371),0)),"")</f>
        <v/>
      </c>
      <c r="N2371" s="61" t="str">
        <f aca="false">IF(IsPro,IF($D2371="","",IF(AND(V2371&lt;&gt;"",INDEX(Parties!$E$5:$E$304,V2371)&lt;&gt;"",INDEX(Parties!$E$5:$E$304,V2371)&lt;&gt;HomeState),0,ROUND(L2371*M2371/2,2))),"")</f>
        <v/>
      </c>
      <c r="O2371" s="61" t="str">
        <f aca="false">IF(IsPro,IF($D2371="","",N2371),"")</f>
        <v/>
      </c>
      <c r="P2371" s="61" t="str">
        <f aca="false">IF(IsPro,IF($D2371="","",IF(AND(V2371&lt;&gt;"",INDEX(Parties!$E$5:$E$304,V2371)&lt;&gt;"",INDEX(Parties!$E$5:$E$304,V2371)&lt;&gt;HomeState),ROUND(L2371*M2371,2),0)),"")</f>
        <v/>
      </c>
      <c r="Q2371" s="61" t="str">
        <f aca="false">IF(IsPro,IF($D2371="","",L2371+N2371+O2371+P2371),"")</f>
        <v/>
      </c>
      <c r="R2371" s="61" t="str">
        <f aca="false">IF(IsPro,IF($D2371="","",ROUND(N($E2371)*IFERROR(INDEX(Items!$P$5:$P$504,U2371),0),2)),"")</f>
        <v/>
      </c>
      <c r="S2371" s="61" t="str">
        <f aca="false">IF(IsPro,IF($D2371="","",L2371-R2371),"")</f>
        <v/>
      </c>
      <c r="T2371" s="60" t="str">
        <f aca="false">IF(IsPro,IF($D2371="","",IF(U2371="","UNKNOWN ITEM",IF(INDEX(Items!$O$5:$O$504,U2371)&lt;0,"NEG STOCK",IF(K2371&lt;INDEX(Items!$P$5:$P$504,U2371),"BELOW COST","OK")))),IF($D2371="","","PRO PLAN"))</f>
        <v/>
      </c>
      <c r="U2371" s="60" t="str">
        <f aca="false">IF(IsPro,IF($D2371="","",IFERROR(MATCH($D2371,Items!$A$5:$A$504,0),"")),"")</f>
        <v/>
      </c>
      <c r="V2371" s="60" t="str">
        <f aca="false">IF(IsPro,IF($C2371="","",IFERROR(MATCH($C2371,Parties!$A$5:$A$304,0),"")),"")</f>
        <v/>
      </c>
      <c r="W2371" s="60" t="str">
        <f aca="false">IF(IsPro,IF($B2371="","",IFERROR(VALUE(SUBSTITUTE($B2371,InvPrefix,"")),0)),"")</f>
        <v/>
      </c>
      <c r="X2371" s="61" t="str">
        <f aca="false">IF(IsPro,IF($D2371="","",IF(OR($H2371="",$H2371="Credit"),0,Q2371)),"")</f>
        <v/>
      </c>
    </row>
    <row r="2372" customFormat="false" ht="15" hidden="false" customHeight="false" outlineLevel="0" collapsed="false">
      <c r="A2372" s="55"/>
      <c r="B2372" s="56"/>
      <c r="C2372" s="56"/>
      <c r="D2372" s="56"/>
      <c r="E2372" s="57"/>
      <c r="F2372" s="58"/>
      <c r="G2372" s="59"/>
      <c r="H2372" s="56"/>
      <c r="I2372" s="56"/>
      <c r="J2372" s="60" t="str">
        <f aca="false">IF(IsPro,IF($D2372="","",IFERROR(INDEX(Items!$D$5:$D$504,U2372),"")),"")</f>
        <v/>
      </c>
      <c r="K2372" s="61" t="str">
        <f aca="false">IF(IsPro,IF($D2372="","",IF($F2372="",IFERROR(INDEX(Items!$H$5:$H$504,U2372),0),$F2372)),"")</f>
        <v/>
      </c>
      <c r="L2372" s="61" t="str">
        <f aca="false">IF(IsPro,IF($D2372="","",ROUND(N($E2372)*K2372*(1-N($G2372)),2)),"")</f>
        <v/>
      </c>
      <c r="M2372" s="62" t="str">
        <f aca="false">IF(IsPro,IF($D2372="","",IFERROR(INDEX(Items!$F$5:$F$504,U2372),0)),"")</f>
        <v/>
      </c>
      <c r="N2372" s="61" t="str">
        <f aca="false">IF(IsPro,IF($D2372="","",IF(AND(V2372&lt;&gt;"",INDEX(Parties!$E$5:$E$304,V2372)&lt;&gt;"",INDEX(Parties!$E$5:$E$304,V2372)&lt;&gt;HomeState),0,ROUND(L2372*M2372/2,2))),"")</f>
        <v/>
      </c>
      <c r="O2372" s="61" t="str">
        <f aca="false">IF(IsPro,IF($D2372="","",N2372),"")</f>
        <v/>
      </c>
      <c r="P2372" s="61" t="str">
        <f aca="false">IF(IsPro,IF($D2372="","",IF(AND(V2372&lt;&gt;"",INDEX(Parties!$E$5:$E$304,V2372)&lt;&gt;"",INDEX(Parties!$E$5:$E$304,V2372)&lt;&gt;HomeState),ROUND(L2372*M2372,2),0)),"")</f>
        <v/>
      </c>
      <c r="Q2372" s="61" t="str">
        <f aca="false">IF(IsPro,IF($D2372="","",L2372+N2372+O2372+P2372),"")</f>
        <v/>
      </c>
      <c r="R2372" s="61" t="str">
        <f aca="false">IF(IsPro,IF($D2372="","",ROUND(N($E2372)*IFERROR(INDEX(Items!$P$5:$P$504,U2372),0),2)),"")</f>
        <v/>
      </c>
      <c r="S2372" s="61" t="str">
        <f aca="false">IF(IsPro,IF($D2372="","",L2372-R2372),"")</f>
        <v/>
      </c>
      <c r="T2372" s="60" t="str">
        <f aca="false">IF(IsPro,IF($D2372="","",IF(U2372="","UNKNOWN ITEM",IF(INDEX(Items!$O$5:$O$504,U2372)&lt;0,"NEG STOCK",IF(K2372&lt;INDEX(Items!$P$5:$P$504,U2372),"BELOW COST","OK")))),IF($D2372="","","PRO PLAN"))</f>
        <v/>
      </c>
      <c r="U2372" s="60" t="str">
        <f aca="false">IF(IsPro,IF($D2372="","",IFERROR(MATCH($D2372,Items!$A$5:$A$504,0),"")),"")</f>
        <v/>
      </c>
      <c r="V2372" s="60" t="str">
        <f aca="false">IF(IsPro,IF($C2372="","",IFERROR(MATCH($C2372,Parties!$A$5:$A$304,0),"")),"")</f>
        <v/>
      </c>
      <c r="W2372" s="60" t="str">
        <f aca="false">IF(IsPro,IF($B2372="","",IFERROR(VALUE(SUBSTITUTE($B2372,InvPrefix,"")),0)),"")</f>
        <v/>
      </c>
      <c r="X2372" s="61" t="str">
        <f aca="false">IF(IsPro,IF($D2372="","",IF(OR($H2372="",$H2372="Credit"),0,Q2372)),"")</f>
        <v/>
      </c>
    </row>
    <row r="2373" customFormat="false" ht="15" hidden="false" customHeight="false" outlineLevel="0" collapsed="false">
      <c r="A2373" s="55"/>
      <c r="B2373" s="56"/>
      <c r="C2373" s="56"/>
      <c r="D2373" s="56"/>
      <c r="E2373" s="57"/>
      <c r="F2373" s="58"/>
      <c r="G2373" s="59"/>
      <c r="H2373" s="56"/>
      <c r="I2373" s="56"/>
      <c r="J2373" s="60" t="str">
        <f aca="false">IF(IsPro,IF($D2373="","",IFERROR(INDEX(Items!$D$5:$D$504,U2373),"")),"")</f>
        <v/>
      </c>
      <c r="K2373" s="61" t="str">
        <f aca="false">IF(IsPro,IF($D2373="","",IF($F2373="",IFERROR(INDEX(Items!$H$5:$H$504,U2373),0),$F2373)),"")</f>
        <v/>
      </c>
      <c r="L2373" s="61" t="str">
        <f aca="false">IF(IsPro,IF($D2373="","",ROUND(N($E2373)*K2373*(1-N($G2373)),2)),"")</f>
        <v/>
      </c>
      <c r="M2373" s="62" t="str">
        <f aca="false">IF(IsPro,IF($D2373="","",IFERROR(INDEX(Items!$F$5:$F$504,U2373),0)),"")</f>
        <v/>
      </c>
      <c r="N2373" s="61" t="str">
        <f aca="false">IF(IsPro,IF($D2373="","",IF(AND(V2373&lt;&gt;"",INDEX(Parties!$E$5:$E$304,V2373)&lt;&gt;"",INDEX(Parties!$E$5:$E$304,V2373)&lt;&gt;HomeState),0,ROUND(L2373*M2373/2,2))),"")</f>
        <v/>
      </c>
      <c r="O2373" s="61" t="str">
        <f aca="false">IF(IsPro,IF($D2373="","",N2373),"")</f>
        <v/>
      </c>
      <c r="P2373" s="61" t="str">
        <f aca="false">IF(IsPro,IF($D2373="","",IF(AND(V2373&lt;&gt;"",INDEX(Parties!$E$5:$E$304,V2373)&lt;&gt;"",INDEX(Parties!$E$5:$E$304,V2373)&lt;&gt;HomeState),ROUND(L2373*M2373,2),0)),"")</f>
        <v/>
      </c>
      <c r="Q2373" s="61" t="str">
        <f aca="false">IF(IsPro,IF($D2373="","",L2373+N2373+O2373+P2373),"")</f>
        <v/>
      </c>
      <c r="R2373" s="61" t="str">
        <f aca="false">IF(IsPro,IF($D2373="","",ROUND(N($E2373)*IFERROR(INDEX(Items!$P$5:$P$504,U2373),0),2)),"")</f>
        <v/>
      </c>
      <c r="S2373" s="61" t="str">
        <f aca="false">IF(IsPro,IF($D2373="","",L2373-R2373),"")</f>
        <v/>
      </c>
      <c r="T2373" s="60" t="str">
        <f aca="false">IF(IsPro,IF($D2373="","",IF(U2373="","UNKNOWN ITEM",IF(INDEX(Items!$O$5:$O$504,U2373)&lt;0,"NEG STOCK",IF(K2373&lt;INDEX(Items!$P$5:$P$504,U2373),"BELOW COST","OK")))),IF($D2373="","","PRO PLAN"))</f>
        <v/>
      </c>
      <c r="U2373" s="60" t="str">
        <f aca="false">IF(IsPro,IF($D2373="","",IFERROR(MATCH($D2373,Items!$A$5:$A$504,0),"")),"")</f>
        <v/>
      </c>
      <c r="V2373" s="60" t="str">
        <f aca="false">IF(IsPro,IF($C2373="","",IFERROR(MATCH($C2373,Parties!$A$5:$A$304,0),"")),"")</f>
        <v/>
      </c>
      <c r="W2373" s="60" t="str">
        <f aca="false">IF(IsPro,IF($B2373="","",IFERROR(VALUE(SUBSTITUTE($B2373,InvPrefix,"")),0)),"")</f>
        <v/>
      </c>
      <c r="X2373" s="61" t="str">
        <f aca="false">IF(IsPro,IF($D2373="","",IF(OR($H2373="",$H2373="Credit"),0,Q2373)),"")</f>
        <v/>
      </c>
    </row>
    <row r="2374" customFormat="false" ht="15" hidden="false" customHeight="false" outlineLevel="0" collapsed="false">
      <c r="A2374" s="55"/>
      <c r="B2374" s="56"/>
      <c r="C2374" s="56"/>
      <c r="D2374" s="56"/>
      <c r="E2374" s="57"/>
      <c r="F2374" s="58"/>
      <c r="G2374" s="59"/>
      <c r="H2374" s="56"/>
      <c r="I2374" s="56"/>
      <c r="J2374" s="60" t="str">
        <f aca="false">IF(IsPro,IF($D2374="","",IFERROR(INDEX(Items!$D$5:$D$504,U2374),"")),"")</f>
        <v/>
      </c>
      <c r="K2374" s="61" t="str">
        <f aca="false">IF(IsPro,IF($D2374="","",IF($F2374="",IFERROR(INDEX(Items!$H$5:$H$504,U2374),0),$F2374)),"")</f>
        <v/>
      </c>
      <c r="L2374" s="61" t="str">
        <f aca="false">IF(IsPro,IF($D2374="","",ROUND(N($E2374)*K2374*(1-N($G2374)),2)),"")</f>
        <v/>
      </c>
      <c r="M2374" s="62" t="str">
        <f aca="false">IF(IsPro,IF($D2374="","",IFERROR(INDEX(Items!$F$5:$F$504,U2374),0)),"")</f>
        <v/>
      </c>
      <c r="N2374" s="61" t="str">
        <f aca="false">IF(IsPro,IF($D2374="","",IF(AND(V2374&lt;&gt;"",INDEX(Parties!$E$5:$E$304,V2374)&lt;&gt;"",INDEX(Parties!$E$5:$E$304,V2374)&lt;&gt;HomeState),0,ROUND(L2374*M2374/2,2))),"")</f>
        <v/>
      </c>
      <c r="O2374" s="61" t="str">
        <f aca="false">IF(IsPro,IF($D2374="","",N2374),"")</f>
        <v/>
      </c>
      <c r="P2374" s="61" t="str">
        <f aca="false">IF(IsPro,IF($D2374="","",IF(AND(V2374&lt;&gt;"",INDEX(Parties!$E$5:$E$304,V2374)&lt;&gt;"",INDEX(Parties!$E$5:$E$304,V2374)&lt;&gt;HomeState),ROUND(L2374*M2374,2),0)),"")</f>
        <v/>
      </c>
      <c r="Q2374" s="61" t="str">
        <f aca="false">IF(IsPro,IF($D2374="","",L2374+N2374+O2374+P2374),"")</f>
        <v/>
      </c>
      <c r="R2374" s="61" t="str">
        <f aca="false">IF(IsPro,IF($D2374="","",ROUND(N($E2374)*IFERROR(INDEX(Items!$P$5:$P$504,U2374),0),2)),"")</f>
        <v/>
      </c>
      <c r="S2374" s="61" t="str">
        <f aca="false">IF(IsPro,IF($D2374="","",L2374-R2374),"")</f>
        <v/>
      </c>
      <c r="T2374" s="60" t="str">
        <f aca="false">IF(IsPro,IF($D2374="","",IF(U2374="","UNKNOWN ITEM",IF(INDEX(Items!$O$5:$O$504,U2374)&lt;0,"NEG STOCK",IF(K2374&lt;INDEX(Items!$P$5:$P$504,U2374),"BELOW COST","OK")))),IF($D2374="","","PRO PLAN"))</f>
        <v/>
      </c>
      <c r="U2374" s="60" t="str">
        <f aca="false">IF(IsPro,IF($D2374="","",IFERROR(MATCH($D2374,Items!$A$5:$A$504,0),"")),"")</f>
        <v/>
      </c>
      <c r="V2374" s="60" t="str">
        <f aca="false">IF(IsPro,IF($C2374="","",IFERROR(MATCH($C2374,Parties!$A$5:$A$304,0),"")),"")</f>
        <v/>
      </c>
      <c r="W2374" s="60" t="str">
        <f aca="false">IF(IsPro,IF($B2374="","",IFERROR(VALUE(SUBSTITUTE($B2374,InvPrefix,"")),0)),"")</f>
        <v/>
      </c>
      <c r="X2374" s="61" t="str">
        <f aca="false">IF(IsPro,IF($D2374="","",IF(OR($H2374="",$H2374="Credit"),0,Q2374)),"")</f>
        <v/>
      </c>
    </row>
    <row r="2375" customFormat="false" ht="15" hidden="false" customHeight="false" outlineLevel="0" collapsed="false">
      <c r="A2375" s="55"/>
      <c r="B2375" s="56"/>
      <c r="C2375" s="56"/>
      <c r="D2375" s="56"/>
      <c r="E2375" s="57"/>
      <c r="F2375" s="58"/>
      <c r="G2375" s="59"/>
      <c r="H2375" s="56"/>
      <c r="I2375" s="56"/>
      <c r="J2375" s="60" t="str">
        <f aca="false">IF(IsPro,IF($D2375="","",IFERROR(INDEX(Items!$D$5:$D$504,U2375),"")),"")</f>
        <v/>
      </c>
      <c r="K2375" s="61" t="str">
        <f aca="false">IF(IsPro,IF($D2375="","",IF($F2375="",IFERROR(INDEX(Items!$H$5:$H$504,U2375),0),$F2375)),"")</f>
        <v/>
      </c>
      <c r="L2375" s="61" t="str">
        <f aca="false">IF(IsPro,IF($D2375="","",ROUND(N($E2375)*K2375*(1-N($G2375)),2)),"")</f>
        <v/>
      </c>
      <c r="M2375" s="62" t="str">
        <f aca="false">IF(IsPro,IF($D2375="","",IFERROR(INDEX(Items!$F$5:$F$504,U2375),0)),"")</f>
        <v/>
      </c>
      <c r="N2375" s="61" t="str">
        <f aca="false">IF(IsPro,IF($D2375="","",IF(AND(V2375&lt;&gt;"",INDEX(Parties!$E$5:$E$304,V2375)&lt;&gt;"",INDEX(Parties!$E$5:$E$304,V2375)&lt;&gt;HomeState),0,ROUND(L2375*M2375/2,2))),"")</f>
        <v/>
      </c>
      <c r="O2375" s="61" t="str">
        <f aca="false">IF(IsPro,IF($D2375="","",N2375),"")</f>
        <v/>
      </c>
      <c r="P2375" s="61" t="str">
        <f aca="false">IF(IsPro,IF($D2375="","",IF(AND(V2375&lt;&gt;"",INDEX(Parties!$E$5:$E$304,V2375)&lt;&gt;"",INDEX(Parties!$E$5:$E$304,V2375)&lt;&gt;HomeState),ROUND(L2375*M2375,2),0)),"")</f>
        <v/>
      </c>
      <c r="Q2375" s="61" t="str">
        <f aca="false">IF(IsPro,IF($D2375="","",L2375+N2375+O2375+P2375),"")</f>
        <v/>
      </c>
      <c r="R2375" s="61" t="str">
        <f aca="false">IF(IsPro,IF($D2375="","",ROUND(N($E2375)*IFERROR(INDEX(Items!$P$5:$P$504,U2375),0),2)),"")</f>
        <v/>
      </c>
      <c r="S2375" s="61" t="str">
        <f aca="false">IF(IsPro,IF($D2375="","",L2375-R2375),"")</f>
        <v/>
      </c>
      <c r="T2375" s="60" t="str">
        <f aca="false">IF(IsPro,IF($D2375="","",IF(U2375="","UNKNOWN ITEM",IF(INDEX(Items!$O$5:$O$504,U2375)&lt;0,"NEG STOCK",IF(K2375&lt;INDEX(Items!$P$5:$P$504,U2375),"BELOW COST","OK")))),IF($D2375="","","PRO PLAN"))</f>
        <v/>
      </c>
      <c r="U2375" s="60" t="str">
        <f aca="false">IF(IsPro,IF($D2375="","",IFERROR(MATCH($D2375,Items!$A$5:$A$504,0),"")),"")</f>
        <v/>
      </c>
      <c r="V2375" s="60" t="str">
        <f aca="false">IF(IsPro,IF($C2375="","",IFERROR(MATCH($C2375,Parties!$A$5:$A$304,0),"")),"")</f>
        <v/>
      </c>
      <c r="W2375" s="60" t="str">
        <f aca="false">IF(IsPro,IF($B2375="","",IFERROR(VALUE(SUBSTITUTE($B2375,InvPrefix,"")),0)),"")</f>
        <v/>
      </c>
      <c r="X2375" s="61" t="str">
        <f aca="false">IF(IsPro,IF($D2375="","",IF(OR($H2375="",$H2375="Credit"),0,Q2375)),"")</f>
        <v/>
      </c>
    </row>
    <row r="2376" customFormat="false" ht="15" hidden="false" customHeight="false" outlineLevel="0" collapsed="false">
      <c r="A2376" s="55"/>
      <c r="B2376" s="56"/>
      <c r="C2376" s="56"/>
      <c r="D2376" s="56"/>
      <c r="E2376" s="57"/>
      <c r="F2376" s="58"/>
      <c r="G2376" s="59"/>
      <c r="H2376" s="56"/>
      <c r="I2376" s="56"/>
      <c r="J2376" s="60" t="str">
        <f aca="false">IF(IsPro,IF($D2376="","",IFERROR(INDEX(Items!$D$5:$D$504,U2376),"")),"")</f>
        <v/>
      </c>
      <c r="K2376" s="61" t="str">
        <f aca="false">IF(IsPro,IF($D2376="","",IF($F2376="",IFERROR(INDEX(Items!$H$5:$H$504,U2376),0),$F2376)),"")</f>
        <v/>
      </c>
      <c r="L2376" s="61" t="str">
        <f aca="false">IF(IsPro,IF($D2376="","",ROUND(N($E2376)*K2376*(1-N($G2376)),2)),"")</f>
        <v/>
      </c>
      <c r="M2376" s="62" t="str">
        <f aca="false">IF(IsPro,IF($D2376="","",IFERROR(INDEX(Items!$F$5:$F$504,U2376),0)),"")</f>
        <v/>
      </c>
      <c r="N2376" s="61" t="str">
        <f aca="false">IF(IsPro,IF($D2376="","",IF(AND(V2376&lt;&gt;"",INDEX(Parties!$E$5:$E$304,V2376)&lt;&gt;"",INDEX(Parties!$E$5:$E$304,V2376)&lt;&gt;HomeState),0,ROUND(L2376*M2376/2,2))),"")</f>
        <v/>
      </c>
      <c r="O2376" s="61" t="str">
        <f aca="false">IF(IsPro,IF($D2376="","",N2376),"")</f>
        <v/>
      </c>
      <c r="P2376" s="61" t="str">
        <f aca="false">IF(IsPro,IF($D2376="","",IF(AND(V2376&lt;&gt;"",INDEX(Parties!$E$5:$E$304,V2376)&lt;&gt;"",INDEX(Parties!$E$5:$E$304,V2376)&lt;&gt;HomeState),ROUND(L2376*M2376,2),0)),"")</f>
        <v/>
      </c>
      <c r="Q2376" s="61" t="str">
        <f aca="false">IF(IsPro,IF($D2376="","",L2376+N2376+O2376+P2376),"")</f>
        <v/>
      </c>
      <c r="R2376" s="61" t="str">
        <f aca="false">IF(IsPro,IF($D2376="","",ROUND(N($E2376)*IFERROR(INDEX(Items!$P$5:$P$504,U2376),0),2)),"")</f>
        <v/>
      </c>
      <c r="S2376" s="61" t="str">
        <f aca="false">IF(IsPro,IF($D2376="","",L2376-R2376),"")</f>
        <v/>
      </c>
      <c r="T2376" s="60" t="str">
        <f aca="false">IF(IsPro,IF($D2376="","",IF(U2376="","UNKNOWN ITEM",IF(INDEX(Items!$O$5:$O$504,U2376)&lt;0,"NEG STOCK",IF(K2376&lt;INDEX(Items!$P$5:$P$504,U2376),"BELOW COST","OK")))),IF($D2376="","","PRO PLAN"))</f>
        <v/>
      </c>
      <c r="U2376" s="60" t="str">
        <f aca="false">IF(IsPro,IF($D2376="","",IFERROR(MATCH($D2376,Items!$A$5:$A$504,0),"")),"")</f>
        <v/>
      </c>
      <c r="V2376" s="60" t="str">
        <f aca="false">IF(IsPro,IF($C2376="","",IFERROR(MATCH($C2376,Parties!$A$5:$A$304,0),"")),"")</f>
        <v/>
      </c>
      <c r="W2376" s="60" t="str">
        <f aca="false">IF(IsPro,IF($B2376="","",IFERROR(VALUE(SUBSTITUTE($B2376,InvPrefix,"")),0)),"")</f>
        <v/>
      </c>
      <c r="X2376" s="61" t="str">
        <f aca="false">IF(IsPro,IF($D2376="","",IF(OR($H2376="",$H2376="Credit"),0,Q2376)),"")</f>
        <v/>
      </c>
    </row>
    <row r="2377" customFormat="false" ht="15" hidden="false" customHeight="false" outlineLevel="0" collapsed="false">
      <c r="A2377" s="55"/>
      <c r="B2377" s="56"/>
      <c r="C2377" s="56"/>
      <c r="D2377" s="56"/>
      <c r="E2377" s="57"/>
      <c r="F2377" s="58"/>
      <c r="G2377" s="59"/>
      <c r="H2377" s="56"/>
      <c r="I2377" s="56"/>
      <c r="J2377" s="60" t="str">
        <f aca="false">IF(IsPro,IF($D2377="","",IFERROR(INDEX(Items!$D$5:$D$504,U2377),"")),"")</f>
        <v/>
      </c>
      <c r="K2377" s="61" t="str">
        <f aca="false">IF(IsPro,IF($D2377="","",IF($F2377="",IFERROR(INDEX(Items!$H$5:$H$504,U2377),0),$F2377)),"")</f>
        <v/>
      </c>
      <c r="L2377" s="61" t="str">
        <f aca="false">IF(IsPro,IF($D2377="","",ROUND(N($E2377)*K2377*(1-N($G2377)),2)),"")</f>
        <v/>
      </c>
      <c r="M2377" s="62" t="str">
        <f aca="false">IF(IsPro,IF($D2377="","",IFERROR(INDEX(Items!$F$5:$F$504,U2377),0)),"")</f>
        <v/>
      </c>
      <c r="N2377" s="61" t="str">
        <f aca="false">IF(IsPro,IF($D2377="","",IF(AND(V2377&lt;&gt;"",INDEX(Parties!$E$5:$E$304,V2377)&lt;&gt;"",INDEX(Parties!$E$5:$E$304,V2377)&lt;&gt;HomeState),0,ROUND(L2377*M2377/2,2))),"")</f>
        <v/>
      </c>
      <c r="O2377" s="61" t="str">
        <f aca="false">IF(IsPro,IF($D2377="","",N2377),"")</f>
        <v/>
      </c>
      <c r="P2377" s="61" t="str">
        <f aca="false">IF(IsPro,IF($D2377="","",IF(AND(V2377&lt;&gt;"",INDEX(Parties!$E$5:$E$304,V2377)&lt;&gt;"",INDEX(Parties!$E$5:$E$304,V2377)&lt;&gt;HomeState),ROUND(L2377*M2377,2),0)),"")</f>
        <v/>
      </c>
      <c r="Q2377" s="61" t="str">
        <f aca="false">IF(IsPro,IF($D2377="","",L2377+N2377+O2377+P2377),"")</f>
        <v/>
      </c>
      <c r="R2377" s="61" t="str">
        <f aca="false">IF(IsPro,IF($D2377="","",ROUND(N($E2377)*IFERROR(INDEX(Items!$P$5:$P$504,U2377),0),2)),"")</f>
        <v/>
      </c>
      <c r="S2377" s="61" t="str">
        <f aca="false">IF(IsPro,IF($D2377="","",L2377-R2377),"")</f>
        <v/>
      </c>
      <c r="T2377" s="60" t="str">
        <f aca="false">IF(IsPro,IF($D2377="","",IF(U2377="","UNKNOWN ITEM",IF(INDEX(Items!$O$5:$O$504,U2377)&lt;0,"NEG STOCK",IF(K2377&lt;INDEX(Items!$P$5:$P$504,U2377),"BELOW COST","OK")))),IF($D2377="","","PRO PLAN"))</f>
        <v/>
      </c>
      <c r="U2377" s="60" t="str">
        <f aca="false">IF(IsPro,IF($D2377="","",IFERROR(MATCH($D2377,Items!$A$5:$A$504,0),"")),"")</f>
        <v/>
      </c>
      <c r="V2377" s="60" t="str">
        <f aca="false">IF(IsPro,IF($C2377="","",IFERROR(MATCH($C2377,Parties!$A$5:$A$304,0),"")),"")</f>
        <v/>
      </c>
      <c r="W2377" s="60" t="str">
        <f aca="false">IF(IsPro,IF($B2377="","",IFERROR(VALUE(SUBSTITUTE($B2377,InvPrefix,"")),0)),"")</f>
        <v/>
      </c>
      <c r="X2377" s="61" t="str">
        <f aca="false">IF(IsPro,IF($D2377="","",IF(OR($H2377="",$H2377="Credit"),0,Q2377)),"")</f>
        <v/>
      </c>
    </row>
    <row r="2378" customFormat="false" ht="15" hidden="false" customHeight="false" outlineLevel="0" collapsed="false">
      <c r="A2378" s="55"/>
      <c r="B2378" s="56"/>
      <c r="C2378" s="56"/>
      <c r="D2378" s="56"/>
      <c r="E2378" s="57"/>
      <c r="F2378" s="58"/>
      <c r="G2378" s="59"/>
      <c r="H2378" s="56"/>
      <c r="I2378" s="56"/>
      <c r="J2378" s="60" t="str">
        <f aca="false">IF(IsPro,IF($D2378="","",IFERROR(INDEX(Items!$D$5:$D$504,U2378),"")),"")</f>
        <v/>
      </c>
      <c r="K2378" s="61" t="str">
        <f aca="false">IF(IsPro,IF($D2378="","",IF($F2378="",IFERROR(INDEX(Items!$H$5:$H$504,U2378),0),$F2378)),"")</f>
        <v/>
      </c>
      <c r="L2378" s="61" t="str">
        <f aca="false">IF(IsPro,IF($D2378="","",ROUND(N($E2378)*K2378*(1-N($G2378)),2)),"")</f>
        <v/>
      </c>
      <c r="M2378" s="62" t="str">
        <f aca="false">IF(IsPro,IF($D2378="","",IFERROR(INDEX(Items!$F$5:$F$504,U2378),0)),"")</f>
        <v/>
      </c>
      <c r="N2378" s="61" t="str">
        <f aca="false">IF(IsPro,IF($D2378="","",IF(AND(V2378&lt;&gt;"",INDEX(Parties!$E$5:$E$304,V2378)&lt;&gt;"",INDEX(Parties!$E$5:$E$304,V2378)&lt;&gt;HomeState),0,ROUND(L2378*M2378/2,2))),"")</f>
        <v/>
      </c>
      <c r="O2378" s="61" t="str">
        <f aca="false">IF(IsPro,IF($D2378="","",N2378),"")</f>
        <v/>
      </c>
      <c r="P2378" s="61" t="str">
        <f aca="false">IF(IsPro,IF($D2378="","",IF(AND(V2378&lt;&gt;"",INDEX(Parties!$E$5:$E$304,V2378)&lt;&gt;"",INDEX(Parties!$E$5:$E$304,V2378)&lt;&gt;HomeState),ROUND(L2378*M2378,2),0)),"")</f>
        <v/>
      </c>
      <c r="Q2378" s="61" t="str">
        <f aca="false">IF(IsPro,IF($D2378="","",L2378+N2378+O2378+P2378),"")</f>
        <v/>
      </c>
      <c r="R2378" s="61" t="str">
        <f aca="false">IF(IsPro,IF($D2378="","",ROUND(N($E2378)*IFERROR(INDEX(Items!$P$5:$P$504,U2378),0),2)),"")</f>
        <v/>
      </c>
      <c r="S2378" s="61" t="str">
        <f aca="false">IF(IsPro,IF($D2378="","",L2378-R2378),"")</f>
        <v/>
      </c>
      <c r="T2378" s="60" t="str">
        <f aca="false">IF(IsPro,IF($D2378="","",IF(U2378="","UNKNOWN ITEM",IF(INDEX(Items!$O$5:$O$504,U2378)&lt;0,"NEG STOCK",IF(K2378&lt;INDEX(Items!$P$5:$P$504,U2378),"BELOW COST","OK")))),IF($D2378="","","PRO PLAN"))</f>
        <v/>
      </c>
      <c r="U2378" s="60" t="str">
        <f aca="false">IF(IsPro,IF($D2378="","",IFERROR(MATCH($D2378,Items!$A$5:$A$504,0),"")),"")</f>
        <v/>
      </c>
      <c r="V2378" s="60" t="str">
        <f aca="false">IF(IsPro,IF($C2378="","",IFERROR(MATCH($C2378,Parties!$A$5:$A$304,0),"")),"")</f>
        <v/>
      </c>
      <c r="W2378" s="60" t="str">
        <f aca="false">IF(IsPro,IF($B2378="","",IFERROR(VALUE(SUBSTITUTE($B2378,InvPrefix,"")),0)),"")</f>
        <v/>
      </c>
      <c r="X2378" s="61" t="str">
        <f aca="false">IF(IsPro,IF($D2378="","",IF(OR($H2378="",$H2378="Credit"),0,Q2378)),"")</f>
        <v/>
      </c>
    </row>
    <row r="2379" customFormat="false" ht="15" hidden="false" customHeight="false" outlineLevel="0" collapsed="false">
      <c r="A2379" s="55"/>
      <c r="B2379" s="56"/>
      <c r="C2379" s="56"/>
      <c r="D2379" s="56"/>
      <c r="E2379" s="57"/>
      <c r="F2379" s="58"/>
      <c r="G2379" s="59"/>
      <c r="H2379" s="56"/>
      <c r="I2379" s="56"/>
      <c r="J2379" s="60" t="str">
        <f aca="false">IF(IsPro,IF($D2379="","",IFERROR(INDEX(Items!$D$5:$D$504,U2379),"")),"")</f>
        <v/>
      </c>
      <c r="K2379" s="61" t="str">
        <f aca="false">IF(IsPro,IF($D2379="","",IF($F2379="",IFERROR(INDEX(Items!$H$5:$H$504,U2379),0),$F2379)),"")</f>
        <v/>
      </c>
      <c r="L2379" s="61" t="str">
        <f aca="false">IF(IsPro,IF($D2379="","",ROUND(N($E2379)*K2379*(1-N($G2379)),2)),"")</f>
        <v/>
      </c>
      <c r="M2379" s="62" t="str">
        <f aca="false">IF(IsPro,IF($D2379="","",IFERROR(INDEX(Items!$F$5:$F$504,U2379),0)),"")</f>
        <v/>
      </c>
      <c r="N2379" s="61" t="str">
        <f aca="false">IF(IsPro,IF($D2379="","",IF(AND(V2379&lt;&gt;"",INDEX(Parties!$E$5:$E$304,V2379)&lt;&gt;"",INDEX(Parties!$E$5:$E$304,V2379)&lt;&gt;HomeState),0,ROUND(L2379*M2379/2,2))),"")</f>
        <v/>
      </c>
      <c r="O2379" s="61" t="str">
        <f aca="false">IF(IsPro,IF($D2379="","",N2379),"")</f>
        <v/>
      </c>
      <c r="P2379" s="61" t="str">
        <f aca="false">IF(IsPro,IF($D2379="","",IF(AND(V2379&lt;&gt;"",INDEX(Parties!$E$5:$E$304,V2379)&lt;&gt;"",INDEX(Parties!$E$5:$E$304,V2379)&lt;&gt;HomeState),ROUND(L2379*M2379,2),0)),"")</f>
        <v/>
      </c>
      <c r="Q2379" s="61" t="str">
        <f aca="false">IF(IsPro,IF($D2379="","",L2379+N2379+O2379+P2379),"")</f>
        <v/>
      </c>
      <c r="R2379" s="61" t="str">
        <f aca="false">IF(IsPro,IF($D2379="","",ROUND(N($E2379)*IFERROR(INDEX(Items!$P$5:$P$504,U2379),0),2)),"")</f>
        <v/>
      </c>
      <c r="S2379" s="61" t="str">
        <f aca="false">IF(IsPro,IF($D2379="","",L2379-R2379),"")</f>
        <v/>
      </c>
      <c r="T2379" s="60" t="str">
        <f aca="false">IF(IsPro,IF($D2379="","",IF(U2379="","UNKNOWN ITEM",IF(INDEX(Items!$O$5:$O$504,U2379)&lt;0,"NEG STOCK",IF(K2379&lt;INDEX(Items!$P$5:$P$504,U2379),"BELOW COST","OK")))),IF($D2379="","","PRO PLAN"))</f>
        <v/>
      </c>
      <c r="U2379" s="60" t="str">
        <f aca="false">IF(IsPro,IF($D2379="","",IFERROR(MATCH($D2379,Items!$A$5:$A$504,0),"")),"")</f>
        <v/>
      </c>
      <c r="V2379" s="60" t="str">
        <f aca="false">IF(IsPro,IF($C2379="","",IFERROR(MATCH($C2379,Parties!$A$5:$A$304,0),"")),"")</f>
        <v/>
      </c>
      <c r="W2379" s="60" t="str">
        <f aca="false">IF(IsPro,IF($B2379="","",IFERROR(VALUE(SUBSTITUTE($B2379,InvPrefix,"")),0)),"")</f>
        <v/>
      </c>
      <c r="X2379" s="61" t="str">
        <f aca="false">IF(IsPro,IF($D2379="","",IF(OR($H2379="",$H2379="Credit"),0,Q2379)),"")</f>
        <v/>
      </c>
    </row>
    <row r="2380" customFormat="false" ht="15" hidden="false" customHeight="false" outlineLevel="0" collapsed="false">
      <c r="A2380" s="55"/>
      <c r="B2380" s="56"/>
      <c r="C2380" s="56"/>
      <c r="D2380" s="56"/>
      <c r="E2380" s="57"/>
      <c r="F2380" s="58"/>
      <c r="G2380" s="59"/>
      <c r="H2380" s="56"/>
      <c r="I2380" s="56"/>
      <c r="J2380" s="60" t="str">
        <f aca="false">IF(IsPro,IF($D2380="","",IFERROR(INDEX(Items!$D$5:$D$504,U2380),"")),"")</f>
        <v/>
      </c>
      <c r="K2380" s="61" t="str">
        <f aca="false">IF(IsPro,IF($D2380="","",IF($F2380="",IFERROR(INDEX(Items!$H$5:$H$504,U2380),0),$F2380)),"")</f>
        <v/>
      </c>
      <c r="L2380" s="61" t="str">
        <f aca="false">IF(IsPro,IF($D2380="","",ROUND(N($E2380)*K2380*(1-N($G2380)),2)),"")</f>
        <v/>
      </c>
      <c r="M2380" s="62" t="str">
        <f aca="false">IF(IsPro,IF($D2380="","",IFERROR(INDEX(Items!$F$5:$F$504,U2380),0)),"")</f>
        <v/>
      </c>
      <c r="N2380" s="61" t="str">
        <f aca="false">IF(IsPro,IF($D2380="","",IF(AND(V2380&lt;&gt;"",INDEX(Parties!$E$5:$E$304,V2380)&lt;&gt;"",INDEX(Parties!$E$5:$E$304,V2380)&lt;&gt;HomeState),0,ROUND(L2380*M2380/2,2))),"")</f>
        <v/>
      </c>
      <c r="O2380" s="61" t="str">
        <f aca="false">IF(IsPro,IF($D2380="","",N2380),"")</f>
        <v/>
      </c>
      <c r="P2380" s="61" t="str">
        <f aca="false">IF(IsPro,IF($D2380="","",IF(AND(V2380&lt;&gt;"",INDEX(Parties!$E$5:$E$304,V2380)&lt;&gt;"",INDEX(Parties!$E$5:$E$304,V2380)&lt;&gt;HomeState),ROUND(L2380*M2380,2),0)),"")</f>
        <v/>
      </c>
      <c r="Q2380" s="61" t="str">
        <f aca="false">IF(IsPro,IF($D2380="","",L2380+N2380+O2380+P2380),"")</f>
        <v/>
      </c>
      <c r="R2380" s="61" t="str">
        <f aca="false">IF(IsPro,IF($D2380="","",ROUND(N($E2380)*IFERROR(INDEX(Items!$P$5:$P$504,U2380),0),2)),"")</f>
        <v/>
      </c>
      <c r="S2380" s="61" t="str">
        <f aca="false">IF(IsPro,IF($D2380="","",L2380-R2380),"")</f>
        <v/>
      </c>
      <c r="T2380" s="60" t="str">
        <f aca="false">IF(IsPro,IF($D2380="","",IF(U2380="","UNKNOWN ITEM",IF(INDEX(Items!$O$5:$O$504,U2380)&lt;0,"NEG STOCK",IF(K2380&lt;INDEX(Items!$P$5:$P$504,U2380),"BELOW COST","OK")))),IF($D2380="","","PRO PLAN"))</f>
        <v/>
      </c>
      <c r="U2380" s="60" t="str">
        <f aca="false">IF(IsPro,IF($D2380="","",IFERROR(MATCH($D2380,Items!$A$5:$A$504,0),"")),"")</f>
        <v/>
      </c>
      <c r="V2380" s="60" t="str">
        <f aca="false">IF(IsPro,IF($C2380="","",IFERROR(MATCH($C2380,Parties!$A$5:$A$304,0),"")),"")</f>
        <v/>
      </c>
      <c r="W2380" s="60" t="str">
        <f aca="false">IF(IsPro,IF($B2380="","",IFERROR(VALUE(SUBSTITUTE($B2380,InvPrefix,"")),0)),"")</f>
        <v/>
      </c>
      <c r="X2380" s="61" t="str">
        <f aca="false">IF(IsPro,IF($D2380="","",IF(OR($H2380="",$H2380="Credit"),0,Q2380)),"")</f>
        <v/>
      </c>
    </row>
    <row r="2381" customFormat="false" ht="15" hidden="false" customHeight="false" outlineLevel="0" collapsed="false">
      <c r="A2381" s="55"/>
      <c r="B2381" s="56"/>
      <c r="C2381" s="56"/>
      <c r="D2381" s="56"/>
      <c r="E2381" s="57"/>
      <c r="F2381" s="58"/>
      <c r="G2381" s="59"/>
      <c r="H2381" s="56"/>
      <c r="I2381" s="56"/>
      <c r="J2381" s="60" t="str">
        <f aca="false">IF(IsPro,IF($D2381="","",IFERROR(INDEX(Items!$D$5:$D$504,U2381),"")),"")</f>
        <v/>
      </c>
      <c r="K2381" s="61" t="str">
        <f aca="false">IF(IsPro,IF($D2381="","",IF($F2381="",IFERROR(INDEX(Items!$H$5:$H$504,U2381),0),$F2381)),"")</f>
        <v/>
      </c>
      <c r="L2381" s="61" t="str">
        <f aca="false">IF(IsPro,IF($D2381="","",ROUND(N($E2381)*K2381*(1-N($G2381)),2)),"")</f>
        <v/>
      </c>
      <c r="M2381" s="62" t="str">
        <f aca="false">IF(IsPro,IF($D2381="","",IFERROR(INDEX(Items!$F$5:$F$504,U2381),0)),"")</f>
        <v/>
      </c>
      <c r="N2381" s="61" t="str">
        <f aca="false">IF(IsPro,IF($D2381="","",IF(AND(V2381&lt;&gt;"",INDEX(Parties!$E$5:$E$304,V2381)&lt;&gt;"",INDEX(Parties!$E$5:$E$304,V2381)&lt;&gt;HomeState),0,ROUND(L2381*M2381/2,2))),"")</f>
        <v/>
      </c>
      <c r="O2381" s="61" t="str">
        <f aca="false">IF(IsPro,IF($D2381="","",N2381),"")</f>
        <v/>
      </c>
      <c r="P2381" s="61" t="str">
        <f aca="false">IF(IsPro,IF($D2381="","",IF(AND(V2381&lt;&gt;"",INDEX(Parties!$E$5:$E$304,V2381)&lt;&gt;"",INDEX(Parties!$E$5:$E$304,V2381)&lt;&gt;HomeState),ROUND(L2381*M2381,2),0)),"")</f>
        <v/>
      </c>
      <c r="Q2381" s="61" t="str">
        <f aca="false">IF(IsPro,IF($D2381="","",L2381+N2381+O2381+P2381),"")</f>
        <v/>
      </c>
      <c r="R2381" s="61" t="str">
        <f aca="false">IF(IsPro,IF($D2381="","",ROUND(N($E2381)*IFERROR(INDEX(Items!$P$5:$P$504,U2381),0),2)),"")</f>
        <v/>
      </c>
      <c r="S2381" s="61" t="str">
        <f aca="false">IF(IsPro,IF($D2381="","",L2381-R2381),"")</f>
        <v/>
      </c>
      <c r="T2381" s="60" t="str">
        <f aca="false">IF(IsPro,IF($D2381="","",IF(U2381="","UNKNOWN ITEM",IF(INDEX(Items!$O$5:$O$504,U2381)&lt;0,"NEG STOCK",IF(K2381&lt;INDEX(Items!$P$5:$P$504,U2381),"BELOW COST","OK")))),IF($D2381="","","PRO PLAN"))</f>
        <v/>
      </c>
      <c r="U2381" s="60" t="str">
        <f aca="false">IF(IsPro,IF($D2381="","",IFERROR(MATCH($D2381,Items!$A$5:$A$504,0),"")),"")</f>
        <v/>
      </c>
      <c r="V2381" s="60" t="str">
        <f aca="false">IF(IsPro,IF($C2381="","",IFERROR(MATCH($C2381,Parties!$A$5:$A$304,0),"")),"")</f>
        <v/>
      </c>
      <c r="W2381" s="60" t="str">
        <f aca="false">IF(IsPro,IF($B2381="","",IFERROR(VALUE(SUBSTITUTE($B2381,InvPrefix,"")),0)),"")</f>
        <v/>
      </c>
      <c r="X2381" s="61" t="str">
        <f aca="false">IF(IsPro,IF($D2381="","",IF(OR($H2381="",$H2381="Credit"),0,Q2381)),"")</f>
        <v/>
      </c>
    </row>
    <row r="2382" customFormat="false" ht="15" hidden="false" customHeight="false" outlineLevel="0" collapsed="false">
      <c r="A2382" s="55"/>
      <c r="B2382" s="56"/>
      <c r="C2382" s="56"/>
      <c r="D2382" s="56"/>
      <c r="E2382" s="57"/>
      <c r="F2382" s="58"/>
      <c r="G2382" s="59"/>
      <c r="H2382" s="56"/>
      <c r="I2382" s="56"/>
      <c r="J2382" s="60" t="str">
        <f aca="false">IF(IsPro,IF($D2382="","",IFERROR(INDEX(Items!$D$5:$D$504,U2382),"")),"")</f>
        <v/>
      </c>
      <c r="K2382" s="61" t="str">
        <f aca="false">IF(IsPro,IF($D2382="","",IF($F2382="",IFERROR(INDEX(Items!$H$5:$H$504,U2382),0),$F2382)),"")</f>
        <v/>
      </c>
      <c r="L2382" s="61" t="str">
        <f aca="false">IF(IsPro,IF($D2382="","",ROUND(N($E2382)*K2382*(1-N($G2382)),2)),"")</f>
        <v/>
      </c>
      <c r="M2382" s="62" t="str">
        <f aca="false">IF(IsPro,IF($D2382="","",IFERROR(INDEX(Items!$F$5:$F$504,U2382),0)),"")</f>
        <v/>
      </c>
      <c r="N2382" s="61" t="str">
        <f aca="false">IF(IsPro,IF($D2382="","",IF(AND(V2382&lt;&gt;"",INDEX(Parties!$E$5:$E$304,V2382)&lt;&gt;"",INDEX(Parties!$E$5:$E$304,V2382)&lt;&gt;HomeState),0,ROUND(L2382*M2382/2,2))),"")</f>
        <v/>
      </c>
      <c r="O2382" s="61" t="str">
        <f aca="false">IF(IsPro,IF($D2382="","",N2382),"")</f>
        <v/>
      </c>
      <c r="P2382" s="61" t="str">
        <f aca="false">IF(IsPro,IF($D2382="","",IF(AND(V2382&lt;&gt;"",INDEX(Parties!$E$5:$E$304,V2382)&lt;&gt;"",INDEX(Parties!$E$5:$E$304,V2382)&lt;&gt;HomeState),ROUND(L2382*M2382,2),0)),"")</f>
        <v/>
      </c>
      <c r="Q2382" s="61" t="str">
        <f aca="false">IF(IsPro,IF($D2382="","",L2382+N2382+O2382+P2382),"")</f>
        <v/>
      </c>
      <c r="R2382" s="61" t="str">
        <f aca="false">IF(IsPro,IF($D2382="","",ROUND(N($E2382)*IFERROR(INDEX(Items!$P$5:$P$504,U2382),0),2)),"")</f>
        <v/>
      </c>
      <c r="S2382" s="61" t="str">
        <f aca="false">IF(IsPro,IF($D2382="","",L2382-R2382),"")</f>
        <v/>
      </c>
      <c r="T2382" s="60" t="str">
        <f aca="false">IF(IsPro,IF($D2382="","",IF(U2382="","UNKNOWN ITEM",IF(INDEX(Items!$O$5:$O$504,U2382)&lt;0,"NEG STOCK",IF(K2382&lt;INDEX(Items!$P$5:$P$504,U2382),"BELOW COST","OK")))),IF($D2382="","","PRO PLAN"))</f>
        <v/>
      </c>
      <c r="U2382" s="60" t="str">
        <f aca="false">IF(IsPro,IF($D2382="","",IFERROR(MATCH($D2382,Items!$A$5:$A$504,0),"")),"")</f>
        <v/>
      </c>
      <c r="V2382" s="60" t="str">
        <f aca="false">IF(IsPro,IF($C2382="","",IFERROR(MATCH($C2382,Parties!$A$5:$A$304,0),"")),"")</f>
        <v/>
      </c>
      <c r="W2382" s="60" t="str">
        <f aca="false">IF(IsPro,IF($B2382="","",IFERROR(VALUE(SUBSTITUTE($B2382,InvPrefix,"")),0)),"")</f>
        <v/>
      </c>
      <c r="X2382" s="61" t="str">
        <f aca="false">IF(IsPro,IF($D2382="","",IF(OR($H2382="",$H2382="Credit"),0,Q2382)),"")</f>
        <v/>
      </c>
    </row>
    <row r="2383" customFormat="false" ht="15" hidden="false" customHeight="false" outlineLevel="0" collapsed="false">
      <c r="A2383" s="55"/>
      <c r="B2383" s="56"/>
      <c r="C2383" s="56"/>
      <c r="D2383" s="56"/>
      <c r="E2383" s="57"/>
      <c r="F2383" s="58"/>
      <c r="G2383" s="59"/>
      <c r="H2383" s="56"/>
      <c r="I2383" s="56"/>
      <c r="J2383" s="60" t="str">
        <f aca="false">IF(IsPro,IF($D2383="","",IFERROR(INDEX(Items!$D$5:$D$504,U2383),"")),"")</f>
        <v/>
      </c>
      <c r="K2383" s="61" t="str">
        <f aca="false">IF(IsPro,IF($D2383="","",IF($F2383="",IFERROR(INDEX(Items!$H$5:$H$504,U2383),0),$F2383)),"")</f>
        <v/>
      </c>
      <c r="L2383" s="61" t="str">
        <f aca="false">IF(IsPro,IF($D2383="","",ROUND(N($E2383)*K2383*(1-N($G2383)),2)),"")</f>
        <v/>
      </c>
      <c r="M2383" s="62" t="str">
        <f aca="false">IF(IsPro,IF($D2383="","",IFERROR(INDEX(Items!$F$5:$F$504,U2383),0)),"")</f>
        <v/>
      </c>
      <c r="N2383" s="61" t="str">
        <f aca="false">IF(IsPro,IF($D2383="","",IF(AND(V2383&lt;&gt;"",INDEX(Parties!$E$5:$E$304,V2383)&lt;&gt;"",INDEX(Parties!$E$5:$E$304,V2383)&lt;&gt;HomeState),0,ROUND(L2383*M2383/2,2))),"")</f>
        <v/>
      </c>
      <c r="O2383" s="61" t="str">
        <f aca="false">IF(IsPro,IF($D2383="","",N2383),"")</f>
        <v/>
      </c>
      <c r="P2383" s="61" t="str">
        <f aca="false">IF(IsPro,IF($D2383="","",IF(AND(V2383&lt;&gt;"",INDEX(Parties!$E$5:$E$304,V2383)&lt;&gt;"",INDEX(Parties!$E$5:$E$304,V2383)&lt;&gt;HomeState),ROUND(L2383*M2383,2),0)),"")</f>
        <v/>
      </c>
      <c r="Q2383" s="61" t="str">
        <f aca="false">IF(IsPro,IF($D2383="","",L2383+N2383+O2383+P2383),"")</f>
        <v/>
      </c>
      <c r="R2383" s="61" t="str">
        <f aca="false">IF(IsPro,IF($D2383="","",ROUND(N($E2383)*IFERROR(INDEX(Items!$P$5:$P$504,U2383),0),2)),"")</f>
        <v/>
      </c>
      <c r="S2383" s="61" t="str">
        <f aca="false">IF(IsPro,IF($D2383="","",L2383-R2383),"")</f>
        <v/>
      </c>
      <c r="T2383" s="60" t="str">
        <f aca="false">IF(IsPro,IF($D2383="","",IF(U2383="","UNKNOWN ITEM",IF(INDEX(Items!$O$5:$O$504,U2383)&lt;0,"NEG STOCK",IF(K2383&lt;INDEX(Items!$P$5:$P$504,U2383),"BELOW COST","OK")))),IF($D2383="","","PRO PLAN"))</f>
        <v/>
      </c>
      <c r="U2383" s="60" t="str">
        <f aca="false">IF(IsPro,IF($D2383="","",IFERROR(MATCH($D2383,Items!$A$5:$A$504,0),"")),"")</f>
        <v/>
      </c>
      <c r="V2383" s="60" t="str">
        <f aca="false">IF(IsPro,IF($C2383="","",IFERROR(MATCH($C2383,Parties!$A$5:$A$304,0),"")),"")</f>
        <v/>
      </c>
      <c r="W2383" s="60" t="str">
        <f aca="false">IF(IsPro,IF($B2383="","",IFERROR(VALUE(SUBSTITUTE($B2383,InvPrefix,"")),0)),"")</f>
        <v/>
      </c>
      <c r="X2383" s="61" t="str">
        <f aca="false">IF(IsPro,IF($D2383="","",IF(OR($H2383="",$H2383="Credit"),0,Q2383)),"")</f>
        <v/>
      </c>
    </row>
    <row r="2384" customFormat="false" ht="15" hidden="false" customHeight="false" outlineLevel="0" collapsed="false">
      <c r="A2384" s="55"/>
      <c r="B2384" s="56"/>
      <c r="C2384" s="56"/>
      <c r="D2384" s="56"/>
      <c r="E2384" s="57"/>
      <c r="F2384" s="58"/>
      <c r="G2384" s="59"/>
      <c r="H2384" s="56"/>
      <c r="I2384" s="56"/>
      <c r="J2384" s="60" t="str">
        <f aca="false">IF(IsPro,IF($D2384="","",IFERROR(INDEX(Items!$D$5:$D$504,U2384),"")),"")</f>
        <v/>
      </c>
      <c r="K2384" s="61" t="str">
        <f aca="false">IF(IsPro,IF($D2384="","",IF($F2384="",IFERROR(INDEX(Items!$H$5:$H$504,U2384),0),$F2384)),"")</f>
        <v/>
      </c>
      <c r="L2384" s="61" t="str">
        <f aca="false">IF(IsPro,IF($D2384="","",ROUND(N($E2384)*K2384*(1-N($G2384)),2)),"")</f>
        <v/>
      </c>
      <c r="M2384" s="62" t="str">
        <f aca="false">IF(IsPro,IF($D2384="","",IFERROR(INDEX(Items!$F$5:$F$504,U2384),0)),"")</f>
        <v/>
      </c>
      <c r="N2384" s="61" t="str">
        <f aca="false">IF(IsPro,IF($D2384="","",IF(AND(V2384&lt;&gt;"",INDEX(Parties!$E$5:$E$304,V2384)&lt;&gt;"",INDEX(Parties!$E$5:$E$304,V2384)&lt;&gt;HomeState),0,ROUND(L2384*M2384/2,2))),"")</f>
        <v/>
      </c>
      <c r="O2384" s="61" t="str">
        <f aca="false">IF(IsPro,IF($D2384="","",N2384),"")</f>
        <v/>
      </c>
      <c r="P2384" s="61" t="str">
        <f aca="false">IF(IsPro,IF($D2384="","",IF(AND(V2384&lt;&gt;"",INDEX(Parties!$E$5:$E$304,V2384)&lt;&gt;"",INDEX(Parties!$E$5:$E$304,V2384)&lt;&gt;HomeState),ROUND(L2384*M2384,2),0)),"")</f>
        <v/>
      </c>
      <c r="Q2384" s="61" t="str">
        <f aca="false">IF(IsPro,IF($D2384="","",L2384+N2384+O2384+P2384),"")</f>
        <v/>
      </c>
      <c r="R2384" s="61" t="str">
        <f aca="false">IF(IsPro,IF($D2384="","",ROUND(N($E2384)*IFERROR(INDEX(Items!$P$5:$P$504,U2384),0),2)),"")</f>
        <v/>
      </c>
      <c r="S2384" s="61" t="str">
        <f aca="false">IF(IsPro,IF($D2384="","",L2384-R2384),"")</f>
        <v/>
      </c>
      <c r="T2384" s="60" t="str">
        <f aca="false">IF(IsPro,IF($D2384="","",IF(U2384="","UNKNOWN ITEM",IF(INDEX(Items!$O$5:$O$504,U2384)&lt;0,"NEG STOCK",IF(K2384&lt;INDEX(Items!$P$5:$P$504,U2384),"BELOW COST","OK")))),IF($D2384="","","PRO PLAN"))</f>
        <v/>
      </c>
      <c r="U2384" s="60" t="str">
        <f aca="false">IF(IsPro,IF($D2384="","",IFERROR(MATCH($D2384,Items!$A$5:$A$504,0),"")),"")</f>
        <v/>
      </c>
      <c r="V2384" s="60" t="str">
        <f aca="false">IF(IsPro,IF($C2384="","",IFERROR(MATCH($C2384,Parties!$A$5:$A$304,0),"")),"")</f>
        <v/>
      </c>
      <c r="W2384" s="60" t="str">
        <f aca="false">IF(IsPro,IF($B2384="","",IFERROR(VALUE(SUBSTITUTE($B2384,InvPrefix,"")),0)),"")</f>
        <v/>
      </c>
      <c r="X2384" s="61" t="str">
        <f aca="false">IF(IsPro,IF($D2384="","",IF(OR($H2384="",$H2384="Credit"),0,Q2384)),"")</f>
        <v/>
      </c>
    </row>
    <row r="2385" customFormat="false" ht="15" hidden="false" customHeight="false" outlineLevel="0" collapsed="false">
      <c r="A2385" s="55"/>
      <c r="B2385" s="56"/>
      <c r="C2385" s="56"/>
      <c r="D2385" s="56"/>
      <c r="E2385" s="57"/>
      <c r="F2385" s="58"/>
      <c r="G2385" s="59"/>
      <c r="H2385" s="56"/>
      <c r="I2385" s="56"/>
      <c r="J2385" s="60" t="str">
        <f aca="false">IF(IsPro,IF($D2385="","",IFERROR(INDEX(Items!$D$5:$D$504,U2385),"")),"")</f>
        <v/>
      </c>
      <c r="K2385" s="61" t="str">
        <f aca="false">IF(IsPro,IF($D2385="","",IF($F2385="",IFERROR(INDEX(Items!$H$5:$H$504,U2385),0),$F2385)),"")</f>
        <v/>
      </c>
      <c r="L2385" s="61" t="str">
        <f aca="false">IF(IsPro,IF($D2385="","",ROUND(N($E2385)*K2385*(1-N($G2385)),2)),"")</f>
        <v/>
      </c>
      <c r="M2385" s="62" t="str">
        <f aca="false">IF(IsPro,IF($D2385="","",IFERROR(INDEX(Items!$F$5:$F$504,U2385),0)),"")</f>
        <v/>
      </c>
      <c r="N2385" s="61" t="str">
        <f aca="false">IF(IsPro,IF($D2385="","",IF(AND(V2385&lt;&gt;"",INDEX(Parties!$E$5:$E$304,V2385)&lt;&gt;"",INDEX(Parties!$E$5:$E$304,V2385)&lt;&gt;HomeState),0,ROUND(L2385*M2385/2,2))),"")</f>
        <v/>
      </c>
      <c r="O2385" s="61" t="str">
        <f aca="false">IF(IsPro,IF($D2385="","",N2385),"")</f>
        <v/>
      </c>
      <c r="P2385" s="61" t="str">
        <f aca="false">IF(IsPro,IF($D2385="","",IF(AND(V2385&lt;&gt;"",INDEX(Parties!$E$5:$E$304,V2385)&lt;&gt;"",INDEX(Parties!$E$5:$E$304,V2385)&lt;&gt;HomeState),ROUND(L2385*M2385,2),0)),"")</f>
        <v/>
      </c>
      <c r="Q2385" s="61" t="str">
        <f aca="false">IF(IsPro,IF($D2385="","",L2385+N2385+O2385+P2385),"")</f>
        <v/>
      </c>
      <c r="R2385" s="61" t="str">
        <f aca="false">IF(IsPro,IF($D2385="","",ROUND(N($E2385)*IFERROR(INDEX(Items!$P$5:$P$504,U2385),0),2)),"")</f>
        <v/>
      </c>
      <c r="S2385" s="61" t="str">
        <f aca="false">IF(IsPro,IF($D2385="","",L2385-R2385),"")</f>
        <v/>
      </c>
      <c r="T2385" s="60" t="str">
        <f aca="false">IF(IsPro,IF($D2385="","",IF(U2385="","UNKNOWN ITEM",IF(INDEX(Items!$O$5:$O$504,U2385)&lt;0,"NEG STOCK",IF(K2385&lt;INDEX(Items!$P$5:$P$504,U2385),"BELOW COST","OK")))),IF($D2385="","","PRO PLAN"))</f>
        <v/>
      </c>
      <c r="U2385" s="60" t="str">
        <f aca="false">IF(IsPro,IF($D2385="","",IFERROR(MATCH($D2385,Items!$A$5:$A$504,0),"")),"")</f>
        <v/>
      </c>
      <c r="V2385" s="60" t="str">
        <f aca="false">IF(IsPro,IF($C2385="","",IFERROR(MATCH($C2385,Parties!$A$5:$A$304,0),"")),"")</f>
        <v/>
      </c>
      <c r="W2385" s="60" t="str">
        <f aca="false">IF(IsPro,IF($B2385="","",IFERROR(VALUE(SUBSTITUTE($B2385,InvPrefix,"")),0)),"")</f>
        <v/>
      </c>
      <c r="X2385" s="61" t="str">
        <f aca="false">IF(IsPro,IF($D2385="","",IF(OR($H2385="",$H2385="Credit"),0,Q2385)),"")</f>
        <v/>
      </c>
    </row>
    <row r="2386" customFormat="false" ht="15" hidden="false" customHeight="false" outlineLevel="0" collapsed="false">
      <c r="A2386" s="55"/>
      <c r="B2386" s="56"/>
      <c r="C2386" s="56"/>
      <c r="D2386" s="56"/>
      <c r="E2386" s="57"/>
      <c r="F2386" s="58"/>
      <c r="G2386" s="59"/>
      <c r="H2386" s="56"/>
      <c r="I2386" s="56"/>
      <c r="J2386" s="60" t="str">
        <f aca="false">IF(IsPro,IF($D2386="","",IFERROR(INDEX(Items!$D$5:$D$504,U2386),"")),"")</f>
        <v/>
      </c>
      <c r="K2386" s="61" t="str">
        <f aca="false">IF(IsPro,IF($D2386="","",IF($F2386="",IFERROR(INDEX(Items!$H$5:$H$504,U2386),0),$F2386)),"")</f>
        <v/>
      </c>
      <c r="L2386" s="61" t="str">
        <f aca="false">IF(IsPro,IF($D2386="","",ROUND(N($E2386)*K2386*(1-N($G2386)),2)),"")</f>
        <v/>
      </c>
      <c r="M2386" s="62" t="str">
        <f aca="false">IF(IsPro,IF($D2386="","",IFERROR(INDEX(Items!$F$5:$F$504,U2386),0)),"")</f>
        <v/>
      </c>
      <c r="N2386" s="61" t="str">
        <f aca="false">IF(IsPro,IF($D2386="","",IF(AND(V2386&lt;&gt;"",INDEX(Parties!$E$5:$E$304,V2386)&lt;&gt;"",INDEX(Parties!$E$5:$E$304,V2386)&lt;&gt;HomeState),0,ROUND(L2386*M2386/2,2))),"")</f>
        <v/>
      </c>
      <c r="O2386" s="61" t="str">
        <f aca="false">IF(IsPro,IF($D2386="","",N2386),"")</f>
        <v/>
      </c>
      <c r="P2386" s="61" t="str">
        <f aca="false">IF(IsPro,IF($D2386="","",IF(AND(V2386&lt;&gt;"",INDEX(Parties!$E$5:$E$304,V2386)&lt;&gt;"",INDEX(Parties!$E$5:$E$304,V2386)&lt;&gt;HomeState),ROUND(L2386*M2386,2),0)),"")</f>
        <v/>
      </c>
      <c r="Q2386" s="61" t="str">
        <f aca="false">IF(IsPro,IF($D2386="","",L2386+N2386+O2386+P2386),"")</f>
        <v/>
      </c>
      <c r="R2386" s="61" t="str">
        <f aca="false">IF(IsPro,IF($D2386="","",ROUND(N($E2386)*IFERROR(INDEX(Items!$P$5:$P$504,U2386),0),2)),"")</f>
        <v/>
      </c>
      <c r="S2386" s="61" t="str">
        <f aca="false">IF(IsPro,IF($D2386="","",L2386-R2386),"")</f>
        <v/>
      </c>
      <c r="T2386" s="60" t="str">
        <f aca="false">IF(IsPro,IF($D2386="","",IF(U2386="","UNKNOWN ITEM",IF(INDEX(Items!$O$5:$O$504,U2386)&lt;0,"NEG STOCK",IF(K2386&lt;INDEX(Items!$P$5:$P$504,U2386),"BELOW COST","OK")))),IF($D2386="","","PRO PLAN"))</f>
        <v/>
      </c>
      <c r="U2386" s="60" t="str">
        <f aca="false">IF(IsPro,IF($D2386="","",IFERROR(MATCH($D2386,Items!$A$5:$A$504,0),"")),"")</f>
        <v/>
      </c>
      <c r="V2386" s="60" t="str">
        <f aca="false">IF(IsPro,IF($C2386="","",IFERROR(MATCH($C2386,Parties!$A$5:$A$304,0),"")),"")</f>
        <v/>
      </c>
      <c r="W2386" s="60" t="str">
        <f aca="false">IF(IsPro,IF($B2386="","",IFERROR(VALUE(SUBSTITUTE($B2386,InvPrefix,"")),0)),"")</f>
        <v/>
      </c>
      <c r="X2386" s="61" t="str">
        <f aca="false">IF(IsPro,IF($D2386="","",IF(OR($H2386="",$H2386="Credit"),0,Q2386)),"")</f>
        <v/>
      </c>
    </row>
    <row r="2387" customFormat="false" ht="15" hidden="false" customHeight="false" outlineLevel="0" collapsed="false">
      <c r="A2387" s="55"/>
      <c r="B2387" s="56"/>
      <c r="C2387" s="56"/>
      <c r="D2387" s="56"/>
      <c r="E2387" s="57"/>
      <c r="F2387" s="58"/>
      <c r="G2387" s="59"/>
      <c r="H2387" s="56"/>
      <c r="I2387" s="56"/>
      <c r="J2387" s="60" t="str">
        <f aca="false">IF(IsPro,IF($D2387="","",IFERROR(INDEX(Items!$D$5:$D$504,U2387),"")),"")</f>
        <v/>
      </c>
      <c r="K2387" s="61" t="str">
        <f aca="false">IF(IsPro,IF($D2387="","",IF($F2387="",IFERROR(INDEX(Items!$H$5:$H$504,U2387),0),$F2387)),"")</f>
        <v/>
      </c>
      <c r="L2387" s="61" t="str">
        <f aca="false">IF(IsPro,IF($D2387="","",ROUND(N($E2387)*K2387*(1-N($G2387)),2)),"")</f>
        <v/>
      </c>
      <c r="M2387" s="62" t="str">
        <f aca="false">IF(IsPro,IF($D2387="","",IFERROR(INDEX(Items!$F$5:$F$504,U2387),0)),"")</f>
        <v/>
      </c>
      <c r="N2387" s="61" t="str">
        <f aca="false">IF(IsPro,IF($D2387="","",IF(AND(V2387&lt;&gt;"",INDEX(Parties!$E$5:$E$304,V2387)&lt;&gt;"",INDEX(Parties!$E$5:$E$304,V2387)&lt;&gt;HomeState),0,ROUND(L2387*M2387/2,2))),"")</f>
        <v/>
      </c>
      <c r="O2387" s="61" t="str">
        <f aca="false">IF(IsPro,IF($D2387="","",N2387),"")</f>
        <v/>
      </c>
      <c r="P2387" s="61" t="str">
        <f aca="false">IF(IsPro,IF($D2387="","",IF(AND(V2387&lt;&gt;"",INDEX(Parties!$E$5:$E$304,V2387)&lt;&gt;"",INDEX(Parties!$E$5:$E$304,V2387)&lt;&gt;HomeState),ROUND(L2387*M2387,2),0)),"")</f>
        <v/>
      </c>
      <c r="Q2387" s="61" t="str">
        <f aca="false">IF(IsPro,IF($D2387="","",L2387+N2387+O2387+P2387),"")</f>
        <v/>
      </c>
      <c r="R2387" s="61" t="str">
        <f aca="false">IF(IsPro,IF($D2387="","",ROUND(N($E2387)*IFERROR(INDEX(Items!$P$5:$P$504,U2387),0),2)),"")</f>
        <v/>
      </c>
      <c r="S2387" s="61" t="str">
        <f aca="false">IF(IsPro,IF($D2387="","",L2387-R2387),"")</f>
        <v/>
      </c>
      <c r="T2387" s="60" t="str">
        <f aca="false">IF(IsPro,IF($D2387="","",IF(U2387="","UNKNOWN ITEM",IF(INDEX(Items!$O$5:$O$504,U2387)&lt;0,"NEG STOCK",IF(K2387&lt;INDEX(Items!$P$5:$P$504,U2387),"BELOW COST","OK")))),IF($D2387="","","PRO PLAN"))</f>
        <v/>
      </c>
      <c r="U2387" s="60" t="str">
        <f aca="false">IF(IsPro,IF($D2387="","",IFERROR(MATCH($D2387,Items!$A$5:$A$504,0),"")),"")</f>
        <v/>
      </c>
      <c r="V2387" s="60" t="str">
        <f aca="false">IF(IsPro,IF($C2387="","",IFERROR(MATCH($C2387,Parties!$A$5:$A$304,0),"")),"")</f>
        <v/>
      </c>
      <c r="W2387" s="60" t="str">
        <f aca="false">IF(IsPro,IF($B2387="","",IFERROR(VALUE(SUBSTITUTE($B2387,InvPrefix,"")),0)),"")</f>
        <v/>
      </c>
      <c r="X2387" s="61" t="str">
        <f aca="false">IF(IsPro,IF($D2387="","",IF(OR($H2387="",$H2387="Credit"),0,Q2387)),"")</f>
        <v/>
      </c>
    </row>
    <row r="2388" customFormat="false" ht="15" hidden="false" customHeight="false" outlineLevel="0" collapsed="false">
      <c r="A2388" s="55"/>
      <c r="B2388" s="56"/>
      <c r="C2388" s="56"/>
      <c r="D2388" s="56"/>
      <c r="E2388" s="57"/>
      <c r="F2388" s="58"/>
      <c r="G2388" s="59"/>
      <c r="H2388" s="56"/>
      <c r="I2388" s="56"/>
      <c r="J2388" s="60" t="str">
        <f aca="false">IF(IsPro,IF($D2388="","",IFERROR(INDEX(Items!$D$5:$D$504,U2388),"")),"")</f>
        <v/>
      </c>
      <c r="K2388" s="61" t="str">
        <f aca="false">IF(IsPro,IF($D2388="","",IF($F2388="",IFERROR(INDEX(Items!$H$5:$H$504,U2388),0),$F2388)),"")</f>
        <v/>
      </c>
      <c r="L2388" s="61" t="str">
        <f aca="false">IF(IsPro,IF($D2388="","",ROUND(N($E2388)*K2388*(1-N($G2388)),2)),"")</f>
        <v/>
      </c>
      <c r="M2388" s="62" t="str">
        <f aca="false">IF(IsPro,IF($D2388="","",IFERROR(INDEX(Items!$F$5:$F$504,U2388),0)),"")</f>
        <v/>
      </c>
      <c r="N2388" s="61" t="str">
        <f aca="false">IF(IsPro,IF($D2388="","",IF(AND(V2388&lt;&gt;"",INDEX(Parties!$E$5:$E$304,V2388)&lt;&gt;"",INDEX(Parties!$E$5:$E$304,V2388)&lt;&gt;HomeState),0,ROUND(L2388*M2388/2,2))),"")</f>
        <v/>
      </c>
      <c r="O2388" s="61" t="str">
        <f aca="false">IF(IsPro,IF($D2388="","",N2388),"")</f>
        <v/>
      </c>
      <c r="P2388" s="61" t="str">
        <f aca="false">IF(IsPro,IF($D2388="","",IF(AND(V2388&lt;&gt;"",INDEX(Parties!$E$5:$E$304,V2388)&lt;&gt;"",INDEX(Parties!$E$5:$E$304,V2388)&lt;&gt;HomeState),ROUND(L2388*M2388,2),0)),"")</f>
        <v/>
      </c>
      <c r="Q2388" s="61" t="str">
        <f aca="false">IF(IsPro,IF($D2388="","",L2388+N2388+O2388+P2388),"")</f>
        <v/>
      </c>
      <c r="R2388" s="61" t="str">
        <f aca="false">IF(IsPro,IF($D2388="","",ROUND(N($E2388)*IFERROR(INDEX(Items!$P$5:$P$504,U2388),0),2)),"")</f>
        <v/>
      </c>
      <c r="S2388" s="61" t="str">
        <f aca="false">IF(IsPro,IF($D2388="","",L2388-R2388),"")</f>
        <v/>
      </c>
      <c r="T2388" s="60" t="str">
        <f aca="false">IF(IsPro,IF($D2388="","",IF(U2388="","UNKNOWN ITEM",IF(INDEX(Items!$O$5:$O$504,U2388)&lt;0,"NEG STOCK",IF(K2388&lt;INDEX(Items!$P$5:$P$504,U2388),"BELOW COST","OK")))),IF($D2388="","","PRO PLAN"))</f>
        <v/>
      </c>
      <c r="U2388" s="60" t="str">
        <f aca="false">IF(IsPro,IF($D2388="","",IFERROR(MATCH($D2388,Items!$A$5:$A$504,0),"")),"")</f>
        <v/>
      </c>
      <c r="V2388" s="60" t="str">
        <f aca="false">IF(IsPro,IF($C2388="","",IFERROR(MATCH($C2388,Parties!$A$5:$A$304,0),"")),"")</f>
        <v/>
      </c>
      <c r="W2388" s="60" t="str">
        <f aca="false">IF(IsPro,IF($B2388="","",IFERROR(VALUE(SUBSTITUTE($B2388,InvPrefix,"")),0)),"")</f>
        <v/>
      </c>
      <c r="X2388" s="61" t="str">
        <f aca="false">IF(IsPro,IF($D2388="","",IF(OR($H2388="",$H2388="Credit"),0,Q2388)),"")</f>
        <v/>
      </c>
    </row>
    <row r="2389" customFormat="false" ht="15" hidden="false" customHeight="false" outlineLevel="0" collapsed="false">
      <c r="A2389" s="55"/>
      <c r="B2389" s="56"/>
      <c r="C2389" s="56"/>
      <c r="D2389" s="56"/>
      <c r="E2389" s="57"/>
      <c r="F2389" s="58"/>
      <c r="G2389" s="59"/>
      <c r="H2389" s="56"/>
      <c r="I2389" s="56"/>
      <c r="J2389" s="60" t="str">
        <f aca="false">IF(IsPro,IF($D2389="","",IFERROR(INDEX(Items!$D$5:$D$504,U2389),"")),"")</f>
        <v/>
      </c>
      <c r="K2389" s="61" t="str">
        <f aca="false">IF(IsPro,IF($D2389="","",IF($F2389="",IFERROR(INDEX(Items!$H$5:$H$504,U2389),0),$F2389)),"")</f>
        <v/>
      </c>
      <c r="L2389" s="61" t="str">
        <f aca="false">IF(IsPro,IF($D2389="","",ROUND(N($E2389)*K2389*(1-N($G2389)),2)),"")</f>
        <v/>
      </c>
      <c r="M2389" s="62" t="str">
        <f aca="false">IF(IsPro,IF($D2389="","",IFERROR(INDEX(Items!$F$5:$F$504,U2389),0)),"")</f>
        <v/>
      </c>
      <c r="N2389" s="61" t="str">
        <f aca="false">IF(IsPro,IF($D2389="","",IF(AND(V2389&lt;&gt;"",INDEX(Parties!$E$5:$E$304,V2389)&lt;&gt;"",INDEX(Parties!$E$5:$E$304,V2389)&lt;&gt;HomeState),0,ROUND(L2389*M2389/2,2))),"")</f>
        <v/>
      </c>
      <c r="O2389" s="61" t="str">
        <f aca="false">IF(IsPro,IF($D2389="","",N2389),"")</f>
        <v/>
      </c>
      <c r="P2389" s="61" t="str">
        <f aca="false">IF(IsPro,IF($D2389="","",IF(AND(V2389&lt;&gt;"",INDEX(Parties!$E$5:$E$304,V2389)&lt;&gt;"",INDEX(Parties!$E$5:$E$304,V2389)&lt;&gt;HomeState),ROUND(L2389*M2389,2),0)),"")</f>
        <v/>
      </c>
      <c r="Q2389" s="61" t="str">
        <f aca="false">IF(IsPro,IF($D2389="","",L2389+N2389+O2389+P2389),"")</f>
        <v/>
      </c>
      <c r="R2389" s="61" t="str">
        <f aca="false">IF(IsPro,IF($D2389="","",ROUND(N($E2389)*IFERROR(INDEX(Items!$P$5:$P$504,U2389),0),2)),"")</f>
        <v/>
      </c>
      <c r="S2389" s="61" t="str">
        <f aca="false">IF(IsPro,IF($D2389="","",L2389-R2389),"")</f>
        <v/>
      </c>
      <c r="T2389" s="60" t="str">
        <f aca="false">IF(IsPro,IF($D2389="","",IF(U2389="","UNKNOWN ITEM",IF(INDEX(Items!$O$5:$O$504,U2389)&lt;0,"NEG STOCK",IF(K2389&lt;INDEX(Items!$P$5:$P$504,U2389),"BELOW COST","OK")))),IF($D2389="","","PRO PLAN"))</f>
        <v/>
      </c>
      <c r="U2389" s="60" t="str">
        <f aca="false">IF(IsPro,IF($D2389="","",IFERROR(MATCH($D2389,Items!$A$5:$A$504,0),"")),"")</f>
        <v/>
      </c>
      <c r="V2389" s="60" t="str">
        <f aca="false">IF(IsPro,IF($C2389="","",IFERROR(MATCH($C2389,Parties!$A$5:$A$304,0),"")),"")</f>
        <v/>
      </c>
      <c r="W2389" s="60" t="str">
        <f aca="false">IF(IsPro,IF($B2389="","",IFERROR(VALUE(SUBSTITUTE($B2389,InvPrefix,"")),0)),"")</f>
        <v/>
      </c>
      <c r="X2389" s="61" t="str">
        <f aca="false">IF(IsPro,IF($D2389="","",IF(OR($H2389="",$H2389="Credit"),0,Q2389)),"")</f>
        <v/>
      </c>
    </row>
    <row r="2390" customFormat="false" ht="15" hidden="false" customHeight="false" outlineLevel="0" collapsed="false">
      <c r="A2390" s="55"/>
      <c r="B2390" s="56"/>
      <c r="C2390" s="56"/>
      <c r="D2390" s="56"/>
      <c r="E2390" s="57"/>
      <c r="F2390" s="58"/>
      <c r="G2390" s="59"/>
      <c r="H2390" s="56"/>
      <c r="I2390" s="56"/>
      <c r="J2390" s="60" t="str">
        <f aca="false">IF(IsPro,IF($D2390="","",IFERROR(INDEX(Items!$D$5:$D$504,U2390),"")),"")</f>
        <v/>
      </c>
      <c r="K2390" s="61" t="str">
        <f aca="false">IF(IsPro,IF($D2390="","",IF($F2390="",IFERROR(INDEX(Items!$H$5:$H$504,U2390),0),$F2390)),"")</f>
        <v/>
      </c>
      <c r="L2390" s="61" t="str">
        <f aca="false">IF(IsPro,IF($D2390="","",ROUND(N($E2390)*K2390*(1-N($G2390)),2)),"")</f>
        <v/>
      </c>
      <c r="M2390" s="62" t="str">
        <f aca="false">IF(IsPro,IF($D2390="","",IFERROR(INDEX(Items!$F$5:$F$504,U2390),0)),"")</f>
        <v/>
      </c>
      <c r="N2390" s="61" t="str">
        <f aca="false">IF(IsPro,IF($D2390="","",IF(AND(V2390&lt;&gt;"",INDEX(Parties!$E$5:$E$304,V2390)&lt;&gt;"",INDEX(Parties!$E$5:$E$304,V2390)&lt;&gt;HomeState),0,ROUND(L2390*M2390/2,2))),"")</f>
        <v/>
      </c>
      <c r="O2390" s="61" t="str">
        <f aca="false">IF(IsPro,IF($D2390="","",N2390),"")</f>
        <v/>
      </c>
      <c r="P2390" s="61" t="str">
        <f aca="false">IF(IsPro,IF($D2390="","",IF(AND(V2390&lt;&gt;"",INDEX(Parties!$E$5:$E$304,V2390)&lt;&gt;"",INDEX(Parties!$E$5:$E$304,V2390)&lt;&gt;HomeState),ROUND(L2390*M2390,2),0)),"")</f>
        <v/>
      </c>
      <c r="Q2390" s="61" t="str">
        <f aca="false">IF(IsPro,IF($D2390="","",L2390+N2390+O2390+P2390),"")</f>
        <v/>
      </c>
      <c r="R2390" s="61" t="str">
        <f aca="false">IF(IsPro,IF($D2390="","",ROUND(N($E2390)*IFERROR(INDEX(Items!$P$5:$P$504,U2390),0),2)),"")</f>
        <v/>
      </c>
      <c r="S2390" s="61" t="str">
        <f aca="false">IF(IsPro,IF($D2390="","",L2390-R2390),"")</f>
        <v/>
      </c>
      <c r="T2390" s="60" t="str">
        <f aca="false">IF(IsPro,IF($D2390="","",IF(U2390="","UNKNOWN ITEM",IF(INDEX(Items!$O$5:$O$504,U2390)&lt;0,"NEG STOCK",IF(K2390&lt;INDEX(Items!$P$5:$P$504,U2390),"BELOW COST","OK")))),IF($D2390="","","PRO PLAN"))</f>
        <v/>
      </c>
      <c r="U2390" s="60" t="str">
        <f aca="false">IF(IsPro,IF($D2390="","",IFERROR(MATCH($D2390,Items!$A$5:$A$504,0),"")),"")</f>
        <v/>
      </c>
      <c r="V2390" s="60" t="str">
        <f aca="false">IF(IsPro,IF($C2390="","",IFERROR(MATCH($C2390,Parties!$A$5:$A$304,0),"")),"")</f>
        <v/>
      </c>
      <c r="W2390" s="60" t="str">
        <f aca="false">IF(IsPro,IF($B2390="","",IFERROR(VALUE(SUBSTITUTE($B2390,InvPrefix,"")),0)),"")</f>
        <v/>
      </c>
      <c r="X2390" s="61" t="str">
        <f aca="false">IF(IsPro,IF($D2390="","",IF(OR($H2390="",$H2390="Credit"),0,Q2390)),"")</f>
        <v/>
      </c>
    </row>
    <row r="2391" customFormat="false" ht="15" hidden="false" customHeight="false" outlineLevel="0" collapsed="false">
      <c r="A2391" s="55"/>
      <c r="B2391" s="56"/>
      <c r="C2391" s="56"/>
      <c r="D2391" s="56"/>
      <c r="E2391" s="57"/>
      <c r="F2391" s="58"/>
      <c r="G2391" s="59"/>
      <c r="H2391" s="56"/>
      <c r="I2391" s="56"/>
      <c r="J2391" s="60" t="str">
        <f aca="false">IF(IsPro,IF($D2391="","",IFERROR(INDEX(Items!$D$5:$D$504,U2391),"")),"")</f>
        <v/>
      </c>
      <c r="K2391" s="61" t="str">
        <f aca="false">IF(IsPro,IF($D2391="","",IF($F2391="",IFERROR(INDEX(Items!$H$5:$H$504,U2391),0),$F2391)),"")</f>
        <v/>
      </c>
      <c r="L2391" s="61" t="str">
        <f aca="false">IF(IsPro,IF($D2391="","",ROUND(N($E2391)*K2391*(1-N($G2391)),2)),"")</f>
        <v/>
      </c>
      <c r="M2391" s="62" t="str">
        <f aca="false">IF(IsPro,IF($D2391="","",IFERROR(INDEX(Items!$F$5:$F$504,U2391),0)),"")</f>
        <v/>
      </c>
      <c r="N2391" s="61" t="str">
        <f aca="false">IF(IsPro,IF($D2391="","",IF(AND(V2391&lt;&gt;"",INDEX(Parties!$E$5:$E$304,V2391)&lt;&gt;"",INDEX(Parties!$E$5:$E$304,V2391)&lt;&gt;HomeState),0,ROUND(L2391*M2391/2,2))),"")</f>
        <v/>
      </c>
      <c r="O2391" s="61" t="str">
        <f aca="false">IF(IsPro,IF($D2391="","",N2391),"")</f>
        <v/>
      </c>
      <c r="P2391" s="61" t="str">
        <f aca="false">IF(IsPro,IF($D2391="","",IF(AND(V2391&lt;&gt;"",INDEX(Parties!$E$5:$E$304,V2391)&lt;&gt;"",INDEX(Parties!$E$5:$E$304,V2391)&lt;&gt;HomeState),ROUND(L2391*M2391,2),0)),"")</f>
        <v/>
      </c>
      <c r="Q2391" s="61" t="str">
        <f aca="false">IF(IsPro,IF($D2391="","",L2391+N2391+O2391+P2391),"")</f>
        <v/>
      </c>
      <c r="R2391" s="61" t="str">
        <f aca="false">IF(IsPro,IF($D2391="","",ROUND(N($E2391)*IFERROR(INDEX(Items!$P$5:$P$504,U2391),0),2)),"")</f>
        <v/>
      </c>
      <c r="S2391" s="61" t="str">
        <f aca="false">IF(IsPro,IF($D2391="","",L2391-R2391),"")</f>
        <v/>
      </c>
      <c r="T2391" s="60" t="str">
        <f aca="false">IF(IsPro,IF($D2391="","",IF(U2391="","UNKNOWN ITEM",IF(INDEX(Items!$O$5:$O$504,U2391)&lt;0,"NEG STOCK",IF(K2391&lt;INDEX(Items!$P$5:$P$504,U2391),"BELOW COST","OK")))),IF($D2391="","","PRO PLAN"))</f>
        <v/>
      </c>
      <c r="U2391" s="60" t="str">
        <f aca="false">IF(IsPro,IF($D2391="","",IFERROR(MATCH($D2391,Items!$A$5:$A$504,0),"")),"")</f>
        <v/>
      </c>
      <c r="V2391" s="60" t="str">
        <f aca="false">IF(IsPro,IF($C2391="","",IFERROR(MATCH($C2391,Parties!$A$5:$A$304,0),"")),"")</f>
        <v/>
      </c>
      <c r="W2391" s="60" t="str">
        <f aca="false">IF(IsPro,IF($B2391="","",IFERROR(VALUE(SUBSTITUTE($B2391,InvPrefix,"")),0)),"")</f>
        <v/>
      </c>
      <c r="X2391" s="61" t="str">
        <f aca="false">IF(IsPro,IF($D2391="","",IF(OR($H2391="",$H2391="Credit"),0,Q2391)),"")</f>
        <v/>
      </c>
    </row>
    <row r="2392" customFormat="false" ht="15" hidden="false" customHeight="false" outlineLevel="0" collapsed="false">
      <c r="A2392" s="55"/>
      <c r="B2392" s="56"/>
      <c r="C2392" s="56"/>
      <c r="D2392" s="56"/>
      <c r="E2392" s="57"/>
      <c r="F2392" s="58"/>
      <c r="G2392" s="59"/>
      <c r="H2392" s="56"/>
      <c r="I2392" s="56"/>
      <c r="J2392" s="60" t="str">
        <f aca="false">IF(IsPro,IF($D2392="","",IFERROR(INDEX(Items!$D$5:$D$504,U2392),"")),"")</f>
        <v/>
      </c>
      <c r="K2392" s="61" t="str">
        <f aca="false">IF(IsPro,IF($D2392="","",IF($F2392="",IFERROR(INDEX(Items!$H$5:$H$504,U2392),0),$F2392)),"")</f>
        <v/>
      </c>
      <c r="L2392" s="61" t="str">
        <f aca="false">IF(IsPro,IF($D2392="","",ROUND(N($E2392)*K2392*(1-N($G2392)),2)),"")</f>
        <v/>
      </c>
      <c r="M2392" s="62" t="str">
        <f aca="false">IF(IsPro,IF($D2392="","",IFERROR(INDEX(Items!$F$5:$F$504,U2392),0)),"")</f>
        <v/>
      </c>
      <c r="N2392" s="61" t="str">
        <f aca="false">IF(IsPro,IF($D2392="","",IF(AND(V2392&lt;&gt;"",INDEX(Parties!$E$5:$E$304,V2392)&lt;&gt;"",INDEX(Parties!$E$5:$E$304,V2392)&lt;&gt;HomeState),0,ROUND(L2392*M2392/2,2))),"")</f>
        <v/>
      </c>
      <c r="O2392" s="61" t="str">
        <f aca="false">IF(IsPro,IF($D2392="","",N2392),"")</f>
        <v/>
      </c>
      <c r="P2392" s="61" t="str">
        <f aca="false">IF(IsPro,IF($D2392="","",IF(AND(V2392&lt;&gt;"",INDEX(Parties!$E$5:$E$304,V2392)&lt;&gt;"",INDEX(Parties!$E$5:$E$304,V2392)&lt;&gt;HomeState),ROUND(L2392*M2392,2),0)),"")</f>
        <v/>
      </c>
      <c r="Q2392" s="61" t="str">
        <f aca="false">IF(IsPro,IF($D2392="","",L2392+N2392+O2392+P2392),"")</f>
        <v/>
      </c>
      <c r="R2392" s="61" t="str">
        <f aca="false">IF(IsPro,IF($D2392="","",ROUND(N($E2392)*IFERROR(INDEX(Items!$P$5:$P$504,U2392),0),2)),"")</f>
        <v/>
      </c>
      <c r="S2392" s="61" t="str">
        <f aca="false">IF(IsPro,IF($D2392="","",L2392-R2392),"")</f>
        <v/>
      </c>
      <c r="T2392" s="60" t="str">
        <f aca="false">IF(IsPro,IF($D2392="","",IF(U2392="","UNKNOWN ITEM",IF(INDEX(Items!$O$5:$O$504,U2392)&lt;0,"NEG STOCK",IF(K2392&lt;INDEX(Items!$P$5:$P$504,U2392),"BELOW COST","OK")))),IF($D2392="","","PRO PLAN"))</f>
        <v/>
      </c>
      <c r="U2392" s="60" t="str">
        <f aca="false">IF(IsPro,IF($D2392="","",IFERROR(MATCH($D2392,Items!$A$5:$A$504,0),"")),"")</f>
        <v/>
      </c>
      <c r="V2392" s="60" t="str">
        <f aca="false">IF(IsPro,IF($C2392="","",IFERROR(MATCH($C2392,Parties!$A$5:$A$304,0),"")),"")</f>
        <v/>
      </c>
      <c r="W2392" s="60" t="str">
        <f aca="false">IF(IsPro,IF($B2392="","",IFERROR(VALUE(SUBSTITUTE($B2392,InvPrefix,"")),0)),"")</f>
        <v/>
      </c>
      <c r="X2392" s="61" t="str">
        <f aca="false">IF(IsPro,IF($D2392="","",IF(OR($H2392="",$H2392="Credit"),0,Q2392)),"")</f>
        <v/>
      </c>
    </row>
    <row r="2393" customFormat="false" ht="15" hidden="false" customHeight="false" outlineLevel="0" collapsed="false">
      <c r="A2393" s="55"/>
      <c r="B2393" s="56"/>
      <c r="C2393" s="56"/>
      <c r="D2393" s="56"/>
      <c r="E2393" s="57"/>
      <c r="F2393" s="58"/>
      <c r="G2393" s="59"/>
      <c r="H2393" s="56"/>
      <c r="I2393" s="56"/>
      <c r="J2393" s="60" t="str">
        <f aca="false">IF(IsPro,IF($D2393="","",IFERROR(INDEX(Items!$D$5:$D$504,U2393),"")),"")</f>
        <v/>
      </c>
      <c r="K2393" s="61" t="str">
        <f aca="false">IF(IsPro,IF($D2393="","",IF($F2393="",IFERROR(INDEX(Items!$H$5:$H$504,U2393),0),$F2393)),"")</f>
        <v/>
      </c>
      <c r="L2393" s="61" t="str">
        <f aca="false">IF(IsPro,IF($D2393="","",ROUND(N($E2393)*K2393*(1-N($G2393)),2)),"")</f>
        <v/>
      </c>
      <c r="M2393" s="62" t="str">
        <f aca="false">IF(IsPro,IF($D2393="","",IFERROR(INDEX(Items!$F$5:$F$504,U2393),0)),"")</f>
        <v/>
      </c>
      <c r="N2393" s="61" t="str">
        <f aca="false">IF(IsPro,IF($D2393="","",IF(AND(V2393&lt;&gt;"",INDEX(Parties!$E$5:$E$304,V2393)&lt;&gt;"",INDEX(Parties!$E$5:$E$304,V2393)&lt;&gt;HomeState),0,ROUND(L2393*M2393/2,2))),"")</f>
        <v/>
      </c>
      <c r="O2393" s="61" t="str">
        <f aca="false">IF(IsPro,IF($D2393="","",N2393),"")</f>
        <v/>
      </c>
      <c r="P2393" s="61" t="str">
        <f aca="false">IF(IsPro,IF($D2393="","",IF(AND(V2393&lt;&gt;"",INDEX(Parties!$E$5:$E$304,V2393)&lt;&gt;"",INDEX(Parties!$E$5:$E$304,V2393)&lt;&gt;HomeState),ROUND(L2393*M2393,2),0)),"")</f>
        <v/>
      </c>
      <c r="Q2393" s="61" t="str">
        <f aca="false">IF(IsPro,IF($D2393="","",L2393+N2393+O2393+P2393),"")</f>
        <v/>
      </c>
      <c r="R2393" s="61" t="str">
        <f aca="false">IF(IsPro,IF($D2393="","",ROUND(N($E2393)*IFERROR(INDEX(Items!$P$5:$P$504,U2393),0),2)),"")</f>
        <v/>
      </c>
      <c r="S2393" s="61" t="str">
        <f aca="false">IF(IsPro,IF($D2393="","",L2393-R2393),"")</f>
        <v/>
      </c>
      <c r="T2393" s="60" t="str">
        <f aca="false">IF(IsPro,IF($D2393="","",IF(U2393="","UNKNOWN ITEM",IF(INDEX(Items!$O$5:$O$504,U2393)&lt;0,"NEG STOCK",IF(K2393&lt;INDEX(Items!$P$5:$P$504,U2393),"BELOW COST","OK")))),IF($D2393="","","PRO PLAN"))</f>
        <v/>
      </c>
      <c r="U2393" s="60" t="str">
        <f aca="false">IF(IsPro,IF($D2393="","",IFERROR(MATCH($D2393,Items!$A$5:$A$504,0),"")),"")</f>
        <v/>
      </c>
      <c r="V2393" s="60" t="str">
        <f aca="false">IF(IsPro,IF($C2393="","",IFERROR(MATCH($C2393,Parties!$A$5:$A$304,0),"")),"")</f>
        <v/>
      </c>
      <c r="W2393" s="60" t="str">
        <f aca="false">IF(IsPro,IF($B2393="","",IFERROR(VALUE(SUBSTITUTE($B2393,InvPrefix,"")),0)),"")</f>
        <v/>
      </c>
      <c r="X2393" s="61" t="str">
        <f aca="false">IF(IsPro,IF($D2393="","",IF(OR($H2393="",$H2393="Credit"),0,Q2393)),"")</f>
        <v/>
      </c>
    </row>
    <row r="2394" customFormat="false" ht="15" hidden="false" customHeight="false" outlineLevel="0" collapsed="false">
      <c r="A2394" s="55"/>
      <c r="B2394" s="56"/>
      <c r="C2394" s="56"/>
      <c r="D2394" s="56"/>
      <c r="E2394" s="57"/>
      <c r="F2394" s="58"/>
      <c r="G2394" s="59"/>
      <c r="H2394" s="56"/>
      <c r="I2394" s="56"/>
      <c r="J2394" s="60" t="str">
        <f aca="false">IF(IsPro,IF($D2394="","",IFERROR(INDEX(Items!$D$5:$D$504,U2394),"")),"")</f>
        <v/>
      </c>
      <c r="K2394" s="61" t="str">
        <f aca="false">IF(IsPro,IF($D2394="","",IF($F2394="",IFERROR(INDEX(Items!$H$5:$H$504,U2394),0),$F2394)),"")</f>
        <v/>
      </c>
      <c r="L2394" s="61" t="str">
        <f aca="false">IF(IsPro,IF($D2394="","",ROUND(N($E2394)*K2394*(1-N($G2394)),2)),"")</f>
        <v/>
      </c>
      <c r="M2394" s="62" t="str">
        <f aca="false">IF(IsPro,IF($D2394="","",IFERROR(INDEX(Items!$F$5:$F$504,U2394),0)),"")</f>
        <v/>
      </c>
      <c r="N2394" s="61" t="str">
        <f aca="false">IF(IsPro,IF($D2394="","",IF(AND(V2394&lt;&gt;"",INDEX(Parties!$E$5:$E$304,V2394)&lt;&gt;"",INDEX(Parties!$E$5:$E$304,V2394)&lt;&gt;HomeState),0,ROUND(L2394*M2394/2,2))),"")</f>
        <v/>
      </c>
      <c r="O2394" s="61" t="str">
        <f aca="false">IF(IsPro,IF($D2394="","",N2394),"")</f>
        <v/>
      </c>
      <c r="P2394" s="61" t="str">
        <f aca="false">IF(IsPro,IF($D2394="","",IF(AND(V2394&lt;&gt;"",INDEX(Parties!$E$5:$E$304,V2394)&lt;&gt;"",INDEX(Parties!$E$5:$E$304,V2394)&lt;&gt;HomeState),ROUND(L2394*M2394,2),0)),"")</f>
        <v/>
      </c>
      <c r="Q2394" s="61" t="str">
        <f aca="false">IF(IsPro,IF($D2394="","",L2394+N2394+O2394+P2394),"")</f>
        <v/>
      </c>
      <c r="R2394" s="61" t="str">
        <f aca="false">IF(IsPro,IF($D2394="","",ROUND(N($E2394)*IFERROR(INDEX(Items!$P$5:$P$504,U2394),0),2)),"")</f>
        <v/>
      </c>
      <c r="S2394" s="61" t="str">
        <f aca="false">IF(IsPro,IF($D2394="","",L2394-R2394),"")</f>
        <v/>
      </c>
      <c r="T2394" s="60" t="str">
        <f aca="false">IF(IsPro,IF($D2394="","",IF(U2394="","UNKNOWN ITEM",IF(INDEX(Items!$O$5:$O$504,U2394)&lt;0,"NEG STOCK",IF(K2394&lt;INDEX(Items!$P$5:$P$504,U2394),"BELOW COST","OK")))),IF($D2394="","","PRO PLAN"))</f>
        <v/>
      </c>
      <c r="U2394" s="60" t="str">
        <f aca="false">IF(IsPro,IF($D2394="","",IFERROR(MATCH($D2394,Items!$A$5:$A$504,0),"")),"")</f>
        <v/>
      </c>
      <c r="V2394" s="60" t="str">
        <f aca="false">IF(IsPro,IF($C2394="","",IFERROR(MATCH($C2394,Parties!$A$5:$A$304,0),"")),"")</f>
        <v/>
      </c>
      <c r="W2394" s="60" t="str">
        <f aca="false">IF(IsPro,IF($B2394="","",IFERROR(VALUE(SUBSTITUTE($B2394,InvPrefix,"")),0)),"")</f>
        <v/>
      </c>
      <c r="X2394" s="61" t="str">
        <f aca="false">IF(IsPro,IF($D2394="","",IF(OR($H2394="",$H2394="Credit"),0,Q2394)),"")</f>
        <v/>
      </c>
    </row>
    <row r="2395" customFormat="false" ht="15" hidden="false" customHeight="false" outlineLevel="0" collapsed="false">
      <c r="A2395" s="55"/>
      <c r="B2395" s="56"/>
      <c r="C2395" s="56"/>
      <c r="D2395" s="56"/>
      <c r="E2395" s="57"/>
      <c r="F2395" s="58"/>
      <c r="G2395" s="59"/>
      <c r="H2395" s="56"/>
      <c r="I2395" s="56"/>
      <c r="J2395" s="60" t="str">
        <f aca="false">IF(IsPro,IF($D2395="","",IFERROR(INDEX(Items!$D$5:$D$504,U2395),"")),"")</f>
        <v/>
      </c>
      <c r="K2395" s="61" t="str">
        <f aca="false">IF(IsPro,IF($D2395="","",IF($F2395="",IFERROR(INDEX(Items!$H$5:$H$504,U2395),0),$F2395)),"")</f>
        <v/>
      </c>
      <c r="L2395" s="61" t="str">
        <f aca="false">IF(IsPro,IF($D2395="","",ROUND(N($E2395)*K2395*(1-N($G2395)),2)),"")</f>
        <v/>
      </c>
      <c r="M2395" s="62" t="str">
        <f aca="false">IF(IsPro,IF($D2395="","",IFERROR(INDEX(Items!$F$5:$F$504,U2395),0)),"")</f>
        <v/>
      </c>
      <c r="N2395" s="61" t="str">
        <f aca="false">IF(IsPro,IF($D2395="","",IF(AND(V2395&lt;&gt;"",INDEX(Parties!$E$5:$E$304,V2395)&lt;&gt;"",INDEX(Parties!$E$5:$E$304,V2395)&lt;&gt;HomeState),0,ROUND(L2395*M2395/2,2))),"")</f>
        <v/>
      </c>
      <c r="O2395" s="61" t="str">
        <f aca="false">IF(IsPro,IF($D2395="","",N2395),"")</f>
        <v/>
      </c>
      <c r="P2395" s="61" t="str">
        <f aca="false">IF(IsPro,IF($D2395="","",IF(AND(V2395&lt;&gt;"",INDEX(Parties!$E$5:$E$304,V2395)&lt;&gt;"",INDEX(Parties!$E$5:$E$304,V2395)&lt;&gt;HomeState),ROUND(L2395*M2395,2),0)),"")</f>
        <v/>
      </c>
      <c r="Q2395" s="61" t="str">
        <f aca="false">IF(IsPro,IF($D2395="","",L2395+N2395+O2395+P2395),"")</f>
        <v/>
      </c>
      <c r="R2395" s="61" t="str">
        <f aca="false">IF(IsPro,IF($D2395="","",ROUND(N($E2395)*IFERROR(INDEX(Items!$P$5:$P$504,U2395),0),2)),"")</f>
        <v/>
      </c>
      <c r="S2395" s="61" t="str">
        <f aca="false">IF(IsPro,IF($D2395="","",L2395-R2395),"")</f>
        <v/>
      </c>
      <c r="T2395" s="60" t="str">
        <f aca="false">IF(IsPro,IF($D2395="","",IF(U2395="","UNKNOWN ITEM",IF(INDEX(Items!$O$5:$O$504,U2395)&lt;0,"NEG STOCK",IF(K2395&lt;INDEX(Items!$P$5:$P$504,U2395),"BELOW COST","OK")))),IF($D2395="","","PRO PLAN"))</f>
        <v/>
      </c>
      <c r="U2395" s="60" t="str">
        <f aca="false">IF(IsPro,IF($D2395="","",IFERROR(MATCH($D2395,Items!$A$5:$A$504,0),"")),"")</f>
        <v/>
      </c>
      <c r="V2395" s="60" t="str">
        <f aca="false">IF(IsPro,IF($C2395="","",IFERROR(MATCH($C2395,Parties!$A$5:$A$304,0),"")),"")</f>
        <v/>
      </c>
      <c r="W2395" s="60" t="str">
        <f aca="false">IF(IsPro,IF($B2395="","",IFERROR(VALUE(SUBSTITUTE($B2395,InvPrefix,"")),0)),"")</f>
        <v/>
      </c>
      <c r="X2395" s="61" t="str">
        <f aca="false">IF(IsPro,IF($D2395="","",IF(OR($H2395="",$H2395="Credit"),0,Q2395)),"")</f>
        <v/>
      </c>
    </row>
    <row r="2396" customFormat="false" ht="15" hidden="false" customHeight="false" outlineLevel="0" collapsed="false">
      <c r="A2396" s="55"/>
      <c r="B2396" s="56"/>
      <c r="C2396" s="56"/>
      <c r="D2396" s="56"/>
      <c r="E2396" s="57"/>
      <c r="F2396" s="58"/>
      <c r="G2396" s="59"/>
      <c r="H2396" s="56"/>
      <c r="I2396" s="56"/>
      <c r="J2396" s="60" t="str">
        <f aca="false">IF(IsPro,IF($D2396="","",IFERROR(INDEX(Items!$D$5:$D$504,U2396),"")),"")</f>
        <v/>
      </c>
      <c r="K2396" s="61" t="str">
        <f aca="false">IF(IsPro,IF($D2396="","",IF($F2396="",IFERROR(INDEX(Items!$H$5:$H$504,U2396),0),$F2396)),"")</f>
        <v/>
      </c>
      <c r="L2396" s="61" t="str">
        <f aca="false">IF(IsPro,IF($D2396="","",ROUND(N($E2396)*K2396*(1-N($G2396)),2)),"")</f>
        <v/>
      </c>
      <c r="M2396" s="62" t="str">
        <f aca="false">IF(IsPro,IF($D2396="","",IFERROR(INDEX(Items!$F$5:$F$504,U2396),0)),"")</f>
        <v/>
      </c>
      <c r="N2396" s="61" t="str">
        <f aca="false">IF(IsPro,IF($D2396="","",IF(AND(V2396&lt;&gt;"",INDEX(Parties!$E$5:$E$304,V2396)&lt;&gt;"",INDEX(Parties!$E$5:$E$304,V2396)&lt;&gt;HomeState),0,ROUND(L2396*M2396/2,2))),"")</f>
        <v/>
      </c>
      <c r="O2396" s="61" t="str">
        <f aca="false">IF(IsPro,IF($D2396="","",N2396),"")</f>
        <v/>
      </c>
      <c r="P2396" s="61" t="str">
        <f aca="false">IF(IsPro,IF($D2396="","",IF(AND(V2396&lt;&gt;"",INDEX(Parties!$E$5:$E$304,V2396)&lt;&gt;"",INDEX(Parties!$E$5:$E$304,V2396)&lt;&gt;HomeState),ROUND(L2396*M2396,2),0)),"")</f>
        <v/>
      </c>
      <c r="Q2396" s="61" t="str">
        <f aca="false">IF(IsPro,IF($D2396="","",L2396+N2396+O2396+P2396),"")</f>
        <v/>
      </c>
      <c r="R2396" s="61" t="str">
        <f aca="false">IF(IsPro,IF($D2396="","",ROUND(N($E2396)*IFERROR(INDEX(Items!$P$5:$P$504,U2396),0),2)),"")</f>
        <v/>
      </c>
      <c r="S2396" s="61" t="str">
        <f aca="false">IF(IsPro,IF($D2396="","",L2396-R2396),"")</f>
        <v/>
      </c>
      <c r="T2396" s="60" t="str">
        <f aca="false">IF(IsPro,IF($D2396="","",IF(U2396="","UNKNOWN ITEM",IF(INDEX(Items!$O$5:$O$504,U2396)&lt;0,"NEG STOCK",IF(K2396&lt;INDEX(Items!$P$5:$P$504,U2396),"BELOW COST","OK")))),IF($D2396="","","PRO PLAN"))</f>
        <v/>
      </c>
      <c r="U2396" s="60" t="str">
        <f aca="false">IF(IsPro,IF($D2396="","",IFERROR(MATCH($D2396,Items!$A$5:$A$504,0),"")),"")</f>
        <v/>
      </c>
      <c r="V2396" s="60" t="str">
        <f aca="false">IF(IsPro,IF($C2396="","",IFERROR(MATCH($C2396,Parties!$A$5:$A$304,0),"")),"")</f>
        <v/>
      </c>
      <c r="W2396" s="60" t="str">
        <f aca="false">IF(IsPro,IF($B2396="","",IFERROR(VALUE(SUBSTITUTE($B2396,InvPrefix,"")),0)),"")</f>
        <v/>
      </c>
      <c r="X2396" s="61" t="str">
        <f aca="false">IF(IsPro,IF($D2396="","",IF(OR($H2396="",$H2396="Credit"),0,Q2396)),"")</f>
        <v/>
      </c>
    </row>
    <row r="2397" customFormat="false" ht="15" hidden="false" customHeight="false" outlineLevel="0" collapsed="false">
      <c r="A2397" s="55"/>
      <c r="B2397" s="56"/>
      <c r="C2397" s="56"/>
      <c r="D2397" s="56"/>
      <c r="E2397" s="57"/>
      <c r="F2397" s="58"/>
      <c r="G2397" s="59"/>
      <c r="H2397" s="56"/>
      <c r="I2397" s="56"/>
      <c r="J2397" s="60" t="str">
        <f aca="false">IF(IsPro,IF($D2397="","",IFERROR(INDEX(Items!$D$5:$D$504,U2397),"")),"")</f>
        <v/>
      </c>
      <c r="K2397" s="61" t="str">
        <f aca="false">IF(IsPro,IF($D2397="","",IF($F2397="",IFERROR(INDEX(Items!$H$5:$H$504,U2397),0),$F2397)),"")</f>
        <v/>
      </c>
      <c r="L2397" s="61" t="str">
        <f aca="false">IF(IsPro,IF($D2397="","",ROUND(N($E2397)*K2397*(1-N($G2397)),2)),"")</f>
        <v/>
      </c>
      <c r="M2397" s="62" t="str">
        <f aca="false">IF(IsPro,IF($D2397="","",IFERROR(INDEX(Items!$F$5:$F$504,U2397),0)),"")</f>
        <v/>
      </c>
      <c r="N2397" s="61" t="str">
        <f aca="false">IF(IsPro,IF($D2397="","",IF(AND(V2397&lt;&gt;"",INDEX(Parties!$E$5:$E$304,V2397)&lt;&gt;"",INDEX(Parties!$E$5:$E$304,V2397)&lt;&gt;HomeState),0,ROUND(L2397*M2397/2,2))),"")</f>
        <v/>
      </c>
      <c r="O2397" s="61" t="str">
        <f aca="false">IF(IsPro,IF($D2397="","",N2397),"")</f>
        <v/>
      </c>
      <c r="P2397" s="61" t="str">
        <f aca="false">IF(IsPro,IF($D2397="","",IF(AND(V2397&lt;&gt;"",INDEX(Parties!$E$5:$E$304,V2397)&lt;&gt;"",INDEX(Parties!$E$5:$E$304,V2397)&lt;&gt;HomeState),ROUND(L2397*M2397,2),0)),"")</f>
        <v/>
      </c>
      <c r="Q2397" s="61" t="str">
        <f aca="false">IF(IsPro,IF($D2397="","",L2397+N2397+O2397+P2397),"")</f>
        <v/>
      </c>
      <c r="R2397" s="61" t="str">
        <f aca="false">IF(IsPro,IF($D2397="","",ROUND(N($E2397)*IFERROR(INDEX(Items!$P$5:$P$504,U2397),0),2)),"")</f>
        <v/>
      </c>
      <c r="S2397" s="61" t="str">
        <f aca="false">IF(IsPro,IF($D2397="","",L2397-R2397),"")</f>
        <v/>
      </c>
      <c r="T2397" s="60" t="str">
        <f aca="false">IF(IsPro,IF($D2397="","",IF(U2397="","UNKNOWN ITEM",IF(INDEX(Items!$O$5:$O$504,U2397)&lt;0,"NEG STOCK",IF(K2397&lt;INDEX(Items!$P$5:$P$504,U2397),"BELOW COST","OK")))),IF($D2397="","","PRO PLAN"))</f>
        <v/>
      </c>
      <c r="U2397" s="60" t="str">
        <f aca="false">IF(IsPro,IF($D2397="","",IFERROR(MATCH($D2397,Items!$A$5:$A$504,0),"")),"")</f>
        <v/>
      </c>
      <c r="V2397" s="60" t="str">
        <f aca="false">IF(IsPro,IF($C2397="","",IFERROR(MATCH($C2397,Parties!$A$5:$A$304,0),"")),"")</f>
        <v/>
      </c>
      <c r="W2397" s="60" t="str">
        <f aca="false">IF(IsPro,IF($B2397="","",IFERROR(VALUE(SUBSTITUTE($B2397,InvPrefix,"")),0)),"")</f>
        <v/>
      </c>
      <c r="X2397" s="61" t="str">
        <f aca="false">IF(IsPro,IF($D2397="","",IF(OR($H2397="",$H2397="Credit"),0,Q2397)),"")</f>
        <v/>
      </c>
    </row>
    <row r="2398" customFormat="false" ht="15" hidden="false" customHeight="false" outlineLevel="0" collapsed="false">
      <c r="A2398" s="55"/>
      <c r="B2398" s="56"/>
      <c r="C2398" s="56"/>
      <c r="D2398" s="56"/>
      <c r="E2398" s="57"/>
      <c r="F2398" s="58"/>
      <c r="G2398" s="59"/>
      <c r="H2398" s="56"/>
      <c r="I2398" s="56"/>
      <c r="J2398" s="60" t="str">
        <f aca="false">IF(IsPro,IF($D2398="","",IFERROR(INDEX(Items!$D$5:$D$504,U2398),"")),"")</f>
        <v/>
      </c>
      <c r="K2398" s="61" t="str">
        <f aca="false">IF(IsPro,IF($D2398="","",IF($F2398="",IFERROR(INDEX(Items!$H$5:$H$504,U2398),0),$F2398)),"")</f>
        <v/>
      </c>
      <c r="L2398" s="61" t="str">
        <f aca="false">IF(IsPro,IF($D2398="","",ROUND(N($E2398)*K2398*(1-N($G2398)),2)),"")</f>
        <v/>
      </c>
      <c r="M2398" s="62" t="str">
        <f aca="false">IF(IsPro,IF($D2398="","",IFERROR(INDEX(Items!$F$5:$F$504,U2398),0)),"")</f>
        <v/>
      </c>
      <c r="N2398" s="61" t="str">
        <f aca="false">IF(IsPro,IF($D2398="","",IF(AND(V2398&lt;&gt;"",INDEX(Parties!$E$5:$E$304,V2398)&lt;&gt;"",INDEX(Parties!$E$5:$E$304,V2398)&lt;&gt;HomeState),0,ROUND(L2398*M2398/2,2))),"")</f>
        <v/>
      </c>
      <c r="O2398" s="61" t="str">
        <f aca="false">IF(IsPro,IF($D2398="","",N2398),"")</f>
        <v/>
      </c>
      <c r="P2398" s="61" t="str">
        <f aca="false">IF(IsPro,IF($D2398="","",IF(AND(V2398&lt;&gt;"",INDEX(Parties!$E$5:$E$304,V2398)&lt;&gt;"",INDEX(Parties!$E$5:$E$304,V2398)&lt;&gt;HomeState),ROUND(L2398*M2398,2),0)),"")</f>
        <v/>
      </c>
      <c r="Q2398" s="61" t="str">
        <f aca="false">IF(IsPro,IF($D2398="","",L2398+N2398+O2398+P2398),"")</f>
        <v/>
      </c>
      <c r="R2398" s="61" t="str">
        <f aca="false">IF(IsPro,IF($D2398="","",ROUND(N($E2398)*IFERROR(INDEX(Items!$P$5:$P$504,U2398),0),2)),"")</f>
        <v/>
      </c>
      <c r="S2398" s="61" t="str">
        <f aca="false">IF(IsPro,IF($D2398="","",L2398-R2398),"")</f>
        <v/>
      </c>
      <c r="T2398" s="60" t="str">
        <f aca="false">IF(IsPro,IF($D2398="","",IF(U2398="","UNKNOWN ITEM",IF(INDEX(Items!$O$5:$O$504,U2398)&lt;0,"NEG STOCK",IF(K2398&lt;INDEX(Items!$P$5:$P$504,U2398),"BELOW COST","OK")))),IF($D2398="","","PRO PLAN"))</f>
        <v/>
      </c>
      <c r="U2398" s="60" t="str">
        <f aca="false">IF(IsPro,IF($D2398="","",IFERROR(MATCH($D2398,Items!$A$5:$A$504,0),"")),"")</f>
        <v/>
      </c>
      <c r="V2398" s="60" t="str">
        <f aca="false">IF(IsPro,IF($C2398="","",IFERROR(MATCH($C2398,Parties!$A$5:$A$304,0),"")),"")</f>
        <v/>
      </c>
      <c r="W2398" s="60" t="str">
        <f aca="false">IF(IsPro,IF($B2398="","",IFERROR(VALUE(SUBSTITUTE($B2398,InvPrefix,"")),0)),"")</f>
        <v/>
      </c>
      <c r="X2398" s="61" t="str">
        <f aca="false">IF(IsPro,IF($D2398="","",IF(OR($H2398="",$H2398="Credit"),0,Q2398)),"")</f>
        <v/>
      </c>
    </row>
    <row r="2399" customFormat="false" ht="15" hidden="false" customHeight="false" outlineLevel="0" collapsed="false">
      <c r="A2399" s="55"/>
      <c r="B2399" s="56"/>
      <c r="C2399" s="56"/>
      <c r="D2399" s="56"/>
      <c r="E2399" s="57"/>
      <c r="F2399" s="58"/>
      <c r="G2399" s="59"/>
      <c r="H2399" s="56"/>
      <c r="I2399" s="56"/>
      <c r="J2399" s="60" t="str">
        <f aca="false">IF(IsPro,IF($D2399="","",IFERROR(INDEX(Items!$D$5:$D$504,U2399),"")),"")</f>
        <v/>
      </c>
      <c r="K2399" s="61" t="str">
        <f aca="false">IF(IsPro,IF($D2399="","",IF($F2399="",IFERROR(INDEX(Items!$H$5:$H$504,U2399),0),$F2399)),"")</f>
        <v/>
      </c>
      <c r="L2399" s="61" t="str">
        <f aca="false">IF(IsPro,IF($D2399="","",ROUND(N($E2399)*K2399*(1-N($G2399)),2)),"")</f>
        <v/>
      </c>
      <c r="M2399" s="62" t="str">
        <f aca="false">IF(IsPro,IF($D2399="","",IFERROR(INDEX(Items!$F$5:$F$504,U2399),0)),"")</f>
        <v/>
      </c>
      <c r="N2399" s="61" t="str">
        <f aca="false">IF(IsPro,IF($D2399="","",IF(AND(V2399&lt;&gt;"",INDEX(Parties!$E$5:$E$304,V2399)&lt;&gt;"",INDEX(Parties!$E$5:$E$304,V2399)&lt;&gt;HomeState),0,ROUND(L2399*M2399/2,2))),"")</f>
        <v/>
      </c>
      <c r="O2399" s="61" t="str">
        <f aca="false">IF(IsPro,IF($D2399="","",N2399),"")</f>
        <v/>
      </c>
      <c r="P2399" s="61" t="str">
        <f aca="false">IF(IsPro,IF($D2399="","",IF(AND(V2399&lt;&gt;"",INDEX(Parties!$E$5:$E$304,V2399)&lt;&gt;"",INDEX(Parties!$E$5:$E$304,V2399)&lt;&gt;HomeState),ROUND(L2399*M2399,2),0)),"")</f>
        <v/>
      </c>
      <c r="Q2399" s="61" t="str">
        <f aca="false">IF(IsPro,IF($D2399="","",L2399+N2399+O2399+P2399),"")</f>
        <v/>
      </c>
      <c r="R2399" s="61" t="str">
        <f aca="false">IF(IsPro,IF($D2399="","",ROUND(N($E2399)*IFERROR(INDEX(Items!$P$5:$P$504,U2399),0),2)),"")</f>
        <v/>
      </c>
      <c r="S2399" s="61" t="str">
        <f aca="false">IF(IsPro,IF($D2399="","",L2399-R2399),"")</f>
        <v/>
      </c>
      <c r="T2399" s="60" t="str">
        <f aca="false">IF(IsPro,IF($D2399="","",IF(U2399="","UNKNOWN ITEM",IF(INDEX(Items!$O$5:$O$504,U2399)&lt;0,"NEG STOCK",IF(K2399&lt;INDEX(Items!$P$5:$P$504,U2399),"BELOW COST","OK")))),IF($D2399="","","PRO PLAN"))</f>
        <v/>
      </c>
      <c r="U2399" s="60" t="str">
        <f aca="false">IF(IsPro,IF($D2399="","",IFERROR(MATCH($D2399,Items!$A$5:$A$504,0),"")),"")</f>
        <v/>
      </c>
      <c r="V2399" s="60" t="str">
        <f aca="false">IF(IsPro,IF($C2399="","",IFERROR(MATCH($C2399,Parties!$A$5:$A$304,0),"")),"")</f>
        <v/>
      </c>
      <c r="W2399" s="60" t="str">
        <f aca="false">IF(IsPro,IF($B2399="","",IFERROR(VALUE(SUBSTITUTE($B2399,InvPrefix,"")),0)),"")</f>
        <v/>
      </c>
      <c r="X2399" s="61" t="str">
        <f aca="false">IF(IsPro,IF($D2399="","",IF(OR($H2399="",$H2399="Credit"),0,Q2399)),"")</f>
        <v/>
      </c>
    </row>
    <row r="2400" customFormat="false" ht="15" hidden="false" customHeight="false" outlineLevel="0" collapsed="false">
      <c r="A2400" s="55"/>
      <c r="B2400" s="56"/>
      <c r="C2400" s="56"/>
      <c r="D2400" s="56"/>
      <c r="E2400" s="57"/>
      <c r="F2400" s="58"/>
      <c r="G2400" s="59"/>
      <c r="H2400" s="56"/>
      <c r="I2400" s="56"/>
      <c r="J2400" s="60" t="str">
        <f aca="false">IF(IsPro,IF($D2400="","",IFERROR(INDEX(Items!$D$5:$D$504,U2400),"")),"")</f>
        <v/>
      </c>
      <c r="K2400" s="61" t="str">
        <f aca="false">IF(IsPro,IF($D2400="","",IF($F2400="",IFERROR(INDEX(Items!$H$5:$H$504,U2400),0),$F2400)),"")</f>
        <v/>
      </c>
      <c r="L2400" s="61" t="str">
        <f aca="false">IF(IsPro,IF($D2400="","",ROUND(N($E2400)*K2400*(1-N($G2400)),2)),"")</f>
        <v/>
      </c>
      <c r="M2400" s="62" t="str">
        <f aca="false">IF(IsPro,IF($D2400="","",IFERROR(INDEX(Items!$F$5:$F$504,U2400),0)),"")</f>
        <v/>
      </c>
      <c r="N2400" s="61" t="str">
        <f aca="false">IF(IsPro,IF($D2400="","",IF(AND(V2400&lt;&gt;"",INDEX(Parties!$E$5:$E$304,V2400)&lt;&gt;"",INDEX(Parties!$E$5:$E$304,V2400)&lt;&gt;HomeState),0,ROUND(L2400*M2400/2,2))),"")</f>
        <v/>
      </c>
      <c r="O2400" s="61" t="str">
        <f aca="false">IF(IsPro,IF($D2400="","",N2400),"")</f>
        <v/>
      </c>
      <c r="P2400" s="61" t="str">
        <f aca="false">IF(IsPro,IF($D2400="","",IF(AND(V2400&lt;&gt;"",INDEX(Parties!$E$5:$E$304,V2400)&lt;&gt;"",INDEX(Parties!$E$5:$E$304,V2400)&lt;&gt;HomeState),ROUND(L2400*M2400,2),0)),"")</f>
        <v/>
      </c>
      <c r="Q2400" s="61" t="str">
        <f aca="false">IF(IsPro,IF($D2400="","",L2400+N2400+O2400+P2400),"")</f>
        <v/>
      </c>
      <c r="R2400" s="61" t="str">
        <f aca="false">IF(IsPro,IF($D2400="","",ROUND(N($E2400)*IFERROR(INDEX(Items!$P$5:$P$504,U2400),0),2)),"")</f>
        <v/>
      </c>
      <c r="S2400" s="61" t="str">
        <f aca="false">IF(IsPro,IF($D2400="","",L2400-R2400),"")</f>
        <v/>
      </c>
      <c r="T2400" s="60" t="str">
        <f aca="false">IF(IsPro,IF($D2400="","",IF(U2400="","UNKNOWN ITEM",IF(INDEX(Items!$O$5:$O$504,U2400)&lt;0,"NEG STOCK",IF(K2400&lt;INDEX(Items!$P$5:$P$504,U2400),"BELOW COST","OK")))),IF($D2400="","","PRO PLAN"))</f>
        <v/>
      </c>
      <c r="U2400" s="60" t="str">
        <f aca="false">IF(IsPro,IF($D2400="","",IFERROR(MATCH($D2400,Items!$A$5:$A$504,0),"")),"")</f>
        <v/>
      </c>
      <c r="V2400" s="60" t="str">
        <f aca="false">IF(IsPro,IF($C2400="","",IFERROR(MATCH($C2400,Parties!$A$5:$A$304,0),"")),"")</f>
        <v/>
      </c>
      <c r="W2400" s="60" t="str">
        <f aca="false">IF(IsPro,IF($B2400="","",IFERROR(VALUE(SUBSTITUTE($B2400,InvPrefix,"")),0)),"")</f>
        <v/>
      </c>
      <c r="X2400" s="61" t="str">
        <f aca="false">IF(IsPro,IF($D2400="","",IF(OR($H2400="",$H2400="Credit"),0,Q2400)),"")</f>
        <v/>
      </c>
    </row>
    <row r="2401" customFormat="false" ht="15" hidden="false" customHeight="false" outlineLevel="0" collapsed="false">
      <c r="A2401" s="55"/>
      <c r="B2401" s="56"/>
      <c r="C2401" s="56"/>
      <c r="D2401" s="56"/>
      <c r="E2401" s="57"/>
      <c r="F2401" s="58"/>
      <c r="G2401" s="59"/>
      <c r="H2401" s="56"/>
      <c r="I2401" s="56"/>
      <c r="J2401" s="60" t="str">
        <f aca="false">IF(IsPro,IF($D2401="","",IFERROR(INDEX(Items!$D$5:$D$504,U2401),"")),"")</f>
        <v/>
      </c>
      <c r="K2401" s="61" t="str">
        <f aca="false">IF(IsPro,IF($D2401="","",IF($F2401="",IFERROR(INDEX(Items!$H$5:$H$504,U2401),0),$F2401)),"")</f>
        <v/>
      </c>
      <c r="L2401" s="61" t="str">
        <f aca="false">IF(IsPro,IF($D2401="","",ROUND(N($E2401)*K2401*(1-N($G2401)),2)),"")</f>
        <v/>
      </c>
      <c r="M2401" s="62" t="str">
        <f aca="false">IF(IsPro,IF($D2401="","",IFERROR(INDEX(Items!$F$5:$F$504,U2401),0)),"")</f>
        <v/>
      </c>
      <c r="N2401" s="61" t="str">
        <f aca="false">IF(IsPro,IF($D2401="","",IF(AND(V2401&lt;&gt;"",INDEX(Parties!$E$5:$E$304,V2401)&lt;&gt;"",INDEX(Parties!$E$5:$E$304,V2401)&lt;&gt;HomeState),0,ROUND(L2401*M2401/2,2))),"")</f>
        <v/>
      </c>
      <c r="O2401" s="61" t="str">
        <f aca="false">IF(IsPro,IF($D2401="","",N2401),"")</f>
        <v/>
      </c>
      <c r="P2401" s="61" t="str">
        <f aca="false">IF(IsPro,IF($D2401="","",IF(AND(V2401&lt;&gt;"",INDEX(Parties!$E$5:$E$304,V2401)&lt;&gt;"",INDEX(Parties!$E$5:$E$304,V2401)&lt;&gt;HomeState),ROUND(L2401*M2401,2),0)),"")</f>
        <v/>
      </c>
      <c r="Q2401" s="61" t="str">
        <f aca="false">IF(IsPro,IF($D2401="","",L2401+N2401+O2401+P2401),"")</f>
        <v/>
      </c>
      <c r="R2401" s="61" t="str">
        <f aca="false">IF(IsPro,IF($D2401="","",ROUND(N($E2401)*IFERROR(INDEX(Items!$P$5:$P$504,U2401),0),2)),"")</f>
        <v/>
      </c>
      <c r="S2401" s="61" t="str">
        <f aca="false">IF(IsPro,IF($D2401="","",L2401-R2401),"")</f>
        <v/>
      </c>
      <c r="T2401" s="60" t="str">
        <f aca="false">IF(IsPro,IF($D2401="","",IF(U2401="","UNKNOWN ITEM",IF(INDEX(Items!$O$5:$O$504,U2401)&lt;0,"NEG STOCK",IF(K2401&lt;INDEX(Items!$P$5:$P$504,U2401),"BELOW COST","OK")))),IF($D2401="","","PRO PLAN"))</f>
        <v/>
      </c>
      <c r="U2401" s="60" t="str">
        <f aca="false">IF(IsPro,IF($D2401="","",IFERROR(MATCH($D2401,Items!$A$5:$A$504,0),"")),"")</f>
        <v/>
      </c>
      <c r="V2401" s="60" t="str">
        <f aca="false">IF(IsPro,IF($C2401="","",IFERROR(MATCH($C2401,Parties!$A$5:$A$304,0),"")),"")</f>
        <v/>
      </c>
      <c r="W2401" s="60" t="str">
        <f aca="false">IF(IsPro,IF($B2401="","",IFERROR(VALUE(SUBSTITUTE($B2401,InvPrefix,"")),0)),"")</f>
        <v/>
      </c>
      <c r="X2401" s="61" t="str">
        <f aca="false">IF(IsPro,IF($D2401="","",IF(OR($H2401="",$H2401="Credit"),0,Q2401)),"")</f>
        <v/>
      </c>
    </row>
    <row r="2402" customFormat="false" ht="15" hidden="false" customHeight="false" outlineLevel="0" collapsed="false">
      <c r="A2402" s="55"/>
      <c r="B2402" s="56"/>
      <c r="C2402" s="56"/>
      <c r="D2402" s="56"/>
      <c r="E2402" s="57"/>
      <c r="F2402" s="58"/>
      <c r="G2402" s="59"/>
      <c r="H2402" s="56"/>
      <c r="I2402" s="56"/>
      <c r="J2402" s="60" t="str">
        <f aca="false">IF(IsPro,IF($D2402="","",IFERROR(INDEX(Items!$D$5:$D$504,U2402),"")),"")</f>
        <v/>
      </c>
      <c r="K2402" s="61" t="str">
        <f aca="false">IF(IsPro,IF($D2402="","",IF($F2402="",IFERROR(INDEX(Items!$H$5:$H$504,U2402),0),$F2402)),"")</f>
        <v/>
      </c>
      <c r="L2402" s="61" t="str">
        <f aca="false">IF(IsPro,IF($D2402="","",ROUND(N($E2402)*K2402*(1-N($G2402)),2)),"")</f>
        <v/>
      </c>
      <c r="M2402" s="62" t="str">
        <f aca="false">IF(IsPro,IF($D2402="","",IFERROR(INDEX(Items!$F$5:$F$504,U2402),0)),"")</f>
        <v/>
      </c>
      <c r="N2402" s="61" t="str">
        <f aca="false">IF(IsPro,IF($D2402="","",IF(AND(V2402&lt;&gt;"",INDEX(Parties!$E$5:$E$304,V2402)&lt;&gt;"",INDEX(Parties!$E$5:$E$304,V2402)&lt;&gt;HomeState),0,ROUND(L2402*M2402/2,2))),"")</f>
        <v/>
      </c>
      <c r="O2402" s="61" t="str">
        <f aca="false">IF(IsPro,IF($D2402="","",N2402),"")</f>
        <v/>
      </c>
      <c r="P2402" s="61" t="str">
        <f aca="false">IF(IsPro,IF($D2402="","",IF(AND(V2402&lt;&gt;"",INDEX(Parties!$E$5:$E$304,V2402)&lt;&gt;"",INDEX(Parties!$E$5:$E$304,V2402)&lt;&gt;HomeState),ROUND(L2402*M2402,2),0)),"")</f>
        <v/>
      </c>
      <c r="Q2402" s="61" t="str">
        <f aca="false">IF(IsPro,IF($D2402="","",L2402+N2402+O2402+P2402),"")</f>
        <v/>
      </c>
      <c r="R2402" s="61" t="str">
        <f aca="false">IF(IsPro,IF($D2402="","",ROUND(N($E2402)*IFERROR(INDEX(Items!$P$5:$P$504,U2402),0),2)),"")</f>
        <v/>
      </c>
      <c r="S2402" s="61" t="str">
        <f aca="false">IF(IsPro,IF($D2402="","",L2402-R2402),"")</f>
        <v/>
      </c>
      <c r="T2402" s="60" t="str">
        <f aca="false">IF(IsPro,IF($D2402="","",IF(U2402="","UNKNOWN ITEM",IF(INDEX(Items!$O$5:$O$504,U2402)&lt;0,"NEG STOCK",IF(K2402&lt;INDEX(Items!$P$5:$P$504,U2402),"BELOW COST","OK")))),IF($D2402="","","PRO PLAN"))</f>
        <v/>
      </c>
      <c r="U2402" s="60" t="str">
        <f aca="false">IF(IsPro,IF($D2402="","",IFERROR(MATCH($D2402,Items!$A$5:$A$504,0),"")),"")</f>
        <v/>
      </c>
      <c r="V2402" s="60" t="str">
        <f aca="false">IF(IsPro,IF($C2402="","",IFERROR(MATCH($C2402,Parties!$A$5:$A$304,0),"")),"")</f>
        <v/>
      </c>
      <c r="W2402" s="60" t="str">
        <f aca="false">IF(IsPro,IF($B2402="","",IFERROR(VALUE(SUBSTITUTE($B2402,InvPrefix,"")),0)),"")</f>
        <v/>
      </c>
      <c r="X2402" s="61" t="str">
        <f aca="false">IF(IsPro,IF($D2402="","",IF(OR($H2402="",$H2402="Credit"),0,Q2402)),"")</f>
        <v/>
      </c>
    </row>
    <row r="2403" customFormat="false" ht="15" hidden="false" customHeight="false" outlineLevel="0" collapsed="false">
      <c r="A2403" s="55"/>
      <c r="B2403" s="56"/>
      <c r="C2403" s="56"/>
      <c r="D2403" s="56"/>
      <c r="E2403" s="57"/>
      <c r="F2403" s="58"/>
      <c r="G2403" s="59"/>
      <c r="H2403" s="56"/>
      <c r="I2403" s="56"/>
      <c r="J2403" s="60" t="str">
        <f aca="false">IF(IsPro,IF($D2403="","",IFERROR(INDEX(Items!$D$5:$D$504,U2403),"")),"")</f>
        <v/>
      </c>
      <c r="K2403" s="61" t="str">
        <f aca="false">IF(IsPro,IF($D2403="","",IF($F2403="",IFERROR(INDEX(Items!$H$5:$H$504,U2403),0),$F2403)),"")</f>
        <v/>
      </c>
      <c r="L2403" s="61" t="str">
        <f aca="false">IF(IsPro,IF($D2403="","",ROUND(N($E2403)*K2403*(1-N($G2403)),2)),"")</f>
        <v/>
      </c>
      <c r="M2403" s="62" t="str">
        <f aca="false">IF(IsPro,IF($D2403="","",IFERROR(INDEX(Items!$F$5:$F$504,U2403),0)),"")</f>
        <v/>
      </c>
      <c r="N2403" s="61" t="str">
        <f aca="false">IF(IsPro,IF($D2403="","",IF(AND(V2403&lt;&gt;"",INDEX(Parties!$E$5:$E$304,V2403)&lt;&gt;"",INDEX(Parties!$E$5:$E$304,V2403)&lt;&gt;HomeState),0,ROUND(L2403*M2403/2,2))),"")</f>
        <v/>
      </c>
      <c r="O2403" s="61" t="str">
        <f aca="false">IF(IsPro,IF($D2403="","",N2403),"")</f>
        <v/>
      </c>
      <c r="P2403" s="61" t="str">
        <f aca="false">IF(IsPro,IF($D2403="","",IF(AND(V2403&lt;&gt;"",INDEX(Parties!$E$5:$E$304,V2403)&lt;&gt;"",INDEX(Parties!$E$5:$E$304,V2403)&lt;&gt;HomeState),ROUND(L2403*M2403,2),0)),"")</f>
        <v/>
      </c>
      <c r="Q2403" s="61" t="str">
        <f aca="false">IF(IsPro,IF($D2403="","",L2403+N2403+O2403+P2403),"")</f>
        <v/>
      </c>
      <c r="R2403" s="61" t="str">
        <f aca="false">IF(IsPro,IF($D2403="","",ROUND(N($E2403)*IFERROR(INDEX(Items!$P$5:$P$504,U2403),0),2)),"")</f>
        <v/>
      </c>
      <c r="S2403" s="61" t="str">
        <f aca="false">IF(IsPro,IF($D2403="","",L2403-R2403),"")</f>
        <v/>
      </c>
      <c r="T2403" s="60" t="str">
        <f aca="false">IF(IsPro,IF($D2403="","",IF(U2403="","UNKNOWN ITEM",IF(INDEX(Items!$O$5:$O$504,U2403)&lt;0,"NEG STOCK",IF(K2403&lt;INDEX(Items!$P$5:$P$504,U2403),"BELOW COST","OK")))),IF($D2403="","","PRO PLAN"))</f>
        <v/>
      </c>
      <c r="U2403" s="60" t="str">
        <f aca="false">IF(IsPro,IF($D2403="","",IFERROR(MATCH($D2403,Items!$A$5:$A$504,0),"")),"")</f>
        <v/>
      </c>
      <c r="V2403" s="60" t="str">
        <f aca="false">IF(IsPro,IF($C2403="","",IFERROR(MATCH($C2403,Parties!$A$5:$A$304,0),"")),"")</f>
        <v/>
      </c>
      <c r="W2403" s="60" t="str">
        <f aca="false">IF(IsPro,IF($B2403="","",IFERROR(VALUE(SUBSTITUTE($B2403,InvPrefix,"")),0)),"")</f>
        <v/>
      </c>
      <c r="X2403" s="61" t="str">
        <f aca="false">IF(IsPro,IF($D2403="","",IF(OR($H2403="",$H2403="Credit"),0,Q2403)),"")</f>
        <v/>
      </c>
    </row>
    <row r="2404" customFormat="false" ht="15" hidden="false" customHeight="false" outlineLevel="0" collapsed="false">
      <c r="A2404" s="55"/>
      <c r="B2404" s="56"/>
      <c r="C2404" s="56"/>
      <c r="D2404" s="56"/>
      <c r="E2404" s="57"/>
      <c r="F2404" s="58"/>
      <c r="G2404" s="59"/>
      <c r="H2404" s="56"/>
      <c r="I2404" s="56"/>
      <c r="J2404" s="60" t="str">
        <f aca="false">IF(IsPro,IF($D2404="","",IFERROR(INDEX(Items!$D$5:$D$504,U2404),"")),"")</f>
        <v/>
      </c>
      <c r="K2404" s="61" t="str">
        <f aca="false">IF(IsPro,IF($D2404="","",IF($F2404="",IFERROR(INDEX(Items!$H$5:$H$504,U2404),0),$F2404)),"")</f>
        <v/>
      </c>
      <c r="L2404" s="61" t="str">
        <f aca="false">IF(IsPro,IF($D2404="","",ROUND(N($E2404)*K2404*(1-N($G2404)),2)),"")</f>
        <v/>
      </c>
      <c r="M2404" s="62" t="str">
        <f aca="false">IF(IsPro,IF($D2404="","",IFERROR(INDEX(Items!$F$5:$F$504,U2404),0)),"")</f>
        <v/>
      </c>
      <c r="N2404" s="61" t="str">
        <f aca="false">IF(IsPro,IF($D2404="","",IF(AND(V2404&lt;&gt;"",INDEX(Parties!$E$5:$E$304,V2404)&lt;&gt;"",INDEX(Parties!$E$5:$E$304,V2404)&lt;&gt;HomeState),0,ROUND(L2404*M2404/2,2))),"")</f>
        <v/>
      </c>
      <c r="O2404" s="61" t="str">
        <f aca="false">IF(IsPro,IF($D2404="","",N2404),"")</f>
        <v/>
      </c>
      <c r="P2404" s="61" t="str">
        <f aca="false">IF(IsPro,IF($D2404="","",IF(AND(V2404&lt;&gt;"",INDEX(Parties!$E$5:$E$304,V2404)&lt;&gt;"",INDEX(Parties!$E$5:$E$304,V2404)&lt;&gt;HomeState),ROUND(L2404*M2404,2),0)),"")</f>
        <v/>
      </c>
      <c r="Q2404" s="61" t="str">
        <f aca="false">IF(IsPro,IF($D2404="","",L2404+N2404+O2404+P2404),"")</f>
        <v/>
      </c>
      <c r="R2404" s="61" t="str">
        <f aca="false">IF(IsPro,IF($D2404="","",ROUND(N($E2404)*IFERROR(INDEX(Items!$P$5:$P$504,U2404),0),2)),"")</f>
        <v/>
      </c>
      <c r="S2404" s="61" t="str">
        <f aca="false">IF(IsPro,IF($D2404="","",L2404-R2404),"")</f>
        <v/>
      </c>
      <c r="T2404" s="60" t="str">
        <f aca="false">IF(IsPro,IF($D2404="","",IF(U2404="","UNKNOWN ITEM",IF(INDEX(Items!$O$5:$O$504,U2404)&lt;0,"NEG STOCK",IF(K2404&lt;INDEX(Items!$P$5:$P$504,U2404),"BELOW COST","OK")))),IF($D2404="","","PRO PLAN"))</f>
        <v/>
      </c>
      <c r="U2404" s="60" t="str">
        <f aca="false">IF(IsPro,IF($D2404="","",IFERROR(MATCH($D2404,Items!$A$5:$A$504,0),"")),"")</f>
        <v/>
      </c>
      <c r="V2404" s="60" t="str">
        <f aca="false">IF(IsPro,IF($C2404="","",IFERROR(MATCH($C2404,Parties!$A$5:$A$304,0),"")),"")</f>
        <v/>
      </c>
      <c r="W2404" s="60" t="str">
        <f aca="false">IF(IsPro,IF($B2404="","",IFERROR(VALUE(SUBSTITUTE($B2404,InvPrefix,"")),0)),"")</f>
        <v/>
      </c>
      <c r="X2404" s="61" t="str">
        <f aca="false">IF(IsPro,IF($D2404="","",IF(OR($H2404="",$H2404="Credit"),0,Q2404)),"")</f>
        <v/>
      </c>
    </row>
    <row r="2405" customFormat="false" ht="15" hidden="false" customHeight="false" outlineLevel="0" collapsed="false">
      <c r="A2405" s="55"/>
      <c r="B2405" s="56"/>
      <c r="C2405" s="56"/>
      <c r="D2405" s="56"/>
      <c r="E2405" s="57"/>
      <c r="F2405" s="58"/>
      <c r="G2405" s="59"/>
      <c r="H2405" s="56"/>
      <c r="I2405" s="56"/>
      <c r="J2405" s="60" t="str">
        <f aca="false">IF(IsPro,IF($D2405="","",IFERROR(INDEX(Items!$D$5:$D$504,U2405),"")),"")</f>
        <v/>
      </c>
      <c r="K2405" s="61" t="str">
        <f aca="false">IF(IsPro,IF($D2405="","",IF($F2405="",IFERROR(INDEX(Items!$H$5:$H$504,U2405),0),$F2405)),"")</f>
        <v/>
      </c>
      <c r="L2405" s="61" t="str">
        <f aca="false">IF(IsPro,IF($D2405="","",ROUND(N($E2405)*K2405*(1-N($G2405)),2)),"")</f>
        <v/>
      </c>
      <c r="M2405" s="62" t="str">
        <f aca="false">IF(IsPro,IF($D2405="","",IFERROR(INDEX(Items!$F$5:$F$504,U2405),0)),"")</f>
        <v/>
      </c>
      <c r="N2405" s="61" t="str">
        <f aca="false">IF(IsPro,IF($D2405="","",IF(AND(V2405&lt;&gt;"",INDEX(Parties!$E$5:$E$304,V2405)&lt;&gt;"",INDEX(Parties!$E$5:$E$304,V2405)&lt;&gt;HomeState),0,ROUND(L2405*M2405/2,2))),"")</f>
        <v/>
      </c>
      <c r="O2405" s="61" t="str">
        <f aca="false">IF(IsPro,IF($D2405="","",N2405),"")</f>
        <v/>
      </c>
      <c r="P2405" s="61" t="str">
        <f aca="false">IF(IsPro,IF($D2405="","",IF(AND(V2405&lt;&gt;"",INDEX(Parties!$E$5:$E$304,V2405)&lt;&gt;"",INDEX(Parties!$E$5:$E$304,V2405)&lt;&gt;HomeState),ROUND(L2405*M2405,2),0)),"")</f>
        <v/>
      </c>
      <c r="Q2405" s="61" t="str">
        <f aca="false">IF(IsPro,IF($D2405="","",L2405+N2405+O2405+P2405),"")</f>
        <v/>
      </c>
      <c r="R2405" s="61" t="str">
        <f aca="false">IF(IsPro,IF($D2405="","",ROUND(N($E2405)*IFERROR(INDEX(Items!$P$5:$P$504,U2405),0),2)),"")</f>
        <v/>
      </c>
      <c r="S2405" s="61" t="str">
        <f aca="false">IF(IsPro,IF($D2405="","",L2405-R2405),"")</f>
        <v/>
      </c>
      <c r="T2405" s="60" t="str">
        <f aca="false">IF(IsPro,IF($D2405="","",IF(U2405="","UNKNOWN ITEM",IF(INDEX(Items!$O$5:$O$504,U2405)&lt;0,"NEG STOCK",IF(K2405&lt;INDEX(Items!$P$5:$P$504,U2405),"BELOW COST","OK")))),IF($D2405="","","PRO PLAN"))</f>
        <v/>
      </c>
      <c r="U2405" s="60" t="str">
        <f aca="false">IF(IsPro,IF($D2405="","",IFERROR(MATCH($D2405,Items!$A$5:$A$504,0),"")),"")</f>
        <v/>
      </c>
      <c r="V2405" s="60" t="str">
        <f aca="false">IF(IsPro,IF($C2405="","",IFERROR(MATCH($C2405,Parties!$A$5:$A$304,0),"")),"")</f>
        <v/>
      </c>
      <c r="W2405" s="60" t="str">
        <f aca="false">IF(IsPro,IF($B2405="","",IFERROR(VALUE(SUBSTITUTE($B2405,InvPrefix,"")),0)),"")</f>
        <v/>
      </c>
      <c r="X2405" s="61" t="str">
        <f aca="false">IF(IsPro,IF($D2405="","",IF(OR($H2405="",$H2405="Credit"),0,Q2405)),"")</f>
        <v/>
      </c>
    </row>
    <row r="2406" customFormat="false" ht="15" hidden="false" customHeight="false" outlineLevel="0" collapsed="false">
      <c r="A2406" s="55"/>
      <c r="B2406" s="56"/>
      <c r="C2406" s="56"/>
      <c r="D2406" s="56"/>
      <c r="E2406" s="57"/>
      <c r="F2406" s="58"/>
      <c r="G2406" s="59"/>
      <c r="H2406" s="56"/>
      <c r="I2406" s="56"/>
      <c r="J2406" s="60" t="str">
        <f aca="false">IF(IsPro,IF($D2406="","",IFERROR(INDEX(Items!$D$5:$D$504,U2406),"")),"")</f>
        <v/>
      </c>
      <c r="K2406" s="61" t="str">
        <f aca="false">IF(IsPro,IF($D2406="","",IF($F2406="",IFERROR(INDEX(Items!$H$5:$H$504,U2406),0),$F2406)),"")</f>
        <v/>
      </c>
      <c r="L2406" s="61" t="str">
        <f aca="false">IF(IsPro,IF($D2406="","",ROUND(N($E2406)*K2406*(1-N($G2406)),2)),"")</f>
        <v/>
      </c>
      <c r="M2406" s="62" t="str">
        <f aca="false">IF(IsPro,IF($D2406="","",IFERROR(INDEX(Items!$F$5:$F$504,U2406),0)),"")</f>
        <v/>
      </c>
      <c r="N2406" s="61" t="str">
        <f aca="false">IF(IsPro,IF($D2406="","",IF(AND(V2406&lt;&gt;"",INDEX(Parties!$E$5:$E$304,V2406)&lt;&gt;"",INDEX(Parties!$E$5:$E$304,V2406)&lt;&gt;HomeState),0,ROUND(L2406*M2406/2,2))),"")</f>
        <v/>
      </c>
      <c r="O2406" s="61" t="str">
        <f aca="false">IF(IsPro,IF($D2406="","",N2406),"")</f>
        <v/>
      </c>
      <c r="P2406" s="61" t="str">
        <f aca="false">IF(IsPro,IF($D2406="","",IF(AND(V2406&lt;&gt;"",INDEX(Parties!$E$5:$E$304,V2406)&lt;&gt;"",INDEX(Parties!$E$5:$E$304,V2406)&lt;&gt;HomeState),ROUND(L2406*M2406,2),0)),"")</f>
        <v/>
      </c>
      <c r="Q2406" s="61" t="str">
        <f aca="false">IF(IsPro,IF($D2406="","",L2406+N2406+O2406+P2406),"")</f>
        <v/>
      </c>
      <c r="R2406" s="61" t="str">
        <f aca="false">IF(IsPro,IF($D2406="","",ROUND(N($E2406)*IFERROR(INDEX(Items!$P$5:$P$504,U2406),0),2)),"")</f>
        <v/>
      </c>
      <c r="S2406" s="61" t="str">
        <f aca="false">IF(IsPro,IF($D2406="","",L2406-R2406),"")</f>
        <v/>
      </c>
      <c r="T2406" s="60" t="str">
        <f aca="false">IF(IsPro,IF($D2406="","",IF(U2406="","UNKNOWN ITEM",IF(INDEX(Items!$O$5:$O$504,U2406)&lt;0,"NEG STOCK",IF(K2406&lt;INDEX(Items!$P$5:$P$504,U2406),"BELOW COST","OK")))),IF($D2406="","","PRO PLAN"))</f>
        <v/>
      </c>
      <c r="U2406" s="60" t="str">
        <f aca="false">IF(IsPro,IF($D2406="","",IFERROR(MATCH($D2406,Items!$A$5:$A$504,0),"")),"")</f>
        <v/>
      </c>
      <c r="V2406" s="60" t="str">
        <f aca="false">IF(IsPro,IF($C2406="","",IFERROR(MATCH($C2406,Parties!$A$5:$A$304,0),"")),"")</f>
        <v/>
      </c>
      <c r="W2406" s="60" t="str">
        <f aca="false">IF(IsPro,IF($B2406="","",IFERROR(VALUE(SUBSTITUTE($B2406,InvPrefix,"")),0)),"")</f>
        <v/>
      </c>
      <c r="X2406" s="61" t="str">
        <f aca="false">IF(IsPro,IF($D2406="","",IF(OR($H2406="",$H2406="Credit"),0,Q2406)),"")</f>
        <v/>
      </c>
    </row>
    <row r="2407" customFormat="false" ht="15" hidden="false" customHeight="false" outlineLevel="0" collapsed="false">
      <c r="A2407" s="55"/>
      <c r="B2407" s="56"/>
      <c r="C2407" s="56"/>
      <c r="D2407" s="56"/>
      <c r="E2407" s="57"/>
      <c r="F2407" s="58"/>
      <c r="G2407" s="59"/>
      <c r="H2407" s="56"/>
      <c r="I2407" s="56"/>
      <c r="J2407" s="60" t="str">
        <f aca="false">IF(IsPro,IF($D2407="","",IFERROR(INDEX(Items!$D$5:$D$504,U2407),"")),"")</f>
        <v/>
      </c>
      <c r="K2407" s="61" t="str">
        <f aca="false">IF(IsPro,IF($D2407="","",IF($F2407="",IFERROR(INDEX(Items!$H$5:$H$504,U2407),0),$F2407)),"")</f>
        <v/>
      </c>
      <c r="L2407" s="61" t="str">
        <f aca="false">IF(IsPro,IF($D2407="","",ROUND(N($E2407)*K2407*(1-N($G2407)),2)),"")</f>
        <v/>
      </c>
      <c r="M2407" s="62" t="str">
        <f aca="false">IF(IsPro,IF($D2407="","",IFERROR(INDEX(Items!$F$5:$F$504,U2407),0)),"")</f>
        <v/>
      </c>
      <c r="N2407" s="61" t="str">
        <f aca="false">IF(IsPro,IF($D2407="","",IF(AND(V2407&lt;&gt;"",INDEX(Parties!$E$5:$E$304,V2407)&lt;&gt;"",INDEX(Parties!$E$5:$E$304,V2407)&lt;&gt;HomeState),0,ROUND(L2407*M2407/2,2))),"")</f>
        <v/>
      </c>
      <c r="O2407" s="61" t="str">
        <f aca="false">IF(IsPro,IF($D2407="","",N2407),"")</f>
        <v/>
      </c>
      <c r="P2407" s="61" t="str">
        <f aca="false">IF(IsPro,IF($D2407="","",IF(AND(V2407&lt;&gt;"",INDEX(Parties!$E$5:$E$304,V2407)&lt;&gt;"",INDEX(Parties!$E$5:$E$304,V2407)&lt;&gt;HomeState),ROUND(L2407*M2407,2),0)),"")</f>
        <v/>
      </c>
      <c r="Q2407" s="61" t="str">
        <f aca="false">IF(IsPro,IF($D2407="","",L2407+N2407+O2407+P2407),"")</f>
        <v/>
      </c>
      <c r="R2407" s="61" t="str">
        <f aca="false">IF(IsPro,IF($D2407="","",ROUND(N($E2407)*IFERROR(INDEX(Items!$P$5:$P$504,U2407),0),2)),"")</f>
        <v/>
      </c>
      <c r="S2407" s="61" t="str">
        <f aca="false">IF(IsPro,IF($D2407="","",L2407-R2407),"")</f>
        <v/>
      </c>
      <c r="T2407" s="60" t="str">
        <f aca="false">IF(IsPro,IF($D2407="","",IF(U2407="","UNKNOWN ITEM",IF(INDEX(Items!$O$5:$O$504,U2407)&lt;0,"NEG STOCK",IF(K2407&lt;INDEX(Items!$P$5:$P$504,U2407),"BELOW COST","OK")))),IF($D2407="","","PRO PLAN"))</f>
        <v/>
      </c>
      <c r="U2407" s="60" t="str">
        <f aca="false">IF(IsPro,IF($D2407="","",IFERROR(MATCH($D2407,Items!$A$5:$A$504,0),"")),"")</f>
        <v/>
      </c>
      <c r="V2407" s="60" t="str">
        <f aca="false">IF(IsPro,IF($C2407="","",IFERROR(MATCH($C2407,Parties!$A$5:$A$304,0),"")),"")</f>
        <v/>
      </c>
      <c r="W2407" s="60" t="str">
        <f aca="false">IF(IsPro,IF($B2407="","",IFERROR(VALUE(SUBSTITUTE($B2407,InvPrefix,"")),0)),"")</f>
        <v/>
      </c>
      <c r="X2407" s="61" t="str">
        <f aca="false">IF(IsPro,IF($D2407="","",IF(OR($H2407="",$H2407="Credit"),0,Q2407)),"")</f>
        <v/>
      </c>
    </row>
    <row r="2408" customFormat="false" ht="15" hidden="false" customHeight="false" outlineLevel="0" collapsed="false">
      <c r="A2408" s="55"/>
      <c r="B2408" s="56"/>
      <c r="C2408" s="56"/>
      <c r="D2408" s="56"/>
      <c r="E2408" s="57"/>
      <c r="F2408" s="58"/>
      <c r="G2408" s="59"/>
      <c r="H2408" s="56"/>
      <c r="I2408" s="56"/>
      <c r="J2408" s="60" t="str">
        <f aca="false">IF(IsPro,IF($D2408="","",IFERROR(INDEX(Items!$D$5:$D$504,U2408),"")),"")</f>
        <v/>
      </c>
      <c r="K2408" s="61" t="str">
        <f aca="false">IF(IsPro,IF($D2408="","",IF($F2408="",IFERROR(INDEX(Items!$H$5:$H$504,U2408),0),$F2408)),"")</f>
        <v/>
      </c>
      <c r="L2408" s="61" t="str">
        <f aca="false">IF(IsPro,IF($D2408="","",ROUND(N($E2408)*K2408*(1-N($G2408)),2)),"")</f>
        <v/>
      </c>
      <c r="M2408" s="62" t="str">
        <f aca="false">IF(IsPro,IF($D2408="","",IFERROR(INDEX(Items!$F$5:$F$504,U2408),0)),"")</f>
        <v/>
      </c>
      <c r="N2408" s="61" t="str">
        <f aca="false">IF(IsPro,IF($D2408="","",IF(AND(V2408&lt;&gt;"",INDEX(Parties!$E$5:$E$304,V2408)&lt;&gt;"",INDEX(Parties!$E$5:$E$304,V2408)&lt;&gt;HomeState),0,ROUND(L2408*M2408/2,2))),"")</f>
        <v/>
      </c>
      <c r="O2408" s="61" t="str">
        <f aca="false">IF(IsPro,IF($D2408="","",N2408),"")</f>
        <v/>
      </c>
      <c r="P2408" s="61" t="str">
        <f aca="false">IF(IsPro,IF($D2408="","",IF(AND(V2408&lt;&gt;"",INDEX(Parties!$E$5:$E$304,V2408)&lt;&gt;"",INDEX(Parties!$E$5:$E$304,V2408)&lt;&gt;HomeState),ROUND(L2408*M2408,2),0)),"")</f>
        <v/>
      </c>
      <c r="Q2408" s="61" t="str">
        <f aca="false">IF(IsPro,IF($D2408="","",L2408+N2408+O2408+P2408),"")</f>
        <v/>
      </c>
      <c r="R2408" s="61" t="str">
        <f aca="false">IF(IsPro,IF($D2408="","",ROUND(N($E2408)*IFERROR(INDEX(Items!$P$5:$P$504,U2408),0),2)),"")</f>
        <v/>
      </c>
      <c r="S2408" s="61" t="str">
        <f aca="false">IF(IsPro,IF($D2408="","",L2408-R2408),"")</f>
        <v/>
      </c>
      <c r="T2408" s="60" t="str">
        <f aca="false">IF(IsPro,IF($D2408="","",IF(U2408="","UNKNOWN ITEM",IF(INDEX(Items!$O$5:$O$504,U2408)&lt;0,"NEG STOCK",IF(K2408&lt;INDEX(Items!$P$5:$P$504,U2408),"BELOW COST","OK")))),IF($D2408="","","PRO PLAN"))</f>
        <v/>
      </c>
      <c r="U2408" s="60" t="str">
        <f aca="false">IF(IsPro,IF($D2408="","",IFERROR(MATCH($D2408,Items!$A$5:$A$504,0),"")),"")</f>
        <v/>
      </c>
      <c r="V2408" s="60" t="str">
        <f aca="false">IF(IsPro,IF($C2408="","",IFERROR(MATCH($C2408,Parties!$A$5:$A$304,0),"")),"")</f>
        <v/>
      </c>
      <c r="W2408" s="60" t="str">
        <f aca="false">IF(IsPro,IF($B2408="","",IFERROR(VALUE(SUBSTITUTE($B2408,InvPrefix,"")),0)),"")</f>
        <v/>
      </c>
      <c r="X2408" s="61" t="str">
        <f aca="false">IF(IsPro,IF($D2408="","",IF(OR($H2408="",$H2408="Credit"),0,Q2408)),"")</f>
        <v/>
      </c>
    </row>
    <row r="2409" customFormat="false" ht="15" hidden="false" customHeight="false" outlineLevel="0" collapsed="false">
      <c r="A2409" s="55"/>
      <c r="B2409" s="56"/>
      <c r="C2409" s="56"/>
      <c r="D2409" s="56"/>
      <c r="E2409" s="57"/>
      <c r="F2409" s="58"/>
      <c r="G2409" s="59"/>
      <c r="H2409" s="56"/>
      <c r="I2409" s="56"/>
      <c r="J2409" s="60" t="str">
        <f aca="false">IF(IsPro,IF($D2409="","",IFERROR(INDEX(Items!$D$5:$D$504,U2409),"")),"")</f>
        <v/>
      </c>
      <c r="K2409" s="61" t="str">
        <f aca="false">IF(IsPro,IF($D2409="","",IF($F2409="",IFERROR(INDEX(Items!$H$5:$H$504,U2409),0),$F2409)),"")</f>
        <v/>
      </c>
      <c r="L2409" s="61" t="str">
        <f aca="false">IF(IsPro,IF($D2409="","",ROUND(N($E2409)*K2409*(1-N($G2409)),2)),"")</f>
        <v/>
      </c>
      <c r="M2409" s="62" t="str">
        <f aca="false">IF(IsPro,IF($D2409="","",IFERROR(INDEX(Items!$F$5:$F$504,U2409),0)),"")</f>
        <v/>
      </c>
      <c r="N2409" s="61" t="str">
        <f aca="false">IF(IsPro,IF($D2409="","",IF(AND(V2409&lt;&gt;"",INDEX(Parties!$E$5:$E$304,V2409)&lt;&gt;"",INDEX(Parties!$E$5:$E$304,V2409)&lt;&gt;HomeState),0,ROUND(L2409*M2409/2,2))),"")</f>
        <v/>
      </c>
      <c r="O2409" s="61" t="str">
        <f aca="false">IF(IsPro,IF($D2409="","",N2409),"")</f>
        <v/>
      </c>
      <c r="P2409" s="61" t="str">
        <f aca="false">IF(IsPro,IF($D2409="","",IF(AND(V2409&lt;&gt;"",INDEX(Parties!$E$5:$E$304,V2409)&lt;&gt;"",INDEX(Parties!$E$5:$E$304,V2409)&lt;&gt;HomeState),ROUND(L2409*M2409,2),0)),"")</f>
        <v/>
      </c>
      <c r="Q2409" s="61" t="str">
        <f aca="false">IF(IsPro,IF($D2409="","",L2409+N2409+O2409+P2409),"")</f>
        <v/>
      </c>
      <c r="R2409" s="61" t="str">
        <f aca="false">IF(IsPro,IF($D2409="","",ROUND(N($E2409)*IFERROR(INDEX(Items!$P$5:$P$504,U2409),0),2)),"")</f>
        <v/>
      </c>
      <c r="S2409" s="61" t="str">
        <f aca="false">IF(IsPro,IF($D2409="","",L2409-R2409),"")</f>
        <v/>
      </c>
      <c r="T2409" s="60" t="str">
        <f aca="false">IF(IsPro,IF($D2409="","",IF(U2409="","UNKNOWN ITEM",IF(INDEX(Items!$O$5:$O$504,U2409)&lt;0,"NEG STOCK",IF(K2409&lt;INDEX(Items!$P$5:$P$504,U2409),"BELOW COST","OK")))),IF($D2409="","","PRO PLAN"))</f>
        <v/>
      </c>
      <c r="U2409" s="60" t="str">
        <f aca="false">IF(IsPro,IF($D2409="","",IFERROR(MATCH($D2409,Items!$A$5:$A$504,0),"")),"")</f>
        <v/>
      </c>
      <c r="V2409" s="60" t="str">
        <f aca="false">IF(IsPro,IF($C2409="","",IFERROR(MATCH($C2409,Parties!$A$5:$A$304,0),"")),"")</f>
        <v/>
      </c>
      <c r="W2409" s="60" t="str">
        <f aca="false">IF(IsPro,IF($B2409="","",IFERROR(VALUE(SUBSTITUTE($B2409,InvPrefix,"")),0)),"")</f>
        <v/>
      </c>
      <c r="X2409" s="61" t="str">
        <f aca="false">IF(IsPro,IF($D2409="","",IF(OR($H2409="",$H2409="Credit"),0,Q2409)),"")</f>
        <v/>
      </c>
    </row>
    <row r="2410" customFormat="false" ht="15" hidden="false" customHeight="false" outlineLevel="0" collapsed="false">
      <c r="A2410" s="55"/>
      <c r="B2410" s="56"/>
      <c r="C2410" s="56"/>
      <c r="D2410" s="56"/>
      <c r="E2410" s="57"/>
      <c r="F2410" s="58"/>
      <c r="G2410" s="59"/>
      <c r="H2410" s="56"/>
      <c r="I2410" s="56"/>
      <c r="J2410" s="60" t="str">
        <f aca="false">IF(IsPro,IF($D2410="","",IFERROR(INDEX(Items!$D$5:$D$504,U2410),"")),"")</f>
        <v/>
      </c>
      <c r="K2410" s="61" t="str">
        <f aca="false">IF(IsPro,IF($D2410="","",IF($F2410="",IFERROR(INDEX(Items!$H$5:$H$504,U2410),0),$F2410)),"")</f>
        <v/>
      </c>
      <c r="L2410" s="61" t="str">
        <f aca="false">IF(IsPro,IF($D2410="","",ROUND(N($E2410)*K2410*(1-N($G2410)),2)),"")</f>
        <v/>
      </c>
      <c r="M2410" s="62" t="str">
        <f aca="false">IF(IsPro,IF($D2410="","",IFERROR(INDEX(Items!$F$5:$F$504,U2410),0)),"")</f>
        <v/>
      </c>
      <c r="N2410" s="61" t="str">
        <f aca="false">IF(IsPro,IF($D2410="","",IF(AND(V2410&lt;&gt;"",INDEX(Parties!$E$5:$E$304,V2410)&lt;&gt;"",INDEX(Parties!$E$5:$E$304,V2410)&lt;&gt;HomeState),0,ROUND(L2410*M2410/2,2))),"")</f>
        <v/>
      </c>
      <c r="O2410" s="61" t="str">
        <f aca="false">IF(IsPro,IF($D2410="","",N2410),"")</f>
        <v/>
      </c>
      <c r="P2410" s="61" t="str">
        <f aca="false">IF(IsPro,IF($D2410="","",IF(AND(V2410&lt;&gt;"",INDEX(Parties!$E$5:$E$304,V2410)&lt;&gt;"",INDEX(Parties!$E$5:$E$304,V2410)&lt;&gt;HomeState),ROUND(L2410*M2410,2),0)),"")</f>
        <v/>
      </c>
      <c r="Q2410" s="61" t="str">
        <f aca="false">IF(IsPro,IF($D2410="","",L2410+N2410+O2410+P2410),"")</f>
        <v/>
      </c>
      <c r="R2410" s="61" t="str">
        <f aca="false">IF(IsPro,IF($D2410="","",ROUND(N($E2410)*IFERROR(INDEX(Items!$P$5:$P$504,U2410),0),2)),"")</f>
        <v/>
      </c>
      <c r="S2410" s="61" t="str">
        <f aca="false">IF(IsPro,IF($D2410="","",L2410-R2410),"")</f>
        <v/>
      </c>
      <c r="T2410" s="60" t="str">
        <f aca="false">IF(IsPro,IF($D2410="","",IF(U2410="","UNKNOWN ITEM",IF(INDEX(Items!$O$5:$O$504,U2410)&lt;0,"NEG STOCK",IF(K2410&lt;INDEX(Items!$P$5:$P$504,U2410),"BELOW COST","OK")))),IF($D2410="","","PRO PLAN"))</f>
        <v/>
      </c>
      <c r="U2410" s="60" t="str">
        <f aca="false">IF(IsPro,IF($D2410="","",IFERROR(MATCH($D2410,Items!$A$5:$A$504,0),"")),"")</f>
        <v/>
      </c>
      <c r="V2410" s="60" t="str">
        <f aca="false">IF(IsPro,IF($C2410="","",IFERROR(MATCH($C2410,Parties!$A$5:$A$304,0),"")),"")</f>
        <v/>
      </c>
      <c r="W2410" s="60" t="str">
        <f aca="false">IF(IsPro,IF($B2410="","",IFERROR(VALUE(SUBSTITUTE($B2410,InvPrefix,"")),0)),"")</f>
        <v/>
      </c>
      <c r="X2410" s="61" t="str">
        <f aca="false">IF(IsPro,IF($D2410="","",IF(OR($H2410="",$H2410="Credit"),0,Q2410)),"")</f>
        <v/>
      </c>
    </row>
    <row r="2411" customFormat="false" ht="15" hidden="false" customHeight="false" outlineLevel="0" collapsed="false">
      <c r="A2411" s="55"/>
      <c r="B2411" s="56"/>
      <c r="C2411" s="56"/>
      <c r="D2411" s="56"/>
      <c r="E2411" s="57"/>
      <c r="F2411" s="58"/>
      <c r="G2411" s="59"/>
      <c r="H2411" s="56"/>
      <c r="I2411" s="56"/>
      <c r="J2411" s="60" t="str">
        <f aca="false">IF(IsPro,IF($D2411="","",IFERROR(INDEX(Items!$D$5:$D$504,U2411),"")),"")</f>
        <v/>
      </c>
      <c r="K2411" s="61" t="str">
        <f aca="false">IF(IsPro,IF($D2411="","",IF($F2411="",IFERROR(INDEX(Items!$H$5:$H$504,U2411),0),$F2411)),"")</f>
        <v/>
      </c>
      <c r="L2411" s="61" t="str">
        <f aca="false">IF(IsPro,IF($D2411="","",ROUND(N($E2411)*K2411*(1-N($G2411)),2)),"")</f>
        <v/>
      </c>
      <c r="M2411" s="62" t="str">
        <f aca="false">IF(IsPro,IF($D2411="","",IFERROR(INDEX(Items!$F$5:$F$504,U2411),0)),"")</f>
        <v/>
      </c>
      <c r="N2411" s="61" t="str">
        <f aca="false">IF(IsPro,IF($D2411="","",IF(AND(V2411&lt;&gt;"",INDEX(Parties!$E$5:$E$304,V2411)&lt;&gt;"",INDEX(Parties!$E$5:$E$304,V2411)&lt;&gt;HomeState),0,ROUND(L2411*M2411/2,2))),"")</f>
        <v/>
      </c>
      <c r="O2411" s="61" t="str">
        <f aca="false">IF(IsPro,IF($D2411="","",N2411),"")</f>
        <v/>
      </c>
      <c r="P2411" s="61" t="str">
        <f aca="false">IF(IsPro,IF($D2411="","",IF(AND(V2411&lt;&gt;"",INDEX(Parties!$E$5:$E$304,V2411)&lt;&gt;"",INDEX(Parties!$E$5:$E$304,V2411)&lt;&gt;HomeState),ROUND(L2411*M2411,2),0)),"")</f>
        <v/>
      </c>
      <c r="Q2411" s="61" t="str">
        <f aca="false">IF(IsPro,IF($D2411="","",L2411+N2411+O2411+P2411),"")</f>
        <v/>
      </c>
      <c r="R2411" s="61" t="str">
        <f aca="false">IF(IsPro,IF($D2411="","",ROUND(N($E2411)*IFERROR(INDEX(Items!$P$5:$P$504,U2411),0),2)),"")</f>
        <v/>
      </c>
      <c r="S2411" s="61" t="str">
        <f aca="false">IF(IsPro,IF($D2411="","",L2411-R2411),"")</f>
        <v/>
      </c>
      <c r="T2411" s="60" t="str">
        <f aca="false">IF(IsPro,IF($D2411="","",IF(U2411="","UNKNOWN ITEM",IF(INDEX(Items!$O$5:$O$504,U2411)&lt;0,"NEG STOCK",IF(K2411&lt;INDEX(Items!$P$5:$P$504,U2411),"BELOW COST","OK")))),IF($D2411="","","PRO PLAN"))</f>
        <v/>
      </c>
      <c r="U2411" s="60" t="str">
        <f aca="false">IF(IsPro,IF($D2411="","",IFERROR(MATCH($D2411,Items!$A$5:$A$504,0),"")),"")</f>
        <v/>
      </c>
      <c r="V2411" s="60" t="str">
        <f aca="false">IF(IsPro,IF($C2411="","",IFERROR(MATCH($C2411,Parties!$A$5:$A$304,0),"")),"")</f>
        <v/>
      </c>
      <c r="W2411" s="60" t="str">
        <f aca="false">IF(IsPro,IF($B2411="","",IFERROR(VALUE(SUBSTITUTE($B2411,InvPrefix,"")),0)),"")</f>
        <v/>
      </c>
      <c r="X2411" s="61" t="str">
        <f aca="false">IF(IsPro,IF($D2411="","",IF(OR($H2411="",$H2411="Credit"),0,Q2411)),"")</f>
        <v/>
      </c>
    </row>
    <row r="2412" customFormat="false" ht="15" hidden="false" customHeight="false" outlineLevel="0" collapsed="false">
      <c r="A2412" s="55"/>
      <c r="B2412" s="56"/>
      <c r="C2412" s="56"/>
      <c r="D2412" s="56"/>
      <c r="E2412" s="57"/>
      <c r="F2412" s="58"/>
      <c r="G2412" s="59"/>
      <c r="H2412" s="56"/>
      <c r="I2412" s="56"/>
      <c r="J2412" s="60" t="str">
        <f aca="false">IF(IsPro,IF($D2412="","",IFERROR(INDEX(Items!$D$5:$D$504,U2412),"")),"")</f>
        <v/>
      </c>
      <c r="K2412" s="61" t="str">
        <f aca="false">IF(IsPro,IF($D2412="","",IF($F2412="",IFERROR(INDEX(Items!$H$5:$H$504,U2412),0),$F2412)),"")</f>
        <v/>
      </c>
      <c r="L2412" s="61" t="str">
        <f aca="false">IF(IsPro,IF($D2412="","",ROUND(N($E2412)*K2412*(1-N($G2412)),2)),"")</f>
        <v/>
      </c>
      <c r="M2412" s="62" t="str">
        <f aca="false">IF(IsPro,IF($D2412="","",IFERROR(INDEX(Items!$F$5:$F$504,U2412),0)),"")</f>
        <v/>
      </c>
      <c r="N2412" s="61" t="str">
        <f aca="false">IF(IsPro,IF($D2412="","",IF(AND(V2412&lt;&gt;"",INDEX(Parties!$E$5:$E$304,V2412)&lt;&gt;"",INDEX(Parties!$E$5:$E$304,V2412)&lt;&gt;HomeState),0,ROUND(L2412*M2412/2,2))),"")</f>
        <v/>
      </c>
      <c r="O2412" s="61" t="str">
        <f aca="false">IF(IsPro,IF($D2412="","",N2412),"")</f>
        <v/>
      </c>
      <c r="P2412" s="61" t="str">
        <f aca="false">IF(IsPro,IF($D2412="","",IF(AND(V2412&lt;&gt;"",INDEX(Parties!$E$5:$E$304,V2412)&lt;&gt;"",INDEX(Parties!$E$5:$E$304,V2412)&lt;&gt;HomeState),ROUND(L2412*M2412,2),0)),"")</f>
        <v/>
      </c>
      <c r="Q2412" s="61" t="str">
        <f aca="false">IF(IsPro,IF($D2412="","",L2412+N2412+O2412+P2412),"")</f>
        <v/>
      </c>
      <c r="R2412" s="61" t="str">
        <f aca="false">IF(IsPro,IF($D2412="","",ROUND(N($E2412)*IFERROR(INDEX(Items!$P$5:$P$504,U2412),0),2)),"")</f>
        <v/>
      </c>
      <c r="S2412" s="61" t="str">
        <f aca="false">IF(IsPro,IF($D2412="","",L2412-R2412),"")</f>
        <v/>
      </c>
      <c r="T2412" s="60" t="str">
        <f aca="false">IF(IsPro,IF($D2412="","",IF(U2412="","UNKNOWN ITEM",IF(INDEX(Items!$O$5:$O$504,U2412)&lt;0,"NEG STOCK",IF(K2412&lt;INDEX(Items!$P$5:$P$504,U2412),"BELOW COST","OK")))),IF($D2412="","","PRO PLAN"))</f>
        <v/>
      </c>
      <c r="U2412" s="60" t="str">
        <f aca="false">IF(IsPro,IF($D2412="","",IFERROR(MATCH($D2412,Items!$A$5:$A$504,0),"")),"")</f>
        <v/>
      </c>
      <c r="V2412" s="60" t="str">
        <f aca="false">IF(IsPro,IF($C2412="","",IFERROR(MATCH($C2412,Parties!$A$5:$A$304,0),"")),"")</f>
        <v/>
      </c>
      <c r="W2412" s="60" t="str">
        <f aca="false">IF(IsPro,IF($B2412="","",IFERROR(VALUE(SUBSTITUTE($B2412,InvPrefix,"")),0)),"")</f>
        <v/>
      </c>
      <c r="X2412" s="61" t="str">
        <f aca="false">IF(IsPro,IF($D2412="","",IF(OR($H2412="",$H2412="Credit"),0,Q2412)),"")</f>
        <v/>
      </c>
    </row>
    <row r="2413" customFormat="false" ht="15" hidden="false" customHeight="false" outlineLevel="0" collapsed="false">
      <c r="A2413" s="55"/>
      <c r="B2413" s="56"/>
      <c r="C2413" s="56"/>
      <c r="D2413" s="56"/>
      <c r="E2413" s="57"/>
      <c r="F2413" s="58"/>
      <c r="G2413" s="59"/>
      <c r="H2413" s="56"/>
      <c r="I2413" s="56"/>
      <c r="J2413" s="60" t="str">
        <f aca="false">IF(IsPro,IF($D2413="","",IFERROR(INDEX(Items!$D$5:$D$504,U2413),"")),"")</f>
        <v/>
      </c>
      <c r="K2413" s="61" t="str">
        <f aca="false">IF(IsPro,IF($D2413="","",IF($F2413="",IFERROR(INDEX(Items!$H$5:$H$504,U2413),0),$F2413)),"")</f>
        <v/>
      </c>
      <c r="L2413" s="61" t="str">
        <f aca="false">IF(IsPro,IF($D2413="","",ROUND(N($E2413)*K2413*(1-N($G2413)),2)),"")</f>
        <v/>
      </c>
      <c r="M2413" s="62" t="str">
        <f aca="false">IF(IsPro,IF($D2413="","",IFERROR(INDEX(Items!$F$5:$F$504,U2413),0)),"")</f>
        <v/>
      </c>
      <c r="N2413" s="61" t="str">
        <f aca="false">IF(IsPro,IF($D2413="","",IF(AND(V2413&lt;&gt;"",INDEX(Parties!$E$5:$E$304,V2413)&lt;&gt;"",INDEX(Parties!$E$5:$E$304,V2413)&lt;&gt;HomeState),0,ROUND(L2413*M2413/2,2))),"")</f>
        <v/>
      </c>
      <c r="O2413" s="61" t="str">
        <f aca="false">IF(IsPro,IF($D2413="","",N2413),"")</f>
        <v/>
      </c>
      <c r="P2413" s="61" t="str">
        <f aca="false">IF(IsPro,IF($D2413="","",IF(AND(V2413&lt;&gt;"",INDEX(Parties!$E$5:$E$304,V2413)&lt;&gt;"",INDEX(Parties!$E$5:$E$304,V2413)&lt;&gt;HomeState),ROUND(L2413*M2413,2),0)),"")</f>
        <v/>
      </c>
      <c r="Q2413" s="61" t="str">
        <f aca="false">IF(IsPro,IF($D2413="","",L2413+N2413+O2413+P2413),"")</f>
        <v/>
      </c>
      <c r="R2413" s="61" t="str">
        <f aca="false">IF(IsPro,IF($D2413="","",ROUND(N($E2413)*IFERROR(INDEX(Items!$P$5:$P$504,U2413),0),2)),"")</f>
        <v/>
      </c>
      <c r="S2413" s="61" t="str">
        <f aca="false">IF(IsPro,IF($D2413="","",L2413-R2413),"")</f>
        <v/>
      </c>
      <c r="T2413" s="60" t="str">
        <f aca="false">IF(IsPro,IF($D2413="","",IF(U2413="","UNKNOWN ITEM",IF(INDEX(Items!$O$5:$O$504,U2413)&lt;0,"NEG STOCK",IF(K2413&lt;INDEX(Items!$P$5:$P$504,U2413),"BELOW COST","OK")))),IF($D2413="","","PRO PLAN"))</f>
        <v/>
      </c>
      <c r="U2413" s="60" t="str">
        <f aca="false">IF(IsPro,IF($D2413="","",IFERROR(MATCH($D2413,Items!$A$5:$A$504,0),"")),"")</f>
        <v/>
      </c>
      <c r="V2413" s="60" t="str">
        <f aca="false">IF(IsPro,IF($C2413="","",IFERROR(MATCH($C2413,Parties!$A$5:$A$304,0),"")),"")</f>
        <v/>
      </c>
      <c r="W2413" s="60" t="str">
        <f aca="false">IF(IsPro,IF($B2413="","",IFERROR(VALUE(SUBSTITUTE($B2413,InvPrefix,"")),0)),"")</f>
        <v/>
      </c>
      <c r="X2413" s="61" t="str">
        <f aca="false">IF(IsPro,IF($D2413="","",IF(OR($H2413="",$H2413="Credit"),0,Q2413)),"")</f>
        <v/>
      </c>
    </row>
    <row r="2414" customFormat="false" ht="15" hidden="false" customHeight="false" outlineLevel="0" collapsed="false">
      <c r="A2414" s="55"/>
      <c r="B2414" s="56"/>
      <c r="C2414" s="56"/>
      <c r="D2414" s="56"/>
      <c r="E2414" s="57"/>
      <c r="F2414" s="58"/>
      <c r="G2414" s="59"/>
      <c r="H2414" s="56"/>
      <c r="I2414" s="56"/>
      <c r="J2414" s="60" t="str">
        <f aca="false">IF(IsPro,IF($D2414="","",IFERROR(INDEX(Items!$D$5:$D$504,U2414),"")),"")</f>
        <v/>
      </c>
      <c r="K2414" s="61" t="str">
        <f aca="false">IF(IsPro,IF($D2414="","",IF($F2414="",IFERROR(INDEX(Items!$H$5:$H$504,U2414),0),$F2414)),"")</f>
        <v/>
      </c>
      <c r="L2414" s="61" t="str">
        <f aca="false">IF(IsPro,IF($D2414="","",ROUND(N($E2414)*K2414*(1-N($G2414)),2)),"")</f>
        <v/>
      </c>
      <c r="M2414" s="62" t="str">
        <f aca="false">IF(IsPro,IF($D2414="","",IFERROR(INDEX(Items!$F$5:$F$504,U2414),0)),"")</f>
        <v/>
      </c>
      <c r="N2414" s="61" t="str">
        <f aca="false">IF(IsPro,IF($D2414="","",IF(AND(V2414&lt;&gt;"",INDEX(Parties!$E$5:$E$304,V2414)&lt;&gt;"",INDEX(Parties!$E$5:$E$304,V2414)&lt;&gt;HomeState),0,ROUND(L2414*M2414/2,2))),"")</f>
        <v/>
      </c>
      <c r="O2414" s="61" t="str">
        <f aca="false">IF(IsPro,IF($D2414="","",N2414),"")</f>
        <v/>
      </c>
      <c r="P2414" s="61" t="str">
        <f aca="false">IF(IsPro,IF($D2414="","",IF(AND(V2414&lt;&gt;"",INDEX(Parties!$E$5:$E$304,V2414)&lt;&gt;"",INDEX(Parties!$E$5:$E$304,V2414)&lt;&gt;HomeState),ROUND(L2414*M2414,2),0)),"")</f>
        <v/>
      </c>
      <c r="Q2414" s="61" t="str">
        <f aca="false">IF(IsPro,IF($D2414="","",L2414+N2414+O2414+P2414),"")</f>
        <v/>
      </c>
      <c r="R2414" s="61" t="str">
        <f aca="false">IF(IsPro,IF($D2414="","",ROUND(N($E2414)*IFERROR(INDEX(Items!$P$5:$P$504,U2414),0),2)),"")</f>
        <v/>
      </c>
      <c r="S2414" s="61" t="str">
        <f aca="false">IF(IsPro,IF($D2414="","",L2414-R2414),"")</f>
        <v/>
      </c>
      <c r="T2414" s="60" t="str">
        <f aca="false">IF(IsPro,IF($D2414="","",IF(U2414="","UNKNOWN ITEM",IF(INDEX(Items!$O$5:$O$504,U2414)&lt;0,"NEG STOCK",IF(K2414&lt;INDEX(Items!$P$5:$P$504,U2414),"BELOW COST","OK")))),IF($D2414="","","PRO PLAN"))</f>
        <v/>
      </c>
      <c r="U2414" s="60" t="str">
        <f aca="false">IF(IsPro,IF($D2414="","",IFERROR(MATCH($D2414,Items!$A$5:$A$504,0),"")),"")</f>
        <v/>
      </c>
      <c r="V2414" s="60" t="str">
        <f aca="false">IF(IsPro,IF($C2414="","",IFERROR(MATCH($C2414,Parties!$A$5:$A$304,0),"")),"")</f>
        <v/>
      </c>
      <c r="W2414" s="60" t="str">
        <f aca="false">IF(IsPro,IF($B2414="","",IFERROR(VALUE(SUBSTITUTE($B2414,InvPrefix,"")),0)),"")</f>
        <v/>
      </c>
      <c r="X2414" s="61" t="str">
        <f aca="false">IF(IsPro,IF($D2414="","",IF(OR($H2414="",$H2414="Credit"),0,Q2414)),"")</f>
        <v/>
      </c>
    </row>
    <row r="2415" customFormat="false" ht="15" hidden="false" customHeight="false" outlineLevel="0" collapsed="false">
      <c r="A2415" s="55"/>
      <c r="B2415" s="56"/>
      <c r="C2415" s="56"/>
      <c r="D2415" s="56"/>
      <c r="E2415" s="57"/>
      <c r="F2415" s="58"/>
      <c r="G2415" s="59"/>
      <c r="H2415" s="56"/>
      <c r="I2415" s="56"/>
      <c r="J2415" s="60" t="str">
        <f aca="false">IF(IsPro,IF($D2415="","",IFERROR(INDEX(Items!$D$5:$D$504,U2415),"")),"")</f>
        <v/>
      </c>
      <c r="K2415" s="61" t="str">
        <f aca="false">IF(IsPro,IF($D2415="","",IF($F2415="",IFERROR(INDEX(Items!$H$5:$H$504,U2415),0),$F2415)),"")</f>
        <v/>
      </c>
      <c r="L2415" s="61" t="str">
        <f aca="false">IF(IsPro,IF($D2415="","",ROUND(N($E2415)*K2415*(1-N($G2415)),2)),"")</f>
        <v/>
      </c>
      <c r="M2415" s="62" t="str">
        <f aca="false">IF(IsPro,IF($D2415="","",IFERROR(INDEX(Items!$F$5:$F$504,U2415),0)),"")</f>
        <v/>
      </c>
      <c r="N2415" s="61" t="str">
        <f aca="false">IF(IsPro,IF($D2415="","",IF(AND(V2415&lt;&gt;"",INDEX(Parties!$E$5:$E$304,V2415)&lt;&gt;"",INDEX(Parties!$E$5:$E$304,V2415)&lt;&gt;HomeState),0,ROUND(L2415*M2415/2,2))),"")</f>
        <v/>
      </c>
      <c r="O2415" s="61" t="str">
        <f aca="false">IF(IsPro,IF($D2415="","",N2415),"")</f>
        <v/>
      </c>
      <c r="P2415" s="61" t="str">
        <f aca="false">IF(IsPro,IF($D2415="","",IF(AND(V2415&lt;&gt;"",INDEX(Parties!$E$5:$E$304,V2415)&lt;&gt;"",INDEX(Parties!$E$5:$E$304,V2415)&lt;&gt;HomeState),ROUND(L2415*M2415,2),0)),"")</f>
        <v/>
      </c>
      <c r="Q2415" s="61" t="str">
        <f aca="false">IF(IsPro,IF($D2415="","",L2415+N2415+O2415+P2415),"")</f>
        <v/>
      </c>
      <c r="R2415" s="61" t="str">
        <f aca="false">IF(IsPro,IF($D2415="","",ROUND(N($E2415)*IFERROR(INDEX(Items!$P$5:$P$504,U2415),0),2)),"")</f>
        <v/>
      </c>
      <c r="S2415" s="61" t="str">
        <f aca="false">IF(IsPro,IF($D2415="","",L2415-R2415),"")</f>
        <v/>
      </c>
      <c r="T2415" s="60" t="str">
        <f aca="false">IF(IsPro,IF($D2415="","",IF(U2415="","UNKNOWN ITEM",IF(INDEX(Items!$O$5:$O$504,U2415)&lt;0,"NEG STOCK",IF(K2415&lt;INDEX(Items!$P$5:$P$504,U2415),"BELOW COST","OK")))),IF($D2415="","","PRO PLAN"))</f>
        <v/>
      </c>
      <c r="U2415" s="60" t="str">
        <f aca="false">IF(IsPro,IF($D2415="","",IFERROR(MATCH($D2415,Items!$A$5:$A$504,0),"")),"")</f>
        <v/>
      </c>
      <c r="V2415" s="60" t="str">
        <f aca="false">IF(IsPro,IF($C2415="","",IFERROR(MATCH($C2415,Parties!$A$5:$A$304,0),"")),"")</f>
        <v/>
      </c>
      <c r="W2415" s="60" t="str">
        <f aca="false">IF(IsPro,IF($B2415="","",IFERROR(VALUE(SUBSTITUTE($B2415,InvPrefix,"")),0)),"")</f>
        <v/>
      </c>
      <c r="X2415" s="61" t="str">
        <f aca="false">IF(IsPro,IF($D2415="","",IF(OR($H2415="",$H2415="Credit"),0,Q2415)),"")</f>
        <v/>
      </c>
    </row>
    <row r="2416" customFormat="false" ht="15" hidden="false" customHeight="false" outlineLevel="0" collapsed="false">
      <c r="A2416" s="55"/>
      <c r="B2416" s="56"/>
      <c r="C2416" s="56"/>
      <c r="D2416" s="56"/>
      <c r="E2416" s="57"/>
      <c r="F2416" s="58"/>
      <c r="G2416" s="59"/>
      <c r="H2416" s="56"/>
      <c r="I2416" s="56"/>
      <c r="J2416" s="60" t="str">
        <f aca="false">IF(IsPro,IF($D2416="","",IFERROR(INDEX(Items!$D$5:$D$504,U2416),"")),"")</f>
        <v/>
      </c>
      <c r="K2416" s="61" t="str">
        <f aca="false">IF(IsPro,IF($D2416="","",IF($F2416="",IFERROR(INDEX(Items!$H$5:$H$504,U2416),0),$F2416)),"")</f>
        <v/>
      </c>
      <c r="L2416" s="61" t="str">
        <f aca="false">IF(IsPro,IF($D2416="","",ROUND(N($E2416)*K2416*(1-N($G2416)),2)),"")</f>
        <v/>
      </c>
      <c r="M2416" s="62" t="str">
        <f aca="false">IF(IsPro,IF($D2416="","",IFERROR(INDEX(Items!$F$5:$F$504,U2416),0)),"")</f>
        <v/>
      </c>
      <c r="N2416" s="61" t="str">
        <f aca="false">IF(IsPro,IF($D2416="","",IF(AND(V2416&lt;&gt;"",INDEX(Parties!$E$5:$E$304,V2416)&lt;&gt;"",INDEX(Parties!$E$5:$E$304,V2416)&lt;&gt;HomeState),0,ROUND(L2416*M2416/2,2))),"")</f>
        <v/>
      </c>
      <c r="O2416" s="61" t="str">
        <f aca="false">IF(IsPro,IF($D2416="","",N2416),"")</f>
        <v/>
      </c>
      <c r="P2416" s="61" t="str">
        <f aca="false">IF(IsPro,IF($D2416="","",IF(AND(V2416&lt;&gt;"",INDEX(Parties!$E$5:$E$304,V2416)&lt;&gt;"",INDEX(Parties!$E$5:$E$304,V2416)&lt;&gt;HomeState),ROUND(L2416*M2416,2),0)),"")</f>
        <v/>
      </c>
      <c r="Q2416" s="61" t="str">
        <f aca="false">IF(IsPro,IF($D2416="","",L2416+N2416+O2416+P2416),"")</f>
        <v/>
      </c>
      <c r="R2416" s="61" t="str">
        <f aca="false">IF(IsPro,IF($D2416="","",ROUND(N($E2416)*IFERROR(INDEX(Items!$P$5:$P$504,U2416),0),2)),"")</f>
        <v/>
      </c>
      <c r="S2416" s="61" t="str">
        <f aca="false">IF(IsPro,IF($D2416="","",L2416-R2416),"")</f>
        <v/>
      </c>
      <c r="T2416" s="60" t="str">
        <f aca="false">IF(IsPro,IF($D2416="","",IF(U2416="","UNKNOWN ITEM",IF(INDEX(Items!$O$5:$O$504,U2416)&lt;0,"NEG STOCK",IF(K2416&lt;INDEX(Items!$P$5:$P$504,U2416),"BELOW COST","OK")))),IF($D2416="","","PRO PLAN"))</f>
        <v/>
      </c>
      <c r="U2416" s="60" t="str">
        <f aca="false">IF(IsPro,IF($D2416="","",IFERROR(MATCH($D2416,Items!$A$5:$A$504,0),"")),"")</f>
        <v/>
      </c>
      <c r="V2416" s="60" t="str">
        <f aca="false">IF(IsPro,IF($C2416="","",IFERROR(MATCH($C2416,Parties!$A$5:$A$304,0),"")),"")</f>
        <v/>
      </c>
      <c r="W2416" s="60" t="str">
        <f aca="false">IF(IsPro,IF($B2416="","",IFERROR(VALUE(SUBSTITUTE($B2416,InvPrefix,"")),0)),"")</f>
        <v/>
      </c>
      <c r="X2416" s="61" t="str">
        <f aca="false">IF(IsPro,IF($D2416="","",IF(OR($H2416="",$H2416="Credit"),0,Q2416)),"")</f>
        <v/>
      </c>
    </row>
    <row r="2417" customFormat="false" ht="15" hidden="false" customHeight="false" outlineLevel="0" collapsed="false">
      <c r="A2417" s="55"/>
      <c r="B2417" s="56"/>
      <c r="C2417" s="56"/>
      <c r="D2417" s="56"/>
      <c r="E2417" s="57"/>
      <c r="F2417" s="58"/>
      <c r="G2417" s="59"/>
      <c r="H2417" s="56"/>
      <c r="I2417" s="56"/>
      <c r="J2417" s="60" t="str">
        <f aca="false">IF(IsPro,IF($D2417="","",IFERROR(INDEX(Items!$D$5:$D$504,U2417),"")),"")</f>
        <v/>
      </c>
      <c r="K2417" s="61" t="str">
        <f aca="false">IF(IsPro,IF($D2417="","",IF($F2417="",IFERROR(INDEX(Items!$H$5:$H$504,U2417),0),$F2417)),"")</f>
        <v/>
      </c>
      <c r="L2417" s="61" t="str">
        <f aca="false">IF(IsPro,IF($D2417="","",ROUND(N($E2417)*K2417*(1-N($G2417)),2)),"")</f>
        <v/>
      </c>
      <c r="M2417" s="62" t="str">
        <f aca="false">IF(IsPro,IF($D2417="","",IFERROR(INDEX(Items!$F$5:$F$504,U2417),0)),"")</f>
        <v/>
      </c>
      <c r="N2417" s="61" t="str">
        <f aca="false">IF(IsPro,IF($D2417="","",IF(AND(V2417&lt;&gt;"",INDEX(Parties!$E$5:$E$304,V2417)&lt;&gt;"",INDEX(Parties!$E$5:$E$304,V2417)&lt;&gt;HomeState),0,ROUND(L2417*M2417/2,2))),"")</f>
        <v/>
      </c>
      <c r="O2417" s="61" t="str">
        <f aca="false">IF(IsPro,IF($D2417="","",N2417),"")</f>
        <v/>
      </c>
      <c r="P2417" s="61" t="str">
        <f aca="false">IF(IsPro,IF($D2417="","",IF(AND(V2417&lt;&gt;"",INDEX(Parties!$E$5:$E$304,V2417)&lt;&gt;"",INDEX(Parties!$E$5:$E$304,V2417)&lt;&gt;HomeState),ROUND(L2417*M2417,2),0)),"")</f>
        <v/>
      </c>
      <c r="Q2417" s="61" t="str">
        <f aca="false">IF(IsPro,IF($D2417="","",L2417+N2417+O2417+P2417),"")</f>
        <v/>
      </c>
      <c r="R2417" s="61" t="str">
        <f aca="false">IF(IsPro,IF($D2417="","",ROUND(N($E2417)*IFERROR(INDEX(Items!$P$5:$P$504,U2417),0),2)),"")</f>
        <v/>
      </c>
      <c r="S2417" s="61" t="str">
        <f aca="false">IF(IsPro,IF($D2417="","",L2417-R2417),"")</f>
        <v/>
      </c>
      <c r="T2417" s="60" t="str">
        <f aca="false">IF(IsPro,IF($D2417="","",IF(U2417="","UNKNOWN ITEM",IF(INDEX(Items!$O$5:$O$504,U2417)&lt;0,"NEG STOCK",IF(K2417&lt;INDEX(Items!$P$5:$P$504,U2417),"BELOW COST","OK")))),IF($D2417="","","PRO PLAN"))</f>
        <v/>
      </c>
      <c r="U2417" s="60" t="str">
        <f aca="false">IF(IsPro,IF($D2417="","",IFERROR(MATCH($D2417,Items!$A$5:$A$504,0),"")),"")</f>
        <v/>
      </c>
      <c r="V2417" s="60" t="str">
        <f aca="false">IF(IsPro,IF($C2417="","",IFERROR(MATCH($C2417,Parties!$A$5:$A$304,0),"")),"")</f>
        <v/>
      </c>
      <c r="W2417" s="60" t="str">
        <f aca="false">IF(IsPro,IF($B2417="","",IFERROR(VALUE(SUBSTITUTE($B2417,InvPrefix,"")),0)),"")</f>
        <v/>
      </c>
      <c r="X2417" s="61" t="str">
        <f aca="false">IF(IsPro,IF($D2417="","",IF(OR($H2417="",$H2417="Credit"),0,Q2417)),"")</f>
        <v/>
      </c>
    </row>
    <row r="2418" customFormat="false" ht="15" hidden="false" customHeight="false" outlineLevel="0" collapsed="false">
      <c r="A2418" s="55"/>
      <c r="B2418" s="56"/>
      <c r="C2418" s="56"/>
      <c r="D2418" s="56"/>
      <c r="E2418" s="57"/>
      <c r="F2418" s="58"/>
      <c r="G2418" s="59"/>
      <c r="H2418" s="56"/>
      <c r="I2418" s="56"/>
      <c r="J2418" s="60" t="str">
        <f aca="false">IF(IsPro,IF($D2418="","",IFERROR(INDEX(Items!$D$5:$D$504,U2418),"")),"")</f>
        <v/>
      </c>
      <c r="K2418" s="61" t="str">
        <f aca="false">IF(IsPro,IF($D2418="","",IF($F2418="",IFERROR(INDEX(Items!$H$5:$H$504,U2418),0),$F2418)),"")</f>
        <v/>
      </c>
      <c r="L2418" s="61" t="str">
        <f aca="false">IF(IsPro,IF($D2418="","",ROUND(N($E2418)*K2418*(1-N($G2418)),2)),"")</f>
        <v/>
      </c>
      <c r="M2418" s="62" t="str">
        <f aca="false">IF(IsPro,IF($D2418="","",IFERROR(INDEX(Items!$F$5:$F$504,U2418),0)),"")</f>
        <v/>
      </c>
      <c r="N2418" s="61" t="str">
        <f aca="false">IF(IsPro,IF($D2418="","",IF(AND(V2418&lt;&gt;"",INDEX(Parties!$E$5:$E$304,V2418)&lt;&gt;"",INDEX(Parties!$E$5:$E$304,V2418)&lt;&gt;HomeState),0,ROUND(L2418*M2418/2,2))),"")</f>
        <v/>
      </c>
      <c r="O2418" s="61" t="str">
        <f aca="false">IF(IsPro,IF($D2418="","",N2418),"")</f>
        <v/>
      </c>
      <c r="P2418" s="61" t="str">
        <f aca="false">IF(IsPro,IF($D2418="","",IF(AND(V2418&lt;&gt;"",INDEX(Parties!$E$5:$E$304,V2418)&lt;&gt;"",INDEX(Parties!$E$5:$E$304,V2418)&lt;&gt;HomeState),ROUND(L2418*M2418,2),0)),"")</f>
        <v/>
      </c>
      <c r="Q2418" s="61" t="str">
        <f aca="false">IF(IsPro,IF($D2418="","",L2418+N2418+O2418+P2418),"")</f>
        <v/>
      </c>
      <c r="R2418" s="61" t="str">
        <f aca="false">IF(IsPro,IF($D2418="","",ROUND(N($E2418)*IFERROR(INDEX(Items!$P$5:$P$504,U2418),0),2)),"")</f>
        <v/>
      </c>
      <c r="S2418" s="61" t="str">
        <f aca="false">IF(IsPro,IF($D2418="","",L2418-R2418),"")</f>
        <v/>
      </c>
      <c r="T2418" s="60" t="str">
        <f aca="false">IF(IsPro,IF($D2418="","",IF(U2418="","UNKNOWN ITEM",IF(INDEX(Items!$O$5:$O$504,U2418)&lt;0,"NEG STOCK",IF(K2418&lt;INDEX(Items!$P$5:$P$504,U2418),"BELOW COST","OK")))),IF($D2418="","","PRO PLAN"))</f>
        <v/>
      </c>
      <c r="U2418" s="60" t="str">
        <f aca="false">IF(IsPro,IF($D2418="","",IFERROR(MATCH($D2418,Items!$A$5:$A$504,0),"")),"")</f>
        <v/>
      </c>
      <c r="V2418" s="60" t="str">
        <f aca="false">IF(IsPro,IF($C2418="","",IFERROR(MATCH($C2418,Parties!$A$5:$A$304,0),"")),"")</f>
        <v/>
      </c>
      <c r="W2418" s="60" t="str">
        <f aca="false">IF(IsPro,IF($B2418="","",IFERROR(VALUE(SUBSTITUTE($B2418,InvPrefix,"")),0)),"")</f>
        <v/>
      </c>
      <c r="X2418" s="61" t="str">
        <f aca="false">IF(IsPro,IF($D2418="","",IF(OR($H2418="",$H2418="Credit"),0,Q2418)),"")</f>
        <v/>
      </c>
    </row>
    <row r="2419" customFormat="false" ht="15" hidden="false" customHeight="false" outlineLevel="0" collapsed="false">
      <c r="A2419" s="55"/>
      <c r="B2419" s="56"/>
      <c r="C2419" s="56"/>
      <c r="D2419" s="56"/>
      <c r="E2419" s="57"/>
      <c r="F2419" s="58"/>
      <c r="G2419" s="59"/>
      <c r="H2419" s="56"/>
      <c r="I2419" s="56"/>
      <c r="J2419" s="60" t="str">
        <f aca="false">IF(IsPro,IF($D2419="","",IFERROR(INDEX(Items!$D$5:$D$504,U2419),"")),"")</f>
        <v/>
      </c>
      <c r="K2419" s="61" t="str">
        <f aca="false">IF(IsPro,IF($D2419="","",IF($F2419="",IFERROR(INDEX(Items!$H$5:$H$504,U2419),0),$F2419)),"")</f>
        <v/>
      </c>
      <c r="L2419" s="61" t="str">
        <f aca="false">IF(IsPro,IF($D2419="","",ROUND(N($E2419)*K2419*(1-N($G2419)),2)),"")</f>
        <v/>
      </c>
      <c r="M2419" s="62" t="str">
        <f aca="false">IF(IsPro,IF($D2419="","",IFERROR(INDEX(Items!$F$5:$F$504,U2419),0)),"")</f>
        <v/>
      </c>
      <c r="N2419" s="61" t="str">
        <f aca="false">IF(IsPro,IF($D2419="","",IF(AND(V2419&lt;&gt;"",INDEX(Parties!$E$5:$E$304,V2419)&lt;&gt;"",INDEX(Parties!$E$5:$E$304,V2419)&lt;&gt;HomeState),0,ROUND(L2419*M2419/2,2))),"")</f>
        <v/>
      </c>
      <c r="O2419" s="61" t="str">
        <f aca="false">IF(IsPro,IF($D2419="","",N2419),"")</f>
        <v/>
      </c>
      <c r="P2419" s="61" t="str">
        <f aca="false">IF(IsPro,IF($D2419="","",IF(AND(V2419&lt;&gt;"",INDEX(Parties!$E$5:$E$304,V2419)&lt;&gt;"",INDEX(Parties!$E$5:$E$304,V2419)&lt;&gt;HomeState),ROUND(L2419*M2419,2),0)),"")</f>
        <v/>
      </c>
      <c r="Q2419" s="61" t="str">
        <f aca="false">IF(IsPro,IF($D2419="","",L2419+N2419+O2419+P2419),"")</f>
        <v/>
      </c>
      <c r="R2419" s="61" t="str">
        <f aca="false">IF(IsPro,IF($D2419="","",ROUND(N($E2419)*IFERROR(INDEX(Items!$P$5:$P$504,U2419),0),2)),"")</f>
        <v/>
      </c>
      <c r="S2419" s="61" t="str">
        <f aca="false">IF(IsPro,IF($D2419="","",L2419-R2419),"")</f>
        <v/>
      </c>
      <c r="T2419" s="60" t="str">
        <f aca="false">IF(IsPro,IF($D2419="","",IF(U2419="","UNKNOWN ITEM",IF(INDEX(Items!$O$5:$O$504,U2419)&lt;0,"NEG STOCK",IF(K2419&lt;INDEX(Items!$P$5:$P$504,U2419),"BELOW COST","OK")))),IF($D2419="","","PRO PLAN"))</f>
        <v/>
      </c>
      <c r="U2419" s="60" t="str">
        <f aca="false">IF(IsPro,IF($D2419="","",IFERROR(MATCH($D2419,Items!$A$5:$A$504,0),"")),"")</f>
        <v/>
      </c>
      <c r="V2419" s="60" t="str">
        <f aca="false">IF(IsPro,IF($C2419="","",IFERROR(MATCH($C2419,Parties!$A$5:$A$304,0),"")),"")</f>
        <v/>
      </c>
      <c r="W2419" s="60" t="str">
        <f aca="false">IF(IsPro,IF($B2419="","",IFERROR(VALUE(SUBSTITUTE($B2419,InvPrefix,"")),0)),"")</f>
        <v/>
      </c>
      <c r="X2419" s="61" t="str">
        <f aca="false">IF(IsPro,IF($D2419="","",IF(OR($H2419="",$H2419="Credit"),0,Q2419)),"")</f>
        <v/>
      </c>
    </row>
    <row r="2420" customFormat="false" ht="15" hidden="false" customHeight="false" outlineLevel="0" collapsed="false">
      <c r="A2420" s="55"/>
      <c r="B2420" s="56"/>
      <c r="C2420" s="56"/>
      <c r="D2420" s="56"/>
      <c r="E2420" s="57"/>
      <c r="F2420" s="58"/>
      <c r="G2420" s="59"/>
      <c r="H2420" s="56"/>
      <c r="I2420" s="56"/>
      <c r="J2420" s="60" t="str">
        <f aca="false">IF(IsPro,IF($D2420="","",IFERROR(INDEX(Items!$D$5:$D$504,U2420),"")),"")</f>
        <v/>
      </c>
      <c r="K2420" s="61" t="str">
        <f aca="false">IF(IsPro,IF($D2420="","",IF($F2420="",IFERROR(INDEX(Items!$H$5:$H$504,U2420),0),$F2420)),"")</f>
        <v/>
      </c>
      <c r="L2420" s="61" t="str">
        <f aca="false">IF(IsPro,IF($D2420="","",ROUND(N($E2420)*K2420*(1-N($G2420)),2)),"")</f>
        <v/>
      </c>
      <c r="M2420" s="62" t="str">
        <f aca="false">IF(IsPro,IF($D2420="","",IFERROR(INDEX(Items!$F$5:$F$504,U2420),0)),"")</f>
        <v/>
      </c>
      <c r="N2420" s="61" t="str">
        <f aca="false">IF(IsPro,IF($D2420="","",IF(AND(V2420&lt;&gt;"",INDEX(Parties!$E$5:$E$304,V2420)&lt;&gt;"",INDEX(Parties!$E$5:$E$304,V2420)&lt;&gt;HomeState),0,ROUND(L2420*M2420/2,2))),"")</f>
        <v/>
      </c>
      <c r="O2420" s="61" t="str">
        <f aca="false">IF(IsPro,IF($D2420="","",N2420),"")</f>
        <v/>
      </c>
      <c r="P2420" s="61" t="str">
        <f aca="false">IF(IsPro,IF($D2420="","",IF(AND(V2420&lt;&gt;"",INDEX(Parties!$E$5:$E$304,V2420)&lt;&gt;"",INDEX(Parties!$E$5:$E$304,V2420)&lt;&gt;HomeState),ROUND(L2420*M2420,2),0)),"")</f>
        <v/>
      </c>
      <c r="Q2420" s="61" t="str">
        <f aca="false">IF(IsPro,IF($D2420="","",L2420+N2420+O2420+P2420),"")</f>
        <v/>
      </c>
      <c r="R2420" s="61" t="str">
        <f aca="false">IF(IsPro,IF($D2420="","",ROUND(N($E2420)*IFERROR(INDEX(Items!$P$5:$P$504,U2420),0),2)),"")</f>
        <v/>
      </c>
      <c r="S2420" s="61" t="str">
        <f aca="false">IF(IsPro,IF($D2420="","",L2420-R2420),"")</f>
        <v/>
      </c>
      <c r="T2420" s="60" t="str">
        <f aca="false">IF(IsPro,IF($D2420="","",IF(U2420="","UNKNOWN ITEM",IF(INDEX(Items!$O$5:$O$504,U2420)&lt;0,"NEG STOCK",IF(K2420&lt;INDEX(Items!$P$5:$P$504,U2420),"BELOW COST","OK")))),IF($D2420="","","PRO PLAN"))</f>
        <v/>
      </c>
      <c r="U2420" s="60" t="str">
        <f aca="false">IF(IsPro,IF($D2420="","",IFERROR(MATCH($D2420,Items!$A$5:$A$504,0),"")),"")</f>
        <v/>
      </c>
      <c r="V2420" s="60" t="str">
        <f aca="false">IF(IsPro,IF($C2420="","",IFERROR(MATCH($C2420,Parties!$A$5:$A$304,0),"")),"")</f>
        <v/>
      </c>
      <c r="W2420" s="60" t="str">
        <f aca="false">IF(IsPro,IF($B2420="","",IFERROR(VALUE(SUBSTITUTE($B2420,InvPrefix,"")),0)),"")</f>
        <v/>
      </c>
      <c r="X2420" s="61" t="str">
        <f aca="false">IF(IsPro,IF($D2420="","",IF(OR($H2420="",$H2420="Credit"),0,Q2420)),"")</f>
        <v/>
      </c>
    </row>
    <row r="2421" customFormat="false" ht="15" hidden="false" customHeight="false" outlineLevel="0" collapsed="false">
      <c r="A2421" s="55"/>
      <c r="B2421" s="56"/>
      <c r="C2421" s="56"/>
      <c r="D2421" s="56"/>
      <c r="E2421" s="57"/>
      <c r="F2421" s="58"/>
      <c r="G2421" s="59"/>
      <c r="H2421" s="56"/>
      <c r="I2421" s="56"/>
      <c r="J2421" s="60" t="str">
        <f aca="false">IF(IsPro,IF($D2421="","",IFERROR(INDEX(Items!$D$5:$D$504,U2421),"")),"")</f>
        <v/>
      </c>
      <c r="K2421" s="61" t="str">
        <f aca="false">IF(IsPro,IF($D2421="","",IF($F2421="",IFERROR(INDEX(Items!$H$5:$H$504,U2421),0),$F2421)),"")</f>
        <v/>
      </c>
      <c r="L2421" s="61" t="str">
        <f aca="false">IF(IsPro,IF($D2421="","",ROUND(N($E2421)*K2421*(1-N($G2421)),2)),"")</f>
        <v/>
      </c>
      <c r="M2421" s="62" t="str">
        <f aca="false">IF(IsPro,IF($D2421="","",IFERROR(INDEX(Items!$F$5:$F$504,U2421),0)),"")</f>
        <v/>
      </c>
      <c r="N2421" s="61" t="str">
        <f aca="false">IF(IsPro,IF($D2421="","",IF(AND(V2421&lt;&gt;"",INDEX(Parties!$E$5:$E$304,V2421)&lt;&gt;"",INDEX(Parties!$E$5:$E$304,V2421)&lt;&gt;HomeState),0,ROUND(L2421*M2421/2,2))),"")</f>
        <v/>
      </c>
      <c r="O2421" s="61" t="str">
        <f aca="false">IF(IsPro,IF($D2421="","",N2421),"")</f>
        <v/>
      </c>
      <c r="P2421" s="61" t="str">
        <f aca="false">IF(IsPro,IF($D2421="","",IF(AND(V2421&lt;&gt;"",INDEX(Parties!$E$5:$E$304,V2421)&lt;&gt;"",INDEX(Parties!$E$5:$E$304,V2421)&lt;&gt;HomeState),ROUND(L2421*M2421,2),0)),"")</f>
        <v/>
      </c>
      <c r="Q2421" s="61" t="str">
        <f aca="false">IF(IsPro,IF($D2421="","",L2421+N2421+O2421+P2421),"")</f>
        <v/>
      </c>
      <c r="R2421" s="61" t="str">
        <f aca="false">IF(IsPro,IF($D2421="","",ROUND(N($E2421)*IFERROR(INDEX(Items!$P$5:$P$504,U2421),0),2)),"")</f>
        <v/>
      </c>
      <c r="S2421" s="61" t="str">
        <f aca="false">IF(IsPro,IF($D2421="","",L2421-R2421),"")</f>
        <v/>
      </c>
      <c r="T2421" s="60" t="str">
        <f aca="false">IF(IsPro,IF($D2421="","",IF(U2421="","UNKNOWN ITEM",IF(INDEX(Items!$O$5:$O$504,U2421)&lt;0,"NEG STOCK",IF(K2421&lt;INDEX(Items!$P$5:$P$504,U2421),"BELOW COST","OK")))),IF($D2421="","","PRO PLAN"))</f>
        <v/>
      </c>
      <c r="U2421" s="60" t="str">
        <f aca="false">IF(IsPro,IF($D2421="","",IFERROR(MATCH($D2421,Items!$A$5:$A$504,0),"")),"")</f>
        <v/>
      </c>
      <c r="V2421" s="60" t="str">
        <f aca="false">IF(IsPro,IF($C2421="","",IFERROR(MATCH($C2421,Parties!$A$5:$A$304,0),"")),"")</f>
        <v/>
      </c>
      <c r="W2421" s="60" t="str">
        <f aca="false">IF(IsPro,IF($B2421="","",IFERROR(VALUE(SUBSTITUTE($B2421,InvPrefix,"")),0)),"")</f>
        <v/>
      </c>
      <c r="X2421" s="61" t="str">
        <f aca="false">IF(IsPro,IF($D2421="","",IF(OR($H2421="",$H2421="Credit"),0,Q2421)),"")</f>
        <v/>
      </c>
    </row>
    <row r="2422" customFormat="false" ht="15" hidden="false" customHeight="false" outlineLevel="0" collapsed="false">
      <c r="A2422" s="55"/>
      <c r="B2422" s="56"/>
      <c r="C2422" s="56"/>
      <c r="D2422" s="56"/>
      <c r="E2422" s="57"/>
      <c r="F2422" s="58"/>
      <c r="G2422" s="59"/>
      <c r="H2422" s="56"/>
      <c r="I2422" s="56"/>
      <c r="J2422" s="60" t="str">
        <f aca="false">IF(IsPro,IF($D2422="","",IFERROR(INDEX(Items!$D$5:$D$504,U2422),"")),"")</f>
        <v/>
      </c>
      <c r="K2422" s="61" t="str">
        <f aca="false">IF(IsPro,IF($D2422="","",IF($F2422="",IFERROR(INDEX(Items!$H$5:$H$504,U2422),0),$F2422)),"")</f>
        <v/>
      </c>
      <c r="L2422" s="61" t="str">
        <f aca="false">IF(IsPro,IF($D2422="","",ROUND(N($E2422)*K2422*(1-N($G2422)),2)),"")</f>
        <v/>
      </c>
      <c r="M2422" s="62" t="str">
        <f aca="false">IF(IsPro,IF($D2422="","",IFERROR(INDEX(Items!$F$5:$F$504,U2422),0)),"")</f>
        <v/>
      </c>
      <c r="N2422" s="61" t="str">
        <f aca="false">IF(IsPro,IF($D2422="","",IF(AND(V2422&lt;&gt;"",INDEX(Parties!$E$5:$E$304,V2422)&lt;&gt;"",INDEX(Parties!$E$5:$E$304,V2422)&lt;&gt;HomeState),0,ROUND(L2422*M2422/2,2))),"")</f>
        <v/>
      </c>
      <c r="O2422" s="61" t="str">
        <f aca="false">IF(IsPro,IF($D2422="","",N2422),"")</f>
        <v/>
      </c>
      <c r="P2422" s="61" t="str">
        <f aca="false">IF(IsPro,IF($D2422="","",IF(AND(V2422&lt;&gt;"",INDEX(Parties!$E$5:$E$304,V2422)&lt;&gt;"",INDEX(Parties!$E$5:$E$304,V2422)&lt;&gt;HomeState),ROUND(L2422*M2422,2),0)),"")</f>
        <v/>
      </c>
      <c r="Q2422" s="61" t="str">
        <f aca="false">IF(IsPro,IF($D2422="","",L2422+N2422+O2422+P2422),"")</f>
        <v/>
      </c>
      <c r="R2422" s="61" t="str">
        <f aca="false">IF(IsPro,IF($D2422="","",ROUND(N($E2422)*IFERROR(INDEX(Items!$P$5:$P$504,U2422),0),2)),"")</f>
        <v/>
      </c>
      <c r="S2422" s="61" t="str">
        <f aca="false">IF(IsPro,IF($D2422="","",L2422-R2422),"")</f>
        <v/>
      </c>
      <c r="T2422" s="60" t="str">
        <f aca="false">IF(IsPro,IF($D2422="","",IF(U2422="","UNKNOWN ITEM",IF(INDEX(Items!$O$5:$O$504,U2422)&lt;0,"NEG STOCK",IF(K2422&lt;INDEX(Items!$P$5:$P$504,U2422),"BELOW COST","OK")))),IF($D2422="","","PRO PLAN"))</f>
        <v/>
      </c>
      <c r="U2422" s="60" t="str">
        <f aca="false">IF(IsPro,IF($D2422="","",IFERROR(MATCH($D2422,Items!$A$5:$A$504,0),"")),"")</f>
        <v/>
      </c>
      <c r="V2422" s="60" t="str">
        <f aca="false">IF(IsPro,IF($C2422="","",IFERROR(MATCH($C2422,Parties!$A$5:$A$304,0),"")),"")</f>
        <v/>
      </c>
      <c r="W2422" s="60" t="str">
        <f aca="false">IF(IsPro,IF($B2422="","",IFERROR(VALUE(SUBSTITUTE($B2422,InvPrefix,"")),0)),"")</f>
        <v/>
      </c>
      <c r="X2422" s="61" t="str">
        <f aca="false">IF(IsPro,IF($D2422="","",IF(OR($H2422="",$H2422="Credit"),0,Q2422)),"")</f>
        <v/>
      </c>
    </row>
    <row r="2423" customFormat="false" ht="15" hidden="false" customHeight="false" outlineLevel="0" collapsed="false">
      <c r="A2423" s="55"/>
      <c r="B2423" s="56"/>
      <c r="C2423" s="56"/>
      <c r="D2423" s="56"/>
      <c r="E2423" s="57"/>
      <c r="F2423" s="58"/>
      <c r="G2423" s="59"/>
      <c r="H2423" s="56"/>
      <c r="I2423" s="56"/>
      <c r="J2423" s="60" t="str">
        <f aca="false">IF(IsPro,IF($D2423="","",IFERROR(INDEX(Items!$D$5:$D$504,U2423),"")),"")</f>
        <v/>
      </c>
      <c r="K2423" s="61" t="str">
        <f aca="false">IF(IsPro,IF($D2423="","",IF($F2423="",IFERROR(INDEX(Items!$H$5:$H$504,U2423),0),$F2423)),"")</f>
        <v/>
      </c>
      <c r="L2423" s="61" t="str">
        <f aca="false">IF(IsPro,IF($D2423="","",ROUND(N($E2423)*K2423*(1-N($G2423)),2)),"")</f>
        <v/>
      </c>
      <c r="M2423" s="62" t="str">
        <f aca="false">IF(IsPro,IF($D2423="","",IFERROR(INDEX(Items!$F$5:$F$504,U2423),0)),"")</f>
        <v/>
      </c>
      <c r="N2423" s="61" t="str">
        <f aca="false">IF(IsPro,IF($D2423="","",IF(AND(V2423&lt;&gt;"",INDEX(Parties!$E$5:$E$304,V2423)&lt;&gt;"",INDEX(Parties!$E$5:$E$304,V2423)&lt;&gt;HomeState),0,ROUND(L2423*M2423/2,2))),"")</f>
        <v/>
      </c>
      <c r="O2423" s="61" t="str">
        <f aca="false">IF(IsPro,IF($D2423="","",N2423),"")</f>
        <v/>
      </c>
      <c r="P2423" s="61" t="str">
        <f aca="false">IF(IsPro,IF($D2423="","",IF(AND(V2423&lt;&gt;"",INDEX(Parties!$E$5:$E$304,V2423)&lt;&gt;"",INDEX(Parties!$E$5:$E$304,V2423)&lt;&gt;HomeState),ROUND(L2423*M2423,2),0)),"")</f>
        <v/>
      </c>
      <c r="Q2423" s="61" t="str">
        <f aca="false">IF(IsPro,IF($D2423="","",L2423+N2423+O2423+P2423),"")</f>
        <v/>
      </c>
      <c r="R2423" s="61" t="str">
        <f aca="false">IF(IsPro,IF($D2423="","",ROUND(N($E2423)*IFERROR(INDEX(Items!$P$5:$P$504,U2423),0),2)),"")</f>
        <v/>
      </c>
      <c r="S2423" s="61" t="str">
        <f aca="false">IF(IsPro,IF($D2423="","",L2423-R2423),"")</f>
        <v/>
      </c>
      <c r="T2423" s="60" t="str">
        <f aca="false">IF(IsPro,IF($D2423="","",IF(U2423="","UNKNOWN ITEM",IF(INDEX(Items!$O$5:$O$504,U2423)&lt;0,"NEG STOCK",IF(K2423&lt;INDEX(Items!$P$5:$P$504,U2423),"BELOW COST","OK")))),IF($D2423="","","PRO PLAN"))</f>
        <v/>
      </c>
      <c r="U2423" s="60" t="str">
        <f aca="false">IF(IsPro,IF($D2423="","",IFERROR(MATCH($D2423,Items!$A$5:$A$504,0),"")),"")</f>
        <v/>
      </c>
      <c r="V2423" s="60" t="str">
        <f aca="false">IF(IsPro,IF($C2423="","",IFERROR(MATCH($C2423,Parties!$A$5:$A$304,0),"")),"")</f>
        <v/>
      </c>
      <c r="W2423" s="60" t="str">
        <f aca="false">IF(IsPro,IF($B2423="","",IFERROR(VALUE(SUBSTITUTE($B2423,InvPrefix,"")),0)),"")</f>
        <v/>
      </c>
      <c r="X2423" s="61" t="str">
        <f aca="false">IF(IsPro,IF($D2423="","",IF(OR($H2423="",$H2423="Credit"),0,Q2423)),"")</f>
        <v/>
      </c>
    </row>
    <row r="2424" customFormat="false" ht="15" hidden="false" customHeight="false" outlineLevel="0" collapsed="false">
      <c r="A2424" s="55"/>
      <c r="B2424" s="56"/>
      <c r="C2424" s="56"/>
      <c r="D2424" s="56"/>
      <c r="E2424" s="57"/>
      <c r="F2424" s="58"/>
      <c r="G2424" s="59"/>
      <c r="H2424" s="56"/>
      <c r="I2424" s="56"/>
      <c r="J2424" s="60" t="str">
        <f aca="false">IF(IsPro,IF($D2424="","",IFERROR(INDEX(Items!$D$5:$D$504,U2424),"")),"")</f>
        <v/>
      </c>
      <c r="K2424" s="61" t="str">
        <f aca="false">IF(IsPro,IF($D2424="","",IF($F2424="",IFERROR(INDEX(Items!$H$5:$H$504,U2424),0),$F2424)),"")</f>
        <v/>
      </c>
      <c r="L2424" s="61" t="str">
        <f aca="false">IF(IsPro,IF($D2424="","",ROUND(N($E2424)*K2424*(1-N($G2424)),2)),"")</f>
        <v/>
      </c>
      <c r="M2424" s="62" t="str">
        <f aca="false">IF(IsPro,IF($D2424="","",IFERROR(INDEX(Items!$F$5:$F$504,U2424),0)),"")</f>
        <v/>
      </c>
      <c r="N2424" s="61" t="str">
        <f aca="false">IF(IsPro,IF($D2424="","",IF(AND(V2424&lt;&gt;"",INDEX(Parties!$E$5:$E$304,V2424)&lt;&gt;"",INDEX(Parties!$E$5:$E$304,V2424)&lt;&gt;HomeState),0,ROUND(L2424*M2424/2,2))),"")</f>
        <v/>
      </c>
      <c r="O2424" s="61" t="str">
        <f aca="false">IF(IsPro,IF($D2424="","",N2424),"")</f>
        <v/>
      </c>
      <c r="P2424" s="61" t="str">
        <f aca="false">IF(IsPro,IF($D2424="","",IF(AND(V2424&lt;&gt;"",INDEX(Parties!$E$5:$E$304,V2424)&lt;&gt;"",INDEX(Parties!$E$5:$E$304,V2424)&lt;&gt;HomeState),ROUND(L2424*M2424,2),0)),"")</f>
        <v/>
      </c>
      <c r="Q2424" s="61" t="str">
        <f aca="false">IF(IsPro,IF($D2424="","",L2424+N2424+O2424+P2424),"")</f>
        <v/>
      </c>
      <c r="R2424" s="61" t="str">
        <f aca="false">IF(IsPro,IF($D2424="","",ROUND(N($E2424)*IFERROR(INDEX(Items!$P$5:$P$504,U2424),0),2)),"")</f>
        <v/>
      </c>
      <c r="S2424" s="61" t="str">
        <f aca="false">IF(IsPro,IF($D2424="","",L2424-R2424),"")</f>
        <v/>
      </c>
      <c r="T2424" s="60" t="str">
        <f aca="false">IF(IsPro,IF($D2424="","",IF(U2424="","UNKNOWN ITEM",IF(INDEX(Items!$O$5:$O$504,U2424)&lt;0,"NEG STOCK",IF(K2424&lt;INDEX(Items!$P$5:$P$504,U2424),"BELOW COST","OK")))),IF($D2424="","","PRO PLAN"))</f>
        <v/>
      </c>
      <c r="U2424" s="60" t="str">
        <f aca="false">IF(IsPro,IF($D2424="","",IFERROR(MATCH($D2424,Items!$A$5:$A$504,0),"")),"")</f>
        <v/>
      </c>
      <c r="V2424" s="60" t="str">
        <f aca="false">IF(IsPro,IF($C2424="","",IFERROR(MATCH($C2424,Parties!$A$5:$A$304,0),"")),"")</f>
        <v/>
      </c>
      <c r="W2424" s="60" t="str">
        <f aca="false">IF(IsPro,IF($B2424="","",IFERROR(VALUE(SUBSTITUTE($B2424,InvPrefix,"")),0)),"")</f>
        <v/>
      </c>
      <c r="X2424" s="61" t="str">
        <f aca="false">IF(IsPro,IF($D2424="","",IF(OR($H2424="",$H2424="Credit"),0,Q2424)),"")</f>
        <v/>
      </c>
    </row>
    <row r="2425" customFormat="false" ht="15" hidden="false" customHeight="false" outlineLevel="0" collapsed="false">
      <c r="A2425" s="55"/>
      <c r="B2425" s="56"/>
      <c r="C2425" s="56"/>
      <c r="D2425" s="56"/>
      <c r="E2425" s="57"/>
      <c r="F2425" s="58"/>
      <c r="G2425" s="59"/>
      <c r="H2425" s="56"/>
      <c r="I2425" s="56"/>
      <c r="J2425" s="60" t="str">
        <f aca="false">IF(IsPro,IF($D2425="","",IFERROR(INDEX(Items!$D$5:$D$504,U2425),"")),"")</f>
        <v/>
      </c>
      <c r="K2425" s="61" t="str">
        <f aca="false">IF(IsPro,IF($D2425="","",IF($F2425="",IFERROR(INDEX(Items!$H$5:$H$504,U2425),0),$F2425)),"")</f>
        <v/>
      </c>
      <c r="L2425" s="61" t="str">
        <f aca="false">IF(IsPro,IF($D2425="","",ROUND(N($E2425)*K2425*(1-N($G2425)),2)),"")</f>
        <v/>
      </c>
      <c r="M2425" s="62" t="str">
        <f aca="false">IF(IsPro,IF($D2425="","",IFERROR(INDEX(Items!$F$5:$F$504,U2425),0)),"")</f>
        <v/>
      </c>
      <c r="N2425" s="61" t="str">
        <f aca="false">IF(IsPro,IF($D2425="","",IF(AND(V2425&lt;&gt;"",INDEX(Parties!$E$5:$E$304,V2425)&lt;&gt;"",INDEX(Parties!$E$5:$E$304,V2425)&lt;&gt;HomeState),0,ROUND(L2425*M2425/2,2))),"")</f>
        <v/>
      </c>
      <c r="O2425" s="61" t="str">
        <f aca="false">IF(IsPro,IF($D2425="","",N2425),"")</f>
        <v/>
      </c>
      <c r="P2425" s="61" t="str">
        <f aca="false">IF(IsPro,IF($D2425="","",IF(AND(V2425&lt;&gt;"",INDEX(Parties!$E$5:$E$304,V2425)&lt;&gt;"",INDEX(Parties!$E$5:$E$304,V2425)&lt;&gt;HomeState),ROUND(L2425*M2425,2),0)),"")</f>
        <v/>
      </c>
      <c r="Q2425" s="61" t="str">
        <f aca="false">IF(IsPro,IF($D2425="","",L2425+N2425+O2425+P2425),"")</f>
        <v/>
      </c>
      <c r="R2425" s="61" t="str">
        <f aca="false">IF(IsPro,IF($D2425="","",ROUND(N($E2425)*IFERROR(INDEX(Items!$P$5:$P$504,U2425),0),2)),"")</f>
        <v/>
      </c>
      <c r="S2425" s="61" t="str">
        <f aca="false">IF(IsPro,IF($D2425="","",L2425-R2425),"")</f>
        <v/>
      </c>
      <c r="T2425" s="60" t="str">
        <f aca="false">IF(IsPro,IF($D2425="","",IF(U2425="","UNKNOWN ITEM",IF(INDEX(Items!$O$5:$O$504,U2425)&lt;0,"NEG STOCK",IF(K2425&lt;INDEX(Items!$P$5:$P$504,U2425),"BELOW COST","OK")))),IF($D2425="","","PRO PLAN"))</f>
        <v/>
      </c>
      <c r="U2425" s="60" t="str">
        <f aca="false">IF(IsPro,IF($D2425="","",IFERROR(MATCH($D2425,Items!$A$5:$A$504,0),"")),"")</f>
        <v/>
      </c>
      <c r="V2425" s="60" t="str">
        <f aca="false">IF(IsPro,IF($C2425="","",IFERROR(MATCH($C2425,Parties!$A$5:$A$304,0),"")),"")</f>
        <v/>
      </c>
      <c r="W2425" s="60" t="str">
        <f aca="false">IF(IsPro,IF($B2425="","",IFERROR(VALUE(SUBSTITUTE($B2425,InvPrefix,"")),0)),"")</f>
        <v/>
      </c>
      <c r="X2425" s="61" t="str">
        <f aca="false">IF(IsPro,IF($D2425="","",IF(OR($H2425="",$H2425="Credit"),0,Q2425)),"")</f>
        <v/>
      </c>
    </row>
    <row r="2426" customFormat="false" ht="15" hidden="false" customHeight="false" outlineLevel="0" collapsed="false">
      <c r="A2426" s="55"/>
      <c r="B2426" s="56"/>
      <c r="C2426" s="56"/>
      <c r="D2426" s="56"/>
      <c r="E2426" s="57"/>
      <c r="F2426" s="58"/>
      <c r="G2426" s="59"/>
      <c r="H2426" s="56"/>
      <c r="I2426" s="56"/>
      <c r="J2426" s="60" t="str">
        <f aca="false">IF(IsPro,IF($D2426="","",IFERROR(INDEX(Items!$D$5:$D$504,U2426),"")),"")</f>
        <v/>
      </c>
      <c r="K2426" s="61" t="str">
        <f aca="false">IF(IsPro,IF($D2426="","",IF($F2426="",IFERROR(INDEX(Items!$H$5:$H$504,U2426),0),$F2426)),"")</f>
        <v/>
      </c>
      <c r="L2426" s="61" t="str">
        <f aca="false">IF(IsPro,IF($D2426="","",ROUND(N($E2426)*K2426*(1-N($G2426)),2)),"")</f>
        <v/>
      </c>
      <c r="M2426" s="62" t="str">
        <f aca="false">IF(IsPro,IF($D2426="","",IFERROR(INDEX(Items!$F$5:$F$504,U2426),0)),"")</f>
        <v/>
      </c>
      <c r="N2426" s="61" t="str">
        <f aca="false">IF(IsPro,IF($D2426="","",IF(AND(V2426&lt;&gt;"",INDEX(Parties!$E$5:$E$304,V2426)&lt;&gt;"",INDEX(Parties!$E$5:$E$304,V2426)&lt;&gt;HomeState),0,ROUND(L2426*M2426/2,2))),"")</f>
        <v/>
      </c>
      <c r="O2426" s="61" t="str">
        <f aca="false">IF(IsPro,IF($D2426="","",N2426),"")</f>
        <v/>
      </c>
      <c r="P2426" s="61" t="str">
        <f aca="false">IF(IsPro,IF($D2426="","",IF(AND(V2426&lt;&gt;"",INDEX(Parties!$E$5:$E$304,V2426)&lt;&gt;"",INDEX(Parties!$E$5:$E$304,V2426)&lt;&gt;HomeState),ROUND(L2426*M2426,2),0)),"")</f>
        <v/>
      </c>
      <c r="Q2426" s="61" t="str">
        <f aca="false">IF(IsPro,IF($D2426="","",L2426+N2426+O2426+P2426),"")</f>
        <v/>
      </c>
      <c r="R2426" s="61" t="str">
        <f aca="false">IF(IsPro,IF($D2426="","",ROUND(N($E2426)*IFERROR(INDEX(Items!$P$5:$P$504,U2426),0),2)),"")</f>
        <v/>
      </c>
      <c r="S2426" s="61" t="str">
        <f aca="false">IF(IsPro,IF($D2426="","",L2426-R2426),"")</f>
        <v/>
      </c>
      <c r="T2426" s="60" t="str">
        <f aca="false">IF(IsPro,IF($D2426="","",IF(U2426="","UNKNOWN ITEM",IF(INDEX(Items!$O$5:$O$504,U2426)&lt;0,"NEG STOCK",IF(K2426&lt;INDEX(Items!$P$5:$P$504,U2426),"BELOW COST","OK")))),IF($D2426="","","PRO PLAN"))</f>
        <v/>
      </c>
      <c r="U2426" s="60" t="str">
        <f aca="false">IF(IsPro,IF($D2426="","",IFERROR(MATCH($D2426,Items!$A$5:$A$504,0),"")),"")</f>
        <v/>
      </c>
      <c r="V2426" s="60" t="str">
        <f aca="false">IF(IsPro,IF($C2426="","",IFERROR(MATCH($C2426,Parties!$A$5:$A$304,0),"")),"")</f>
        <v/>
      </c>
      <c r="W2426" s="60" t="str">
        <f aca="false">IF(IsPro,IF($B2426="","",IFERROR(VALUE(SUBSTITUTE($B2426,InvPrefix,"")),0)),"")</f>
        <v/>
      </c>
      <c r="X2426" s="61" t="str">
        <f aca="false">IF(IsPro,IF($D2426="","",IF(OR($H2426="",$H2426="Credit"),0,Q2426)),"")</f>
        <v/>
      </c>
    </row>
    <row r="2427" customFormat="false" ht="15" hidden="false" customHeight="false" outlineLevel="0" collapsed="false">
      <c r="A2427" s="55"/>
      <c r="B2427" s="56"/>
      <c r="C2427" s="56"/>
      <c r="D2427" s="56"/>
      <c r="E2427" s="57"/>
      <c r="F2427" s="58"/>
      <c r="G2427" s="59"/>
      <c r="H2427" s="56"/>
      <c r="I2427" s="56"/>
      <c r="J2427" s="60" t="str">
        <f aca="false">IF(IsPro,IF($D2427="","",IFERROR(INDEX(Items!$D$5:$D$504,U2427),"")),"")</f>
        <v/>
      </c>
      <c r="K2427" s="61" t="str">
        <f aca="false">IF(IsPro,IF($D2427="","",IF($F2427="",IFERROR(INDEX(Items!$H$5:$H$504,U2427),0),$F2427)),"")</f>
        <v/>
      </c>
      <c r="L2427" s="61" t="str">
        <f aca="false">IF(IsPro,IF($D2427="","",ROUND(N($E2427)*K2427*(1-N($G2427)),2)),"")</f>
        <v/>
      </c>
      <c r="M2427" s="62" t="str">
        <f aca="false">IF(IsPro,IF($D2427="","",IFERROR(INDEX(Items!$F$5:$F$504,U2427),0)),"")</f>
        <v/>
      </c>
      <c r="N2427" s="61" t="str">
        <f aca="false">IF(IsPro,IF($D2427="","",IF(AND(V2427&lt;&gt;"",INDEX(Parties!$E$5:$E$304,V2427)&lt;&gt;"",INDEX(Parties!$E$5:$E$304,V2427)&lt;&gt;HomeState),0,ROUND(L2427*M2427/2,2))),"")</f>
        <v/>
      </c>
      <c r="O2427" s="61" t="str">
        <f aca="false">IF(IsPro,IF($D2427="","",N2427),"")</f>
        <v/>
      </c>
      <c r="P2427" s="61" t="str">
        <f aca="false">IF(IsPro,IF($D2427="","",IF(AND(V2427&lt;&gt;"",INDEX(Parties!$E$5:$E$304,V2427)&lt;&gt;"",INDEX(Parties!$E$5:$E$304,V2427)&lt;&gt;HomeState),ROUND(L2427*M2427,2),0)),"")</f>
        <v/>
      </c>
      <c r="Q2427" s="61" t="str">
        <f aca="false">IF(IsPro,IF($D2427="","",L2427+N2427+O2427+P2427),"")</f>
        <v/>
      </c>
      <c r="R2427" s="61" t="str">
        <f aca="false">IF(IsPro,IF($D2427="","",ROUND(N($E2427)*IFERROR(INDEX(Items!$P$5:$P$504,U2427),0),2)),"")</f>
        <v/>
      </c>
      <c r="S2427" s="61" t="str">
        <f aca="false">IF(IsPro,IF($D2427="","",L2427-R2427),"")</f>
        <v/>
      </c>
      <c r="T2427" s="60" t="str">
        <f aca="false">IF(IsPro,IF($D2427="","",IF(U2427="","UNKNOWN ITEM",IF(INDEX(Items!$O$5:$O$504,U2427)&lt;0,"NEG STOCK",IF(K2427&lt;INDEX(Items!$P$5:$P$504,U2427),"BELOW COST","OK")))),IF($D2427="","","PRO PLAN"))</f>
        <v/>
      </c>
      <c r="U2427" s="60" t="str">
        <f aca="false">IF(IsPro,IF($D2427="","",IFERROR(MATCH($D2427,Items!$A$5:$A$504,0),"")),"")</f>
        <v/>
      </c>
      <c r="V2427" s="60" t="str">
        <f aca="false">IF(IsPro,IF($C2427="","",IFERROR(MATCH($C2427,Parties!$A$5:$A$304,0),"")),"")</f>
        <v/>
      </c>
      <c r="W2427" s="60" t="str">
        <f aca="false">IF(IsPro,IF($B2427="","",IFERROR(VALUE(SUBSTITUTE($B2427,InvPrefix,"")),0)),"")</f>
        <v/>
      </c>
      <c r="X2427" s="61" t="str">
        <f aca="false">IF(IsPro,IF($D2427="","",IF(OR($H2427="",$H2427="Credit"),0,Q2427)),"")</f>
        <v/>
      </c>
    </row>
    <row r="2428" customFormat="false" ht="15" hidden="false" customHeight="false" outlineLevel="0" collapsed="false">
      <c r="A2428" s="55"/>
      <c r="B2428" s="56"/>
      <c r="C2428" s="56"/>
      <c r="D2428" s="56"/>
      <c r="E2428" s="57"/>
      <c r="F2428" s="58"/>
      <c r="G2428" s="59"/>
      <c r="H2428" s="56"/>
      <c r="I2428" s="56"/>
      <c r="J2428" s="60" t="str">
        <f aca="false">IF(IsPro,IF($D2428="","",IFERROR(INDEX(Items!$D$5:$D$504,U2428),"")),"")</f>
        <v/>
      </c>
      <c r="K2428" s="61" t="str">
        <f aca="false">IF(IsPro,IF($D2428="","",IF($F2428="",IFERROR(INDEX(Items!$H$5:$H$504,U2428),0),$F2428)),"")</f>
        <v/>
      </c>
      <c r="L2428" s="61" t="str">
        <f aca="false">IF(IsPro,IF($D2428="","",ROUND(N($E2428)*K2428*(1-N($G2428)),2)),"")</f>
        <v/>
      </c>
      <c r="M2428" s="62" t="str">
        <f aca="false">IF(IsPro,IF($D2428="","",IFERROR(INDEX(Items!$F$5:$F$504,U2428),0)),"")</f>
        <v/>
      </c>
      <c r="N2428" s="61" t="str">
        <f aca="false">IF(IsPro,IF($D2428="","",IF(AND(V2428&lt;&gt;"",INDEX(Parties!$E$5:$E$304,V2428)&lt;&gt;"",INDEX(Parties!$E$5:$E$304,V2428)&lt;&gt;HomeState),0,ROUND(L2428*M2428/2,2))),"")</f>
        <v/>
      </c>
      <c r="O2428" s="61" t="str">
        <f aca="false">IF(IsPro,IF($D2428="","",N2428),"")</f>
        <v/>
      </c>
      <c r="P2428" s="61" t="str">
        <f aca="false">IF(IsPro,IF($D2428="","",IF(AND(V2428&lt;&gt;"",INDEX(Parties!$E$5:$E$304,V2428)&lt;&gt;"",INDEX(Parties!$E$5:$E$304,V2428)&lt;&gt;HomeState),ROUND(L2428*M2428,2),0)),"")</f>
        <v/>
      </c>
      <c r="Q2428" s="61" t="str">
        <f aca="false">IF(IsPro,IF($D2428="","",L2428+N2428+O2428+P2428),"")</f>
        <v/>
      </c>
      <c r="R2428" s="61" t="str">
        <f aca="false">IF(IsPro,IF($D2428="","",ROUND(N($E2428)*IFERROR(INDEX(Items!$P$5:$P$504,U2428),0),2)),"")</f>
        <v/>
      </c>
      <c r="S2428" s="61" t="str">
        <f aca="false">IF(IsPro,IF($D2428="","",L2428-R2428),"")</f>
        <v/>
      </c>
      <c r="T2428" s="60" t="str">
        <f aca="false">IF(IsPro,IF($D2428="","",IF(U2428="","UNKNOWN ITEM",IF(INDEX(Items!$O$5:$O$504,U2428)&lt;0,"NEG STOCK",IF(K2428&lt;INDEX(Items!$P$5:$P$504,U2428),"BELOW COST","OK")))),IF($D2428="","","PRO PLAN"))</f>
        <v/>
      </c>
      <c r="U2428" s="60" t="str">
        <f aca="false">IF(IsPro,IF($D2428="","",IFERROR(MATCH($D2428,Items!$A$5:$A$504,0),"")),"")</f>
        <v/>
      </c>
      <c r="V2428" s="60" t="str">
        <f aca="false">IF(IsPro,IF($C2428="","",IFERROR(MATCH($C2428,Parties!$A$5:$A$304,0),"")),"")</f>
        <v/>
      </c>
      <c r="W2428" s="60" t="str">
        <f aca="false">IF(IsPro,IF($B2428="","",IFERROR(VALUE(SUBSTITUTE($B2428,InvPrefix,"")),0)),"")</f>
        <v/>
      </c>
      <c r="X2428" s="61" t="str">
        <f aca="false">IF(IsPro,IF($D2428="","",IF(OR($H2428="",$H2428="Credit"),0,Q2428)),"")</f>
        <v/>
      </c>
    </row>
    <row r="2429" customFormat="false" ht="15" hidden="false" customHeight="false" outlineLevel="0" collapsed="false">
      <c r="A2429" s="55"/>
      <c r="B2429" s="56"/>
      <c r="C2429" s="56"/>
      <c r="D2429" s="56"/>
      <c r="E2429" s="57"/>
      <c r="F2429" s="58"/>
      <c r="G2429" s="59"/>
      <c r="H2429" s="56"/>
      <c r="I2429" s="56"/>
      <c r="J2429" s="60" t="str">
        <f aca="false">IF(IsPro,IF($D2429="","",IFERROR(INDEX(Items!$D$5:$D$504,U2429),"")),"")</f>
        <v/>
      </c>
      <c r="K2429" s="61" t="str">
        <f aca="false">IF(IsPro,IF($D2429="","",IF($F2429="",IFERROR(INDEX(Items!$H$5:$H$504,U2429),0),$F2429)),"")</f>
        <v/>
      </c>
      <c r="L2429" s="61" t="str">
        <f aca="false">IF(IsPro,IF($D2429="","",ROUND(N($E2429)*K2429*(1-N($G2429)),2)),"")</f>
        <v/>
      </c>
      <c r="M2429" s="62" t="str">
        <f aca="false">IF(IsPro,IF($D2429="","",IFERROR(INDEX(Items!$F$5:$F$504,U2429),0)),"")</f>
        <v/>
      </c>
      <c r="N2429" s="61" t="str">
        <f aca="false">IF(IsPro,IF($D2429="","",IF(AND(V2429&lt;&gt;"",INDEX(Parties!$E$5:$E$304,V2429)&lt;&gt;"",INDEX(Parties!$E$5:$E$304,V2429)&lt;&gt;HomeState),0,ROUND(L2429*M2429/2,2))),"")</f>
        <v/>
      </c>
      <c r="O2429" s="61" t="str">
        <f aca="false">IF(IsPro,IF($D2429="","",N2429),"")</f>
        <v/>
      </c>
      <c r="P2429" s="61" t="str">
        <f aca="false">IF(IsPro,IF($D2429="","",IF(AND(V2429&lt;&gt;"",INDEX(Parties!$E$5:$E$304,V2429)&lt;&gt;"",INDEX(Parties!$E$5:$E$304,V2429)&lt;&gt;HomeState),ROUND(L2429*M2429,2),0)),"")</f>
        <v/>
      </c>
      <c r="Q2429" s="61" t="str">
        <f aca="false">IF(IsPro,IF($D2429="","",L2429+N2429+O2429+P2429),"")</f>
        <v/>
      </c>
      <c r="R2429" s="61" t="str">
        <f aca="false">IF(IsPro,IF($D2429="","",ROUND(N($E2429)*IFERROR(INDEX(Items!$P$5:$P$504,U2429),0),2)),"")</f>
        <v/>
      </c>
      <c r="S2429" s="61" t="str">
        <f aca="false">IF(IsPro,IF($D2429="","",L2429-R2429),"")</f>
        <v/>
      </c>
      <c r="T2429" s="60" t="str">
        <f aca="false">IF(IsPro,IF($D2429="","",IF(U2429="","UNKNOWN ITEM",IF(INDEX(Items!$O$5:$O$504,U2429)&lt;0,"NEG STOCK",IF(K2429&lt;INDEX(Items!$P$5:$P$504,U2429),"BELOW COST","OK")))),IF($D2429="","","PRO PLAN"))</f>
        <v/>
      </c>
      <c r="U2429" s="60" t="str">
        <f aca="false">IF(IsPro,IF($D2429="","",IFERROR(MATCH($D2429,Items!$A$5:$A$504,0),"")),"")</f>
        <v/>
      </c>
      <c r="V2429" s="60" t="str">
        <f aca="false">IF(IsPro,IF($C2429="","",IFERROR(MATCH($C2429,Parties!$A$5:$A$304,0),"")),"")</f>
        <v/>
      </c>
      <c r="W2429" s="60" t="str">
        <f aca="false">IF(IsPro,IF($B2429="","",IFERROR(VALUE(SUBSTITUTE($B2429,InvPrefix,"")),0)),"")</f>
        <v/>
      </c>
      <c r="X2429" s="61" t="str">
        <f aca="false">IF(IsPro,IF($D2429="","",IF(OR($H2429="",$H2429="Credit"),0,Q2429)),"")</f>
        <v/>
      </c>
    </row>
    <row r="2430" customFormat="false" ht="15" hidden="false" customHeight="false" outlineLevel="0" collapsed="false">
      <c r="A2430" s="55"/>
      <c r="B2430" s="56"/>
      <c r="C2430" s="56"/>
      <c r="D2430" s="56"/>
      <c r="E2430" s="57"/>
      <c r="F2430" s="58"/>
      <c r="G2430" s="59"/>
      <c r="H2430" s="56"/>
      <c r="I2430" s="56"/>
      <c r="J2430" s="60" t="str">
        <f aca="false">IF(IsPro,IF($D2430="","",IFERROR(INDEX(Items!$D$5:$D$504,U2430),"")),"")</f>
        <v/>
      </c>
      <c r="K2430" s="61" t="str">
        <f aca="false">IF(IsPro,IF($D2430="","",IF($F2430="",IFERROR(INDEX(Items!$H$5:$H$504,U2430),0),$F2430)),"")</f>
        <v/>
      </c>
      <c r="L2430" s="61" t="str">
        <f aca="false">IF(IsPro,IF($D2430="","",ROUND(N($E2430)*K2430*(1-N($G2430)),2)),"")</f>
        <v/>
      </c>
      <c r="M2430" s="62" t="str">
        <f aca="false">IF(IsPro,IF($D2430="","",IFERROR(INDEX(Items!$F$5:$F$504,U2430),0)),"")</f>
        <v/>
      </c>
      <c r="N2430" s="61" t="str">
        <f aca="false">IF(IsPro,IF($D2430="","",IF(AND(V2430&lt;&gt;"",INDEX(Parties!$E$5:$E$304,V2430)&lt;&gt;"",INDEX(Parties!$E$5:$E$304,V2430)&lt;&gt;HomeState),0,ROUND(L2430*M2430/2,2))),"")</f>
        <v/>
      </c>
      <c r="O2430" s="61" t="str">
        <f aca="false">IF(IsPro,IF($D2430="","",N2430),"")</f>
        <v/>
      </c>
      <c r="P2430" s="61" t="str">
        <f aca="false">IF(IsPro,IF($D2430="","",IF(AND(V2430&lt;&gt;"",INDEX(Parties!$E$5:$E$304,V2430)&lt;&gt;"",INDEX(Parties!$E$5:$E$304,V2430)&lt;&gt;HomeState),ROUND(L2430*M2430,2),0)),"")</f>
        <v/>
      </c>
      <c r="Q2430" s="61" t="str">
        <f aca="false">IF(IsPro,IF($D2430="","",L2430+N2430+O2430+P2430),"")</f>
        <v/>
      </c>
      <c r="R2430" s="61" t="str">
        <f aca="false">IF(IsPro,IF($D2430="","",ROUND(N($E2430)*IFERROR(INDEX(Items!$P$5:$P$504,U2430),0),2)),"")</f>
        <v/>
      </c>
      <c r="S2430" s="61" t="str">
        <f aca="false">IF(IsPro,IF($D2430="","",L2430-R2430),"")</f>
        <v/>
      </c>
      <c r="T2430" s="60" t="str">
        <f aca="false">IF(IsPro,IF($D2430="","",IF(U2430="","UNKNOWN ITEM",IF(INDEX(Items!$O$5:$O$504,U2430)&lt;0,"NEG STOCK",IF(K2430&lt;INDEX(Items!$P$5:$P$504,U2430),"BELOW COST","OK")))),IF($D2430="","","PRO PLAN"))</f>
        <v/>
      </c>
      <c r="U2430" s="60" t="str">
        <f aca="false">IF(IsPro,IF($D2430="","",IFERROR(MATCH($D2430,Items!$A$5:$A$504,0),"")),"")</f>
        <v/>
      </c>
      <c r="V2430" s="60" t="str">
        <f aca="false">IF(IsPro,IF($C2430="","",IFERROR(MATCH($C2430,Parties!$A$5:$A$304,0),"")),"")</f>
        <v/>
      </c>
      <c r="W2430" s="60" t="str">
        <f aca="false">IF(IsPro,IF($B2430="","",IFERROR(VALUE(SUBSTITUTE($B2430,InvPrefix,"")),0)),"")</f>
        <v/>
      </c>
      <c r="X2430" s="61" t="str">
        <f aca="false">IF(IsPro,IF($D2430="","",IF(OR($H2430="",$H2430="Credit"),0,Q2430)),"")</f>
        <v/>
      </c>
    </row>
    <row r="2431" customFormat="false" ht="15" hidden="false" customHeight="false" outlineLevel="0" collapsed="false">
      <c r="A2431" s="55"/>
      <c r="B2431" s="56"/>
      <c r="C2431" s="56"/>
      <c r="D2431" s="56"/>
      <c r="E2431" s="57"/>
      <c r="F2431" s="58"/>
      <c r="G2431" s="59"/>
      <c r="H2431" s="56"/>
      <c r="I2431" s="56"/>
      <c r="J2431" s="60" t="str">
        <f aca="false">IF(IsPro,IF($D2431="","",IFERROR(INDEX(Items!$D$5:$D$504,U2431),"")),"")</f>
        <v/>
      </c>
      <c r="K2431" s="61" t="str">
        <f aca="false">IF(IsPro,IF($D2431="","",IF($F2431="",IFERROR(INDEX(Items!$H$5:$H$504,U2431),0),$F2431)),"")</f>
        <v/>
      </c>
      <c r="L2431" s="61" t="str">
        <f aca="false">IF(IsPro,IF($D2431="","",ROUND(N($E2431)*K2431*(1-N($G2431)),2)),"")</f>
        <v/>
      </c>
      <c r="M2431" s="62" t="str">
        <f aca="false">IF(IsPro,IF($D2431="","",IFERROR(INDEX(Items!$F$5:$F$504,U2431),0)),"")</f>
        <v/>
      </c>
      <c r="N2431" s="61" t="str">
        <f aca="false">IF(IsPro,IF($D2431="","",IF(AND(V2431&lt;&gt;"",INDEX(Parties!$E$5:$E$304,V2431)&lt;&gt;"",INDEX(Parties!$E$5:$E$304,V2431)&lt;&gt;HomeState),0,ROUND(L2431*M2431/2,2))),"")</f>
        <v/>
      </c>
      <c r="O2431" s="61" t="str">
        <f aca="false">IF(IsPro,IF($D2431="","",N2431),"")</f>
        <v/>
      </c>
      <c r="P2431" s="61" t="str">
        <f aca="false">IF(IsPro,IF($D2431="","",IF(AND(V2431&lt;&gt;"",INDEX(Parties!$E$5:$E$304,V2431)&lt;&gt;"",INDEX(Parties!$E$5:$E$304,V2431)&lt;&gt;HomeState),ROUND(L2431*M2431,2),0)),"")</f>
        <v/>
      </c>
      <c r="Q2431" s="61" t="str">
        <f aca="false">IF(IsPro,IF($D2431="","",L2431+N2431+O2431+P2431),"")</f>
        <v/>
      </c>
      <c r="R2431" s="61" t="str">
        <f aca="false">IF(IsPro,IF($D2431="","",ROUND(N($E2431)*IFERROR(INDEX(Items!$P$5:$P$504,U2431),0),2)),"")</f>
        <v/>
      </c>
      <c r="S2431" s="61" t="str">
        <f aca="false">IF(IsPro,IF($D2431="","",L2431-R2431),"")</f>
        <v/>
      </c>
      <c r="T2431" s="60" t="str">
        <f aca="false">IF(IsPro,IF($D2431="","",IF(U2431="","UNKNOWN ITEM",IF(INDEX(Items!$O$5:$O$504,U2431)&lt;0,"NEG STOCK",IF(K2431&lt;INDEX(Items!$P$5:$P$504,U2431),"BELOW COST","OK")))),IF($D2431="","","PRO PLAN"))</f>
        <v/>
      </c>
      <c r="U2431" s="60" t="str">
        <f aca="false">IF(IsPro,IF($D2431="","",IFERROR(MATCH($D2431,Items!$A$5:$A$504,0),"")),"")</f>
        <v/>
      </c>
      <c r="V2431" s="60" t="str">
        <f aca="false">IF(IsPro,IF($C2431="","",IFERROR(MATCH($C2431,Parties!$A$5:$A$304,0),"")),"")</f>
        <v/>
      </c>
      <c r="W2431" s="60" t="str">
        <f aca="false">IF(IsPro,IF($B2431="","",IFERROR(VALUE(SUBSTITUTE($B2431,InvPrefix,"")),0)),"")</f>
        <v/>
      </c>
      <c r="X2431" s="61" t="str">
        <f aca="false">IF(IsPro,IF($D2431="","",IF(OR($H2431="",$H2431="Credit"),0,Q2431)),"")</f>
        <v/>
      </c>
    </row>
    <row r="2432" customFormat="false" ht="15" hidden="false" customHeight="false" outlineLevel="0" collapsed="false">
      <c r="A2432" s="55"/>
      <c r="B2432" s="56"/>
      <c r="C2432" s="56"/>
      <c r="D2432" s="56"/>
      <c r="E2432" s="57"/>
      <c r="F2432" s="58"/>
      <c r="G2432" s="59"/>
      <c r="H2432" s="56"/>
      <c r="I2432" s="56"/>
      <c r="J2432" s="60" t="str">
        <f aca="false">IF(IsPro,IF($D2432="","",IFERROR(INDEX(Items!$D$5:$D$504,U2432),"")),"")</f>
        <v/>
      </c>
      <c r="K2432" s="61" t="str">
        <f aca="false">IF(IsPro,IF($D2432="","",IF($F2432="",IFERROR(INDEX(Items!$H$5:$H$504,U2432),0),$F2432)),"")</f>
        <v/>
      </c>
      <c r="L2432" s="61" t="str">
        <f aca="false">IF(IsPro,IF($D2432="","",ROUND(N($E2432)*K2432*(1-N($G2432)),2)),"")</f>
        <v/>
      </c>
      <c r="M2432" s="62" t="str">
        <f aca="false">IF(IsPro,IF($D2432="","",IFERROR(INDEX(Items!$F$5:$F$504,U2432),0)),"")</f>
        <v/>
      </c>
      <c r="N2432" s="61" t="str">
        <f aca="false">IF(IsPro,IF($D2432="","",IF(AND(V2432&lt;&gt;"",INDEX(Parties!$E$5:$E$304,V2432)&lt;&gt;"",INDEX(Parties!$E$5:$E$304,V2432)&lt;&gt;HomeState),0,ROUND(L2432*M2432/2,2))),"")</f>
        <v/>
      </c>
      <c r="O2432" s="61" t="str">
        <f aca="false">IF(IsPro,IF($D2432="","",N2432),"")</f>
        <v/>
      </c>
      <c r="P2432" s="61" t="str">
        <f aca="false">IF(IsPro,IF($D2432="","",IF(AND(V2432&lt;&gt;"",INDEX(Parties!$E$5:$E$304,V2432)&lt;&gt;"",INDEX(Parties!$E$5:$E$304,V2432)&lt;&gt;HomeState),ROUND(L2432*M2432,2),0)),"")</f>
        <v/>
      </c>
      <c r="Q2432" s="61" t="str">
        <f aca="false">IF(IsPro,IF($D2432="","",L2432+N2432+O2432+P2432),"")</f>
        <v/>
      </c>
      <c r="R2432" s="61" t="str">
        <f aca="false">IF(IsPro,IF($D2432="","",ROUND(N($E2432)*IFERROR(INDEX(Items!$P$5:$P$504,U2432),0),2)),"")</f>
        <v/>
      </c>
      <c r="S2432" s="61" t="str">
        <f aca="false">IF(IsPro,IF($D2432="","",L2432-R2432),"")</f>
        <v/>
      </c>
      <c r="T2432" s="60" t="str">
        <f aca="false">IF(IsPro,IF($D2432="","",IF(U2432="","UNKNOWN ITEM",IF(INDEX(Items!$O$5:$O$504,U2432)&lt;0,"NEG STOCK",IF(K2432&lt;INDEX(Items!$P$5:$P$504,U2432),"BELOW COST","OK")))),IF($D2432="","","PRO PLAN"))</f>
        <v/>
      </c>
      <c r="U2432" s="60" t="str">
        <f aca="false">IF(IsPro,IF($D2432="","",IFERROR(MATCH($D2432,Items!$A$5:$A$504,0),"")),"")</f>
        <v/>
      </c>
      <c r="V2432" s="60" t="str">
        <f aca="false">IF(IsPro,IF($C2432="","",IFERROR(MATCH($C2432,Parties!$A$5:$A$304,0),"")),"")</f>
        <v/>
      </c>
      <c r="W2432" s="60" t="str">
        <f aca="false">IF(IsPro,IF($B2432="","",IFERROR(VALUE(SUBSTITUTE($B2432,InvPrefix,"")),0)),"")</f>
        <v/>
      </c>
      <c r="X2432" s="61" t="str">
        <f aca="false">IF(IsPro,IF($D2432="","",IF(OR($H2432="",$H2432="Credit"),0,Q2432)),"")</f>
        <v/>
      </c>
    </row>
    <row r="2433" customFormat="false" ht="15" hidden="false" customHeight="false" outlineLevel="0" collapsed="false">
      <c r="A2433" s="55"/>
      <c r="B2433" s="56"/>
      <c r="C2433" s="56"/>
      <c r="D2433" s="56"/>
      <c r="E2433" s="57"/>
      <c r="F2433" s="58"/>
      <c r="G2433" s="59"/>
      <c r="H2433" s="56"/>
      <c r="I2433" s="56"/>
      <c r="J2433" s="60" t="str">
        <f aca="false">IF(IsPro,IF($D2433="","",IFERROR(INDEX(Items!$D$5:$D$504,U2433),"")),"")</f>
        <v/>
      </c>
      <c r="K2433" s="61" t="str">
        <f aca="false">IF(IsPro,IF($D2433="","",IF($F2433="",IFERROR(INDEX(Items!$H$5:$H$504,U2433),0),$F2433)),"")</f>
        <v/>
      </c>
      <c r="L2433" s="61" t="str">
        <f aca="false">IF(IsPro,IF($D2433="","",ROUND(N($E2433)*K2433*(1-N($G2433)),2)),"")</f>
        <v/>
      </c>
      <c r="M2433" s="62" t="str">
        <f aca="false">IF(IsPro,IF($D2433="","",IFERROR(INDEX(Items!$F$5:$F$504,U2433),0)),"")</f>
        <v/>
      </c>
      <c r="N2433" s="61" t="str">
        <f aca="false">IF(IsPro,IF($D2433="","",IF(AND(V2433&lt;&gt;"",INDEX(Parties!$E$5:$E$304,V2433)&lt;&gt;"",INDEX(Parties!$E$5:$E$304,V2433)&lt;&gt;HomeState),0,ROUND(L2433*M2433/2,2))),"")</f>
        <v/>
      </c>
      <c r="O2433" s="61" t="str">
        <f aca="false">IF(IsPro,IF($D2433="","",N2433),"")</f>
        <v/>
      </c>
      <c r="P2433" s="61" t="str">
        <f aca="false">IF(IsPro,IF($D2433="","",IF(AND(V2433&lt;&gt;"",INDEX(Parties!$E$5:$E$304,V2433)&lt;&gt;"",INDEX(Parties!$E$5:$E$304,V2433)&lt;&gt;HomeState),ROUND(L2433*M2433,2),0)),"")</f>
        <v/>
      </c>
      <c r="Q2433" s="61" t="str">
        <f aca="false">IF(IsPro,IF($D2433="","",L2433+N2433+O2433+P2433),"")</f>
        <v/>
      </c>
      <c r="R2433" s="61" t="str">
        <f aca="false">IF(IsPro,IF($D2433="","",ROUND(N($E2433)*IFERROR(INDEX(Items!$P$5:$P$504,U2433),0),2)),"")</f>
        <v/>
      </c>
      <c r="S2433" s="61" t="str">
        <f aca="false">IF(IsPro,IF($D2433="","",L2433-R2433),"")</f>
        <v/>
      </c>
      <c r="T2433" s="60" t="str">
        <f aca="false">IF(IsPro,IF($D2433="","",IF(U2433="","UNKNOWN ITEM",IF(INDEX(Items!$O$5:$O$504,U2433)&lt;0,"NEG STOCK",IF(K2433&lt;INDEX(Items!$P$5:$P$504,U2433),"BELOW COST","OK")))),IF($D2433="","","PRO PLAN"))</f>
        <v/>
      </c>
      <c r="U2433" s="60" t="str">
        <f aca="false">IF(IsPro,IF($D2433="","",IFERROR(MATCH($D2433,Items!$A$5:$A$504,0),"")),"")</f>
        <v/>
      </c>
      <c r="V2433" s="60" t="str">
        <f aca="false">IF(IsPro,IF($C2433="","",IFERROR(MATCH($C2433,Parties!$A$5:$A$304,0),"")),"")</f>
        <v/>
      </c>
      <c r="W2433" s="60" t="str">
        <f aca="false">IF(IsPro,IF($B2433="","",IFERROR(VALUE(SUBSTITUTE($B2433,InvPrefix,"")),0)),"")</f>
        <v/>
      </c>
      <c r="X2433" s="61" t="str">
        <f aca="false">IF(IsPro,IF($D2433="","",IF(OR($H2433="",$H2433="Credit"),0,Q2433)),"")</f>
        <v/>
      </c>
    </row>
    <row r="2434" customFormat="false" ht="15" hidden="false" customHeight="false" outlineLevel="0" collapsed="false">
      <c r="A2434" s="55"/>
      <c r="B2434" s="56"/>
      <c r="C2434" s="56"/>
      <c r="D2434" s="56"/>
      <c r="E2434" s="57"/>
      <c r="F2434" s="58"/>
      <c r="G2434" s="59"/>
      <c r="H2434" s="56"/>
      <c r="I2434" s="56"/>
      <c r="J2434" s="60" t="str">
        <f aca="false">IF(IsPro,IF($D2434="","",IFERROR(INDEX(Items!$D$5:$D$504,U2434),"")),"")</f>
        <v/>
      </c>
      <c r="K2434" s="61" t="str">
        <f aca="false">IF(IsPro,IF($D2434="","",IF($F2434="",IFERROR(INDEX(Items!$H$5:$H$504,U2434),0),$F2434)),"")</f>
        <v/>
      </c>
      <c r="L2434" s="61" t="str">
        <f aca="false">IF(IsPro,IF($D2434="","",ROUND(N($E2434)*K2434*(1-N($G2434)),2)),"")</f>
        <v/>
      </c>
      <c r="M2434" s="62" t="str">
        <f aca="false">IF(IsPro,IF($D2434="","",IFERROR(INDEX(Items!$F$5:$F$504,U2434),0)),"")</f>
        <v/>
      </c>
      <c r="N2434" s="61" t="str">
        <f aca="false">IF(IsPro,IF($D2434="","",IF(AND(V2434&lt;&gt;"",INDEX(Parties!$E$5:$E$304,V2434)&lt;&gt;"",INDEX(Parties!$E$5:$E$304,V2434)&lt;&gt;HomeState),0,ROUND(L2434*M2434/2,2))),"")</f>
        <v/>
      </c>
      <c r="O2434" s="61" t="str">
        <f aca="false">IF(IsPro,IF($D2434="","",N2434),"")</f>
        <v/>
      </c>
      <c r="P2434" s="61" t="str">
        <f aca="false">IF(IsPro,IF($D2434="","",IF(AND(V2434&lt;&gt;"",INDEX(Parties!$E$5:$E$304,V2434)&lt;&gt;"",INDEX(Parties!$E$5:$E$304,V2434)&lt;&gt;HomeState),ROUND(L2434*M2434,2),0)),"")</f>
        <v/>
      </c>
      <c r="Q2434" s="61" t="str">
        <f aca="false">IF(IsPro,IF($D2434="","",L2434+N2434+O2434+P2434),"")</f>
        <v/>
      </c>
      <c r="R2434" s="61" t="str">
        <f aca="false">IF(IsPro,IF($D2434="","",ROUND(N($E2434)*IFERROR(INDEX(Items!$P$5:$P$504,U2434),0),2)),"")</f>
        <v/>
      </c>
      <c r="S2434" s="61" t="str">
        <f aca="false">IF(IsPro,IF($D2434="","",L2434-R2434),"")</f>
        <v/>
      </c>
      <c r="T2434" s="60" t="str">
        <f aca="false">IF(IsPro,IF($D2434="","",IF(U2434="","UNKNOWN ITEM",IF(INDEX(Items!$O$5:$O$504,U2434)&lt;0,"NEG STOCK",IF(K2434&lt;INDEX(Items!$P$5:$P$504,U2434),"BELOW COST","OK")))),IF($D2434="","","PRO PLAN"))</f>
        <v/>
      </c>
      <c r="U2434" s="60" t="str">
        <f aca="false">IF(IsPro,IF($D2434="","",IFERROR(MATCH($D2434,Items!$A$5:$A$504,0),"")),"")</f>
        <v/>
      </c>
      <c r="V2434" s="60" t="str">
        <f aca="false">IF(IsPro,IF($C2434="","",IFERROR(MATCH($C2434,Parties!$A$5:$A$304,0),"")),"")</f>
        <v/>
      </c>
      <c r="W2434" s="60" t="str">
        <f aca="false">IF(IsPro,IF($B2434="","",IFERROR(VALUE(SUBSTITUTE($B2434,InvPrefix,"")),0)),"")</f>
        <v/>
      </c>
      <c r="X2434" s="61" t="str">
        <f aca="false">IF(IsPro,IF($D2434="","",IF(OR($H2434="",$H2434="Credit"),0,Q2434)),"")</f>
        <v/>
      </c>
    </row>
    <row r="2435" customFormat="false" ht="15" hidden="false" customHeight="false" outlineLevel="0" collapsed="false">
      <c r="A2435" s="55"/>
      <c r="B2435" s="56"/>
      <c r="C2435" s="56"/>
      <c r="D2435" s="56"/>
      <c r="E2435" s="57"/>
      <c r="F2435" s="58"/>
      <c r="G2435" s="59"/>
      <c r="H2435" s="56"/>
      <c r="I2435" s="56"/>
      <c r="J2435" s="60" t="str">
        <f aca="false">IF(IsPro,IF($D2435="","",IFERROR(INDEX(Items!$D$5:$D$504,U2435),"")),"")</f>
        <v/>
      </c>
      <c r="K2435" s="61" t="str">
        <f aca="false">IF(IsPro,IF($D2435="","",IF($F2435="",IFERROR(INDEX(Items!$H$5:$H$504,U2435),0),$F2435)),"")</f>
        <v/>
      </c>
      <c r="L2435" s="61" t="str">
        <f aca="false">IF(IsPro,IF($D2435="","",ROUND(N($E2435)*K2435*(1-N($G2435)),2)),"")</f>
        <v/>
      </c>
      <c r="M2435" s="62" t="str">
        <f aca="false">IF(IsPro,IF($D2435="","",IFERROR(INDEX(Items!$F$5:$F$504,U2435),0)),"")</f>
        <v/>
      </c>
      <c r="N2435" s="61" t="str">
        <f aca="false">IF(IsPro,IF($D2435="","",IF(AND(V2435&lt;&gt;"",INDEX(Parties!$E$5:$E$304,V2435)&lt;&gt;"",INDEX(Parties!$E$5:$E$304,V2435)&lt;&gt;HomeState),0,ROUND(L2435*M2435/2,2))),"")</f>
        <v/>
      </c>
      <c r="O2435" s="61" t="str">
        <f aca="false">IF(IsPro,IF($D2435="","",N2435),"")</f>
        <v/>
      </c>
      <c r="P2435" s="61" t="str">
        <f aca="false">IF(IsPro,IF($D2435="","",IF(AND(V2435&lt;&gt;"",INDEX(Parties!$E$5:$E$304,V2435)&lt;&gt;"",INDEX(Parties!$E$5:$E$304,V2435)&lt;&gt;HomeState),ROUND(L2435*M2435,2),0)),"")</f>
        <v/>
      </c>
      <c r="Q2435" s="61" t="str">
        <f aca="false">IF(IsPro,IF($D2435="","",L2435+N2435+O2435+P2435),"")</f>
        <v/>
      </c>
      <c r="R2435" s="61" t="str">
        <f aca="false">IF(IsPro,IF($D2435="","",ROUND(N($E2435)*IFERROR(INDEX(Items!$P$5:$P$504,U2435),0),2)),"")</f>
        <v/>
      </c>
      <c r="S2435" s="61" t="str">
        <f aca="false">IF(IsPro,IF($D2435="","",L2435-R2435),"")</f>
        <v/>
      </c>
      <c r="T2435" s="60" t="str">
        <f aca="false">IF(IsPro,IF($D2435="","",IF(U2435="","UNKNOWN ITEM",IF(INDEX(Items!$O$5:$O$504,U2435)&lt;0,"NEG STOCK",IF(K2435&lt;INDEX(Items!$P$5:$P$504,U2435),"BELOW COST","OK")))),IF($D2435="","","PRO PLAN"))</f>
        <v/>
      </c>
      <c r="U2435" s="60" t="str">
        <f aca="false">IF(IsPro,IF($D2435="","",IFERROR(MATCH($D2435,Items!$A$5:$A$504,0),"")),"")</f>
        <v/>
      </c>
      <c r="V2435" s="60" t="str">
        <f aca="false">IF(IsPro,IF($C2435="","",IFERROR(MATCH($C2435,Parties!$A$5:$A$304,0),"")),"")</f>
        <v/>
      </c>
      <c r="W2435" s="60" t="str">
        <f aca="false">IF(IsPro,IF($B2435="","",IFERROR(VALUE(SUBSTITUTE($B2435,InvPrefix,"")),0)),"")</f>
        <v/>
      </c>
      <c r="X2435" s="61" t="str">
        <f aca="false">IF(IsPro,IF($D2435="","",IF(OR($H2435="",$H2435="Credit"),0,Q2435)),"")</f>
        <v/>
      </c>
    </row>
    <row r="2436" customFormat="false" ht="15" hidden="false" customHeight="false" outlineLevel="0" collapsed="false">
      <c r="A2436" s="55"/>
      <c r="B2436" s="56"/>
      <c r="C2436" s="56"/>
      <c r="D2436" s="56"/>
      <c r="E2436" s="57"/>
      <c r="F2436" s="58"/>
      <c r="G2436" s="59"/>
      <c r="H2436" s="56"/>
      <c r="I2436" s="56"/>
      <c r="J2436" s="60" t="str">
        <f aca="false">IF(IsPro,IF($D2436="","",IFERROR(INDEX(Items!$D$5:$D$504,U2436),"")),"")</f>
        <v/>
      </c>
      <c r="K2436" s="61" t="str">
        <f aca="false">IF(IsPro,IF($D2436="","",IF($F2436="",IFERROR(INDEX(Items!$H$5:$H$504,U2436),0),$F2436)),"")</f>
        <v/>
      </c>
      <c r="L2436" s="61" t="str">
        <f aca="false">IF(IsPro,IF($D2436="","",ROUND(N($E2436)*K2436*(1-N($G2436)),2)),"")</f>
        <v/>
      </c>
      <c r="M2436" s="62" t="str">
        <f aca="false">IF(IsPro,IF($D2436="","",IFERROR(INDEX(Items!$F$5:$F$504,U2436),0)),"")</f>
        <v/>
      </c>
      <c r="N2436" s="61" t="str">
        <f aca="false">IF(IsPro,IF($D2436="","",IF(AND(V2436&lt;&gt;"",INDEX(Parties!$E$5:$E$304,V2436)&lt;&gt;"",INDEX(Parties!$E$5:$E$304,V2436)&lt;&gt;HomeState),0,ROUND(L2436*M2436/2,2))),"")</f>
        <v/>
      </c>
      <c r="O2436" s="61" t="str">
        <f aca="false">IF(IsPro,IF($D2436="","",N2436),"")</f>
        <v/>
      </c>
      <c r="P2436" s="61" t="str">
        <f aca="false">IF(IsPro,IF($D2436="","",IF(AND(V2436&lt;&gt;"",INDEX(Parties!$E$5:$E$304,V2436)&lt;&gt;"",INDEX(Parties!$E$5:$E$304,V2436)&lt;&gt;HomeState),ROUND(L2436*M2436,2),0)),"")</f>
        <v/>
      </c>
      <c r="Q2436" s="61" t="str">
        <f aca="false">IF(IsPro,IF($D2436="","",L2436+N2436+O2436+P2436),"")</f>
        <v/>
      </c>
      <c r="R2436" s="61" t="str">
        <f aca="false">IF(IsPro,IF($D2436="","",ROUND(N($E2436)*IFERROR(INDEX(Items!$P$5:$P$504,U2436),0),2)),"")</f>
        <v/>
      </c>
      <c r="S2436" s="61" t="str">
        <f aca="false">IF(IsPro,IF($D2436="","",L2436-R2436),"")</f>
        <v/>
      </c>
      <c r="T2436" s="60" t="str">
        <f aca="false">IF(IsPro,IF($D2436="","",IF(U2436="","UNKNOWN ITEM",IF(INDEX(Items!$O$5:$O$504,U2436)&lt;0,"NEG STOCK",IF(K2436&lt;INDEX(Items!$P$5:$P$504,U2436),"BELOW COST","OK")))),IF($D2436="","","PRO PLAN"))</f>
        <v/>
      </c>
      <c r="U2436" s="60" t="str">
        <f aca="false">IF(IsPro,IF($D2436="","",IFERROR(MATCH($D2436,Items!$A$5:$A$504,0),"")),"")</f>
        <v/>
      </c>
      <c r="V2436" s="60" t="str">
        <f aca="false">IF(IsPro,IF($C2436="","",IFERROR(MATCH($C2436,Parties!$A$5:$A$304,0),"")),"")</f>
        <v/>
      </c>
      <c r="W2436" s="60" t="str">
        <f aca="false">IF(IsPro,IF($B2436="","",IFERROR(VALUE(SUBSTITUTE($B2436,InvPrefix,"")),0)),"")</f>
        <v/>
      </c>
      <c r="X2436" s="61" t="str">
        <f aca="false">IF(IsPro,IF($D2436="","",IF(OR($H2436="",$H2436="Credit"),0,Q2436)),"")</f>
        <v/>
      </c>
    </row>
    <row r="2437" customFormat="false" ht="15" hidden="false" customHeight="false" outlineLevel="0" collapsed="false">
      <c r="A2437" s="55"/>
      <c r="B2437" s="56"/>
      <c r="C2437" s="56"/>
      <c r="D2437" s="56"/>
      <c r="E2437" s="57"/>
      <c r="F2437" s="58"/>
      <c r="G2437" s="59"/>
      <c r="H2437" s="56"/>
      <c r="I2437" s="56"/>
      <c r="J2437" s="60" t="str">
        <f aca="false">IF(IsPro,IF($D2437="","",IFERROR(INDEX(Items!$D$5:$D$504,U2437),"")),"")</f>
        <v/>
      </c>
      <c r="K2437" s="61" t="str">
        <f aca="false">IF(IsPro,IF($D2437="","",IF($F2437="",IFERROR(INDEX(Items!$H$5:$H$504,U2437),0),$F2437)),"")</f>
        <v/>
      </c>
      <c r="L2437" s="61" t="str">
        <f aca="false">IF(IsPro,IF($D2437="","",ROUND(N($E2437)*K2437*(1-N($G2437)),2)),"")</f>
        <v/>
      </c>
      <c r="M2437" s="62" t="str">
        <f aca="false">IF(IsPro,IF($D2437="","",IFERROR(INDEX(Items!$F$5:$F$504,U2437),0)),"")</f>
        <v/>
      </c>
      <c r="N2437" s="61" t="str">
        <f aca="false">IF(IsPro,IF($D2437="","",IF(AND(V2437&lt;&gt;"",INDEX(Parties!$E$5:$E$304,V2437)&lt;&gt;"",INDEX(Parties!$E$5:$E$304,V2437)&lt;&gt;HomeState),0,ROUND(L2437*M2437/2,2))),"")</f>
        <v/>
      </c>
      <c r="O2437" s="61" t="str">
        <f aca="false">IF(IsPro,IF($D2437="","",N2437),"")</f>
        <v/>
      </c>
      <c r="P2437" s="61" t="str">
        <f aca="false">IF(IsPro,IF($D2437="","",IF(AND(V2437&lt;&gt;"",INDEX(Parties!$E$5:$E$304,V2437)&lt;&gt;"",INDEX(Parties!$E$5:$E$304,V2437)&lt;&gt;HomeState),ROUND(L2437*M2437,2),0)),"")</f>
        <v/>
      </c>
      <c r="Q2437" s="61" t="str">
        <f aca="false">IF(IsPro,IF($D2437="","",L2437+N2437+O2437+P2437),"")</f>
        <v/>
      </c>
      <c r="R2437" s="61" t="str">
        <f aca="false">IF(IsPro,IF($D2437="","",ROUND(N($E2437)*IFERROR(INDEX(Items!$P$5:$P$504,U2437),0),2)),"")</f>
        <v/>
      </c>
      <c r="S2437" s="61" t="str">
        <f aca="false">IF(IsPro,IF($D2437="","",L2437-R2437),"")</f>
        <v/>
      </c>
      <c r="T2437" s="60" t="str">
        <f aca="false">IF(IsPro,IF($D2437="","",IF(U2437="","UNKNOWN ITEM",IF(INDEX(Items!$O$5:$O$504,U2437)&lt;0,"NEG STOCK",IF(K2437&lt;INDEX(Items!$P$5:$P$504,U2437),"BELOW COST","OK")))),IF($D2437="","","PRO PLAN"))</f>
        <v/>
      </c>
      <c r="U2437" s="60" t="str">
        <f aca="false">IF(IsPro,IF($D2437="","",IFERROR(MATCH($D2437,Items!$A$5:$A$504,0),"")),"")</f>
        <v/>
      </c>
      <c r="V2437" s="60" t="str">
        <f aca="false">IF(IsPro,IF($C2437="","",IFERROR(MATCH($C2437,Parties!$A$5:$A$304,0),"")),"")</f>
        <v/>
      </c>
      <c r="W2437" s="60" t="str">
        <f aca="false">IF(IsPro,IF($B2437="","",IFERROR(VALUE(SUBSTITUTE($B2437,InvPrefix,"")),0)),"")</f>
        <v/>
      </c>
      <c r="X2437" s="61" t="str">
        <f aca="false">IF(IsPro,IF($D2437="","",IF(OR($H2437="",$H2437="Credit"),0,Q2437)),"")</f>
        <v/>
      </c>
    </row>
    <row r="2438" customFormat="false" ht="15" hidden="false" customHeight="false" outlineLevel="0" collapsed="false">
      <c r="A2438" s="55"/>
      <c r="B2438" s="56"/>
      <c r="C2438" s="56"/>
      <c r="D2438" s="56"/>
      <c r="E2438" s="57"/>
      <c r="F2438" s="58"/>
      <c r="G2438" s="59"/>
      <c r="H2438" s="56"/>
      <c r="I2438" s="56"/>
      <c r="J2438" s="60" t="str">
        <f aca="false">IF(IsPro,IF($D2438="","",IFERROR(INDEX(Items!$D$5:$D$504,U2438),"")),"")</f>
        <v/>
      </c>
      <c r="K2438" s="61" t="str">
        <f aca="false">IF(IsPro,IF($D2438="","",IF($F2438="",IFERROR(INDEX(Items!$H$5:$H$504,U2438),0),$F2438)),"")</f>
        <v/>
      </c>
      <c r="L2438" s="61" t="str">
        <f aca="false">IF(IsPro,IF($D2438="","",ROUND(N($E2438)*K2438*(1-N($G2438)),2)),"")</f>
        <v/>
      </c>
      <c r="M2438" s="62" t="str">
        <f aca="false">IF(IsPro,IF($D2438="","",IFERROR(INDEX(Items!$F$5:$F$504,U2438),0)),"")</f>
        <v/>
      </c>
      <c r="N2438" s="61" t="str">
        <f aca="false">IF(IsPro,IF($D2438="","",IF(AND(V2438&lt;&gt;"",INDEX(Parties!$E$5:$E$304,V2438)&lt;&gt;"",INDEX(Parties!$E$5:$E$304,V2438)&lt;&gt;HomeState),0,ROUND(L2438*M2438/2,2))),"")</f>
        <v/>
      </c>
      <c r="O2438" s="61" t="str">
        <f aca="false">IF(IsPro,IF($D2438="","",N2438),"")</f>
        <v/>
      </c>
      <c r="P2438" s="61" t="str">
        <f aca="false">IF(IsPro,IF($D2438="","",IF(AND(V2438&lt;&gt;"",INDEX(Parties!$E$5:$E$304,V2438)&lt;&gt;"",INDEX(Parties!$E$5:$E$304,V2438)&lt;&gt;HomeState),ROUND(L2438*M2438,2),0)),"")</f>
        <v/>
      </c>
      <c r="Q2438" s="61" t="str">
        <f aca="false">IF(IsPro,IF($D2438="","",L2438+N2438+O2438+P2438),"")</f>
        <v/>
      </c>
      <c r="R2438" s="61" t="str">
        <f aca="false">IF(IsPro,IF($D2438="","",ROUND(N($E2438)*IFERROR(INDEX(Items!$P$5:$P$504,U2438),0),2)),"")</f>
        <v/>
      </c>
      <c r="S2438" s="61" t="str">
        <f aca="false">IF(IsPro,IF($D2438="","",L2438-R2438),"")</f>
        <v/>
      </c>
      <c r="T2438" s="60" t="str">
        <f aca="false">IF(IsPro,IF($D2438="","",IF(U2438="","UNKNOWN ITEM",IF(INDEX(Items!$O$5:$O$504,U2438)&lt;0,"NEG STOCK",IF(K2438&lt;INDEX(Items!$P$5:$P$504,U2438),"BELOW COST","OK")))),IF($D2438="","","PRO PLAN"))</f>
        <v/>
      </c>
      <c r="U2438" s="60" t="str">
        <f aca="false">IF(IsPro,IF($D2438="","",IFERROR(MATCH($D2438,Items!$A$5:$A$504,0),"")),"")</f>
        <v/>
      </c>
      <c r="V2438" s="60" t="str">
        <f aca="false">IF(IsPro,IF($C2438="","",IFERROR(MATCH($C2438,Parties!$A$5:$A$304,0),"")),"")</f>
        <v/>
      </c>
      <c r="W2438" s="60" t="str">
        <f aca="false">IF(IsPro,IF($B2438="","",IFERROR(VALUE(SUBSTITUTE($B2438,InvPrefix,"")),0)),"")</f>
        <v/>
      </c>
      <c r="X2438" s="61" t="str">
        <f aca="false">IF(IsPro,IF($D2438="","",IF(OR($H2438="",$H2438="Credit"),0,Q2438)),"")</f>
        <v/>
      </c>
    </row>
    <row r="2439" customFormat="false" ht="15" hidden="false" customHeight="false" outlineLevel="0" collapsed="false">
      <c r="A2439" s="55"/>
      <c r="B2439" s="56"/>
      <c r="C2439" s="56"/>
      <c r="D2439" s="56"/>
      <c r="E2439" s="57"/>
      <c r="F2439" s="58"/>
      <c r="G2439" s="59"/>
      <c r="H2439" s="56"/>
      <c r="I2439" s="56"/>
      <c r="J2439" s="60" t="str">
        <f aca="false">IF(IsPro,IF($D2439="","",IFERROR(INDEX(Items!$D$5:$D$504,U2439),"")),"")</f>
        <v/>
      </c>
      <c r="K2439" s="61" t="str">
        <f aca="false">IF(IsPro,IF($D2439="","",IF($F2439="",IFERROR(INDEX(Items!$H$5:$H$504,U2439),0),$F2439)),"")</f>
        <v/>
      </c>
      <c r="L2439" s="61" t="str">
        <f aca="false">IF(IsPro,IF($D2439="","",ROUND(N($E2439)*K2439*(1-N($G2439)),2)),"")</f>
        <v/>
      </c>
      <c r="M2439" s="62" t="str">
        <f aca="false">IF(IsPro,IF($D2439="","",IFERROR(INDEX(Items!$F$5:$F$504,U2439),0)),"")</f>
        <v/>
      </c>
      <c r="N2439" s="61" t="str">
        <f aca="false">IF(IsPro,IF($D2439="","",IF(AND(V2439&lt;&gt;"",INDEX(Parties!$E$5:$E$304,V2439)&lt;&gt;"",INDEX(Parties!$E$5:$E$304,V2439)&lt;&gt;HomeState),0,ROUND(L2439*M2439/2,2))),"")</f>
        <v/>
      </c>
      <c r="O2439" s="61" t="str">
        <f aca="false">IF(IsPro,IF($D2439="","",N2439),"")</f>
        <v/>
      </c>
      <c r="P2439" s="61" t="str">
        <f aca="false">IF(IsPro,IF($D2439="","",IF(AND(V2439&lt;&gt;"",INDEX(Parties!$E$5:$E$304,V2439)&lt;&gt;"",INDEX(Parties!$E$5:$E$304,V2439)&lt;&gt;HomeState),ROUND(L2439*M2439,2),0)),"")</f>
        <v/>
      </c>
      <c r="Q2439" s="61" t="str">
        <f aca="false">IF(IsPro,IF($D2439="","",L2439+N2439+O2439+P2439),"")</f>
        <v/>
      </c>
      <c r="R2439" s="61" t="str">
        <f aca="false">IF(IsPro,IF($D2439="","",ROUND(N($E2439)*IFERROR(INDEX(Items!$P$5:$P$504,U2439),0),2)),"")</f>
        <v/>
      </c>
      <c r="S2439" s="61" t="str">
        <f aca="false">IF(IsPro,IF($D2439="","",L2439-R2439),"")</f>
        <v/>
      </c>
      <c r="T2439" s="60" t="str">
        <f aca="false">IF(IsPro,IF($D2439="","",IF(U2439="","UNKNOWN ITEM",IF(INDEX(Items!$O$5:$O$504,U2439)&lt;0,"NEG STOCK",IF(K2439&lt;INDEX(Items!$P$5:$P$504,U2439),"BELOW COST","OK")))),IF($D2439="","","PRO PLAN"))</f>
        <v/>
      </c>
      <c r="U2439" s="60" t="str">
        <f aca="false">IF(IsPro,IF($D2439="","",IFERROR(MATCH($D2439,Items!$A$5:$A$504,0),"")),"")</f>
        <v/>
      </c>
      <c r="V2439" s="60" t="str">
        <f aca="false">IF(IsPro,IF($C2439="","",IFERROR(MATCH($C2439,Parties!$A$5:$A$304,0),"")),"")</f>
        <v/>
      </c>
      <c r="W2439" s="60" t="str">
        <f aca="false">IF(IsPro,IF($B2439="","",IFERROR(VALUE(SUBSTITUTE($B2439,InvPrefix,"")),0)),"")</f>
        <v/>
      </c>
      <c r="X2439" s="61" t="str">
        <f aca="false">IF(IsPro,IF($D2439="","",IF(OR($H2439="",$H2439="Credit"),0,Q2439)),"")</f>
        <v/>
      </c>
    </row>
    <row r="2440" customFormat="false" ht="15" hidden="false" customHeight="false" outlineLevel="0" collapsed="false">
      <c r="A2440" s="55"/>
      <c r="B2440" s="56"/>
      <c r="C2440" s="56"/>
      <c r="D2440" s="56"/>
      <c r="E2440" s="57"/>
      <c r="F2440" s="58"/>
      <c r="G2440" s="59"/>
      <c r="H2440" s="56"/>
      <c r="I2440" s="56"/>
      <c r="J2440" s="60" t="str">
        <f aca="false">IF(IsPro,IF($D2440="","",IFERROR(INDEX(Items!$D$5:$D$504,U2440),"")),"")</f>
        <v/>
      </c>
      <c r="K2440" s="61" t="str">
        <f aca="false">IF(IsPro,IF($D2440="","",IF($F2440="",IFERROR(INDEX(Items!$H$5:$H$504,U2440),0),$F2440)),"")</f>
        <v/>
      </c>
      <c r="L2440" s="61" t="str">
        <f aca="false">IF(IsPro,IF($D2440="","",ROUND(N($E2440)*K2440*(1-N($G2440)),2)),"")</f>
        <v/>
      </c>
      <c r="M2440" s="62" t="str">
        <f aca="false">IF(IsPro,IF($D2440="","",IFERROR(INDEX(Items!$F$5:$F$504,U2440),0)),"")</f>
        <v/>
      </c>
      <c r="N2440" s="61" t="str">
        <f aca="false">IF(IsPro,IF($D2440="","",IF(AND(V2440&lt;&gt;"",INDEX(Parties!$E$5:$E$304,V2440)&lt;&gt;"",INDEX(Parties!$E$5:$E$304,V2440)&lt;&gt;HomeState),0,ROUND(L2440*M2440/2,2))),"")</f>
        <v/>
      </c>
      <c r="O2440" s="61" t="str">
        <f aca="false">IF(IsPro,IF($D2440="","",N2440),"")</f>
        <v/>
      </c>
      <c r="P2440" s="61" t="str">
        <f aca="false">IF(IsPro,IF($D2440="","",IF(AND(V2440&lt;&gt;"",INDEX(Parties!$E$5:$E$304,V2440)&lt;&gt;"",INDEX(Parties!$E$5:$E$304,V2440)&lt;&gt;HomeState),ROUND(L2440*M2440,2),0)),"")</f>
        <v/>
      </c>
      <c r="Q2440" s="61" t="str">
        <f aca="false">IF(IsPro,IF($D2440="","",L2440+N2440+O2440+P2440),"")</f>
        <v/>
      </c>
      <c r="R2440" s="61" t="str">
        <f aca="false">IF(IsPro,IF($D2440="","",ROUND(N($E2440)*IFERROR(INDEX(Items!$P$5:$P$504,U2440),0),2)),"")</f>
        <v/>
      </c>
      <c r="S2440" s="61" t="str">
        <f aca="false">IF(IsPro,IF($D2440="","",L2440-R2440),"")</f>
        <v/>
      </c>
      <c r="T2440" s="60" t="str">
        <f aca="false">IF(IsPro,IF($D2440="","",IF(U2440="","UNKNOWN ITEM",IF(INDEX(Items!$O$5:$O$504,U2440)&lt;0,"NEG STOCK",IF(K2440&lt;INDEX(Items!$P$5:$P$504,U2440),"BELOW COST","OK")))),IF($D2440="","","PRO PLAN"))</f>
        <v/>
      </c>
      <c r="U2440" s="60" t="str">
        <f aca="false">IF(IsPro,IF($D2440="","",IFERROR(MATCH($D2440,Items!$A$5:$A$504,0),"")),"")</f>
        <v/>
      </c>
      <c r="V2440" s="60" t="str">
        <f aca="false">IF(IsPro,IF($C2440="","",IFERROR(MATCH($C2440,Parties!$A$5:$A$304,0),"")),"")</f>
        <v/>
      </c>
      <c r="W2440" s="60" t="str">
        <f aca="false">IF(IsPro,IF($B2440="","",IFERROR(VALUE(SUBSTITUTE($B2440,InvPrefix,"")),0)),"")</f>
        <v/>
      </c>
      <c r="X2440" s="61" t="str">
        <f aca="false">IF(IsPro,IF($D2440="","",IF(OR($H2440="",$H2440="Credit"),0,Q2440)),"")</f>
        <v/>
      </c>
    </row>
    <row r="2441" customFormat="false" ht="15" hidden="false" customHeight="false" outlineLevel="0" collapsed="false">
      <c r="A2441" s="55"/>
      <c r="B2441" s="56"/>
      <c r="C2441" s="56"/>
      <c r="D2441" s="56"/>
      <c r="E2441" s="57"/>
      <c r="F2441" s="58"/>
      <c r="G2441" s="59"/>
      <c r="H2441" s="56"/>
      <c r="I2441" s="56"/>
      <c r="J2441" s="60" t="str">
        <f aca="false">IF(IsPro,IF($D2441="","",IFERROR(INDEX(Items!$D$5:$D$504,U2441),"")),"")</f>
        <v/>
      </c>
      <c r="K2441" s="61" t="str">
        <f aca="false">IF(IsPro,IF($D2441="","",IF($F2441="",IFERROR(INDEX(Items!$H$5:$H$504,U2441),0),$F2441)),"")</f>
        <v/>
      </c>
      <c r="L2441" s="61" t="str">
        <f aca="false">IF(IsPro,IF($D2441="","",ROUND(N($E2441)*K2441*(1-N($G2441)),2)),"")</f>
        <v/>
      </c>
      <c r="M2441" s="62" t="str">
        <f aca="false">IF(IsPro,IF($D2441="","",IFERROR(INDEX(Items!$F$5:$F$504,U2441),0)),"")</f>
        <v/>
      </c>
      <c r="N2441" s="61" t="str">
        <f aca="false">IF(IsPro,IF($D2441="","",IF(AND(V2441&lt;&gt;"",INDEX(Parties!$E$5:$E$304,V2441)&lt;&gt;"",INDEX(Parties!$E$5:$E$304,V2441)&lt;&gt;HomeState),0,ROUND(L2441*M2441/2,2))),"")</f>
        <v/>
      </c>
      <c r="O2441" s="61" t="str">
        <f aca="false">IF(IsPro,IF($D2441="","",N2441),"")</f>
        <v/>
      </c>
      <c r="P2441" s="61" t="str">
        <f aca="false">IF(IsPro,IF($D2441="","",IF(AND(V2441&lt;&gt;"",INDEX(Parties!$E$5:$E$304,V2441)&lt;&gt;"",INDEX(Parties!$E$5:$E$304,V2441)&lt;&gt;HomeState),ROUND(L2441*M2441,2),0)),"")</f>
        <v/>
      </c>
      <c r="Q2441" s="61" t="str">
        <f aca="false">IF(IsPro,IF($D2441="","",L2441+N2441+O2441+P2441),"")</f>
        <v/>
      </c>
      <c r="R2441" s="61" t="str">
        <f aca="false">IF(IsPro,IF($D2441="","",ROUND(N($E2441)*IFERROR(INDEX(Items!$P$5:$P$504,U2441),0),2)),"")</f>
        <v/>
      </c>
      <c r="S2441" s="61" t="str">
        <f aca="false">IF(IsPro,IF($D2441="","",L2441-R2441),"")</f>
        <v/>
      </c>
      <c r="T2441" s="60" t="str">
        <f aca="false">IF(IsPro,IF($D2441="","",IF(U2441="","UNKNOWN ITEM",IF(INDEX(Items!$O$5:$O$504,U2441)&lt;0,"NEG STOCK",IF(K2441&lt;INDEX(Items!$P$5:$P$504,U2441),"BELOW COST","OK")))),IF($D2441="","","PRO PLAN"))</f>
        <v/>
      </c>
      <c r="U2441" s="60" t="str">
        <f aca="false">IF(IsPro,IF($D2441="","",IFERROR(MATCH($D2441,Items!$A$5:$A$504,0),"")),"")</f>
        <v/>
      </c>
      <c r="V2441" s="60" t="str">
        <f aca="false">IF(IsPro,IF($C2441="","",IFERROR(MATCH($C2441,Parties!$A$5:$A$304,0),"")),"")</f>
        <v/>
      </c>
      <c r="W2441" s="60" t="str">
        <f aca="false">IF(IsPro,IF($B2441="","",IFERROR(VALUE(SUBSTITUTE($B2441,InvPrefix,"")),0)),"")</f>
        <v/>
      </c>
      <c r="X2441" s="61" t="str">
        <f aca="false">IF(IsPro,IF($D2441="","",IF(OR($H2441="",$H2441="Credit"),0,Q2441)),"")</f>
        <v/>
      </c>
    </row>
    <row r="2442" customFormat="false" ht="15" hidden="false" customHeight="false" outlineLevel="0" collapsed="false">
      <c r="A2442" s="55"/>
      <c r="B2442" s="56"/>
      <c r="C2442" s="56"/>
      <c r="D2442" s="56"/>
      <c r="E2442" s="57"/>
      <c r="F2442" s="58"/>
      <c r="G2442" s="59"/>
      <c r="H2442" s="56"/>
      <c r="I2442" s="56"/>
      <c r="J2442" s="60" t="str">
        <f aca="false">IF(IsPro,IF($D2442="","",IFERROR(INDEX(Items!$D$5:$D$504,U2442),"")),"")</f>
        <v/>
      </c>
      <c r="K2442" s="61" t="str">
        <f aca="false">IF(IsPro,IF($D2442="","",IF($F2442="",IFERROR(INDEX(Items!$H$5:$H$504,U2442),0),$F2442)),"")</f>
        <v/>
      </c>
      <c r="L2442" s="61" t="str">
        <f aca="false">IF(IsPro,IF($D2442="","",ROUND(N($E2442)*K2442*(1-N($G2442)),2)),"")</f>
        <v/>
      </c>
      <c r="M2442" s="62" t="str">
        <f aca="false">IF(IsPro,IF($D2442="","",IFERROR(INDEX(Items!$F$5:$F$504,U2442),0)),"")</f>
        <v/>
      </c>
      <c r="N2442" s="61" t="str">
        <f aca="false">IF(IsPro,IF($D2442="","",IF(AND(V2442&lt;&gt;"",INDEX(Parties!$E$5:$E$304,V2442)&lt;&gt;"",INDEX(Parties!$E$5:$E$304,V2442)&lt;&gt;HomeState),0,ROUND(L2442*M2442/2,2))),"")</f>
        <v/>
      </c>
      <c r="O2442" s="61" t="str">
        <f aca="false">IF(IsPro,IF($D2442="","",N2442),"")</f>
        <v/>
      </c>
      <c r="P2442" s="61" t="str">
        <f aca="false">IF(IsPro,IF($D2442="","",IF(AND(V2442&lt;&gt;"",INDEX(Parties!$E$5:$E$304,V2442)&lt;&gt;"",INDEX(Parties!$E$5:$E$304,V2442)&lt;&gt;HomeState),ROUND(L2442*M2442,2),0)),"")</f>
        <v/>
      </c>
      <c r="Q2442" s="61" t="str">
        <f aca="false">IF(IsPro,IF($D2442="","",L2442+N2442+O2442+P2442),"")</f>
        <v/>
      </c>
      <c r="R2442" s="61" t="str">
        <f aca="false">IF(IsPro,IF($D2442="","",ROUND(N($E2442)*IFERROR(INDEX(Items!$P$5:$P$504,U2442),0),2)),"")</f>
        <v/>
      </c>
      <c r="S2442" s="61" t="str">
        <f aca="false">IF(IsPro,IF($D2442="","",L2442-R2442),"")</f>
        <v/>
      </c>
      <c r="T2442" s="60" t="str">
        <f aca="false">IF(IsPro,IF($D2442="","",IF(U2442="","UNKNOWN ITEM",IF(INDEX(Items!$O$5:$O$504,U2442)&lt;0,"NEG STOCK",IF(K2442&lt;INDEX(Items!$P$5:$P$504,U2442),"BELOW COST","OK")))),IF($D2442="","","PRO PLAN"))</f>
        <v/>
      </c>
      <c r="U2442" s="60" t="str">
        <f aca="false">IF(IsPro,IF($D2442="","",IFERROR(MATCH($D2442,Items!$A$5:$A$504,0),"")),"")</f>
        <v/>
      </c>
      <c r="V2442" s="60" t="str">
        <f aca="false">IF(IsPro,IF($C2442="","",IFERROR(MATCH($C2442,Parties!$A$5:$A$304,0),"")),"")</f>
        <v/>
      </c>
      <c r="W2442" s="60" t="str">
        <f aca="false">IF(IsPro,IF($B2442="","",IFERROR(VALUE(SUBSTITUTE($B2442,InvPrefix,"")),0)),"")</f>
        <v/>
      </c>
      <c r="X2442" s="61" t="str">
        <f aca="false">IF(IsPro,IF($D2442="","",IF(OR($H2442="",$H2442="Credit"),0,Q2442)),"")</f>
        <v/>
      </c>
    </row>
    <row r="2443" customFormat="false" ht="15" hidden="false" customHeight="false" outlineLevel="0" collapsed="false">
      <c r="A2443" s="55"/>
      <c r="B2443" s="56"/>
      <c r="C2443" s="56"/>
      <c r="D2443" s="56"/>
      <c r="E2443" s="57"/>
      <c r="F2443" s="58"/>
      <c r="G2443" s="59"/>
      <c r="H2443" s="56"/>
      <c r="I2443" s="56"/>
      <c r="J2443" s="60" t="str">
        <f aca="false">IF(IsPro,IF($D2443="","",IFERROR(INDEX(Items!$D$5:$D$504,U2443),"")),"")</f>
        <v/>
      </c>
      <c r="K2443" s="61" t="str">
        <f aca="false">IF(IsPro,IF($D2443="","",IF($F2443="",IFERROR(INDEX(Items!$H$5:$H$504,U2443),0),$F2443)),"")</f>
        <v/>
      </c>
      <c r="L2443" s="61" t="str">
        <f aca="false">IF(IsPro,IF($D2443="","",ROUND(N($E2443)*K2443*(1-N($G2443)),2)),"")</f>
        <v/>
      </c>
      <c r="M2443" s="62" t="str">
        <f aca="false">IF(IsPro,IF($D2443="","",IFERROR(INDEX(Items!$F$5:$F$504,U2443),0)),"")</f>
        <v/>
      </c>
      <c r="N2443" s="61" t="str">
        <f aca="false">IF(IsPro,IF($D2443="","",IF(AND(V2443&lt;&gt;"",INDEX(Parties!$E$5:$E$304,V2443)&lt;&gt;"",INDEX(Parties!$E$5:$E$304,V2443)&lt;&gt;HomeState),0,ROUND(L2443*M2443/2,2))),"")</f>
        <v/>
      </c>
      <c r="O2443" s="61" t="str">
        <f aca="false">IF(IsPro,IF($D2443="","",N2443),"")</f>
        <v/>
      </c>
      <c r="P2443" s="61" t="str">
        <f aca="false">IF(IsPro,IF($D2443="","",IF(AND(V2443&lt;&gt;"",INDEX(Parties!$E$5:$E$304,V2443)&lt;&gt;"",INDEX(Parties!$E$5:$E$304,V2443)&lt;&gt;HomeState),ROUND(L2443*M2443,2),0)),"")</f>
        <v/>
      </c>
      <c r="Q2443" s="61" t="str">
        <f aca="false">IF(IsPro,IF($D2443="","",L2443+N2443+O2443+P2443),"")</f>
        <v/>
      </c>
      <c r="R2443" s="61" t="str">
        <f aca="false">IF(IsPro,IF($D2443="","",ROUND(N($E2443)*IFERROR(INDEX(Items!$P$5:$P$504,U2443),0),2)),"")</f>
        <v/>
      </c>
      <c r="S2443" s="61" t="str">
        <f aca="false">IF(IsPro,IF($D2443="","",L2443-R2443),"")</f>
        <v/>
      </c>
      <c r="T2443" s="60" t="str">
        <f aca="false">IF(IsPro,IF($D2443="","",IF(U2443="","UNKNOWN ITEM",IF(INDEX(Items!$O$5:$O$504,U2443)&lt;0,"NEG STOCK",IF(K2443&lt;INDEX(Items!$P$5:$P$504,U2443),"BELOW COST","OK")))),IF($D2443="","","PRO PLAN"))</f>
        <v/>
      </c>
      <c r="U2443" s="60" t="str">
        <f aca="false">IF(IsPro,IF($D2443="","",IFERROR(MATCH($D2443,Items!$A$5:$A$504,0),"")),"")</f>
        <v/>
      </c>
      <c r="V2443" s="60" t="str">
        <f aca="false">IF(IsPro,IF($C2443="","",IFERROR(MATCH($C2443,Parties!$A$5:$A$304,0),"")),"")</f>
        <v/>
      </c>
      <c r="W2443" s="60" t="str">
        <f aca="false">IF(IsPro,IF($B2443="","",IFERROR(VALUE(SUBSTITUTE($B2443,InvPrefix,"")),0)),"")</f>
        <v/>
      </c>
      <c r="X2443" s="61" t="str">
        <f aca="false">IF(IsPro,IF($D2443="","",IF(OR($H2443="",$H2443="Credit"),0,Q2443)),"")</f>
        <v/>
      </c>
    </row>
    <row r="2444" customFormat="false" ht="15" hidden="false" customHeight="false" outlineLevel="0" collapsed="false">
      <c r="A2444" s="55"/>
      <c r="B2444" s="56"/>
      <c r="C2444" s="56"/>
      <c r="D2444" s="56"/>
      <c r="E2444" s="57"/>
      <c r="F2444" s="58"/>
      <c r="G2444" s="59"/>
      <c r="H2444" s="56"/>
      <c r="I2444" s="56"/>
      <c r="J2444" s="60" t="str">
        <f aca="false">IF(IsPro,IF($D2444="","",IFERROR(INDEX(Items!$D$5:$D$504,U2444),"")),"")</f>
        <v/>
      </c>
      <c r="K2444" s="61" t="str">
        <f aca="false">IF(IsPro,IF($D2444="","",IF($F2444="",IFERROR(INDEX(Items!$H$5:$H$504,U2444),0),$F2444)),"")</f>
        <v/>
      </c>
      <c r="L2444" s="61" t="str">
        <f aca="false">IF(IsPro,IF($D2444="","",ROUND(N($E2444)*K2444*(1-N($G2444)),2)),"")</f>
        <v/>
      </c>
      <c r="M2444" s="62" t="str">
        <f aca="false">IF(IsPro,IF($D2444="","",IFERROR(INDEX(Items!$F$5:$F$504,U2444),0)),"")</f>
        <v/>
      </c>
      <c r="N2444" s="61" t="str">
        <f aca="false">IF(IsPro,IF($D2444="","",IF(AND(V2444&lt;&gt;"",INDEX(Parties!$E$5:$E$304,V2444)&lt;&gt;"",INDEX(Parties!$E$5:$E$304,V2444)&lt;&gt;HomeState),0,ROUND(L2444*M2444/2,2))),"")</f>
        <v/>
      </c>
      <c r="O2444" s="61" t="str">
        <f aca="false">IF(IsPro,IF($D2444="","",N2444),"")</f>
        <v/>
      </c>
      <c r="P2444" s="61" t="str">
        <f aca="false">IF(IsPro,IF($D2444="","",IF(AND(V2444&lt;&gt;"",INDEX(Parties!$E$5:$E$304,V2444)&lt;&gt;"",INDEX(Parties!$E$5:$E$304,V2444)&lt;&gt;HomeState),ROUND(L2444*M2444,2),0)),"")</f>
        <v/>
      </c>
      <c r="Q2444" s="61" t="str">
        <f aca="false">IF(IsPro,IF($D2444="","",L2444+N2444+O2444+P2444),"")</f>
        <v/>
      </c>
      <c r="R2444" s="61" t="str">
        <f aca="false">IF(IsPro,IF($D2444="","",ROUND(N($E2444)*IFERROR(INDEX(Items!$P$5:$P$504,U2444),0),2)),"")</f>
        <v/>
      </c>
      <c r="S2444" s="61" t="str">
        <f aca="false">IF(IsPro,IF($D2444="","",L2444-R2444),"")</f>
        <v/>
      </c>
      <c r="T2444" s="60" t="str">
        <f aca="false">IF(IsPro,IF($D2444="","",IF(U2444="","UNKNOWN ITEM",IF(INDEX(Items!$O$5:$O$504,U2444)&lt;0,"NEG STOCK",IF(K2444&lt;INDEX(Items!$P$5:$P$504,U2444),"BELOW COST","OK")))),IF($D2444="","","PRO PLAN"))</f>
        <v/>
      </c>
      <c r="U2444" s="60" t="str">
        <f aca="false">IF(IsPro,IF($D2444="","",IFERROR(MATCH($D2444,Items!$A$5:$A$504,0),"")),"")</f>
        <v/>
      </c>
      <c r="V2444" s="60" t="str">
        <f aca="false">IF(IsPro,IF($C2444="","",IFERROR(MATCH($C2444,Parties!$A$5:$A$304,0),"")),"")</f>
        <v/>
      </c>
      <c r="W2444" s="60" t="str">
        <f aca="false">IF(IsPro,IF($B2444="","",IFERROR(VALUE(SUBSTITUTE($B2444,InvPrefix,"")),0)),"")</f>
        <v/>
      </c>
      <c r="X2444" s="61" t="str">
        <f aca="false">IF(IsPro,IF($D2444="","",IF(OR($H2444="",$H2444="Credit"),0,Q2444)),"")</f>
        <v/>
      </c>
    </row>
    <row r="2445" customFormat="false" ht="15" hidden="false" customHeight="false" outlineLevel="0" collapsed="false">
      <c r="A2445" s="55"/>
      <c r="B2445" s="56"/>
      <c r="C2445" s="56"/>
      <c r="D2445" s="56"/>
      <c r="E2445" s="57"/>
      <c r="F2445" s="58"/>
      <c r="G2445" s="59"/>
      <c r="H2445" s="56"/>
      <c r="I2445" s="56"/>
      <c r="J2445" s="60" t="str">
        <f aca="false">IF(IsPro,IF($D2445="","",IFERROR(INDEX(Items!$D$5:$D$504,U2445),"")),"")</f>
        <v/>
      </c>
      <c r="K2445" s="61" t="str">
        <f aca="false">IF(IsPro,IF($D2445="","",IF($F2445="",IFERROR(INDEX(Items!$H$5:$H$504,U2445),0),$F2445)),"")</f>
        <v/>
      </c>
      <c r="L2445" s="61" t="str">
        <f aca="false">IF(IsPro,IF($D2445="","",ROUND(N($E2445)*K2445*(1-N($G2445)),2)),"")</f>
        <v/>
      </c>
      <c r="M2445" s="62" t="str">
        <f aca="false">IF(IsPro,IF($D2445="","",IFERROR(INDEX(Items!$F$5:$F$504,U2445),0)),"")</f>
        <v/>
      </c>
      <c r="N2445" s="61" t="str">
        <f aca="false">IF(IsPro,IF($D2445="","",IF(AND(V2445&lt;&gt;"",INDEX(Parties!$E$5:$E$304,V2445)&lt;&gt;"",INDEX(Parties!$E$5:$E$304,V2445)&lt;&gt;HomeState),0,ROUND(L2445*M2445/2,2))),"")</f>
        <v/>
      </c>
      <c r="O2445" s="61" t="str">
        <f aca="false">IF(IsPro,IF($D2445="","",N2445),"")</f>
        <v/>
      </c>
      <c r="P2445" s="61" t="str">
        <f aca="false">IF(IsPro,IF($D2445="","",IF(AND(V2445&lt;&gt;"",INDEX(Parties!$E$5:$E$304,V2445)&lt;&gt;"",INDEX(Parties!$E$5:$E$304,V2445)&lt;&gt;HomeState),ROUND(L2445*M2445,2),0)),"")</f>
        <v/>
      </c>
      <c r="Q2445" s="61" t="str">
        <f aca="false">IF(IsPro,IF($D2445="","",L2445+N2445+O2445+P2445),"")</f>
        <v/>
      </c>
      <c r="R2445" s="61" t="str">
        <f aca="false">IF(IsPro,IF($D2445="","",ROUND(N($E2445)*IFERROR(INDEX(Items!$P$5:$P$504,U2445),0),2)),"")</f>
        <v/>
      </c>
      <c r="S2445" s="61" t="str">
        <f aca="false">IF(IsPro,IF($D2445="","",L2445-R2445),"")</f>
        <v/>
      </c>
      <c r="T2445" s="60" t="str">
        <f aca="false">IF(IsPro,IF($D2445="","",IF(U2445="","UNKNOWN ITEM",IF(INDEX(Items!$O$5:$O$504,U2445)&lt;0,"NEG STOCK",IF(K2445&lt;INDEX(Items!$P$5:$P$504,U2445),"BELOW COST","OK")))),IF($D2445="","","PRO PLAN"))</f>
        <v/>
      </c>
      <c r="U2445" s="60" t="str">
        <f aca="false">IF(IsPro,IF($D2445="","",IFERROR(MATCH($D2445,Items!$A$5:$A$504,0),"")),"")</f>
        <v/>
      </c>
      <c r="V2445" s="60" t="str">
        <f aca="false">IF(IsPro,IF($C2445="","",IFERROR(MATCH($C2445,Parties!$A$5:$A$304,0),"")),"")</f>
        <v/>
      </c>
      <c r="W2445" s="60" t="str">
        <f aca="false">IF(IsPro,IF($B2445="","",IFERROR(VALUE(SUBSTITUTE($B2445,InvPrefix,"")),0)),"")</f>
        <v/>
      </c>
      <c r="X2445" s="61" t="str">
        <f aca="false">IF(IsPro,IF($D2445="","",IF(OR($H2445="",$H2445="Credit"),0,Q2445)),"")</f>
        <v/>
      </c>
    </row>
    <row r="2446" customFormat="false" ht="15" hidden="false" customHeight="false" outlineLevel="0" collapsed="false">
      <c r="A2446" s="55"/>
      <c r="B2446" s="56"/>
      <c r="C2446" s="56"/>
      <c r="D2446" s="56"/>
      <c r="E2446" s="57"/>
      <c r="F2446" s="58"/>
      <c r="G2446" s="59"/>
      <c r="H2446" s="56"/>
      <c r="I2446" s="56"/>
      <c r="J2446" s="60" t="str">
        <f aca="false">IF(IsPro,IF($D2446="","",IFERROR(INDEX(Items!$D$5:$D$504,U2446),"")),"")</f>
        <v/>
      </c>
      <c r="K2446" s="61" t="str">
        <f aca="false">IF(IsPro,IF($D2446="","",IF($F2446="",IFERROR(INDEX(Items!$H$5:$H$504,U2446),0),$F2446)),"")</f>
        <v/>
      </c>
      <c r="L2446" s="61" t="str">
        <f aca="false">IF(IsPro,IF($D2446="","",ROUND(N($E2446)*K2446*(1-N($G2446)),2)),"")</f>
        <v/>
      </c>
      <c r="M2446" s="62" t="str">
        <f aca="false">IF(IsPro,IF($D2446="","",IFERROR(INDEX(Items!$F$5:$F$504,U2446),0)),"")</f>
        <v/>
      </c>
      <c r="N2446" s="61" t="str">
        <f aca="false">IF(IsPro,IF($D2446="","",IF(AND(V2446&lt;&gt;"",INDEX(Parties!$E$5:$E$304,V2446)&lt;&gt;"",INDEX(Parties!$E$5:$E$304,V2446)&lt;&gt;HomeState),0,ROUND(L2446*M2446/2,2))),"")</f>
        <v/>
      </c>
      <c r="O2446" s="61" t="str">
        <f aca="false">IF(IsPro,IF($D2446="","",N2446),"")</f>
        <v/>
      </c>
      <c r="P2446" s="61" t="str">
        <f aca="false">IF(IsPro,IF($D2446="","",IF(AND(V2446&lt;&gt;"",INDEX(Parties!$E$5:$E$304,V2446)&lt;&gt;"",INDEX(Parties!$E$5:$E$304,V2446)&lt;&gt;HomeState),ROUND(L2446*M2446,2),0)),"")</f>
        <v/>
      </c>
      <c r="Q2446" s="61" t="str">
        <f aca="false">IF(IsPro,IF($D2446="","",L2446+N2446+O2446+P2446),"")</f>
        <v/>
      </c>
      <c r="R2446" s="61" t="str">
        <f aca="false">IF(IsPro,IF($D2446="","",ROUND(N($E2446)*IFERROR(INDEX(Items!$P$5:$P$504,U2446),0),2)),"")</f>
        <v/>
      </c>
      <c r="S2446" s="61" t="str">
        <f aca="false">IF(IsPro,IF($D2446="","",L2446-R2446),"")</f>
        <v/>
      </c>
      <c r="T2446" s="60" t="str">
        <f aca="false">IF(IsPro,IF($D2446="","",IF(U2446="","UNKNOWN ITEM",IF(INDEX(Items!$O$5:$O$504,U2446)&lt;0,"NEG STOCK",IF(K2446&lt;INDEX(Items!$P$5:$P$504,U2446),"BELOW COST","OK")))),IF($D2446="","","PRO PLAN"))</f>
        <v/>
      </c>
      <c r="U2446" s="60" t="str">
        <f aca="false">IF(IsPro,IF($D2446="","",IFERROR(MATCH($D2446,Items!$A$5:$A$504,0),"")),"")</f>
        <v/>
      </c>
      <c r="V2446" s="60" t="str">
        <f aca="false">IF(IsPro,IF($C2446="","",IFERROR(MATCH($C2446,Parties!$A$5:$A$304,0),"")),"")</f>
        <v/>
      </c>
      <c r="W2446" s="60" t="str">
        <f aca="false">IF(IsPro,IF($B2446="","",IFERROR(VALUE(SUBSTITUTE($B2446,InvPrefix,"")),0)),"")</f>
        <v/>
      </c>
      <c r="X2446" s="61" t="str">
        <f aca="false">IF(IsPro,IF($D2446="","",IF(OR($H2446="",$H2446="Credit"),0,Q2446)),"")</f>
        <v/>
      </c>
    </row>
    <row r="2447" customFormat="false" ht="15" hidden="false" customHeight="false" outlineLevel="0" collapsed="false">
      <c r="A2447" s="55"/>
      <c r="B2447" s="56"/>
      <c r="C2447" s="56"/>
      <c r="D2447" s="56"/>
      <c r="E2447" s="57"/>
      <c r="F2447" s="58"/>
      <c r="G2447" s="59"/>
      <c r="H2447" s="56"/>
      <c r="I2447" s="56"/>
      <c r="J2447" s="60" t="str">
        <f aca="false">IF(IsPro,IF($D2447="","",IFERROR(INDEX(Items!$D$5:$D$504,U2447),"")),"")</f>
        <v/>
      </c>
      <c r="K2447" s="61" t="str">
        <f aca="false">IF(IsPro,IF($D2447="","",IF($F2447="",IFERROR(INDEX(Items!$H$5:$H$504,U2447),0),$F2447)),"")</f>
        <v/>
      </c>
      <c r="L2447" s="61" t="str">
        <f aca="false">IF(IsPro,IF($D2447="","",ROUND(N($E2447)*K2447*(1-N($G2447)),2)),"")</f>
        <v/>
      </c>
      <c r="M2447" s="62" t="str">
        <f aca="false">IF(IsPro,IF($D2447="","",IFERROR(INDEX(Items!$F$5:$F$504,U2447),0)),"")</f>
        <v/>
      </c>
      <c r="N2447" s="61" t="str">
        <f aca="false">IF(IsPro,IF($D2447="","",IF(AND(V2447&lt;&gt;"",INDEX(Parties!$E$5:$E$304,V2447)&lt;&gt;"",INDEX(Parties!$E$5:$E$304,V2447)&lt;&gt;HomeState),0,ROUND(L2447*M2447/2,2))),"")</f>
        <v/>
      </c>
      <c r="O2447" s="61" t="str">
        <f aca="false">IF(IsPro,IF($D2447="","",N2447),"")</f>
        <v/>
      </c>
      <c r="P2447" s="61" t="str">
        <f aca="false">IF(IsPro,IF($D2447="","",IF(AND(V2447&lt;&gt;"",INDEX(Parties!$E$5:$E$304,V2447)&lt;&gt;"",INDEX(Parties!$E$5:$E$304,V2447)&lt;&gt;HomeState),ROUND(L2447*M2447,2),0)),"")</f>
        <v/>
      </c>
      <c r="Q2447" s="61" t="str">
        <f aca="false">IF(IsPro,IF($D2447="","",L2447+N2447+O2447+P2447),"")</f>
        <v/>
      </c>
      <c r="R2447" s="61" t="str">
        <f aca="false">IF(IsPro,IF($D2447="","",ROUND(N($E2447)*IFERROR(INDEX(Items!$P$5:$P$504,U2447),0),2)),"")</f>
        <v/>
      </c>
      <c r="S2447" s="61" t="str">
        <f aca="false">IF(IsPro,IF($D2447="","",L2447-R2447),"")</f>
        <v/>
      </c>
      <c r="T2447" s="60" t="str">
        <f aca="false">IF(IsPro,IF($D2447="","",IF(U2447="","UNKNOWN ITEM",IF(INDEX(Items!$O$5:$O$504,U2447)&lt;0,"NEG STOCK",IF(K2447&lt;INDEX(Items!$P$5:$P$504,U2447),"BELOW COST","OK")))),IF($D2447="","","PRO PLAN"))</f>
        <v/>
      </c>
      <c r="U2447" s="60" t="str">
        <f aca="false">IF(IsPro,IF($D2447="","",IFERROR(MATCH($D2447,Items!$A$5:$A$504,0),"")),"")</f>
        <v/>
      </c>
      <c r="V2447" s="60" t="str">
        <f aca="false">IF(IsPro,IF($C2447="","",IFERROR(MATCH($C2447,Parties!$A$5:$A$304,0),"")),"")</f>
        <v/>
      </c>
      <c r="W2447" s="60" t="str">
        <f aca="false">IF(IsPro,IF($B2447="","",IFERROR(VALUE(SUBSTITUTE($B2447,InvPrefix,"")),0)),"")</f>
        <v/>
      </c>
      <c r="X2447" s="61" t="str">
        <f aca="false">IF(IsPro,IF($D2447="","",IF(OR($H2447="",$H2447="Credit"),0,Q2447)),"")</f>
        <v/>
      </c>
    </row>
    <row r="2448" customFormat="false" ht="15" hidden="false" customHeight="false" outlineLevel="0" collapsed="false">
      <c r="A2448" s="55"/>
      <c r="B2448" s="56"/>
      <c r="C2448" s="56"/>
      <c r="D2448" s="56"/>
      <c r="E2448" s="57"/>
      <c r="F2448" s="58"/>
      <c r="G2448" s="59"/>
      <c r="H2448" s="56"/>
      <c r="I2448" s="56"/>
      <c r="J2448" s="60" t="str">
        <f aca="false">IF(IsPro,IF($D2448="","",IFERROR(INDEX(Items!$D$5:$D$504,U2448),"")),"")</f>
        <v/>
      </c>
      <c r="K2448" s="61" t="str">
        <f aca="false">IF(IsPro,IF($D2448="","",IF($F2448="",IFERROR(INDEX(Items!$H$5:$H$504,U2448),0),$F2448)),"")</f>
        <v/>
      </c>
      <c r="L2448" s="61" t="str">
        <f aca="false">IF(IsPro,IF($D2448="","",ROUND(N($E2448)*K2448*(1-N($G2448)),2)),"")</f>
        <v/>
      </c>
      <c r="M2448" s="62" t="str">
        <f aca="false">IF(IsPro,IF($D2448="","",IFERROR(INDEX(Items!$F$5:$F$504,U2448),0)),"")</f>
        <v/>
      </c>
      <c r="N2448" s="61" t="str">
        <f aca="false">IF(IsPro,IF($D2448="","",IF(AND(V2448&lt;&gt;"",INDEX(Parties!$E$5:$E$304,V2448)&lt;&gt;"",INDEX(Parties!$E$5:$E$304,V2448)&lt;&gt;HomeState),0,ROUND(L2448*M2448/2,2))),"")</f>
        <v/>
      </c>
      <c r="O2448" s="61" t="str">
        <f aca="false">IF(IsPro,IF($D2448="","",N2448),"")</f>
        <v/>
      </c>
      <c r="P2448" s="61" t="str">
        <f aca="false">IF(IsPro,IF($D2448="","",IF(AND(V2448&lt;&gt;"",INDEX(Parties!$E$5:$E$304,V2448)&lt;&gt;"",INDEX(Parties!$E$5:$E$304,V2448)&lt;&gt;HomeState),ROUND(L2448*M2448,2),0)),"")</f>
        <v/>
      </c>
      <c r="Q2448" s="61" t="str">
        <f aca="false">IF(IsPro,IF($D2448="","",L2448+N2448+O2448+P2448),"")</f>
        <v/>
      </c>
      <c r="R2448" s="61" t="str">
        <f aca="false">IF(IsPro,IF($D2448="","",ROUND(N($E2448)*IFERROR(INDEX(Items!$P$5:$P$504,U2448),0),2)),"")</f>
        <v/>
      </c>
      <c r="S2448" s="61" t="str">
        <f aca="false">IF(IsPro,IF($D2448="","",L2448-R2448),"")</f>
        <v/>
      </c>
      <c r="T2448" s="60" t="str">
        <f aca="false">IF(IsPro,IF($D2448="","",IF(U2448="","UNKNOWN ITEM",IF(INDEX(Items!$O$5:$O$504,U2448)&lt;0,"NEG STOCK",IF(K2448&lt;INDEX(Items!$P$5:$P$504,U2448),"BELOW COST","OK")))),IF($D2448="","","PRO PLAN"))</f>
        <v/>
      </c>
      <c r="U2448" s="60" t="str">
        <f aca="false">IF(IsPro,IF($D2448="","",IFERROR(MATCH($D2448,Items!$A$5:$A$504,0),"")),"")</f>
        <v/>
      </c>
      <c r="V2448" s="60" t="str">
        <f aca="false">IF(IsPro,IF($C2448="","",IFERROR(MATCH($C2448,Parties!$A$5:$A$304,0),"")),"")</f>
        <v/>
      </c>
      <c r="W2448" s="60" t="str">
        <f aca="false">IF(IsPro,IF($B2448="","",IFERROR(VALUE(SUBSTITUTE($B2448,InvPrefix,"")),0)),"")</f>
        <v/>
      </c>
      <c r="X2448" s="61" t="str">
        <f aca="false">IF(IsPro,IF($D2448="","",IF(OR($H2448="",$H2448="Credit"),0,Q2448)),"")</f>
        <v/>
      </c>
    </row>
    <row r="2449" customFormat="false" ht="15" hidden="false" customHeight="false" outlineLevel="0" collapsed="false">
      <c r="A2449" s="55"/>
      <c r="B2449" s="56"/>
      <c r="C2449" s="56"/>
      <c r="D2449" s="56"/>
      <c r="E2449" s="57"/>
      <c r="F2449" s="58"/>
      <c r="G2449" s="59"/>
      <c r="H2449" s="56"/>
      <c r="I2449" s="56"/>
      <c r="J2449" s="60" t="str">
        <f aca="false">IF(IsPro,IF($D2449="","",IFERROR(INDEX(Items!$D$5:$D$504,U2449),"")),"")</f>
        <v/>
      </c>
      <c r="K2449" s="61" t="str">
        <f aca="false">IF(IsPro,IF($D2449="","",IF($F2449="",IFERROR(INDEX(Items!$H$5:$H$504,U2449),0),$F2449)),"")</f>
        <v/>
      </c>
      <c r="L2449" s="61" t="str">
        <f aca="false">IF(IsPro,IF($D2449="","",ROUND(N($E2449)*K2449*(1-N($G2449)),2)),"")</f>
        <v/>
      </c>
      <c r="M2449" s="62" t="str">
        <f aca="false">IF(IsPro,IF($D2449="","",IFERROR(INDEX(Items!$F$5:$F$504,U2449),0)),"")</f>
        <v/>
      </c>
      <c r="N2449" s="61" t="str">
        <f aca="false">IF(IsPro,IF($D2449="","",IF(AND(V2449&lt;&gt;"",INDEX(Parties!$E$5:$E$304,V2449)&lt;&gt;"",INDEX(Parties!$E$5:$E$304,V2449)&lt;&gt;HomeState),0,ROUND(L2449*M2449/2,2))),"")</f>
        <v/>
      </c>
      <c r="O2449" s="61" t="str">
        <f aca="false">IF(IsPro,IF($D2449="","",N2449),"")</f>
        <v/>
      </c>
      <c r="P2449" s="61" t="str">
        <f aca="false">IF(IsPro,IF($D2449="","",IF(AND(V2449&lt;&gt;"",INDEX(Parties!$E$5:$E$304,V2449)&lt;&gt;"",INDEX(Parties!$E$5:$E$304,V2449)&lt;&gt;HomeState),ROUND(L2449*M2449,2),0)),"")</f>
        <v/>
      </c>
      <c r="Q2449" s="61" t="str">
        <f aca="false">IF(IsPro,IF($D2449="","",L2449+N2449+O2449+P2449),"")</f>
        <v/>
      </c>
      <c r="R2449" s="61" t="str">
        <f aca="false">IF(IsPro,IF($D2449="","",ROUND(N($E2449)*IFERROR(INDEX(Items!$P$5:$P$504,U2449),0),2)),"")</f>
        <v/>
      </c>
      <c r="S2449" s="61" t="str">
        <f aca="false">IF(IsPro,IF($D2449="","",L2449-R2449),"")</f>
        <v/>
      </c>
      <c r="T2449" s="60" t="str">
        <f aca="false">IF(IsPro,IF($D2449="","",IF(U2449="","UNKNOWN ITEM",IF(INDEX(Items!$O$5:$O$504,U2449)&lt;0,"NEG STOCK",IF(K2449&lt;INDEX(Items!$P$5:$P$504,U2449),"BELOW COST","OK")))),IF($D2449="","","PRO PLAN"))</f>
        <v/>
      </c>
      <c r="U2449" s="60" t="str">
        <f aca="false">IF(IsPro,IF($D2449="","",IFERROR(MATCH($D2449,Items!$A$5:$A$504,0),"")),"")</f>
        <v/>
      </c>
      <c r="V2449" s="60" t="str">
        <f aca="false">IF(IsPro,IF($C2449="","",IFERROR(MATCH($C2449,Parties!$A$5:$A$304,0),"")),"")</f>
        <v/>
      </c>
      <c r="W2449" s="60" t="str">
        <f aca="false">IF(IsPro,IF($B2449="","",IFERROR(VALUE(SUBSTITUTE($B2449,InvPrefix,"")),0)),"")</f>
        <v/>
      </c>
      <c r="X2449" s="61" t="str">
        <f aca="false">IF(IsPro,IF($D2449="","",IF(OR($H2449="",$H2449="Credit"),0,Q2449)),"")</f>
        <v/>
      </c>
    </row>
    <row r="2450" customFormat="false" ht="15" hidden="false" customHeight="false" outlineLevel="0" collapsed="false">
      <c r="A2450" s="55"/>
      <c r="B2450" s="56"/>
      <c r="C2450" s="56"/>
      <c r="D2450" s="56"/>
      <c r="E2450" s="57"/>
      <c r="F2450" s="58"/>
      <c r="G2450" s="59"/>
      <c r="H2450" s="56"/>
      <c r="I2450" s="56"/>
      <c r="J2450" s="60" t="str">
        <f aca="false">IF(IsPro,IF($D2450="","",IFERROR(INDEX(Items!$D$5:$D$504,U2450),"")),"")</f>
        <v/>
      </c>
      <c r="K2450" s="61" t="str">
        <f aca="false">IF(IsPro,IF($D2450="","",IF($F2450="",IFERROR(INDEX(Items!$H$5:$H$504,U2450),0),$F2450)),"")</f>
        <v/>
      </c>
      <c r="L2450" s="61" t="str">
        <f aca="false">IF(IsPro,IF($D2450="","",ROUND(N($E2450)*K2450*(1-N($G2450)),2)),"")</f>
        <v/>
      </c>
      <c r="M2450" s="62" t="str">
        <f aca="false">IF(IsPro,IF($D2450="","",IFERROR(INDEX(Items!$F$5:$F$504,U2450),0)),"")</f>
        <v/>
      </c>
      <c r="N2450" s="61" t="str">
        <f aca="false">IF(IsPro,IF($D2450="","",IF(AND(V2450&lt;&gt;"",INDEX(Parties!$E$5:$E$304,V2450)&lt;&gt;"",INDEX(Parties!$E$5:$E$304,V2450)&lt;&gt;HomeState),0,ROUND(L2450*M2450/2,2))),"")</f>
        <v/>
      </c>
      <c r="O2450" s="61" t="str">
        <f aca="false">IF(IsPro,IF($D2450="","",N2450),"")</f>
        <v/>
      </c>
      <c r="P2450" s="61" t="str">
        <f aca="false">IF(IsPro,IF($D2450="","",IF(AND(V2450&lt;&gt;"",INDEX(Parties!$E$5:$E$304,V2450)&lt;&gt;"",INDEX(Parties!$E$5:$E$304,V2450)&lt;&gt;HomeState),ROUND(L2450*M2450,2),0)),"")</f>
        <v/>
      </c>
      <c r="Q2450" s="61" t="str">
        <f aca="false">IF(IsPro,IF($D2450="","",L2450+N2450+O2450+P2450),"")</f>
        <v/>
      </c>
      <c r="R2450" s="61" t="str">
        <f aca="false">IF(IsPro,IF($D2450="","",ROUND(N($E2450)*IFERROR(INDEX(Items!$P$5:$P$504,U2450),0),2)),"")</f>
        <v/>
      </c>
      <c r="S2450" s="61" t="str">
        <f aca="false">IF(IsPro,IF($D2450="","",L2450-R2450),"")</f>
        <v/>
      </c>
      <c r="T2450" s="60" t="str">
        <f aca="false">IF(IsPro,IF($D2450="","",IF(U2450="","UNKNOWN ITEM",IF(INDEX(Items!$O$5:$O$504,U2450)&lt;0,"NEG STOCK",IF(K2450&lt;INDEX(Items!$P$5:$P$504,U2450),"BELOW COST","OK")))),IF($D2450="","","PRO PLAN"))</f>
        <v/>
      </c>
      <c r="U2450" s="60" t="str">
        <f aca="false">IF(IsPro,IF($D2450="","",IFERROR(MATCH($D2450,Items!$A$5:$A$504,0),"")),"")</f>
        <v/>
      </c>
      <c r="V2450" s="60" t="str">
        <f aca="false">IF(IsPro,IF($C2450="","",IFERROR(MATCH($C2450,Parties!$A$5:$A$304,0),"")),"")</f>
        <v/>
      </c>
      <c r="W2450" s="60" t="str">
        <f aca="false">IF(IsPro,IF($B2450="","",IFERROR(VALUE(SUBSTITUTE($B2450,InvPrefix,"")),0)),"")</f>
        <v/>
      </c>
      <c r="X2450" s="61" t="str">
        <f aca="false">IF(IsPro,IF($D2450="","",IF(OR($H2450="",$H2450="Credit"),0,Q2450)),"")</f>
        <v/>
      </c>
    </row>
    <row r="2451" customFormat="false" ht="15" hidden="false" customHeight="false" outlineLevel="0" collapsed="false">
      <c r="A2451" s="55"/>
      <c r="B2451" s="56"/>
      <c r="C2451" s="56"/>
      <c r="D2451" s="56"/>
      <c r="E2451" s="57"/>
      <c r="F2451" s="58"/>
      <c r="G2451" s="59"/>
      <c r="H2451" s="56"/>
      <c r="I2451" s="56"/>
      <c r="J2451" s="60" t="str">
        <f aca="false">IF(IsPro,IF($D2451="","",IFERROR(INDEX(Items!$D$5:$D$504,U2451),"")),"")</f>
        <v/>
      </c>
      <c r="K2451" s="61" t="str">
        <f aca="false">IF(IsPro,IF($D2451="","",IF($F2451="",IFERROR(INDEX(Items!$H$5:$H$504,U2451),0),$F2451)),"")</f>
        <v/>
      </c>
      <c r="L2451" s="61" t="str">
        <f aca="false">IF(IsPro,IF($D2451="","",ROUND(N($E2451)*K2451*(1-N($G2451)),2)),"")</f>
        <v/>
      </c>
      <c r="M2451" s="62" t="str">
        <f aca="false">IF(IsPro,IF($D2451="","",IFERROR(INDEX(Items!$F$5:$F$504,U2451),0)),"")</f>
        <v/>
      </c>
      <c r="N2451" s="61" t="str">
        <f aca="false">IF(IsPro,IF($D2451="","",IF(AND(V2451&lt;&gt;"",INDEX(Parties!$E$5:$E$304,V2451)&lt;&gt;"",INDEX(Parties!$E$5:$E$304,V2451)&lt;&gt;HomeState),0,ROUND(L2451*M2451/2,2))),"")</f>
        <v/>
      </c>
      <c r="O2451" s="61" t="str">
        <f aca="false">IF(IsPro,IF($D2451="","",N2451),"")</f>
        <v/>
      </c>
      <c r="P2451" s="61" t="str">
        <f aca="false">IF(IsPro,IF($D2451="","",IF(AND(V2451&lt;&gt;"",INDEX(Parties!$E$5:$E$304,V2451)&lt;&gt;"",INDEX(Parties!$E$5:$E$304,V2451)&lt;&gt;HomeState),ROUND(L2451*M2451,2),0)),"")</f>
        <v/>
      </c>
      <c r="Q2451" s="61" t="str">
        <f aca="false">IF(IsPro,IF($D2451="","",L2451+N2451+O2451+P2451),"")</f>
        <v/>
      </c>
      <c r="R2451" s="61" t="str">
        <f aca="false">IF(IsPro,IF($D2451="","",ROUND(N($E2451)*IFERROR(INDEX(Items!$P$5:$P$504,U2451),0),2)),"")</f>
        <v/>
      </c>
      <c r="S2451" s="61" t="str">
        <f aca="false">IF(IsPro,IF($D2451="","",L2451-R2451),"")</f>
        <v/>
      </c>
      <c r="T2451" s="60" t="str">
        <f aca="false">IF(IsPro,IF($D2451="","",IF(U2451="","UNKNOWN ITEM",IF(INDEX(Items!$O$5:$O$504,U2451)&lt;0,"NEG STOCK",IF(K2451&lt;INDEX(Items!$P$5:$P$504,U2451),"BELOW COST","OK")))),IF($D2451="","","PRO PLAN"))</f>
        <v/>
      </c>
      <c r="U2451" s="60" t="str">
        <f aca="false">IF(IsPro,IF($D2451="","",IFERROR(MATCH($D2451,Items!$A$5:$A$504,0),"")),"")</f>
        <v/>
      </c>
      <c r="V2451" s="60" t="str">
        <f aca="false">IF(IsPro,IF($C2451="","",IFERROR(MATCH($C2451,Parties!$A$5:$A$304,0),"")),"")</f>
        <v/>
      </c>
      <c r="W2451" s="60" t="str">
        <f aca="false">IF(IsPro,IF($B2451="","",IFERROR(VALUE(SUBSTITUTE($B2451,InvPrefix,"")),0)),"")</f>
        <v/>
      </c>
      <c r="X2451" s="61" t="str">
        <f aca="false">IF(IsPro,IF($D2451="","",IF(OR($H2451="",$H2451="Credit"),0,Q2451)),"")</f>
        <v/>
      </c>
    </row>
    <row r="2452" customFormat="false" ht="15" hidden="false" customHeight="false" outlineLevel="0" collapsed="false">
      <c r="A2452" s="55"/>
      <c r="B2452" s="56"/>
      <c r="C2452" s="56"/>
      <c r="D2452" s="56"/>
      <c r="E2452" s="57"/>
      <c r="F2452" s="58"/>
      <c r="G2452" s="59"/>
      <c r="H2452" s="56"/>
      <c r="I2452" s="56"/>
      <c r="J2452" s="60" t="str">
        <f aca="false">IF(IsPro,IF($D2452="","",IFERROR(INDEX(Items!$D$5:$D$504,U2452),"")),"")</f>
        <v/>
      </c>
      <c r="K2452" s="61" t="str">
        <f aca="false">IF(IsPro,IF($D2452="","",IF($F2452="",IFERROR(INDEX(Items!$H$5:$H$504,U2452),0),$F2452)),"")</f>
        <v/>
      </c>
      <c r="L2452" s="61" t="str">
        <f aca="false">IF(IsPro,IF($D2452="","",ROUND(N($E2452)*K2452*(1-N($G2452)),2)),"")</f>
        <v/>
      </c>
      <c r="M2452" s="62" t="str">
        <f aca="false">IF(IsPro,IF($D2452="","",IFERROR(INDEX(Items!$F$5:$F$504,U2452),0)),"")</f>
        <v/>
      </c>
      <c r="N2452" s="61" t="str">
        <f aca="false">IF(IsPro,IF($D2452="","",IF(AND(V2452&lt;&gt;"",INDEX(Parties!$E$5:$E$304,V2452)&lt;&gt;"",INDEX(Parties!$E$5:$E$304,V2452)&lt;&gt;HomeState),0,ROUND(L2452*M2452/2,2))),"")</f>
        <v/>
      </c>
      <c r="O2452" s="61" t="str">
        <f aca="false">IF(IsPro,IF($D2452="","",N2452),"")</f>
        <v/>
      </c>
      <c r="P2452" s="61" t="str">
        <f aca="false">IF(IsPro,IF($D2452="","",IF(AND(V2452&lt;&gt;"",INDEX(Parties!$E$5:$E$304,V2452)&lt;&gt;"",INDEX(Parties!$E$5:$E$304,V2452)&lt;&gt;HomeState),ROUND(L2452*M2452,2),0)),"")</f>
        <v/>
      </c>
      <c r="Q2452" s="61" t="str">
        <f aca="false">IF(IsPro,IF($D2452="","",L2452+N2452+O2452+P2452),"")</f>
        <v/>
      </c>
      <c r="R2452" s="61" t="str">
        <f aca="false">IF(IsPro,IF($D2452="","",ROUND(N($E2452)*IFERROR(INDEX(Items!$P$5:$P$504,U2452),0),2)),"")</f>
        <v/>
      </c>
      <c r="S2452" s="61" t="str">
        <f aca="false">IF(IsPro,IF($D2452="","",L2452-R2452),"")</f>
        <v/>
      </c>
      <c r="T2452" s="60" t="str">
        <f aca="false">IF(IsPro,IF($D2452="","",IF(U2452="","UNKNOWN ITEM",IF(INDEX(Items!$O$5:$O$504,U2452)&lt;0,"NEG STOCK",IF(K2452&lt;INDEX(Items!$P$5:$P$504,U2452),"BELOW COST","OK")))),IF($D2452="","","PRO PLAN"))</f>
        <v/>
      </c>
      <c r="U2452" s="60" t="str">
        <f aca="false">IF(IsPro,IF($D2452="","",IFERROR(MATCH($D2452,Items!$A$5:$A$504,0),"")),"")</f>
        <v/>
      </c>
      <c r="V2452" s="60" t="str">
        <f aca="false">IF(IsPro,IF($C2452="","",IFERROR(MATCH($C2452,Parties!$A$5:$A$304,0),"")),"")</f>
        <v/>
      </c>
      <c r="W2452" s="60" t="str">
        <f aca="false">IF(IsPro,IF($B2452="","",IFERROR(VALUE(SUBSTITUTE($B2452,InvPrefix,"")),0)),"")</f>
        <v/>
      </c>
      <c r="X2452" s="61" t="str">
        <f aca="false">IF(IsPro,IF($D2452="","",IF(OR($H2452="",$H2452="Credit"),0,Q2452)),"")</f>
        <v/>
      </c>
    </row>
    <row r="2453" customFormat="false" ht="15" hidden="false" customHeight="false" outlineLevel="0" collapsed="false">
      <c r="A2453" s="55"/>
      <c r="B2453" s="56"/>
      <c r="C2453" s="56"/>
      <c r="D2453" s="56"/>
      <c r="E2453" s="57"/>
      <c r="F2453" s="58"/>
      <c r="G2453" s="59"/>
      <c r="H2453" s="56"/>
      <c r="I2453" s="56"/>
      <c r="J2453" s="60" t="str">
        <f aca="false">IF(IsPro,IF($D2453="","",IFERROR(INDEX(Items!$D$5:$D$504,U2453),"")),"")</f>
        <v/>
      </c>
      <c r="K2453" s="61" t="str">
        <f aca="false">IF(IsPro,IF($D2453="","",IF($F2453="",IFERROR(INDEX(Items!$H$5:$H$504,U2453),0),$F2453)),"")</f>
        <v/>
      </c>
      <c r="L2453" s="61" t="str">
        <f aca="false">IF(IsPro,IF($D2453="","",ROUND(N($E2453)*K2453*(1-N($G2453)),2)),"")</f>
        <v/>
      </c>
      <c r="M2453" s="62" t="str">
        <f aca="false">IF(IsPro,IF($D2453="","",IFERROR(INDEX(Items!$F$5:$F$504,U2453),0)),"")</f>
        <v/>
      </c>
      <c r="N2453" s="61" t="str">
        <f aca="false">IF(IsPro,IF($D2453="","",IF(AND(V2453&lt;&gt;"",INDEX(Parties!$E$5:$E$304,V2453)&lt;&gt;"",INDEX(Parties!$E$5:$E$304,V2453)&lt;&gt;HomeState),0,ROUND(L2453*M2453/2,2))),"")</f>
        <v/>
      </c>
      <c r="O2453" s="61" t="str">
        <f aca="false">IF(IsPro,IF($D2453="","",N2453),"")</f>
        <v/>
      </c>
      <c r="P2453" s="61" t="str">
        <f aca="false">IF(IsPro,IF($D2453="","",IF(AND(V2453&lt;&gt;"",INDEX(Parties!$E$5:$E$304,V2453)&lt;&gt;"",INDEX(Parties!$E$5:$E$304,V2453)&lt;&gt;HomeState),ROUND(L2453*M2453,2),0)),"")</f>
        <v/>
      </c>
      <c r="Q2453" s="61" t="str">
        <f aca="false">IF(IsPro,IF($D2453="","",L2453+N2453+O2453+P2453),"")</f>
        <v/>
      </c>
      <c r="R2453" s="61" t="str">
        <f aca="false">IF(IsPro,IF($D2453="","",ROUND(N($E2453)*IFERROR(INDEX(Items!$P$5:$P$504,U2453),0),2)),"")</f>
        <v/>
      </c>
      <c r="S2453" s="61" t="str">
        <f aca="false">IF(IsPro,IF($D2453="","",L2453-R2453),"")</f>
        <v/>
      </c>
      <c r="T2453" s="60" t="str">
        <f aca="false">IF(IsPro,IF($D2453="","",IF(U2453="","UNKNOWN ITEM",IF(INDEX(Items!$O$5:$O$504,U2453)&lt;0,"NEG STOCK",IF(K2453&lt;INDEX(Items!$P$5:$P$504,U2453),"BELOW COST","OK")))),IF($D2453="","","PRO PLAN"))</f>
        <v/>
      </c>
      <c r="U2453" s="60" t="str">
        <f aca="false">IF(IsPro,IF($D2453="","",IFERROR(MATCH($D2453,Items!$A$5:$A$504,0),"")),"")</f>
        <v/>
      </c>
      <c r="V2453" s="60" t="str">
        <f aca="false">IF(IsPro,IF($C2453="","",IFERROR(MATCH($C2453,Parties!$A$5:$A$304,0),"")),"")</f>
        <v/>
      </c>
      <c r="W2453" s="60" t="str">
        <f aca="false">IF(IsPro,IF($B2453="","",IFERROR(VALUE(SUBSTITUTE($B2453,InvPrefix,"")),0)),"")</f>
        <v/>
      </c>
      <c r="X2453" s="61" t="str">
        <f aca="false">IF(IsPro,IF($D2453="","",IF(OR($H2453="",$H2453="Credit"),0,Q2453)),"")</f>
        <v/>
      </c>
    </row>
    <row r="2454" customFormat="false" ht="15" hidden="false" customHeight="false" outlineLevel="0" collapsed="false">
      <c r="A2454" s="55"/>
      <c r="B2454" s="56"/>
      <c r="C2454" s="56"/>
      <c r="D2454" s="56"/>
      <c r="E2454" s="57"/>
      <c r="F2454" s="58"/>
      <c r="G2454" s="59"/>
      <c r="H2454" s="56"/>
      <c r="I2454" s="56"/>
      <c r="J2454" s="60" t="str">
        <f aca="false">IF(IsPro,IF($D2454="","",IFERROR(INDEX(Items!$D$5:$D$504,U2454),"")),"")</f>
        <v/>
      </c>
      <c r="K2454" s="61" t="str">
        <f aca="false">IF(IsPro,IF($D2454="","",IF($F2454="",IFERROR(INDEX(Items!$H$5:$H$504,U2454),0),$F2454)),"")</f>
        <v/>
      </c>
      <c r="L2454" s="61" t="str">
        <f aca="false">IF(IsPro,IF($D2454="","",ROUND(N($E2454)*K2454*(1-N($G2454)),2)),"")</f>
        <v/>
      </c>
      <c r="M2454" s="62" t="str">
        <f aca="false">IF(IsPro,IF($D2454="","",IFERROR(INDEX(Items!$F$5:$F$504,U2454),0)),"")</f>
        <v/>
      </c>
      <c r="N2454" s="61" t="str">
        <f aca="false">IF(IsPro,IF($D2454="","",IF(AND(V2454&lt;&gt;"",INDEX(Parties!$E$5:$E$304,V2454)&lt;&gt;"",INDEX(Parties!$E$5:$E$304,V2454)&lt;&gt;HomeState),0,ROUND(L2454*M2454/2,2))),"")</f>
        <v/>
      </c>
      <c r="O2454" s="61" t="str">
        <f aca="false">IF(IsPro,IF($D2454="","",N2454),"")</f>
        <v/>
      </c>
      <c r="P2454" s="61" t="str">
        <f aca="false">IF(IsPro,IF($D2454="","",IF(AND(V2454&lt;&gt;"",INDEX(Parties!$E$5:$E$304,V2454)&lt;&gt;"",INDEX(Parties!$E$5:$E$304,V2454)&lt;&gt;HomeState),ROUND(L2454*M2454,2),0)),"")</f>
        <v/>
      </c>
      <c r="Q2454" s="61" t="str">
        <f aca="false">IF(IsPro,IF($D2454="","",L2454+N2454+O2454+P2454),"")</f>
        <v/>
      </c>
      <c r="R2454" s="61" t="str">
        <f aca="false">IF(IsPro,IF($D2454="","",ROUND(N($E2454)*IFERROR(INDEX(Items!$P$5:$P$504,U2454),0),2)),"")</f>
        <v/>
      </c>
      <c r="S2454" s="61" t="str">
        <f aca="false">IF(IsPro,IF($D2454="","",L2454-R2454),"")</f>
        <v/>
      </c>
      <c r="T2454" s="60" t="str">
        <f aca="false">IF(IsPro,IF($D2454="","",IF(U2454="","UNKNOWN ITEM",IF(INDEX(Items!$O$5:$O$504,U2454)&lt;0,"NEG STOCK",IF(K2454&lt;INDEX(Items!$P$5:$P$504,U2454),"BELOW COST","OK")))),IF($D2454="","","PRO PLAN"))</f>
        <v/>
      </c>
      <c r="U2454" s="60" t="str">
        <f aca="false">IF(IsPro,IF($D2454="","",IFERROR(MATCH($D2454,Items!$A$5:$A$504,0),"")),"")</f>
        <v/>
      </c>
      <c r="V2454" s="60" t="str">
        <f aca="false">IF(IsPro,IF($C2454="","",IFERROR(MATCH($C2454,Parties!$A$5:$A$304,0),"")),"")</f>
        <v/>
      </c>
      <c r="W2454" s="60" t="str">
        <f aca="false">IF(IsPro,IF($B2454="","",IFERROR(VALUE(SUBSTITUTE($B2454,InvPrefix,"")),0)),"")</f>
        <v/>
      </c>
      <c r="X2454" s="61" t="str">
        <f aca="false">IF(IsPro,IF($D2454="","",IF(OR($H2454="",$H2454="Credit"),0,Q2454)),"")</f>
        <v/>
      </c>
    </row>
    <row r="2455" customFormat="false" ht="15" hidden="false" customHeight="false" outlineLevel="0" collapsed="false">
      <c r="A2455" s="55"/>
      <c r="B2455" s="56"/>
      <c r="C2455" s="56"/>
      <c r="D2455" s="56"/>
      <c r="E2455" s="57"/>
      <c r="F2455" s="58"/>
      <c r="G2455" s="59"/>
      <c r="H2455" s="56"/>
      <c r="I2455" s="56"/>
      <c r="J2455" s="60" t="str">
        <f aca="false">IF(IsPro,IF($D2455="","",IFERROR(INDEX(Items!$D$5:$D$504,U2455),"")),"")</f>
        <v/>
      </c>
      <c r="K2455" s="61" t="str">
        <f aca="false">IF(IsPro,IF($D2455="","",IF($F2455="",IFERROR(INDEX(Items!$H$5:$H$504,U2455),0),$F2455)),"")</f>
        <v/>
      </c>
      <c r="L2455" s="61" t="str">
        <f aca="false">IF(IsPro,IF($D2455="","",ROUND(N($E2455)*K2455*(1-N($G2455)),2)),"")</f>
        <v/>
      </c>
      <c r="M2455" s="62" t="str">
        <f aca="false">IF(IsPro,IF($D2455="","",IFERROR(INDEX(Items!$F$5:$F$504,U2455),0)),"")</f>
        <v/>
      </c>
      <c r="N2455" s="61" t="str">
        <f aca="false">IF(IsPro,IF($D2455="","",IF(AND(V2455&lt;&gt;"",INDEX(Parties!$E$5:$E$304,V2455)&lt;&gt;"",INDEX(Parties!$E$5:$E$304,V2455)&lt;&gt;HomeState),0,ROUND(L2455*M2455/2,2))),"")</f>
        <v/>
      </c>
      <c r="O2455" s="61" t="str">
        <f aca="false">IF(IsPro,IF($D2455="","",N2455),"")</f>
        <v/>
      </c>
      <c r="P2455" s="61" t="str">
        <f aca="false">IF(IsPro,IF($D2455="","",IF(AND(V2455&lt;&gt;"",INDEX(Parties!$E$5:$E$304,V2455)&lt;&gt;"",INDEX(Parties!$E$5:$E$304,V2455)&lt;&gt;HomeState),ROUND(L2455*M2455,2),0)),"")</f>
        <v/>
      </c>
      <c r="Q2455" s="61" t="str">
        <f aca="false">IF(IsPro,IF($D2455="","",L2455+N2455+O2455+P2455),"")</f>
        <v/>
      </c>
      <c r="R2455" s="61" t="str">
        <f aca="false">IF(IsPro,IF($D2455="","",ROUND(N($E2455)*IFERROR(INDEX(Items!$P$5:$P$504,U2455),0),2)),"")</f>
        <v/>
      </c>
      <c r="S2455" s="61" t="str">
        <f aca="false">IF(IsPro,IF($D2455="","",L2455-R2455),"")</f>
        <v/>
      </c>
      <c r="T2455" s="60" t="str">
        <f aca="false">IF(IsPro,IF($D2455="","",IF(U2455="","UNKNOWN ITEM",IF(INDEX(Items!$O$5:$O$504,U2455)&lt;0,"NEG STOCK",IF(K2455&lt;INDEX(Items!$P$5:$P$504,U2455),"BELOW COST","OK")))),IF($D2455="","","PRO PLAN"))</f>
        <v/>
      </c>
      <c r="U2455" s="60" t="str">
        <f aca="false">IF(IsPro,IF($D2455="","",IFERROR(MATCH($D2455,Items!$A$5:$A$504,0),"")),"")</f>
        <v/>
      </c>
      <c r="V2455" s="60" t="str">
        <f aca="false">IF(IsPro,IF($C2455="","",IFERROR(MATCH($C2455,Parties!$A$5:$A$304,0),"")),"")</f>
        <v/>
      </c>
      <c r="W2455" s="60" t="str">
        <f aca="false">IF(IsPro,IF($B2455="","",IFERROR(VALUE(SUBSTITUTE($B2455,InvPrefix,"")),0)),"")</f>
        <v/>
      </c>
      <c r="X2455" s="61" t="str">
        <f aca="false">IF(IsPro,IF($D2455="","",IF(OR($H2455="",$H2455="Credit"),0,Q2455)),"")</f>
        <v/>
      </c>
    </row>
    <row r="2456" customFormat="false" ht="15" hidden="false" customHeight="false" outlineLevel="0" collapsed="false">
      <c r="A2456" s="55"/>
      <c r="B2456" s="56"/>
      <c r="C2456" s="56"/>
      <c r="D2456" s="56"/>
      <c r="E2456" s="57"/>
      <c r="F2456" s="58"/>
      <c r="G2456" s="59"/>
      <c r="H2456" s="56"/>
      <c r="I2456" s="56"/>
      <c r="J2456" s="60" t="str">
        <f aca="false">IF(IsPro,IF($D2456="","",IFERROR(INDEX(Items!$D$5:$D$504,U2456),"")),"")</f>
        <v/>
      </c>
      <c r="K2456" s="61" t="str">
        <f aca="false">IF(IsPro,IF($D2456="","",IF($F2456="",IFERROR(INDEX(Items!$H$5:$H$504,U2456),0),$F2456)),"")</f>
        <v/>
      </c>
      <c r="L2456" s="61" t="str">
        <f aca="false">IF(IsPro,IF($D2456="","",ROUND(N($E2456)*K2456*(1-N($G2456)),2)),"")</f>
        <v/>
      </c>
      <c r="M2456" s="62" t="str">
        <f aca="false">IF(IsPro,IF($D2456="","",IFERROR(INDEX(Items!$F$5:$F$504,U2456),0)),"")</f>
        <v/>
      </c>
      <c r="N2456" s="61" t="str">
        <f aca="false">IF(IsPro,IF($D2456="","",IF(AND(V2456&lt;&gt;"",INDEX(Parties!$E$5:$E$304,V2456)&lt;&gt;"",INDEX(Parties!$E$5:$E$304,V2456)&lt;&gt;HomeState),0,ROUND(L2456*M2456/2,2))),"")</f>
        <v/>
      </c>
      <c r="O2456" s="61" t="str">
        <f aca="false">IF(IsPro,IF($D2456="","",N2456),"")</f>
        <v/>
      </c>
      <c r="P2456" s="61" t="str">
        <f aca="false">IF(IsPro,IF($D2456="","",IF(AND(V2456&lt;&gt;"",INDEX(Parties!$E$5:$E$304,V2456)&lt;&gt;"",INDEX(Parties!$E$5:$E$304,V2456)&lt;&gt;HomeState),ROUND(L2456*M2456,2),0)),"")</f>
        <v/>
      </c>
      <c r="Q2456" s="61" t="str">
        <f aca="false">IF(IsPro,IF($D2456="","",L2456+N2456+O2456+P2456),"")</f>
        <v/>
      </c>
      <c r="R2456" s="61" t="str">
        <f aca="false">IF(IsPro,IF($D2456="","",ROUND(N($E2456)*IFERROR(INDEX(Items!$P$5:$P$504,U2456),0),2)),"")</f>
        <v/>
      </c>
      <c r="S2456" s="61" t="str">
        <f aca="false">IF(IsPro,IF($D2456="","",L2456-R2456),"")</f>
        <v/>
      </c>
      <c r="T2456" s="60" t="str">
        <f aca="false">IF(IsPro,IF($D2456="","",IF(U2456="","UNKNOWN ITEM",IF(INDEX(Items!$O$5:$O$504,U2456)&lt;0,"NEG STOCK",IF(K2456&lt;INDEX(Items!$P$5:$P$504,U2456),"BELOW COST","OK")))),IF($D2456="","","PRO PLAN"))</f>
        <v/>
      </c>
      <c r="U2456" s="60" t="str">
        <f aca="false">IF(IsPro,IF($D2456="","",IFERROR(MATCH($D2456,Items!$A$5:$A$504,0),"")),"")</f>
        <v/>
      </c>
      <c r="V2456" s="60" t="str">
        <f aca="false">IF(IsPro,IF($C2456="","",IFERROR(MATCH($C2456,Parties!$A$5:$A$304,0),"")),"")</f>
        <v/>
      </c>
      <c r="W2456" s="60" t="str">
        <f aca="false">IF(IsPro,IF($B2456="","",IFERROR(VALUE(SUBSTITUTE($B2456,InvPrefix,"")),0)),"")</f>
        <v/>
      </c>
      <c r="X2456" s="61" t="str">
        <f aca="false">IF(IsPro,IF($D2456="","",IF(OR($H2456="",$H2456="Credit"),0,Q2456)),"")</f>
        <v/>
      </c>
    </row>
    <row r="2457" customFormat="false" ht="15" hidden="false" customHeight="false" outlineLevel="0" collapsed="false">
      <c r="A2457" s="55"/>
      <c r="B2457" s="56"/>
      <c r="C2457" s="56"/>
      <c r="D2457" s="56"/>
      <c r="E2457" s="57"/>
      <c r="F2457" s="58"/>
      <c r="G2457" s="59"/>
      <c r="H2457" s="56"/>
      <c r="I2457" s="56"/>
      <c r="J2457" s="60" t="str">
        <f aca="false">IF(IsPro,IF($D2457="","",IFERROR(INDEX(Items!$D$5:$D$504,U2457),"")),"")</f>
        <v/>
      </c>
      <c r="K2457" s="61" t="str">
        <f aca="false">IF(IsPro,IF($D2457="","",IF($F2457="",IFERROR(INDEX(Items!$H$5:$H$504,U2457),0),$F2457)),"")</f>
        <v/>
      </c>
      <c r="L2457" s="61" t="str">
        <f aca="false">IF(IsPro,IF($D2457="","",ROUND(N($E2457)*K2457*(1-N($G2457)),2)),"")</f>
        <v/>
      </c>
      <c r="M2457" s="62" t="str">
        <f aca="false">IF(IsPro,IF($D2457="","",IFERROR(INDEX(Items!$F$5:$F$504,U2457),0)),"")</f>
        <v/>
      </c>
      <c r="N2457" s="61" t="str">
        <f aca="false">IF(IsPro,IF($D2457="","",IF(AND(V2457&lt;&gt;"",INDEX(Parties!$E$5:$E$304,V2457)&lt;&gt;"",INDEX(Parties!$E$5:$E$304,V2457)&lt;&gt;HomeState),0,ROUND(L2457*M2457/2,2))),"")</f>
        <v/>
      </c>
      <c r="O2457" s="61" t="str">
        <f aca="false">IF(IsPro,IF($D2457="","",N2457),"")</f>
        <v/>
      </c>
      <c r="P2457" s="61" t="str">
        <f aca="false">IF(IsPro,IF($D2457="","",IF(AND(V2457&lt;&gt;"",INDEX(Parties!$E$5:$E$304,V2457)&lt;&gt;"",INDEX(Parties!$E$5:$E$304,V2457)&lt;&gt;HomeState),ROUND(L2457*M2457,2),0)),"")</f>
        <v/>
      </c>
      <c r="Q2457" s="61" t="str">
        <f aca="false">IF(IsPro,IF($D2457="","",L2457+N2457+O2457+P2457),"")</f>
        <v/>
      </c>
      <c r="R2457" s="61" t="str">
        <f aca="false">IF(IsPro,IF($D2457="","",ROUND(N($E2457)*IFERROR(INDEX(Items!$P$5:$P$504,U2457),0),2)),"")</f>
        <v/>
      </c>
      <c r="S2457" s="61" t="str">
        <f aca="false">IF(IsPro,IF($D2457="","",L2457-R2457),"")</f>
        <v/>
      </c>
      <c r="T2457" s="60" t="str">
        <f aca="false">IF(IsPro,IF($D2457="","",IF(U2457="","UNKNOWN ITEM",IF(INDEX(Items!$O$5:$O$504,U2457)&lt;0,"NEG STOCK",IF(K2457&lt;INDEX(Items!$P$5:$P$504,U2457),"BELOW COST","OK")))),IF($D2457="","","PRO PLAN"))</f>
        <v/>
      </c>
      <c r="U2457" s="60" t="str">
        <f aca="false">IF(IsPro,IF($D2457="","",IFERROR(MATCH($D2457,Items!$A$5:$A$504,0),"")),"")</f>
        <v/>
      </c>
      <c r="V2457" s="60" t="str">
        <f aca="false">IF(IsPro,IF($C2457="","",IFERROR(MATCH($C2457,Parties!$A$5:$A$304,0),"")),"")</f>
        <v/>
      </c>
      <c r="W2457" s="60" t="str">
        <f aca="false">IF(IsPro,IF($B2457="","",IFERROR(VALUE(SUBSTITUTE($B2457,InvPrefix,"")),0)),"")</f>
        <v/>
      </c>
      <c r="X2457" s="61" t="str">
        <f aca="false">IF(IsPro,IF($D2457="","",IF(OR($H2457="",$H2457="Credit"),0,Q2457)),"")</f>
        <v/>
      </c>
    </row>
    <row r="2458" customFormat="false" ht="15" hidden="false" customHeight="false" outlineLevel="0" collapsed="false">
      <c r="A2458" s="55"/>
      <c r="B2458" s="56"/>
      <c r="C2458" s="56"/>
      <c r="D2458" s="56"/>
      <c r="E2458" s="57"/>
      <c r="F2458" s="58"/>
      <c r="G2458" s="59"/>
      <c r="H2458" s="56"/>
      <c r="I2458" s="56"/>
      <c r="J2458" s="60" t="str">
        <f aca="false">IF(IsPro,IF($D2458="","",IFERROR(INDEX(Items!$D$5:$D$504,U2458),"")),"")</f>
        <v/>
      </c>
      <c r="K2458" s="61" t="str">
        <f aca="false">IF(IsPro,IF($D2458="","",IF($F2458="",IFERROR(INDEX(Items!$H$5:$H$504,U2458),0),$F2458)),"")</f>
        <v/>
      </c>
      <c r="L2458" s="61" t="str">
        <f aca="false">IF(IsPro,IF($D2458="","",ROUND(N($E2458)*K2458*(1-N($G2458)),2)),"")</f>
        <v/>
      </c>
      <c r="M2458" s="62" t="str">
        <f aca="false">IF(IsPro,IF($D2458="","",IFERROR(INDEX(Items!$F$5:$F$504,U2458),0)),"")</f>
        <v/>
      </c>
      <c r="N2458" s="61" t="str">
        <f aca="false">IF(IsPro,IF($D2458="","",IF(AND(V2458&lt;&gt;"",INDEX(Parties!$E$5:$E$304,V2458)&lt;&gt;"",INDEX(Parties!$E$5:$E$304,V2458)&lt;&gt;HomeState),0,ROUND(L2458*M2458/2,2))),"")</f>
        <v/>
      </c>
      <c r="O2458" s="61" t="str">
        <f aca="false">IF(IsPro,IF($D2458="","",N2458),"")</f>
        <v/>
      </c>
      <c r="P2458" s="61" t="str">
        <f aca="false">IF(IsPro,IF($D2458="","",IF(AND(V2458&lt;&gt;"",INDEX(Parties!$E$5:$E$304,V2458)&lt;&gt;"",INDEX(Parties!$E$5:$E$304,V2458)&lt;&gt;HomeState),ROUND(L2458*M2458,2),0)),"")</f>
        <v/>
      </c>
      <c r="Q2458" s="61" t="str">
        <f aca="false">IF(IsPro,IF($D2458="","",L2458+N2458+O2458+P2458),"")</f>
        <v/>
      </c>
      <c r="R2458" s="61" t="str">
        <f aca="false">IF(IsPro,IF($D2458="","",ROUND(N($E2458)*IFERROR(INDEX(Items!$P$5:$P$504,U2458),0),2)),"")</f>
        <v/>
      </c>
      <c r="S2458" s="61" t="str">
        <f aca="false">IF(IsPro,IF($D2458="","",L2458-R2458),"")</f>
        <v/>
      </c>
      <c r="T2458" s="60" t="str">
        <f aca="false">IF(IsPro,IF($D2458="","",IF(U2458="","UNKNOWN ITEM",IF(INDEX(Items!$O$5:$O$504,U2458)&lt;0,"NEG STOCK",IF(K2458&lt;INDEX(Items!$P$5:$P$504,U2458),"BELOW COST","OK")))),IF($D2458="","","PRO PLAN"))</f>
        <v/>
      </c>
      <c r="U2458" s="60" t="str">
        <f aca="false">IF(IsPro,IF($D2458="","",IFERROR(MATCH($D2458,Items!$A$5:$A$504,0),"")),"")</f>
        <v/>
      </c>
      <c r="V2458" s="60" t="str">
        <f aca="false">IF(IsPro,IF($C2458="","",IFERROR(MATCH($C2458,Parties!$A$5:$A$304,0),"")),"")</f>
        <v/>
      </c>
      <c r="W2458" s="60" t="str">
        <f aca="false">IF(IsPro,IF($B2458="","",IFERROR(VALUE(SUBSTITUTE($B2458,InvPrefix,"")),0)),"")</f>
        <v/>
      </c>
      <c r="X2458" s="61" t="str">
        <f aca="false">IF(IsPro,IF($D2458="","",IF(OR($H2458="",$H2458="Credit"),0,Q2458)),"")</f>
        <v/>
      </c>
    </row>
    <row r="2459" customFormat="false" ht="15" hidden="false" customHeight="false" outlineLevel="0" collapsed="false">
      <c r="A2459" s="55"/>
      <c r="B2459" s="56"/>
      <c r="C2459" s="56"/>
      <c r="D2459" s="56"/>
      <c r="E2459" s="57"/>
      <c r="F2459" s="58"/>
      <c r="G2459" s="59"/>
      <c r="H2459" s="56"/>
      <c r="I2459" s="56"/>
      <c r="J2459" s="60" t="str">
        <f aca="false">IF(IsPro,IF($D2459="","",IFERROR(INDEX(Items!$D$5:$D$504,U2459),"")),"")</f>
        <v/>
      </c>
      <c r="K2459" s="61" t="str">
        <f aca="false">IF(IsPro,IF($D2459="","",IF($F2459="",IFERROR(INDEX(Items!$H$5:$H$504,U2459),0),$F2459)),"")</f>
        <v/>
      </c>
      <c r="L2459" s="61" t="str">
        <f aca="false">IF(IsPro,IF($D2459="","",ROUND(N($E2459)*K2459*(1-N($G2459)),2)),"")</f>
        <v/>
      </c>
      <c r="M2459" s="62" t="str">
        <f aca="false">IF(IsPro,IF($D2459="","",IFERROR(INDEX(Items!$F$5:$F$504,U2459),0)),"")</f>
        <v/>
      </c>
      <c r="N2459" s="61" t="str">
        <f aca="false">IF(IsPro,IF($D2459="","",IF(AND(V2459&lt;&gt;"",INDEX(Parties!$E$5:$E$304,V2459)&lt;&gt;"",INDEX(Parties!$E$5:$E$304,V2459)&lt;&gt;HomeState),0,ROUND(L2459*M2459/2,2))),"")</f>
        <v/>
      </c>
      <c r="O2459" s="61" t="str">
        <f aca="false">IF(IsPro,IF($D2459="","",N2459),"")</f>
        <v/>
      </c>
      <c r="P2459" s="61" t="str">
        <f aca="false">IF(IsPro,IF($D2459="","",IF(AND(V2459&lt;&gt;"",INDEX(Parties!$E$5:$E$304,V2459)&lt;&gt;"",INDEX(Parties!$E$5:$E$304,V2459)&lt;&gt;HomeState),ROUND(L2459*M2459,2),0)),"")</f>
        <v/>
      </c>
      <c r="Q2459" s="61" t="str">
        <f aca="false">IF(IsPro,IF($D2459="","",L2459+N2459+O2459+P2459),"")</f>
        <v/>
      </c>
      <c r="R2459" s="61" t="str">
        <f aca="false">IF(IsPro,IF($D2459="","",ROUND(N($E2459)*IFERROR(INDEX(Items!$P$5:$P$504,U2459),0),2)),"")</f>
        <v/>
      </c>
      <c r="S2459" s="61" t="str">
        <f aca="false">IF(IsPro,IF($D2459="","",L2459-R2459),"")</f>
        <v/>
      </c>
      <c r="T2459" s="60" t="str">
        <f aca="false">IF(IsPro,IF($D2459="","",IF(U2459="","UNKNOWN ITEM",IF(INDEX(Items!$O$5:$O$504,U2459)&lt;0,"NEG STOCK",IF(K2459&lt;INDEX(Items!$P$5:$P$504,U2459),"BELOW COST","OK")))),IF($D2459="","","PRO PLAN"))</f>
        <v/>
      </c>
      <c r="U2459" s="60" t="str">
        <f aca="false">IF(IsPro,IF($D2459="","",IFERROR(MATCH($D2459,Items!$A$5:$A$504,0),"")),"")</f>
        <v/>
      </c>
      <c r="V2459" s="60" t="str">
        <f aca="false">IF(IsPro,IF($C2459="","",IFERROR(MATCH($C2459,Parties!$A$5:$A$304,0),"")),"")</f>
        <v/>
      </c>
      <c r="W2459" s="60" t="str">
        <f aca="false">IF(IsPro,IF($B2459="","",IFERROR(VALUE(SUBSTITUTE($B2459,InvPrefix,"")),0)),"")</f>
        <v/>
      </c>
      <c r="X2459" s="61" t="str">
        <f aca="false">IF(IsPro,IF($D2459="","",IF(OR($H2459="",$H2459="Credit"),0,Q2459)),"")</f>
        <v/>
      </c>
    </row>
    <row r="2460" customFormat="false" ht="15" hidden="false" customHeight="false" outlineLevel="0" collapsed="false">
      <c r="A2460" s="55"/>
      <c r="B2460" s="56"/>
      <c r="C2460" s="56"/>
      <c r="D2460" s="56"/>
      <c r="E2460" s="57"/>
      <c r="F2460" s="58"/>
      <c r="G2460" s="59"/>
      <c r="H2460" s="56"/>
      <c r="I2460" s="56"/>
      <c r="J2460" s="60" t="str">
        <f aca="false">IF(IsPro,IF($D2460="","",IFERROR(INDEX(Items!$D$5:$D$504,U2460),"")),"")</f>
        <v/>
      </c>
      <c r="K2460" s="61" t="str">
        <f aca="false">IF(IsPro,IF($D2460="","",IF($F2460="",IFERROR(INDEX(Items!$H$5:$H$504,U2460),0),$F2460)),"")</f>
        <v/>
      </c>
      <c r="L2460" s="61" t="str">
        <f aca="false">IF(IsPro,IF($D2460="","",ROUND(N($E2460)*K2460*(1-N($G2460)),2)),"")</f>
        <v/>
      </c>
      <c r="M2460" s="62" t="str">
        <f aca="false">IF(IsPro,IF($D2460="","",IFERROR(INDEX(Items!$F$5:$F$504,U2460),0)),"")</f>
        <v/>
      </c>
      <c r="N2460" s="61" t="str">
        <f aca="false">IF(IsPro,IF($D2460="","",IF(AND(V2460&lt;&gt;"",INDEX(Parties!$E$5:$E$304,V2460)&lt;&gt;"",INDEX(Parties!$E$5:$E$304,V2460)&lt;&gt;HomeState),0,ROUND(L2460*M2460/2,2))),"")</f>
        <v/>
      </c>
      <c r="O2460" s="61" t="str">
        <f aca="false">IF(IsPro,IF($D2460="","",N2460),"")</f>
        <v/>
      </c>
      <c r="P2460" s="61" t="str">
        <f aca="false">IF(IsPro,IF($D2460="","",IF(AND(V2460&lt;&gt;"",INDEX(Parties!$E$5:$E$304,V2460)&lt;&gt;"",INDEX(Parties!$E$5:$E$304,V2460)&lt;&gt;HomeState),ROUND(L2460*M2460,2),0)),"")</f>
        <v/>
      </c>
      <c r="Q2460" s="61" t="str">
        <f aca="false">IF(IsPro,IF($D2460="","",L2460+N2460+O2460+P2460),"")</f>
        <v/>
      </c>
      <c r="R2460" s="61" t="str">
        <f aca="false">IF(IsPro,IF($D2460="","",ROUND(N($E2460)*IFERROR(INDEX(Items!$P$5:$P$504,U2460),0),2)),"")</f>
        <v/>
      </c>
      <c r="S2460" s="61" t="str">
        <f aca="false">IF(IsPro,IF($D2460="","",L2460-R2460),"")</f>
        <v/>
      </c>
      <c r="T2460" s="60" t="str">
        <f aca="false">IF(IsPro,IF($D2460="","",IF(U2460="","UNKNOWN ITEM",IF(INDEX(Items!$O$5:$O$504,U2460)&lt;0,"NEG STOCK",IF(K2460&lt;INDEX(Items!$P$5:$P$504,U2460),"BELOW COST","OK")))),IF($D2460="","","PRO PLAN"))</f>
        <v/>
      </c>
      <c r="U2460" s="60" t="str">
        <f aca="false">IF(IsPro,IF($D2460="","",IFERROR(MATCH($D2460,Items!$A$5:$A$504,0),"")),"")</f>
        <v/>
      </c>
      <c r="V2460" s="60" t="str">
        <f aca="false">IF(IsPro,IF($C2460="","",IFERROR(MATCH($C2460,Parties!$A$5:$A$304,0),"")),"")</f>
        <v/>
      </c>
      <c r="W2460" s="60" t="str">
        <f aca="false">IF(IsPro,IF($B2460="","",IFERROR(VALUE(SUBSTITUTE($B2460,InvPrefix,"")),0)),"")</f>
        <v/>
      </c>
      <c r="X2460" s="61" t="str">
        <f aca="false">IF(IsPro,IF($D2460="","",IF(OR($H2460="",$H2460="Credit"),0,Q2460)),"")</f>
        <v/>
      </c>
    </row>
    <row r="2461" customFormat="false" ht="15" hidden="false" customHeight="false" outlineLevel="0" collapsed="false">
      <c r="A2461" s="55"/>
      <c r="B2461" s="56"/>
      <c r="C2461" s="56"/>
      <c r="D2461" s="56"/>
      <c r="E2461" s="57"/>
      <c r="F2461" s="58"/>
      <c r="G2461" s="59"/>
      <c r="H2461" s="56"/>
      <c r="I2461" s="56"/>
      <c r="J2461" s="60" t="str">
        <f aca="false">IF(IsPro,IF($D2461="","",IFERROR(INDEX(Items!$D$5:$D$504,U2461),"")),"")</f>
        <v/>
      </c>
      <c r="K2461" s="61" t="str">
        <f aca="false">IF(IsPro,IF($D2461="","",IF($F2461="",IFERROR(INDEX(Items!$H$5:$H$504,U2461),0),$F2461)),"")</f>
        <v/>
      </c>
      <c r="L2461" s="61" t="str">
        <f aca="false">IF(IsPro,IF($D2461="","",ROUND(N($E2461)*K2461*(1-N($G2461)),2)),"")</f>
        <v/>
      </c>
      <c r="M2461" s="62" t="str">
        <f aca="false">IF(IsPro,IF($D2461="","",IFERROR(INDEX(Items!$F$5:$F$504,U2461),0)),"")</f>
        <v/>
      </c>
      <c r="N2461" s="61" t="str">
        <f aca="false">IF(IsPro,IF($D2461="","",IF(AND(V2461&lt;&gt;"",INDEX(Parties!$E$5:$E$304,V2461)&lt;&gt;"",INDEX(Parties!$E$5:$E$304,V2461)&lt;&gt;HomeState),0,ROUND(L2461*M2461/2,2))),"")</f>
        <v/>
      </c>
      <c r="O2461" s="61" t="str">
        <f aca="false">IF(IsPro,IF($D2461="","",N2461),"")</f>
        <v/>
      </c>
      <c r="P2461" s="61" t="str">
        <f aca="false">IF(IsPro,IF($D2461="","",IF(AND(V2461&lt;&gt;"",INDEX(Parties!$E$5:$E$304,V2461)&lt;&gt;"",INDEX(Parties!$E$5:$E$304,V2461)&lt;&gt;HomeState),ROUND(L2461*M2461,2),0)),"")</f>
        <v/>
      </c>
      <c r="Q2461" s="61" t="str">
        <f aca="false">IF(IsPro,IF($D2461="","",L2461+N2461+O2461+P2461),"")</f>
        <v/>
      </c>
      <c r="R2461" s="61" t="str">
        <f aca="false">IF(IsPro,IF($D2461="","",ROUND(N($E2461)*IFERROR(INDEX(Items!$P$5:$P$504,U2461),0),2)),"")</f>
        <v/>
      </c>
      <c r="S2461" s="61" t="str">
        <f aca="false">IF(IsPro,IF($D2461="","",L2461-R2461),"")</f>
        <v/>
      </c>
      <c r="T2461" s="60" t="str">
        <f aca="false">IF(IsPro,IF($D2461="","",IF(U2461="","UNKNOWN ITEM",IF(INDEX(Items!$O$5:$O$504,U2461)&lt;0,"NEG STOCK",IF(K2461&lt;INDEX(Items!$P$5:$P$504,U2461),"BELOW COST","OK")))),IF($D2461="","","PRO PLAN"))</f>
        <v/>
      </c>
      <c r="U2461" s="60" t="str">
        <f aca="false">IF(IsPro,IF($D2461="","",IFERROR(MATCH($D2461,Items!$A$5:$A$504,0),"")),"")</f>
        <v/>
      </c>
      <c r="V2461" s="60" t="str">
        <f aca="false">IF(IsPro,IF($C2461="","",IFERROR(MATCH($C2461,Parties!$A$5:$A$304,0),"")),"")</f>
        <v/>
      </c>
      <c r="W2461" s="60" t="str">
        <f aca="false">IF(IsPro,IF($B2461="","",IFERROR(VALUE(SUBSTITUTE($B2461,InvPrefix,"")),0)),"")</f>
        <v/>
      </c>
      <c r="X2461" s="61" t="str">
        <f aca="false">IF(IsPro,IF($D2461="","",IF(OR($H2461="",$H2461="Credit"),0,Q2461)),"")</f>
        <v/>
      </c>
    </row>
    <row r="2462" customFormat="false" ht="15" hidden="false" customHeight="false" outlineLevel="0" collapsed="false">
      <c r="A2462" s="55"/>
      <c r="B2462" s="56"/>
      <c r="C2462" s="56"/>
      <c r="D2462" s="56"/>
      <c r="E2462" s="57"/>
      <c r="F2462" s="58"/>
      <c r="G2462" s="59"/>
      <c r="H2462" s="56"/>
      <c r="I2462" s="56"/>
      <c r="J2462" s="60" t="str">
        <f aca="false">IF(IsPro,IF($D2462="","",IFERROR(INDEX(Items!$D$5:$D$504,U2462),"")),"")</f>
        <v/>
      </c>
      <c r="K2462" s="61" t="str">
        <f aca="false">IF(IsPro,IF($D2462="","",IF($F2462="",IFERROR(INDEX(Items!$H$5:$H$504,U2462),0),$F2462)),"")</f>
        <v/>
      </c>
      <c r="L2462" s="61" t="str">
        <f aca="false">IF(IsPro,IF($D2462="","",ROUND(N($E2462)*K2462*(1-N($G2462)),2)),"")</f>
        <v/>
      </c>
      <c r="M2462" s="62" t="str">
        <f aca="false">IF(IsPro,IF($D2462="","",IFERROR(INDEX(Items!$F$5:$F$504,U2462),0)),"")</f>
        <v/>
      </c>
      <c r="N2462" s="61" t="str">
        <f aca="false">IF(IsPro,IF($D2462="","",IF(AND(V2462&lt;&gt;"",INDEX(Parties!$E$5:$E$304,V2462)&lt;&gt;"",INDEX(Parties!$E$5:$E$304,V2462)&lt;&gt;HomeState),0,ROUND(L2462*M2462/2,2))),"")</f>
        <v/>
      </c>
      <c r="O2462" s="61" t="str">
        <f aca="false">IF(IsPro,IF($D2462="","",N2462),"")</f>
        <v/>
      </c>
      <c r="P2462" s="61" t="str">
        <f aca="false">IF(IsPro,IF($D2462="","",IF(AND(V2462&lt;&gt;"",INDEX(Parties!$E$5:$E$304,V2462)&lt;&gt;"",INDEX(Parties!$E$5:$E$304,V2462)&lt;&gt;HomeState),ROUND(L2462*M2462,2),0)),"")</f>
        <v/>
      </c>
      <c r="Q2462" s="61" t="str">
        <f aca="false">IF(IsPro,IF($D2462="","",L2462+N2462+O2462+P2462),"")</f>
        <v/>
      </c>
      <c r="R2462" s="61" t="str">
        <f aca="false">IF(IsPro,IF($D2462="","",ROUND(N($E2462)*IFERROR(INDEX(Items!$P$5:$P$504,U2462),0),2)),"")</f>
        <v/>
      </c>
      <c r="S2462" s="61" t="str">
        <f aca="false">IF(IsPro,IF($D2462="","",L2462-R2462),"")</f>
        <v/>
      </c>
      <c r="T2462" s="60" t="str">
        <f aca="false">IF(IsPro,IF($D2462="","",IF(U2462="","UNKNOWN ITEM",IF(INDEX(Items!$O$5:$O$504,U2462)&lt;0,"NEG STOCK",IF(K2462&lt;INDEX(Items!$P$5:$P$504,U2462),"BELOW COST","OK")))),IF($D2462="","","PRO PLAN"))</f>
        <v/>
      </c>
      <c r="U2462" s="60" t="str">
        <f aca="false">IF(IsPro,IF($D2462="","",IFERROR(MATCH($D2462,Items!$A$5:$A$504,0),"")),"")</f>
        <v/>
      </c>
      <c r="V2462" s="60" t="str">
        <f aca="false">IF(IsPro,IF($C2462="","",IFERROR(MATCH($C2462,Parties!$A$5:$A$304,0),"")),"")</f>
        <v/>
      </c>
      <c r="W2462" s="60" t="str">
        <f aca="false">IF(IsPro,IF($B2462="","",IFERROR(VALUE(SUBSTITUTE($B2462,InvPrefix,"")),0)),"")</f>
        <v/>
      </c>
      <c r="X2462" s="61" t="str">
        <f aca="false">IF(IsPro,IF($D2462="","",IF(OR($H2462="",$H2462="Credit"),0,Q2462)),"")</f>
        <v/>
      </c>
    </row>
    <row r="2463" customFormat="false" ht="15" hidden="false" customHeight="false" outlineLevel="0" collapsed="false">
      <c r="A2463" s="55"/>
      <c r="B2463" s="56"/>
      <c r="C2463" s="56"/>
      <c r="D2463" s="56"/>
      <c r="E2463" s="57"/>
      <c r="F2463" s="58"/>
      <c r="G2463" s="59"/>
      <c r="H2463" s="56"/>
      <c r="I2463" s="56"/>
      <c r="J2463" s="60" t="str">
        <f aca="false">IF(IsPro,IF($D2463="","",IFERROR(INDEX(Items!$D$5:$D$504,U2463),"")),"")</f>
        <v/>
      </c>
      <c r="K2463" s="61" t="str">
        <f aca="false">IF(IsPro,IF($D2463="","",IF($F2463="",IFERROR(INDEX(Items!$H$5:$H$504,U2463),0),$F2463)),"")</f>
        <v/>
      </c>
      <c r="L2463" s="61" t="str">
        <f aca="false">IF(IsPro,IF($D2463="","",ROUND(N($E2463)*K2463*(1-N($G2463)),2)),"")</f>
        <v/>
      </c>
      <c r="M2463" s="62" t="str">
        <f aca="false">IF(IsPro,IF($D2463="","",IFERROR(INDEX(Items!$F$5:$F$504,U2463),0)),"")</f>
        <v/>
      </c>
      <c r="N2463" s="61" t="str">
        <f aca="false">IF(IsPro,IF($D2463="","",IF(AND(V2463&lt;&gt;"",INDEX(Parties!$E$5:$E$304,V2463)&lt;&gt;"",INDEX(Parties!$E$5:$E$304,V2463)&lt;&gt;HomeState),0,ROUND(L2463*M2463/2,2))),"")</f>
        <v/>
      </c>
      <c r="O2463" s="61" t="str">
        <f aca="false">IF(IsPro,IF($D2463="","",N2463),"")</f>
        <v/>
      </c>
      <c r="P2463" s="61" t="str">
        <f aca="false">IF(IsPro,IF($D2463="","",IF(AND(V2463&lt;&gt;"",INDEX(Parties!$E$5:$E$304,V2463)&lt;&gt;"",INDEX(Parties!$E$5:$E$304,V2463)&lt;&gt;HomeState),ROUND(L2463*M2463,2),0)),"")</f>
        <v/>
      </c>
      <c r="Q2463" s="61" t="str">
        <f aca="false">IF(IsPro,IF($D2463="","",L2463+N2463+O2463+P2463),"")</f>
        <v/>
      </c>
      <c r="R2463" s="61" t="str">
        <f aca="false">IF(IsPro,IF($D2463="","",ROUND(N($E2463)*IFERROR(INDEX(Items!$P$5:$P$504,U2463),0),2)),"")</f>
        <v/>
      </c>
      <c r="S2463" s="61" t="str">
        <f aca="false">IF(IsPro,IF($D2463="","",L2463-R2463),"")</f>
        <v/>
      </c>
      <c r="T2463" s="60" t="str">
        <f aca="false">IF(IsPro,IF($D2463="","",IF(U2463="","UNKNOWN ITEM",IF(INDEX(Items!$O$5:$O$504,U2463)&lt;0,"NEG STOCK",IF(K2463&lt;INDEX(Items!$P$5:$P$504,U2463),"BELOW COST","OK")))),IF($D2463="","","PRO PLAN"))</f>
        <v/>
      </c>
      <c r="U2463" s="60" t="str">
        <f aca="false">IF(IsPro,IF($D2463="","",IFERROR(MATCH($D2463,Items!$A$5:$A$504,0),"")),"")</f>
        <v/>
      </c>
      <c r="V2463" s="60" t="str">
        <f aca="false">IF(IsPro,IF($C2463="","",IFERROR(MATCH($C2463,Parties!$A$5:$A$304,0),"")),"")</f>
        <v/>
      </c>
      <c r="W2463" s="60" t="str">
        <f aca="false">IF(IsPro,IF($B2463="","",IFERROR(VALUE(SUBSTITUTE($B2463,InvPrefix,"")),0)),"")</f>
        <v/>
      </c>
      <c r="X2463" s="61" t="str">
        <f aca="false">IF(IsPro,IF($D2463="","",IF(OR($H2463="",$H2463="Credit"),0,Q2463)),"")</f>
        <v/>
      </c>
    </row>
    <row r="2464" customFormat="false" ht="15" hidden="false" customHeight="false" outlineLevel="0" collapsed="false">
      <c r="A2464" s="55"/>
      <c r="B2464" s="56"/>
      <c r="C2464" s="56"/>
      <c r="D2464" s="56"/>
      <c r="E2464" s="57"/>
      <c r="F2464" s="58"/>
      <c r="G2464" s="59"/>
      <c r="H2464" s="56"/>
      <c r="I2464" s="56"/>
      <c r="J2464" s="60" t="str">
        <f aca="false">IF(IsPro,IF($D2464="","",IFERROR(INDEX(Items!$D$5:$D$504,U2464),"")),"")</f>
        <v/>
      </c>
      <c r="K2464" s="61" t="str">
        <f aca="false">IF(IsPro,IF($D2464="","",IF($F2464="",IFERROR(INDEX(Items!$H$5:$H$504,U2464),0),$F2464)),"")</f>
        <v/>
      </c>
      <c r="L2464" s="61" t="str">
        <f aca="false">IF(IsPro,IF($D2464="","",ROUND(N($E2464)*K2464*(1-N($G2464)),2)),"")</f>
        <v/>
      </c>
      <c r="M2464" s="62" t="str">
        <f aca="false">IF(IsPro,IF($D2464="","",IFERROR(INDEX(Items!$F$5:$F$504,U2464),0)),"")</f>
        <v/>
      </c>
      <c r="N2464" s="61" t="str">
        <f aca="false">IF(IsPro,IF($D2464="","",IF(AND(V2464&lt;&gt;"",INDEX(Parties!$E$5:$E$304,V2464)&lt;&gt;"",INDEX(Parties!$E$5:$E$304,V2464)&lt;&gt;HomeState),0,ROUND(L2464*M2464/2,2))),"")</f>
        <v/>
      </c>
      <c r="O2464" s="61" t="str">
        <f aca="false">IF(IsPro,IF($D2464="","",N2464),"")</f>
        <v/>
      </c>
      <c r="P2464" s="61" t="str">
        <f aca="false">IF(IsPro,IF($D2464="","",IF(AND(V2464&lt;&gt;"",INDEX(Parties!$E$5:$E$304,V2464)&lt;&gt;"",INDEX(Parties!$E$5:$E$304,V2464)&lt;&gt;HomeState),ROUND(L2464*M2464,2),0)),"")</f>
        <v/>
      </c>
      <c r="Q2464" s="61" t="str">
        <f aca="false">IF(IsPro,IF($D2464="","",L2464+N2464+O2464+P2464),"")</f>
        <v/>
      </c>
      <c r="R2464" s="61" t="str">
        <f aca="false">IF(IsPro,IF($D2464="","",ROUND(N($E2464)*IFERROR(INDEX(Items!$P$5:$P$504,U2464),0),2)),"")</f>
        <v/>
      </c>
      <c r="S2464" s="61" t="str">
        <f aca="false">IF(IsPro,IF($D2464="","",L2464-R2464),"")</f>
        <v/>
      </c>
      <c r="T2464" s="60" t="str">
        <f aca="false">IF(IsPro,IF($D2464="","",IF(U2464="","UNKNOWN ITEM",IF(INDEX(Items!$O$5:$O$504,U2464)&lt;0,"NEG STOCK",IF(K2464&lt;INDEX(Items!$P$5:$P$504,U2464),"BELOW COST","OK")))),IF($D2464="","","PRO PLAN"))</f>
        <v/>
      </c>
      <c r="U2464" s="60" t="str">
        <f aca="false">IF(IsPro,IF($D2464="","",IFERROR(MATCH($D2464,Items!$A$5:$A$504,0),"")),"")</f>
        <v/>
      </c>
      <c r="V2464" s="60" t="str">
        <f aca="false">IF(IsPro,IF($C2464="","",IFERROR(MATCH($C2464,Parties!$A$5:$A$304,0),"")),"")</f>
        <v/>
      </c>
      <c r="W2464" s="60" t="str">
        <f aca="false">IF(IsPro,IF($B2464="","",IFERROR(VALUE(SUBSTITUTE($B2464,InvPrefix,"")),0)),"")</f>
        <v/>
      </c>
      <c r="X2464" s="61" t="str">
        <f aca="false">IF(IsPro,IF($D2464="","",IF(OR($H2464="",$H2464="Credit"),0,Q2464)),"")</f>
        <v/>
      </c>
    </row>
    <row r="2465" customFormat="false" ht="15" hidden="false" customHeight="false" outlineLevel="0" collapsed="false">
      <c r="A2465" s="55"/>
      <c r="B2465" s="56"/>
      <c r="C2465" s="56"/>
      <c r="D2465" s="56"/>
      <c r="E2465" s="57"/>
      <c r="F2465" s="58"/>
      <c r="G2465" s="59"/>
      <c r="H2465" s="56"/>
      <c r="I2465" s="56"/>
      <c r="J2465" s="60" t="str">
        <f aca="false">IF(IsPro,IF($D2465="","",IFERROR(INDEX(Items!$D$5:$D$504,U2465),"")),"")</f>
        <v/>
      </c>
      <c r="K2465" s="61" t="str">
        <f aca="false">IF(IsPro,IF($D2465="","",IF($F2465="",IFERROR(INDEX(Items!$H$5:$H$504,U2465),0),$F2465)),"")</f>
        <v/>
      </c>
      <c r="L2465" s="61" t="str">
        <f aca="false">IF(IsPro,IF($D2465="","",ROUND(N($E2465)*K2465*(1-N($G2465)),2)),"")</f>
        <v/>
      </c>
      <c r="M2465" s="62" t="str">
        <f aca="false">IF(IsPro,IF($D2465="","",IFERROR(INDEX(Items!$F$5:$F$504,U2465),0)),"")</f>
        <v/>
      </c>
      <c r="N2465" s="61" t="str">
        <f aca="false">IF(IsPro,IF($D2465="","",IF(AND(V2465&lt;&gt;"",INDEX(Parties!$E$5:$E$304,V2465)&lt;&gt;"",INDEX(Parties!$E$5:$E$304,V2465)&lt;&gt;HomeState),0,ROUND(L2465*M2465/2,2))),"")</f>
        <v/>
      </c>
      <c r="O2465" s="61" t="str">
        <f aca="false">IF(IsPro,IF($D2465="","",N2465),"")</f>
        <v/>
      </c>
      <c r="P2465" s="61" t="str">
        <f aca="false">IF(IsPro,IF($D2465="","",IF(AND(V2465&lt;&gt;"",INDEX(Parties!$E$5:$E$304,V2465)&lt;&gt;"",INDEX(Parties!$E$5:$E$304,V2465)&lt;&gt;HomeState),ROUND(L2465*M2465,2),0)),"")</f>
        <v/>
      </c>
      <c r="Q2465" s="61" t="str">
        <f aca="false">IF(IsPro,IF($D2465="","",L2465+N2465+O2465+P2465),"")</f>
        <v/>
      </c>
      <c r="R2465" s="61" t="str">
        <f aca="false">IF(IsPro,IF($D2465="","",ROUND(N($E2465)*IFERROR(INDEX(Items!$P$5:$P$504,U2465),0),2)),"")</f>
        <v/>
      </c>
      <c r="S2465" s="61" t="str">
        <f aca="false">IF(IsPro,IF($D2465="","",L2465-R2465),"")</f>
        <v/>
      </c>
      <c r="T2465" s="60" t="str">
        <f aca="false">IF(IsPro,IF($D2465="","",IF(U2465="","UNKNOWN ITEM",IF(INDEX(Items!$O$5:$O$504,U2465)&lt;0,"NEG STOCK",IF(K2465&lt;INDEX(Items!$P$5:$P$504,U2465),"BELOW COST","OK")))),IF($D2465="","","PRO PLAN"))</f>
        <v/>
      </c>
      <c r="U2465" s="60" t="str">
        <f aca="false">IF(IsPro,IF($D2465="","",IFERROR(MATCH($D2465,Items!$A$5:$A$504,0),"")),"")</f>
        <v/>
      </c>
      <c r="V2465" s="60" t="str">
        <f aca="false">IF(IsPro,IF($C2465="","",IFERROR(MATCH($C2465,Parties!$A$5:$A$304,0),"")),"")</f>
        <v/>
      </c>
      <c r="W2465" s="60" t="str">
        <f aca="false">IF(IsPro,IF($B2465="","",IFERROR(VALUE(SUBSTITUTE($B2465,InvPrefix,"")),0)),"")</f>
        <v/>
      </c>
      <c r="X2465" s="61" t="str">
        <f aca="false">IF(IsPro,IF($D2465="","",IF(OR($H2465="",$H2465="Credit"),0,Q2465)),"")</f>
        <v/>
      </c>
    </row>
    <row r="2466" customFormat="false" ht="15" hidden="false" customHeight="false" outlineLevel="0" collapsed="false">
      <c r="A2466" s="55"/>
      <c r="B2466" s="56"/>
      <c r="C2466" s="56"/>
      <c r="D2466" s="56"/>
      <c r="E2466" s="57"/>
      <c r="F2466" s="58"/>
      <c r="G2466" s="59"/>
      <c r="H2466" s="56"/>
      <c r="I2466" s="56"/>
      <c r="J2466" s="60" t="str">
        <f aca="false">IF(IsPro,IF($D2466="","",IFERROR(INDEX(Items!$D$5:$D$504,U2466),"")),"")</f>
        <v/>
      </c>
      <c r="K2466" s="61" t="str">
        <f aca="false">IF(IsPro,IF($D2466="","",IF($F2466="",IFERROR(INDEX(Items!$H$5:$H$504,U2466),0),$F2466)),"")</f>
        <v/>
      </c>
      <c r="L2466" s="61" t="str">
        <f aca="false">IF(IsPro,IF($D2466="","",ROUND(N($E2466)*K2466*(1-N($G2466)),2)),"")</f>
        <v/>
      </c>
      <c r="M2466" s="62" t="str">
        <f aca="false">IF(IsPro,IF($D2466="","",IFERROR(INDEX(Items!$F$5:$F$504,U2466),0)),"")</f>
        <v/>
      </c>
      <c r="N2466" s="61" t="str">
        <f aca="false">IF(IsPro,IF($D2466="","",IF(AND(V2466&lt;&gt;"",INDEX(Parties!$E$5:$E$304,V2466)&lt;&gt;"",INDEX(Parties!$E$5:$E$304,V2466)&lt;&gt;HomeState),0,ROUND(L2466*M2466/2,2))),"")</f>
        <v/>
      </c>
      <c r="O2466" s="61" t="str">
        <f aca="false">IF(IsPro,IF($D2466="","",N2466),"")</f>
        <v/>
      </c>
      <c r="P2466" s="61" t="str">
        <f aca="false">IF(IsPro,IF($D2466="","",IF(AND(V2466&lt;&gt;"",INDEX(Parties!$E$5:$E$304,V2466)&lt;&gt;"",INDEX(Parties!$E$5:$E$304,V2466)&lt;&gt;HomeState),ROUND(L2466*M2466,2),0)),"")</f>
        <v/>
      </c>
      <c r="Q2466" s="61" t="str">
        <f aca="false">IF(IsPro,IF($D2466="","",L2466+N2466+O2466+P2466),"")</f>
        <v/>
      </c>
      <c r="R2466" s="61" t="str">
        <f aca="false">IF(IsPro,IF($D2466="","",ROUND(N($E2466)*IFERROR(INDEX(Items!$P$5:$P$504,U2466),0),2)),"")</f>
        <v/>
      </c>
      <c r="S2466" s="61" t="str">
        <f aca="false">IF(IsPro,IF($D2466="","",L2466-R2466),"")</f>
        <v/>
      </c>
      <c r="T2466" s="60" t="str">
        <f aca="false">IF(IsPro,IF($D2466="","",IF(U2466="","UNKNOWN ITEM",IF(INDEX(Items!$O$5:$O$504,U2466)&lt;0,"NEG STOCK",IF(K2466&lt;INDEX(Items!$P$5:$P$504,U2466),"BELOW COST","OK")))),IF($D2466="","","PRO PLAN"))</f>
        <v/>
      </c>
      <c r="U2466" s="60" t="str">
        <f aca="false">IF(IsPro,IF($D2466="","",IFERROR(MATCH($D2466,Items!$A$5:$A$504,0),"")),"")</f>
        <v/>
      </c>
      <c r="V2466" s="60" t="str">
        <f aca="false">IF(IsPro,IF($C2466="","",IFERROR(MATCH($C2466,Parties!$A$5:$A$304,0),"")),"")</f>
        <v/>
      </c>
      <c r="W2466" s="60" t="str">
        <f aca="false">IF(IsPro,IF($B2466="","",IFERROR(VALUE(SUBSTITUTE($B2466,InvPrefix,"")),0)),"")</f>
        <v/>
      </c>
      <c r="X2466" s="61" t="str">
        <f aca="false">IF(IsPro,IF($D2466="","",IF(OR($H2466="",$H2466="Credit"),0,Q2466)),"")</f>
        <v/>
      </c>
    </row>
    <row r="2467" customFormat="false" ht="15" hidden="false" customHeight="false" outlineLevel="0" collapsed="false">
      <c r="A2467" s="55"/>
      <c r="B2467" s="56"/>
      <c r="C2467" s="56"/>
      <c r="D2467" s="56"/>
      <c r="E2467" s="57"/>
      <c r="F2467" s="58"/>
      <c r="G2467" s="59"/>
      <c r="H2467" s="56"/>
      <c r="I2467" s="56"/>
      <c r="J2467" s="60" t="str">
        <f aca="false">IF(IsPro,IF($D2467="","",IFERROR(INDEX(Items!$D$5:$D$504,U2467),"")),"")</f>
        <v/>
      </c>
      <c r="K2467" s="61" t="str">
        <f aca="false">IF(IsPro,IF($D2467="","",IF($F2467="",IFERROR(INDEX(Items!$H$5:$H$504,U2467),0),$F2467)),"")</f>
        <v/>
      </c>
      <c r="L2467" s="61" t="str">
        <f aca="false">IF(IsPro,IF($D2467="","",ROUND(N($E2467)*K2467*(1-N($G2467)),2)),"")</f>
        <v/>
      </c>
      <c r="M2467" s="62" t="str">
        <f aca="false">IF(IsPro,IF($D2467="","",IFERROR(INDEX(Items!$F$5:$F$504,U2467),0)),"")</f>
        <v/>
      </c>
      <c r="N2467" s="61" t="str">
        <f aca="false">IF(IsPro,IF($D2467="","",IF(AND(V2467&lt;&gt;"",INDEX(Parties!$E$5:$E$304,V2467)&lt;&gt;"",INDEX(Parties!$E$5:$E$304,V2467)&lt;&gt;HomeState),0,ROUND(L2467*M2467/2,2))),"")</f>
        <v/>
      </c>
      <c r="O2467" s="61" t="str">
        <f aca="false">IF(IsPro,IF($D2467="","",N2467),"")</f>
        <v/>
      </c>
      <c r="P2467" s="61" t="str">
        <f aca="false">IF(IsPro,IF($D2467="","",IF(AND(V2467&lt;&gt;"",INDEX(Parties!$E$5:$E$304,V2467)&lt;&gt;"",INDEX(Parties!$E$5:$E$304,V2467)&lt;&gt;HomeState),ROUND(L2467*M2467,2),0)),"")</f>
        <v/>
      </c>
      <c r="Q2467" s="61" t="str">
        <f aca="false">IF(IsPro,IF($D2467="","",L2467+N2467+O2467+P2467),"")</f>
        <v/>
      </c>
      <c r="R2467" s="61" t="str">
        <f aca="false">IF(IsPro,IF($D2467="","",ROUND(N($E2467)*IFERROR(INDEX(Items!$P$5:$P$504,U2467),0),2)),"")</f>
        <v/>
      </c>
      <c r="S2467" s="61" t="str">
        <f aca="false">IF(IsPro,IF($D2467="","",L2467-R2467),"")</f>
        <v/>
      </c>
      <c r="T2467" s="60" t="str">
        <f aca="false">IF(IsPro,IF($D2467="","",IF(U2467="","UNKNOWN ITEM",IF(INDEX(Items!$O$5:$O$504,U2467)&lt;0,"NEG STOCK",IF(K2467&lt;INDEX(Items!$P$5:$P$504,U2467),"BELOW COST","OK")))),IF($D2467="","","PRO PLAN"))</f>
        <v/>
      </c>
      <c r="U2467" s="60" t="str">
        <f aca="false">IF(IsPro,IF($D2467="","",IFERROR(MATCH($D2467,Items!$A$5:$A$504,0),"")),"")</f>
        <v/>
      </c>
      <c r="V2467" s="60" t="str">
        <f aca="false">IF(IsPro,IF($C2467="","",IFERROR(MATCH($C2467,Parties!$A$5:$A$304,0),"")),"")</f>
        <v/>
      </c>
      <c r="W2467" s="60" t="str">
        <f aca="false">IF(IsPro,IF($B2467="","",IFERROR(VALUE(SUBSTITUTE($B2467,InvPrefix,"")),0)),"")</f>
        <v/>
      </c>
      <c r="X2467" s="61" t="str">
        <f aca="false">IF(IsPro,IF($D2467="","",IF(OR($H2467="",$H2467="Credit"),0,Q2467)),"")</f>
        <v/>
      </c>
    </row>
    <row r="2468" customFormat="false" ht="15" hidden="false" customHeight="false" outlineLevel="0" collapsed="false">
      <c r="A2468" s="55"/>
      <c r="B2468" s="56"/>
      <c r="C2468" s="56"/>
      <c r="D2468" s="56"/>
      <c r="E2468" s="57"/>
      <c r="F2468" s="58"/>
      <c r="G2468" s="59"/>
      <c r="H2468" s="56"/>
      <c r="I2468" s="56"/>
      <c r="J2468" s="60" t="str">
        <f aca="false">IF(IsPro,IF($D2468="","",IFERROR(INDEX(Items!$D$5:$D$504,U2468),"")),"")</f>
        <v/>
      </c>
      <c r="K2468" s="61" t="str">
        <f aca="false">IF(IsPro,IF($D2468="","",IF($F2468="",IFERROR(INDEX(Items!$H$5:$H$504,U2468),0),$F2468)),"")</f>
        <v/>
      </c>
      <c r="L2468" s="61" t="str">
        <f aca="false">IF(IsPro,IF($D2468="","",ROUND(N($E2468)*K2468*(1-N($G2468)),2)),"")</f>
        <v/>
      </c>
      <c r="M2468" s="62" t="str">
        <f aca="false">IF(IsPro,IF($D2468="","",IFERROR(INDEX(Items!$F$5:$F$504,U2468),0)),"")</f>
        <v/>
      </c>
      <c r="N2468" s="61" t="str">
        <f aca="false">IF(IsPro,IF($D2468="","",IF(AND(V2468&lt;&gt;"",INDEX(Parties!$E$5:$E$304,V2468)&lt;&gt;"",INDEX(Parties!$E$5:$E$304,V2468)&lt;&gt;HomeState),0,ROUND(L2468*M2468/2,2))),"")</f>
        <v/>
      </c>
      <c r="O2468" s="61" t="str">
        <f aca="false">IF(IsPro,IF($D2468="","",N2468),"")</f>
        <v/>
      </c>
      <c r="P2468" s="61" t="str">
        <f aca="false">IF(IsPro,IF($D2468="","",IF(AND(V2468&lt;&gt;"",INDEX(Parties!$E$5:$E$304,V2468)&lt;&gt;"",INDEX(Parties!$E$5:$E$304,V2468)&lt;&gt;HomeState),ROUND(L2468*M2468,2),0)),"")</f>
        <v/>
      </c>
      <c r="Q2468" s="61" t="str">
        <f aca="false">IF(IsPro,IF($D2468="","",L2468+N2468+O2468+P2468),"")</f>
        <v/>
      </c>
      <c r="R2468" s="61" t="str">
        <f aca="false">IF(IsPro,IF($D2468="","",ROUND(N($E2468)*IFERROR(INDEX(Items!$P$5:$P$504,U2468),0),2)),"")</f>
        <v/>
      </c>
      <c r="S2468" s="61" t="str">
        <f aca="false">IF(IsPro,IF($D2468="","",L2468-R2468),"")</f>
        <v/>
      </c>
      <c r="T2468" s="60" t="str">
        <f aca="false">IF(IsPro,IF($D2468="","",IF(U2468="","UNKNOWN ITEM",IF(INDEX(Items!$O$5:$O$504,U2468)&lt;0,"NEG STOCK",IF(K2468&lt;INDEX(Items!$P$5:$P$504,U2468),"BELOW COST","OK")))),IF($D2468="","","PRO PLAN"))</f>
        <v/>
      </c>
      <c r="U2468" s="60" t="str">
        <f aca="false">IF(IsPro,IF($D2468="","",IFERROR(MATCH($D2468,Items!$A$5:$A$504,0),"")),"")</f>
        <v/>
      </c>
      <c r="V2468" s="60" t="str">
        <f aca="false">IF(IsPro,IF($C2468="","",IFERROR(MATCH($C2468,Parties!$A$5:$A$304,0),"")),"")</f>
        <v/>
      </c>
      <c r="W2468" s="60" t="str">
        <f aca="false">IF(IsPro,IF($B2468="","",IFERROR(VALUE(SUBSTITUTE($B2468,InvPrefix,"")),0)),"")</f>
        <v/>
      </c>
      <c r="X2468" s="61" t="str">
        <f aca="false">IF(IsPro,IF($D2468="","",IF(OR($H2468="",$H2468="Credit"),0,Q2468)),"")</f>
        <v/>
      </c>
    </row>
    <row r="2469" customFormat="false" ht="15" hidden="false" customHeight="false" outlineLevel="0" collapsed="false">
      <c r="A2469" s="55"/>
      <c r="B2469" s="56"/>
      <c r="C2469" s="56"/>
      <c r="D2469" s="56"/>
      <c r="E2469" s="57"/>
      <c r="F2469" s="58"/>
      <c r="G2469" s="59"/>
      <c r="H2469" s="56"/>
      <c r="I2469" s="56"/>
      <c r="J2469" s="60" t="str">
        <f aca="false">IF(IsPro,IF($D2469="","",IFERROR(INDEX(Items!$D$5:$D$504,U2469),"")),"")</f>
        <v/>
      </c>
      <c r="K2469" s="61" t="str">
        <f aca="false">IF(IsPro,IF($D2469="","",IF($F2469="",IFERROR(INDEX(Items!$H$5:$H$504,U2469),0),$F2469)),"")</f>
        <v/>
      </c>
      <c r="L2469" s="61" t="str">
        <f aca="false">IF(IsPro,IF($D2469="","",ROUND(N($E2469)*K2469*(1-N($G2469)),2)),"")</f>
        <v/>
      </c>
      <c r="M2469" s="62" t="str">
        <f aca="false">IF(IsPro,IF($D2469="","",IFERROR(INDEX(Items!$F$5:$F$504,U2469),0)),"")</f>
        <v/>
      </c>
      <c r="N2469" s="61" t="str">
        <f aca="false">IF(IsPro,IF($D2469="","",IF(AND(V2469&lt;&gt;"",INDEX(Parties!$E$5:$E$304,V2469)&lt;&gt;"",INDEX(Parties!$E$5:$E$304,V2469)&lt;&gt;HomeState),0,ROUND(L2469*M2469/2,2))),"")</f>
        <v/>
      </c>
      <c r="O2469" s="61" t="str">
        <f aca="false">IF(IsPro,IF($D2469="","",N2469),"")</f>
        <v/>
      </c>
      <c r="P2469" s="61" t="str">
        <f aca="false">IF(IsPro,IF($D2469="","",IF(AND(V2469&lt;&gt;"",INDEX(Parties!$E$5:$E$304,V2469)&lt;&gt;"",INDEX(Parties!$E$5:$E$304,V2469)&lt;&gt;HomeState),ROUND(L2469*M2469,2),0)),"")</f>
        <v/>
      </c>
      <c r="Q2469" s="61" t="str">
        <f aca="false">IF(IsPro,IF($D2469="","",L2469+N2469+O2469+P2469),"")</f>
        <v/>
      </c>
      <c r="R2469" s="61" t="str">
        <f aca="false">IF(IsPro,IF($D2469="","",ROUND(N($E2469)*IFERROR(INDEX(Items!$P$5:$P$504,U2469),0),2)),"")</f>
        <v/>
      </c>
      <c r="S2469" s="61" t="str">
        <f aca="false">IF(IsPro,IF($D2469="","",L2469-R2469),"")</f>
        <v/>
      </c>
      <c r="T2469" s="60" t="str">
        <f aca="false">IF(IsPro,IF($D2469="","",IF(U2469="","UNKNOWN ITEM",IF(INDEX(Items!$O$5:$O$504,U2469)&lt;0,"NEG STOCK",IF(K2469&lt;INDEX(Items!$P$5:$P$504,U2469),"BELOW COST","OK")))),IF($D2469="","","PRO PLAN"))</f>
        <v/>
      </c>
      <c r="U2469" s="60" t="str">
        <f aca="false">IF(IsPro,IF($D2469="","",IFERROR(MATCH($D2469,Items!$A$5:$A$504,0),"")),"")</f>
        <v/>
      </c>
      <c r="V2469" s="60" t="str">
        <f aca="false">IF(IsPro,IF($C2469="","",IFERROR(MATCH($C2469,Parties!$A$5:$A$304,0),"")),"")</f>
        <v/>
      </c>
      <c r="W2469" s="60" t="str">
        <f aca="false">IF(IsPro,IF($B2469="","",IFERROR(VALUE(SUBSTITUTE($B2469,InvPrefix,"")),0)),"")</f>
        <v/>
      </c>
      <c r="X2469" s="61" t="str">
        <f aca="false">IF(IsPro,IF($D2469="","",IF(OR($H2469="",$H2469="Credit"),0,Q2469)),"")</f>
        <v/>
      </c>
    </row>
    <row r="2470" customFormat="false" ht="15" hidden="false" customHeight="false" outlineLevel="0" collapsed="false">
      <c r="A2470" s="55"/>
      <c r="B2470" s="56"/>
      <c r="C2470" s="56"/>
      <c r="D2470" s="56"/>
      <c r="E2470" s="57"/>
      <c r="F2470" s="58"/>
      <c r="G2470" s="59"/>
      <c r="H2470" s="56"/>
      <c r="I2470" s="56"/>
      <c r="J2470" s="60" t="str">
        <f aca="false">IF(IsPro,IF($D2470="","",IFERROR(INDEX(Items!$D$5:$D$504,U2470),"")),"")</f>
        <v/>
      </c>
      <c r="K2470" s="61" t="str">
        <f aca="false">IF(IsPro,IF($D2470="","",IF($F2470="",IFERROR(INDEX(Items!$H$5:$H$504,U2470),0),$F2470)),"")</f>
        <v/>
      </c>
      <c r="L2470" s="61" t="str">
        <f aca="false">IF(IsPro,IF($D2470="","",ROUND(N($E2470)*K2470*(1-N($G2470)),2)),"")</f>
        <v/>
      </c>
      <c r="M2470" s="62" t="str">
        <f aca="false">IF(IsPro,IF($D2470="","",IFERROR(INDEX(Items!$F$5:$F$504,U2470),0)),"")</f>
        <v/>
      </c>
      <c r="N2470" s="61" t="str">
        <f aca="false">IF(IsPro,IF($D2470="","",IF(AND(V2470&lt;&gt;"",INDEX(Parties!$E$5:$E$304,V2470)&lt;&gt;"",INDEX(Parties!$E$5:$E$304,V2470)&lt;&gt;HomeState),0,ROUND(L2470*M2470/2,2))),"")</f>
        <v/>
      </c>
      <c r="O2470" s="61" t="str">
        <f aca="false">IF(IsPro,IF($D2470="","",N2470),"")</f>
        <v/>
      </c>
      <c r="P2470" s="61" t="str">
        <f aca="false">IF(IsPro,IF($D2470="","",IF(AND(V2470&lt;&gt;"",INDEX(Parties!$E$5:$E$304,V2470)&lt;&gt;"",INDEX(Parties!$E$5:$E$304,V2470)&lt;&gt;HomeState),ROUND(L2470*M2470,2),0)),"")</f>
        <v/>
      </c>
      <c r="Q2470" s="61" t="str">
        <f aca="false">IF(IsPro,IF($D2470="","",L2470+N2470+O2470+P2470),"")</f>
        <v/>
      </c>
      <c r="R2470" s="61" t="str">
        <f aca="false">IF(IsPro,IF($D2470="","",ROUND(N($E2470)*IFERROR(INDEX(Items!$P$5:$P$504,U2470),0),2)),"")</f>
        <v/>
      </c>
      <c r="S2470" s="61" t="str">
        <f aca="false">IF(IsPro,IF($D2470="","",L2470-R2470),"")</f>
        <v/>
      </c>
      <c r="T2470" s="60" t="str">
        <f aca="false">IF(IsPro,IF($D2470="","",IF(U2470="","UNKNOWN ITEM",IF(INDEX(Items!$O$5:$O$504,U2470)&lt;0,"NEG STOCK",IF(K2470&lt;INDEX(Items!$P$5:$P$504,U2470),"BELOW COST","OK")))),IF($D2470="","","PRO PLAN"))</f>
        <v/>
      </c>
      <c r="U2470" s="60" t="str">
        <f aca="false">IF(IsPro,IF($D2470="","",IFERROR(MATCH($D2470,Items!$A$5:$A$504,0),"")),"")</f>
        <v/>
      </c>
      <c r="V2470" s="60" t="str">
        <f aca="false">IF(IsPro,IF($C2470="","",IFERROR(MATCH($C2470,Parties!$A$5:$A$304,0),"")),"")</f>
        <v/>
      </c>
      <c r="W2470" s="60" t="str">
        <f aca="false">IF(IsPro,IF($B2470="","",IFERROR(VALUE(SUBSTITUTE($B2470,InvPrefix,"")),0)),"")</f>
        <v/>
      </c>
      <c r="X2470" s="61" t="str">
        <f aca="false">IF(IsPro,IF($D2470="","",IF(OR($H2470="",$H2470="Credit"),0,Q2470)),"")</f>
        <v/>
      </c>
    </row>
    <row r="2471" customFormat="false" ht="15" hidden="false" customHeight="false" outlineLevel="0" collapsed="false">
      <c r="A2471" s="55"/>
      <c r="B2471" s="56"/>
      <c r="C2471" s="56"/>
      <c r="D2471" s="56"/>
      <c r="E2471" s="57"/>
      <c r="F2471" s="58"/>
      <c r="G2471" s="59"/>
      <c r="H2471" s="56"/>
      <c r="I2471" s="56"/>
      <c r="J2471" s="60" t="str">
        <f aca="false">IF(IsPro,IF($D2471="","",IFERROR(INDEX(Items!$D$5:$D$504,U2471),"")),"")</f>
        <v/>
      </c>
      <c r="K2471" s="61" t="str">
        <f aca="false">IF(IsPro,IF($D2471="","",IF($F2471="",IFERROR(INDEX(Items!$H$5:$H$504,U2471),0),$F2471)),"")</f>
        <v/>
      </c>
      <c r="L2471" s="61" t="str">
        <f aca="false">IF(IsPro,IF($D2471="","",ROUND(N($E2471)*K2471*(1-N($G2471)),2)),"")</f>
        <v/>
      </c>
      <c r="M2471" s="62" t="str">
        <f aca="false">IF(IsPro,IF($D2471="","",IFERROR(INDEX(Items!$F$5:$F$504,U2471),0)),"")</f>
        <v/>
      </c>
      <c r="N2471" s="61" t="str">
        <f aca="false">IF(IsPro,IF($D2471="","",IF(AND(V2471&lt;&gt;"",INDEX(Parties!$E$5:$E$304,V2471)&lt;&gt;"",INDEX(Parties!$E$5:$E$304,V2471)&lt;&gt;HomeState),0,ROUND(L2471*M2471/2,2))),"")</f>
        <v/>
      </c>
      <c r="O2471" s="61" t="str">
        <f aca="false">IF(IsPro,IF($D2471="","",N2471),"")</f>
        <v/>
      </c>
      <c r="P2471" s="61" t="str">
        <f aca="false">IF(IsPro,IF($D2471="","",IF(AND(V2471&lt;&gt;"",INDEX(Parties!$E$5:$E$304,V2471)&lt;&gt;"",INDEX(Parties!$E$5:$E$304,V2471)&lt;&gt;HomeState),ROUND(L2471*M2471,2),0)),"")</f>
        <v/>
      </c>
      <c r="Q2471" s="61" t="str">
        <f aca="false">IF(IsPro,IF($D2471="","",L2471+N2471+O2471+P2471),"")</f>
        <v/>
      </c>
      <c r="R2471" s="61" t="str">
        <f aca="false">IF(IsPro,IF($D2471="","",ROUND(N($E2471)*IFERROR(INDEX(Items!$P$5:$P$504,U2471),0),2)),"")</f>
        <v/>
      </c>
      <c r="S2471" s="61" t="str">
        <f aca="false">IF(IsPro,IF($D2471="","",L2471-R2471),"")</f>
        <v/>
      </c>
      <c r="T2471" s="60" t="str">
        <f aca="false">IF(IsPro,IF($D2471="","",IF(U2471="","UNKNOWN ITEM",IF(INDEX(Items!$O$5:$O$504,U2471)&lt;0,"NEG STOCK",IF(K2471&lt;INDEX(Items!$P$5:$P$504,U2471),"BELOW COST","OK")))),IF($D2471="","","PRO PLAN"))</f>
        <v/>
      </c>
      <c r="U2471" s="60" t="str">
        <f aca="false">IF(IsPro,IF($D2471="","",IFERROR(MATCH($D2471,Items!$A$5:$A$504,0),"")),"")</f>
        <v/>
      </c>
      <c r="V2471" s="60" t="str">
        <f aca="false">IF(IsPro,IF($C2471="","",IFERROR(MATCH($C2471,Parties!$A$5:$A$304,0),"")),"")</f>
        <v/>
      </c>
      <c r="W2471" s="60" t="str">
        <f aca="false">IF(IsPro,IF($B2471="","",IFERROR(VALUE(SUBSTITUTE($B2471,InvPrefix,"")),0)),"")</f>
        <v/>
      </c>
      <c r="X2471" s="61" t="str">
        <f aca="false">IF(IsPro,IF($D2471="","",IF(OR($H2471="",$H2471="Credit"),0,Q2471)),"")</f>
        <v/>
      </c>
    </row>
    <row r="2472" customFormat="false" ht="15" hidden="false" customHeight="false" outlineLevel="0" collapsed="false">
      <c r="A2472" s="55"/>
      <c r="B2472" s="56"/>
      <c r="C2472" s="56"/>
      <c r="D2472" s="56"/>
      <c r="E2472" s="57"/>
      <c r="F2472" s="58"/>
      <c r="G2472" s="59"/>
      <c r="H2472" s="56"/>
      <c r="I2472" s="56"/>
      <c r="J2472" s="60" t="str">
        <f aca="false">IF(IsPro,IF($D2472="","",IFERROR(INDEX(Items!$D$5:$D$504,U2472),"")),"")</f>
        <v/>
      </c>
      <c r="K2472" s="61" t="str">
        <f aca="false">IF(IsPro,IF($D2472="","",IF($F2472="",IFERROR(INDEX(Items!$H$5:$H$504,U2472),0),$F2472)),"")</f>
        <v/>
      </c>
      <c r="L2472" s="61" t="str">
        <f aca="false">IF(IsPro,IF($D2472="","",ROUND(N($E2472)*K2472*(1-N($G2472)),2)),"")</f>
        <v/>
      </c>
      <c r="M2472" s="62" t="str">
        <f aca="false">IF(IsPro,IF($D2472="","",IFERROR(INDEX(Items!$F$5:$F$504,U2472),0)),"")</f>
        <v/>
      </c>
      <c r="N2472" s="61" t="str">
        <f aca="false">IF(IsPro,IF($D2472="","",IF(AND(V2472&lt;&gt;"",INDEX(Parties!$E$5:$E$304,V2472)&lt;&gt;"",INDEX(Parties!$E$5:$E$304,V2472)&lt;&gt;HomeState),0,ROUND(L2472*M2472/2,2))),"")</f>
        <v/>
      </c>
      <c r="O2472" s="61" t="str">
        <f aca="false">IF(IsPro,IF($D2472="","",N2472),"")</f>
        <v/>
      </c>
      <c r="P2472" s="61" t="str">
        <f aca="false">IF(IsPro,IF($D2472="","",IF(AND(V2472&lt;&gt;"",INDEX(Parties!$E$5:$E$304,V2472)&lt;&gt;"",INDEX(Parties!$E$5:$E$304,V2472)&lt;&gt;HomeState),ROUND(L2472*M2472,2),0)),"")</f>
        <v/>
      </c>
      <c r="Q2472" s="61" t="str">
        <f aca="false">IF(IsPro,IF($D2472="","",L2472+N2472+O2472+P2472),"")</f>
        <v/>
      </c>
      <c r="R2472" s="61" t="str">
        <f aca="false">IF(IsPro,IF($D2472="","",ROUND(N($E2472)*IFERROR(INDEX(Items!$P$5:$P$504,U2472),0),2)),"")</f>
        <v/>
      </c>
      <c r="S2472" s="61" t="str">
        <f aca="false">IF(IsPro,IF($D2472="","",L2472-R2472),"")</f>
        <v/>
      </c>
      <c r="T2472" s="60" t="str">
        <f aca="false">IF(IsPro,IF($D2472="","",IF(U2472="","UNKNOWN ITEM",IF(INDEX(Items!$O$5:$O$504,U2472)&lt;0,"NEG STOCK",IF(K2472&lt;INDEX(Items!$P$5:$P$504,U2472),"BELOW COST","OK")))),IF($D2472="","","PRO PLAN"))</f>
        <v/>
      </c>
      <c r="U2472" s="60" t="str">
        <f aca="false">IF(IsPro,IF($D2472="","",IFERROR(MATCH($D2472,Items!$A$5:$A$504,0),"")),"")</f>
        <v/>
      </c>
      <c r="V2472" s="60" t="str">
        <f aca="false">IF(IsPro,IF($C2472="","",IFERROR(MATCH($C2472,Parties!$A$5:$A$304,0),"")),"")</f>
        <v/>
      </c>
      <c r="W2472" s="60" t="str">
        <f aca="false">IF(IsPro,IF($B2472="","",IFERROR(VALUE(SUBSTITUTE($B2472,InvPrefix,"")),0)),"")</f>
        <v/>
      </c>
      <c r="X2472" s="61" t="str">
        <f aca="false">IF(IsPro,IF($D2472="","",IF(OR($H2472="",$H2472="Credit"),0,Q2472)),"")</f>
        <v/>
      </c>
    </row>
    <row r="2473" customFormat="false" ht="15" hidden="false" customHeight="false" outlineLevel="0" collapsed="false">
      <c r="A2473" s="55"/>
      <c r="B2473" s="56"/>
      <c r="C2473" s="56"/>
      <c r="D2473" s="56"/>
      <c r="E2473" s="57"/>
      <c r="F2473" s="58"/>
      <c r="G2473" s="59"/>
      <c r="H2473" s="56"/>
      <c r="I2473" s="56"/>
      <c r="J2473" s="60" t="str">
        <f aca="false">IF(IsPro,IF($D2473="","",IFERROR(INDEX(Items!$D$5:$D$504,U2473),"")),"")</f>
        <v/>
      </c>
      <c r="K2473" s="61" t="str">
        <f aca="false">IF(IsPro,IF($D2473="","",IF($F2473="",IFERROR(INDEX(Items!$H$5:$H$504,U2473),0),$F2473)),"")</f>
        <v/>
      </c>
      <c r="L2473" s="61" t="str">
        <f aca="false">IF(IsPro,IF($D2473="","",ROUND(N($E2473)*K2473*(1-N($G2473)),2)),"")</f>
        <v/>
      </c>
      <c r="M2473" s="62" t="str">
        <f aca="false">IF(IsPro,IF($D2473="","",IFERROR(INDEX(Items!$F$5:$F$504,U2473),0)),"")</f>
        <v/>
      </c>
      <c r="N2473" s="61" t="str">
        <f aca="false">IF(IsPro,IF($D2473="","",IF(AND(V2473&lt;&gt;"",INDEX(Parties!$E$5:$E$304,V2473)&lt;&gt;"",INDEX(Parties!$E$5:$E$304,V2473)&lt;&gt;HomeState),0,ROUND(L2473*M2473/2,2))),"")</f>
        <v/>
      </c>
      <c r="O2473" s="61" t="str">
        <f aca="false">IF(IsPro,IF($D2473="","",N2473),"")</f>
        <v/>
      </c>
      <c r="P2473" s="61" t="str">
        <f aca="false">IF(IsPro,IF($D2473="","",IF(AND(V2473&lt;&gt;"",INDEX(Parties!$E$5:$E$304,V2473)&lt;&gt;"",INDEX(Parties!$E$5:$E$304,V2473)&lt;&gt;HomeState),ROUND(L2473*M2473,2),0)),"")</f>
        <v/>
      </c>
      <c r="Q2473" s="61" t="str">
        <f aca="false">IF(IsPro,IF($D2473="","",L2473+N2473+O2473+P2473),"")</f>
        <v/>
      </c>
      <c r="R2473" s="61" t="str">
        <f aca="false">IF(IsPro,IF($D2473="","",ROUND(N($E2473)*IFERROR(INDEX(Items!$P$5:$P$504,U2473),0),2)),"")</f>
        <v/>
      </c>
      <c r="S2473" s="61" t="str">
        <f aca="false">IF(IsPro,IF($D2473="","",L2473-R2473),"")</f>
        <v/>
      </c>
      <c r="T2473" s="60" t="str">
        <f aca="false">IF(IsPro,IF($D2473="","",IF(U2473="","UNKNOWN ITEM",IF(INDEX(Items!$O$5:$O$504,U2473)&lt;0,"NEG STOCK",IF(K2473&lt;INDEX(Items!$P$5:$P$504,U2473),"BELOW COST","OK")))),IF($D2473="","","PRO PLAN"))</f>
        <v/>
      </c>
      <c r="U2473" s="60" t="str">
        <f aca="false">IF(IsPro,IF($D2473="","",IFERROR(MATCH($D2473,Items!$A$5:$A$504,0),"")),"")</f>
        <v/>
      </c>
      <c r="V2473" s="60" t="str">
        <f aca="false">IF(IsPro,IF($C2473="","",IFERROR(MATCH($C2473,Parties!$A$5:$A$304,0),"")),"")</f>
        <v/>
      </c>
      <c r="W2473" s="60" t="str">
        <f aca="false">IF(IsPro,IF($B2473="","",IFERROR(VALUE(SUBSTITUTE($B2473,InvPrefix,"")),0)),"")</f>
        <v/>
      </c>
      <c r="X2473" s="61" t="str">
        <f aca="false">IF(IsPro,IF($D2473="","",IF(OR($H2473="",$H2473="Credit"),0,Q2473)),"")</f>
        <v/>
      </c>
    </row>
    <row r="2474" customFormat="false" ht="15" hidden="false" customHeight="false" outlineLevel="0" collapsed="false">
      <c r="A2474" s="55"/>
      <c r="B2474" s="56"/>
      <c r="C2474" s="56"/>
      <c r="D2474" s="56"/>
      <c r="E2474" s="57"/>
      <c r="F2474" s="58"/>
      <c r="G2474" s="59"/>
      <c r="H2474" s="56"/>
      <c r="I2474" s="56"/>
      <c r="J2474" s="60" t="str">
        <f aca="false">IF(IsPro,IF($D2474="","",IFERROR(INDEX(Items!$D$5:$D$504,U2474),"")),"")</f>
        <v/>
      </c>
      <c r="K2474" s="61" t="str">
        <f aca="false">IF(IsPro,IF($D2474="","",IF($F2474="",IFERROR(INDEX(Items!$H$5:$H$504,U2474),0),$F2474)),"")</f>
        <v/>
      </c>
      <c r="L2474" s="61" t="str">
        <f aca="false">IF(IsPro,IF($D2474="","",ROUND(N($E2474)*K2474*(1-N($G2474)),2)),"")</f>
        <v/>
      </c>
      <c r="M2474" s="62" t="str">
        <f aca="false">IF(IsPro,IF($D2474="","",IFERROR(INDEX(Items!$F$5:$F$504,U2474),0)),"")</f>
        <v/>
      </c>
      <c r="N2474" s="61" t="str">
        <f aca="false">IF(IsPro,IF($D2474="","",IF(AND(V2474&lt;&gt;"",INDEX(Parties!$E$5:$E$304,V2474)&lt;&gt;"",INDEX(Parties!$E$5:$E$304,V2474)&lt;&gt;HomeState),0,ROUND(L2474*M2474/2,2))),"")</f>
        <v/>
      </c>
      <c r="O2474" s="61" t="str">
        <f aca="false">IF(IsPro,IF($D2474="","",N2474),"")</f>
        <v/>
      </c>
      <c r="P2474" s="61" t="str">
        <f aca="false">IF(IsPro,IF($D2474="","",IF(AND(V2474&lt;&gt;"",INDEX(Parties!$E$5:$E$304,V2474)&lt;&gt;"",INDEX(Parties!$E$5:$E$304,V2474)&lt;&gt;HomeState),ROUND(L2474*M2474,2),0)),"")</f>
        <v/>
      </c>
      <c r="Q2474" s="61" t="str">
        <f aca="false">IF(IsPro,IF($D2474="","",L2474+N2474+O2474+P2474),"")</f>
        <v/>
      </c>
      <c r="R2474" s="61" t="str">
        <f aca="false">IF(IsPro,IF($D2474="","",ROUND(N($E2474)*IFERROR(INDEX(Items!$P$5:$P$504,U2474),0),2)),"")</f>
        <v/>
      </c>
      <c r="S2474" s="61" t="str">
        <f aca="false">IF(IsPro,IF($D2474="","",L2474-R2474),"")</f>
        <v/>
      </c>
      <c r="T2474" s="60" t="str">
        <f aca="false">IF(IsPro,IF($D2474="","",IF(U2474="","UNKNOWN ITEM",IF(INDEX(Items!$O$5:$O$504,U2474)&lt;0,"NEG STOCK",IF(K2474&lt;INDEX(Items!$P$5:$P$504,U2474),"BELOW COST","OK")))),IF($D2474="","","PRO PLAN"))</f>
        <v/>
      </c>
      <c r="U2474" s="60" t="str">
        <f aca="false">IF(IsPro,IF($D2474="","",IFERROR(MATCH($D2474,Items!$A$5:$A$504,0),"")),"")</f>
        <v/>
      </c>
      <c r="V2474" s="60" t="str">
        <f aca="false">IF(IsPro,IF($C2474="","",IFERROR(MATCH($C2474,Parties!$A$5:$A$304,0),"")),"")</f>
        <v/>
      </c>
      <c r="W2474" s="60" t="str">
        <f aca="false">IF(IsPro,IF($B2474="","",IFERROR(VALUE(SUBSTITUTE($B2474,InvPrefix,"")),0)),"")</f>
        <v/>
      </c>
      <c r="X2474" s="61" t="str">
        <f aca="false">IF(IsPro,IF($D2474="","",IF(OR($H2474="",$H2474="Credit"),0,Q2474)),"")</f>
        <v/>
      </c>
    </row>
    <row r="2475" customFormat="false" ht="15" hidden="false" customHeight="false" outlineLevel="0" collapsed="false">
      <c r="A2475" s="55"/>
      <c r="B2475" s="56"/>
      <c r="C2475" s="56"/>
      <c r="D2475" s="56"/>
      <c r="E2475" s="57"/>
      <c r="F2475" s="58"/>
      <c r="G2475" s="59"/>
      <c r="H2475" s="56"/>
      <c r="I2475" s="56"/>
      <c r="J2475" s="60" t="str">
        <f aca="false">IF(IsPro,IF($D2475="","",IFERROR(INDEX(Items!$D$5:$D$504,U2475),"")),"")</f>
        <v/>
      </c>
      <c r="K2475" s="61" t="str">
        <f aca="false">IF(IsPro,IF($D2475="","",IF($F2475="",IFERROR(INDEX(Items!$H$5:$H$504,U2475),0),$F2475)),"")</f>
        <v/>
      </c>
      <c r="L2475" s="61" t="str">
        <f aca="false">IF(IsPro,IF($D2475="","",ROUND(N($E2475)*K2475*(1-N($G2475)),2)),"")</f>
        <v/>
      </c>
      <c r="M2475" s="62" t="str">
        <f aca="false">IF(IsPro,IF($D2475="","",IFERROR(INDEX(Items!$F$5:$F$504,U2475),0)),"")</f>
        <v/>
      </c>
      <c r="N2475" s="61" t="str">
        <f aca="false">IF(IsPro,IF($D2475="","",IF(AND(V2475&lt;&gt;"",INDEX(Parties!$E$5:$E$304,V2475)&lt;&gt;"",INDEX(Parties!$E$5:$E$304,V2475)&lt;&gt;HomeState),0,ROUND(L2475*M2475/2,2))),"")</f>
        <v/>
      </c>
      <c r="O2475" s="61" t="str">
        <f aca="false">IF(IsPro,IF($D2475="","",N2475),"")</f>
        <v/>
      </c>
      <c r="P2475" s="61" t="str">
        <f aca="false">IF(IsPro,IF($D2475="","",IF(AND(V2475&lt;&gt;"",INDEX(Parties!$E$5:$E$304,V2475)&lt;&gt;"",INDEX(Parties!$E$5:$E$304,V2475)&lt;&gt;HomeState),ROUND(L2475*M2475,2),0)),"")</f>
        <v/>
      </c>
      <c r="Q2475" s="61" t="str">
        <f aca="false">IF(IsPro,IF($D2475="","",L2475+N2475+O2475+P2475),"")</f>
        <v/>
      </c>
      <c r="R2475" s="61" t="str">
        <f aca="false">IF(IsPro,IF($D2475="","",ROUND(N($E2475)*IFERROR(INDEX(Items!$P$5:$P$504,U2475),0),2)),"")</f>
        <v/>
      </c>
      <c r="S2475" s="61" t="str">
        <f aca="false">IF(IsPro,IF($D2475="","",L2475-R2475),"")</f>
        <v/>
      </c>
      <c r="T2475" s="60" t="str">
        <f aca="false">IF(IsPro,IF($D2475="","",IF(U2475="","UNKNOWN ITEM",IF(INDEX(Items!$O$5:$O$504,U2475)&lt;0,"NEG STOCK",IF(K2475&lt;INDEX(Items!$P$5:$P$504,U2475),"BELOW COST","OK")))),IF($D2475="","","PRO PLAN"))</f>
        <v/>
      </c>
      <c r="U2475" s="60" t="str">
        <f aca="false">IF(IsPro,IF($D2475="","",IFERROR(MATCH($D2475,Items!$A$5:$A$504,0),"")),"")</f>
        <v/>
      </c>
      <c r="V2475" s="60" t="str">
        <f aca="false">IF(IsPro,IF($C2475="","",IFERROR(MATCH($C2475,Parties!$A$5:$A$304,0),"")),"")</f>
        <v/>
      </c>
      <c r="W2475" s="60" t="str">
        <f aca="false">IF(IsPro,IF($B2475="","",IFERROR(VALUE(SUBSTITUTE($B2475,InvPrefix,"")),0)),"")</f>
        <v/>
      </c>
      <c r="X2475" s="61" t="str">
        <f aca="false">IF(IsPro,IF($D2475="","",IF(OR($H2475="",$H2475="Credit"),0,Q2475)),"")</f>
        <v/>
      </c>
    </row>
    <row r="2476" customFormat="false" ht="15" hidden="false" customHeight="false" outlineLevel="0" collapsed="false">
      <c r="A2476" s="55"/>
      <c r="B2476" s="56"/>
      <c r="C2476" s="56"/>
      <c r="D2476" s="56"/>
      <c r="E2476" s="57"/>
      <c r="F2476" s="58"/>
      <c r="G2476" s="59"/>
      <c r="H2476" s="56"/>
      <c r="I2476" s="56"/>
      <c r="J2476" s="60" t="str">
        <f aca="false">IF(IsPro,IF($D2476="","",IFERROR(INDEX(Items!$D$5:$D$504,U2476),"")),"")</f>
        <v/>
      </c>
      <c r="K2476" s="61" t="str">
        <f aca="false">IF(IsPro,IF($D2476="","",IF($F2476="",IFERROR(INDEX(Items!$H$5:$H$504,U2476),0),$F2476)),"")</f>
        <v/>
      </c>
      <c r="L2476" s="61" t="str">
        <f aca="false">IF(IsPro,IF($D2476="","",ROUND(N($E2476)*K2476*(1-N($G2476)),2)),"")</f>
        <v/>
      </c>
      <c r="M2476" s="62" t="str">
        <f aca="false">IF(IsPro,IF($D2476="","",IFERROR(INDEX(Items!$F$5:$F$504,U2476),0)),"")</f>
        <v/>
      </c>
      <c r="N2476" s="61" t="str">
        <f aca="false">IF(IsPro,IF($D2476="","",IF(AND(V2476&lt;&gt;"",INDEX(Parties!$E$5:$E$304,V2476)&lt;&gt;"",INDEX(Parties!$E$5:$E$304,V2476)&lt;&gt;HomeState),0,ROUND(L2476*M2476/2,2))),"")</f>
        <v/>
      </c>
      <c r="O2476" s="61" t="str">
        <f aca="false">IF(IsPro,IF($D2476="","",N2476),"")</f>
        <v/>
      </c>
      <c r="P2476" s="61" t="str">
        <f aca="false">IF(IsPro,IF($D2476="","",IF(AND(V2476&lt;&gt;"",INDEX(Parties!$E$5:$E$304,V2476)&lt;&gt;"",INDEX(Parties!$E$5:$E$304,V2476)&lt;&gt;HomeState),ROUND(L2476*M2476,2),0)),"")</f>
        <v/>
      </c>
      <c r="Q2476" s="61" t="str">
        <f aca="false">IF(IsPro,IF($D2476="","",L2476+N2476+O2476+P2476),"")</f>
        <v/>
      </c>
      <c r="R2476" s="61" t="str">
        <f aca="false">IF(IsPro,IF($D2476="","",ROUND(N($E2476)*IFERROR(INDEX(Items!$P$5:$P$504,U2476),0),2)),"")</f>
        <v/>
      </c>
      <c r="S2476" s="61" t="str">
        <f aca="false">IF(IsPro,IF($D2476="","",L2476-R2476),"")</f>
        <v/>
      </c>
      <c r="T2476" s="60" t="str">
        <f aca="false">IF(IsPro,IF($D2476="","",IF(U2476="","UNKNOWN ITEM",IF(INDEX(Items!$O$5:$O$504,U2476)&lt;0,"NEG STOCK",IF(K2476&lt;INDEX(Items!$P$5:$P$504,U2476),"BELOW COST","OK")))),IF($D2476="","","PRO PLAN"))</f>
        <v/>
      </c>
      <c r="U2476" s="60" t="str">
        <f aca="false">IF(IsPro,IF($D2476="","",IFERROR(MATCH($D2476,Items!$A$5:$A$504,0),"")),"")</f>
        <v/>
      </c>
      <c r="V2476" s="60" t="str">
        <f aca="false">IF(IsPro,IF($C2476="","",IFERROR(MATCH($C2476,Parties!$A$5:$A$304,0),"")),"")</f>
        <v/>
      </c>
      <c r="W2476" s="60" t="str">
        <f aca="false">IF(IsPro,IF($B2476="","",IFERROR(VALUE(SUBSTITUTE($B2476,InvPrefix,"")),0)),"")</f>
        <v/>
      </c>
      <c r="X2476" s="61" t="str">
        <f aca="false">IF(IsPro,IF($D2476="","",IF(OR($H2476="",$H2476="Credit"),0,Q2476)),"")</f>
        <v/>
      </c>
    </row>
    <row r="2477" customFormat="false" ht="15" hidden="false" customHeight="false" outlineLevel="0" collapsed="false">
      <c r="A2477" s="55"/>
      <c r="B2477" s="56"/>
      <c r="C2477" s="56"/>
      <c r="D2477" s="56"/>
      <c r="E2477" s="57"/>
      <c r="F2477" s="58"/>
      <c r="G2477" s="59"/>
      <c r="H2477" s="56"/>
      <c r="I2477" s="56"/>
      <c r="J2477" s="60" t="str">
        <f aca="false">IF(IsPro,IF($D2477="","",IFERROR(INDEX(Items!$D$5:$D$504,U2477),"")),"")</f>
        <v/>
      </c>
      <c r="K2477" s="61" t="str">
        <f aca="false">IF(IsPro,IF($D2477="","",IF($F2477="",IFERROR(INDEX(Items!$H$5:$H$504,U2477),0),$F2477)),"")</f>
        <v/>
      </c>
      <c r="L2477" s="61" t="str">
        <f aca="false">IF(IsPro,IF($D2477="","",ROUND(N($E2477)*K2477*(1-N($G2477)),2)),"")</f>
        <v/>
      </c>
      <c r="M2477" s="62" t="str">
        <f aca="false">IF(IsPro,IF($D2477="","",IFERROR(INDEX(Items!$F$5:$F$504,U2477),0)),"")</f>
        <v/>
      </c>
      <c r="N2477" s="61" t="str">
        <f aca="false">IF(IsPro,IF($D2477="","",IF(AND(V2477&lt;&gt;"",INDEX(Parties!$E$5:$E$304,V2477)&lt;&gt;"",INDEX(Parties!$E$5:$E$304,V2477)&lt;&gt;HomeState),0,ROUND(L2477*M2477/2,2))),"")</f>
        <v/>
      </c>
      <c r="O2477" s="61" t="str">
        <f aca="false">IF(IsPro,IF($D2477="","",N2477),"")</f>
        <v/>
      </c>
      <c r="P2477" s="61" t="str">
        <f aca="false">IF(IsPro,IF($D2477="","",IF(AND(V2477&lt;&gt;"",INDEX(Parties!$E$5:$E$304,V2477)&lt;&gt;"",INDEX(Parties!$E$5:$E$304,V2477)&lt;&gt;HomeState),ROUND(L2477*M2477,2),0)),"")</f>
        <v/>
      </c>
      <c r="Q2477" s="61" t="str">
        <f aca="false">IF(IsPro,IF($D2477="","",L2477+N2477+O2477+P2477),"")</f>
        <v/>
      </c>
      <c r="R2477" s="61" t="str">
        <f aca="false">IF(IsPro,IF($D2477="","",ROUND(N($E2477)*IFERROR(INDEX(Items!$P$5:$P$504,U2477),0),2)),"")</f>
        <v/>
      </c>
      <c r="S2477" s="61" t="str">
        <f aca="false">IF(IsPro,IF($D2477="","",L2477-R2477),"")</f>
        <v/>
      </c>
      <c r="T2477" s="60" t="str">
        <f aca="false">IF(IsPro,IF($D2477="","",IF(U2477="","UNKNOWN ITEM",IF(INDEX(Items!$O$5:$O$504,U2477)&lt;0,"NEG STOCK",IF(K2477&lt;INDEX(Items!$P$5:$P$504,U2477),"BELOW COST","OK")))),IF($D2477="","","PRO PLAN"))</f>
        <v/>
      </c>
      <c r="U2477" s="60" t="str">
        <f aca="false">IF(IsPro,IF($D2477="","",IFERROR(MATCH($D2477,Items!$A$5:$A$504,0),"")),"")</f>
        <v/>
      </c>
      <c r="V2477" s="60" t="str">
        <f aca="false">IF(IsPro,IF($C2477="","",IFERROR(MATCH($C2477,Parties!$A$5:$A$304,0),"")),"")</f>
        <v/>
      </c>
      <c r="W2477" s="60" t="str">
        <f aca="false">IF(IsPro,IF($B2477="","",IFERROR(VALUE(SUBSTITUTE($B2477,InvPrefix,"")),0)),"")</f>
        <v/>
      </c>
      <c r="X2477" s="61" t="str">
        <f aca="false">IF(IsPro,IF($D2477="","",IF(OR($H2477="",$H2477="Credit"),0,Q2477)),"")</f>
        <v/>
      </c>
    </row>
    <row r="2478" customFormat="false" ht="15" hidden="false" customHeight="false" outlineLevel="0" collapsed="false">
      <c r="A2478" s="55"/>
      <c r="B2478" s="56"/>
      <c r="C2478" s="56"/>
      <c r="D2478" s="56"/>
      <c r="E2478" s="57"/>
      <c r="F2478" s="58"/>
      <c r="G2478" s="59"/>
      <c r="H2478" s="56"/>
      <c r="I2478" s="56"/>
      <c r="J2478" s="60" t="str">
        <f aca="false">IF(IsPro,IF($D2478="","",IFERROR(INDEX(Items!$D$5:$D$504,U2478),"")),"")</f>
        <v/>
      </c>
      <c r="K2478" s="61" t="str">
        <f aca="false">IF(IsPro,IF($D2478="","",IF($F2478="",IFERROR(INDEX(Items!$H$5:$H$504,U2478),0),$F2478)),"")</f>
        <v/>
      </c>
      <c r="L2478" s="61" t="str">
        <f aca="false">IF(IsPro,IF($D2478="","",ROUND(N($E2478)*K2478*(1-N($G2478)),2)),"")</f>
        <v/>
      </c>
      <c r="M2478" s="62" t="str">
        <f aca="false">IF(IsPro,IF($D2478="","",IFERROR(INDEX(Items!$F$5:$F$504,U2478),0)),"")</f>
        <v/>
      </c>
      <c r="N2478" s="61" t="str">
        <f aca="false">IF(IsPro,IF($D2478="","",IF(AND(V2478&lt;&gt;"",INDEX(Parties!$E$5:$E$304,V2478)&lt;&gt;"",INDEX(Parties!$E$5:$E$304,V2478)&lt;&gt;HomeState),0,ROUND(L2478*M2478/2,2))),"")</f>
        <v/>
      </c>
      <c r="O2478" s="61" t="str">
        <f aca="false">IF(IsPro,IF($D2478="","",N2478),"")</f>
        <v/>
      </c>
      <c r="P2478" s="61" t="str">
        <f aca="false">IF(IsPro,IF($D2478="","",IF(AND(V2478&lt;&gt;"",INDEX(Parties!$E$5:$E$304,V2478)&lt;&gt;"",INDEX(Parties!$E$5:$E$304,V2478)&lt;&gt;HomeState),ROUND(L2478*M2478,2),0)),"")</f>
        <v/>
      </c>
      <c r="Q2478" s="61" t="str">
        <f aca="false">IF(IsPro,IF($D2478="","",L2478+N2478+O2478+P2478),"")</f>
        <v/>
      </c>
      <c r="R2478" s="61" t="str">
        <f aca="false">IF(IsPro,IF($D2478="","",ROUND(N($E2478)*IFERROR(INDEX(Items!$P$5:$P$504,U2478),0),2)),"")</f>
        <v/>
      </c>
      <c r="S2478" s="61" t="str">
        <f aca="false">IF(IsPro,IF($D2478="","",L2478-R2478),"")</f>
        <v/>
      </c>
      <c r="T2478" s="60" t="str">
        <f aca="false">IF(IsPro,IF($D2478="","",IF(U2478="","UNKNOWN ITEM",IF(INDEX(Items!$O$5:$O$504,U2478)&lt;0,"NEG STOCK",IF(K2478&lt;INDEX(Items!$P$5:$P$504,U2478),"BELOW COST","OK")))),IF($D2478="","","PRO PLAN"))</f>
        <v/>
      </c>
      <c r="U2478" s="60" t="str">
        <f aca="false">IF(IsPro,IF($D2478="","",IFERROR(MATCH($D2478,Items!$A$5:$A$504,0),"")),"")</f>
        <v/>
      </c>
      <c r="V2478" s="60" t="str">
        <f aca="false">IF(IsPro,IF($C2478="","",IFERROR(MATCH($C2478,Parties!$A$5:$A$304,0),"")),"")</f>
        <v/>
      </c>
      <c r="W2478" s="60" t="str">
        <f aca="false">IF(IsPro,IF($B2478="","",IFERROR(VALUE(SUBSTITUTE($B2478,InvPrefix,"")),0)),"")</f>
        <v/>
      </c>
      <c r="X2478" s="61" t="str">
        <f aca="false">IF(IsPro,IF($D2478="","",IF(OR($H2478="",$H2478="Credit"),0,Q2478)),"")</f>
        <v/>
      </c>
    </row>
    <row r="2479" customFormat="false" ht="15" hidden="false" customHeight="false" outlineLevel="0" collapsed="false">
      <c r="A2479" s="55"/>
      <c r="B2479" s="56"/>
      <c r="C2479" s="56"/>
      <c r="D2479" s="56"/>
      <c r="E2479" s="57"/>
      <c r="F2479" s="58"/>
      <c r="G2479" s="59"/>
      <c r="H2479" s="56"/>
      <c r="I2479" s="56"/>
      <c r="J2479" s="60" t="str">
        <f aca="false">IF(IsPro,IF($D2479="","",IFERROR(INDEX(Items!$D$5:$D$504,U2479),"")),"")</f>
        <v/>
      </c>
      <c r="K2479" s="61" t="str">
        <f aca="false">IF(IsPro,IF($D2479="","",IF($F2479="",IFERROR(INDEX(Items!$H$5:$H$504,U2479),0),$F2479)),"")</f>
        <v/>
      </c>
      <c r="L2479" s="61" t="str">
        <f aca="false">IF(IsPro,IF($D2479="","",ROUND(N($E2479)*K2479*(1-N($G2479)),2)),"")</f>
        <v/>
      </c>
      <c r="M2479" s="62" t="str">
        <f aca="false">IF(IsPro,IF($D2479="","",IFERROR(INDEX(Items!$F$5:$F$504,U2479),0)),"")</f>
        <v/>
      </c>
      <c r="N2479" s="61" t="str">
        <f aca="false">IF(IsPro,IF($D2479="","",IF(AND(V2479&lt;&gt;"",INDEX(Parties!$E$5:$E$304,V2479)&lt;&gt;"",INDEX(Parties!$E$5:$E$304,V2479)&lt;&gt;HomeState),0,ROUND(L2479*M2479/2,2))),"")</f>
        <v/>
      </c>
      <c r="O2479" s="61" t="str">
        <f aca="false">IF(IsPro,IF($D2479="","",N2479),"")</f>
        <v/>
      </c>
      <c r="P2479" s="61" t="str">
        <f aca="false">IF(IsPro,IF($D2479="","",IF(AND(V2479&lt;&gt;"",INDEX(Parties!$E$5:$E$304,V2479)&lt;&gt;"",INDEX(Parties!$E$5:$E$304,V2479)&lt;&gt;HomeState),ROUND(L2479*M2479,2),0)),"")</f>
        <v/>
      </c>
      <c r="Q2479" s="61" t="str">
        <f aca="false">IF(IsPro,IF($D2479="","",L2479+N2479+O2479+P2479),"")</f>
        <v/>
      </c>
      <c r="R2479" s="61" t="str">
        <f aca="false">IF(IsPro,IF($D2479="","",ROUND(N($E2479)*IFERROR(INDEX(Items!$P$5:$P$504,U2479),0),2)),"")</f>
        <v/>
      </c>
      <c r="S2479" s="61" t="str">
        <f aca="false">IF(IsPro,IF($D2479="","",L2479-R2479),"")</f>
        <v/>
      </c>
      <c r="T2479" s="60" t="str">
        <f aca="false">IF(IsPro,IF($D2479="","",IF(U2479="","UNKNOWN ITEM",IF(INDEX(Items!$O$5:$O$504,U2479)&lt;0,"NEG STOCK",IF(K2479&lt;INDEX(Items!$P$5:$P$504,U2479),"BELOW COST","OK")))),IF($D2479="","","PRO PLAN"))</f>
        <v/>
      </c>
      <c r="U2479" s="60" t="str">
        <f aca="false">IF(IsPro,IF($D2479="","",IFERROR(MATCH($D2479,Items!$A$5:$A$504,0),"")),"")</f>
        <v/>
      </c>
      <c r="V2479" s="60" t="str">
        <f aca="false">IF(IsPro,IF($C2479="","",IFERROR(MATCH($C2479,Parties!$A$5:$A$304,0),"")),"")</f>
        <v/>
      </c>
      <c r="W2479" s="60" t="str">
        <f aca="false">IF(IsPro,IF($B2479="","",IFERROR(VALUE(SUBSTITUTE($B2479,InvPrefix,"")),0)),"")</f>
        <v/>
      </c>
      <c r="X2479" s="61" t="str">
        <f aca="false">IF(IsPro,IF($D2479="","",IF(OR($H2479="",$H2479="Credit"),0,Q2479)),"")</f>
        <v/>
      </c>
    </row>
    <row r="2480" customFormat="false" ht="15" hidden="false" customHeight="false" outlineLevel="0" collapsed="false">
      <c r="A2480" s="55"/>
      <c r="B2480" s="56"/>
      <c r="C2480" s="56"/>
      <c r="D2480" s="56"/>
      <c r="E2480" s="57"/>
      <c r="F2480" s="58"/>
      <c r="G2480" s="59"/>
      <c r="H2480" s="56"/>
      <c r="I2480" s="56"/>
      <c r="J2480" s="60" t="str">
        <f aca="false">IF(IsPro,IF($D2480="","",IFERROR(INDEX(Items!$D$5:$D$504,U2480),"")),"")</f>
        <v/>
      </c>
      <c r="K2480" s="61" t="str">
        <f aca="false">IF(IsPro,IF($D2480="","",IF($F2480="",IFERROR(INDEX(Items!$H$5:$H$504,U2480),0),$F2480)),"")</f>
        <v/>
      </c>
      <c r="L2480" s="61" t="str">
        <f aca="false">IF(IsPro,IF($D2480="","",ROUND(N($E2480)*K2480*(1-N($G2480)),2)),"")</f>
        <v/>
      </c>
      <c r="M2480" s="62" t="str">
        <f aca="false">IF(IsPro,IF($D2480="","",IFERROR(INDEX(Items!$F$5:$F$504,U2480),0)),"")</f>
        <v/>
      </c>
      <c r="N2480" s="61" t="str">
        <f aca="false">IF(IsPro,IF($D2480="","",IF(AND(V2480&lt;&gt;"",INDEX(Parties!$E$5:$E$304,V2480)&lt;&gt;"",INDEX(Parties!$E$5:$E$304,V2480)&lt;&gt;HomeState),0,ROUND(L2480*M2480/2,2))),"")</f>
        <v/>
      </c>
      <c r="O2480" s="61" t="str">
        <f aca="false">IF(IsPro,IF($D2480="","",N2480),"")</f>
        <v/>
      </c>
      <c r="P2480" s="61" t="str">
        <f aca="false">IF(IsPro,IF($D2480="","",IF(AND(V2480&lt;&gt;"",INDEX(Parties!$E$5:$E$304,V2480)&lt;&gt;"",INDEX(Parties!$E$5:$E$304,V2480)&lt;&gt;HomeState),ROUND(L2480*M2480,2),0)),"")</f>
        <v/>
      </c>
      <c r="Q2480" s="61" t="str">
        <f aca="false">IF(IsPro,IF($D2480="","",L2480+N2480+O2480+P2480),"")</f>
        <v/>
      </c>
      <c r="R2480" s="61" t="str">
        <f aca="false">IF(IsPro,IF($D2480="","",ROUND(N($E2480)*IFERROR(INDEX(Items!$P$5:$P$504,U2480),0),2)),"")</f>
        <v/>
      </c>
      <c r="S2480" s="61" t="str">
        <f aca="false">IF(IsPro,IF($D2480="","",L2480-R2480),"")</f>
        <v/>
      </c>
      <c r="T2480" s="60" t="str">
        <f aca="false">IF(IsPro,IF($D2480="","",IF(U2480="","UNKNOWN ITEM",IF(INDEX(Items!$O$5:$O$504,U2480)&lt;0,"NEG STOCK",IF(K2480&lt;INDEX(Items!$P$5:$P$504,U2480),"BELOW COST","OK")))),IF($D2480="","","PRO PLAN"))</f>
        <v/>
      </c>
      <c r="U2480" s="60" t="str">
        <f aca="false">IF(IsPro,IF($D2480="","",IFERROR(MATCH($D2480,Items!$A$5:$A$504,0),"")),"")</f>
        <v/>
      </c>
      <c r="V2480" s="60" t="str">
        <f aca="false">IF(IsPro,IF($C2480="","",IFERROR(MATCH($C2480,Parties!$A$5:$A$304,0),"")),"")</f>
        <v/>
      </c>
      <c r="W2480" s="60" t="str">
        <f aca="false">IF(IsPro,IF($B2480="","",IFERROR(VALUE(SUBSTITUTE($B2480,InvPrefix,"")),0)),"")</f>
        <v/>
      </c>
      <c r="X2480" s="61" t="str">
        <f aca="false">IF(IsPro,IF($D2480="","",IF(OR($H2480="",$H2480="Credit"),0,Q2480)),"")</f>
        <v/>
      </c>
    </row>
    <row r="2481" customFormat="false" ht="15" hidden="false" customHeight="false" outlineLevel="0" collapsed="false">
      <c r="A2481" s="55"/>
      <c r="B2481" s="56"/>
      <c r="C2481" s="56"/>
      <c r="D2481" s="56"/>
      <c r="E2481" s="57"/>
      <c r="F2481" s="58"/>
      <c r="G2481" s="59"/>
      <c r="H2481" s="56"/>
      <c r="I2481" s="56"/>
      <c r="J2481" s="60" t="str">
        <f aca="false">IF(IsPro,IF($D2481="","",IFERROR(INDEX(Items!$D$5:$D$504,U2481),"")),"")</f>
        <v/>
      </c>
      <c r="K2481" s="61" t="str">
        <f aca="false">IF(IsPro,IF($D2481="","",IF($F2481="",IFERROR(INDEX(Items!$H$5:$H$504,U2481),0),$F2481)),"")</f>
        <v/>
      </c>
      <c r="L2481" s="61" t="str">
        <f aca="false">IF(IsPro,IF($D2481="","",ROUND(N($E2481)*K2481*(1-N($G2481)),2)),"")</f>
        <v/>
      </c>
      <c r="M2481" s="62" t="str">
        <f aca="false">IF(IsPro,IF($D2481="","",IFERROR(INDEX(Items!$F$5:$F$504,U2481),0)),"")</f>
        <v/>
      </c>
      <c r="N2481" s="61" t="str">
        <f aca="false">IF(IsPro,IF($D2481="","",IF(AND(V2481&lt;&gt;"",INDEX(Parties!$E$5:$E$304,V2481)&lt;&gt;"",INDEX(Parties!$E$5:$E$304,V2481)&lt;&gt;HomeState),0,ROUND(L2481*M2481/2,2))),"")</f>
        <v/>
      </c>
      <c r="O2481" s="61" t="str">
        <f aca="false">IF(IsPro,IF($D2481="","",N2481),"")</f>
        <v/>
      </c>
      <c r="P2481" s="61" t="str">
        <f aca="false">IF(IsPro,IF($D2481="","",IF(AND(V2481&lt;&gt;"",INDEX(Parties!$E$5:$E$304,V2481)&lt;&gt;"",INDEX(Parties!$E$5:$E$304,V2481)&lt;&gt;HomeState),ROUND(L2481*M2481,2),0)),"")</f>
        <v/>
      </c>
      <c r="Q2481" s="61" t="str">
        <f aca="false">IF(IsPro,IF($D2481="","",L2481+N2481+O2481+P2481),"")</f>
        <v/>
      </c>
      <c r="R2481" s="61" t="str">
        <f aca="false">IF(IsPro,IF($D2481="","",ROUND(N($E2481)*IFERROR(INDEX(Items!$P$5:$P$504,U2481),0),2)),"")</f>
        <v/>
      </c>
      <c r="S2481" s="61" t="str">
        <f aca="false">IF(IsPro,IF($D2481="","",L2481-R2481),"")</f>
        <v/>
      </c>
      <c r="T2481" s="60" t="str">
        <f aca="false">IF(IsPro,IF($D2481="","",IF(U2481="","UNKNOWN ITEM",IF(INDEX(Items!$O$5:$O$504,U2481)&lt;0,"NEG STOCK",IF(K2481&lt;INDEX(Items!$P$5:$P$504,U2481),"BELOW COST","OK")))),IF($D2481="","","PRO PLAN"))</f>
        <v/>
      </c>
      <c r="U2481" s="60" t="str">
        <f aca="false">IF(IsPro,IF($D2481="","",IFERROR(MATCH($D2481,Items!$A$5:$A$504,0),"")),"")</f>
        <v/>
      </c>
      <c r="V2481" s="60" t="str">
        <f aca="false">IF(IsPro,IF($C2481="","",IFERROR(MATCH($C2481,Parties!$A$5:$A$304,0),"")),"")</f>
        <v/>
      </c>
      <c r="W2481" s="60" t="str">
        <f aca="false">IF(IsPro,IF($B2481="","",IFERROR(VALUE(SUBSTITUTE($B2481,InvPrefix,"")),0)),"")</f>
        <v/>
      </c>
      <c r="X2481" s="61" t="str">
        <f aca="false">IF(IsPro,IF($D2481="","",IF(OR($H2481="",$H2481="Credit"),0,Q2481)),"")</f>
        <v/>
      </c>
    </row>
    <row r="2482" customFormat="false" ht="15" hidden="false" customHeight="false" outlineLevel="0" collapsed="false">
      <c r="A2482" s="55"/>
      <c r="B2482" s="56"/>
      <c r="C2482" s="56"/>
      <c r="D2482" s="56"/>
      <c r="E2482" s="57"/>
      <c r="F2482" s="58"/>
      <c r="G2482" s="59"/>
      <c r="H2482" s="56"/>
      <c r="I2482" s="56"/>
      <c r="J2482" s="60" t="str">
        <f aca="false">IF(IsPro,IF($D2482="","",IFERROR(INDEX(Items!$D$5:$D$504,U2482),"")),"")</f>
        <v/>
      </c>
      <c r="K2482" s="61" t="str">
        <f aca="false">IF(IsPro,IF($D2482="","",IF($F2482="",IFERROR(INDEX(Items!$H$5:$H$504,U2482),0),$F2482)),"")</f>
        <v/>
      </c>
      <c r="L2482" s="61" t="str">
        <f aca="false">IF(IsPro,IF($D2482="","",ROUND(N($E2482)*K2482*(1-N($G2482)),2)),"")</f>
        <v/>
      </c>
      <c r="M2482" s="62" t="str">
        <f aca="false">IF(IsPro,IF($D2482="","",IFERROR(INDEX(Items!$F$5:$F$504,U2482),0)),"")</f>
        <v/>
      </c>
      <c r="N2482" s="61" t="str">
        <f aca="false">IF(IsPro,IF($D2482="","",IF(AND(V2482&lt;&gt;"",INDEX(Parties!$E$5:$E$304,V2482)&lt;&gt;"",INDEX(Parties!$E$5:$E$304,V2482)&lt;&gt;HomeState),0,ROUND(L2482*M2482/2,2))),"")</f>
        <v/>
      </c>
      <c r="O2482" s="61" t="str">
        <f aca="false">IF(IsPro,IF($D2482="","",N2482),"")</f>
        <v/>
      </c>
      <c r="P2482" s="61" t="str">
        <f aca="false">IF(IsPro,IF($D2482="","",IF(AND(V2482&lt;&gt;"",INDEX(Parties!$E$5:$E$304,V2482)&lt;&gt;"",INDEX(Parties!$E$5:$E$304,V2482)&lt;&gt;HomeState),ROUND(L2482*M2482,2),0)),"")</f>
        <v/>
      </c>
      <c r="Q2482" s="61" t="str">
        <f aca="false">IF(IsPro,IF($D2482="","",L2482+N2482+O2482+P2482),"")</f>
        <v/>
      </c>
      <c r="R2482" s="61" t="str">
        <f aca="false">IF(IsPro,IF($D2482="","",ROUND(N($E2482)*IFERROR(INDEX(Items!$P$5:$P$504,U2482),0),2)),"")</f>
        <v/>
      </c>
      <c r="S2482" s="61" t="str">
        <f aca="false">IF(IsPro,IF($D2482="","",L2482-R2482),"")</f>
        <v/>
      </c>
      <c r="T2482" s="60" t="str">
        <f aca="false">IF(IsPro,IF($D2482="","",IF(U2482="","UNKNOWN ITEM",IF(INDEX(Items!$O$5:$O$504,U2482)&lt;0,"NEG STOCK",IF(K2482&lt;INDEX(Items!$P$5:$P$504,U2482),"BELOW COST","OK")))),IF($D2482="","","PRO PLAN"))</f>
        <v/>
      </c>
      <c r="U2482" s="60" t="str">
        <f aca="false">IF(IsPro,IF($D2482="","",IFERROR(MATCH($D2482,Items!$A$5:$A$504,0),"")),"")</f>
        <v/>
      </c>
      <c r="V2482" s="60" t="str">
        <f aca="false">IF(IsPro,IF($C2482="","",IFERROR(MATCH($C2482,Parties!$A$5:$A$304,0),"")),"")</f>
        <v/>
      </c>
      <c r="W2482" s="60" t="str">
        <f aca="false">IF(IsPro,IF($B2482="","",IFERROR(VALUE(SUBSTITUTE($B2482,InvPrefix,"")),0)),"")</f>
        <v/>
      </c>
      <c r="X2482" s="61" t="str">
        <f aca="false">IF(IsPro,IF($D2482="","",IF(OR($H2482="",$H2482="Credit"),0,Q2482)),"")</f>
        <v/>
      </c>
    </row>
    <row r="2483" customFormat="false" ht="15" hidden="false" customHeight="false" outlineLevel="0" collapsed="false">
      <c r="A2483" s="55"/>
      <c r="B2483" s="56"/>
      <c r="C2483" s="56"/>
      <c r="D2483" s="56"/>
      <c r="E2483" s="57"/>
      <c r="F2483" s="58"/>
      <c r="G2483" s="59"/>
      <c r="H2483" s="56"/>
      <c r="I2483" s="56"/>
      <c r="J2483" s="60" t="str">
        <f aca="false">IF(IsPro,IF($D2483="","",IFERROR(INDEX(Items!$D$5:$D$504,U2483),"")),"")</f>
        <v/>
      </c>
      <c r="K2483" s="61" t="str">
        <f aca="false">IF(IsPro,IF($D2483="","",IF($F2483="",IFERROR(INDEX(Items!$H$5:$H$504,U2483),0),$F2483)),"")</f>
        <v/>
      </c>
      <c r="L2483" s="61" t="str">
        <f aca="false">IF(IsPro,IF($D2483="","",ROUND(N($E2483)*K2483*(1-N($G2483)),2)),"")</f>
        <v/>
      </c>
      <c r="M2483" s="62" t="str">
        <f aca="false">IF(IsPro,IF($D2483="","",IFERROR(INDEX(Items!$F$5:$F$504,U2483),0)),"")</f>
        <v/>
      </c>
      <c r="N2483" s="61" t="str">
        <f aca="false">IF(IsPro,IF($D2483="","",IF(AND(V2483&lt;&gt;"",INDEX(Parties!$E$5:$E$304,V2483)&lt;&gt;"",INDEX(Parties!$E$5:$E$304,V2483)&lt;&gt;HomeState),0,ROUND(L2483*M2483/2,2))),"")</f>
        <v/>
      </c>
      <c r="O2483" s="61" t="str">
        <f aca="false">IF(IsPro,IF($D2483="","",N2483),"")</f>
        <v/>
      </c>
      <c r="P2483" s="61" t="str">
        <f aca="false">IF(IsPro,IF($D2483="","",IF(AND(V2483&lt;&gt;"",INDEX(Parties!$E$5:$E$304,V2483)&lt;&gt;"",INDEX(Parties!$E$5:$E$304,V2483)&lt;&gt;HomeState),ROUND(L2483*M2483,2),0)),"")</f>
        <v/>
      </c>
      <c r="Q2483" s="61" t="str">
        <f aca="false">IF(IsPro,IF($D2483="","",L2483+N2483+O2483+P2483),"")</f>
        <v/>
      </c>
      <c r="R2483" s="61" t="str">
        <f aca="false">IF(IsPro,IF($D2483="","",ROUND(N($E2483)*IFERROR(INDEX(Items!$P$5:$P$504,U2483),0),2)),"")</f>
        <v/>
      </c>
      <c r="S2483" s="61" t="str">
        <f aca="false">IF(IsPro,IF($D2483="","",L2483-R2483),"")</f>
        <v/>
      </c>
      <c r="T2483" s="60" t="str">
        <f aca="false">IF(IsPro,IF($D2483="","",IF(U2483="","UNKNOWN ITEM",IF(INDEX(Items!$O$5:$O$504,U2483)&lt;0,"NEG STOCK",IF(K2483&lt;INDEX(Items!$P$5:$P$504,U2483),"BELOW COST","OK")))),IF($D2483="","","PRO PLAN"))</f>
        <v/>
      </c>
      <c r="U2483" s="60" t="str">
        <f aca="false">IF(IsPro,IF($D2483="","",IFERROR(MATCH($D2483,Items!$A$5:$A$504,0),"")),"")</f>
        <v/>
      </c>
      <c r="V2483" s="60" t="str">
        <f aca="false">IF(IsPro,IF($C2483="","",IFERROR(MATCH($C2483,Parties!$A$5:$A$304,0),"")),"")</f>
        <v/>
      </c>
      <c r="W2483" s="60" t="str">
        <f aca="false">IF(IsPro,IF($B2483="","",IFERROR(VALUE(SUBSTITUTE($B2483,InvPrefix,"")),0)),"")</f>
        <v/>
      </c>
      <c r="X2483" s="61" t="str">
        <f aca="false">IF(IsPro,IF($D2483="","",IF(OR($H2483="",$H2483="Credit"),0,Q2483)),"")</f>
        <v/>
      </c>
    </row>
    <row r="2484" customFormat="false" ht="15" hidden="false" customHeight="false" outlineLevel="0" collapsed="false">
      <c r="A2484" s="55"/>
      <c r="B2484" s="56"/>
      <c r="C2484" s="56"/>
      <c r="D2484" s="56"/>
      <c r="E2484" s="57"/>
      <c r="F2484" s="58"/>
      <c r="G2484" s="59"/>
      <c r="H2484" s="56"/>
      <c r="I2484" s="56"/>
      <c r="J2484" s="60" t="str">
        <f aca="false">IF(IsPro,IF($D2484="","",IFERROR(INDEX(Items!$D$5:$D$504,U2484),"")),"")</f>
        <v/>
      </c>
      <c r="K2484" s="61" t="str">
        <f aca="false">IF(IsPro,IF($D2484="","",IF($F2484="",IFERROR(INDEX(Items!$H$5:$H$504,U2484),0),$F2484)),"")</f>
        <v/>
      </c>
      <c r="L2484" s="61" t="str">
        <f aca="false">IF(IsPro,IF($D2484="","",ROUND(N($E2484)*K2484*(1-N($G2484)),2)),"")</f>
        <v/>
      </c>
      <c r="M2484" s="62" t="str">
        <f aca="false">IF(IsPro,IF($D2484="","",IFERROR(INDEX(Items!$F$5:$F$504,U2484),0)),"")</f>
        <v/>
      </c>
      <c r="N2484" s="61" t="str">
        <f aca="false">IF(IsPro,IF($D2484="","",IF(AND(V2484&lt;&gt;"",INDEX(Parties!$E$5:$E$304,V2484)&lt;&gt;"",INDEX(Parties!$E$5:$E$304,V2484)&lt;&gt;HomeState),0,ROUND(L2484*M2484/2,2))),"")</f>
        <v/>
      </c>
      <c r="O2484" s="61" t="str">
        <f aca="false">IF(IsPro,IF($D2484="","",N2484),"")</f>
        <v/>
      </c>
      <c r="P2484" s="61" t="str">
        <f aca="false">IF(IsPro,IF($D2484="","",IF(AND(V2484&lt;&gt;"",INDEX(Parties!$E$5:$E$304,V2484)&lt;&gt;"",INDEX(Parties!$E$5:$E$304,V2484)&lt;&gt;HomeState),ROUND(L2484*M2484,2),0)),"")</f>
        <v/>
      </c>
      <c r="Q2484" s="61" t="str">
        <f aca="false">IF(IsPro,IF($D2484="","",L2484+N2484+O2484+P2484),"")</f>
        <v/>
      </c>
      <c r="R2484" s="61" t="str">
        <f aca="false">IF(IsPro,IF($D2484="","",ROUND(N($E2484)*IFERROR(INDEX(Items!$P$5:$P$504,U2484),0),2)),"")</f>
        <v/>
      </c>
      <c r="S2484" s="61" t="str">
        <f aca="false">IF(IsPro,IF($D2484="","",L2484-R2484),"")</f>
        <v/>
      </c>
      <c r="T2484" s="60" t="str">
        <f aca="false">IF(IsPro,IF($D2484="","",IF(U2484="","UNKNOWN ITEM",IF(INDEX(Items!$O$5:$O$504,U2484)&lt;0,"NEG STOCK",IF(K2484&lt;INDEX(Items!$P$5:$P$504,U2484),"BELOW COST","OK")))),IF($D2484="","","PRO PLAN"))</f>
        <v/>
      </c>
      <c r="U2484" s="60" t="str">
        <f aca="false">IF(IsPro,IF($D2484="","",IFERROR(MATCH($D2484,Items!$A$5:$A$504,0),"")),"")</f>
        <v/>
      </c>
      <c r="V2484" s="60" t="str">
        <f aca="false">IF(IsPro,IF($C2484="","",IFERROR(MATCH($C2484,Parties!$A$5:$A$304,0),"")),"")</f>
        <v/>
      </c>
      <c r="W2484" s="60" t="str">
        <f aca="false">IF(IsPro,IF($B2484="","",IFERROR(VALUE(SUBSTITUTE($B2484,InvPrefix,"")),0)),"")</f>
        <v/>
      </c>
      <c r="X2484" s="61" t="str">
        <f aca="false">IF(IsPro,IF($D2484="","",IF(OR($H2484="",$H2484="Credit"),0,Q2484)),"")</f>
        <v/>
      </c>
    </row>
    <row r="2485" customFormat="false" ht="15" hidden="false" customHeight="false" outlineLevel="0" collapsed="false">
      <c r="A2485" s="55"/>
      <c r="B2485" s="56"/>
      <c r="C2485" s="56"/>
      <c r="D2485" s="56"/>
      <c r="E2485" s="57"/>
      <c r="F2485" s="58"/>
      <c r="G2485" s="59"/>
      <c r="H2485" s="56"/>
      <c r="I2485" s="56"/>
      <c r="J2485" s="60" t="str">
        <f aca="false">IF(IsPro,IF($D2485="","",IFERROR(INDEX(Items!$D$5:$D$504,U2485),"")),"")</f>
        <v/>
      </c>
      <c r="K2485" s="61" t="str">
        <f aca="false">IF(IsPro,IF($D2485="","",IF($F2485="",IFERROR(INDEX(Items!$H$5:$H$504,U2485),0),$F2485)),"")</f>
        <v/>
      </c>
      <c r="L2485" s="61" t="str">
        <f aca="false">IF(IsPro,IF($D2485="","",ROUND(N($E2485)*K2485*(1-N($G2485)),2)),"")</f>
        <v/>
      </c>
      <c r="M2485" s="62" t="str">
        <f aca="false">IF(IsPro,IF($D2485="","",IFERROR(INDEX(Items!$F$5:$F$504,U2485),0)),"")</f>
        <v/>
      </c>
      <c r="N2485" s="61" t="str">
        <f aca="false">IF(IsPro,IF($D2485="","",IF(AND(V2485&lt;&gt;"",INDEX(Parties!$E$5:$E$304,V2485)&lt;&gt;"",INDEX(Parties!$E$5:$E$304,V2485)&lt;&gt;HomeState),0,ROUND(L2485*M2485/2,2))),"")</f>
        <v/>
      </c>
      <c r="O2485" s="61" t="str">
        <f aca="false">IF(IsPro,IF($D2485="","",N2485),"")</f>
        <v/>
      </c>
      <c r="P2485" s="61" t="str">
        <f aca="false">IF(IsPro,IF($D2485="","",IF(AND(V2485&lt;&gt;"",INDEX(Parties!$E$5:$E$304,V2485)&lt;&gt;"",INDEX(Parties!$E$5:$E$304,V2485)&lt;&gt;HomeState),ROUND(L2485*M2485,2),0)),"")</f>
        <v/>
      </c>
      <c r="Q2485" s="61" t="str">
        <f aca="false">IF(IsPro,IF($D2485="","",L2485+N2485+O2485+P2485),"")</f>
        <v/>
      </c>
      <c r="R2485" s="61" t="str">
        <f aca="false">IF(IsPro,IF($D2485="","",ROUND(N($E2485)*IFERROR(INDEX(Items!$P$5:$P$504,U2485),0),2)),"")</f>
        <v/>
      </c>
      <c r="S2485" s="61" t="str">
        <f aca="false">IF(IsPro,IF($D2485="","",L2485-R2485),"")</f>
        <v/>
      </c>
      <c r="T2485" s="60" t="str">
        <f aca="false">IF(IsPro,IF($D2485="","",IF(U2485="","UNKNOWN ITEM",IF(INDEX(Items!$O$5:$O$504,U2485)&lt;0,"NEG STOCK",IF(K2485&lt;INDEX(Items!$P$5:$P$504,U2485),"BELOW COST","OK")))),IF($D2485="","","PRO PLAN"))</f>
        <v/>
      </c>
      <c r="U2485" s="60" t="str">
        <f aca="false">IF(IsPro,IF($D2485="","",IFERROR(MATCH($D2485,Items!$A$5:$A$504,0),"")),"")</f>
        <v/>
      </c>
      <c r="V2485" s="60" t="str">
        <f aca="false">IF(IsPro,IF($C2485="","",IFERROR(MATCH($C2485,Parties!$A$5:$A$304,0),"")),"")</f>
        <v/>
      </c>
      <c r="W2485" s="60" t="str">
        <f aca="false">IF(IsPro,IF($B2485="","",IFERROR(VALUE(SUBSTITUTE($B2485,InvPrefix,"")),0)),"")</f>
        <v/>
      </c>
      <c r="X2485" s="61" t="str">
        <f aca="false">IF(IsPro,IF($D2485="","",IF(OR($H2485="",$H2485="Credit"),0,Q2485)),"")</f>
        <v/>
      </c>
    </row>
    <row r="2486" customFormat="false" ht="15" hidden="false" customHeight="false" outlineLevel="0" collapsed="false">
      <c r="A2486" s="55"/>
      <c r="B2486" s="56"/>
      <c r="C2486" s="56"/>
      <c r="D2486" s="56"/>
      <c r="E2486" s="57"/>
      <c r="F2486" s="58"/>
      <c r="G2486" s="59"/>
      <c r="H2486" s="56"/>
      <c r="I2486" s="56"/>
      <c r="J2486" s="60" t="str">
        <f aca="false">IF(IsPro,IF($D2486="","",IFERROR(INDEX(Items!$D$5:$D$504,U2486),"")),"")</f>
        <v/>
      </c>
      <c r="K2486" s="61" t="str">
        <f aca="false">IF(IsPro,IF($D2486="","",IF($F2486="",IFERROR(INDEX(Items!$H$5:$H$504,U2486),0),$F2486)),"")</f>
        <v/>
      </c>
      <c r="L2486" s="61" t="str">
        <f aca="false">IF(IsPro,IF($D2486="","",ROUND(N($E2486)*K2486*(1-N($G2486)),2)),"")</f>
        <v/>
      </c>
      <c r="M2486" s="62" t="str">
        <f aca="false">IF(IsPro,IF($D2486="","",IFERROR(INDEX(Items!$F$5:$F$504,U2486),0)),"")</f>
        <v/>
      </c>
      <c r="N2486" s="61" t="str">
        <f aca="false">IF(IsPro,IF($D2486="","",IF(AND(V2486&lt;&gt;"",INDEX(Parties!$E$5:$E$304,V2486)&lt;&gt;"",INDEX(Parties!$E$5:$E$304,V2486)&lt;&gt;HomeState),0,ROUND(L2486*M2486/2,2))),"")</f>
        <v/>
      </c>
      <c r="O2486" s="61" t="str">
        <f aca="false">IF(IsPro,IF($D2486="","",N2486),"")</f>
        <v/>
      </c>
      <c r="P2486" s="61" t="str">
        <f aca="false">IF(IsPro,IF($D2486="","",IF(AND(V2486&lt;&gt;"",INDEX(Parties!$E$5:$E$304,V2486)&lt;&gt;"",INDEX(Parties!$E$5:$E$304,V2486)&lt;&gt;HomeState),ROUND(L2486*M2486,2),0)),"")</f>
        <v/>
      </c>
      <c r="Q2486" s="61" t="str">
        <f aca="false">IF(IsPro,IF($D2486="","",L2486+N2486+O2486+P2486),"")</f>
        <v/>
      </c>
      <c r="R2486" s="61" t="str">
        <f aca="false">IF(IsPro,IF($D2486="","",ROUND(N($E2486)*IFERROR(INDEX(Items!$P$5:$P$504,U2486),0),2)),"")</f>
        <v/>
      </c>
      <c r="S2486" s="61" t="str">
        <f aca="false">IF(IsPro,IF($D2486="","",L2486-R2486),"")</f>
        <v/>
      </c>
      <c r="T2486" s="60" t="str">
        <f aca="false">IF(IsPro,IF($D2486="","",IF(U2486="","UNKNOWN ITEM",IF(INDEX(Items!$O$5:$O$504,U2486)&lt;0,"NEG STOCK",IF(K2486&lt;INDEX(Items!$P$5:$P$504,U2486),"BELOW COST","OK")))),IF($D2486="","","PRO PLAN"))</f>
        <v/>
      </c>
      <c r="U2486" s="60" t="str">
        <f aca="false">IF(IsPro,IF($D2486="","",IFERROR(MATCH($D2486,Items!$A$5:$A$504,0),"")),"")</f>
        <v/>
      </c>
      <c r="V2486" s="60" t="str">
        <f aca="false">IF(IsPro,IF($C2486="","",IFERROR(MATCH($C2486,Parties!$A$5:$A$304,0),"")),"")</f>
        <v/>
      </c>
      <c r="W2486" s="60" t="str">
        <f aca="false">IF(IsPro,IF($B2486="","",IFERROR(VALUE(SUBSTITUTE($B2486,InvPrefix,"")),0)),"")</f>
        <v/>
      </c>
      <c r="X2486" s="61" t="str">
        <f aca="false">IF(IsPro,IF($D2486="","",IF(OR($H2486="",$H2486="Credit"),0,Q2486)),"")</f>
        <v/>
      </c>
    </row>
    <row r="2487" customFormat="false" ht="15" hidden="false" customHeight="false" outlineLevel="0" collapsed="false">
      <c r="A2487" s="55"/>
      <c r="B2487" s="56"/>
      <c r="C2487" s="56"/>
      <c r="D2487" s="56"/>
      <c r="E2487" s="57"/>
      <c r="F2487" s="58"/>
      <c r="G2487" s="59"/>
      <c r="H2487" s="56"/>
      <c r="I2487" s="56"/>
      <c r="J2487" s="60" t="str">
        <f aca="false">IF(IsPro,IF($D2487="","",IFERROR(INDEX(Items!$D$5:$D$504,U2487),"")),"")</f>
        <v/>
      </c>
      <c r="K2487" s="61" t="str">
        <f aca="false">IF(IsPro,IF($D2487="","",IF($F2487="",IFERROR(INDEX(Items!$H$5:$H$504,U2487),0),$F2487)),"")</f>
        <v/>
      </c>
      <c r="L2487" s="61" t="str">
        <f aca="false">IF(IsPro,IF($D2487="","",ROUND(N($E2487)*K2487*(1-N($G2487)),2)),"")</f>
        <v/>
      </c>
      <c r="M2487" s="62" t="str">
        <f aca="false">IF(IsPro,IF($D2487="","",IFERROR(INDEX(Items!$F$5:$F$504,U2487),0)),"")</f>
        <v/>
      </c>
      <c r="N2487" s="61" t="str">
        <f aca="false">IF(IsPro,IF($D2487="","",IF(AND(V2487&lt;&gt;"",INDEX(Parties!$E$5:$E$304,V2487)&lt;&gt;"",INDEX(Parties!$E$5:$E$304,V2487)&lt;&gt;HomeState),0,ROUND(L2487*M2487/2,2))),"")</f>
        <v/>
      </c>
      <c r="O2487" s="61" t="str">
        <f aca="false">IF(IsPro,IF($D2487="","",N2487),"")</f>
        <v/>
      </c>
      <c r="P2487" s="61" t="str">
        <f aca="false">IF(IsPro,IF($D2487="","",IF(AND(V2487&lt;&gt;"",INDEX(Parties!$E$5:$E$304,V2487)&lt;&gt;"",INDEX(Parties!$E$5:$E$304,V2487)&lt;&gt;HomeState),ROUND(L2487*M2487,2),0)),"")</f>
        <v/>
      </c>
      <c r="Q2487" s="61" t="str">
        <f aca="false">IF(IsPro,IF($D2487="","",L2487+N2487+O2487+P2487),"")</f>
        <v/>
      </c>
      <c r="R2487" s="61" t="str">
        <f aca="false">IF(IsPro,IF($D2487="","",ROUND(N($E2487)*IFERROR(INDEX(Items!$P$5:$P$504,U2487),0),2)),"")</f>
        <v/>
      </c>
      <c r="S2487" s="61" t="str">
        <f aca="false">IF(IsPro,IF($D2487="","",L2487-R2487),"")</f>
        <v/>
      </c>
      <c r="T2487" s="60" t="str">
        <f aca="false">IF(IsPro,IF($D2487="","",IF(U2487="","UNKNOWN ITEM",IF(INDEX(Items!$O$5:$O$504,U2487)&lt;0,"NEG STOCK",IF(K2487&lt;INDEX(Items!$P$5:$P$504,U2487),"BELOW COST","OK")))),IF($D2487="","","PRO PLAN"))</f>
        <v/>
      </c>
      <c r="U2487" s="60" t="str">
        <f aca="false">IF(IsPro,IF($D2487="","",IFERROR(MATCH($D2487,Items!$A$5:$A$504,0),"")),"")</f>
        <v/>
      </c>
      <c r="V2487" s="60" t="str">
        <f aca="false">IF(IsPro,IF($C2487="","",IFERROR(MATCH($C2487,Parties!$A$5:$A$304,0),"")),"")</f>
        <v/>
      </c>
      <c r="W2487" s="60" t="str">
        <f aca="false">IF(IsPro,IF($B2487="","",IFERROR(VALUE(SUBSTITUTE($B2487,InvPrefix,"")),0)),"")</f>
        <v/>
      </c>
      <c r="X2487" s="61" t="str">
        <f aca="false">IF(IsPro,IF($D2487="","",IF(OR($H2487="",$H2487="Credit"),0,Q2487)),"")</f>
        <v/>
      </c>
    </row>
    <row r="2488" customFormat="false" ht="15" hidden="false" customHeight="false" outlineLevel="0" collapsed="false">
      <c r="A2488" s="55"/>
      <c r="B2488" s="56"/>
      <c r="C2488" s="56"/>
      <c r="D2488" s="56"/>
      <c r="E2488" s="57"/>
      <c r="F2488" s="58"/>
      <c r="G2488" s="59"/>
      <c r="H2488" s="56"/>
      <c r="I2488" s="56"/>
      <c r="J2488" s="60" t="str">
        <f aca="false">IF(IsPro,IF($D2488="","",IFERROR(INDEX(Items!$D$5:$D$504,U2488),"")),"")</f>
        <v/>
      </c>
      <c r="K2488" s="61" t="str">
        <f aca="false">IF(IsPro,IF($D2488="","",IF($F2488="",IFERROR(INDEX(Items!$H$5:$H$504,U2488),0),$F2488)),"")</f>
        <v/>
      </c>
      <c r="L2488" s="61" t="str">
        <f aca="false">IF(IsPro,IF($D2488="","",ROUND(N($E2488)*K2488*(1-N($G2488)),2)),"")</f>
        <v/>
      </c>
      <c r="M2488" s="62" t="str">
        <f aca="false">IF(IsPro,IF($D2488="","",IFERROR(INDEX(Items!$F$5:$F$504,U2488),0)),"")</f>
        <v/>
      </c>
      <c r="N2488" s="61" t="str">
        <f aca="false">IF(IsPro,IF($D2488="","",IF(AND(V2488&lt;&gt;"",INDEX(Parties!$E$5:$E$304,V2488)&lt;&gt;"",INDEX(Parties!$E$5:$E$304,V2488)&lt;&gt;HomeState),0,ROUND(L2488*M2488/2,2))),"")</f>
        <v/>
      </c>
      <c r="O2488" s="61" t="str">
        <f aca="false">IF(IsPro,IF($D2488="","",N2488),"")</f>
        <v/>
      </c>
      <c r="P2488" s="61" t="str">
        <f aca="false">IF(IsPro,IF($D2488="","",IF(AND(V2488&lt;&gt;"",INDEX(Parties!$E$5:$E$304,V2488)&lt;&gt;"",INDEX(Parties!$E$5:$E$304,V2488)&lt;&gt;HomeState),ROUND(L2488*M2488,2),0)),"")</f>
        <v/>
      </c>
      <c r="Q2488" s="61" t="str">
        <f aca="false">IF(IsPro,IF($D2488="","",L2488+N2488+O2488+P2488),"")</f>
        <v/>
      </c>
      <c r="R2488" s="61" t="str">
        <f aca="false">IF(IsPro,IF($D2488="","",ROUND(N($E2488)*IFERROR(INDEX(Items!$P$5:$P$504,U2488),0),2)),"")</f>
        <v/>
      </c>
      <c r="S2488" s="61" t="str">
        <f aca="false">IF(IsPro,IF($D2488="","",L2488-R2488),"")</f>
        <v/>
      </c>
      <c r="T2488" s="60" t="str">
        <f aca="false">IF(IsPro,IF($D2488="","",IF(U2488="","UNKNOWN ITEM",IF(INDEX(Items!$O$5:$O$504,U2488)&lt;0,"NEG STOCK",IF(K2488&lt;INDEX(Items!$P$5:$P$504,U2488),"BELOW COST","OK")))),IF($D2488="","","PRO PLAN"))</f>
        <v/>
      </c>
      <c r="U2488" s="60" t="str">
        <f aca="false">IF(IsPro,IF($D2488="","",IFERROR(MATCH($D2488,Items!$A$5:$A$504,0),"")),"")</f>
        <v/>
      </c>
      <c r="V2488" s="60" t="str">
        <f aca="false">IF(IsPro,IF($C2488="","",IFERROR(MATCH($C2488,Parties!$A$5:$A$304,0),"")),"")</f>
        <v/>
      </c>
      <c r="W2488" s="60" t="str">
        <f aca="false">IF(IsPro,IF($B2488="","",IFERROR(VALUE(SUBSTITUTE($B2488,InvPrefix,"")),0)),"")</f>
        <v/>
      </c>
      <c r="X2488" s="61" t="str">
        <f aca="false">IF(IsPro,IF($D2488="","",IF(OR($H2488="",$H2488="Credit"),0,Q2488)),"")</f>
        <v/>
      </c>
    </row>
    <row r="2489" customFormat="false" ht="15" hidden="false" customHeight="false" outlineLevel="0" collapsed="false">
      <c r="A2489" s="55"/>
      <c r="B2489" s="56"/>
      <c r="C2489" s="56"/>
      <c r="D2489" s="56"/>
      <c r="E2489" s="57"/>
      <c r="F2489" s="58"/>
      <c r="G2489" s="59"/>
      <c r="H2489" s="56"/>
      <c r="I2489" s="56"/>
      <c r="J2489" s="60" t="str">
        <f aca="false">IF(IsPro,IF($D2489="","",IFERROR(INDEX(Items!$D$5:$D$504,U2489),"")),"")</f>
        <v/>
      </c>
      <c r="K2489" s="61" t="str">
        <f aca="false">IF(IsPro,IF($D2489="","",IF($F2489="",IFERROR(INDEX(Items!$H$5:$H$504,U2489),0),$F2489)),"")</f>
        <v/>
      </c>
      <c r="L2489" s="61" t="str">
        <f aca="false">IF(IsPro,IF($D2489="","",ROUND(N($E2489)*K2489*(1-N($G2489)),2)),"")</f>
        <v/>
      </c>
      <c r="M2489" s="62" t="str">
        <f aca="false">IF(IsPro,IF($D2489="","",IFERROR(INDEX(Items!$F$5:$F$504,U2489),0)),"")</f>
        <v/>
      </c>
      <c r="N2489" s="61" t="str">
        <f aca="false">IF(IsPro,IF($D2489="","",IF(AND(V2489&lt;&gt;"",INDEX(Parties!$E$5:$E$304,V2489)&lt;&gt;"",INDEX(Parties!$E$5:$E$304,V2489)&lt;&gt;HomeState),0,ROUND(L2489*M2489/2,2))),"")</f>
        <v/>
      </c>
      <c r="O2489" s="61" t="str">
        <f aca="false">IF(IsPro,IF($D2489="","",N2489),"")</f>
        <v/>
      </c>
      <c r="P2489" s="61" t="str">
        <f aca="false">IF(IsPro,IF($D2489="","",IF(AND(V2489&lt;&gt;"",INDEX(Parties!$E$5:$E$304,V2489)&lt;&gt;"",INDEX(Parties!$E$5:$E$304,V2489)&lt;&gt;HomeState),ROUND(L2489*M2489,2),0)),"")</f>
        <v/>
      </c>
      <c r="Q2489" s="61" t="str">
        <f aca="false">IF(IsPro,IF($D2489="","",L2489+N2489+O2489+P2489),"")</f>
        <v/>
      </c>
      <c r="R2489" s="61" t="str">
        <f aca="false">IF(IsPro,IF($D2489="","",ROUND(N($E2489)*IFERROR(INDEX(Items!$P$5:$P$504,U2489),0),2)),"")</f>
        <v/>
      </c>
      <c r="S2489" s="61" t="str">
        <f aca="false">IF(IsPro,IF($D2489="","",L2489-R2489),"")</f>
        <v/>
      </c>
      <c r="T2489" s="60" t="str">
        <f aca="false">IF(IsPro,IF($D2489="","",IF(U2489="","UNKNOWN ITEM",IF(INDEX(Items!$O$5:$O$504,U2489)&lt;0,"NEG STOCK",IF(K2489&lt;INDEX(Items!$P$5:$P$504,U2489),"BELOW COST","OK")))),IF($D2489="","","PRO PLAN"))</f>
        <v/>
      </c>
      <c r="U2489" s="60" t="str">
        <f aca="false">IF(IsPro,IF($D2489="","",IFERROR(MATCH($D2489,Items!$A$5:$A$504,0),"")),"")</f>
        <v/>
      </c>
      <c r="V2489" s="60" t="str">
        <f aca="false">IF(IsPro,IF($C2489="","",IFERROR(MATCH($C2489,Parties!$A$5:$A$304,0),"")),"")</f>
        <v/>
      </c>
      <c r="W2489" s="60" t="str">
        <f aca="false">IF(IsPro,IF($B2489="","",IFERROR(VALUE(SUBSTITUTE($B2489,InvPrefix,"")),0)),"")</f>
        <v/>
      </c>
      <c r="X2489" s="61" t="str">
        <f aca="false">IF(IsPro,IF($D2489="","",IF(OR($H2489="",$H2489="Credit"),0,Q2489)),"")</f>
        <v/>
      </c>
    </row>
    <row r="2490" customFormat="false" ht="15" hidden="false" customHeight="false" outlineLevel="0" collapsed="false">
      <c r="A2490" s="55"/>
      <c r="B2490" s="56"/>
      <c r="C2490" s="56"/>
      <c r="D2490" s="56"/>
      <c r="E2490" s="57"/>
      <c r="F2490" s="58"/>
      <c r="G2490" s="59"/>
      <c r="H2490" s="56"/>
      <c r="I2490" s="56"/>
      <c r="J2490" s="60" t="str">
        <f aca="false">IF(IsPro,IF($D2490="","",IFERROR(INDEX(Items!$D$5:$D$504,U2490),"")),"")</f>
        <v/>
      </c>
      <c r="K2490" s="61" t="str">
        <f aca="false">IF(IsPro,IF($D2490="","",IF($F2490="",IFERROR(INDEX(Items!$H$5:$H$504,U2490),0),$F2490)),"")</f>
        <v/>
      </c>
      <c r="L2490" s="61" t="str">
        <f aca="false">IF(IsPro,IF($D2490="","",ROUND(N($E2490)*K2490*(1-N($G2490)),2)),"")</f>
        <v/>
      </c>
      <c r="M2490" s="62" t="str">
        <f aca="false">IF(IsPro,IF($D2490="","",IFERROR(INDEX(Items!$F$5:$F$504,U2490),0)),"")</f>
        <v/>
      </c>
      <c r="N2490" s="61" t="str">
        <f aca="false">IF(IsPro,IF($D2490="","",IF(AND(V2490&lt;&gt;"",INDEX(Parties!$E$5:$E$304,V2490)&lt;&gt;"",INDEX(Parties!$E$5:$E$304,V2490)&lt;&gt;HomeState),0,ROUND(L2490*M2490/2,2))),"")</f>
        <v/>
      </c>
      <c r="O2490" s="61" t="str">
        <f aca="false">IF(IsPro,IF($D2490="","",N2490),"")</f>
        <v/>
      </c>
      <c r="P2490" s="61" t="str">
        <f aca="false">IF(IsPro,IF($D2490="","",IF(AND(V2490&lt;&gt;"",INDEX(Parties!$E$5:$E$304,V2490)&lt;&gt;"",INDEX(Parties!$E$5:$E$304,V2490)&lt;&gt;HomeState),ROUND(L2490*M2490,2),0)),"")</f>
        <v/>
      </c>
      <c r="Q2490" s="61" t="str">
        <f aca="false">IF(IsPro,IF($D2490="","",L2490+N2490+O2490+P2490),"")</f>
        <v/>
      </c>
      <c r="R2490" s="61" t="str">
        <f aca="false">IF(IsPro,IF($D2490="","",ROUND(N($E2490)*IFERROR(INDEX(Items!$P$5:$P$504,U2490),0),2)),"")</f>
        <v/>
      </c>
      <c r="S2490" s="61" t="str">
        <f aca="false">IF(IsPro,IF($D2490="","",L2490-R2490),"")</f>
        <v/>
      </c>
      <c r="T2490" s="60" t="str">
        <f aca="false">IF(IsPro,IF($D2490="","",IF(U2490="","UNKNOWN ITEM",IF(INDEX(Items!$O$5:$O$504,U2490)&lt;0,"NEG STOCK",IF(K2490&lt;INDEX(Items!$P$5:$P$504,U2490),"BELOW COST","OK")))),IF($D2490="","","PRO PLAN"))</f>
        <v/>
      </c>
      <c r="U2490" s="60" t="str">
        <f aca="false">IF(IsPro,IF($D2490="","",IFERROR(MATCH($D2490,Items!$A$5:$A$504,0),"")),"")</f>
        <v/>
      </c>
      <c r="V2490" s="60" t="str">
        <f aca="false">IF(IsPro,IF($C2490="","",IFERROR(MATCH($C2490,Parties!$A$5:$A$304,0),"")),"")</f>
        <v/>
      </c>
      <c r="W2490" s="60" t="str">
        <f aca="false">IF(IsPro,IF($B2490="","",IFERROR(VALUE(SUBSTITUTE($B2490,InvPrefix,"")),0)),"")</f>
        <v/>
      </c>
      <c r="X2490" s="61" t="str">
        <f aca="false">IF(IsPro,IF($D2490="","",IF(OR($H2490="",$H2490="Credit"),0,Q2490)),"")</f>
        <v/>
      </c>
    </row>
    <row r="2491" customFormat="false" ht="15" hidden="false" customHeight="false" outlineLevel="0" collapsed="false">
      <c r="A2491" s="55"/>
      <c r="B2491" s="56"/>
      <c r="C2491" s="56"/>
      <c r="D2491" s="56"/>
      <c r="E2491" s="57"/>
      <c r="F2491" s="58"/>
      <c r="G2491" s="59"/>
      <c r="H2491" s="56"/>
      <c r="I2491" s="56"/>
      <c r="J2491" s="60" t="str">
        <f aca="false">IF(IsPro,IF($D2491="","",IFERROR(INDEX(Items!$D$5:$D$504,U2491),"")),"")</f>
        <v/>
      </c>
      <c r="K2491" s="61" t="str">
        <f aca="false">IF(IsPro,IF($D2491="","",IF($F2491="",IFERROR(INDEX(Items!$H$5:$H$504,U2491),0),$F2491)),"")</f>
        <v/>
      </c>
      <c r="L2491" s="61" t="str">
        <f aca="false">IF(IsPro,IF($D2491="","",ROUND(N($E2491)*K2491*(1-N($G2491)),2)),"")</f>
        <v/>
      </c>
      <c r="M2491" s="62" t="str">
        <f aca="false">IF(IsPro,IF($D2491="","",IFERROR(INDEX(Items!$F$5:$F$504,U2491),0)),"")</f>
        <v/>
      </c>
      <c r="N2491" s="61" t="str">
        <f aca="false">IF(IsPro,IF($D2491="","",IF(AND(V2491&lt;&gt;"",INDEX(Parties!$E$5:$E$304,V2491)&lt;&gt;"",INDEX(Parties!$E$5:$E$304,V2491)&lt;&gt;HomeState),0,ROUND(L2491*M2491/2,2))),"")</f>
        <v/>
      </c>
      <c r="O2491" s="61" t="str">
        <f aca="false">IF(IsPro,IF($D2491="","",N2491),"")</f>
        <v/>
      </c>
      <c r="P2491" s="61" t="str">
        <f aca="false">IF(IsPro,IF($D2491="","",IF(AND(V2491&lt;&gt;"",INDEX(Parties!$E$5:$E$304,V2491)&lt;&gt;"",INDEX(Parties!$E$5:$E$304,V2491)&lt;&gt;HomeState),ROUND(L2491*M2491,2),0)),"")</f>
        <v/>
      </c>
      <c r="Q2491" s="61" t="str">
        <f aca="false">IF(IsPro,IF($D2491="","",L2491+N2491+O2491+P2491),"")</f>
        <v/>
      </c>
      <c r="R2491" s="61" t="str">
        <f aca="false">IF(IsPro,IF($D2491="","",ROUND(N($E2491)*IFERROR(INDEX(Items!$P$5:$P$504,U2491),0),2)),"")</f>
        <v/>
      </c>
      <c r="S2491" s="61" t="str">
        <f aca="false">IF(IsPro,IF($D2491="","",L2491-R2491),"")</f>
        <v/>
      </c>
      <c r="T2491" s="60" t="str">
        <f aca="false">IF(IsPro,IF($D2491="","",IF(U2491="","UNKNOWN ITEM",IF(INDEX(Items!$O$5:$O$504,U2491)&lt;0,"NEG STOCK",IF(K2491&lt;INDEX(Items!$P$5:$P$504,U2491),"BELOW COST","OK")))),IF($D2491="","","PRO PLAN"))</f>
        <v/>
      </c>
      <c r="U2491" s="60" t="str">
        <f aca="false">IF(IsPro,IF($D2491="","",IFERROR(MATCH($D2491,Items!$A$5:$A$504,0),"")),"")</f>
        <v/>
      </c>
      <c r="V2491" s="60" t="str">
        <f aca="false">IF(IsPro,IF($C2491="","",IFERROR(MATCH($C2491,Parties!$A$5:$A$304,0),"")),"")</f>
        <v/>
      </c>
      <c r="W2491" s="60" t="str">
        <f aca="false">IF(IsPro,IF($B2491="","",IFERROR(VALUE(SUBSTITUTE($B2491,InvPrefix,"")),0)),"")</f>
        <v/>
      </c>
      <c r="X2491" s="61" t="str">
        <f aca="false">IF(IsPro,IF($D2491="","",IF(OR($H2491="",$H2491="Credit"),0,Q2491)),"")</f>
        <v/>
      </c>
    </row>
    <row r="2492" customFormat="false" ht="15" hidden="false" customHeight="false" outlineLevel="0" collapsed="false">
      <c r="A2492" s="55"/>
      <c r="B2492" s="56"/>
      <c r="C2492" s="56"/>
      <c r="D2492" s="56"/>
      <c r="E2492" s="57"/>
      <c r="F2492" s="58"/>
      <c r="G2492" s="59"/>
      <c r="H2492" s="56"/>
      <c r="I2492" s="56"/>
      <c r="J2492" s="60" t="str">
        <f aca="false">IF(IsPro,IF($D2492="","",IFERROR(INDEX(Items!$D$5:$D$504,U2492),"")),"")</f>
        <v/>
      </c>
      <c r="K2492" s="61" t="str">
        <f aca="false">IF(IsPro,IF($D2492="","",IF($F2492="",IFERROR(INDEX(Items!$H$5:$H$504,U2492),0),$F2492)),"")</f>
        <v/>
      </c>
      <c r="L2492" s="61" t="str">
        <f aca="false">IF(IsPro,IF($D2492="","",ROUND(N($E2492)*K2492*(1-N($G2492)),2)),"")</f>
        <v/>
      </c>
      <c r="M2492" s="62" t="str">
        <f aca="false">IF(IsPro,IF($D2492="","",IFERROR(INDEX(Items!$F$5:$F$504,U2492),0)),"")</f>
        <v/>
      </c>
      <c r="N2492" s="61" t="str">
        <f aca="false">IF(IsPro,IF($D2492="","",IF(AND(V2492&lt;&gt;"",INDEX(Parties!$E$5:$E$304,V2492)&lt;&gt;"",INDEX(Parties!$E$5:$E$304,V2492)&lt;&gt;HomeState),0,ROUND(L2492*M2492/2,2))),"")</f>
        <v/>
      </c>
      <c r="O2492" s="61" t="str">
        <f aca="false">IF(IsPro,IF($D2492="","",N2492),"")</f>
        <v/>
      </c>
      <c r="P2492" s="61" t="str">
        <f aca="false">IF(IsPro,IF($D2492="","",IF(AND(V2492&lt;&gt;"",INDEX(Parties!$E$5:$E$304,V2492)&lt;&gt;"",INDEX(Parties!$E$5:$E$304,V2492)&lt;&gt;HomeState),ROUND(L2492*M2492,2),0)),"")</f>
        <v/>
      </c>
      <c r="Q2492" s="61" t="str">
        <f aca="false">IF(IsPro,IF($D2492="","",L2492+N2492+O2492+P2492),"")</f>
        <v/>
      </c>
      <c r="R2492" s="61" t="str">
        <f aca="false">IF(IsPro,IF($D2492="","",ROUND(N($E2492)*IFERROR(INDEX(Items!$P$5:$P$504,U2492),0),2)),"")</f>
        <v/>
      </c>
      <c r="S2492" s="61" t="str">
        <f aca="false">IF(IsPro,IF($D2492="","",L2492-R2492),"")</f>
        <v/>
      </c>
      <c r="T2492" s="60" t="str">
        <f aca="false">IF(IsPro,IF($D2492="","",IF(U2492="","UNKNOWN ITEM",IF(INDEX(Items!$O$5:$O$504,U2492)&lt;0,"NEG STOCK",IF(K2492&lt;INDEX(Items!$P$5:$P$504,U2492),"BELOW COST","OK")))),IF($D2492="","","PRO PLAN"))</f>
        <v/>
      </c>
      <c r="U2492" s="60" t="str">
        <f aca="false">IF(IsPro,IF($D2492="","",IFERROR(MATCH($D2492,Items!$A$5:$A$504,0),"")),"")</f>
        <v/>
      </c>
      <c r="V2492" s="60" t="str">
        <f aca="false">IF(IsPro,IF($C2492="","",IFERROR(MATCH($C2492,Parties!$A$5:$A$304,0),"")),"")</f>
        <v/>
      </c>
      <c r="W2492" s="60" t="str">
        <f aca="false">IF(IsPro,IF($B2492="","",IFERROR(VALUE(SUBSTITUTE($B2492,InvPrefix,"")),0)),"")</f>
        <v/>
      </c>
      <c r="X2492" s="61" t="str">
        <f aca="false">IF(IsPro,IF($D2492="","",IF(OR($H2492="",$H2492="Credit"),0,Q2492)),"")</f>
        <v/>
      </c>
    </row>
    <row r="2493" customFormat="false" ht="15" hidden="false" customHeight="false" outlineLevel="0" collapsed="false">
      <c r="A2493" s="55"/>
      <c r="B2493" s="56"/>
      <c r="C2493" s="56"/>
      <c r="D2493" s="56"/>
      <c r="E2493" s="57"/>
      <c r="F2493" s="58"/>
      <c r="G2493" s="59"/>
      <c r="H2493" s="56"/>
      <c r="I2493" s="56"/>
      <c r="J2493" s="60" t="str">
        <f aca="false">IF(IsPro,IF($D2493="","",IFERROR(INDEX(Items!$D$5:$D$504,U2493),"")),"")</f>
        <v/>
      </c>
      <c r="K2493" s="61" t="str">
        <f aca="false">IF(IsPro,IF($D2493="","",IF($F2493="",IFERROR(INDEX(Items!$H$5:$H$504,U2493),0),$F2493)),"")</f>
        <v/>
      </c>
      <c r="L2493" s="61" t="str">
        <f aca="false">IF(IsPro,IF($D2493="","",ROUND(N($E2493)*K2493*(1-N($G2493)),2)),"")</f>
        <v/>
      </c>
      <c r="M2493" s="62" t="str">
        <f aca="false">IF(IsPro,IF($D2493="","",IFERROR(INDEX(Items!$F$5:$F$504,U2493),0)),"")</f>
        <v/>
      </c>
      <c r="N2493" s="61" t="str">
        <f aca="false">IF(IsPro,IF($D2493="","",IF(AND(V2493&lt;&gt;"",INDEX(Parties!$E$5:$E$304,V2493)&lt;&gt;"",INDEX(Parties!$E$5:$E$304,V2493)&lt;&gt;HomeState),0,ROUND(L2493*M2493/2,2))),"")</f>
        <v/>
      </c>
      <c r="O2493" s="61" t="str">
        <f aca="false">IF(IsPro,IF($D2493="","",N2493),"")</f>
        <v/>
      </c>
      <c r="P2493" s="61" t="str">
        <f aca="false">IF(IsPro,IF($D2493="","",IF(AND(V2493&lt;&gt;"",INDEX(Parties!$E$5:$E$304,V2493)&lt;&gt;"",INDEX(Parties!$E$5:$E$304,V2493)&lt;&gt;HomeState),ROUND(L2493*M2493,2),0)),"")</f>
        <v/>
      </c>
      <c r="Q2493" s="61" t="str">
        <f aca="false">IF(IsPro,IF($D2493="","",L2493+N2493+O2493+P2493),"")</f>
        <v/>
      </c>
      <c r="R2493" s="61" t="str">
        <f aca="false">IF(IsPro,IF($D2493="","",ROUND(N($E2493)*IFERROR(INDEX(Items!$P$5:$P$504,U2493),0),2)),"")</f>
        <v/>
      </c>
      <c r="S2493" s="61" t="str">
        <f aca="false">IF(IsPro,IF($D2493="","",L2493-R2493),"")</f>
        <v/>
      </c>
      <c r="T2493" s="60" t="str">
        <f aca="false">IF(IsPro,IF($D2493="","",IF(U2493="","UNKNOWN ITEM",IF(INDEX(Items!$O$5:$O$504,U2493)&lt;0,"NEG STOCK",IF(K2493&lt;INDEX(Items!$P$5:$P$504,U2493),"BELOW COST","OK")))),IF($D2493="","","PRO PLAN"))</f>
        <v/>
      </c>
      <c r="U2493" s="60" t="str">
        <f aca="false">IF(IsPro,IF($D2493="","",IFERROR(MATCH($D2493,Items!$A$5:$A$504,0),"")),"")</f>
        <v/>
      </c>
      <c r="V2493" s="60" t="str">
        <f aca="false">IF(IsPro,IF($C2493="","",IFERROR(MATCH($C2493,Parties!$A$5:$A$304,0),"")),"")</f>
        <v/>
      </c>
      <c r="W2493" s="60" t="str">
        <f aca="false">IF(IsPro,IF($B2493="","",IFERROR(VALUE(SUBSTITUTE($B2493,InvPrefix,"")),0)),"")</f>
        <v/>
      </c>
      <c r="X2493" s="61" t="str">
        <f aca="false">IF(IsPro,IF($D2493="","",IF(OR($H2493="",$H2493="Credit"),0,Q2493)),"")</f>
        <v/>
      </c>
    </row>
    <row r="2494" customFormat="false" ht="15" hidden="false" customHeight="false" outlineLevel="0" collapsed="false">
      <c r="A2494" s="55"/>
      <c r="B2494" s="56"/>
      <c r="C2494" s="56"/>
      <c r="D2494" s="56"/>
      <c r="E2494" s="57"/>
      <c r="F2494" s="58"/>
      <c r="G2494" s="59"/>
      <c r="H2494" s="56"/>
      <c r="I2494" s="56"/>
      <c r="J2494" s="60" t="str">
        <f aca="false">IF(IsPro,IF($D2494="","",IFERROR(INDEX(Items!$D$5:$D$504,U2494),"")),"")</f>
        <v/>
      </c>
      <c r="K2494" s="61" t="str">
        <f aca="false">IF(IsPro,IF($D2494="","",IF($F2494="",IFERROR(INDEX(Items!$H$5:$H$504,U2494),0),$F2494)),"")</f>
        <v/>
      </c>
      <c r="L2494" s="61" t="str">
        <f aca="false">IF(IsPro,IF($D2494="","",ROUND(N($E2494)*K2494*(1-N($G2494)),2)),"")</f>
        <v/>
      </c>
      <c r="M2494" s="62" t="str">
        <f aca="false">IF(IsPro,IF($D2494="","",IFERROR(INDEX(Items!$F$5:$F$504,U2494),0)),"")</f>
        <v/>
      </c>
      <c r="N2494" s="61" t="str">
        <f aca="false">IF(IsPro,IF($D2494="","",IF(AND(V2494&lt;&gt;"",INDEX(Parties!$E$5:$E$304,V2494)&lt;&gt;"",INDEX(Parties!$E$5:$E$304,V2494)&lt;&gt;HomeState),0,ROUND(L2494*M2494/2,2))),"")</f>
        <v/>
      </c>
      <c r="O2494" s="61" t="str">
        <f aca="false">IF(IsPro,IF($D2494="","",N2494),"")</f>
        <v/>
      </c>
      <c r="P2494" s="61" t="str">
        <f aca="false">IF(IsPro,IF($D2494="","",IF(AND(V2494&lt;&gt;"",INDEX(Parties!$E$5:$E$304,V2494)&lt;&gt;"",INDEX(Parties!$E$5:$E$304,V2494)&lt;&gt;HomeState),ROUND(L2494*M2494,2),0)),"")</f>
        <v/>
      </c>
      <c r="Q2494" s="61" t="str">
        <f aca="false">IF(IsPro,IF($D2494="","",L2494+N2494+O2494+P2494),"")</f>
        <v/>
      </c>
      <c r="R2494" s="61" t="str">
        <f aca="false">IF(IsPro,IF($D2494="","",ROUND(N($E2494)*IFERROR(INDEX(Items!$P$5:$P$504,U2494),0),2)),"")</f>
        <v/>
      </c>
      <c r="S2494" s="61" t="str">
        <f aca="false">IF(IsPro,IF($D2494="","",L2494-R2494),"")</f>
        <v/>
      </c>
      <c r="T2494" s="60" t="str">
        <f aca="false">IF(IsPro,IF($D2494="","",IF(U2494="","UNKNOWN ITEM",IF(INDEX(Items!$O$5:$O$504,U2494)&lt;0,"NEG STOCK",IF(K2494&lt;INDEX(Items!$P$5:$P$504,U2494),"BELOW COST","OK")))),IF($D2494="","","PRO PLAN"))</f>
        <v/>
      </c>
      <c r="U2494" s="60" t="str">
        <f aca="false">IF(IsPro,IF($D2494="","",IFERROR(MATCH($D2494,Items!$A$5:$A$504,0),"")),"")</f>
        <v/>
      </c>
      <c r="V2494" s="60" t="str">
        <f aca="false">IF(IsPro,IF($C2494="","",IFERROR(MATCH($C2494,Parties!$A$5:$A$304,0),"")),"")</f>
        <v/>
      </c>
      <c r="W2494" s="60" t="str">
        <f aca="false">IF(IsPro,IF($B2494="","",IFERROR(VALUE(SUBSTITUTE($B2494,InvPrefix,"")),0)),"")</f>
        <v/>
      </c>
      <c r="X2494" s="61" t="str">
        <f aca="false">IF(IsPro,IF($D2494="","",IF(OR($H2494="",$H2494="Credit"),0,Q2494)),"")</f>
        <v/>
      </c>
    </row>
    <row r="2495" customFormat="false" ht="15" hidden="false" customHeight="false" outlineLevel="0" collapsed="false">
      <c r="A2495" s="55"/>
      <c r="B2495" s="56"/>
      <c r="C2495" s="56"/>
      <c r="D2495" s="56"/>
      <c r="E2495" s="57"/>
      <c r="F2495" s="58"/>
      <c r="G2495" s="59"/>
      <c r="H2495" s="56"/>
      <c r="I2495" s="56"/>
      <c r="J2495" s="60" t="str">
        <f aca="false">IF(IsPro,IF($D2495="","",IFERROR(INDEX(Items!$D$5:$D$504,U2495),"")),"")</f>
        <v/>
      </c>
      <c r="K2495" s="61" t="str">
        <f aca="false">IF(IsPro,IF($D2495="","",IF($F2495="",IFERROR(INDEX(Items!$H$5:$H$504,U2495),0),$F2495)),"")</f>
        <v/>
      </c>
      <c r="L2495" s="61" t="str">
        <f aca="false">IF(IsPro,IF($D2495="","",ROUND(N($E2495)*K2495*(1-N($G2495)),2)),"")</f>
        <v/>
      </c>
      <c r="M2495" s="62" t="str">
        <f aca="false">IF(IsPro,IF($D2495="","",IFERROR(INDEX(Items!$F$5:$F$504,U2495),0)),"")</f>
        <v/>
      </c>
      <c r="N2495" s="61" t="str">
        <f aca="false">IF(IsPro,IF($D2495="","",IF(AND(V2495&lt;&gt;"",INDEX(Parties!$E$5:$E$304,V2495)&lt;&gt;"",INDEX(Parties!$E$5:$E$304,V2495)&lt;&gt;HomeState),0,ROUND(L2495*M2495/2,2))),"")</f>
        <v/>
      </c>
      <c r="O2495" s="61" t="str">
        <f aca="false">IF(IsPro,IF($D2495="","",N2495),"")</f>
        <v/>
      </c>
      <c r="P2495" s="61" t="str">
        <f aca="false">IF(IsPro,IF($D2495="","",IF(AND(V2495&lt;&gt;"",INDEX(Parties!$E$5:$E$304,V2495)&lt;&gt;"",INDEX(Parties!$E$5:$E$304,V2495)&lt;&gt;HomeState),ROUND(L2495*M2495,2),0)),"")</f>
        <v/>
      </c>
      <c r="Q2495" s="61" t="str">
        <f aca="false">IF(IsPro,IF($D2495="","",L2495+N2495+O2495+P2495),"")</f>
        <v/>
      </c>
      <c r="R2495" s="61" t="str">
        <f aca="false">IF(IsPro,IF($D2495="","",ROUND(N($E2495)*IFERROR(INDEX(Items!$P$5:$P$504,U2495),0),2)),"")</f>
        <v/>
      </c>
      <c r="S2495" s="61" t="str">
        <f aca="false">IF(IsPro,IF($D2495="","",L2495-R2495),"")</f>
        <v/>
      </c>
      <c r="T2495" s="60" t="str">
        <f aca="false">IF(IsPro,IF($D2495="","",IF(U2495="","UNKNOWN ITEM",IF(INDEX(Items!$O$5:$O$504,U2495)&lt;0,"NEG STOCK",IF(K2495&lt;INDEX(Items!$P$5:$P$504,U2495),"BELOW COST","OK")))),IF($D2495="","","PRO PLAN"))</f>
        <v/>
      </c>
      <c r="U2495" s="60" t="str">
        <f aca="false">IF(IsPro,IF($D2495="","",IFERROR(MATCH($D2495,Items!$A$5:$A$504,0),"")),"")</f>
        <v/>
      </c>
      <c r="V2495" s="60" t="str">
        <f aca="false">IF(IsPro,IF($C2495="","",IFERROR(MATCH($C2495,Parties!$A$5:$A$304,0),"")),"")</f>
        <v/>
      </c>
      <c r="W2495" s="60" t="str">
        <f aca="false">IF(IsPro,IF($B2495="","",IFERROR(VALUE(SUBSTITUTE($B2495,InvPrefix,"")),0)),"")</f>
        <v/>
      </c>
      <c r="X2495" s="61" t="str">
        <f aca="false">IF(IsPro,IF($D2495="","",IF(OR($H2495="",$H2495="Credit"),0,Q2495)),"")</f>
        <v/>
      </c>
    </row>
    <row r="2496" customFormat="false" ht="15" hidden="false" customHeight="false" outlineLevel="0" collapsed="false">
      <c r="A2496" s="55"/>
      <c r="B2496" s="56"/>
      <c r="C2496" s="56"/>
      <c r="D2496" s="56"/>
      <c r="E2496" s="57"/>
      <c r="F2496" s="58"/>
      <c r="G2496" s="59"/>
      <c r="H2496" s="56"/>
      <c r="I2496" s="56"/>
      <c r="J2496" s="60" t="str">
        <f aca="false">IF(IsPro,IF($D2496="","",IFERROR(INDEX(Items!$D$5:$D$504,U2496),"")),"")</f>
        <v/>
      </c>
      <c r="K2496" s="61" t="str">
        <f aca="false">IF(IsPro,IF($D2496="","",IF($F2496="",IFERROR(INDEX(Items!$H$5:$H$504,U2496),0),$F2496)),"")</f>
        <v/>
      </c>
      <c r="L2496" s="61" t="str">
        <f aca="false">IF(IsPro,IF($D2496="","",ROUND(N($E2496)*K2496*(1-N($G2496)),2)),"")</f>
        <v/>
      </c>
      <c r="M2496" s="62" t="str">
        <f aca="false">IF(IsPro,IF($D2496="","",IFERROR(INDEX(Items!$F$5:$F$504,U2496),0)),"")</f>
        <v/>
      </c>
      <c r="N2496" s="61" t="str">
        <f aca="false">IF(IsPro,IF($D2496="","",IF(AND(V2496&lt;&gt;"",INDEX(Parties!$E$5:$E$304,V2496)&lt;&gt;"",INDEX(Parties!$E$5:$E$304,V2496)&lt;&gt;HomeState),0,ROUND(L2496*M2496/2,2))),"")</f>
        <v/>
      </c>
      <c r="O2496" s="61" t="str">
        <f aca="false">IF(IsPro,IF($D2496="","",N2496),"")</f>
        <v/>
      </c>
      <c r="P2496" s="61" t="str">
        <f aca="false">IF(IsPro,IF($D2496="","",IF(AND(V2496&lt;&gt;"",INDEX(Parties!$E$5:$E$304,V2496)&lt;&gt;"",INDEX(Parties!$E$5:$E$304,V2496)&lt;&gt;HomeState),ROUND(L2496*M2496,2),0)),"")</f>
        <v/>
      </c>
      <c r="Q2496" s="61" t="str">
        <f aca="false">IF(IsPro,IF($D2496="","",L2496+N2496+O2496+P2496),"")</f>
        <v/>
      </c>
      <c r="R2496" s="61" t="str">
        <f aca="false">IF(IsPro,IF($D2496="","",ROUND(N($E2496)*IFERROR(INDEX(Items!$P$5:$P$504,U2496),0),2)),"")</f>
        <v/>
      </c>
      <c r="S2496" s="61" t="str">
        <f aca="false">IF(IsPro,IF($D2496="","",L2496-R2496),"")</f>
        <v/>
      </c>
      <c r="T2496" s="60" t="str">
        <f aca="false">IF(IsPro,IF($D2496="","",IF(U2496="","UNKNOWN ITEM",IF(INDEX(Items!$O$5:$O$504,U2496)&lt;0,"NEG STOCK",IF(K2496&lt;INDEX(Items!$P$5:$P$504,U2496),"BELOW COST","OK")))),IF($D2496="","","PRO PLAN"))</f>
        <v/>
      </c>
      <c r="U2496" s="60" t="str">
        <f aca="false">IF(IsPro,IF($D2496="","",IFERROR(MATCH($D2496,Items!$A$5:$A$504,0),"")),"")</f>
        <v/>
      </c>
      <c r="V2496" s="60" t="str">
        <f aca="false">IF(IsPro,IF($C2496="","",IFERROR(MATCH($C2496,Parties!$A$5:$A$304,0),"")),"")</f>
        <v/>
      </c>
      <c r="W2496" s="60" t="str">
        <f aca="false">IF(IsPro,IF($B2496="","",IFERROR(VALUE(SUBSTITUTE($B2496,InvPrefix,"")),0)),"")</f>
        <v/>
      </c>
      <c r="X2496" s="61" t="str">
        <f aca="false">IF(IsPro,IF($D2496="","",IF(OR($H2496="",$H2496="Credit"),0,Q2496)),"")</f>
        <v/>
      </c>
    </row>
    <row r="2497" customFormat="false" ht="15" hidden="false" customHeight="false" outlineLevel="0" collapsed="false">
      <c r="A2497" s="55"/>
      <c r="B2497" s="56"/>
      <c r="C2497" s="56"/>
      <c r="D2497" s="56"/>
      <c r="E2497" s="57"/>
      <c r="F2497" s="58"/>
      <c r="G2497" s="59"/>
      <c r="H2497" s="56"/>
      <c r="I2497" s="56"/>
      <c r="J2497" s="60" t="str">
        <f aca="false">IF(IsPro,IF($D2497="","",IFERROR(INDEX(Items!$D$5:$D$504,U2497),"")),"")</f>
        <v/>
      </c>
      <c r="K2497" s="61" t="str">
        <f aca="false">IF(IsPro,IF($D2497="","",IF($F2497="",IFERROR(INDEX(Items!$H$5:$H$504,U2497),0),$F2497)),"")</f>
        <v/>
      </c>
      <c r="L2497" s="61" t="str">
        <f aca="false">IF(IsPro,IF($D2497="","",ROUND(N($E2497)*K2497*(1-N($G2497)),2)),"")</f>
        <v/>
      </c>
      <c r="M2497" s="62" t="str">
        <f aca="false">IF(IsPro,IF($D2497="","",IFERROR(INDEX(Items!$F$5:$F$504,U2497),0)),"")</f>
        <v/>
      </c>
      <c r="N2497" s="61" t="str">
        <f aca="false">IF(IsPro,IF($D2497="","",IF(AND(V2497&lt;&gt;"",INDEX(Parties!$E$5:$E$304,V2497)&lt;&gt;"",INDEX(Parties!$E$5:$E$304,V2497)&lt;&gt;HomeState),0,ROUND(L2497*M2497/2,2))),"")</f>
        <v/>
      </c>
      <c r="O2497" s="61" t="str">
        <f aca="false">IF(IsPro,IF($D2497="","",N2497),"")</f>
        <v/>
      </c>
      <c r="P2497" s="61" t="str">
        <f aca="false">IF(IsPro,IF($D2497="","",IF(AND(V2497&lt;&gt;"",INDEX(Parties!$E$5:$E$304,V2497)&lt;&gt;"",INDEX(Parties!$E$5:$E$304,V2497)&lt;&gt;HomeState),ROUND(L2497*M2497,2),0)),"")</f>
        <v/>
      </c>
      <c r="Q2497" s="61" t="str">
        <f aca="false">IF(IsPro,IF($D2497="","",L2497+N2497+O2497+P2497),"")</f>
        <v/>
      </c>
      <c r="R2497" s="61" t="str">
        <f aca="false">IF(IsPro,IF($D2497="","",ROUND(N($E2497)*IFERROR(INDEX(Items!$P$5:$P$504,U2497),0),2)),"")</f>
        <v/>
      </c>
      <c r="S2497" s="61" t="str">
        <f aca="false">IF(IsPro,IF($D2497="","",L2497-R2497),"")</f>
        <v/>
      </c>
      <c r="T2497" s="60" t="str">
        <f aca="false">IF(IsPro,IF($D2497="","",IF(U2497="","UNKNOWN ITEM",IF(INDEX(Items!$O$5:$O$504,U2497)&lt;0,"NEG STOCK",IF(K2497&lt;INDEX(Items!$P$5:$P$504,U2497),"BELOW COST","OK")))),IF($D2497="","","PRO PLAN"))</f>
        <v/>
      </c>
      <c r="U2497" s="60" t="str">
        <f aca="false">IF(IsPro,IF($D2497="","",IFERROR(MATCH($D2497,Items!$A$5:$A$504,0),"")),"")</f>
        <v/>
      </c>
      <c r="V2497" s="60" t="str">
        <f aca="false">IF(IsPro,IF($C2497="","",IFERROR(MATCH($C2497,Parties!$A$5:$A$304,0),"")),"")</f>
        <v/>
      </c>
      <c r="W2497" s="60" t="str">
        <f aca="false">IF(IsPro,IF($B2497="","",IFERROR(VALUE(SUBSTITUTE($B2497,InvPrefix,"")),0)),"")</f>
        <v/>
      </c>
      <c r="X2497" s="61" t="str">
        <f aca="false">IF(IsPro,IF($D2497="","",IF(OR($H2497="",$H2497="Credit"),0,Q2497)),"")</f>
        <v/>
      </c>
    </row>
    <row r="2498" customFormat="false" ht="15" hidden="false" customHeight="false" outlineLevel="0" collapsed="false">
      <c r="A2498" s="55"/>
      <c r="B2498" s="56"/>
      <c r="C2498" s="56"/>
      <c r="D2498" s="56"/>
      <c r="E2498" s="57"/>
      <c r="F2498" s="58"/>
      <c r="G2498" s="59"/>
      <c r="H2498" s="56"/>
      <c r="I2498" s="56"/>
      <c r="J2498" s="60" t="str">
        <f aca="false">IF(IsPro,IF($D2498="","",IFERROR(INDEX(Items!$D$5:$D$504,U2498),"")),"")</f>
        <v/>
      </c>
      <c r="K2498" s="61" t="str">
        <f aca="false">IF(IsPro,IF($D2498="","",IF($F2498="",IFERROR(INDEX(Items!$H$5:$H$504,U2498),0),$F2498)),"")</f>
        <v/>
      </c>
      <c r="L2498" s="61" t="str">
        <f aca="false">IF(IsPro,IF($D2498="","",ROUND(N($E2498)*K2498*(1-N($G2498)),2)),"")</f>
        <v/>
      </c>
      <c r="M2498" s="62" t="str">
        <f aca="false">IF(IsPro,IF($D2498="","",IFERROR(INDEX(Items!$F$5:$F$504,U2498),0)),"")</f>
        <v/>
      </c>
      <c r="N2498" s="61" t="str">
        <f aca="false">IF(IsPro,IF($D2498="","",IF(AND(V2498&lt;&gt;"",INDEX(Parties!$E$5:$E$304,V2498)&lt;&gt;"",INDEX(Parties!$E$5:$E$304,V2498)&lt;&gt;HomeState),0,ROUND(L2498*M2498/2,2))),"")</f>
        <v/>
      </c>
      <c r="O2498" s="61" t="str">
        <f aca="false">IF(IsPro,IF($D2498="","",N2498),"")</f>
        <v/>
      </c>
      <c r="P2498" s="61" t="str">
        <f aca="false">IF(IsPro,IF($D2498="","",IF(AND(V2498&lt;&gt;"",INDEX(Parties!$E$5:$E$304,V2498)&lt;&gt;"",INDEX(Parties!$E$5:$E$304,V2498)&lt;&gt;HomeState),ROUND(L2498*M2498,2),0)),"")</f>
        <v/>
      </c>
      <c r="Q2498" s="61" t="str">
        <f aca="false">IF(IsPro,IF($D2498="","",L2498+N2498+O2498+P2498),"")</f>
        <v/>
      </c>
      <c r="R2498" s="61" t="str">
        <f aca="false">IF(IsPro,IF($D2498="","",ROUND(N($E2498)*IFERROR(INDEX(Items!$P$5:$P$504,U2498),0),2)),"")</f>
        <v/>
      </c>
      <c r="S2498" s="61" t="str">
        <f aca="false">IF(IsPro,IF($D2498="","",L2498-R2498),"")</f>
        <v/>
      </c>
      <c r="T2498" s="60" t="str">
        <f aca="false">IF(IsPro,IF($D2498="","",IF(U2498="","UNKNOWN ITEM",IF(INDEX(Items!$O$5:$O$504,U2498)&lt;0,"NEG STOCK",IF(K2498&lt;INDEX(Items!$P$5:$P$504,U2498),"BELOW COST","OK")))),IF($D2498="","","PRO PLAN"))</f>
        <v/>
      </c>
      <c r="U2498" s="60" t="str">
        <f aca="false">IF(IsPro,IF($D2498="","",IFERROR(MATCH($D2498,Items!$A$5:$A$504,0),"")),"")</f>
        <v/>
      </c>
      <c r="V2498" s="60" t="str">
        <f aca="false">IF(IsPro,IF($C2498="","",IFERROR(MATCH($C2498,Parties!$A$5:$A$304,0),"")),"")</f>
        <v/>
      </c>
      <c r="W2498" s="60" t="str">
        <f aca="false">IF(IsPro,IF($B2498="","",IFERROR(VALUE(SUBSTITUTE($B2498,InvPrefix,"")),0)),"")</f>
        <v/>
      </c>
      <c r="X2498" s="61" t="str">
        <f aca="false">IF(IsPro,IF($D2498="","",IF(OR($H2498="",$H2498="Credit"),0,Q2498)),"")</f>
        <v/>
      </c>
    </row>
    <row r="2499" customFormat="false" ht="15" hidden="false" customHeight="false" outlineLevel="0" collapsed="false">
      <c r="A2499" s="55"/>
      <c r="B2499" s="56"/>
      <c r="C2499" s="56"/>
      <c r="D2499" s="56"/>
      <c r="E2499" s="57"/>
      <c r="F2499" s="58"/>
      <c r="G2499" s="59"/>
      <c r="H2499" s="56"/>
      <c r="I2499" s="56"/>
      <c r="J2499" s="60" t="str">
        <f aca="false">IF(IsPro,IF($D2499="","",IFERROR(INDEX(Items!$D$5:$D$504,U2499),"")),"")</f>
        <v/>
      </c>
      <c r="K2499" s="61" t="str">
        <f aca="false">IF(IsPro,IF($D2499="","",IF($F2499="",IFERROR(INDEX(Items!$H$5:$H$504,U2499),0),$F2499)),"")</f>
        <v/>
      </c>
      <c r="L2499" s="61" t="str">
        <f aca="false">IF(IsPro,IF($D2499="","",ROUND(N($E2499)*K2499*(1-N($G2499)),2)),"")</f>
        <v/>
      </c>
      <c r="M2499" s="62" t="str">
        <f aca="false">IF(IsPro,IF($D2499="","",IFERROR(INDEX(Items!$F$5:$F$504,U2499),0)),"")</f>
        <v/>
      </c>
      <c r="N2499" s="61" t="str">
        <f aca="false">IF(IsPro,IF($D2499="","",IF(AND(V2499&lt;&gt;"",INDEX(Parties!$E$5:$E$304,V2499)&lt;&gt;"",INDEX(Parties!$E$5:$E$304,V2499)&lt;&gt;HomeState),0,ROUND(L2499*M2499/2,2))),"")</f>
        <v/>
      </c>
      <c r="O2499" s="61" t="str">
        <f aca="false">IF(IsPro,IF($D2499="","",N2499),"")</f>
        <v/>
      </c>
      <c r="P2499" s="61" t="str">
        <f aca="false">IF(IsPro,IF($D2499="","",IF(AND(V2499&lt;&gt;"",INDEX(Parties!$E$5:$E$304,V2499)&lt;&gt;"",INDEX(Parties!$E$5:$E$304,V2499)&lt;&gt;HomeState),ROUND(L2499*M2499,2),0)),"")</f>
        <v/>
      </c>
      <c r="Q2499" s="61" t="str">
        <f aca="false">IF(IsPro,IF($D2499="","",L2499+N2499+O2499+P2499),"")</f>
        <v/>
      </c>
      <c r="R2499" s="61" t="str">
        <f aca="false">IF(IsPro,IF($D2499="","",ROUND(N($E2499)*IFERROR(INDEX(Items!$P$5:$P$504,U2499),0),2)),"")</f>
        <v/>
      </c>
      <c r="S2499" s="61" t="str">
        <f aca="false">IF(IsPro,IF($D2499="","",L2499-R2499),"")</f>
        <v/>
      </c>
      <c r="T2499" s="60" t="str">
        <f aca="false">IF(IsPro,IF($D2499="","",IF(U2499="","UNKNOWN ITEM",IF(INDEX(Items!$O$5:$O$504,U2499)&lt;0,"NEG STOCK",IF(K2499&lt;INDEX(Items!$P$5:$P$504,U2499),"BELOW COST","OK")))),IF($D2499="","","PRO PLAN"))</f>
        <v/>
      </c>
      <c r="U2499" s="60" t="str">
        <f aca="false">IF(IsPro,IF($D2499="","",IFERROR(MATCH($D2499,Items!$A$5:$A$504,0),"")),"")</f>
        <v/>
      </c>
      <c r="V2499" s="60" t="str">
        <f aca="false">IF(IsPro,IF($C2499="","",IFERROR(MATCH($C2499,Parties!$A$5:$A$304,0),"")),"")</f>
        <v/>
      </c>
      <c r="W2499" s="60" t="str">
        <f aca="false">IF(IsPro,IF($B2499="","",IFERROR(VALUE(SUBSTITUTE($B2499,InvPrefix,"")),0)),"")</f>
        <v/>
      </c>
      <c r="X2499" s="61" t="str">
        <f aca="false">IF(IsPro,IF($D2499="","",IF(OR($H2499="",$H2499="Credit"),0,Q2499)),"")</f>
        <v/>
      </c>
    </row>
    <row r="2500" customFormat="false" ht="15" hidden="false" customHeight="false" outlineLevel="0" collapsed="false">
      <c r="A2500" s="55"/>
      <c r="B2500" s="56"/>
      <c r="C2500" s="56"/>
      <c r="D2500" s="56"/>
      <c r="E2500" s="57"/>
      <c r="F2500" s="58"/>
      <c r="G2500" s="59"/>
      <c r="H2500" s="56"/>
      <c r="I2500" s="56"/>
      <c r="J2500" s="60" t="str">
        <f aca="false">IF(IsPro,IF($D2500="","",IFERROR(INDEX(Items!$D$5:$D$504,U2500),"")),"")</f>
        <v/>
      </c>
      <c r="K2500" s="61" t="str">
        <f aca="false">IF(IsPro,IF($D2500="","",IF($F2500="",IFERROR(INDEX(Items!$H$5:$H$504,U2500),0),$F2500)),"")</f>
        <v/>
      </c>
      <c r="L2500" s="61" t="str">
        <f aca="false">IF(IsPro,IF($D2500="","",ROUND(N($E2500)*K2500*(1-N($G2500)),2)),"")</f>
        <v/>
      </c>
      <c r="M2500" s="62" t="str">
        <f aca="false">IF(IsPro,IF($D2500="","",IFERROR(INDEX(Items!$F$5:$F$504,U2500),0)),"")</f>
        <v/>
      </c>
      <c r="N2500" s="61" t="str">
        <f aca="false">IF(IsPro,IF($D2500="","",IF(AND(V2500&lt;&gt;"",INDEX(Parties!$E$5:$E$304,V2500)&lt;&gt;"",INDEX(Parties!$E$5:$E$304,V2500)&lt;&gt;HomeState),0,ROUND(L2500*M2500/2,2))),"")</f>
        <v/>
      </c>
      <c r="O2500" s="61" t="str">
        <f aca="false">IF(IsPro,IF($D2500="","",N2500),"")</f>
        <v/>
      </c>
      <c r="P2500" s="61" t="str">
        <f aca="false">IF(IsPro,IF($D2500="","",IF(AND(V2500&lt;&gt;"",INDEX(Parties!$E$5:$E$304,V2500)&lt;&gt;"",INDEX(Parties!$E$5:$E$304,V2500)&lt;&gt;HomeState),ROUND(L2500*M2500,2),0)),"")</f>
        <v/>
      </c>
      <c r="Q2500" s="61" t="str">
        <f aca="false">IF(IsPro,IF($D2500="","",L2500+N2500+O2500+P2500),"")</f>
        <v/>
      </c>
      <c r="R2500" s="61" t="str">
        <f aca="false">IF(IsPro,IF($D2500="","",ROUND(N($E2500)*IFERROR(INDEX(Items!$P$5:$P$504,U2500),0),2)),"")</f>
        <v/>
      </c>
      <c r="S2500" s="61" t="str">
        <f aca="false">IF(IsPro,IF($D2500="","",L2500-R2500),"")</f>
        <v/>
      </c>
      <c r="T2500" s="60" t="str">
        <f aca="false">IF(IsPro,IF($D2500="","",IF(U2500="","UNKNOWN ITEM",IF(INDEX(Items!$O$5:$O$504,U2500)&lt;0,"NEG STOCK",IF(K2500&lt;INDEX(Items!$P$5:$P$504,U2500),"BELOW COST","OK")))),IF($D2500="","","PRO PLAN"))</f>
        <v/>
      </c>
      <c r="U2500" s="60" t="str">
        <f aca="false">IF(IsPro,IF($D2500="","",IFERROR(MATCH($D2500,Items!$A$5:$A$504,0),"")),"")</f>
        <v/>
      </c>
      <c r="V2500" s="60" t="str">
        <f aca="false">IF(IsPro,IF($C2500="","",IFERROR(MATCH($C2500,Parties!$A$5:$A$304,0),"")),"")</f>
        <v/>
      </c>
      <c r="W2500" s="60" t="str">
        <f aca="false">IF(IsPro,IF($B2500="","",IFERROR(VALUE(SUBSTITUTE($B2500,InvPrefix,"")),0)),"")</f>
        <v/>
      </c>
      <c r="X2500" s="61" t="str">
        <f aca="false">IF(IsPro,IF($D2500="","",IF(OR($H2500="",$H2500="Credit"),0,Q2500)),"")</f>
        <v/>
      </c>
    </row>
    <row r="2501" customFormat="false" ht="15" hidden="false" customHeight="false" outlineLevel="0" collapsed="false">
      <c r="A2501" s="55"/>
      <c r="B2501" s="56"/>
      <c r="C2501" s="56"/>
      <c r="D2501" s="56"/>
      <c r="E2501" s="57"/>
      <c r="F2501" s="58"/>
      <c r="G2501" s="59"/>
      <c r="H2501" s="56"/>
      <c r="I2501" s="56"/>
      <c r="J2501" s="60" t="str">
        <f aca="false">IF(IsPro,IF($D2501="","",IFERROR(INDEX(Items!$D$5:$D$504,U2501),"")),"")</f>
        <v/>
      </c>
      <c r="K2501" s="61" t="str">
        <f aca="false">IF(IsPro,IF($D2501="","",IF($F2501="",IFERROR(INDEX(Items!$H$5:$H$504,U2501),0),$F2501)),"")</f>
        <v/>
      </c>
      <c r="L2501" s="61" t="str">
        <f aca="false">IF(IsPro,IF($D2501="","",ROUND(N($E2501)*K2501*(1-N($G2501)),2)),"")</f>
        <v/>
      </c>
      <c r="M2501" s="62" t="str">
        <f aca="false">IF(IsPro,IF($D2501="","",IFERROR(INDEX(Items!$F$5:$F$504,U2501),0)),"")</f>
        <v/>
      </c>
      <c r="N2501" s="61" t="str">
        <f aca="false">IF(IsPro,IF($D2501="","",IF(AND(V2501&lt;&gt;"",INDEX(Parties!$E$5:$E$304,V2501)&lt;&gt;"",INDEX(Parties!$E$5:$E$304,V2501)&lt;&gt;HomeState),0,ROUND(L2501*M2501/2,2))),"")</f>
        <v/>
      </c>
      <c r="O2501" s="61" t="str">
        <f aca="false">IF(IsPro,IF($D2501="","",N2501),"")</f>
        <v/>
      </c>
      <c r="P2501" s="61" t="str">
        <f aca="false">IF(IsPro,IF($D2501="","",IF(AND(V2501&lt;&gt;"",INDEX(Parties!$E$5:$E$304,V2501)&lt;&gt;"",INDEX(Parties!$E$5:$E$304,V2501)&lt;&gt;HomeState),ROUND(L2501*M2501,2),0)),"")</f>
        <v/>
      </c>
      <c r="Q2501" s="61" t="str">
        <f aca="false">IF(IsPro,IF($D2501="","",L2501+N2501+O2501+P2501),"")</f>
        <v/>
      </c>
      <c r="R2501" s="61" t="str">
        <f aca="false">IF(IsPro,IF($D2501="","",ROUND(N($E2501)*IFERROR(INDEX(Items!$P$5:$P$504,U2501),0),2)),"")</f>
        <v/>
      </c>
      <c r="S2501" s="61" t="str">
        <f aca="false">IF(IsPro,IF($D2501="","",L2501-R2501),"")</f>
        <v/>
      </c>
      <c r="T2501" s="60" t="str">
        <f aca="false">IF(IsPro,IF($D2501="","",IF(U2501="","UNKNOWN ITEM",IF(INDEX(Items!$O$5:$O$504,U2501)&lt;0,"NEG STOCK",IF(K2501&lt;INDEX(Items!$P$5:$P$504,U2501),"BELOW COST","OK")))),IF($D2501="","","PRO PLAN"))</f>
        <v/>
      </c>
      <c r="U2501" s="60" t="str">
        <f aca="false">IF(IsPro,IF($D2501="","",IFERROR(MATCH($D2501,Items!$A$5:$A$504,0),"")),"")</f>
        <v/>
      </c>
      <c r="V2501" s="60" t="str">
        <f aca="false">IF(IsPro,IF($C2501="","",IFERROR(MATCH($C2501,Parties!$A$5:$A$304,0),"")),"")</f>
        <v/>
      </c>
      <c r="W2501" s="60" t="str">
        <f aca="false">IF(IsPro,IF($B2501="","",IFERROR(VALUE(SUBSTITUTE($B2501,InvPrefix,"")),0)),"")</f>
        <v/>
      </c>
      <c r="X2501" s="61" t="str">
        <f aca="false">IF(IsPro,IF($D2501="","",IF(OR($H2501="",$H2501="Credit"),0,Q2501)),"")</f>
        <v/>
      </c>
    </row>
    <row r="2502" customFormat="false" ht="15" hidden="false" customHeight="false" outlineLevel="0" collapsed="false">
      <c r="A2502" s="55"/>
      <c r="B2502" s="56"/>
      <c r="C2502" s="56"/>
      <c r="D2502" s="56"/>
      <c r="E2502" s="57"/>
      <c r="F2502" s="58"/>
      <c r="G2502" s="59"/>
      <c r="H2502" s="56"/>
      <c r="I2502" s="56"/>
      <c r="J2502" s="60" t="str">
        <f aca="false">IF(IsPro,IF($D2502="","",IFERROR(INDEX(Items!$D$5:$D$504,U2502),"")),"")</f>
        <v/>
      </c>
      <c r="K2502" s="61" t="str">
        <f aca="false">IF(IsPro,IF($D2502="","",IF($F2502="",IFERROR(INDEX(Items!$H$5:$H$504,U2502),0),$F2502)),"")</f>
        <v/>
      </c>
      <c r="L2502" s="61" t="str">
        <f aca="false">IF(IsPro,IF($D2502="","",ROUND(N($E2502)*K2502*(1-N($G2502)),2)),"")</f>
        <v/>
      </c>
      <c r="M2502" s="62" t="str">
        <f aca="false">IF(IsPro,IF($D2502="","",IFERROR(INDEX(Items!$F$5:$F$504,U2502),0)),"")</f>
        <v/>
      </c>
      <c r="N2502" s="61" t="str">
        <f aca="false">IF(IsPro,IF($D2502="","",IF(AND(V2502&lt;&gt;"",INDEX(Parties!$E$5:$E$304,V2502)&lt;&gt;"",INDEX(Parties!$E$5:$E$304,V2502)&lt;&gt;HomeState),0,ROUND(L2502*M2502/2,2))),"")</f>
        <v/>
      </c>
      <c r="O2502" s="61" t="str">
        <f aca="false">IF(IsPro,IF($D2502="","",N2502),"")</f>
        <v/>
      </c>
      <c r="P2502" s="61" t="str">
        <f aca="false">IF(IsPro,IF($D2502="","",IF(AND(V2502&lt;&gt;"",INDEX(Parties!$E$5:$E$304,V2502)&lt;&gt;"",INDEX(Parties!$E$5:$E$304,V2502)&lt;&gt;HomeState),ROUND(L2502*M2502,2),0)),"")</f>
        <v/>
      </c>
      <c r="Q2502" s="61" t="str">
        <f aca="false">IF(IsPro,IF($D2502="","",L2502+N2502+O2502+P2502),"")</f>
        <v/>
      </c>
      <c r="R2502" s="61" t="str">
        <f aca="false">IF(IsPro,IF($D2502="","",ROUND(N($E2502)*IFERROR(INDEX(Items!$P$5:$P$504,U2502),0),2)),"")</f>
        <v/>
      </c>
      <c r="S2502" s="61" t="str">
        <f aca="false">IF(IsPro,IF($D2502="","",L2502-R2502),"")</f>
        <v/>
      </c>
      <c r="T2502" s="60" t="str">
        <f aca="false">IF(IsPro,IF($D2502="","",IF(U2502="","UNKNOWN ITEM",IF(INDEX(Items!$O$5:$O$504,U2502)&lt;0,"NEG STOCK",IF(K2502&lt;INDEX(Items!$P$5:$P$504,U2502),"BELOW COST","OK")))),IF($D2502="","","PRO PLAN"))</f>
        <v/>
      </c>
      <c r="U2502" s="60" t="str">
        <f aca="false">IF(IsPro,IF($D2502="","",IFERROR(MATCH($D2502,Items!$A$5:$A$504,0),"")),"")</f>
        <v/>
      </c>
      <c r="V2502" s="60" t="str">
        <f aca="false">IF(IsPro,IF($C2502="","",IFERROR(MATCH($C2502,Parties!$A$5:$A$304,0),"")),"")</f>
        <v/>
      </c>
      <c r="W2502" s="60" t="str">
        <f aca="false">IF(IsPro,IF($B2502="","",IFERROR(VALUE(SUBSTITUTE($B2502,InvPrefix,"")),0)),"")</f>
        <v/>
      </c>
      <c r="X2502" s="61" t="str">
        <f aca="false">IF(IsPro,IF($D2502="","",IF(OR($H2502="",$H2502="Credit"),0,Q2502)),"")</f>
        <v/>
      </c>
    </row>
    <row r="2503" customFormat="false" ht="15" hidden="false" customHeight="false" outlineLevel="0" collapsed="false">
      <c r="A2503" s="55"/>
      <c r="B2503" s="56"/>
      <c r="C2503" s="56"/>
      <c r="D2503" s="56"/>
      <c r="E2503" s="57"/>
      <c r="F2503" s="58"/>
      <c r="G2503" s="59"/>
      <c r="H2503" s="56"/>
      <c r="I2503" s="56"/>
      <c r="J2503" s="60" t="str">
        <f aca="false">IF(IsPro,IF($D2503="","",IFERROR(INDEX(Items!$D$5:$D$504,U2503),"")),"")</f>
        <v/>
      </c>
      <c r="K2503" s="61" t="str">
        <f aca="false">IF(IsPro,IF($D2503="","",IF($F2503="",IFERROR(INDEX(Items!$H$5:$H$504,U2503),0),$F2503)),"")</f>
        <v/>
      </c>
      <c r="L2503" s="61" t="str">
        <f aca="false">IF(IsPro,IF($D2503="","",ROUND(N($E2503)*K2503*(1-N($G2503)),2)),"")</f>
        <v/>
      </c>
      <c r="M2503" s="62" t="str">
        <f aca="false">IF(IsPro,IF($D2503="","",IFERROR(INDEX(Items!$F$5:$F$504,U2503),0)),"")</f>
        <v/>
      </c>
      <c r="N2503" s="61" t="str">
        <f aca="false">IF(IsPro,IF($D2503="","",IF(AND(V2503&lt;&gt;"",INDEX(Parties!$E$5:$E$304,V2503)&lt;&gt;"",INDEX(Parties!$E$5:$E$304,V2503)&lt;&gt;HomeState),0,ROUND(L2503*M2503/2,2))),"")</f>
        <v/>
      </c>
      <c r="O2503" s="61" t="str">
        <f aca="false">IF(IsPro,IF($D2503="","",N2503),"")</f>
        <v/>
      </c>
      <c r="P2503" s="61" t="str">
        <f aca="false">IF(IsPro,IF($D2503="","",IF(AND(V2503&lt;&gt;"",INDEX(Parties!$E$5:$E$304,V2503)&lt;&gt;"",INDEX(Parties!$E$5:$E$304,V2503)&lt;&gt;HomeState),ROUND(L2503*M2503,2),0)),"")</f>
        <v/>
      </c>
      <c r="Q2503" s="61" t="str">
        <f aca="false">IF(IsPro,IF($D2503="","",L2503+N2503+O2503+P2503),"")</f>
        <v/>
      </c>
      <c r="R2503" s="61" t="str">
        <f aca="false">IF(IsPro,IF($D2503="","",ROUND(N($E2503)*IFERROR(INDEX(Items!$P$5:$P$504,U2503),0),2)),"")</f>
        <v/>
      </c>
      <c r="S2503" s="61" t="str">
        <f aca="false">IF(IsPro,IF($D2503="","",L2503-R2503),"")</f>
        <v/>
      </c>
      <c r="T2503" s="60" t="str">
        <f aca="false">IF(IsPro,IF($D2503="","",IF(U2503="","UNKNOWN ITEM",IF(INDEX(Items!$O$5:$O$504,U2503)&lt;0,"NEG STOCK",IF(K2503&lt;INDEX(Items!$P$5:$P$504,U2503),"BELOW COST","OK")))),IF($D2503="","","PRO PLAN"))</f>
        <v/>
      </c>
      <c r="U2503" s="60" t="str">
        <f aca="false">IF(IsPro,IF($D2503="","",IFERROR(MATCH($D2503,Items!$A$5:$A$504,0),"")),"")</f>
        <v/>
      </c>
      <c r="V2503" s="60" t="str">
        <f aca="false">IF(IsPro,IF($C2503="","",IFERROR(MATCH($C2503,Parties!$A$5:$A$304,0),"")),"")</f>
        <v/>
      </c>
      <c r="W2503" s="60" t="str">
        <f aca="false">IF(IsPro,IF($B2503="","",IFERROR(VALUE(SUBSTITUTE($B2503,InvPrefix,"")),0)),"")</f>
        <v/>
      </c>
      <c r="X2503" s="61" t="str">
        <f aca="false">IF(IsPro,IF($D2503="","",IF(OR($H2503="",$H2503="Credit"),0,Q2503)),"")</f>
        <v/>
      </c>
    </row>
    <row r="2504" customFormat="false" ht="15" hidden="false" customHeight="false" outlineLevel="0" collapsed="false">
      <c r="A2504" s="55"/>
      <c r="B2504" s="56"/>
      <c r="C2504" s="56"/>
      <c r="D2504" s="56"/>
      <c r="E2504" s="57"/>
      <c r="F2504" s="58"/>
      <c r="G2504" s="59"/>
      <c r="H2504" s="56"/>
      <c r="I2504" s="56"/>
      <c r="J2504" s="60" t="str">
        <f aca="false">IF(IsPro,IF($D2504="","",IFERROR(INDEX(Items!$D$5:$D$504,U2504),"")),"")</f>
        <v/>
      </c>
      <c r="K2504" s="61" t="str">
        <f aca="false">IF(IsPro,IF($D2504="","",IF($F2504="",IFERROR(INDEX(Items!$H$5:$H$504,U2504),0),$F2504)),"")</f>
        <v/>
      </c>
      <c r="L2504" s="61" t="str">
        <f aca="false">IF(IsPro,IF($D2504="","",ROUND(N($E2504)*K2504*(1-N($G2504)),2)),"")</f>
        <v/>
      </c>
      <c r="M2504" s="62" t="str">
        <f aca="false">IF(IsPro,IF($D2504="","",IFERROR(INDEX(Items!$F$5:$F$504,U2504),0)),"")</f>
        <v/>
      </c>
      <c r="N2504" s="61" t="str">
        <f aca="false">IF(IsPro,IF($D2504="","",IF(AND(V2504&lt;&gt;"",INDEX(Parties!$E$5:$E$304,V2504)&lt;&gt;"",INDEX(Parties!$E$5:$E$304,V2504)&lt;&gt;HomeState),0,ROUND(L2504*M2504/2,2))),"")</f>
        <v/>
      </c>
      <c r="O2504" s="61" t="str">
        <f aca="false">IF(IsPro,IF($D2504="","",N2504),"")</f>
        <v/>
      </c>
      <c r="P2504" s="61" t="str">
        <f aca="false">IF(IsPro,IF($D2504="","",IF(AND(V2504&lt;&gt;"",INDEX(Parties!$E$5:$E$304,V2504)&lt;&gt;"",INDEX(Parties!$E$5:$E$304,V2504)&lt;&gt;HomeState),ROUND(L2504*M2504,2),0)),"")</f>
        <v/>
      </c>
      <c r="Q2504" s="61" t="str">
        <f aca="false">IF(IsPro,IF($D2504="","",L2504+N2504+O2504+P2504),"")</f>
        <v/>
      </c>
      <c r="R2504" s="61" t="str">
        <f aca="false">IF(IsPro,IF($D2504="","",ROUND(N($E2504)*IFERROR(INDEX(Items!$P$5:$P$504,U2504),0),2)),"")</f>
        <v/>
      </c>
      <c r="S2504" s="61" t="str">
        <f aca="false">IF(IsPro,IF($D2504="","",L2504-R2504),"")</f>
        <v/>
      </c>
      <c r="T2504" s="60" t="str">
        <f aca="false">IF(IsPro,IF($D2504="","",IF(U2504="","UNKNOWN ITEM",IF(INDEX(Items!$O$5:$O$504,U2504)&lt;0,"NEG STOCK",IF(K2504&lt;INDEX(Items!$P$5:$P$504,U2504),"BELOW COST","OK")))),IF($D2504="","","PRO PLAN"))</f>
        <v/>
      </c>
      <c r="U2504" s="60" t="str">
        <f aca="false">IF(IsPro,IF($D2504="","",IFERROR(MATCH($D2504,Items!$A$5:$A$504,0),"")),"")</f>
        <v/>
      </c>
      <c r="V2504" s="60" t="str">
        <f aca="false">IF(IsPro,IF($C2504="","",IFERROR(MATCH($C2504,Parties!$A$5:$A$304,0),"")),"")</f>
        <v/>
      </c>
      <c r="W2504" s="60" t="str">
        <f aca="false">IF(IsPro,IF($B2504="","",IFERROR(VALUE(SUBSTITUTE($B2504,InvPrefix,"")),0)),"")</f>
        <v/>
      </c>
      <c r="X2504" s="61" t="str">
        <f aca="false">IF(IsPro,IF($D2504="","",IF(OR($H2504="",$H2504="Credit"),0,Q2504)),"")</f>
        <v/>
      </c>
    </row>
    <row r="2505" customFormat="false" ht="15" hidden="false" customHeight="false" outlineLevel="0" collapsed="false">
      <c r="A2505" s="55"/>
      <c r="B2505" s="56"/>
      <c r="C2505" s="56"/>
      <c r="D2505" s="56"/>
      <c r="E2505" s="57"/>
      <c r="F2505" s="58"/>
      <c r="G2505" s="59"/>
      <c r="H2505" s="56"/>
      <c r="I2505" s="56"/>
      <c r="J2505" s="60" t="str">
        <f aca="false">IF(IsPro,IF($D2505="","",IFERROR(INDEX(Items!$D$5:$D$504,U2505),"")),"")</f>
        <v/>
      </c>
      <c r="K2505" s="61" t="str">
        <f aca="false">IF(IsPro,IF($D2505="","",IF($F2505="",IFERROR(INDEX(Items!$H$5:$H$504,U2505),0),$F2505)),"")</f>
        <v/>
      </c>
      <c r="L2505" s="61" t="str">
        <f aca="false">IF(IsPro,IF($D2505="","",ROUND(N($E2505)*K2505*(1-N($G2505)),2)),"")</f>
        <v/>
      </c>
      <c r="M2505" s="62" t="str">
        <f aca="false">IF(IsPro,IF($D2505="","",IFERROR(INDEX(Items!$F$5:$F$504,U2505),0)),"")</f>
        <v/>
      </c>
      <c r="N2505" s="61" t="str">
        <f aca="false">IF(IsPro,IF($D2505="","",IF(AND(V2505&lt;&gt;"",INDEX(Parties!$E$5:$E$304,V2505)&lt;&gt;"",INDEX(Parties!$E$5:$E$304,V2505)&lt;&gt;HomeState),0,ROUND(L2505*M2505/2,2))),"")</f>
        <v/>
      </c>
      <c r="O2505" s="61" t="str">
        <f aca="false">IF(IsPro,IF($D2505="","",N2505),"")</f>
        <v/>
      </c>
      <c r="P2505" s="61" t="str">
        <f aca="false">IF(IsPro,IF($D2505="","",IF(AND(V2505&lt;&gt;"",INDEX(Parties!$E$5:$E$304,V2505)&lt;&gt;"",INDEX(Parties!$E$5:$E$304,V2505)&lt;&gt;HomeState),ROUND(L2505*M2505,2),0)),"")</f>
        <v/>
      </c>
      <c r="Q2505" s="61" t="str">
        <f aca="false">IF(IsPro,IF($D2505="","",L2505+N2505+O2505+P2505),"")</f>
        <v/>
      </c>
      <c r="R2505" s="61" t="str">
        <f aca="false">IF(IsPro,IF($D2505="","",ROUND(N($E2505)*IFERROR(INDEX(Items!$P$5:$P$504,U2505),0),2)),"")</f>
        <v/>
      </c>
      <c r="S2505" s="61" t="str">
        <f aca="false">IF(IsPro,IF($D2505="","",L2505-R2505),"")</f>
        <v/>
      </c>
      <c r="T2505" s="60" t="str">
        <f aca="false">IF(IsPro,IF($D2505="","",IF(U2505="","UNKNOWN ITEM",IF(INDEX(Items!$O$5:$O$504,U2505)&lt;0,"NEG STOCK",IF(K2505&lt;INDEX(Items!$P$5:$P$504,U2505),"BELOW COST","OK")))),IF($D2505="","","PRO PLAN"))</f>
        <v/>
      </c>
      <c r="U2505" s="60" t="str">
        <f aca="false">IF(IsPro,IF($D2505="","",IFERROR(MATCH($D2505,Items!$A$5:$A$504,0),"")),"")</f>
        <v/>
      </c>
      <c r="V2505" s="60" t="str">
        <f aca="false">IF(IsPro,IF($C2505="","",IFERROR(MATCH($C2505,Parties!$A$5:$A$304,0),"")),"")</f>
        <v/>
      </c>
      <c r="W2505" s="60" t="str">
        <f aca="false">IF(IsPro,IF($B2505="","",IFERROR(VALUE(SUBSTITUTE($B2505,InvPrefix,"")),0)),"")</f>
        <v/>
      </c>
      <c r="X2505" s="61" t="str">
        <f aca="false">IF(IsPro,IF($D2505="","",IF(OR($H2505="",$H2505="Credit"),0,Q2505)),"")</f>
        <v/>
      </c>
    </row>
    <row r="2506" customFormat="false" ht="15" hidden="false" customHeight="false" outlineLevel="0" collapsed="false">
      <c r="A2506" s="55"/>
      <c r="B2506" s="56"/>
      <c r="C2506" s="56"/>
      <c r="D2506" s="56"/>
      <c r="E2506" s="57"/>
      <c r="F2506" s="58"/>
      <c r="G2506" s="59"/>
      <c r="H2506" s="56"/>
      <c r="I2506" s="56"/>
      <c r="J2506" s="60" t="str">
        <f aca="false">IF(IsPro,IF($D2506="","",IFERROR(INDEX(Items!$D$5:$D$504,U2506),"")),"")</f>
        <v/>
      </c>
      <c r="K2506" s="61" t="str">
        <f aca="false">IF(IsPro,IF($D2506="","",IF($F2506="",IFERROR(INDEX(Items!$H$5:$H$504,U2506),0),$F2506)),"")</f>
        <v/>
      </c>
      <c r="L2506" s="61" t="str">
        <f aca="false">IF(IsPro,IF($D2506="","",ROUND(N($E2506)*K2506*(1-N($G2506)),2)),"")</f>
        <v/>
      </c>
      <c r="M2506" s="62" t="str">
        <f aca="false">IF(IsPro,IF($D2506="","",IFERROR(INDEX(Items!$F$5:$F$504,U2506),0)),"")</f>
        <v/>
      </c>
      <c r="N2506" s="61" t="str">
        <f aca="false">IF(IsPro,IF($D2506="","",IF(AND(V2506&lt;&gt;"",INDEX(Parties!$E$5:$E$304,V2506)&lt;&gt;"",INDEX(Parties!$E$5:$E$304,V2506)&lt;&gt;HomeState),0,ROUND(L2506*M2506/2,2))),"")</f>
        <v/>
      </c>
      <c r="O2506" s="61" t="str">
        <f aca="false">IF(IsPro,IF($D2506="","",N2506),"")</f>
        <v/>
      </c>
      <c r="P2506" s="61" t="str">
        <f aca="false">IF(IsPro,IF($D2506="","",IF(AND(V2506&lt;&gt;"",INDEX(Parties!$E$5:$E$304,V2506)&lt;&gt;"",INDEX(Parties!$E$5:$E$304,V2506)&lt;&gt;HomeState),ROUND(L2506*M2506,2),0)),"")</f>
        <v/>
      </c>
      <c r="Q2506" s="61" t="str">
        <f aca="false">IF(IsPro,IF($D2506="","",L2506+N2506+O2506+P2506),"")</f>
        <v/>
      </c>
      <c r="R2506" s="61" t="str">
        <f aca="false">IF(IsPro,IF($D2506="","",ROUND(N($E2506)*IFERROR(INDEX(Items!$P$5:$P$504,U2506),0),2)),"")</f>
        <v/>
      </c>
      <c r="S2506" s="61" t="str">
        <f aca="false">IF(IsPro,IF($D2506="","",L2506-R2506),"")</f>
        <v/>
      </c>
      <c r="T2506" s="60" t="str">
        <f aca="false">IF(IsPro,IF($D2506="","",IF(U2506="","UNKNOWN ITEM",IF(INDEX(Items!$O$5:$O$504,U2506)&lt;0,"NEG STOCK",IF(K2506&lt;INDEX(Items!$P$5:$P$504,U2506),"BELOW COST","OK")))),IF($D2506="","","PRO PLAN"))</f>
        <v/>
      </c>
      <c r="U2506" s="60" t="str">
        <f aca="false">IF(IsPro,IF($D2506="","",IFERROR(MATCH($D2506,Items!$A$5:$A$504,0),"")),"")</f>
        <v/>
      </c>
      <c r="V2506" s="60" t="str">
        <f aca="false">IF(IsPro,IF($C2506="","",IFERROR(MATCH($C2506,Parties!$A$5:$A$304,0),"")),"")</f>
        <v/>
      </c>
      <c r="W2506" s="60" t="str">
        <f aca="false">IF(IsPro,IF($B2506="","",IFERROR(VALUE(SUBSTITUTE($B2506,InvPrefix,"")),0)),"")</f>
        <v/>
      </c>
      <c r="X2506" s="61" t="str">
        <f aca="false">IF(IsPro,IF($D2506="","",IF(OR($H2506="",$H2506="Credit"),0,Q2506)),"")</f>
        <v/>
      </c>
    </row>
    <row r="2507" customFormat="false" ht="15" hidden="false" customHeight="false" outlineLevel="0" collapsed="false">
      <c r="A2507" s="55"/>
      <c r="B2507" s="56"/>
      <c r="C2507" s="56"/>
      <c r="D2507" s="56"/>
      <c r="E2507" s="57"/>
      <c r="F2507" s="58"/>
      <c r="G2507" s="59"/>
      <c r="H2507" s="56"/>
      <c r="I2507" s="56"/>
      <c r="J2507" s="60" t="str">
        <f aca="false">IF(IsPro,IF($D2507="","",IFERROR(INDEX(Items!$D$5:$D$504,U2507),"")),"")</f>
        <v/>
      </c>
      <c r="K2507" s="61" t="str">
        <f aca="false">IF(IsPro,IF($D2507="","",IF($F2507="",IFERROR(INDEX(Items!$H$5:$H$504,U2507),0),$F2507)),"")</f>
        <v/>
      </c>
      <c r="L2507" s="61" t="str">
        <f aca="false">IF(IsPro,IF($D2507="","",ROUND(N($E2507)*K2507*(1-N($G2507)),2)),"")</f>
        <v/>
      </c>
      <c r="M2507" s="62" t="str">
        <f aca="false">IF(IsPro,IF($D2507="","",IFERROR(INDEX(Items!$F$5:$F$504,U2507),0)),"")</f>
        <v/>
      </c>
      <c r="N2507" s="61" t="str">
        <f aca="false">IF(IsPro,IF($D2507="","",IF(AND(V2507&lt;&gt;"",INDEX(Parties!$E$5:$E$304,V2507)&lt;&gt;"",INDEX(Parties!$E$5:$E$304,V2507)&lt;&gt;HomeState),0,ROUND(L2507*M2507/2,2))),"")</f>
        <v/>
      </c>
      <c r="O2507" s="61" t="str">
        <f aca="false">IF(IsPro,IF($D2507="","",N2507),"")</f>
        <v/>
      </c>
      <c r="P2507" s="61" t="str">
        <f aca="false">IF(IsPro,IF($D2507="","",IF(AND(V2507&lt;&gt;"",INDEX(Parties!$E$5:$E$304,V2507)&lt;&gt;"",INDEX(Parties!$E$5:$E$304,V2507)&lt;&gt;HomeState),ROUND(L2507*M2507,2),0)),"")</f>
        <v/>
      </c>
      <c r="Q2507" s="61" t="str">
        <f aca="false">IF(IsPro,IF($D2507="","",L2507+N2507+O2507+P2507),"")</f>
        <v/>
      </c>
      <c r="R2507" s="61" t="str">
        <f aca="false">IF(IsPro,IF($D2507="","",ROUND(N($E2507)*IFERROR(INDEX(Items!$P$5:$P$504,U2507),0),2)),"")</f>
        <v/>
      </c>
      <c r="S2507" s="61" t="str">
        <f aca="false">IF(IsPro,IF($D2507="","",L2507-R2507),"")</f>
        <v/>
      </c>
      <c r="T2507" s="60" t="str">
        <f aca="false">IF(IsPro,IF($D2507="","",IF(U2507="","UNKNOWN ITEM",IF(INDEX(Items!$O$5:$O$504,U2507)&lt;0,"NEG STOCK",IF(K2507&lt;INDEX(Items!$P$5:$P$504,U2507),"BELOW COST","OK")))),IF($D2507="","","PRO PLAN"))</f>
        <v/>
      </c>
      <c r="U2507" s="60" t="str">
        <f aca="false">IF(IsPro,IF($D2507="","",IFERROR(MATCH($D2507,Items!$A$5:$A$504,0),"")),"")</f>
        <v/>
      </c>
      <c r="V2507" s="60" t="str">
        <f aca="false">IF(IsPro,IF($C2507="","",IFERROR(MATCH($C2507,Parties!$A$5:$A$304,0),"")),"")</f>
        <v/>
      </c>
      <c r="W2507" s="60" t="str">
        <f aca="false">IF(IsPro,IF($B2507="","",IFERROR(VALUE(SUBSTITUTE($B2507,InvPrefix,"")),0)),"")</f>
        <v/>
      </c>
      <c r="X2507" s="61" t="str">
        <f aca="false">IF(IsPro,IF($D2507="","",IF(OR($H2507="",$H2507="Credit"),0,Q2507)),"")</f>
        <v/>
      </c>
    </row>
    <row r="2508" customFormat="false" ht="15" hidden="false" customHeight="false" outlineLevel="0" collapsed="false">
      <c r="A2508" s="55"/>
      <c r="B2508" s="56"/>
      <c r="C2508" s="56"/>
      <c r="D2508" s="56"/>
      <c r="E2508" s="57"/>
      <c r="F2508" s="58"/>
      <c r="G2508" s="59"/>
      <c r="H2508" s="56"/>
      <c r="I2508" s="56"/>
      <c r="J2508" s="60" t="str">
        <f aca="false">IF(IsPro,IF($D2508="","",IFERROR(INDEX(Items!$D$5:$D$504,U2508),"")),"")</f>
        <v/>
      </c>
      <c r="K2508" s="61" t="str">
        <f aca="false">IF(IsPro,IF($D2508="","",IF($F2508="",IFERROR(INDEX(Items!$H$5:$H$504,U2508),0),$F2508)),"")</f>
        <v/>
      </c>
      <c r="L2508" s="61" t="str">
        <f aca="false">IF(IsPro,IF($D2508="","",ROUND(N($E2508)*K2508*(1-N($G2508)),2)),"")</f>
        <v/>
      </c>
      <c r="M2508" s="62" t="str">
        <f aca="false">IF(IsPro,IF($D2508="","",IFERROR(INDEX(Items!$F$5:$F$504,U2508),0)),"")</f>
        <v/>
      </c>
      <c r="N2508" s="61" t="str">
        <f aca="false">IF(IsPro,IF($D2508="","",IF(AND(V2508&lt;&gt;"",INDEX(Parties!$E$5:$E$304,V2508)&lt;&gt;"",INDEX(Parties!$E$5:$E$304,V2508)&lt;&gt;HomeState),0,ROUND(L2508*M2508/2,2))),"")</f>
        <v/>
      </c>
      <c r="O2508" s="61" t="str">
        <f aca="false">IF(IsPro,IF($D2508="","",N2508),"")</f>
        <v/>
      </c>
      <c r="P2508" s="61" t="str">
        <f aca="false">IF(IsPro,IF($D2508="","",IF(AND(V2508&lt;&gt;"",INDEX(Parties!$E$5:$E$304,V2508)&lt;&gt;"",INDEX(Parties!$E$5:$E$304,V2508)&lt;&gt;HomeState),ROUND(L2508*M2508,2),0)),"")</f>
        <v/>
      </c>
      <c r="Q2508" s="61" t="str">
        <f aca="false">IF(IsPro,IF($D2508="","",L2508+N2508+O2508+P2508),"")</f>
        <v/>
      </c>
      <c r="R2508" s="61" t="str">
        <f aca="false">IF(IsPro,IF($D2508="","",ROUND(N($E2508)*IFERROR(INDEX(Items!$P$5:$P$504,U2508),0),2)),"")</f>
        <v/>
      </c>
      <c r="S2508" s="61" t="str">
        <f aca="false">IF(IsPro,IF($D2508="","",L2508-R2508),"")</f>
        <v/>
      </c>
      <c r="T2508" s="60" t="str">
        <f aca="false">IF(IsPro,IF($D2508="","",IF(U2508="","UNKNOWN ITEM",IF(INDEX(Items!$O$5:$O$504,U2508)&lt;0,"NEG STOCK",IF(K2508&lt;INDEX(Items!$P$5:$P$504,U2508),"BELOW COST","OK")))),IF($D2508="","","PRO PLAN"))</f>
        <v/>
      </c>
      <c r="U2508" s="60" t="str">
        <f aca="false">IF(IsPro,IF($D2508="","",IFERROR(MATCH($D2508,Items!$A$5:$A$504,0),"")),"")</f>
        <v/>
      </c>
      <c r="V2508" s="60" t="str">
        <f aca="false">IF(IsPro,IF($C2508="","",IFERROR(MATCH($C2508,Parties!$A$5:$A$304,0),"")),"")</f>
        <v/>
      </c>
      <c r="W2508" s="60" t="str">
        <f aca="false">IF(IsPro,IF($B2508="","",IFERROR(VALUE(SUBSTITUTE($B2508,InvPrefix,"")),0)),"")</f>
        <v/>
      </c>
      <c r="X2508" s="61" t="str">
        <f aca="false">IF(IsPro,IF($D2508="","",IF(OR($H2508="",$H2508="Credit"),0,Q2508)),"")</f>
        <v/>
      </c>
    </row>
    <row r="2509" customFormat="false" ht="15" hidden="false" customHeight="false" outlineLevel="0" collapsed="false">
      <c r="A2509" s="55"/>
      <c r="B2509" s="56"/>
      <c r="C2509" s="56"/>
      <c r="D2509" s="56"/>
      <c r="E2509" s="57"/>
      <c r="F2509" s="58"/>
      <c r="G2509" s="59"/>
      <c r="H2509" s="56"/>
      <c r="I2509" s="56"/>
      <c r="J2509" s="60" t="str">
        <f aca="false">IF(IsPro,IF($D2509="","",IFERROR(INDEX(Items!$D$5:$D$504,U2509),"")),"")</f>
        <v/>
      </c>
      <c r="K2509" s="61" t="str">
        <f aca="false">IF(IsPro,IF($D2509="","",IF($F2509="",IFERROR(INDEX(Items!$H$5:$H$504,U2509),0),$F2509)),"")</f>
        <v/>
      </c>
      <c r="L2509" s="61" t="str">
        <f aca="false">IF(IsPro,IF($D2509="","",ROUND(N($E2509)*K2509*(1-N($G2509)),2)),"")</f>
        <v/>
      </c>
      <c r="M2509" s="62" t="str">
        <f aca="false">IF(IsPro,IF($D2509="","",IFERROR(INDEX(Items!$F$5:$F$504,U2509),0)),"")</f>
        <v/>
      </c>
      <c r="N2509" s="61" t="str">
        <f aca="false">IF(IsPro,IF($D2509="","",IF(AND(V2509&lt;&gt;"",INDEX(Parties!$E$5:$E$304,V2509)&lt;&gt;"",INDEX(Parties!$E$5:$E$304,V2509)&lt;&gt;HomeState),0,ROUND(L2509*M2509/2,2))),"")</f>
        <v/>
      </c>
      <c r="O2509" s="61" t="str">
        <f aca="false">IF(IsPro,IF($D2509="","",N2509),"")</f>
        <v/>
      </c>
      <c r="P2509" s="61" t="str">
        <f aca="false">IF(IsPro,IF($D2509="","",IF(AND(V2509&lt;&gt;"",INDEX(Parties!$E$5:$E$304,V2509)&lt;&gt;"",INDEX(Parties!$E$5:$E$304,V2509)&lt;&gt;HomeState),ROUND(L2509*M2509,2),0)),"")</f>
        <v/>
      </c>
      <c r="Q2509" s="61" t="str">
        <f aca="false">IF(IsPro,IF($D2509="","",L2509+N2509+O2509+P2509),"")</f>
        <v/>
      </c>
      <c r="R2509" s="61" t="str">
        <f aca="false">IF(IsPro,IF($D2509="","",ROUND(N($E2509)*IFERROR(INDEX(Items!$P$5:$P$504,U2509),0),2)),"")</f>
        <v/>
      </c>
      <c r="S2509" s="61" t="str">
        <f aca="false">IF(IsPro,IF($D2509="","",L2509-R2509),"")</f>
        <v/>
      </c>
      <c r="T2509" s="60" t="str">
        <f aca="false">IF(IsPro,IF($D2509="","",IF(U2509="","UNKNOWN ITEM",IF(INDEX(Items!$O$5:$O$504,U2509)&lt;0,"NEG STOCK",IF(K2509&lt;INDEX(Items!$P$5:$P$504,U2509),"BELOW COST","OK")))),IF($D2509="","","PRO PLAN"))</f>
        <v/>
      </c>
      <c r="U2509" s="60" t="str">
        <f aca="false">IF(IsPro,IF($D2509="","",IFERROR(MATCH($D2509,Items!$A$5:$A$504,0),"")),"")</f>
        <v/>
      </c>
      <c r="V2509" s="60" t="str">
        <f aca="false">IF(IsPro,IF($C2509="","",IFERROR(MATCH($C2509,Parties!$A$5:$A$304,0),"")),"")</f>
        <v/>
      </c>
      <c r="W2509" s="60" t="str">
        <f aca="false">IF(IsPro,IF($B2509="","",IFERROR(VALUE(SUBSTITUTE($B2509,InvPrefix,"")),0)),"")</f>
        <v/>
      </c>
      <c r="X2509" s="61" t="str">
        <f aca="false">IF(IsPro,IF($D2509="","",IF(OR($H2509="",$H2509="Credit"),0,Q2509)),"")</f>
        <v/>
      </c>
    </row>
    <row r="2510" customFormat="false" ht="15" hidden="false" customHeight="false" outlineLevel="0" collapsed="false">
      <c r="A2510" s="55"/>
      <c r="B2510" s="56"/>
      <c r="C2510" s="56"/>
      <c r="D2510" s="56"/>
      <c r="E2510" s="57"/>
      <c r="F2510" s="58"/>
      <c r="G2510" s="59"/>
      <c r="H2510" s="56"/>
      <c r="I2510" s="56"/>
      <c r="J2510" s="60" t="str">
        <f aca="false">IF(IsPro,IF($D2510="","",IFERROR(INDEX(Items!$D$5:$D$504,U2510),"")),"")</f>
        <v/>
      </c>
      <c r="K2510" s="61" t="str">
        <f aca="false">IF(IsPro,IF($D2510="","",IF($F2510="",IFERROR(INDEX(Items!$H$5:$H$504,U2510),0),$F2510)),"")</f>
        <v/>
      </c>
      <c r="L2510" s="61" t="str">
        <f aca="false">IF(IsPro,IF($D2510="","",ROUND(N($E2510)*K2510*(1-N($G2510)),2)),"")</f>
        <v/>
      </c>
      <c r="M2510" s="62" t="str">
        <f aca="false">IF(IsPro,IF($D2510="","",IFERROR(INDEX(Items!$F$5:$F$504,U2510),0)),"")</f>
        <v/>
      </c>
      <c r="N2510" s="61" t="str">
        <f aca="false">IF(IsPro,IF($D2510="","",IF(AND(V2510&lt;&gt;"",INDEX(Parties!$E$5:$E$304,V2510)&lt;&gt;"",INDEX(Parties!$E$5:$E$304,V2510)&lt;&gt;HomeState),0,ROUND(L2510*M2510/2,2))),"")</f>
        <v/>
      </c>
      <c r="O2510" s="61" t="str">
        <f aca="false">IF(IsPro,IF($D2510="","",N2510),"")</f>
        <v/>
      </c>
      <c r="P2510" s="61" t="str">
        <f aca="false">IF(IsPro,IF($D2510="","",IF(AND(V2510&lt;&gt;"",INDEX(Parties!$E$5:$E$304,V2510)&lt;&gt;"",INDEX(Parties!$E$5:$E$304,V2510)&lt;&gt;HomeState),ROUND(L2510*M2510,2),0)),"")</f>
        <v/>
      </c>
      <c r="Q2510" s="61" t="str">
        <f aca="false">IF(IsPro,IF($D2510="","",L2510+N2510+O2510+P2510),"")</f>
        <v/>
      </c>
      <c r="R2510" s="61" t="str">
        <f aca="false">IF(IsPro,IF($D2510="","",ROUND(N($E2510)*IFERROR(INDEX(Items!$P$5:$P$504,U2510),0),2)),"")</f>
        <v/>
      </c>
      <c r="S2510" s="61" t="str">
        <f aca="false">IF(IsPro,IF($D2510="","",L2510-R2510),"")</f>
        <v/>
      </c>
      <c r="T2510" s="60" t="str">
        <f aca="false">IF(IsPro,IF($D2510="","",IF(U2510="","UNKNOWN ITEM",IF(INDEX(Items!$O$5:$O$504,U2510)&lt;0,"NEG STOCK",IF(K2510&lt;INDEX(Items!$P$5:$P$504,U2510),"BELOW COST","OK")))),IF($D2510="","","PRO PLAN"))</f>
        <v/>
      </c>
      <c r="U2510" s="60" t="str">
        <f aca="false">IF(IsPro,IF($D2510="","",IFERROR(MATCH($D2510,Items!$A$5:$A$504,0),"")),"")</f>
        <v/>
      </c>
      <c r="V2510" s="60" t="str">
        <f aca="false">IF(IsPro,IF($C2510="","",IFERROR(MATCH($C2510,Parties!$A$5:$A$304,0),"")),"")</f>
        <v/>
      </c>
      <c r="W2510" s="60" t="str">
        <f aca="false">IF(IsPro,IF($B2510="","",IFERROR(VALUE(SUBSTITUTE($B2510,InvPrefix,"")),0)),"")</f>
        <v/>
      </c>
      <c r="X2510" s="61" t="str">
        <f aca="false">IF(IsPro,IF($D2510="","",IF(OR($H2510="",$H2510="Credit"),0,Q2510)),"")</f>
        <v/>
      </c>
    </row>
    <row r="2511" customFormat="false" ht="15" hidden="false" customHeight="false" outlineLevel="0" collapsed="false">
      <c r="A2511" s="55"/>
      <c r="B2511" s="56"/>
      <c r="C2511" s="56"/>
      <c r="D2511" s="56"/>
      <c r="E2511" s="57"/>
      <c r="F2511" s="58"/>
      <c r="G2511" s="59"/>
      <c r="H2511" s="56"/>
      <c r="I2511" s="56"/>
      <c r="J2511" s="60" t="str">
        <f aca="false">IF(IsPro,IF($D2511="","",IFERROR(INDEX(Items!$D$5:$D$504,U2511),"")),"")</f>
        <v/>
      </c>
      <c r="K2511" s="61" t="str">
        <f aca="false">IF(IsPro,IF($D2511="","",IF($F2511="",IFERROR(INDEX(Items!$H$5:$H$504,U2511),0),$F2511)),"")</f>
        <v/>
      </c>
      <c r="L2511" s="61" t="str">
        <f aca="false">IF(IsPro,IF($D2511="","",ROUND(N($E2511)*K2511*(1-N($G2511)),2)),"")</f>
        <v/>
      </c>
      <c r="M2511" s="62" t="str">
        <f aca="false">IF(IsPro,IF($D2511="","",IFERROR(INDEX(Items!$F$5:$F$504,U2511),0)),"")</f>
        <v/>
      </c>
      <c r="N2511" s="61" t="str">
        <f aca="false">IF(IsPro,IF($D2511="","",IF(AND(V2511&lt;&gt;"",INDEX(Parties!$E$5:$E$304,V2511)&lt;&gt;"",INDEX(Parties!$E$5:$E$304,V2511)&lt;&gt;HomeState),0,ROUND(L2511*M2511/2,2))),"")</f>
        <v/>
      </c>
      <c r="O2511" s="61" t="str">
        <f aca="false">IF(IsPro,IF($D2511="","",N2511),"")</f>
        <v/>
      </c>
      <c r="P2511" s="61" t="str">
        <f aca="false">IF(IsPro,IF($D2511="","",IF(AND(V2511&lt;&gt;"",INDEX(Parties!$E$5:$E$304,V2511)&lt;&gt;"",INDEX(Parties!$E$5:$E$304,V2511)&lt;&gt;HomeState),ROUND(L2511*M2511,2),0)),"")</f>
        <v/>
      </c>
      <c r="Q2511" s="61" t="str">
        <f aca="false">IF(IsPro,IF($D2511="","",L2511+N2511+O2511+P2511),"")</f>
        <v/>
      </c>
      <c r="R2511" s="61" t="str">
        <f aca="false">IF(IsPro,IF($D2511="","",ROUND(N($E2511)*IFERROR(INDEX(Items!$P$5:$P$504,U2511),0),2)),"")</f>
        <v/>
      </c>
      <c r="S2511" s="61" t="str">
        <f aca="false">IF(IsPro,IF($D2511="","",L2511-R2511),"")</f>
        <v/>
      </c>
      <c r="T2511" s="60" t="str">
        <f aca="false">IF(IsPro,IF($D2511="","",IF(U2511="","UNKNOWN ITEM",IF(INDEX(Items!$O$5:$O$504,U2511)&lt;0,"NEG STOCK",IF(K2511&lt;INDEX(Items!$P$5:$P$504,U2511),"BELOW COST","OK")))),IF($D2511="","","PRO PLAN"))</f>
        <v/>
      </c>
      <c r="U2511" s="60" t="str">
        <f aca="false">IF(IsPro,IF($D2511="","",IFERROR(MATCH($D2511,Items!$A$5:$A$504,0),"")),"")</f>
        <v/>
      </c>
      <c r="V2511" s="60" t="str">
        <f aca="false">IF(IsPro,IF($C2511="","",IFERROR(MATCH($C2511,Parties!$A$5:$A$304,0),"")),"")</f>
        <v/>
      </c>
      <c r="W2511" s="60" t="str">
        <f aca="false">IF(IsPro,IF($B2511="","",IFERROR(VALUE(SUBSTITUTE($B2511,InvPrefix,"")),0)),"")</f>
        <v/>
      </c>
      <c r="X2511" s="61" t="str">
        <f aca="false">IF(IsPro,IF($D2511="","",IF(OR($H2511="",$H2511="Credit"),0,Q2511)),"")</f>
        <v/>
      </c>
    </row>
    <row r="2512" customFormat="false" ht="15" hidden="false" customHeight="false" outlineLevel="0" collapsed="false">
      <c r="A2512" s="55"/>
      <c r="B2512" s="56"/>
      <c r="C2512" s="56"/>
      <c r="D2512" s="56"/>
      <c r="E2512" s="57"/>
      <c r="F2512" s="58"/>
      <c r="G2512" s="59"/>
      <c r="H2512" s="56"/>
      <c r="I2512" s="56"/>
      <c r="J2512" s="60" t="str">
        <f aca="false">IF(IsPro,IF($D2512="","",IFERROR(INDEX(Items!$D$5:$D$504,U2512),"")),"")</f>
        <v/>
      </c>
      <c r="K2512" s="61" t="str">
        <f aca="false">IF(IsPro,IF($D2512="","",IF($F2512="",IFERROR(INDEX(Items!$H$5:$H$504,U2512),0),$F2512)),"")</f>
        <v/>
      </c>
      <c r="L2512" s="61" t="str">
        <f aca="false">IF(IsPro,IF($D2512="","",ROUND(N($E2512)*K2512*(1-N($G2512)),2)),"")</f>
        <v/>
      </c>
      <c r="M2512" s="62" t="str">
        <f aca="false">IF(IsPro,IF($D2512="","",IFERROR(INDEX(Items!$F$5:$F$504,U2512),0)),"")</f>
        <v/>
      </c>
      <c r="N2512" s="61" t="str">
        <f aca="false">IF(IsPro,IF($D2512="","",IF(AND(V2512&lt;&gt;"",INDEX(Parties!$E$5:$E$304,V2512)&lt;&gt;"",INDEX(Parties!$E$5:$E$304,V2512)&lt;&gt;HomeState),0,ROUND(L2512*M2512/2,2))),"")</f>
        <v/>
      </c>
      <c r="O2512" s="61" t="str">
        <f aca="false">IF(IsPro,IF($D2512="","",N2512),"")</f>
        <v/>
      </c>
      <c r="P2512" s="61" t="str">
        <f aca="false">IF(IsPro,IF($D2512="","",IF(AND(V2512&lt;&gt;"",INDEX(Parties!$E$5:$E$304,V2512)&lt;&gt;"",INDEX(Parties!$E$5:$E$304,V2512)&lt;&gt;HomeState),ROUND(L2512*M2512,2),0)),"")</f>
        <v/>
      </c>
      <c r="Q2512" s="61" t="str">
        <f aca="false">IF(IsPro,IF($D2512="","",L2512+N2512+O2512+P2512),"")</f>
        <v/>
      </c>
      <c r="R2512" s="61" t="str">
        <f aca="false">IF(IsPro,IF($D2512="","",ROUND(N($E2512)*IFERROR(INDEX(Items!$P$5:$P$504,U2512),0),2)),"")</f>
        <v/>
      </c>
      <c r="S2512" s="61" t="str">
        <f aca="false">IF(IsPro,IF($D2512="","",L2512-R2512),"")</f>
        <v/>
      </c>
      <c r="T2512" s="60" t="str">
        <f aca="false">IF(IsPro,IF($D2512="","",IF(U2512="","UNKNOWN ITEM",IF(INDEX(Items!$O$5:$O$504,U2512)&lt;0,"NEG STOCK",IF(K2512&lt;INDEX(Items!$P$5:$P$504,U2512),"BELOW COST","OK")))),IF($D2512="","","PRO PLAN"))</f>
        <v/>
      </c>
      <c r="U2512" s="60" t="str">
        <f aca="false">IF(IsPro,IF($D2512="","",IFERROR(MATCH($D2512,Items!$A$5:$A$504,0),"")),"")</f>
        <v/>
      </c>
      <c r="V2512" s="60" t="str">
        <f aca="false">IF(IsPro,IF($C2512="","",IFERROR(MATCH($C2512,Parties!$A$5:$A$304,0),"")),"")</f>
        <v/>
      </c>
      <c r="W2512" s="60" t="str">
        <f aca="false">IF(IsPro,IF($B2512="","",IFERROR(VALUE(SUBSTITUTE($B2512,InvPrefix,"")),0)),"")</f>
        <v/>
      </c>
      <c r="X2512" s="61" t="str">
        <f aca="false">IF(IsPro,IF($D2512="","",IF(OR($H2512="",$H2512="Credit"),0,Q2512)),"")</f>
        <v/>
      </c>
    </row>
    <row r="2513" customFormat="false" ht="15" hidden="false" customHeight="false" outlineLevel="0" collapsed="false">
      <c r="A2513" s="55"/>
      <c r="B2513" s="56"/>
      <c r="C2513" s="56"/>
      <c r="D2513" s="56"/>
      <c r="E2513" s="57"/>
      <c r="F2513" s="58"/>
      <c r="G2513" s="59"/>
      <c r="H2513" s="56"/>
      <c r="I2513" s="56"/>
      <c r="J2513" s="60" t="str">
        <f aca="false">IF(IsPro,IF($D2513="","",IFERROR(INDEX(Items!$D$5:$D$504,U2513),"")),"")</f>
        <v/>
      </c>
      <c r="K2513" s="61" t="str">
        <f aca="false">IF(IsPro,IF($D2513="","",IF($F2513="",IFERROR(INDEX(Items!$H$5:$H$504,U2513),0),$F2513)),"")</f>
        <v/>
      </c>
      <c r="L2513" s="61" t="str">
        <f aca="false">IF(IsPro,IF($D2513="","",ROUND(N($E2513)*K2513*(1-N($G2513)),2)),"")</f>
        <v/>
      </c>
      <c r="M2513" s="62" t="str">
        <f aca="false">IF(IsPro,IF($D2513="","",IFERROR(INDEX(Items!$F$5:$F$504,U2513),0)),"")</f>
        <v/>
      </c>
      <c r="N2513" s="61" t="str">
        <f aca="false">IF(IsPro,IF($D2513="","",IF(AND(V2513&lt;&gt;"",INDEX(Parties!$E$5:$E$304,V2513)&lt;&gt;"",INDEX(Parties!$E$5:$E$304,V2513)&lt;&gt;HomeState),0,ROUND(L2513*M2513/2,2))),"")</f>
        <v/>
      </c>
      <c r="O2513" s="61" t="str">
        <f aca="false">IF(IsPro,IF($D2513="","",N2513),"")</f>
        <v/>
      </c>
      <c r="P2513" s="61" t="str">
        <f aca="false">IF(IsPro,IF($D2513="","",IF(AND(V2513&lt;&gt;"",INDEX(Parties!$E$5:$E$304,V2513)&lt;&gt;"",INDEX(Parties!$E$5:$E$304,V2513)&lt;&gt;HomeState),ROUND(L2513*M2513,2),0)),"")</f>
        <v/>
      </c>
      <c r="Q2513" s="61" t="str">
        <f aca="false">IF(IsPro,IF($D2513="","",L2513+N2513+O2513+P2513),"")</f>
        <v/>
      </c>
      <c r="R2513" s="61" t="str">
        <f aca="false">IF(IsPro,IF($D2513="","",ROUND(N($E2513)*IFERROR(INDEX(Items!$P$5:$P$504,U2513),0),2)),"")</f>
        <v/>
      </c>
      <c r="S2513" s="61" t="str">
        <f aca="false">IF(IsPro,IF($D2513="","",L2513-R2513),"")</f>
        <v/>
      </c>
      <c r="T2513" s="60" t="str">
        <f aca="false">IF(IsPro,IF($D2513="","",IF(U2513="","UNKNOWN ITEM",IF(INDEX(Items!$O$5:$O$504,U2513)&lt;0,"NEG STOCK",IF(K2513&lt;INDEX(Items!$P$5:$P$504,U2513),"BELOW COST","OK")))),IF($D2513="","","PRO PLAN"))</f>
        <v/>
      </c>
      <c r="U2513" s="60" t="str">
        <f aca="false">IF(IsPro,IF($D2513="","",IFERROR(MATCH($D2513,Items!$A$5:$A$504,0),"")),"")</f>
        <v/>
      </c>
      <c r="V2513" s="60" t="str">
        <f aca="false">IF(IsPro,IF($C2513="","",IFERROR(MATCH($C2513,Parties!$A$5:$A$304,0),"")),"")</f>
        <v/>
      </c>
      <c r="W2513" s="60" t="str">
        <f aca="false">IF(IsPro,IF($B2513="","",IFERROR(VALUE(SUBSTITUTE($B2513,InvPrefix,"")),0)),"")</f>
        <v/>
      </c>
      <c r="X2513" s="61" t="str">
        <f aca="false">IF(IsPro,IF($D2513="","",IF(OR($H2513="",$H2513="Credit"),0,Q2513)),"")</f>
        <v/>
      </c>
    </row>
    <row r="2514" customFormat="false" ht="15" hidden="false" customHeight="false" outlineLevel="0" collapsed="false">
      <c r="A2514" s="55"/>
      <c r="B2514" s="56"/>
      <c r="C2514" s="56"/>
      <c r="D2514" s="56"/>
      <c r="E2514" s="57"/>
      <c r="F2514" s="58"/>
      <c r="G2514" s="59"/>
      <c r="H2514" s="56"/>
      <c r="I2514" s="56"/>
      <c r="J2514" s="60" t="str">
        <f aca="false">IF(IsPro,IF($D2514="","",IFERROR(INDEX(Items!$D$5:$D$504,U2514),"")),"")</f>
        <v/>
      </c>
      <c r="K2514" s="61" t="str">
        <f aca="false">IF(IsPro,IF($D2514="","",IF($F2514="",IFERROR(INDEX(Items!$H$5:$H$504,U2514),0),$F2514)),"")</f>
        <v/>
      </c>
      <c r="L2514" s="61" t="str">
        <f aca="false">IF(IsPro,IF($D2514="","",ROUND(N($E2514)*K2514*(1-N($G2514)),2)),"")</f>
        <v/>
      </c>
      <c r="M2514" s="62" t="str">
        <f aca="false">IF(IsPro,IF($D2514="","",IFERROR(INDEX(Items!$F$5:$F$504,U2514),0)),"")</f>
        <v/>
      </c>
      <c r="N2514" s="61" t="str">
        <f aca="false">IF(IsPro,IF($D2514="","",IF(AND(V2514&lt;&gt;"",INDEX(Parties!$E$5:$E$304,V2514)&lt;&gt;"",INDEX(Parties!$E$5:$E$304,V2514)&lt;&gt;HomeState),0,ROUND(L2514*M2514/2,2))),"")</f>
        <v/>
      </c>
      <c r="O2514" s="61" t="str">
        <f aca="false">IF(IsPro,IF($D2514="","",N2514),"")</f>
        <v/>
      </c>
      <c r="P2514" s="61" t="str">
        <f aca="false">IF(IsPro,IF($D2514="","",IF(AND(V2514&lt;&gt;"",INDEX(Parties!$E$5:$E$304,V2514)&lt;&gt;"",INDEX(Parties!$E$5:$E$304,V2514)&lt;&gt;HomeState),ROUND(L2514*M2514,2),0)),"")</f>
        <v/>
      </c>
      <c r="Q2514" s="61" t="str">
        <f aca="false">IF(IsPro,IF($D2514="","",L2514+N2514+O2514+P2514),"")</f>
        <v/>
      </c>
      <c r="R2514" s="61" t="str">
        <f aca="false">IF(IsPro,IF($D2514="","",ROUND(N($E2514)*IFERROR(INDEX(Items!$P$5:$P$504,U2514),0),2)),"")</f>
        <v/>
      </c>
      <c r="S2514" s="61" t="str">
        <f aca="false">IF(IsPro,IF($D2514="","",L2514-R2514),"")</f>
        <v/>
      </c>
      <c r="T2514" s="60" t="str">
        <f aca="false">IF(IsPro,IF($D2514="","",IF(U2514="","UNKNOWN ITEM",IF(INDEX(Items!$O$5:$O$504,U2514)&lt;0,"NEG STOCK",IF(K2514&lt;INDEX(Items!$P$5:$P$504,U2514),"BELOW COST","OK")))),IF($D2514="","","PRO PLAN"))</f>
        <v/>
      </c>
      <c r="U2514" s="60" t="str">
        <f aca="false">IF(IsPro,IF($D2514="","",IFERROR(MATCH($D2514,Items!$A$5:$A$504,0),"")),"")</f>
        <v/>
      </c>
      <c r="V2514" s="60" t="str">
        <f aca="false">IF(IsPro,IF($C2514="","",IFERROR(MATCH($C2514,Parties!$A$5:$A$304,0),"")),"")</f>
        <v/>
      </c>
      <c r="W2514" s="60" t="str">
        <f aca="false">IF(IsPro,IF($B2514="","",IFERROR(VALUE(SUBSTITUTE($B2514,InvPrefix,"")),0)),"")</f>
        <v/>
      </c>
      <c r="X2514" s="61" t="str">
        <f aca="false">IF(IsPro,IF($D2514="","",IF(OR($H2514="",$H2514="Credit"),0,Q2514)),"")</f>
        <v/>
      </c>
    </row>
    <row r="2515" customFormat="false" ht="15" hidden="false" customHeight="false" outlineLevel="0" collapsed="false">
      <c r="A2515" s="55"/>
      <c r="B2515" s="56"/>
      <c r="C2515" s="56"/>
      <c r="D2515" s="56"/>
      <c r="E2515" s="57"/>
      <c r="F2515" s="58"/>
      <c r="G2515" s="59"/>
      <c r="H2515" s="56"/>
      <c r="I2515" s="56"/>
      <c r="J2515" s="60" t="str">
        <f aca="false">IF(IsPro,IF($D2515="","",IFERROR(INDEX(Items!$D$5:$D$504,U2515),"")),"")</f>
        <v/>
      </c>
      <c r="K2515" s="61" t="str">
        <f aca="false">IF(IsPro,IF($D2515="","",IF($F2515="",IFERROR(INDEX(Items!$H$5:$H$504,U2515),0),$F2515)),"")</f>
        <v/>
      </c>
      <c r="L2515" s="61" t="str">
        <f aca="false">IF(IsPro,IF($D2515="","",ROUND(N($E2515)*K2515*(1-N($G2515)),2)),"")</f>
        <v/>
      </c>
      <c r="M2515" s="62" t="str">
        <f aca="false">IF(IsPro,IF($D2515="","",IFERROR(INDEX(Items!$F$5:$F$504,U2515),0)),"")</f>
        <v/>
      </c>
      <c r="N2515" s="61" t="str">
        <f aca="false">IF(IsPro,IF($D2515="","",IF(AND(V2515&lt;&gt;"",INDEX(Parties!$E$5:$E$304,V2515)&lt;&gt;"",INDEX(Parties!$E$5:$E$304,V2515)&lt;&gt;HomeState),0,ROUND(L2515*M2515/2,2))),"")</f>
        <v/>
      </c>
      <c r="O2515" s="61" t="str">
        <f aca="false">IF(IsPro,IF($D2515="","",N2515),"")</f>
        <v/>
      </c>
      <c r="P2515" s="61" t="str">
        <f aca="false">IF(IsPro,IF($D2515="","",IF(AND(V2515&lt;&gt;"",INDEX(Parties!$E$5:$E$304,V2515)&lt;&gt;"",INDEX(Parties!$E$5:$E$304,V2515)&lt;&gt;HomeState),ROUND(L2515*M2515,2),0)),"")</f>
        <v/>
      </c>
      <c r="Q2515" s="61" t="str">
        <f aca="false">IF(IsPro,IF($D2515="","",L2515+N2515+O2515+P2515),"")</f>
        <v/>
      </c>
      <c r="R2515" s="61" t="str">
        <f aca="false">IF(IsPro,IF($D2515="","",ROUND(N($E2515)*IFERROR(INDEX(Items!$P$5:$P$504,U2515),0),2)),"")</f>
        <v/>
      </c>
      <c r="S2515" s="61" t="str">
        <f aca="false">IF(IsPro,IF($D2515="","",L2515-R2515),"")</f>
        <v/>
      </c>
      <c r="T2515" s="60" t="str">
        <f aca="false">IF(IsPro,IF($D2515="","",IF(U2515="","UNKNOWN ITEM",IF(INDEX(Items!$O$5:$O$504,U2515)&lt;0,"NEG STOCK",IF(K2515&lt;INDEX(Items!$P$5:$P$504,U2515),"BELOW COST","OK")))),IF($D2515="","","PRO PLAN"))</f>
        <v/>
      </c>
      <c r="U2515" s="60" t="str">
        <f aca="false">IF(IsPro,IF($D2515="","",IFERROR(MATCH($D2515,Items!$A$5:$A$504,0),"")),"")</f>
        <v/>
      </c>
      <c r="V2515" s="60" t="str">
        <f aca="false">IF(IsPro,IF($C2515="","",IFERROR(MATCH($C2515,Parties!$A$5:$A$304,0),"")),"")</f>
        <v/>
      </c>
      <c r="W2515" s="60" t="str">
        <f aca="false">IF(IsPro,IF($B2515="","",IFERROR(VALUE(SUBSTITUTE($B2515,InvPrefix,"")),0)),"")</f>
        <v/>
      </c>
      <c r="X2515" s="61" t="str">
        <f aca="false">IF(IsPro,IF($D2515="","",IF(OR($H2515="",$H2515="Credit"),0,Q2515)),"")</f>
        <v/>
      </c>
    </row>
    <row r="2516" customFormat="false" ht="15" hidden="false" customHeight="false" outlineLevel="0" collapsed="false">
      <c r="A2516" s="55"/>
      <c r="B2516" s="56"/>
      <c r="C2516" s="56"/>
      <c r="D2516" s="56"/>
      <c r="E2516" s="57"/>
      <c r="F2516" s="58"/>
      <c r="G2516" s="59"/>
      <c r="H2516" s="56"/>
      <c r="I2516" s="56"/>
      <c r="J2516" s="60" t="str">
        <f aca="false">IF(IsPro,IF($D2516="","",IFERROR(INDEX(Items!$D$5:$D$504,U2516),"")),"")</f>
        <v/>
      </c>
      <c r="K2516" s="61" t="str">
        <f aca="false">IF(IsPro,IF($D2516="","",IF($F2516="",IFERROR(INDEX(Items!$H$5:$H$504,U2516),0),$F2516)),"")</f>
        <v/>
      </c>
      <c r="L2516" s="61" t="str">
        <f aca="false">IF(IsPro,IF($D2516="","",ROUND(N($E2516)*K2516*(1-N($G2516)),2)),"")</f>
        <v/>
      </c>
      <c r="M2516" s="62" t="str">
        <f aca="false">IF(IsPro,IF($D2516="","",IFERROR(INDEX(Items!$F$5:$F$504,U2516),0)),"")</f>
        <v/>
      </c>
      <c r="N2516" s="61" t="str">
        <f aca="false">IF(IsPro,IF($D2516="","",IF(AND(V2516&lt;&gt;"",INDEX(Parties!$E$5:$E$304,V2516)&lt;&gt;"",INDEX(Parties!$E$5:$E$304,V2516)&lt;&gt;HomeState),0,ROUND(L2516*M2516/2,2))),"")</f>
        <v/>
      </c>
      <c r="O2516" s="61" t="str">
        <f aca="false">IF(IsPro,IF($D2516="","",N2516),"")</f>
        <v/>
      </c>
      <c r="P2516" s="61" t="str">
        <f aca="false">IF(IsPro,IF($D2516="","",IF(AND(V2516&lt;&gt;"",INDEX(Parties!$E$5:$E$304,V2516)&lt;&gt;"",INDEX(Parties!$E$5:$E$304,V2516)&lt;&gt;HomeState),ROUND(L2516*M2516,2),0)),"")</f>
        <v/>
      </c>
      <c r="Q2516" s="61" t="str">
        <f aca="false">IF(IsPro,IF($D2516="","",L2516+N2516+O2516+P2516),"")</f>
        <v/>
      </c>
      <c r="R2516" s="61" t="str">
        <f aca="false">IF(IsPro,IF($D2516="","",ROUND(N($E2516)*IFERROR(INDEX(Items!$P$5:$P$504,U2516),0),2)),"")</f>
        <v/>
      </c>
      <c r="S2516" s="61" t="str">
        <f aca="false">IF(IsPro,IF($D2516="","",L2516-R2516),"")</f>
        <v/>
      </c>
      <c r="T2516" s="60" t="str">
        <f aca="false">IF(IsPro,IF($D2516="","",IF(U2516="","UNKNOWN ITEM",IF(INDEX(Items!$O$5:$O$504,U2516)&lt;0,"NEG STOCK",IF(K2516&lt;INDEX(Items!$P$5:$P$504,U2516),"BELOW COST","OK")))),IF($D2516="","","PRO PLAN"))</f>
        <v/>
      </c>
      <c r="U2516" s="60" t="str">
        <f aca="false">IF(IsPro,IF($D2516="","",IFERROR(MATCH($D2516,Items!$A$5:$A$504,0),"")),"")</f>
        <v/>
      </c>
      <c r="V2516" s="60" t="str">
        <f aca="false">IF(IsPro,IF($C2516="","",IFERROR(MATCH($C2516,Parties!$A$5:$A$304,0),"")),"")</f>
        <v/>
      </c>
      <c r="W2516" s="60" t="str">
        <f aca="false">IF(IsPro,IF($B2516="","",IFERROR(VALUE(SUBSTITUTE($B2516,InvPrefix,"")),0)),"")</f>
        <v/>
      </c>
      <c r="X2516" s="61" t="str">
        <f aca="false">IF(IsPro,IF($D2516="","",IF(OR($H2516="",$H2516="Credit"),0,Q2516)),"")</f>
        <v/>
      </c>
    </row>
    <row r="2517" customFormat="false" ht="15" hidden="false" customHeight="false" outlineLevel="0" collapsed="false">
      <c r="A2517" s="55"/>
      <c r="B2517" s="56"/>
      <c r="C2517" s="56"/>
      <c r="D2517" s="56"/>
      <c r="E2517" s="57"/>
      <c r="F2517" s="58"/>
      <c r="G2517" s="59"/>
      <c r="H2517" s="56"/>
      <c r="I2517" s="56"/>
      <c r="J2517" s="60" t="str">
        <f aca="false">IF(IsPro,IF($D2517="","",IFERROR(INDEX(Items!$D$5:$D$504,U2517),"")),"")</f>
        <v/>
      </c>
      <c r="K2517" s="61" t="str">
        <f aca="false">IF(IsPro,IF($D2517="","",IF($F2517="",IFERROR(INDEX(Items!$H$5:$H$504,U2517),0),$F2517)),"")</f>
        <v/>
      </c>
      <c r="L2517" s="61" t="str">
        <f aca="false">IF(IsPro,IF($D2517="","",ROUND(N($E2517)*K2517*(1-N($G2517)),2)),"")</f>
        <v/>
      </c>
      <c r="M2517" s="62" t="str">
        <f aca="false">IF(IsPro,IF($D2517="","",IFERROR(INDEX(Items!$F$5:$F$504,U2517),0)),"")</f>
        <v/>
      </c>
      <c r="N2517" s="61" t="str">
        <f aca="false">IF(IsPro,IF($D2517="","",IF(AND(V2517&lt;&gt;"",INDEX(Parties!$E$5:$E$304,V2517)&lt;&gt;"",INDEX(Parties!$E$5:$E$304,V2517)&lt;&gt;HomeState),0,ROUND(L2517*M2517/2,2))),"")</f>
        <v/>
      </c>
      <c r="O2517" s="61" t="str">
        <f aca="false">IF(IsPro,IF($D2517="","",N2517),"")</f>
        <v/>
      </c>
      <c r="P2517" s="61" t="str">
        <f aca="false">IF(IsPro,IF($D2517="","",IF(AND(V2517&lt;&gt;"",INDEX(Parties!$E$5:$E$304,V2517)&lt;&gt;"",INDEX(Parties!$E$5:$E$304,V2517)&lt;&gt;HomeState),ROUND(L2517*M2517,2),0)),"")</f>
        <v/>
      </c>
      <c r="Q2517" s="61" t="str">
        <f aca="false">IF(IsPro,IF($D2517="","",L2517+N2517+O2517+P2517),"")</f>
        <v/>
      </c>
      <c r="R2517" s="61" t="str">
        <f aca="false">IF(IsPro,IF($D2517="","",ROUND(N($E2517)*IFERROR(INDEX(Items!$P$5:$P$504,U2517),0),2)),"")</f>
        <v/>
      </c>
      <c r="S2517" s="61" t="str">
        <f aca="false">IF(IsPro,IF($D2517="","",L2517-R2517),"")</f>
        <v/>
      </c>
      <c r="T2517" s="60" t="str">
        <f aca="false">IF(IsPro,IF($D2517="","",IF(U2517="","UNKNOWN ITEM",IF(INDEX(Items!$O$5:$O$504,U2517)&lt;0,"NEG STOCK",IF(K2517&lt;INDEX(Items!$P$5:$P$504,U2517),"BELOW COST","OK")))),IF($D2517="","","PRO PLAN"))</f>
        <v/>
      </c>
      <c r="U2517" s="60" t="str">
        <f aca="false">IF(IsPro,IF($D2517="","",IFERROR(MATCH($D2517,Items!$A$5:$A$504,0),"")),"")</f>
        <v/>
      </c>
      <c r="V2517" s="60" t="str">
        <f aca="false">IF(IsPro,IF($C2517="","",IFERROR(MATCH($C2517,Parties!$A$5:$A$304,0),"")),"")</f>
        <v/>
      </c>
      <c r="W2517" s="60" t="str">
        <f aca="false">IF(IsPro,IF($B2517="","",IFERROR(VALUE(SUBSTITUTE($B2517,InvPrefix,"")),0)),"")</f>
        <v/>
      </c>
      <c r="X2517" s="61" t="str">
        <f aca="false">IF(IsPro,IF($D2517="","",IF(OR($H2517="",$H2517="Credit"),0,Q2517)),"")</f>
        <v/>
      </c>
    </row>
    <row r="2518" customFormat="false" ht="15" hidden="false" customHeight="false" outlineLevel="0" collapsed="false">
      <c r="A2518" s="55"/>
      <c r="B2518" s="56"/>
      <c r="C2518" s="56"/>
      <c r="D2518" s="56"/>
      <c r="E2518" s="57"/>
      <c r="F2518" s="58"/>
      <c r="G2518" s="59"/>
      <c r="H2518" s="56"/>
      <c r="I2518" s="56"/>
      <c r="J2518" s="60" t="str">
        <f aca="false">IF(IsPro,IF($D2518="","",IFERROR(INDEX(Items!$D$5:$D$504,U2518),"")),"")</f>
        <v/>
      </c>
      <c r="K2518" s="61" t="str">
        <f aca="false">IF(IsPro,IF($D2518="","",IF($F2518="",IFERROR(INDEX(Items!$H$5:$H$504,U2518),0),$F2518)),"")</f>
        <v/>
      </c>
      <c r="L2518" s="61" t="str">
        <f aca="false">IF(IsPro,IF($D2518="","",ROUND(N($E2518)*K2518*(1-N($G2518)),2)),"")</f>
        <v/>
      </c>
      <c r="M2518" s="62" t="str">
        <f aca="false">IF(IsPro,IF($D2518="","",IFERROR(INDEX(Items!$F$5:$F$504,U2518),0)),"")</f>
        <v/>
      </c>
      <c r="N2518" s="61" t="str">
        <f aca="false">IF(IsPro,IF($D2518="","",IF(AND(V2518&lt;&gt;"",INDEX(Parties!$E$5:$E$304,V2518)&lt;&gt;"",INDEX(Parties!$E$5:$E$304,V2518)&lt;&gt;HomeState),0,ROUND(L2518*M2518/2,2))),"")</f>
        <v/>
      </c>
      <c r="O2518" s="61" t="str">
        <f aca="false">IF(IsPro,IF($D2518="","",N2518),"")</f>
        <v/>
      </c>
      <c r="P2518" s="61" t="str">
        <f aca="false">IF(IsPro,IF($D2518="","",IF(AND(V2518&lt;&gt;"",INDEX(Parties!$E$5:$E$304,V2518)&lt;&gt;"",INDEX(Parties!$E$5:$E$304,V2518)&lt;&gt;HomeState),ROUND(L2518*M2518,2),0)),"")</f>
        <v/>
      </c>
      <c r="Q2518" s="61" t="str">
        <f aca="false">IF(IsPro,IF($D2518="","",L2518+N2518+O2518+P2518),"")</f>
        <v/>
      </c>
      <c r="R2518" s="61" t="str">
        <f aca="false">IF(IsPro,IF($D2518="","",ROUND(N($E2518)*IFERROR(INDEX(Items!$P$5:$P$504,U2518),0),2)),"")</f>
        <v/>
      </c>
      <c r="S2518" s="61" t="str">
        <f aca="false">IF(IsPro,IF($D2518="","",L2518-R2518),"")</f>
        <v/>
      </c>
      <c r="T2518" s="60" t="str">
        <f aca="false">IF(IsPro,IF($D2518="","",IF(U2518="","UNKNOWN ITEM",IF(INDEX(Items!$O$5:$O$504,U2518)&lt;0,"NEG STOCK",IF(K2518&lt;INDEX(Items!$P$5:$P$504,U2518),"BELOW COST","OK")))),IF($D2518="","","PRO PLAN"))</f>
        <v/>
      </c>
      <c r="U2518" s="60" t="str">
        <f aca="false">IF(IsPro,IF($D2518="","",IFERROR(MATCH($D2518,Items!$A$5:$A$504,0),"")),"")</f>
        <v/>
      </c>
      <c r="V2518" s="60" t="str">
        <f aca="false">IF(IsPro,IF($C2518="","",IFERROR(MATCH($C2518,Parties!$A$5:$A$304,0),"")),"")</f>
        <v/>
      </c>
      <c r="W2518" s="60" t="str">
        <f aca="false">IF(IsPro,IF($B2518="","",IFERROR(VALUE(SUBSTITUTE($B2518,InvPrefix,"")),0)),"")</f>
        <v/>
      </c>
      <c r="X2518" s="61" t="str">
        <f aca="false">IF(IsPro,IF($D2518="","",IF(OR($H2518="",$H2518="Credit"),0,Q2518)),"")</f>
        <v/>
      </c>
    </row>
    <row r="2519" customFormat="false" ht="15" hidden="false" customHeight="false" outlineLevel="0" collapsed="false">
      <c r="A2519" s="55"/>
      <c r="B2519" s="56"/>
      <c r="C2519" s="56"/>
      <c r="D2519" s="56"/>
      <c r="E2519" s="57"/>
      <c r="F2519" s="58"/>
      <c r="G2519" s="59"/>
      <c r="H2519" s="56"/>
      <c r="I2519" s="56"/>
      <c r="J2519" s="60" t="str">
        <f aca="false">IF(IsPro,IF($D2519="","",IFERROR(INDEX(Items!$D$5:$D$504,U2519),"")),"")</f>
        <v/>
      </c>
      <c r="K2519" s="61" t="str">
        <f aca="false">IF(IsPro,IF($D2519="","",IF($F2519="",IFERROR(INDEX(Items!$H$5:$H$504,U2519),0),$F2519)),"")</f>
        <v/>
      </c>
      <c r="L2519" s="61" t="str">
        <f aca="false">IF(IsPro,IF($D2519="","",ROUND(N($E2519)*K2519*(1-N($G2519)),2)),"")</f>
        <v/>
      </c>
      <c r="M2519" s="62" t="str">
        <f aca="false">IF(IsPro,IF($D2519="","",IFERROR(INDEX(Items!$F$5:$F$504,U2519),0)),"")</f>
        <v/>
      </c>
      <c r="N2519" s="61" t="str">
        <f aca="false">IF(IsPro,IF($D2519="","",IF(AND(V2519&lt;&gt;"",INDEX(Parties!$E$5:$E$304,V2519)&lt;&gt;"",INDEX(Parties!$E$5:$E$304,V2519)&lt;&gt;HomeState),0,ROUND(L2519*M2519/2,2))),"")</f>
        <v/>
      </c>
      <c r="O2519" s="61" t="str">
        <f aca="false">IF(IsPro,IF($D2519="","",N2519),"")</f>
        <v/>
      </c>
      <c r="P2519" s="61" t="str">
        <f aca="false">IF(IsPro,IF($D2519="","",IF(AND(V2519&lt;&gt;"",INDEX(Parties!$E$5:$E$304,V2519)&lt;&gt;"",INDEX(Parties!$E$5:$E$304,V2519)&lt;&gt;HomeState),ROUND(L2519*M2519,2),0)),"")</f>
        <v/>
      </c>
      <c r="Q2519" s="61" t="str">
        <f aca="false">IF(IsPro,IF($D2519="","",L2519+N2519+O2519+P2519),"")</f>
        <v/>
      </c>
      <c r="R2519" s="61" t="str">
        <f aca="false">IF(IsPro,IF($D2519="","",ROUND(N($E2519)*IFERROR(INDEX(Items!$P$5:$P$504,U2519),0),2)),"")</f>
        <v/>
      </c>
      <c r="S2519" s="61" t="str">
        <f aca="false">IF(IsPro,IF($D2519="","",L2519-R2519),"")</f>
        <v/>
      </c>
      <c r="T2519" s="60" t="str">
        <f aca="false">IF(IsPro,IF($D2519="","",IF(U2519="","UNKNOWN ITEM",IF(INDEX(Items!$O$5:$O$504,U2519)&lt;0,"NEG STOCK",IF(K2519&lt;INDEX(Items!$P$5:$P$504,U2519),"BELOW COST","OK")))),IF($D2519="","","PRO PLAN"))</f>
        <v/>
      </c>
      <c r="U2519" s="60" t="str">
        <f aca="false">IF(IsPro,IF($D2519="","",IFERROR(MATCH($D2519,Items!$A$5:$A$504,0),"")),"")</f>
        <v/>
      </c>
      <c r="V2519" s="60" t="str">
        <f aca="false">IF(IsPro,IF($C2519="","",IFERROR(MATCH($C2519,Parties!$A$5:$A$304,0),"")),"")</f>
        <v/>
      </c>
      <c r="W2519" s="60" t="str">
        <f aca="false">IF(IsPro,IF($B2519="","",IFERROR(VALUE(SUBSTITUTE($B2519,InvPrefix,"")),0)),"")</f>
        <v/>
      </c>
      <c r="X2519" s="61" t="str">
        <f aca="false">IF(IsPro,IF($D2519="","",IF(OR($H2519="",$H2519="Credit"),0,Q2519)),"")</f>
        <v/>
      </c>
    </row>
    <row r="2520" customFormat="false" ht="15" hidden="false" customHeight="false" outlineLevel="0" collapsed="false">
      <c r="A2520" s="55"/>
      <c r="B2520" s="56"/>
      <c r="C2520" s="56"/>
      <c r="D2520" s="56"/>
      <c r="E2520" s="57"/>
      <c r="F2520" s="58"/>
      <c r="G2520" s="59"/>
      <c r="H2520" s="56"/>
      <c r="I2520" s="56"/>
      <c r="J2520" s="60" t="str">
        <f aca="false">IF(IsPro,IF($D2520="","",IFERROR(INDEX(Items!$D$5:$D$504,U2520),"")),"")</f>
        <v/>
      </c>
      <c r="K2520" s="61" t="str">
        <f aca="false">IF(IsPro,IF($D2520="","",IF($F2520="",IFERROR(INDEX(Items!$H$5:$H$504,U2520),0),$F2520)),"")</f>
        <v/>
      </c>
      <c r="L2520" s="61" t="str">
        <f aca="false">IF(IsPro,IF($D2520="","",ROUND(N($E2520)*K2520*(1-N($G2520)),2)),"")</f>
        <v/>
      </c>
      <c r="M2520" s="62" t="str">
        <f aca="false">IF(IsPro,IF($D2520="","",IFERROR(INDEX(Items!$F$5:$F$504,U2520),0)),"")</f>
        <v/>
      </c>
      <c r="N2520" s="61" t="str">
        <f aca="false">IF(IsPro,IF($D2520="","",IF(AND(V2520&lt;&gt;"",INDEX(Parties!$E$5:$E$304,V2520)&lt;&gt;"",INDEX(Parties!$E$5:$E$304,V2520)&lt;&gt;HomeState),0,ROUND(L2520*M2520/2,2))),"")</f>
        <v/>
      </c>
      <c r="O2520" s="61" t="str">
        <f aca="false">IF(IsPro,IF($D2520="","",N2520),"")</f>
        <v/>
      </c>
      <c r="P2520" s="61" t="str">
        <f aca="false">IF(IsPro,IF($D2520="","",IF(AND(V2520&lt;&gt;"",INDEX(Parties!$E$5:$E$304,V2520)&lt;&gt;"",INDEX(Parties!$E$5:$E$304,V2520)&lt;&gt;HomeState),ROUND(L2520*M2520,2),0)),"")</f>
        <v/>
      </c>
      <c r="Q2520" s="61" t="str">
        <f aca="false">IF(IsPro,IF($D2520="","",L2520+N2520+O2520+P2520),"")</f>
        <v/>
      </c>
      <c r="R2520" s="61" t="str">
        <f aca="false">IF(IsPro,IF($D2520="","",ROUND(N($E2520)*IFERROR(INDEX(Items!$P$5:$P$504,U2520),0),2)),"")</f>
        <v/>
      </c>
      <c r="S2520" s="61" t="str">
        <f aca="false">IF(IsPro,IF($D2520="","",L2520-R2520),"")</f>
        <v/>
      </c>
      <c r="T2520" s="60" t="str">
        <f aca="false">IF(IsPro,IF($D2520="","",IF(U2520="","UNKNOWN ITEM",IF(INDEX(Items!$O$5:$O$504,U2520)&lt;0,"NEG STOCK",IF(K2520&lt;INDEX(Items!$P$5:$P$504,U2520),"BELOW COST","OK")))),IF($D2520="","","PRO PLAN"))</f>
        <v/>
      </c>
      <c r="U2520" s="60" t="str">
        <f aca="false">IF(IsPro,IF($D2520="","",IFERROR(MATCH($D2520,Items!$A$5:$A$504,0),"")),"")</f>
        <v/>
      </c>
      <c r="V2520" s="60" t="str">
        <f aca="false">IF(IsPro,IF($C2520="","",IFERROR(MATCH($C2520,Parties!$A$5:$A$304,0),"")),"")</f>
        <v/>
      </c>
      <c r="W2520" s="60" t="str">
        <f aca="false">IF(IsPro,IF($B2520="","",IFERROR(VALUE(SUBSTITUTE($B2520,InvPrefix,"")),0)),"")</f>
        <v/>
      </c>
      <c r="X2520" s="61" t="str">
        <f aca="false">IF(IsPro,IF($D2520="","",IF(OR($H2520="",$H2520="Credit"),0,Q2520)),"")</f>
        <v/>
      </c>
    </row>
    <row r="2521" customFormat="false" ht="15" hidden="false" customHeight="false" outlineLevel="0" collapsed="false">
      <c r="A2521" s="55"/>
      <c r="B2521" s="56"/>
      <c r="C2521" s="56"/>
      <c r="D2521" s="56"/>
      <c r="E2521" s="57"/>
      <c r="F2521" s="58"/>
      <c r="G2521" s="59"/>
      <c r="H2521" s="56"/>
      <c r="I2521" s="56"/>
      <c r="J2521" s="60" t="str">
        <f aca="false">IF(IsPro,IF($D2521="","",IFERROR(INDEX(Items!$D$5:$D$504,U2521),"")),"")</f>
        <v/>
      </c>
      <c r="K2521" s="61" t="str">
        <f aca="false">IF(IsPro,IF($D2521="","",IF($F2521="",IFERROR(INDEX(Items!$H$5:$H$504,U2521),0),$F2521)),"")</f>
        <v/>
      </c>
      <c r="L2521" s="61" t="str">
        <f aca="false">IF(IsPro,IF($D2521="","",ROUND(N($E2521)*K2521*(1-N($G2521)),2)),"")</f>
        <v/>
      </c>
      <c r="M2521" s="62" t="str">
        <f aca="false">IF(IsPro,IF($D2521="","",IFERROR(INDEX(Items!$F$5:$F$504,U2521),0)),"")</f>
        <v/>
      </c>
      <c r="N2521" s="61" t="str">
        <f aca="false">IF(IsPro,IF($D2521="","",IF(AND(V2521&lt;&gt;"",INDEX(Parties!$E$5:$E$304,V2521)&lt;&gt;"",INDEX(Parties!$E$5:$E$304,V2521)&lt;&gt;HomeState),0,ROUND(L2521*M2521/2,2))),"")</f>
        <v/>
      </c>
      <c r="O2521" s="61" t="str">
        <f aca="false">IF(IsPro,IF($D2521="","",N2521),"")</f>
        <v/>
      </c>
      <c r="P2521" s="61" t="str">
        <f aca="false">IF(IsPro,IF($D2521="","",IF(AND(V2521&lt;&gt;"",INDEX(Parties!$E$5:$E$304,V2521)&lt;&gt;"",INDEX(Parties!$E$5:$E$304,V2521)&lt;&gt;HomeState),ROUND(L2521*M2521,2),0)),"")</f>
        <v/>
      </c>
      <c r="Q2521" s="61" t="str">
        <f aca="false">IF(IsPro,IF($D2521="","",L2521+N2521+O2521+P2521),"")</f>
        <v/>
      </c>
      <c r="R2521" s="61" t="str">
        <f aca="false">IF(IsPro,IF($D2521="","",ROUND(N($E2521)*IFERROR(INDEX(Items!$P$5:$P$504,U2521),0),2)),"")</f>
        <v/>
      </c>
      <c r="S2521" s="61" t="str">
        <f aca="false">IF(IsPro,IF($D2521="","",L2521-R2521),"")</f>
        <v/>
      </c>
      <c r="T2521" s="60" t="str">
        <f aca="false">IF(IsPro,IF($D2521="","",IF(U2521="","UNKNOWN ITEM",IF(INDEX(Items!$O$5:$O$504,U2521)&lt;0,"NEG STOCK",IF(K2521&lt;INDEX(Items!$P$5:$P$504,U2521),"BELOW COST","OK")))),IF($D2521="","","PRO PLAN"))</f>
        <v/>
      </c>
      <c r="U2521" s="60" t="str">
        <f aca="false">IF(IsPro,IF($D2521="","",IFERROR(MATCH($D2521,Items!$A$5:$A$504,0),"")),"")</f>
        <v/>
      </c>
      <c r="V2521" s="60" t="str">
        <f aca="false">IF(IsPro,IF($C2521="","",IFERROR(MATCH($C2521,Parties!$A$5:$A$304,0),"")),"")</f>
        <v/>
      </c>
      <c r="W2521" s="60" t="str">
        <f aca="false">IF(IsPro,IF($B2521="","",IFERROR(VALUE(SUBSTITUTE($B2521,InvPrefix,"")),0)),"")</f>
        <v/>
      </c>
      <c r="X2521" s="61" t="str">
        <f aca="false">IF(IsPro,IF($D2521="","",IF(OR($H2521="",$H2521="Credit"),0,Q2521)),"")</f>
        <v/>
      </c>
    </row>
    <row r="2522" customFormat="false" ht="15" hidden="false" customHeight="false" outlineLevel="0" collapsed="false">
      <c r="A2522" s="55"/>
      <c r="B2522" s="56"/>
      <c r="C2522" s="56"/>
      <c r="D2522" s="56"/>
      <c r="E2522" s="57"/>
      <c r="F2522" s="58"/>
      <c r="G2522" s="59"/>
      <c r="H2522" s="56"/>
      <c r="I2522" s="56"/>
      <c r="J2522" s="60" t="str">
        <f aca="false">IF(IsPro,IF($D2522="","",IFERROR(INDEX(Items!$D$5:$D$504,U2522),"")),"")</f>
        <v/>
      </c>
      <c r="K2522" s="61" t="str">
        <f aca="false">IF(IsPro,IF($D2522="","",IF($F2522="",IFERROR(INDEX(Items!$H$5:$H$504,U2522),0),$F2522)),"")</f>
        <v/>
      </c>
      <c r="L2522" s="61" t="str">
        <f aca="false">IF(IsPro,IF($D2522="","",ROUND(N($E2522)*K2522*(1-N($G2522)),2)),"")</f>
        <v/>
      </c>
      <c r="M2522" s="62" t="str">
        <f aca="false">IF(IsPro,IF($D2522="","",IFERROR(INDEX(Items!$F$5:$F$504,U2522),0)),"")</f>
        <v/>
      </c>
      <c r="N2522" s="61" t="str">
        <f aca="false">IF(IsPro,IF($D2522="","",IF(AND(V2522&lt;&gt;"",INDEX(Parties!$E$5:$E$304,V2522)&lt;&gt;"",INDEX(Parties!$E$5:$E$304,V2522)&lt;&gt;HomeState),0,ROUND(L2522*M2522/2,2))),"")</f>
        <v/>
      </c>
      <c r="O2522" s="61" t="str">
        <f aca="false">IF(IsPro,IF($D2522="","",N2522),"")</f>
        <v/>
      </c>
      <c r="P2522" s="61" t="str">
        <f aca="false">IF(IsPro,IF($D2522="","",IF(AND(V2522&lt;&gt;"",INDEX(Parties!$E$5:$E$304,V2522)&lt;&gt;"",INDEX(Parties!$E$5:$E$304,V2522)&lt;&gt;HomeState),ROUND(L2522*M2522,2),0)),"")</f>
        <v/>
      </c>
      <c r="Q2522" s="61" t="str">
        <f aca="false">IF(IsPro,IF($D2522="","",L2522+N2522+O2522+P2522),"")</f>
        <v/>
      </c>
      <c r="R2522" s="61" t="str">
        <f aca="false">IF(IsPro,IF($D2522="","",ROUND(N($E2522)*IFERROR(INDEX(Items!$P$5:$P$504,U2522),0),2)),"")</f>
        <v/>
      </c>
      <c r="S2522" s="61" t="str">
        <f aca="false">IF(IsPro,IF($D2522="","",L2522-R2522),"")</f>
        <v/>
      </c>
      <c r="T2522" s="60" t="str">
        <f aca="false">IF(IsPro,IF($D2522="","",IF(U2522="","UNKNOWN ITEM",IF(INDEX(Items!$O$5:$O$504,U2522)&lt;0,"NEG STOCK",IF(K2522&lt;INDEX(Items!$P$5:$P$504,U2522),"BELOW COST","OK")))),IF($D2522="","","PRO PLAN"))</f>
        <v/>
      </c>
      <c r="U2522" s="60" t="str">
        <f aca="false">IF(IsPro,IF($D2522="","",IFERROR(MATCH($D2522,Items!$A$5:$A$504,0),"")),"")</f>
        <v/>
      </c>
      <c r="V2522" s="60" t="str">
        <f aca="false">IF(IsPro,IF($C2522="","",IFERROR(MATCH($C2522,Parties!$A$5:$A$304,0),"")),"")</f>
        <v/>
      </c>
      <c r="W2522" s="60" t="str">
        <f aca="false">IF(IsPro,IF($B2522="","",IFERROR(VALUE(SUBSTITUTE($B2522,InvPrefix,"")),0)),"")</f>
        <v/>
      </c>
      <c r="X2522" s="61" t="str">
        <f aca="false">IF(IsPro,IF($D2522="","",IF(OR($H2522="",$H2522="Credit"),0,Q2522)),"")</f>
        <v/>
      </c>
    </row>
    <row r="2523" customFormat="false" ht="15" hidden="false" customHeight="false" outlineLevel="0" collapsed="false">
      <c r="A2523" s="55"/>
      <c r="B2523" s="56"/>
      <c r="C2523" s="56"/>
      <c r="D2523" s="56"/>
      <c r="E2523" s="57"/>
      <c r="F2523" s="58"/>
      <c r="G2523" s="59"/>
      <c r="H2523" s="56"/>
      <c r="I2523" s="56"/>
      <c r="J2523" s="60" t="str">
        <f aca="false">IF(IsPro,IF($D2523="","",IFERROR(INDEX(Items!$D$5:$D$504,U2523),"")),"")</f>
        <v/>
      </c>
      <c r="K2523" s="61" t="str">
        <f aca="false">IF(IsPro,IF($D2523="","",IF($F2523="",IFERROR(INDEX(Items!$H$5:$H$504,U2523),0),$F2523)),"")</f>
        <v/>
      </c>
      <c r="L2523" s="61" t="str">
        <f aca="false">IF(IsPro,IF($D2523="","",ROUND(N($E2523)*K2523*(1-N($G2523)),2)),"")</f>
        <v/>
      </c>
      <c r="M2523" s="62" t="str">
        <f aca="false">IF(IsPro,IF($D2523="","",IFERROR(INDEX(Items!$F$5:$F$504,U2523),0)),"")</f>
        <v/>
      </c>
      <c r="N2523" s="61" t="str">
        <f aca="false">IF(IsPro,IF($D2523="","",IF(AND(V2523&lt;&gt;"",INDEX(Parties!$E$5:$E$304,V2523)&lt;&gt;"",INDEX(Parties!$E$5:$E$304,V2523)&lt;&gt;HomeState),0,ROUND(L2523*M2523/2,2))),"")</f>
        <v/>
      </c>
      <c r="O2523" s="61" t="str">
        <f aca="false">IF(IsPro,IF($D2523="","",N2523),"")</f>
        <v/>
      </c>
      <c r="P2523" s="61" t="str">
        <f aca="false">IF(IsPro,IF($D2523="","",IF(AND(V2523&lt;&gt;"",INDEX(Parties!$E$5:$E$304,V2523)&lt;&gt;"",INDEX(Parties!$E$5:$E$304,V2523)&lt;&gt;HomeState),ROUND(L2523*M2523,2),0)),"")</f>
        <v/>
      </c>
      <c r="Q2523" s="61" t="str">
        <f aca="false">IF(IsPro,IF($D2523="","",L2523+N2523+O2523+P2523),"")</f>
        <v/>
      </c>
      <c r="R2523" s="61" t="str">
        <f aca="false">IF(IsPro,IF($D2523="","",ROUND(N($E2523)*IFERROR(INDEX(Items!$P$5:$P$504,U2523),0),2)),"")</f>
        <v/>
      </c>
      <c r="S2523" s="61" t="str">
        <f aca="false">IF(IsPro,IF($D2523="","",L2523-R2523),"")</f>
        <v/>
      </c>
      <c r="T2523" s="60" t="str">
        <f aca="false">IF(IsPro,IF($D2523="","",IF(U2523="","UNKNOWN ITEM",IF(INDEX(Items!$O$5:$O$504,U2523)&lt;0,"NEG STOCK",IF(K2523&lt;INDEX(Items!$P$5:$P$504,U2523),"BELOW COST","OK")))),IF($D2523="","","PRO PLAN"))</f>
        <v/>
      </c>
      <c r="U2523" s="60" t="str">
        <f aca="false">IF(IsPro,IF($D2523="","",IFERROR(MATCH($D2523,Items!$A$5:$A$504,0),"")),"")</f>
        <v/>
      </c>
      <c r="V2523" s="60" t="str">
        <f aca="false">IF(IsPro,IF($C2523="","",IFERROR(MATCH($C2523,Parties!$A$5:$A$304,0),"")),"")</f>
        <v/>
      </c>
      <c r="W2523" s="60" t="str">
        <f aca="false">IF(IsPro,IF($B2523="","",IFERROR(VALUE(SUBSTITUTE($B2523,InvPrefix,"")),0)),"")</f>
        <v/>
      </c>
      <c r="X2523" s="61" t="str">
        <f aca="false">IF(IsPro,IF($D2523="","",IF(OR($H2523="",$H2523="Credit"),0,Q2523)),"")</f>
        <v/>
      </c>
    </row>
    <row r="2524" customFormat="false" ht="15" hidden="false" customHeight="false" outlineLevel="0" collapsed="false">
      <c r="A2524" s="55"/>
      <c r="B2524" s="56"/>
      <c r="C2524" s="56"/>
      <c r="D2524" s="56"/>
      <c r="E2524" s="57"/>
      <c r="F2524" s="58"/>
      <c r="G2524" s="59"/>
      <c r="H2524" s="56"/>
      <c r="I2524" s="56"/>
      <c r="J2524" s="60" t="str">
        <f aca="false">IF(IsPro,IF($D2524="","",IFERROR(INDEX(Items!$D$5:$D$504,U2524),"")),"")</f>
        <v/>
      </c>
      <c r="K2524" s="61" t="str">
        <f aca="false">IF(IsPro,IF($D2524="","",IF($F2524="",IFERROR(INDEX(Items!$H$5:$H$504,U2524),0),$F2524)),"")</f>
        <v/>
      </c>
      <c r="L2524" s="61" t="str">
        <f aca="false">IF(IsPro,IF($D2524="","",ROUND(N($E2524)*K2524*(1-N($G2524)),2)),"")</f>
        <v/>
      </c>
      <c r="M2524" s="62" t="str">
        <f aca="false">IF(IsPro,IF($D2524="","",IFERROR(INDEX(Items!$F$5:$F$504,U2524),0)),"")</f>
        <v/>
      </c>
      <c r="N2524" s="61" t="str">
        <f aca="false">IF(IsPro,IF($D2524="","",IF(AND(V2524&lt;&gt;"",INDEX(Parties!$E$5:$E$304,V2524)&lt;&gt;"",INDEX(Parties!$E$5:$E$304,V2524)&lt;&gt;HomeState),0,ROUND(L2524*M2524/2,2))),"")</f>
        <v/>
      </c>
      <c r="O2524" s="61" t="str">
        <f aca="false">IF(IsPro,IF($D2524="","",N2524),"")</f>
        <v/>
      </c>
      <c r="P2524" s="61" t="str">
        <f aca="false">IF(IsPro,IF($D2524="","",IF(AND(V2524&lt;&gt;"",INDEX(Parties!$E$5:$E$304,V2524)&lt;&gt;"",INDEX(Parties!$E$5:$E$304,V2524)&lt;&gt;HomeState),ROUND(L2524*M2524,2),0)),"")</f>
        <v/>
      </c>
      <c r="Q2524" s="61" t="str">
        <f aca="false">IF(IsPro,IF($D2524="","",L2524+N2524+O2524+P2524),"")</f>
        <v/>
      </c>
      <c r="R2524" s="61" t="str">
        <f aca="false">IF(IsPro,IF($D2524="","",ROUND(N($E2524)*IFERROR(INDEX(Items!$P$5:$P$504,U2524),0),2)),"")</f>
        <v/>
      </c>
      <c r="S2524" s="61" t="str">
        <f aca="false">IF(IsPro,IF($D2524="","",L2524-R2524),"")</f>
        <v/>
      </c>
      <c r="T2524" s="60" t="str">
        <f aca="false">IF(IsPro,IF($D2524="","",IF(U2524="","UNKNOWN ITEM",IF(INDEX(Items!$O$5:$O$504,U2524)&lt;0,"NEG STOCK",IF(K2524&lt;INDEX(Items!$P$5:$P$504,U2524),"BELOW COST","OK")))),IF($D2524="","","PRO PLAN"))</f>
        <v/>
      </c>
      <c r="U2524" s="60" t="str">
        <f aca="false">IF(IsPro,IF($D2524="","",IFERROR(MATCH($D2524,Items!$A$5:$A$504,0),"")),"")</f>
        <v/>
      </c>
      <c r="V2524" s="60" t="str">
        <f aca="false">IF(IsPro,IF($C2524="","",IFERROR(MATCH($C2524,Parties!$A$5:$A$304,0),"")),"")</f>
        <v/>
      </c>
      <c r="W2524" s="60" t="str">
        <f aca="false">IF(IsPro,IF($B2524="","",IFERROR(VALUE(SUBSTITUTE($B2524,InvPrefix,"")),0)),"")</f>
        <v/>
      </c>
      <c r="X2524" s="61" t="str">
        <f aca="false">IF(IsPro,IF($D2524="","",IF(OR($H2524="",$H2524="Credit"),0,Q2524)),"")</f>
        <v/>
      </c>
    </row>
    <row r="2525" customFormat="false" ht="15" hidden="false" customHeight="false" outlineLevel="0" collapsed="false">
      <c r="A2525" s="55"/>
      <c r="B2525" s="56"/>
      <c r="C2525" s="56"/>
      <c r="D2525" s="56"/>
      <c r="E2525" s="57"/>
      <c r="F2525" s="58"/>
      <c r="G2525" s="59"/>
      <c r="H2525" s="56"/>
      <c r="I2525" s="56"/>
      <c r="J2525" s="60" t="str">
        <f aca="false">IF(IsPro,IF($D2525="","",IFERROR(INDEX(Items!$D$5:$D$504,U2525),"")),"")</f>
        <v/>
      </c>
      <c r="K2525" s="61" t="str">
        <f aca="false">IF(IsPro,IF($D2525="","",IF($F2525="",IFERROR(INDEX(Items!$H$5:$H$504,U2525),0),$F2525)),"")</f>
        <v/>
      </c>
      <c r="L2525" s="61" t="str">
        <f aca="false">IF(IsPro,IF($D2525="","",ROUND(N($E2525)*K2525*(1-N($G2525)),2)),"")</f>
        <v/>
      </c>
      <c r="M2525" s="62" t="str">
        <f aca="false">IF(IsPro,IF($D2525="","",IFERROR(INDEX(Items!$F$5:$F$504,U2525),0)),"")</f>
        <v/>
      </c>
      <c r="N2525" s="61" t="str">
        <f aca="false">IF(IsPro,IF($D2525="","",IF(AND(V2525&lt;&gt;"",INDEX(Parties!$E$5:$E$304,V2525)&lt;&gt;"",INDEX(Parties!$E$5:$E$304,V2525)&lt;&gt;HomeState),0,ROUND(L2525*M2525/2,2))),"")</f>
        <v/>
      </c>
      <c r="O2525" s="61" t="str">
        <f aca="false">IF(IsPro,IF($D2525="","",N2525),"")</f>
        <v/>
      </c>
      <c r="P2525" s="61" t="str">
        <f aca="false">IF(IsPro,IF($D2525="","",IF(AND(V2525&lt;&gt;"",INDEX(Parties!$E$5:$E$304,V2525)&lt;&gt;"",INDEX(Parties!$E$5:$E$304,V2525)&lt;&gt;HomeState),ROUND(L2525*M2525,2),0)),"")</f>
        <v/>
      </c>
      <c r="Q2525" s="61" t="str">
        <f aca="false">IF(IsPro,IF($D2525="","",L2525+N2525+O2525+P2525),"")</f>
        <v/>
      </c>
      <c r="R2525" s="61" t="str">
        <f aca="false">IF(IsPro,IF($D2525="","",ROUND(N($E2525)*IFERROR(INDEX(Items!$P$5:$P$504,U2525),0),2)),"")</f>
        <v/>
      </c>
      <c r="S2525" s="61" t="str">
        <f aca="false">IF(IsPro,IF($D2525="","",L2525-R2525),"")</f>
        <v/>
      </c>
      <c r="T2525" s="60" t="str">
        <f aca="false">IF(IsPro,IF($D2525="","",IF(U2525="","UNKNOWN ITEM",IF(INDEX(Items!$O$5:$O$504,U2525)&lt;0,"NEG STOCK",IF(K2525&lt;INDEX(Items!$P$5:$P$504,U2525),"BELOW COST","OK")))),IF($D2525="","","PRO PLAN"))</f>
        <v/>
      </c>
      <c r="U2525" s="60" t="str">
        <f aca="false">IF(IsPro,IF($D2525="","",IFERROR(MATCH($D2525,Items!$A$5:$A$504,0),"")),"")</f>
        <v/>
      </c>
      <c r="V2525" s="60" t="str">
        <f aca="false">IF(IsPro,IF($C2525="","",IFERROR(MATCH($C2525,Parties!$A$5:$A$304,0),"")),"")</f>
        <v/>
      </c>
      <c r="W2525" s="60" t="str">
        <f aca="false">IF(IsPro,IF($B2525="","",IFERROR(VALUE(SUBSTITUTE($B2525,InvPrefix,"")),0)),"")</f>
        <v/>
      </c>
      <c r="X2525" s="61" t="str">
        <f aca="false">IF(IsPro,IF($D2525="","",IF(OR($H2525="",$H2525="Credit"),0,Q2525)),"")</f>
        <v/>
      </c>
    </row>
    <row r="2526" customFormat="false" ht="15" hidden="false" customHeight="false" outlineLevel="0" collapsed="false">
      <c r="A2526" s="55"/>
      <c r="B2526" s="56"/>
      <c r="C2526" s="56"/>
      <c r="D2526" s="56"/>
      <c r="E2526" s="57"/>
      <c r="F2526" s="58"/>
      <c r="G2526" s="59"/>
      <c r="H2526" s="56"/>
      <c r="I2526" s="56"/>
      <c r="J2526" s="60" t="str">
        <f aca="false">IF(IsPro,IF($D2526="","",IFERROR(INDEX(Items!$D$5:$D$504,U2526),"")),"")</f>
        <v/>
      </c>
      <c r="K2526" s="61" t="str">
        <f aca="false">IF(IsPro,IF($D2526="","",IF($F2526="",IFERROR(INDEX(Items!$H$5:$H$504,U2526),0),$F2526)),"")</f>
        <v/>
      </c>
      <c r="L2526" s="61" t="str">
        <f aca="false">IF(IsPro,IF($D2526="","",ROUND(N($E2526)*K2526*(1-N($G2526)),2)),"")</f>
        <v/>
      </c>
      <c r="M2526" s="62" t="str">
        <f aca="false">IF(IsPro,IF($D2526="","",IFERROR(INDEX(Items!$F$5:$F$504,U2526),0)),"")</f>
        <v/>
      </c>
      <c r="N2526" s="61" t="str">
        <f aca="false">IF(IsPro,IF($D2526="","",IF(AND(V2526&lt;&gt;"",INDEX(Parties!$E$5:$E$304,V2526)&lt;&gt;"",INDEX(Parties!$E$5:$E$304,V2526)&lt;&gt;HomeState),0,ROUND(L2526*M2526/2,2))),"")</f>
        <v/>
      </c>
      <c r="O2526" s="61" t="str">
        <f aca="false">IF(IsPro,IF($D2526="","",N2526),"")</f>
        <v/>
      </c>
      <c r="P2526" s="61" t="str">
        <f aca="false">IF(IsPro,IF($D2526="","",IF(AND(V2526&lt;&gt;"",INDEX(Parties!$E$5:$E$304,V2526)&lt;&gt;"",INDEX(Parties!$E$5:$E$304,V2526)&lt;&gt;HomeState),ROUND(L2526*M2526,2),0)),"")</f>
        <v/>
      </c>
      <c r="Q2526" s="61" t="str">
        <f aca="false">IF(IsPro,IF($D2526="","",L2526+N2526+O2526+P2526),"")</f>
        <v/>
      </c>
      <c r="R2526" s="61" t="str">
        <f aca="false">IF(IsPro,IF($D2526="","",ROUND(N($E2526)*IFERROR(INDEX(Items!$P$5:$P$504,U2526),0),2)),"")</f>
        <v/>
      </c>
      <c r="S2526" s="61" t="str">
        <f aca="false">IF(IsPro,IF($D2526="","",L2526-R2526),"")</f>
        <v/>
      </c>
      <c r="T2526" s="60" t="str">
        <f aca="false">IF(IsPro,IF($D2526="","",IF(U2526="","UNKNOWN ITEM",IF(INDEX(Items!$O$5:$O$504,U2526)&lt;0,"NEG STOCK",IF(K2526&lt;INDEX(Items!$P$5:$P$504,U2526),"BELOW COST","OK")))),IF($D2526="","","PRO PLAN"))</f>
        <v/>
      </c>
      <c r="U2526" s="60" t="str">
        <f aca="false">IF(IsPro,IF($D2526="","",IFERROR(MATCH($D2526,Items!$A$5:$A$504,0),"")),"")</f>
        <v/>
      </c>
      <c r="V2526" s="60" t="str">
        <f aca="false">IF(IsPro,IF($C2526="","",IFERROR(MATCH($C2526,Parties!$A$5:$A$304,0),"")),"")</f>
        <v/>
      </c>
      <c r="W2526" s="60" t="str">
        <f aca="false">IF(IsPro,IF($B2526="","",IFERROR(VALUE(SUBSTITUTE($B2526,InvPrefix,"")),0)),"")</f>
        <v/>
      </c>
      <c r="X2526" s="61" t="str">
        <f aca="false">IF(IsPro,IF($D2526="","",IF(OR($H2526="",$H2526="Credit"),0,Q2526)),"")</f>
        <v/>
      </c>
    </row>
    <row r="2527" customFormat="false" ht="15" hidden="false" customHeight="false" outlineLevel="0" collapsed="false">
      <c r="A2527" s="55"/>
      <c r="B2527" s="56"/>
      <c r="C2527" s="56"/>
      <c r="D2527" s="56"/>
      <c r="E2527" s="57"/>
      <c r="F2527" s="58"/>
      <c r="G2527" s="59"/>
      <c r="H2527" s="56"/>
      <c r="I2527" s="56"/>
      <c r="J2527" s="60" t="str">
        <f aca="false">IF(IsPro,IF($D2527="","",IFERROR(INDEX(Items!$D$5:$D$504,U2527),"")),"")</f>
        <v/>
      </c>
      <c r="K2527" s="61" t="str">
        <f aca="false">IF(IsPro,IF($D2527="","",IF($F2527="",IFERROR(INDEX(Items!$H$5:$H$504,U2527),0),$F2527)),"")</f>
        <v/>
      </c>
      <c r="L2527" s="61" t="str">
        <f aca="false">IF(IsPro,IF($D2527="","",ROUND(N($E2527)*K2527*(1-N($G2527)),2)),"")</f>
        <v/>
      </c>
      <c r="M2527" s="62" t="str">
        <f aca="false">IF(IsPro,IF($D2527="","",IFERROR(INDEX(Items!$F$5:$F$504,U2527),0)),"")</f>
        <v/>
      </c>
      <c r="N2527" s="61" t="str">
        <f aca="false">IF(IsPro,IF($D2527="","",IF(AND(V2527&lt;&gt;"",INDEX(Parties!$E$5:$E$304,V2527)&lt;&gt;"",INDEX(Parties!$E$5:$E$304,V2527)&lt;&gt;HomeState),0,ROUND(L2527*M2527/2,2))),"")</f>
        <v/>
      </c>
      <c r="O2527" s="61" t="str">
        <f aca="false">IF(IsPro,IF($D2527="","",N2527),"")</f>
        <v/>
      </c>
      <c r="P2527" s="61" t="str">
        <f aca="false">IF(IsPro,IF($D2527="","",IF(AND(V2527&lt;&gt;"",INDEX(Parties!$E$5:$E$304,V2527)&lt;&gt;"",INDEX(Parties!$E$5:$E$304,V2527)&lt;&gt;HomeState),ROUND(L2527*M2527,2),0)),"")</f>
        <v/>
      </c>
      <c r="Q2527" s="61" t="str">
        <f aca="false">IF(IsPro,IF($D2527="","",L2527+N2527+O2527+P2527),"")</f>
        <v/>
      </c>
      <c r="R2527" s="61" t="str">
        <f aca="false">IF(IsPro,IF($D2527="","",ROUND(N($E2527)*IFERROR(INDEX(Items!$P$5:$P$504,U2527),0),2)),"")</f>
        <v/>
      </c>
      <c r="S2527" s="61" t="str">
        <f aca="false">IF(IsPro,IF($D2527="","",L2527-R2527),"")</f>
        <v/>
      </c>
      <c r="T2527" s="60" t="str">
        <f aca="false">IF(IsPro,IF($D2527="","",IF(U2527="","UNKNOWN ITEM",IF(INDEX(Items!$O$5:$O$504,U2527)&lt;0,"NEG STOCK",IF(K2527&lt;INDEX(Items!$P$5:$P$504,U2527),"BELOW COST","OK")))),IF($D2527="","","PRO PLAN"))</f>
        <v/>
      </c>
      <c r="U2527" s="60" t="str">
        <f aca="false">IF(IsPro,IF($D2527="","",IFERROR(MATCH($D2527,Items!$A$5:$A$504,0),"")),"")</f>
        <v/>
      </c>
      <c r="V2527" s="60" t="str">
        <f aca="false">IF(IsPro,IF($C2527="","",IFERROR(MATCH($C2527,Parties!$A$5:$A$304,0),"")),"")</f>
        <v/>
      </c>
      <c r="W2527" s="60" t="str">
        <f aca="false">IF(IsPro,IF($B2527="","",IFERROR(VALUE(SUBSTITUTE($B2527,InvPrefix,"")),0)),"")</f>
        <v/>
      </c>
      <c r="X2527" s="61" t="str">
        <f aca="false">IF(IsPro,IF($D2527="","",IF(OR($H2527="",$H2527="Credit"),0,Q2527)),"")</f>
        <v/>
      </c>
    </row>
    <row r="2528" customFormat="false" ht="15" hidden="false" customHeight="false" outlineLevel="0" collapsed="false">
      <c r="A2528" s="55"/>
      <c r="B2528" s="56"/>
      <c r="C2528" s="56"/>
      <c r="D2528" s="56"/>
      <c r="E2528" s="57"/>
      <c r="F2528" s="58"/>
      <c r="G2528" s="59"/>
      <c r="H2528" s="56"/>
      <c r="I2528" s="56"/>
      <c r="J2528" s="60" t="str">
        <f aca="false">IF(IsPro,IF($D2528="","",IFERROR(INDEX(Items!$D$5:$D$504,U2528),"")),"")</f>
        <v/>
      </c>
      <c r="K2528" s="61" t="str">
        <f aca="false">IF(IsPro,IF($D2528="","",IF($F2528="",IFERROR(INDEX(Items!$H$5:$H$504,U2528),0),$F2528)),"")</f>
        <v/>
      </c>
      <c r="L2528" s="61" t="str">
        <f aca="false">IF(IsPro,IF($D2528="","",ROUND(N($E2528)*K2528*(1-N($G2528)),2)),"")</f>
        <v/>
      </c>
      <c r="M2528" s="62" t="str">
        <f aca="false">IF(IsPro,IF($D2528="","",IFERROR(INDEX(Items!$F$5:$F$504,U2528),0)),"")</f>
        <v/>
      </c>
      <c r="N2528" s="61" t="str">
        <f aca="false">IF(IsPro,IF($D2528="","",IF(AND(V2528&lt;&gt;"",INDEX(Parties!$E$5:$E$304,V2528)&lt;&gt;"",INDEX(Parties!$E$5:$E$304,V2528)&lt;&gt;HomeState),0,ROUND(L2528*M2528/2,2))),"")</f>
        <v/>
      </c>
      <c r="O2528" s="61" t="str">
        <f aca="false">IF(IsPro,IF($D2528="","",N2528),"")</f>
        <v/>
      </c>
      <c r="P2528" s="61" t="str">
        <f aca="false">IF(IsPro,IF($D2528="","",IF(AND(V2528&lt;&gt;"",INDEX(Parties!$E$5:$E$304,V2528)&lt;&gt;"",INDEX(Parties!$E$5:$E$304,V2528)&lt;&gt;HomeState),ROUND(L2528*M2528,2),0)),"")</f>
        <v/>
      </c>
      <c r="Q2528" s="61" t="str">
        <f aca="false">IF(IsPro,IF($D2528="","",L2528+N2528+O2528+P2528),"")</f>
        <v/>
      </c>
      <c r="R2528" s="61" t="str">
        <f aca="false">IF(IsPro,IF($D2528="","",ROUND(N($E2528)*IFERROR(INDEX(Items!$P$5:$P$504,U2528),0),2)),"")</f>
        <v/>
      </c>
      <c r="S2528" s="61" t="str">
        <f aca="false">IF(IsPro,IF($D2528="","",L2528-R2528),"")</f>
        <v/>
      </c>
      <c r="T2528" s="60" t="str">
        <f aca="false">IF(IsPro,IF($D2528="","",IF(U2528="","UNKNOWN ITEM",IF(INDEX(Items!$O$5:$O$504,U2528)&lt;0,"NEG STOCK",IF(K2528&lt;INDEX(Items!$P$5:$P$504,U2528),"BELOW COST","OK")))),IF($D2528="","","PRO PLAN"))</f>
        <v/>
      </c>
      <c r="U2528" s="60" t="str">
        <f aca="false">IF(IsPro,IF($D2528="","",IFERROR(MATCH($D2528,Items!$A$5:$A$504,0),"")),"")</f>
        <v/>
      </c>
      <c r="V2528" s="60" t="str">
        <f aca="false">IF(IsPro,IF($C2528="","",IFERROR(MATCH($C2528,Parties!$A$5:$A$304,0),"")),"")</f>
        <v/>
      </c>
      <c r="W2528" s="60" t="str">
        <f aca="false">IF(IsPro,IF($B2528="","",IFERROR(VALUE(SUBSTITUTE($B2528,InvPrefix,"")),0)),"")</f>
        <v/>
      </c>
      <c r="X2528" s="61" t="str">
        <f aca="false">IF(IsPro,IF($D2528="","",IF(OR($H2528="",$H2528="Credit"),0,Q2528)),"")</f>
        <v/>
      </c>
    </row>
    <row r="2529" customFormat="false" ht="15" hidden="false" customHeight="false" outlineLevel="0" collapsed="false">
      <c r="A2529" s="55"/>
      <c r="B2529" s="56"/>
      <c r="C2529" s="56"/>
      <c r="D2529" s="56"/>
      <c r="E2529" s="57"/>
      <c r="F2529" s="58"/>
      <c r="G2529" s="59"/>
      <c r="H2529" s="56"/>
      <c r="I2529" s="56"/>
      <c r="J2529" s="60" t="str">
        <f aca="false">IF(IsPro,IF($D2529="","",IFERROR(INDEX(Items!$D$5:$D$504,U2529),"")),"")</f>
        <v/>
      </c>
      <c r="K2529" s="61" t="str">
        <f aca="false">IF(IsPro,IF($D2529="","",IF($F2529="",IFERROR(INDEX(Items!$H$5:$H$504,U2529),0),$F2529)),"")</f>
        <v/>
      </c>
      <c r="L2529" s="61" t="str">
        <f aca="false">IF(IsPro,IF($D2529="","",ROUND(N($E2529)*K2529*(1-N($G2529)),2)),"")</f>
        <v/>
      </c>
      <c r="M2529" s="62" t="str">
        <f aca="false">IF(IsPro,IF($D2529="","",IFERROR(INDEX(Items!$F$5:$F$504,U2529),0)),"")</f>
        <v/>
      </c>
      <c r="N2529" s="61" t="str">
        <f aca="false">IF(IsPro,IF($D2529="","",IF(AND(V2529&lt;&gt;"",INDEX(Parties!$E$5:$E$304,V2529)&lt;&gt;"",INDEX(Parties!$E$5:$E$304,V2529)&lt;&gt;HomeState),0,ROUND(L2529*M2529/2,2))),"")</f>
        <v/>
      </c>
      <c r="O2529" s="61" t="str">
        <f aca="false">IF(IsPro,IF($D2529="","",N2529),"")</f>
        <v/>
      </c>
      <c r="P2529" s="61" t="str">
        <f aca="false">IF(IsPro,IF($D2529="","",IF(AND(V2529&lt;&gt;"",INDEX(Parties!$E$5:$E$304,V2529)&lt;&gt;"",INDEX(Parties!$E$5:$E$304,V2529)&lt;&gt;HomeState),ROUND(L2529*M2529,2),0)),"")</f>
        <v/>
      </c>
      <c r="Q2529" s="61" t="str">
        <f aca="false">IF(IsPro,IF($D2529="","",L2529+N2529+O2529+P2529),"")</f>
        <v/>
      </c>
      <c r="R2529" s="61" t="str">
        <f aca="false">IF(IsPro,IF($D2529="","",ROUND(N($E2529)*IFERROR(INDEX(Items!$P$5:$P$504,U2529),0),2)),"")</f>
        <v/>
      </c>
      <c r="S2529" s="61" t="str">
        <f aca="false">IF(IsPro,IF($D2529="","",L2529-R2529),"")</f>
        <v/>
      </c>
      <c r="T2529" s="60" t="str">
        <f aca="false">IF(IsPro,IF($D2529="","",IF(U2529="","UNKNOWN ITEM",IF(INDEX(Items!$O$5:$O$504,U2529)&lt;0,"NEG STOCK",IF(K2529&lt;INDEX(Items!$P$5:$P$504,U2529),"BELOW COST","OK")))),IF($D2529="","","PRO PLAN"))</f>
        <v/>
      </c>
      <c r="U2529" s="60" t="str">
        <f aca="false">IF(IsPro,IF($D2529="","",IFERROR(MATCH($D2529,Items!$A$5:$A$504,0),"")),"")</f>
        <v/>
      </c>
      <c r="V2529" s="60" t="str">
        <f aca="false">IF(IsPro,IF($C2529="","",IFERROR(MATCH($C2529,Parties!$A$5:$A$304,0),"")),"")</f>
        <v/>
      </c>
      <c r="W2529" s="60" t="str">
        <f aca="false">IF(IsPro,IF($B2529="","",IFERROR(VALUE(SUBSTITUTE($B2529,InvPrefix,"")),0)),"")</f>
        <v/>
      </c>
      <c r="X2529" s="61" t="str">
        <f aca="false">IF(IsPro,IF($D2529="","",IF(OR($H2529="",$H2529="Credit"),0,Q2529)),"")</f>
        <v/>
      </c>
    </row>
    <row r="2530" customFormat="false" ht="15" hidden="false" customHeight="false" outlineLevel="0" collapsed="false">
      <c r="A2530" s="55"/>
      <c r="B2530" s="56"/>
      <c r="C2530" s="56"/>
      <c r="D2530" s="56"/>
      <c r="E2530" s="57"/>
      <c r="F2530" s="58"/>
      <c r="G2530" s="59"/>
      <c r="H2530" s="56"/>
      <c r="I2530" s="56"/>
      <c r="J2530" s="60" t="str">
        <f aca="false">IF(IsPro,IF($D2530="","",IFERROR(INDEX(Items!$D$5:$D$504,U2530),"")),"")</f>
        <v/>
      </c>
      <c r="K2530" s="61" t="str">
        <f aca="false">IF(IsPro,IF($D2530="","",IF($F2530="",IFERROR(INDEX(Items!$H$5:$H$504,U2530),0),$F2530)),"")</f>
        <v/>
      </c>
      <c r="L2530" s="61" t="str">
        <f aca="false">IF(IsPro,IF($D2530="","",ROUND(N($E2530)*K2530*(1-N($G2530)),2)),"")</f>
        <v/>
      </c>
      <c r="M2530" s="62" t="str">
        <f aca="false">IF(IsPro,IF($D2530="","",IFERROR(INDEX(Items!$F$5:$F$504,U2530),0)),"")</f>
        <v/>
      </c>
      <c r="N2530" s="61" t="str">
        <f aca="false">IF(IsPro,IF($D2530="","",IF(AND(V2530&lt;&gt;"",INDEX(Parties!$E$5:$E$304,V2530)&lt;&gt;"",INDEX(Parties!$E$5:$E$304,V2530)&lt;&gt;HomeState),0,ROUND(L2530*M2530/2,2))),"")</f>
        <v/>
      </c>
      <c r="O2530" s="61" t="str">
        <f aca="false">IF(IsPro,IF($D2530="","",N2530),"")</f>
        <v/>
      </c>
      <c r="P2530" s="61" t="str">
        <f aca="false">IF(IsPro,IF($D2530="","",IF(AND(V2530&lt;&gt;"",INDEX(Parties!$E$5:$E$304,V2530)&lt;&gt;"",INDEX(Parties!$E$5:$E$304,V2530)&lt;&gt;HomeState),ROUND(L2530*M2530,2),0)),"")</f>
        <v/>
      </c>
      <c r="Q2530" s="61" t="str">
        <f aca="false">IF(IsPro,IF($D2530="","",L2530+N2530+O2530+P2530),"")</f>
        <v/>
      </c>
      <c r="R2530" s="61" t="str">
        <f aca="false">IF(IsPro,IF($D2530="","",ROUND(N($E2530)*IFERROR(INDEX(Items!$P$5:$P$504,U2530),0),2)),"")</f>
        <v/>
      </c>
      <c r="S2530" s="61" t="str">
        <f aca="false">IF(IsPro,IF($D2530="","",L2530-R2530),"")</f>
        <v/>
      </c>
      <c r="T2530" s="60" t="str">
        <f aca="false">IF(IsPro,IF($D2530="","",IF(U2530="","UNKNOWN ITEM",IF(INDEX(Items!$O$5:$O$504,U2530)&lt;0,"NEG STOCK",IF(K2530&lt;INDEX(Items!$P$5:$P$504,U2530),"BELOW COST","OK")))),IF($D2530="","","PRO PLAN"))</f>
        <v/>
      </c>
      <c r="U2530" s="60" t="str">
        <f aca="false">IF(IsPro,IF($D2530="","",IFERROR(MATCH($D2530,Items!$A$5:$A$504,0),"")),"")</f>
        <v/>
      </c>
      <c r="V2530" s="60" t="str">
        <f aca="false">IF(IsPro,IF($C2530="","",IFERROR(MATCH($C2530,Parties!$A$5:$A$304,0),"")),"")</f>
        <v/>
      </c>
      <c r="W2530" s="60" t="str">
        <f aca="false">IF(IsPro,IF($B2530="","",IFERROR(VALUE(SUBSTITUTE($B2530,InvPrefix,"")),0)),"")</f>
        <v/>
      </c>
      <c r="X2530" s="61" t="str">
        <f aca="false">IF(IsPro,IF($D2530="","",IF(OR($H2530="",$H2530="Credit"),0,Q2530)),"")</f>
        <v/>
      </c>
    </row>
    <row r="2531" customFormat="false" ht="15" hidden="false" customHeight="false" outlineLevel="0" collapsed="false">
      <c r="A2531" s="55"/>
      <c r="B2531" s="56"/>
      <c r="C2531" s="56"/>
      <c r="D2531" s="56"/>
      <c r="E2531" s="57"/>
      <c r="F2531" s="58"/>
      <c r="G2531" s="59"/>
      <c r="H2531" s="56"/>
      <c r="I2531" s="56"/>
      <c r="J2531" s="60" t="str">
        <f aca="false">IF(IsPro,IF($D2531="","",IFERROR(INDEX(Items!$D$5:$D$504,U2531),"")),"")</f>
        <v/>
      </c>
      <c r="K2531" s="61" t="str">
        <f aca="false">IF(IsPro,IF($D2531="","",IF($F2531="",IFERROR(INDEX(Items!$H$5:$H$504,U2531),0),$F2531)),"")</f>
        <v/>
      </c>
      <c r="L2531" s="61" t="str">
        <f aca="false">IF(IsPro,IF($D2531="","",ROUND(N($E2531)*K2531*(1-N($G2531)),2)),"")</f>
        <v/>
      </c>
      <c r="M2531" s="62" t="str">
        <f aca="false">IF(IsPro,IF($D2531="","",IFERROR(INDEX(Items!$F$5:$F$504,U2531),0)),"")</f>
        <v/>
      </c>
      <c r="N2531" s="61" t="str">
        <f aca="false">IF(IsPro,IF($D2531="","",IF(AND(V2531&lt;&gt;"",INDEX(Parties!$E$5:$E$304,V2531)&lt;&gt;"",INDEX(Parties!$E$5:$E$304,V2531)&lt;&gt;HomeState),0,ROUND(L2531*M2531/2,2))),"")</f>
        <v/>
      </c>
      <c r="O2531" s="61" t="str">
        <f aca="false">IF(IsPro,IF($D2531="","",N2531),"")</f>
        <v/>
      </c>
      <c r="P2531" s="61" t="str">
        <f aca="false">IF(IsPro,IF($D2531="","",IF(AND(V2531&lt;&gt;"",INDEX(Parties!$E$5:$E$304,V2531)&lt;&gt;"",INDEX(Parties!$E$5:$E$304,V2531)&lt;&gt;HomeState),ROUND(L2531*M2531,2),0)),"")</f>
        <v/>
      </c>
      <c r="Q2531" s="61" t="str">
        <f aca="false">IF(IsPro,IF($D2531="","",L2531+N2531+O2531+P2531),"")</f>
        <v/>
      </c>
      <c r="R2531" s="61" t="str">
        <f aca="false">IF(IsPro,IF($D2531="","",ROUND(N($E2531)*IFERROR(INDEX(Items!$P$5:$P$504,U2531),0),2)),"")</f>
        <v/>
      </c>
      <c r="S2531" s="61" t="str">
        <f aca="false">IF(IsPro,IF($D2531="","",L2531-R2531),"")</f>
        <v/>
      </c>
      <c r="T2531" s="60" t="str">
        <f aca="false">IF(IsPro,IF($D2531="","",IF(U2531="","UNKNOWN ITEM",IF(INDEX(Items!$O$5:$O$504,U2531)&lt;0,"NEG STOCK",IF(K2531&lt;INDEX(Items!$P$5:$P$504,U2531),"BELOW COST","OK")))),IF($D2531="","","PRO PLAN"))</f>
        <v/>
      </c>
      <c r="U2531" s="60" t="str">
        <f aca="false">IF(IsPro,IF($D2531="","",IFERROR(MATCH($D2531,Items!$A$5:$A$504,0),"")),"")</f>
        <v/>
      </c>
      <c r="V2531" s="60" t="str">
        <f aca="false">IF(IsPro,IF($C2531="","",IFERROR(MATCH($C2531,Parties!$A$5:$A$304,0),"")),"")</f>
        <v/>
      </c>
      <c r="W2531" s="60" t="str">
        <f aca="false">IF(IsPro,IF($B2531="","",IFERROR(VALUE(SUBSTITUTE($B2531,InvPrefix,"")),0)),"")</f>
        <v/>
      </c>
      <c r="X2531" s="61" t="str">
        <f aca="false">IF(IsPro,IF($D2531="","",IF(OR($H2531="",$H2531="Credit"),0,Q2531)),"")</f>
        <v/>
      </c>
    </row>
    <row r="2532" customFormat="false" ht="15" hidden="false" customHeight="false" outlineLevel="0" collapsed="false">
      <c r="A2532" s="55"/>
      <c r="B2532" s="56"/>
      <c r="C2532" s="56"/>
      <c r="D2532" s="56"/>
      <c r="E2532" s="57"/>
      <c r="F2532" s="58"/>
      <c r="G2532" s="59"/>
      <c r="H2532" s="56"/>
      <c r="I2532" s="56"/>
      <c r="J2532" s="60" t="str">
        <f aca="false">IF(IsPro,IF($D2532="","",IFERROR(INDEX(Items!$D$5:$D$504,U2532),"")),"")</f>
        <v/>
      </c>
      <c r="K2532" s="61" t="str">
        <f aca="false">IF(IsPro,IF($D2532="","",IF($F2532="",IFERROR(INDEX(Items!$H$5:$H$504,U2532),0),$F2532)),"")</f>
        <v/>
      </c>
      <c r="L2532" s="61" t="str">
        <f aca="false">IF(IsPro,IF($D2532="","",ROUND(N($E2532)*K2532*(1-N($G2532)),2)),"")</f>
        <v/>
      </c>
      <c r="M2532" s="62" t="str">
        <f aca="false">IF(IsPro,IF($D2532="","",IFERROR(INDEX(Items!$F$5:$F$504,U2532),0)),"")</f>
        <v/>
      </c>
      <c r="N2532" s="61" t="str">
        <f aca="false">IF(IsPro,IF($D2532="","",IF(AND(V2532&lt;&gt;"",INDEX(Parties!$E$5:$E$304,V2532)&lt;&gt;"",INDEX(Parties!$E$5:$E$304,V2532)&lt;&gt;HomeState),0,ROUND(L2532*M2532/2,2))),"")</f>
        <v/>
      </c>
      <c r="O2532" s="61" t="str">
        <f aca="false">IF(IsPro,IF($D2532="","",N2532),"")</f>
        <v/>
      </c>
      <c r="P2532" s="61" t="str">
        <f aca="false">IF(IsPro,IF($D2532="","",IF(AND(V2532&lt;&gt;"",INDEX(Parties!$E$5:$E$304,V2532)&lt;&gt;"",INDEX(Parties!$E$5:$E$304,V2532)&lt;&gt;HomeState),ROUND(L2532*M2532,2),0)),"")</f>
        <v/>
      </c>
      <c r="Q2532" s="61" t="str">
        <f aca="false">IF(IsPro,IF($D2532="","",L2532+N2532+O2532+P2532),"")</f>
        <v/>
      </c>
      <c r="R2532" s="61" t="str">
        <f aca="false">IF(IsPro,IF($D2532="","",ROUND(N($E2532)*IFERROR(INDEX(Items!$P$5:$P$504,U2532),0),2)),"")</f>
        <v/>
      </c>
      <c r="S2532" s="61" t="str">
        <f aca="false">IF(IsPro,IF($D2532="","",L2532-R2532),"")</f>
        <v/>
      </c>
      <c r="T2532" s="60" t="str">
        <f aca="false">IF(IsPro,IF($D2532="","",IF(U2532="","UNKNOWN ITEM",IF(INDEX(Items!$O$5:$O$504,U2532)&lt;0,"NEG STOCK",IF(K2532&lt;INDEX(Items!$P$5:$P$504,U2532),"BELOW COST","OK")))),IF($D2532="","","PRO PLAN"))</f>
        <v/>
      </c>
      <c r="U2532" s="60" t="str">
        <f aca="false">IF(IsPro,IF($D2532="","",IFERROR(MATCH($D2532,Items!$A$5:$A$504,0),"")),"")</f>
        <v/>
      </c>
      <c r="V2532" s="60" t="str">
        <f aca="false">IF(IsPro,IF($C2532="","",IFERROR(MATCH($C2532,Parties!$A$5:$A$304,0),"")),"")</f>
        <v/>
      </c>
      <c r="W2532" s="60" t="str">
        <f aca="false">IF(IsPro,IF($B2532="","",IFERROR(VALUE(SUBSTITUTE($B2532,InvPrefix,"")),0)),"")</f>
        <v/>
      </c>
      <c r="X2532" s="61" t="str">
        <f aca="false">IF(IsPro,IF($D2532="","",IF(OR($H2532="",$H2532="Credit"),0,Q2532)),"")</f>
        <v/>
      </c>
    </row>
    <row r="2533" customFormat="false" ht="15" hidden="false" customHeight="false" outlineLevel="0" collapsed="false">
      <c r="A2533" s="55"/>
      <c r="B2533" s="56"/>
      <c r="C2533" s="56"/>
      <c r="D2533" s="56"/>
      <c r="E2533" s="57"/>
      <c r="F2533" s="58"/>
      <c r="G2533" s="59"/>
      <c r="H2533" s="56"/>
      <c r="I2533" s="56"/>
      <c r="J2533" s="60" t="str">
        <f aca="false">IF(IsPro,IF($D2533="","",IFERROR(INDEX(Items!$D$5:$D$504,U2533),"")),"")</f>
        <v/>
      </c>
      <c r="K2533" s="61" t="str">
        <f aca="false">IF(IsPro,IF($D2533="","",IF($F2533="",IFERROR(INDEX(Items!$H$5:$H$504,U2533),0),$F2533)),"")</f>
        <v/>
      </c>
      <c r="L2533" s="61" t="str">
        <f aca="false">IF(IsPro,IF($D2533="","",ROUND(N($E2533)*K2533*(1-N($G2533)),2)),"")</f>
        <v/>
      </c>
      <c r="M2533" s="62" t="str">
        <f aca="false">IF(IsPro,IF($D2533="","",IFERROR(INDEX(Items!$F$5:$F$504,U2533),0)),"")</f>
        <v/>
      </c>
      <c r="N2533" s="61" t="str">
        <f aca="false">IF(IsPro,IF($D2533="","",IF(AND(V2533&lt;&gt;"",INDEX(Parties!$E$5:$E$304,V2533)&lt;&gt;"",INDEX(Parties!$E$5:$E$304,V2533)&lt;&gt;HomeState),0,ROUND(L2533*M2533/2,2))),"")</f>
        <v/>
      </c>
      <c r="O2533" s="61" t="str">
        <f aca="false">IF(IsPro,IF($D2533="","",N2533),"")</f>
        <v/>
      </c>
      <c r="P2533" s="61" t="str">
        <f aca="false">IF(IsPro,IF($D2533="","",IF(AND(V2533&lt;&gt;"",INDEX(Parties!$E$5:$E$304,V2533)&lt;&gt;"",INDEX(Parties!$E$5:$E$304,V2533)&lt;&gt;HomeState),ROUND(L2533*M2533,2),0)),"")</f>
        <v/>
      </c>
      <c r="Q2533" s="61" t="str">
        <f aca="false">IF(IsPro,IF($D2533="","",L2533+N2533+O2533+P2533),"")</f>
        <v/>
      </c>
      <c r="R2533" s="61" t="str">
        <f aca="false">IF(IsPro,IF($D2533="","",ROUND(N($E2533)*IFERROR(INDEX(Items!$P$5:$P$504,U2533),0),2)),"")</f>
        <v/>
      </c>
      <c r="S2533" s="61" t="str">
        <f aca="false">IF(IsPro,IF($D2533="","",L2533-R2533),"")</f>
        <v/>
      </c>
      <c r="T2533" s="60" t="str">
        <f aca="false">IF(IsPro,IF($D2533="","",IF(U2533="","UNKNOWN ITEM",IF(INDEX(Items!$O$5:$O$504,U2533)&lt;0,"NEG STOCK",IF(K2533&lt;INDEX(Items!$P$5:$P$504,U2533),"BELOW COST","OK")))),IF($D2533="","","PRO PLAN"))</f>
        <v/>
      </c>
      <c r="U2533" s="60" t="str">
        <f aca="false">IF(IsPro,IF($D2533="","",IFERROR(MATCH($D2533,Items!$A$5:$A$504,0),"")),"")</f>
        <v/>
      </c>
      <c r="V2533" s="60" t="str">
        <f aca="false">IF(IsPro,IF($C2533="","",IFERROR(MATCH($C2533,Parties!$A$5:$A$304,0),"")),"")</f>
        <v/>
      </c>
      <c r="W2533" s="60" t="str">
        <f aca="false">IF(IsPro,IF($B2533="","",IFERROR(VALUE(SUBSTITUTE($B2533,InvPrefix,"")),0)),"")</f>
        <v/>
      </c>
      <c r="X2533" s="61" t="str">
        <f aca="false">IF(IsPro,IF($D2533="","",IF(OR($H2533="",$H2533="Credit"),0,Q2533)),"")</f>
        <v/>
      </c>
    </row>
    <row r="2534" customFormat="false" ht="15" hidden="false" customHeight="false" outlineLevel="0" collapsed="false">
      <c r="A2534" s="55"/>
      <c r="B2534" s="56"/>
      <c r="C2534" s="56"/>
      <c r="D2534" s="56"/>
      <c r="E2534" s="57"/>
      <c r="F2534" s="58"/>
      <c r="G2534" s="59"/>
      <c r="H2534" s="56"/>
      <c r="I2534" s="56"/>
      <c r="J2534" s="60" t="str">
        <f aca="false">IF(IsPro,IF($D2534="","",IFERROR(INDEX(Items!$D$5:$D$504,U2534),"")),"")</f>
        <v/>
      </c>
      <c r="K2534" s="61" t="str">
        <f aca="false">IF(IsPro,IF($D2534="","",IF($F2534="",IFERROR(INDEX(Items!$H$5:$H$504,U2534),0),$F2534)),"")</f>
        <v/>
      </c>
      <c r="L2534" s="61" t="str">
        <f aca="false">IF(IsPro,IF($D2534="","",ROUND(N($E2534)*K2534*(1-N($G2534)),2)),"")</f>
        <v/>
      </c>
      <c r="M2534" s="62" t="str">
        <f aca="false">IF(IsPro,IF($D2534="","",IFERROR(INDEX(Items!$F$5:$F$504,U2534),0)),"")</f>
        <v/>
      </c>
      <c r="N2534" s="61" t="str">
        <f aca="false">IF(IsPro,IF($D2534="","",IF(AND(V2534&lt;&gt;"",INDEX(Parties!$E$5:$E$304,V2534)&lt;&gt;"",INDEX(Parties!$E$5:$E$304,V2534)&lt;&gt;HomeState),0,ROUND(L2534*M2534/2,2))),"")</f>
        <v/>
      </c>
      <c r="O2534" s="61" t="str">
        <f aca="false">IF(IsPro,IF($D2534="","",N2534),"")</f>
        <v/>
      </c>
      <c r="P2534" s="61" t="str">
        <f aca="false">IF(IsPro,IF($D2534="","",IF(AND(V2534&lt;&gt;"",INDEX(Parties!$E$5:$E$304,V2534)&lt;&gt;"",INDEX(Parties!$E$5:$E$304,V2534)&lt;&gt;HomeState),ROUND(L2534*M2534,2),0)),"")</f>
        <v/>
      </c>
      <c r="Q2534" s="61" t="str">
        <f aca="false">IF(IsPro,IF($D2534="","",L2534+N2534+O2534+P2534),"")</f>
        <v/>
      </c>
      <c r="R2534" s="61" t="str">
        <f aca="false">IF(IsPro,IF($D2534="","",ROUND(N($E2534)*IFERROR(INDEX(Items!$P$5:$P$504,U2534),0),2)),"")</f>
        <v/>
      </c>
      <c r="S2534" s="61" t="str">
        <f aca="false">IF(IsPro,IF($D2534="","",L2534-R2534),"")</f>
        <v/>
      </c>
      <c r="T2534" s="60" t="str">
        <f aca="false">IF(IsPro,IF($D2534="","",IF(U2534="","UNKNOWN ITEM",IF(INDEX(Items!$O$5:$O$504,U2534)&lt;0,"NEG STOCK",IF(K2534&lt;INDEX(Items!$P$5:$P$504,U2534),"BELOW COST","OK")))),IF($D2534="","","PRO PLAN"))</f>
        <v/>
      </c>
      <c r="U2534" s="60" t="str">
        <f aca="false">IF(IsPro,IF($D2534="","",IFERROR(MATCH($D2534,Items!$A$5:$A$504,0),"")),"")</f>
        <v/>
      </c>
      <c r="V2534" s="60" t="str">
        <f aca="false">IF(IsPro,IF($C2534="","",IFERROR(MATCH($C2534,Parties!$A$5:$A$304,0),"")),"")</f>
        <v/>
      </c>
      <c r="W2534" s="60" t="str">
        <f aca="false">IF(IsPro,IF($B2534="","",IFERROR(VALUE(SUBSTITUTE($B2534,InvPrefix,"")),0)),"")</f>
        <v/>
      </c>
      <c r="X2534" s="61" t="str">
        <f aca="false">IF(IsPro,IF($D2534="","",IF(OR($H2534="",$H2534="Credit"),0,Q2534)),"")</f>
        <v/>
      </c>
    </row>
    <row r="2535" customFormat="false" ht="15" hidden="false" customHeight="false" outlineLevel="0" collapsed="false">
      <c r="A2535" s="55"/>
      <c r="B2535" s="56"/>
      <c r="C2535" s="56"/>
      <c r="D2535" s="56"/>
      <c r="E2535" s="57"/>
      <c r="F2535" s="58"/>
      <c r="G2535" s="59"/>
      <c r="H2535" s="56"/>
      <c r="I2535" s="56"/>
      <c r="J2535" s="60" t="str">
        <f aca="false">IF(IsPro,IF($D2535="","",IFERROR(INDEX(Items!$D$5:$D$504,U2535),"")),"")</f>
        <v/>
      </c>
      <c r="K2535" s="61" t="str">
        <f aca="false">IF(IsPro,IF($D2535="","",IF($F2535="",IFERROR(INDEX(Items!$H$5:$H$504,U2535),0),$F2535)),"")</f>
        <v/>
      </c>
      <c r="L2535" s="61" t="str">
        <f aca="false">IF(IsPro,IF($D2535="","",ROUND(N($E2535)*K2535*(1-N($G2535)),2)),"")</f>
        <v/>
      </c>
      <c r="M2535" s="62" t="str">
        <f aca="false">IF(IsPro,IF($D2535="","",IFERROR(INDEX(Items!$F$5:$F$504,U2535),0)),"")</f>
        <v/>
      </c>
      <c r="N2535" s="61" t="str">
        <f aca="false">IF(IsPro,IF($D2535="","",IF(AND(V2535&lt;&gt;"",INDEX(Parties!$E$5:$E$304,V2535)&lt;&gt;"",INDEX(Parties!$E$5:$E$304,V2535)&lt;&gt;HomeState),0,ROUND(L2535*M2535/2,2))),"")</f>
        <v/>
      </c>
      <c r="O2535" s="61" t="str">
        <f aca="false">IF(IsPro,IF($D2535="","",N2535),"")</f>
        <v/>
      </c>
      <c r="P2535" s="61" t="str">
        <f aca="false">IF(IsPro,IF($D2535="","",IF(AND(V2535&lt;&gt;"",INDEX(Parties!$E$5:$E$304,V2535)&lt;&gt;"",INDEX(Parties!$E$5:$E$304,V2535)&lt;&gt;HomeState),ROUND(L2535*M2535,2),0)),"")</f>
        <v/>
      </c>
      <c r="Q2535" s="61" t="str">
        <f aca="false">IF(IsPro,IF($D2535="","",L2535+N2535+O2535+P2535),"")</f>
        <v/>
      </c>
      <c r="R2535" s="61" t="str">
        <f aca="false">IF(IsPro,IF($D2535="","",ROUND(N($E2535)*IFERROR(INDEX(Items!$P$5:$P$504,U2535),0),2)),"")</f>
        <v/>
      </c>
      <c r="S2535" s="61" t="str">
        <f aca="false">IF(IsPro,IF($D2535="","",L2535-R2535),"")</f>
        <v/>
      </c>
      <c r="T2535" s="60" t="str">
        <f aca="false">IF(IsPro,IF($D2535="","",IF(U2535="","UNKNOWN ITEM",IF(INDEX(Items!$O$5:$O$504,U2535)&lt;0,"NEG STOCK",IF(K2535&lt;INDEX(Items!$P$5:$P$504,U2535),"BELOW COST","OK")))),IF($D2535="","","PRO PLAN"))</f>
        <v/>
      </c>
      <c r="U2535" s="60" t="str">
        <f aca="false">IF(IsPro,IF($D2535="","",IFERROR(MATCH($D2535,Items!$A$5:$A$504,0),"")),"")</f>
        <v/>
      </c>
      <c r="V2535" s="60" t="str">
        <f aca="false">IF(IsPro,IF($C2535="","",IFERROR(MATCH($C2535,Parties!$A$5:$A$304,0),"")),"")</f>
        <v/>
      </c>
      <c r="W2535" s="60" t="str">
        <f aca="false">IF(IsPro,IF($B2535="","",IFERROR(VALUE(SUBSTITUTE($B2535,InvPrefix,"")),0)),"")</f>
        <v/>
      </c>
      <c r="X2535" s="61" t="str">
        <f aca="false">IF(IsPro,IF($D2535="","",IF(OR($H2535="",$H2535="Credit"),0,Q2535)),"")</f>
        <v/>
      </c>
    </row>
    <row r="2536" customFormat="false" ht="15" hidden="false" customHeight="false" outlineLevel="0" collapsed="false">
      <c r="A2536" s="55"/>
      <c r="B2536" s="56"/>
      <c r="C2536" s="56"/>
      <c r="D2536" s="56"/>
      <c r="E2536" s="57"/>
      <c r="F2536" s="58"/>
      <c r="G2536" s="59"/>
      <c r="H2536" s="56"/>
      <c r="I2536" s="56"/>
      <c r="J2536" s="60" t="str">
        <f aca="false">IF(IsPro,IF($D2536="","",IFERROR(INDEX(Items!$D$5:$D$504,U2536),"")),"")</f>
        <v/>
      </c>
      <c r="K2536" s="61" t="str">
        <f aca="false">IF(IsPro,IF($D2536="","",IF($F2536="",IFERROR(INDEX(Items!$H$5:$H$504,U2536),0),$F2536)),"")</f>
        <v/>
      </c>
      <c r="L2536" s="61" t="str">
        <f aca="false">IF(IsPro,IF($D2536="","",ROUND(N($E2536)*K2536*(1-N($G2536)),2)),"")</f>
        <v/>
      </c>
      <c r="M2536" s="62" t="str">
        <f aca="false">IF(IsPro,IF($D2536="","",IFERROR(INDEX(Items!$F$5:$F$504,U2536),0)),"")</f>
        <v/>
      </c>
      <c r="N2536" s="61" t="str">
        <f aca="false">IF(IsPro,IF($D2536="","",IF(AND(V2536&lt;&gt;"",INDEX(Parties!$E$5:$E$304,V2536)&lt;&gt;"",INDEX(Parties!$E$5:$E$304,V2536)&lt;&gt;HomeState),0,ROUND(L2536*M2536/2,2))),"")</f>
        <v/>
      </c>
      <c r="O2536" s="61" t="str">
        <f aca="false">IF(IsPro,IF($D2536="","",N2536),"")</f>
        <v/>
      </c>
      <c r="P2536" s="61" t="str">
        <f aca="false">IF(IsPro,IF($D2536="","",IF(AND(V2536&lt;&gt;"",INDEX(Parties!$E$5:$E$304,V2536)&lt;&gt;"",INDEX(Parties!$E$5:$E$304,V2536)&lt;&gt;HomeState),ROUND(L2536*M2536,2),0)),"")</f>
        <v/>
      </c>
      <c r="Q2536" s="61" t="str">
        <f aca="false">IF(IsPro,IF($D2536="","",L2536+N2536+O2536+P2536),"")</f>
        <v/>
      </c>
      <c r="R2536" s="61" t="str">
        <f aca="false">IF(IsPro,IF($D2536="","",ROUND(N($E2536)*IFERROR(INDEX(Items!$P$5:$P$504,U2536),0),2)),"")</f>
        <v/>
      </c>
      <c r="S2536" s="61" t="str">
        <f aca="false">IF(IsPro,IF($D2536="","",L2536-R2536),"")</f>
        <v/>
      </c>
      <c r="T2536" s="60" t="str">
        <f aca="false">IF(IsPro,IF($D2536="","",IF(U2536="","UNKNOWN ITEM",IF(INDEX(Items!$O$5:$O$504,U2536)&lt;0,"NEG STOCK",IF(K2536&lt;INDEX(Items!$P$5:$P$504,U2536),"BELOW COST","OK")))),IF($D2536="","","PRO PLAN"))</f>
        <v/>
      </c>
      <c r="U2536" s="60" t="str">
        <f aca="false">IF(IsPro,IF($D2536="","",IFERROR(MATCH($D2536,Items!$A$5:$A$504,0),"")),"")</f>
        <v/>
      </c>
      <c r="V2536" s="60" t="str">
        <f aca="false">IF(IsPro,IF($C2536="","",IFERROR(MATCH($C2536,Parties!$A$5:$A$304,0),"")),"")</f>
        <v/>
      </c>
      <c r="W2536" s="60" t="str">
        <f aca="false">IF(IsPro,IF($B2536="","",IFERROR(VALUE(SUBSTITUTE($B2536,InvPrefix,"")),0)),"")</f>
        <v/>
      </c>
      <c r="X2536" s="61" t="str">
        <f aca="false">IF(IsPro,IF($D2536="","",IF(OR($H2536="",$H2536="Credit"),0,Q2536)),"")</f>
        <v/>
      </c>
    </row>
    <row r="2537" customFormat="false" ht="15" hidden="false" customHeight="false" outlineLevel="0" collapsed="false">
      <c r="A2537" s="55"/>
      <c r="B2537" s="56"/>
      <c r="C2537" s="56"/>
      <c r="D2537" s="56"/>
      <c r="E2537" s="57"/>
      <c r="F2537" s="58"/>
      <c r="G2537" s="59"/>
      <c r="H2537" s="56"/>
      <c r="I2537" s="56"/>
      <c r="J2537" s="60" t="str">
        <f aca="false">IF(IsPro,IF($D2537="","",IFERROR(INDEX(Items!$D$5:$D$504,U2537),"")),"")</f>
        <v/>
      </c>
      <c r="K2537" s="61" t="str">
        <f aca="false">IF(IsPro,IF($D2537="","",IF($F2537="",IFERROR(INDEX(Items!$H$5:$H$504,U2537),0),$F2537)),"")</f>
        <v/>
      </c>
      <c r="L2537" s="61" t="str">
        <f aca="false">IF(IsPro,IF($D2537="","",ROUND(N($E2537)*K2537*(1-N($G2537)),2)),"")</f>
        <v/>
      </c>
      <c r="M2537" s="62" t="str">
        <f aca="false">IF(IsPro,IF($D2537="","",IFERROR(INDEX(Items!$F$5:$F$504,U2537),0)),"")</f>
        <v/>
      </c>
      <c r="N2537" s="61" t="str">
        <f aca="false">IF(IsPro,IF($D2537="","",IF(AND(V2537&lt;&gt;"",INDEX(Parties!$E$5:$E$304,V2537)&lt;&gt;"",INDEX(Parties!$E$5:$E$304,V2537)&lt;&gt;HomeState),0,ROUND(L2537*M2537/2,2))),"")</f>
        <v/>
      </c>
      <c r="O2537" s="61" t="str">
        <f aca="false">IF(IsPro,IF($D2537="","",N2537),"")</f>
        <v/>
      </c>
      <c r="P2537" s="61" t="str">
        <f aca="false">IF(IsPro,IF($D2537="","",IF(AND(V2537&lt;&gt;"",INDEX(Parties!$E$5:$E$304,V2537)&lt;&gt;"",INDEX(Parties!$E$5:$E$304,V2537)&lt;&gt;HomeState),ROUND(L2537*M2537,2),0)),"")</f>
        <v/>
      </c>
      <c r="Q2537" s="61" t="str">
        <f aca="false">IF(IsPro,IF($D2537="","",L2537+N2537+O2537+P2537),"")</f>
        <v/>
      </c>
      <c r="R2537" s="61" t="str">
        <f aca="false">IF(IsPro,IF($D2537="","",ROUND(N($E2537)*IFERROR(INDEX(Items!$P$5:$P$504,U2537),0),2)),"")</f>
        <v/>
      </c>
      <c r="S2537" s="61" t="str">
        <f aca="false">IF(IsPro,IF($D2537="","",L2537-R2537),"")</f>
        <v/>
      </c>
      <c r="T2537" s="60" t="str">
        <f aca="false">IF(IsPro,IF($D2537="","",IF(U2537="","UNKNOWN ITEM",IF(INDEX(Items!$O$5:$O$504,U2537)&lt;0,"NEG STOCK",IF(K2537&lt;INDEX(Items!$P$5:$P$504,U2537),"BELOW COST","OK")))),IF($D2537="","","PRO PLAN"))</f>
        <v/>
      </c>
      <c r="U2537" s="60" t="str">
        <f aca="false">IF(IsPro,IF($D2537="","",IFERROR(MATCH($D2537,Items!$A$5:$A$504,0),"")),"")</f>
        <v/>
      </c>
      <c r="V2537" s="60" t="str">
        <f aca="false">IF(IsPro,IF($C2537="","",IFERROR(MATCH($C2537,Parties!$A$5:$A$304,0),"")),"")</f>
        <v/>
      </c>
      <c r="W2537" s="60" t="str">
        <f aca="false">IF(IsPro,IF($B2537="","",IFERROR(VALUE(SUBSTITUTE($B2537,InvPrefix,"")),0)),"")</f>
        <v/>
      </c>
      <c r="X2537" s="61" t="str">
        <f aca="false">IF(IsPro,IF($D2537="","",IF(OR($H2537="",$H2537="Credit"),0,Q2537)),"")</f>
        <v/>
      </c>
    </row>
    <row r="2538" customFormat="false" ht="15" hidden="false" customHeight="false" outlineLevel="0" collapsed="false">
      <c r="A2538" s="55"/>
      <c r="B2538" s="56"/>
      <c r="C2538" s="56"/>
      <c r="D2538" s="56"/>
      <c r="E2538" s="57"/>
      <c r="F2538" s="58"/>
      <c r="G2538" s="59"/>
      <c r="H2538" s="56"/>
      <c r="I2538" s="56"/>
      <c r="J2538" s="60" t="str">
        <f aca="false">IF(IsPro,IF($D2538="","",IFERROR(INDEX(Items!$D$5:$D$504,U2538),"")),"")</f>
        <v/>
      </c>
      <c r="K2538" s="61" t="str">
        <f aca="false">IF(IsPro,IF($D2538="","",IF($F2538="",IFERROR(INDEX(Items!$H$5:$H$504,U2538),0),$F2538)),"")</f>
        <v/>
      </c>
      <c r="L2538" s="61" t="str">
        <f aca="false">IF(IsPro,IF($D2538="","",ROUND(N($E2538)*K2538*(1-N($G2538)),2)),"")</f>
        <v/>
      </c>
      <c r="M2538" s="62" t="str">
        <f aca="false">IF(IsPro,IF($D2538="","",IFERROR(INDEX(Items!$F$5:$F$504,U2538),0)),"")</f>
        <v/>
      </c>
      <c r="N2538" s="61" t="str">
        <f aca="false">IF(IsPro,IF($D2538="","",IF(AND(V2538&lt;&gt;"",INDEX(Parties!$E$5:$E$304,V2538)&lt;&gt;"",INDEX(Parties!$E$5:$E$304,V2538)&lt;&gt;HomeState),0,ROUND(L2538*M2538/2,2))),"")</f>
        <v/>
      </c>
      <c r="O2538" s="61" t="str">
        <f aca="false">IF(IsPro,IF($D2538="","",N2538),"")</f>
        <v/>
      </c>
      <c r="P2538" s="61" t="str">
        <f aca="false">IF(IsPro,IF($D2538="","",IF(AND(V2538&lt;&gt;"",INDEX(Parties!$E$5:$E$304,V2538)&lt;&gt;"",INDEX(Parties!$E$5:$E$304,V2538)&lt;&gt;HomeState),ROUND(L2538*M2538,2),0)),"")</f>
        <v/>
      </c>
      <c r="Q2538" s="61" t="str">
        <f aca="false">IF(IsPro,IF($D2538="","",L2538+N2538+O2538+P2538),"")</f>
        <v/>
      </c>
      <c r="R2538" s="61" t="str">
        <f aca="false">IF(IsPro,IF($D2538="","",ROUND(N($E2538)*IFERROR(INDEX(Items!$P$5:$P$504,U2538),0),2)),"")</f>
        <v/>
      </c>
      <c r="S2538" s="61" t="str">
        <f aca="false">IF(IsPro,IF($D2538="","",L2538-R2538),"")</f>
        <v/>
      </c>
      <c r="T2538" s="60" t="str">
        <f aca="false">IF(IsPro,IF($D2538="","",IF(U2538="","UNKNOWN ITEM",IF(INDEX(Items!$O$5:$O$504,U2538)&lt;0,"NEG STOCK",IF(K2538&lt;INDEX(Items!$P$5:$P$504,U2538),"BELOW COST","OK")))),IF($D2538="","","PRO PLAN"))</f>
        <v/>
      </c>
      <c r="U2538" s="60" t="str">
        <f aca="false">IF(IsPro,IF($D2538="","",IFERROR(MATCH($D2538,Items!$A$5:$A$504,0),"")),"")</f>
        <v/>
      </c>
      <c r="V2538" s="60" t="str">
        <f aca="false">IF(IsPro,IF($C2538="","",IFERROR(MATCH($C2538,Parties!$A$5:$A$304,0),"")),"")</f>
        <v/>
      </c>
      <c r="W2538" s="60" t="str">
        <f aca="false">IF(IsPro,IF($B2538="","",IFERROR(VALUE(SUBSTITUTE($B2538,InvPrefix,"")),0)),"")</f>
        <v/>
      </c>
      <c r="X2538" s="61" t="str">
        <f aca="false">IF(IsPro,IF($D2538="","",IF(OR($H2538="",$H2538="Credit"),0,Q2538)),"")</f>
        <v/>
      </c>
    </row>
    <row r="2539" customFormat="false" ht="15" hidden="false" customHeight="false" outlineLevel="0" collapsed="false">
      <c r="A2539" s="55"/>
      <c r="B2539" s="56"/>
      <c r="C2539" s="56"/>
      <c r="D2539" s="56"/>
      <c r="E2539" s="57"/>
      <c r="F2539" s="58"/>
      <c r="G2539" s="59"/>
      <c r="H2539" s="56"/>
      <c r="I2539" s="56"/>
      <c r="J2539" s="60" t="str">
        <f aca="false">IF(IsPro,IF($D2539="","",IFERROR(INDEX(Items!$D$5:$D$504,U2539),"")),"")</f>
        <v/>
      </c>
      <c r="K2539" s="61" t="str">
        <f aca="false">IF(IsPro,IF($D2539="","",IF($F2539="",IFERROR(INDEX(Items!$H$5:$H$504,U2539),0),$F2539)),"")</f>
        <v/>
      </c>
      <c r="L2539" s="61" t="str">
        <f aca="false">IF(IsPro,IF($D2539="","",ROUND(N($E2539)*K2539*(1-N($G2539)),2)),"")</f>
        <v/>
      </c>
      <c r="M2539" s="62" t="str">
        <f aca="false">IF(IsPro,IF($D2539="","",IFERROR(INDEX(Items!$F$5:$F$504,U2539),0)),"")</f>
        <v/>
      </c>
      <c r="N2539" s="61" t="str">
        <f aca="false">IF(IsPro,IF($D2539="","",IF(AND(V2539&lt;&gt;"",INDEX(Parties!$E$5:$E$304,V2539)&lt;&gt;"",INDEX(Parties!$E$5:$E$304,V2539)&lt;&gt;HomeState),0,ROUND(L2539*M2539/2,2))),"")</f>
        <v/>
      </c>
      <c r="O2539" s="61" t="str">
        <f aca="false">IF(IsPro,IF($D2539="","",N2539),"")</f>
        <v/>
      </c>
      <c r="P2539" s="61" t="str">
        <f aca="false">IF(IsPro,IF($D2539="","",IF(AND(V2539&lt;&gt;"",INDEX(Parties!$E$5:$E$304,V2539)&lt;&gt;"",INDEX(Parties!$E$5:$E$304,V2539)&lt;&gt;HomeState),ROUND(L2539*M2539,2),0)),"")</f>
        <v/>
      </c>
      <c r="Q2539" s="61" t="str">
        <f aca="false">IF(IsPro,IF($D2539="","",L2539+N2539+O2539+P2539),"")</f>
        <v/>
      </c>
      <c r="R2539" s="61" t="str">
        <f aca="false">IF(IsPro,IF($D2539="","",ROUND(N($E2539)*IFERROR(INDEX(Items!$P$5:$P$504,U2539),0),2)),"")</f>
        <v/>
      </c>
      <c r="S2539" s="61" t="str">
        <f aca="false">IF(IsPro,IF($D2539="","",L2539-R2539),"")</f>
        <v/>
      </c>
      <c r="T2539" s="60" t="str">
        <f aca="false">IF(IsPro,IF($D2539="","",IF(U2539="","UNKNOWN ITEM",IF(INDEX(Items!$O$5:$O$504,U2539)&lt;0,"NEG STOCK",IF(K2539&lt;INDEX(Items!$P$5:$P$504,U2539),"BELOW COST","OK")))),IF($D2539="","","PRO PLAN"))</f>
        <v/>
      </c>
      <c r="U2539" s="60" t="str">
        <f aca="false">IF(IsPro,IF($D2539="","",IFERROR(MATCH($D2539,Items!$A$5:$A$504,0),"")),"")</f>
        <v/>
      </c>
      <c r="V2539" s="60" t="str">
        <f aca="false">IF(IsPro,IF($C2539="","",IFERROR(MATCH($C2539,Parties!$A$5:$A$304,0),"")),"")</f>
        <v/>
      </c>
      <c r="W2539" s="60" t="str">
        <f aca="false">IF(IsPro,IF($B2539="","",IFERROR(VALUE(SUBSTITUTE($B2539,InvPrefix,"")),0)),"")</f>
        <v/>
      </c>
      <c r="X2539" s="61" t="str">
        <f aca="false">IF(IsPro,IF($D2539="","",IF(OR($H2539="",$H2539="Credit"),0,Q2539)),"")</f>
        <v/>
      </c>
    </row>
    <row r="2540" customFormat="false" ht="15" hidden="false" customHeight="false" outlineLevel="0" collapsed="false">
      <c r="A2540" s="55"/>
      <c r="B2540" s="56"/>
      <c r="C2540" s="56"/>
      <c r="D2540" s="56"/>
      <c r="E2540" s="57"/>
      <c r="F2540" s="58"/>
      <c r="G2540" s="59"/>
      <c r="H2540" s="56"/>
      <c r="I2540" s="56"/>
      <c r="J2540" s="60" t="str">
        <f aca="false">IF(IsPro,IF($D2540="","",IFERROR(INDEX(Items!$D$5:$D$504,U2540),"")),"")</f>
        <v/>
      </c>
      <c r="K2540" s="61" t="str">
        <f aca="false">IF(IsPro,IF($D2540="","",IF($F2540="",IFERROR(INDEX(Items!$H$5:$H$504,U2540),0),$F2540)),"")</f>
        <v/>
      </c>
      <c r="L2540" s="61" t="str">
        <f aca="false">IF(IsPro,IF($D2540="","",ROUND(N($E2540)*K2540*(1-N($G2540)),2)),"")</f>
        <v/>
      </c>
      <c r="M2540" s="62" t="str">
        <f aca="false">IF(IsPro,IF($D2540="","",IFERROR(INDEX(Items!$F$5:$F$504,U2540),0)),"")</f>
        <v/>
      </c>
      <c r="N2540" s="61" t="str">
        <f aca="false">IF(IsPro,IF($D2540="","",IF(AND(V2540&lt;&gt;"",INDEX(Parties!$E$5:$E$304,V2540)&lt;&gt;"",INDEX(Parties!$E$5:$E$304,V2540)&lt;&gt;HomeState),0,ROUND(L2540*M2540/2,2))),"")</f>
        <v/>
      </c>
      <c r="O2540" s="61" t="str">
        <f aca="false">IF(IsPro,IF($D2540="","",N2540),"")</f>
        <v/>
      </c>
      <c r="P2540" s="61" t="str">
        <f aca="false">IF(IsPro,IF($D2540="","",IF(AND(V2540&lt;&gt;"",INDEX(Parties!$E$5:$E$304,V2540)&lt;&gt;"",INDEX(Parties!$E$5:$E$304,V2540)&lt;&gt;HomeState),ROUND(L2540*M2540,2),0)),"")</f>
        <v/>
      </c>
      <c r="Q2540" s="61" t="str">
        <f aca="false">IF(IsPro,IF($D2540="","",L2540+N2540+O2540+P2540),"")</f>
        <v/>
      </c>
      <c r="R2540" s="61" t="str">
        <f aca="false">IF(IsPro,IF($D2540="","",ROUND(N($E2540)*IFERROR(INDEX(Items!$P$5:$P$504,U2540),0),2)),"")</f>
        <v/>
      </c>
      <c r="S2540" s="61" t="str">
        <f aca="false">IF(IsPro,IF($D2540="","",L2540-R2540),"")</f>
        <v/>
      </c>
      <c r="T2540" s="60" t="str">
        <f aca="false">IF(IsPro,IF($D2540="","",IF(U2540="","UNKNOWN ITEM",IF(INDEX(Items!$O$5:$O$504,U2540)&lt;0,"NEG STOCK",IF(K2540&lt;INDEX(Items!$P$5:$P$504,U2540),"BELOW COST","OK")))),IF($D2540="","","PRO PLAN"))</f>
        <v/>
      </c>
      <c r="U2540" s="60" t="str">
        <f aca="false">IF(IsPro,IF($D2540="","",IFERROR(MATCH($D2540,Items!$A$5:$A$504,0),"")),"")</f>
        <v/>
      </c>
      <c r="V2540" s="60" t="str">
        <f aca="false">IF(IsPro,IF($C2540="","",IFERROR(MATCH($C2540,Parties!$A$5:$A$304,0),"")),"")</f>
        <v/>
      </c>
      <c r="W2540" s="60" t="str">
        <f aca="false">IF(IsPro,IF($B2540="","",IFERROR(VALUE(SUBSTITUTE($B2540,InvPrefix,"")),0)),"")</f>
        <v/>
      </c>
      <c r="X2540" s="61" t="str">
        <f aca="false">IF(IsPro,IF($D2540="","",IF(OR($H2540="",$H2540="Credit"),0,Q2540)),"")</f>
        <v/>
      </c>
    </row>
    <row r="2541" customFormat="false" ht="15" hidden="false" customHeight="false" outlineLevel="0" collapsed="false">
      <c r="A2541" s="55"/>
      <c r="B2541" s="56"/>
      <c r="C2541" s="56"/>
      <c r="D2541" s="56"/>
      <c r="E2541" s="57"/>
      <c r="F2541" s="58"/>
      <c r="G2541" s="59"/>
      <c r="H2541" s="56"/>
      <c r="I2541" s="56"/>
      <c r="J2541" s="60" t="str">
        <f aca="false">IF(IsPro,IF($D2541="","",IFERROR(INDEX(Items!$D$5:$D$504,U2541),"")),"")</f>
        <v/>
      </c>
      <c r="K2541" s="61" t="str">
        <f aca="false">IF(IsPro,IF($D2541="","",IF($F2541="",IFERROR(INDEX(Items!$H$5:$H$504,U2541),0),$F2541)),"")</f>
        <v/>
      </c>
      <c r="L2541" s="61" t="str">
        <f aca="false">IF(IsPro,IF($D2541="","",ROUND(N($E2541)*K2541*(1-N($G2541)),2)),"")</f>
        <v/>
      </c>
      <c r="M2541" s="62" t="str">
        <f aca="false">IF(IsPro,IF($D2541="","",IFERROR(INDEX(Items!$F$5:$F$504,U2541),0)),"")</f>
        <v/>
      </c>
      <c r="N2541" s="61" t="str">
        <f aca="false">IF(IsPro,IF($D2541="","",IF(AND(V2541&lt;&gt;"",INDEX(Parties!$E$5:$E$304,V2541)&lt;&gt;"",INDEX(Parties!$E$5:$E$304,V2541)&lt;&gt;HomeState),0,ROUND(L2541*M2541/2,2))),"")</f>
        <v/>
      </c>
      <c r="O2541" s="61" t="str">
        <f aca="false">IF(IsPro,IF($D2541="","",N2541),"")</f>
        <v/>
      </c>
      <c r="P2541" s="61" t="str">
        <f aca="false">IF(IsPro,IF($D2541="","",IF(AND(V2541&lt;&gt;"",INDEX(Parties!$E$5:$E$304,V2541)&lt;&gt;"",INDEX(Parties!$E$5:$E$304,V2541)&lt;&gt;HomeState),ROUND(L2541*M2541,2),0)),"")</f>
        <v/>
      </c>
      <c r="Q2541" s="61" t="str">
        <f aca="false">IF(IsPro,IF($D2541="","",L2541+N2541+O2541+P2541),"")</f>
        <v/>
      </c>
      <c r="R2541" s="61" t="str">
        <f aca="false">IF(IsPro,IF($D2541="","",ROUND(N($E2541)*IFERROR(INDEX(Items!$P$5:$P$504,U2541),0),2)),"")</f>
        <v/>
      </c>
      <c r="S2541" s="61" t="str">
        <f aca="false">IF(IsPro,IF($D2541="","",L2541-R2541),"")</f>
        <v/>
      </c>
      <c r="T2541" s="60" t="str">
        <f aca="false">IF(IsPro,IF($D2541="","",IF(U2541="","UNKNOWN ITEM",IF(INDEX(Items!$O$5:$O$504,U2541)&lt;0,"NEG STOCK",IF(K2541&lt;INDEX(Items!$P$5:$P$504,U2541),"BELOW COST","OK")))),IF($D2541="","","PRO PLAN"))</f>
        <v/>
      </c>
      <c r="U2541" s="60" t="str">
        <f aca="false">IF(IsPro,IF($D2541="","",IFERROR(MATCH($D2541,Items!$A$5:$A$504,0),"")),"")</f>
        <v/>
      </c>
      <c r="V2541" s="60" t="str">
        <f aca="false">IF(IsPro,IF($C2541="","",IFERROR(MATCH($C2541,Parties!$A$5:$A$304,0),"")),"")</f>
        <v/>
      </c>
      <c r="W2541" s="60" t="str">
        <f aca="false">IF(IsPro,IF($B2541="","",IFERROR(VALUE(SUBSTITUTE($B2541,InvPrefix,"")),0)),"")</f>
        <v/>
      </c>
      <c r="X2541" s="61" t="str">
        <f aca="false">IF(IsPro,IF($D2541="","",IF(OR($H2541="",$H2541="Credit"),0,Q2541)),"")</f>
        <v/>
      </c>
    </row>
    <row r="2542" customFormat="false" ht="15" hidden="false" customHeight="false" outlineLevel="0" collapsed="false">
      <c r="A2542" s="55"/>
      <c r="B2542" s="56"/>
      <c r="C2542" s="56"/>
      <c r="D2542" s="56"/>
      <c r="E2542" s="57"/>
      <c r="F2542" s="58"/>
      <c r="G2542" s="59"/>
      <c r="H2542" s="56"/>
      <c r="I2542" s="56"/>
      <c r="J2542" s="60" t="str">
        <f aca="false">IF(IsPro,IF($D2542="","",IFERROR(INDEX(Items!$D$5:$D$504,U2542),"")),"")</f>
        <v/>
      </c>
      <c r="K2542" s="61" t="str">
        <f aca="false">IF(IsPro,IF($D2542="","",IF($F2542="",IFERROR(INDEX(Items!$H$5:$H$504,U2542),0),$F2542)),"")</f>
        <v/>
      </c>
      <c r="L2542" s="61" t="str">
        <f aca="false">IF(IsPro,IF($D2542="","",ROUND(N($E2542)*K2542*(1-N($G2542)),2)),"")</f>
        <v/>
      </c>
      <c r="M2542" s="62" t="str">
        <f aca="false">IF(IsPro,IF($D2542="","",IFERROR(INDEX(Items!$F$5:$F$504,U2542),0)),"")</f>
        <v/>
      </c>
      <c r="N2542" s="61" t="str">
        <f aca="false">IF(IsPro,IF($D2542="","",IF(AND(V2542&lt;&gt;"",INDEX(Parties!$E$5:$E$304,V2542)&lt;&gt;"",INDEX(Parties!$E$5:$E$304,V2542)&lt;&gt;HomeState),0,ROUND(L2542*M2542/2,2))),"")</f>
        <v/>
      </c>
      <c r="O2542" s="61" t="str">
        <f aca="false">IF(IsPro,IF($D2542="","",N2542),"")</f>
        <v/>
      </c>
      <c r="P2542" s="61" t="str">
        <f aca="false">IF(IsPro,IF($D2542="","",IF(AND(V2542&lt;&gt;"",INDEX(Parties!$E$5:$E$304,V2542)&lt;&gt;"",INDEX(Parties!$E$5:$E$304,V2542)&lt;&gt;HomeState),ROUND(L2542*M2542,2),0)),"")</f>
        <v/>
      </c>
      <c r="Q2542" s="61" t="str">
        <f aca="false">IF(IsPro,IF($D2542="","",L2542+N2542+O2542+P2542),"")</f>
        <v/>
      </c>
      <c r="R2542" s="61" t="str">
        <f aca="false">IF(IsPro,IF($D2542="","",ROUND(N($E2542)*IFERROR(INDEX(Items!$P$5:$P$504,U2542),0),2)),"")</f>
        <v/>
      </c>
      <c r="S2542" s="61" t="str">
        <f aca="false">IF(IsPro,IF($D2542="","",L2542-R2542),"")</f>
        <v/>
      </c>
      <c r="T2542" s="60" t="str">
        <f aca="false">IF(IsPro,IF($D2542="","",IF(U2542="","UNKNOWN ITEM",IF(INDEX(Items!$O$5:$O$504,U2542)&lt;0,"NEG STOCK",IF(K2542&lt;INDEX(Items!$P$5:$P$504,U2542),"BELOW COST","OK")))),IF($D2542="","","PRO PLAN"))</f>
        <v/>
      </c>
      <c r="U2542" s="60" t="str">
        <f aca="false">IF(IsPro,IF($D2542="","",IFERROR(MATCH($D2542,Items!$A$5:$A$504,0),"")),"")</f>
        <v/>
      </c>
      <c r="V2542" s="60" t="str">
        <f aca="false">IF(IsPro,IF($C2542="","",IFERROR(MATCH($C2542,Parties!$A$5:$A$304,0),"")),"")</f>
        <v/>
      </c>
      <c r="W2542" s="60" t="str">
        <f aca="false">IF(IsPro,IF($B2542="","",IFERROR(VALUE(SUBSTITUTE($B2542,InvPrefix,"")),0)),"")</f>
        <v/>
      </c>
      <c r="X2542" s="61" t="str">
        <f aca="false">IF(IsPro,IF($D2542="","",IF(OR($H2542="",$H2542="Credit"),0,Q2542)),"")</f>
        <v/>
      </c>
    </row>
    <row r="2543" customFormat="false" ht="15" hidden="false" customHeight="false" outlineLevel="0" collapsed="false">
      <c r="A2543" s="55"/>
      <c r="B2543" s="56"/>
      <c r="C2543" s="56"/>
      <c r="D2543" s="56"/>
      <c r="E2543" s="57"/>
      <c r="F2543" s="58"/>
      <c r="G2543" s="59"/>
      <c r="H2543" s="56"/>
      <c r="I2543" s="56"/>
      <c r="J2543" s="60" t="str">
        <f aca="false">IF(IsPro,IF($D2543="","",IFERROR(INDEX(Items!$D$5:$D$504,U2543),"")),"")</f>
        <v/>
      </c>
      <c r="K2543" s="61" t="str">
        <f aca="false">IF(IsPro,IF($D2543="","",IF($F2543="",IFERROR(INDEX(Items!$H$5:$H$504,U2543),0),$F2543)),"")</f>
        <v/>
      </c>
      <c r="L2543" s="61" t="str">
        <f aca="false">IF(IsPro,IF($D2543="","",ROUND(N($E2543)*K2543*(1-N($G2543)),2)),"")</f>
        <v/>
      </c>
      <c r="M2543" s="62" t="str">
        <f aca="false">IF(IsPro,IF($D2543="","",IFERROR(INDEX(Items!$F$5:$F$504,U2543),0)),"")</f>
        <v/>
      </c>
      <c r="N2543" s="61" t="str">
        <f aca="false">IF(IsPro,IF($D2543="","",IF(AND(V2543&lt;&gt;"",INDEX(Parties!$E$5:$E$304,V2543)&lt;&gt;"",INDEX(Parties!$E$5:$E$304,V2543)&lt;&gt;HomeState),0,ROUND(L2543*M2543/2,2))),"")</f>
        <v/>
      </c>
      <c r="O2543" s="61" t="str">
        <f aca="false">IF(IsPro,IF($D2543="","",N2543),"")</f>
        <v/>
      </c>
      <c r="P2543" s="61" t="str">
        <f aca="false">IF(IsPro,IF($D2543="","",IF(AND(V2543&lt;&gt;"",INDEX(Parties!$E$5:$E$304,V2543)&lt;&gt;"",INDEX(Parties!$E$5:$E$304,V2543)&lt;&gt;HomeState),ROUND(L2543*M2543,2),0)),"")</f>
        <v/>
      </c>
      <c r="Q2543" s="61" t="str">
        <f aca="false">IF(IsPro,IF($D2543="","",L2543+N2543+O2543+P2543),"")</f>
        <v/>
      </c>
      <c r="R2543" s="61" t="str">
        <f aca="false">IF(IsPro,IF($D2543="","",ROUND(N($E2543)*IFERROR(INDEX(Items!$P$5:$P$504,U2543),0),2)),"")</f>
        <v/>
      </c>
      <c r="S2543" s="61" t="str">
        <f aca="false">IF(IsPro,IF($D2543="","",L2543-R2543),"")</f>
        <v/>
      </c>
      <c r="T2543" s="60" t="str">
        <f aca="false">IF(IsPro,IF($D2543="","",IF(U2543="","UNKNOWN ITEM",IF(INDEX(Items!$O$5:$O$504,U2543)&lt;0,"NEG STOCK",IF(K2543&lt;INDEX(Items!$P$5:$P$504,U2543),"BELOW COST","OK")))),IF($D2543="","","PRO PLAN"))</f>
        <v/>
      </c>
      <c r="U2543" s="60" t="str">
        <f aca="false">IF(IsPro,IF($D2543="","",IFERROR(MATCH($D2543,Items!$A$5:$A$504,0),"")),"")</f>
        <v/>
      </c>
      <c r="V2543" s="60" t="str">
        <f aca="false">IF(IsPro,IF($C2543="","",IFERROR(MATCH($C2543,Parties!$A$5:$A$304,0),"")),"")</f>
        <v/>
      </c>
      <c r="W2543" s="60" t="str">
        <f aca="false">IF(IsPro,IF($B2543="","",IFERROR(VALUE(SUBSTITUTE($B2543,InvPrefix,"")),0)),"")</f>
        <v/>
      </c>
      <c r="X2543" s="61" t="str">
        <f aca="false">IF(IsPro,IF($D2543="","",IF(OR($H2543="",$H2543="Credit"),0,Q2543)),"")</f>
        <v/>
      </c>
    </row>
    <row r="2544" customFormat="false" ht="15" hidden="false" customHeight="false" outlineLevel="0" collapsed="false">
      <c r="A2544" s="55"/>
      <c r="B2544" s="56"/>
      <c r="C2544" s="56"/>
      <c r="D2544" s="56"/>
      <c r="E2544" s="57"/>
      <c r="F2544" s="58"/>
      <c r="G2544" s="59"/>
      <c r="H2544" s="56"/>
      <c r="I2544" s="56"/>
      <c r="J2544" s="60" t="str">
        <f aca="false">IF(IsPro,IF($D2544="","",IFERROR(INDEX(Items!$D$5:$D$504,U2544),"")),"")</f>
        <v/>
      </c>
      <c r="K2544" s="61" t="str">
        <f aca="false">IF(IsPro,IF($D2544="","",IF($F2544="",IFERROR(INDEX(Items!$H$5:$H$504,U2544),0),$F2544)),"")</f>
        <v/>
      </c>
      <c r="L2544" s="61" t="str">
        <f aca="false">IF(IsPro,IF($D2544="","",ROUND(N($E2544)*K2544*(1-N($G2544)),2)),"")</f>
        <v/>
      </c>
      <c r="M2544" s="62" t="str">
        <f aca="false">IF(IsPro,IF($D2544="","",IFERROR(INDEX(Items!$F$5:$F$504,U2544),0)),"")</f>
        <v/>
      </c>
      <c r="N2544" s="61" t="str">
        <f aca="false">IF(IsPro,IF($D2544="","",IF(AND(V2544&lt;&gt;"",INDEX(Parties!$E$5:$E$304,V2544)&lt;&gt;"",INDEX(Parties!$E$5:$E$304,V2544)&lt;&gt;HomeState),0,ROUND(L2544*M2544/2,2))),"")</f>
        <v/>
      </c>
      <c r="O2544" s="61" t="str">
        <f aca="false">IF(IsPro,IF($D2544="","",N2544),"")</f>
        <v/>
      </c>
      <c r="P2544" s="61" t="str">
        <f aca="false">IF(IsPro,IF($D2544="","",IF(AND(V2544&lt;&gt;"",INDEX(Parties!$E$5:$E$304,V2544)&lt;&gt;"",INDEX(Parties!$E$5:$E$304,V2544)&lt;&gt;HomeState),ROUND(L2544*M2544,2),0)),"")</f>
        <v/>
      </c>
      <c r="Q2544" s="61" t="str">
        <f aca="false">IF(IsPro,IF($D2544="","",L2544+N2544+O2544+P2544),"")</f>
        <v/>
      </c>
      <c r="R2544" s="61" t="str">
        <f aca="false">IF(IsPro,IF($D2544="","",ROUND(N($E2544)*IFERROR(INDEX(Items!$P$5:$P$504,U2544),0),2)),"")</f>
        <v/>
      </c>
      <c r="S2544" s="61" t="str">
        <f aca="false">IF(IsPro,IF($D2544="","",L2544-R2544),"")</f>
        <v/>
      </c>
      <c r="T2544" s="60" t="str">
        <f aca="false">IF(IsPro,IF($D2544="","",IF(U2544="","UNKNOWN ITEM",IF(INDEX(Items!$O$5:$O$504,U2544)&lt;0,"NEG STOCK",IF(K2544&lt;INDEX(Items!$P$5:$P$504,U2544),"BELOW COST","OK")))),IF($D2544="","","PRO PLAN"))</f>
        <v/>
      </c>
      <c r="U2544" s="60" t="str">
        <f aca="false">IF(IsPro,IF($D2544="","",IFERROR(MATCH($D2544,Items!$A$5:$A$504,0),"")),"")</f>
        <v/>
      </c>
      <c r="V2544" s="60" t="str">
        <f aca="false">IF(IsPro,IF($C2544="","",IFERROR(MATCH($C2544,Parties!$A$5:$A$304,0),"")),"")</f>
        <v/>
      </c>
      <c r="W2544" s="60" t="str">
        <f aca="false">IF(IsPro,IF($B2544="","",IFERROR(VALUE(SUBSTITUTE($B2544,InvPrefix,"")),0)),"")</f>
        <v/>
      </c>
      <c r="X2544" s="61" t="str">
        <f aca="false">IF(IsPro,IF($D2544="","",IF(OR($H2544="",$H2544="Credit"),0,Q2544)),"")</f>
        <v/>
      </c>
    </row>
    <row r="2545" customFormat="false" ht="15" hidden="false" customHeight="false" outlineLevel="0" collapsed="false">
      <c r="A2545" s="55"/>
      <c r="B2545" s="56"/>
      <c r="C2545" s="56"/>
      <c r="D2545" s="56"/>
      <c r="E2545" s="57"/>
      <c r="F2545" s="58"/>
      <c r="G2545" s="59"/>
      <c r="H2545" s="56"/>
      <c r="I2545" s="56"/>
      <c r="J2545" s="60" t="str">
        <f aca="false">IF(IsPro,IF($D2545="","",IFERROR(INDEX(Items!$D$5:$D$504,U2545),"")),"")</f>
        <v/>
      </c>
      <c r="K2545" s="61" t="str">
        <f aca="false">IF(IsPro,IF($D2545="","",IF($F2545="",IFERROR(INDEX(Items!$H$5:$H$504,U2545),0),$F2545)),"")</f>
        <v/>
      </c>
      <c r="L2545" s="61" t="str">
        <f aca="false">IF(IsPro,IF($D2545="","",ROUND(N($E2545)*K2545*(1-N($G2545)),2)),"")</f>
        <v/>
      </c>
      <c r="M2545" s="62" t="str">
        <f aca="false">IF(IsPro,IF($D2545="","",IFERROR(INDEX(Items!$F$5:$F$504,U2545),0)),"")</f>
        <v/>
      </c>
      <c r="N2545" s="61" t="str">
        <f aca="false">IF(IsPro,IF($D2545="","",IF(AND(V2545&lt;&gt;"",INDEX(Parties!$E$5:$E$304,V2545)&lt;&gt;"",INDEX(Parties!$E$5:$E$304,V2545)&lt;&gt;HomeState),0,ROUND(L2545*M2545/2,2))),"")</f>
        <v/>
      </c>
      <c r="O2545" s="61" t="str">
        <f aca="false">IF(IsPro,IF($D2545="","",N2545),"")</f>
        <v/>
      </c>
      <c r="P2545" s="61" t="str">
        <f aca="false">IF(IsPro,IF($D2545="","",IF(AND(V2545&lt;&gt;"",INDEX(Parties!$E$5:$E$304,V2545)&lt;&gt;"",INDEX(Parties!$E$5:$E$304,V2545)&lt;&gt;HomeState),ROUND(L2545*M2545,2),0)),"")</f>
        <v/>
      </c>
      <c r="Q2545" s="61" t="str">
        <f aca="false">IF(IsPro,IF($D2545="","",L2545+N2545+O2545+P2545),"")</f>
        <v/>
      </c>
      <c r="R2545" s="61" t="str">
        <f aca="false">IF(IsPro,IF($D2545="","",ROUND(N($E2545)*IFERROR(INDEX(Items!$P$5:$P$504,U2545),0),2)),"")</f>
        <v/>
      </c>
      <c r="S2545" s="61" t="str">
        <f aca="false">IF(IsPro,IF($D2545="","",L2545-R2545),"")</f>
        <v/>
      </c>
      <c r="T2545" s="60" t="str">
        <f aca="false">IF(IsPro,IF($D2545="","",IF(U2545="","UNKNOWN ITEM",IF(INDEX(Items!$O$5:$O$504,U2545)&lt;0,"NEG STOCK",IF(K2545&lt;INDEX(Items!$P$5:$P$504,U2545),"BELOW COST","OK")))),IF($D2545="","","PRO PLAN"))</f>
        <v/>
      </c>
      <c r="U2545" s="60" t="str">
        <f aca="false">IF(IsPro,IF($D2545="","",IFERROR(MATCH($D2545,Items!$A$5:$A$504,0),"")),"")</f>
        <v/>
      </c>
      <c r="V2545" s="60" t="str">
        <f aca="false">IF(IsPro,IF($C2545="","",IFERROR(MATCH($C2545,Parties!$A$5:$A$304,0),"")),"")</f>
        <v/>
      </c>
      <c r="W2545" s="60" t="str">
        <f aca="false">IF(IsPro,IF($B2545="","",IFERROR(VALUE(SUBSTITUTE($B2545,InvPrefix,"")),0)),"")</f>
        <v/>
      </c>
      <c r="X2545" s="61" t="str">
        <f aca="false">IF(IsPro,IF($D2545="","",IF(OR($H2545="",$H2545="Credit"),0,Q2545)),"")</f>
        <v/>
      </c>
    </row>
    <row r="2546" customFormat="false" ht="15" hidden="false" customHeight="false" outlineLevel="0" collapsed="false">
      <c r="A2546" s="55"/>
      <c r="B2546" s="56"/>
      <c r="C2546" s="56"/>
      <c r="D2546" s="56"/>
      <c r="E2546" s="57"/>
      <c r="F2546" s="58"/>
      <c r="G2546" s="59"/>
      <c r="H2546" s="56"/>
      <c r="I2546" s="56"/>
      <c r="J2546" s="60" t="str">
        <f aca="false">IF(IsPro,IF($D2546="","",IFERROR(INDEX(Items!$D$5:$D$504,U2546),"")),"")</f>
        <v/>
      </c>
      <c r="K2546" s="61" t="str">
        <f aca="false">IF(IsPro,IF($D2546="","",IF($F2546="",IFERROR(INDEX(Items!$H$5:$H$504,U2546),0),$F2546)),"")</f>
        <v/>
      </c>
      <c r="L2546" s="61" t="str">
        <f aca="false">IF(IsPro,IF($D2546="","",ROUND(N($E2546)*K2546*(1-N($G2546)),2)),"")</f>
        <v/>
      </c>
      <c r="M2546" s="62" t="str">
        <f aca="false">IF(IsPro,IF($D2546="","",IFERROR(INDEX(Items!$F$5:$F$504,U2546),0)),"")</f>
        <v/>
      </c>
      <c r="N2546" s="61" t="str">
        <f aca="false">IF(IsPro,IF($D2546="","",IF(AND(V2546&lt;&gt;"",INDEX(Parties!$E$5:$E$304,V2546)&lt;&gt;"",INDEX(Parties!$E$5:$E$304,V2546)&lt;&gt;HomeState),0,ROUND(L2546*M2546/2,2))),"")</f>
        <v/>
      </c>
      <c r="O2546" s="61" t="str">
        <f aca="false">IF(IsPro,IF($D2546="","",N2546),"")</f>
        <v/>
      </c>
      <c r="P2546" s="61" t="str">
        <f aca="false">IF(IsPro,IF($D2546="","",IF(AND(V2546&lt;&gt;"",INDEX(Parties!$E$5:$E$304,V2546)&lt;&gt;"",INDEX(Parties!$E$5:$E$304,V2546)&lt;&gt;HomeState),ROUND(L2546*M2546,2),0)),"")</f>
        <v/>
      </c>
      <c r="Q2546" s="61" t="str">
        <f aca="false">IF(IsPro,IF($D2546="","",L2546+N2546+O2546+P2546),"")</f>
        <v/>
      </c>
      <c r="R2546" s="61" t="str">
        <f aca="false">IF(IsPro,IF($D2546="","",ROUND(N($E2546)*IFERROR(INDEX(Items!$P$5:$P$504,U2546),0),2)),"")</f>
        <v/>
      </c>
      <c r="S2546" s="61" t="str">
        <f aca="false">IF(IsPro,IF($D2546="","",L2546-R2546),"")</f>
        <v/>
      </c>
      <c r="T2546" s="60" t="str">
        <f aca="false">IF(IsPro,IF($D2546="","",IF(U2546="","UNKNOWN ITEM",IF(INDEX(Items!$O$5:$O$504,U2546)&lt;0,"NEG STOCK",IF(K2546&lt;INDEX(Items!$P$5:$P$504,U2546),"BELOW COST","OK")))),IF($D2546="","","PRO PLAN"))</f>
        <v/>
      </c>
      <c r="U2546" s="60" t="str">
        <f aca="false">IF(IsPro,IF($D2546="","",IFERROR(MATCH($D2546,Items!$A$5:$A$504,0),"")),"")</f>
        <v/>
      </c>
      <c r="V2546" s="60" t="str">
        <f aca="false">IF(IsPro,IF($C2546="","",IFERROR(MATCH($C2546,Parties!$A$5:$A$304,0),"")),"")</f>
        <v/>
      </c>
      <c r="W2546" s="60" t="str">
        <f aca="false">IF(IsPro,IF($B2546="","",IFERROR(VALUE(SUBSTITUTE($B2546,InvPrefix,"")),0)),"")</f>
        <v/>
      </c>
      <c r="X2546" s="61" t="str">
        <f aca="false">IF(IsPro,IF($D2546="","",IF(OR($H2546="",$H2546="Credit"),0,Q2546)),"")</f>
        <v/>
      </c>
    </row>
    <row r="2547" customFormat="false" ht="15" hidden="false" customHeight="false" outlineLevel="0" collapsed="false">
      <c r="A2547" s="55"/>
      <c r="B2547" s="56"/>
      <c r="C2547" s="56"/>
      <c r="D2547" s="56"/>
      <c r="E2547" s="57"/>
      <c r="F2547" s="58"/>
      <c r="G2547" s="59"/>
      <c r="H2547" s="56"/>
      <c r="I2547" s="56"/>
      <c r="J2547" s="60" t="str">
        <f aca="false">IF(IsPro,IF($D2547="","",IFERROR(INDEX(Items!$D$5:$D$504,U2547),"")),"")</f>
        <v/>
      </c>
      <c r="K2547" s="61" t="str">
        <f aca="false">IF(IsPro,IF($D2547="","",IF($F2547="",IFERROR(INDEX(Items!$H$5:$H$504,U2547),0),$F2547)),"")</f>
        <v/>
      </c>
      <c r="L2547" s="61" t="str">
        <f aca="false">IF(IsPro,IF($D2547="","",ROUND(N($E2547)*K2547*(1-N($G2547)),2)),"")</f>
        <v/>
      </c>
      <c r="M2547" s="62" t="str">
        <f aca="false">IF(IsPro,IF($D2547="","",IFERROR(INDEX(Items!$F$5:$F$504,U2547),0)),"")</f>
        <v/>
      </c>
      <c r="N2547" s="61" t="str">
        <f aca="false">IF(IsPro,IF($D2547="","",IF(AND(V2547&lt;&gt;"",INDEX(Parties!$E$5:$E$304,V2547)&lt;&gt;"",INDEX(Parties!$E$5:$E$304,V2547)&lt;&gt;HomeState),0,ROUND(L2547*M2547/2,2))),"")</f>
        <v/>
      </c>
      <c r="O2547" s="61" t="str">
        <f aca="false">IF(IsPro,IF($D2547="","",N2547),"")</f>
        <v/>
      </c>
      <c r="P2547" s="61" t="str">
        <f aca="false">IF(IsPro,IF($D2547="","",IF(AND(V2547&lt;&gt;"",INDEX(Parties!$E$5:$E$304,V2547)&lt;&gt;"",INDEX(Parties!$E$5:$E$304,V2547)&lt;&gt;HomeState),ROUND(L2547*M2547,2),0)),"")</f>
        <v/>
      </c>
      <c r="Q2547" s="61" t="str">
        <f aca="false">IF(IsPro,IF($D2547="","",L2547+N2547+O2547+P2547),"")</f>
        <v/>
      </c>
      <c r="R2547" s="61" t="str">
        <f aca="false">IF(IsPro,IF($D2547="","",ROUND(N($E2547)*IFERROR(INDEX(Items!$P$5:$P$504,U2547),0),2)),"")</f>
        <v/>
      </c>
      <c r="S2547" s="61" t="str">
        <f aca="false">IF(IsPro,IF($D2547="","",L2547-R2547),"")</f>
        <v/>
      </c>
      <c r="T2547" s="60" t="str">
        <f aca="false">IF(IsPro,IF($D2547="","",IF(U2547="","UNKNOWN ITEM",IF(INDEX(Items!$O$5:$O$504,U2547)&lt;0,"NEG STOCK",IF(K2547&lt;INDEX(Items!$P$5:$P$504,U2547),"BELOW COST","OK")))),IF($D2547="","","PRO PLAN"))</f>
        <v/>
      </c>
      <c r="U2547" s="60" t="str">
        <f aca="false">IF(IsPro,IF($D2547="","",IFERROR(MATCH($D2547,Items!$A$5:$A$504,0),"")),"")</f>
        <v/>
      </c>
      <c r="V2547" s="60" t="str">
        <f aca="false">IF(IsPro,IF($C2547="","",IFERROR(MATCH($C2547,Parties!$A$5:$A$304,0),"")),"")</f>
        <v/>
      </c>
      <c r="W2547" s="60" t="str">
        <f aca="false">IF(IsPro,IF($B2547="","",IFERROR(VALUE(SUBSTITUTE($B2547,InvPrefix,"")),0)),"")</f>
        <v/>
      </c>
      <c r="X2547" s="61" t="str">
        <f aca="false">IF(IsPro,IF($D2547="","",IF(OR($H2547="",$H2547="Credit"),0,Q2547)),"")</f>
        <v/>
      </c>
    </row>
    <row r="2548" customFormat="false" ht="15" hidden="false" customHeight="false" outlineLevel="0" collapsed="false">
      <c r="A2548" s="55"/>
      <c r="B2548" s="56"/>
      <c r="C2548" s="56"/>
      <c r="D2548" s="56"/>
      <c r="E2548" s="57"/>
      <c r="F2548" s="58"/>
      <c r="G2548" s="59"/>
      <c r="H2548" s="56"/>
      <c r="I2548" s="56"/>
      <c r="J2548" s="60" t="str">
        <f aca="false">IF(IsPro,IF($D2548="","",IFERROR(INDEX(Items!$D$5:$D$504,U2548),"")),"")</f>
        <v/>
      </c>
      <c r="K2548" s="61" t="str">
        <f aca="false">IF(IsPro,IF($D2548="","",IF($F2548="",IFERROR(INDEX(Items!$H$5:$H$504,U2548),0),$F2548)),"")</f>
        <v/>
      </c>
      <c r="L2548" s="61" t="str">
        <f aca="false">IF(IsPro,IF($D2548="","",ROUND(N($E2548)*K2548*(1-N($G2548)),2)),"")</f>
        <v/>
      </c>
      <c r="M2548" s="62" t="str">
        <f aca="false">IF(IsPro,IF($D2548="","",IFERROR(INDEX(Items!$F$5:$F$504,U2548),0)),"")</f>
        <v/>
      </c>
      <c r="N2548" s="61" t="str">
        <f aca="false">IF(IsPro,IF($D2548="","",IF(AND(V2548&lt;&gt;"",INDEX(Parties!$E$5:$E$304,V2548)&lt;&gt;"",INDEX(Parties!$E$5:$E$304,V2548)&lt;&gt;HomeState),0,ROUND(L2548*M2548/2,2))),"")</f>
        <v/>
      </c>
      <c r="O2548" s="61" t="str">
        <f aca="false">IF(IsPro,IF($D2548="","",N2548),"")</f>
        <v/>
      </c>
      <c r="P2548" s="61" t="str">
        <f aca="false">IF(IsPro,IF($D2548="","",IF(AND(V2548&lt;&gt;"",INDEX(Parties!$E$5:$E$304,V2548)&lt;&gt;"",INDEX(Parties!$E$5:$E$304,V2548)&lt;&gt;HomeState),ROUND(L2548*M2548,2),0)),"")</f>
        <v/>
      </c>
      <c r="Q2548" s="61" t="str">
        <f aca="false">IF(IsPro,IF($D2548="","",L2548+N2548+O2548+P2548),"")</f>
        <v/>
      </c>
      <c r="R2548" s="61" t="str">
        <f aca="false">IF(IsPro,IF($D2548="","",ROUND(N($E2548)*IFERROR(INDEX(Items!$P$5:$P$504,U2548),0),2)),"")</f>
        <v/>
      </c>
      <c r="S2548" s="61" t="str">
        <f aca="false">IF(IsPro,IF($D2548="","",L2548-R2548),"")</f>
        <v/>
      </c>
      <c r="T2548" s="60" t="str">
        <f aca="false">IF(IsPro,IF($D2548="","",IF(U2548="","UNKNOWN ITEM",IF(INDEX(Items!$O$5:$O$504,U2548)&lt;0,"NEG STOCK",IF(K2548&lt;INDEX(Items!$P$5:$P$504,U2548),"BELOW COST","OK")))),IF($D2548="","","PRO PLAN"))</f>
        <v/>
      </c>
      <c r="U2548" s="60" t="str">
        <f aca="false">IF(IsPro,IF($D2548="","",IFERROR(MATCH($D2548,Items!$A$5:$A$504,0),"")),"")</f>
        <v/>
      </c>
      <c r="V2548" s="60" t="str">
        <f aca="false">IF(IsPro,IF($C2548="","",IFERROR(MATCH($C2548,Parties!$A$5:$A$304,0),"")),"")</f>
        <v/>
      </c>
      <c r="W2548" s="60" t="str">
        <f aca="false">IF(IsPro,IF($B2548="","",IFERROR(VALUE(SUBSTITUTE($B2548,InvPrefix,"")),0)),"")</f>
        <v/>
      </c>
      <c r="X2548" s="61" t="str">
        <f aca="false">IF(IsPro,IF($D2548="","",IF(OR($H2548="",$H2548="Credit"),0,Q2548)),"")</f>
        <v/>
      </c>
    </row>
    <row r="2549" customFormat="false" ht="15" hidden="false" customHeight="false" outlineLevel="0" collapsed="false">
      <c r="A2549" s="55"/>
      <c r="B2549" s="56"/>
      <c r="C2549" s="56"/>
      <c r="D2549" s="56"/>
      <c r="E2549" s="57"/>
      <c r="F2549" s="58"/>
      <c r="G2549" s="59"/>
      <c r="H2549" s="56"/>
      <c r="I2549" s="56"/>
      <c r="J2549" s="60" t="str">
        <f aca="false">IF(IsPro,IF($D2549="","",IFERROR(INDEX(Items!$D$5:$D$504,U2549),"")),"")</f>
        <v/>
      </c>
      <c r="K2549" s="61" t="str">
        <f aca="false">IF(IsPro,IF($D2549="","",IF($F2549="",IFERROR(INDEX(Items!$H$5:$H$504,U2549),0),$F2549)),"")</f>
        <v/>
      </c>
      <c r="L2549" s="61" t="str">
        <f aca="false">IF(IsPro,IF($D2549="","",ROUND(N($E2549)*K2549*(1-N($G2549)),2)),"")</f>
        <v/>
      </c>
      <c r="M2549" s="62" t="str">
        <f aca="false">IF(IsPro,IF($D2549="","",IFERROR(INDEX(Items!$F$5:$F$504,U2549),0)),"")</f>
        <v/>
      </c>
      <c r="N2549" s="61" t="str">
        <f aca="false">IF(IsPro,IF($D2549="","",IF(AND(V2549&lt;&gt;"",INDEX(Parties!$E$5:$E$304,V2549)&lt;&gt;"",INDEX(Parties!$E$5:$E$304,V2549)&lt;&gt;HomeState),0,ROUND(L2549*M2549/2,2))),"")</f>
        <v/>
      </c>
      <c r="O2549" s="61" t="str">
        <f aca="false">IF(IsPro,IF($D2549="","",N2549),"")</f>
        <v/>
      </c>
      <c r="P2549" s="61" t="str">
        <f aca="false">IF(IsPro,IF($D2549="","",IF(AND(V2549&lt;&gt;"",INDEX(Parties!$E$5:$E$304,V2549)&lt;&gt;"",INDEX(Parties!$E$5:$E$304,V2549)&lt;&gt;HomeState),ROUND(L2549*M2549,2),0)),"")</f>
        <v/>
      </c>
      <c r="Q2549" s="61" t="str">
        <f aca="false">IF(IsPro,IF($D2549="","",L2549+N2549+O2549+P2549),"")</f>
        <v/>
      </c>
      <c r="R2549" s="61" t="str">
        <f aca="false">IF(IsPro,IF($D2549="","",ROUND(N($E2549)*IFERROR(INDEX(Items!$P$5:$P$504,U2549),0),2)),"")</f>
        <v/>
      </c>
      <c r="S2549" s="61" t="str">
        <f aca="false">IF(IsPro,IF($D2549="","",L2549-R2549),"")</f>
        <v/>
      </c>
      <c r="T2549" s="60" t="str">
        <f aca="false">IF(IsPro,IF($D2549="","",IF(U2549="","UNKNOWN ITEM",IF(INDEX(Items!$O$5:$O$504,U2549)&lt;0,"NEG STOCK",IF(K2549&lt;INDEX(Items!$P$5:$P$504,U2549),"BELOW COST","OK")))),IF($D2549="","","PRO PLAN"))</f>
        <v/>
      </c>
      <c r="U2549" s="60" t="str">
        <f aca="false">IF(IsPro,IF($D2549="","",IFERROR(MATCH($D2549,Items!$A$5:$A$504,0),"")),"")</f>
        <v/>
      </c>
      <c r="V2549" s="60" t="str">
        <f aca="false">IF(IsPro,IF($C2549="","",IFERROR(MATCH($C2549,Parties!$A$5:$A$304,0),"")),"")</f>
        <v/>
      </c>
      <c r="W2549" s="60" t="str">
        <f aca="false">IF(IsPro,IF($B2549="","",IFERROR(VALUE(SUBSTITUTE($B2549,InvPrefix,"")),0)),"")</f>
        <v/>
      </c>
      <c r="X2549" s="61" t="str">
        <f aca="false">IF(IsPro,IF($D2549="","",IF(OR($H2549="",$H2549="Credit"),0,Q2549)),"")</f>
        <v/>
      </c>
    </row>
    <row r="2550" customFormat="false" ht="15" hidden="false" customHeight="false" outlineLevel="0" collapsed="false">
      <c r="A2550" s="55"/>
      <c r="B2550" s="56"/>
      <c r="C2550" s="56"/>
      <c r="D2550" s="56"/>
      <c r="E2550" s="57"/>
      <c r="F2550" s="58"/>
      <c r="G2550" s="59"/>
      <c r="H2550" s="56"/>
      <c r="I2550" s="56"/>
      <c r="J2550" s="60" t="str">
        <f aca="false">IF(IsPro,IF($D2550="","",IFERROR(INDEX(Items!$D$5:$D$504,U2550),"")),"")</f>
        <v/>
      </c>
      <c r="K2550" s="61" t="str">
        <f aca="false">IF(IsPro,IF($D2550="","",IF($F2550="",IFERROR(INDEX(Items!$H$5:$H$504,U2550),0),$F2550)),"")</f>
        <v/>
      </c>
      <c r="L2550" s="61" t="str">
        <f aca="false">IF(IsPro,IF($D2550="","",ROUND(N($E2550)*K2550*(1-N($G2550)),2)),"")</f>
        <v/>
      </c>
      <c r="M2550" s="62" t="str">
        <f aca="false">IF(IsPro,IF($D2550="","",IFERROR(INDEX(Items!$F$5:$F$504,U2550),0)),"")</f>
        <v/>
      </c>
      <c r="N2550" s="61" t="str">
        <f aca="false">IF(IsPro,IF($D2550="","",IF(AND(V2550&lt;&gt;"",INDEX(Parties!$E$5:$E$304,V2550)&lt;&gt;"",INDEX(Parties!$E$5:$E$304,V2550)&lt;&gt;HomeState),0,ROUND(L2550*M2550/2,2))),"")</f>
        <v/>
      </c>
      <c r="O2550" s="61" t="str">
        <f aca="false">IF(IsPro,IF($D2550="","",N2550),"")</f>
        <v/>
      </c>
      <c r="P2550" s="61" t="str">
        <f aca="false">IF(IsPro,IF($D2550="","",IF(AND(V2550&lt;&gt;"",INDEX(Parties!$E$5:$E$304,V2550)&lt;&gt;"",INDEX(Parties!$E$5:$E$304,V2550)&lt;&gt;HomeState),ROUND(L2550*M2550,2),0)),"")</f>
        <v/>
      </c>
      <c r="Q2550" s="61" t="str">
        <f aca="false">IF(IsPro,IF($D2550="","",L2550+N2550+O2550+P2550),"")</f>
        <v/>
      </c>
      <c r="R2550" s="61" t="str">
        <f aca="false">IF(IsPro,IF($D2550="","",ROUND(N($E2550)*IFERROR(INDEX(Items!$P$5:$P$504,U2550),0),2)),"")</f>
        <v/>
      </c>
      <c r="S2550" s="61" t="str">
        <f aca="false">IF(IsPro,IF($D2550="","",L2550-R2550),"")</f>
        <v/>
      </c>
      <c r="T2550" s="60" t="str">
        <f aca="false">IF(IsPro,IF($D2550="","",IF(U2550="","UNKNOWN ITEM",IF(INDEX(Items!$O$5:$O$504,U2550)&lt;0,"NEG STOCK",IF(K2550&lt;INDEX(Items!$P$5:$P$504,U2550),"BELOW COST","OK")))),IF($D2550="","","PRO PLAN"))</f>
        <v/>
      </c>
      <c r="U2550" s="60" t="str">
        <f aca="false">IF(IsPro,IF($D2550="","",IFERROR(MATCH($D2550,Items!$A$5:$A$504,0),"")),"")</f>
        <v/>
      </c>
      <c r="V2550" s="60" t="str">
        <f aca="false">IF(IsPro,IF($C2550="","",IFERROR(MATCH($C2550,Parties!$A$5:$A$304,0),"")),"")</f>
        <v/>
      </c>
      <c r="W2550" s="60" t="str">
        <f aca="false">IF(IsPro,IF($B2550="","",IFERROR(VALUE(SUBSTITUTE($B2550,InvPrefix,"")),0)),"")</f>
        <v/>
      </c>
      <c r="X2550" s="61" t="str">
        <f aca="false">IF(IsPro,IF($D2550="","",IF(OR($H2550="",$H2550="Credit"),0,Q2550)),"")</f>
        <v/>
      </c>
    </row>
    <row r="2551" customFormat="false" ht="15" hidden="false" customHeight="false" outlineLevel="0" collapsed="false">
      <c r="A2551" s="55"/>
      <c r="B2551" s="56"/>
      <c r="C2551" s="56"/>
      <c r="D2551" s="56"/>
      <c r="E2551" s="57"/>
      <c r="F2551" s="58"/>
      <c r="G2551" s="59"/>
      <c r="H2551" s="56"/>
      <c r="I2551" s="56"/>
      <c r="J2551" s="60" t="str">
        <f aca="false">IF(IsPro,IF($D2551="","",IFERROR(INDEX(Items!$D$5:$D$504,U2551),"")),"")</f>
        <v/>
      </c>
      <c r="K2551" s="61" t="str">
        <f aca="false">IF(IsPro,IF($D2551="","",IF($F2551="",IFERROR(INDEX(Items!$H$5:$H$504,U2551),0),$F2551)),"")</f>
        <v/>
      </c>
      <c r="L2551" s="61" t="str">
        <f aca="false">IF(IsPro,IF($D2551="","",ROUND(N($E2551)*K2551*(1-N($G2551)),2)),"")</f>
        <v/>
      </c>
      <c r="M2551" s="62" t="str">
        <f aca="false">IF(IsPro,IF($D2551="","",IFERROR(INDEX(Items!$F$5:$F$504,U2551),0)),"")</f>
        <v/>
      </c>
      <c r="N2551" s="61" t="str">
        <f aca="false">IF(IsPro,IF($D2551="","",IF(AND(V2551&lt;&gt;"",INDEX(Parties!$E$5:$E$304,V2551)&lt;&gt;"",INDEX(Parties!$E$5:$E$304,V2551)&lt;&gt;HomeState),0,ROUND(L2551*M2551/2,2))),"")</f>
        <v/>
      </c>
      <c r="O2551" s="61" t="str">
        <f aca="false">IF(IsPro,IF($D2551="","",N2551),"")</f>
        <v/>
      </c>
      <c r="P2551" s="61" t="str">
        <f aca="false">IF(IsPro,IF($D2551="","",IF(AND(V2551&lt;&gt;"",INDEX(Parties!$E$5:$E$304,V2551)&lt;&gt;"",INDEX(Parties!$E$5:$E$304,V2551)&lt;&gt;HomeState),ROUND(L2551*M2551,2),0)),"")</f>
        <v/>
      </c>
      <c r="Q2551" s="61" t="str">
        <f aca="false">IF(IsPro,IF($D2551="","",L2551+N2551+O2551+P2551),"")</f>
        <v/>
      </c>
      <c r="R2551" s="61" t="str">
        <f aca="false">IF(IsPro,IF($D2551="","",ROUND(N($E2551)*IFERROR(INDEX(Items!$P$5:$P$504,U2551),0),2)),"")</f>
        <v/>
      </c>
      <c r="S2551" s="61" t="str">
        <f aca="false">IF(IsPro,IF($D2551="","",L2551-R2551),"")</f>
        <v/>
      </c>
      <c r="T2551" s="60" t="str">
        <f aca="false">IF(IsPro,IF($D2551="","",IF(U2551="","UNKNOWN ITEM",IF(INDEX(Items!$O$5:$O$504,U2551)&lt;0,"NEG STOCK",IF(K2551&lt;INDEX(Items!$P$5:$P$504,U2551),"BELOW COST","OK")))),IF($D2551="","","PRO PLAN"))</f>
        <v/>
      </c>
      <c r="U2551" s="60" t="str">
        <f aca="false">IF(IsPro,IF($D2551="","",IFERROR(MATCH($D2551,Items!$A$5:$A$504,0),"")),"")</f>
        <v/>
      </c>
      <c r="V2551" s="60" t="str">
        <f aca="false">IF(IsPro,IF($C2551="","",IFERROR(MATCH($C2551,Parties!$A$5:$A$304,0),"")),"")</f>
        <v/>
      </c>
      <c r="W2551" s="60" t="str">
        <f aca="false">IF(IsPro,IF($B2551="","",IFERROR(VALUE(SUBSTITUTE($B2551,InvPrefix,"")),0)),"")</f>
        <v/>
      </c>
      <c r="X2551" s="61" t="str">
        <f aca="false">IF(IsPro,IF($D2551="","",IF(OR($H2551="",$H2551="Credit"),0,Q2551)),"")</f>
        <v/>
      </c>
    </row>
    <row r="2552" customFormat="false" ht="15" hidden="false" customHeight="false" outlineLevel="0" collapsed="false">
      <c r="A2552" s="55"/>
      <c r="B2552" s="56"/>
      <c r="C2552" s="56"/>
      <c r="D2552" s="56"/>
      <c r="E2552" s="57"/>
      <c r="F2552" s="58"/>
      <c r="G2552" s="59"/>
      <c r="H2552" s="56"/>
      <c r="I2552" s="56"/>
      <c r="J2552" s="60" t="str">
        <f aca="false">IF(IsPro,IF($D2552="","",IFERROR(INDEX(Items!$D$5:$D$504,U2552),"")),"")</f>
        <v/>
      </c>
      <c r="K2552" s="61" t="str">
        <f aca="false">IF(IsPro,IF($D2552="","",IF($F2552="",IFERROR(INDEX(Items!$H$5:$H$504,U2552),0),$F2552)),"")</f>
        <v/>
      </c>
      <c r="L2552" s="61" t="str">
        <f aca="false">IF(IsPro,IF($D2552="","",ROUND(N($E2552)*K2552*(1-N($G2552)),2)),"")</f>
        <v/>
      </c>
      <c r="M2552" s="62" t="str">
        <f aca="false">IF(IsPro,IF($D2552="","",IFERROR(INDEX(Items!$F$5:$F$504,U2552),0)),"")</f>
        <v/>
      </c>
      <c r="N2552" s="61" t="str">
        <f aca="false">IF(IsPro,IF($D2552="","",IF(AND(V2552&lt;&gt;"",INDEX(Parties!$E$5:$E$304,V2552)&lt;&gt;"",INDEX(Parties!$E$5:$E$304,V2552)&lt;&gt;HomeState),0,ROUND(L2552*M2552/2,2))),"")</f>
        <v/>
      </c>
      <c r="O2552" s="61" t="str">
        <f aca="false">IF(IsPro,IF($D2552="","",N2552),"")</f>
        <v/>
      </c>
      <c r="P2552" s="61" t="str">
        <f aca="false">IF(IsPro,IF($D2552="","",IF(AND(V2552&lt;&gt;"",INDEX(Parties!$E$5:$E$304,V2552)&lt;&gt;"",INDEX(Parties!$E$5:$E$304,V2552)&lt;&gt;HomeState),ROUND(L2552*M2552,2),0)),"")</f>
        <v/>
      </c>
      <c r="Q2552" s="61" t="str">
        <f aca="false">IF(IsPro,IF($D2552="","",L2552+N2552+O2552+P2552),"")</f>
        <v/>
      </c>
      <c r="R2552" s="61" t="str">
        <f aca="false">IF(IsPro,IF($D2552="","",ROUND(N($E2552)*IFERROR(INDEX(Items!$P$5:$P$504,U2552),0),2)),"")</f>
        <v/>
      </c>
      <c r="S2552" s="61" t="str">
        <f aca="false">IF(IsPro,IF($D2552="","",L2552-R2552),"")</f>
        <v/>
      </c>
      <c r="T2552" s="60" t="str">
        <f aca="false">IF(IsPro,IF($D2552="","",IF(U2552="","UNKNOWN ITEM",IF(INDEX(Items!$O$5:$O$504,U2552)&lt;0,"NEG STOCK",IF(K2552&lt;INDEX(Items!$P$5:$P$504,U2552),"BELOW COST","OK")))),IF($D2552="","","PRO PLAN"))</f>
        <v/>
      </c>
      <c r="U2552" s="60" t="str">
        <f aca="false">IF(IsPro,IF($D2552="","",IFERROR(MATCH($D2552,Items!$A$5:$A$504,0),"")),"")</f>
        <v/>
      </c>
      <c r="V2552" s="60" t="str">
        <f aca="false">IF(IsPro,IF($C2552="","",IFERROR(MATCH($C2552,Parties!$A$5:$A$304,0),"")),"")</f>
        <v/>
      </c>
      <c r="W2552" s="60" t="str">
        <f aca="false">IF(IsPro,IF($B2552="","",IFERROR(VALUE(SUBSTITUTE($B2552,InvPrefix,"")),0)),"")</f>
        <v/>
      </c>
      <c r="X2552" s="61" t="str">
        <f aca="false">IF(IsPro,IF($D2552="","",IF(OR($H2552="",$H2552="Credit"),0,Q2552)),"")</f>
        <v/>
      </c>
    </row>
    <row r="2553" customFormat="false" ht="15" hidden="false" customHeight="false" outlineLevel="0" collapsed="false">
      <c r="A2553" s="55"/>
      <c r="B2553" s="56"/>
      <c r="C2553" s="56"/>
      <c r="D2553" s="56"/>
      <c r="E2553" s="57"/>
      <c r="F2553" s="58"/>
      <c r="G2553" s="59"/>
      <c r="H2553" s="56"/>
      <c r="I2553" s="56"/>
      <c r="J2553" s="60" t="str">
        <f aca="false">IF(IsPro,IF($D2553="","",IFERROR(INDEX(Items!$D$5:$D$504,U2553),"")),"")</f>
        <v/>
      </c>
      <c r="K2553" s="61" t="str">
        <f aca="false">IF(IsPro,IF($D2553="","",IF($F2553="",IFERROR(INDEX(Items!$H$5:$H$504,U2553),0),$F2553)),"")</f>
        <v/>
      </c>
      <c r="L2553" s="61" t="str">
        <f aca="false">IF(IsPro,IF($D2553="","",ROUND(N($E2553)*K2553*(1-N($G2553)),2)),"")</f>
        <v/>
      </c>
      <c r="M2553" s="62" t="str">
        <f aca="false">IF(IsPro,IF($D2553="","",IFERROR(INDEX(Items!$F$5:$F$504,U2553),0)),"")</f>
        <v/>
      </c>
      <c r="N2553" s="61" t="str">
        <f aca="false">IF(IsPro,IF($D2553="","",IF(AND(V2553&lt;&gt;"",INDEX(Parties!$E$5:$E$304,V2553)&lt;&gt;"",INDEX(Parties!$E$5:$E$304,V2553)&lt;&gt;HomeState),0,ROUND(L2553*M2553/2,2))),"")</f>
        <v/>
      </c>
      <c r="O2553" s="61" t="str">
        <f aca="false">IF(IsPro,IF($D2553="","",N2553),"")</f>
        <v/>
      </c>
      <c r="P2553" s="61" t="str">
        <f aca="false">IF(IsPro,IF($D2553="","",IF(AND(V2553&lt;&gt;"",INDEX(Parties!$E$5:$E$304,V2553)&lt;&gt;"",INDEX(Parties!$E$5:$E$304,V2553)&lt;&gt;HomeState),ROUND(L2553*M2553,2),0)),"")</f>
        <v/>
      </c>
      <c r="Q2553" s="61" t="str">
        <f aca="false">IF(IsPro,IF($D2553="","",L2553+N2553+O2553+P2553),"")</f>
        <v/>
      </c>
      <c r="R2553" s="61" t="str">
        <f aca="false">IF(IsPro,IF($D2553="","",ROUND(N($E2553)*IFERROR(INDEX(Items!$P$5:$P$504,U2553),0),2)),"")</f>
        <v/>
      </c>
      <c r="S2553" s="61" t="str">
        <f aca="false">IF(IsPro,IF($D2553="","",L2553-R2553),"")</f>
        <v/>
      </c>
      <c r="T2553" s="60" t="str">
        <f aca="false">IF(IsPro,IF($D2553="","",IF(U2553="","UNKNOWN ITEM",IF(INDEX(Items!$O$5:$O$504,U2553)&lt;0,"NEG STOCK",IF(K2553&lt;INDEX(Items!$P$5:$P$504,U2553),"BELOW COST","OK")))),IF($D2553="","","PRO PLAN"))</f>
        <v/>
      </c>
      <c r="U2553" s="60" t="str">
        <f aca="false">IF(IsPro,IF($D2553="","",IFERROR(MATCH($D2553,Items!$A$5:$A$504,0),"")),"")</f>
        <v/>
      </c>
      <c r="V2553" s="60" t="str">
        <f aca="false">IF(IsPro,IF($C2553="","",IFERROR(MATCH($C2553,Parties!$A$5:$A$304,0),"")),"")</f>
        <v/>
      </c>
      <c r="W2553" s="60" t="str">
        <f aca="false">IF(IsPro,IF($B2553="","",IFERROR(VALUE(SUBSTITUTE($B2553,InvPrefix,"")),0)),"")</f>
        <v/>
      </c>
      <c r="X2553" s="61" t="str">
        <f aca="false">IF(IsPro,IF($D2553="","",IF(OR($H2553="",$H2553="Credit"),0,Q2553)),"")</f>
        <v/>
      </c>
    </row>
    <row r="2554" customFormat="false" ht="15" hidden="false" customHeight="false" outlineLevel="0" collapsed="false">
      <c r="A2554" s="55"/>
      <c r="B2554" s="56"/>
      <c r="C2554" s="56"/>
      <c r="D2554" s="56"/>
      <c r="E2554" s="57"/>
      <c r="F2554" s="58"/>
      <c r="G2554" s="59"/>
      <c r="H2554" s="56"/>
      <c r="I2554" s="56"/>
      <c r="J2554" s="60" t="str">
        <f aca="false">IF(IsPro,IF($D2554="","",IFERROR(INDEX(Items!$D$5:$D$504,U2554),"")),"")</f>
        <v/>
      </c>
      <c r="K2554" s="61" t="str">
        <f aca="false">IF(IsPro,IF($D2554="","",IF($F2554="",IFERROR(INDEX(Items!$H$5:$H$504,U2554),0),$F2554)),"")</f>
        <v/>
      </c>
      <c r="L2554" s="61" t="str">
        <f aca="false">IF(IsPro,IF($D2554="","",ROUND(N($E2554)*K2554*(1-N($G2554)),2)),"")</f>
        <v/>
      </c>
      <c r="M2554" s="62" t="str">
        <f aca="false">IF(IsPro,IF($D2554="","",IFERROR(INDEX(Items!$F$5:$F$504,U2554),0)),"")</f>
        <v/>
      </c>
      <c r="N2554" s="61" t="str">
        <f aca="false">IF(IsPro,IF($D2554="","",IF(AND(V2554&lt;&gt;"",INDEX(Parties!$E$5:$E$304,V2554)&lt;&gt;"",INDEX(Parties!$E$5:$E$304,V2554)&lt;&gt;HomeState),0,ROUND(L2554*M2554/2,2))),"")</f>
        <v/>
      </c>
      <c r="O2554" s="61" t="str">
        <f aca="false">IF(IsPro,IF($D2554="","",N2554),"")</f>
        <v/>
      </c>
      <c r="P2554" s="61" t="str">
        <f aca="false">IF(IsPro,IF($D2554="","",IF(AND(V2554&lt;&gt;"",INDEX(Parties!$E$5:$E$304,V2554)&lt;&gt;"",INDEX(Parties!$E$5:$E$304,V2554)&lt;&gt;HomeState),ROUND(L2554*M2554,2),0)),"")</f>
        <v/>
      </c>
      <c r="Q2554" s="61" t="str">
        <f aca="false">IF(IsPro,IF($D2554="","",L2554+N2554+O2554+P2554),"")</f>
        <v/>
      </c>
      <c r="R2554" s="61" t="str">
        <f aca="false">IF(IsPro,IF($D2554="","",ROUND(N($E2554)*IFERROR(INDEX(Items!$P$5:$P$504,U2554),0),2)),"")</f>
        <v/>
      </c>
      <c r="S2554" s="61" t="str">
        <f aca="false">IF(IsPro,IF($D2554="","",L2554-R2554),"")</f>
        <v/>
      </c>
      <c r="T2554" s="60" t="str">
        <f aca="false">IF(IsPro,IF($D2554="","",IF(U2554="","UNKNOWN ITEM",IF(INDEX(Items!$O$5:$O$504,U2554)&lt;0,"NEG STOCK",IF(K2554&lt;INDEX(Items!$P$5:$P$504,U2554),"BELOW COST","OK")))),IF($D2554="","","PRO PLAN"))</f>
        <v/>
      </c>
      <c r="U2554" s="60" t="str">
        <f aca="false">IF(IsPro,IF($D2554="","",IFERROR(MATCH($D2554,Items!$A$5:$A$504,0),"")),"")</f>
        <v/>
      </c>
      <c r="V2554" s="60" t="str">
        <f aca="false">IF(IsPro,IF($C2554="","",IFERROR(MATCH($C2554,Parties!$A$5:$A$304,0),"")),"")</f>
        <v/>
      </c>
      <c r="W2554" s="60" t="str">
        <f aca="false">IF(IsPro,IF($B2554="","",IFERROR(VALUE(SUBSTITUTE($B2554,InvPrefix,"")),0)),"")</f>
        <v/>
      </c>
      <c r="X2554" s="61" t="str">
        <f aca="false">IF(IsPro,IF($D2554="","",IF(OR($H2554="",$H2554="Credit"),0,Q2554)),"")</f>
        <v/>
      </c>
    </row>
    <row r="2555" customFormat="false" ht="15" hidden="false" customHeight="false" outlineLevel="0" collapsed="false">
      <c r="A2555" s="55"/>
      <c r="B2555" s="56"/>
      <c r="C2555" s="56"/>
      <c r="D2555" s="56"/>
      <c r="E2555" s="57"/>
      <c r="F2555" s="58"/>
      <c r="G2555" s="59"/>
      <c r="H2555" s="56"/>
      <c r="I2555" s="56"/>
      <c r="J2555" s="60" t="str">
        <f aca="false">IF(IsPro,IF($D2555="","",IFERROR(INDEX(Items!$D$5:$D$504,U2555),"")),"")</f>
        <v/>
      </c>
      <c r="K2555" s="61" t="str">
        <f aca="false">IF(IsPro,IF($D2555="","",IF($F2555="",IFERROR(INDEX(Items!$H$5:$H$504,U2555),0),$F2555)),"")</f>
        <v/>
      </c>
      <c r="L2555" s="61" t="str">
        <f aca="false">IF(IsPro,IF($D2555="","",ROUND(N($E2555)*K2555*(1-N($G2555)),2)),"")</f>
        <v/>
      </c>
      <c r="M2555" s="62" t="str">
        <f aca="false">IF(IsPro,IF($D2555="","",IFERROR(INDEX(Items!$F$5:$F$504,U2555),0)),"")</f>
        <v/>
      </c>
      <c r="N2555" s="61" t="str">
        <f aca="false">IF(IsPro,IF($D2555="","",IF(AND(V2555&lt;&gt;"",INDEX(Parties!$E$5:$E$304,V2555)&lt;&gt;"",INDEX(Parties!$E$5:$E$304,V2555)&lt;&gt;HomeState),0,ROUND(L2555*M2555/2,2))),"")</f>
        <v/>
      </c>
      <c r="O2555" s="61" t="str">
        <f aca="false">IF(IsPro,IF($D2555="","",N2555),"")</f>
        <v/>
      </c>
      <c r="P2555" s="61" t="str">
        <f aca="false">IF(IsPro,IF($D2555="","",IF(AND(V2555&lt;&gt;"",INDEX(Parties!$E$5:$E$304,V2555)&lt;&gt;"",INDEX(Parties!$E$5:$E$304,V2555)&lt;&gt;HomeState),ROUND(L2555*M2555,2),0)),"")</f>
        <v/>
      </c>
      <c r="Q2555" s="61" t="str">
        <f aca="false">IF(IsPro,IF($D2555="","",L2555+N2555+O2555+P2555),"")</f>
        <v/>
      </c>
      <c r="R2555" s="61" t="str">
        <f aca="false">IF(IsPro,IF($D2555="","",ROUND(N($E2555)*IFERROR(INDEX(Items!$P$5:$P$504,U2555),0),2)),"")</f>
        <v/>
      </c>
      <c r="S2555" s="61" t="str">
        <f aca="false">IF(IsPro,IF($D2555="","",L2555-R2555),"")</f>
        <v/>
      </c>
      <c r="T2555" s="60" t="str">
        <f aca="false">IF(IsPro,IF($D2555="","",IF(U2555="","UNKNOWN ITEM",IF(INDEX(Items!$O$5:$O$504,U2555)&lt;0,"NEG STOCK",IF(K2555&lt;INDEX(Items!$P$5:$P$504,U2555),"BELOW COST","OK")))),IF($D2555="","","PRO PLAN"))</f>
        <v/>
      </c>
      <c r="U2555" s="60" t="str">
        <f aca="false">IF(IsPro,IF($D2555="","",IFERROR(MATCH($D2555,Items!$A$5:$A$504,0),"")),"")</f>
        <v/>
      </c>
      <c r="V2555" s="60" t="str">
        <f aca="false">IF(IsPro,IF($C2555="","",IFERROR(MATCH($C2555,Parties!$A$5:$A$304,0),"")),"")</f>
        <v/>
      </c>
      <c r="W2555" s="60" t="str">
        <f aca="false">IF(IsPro,IF($B2555="","",IFERROR(VALUE(SUBSTITUTE($B2555,InvPrefix,"")),0)),"")</f>
        <v/>
      </c>
      <c r="X2555" s="61" t="str">
        <f aca="false">IF(IsPro,IF($D2555="","",IF(OR($H2555="",$H2555="Credit"),0,Q2555)),"")</f>
        <v/>
      </c>
    </row>
    <row r="2556" customFormat="false" ht="15" hidden="false" customHeight="false" outlineLevel="0" collapsed="false">
      <c r="A2556" s="55"/>
      <c r="B2556" s="56"/>
      <c r="C2556" s="56"/>
      <c r="D2556" s="56"/>
      <c r="E2556" s="57"/>
      <c r="F2556" s="58"/>
      <c r="G2556" s="59"/>
      <c r="H2556" s="56"/>
      <c r="I2556" s="56"/>
      <c r="J2556" s="60" t="str">
        <f aca="false">IF(IsPro,IF($D2556="","",IFERROR(INDEX(Items!$D$5:$D$504,U2556),"")),"")</f>
        <v/>
      </c>
      <c r="K2556" s="61" t="str">
        <f aca="false">IF(IsPro,IF($D2556="","",IF($F2556="",IFERROR(INDEX(Items!$H$5:$H$504,U2556),0),$F2556)),"")</f>
        <v/>
      </c>
      <c r="L2556" s="61" t="str">
        <f aca="false">IF(IsPro,IF($D2556="","",ROUND(N($E2556)*K2556*(1-N($G2556)),2)),"")</f>
        <v/>
      </c>
      <c r="M2556" s="62" t="str">
        <f aca="false">IF(IsPro,IF($D2556="","",IFERROR(INDEX(Items!$F$5:$F$504,U2556),0)),"")</f>
        <v/>
      </c>
      <c r="N2556" s="61" t="str">
        <f aca="false">IF(IsPro,IF($D2556="","",IF(AND(V2556&lt;&gt;"",INDEX(Parties!$E$5:$E$304,V2556)&lt;&gt;"",INDEX(Parties!$E$5:$E$304,V2556)&lt;&gt;HomeState),0,ROUND(L2556*M2556/2,2))),"")</f>
        <v/>
      </c>
      <c r="O2556" s="61" t="str">
        <f aca="false">IF(IsPro,IF($D2556="","",N2556),"")</f>
        <v/>
      </c>
      <c r="P2556" s="61" t="str">
        <f aca="false">IF(IsPro,IF($D2556="","",IF(AND(V2556&lt;&gt;"",INDEX(Parties!$E$5:$E$304,V2556)&lt;&gt;"",INDEX(Parties!$E$5:$E$304,V2556)&lt;&gt;HomeState),ROUND(L2556*M2556,2),0)),"")</f>
        <v/>
      </c>
      <c r="Q2556" s="61" t="str">
        <f aca="false">IF(IsPro,IF($D2556="","",L2556+N2556+O2556+P2556),"")</f>
        <v/>
      </c>
      <c r="R2556" s="61" t="str">
        <f aca="false">IF(IsPro,IF($D2556="","",ROUND(N($E2556)*IFERROR(INDEX(Items!$P$5:$P$504,U2556),0),2)),"")</f>
        <v/>
      </c>
      <c r="S2556" s="61" t="str">
        <f aca="false">IF(IsPro,IF($D2556="","",L2556-R2556),"")</f>
        <v/>
      </c>
      <c r="T2556" s="60" t="str">
        <f aca="false">IF(IsPro,IF($D2556="","",IF(U2556="","UNKNOWN ITEM",IF(INDEX(Items!$O$5:$O$504,U2556)&lt;0,"NEG STOCK",IF(K2556&lt;INDEX(Items!$P$5:$P$504,U2556),"BELOW COST","OK")))),IF($D2556="","","PRO PLAN"))</f>
        <v/>
      </c>
      <c r="U2556" s="60" t="str">
        <f aca="false">IF(IsPro,IF($D2556="","",IFERROR(MATCH($D2556,Items!$A$5:$A$504,0),"")),"")</f>
        <v/>
      </c>
      <c r="V2556" s="60" t="str">
        <f aca="false">IF(IsPro,IF($C2556="","",IFERROR(MATCH($C2556,Parties!$A$5:$A$304,0),"")),"")</f>
        <v/>
      </c>
      <c r="W2556" s="60" t="str">
        <f aca="false">IF(IsPro,IF($B2556="","",IFERROR(VALUE(SUBSTITUTE($B2556,InvPrefix,"")),0)),"")</f>
        <v/>
      </c>
      <c r="X2556" s="61" t="str">
        <f aca="false">IF(IsPro,IF($D2556="","",IF(OR($H2556="",$H2556="Credit"),0,Q2556)),"")</f>
        <v/>
      </c>
    </row>
    <row r="2557" customFormat="false" ht="15" hidden="false" customHeight="false" outlineLevel="0" collapsed="false">
      <c r="A2557" s="55"/>
      <c r="B2557" s="56"/>
      <c r="C2557" s="56"/>
      <c r="D2557" s="56"/>
      <c r="E2557" s="57"/>
      <c r="F2557" s="58"/>
      <c r="G2557" s="59"/>
      <c r="H2557" s="56"/>
      <c r="I2557" s="56"/>
      <c r="J2557" s="60" t="str">
        <f aca="false">IF(IsPro,IF($D2557="","",IFERROR(INDEX(Items!$D$5:$D$504,U2557),"")),"")</f>
        <v/>
      </c>
      <c r="K2557" s="61" t="str">
        <f aca="false">IF(IsPro,IF($D2557="","",IF($F2557="",IFERROR(INDEX(Items!$H$5:$H$504,U2557),0),$F2557)),"")</f>
        <v/>
      </c>
      <c r="L2557" s="61" t="str">
        <f aca="false">IF(IsPro,IF($D2557="","",ROUND(N($E2557)*K2557*(1-N($G2557)),2)),"")</f>
        <v/>
      </c>
      <c r="M2557" s="62" t="str">
        <f aca="false">IF(IsPro,IF($D2557="","",IFERROR(INDEX(Items!$F$5:$F$504,U2557),0)),"")</f>
        <v/>
      </c>
      <c r="N2557" s="61" t="str">
        <f aca="false">IF(IsPro,IF($D2557="","",IF(AND(V2557&lt;&gt;"",INDEX(Parties!$E$5:$E$304,V2557)&lt;&gt;"",INDEX(Parties!$E$5:$E$304,V2557)&lt;&gt;HomeState),0,ROUND(L2557*M2557/2,2))),"")</f>
        <v/>
      </c>
      <c r="O2557" s="61" t="str">
        <f aca="false">IF(IsPro,IF($D2557="","",N2557),"")</f>
        <v/>
      </c>
      <c r="P2557" s="61" t="str">
        <f aca="false">IF(IsPro,IF($D2557="","",IF(AND(V2557&lt;&gt;"",INDEX(Parties!$E$5:$E$304,V2557)&lt;&gt;"",INDEX(Parties!$E$5:$E$304,V2557)&lt;&gt;HomeState),ROUND(L2557*M2557,2),0)),"")</f>
        <v/>
      </c>
      <c r="Q2557" s="61" t="str">
        <f aca="false">IF(IsPro,IF($D2557="","",L2557+N2557+O2557+P2557),"")</f>
        <v/>
      </c>
      <c r="R2557" s="61" t="str">
        <f aca="false">IF(IsPro,IF($D2557="","",ROUND(N($E2557)*IFERROR(INDEX(Items!$P$5:$P$504,U2557),0),2)),"")</f>
        <v/>
      </c>
      <c r="S2557" s="61" t="str">
        <f aca="false">IF(IsPro,IF($D2557="","",L2557-R2557),"")</f>
        <v/>
      </c>
      <c r="T2557" s="60" t="str">
        <f aca="false">IF(IsPro,IF($D2557="","",IF(U2557="","UNKNOWN ITEM",IF(INDEX(Items!$O$5:$O$504,U2557)&lt;0,"NEG STOCK",IF(K2557&lt;INDEX(Items!$P$5:$P$504,U2557),"BELOW COST","OK")))),IF($D2557="","","PRO PLAN"))</f>
        <v/>
      </c>
      <c r="U2557" s="60" t="str">
        <f aca="false">IF(IsPro,IF($D2557="","",IFERROR(MATCH($D2557,Items!$A$5:$A$504,0),"")),"")</f>
        <v/>
      </c>
      <c r="V2557" s="60" t="str">
        <f aca="false">IF(IsPro,IF($C2557="","",IFERROR(MATCH($C2557,Parties!$A$5:$A$304,0),"")),"")</f>
        <v/>
      </c>
      <c r="W2557" s="60" t="str">
        <f aca="false">IF(IsPro,IF($B2557="","",IFERROR(VALUE(SUBSTITUTE($B2557,InvPrefix,"")),0)),"")</f>
        <v/>
      </c>
      <c r="X2557" s="61" t="str">
        <f aca="false">IF(IsPro,IF($D2557="","",IF(OR($H2557="",$H2557="Credit"),0,Q2557)),"")</f>
        <v/>
      </c>
    </row>
    <row r="2558" customFormat="false" ht="15" hidden="false" customHeight="false" outlineLevel="0" collapsed="false">
      <c r="A2558" s="55"/>
      <c r="B2558" s="56"/>
      <c r="C2558" s="56"/>
      <c r="D2558" s="56"/>
      <c r="E2558" s="57"/>
      <c r="F2558" s="58"/>
      <c r="G2558" s="59"/>
      <c r="H2558" s="56"/>
      <c r="I2558" s="56"/>
      <c r="J2558" s="60" t="str">
        <f aca="false">IF(IsPro,IF($D2558="","",IFERROR(INDEX(Items!$D$5:$D$504,U2558),"")),"")</f>
        <v/>
      </c>
      <c r="K2558" s="61" t="str">
        <f aca="false">IF(IsPro,IF($D2558="","",IF($F2558="",IFERROR(INDEX(Items!$H$5:$H$504,U2558),0),$F2558)),"")</f>
        <v/>
      </c>
      <c r="L2558" s="61" t="str">
        <f aca="false">IF(IsPro,IF($D2558="","",ROUND(N($E2558)*K2558*(1-N($G2558)),2)),"")</f>
        <v/>
      </c>
      <c r="M2558" s="62" t="str">
        <f aca="false">IF(IsPro,IF($D2558="","",IFERROR(INDEX(Items!$F$5:$F$504,U2558),0)),"")</f>
        <v/>
      </c>
      <c r="N2558" s="61" t="str">
        <f aca="false">IF(IsPro,IF($D2558="","",IF(AND(V2558&lt;&gt;"",INDEX(Parties!$E$5:$E$304,V2558)&lt;&gt;"",INDEX(Parties!$E$5:$E$304,V2558)&lt;&gt;HomeState),0,ROUND(L2558*M2558/2,2))),"")</f>
        <v/>
      </c>
      <c r="O2558" s="61" t="str">
        <f aca="false">IF(IsPro,IF($D2558="","",N2558),"")</f>
        <v/>
      </c>
      <c r="P2558" s="61" t="str">
        <f aca="false">IF(IsPro,IF($D2558="","",IF(AND(V2558&lt;&gt;"",INDEX(Parties!$E$5:$E$304,V2558)&lt;&gt;"",INDEX(Parties!$E$5:$E$304,V2558)&lt;&gt;HomeState),ROUND(L2558*M2558,2),0)),"")</f>
        <v/>
      </c>
      <c r="Q2558" s="61" t="str">
        <f aca="false">IF(IsPro,IF($D2558="","",L2558+N2558+O2558+P2558),"")</f>
        <v/>
      </c>
      <c r="R2558" s="61" t="str">
        <f aca="false">IF(IsPro,IF($D2558="","",ROUND(N($E2558)*IFERROR(INDEX(Items!$P$5:$P$504,U2558),0),2)),"")</f>
        <v/>
      </c>
      <c r="S2558" s="61" t="str">
        <f aca="false">IF(IsPro,IF($D2558="","",L2558-R2558),"")</f>
        <v/>
      </c>
      <c r="T2558" s="60" t="str">
        <f aca="false">IF(IsPro,IF($D2558="","",IF(U2558="","UNKNOWN ITEM",IF(INDEX(Items!$O$5:$O$504,U2558)&lt;0,"NEG STOCK",IF(K2558&lt;INDEX(Items!$P$5:$P$504,U2558),"BELOW COST","OK")))),IF($D2558="","","PRO PLAN"))</f>
        <v/>
      </c>
      <c r="U2558" s="60" t="str">
        <f aca="false">IF(IsPro,IF($D2558="","",IFERROR(MATCH($D2558,Items!$A$5:$A$504,0),"")),"")</f>
        <v/>
      </c>
      <c r="V2558" s="60" t="str">
        <f aca="false">IF(IsPro,IF($C2558="","",IFERROR(MATCH($C2558,Parties!$A$5:$A$304,0),"")),"")</f>
        <v/>
      </c>
      <c r="W2558" s="60" t="str">
        <f aca="false">IF(IsPro,IF($B2558="","",IFERROR(VALUE(SUBSTITUTE($B2558,InvPrefix,"")),0)),"")</f>
        <v/>
      </c>
      <c r="X2558" s="61" t="str">
        <f aca="false">IF(IsPro,IF($D2558="","",IF(OR($H2558="",$H2558="Credit"),0,Q2558)),"")</f>
        <v/>
      </c>
    </row>
    <row r="2559" customFormat="false" ht="15" hidden="false" customHeight="false" outlineLevel="0" collapsed="false">
      <c r="A2559" s="55"/>
      <c r="B2559" s="56"/>
      <c r="C2559" s="56"/>
      <c r="D2559" s="56"/>
      <c r="E2559" s="57"/>
      <c r="F2559" s="58"/>
      <c r="G2559" s="59"/>
      <c r="H2559" s="56"/>
      <c r="I2559" s="56"/>
      <c r="J2559" s="60" t="str">
        <f aca="false">IF(IsPro,IF($D2559="","",IFERROR(INDEX(Items!$D$5:$D$504,U2559),"")),"")</f>
        <v/>
      </c>
      <c r="K2559" s="61" t="str">
        <f aca="false">IF(IsPro,IF($D2559="","",IF($F2559="",IFERROR(INDEX(Items!$H$5:$H$504,U2559),0),$F2559)),"")</f>
        <v/>
      </c>
      <c r="L2559" s="61" t="str">
        <f aca="false">IF(IsPro,IF($D2559="","",ROUND(N($E2559)*K2559*(1-N($G2559)),2)),"")</f>
        <v/>
      </c>
      <c r="M2559" s="62" t="str">
        <f aca="false">IF(IsPro,IF($D2559="","",IFERROR(INDEX(Items!$F$5:$F$504,U2559),0)),"")</f>
        <v/>
      </c>
      <c r="N2559" s="61" t="str">
        <f aca="false">IF(IsPro,IF($D2559="","",IF(AND(V2559&lt;&gt;"",INDEX(Parties!$E$5:$E$304,V2559)&lt;&gt;"",INDEX(Parties!$E$5:$E$304,V2559)&lt;&gt;HomeState),0,ROUND(L2559*M2559/2,2))),"")</f>
        <v/>
      </c>
      <c r="O2559" s="61" t="str">
        <f aca="false">IF(IsPro,IF($D2559="","",N2559),"")</f>
        <v/>
      </c>
      <c r="P2559" s="61" t="str">
        <f aca="false">IF(IsPro,IF($D2559="","",IF(AND(V2559&lt;&gt;"",INDEX(Parties!$E$5:$E$304,V2559)&lt;&gt;"",INDEX(Parties!$E$5:$E$304,V2559)&lt;&gt;HomeState),ROUND(L2559*M2559,2),0)),"")</f>
        <v/>
      </c>
      <c r="Q2559" s="61" t="str">
        <f aca="false">IF(IsPro,IF($D2559="","",L2559+N2559+O2559+P2559),"")</f>
        <v/>
      </c>
      <c r="R2559" s="61" t="str">
        <f aca="false">IF(IsPro,IF($D2559="","",ROUND(N($E2559)*IFERROR(INDEX(Items!$P$5:$P$504,U2559),0),2)),"")</f>
        <v/>
      </c>
      <c r="S2559" s="61" t="str">
        <f aca="false">IF(IsPro,IF($D2559="","",L2559-R2559),"")</f>
        <v/>
      </c>
      <c r="T2559" s="60" t="str">
        <f aca="false">IF(IsPro,IF($D2559="","",IF(U2559="","UNKNOWN ITEM",IF(INDEX(Items!$O$5:$O$504,U2559)&lt;0,"NEG STOCK",IF(K2559&lt;INDEX(Items!$P$5:$P$504,U2559),"BELOW COST","OK")))),IF($D2559="","","PRO PLAN"))</f>
        <v/>
      </c>
      <c r="U2559" s="60" t="str">
        <f aca="false">IF(IsPro,IF($D2559="","",IFERROR(MATCH($D2559,Items!$A$5:$A$504,0),"")),"")</f>
        <v/>
      </c>
      <c r="V2559" s="60" t="str">
        <f aca="false">IF(IsPro,IF($C2559="","",IFERROR(MATCH($C2559,Parties!$A$5:$A$304,0),"")),"")</f>
        <v/>
      </c>
      <c r="W2559" s="60" t="str">
        <f aca="false">IF(IsPro,IF($B2559="","",IFERROR(VALUE(SUBSTITUTE($B2559,InvPrefix,"")),0)),"")</f>
        <v/>
      </c>
      <c r="X2559" s="61" t="str">
        <f aca="false">IF(IsPro,IF($D2559="","",IF(OR($H2559="",$H2559="Credit"),0,Q2559)),"")</f>
        <v/>
      </c>
    </row>
    <row r="2560" customFormat="false" ht="15" hidden="false" customHeight="false" outlineLevel="0" collapsed="false">
      <c r="A2560" s="55"/>
      <c r="B2560" s="56"/>
      <c r="C2560" s="56"/>
      <c r="D2560" s="56"/>
      <c r="E2560" s="57"/>
      <c r="F2560" s="58"/>
      <c r="G2560" s="59"/>
      <c r="H2560" s="56"/>
      <c r="I2560" s="56"/>
      <c r="J2560" s="60" t="str">
        <f aca="false">IF(IsPro,IF($D2560="","",IFERROR(INDEX(Items!$D$5:$D$504,U2560),"")),"")</f>
        <v/>
      </c>
      <c r="K2560" s="61" t="str">
        <f aca="false">IF(IsPro,IF($D2560="","",IF($F2560="",IFERROR(INDEX(Items!$H$5:$H$504,U2560),0),$F2560)),"")</f>
        <v/>
      </c>
      <c r="L2560" s="61" t="str">
        <f aca="false">IF(IsPro,IF($D2560="","",ROUND(N($E2560)*K2560*(1-N($G2560)),2)),"")</f>
        <v/>
      </c>
      <c r="M2560" s="62" t="str">
        <f aca="false">IF(IsPro,IF($D2560="","",IFERROR(INDEX(Items!$F$5:$F$504,U2560),0)),"")</f>
        <v/>
      </c>
      <c r="N2560" s="61" t="str">
        <f aca="false">IF(IsPro,IF($D2560="","",IF(AND(V2560&lt;&gt;"",INDEX(Parties!$E$5:$E$304,V2560)&lt;&gt;"",INDEX(Parties!$E$5:$E$304,V2560)&lt;&gt;HomeState),0,ROUND(L2560*M2560/2,2))),"")</f>
        <v/>
      </c>
      <c r="O2560" s="61" t="str">
        <f aca="false">IF(IsPro,IF($D2560="","",N2560),"")</f>
        <v/>
      </c>
      <c r="P2560" s="61" t="str">
        <f aca="false">IF(IsPro,IF($D2560="","",IF(AND(V2560&lt;&gt;"",INDEX(Parties!$E$5:$E$304,V2560)&lt;&gt;"",INDEX(Parties!$E$5:$E$304,V2560)&lt;&gt;HomeState),ROUND(L2560*M2560,2),0)),"")</f>
        <v/>
      </c>
      <c r="Q2560" s="61" t="str">
        <f aca="false">IF(IsPro,IF($D2560="","",L2560+N2560+O2560+P2560),"")</f>
        <v/>
      </c>
      <c r="R2560" s="61" t="str">
        <f aca="false">IF(IsPro,IF($D2560="","",ROUND(N($E2560)*IFERROR(INDEX(Items!$P$5:$P$504,U2560),0),2)),"")</f>
        <v/>
      </c>
      <c r="S2560" s="61" t="str">
        <f aca="false">IF(IsPro,IF($D2560="","",L2560-R2560),"")</f>
        <v/>
      </c>
      <c r="T2560" s="60" t="str">
        <f aca="false">IF(IsPro,IF($D2560="","",IF(U2560="","UNKNOWN ITEM",IF(INDEX(Items!$O$5:$O$504,U2560)&lt;0,"NEG STOCK",IF(K2560&lt;INDEX(Items!$P$5:$P$504,U2560),"BELOW COST","OK")))),IF($D2560="","","PRO PLAN"))</f>
        <v/>
      </c>
      <c r="U2560" s="60" t="str">
        <f aca="false">IF(IsPro,IF($D2560="","",IFERROR(MATCH($D2560,Items!$A$5:$A$504,0),"")),"")</f>
        <v/>
      </c>
      <c r="V2560" s="60" t="str">
        <f aca="false">IF(IsPro,IF($C2560="","",IFERROR(MATCH($C2560,Parties!$A$5:$A$304,0),"")),"")</f>
        <v/>
      </c>
      <c r="W2560" s="60" t="str">
        <f aca="false">IF(IsPro,IF($B2560="","",IFERROR(VALUE(SUBSTITUTE($B2560,InvPrefix,"")),0)),"")</f>
        <v/>
      </c>
      <c r="X2560" s="61" t="str">
        <f aca="false">IF(IsPro,IF($D2560="","",IF(OR($H2560="",$H2560="Credit"),0,Q2560)),"")</f>
        <v/>
      </c>
    </row>
    <row r="2561" customFormat="false" ht="15" hidden="false" customHeight="false" outlineLevel="0" collapsed="false">
      <c r="A2561" s="55"/>
      <c r="B2561" s="56"/>
      <c r="C2561" s="56"/>
      <c r="D2561" s="56"/>
      <c r="E2561" s="57"/>
      <c r="F2561" s="58"/>
      <c r="G2561" s="59"/>
      <c r="H2561" s="56"/>
      <c r="I2561" s="56"/>
      <c r="J2561" s="60" t="str">
        <f aca="false">IF(IsPro,IF($D2561="","",IFERROR(INDEX(Items!$D$5:$D$504,U2561),"")),"")</f>
        <v/>
      </c>
      <c r="K2561" s="61" t="str">
        <f aca="false">IF(IsPro,IF($D2561="","",IF($F2561="",IFERROR(INDEX(Items!$H$5:$H$504,U2561),0),$F2561)),"")</f>
        <v/>
      </c>
      <c r="L2561" s="61" t="str">
        <f aca="false">IF(IsPro,IF($D2561="","",ROUND(N($E2561)*K2561*(1-N($G2561)),2)),"")</f>
        <v/>
      </c>
      <c r="M2561" s="62" t="str">
        <f aca="false">IF(IsPro,IF($D2561="","",IFERROR(INDEX(Items!$F$5:$F$504,U2561),0)),"")</f>
        <v/>
      </c>
      <c r="N2561" s="61" t="str">
        <f aca="false">IF(IsPro,IF($D2561="","",IF(AND(V2561&lt;&gt;"",INDEX(Parties!$E$5:$E$304,V2561)&lt;&gt;"",INDEX(Parties!$E$5:$E$304,V2561)&lt;&gt;HomeState),0,ROUND(L2561*M2561/2,2))),"")</f>
        <v/>
      </c>
      <c r="O2561" s="61" t="str">
        <f aca="false">IF(IsPro,IF($D2561="","",N2561),"")</f>
        <v/>
      </c>
      <c r="P2561" s="61" t="str">
        <f aca="false">IF(IsPro,IF($D2561="","",IF(AND(V2561&lt;&gt;"",INDEX(Parties!$E$5:$E$304,V2561)&lt;&gt;"",INDEX(Parties!$E$5:$E$304,V2561)&lt;&gt;HomeState),ROUND(L2561*M2561,2),0)),"")</f>
        <v/>
      </c>
      <c r="Q2561" s="61" t="str">
        <f aca="false">IF(IsPro,IF($D2561="","",L2561+N2561+O2561+P2561),"")</f>
        <v/>
      </c>
      <c r="R2561" s="61" t="str">
        <f aca="false">IF(IsPro,IF($D2561="","",ROUND(N($E2561)*IFERROR(INDEX(Items!$P$5:$P$504,U2561),0),2)),"")</f>
        <v/>
      </c>
      <c r="S2561" s="61" t="str">
        <f aca="false">IF(IsPro,IF($D2561="","",L2561-R2561),"")</f>
        <v/>
      </c>
      <c r="T2561" s="60" t="str">
        <f aca="false">IF(IsPro,IF($D2561="","",IF(U2561="","UNKNOWN ITEM",IF(INDEX(Items!$O$5:$O$504,U2561)&lt;0,"NEG STOCK",IF(K2561&lt;INDEX(Items!$P$5:$P$504,U2561),"BELOW COST","OK")))),IF($D2561="","","PRO PLAN"))</f>
        <v/>
      </c>
      <c r="U2561" s="60" t="str">
        <f aca="false">IF(IsPro,IF($D2561="","",IFERROR(MATCH($D2561,Items!$A$5:$A$504,0),"")),"")</f>
        <v/>
      </c>
      <c r="V2561" s="60" t="str">
        <f aca="false">IF(IsPro,IF($C2561="","",IFERROR(MATCH($C2561,Parties!$A$5:$A$304,0),"")),"")</f>
        <v/>
      </c>
      <c r="W2561" s="60" t="str">
        <f aca="false">IF(IsPro,IF($B2561="","",IFERROR(VALUE(SUBSTITUTE($B2561,InvPrefix,"")),0)),"")</f>
        <v/>
      </c>
      <c r="X2561" s="61" t="str">
        <f aca="false">IF(IsPro,IF($D2561="","",IF(OR($H2561="",$H2561="Credit"),0,Q2561)),"")</f>
        <v/>
      </c>
    </row>
    <row r="2562" customFormat="false" ht="15" hidden="false" customHeight="false" outlineLevel="0" collapsed="false">
      <c r="A2562" s="55"/>
      <c r="B2562" s="56"/>
      <c r="C2562" s="56"/>
      <c r="D2562" s="56"/>
      <c r="E2562" s="57"/>
      <c r="F2562" s="58"/>
      <c r="G2562" s="59"/>
      <c r="H2562" s="56"/>
      <c r="I2562" s="56"/>
      <c r="J2562" s="60" t="str">
        <f aca="false">IF(IsPro,IF($D2562="","",IFERROR(INDEX(Items!$D$5:$D$504,U2562),"")),"")</f>
        <v/>
      </c>
      <c r="K2562" s="61" t="str">
        <f aca="false">IF(IsPro,IF($D2562="","",IF($F2562="",IFERROR(INDEX(Items!$H$5:$H$504,U2562),0),$F2562)),"")</f>
        <v/>
      </c>
      <c r="L2562" s="61" t="str">
        <f aca="false">IF(IsPro,IF($D2562="","",ROUND(N($E2562)*K2562*(1-N($G2562)),2)),"")</f>
        <v/>
      </c>
      <c r="M2562" s="62" t="str">
        <f aca="false">IF(IsPro,IF($D2562="","",IFERROR(INDEX(Items!$F$5:$F$504,U2562),0)),"")</f>
        <v/>
      </c>
      <c r="N2562" s="61" t="str">
        <f aca="false">IF(IsPro,IF($D2562="","",IF(AND(V2562&lt;&gt;"",INDEX(Parties!$E$5:$E$304,V2562)&lt;&gt;"",INDEX(Parties!$E$5:$E$304,V2562)&lt;&gt;HomeState),0,ROUND(L2562*M2562/2,2))),"")</f>
        <v/>
      </c>
      <c r="O2562" s="61" t="str">
        <f aca="false">IF(IsPro,IF($D2562="","",N2562),"")</f>
        <v/>
      </c>
      <c r="P2562" s="61" t="str">
        <f aca="false">IF(IsPro,IF($D2562="","",IF(AND(V2562&lt;&gt;"",INDEX(Parties!$E$5:$E$304,V2562)&lt;&gt;"",INDEX(Parties!$E$5:$E$304,V2562)&lt;&gt;HomeState),ROUND(L2562*M2562,2),0)),"")</f>
        <v/>
      </c>
      <c r="Q2562" s="61" t="str">
        <f aca="false">IF(IsPro,IF($D2562="","",L2562+N2562+O2562+P2562),"")</f>
        <v/>
      </c>
      <c r="R2562" s="61" t="str">
        <f aca="false">IF(IsPro,IF($D2562="","",ROUND(N($E2562)*IFERROR(INDEX(Items!$P$5:$P$504,U2562),0),2)),"")</f>
        <v/>
      </c>
      <c r="S2562" s="61" t="str">
        <f aca="false">IF(IsPro,IF($D2562="","",L2562-R2562),"")</f>
        <v/>
      </c>
      <c r="T2562" s="60" t="str">
        <f aca="false">IF(IsPro,IF($D2562="","",IF(U2562="","UNKNOWN ITEM",IF(INDEX(Items!$O$5:$O$504,U2562)&lt;0,"NEG STOCK",IF(K2562&lt;INDEX(Items!$P$5:$P$504,U2562),"BELOW COST","OK")))),IF($D2562="","","PRO PLAN"))</f>
        <v/>
      </c>
      <c r="U2562" s="60" t="str">
        <f aca="false">IF(IsPro,IF($D2562="","",IFERROR(MATCH($D2562,Items!$A$5:$A$504,0),"")),"")</f>
        <v/>
      </c>
      <c r="V2562" s="60" t="str">
        <f aca="false">IF(IsPro,IF($C2562="","",IFERROR(MATCH($C2562,Parties!$A$5:$A$304,0),"")),"")</f>
        <v/>
      </c>
      <c r="W2562" s="60" t="str">
        <f aca="false">IF(IsPro,IF($B2562="","",IFERROR(VALUE(SUBSTITUTE($B2562,InvPrefix,"")),0)),"")</f>
        <v/>
      </c>
      <c r="X2562" s="61" t="str">
        <f aca="false">IF(IsPro,IF($D2562="","",IF(OR($H2562="",$H2562="Credit"),0,Q2562)),"")</f>
        <v/>
      </c>
    </row>
    <row r="2563" customFormat="false" ht="15" hidden="false" customHeight="false" outlineLevel="0" collapsed="false">
      <c r="A2563" s="55"/>
      <c r="B2563" s="56"/>
      <c r="C2563" s="56"/>
      <c r="D2563" s="56"/>
      <c r="E2563" s="57"/>
      <c r="F2563" s="58"/>
      <c r="G2563" s="59"/>
      <c r="H2563" s="56"/>
      <c r="I2563" s="56"/>
      <c r="J2563" s="60" t="str">
        <f aca="false">IF(IsPro,IF($D2563="","",IFERROR(INDEX(Items!$D$5:$D$504,U2563),"")),"")</f>
        <v/>
      </c>
      <c r="K2563" s="61" t="str">
        <f aca="false">IF(IsPro,IF($D2563="","",IF($F2563="",IFERROR(INDEX(Items!$H$5:$H$504,U2563),0),$F2563)),"")</f>
        <v/>
      </c>
      <c r="L2563" s="61" t="str">
        <f aca="false">IF(IsPro,IF($D2563="","",ROUND(N($E2563)*K2563*(1-N($G2563)),2)),"")</f>
        <v/>
      </c>
      <c r="M2563" s="62" t="str">
        <f aca="false">IF(IsPro,IF($D2563="","",IFERROR(INDEX(Items!$F$5:$F$504,U2563),0)),"")</f>
        <v/>
      </c>
      <c r="N2563" s="61" t="str">
        <f aca="false">IF(IsPro,IF($D2563="","",IF(AND(V2563&lt;&gt;"",INDEX(Parties!$E$5:$E$304,V2563)&lt;&gt;"",INDEX(Parties!$E$5:$E$304,V2563)&lt;&gt;HomeState),0,ROUND(L2563*M2563/2,2))),"")</f>
        <v/>
      </c>
      <c r="O2563" s="61" t="str">
        <f aca="false">IF(IsPro,IF($D2563="","",N2563),"")</f>
        <v/>
      </c>
      <c r="P2563" s="61" t="str">
        <f aca="false">IF(IsPro,IF($D2563="","",IF(AND(V2563&lt;&gt;"",INDEX(Parties!$E$5:$E$304,V2563)&lt;&gt;"",INDEX(Parties!$E$5:$E$304,V2563)&lt;&gt;HomeState),ROUND(L2563*M2563,2),0)),"")</f>
        <v/>
      </c>
      <c r="Q2563" s="61" t="str">
        <f aca="false">IF(IsPro,IF($D2563="","",L2563+N2563+O2563+P2563),"")</f>
        <v/>
      </c>
      <c r="R2563" s="61" t="str">
        <f aca="false">IF(IsPro,IF($D2563="","",ROUND(N($E2563)*IFERROR(INDEX(Items!$P$5:$P$504,U2563),0),2)),"")</f>
        <v/>
      </c>
      <c r="S2563" s="61" t="str">
        <f aca="false">IF(IsPro,IF($D2563="","",L2563-R2563),"")</f>
        <v/>
      </c>
      <c r="T2563" s="60" t="str">
        <f aca="false">IF(IsPro,IF($D2563="","",IF(U2563="","UNKNOWN ITEM",IF(INDEX(Items!$O$5:$O$504,U2563)&lt;0,"NEG STOCK",IF(K2563&lt;INDEX(Items!$P$5:$P$504,U2563),"BELOW COST","OK")))),IF($D2563="","","PRO PLAN"))</f>
        <v/>
      </c>
      <c r="U2563" s="60" t="str">
        <f aca="false">IF(IsPro,IF($D2563="","",IFERROR(MATCH($D2563,Items!$A$5:$A$504,0),"")),"")</f>
        <v/>
      </c>
      <c r="V2563" s="60" t="str">
        <f aca="false">IF(IsPro,IF($C2563="","",IFERROR(MATCH($C2563,Parties!$A$5:$A$304,0),"")),"")</f>
        <v/>
      </c>
      <c r="W2563" s="60" t="str">
        <f aca="false">IF(IsPro,IF($B2563="","",IFERROR(VALUE(SUBSTITUTE($B2563,InvPrefix,"")),0)),"")</f>
        <v/>
      </c>
      <c r="X2563" s="61" t="str">
        <f aca="false">IF(IsPro,IF($D2563="","",IF(OR($H2563="",$H2563="Credit"),0,Q2563)),"")</f>
        <v/>
      </c>
    </row>
    <row r="2564" customFormat="false" ht="15" hidden="false" customHeight="false" outlineLevel="0" collapsed="false">
      <c r="A2564" s="55"/>
      <c r="B2564" s="56"/>
      <c r="C2564" s="56"/>
      <c r="D2564" s="56"/>
      <c r="E2564" s="57"/>
      <c r="F2564" s="58"/>
      <c r="G2564" s="59"/>
      <c r="H2564" s="56"/>
      <c r="I2564" s="56"/>
      <c r="J2564" s="60" t="str">
        <f aca="false">IF(IsPro,IF($D2564="","",IFERROR(INDEX(Items!$D$5:$D$504,U2564),"")),"")</f>
        <v/>
      </c>
      <c r="K2564" s="61" t="str">
        <f aca="false">IF(IsPro,IF($D2564="","",IF($F2564="",IFERROR(INDEX(Items!$H$5:$H$504,U2564),0),$F2564)),"")</f>
        <v/>
      </c>
      <c r="L2564" s="61" t="str">
        <f aca="false">IF(IsPro,IF($D2564="","",ROUND(N($E2564)*K2564*(1-N($G2564)),2)),"")</f>
        <v/>
      </c>
      <c r="M2564" s="62" t="str">
        <f aca="false">IF(IsPro,IF($D2564="","",IFERROR(INDEX(Items!$F$5:$F$504,U2564),0)),"")</f>
        <v/>
      </c>
      <c r="N2564" s="61" t="str">
        <f aca="false">IF(IsPro,IF($D2564="","",IF(AND(V2564&lt;&gt;"",INDEX(Parties!$E$5:$E$304,V2564)&lt;&gt;"",INDEX(Parties!$E$5:$E$304,V2564)&lt;&gt;HomeState),0,ROUND(L2564*M2564/2,2))),"")</f>
        <v/>
      </c>
      <c r="O2564" s="61" t="str">
        <f aca="false">IF(IsPro,IF($D2564="","",N2564),"")</f>
        <v/>
      </c>
      <c r="P2564" s="61" t="str">
        <f aca="false">IF(IsPro,IF($D2564="","",IF(AND(V2564&lt;&gt;"",INDEX(Parties!$E$5:$E$304,V2564)&lt;&gt;"",INDEX(Parties!$E$5:$E$304,V2564)&lt;&gt;HomeState),ROUND(L2564*M2564,2),0)),"")</f>
        <v/>
      </c>
      <c r="Q2564" s="61" t="str">
        <f aca="false">IF(IsPro,IF($D2564="","",L2564+N2564+O2564+P2564),"")</f>
        <v/>
      </c>
      <c r="R2564" s="61" t="str">
        <f aca="false">IF(IsPro,IF($D2564="","",ROUND(N($E2564)*IFERROR(INDEX(Items!$P$5:$P$504,U2564),0),2)),"")</f>
        <v/>
      </c>
      <c r="S2564" s="61" t="str">
        <f aca="false">IF(IsPro,IF($D2564="","",L2564-R2564),"")</f>
        <v/>
      </c>
      <c r="T2564" s="60" t="str">
        <f aca="false">IF(IsPro,IF($D2564="","",IF(U2564="","UNKNOWN ITEM",IF(INDEX(Items!$O$5:$O$504,U2564)&lt;0,"NEG STOCK",IF(K2564&lt;INDEX(Items!$P$5:$P$504,U2564),"BELOW COST","OK")))),IF($D2564="","","PRO PLAN"))</f>
        <v/>
      </c>
      <c r="U2564" s="60" t="str">
        <f aca="false">IF(IsPro,IF($D2564="","",IFERROR(MATCH($D2564,Items!$A$5:$A$504,0),"")),"")</f>
        <v/>
      </c>
      <c r="V2564" s="60" t="str">
        <f aca="false">IF(IsPro,IF($C2564="","",IFERROR(MATCH($C2564,Parties!$A$5:$A$304,0),"")),"")</f>
        <v/>
      </c>
      <c r="W2564" s="60" t="str">
        <f aca="false">IF(IsPro,IF($B2564="","",IFERROR(VALUE(SUBSTITUTE($B2564,InvPrefix,"")),0)),"")</f>
        <v/>
      </c>
      <c r="X2564" s="61" t="str">
        <f aca="false">IF(IsPro,IF($D2564="","",IF(OR($H2564="",$H2564="Credit"),0,Q2564)),"")</f>
        <v/>
      </c>
    </row>
    <row r="2565" customFormat="false" ht="15" hidden="false" customHeight="false" outlineLevel="0" collapsed="false">
      <c r="A2565" s="55"/>
      <c r="B2565" s="56"/>
      <c r="C2565" s="56"/>
      <c r="D2565" s="56"/>
      <c r="E2565" s="57"/>
      <c r="F2565" s="58"/>
      <c r="G2565" s="59"/>
      <c r="H2565" s="56"/>
      <c r="I2565" s="56"/>
      <c r="J2565" s="60" t="str">
        <f aca="false">IF(IsPro,IF($D2565="","",IFERROR(INDEX(Items!$D$5:$D$504,U2565),"")),"")</f>
        <v/>
      </c>
      <c r="K2565" s="61" t="str">
        <f aca="false">IF(IsPro,IF($D2565="","",IF($F2565="",IFERROR(INDEX(Items!$H$5:$H$504,U2565),0),$F2565)),"")</f>
        <v/>
      </c>
      <c r="L2565" s="61" t="str">
        <f aca="false">IF(IsPro,IF($D2565="","",ROUND(N($E2565)*K2565*(1-N($G2565)),2)),"")</f>
        <v/>
      </c>
      <c r="M2565" s="62" t="str">
        <f aca="false">IF(IsPro,IF($D2565="","",IFERROR(INDEX(Items!$F$5:$F$504,U2565),0)),"")</f>
        <v/>
      </c>
      <c r="N2565" s="61" t="str">
        <f aca="false">IF(IsPro,IF($D2565="","",IF(AND(V2565&lt;&gt;"",INDEX(Parties!$E$5:$E$304,V2565)&lt;&gt;"",INDEX(Parties!$E$5:$E$304,V2565)&lt;&gt;HomeState),0,ROUND(L2565*M2565/2,2))),"")</f>
        <v/>
      </c>
      <c r="O2565" s="61" t="str">
        <f aca="false">IF(IsPro,IF($D2565="","",N2565),"")</f>
        <v/>
      </c>
      <c r="P2565" s="61" t="str">
        <f aca="false">IF(IsPro,IF($D2565="","",IF(AND(V2565&lt;&gt;"",INDEX(Parties!$E$5:$E$304,V2565)&lt;&gt;"",INDEX(Parties!$E$5:$E$304,V2565)&lt;&gt;HomeState),ROUND(L2565*M2565,2),0)),"")</f>
        <v/>
      </c>
      <c r="Q2565" s="61" t="str">
        <f aca="false">IF(IsPro,IF($D2565="","",L2565+N2565+O2565+P2565),"")</f>
        <v/>
      </c>
      <c r="R2565" s="61" t="str">
        <f aca="false">IF(IsPro,IF($D2565="","",ROUND(N($E2565)*IFERROR(INDEX(Items!$P$5:$P$504,U2565),0),2)),"")</f>
        <v/>
      </c>
      <c r="S2565" s="61" t="str">
        <f aca="false">IF(IsPro,IF($D2565="","",L2565-R2565),"")</f>
        <v/>
      </c>
      <c r="T2565" s="60" t="str">
        <f aca="false">IF(IsPro,IF($D2565="","",IF(U2565="","UNKNOWN ITEM",IF(INDEX(Items!$O$5:$O$504,U2565)&lt;0,"NEG STOCK",IF(K2565&lt;INDEX(Items!$P$5:$P$504,U2565),"BELOW COST","OK")))),IF($D2565="","","PRO PLAN"))</f>
        <v/>
      </c>
      <c r="U2565" s="60" t="str">
        <f aca="false">IF(IsPro,IF($D2565="","",IFERROR(MATCH($D2565,Items!$A$5:$A$504,0),"")),"")</f>
        <v/>
      </c>
      <c r="V2565" s="60" t="str">
        <f aca="false">IF(IsPro,IF($C2565="","",IFERROR(MATCH($C2565,Parties!$A$5:$A$304,0),"")),"")</f>
        <v/>
      </c>
      <c r="W2565" s="60" t="str">
        <f aca="false">IF(IsPro,IF($B2565="","",IFERROR(VALUE(SUBSTITUTE($B2565,InvPrefix,"")),0)),"")</f>
        <v/>
      </c>
      <c r="X2565" s="61" t="str">
        <f aca="false">IF(IsPro,IF($D2565="","",IF(OR($H2565="",$H2565="Credit"),0,Q2565)),"")</f>
        <v/>
      </c>
    </row>
    <row r="2566" customFormat="false" ht="15" hidden="false" customHeight="false" outlineLevel="0" collapsed="false">
      <c r="A2566" s="55"/>
      <c r="B2566" s="56"/>
      <c r="C2566" s="56"/>
      <c r="D2566" s="56"/>
      <c r="E2566" s="57"/>
      <c r="F2566" s="58"/>
      <c r="G2566" s="59"/>
      <c r="H2566" s="56"/>
      <c r="I2566" s="56"/>
      <c r="J2566" s="60" t="str">
        <f aca="false">IF(IsPro,IF($D2566="","",IFERROR(INDEX(Items!$D$5:$D$504,U2566),"")),"")</f>
        <v/>
      </c>
      <c r="K2566" s="61" t="str">
        <f aca="false">IF(IsPro,IF($D2566="","",IF($F2566="",IFERROR(INDEX(Items!$H$5:$H$504,U2566),0),$F2566)),"")</f>
        <v/>
      </c>
      <c r="L2566" s="61" t="str">
        <f aca="false">IF(IsPro,IF($D2566="","",ROUND(N($E2566)*K2566*(1-N($G2566)),2)),"")</f>
        <v/>
      </c>
      <c r="M2566" s="62" t="str">
        <f aca="false">IF(IsPro,IF($D2566="","",IFERROR(INDEX(Items!$F$5:$F$504,U2566),0)),"")</f>
        <v/>
      </c>
      <c r="N2566" s="61" t="str">
        <f aca="false">IF(IsPro,IF($D2566="","",IF(AND(V2566&lt;&gt;"",INDEX(Parties!$E$5:$E$304,V2566)&lt;&gt;"",INDEX(Parties!$E$5:$E$304,V2566)&lt;&gt;HomeState),0,ROUND(L2566*M2566/2,2))),"")</f>
        <v/>
      </c>
      <c r="O2566" s="61" t="str">
        <f aca="false">IF(IsPro,IF($D2566="","",N2566),"")</f>
        <v/>
      </c>
      <c r="P2566" s="61" t="str">
        <f aca="false">IF(IsPro,IF($D2566="","",IF(AND(V2566&lt;&gt;"",INDEX(Parties!$E$5:$E$304,V2566)&lt;&gt;"",INDEX(Parties!$E$5:$E$304,V2566)&lt;&gt;HomeState),ROUND(L2566*M2566,2),0)),"")</f>
        <v/>
      </c>
      <c r="Q2566" s="61" t="str">
        <f aca="false">IF(IsPro,IF($D2566="","",L2566+N2566+O2566+P2566),"")</f>
        <v/>
      </c>
      <c r="R2566" s="61" t="str">
        <f aca="false">IF(IsPro,IF($D2566="","",ROUND(N($E2566)*IFERROR(INDEX(Items!$P$5:$P$504,U2566),0),2)),"")</f>
        <v/>
      </c>
      <c r="S2566" s="61" t="str">
        <f aca="false">IF(IsPro,IF($D2566="","",L2566-R2566),"")</f>
        <v/>
      </c>
      <c r="T2566" s="60" t="str">
        <f aca="false">IF(IsPro,IF($D2566="","",IF(U2566="","UNKNOWN ITEM",IF(INDEX(Items!$O$5:$O$504,U2566)&lt;0,"NEG STOCK",IF(K2566&lt;INDEX(Items!$P$5:$P$504,U2566),"BELOW COST","OK")))),IF($D2566="","","PRO PLAN"))</f>
        <v/>
      </c>
      <c r="U2566" s="60" t="str">
        <f aca="false">IF(IsPro,IF($D2566="","",IFERROR(MATCH($D2566,Items!$A$5:$A$504,0),"")),"")</f>
        <v/>
      </c>
      <c r="V2566" s="60" t="str">
        <f aca="false">IF(IsPro,IF($C2566="","",IFERROR(MATCH($C2566,Parties!$A$5:$A$304,0),"")),"")</f>
        <v/>
      </c>
      <c r="W2566" s="60" t="str">
        <f aca="false">IF(IsPro,IF($B2566="","",IFERROR(VALUE(SUBSTITUTE($B2566,InvPrefix,"")),0)),"")</f>
        <v/>
      </c>
      <c r="X2566" s="61" t="str">
        <f aca="false">IF(IsPro,IF($D2566="","",IF(OR($H2566="",$H2566="Credit"),0,Q2566)),"")</f>
        <v/>
      </c>
    </row>
    <row r="2567" customFormat="false" ht="15" hidden="false" customHeight="false" outlineLevel="0" collapsed="false">
      <c r="A2567" s="55"/>
      <c r="B2567" s="56"/>
      <c r="C2567" s="56"/>
      <c r="D2567" s="56"/>
      <c r="E2567" s="57"/>
      <c r="F2567" s="58"/>
      <c r="G2567" s="59"/>
      <c r="H2567" s="56"/>
      <c r="I2567" s="56"/>
      <c r="J2567" s="60" t="str">
        <f aca="false">IF(IsPro,IF($D2567="","",IFERROR(INDEX(Items!$D$5:$D$504,U2567),"")),"")</f>
        <v/>
      </c>
      <c r="K2567" s="61" t="str">
        <f aca="false">IF(IsPro,IF($D2567="","",IF($F2567="",IFERROR(INDEX(Items!$H$5:$H$504,U2567),0),$F2567)),"")</f>
        <v/>
      </c>
      <c r="L2567" s="61" t="str">
        <f aca="false">IF(IsPro,IF($D2567="","",ROUND(N($E2567)*K2567*(1-N($G2567)),2)),"")</f>
        <v/>
      </c>
      <c r="M2567" s="62" t="str">
        <f aca="false">IF(IsPro,IF($D2567="","",IFERROR(INDEX(Items!$F$5:$F$504,U2567),0)),"")</f>
        <v/>
      </c>
      <c r="N2567" s="61" t="str">
        <f aca="false">IF(IsPro,IF($D2567="","",IF(AND(V2567&lt;&gt;"",INDEX(Parties!$E$5:$E$304,V2567)&lt;&gt;"",INDEX(Parties!$E$5:$E$304,V2567)&lt;&gt;HomeState),0,ROUND(L2567*M2567/2,2))),"")</f>
        <v/>
      </c>
      <c r="O2567" s="61" t="str">
        <f aca="false">IF(IsPro,IF($D2567="","",N2567),"")</f>
        <v/>
      </c>
      <c r="P2567" s="61" t="str">
        <f aca="false">IF(IsPro,IF($D2567="","",IF(AND(V2567&lt;&gt;"",INDEX(Parties!$E$5:$E$304,V2567)&lt;&gt;"",INDEX(Parties!$E$5:$E$304,V2567)&lt;&gt;HomeState),ROUND(L2567*M2567,2),0)),"")</f>
        <v/>
      </c>
      <c r="Q2567" s="61" t="str">
        <f aca="false">IF(IsPro,IF($D2567="","",L2567+N2567+O2567+P2567),"")</f>
        <v/>
      </c>
      <c r="R2567" s="61" t="str">
        <f aca="false">IF(IsPro,IF($D2567="","",ROUND(N($E2567)*IFERROR(INDEX(Items!$P$5:$P$504,U2567),0),2)),"")</f>
        <v/>
      </c>
      <c r="S2567" s="61" t="str">
        <f aca="false">IF(IsPro,IF($D2567="","",L2567-R2567),"")</f>
        <v/>
      </c>
      <c r="T2567" s="60" t="str">
        <f aca="false">IF(IsPro,IF($D2567="","",IF(U2567="","UNKNOWN ITEM",IF(INDEX(Items!$O$5:$O$504,U2567)&lt;0,"NEG STOCK",IF(K2567&lt;INDEX(Items!$P$5:$P$504,U2567),"BELOW COST","OK")))),IF($D2567="","","PRO PLAN"))</f>
        <v/>
      </c>
      <c r="U2567" s="60" t="str">
        <f aca="false">IF(IsPro,IF($D2567="","",IFERROR(MATCH($D2567,Items!$A$5:$A$504,0),"")),"")</f>
        <v/>
      </c>
      <c r="V2567" s="60" t="str">
        <f aca="false">IF(IsPro,IF($C2567="","",IFERROR(MATCH($C2567,Parties!$A$5:$A$304,0),"")),"")</f>
        <v/>
      </c>
      <c r="W2567" s="60" t="str">
        <f aca="false">IF(IsPro,IF($B2567="","",IFERROR(VALUE(SUBSTITUTE($B2567,InvPrefix,"")),0)),"")</f>
        <v/>
      </c>
      <c r="X2567" s="61" t="str">
        <f aca="false">IF(IsPro,IF($D2567="","",IF(OR($H2567="",$H2567="Credit"),0,Q2567)),"")</f>
        <v/>
      </c>
    </row>
    <row r="2568" customFormat="false" ht="15" hidden="false" customHeight="false" outlineLevel="0" collapsed="false">
      <c r="A2568" s="55"/>
      <c r="B2568" s="56"/>
      <c r="C2568" s="56"/>
      <c r="D2568" s="56"/>
      <c r="E2568" s="57"/>
      <c r="F2568" s="58"/>
      <c r="G2568" s="59"/>
      <c r="H2568" s="56"/>
      <c r="I2568" s="56"/>
      <c r="J2568" s="60" t="str">
        <f aca="false">IF(IsPro,IF($D2568="","",IFERROR(INDEX(Items!$D$5:$D$504,U2568),"")),"")</f>
        <v/>
      </c>
      <c r="K2568" s="61" t="str">
        <f aca="false">IF(IsPro,IF($D2568="","",IF($F2568="",IFERROR(INDEX(Items!$H$5:$H$504,U2568),0),$F2568)),"")</f>
        <v/>
      </c>
      <c r="L2568" s="61" t="str">
        <f aca="false">IF(IsPro,IF($D2568="","",ROUND(N($E2568)*K2568*(1-N($G2568)),2)),"")</f>
        <v/>
      </c>
      <c r="M2568" s="62" t="str">
        <f aca="false">IF(IsPro,IF($D2568="","",IFERROR(INDEX(Items!$F$5:$F$504,U2568),0)),"")</f>
        <v/>
      </c>
      <c r="N2568" s="61" t="str">
        <f aca="false">IF(IsPro,IF($D2568="","",IF(AND(V2568&lt;&gt;"",INDEX(Parties!$E$5:$E$304,V2568)&lt;&gt;"",INDEX(Parties!$E$5:$E$304,V2568)&lt;&gt;HomeState),0,ROUND(L2568*M2568/2,2))),"")</f>
        <v/>
      </c>
      <c r="O2568" s="61" t="str">
        <f aca="false">IF(IsPro,IF($D2568="","",N2568),"")</f>
        <v/>
      </c>
      <c r="P2568" s="61" t="str">
        <f aca="false">IF(IsPro,IF($D2568="","",IF(AND(V2568&lt;&gt;"",INDEX(Parties!$E$5:$E$304,V2568)&lt;&gt;"",INDEX(Parties!$E$5:$E$304,V2568)&lt;&gt;HomeState),ROUND(L2568*M2568,2),0)),"")</f>
        <v/>
      </c>
      <c r="Q2568" s="61" t="str">
        <f aca="false">IF(IsPro,IF($D2568="","",L2568+N2568+O2568+P2568),"")</f>
        <v/>
      </c>
      <c r="R2568" s="61" t="str">
        <f aca="false">IF(IsPro,IF($D2568="","",ROUND(N($E2568)*IFERROR(INDEX(Items!$P$5:$P$504,U2568),0),2)),"")</f>
        <v/>
      </c>
      <c r="S2568" s="61" t="str">
        <f aca="false">IF(IsPro,IF($D2568="","",L2568-R2568),"")</f>
        <v/>
      </c>
      <c r="T2568" s="60" t="str">
        <f aca="false">IF(IsPro,IF($D2568="","",IF(U2568="","UNKNOWN ITEM",IF(INDEX(Items!$O$5:$O$504,U2568)&lt;0,"NEG STOCK",IF(K2568&lt;INDEX(Items!$P$5:$P$504,U2568),"BELOW COST","OK")))),IF($D2568="","","PRO PLAN"))</f>
        <v/>
      </c>
      <c r="U2568" s="60" t="str">
        <f aca="false">IF(IsPro,IF($D2568="","",IFERROR(MATCH($D2568,Items!$A$5:$A$504,0),"")),"")</f>
        <v/>
      </c>
      <c r="V2568" s="60" t="str">
        <f aca="false">IF(IsPro,IF($C2568="","",IFERROR(MATCH($C2568,Parties!$A$5:$A$304,0),"")),"")</f>
        <v/>
      </c>
      <c r="W2568" s="60" t="str">
        <f aca="false">IF(IsPro,IF($B2568="","",IFERROR(VALUE(SUBSTITUTE($B2568,InvPrefix,"")),0)),"")</f>
        <v/>
      </c>
      <c r="X2568" s="61" t="str">
        <f aca="false">IF(IsPro,IF($D2568="","",IF(OR($H2568="",$H2568="Credit"),0,Q2568)),"")</f>
        <v/>
      </c>
    </row>
    <row r="2569" customFormat="false" ht="15" hidden="false" customHeight="false" outlineLevel="0" collapsed="false">
      <c r="A2569" s="55"/>
      <c r="B2569" s="56"/>
      <c r="C2569" s="56"/>
      <c r="D2569" s="56"/>
      <c r="E2569" s="57"/>
      <c r="F2569" s="58"/>
      <c r="G2569" s="59"/>
      <c r="H2569" s="56"/>
      <c r="I2569" s="56"/>
      <c r="J2569" s="60" t="str">
        <f aca="false">IF(IsPro,IF($D2569="","",IFERROR(INDEX(Items!$D$5:$D$504,U2569),"")),"")</f>
        <v/>
      </c>
      <c r="K2569" s="61" t="str">
        <f aca="false">IF(IsPro,IF($D2569="","",IF($F2569="",IFERROR(INDEX(Items!$H$5:$H$504,U2569),0),$F2569)),"")</f>
        <v/>
      </c>
      <c r="L2569" s="61" t="str">
        <f aca="false">IF(IsPro,IF($D2569="","",ROUND(N($E2569)*K2569*(1-N($G2569)),2)),"")</f>
        <v/>
      </c>
      <c r="M2569" s="62" t="str">
        <f aca="false">IF(IsPro,IF($D2569="","",IFERROR(INDEX(Items!$F$5:$F$504,U2569),0)),"")</f>
        <v/>
      </c>
      <c r="N2569" s="61" t="str">
        <f aca="false">IF(IsPro,IF($D2569="","",IF(AND(V2569&lt;&gt;"",INDEX(Parties!$E$5:$E$304,V2569)&lt;&gt;"",INDEX(Parties!$E$5:$E$304,V2569)&lt;&gt;HomeState),0,ROUND(L2569*M2569/2,2))),"")</f>
        <v/>
      </c>
      <c r="O2569" s="61" t="str">
        <f aca="false">IF(IsPro,IF($D2569="","",N2569),"")</f>
        <v/>
      </c>
      <c r="P2569" s="61" t="str">
        <f aca="false">IF(IsPro,IF($D2569="","",IF(AND(V2569&lt;&gt;"",INDEX(Parties!$E$5:$E$304,V2569)&lt;&gt;"",INDEX(Parties!$E$5:$E$304,V2569)&lt;&gt;HomeState),ROUND(L2569*M2569,2),0)),"")</f>
        <v/>
      </c>
      <c r="Q2569" s="61" t="str">
        <f aca="false">IF(IsPro,IF($D2569="","",L2569+N2569+O2569+P2569),"")</f>
        <v/>
      </c>
      <c r="R2569" s="61" t="str">
        <f aca="false">IF(IsPro,IF($D2569="","",ROUND(N($E2569)*IFERROR(INDEX(Items!$P$5:$P$504,U2569),0),2)),"")</f>
        <v/>
      </c>
      <c r="S2569" s="61" t="str">
        <f aca="false">IF(IsPro,IF($D2569="","",L2569-R2569),"")</f>
        <v/>
      </c>
      <c r="T2569" s="60" t="str">
        <f aca="false">IF(IsPro,IF($D2569="","",IF(U2569="","UNKNOWN ITEM",IF(INDEX(Items!$O$5:$O$504,U2569)&lt;0,"NEG STOCK",IF(K2569&lt;INDEX(Items!$P$5:$P$504,U2569),"BELOW COST","OK")))),IF($D2569="","","PRO PLAN"))</f>
        <v/>
      </c>
      <c r="U2569" s="60" t="str">
        <f aca="false">IF(IsPro,IF($D2569="","",IFERROR(MATCH($D2569,Items!$A$5:$A$504,0),"")),"")</f>
        <v/>
      </c>
      <c r="V2569" s="60" t="str">
        <f aca="false">IF(IsPro,IF($C2569="","",IFERROR(MATCH($C2569,Parties!$A$5:$A$304,0),"")),"")</f>
        <v/>
      </c>
      <c r="W2569" s="60" t="str">
        <f aca="false">IF(IsPro,IF($B2569="","",IFERROR(VALUE(SUBSTITUTE($B2569,InvPrefix,"")),0)),"")</f>
        <v/>
      </c>
      <c r="X2569" s="61" t="str">
        <f aca="false">IF(IsPro,IF($D2569="","",IF(OR($H2569="",$H2569="Credit"),0,Q2569)),"")</f>
        <v/>
      </c>
    </row>
    <row r="2570" customFormat="false" ht="15" hidden="false" customHeight="false" outlineLevel="0" collapsed="false">
      <c r="A2570" s="55"/>
      <c r="B2570" s="56"/>
      <c r="C2570" s="56"/>
      <c r="D2570" s="56"/>
      <c r="E2570" s="57"/>
      <c r="F2570" s="58"/>
      <c r="G2570" s="59"/>
      <c r="H2570" s="56"/>
      <c r="I2570" s="56"/>
      <c r="J2570" s="60" t="str">
        <f aca="false">IF(IsPro,IF($D2570="","",IFERROR(INDEX(Items!$D$5:$D$504,U2570),"")),"")</f>
        <v/>
      </c>
      <c r="K2570" s="61" t="str">
        <f aca="false">IF(IsPro,IF($D2570="","",IF($F2570="",IFERROR(INDEX(Items!$H$5:$H$504,U2570),0),$F2570)),"")</f>
        <v/>
      </c>
      <c r="L2570" s="61" t="str">
        <f aca="false">IF(IsPro,IF($D2570="","",ROUND(N($E2570)*K2570*(1-N($G2570)),2)),"")</f>
        <v/>
      </c>
      <c r="M2570" s="62" t="str">
        <f aca="false">IF(IsPro,IF($D2570="","",IFERROR(INDEX(Items!$F$5:$F$504,U2570),0)),"")</f>
        <v/>
      </c>
      <c r="N2570" s="61" t="str">
        <f aca="false">IF(IsPro,IF($D2570="","",IF(AND(V2570&lt;&gt;"",INDEX(Parties!$E$5:$E$304,V2570)&lt;&gt;"",INDEX(Parties!$E$5:$E$304,V2570)&lt;&gt;HomeState),0,ROUND(L2570*M2570/2,2))),"")</f>
        <v/>
      </c>
      <c r="O2570" s="61" t="str">
        <f aca="false">IF(IsPro,IF($D2570="","",N2570),"")</f>
        <v/>
      </c>
      <c r="P2570" s="61" t="str">
        <f aca="false">IF(IsPro,IF($D2570="","",IF(AND(V2570&lt;&gt;"",INDEX(Parties!$E$5:$E$304,V2570)&lt;&gt;"",INDEX(Parties!$E$5:$E$304,V2570)&lt;&gt;HomeState),ROUND(L2570*M2570,2),0)),"")</f>
        <v/>
      </c>
      <c r="Q2570" s="61" t="str">
        <f aca="false">IF(IsPro,IF($D2570="","",L2570+N2570+O2570+P2570),"")</f>
        <v/>
      </c>
      <c r="R2570" s="61" t="str">
        <f aca="false">IF(IsPro,IF($D2570="","",ROUND(N($E2570)*IFERROR(INDEX(Items!$P$5:$P$504,U2570),0),2)),"")</f>
        <v/>
      </c>
      <c r="S2570" s="61" t="str">
        <f aca="false">IF(IsPro,IF($D2570="","",L2570-R2570),"")</f>
        <v/>
      </c>
      <c r="T2570" s="60" t="str">
        <f aca="false">IF(IsPro,IF($D2570="","",IF(U2570="","UNKNOWN ITEM",IF(INDEX(Items!$O$5:$O$504,U2570)&lt;0,"NEG STOCK",IF(K2570&lt;INDEX(Items!$P$5:$P$504,U2570),"BELOW COST","OK")))),IF($D2570="","","PRO PLAN"))</f>
        <v/>
      </c>
      <c r="U2570" s="60" t="str">
        <f aca="false">IF(IsPro,IF($D2570="","",IFERROR(MATCH($D2570,Items!$A$5:$A$504,0),"")),"")</f>
        <v/>
      </c>
      <c r="V2570" s="60" t="str">
        <f aca="false">IF(IsPro,IF($C2570="","",IFERROR(MATCH($C2570,Parties!$A$5:$A$304,0),"")),"")</f>
        <v/>
      </c>
      <c r="W2570" s="60" t="str">
        <f aca="false">IF(IsPro,IF($B2570="","",IFERROR(VALUE(SUBSTITUTE($B2570,InvPrefix,"")),0)),"")</f>
        <v/>
      </c>
      <c r="X2570" s="61" t="str">
        <f aca="false">IF(IsPro,IF($D2570="","",IF(OR($H2570="",$H2570="Credit"),0,Q2570)),"")</f>
        <v/>
      </c>
    </row>
    <row r="2571" customFormat="false" ht="15" hidden="false" customHeight="false" outlineLevel="0" collapsed="false">
      <c r="A2571" s="55"/>
      <c r="B2571" s="56"/>
      <c r="C2571" s="56"/>
      <c r="D2571" s="56"/>
      <c r="E2571" s="57"/>
      <c r="F2571" s="58"/>
      <c r="G2571" s="59"/>
      <c r="H2571" s="56"/>
      <c r="I2571" s="56"/>
      <c r="J2571" s="60" t="str">
        <f aca="false">IF(IsPro,IF($D2571="","",IFERROR(INDEX(Items!$D$5:$D$504,U2571),"")),"")</f>
        <v/>
      </c>
      <c r="K2571" s="61" t="str">
        <f aca="false">IF(IsPro,IF($D2571="","",IF($F2571="",IFERROR(INDEX(Items!$H$5:$H$504,U2571),0),$F2571)),"")</f>
        <v/>
      </c>
      <c r="L2571" s="61" t="str">
        <f aca="false">IF(IsPro,IF($D2571="","",ROUND(N($E2571)*K2571*(1-N($G2571)),2)),"")</f>
        <v/>
      </c>
      <c r="M2571" s="62" t="str">
        <f aca="false">IF(IsPro,IF($D2571="","",IFERROR(INDEX(Items!$F$5:$F$504,U2571),0)),"")</f>
        <v/>
      </c>
      <c r="N2571" s="61" t="str">
        <f aca="false">IF(IsPro,IF($D2571="","",IF(AND(V2571&lt;&gt;"",INDEX(Parties!$E$5:$E$304,V2571)&lt;&gt;"",INDEX(Parties!$E$5:$E$304,V2571)&lt;&gt;HomeState),0,ROUND(L2571*M2571/2,2))),"")</f>
        <v/>
      </c>
      <c r="O2571" s="61" t="str">
        <f aca="false">IF(IsPro,IF($D2571="","",N2571),"")</f>
        <v/>
      </c>
      <c r="P2571" s="61" t="str">
        <f aca="false">IF(IsPro,IF($D2571="","",IF(AND(V2571&lt;&gt;"",INDEX(Parties!$E$5:$E$304,V2571)&lt;&gt;"",INDEX(Parties!$E$5:$E$304,V2571)&lt;&gt;HomeState),ROUND(L2571*M2571,2),0)),"")</f>
        <v/>
      </c>
      <c r="Q2571" s="61" t="str">
        <f aca="false">IF(IsPro,IF($D2571="","",L2571+N2571+O2571+P2571),"")</f>
        <v/>
      </c>
      <c r="R2571" s="61" t="str">
        <f aca="false">IF(IsPro,IF($D2571="","",ROUND(N($E2571)*IFERROR(INDEX(Items!$P$5:$P$504,U2571),0),2)),"")</f>
        <v/>
      </c>
      <c r="S2571" s="61" t="str">
        <f aca="false">IF(IsPro,IF($D2571="","",L2571-R2571),"")</f>
        <v/>
      </c>
      <c r="T2571" s="60" t="str">
        <f aca="false">IF(IsPro,IF($D2571="","",IF(U2571="","UNKNOWN ITEM",IF(INDEX(Items!$O$5:$O$504,U2571)&lt;0,"NEG STOCK",IF(K2571&lt;INDEX(Items!$P$5:$P$504,U2571),"BELOW COST","OK")))),IF($D2571="","","PRO PLAN"))</f>
        <v/>
      </c>
      <c r="U2571" s="60" t="str">
        <f aca="false">IF(IsPro,IF($D2571="","",IFERROR(MATCH($D2571,Items!$A$5:$A$504,0),"")),"")</f>
        <v/>
      </c>
      <c r="V2571" s="60" t="str">
        <f aca="false">IF(IsPro,IF($C2571="","",IFERROR(MATCH($C2571,Parties!$A$5:$A$304,0),"")),"")</f>
        <v/>
      </c>
      <c r="W2571" s="60" t="str">
        <f aca="false">IF(IsPro,IF($B2571="","",IFERROR(VALUE(SUBSTITUTE($B2571,InvPrefix,"")),0)),"")</f>
        <v/>
      </c>
      <c r="X2571" s="61" t="str">
        <f aca="false">IF(IsPro,IF($D2571="","",IF(OR($H2571="",$H2571="Credit"),0,Q2571)),"")</f>
        <v/>
      </c>
    </row>
    <row r="2572" customFormat="false" ht="15" hidden="false" customHeight="false" outlineLevel="0" collapsed="false">
      <c r="A2572" s="55"/>
      <c r="B2572" s="56"/>
      <c r="C2572" s="56"/>
      <c r="D2572" s="56"/>
      <c r="E2572" s="57"/>
      <c r="F2572" s="58"/>
      <c r="G2572" s="59"/>
      <c r="H2572" s="56"/>
      <c r="I2572" s="56"/>
      <c r="J2572" s="60" t="str">
        <f aca="false">IF(IsPro,IF($D2572="","",IFERROR(INDEX(Items!$D$5:$D$504,U2572),"")),"")</f>
        <v/>
      </c>
      <c r="K2572" s="61" t="str">
        <f aca="false">IF(IsPro,IF($D2572="","",IF($F2572="",IFERROR(INDEX(Items!$H$5:$H$504,U2572),0),$F2572)),"")</f>
        <v/>
      </c>
      <c r="L2572" s="61" t="str">
        <f aca="false">IF(IsPro,IF($D2572="","",ROUND(N($E2572)*K2572*(1-N($G2572)),2)),"")</f>
        <v/>
      </c>
      <c r="M2572" s="62" t="str">
        <f aca="false">IF(IsPro,IF($D2572="","",IFERROR(INDEX(Items!$F$5:$F$504,U2572),0)),"")</f>
        <v/>
      </c>
      <c r="N2572" s="61" t="str">
        <f aca="false">IF(IsPro,IF($D2572="","",IF(AND(V2572&lt;&gt;"",INDEX(Parties!$E$5:$E$304,V2572)&lt;&gt;"",INDEX(Parties!$E$5:$E$304,V2572)&lt;&gt;HomeState),0,ROUND(L2572*M2572/2,2))),"")</f>
        <v/>
      </c>
      <c r="O2572" s="61" t="str">
        <f aca="false">IF(IsPro,IF($D2572="","",N2572),"")</f>
        <v/>
      </c>
      <c r="P2572" s="61" t="str">
        <f aca="false">IF(IsPro,IF($D2572="","",IF(AND(V2572&lt;&gt;"",INDEX(Parties!$E$5:$E$304,V2572)&lt;&gt;"",INDEX(Parties!$E$5:$E$304,V2572)&lt;&gt;HomeState),ROUND(L2572*M2572,2),0)),"")</f>
        <v/>
      </c>
      <c r="Q2572" s="61" t="str">
        <f aca="false">IF(IsPro,IF($D2572="","",L2572+N2572+O2572+P2572),"")</f>
        <v/>
      </c>
      <c r="R2572" s="61" t="str">
        <f aca="false">IF(IsPro,IF($D2572="","",ROUND(N($E2572)*IFERROR(INDEX(Items!$P$5:$P$504,U2572),0),2)),"")</f>
        <v/>
      </c>
      <c r="S2572" s="61" t="str">
        <f aca="false">IF(IsPro,IF($D2572="","",L2572-R2572),"")</f>
        <v/>
      </c>
      <c r="T2572" s="60" t="str">
        <f aca="false">IF(IsPro,IF($D2572="","",IF(U2572="","UNKNOWN ITEM",IF(INDEX(Items!$O$5:$O$504,U2572)&lt;0,"NEG STOCK",IF(K2572&lt;INDEX(Items!$P$5:$P$504,U2572),"BELOW COST","OK")))),IF($D2572="","","PRO PLAN"))</f>
        <v/>
      </c>
      <c r="U2572" s="60" t="str">
        <f aca="false">IF(IsPro,IF($D2572="","",IFERROR(MATCH($D2572,Items!$A$5:$A$504,0),"")),"")</f>
        <v/>
      </c>
      <c r="V2572" s="60" t="str">
        <f aca="false">IF(IsPro,IF($C2572="","",IFERROR(MATCH($C2572,Parties!$A$5:$A$304,0),"")),"")</f>
        <v/>
      </c>
      <c r="W2572" s="60" t="str">
        <f aca="false">IF(IsPro,IF($B2572="","",IFERROR(VALUE(SUBSTITUTE($B2572,InvPrefix,"")),0)),"")</f>
        <v/>
      </c>
      <c r="X2572" s="61" t="str">
        <f aca="false">IF(IsPro,IF($D2572="","",IF(OR($H2572="",$H2572="Credit"),0,Q2572)),"")</f>
        <v/>
      </c>
    </row>
    <row r="2573" customFormat="false" ht="15" hidden="false" customHeight="false" outlineLevel="0" collapsed="false">
      <c r="A2573" s="55"/>
      <c r="B2573" s="56"/>
      <c r="C2573" s="56"/>
      <c r="D2573" s="56"/>
      <c r="E2573" s="57"/>
      <c r="F2573" s="58"/>
      <c r="G2573" s="59"/>
      <c r="H2573" s="56"/>
      <c r="I2573" s="56"/>
      <c r="J2573" s="60" t="str">
        <f aca="false">IF(IsPro,IF($D2573="","",IFERROR(INDEX(Items!$D$5:$D$504,U2573),"")),"")</f>
        <v/>
      </c>
      <c r="K2573" s="61" t="str">
        <f aca="false">IF(IsPro,IF($D2573="","",IF($F2573="",IFERROR(INDEX(Items!$H$5:$H$504,U2573),0),$F2573)),"")</f>
        <v/>
      </c>
      <c r="L2573" s="61" t="str">
        <f aca="false">IF(IsPro,IF($D2573="","",ROUND(N($E2573)*K2573*(1-N($G2573)),2)),"")</f>
        <v/>
      </c>
      <c r="M2573" s="62" t="str">
        <f aca="false">IF(IsPro,IF($D2573="","",IFERROR(INDEX(Items!$F$5:$F$504,U2573),0)),"")</f>
        <v/>
      </c>
      <c r="N2573" s="61" t="str">
        <f aca="false">IF(IsPro,IF($D2573="","",IF(AND(V2573&lt;&gt;"",INDEX(Parties!$E$5:$E$304,V2573)&lt;&gt;"",INDEX(Parties!$E$5:$E$304,V2573)&lt;&gt;HomeState),0,ROUND(L2573*M2573/2,2))),"")</f>
        <v/>
      </c>
      <c r="O2573" s="61" t="str">
        <f aca="false">IF(IsPro,IF($D2573="","",N2573),"")</f>
        <v/>
      </c>
      <c r="P2573" s="61" t="str">
        <f aca="false">IF(IsPro,IF($D2573="","",IF(AND(V2573&lt;&gt;"",INDEX(Parties!$E$5:$E$304,V2573)&lt;&gt;"",INDEX(Parties!$E$5:$E$304,V2573)&lt;&gt;HomeState),ROUND(L2573*M2573,2),0)),"")</f>
        <v/>
      </c>
      <c r="Q2573" s="61" t="str">
        <f aca="false">IF(IsPro,IF($D2573="","",L2573+N2573+O2573+P2573),"")</f>
        <v/>
      </c>
      <c r="R2573" s="61" t="str">
        <f aca="false">IF(IsPro,IF($D2573="","",ROUND(N($E2573)*IFERROR(INDEX(Items!$P$5:$P$504,U2573),0),2)),"")</f>
        <v/>
      </c>
      <c r="S2573" s="61" t="str">
        <f aca="false">IF(IsPro,IF($D2573="","",L2573-R2573),"")</f>
        <v/>
      </c>
      <c r="T2573" s="60" t="str">
        <f aca="false">IF(IsPro,IF($D2573="","",IF(U2573="","UNKNOWN ITEM",IF(INDEX(Items!$O$5:$O$504,U2573)&lt;0,"NEG STOCK",IF(K2573&lt;INDEX(Items!$P$5:$P$504,U2573),"BELOW COST","OK")))),IF($D2573="","","PRO PLAN"))</f>
        <v/>
      </c>
      <c r="U2573" s="60" t="str">
        <f aca="false">IF(IsPro,IF($D2573="","",IFERROR(MATCH($D2573,Items!$A$5:$A$504,0),"")),"")</f>
        <v/>
      </c>
      <c r="V2573" s="60" t="str">
        <f aca="false">IF(IsPro,IF($C2573="","",IFERROR(MATCH($C2573,Parties!$A$5:$A$304,0),"")),"")</f>
        <v/>
      </c>
      <c r="W2573" s="60" t="str">
        <f aca="false">IF(IsPro,IF($B2573="","",IFERROR(VALUE(SUBSTITUTE($B2573,InvPrefix,"")),0)),"")</f>
        <v/>
      </c>
      <c r="X2573" s="61" t="str">
        <f aca="false">IF(IsPro,IF($D2573="","",IF(OR($H2573="",$H2573="Credit"),0,Q2573)),"")</f>
        <v/>
      </c>
    </row>
    <row r="2574" customFormat="false" ht="15" hidden="false" customHeight="false" outlineLevel="0" collapsed="false">
      <c r="A2574" s="55"/>
      <c r="B2574" s="56"/>
      <c r="C2574" s="56"/>
      <c r="D2574" s="56"/>
      <c r="E2574" s="57"/>
      <c r="F2574" s="58"/>
      <c r="G2574" s="59"/>
      <c r="H2574" s="56"/>
      <c r="I2574" s="56"/>
      <c r="J2574" s="60" t="str">
        <f aca="false">IF(IsPro,IF($D2574="","",IFERROR(INDEX(Items!$D$5:$D$504,U2574),"")),"")</f>
        <v/>
      </c>
      <c r="K2574" s="61" t="str">
        <f aca="false">IF(IsPro,IF($D2574="","",IF($F2574="",IFERROR(INDEX(Items!$H$5:$H$504,U2574),0),$F2574)),"")</f>
        <v/>
      </c>
      <c r="L2574" s="61" t="str">
        <f aca="false">IF(IsPro,IF($D2574="","",ROUND(N($E2574)*K2574*(1-N($G2574)),2)),"")</f>
        <v/>
      </c>
      <c r="M2574" s="62" t="str">
        <f aca="false">IF(IsPro,IF($D2574="","",IFERROR(INDEX(Items!$F$5:$F$504,U2574),0)),"")</f>
        <v/>
      </c>
      <c r="N2574" s="61" t="str">
        <f aca="false">IF(IsPro,IF($D2574="","",IF(AND(V2574&lt;&gt;"",INDEX(Parties!$E$5:$E$304,V2574)&lt;&gt;"",INDEX(Parties!$E$5:$E$304,V2574)&lt;&gt;HomeState),0,ROUND(L2574*M2574/2,2))),"")</f>
        <v/>
      </c>
      <c r="O2574" s="61" t="str">
        <f aca="false">IF(IsPro,IF($D2574="","",N2574),"")</f>
        <v/>
      </c>
      <c r="P2574" s="61" t="str">
        <f aca="false">IF(IsPro,IF($D2574="","",IF(AND(V2574&lt;&gt;"",INDEX(Parties!$E$5:$E$304,V2574)&lt;&gt;"",INDEX(Parties!$E$5:$E$304,V2574)&lt;&gt;HomeState),ROUND(L2574*M2574,2),0)),"")</f>
        <v/>
      </c>
      <c r="Q2574" s="61" t="str">
        <f aca="false">IF(IsPro,IF($D2574="","",L2574+N2574+O2574+P2574),"")</f>
        <v/>
      </c>
      <c r="R2574" s="61" t="str">
        <f aca="false">IF(IsPro,IF($D2574="","",ROUND(N($E2574)*IFERROR(INDEX(Items!$P$5:$P$504,U2574),0),2)),"")</f>
        <v/>
      </c>
      <c r="S2574" s="61" t="str">
        <f aca="false">IF(IsPro,IF($D2574="","",L2574-R2574),"")</f>
        <v/>
      </c>
      <c r="T2574" s="60" t="str">
        <f aca="false">IF(IsPro,IF($D2574="","",IF(U2574="","UNKNOWN ITEM",IF(INDEX(Items!$O$5:$O$504,U2574)&lt;0,"NEG STOCK",IF(K2574&lt;INDEX(Items!$P$5:$P$504,U2574),"BELOW COST","OK")))),IF($D2574="","","PRO PLAN"))</f>
        <v/>
      </c>
      <c r="U2574" s="60" t="str">
        <f aca="false">IF(IsPro,IF($D2574="","",IFERROR(MATCH($D2574,Items!$A$5:$A$504,0),"")),"")</f>
        <v/>
      </c>
      <c r="V2574" s="60" t="str">
        <f aca="false">IF(IsPro,IF($C2574="","",IFERROR(MATCH($C2574,Parties!$A$5:$A$304,0),"")),"")</f>
        <v/>
      </c>
      <c r="W2574" s="60" t="str">
        <f aca="false">IF(IsPro,IF($B2574="","",IFERROR(VALUE(SUBSTITUTE($B2574,InvPrefix,"")),0)),"")</f>
        <v/>
      </c>
      <c r="X2574" s="61" t="str">
        <f aca="false">IF(IsPro,IF($D2574="","",IF(OR($H2574="",$H2574="Credit"),0,Q2574)),"")</f>
        <v/>
      </c>
    </row>
    <row r="2575" customFormat="false" ht="15" hidden="false" customHeight="false" outlineLevel="0" collapsed="false">
      <c r="A2575" s="55"/>
      <c r="B2575" s="56"/>
      <c r="C2575" s="56"/>
      <c r="D2575" s="56"/>
      <c r="E2575" s="57"/>
      <c r="F2575" s="58"/>
      <c r="G2575" s="59"/>
      <c r="H2575" s="56"/>
      <c r="I2575" s="56"/>
      <c r="J2575" s="60" t="str">
        <f aca="false">IF(IsPro,IF($D2575="","",IFERROR(INDEX(Items!$D$5:$D$504,U2575),"")),"")</f>
        <v/>
      </c>
      <c r="K2575" s="61" t="str">
        <f aca="false">IF(IsPro,IF($D2575="","",IF($F2575="",IFERROR(INDEX(Items!$H$5:$H$504,U2575),0),$F2575)),"")</f>
        <v/>
      </c>
      <c r="L2575" s="61" t="str">
        <f aca="false">IF(IsPro,IF($D2575="","",ROUND(N($E2575)*K2575*(1-N($G2575)),2)),"")</f>
        <v/>
      </c>
      <c r="M2575" s="62" t="str">
        <f aca="false">IF(IsPro,IF($D2575="","",IFERROR(INDEX(Items!$F$5:$F$504,U2575),0)),"")</f>
        <v/>
      </c>
      <c r="N2575" s="61" t="str">
        <f aca="false">IF(IsPro,IF($D2575="","",IF(AND(V2575&lt;&gt;"",INDEX(Parties!$E$5:$E$304,V2575)&lt;&gt;"",INDEX(Parties!$E$5:$E$304,V2575)&lt;&gt;HomeState),0,ROUND(L2575*M2575/2,2))),"")</f>
        <v/>
      </c>
      <c r="O2575" s="61" t="str">
        <f aca="false">IF(IsPro,IF($D2575="","",N2575),"")</f>
        <v/>
      </c>
      <c r="P2575" s="61" t="str">
        <f aca="false">IF(IsPro,IF($D2575="","",IF(AND(V2575&lt;&gt;"",INDEX(Parties!$E$5:$E$304,V2575)&lt;&gt;"",INDEX(Parties!$E$5:$E$304,V2575)&lt;&gt;HomeState),ROUND(L2575*M2575,2),0)),"")</f>
        <v/>
      </c>
      <c r="Q2575" s="61" t="str">
        <f aca="false">IF(IsPro,IF($D2575="","",L2575+N2575+O2575+P2575),"")</f>
        <v/>
      </c>
      <c r="R2575" s="61" t="str">
        <f aca="false">IF(IsPro,IF($D2575="","",ROUND(N($E2575)*IFERROR(INDEX(Items!$P$5:$P$504,U2575),0),2)),"")</f>
        <v/>
      </c>
      <c r="S2575" s="61" t="str">
        <f aca="false">IF(IsPro,IF($D2575="","",L2575-R2575),"")</f>
        <v/>
      </c>
      <c r="T2575" s="60" t="str">
        <f aca="false">IF(IsPro,IF($D2575="","",IF(U2575="","UNKNOWN ITEM",IF(INDEX(Items!$O$5:$O$504,U2575)&lt;0,"NEG STOCK",IF(K2575&lt;INDEX(Items!$P$5:$P$504,U2575),"BELOW COST","OK")))),IF($D2575="","","PRO PLAN"))</f>
        <v/>
      </c>
      <c r="U2575" s="60" t="str">
        <f aca="false">IF(IsPro,IF($D2575="","",IFERROR(MATCH($D2575,Items!$A$5:$A$504,0),"")),"")</f>
        <v/>
      </c>
      <c r="V2575" s="60" t="str">
        <f aca="false">IF(IsPro,IF($C2575="","",IFERROR(MATCH($C2575,Parties!$A$5:$A$304,0),"")),"")</f>
        <v/>
      </c>
      <c r="W2575" s="60" t="str">
        <f aca="false">IF(IsPro,IF($B2575="","",IFERROR(VALUE(SUBSTITUTE($B2575,InvPrefix,"")),0)),"")</f>
        <v/>
      </c>
      <c r="X2575" s="61" t="str">
        <f aca="false">IF(IsPro,IF($D2575="","",IF(OR($H2575="",$H2575="Credit"),0,Q2575)),"")</f>
        <v/>
      </c>
    </row>
    <row r="2576" customFormat="false" ht="15" hidden="false" customHeight="false" outlineLevel="0" collapsed="false">
      <c r="A2576" s="55"/>
      <c r="B2576" s="56"/>
      <c r="C2576" s="56"/>
      <c r="D2576" s="56"/>
      <c r="E2576" s="57"/>
      <c r="F2576" s="58"/>
      <c r="G2576" s="59"/>
      <c r="H2576" s="56"/>
      <c r="I2576" s="56"/>
      <c r="J2576" s="60" t="str">
        <f aca="false">IF(IsPro,IF($D2576="","",IFERROR(INDEX(Items!$D$5:$D$504,U2576),"")),"")</f>
        <v/>
      </c>
      <c r="K2576" s="61" t="str">
        <f aca="false">IF(IsPro,IF($D2576="","",IF($F2576="",IFERROR(INDEX(Items!$H$5:$H$504,U2576),0),$F2576)),"")</f>
        <v/>
      </c>
      <c r="L2576" s="61" t="str">
        <f aca="false">IF(IsPro,IF($D2576="","",ROUND(N($E2576)*K2576*(1-N($G2576)),2)),"")</f>
        <v/>
      </c>
      <c r="M2576" s="62" t="str">
        <f aca="false">IF(IsPro,IF($D2576="","",IFERROR(INDEX(Items!$F$5:$F$504,U2576),0)),"")</f>
        <v/>
      </c>
      <c r="N2576" s="61" t="str">
        <f aca="false">IF(IsPro,IF($D2576="","",IF(AND(V2576&lt;&gt;"",INDEX(Parties!$E$5:$E$304,V2576)&lt;&gt;"",INDEX(Parties!$E$5:$E$304,V2576)&lt;&gt;HomeState),0,ROUND(L2576*M2576/2,2))),"")</f>
        <v/>
      </c>
      <c r="O2576" s="61" t="str">
        <f aca="false">IF(IsPro,IF($D2576="","",N2576),"")</f>
        <v/>
      </c>
      <c r="P2576" s="61" t="str">
        <f aca="false">IF(IsPro,IF($D2576="","",IF(AND(V2576&lt;&gt;"",INDEX(Parties!$E$5:$E$304,V2576)&lt;&gt;"",INDEX(Parties!$E$5:$E$304,V2576)&lt;&gt;HomeState),ROUND(L2576*M2576,2),0)),"")</f>
        <v/>
      </c>
      <c r="Q2576" s="61" t="str">
        <f aca="false">IF(IsPro,IF($D2576="","",L2576+N2576+O2576+P2576),"")</f>
        <v/>
      </c>
      <c r="R2576" s="61" t="str">
        <f aca="false">IF(IsPro,IF($D2576="","",ROUND(N($E2576)*IFERROR(INDEX(Items!$P$5:$P$504,U2576),0),2)),"")</f>
        <v/>
      </c>
      <c r="S2576" s="61" t="str">
        <f aca="false">IF(IsPro,IF($D2576="","",L2576-R2576),"")</f>
        <v/>
      </c>
      <c r="T2576" s="60" t="str">
        <f aca="false">IF(IsPro,IF($D2576="","",IF(U2576="","UNKNOWN ITEM",IF(INDEX(Items!$O$5:$O$504,U2576)&lt;0,"NEG STOCK",IF(K2576&lt;INDEX(Items!$P$5:$P$504,U2576),"BELOW COST","OK")))),IF($D2576="","","PRO PLAN"))</f>
        <v/>
      </c>
      <c r="U2576" s="60" t="str">
        <f aca="false">IF(IsPro,IF($D2576="","",IFERROR(MATCH($D2576,Items!$A$5:$A$504,0),"")),"")</f>
        <v/>
      </c>
      <c r="V2576" s="60" t="str">
        <f aca="false">IF(IsPro,IF($C2576="","",IFERROR(MATCH($C2576,Parties!$A$5:$A$304,0),"")),"")</f>
        <v/>
      </c>
      <c r="W2576" s="60" t="str">
        <f aca="false">IF(IsPro,IF($B2576="","",IFERROR(VALUE(SUBSTITUTE($B2576,InvPrefix,"")),0)),"")</f>
        <v/>
      </c>
      <c r="X2576" s="61" t="str">
        <f aca="false">IF(IsPro,IF($D2576="","",IF(OR($H2576="",$H2576="Credit"),0,Q2576)),"")</f>
        <v/>
      </c>
    </row>
    <row r="2577" customFormat="false" ht="15" hidden="false" customHeight="false" outlineLevel="0" collapsed="false">
      <c r="A2577" s="55"/>
      <c r="B2577" s="56"/>
      <c r="C2577" s="56"/>
      <c r="D2577" s="56"/>
      <c r="E2577" s="57"/>
      <c r="F2577" s="58"/>
      <c r="G2577" s="59"/>
      <c r="H2577" s="56"/>
      <c r="I2577" s="56"/>
      <c r="J2577" s="60" t="str">
        <f aca="false">IF(IsPro,IF($D2577="","",IFERROR(INDEX(Items!$D$5:$D$504,U2577),"")),"")</f>
        <v/>
      </c>
      <c r="K2577" s="61" t="str">
        <f aca="false">IF(IsPro,IF($D2577="","",IF($F2577="",IFERROR(INDEX(Items!$H$5:$H$504,U2577),0),$F2577)),"")</f>
        <v/>
      </c>
      <c r="L2577" s="61" t="str">
        <f aca="false">IF(IsPro,IF($D2577="","",ROUND(N($E2577)*K2577*(1-N($G2577)),2)),"")</f>
        <v/>
      </c>
      <c r="M2577" s="62" t="str">
        <f aca="false">IF(IsPro,IF($D2577="","",IFERROR(INDEX(Items!$F$5:$F$504,U2577),0)),"")</f>
        <v/>
      </c>
      <c r="N2577" s="61" t="str">
        <f aca="false">IF(IsPro,IF($D2577="","",IF(AND(V2577&lt;&gt;"",INDEX(Parties!$E$5:$E$304,V2577)&lt;&gt;"",INDEX(Parties!$E$5:$E$304,V2577)&lt;&gt;HomeState),0,ROUND(L2577*M2577/2,2))),"")</f>
        <v/>
      </c>
      <c r="O2577" s="61" t="str">
        <f aca="false">IF(IsPro,IF($D2577="","",N2577),"")</f>
        <v/>
      </c>
      <c r="P2577" s="61" t="str">
        <f aca="false">IF(IsPro,IF($D2577="","",IF(AND(V2577&lt;&gt;"",INDEX(Parties!$E$5:$E$304,V2577)&lt;&gt;"",INDEX(Parties!$E$5:$E$304,V2577)&lt;&gt;HomeState),ROUND(L2577*M2577,2),0)),"")</f>
        <v/>
      </c>
      <c r="Q2577" s="61" t="str">
        <f aca="false">IF(IsPro,IF($D2577="","",L2577+N2577+O2577+P2577),"")</f>
        <v/>
      </c>
      <c r="R2577" s="61" t="str">
        <f aca="false">IF(IsPro,IF($D2577="","",ROUND(N($E2577)*IFERROR(INDEX(Items!$P$5:$P$504,U2577),0),2)),"")</f>
        <v/>
      </c>
      <c r="S2577" s="61" t="str">
        <f aca="false">IF(IsPro,IF($D2577="","",L2577-R2577),"")</f>
        <v/>
      </c>
      <c r="T2577" s="60" t="str">
        <f aca="false">IF(IsPro,IF($D2577="","",IF(U2577="","UNKNOWN ITEM",IF(INDEX(Items!$O$5:$O$504,U2577)&lt;0,"NEG STOCK",IF(K2577&lt;INDEX(Items!$P$5:$P$504,U2577),"BELOW COST","OK")))),IF($D2577="","","PRO PLAN"))</f>
        <v/>
      </c>
      <c r="U2577" s="60" t="str">
        <f aca="false">IF(IsPro,IF($D2577="","",IFERROR(MATCH($D2577,Items!$A$5:$A$504,0),"")),"")</f>
        <v/>
      </c>
      <c r="V2577" s="60" t="str">
        <f aca="false">IF(IsPro,IF($C2577="","",IFERROR(MATCH($C2577,Parties!$A$5:$A$304,0),"")),"")</f>
        <v/>
      </c>
      <c r="W2577" s="60" t="str">
        <f aca="false">IF(IsPro,IF($B2577="","",IFERROR(VALUE(SUBSTITUTE($B2577,InvPrefix,"")),0)),"")</f>
        <v/>
      </c>
      <c r="X2577" s="61" t="str">
        <f aca="false">IF(IsPro,IF($D2577="","",IF(OR($H2577="",$H2577="Credit"),0,Q2577)),"")</f>
        <v/>
      </c>
    </row>
    <row r="2578" customFormat="false" ht="15" hidden="false" customHeight="false" outlineLevel="0" collapsed="false">
      <c r="A2578" s="55"/>
      <c r="B2578" s="56"/>
      <c r="C2578" s="56"/>
      <c r="D2578" s="56"/>
      <c r="E2578" s="57"/>
      <c r="F2578" s="58"/>
      <c r="G2578" s="59"/>
      <c r="H2578" s="56"/>
      <c r="I2578" s="56"/>
      <c r="J2578" s="60" t="str">
        <f aca="false">IF(IsPro,IF($D2578="","",IFERROR(INDEX(Items!$D$5:$D$504,U2578),"")),"")</f>
        <v/>
      </c>
      <c r="K2578" s="61" t="str">
        <f aca="false">IF(IsPro,IF($D2578="","",IF($F2578="",IFERROR(INDEX(Items!$H$5:$H$504,U2578),0),$F2578)),"")</f>
        <v/>
      </c>
      <c r="L2578" s="61" t="str">
        <f aca="false">IF(IsPro,IF($D2578="","",ROUND(N($E2578)*K2578*(1-N($G2578)),2)),"")</f>
        <v/>
      </c>
      <c r="M2578" s="62" t="str">
        <f aca="false">IF(IsPro,IF($D2578="","",IFERROR(INDEX(Items!$F$5:$F$504,U2578),0)),"")</f>
        <v/>
      </c>
      <c r="N2578" s="61" t="str">
        <f aca="false">IF(IsPro,IF($D2578="","",IF(AND(V2578&lt;&gt;"",INDEX(Parties!$E$5:$E$304,V2578)&lt;&gt;"",INDEX(Parties!$E$5:$E$304,V2578)&lt;&gt;HomeState),0,ROUND(L2578*M2578/2,2))),"")</f>
        <v/>
      </c>
      <c r="O2578" s="61" t="str">
        <f aca="false">IF(IsPro,IF($D2578="","",N2578),"")</f>
        <v/>
      </c>
      <c r="P2578" s="61" t="str">
        <f aca="false">IF(IsPro,IF($D2578="","",IF(AND(V2578&lt;&gt;"",INDEX(Parties!$E$5:$E$304,V2578)&lt;&gt;"",INDEX(Parties!$E$5:$E$304,V2578)&lt;&gt;HomeState),ROUND(L2578*M2578,2),0)),"")</f>
        <v/>
      </c>
      <c r="Q2578" s="61" t="str">
        <f aca="false">IF(IsPro,IF($D2578="","",L2578+N2578+O2578+P2578),"")</f>
        <v/>
      </c>
      <c r="R2578" s="61" t="str">
        <f aca="false">IF(IsPro,IF($D2578="","",ROUND(N($E2578)*IFERROR(INDEX(Items!$P$5:$P$504,U2578),0),2)),"")</f>
        <v/>
      </c>
      <c r="S2578" s="61" t="str">
        <f aca="false">IF(IsPro,IF($D2578="","",L2578-R2578),"")</f>
        <v/>
      </c>
      <c r="T2578" s="60" t="str">
        <f aca="false">IF(IsPro,IF($D2578="","",IF(U2578="","UNKNOWN ITEM",IF(INDEX(Items!$O$5:$O$504,U2578)&lt;0,"NEG STOCK",IF(K2578&lt;INDEX(Items!$P$5:$P$504,U2578),"BELOW COST","OK")))),IF($D2578="","","PRO PLAN"))</f>
        <v/>
      </c>
      <c r="U2578" s="60" t="str">
        <f aca="false">IF(IsPro,IF($D2578="","",IFERROR(MATCH($D2578,Items!$A$5:$A$504,0),"")),"")</f>
        <v/>
      </c>
      <c r="V2578" s="60" t="str">
        <f aca="false">IF(IsPro,IF($C2578="","",IFERROR(MATCH($C2578,Parties!$A$5:$A$304,0),"")),"")</f>
        <v/>
      </c>
      <c r="W2578" s="60" t="str">
        <f aca="false">IF(IsPro,IF($B2578="","",IFERROR(VALUE(SUBSTITUTE($B2578,InvPrefix,"")),0)),"")</f>
        <v/>
      </c>
      <c r="X2578" s="61" t="str">
        <f aca="false">IF(IsPro,IF($D2578="","",IF(OR($H2578="",$H2578="Credit"),0,Q2578)),"")</f>
        <v/>
      </c>
    </row>
    <row r="2579" customFormat="false" ht="15" hidden="false" customHeight="false" outlineLevel="0" collapsed="false">
      <c r="A2579" s="55"/>
      <c r="B2579" s="56"/>
      <c r="C2579" s="56"/>
      <c r="D2579" s="56"/>
      <c r="E2579" s="57"/>
      <c r="F2579" s="58"/>
      <c r="G2579" s="59"/>
      <c r="H2579" s="56"/>
      <c r="I2579" s="56"/>
      <c r="J2579" s="60" t="str">
        <f aca="false">IF(IsPro,IF($D2579="","",IFERROR(INDEX(Items!$D$5:$D$504,U2579),"")),"")</f>
        <v/>
      </c>
      <c r="K2579" s="61" t="str">
        <f aca="false">IF(IsPro,IF($D2579="","",IF($F2579="",IFERROR(INDEX(Items!$H$5:$H$504,U2579),0),$F2579)),"")</f>
        <v/>
      </c>
      <c r="L2579" s="61" t="str">
        <f aca="false">IF(IsPro,IF($D2579="","",ROUND(N($E2579)*K2579*(1-N($G2579)),2)),"")</f>
        <v/>
      </c>
      <c r="M2579" s="62" t="str">
        <f aca="false">IF(IsPro,IF($D2579="","",IFERROR(INDEX(Items!$F$5:$F$504,U2579),0)),"")</f>
        <v/>
      </c>
      <c r="N2579" s="61" t="str">
        <f aca="false">IF(IsPro,IF($D2579="","",IF(AND(V2579&lt;&gt;"",INDEX(Parties!$E$5:$E$304,V2579)&lt;&gt;"",INDEX(Parties!$E$5:$E$304,V2579)&lt;&gt;HomeState),0,ROUND(L2579*M2579/2,2))),"")</f>
        <v/>
      </c>
      <c r="O2579" s="61" t="str">
        <f aca="false">IF(IsPro,IF($D2579="","",N2579),"")</f>
        <v/>
      </c>
      <c r="P2579" s="61" t="str">
        <f aca="false">IF(IsPro,IF($D2579="","",IF(AND(V2579&lt;&gt;"",INDEX(Parties!$E$5:$E$304,V2579)&lt;&gt;"",INDEX(Parties!$E$5:$E$304,V2579)&lt;&gt;HomeState),ROUND(L2579*M2579,2),0)),"")</f>
        <v/>
      </c>
      <c r="Q2579" s="61" t="str">
        <f aca="false">IF(IsPro,IF($D2579="","",L2579+N2579+O2579+P2579),"")</f>
        <v/>
      </c>
      <c r="R2579" s="61" t="str">
        <f aca="false">IF(IsPro,IF($D2579="","",ROUND(N($E2579)*IFERROR(INDEX(Items!$P$5:$P$504,U2579),0),2)),"")</f>
        <v/>
      </c>
      <c r="S2579" s="61" t="str">
        <f aca="false">IF(IsPro,IF($D2579="","",L2579-R2579),"")</f>
        <v/>
      </c>
      <c r="T2579" s="60" t="str">
        <f aca="false">IF(IsPro,IF($D2579="","",IF(U2579="","UNKNOWN ITEM",IF(INDEX(Items!$O$5:$O$504,U2579)&lt;0,"NEG STOCK",IF(K2579&lt;INDEX(Items!$P$5:$P$504,U2579),"BELOW COST","OK")))),IF($D2579="","","PRO PLAN"))</f>
        <v/>
      </c>
      <c r="U2579" s="60" t="str">
        <f aca="false">IF(IsPro,IF($D2579="","",IFERROR(MATCH($D2579,Items!$A$5:$A$504,0),"")),"")</f>
        <v/>
      </c>
      <c r="V2579" s="60" t="str">
        <f aca="false">IF(IsPro,IF($C2579="","",IFERROR(MATCH($C2579,Parties!$A$5:$A$304,0),"")),"")</f>
        <v/>
      </c>
      <c r="W2579" s="60" t="str">
        <f aca="false">IF(IsPro,IF($B2579="","",IFERROR(VALUE(SUBSTITUTE($B2579,InvPrefix,"")),0)),"")</f>
        <v/>
      </c>
      <c r="X2579" s="61" t="str">
        <f aca="false">IF(IsPro,IF($D2579="","",IF(OR($H2579="",$H2579="Credit"),0,Q2579)),"")</f>
        <v/>
      </c>
    </row>
    <row r="2580" customFormat="false" ht="15" hidden="false" customHeight="false" outlineLevel="0" collapsed="false">
      <c r="A2580" s="55"/>
      <c r="B2580" s="56"/>
      <c r="C2580" s="56"/>
      <c r="D2580" s="56"/>
      <c r="E2580" s="57"/>
      <c r="F2580" s="58"/>
      <c r="G2580" s="59"/>
      <c r="H2580" s="56"/>
      <c r="I2580" s="56"/>
      <c r="J2580" s="60" t="str">
        <f aca="false">IF(IsPro,IF($D2580="","",IFERROR(INDEX(Items!$D$5:$D$504,U2580),"")),"")</f>
        <v/>
      </c>
      <c r="K2580" s="61" t="str">
        <f aca="false">IF(IsPro,IF($D2580="","",IF($F2580="",IFERROR(INDEX(Items!$H$5:$H$504,U2580),0),$F2580)),"")</f>
        <v/>
      </c>
      <c r="L2580" s="61" t="str">
        <f aca="false">IF(IsPro,IF($D2580="","",ROUND(N($E2580)*K2580*(1-N($G2580)),2)),"")</f>
        <v/>
      </c>
      <c r="M2580" s="62" t="str">
        <f aca="false">IF(IsPro,IF($D2580="","",IFERROR(INDEX(Items!$F$5:$F$504,U2580),0)),"")</f>
        <v/>
      </c>
      <c r="N2580" s="61" t="str">
        <f aca="false">IF(IsPro,IF($D2580="","",IF(AND(V2580&lt;&gt;"",INDEX(Parties!$E$5:$E$304,V2580)&lt;&gt;"",INDEX(Parties!$E$5:$E$304,V2580)&lt;&gt;HomeState),0,ROUND(L2580*M2580/2,2))),"")</f>
        <v/>
      </c>
      <c r="O2580" s="61" t="str">
        <f aca="false">IF(IsPro,IF($D2580="","",N2580),"")</f>
        <v/>
      </c>
      <c r="P2580" s="61" t="str">
        <f aca="false">IF(IsPro,IF($D2580="","",IF(AND(V2580&lt;&gt;"",INDEX(Parties!$E$5:$E$304,V2580)&lt;&gt;"",INDEX(Parties!$E$5:$E$304,V2580)&lt;&gt;HomeState),ROUND(L2580*M2580,2),0)),"")</f>
        <v/>
      </c>
      <c r="Q2580" s="61" t="str">
        <f aca="false">IF(IsPro,IF($D2580="","",L2580+N2580+O2580+P2580),"")</f>
        <v/>
      </c>
      <c r="R2580" s="61" t="str">
        <f aca="false">IF(IsPro,IF($D2580="","",ROUND(N($E2580)*IFERROR(INDEX(Items!$P$5:$P$504,U2580),0),2)),"")</f>
        <v/>
      </c>
      <c r="S2580" s="61" t="str">
        <f aca="false">IF(IsPro,IF($D2580="","",L2580-R2580),"")</f>
        <v/>
      </c>
      <c r="T2580" s="60" t="str">
        <f aca="false">IF(IsPro,IF($D2580="","",IF(U2580="","UNKNOWN ITEM",IF(INDEX(Items!$O$5:$O$504,U2580)&lt;0,"NEG STOCK",IF(K2580&lt;INDEX(Items!$P$5:$P$504,U2580),"BELOW COST","OK")))),IF($D2580="","","PRO PLAN"))</f>
        <v/>
      </c>
      <c r="U2580" s="60" t="str">
        <f aca="false">IF(IsPro,IF($D2580="","",IFERROR(MATCH($D2580,Items!$A$5:$A$504,0),"")),"")</f>
        <v/>
      </c>
      <c r="V2580" s="60" t="str">
        <f aca="false">IF(IsPro,IF($C2580="","",IFERROR(MATCH($C2580,Parties!$A$5:$A$304,0),"")),"")</f>
        <v/>
      </c>
      <c r="W2580" s="60" t="str">
        <f aca="false">IF(IsPro,IF($B2580="","",IFERROR(VALUE(SUBSTITUTE($B2580,InvPrefix,"")),0)),"")</f>
        <v/>
      </c>
      <c r="X2580" s="61" t="str">
        <f aca="false">IF(IsPro,IF($D2580="","",IF(OR($H2580="",$H2580="Credit"),0,Q2580)),"")</f>
        <v/>
      </c>
    </row>
    <row r="2581" customFormat="false" ht="15" hidden="false" customHeight="false" outlineLevel="0" collapsed="false">
      <c r="A2581" s="55"/>
      <c r="B2581" s="56"/>
      <c r="C2581" s="56"/>
      <c r="D2581" s="56"/>
      <c r="E2581" s="57"/>
      <c r="F2581" s="58"/>
      <c r="G2581" s="59"/>
      <c r="H2581" s="56"/>
      <c r="I2581" s="56"/>
      <c r="J2581" s="60" t="str">
        <f aca="false">IF(IsPro,IF($D2581="","",IFERROR(INDEX(Items!$D$5:$D$504,U2581),"")),"")</f>
        <v/>
      </c>
      <c r="K2581" s="61" t="str">
        <f aca="false">IF(IsPro,IF($D2581="","",IF($F2581="",IFERROR(INDEX(Items!$H$5:$H$504,U2581),0),$F2581)),"")</f>
        <v/>
      </c>
      <c r="L2581" s="61" t="str">
        <f aca="false">IF(IsPro,IF($D2581="","",ROUND(N($E2581)*K2581*(1-N($G2581)),2)),"")</f>
        <v/>
      </c>
      <c r="M2581" s="62" t="str">
        <f aca="false">IF(IsPro,IF($D2581="","",IFERROR(INDEX(Items!$F$5:$F$504,U2581),0)),"")</f>
        <v/>
      </c>
      <c r="N2581" s="61" t="str">
        <f aca="false">IF(IsPro,IF($D2581="","",IF(AND(V2581&lt;&gt;"",INDEX(Parties!$E$5:$E$304,V2581)&lt;&gt;"",INDEX(Parties!$E$5:$E$304,V2581)&lt;&gt;HomeState),0,ROUND(L2581*M2581/2,2))),"")</f>
        <v/>
      </c>
      <c r="O2581" s="61" t="str">
        <f aca="false">IF(IsPro,IF($D2581="","",N2581),"")</f>
        <v/>
      </c>
      <c r="P2581" s="61" t="str">
        <f aca="false">IF(IsPro,IF($D2581="","",IF(AND(V2581&lt;&gt;"",INDEX(Parties!$E$5:$E$304,V2581)&lt;&gt;"",INDEX(Parties!$E$5:$E$304,V2581)&lt;&gt;HomeState),ROUND(L2581*M2581,2),0)),"")</f>
        <v/>
      </c>
      <c r="Q2581" s="61" t="str">
        <f aca="false">IF(IsPro,IF($D2581="","",L2581+N2581+O2581+P2581),"")</f>
        <v/>
      </c>
      <c r="R2581" s="61" t="str">
        <f aca="false">IF(IsPro,IF($D2581="","",ROUND(N($E2581)*IFERROR(INDEX(Items!$P$5:$P$504,U2581),0),2)),"")</f>
        <v/>
      </c>
      <c r="S2581" s="61" t="str">
        <f aca="false">IF(IsPro,IF($D2581="","",L2581-R2581),"")</f>
        <v/>
      </c>
      <c r="T2581" s="60" t="str">
        <f aca="false">IF(IsPro,IF($D2581="","",IF(U2581="","UNKNOWN ITEM",IF(INDEX(Items!$O$5:$O$504,U2581)&lt;0,"NEG STOCK",IF(K2581&lt;INDEX(Items!$P$5:$P$504,U2581),"BELOW COST","OK")))),IF($D2581="","","PRO PLAN"))</f>
        <v/>
      </c>
      <c r="U2581" s="60" t="str">
        <f aca="false">IF(IsPro,IF($D2581="","",IFERROR(MATCH($D2581,Items!$A$5:$A$504,0),"")),"")</f>
        <v/>
      </c>
      <c r="V2581" s="60" t="str">
        <f aca="false">IF(IsPro,IF($C2581="","",IFERROR(MATCH($C2581,Parties!$A$5:$A$304,0),"")),"")</f>
        <v/>
      </c>
      <c r="W2581" s="60" t="str">
        <f aca="false">IF(IsPro,IF($B2581="","",IFERROR(VALUE(SUBSTITUTE($B2581,InvPrefix,"")),0)),"")</f>
        <v/>
      </c>
      <c r="X2581" s="61" t="str">
        <f aca="false">IF(IsPro,IF($D2581="","",IF(OR($H2581="",$H2581="Credit"),0,Q2581)),"")</f>
        <v/>
      </c>
    </row>
    <row r="2582" customFormat="false" ht="15" hidden="false" customHeight="false" outlineLevel="0" collapsed="false">
      <c r="A2582" s="55"/>
      <c r="B2582" s="56"/>
      <c r="C2582" s="56"/>
      <c r="D2582" s="56"/>
      <c r="E2582" s="57"/>
      <c r="F2582" s="58"/>
      <c r="G2582" s="59"/>
      <c r="H2582" s="56"/>
      <c r="I2582" s="56"/>
      <c r="J2582" s="60" t="str">
        <f aca="false">IF(IsPro,IF($D2582="","",IFERROR(INDEX(Items!$D$5:$D$504,U2582),"")),"")</f>
        <v/>
      </c>
      <c r="K2582" s="61" t="str">
        <f aca="false">IF(IsPro,IF($D2582="","",IF($F2582="",IFERROR(INDEX(Items!$H$5:$H$504,U2582),0),$F2582)),"")</f>
        <v/>
      </c>
      <c r="L2582" s="61" t="str">
        <f aca="false">IF(IsPro,IF($D2582="","",ROUND(N($E2582)*K2582*(1-N($G2582)),2)),"")</f>
        <v/>
      </c>
      <c r="M2582" s="62" t="str">
        <f aca="false">IF(IsPro,IF($D2582="","",IFERROR(INDEX(Items!$F$5:$F$504,U2582),0)),"")</f>
        <v/>
      </c>
      <c r="N2582" s="61" t="str">
        <f aca="false">IF(IsPro,IF($D2582="","",IF(AND(V2582&lt;&gt;"",INDEX(Parties!$E$5:$E$304,V2582)&lt;&gt;"",INDEX(Parties!$E$5:$E$304,V2582)&lt;&gt;HomeState),0,ROUND(L2582*M2582/2,2))),"")</f>
        <v/>
      </c>
      <c r="O2582" s="61" t="str">
        <f aca="false">IF(IsPro,IF($D2582="","",N2582),"")</f>
        <v/>
      </c>
      <c r="P2582" s="61" t="str">
        <f aca="false">IF(IsPro,IF($D2582="","",IF(AND(V2582&lt;&gt;"",INDEX(Parties!$E$5:$E$304,V2582)&lt;&gt;"",INDEX(Parties!$E$5:$E$304,V2582)&lt;&gt;HomeState),ROUND(L2582*M2582,2),0)),"")</f>
        <v/>
      </c>
      <c r="Q2582" s="61" t="str">
        <f aca="false">IF(IsPro,IF($D2582="","",L2582+N2582+O2582+P2582),"")</f>
        <v/>
      </c>
      <c r="R2582" s="61" t="str">
        <f aca="false">IF(IsPro,IF($D2582="","",ROUND(N($E2582)*IFERROR(INDEX(Items!$P$5:$P$504,U2582),0),2)),"")</f>
        <v/>
      </c>
      <c r="S2582" s="61" t="str">
        <f aca="false">IF(IsPro,IF($D2582="","",L2582-R2582),"")</f>
        <v/>
      </c>
      <c r="T2582" s="60" t="str">
        <f aca="false">IF(IsPro,IF($D2582="","",IF(U2582="","UNKNOWN ITEM",IF(INDEX(Items!$O$5:$O$504,U2582)&lt;0,"NEG STOCK",IF(K2582&lt;INDEX(Items!$P$5:$P$504,U2582),"BELOW COST","OK")))),IF($D2582="","","PRO PLAN"))</f>
        <v/>
      </c>
      <c r="U2582" s="60" t="str">
        <f aca="false">IF(IsPro,IF($D2582="","",IFERROR(MATCH($D2582,Items!$A$5:$A$504,0),"")),"")</f>
        <v/>
      </c>
      <c r="V2582" s="60" t="str">
        <f aca="false">IF(IsPro,IF($C2582="","",IFERROR(MATCH($C2582,Parties!$A$5:$A$304,0),"")),"")</f>
        <v/>
      </c>
      <c r="W2582" s="60" t="str">
        <f aca="false">IF(IsPro,IF($B2582="","",IFERROR(VALUE(SUBSTITUTE($B2582,InvPrefix,"")),0)),"")</f>
        <v/>
      </c>
      <c r="X2582" s="61" t="str">
        <f aca="false">IF(IsPro,IF($D2582="","",IF(OR($H2582="",$H2582="Credit"),0,Q2582)),"")</f>
        <v/>
      </c>
    </row>
    <row r="2583" customFormat="false" ht="15" hidden="false" customHeight="false" outlineLevel="0" collapsed="false">
      <c r="A2583" s="55"/>
      <c r="B2583" s="56"/>
      <c r="C2583" s="56"/>
      <c r="D2583" s="56"/>
      <c r="E2583" s="57"/>
      <c r="F2583" s="58"/>
      <c r="G2583" s="59"/>
      <c r="H2583" s="56"/>
      <c r="I2583" s="56"/>
      <c r="J2583" s="60" t="str">
        <f aca="false">IF(IsPro,IF($D2583="","",IFERROR(INDEX(Items!$D$5:$D$504,U2583),"")),"")</f>
        <v/>
      </c>
      <c r="K2583" s="61" t="str">
        <f aca="false">IF(IsPro,IF($D2583="","",IF($F2583="",IFERROR(INDEX(Items!$H$5:$H$504,U2583),0),$F2583)),"")</f>
        <v/>
      </c>
      <c r="L2583" s="61" t="str">
        <f aca="false">IF(IsPro,IF($D2583="","",ROUND(N($E2583)*K2583*(1-N($G2583)),2)),"")</f>
        <v/>
      </c>
      <c r="M2583" s="62" t="str">
        <f aca="false">IF(IsPro,IF($D2583="","",IFERROR(INDEX(Items!$F$5:$F$504,U2583),0)),"")</f>
        <v/>
      </c>
      <c r="N2583" s="61" t="str">
        <f aca="false">IF(IsPro,IF($D2583="","",IF(AND(V2583&lt;&gt;"",INDEX(Parties!$E$5:$E$304,V2583)&lt;&gt;"",INDEX(Parties!$E$5:$E$304,V2583)&lt;&gt;HomeState),0,ROUND(L2583*M2583/2,2))),"")</f>
        <v/>
      </c>
      <c r="O2583" s="61" t="str">
        <f aca="false">IF(IsPro,IF($D2583="","",N2583),"")</f>
        <v/>
      </c>
      <c r="P2583" s="61" t="str">
        <f aca="false">IF(IsPro,IF($D2583="","",IF(AND(V2583&lt;&gt;"",INDEX(Parties!$E$5:$E$304,V2583)&lt;&gt;"",INDEX(Parties!$E$5:$E$304,V2583)&lt;&gt;HomeState),ROUND(L2583*M2583,2),0)),"")</f>
        <v/>
      </c>
      <c r="Q2583" s="61" t="str">
        <f aca="false">IF(IsPro,IF($D2583="","",L2583+N2583+O2583+P2583),"")</f>
        <v/>
      </c>
      <c r="R2583" s="61" t="str">
        <f aca="false">IF(IsPro,IF($D2583="","",ROUND(N($E2583)*IFERROR(INDEX(Items!$P$5:$P$504,U2583),0),2)),"")</f>
        <v/>
      </c>
      <c r="S2583" s="61" t="str">
        <f aca="false">IF(IsPro,IF($D2583="","",L2583-R2583),"")</f>
        <v/>
      </c>
      <c r="T2583" s="60" t="str">
        <f aca="false">IF(IsPro,IF($D2583="","",IF(U2583="","UNKNOWN ITEM",IF(INDEX(Items!$O$5:$O$504,U2583)&lt;0,"NEG STOCK",IF(K2583&lt;INDEX(Items!$P$5:$P$504,U2583),"BELOW COST","OK")))),IF($D2583="","","PRO PLAN"))</f>
        <v/>
      </c>
      <c r="U2583" s="60" t="str">
        <f aca="false">IF(IsPro,IF($D2583="","",IFERROR(MATCH($D2583,Items!$A$5:$A$504,0),"")),"")</f>
        <v/>
      </c>
      <c r="V2583" s="60" t="str">
        <f aca="false">IF(IsPro,IF($C2583="","",IFERROR(MATCH($C2583,Parties!$A$5:$A$304,0),"")),"")</f>
        <v/>
      </c>
      <c r="W2583" s="60" t="str">
        <f aca="false">IF(IsPro,IF($B2583="","",IFERROR(VALUE(SUBSTITUTE($B2583,InvPrefix,"")),0)),"")</f>
        <v/>
      </c>
      <c r="X2583" s="61" t="str">
        <f aca="false">IF(IsPro,IF($D2583="","",IF(OR($H2583="",$H2583="Credit"),0,Q2583)),"")</f>
        <v/>
      </c>
    </row>
    <row r="2584" customFormat="false" ht="15" hidden="false" customHeight="false" outlineLevel="0" collapsed="false">
      <c r="A2584" s="55"/>
      <c r="B2584" s="56"/>
      <c r="C2584" s="56"/>
      <c r="D2584" s="56"/>
      <c r="E2584" s="57"/>
      <c r="F2584" s="58"/>
      <c r="G2584" s="59"/>
      <c r="H2584" s="56"/>
      <c r="I2584" s="56"/>
      <c r="J2584" s="60" t="str">
        <f aca="false">IF(IsPro,IF($D2584="","",IFERROR(INDEX(Items!$D$5:$D$504,U2584),"")),"")</f>
        <v/>
      </c>
      <c r="K2584" s="61" t="str">
        <f aca="false">IF(IsPro,IF($D2584="","",IF($F2584="",IFERROR(INDEX(Items!$H$5:$H$504,U2584),0),$F2584)),"")</f>
        <v/>
      </c>
      <c r="L2584" s="61" t="str">
        <f aca="false">IF(IsPro,IF($D2584="","",ROUND(N($E2584)*K2584*(1-N($G2584)),2)),"")</f>
        <v/>
      </c>
      <c r="M2584" s="62" t="str">
        <f aca="false">IF(IsPro,IF($D2584="","",IFERROR(INDEX(Items!$F$5:$F$504,U2584),0)),"")</f>
        <v/>
      </c>
      <c r="N2584" s="61" t="str">
        <f aca="false">IF(IsPro,IF($D2584="","",IF(AND(V2584&lt;&gt;"",INDEX(Parties!$E$5:$E$304,V2584)&lt;&gt;"",INDEX(Parties!$E$5:$E$304,V2584)&lt;&gt;HomeState),0,ROUND(L2584*M2584/2,2))),"")</f>
        <v/>
      </c>
      <c r="O2584" s="61" t="str">
        <f aca="false">IF(IsPro,IF($D2584="","",N2584),"")</f>
        <v/>
      </c>
      <c r="P2584" s="61" t="str">
        <f aca="false">IF(IsPro,IF($D2584="","",IF(AND(V2584&lt;&gt;"",INDEX(Parties!$E$5:$E$304,V2584)&lt;&gt;"",INDEX(Parties!$E$5:$E$304,V2584)&lt;&gt;HomeState),ROUND(L2584*M2584,2),0)),"")</f>
        <v/>
      </c>
      <c r="Q2584" s="61" t="str">
        <f aca="false">IF(IsPro,IF($D2584="","",L2584+N2584+O2584+P2584),"")</f>
        <v/>
      </c>
      <c r="R2584" s="61" t="str">
        <f aca="false">IF(IsPro,IF($D2584="","",ROUND(N($E2584)*IFERROR(INDEX(Items!$P$5:$P$504,U2584),0),2)),"")</f>
        <v/>
      </c>
      <c r="S2584" s="61" t="str">
        <f aca="false">IF(IsPro,IF($D2584="","",L2584-R2584),"")</f>
        <v/>
      </c>
      <c r="T2584" s="60" t="str">
        <f aca="false">IF(IsPro,IF($D2584="","",IF(U2584="","UNKNOWN ITEM",IF(INDEX(Items!$O$5:$O$504,U2584)&lt;0,"NEG STOCK",IF(K2584&lt;INDEX(Items!$P$5:$P$504,U2584),"BELOW COST","OK")))),IF($D2584="","","PRO PLAN"))</f>
        <v/>
      </c>
      <c r="U2584" s="60" t="str">
        <f aca="false">IF(IsPro,IF($D2584="","",IFERROR(MATCH($D2584,Items!$A$5:$A$504,0),"")),"")</f>
        <v/>
      </c>
      <c r="V2584" s="60" t="str">
        <f aca="false">IF(IsPro,IF($C2584="","",IFERROR(MATCH($C2584,Parties!$A$5:$A$304,0),"")),"")</f>
        <v/>
      </c>
      <c r="W2584" s="60" t="str">
        <f aca="false">IF(IsPro,IF($B2584="","",IFERROR(VALUE(SUBSTITUTE($B2584,InvPrefix,"")),0)),"")</f>
        <v/>
      </c>
      <c r="X2584" s="61" t="str">
        <f aca="false">IF(IsPro,IF($D2584="","",IF(OR($H2584="",$H2584="Credit"),0,Q2584)),"")</f>
        <v/>
      </c>
    </row>
    <row r="2585" customFormat="false" ht="15" hidden="false" customHeight="false" outlineLevel="0" collapsed="false">
      <c r="A2585" s="55"/>
      <c r="B2585" s="56"/>
      <c r="C2585" s="56"/>
      <c r="D2585" s="56"/>
      <c r="E2585" s="57"/>
      <c r="F2585" s="58"/>
      <c r="G2585" s="59"/>
      <c r="H2585" s="56"/>
      <c r="I2585" s="56"/>
      <c r="J2585" s="60" t="str">
        <f aca="false">IF(IsPro,IF($D2585="","",IFERROR(INDEX(Items!$D$5:$D$504,U2585),"")),"")</f>
        <v/>
      </c>
      <c r="K2585" s="61" t="str">
        <f aca="false">IF(IsPro,IF($D2585="","",IF($F2585="",IFERROR(INDEX(Items!$H$5:$H$504,U2585),0),$F2585)),"")</f>
        <v/>
      </c>
      <c r="L2585" s="61" t="str">
        <f aca="false">IF(IsPro,IF($D2585="","",ROUND(N($E2585)*K2585*(1-N($G2585)),2)),"")</f>
        <v/>
      </c>
      <c r="M2585" s="62" t="str">
        <f aca="false">IF(IsPro,IF($D2585="","",IFERROR(INDEX(Items!$F$5:$F$504,U2585),0)),"")</f>
        <v/>
      </c>
      <c r="N2585" s="61" t="str">
        <f aca="false">IF(IsPro,IF($D2585="","",IF(AND(V2585&lt;&gt;"",INDEX(Parties!$E$5:$E$304,V2585)&lt;&gt;"",INDEX(Parties!$E$5:$E$304,V2585)&lt;&gt;HomeState),0,ROUND(L2585*M2585/2,2))),"")</f>
        <v/>
      </c>
      <c r="O2585" s="61" t="str">
        <f aca="false">IF(IsPro,IF($D2585="","",N2585),"")</f>
        <v/>
      </c>
      <c r="P2585" s="61" t="str">
        <f aca="false">IF(IsPro,IF($D2585="","",IF(AND(V2585&lt;&gt;"",INDEX(Parties!$E$5:$E$304,V2585)&lt;&gt;"",INDEX(Parties!$E$5:$E$304,V2585)&lt;&gt;HomeState),ROUND(L2585*M2585,2),0)),"")</f>
        <v/>
      </c>
      <c r="Q2585" s="61" t="str">
        <f aca="false">IF(IsPro,IF($D2585="","",L2585+N2585+O2585+P2585),"")</f>
        <v/>
      </c>
      <c r="R2585" s="61" t="str">
        <f aca="false">IF(IsPro,IF($D2585="","",ROUND(N($E2585)*IFERROR(INDEX(Items!$P$5:$P$504,U2585),0),2)),"")</f>
        <v/>
      </c>
      <c r="S2585" s="61" t="str">
        <f aca="false">IF(IsPro,IF($D2585="","",L2585-R2585),"")</f>
        <v/>
      </c>
      <c r="T2585" s="60" t="str">
        <f aca="false">IF(IsPro,IF($D2585="","",IF(U2585="","UNKNOWN ITEM",IF(INDEX(Items!$O$5:$O$504,U2585)&lt;0,"NEG STOCK",IF(K2585&lt;INDEX(Items!$P$5:$P$504,U2585),"BELOW COST","OK")))),IF($D2585="","","PRO PLAN"))</f>
        <v/>
      </c>
      <c r="U2585" s="60" t="str">
        <f aca="false">IF(IsPro,IF($D2585="","",IFERROR(MATCH($D2585,Items!$A$5:$A$504,0),"")),"")</f>
        <v/>
      </c>
      <c r="V2585" s="60" t="str">
        <f aca="false">IF(IsPro,IF($C2585="","",IFERROR(MATCH($C2585,Parties!$A$5:$A$304,0),"")),"")</f>
        <v/>
      </c>
      <c r="W2585" s="60" t="str">
        <f aca="false">IF(IsPro,IF($B2585="","",IFERROR(VALUE(SUBSTITUTE($B2585,InvPrefix,"")),0)),"")</f>
        <v/>
      </c>
      <c r="X2585" s="61" t="str">
        <f aca="false">IF(IsPro,IF($D2585="","",IF(OR($H2585="",$H2585="Credit"),0,Q2585)),"")</f>
        <v/>
      </c>
    </row>
    <row r="2586" customFormat="false" ht="15" hidden="false" customHeight="false" outlineLevel="0" collapsed="false">
      <c r="A2586" s="55"/>
      <c r="B2586" s="56"/>
      <c r="C2586" s="56"/>
      <c r="D2586" s="56"/>
      <c r="E2586" s="57"/>
      <c r="F2586" s="58"/>
      <c r="G2586" s="59"/>
      <c r="H2586" s="56"/>
      <c r="I2586" s="56"/>
      <c r="J2586" s="60" t="str">
        <f aca="false">IF(IsPro,IF($D2586="","",IFERROR(INDEX(Items!$D$5:$D$504,U2586),"")),"")</f>
        <v/>
      </c>
      <c r="K2586" s="61" t="str">
        <f aca="false">IF(IsPro,IF($D2586="","",IF($F2586="",IFERROR(INDEX(Items!$H$5:$H$504,U2586),0),$F2586)),"")</f>
        <v/>
      </c>
      <c r="L2586" s="61" t="str">
        <f aca="false">IF(IsPro,IF($D2586="","",ROUND(N($E2586)*K2586*(1-N($G2586)),2)),"")</f>
        <v/>
      </c>
      <c r="M2586" s="62" t="str">
        <f aca="false">IF(IsPro,IF($D2586="","",IFERROR(INDEX(Items!$F$5:$F$504,U2586),0)),"")</f>
        <v/>
      </c>
      <c r="N2586" s="61" t="str">
        <f aca="false">IF(IsPro,IF($D2586="","",IF(AND(V2586&lt;&gt;"",INDEX(Parties!$E$5:$E$304,V2586)&lt;&gt;"",INDEX(Parties!$E$5:$E$304,V2586)&lt;&gt;HomeState),0,ROUND(L2586*M2586/2,2))),"")</f>
        <v/>
      </c>
      <c r="O2586" s="61" t="str">
        <f aca="false">IF(IsPro,IF($D2586="","",N2586),"")</f>
        <v/>
      </c>
      <c r="P2586" s="61" t="str">
        <f aca="false">IF(IsPro,IF($D2586="","",IF(AND(V2586&lt;&gt;"",INDEX(Parties!$E$5:$E$304,V2586)&lt;&gt;"",INDEX(Parties!$E$5:$E$304,V2586)&lt;&gt;HomeState),ROUND(L2586*M2586,2),0)),"")</f>
        <v/>
      </c>
      <c r="Q2586" s="61" t="str">
        <f aca="false">IF(IsPro,IF($D2586="","",L2586+N2586+O2586+P2586),"")</f>
        <v/>
      </c>
      <c r="R2586" s="61" t="str">
        <f aca="false">IF(IsPro,IF($D2586="","",ROUND(N($E2586)*IFERROR(INDEX(Items!$P$5:$P$504,U2586),0),2)),"")</f>
        <v/>
      </c>
      <c r="S2586" s="61" t="str">
        <f aca="false">IF(IsPro,IF($D2586="","",L2586-R2586),"")</f>
        <v/>
      </c>
      <c r="T2586" s="60" t="str">
        <f aca="false">IF(IsPro,IF($D2586="","",IF(U2586="","UNKNOWN ITEM",IF(INDEX(Items!$O$5:$O$504,U2586)&lt;0,"NEG STOCK",IF(K2586&lt;INDEX(Items!$P$5:$P$504,U2586),"BELOW COST","OK")))),IF($D2586="","","PRO PLAN"))</f>
        <v/>
      </c>
      <c r="U2586" s="60" t="str">
        <f aca="false">IF(IsPro,IF($D2586="","",IFERROR(MATCH($D2586,Items!$A$5:$A$504,0),"")),"")</f>
        <v/>
      </c>
      <c r="V2586" s="60" t="str">
        <f aca="false">IF(IsPro,IF($C2586="","",IFERROR(MATCH($C2586,Parties!$A$5:$A$304,0),"")),"")</f>
        <v/>
      </c>
      <c r="W2586" s="60" t="str">
        <f aca="false">IF(IsPro,IF($B2586="","",IFERROR(VALUE(SUBSTITUTE($B2586,InvPrefix,"")),0)),"")</f>
        <v/>
      </c>
      <c r="X2586" s="61" t="str">
        <f aca="false">IF(IsPro,IF($D2586="","",IF(OR($H2586="",$H2586="Credit"),0,Q2586)),"")</f>
        <v/>
      </c>
    </row>
    <row r="2587" customFormat="false" ht="15" hidden="false" customHeight="false" outlineLevel="0" collapsed="false">
      <c r="A2587" s="55"/>
      <c r="B2587" s="56"/>
      <c r="C2587" s="56"/>
      <c r="D2587" s="56"/>
      <c r="E2587" s="57"/>
      <c r="F2587" s="58"/>
      <c r="G2587" s="59"/>
      <c r="H2587" s="56"/>
      <c r="I2587" s="56"/>
      <c r="J2587" s="60" t="str">
        <f aca="false">IF(IsPro,IF($D2587="","",IFERROR(INDEX(Items!$D$5:$D$504,U2587),"")),"")</f>
        <v/>
      </c>
      <c r="K2587" s="61" t="str">
        <f aca="false">IF(IsPro,IF($D2587="","",IF($F2587="",IFERROR(INDEX(Items!$H$5:$H$504,U2587),0),$F2587)),"")</f>
        <v/>
      </c>
      <c r="L2587" s="61" t="str">
        <f aca="false">IF(IsPro,IF($D2587="","",ROUND(N($E2587)*K2587*(1-N($G2587)),2)),"")</f>
        <v/>
      </c>
      <c r="M2587" s="62" t="str">
        <f aca="false">IF(IsPro,IF($D2587="","",IFERROR(INDEX(Items!$F$5:$F$504,U2587),0)),"")</f>
        <v/>
      </c>
      <c r="N2587" s="61" t="str">
        <f aca="false">IF(IsPro,IF($D2587="","",IF(AND(V2587&lt;&gt;"",INDEX(Parties!$E$5:$E$304,V2587)&lt;&gt;"",INDEX(Parties!$E$5:$E$304,V2587)&lt;&gt;HomeState),0,ROUND(L2587*M2587/2,2))),"")</f>
        <v/>
      </c>
      <c r="O2587" s="61" t="str">
        <f aca="false">IF(IsPro,IF($D2587="","",N2587),"")</f>
        <v/>
      </c>
      <c r="P2587" s="61" t="str">
        <f aca="false">IF(IsPro,IF($D2587="","",IF(AND(V2587&lt;&gt;"",INDEX(Parties!$E$5:$E$304,V2587)&lt;&gt;"",INDEX(Parties!$E$5:$E$304,V2587)&lt;&gt;HomeState),ROUND(L2587*M2587,2),0)),"")</f>
        <v/>
      </c>
      <c r="Q2587" s="61" t="str">
        <f aca="false">IF(IsPro,IF($D2587="","",L2587+N2587+O2587+P2587),"")</f>
        <v/>
      </c>
      <c r="R2587" s="61" t="str">
        <f aca="false">IF(IsPro,IF($D2587="","",ROUND(N($E2587)*IFERROR(INDEX(Items!$P$5:$P$504,U2587),0),2)),"")</f>
        <v/>
      </c>
      <c r="S2587" s="61" t="str">
        <f aca="false">IF(IsPro,IF($D2587="","",L2587-R2587),"")</f>
        <v/>
      </c>
      <c r="T2587" s="60" t="str">
        <f aca="false">IF(IsPro,IF($D2587="","",IF(U2587="","UNKNOWN ITEM",IF(INDEX(Items!$O$5:$O$504,U2587)&lt;0,"NEG STOCK",IF(K2587&lt;INDEX(Items!$P$5:$P$504,U2587),"BELOW COST","OK")))),IF($D2587="","","PRO PLAN"))</f>
        <v/>
      </c>
      <c r="U2587" s="60" t="str">
        <f aca="false">IF(IsPro,IF($D2587="","",IFERROR(MATCH($D2587,Items!$A$5:$A$504,0),"")),"")</f>
        <v/>
      </c>
      <c r="V2587" s="60" t="str">
        <f aca="false">IF(IsPro,IF($C2587="","",IFERROR(MATCH($C2587,Parties!$A$5:$A$304,0),"")),"")</f>
        <v/>
      </c>
      <c r="W2587" s="60" t="str">
        <f aca="false">IF(IsPro,IF($B2587="","",IFERROR(VALUE(SUBSTITUTE($B2587,InvPrefix,"")),0)),"")</f>
        <v/>
      </c>
      <c r="X2587" s="61" t="str">
        <f aca="false">IF(IsPro,IF($D2587="","",IF(OR($H2587="",$H2587="Credit"),0,Q2587)),"")</f>
        <v/>
      </c>
    </row>
    <row r="2588" customFormat="false" ht="15" hidden="false" customHeight="false" outlineLevel="0" collapsed="false">
      <c r="A2588" s="55"/>
      <c r="B2588" s="56"/>
      <c r="C2588" s="56"/>
      <c r="D2588" s="56"/>
      <c r="E2588" s="57"/>
      <c r="F2588" s="58"/>
      <c r="G2588" s="59"/>
      <c r="H2588" s="56"/>
      <c r="I2588" s="56"/>
      <c r="J2588" s="60" t="str">
        <f aca="false">IF(IsPro,IF($D2588="","",IFERROR(INDEX(Items!$D$5:$D$504,U2588),"")),"")</f>
        <v/>
      </c>
      <c r="K2588" s="61" t="str">
        <f aca="false">IF(IsPro,IF($D2588="","",IF($F2588="",IFERROR(INDEX(Items!$H$5:$H$504,U2588),0),$F2588)),"")</f>
        <v/>
      </c>
      <c r="L2588" s="61" t="str">
        <f aca="false">IF(IsPro,IF($D2588="","",ROUND(N($E2588)*K2588*(1-N($G2588)),2)),"")</f>
        <v/>
      </c>
      <c r="M2588" s="62" t="str">
        <f aca="false">IF(IsPro,IF($D2588="","",IFERROR(INDEX(Items!$F$5:$F$504,U2588),0)),"")</f>
        <v/>
      </c>
      <c r="N2588" s="61" t="str">
        <f aca="false">IF(IsPro,IF($D2588="","",IF(AND(V2588&lt;&gt;"",INDEX(Parties!$E$5:$E$304,V2588)&lt;&gt;"",INDEX(Parties!$E$5:$E$304,V2588)&lt;&gt;HomeState),0,ROUND(L2588*M2588/2,2))),"")</f>
        <v/>
      </c>
      <c r="O2588" s="61" t="str">
        <f aca="false">IF(IsPro,IF($D2588="","",N2588),"")</f>
        <v/>
      </c>
      <c r="P2588" s="61" t="str">
        <f aca="false">IF(IsPro,IF($D2588="","",IF(AND(V2588&lt;&gt;"",INDEX(Parties!$E$5:$E$304,V2588)&lt;&gt;"",INDEX(Parties!$E$5:$E$304,V2588)&lt;&gt;HomeState),ROUND(L2588*M2588,2),0)),"")</f>
        <v/>
      </c>
      <c r="Q2588" s="61" t="str">
        <f aca="false">IF(IsPro,IF($D2588="","",L2588+N2588+O2588+P2588),"")</f>
        <v/>
      </c>
      <c r="R2588" s="61" t="str">
        <f aca="false">IF(IsPro,IF($D2588="","",ROUND(N($E2588)*IFERROR(INDEX(Items!$P$5:$P$504,U2588),0),2)),"")</f>
        <v/>
      </c>
      <c r="S2588" s="61" t="str">
        <f aca="false">IF(IsPro,IF($D2588="","",L2588-R2588),"")</f>
        <v/>
      </c>
      <c r="T2588" s="60" t="str">
        <f aca="false">IF(IsPro,IF($D2588="","",IF(U2588="","UNKNOWN ITEM",IF(INDEX(Items!$O$5:$O$504,U2588)&lt;0,"NEG STOCK",IF(K2588&lt;INDEX(Items!$P$5:$P$504,U2588),"BELOW COST","OK")))),IF($D2588="","","PRO PLAN"))</f>
        <v/>
      </c>
      <c r="U2588" s="60" t="str">
        <f aca="false">IF(IsPro,IF($D2588="","",IFERROR(MATCH($D2588,Items!$A$5:$A$504,0),"")),"")</f>
        <v/>
      </c>
      <c r="V2588" s="60" t="str">
        <f aca="false">IF(IsPro,IF($C2588="","",IFERROR(MATCH($C2588,Parties!$A$5:$A$304,0),"")),"")</f>
        <v/>
      </c>
      <c r="W2588" s="60" t="str">
        <f aca="false">IF(IsPro,IF($B2588="","",IFERROR(VALUE(SUBSTITUTE($B2588,InvPrefix,"")),0)),"")</f>
        <v/>
      </c>
      <c r="X2588" s="61" t="str">
        <f aca="false">IF(IsPro,IF($D2588="","",IF(OR($H2588="",$H2588="Credit"),0,Q2588)),"")</f>
        <v/>
      </c>
    </row>
    <row r="2589" customFormat="false" ht="15" hidden="false" customHeight="false" outlineLevel="0" collapsed="false">
      <c r="A2589" s="55"/>
      <c r="B2589" s="56"/>
      <c r="C2589" s="56"/>
      <c r="D2589" s="56"/>
      <c r="E2589" s="57"/>
      <c r="F2589" s="58"/>
      <c r="G2589" s="59"/>
      <c r="H2589" s="56"/>
      <c r="I2589" s="56"/>
      <c r="J2589" s="60" t="str">
        <f aca="false">IF(IsPro,IF($D2589="","",IFERROR(INDEX(Items!$D$5:$D$504,U2589),"")),"")</f>
        <v/>
      </c>
      <c r="K2589" s="61" t="str">
        <f aca="false">IF(IsPro,IF($D2589="","",IF($F2589="",IFERROR(INDEX(Items!$H$5:$H$504,U2589),0),$F2589)),"")</f>
        <v/>
      </c>
      <c r="L2589" s="61" t="str">
        <f aca="false">IF(IsPro,IF($D2589="","",ROUND(N($E2589)*K2589*(1-N($G2589)),2)),"")</f>
        <v/>
      </c>
      <c r="M2589" s="62" t="str">
        <f aca="false">IF(IsPro,IF($D2589="","",IFERROR(INDEX(Items!$F$5:$F$504,U2589),0)),"")</f>
        <v/>
      </c>
      <c r="N2589" s="61" t="str">
        <f aca="false">IF(IsPro,IF($D2589="","",IF(AND(V2589&lt;&gt;"",INDEX(Parties!$E$5:$E$304,V2589)&lt;&gt;"",INDEX(Parties!$E$5:$E$304,V2589)&lt;&gt;HomeState),0,ROUND(L2589*M2589/2,2))),"")</f>
        <v/>
      </c>
      <c r="O2589" s="61" t="str">
        <f aca="false">IF(IsPro,IF($D2589="","",N2589),"")</f>
        <v/>
      </c>
      <c r="P2589" s="61" t="str">
        <f aca="false">IF(IsPro,IF($D2589="","",IF(AND(V2589&lt;&gt;"",INDEX(Parties!$E$5:$E$304,V2589)&lt;&gt;"",INDEX(Parties!$E$5:$E$304,V2589)&lt;&gt;HomeState),ROUND(L2589*M2589,2),0)),"")</f>
        <v/>
      </c>
      <c r="Q2589" s="61" t="str">
        <f aca="false">IF(IsPro,IF($D2589="","",L2589+N2589+O2589+P2589),"")</f>
        <v/>
      </c>
      <c r="R2589" s="61" t="str">
        <f aca="false">IF(IsPro,IF($D2589="","",ROUND(N($E2589)*IFERROR(INDEX(Items!$P$5:$P$504,U2589),0),2)),"")</f>
        <v/>
      </c>
      <c r="S2589" s="61" t="str">
        <f aca="false">IF(IsPro,IF($D2589="","",L2589-R2589),"")</f>
        <v/>
      </c>
      <c r="T2589" s="60" t="str">
        <f aca="false">IF(IsPro,IF($D2589="","",IF(U2589="","UNKNOWN ITEM",IF(INDEX(Items!$O$5:$O$504,U2589)&lt;0,"NEG STOCK",IF(K2589&lt;INDEX(Items!$P$5:$P$504,U2589),"BELOW COST","OK")))),IF($D2589="","","PRO PLAN"))</f>
        <v/>
      </c>
      <c r="U2589" s="60" t="str">
        <f aca="false">IF(IsPro,IF($D2589="","",IFERROR(MATCH($D2589,Items!$A$5:$A$504,0),"")),"")</f>
        <v/>
      </c>
      <c r="V2589" s="60" t="str">
        <f aca="false">IF(IsPro,IF($C2589="","",IFERROR(MATCH($C2589,Parties!$A$5:$A$304,0),"")),"")</f>
        <v/>
      </c>
      <c r="W2589" s="60" t="str">
        <f aca="false">IF(IsPro,IF($B2589="","",IFERROR(VALUE(SUBSTITUTE($B2589,InvPrefix,"")),0)),"")</f>
        <v/>
      </c>
      <c r="X2589" s="61" t="str">
        <f aca="false">IF(IsPro,IF($D2589="","",IF(OR($H2589="",$H2589="Credit"),0,Q2589)),"")</f>
        <v/>
      </c>
    </row>
    <row r="2590" customFormat="false" ht="15" hidden="false" customHeight="false" outlineLevel="0" collapsed="false">
      <c r="A2590" s="55"/>
      <c r="B2590" s="56"/>
      <c r="C2590" s="56"/>
      <c r="D2590" s="56"/>
      <c r="E2590" s="57"/>
      <c r="F2590" s="58"/>
      <c r="G2590" s="59"/>
      <c r="H2590" s="56"/>
      <c r="I2590" s="56"/>
      <c r="J2590" s="60" t="str">
        <f aca="false">IF(IsPro,IF($D2590="","",IFERROR(INDEX(Items!$D$5:$D$504,U2590),"")),"")</f>
        <v/>
      </c>
      <c r="K2590" s="61" t="str">
        <f aca="false">IF(IsPro,IF($D2590="","",IF($F2590="",IFERROR(INDEX(Items!$H$5:$H$504,U2590),0),$F2590)),"")</f>
        <v/>
      </c>
      <c r="L2590" s="61" t="str">
        <f aca="false">IF(IsPro,IF($D2590="","",ROUND(N($E2590)*K2590*(1-N($G2590)),2)),"")</f>
        <v/>
      </c>
      <c r="M2590" s="62" t="str">
        <f aca="false">IF(IsPro,IF($D2590="","",IFERROR(INDEX(Items!$F$5:$F$504,U2590),0)),"")</f>
        <v/>
      </c>
      <c r="N2590" s="61" t="str">
        <f aca="false">IF(IsPro,IF($D2590="","",IF(AND(V2590&lt;&gt;"",INDEX(Parties!$E$5:$E$304,V2590)&lt;&gt;"",INDEX(Parties!$E$5:$E$304,V2590)&lt;&gt;HomeState),0,ROUND(L2590*M2590/2,2))),"")</f>
        <v/>
      </c>
      <c r="O2590" s="61" t="str">
        <f aca="false">IF(IsPro,IF($D2590="","",N2590),"")</f>
        <v/>
      </c>
      <c r="P2590" s="61" t="str">
        <f aca="false">IF(IsPro,IF($D2590="","",IF(AND(V2590&lt;&gt;"",INDEX(Parties!$E$5:$E$304,V2590)&lt;&gt;"",INDEX(Parties!$E$5:$E$304,V2590)&lt;&gt;HomeState),ROUND(L2590*M2590,2),0)),"")</f>
        <v/>
      </c>
      <c r="Q2590" s="61" t="str">
        <f aca="false">IF(IsPro,IF($D2590="","",L2590+N2590+O2590+P2590),"")</f>
        <v/>
      </c>
      <c r="R2590" s="61" t="str">
        <f aca="false">IF(IsPro,IF($D2590="","",ROUND(N($E2590)*IFERROR(INDEX(Items!$P$5:$P$504,U2590),0),2)),"")</f>
        <v/>
      </c>
      <c r="S2590" s="61" t="str">
        <f aca="false">IF(IsPro,IF($D2590="","",L2590-R2590),"")</f>
        <v/>
      </c>
      <c r="T2590" s="60" t="str">
        <f aca="false">IF(IsPro,IF($D2590="","",IF(U2590="","UNKNOWN ITEM",IF(INDEX(Items!$O$5:$O$504,U2590)&lt;0,"NEG STOCK",IF(K2590&lt;INDEX(Items!$P$5:$P$504,U2590),"BELOW COST","OK")))),IF($D2590="","","PRO PLAN"))</f>
        <v/>
      </c>
      <c r="U2590" s="60" t="str">
        <f aca="false">IF(IsPro,IF($D2590="","",IFERROR(MATCH($D2590,Items!$A$5:$A$504,0),"")),"")</f>
        <v/>
      </c>
      <c r="V2590" s="60" t="str">
        <f aca="false">IF(IsPro,IF($C2590="","",IFERROR(MATCH($C2590,Parties!$A$5:$A$304,0),"")),"")</f>
        <v/>
      </c>
      <c r="W2590" s="60" t="str">
        <f aca="false">IF(IsPro,IF($B2590="","",IFERROR(VALUE(SUBSTITUTE($B2590,InvPrefix,"")),0)),"")</f>
        <v/>
      </c>
      <c r="X2590" s="61" t="str">
        <f aca="false">IF(IsPro,IF($D2590="","",IF(OR($H2590="",$H2590="Credit"),0,Q2590)),"")</f>
        <v/>
      </c>
    </row>
    <row r="2591" customFormat="false" ht="15" hidden="false" customHeight="false" outlineLevel="0" collapsed="false">
      <c r="A2591" s="55"/>
      <c r="B2591" s="56"/>
      <c r="C2591" s="56"/>
      <c r="D2591" s="56"/>
      <c r="E2591" s="57"/>
      <c r="F2591" s="58"/>
      <c r="G2591" s="59"/>
      <c r="H2591" s="56"/>
      <c r="I2591" s="56"/>
      <c r="J2591" s="60" t="str">
        <f aca="false">IF(IsPro,IF($D2591="","",IFERROR(INDEX(Items!$D$5:$D$504,U2591),"")),"")</f>
        <v/>
      </c>
      <c r="K2591" s="61" t="str">
        <f aca="false">IF(IsPro,IF($D2591="","",IF($F2591="",IFERROR(INDEX(Items!$H$5:$H$504,U2591),0),$F2591)),"")</f>
        <v/>
      </c>
      <c r="L2591" s="61" t="str">
        <f aca="false">IF(IsPro,IF($D2591="","",ROUND(N($E2591)*K2591*(1-N($G2591)),2)),"")</f>
        <v/>
      </c>
      <c r="M2591" s="62" t="str">
        <f aca="false">IF(IsPro,IF($D2591="","",IFERROR(INDEX(Items!$F$5:$F$504,U2591),0)),"")</f>
        <v/>
      </c>
      <c r="N2591" s="61" t="str">
        <f aca="false">IF(IsPro,IF($D2591="","",IF(AND(V2591&lt;&gt;"",INDEX(Parties!$E$5:$E$304,V2591)&lt;&gt;"",INDEX(Parties!$E$5:$E$304,V2591)&lt;&gt;HomeState),0,ROUND(L2591*M2591/2,2))),"")</f>
        <v/>
      </c>
      <c r="O2591" s="61" t="str">
        <f aca="false">IF(IsPro,IF($D2591="","",N2591),"")</f>
        <v/>
      </c>
      <c r="P2591" s="61" t="str">
        <f aca="false">IF(IsPro,IF($D2591="","",IF(AND(V2591&lt;&gt;"",INDEX(Parties!$E$5:$E$304,V2591)&lt;&gt;"",INDEX(Parties!$E$5:$E$304,V2591)&lt;&gt;HomeState),ROUND(L2591*M2591,2),0)),"")</f>
        <v/>
      </c>
      <c r="Q2591" s="61" t="str">
        <f aca="false">IF(IsPro,IF($D2591="","",L2591+N2591+O2591+P2591),"")</f>
        <v/>
      </c>
      <c r="R2591" s="61" t="str">
        <f aca="false">IF(IsPro,IF($D2591="","",ROUND(N($E2591)*IFERROR(INDEX(Items!$P$5:$P$504,U2591),0),2)),"")</f>
        <v/>
      </c>
      <c r="S2591" s="61" t="str">
        <f aca="false">IF(IsPro,IF($D2591="","",L2591-R2591),"")</f>
        <v/>
      </c>
      <c r="T2591" s="60" t="str">
        <f aca="false">IF(IsPro,IF($D2591="","",IF(U2591="","UNKNOWN ITEM",IF(INDEX(Items!$O$5:$O$504,U2591)&lt;0,"NEG STOCK",IF(K2591&lt;INDEX(Items!$P$5:$P$504,U2591),"BELOW COST","OK")))),IF($D2591="","","PRO PLAN"))</f>
        <v/>
      </c>
      <c r="U2591" s="60" t="str">
        <f aca="false">IF(IsPro,IF($D2591="","",IFERROR(MATCH($D2591,Items!$A$5:$A$504,0),"")),"")</f>
        <v/>
      </c>
      <c r="V2591" s="60" t="str">
        <f aca="false">IF(IsPro,IF($C2591="","",IFERROR(MATCH($C2591,Parties!$A$5:$A$304,0),"")),"")</f>
        <v/>
      </c>
      <c r="W2591" s="60" t="str">
        <f aca="false">IF(IsPro,IF($B2591="","",IFERROR(VALUE(SUBSTITUTE($B2591,InvPrefix,"")),0)),"")</f>
        <v/>
      </c>
      <c r="X2591" s="61" t="str">
        <f aca="false">IF(IsPro,IF($D2591="","",IF(OR($H2591="",$H2591="Credit"),0,Q2591)),"")</f>
        <v/>
      </c>
    </row>
    <row r="2592" customFormat="false" ht="15" hidden="false" customHeight="false" outlineLevel="0" collapsed="false">
      <c r="A2592" s="55"/>
      <c r="B2592" s="56"/>
      <c r="C2592" s="56"/>
      <c r="D2592" s="56"/>
      <c r="E2592" s="57"/>
      <c r="F2592" s="58"/>
      <c r="G2592" s="59"/>
      <c r="H2592" s="56"/>
      <c r="I2592" s="56"/>
      <c r="J2592" s="60" t="str">
        <f aca="false">IF(IsPro,IF($D2592="","",IFERROR(INDEX(Items!$D$5:$D$504,U2592),"")),"")</f>
        <v/>
      </c>
      <c r="K2592" s="61" t="str">
        <f aca="false">IF(IsPro,IF($D2592="","",IF($F2592="",IFERROR(INDEX(Items!$H$5:$H$504,U2592),0),$F2592)),"")</f>
        <v/>
      </c>
      <c r="L2592" s="61" t="str">
        <f aca="false">IF(IsPro,IF($D2592="","",ROUND(N($E2592)*K2592*(1-N($G2592)),2)),"")</f>
        <v/>
      </c>
      <c r="M2592" s="62" t="str">
        <f aca="false">IF(IsPro,IF($D2592="","",IFERROR(INDEX(Items!$F$5:$F$504,U2592),0)),"")</f>
        <v/>
      </c>
      <c r="N2592" s="61" t="str">
        <f aca="false">IF(IsPro,IF($D2592="","",IF(AND(V2592&lt;&gt;"",INDEX(Parties!$E$5:$E$304,V2592)&lt;&gt;"",INDEX(Parties!$E$5:$E$304,V2592)&lt;&gt;HomeState),0,ROUND(L2592*M2592/2,2))),"")</f>
        <v/>
      </c>
      <c r="O2592" s="61" t="str">
        <f aca="false">IF(IsPro,IF($D2592="","",N2592),"")</f>
        <v/>
      </c>
      <c r="P2592" s="61" t="str">
        <f aca="false">IF(IsPro,IF($D2592="","",IF(AND(V2592&lt;&gt;"",INDEX(Parties!$E$5:$E$304,V2592)&lt;&gt;"",INDEX(Parties!$E$5:$E$304,V2592)&lt;&gt;HomeState),ROUND(L2592*M2592,2),0)),"")</f>
        <v/>
      </c>
      <c r="Q2592" s="61" t="str">
        <f aca="false">IF(IsPro,IF($D2592="","",L2592+N2592+O2592+P2592),"")</f>
        <v/>
      </c>
      <c r="R2592" s="61" t="str">
        <f aca="false">IF(IsPro,IF($D2592="","",ROUND(N($E2592)*IFERROR(INDEX(Items!$P$5:$P$504,U2592),0),2)),"")</f>
        <v/>
      </c>
      <c r="S2592" s="61" t="str">
        <f aca="false">IF(IsPro,IF($D2592="","",L2592-R2592),"")</f>
        <v/>
      </c>
      <c r="T2592" s="60" t="str">
        <f aca="false">IF(IsPro,IF($D2592="","",IF(U2592="","UNKNOWN ITEM",IF(INDEX(Items!$O$5:$O$504,U2592)&lt;0,"NEG STOCK",IF(K2592&lt;INDEX(Items!$P$5:$P$504,U2592),"BELOW COST","OK")))),IF($D2592="","","PRO PLAN"))</f>
        <v/>
      </c>
      <c r="U2592" s="60" t="str">
        <f aca="false">IF(IsPro,IF($D2592="","",IFERROR(MATCH($D2592,Items!$A$5:$A$504,0),"")),"")</f>
        <v/>
      </c>
      <c r="V2592" s="60" t="str">
        <f aca="false">IF(IsPro,IF($C2592="","",IFERROR(MATCH($C2592,Parties!$A$5:$A$304,0),"")),"")</f>
        <v/>
      </c>
      <c r="W2592" s="60" t="str">
        <f aca="false">IF(IsPro,IF($B2592="","",IFERROR(VALUE(SUBSTITUTE($B2592,InvPrefix,"")),0)),"")</f>
        <v/>
      </c>
      <c r="X2592" s="61" t="str">
        <f aca="false">IF(IsPro,IF($D2592="","",IF(OR($H2592="",$H2592="Credit"),0,Q2592)),"")</f>
        <v/>
      </c>
    </row>
    <row r="2593" customFormat="false" ht="15" hidden="false" customHeight="false" outlineLevel="0" collapsed="false">
      <c r="A2593" s="55"/>
      <c r="B2593" s="56"/>
      <c r="C2593" s="56"/>
      <c r="D2593" s="56"/>
      <c r="E2593" s="57"/>
      <c r="F2593" s="58"/>
      <c r="G2593" s="59"/>
      <c r="H2593" s="56"/>
      <c r="I2593" s="56"/>
      <c r="J2593" s="60" t="str">
        <f aca="false">IF(IsPro,IF($D2593="","",IFERROR(INDEX(Items!$D$5:$D$504,U2593),"")),"")</f>
        <v/>
      </c>
      <c r="K2593" s="61" t="str">
        <f aca="false">IF(IsPro,IF($D2593="","",IF($F2593="",IFERROR(INDEX(Items!$H$5:$H$504,U2593),0),$F2593)),"")</f>
        <v/>
      </c>
      <c r="L2593" s="61" t="str">
        <f aca="false">IF(IsPro,IF($D2593="","",ROUND(N($E2593)*K2593*(1-N($G2593)),2)),"")</f>
        <v/>
      </c>
      <c r="M2593" s="62" t="str">
        <f aca="false">IF(IsPro,IF($D2593="","",IFERROR(INDEX(Items!$F$5:$F$504,U2593),0)),"")</f>
        <v/>
      </c>
      <c r="N2593" s="61" t="str">
        <f aca="false">IF(IsPro,IF($D2593="","",IF(AND(V2593&lt;&gt;"",INDEX(Parties!$E$5:$E$304,V2593)&lt;&gt;"",INDEX(Parties!$E$5:$E$304,V2593)&lt;&gt;HomeState),0,ROUND(L2593*M2593/2,2))),"")</f>
        <v/>
      </c>
      <c r="O2593" s="61" t="str">
        <f aca="false">IF(IsPro,IF($D2593="","",N2593),"")</f>
        <v/>
      </c>
      <c r="P2593" s="61" t="str">
        <f aca="false">IF(IsPro,IF($D2593="","",IF(AND(V2593&lt;&gt;"",INDEX(Parties!$E$5:$E$304,V2593)&lt;&gt;"",INDEX(Parties!$E$5:$E$304,V2593)&lt;&gt;HomeState),ROUND(L2593*M2593,2),0)),"")</f>
        <v/>
      </c>
      <c r="Q2593" s="61" t="str">
        <f aca="false">IF(IsPro,IF($D2593="","",L2593+N2593+O2593+P2593),"")</f>
        <v/>
      </c>
      <c r="R2593" s="61" t="str">
        <f aca="false">IF(IsPro,IF($D2593="","",ROUND(N($E2593)*IFERROR(INDEX(Items!$P$5:$P$504,U2593),0),2)),"")</f>
        <v/>
      </c>
      <c r="S2593" s="61" t="str">
        <f aca="false">IF(IsPro,IF($D2593="","",L2593-R2593),"")</f>
        <v/>
      </c>
      <c r="T2593" s="60" t="str">
        <f aca="false">IF(IsPro,IF($D2593="","",IF(U2593="","UNKNOWN ITEM",IF(INDEX(Items!$O$5:$O$504,U2593)&lt;0,"NEG STOCK",IF(K2593&lt;INDEX(Items!$P$5:$P$504,U2593),"BELOW COST","OK")))),IF($D2593="","","PRO PLAN"))</f>
        <v/>
      </c>
      <c r="U2593" s="60" t="str">
        <f aca="false">IF(IsPro,IF($D2593="","",IFERROR(MATCH($D2593,Items!$A$5:$A$504,0),"")),"")</f>
        <v/>
      </c>
      <c r="V2593" s="60" t="str">
        <f aca="false">IF(IsPro,IF($C2593="","",IFERROR(MATCH($C2593,Parties!$A$5:$A$304,0),"")),"")</f>
        <v/>
      </c>
      <c r="W2593" s="60" t="str">
        <f aca="false">IF(IsPro,IF($B2593="","",IFERROR(VALUE(SUBSTITUTE($B2593,InvPrefix,"")),0)),"")</f>
        <v/>
      </c>
      <c r="X2593" s="61" t="str">
        <f aca="false">IF(IsPro,IF($D2593="","",IF(OR($H2593="",$H2593="Credit"),0,Q2593)),"")</f>
        <v/>
      </c>
    </row>
    <row r="2594" customFormat="false" ht="15" hidden="false" customHeight="false" outlineLevel="0" collapsed="false">
      <c r="A2594" s="55"/>
      <c r="B2594" s="56"/>
      <c r="C2594" s="56"/>
      <c r="D2594" s="56"/>
      <c r="E2594" s="57"/>
      <c r="F2594" s="58"/>
      <c r="G2594" s="59"/>
      <c r="H2594" s="56"/>
      <c r="I2594" s="56"/>
      <c r="J2594" s="60" t="str">
        <f aca="false">IF(IsPro,IF($D2594="","",IFERROR(INDEX(Items!$D$5:$D$504,U2594),"")),"")</f>
        <v/>
      </c>
      <c r="K2594" s="61" t="str">
        <f aca="false">IF(IsPro,IF($D2594="","",IF($F2594="",IFERROR(INDEX(Items!$H$5:$H$504,U2594),0),$F2594)),"")</f>
        <v/>
      </c>
      <c r="L2594" s="61" t="str">
        <f aca="false">IF(IsPro,IF($D2594="","",ROUND(N($E2594)*K2594*(1-N($G2594)),2)),"")</f>
        <v/>
      </c>
      <c r="M2594" s="62" t="str">
        <f aca="false">IF(IsPro,IF($D2594="","",IFERROR(INDEX(Items!$F$5:$F$504,U2594),0)),"")</f>
        <v/>
      </c>
      <c r="N2594" s="61" t="str">
        <f aca="false">IF(IsPro,IF($D2594="","",IF(AND(V2594&lt;&gt;"",INDEX(Parties!$E$5:$E$304,V2594)&lt;&gt;"",INDEX(Parties!$E$5:$E$304,V2594)&lt;&gt;HomeState),0,ROUND(L2594*M2594/2,2))),"")</f>
        <v/>
      </c>
      <c r="O2594" s="61" t="str">
        <f aca="false">IF(IsPro,IF($D2594="","",N2594),"")</f>
        <v/>
      </c>
      <c r="P2594" s="61" t="str">
        <f aca="false">IF(IsPro,IF($D2594="","",IF(AND(V2594&lt;&gt;"",INDEX(Parties!$E$5:$E$304,V2594)&lt;&gt;"",INDEX(Parties!$E$5:$E$304,V2594)&lt;&gt;HomeState),ROUND(L2594*M2594,2),0)),"")</f>
        <v/>
      </c>
      <c r="Q2594" s="61" t="str">
        <f aca="false">IF(IsPro,IF($D2594="","",L2594+N2594+O2594+P2594),"")</f>
        <v/>
      </c>
      <c r="R2594" s="61" t="str">
        <f aca="false">IF(IsPro,IF($D2594="","",ROUND(N($E2594)*IFERROR(INDEX(Items!$P$5:$P$504,U2594),0),2)),"")</f>
        <v/>
      </c>
      <c r="S2594" s="61" t="str">
        <f aca="false">IF(IsPro,IF($D2594="","",L2594-R2594),"")</f>
        <v/>
      </c>
      <c r="T2594" s="60" t="str">
        <f aca="false">IF(IsPro,IF($D2594="","",IF(U2594="","UNKNOWN ITEM",IF(INDEX(Items!$O$5:$O$504,U2594)&lt;0,"NEG STOCK",IF(K2594&lt;INDEX(Items!$P$5:$P$504,U2594),"BELOW COST","OK")))),IF($D2594="","","PRO PLAN"))</f>
        <v/>
      </c>
      <c r="U2594" s="60" t="str">
        <f aca="false">IF(IsPro,IF($D2594="","",IFERROR(MATCH($D2594,Items!$A$5:$A$504,0),"")),"")</f>
        <v/>
      </c>
      <c r="V2594" s="60" t="str">
        <f aca="false">IF(IsPro,IF($C2594="","",IFERROR(MATCH($C2594,Parties!$A$5:$A$304,0),"")),"")</f>
        <v/>
      </c>
      <c r="W2594" s="60" t="str">
        <f aca="false">IF(IsPro,IF($B2594="","",IFERROR(VALUE(SUBSTITUTE($B2594,InvPrefix,"")),0)),"")</f>
        <v/>
      </c>
      <c r="X2594" s="61" t="str">
        <f aca="false">IF(IsPro,IF($D2594="","",IF(OR($H2594="",$H2594="Credit"),0,Q2594)),"")</f>
        <v/>
      </c>
    </row>
    <row r="2595" customFormat="false" ht="15" hidden="false" customHeight="false" outlineLevel="0" collapsed="false">
      <c r="A2595" s="55"/>
      <c r="B2595" s="56"/>
      <c r="C2595" s="56"/>
      <c r="D2595" s="56"/>
      <c r="E2595" s="57"/>
      <c r="F2595" s="58"/>
      <c r="G2595" s="59"/>
      <c r="H2595" s="56"/>
      <c r="I2595" s="56"/>
      <c r="J2595" s="60" t="str">
        <f aca="false">IF(IsPro,IF($D2595="","",IFERROR(INDEX(Items!$D$5:$D$504,U2595),"")),"")</f>
        <v/>
      </c>
      <c r="K2595" s="61" t="str">
        <f aca="false">IF(IsPro,IF($D2595="","",IF($F2595="",IFERROR(INDEX(Items!$H$5:$H$504,U2595),0),$F2595)),"")</f>
        <v/>
      </c>
      <c r="L2595" s="61" t="str">
        <f aca="false">IF(IsPro,IF($D2595="","",ROUND(N($E2595)*K2595*(1-N($G2595)),2)),"")</f>
        <v/>
      </c>
      <c r="M2595" s="62" t="str">
        <f aca="false">IF(IsPro,IF($D2595="","",IFERROR(INDEX(Items!$F$5:$F$504,U2595),0)),"")</f>
        <v/>
      </c>
      <c r="N2595" s="61" t="str">
        <f aca="false">IF(IsPro,IF($D2595="","",IF(AND(V2595&lt;&gt;"",INDEX(Parties!$E$5:$E$304,V2595)&lt;&gt;"",INDEX(Parties!$E$5:$E$304,V2595)&lt;&gt;HomeState),0,ROUND(L2595*M2595/2,2))),"")</f>
        <v/>
      </c>
      <c r="O2595" s="61" t="str">
        <f aca="false">IF(IsPro,IF($D2595="","",N2595),"")</f>
        <v/>
      </c>
      <c r="P2595" s="61" t="str">
        <f aca="false">IF(IsPro,IF($D2595="","",IF(AND(V2595&lt;&gt;"",INDEX(Parties!$E$5:$E$304,V2595)&lt;&gt;"",INDEX(Parties!$E$5:$E$304,V2595)&lt;&gt;HomeState),ROUND(L2595*M2595,2),0)),"")</f>
        <v/>
      </c>
      <c r="Q2595" s="61" t="str">
        <f aca="false">IF(IsPro,IF($D2595="","",L2595+N2595+O2595+P2595),"")</f>
        <v/>
      </c>
      <c r="R2595" s="61" t="str">
        <f aca="false">IF(IsPro,IF($D2595="","",ROUND(N($E2595)*IFERROR(INDEX(Items!$P$5:$P$504,U2595),0),2)),"")</f>
        <v/>
      </c>
      <c r="S2595" s="61" t="str">
        <f aca="false">IF(IsPro,IF($D2595="","",L2595-R2595),"")</f>
        <v/>
      </c>
      <c r="T2595" s="60" t="str">
        <f aca="false">IF(IsPro,IF($D2595="","",IF(U2595="","UNKNOWN ITEM",IF(INDEX(Items!$O$5:$O$504,U2595)&lt;0,"NEG STOCK",IF(K2595&lt;INDEX(Items!$P$5:$P$504,U2595),"BELOW COST","OK")))),IF($D2595="","","PRO PLAN"))</f>
        <v/>
      </c>
      <c r="U2595" s="60" t="str">
        <f aca="false">IF(IsPro,IF($D2595="","",IFERROR(MATCH($D2595,Items!$A$5:$A$504,0),"")),"")</f>
        <v/>
      </c>
      <c r="V2595" s="60" t="str">
        <f aca="false">IF(IsPro,IF($C2595="","",IFERROR(MATCH($C2595,Parties!$A$5:$A$304,0),"")),"")</f>
        <v/>
      </c>
      <c r="W2595" s="60" t="str">
        <f aca="false">IF(IsPro,IF($B2595="","",IFERROR(VALUE(SUBSTITUTE($B2595,InvPrefix,"")),0)),"")</f>
        <v/>
      </c>
      <c r="X2595" s="61" t="str">
        <f aca="false">IF(IsPro,IF($D2595="","",IF(OR($H2595="",$H2595="Credit"),0,Q2595)),"")</f>
        <v/>
      </c>
    </row>
    <row r="2596" customFormat="false" ht="15" hidden="false" customHeight="false" outlineLevel="0" collapsed="false">
      <c r="A2596" s="55"/>
      <c r="B2596" s="56"/>
      <c r="C2596" s="56"/>
      <c r="D2596" s="56"/>
      <c r="E2596" s="57"/>
      <c r="F2596" s="58"/>
      <c r="G2596" s="59"/>
      <c r="H2596" s="56"/>
      <c r="I2596" s="56"/>
      <c r="J2596" s="60" t="str">
        <f aca="false">IF(IsPro,IF($D2596="","",IFERROR(INDEX(Items!$D$5:$D$504,U2596),"")),"")</f>
        <v/>
      </c>
      <c r="K2596" s="61" t="str">
        <f aca="false">IF(IsPro,IF($D2596="","",IF($F2596="",IFERROR(INDEX(Items!$H$5:$H$504,U2596),0),$F2596)),"")</f>
        <v/>
      </c>
      <c r="L2596" s="61" t="str">
        <f aca="false">IF(IsPro,IF($D2596="","",ROUND(N($E2596)*K2596*(1-N($G2596)),2)),"")</f>
        <v/>
      </c>
      <c r="M2596" s="62" t="str">
        <f aca="false">IF(IsPro,IF($D2596="","",IFERROR(INDEX(Items!$F$5:$F$504,U2596),0)),"")</f>
        <v/>
      </c>
      <c r="N2596" s="61" t="str">
        <f aca="false">IF(IsPro,IF($D2596="","",IF(AND(V2596&lt;&gt;"",INDEX(Parties!$E$5:$E$304,V2596)&lt;&gt;"",INDEX(Parties!$E$5:$E$304,V2596)&lt;&gt;HomeState),0,ROUND(L2596*M2596/2,2))),"")</f>
        <v/>
      </c>
      <c r="O2596" s="61" t="str">
        <f aca="false">IF(IsPro,IF($D2596="","",N2596),"")</f>
        <v/>
      </c>
      <c r="P2596" s="61" t="str">
        <f aca="false">IF(IsPro,IF($D2596="","",IF(AND(V2596&lt;&gt;"",INDEX(Parties!$E$5:$E$304,V2596)&lt;&gt;"",INDEX(Parties!$E$5:$E$304,V2596)&lt;&gt;HomeState),ROUND(L2596*M2596,2),0)),"")</f>
        <v/>
      </c>
      <c r="Q2596" s="61" t="str">
        <f aca="false">IF(IsPro,IF($D2596="","",L2596+N2596+O2596+P2596),"")</f>
        <v/>
      </c>
      <c r="R2596" s="61" t="str">
        <f aca="false">IF(IsPro,IF($D2596="","",ROUND(N($E2596)*IFERROR(INDEX(Items!$P$5:$P$504,U2596),0),2)),"")</f>
        <v/>
      </c>
      <c r="S2596" s="61" t="str">
        <f aca="false">IF(IsPro,IF($D2596="","",L2596-R2596),"")</f>
        <v/>
      </c>
      <c r="T2596" s="60" t="str">
        <f aca="false">IF(IsPro,IF($D2596="","",IF(U2596="","UNKNOWN ITEM",IF(INDEX(Items!$O$5:$O$504,U2596)&lt;0,"NEG STOCK",IF(K2596&lt;INDEX(Items!$P$5:$P$504,U2596),"BELOW COST","OK")))),IF($D2596="","","PRO PLAN"))</f>
        <v/>
      </c>
      <c r="U2596" s="60" t="str">
        <f aca="false">IF(IsPro,IF($D2596="","",IFERROR(MATCH($D2596,Items!$A$5:$A$504,0),"")),"")</f>
        <v/>
      </c>
      <c r="V2596" s="60" t="str">
        <f aca="false">IF(IsPro,IF($C2596="","",IFERROR(MATCH($C2596,Parties!$A$5:$A$304,0),"")),"")</f>
        <v/>
      </c>
      <c r="W2596" s="60" t="str">
        <f aca="false">IF(IsPro,IF($B2596="","",IFERROR(VALUE(SUBSTITUTE($B2596,InvPrefix,"")),0)),"")</f>
        <v/>
      </c>
      <c r="X2596" s="61" t="str">
        <f aca="false">IF(IsPro,IF($D2596="","",IF(OR($H2596="",$H2596="Credit"),0,Q2596)),"")</f>
        <v/>
      </c>
    </row>
    <row r="2597" customFormat="false" ht="15" hidden="false" customHeight="false" outlineLevel="0" collapsed="false">
      <c r="A2597" s="55"/>
      <c r="B2597" s="56"/>
      <c r="C2597" s="56"/>
      <c r="D2597" s="56"/>
      <c r="E2597" s="57"/>
      <c r="F2597" s="58"/>
      <c r="G2597" s="59"/>
      <c r="H2597" s="56"/>
      <c r="I2597" s="56"/>
      <c r="J2597" s="60" t="str">
        <f aca="false">IF(IsPro,IF($D2597="","",IFERROR(INDEX(Items!$D$5:$D$504,U2597),"")),"")</f>
        <v/>
      </c>
      <c r="K2597" s="61" t="str">
        <f aca="false">IF(IsPro,IF($D2597="","",IF($F2597="",IFERROR(INDEX(Items!$H$5:$H$504,U2597),0),$F2597)),"")</f>
        <v/>
      </c>
      <c r="L2597" s="61" t="str">
        <f aca="false">IF(IsPro,IF($D2597="","",ROUND(N($E2597)*K2597*(1-N($G2597)),2)),"")</f>
        <v/>
      </c>
      <c r="M2597" s="62" t="str">
        <f aca="false">IF(IsPro,IF($D2597="","",IFERROR(INDEX(Items!$F$5:$F$504,U2597),0)),"")</f>
        <v/>
      </c>
      <c r="N2597" s="61" t="str">
        <f aca="false">IF(IsPro,IF($D2597="","",IF(AND(V2597&lt;&gt;"",INDEX(Parties!$E$5:$E$304,V2597)&lt;&gt;"",INDEX(Parties!$E$5:$E$304,V2597)&lt;&gt;HomeState),0,ROUND(L2597*M2597/2,2))),"")</f>
        <v/>
      </c>
      <c r="O2597" s="61" t="str">
        <f aca="false">IF(IsPro,IF($D2597="","",N2597),"")</f>
        <v/>
      </c>
      <c r="P2597" s="61" t="str">
        <f aca="false">IF(IsPro,IF($D2597="","",IF(AND(V2597&lt;&gt;"",INDEX(Parties!$E$5:$E$304,V2597)&lt;&gt;"",INDEX(Parties!$E$5:$E$304,V2597)&lt;&gt;HomeState),ROUND(L2597*M2597,2),0)),"")</f>
        <v/>
      </c>
      <c r="Q2597" s="61" t="str">
        <f aca="false">IF(IsPro,IF($D2597="","",L2597+N2597+O2597+P2597),"")</f>
        <v/>
      </c>
      <c r="R2597" s="61" t="str">
        <f aca="false">IF(IsPro,IF($D2597="","",ROUND(N($E2597)*IFERROR(INDEX(Items!$P$5:$P$504,U2597),0),2)),"")</f>
        <v/>
      </c>
      <c r="S2597" s="61" t="str">
        <f aca="false">IF(IsPro,IF($D2597="","",L2597-R2597),"")</f>
        <v/>
      </c>
      <c r="T2597" s="60" t="str">
        <f aca="false">IF(IsPro,IF($D2597="","",IF(U2597="","UNKNOWN ITEM",IF(INDEX(Items!$O$5:$O$504,U2597)&lt;0,"NEG STOCK",IF(K2597&lt;INDEX(Items!$P$5:$P$504,U2597),"BELOW COST","OK")))),IF($D2597="","","PRO PLAN"))</f>
        <v/>
      </c>
      <c r="U2597" s="60" t="str">
        <f aca="false">IF(IsPro,IF($D2597="","",IFERROR(MATCH($D2597,Items!$A$5:$A$504,0),"")),"")</f>
        <v/>
      </c>
      <c r="V2597" s="60" t="str">
        <f aca="false">IF(IsPro,IF($C2597="","",IFERROR(MATCH($C2597,Parties!$A$5:$A$304,0),"")),"")</f>
        <v/>
      </c>
      <c r="W2597" s="60" t="str">
        <f aca="false">IF(IsPro,IF($B2597="","",IFERROR(VALUE(SUBSTITUTE($B2597,InvPrefix,"")),0)),"")</f>
        <v/>
      </c>
      <c r="X2597" s="61" t="str">
        <f aca="false">IF(IsPro,IF($D2597="","",IF(OR($H2597="",$H2597="Credit"),0,Q2597)),"")</f>
        <v/>
      </c>
    </row>
    <row r="2598" customFormat="false" ht="15" hidden="false" customHeight="false" outlineLevel="0" collapsed="false">
      <c r="A2598" s="55"/>
      <c r="B2598" s="56"/>
      <c r="C2598" s="56"/>
      <c r="D2598" s="56"/>
      <c r="E2598" s="57"/>
      <c r="F2598" s="58"/>
      <c r="G2598" s="59"/>
      <c r="H2598" s="56"/>
      <c r="I2598" s="56"/>
      <c r="J2598" s="60" t="str">
        <f aca="false">IF(IsPro,IF($D2598="","",IFERROR(INDEX(Items!$D$5:$D$504,U2598),"")),"")</f>
        <v/>
      </c>
      <c r="K2598" s="61" t="str">
        <f aca="false">IF(IsPro,IF($D2598="","",IF($F2598="",IFERROR(INDEX(Items!$H$5:$H$504,U2598),0),$F2598)),"")</f>
        <v/>
      </c>
      <c r="L2598" s="61" t="str">
        <f aca="false">IF(IsPro,IF($D2598="","",ROUND(N($E2598)*K2598*(1-N($G2598)),2)),"")</f>
        <v/>
      </c>
      <c r="M2598" s="62" t="str">
        <f aca="false">IF(IsPro,IF($D2598="","",IFERROR(INDEX(Items!$F$5:$F$504,U2598),0)),"")</f>
        <v/>
      </c>
      <c r="N2598" s="61" t="str">
        <f aca="false">IF(IsPro,IF($D2598="","",IF(AND(V2598&lt;&gt;"",INDEX(Parties!$E$5:$E$304,V2598)&lt;&gt;"",INDEX(Parties!$E$5:$E$304,V2598)&lt;&gt;HomeState),0,ROUND(L2598*M2598/2,2))),"")</f>
        <v/>
      </c>
      <c r="O2598" s="61" t="str">
        <f aca="false">IF(IsPro,IF($D2598="","",N2598),"")</f>
        <v/>
      </c>
      <c r="P2598" s="61" t="str">
        <f aca="false">IF(IsPro,IF($D2598="","",IF(AND(V2598&lt;&gt;"",INDEX(Parties!$E$5:$E$304,V2598)&lt;&gt;"",INDEX(Parties!$E$5:$E$304,V2598)&lt;&gt;HomeState),ROUND(L2598*M2598,2),0)),"")</f>
        <v/>
      </c>
      <c r="Q2598" s="61" t="str">
        <f aca="false">IF(IsPro,IF($D2598="","",L2598+N2598+O2598+P2598),"")</f>
        <v/>
      </c>
      <c r="R2598" s="61" t="str">
        <f aca="false">IF(IsPro,IF($D2598="","",ROUND(N($E2598)*IFERROR(INDEX(Items!$P$5:$P$504,U2598),0),2)),"")</f>
        <v/>
      </c>
      <c r="S2598" s="61" t="str">
        <f aca="false">IF(IsPro,IF($D2598="","",L2598-R2598),"")</f>
        <v/>
      </c>
      <c r="T2598" s="60" t="str">
        <f aca="false">IF(IsPro,IF($D2598="","",IF(U2598="","UNKNOWN ITEM",IF(INDEX(Items!$O$5:$O$504,U2598)&lt;0,"NEG STOCK",IF(K2598&lt;INDEX(Items!$P$5:$P$504,U2598),"BELOW COST","OK")))),IF($D2598="","","PRO PLAN"))</f>
        <v/>
      </c>
      <c r="U2598" s="60" t="str">
        <f aca="false">IF(IsPro,IF($D2598="","",IFERROR(MATCH($D2598,Items!$A$5:$A$504,0),"")),"")</f>
        <v/>
      </c>
      <c r="V2598" s="60" t="str">
        <f aca="false">IF(IsPro,IF($C2598="","",IFERROR(MATCH($C2598,Parties!$A$5:$A$304,0),"")),"")</f>
        <v/>
      </c>
      <c r="W2598" s="60" t="str">
        <f aca="false">IF(IsPro,IF($B2598="","",IFERROR(VALUE(SUBSTITUTE($B2598,InvPrefix,"")),0)),"")</f>
        <v/>
      </c>
      <c r="X2598" s="61" t="str">
        <f aca="false">IF(IsPro,IF($D2598="","",IF(OR($H2598="",$H2598="Credit"),0,Q2598)),"")</f>
        <v/>
      </c>
    </row>
    <row r="2599" customFormat="false" ht="15" hidden="false" customHeight="false" outlineLevel="0" collapsed="false">
      <c r="A2599" s="55"/>
      <c r="B2599" s="56"/>
      <c r="C2599" s="56"/>
      <c r="D2599" s="56"/>
      <c r="E2599" s="57"/>
      <c r="F2599" s="58"/>
      <c r="G2599" s="59"/>
      <c r="H2599" s="56"/>
      <c r="I2599" s="56"/>
      <c r="J2599" s="60" t="str">
        <f aca="false">IF(IsPro,IF($D2599="","",IFERROR(INDEX(Items!$D$5:$D$504,U2599),"")),"")</f>
        <v/>
      </c>
      <c r="K2599" s="61" t="str">
        <f aca="false">IF(IsPro,IF($D2599="","",IF($F2599="",IFERROR(INDEX(Items!$H$5:$H$504,U2599),0),$F2599)),"")</f>
        <v/>
      </c>
      <c r="L2599" s="61" t="str">
        <f aca="false">IF(IsPro,IF($D2599="","",ROUND(N($E2599)*K2599*(1-N($G2599)),2)),"")</f>
        <v/>
      </c>
      <c r="M2599" s="62" t="str">
        <f aca="false">IF(IsPro,IF($D2599="","",IFERROR(INDEX(Items!$F$5:$F$504,U2599),0)),"")</f>
        <v/>
      </c>
      <c r="N2599" s="61" t="str">
        <f aca="false">IF(IsPro,IF($D2599="","",IF(AND(V2599&lt;&gt;"",INDEX(Parties!$E$5:$E$304,V2599)&lt;&gt;"",INDEX(Parties!$E$5:$E$304,V2599)&lt;&gt;HomeState),0,ROUND(L2599*M2599/2,2))),"")</f>
        <v/>
      </c>
      <c r="O2599" s="61" t="str">
        <f aca="false">IF(IsPro,IF($D2599="","",N2599),"")</f>
        <v/>
      </c>
      <c r="P2599" s="61" t="str">
        <f aca="false">IF(IsPro,IF($D2599="","",IF(AND(V2599&lt;&gt;"",INDEX(Parties!$E$5:$E$304,V2599)&lt;&gt;"",INDEX(Parties!$E$5:$E$304,V2599)&lt;&gt;HomeState),ROUND(L2599*M2599,2),0)),"")</f>
        <v/>
      </c>
      <c r="Q2599" s="61" t="str">
        <f aca="false">IF(IsPro,IF($D2599="","",L2599+N2599+O2599+P2599),"")</f>
        <v/>
      </c>
      <c r="R2599" s="61" t="str">
        <f aca="false">IF(IsPro,IF($D2599="","",ROUND(N($E2599)*IFERROR(INDEX(Items!$P$5:$P$504,U2599),0),2)),"")</f>
        <v/>
      </c>
      <c r="S2599" s="61" t="str">
        <f aca="false">IF(IsPro,IF($D2599="","",L2599-R2599),"")</f>
        <v/>
      </c>
      <c r="T2599" s="60" t="str">
        <f aca="false">IF(IsPro,IF($D2599="","",IF(U2599="","UNKNOWN ITEM",IF(INDEX(Items!$O$5:$O$504,U2599)&lt;0,"NEG STOCK",IF(K2599&lt;INDEX(Items!$P$5:$P$504,U2599),"BELOW COST","OK")))),IF($D2599="","","PRO PLAN"))</f>
        <v/>
      </c>
      <c r="U2599" s="60" t="str">
        <f aca="false">IF(IsPro,IF($D2599="","",IFERROR(MATCH($D2599,Items!$A$5:$A$504,0),"")),"")</f>
        <v/>
      </c>
      <c r="V2599" s="60" t="str">
        <f aca="false">IF(IsPro,IF($C2599="","",IFERROR(MATCH($C2599,Parties!$A$5:$A$304,0),"")),"")</f>
        <v/>
      </c>
      <c r="W2599" s="60" t="str">
        <f aca="false">IF(IsPro,IF($B2599="","",IFERROR(VALUE(SUBSTITUTE($B2599,InvPrefix,"")),0)),"")</f>
        <v/>
      </c>
      <c r="X2599" s="61" t="str">
        <f aca="false">IF(IsPro,IF($D2599="","",IF(OR($H2599="",$H2599="Credit"),0,Q2599)),"")</f>
        <v/>
      </c>
    </row>
    <row r="2600" customFormat="false" ht="15" hidden="false" customHeight="false" outlineLevel="0" collapsed="false">
      <c r="A2600" s="55"/>
      <c r="B2600" s="56"/>
      <c r="C2600" s="56"/>
      <c r="D2600" s="56"/>
      <c r="E2600" s="57"/>
      <c r="F2600" s="58"/>
      <c r="G2600" s="59"/>
      <c r="H2600" s="56"/>
      <c r="I2600" s="56"/>
      <c r="J2600" s="60" t="str">
        <f aca="false">IF(IsPro,IF($D2600="","",IFERROR(INDEX(Items!$D$5:$D$504,U2600),"")),"")</f>
        <v/>
      </c>
      <c r="K2600" s="61" t="str">
        <f aca="false">IF(IsPro,IF($D2600="","",IF($F2600="",IFERROR(INDEX(Items!$H$5:$H$504,U2600),0),$F2600)),"")</f>
        <v/>
      </c>
      <c r="L2600" s="61" t="str">
        <f aca="false">IF(IsPro,IF($D2600="","",ROUND(N($E2600)*K2600*(1-N($G2600)),2)),"")</f>
        <v/>
      </c>
      <c r="M2600" s="62" t="str">
        <f aca="false">IF(IsPro,IF($D2600="","",IFERROR(INDEX(Items!$F$5:$F$504,U2600),0)),"")</f>
        <v/>
      </c>
      <c r="N2600" s="61" t="str">
        <f aca="false">IF(IsPro,IF($D2600="","",IF(AND(V2600&lt;&gt;"",INDEX(Parties!$E$5:$E$304,V2600)&lt;&gt;"",INDEX(Parties!$E$5:$E$304,V2600)&lt;&gt;HomeState),0,ROUND(L2600*M2600/2,2))),"")</f>
        <v/>
      </c>
      <c r="O2600" s="61" t="str">
        <f aca="false">IF(IsPro,IF($D2600="","",N2600),"")</f>
        <v/>
      </c>
      <c r="P2600" s="61" t="str">
        <f aca="false">IF(IsPro,IF($D2600="","",IF(AND(V2600&lt;&gt;"",INDEX(Parties!$E$5:$E$304,V2600)&lt;&gt;"",INDEX(Parties!$E$5:$E$304,V2600)&lt;&gt;HomeState),ROUND(L2600*M2600,2),0)),"")</f>
        <v/>
      </c>
      <c r="Q2600" s="61" t="str">
        <f aca="false">IF(IsPro,IF($D2600="","",L2600+N2600+O2600+P2600),"")</f>
        <v/>
      </c>
      <c r="R2600" s="61" t="str">
        <f aca="false">IF(IsPro,IF($D2600="","",ROUND(N($E2600)*IFERROR(INDEX(Items!$P$5:$P$504,U2600),0),2)),"")</f>
        <v/>
      </c>
      <c r="S2600" s="61" t="str">
        <f aca="false">IF(IsPro,IF($D2600="","",L2600-R2600),"")</f>
        <v/>
      </c>
      <c r="T2600" s="60" t="str">
        <f aca="false">IF(IsPro,IF($D2600="","",IF(U2600="","UNKNOWN ITEM",IF(INDEX(Items!$O$5:$O$504,U2600)&lt;0,"NEG STOCK",IF(K2600&lt;INDEX(Items!$P$5:$P$504,U2600),"BELOW COST","OK")))),IF($D2600="","","PRO PLAN"))</f>
        <v/>
      </c>
      <c r="U2600" s="60" t="str">
        <f aca="false">IF(IsPro,IF($D2600="","",IFERROR(MATCH($D2600,Items!$A$5:$A$504,0),"")),"")</f>
        <v/>
      </c>
      <c r="V2600" s="60" t="str">
        <f aca="false">IF(IsPro,IF($C2600="","",IFERROR(MATCH($C2600,Parties!$A$5:$A$304,0),"")),"")</f>
        <v/>
      </c>
      <c r="W2600" s="60" t="str">
        <f aca="false">IF(IsPro,IF($B2600="","",IFERROR(VALUE(SUBSTITUTE($B2600,InvPrefix,"")),0)),"")</f>
        <v/>
      </c>
      <c r="X2600" s="61" t="str">
        <f aca="false">IF(IsPro,IF($D2600="","",IF(OR($H2600="",$H2600="Credit"),0,Q2600)),"")</f>
        <v/>
      </c>
    </row>
    <row r="2601" customFormat="false" ht="15" hidden="false" customHeight="false" outlineLevel="0" collapsed="false">
      <c r="A2601" s="55"/>
      <c r="B2601" s="56"/>
      <c r="C2601" s="56"/>
      <c r="D2601" s="56"/>
      <c r="E2601" s="57"/>
      <c r="F2601" s="58"/>
      <c r="G2601" s="59"/>
      <c r="H2601" s="56"/>
      <c r="I2601" s="56"/>
      <c r="J2601" s="60" t="str">
        <f aca="false">IF(IsPro,IF($D2601="","",IFERROR(INDEX(Items!$D$5:$D$504,U2601),"")),"")</f>
        <v/>
      </c>
      <c r="K2601" s="61" t="str">
        <f aca="false">IF(IsPro,IF($D2601="","",IF($F2601="",IFERROR(INDEX(Items!$H$5:$H$504,U2601),0),$F2601)),"")</f>
        <v/>
      </c>
      <c r="L2601" s="61" t="str">
        <f aca="false">IF(IsPro,IF($D2601="","",ROUND(N($E2601)*K2601*(1-N($G2601)),2)),"")</f>
        <v/>
      </c>
      <c r="M2601" s="62" t="str">
        <f aca="false">IF(IsPro,IF($D2601="","",IFERROR(INDEX(Items!$F$5:$F$504,U2601),0)),"")</f>
        <v/>
      </c>
      <c r="N2601" s="61" t="str">
        <f aca="false">IF(IsPro,IF($D2601="","",IF(AND(V2601&lt;&gt;"",INDEX(Parties!$E$5:$E$304,V2601)&lt;&gt;"",INDEX(Parties!$E$5:$E$304,V2601)&lt;&gt;HomeState),0,ROUND(L2601*M2601/2,2))),"")</f>
        <v/>
      </c>
      <c r="O2601" s="61" t="str">
        <f aca="false">IF(IsPro,IF($D2601="","",N2601),"")</f>
        <v/>
      </c>
      <c r="P2601" s="61" t="str">
        <f aca="false">IF(IsPro,IF($D2601="","",IF(AND(V2601&lt;&gt;"",INDEX(Parties!$E$5:$E$304,V2601)&lt;&gt;"",INDEX(Parties!$E$5:$E$304,V2601)&lt;&gt;HomeState),ROUND(L2601*M2601,2),0)),"")</f>
        <v/>
      </c>
      <c r="Q2601" s="61" t="str">
        <f aca="false">IF(IsPro,IF($D2601="","",L2601+N2601+O2601+P2601),"")</f>
        <v/>
      </c>
      <c r="R2601" s="61" t="str">
        <f aca="false">IF(IsPro,IF($D2601="","",ROUND(N($E2601)*IFERROR(INDEX(Items!$P$5:$P$504,U2601),0),2)),"")</f>
        <v/>
      </c>
      <c r="S2601" s="61" t="str">
        <f aca="false">IF(IsPro,IF($D2601="","",L2601-R2601),"")</f>
        <v/>
      </c>
      <c r="T2601" s="60" t="str">
        <f aca="false">IF(IsPro,IF($D2601="","",IF(U2601="","UNKNOWN ITEM",IF(INDEX(Items!$O$5:$O$504,U2601)&lt;0,"NEG STOCK",IF(K2601&lt;INDEX(Items!$P$5:$P$504,U2601),"BELOW COST","OK")))),IF($D2601="","","PRO PLAN"))</f>
        <v/>
      </c>
      <c r="U2601" s="60" t="str">
        <f aca="false">IF(IsPro,IF($D2601="","",IFERROR(MATCH($D2601,Items!$A$5:$A$504,0),"")),"")</f>
        <v/>
      </c>
      <c r="V2601" s="60" t="str">
        <f aca="false">IF(IsPro,IF($C2601="","",IFERROR(MATCH($C2601,Parties!$A$5:$A$304,0),"")),"")</f>
        <v/>
      </c>
      <c r="W2601" s="60" t="str">
        <f aca="false">IF(IsPro,IF($B2601="","",IFERROR(VALUE(SUBSTITUTE($B2601,InvPrefix,"")),0)),"")</f>
        <v/>
      </c>
      <c r="X2601" s="61" t="str">
        <f aca="false">IF(IsPro,IF($D2601="","",IF(OR($H2601="",$H2601="Credit"),0,Q2601)),"")</f>
        <v/>
      </c>
    </row>
    <row r="2602" customFormat="false" ht="15" hidden="false" customHeight="false" outlineLevel="0" collapsed="false">
      <c r="A2602" s="55"/>
      <c r="B2602" s="56"/>
      <c r="C2602" s="56"/>
      <c r="D2602" s="56"/>
      <c r="E2602" s="57"/>
      <c r="F2602" s="58"/>
      <c r="G2602" s="59"/>
      <c r="H2602" s="56"/>
      <c r="I2602" s="56"/>
      <c r="J2602" s="60" t="str">
        <f aca="false">IF(IsPro,IF($D2602="","",IFERROR(INDEX(Items!$D$5:$D$504,U2602),"")),"")</f>
        <v/>
      </c>
      <c r="K2602" s="61" t="str">
        <f aca="false">IF(IsPro,IF($D2602="","",IF($F2602="",IFERROR(INDEX(Items!$H$5:$H$504,U2602),0),$F2602)),"")</f>
        <v/>
      </c>
      <c r="L2602" s="61" t="str">
        <f aca="false">IF(IsPro,IF($D2602="","",ROUND(N($E2602)*K2602*(1-N($G2602)),2)),"")</f>
        <v/>
      </c>
      <c r="M2602" s="62" t="str">
        <f aca="false">IF(IsPro,IF($D2602="","",IFERROR(INDEX(Items!$F$5:$F$504,U2602),0)),"")</f>
        <v/>
      </c>
      <c r="N2602" s="61" t="str">
        <f aca="false">IF(IsPro,IF($D2602="","",IF(AND(V2602&lt;&gt;"",INDEX(Parties!$E$5:$E$304,V2602)&lt;&gt;"",INDEX(Parties!$E$5:$E$304,V2602)&lt;&gt;HomeState),0,ROUND(L2602*M2602/2,2))),"")</f>
        <v/>
      </c>
      <c r="O2602" s="61" t="str">
        <f aca="false">IF(IsPro,IF($D2602="","",N2602),"")</f>
        <v/>
      </c>
      <c r="P2602" s="61" t="str">
        <f aca="false">IF(IsPro,IF($D2602="","",IF(AND(V2602&lt;&gt;"",INDEX(Parties!$E$5:$E$304,V2602)&lt;&gt;"",INDEX(Parties!$E$5:$E$304,V2602)&lt;&gt;HomeState),ROUND(L2602*M2602,2),0)),"")</f>
        <v/>
      </c>
      <c r="Q2602" s="61" t="str">
        <f aca="false">IF(IsPro,IF($D2602="","",L2602+N2602+O2602+P2602),"")</f>
        <v/>
      </c>
      <c r="R2602" s="61" t="str">
        <f aca="false">IF(IsPro,IF($D2602="","",ROUND(N($E2602)*IFERROR(INDEX(Items!$P$5:$P$504,U2602),0),2)),"")</f>
        <v/>
      </c>
      <c r="S2602" s="61" t="str">
        <f aca="false">IF(IsPro,IF($D2602="","",L2602-R2602),"")</f>
        <v/>
      </c>
      <c r="T2602" s="60" t="str">
        <f aca="false">IF(IsPro,IF($D2602="","",IF(U2602="","UNKNOWN ITEM",IF(INDEX(Items!$O$5:$O$504,U2602)&lt;0,"NEG STOCK",IF(K2602&lt;INDEX(Items!$P$5:$P$504,U2602),"BELOW COST","OK")))),IF($D2602="","","PRO PLAN"))</f>
        <v/>
      </c>
      <c r="U2602" s="60" t="str">
        <f aca="false">IF(IsPro,IF($D2602="","",IFERROR(MATCH($D2602,Items!$A$5:$A$504,0),"")),"")</f>
        <v/>
      </c>
      <c r="V2602" s="60" t="str">
        <f aca="false">IF(IsPro,IF($C2602="","",IFERROR(MATCH($C2602,Parties!$A$5:$A$304,0),"")),"")</f>
        <v/>
      </c>
      <c r="W2602" s="60" t="str">
        <f aca="false">IF(IsPro,IF($B2602="","",IFERROR(VALUE(SUBSTITUTE($B2602,InvPrefix,"")),0)),"")</f>
        <v/>
      </c>
      <c r="X2602" s="61" t="str">
        <f aca="false">IF(IsPro,IF($D2602="","",IF(OR($H2602="",$H2602="Credit"),0,Q2602)),"")</f>
        <v/>
      </c>
    </row>
    <row r="2603" customFormat="false" ht="15" hidden="false" customHeight="false" outlineLevel="0" collapsed="false">
      <c r="A2603" s="55"/>
      <c r="B2603" s="56"/>
      <c r="C2603" s="56"/>
      <c r="D2603" s="56"/>
      <c r="E2603" s="57"/>
      <c r="F2603" s="58"/>
      <c r="G2603" s="59"/>
      <c r="H2603" s="56"/>
      <c r="I2603" s="56"/>
      <c r="J2603" s="60" t="str">
        <f aca="false">IF(IsPro,IF($D2603="","",IFERROR(INDEX(Items!$D$5:$D$504,U2603),"")),"")</f>
        <v/>
      </c>
      <c r="K2603" s="61" t="str">
        <f aca="false">IF(IsPro,IF($D2603="","",IF($F2603="",IFERROR(INDEX(Items!$H$5:$H$504,U2603),0),$F2603)),"")</f>
        <v/>
      </c>
      <c r="L2603" s="61" t="str">
        <f aca="false">IF(IsPro,IF($D2603="","",ROUND(N($E2603)*K2603*(1-N($G2603)),2)),"")</f>
        <v/>
      </c>
      <c r="M2603" s="62" t="str">
        <f aca="false">IF(IsPro,IF($D2603="","",IFERROR(INDEX(Items!$F$5:$F$504,U2603),0)),"")</f>
        <v/>
      </c>
      <c r="N2603" s="61" t="str">
        <f aca="false">IF(IsPro,IF($D2603="","",IF(AND(V2603&lt;&gt;"",INDEX(Parties!$E$5:$E$304,V2603)&lt;&gt;"",INDEX(Parties!$E$5:$E$304,V2603)&lt;&gt;HomeState),0,ROUND(L2603*M2603/2,2))),"")</f>
        <v/>
      </c>
      <c r="O2603" s="61" t="str">
        <f aca="false">IF(IsPro,IF($D2603="","",N2603),"")</f>
        <v/>
      </c>
      <c r="P2603" s="61" t="str">
        <f aca="false">IF(IsPro,IF($D2603="","",IF(AND(V2603&lt;&gt;"",INDEX(Parties!$E$5:$E$304,V2603)&lt;&gt;"",INDEX(Parties!$E$5:$E$304,V2603)&lt;&gt;HomeState),ROUND(L2603*M2603,2),0)),"")</f>
        <v/>
      </c>
      <c r="Q2603" s="61" t="str">
        <f aca="false">IF(IsPro,IF($D2603="","",L2603+N2603+O2603+P2603),"")</f>
        <v/>
      </c>
      <c r="R2603" s="61" t="str">
        <f aca="false">IF(IsPro,IF($D2603="","",ROUND(N($E2603)*IFERROR(INDEX(Items!$P$5:$P$504,U2603),0),2)),"")</f>
        <v/>
      </c>
      <c r="S2603" s="61" t="str">
        <f aca="false">IF(IsPro,IF($D2603="","",L2603-R2603),"")</f>
        <v/>
      </c>
      <c r="T2603" s="60" t="str">
        <f aca="false">IF(IsPro,IF($D2603="","",IF(U2603="","UNKNOWN ITEM",IF(INDEX(Items!$O$5:$O$504,U2603)&lt;0,"NEG STOCK",IF(K2603&lt;INDEX(Items!$P$5:$P$504,U2603),"BELOW COST","OK")))),IF($D2603="","","PRO PLAN"))</f>
        <v/>
      </c>
      <c r="U2603" s="60" t="str">
        <f aca="false">IF(IsPro,IF($D2603="","",IFERROR(MATCH($D2603,Items!$A$5:$A$504,0),"")),"")</f>
        <v/>
      </c>
      <c r="V2603" s="60" t="str">
        <f aca="false">IF(IsPro,IF($C2603="","",IFERROR(MATCH($C2603,Parties!$A$5:$A$304,0),"")),"")</f>
        <v/>
      </c>
      <c r="W2603" s="60" t="str">
        <f aca="false">IF(IsPro,IF($B2603="","",IFERROR(VALUE(SUBSTITUTE($B2603,InvPrefix,"")),0)),"")</f>
        <v/>
      </c>
      <c r="X2603" s="61" t="str">
        <f aca="false">IF(IsPro,IF($D2603="","",IF(OR($H2603="",$H2603="Credit"),0,Q2603)),"")</f>
        <v/>
      </c>
    </row>
    <row r="2604" customFormat="false" ht="15" hidden="false" customHeight="false" outlineLevel="0" collapsed="false">
      <c r="A2604" s="55"/>
      <c r="B2604" s="56"/>
      <c r="C2604" s="56"/>
      <c r="D2604" s="56"/>
      <c r="E2604" s="57"/>
      <c r="F2604" s="58"/>
      <c r="G2604" s="59"/>
      <c r="H2604" s="56"/>
      <c r="I2604" s="56"/>
      <c r="J2604" s="60" t="str">
        <f aca="false">IF(IsPro,IF($D2604="","",IFERROR(INDEX(Items!$D$5:$D$504,U2604),"")),"")</f>
        <v/>
      </c>
      <c r="K2604" s="61" t="str">
        <f aca="false">IF(IsPro,IF($D2604="","",IF($F2604="",IFERROR(INDEX(Items!$H$5:$H$504,U2604),0),$F2604)),"")</f>
        <v/>
      </c>
      <c r="L2604" s="61" t="str">
        <f aca="false">IF(IsPro,IF($D2604="","",ROUND(N($E2604)*K2604*(1-N($G2604)),2)),"")</f>
        <v/>
      </c>
      <c r="M2604" s="62" t="str">
        <f aca="false">IF(IsPro,IF($D2604="","",IFERROR(INDEX(Items!$F$5:$F$504,U2604),0)),"")</f>
        <v/>
      </c>
      <c r="N2604" s="61" t="str">
        <f aca="false">IF(IsPro,IF($D2604="","",IF(AND(V2604&lt;&gt;"",INDEX(Parties!$E$5:$E$304,V2604)&lt;&gt;"",INDEX(Parties!$E$5:$E$304,V2604)&lt;&gt;HomeState),0,ROUND(L2604*M2604/2,2))),"")</f>
        <v/>
      </c>
      <c r="O2604" s="61" t="str">
        <f aca="false">IF(IsPro,IF($D2604="","",N2604),"")</f>
        <v/>
      </c>
      <c r="P2604" s="61" t="str">
        <f aca="false">IF(IsPro,IF($D2604="","",IF(AND(V2604&lt;&gt;"",INDEX(Parties!$E$5:$E$304,V2604)&lt;&gt;"",INDEX(Parties!$E$5:$E$304,V2604)&lt;&gt;HomeState),ROUND(L2604*M2604,2),0)),"")</f>
        <v/>
      </c>
      <c r="Q2604" s="61" t="str">
        <f aca="false">IF(IsPro,IF($D2604="","",L2604+N2604+O2604+P2604),"")</f>
        <v/>
      </c>
      <c r="R2604" s="61" t="str">
        <f aca="false">IF(IsPro,IF($D2604="","",ROUND(N($E2604)*IFERROR(INDEX(Items!$P$5:$P$504,U2604),0),2)),"")</f>
        <v/>
      </c>
      <c r="S2604" s="61" t="str">
        <f aca="false">IF(IsPro,IF($D2604="","",L2604-R2604),"")</f>
        <v/>
      </c>
      <c r="T2604" s="60" t="str">
        <f aca="false">IF(IsPro,IF($D2604="","",IF(U2604="","UNKNOWN ITEM",IF(INDEX(Items!$O$5:$O$504,U2604)&lt;0,"NEG STOCK",IF(K2604&lt;INDEX(Items!$P$5:$P$504,U2604),"BELOW COST","OK")))),IF($D2604="","","PRO PLAN"))</f>
        <v/>
      </c>
      <c r="U2604" s="60" t="str">
        <f aca="false">IF(IsPro,IF($D2604="","",IFERROR(MATCH($D2604,Items!$A$5:$A$504,0),"")),"")</f>
        <v/>
      </c>
      <c r="V2604" s="60" t="str">
        <f aca="false">IF(IsPro,IF($C2604="","",IFERROR(MATCH($C2604,Parties!$A$5:$A$304,0),"")),"")</f>
        <v/>
      </c>
      <c r="W2604" s="60" t="str">
        <f aca="false">IF(IsPro,IF($B2604="","",IFERROR(VALUE(SUBSTITUTE($B2604,InvPrefix,"")),0)),"")</f>
        <v/>
      </c>
      <c r="X2604" s="61" t="str">
        <f aca="false">IF(IsPro,IF($D2604="","",IF(OR($H2604="",$H2604="Credit"),0,Q2604)),"")</f>
        <v/>
      </c>
    </row>
    <row r="2605" customFormat="false" ht="15" hidden="false" customHeight="false" outlineLevel="0" collapsed="false">
      <c r="A2605" s="55"/>
      <c r="B2605" s="56"/>
      <c r="C2605" s="56"/>
      <c r="D2605" s="56"/>
      <c r="E2605" s="57"/>
      <c r="F2605" s="58"/>
      <c r="G2605" s="59"/>
      <c r="H2605" s="56"/>
      <c r="I2605" s="56"/>
      <c r="J2605" s="60" t="str">
        <f aca="false">IF(IsPro,IF($D2605="","",IFERROR(INDEX(Items!$D$5:$D$504,U2605),"")),"")</f>
        <v/>
      </c>
      <c r="K2605" s="61" t="str">
        <f aca="false">IF(IsPro,IF($D2605="","",IF($F2605="",IFERROR(INDEX(Items!$H$5:$H$504,U2605),0),$F2605)),"")</f>
        <v/>
      </c>
      <c r="L2605" s="61" t="str">
        <f aca="false">IF(IsPro,IF($D2605="","",ROUND(N($E2605)*K2605*(1-N($G2605)),2)),"")</f>
        <v/>
      </c>
      <c r="M2605" s="62" t="str">
        <f aca="false">IF(IsPro,IF($D2605="","",IFERROR(INDEX(Items!$F$5:$F$504,U2605),0)),"")</f>
        <v/>
      </c>
      <c r="N2605" s="61" t="str">
        <f aca="false">IF(IsPro,IF($D2605="","",IF(AND(V2605&lt;&gt;"",INDEX(Parties!$E$5:$E$304,V2605)&lt;&gt;"",INDEX(Parties!$E$5:$E$304,V2605)&lt;&gt;HomeState),0,ROUND(L2605*M2605/2,2))),"")</f>
        <v/>
      </c>
      <c r="O2605" s="61" t="str">
        <f aca="false">IF(IsPro,IF($D2605="","",N2605),"")</f>
        <v/>
      </c>
      <c r="P2605" s="61" t="str">
        <f aca="false">IF(IsPro,IF($D2605="","",IF(AND(V2605&lt;&gt;"",INDEX(Parties!$E$5:$E$304,V2605)&lt;&gt;"",INDEX(Parties!$E$5:$E$304,V2605)&lt;&gt;HomeState),ROUND(L2605*M2605,2),0)),"")</f>
        <v/>
      </c>
      <c r="Q2605" s="61" t="str">
        <f aca="false">IF(IsPro,IF($D2605="","",L2605+N2605+O2605+P2605),"")</f>
        <v/>
      </c>
      <c r="R2605" s="61" t="str">
        <f aca="false">IF(IsPro,IF($D2605="","",ROUND(N($E2605)*IFERROR(INDEX(Items!$P$5:$P$504,U2605),0),2)),"")</f>
        <v/>
      </c>
      <c r="S2605" s="61" t="str">
        <f aca="false">IF(IsPro,IF($D2605="","",L2605-R2605),"")</f>
        <v/>
      </c>
      <c r="T2605" s="60" t="str">
        <f aca="false">IF(IsPro,IF($D2605="","",IF(U2605="","UNKNOWN ITEM",IF(INDEX(Items!$O$5:$O$504,U2605)&lt;0,"NEG STOCK",IF(K2605&lt;INDEX(Items!$P$5:$P$504,U2605),"BELOW COST","OK")))),IF($D2605="","","PRO PLAN"))</f>
        <v/>
      </c>
      <c r="U2605" s="60" t="str">
        <f aca="false">IF(IsPro,IF($D2605="","",IFERROR(MATCH($D2605,Items!$A$5:$A$504,0),"")),"")</f>
        <v/>
      </c>
      <c r="V2605" s="60" t="str">
        <f aca="false">IF(IsPro,IF($C2605="","",IFERROR(MATCH($C2605,Parties!$A$5:$A$304,0),"")),"")</f>
        <v/>
      </c>
      <c r="W2605" s="60" t="str">
        <f aca="false">IF(IsPro,IF($B2605="","",IFERROR(VALUE(SUBSTITUTE($B2605,InvPrefix,"")),0)),"")</f>
        <v/>
      </c>
      <c r="X2605" s="61" t="str">
        <f aca="false">IF(IsPro,IF($D2605="","",IF(OR($H2605="",$H2605="Credit"),0,Q2605)),"")</f>
        <v/>
      </c>
    </row>
    <row r="2606" customFormat="false" ht="15" hidden="false" customHeight="false" outlineLevel="0" collapsed="false">
      <c r="A2606" s="55"/>
      <c r="B2606" s="56"/>
      <c r="C2606" s="56"/>
      <c r="D2606" s="56"/>
      <c r="E2606" s="57"/>
      <c r="F2606" s="58"/>
      <c r="G2606" s="59"/>
      <c r="H2606" s="56"/>
      <c r="I2606" s="56"/>
      <c r="J2606" s="60" t="str">
        <f aca="false">IF(IsPro,IF($D2606="","",IFERROR(INDEX(Items!$D$5:$D$504,U2606),"")),"")</f>
        <v/>
      </c>
      <c r="K2606" s="61" t="str">
        <f aca="false">IF(IsPro,IF($D2606="","",IF($F2606="",IFERROR(INDEX(Items!$H$5:$H$504,U2606),0),$F2606)),"")</f>
        <v/>
      </c>
      <c r="L2606" s="61" t="str">
        <f aca="false">IF(IsPro,IF($D2606="","",ROUND(N($E2606)*K2606*(1-N($G2606)),2)),"")</f>
        <v/>
      </c>
      <c r="M2606" s="62" t="str">
        <f aca="false">IF(IsPro,IF($D2606="","",IFERROR(INDEX(Items!$F$5:$F$504,U2606),0)),"")</f>
        <v/>
      </c>
      <c r="N2606" s="61" t="str">
        <f aca="false">IF(IsPro,IF($D2606="","",IF(AND(V2606&lt;&gt;"",INDEX(Parties!$E$5:$E$304,V2606)&lt;&gt;"",INDEX(Parties!$E$5:$E$304,V2606)&lt;&gt;HomeState),0,ROUND(L2606*M2606/2,2))),"")</f>
        <v/>
      </c>
      <c r="O2606" s="61" t="str">
        <f aca="false">IF(IsPro,IF($D2606="","",N2606),"")</f>
        <v/>
      </c>
      <c r="P2606" s="61" t="str">
        <f aca="false">IF(IsPro,IF($D2606="","",IF(AND(V2606&lt;&gt;"",INDEX(Parties!$E$5:$E$304,V2606)&lt;&gt;"",INDEX(Parties!$E$5:$E$304,V2606)&lt;&gt;HomeState),ROUND(L2606*M2606,2),0)),"")</f>
        <v/>
      </c>
      <c r="Q2606" s="61" t="str">
        <f aca="false">IF(IsPro,IF($D2606="","",L2606+N2606+O2606+P2606),"")</f>
        <v/>
      </c>
      <c r="R2606" s="61" t="str">
        <f aca="false">IF(IsPro,IF($D2606="","",ROUND(N($E2606)*IFERROR(INDEX(Items!$P$5:$P$504,U2606),0),2)),"")</f>
        <v/>
      </c>
      <c r="S2606" s="61" t="str">
        <f aca="false">IF(IsPro,IF($D2606="","",L2606-R2606),"")</f>
        <v/>
      </c>
      <c r="T2606" s="60" t="str">
        <f aca="false">IF(IsPro,IF($D2606="","",IF(U2606="","UNKNOWN ITEM",IF(INDEX(Items!$O$5:$O$504,U2606)&lt;0,"NEG STOCK",IF(K2606&lt;INDEX(Items!$P$5:$P$504,U2606),"BELOW COST","OK")))),IF($D2606="","","PRO PLAN"))</f>
        <v/>
      </c>
      <c r="U2606" s="60" t="str">
        <f aca="false">IF(IsPro,IF($D2606="","",IFERROR(MATCH($D2606,Items!$A$5:$A$504,0),"")),"")</f>
        <v/>
      </c>
      <c r="V2606" s="60" t="str">
        <f aca="false">IF(IsPro,IF($C2606="","",IFERROR(MATCH($C2606,Parties!$A$5:$A$304,0),"")),"")</f>
        <v/>
      </c>
      <c r="W2606" s="60" t="str">
        <f aca="false">IF(IsPro,IF($B2606="","",IFERROR(VALUE(SUBSTITUTE($B2606,InvPrefix,"")),0)),"")</f>
        <v/>
      </c>
      <c r="X2606" s="61" t="str">
        <f aca="false">IF(IsPro,IF($D2606="","",IF(OR($H2606="",$H2606="Credit"),0,Q2606)),"")</f>
        <v/>
      </c>
    </row>
    <row r="2607" customFormat="false" ht="15" hidden="false" customHeight="false" outlineLevel="0" collapsed="false">
      <c r="A2607" s="55"/>
      <c r="B2607" s="56"/>
      <c r="C2607" s="56"/>
      <c r="D2607" s="56"/>
      <c r="E2607" s="57"/>
      <c r="F2607" s="58"/>
      <c r="G2607" s="59"/>
      <c r="H2607" s="56"/>
      <c r="I2607" s="56"/>
      <c r="J2607" s="60" t="str">
        <f aca="false">IF(IsPro,IF($D2607="","",IFERROR(INDEX(Items!$D$5:$D$504,U2607),"")),"")</f>
        <v/>
      </c>
      <c r="K2607" s="61" t="str">
        <f aca="false">IF(IsPro,IF($D2607="","",IF($F2607="",IFERROR(INDEX(Items!$H$5:$H$504,U2607),0),$F2607)),"")</f>
        <v/>
      </c>
      <c r="L2607" s="61" t="str">
        <f aca="false">IF(IsPro,IF($D2607="","",ROUND(N($E2607)*K2607*(1-N($G2607)),2)),"")</f>
        <v/>
      </c>
      <c r="M2607" s="62" t="str">
        <f aca="false">IF(IsPro,IF($D2607="","",IFERROR(INDEX(Items!$F$5:$F$504,U2607),0)),"")</f>
        <v/>
      </c>
      <c r="N2607" s="61" t="str">
        <f aca="false">IF(IsPro,IF($D2607="","",IF(AND(V2607&lt;&gt;"",INDEX(Parties!$E$5:$E$304,V2607)&lt;&gt;"",INDEX(Parties!$E$5:$E$304,V2607)&lt;&gt;HomeState),0,ROUND(L2607*M2607/2,2))),"")</f>
        <v/>
      </c>
      <c r="O2607" s="61" t="str">
        <f aca="false">IF(IsPro,IF($D2607="","",N2607),"")</f>
        <v/>
      </c>
      <c r="P2607" s="61" t="str">
        <f aca="false">IF(IsPro,IF($D2607="","",IF(AND(V2607&lt;&gt;"",INDEX(Parties!$E$5:$E$304,V2607)&lt;&gt;"",INDEX(Parties!$E$5:$E$304,V2607)&lt;&gt;HomeState),ROUND(L2607*M2607,2),0)),"")</f>
        <v/>
      </c>
      <c r="Q2607" s="61" t="str">
        <f aca="false">IF(IsPro,IF($D2607="","",L2607+N2607+O2607+P2607),"")</f>
        <v/>
      </c>
      <c r="R2607" s="61" t="str">
        <f aca="false">IF(IsPro,IF($D2607="","",ROUND(N($E2607)*IFERROR(INDEX(Items!$P$5:$P$504,U2607),0),2)),"")</f>
        <v/>
      </c>
      <c r="S2607" s="61" t="str">
        <f aca="false">IF(IsPro,IF($D2607="","",L2607-R2607),"")</f>
        <v/>
      </c>
      <c r="T2607" s="60" t="str">
        <f aca="false">IF(IsPro,IF($D2607="","",IF(U2607="","UNKNOWN ITEM",IF(INDEX(Items!$O$5:$O$504,U2607)&lt;0,"NEG STOCK",IF(K2607&lt;INDEX(Items!$P$5:$P$504,U2607),"BELOW COST","OK")))),IF($D2607="","","PRO PLAN"))</f>
        <v/>
      </c>
      <c r="U2607" s="60" t="str">
        <f aca="false">IF(IsPro,IF($D2607="","",IFERROR(MATCH($D2607,Items!$A$5:$A$504,0),"")),"")</f>
        <v/>
      </c>
      <c r="V2607" s="60" t="str">
        <f aca="false">IF(IsPro,IF($C2607="","",IFERROR(MATCH($C2607,Parties!$A$5:$A$304,0),"")),"")</f>
        <v/>
      </c>
      <c r="W2607" s="60" t="str">
        <f aca="false">IF(IsPro,IF($B2607="","",IFERROR(VALUE(SUBSTITUTE($B2607,InvPrefix,"")),0)),"")</f>
        <v/>
      </c>
      <c r="X2607" s="61" t="str">
        <f aca="false">IF(IsPro,IF($D2607="","",IF(OR($H2607="",$H2607="Credit"),0,Q2607)),"")</f>
        <v/>
      </c>
    </row>
    <row r="2608" customFormat="false" ht="15" hidden="false" customHeight="false" outlineLevel="0" collapsed="false">
      <c r="A2608" s="55"/>
      <c r="B2608" s="56"/>
      <c r="C2608" s="56"/>
      <c r="D2608" s="56"/>
      <c r="E2608" s="57"/>
      <c r="F2608" s="58"/>
      <c r="G2608" s="59"/>
      <c r="H2608" s="56"/>
      <c r="I2608" s="56"/>
      <c r="J2608" s="60" t="str">
        <f aca="false">IF(IsPro,IF($D2608="","",IFERROR(INDEX(Items!$D$5:$D$504,U2608),"")),"")</f>
        <v/>
      </c>
      <c r="K2608" s="61" t="str">
        <f aca="false">IF(IsPro,IF($D2608="","",IF($F2608="",IFERROR(INDEX(Items!$H$5:$H$504,U2608),0),$F2608)),"")</f>
        <v/>
      </c>
      <c r="L2608" s="61" t="str">
        <f aca="false">IF(IsPro,IF($D2608="","",ROUND(N($E2608)*K2608*(1-N($G2608)),2)),"")</f>
        <v/>
      </c>
      <c r="M2608" s="62" t="str">
        <f aca="false">IF(IsPro,IF($D2608="","",IFERROR(INDEX(Items!$F$5:$F$504,U2608),0)),"")</f>
        <v/>
      </c>
      <c r="N2608" s="61" t="str">
        <f aca="false">IF(IsPro,IF($D2608="","",IF(AND(V2608&lt;&gt;"",INDEX(Parties!$E$5:$E$304,V2608)&lt;&gt;"",INDEX(Parties!$E$5:$E$304,V2608)&lt;&gt;HomeState),0,ROUND(L2608*M2608/2,2))),"")</f>
        <v/>
      </c>
      <c r="O2608" s="61" t="str">
        <f aca="false">IF(IsPro,IF($D2608="","",N2608),"")</f>
        <v/>
      </c>
      <c r="P2608" s="61" t="str">
        <f aca="false">IF(IsPro,IF($D2608="","",IF(AND(V2608&lt;&gt;"",INDEX(Parties!$E$5:$E$304,V2608)&lt;&gt;"",INDEX(Parties!$E$5:$E$304,V2608)&lt;&gt;HomeState),ROUND(L2608*M2608,2),0)),"")</f>
        <v/>
      </c>
      <c r="Q2608" s="61" t="str">
        <f aca="false">IF(IsPro,IF($D2608="","",L2608+N2608+O2608+P2608),"")</f>
        <v/>
      </c>
      <c r="R2608" s="61" t="str">
        <f aca="false">IF(IsPro,IF($D2608="","",ROUND(N($E2608)*IFERROR(INDEX(Items!$P$5:$P$504,U2608),0),2)),"")</f>
        <v/>
      </c>
      <c r="S2608" s="61" t="str">
        <f aca="false">IF(IsPro,IF($D2608="","",L2608-R2608),"")</f>
        <v/>
      </c>
      <c r="T2608" s="60" t="str">
        <f aca="false">IF(IsPro,IF($D2608="","",IF(U2608="","UNKNOWN ITEM",IF(INDEX(Items!$O$5:$O$504,U2608)&lt;0,"NEG STOCK",IF(K2608&lt;INDEX(Items!$P$5:$P$504,U2608),"BELOW COST","OK")))),IF($D2608="","","PRO PLAN"))</f>
        <v/>
      </c>
      <c r="U2608" s="60" t="str">
        <f aca="false">IF(IsPro,IF($D2608="","",IFERROR(MATCH($D2608,Items!$A$5:$A$504,0),"")),"")</f>
        <v/>
      </c>
      <c r="V2608" s="60" t="str">
        <f aca="false">IF(IsPro,IF($C2608="","",IFERROR(MATCH($C2608,Parties!$A$5:$A$304,0),"")),"")</f>
        <v/>
      </c>
      <c r="W2608" s="60" t="str">
        <f aca="false">IF(IsPro,IF($B2608="","",IFERROR(VALUE(SUBSTITUTE($B2608,InvPrefix,"")),0)),"")</f>
        <v/>
      </c>
      <c r="X2608" s="61" t="str">
        <f aca="false">IF(IsPro,IF($D2608="","",IF(OR($H2608="",$H2608="Credit"),0,Q2608)),"")</f>
        <v/>
      </c>
    </row>
    <row r="2609" customFormat="false" ht="15" hidden="false" customHeight="false" outlineLevel="0" collapsed="false">
      <c r="A2609" s="55"/>
      <c r="B2609" s="56"/>
      <c r="C2609" s="56"/>
      <c r="D2609" s="56"/>
      <c r="E2609" s="57"/>
      <c r="F2609" s="58"/>
      <c r="G2609" s="59"/>
      <c r="H2609" s="56"/>
      <c r="I2609" s="56"/>
      <c r="J2609" s="60" t="str">
        <f aca="false">IF(IsPro,IF($D2609="","",IFERROR(INDEX(Items!$D$5:$D$504,U2609),"")),"")</f>
        <v/>
      </c>
      <c r="K2609" s="61" t="str">
        <f aca="false">IF(IsPro,IF($D2609="","",IF($F2609="",IFERROR(INDEX(Items!$H$5:$H$504,U2609),0),$F2609)),"")</f>
        <v/>
      </c>
      <c r="L2609" s="61" t="str">
        <f aca="false">IF(IsPro,IF($D2609="","",ROUND(N($E2609)*K2609*(1-N($G2609)),2)),"")</f>
        <v/>
      </c>
      <c r="M2609" s="62" t="str">
        <f aca="false">IF(IsPro,IF($D2609="","",IFERROR(INDEX(Items!$F$5:$F$504,U2609),0)),"")</f>
        <v/>
      </c>
      <c r="N2609" s="61" t="str">
        <f aca="false">IF(IsPro,IF($D2609="","",IF(AND(V2609&lt;&gt;"",INDEX(Parties!$E$5:$E$304,V2609)&lt;&gt;"",INDEX(Parties!$E$5:$E$304,V2609)&lt;&gt;HomeState),0,ROUND(L2609*M2609/2,2))),"")</f>
        <v/>
      </c>
      <c r="O2609" s="61" t="str">
        <f aca="false">IF(IsPro,IF($D2609="","",N2609),"")</f>
        <v/>
      </c>
      <c r="P2609" s="61" t="str">
        <f aca="false">IF(IsPro,IF($D2609="","",IF(AND(V2609&lt;&gt;"",INDEX(Parties!$E$5:$E$304,V2609)&lt;&gt;"",INDEX(Parties!$E$5:$E$304,V2609)&lt;&gt;HomeState),ROUND(L2609*M2609,2),0)),"")</f>
        <v/>
      </c>
      <c r="Q2609" s="61" t="str">
        <f aca="false">IF(IsPro,IF($D2609="","",L2609+N2609+O2609+P2609),"")</f>
        <v/>
      </c>
      <c r="R2609" s="61" t="str">
        <f aca="false">IF(IsPro,IF($D2609="","",ROUND(N($E2609)*IFERROR(INDEX(Items!$P$5:$P$504,U2609),0),2)),"")</f>
        <v/>
      </c>
      <c r="S2609" s="61" t="str">
        <f aca="false">IF(IsPro,IF($D2609="","",L2609-R2609),"")</f>
        <v/>
      </c>
      <c r="T2609" s="60" t="str">
        <f aca="false">IF(IsPro,IF($D2609="","",IF(U2609="","UNKNOWN ITEM",IF(INDEX(Items!$O$5:$O$504,U2609)&lt;0,"NEG STOCK",IF(K2609&lt;INDEX(Items!$P$5:$P$504,U2609),"BELOW COST","OK")))),IF($D2609="","","PRO PLAN"))</f>
        <v/>
      </c>
      <c r="U2609" s="60" t="str">
        <f aca="false">IF(IsPro,IF($D2609="","",IFERROR(MATCH($D2609,Items!$A$5:$A$504,0),"")),"")</f>
        <v/>
      </c>
      <c r="V2609" s="60" t="str">
        <f aca="false">IF(IsPro,IF($C2609="","",IFERROR(MATCH($C2609,Parties!$A$5:$A$304,0),"")),"")</f>
        <v/>
      </c>
      <c r="W2609" s="60" t="str">
        <f aca="false">IF(IsPro,IF($B2609="","",IFERROR(VALUE(SUBSTITUTE($B2609,InvPrefix,"")),0)),"")</f>
        <v/>
      </c>
      <c r="X2609" s="61" t="str">
        <f aca="false">IF(IsPro,IF($D2609="","",IF(OR($H2609="",$H2609="Credit"),0,Q2609)),"")</f>
        <v/>
      </c>
    </row>
    <row r="2610" customFormat="false" ht="15" hidden="false" customHeight="false" outlineLevel="0" collapsed="false">
      <c r="A2610" s="55"/>
      <c r="B2610" s="56"/>
      <c r="C2610" s="56"/>
      <c r="D2610" s="56"/>
      <c r="E2610" s="57"/>
      <c r="F2610" s="58"/>
      <c r="G2610" s="59"/>
      <c r="H2610" s="56"/>
      <c r="I2610" s="56"/>
      <c r="J2610" s="60" t="str">
        <f aca="false">IF(IsPro,IF($D2610="","",IFERROR(INDEX(Items!$D$5:$D$504,U2610),"")),"")</f>
        <v/>
      </c>
      <c r="K2610" s="61" t="str">
        <f aca="false">IF(IsPro,IF($D2610="","",IF($F2610="",IFERROR(INDEX(Items!$H$5:$H$504,U2610),0),$F2610)),"")</f>
        <v/>
      </c>
      <c r="L2610" s="61" t="str">
        <f aca="false">IF(IsPro,IF($D2610="","",ROUND(N($E2610)*K2610*(1-N($G2610)),2)),"")</f>
        <v/>
      </c>
      <c r="M2610" s="62" t="str">
        <f aca="false">IF(IsPro,IF($D2610="","",IFERROR(INDEX(Items!$F$5:$F$504,U2610),0)),"")</f>
        <v/>
      </c>
      <c r="N2610" s="61" t="str">
        <f aca="false">IF(IsPro,IF($D2610="","",IF(AND(V2610&lt;&gt;"",INDEX(Parties!$E$5:$E$304,V2610)&lt;&gt;"",INDEX(Parties!$E$5:$E$304,V2610)&lt;&gt;HomeState),0,ROUND(L2610*M2610/2,2))),"")</f>
        <v/>
      </c>
      <c r="O2610" s="61" t="str">
        <f aca="false">IF(IsPro,IF($D2610="","",N2610),"")</f>
        <v/>
      </c>
      <c r="P2610" s="61" t="str">
        <f aca="false">IF(IsPro,IF($D2610="","",IF(AND(V2610&lt;&gt;"",INDEX(Parties!$E$5:$E$304,V2610)&lt;&gt;"",INDEX(Parties!$E$5:$E$304,V2610)&lt;&gt;HomeState),ROUND(L2610*M2610,2),0)),"")</f>
        <v/>
      </c>
      <c r="Q2610" s="61" t="str">
        <f aca="false">IF(IsPro,IF($D2610="","",L2610+N2610+O2610+P2610),"")</f>
        <v/>
      </c>
      <c r="R2610" s="61" t="str">
        <f aca="false">IF(IsPro,IF($D2610="","",ROUND(N($E2610)*IFERROR(INDEX(Items!$P$5:$P$504,U2610),0),2)),"")</f>
        <v/>
      </c>
      <c r="S2610" s="61" t="str">
        <f aca="false">IF(IsPro,IF($D2610="","",L2610-R2610),"")</f>
        <v/>
      </c>
      <c r="T2610" s="60" t="str">
        <f aca="false">IF(IsPro,IF($D2610="","",IF(U2610="","UNKNOWN ITEM",IF(INDEX(Items!$O$5:$O$504,U2610)&lt;0,"NEG STOCK",IF(K2610&lt;INDEX(Items!$P$5:$P$504,U2610),"BELOW COST","OK")))),IF($D2610="","","PRO PLAN"))</f>
        <v/>
      </c>
      <c r="U2610" s="60" t="str">
        <f aca="false">IF(IsPro,IF($D2610="","",IFERROR(MATCH($D2610,Items!$A$5:$A$504,0),"")),"")</f>
        <v/>
      </c>
      <c r="V2610" s="60" t="str">
        <f aca="false">IF(IsPro,IF($C2610="","",IFERROR(MATCH($C2610,Parties!$A$5:$A$304,0),"")),"")</f>
        <v/>
      </c>
      <c r="W2610" s="60" t="str">
        <f aca="false">IF(IsPro,IF($B2610="","",IFERROR(VALUE(SUBSTITUTE($B2610,InvPrefix,"")),0)),"")</f>
        <v/>
      </c>
      <c r="X2610" s="61" t="str">
        <f aca="false">IF(IsPro,IF($D2610="","",IF(OR($H2610="",$H2610="Credit"),0,Q2610)),"")</f>
        <v/>
      </c>
    </row>
    <row r="2611" customFormat="false" ht="15" hidden="false" customHeight="false" outlineLevel="0" collapsed="false">
      <c r="A2611" s="55"/>
      <c r="B2611" s="56"/>
      <c r="C2611" s="56"/>
      <c r="D2611" s="56"/>
      <c r="E2611" s="57"/>
      <c r="F2611" s="58"/>
      <c r="G2611" s="59"/>
      <c r="H2611" s="56"/>
      <c r="I2611" s="56"/>
      <c r="J2611" s="60" t="str">
        <f aca="false">IF(IsPro,IF($D2611="","",IFERROR(INDEX(Items!$D$5:$D$504,U2611),"")),"")</f>
        <v/>
      </c>
      <c r="K2611" s="61" t="str">
        <f aca="false">IF(IsPro,IF($D2611="","",IF($F2611="",IFERROR(INDEX(Items!$H$5:$H$504,U2611),0),$F2611)),"")</f>
        <v/>
      </c>
      <c r="L2611" s="61" t="str">
        <f aca="false">IF(IsPro,IF($D2611="","",ROUND(N($E2611)*K2611*(1-N($G2611)),2)),"")</f>
        <v/>
      </c>
      <c r="M2611" s="62" t="str">
        <f aca="false">IF(IsPro,IF($D2611="","",IFERROR(INDEX(Items!$F$5:$F$504,U2611),0)),"")</f>
        <v/>
      </c>
      <c r="N2611" s="61" t="str">
        <f aca="false">IF(IsPro,IF($D2611="","",IF(AND(V2611&lt;&gt;"",INDEX(Parties!$E$5:$E$304,V2611)&lt;&gt;"",INDEX(Parties!$E$5:$E$304,V2611)&lt;&gt;HomeState),0,ROUND(L2611*M2611/2,2))),"")</f>
        <v/>
      </c>
      <c r="O2611" s="61" t="str">
        <f aca="false">IF(IsPro,IF($D2611="","",N2611),"")</f>
        <v/>
      </c>
      <c r="P2611" s="61" t="str">
        <f aca="false">IF(IsPro,IF($D2611="","",IF(AND(V2611&lt;&gt;"",INDEX(Parties!$E$5:$E$304,V2611)&lt;&gt;"",INDEX(Parties!$E$5:$E$304,V2611)&lt;&gt;HomeState),ROUND(L2611*M2611,2),0)),"")</f>
        <v/>
      </c>
      <c r="Q2611" s="61" t="str">
        <f aca="false">IF(IsPro,IF($D2611="","",L2611+N2611+O2611+P2611),"")</f>
        <v/>
      </c>
      <c r="R2611" s="61" t="str">
        <f aca="false">IF(IsPro,IF($D2611="","",ROUND(N($E2611)*IFERROR(INDEX(Items!$P$5:$P$504,U2611),0),2)),"")</f>
        <v/>
      </c>
      <c r="S2611" s="61" t="str">
        <f aca="false">IF(IsPro,IF($D2611="","",L2611-R2611),"")</f>
        <v/>
      </c>
      <c r="T2611" s="60" t="str">
        <f aca="false">IF(IsPro,IF($D2611="","",IF(U2611="","UNKNOWN ITEM",IF(INDEX(Items!$O$5:$O$504,U2611)&lt;0,"NEG STOCK",IF(K2611&lt;INDEX(Items!$P$5:$P$504,U2611),"BELOW COST","OK")))),IF($D2611="","","PRO PLAN"))</f>
        <v/>
      </c>
      <c r="U2611" s="60" t="str">
        <f aca="false">IF(IsPro,IF($D2611="","",IFERROR(MATCH($D2611,Items!$A$5:$A$504,0),"")),"")</f>
        <v/>
      </c>
      <c r="V2611" s="60" t="str">
        <f aca="false">IF(IsPro,IF($C2611="","",IFERROR(MATCH($C2611,Parties!$A$5:$A$304,0),"")),"")</f>
        <v/>
      </c>
      <c r="W2611" s="60" t="str">
        <f aca="false">IF(IsPro,IF($B2611="","",IFERROR(VALUE(SUBSTITUTE($B2611,InvPrefix,"")),0)),"")</f>
        <v/>
      </c>
      <c r="X2611" s="61" t="str">
        <f aca="false">IF(IsPro,IF($D2611="","",IF(OR($H2611="",$H2611="Credit"),0,Q2611)),"")</f>
        <v/>
      </c>
    </row>
    <row r="2612" customFormat="false" ht="15" hidden="false" customHeight="false" outlineLevel="0" collapsed="false">
      <c r="A2612" s="55"/>
      <c r="B2612" s="56"/>
      <c r="C2612" s="56"/>
      <c r="D2612" s="56"/>
      <c r="E2612" s="57"/>
      <c r="F2612" s="58"/>
      <c r="G2612" s="59"/>
      <c r="H2612" s="56"/>
      <c r="I2612" s="56"/>
      <c r="J2612" s="60" t="str">
        <f aca="false">IF(IsPro,IF($D2612="","",IFERROR(INDEX(Items!$D$5:$D$504,U2612),"")),"")</f>
        <v/>
      </c>
      <c r="K2612" s="61" t="str">
        <f aca="false">IF(IsPro,IF($D2612="","",IF($F2612="",IFERROR(INDEX(Items!$H$5:$H$504,U2612),0),$F2612)),"")</f>
        <v/>
      </c>
      <c r="L2612" s="61" t="str">
        <f aca="false">IF(IsPro,IF($D2612="","",ROUND(N($E2612)*K2612*(1-N($G2612)),2)),"")</f>
        <v/>
      </c>
      <c r="M2612" s="62" t="str">
        <f aca="false">IF(IsPro,IF($D2612="","",IFERROR(INDEX(Items!$F$5:$F$504,U2612),0)),"")</f>
        <v/>
      </c>
      <c r="N2612" s="61" t="str">
        <f aca="false">IF(IsPro,IF($D2612="","",IF(AND(V2612&lt;&gt;"",INDEX(Parties!$E$5:$E$304,V2612)&lt;&gt;"",INDEX(Parties!$E$5:$E$304,V2612)&lt;&gt;HomeState),0,ROUND(L2612*M2612/2,2))),"")</f>
        <v/>
      </c>
      <c r="O2612" s="61" t="str">
        <f aca="false">IF(IsPro,IF($D2612="","",N2612),"")</f>
        <v/>
      </c>
      <c r="P2612" s="61" t="str">
        <f aca="false">IF(IsPro,IF($D2612="","",IF(AND(V2612&lt;&gt;"",INDEX(Parties!$E$5:$E$304,V2612)&lt;&gt;"",INDEX(Parties!$E$5:$E$304,V2612)&lt;&gt;HomeState),ROUND(L2612*M2612,2),0)),"")</f>
        <v/>
      </c>
      <c r="Q2612" s="61" t="str">
        <f aca="false">IF(IsPro,IF($D2612="","",L2612+N2612+O2612+P2612),"")</f>
        <v/>
      </c>
      <c r="R2612" s="61" t="str">
        <f aca="false">IF(IsPro,IF($D2612="","",ROUND(N($E2612)*IFERROR(INDEX(Items!$P$5:$P$504,U2612),0),2)),"")</f>
        <v/>
      </c>
      <c r="S2612" s="61" t="str">
        <f aca="false">IF(IsPro,IF($D2612="","",L2612-R2612),"")</f>
        <v/>
      </c>
      <c r="T2612" s="60" t="str">
        <f aca="false">IF(IsPro,IF($D2612="","",IF(U2612="","UNKNOWN ITEM",IF(INDEX(Items!$O$5:$O$504,U2612)&lt;0,"NEG STOCK",IF(K2612&lt;INDEX(Items!$P$5:$P$504,U2612),"BELOW COST","OK")))),IF($D2612="","","PRO PLAN"))</f>
        <v/>
      </c>
      <c r="U2612" s="60" t="str">
        <f aca="false">IF(IsPro,IF($D2612="","",IFERROR(MATCH($D2612,Items!$A$5:$A$504,0),"")),"")</f>
        <v/>
      </c>
      <c r="V2612" s="60" t="str">
        <f aca="false">IF(IsPro,IF($C2612="","",IFERROR(MATCH($C2612,Parties!$A$5:$A$304,0),"")),"")</f>
        <v/>
      </c>
      <c r="W2612" s="60" t="str">
        <f aca="false">IF(IsPro,IF($B2612="","",IFERROR(VALUE(SUBSTITUTE($B2612,InvPrefix,"")),0)),"")</f>
        <v/>
      </c>
      <c r="X2612" s="61" t="str">
        <f aca="false">IF(IsPro,IF($D2612="","",IF(OR($H2612="",$H2612="Credit"),0,Q2612)),"")</f>
        <v/>
      </c>
    </row>
    <row r="2613" customFormat="false" ht="15" hidden="false" customHeight="false" outlineLevel="0" collapsed="false">
      <c r="A2613" s="55"/>
      <c r="B2613" s="56"/>
      <c r="C2613" s="56"/>
      <c r="D2613" s="56"/>
      <c r="E2613" s="57"/>
      <c r="F2613" s="58"/>
      <c r="G2613" s="59"/>
      <c r="H2613" s="56"/>
      <c r="I2613" s="56"/>
      <c r="J2613" s="60" t="str">
        <f aca="false">IF(IsPro,IF($D2613="","",IFERROR(INDEX(Items!$D$5:$D$504,U2613),"")),"")</f>
        <v/>
      </c>
      <c r="K2613" s="61" t="str">
        <f aca="false">IF(IsPro,IF($D2613="","",IF($F2613="",IFERROR(INDEX(Items!$H$5:$H$504,U2613),0),$F2613)),"")</f>
        <v/>
      </c>
      <c r="L2613" s="61" t="str">
        <f aca="false">IF(IsPro,IF($D2613="","",ROUND(N($E2613)*K2613*(1-N($G2613)),2)),"")</f>
        <v/>
      </c>
      <c r="M2613" s="62" t="str">
        <f aca="false">IF(IsPro,IF($D2613="","",IFERROR(INDEX(Items!$F$5:$F$504,U2613),0)),"")</f>
        <v/>
      </c>
      <c r="N2613" s="61" t="str">
        <f aca="false">IF(IsPro,IF($D2613="","",IF(AND(V2613&lt;&gt;"",INDEX(Parties!$E$5:$E$304,V2613)&lt;&gt;"",INDEX(Parties!$E$5:$E$304,V2613)&lt;&gt;HomeState),0,ROUND(L2613*M2613/2,2))),"")</f>
        <v/>
      </c>
      <c r="O2613" s="61" t="str">
        <f aca="false">IF(IsPro,IF($D2613="","",N2613),"")</f>
        <v/>
      </c>
      <c r="P2613" s="61" t="str">
        <f aca="false">IF(IsPro,IF($D2613="","",IF(AND(V2613&lt;&gt;"",INDEX(Parties!$E$5:$E$304,V2613)&lt;&gt;"",INDEX(Parties!$E$5:$E$304,V2613)&lt;&gt;HomeState),ROUND(L2613*M2613,2),0)),"")</f>
        <v/>
      </c>
      <c r="Q2613" s="61" t="str">
        <f aca="false">IF(IsPro,IF($D2613="","",L2613+N2613+O2613+P2613),"")</f>
        <v/>
      </c>
      <c r="R2613" s="61" t="str">
        <f aca="false">IF(IsPro,IF($D2613="","",ROUND(N($E2613)*IFERROR(INDEX(Items!$P$5:$P$504,U2613),0),2)),"")</f>
        <v/>
      </c>
      <c r="S2613" s="61" t="str">
        <f aca="false">IF(IsPro,IF($D2613="","",L2613-R2613),"")</f>
        <v/>
      </c>
      <c r="T2613" s="60" t="str">
        <f aca="false">IF(IsPro,IF($D2613="","",IF(U2613="","UNKNOWN ITEM",IF(INDEX(Items!$O$5:$O$504,U2613)&lt;0,"NEG STOCK",IF(K2613&lt;INDEX(Items!$P$5:$P$504,U2613),"BELOW COST","OK")))),IF($D2613="","","PRO PLAN"))</f>
        <v/>
      </c>
      <c r="U2613" s="60" t="str">
        <f aca="false">IF(IsPro,IF($D2613="","",IFERROR(MATCH($D2613,Items!$A$5:$A$504,0),"")),"")</f>
        <v/>
      </c>
      <c r="V2613" s="60" t="str">
        <f aca="false">IF(IsPro,IF($C2613="","",IFERROR(MATCH($C2613,Parties!$A$5:$A$304,0),"")),"")</f>
        <v/>
      </c>
      <c r="W2613" s="60" t="str">
        <f aca="false">IF(IsPro,IF($B2613="","",IFERROR(VALUE(SUBSTITUTE($B2613,InvPrefix,"")),0)),"")</f>
        <v/>
      </c>
      <c r="X2613" s="61" t="str">
        <f aca="false">IF(IsPro,IF($D2613="","",IF(OR($H2613="",$H2613="Credit"),0,Q2613)),"")</f>
        <v/>
      </c>
    </row>
    <row r="2614" customFormat="false" ht="15" hidden="false" customHeight="false" outlineLevel="0" collapsed="false">
      <c r="A2614" s="55"/>
      <c r="B2614" s="56"/>
      <c r="C2614" s="56"/>
      <c r="D2614" s="56"/>
      <c r="E2614" s="57"/>
      <c r="F2614" s="58"/>
      <c r="G2614" s="59"/>
      <c r="H2614" s="56"/>
      <c r="I2614" s="56"/>
      <c r="J2614" s="60" t="str">
        <f aca="false">IF(IsPro,IF($D2614="","",IFERROR(INDEX(Items!$D$5:$D$504,U2614),"")),"")</f>
        <v/>
      </c>
      <c r="K2614" s="61" t="str">
        <f aca="false">IF(IsPro,IF($D2614="","",IF($F2614="",IFERROR(INDEX(Items!$H$5:$H$504,U2614),0),$F2614)),"")</f>
        <v/>
      </c>
      <c r="L2614" s="61" t="str">
        <f aca="false">IF(IsPro,IF($D2614="","",ROUND(N($E2614)*K2614*(1-N($G2614)),2)),"")</f>
        <v/>
      </c>
      <c r="M2614" s="62" t="str">
        <f aca="false">IF(IsPro,IF($D2614="","",IFERROR(INDEX(Items!$F$5:$F$504,U2614),0)),"")</f>
        <v/>
      </c>
      <c r="N2614" s="61" t="str">
        <f aca="false">IF(IsPro,IF($D2614="","",IF(AND(V2614&lt;&gt;"",INDEX(Parties!$E$5:$E$304,V2614)&lt;&gt;"",INDEX(Parties!$E$5:$E$304,V2614)&lt;&gt;HomeState),0,ROUND(L2614*M2614/2,2))),"")</f>
        <v/>
      </c>
      <c r="O2614" s="61" t="str">
        <f aca="false">IF(IsPro,IF($D2614="","",N2614),"")</f>
        <v/>
      </c>
      <c r="P2614" s="61" t="str">
        <f aca="false">IF(IsPro,IF($D2614="","",IF(AND(V2614&lt;&gt;"",INDEX(Parties!$E$5:$E$304,V2614)&lt;&gt;"",INDEX(Parties!$E$5:$E$304,V2614)&lt;&gt;HomeState),ROUND(L2614*M2614,2),0)),"")</f>
        <v/>
      </c>
      <c r="Q2614" s="61" t="str">
        <f aca="false">IF(IsPro,IF($D2614="","",L2614+N2614+O2614+P2614),"")</f>
        <v/>
      </c>
      <c r="R2614" s="61" t="str">
        <f aca="false">IF(IsPro,IF($D2614="","",ROUND(N($E2614)*IFERROR(INDEX(Items!$P$5:$P$504,U2614),0),2)),"")</f>
        <v/>
      </c>
      <c r="S2614" s="61" t="str">
        <f aca="false">IF(IsPro,IF($D2614="","",L2614-R2614),"")</f>
        <v/>
      </c>
      <c r="T2614" s="60" t="str">
        <f aca="false">IF(IsPro,IF($D2614="","",IF(U2614="","UNKNOWN ITEM",IF(INDEX(Items!$O$5:$O$504,U2614)&lt;0,"NEG STOCK",IF(K2614&lt;INDEX(Items!$P$5:$P$504,U2614),"BELOW COST","OK")))),IF($D2614="","","PRO PLAN"))</f>
        <v/>
      </c>
      <c r="U2614" s="60" t="str">
        <f aca="false">IF(IsPro,IF($D2614="","",IFERROR(MATCH($D2614,Items!$A$5:$A$504,0),"")),"")</f>
        <v/>
      </c>
      <c r="V2614" s="60" t="str">
        <f aca="false">IF(IsPro,IF($C2614="","",IFERROR(MATCH($C2614,Parties!$A$5:$A$304,0),"")),"")</f>
        <v/>
      </c>
      <c r="W2614" s="60" t="str">
        <f aca="false">IF(IsPro,IF($B2614="","",IFERROR(VALUE(SUBSTITUTE($B2614,InvPrefix,"")),0)),"")</f>
        <v/>
      </c>
      <c r="X2614" s="61" t="str">
        <f aca="false">IF(IsPro,IF($D2614="","",IF(OR($H2614="",$H2614="Credit"),0,Q2614)),"")</f>
        <v/>
      </c>
    </row>
    <row r="2615" customFormat="false" ht="15" hidden="false" customHeight="false" outlineLevel="0" collapsed="false">
      <c r="A2615" s="55"/>
      <c r="B2615" s="56"/>
      <c r="C2615" s="56"/>
      <c r="D2615" s="56"/>
      <c r="E2615" s="57"/>
      <c r="F2615" s="58"/>
      <c r="G2615" s="59"/>
      <c r="H2615" s="56"/>
      <c r="I2615" s="56"/>
      <c r="J2615" s="60" t="str">
        <f aca="false">IF(IsPro,IF($D2615="","",IFERROR(INDEX(Items!$D$5:$D$504,U2615),"")),"")</f>
        <v/>
      </c>
      <c r="K2615" s="61" t="str">
        <f aca="false">IF(IsPro,IF($D2615="","",IF($F2615="",IFERROR(INDEX(Items!$H$5:$H$504,U2615),0),$F2615)),"")</f>
        <v/>
      </c>
      <c r="L2615" s="61" t="str">
        <f aca="false">IF(IsPro,IF($D2615="","",ROUND(N($E2615)*K2615*(1-N($G2615)),2)),"")</f>
        <v/>
      </c>
      <c r="M2615" s="62" t="str">
        <f aca="false">IF(IsPro,IF($D2615="","",IFERROR(INDEX(Items!$F$5:$F$504,U2615),0)),"")</f>
        <v/>
      </c>
      <c r="N2615" s="61" t="str">
        <f aca="false">IF(IsPro,IF($D2615="","",IF(AND(V2615&lt;&gt;"",INDEX(Parties!$E$5:$E$304,V2615)&lt;&gt;"",INDEX(Parties!$E$5:$E$304,V2615)&lt;&gt;HomeState),0,ROUND(L2615*M2615/2,2))),"")</f>
        <v/>
      </c>
      <c r="O2615" s="61" t="str">
        <f aca="false">IF(IsPro,IF($D2615="","",N2615),"")</f>
        <v/>
      </c>
      <c r="P2615" s="61" t="str">
        <f aca="false">IF(IsPro,IF($D2615="","",IF(AND(V2615&lt;&gt;"",INDEX(Parties!$E$5:$E$304,V2615)&lt;&gt;"",INDEX(Parties!$E$5:$E$304,V2615)&lt;&gt;HomeState),ROUND(L2615*M2615,2),0)),"")</f>
        <v/>
      </c>
      <c r="Q2615" s="61" t="str">
        <f aca="false">IF(IsPro,IF($D2615="","",L2615+N2615+O2615+P2615),"")</f>
        <v/>
      </c>
      <c r="R2615" s="61" t="str">
        <f aca="false">IF(IsPro,IF($D2615="","",ROUND(N($E2615)*IFERROR(INDEX(Items!$P$5:$P$504,U2615),0),2)),"")</f>
        <v/>
      </c>
      <c r="S2615" s="61" t="str">
        <f aca="false">IF(IsPro,IF($D2615="","",L2615-R2615),"")</f>
        <v/>
      </c>
      <c r="T2615" s="60" t="str">
        <f aca="false">IF(IsPro,IF($D2615="","",IF(U2615="","UNKNOWN ITEM",IF(INDEX(Items!$O$5:$O$504,U2615)&lt;0,"NEG STOCK",IF(K2615&lt;INDEX(Items!$P$5:$P$504,U2615),"BELOW COST","OK")))),IF($D2615="","","PRO PLAN"))</f>
        <v/>
      </c>
      <c r="U2615" s="60" t="str">
        <f aca="false">IF(IsPro,IF($D2615="","",IFERROR(MATCH($D2615,Items!$A$5:$A$504,0),"")),"")</f>
        <v/>
      </c>
      <c r="V2615" s="60" t="str">
        <f aca="false">IF(IsPro,IF($C2615="","",IFERROR(MATCH($C2615,Parties!$A$5:$A$304,0),"")),"")</f>
        <v/>
      </c>
      <c r="W2615" s="60" t="str">
        <f aca="false">IF(IsPro,IF($B2615="","",IFERROR(VALUE(SUBSTITUTE($B2615,InvPrefix,"")),0)),"")</f>
        <v/>
      </c>
      <c r="X2615" s="61" t="str">
        <f aca="false">IF(IsPro,IF($D2615="","",IF(OR($H2615="",$H2615="Credit"),0,Q2615)),"")</f>
        <v/>
      </c>
    </row>
    <row r="2616" customFormat="false" ht="15" hidden="false" customHeight="false" outlineLevel="0" collapsed="false">
      <c r="A2616" s="55"/>
      <c r="B2616" s="56"/>
      <c r="C2616" s="56"/>
      <c r="D2616" s="56"/>
      <c r="E2616" s="57"/>
      <c r="F2616" s="58"/>
      <c r="G2616" s="59"/>
      <c r="H2616" s="56"/>
      <c r="I2616" s="56"/>
      <c r="J2616" s="60" t="str">
        <f aca="false">IF(IsPro,IF($D2616="","",IFERROR(INDEX(Items!$D$5:$D$504,U2616),"")),"")</f>
        <v/>
      </c>
      <c r="K2616" s="61" t="str">
        <f aca="false">IF(IsPro,IF($D2616="","",IF($F2616="",IFERROR(INDEX(Items!$H$5:$H$504,U2616),0),$F2616)),"")</f>
        <v/>
      </c>
      <c r="L2616" s="61" t="str">
        <f aca="false">IF(IsPro,IF($D2616="","",ROUND(N($E2616)*K2616*(1-N($G2616)),2)),"")</f>
        <v/>
      </c>
      <c r="M2616" s="62" t="str">
        <f aca="false">IF(IsPro,IF($D2616="","",IFERROR(INDEX(Items!$F$5:$F$504,U2616),0)),"")</f>
        <v/>
      </c>
      <c r="N2616" s="61" t="str">
        <f aca="false">IF(IsPro,IF($D2616="","",IF(AND(V2616&lt;&gt;"",INDEX(Parties!$E$5:$E$304,V2616)&lt;&gt;"",INDEX(Parties!$E$5:$E$304,V2616)&lt;&gt;HomeState),0,ROUND(L2616*M2616/2,2))),"")</f>
        <v/>
      </c>
      <c r="O2616" s="61" t="str">
        <f aca="false">IF(IsPro,IF($D2616="","",N2616),"")</f>
        <v/>
      </c>
      <c r="P2616" s="61" t="str">
        <f aca="false">IF(IsPro,IF($D2616="","",IF(AND(V2616&lt;&gt;"",INDEX(Parties!$E$5:$E$304,V2616)&lt;&gt;"",INDEX(Parties!$E$5:$E$304,V2616)&lt;&gt;HomeState),ROUND(L2616*M2616,2),0)),"")</f>
        <v/>
      </c>
      <c r="Q2616" s="61" t="str">
        <f aca="false">IF(IsPro,IF($D2616="","",L2616+N2616+O2616+P2616),"")</f>
        <v/>
      </c>
      <c r="R2616" s="61" t="str">
        <f aca="false">IF(IsPro,IF($D2616="","",ROUND(N($E2616)*IFERROR(INDEX(Items!$P$5:$P$504,U2616),0),2)),"")</f>
        <v/>
      </c>
      <c r="S2616" s="61" t="str">
        <f aca="false">IF(IsPro,IF($D2616="","",L2616-R2616),"")</f>
        <v/>
      </c>
      <c r="T2616" s="60" t="str">
        <f aca="false">IF(IsPro,IF($D2616="","",IF(U2616="","UNKNOWN ITEM",IF(INDEX(Items!$O$5:$O$504,U2616)&lt;0,"NEG STOCK",IF(K2616&lt;INDEX(Items!$P$5:$P$504,U2616),"BELOW COST","OK")))),IF($D2616="","","PRO PLAN"))</f>
        <v/>
      </c>
      <c r="U2616" s="60" t="str">
        <f aca="false">IF(IsPro,IF($D2616="","",IFERROR(MATCH($D2616,Items!$A$5:$A$504,0),"")),"")</f>
        <v/>
      </c>
      <c r="V2616" s="60" t="str">
        <f aca="false">IF(IsPro,IF($C2616="","",IFERROR(MATCH($C2616,Parties!$A$5:$A$304,0),"")),"")</f>
        <v/>
      </c>
      <c r="W2616" s="60" t="str">
        <f aca="false">IF(IsPro,IF($B2616="","",IFERROR(VALUE(SUBSTITUTE($B2616,InvPrefix,"")),0)),"")</f>
        <v/>
      </c>
      <c r="X2616" s="61" t="str">
        <f aca="false">IF(IsPro,IF($D2616="","",IF(OR($H2616="",$H2616="Credit"),0,Q2616)),"")</f>
        <v/>
      </c>
    </row>
    <row r="2617" customFormat="false" ht="15" hidden="false" customHeight="false" outlineLevel="0" collapsed="false">
      <c r="A2617" s="55"/>
      <c r="B2617" s="56"/>
      <c r="C2617" s="56"/>
      <c r="D2617" s="56"/>
      <c r="E2617" s="57"/>
      <c r="F2617" s="58"/>
      <c r="G2617" s="59"/>
      <c r="H2617" s="56"/>
      <c r="I2617" s="56"/>
      <c r="J2617" s="60" t="str">
        <f aca="false">IF(IsPro,IF($D2617="","",IFERROR(INDEX(Items!$D$5:$D$504,U2617),"")),"")</f>
        <v/>
      </c>
      <c r="K2617" s="61" t="str">
        <f aca="false">IF(IsPro,IF($D2617="","",IF($F2617="",IFERROR(INDEX(Items!$H$5:$H$504,U2617),0),$F2617)),"")</f>
        <v/>
      </c>
      <c r="L2617" s="61" t="str">
        <f aca="false">IF(IsPro,IF($D2617="","",ROUND(N($E2617)*K2617*(1-N($G2617)),2)),"")</f>
        <v/>
      </c>
      <c r="M2617" s="62" t="str">
        <f aca="false">IF(IsPro,IF($D2617="","",IFERROR(INDEX(Items!$F$5:$F$504,U2617),0)),"")</f>
        <v/>
      </c>
      <c r="N2617" s="61" t="str">
        <f aca="false">IF(IsPro,IF($D2617="","",IF(AND(V2617&lt;&gt;"",INDEX(Parties!$E$5:$E$304,V2617)&lt;&gt;"",INDEX(Parties!$E$5:$E$304,V2617)&lt;&gt;HomeState),0,ROUND(L2617*M2617/2,2))),"")</f>
        <v/>
      </c>
      <c r="O2617" s="61" t="str">
        <f aca="false">IF(IsPro,IF($D2617="","",N2617),"")</f>
        <v/>
      </c>
      <c r="P2617" s="61" t="str">
        <f aca="false">IF(IsPro,IF($D2617="","",IF(AND(V2617&lt;&gt;"",INDEX(Parties!$E$5:$E$304,V2617)&lt;&gt;"",INDEX(Parties!$E$5:$E$304,V2617)&lt;&gt;HomeState),ROUND(L2617*M2617,2),0)),"")</f>
        <v/>
      </c>
      <c r="Q2617" s="61" t="str">
        <f aca="false">IF(IsPro,IF($D2617="","",L2617+N2617+O2617+P2617),"")</f>
        <v/>
      </c>
      <c r="R2617" s="61" t="str">
        <f aca="false">IF(IsPro,IF($D2617="","",ROUND(N($E2617)*IFERROR(INDEX(Items!$P$5:$P$504,U2617),0),2)),"")</f>
        <v/>
      </c>
      <c r="S2617" s="61" t="str">
        <f aca="false">IF(IsPro,IF($D2617="","",L2617-R2617),"")</f>
        <v/>
      </c>
      <c r="T2617" s="60" t="str">
        <f aca="false">IF(IsPro,IF($D2617="","",IF(U2617="","UNKNOWN ITEM",IF(INDEX(Items!$O$5:$O$504,U2617)&lt;0,"NEG STOCK",IF(K2617&lt;INDEX(Items!$P$5:$P$504,U2617),"BELOW COST","OK")))),IF($D2617="","","PRO PLAN"))</f>
        <v/>
      </c>
      <c r="U2617" s="60" t="str">
        <f aca="false">IF(IsPro,IF($D2617="","",IFERROR(MATCH($D2617,Items!$A$5:$A$504,0),"")),"")</f>
        <v/>
      </c>
      <c r="V2617" s="60" t="str">
        <f aca="false">IF(IsPro,IF($C2617="","",IFERROR(MATCH($C2617,Parties!$A$5:$A$304,0),"")),"")</f>
        <v/>
      </c>
      <c r="W2617" s="60" t="str">
        <f aca="false">IF(IsPro,IF($B2617="","",IFERROR(VALUE(SUBSTITUTE($B2617,InvPrefix,"")),0)),"")</f>
        <v/>
      </c>
      <c r="X2617" s="61" t="str">
        <f aca="false">IF(IsPro,IF($D2617="","",IF(OR($H2617="",$H2617="Credit"),0,Q2617)),"")</f>
        <v/>
      </c>
    </row>
    <row r="2618" customFormat="false" ht="15" hidden="false" customHeight="false" outlineLevel="0" collapsed="false">
      <c r="A2618" s="55"/>
      <c r="B2618" s="56"/>
      <c r="C2618" s="56"/>
      <c r="D2618" s="56"/>
      <c r="E2618" s="57"/>
      <c r="F2618" s="58"/>
      <c r="G2618" s="59"/>
      <c r="H2618" s="56"/>
      <c r="I2618" s="56"/>
      <c r="J2618" s="60" t="str">
        <f aca="false">IF(IsPro,IF($D2618="","",IFERROR(INDEX(Items!$D$5:$D$504,U2618),"")),"")</f>
        <v/>
      </c>
      <c r="K2618" s="61" t="str">
        <f aca="false">IF(IsPro,IF($D2618="","",IF($F2618="",IFERROR(INDEX(Items!$H$5:$H$504,U2618),0),$F2618)),"")</f>
        <v/>
      </c>
      <c r="L2618" s="61" t="str">
        <f aca="false">IF(IsPro,IF($D2618="","",ROUND(N($E2618)*K2618*(1-N($G2618)),2)),"")</f>
        <v/>
      </c>
      <c r="M2618" s="62" t="str">
        <f aca="false">IF(IsPro,IF($D2618="","",IFERROR(INDEX(Items!$F$5:$F$504,U2618),0)),"")</f>
        <v/>
      </c>
      <c r="N2618" s="61" t="str">
        <f aca="false">IF(IsPro,IF($D2618="","",IF(AND(V2618&lt;&gt;"",INDEX(Parties!$E$5:$E$304,V2618)&lt;&gt;"",INDEX(Parties!$E$5:$E$304,V2618)&lt;&gt;HomeState),0,ROUND(L2618*M2618/2,2))),"")</f>
        <v/>
      </c>
      <c r="O2618" s="61" t="str">
        <f aca="false">IF(IsPro,IF($D2618="","",N2618),"")</f>
        <v/>
      </c>
      <c r="P2618" s="61" t="str">
        <f aca="false">IF(IsPro,IF($D2618="","",IF(AND(V2618&lt;&gt;"",INDEX(Parties!$E$5:$E$304,V2618)&lt;&gt;"",INDEX(Parties!$E$5:$E$304,V2618)&lt;&gt;HomeState),ROUND(L2618*M2618,2),0)),"")</f>
        <v/>
      </c>
      <c r="Q2618" s="61" t="str">
        <f aca="false">IF(IsPro,IF($D2618="","",L2618+N2618+O2618+P2618),"")</f>
        <v/>
      </c>
      <c r="R2618" s="61" t="str">
        <f aca="false">IF(IsPro,IF($D2618="","",ROUND(N($E2618)*IFERROR(INDEX(Items!$P$5:$P$504,U2618),0),2)),"")</f>
        <v/>
      </c>
      <c r="S2618" s="61" t="str">
        <f aca="false">IF(IsPro,IF($D2618="","",L2618-R2618),"")</f>
        <v/>
      </c>
      <c r="T2618" s="60" t="str">
        <f aca="false">IF(IsPro,IF($D2618="","",IF(U2618="","UNKNOWN ITEM",IF(INDEX(Items!$O$5:$O$504,U2618)&lt;0,"NEG STOCK",IF(K2618&lt;INDEX(Items!$P$5:$P$504,U2618),"BELOW COST","OK")))),IF($D2618="","","PRO PLAN"))</f>
        <v/>
      </c>
      <c r="U2618" s="60" t="str">
        <f aca="false">IF(IsPro,IF($D2618="","",IFERROR(MATCH($D2618,Items!$A$5:$A$504,0),"")),"")</f>
        <v/>
      </c>
      <c r="V2618" s="60" t="str">
        <f aca="false">IF(IsPro,IF($C2618="","",IFERROR(MATCH($C2618,Parties!$A$5:$A$304,0),"")),"")</f>
        <v/>
      </c>
      <c r="W2618" s="60" t="str">
        <f aca="false">IF(IsPro,IF($B2618="","",IFERROR(VALUE(SUBSTITUTE($B2618,InvPrefix,"")),0)),"")</f>
        <v/>
      </c>
      <c r="X2618" s="61" t="str">
        <f aca="false">IF(IsPro,IF($D2618="","",IF(OR($H2618="",$H2618="Credit"),0,Q2618)),"")</f>
        <v/>
      </c>
    </row>
    <row r="2619" customFormat="false" ht="15" hidden="false" customHeight="false" outlineLevel="0" collapsed="false">
      <c r="A2619" s="55"/>
      <c r="B2619" s="56"/>
      <c r="C2619" s="56"/>
      <c r="D2619" s="56"/>
      <c r="E2619" s="57"/>
      <c r="F2619" s="58"/>
      <c r="G2619" s="59"/>
      <c r="H2619" s="56"/>
      <c r="I2619" s="56"/>
      <c r="J2619" s="60" t="str">
        <f aca="false">IF(IsPro,IF($D2619="","",IFERROR(INDEX(Items!$D$5:$D$504,U2619),"")),"")</f>
        <v/>
      </c>
      <c r="K2619" s="61" t="str">
        <f aca="false">IF(IsPro,IF($D2619="","",IF($F2619="",IFERROR(INDEX(Items!$H$5:$H$504,U2619),0),$F2619)),"")</f>
        <v/>
      </c>
      <c r="L2619" s="61" t="str">
        <f aca="false">IF(IsPro,IF($D2619="","",ROUND(N($E2619)*K2619*(1-N($G2619)),2)),"")</f>
        <v/>
      </c>
      <c r="M2619" s="62" t="str">
        <f aca="false">IF(IsPro,IF($D2619="","",IFERROR(INDEX(Items!$F$5:$F$504,U2619),0)),"")</f>
        <v/>
      </c>
      <c r="N2619" s="61" t="str">
        <f aca="false">IF(IsPro,IF($D2619="","",IF(AND(V2619&lt;&gt;"",INDEX(Parties!$E$5:$E$304,V2619)&lt;&gt;"",INDEX(Parties!$E$5:$E$304,V2619)&lt;&gt;HomeState),0,ROUND(L2619*M2619/2,2))),"")</f>
        <v/>
      </c>
      <c r="O2619" s="61" t="str">
        <f aca="false">IF(IsPro,IF($D2619="","",N2619),"")</f>
        <v/>
      </c>
      <c r="P2619" s="61" t="str">
        <f aca="false">IF(IsPro,IF($D2619="","",IF(AND(V2619&lt;&gt;"",INDEX(Parties!$E$5:$E$304,V2619)&lt;&gt;"",INDEX(Parties!$E$5:$E$304,V2619)&lt;&gt;HomeState),ROUND(L2619*M2619,2),0)),"")</f>
        <v/>
      </c>
      <c r="Q2619" s="61" t="str">
        <f aca="false">IF(IsPro,IF($D2619="","",L2619+N2619+O2619+P2619),"")</f>
        <v/>
      </c>
      <c r="R2619" s="61" t="str">
        <f aca="false">IF(IsPro,IF($D2619="","",ROUND(N($E2619)*IFERROR(INDEX(Items!$P$5:$P$504,U2619),0),2)),"")</f>
        <v/>
      </c>
      <c r="S2619" s="61" t="str">
        <f aca="false">IF(IsPro,IF($D2619="","",L2619-R2619),"")</f>
        <v/>
      </c>
      <c r="T2619" s="60" t="str">
        <f aca="false">IF(IsPro,IF($D2619="","",IF(U2619="","UNKNOWN ITEM",IF(INDEX(Items!$O$5:$O$504,U2619)&lt;0,"NEG STOCK",IF(K2619&lt;INDEX(Items!$P$5:$P$504,U2619),"BELOW COST","OK")))),IF($D2619="","","PRO PLAN"))</f>
        <v/>
      </c>
      <c r="U2619" s="60" t="str">
        <f aca="false">IF(IsPro,IF($D2619="","",IFERROR(MATCH($D2619,Items!$A$5:$A$504,0),"")),"")</f>
        <v/>
      </c>
      <c r="V2619" s="60" t="str">
        <f aca="false">IF(IsPro,IF($C2619="","",IFERROR(MATCH($C2619,Parties!$A$5:$A$304,0),"")),"")</f>
        <v/>
      </c>
      <c r="W2619" s="60" t="str">
        <f aca="false">IF(IsPro,IF($B2619="","",IFERROR(VALUE(SUBSTITUTE($B2619,InvPrefix,"")),0)),"")</f>
        <v/>
      </c>
      <c r="X2619" s="61" t="str">
        <f aca="false">IF(IsPro,IF($D2619="","",IF(OR($H2619="",$H2619="Credit"),0,Q2619)),"")</f>
        <v/>
      </c>
    </row>
    <row r="2620" customFormat="false" ht="15" hidden="false" customHeight="false" outlineLevel="0" collapsed="false">
      <c r="A2620" s="55"/>
      <c r="B2620" s="56"/>
      <c r="C2620" s="56"/>
      <c r="D2620" s="56"/>
      <c r="E2620" s="57"/>
      <c r="F2620" s="58"/>
      <c r="G2620" s="59"/>
      <c r="H2620" s="56"/>
      <c r="I2620" s="56"/>
      <c r="J2620" s="60" t="str">
        <f aca="false">IF(IsPro,IF($D2620="","",IFERROR(INDEX(Items!$D$5:$D$504,U2620),"")),"")</f>
        <v/>
      </c>
      <c r="K2620" s="61" t="str">
        <f aca="false">IF(IsPro,IF($D2620="","",IF($F2620="",IFERROR(INDEX(Items!$H$5:$H$504,U2620),0),$F2620)),"")</f>
        <v/>
      </c>
      <c r="L2620" s="61" t="str">
        <f aca="false">IF(IsPro,IF($D2620="","",ROUND(N($E2620)*K2620*(1-N($G2620)),2)),"")</f>
        <v/>
      </c>
      <c r="M2620" s="62" t="str">
        <f aca="false">IF(IsPro,IF($D2620="","",IFERROR(INDEX(Items!$F$5:$F$504,U2620),0)),"")</f>
        <v/>
      </c>
      <c r="N2620" s="61" t="str">
        <f aca="false">IF(IsPro,IF($D2620="","",IF(AND(V2620&lt;&gt;"",INDEX(Parties!$E$5:$E$304,V2620)&lt;&gt;"",INDEX(Parties!$E$5:$E$304,V2620)&lt;&gt;HomeState),0,ROUND(L2620*M2620/2,2))),"")</f>
        <v/>
      </c>
      <c r="O2620" s="61" t="str">
        <f aca="false">IF(IsPro,IF($D2620="","",N2620),"")</f>
        <v/>
      </c>
      <c r="P2620" s="61" t="str">
        <f aca="false">IF(IsPro,IF($D2620="","",IF(AND(V2620&lt;&gt;"",INDEX(Parties!$E$5:$E$304,V2620)&lt;&gt;"",INDEX(Parties!$E$5:$E$304,V2620)&lt;&gt;HomeState),ROUND(L2620*M2620,2),0)),"")</f>
        <v/>
      </c>
      <c r="Q2620" s="61" t="str">
        <f aca="false">IF(IsPro,IF($D2620="","",L2620+N2620+O2620+P2620),"")</f>
        <v/>
      </c>
      <c r="R2620" s="61" t="str">
        <f aca="false">IF(IsPro,IF($D2620="","",ROUND(N($E2620)*IFERROR(INDEX(Items!$P$5:$P$504,U2620),0),2)),"")</f>
        <v/>
      </c>
      <c r="S2620" s="61" t="str">
        <f aca="false">IF(IsPro,IF($D2620="","",L2620-R2620),"")</f>
        <v/>
      </c>
      <c r="T2620" s="60" t="str">
        <f aca="false">IF(IsPro,IF($D2620="","",IF(U2620="","UNKNOWN ITEM",IF(INDEX(Items!$O$5:$O$504,U2620)&lt;0,"NEG STOCK",IF(K2620&lt;INDEX(Items!$P$5:$P$504,U2620),"BELOW COST","OK")))),IF($D2620="","","PRO PLAN"))</f>
        <v/>
      </c>
      <c r="U2620" s="60" t="str">
        <f aca="false">IF(IsPro,IF($D2620="","",IFERROR(MATCH($D2620,Items!$A$5:$A$504,0),"")),"")</f>
        <v/>
      </c>
      <c r="V2620" s="60" t="str">
        <f aca="false">IF(IsPro,IF($C2620="","",IFERROR(MATCH($C2620,Parties!$A$5:$A$304,0),"")),"")</f>
        <v/>
      </c>
      <c r="W2620" s="60" t="str">
        <f aca="false">IF(IsPro,IF($B2620="","",IFERROR(VALUE(SUBSTITUTE($B2620,InvPrefix,"")),0)),"")</f>
        <v/>
      </c>
      <c r="X2620" s="61" t="str">
        <f aca="false">IF(IsPro,IF($D2620="","",IF(OR($H2620="",$H2620="Credit"),0,Q2620)),"")</f>
        <v/>
      </c>
    </row>
    <row r="2621" customFormat="false" ht="15" hidden="false" customHeight="false" outlineLevel="0" collapsed="false">
      <c r="A2621" s="55"/>
      <c r="B2621" s="56"/>
      <c r="C2621" s="56"/>
      <c r="D2621" s="56"/>
      <c r="E2621" s="57"/>
      <c r="F2621" s="58"/>
      <c r="G2621" s="59"/>
      <c r="H2621" s="56"/>
      <c r="I2621" s="56"/>
      <c r="J2621" s="60" t="str">
        <f aca="false">IF(IsPro,IF($D2621="","",IFERROR(INDEX(Items!$D$5:$D$504,U2621),"")),"")</f>
        <v/>
      </c>
      <c r="K2621" s="61" t="str">
        <f aca="false">IF(IsPro,IF($D2621="","",IF($F2621="",IFERROR(INDEX(Items!$H$5:$H$504,U2621),0),$F2621)),"")</f>
        <v/>
      </c>
      <c r="L2621" s="61" t="str">
        <f aca="false">IF(IsPro,IF($D2621="","",ROUND(N($E2621)*K2621*(1-N($G2621)),2)),"")</f>
        <v/>
      </c>
      <c r="M2621" s="62" t="str">
        <f aca="false">IF(IsPro,IF($D2621="","",IFERROR(INDEX(Items!$F$5:$F$504,U2621),0)),"")</f>
        <v/>
      </c>
      <c r="N2621" s="61" t="str">
        <f aca="false">IF(IsPro,IF($D2621="","",IF(AND(V2621&lt;&gt;"",INDEX(Parties!$E$5:$E$304,V2621)&lt;&gt;"",INDEX(Parties!$E$5:$E$304,V2621)&lt;&gt;HomeState),0,ROUND(L2621*M2621/2,2))),"")</f>
        <v/>
      </c>
      <c r="O2621" s="61" t="str">
        <f aca="false">IF(IsPro,IF($D2621="","",N2621),"")</f>
        <v/>
      </c>
      <c r="P2621" s="61" t="str">
        <f aca="false">IF(IsPro,IF($D2621="","",IF(AND(V2621&lt;&gt;"",INDEX(Parties!$E$5:$E$304,V2621)&lt;&gt;"",INDEX(Parties!$E$5:$E$304,V2621)&lt;&gt;HomeState),ROUND(L2621*M2621,2),0)),"")</f>
        <v/>
      </c>
      <c r="Q2621" s="61" t="str">
        <f aca="false">IF(IsPro,IF($D2621="","",L2621+N2621+O2621+P2621),"")</f>
        <v/>
      </c>
      <c r="R2621" s="61" t="str">
        <f aca="false">IF(IsPro,IF($D2621="","",ROUND(N($E2621)*IFERROR(INDEX(Items!$P$5:$P$504,U2621),0),2)),"")</f>
        <v/>
      </c>
      <c r="S2621" s="61" t="str">
        <f aca="false">IF(IsPro,IF($D2621="","",L2621-R2621),"")</f>
        <v/>
      </c>
      <c r="T2621" s="60" t="str">
        <f aca="false">IF(IsPro,IF($D2621="","",IF(U2621="","UNKNOWN ITEM",IF(INDEX(Items!$O$5:$O$504,U2621)&lt;0,"NEG STOCK",IF(K2621&lt;INDEX(Items!$P$5:$P$504,U2621),"BELOW COST","OK")))),IF($D2621="","","PRO PLAN"))</f>
        <v/>
      </c>
      <c r="U2621" s="60" t="str">
        <f aca="false">IF(IsPro,IF($D2621="","",IFERROR(MATCH($D2621,Items!$A$5:$A$504,0),"")),"")</f>
        <v/>
      </c>
      <c r="V2621" s="60" t="str">
        <f aca="false">IF(IsPro,IF($C2621="","",IFERROR(MATCH($C2621,Parties!$A$5:$A$304,0),"")),"")</f>
        <v/>
      </c>
      <c r="W2621" s="60" t="str">
        <f aca="false">IF(IsPro,IF($B2621="","",IFERROR(VALUE(SUBSTITUTE($B2621,InvPrefix,"")),0)),"")</f>
        <v/>
      </c>
      <c r="X2621" s="61" t="str">
        <f aca="false">IF(IsPro,IF($D2621="","",IF(OR($H2621="",$H2621="Credit"),0,Q2621)),"")</f>
        <v/>
      </c>
    </row>
    <row r="2622" customFormat="false" ht="15" hidden="false" customHeight="false" outlineLevel="0" collapsed="false">
      <c r="A2622" s="55"/>
      <c r="B2622" s="56"/>
      <c r="C2622" s="56"/>
      <c r="D2622" s="56"/>
      <c r="E2622" s="57"/>
      <c r="F2622" s="58"/>
      <c r="G2622" s="59"/>
      <c r="H2622" s="56"/>
      <c r="I2622" s="56"/>
      <c r="J2622" s="60" t="str">
        <f aca="false">IF(IsPro,IF($D2622="","",IFERROR(INDEX(Items!$D$5:$D$504,U2622),"")),"")</f>
        <v/>
      </c>
      <c r="K2622" s="61" t="str">
        <f aca="false">IF(IsPro,IF($D2622="","",IF($F2622="",IFERROR(INDEX(Items!$H$5:$H$504,U2622),0),$F2622)),"")</f>
        <v/>
      </c>
      <c r="L2622" s="61" t="str">
        <f aca="false">IF(IsPro,IF($D2622="","",ROUND(N($E2622)*K2622*(1-N($G2622)),2)),"")</f>
        <v/>
      </c>
      <c r="M2622" s="62" t="str">
        <f aca="false">IF(IsPro,IF($D2622="","",IFERROR(INDEX(Items!$F$5:$F$504,U2622),0)),"")</f>
        <v/>
      </c>
      <c r="N2622" s="61" t="str">
        <f aca="false">IF(IsPro,IF($D2622="","",IF(AND(V2622&lt;&gt;"",INDEX(Parties!$E$5:$E$304,V2622)&lt;&gt;"",INDEX(Parties!$E$5:$E$304,V2622)&lt;&gt;HomeState),0,ROUND(L2622*M2622/2,2))),"")</f>
        <v/>
      </c>
      <c r="O2622" s="61" t="str">
        <f aca="false">IF(IsPro,IF($D2622="","",N2622),"")</f>
        <v/>
      </c>
      <c r="P2622" s="61" t="str">
        <f aca="false">IF(IsPro,IF($D2622="","",IF(AND(V2622&lt;&gt;"",INDEX(Parties!$E$5:$E$304,V2622)&lt;&gt;"",INDEX(Parties!$E$5:$E$304,V2622)&lt;&gt;HomeState),ROUND(L2622*M2622,2),0)),"")</f>
        <v/>
      </c>
      <c r="Q2622" s="61" t="str">
        <f aca="false">IF(IsPro,IF($D2622="","",L2622+N2622+O2622+P2622),"")</f>
        <v/>
      </c>
      <c r="R2622" s="61" t="str">
        <f aca="false">IF(IsPro,IF($D2622="","",ROUND(N($E2622)*IFERROR(INDEX(Items!$P$5:$P$504,U2622),0),2)),"")</f>
        <v/>
      </c>
      <c r="S2622" s="61" t="str">
        <f aca="false">IF(IsPro,IF($D2622="","",L2622-R2622),"")</f>
        <v/>
      </c>
      <c r="T2622" s="60" t="str">
        <f aca="false">IF(IsPro,IF($D2622="","",IF(U2622="","UNKNOWN ITEM",IF(INDEX(Items!$O$5:$O$504,U2622)&lt;0,"NEG STOCK",IF(K2622&lt;INDEX(Items!$P$5:$P$504,U2622),"BELOW COST","OK")))),IF($D2622="","","PRO PLAN"))</f>
        <v/>
      </c>
      <c r="U2622" s="60" t="str">
        <f aca="false">IF(IsPro,IF($D2622="","",IFERROR(MATCH($D2622,Items!$A$5:$A$504,0),"")),"")</f>
        <v/>
      </c>
      <c r="V2622" s="60" t="str">
        <f aca="false">IF(IsPro,IF($C2622="","",IFERROR(MATCH($C2622,Parties!$A$5:$A$304,0),"")),"")</f>
        <v/>
      </c>
      <c r="W2622" s="60" t="str">
        <f aca="false">IF(IsPro,IF($B2622="","",IFERROR(VALUE(SUBSTITUTE($B2622,InvPrefix,"")),0)),"")</f>
        <v/>
      </c>
      <c r="X2622" s="61" t="str">
        <f aca="false">IF(IsPro,IF($D2622="","",IF(OR($H2622="",$H2622="Credit"),0,Q2622)),"")</f>
        <v/>
      </c>
    </row>
    <row r="2623" customFormat="false" ht="15" hidden="false" customHeight="false" outlineLevel="0" collapsed="false">
      <c r="A2623" s="55"/>
      <c r="B2623" s="56"/>
      <c r="C2623" s="56"/>
      <c r="D2623" s="56"/>
      <c r="E2623" s="57"/>
      <c r="F2623" s="58"/>
      <c r="G2623" s="59"/>
      <c r="H2623" s="56"/>
      <c r="I2623" s="56"/>
      <c r="J2623" s="60" t="str">
        <f aca="false">IF(IsPro,IF($D2623="","",IFERROR(INDEX(Items!$D$5:$D$504,U2623),"")),"")</f>
        <v/>
      </c>
      <c r="K2623" s="61" t="str">
        <f aca="false">IF(IsPro,IF($D2623="","",IF($F2623="",IFERROR(INDEX(Items!$H$5:$H$504,U2623),0),$F2623)),"")</f>
        <v/>
      </c>
      <c r="L2623" s="61" t="str">
        <f aca="false">IF(IsPro,IF($D2623="","",ROUND(N($E2623)*K2623*(1-N($G2623)),2)),"")</f>
        <v/>
      </c>
      <c r="M2623" s="62" t="str">
        <f aca="false">IF(IsPro,IF($D2623="","",IFERROR(INDEX(Items!$F$5:$F$504,U2623),0)),"")</f>
        <v/>
      </c>
      <c r="N2623" s="61" t="str">
        <f aca="false">IF(IsPro,IF($D2623="","",IF(AND(V2623&lt;&gt;"",INDEX(Parties!$E$5:$E$304,V2623)&lt;&gt;"",INDEX(Parties!$E$5:$E$304,V2623)&lt;&gt;HomeState),0,ROUND(L2623*M2623/2,2))),"")</f>
        <v/>
      </c>
      <c r="O2623" s="61" t="str">
        <f aca="false">IF(IsPro,IF($D2623="","",N2623),"")</f>
        <v/>
      </c>
      <c r="P2623" s="61" t="str">
        <f aca="false">IF(IsPro,IF($D2623="","",IF(AND(V2623&lt;&gt;"",INDEX(Parties!$E$5:$E$304,V2623)&lt;&gt;"",INDEX(Parties!$E$5:$E$304,V2623)&lt;&gt;HomeState),ROUND(L2623*M2623,2),0)),"")</f>
        <v/>
      </c>
      <c r="Q2623" s="61" t="str">
        <f aca="false">IF(IsPro,IF($D2623="","",L2623+N2623+O2623+P2623),"")</f>
        <v/>
      </c>
      <c r="R2623" s="61" t="str">
        <f aca="false">IF(IsPro,IF($D2623="","",ROUND(N($E2623)*IFERROR(INDEX(Items!$P$5:$P$504,U2623),0),2)),"")</f>
        <v/>
      </c>
      <c r="S2623" s="61" t="str">
        <f aca="false">IF(IsPro,IF($D2623="","",L2623-R2623),"")</f>
        <v/>
      </c>
      <c r="T2623" s="60" t="str">
        <f aca="false">IF(IsPro,IF($D2623="","",IF(U2623="","UNKNOWN ITEM",IF(INDEX(Items!$O$5:$O$504,U2623)&lt;0,"NEG STOCK",IF(K2623&lt;INDEX(Items!$P$5:$P$504,U2623),"BELOW COST","OK")))),IF($D2623="","","PRO PLAN"))</f>
        <v/>
      </c>
      <c r="U2623" s="60" t="str">
        <f aca="false">IF(IsPro,IF($D2623="","",IFERROR(MATCH($D2623,Items!$A$5:$A$504,0),"")),"")</f>
        <v/>
      </c>
      <c r="V2623" s="60" t="str">
        <f aca="false">IF(IsPro,IF($C2623="","",IFERROR(MATCH($C2623,Parties!$A$5:$A$304,0),"")),"")</f>
        <v/>
      </c>
      <c r="W2623" s="60" t="str">
        <f aca="false">IF(IsPro,IF($B2623="","",IFERROR(VALUE(SUBSTITUTE($B2623,InvPrefix,"")),0)),"")</f>
        <v/>
      </c>
      <c r="X2623" s="61" t="str">
        <f aca="false">IF(IsPro,IF($D2623="","",IF(OR($H2623="",$H2623="Credit"),0,Q2623)),"")</f>
        <v/>
      </c>
    </row>
    <row r="2624" customFormat="false" ht="15" hidden="false" customHeight="false" outlineLevel="0" collapsed="false">
      <c r="A2624" s="55"/>
      <c r="B2624" s="56"/>
      <c r="C2624" s="56"/>
      <c r="D2624" s="56"/>
      <c r="E2624" s="57"/>
      <c r="F2624" s="58"/>
      <c r="G2624" s="59"/>
      <c r="H2624" s="56"/>
      <c r="I2624" s="56"/>
      <c r="J2624" s="60" t="str">
        <f aca="false">IF(IsPro,IF($D2624="","",IFERROR(INDEX(Items!$D$5:$D$504,U2624),"")),"")</f>
        <v/>
      </c>
      <c r="K2624" s="61" t="str">
        <f aca="false">IF(IsPro,IF($D2624="","",IF($F2624="",IFERROR(INDEX(Items!$H$5:$H$504,U2624),0),$F2624)),"")</f>
        <v/>
      </c>
      <c r="L2624" s="61" t="str">
        <f aca="false">IF(IsPro,IF($D2624="","",ROUND(N($E2624)*K2624*(1-N($G2624)),2)),"")</f>
        <v/>
      </c>
      <c r="M2624" s="62" t="str">
        <f aca="false">IF(IsPro,IF($D2624="","",IFERROR(INDEX(Items!$F$5:$F$504,U2624),0)),"")</f>
        <v/>
      </c>
      <c r="N2624" s="61" t="str">
        <f aca="false">IF(IsPro,IF($D2624="","",IF(AND(V2624&lt;&gt;"",INDEX(Parties!$E$5:$E$304,V2624)&lt;&gt;"",INDEX(Parties!$E$5:$E$304,V2624)&lt;&gt;HomeState),0,ROUND(L2624*M2624/2,2))),"")</f>
        <v/>
      </c>
      <c r="O2624" s="61" t="str">
        <f aca="false">IF(IsPro,IF($D2624="","",N2624),"")</f>
        <v/>
      </c>
      <c r="P2624" s="61" t="str">
        <f aca="false">IF(IsPro,IF($D2624="","",IF(AND(V2624&lt;&gt;"",INDEX(Parties!$E$5:$E$304,V2624)&lt;&gt;"",INDEX(Parties!$E$5:$E$304,V2624)&lt;&gt;HomeState),ROUND(L2624*M2624,2),0)),"")</f>
        <v/>
      </c>
      <c r="Q2624" s="61" t="str">
        <f aca="false">IF(IsPro,IF($D2624="","",L2624+N2624+O2624+P2624),"")</f>
        <v/>
      </c>
      <c r="R2624" s="61" t="str">
        <f aca="false">IF(IsPro,IF($D2624="","",ROUND(N($E2624)*IFERROR(INDEX(Items!$P$5:$P$504,U2624),0),2)),"")</f>
        <v/>
      </c>
      <c r="S2624" s="61" t="str">
        <f aca="false">IF(IsPro,IF($D2624="","",L2624-R2624),"")</f>
        <v/>
      </c>
      <c r="T2624" s="60" t="str">
        <f aca="false">IF(IsPro,IF($D2624="","",IF(U2624="","UNKNOWN ITEM",IF(INDEX(Items!$O$5:$O$504,U2624)&lt;0,"NEG STOCK",IF(K2624&lt;INDEX(Items!$P$5:$P$504,U2624),"BELOW COST","OK")))),IF($D2624="","","PRO PLAN"))</f>
        <v/>
      </c>
      <c r="U2624" s="60" t="str">
        <f aca="false">IF(IsPro,IF($D2624="","",IFERROR(MATCH($D2624,Items!$A$5:$A$504,0),"")),"")</f>
        <v/>
      </c>
      <c r="V2624" s="60" t="str">
        <f aca="false">IF(IsPro,IF($C2624="","",IFERROR(MATCH($C2624,Parties!$A$5:$A$304,0),"")),"")</f>
        <v/>
      </c>
      <c r="W2624" s="60" t="str">
        <f aca="false">IF(IsPro,IF($B2624="","",IFERROR(VALUE(SUBSTITUTE($B2624,InvPrefix,"")),0)),"")</f>
        <v/>
      </c>
      <c r="X2624" s="61" t="str">
        <f aca="false">IF(IsPro,IF($D2624="","",IF(OR($H2624="",$H2624="Credit"),0,Q2624)),"")</f>
        <v/>
      </c>
    </row>
    <row r="2625" customFormat="false" ht="15" hidden="false" customHeight="false" outlineLevel="0" collapsed="false">
      <c r="A2625" s="55"/>
      <c r="B2625" s="56"/>
      <c r="C2625" s="56"/>
      <c r="D2625" s="56"/>
      <c r="E2625" s="57"/>
      <c r="F2625" s="58"/>
      <c r="G2625" s="59"/>
      <c r="H2625" s="56"/>
      <c r="I2625" s="56"/>
      <c r="J2625" s="60" t="str">
        <f aca="false">IF(IsPro,IF($D2625="","",IFERROR(INDEX(Items!$D$5:$D$504,U2625),"")),"")</f>
        <v/>
      </c>
      <c r="K2625" s="61" t="str">
        <f aca="false">IF(IsPro,IF($D2625="","",IF($F2625="",IFERROR(INDEX(Items!$H$5:$H$504,U2625),0),$F2625)),"")</f>
        <v/>
      </c>
      <c r="L2625" s="61" t="str">
        <f aca="false">IF(IsPro,IF($D2625="","",ROUND(N($E2625)*K2625*(1-N($G2625)),2)),"")</f>
        <v/>
      </c>
      <c r="M2625" s="62" t="str">
        <f aca="false">IF(IsPro,IF($D2625="","",IFERROR(INDEX(Items!$F$5:$F$504,U2625),0)),"")</f>
        <v/>
      </c>
      <c r="N2625" s="61" t="str">
        <f aca="false">IF(IsPro,IF($D2625="","",IF(AND(V2625&lt;&gt;"",INDEX(Parties!$E$5:$E$304,V2625)&lt;&gt;"",INDEX(Parties!$E$5:$E$304,V2625)&lt;&gt;HomeState),0,ROUND(L2625*M2625/2,2))),"")</f>
        <v/>
      </c>
      <c r="O2625" s="61" t="str">
        <f aca="false">IF(IsPro,IF($D2625="","",N2625),"")</f>
        <v/>
      </c>
      <c r="P2625" s="61" t="str">
        <f aca="false">IF(IsPro,IF($D2625="","",IF(AND(V2625&lt;&gt;"",INDEX(Parties!$E$5:$E$304,V2625)&lt;&gt;"",INDEX(Parties!$E$5:$E$304,V2625)&lt;&gt;HomeState),ROUND(L2625*M2625,2),0)),"")</f>
        <v/>
      </c>
      <c r="Q2625" s="61" t="str">
        <f aca="false">IF(IsPro,IF($D2625="","",L2625+N2625+O2625+P2625),"")</f>
        <v/>
      </c>
      <c r="R2625" s="61" t="str">
        <f aca="false">IF(IsPro,IF($D2625="","",ROUND(N($E2625)*IFERROR(INDEX(Items!$P$5:$P$504,U2625),0),2)),"")</f>
        <v/>
      </c>
      <c r="S2625" s="61" t="str">
        <f aca="false">IF(IsPro,IF($D2625="","",L2625-R2625),"")</f>
        <v/>
      </c>
      <c r="T2625" s="60" t="str">
        <f aca="false">IF(IsPro,IF($D2625="","",IF(U2625="","UNKNOWN ITEM",IF(INDEX(Items!$O$5:$O$504,U2625)&lt;0,"NEG STOCK",IF(K2625&lt;INDEX(Items!$P$5:$P$504,U2625),"BELOW COST","OK")))),IF($D2625="","","PRO PLAN"))</f>
        <v/>
      </c>
      <c r="U2625" s="60" t="str">
        <f aca="false">IF(IsPro,IF($D2625="","",IFERROR(MATCH($D2625,Items!$A$5:$A$504,0),"")),"")</f>
        <v/>
      </c>
      <c r="V2625" s="60" t="str">
        <f aca="false">IF(IsPro,IF($C2625="","",IFERROR(MATCH($C2625,Parties!$A$5:$A$304,0),"")),"")</f>
        <v/>
      </c>
      <c r="W2625" s="60" t="str">
        <f aca="false">IF(IsPro,IF($B2625="","",IFERROR(VALUE(SUBSTITUTE($B2625,InvPrefix,"")),0)),"")</f>
        <v/>
      </c>
      <c r="X2625" s="61" t="str">
        <f aca="false">IF(IsPro,IF($D2625="","",IF(OR($H2625="",$H2625="Credit"),0,Q2625)),"")</f>
        <v/>
      </c>
    </row>
    <row r="2626" customFormat="false" ht="15" hidden="false" customHeight="false" outlineLevel="0" collapsed="false">
      <c r="A2626" s="55"/>
      <c r="B2626" s="56"/>
      <c r="C2626" s="56"/>
      <c r="D2626" s="56"/>
      <c r="E2626" s="57"/>
      <c r="F2626" s="58"/>
      <c r="G2626" s="59"/>
      <c r="H2626" s="56"/>
      <c r="I2626" s="56"/>
      <c r="J2626" s="60" t="str">
        <f aca="false">IF(IsPro,IF($D2626="","",IFERROR(INDEX(Items!$D$5:$D$504,U2626),"")),"")</f>
        <v/>
      </c>
      <c r="K2626" s="61" t="str">
        <f aca="false">IF(IsPro,IF($D2626="","",IF($F2626="",IFERROR(INDEX(Items!$H$5:$H$504,U2626),0),$F2626)),"")</f>
        <v/>
      </c>
      <c r="L2626" s="61" t="str">
        <f aca="false">IF(IsPro,IF($D2626="","",ROUND(N($E2626)*K2626*(1-N($G2626)),2)),"")</f>
        <v/>
      </c>
      <c r="M2626" s="62" t="str">
        <f aca="false">IF(IsPro,IF($D2626="","",IFERROR(INDEX(Items!$F$5:$F$504,U2626),0)),"")</f>
        <v/>
      </c>
      <c r="N2626" s="61" t="str">
        <f aca="false">IF(IsPro,IF($D2626="","",IF(AND(V2626&lt;&gt;"",INDEX(Parties!$E$5:$E$304,V2626)&lt;&gt;"",INDEX(Parties!$E$5:$E$304,V2626)&lt;&gt;HomeState),0,ROUND(L2626*M2626/2,2))),"")</f>
        <v/>
      </c>
      <c r="O2626" s="61" t="str">
        <f aca="false">IF(IsPro,IF($D2626="","",N2626),"")</f>
        <v/>
      </c>
      <c r="P2626" s="61" t="str">
        <f aca="false">IF(IsPro,IF($D2626="","",IF(AND(V2626&lt;&gt;"",INDEX(Parties!$E$5:$E$304,V2626)&lt;&gt;"",INDEX(Parties!$E$5:$E$304,V2626)&lt;&gt;HomeState),ROUND(L2626*M2626,2),0)),"")</f>
        <v/>
      </c>
      <c r="Q2626" s="61" t="str">
        <f aca="false">IF(IsPro,IF($D2626="","",L2626+N2626+O2626+P2626),"")</f>
        <v/>
      </c>
      <c r="R2626" s="61" t="str">
        <f aca="false">IF(IsPro,IF($D2626="","",ROUND(N($E2626)*IFERROR(INDEX(Items!$P$5:$P$504,U2626),0),2)),"")</f>
        <v/>
      </c>
      <c r="S2626" s="61" t="str">
        <f aca="false">IF(IsPro,IF($D2626="","",L2626-R2626),"")</f>
        <v/>
      </c>
      <c r="T2626" s="60" t="str">
        <f aca="false">IF(IsPro,IF($D2626="","",IF(U2626="","UNKNOWN ITEM",IF(INDEX(Items!$O$5:$O$504,U2626)&lt;0,"NEG STOCK",IF(K2626&lt;INDEX(Items!$P$5:$P$504,U2626),"BELOW COST","OK")))),IF($D2626="","","PRO PLAN"))</f>
        <v/>
      </c>
      <c r="U2626" s="60" t="str">
        <f aca="false">IF(IsPro,IF($D2626="","",IFERROR(MATCH($D2626,Items!$A$5:$A$504,0),"")),"")</f>
        <v/>
      </c>
      <c r="V2626" s="60" t="str">
        <f aca="false">IF(IsPro,IF($C2626="","",IFERROR(MATCH($C2626,Parties!$A$5:$A$304,0),"")),"")</f>
        <v/>
      </c>
      <c r="W2626" s="60" t="str">
        <f aca="false">IF(IsPro,IF($B2626="","",IFERROR(VALUE(SUBSTITUTE($B2626,InvPrefix,"")),0)),"")</f>
        <v/>
      </c>
      <c r="X2626" s="61" t="str">
        <f aca="false">IF(IsPro,IF($D2626="","",IF(OR($H2626="",$H2626="Credit"),0,Q2626)),"")</f>
        <v/>
      </c>
    </row>
    <row r="2627" customFormat="false" ht="15" hidden="false" customHeight="false" outlineLevel="0" collapsed="false">
      <c r="A2627" s="55"/>
      <c r="B2627" s="56"/>
      <c r="C2627" s="56"/>
      <c r="D2627" s="56"/>
      <c r="E2627" s="57"/>
      <c r="F2627" s="58"/>
      <c r="G2627" s="59"/>
      <c r="H2627" s="56"/>
      <c r="I2627" s="56"/>
      <c r="J2627" s="60" t="str">
        <f aca="false">IF(IsPro,IF($D2627="","",IFERROR(INDEX(Items!$D$5:$D$504,U2627),"")),"")</f>
        <v/>
      </c>
      <c r="K2627" s="61" t="str">
        <f aca="false">IF(IsPro,IF($D2627="","",IF($F2627="",IFERROR(INDEX(Items!$H$5:$H$504,U2627),0),$F2627)),"")</f>
        <v/>
      </c>
      <c r="L2627" s="61" t="str">
        <f aca="false">IF(IsPro,IF($D2627="","",ROUND(N($E2627)*K2627*(1-N($G2627)),2)),"")</f>
        <v/>
      </c>
      <c r="M2627" s="62" t="str">
        <f aca="false">IF(IsPro,IF($D2627="","",IFERROR(INDEX(Items!$F$5:$F$504,U2627),0)),"")</f>
        <v/>
      </c>
      <c r="N2627" s="61" t="str">
        <f aca="false">IF(IsPro,IF($D2627="","",IF(AND(V2627&lt;&gt;"",INDEX(Parties!$E$5:$E$304,V2627)&lt;&gt;"",INDEX(Parties!$E$5:$E$304,V2627)&lt;&gt;HomeState),0,ROUND(L2627*M2627/2,2))),"")</f>
        <v/>
      </c>
      <c r="O2627" s="61" t="str">
        <f aca="false">IF(IsPro,IF($D2627="","",N2627),"")</f>
        <v/>
      </c>
      <c r="P2627" s="61" t="str">
        <f aca="false">IF(IsPro,IF($D2627="","",IF(AND(V2627&lt;&gt;"",INDEX(Parties!$E$5:$E$304,V2627)&lt;&gt;"",INDEX(Parties!$E$5:$E$304,V2627)&lt;&gt;HomeState),ROUND(L2627*M2627,2),0)),"")</f>
        <v/>
      </c>
      <c r="Q2627" s="61" t="str">
        <f aca="false">IF(IsPro,IF($D2627="","",L2627+N2627+O2627+P2627),"")</f>
        <v/>
      </c>
      <c r="R2627" s="61" t="str">
        <f aca="false">IF(IsPro,IF($D2627="","",ROUND(N($E2627)*IFERROR(INDEX(Items!$P$5:$P$504,U2627),0),2)),"")</f>
        <v/>
      </c>
      <c r="S2627" s="61" t="str">
        <f aca="false">IF(IsPro,IF($D2627="","",L2627-R2627),"")</f>
        <v/>
      </c>
      <c r="T2627" s="60" t="str">
        <f aca="false">IF(IsPro,IF($D2627="","",IF(U2627="","UNKNOWN ITEM",IF(INDEX(Items!$O$5:$O$504,U2627)&lt;0,"NEG STOCK",IF(K2627&lt;INDEX(Items!$P$5:$P$504,U2627),"BELOW COST","OK")))),IF($D2627="","","PRO PLAN"))</f>
        <v/>
      </c>
      <c r="U2627" s="60" t="str">
        <f aca="false">IF(IsPro,IF($D2627="","",IFERROR(MATCH($D2627,Items!$A$5:$A$504,0),"")),"")</f>
        <v/>
      </c>
      <c r="V2627" s="60" t="str">
        <f aca="false">IF(IsPro,IF($C2627="","",IFERROR(MATCH($C2627,Parties!$A$5:$A$304,0),"")),"")</f>
        <v/>
      </c>
      <c r="W2627" s="60" t="str">
        <f aca="false">IF(IsPro,IF($B2627="","",IFERROR(VALUE(SUBSTITUTE($B2627,InvPrefix,"")),0)),"")</f>
        <v/>
      </c>
      <c r="X2627" s="61" t="str">
        <f aca="false">IF(IsPro,IF($D2627="","",IF(OR($H2627="",$H2627="Credit"),0,Q2627)),"")</f>
        <v/>
      </c>
    </row>
    <row r="2628" customFormat="false" ht="15" hidden="false" customHeight="false" outlineLevel="0" collapsed="false">
      <c r="A2628" s="55"/>
      <c r="B2628" s="56"/>
      <c r="C2628" s="56"/>
      <c r="D2628" s="56"/>
      <c r="E2628" s="57"/>
      <c r="F2628" s="58"/>
      <c r="G2628" s="59"/>
      <c r="H2628" s="56"/>
      <c r="I2628" s="56"/>
      <c r="J2628" s="60" t="str">
        <f aca="false">IF(IsPro,IF($D2628="","",IFERROR(INDEX(Items!$D$5:$D$504,U2628),"")),"")</f>
        <v/>
      </c>
      <c r="K2628" s="61" t="str">
        <f aca="false">IF(IsPro,IF($D2628="","",IF($F2628="",IFERROR(INDEX(Items!$H$5:$H$504,U2628),0),$F2628)),"")</f>
        <v/>
      </c>
      <c r="L2628" s="61" t="str">
        <f aca="false">IF(IsPro,IF($D2628="","",ROUND(N($E2628)*K2628*(1-N($G2628)),2)),"")</f>
        <v/>
      </c>
      <c r="M2628" s="62" t="str">
        <f aca="false">IF(IsPro,IF($D2628="","",IFERROR(INDEX(Items!$F$5:$F$504,U2628),0)),"")</f>
        <v/>
      </c>
      <c r="N2628" s="61" t="str">
        <f aca="false">IF(IsPro,IF($D2628="","",IF(AND(V2628&lt;&gt;"",INDEX(Parties!$E$5:$E$304,V2628)&lt;&gt;"",INDEX(Parties!$E$5:$E$304,V2628)&lt;&gt;HomeState),0,ROUND(L2628*M2628/2,2))),"")</f>
        <v/>
      </c>
      <c r="O2628" s="61" t="str">
        <f aca="false">IF(IsPro,IF($D2628="","",N2628),"")</f>
        <v/>
      </c>
      <c r="P2628" s="61" t="str">
        <f aca="false">IF(IsPro,IF($D2628="","",IF(AND(V2628&lt;&gt;"",INDEX(Parties!$E$5:$E$304,V2628)&lt;&gt;"",INDEX(Parties!$E$5:$E$304,V2628)&lt;&gt;HomeState),ROUND(L2628*M2628,2),0)),"")</f>
        <v/>
      </c>
      <c r="Q2628" s="61" t="str">
        <f aca="false">IF(IsPro,IF($D2628="","",L2628+N2628+O2628+P2628),"")</f>
        <v/>
      </c>
      <c r="R2628" s="61" t="str">
        <f aca="false">IF(IsPro,IF($D2628="","",ROUND(N($E2628)*IFERROR(INDEX(Items!$P$5:$P$504,U2628),0),2)),"")</f>
        <v/>
      </c>
      <c r="S2628" s="61" t="str">
        <f aca="false">IF(IsPro,IF($D2628="","",L2628-R2628),"")</f>
        <v/>
      </c>
      <c r="T2628" s="60" t="str">
        <f aca="false">IF(IsPro,IF($D2628="","",IF(U2628="","UNKNOWN ITEM",IF(INDEX(Items!$O$5:$O$504,U2628)&lt;0,"NEG STOCK",IF(K2628&lt;INDEX(Items!$P$5:$P$504,U2628),"BELOW COST","OK")))),IF($D2628="","","PRO PLAN"))</f>
        <v/>
      </c>
      <c r="U2628" s="60" t="str">
        <f aca="false">IF(IsPro,IF($D2628="","",IFERROR(MATCH($D2628,Items!$A$5:$A$504,0),"")),"")</f>
        <v/>
      </c>
      <c r="V2628" s="60" t="str">
        <f aca="false">IF(IsPro,IF($C2628="","",IFERROR(MATCH($C2628,Parties!$A$5:$A$304,0),"")),"")</f>
        <v/>
      </c>
      <c r="W2628" s="60" t="str">
        <f aca="false">IF(IsPro,IF($B2628="","",IFERROR(VALUE(SUBSTITUTE($B2628,InvPrefix,"")),0)),"")</f>
        <v/>
      </c>
      <c r="X2628" s="61" t="str">
        <f aca="false">IF(IsPro,IF($D2628="","",IF(OR($H2628="",$H2628="Credit"),0,Q2628)),"")</f>
        <v/>
      </c>
    </row>
    <row r="2629" customFormat="false" ht="15" hidden="false" customHeight="false" outlineLevel="0" collapsed="false">
      <c r="A2629" s="55"/>
      <c r="B2629" s="56"/>
      <c r="C2629" s="56"/>
      <c r="D2629" s="56"/>
      <c r="E2629" s="57"/>
      <c r="F2629" s="58"/>
      <c r="G2629" s="59"/>
      <c r="H2629" s="56"/>
      <c r="I2629" s="56"/>
      <c r="J2629" s="60" t="str">
        <f aca="false">IF(IsPro,IF($D2629="","",IFERROR(INDEX(Items!$D$5:$D$504,U2629),"")),"")</f>
        <v/>
      </c>
      <c r="K2629" s="61" t="str">
        <f aca="false">IF(IsPro,IF($D2629="","",IF($F2629="",IFERROR(INDEX(Items!$H$5:$H$504,U2629),0),$F2629)),"")</f>
        <v/>
      </c>
      <c r="L2629" s="61" t="str">
        <f aca="false">IF(IsPro,IF($D2629="","",ROUND(N($E2629)*K2629*(1-N($G2629)),2)),"")</f>
        <v/>
      </c>
      <c r="M2629" s="62" t="str">
        <f aca="false">IF(IsPro,IF($D2629="","",IFERROR(INDEX(Items!$F$5:$F$504,U2629),0)),"")</f>
        <v/>
      </c>
      <c r="N2629" s="61" t="str">
        <f aca="false">IF(IsPro,IF($D2629="","",IF(AND(V2629&lt;&gt;"",INDEX(Parties!$E$5:$E$304,V2629)&lt;&gt;"",INDEX(Parties!$E$5:$E$304,V2629)&lt;&gt;HomeState),0,ROUND(L2629*M2629/2,2))),"")</f>
        <v/>
      </c>
      <c r="O2629" s="61" t="str">
        <f aca="false">IF(IsPro,IF($D2629="","",N2629),"")</f>
        <v/>
      </c>
      <c r="P2629" s="61" t="str">
        <f aca="false">IF(IsPro,IF($D2629="","",IF(AND(V2629&lt;&gt;"",INDEX(Parties!$E$5:$E$304,V2629)&lt;&gt;"",INDEX(Parties!$E$5:$E$304,V2629)&lt;&gt;HomeState),ROUND(L2629*M2629,2),0)),"")</f>
        <v/>
      </c>
      <c r="Q2629" s="61" t="str">
        <f aca="false">IF(IsPro,IF($D2629="","",L2629+N2629+O2629+P2629),"")</f>
        <v/>
      </c>
      <c r="R2629" s="61" t="str">
        <f aca="false">IF(IsPro,IF($D2629="","",ROUND(N($E2629)*IFERROR(INDEX(Items!$P$5:$P$504,U2629),0),2)),"")</f>
        <v/>
      </c>
      <c r="S2629" s="61" t="str">
        <f aca="false">IF(IsPro,IF($D2629="","",L2629-R2629),"")</f>
        <v/>
      </c>
      <c r="T2629" s="60" t="str">
        <f aca="false">IF(IsPro,IF($D2629="","",IF(U2629="","UNKNOWN ITEM",IF(INDEX(Items!$O$5:$O$504,U2629)&lt;0,"NEG STOCK",IF(K2629&lt;INDEX(Items!$P$5:$P$504,U2629),"BELOW COST","OK")))),IF($D2629="","","PRO PLAN"))</f>
        <v/>
      </c>
      <c r="U2629" s="60" t="str">
        <f aca="false">IF(IsPro,IF($D2629="","",IFERROR(MATCH($D2629,Items!$A$5:$A$504,0),"")),"")</f>
        <v/>
      </c>
      <c r="V2629" s="60" t="str">
        <f aca="false">IF(IsPro,IF($C2629="","",IFERROR(MATCH($C2629,Parties!$A$5:$A$304,0),"")),"")</f>
        <v/>
      </c>
      <c r="W2629" s="60" t="str">
        <f aca="false">IF(IsPro,IF($B2629="","",IFERROR(VALUE(SUBSTITUTE($B2629,InvPrefix,"")),0)),"")</f>
        <v/>
      </c>
      <c r="X2629" s="61" t="str">
        <f aca="false">IF(IsPro,IF($D2629="","",IF(OR($H2629="",$H2629="Credit"),0,Q2629)),"")</f>
        <v/>
      </c>
    </row>
    <row r="2630" customFormat="false" ht="15" hidden="false" customHeight="false" outlineLevel="0" collapsed="false">
      <c r="A2630" s="55"/>
      <c r="B2630" s="56"/>
      <c r="C2630" s="56"/>
      <c r="D2630" s="56"/>
      <c r="E2630" s="57"/>
      <c r="F2630" s="58"/>
      <c r="G2630" s="59"/>
      <c r="H2630" s="56"/>
      <c r="I2630" s="56"/>
      <c r="J2630" s="60" t="str">
        <f aca="false">IF(IsPro,IF($D2630="","",IFERROR(INDEX(Items!$D$5:$D$504,U2630),"")),"")</f>
        <v/>
      </c>
      <c r="K2630" s="61" t="str">
        <f aca="false">IF(IsPro,IF($D2630="","",IF($F2630="",IFERROR(INDEX(Items!$H$5:$H$504,U2630),0),$F2630)),"")</f>
        <v/>
      </c>
      <c r="L2630" s="61" t="str">
        <f aca="false">IF(IsPro,IF($D2630="","",ROUND(N($E2630)*K2630*(1-N($G2630)),2)),"")</f>
        <v/>
      </c>
      <c r="M2630" s="62" t="str">
        <f aca="false">IF(IsPro,IF($D2630="","",IFERROR(INDEX(Items!$F$5:$F$504,U2630),0)),"")</f>
        <v/>
      </c>
      <c r="N2630" s="61" t="str">
        <f aca="false">IF(IsPro,IF($D2630="","",IF(AND(V2630&lt;&gt;"",INDEX(Parties!$E$5:$E$304,V2630)&lt;&gt;"",INDEX(Parties!$E$5:$E$304,V2630)&lt;&gt;HomeState),0,ROUND(L2630*M2630/2,2))),"")</f>
        <v/>
      </c>
      <c r="O2630" s="61" t="str">
        <f aca="false">IF(IsPro,IF($D2630="","",N2630),"")</f>
        <v/>
      </c>
      <c r="P2630" s="61" t="str">
        <f aca="false">IF(IsPro,IF($D2630="","",IF(AND(V2630&lt;&gt;"",INDEX(Parties!$E$5:$E$304,V2630)&lt;&gt;"",INDEX(Parties!$E$5:$E$304,V2630)&lt;&gt;HomeState),ROUND(L2630*M2630,2),0)),"")</f>
        <v/>
      </c>
      <c r="Q2630" s="61" t="str">
        <f aca="false">IF(IsPro,IF($D2630="","",L2630+N2630+O2630+P2630),"")</f>
        <v/>
      </c>
      <c r="R2630" s="61" t="str">
        <f aca="false">IF(IsPro,IF($D2630="","",ROUND(N($E2630)*IFERROR(INDEX(Items!$P$5:$P$504,U2630),0),2)),"")</f>
        <v/>
      </c>
      <c r="S2630" s="61" t="str">
        <f aca="false">IF(IsPro,IF($D2630="","",L2630-R2630),"")</f>
        <v/>
      </c>
      <c r="T2630" s="60" t="str">
        <f aca="false">IF(IsPro,IF($D2630="","",IF(U2630="","UNKNOWN ITEM",IF(INDEX(Items!$O$5:$O$504,U2630)&lt;0,"NEG STOCK",IF(K2630&lt;INDEX(Items!$P$5:$P$504,U2630),"BELOW COST","OK")))),IF($D2630="","","PRO PLAN"))</f>
        <v/>
      </c>
      <c r="U2630" s="60" t="str">
        <f aca="false">IF(IsPro,IF($D2630="","",IFERROR(MATCH($D2630,Items!$A$5:$A$504,0),"")),"")</f>
        <v/>
      </c>
      <c r="V2630" s="60" t="str">
        <f aca="false">IF(IsPro,IF($C2630="","",IFERROR(MATCH($C2630,Parties!$A$5:$A$304,0),"")),"")</f>
        <v/>
      </c>
      <c r="W2630" s="60" t="str">
        <f aca="false">IF(IsPro,IF($B2630="","",IFERROR(VALUE(SUBSTITUTE($B2630,InvPrefix,"")),0)),"")</f>
        <v/>
      </c>
      <c r="X2630" s="61" t="str">
        <f aca="false">IF(IsPro,IF($D2630="","",IF(OR($H2630="",$H2630="Credit"),0,Q2630)),"")</f>
        <v/>
      </c>
    </row>
    <row r="2631" customFormat="false" ht="15" hidden="false" customHeight="false" outlineLevel="0" collapsed="false">
      <c r="A2631" s="55"/>
      <c r="B2631" s="56"/>
      <c r="C2631" s="56"/>
      <c r="D2631" s="56"/>
      <c r="E2631" s="57"/>
      <c r="F2631" s="58"/>
      <c r="G2631" s="59"/>
      <c r="H2631" s="56"/>
      <c r="I2631" s="56"/>
      <c r="J2631" s="60" t="str">
        <f aca="false">IF(IsPro,IF($D2631="","",IFERROR(INDEX(Items!$D$5:$D$504,U2631),"")),"")</f>
        <v/>
      </c>
      <c r="K2631" s="61" t="str">
        <f aca="false">IF(IsPro,IF($D2631="","",IF($F2631="",IFERROR(INDEX(Items!$H$5:$H$504,U2631),0),$F2631)),"")</f>
        <v/>
      </c>
      <c r="L2631" s="61" t="str">
        <f aca="false">IF(IsPro,IF($D2631="","",ROUND(N($E2631)*K2631*(1-N($G2631)),2)),"")</f>
        <v/>
      </c>
      <c r="M2631" s="62" t="str">
        <f aca="false">IF(IsPro,IF($D2631="","",IFERROR(INDEX(Items!$F$5:$F$504,U2631),0)),"")</f>
        <v/>
      </c>
      <c r="N2631" s="61" t="str">
        <f aca="false">IF(IsPro,IF($D2631="","",IF(AND(V2631&lt;&gt;"",INDEX(Parties!$E$5:$E$304,V2631)&lt;&gt;"",INDEX(Parties!$E$5:$E$304,V2631)&lt;&gt;HomeState),0,ROUND(L2631*M2631/2,2))),"")</f>
        <v/>
      </c>
      <c r="O2631" s="61" t="str">
        <f aca="false">IF(IsPro,IF($D2631="","",N2631),"")</f>
        <v/>
      </c>
      <c r="P2631" s="61" t="str">
        <f aca="false">IF(IsPro,IF($D2631="","",IF(AND(V2631&lt;&gt;"",INDEX(Parties!$E$5:$E$304,V2631)&lt;&gt;"",INDEX(Parties!$E$5:$E$304,V2631)&lt;&gt;HomeState),ROUND(L2631*M2631,2),0)),"")</f>
        <v/>
      </c>
      <c r="Q2631" s="61" t="str">
        <f aca="false">IF(IsPro,IF($D2631="","",L2631+N2631+O2631+P2631),"")</f>
        <v/>
      </c>
      <c r="R2631" s="61" t="str">
        <f aca="false">IF(IsPro,IF($D2631="","",ROUND(N($E2631)*IFERROR(INDEX(Items!$P$5:$P$504,U2631),0),2)),"")</f>
        <v/>
      </c>
      <c r="S2631" s="61" t="str">
        <f aca="false">IF(IsPro,IF($D2631="","",L2631-R2631),"")</f>
        <v/>
      </c>
      <c r="T2631" s="60" t="str">
        <f aca="false">IF(IsPro,IF($D2631="","",IF(U2631="","UNKNOWN ITEM",IF(INDEX(Items!$O$5:$O$504,U2631)&lt;0,"NEG STOCK",IF(K2631&lt;INDEX(Items!$P$5:$P$504,U2631),"BELOW COST","OK")))),IF($D2631="","","PRO PLAN"))</f>
        <v/>
      </c>
      <c r="U2631" s="60" t="str">
        <f aca="false">IF(IsPro,IF($D2631="","",IFERROR(MATCH($D2631,Items!$A$5:$A$504,0),"")),"")</f>
        <v/>
      </c>
      <c r="V2631" s="60" t="str">
        <f aca="false">IF(IsPro,IF($C2631="","",IFERROR(MATCH($C2631,Parties!$A$5:$A$304,0),"")),"")</f>
        <v/>
      </c>
      <c r="W2631" s="60" t="str">
        <f aca="false">IF(IsPro,IF($B2631="","",IFERROR(VALUE(SUBSTITUTE($B2631,InvPrefix,"")),0)),"")</f>
        <v/>
      </c>
      <c r="X2631" s="61" t="str">
        <f aca="false">IF(IsPro,IF($D2631="","",IF(OR($H2631="",$H2631="Credit"),0,Q2631)),"")</f>
        <v/>
      </c>
    </row>
    <row r="2632" customFormat="false" ht="15" hidden="false" customHeight="false" outlineLevel="0" collapsed="false">
      <c r="A2632" s="55"/>
      <c r="B2632" s="56"/>
      <c r="C2632" s="56"/>
      <c r="D2632" s="56"/>
      <c r="E2632" s="57"/>
      <c r="F2632" s="58"/>
      <c r="G2632" s="59"/>
      <c r="H2632" s="56"/>
      <c r="I2632" s="56"/>
      <c r="J2632" s="60" t="str">
        <f aca="false">IF(IsPro,IF($D2632="","",IFERROR(INDEX(Items!$D$5:$D$504,U2632),"")),"")</f>
        <v/>
      </c>
      <c r="K2632" s="61" t="str">
        <f aca="false">IF(IsPro,IF($D2632="","",IF($F2632="",IFERROR(INDEX(Items!$H$5:$H$504,U2632),0),$F2632)),"")</f>
        <v/>
      </c>
      <c r="L2632" s="61" t="str">
        <f aca="false">IF(IsPro,IF($D2632="","",ROUND(N($E2632)*K2632*(1-N($G2632)),2)),"")</f>
        <v/>
      </c>
      <c r="M2632" s="62" t="str">
        <f aca="false">IF(IsPro,IF($D2632="","",IFERROR(INDEX(Items!$F$5:$F$504,U2632),0)),"")</f>
        <v/>
      </c>
      <c r="N2632" s="61" t="str">
        <f aca="false">IF(IsPro,IF($D2632="","",IF(AND(V2632&lt;&gt;"",INDEX(Parties!$E$5:$E$304,V2632)&lt;&gt;"",INDEX(Parties!$E$5:$E$304,V2632)&lt;&gt;HomeState),0,ROUND(L2632*M2632/2,2))),"")</f>
        <v/>
      </c>
      <c r="O2632" s="61" t="str">
        <f aca="false">IF(IsPro,IF($D2632="","",N2632),"")</f>
        <v/>
      </c>
      <c r="P2632" s="61" t="str">
        <f aca="false">IF(IsPro,IF($D2632="","",IF(AND(V2632&lt;&gt;"",INDEX(Parties!$E$5:$E$304,V2632)&lt;&gt;"",INDEX(Parties!$E$5:$E$304,V2632)&lt;&gt;HomeState),ROUND(L2632*M2632,2),0)),"")</f>
        <v/>
      </c>
      <c r="Q2632" s="61" t="str">
        <f aca="false">IF(IsPro,IF($D2632="","",L2632+N2632+O2632+P2632),"")</f>
        <v/>
      </c>
      <c r="R2632" s="61" t="str">
        <f aca="false">IF(IsPro,IF($D2632="","",ROUND(N($E2632)*IFERROR(INDEX(Items!$P$5:$P$504,U2632),0),2)),"")</f>
        <v/>
      </c>
      <c r="S2632" s="61" t="str">
        <f aca="false">IF(IsPro,IF($D2632="","",L2632-R2632),"")</f>
        <v/>
      </c>
      <c r="T2632" s="60" t="str">
        <f aca="false">IF(IsPro,IF($D2632="","",IF(U2632="","UNKNOWN ITEM",IF(INDEX(Items!$O$5:$O$504,U2632)&lt;0,"NEG STOCK",IF(K2632&lt;INDEX(Items!$P$5:$P$504,U2632),"BELOW COST","OK")))),IF($D2632="","","PRO PLAN"))</f>
        <v/>
      </c>
      <c r="U2632" s="60" t="str">
        <f aca="false">IF(IsPro,IF($D2632="","",IFERROR(MATCH($D2632,Items!$A$5:$A$504,0),"")),"")</f>
        <v/>
      </c>
      <c r="V2632" s="60" t="str">
        <f aca="false">IF(IsPro,IF($C2632="","",IFERROR(MATCH($C2632,Parties!$A$5:$A$304,0),"")),"")</f>
        <v/>
      </c>
      <c r="W2632" s="60" t="str">
        <f aca="false">IF(IsPro,IF($B2632="","",IFERROR(VALUE(SUBSTITUTE($B2632,InvPrefix,"")),0)),"")</f>
        <v/>
      </c>
      <c r="X2632" s="61" t="str">
        <f aca="false">IF(IsPro,IF($D2632="","",IF(OR($H2632="",$H2632="Credit"),0,Q2632)),"")</f>
        <v/>
      </c>
    </row>
    <row r="2633" customFormat="false" ht="15" hidden="false" customHeight="false" outlineLevel="0" collapsed="false">
      <c r="A2633" s="55"/>
      <c r="B2633" s="56"/>
      <c r="C2633" s="56"/>
      <c r="D2633" s="56"/>
      <c r="E2633" s="57"/>
      <c r="F2633" s="58"/>
      <c r="G2633" s="59"/>
      <c r="H2633" s="56"/>
      <c r="I2633" s="56"/>
      <c r="J2633" s="60" t="str">
        <f aca="false">IF(IsPro,IF($D2633="","",IFERROR(INDEX(Items!$D$5:$D$504,U2633),"")),"")</f>
        <v/>
      </c>
      <c r="K2633" s="61" t="str">
        <f aca="false">IF(IsPro,IF($D2633="","",IF($F2633="",IFERROR(INDEX(Items!$H$5:$H$504,U2633),0),$F2633)),"")</f>
        <v/>
      </c>
      <c r="L2633" s="61" t="str">
        <f aca="false">IF(IsPro,IF($D2633="","",ROUND(N($E2633)*K2633*(1-N($G2633)),2)),"")</f>
        <v/>
      </c>
      <c r="M2633" s="62" t="str">
        <f aca="false">IF(IsPro,IF($D2633="","",IFERROR(INDEX(Items!$F$5:$F$504,U2633),0)),"")</f>
        <v/>
      </c>
      <c r="N2633" s="61" t="str">
        <f aca="false">IF(IsPro,IF($D2633="","",IF(AND(V2633&lt;&gt;"",INDEX(Parties!$E$5:$E$304,V2633)&lt;&gt;"",INDEX(Parties!$E$5:$E$304,V2633)&lt;&gt;HomeState),0,ROUND(L2633*M2633/2,2))),"")</f>
        <v/>
      </c>
      <c r="O2633" s="61" t="str">
        <f aca="false">IF(IsPro,IF($D2633="","",N2633),"")</f>
        <v/>
      </c>
      <c r="P2633" s="61" t="str">
        <f aca="false">IF(IsPro,IF($D2633="","",IF(AND(V2633&lt;&gt;"",INDEX(Parties!$E$5:$E$304,V2633)&lt;&gt;"",INDEX(Parties!$E$5:$E$304,V2633)&lt;&gt;HomeState),ROUND(L2633*M2633,2),0)),"")</f>
        <v/>
      </c>
      <c r="Q2633" s="61" t="str">
        <f aca="false">IF(IsPro,IF($D2633="","",L2633+N2633+O2633+P2633),"")</f>
        <v/>
      </c>
      <c r="R2633" s="61" t="str">
        <f aca="false">IF(IsPro,IF($D2633="","",ROUND(N($E2633)*IFERROR(INDEX(Items!$P$5:$P$504,U2633),0),2)),"")</f>
        <v/>
      </c>
      <c r="S2633" s="61" t="str">
        <f aca="false">IF(IsPro,IF($D2633="","",L2633-R2633),"")</f>
        <v/>
      </c>
      <c r="T2633" s="60" t="str">
        <f aca="false">IF(IsPro,IF($D2633="","",IF(U2633="","UNKNOWN ITEM",IF(INDEX(Items!$O$5:$O$504,U2633)&lt;0,"NEG STOCK",IF(K2633&lt;INDEX(Items!$P$5:$P$504,U2633),"BELOW COST","OK")))),IF($D2633="","","PRO PLAN"))</f>
        <v/>
      </c>
      <c r="U2633" s="60" t="str">
        <f aca="false">IF(IsPro,IF($D2633="","",IFERROR(MATCH($D2633,Items!$A$5:$A$504,0),"")),"")</f>
        <v/>
      </c>
      <c r="V2633" s="60" t="str">
        <f aca="false">IF(IsPro,IF($C2633="","",IFERROR(MATCH($C2633,Parties!$A$5:$A$304,0),"")),"")</f>
        <v/>
      </c>
      <c r="W2633" s="60" t="str">
        <f aca="false">IF(IsPro,IF($B2633="","",IFERROR(VALUE(SUBSTITUTE($B2633,InvPrefix,"")),0)),"")</f>
        <v/>
      </c>
      <c r="X2633" s="61" t="str">
        <f aca="false">IF(IsPro,IF($D2633="","",IF(OR($H2633="",$H2633="Credit"),0,Q2633)),"")</f>
        <v/>
      </c>
    </row>
    <row r="2634" customFormat="false" ht="15" hidden="false" customHeight="false" outlineLevel="0" collapsed="false">
      <c r="A2634" s="55"/>
      <c r="B2634" s="56"/>
      <c r="C2634" s="56"/>
      <c r="D2634" s="56"/>
      <c r="E2634" s="57"/>
      <c r="F2634" s="58"/>
      <c r="G2634" s="59"/>
      <c r="H2634" s="56"/>
      <c r="I2634" s="56"/>
      <c r="J2634" s="60" t="str">
        <f aca="false">IF(IsPro,IF($D2634="","",IFERROR(INDEX(Items!$D$5:$D$504,U2634),"")),"")</f>
        <v/>
      </c>
      <c r="K2634" s="61" t="str">
        <f aca="false">IF(IsPro,IF($D2634="","",IF($F2634="",IFERROR(INDEX(Items!$H$5:$H$504,U2634),0),$F2634)),"")</f>
        <v/>
      </c>
      <c r="L2634" s="61" t="str">
        <f aca="false">IF(IsPro,IF($D2634="","",ROUND(N($E2634)*K2634*(1-N($G2634)),2)),"")</f>
        <v/>
      </c>
      <c r="M2634" s="62" t="str">
        <f aca="false">IF(IsPro,IF($D2634="","",IFERROR(INDEX(Items!$F$5:$F$504,U2634),0)),"")</f>
        <v/>
      </c>
      <c r="N2634" s="61" t="str">
        <f aca="false">IF(IsPro,IF($D2634="","",IF(AND(V2634&lt;&gt;"",INDEX(Parties!$E$5:$E$304,V2634)&lt;&gt;"",INDEX(Parties!$E$5:$E$304,V2634)&lt;&gt;HomeState),0,ROUND(L2634*M2634/2,2))),"")</f>
        <v/>
      </c>
      <c r="O2634" s="61" t="str">
        <f aca="false">IF(IsPro,IF($D2634="","",N2634),"")</f>
        <v/>
      </c>
      <c r="P2634" s="61" t="str">
        <f aca="false">IF(IsPro,IF($D2634="","",IF(AND(V2634&lt;&gt;"",INDEX(Parties!$E$5:$E$304,V2634)&lt;&gt;"",INDEX(Parties!$E$5:$E$304,V2634)&lt;&gt;HomeState),ROUND(L2634*M2634,2),0)),"")</f>
        <v/>
      </c>
      <c r="Q2634" s="61" t="str">
        <f aca="false">IF(IsPro,IF($D2634="","",L2634+N2634+O2634+P2634),"")</f>
        <v/>
      </c>
      <c r="R2634" s="61" t="str">
        <f aca="false">IF(IsPro,IF($D2634="","",ROUND(N($E2634)*IFERROR(INDEX(Items!$P$5:$P$504,U2634),0),2)),"")</f>
        <v/>
      </c>
      <c r="S2634" s="61" t="str">
        <f aca="false">IF(IsPro,IF($D2634="","",L2634-R2634),"")</f>
        <v/>
      </c>
      <c r="T2634" s="60" t="str">
        <f aca="false">IF(IsPro,IF($D2634="","",IF(U2634="","UNKNOWN ITEM",IF(INDEX(Items!$O$5:$O$504,U2634)&lt;0,"NEG STOCK",IF(K2634&lt;INDEX(Items!$P$5:$P$504,U2634),"BELOW COST","OK")))),IF($D2634="","","PRO PLAN"))</f>
        <v/>
      </c>
      <c r="U2634" s="60" t="str">
        <f aca="false">IF(IsPro,IF($D2634="","",IFERROR(MATCH($D2634,Items!$A$5:$A$504,0),"")),"")</f>
        <v/>
      </c>
      <c r="V2634" s="60" t="str">
        <f aca="false">IF(IsPro,IF($C2634="","",IFERROR(MATCH($C2634,Parties!$A$5:$A$304,0),"")),"")</f>
        <v/>
      </c>
      <c r="W2634" s="60" t="str">
        <f aca="false">IF(IsPro,IF($B2634="","",IFERROR(VALUE(SUBSTITUTE($B2634,InvPrefix,"")),0)),"")</f>
        <v/>
      </c>
      <c r="X2634" s="61" t="str">
        <f aca="false">IF(IsPro,IF($D2634="","",IF(OR($H2634="",$H2634="Credit"),0,Q2634)),"")</f>
        <v/>
      </c>
    </row>
    <row r="2635" customFormat="false" ht="15" hidden="false" customHeight="false" outlineLevel="0" collapsed="false">
      <c r="A2635" s="55"/>
      <c r="B2635" s="56"/>
      <c r="C2635" s="56"/>
      <c r="D2635" s="56"/>
      <c r="E2635" s="57"/>
      <c r="F2635" s="58"/>
      <c r="G2635" s="59"/>
      <c r="H2635" s="56"/>
      <c r="I2635" s="56"/>
      <c r="J2635" s="60" t="str">
        <f aca="false">IF(IsPro,IF($D2635="","",IFERROR(INDEX(Items!$D$5:$D$504,U2635),"")),"")</f>
        <v/>
      </c>
      <c r="K2635" s="61" t="str">
        <f aca="false">IF(IsPro,IF($D2635="","",IF($F2635="",IFERROR(INDEX(Items!$H$5:$H$504,U2635),0),$F2635)),"")</f>
        <v/>
      </c>
      <c r="L2635" s="61" t="str">
        <f aca="false">IF(IsPro,IF($D2635="","",ROUND(N($E2635)*K2635*(1-N($G2635)),2)),"")</f>
        <v/>
      </c>
      <c r="M2635" s="62" t="str">
        <f aca="false">IF(IsPro,IF($D2635="","",IFERROR(INDEX(Items!$F$5:$F$504,U2635),0)),"")</f>
        <v/>
      </c>
      <c r="N2635" s="61" t="str">
        <f aca="false">IF(IsPro,IF($D2635="","",IF(AND(V2635&lt;&gt;"",INDEX(Parties!$E$5:$E$304,V2635)&lt;&gt;"",INDEX(Parties!$E$5:$E$304,V2635)&lt;&gt;HomeState),0,ROUND(L2635*M2635/2,2))),"")</f>
        <v/>
      </c>
      <c r="O2635" s="61" t="str">
        <f aca="false">IF(IsPro,IF($D2635="","",N2635),"")</f>
        <v/>
      </c>
      <c r="P2635" s="61" t="str">
        <f aca="false">IF(IsPro,IF($D2635="","",IF(AND(V2635&lt;&gt;"",INDEX(Parties!$E$5:$E$304,V2635)&lt;&gt;"",INDEX(Parties!$E$5:$E$304,V2635)&lt;&gt;HomeState),ROUND(L2635*M2635,2),0)),"")</f>
        <v/>
      </c>
      <c r="Q2635" s="61" t="str">
        <f aca="false">IF(IsPro,IF($D2635="","",L2635+N2635+O2635+P2635),"")</f>
        <v/>
      </c>
      <c r="R2635" s="61" t="str">
        <f aca="false">IF(IsPro,IF($D2635="","",ROUND(N($E2635)*IFERROR(INDEX(Items!$P$5:$P$504,U2635),0),2)),"")</f>
        <v/>
      </c>
      <c r="S2635" s="61" t="str">
        <f aca="false">IF(IsPro,IF($D2635="","",L2635-R2635),"")</f>
        <v/>
      </c>
      <c r="T2635" s="60" t="str">
        <f aca="false">IF(IsPro,IF($D2635="","",IF(U2635="","UNKNOWN ITEM",IF(INDEX(Items!$O$5:$O$504,U2635)&lt;0,"NEG STOCK",IF(K2635&lt;INDEX(Items!$P$5:$P$504,U2635),"BELOW COST","OK")))),IF($D2635="","","PRO PLAN"))</f>
        <v/>
      </c>
      <c r="U2635" s="60" t="str">
        <f aca="false">IF(IsPro,IF($D2635="","",IFERROR(MATCH($D2635,Items!$A$5:$A$504,0),"")),"")</f>
        <v/>
      </c>
      <c r="V2635" s="60" t="str">
        <f aca="false">IF(IsPro,IF($C2635="","",IFERROR(MATCH($C2635,Parties!$A$5:$A$304,0),"")),"")</f>
        <v/>
      </c>
      <c r="W2635" s="60" t="str">
        <f aca="false">IF(IsPro,IF($B2635="","",IFERROR(VALUE(SUBSTITUTE($B2635,InvPrefix,"")),0)),"")</f>
        <v/>
      </c>
      <c r="X2635" s="61" t="str">
        <f aca="false">IF(IsPro,IF($D2635="","",IF(OR($H2635="",$H2635="Credit"),0,Q2635)),"")</f>
        <v/>
      </c>
    </row>
    <row r="2636" customFormat="false" ht="15" hidden="false" customHeight="false" outlineLevel="0" collapsed="false">
      <c r="A2636" s="55"/>
      <c r="B2636" s="56"/>
      <c r="C2636" s="56"/>
      <c r="D2636" s="56"/>
      <c r="E2636" s="57"/>
      <c r="F2636" s="58"/>
      <c r="G2636" s="59"/>
      <c r="H2636" s="56"/>
      <c r="I2636" s="56"/>
      <c r="J2636" s="60" t="str">
        <f aca="false">IF(IsPro,IF($D2636="","",IFERROR(INDEX(Items!$D$5:$D$504,U2636),"")),"")</f>
        <v/>
      </c>
      <c r="K2636" s="61" t="str">
        <f aca="false">IF(IsPro,IF($D2636="","",IF($F2636="",IFERROR(INDEX(Items!$H$5:$H$504,U2636),0),$F2636)),"")</f>
        <v/>
      </c>
      <c r="L2636" s="61" t="str">
        <f aca="false">IF(IsPro,IF($D2636="","",ROUND(N($E2636)*K2636*(1-N($G2636)),2)),"")</f>
        <v/>
      </c>
      <c r="M2636" s="62" t="str">
        <f aca="false">IF(IsPro,IF($D2636="","",IFERROR(INDEX(Items!$F$5:$F$504,U2636),0)),"")</f>
        <v/>
      </c>
      <c r="N2636" s="61" t="str">
        <f aca="false">IF(IsPro,IF($D2636="","",IF(AND(V2636&lt;&gt;"",INDEX(Parties!$E$5:$E$304,V2636)&lt;&gt;"",INDEX(Parties!$E$5:$E$304,V2636)&lt;&gt;HomeState),0,ROUND(L2636*M2636/2,2))),"")</f>
        <v/>
      </c>
      <c r="O2636" s="61" t="str">
        <f aca="false">IF(IsPro,IF($D2636="","",N2636),"")</f>
        <v/>
      </c>
      <c r="P2636" s="61" t="str">
        <f aca="false">IF(IsPro,IF($D2636="","",IF(AND(V2636&lt;&gt;"",INDEX(Parties!$E$5:$E$304,V2636)&lt;&gt;"",INDEX(Parties!$E$5:$E$304,V2636)&lt;&gt;HomeState),ROUND(L2636*M2636,2),0)),"")</f>
        <v/>
      </c>
      <c r="Q2636" s="61" t="str">
        <f aca="false">IF(IsPro,IF($D2636="","",L2636+N2636+O2636+P2636),"")</f>
        <v/>
      </c>
      <c r="R2636" s="61" t="str">
        <f aca="false">IF(IsPro,IF($D2636="","",ROUND(N($E2636)*IFERROR(INDEX(Items!$P$5:$P$504,U2636),0),2)),"")</f>
        <v/>
      </c>
      <c r="S2636" s="61" t="str">
        <f aca="false">IF(IsPro,IF($D2636="","",L2636-R2636),"")</f>
        <v/>
      </c>
      <c r="T2636" s="60" t="str">
        <f aca="false">IF(IsPro,IF($D2636="","",IF(U2636="","UNKNOWN ITEM",IF(INDEX(Items!$O$5:$O$504,U2636)&lt;0,"NEG STOCK",IF(K2636&lt;INDEX(Items!$P$5:$P$504,U2636),"BELOW COST","OK")))),IF($D2636="","","PRO PLAN"))</f>
        <v/>
      </c>
      <c r="U2636" s="60" t="str">
        <f aca="false">IF(IsPro,IF($D2636="","",IFERROR(MATCH($D2636,Items!$A$5:$A$504,0),"")),"")</f>
        <v/>
      </c>
      <c r="V2636" s="60" t="str">
        <f aca="false">IF(IsPro,IF($C2636="","",IFERROR(MATCH($C2636,Parties!$A$5:$A$304,0),"")),"")</f>
        <v/>
      </c>
      <c r="W2636" s="60" t="str">
        <f aca="false">IF(IsPro,IF($B2636="","",IFERROR(VALUE(SUBSTITUTE($B2636,InvPrefix,"")),0)),"")</f>
        <v/>
      </c>
      <c r="X2636" s="61" t="str">
        <f aca="false">IF(IsPro,IF($D2636="","",IF(OR($H2636="",$H2636="Credit"),0,Q2636)),"")</f>
        <v/>
      </c>
    </row>
    <row r="2637" customFormat="false" ht="15" hidden="false" customHeight="false" outlineLevel="0" collapsed="false">
      <c r="A2637" s="55"/>
      <c r="B2637" s="56"/>
      <c r="C2637" s="56"/>
      <c r="D2637" s="56"/>
      <c r="E2637" s="57"/>
      <c r="F2637" s="58"/>
      <c r="G2637" s="59"/>
      <c r="H2637" s="56"/>
      <c r="I2637" s="56"/>
      <c r="J2637" s="60" t="str">
        <f aca="false">IF(IsPro,IF($D2637="","",IFERROR(INDEX(Items!$D$5:$D$504,U2637),"")),"")</f>
        <v/>
      </c>
      <c r="K2637" s="61" t="str">
        <f aca="false">IF(IsPro,IF($D2637="","",IF($F2637="",IFERROR(INDEX(Items!$H$5:$H$504,U2637),0),$F2637)),"")</f>
        <v/>
      </c>
      <c r="L2637" s="61" t="str">
        <f aca="false">IF(IsPro,IF($D2637="","",ROUND(N($E2637)*K2637*(1-N($G2637)),2)),"")</f>
        <v/>
      </c>
      <c r="M2637" s="62" t="str">
        <f aca="false">IF(IsPro,IF($D2637="","",IFERROR(INDEX(Items!$F$5:$F$504,U2637),0)),"")</f>
        <v/>
      </c>
      <c r="N2637" s="61" t="str">
        <f aca="false">IF(IsPro,IF($D2637="","",IF(AND(V2637&lt;&gt;"",INDEX(Parties!$E$5:$E$304,V2637)&lt;&gt;"",INDEX(Parties!$E$5:$E$304,V2637)&lt;&gt;HomeState),0,ROUND(L2637*M2637/2,2))),"")</f>
        <v/>
      </c>
      <c r="O2637" s="61" t="str">
        <f aca="false">IF(IsPro,IF($D2637="","",N2637),"")</f>
        <v/>
      </c>
      <c r="P2637" s="61" t="str">
        <f aca="false">IF(IsPro,IF($D2637="","",IF(AND(V2637&lt;&gt;"",INDEX(Parties!$E$5:$E$304,V2637)&lt;&gt;"",INDEX(Parties!$E$5:$E$304,V2637)&lt;&gt;HomeState),ROUND(L2637*M2637,2),0)),"")</f>
        <v/>
      </c>
      <c r="Q2637" s="61" t="str">
        <f aca="false">IF(IsPro,IF($D2637="","",L2637+N2637+O2637+P2637),"")</f>
        <v/>
      </c>
      <c r="R2637" s="61" t="str">
        <f aca="false">IF(IsPro,IF($D2637="","",ROUND(N($E2637)*IFERROR(INDEX(Items!$P$5:$P$504,U2637),0),2)),"")</f>
        <v/>
      </c>
      <c r="S2637" s="61" t="str">
        <f aca="false">IF(IsPro,IF($D2637="","",L2637-R2637),"")</f>
        <v/>
      </c>
      <c r="T2637" s="60" t="str">
        <f aca="false">IF(IsPro,IF($D2637="","",IF(U2637="","UNKNOWN ITEM",IF(INDEX(Items!$O$5:$O$504,U2637)&lt;0,"NEG STOCK",IF(K2637&lt;INDEX(Items!$P$5:$P$504,U2637),"BELOW COST","OK")))),IF($D2637="","","PRO PLAN"))</f>
        <v/>
      </c>
      <c r="U2637" s="60" t="str">
        <f aca="false">IF(IsPro,IF($D2637="","",IFERROR(MATCH($D2637,Items!$A$5:$A$504,0),"")),"")</f>
        <v/>
      </c>
      <c r="V2637" s="60" t="str">
        <f aca="false">IF(IsPro,IF($C2637="","",IFERROR(MATCH($C2637,Parties!$A$5:$A$304,0),"")),"")</f>
        <v/>
      </c>
      <c r="W2637" s="60" t="str">
        <f aca="false">IF(IsPro,IF($B2637="","",IFERROR(VALUE(SUBSTITUTE($B2637,InvPrefix,"")),0)),"")</f>
        <v/>
      </c>
      <c r="X2637" s="61" t="str">
        <f aca="false">IF(IsPro,IF($D2637="","",IF(OR($H2637="",$H2637="Credit"),0,Q2637)),"")</f>
        <v/>
      </c>
    </row>
    <row r="2638" customFormat="false" ht="15" hidden="false" customHeight="false" outlineLevel="0" collapsed="false">
      <c r="A2638" s="55"/>
      <c r="B2638" s="56"/>
      <c r="C2638" s="56"/>
      <c r="D2638" s="56"/>
      <c r="E2638" s="57"/>
      <c r="F2638" s="58"/>
      <c r="G2638" s="59"/>
      <c r="H2638" s="56"/>
      <c r="I2638" s="56"/>
      <c r="J2638" s="60" t="str">
        <f aca="false">IF(IsPro,IF($D2638="","",IFERROR(INDEX(Items!$D$5:$D$504,U2638),"")),"")</f>
        <v/>
      </c>
      <c r="K2638" s="61" t="str">
        <f aca="false">IF(IsPro,IF($D2638="","",IF($F2638="",IFERROR(INDEX(Items!$H$5:$H$504,U2638),0),$F2638)),"")</f>
        <v/>
      </c>
      <c r="L2638" s="61" t="str">
        <f aca="false">IF(IsPro,IF($D2638="","",ROUND(N($E2638)*K2638*(1-N($G2638)),2)),"")</f>
        <v/>
      </c>
      <c r="M2638" s="62" t="str">
        <f aca="false">IF(IsPro,IF($D2638="","",IFERROR(INDEX(Items!$F$5:$F$504,U2638),0)),"")</f>
        <v/>
      </c>
      <c r="N2638" s="61" t="str">
        <f aca="false">IF(IsPro,IF($D2638="","",IF(AND(V2638&lt;&gt;"",INDEX(Parties!$E$5:$E$304,V2638)&lt;&gt;"",INDEX(Parties!$E$5:$E$304,V2638)&lt;&gt;HomeState),0,ROUND(L2638*M2638/2,2))),"")</f>
        <v/>
      </c>
      <c r="O2638" s="61" t="str">
        <f aca="false">IF(IsPro,IF($D2638="","",N2638),"")</f>
        <v/>
      </c>
      <c r="P2638" s="61" t="str">
        <f aca="false">IF(IsPro,IF($D2638="","",IF(AND(V2638&lt;&gt;"",INDEX(Parties!$E$5:$E$304,V2638)&lt;&gt;"",INDEX(Parties!$E$5:$E$304,V2638)&lt;&gt;HomeState),ROUND(L2638*M2638,2),0)),"")</f>
        <v/>
      </c>
      <c r="Q2638" s="61" t="str">
        <f aca="false">IF(IsPro,IF($D2638="","",L2638+N2638+O2638+P2638),"")</f>
        <v/>
      </c>
      <c r="R2638" s="61" t="str">
        <f aca="false">IF(IsPro,IF($D2638="","",ROUND(N($E2638)*IFERROR(INDEX(Items!$P$5:$P$504,U2638),0),2)),"")</f>
        <v/>
      </c>
      <c r="S2638" s="61" t="str">
        <f aca="false">IF(IsPro,IF($D2638="","",L2638-R2638),"")</f>
        <v/>
      </c>
      <c r="T2638" s="60" t="str">
        <f aca="false">IF(IsPro,IF($D2638="","",IF(U2638="","UNKNOWN ITEM",IF(INDEX(Items!$O$5:$O$504,U2638)&lt;0,"NEG STOCK",IF(K2638&lt;INDEX(Items!$P$5:$P$504,U2638),"BELOW COST","OK")))),IF($D2638="","","PRO PLAN"))</f>
        <v/>
      </c>
      <c r="U2638" s="60" t="str">
        <f aca="false">IF(IsPro,IF($D2638="","",IFERROR(MATCH($D2638,Items!$A$5:$A$504,0),"")),"")</f>
        <v/>
      </c>
      <c r="V2638" s="60" t="str">
        <f aca="false">IF(IsPro,IF($C2638="","",IFERROR(MATCH($C2638,Parties!$A$5:$A$304,0),"")),"")</f>
        <v/>
      </c>
      <c r="W2638" s="60" t="str">
        <f aca="false">IF(IsPro,IF($B2638="","",IFERROR(VALUE(SUBSTITUTE($B2638,InvPrefix,"")),0)),"")</f>
        <v/>
      </c>
      <c r="X2638" s="61" t="str">
        <f aca="false">IF(IsPro,IF($D2638="","",IF(OR($H2638="",$H2638="Credit"),0,Q2638)),"")</f>
        <v/>
      </c>
    </row>
    <row r="2639" customFormat="false" ht="15" hidden="false" customHeight="false" outlineLevel="0" collapsed="false">
      <c r="A2639" s="55"/>
      <c r="B2639" s="56"/>
      <c r="C2639" s="56"/>
      <c r="D2639" s="56"/>
      <c r="E2639" s="57"/>
      <c r="F2639" s="58"/>
      <c r="G2639" s="59"/>
      <c r="H2639" s="56"/>
      <c r="I2639" s="56"/>
      <c r="J2639" s="60" t="str">
        <f aca="false">IF(IsPro,IF($D2639="","",IFERROR(INDEX(Items!$D$5:$D$504,U2639),"")),"")</f>
        <v/>
      </c>
      <c r="K2639" s="61" t="str">
        <f aca="false">IF(IsPro,IF($D2639="","",IF($F2639="",IFERROR(INDEX(Items!$H$5:$H$504,U2639),0),$F2639)),"")</f>
        <v/>
      </c>
      <c r="L2639" s="61" t="str">
        <f aca="false">IF(IsPro,IF($D2639="","",ROUND(N($E2639)*K2639*(1-N($G2639)),2)),"")</f>
        <v/>
      </c>
      <c r="M2639" s="62" t="str">
        <f aca="false">IF(IsPro,IF($D2639="","",IFERROR(INDEX(Items!$F$5:$F$504,U2639),0)),"")</f>
        <v/>
      </c>
      <c r="N2639" s="61" t="str">
        <f aca="false">IF(IsPro,IF($D2639="","",IF(AND(V2639&lt;&gt;"",INDEX(Parties!$E$5:$E$304,V2639)&lt;&gt;"",INDEX(Parties!$E$5:$E$304,V2639)&lt;&gt;HomeState),0,ROUND(L2639*M2639/2,2))),"")</f>
        <v/>
      </c>
      <c r="O2639" s="61" t="str">
        <f aca="false">IF(IsPro,IF($D2639="","",N2639),"")</f>
        <v/>
      </c>
      <c r="P2639" s="61" t="str">
        <f aca="false">IF(IsPro,IF($D2639="","",IF(AND(V2639&lt;&gt;"",INDEX(Parties!$E$5:$E$304,V2639)&lt;&gt;"",INDEX(Parties!$E$5:$E$304,V2639)&lt;&gt;HomeState),ROUND(L2639*M2639,2),0)),"")</f>
        <v/>
      </c>
      <c r="Q2639" s="61" t="str">
        <f aca="false">IF(IsPro,IF($D2639="","",L2639+N2639+O2639+P2639),"")</f>
        <v/>
      </c>
      <c r="R2639" s="61" t="str">
        <f aca="false">IF(IsPro,IF($D2639="","",ROUND(N($E2639)*IFERROR(INDEX(Items!$P$5:$P$504,U2639),0),2)),"")</f>
        <v/>
      </c>
      <c r="S2639" s="61" t="str">
        <f aca="false">IF(IsPro,IF($D2639="","",L2639-R2639),"")</f>
        <v/>
      </c>
      <c r="T2639" s="60" t="str">
        <f aca="false">IF(IsPro,IF($D2639="","",IF(U2639="","UNKNOWN ITEM",IF(INDEX(Items!$O$5:$O$504,U2639)&lt;0,"NEG STOCK",IF(K2639&lt;INDEX(Items!$P$5:$P$504,U2639),"BELOW COST","OK")))),IF($D2639="","","PRO PLAN"))</f>
        <v/>
      </c>
      <c r="U2639" s="60" t="str">
        <f aca="false">IF(IsPro,IF($D2639="","",IFERROR(MATCH($D2639,Items!$A$5:$A$504,0),"")),"")</f>
        <v/>
      </c>
      <c r="V2639" s="60" t="str">
        <f aca="false">IF(IsPro,IF($C2639="","",IFERROR(MATCH($C2639,Parties!$A$5:$A$304,0),"")),"")</f>
        <v/>
      </c>
      <c r="W2639" s="60" t="str">
        <f aca="false">IF(IsPro,IF($B2639="","",IFERROR(VALUE(SUBSTITUTE($B2639,InvPrefix,"")),0)),"")</f>
        <v/>
      </c>
      <c r="X2639" s="61" t="str">
        <f aca="false">IF(IsPro,IF($D2639="","",IF(OR($H2639="",$H2639="Credit"),0,Q2639)),"")</f>
        <v/>
      </c>
    </row>
    <row r="2640" customFormat="false" ht="15" hidden="false" customHeight="false" outlineLevel="0" collapsed="false">
      <c r="A2640" s="55"/>
      <c r="B2640" s="56"/>
      <c r="C2640" s="56"/>
      <c r="D2640" s="56"/>
      <c r="E2640" s="57"/>
      <c r="F2640" s="58"/>
      <c r="G2640" s="59"/>
      <c r="H2640" s="56"/>
      <c r="I2640" s="56"/>
      <c r="J2640" s="60" t="str">
        <f aca="false">IF(IsPro,IF($D2640="","",IFERROR(INDEX(Items!$D$5:$D$504,U2640),"")),"")</f>
        <v/>
      </c>
      <c r="K2640" s="61" t="str">
        <f aca="false">IF(IsPro,IF($D2640="","",IF($F2640="",IFERROR(INDEX(Items!$H$5:$H$504,U2640),0),$F2640)),"")</f>
        <v/>
      </c>
      <c r="L2640" s="61" t="str">
        <f aca="false">IF(IsPro,IF($D2640="","",ROUND(N($E2640)*K2640*(1-N($G2640)),2)),"")</f>
        <v/>
      </c>
      <c r="M2640" s="62" t="str">
        <f aca="false">IF(IsPro,IF($D2640="","",IFERROR(INDEX(Items!$F$5:$F$504,U2640),0)),"")</f>
        <v/>
      </c>
      <c r="N2640" s="61" t="str">
        <f aca="false">IF(IsPro,IF($D2640="","",IF(AND(V2640&lt;&gt;"",INDEX(Parties!$E$5:$E$304,V2640)&lt;&gt;"",INDEX(Parties!$E$5:$E$304,V2640)&lt;&gt;HomeState),0,ROUND(L2640*M2640/2,2))),"")</f>
        <v/>
      </c>
      <c r="O2640" s="61" t="str">
        <f aca="false">IF(IsPro,IF($D2640="","",N2640),"")</f>
        <v/>
      </c>
      <c r="P2640" s="61" t="str">
        <f aca="false">IF(IsPro,IF($D2640="","",IF(AND(V2640&lt;&gt;"",INDEX(Parties!$E$5:$E$304,V2640)&lt;&gt;"",INDEX(Parties!$E$5:$E$304,V2640)&lt;&gt;HomeState),ROUND(L2640*M2640,2),0)),"")</f>
        <v/>
      </c>
      <c r="Q2640" s="61" t="str">
        <f aca="false">IF(IsPro,IF($D2640="","",L2640+N2640+O2640+P2640),"")</f>
        <v/>
      </c>
      <c r="R2640" s="61" t="str">
        <f aca="false">IF(IsPro,IF($D2640="","",ROUND(N($E2640)*IFERROR(INDEX(Items!$P$5:$P$504,U2640),0),2)),"")</f>
        <v/>
      </c>
      <c r="S2640" s="61" t="str">
        <f aca="false">IF(IsPro,IF($D2640="","",L2640-R2640),"")</f>
        <v/>
      </c>
      <c r="T2640" s="60" t="str">
        <f aca="false">IF(IsPro,IF($D2640="","",IF(U2640="","UNKNOWN ITEM",IF(INDEX(Items!$O$5:$O$504,U2640)&lt;0,"NEG STOCK",IF(K2640&lt;INDEX(Items!$P$5:$P$504,U2640),"BELOW COST","OK")))),IF($D2640="","","PRO PLAN"))</f>
        <v/>
      </c>
      <c r="U2640" s="60" t="str">
        <f aca="false">IF(IsPro,IF($D2640="","",IFERROR(MATCH($D2640,Items!$A$5:$A$504,0),"")),"")</f>
        <v/>
      </c>
      <c r="V2640" s="60" t="str">
        <f aca="false">IF(IsPro,IF($C2640="","",IFERROR(MATCH($C2640,Parties!$A$5:$A$304,0),"")),"")</f>
        <v/>
      </c>
      <c r="W2640" s="60" t="str">
        <f aca="false">IF(IsPro,IF($B2640="","",IFERROR(VALUE(SUBSTITUTE($B2640,InvPrefix,"")),0)),"")</f>
        <v/>
      </c>
      <c r="X2640" s="61" t="str">
        <f aca="false">IF(IsPro,IF($D2640="","",IF(OR($H2640="",$H2640="Credit"),0,Q2640)),"")</f>
        <v/>
      </c>
    </row>
    <row r="2641" customFormat="false" ht="15" hidden="false" customHeight="false" outlineLevel="0" collapsed="false">
      <c r="A2641" s="55"/>
      <c r="B2641" s="56"/>
      <c r="C2641" s="56"/>
      <c r="D2641" s="56"/>
      <c r="E2641" s="57"/>
      <c r="F2641" s="58"/>
      <c r="G2641" s="59"/>
      <c r="H2641" s="56"/>
      <c r="I2641" s="56"/>
      <c r="J2641" s="60" t="str">
        <f aca="false">IF(IsPro,IF($D2641="","",IFERROR(INDEX(Items!$D$5:$D$504,U2641),"")),"")</f>
        <v/>
      </c>
      <c r="K2641" s="61" t="str">
        <f aca="false">IF(IsPro,IF($D2641="","",IF($F2641="",IFERROR(INDEX(Items!$H$5:$H$504,U2641),0),$F2641)),"")</f>
        <v/>
      </c>
      <c r="L2641" s="61" t="str">
        <f aca="false">IF(IsPro,IF($D2641="","",ROUND(N($E2641)*K2641*(1-N($G2641)),2)),"")</f>
        <v/>
      </c>
      <c r="M2641" s="62" t="str">
        <f aca="false">IF(IsPro,IF($D2641="","",IFERROR(INDEX(Items!$F$5:$F$504,U2641),0)),"")</f>
        <v/>
      </c>
      <c r="N2641" s="61" t="str">
        <f aca="false">IF(IsPro,IF($D2641="","",IF(AND(V2641&lt;&gt;"",INDEX(Parties!$E$5:$E$304,V2641)&lt;&gt;"",INDEX(Parties!$E$5:$E$304,V2641)&lt;&gt;HomeState),0,ROUND(L2641*M2641/2,2))),"")</f>
        <v/>
      </c>
      <c r="O2641" s="61" t="str">
        <f aca="false">IF(IsPro,IF($D2641="","",N2641),"")</f>
        <v/>
      </c>
      <c r="P2641" s="61" t="str">
        <f aca="false">IF(IsPro,IF($D2641="","",IF(AND(V2641&lt;&gt;"",INDEX(Parties!$E$5:$E$304,V2641)&lt;&gt;"",INDEX(Parties!$E$5:$E$304,V2641)&lt;&gt;HomeState),ROUND(L2641*M2641,2),0)),"")</f>
        <v/>
      </c>
      <c r="Q2641" s="61" t="str">
        <f aca="false">IF(IsPro,IF($D2641="","",L2641+N2641+O2641+P2641),"")</f>
        <v/>
      </c>
      <c r="R2641" s="61" t="str">
        <f aca="false">IF(IsPro,IF($D2641="","",ROUND(N($E2641)*IFERROR(INDEX(Items!$P$5:$P$504,U2641),0),2)),"")</f>
        <v/>
      </c>
      <c r="S2641" s="61" t="str">
        <f aca="false">IF(IsPro,IF($D2641="","",L2641-R2641),"")</f>
        <v/>
      </c>
      <c r="T2641" s="60" t="str">
        <f aca="false">IF(IsPro,IF($D2641="","",IF(U2641="","UNKNOWN ITEM",IF(INDEX(Items!$O$5:$O$504,U2641)&lt;0,"NEG STOCK",IF(K2641&lt;INDEX(Items!$P$5:$P$504,U2641),"BELOW COST","OK")))),IF($D2641="","","PRO PLAN"))</f>
        <v/>
      </c>
      <c r="U2641" s="60" t="str">
        <f aca="false">IF(IsPro,IF($D2641="","",IFERROR(MATCH($D2641,Items!$A$5:$A$504,0),"")),"")</f>
        <v/>
      </c>
      <c r="V2641" s="60" t="str">
        <f aca="false">IF(IsPro,IF($C2641="","",IFERROR(MATCH($C2641,Parties!$A$5:$A$304,0),"")),"")</f>
        <v/>
      </c>
      <c r="W2641" s="60" t="str">
        <f aca="false">IF(IsPro,IF($B2641="","",IFERROR(VALUE(SUBSTITUTE($B2641,InvPrefix,"")),0)),"")</f>
        <v/>
      </c>
      <c r="X2641" s="61" t="str">
        <f aca="false">IF(IsPro,IF($D2641="","",IF(OR($H2641="",$H2641="Credit"),0,Q2641)),"")</f>
        <v/>
      </c>
    </row>
    <row r="2642" customFormat="false" ht="15" hidden="false" customHeight="false" outlineLevel="0" collapsed="false">
      <c r="A2642" s="55"/>
      <c r="B2642" s="56"/>
      <c r="C2642" s="56"/>
      <c r="D2642" s="56"/>
      <c r="E2642" s="57"/>
      <c r="F2642" s="58"/>
      <c r="G2642" s="59"/>
      <c r="H2642" s="56"/>
      <c r="I2642" s="56"/>
      <c r="J2642" s="60" t="str">
        <f aca="false">IF(IsPro,IF($D2642="","",IFERROR(INDEX(Items!$D$5:$D$504,U2642),"")),"")</f>
        <v/>
      </c>
      <c r="K2642" s="61" t="str">
        <f aca="false">IF(IsPro,IF($D2642="","",IF($F2642="",IFERROR(INDEX(Items!$H$5:$H$504,U2642),0),$F2642)),"")</f>
        <v/>
      </c>
      <c r="L2642" s="61" t="str">
        <f aca="false">IF(IsPro,IF($D2642="","",ROUND(N($E2642)*K2642*(1-N($G2642)),2)),"")</f>
        <v/>
      </c>
      <c r="M2642" s="62" t="str">
        <f aca="false">IF(IsPro,IF($D2642="","",IFERROR(INDEX(Items!$F$5:$F$504,U2642),0)),"")</f>
        <v/>
      </c>
      <c r="N2642" s="61" t="str">
        <f aca="false">IF(IsPro,IF($D2642="","",IF(AND(V2642&lt;&gt;"",INDEX(Parties!$E$5:$E$304,V2642)&lt;&gt;"",INDEX(Parties!$E$5:$E$304,V2642)&lt;&gt;HomeState),0,ROUND(L2642*M2642/2,2))),"")</f>
        <v/>
      </c>
      <c r="O2642" s="61" t="str">
        <f aca="false">IF(IsPro,IF($D2642="","",N2642),"")</f>
        <v/>
      </c>
      <c r="P2642" s="61" t="str">
        <f aca="false">IF(IsPro,IF($D2642="","",IF(AND(V2642&lt;&gt;"",INDEX(Parties!$E$5:$E$304,V2642)&lt;&gt;"",INDEX(Parties!$E$5:$E$304,V2642)&lt;&gt;HomeState),ROUND(L2642*M2642,2),0)),"")</f>
        <v/>
      </c>
      <c r="Q2642" s="61" t="str">
        <f aca="false">IF(IsPro,IF($D2642="","",L2642+N2642+O2642+P2642),"")</f>
        <v/>
      </c>
      <c r="R2642" s="61" t="str">
        <f aca="false">IF(IsPro,IF($D2642="","",ROUND(N($E2642)*IFERROR(INDEX(Items!$P$5:$P$504,U2642),0),2)),"")</f>
        <v/>
      </c>
      <c r="S2642" s="61" t="str">
        <f aca="false">IF(IsPro,IF($D2642="","",L2642-R2642),"")</f>
        <v/>
      </c>
      <c r="T2642" s="60" t="str">
        <f aca="false">IF(IsPro,IF($D2642="","",IF(U2642="","UNKNOWN ITEM",IF(INDEX(Items!$O$5:$O$504,U2642)&lt;0,"NEG STOCK",IF(K2642&lt;INDEX(Items!$P$5:$P$504,U2642),"BELOW COST","OK")))),IF($D2642="","","PRO PLAN"))</f>
        <v/>
      </c>
      <c r="U2642" s="60" t="str">
        <f aca="false">IF(IsPro,IF($D2642="","",IFERROR(MATCH($D2642,Items!$A$5:$A$504,0),"")),"")</f>
        <v/>
      </c>
      <c r="V2642" s="60" t="str">
        <f aca="false">IF(IsPro,IF($C2642="","",IFERROR(MATCH($C2642,Parties!$A$5:$A$304,0),"")),"")</f>
        <v/>
      </c>
      <c r="W2642" s="60" t="str">
        <f aca="false">IF(IsPro,IF($B2642="","",IFERROR(VALUE(SUBSTITUTE($B2642,InvPrefix,"")),0)),"")</f>
        <v/>
      </c>
      <c r="X2642" s="61" t="str">
        <f aca="false">IF(IsPro,IF($D2642="","",IF(OR($H2642="",$H2642="Credit"),0,Q2642)),"")</f>
        <v/>
      </c>
    </row>
    <row r="2643" customFormat="false" ht="15" hidden="false" customHeight="false" outlineLevel="0" collapsed="false">
      <c r="A2643" s="55"/>
      <c r="B2643" s="56"/>
      <c r="C2643" s="56"/>
      <c r="D2643" s="56"/>
      <c r="E2643" s="57"/>
      <c r="F2643" s="58"/>
      <c r="G2643" s="59"/>
      <c r="H2643" s="56"/>
      <c r="I2643" s="56"/>
      <c r="J2643" s="60" t="str">
        <f aca="false">IF(IsPro,IF($D2643="","",IFERROR(INDEX(Items!$D$5:$D$504,U2643),"")),"")</f>
        <v/>
      </c>
      <c r="K2643" s="61" t="str">
        <f aca="false">IF(IsPro,IF($D2643="","",IF($F2643="",IFERROR(INDEX(Items!$H$5:$H$504,U2643),0),$F2643)),"")</f>
        <v/>
      </c>
      <c r="L2643" s="61" t="str">
        <f aca="false">IF(IsPro,IF($D2643="","",ROUND(N($E2643)*K2643*(1-N($G2643)),2)),"")</f>
        <v/>
      </c>
      <c r="M2643" s="62" t="str">
        <f aca="false">IF(IsPro,IF($D2643="","",IFERROR(INDEX(Items!$F$5:$F$504,U2643),0)),"")</f>
        <v/>
      </c>
      <c r="N2643" s="61" t="str">
        <f aca="false">IF(IsPro,IF($D2643="","",IF(AND(V2643&lt;&gt;"",INDEX(Parties!$E$5:$E$304,V2643)&lt;&gt;"",INDEX(Parties!$E$5:$E$304,V2643)&lt;&gt;HomeState),0,ROUND(L2643*M2643/2,2))),"")</f>
        <v/>
      </c>
      <c r="O2643" s="61" t="str">
        <f aca="false">IF(IsPro,IF($D2643="","",N2643),"")</f>
        <v/>
      </c>
      <c r="P2643" s="61" t="str">
        <f aca="false">IF(IsPro,IF($D2643="","",IF(AND(V2643&lt;&gt;"",INDEX(Parties!$E$5:$E$304,V2643)&lt;&gt;"",INDEX(Parties!$E$5:$E$304,V2643)&lt;&gt;HomeState),ROUND(L2643*M2643,2),0)),"")</f>
        <v/>
      </c>
      <c r="Q2643" s="61" t="str">
        <f aca="false">IF(IsPro,IF($D2643="","",L2643+N2643+O2643+P2643),"")</f>
        <v/>
      </c>
      <c r="R2643" s="61" t="str">
        <f aca="false">IF(IsPro,IF($D2643="","",ROUND(N($E2643)*IFERROR(INDEX(Items!$P$5:$P$504,U2643),0),2)),"")</f>
        <v/>
      </c>
      <c r="S2643" s="61" t="str">
        <f aca="false">IF(IsPro,IF($D2643="","",L2643-R2643),"")</f>
        <v/>
      </c>
      <c r="T2643" s="60" t="str">
        <f aca="false">IF(IsPro,IF($D2643="","",IF(U2643="","UNKNOWN ITEM",IF(INDEX(Items!$O$5:$O$504,U2643)&lt;0,"NEG STOCK",IF(K2643&lt;INDEX(Items!$P$5:$P$504,U2643),"BELOW COST","OK")))),IF($D2643="","","PRO PLAN"))</f>
        <v/>
      </c>
      <c r="U2643" s="60" t="str">
        <f aca="false">IF(IsPro,IF($D2643="","",IFERROR(MATCH($D2643,Items!$A$5:$A$504,0),"")),"")</f>
        <v/>
      </c>
      <c r="V2643" s="60" t="str">
        <f aca="false">IF(IsPro,IF($C2643="","",IFERROR(MATCH($C2643,Parties!$A$5:$A$304,0),"")),"")</f>
        <v/>
      </c>
      <c r="W2643" s="60" t="str">
        <f aca="false">IF(IsPro,IF($B2643="","",IFERROR(VALUE(SUBSTITUTE($B2643,InvPrefix,"")),0)),"")</f>
        <v/>
      </c>
      <c r="X2643" s="61" t="str">
        <f aca="false">IF(IsPro,IF($D2643="","",IF(OR($H2643="",$H2643="Credit"),0,Q2643)),"")</f>
        <v/>
      </c>
    </row>
    <row r="2644" customFormat="false" ht="15" hidden="false" customHeight="false" outlineLevel="0" collapsed="false">
      <c r="A2644" s="55"/>
      <c r="B2644" s="56"/>
      <c r="C2644" s="56"/>
      <c r="D2644" s="56"/>
      <c r="E2644" s="57"/>
      <c r="F2644" s="58"/>
      <c r="G2644" s="59"/>
      <c r="H2644" s="56"/>
      <c r="I2644" s="56"/>
      <c r="J2644" s="60" t="str">
        <f aca="false">IF(IsPro,IF($D2644="","",IFERROR(INDEX(Items!$D$5:$D$504,U2644),"")),"")</f>
        <v/>
      </c>
      <c r="K2644" s="61" t="str">
        <f aca="false">IF(IsPro,IF($D2644="","",IF($F2644="",IFERROR(INDEX(Items!$H$5:$H$504,U2644),0),$F2644)),"")</f>
        <v/>
      </c>
      <c r="L2644" s="61" t="str">
        <f aca="false">IF(IsPro,IF($D2644="","",ROUND(N($E2644)*K2644*(1-N($G2644)),2)),"")</f>
        <v/>
      </c>
      <c r="M2644" s="62" t="str">
        <f aca="false">IF(IsPro,IF($D2644="","",IFERROR(INDEX(Items!$F$5:$F$504,U2644),0)),"")</f>
        <v/>
      </c>
      <c r="N2644" s="61" t="str">
        <f aca="false">IF(IsPro,IF($D2644="","",IF(AND(V2644&lt;&gt;"",INDEX(Parties!$E$5:$E$304,V2644)&lt;&gt;"",INDEX(Parties!$E$5:$E$304,V2644)&lt;&gt;HomeState),0,ROUND(L2644*M2644/2,2))),"")</f>
        <v/>
      </c>
      <c r="O2644" s="61" t="str">
        <f aca="false">IF(IsPro,IF($D2644="","",N2644),"")</f>
        <v/>
      </c>
      <c r="P2644" s="61" t="str">
        <f aca="false">IF(IsPro,IF($D2644="","",IF(AND(V2644&lt;&gt;"",INDEX(Parties!$E$5:$E$304,V2644)&lt;&gt;"",INDEX(Parties!$E$5:$E$304,V2644)&lt;&gt;HomeState),ROUND(L2644*M2644,2),0)),"")</f>
        <v/>
      </c>
      <c r="Q2644" s="61" t="str">
        <f aca="false">IF(IsPro,IF($D2644="","",L2644+N2644+O2644+P2644),"")</f>
        <v/>
      </c>
      <c r="R2644" s="61" t="str">
        <f aca="false">IF(IsPro,IF($D2644="","",ROUND(N($E2644)*IFERROR(INDEX(Items!$P$5:$P$504,U2644),0),2)),"")</f>
        <v/>
      </c>
      <c r="S2644" s="61" t="str">
        <f aca="false">IF(IsPro,IF($D2644="","",L2644-R2644),"")</f>
        <v/>
      </c>
      <c r="T2644" s="60" t="str">
        <f aca="false">IF(IsPro,IF($D2644="","",IF(U2644="","UNKNOWN ITEM",IF(INDEX(Items!$O$5:$O$504,U2644)&lt;0,"NEG STOCK",IF(K2644&lt;INDEX(Items!$P$5:$P$504,U2644),"BELOW COST","OK")))),IF($D2644="","","PRO PLAN"))</f>
        <v/>
      </c>
      <c r="U2644" s="60" t="str">
        <f aca="false">IF(IsPro,IF($D2644="","",IFERROR(MATCH($D2644,Items!$A$5:$A$504,0),"")),"")</f>
        <v/>
      </c>
      <c r="V2644" s="60" t="str">
        <f aca="false">IF(IsPro,IF($C2644="","",IFERROR(MATCH($C2644,Parties!$A$5:$A$304,0),"")),"")</f>
        <v/>
      </c>
      <c r="W2644" s="60" t="str">
        <f aca="false">IF(IsPro,IF($B2644="","",IFERROR(VALUE(SUBSTITUTE($B2644,InvPrefix,"")),0)),"")</f>
        <v/>
      </c>
      <c r="X2644" s="61" t="str">
        <f aca="false">IF(IsPro,IF($D2644="","",IF(OR($H2644="",$H2644="Credit"),0,Q2644)),"")</f>
        <v/>
      </c>
    </row>
    <row r="2645" customFormat="false" ht="15" hidden="false" customHeight="false" outlineLevel="0" collapsed="false">
      <c r="A2645" s="55"/>
      <c r="B2645" s="56"/>
      <c r="C2645" s="56"/>
      <c r="D2645" s="56"/>
      <c r="E2645" s="57"/>
      <c r="F2645" s="58"/>
      <c r="G2645" s="59"/>
      <c r="H2645" s="56"/>
      <c r="I2645" s="56"/>
      <c r="J2645" s="60" t="str">
        <f aca="false">IF(IsPro,IF($D2645="","",IFERROR(INDEX(Items!$D$5:$D$504,U2645),"")),"")</f>
        <v/>
      </c>
      <c r="K2645" s="61" t="str">
        <f aca="false">IF(IsPro,IF($D2645="","",IF($F2645="",IFERROR(INDEX(Items!$H$5:$H$504,U2645),0),$F2645)),"")</f>
        <v/>
      </c>
      <c r="L2645" s="61" t="str">
        <f aca="false">IF(IsPro,IF($D2645="","",ROUND(N($E2645)*K2645*(1-N($G2645)),2)),"")</f>
        <v/>
      </c>
      <c r="M2645" s="62" t="str">
        <f aca="false">IF(IsPro,IF($D2645="","",IFERROR(INDEX(Items!$F$5:$F$504,U2645),0)),"")</f>
        <v/>
      </c>
      <c r="N2645" s="61" t="str">
        <f aca="false">IF(IsPro,IF($D2645="","",IF(AND(V2645&lt;&gt;"",INDEX(Parties!$E$5:$E$304,V2645)&lt;&gt;"",INDEX(Parties!$E$5:$E$304,V2645)&lt;&gt;HomeState),0,ROUND(L2645*M2645/2,2))),"")</f>
        <v/>
      </c>
      <c r="O2645" s="61" t="str">
        <f aca="false">IF(IsPro,IF($D2645="","",N2645),"")</f>
        <v/>
      </c>
      <c r="P2645" s="61" t="str">
        <f aca="false">IF(IsPro,IF($D2645="","",IF(AND(V2645&lt;&gt;"",INDEX(Parties!$E$5:$E$304,V2645)&lt;&gt;"",INDEX(Parties!$E$5:$E$304,V2645)&lt;&gt;HomeState),ROUND(L2645*M2645,2),0)),"")</f>
        <v/>
      </c>
      <c r="Q2645" s="61" t="str">
        <f aca="false">IF(IsPro,IF($D2645="","",L2645+N2645+O2645+P2645),"")</f>
        <v/>
      </c>
      <c r="R2645" s="61" t="str">
        <f aca="false">IF(IsPro,IF($D2645="","",ROUND(N($E2645)*IFERROR(INDEX(Items!$P$5:$P$504,U2645),0),2)),"")</f>
        <v/>
      </c>
      <c r="S2645" s="61" t="str">
        <f aca="false">IF(IsPro,IF($D2645="","",L2645-R2645),"")</f>
        <v/>
      </c>
      <c r="T2645" s="60" t="str">
        <f aca="false">IF(IsPro,IF($D2645="","",IF(U2645="","UNKNOWN ITEM",IF(INDEX(Items!$O$5:$O$504,U2645)&lt;0,"NEG STOCK",IF(K2645&lt;INDEX(Items!$P$5:$P$504,U2645),"BELOW COST","OK")))),IF($D2645="","","PRO PLAN"))</f>
        <v/>
      </c>
      <c r="U2645" s="60" t="str">
        <f aca="false">IF(IsPro,IF($D2645="","",IFERROR(MATCH($D2645,Items!$A$5:$A$504,0),"")),"")</f>
        <v/>
      </c>
      <c r="V2645" s="60" t="str">
        <f aca="false">IF(IsPro,IF($C2645="","",IFERROR(MATCH($C2645,Parties!$A$5:$A$304,0),"")),"")</f>
        <v/>
      </c>
      <c r="W2645" s="60" t="str">
        <f aca="false">IF(IsPro,IF($B2645="","",IFERROR(VALUE(SUBSTITUTE($B2645,InvPrefix,"")),0)),"")</f>
        <v/>
      </c>
      <c r="X2645" s="61" t="str">
        <f aca="false">IF(IsPro,IF($D2645="","",IF(OR($H2645="",$H2645="Credit"),0,Q2645)),"")</f>
        <v/>
      </c>
    </row>
    <row r="2646" customFormat="false" ht="15" hidden="false" customHeight="false" outlineLevel="0" collapsed="false">
      <c r="A2646" s="55"/>
      <c r="B2646" s="56"/>
      <c r="C2646" s="56"/>
      <c r="D2646" s="56"/>
      <c r="E2646" s="57"/>
      <c r="F2646" s="58"/>
      <c r="G2646" s="59"/>
      <c r="H2646" s="56"/>
      <c r="I2646" s="56"/>
      <c r="J2646" s="60" t="str">
        <f aca="false">IF(IsPro,IF($D2646="","",IFERROR(INDEX(Items!$D$5:$D$504,U2646),"")),"")</f>
        <v/>
      </c>
      <c r="K2646" s="61" t="str">
        <f aca="false">IF(IsPro,IF($D2646="","",IF($F2646="",IFERROR(INDEX(Items!$H$5:$H$504,U2646),0),$F2646)),"")</f>
        <v/>
      </c>
      <c r="L2646" s="61" t="str">
        <f aca="false">IF(IsPro,IF($D2646="","",ROUND(N($E2646)*K2646*(1-N($G2646)),2)),"")</f>
        <v/>
      </c>
      <c r="M2646" s="62" t="str">
        <f aca="false">IF(IsPro,IF($D2646="","",IFERROR(INDEX(Items!$F$5:$F$504,U2646),0)),"")</f>
        <v/>
      </c>
      <c r="N2646" s="61" t="str">
        <f aca="false">IF(IsPro,IF($D2646="","",IF(AND(V2646&lt;&gt;"",INDEX(Parties!$E$5:$E$304,V2646)&lt;&gt;"",INDEX(Parties!$E$5:$E$304,V2646)&lt;&gt;HomeState),0,ROUND(L2646*M2646/2,2))),"")</f>
        <v/>
      </c>
      <c r="O2646" s="61" t="str">
        <f aca="false">IF(IsPro,IF($D2646="","",N2646),"")</f>
        <v/>
      </c>
      <c r="P2646" s="61" t="str">
        <f aca="false">IF(IsPro,IF($D2646="","",IF(AND(V2646&lt;&gt;"",INDEX(Parties!$E$5:$E$304,V2646)&lt;&gt;"",INDEX(Parties!$E$5:$E$304,V2646)&lt;&gt;HomeState),ROUND(L2646*M2646,2),0)),"")</f>
        <v/>
      </c>
      <c r="Q2646" s="61" t="str">
        <f aca="false">IF(IsPro,IF($D2646="","",L2646+N2646+O2646+P2646),"")</f>
        <v/>
      </c>
      <c r="R2646" s="61" t="str">
        <f aca="false">IF(IsPro,IF($D2646="","",ROUND(N($E2646)*IFERROR(INDEX(Items!$P$5:$P$504,U2646),0),2)),"")</f>
        <v/>
      </c>
      <c r="S2646" s="61" t="str">
        <f aca="false">IF(IsPro,IF($D2646="","",L2646-R2646),"")</f>
        <v/>
      </c>
      <c r="T2646" s="60" t="str">
        <f aca="false">IF(IsPro,IF($D2646="","",IF(U2646="","UNKNOWN ITEM",IF(INDEX(Items!$O$5:$O$504,U2646)&lt;0,"NEG STOCK",IF(K2646&lt;INDEX(Items!$P$5:$P$504,U2646),"BELOW COST","OK")))),IF($D2646="","","PRO PLAN"))</f>
        <v/>
      </c>
      <c r="U2646" s="60" t="str">
        <f aca="false">IF(IsPro,IF($D2646="","",IFERROR(MATCH($D2646,Items!$A$5:$A$504,0),"")),"")</f>
        <v/>
      </c>
      <c r="V2646" s="60" t="str">
        <f aca="false">IF(IsPro,IF($C2646="","",IFERROR(MATCH($C2646,Parties!$A$5:$A$304,0),"")),"")</f>
        <v/>
      </c>
      <c r="W2646" s="60" t="str">
        <f aca="false">IF(IsPro,IF($B2646="","",IFERROR(VALUE(SUBSTITUTE($B2646,InvPrefix,"")),0)),"")</f>
        <v/>
      </c>
      <c r="X2646" s="61" t="str">
        <f aca="false">IF(IsPro,IF($D2646="","",IF(OR($H2646="",$H2646="Credit"),0,Q2646)),"")</f>
        <v/>
      </c>
    </row>
    <row r="2647" customFormat="false" ht="15" hidden="false" customHeight="false" outlineLevel="0" collapsed="false">
      <c r="A2647" s="55"/>
      <c r="B2647" s="56"/>
      <c r="C2647" s="56"/>
      <c r="D2647" s="56"/>
      <c r="E2647" s="57"/>
      <c r="F2647" s="58"/>
      <c r="G2647" s="59"/>
      <c r="H2647" s="56"/>
      <c r="I2647" s="56"/>
      <c r="J2647" s="60" t="str">
        <f aca="false">IF(IsPro,IF($D2647="","",IFERROR(INDEX(Items!$D$5:$D$504,U2647),"")),"")</f>
        <v/>
      </c>
      <c r="K2647" s="61" t="str">
        <f aca="false">IF(IsPro,IF($D2647="","",IF($F2647="",IFERROR(INDEX(Items!$H$5:$H$504,U2647),0),$F2647)),"")</f>
        <v/>
      </c>
      <c r="L2647" s="61" t="str">
        <f aca="false">IF(IsPro,IF($D2647="","",ROUND(N($E2647)*K2647*(1-N($G2647)),2)),"")</f>
        <v/>
      </c>
      <c r="M2647" s="62" t="str">
        <f aca="false">IF(IsPro,IF($D2647="","",IFERROR(INDEX(Items!$F$5:$F$504,U2647),0)),"")</f>
        <v/>
      </c>
      <c r="N2647" s="61" t="str">
        <f aca="false">IF(IsPro,IF($D2647="","",IF(AND(V2647&lt;&gt;"",INDEX(Parties!$E$5:$E$304,V2647)&lt;&gt;"",INDEX(Parties!$E$5:$E$304,V2647)&lt;&gt;HomeState),0,ROUND(L2647*M2647/2,2))),"")</f>
        <v/>
      </c>
      <c r="O2647" s="61" t="str">
        <f aca="false">IF(IsPro,IF($D2647="","",N2647),"")</f>
        <v/>
      </c>
      <c r="P2647" s="61" t="str">
        <f aca="false">IF(IsPro,IF($D2647="","",IF(AND(V2647&lt;&gt;"",INDEX(Parties!$E$5:$E$304,V2647)&lt;&gt;"",INDEX(Parties!$E$5:$E$304,V2647)&lt;&gt;HomeState),ROUND(L2647*M2647,2),0)),"")</f>
        <v/>
      </c>
      <c r="Q2647" s="61" t="str">
        <f aca="false">IF(IsPro,IF($D2647="","",L2647+N2647+O2647+P2647),"")</f>
        <v/>
      </c>
      <c r="R2647" s="61" t="str">
        <f aca="false">IF(IsPro,IF($D2647="","",ROUND(N($E2647)*IFERROR(INDEX(Items!$P$5:$P$504,U2647),0),2)),"")</f>
        <v/>
      </c>
      <c r="S2647" s="61" t="str">
        <f aca="false">IF(IsPro,IF($D2647="","",L2647-R2647),"")</f>
        <v/>
      </c>
      <c r="T2647" s="60" t="str">
        <f aca="false">IF(IsPro,IF($D2647="","",IF(U2647="","UNKNOWN ITEM",IF(INDEX(Items!$O$5:$O$504,U2647)&lt;0,"NEG STOCK",IF(K2647&lt;INDEX(Items!$P$5:$P$504,U2647),"BELOW COST","OK")))),IF($D2647="","","PRO PLAN"))</f>
        <v/>
      </c>
      <c r="U2647" s="60" t="str">
        <f aca="false">IF(IsPro,IF($D2647="","",IFERROR(MATCH($D2647,Items!$A$5:$A$504,0),"")),"")</f>
        <v/>
      </c>
      <c r="V2647" s="60" t="str">
        <f aca="false">IF(IsPro,IF($C2647="","",IFERROR(MATCH($C2647,Parties!$A$5:$A$304,0),"")),"")</f>
        <v/>
      </c>
      <c r="W2647" s="60" t="str">
        <f aca="false">IF(IsPro,IF($B2647="","",IFERROR(VALUE(SUBSTITUTE($B2647,InvPrefix,"")),0)),"")</f>
        <v/>
      </c>
      <c r="X2647" s="61" t="str">
        <f aca="false">IF(IsPro,IF($D2647="","",IF(OR($H2647="",$H2647="Credit"),0,Q2647)),"")</f>
        <v/>
      </c>
    </row>
    <row r="2648" customFormat="false" ht="15" hidden="false" customHeight="false" outlineLevel="0" collapsed="false">
      <c r="A2648" s="55"/>
      <c r="B2648" s="56"/>
      <c r="C2648" s="56"/>
      <c r="D2648" s="56"/>
      <c r="E2648" s="57"/>
      <c r="F2648" s="58"/>
      <c r="G2648" s="59"/>
      <c r="H2648" s="56"/>
      <c r="I2648" s="56"/>
      <c r="J2648" s="60" t="str">
        <f aca="false">IF(IsPro,IF($D2648="","",IFERROR(INDEX(Items!$D$5:$D$504,U2648),"")),"")</f>
        <v/>
      </c>
      <c r="K2648" s="61" t="str">
        <f aca="false">IF(IsPro,IF($D2648="","",IF($F2648="",IFERROR(INDEX(Items!$H$5:$H$504,U2648),0),$F2648)),"")</f>
        <v/>
      </c>
      <c r="L2648" s="61" t="str">
        <f aca="false">IF(IsPro,IF($D2648="","",ROUND(N($E2648)*K2648*(1-N($G2648)),2)),"")</f>
        <v/>
      </c>
      <c r="M2648" s="62" t="str">
        <f aca="false">IF(IsPro,IF($D2648="","",IFERROR(INDEX(Items!$F$5:$F$504,U2648),0)),"")</f>
        <v/>
      </c>
      <c r="N2648" s="61" t="str">
        <f aca="false">IF(IsPro,IF($D2648="","",IF(AND(V2648&lt;&gt;"",INDEX(Parties!$E$5:$E$304,V2648)&lt;&gt;"",INDEX(Parties!$E$5:$E$304,V2648)&lt;&gt;HomeState),0,ROUND(L2648*M2648/2,2))),"")</f>
        <v/>
      </c>
      <c r="O2648" s="61" t="str">
        <f aca="false">IF(IsPro,IF($D2648="","",N2648),"")</f>
        <v/>
      </c>
      <c r="P2648" s="61" t="str">
        <f aca="false">IF(IsPro,IF($D2648="","",IF(AND(V2648&lt;&gt;"",INDEX(Parties!$E$5:$E$304,V2648)&lt;&gt;"",INDEX(Parties!$E$5:$E$304,V2648)&lt;&gt;HomeState),ROUND(L2648*M2648,2),0)),"")</f>
        <v/>
      </c>
      <c r="Q2648" s="61" t="str">
        <f aca="false">IF(IsPro,IF($D2648="","",L2648+N2648+O2648+P2648),"")</f>
        <v/>
      </c>
      <c r="R2648" s="61" t="str">
        <f aca="false">IF(IsPro,IF($D2648="","",ROUND(N($E2648)*IFERROR(INDEX(Items!$P$5:$P$504,U2648),0),2)),"")</f>
        <v/>
      </c>
      <c r="S2648" s="61" t="str">
        <f aca="false">IF(IsPro,IF($D2648="","",L2648-R2648),"")</f>
        <v/>
      </c>
      <c r="T2648" s="60" t="str">
        <f aca="false">IF(IsPro,IF($D2648="","",IF(U2648="","UNKNOWN ITEM",IF(INDEX(Items!$O$5:$O$504,U2648)&lt;0,"NEG STOCK",IF(K2648&lt;INDEX(Items!$P$5:$P$504,U2648),"BELOW COST","OK")))),IF($D2648="","","PRO PLAN"))</f>
        <v/>
      </c>
      <c r="U2648" s="60" t="str">
        <f aca="false">IF(IsPro,IF($D2648="","",IFERROR(MATCH($D2648,Items!$A$5:$A$504,0),"")),"")</f>
        <v/>
      </c>
      <c r="V2648" s="60" t="str">
        <f aca="false">IF(IsPro,IF($C2648="","",IFERROR(MATCH($C2648,Parties!$A$5:$A$304,0),"")),"")</f>
        <v/>
      </c>
      <c r="W2648" s="60" t="str">
        <f aca="false">IF(IsPro,IF($B2648="","",IFERROR(VALUE(SUBSTITUTE($B2648,InvPrefix,"")),0)),"")</f>
        <v/>
      </c>
      <c r="X2648" s="61" t="str">
        <f aca="false">IF(IsPro,IF($D2648="","",IF(OR($H2648="",$H2648="Credit"),0,Q2648)),"")</f>
        <v/>
      </c>
    </row>
    <row r="2649" customFormat="false" ht="15" hidden="false" customHeight="false" outlineLevel="0" collapsed="false">
      <c r="A2649" s="55"/>
      <c r="B2649" s="56"/>
      <c r="C2649" s="56"/>
      <c r="D2649" s="56"/>
      <c r="E2649" s="57"/>
      <c r="F2649" s="58"/>
      <c r="G2649" s="59"/>
      <c r="H2649" s="56"/>
      <c r="I2649" s="56"/>
      <c r="J2649" s="60" t="str">
        <f aca="false">IF(IsPro,IF($D2649="","",IFERROR(INDEX(Items!$D$5:$D$504,U2649),"")),"")</f>
        <v/>
      </c>
      <c r="K2649" s="61" t="str">
        <f aca="false">IF(IsPro,IF($D2649="","",IF($F2649="",IFERROR(INDEX(Items!$H$5:$H$504,U2649),0),$F2649)),"")</f>
        <v/>
      </c>
      <c r="L2649" s="61" t="str">
        <f aca="false">IF(IsPro,IF($D2649="","",ROUND(N($E2649)*K2649*(1-N($G2649)),2)),"")</f>
        <v/>
      </c>
      <c r="M2649" s="62" t="str">
        <f aca="false">IF(IsPro,IF($D2649="","",IFERROR(INDEX(Items!$F$5:$F$504,U2649),0)),"")</f>
        <v/>
      </c>
      <c r="N2649" s="61" t="str">
        <f aca="false">IF(IsPro,IF($D2649="","",IF(AND(V2649&lt;&gt;"",INDEX(Parties!$E$5:$E$304,V2649)&lt;&gt;"",INDEX(Parties!$E$5:$E$304,V2649)&lt;&gt;HomeState),0,ROUND(L2649*M2649/2,2))),"")</f>
        <v/>
      </c>
      <c r="O2649" s="61" t="str">
        <f aca="false">IF(IsPro,IF($D2649="","",N2649),"")</f>
        <v/>
      </c>
      <c r="P2649" s="61" t="str">
        <f aca="false">IF(IsPro,IF($D2649="","",IF(AND(V2649&lt;&gt;"",INDEX(Parties!$E$5:$E$304,V2649)&lt;&gt;"",INDEX(Parties!$E$5:$E$304,V2649)&lt;&gt;HomeState),ROUND(L2649*M2649,2),0)),"")</f>
        <v/>
      </c>
      <c r="Q2649" s="61" t="str">
        <f aca="false">IF(IsPro,IF($D2649="","",L2649+N2649+O2649+P2649),"")</f>
        <v/>
      </c>
      <c r="R2649" s="61" t="str">
        <f aca="false">IF(IsPro,IF($D2649="","",ROUND(N($E2649)*IFERROR(INDEX(Items!$P$5:$P$504,U2649),0),2)),"")</f>
        <v/>
      </c>
      <c r="S2649" s="61" t="str">
        <f aca="false">IF(IsPro,IF($D2649="","",L2649-R2649),"")</f>
        <v/>
      </c>
      <c r="T2649" s="60" t="str">
        <f aca="false">IF(IsPro,IF($D2649="","",IF(U2649="","UNKNOWN ITEM",IF(INDEX(Items!$O$5:$O$504,U2649)&lt;0,"NEG STOCK",IF(K2649&lt;INDEX(Items!$P$5:$P$504,U2649),"BELOW COST","OK")))),IF($D2649="","","PRO PLAN"))</f>
        <v/>
      </c>
      <c r="U2649" s="60" t="str">
        <f aca="false">IF(IsPro,IF($D2649="","",IFERROR(MATCH($D2649,Items!$A$5:$A$504,0),"")),"")</f>
        <v/>
      </c>
      <c r="V2649" s="60" t="str">
        <f aca="false">IF(IsPro,IF($C2649="","",IFERROR(MATCH($C2649,Parties!$A$5:$A$304,0),"")),"")</f>
        <v/>
      </c>
      <c r="W2649" s="60" t="str">
        <f aca="false">IF(IsPro,IF($B2649="","",IFERROR(VALUE(SUBSTITUTE($B2649,InvPrefix,"")),0)),"")</f>
        <v/>
      </c>
      <c r="X2649" s="61" t="str">
        <f aca="false">IF(IsPro,IF($D2649="","",IF(OR($H2649="",$H2649="Credit"),0,Q2649)),"")</f>
        <v/>
      </c>
    </row>
    <row r="2650" customFormat="false" ht="15" hidden="false" customHeight="false" outlineLevel="0" collapsed="false">
      <c r="A2650" s="55"/>
      <c r="B2650" s="56"/>
      <c r="C2650" s="56"/>
      <c r="D2650" s="56"/>
      <c r="E2650" s="57"/>
      <c r="F2650" s="58"/>
      <c r="G2650" s="59"/>
      <c r="H2650" s="56"/>
      <c r="I2650" s="56"/>
      <c r="J2650" s="60" t="str">
        <f aca="false">IF(IsPro,IF($D2650="","",IFERROR(INDEX(Items!$D$5:$D$504,U2650),"")),"")</f>
        <v/>
      </c>
      <c r="K2650" s="61" t="str">
        <f aca="false">IF(IsPro,IF($D2650="","",IF($F2650="",IFERROR(INDEX(Items!$H$5:$H$504,U2650),0),$F2650)),"")</f>
        <v/>
      </c>
      <c r="L2650" s="61" t="str">
        <f aca="false">IF(IsPro,IF($D2650="","",ROUND(N($E2650)*K2650*(1-N($G2650)),2)),"")</f>
        <v/>
      </c>
      <c r="M2650" s="62" t="str">
        <f aca="false">IF(IsPro,IF($D2650="","",IFERROR(INDEX(Items!$F$5:$F$504,U2650),0)),"")</f>
        <v/>
      </c>
      <c r="N2650" s="61" t="str">
        <f aca="false">IF(IsPro,IF($D2650="","",IF(AND(V2650&lt;&gt;"",INDEX(Parties!$E$5:$E$304,V2650)&lt;&gt;"",INDEX(Parties!$E$5:$E$304,V2650)&lt;&gt;HomeState),0,ROUND(L2650*M2650/2,2))),"")</f>
        <v/>
      </c>
      <c r="O2650" s="61" t="str">
        <f aca="false">IF(IsPro,IF($D2650="","",N2650),"")</f>
        <v/>
      </c>
      <c r="P2650" s="61" t="str">
        <f aca="false">IF(IsPro,IF($D2650="","",IF(AND(V2650&lt;&gt;"",INDEX(Parties!$E$5:$E$304,V2650)&lt;&gt;"",INDEX(Parties!$E$5:$E$304,V2650)&lt;&gt;HomeState),ROUND(L2650*M2650,2),0)),"")</f>
        <v/>
      </c>
      <c r="Q2650" s="61" t="str">
        <f aca="false">IF(IsPro,IF($D2650="","",L2650+N2650+O2650+P2650),"")</f>
        <v/>
      </c>
      <c r="R2650" s="61" t="str">
        <f aca="false">IF(IsPro,IF($D2650="","",ROUND(N($E2650)*IFERROR(INDEX(Items!$P$5:$P$504,U2650),0),2)),"")</f>
        <v/>
      </c>
      <c r="S2650" s="61" t="str">
        <f aca="false">IF(IsPro,IF($D2650="","",L2650-R2650),"")</f>
        <v/>
      </c>
      <c r="T2650" s="60" t="str">
        <f aca="false">IF(IsPro,IF($D2650="","",IF(U2650="","UNKNOWN ITEM",IF(INDEX(Items!$O$5:$O$504,U2650)&lt;0,"NEG STOCK",IF(K2650&lt;INDEX(Items!$P$5:$P$504,U2650),"BELOW COST","OK")))),IF($D2650="","","PRO PLAN"))</f>
        <v/>
      </c>
      <c r="U2650" s="60" t="str">
        <f aca="false">IF(IsPro,IF($D2650="","",IFERROR(MATCH($D2650,Items!$A$5:$A$504,0),"")),"")</f>
        <v/>
      </c>
      <c r="V2650" s="60" t="str">
        <f aca="false">IF(IsPro,IF($C2650="","",IFERROR(MATCH($C2650,Parties!$A$5:$A$304,0),"")),"")</f>
        <v/>
      </c>
      <c r="W2650" s="60" t="str">
        <f aca="false">IF(IsPro,IF($B2650="","",IFERROR(VALUE(SUBSTITUTE($B2650,InvPrefix,"")),0)),"")</f>
        <v/>
      </c>
      <c r="X2650" s="61" t="str">
        <f aca="false">IF(IsPro,IF($D2650="","",IF(OR($H2650="",$H2650="Credit"),0,Q2650)),"")</f>
        <v/>
      </c>
    </row>
    <row r="2651" customFormat="false" ht="15" hidden="false" customHeight="false" outlineLevel="0" collapsed="false">
      <c r="A2651" s="55"/>
      <c r="B2651" s="56"/>
      <c r="C2651" s="56"/>
      <c r="D2651" s="56"/>
      <c r="E2651" s="57"/>
      <c r="F2651" s="58"/>
      <c r="G2651" s="59"/>
      <c r="H2651" s="56"/>
      <c r="I2651" s="56"/>
      <c r="J2651" s="60" t="str">
        <f aca="false">IF(IsPro,IF($D2651="","",IFERROR(INDEX(Items!$D$5:$D$504,U2651),"")),"")</f>
        <v/>
      </c>
      <c r="K2651" s="61" t="str">
        <f aca="false">IF(IsPro,IF($D2651="","",IF($F2651="",IFERROR(INDEX(Items!$H$5:$H$504,U2651),0),$F2651)),"")</f>
        <v/>
      </c>
      <c r="L2651" s="61" t="str">
        <f aca="false">IF(IsPro,IF($D2651="","",ROUND(N($E2651)*K2651*(1-N($G2651)),2)),"")</f>
        <v/>
      </c>
      <c r="M2651" s="62" t="str">
        <f aca="false">IF(IsPro,IF($D2651="","",IFERROR(INDEX(Items!$F$5:$F$504,U2651),0)),"")</f>
        <v/>
      </c>
      <c r="N2651" s="61" t="str">
        <f aca="false">IF(IsPro,IF($D2651="","",IF(AND(V2651&lt;&gt;"",INDEX(Parties!$E$5:$E$304,V2651)&lt;&gt;"",INDEX(Parties!$E$5:$E$304,V2651)&lt;&gt;HomeState),0,ROUND(L2651*M2651/2,2))),"")</f>
        <v/>
      </c>
      <c r="O2651" s="61" t="str">
        <f aca="false">IF(IsPro,IF($D2651="","",N2651),"")</f>
        <v/>
      </c>
      <c r="P2651" s="61" t="str">
        <f aca="false">IF(IsPro,IF($D2651="","",IF(AND(V2651&lt;&gt;"",INDEX(Parties!$E$5:$E$304,V2651)&lt;&gt;"",INDEX(Parties!$E$5:$E$304,V2651)&lt;&gt;HomeState),ROUND(L2651*M2651,2),0)),"")</f>
        <v/>
      </c>
      <c r="Q2651" s="61" t="str">
        <f aca="false">IF(IsPro,IF($D2651="","",L2651+N2651+O2651+P2651),"")</f>
        <v/>
      </c>
      <c r="R2651" s="61" t="str">
        <f aca="false">IF(IsPro,IF($D2651="","",ROUND(N($E2651)*IFERROR(INDEX(Items!$P$5:$P$504,U2651),0),2)),"")</f>
        <v/>
      </c>
      <c r="S2651" s="61" t="str">
        <f aca="false">IF(IsPro,IF($D2651="","",L2651-R2651),"")</f>
        <v/>
      </c>
      <c r="T2651" s="60" t="str">
        <f aca="false">IF(IsPro,IF($D2651="","",IF(U2651="","UNKNOWN ITEM",IF(INDEX(Items!$O$5:$O$504,U2651)&lt;0,"NEG STOCK",IF(K2651&lt;INDEX(Items!$P$5:$P$504,U2651),"BELOW COST","OK")))),IF($D2651="","","PRO PLAN"))</f>
        <v/>
      </c>
      <c r="U2651" s="60" t="str">
        <f aca="false">IF(IsPro,IF($D2651="","",IFERROR(MATCH($D2651,Items!$A$5:$A$504,0),"")),"")</f>
        <v/>
      </c>
      <c r="V2651" s="60" t="str">
        <f aca="false">IF(IsPro,IF($C2651="","",IFERROR(MATCH($C2651,Parties!$A$5:$A$304,0),"")),"")</f>
        <v/>
      </c>
      <c r="W2651" s="60" t="str">
        <f aca="false">IF(IsPro,IF($B2651="","",IFERROR(VALUE(SUBSTITUTE($B2651,InvPrefix,"")),0)),"")</f>
        <v/>
      </c>
      <c r="X2651" s="61" t="str">
        <f aca="false">IF(IsPro,IF($D2651="","",IF(OR($H2651="",$H2651="Credit"),0,Q2651)),"")</f>
        <v/>
      </c>
    </row>
    <row r="2652" customFormat="false" ht="15" hidden="false" customHeight="false" outlineLevel="0" collapsed="false">
      <c r="A2652" s="55"/>
      <c r="B2652" s="56"/>
      <c r="C2652" s="56"/>
      <c r="D2652" s="56"/>
      <c r="E2652" s="57"/>
      <c r="F2652" s="58"/>
      <c r="G2652" s="59"/>
      <c r="H2652" s="56"/>
      <c r="I2652" s="56"/>
      <c r="J2652" s="60" t="str">
        <f aca="false">IF(IsPro,IF($D2652="","",IFERROR(INDEX(Items!$D$5:$D$504,U2652),"")),"")</f>
        <v/>
      </c>
      <c r="K2652" s="61" t="str">
        <f aca="false">IF(IsPro,IF($D2652="","",IF($F2652="",IFERROR(INDEX(Items!$H$5:$H$504,U2652),0),$F2652)),"")</f>
        <v/>
      </c>
      <c r="L2652" s="61" t="str">
        <f aca="false">IF(IsPro,IF($D2652="","",ROUND(N($E2652)*K2652*(1-N($G2652)),2)),"")</f>
        <v/>
      </c>
      <c r="M2652" s="62" t="str">
        <f aca="false">IF(IsPro,IF($D2652="","",IFERROR(INDEX(Items!$F$5:$F$504,U2652),0)),"")</f>
        <v/>
      </c>
      <c r="N2652" s="61" t="str">
        <f aca="false">IF(IsPro,IF($D2652="","",IF(AND(V2652&lt;&gt;"",INDEX(Parties!$E$5:$E$304,V2652)&lt;&gt;"",INDEX(Parties!$E$5:$E$304,V2652)&lt;&gt;HomeState),0,ROUND(L2652*M2652/2,2))),"")</f>
        <v/>
      </c>
      <c r="O2652" s="61" t="str">
        <f aca="false">IF(IsPro,IF($D2652="","",N2652),"")</f>
        <v/>
      </c>
      <c r="P2652" s="61" t="str">
        <f aca="false">IF(IsPro,IF($D2652="","",IF(AND(V2652&lt;&gt;"",INDEX(Parties!$E$5:$E$304,V2652)&lt;&gt;"",INDEX(Parties!$E$5:$E$304,V2652)&lt;&gt;HomeState),ROUND(L2652*M2652,2),0)),"")</f>
        <v/>
      </c>
      <c r="Q2652" s="61" t="str">
        <f aca="false">IF(IsPro,IF($D2652="","",L2652+N2652+O2652+P2652),"")</f>
        <v/>
      </c>
      <c r="R2652" s="61" t="str">
        <f aca="false">IF(IsPro,IF($D2652="","",ROUND(N($E2652)*IFERROR(INDEX(Items!$P$5:$P$504,U2652),0),2)),"")</f>
        <v/>
      </c>
      <c r="S2652" s="61" t="str">
        <f aca="false">IF(IsPro,IF($D2652="","",L2652-R2652),"")</f>
        <v/>
      </c>
      <c r="T2652" s="60" t="str">
        <f aca="false">IF(IsPro,IF($D2652="","",IF(U2652="","UNKNOWN ITEM",IF(INDEX(Items!$O$5:$O$504,U2652)&lt;0,"NEG STOCK",IF(K2652&lt;INDEX(Items!$P$5:$P$504,U2652),"BELOW COST","OK")))),IF($D2652="","","PRO PLAN"))</f>
        <v/>
      </c>
      <c r="U2652" s="60" t="str">
        <f aca="false">IF(IsPro,IF($D2652="","",IFERROR(MATCH($D2652,Items!$A$5:$A$504,0),"")),"")</f>
        <v/>
      </c>
      <c r="V2652" s="60" t="str">
        <f aca="false">IF(IsPro,IF($C2652="","",IFERROR(MATCH($C2652,Parties!$A$5:$A$304,0),"")),"")</f>
        <v/>
      </c>
      <c r="W2652" s="60" t="str">
        <f aca="false">IF(IsPro,IF($B2652="","",IFERROR(VALUE(SUBSTITUTE($B2652,InvPrefix,"")),0)),"")</f>
        <v/>
      </c>
      <c r="X2652" s="61" t="str">
        <f aca="false">IF(IsPro,IF($D2652="","",IF(OR($H2652="",$H2652="Credit"),0,Q2652)),"")</f>
        <v/>
      </c>
    </row>
    <row r="2653" customFormat="false" ht="15" hidden="false" customHeight="false" outlineLevel="0" collapsed="false">
      <c r="A2653" s="55"/>
      <c r="B2653" s="56"/>
      <c r="C2653" s="56"/>
      <c r="D2653" s="56"/>
      <c r="E2653" s="57"/>
      <c r="F2653" s="58"/>
      <c r="G2653" s="59"/>
      <c r="H2653" s="56"/>
      <c r="I2653" s="56"/>
      <c r="J2653" s="60" t="str">
        <f aca="false">IF(IsPro,IF($D2653="","",IFERROR(INDEX(Items!$D$5:$D$504,U2653),"")),"")</f>
        <v/>
      </c>
      <c r="K2653" s="61" t="str">
        <f aca="false">IF(IsPro,IF($D2653="","",IF($F2653="",IFERROR(INDEX(Items!$H$5:$H$504,U2653),0),$F2653)),"")</f>
        <v/>
      </c>
      <c r="L2653" s="61" t="str">
        <f aca="false">IF(IsPro,IF($D2653="","",ROUND(N($E2653)*K2653*(1-N($G2653)),2)),"")</f>
        <v/>
      </c>
      <c r="M2653" s="62" t="str">
        <f aca="false">IF(IsPro,IF($D2653="","",IFERROR(INDEX(Items!$F$5:$F$504,U2653),0)),"")</f>
        <v/>
      </c>
      <c r="N2653" s="61" t="str">
        <f aca="false">IF(IsPro,IF($D2653="","",IF(AND(V2653&lt;&gt;"",INDEX(Parties!$E$5:$E$304,V2653)&lt;&gt;"",INDEX(Parties!$E$5:$E$304,V2653)&lt;&gt;HomeState),0,ROUND(L2653*M2653/2,2))),"")</f>
        <v/>
      </c>
      <c r="O2653" s="61" t="str">
        <f aca="false">IF(IsPro,IF($D2653="","",N2653),"")</f>
        <v/>
      </c>
      <c r="P2653" s="61" t="str">
        <f aca="false">IF(IsPro,IF($D2653="","",IF(AND(V2653&lt;&gt;"",INDEX(Parties!$E$5:$E$304,V2653)&lt;&gt;"",INDEX(Parties!$E$5:$E$304,V2653)&lt;&gt;HomeState),ROUND(L2653*M2653,2),0)),"")</f>
        <v/>
      </c>
      <c r="Q2653" s="61" t="str">
        <f aca="false">IF(IsPro,IF($D2653="","",L2653+N2653+O2653+P2653),"")</f>
        <v/>
      </c>
      <c r="R2653" s="61" t="str">
        <f aca="false">IF(IsPro,IF($D2653="","",ROUND(N($E2653)*IFERROR(INDEX(Items!$P$5:$P$504,U2653),0),2)),"")</f>
        <v/>
      </c>
      <c r="S2653" s="61" t="str">
        <f aca="false">IF(IsPro,IF($D2653="","",L2653-R2653),"")</f>
        <v/>
      </c>
      <c r="T2653" s="60" t="str">
        <f aca="false">IF(IsPro,IF($D2653="","",IF(U2653="","UNKNOWN ITEM",IF(INDEX(Items!$O$5:$O$504,U2653)&lt;0,"NEG STOCK",IF(K2653&lt;INDEX(Items!$P$5:$P$504,U2653),"BELOW COST","OK")))),IF($D2653="","","PRO PLAN"))</f>
        <v/>
      </c>
      <c r="U2653" s="60" t="str">
        <f aca="false">IF(IsPro,IF($D2653="","",IFERROR(MATCH($D2653,Items!$A$5:$A$504,0),"")),"")</f>
        <v/>
      </c>
      <c r="V2653" s="60" t="str">
        <f aca="false">IF(IsPro,IF($C2653="","",IFERROR(MATCH($C2653,Parties!$A$5:$A$304,0),"")),"")</f>
        <v/>
      </c>
      <c r="W2653" s="60" t="str">
        <f aca="false">IF(IsPro,IF($B2653="","",IFERROR(VALUE(SUBSTITUTE($B2653,InvPrefix,"")),0)),"")</f>
        <v/>
      </c>
      <c r="X2653" s="61" t="str">
        <f aca="false">IF(IsPro,IF($D2653="","",IF(OR($H2653="",$H2653="Credit"),0,Q2653)),"")</f>
        <v/>
      </c>
    </row>
    <row r="2654" customFormat="false" ht="15" hidden="false" customHeight="false" outlineLevel="0" collapsed="false">
      <c r="A2654" s="55"/>
      <c r="B2654" s="56"/>
      <c r="C2654" s="56"/>
      <c r="D2654" s="56"/>
      <c r="E2654" s="57"/>
      <c r="F2654" s="58"/>
      <c r="G2654" s="59"/>
      <c r="H2654" s="56"/>
      <c r="I2654" s="56"/>
      <c r="J2654" s="60" t="str">
        <f aca="false">IF(IsPro,IF($D2654="","",IFERROR(INDEX(Items!$D$5:$D$504,U2654),"")),"")</f>
        <v/>
      </c>
      <c r="K2654" s="61" t="str">
        <f aca="false">IF(IsPro,IF($D2654="","",IF($F2654="",IFERROR(INDEX(Items!$H$5:$H$504,U2654),0),$F2654)),"")</f>
        <v/>
      </c>
      <c r="L2654" s="61" t="str">
        <f aca="false">IF(IsPro,IF($D2654="","",ROUND(N($E2654)*K2654*(1-N($G2654)),2)),"")</f>
        <v/>
      </c>
      <c r="M2654" s="62" t="str">
        <f aca="false">IF(IsPro,IF($D2654="","",IFERROR(INDEX(Items!$F$5:$F$504,U2654),0)),"")</f>
        <v/>
      </c>
      <c r="N2654" s="61" t="str">
        <f aca="false">IF(IsPro,IF($D2654="","",IF(AND(V2654&lt;&gt;"",INDEX(Parties!$E$5:$E$304,V2654)&lt;&gt;"",INDEX(Parties!$E$5:$E$304,V2654)&lt;&gt;HomeState),0,ROUND(L2654*M2654/2,2))),"")</f>
        <v/>
      </c>
      <c r="O2654" s="61" t="str">
        <f aca="false">IF(IsPro,IF($D2654="","",N2654),"")</f>
        <v/>
      </c>
      <c r="P2654" s="61" t="str">
        <f aca="false">IF(IsPro,IF($D2654="","",IF(AND(V2654&lt;&gt;"",INDEX(Parties!$E$5:$E$304,V2654)&lt;&gt;"",INDEX(Parties!$E$5:$E$304,V2654)&lt;&gt;HomeState),ROUND(L2654*M2654,2),0)),"")</f>
        <v/>
      </c>
      <c r="Q2654" s="61" t="str">
        <f aca="false">IF(IsPro,IF($D2654="","",L2654+N2654+O2654+P2654),"")</f>
        <v/>
      </c>
      <c r="R2654" s="61" t="str">
        <f aca="false">IF(IsPro,IF($D2654="","",ROUND(N($E2654)*IFERROR(INDEX(Items!$P$5:$P$504,U2654),0),2)),"")</f>
        <v/>
      </c>
      <c r="S2654" s="61" t="str">
        <f aca="false">IF(IsPro,IF($D2654="","",L2654-R2654),"")</f>
        <v/>
      </c>
      <c r="T2654" s="60" t="str">
        <f aca="false">IF(IsPro,IF($D2654="","",IF(U2654="","UNKNOWN ITEM",IF(INDEX(Items!$O$5:$O$504,U2654)&lt;0,"NEG STOCK",IF(K2654&lt;INDEX(Items!$P$5:$P$504,U2654),"BELOW COST","OK")))),IF($D2654="","","PRO PLAN"))</f>
        <v/>
      </c>
      <c r="U2654" s="60" t="str">
        <f aca="false">IF(IsPro,IF($D2654="","",IFERROR(MATCH($D2654,Items!$A$5:$A$504,0),"")),"")</f>
        <v/>
      </c>
      <c r="V2654" s="60" t="str">
        <f aca="false">IF(IsPro,IF($C2654="","",IFERROR(MATCH($C2654,Parties!$A$5:$A$304,0),"")),"")</f>
        <v/>
      </c>
      <c r="W2654" s="60" t="str">
        <f aca="false">IF(IsPro,IF($B2654="","",IFERROR(VALUE(SUBSTITUTE($B2654,InvPrefix,"")),0)),"")</f>
        <v/>
      </c>
      <c r="X2654" s="61" t="str">
        <f aca="false">IF(IsPro,IF($D2654="","",IF(OR($H2654="",$H2654="Credit"),0,Q2654)),"")</f>
        <v/>
      </c>
    </row>
    <row r="2655" customFormat="false" ht="15" hidden="false" customHeight="false" outlineLevel="0" collapsed="false">
      <c r="A2655" s="55"/>
      <c r="B2655" s="56"/>
      <c r="C2655" s="56"/>
      <c r="D2655" s="56"/>
      <c r="E2655" s="57"/>
      <c r="F2655" s="58"/>
      <c r="G2655" s="59"/>
      <c r="H2655" s="56"/>
      <c r="I2655" s="56"/>
      <c r="J2655" s="60" t="str">
        <f aca="false">IF(IsPro,IF($D2655="","",IFERROR(INDEX(Items!$D$5:$D$504,U2655),"")),"")</f>
        <v/>
      </c>
      <c r="K2655" s="61" t="str">
        <f aca="false">IF(IsPro,IF($D2655="","",IF($F2655="",IFERROR(INDEX(Items!$H$5:$H$504,U2655),0),$F2655)),"")</f>
        <v/>
      </c>
      <c r="L2655" s="61" t="str">
        <f aca="false">IF(IsPro,IF($D2655="","",ROUND(N($E2655)*K2655*(1-N($G2655)),2)),"")</f>
        <v/>
      </c>
      <c r="M2655" s="62" t="str">
        <f aca="false">IF(IsPro,IF($D2655="","",IFERROR(INDEX(Items!$F$5:$F$504,U2655),0)),"")</f>
        <v/>
      </c>
      <c r="N2655" s="61" t="str">
        <f aca="false">IF(IsPro,IF($D2655="","",IF(AND(V2655&lt;&gt;"",INDEX(Parties!$E$5:$E$304,V2655)&lt;&gt;"",INDEX(Parties!$E$5:$E$304,V2655)&lt;&gt;HomeState),0,ROUND(L2655*M2655/2,2))),"")</f>
        <v/>
      </c>
      <c r="O2655" s="61" t="str">
        <f aca="false">IF(IsPro,IF($D2655="","",N2655),"")</f>
        <v/>
      </c>
      <c r="P2655" s="61" t="str">
        <f aca="false">IF(IsPro,IF($D2655="","",IF(AND(V2655&lt;&gt;"",INDEX(Parties!$E$5:$E$304,V2655)&lt;&gt;"",INDEX(Parties!$E$5:$E$304,V2655)&lt;&gt;HomeState),ROUND(L2655*M2655,2),0)),"")</f>
        <v/>
      </c>
      <c r="Q2655" s="61" t="str">
        <f aca="false">IF(IsPro,IF($D2655="","",L2655+N2655+O2655+P2655),"")</f>
        <v/>
      </c>
      <c r="R2655" s="61" t="str">
        <f aca="false">IF(IsPro,IF($D2655="","",ROUND(N($E2655)*IFERROR(INDEX(Items!$P$5:$P$504,U2655),0),2)),"")</f>
        <v/>
      </c>
      <c r="S2655" s="61" t="str">
        <f aca="false">IF(IsPro,IF($D2655="","",L2655-R2655),"")</f>
        <v/>
      </c>
      <c r="T2655" s="60" t="str">
        <f aca="false">IF(IsPro,IF($D2655="","",IF(U2655="","UNKNOWN ITEM",IF(INDEX(Items!$O$5:$O$504,U2655)&lt;0,"NEG STOCK",IF(K2655&lt;INDEX(Items!$P$5:$P$504,U2655),"BELOW COST","OK")))),IF($D2655="","","PRO PLAN"))</f>
        <v/>
      </c>
      <c r="U2655" s="60" t="str">
        <f aca="false">IF(IsPro,IF($D2655="","",IFERROR(MATCH($D2655,Items!$A$5:$A$504,0),"")),"")</f>
        <v/>
      </c>
      <c r="V2655" s="60" t="str">
        <f aca="false">IF(IsPro,IF($C2655="","",IFERROR(MATCH($C2655,Parties!$A$5:$A$304,0),"")),"")</f>
        <v/>
      </c>
      <c r="W2655" s="60" t="str">
        <f aca="false">IF(IsPro,IF($B2655="","",IFERROR(VALUE(SUBSTITUTE($B2655,InvPrefix,"")),0)),"")</f>
        <v/>
      </c>
      <c r="X2655" s="61" t="str">
        <f aca="false">IF(IsPro,IF($D2655="","",IF(OR($H2655="",$H2655="Credit"),0,Q2655)),"")</f>
        <v/>
      </c>
    </row>
    <row r="2656" customFormat="false" ht="15" hidden="false" customHeight="false" outlineLevel="0" collapsed="false">
      <c r="A2656" s="55"/>
      <c r="B2656" s="56"/>
      <c r="C2656" s="56"/>
      <c r="D2656" s="56"/>
      <c r="E2656" s="57"/>
      <c r="F2656" s="58"/>
      <c r="G2656" s="59"/>
      <c r="H2656" s="56"/>
      <c r="I2656" s="56"/>
      <c r="J2656" s="60" t="str">
        <f aca="false">IF(IsPro,IF($D2656="","",IFERROR(INDEX(Items!$D$5:$D$504,U2656),"")),"")</f>
        <v/>
      </c>
      <c r="K2656" s="61" t="str">
        <f aca="false">IF(IsPro,IF($D2656="","",IF($F2656="",IFERROR(INDEX(Items!$H$5:$H$504,U2656),0),$F2656)),"")</f>
        <v/>
      </c>
      <c r="L2656" s="61" t="str">
        <f aca="false">IF(IsPro,IF($D2656="","",ROUND(N($E2656)*K2656*(1-N($G2656)),2)),"")</f>
        <v/>
      </c>
      <c r="M2656" s="62" t="str">
        <f aca="false">IF(IsPro,IF($D2656="","",IFERROR(INDEX(Items!$F$5:$F$504,U2656),0)),"")</f>
        <v/>
      </c>
      <c r="N2656" s="61" t="str">
        <f aca="false">IF(IsPro,IF($D2656="","",IF(AND(V2656&lt;&gt;"",INDEX(Parties!$E$5:$E$304,V2656)&lt;&gt;"",INDEX(Parties!$E$5:$E$304,V2656)&lt;&gt;HomeState),0,ROUND(L2656*M2656/2,2))),"")</f>
        <v/>
      </c>
      <c r="O2656" s="61" t="str">
        <f aca="false">IF(IsPro,IF($D2656="","",N2656),"")</f>
        <v/>
      </c>
      <c r="P2656" s="61" t="str">
        <f aca="false">IF(IsPro,IF($D2656="","",IF(AND(V2656&lt;&gt;"",INDEX(Parties!$E$5:$E$304,V2656)&lt;&gt;"",INDEX(Parties!$E$5:$E$304,V2656)&lt;&gt;HomeState),ROUND(L2656*M2656,2),0)),"")</f>
        <v/>
      </c>
      <c r="Q2656" s="61" t="str">
        <f aca="false">IF(IsPro,IF($D2656="","",L2656+N2656+O2656+P2656),"")</f>
        <v/>
      </c>
      <c r="R2656" s="61" t="str">
        <f aca="false">IF(IsPro,IF($D2656="","",ROUND(N($E2656)*IFERROR(INDEX(Items!$P$5:$P$504,U2656),0),2)),"")</f>
        <v/>
      </c>
      <c r="S2656" s="61" t="str">
        <f aca="false">IF(IsPro,IF($D2656="","",L2656-R2656),"")</f>
        <v/>
      </c>
      <c r="T2656" s="60" t="str">
        <f aca="false">IF(IsPro,IF($D2656="","",IF(U2656="","UNKNOWN ITEM",IF(INDEX(Items!$O$5:$O$504,U2656)&lt;0,"NEG STOCK",IF(K2656&lt;INDEX(Items!$P$5:$P$504,U2656),"BELOW COST","OK")))),IF($D2656="","","PRO PLAN"))</f>
        <v/>
      </c>
      <c r="U2656" s="60" t="str">
        <f aca="false">IF(IsPro,IF($D2656="","",IFERROR(MATCH($D2656,Items!$A$5:$A$504,0),"")),"")</f>
        <v/>
      </c>
      <c r="V2656" s="60" t="str">
        <f aca="false">IF(IsPro,IF($C2656="","",IFERROR(MATCH($C2656,Parties!$A$5:$A$304,0),"")),"")</f>
        <v/>
      </c>
      <c r="W2656" s="60" t="str">
        <f aca="false">IF(IsPro,IF($B2656="","",IFERROR(VALUE(SUBSTITUTE($B2656,InvPrefix,"")),0)),"")</f>
        <v/>
      </c>
      <c r="X2656" s="61" t="str">
        <f aca="false">IF(IsPro,IF($D2656="","",IF(OR($H2656="",$H2656="Credit"),0,Q2656)),"")</f>
        <v/>
      </c>
    </row>
    <row r="2657" customFormat="false" ht="15" hidden="false" customHeight="false" outlineLevel="0" collapsed="false">
      <c r="A2657" s="55"/>
      <c r="B2657" s="56"/>
      <c r="C2657" s="56"/>
      <c r="D2657" s="56"/>
      <c r="E2657" s="57"/>
      <c r="F2657" s="58"/>
      <c r="G2657" s="59"/>
      <c r="H2657" s="56"/>
      <c r="I2657" s="56"/>
      <c r="J2657" s="60" t="str">
        <f aca="false">IF(IsPro,IF($D2657="","",IFERROR(INDEX(Items!$D$5:$D$504,U2657),"")),"")</f>
        <v/>
      </c>
      <c r="K2657" s="61" t="str">
        <f aca="false">IF(IsPro,IF($D2657="","",IF($F2657="",IFERROR(INDEX(Items!$H$5:$H$504,U2657),0),$F2657)),"")</f>
        <v/>
      </c>
      <c r="L2657" s="61" t="str">
        <f aca="false">IF(IsPro,IF($D2657="","",ROUND(N($E2657)*K2657*(1-N($G2657)),2)),"")</f>
        <v/>
      </c>
      <c r="M2657" s="62" t="str">
        <f aca="false">IF(IsPro,IF($D2657="","",IFERROR(INDEX(Items!$F$5:$F$504,U2657),0)),"")</f>
        <v/>
      </c>
      <c r="N2657" s="61" t="str">
        <f aca="false">IF(IsPro,IF($D2657="","",IF(AND(V2657&lt;&gt;"",INDEX(Parties!$E$5:$E$304,V2657)&lt;&gt;"",INDEX(Parties!$E$5:$E$304,V2657)&lt;&gt;HomeState),0,ROUND(L2657*M2657/2,2))),"")</f>
        <v/>
      </c>
      <c r="O2657" s="61" t="str">
        <f aca="false">IF(IsPro,IF($D2657="","",N2657),"")</f>
        <v/>
      </c>
      <c r="P2657" s="61" t="str">
        <f aca="false">IF(IsPro,IF($D2657="","",IF(AND(V2657&lt;&gt;"",INDEX(Parties!$E$5:$E$304,V2657)&lt;&gt;"",INDEX(Parties!$E$5:$E$304,V2657)&lt;&gt;HomeState),ROUND(L2657*M2657,2),0)),"")</f>
        <v/>
      </c>
      <c r="Q2657" s="61" t="str">
        <f aca="false">IF(IsPro,IF($D2657="","",L2657+N2657+O2657+P2657),"")</f>
        <v/>
      </c>
      <c r="R2657" s="61" t="str">
        <f aca="false">IF(IsPro,IF($D2657="","",ROUND(N($E2657)*IFERROR(INDEX(Items!$P$5:$P$504,U2657),0),2)),"")</f>
        <v/>
      </c>
      <c r="S2657" s="61" t="str">
        <f aca="false">IF(IsPro,IF($D2657="","",L2657-R2657),"")</f>
        <v/>
      </c>
      <c r="T2657" s="60" t="str">
        <f aca="false">IF(IsPro,IF($D2657="","",IF(U2657="","UNKNOWN ITEM",IF(INDEX(Items!$O$5:$O$504,U2657)&lt;0,"NEG STOCK",IF(K2657&lt;INDEX(Items!$P$5:$P$504,U2657),"BELOW COST","OK")))),IF($D2657="","","PRO PLAN"))</f>
        <v/>
      </c>
      <c r="U2657" s="60" t="str">
        <f aca="false">IF(IsPro,IF($D2657="","",IFERROR(MATCH($D2657,Items!$A$5:$A$504,0),"")),"")</f>
        <v/>
      </c>
      <c r="V2657" s="60" t="str">
        <f aca="false">IF(IsPro,IF($C2657="","",IFERROR(MATCH($C2657,Parties!$A$5:$A$304,0),"")),"")</f>
        <v/>
      </c>
      <c r="W2657" s="60" t="str">
        <f aca="false">IF(IsPro,IF($B2657="","",IFERROR(VALUE(SUBSTITUTE($B2657,InvPrefix,"")),0)),"")</f>
        <v/>
      </c>
      <c r="X2657" s="61" t="str">
        <f aca="false">IF(IsPro,IF($D2657="","",IF(OR($H2657="",$H2657="Credit"),0,Q2657)),"")</f>
        <v/>
      </c>
    </row>
    <row r="2658" customFormat="false" ht="15" hidden="false" customHeight="false" outlineLevel="0" collapsed="false">
      <c r="A2658" s="55"/>
      <c r="B2658" s="56"/>
      <c r="C2658" s="56"/>
      <c r="D2658" s="56"/>
      <c r="E2658" s="57"/>
      <c r="F2658" s="58"/>
      <c r="G2658" s="59"/>
      <c r="H2658" s="56"/>
      <c r="I2658" s="56"/>
      <c r="J2658" s="60" t="str">
        <f aca="false">IF(IsPro,IF($D2658="","",IFERROR(INDEX(Items!$D$5:$D$504,U2658),"")),"")</f>
        <v/>
      </c>
      <c r="K2658" s="61" t="str">
        <f aca="false">IF(IsPro,IF($D2658="","",IF($F2658="",IFERROR(INDEX(Items!$H$5:$H$504,U2658),0),$F2658)),"")</f>
        <v/>
      </c>
      <c r="L2658" s="61" t="str">
        <f aca="false">IF(IsPro,IF($D2658="","",ROUND(N($E2658)*K2658*(1-N($G2658)),2)),"")</f>
        <v/>
      </c>
      <c r="M2658" s="62" t="str">
        <f aca="false">IF(IsPro,IF($D2658="","",IFERROR(INDEX(Items!$F$5:$F$504,U2658),0)),"")</f>
        <v/>
      </c>
      <c r="N2658" s="61" t="str">
        <f aca="false">IF(IsPro,IF($D2658="","",IF(AND(V2658&lt;&gt;"",INDEX(Parties!$E$5:$E$304,V2658)&lt;&gt;"",INDEX(Parties!$E$5:$E$304,V2658)&lt;&gt;HomeState),0,ROUND(L2658*M2658/2,2))),"")</f>
        <v/>
      </c>
      <c r="O2658" s="61" t="str">
        <f aca="false">IF(IsPro,IF($D2658="","",N2658),"")</f>
        <v/>
      </c>
      <c r="P2658" s="61" t="str">
        <f aca="false">IF(IsPro,IF($D2658="","",IF(AND(V2658&lt;&gt;"",INDEX(Parties!$E$5:$E$304,V2658)&lt;&gt;"",INDEX(Parties!$E$5:$E$304,V2658)&lt;&gt;HomeState),ROUND(L2658*M2658,2),0)),"")</f>
        <v/>
      </c>
      <c r="Q2658" s="61" t="str">
        <f aca="false">IF(IsPro,IF($D2658="","",L2658+N2658+O2658+P2658),"")</f>
        <v/>
      </c>
      <c r="R2658" s="61" t="str">
        <f aca="false">IF(IsPro,IF($D2658="","",ROUND(N($E2658)*IFERROR(INDEX(Items!$P$5:$P$504,U2658),0),2)),"")</f>
        <v/>
      </c>
      <c r="S2658" s="61" t="str">
        <f aca="false">IF(IsPro,IF($D2658="","",L2658-R2658),"")</f>
        <v/>
      </c>
      <c r="T2658" s="60" t="str">
        <f aca="false">IF(IsPro,IF($D2658="","",IF(U2658="","UNKNOWN ITEM",IF(INDEX(Items!$O$5:$O$504,U2658)&lt;0,"NEG STOCK",IF(K2658&lt;INDEX(Items!$P$5:$P$504,U2658),"BELOW COST","OK")))),IF($D2658="","","PRO PLAN"))</f>
        <v/>
      </c>
      <c r="U2658" s="60" t="str">
        <f aca="false">IF(IsPro,IF($D2658="","",IFERROR(MATCH($D2658,Items!$A$5:$A$504,0),"")),"")</f>
        <v/>
      </c>
      <c r="V2658" s="60" t="str">
        <f aca="false">IF(IsPro,IF($C2658="","",IFERROR(MATCH($C2658,Parties!$A$5:$A$304,0),"")),"")</f>
        <v/>
      </c>
      <c r="W2658" s="60" t="str">
        <f aca="false">IF(IsPro,IF($B2658="","",IFERROR(VALUE(SUBSTITUTE($B2658,InvPrefix,"")),0)),"")</f>
        <v/>
      </c>
      <c r="X2658" s="61" t="str">
        <f aca="false">IF(IsPro,IF($D2658="","",IF(OR($H2658="",$H2658="Credit"),0,Q2658)),"")</f>
        <v/>
      </c>
    </row>
    <row r="2659" customFormat="false" ht="15" hidden="false" customHeight="false" outlineLevel="0" collapsed="false">
      <c r="A2659" s="55"/>
      <c r="B2659" s="56"/>
      <c r="C2659" s="56"/>
      <c r="D2659" s="56"/>
      <c r="E2659" s="57"/>
      <c r="F2659" s="58"/>
      <c r="G2659" s="59"/>
      <c r="H2659" s="56"/>
      <c r="I2659" s="56"/>
      <c r="J2659" s="60" t="str">
        <f aca="false">IF(IsPro,IF($D2659="","",IFERROR(INDEX(Items!$D$5:$D$504,U2659),"")),"")</f>
        <v/>
      </c>
      <c r="K2659" s="61" t="str">
        <f aca="false">IF(IsPro,IF($D2659="","",IF($F2659="",IFERROR(INDEX(Items!$H$5:$H$504,U2659),0),$F2659)),"")</f>
        <v/>
      </c>
      <c r="L2659" s="61" t="str">
        <f aca="false">IF(IsPro,IF($D2659="","",ROUND(N($E2659)*K2659*(1-N($G2659)),2)),"")</f>
        <v/>
      </c>
      <c r="M2659" s="62" t="str">
        <f aca="false">IF(IsPro,IF($D2659="","",IFERROR(INDEX(Items!$F$5:$F$504,U2659),0)),"")</f>
        <v/>
      </c>
      <c r="N2659" s="61" t="str">
        <f aca="false">IF(IsPro,IF($D2659="","",IF(AND(V2659&lt;&gt;"",INDEX(Parties!$E$5:$E$304,V2659)&lt;&gt;"",INDEX(Parties!$E$5:$E$304,V2659)&lt;&gt;HomeState),0,ROUND(L2659*M2659/2,2))),"")</f>
        <v/>
      </c>
      <c r="O2659" s="61" t="str">
        <f aca="false">IF(IsPro,IF($D2659="","",N2659),"")</f>
        <v/>
      </c>
      <c r="P2659" s="61" t="str">
        <f aca="false">IF(IsPro,IF($D2659="","",IF(AND(V2659&lt;&gt;"",INDEX(Parties!$E$5:$E$304,V2659)&lt;&gt;"",INDEX(Parties!$E$5:$E$304,V2659)&lt;&gt;HomeState),ROUND(L2659*M2659,2),0)),"")</f>
        <v/>
      </c>
      <c r="Q2659" s="61" t="str">
        <f aca="false">IF(IsPro,IF($D2659="","",L2659+N2659+O2659+P2659),"")</f>
        <v/>
      </c>
      <c r="R2659" s="61" t="str">
        <f aca="false">IF(IsPro,IF($D2659="","",ROUND(N($E2659)*IFERROR(INDEX(Items!$P$5:$P$504,U2659),0),2)),"")</f>
        <v/>
      </c>
      <c r="S2659" s="61" t="str">
        <f aca="false">IF(IsPro,IF($D2659="","",L2659-R2659),"")</f>
        <v/>
      </c>
      <c r="T2659" s="60" t="str">
        <f aca="false">IF(IsPro,IF($D2659="","",IF(U2659="","UNKNOWN ITEM",IF(INDEX(Items!$O$5:$O$504,U2659)&lt;0,"NEG STOCK",IF(K2659&lt;INDEX(Items!$P$5:$P$504,U2659),"BELOW COST","OK")))),IF($D2659="","","PRO PLAN"))</f>
        <v/>
      </c>
      <c r="U2659" s="60" t="str">
        <f aca="false">IF(IsPro,IF($D2659="","",IFERROR(MATCH($D2659,Items!$A$5:$A$504,0),"")),"")</f>
        <v/>
      </c>
      <c r="V2659" s="60" t="str">
        <f aca="false">IF(IsPro,IF($C2659="","",IFERROR(MATCH($C2659,Parties!$A$5:$A$304,0),"")),"")</f>
        <v/>
      </c>
      <c r="W2659" s="60" t="str">
        <f aca="false">IF(IsPro,IF($B2659="","",IFERROR(VALUE(SUBSTITUTE($B2659,InvPrefix,"")),0)),"")</f>
        <v/>
      </c>
      <c r="X2659" s="61" t="str">
        <f aca="false">IF(IsPro,IF($D2659="","",IF(OR($H2659="",$H2659="Credit"),0,Q2659)),"")</f>
        <v/>
      </c>
    </row>
    <row r="2660" customFormat="false" ht="15" hidden="false" customHeight="false" outlineLevel="0" collapsed="false">
      <c r="A2660" s="55"/>
      <c r="B2660" s="56"/>
      <c r="C2660" s="56"/>
      <c r="D2660" s="56"/>
      <c r="E2660" s="57"/>
      <c r="F2660" s="58"/>
      <c r="G2660" s="59"/>
      <c r="H2660" s="56"/>
      <c r="I2660" s="56"/>
      <c r="J2660" s="60" t="str">
        <f aca="false">IF(IsPro,IF($D2660="","",IFERROR(INDEX(Items!$D$5:$D$504,U2660),"")),"")</f>
        <v/>
      </c>
      <c r="K2660" s="61" t="str">
        <f aca="false">IF(IsPro,IF($D2660="","",IF($F2660="",IFERROR(INDEX(Items!$H$5:$H$504,U2660),0),$F2660)),"")</f>
        <v/>
      </c>
      <c r="L2660" s="61" t="str">
        <f aca="false">IF(IsPro,IF($D2660="","",ROUND(N($E2660)*K2660*(1-N($G2660)),2)),"")</f>
        <v/>
      </c>
      <c r="M2660" s="62" t="str">
        <f aca="false">IF(IsPro,IF($D2660="","",IFERROR(INDEX(Items!$F$5:$F$504,U2660),0)),"")</f>
        <v/>
      </c>
      <c r="N2660" s="61" t="str">
        <f aca="false">IF(IsPro,IF($D2660="","",IF(AND(V2660&lt;&gt;"",INDEX(Parties!$E$5:$E$304,V2660)&lt;&gt;"",INDEX(Parties!$E$5:$E$304,V2660)&lt;&gt;HomeState),0,ROUND(L2660*M2660/2,2))),"")</f>
        <v/>
      </c>
      <c r="O2660" s="61" t="str">
        <f aca="false">IF(IsPro,IF($D2660="","",N2660),"")</f>
        <v/>
      </c>
      <c r="P2660" s="61" t="str">
        <f aca="false">IF(IsPro,IF($D2660="","",IF(AND(V2660&lt;&gt;"",INDEX(Parties!$E$5:$E$304,V2660)&lt;&gt;"",INDEX(Parties!$E$5:$E$304,V2660)&lt;&gt;HomeState),ROUND(L2660*M2660,2),0)),"")</f>
        <v/>
      </c>
      <c r="Q2660" s="61" t="str">
        <f aca="false">IF(IsPro,IF($D2660="","",L2660+N2660+O2660+P2660),"")</f>
        <v/>
      </c>
      <c r="R2660" s="61" t="str">
        <f aca="false">IF(IsPro,IF($D2660="","",ROUND(N($E2660)*IFERROR(INDEX(Items!$P$5:$P$504,U2660),0),2)),"")</f>
        <v/>
      </c>
      <c r="S2660" s="61" t="str">
        <f aca="false">IF(IsPro,IF($D2660="","",L2660-R2660),"")</f>
        <v/>
      </c>
      <c r="T2660" s="60" t="str">
        <f aca="false">IF(IsPro,IF($D2660="","",IF(U2660="","UNKNOWN ITEM",IF(INDEX(Items!$O$5:$O$504,U2660)&lt;0,"NEG STOCK",IF(K2660&lt;INDEX(Items!$P$5:$P$504,U2660),"BELOW COST","OK")))),IF($D2660="","","PRO PLAN"))</f>
        <v/>
      </c>
      <c r="U2660" s="60" t="str">
        <f aca="false">IF(IsPro,IF($D2660="","",IFERROR(MATCH($D2660,Items!$A$5:$A$504,0),"")),"")</f>
        <v/>
      </c>
      <c r="V2660" s="60" t="str">
        <f aca="false">IF(IsPro,IF($C2660="","",IFERROR(MATCH($C2660,Parties!$A$5:$A$304,0),"")),"")</f>
        <v/>
      </c>
      <c r="W2660" s="60" t="str">
        <f aca="false">IF(IsPro,IF($B2660="","",IFERROR(VALUE(SUBSTITUTE($B2660,InvPrefix,"")),0)),"")</f>
        <v/>
      </c>
      <c r="X2660" s="61" t="str">
        <f aca="false">IF(IsPro,IF($D2660="","",IF(OR($H2660="",$H2660="Credit"),0,Q2660)),"")</f>
        <v/>
      </c>
    </row>
    <row r="2661" customFormat="false" ht="15" hidden="false" customHeight="false" outlineLevel="0" collapsed="false">
      <c r="A2661" s="55"/>
      <c r="B2661" s="56"/>
      <c r="C2661" s="56"/>
      <c r="D2661" s="56"/>
      <c r="E2661" s="57"/>
      <c r="F2661" s="58"/>
      <c r="G2661" s="59"/>
      <c r="H2661" s="56"/>
      <c r="I2661" s="56"/>
      <c r="J2661" s="60" t="str">
        <f aca="false">IF(IsPro,IF($D2661="","",IFERROR(INDEX(Items!$D$5:$D$504,U2661),"")),"")</f>
        <v/>
      </c>
      <c r="K2661" s="61" t="str">
        <f aca="false">IF(IsPro,IF($D2661="","",IF($F2661="",IFERROR(INDEX(Items!$H$5:$H$504,U2661),0),$F2661)),"")</f>
        <v/>
      </c>
      <c r="L2661" s="61" t="str">
        <f aca="false">IF(IsPro,IF($D2661="","",ROUND(N($E2661)*K2661*(1-N($G2661)),2)),"")</f>
        <v/>
      </c>
      <c r="M2661" s="62" t="str">
        <f aca="false">IF(IsPro,IF($D2661="","",IFERROR(INDEX(Items!$F$5:$F$504,U2661),0)),"")</f>
        <v/>
      </c>
      <c r="N2661" s="61" t="str">
        <f aca="false">IF(IsPro,IF($D2661="","",IF(AND(V2661&lt;&gt;"",INDEX(Parties!$E$5:$E$304,V2661)&lt;&gt;"",INDEX(Parties!$E$5:$E$304,V2661)&lt;&gt;HomeState),0,ROUND(L2661*M2661/2,2))),"")</f>
        <v/>
      </c>
      <c r="O2661" s="61" t="str">
        <f aca="false">IF(IsPro,IF($D2661="","",N2661),"")</f>
        <v/>
      </c>
      <c r="P2661" s="61" t="str">
        <f aca="false">IF(IsPro,IF($D2661="","",IF(AND(V2661&lt;&gt;"",INDEX(Parties!$E$5:$E$304,V2661)&lt;&gt;"",INDEX(Parties!$E$5:$E$304,V2661)&lt;&gt;HomeState),ROUND(L2661*M2661,2),0)),"")</f>
        <v/>
      </c>
      <c r="Q2661" s="61" t="str">
        <f aca="false">IF(IsPro,IF($D2661="","",L2661+N2661+O2661+P2661),"")</f>
        <v/>
      </c>
      <c r="R2661" s="61" t="str">
        <f aca="false">IF(IsPro,IF($D2661="","",ROUND(N($E2661)*IFERROR(INDEX(Items!$P$5:$P$504,U2661),0),2)),"")</f>
        <v/>
      </c>
      <c r="S2661" s="61" t="str">
        <f aca="false">IF(IsPro,IF($D2661="","",L2661-R2661),"")</f>
        <v/>
      </c>
      <c r="T2661" s="60" t="str">
        <f aca="false">IF(IsPro,IF($D2661="","",IF(U2661="","UNKNOWN ITEM",IF(INDEX(Items!$O$5:$O$504,U2661)&lt;0,"NEG STOCK",IF(K2661&lt;INDEX(Items!$P$5:$P$504,U2661),"BELOW COST","OK")))),IF($D2661="","","PRO PLAN"))</f>
        <v/>
      </c>
      <c r="U2661" s="60" t="str">
        <f aca="false">IF(IsPro,IF($D2661="","",IFERROR(MATCH($D2661,Items!$A$5:$A$504,0),"")),"")</f>
        <v/>
      </c>
      <c r="V2661" s="60" t="str">
        <f aca="false">IF(IsPro,IF($C2661="","",IFERROR(MATCH($C2661,Parties!$A$5:$A$304,0),"")),"")</f>
        <v/>
      </c>
      <c r="W2661" s="60" t="str">
        <f aca="false">IF(IsPro,IF($B2661="","",IFERROR(VALUE(SUBSTITUTE($B2661,InvPrefix,"")),0)),"")</f>
        <v/>
      </c>
      <c r="X2661" s="61" t="str">
        <f aca="false">IF(IsPro,IF($D2661="","",IF(OR($H2661="",$H2661="Credit"),0,Q2661)),"")</f>
        <v/>
      </c>
    </row>
    <row r="2662" customFormat="false" ht="15" hidden="false" customHeight="false" outlineLevel="0" collapsed="false">
      <c r="A2662" s="55"/>
      <c r="B2662" s="56"/>
      <c r="C2662" s="56"/>
      <c r="D2662" s="56"/>
      <c r="E2662" s="57"/>
      <c r="F2662" s="58"/>
      <c r="G2662" s="59"/>
      <c r="H2662" s="56"/>
      <c r="I2662" s="56"/>
      <c r="J2662" s="60" t="str">
        <f aca="false">IF(IsPro,IF($D2662="","",IFERROR(INDEX(Items!$D$5:$D$504,U2662),"")),"")</f>
        <v/>
      </c>
      <c r="K2662" s="61" t="str">
        <f aca="false">IF(IsPro,IF($D2662="","",IF($F2662="",IFERROR(INDEX(Items!$H$5:$H$504,U2662),0),$F2662)),"")</f>
        <v/>
      </c>
      <c r="L2662" s="61" t="str">
        <f aca="false">IF(IsPro,IF($D2662="","",ROUND(N($E2662)*K2662*(1-N($G2662)),2)),"")</f>
        <v/>
      </c>
      <c r="M2662" s="62" t="str">
        <f aca="false">IF(IsPro,IF($D2662="","",IFERROR(INDEX(Items!$F$5:$F$504,U2662),0)),"")</f>
        <v/>
      </c>
      <c r="N2662" s="61" t="str">
        <f aca="false">IF(IsPro,IF($D2662="","",IF(AND(V2662&lt;&gt;"",INDEX(Parties!$E$5:$E$304,V2662)&lt;&gt;"",INDEX(Parties!$E$5:$E$304,V2662)&lt;&gt;HomeState),0,ROUND(L2662*M2662/2,2))),"")</f>
        <v/>
      </c>
      <c r="O2662" s="61" t="str">
        <f aca="false">IF(IsPro,IF($D2662="","",N2662),"")</f>
        <v/>
      </c>
      <c r="P2662" s="61" t="str">
        <f aca="false">IF(IsPro,IF($D2662="","",IF(AND(V2662&lt;&gt;"",INDEX(Parties!$E$5:$E$304,V2662)&lt;&gt;"",INDEX(Parties!$E$5:$E$304,V2662)&lt;&gt;HomeState),ROUND(L2662*M2662,2),0)),"")</f>
        <v/>
      </c>
      <c r="Q2662" s="61" t="str">
        <f aca="false">IF(IsPro,IF($D2662="","",L2662+N2662+O2662+P2662),"")</f>
        <v/>
      </c>
      <c r="R2662" s="61" t="str">
        <f aca="false">IF(IsPro,IF($D2662="","",ROUND(N($E2662)*IFERROR(INDEX(Items!$P$5:$P$504,U2662),0),2)),"")</f>
        <v/>
      </c>
      <c r="S2662" s="61" t="str">
        <f aca="false">IF(IsPro,IF($D2662="","",L2662-R2662),"")</f>
        <v/>
      </c>
      <c r="T2662" s="60" t="str">
        <f aca="false">IF(IsPro,IF($D2662="","",IF(U2662="","UNKNOWN ITEM",IF(INDEX(Items!$O$5:$O$504,U2662)&lt;0,"NEG STOCK",IF(K2662&lt;INDEX(Items!$P$5:$P$504,U2662),"BELOW COST","OK")))),IF($D2662="","","PRO PLAN"))</f>
        <v/>
      </c>
      <c r="U2662" s="60" t="str">
        <f aca="false">IF(IsPro,IF($D2662="","",IFERROR(MATCH($D2662,Items!$A$5:$A$504,0),"")),"")</f>
        <v/>
      </c>
      <c r="V2662" s="60" t="str">
        <f aca="false">IF(IsPro,IF($C2662="","",IFERROR(MATCH($C2662,Parties!$A$5:$A$304,0),"")),"")</f>
        <v/>
      </c>
      <c r="W2662" s="60" t="str">
        <f aca="false">IF(IsPro,IF($B2662="","",IFERROR(VALUE(SUBSTITUTE($B2662,InvPrefix,"")),0)),"")</f>
        <v/>
      </c>
      <c r="X2662" s="61" t="str">
        <f aca="false">IF(IsPro,IF($D2662="","",IF(OR($H2662="",$H2662="Credit"),0,Q2662)),"")</f>
        <v/>
      </c>
    </row>
    <row r="2663" customFormat="false" ht="15" hidden="false" customHeight="false" outlineLevel="0" collapsed="false">
      <c r="A2663" s="55"/>
      <c r="B2663" s="56"/>
      <c r="C2663" s="56"/>
      <c r="D2663" s="56"/>
      <c r="E2663" s="57"/>
      <c r="F2663" s="58"/>
      <c r="G2663" s="59"/>
      <c r="H2663" s="56"/>
      <c r="I2663" s="56"/>
      <c r="J2663" s="60" t="str">
        <f aca="false">IF(IsPro,IF($D2663="","",IFERROR(INDEX(Items!$D$5:$D$504,U2663),"")),"")</f>
        <v/>
      </c>
      <c r="K2663" s="61" t="str">
        <f aca="false">IF(IsPro,IF($D2663="","",IF($F2663="",IFERROR(INDEX(Items!$H$5:$H$504,U2663),0),$F2663)),"")</f>
        <v/>
      </c>
      <c r="L2663" s="61" t="str">
        <f aca="false">IF(IsPro,IF($D2663="","",ROUND(N($E2663)*K2663*(1-N($G2663)),2)),"")</f>
        <v/>
      </c>
      <c r="M2663" s="62" t="str">
        <f aca="false">IF(IsPro,IF($D2663="","",IFERROR(INDEX(Items!$F$5:$F$504,U2663),0)),"")</f>
        <v/>
      </c>
      <c r="N2663" s="61" t="str">
        <f aca="false">IF(IsPro,IF($D2663="","",IF(AND(V2663&lt;&gt;"",INDEX(Parties!$E$5:$E$304,V2663)&lt;&gt;"",INDEX(Parties!$E$5:$E$304,V2663)&lt;&gt;HomeState),0,ROUND(L2663*M2663/2,2))),"")</f>
        <v/>
      </c>
      <c r="O2663" s="61" t="str">
        <f aca="false">IF(IsPro,IF($D2663="","",N2663),"")</f>
        <v/>
      </c>
      <c r="P2663" s="61" t="str">
        <f aca="false">IF(IsPro,IF($D2663="","",IF(AND(V2663&lt;&gt;"",INDEX(Parties!$E$5:$E$304,V2663)&lt;&gt;"",INDEX(Parties!$E$5:$E$304,V2663)&lt;&gt;HomeState),ROUND(L2663*M2663,2),0)),"")</f>
        <v/>
      </c>
      <c r="Q2663" s="61" t="str">
        <f aca="false">IF(IsPro,IF($D2663="","",L2663+N2663+O2663+P2663),"")</f>
        <v/>
      </c>
      <c r="R2663" s="61" t="str">
        <f aca="false">IF(IsPro,IF($D2663="","",ROUND(N($E2663)*IFERROR(INDEX(Items!$P$5:$P$504,U2663),0),2)),"")</f>
        <v/>
      </c>
      <c r="S2663" s="61" t="str">
        <f aca="false">IF(IsPro,IF($D2663="","",L2663-R2663),"")</f>
        <v/>
      </c>
      <c r="T2663" s="60" t="str">
        <f aca="false">IF(IsPro,IF($D2663="","",IF(U2663="","UNKNOWN ITEM",IF(INDEX(Items!$O$5:$O$504,U2663)&lt;0,"NEG STOCK",IF(K2663&lt;INDEX(Items!$P$5:$P$504,U2663),"BELOW COST","OK")))),IF($D2663="","","PRO PLAN"))</f>
        <v/>
      </c>
      <c r="U2663" s="60" t="str">
        <f aca="false">IF(IsPro,IF($D2663="","",IFERROR(MATCH($D2663,Items!$A$5:$A$504,0),"")),"")</f>
        <v/>
      </c>
      <c r="V2663" s="60" t="str">
        <f aca="false">IF(IsPro,IF($C2663="","",IFERROR(MATCH($C2663,Parties!$A$5:$A$304,0),"")),"")</f>
        <v/>
      </c>
      <c r="W2663" s="60" t="str">
        <f aca="false">IF(IsPro,IF($B2663="","",IFERROR(VALUE(SUBSTITUTE($B2663,InvPrefix,"")),0)),"")</f>
        <v/>
      </c>
      <c r="X2663" s="61" t="str">
        <f aca="false">IF(IsPro,IF($D2663="","",IF(OR($H2663="",$H2663="Credit"),0,Q2663)),"")</f>
        <v/>
      </c>
    </row>
    <row r="2664" customFormat="false" ht="15" hidden="false" customHeight="false" outlineLevel="0" collapsed="false">
      <c r="A2664" s="55"/>
      <c r="B2664" s="56"/>
      <c r="C2664" s="56"/>
      <c r="D2664" s="56"/>
      <c r="E2664" s="57"/>
      <c r="F2664" s="58"/>
      <c r="G2664" s="59"/>
      <c r="H2664" s="56"/>
      <c r="I2664" s="56"/>
      <c r="J2664" s="60" t="str">
        <f aca="false">IF(IsPro,IF($D2664="","",IFERROR(INDEX(Items!$D$5:$D$504,U2664),"")),"")</f>
        <v/>
      </c>
      <c r="K2664" s="61" t="str">
        <f aca="false">IF(IsPro,IF($D2664="","",IF($F2664="",IFERROR(INDEX(Items!$H$5:$H$504,U2664),0),$F2664)),"")</f>
        <v/>
      </c>
      <c r="L2664" s="61" t="str">
        <f aca="false">IF(IsPro,IF($D2664="","",ROUND(N($E2664)*K2664*(1-N($G2664)),2)),"")</f>
        <v/>
      </c>
      <c r="M2664" s="62" t="str">
        <f aca="false">IF(IsPro,IF($D2664="","",IFERROR(INDEX(Items!$F$5:$F$504,U2664),0)),"")</f>
        <v/>
      </c>
      <c r="N2664" s="61" t="str">
        <f aca="false">IF(IsPro,IF($D2664="","",IF(AND(V2664&lt;&gt;"",INDEX(Parties!$E$5:$E$304,V2664)&lt;&gt;"",INDEX(Parties!$E$5:$E$304,V2664)&lt;&gt;HomeState),0,ROUND(L2664*M2664/2,2))),"")</f>
        <v/>
      </c>
      <c r="O2664" s="61" t="str">
        <f aca="false">IF(IsPro,IF($D2664="","",N2664),"")</f>
        <v/>
      </c>
      <c r="P2664" s="61" t="str">
        <f aca="false">IF(IsPro,IF($D2664="","",IF(AND(V2664&lt;&gt;"",INDEX(Parties!$E$5:$E$304,V2664)&lt;&gt;"",INDEX(Parties!$E$5:$E$304,V2664)&lt;&gt;HomeState),ROUND(L2664*M2664,2),0)),"")</f>
        <v/>
      </c>
      <c r="Q2664" s="61" t="str">
        <f aca="false">IF(IsPro,IF($D2664="","",L2664+N2664+O2664+P2664),"")</f>
        <v/>
      </c>
      <c r="R2664" s="61" t="str">
        <f aca="false">IF(IsPro,IF($D2664="","",ROUND(N($E2664)*IFERROR(INDEX(Items!$P$5:$P$504,U2664),0),2)),"")</f>
        <v/>
      </c>
      <c r="S2664" s="61" t="str">
        <f aca="false">IF(IsPro,IF($D2664="","",L2664-R2664),"")</f>
        <v/>
      </c>
      <c r="T2664" s="60" t="str">
        <f aca="false">IF(IsPro,IF($D2664="","",IF(U2664="","UNKNOWN ITEM",IF(INDEX(Items!$O$5:$O$504,U2664)&lt;0,"NEG STOCK",IF(K2664&lt;INDEX(Items!$P$5:$P$504,U2664),"BELOW COST","OK")))),IF($D2664="","","PRO PLAN"))</f>
        <v/>
      </c>
      <c r="U2664" s="60" t="str">
        <f aca="false">IF(IsPro,IF($D2664="","",IFERROR(MATCH($D2664,Items!$A$5:$A$504,0),"")),"")</f>
        <v/>
      </c>
      <c r="V2664" s="60" t="str">
        <f aca="false">IF(IsPro,IF($C2664="","",IFERROR(MATCH($C2664,Parties!$A$5:$A$304,0),"")),"")</f>
        <v/>
      </c>
      <c r="W2664" s="60" t="str">
        <f aca="false">IF(IsPro,IF($B2664="","",IFERROR(VALUE(SUBSTITUTE($B2664,InvPrefix,"")),0)),"")</f>
        <v/>
      </c>
      <c r="X2664" s="61" t="str">
        <f aca="false">IF(IsPro,IF($D2664="","",IF(OR($H2664="",$H2664="Credit"),0,Q2664)),"")</f>
        <v/>
      </c>
    </row>
    <row r="2665" customFormat="false" ht="15" hidden="false" customHeight="false" outlineLevel="0" collapsed="false">
      <c r="A2665" s="55"/>
      <c r="B2665" s="56"/>
      <c r="C2665" s="56"/>
      <c r="D2665" s="56"/>
      <c r="E2665" s="57"/>
      <c r="F2665" s="58"/>
      <c r="G2665" s="59"/>
      <c r="H2665" s="56"/>
      <c r="I2665" s="56"/>
      <c r="J2665" s="60" t="str">
        <f aca="false">IF(IsPro,IF($D2665="","",IFERROR(INDEX(Items!$D$5:$D$504,U2665),"")),"")</f>
        <v/>
      </c>
      <c r="K2665" s="61" t="str">
        <f aca="false">IF(IsPro,IF($D2665="","",IF($F2665="",IFERROR(INDEX(Items!$H$5:$H$504,U2665),0),$F2665)),"")</f>
        <v/>
      </c>
      <c r="L2665" s="61" t="str">
        <f aca="false">IF(IsPro,IF($D2665="","",ROUND(N($E2665)*K2665*(1-N($G2665)),2)),"")</f>
        <v/>
      </c>
      <c r="M2665" s="62" t="str">
        <f aca="false">IF(IsPro,IF($D2665="","",IFERROR(INDEX(Items!$F$5:$F$504,U2665),0)),"")</f>
        <v/>
      </c>
      <c r="N2665" s="61" t="str">
        <f aca="false">IF(IsPro,IF($D2665="","",IF(AND(V2665&lt;&gt;"",INDEX(Parties!$E$5:$E$304,V2665)&lt;&gt;"",INDEX(Parties!$E$5:$E$304,V2665)&lt;&gt;HomeState),0,ROUND(L2665*M2665/2,2))),"")</f>
        <v/>
      </c>
      <c r="O2665" s="61" t="str">
        <f aca="false">IF(IsPro,IF($D2665="","",N2665),"")</f>
        <v/>
      </c>
      <c r="P2665" s="61" t="str">
        <f aca="false">IF(IsPro,IF($D2665="","",IF(AND(V2665&lt;&gt;"",INDEX(Parties!$E$5:$E$304,V2665)&lt;&gt;"",INDEX(Parties!$E$5:$E$304,V2665)&lt;&gt;HomeState),ROUND(L2665*M2665,2),0)),"")</f>
        <v/>
      </c>
      <c r="Q2665" s="61" t="str">
        <f aca="false">IF(IsPro,IF($D2665="","",L2665+N2665+O2665+P2665),"")</f>
        <v/>
      </c>
      <c r="R2665" s="61" t="str">
        <f aca="false">IF(IsPro,IF($D2665="","",ROUND(N($E2665)*IFERROR(INDEX(Items!$P$5:$P$504,U2665),0),2)),"")</f>
        <v/>
      </c>
      <c r="S2665" s="61" t="str">
        <f aca="false">IF(IsPro,IF($D2665="","",L2665-R2665),"")</f>
        <v/>
      </c>
      <c r="T2665" s="60" t="str">
        <f aca="false">IF(IsPro,IF($D2665="","",IF(U2665="","UNKNOWN ITEM",IF(INDEX(Items!$O$5:$O$504,U2665)&lt;0,"NEG STOCK",IF(K2665&lt;INDEX(Items!$P$5:$P$504,U2665),"BELOW COST","OK")))),IF($D2665="","","PRO PLAN"))</f>
        <v/>
      </c>
      <c r="U2665" s="60" t="str">
        <f aca="false">IF(IsPro,IF($D2665="","",IFERROR(MATCH($D2665,Items!$A$5:$A$504,0),"")),"")</f>
        <v/>
      </c>
      <c r="V2665" s="60" t="str">
        <f aca="false">IF(IsPro,IF($C2665="","",IFERROR(MATCH($C2665,Parties!$A$5:$A$304,0),"")),"")</f>
        <v/>
      </c>
      <c r="W2665" s="60" t="str">
        <f aca="false">IF(IsPro,IF($B2665="","",IFERROR(VALUE(SUBSTITUTE($B2665,InvPrefix,"")),0)),"")</f>
        <v/>
      </c>
      <c r="X2665" s="61" t="str">
        <f aca="false">IF(IsPro,IF($D2665="","",IF(OR($H2665="",$H2665="Credit"),0,Q2665)),"")</f>
        <v/>
      </c>
    </row>
    <row r="2666" customFormat="false" ht="15" hidden="false" customHeight="false" outlineLevel="0" collapsed="false">
      <c r="A2666" s="55"/>
      <c r="B2666" s="56"/>
      <c r="C2666" s="56"/>
      <c r="D2666" s="56"/>
      <c r="E2666" s="57"/>
      <c r="F2666" s="58"/>
      <c r="G2666" s="59"/>
      <c r="H2666" s="56"/>
      <c r="I2666" s="56"/>
      <c r="J2666" s="60" t="str">
        <f aca="false">IF(IsPro,IF($D2666="","",IFERROR(INDEX(Items!$D$5:$D$504,U2666),"")),"")</f>
        <v/>
      </c>
      <c r="K2666" s="61" t="str">
        <f aca="false">IF(IsPro,IF($D2666="","",IF($F2666="",IFERROR(INDEX(Items!$H$5:$H$504,U2666),0),$F2666)),"")</f>
        <v/>
      </c>
      <c r="L2666" s="61" t="str">
        <f aca="false">IF(IsPro,IF($D2666="","",ROUND(N($E2666)*K2666*(1-N($G2666)),2)),"")</f>
        <v/>
      </c>
      <c r="M2666" s="62" t="str">
        <f aca="false">IF(IsPro,IF($D2666="","",IFERROR(INDEX(Items!$F$5:$F$504,U2666),0)),"")</f>
        <v/>
      </c>
      <c r="N2666" s="61" t="str">
        <f aca="false">IF(IsPro,IF($D2666="","",IF(AND(V2666&lt;&gt;"",INDEX(Parties!$E$5:$E$304,V2666)&lt;&gt;"",INDEX(Parties!$E$5:$E$304,V2666)&lt;&gt;HomeState),0,ROUND(L2666*M2666/2,2))),"")</f>
        <v/>
      </c>
      <c r="O2666" s="61" t="str">
        <f aca="false">IF(IsPro,IF($D2666="","",N2666),"")</f>
        <v/>
      </c>
      <c r="P2666" s="61" t="str">
        <f aca="false">IF(IsPro,IF($D2666="","",IF(AND(V2666&lt;&gt;"",INDEX(Parties!$E$5:$E$304,V2666)&lt;&gt;"",INDEX(Parties!$E$5:$E$304,V2666)&lt;&gt;HomeState),ROUND(L2666*M2666,2),0)),"")</f>
        <v/>
      </c>
      <c r="Q2666" s="61" t="str">
        <f aca="false">IF(IsPro,IF($D2666="","",L2666+N2666+O2666+P2666),"")</f>
        <v/>
      </c>
      <c r="R2666" s="61" t="str">
        <f aca="false">IF(IsPro,IF($D2666="","",ROUND(N($E2666)*IFERROR(INDEX(Items!$P$5:$P$504,U2666),0),2)),"")</f>
        <v/>
      </c>
      <c r="S2666" s="61" t="str">
        <f aca="false">IF(IsPro,IF($D2666="","",L2666-R2666),"")</f>
        <v/>
      </c>
      <c r="T2666" s="60" t="str">
        <f aca="false">IF(IsPro,IF($D2666="","",IF(U2666="","UNKNOWN ITEM",IF(INDEX(Items!$O$5:$O$504,U2666)&lt;0,"NEG STOCK",IF(K2666&lt;INDEX(Items!$P$5:$P$504,U2666),"BELOW COST","OK")))),IF($D2666="","","PRO PLAN"))</f>
        <v/>
      </c>
      <c r="U2666" s="60" t="str">
        <f aca="false">IF(IsPro,IF($D2666="","",IFERROR(MATCH($D2666,Items!$A$5:$A$504,0),"")),"")</f>
        <v/>
      </c>
      <c r="V2666" s="60" t="str">
        <f aca="false">IF(IsPro,IF($C2666="","",IFERROR(MATCH($C2666,Parties!$A$5:$A$304,0),"")),"")</f>
        <v/>
      </c>
      <c r="W2666" s="60" t="str">
        <f aca="false">IF(IsPro,IF($B2666="","",IFERROR(VALUE(SUBSTITUTE($B2666,InvPrefix,"")),0)),"")</f>
        <v/>
      </c>
      <c r="X2666" s="61" t="str">
        <f aca="false">IF(IsPro,IF($D2666="","",IF(OR($H2666="",$H2666="Credit"),0,Q2666)),"")</f>
        <v/>
      </c>
    </row>
    <row r="2667" customFormat="false" ht="15" hidden="false" customHeight="false" outlineLevel="0" collapsed="false">
      <c r="A2667" s="55"/>
      <c r="B2667" s="56"/>
      <c r="C2667" s="56"/>
      <c r="D2667" s="56"/>
      <c r="E2667" s="57"/>
      <c r="F2667" s="58"/>
      <c r="G2667" s="59"/>
      <c r="H2667" s="56"/>
      <c r="I2667" s="56"/>
      <c r="J2667" s="60" t="str">
        <f aca="false">IF(IsPro,IF($D2667="","",IFERROR(INDEX(Items!$D$5:$D$504,U2667),"")),"")</f>
        <v/>
      </c>
      <c r="K2667" s="61" t="str">
        <f aca="false">IF(IsPro,IF($D2667="","",IF($F2667="",IFERROR(INDEX(Items!$H$5:$H$504,U2667),0),$F2667)),"")</f>
        <v/>
      </c>
      <c r="L2667" s="61" t="str">
        <f aca="false">IF(IsPro,IF($D2667="","",ROUND(N($E2667)*K2667*(1-N($G2667)),2)),"")</f>
        <v/>
      </c>
      <c r="M2667" s="62" t="str">
        <f aca="false">IF(IsPro,IF($D2667="","",IFERROR(INDEX(Items!$F$5:$F$504,U2667),0)),"")</f>
        <v/>
      </c>
      <c r="N2667" s="61" t="str">
        <f aca="false">IF(IsPro,IF($D2667="","",IF(AND(V2667&lt;&gt;"",INDEX(Parties!$E$5:$E$304,V2667)&lt;&gt;"",INDEX(Parties!$E$5:$E$304,V2667)&lt;&gt;HomeState),0,ROUND(L2667*M2667/2,2))),"")</f>
        <v/>
      </c>
      <c r="O2667" s="61" t="str">
        <f aca="false">IF(IsPro,IF($D2667="","",N2667),"")</f>
        <v/>
      </c>
      <c r="P2667" s="61" t="str">
        <f aca="false">IF(IsPro,IF($D2667="","",IF(AND(V2667&lt;&gt;"",INDEX(Parties!$E$5:$E$304,V2667)&lt;&gt;"",INDEX(Parties!$E$5:$E$304,V2667)&lt;&gt;HomeState),ROUND(L2667*M2667,2),0)),"")</f>
        <v/>
      </c>
      <c r="Q2667" s="61" t="str">
        <f aca="false">IF(IsPro,IF($D2667="","",L2667+N2667+O2667+P2667),"")</f>
        <v/>
      </c>
      <c r="R2667" s="61" t="str">
        <f aca="false">IF(IsPro,IF($D2667="","",ROUND(N($E2667)*IFERROR(INDEX(Items!$P$5:$P$504,U2667),0),2)),"")</f>
        <v/>
      </c>
      <c r="S2667" s="61" t="str">
        <f aca="false">IF(IsPro,IF($D2667="","",L2667-R2667),"")</f>
        <v/>
      </c>
      <c r="T2667" s="60" t="str">
        <f aca="false">IF(IsPro,IF($D2667="","",IF(U2667="","UNKNOWN ITEM",IF(INDEX(Items!$O$5:$O$504,U2667)&lt;0,"NEG STOCK",IF(K2667&lt;INDEX(Items!$P$5:$P$504,U2667),"BELOW COST","OK")))),IF($D2667="","","PRO PLAN"))</f>
        <v/>
      </c>
      <c r="U2667" s="60" t="str">
        <f aca="false">IF(IsPro,IF($D2667="","",IFERROR(MATCH($D2667,Items!$A$5:$A$504,0),"")),"")</f>
        <v/>
      </c>
      <c r="V2667" s="60" t="str">
        <f aca="false">IF(IsPro,IF($C2667="","",IFERROR(MATCH($C2667,Parties!$A$5:$A$304,0),"")),"")</f>
        <v/>
      </c>
      <c r="W2667" s="60" t="str">
        <f aca="false">IF(IsPro,IF($B2667="","",IFERROR(VALUE(SUBSTITUTE($B2667,InvPrefix,"")),0)),"")</f>
        <v/>
      </c>
      <c r="X2667" s="61" t="str">
        <f aca="false">IF(IsPro,IF($D2667="","",IF(OR($H2667="",$H2667="Credit"),0,Q2667)),"")</f>
        <v/>
      </c>
    </row>
    <row r="2668" customFormat="false" ht="15" hidden="false" customHeight="false" outlineLevel="0" collapsed="false">
      <c r="A2668" s="55"/>
      <c r="B2668" s="56"/>
      <c r="C2668" s="56"/>
      <c r="D2668" s="56"/>
      <c r="E2668" s="57"/>
      <c r="F2668" s="58"/>
      <c r="G2668" s="59"/>
      <c r="H2668" s="56"/>
      <c r="I2668" s="56"/>
      <c r="J2668" s="60" t="str">
        <f aca="false">IF(IsPro,IF($D2668="","",IFERROR(INDEX(Items!$D$5:$D$504,U2668),"")),"")</f>
        <v/>
      </c>
      <c r="K2668" s="61" t="str">
        <f aca="false">IF(IsPro,IF($D2668="","",IF($F2668="",IFERROR(INDEX(Items!$H$5:$H$504,U2668),0),$F2668)),"")</f>
        <v/>
      </c>
      <c r="L2668" s="61" t="str">
        <f aca="false">IF(IsPro,IF($D2668="","",ROUND(N($E2668)*K2668*(1-N($G2668)),2)),"")</f>
        <v/>
      </c>
      <c r="M2668" s="62" t="str">
        <f aca="false">IF(IsPro,IF($D2668="","",IFERROR(INDEX(Items!$F$5:$F$504,U2668),0)),"")</f>
        <v/>
      </c>
      <c r="N2668" s="61" t="str">
        <f aca="false">IF(IsPro,IF($D2668="","",IF(AND(V2668&lt;&gt;"",INDEX(Parties!$E$5:$E$304,V2668)&lt;&gt;"",INDEX(Parties!$E$5:$E$304,V2668)&lt;&gt;HomeState),0,ROUND(L2668*M2668/2,2))),"")</f>
        <v/>
      </c>
      <c r="O2668" s="61" t="str">
        <f aca="false">IF(IsPro,IF($D2668="","",N2668),"")</f>
        <v/>
      </c>
      <c r="P2668" s="61" t="str">
        <f aca="false">IF(IsPro,IF($D2668="","",IF(AND(V2668&lt;&gt;"",INDEX(Parties!$E$5:$E$304,V2668)&lt;&gt;"",INDEX(Parties!$E$5:$E$304,V2668)&lt;&gt;HomeState),ROUND(L2668*M2668,2),0)),"")</f>
        <v/>
      </c>
      <c r="Q2668" s="61" t="str">
        <f aca="false">IF(IsPro,IF($D2668="","",L2668+N2668+O2668+P2668),"")</f>
        <v/>
      </c>
      <c r="R2668" s="61" t="str">
        <f aca="false">IF(IsPro,IF($D2668="","",ROUND(N($E2668)*IFERROR(INDEX(Items!$P$5:$P$504,U2668),0),2)),"")</f>
        <v/>
      </c>
      <c r="S2668" s="61" t="str">
        <f aca="false">IF(IsPro,IF($D2668="","",L2668-R2668),"")</f>
        <v/>
      </c>
      <c r="T2668" s="60" t="str">
        <f aca="false">IF(IsPro,IF($D2668="","",IF(U2668="","UNKNOWN ITEM",IF(INDEX(Items!$O$5:$O$504,U2668)&lt;0,"NEG STOCK",IF(K2668&lt;INDEX(Items!$P$5:$P$504,U2668),"BELOW COST","OK")))),IF($D2668="","","PRO PLAN"))</f>
        <v/>
      </c>
      <c r="U2668" s="60" t="str">
        <f aca="false">IF(IsPro,IF($D2668="","",IFERROR(MATCH($D2668,Items!$A$5:$A$504,0),"")),"")</f>
        <v/>
      </c>
      <c r="V2668" s="60" t="str">
        <f aca="false">IF(IsPro,IF($C2668="","",IFERROR(MATCH($C2668,Parties!$A$5:$A$304,0),"")),"")</f>
        <v/>
      </c>
      <c r="W2668" s="60" t="str">
        <f aca="false">IF(IsPro,IF($B2668="","",IFERROR(VALUE(SUBSTITUTE($B2668,InvPrefix,"")),0)),"")</f>
        <v/>
      </c>
      <c r="X2668" s="61" t="str">
        <f aca="false">IF(IsPro,IF($D2668="","",IF(OR($H2668="",$H2668="Credit"),0,Q2668)),"")</f>
        <v/>
      </c>
    </row>
    <row r="2669" customFormat="false" ht="15" hidden="false" customHeight="false" outlineLevel="0" collapsed="false">
      <c r="A2669" s="55"/>
      <c r="B2669" s="56"/>
      <c r="C2669" s="56"/>
      <c r="D2669" s="56"/>
      <c r="E2669" s="57"/>
      <c r="F2669" s="58"/>
      <c r="G2669" s="59"/>
      <c r="H2669" s="56"/>
      <c r="I2669" s="56"/>
      <c r="J2669" s="60" t="str">
        <f aca="false">IF(IsPro,IF($D2669="","",IFERROR(INDEX(Items!$D$5:$D$504,U2669),"")),"")</f>
        <v/>
      </c>
      <c r="K2669" s="61" t="str">
        <f aca="false">IF(IsPro,IF($D2669="","",IF($F2669="",IFERROR(INDEX(Items!$H$5:$H$504,U2669),0),$F2669)),"")</f>
        <v/>
      </c>
      <c r="L2669" s="61" t="str">
        <f aca="false">IF(IsPro,IF($D2669="","",ROUND(N($E2669)*K2669*(1-N($G2669)),2)),"")</f>
        <v/>
      </c>
      <c r="M2669" s="62" t="str">
        <f aca="false">IF(IsPro,IF($D2669="","",IFERROR(INDEX(Items!$F$5:$F$504,U2669),0)),"")</f>
        <v/>
      </c>
      <c r="N2669" s="61" t="str">
        <f aca="false">IF(IsPro,IF($D2669="","",IF(AND(V2669&lt;&gt;"",INDEX(Parties!$E$5:$E$304,V2669)&lt;&gt;"",INDEX(Parties!$E$5:$E$304,V2669)&lt;&gt;HomeState),0,ROUND(L2669*M2669/2,2))),"")</f>
        <v/>
      </c>
      <c r="O2669" s="61" t="str">
        <f aca="false">IF(IsPro,IF($D2669="","",N2669),"")</f>
        <v/>
      </c>
      <c r="P2669" s="61" t="str">
        <f aca="false">IF(IsPro,IF($D2669="","",IF(AND(V2669&lt;&gt;"",INDEX(Parties!$E$5:$E$304,V2669)&lt;&gt;"",INDEX(Parties!$E$5:$E$304,V2669)&lt;&gt;HomeState),ROUND(L2669*M2669,2),0)),"")</f>
        <v/>
      </c>
      <c r="Q2669" s="61" t="str">
        <f aca="false">IF(IsPro,IF($D2669="","",L2669+N2669+O2669+P2669),"")</f>
        <v/>
      </c>
      <c r="R2669" s="61" t="str">
        <f aca="false">IF(IsPro,IF($D2669="","",ROUND(N($E2669)*IFERROR(INDEX(Items!$P$5:$P$504,U2669),0),2)),"")</f>
        <v/>
      </c>
      <c r="S2669" s="61" t="str">
        <f aca="false">IF(IsPro,IF($D2669="","",L2669-R2669),"")</f>
        <v/>
      </c>
      <c r="T2669" s="60" t="str">
        <f aca="false">IF(IsPro,IF($D2669="","",IF(U2669="","UNKNOWN ITEM",IF(INDEX(Items!$O$5:$O$504,U2669)&lt;0,"NEG STOCK",IF(K2669&lt;INDEX(Items!$P$5:$P$504,U2669),"BELOW COST","OK")))),IF($D2669="","","PRO PLAN"))</f>
        <v/>
      </c>
      <c r="U2669" s="60" t="str">
        <f aca="false">IF(IsPro,IF($D2669="","",IFERROR(MATCH($D2669,Items!$A$5:$A$504,0),"")),"")</f>
        <v/>
      </c>
      <c r="V2669" s="60" t="str">
        <f aca="false">IF(IsPro,IF($C2669="","",IFERROR(MATCH($C2669,Parties!$A$5:$A$304,0),"")),"")</f>
        <v/>
      </c>
      <c r="W2669" s="60" t="str">
        <f aca="false">IF(IsPro,IF($B2669="","",IFERROR(VALUE(SUBSTITUTE($B2669,InvPrefix,"")),0)),"")</f>
        <v/>
      </c>
      <c r="X2669" s="61" t="str">
        <f aca="false">IF(IsPro,IF($D2669="","",IF(OR($H2669="",$H2669="Credit"),0,Q2669)),"")</f>
        <v/>
      </c>
    </row>
    <row r="2670" customFormat="false" ht="15" hidden="false" customHeight="false" outlineLevel="0" collapsed="false">
      <c r="A2670" s="55"/>
      <c r="B2670" s="56"/>
      <c r="C2670" s="56"/>
      <c r="D2670" s="56"/>
      <c r="E2670" s="57"/>
      <c r="F2670" s="58"/>
      <c r="G2670" s="59"/>
      <c r="H2670" s="56"/>
      <c r="I2670" s="56"/>
      <c r="J2670" s="60" t="str">
        <f aca="false">IF(IsPro,IF($D2670="","",IFERROR(INDEX(Items!$D$5:$D$504,U2670),"")),"")</f>
        <v/>
      </c>
      <c r="K2670" s="61" t="str">
        <f aca="false">IF(IsPro,IF($D2670="","",IF($F2670="",IFERROR(INDEX(Items!$H$5:$H$504,U2670),0),$F2670)),"")</f>
        <v/>
      </c>
      <c r="L2670" s="61" t="str">
        <f aca="false">IF(IsPro,IF($D2670="","",ROUND(N($E2670)*K2670*(1-N($G2670)),2)),"")</f>
        <v/>
      </c>
      <c r="M2670" s="62" t="str">
        <f aca="false">IF(IsPro,IF($D2670="","",IFERROR(INDEX(Items!$F$5:$F$504,U2670),0)),"")</f>
        <v/>
      </c>
      <c r="N2670" s="61" t="str">
        <f aca="false">IF(IsPro,IF($D2670="","",IF(AND(V2670&lt;&gt;"",INDEX(Parties!$E$5:$E$304,V2670)&lt;&gt;"",INDEX(Parties!$E$5:$E$304,V2670)&lt;&gt;HomeState),0,ROUND(L2670*M2670/2,2))),"")</f>
        <v/>
      </c>
      <c r="O2670" s="61" t="str">
        <f aca="false">IF(IsPro,IF($D2670="","",N2670),"")</f>
        <v/>
      </c>
      <c r="P2670" s="61" t="str">
        <f aca="false">IF(IsPro,IF($D2670="","",IF(AND(V2670&lt;&gt;"",INDEX(Parties!$E$5:$E$304,V2670)&lt;&gt;"",INDEX(Parties!$E$5:$E$304,V2670)&lt;&gt;HomeState),ROUND(L2670*M2670,2),0)),"")</f>
        <v/>
      </c>
      <c r="Q2670" s="61" t="str">
        <f aca="false">IF(IsPro,IF($D2670="","",L2670+N2670+O2670+P2670),"")</f>
        <v/>
      </c>
      <c r="R2670" s="61" t="str">
        <f aca="false">IF(IsPro,IF($D2670="","",ROUND(N($E2670)*IFERROR(INDEX(Items!$P$5:$P$504,U2670),0),2)),"")</f>
        <v/>
      </c>
      <c r="S2670" s="61" t="str">
        <f aca="false">IF(IsPro,IF($D2670="","",L2670-R2670),"")</f>
        <v/>
      </c>
      <c r="T2670" s="60" t="str">
        <f aca="false">IF(IsPro,IF($D2670="","",IF(U2670="","UNKNOWN ITEM",IF(INDEX(Items!$O$5:$O$504,U2670)&lt;0,"NEG STOCK",IF(K2670&lt;INDEX(Items!$P$5:$P$504,U2670),"BELOW COST","OK")))),IF($D2670="","","PRO PLAN"))</f>
        <v/>
      </c>
      <c r="U2670" s="60" t="str">
        <f aca="false">IF(IsPro,IF($D2670="","",IFERROR(MATCH($D2670,Items!$A$5:$A$504,0),"")),"")</f>
        <v/>
      </c>
      <c r="V2670" s="60" t="str">
        <f aca="false">IF(IsPro,IF($C2670="","",IFERROR(MATCH($C2670,Parties!$A$5:$A$304,0),"")),"")</f>
        <v/>
      </c>
      <c r="W2670" s="60" t="str">
        <f aca="false">IF(IsPro,IF($B2670="","",IFERROR(VALUE(SUBSTITUTE($B2670,InvPrefix,"")),0)),"")</f>
        <v/>
      </c>
      <c r="X2670" s="61" t="str">
        <f aca="false">IF(IsPro,IF($D2670="","",IF(OR($H2670="",$H2670="Credit"),0,Q2670)),"")</f>
        <v/>
      </c>
    </row>
    <row r="2671" customFormat="false" ht="15" hidden="false" customHeight="false" outlineLevel="0" collapsed="false">
      <c r="A2671" s="55"/>
      <c r="B2671" s="56"/>
      <c r="C2671" s="56"/>
      <c r="D2671" s="56"/>
      <c r="E2671" s="57"/>
      <c r="F2671" s="58"/>
      <c r="G2671" s="59"/>
      <c r="H2671" s="56"/>
      <c r="I2671" s="56"/>
      <c r="J2671" s="60" t="str">
        <f aca="false">IF(IsPro,IF($D2671="","",IFERROR(INDEX(Items!$D$5:$D$504,U2671),"")),"")</f>
        <v/>
      </c>
      <c r="K2671" s="61" t="str">
        <f aca="false">IF(IsPro,IF($D2671="","",IF($F2671="",IFERROR(INDEX(Items!$H$5:$H$504,U2671),0),$F2671)),"")</f>
        <v/>
      </c>
      <c r="L2671" s="61" t="str">
        <f aca="false">IF(IsPro,IF($D2671="","",ROUND(N($E2671)*K2671*(1-N($G2671)),2)),"")</f>
        <v/>
      </c>
      <c r="M2671" s="62" t="str">
        <f aca="false">IF(IsPro,IF($D2671="","",IFERROR(INDEX(Items!$F$5:$F$504,U2671),0)),"")</f>
        <v/>
      </c>
      <c r="N2671" s="61" t="str">
        <f aca="false">IF(IsPro,IF($D2671="","",IF(AND(V2671&lt;&gt;"",INDEX(Parties!$E$5:$E$304,V2671)&lt;&gt;"",INDEX(Parties!$E$5:$E$304,V2671)&lt;&gt;HomeState),0,ROUND(L2671*M2671/2,2))),"")</f>
        <v/>
      </c>
      <c r="O2671" s="61" t="str">
        <f aca="false">IF(IsPro,IF($D2671="","",N2671),"")</f>
        <v/>
      </c>
      <c r="P2671" s="61" t="str">
        <f aca="false">IF(IsPro,IF($D2671="","",IF(AND(V2671&lt;&gt;"",INDEX(Parties!$E$5:$E$304,V2671)&lt;&gt;"",INDEX(Parties!$E$5:$E$304,V2671)&lt;&gt;HomeState),ROUND(L2671*M2671,2),0)),"")</f>
        <v/>
      </c>
      <c r="Q2671" s="61" t="str">
        <f aca="false">IF(IsPro,IF($D2671="","",L2671+N2671+O2671+P2671),"")</f>
        <v/>
      </c>
      <c r="R2671" s="61" t="str">
        <f aca="false">IF(IsPro,IF($D2671="","",ROUND(N($E2671)*IFERROR(INDEX(Items!$P$5:$P$504,U2671),0),2)),"")</f>
        <v/>
      </c>
      <c r="S2671" s="61" t="str">
        <f aca="false">IF(IsPro,IF($D2671="","",L2671-R2671),"")</f>
        <v/>
      </c>
      <c r="T2671" s="60" t="str">
        <f aca="false">IF(IsPro,IF($D2671="","",IF(U2671="","UNKNOWN ITEM",IF(INDEX(Items!$O$5:$O$504,U2671)&lt;0,"NEG STOCK",IF(K2671&lt;INDEX(Items!$P$5:$P$504,U2671),"BELOW COST","OK")))),IF($D2671="","","PRO PLAN"))</f>
        <v/>
      </c>
      <c r="U2671" s="60" t="str">
        <f aca="false">IF(IsPro,IF($D2671="","",IFERROR(MATCH($D2671,Items!$A$5:$A$504,0),"")),"")</f>
        <v/>
      </c>
      <c r="V2671" s="60" t="str">
        <f aca="false">IF(IsPro,IF($C2671="","",IFERROR(MATCH($C2671,Parties!$A$5:$A$304,0),"")),"")</f>
        <v/>
      </c>
      <c r="W2671" s="60" t="str">
        <f aca="false">IF(IsPro,IF($B2671="","",IFERROR(VALUE(SUBSTITUTE($B2671,InvPrefix,"")),0)),"")</f>
        <v/>
      </c>
      <c r="X2671" s="61" t="str">
        <f aca="false">IF(IsPro,IF($D2671="","",IF(OR($H2671="",$H2671="Credit"),0,Q2671)),"")</f>
        <v/>
      </c>
    </row>
    <row r="2672" customFormat="false" ht="15" hidden="false" customHeight="false" outlineLevel="0" collapsed="false">
      <c r="A2672" s="55"/>
      <c r="B2672" s="56"/>
      <c r="C2672" s="56"/>
      <c r="D2672" s="56"/>
      <c r="E2672" s="57"/>
      <c r="F2672" s="58"/>
      <c r="G2672" s="59"/>
      <c r="H2672" s="56"/>
      <c r="I2672" s="56"/>
      <c r="J2672" s="60" t="str">
        <f aca="false">IF(IsPro,IF($D2672="","",IFERROR(INDEX(Items!$D$5:$D$504,U2672),"")),"")</f>
        <v/>
      </c>
      <c r="K2672" s="61" t="str">
        <f aca="false">IF(IsPro,IF($D2672="","",IF($F2672="",IFERROR(INDEX(Items!$H$5:$H$504,U2672),0),$F2672)),"")</f>
        <v/>
      </c>
      <c r="L2672" s="61" t="str">
        <f aca="false">IF(IsPro,IF($D2672="","",ROUND(N($E2672)*K2672*(1-N($G2672)),2)),"")</f>
        <v/>
      </c>
      <c r="M2672" s="62" t="str">
        <f aca="false">IF(IsPro,IF($D2672="","",IFERROR(INDEX(Items!$F$5:$F$504,U2672),0)),"")</f>
        <v/>
      </c>
      <c r="N2672" s="61" t="str">
        <f aca="false">IF(IsPro,IF($D2672="","",IF(AND(V2672&lt;&gt;"",INDEX(Parties!$E$5:$E$304,V2672)&lt;&gt;"",INDEX(Parties!$E$5:$E$304,V2672)&lt;&gt;HomeState),0,ROUND(L2672*M2672/2,2))),"")</f>
        <v/>
      </c>
      <c r="O2672" s="61" t="str">
        <f aca="false">IF(IsPro,IF($D2672="","",N2672),"")</f>
        <v/>
      </c>
      <c r="P2672" s="61" t="str">
        <f aca="false">IF(IsPro,IF($D2672="","",IF(AND(V2672&lt;&gt;"",INDEX(Parties!$E$5:$E$304,V2672)&lt;&gt;"",INDEX(Parties!$E$5:$E$304,V2672)&lt;&gt;HomeState),ROUND(L2672*M2672,2),0)),"")</f>
        <v/>
      </c>
      <c r="Q2672" s="61" t="str">
        <f aca="false">IF(IsPro,IF($D2672="","",L2672+N2672+O2672+P2672),"")</f>
        <v/>
      </c>
      <c r="R2672" s="61" t="str">
        <f aca="false">IF(IsPro,IF($D2672="","",ROUND(N($E2672)*IFERROR(INDEX(Items!$P$5:$P$504,U2672),0),2)),"")</f>
        <v/>
      </c>
      <c r="S2672" s="61" t="str">
        <f aca="false">IF(IsPro,IF($D2672="","",L2672-R2672),"")</f>
        <v/>
      </c>
      <c r="T2672" s="60" t="str">
        <f aca="false">IF(IsPro,IF($D2672="","",IF(U2672="","UNKNOWN ITEM",IF(INDEX(Items!$O$5:$O$504,U2672)&lt;0,"NEG STOCK",IF(K2672&lt;INDEX(Items!$P$5:$P$504,U2672),"BELOW COST","OK")))),IF($D2672="","","PRO PLAN"))</f>
        <v/>
      </c>
      <c r="U2672" s="60" t="str">
        <f aca="false">IF(IsPro,IF($D2672="","",IFERROR(MATCH($D2672,Items!$A$5:$A$504,0),"")),"")</f>
        <v/>
      </c>
      <c r="V2672" s="60" t="str">
        <f aca="false">IF(IsPro,IF($C2672="","",IFERROR(MATCH($C2672,Parties!$A$5:$A$304,0),"")),"")</f>
        <v/>
      </c>
      <c r="W2672" s="60" t="str">
        <f aca="false">IF(IsPro,IF($B2672="","",IFERROR(VALUE(SUBSTITUTE($B2672,InvPrefix,"")),0)),"")</f>
        <v/>
      </c>
      <c r="X2672" s="61" t="str">
        <f aca="false">IF(IsPro,IF($D2672="","",IF(OR($H2672="",$H2672="Credit"),0,Q2672)),"")</f>
        <v/>
      </c>
    </row>
    <row r="2673" customFormat="false" ht="15" hidden="false" customHeight="false" outlineLevel="0" collapsed="false">
      <c r="A2673" s="55"/>
      <c r="B2673" s="56"/>
      <c r="C2673" s="56"/>
      <c r="D2673" s="56"/>
      <c r="E2673" s="57"/>
      <c r="F2673" s="58"/>
      <c r="G2673" s="59"/>
      <c r="H2673" s="56"/>
      <c r="I2673" s="56"/>
      <c r="J2673" s="60" t="str">
        <f aca="false">IF(IsPro,IF($D2673="","",IFERROR(INDEX(Items!$D$5:$D$504,U2673),"")),"")</f>
        <v/>
      </c>
      <c r="K2673" s="61" t="str">
        <f aca="false">IF(IsPro,IF($D2673="","",IF($F2673="",IFERROR(INDEX(Items!$H$5:$H$504,U2673),0),$F2673)),"")</f>
        <v/>
      </c>
      <c r="L2673" s="61" t="str">
        <f aca="false">IF(IsPro,IF($D2673="","",ROUND(N($E2673)*K2673*(1-N($G2673)),2)),"")</f>
        <v/>
      </c>
      <c r="M2673" s="62" t="str">
        <f aca="false">IF(IsPro,IF($D2673="","",IFERROR(INDEX(Items!$F$5:$F$504,U2673),0)),"")</f>
        <v/>
      </c>
      <c r="N2673" s="61" t="str">
        <f aca="false">IF(IsPro,IF($D2673="","",IF(AND(V2673&lt;&gt;"",INDEX(Parties!$E$5:$E$304,V2673)&lt;&gt;"",INDEX(Parties!$E$5:$E$304,V2673)&lt;&gt;HomeState),0,ROUND(L2673*M2673/2,2))),"")</f>
        <v/>
      </c>
      <c r="O2673" s="61" t="str">
        <f aca="false">IF(IsPro,IF($D2673="","",N2673),"")</f>
        <v/>
      </c>
      <c r="P2673" s="61" t="str">
        <f aca="false">IF(IsPro,IF($D2673="","",IF(AND(V2673&lt;&gt;"",INDEX(Parties!$E$5:$E$304,V2673)&lt;&gt;"",INDEX(Parties!$E$5:$E$304,V2673)&lt;&gt;HomeState),ROUND(L2673*M2673,2),0)),"")</f>
        <v/>
      </c>
      <c r="Q2673" s="61" t="str">
        <f aca="false">IF(IsPro,IF($D2673="","",L2673+N2673+O2673+P2673),"")</f>
        <v/>
      </c>
      <c r="R2673" s="61" t="str">
        <f aca="false">IF(IsPro,IF($D2673="","",ROUND(N($E2673)*IFERROR(INDEX(Items!$P$5:$P$504,U2673),0),2)),"")</f>
        <v/>
      </c>
      <c r="S2673" s="61" t="str">
        <f aca="false">IF(IsPro,IF($D2673="","",L2673-R2673),"")</f>
        <v/>
      </c>
      <c r="T2673" s="60" t="str">
        <f aca="false">IF(IsPro,IF($D2673="","",IF(U2673="","UNKNOWN ITEM",IF(INDEX(Items!$O$5:$O$504,U2673)&lt;0,"NEG STOCK",IF(K2673&lt;INDEX(Items!$P$5:$P$504,U2673),"BELOW COST","OK")))),IF($D2673="","","PRO PLAN"))</f>
        <v/>
      </c>
      <c r="U2673" s="60" t="str">
        <f aca="false">IF(IsPro,IF($D2673="","",IFERROR(MATCH($D2673,Items!$A$5:$A$504,0),"")),"")</f>
        <v/>
      </c>
      <c r="V2673" s="60" t="str">
        <f aca="false">IF(IsPro,IF($C2673="","",IFERROR(MATCH($C2673,Parties!$A$5:$A$304,0),"")),"")</f>
        <v/>
      </c>
      <c r="W2673" s="60" t="str">
        <f aca="false">IF(IsPro,IF($B2673="","",IFERROR(VALUE(SUBSTITUTE($B2673,InvPrefix,"")),0)),"")</f>
        <v/>
      </c>
      <c r="X2673" s="61" t="str">
        <f aca="false">IF(IsPro,IF($D2673="","",IF(OR($H2673="",$H2673="Credit"),0,Q2673)),"")</f>
        <v/>
      </c>
    </row>
    <row r="2674" customFormat="false" ht="15" hidden="false" customHeight="false" outlineLevel="0" collapsed="false">
      <c r="A2674" s="55"/>
      <c r="B2674" s="56"/>
      <c r="C2674" s="56"/>
      <c r="D2674" s="56"/>
      <c r="E2674" s="57"/>
      <c r="F2674" s="58"/>
      <c r="G2674" s="59"/>
      <c r="H2674" s="56"/>
      <c r="I2674" s="56"/>
      <c r="J2674" s="60" t="str">
        <f aca="false">IF(IsPro,IF($D2674="","",IFERROR(INDEX(Items!$D$5:$D$504,U2674),"")),"")</f>
        <v/>
      </c>
      <c r="K2674" s="61" t="str">
        <f aca="false">IF(IsPro,IF($D2674="","",IF($F2674="",IFERROR(INDEX(Items!$H$5:$H$504,U2674),0),$F2674)),"")</f>
        <v/>
      </c>
      <c r="L2674" s="61" t="str">
        <f aca="false">IF(IsPro,IF($D2674="","",ROUND(N($E2674)*K2674*(1-N($G2674)),2)),"")</f>
        <v/>
      </c>
      <c r="M2674" s="62" t="str">
        <f aca="false">IF(IsPro,IF($D2674="","",IFERROR(INDEX(Items!$F$5:$F$504,U2674),0)),"")</f>
        <v/>
      </c>
      <c r="N2674" s="61" t="str">
        <f aca="false">IF(IsPro,IF($D2674="","",IF(AND(V2674&lt;&gt;"",INDEX(Parties!$E$5:$E$304,V2674)&lt;&gt;"",INDEX(Parties!$E$5:$E$304,V2674)&lt;&gt;HomeState),0,ROUND(L2674*M2674/2,2))),"")</f>
        <v/>
      </c>
      <c r="O2674" s="61" t="str">
        <f aca="false">IF(IsPro,IF($D2674="","",N2674),"")</f>
        <v/>
      </c>
      <c r="P2674" s="61" t="str">
        <f aca="false">IF(IsPro,IF($D2674="","",IF(AND(V2674&lt;&gt;"",INDEX(Parties!$E$5:$E$304,V2674)&lt;&gt;"",INDEX(Parties!$E$5:$E$304,V2674)&lt;&gt;HomeState),ROUND(L2674*M2674,2),0)),"")</f>
        <v/>
      </c>
      <c r="Q2674" s="61" t="str">
        <f aca="false">IF(IsPro,IF($D2674="","",L2674+N2674+O2674+P2674),"")</f>
        <v/>
      </c>
      <c r="R2674" s="61" t="str">
        <f aca="false">IF(IsPro,IF($D2674="","",ROUND(N($E2674)*IFERROR(INDEX(Items!$P$5:$P$504,U2674),0),2)),"")</f>
        <v/>
      </c>
      <c r="S2674" s="61" t="str">
        <f aca="false">IF(IsPro,IF($D2674="","",L2674-R2674),"")</f>
        <v/>
      </c>
      <c r="T2674" s="60" t="str">
        <f aca="false">IF(IsPro,IF($D2674="","",IF(U2674="","UNKNOWN ITEM",IF(INDEX(Items!$O$5:$O$504,U2674)&lt;0,"NEG STOCK",IF(K2674&lt;INDEX(Items!$P$5:$P$504,U2674),"BELOW COST","OK")))),IF($D2674="","","PRO PLAN"))</f>
        <v/>
      </c>
      <c r="U2674" s="60" t="str">
        <f aca="false">IF(IsPro,IF($D2674="","",IFERROR(MATCH($D2674,Items!$A$5:$A$504,0),"")),"")</f>
        <v/>
      </c>
      <c r="V2674" s="60" t="str">
        <f aca="false">IF(IsPro,IF($C2674="","",IFERROR(MATCH($C2674,Parties!$A$5:$A$304,0),"")),"")</f>
        <v/>
      </c>
      <c r="W2674" s="60" t="str">
        <f aca="false">IF(IsPro,IF($B2674="","",IFERROR(VALUE(SUBSTITUTE($B2674,InvPrefix,"")),0)),"")</f>
        <v/>
      </c>
      <c r="X2674" s="61" t="str">
        <f aca="false">IF(IsPro,IF($D2674="","",IF(OR($H2674="",$H2674="Credit"),0,Q2674)),"")</f>
        <v/>
      </c>
    </row>
    <row r="2675" customFormat="false" ht="15" hidden="false" customHeight="false" outlineLevel="0" collapsed="false">
      <c r="A2675" s="55"/>
      <c r="B2675" s="56"/>
      <c r="C2675" s="56"/>
      <c r="D2675" s="56"/>
      <c r="E2675" s="57"/>
      <c r="F2675" s="58"/>
      <c r="G2675" s="59"/>
      <c r="H2675" s="56"/>
      <c r="I2675" s="56"/>
      <c r="J2675" s="60" t="str">
        <f aca="false">IF(IsPro,IF($D2675="","",IFERROR(INDEX(Items!$D$5:$D$504,U2675),"")),"")</f>
        <v/>
      </c>
      <c r="K2675" s="61" t="str">
        <f aca="false">IF(IsPro,IF($D2675="","",IF($F2675="",IFERROR(INDEX(Items!$H$5:$H$504,U2675),0),$F2675)),"")</f>
        <v/>
      </c>
      <c r="L2675" s="61" t="str">
        <f aca="false">IF(IsPro,IF($D2675="","",ROUND(N($E2675)*K2675*(1-N($G2675)),2)),"")</f>
        <v/>
      </c>
      <c r="M2675" s="62" t="str">
        <f aca="false">IF(IsPro,IF($D2675="","",IFERROR(INDEX(Items!$F$5:$F$504,U2675),0)),"")</f>
        <v/>
      </c>
      <c r="N2675" s="61" t="str">
        <f aca="false">IF(IsPro,IF($D2675="","",IF(AND(V2675&lt;&gt;"",INDEX(Parties!$E$5:$E$304,V2675)&lt;&gt;"",INDEX(Parties!$E$5:$E$304,V2675)&lt;&gt;HomeState),0,ROUND(L2675*M2675/2,2))),"")</f>
        <v/>
      </c>
      <c r="O2675" s="61" t="str">
        <f aca="false">IF(IsPro,IF($D2675="","",N2675),"")</f>
        <v/>
      </c>
      <c r="P2675" s="61" t="str">
        <f aca="false">IF(IsPro,IF($D2675="","",IF(AND(V2675&lt;&gt;"",INDEX(Parties!$E$5:$E$304,V2675)&lt;&gt;"",INDEX(Parties!$E$5:$E$304,V2675)&lt;&gt;HomeState),ROUND(L2675*M2675,2),0)),"")</f>
        <v/>
      </c>
      <c r="Q2675" s="61" t="str">
        <f aca="false">IF(IsPro,IF($D2675="","",L2675+N2675+O2675+P2675),"")</f>
        <v/>
      </c>
      <c r="R2675" s="61" t="str">
        <f aca="false">IF(IsPro,IF($D2675="","",ROUND(N($E2675)*IFERROR(INDEX(Items!$P$5:$P$504,U2675),0),2)),"")</f>
        <v/>
      </c>
      <c r="S2675" s="61" t="str">
        <f aca="false">IF(IsPro,IF($D2675="","",L2675-R2675),"")</f>
        <v/>
      </c>
      <c r="T2675" s="60" t="str">
        <f aca="false">IF(IsPro,IF($D2675="","",IF(U2675="","UNKNOWN ITEM",IF(INDEX(Items!$O$5:$O$504,U2675)&lt;0,"NEG STOCK",IF(K2675&lt;INDEX(Items!$P$5:$P$504,U2675),"BELOW COST","OK")))),IF($D2675="","","PRO PLAN"))</f>
        <v/>
      </c>
      <c r="U2675" s="60" t="str">
        <f aca="false">IF(IsPro,IF($D2675="","",IFERROR(MATCH($D2675,Items!$A$5:$A$504,0),"")),"")</f>
        <v/>
      </c>
      <c r="V2675" s="60" t="str">
        <f aca="false">IF(IsPro,IF($C2675="","",IFERROR(MATCH($C2675,Parties!$A$5:$A$304,0),"")),"")</f>
        <v/>
      </c>
      <c r="W2675" s="60" t="str">
        <f aca="false">IF(IsPro,IF($B2675="","",IFERROR(VALUE(SUBSTITUTE($B2675,InvPrefix,"")),0)),"")</f>
        <v/>
      </c>
      <c r="X2675" s="61" t="str">
        <f aca="false">IF(IsPro,IF($D2675="","",IF(OR($H2675="",$H2675="Credit"),0,Q2675)),"")</f>
        <v/>
      </c>
    </row>
    <row r="2676" customFormat="false" ht="15" hidden="false" customHeight="false" outlineLevel="0" collapsed="false">
      <c r="A2676" s="55"/>
      <c r="B2676" s="56"/>
      <c r="C2676" s="56"/>
      <c r="D2676" s="56"/>
      <c r="E2676" s="57"/>
      <c r="F2676" s="58"/>
      <c r="G2676" s="59"/>
      <c r="H2676" s="56"/>
      <c r="I2676" s="56"/>
      <c r="J2676" s="60" t="str">
        <f aca="false">IF(IsPro,IF($D2676="","",IFERROR(INDEX(Items!$D$5:$D$504,U2676),"")),"")</f>
        <v/>
      </c>
      <c r="K2676" s="61" t="str">
        <f aca="false">IF(IsPro,IF($D2676="","",IF($F2676="",IFERROR(INDEX(Items!$H$5:$H$504,U2676),0),$F2676)),"")</f>
        <v/>
      </c>
      <c r="L2676" s="61" t="str">
        <f aca="false">IF(IsPro,IF($D2676="","",ROUND(N($E2676)*K2676*(1-N($G2676)),2)),"")</f>
        <v/>
      </c>
      <c r="M2676" s="62" t="str">
        <f aca="false">IF(IsPro,IF($D2676="","",IFERROR(INDEX(Items!$F$5:$F$504,U2676),0)),"")</f>
        <v/>
      </c>
      <c r="N2676" s="61" t="str">
        <f aca="false">IF(IsPro,IF($D2676="","",IF(AND(V2676&lt;&gt;"",INDEX(Parties!$E$5:$E$304,V2676)&lt;&gt;"",INDEX(Parties!$E$5:$E$304,V2676)&lt;&gt;HomeState),0,ROUND(L2676*M2676/2,2))),"")</f>
        <v/>
      </c>
      <c r="O2676" s="61" t="str">
        <f aca="false">IF(IsPro,IF($D2676="","",N2676),"")</f>
        <v/>
      </c>
      <c r="P2676" s="61" t="str">
        <f aca="false">IF(IsPro,IF($D2676="","",IF(AND(V2676&lt;&gt;"",INDEX(Parties!$E$5:$E$304,V2676)&lt;&gt;"",INDEX(Parties!$E$5:$E$304,V2676)&lt;&gt;HomeState),ROUND(L2676*M2676,2),0)),"")</f>
        <v/>
      </c>
      <c r="Q2676" s="61" t="str">
        <f aca="false">IF(IsPro,IF($D2676="","",L2676+N2676+O2676+P2676),"")</f>
        <v/>
      </c>
      <c r="R2676" s="61" t="str">
        <f aca="false">IF(IsPro,IF($D2676="","",ROUND(N($E2676)*IFERROR(INDEX(Items!$P$5:$P$504,U2676),0),2)),"")</f>
        <v/>
      </c>
      <c r="S2676" s="61" t="str">
        <f aca="false">IF(IsPro,IF($D2676="","",L2676-R2676),"")</f>
        <v/>
      </c>
      <c r="T2676" s="60" t="str">
        <f aca="false">IF(IsPro,IF($D2676="","",IF(U2676="","UNKNOWN ITEM",IF(INDEX(Items!$O$5:$O$504,U2676)&lt;0,"NEG STOCK",IF(K2676&lt;INDEX(Items!$P$5:$P$504,U2676),"BELOW COST","OK")))),IF($D2676="","","PRO PLAN"))</f>
        <v/>
      </c>
      <c r="U2676" s="60" t="str">
        <f aca="false">IF(IsPro,IF($D2676="","",IFERROR(MATCH($D2676,Items!$A$5:$A$504,0),"")),"")</f>
        <v/>
      </c>
      <c r="V2676" s="60" t="str">
        <f aca="false">IF(IsPro,IF($C2676="","",IFERROR(MATCH($C2676,Parties!$A$5:$A$304,0),"")),"")</f>
        <v/>
      </c>
      <c r="W2676" s="60" t="str">
        <f aca="false">IF(IsPro,IF($B2676="","",IFERROR(VALUE(SUBSTITUTE($B2676,InvPrefix,"")),0)),"")</f>
        <v/>
      </c>
      <c r="X2676" s="61" t="str">
        <f aca="false">IF(IsPro,IF($D2676="","",IF(OR($H2676="",$H2676="Credit"),0,Q2676)),"")</f>
        <v/>
      </c>
    </row>
    <row r="2677" customFormat="false" ht="15" hidden="false" customHeight="false" outlineLevel="0" collapsed="false">
      <c r="A2677" s="55"/>
      <c r="B2677" s="56"/>
      <c r="C2677" s="56"/>
      <c r="D2677" s="56"/>
      <c r="E2677" s="57"/>
      <c r="F2677" s="58"/>
      <c r="G2677" s="59"/>
      <c r="H2677" s="56"/>
      <c r="I2677" s="56"/>
      <c r="J2677" s="60" t="str">
        <f aca="false">IF(IsPro,IF($D2677="","",IFERROR(INDEX(Items!$D$5:$D$504,U2677),"")),"")</f>
        <v/>
      </c>
      <c r="K2677" s="61" t="str">
        <f aca="false">IF(IsPro,IF($D2677="","",IF($F2677="",IFERROR(INDEX(Items!$H$5:$H$504,U2677),0),$F2677)),"")</f>
        <v/>
      </c>
      <c r="L2677" s="61" t="str">
        <f aca="false">IF(IsPro,IF($D2677="","",ROUND(N($E2677)*K2677*(1-N($G2677)),2)),"")</f>
        <v/>
      </c>
      <c r="M2677" s="62" t="str">
        <f aca="false">IF(IsPro,IF($D2677="","",IFERROR(INDEX(Items!$F$5:$F$504,U2677),0)),"")</f>
        <v/>
      </c>
      <c r="N2677" s="61" t="str">
        <f aca="false">IF(IsPro,IF($D2677="","",IF(AND(V2677&lt;&gt;"",INDEX(Parties!$E$5:$E$304,V2677)&lt;&gt;"",INDEX(Parties!$E$5:$E$304,V2677)&lt;&gt;HomeState),0,ROUND(L2677*M2677/2,2))),"")</f>
        <v/>
      </c>
      <c r="O2677" s="61" t="str">
        <f aca="false">IF(IsPro,IF($D2677="","",N2677),"")</f>
        <v/>
      </c>
      <c r="P2677" s="61" t="str">
        <f aca="false">IF(IsPro,IF($D2677="","",IF(AND(V2677&lt;&gt;"",INDEX(Parties!$E$5:$E$304,V2677)&lt;&gt;"",INDEX(Parties!$E$5:$E$304,V2677)&lt;&gt;HomeState),ROUND(L2677*M2677,2),0)),"")</f>
        <v/>
      </c>
      <c r="Q2677" s="61" t="str">
        <f aca="false">IF(IsPro,IF($D2677="","",L2677+N2677+O2677+P2677),"")</f>
        <v/>
      </c>
      <c r="R2677" s="61" t="str">
        <f aca="false">IF(IsPro,IF($D2677="","",ROUND(N($E2677)*IFERROR(INDEX(Items!$P$5:$P$504,U2677),0),2)),"")</f>
        <v/>
      </c>
      <c r="S2677" s="61" t="str">
        <f aca="false">IF(IsPro,IF($D2677="","",L2677-R2677),"")</f>
        <v/>
      </c>
      <c r="T2677" s="60" t="str">
        <f aca="false">IF(IsPro,IF($D2677="","",IF(U2677="","UNKNOWN ITEM",IF(INDEX(Items!$O$5:$O$504,U2677)&lt;0,"NEG STOCK",IF(K2677&lt;INDEX(Items!$P$5:$P$504,U2677),"BELOW COST","OK")))),IF($D2677="","","PRO PLAN"))</f>
        <v/>
      </c>
      <c r="U2677" s="60" t="str">
        <f aca="false">IF(IsPro,IF($D2677="","",IFERROR(MATCH($D2677,Items!$A$5:$A$504,0),"")),"")</f>
        <v/>
      </c>
      <c r="V2677" s="60" t="str">
        <f aca="false">IF(IsPro,IF($C2677="","",IFERROR(MATCH($C2677,Parties!$A$5:$A$304,0),"")),"")</f>
        <v/>
      </c>
      <c r="W2677" s="60" t="str">
        <f aca="false">IF(IsPro,IF($B2677="","",IFERROR(VALUE(SUBSTITUTE($B2677,InvPrefix,"")),0)),"")</f>
        <v/>
      </c>
      <c r="X2677" s="61" t="str">
        <f aca="false">IF(IsPro,IF($D2677="","",IF(OR($H2677="",$H2677="Credit"),0,Q2677)),"")</f>
        <v/>
      </c>
    </row>
    <row r="2678" customFormat="false" ht="15" hidden="false" customHeight="false" outlineLevel="0" collapsed="false">
      <c r="A2678" s="55"/>
      <c r="B2678" s="56"/>
      <c r="C2678" s="56"/>
      <c r="D2678" s="56"/>
      <c r="E2678" s="57"/>
      <c r="F2678" s="58"/>
      <c r="G2678" s="59"/>
      <c r="H2678" s="56"/>
      <c r="I2678" s="56"/>
      <c r="J2678" s="60" t="str">
        <f aca="false">IF(IsPro,IF($D2678="","",IFERROR(INDEX(Items!$D$5:$D$504,U2678),"")),"")</f>
        <v/>
      </c>
      <c r="K2678" s="61" t="str">
        <f aca="false">IF(IsPro,IF($D2678="","",IF($F2678="",IFERROR(INDEX(Items!$H$5:$H$504,U2678),0),$F2678)),"")</f>
        <v/>
      </c>
      <c r="L2678" s="61" t="str">
        <f aca="false">IF(IsPro,IF($D2678="","",ROUND(N($E2678)*K2678*(1-N($G2678)),2)),"")</f>
        <v/>
      </c>
      <c r="M2678" s="62" t="str">
        <f aca="false">IF(IsPro,IF($D2678="","",IFERROR(INDEX(Items!$F$5:$F$504,U2678),0)),"")</f>
        <v/>
      </c>
      <c r="N2678" s="61" t="str">
        <f aca="false">IF(IsPro,IF($D2678="","",IF(AND(V2678&lt;&gt;"",INDEX(Parties!$E$5:$E$304,V2678)&lt;&gt;"",INDEX(Parties!$E$5:$E$304,V2678)&lt;&gt;HomeState),0,ROUND(L2678*M2678/2,2))),"")</f>
        <v/>
      </c>
      <c r="O2678" s="61" t="str">
        <f aca="false">IF(IsPro,IF($D2678="","",N2678),"")</f>
        <v/>
      </c>
      <c r="P2678" s="61" t="str">
        <f aca="false">IF(IsPro,IF($D2678="","",IF(AND(V2678&lt;&gt;"",INDEX(Parties!$E$5:$E$304,V2678)&lt;&gt;"",INDEX(Parties!$E$5:$E$304,V2678)&lt;&gt;HomeState),ROUND(L2678*M2678,2),0)),"")</f>
        <v/>
      </c>
      <c r="Q2678" s="61" t="str">
        <f aca="false">IF(IsPro,IF($D2678="","",L2678+N2678+O2678+P2678),"")</f>
        <v/>
      </c>
      <c r="R2678" s="61" t="str">
        <f aca="false">IF(IsPro,IF($D2678="","",ROUND(N($E2678)*IFERROR(INDEX(Items!$P$5:$P$504,U2678),0),2)),"")</f>
        <v/>
      </c>
      <c r="S2678" s="61" t="str">
        <f aca="false">IF(IsPro,IF($D2678="","",L2678-R2678),"")</f>
        <v/>
      </c>
      <c r="T2678" s="60" t="str">
        <f aca="false">IF(IsPro,IF($D2678="","",IF(U2678="","UNKNOWN ITEM",IF(INDEX(Items!$O$5:$O$504,U2678)&lt;0,"NEG STOCK",IF(K2678&lt;INDEX(Items!$P$5:$P$504,U2678),"BELOW COST","OK")))),IF($D2678="","","PRO PLAN"))</f>
        <v/>
      </c>
      <c r="U2678" s="60" t="str">
        <f aca="false">IF(IsPro,IF($D2678="","",IFERROR(MATCH($D2678,Items!$A$5:$A$504,0),"")),"")</f>
        <v/>
      </c>
      <c r="V2678" s="60" t="str">
        <f aca="false">IF(IsPro,IF($C2678="","",IFERROR(MATCH($C2678,Parties!$A$5:$A$304,0),"")),"")</f>
        <v/>
      </c>
      <c r="W2678" s="60" t="str">
        <f aca="false">IF(IsPro,IF($B2678="","",IFERROR(VALUE(SUBSTITUTE($B2678,InvPrefix,"")),0)),"")</f>
        <v/>
      </c>
      <c r="X2678" s="61" t="str">
        <f aca="false">IF(IsPro,IF($D2678="","",IF(OR($H2678="",$H2678="Credit"),0,Q2678)),"")</f>
        <v/>
      </c>
    </row>
    <row r="2679" customFormat="false" ht="15" hidden="false" customHeight="false" outlineLevel="0" collapsed="false">
      <c r="A2679" s="55"/>
      <c r="B2679" s="56"/>
      <c r="C2679" s="56"/>
      <c r="D2679" s="56"/>
      <c r="E2679" s="57"/>
      <c r="F2679" s="58"/>
      <c r="G2679" s="59"/>
      <c r="H2679" s="56"/>
      <c r="I2679" s="56"/>
      <c r="J2679" s="60" t="str">
        <f aca="false">IF(IsPro,IF($D2679="","",IFERROR(INDEX(Items!$D$5:$D$504,U2679),"")),"")</f>
        <v/>
      </c>
      <c r="K2679" s="61" t="str">
        <f aca="false">IF(IsPro,IF($D2679="","",IF($F2679="",IFERROR(INDEX(Items!$H$5:$H$504,U2679),0),$F2679)),"")</f>
        <v/>
      </c>
      <c r="L2679" s="61" t="str">
        <f aca="false">IF(IsPro,IF($D2679="","",ROUND(N($E2679)*K2679*(1-N($G2679)),2)),"")</f>
        <v/>
      </c>
      <c r="M2679" s="62" t="str">
        <f aca="false">IF(IsPro,IF($D2679="","",IFERROR(INDEX(Items!$F$5:$F$504,U2679),0)),"")</f>
        <v/>
      </c>
      <c r="N2679" s="61" t="str">
        <f aca="false">IF(IsPro,IF($D2679="","",IF(AND(V2679&lt;&gt;"",INDEX(Parties!$E$5:$E$304,V2679)&lt;&gt;"",INDEX(Parties!$E$5:$E$304,V2679)&lt;&gt;HomeState),0,ROUND(L2679*M2679/2,2))),"")</f>
        <v/>
      </c>
      <c r="O2679" s="61" t="str">
        <f aca="false">IF(IsPro,IF($D2679="","",N2679),"")</f>
        <v/>
      </c>
      <c r="P2679" s="61" t="str">
        <f aca="false">IF(IsPro,IF($D2679="","",IF(AND(V2679&lt;&gt;"",INDEX(Parties!$E$5:$E$304,V2679)&lt;&gt;"",INDEX(Parties!$E$5:$E$304,V2679)&lt;&gt;HomeState),ROUND(L2679*M2679,2),0)),"")</f>
        <v/>
      </c>
      <c r="Q2679" s="61" t="str">
        <f aca="false">IF(IsPro,IF($D2679="","",L2679+N2679+O2679+P2679),"")</f>
        <v/>
      </c>
      <c r="R2679" s="61" t="str">
        <f aca="false">IF(IsPro,IF($D2679="","",ROUND(N($E2679)*IFERROR(INDEX(Items!$P$5:$P$504,U2679),0),2)),"")</f>
        <v/>
      </c>
      <c r="S2679" s="61" t="str">
        <f aca="false">IF(IsPro,IF($D2679="","",L2679-R2679),"")</f>
        <v/>
      </c>
      <c r="T2679" s="60" t="str">
        <f aca="false">IF(IsPro,IF($D2679="","",IF(U2679="","UNKNOWN ITEM",IF(INDEX(Items!$O$5:$O$504,U2679)&lt;0,"NEG STOCK",IF(K2679&lt;INDEX(Items!$P$5:$P$504,U2679),"BELOW COST","OK")))),IF($D2679="","","PRO PLAN"))</f>
        <v/>
      </c>
      <c r="U2679" s="60" t="str">
        <f aca="false">IF(IsPro,IF($D2679="","",IFERROR(MATCH($D2679,Items!$A$5:$A$504,0),"")),"")</f>
        <v/>
      </c>
      <c r="V2679" s="60" t="str">
        <f aca="false">IF(IsPro,IF($C2679="","",IFERROR(MATCH($C2679,Parties!$A$5:$A$304,0),"")),"")</f>
        <v/>
      </c>
      <c r="W2679" s="60" t="str">
        <f aca="false">IF(IsPro,IF($B2679="","",IFERROR(VALUE(SUBSTITUTE($B2679,InvPrefix,"")),0)),"")</f>
        <v/>
      </c>
      <c r="X2679" s="61" t="str">
        <f aca="false">IF(IsPro,IF($D2679="","",IF(OR($H2679="",$H2679="Credit"),0,Q2679)),"")</f>
        <v/>
      </c>
    </row>
    <row r="2680" customFormat="false" ht="15" hidden="false" customHeight="false" outlineLevel="0" collapsed="false">
      <c r="A2680" s="55"/>
      <c r="B2680" s="56"/>
      <c r="C2680" s="56"/>
      <c r="D2680" s="56"/>
      <c r="E2680" s="57"/>
      <c r="F2680" s="58"/>
      <c r="G2680" s="59"/>
      <c r="H2680" s="56"/>
      <c r="I2680" s="56"/>
      <c r="J2680" s="60" t="str">
        <f aca="false">IF(IsPro,IF($D2680="","",IFERROR(INDEX(Items!$D$5:$D$504,U2680),"")),"")</f>
        <v/>
      </c>
      <c r="K2680" s="61" t="str">
        <f aca="false">IF(IsPro,IF($D2680="","",IF($F2680="",IFERROR(INDEX(Items!$H$5:$H$504,U2680),0),$F2680)),"")</f>
        <v/>
      </c>
      <c r="L2680" s="61" t="str">
        <f aca="false">IF(IsPro,IF($D2680="","",ROUND(N($E2680)*K2680*(1-N($G2680)),2)),"")</f>
        <v/>
      </c>
      <c r="M2680" s="62" t="str">
        <f aca="false">IF(IsPro,IF($D2680="","",IFERROR(INDEX(Items!$F$5:$F$504,U2680),0)),"")</f>
        <v/>
      </c>
      <c r="N2680" s="61" t="str">
        <f aca="false">IF(IsPro,IF($D2680="","",IF(AND(V2680&lt;&gt;"",INDEX(Parties!$E$5:$E$304,V2680)&lt;&gt;"",INDEX(Parties!$E$5:$E$304,V2680)&lt;&gt;HomeState),0,ROUND(L2680*M2680/2,2))),"")</f>
        <v/>
      </c>
      <c r="O2680" s="61" t="str">
        <f aca="false">IF(IsPro,IF($D2680="","",N2680),"")</f>
        <v/>
      </c>
      <c r="P2680" s="61" t="str">
        <f aca="false">IF(IsPro,IF($D2680="","",IF(AND(V2680&lt;&gt;"",INDEX(Parties!$E$5:$E$304,V2680)&lt;&gt;"",INDEX(Parties!$E$5:$E$304,V2680)&lt;&gt;HomeState),ROUND(L2680*M2680,2),0)),"")</f>
        <v/>
      </c>
      <c r="Q2680" s="61" t="str">
        <f aca="false">IF(IsPro,IF($D2680="","",L2680+N2680+O2680+P2680),"")</f>
        <v/>
      </c>
      <c r="R2680" s="61" t="str">
        <f aca="false">IF(IsPro,IF($D2680="","",ROUND(N($E2680)*IFERROR(INDEX(Items!$P$5:$P$504,U2680),0),2)),"")</f>
        <v/>
      </c>
      <c r="S2680" s="61" t="str">
        <f aca="false">IF(IsPro,IF($D2680="","",L2680-R2680),"")</f>
        <v/>
      </c>
      <c r="T2680" s="60" t="str">
        <f aca="false">IF(IsPro,IF($D2680="","",IF(U2680="","UNKNOWN ITEM",IF(INDEX(Items!$O$5:$O$504,U2680)&lt;0,"NEG STOCK",IF(K2680&lt;INDEX(Items!$P$5:$P$504,U2680),"BELOW COST","OK")))),IF($D2680="","","PRO PLAN"))</f>
        <v/>
      </c>
      <c r="U2680" s="60" t="str">
        <f aca="false">IF(IsPro,IF($D2680="","",IFERROR(MATCH($D2680,Items!$A$5:$A$504,0),"")),"")</f>
        <v/>
      </c>
      <c r="V2680" s="60" t="str">
        <f aca="false">IF(IsPro,IF($C2680="","",IFERROR(MATCH($C2680,Parties!$A$5:$A$304,0),"")),"")</f>
        <v/>
      </c>
      <c r="W2680" s="60" t="str">
        <f aca="false">IF(IsPro,IF($B2680="","",IFERROR(VALUE(SUBSTITUTE($B2680,InvPrefix,"")),0)),"")</f>
        <v/>
      </c>
      <c r="X2680" s="61" t="str">
        <f aca="false">IF(IsPro,IF($D2680="","",IF(OR($H2680="",$H2680="Credit"),0,Q2680)),"")</f>
        <v/>
      </c>
    </row>
    <row r="2681" customFormat="false" ht="15" hidden="false" customHeight="false" outlineLevel="0" collapsed="false">
      <c r="A2681" s="55"/>
      <c r="B2681" s="56"/>
      <c r="C2681" s="56"/>
      <c r="D2681" s="56"/>
      <c r="E2681" s="57"/>
      <c r="F2681" s="58"/>
      <c r="G2681" s="59"/>
      <c r="H2681" s="56"/>
      <c r="I2681" s="56"/>
      <c r="J2681" s="60" t="str">
        <f aca="false">IF(IsPro,IF($D2681="","",IFERROR(INDEX(Items!$D$5:$D$504,U2681),"")),"")</f>
        <v/>
      </c>
      <c r="K2681" s="61" t="str">
        <f aca="false">IF(IsPro,IF($D2681="","",IF($F2681="",IFERROR(INDEX(Items!$H$5:$H$504,U2681),0),$F2681)),"")</f>
        <v/>
      </c>
      <c r="L2681" s="61" t="str">
        <f aca="false">IF(IsPro,IF($D2681="","",ROUND(N($E2681)*K2681*(1-N($G2681)),2)),"")</f>
        <v/>
      </c>
      <c r="M2681" s="62" t="str">
        <f aca="false">IF(IsPro,IF($D2681="","",IFERROR(INDEX(Items!$F$5:$F$504,U2681),0)),"")</f>
        <v/>
      </c>
      <c r="N2681" s="61" t="str">
        <f aca="false">IF(IsPro,IF($D2681="","",IF(AND(V2681&lt;&gt;"",INDEX(Parties!$E$5:$E$304,V2681)&lt;&gt;"",INDEX(Parties!$E$5:$E$304,V2681)&lt;&gt;HomeState),0,ROUND(L2681*M2681/2,2))),"")</f>
        <v/>
      </c>
      <c r="O2681" s="61" t="str">
        <f aca="false">IF(IsPro,IF($D2681="","",N2681),"")</f>
        <v/>
      </c>
      <c r="P2681" s="61" t="str">
        <f aca="false">IF(IsPro,IF($D2681="","",IF(AND(V2681&lt;&gt;"",INDEX(Parties!$E$5:$E$304,V2681)&lt;&gt;"",INDEX(Parties!$E$5:$E$304,V2681)&lt;&gt;HomeState),ROUND(L2681*M2681,2),0)),"")</f>
        <v/>
      </c>
      <c r="Q2681" s="61" t="str">
        <f aca="false">IF(IsPro,IF($D2681="","",L2681+N2681+O2681+P2681),"")</f>
        <v/>
      </c>
      <c r="R2681" s="61" t="str">
        <f aca="false">IF(IsPro,IF($D2681="","",ROUND(N($E2681)*IFERROR(INDEX(Items!$P$5:$P$504,U2681),0),2)),"")</f>
        <v/>
      </c>
      <c r="S2681" s="61" t="str">
        <f aca="false">IF(IsPro,IF($D2681="","",L2681-R2681),"")</f>
        <v/>
      </c>
      <c r="T2681" s="60" t="str">
        <f aca="false">IF(IsPro,IF($D2681="","",IF(U2681="","UNKNOWN ITEM",IF(INDEX(Items!$O$5:$O$504,U2681)&lt;0,"NEG STOCK",IF(K2681&lt;INDEX(Items!$P$5:$P$504,U2681),"BELOW COST","OK")))),IF($D2681="","","PRO PLAN"))</f>
        <v/>
      </c>
      <c r="U2681" s="60" t="str">
        <f aca="false">IF(IsPro,IF($D2681="","",IFERROR(MATCH($D2681,Items!$A$5:$A$504,0),"")),"")</f>
        <v/>
      </c>
      <c r="V2681" s="60" t="str">
        <f aca="false">IF(IsPro,IF($C2681="","",IFERROR(MATCH($C2681,Parties!$A$5:$A$304,0),"")),"")</f>
        <v/>
      </c>
      <c r="W2681" s="60" t="str">
        <f aca="false">IF(IsPro,IF($B2681="","",IFERROR(VALUE(SUBSTITUTE($B2681,InvPrefix,"")),0)),"")</f>
        <v/>
      </c>
      <c r="X2681" s="61" t="str">
        <f aca="false">IF(IsPro,IF($D2681="","",IF(OR($H2681="",$H2681="Credit"),0,Q2681)),"")</f>
        <v/>
      </c>
    </row>
    <row r="2682" customFormat="false" ht="15" hidden="false" customHeight="false" outlineLevel="0" collapsed="false">
      <c r="A2682" s="55"/>
      <c r="B2682" s="56"/>
      <c r="C2682" s="56"/>
      <c r="D2682" s="56"/>
      <c r="E2682" s="57"/>
      <c r="F2682" s="58"/>
      <c r="G2682" s="59"/>
      <c r="H2682" s="56"/>
      <c r="I2682" s="56"/>
      <c r="J2682" s="60" t="str">
        <f aca="false">IF(IsPro,IF($D2682="","",IFERROR(INDEX(Items!$D$5:$D$504,U2682),"")),"")</f>
        <v/>
      </c>
      <c r="K2682" s="61" t="str">
        <f aca="false">IF(IsPro,IF($D2682="","",IF($F2682="",IFERROR(INDEX(Items!$H$5:$H$504,U2682),0),$F2682)),"")</f>
        <v/>
      </c>
      <c r="L2682" s="61" t="str">
        <f aca="false">IF(IsPro,IF($D2682="","",ROUND(N($E2682)*K2682*(1-N($G2682)),2)),"")</f>
        <v/>
      </c>
      <c r="M2682" s="62" t="str">
        <f aca="false">IF(IsPro,IF($D2682="","",IFERROR(INDEX(Items!$F$5:$F$504,U2682),0)),"")</f>
        <v/>
      </c>
      <c r="N2682" s="61" t="str">
        <f aca="false">IF(IsPro,IF($D2682="","",IF(AND(V2682&lt;&gt;"",INDEX(Parties!$E$5:$E$304,V2682)&lt;&gt;"",INDEX(Parties!$E$5:$E$304,V2682)&lt;&gt;HomeState),0,ROUND(L2682*M2682/2,2))),"")</f>
        <v/>
      </c>
      <c r="O2682" s="61" t="str">
        <f aca="false">IF(IsPro,IF($D2682="","",N2682),"")</f>
        <v/>
      </c>
      <c r="P2682" s="61" t="str">
        <f aca="false">IF(IsPro,IF($D2682="","",IF(AND(V2682&lt;&gt;"",INDEX(Parties!$E$5:$E$304,V2682)&lt;&gt;"",INDEX(Parties!$E$5:$E$304,V2682)&lt;&gt;HomeState),ROUND(L2682*M2682,2),0)),"")</f>
        <v/>
      </c>
      <c r="Q2682" s="61" t="str">
        <f aca="false">IF(IsPro,IF($D2682="","",L2682+N2682+O2682+P2682),"")</f>
        <v/>
      </c>
      <c r="R2682" s="61" t="str">
        <f aca="false">IF(IsPro,IF($D2682="","",ROUND(N($E2682)*IFERROR(INDEX(Items!$P$5:$P$504,U2682),0),2)),"")</f>
        <v/>
      </c>
      <c r="S2682" s="61" t="str">
        <f aca="false">IF(IsPro,IF($D2682="","",L2682-R2682),"")</f>
        <v/>
      </c>
      <c r="T2682" s="60" t="str">
        <f aca="false">IF(IsPro,IF($D2682="","",IF(U2682="","UNKNOWN ITEM",IF(INDEX(Items!$O$5:$O$504,U2682)&lt;0,"NEG STOCK",IF(K2682&lt;INDEX(Items!$P$5:$P$504,U2682),"BELOW COST","OK")))),IF($D2682="","","PRO PLAN"))</f>
        <v/>
      </c>
      <c r="U2682" s="60" t="str">
        <f aca="false">IF(IsPro,IF($D2682="","",IFERROR(MATCH($D2682,Items!$A$5:$A$504,0),"")),"")</f>
        <v/>
      </c>
      <c r="V2682" s="60" t="str">
        <f aca="false">IF(IsPro,IF($C2682="","",IFERROR(MATCH($C2682,Parties!$A$5:$A$304,0),"")),"")</f>
        <v/>
      </c>
      <c r="W2682" s="60" t="str">
        <f aca="false">IF(IsPro,IF($B2682="","",IFERROR(VALUE(SUBSTITUTE($B2682,InvPrefix,"")),0)),"")</f>
        <v/>
      </c>
      <c r="X2682" s="61" t="str">
        <f aca="false">IF(IsPro,IF($D2682="","",IF(OR($H2682="",$H2682="Credit"),0,Q2682)),"")</f>
        <v/>
      </c>
    </row>
    <row r="2683" customFormat="false" ht="15" hidden="false" customHeight="false" outlineLevel="0" collapsed="false">
      <c r="A2683" s="55"/>
      <c r="B2683" s="56"/>
      <c r="C2683" s="56"/>
      <c r="D2683" s="56"/>
      <c r="E2683" s="57"/>
      <c r="F2683" s="58"/>
      <c r="G2683" s="59"/>
      <c r="H2683" s="56"/>
      <c r="I2683" s="56"/>
      <c r="J2683" s="60" t="str">
        <f aca="false">IF(IsPro,IF($D2683="","",IFERROR(INDEX(Items!$D$5:$D$504,U2683),"")),"")</f>
        <v/>
      </c>
      <c r="K2683" s="61" t="str">
        <f aca="false">IF(IsPro,IF($D2683="","",IF($F2683="",IFERROR(INDEX(Items!$H$5:$H$504,U2683),0),$F2683)),"")</f>
        <v/>
      </c>
      <c r="L2683" s="61" t="str">
        <f aca="false">IF(IsPro,IF($D2683="","",ROUND(N($E2683)*K2683*(1-N($G2683)),2)),"")</f>
        <v/>
      </c>
      <c r="M2683" s="62" t="str">
        <f aca="false">IF(IsPro,IF($D2683="","",IFERROR(INDEX(Items!$F$5:$F$504,U2683),0)),"")</f>
        <v/>
      </c>
      <c r="N2683" s="61" t="str">
        <f aca="false">IF(IsPro,IF($D2683="","",IF(AND(V2683&lt;&gt;"",INDEX(Parties!$E$5:$E$304,V2683)&lt;&gt;"",INDEX(Parties!$E$5:$E$304,V2683)&lt;&gt;HomeState),0,ROUND(L2683*M2683/2,2))),"")</f>
        <v/>
      </c>
      <c r="O2683" s="61" t="str">
        <f aca="false">IF(IsPro,IF($D2683="","",N2683),"")</f>
        <v/>
      </c>
      <c r="P2683" s="61" t="str">
        <f aca="false">IF(IsPro,IF($D2683="","",IF(AND(V2683&lt;&gt;"",INDEX(Parties!$E$5:$E$304,V2683)&lt;&gt;"",INDEX(Parties!$E$5:$E$304,V2683)&lt;&gt;HomeState),ROUND(L2683*M2683,2),0)),"")</f>
        <v/>
      </c>
      <c r="Q2683" s="61" t="str">
        <f aca="false">IF(IsPro,IF($D2683="","",L2683+N2683+O2683+P2683),"")</f>
        <v/>
      </c>
      <c r="R2683" s="61" t="str">
        <f aca="false">IF(IsPro,IF($D2683="","",ROUND(N($E2683)*IFERROR(INDEX(Items!$P$5:$P$504,U2683),0),2)),"")</f>
        <v/>
      </c>
      <c r="S2683" s="61" t="str">
        <f aca="false">IF(IsPro,IF($D2683="","",L2683-R2683),"")</f>
        <v/>
      </c>
      <c r="T2683" s="60" t="str">
        <f aca="false">IF(IsPro,IF($D2683="","",IF(U2683="","UNKNOWN ITEM",IF(INDEX(Items!$O$5:$O$504,U2683)&lt;0,"NEG STOCK",IF(K2683&lt;INDEX(Items!$P$5:$P$504,U2683),"BELOW COST","OK")))),IF($D2683="","","PRO PLAN"))</f>
        <v/>
      </c>
      <c r="U2683" s="60" t="str">
        <f aca="false">IF(IsPro,IF($D2683="","",IFERROR(MATCH($D2683,Items!$A$5:$A$504,0),"")),"")</f>
        <v/>
      </c>
      <c r="V2683" s="60" t="str">
        <f aca="false">IF(IsPro,IF($C2683="","",IFERROR(MATCH($C2683,Parties!$A$5:$A$304,0),"")),"")</f>
        <v/>
      </c>
      <c r="W2683" s="60" t="str">
        <f aca="false">IF(IsPro,IF($B2683="","",IFERROR(VALUE(SUBSTITUTE($B2683,InvPrefix,"")),0)),"")</f>
        <v/>
      </c>
      <c r="X2683" s="61" t="str">
        <f aca="false">IF(IsPro,IF($D2683="","",IF(OR($H2683="",$H2683="Credit"),0,Q2683)),"")</f>
        <v/>
      </c>
    </row>
    <row r="2684" customFormat="false" ht="15" hidden="false" customHeight="false" outlineLevel="0" collapsed="false">
      <c r="A2684" s="55"/>
      <c r="B2684" s="56"/>
      <c r="C2684" s="56"/>
      <c r="D2684" s="56"/>
      <c r="E2684" s="57"/>
      <c r="F2684" s="58"/>
      <c r="G2684" s="59"/>
      <c r="H2684" s="56"/>
      <c r="I2684" s="56"/>
      <c r="J2684" s="60" t="str">
        <f aca="false">IF(IsPro,IF($D2684="","",IFERROR(INDEX(Items!$D$5:$D$504,U2684),"")),"")</f>
        <v/>
      </c>
      <c r="K2684" s="61" t="str">
        <f aca="false">IF(IsPro,IF($D2684="","",IF($F2684="",IFERROR(INDEX(Items!$H$5:$H$504,U2684),0),$F2684)),"")</f>
        <v/>
      </c>
      <c r="L2684" s="61" t="str">
        <f aca="false">IF(IsPro,IF($D2684="","",ROUND(N($E2684)*K2684*(1-N($G2684)),2)),"")</f>
        <v/>
      </c>
      <c r="M2684" s="62" t="str">
        <f aca="false">IF(IsPro,IF($D2684="","",IFERROR(INDEX(Items!$F$5:$F$504,U2684),0)),"")</f>
        <v/>
      </c>
      <c r="N2684" s="61" t="str">
        <f aca="false">IF(IsPro,IF($D2684="","",IF(AND(V2684&lt;&gt;"",INDEX(Parties!$E$5:$E$304,V2684)&lt;&gt;"",INDEX(Parties!$E$5:$E$304,V2684)&lt;&gt;HomeState),0,ROUND(L2684*M2684/2,2))),"")</f>
        <v/>
      </c>
      <c r="O2684" s="61" t="str">
        <f aca="false">IF(IsPro,IF($D2684="","",N2684),"")</f>
        <v/>
      </c>
      <c r="P2684" s="61" t="str">
        <f aca="false">IF(IsPro,IF($D2684="","",IF(AND(V2684&lt;&gt;"",INDEX(Parties!$E$5:$E$304,V2684)&lt;&gt;"",INDEX(Parties!$E$5:$E$304,V2684)&lt;&gt;HomeState),ROUND(L2684*M2684,2),0)),"")</f>
        <v/>
      </c>
      <c r="Q2684" s="61" t="str">
        <f aca="false">IF(IsPro,IF($D2684="","",L2684+N2684+O2684+P2684),"")</f>
        <v/>
      </c>
      <c r="R2684" s="61" t="str">
        <f aca="false">IF(IsPro,IF($D2684="","",ROUND(N($E2684)*IFERROR(INDEX(Items!$P$5:$P$504,U2684),0),2)),"")</f>
        <v/>
      </c>
      <c r="S2684" s="61" t="str">
        <f aca="false">IF(IsPro,IF($D2684="","",L2684-R2684),"")</f>
        <v/>
      </c>
      <c r="T2684" s="60" t="str">
        <f aca="false">IF(IsPro,IF($D2684="","",IF(U2684="","UNKNOWN ITEM",IF(INDEX(Items!$O$5:$O$504,U2684)&lt;0,"NEG STOCK",IF(K2684&lt;INDEX(Items!$P$5:$P$504,U2684),"BELOW COST","OK")))),IF($D2684="","","PRO PLAN"))</f>
        <v/>
      </c>
      <c r="U2684" s="60" t="str">
        <f aca="false">IF(IsPro,IF($D2684="","",IFERROR(MATCH($D2684,Items!$A$5:$A$504,0),"")),"")</f>
        <v/>
      </c>
      <c r="V2684" s="60" t="str">
        <f aca="false">IF(IsPro,IF($C2684="","",IFERROR(MATCH($C2684,Parties!$A$5:$A$304,0),"")),"")</f>
        <v/>
      </c>
      <c r="W2684" s="60" t="str">
        <f aca="false">IF(IsPro,IF($B2684="","",IFERROR(VALUE(SUBSTITUTE($B2684,InvPrefix,"")),0)),"")</f>
        <v/>
      </c>
      <c r="X2684" s="61" t="str">
        <f aca="false">IF(IsPro,IF($D2684="","",IF(OR($H2684="",$H2684="Credit"),0,Q2684)),"")</f>
        <v/>
      </c>
    </row>
    <row r="2685" customFormat="false" ht="15" hidden="false" customHeight="false" outlineLevel="0" collapsed="false">
      <c r="A2685" s="55"/>
      <c r="B2685" s="56"/>
      <c r="C2685" s="56"/>
      <c r="D2685" s="56"/>
      <c r="E2685" s="57"/>
      <c r="F2685" s="58"/>
      <c r="G2685" s="59"/>
      <c r="H2685" s="56"/>
      <c r="I2685" s="56"/>
      <c r="J2685" s="60" t="str">
        <f aca="false">IF(IsPro,IF($D2685="","",IFERROR(INDEX(Items!$D$5:$D$504,U2685),"")),"")</f>
        <v/>
      </c>
      <c r="K2685" s="61" t="str">
        <f aca="false">IF(IsPro,IF($D2685="","",IF($F2685="",IFERROR(INDEX(Items!$H$5:$H$504,U2685),0),$F2685)),"")</f>
        <v/>
      </c>
      <c r="L2685" s="61" t="str">
        <f aca="false">IF(IsPro,IF($D2685="","",ROUND(N($E2685)*K2685*(1-N($G2685)),2)),"")</f>
        <v/>
      </c>
      <c r="M2685" s="62" t="str">
        <f aca="false">IF(IsPro,IF($D2685="","",IFERROR(INDEX(Items!$F$5:$F$504,U2685),0)),"")</f>
        <v/>
      </c>
      <c r="N2685" s="61" t="str">
        <f aca="false">IF(IsPro,IF($D2685="","",IF(AND(V2685&lt;&gt;"",INDEX(Parties!$E$5:$E$304,V2685)&lt;&gt;"",INDEX(Parties!$E$5:$E$304,V2685)&lt;&gt;HomeState),0,ROUND(L2685*M2685/2,2))),"")</f>
        <v/>
      </c>
      <c r="O2685" s="61" t="str">
        <f aca="false">IF(IsPro,IF($D2685="","",N2685),"")</f>
        <v/>
      </c>
      <c r="P2685" s="61" t="str">
        <f aca="false">IF(IsPro,IF($D2685="","",IF(AND(V2685&lt;&gt;"",INDEX(Parties!$E$5:$E$304,V2685)&lt;&gt;"",INDEX(Parties!$E$5:$E$304,V2685)&lt;&gt;HomeState),ROUND(L2685*M2685,2),0)),"")</f>
        <v/>
      </c>
      <c r="Q2685" s="61" t="str">
        <f aca="false">IF(IsPro,IF($D2685="","",L2685+N2685+O2685+P2685),"")</f>
        <v/>
      </c>
      <c r="R2685" s="61" t="str">
        <f aca="false">IF(IsPro,IF($D2685="","",ROUND(N($E2685)*IFERROR(INDEX(Items!$P$5:$P$504,U2685),0),2)),"")</f>
        <v/>
      </c>
      <c r="S2685" s="61" t="str">
        <f aca="false">IF(IsPro,IF($D2685="","",L2685-R2685),"")</f>
        <v/>
      </c>
      <c r="T2685" s="60" t="str">
        <f aca="false">IF(IsPro,IF($D2685="","",IF(U2685="","UNKNOWN ITEM",IF(INDEX(Items!$O$5:$O$504,U2685)&lt;0,"NEG STOCK",IF(K2685&lt;INDEX(Items!$P$5:$P$504,U2685),"BELOW COST","OK")))),IF($D2685="","","PRO PLAN"))</f>
        <v/>
      </c>
      <c r="U2685" s="60" t="str">
        <f aca="false">IF(IsPro,IF($D2685="","",IFERROR(MATCH($D2685,Items!$A$5:$A$504,0),"")),"")</f>
        <v/>
      </c>
      <c r="V2685" s="60" t="str">
        <f aca="false">IF(IsPro,IF($C2685="","",IFERROR(MATCH($C2685,Parties!$A$5:$A$304,0),"")),"")</f>
        <v/>
      </c>
      <c r="W2685" s="60" t="str">
        <f aca="false">IF(IsPro,IF($B2685="","",IFERROR(VALUE(SUBSTITUTE($B2685,InvPrefix,"")),0)),"")</f>
        <v/>
      </c>
      <c r="X2685" s="61" t="str">
        <f aca="false">IF(IsPro,IF($D2685="","",IF(OR($H2685="",$H2685="Credit"),0,Q2685)),"")</f>
        <v/>
      </c>
    </row>
    <row r="2686" customFormat="false" ht="15" hidden="false" customHeight="false" outlineLevel="0" collapsed="false">
      <c r="A2686" s="55"/>
      <c r="B2686" s="56"/>
      <c r="C2686" s="56"/>
      <c r="D2686" s="56"/>
      <c r="E2686" s="57"/>
      <c r="F2686" s="58"/>
      <c r="G2686" s="59"/>
      <c r="H2686" s="56"/>
      <c r="I2686" s="56"/>
      <c r="J2686" s="60" t="str">
        <f aca="false">IF(IsPro,IF($D2686="","",IFERROR(INDEX(Items!$D$5:$D$504,U2686),"")),"")</f>
        <v/>
      </c>
      <c r="K2686" s="61" t="str">
        <f aca="false">IF(IsPro,IF($D2686="","",IF($F2686="",IFERROR(INDEX(Items!$H$5:$H$504,U2686),0),$F2686)),"")</f>
        <v/>
      </c>
      <c r="L2686" s="61" t="str">
        <f aca="false">IF(IsPro,IF($D2686="","",ROUND(N($E2686)*K2686*(1-N($G2686)),2)),"")</f>
        <v/>
      </c>
      <c r="M2686" s="62" t="str">
        <f aca="false">IF(IsPro,IF($D2686="","",IFERROR(INDEX(Items!$F$5:$F$504,U2686),0)),"")</f>
        <v/>
      </c>
      <c r="N2686" s="61" t="str">
        <f aca="false">IF(IsPro,IF($D2686="","",IF(AND(V2686&lt;&gt;"",INDEX(Parties!$E$5:$E$304,V2686)&lt;&gt;"",INDEX(Parties!$E$5:$E$304,V2686)&lt;&gt;HomeState),0,ROUND(L2686*M2686/2,2))),"")</f>
        <v/>
      </c>
      <c r="O2686" s="61" t="str">
        <f aca="false">IF(IsPro,IF($D2686="","",N2686),"")</f>
        <v/>
      </c>
      <c r="P2686" s="61" t="str">
        <f aca="false">IF(IsPro,IF($D2686="","",IF(AND(V2686&lt;&gt;"",INDEX(Parties!$E$5:$E$304,V2686)&lt;&gt;"",INDEX(Parties!$E$5:$E$304,V2686)&lt;&gt;HomeState),ROUND(L2686*M2686,2),0)),"")</f>
        <v/>
      </c>
      <c r="Q2686" s="61" t="str">
        <f aca="false">IF(IsPro,IF($D2686="","",L2686+N2686+O2686+P2686),"")</f>
        <v/>
      </c>
      <c r="R2686" s="61" t="str">
        <f aca="false">IF(IsPro,IF($D2686="","",ROUND(N($E2686)*IFERROR(INDEX(Items!$P$5:$P$504,U2686),0),2)),"")</f>
        <v/>
      </c>
      <c r="S2686" s="61" t="str">
        <f aca="false">IF(IsPro,IF($D2686="","",L2686-R2686),"")</f>
        <v/>
      </c>
      <c r="T2686" s="60" t="str">
        <f aca="false">IF(IsPro,IF($D2686="","",IF(U2686="","UNKNOWN ITEM",IF(INDEX(Items!$O$5:$O$504,U2686)&lt;0,"NEG STOCK",IF(K2686&lt;INDEX(Items!$P$5:$P$504,U2686),"BELOW COST","OK")))),IF($D2686="","","PRO PLAN"))</f>
        <v/>
      </c>
      <c r="U2686" s="60" t="str">
        <f aca="false">IF(IsPro,IF($D2686="","",IFERROR(MATCH($D2686,Items!$A$5:$A$504,0),"")),"")</f>
        <v/>
      </c>
      <c r="V2686" s="60" t="str">
        <f aca="false">IF(IsPro,IF($C2686="","",IFERROR(MATCH($C2686,Parties!$A$5:$A$304,0),"")),"")</f>
        <v/>
      </c>
      <c r="W2686" s="60" t="str">
        <f aca="false">IF(IsPro,IF($B2686="","",IFERROR(VALUE(SUBSTITUTE($B2686,InvPrefix,"")),0)),"")</f>
        <v/>
      </c>
      <c r="X2686" s="61" t="str">
        <f aca="false">IF(IsPro,IF($D2686="","",IF(OR($H2686="",$H2686="Credit"),0,Q2686)),"")</f>
        <v/>
      </c>
    </row>
    <row r="2687" customFormat="false" ht="15" hidden="false" customHeight="false" outlineLevel="0" collapsed="false">
      <c r="A2687" s="55"/>
      <c r="B2687" s="56"/>
      <c r="C2687" s="56"/>
      <c r="D2687" s="56"/>
      <c r="E2687" s="57"/>
      <c r="F2687" s="58"/>
      <c r="G2687" s="59"/>
      <c r="H2687" s="56"/>
      <c r="I2687" s="56"/>
      <c r="J2687" s="60" t="str">
        <f aca="false">IF(IsPro,IF($D2687="","",IFERROR(INDEX(Items!$D$5:$D$504,U2687),"")),"")</f>
        <v/>
      </c>
      <c r="K2687" s="61" t="str">
        <f aca="false">IF(IsPro,IF($D2687="","",IF($F2687="",IFERROR(INDEX(Items!$H$5:$H$504,U2687),0),$F2687)),"")</f>
        <v/>
      </c>
      <c r="L2687" s="61" t="str">
        <f aca="false">IF(IsPro,IF($D2687="","",ROUND(N($E2687)*K2687*(1-N($G2687)),2)),"")</f>
        <v/>
      </c>
      <c r="M2687" s="62" t="str">
        <f aca="false">IF(IsPro,IF($D2687="","",IFERROR(INDEX(Items!$F$5:$F$504,U2687),0)),"")</f>
        <v/>
      </c>
      <c r="N2687" s="61" t="str">
        <f aca="false">IF(IsPro,IF($D2687="","",IF(AND(V2687&lt;&gt;"",INDEX(Parties!$E$5:$E$304,V2687)&lt;&gt;"",INDEX(Parties!$E$5:$E$304,V2687)&lt;&gt;HomeState),0,ROUND(L2687*M2687/2,2))),"")</f>
        <v/>
      </c>
      <c r="O2687" s="61" t="str">
        <f aca="false">IF(IsPro,IF($D2687="","",N2687),"")</f>
        <v/>
      </c>
      <c r="P2687" s="61" t="str">
        <f aca="false">IF(IsPro,IF($D2687="","",IF(AND(V2687&lt;&gt;"",INDEX(Parties!$E$5:$E$304,V2687)&lt;&gt;"",INDEX(Parties!$E$5:$E$304,V2687)&lt;&gt;HomeState),ROUND(L2687*M2687,2),0)),"")</f>
        <v/>
      </c>
      <c r="Q2687" s="61" t="str">
        <f aca="false">IF(IsPro,IF($D2687="","",L2687+N2687+O2687+P2687),"")</f>
        <v/>
      </c>
      <c r="R2687" s="61" t="str">
        <f aca="false">IF(IsPro,IF($D2687="","",ROUND(N($E2687)*IFERROR(INDEX(Items!$P$5:$P$504,U2687),0),2)),"")</f>
        <v/>
      </c>
      <c r="S2687" s="61" t="str">
        <f aca="false">IF(IsPro,IF($D2687="","",L2687-R2687),"")</f>
        <v/>
      </c>
      <c r="T2687" s="60" t="str">
        <f aca="false">IF(IsPro,IF($D2687="","",IF(U2687="","UNKNOWN ITEM",IF(INDEX(Items!$O$5:$O$504,U2687)&lt;0,"NEG STOCK",IF(K2687&lt;INDEX(Items!$P$5:$P$504,U2687),"BELOW COST","OK")))),IF($D2687="","","PRO PLAN"))</f>
        <v/>
      </c>
      <c r="U2687" s="60" t="str">
        <f aca="false">IF(IsPro,IF($D2687="","",IFERROR(MATCH($D2687,Items!$A$5:$A$504,0),"")),"")</f>
        <v/>
      </c>
      <c r="V2687" s="60" t="str">
        <f aca="false">IF(IsPro,IF($C2687="","",IFERROR(MATCH($C2687,Parties!$A$5:$A$304,0),"")),"")</f>
        <v/>
      </c>
      <c r="W2687" s="60" t="str">
        <f aca="false">IF(IsPro,IF($B2687="","",IFERROR(VALUE(SUBSTITUTE($B2687,InvPrefix,"")),0)),"")</f>
        <v/>
      </c>
      <c r="X2687" s="61" t="str">
        <f aca="false">IF(IsPro,IF($D2687="","",IF(OR($H2687="",$H2687="Credit"),0,Q2687)),"")</f>
        <v/>
      </c>
    </row>
    <row r="2688" customFormat="false" ht="15" hidden="false" customHeight="false" outlineLevel="0" collapsed="false">
      <c r="A2688" s="55"/>
      <c r="B2688" s="56"/>
      <c r="C2688" s="56"/>
      <c r="D2688" s="56"/>
      <c r="E2688" s="57"/>
      <c r="F2688" s="58"/>
      <c r="G2688" s="59"/>
      <c r="H2688" s="56"/>
      <c r="I2688" s="56"/>
      <c r="J2688" s="60" t="str">
        <f aca="false">IF(IsPro,IF($D2688="","",IFERROR(INDEX(Items!$D$5:$D$504,U2688),"")),"")</f>
        <v/>
      </c>
      <c r="K2688" s="61" t="str">
        <f aca="false">IF(IsPro,IF($D2688="","",IF($F2688="",IFERROR(INDEX(Items!$H$5:$H$504,U2688),0),$F2688)),"")</f>
        <v/>
      </c>
      <c r="L2688" s="61" t="str">
        <f aca="false">IF(IsPro,IF($D2688="","",ROUND(N($E2688)*K2688*(1-N($G2688)),2)),"")</f>
        <v/>
      </c>
      <c r="M2688" s="62" t="str">
        <f aca="false">IF(IsPro,IF($D2688="","",IFERROR(INDEX(Items!$F$5:$F$504,U2688),0)),"")</f>
        <v/>
      </c>
      <c r="N2688" s="61" t="str">
        <f aca="false">IF(IsPro,IF($D2688="","",IF(AND(V2688&lt;&gt;"",INDEX(Parties!$E$5:$E$304,V2688)&lt;&gt;"",INDEX(Parties!$E$5:$E$304,V2688)&lt;&gt;HomeState),0,ROUND(L2688*M2688/2,2))),"")</f>
        <v/>
      </c>
      <c r="O2688" s="61" t="str">
        <f aca="false">IF(IsPro,IF($D2688="","",N2688),"")</f>
        <v/>
      </c>
      <c r="P2688" s="61" t="str">
        <f aca="false">IF(IsPro,IF($D2688="","",IF(AND(V2688&lt;&gt;"",INDEX(Parties!$E$5:$E$304,V2688)&lt;&gt;"",INDEX(Parties!$E$5:$E$304,V2688)&lt;&gt;HomeState),ROUND(L2688*M2688,2),0)),"")</f>
        <v/>
      </c>
      <c r="Q2688" s="61" t="str">
        <f aca="false">IF(IsPro,IF($D2688="","",L2688+N2688+O2688+P2688),"")</f>
        <v/>
      </c>
      <c r="R2688" s="61" t="str">
        <f aca="false">IF(IsPro,IF($D2688="","",ROUND(N($E2688)*IFERROR(INDEX(Items!$P$5:$P$504,U2688),0),2)),"")</f>
        <v/>
      </c>
      <c r="S2688" s="61" t="str">
        <f aca="false">IF(IsPro,IF($D2688="","",L2688-R2688),"")</f>
        <v/>
      </c>
      <c r="T2688" s="60" t="str">
        <f aca="false">IF(IsPro,IF($D2688="","",IF(U2688="","UNKNOWN ITEM",IF(INDEX(Items!$O$5:$O$504,U2688)&lt;0,"NEG STOCK",IF(K2688&lt;INDEX(Items!$P$5:$P$504,U2688),"BELOW COST","OK")))),IF($D2688="","","PRO PLAN"))</f>
        <v/>
      </c>
      <c r="U2688" s="60" t="str">
        <f aca="false">IF(IsPro,IF($D2688="","",IFERROR(MATCH($D2688,Items!$A$5:$A$504,0),"")),"")</f>
        <v/>
      </c>
      <c r="V2688" s="60" t="str">
        <f aca="false">IF(IsPro,IF($C2688="","",IFERROR(MATCH($C2688,Parties!$A$5:$A$304,0),"")),"")</f>
        <v/>
      </c>
      <c r="W2688" s="60" t="str">
        <f aca="false">IF(IsPro,IF($B2688="","",IFERROR(VALUE(SUBSTITUTE($B2688,InvPrefix,"")),0)),"")</f>
        <v/>
      </c>
      <c r="X2688" s="61" t="str">
        <f aca="false">IF(IsPro,IF($D2688="","",IF(OR($H2688="",$H2688="Credit"),0,Q2688)),"")</f>
        <v/>
      </c>
    </row>
    <row r="2689" customFormat="false" ht="15" hidden="false" customHeight="false" outlineLevel="0" collapsed="false">
      <c r="A2689" s="55"/>
      <c r="B2689" s="56"/>
      <c r="C2689" s="56"/>
      <c r="D2689" s="56"/>
      <c r="E2689" s="57"/>
      <c r="F2689" s="58"/>
      <c r="G2689" s="59"/>
      <c r="H2689" s="56"/>
      <c r="I2689" s="56"/>
      <c r="J2689" s="60" t="str">
        <f aca="false">IF(IsPro,IF($D2689="","",IFERROR(INDEX(Items!$D$5:$D$504,U2689),"")),"")</f>
        <v/>
      </c>
      <c r="K2689" s="61" t="str">
        <f aca="false">IF(IsPro,IF($D2689="","",IF($F2689="",IFERROR(INDEX(Items!$H$5:$H$504,U2689),0),$F2689)),"")</f>
        <v/>
      </c>
      <c r="L2689" s="61" t="str">
        <f aca="false">IF(IsPro,IF($D2689="","",ROUND(N($E2689)*K2689*(1-N($G2689)),2)),"")</f>
        <v/>
      </c>
      <c r="M2689" s="62" t="str">
        <f aca="false">IF(IsPro,IF($D2689="","",IFERROR(INDEX(Items!$F$5:$F$504,U2689),0)),"")</f>
        <v/>
      </c>
      <c r="N2689" s="61" t="str">
        <f aca="false">IF(IsPro,IF($D2689="","",IF(AND(V2689&lt;&gt;"",INDEX(Parties!$E$5:$E$304,V2689)&lt;&gt;"",INDEX(Parties!$E$5:$E$304,V2689)&lt;&gt;HomeState),0,ROUND(L2689*M2689/2,2))),"")</f>
        <v/>
      </c>
      <c r="O2689" s="61" t="str">
        <f aca="false">IF(IsPro,IF($D2689="","",N2689),"")</f>
        <v/>
      </c>
      <c r="P2689" s="61" t="str">
        <f aca="false">IF(IsPro,IF($D2689="","",IF(AND(V2689&lt;&gt;"",INDEX(Parties!$E$5:$E$304,V2689)&lt;&gt;"",INDEX(Parties!$E$5:$E$304,V2689)&lt;&gt;HomeState),ROUND(L2689*M2689,2),0)),"")</f>
        <v/>
      </c>
      <c r="Q2689" s="61" t="str">
        <f aca="false">IF(IsPro,IF($D2689="","",L2689+N2689+O2689+P2689),"")</f>
        <v/>
      </c>
      <c r="R2689" s="61" t="str">
        <f aca="false">IF(IsPro,IF($D2689="","",ROUND(N($E2689)*IFERROR(INDEX(Items!$P$5:$P$504,U2689),0),2)),"")</f>
        <v/>
      </c>
      <c r="S2689" s="61" t="str">
        <f aca="false">IF(IsPro,IF($D2689="","",L2689-R2689),"")</f>
        <v/>
      </c>
      <c r="T2689" s="60" t="str">
        <f aca="false">IF(IsPro,IF($D2689="","",IF(U2689="","UNKNOWN ITEM",IF(INDEX(Items!$O$5:$O$504,U2689)&lt;0,"NEG STOCK",IF(K2689&lt;INDEX(Items!$P$5:$P$504,U2689),"BELOW COST","OK")))),IF($D2689="","","PRO PLAN"))</f>
        <v/>
      </c>
      <c r="U2689" s="60" t="str">
        <f aca="false">IF(IsPro,IF($D2689="","",IFERROR(MATCH($D2689,Items!$A$5:$A$504,0),"")),"")</f>
        <v/>
      </c>
      <c r="V2689" s="60" t="str">
        <f aca="false">IF(IsPro,IF($C2689="","",IFERROR(MATCH($C2689,Parties!$A$5:$A$304,0),"")),"")</f>
        <v/>
      </c>
      <c r="W2689" s="60" t="str">
        <f aca="false">IF(IsPro,IF($B2689="","",IFERROR(VALUE(SUBSTITUTE($B2689,InvPrefix,"")),0)),"")</f>
        <v/>
      </c>
      <c r="X2689" s="61" t="str">
        <f aca="false">IF(IsPro,IF($D2689="","",IF(OR($H2689="",$H2689="Credit"),0,Q2689)),"")</f>
        <v/>
      </c>
    </row>
    <row r="2690" customFormat="false" ht="15" hidden="false" customHeight="false" outlineLevel="0" collapsed="false">
      <c r="A2690" s="55"/>
      <c r="B2690" s="56"/>
      <c r="C2690" s="56"/>
      <c r="D2690" s="56"/>
      <c r="E2690" s="57"/>
      <c r="F2690" s="58"/>
      <c r="G2690" s="59"/>
      <c r="H2690" s="56"/>
      <c r="I2690" s="56"/>
      <c r="J2690" s="60" t="str">
        <f aca="false">IF(IsPro,IF($D2690="","",IFERROR(INDEX(Items!$D$5:$D$504,U2690),"")),"")</f>
        <v/>
      </c>
      <c r="K2690" s="61" t="str">
        <f aca="false">IF(IsPro,IF($D2690="","",IF($F2690="",IFERROR(INDEX(Items!$H$5:$H$504,U2690),0),$F2690)),"")</f>
        <v/>
      </c>
      <c r="L2690" s="61" t="str">
        <f aca="false">IF(IsPro,IF($D2690="","",ROUND(N($E2690)*K2690*(1-N($G2690)),2)),"")</f>
        <v/>
      </c>
      <c r="M2690" s="62" t="str">
        <f aca="false">IF(IsPro,IF($D2690="","",IFERROR(INDEX(Items!$F$5:$F$504,U2690),0)),"")</f>
        <v/>
      </c>
      <c r="N2690" s="61" t="str">
        <f aca="false">IF(IsPro,IF($D2690="","",IF(AND(V2690&lt;&gt;"",INDEX(Parties!$E$5:$E$304,V2690)&lt;&gt;"",INDEX(Parties!$E$5:$E$304,V2690)&lt;&gt;HomeState),0,ROUND(L2690*M2690/2,2))),"")</f>
        <v/>
      </c>
      <c r="O2690" s="61" t="str">
        <f aca="false">IF(IsPro,IF($D2690="","",N2690),"")</f>
        <v/>
      </c>
      <c r="P2690" s="61" t="str">
        <f aca="false">IF(IsPro,IF($D2690="","",IF(AND(V2690&lt;&gt;"",INDEX(Parties!$E$5:$E$304,V2690)&lt;&gt;"",INDEX(Parties!$E$5:$E$304,V2690)&lt;&gt;HomeState),ROUND(L2690*M2690,2),0)),"")</f>
        <v/>
      </c>
      <c r="Q2690" s="61" t="str">
        <f aca="false">IF(IsPro,IF($D2690="","",L2690+N2690+O2690+P2690),"")</f>
        <v/>
      </c>
      <c r="R2690" s="61" t="str">
        <f aca="false">IF(IsPro,IF($D2690="","",ROUND(N($E2690)*IFERROR(INDEX(Items!$P$5:$P$504,U2690),0),2)),"")</f>
        <v/>
      </c>
      <c r="S2690" s="61" t="str">
        <f aca="false">IF(IsPro,IF($D2690="","",L2690-R2690),"")</f>
        <v/>
      </c>
      <c r="T2690" s="60" t="str">
        <f aca="false">IF(IsPro,IF($D2690="","",IF(U2690="","UNKNOWN ITEM",IF(INDEX(Items!$O$5:$O$504,U2690)&lt;0,"NEG STOCK",IF(K2690&lt;INDEX(Items!$P$5:$P$504,U2690),"BELOW COST","OK")))),IF($D2690="","","PRO PLAN"))</f>
        <v/>
      </c>
      <c r="U2690" s="60" t="str">
        <f aca="false">IF(IsPro,IF($D2690="","",IFERROR(MATCH($D2690,Items!$A$5:$A$504,0),"")),"")</f>
        <v/>
      </c>
      <c r="V2690" s="60" t="str">
        <f aca="false">IF(IsPro,IF($C2690="","",IFERROR(MATCH($C2690,Parties!$A$5:$A$304,0),"")),"")</f>
        <v/>
      </c>
      <c r="W2690" s="60" t="str">
        <f aca="false">IF(IsPro,IF($B2690="","",IFERROR(VALUE(SUBSTITUTE($B2690,InvPrefix,"")),0)),"")</f>
        <v/>
      </c>
      <c r="X2690" s="61" t="str">
        <f aca="false">IF(IsPro,IF($D2690="","",IF(OR($H2690="",$H2690="Credit"),0,Q2690)),"")</f>
        <v/>
      </c>
    </row>
    <row r="2691" customFormat="false" ht="15" hidden="false" customHeight="false" outlineLevel="0" collapsed="false">
      <c r="A2691" s="55"/>
      <c r="B2691" s="56"/>
      <c r="C2691" s="56"/>
      <c r="D2691" s="56"/>
      <c r="E2691" s="57"/>
      <c r="F2691" s="58"/>
      <c r="G2691" s="59"/>
      <c r="H2691" s="56"/>
      <c r="I2691" s="56"/>
      <c r="J2691" s="60" t="str">
        <f aca="false">IF(IsPro,IF($D2691="","",IFERROR(INDEX(Items!$D$5:$D$504,U2691),"")),"")</f>
        <v/>
      </c>
      <c r="K2691" s="61" t="str">
        <f aca="false">IF(IsPro,IF($D2691="","",IF($F2691="",IFERROR(INDEX(Items!$H$5:$H$504,U2691),0),$F2691)),"")</f>
        <v/>
      </c>
      <c r="L2691" s="61" t="str">
        <f aca="false">IF(IsPro,IF($D2691="","",ROUND(N($E2691)*K2691*(1-N($G2691)),2)),"")</f>
        <v/>
      </c>
      <c r="M2691" s="62" t="str">
        <f aca="false">IF(IsPro,IF($D2691="","",IFERROR(INDEX(Items!$F$5:$F$504,U2691),0)),"")</f>
        <v/>
      </c>
      <c r="N2691" s="61" t="str">
        <f aca="false">IF(IsPro,IF($D2691="","",IF(AND(V2691&lt;&gt;"",INDEX(Parties!$E$5:$E$304,V2691)&lt;&gt;"",INDEX(Parties!$E$5:$E$304,V2691)&lt;&gt;HomeState),0,ROUND(L2691*M2691/2,2))),"")</f>
        <v/>
      </c>
      <c r="O2691" s="61" t="str">
        <f aca="false">IF(IsPro,IF($D2691="","",N2691),"")</f>
        <v/>
      </c>
      <c r="P2691" s="61" t="str">
        <f aca="false">IF(IsPro,IF($D2691="","",IF(AND(V2691&lt;&gt;"",INDEX(Parties!$E$5:$E$304,V2691)&lt;&gt;"",INDEX(Parties!$E$5:$E$304,V2691)&lt;&gt;HomeState),ROUND(L2691*M2691,2),0)),"")</f>
        <v/>
      </c>
      <c r="Q2691" s="61" t="str">
        <f aca="false">IF(IsPro,IF($D2691="","",L2691+N2691+O2691+P2691),"")</f>
        <v/>
      </c>
      <c r="R2691" s="61" t="str">
        <f aca="false">IF(IsPro,IF($D2691="","",ROUND(N($E2691)*IFERROR(INDEX(Items!$P$5:$P$504,U2691),0),2)),"")</f>
        <v/>
      </c>
      <c r="S2691" s="61" t="str">
        <f aca="false">IF(IsPro,IF($D2691="","",L2691-R2691),"")</f>
        <v/>
      </c>
      <c r="T2691" s="60" t="str">
        <f aca="false">IF(IsPro,IF($D2691="","",IF(U2691="","UNKNOWN ITEM",IF(INDEX(Items!$O$5:$O$504,U2691)&lt;0,"NEG STOCK",IF(K2691&lt;INDEX(Items!$P$5:$P$504,U2691),"BELOW COST","OK")))),IF($D2691="","","PRO PLAN"))</f>
        <v/>
      </c>
      <c r="U2691" s="60" t="str">
        <f aca="false">IF(IsPro,IF($D2691="","",IFERROR(MATCH($D2691,Items!$A$5:$A$504,0),"")),"")</f>
        <v/>
      </c>
      <c r="V2691" s="60" t="str">
        <f aca="false">IF(IsPro,IF($C2691="","",IFERROR(MATCH($C2691,Parties!$A$5:$A$304,0),"")),"")</f>
        <v/>
      </c>
      <c r="W2691" s="60" t="str">
        <f aca="false">IF(IsPro,IF($B2691="","",IFERROR(VALUE(SUBSTITUTE($B2691,InvPrefix,"")),0)),"")</f>
        <v/>
      </c>
      <c r="X2691" s="61" t="str">
        <f aca="false">IF(IsPro,IF($D2691="","",IF(OR($H2691="",$H2691="Credit"),0,Q2691)),"")</f>
        <v/>
      </c>
    </row>
    <row r="2692" customFormat="false" ht="15" hidden="false" customHeight="false" outlineLevel="0" collapsed="false">
      <c r="A2692" s="55"/>
      <c r="B2692" s="56"/>
      <c r="C2692" s="56"/>
      <c r="D2692" s="56"/>
      <c r="E2692" s="57"/>
      <c r="F2692" s="58"/>
      <c r="G2692" s="59"/>
      <c r="H2692" s="56"/>
      <c r="I2692" s="56"/>
      <c r="J2692" s="60" t="str">
        <f aca="false">IF(IsPro,IF($D2692="","",IFERROR(INDEX(Items!$D$5:$D$504,U2692),"")),"")</f>
        <v/>
      </c>
      <c r="K2692" s="61" t="str">
        <f aca="false">IF(IsPro,IF($D2692="","",IF($F2692="",IFERROR(INDEX(Items!$H$5:$H$504,U2692),0),$F2692)),"")</f>
        <v/>
      </c>
      <c r="L2692" s="61" t="str">
        <f aca="false">IF(IsPro,IF($D2692="","",ROUND(N($E2692)*K2692*(1-N($G2692)),2)),"")</f>
        <v/>
      </c>
      <c r="M2692" s="62" t="str">
        <f aca="false">IF(IsPro,IF($D2692="","",IFERROR(INDEX(Items!$F$5:$F$504,U2692),0)),"")</f>
        <v/>
      </c>
      <c r="N2692" s="61" t="str">
        <f aca="false">IF(IsPro,IF($D2692="","",IF(AND(V2692&lt;&gt;"",INDEX(Parties!$E$5:$E$304,V2692)&lt;&gt;"",INDEX(Parties!$E$5:$E$304,V2692)&lt;&gt;HomeState),0,ROUND(L2692*M2692/2,2))),"")</f>
        <v/>
      </c>
      <c r="O2692" s="61" t="str">
        <f aca="false">IF(IsPro,IF($D2692="","",N2692),"")</f>
        <v/>
      </c>
      <c r="P2692" s="61" t="str">
        <f aca="false">IF(IsPro,IF($D2692="","",IF(AND(V2692&lt;&gt;"",INDEX(Parties!$E$5:$E$304,V2692)&lt;&gt;"",INDEX(Parties!$E$5:$E$304,V2692)&lt;&gt;HomeState),ROUND(L2692*M2692,2),0)),"")</f>
        <v/>
      </c>
      <c r="Q2692" s="61" t="str">
        <f aca="false">IF(IsPro,IF($D2692="","",L2692+N2692+O2692+P2692),"")</f>
        <v/>
      </c>
      <c r="R2692" s="61" t="str">
        <f aca="false">IF(IsPro,IF($D2692="","",ROUND(N($E2692)*IFERROR(INDEX(Items!$P$5:$P$504,U2692),0),2)),"")</f>
        <v/>
      </c>
      <c r="S2692" s="61" t="str">
        <f aca="false">IF(IsPro,IF($D2692="","",L2692-R2692),"")</f>
        <v/>
      </c>
      <c r="T2692" s="60" t="str">
        <f aca="false">IF(IsPro,IF($D2692="","",IF(U2692="","UNKNOWN ITEM",IF(INDEX(Items!$O$5:$O$504,U2692)&lt;0,"NEG STOCK",IF(K2692&lt;INDEX(Items!$P$5:$P$504,U2692),"BELOW COST","OK")))),IF($D2692="","","PRO PLAN"))</f>
        <v/>
      </c>
      <c r="U2692" s="60" t="str">
        <f aca="false">IF(IsPro,IF($D2692="","",IFERROR(MATCH($D2692,Items!$A$5:$A$504,0),"")),"")</f>
        <v/>
      </c>
      <c r="V2692" s="60" t="str">
        <f aca="false">IF(IsPro,IF($C2692="","",IFERROR(MATCH($C2692,Parties!$A$5:$A$304,0),"")),"")</f>
        <v/>
      </c>
      <c r="W2692" s="60" t="str">
        <f aca="false">IF(IsPro,IF($B2692="","",IFERROR(VALUE(SUBSTITUTE($B2692,InvPrefix,"")),0)),"")</f>
        <v/>
      </c>
      <c r="X2692" s="61" t="str">
        <f aca="false">IF(IsPro,IF($D2692="","",IF(OR($H2692="",$H2692="Credit"),0,Q2692)),"")</f>
        <v/>
      </c>
    </row>
    <row r="2693" customFormat="false" ht="15" hidden="false" customHeight="false" outlineLevel="0" collapsed="false">
      <c r="A2693" s="55"/>
      <c r="B2693" s="56"/>
      <c r="C2693" s="56"/>
      <c r="D2693" s="56"/>
      <c r="E2693" s="57"/>
      <c r="F2693" s="58"/>
      <c r="G2693" s="59"/>
      <c r="H2693" s="56"/>
      <c r="I2693" s="56"/>
      <c r="J2693" s="60" t="str">
        <f aca="false">IF(IsPro,IF($D2693="","",IFERROR(INDEX(Items!$D$5:$D$504,U2693),"")),"")</f>
        <v/>
      </c>
      <c r="K2693" s="61" t="str">
        <f aca="false">IF(IsPro,IF($D2693="","",IF($F2693="",IFERROR(INDEX(Items!$H$5:$H$504,U2693),0),$F2693)),"")</f>
        <v/>
      </c>
      <c r="L2693" s="61" t="str">
        <f aca="false">IF(IsPro,IF($D2693="","",ROUND(N($E2693)*K2693*(1-N($G2693)),2)),"")</f>
        <v/>
      </c>
      <c r="M2693" s="62" t="str">
        <f aca="false">IF(IsPro,IF($D2693="","",IFERROR(INDEX(Items!$F$5:$F$504,U2693),0)),"")</f>
        <v/>
      </c>
      <c r="N2693" s="61" t="str">
        <f aca="false">IF(IsPro,IF($D2693="","",IF(AND(V2693&lt;&gt;"",INDEX(Parties!$E$5:$E$304,V2693)&lt;&gt;"",INDEX(Parties!$E$5:$E$304,V2693)&lt;&gt;HomeState),0,ROUND(L2693*M2693/2,2))),"")</f>
        <v/>
      </c>
      <c r="O2693" s="61" t="str">
        <f aca="false">IF(IsPro,IF($D2693="","",N2693),"")</f>
        <v/>
      </c>
      <c r="P2693" s="61" t="str">
        <f aca="false">IF(IsPro,IF($D2693="","",IF(AND(V2693&lt;&gt;"",INDEX(Parties!$E$5:$E$304,V2693)&lt;&gt;"",INDEX(Parties!$E$5:$E$304,V2693)&lt;&gt;HomeState),ROUND(L2693*M2693,2),0)),"")</f>
        <v/>
      </c>
      <c r="Q2693" s="61" t="str">
        <f aca="false">IF(IsPro,IF($D2693="","",L2693+N2693+O2693+P2693),"")</f>
        <v/>
      </c>
      <c r="R2693" s="61" t="str">
        <f aca="false">IF(IsPro,IF($D2693="","",ROUND(N($E2693)*IFERROR(INDEX(Items!$P$5:$P$504,U2693),0),2)),"")</f>
        <v/>
      </c>
      <c r="S2693" s="61" t="str">
        <f aca="false">IF(IsPro,IF($D2693="","",L2693-R2693),"")</f>
        <v/>
      </c>
      <c r="T2693" s="60" t="str">
        <f aca="false">IF(IsPro,IF($D2693="","",IF(U2693="","UNKNOWN ITEM",IF(INDEX(Items!$O$5:$O$504,U2693)&lt;0,"NEG STOCK",IF(K2693&lt;INDEX(Items!$P$5:$P$504,U2693),"BELOW COST","OK")))),IF($D2693="","","PRO PLAN"))</f>
        <v/>
      </c>
      <c r="U2693" s="60" t="str">
        <f aca="false">IF(IsPro,IF($D2693="","",IFERROR(MATCH($D2693,Items!$A$5:$A$504,0),"")),"")</f>
        <v/>
      </c>
      <c r="V2693" s="60" t="str">
        <f aca="false">IF(IsPro,IF($C2693="","",IFERROR(MATCH($C2693,Parties!$A$5:$A$304,0),"")),"")</f>
        <v/>
      </c>
      <c r="W2693" s="60" t="str">
        <f aca="false">IF(IsPro,IF($B2693="","",IFERROR(VALUE(SUBSTITUTE($B2693,InvPrefix,"")),0)),"")</f>
        <v/>
      </c>
      <c r="X2693" s="61" t="str">
        <f aca="false">IF(IsPro,IF($D2693="","",IF(OR($H2693="",$H2693="Credit"),0,Q2693)),"")</f>
        <v/>
      </c>
    </row>
    <row r="2694" customFormat="false" ht="15" hidden="false" customHeight="false" outlineLevel="0" collapsed="false">
      <c r="A2694" s="55"/>
      <c r="B2694" s="56"/>
      <c r="C2694" s="56"/>
      <c r="D2694" s="56"/>
      <c r="E2694" s="57"/>
      <c r="F2694" s="58"/>
      <c r="G2694" s="59"/>
      <c r="H2694" s="56"/>
      <c r="I2694" s="56"/>
      <c r="J2694" s="60" t="str">
        <f aca="false">IF(IsPro,IF($D2694="","",IFERROR(INDEX(Items!$D$5:$D$504,U2694),"")),"")</f>
        <v/>
      </c>
      <c r="K2694" s="61" t="str">
        <f aca="false">IF(IsPro,IF($D2694="","",IF($F2694="",IFERROR(INDEX(Items!$H$5:$H$504,U2694),0),$F2694)),"")</f>
        <v/>
      </c>
      <c r="L2694" s="61" t="str">
        <f aca="false">IF(IsPro,IF($D2694="","",ROUND(N($E2694)*K2694*(1-N($G2694)),2)),"")</f>
        <v/>
      </c>
      <c r="M2694" s="62" t="str">
        <f aca="false">IF(IsPro,IF($D2694="","",IFERROR(INDEX(Items!$F$5:$F$504,U2694),0)),"")</f>
        <v/>
      </c>
      <c r="N2694" s="61" t="str">
        <f aca="false">IF(IsPro,IF($D2694="","",IF(AND(V2694&lt;&gt;"",INDEX(Parties!$E$5:$E$304,V2694)&lt;&gt;"",INDEX(Parties!$E$5:$E$304,V2694)&lt;&gt;HomeState),0,ROUND(L2694*M2694/2,2))),"")</f>
        <v/>
      </c>
      <c r="O2694" s="61" t="str">
        <f aca="false">IF(IsPro,IF($D2694="","",N2694),"")</f>
        <v/>
      </c>
      <c r="P2694" s="61" t="str">
        <f aca="false">IF(IsPro,IF($D2694="","",IF(AND(V2694&lt;&gt;"",INDEX(Parties!$E$5:$E$304,V2694)&lt;&gt;"",INDEX(Parties!$E$5:$E$304,V2694)&lt;&gt;HomeState),ROUND(L2694*M2694,2),0)),"")</f>
        <v/>
      </c>
      <c r="Q2694" s="61" t="str">
        <f aca="false">IF(IsPro,IF($D2694="","",L2694+N2694+O2694+P2694),"")</f>
        <v/>
      </c>
      <c r="R2694" s="61" t="str">
        <f aca="false">IF(IsPro,IF($D2694="","",ROUND(N($E2694)*IFERROR(INDEX(Items!$P$5:$P$504,U2694),0),2)),"")</f>
        <v/>
      </c>
      <c r="S2694" s="61" t="str">
        <f aca="false">IF(IsPro,IF($D2694="","",L2694-R2694),"")</f>
        <v/>
      </c>
      <c r="T2694" s="60" t="str">
        <f aca="false">IF(IsPro,IF($D2694="","",IF(U2694="","UNKNOWN ITEM",IF(INDEX(Items!$O$5:$O$504,U2694)&lt;0,"NEG STOCK",IF(K2694&lt;INDEX(Items!$P$5:$P$504,U2694),"BELOW COST","OK")))),IF($D2694="","","PRO PLAN"))</f>
        <v/>
      </c>
      <c r="U2694" s="60" t="str">
        <f aca="false">IF(IsPro,IF($D2694="","",IFERROR(MATCH($D2694,Items!$A$5:$A$504,0),"")),"")</f>
        <v/>
      </c>
      <c r="V2694" s="60" t="str">
        <f aca="false">IF(IsPro,IF($C2694="","",IFERROR(MATCH($C2694,Parties!$A$5:$A$304,0),"")),"")</f>
        <v/>
      </c>
      <c r="W2694" s="60" t="str">
        <f aca="false">IF(IsPro,IF($B2694="","",IFERROR(VALUE(SUBSTITUTE($B2694,InvPrefix,"")),0)),"")</f>
        <v/>
      </c>
      <c r="X2694" s="61" t="str">
        <f aca="false">IF(IsPro,IF($D2694="","",IF(OR($H2694="",$H2694="Credit"),0,Q2694)),"")</f>
        <v/>
      </c>
    </row>
    <row r="2695" customFormat="false" ht="15" hidden="false" customHeight="false" outlineLevel="0" collapsed="false">
      <c r="A2695" s="55"/>
      <c r="B2695" s="56"/>
      <c r="C2695" s="56"/>
      <c r="D2695" s="56"/>
      <c r="E2695" s="57"/>
      <c r="F2695" s="58"/>
      <c r="G2695" s="59"/>
      <c r="H2695" s="56"/>
      <c r="I2695" s="56"/>
      <c r="J2695" s="60" t="str">
        <f aca="false">IF(IsPro,IF($D2695="","",IFERROR(INDEX(Items!$D$5:$D$504,U2695),"")),"")</f>
        <v/>
      </c>
      <c r="K2695" s="61" t="str">
        <f aca="false">IF(IsPro,IF($D2695="","",IF($F2695="",IFERROR(INDEX(Items!$H$5:$H$504,U2695),0),$F2695)),"")</f>
        <v/>
      </c>
      <c r="L2695" s="61" t="str">
        <f aca="false">IF(IsPro,IF($D2695="","",ROUND(N($E2695)*K2695*(1-N($G2695)),2)),"")</f>
        <v/>
      </c>
      <c r="M2695" s="62" t="str">
        <f aca="false">IF(IsPro,IF($D2695="","",IFERROR(INDEX(Items!$F$5:$F$504,U2695),0)),"")</f>
        <v/>
      </c>
      <c r="N2695" s="61" t="str">
        <f aca="false">IF(IsPro,IF($D2695="","",IF(AND(V2695&lt;&gt;"",INDEX(Parties!$E$5:$E$304,V2695)&lt;&gt;"",INDEX(Parties!$E$5:$E$304,V2695)&lt;&gt;HomeState),0,ROUND(L2695*M2695/2,2))),"")</f>
        <v/>
      </c>
      <c r="O2695" s="61" t="str">
        <f aca="false">IF(IsPro,IF($D2695="","",N2695),"")</f>
        <v/>
      </c>
      <c r="P2695" s="61" t="str">
        <f aca="false">IF(IsPro,IF($D2695="","",IF(AND(V2695&lt;&gt;"",INDEX(Parties!$E$5:$E$304,V2695)&lt;&gt;"",INDEX(Parties!$E$5:$E$304,V2695)&lt;&gt;HomeState),ROUND(L2695*M2695,2),0)),"")</f>
        <v/>
      </c>
      <c r="Q2695" s="61" t="str">
        <f aca="false">IF(IsPro,IF($D2695="","",L2695+N2695+O2695+P2695),"")</f>
        <v/>
      </c>
      <c r="R2695" s="61" t="str">
        <f aca="false">IF(IsPro,IF($D2695="","",ROUND(N($E2695)*IFERROR(INDEX(Items!$P$5:$P$504,U2695),0),2)),"")</f>
        <v/>
      </c>
      <c r="S2695" s="61" t="str">
        <f aca="false">IF(IsPro,IF($D2695="","",L2695-R2695),"")</f>
        <v/>
      </c>
      <c r="T2695" s="60" t="str">
        <f aca="false">IF(IsPro,IF($D2695="","",IF(U2695="","UNKNOWN ITEM",IF(INDEX(Items!$O$5:$O$504,U2695)&lt;0,"NEG STOCK",IF(K2695&lt;INDEX(Items!$P$5:$P$504,U2695),"BELOW COST","OK")))),IF($D2695="","","PRO PLAN"))</f>
        <v/>
      </c>
      <c r="U2695" s="60" t="str">
        <f aca="false">IF(IsPro,IF($D2695="","",IFERROR(MATCH($D2695,Items!$A$5:$A$504,0),"")),"")</f>
        <v/>
      </c>
      <c r="V2695" s="60" t="str">
        <f aca="false">IF(IsPro,IF($C2695="","",IFERROR(MATCH($C2695,Parties!$A$5:$A$304,0),"")),"")</f>
        <v/>
      </c>
      <c r="W2695" s="60" t="str">
        <f aca="false">IF(IsPro,IF($B2695="","",IFERROR(VALUE(SUBSTITUTE($B2695,InvPrefix,"")),0)),"")</f>
        <v/>
      </c>
      <c r="X2695" s="61" t="str">
        <f aca="false">IF(IsPro,IF($D2695="","",IF(OR($H2695="",$H2695="Credit"),0,Q2695)),"")</f>
        <v/>
      </c>
    </row>
    <row r="2696" customFormat="false" ht="15" hidden="false" customHeight="false" outlineLevel="0" collapsed="false">
      <c r="A2696" s="55"/>
      <c r="B2696" s="56"/>
      <c r="C2696" s="56"/>
      <c r="D2696" s="56"/>
      <c r="E2696" s="57"/>
      <c r="F2696" s="58"/>
      <c r="G2696" s="59"/>
      <c r="H2696" s="56"/>
      <c r="I2696" s="56"/>
      <c r="J2696" s="60" t="str">
        <f aca="false">IF(IsPro,IF($D2696="","",IFERROR(INDEX(Items!$D$5:$D$504,U2696),"")),"")</f>
        <v/>
      </c>
      <c r="K2696" s="61" t="str">
        <f aca="false">IF(IsPro,IF($D2696="","",IF($F2696="",IFERROR(INDEX(Items!$H$5:$H$504,U2696),0),$F2696)),"")</f>
        <v/>
      </c>
      <c r="L2696" s="61" t="str">
        <f aca="false">IF(IsPro,IF($D2696="","",ROUND(N($E2696)*K2696*(1-N($G2696)),2)),"")</f>
        <v/>
      </c>
      <c r="M2696" s="62" t="str">
        <f aca="false">IF(IsPro,IF($D2696="","",IFERROR(INDEX(Items!$F$5:$F$504,U2696),0)),"")</f>
        <v/>
      </c>
      <c r="N2696" s="61" t="str">
        <f aca="false">IF(IsPro,IF($D2696="","",IF(AND(V2696&lt;&gt;"",INDEX(Parties!$E$5:$E$304,V2696)&lt;&gt;"",INDEX(Parties!$E$5:$E$304,V2696)&lt;&gt;HomeState),0,ROUND(L2696*M2696/2,2))),"")</f>
        <v/>
      </c>
      <c r="O2696" s="61" t="str">
        <f aca="false">IF(IsPro,IF($D2696="","",N2696),"")</f>
        <v/>
      </c>
      <c r="P2696" s="61" t="str">
        <f aca="false">IF(IsPro,IF($D2696="","",IF(AND(V2696&lt;&gt;"",INDEX(Parties!$E$5:$E$304,V2696)&lt;&gt;"",INDEX(Parties!$E$5:$E$304,V2696)&lt;&gt;HomeState),ROUND(L2696*M2696,2),0)),"")</f>
        <v/>
      </c>
      <c r="Q2696" s="61" t="str">
        <f aca="false">IF(IsPro,IF($D2696="","",L2696+N2696+O2696+P2696),"")</f>
        <v/>
      </c>
      <c r="R2696" s="61" t="str">
        <f aca="false">IF(IsPro,IF($D2696="","",ROUND(N($E2696)*IFERROR(INDEX(Items!$P$5:$P$504,U2696),0),2)),"")</f>
        <v/>
      </c>
      <c r="S2696" s="61" t="str">
        <f aca="false">IF(IsPro,IF($D2696="","",L2696-R2696),"")</f>
        <v/>
      </c>
      <c r="T2696" s="60" t="str">
        <f aca="false">IF(IsPro,IF($D2696="","",IF(U2696="","UNKNOWN ITEM",IF(INDEX(Items!$O$5:$O$504,U2696)&lt;0,"NEG STOCK",IF(K2696&lt;INDEX(Items!$P$5:$P$504,U2696),"BELOW COST","OK")))),IF($D2696="","","PRO PLAN"))</f>
        <v/>
      </c>
      <c r="U2696" s="60" t="str">
        <f aca="false">IF(IsPro,IF($D2696="","",IFERROR(MATCH($D2696,Items!$A$5:$A$504,0),"")),"")</f>
        <v/>
      </c>
      <c r="V2696" s="60" t="str">
        <f aca="false">IF(IsPro,IF($C2696="","",IFERROR(MATCH($C2696,Parties!$A$5:$A$304,0),"")),"")</f>
        <v/>
      </c>
      <c r="W2696" s="60" t="str">
        <f aca="false">IF(IsPro,IF($B2696="","",IFERROR(VALUE(SUBSTITUTE($B2696,InvPrefix,"")),0)),"")</f>
        <v/>
      </c>
      <c r="X2696" s="61" t="str">
        <f aca="false">IF(IsPro,IF($D2696="","",IF(OR($H2696="",$H2696="Credit"),0,Q2696)),"")</f>
        <v/>
      </c>
    </row>
    <row r="2697" customFormat="false" ht="15" hidden="false" customHeight="false" outlineLevel="0" collapsed="false">
      <c r="A2697" s="55"/>
      <c r="B2697" s="56"/>
      <c r="C2697" s="56"/>
      <c r="D2697" s="56"/>
      <c r="E2697" s="57"/>
      <c r="F2697" s="58"/>
      <c r="G2697" s="59"/>
      <c r="H2697" s="56"/>
      <c r="I2697" s="56"/>
      <c r="J2697" s="60" t="str">
        <f aca="false">IF(IsPro,IF($D2697="","",IFERROR(INDEX(Items!$D$5:$D$504,U2697),"")),"")</f>
        <v/>
      </c>
      <c r="K2697" s="61" t="str">
        <f aca="false">IF(IsPro,IF($D2697="","",IF($F2697="",IFERROR(INDEX(Items!$H$5:$H$504,U2697),0),$F2697)),"")</f>
        <v/>
      </c>
      <c r="L2697" s="61" t="str">
        <f aca="false">IF(IsPro,IF($D2697="","",ROUND(N($E2697)*K2697*(1-N($G2697)),2)),"")</f>
        <v/>
      </c>
      <c r="M2697" s="62" t="str">
        <f aca="false">IF(IsPro,IF($D2697="","",IFERROR(INDEX(Items!$F$5:$F$504,U2697),0)),"")</f>
        <v/>
      </c>
      <c r="N2697" s="61" t="str">
        <f aca="false">IF(IsPro,IF($D2697="","",IF(AND(V2697&lt;&gt;"",INDEX(Parties!$E$5:$E$304,V2697)&lt;&gt;"",INDEX(Parties!$E$5:$E$304,V2697)&lt;&gt;HomeState),0,ROUND(L2697*M2697/2,2))),"")</f>
        <v/>
      </c>
      <c r="O2697" s="61" t="str">
        <f aca="false">IF(IsPro,IF($D2697="","",N2697),"")</f>
        <v/>
      </c>
      <c r="P2697" s="61" t="str">
        <f aca="false">IF(IsPro,IF($D2697="","",IF(AND(V2697&lt;&gt;"",INDEX(Parties!$E$5:$E$304,V2697)&lt;&gt;"",INDEX(Parties!$E$5:$E$304,V2697)&lt;&gt;HomeState),ROUND(L2697*M2697,2),0)),"")</f>
        <v/>
      </c>
      <c r="Q2697" s="61" t="str">
        <f aca="false">IF(IsPro,IF($D2697="","",L2697+N2697+O2697+P2697),"")</f>
        <v/>
      </c>
      <c r="R2697" s="61" t="str">
        <f aca="false">IF(IsPro,IF($D2697="","",ROUND(N($E2697)*IFERROR(INDEX(Items!$P$5:$P$504,U2697),0),2)),"")</f>
        <v/>
      </c>
      <c r="S2697" s="61" t="str">
        <f aca="false">IF(IsPro,IF($D2697="","",L2697-R2697),"")</f>
        <v/>
      </c>
      <c r="T2697" s="60" t="str">
        <f aca="false">IF(IsPro,IF($D2697="","",IF(U2697="","UNKNOWN ITEM",IF(INDEX(Items!$O$5:$O$504,U2697)&lt;0,"NEG STOCK",IF(K2697&lt;INDEX(Items!$P$5:$P$504,U2697),"BELOW COST","OK")))),IF($D2697="","","PRO PLAN"))</f>
        <v/>
      </c>
      <c r="U2697" s="60" t="str">
        <f aca="false">IF(IsPro,IF($D2697="","",IFERROR(MATCH($D2697,Items!$A$5:$A$504,0),"")),"")</f>
        <v/>
      </c>
      <c r="V2697" s="60" t="str">
        <f aca="false">IF(IsPro,IF($C2697="","",IFERROR(MATCH($C2697,Parties!$A$5:$A$304,0),"")),"")</f>
        <v/>
      </c>
      <c r="W2697" s="60" t="str">
        <f aca="false">IF(IsPro,IF($B2697="","",IFERROR(VALUE(SUBSTITUTE($B2697,InvPrefix,"")),0)),"")</f>
        <v/>
      </c>
      <c r="X2697" s="61" t="str">
        <f aca="false">IF(IsPro,IF($D2697="","",IF(OR($H2697="",$H2697="Credit"),0,Q2697)),"")</f>
        <v/>
      </c>
    </row>
    <row r="2698" customFormat="false" ht="15" hidden="false" customHeight="false" outlineLevel="0" collapsed="false">
      <c r="A2698" s="55"/>
      <c r="B2698" s="56"/>
      <c r="C2698" s="56"/>
      <c r="D2698" s="56"/>
      <c r="E2698" s="57"/>
      <c r="F2698" s="58"/>
      <c r="G2698" s="59"/>
      <c r="H2698" s="56"/>
      <c r="I2698" s="56"/>
      <c r="J2698" s="60" t="str">
        <f aca="false">IF(IsPro,IF($D2698="","",IFERROR(INDEX(Items!$D$5:$D$504,U2698),"")),"")</f>
        <v/>
      </c>
      <c r="K2698" s="61" t="str">
        <f aca="false">IF(IsPro,IF($D2698="","",IF($F2698="",IFERROR(INDEX(Items!$H$5:$H$504,U2698),0),$F2698)),"")</f>
        <v/>
      </c>
      <c r="L2698" s="61" t="str">
        <f aca="false">IF(IsPro,IF($D2698="","",ROUND(N($E2698)*K2698*(1-N($G2698)),2)),"")</f>
        <v/>
      </c>
      <c r="M2698" s="62" t="str">
        <f aca="false">IF(IsPro,IF($D2698="","",IFERROR(INDEX(Items!$F$5:$F$504,U2698),0)),"")</f>
        <v/>
      </c>
      <c r="N2698" s="61" t="str">
        <f aca="false">IF(IsPro,IF($D2698="","",IF(AND(V2698&lt;&gt;"",INDEX(Parties!$E$5:$E$304,V2698)&lt;&gt;"",INDEX(Parties!$E$5:$E$304,V2698)&lt;&gt;HomeState),0,ROUND(L2698*M2698/2,2))),"")</f>
        <v/>
      </c>
      <c r="O2698" s="61" t="str">
        <f aca="false">IF(IsPro,IF($D2698="","",N2698),"")</f>
        <v/>
      </c>
      <c r="P2698" s="61" t="str">
        <f aca="false">IF(IsPro,IF($D2698="","",IF(AND(V2698&lt;&gt;"",INDEX(Parties!$E$5:$E$304,V2698)&lt;&gt;"",INDEX(Parties!$E$5:$E$304,V2698)&lt;&gt;HomeState),ROUND(L2698*M2698,2),0)),"")</f>
        <v/>
      </c>
      <c r="Q2698" s="61" t="str">
        <f aca="false">IF(IsPro,IF($D2698="","",L2698+N2698+O2698+P2698),"")</f>
        <v/>
      </c>
      <c r="R2698" s="61" t="str">
        <f aca="false">IF(IsPro,IF($D2698="","",ROUND(N($E2698)*IFERROR(INDEX(Items!$P$5:$P$504,U2698),0),2)),"")</f>
        <v/>
      </c>
      <c r="S2698" s="61" t="str">
        <f aca="false">IF(IsPro,IF($D2698="","",L2698-R2698),"")</f>
        <v/>
      </c>
      <c r="T2698" s="60" t="str">
        <f aca="false">IF(IsPro,IF($D2698="","",IF(U2698="","UNKNOWN ITEM",IF(INDEX(Items!$O$5:$O$504,U2698)&lt;0,"NEG STOCK",IF(K2698&lt;INDEX(Items!$P$5:$P$504,U2698),"BELOW COST","OK")))),IF($D2698="","","PRO PLAN"))</f>
        <v/>
      </c>
      <c r="U2698" s="60" t="str">
        <f aca="false">IF(IsPro,IF($D2698="","",IFERROR(MATCH($D2698,Items!$A$5:$A$504,0),"")),"")</f>
        <v/>
      </c>
      <c r="V2698" s="60" t="str">
        <f aca="false">IF(IsPro,IF($C2698="","",IFERROR(MATCH($C2698,Parties!$A$5:$A$304,0),"")),"")</f>
        <v/>
      </c>
      <c r="W2698" s="60" t="str">
        <f aca="false">IF(IsPro,IF($B2698="","",IFERROR(VALUE(SUBSTITUTE($B2698,InvPrefix,"")),0)),"")</f>
        <v/>
      </c>
      <c r="X2698" s="61" t="str">
        <f aca="false">IF(IsPro,IF($D2698="","",IF(OR($H2698="",$H2698="Credit"),0,Q2698)),"")</f>
        <v/>
      </c>
    </row>
    <row r="2699" customFormat="false" ht="15" hidden="false" customHeight="false" outlineLevel="0" collapsed="false">
      <c r="A2699" s="55"/>
      <c r="B2699" s="56"/>
      <c r="C2699" s="56"/>
      <c r="D2699" s="56"/>
      <c r="E2699" s="57"/>
      <c r="F2699" s="58"/>
      <c r="G2699" s="59"/>
      <c r="H2699" s="56"/>
      <c r="I2699" s="56"/>
      <c r="J2699" s="60" t="str">
        <f aca="false">IF(IsPro,IF($D2699="","",IFERROR(INDEX(Items!$D$5:$D$504,U2699),"")),"")</f>
        <v/>
      </c>
      <c r="K2699" s="61" t="str">
        <f aca="false">IF(IsPro,IF($D2699="","",IF($F2699="",IFERROR(INDEX(Items!$H$5:$H$504,U2699),0),$F2699)),"")</f>
        <v/>
      </c>
      <c r="L2699" s="61" t="str">
        <f aca="false">IF(IsPro,IF($D2699="","",ROUND(N($E2699)*K2699*(1-N($G2699)),2)),"")</f>
        <v/>
      </c>
      <c r="M2699" s="62" t="str">
        <f aca="false">IF(IsPro,IF($D2699="","",IFERROR(INDEX(Items!$F$5:$F$504,U2699),0)),"")</f>
        <v/>
      </c>
      <c r="N2699" s="61" t="str">
        <f aca="false">IF(IsPro,IF($D2699="","",IF(AND(V2699&lt;&gt;"",INDEX(Parties!$E$5:$E$304,V2699)&lt;&gt;"",INDEX(Parties!$E$5:$E$304,V2699)&lt;&gt;HomeState),0,ROUND(L2699*M2699/2,2))),"")</f>
        <v/>
      </c>
      <c r="O2699" s="61" t="str">
        <f aca="false">IF(IsPro,IF($D2699="","",N2699),"")</f>
        <v/>
      </c>
      <c r="P2699" s="61" t="str">
        <f aca="false">IF(IsPro,IF($D2699="","",IF(AND(V2699&lt;&gt;"",INDEX(Parties!$E$5:$E$304,V2699)&lt;&gt;"",INDEX(Parties!$E$5:$E$304,V2699)&lt;&gt;HomeState),ROUND(L2699*M2699,2),0)),"")</f>
        <v/>
      </c>
      <c r="Q2699" s="61" t="str">
        <f aca="false">IF(IsPro,IF($D2699="","",L2699+N2699+O2699+P2699),"")</f>
        <v/>
      </c>
      <c r="R2699" s="61" t="str">
        <f aca="false">IF(IsPro,IF($D2699="","",ROUND(N($E2699)*IFERROR(INDEX(Items!$P$5:$P$504,U2699),0),2)),"")</f>
        <v/>
      </c>
      <c r="S2699" s="61" t="str">
        <f aca="false">IF(IsPro,IF($D2699="","",L2699-R2699),"")</f>
        <v/>
      </c>
      <c r="T2699" s="60" t="str">
        <f aca="false">IF(IsPro,IF($D2699="","",IF(U2699="","UNKNOWN ITEM",IF(INDEX(Items!$O$5:$O$504,U2699)&lt;0,"NEG STOCK",IF(K2699&lt;INDEX(Items!$P$5:$P$504,U2699),"BELOW COST","OK")))),IF($D2699="","","PRO PLAN"))</f>
        <v/>
      </c>
      <c r="U2699" s="60" t="str">
        <f aca="false">IF(IsPro,IF($D2699="","",IFERROR(MATCH($D2699,Items!$A$5:$A$504,0),"")),"")</f>
        <v/>
      </c>
      <c r="V2699" s="60" t="str">
        <f aca="false">IF(IsPro,IF($C2699="","",IFERROR(MATCH($C2699,Parties!$A$5:$A$304,0),"")),"")</f>
        <v/>
      </c>
      <c r="W2699" s="60" t="str">
        <f aca="false">IF(IsPro,IF($B2699="","",IFERROR(VALUE(SUBSTITUTE($B2699,InvPrefix,"")),0)),"")</f>
        <v/>
      </c>
      <c r="X2699" s="61" t="str">
        <f aca="false">IF(IsPro,IF($D2699="","",IF(OR($H2699="",$H2699="Credit"),0,Q2699)),"")</f>
        <v/>
      </c>
    </row>
    <row r="2700" customFormat="false" ht="15" hidden="false" customHeight="false" outlineLevel="0" collapsed="false">
      <c r="A2700" s="55"/>
      <c r="B2700" s="56"/>
      <c r="C2700" s="56"/>
      <c r="D2700" s="56"/>
      <c r="E2700" s="57"/>
      <c r="F2700" s="58"/>
      <c r="G2700" s="59"/>
      <c r="H2700" s="56"/>
      <c r="I2700" s="56"/>
      <c r="J2700" s="60" t="str">
        <f aca="false">IF(IsPro,IF($D2700="","",IFERROR(INDEX(Items!$D$5:$D$504,U2700),"")),"")</f>
        <v/>
      </c>
      <c r="K2700" s="61" t="str">
        <f aca="false">IF(IsPro,IF($D2700="","",IF($F2700="",IFERROR(INDEX(Items!$H$5:$H$504,U2700),0),$F2700)),"")</f>
        <v/>
      </c>
      <c r="L2700" s="61" t="str">
        <f aca="false">IF(IsPro,IF($D2700="","",ROUND(N($E2700)*K2700*(1-N($G2700)),2)),"")</f>
        <v/>
      </c>
      <c r="M2700" s="62" t="str">
        <f aca="false">IF(IsPro,IF($D2700="","",IFERROR(INDEX(Items!$F$5:$F$504,U2700),0)),"")</f>
        <v/>
      </c>
      <c r="N2700" s="61" t="str">
        <f aca="false">IF(IsPro,IF($D2700="","",IF(AND(V2700&lt;&gt;"",INDEX(Parties!$E$5:$E$304,V2700)&lt;&gt;"",INDEX(Parties!$E$5:$E$304,V2700)&lt;&gt;HomeState),0,ROUND(L2700*M2700/2,2))),"")</f>
        <v/>
      </c>
      <c r="O2700" s="61" t="str">
        <f aca="false">IF(IsPro,IF($D2700="","",N2700),"")</f>
        <v/>
      </c>
      <c r="P2700" s="61" t="str">
        <f aca="false">IF(IsPro,IF($D2700="","",IF(AND(V2700&lt;&gt;"",INDEX(Parties!$E$5:$E$304,V2700)&lt;&gt;"",INDEX(Parties!$E$5:$E$304,V2700)&lt;&gt;HomeState),ROUND(L2700*M2700,2),0)),"")</f>
        <v/>
      </c>
      <c r="Q2700" s="61" t="str">
        <f aca="false">IF(IsPro,IF($D2700="","",L2700+N2700+O2700+P2700),"")</f>
        <v/>
      </c>
      <c r="R2700" s="61" t="str">
        <f aca="false">IF(IsPro,IF($D2700="","",ROUND(N($E2700)*IFERROR(INDEX(Items!$P$5:$P$504,U2700),0),2)),"")</f>
        <v/>
      </c>
      <c r="S2700" s="61" t="str">
        <f aca="false">IF(IsPro,IF($D2700="","",L2700-R2700),"")</f>
        <v/>
      </c>
      <c r="T2700" s="60" t="str">
        <f aca="false">IF(IsPro,IF($D2700="","",IF(U2700="","UNKNOWN ITEM",IF(INDEX(Items!$O$5:$O$504,U2700)&lt;0,"NEG STOCK",IF(K2700&lt;INDEX(Items!$P$5:$P$504,U2700),"BELOW COST","OK")))),IF($D2700="","","PRO PLAN"))</f>
        <v/>
      </c>
      <c r="U2700" s="60" t="str">
        <f aca="false">IF(IsPro,IF($D2700="","",IFERROR(MATCH($D2700,Items!$A$5:$A$504,0),"")),"")</f>
        <v/>
      </c>
      <c r="V2700" s="60" t="str">
        <f aca="false">IF(IsPro,IF($C2700="","",IFERROR(MATCH($C2700,Parties!$A$5:$A$304,0),"")),"")</f>
        <v/>
      </c>
      <c r="W2700" s="60" t="str">
        <f aca="false">IF(IsPro,IF($B2700="","",IFERROR(VALUE(SUBSTITUTE($B2700,InvPrefix,"")),0)),"")</f>
        <v/>
      </c>
      <c r="X2700" s="61" t="str">
        <f aca="false">IF(IsPro,IF($D2700="","",IF(OR($H2700="",$H2700="Credit"),0,Q2700)),"")</f>
        <v/>
      </c>
    </row>
    <row r="2701" customFormat="false" ht="15" hidden="false" customHeight="false" outlineLevel="0" collapsed="false">
      <c r="A2701" s="55"/>
      <c r="B2701" s="56"/>
      <c r="C2701" s="56"/>
      <c r="D2701" s="56"/>
      <c r="E2701" s="57"/>
      <c r="F2701" s="58"/>
      <c r="G2701" s="59"/>
      <c r="H2701" s="56"/>
      <c r="I2701" s="56"/>
      <c r="J2701" s="60" t="str">
        <f aca="false">IF(IsPro,IF($D2701="","",IFERROR(INDEX(Items!$D$5:$D$504,U2701),"")),"")</f>
        <v/>
      </c>
      <c r="K2701" s="61" t="str">
        <f aca="false">IF(IsPro,IF($D2701="","",IF($F2701="",IFERROR(INDEX(Items!$H$5:$H$504,U2701),0),$F2701)),"")</f>
        <v/>
      </c>
      <c r="L2701" s="61" t="str">
        <f aca="false">IF(IsPro,IF($D2701="","",ROUND(N($E2701)*K2701*(1-N($G2701)),2)),"")</f>
        <v/>
      </c>
      <c r="M2701" s="62" t="str">
        <f aca="false">IF(IsPro,IF($D2701="","",IFERROR(INDEX(Items!$F$5:$F$504,U2701),0)),"")</f>
        <v/>
      </c>
      <c r="N2701" s="61" t="str">
        <f aca="false">IF(IsPro,IF($D2701="","",IF(AND(V2701&lt;&gt;"",INDEX(Parties!$E$5:$E$304,V2701)&lt;&gt;"",INDEX(Parties!$E$5:$E$304,V2701)&lt;&gt;HomeState),0,ROUND(L2701*M2701/2,2))),"")</f>
        <v/>
      </c>
      <c r="O2701" s="61" t="str">
        <f aca="false">IF(IsPro,IF($D2701="","",N2701),"")</f>
        <v/>
      </c>
      <c r="P2701" s="61" t="str">
        <f aca="false">IF(IsPro,IF($D2701="","",IF(AND(V2701&lt;&gt;"",INDEX(Parties!$E$5:$E$304,V2701)&lt;&gt;"",INDEX(Parties!$E$5:$E$304,V2701)&lt;&gt;HomeState),ROUND(L2701*M2701,2),0)),"")</f>
        <v/>
      </c>
      <c r="Q2701" s="61" t="str">
        <f aca="false">IF(IsPro,IF($D2701="","",L2701+N2701+O2701+P2701),"")</f>
        <v/>
      </c>
      <c r="R2701" s="61" t="str">
        <f aca="false">IF(IsPro,IF($D2701="","",ROUND(N($E2701)*IFERROR(INDEX(Items!$P$5:$P$504,U2701),0),2)),"")</f>
        <v/>
      </c>
      <c r="S2701" s="61" t="str">
        <f aca="false">IF(IsPro,IF($D2701="","",L2701-R2701),"")</f>
        <v/>
      </c>
      <c r="T2701" s="60" t="str">
        <f aca="false">IF(IsPro,IF($D2701="","",IF(U2701="","UNKNOWN ITEM",IF(INDEX(Items!$O$5:$O$504,U2701)&lt;0,"NEG STOCK",IF(K2701&lt;INDEX(Items!$P$5:$P$504,U2701),"BELOW COST","OK")))),IF($D2701="","","PRO PLAN"))</f>
        <v/>
      </c>
      <c r="U2701" s="60" t="str">
        <f aca="false">IF(IsPro,IF($D2701="","",IFERROR(MATCH($D2701,Items!$A$5:$A$504,0),"")),"")</f>
        <v/>
      </c>
      <c r="V2701" s="60" t="str">
        <f aca="false">IF(IsPro,IF($C2701="","",IFERROR(MATCH($C2701,Parties!$A$5:$A$304,0),"")),"")</f>
        <v/>
      </c>
      <c r="W2701" s="60" t="str">
        <f aca="false">IF(IsPro,IF($B2701="","",IFERROR(VALUE(SUBSTITUTE($B2701,InvPrefix,"")),0)),"")</f>
        <v/>
      </c>
      <c r="X2701" s="61" t="str">
        <f aca="false">IF(IsPro,IF($D2701="","",IF(OR($H2701="",$H2701="Credit"),0,Q2701)),"")</f>
        <v/>
      </c>
    </row>
    <row r="2702" customFormat="false" ht="15" hidden="false" customHeight="false" outlineLevel="0" collapsed="false">
      <c r="A2702" s="55"/>
      <c r="B2702" s="56"/>
      <c r="C2702" s="56"/>
      <c r="D2702" s="56"/>
      <c r="E2702" s="57"/>
      <c r="F2702" s="58"/>
      <c r="G2702" s="59"/>
      <c r="H2702" s="56"/>
      <c r="I2702" s="56"/>
      <c r="J2702" s="60" t="str">
        <f aca="false">IF(IsPro,IF($D2702="","",IFERROR(INDEX(Items!$D$5:$D$504,U2702),"")),"")</f>
        <v/>
      </c>
      <c r="K2702" s="61" t="str">
        <f aca="false">IF(IsPro,IF($D2702="","",IF($F2702="",IFERROR(INDEX(Items!$H$5:$H$504,U2702),0),$F2702)),"")</f>
        <v/>
      </c>
      <c r="L2702" s="61" t="str">
        <f aca="false">IF(IsPro,IF($D2702="","",ROUND(N($E2702)*K2702*(1-N($G2702)),2)),"")</f>
        <v/>
      </c>
      <c r="M2702" s="62" t="str">
        <f aca="false">IF(IsPro,IF($D2702="","",IFERROR(INDEX(Items!$F$5:$F$504,U2702),0)),"")</f>
        <v/>
      </c>
      <c r="N2702" s="61" t="str">
        <f aca="false">IF(IsPro,IF($D2702="","",IF(AND(V2702&lt;&gt;"",INDEX(Parties!$E$5:$E$304,V2702)&lt;&gt;"",INDEX(Parties!$E$5:$E$304,V2702)&lt;&gt;HomeState),0,ROUND(L2702*M2702/2,2))),"")</f>
        <v/>
      </c>
      <c r="O2702" s="61" t="str">
        <f aca="false">IF(IsPro,IF($D2702="","",N2702),"")</f>
        <v/>
      </c>
      <c r="P2702" s="61" t="str">
        <f aca="false">IF(IsPro,IF($D2702="","",IF(AND(V2702&lt;&gt;"",INDEX(Parties!$E$5:$E$304,V2702)&lt;&gt;"",INDEX(Parties!$E$5:$E$304,V2702)&lt;&gt;HomeState),ROUND(L2702*M2702,2),0)),"")</f>
        <v/>
      </c>
      <c r="Q2702" s="61" t="str">
        <f aca="false">IF(IsPro,IF($D2702="","",L2702+N2702+O2702+P2702),"")</f>
        <v/>
      </c>
      <c r="R2702" s="61" t="str">
        <f aca="false">IF(IsPro,IF($D2702="","",ROUND(N($E2702)*IFERROR(INDEX(Items!$P$5:$P$504,U2702),0),2)),"")</f>
        <v/>
      </c>
      <c r="S2702" s="61" t="str">
        <f aca="false">IF(IsPro,IF($D2702="","",L2702-R2702),"")</f>
        <v/>
      </c>
      <c r="T2702" s="60" t="str">
        <f aca="false">IF(IsPro,IF($D2702="","",IF(U2702="","UNKNOWN ITEM",IF(INDEX(Items!$O$5:$O$504,U2702)&lt;0,"NEG STOCK",IF(K2702&lt;INDEX(Items!$P$5:$P$504,U2702),"BELOW COST","OK")))),IF($D2702="","","PRO PLAN"))</f>
        <v/>
      </c>
      <c r="U2702" s="60" t="str">
        <f aca="false">IF(IsPro,IF($D2702="","",IFERROR(MATCH($D2702,Items!$A$5:$A$504,0),"")),"")</f>
        <v/>
      </c>
      <c r="V2702" s="60" t="str">
        <f aca="false">IF(IsPro,IF($C2702="","",IFERROR(MATCH($C2702,Parties!$A$5:$A$304,0),"")),"")</f>
        <v/>
      </c>
      <c r="W2702" s="60" t="str">
        <f aca="false">IF(IsPro,IF($B2702="","",IFERROR(VALUE(SUBSTITUTE($B2702,InvPrefix,"")),0)),"")</f>
        <v/>
      </c>
      <c r="X2702" s="61" t="str">
        <f aca="false">IF(IsPro,IF($D2702="","",IF(OR($H2702="",$H2702="Credit"),0,Q2702)),"")</f>
        <v/>
      </c>
    </row>
    <row r="2703" customFormat="false" ht="15" hidden="false" customHeight="false" outlineLevel="0" collapsed="false">
      <c r="A2703" s="55"/>
      <c r="B2703" s="56"/>
      <c r="C2703" s="56"/>
      <c r="D2703" s="56"/>
      <c r="E2703" s="57"/>
      <c r="F2703" s="58"/>
      <c r="G2703" s="59"/>
      <c r="H2703" s="56"/>
      <c r="I2703" s="56"/>
      <c r="J2703" s="60" t="str">
        <f aca="false">IF(IsPro,IF($D2703="","",IFERROR(INDEX(Items!$D$5:$D$504,U2703),"")),"")</f>
        <v/>
      </c>
      <c r="K2703" s="61" t="str">
        <f aca="false">IF(IsPro,IF($D2703="","",IF($F2703="",IFERROR(INDEX(Items!$H$5:$H$504,U2703),0),$F2703)),"")</f>
        <v/>
      </c>
      <c r="L2703" s="61" t="str">
        <f aca="false">IF(IsPro,IF($D2703="","",ROUND(N($E2703)*K2703*(1-N($G2703)),2)),"")</f>
        <v/>
      </c>
      <c r="M2703" s="62" t="str">
        <f aca="false">IF(IsPro,IF($D2703="","",IFERROR(INDEX(Items!$F$5:$F$504,U2703),0)),"")</f>
        <v/>
      </c>
      <c r="N2703" s="61" t="str">
        <f aca="false">IF(IsPro,IF($D2703="","",IF(AND(V2703&lt;&gt;"",INDEX(Parties!$E$5:$E$304,V2703)&lt;&gt;"",INDEX(Parties!$E$5:$E$304,V2703)&lt;&gt;HomeState),0,ROUND(L2703*M2703/2,2))),"")</f>
        <v/>
      </c>
      <c r="O2703" s="61" t="str">
        <f aca="false">IF(IsPro,IF($D2703="","",N2703),"")</f>
        <v/>
      </c>
      <c r="P2703" s="61" t="str">
        <f aca="false">IF(IsPro,IF($D2703="","",IF(AND(V2703&lt;&gt;"",INDEX(Parties!$E$5:$E$304,V2703)&lt;&gt;"",INDEX(Parties!$E$5:$E$304,V2703)&lt;&gt;HomeState),ROUND(L2703*M2703,2),0)),"")</f>
        <v/>
      </c>
      <c r="Q2703" s="61" t="str">
        <f aca="false">IF(IsPro,IF($D2703="","",L2703+N2703+O2703+P2703),"")</f>
        <v/>
      </c>
      <c r="R2703" s="61" t="str">
        <f aca="false">IF(IsPro,IF($D2703="","",ROUND(N($E2703)*IFERROR(INDEX(Items!$P$5:$P$504,U2703),0),2)),"")</f>
        <v/>
      </c>
      <c r="S2703" s="61" t="str">
        <f aca="false">IF(IsPro,IF($D2703="","",L2703-R2703),"")</f>
        <v/>
      </c>
      <c r="T2703" s="60" t="str">
        <f aca="false">IF(IsPro,IF($D2703="","",IF(U2703="","UNKNOWN ITEM",IF(INDEX(Items!$O$5:$O$504,U2703)&lt;0,"NEG STOCK",IF(K2703&lt;INDEX(Items!$P$5:$P$504,U2703),"BELOW COST","OK")))),IF($D2703="","","PRO PLAN"))</f>
        <v/>
      </c>
      <c r="U2703" s="60" t="str">
        <f aca="false">IF(IsPro,IF($D2703="","",IFERROR(MATCH($D2703,Items!$A$5:$A$504,0),"")),"")</f>
        <v/>
      </c>
      <c r="V2703" s="60" t="str">
        <f aca="false">IF(IsPro,IF($C2703="","",IFERROR(MATCH($C2703,Parties!$A$5:$A$304,0),"")),"")</f>
        <v/>
      </c>
      <c r="W2703" s="60" t="str">
        <f aca="false">IF(IsPro,IF($B2703="","",IFERROR(VALUE(SUBSTITUTE($B2703,InvPrefix,"")),0)),"")</f>
        <v/>
      </c>
      <c r="X2703" s="61" t="str">
        <f aca="false">IF(IsPro,IF($D2703="","",IF(OR($H2703="",$H2703="Credit"),0,Q2703)),"")</f>
        <v/>
      </c>
    </row>
    <row r="2704" customFormat="false" ht="15" hidden="false" customHeight="false" outlineLevel="0" collapsed="false">
      <c r="A2704" s="55"/>
      <c r="B2704" s="56"/>
      <c r="C2704" s="56"/>
      <c r="D2704" s="56"/>
      <c r="E2704" s="57"/>
      <c r="F2704" s="58"/>
      <c r="G2704" s="59"/>
      <c r="H2704" s="56"/>
      <c r="I2704" s="56"/>
      <c r="J2704" s="60" t="str">
        <f aca="false">IF(IsPro,IF($D2704="","",IFERROR(INDEX(Items!$D$5:$D$504,U2704),"")),"")</f>
        <v/>
      </c>
      <c r="K2704" s="61" t="str">
        <f aca="false">IF(IsPro,IF($D2704="","",IF($F2704="",IFERROR(INDEX(Items!$H$5:$H$504,U2704),0),$F2704)),"")</f>
        <v/>
      </c>
      <c r="L2704" s="61" t="str">
        <f aca="false">IF(IsPro,IF($D2704="","",ROUND(N($E2704)*K2704*(1-N($G2704)),2)),"")</f>
        <v/>
      </c>
      <c r="M2704" s="62" t="str">
        <f aca="false">IF(IsPro,IF($D2704="","",IFERROR(INDEX(Items!$F$5:$F$504,U2704),0)),"")</f>
        <v/>
      </c>
      <c r="N2704" s="61" t="str">
        <f aca="false">IF(IsPro,IF($D2704="","",IF(AND(V2704&lt;&gt;"",INDEX(Parties!$E$5:$E$304,V2704)&lt;&gt;"",INDEX(Parties!$E$5:$E$304,V2704)&lt;&gt;HomeState),0,ROUND(L2704*M2704/2,2))),"")</f>
        <v/>
      </c>
      <c r="O2704" s="61" t="str">
        <f aca="false">IF(IsPro,IF($D2704="","",N2704),"")</f>
        <v/>
      </c>
      <c r="P2704" s="61" t="str">
        <f aca="false">IF(IsPro,IF($D2704="","",IF(AND(V2704&lt;&gt;"",INDEX(Parties!$E$5:$E$304,V2704)&lt;&gt;"",INDEX(Parties!$E$5:$E$304,V2704)&lt;&gt;HomeState),ROUND(L2704*M2704,2),0)),"")</f>
        <v/>
      </c>
      <c r="Q2704" s="61" t="str">
        <f aca="false">IF(IsPro,IF($D2704="","",L2704+N2704+O2704+P2704),"")</f>
        <v/>
      </c>
      <c r="R2704" s="61" t="str">
        <f aca="false">IF(IsPro,IF($D2704="","",ROUND(N($E2704)*IFERROR(INDEX(Items!$P$5:$P$504,U2704),0),2)),"")</f>
        <v/>
      </c>
      <c r="S2704" s="61" t="str">
        <f aca="false">IF(IsPro,IF($D2704="","",L2704-R2704),"")</f>
        <v/>
      </c>
      <c r="T2704" s="60" t="str">
        <f aca="false">IF(IsPro,IF($D2704="","",IF(U2704="","UNKNOWN ITEM",IF(INDEX(Items!$O$5:$O$504,U2704)&lt;0,"NEG STOCK",IF(K2704&lt;INDEX(Items!$P$5:$P$504,U2704),"BELOW COST","OK")))),IF($D2704="","","PRO PLAN"))</f>
        <v/>
      </c>
      <c r="U2704" s="60" t="str">
        <f aca="false">IF(IsPro,IF($D2704="","",IFERROR(MATCH($D2704,Items!$A$5:$A$504,0),"")),"")</f>
        <v/>
      </c>
      <c r="V2704" s="60" t="str">
        <f aca="false">IF(IsPro,IF($C2704="","",IFERROR(MATCH($C2704,Parties!$A$5:$A$304,0),"")),"")</f>
        <v/>
      </c>
      <c r="W2704" s="60" t="str">
        <f aca="false">IF(IsPro,IF($B2704="","",IFERROR(VALUE(SUBSTITUTE($B2704,InvPrefix,"")),0)),"")</f>
        <v/>
      </c>
      <c r="X2704" s="61" t="str">
        <f aca="false">IF(IsPro,IF($D2704="","",IF(OR($H2704="",$H2704="Credit"),0,Q2704)),"")</f>
        <v/>
      </c>
    </row>
    <row r="2705" customFormat="false" ht="15" hidden="false" customHeight="false" outlineLevel="0" collapsed="false">
      <c r="A2705" s="55"/>
      <c r="B2705" s="56"/>
      <c r="C2705" s="56"/>
      <c r="D2705" s="56"/>
      <c r="E2705" s="57"/>
      <c r="F2705" s="58"/>
      <c r="G2705" s="59"/>
      <c r="H2705" s="56"/>
      <c r="I2705" s="56"/>
      <c r="J2705" s="60" t="str">
        <f aca="false">IF(IsPro,IF($D2705="","",IFERROR(INDEX(Items!$D$5:$D$504,U2705),"")),"")</f>
        <v/>
      </c>
      <c r="K2705" s="61" t="str">
        <f aca="false">IF(IsPro,IF($D2705="","",IF($F2705="",IFERROR(INDEX(Items!$H$5:$H$504,U2705),0),$F2705)),"")</f>
        <v/>
      </c>
      <c r="L2705" s="61" t="str">
        <f aca="false">IF(IsPro,IF($D2705="","",ROUND(N($E2705)*K2705*(1-N($G2705)),2)),"")</f>
        <v/>
      </c>
      <c r="M2705" s="62" t="str">
        <f aca="false">IF(IsPro,IF($D2705="","",IFERROR(INDEX(Items!$F$5:$F$504,U2705),0)),"")</f>
        <v/>
      </c>
      <c r="N2705" s="61" t="str">
        <f aca="false">IF(IsPro,IF($D2705="","",IF(AND(V2705&lt;&gt;"",INDEX(Parties!$E$5:$E$304,V2705)&lt;&gt;"",INDEX(Parties!$E$5:$E$304,V2705)&lt;&gt;HomeState),0,ROUND(L2705*M2705/2,2))),"")</f>
        <v/>
      </c>
      <c r="O2705" s="61" t="str">
        <f aca="false">IF(IsPro,IF($D2705="","",N2705),"")</f>
        <v/>
      </c>
      <c r="P2705" s="61" t="str">
        <f aca="false">IF(IsPro,IF($D2705="","",IF(AND(V2705&lt;&gt;"",INDEX(Parties!$E$5:$E$304,V2705)&lt;&gt;"",INDEX(Parties!$E$5:$E$304,V2705)&lt;&gt;HomeState),ROUND(L2705*M2705,2),0)),"")</f>
        <v/>
      </c>
      <c r="Q2705" s="61" t="str">
        <f aca="false">IF(IsPro,IF($D2705="","",L2705+N2705+O2705+P2705),"")</f>
        <v/>
      </c>
      <c r="R2705" s="61" t="str">
        <f aca="false">IF(IsPro,IF($D2705="","",ROUND(N($E2705)*IFERROR(INDEX(Items!$P$5:$P$504,U2705),0),2)),"")</f>
        <v/>
      </c>
      <c r="S2705" s="61" t="str">
        <f aca="false">IF(IsPro,IF($D2705="","",L2705-R2705),"")</f>
        <v/>
      </c>
      <c r="T2705" s="60" t="str">
        <f aca="false">IF(IsPro,IF($D2705="","",IF(U2705="","UNKNOWN ITEM",IF(INDEX(Items!$O$5:$O$504,U2705)&lt;0,"NEG STOCK",IF(K2705&lt;INDEX(Items!$P$5:$P$504,U2705),"BELOW COST","OK")))),IF($D2705="","","PRO PLAN"))</f>
        <v/>
      </c>
      <c r="U2705" s="60" t="str">
        <f aca="false">IF(IsPro,IF($D2705="","",IFERROR(MATCH($D2705,Items!$A$5:$A$504,0),"")),"")</f>
        <v/>
      </c>
      <c r="V2705" s="60" t="str">
        <f aca="false">IF(IsPro,IF($C2705="","",IFERROR(MATCH($C2705,Parties!$A$5:$A$304,0),"")),"")</f>
        <v/>
      </c>
      <c r="W2705" s="60" t="str">
        <f aca="false">IF(IsPro,IF($B2705="","",IFERROR(VALUE(SUBSTITUTE($B2705,InvPrefix,"")),0)),"")</f>
        <v/>
      </c>
      <c r="X2705" s="61" t="str">
        <f aca="false">IF(IsPro,IF($D2705="","",IF(OR($H2705="",$H2705="Credit"),0,Q2705)),"")</f>
        <v/>
      </c>
    </row>
    <row r="2706" customFormat="false" ht="15" hidden="false" customHeight="false" outlineLevel="0" collapsed="false">
      <c r="A2706" s="55"/>
      <c r="B2706" s="56"/>
      <c r="C2706" s="56"/>
      <c r="D2706" s="56"/>
      <c r="E2706" s="57"/>
      <c r="F2706" s="58"/>
      <c r="G2706" s="59"/>
      <c r="H2706" s="56"/>
      <c r="I2706" s="56"/>
      <c r="J2706" s="60" t="str">
        <f aca="false">IF(IsPro,IF($D2706="","",IFERROR(INDEX(Items!$D$5:$D$504,U2706),"")),"")</f>
        <v/>
      </c>
      <c r="K2706" s="61" t="str">
        <f aca="false">IF(IsPro,IF($D2706="","",IF($F2706="",IFERROR(INDEX(Items!$H$5:$H$504,U2706),0),$F2706)),"")</f>
        <v/>
      </c>
      <c r="L2706" s="61" t="str">
        <f aca="false">IF(IsPro,IF($D2706="","",ROUND(N($E2706)*K2706*(1-N($G2706)),2)),"")</f>
        <v/>
      </c>
      <c r="M2706" s="62" t="str">
        <f aca="false">IF(IsPro,IF($D2706="","",IFERROR(INDEX(Items!$F$5:$F$504,U2706),0)),"")</f>
        <v/>
      </c>
      <c r="N2706" s="61" t="str">
        <f aca="false">IF(IsPro,IF($D2706="","",IF(AND(V2706&lt;&gt;"",INDEX(Parties!$E$5:$E$304,V2706)&lt;&gt;"",INDEX(Parties!$E$5:$E$304,V2706)&lt;&gt;HomeState),0,ROUND(L2706*M2706/2,2))),"")</f>
        <v/>
      </c>
      <c r="O2706" s="61" t="str">
        <f aca="false">IF(IsPro,IF($D2706="","",N2706),"")</f>
        <v/>
      </c>
      <c r="P2706" s="61" t="str">
        <f aca="false">IF(IsPro,IF($D2706="","",IF(AND(V2706&lt;&gt;"",INDEX(Parties!$E$5:$E$304,V2706)&lt;&gt;"",INDEX(Parties!$E$5:$E$304,V2706)&lt;&gt;HomeState),ROUND(L2706*M2706,2),0)),"")</f>
        <v/>
      </c>
      <c r="Q2706" s="61" t="str">
        <f aca="false">IF(IsPro,IF($D2706="","",L2706+N2706+O2706+P2706),"")</f>
        <v/>
      </c>
      <c r="R2706" s="61" t="str">
        <f aca="false">IF(IsPro,IF($D2706="","",ROUND(N($E2706)*IFERROR(INDEX(Items!$P$5:$P$504,U2706),0),2)),"")</f>
        <v/>
      </c>
      <c r="S2706" s="61" t="str">
        <f aca="false">IF(IsPro,IF($D2706="","",L2706-R2706),"")</f>
        <v/>
      </c>
      <c r="T2706" s="60" t="str">
        <f aca="false">IF(IsPro,IF($D2706="","",IF(U2706="","UNKNOWN ITEM",IF(INDEX(Items!$O$5:$O$504,U2706)&lt;0,"NEG STOCK",IF(K2706&lt;INDEX(Items!$P$5:$P$504,U2706),"BELOW COST","OK")))),IF($D2706="","","PRO PLAN"))</f>
        <v/>
      </c>
      <c r="U2706" s="60" t="str">
        <f aca="false">IF(IsPro,IF($D2706="","",IFERROR(MATCH($D2706,Items!$A$5:$A$504,0),"")),"")</f>
        <v/>
      </c>
      <c r="V2706" s="60" t="str">
        <f aca="false">IF(IsPro,IF($C2706="","",IFERROR(MATCH($C2706,Parties!$A$5:$A$304,0),"")),"")</f>
        <v/>
      </c>
      <c r="W2706" s="60" t="str">
        <f aca="false">IF(IsPro,IF($B2706="","",IFERROR(VALUE(SUBSTITUTE($B2706,InvPrefix,"")),0)),"")</f>
        <v/>
      </c>
      <c r="X2706" s="61" t="str">
        <f aca="false">IF(IsPro,IF($D2706="","",IF(OR($H2706="",$H2706="Credit"),0,Q2706)),"")</f>
        <v/>
      </c>
    </row>
    <row r="2707" customFormat="false" ht="15" hidden="false" customHeight="false" outlineLevel="0" collapsed="false">
      <c r="A2707" s="55"/>
      <c r="B2707" s="56"/>
      <c r="C2707" s="56"/>
      <c r="D2707" s="56"/>
      <c r="E2707" s="57"/>
      <c r="F2707" s="58"/>
      <c r="G2707" s="59"/>
      <c r="H2707" s="56"/>
      <c r="I2707" s="56"/>
      <c r="J2707" s="60" t="str">
        <f aca="false">IF(IsPro,IF($D2707="","",IFERROR(INDEX(Items!$D$5:$D$504,U2707),"")),"")</f>
        <v/>
      </c>
      <c r="K2707" s="61" t="str">
        <f aca="false">IF(IsPro,IF($D2707="","",IF($F2707="",IFERROR(INDEX(Items!$H$5:$H$504,U2707),0),$F2707)),"")</f>
        <v/>
      </c>
      <c r="L2707" s="61" t="str">
        <f aca="false">IF(IsPro,IF($D2707="","",ROUND(N($E2707)*K2707*(1-N($G2707)),2)),"")</f>
        <v/>
      </c>
      <c r="M2707" s="62" t="str">
        <f aca="false">IF(IsPro,IF($D2707="","",IFERROR(INDEX(Items!$F$5:$F$504,U2707),0)),"")</f>
        <v/>
      </c>
      <c r="N2707" s="61" t="str">
        <f aca="false">IF(IsPro,IF($D2707="","",IF(AND(V2707&lt;&gt;"",INDEX(Parties!$E$5:$E$304,V2707)&lt;&gt;"",INDEX(Parties!$E$5:$E$304,V2707)&lt;&gt;HomeState),0,ROUND(L2707*M2707/2,2))),"")</f>
        <v/>
      </c>
      <c r="O2707" s="61" t="str">
        <f aca="false">IF(IsPro,IF($D2707="","",N2707),"")</f>
        <v/>
      </c>
      <c r="P2707" s="61" t="str">
        <f aca="false">IF(IsPro,IF($D2707="","",IF(AND(V2707&lt;&gt;"",INDEX(Parties!$E$5:$E$304,V2707)&lt;&gt;"",INDEX(Parties!$E$5:$E$304,V2707)&lt;&gt;HomeState),ROUND(L2707*M2707,2),0)),"")</f>
        <v/>
      </c>
      <c r="Q2707" s="61" t="str">
        <f aca="false">IF(IsPro,IF($D2707="","",L2707+N2707+O2707+P2707),"")</f>
        <v/>
      </c>
      <c r="R2707" s="61" t="str">
        <f aca="false">IF(IsPro,IF($D2707="","",ROUND(N($E2707)*IFERROR(INDEX(Items!$P$5:$P$504,U2707),0),2)),"")</f>
        <v/>
      </c>
      <c r="S2707" s="61" t="str">
        <f aca="false">IF(IsPro,IF($D2707="","",L2707-R2707),"")</f>
        <v/>
      </c>
      <c r="T2707" s="60" t="str">
        <f aca="false">IF(IsPro,IF($D2707="","",IF(U2707="","UNKNOWN ITEM",IF(INDEX(Items!$O$5:$O$504,U2707)&lt;0,"NEG STOCK",IF(K2707&lt;INDEX(Items!$P$5:$P$504,U2707),"BELOW COST","OK")))),IF($D2707="","","PRO PLAN"))</f>
        <v/>
      </c>
      <c r="U2707" s="60" t="str">
        <f aca="false">IF(IsPro,IF($D2707="","",IFERROR(MATCH($D2707,Items!$A$5:$A$504,0),"")),"")</f>
        <v/>
      </c>
      <c r="V2707" s="60" t="str">
        <f aca="false">IF(IsPro,IF($C2707="","",IFERROR(MATCH($C2707,Parties!$A$5:$A$304,0),"")),"")</f>
        <v/>
      </c>
      <c r="W2707" s="60" t="str">
        <f aca="false">IF(IsPro,IF($B2707="","",IFERROR(VALUE(SUBSTITUTE($B2707,InvPrefix,"")),0)),"")</f>
        <v/>
      </c>
      <c r="X2707" s="61" t="str">
        <f aca="false">IF(IsPro,IF($D2707="","",IF(OR($H2707="",$H2707="Credit"),0,Q2707)),"")</f>
        <v/>
      </c>
    </row>
    <row r="2708" customFormat="false" ht="15" hidden="false" customHeight="false" outlineLevel="0" collapsed="false">
      <c r="A2708" s="55"/>
      <c r="B2708" s="56"/>
      <c r="C2708" s="56"/>
      <c r="D2708" s="56"/>
      <c r="E2708" s="57"/>
      <c r="F2708" s="58"/>
      <c r="G2708" s="59"/>
      <c r="H2708" s="56"/>
      <c r="I2708" s="56"/>
      <c r="J2708" s="60" t="str">
        <f aca="false">IF(IsPro,IF($D2708="","",IFERROR(INDEX(Items!$D$5:$D$504,U2708),"")),"")</f>
        <v/>
      </c>
      <c r="K2708" s="61" t="str">
        <f aca="false">IF(IsPro,IF($D2708="","",IF($F2708="",IFERROR(INDEX(Items!$H$5:$H$504,U2708),0),$F2708)),"")</f>
        <v/>
      </c>
      <c r="L2708" s="61" t="str">
        <f aca="false">IF(IsPro,IF($D2708="","",ROUND(N($E2708)*K2708*(1-N($G2708)),2)),"")</f>
        <v/>
      </c>
      <c r="M2708" s="62" t="str">
        <f aca="false">IF(IsPro,IF($D2708="","",IFERROR(INDEX(Items!$F$5:$F$504,U2708),0)),"")</f>
        <v/>
      </c>
      <c r="N2708" s="61" t="str">
        <f aca="false">IF(IsPro,IF($D2708="","",IF(AND(V2708&lt;&gt;"",INDEX(Parties!$E$5:$E$304,V2708)&lt;&gt;"",INDEX(Parties!$E$5:$E$304,V2708)&lt;&gt;HomeState),0,ROUND(L2708*M2708/2,2))),"")</f>
        <v/>
      </c>
      <c r="O2708" s="61" t="str">
        <f aca="false">IF(IsPro,IF($D2708="","",N2708),"")</f>
        <v/>
      </c>
      <c r="P2708" s="61" t="str">
        <f aca="false">IF(IsPro,IF($D2708="","",IF(AND(V2708&lt;&gt;"",INDEX(Parties!$E$5:$E$304,V2708)&lt;&gt;"",INDEX(Parties!$E$5:$E$304,V2708)&lt;&gt;HomeState),ROUND(L2708*M2708,2),0)),"")</f>
        <v/>
      </c>
      <c r="Q2708" s="61" t="str">
        <f aca="false">IF(IsPro,IF($D2708="","",L2708+N2708+O2708+P2708),"")</f>
        <v/>
      </c>
      <c r="R2708" s="61" t="str">
        <f aca="false">IF(IsPro,IF($D2708="","",ROUND(N($E2708)*IFERROR(INDEX(Items!$P$5:$P$504,U2708),0),2)),"")</f>
        <v/>
      </c>
      <c r="S2708" s="61" t="str">
        <f aca="false">IF(IsPro,IF($D2708="","",L2708-R2708),"")</f>
        <v/>
      </c>
      <c r="T2708" s="60" t="str">
        <f aca="false">IF(IsPro,IF($D2708="","",IF(U2708="","UNKNOWN ITEM",IF(INDEX(Items!$O$5:$O$504,U2708)&lt;0,"NEG STOCK",IF(K2708&lt;INDEX(Items!$P$5:$P$504,U2708),"BELOW COST","OK")))),IF($D2708="","","PRO PLAN"))</f>
        <v/>
      </c>
      <c r="U2708" s="60" t="str">
        <f aca="false">IF(IsPro,IF($D2708="","",IFERROR(MATCH($D2708,Items!$A$5:$A$504,0),"")),"")</f>
        <v/>
      </c>
      <c r="V2708" s="60" t="str">
        <f aca="false">IF(IsPro,IF($C2708="","",IFERROR(MATCH($C2708,Parties!$A$5:$A$304,0),"")),"")</f>
        <v/>
      </c>
      <c r="W2708" s="60" t="str">
        <f aca="false">IF(IsPro,IF($B2708="","",IFERROR(VALUE(SUBSTITUTE($B2708,InvPrefix,"")),0)),"")</f>
        <v/>
      </c>
      <c r="X2708" s="61" t="str">
        <f aca="false">IF(IsPro,IF($D2708="","",IF(OR($H2708="",$H2708="Credit"),0,Q2708)),"")</f>
        <v/>
      </c>
    </row>
    <row r="2709" customFormat="false" ht="15" hidden="false" customHeight="false" outlineLevel="0" collapsed="false">
      <c r="A2709" s="55"/>
      <c r="B2709" s="56"/>
      <c r="C2709" s="56"/>
      <c r="D2709" s="56"/>
      <c r="E2709" s="57"/>
      <c r="F2709" s="58"/>
      <c r="G2709" s="59"/>
      <c r="H2709" s="56"/>
      <c r="I2709" s="56"/>
      <c r="J2709" s="60" t="str">
        <f aca="false">IF(IsPro,IF($D2709="","",IFERROR(INDEX(Items!$D$5:$D$504,U2709),"")),"")</f>
        <v/>
      </c>
      <c r="K2709" s="61" t="str">
        <f aca="false">IF(IsPro,IF($D2709="","",IF($F2709="",IFERROR(INDEX(Items!$H$5:$H$504,U2709),0),$F2709)),"")</f>
        <v/>
      </c>
      <c r="L2709" s="61" t="str">
        <f aca="false">IF(IsPro,IF($D2709="","",ROUND(N($E2709)*K2709*(1-N($G2709)),2)),"")</f>
        <v/>
      </c>
      <c r="M2709" s="62" t="str">
        <f aca="false">IF(IsPro,IF($D2709="","",IFERROR(INDEX(Items!$F$5:$F$504,U2709),0)),"")</f>
        <v/>
      </c>
      <c r="N2709" s="61" t="str">
        <f aca="false">IF(IsPro,IF($D2709="","",IF(AND(V2709&lt;&gt;"",INDEX(Parties!$E$5:$E$304,V2709)&lt;&gt;"",INDEX(Parties!$E$5:$E$304,V2709)&lt;&gt;HomeState),0,ROUND(L2709*M2709/2,2))),"")</f>
        <v/>
      </c>
      <c r="O2709" s="61" t="str">
        <f aca="false">IF(IsPro,IF($D2709="","",N2709),"")</f>
        <v/>
      </c>
      <c r="P2709" s="61" t="str">
        <f aca="false">IF(IsPro,IF($D2709="","",IF(AND(V2709&lt;&gt;"",INDEX(Parties!$E$5:$E$304,V2709)&lt;&gt;"",INDEX(Parties!$E$5:$E$304,V2709)&lt;&gt;HomeState),ROUND(L2709*M2709,2),0)),"")</f>
        <v/>
      </c>
      <c r="Q2709" s="61" t="str">
        <f aca="false">IF(IsPro,IF($D2709="","",L2709+N2709+O2709+P2709),"")</f>
        <v/>
      </c>
      <c r="R2709" s="61" t="str">
        <f aca="false">IF(IsPro,IF($D2709="","",ROUND(N($E2709)*IFERROR(INDEX(Items!$P$5:$P$504,U2709),0),2)),"")</f>
        <v/>
      </c>
      <c r="S2709" s="61" t="str">
        <f aca="false">IF(IsPro,IF($D2709="","",L2709-R2709),"")</f>
        <v/>
      </c>
      <c r="T2709" s="60" t="str">
        <f aca="false">IF(IsPro,IF($D2709="","",IF(U2709="","UNKNOWN ITEM",IF(INDEX(Items!$O$5:$O$504,U2709)&lt;0,"NEG STOCK",IF(K2709&lt;INDEX(Items!$P$5:$P$504,U2709),"BELOW COST","OK")))),IF($D2709="","","PRO PLAN"))</f>
        <v/>
      </c>
      <c r="U2709" s="60" t="str">
        <f aca="false">IF(IsPro,IF($D2709="","",IFERROR(MATCH($D2709,Items!$A$5:$A$504,0),"")),"")</f>
        <v/>
      </c>
      <c r="V2709" s="60" t="str">
        <f aca="false">IF(IsPro,IF($C2709="","",IFERROR(MATCH($C2709,Parties!$A$5:$A$304,0),"")),"")</f>
        <v/>
      </c>
      <c r="W2709" s="60" t="str">
        <f aca="false">IF(IsPro,IF($B2709="","",IFERROR(VALUE(SUBSTITUTE($B2709,InvPrefix,"")),0)),"")</f>
        <v/>
      </c>
      <c r="X2709" s="61" t="str">
        <f aca="false">IF(IsPro,IF($D2709="","",IF(OR($H2709="",$H2709="Credit"),0,Q2709)),"")</f>
        <v/>
      </c>
    </row>
    <row r="2710" customFormat="false" ht="15" hidden="false" customHeight="false" outlineLevel="0" collapsed="false">
      <c r="A2710" s="55"/>
      <c r="B2710" s="56"/>
      <c r="C2710" s="56"/>
      <c r="D2710" s="56"/>
      <c r="E2710" s="57"/>
      <c r="F2710" s="58"/>
      <c r="G2710" s="59"/>
      <c r="H2710" s="56"/>
      <c r="I2710" s="56"/>
      <c r="J2710" s="60" t="str">
        <f aca="false">IF(IsPro,IF($D2710="","",IFERROR(INDEX(Items!$D$5:$D$504,U2710),"")),"")</f>
        <v/>
      </c>
      <c r="K2710" s="61" t="str">
        <f aca="false">IF(IsPro,IF($D2710="","",IF($F2710="",IFERROR(INDEX(Items!$H$5:$H$504,U2710),0),$F2710)),"")</f>
        <v/>
      </c>
      <c r="L2710" s="61" t="str">
        <f aca="false">IF(IsPro,IF($D2710="","",ROUND(N($E2710)*K2710*(1-N($G2710)),2)),"")</f>
        <v/>
      </c>
      <c r="M2710" s="62" t="str">
        <f aca="false">IF(IsPro,IF($D2710="","",IFERROR(INDEX(Items!$F$5:$F$504,U2710),0)),"")</f>
        <v/>
      </c>
      <c r="N2710" s="61" t="str">
        <f aca="false">IF(IsPro,IF($D2710="","",IF(AND(V2710&lt;&gt;"",INDEX(Parties!$E$5:$E$304,V2710)&lt;&gt;"",INDEX(Parties!$E$5:$E$304,V2710)&lt;&gt;HomeState),0,ROUND(L2710*M2710/2,2))),"")</f>
        <v/>
      </c>
      <c r="O2710" s="61" t="str">
        <f aca="false">IF(IsPro,IF($D2710="","",N2710),"")</f>
        <v/>
      </c>
      <c r="P2710" s="61" t="str">
        <f aca="false">IF(IsPro,IF($D2710="","",IF(AND(V2710&lt;&gt;"",INDEX(Parties!$E$5:$E$304,V2710)&lt;&gt;"",INDEX(Parties!$E$5:$E$304,V2710)&lt;&gt;HomeState),ROUND(L2710*M2710,2),0)),"")</f>
        <v/>
      </c>
      <c r="Q2710" s="61" t="str">
        <f aca="false">IF(IsPro,IF($D2710="","",L2710+N2710+O2710+P2710),"")</f>
        <v/>
      </c>
      <c r="R2710" s="61" t="str">
        <f aca="false">IF(IsPro,IF($D2710="","",ROUND(N($E2710)*IFERROR(INDEX(Items!$P$5:$P$504,U2710),0),2)),"")</f>
        <v/>
      </c>
      <c r="S2710" s="61" t="str">
        <f aca="false">IF(IsPro,IF($D2710="","",L2710-R2710),"")</f>
        <v/>
      </c>
      <c r="T2710" s="60" t="str">
        <f aca="false">IF(IsPro,IF($D2710="","",IF(U2710="","UNKNOWN ITEM",IF(INDEX(Items!$O$5:$O$504,U2710)&lt;0,"NEG STOCK",IF(K2710&lt;INDEX(Items!$P$5:$P$504,U2710),"BELOW COST","OK")))),IF($D2710="","","PRO PLAN"))</f>
        <v/>
      </c>
      <c r="U2710" s="60" t="str">
        <f aca="false">IF(IsPro,IF($D2710="","",IFERROR(MATCH($D2710,Items!$A$5:$A$504,0),"")),"")</f>
        <v/>
      </c>
      <c r="V2710" s="60" t="str">
        <f aca="false">IF(IsPro,IF($C2710="","",IFERROR(MATCH($C2710,Parties!$A$5:$A$304,0),"")),"")</f>
        <v/>
      </c>
      <c r="W2710" s="60" t="str">
        <f aca="false">IF(IsPro,IF($B2710="","",IFERROR(VALUE(SUBSTITUTE($B2710,InvPrefix,"")),0)),"")</f>
        <v/>
      </c>
      <c r="X2710" s="61" t="str">
        <f aca="false">IF(IsPro,IF($D2710="","",IF(OR($H2710="",$H2710="Credit"),0,Q2710)),"")</f>
        <v/>
      </c>
    </row>
    <row r="2711" customFormat="false" ht="15" hidden="false" customHeight="false" outlineLevel="0" collapsed="false">
      <c r="A2711" s="55"/>
      <c r="B2711" s="56"/>
      <c r="C2711" s="56"/>
      <c r="D2711" s="56"/>
      <c r="E2711" s="57"/>
      <c r="F2711" s="58"/>
      <c r="G2711" s="59"/>
      <c r="H2711" s="56"/>
      <c r="I2711" s="56"/>
      <c r="J2711" s="60" t="str">
        <f aca="false">IF(IsPro,IF($D2711="","",IFERROR(INDEX(Items!$D$5:$D$504,U2711),"")),"")</f>
        <v/>
      </c>
      <c r="K2711" s="61" t="str">
        <f aca="false">IF(IsPro,IF($D2711="","",IF($F2711="",IFERROR(INDEX(Items!$H$5:$H$504,U2711),0),$F2711)),"")</f>
        <v/>
      </c>
      <c r="L2711" s="61" t="str">
        <f aca="false">IF(IsPro,IF($D2711="","",ROUND(N($E2711)*K2711*(1-N($G2711)),2)),"")</f>
        <v/>
      </c>
      <c r="M2711" s="62" t="str">
        <f aca="false">IF(IsPro,IF($D2711="","",IFERROR(INDEX(Items!$F$5:$F$504,U2711),0)),"")</f>
        <v/>
      </c>
      <c r="N2711" s="61" t="str">
        <f aca="false">IF(IsPro,IF($D2711="","",IF(AND(V2711&lt;&gt;"",INDEX(Parties!$E$5:$E$304,V2711)&lt;&gt;"",INDEX(Parties!$E$5:$E$304,V2711)&lt;&gt;HomeState),0,ROUND(L2711*M2711/2,2))),"")</f>
        <v/>
      </c>
      <c r="O2711" s="61" t="str">
        <f aca="false">IF(IsPro,IF($D2711="","",N2711),"")</f>
        <v/>
      </c>
      <c r="P2711" s="61" t="str">
        <f aca="false">IF(IsPro,IF($D2711="","",IF(AND(V2711&lt;&gt;"",INDEX(Parties!$E$5:$E$304,V2711)&lt;&gt;"",INDEX(Parties!$E$5:$E$304,V2711)&lt;&gt;HomeState),ROUND(L2711*M2711,2),0)),"")</f>
        <v/>
      </c>
      <c r="Q2711" s="61" t="str">
        <f aca="false">IF(IsPro,IF($D2711="","",L2711+N2711+O2711+P2711),"")</f>
        <v/>
      </c>
      <c r="R2711" s="61" t="str">
        <f aca="false">IF(IsPro,IF($D2711="","",ROUND(N($E2711)*IFERROR(INDEX(Items!$P$5:$P$504,U2711),0),2)),"")</f>
        <v/>
      </c>
      <c r="S2711" s="61" t="str">
        <f aca="false">IF(IsPro,IF($D2711="","",L2711-R2711),"")</f>
        <v/>
      </c>
      <c r="T2711" s="60" t="str">
        <f aca="false">IF(IsPro,IF($D2711="","",IF(U2711="","UNKNOWN ITEM",IF(INDEX(Items!$O$5:$O$504,U2711)&lt;0,"NEG STOCK",IF(K2711&lt;INDEX(Items!$P$5:$P$504,U2711),"BELOW COST","OK")))),IF($D2711="","","PRO PLAN"))</f>
        <v/>
      </c>
      <c r="U2711" s="60" t="str">
        <f aca="false">IF(IsPro,IF($D2711="","",IFERROR(MATCH($D2711,Items!$A$5:$A$504,0),"")),"")</f>
        <v/>
      </c>
      <c r="V2711" s="60" t="str">
        <f aca="false">IF(IsPro,IF($C2711="","",IFERROR(MATCH($C2711,Parties!$A$5:$A$304,0),"")),"")</f>
        <v/>
      </c>
      <c r="W2711" s="60" t="str">
        <f aca="false">IF(IsPro,IF($B2711="","",IFERROR(VALUE(SUBSTITUTE($B2711,InvPrefix,"")),0)),"")</f>
        <v/>
      </c>
      <c r="X2711" s="61" t="str">
        <f aca="false">IF(IsPro,IF($D2711="","",IF(OR($H2711="",$H2711="Credit"),0,Q2711)),"")</f>
        <v/>
      </c>
    </row>
    <row r="2712" customFormat="false" ht="15" hidden="false" customHeight="false" outlineLevel="0" collapsed="false">
      <c r="A2712" s="55"/>
      <c r="B2712" s="56"/>
      <c r="C2712" s="56"/>
      <c r="D2712" s="56"/>
      <c r="E2712" s="57"/>
      <c r="F2712" s="58"/>
      <c r="G2712" s="59"/>
      <c r="H2712" s="56"/>
      <c r="I2712" s="56"/>
      <c r="J2712" s="60" t="str">
        <f aca="false">IF(IsPro,IF($D2712="","",IFERROR(INDEX(Items!$D$5:$D$504,U2712),"")),"")</f>
        <v/>
      </c>
      <c r="K2712" s="61" t="str">
        <f aca="false">IF(IsPro,IF($D2712="","",IF($F2712="",IFERROR(INDEX(Items!$H$5:$H$504,U2712),0),$F2712)),"")</f>
        <v/>
      </c>
      <c r="L2712" s="61" t="str">
        <f aca="false">IF(IsPro,IF($D2712="","",ROUND(N($E2712)*K2712*(1-N($G2712)),2)),"")</f>
        <v/>
      </c>
      <c r="M2712" s="62" t="str">
        <f aca="false">IF(IsPro,IF($D2712="","",IFERROR(INDEX(Items!$F$5:$F$504,U2712),0)),"")</f>
        <v/>
      </c>
      <c r="N2712" s="61" t="str">
        <f aca="false">IF(IsPro,IF($D2712="","",IF(AND(V2712&lt;&gt;"",INDEX(Parties!$E$5:$E$304,V2712)&lt;&gt;"",INDEX(Parties!$E$5:$E$304,V2712)&lt;&gt;HomeState),0,ROUND(L2712*M2712/2,2))),"")</f>
        <v/>
      </c>
      <c r="O2712" s="61" t="str">
        <f aca="false">IF(IsPro,IF($D2712="","",N2712),"")</f>
        <v/>
      </c>
      <c r="P2712" s="61" t="str">
        <f aca="false">IF(IsPro,IF($D2712="","",IF(AND(V2712&lt;&gt;"",INDEX(Parties!$E$5:$E$304,V2712)&lt;&gt;"",INDEX(Parties!$E$5:$E$304,V2712)&lt;&gt;HomeState),ROUND(L2712*M2712,2),0)),"")</f>
        <v/>
      </c>
      <c r="Q2712" s="61" t="str">
        <f aca="false">IF(IsPro,IF($D2712="","",L2712+N2712+O2712+P2712),"")</f>
        <v/>
      </c>
      <c r="R2712" s="61" t="str">
        <f aca="false">IF(IsPro,IF($D2712="","",ROUND(N($E2712)*IFERROR(INDEX(Items!$P$5:$P$504,U2712),0),2)),"")</f>
        <v/>
      </c>
      <c r="S2712" s="61" t="str">
        <f aca="false">IF(IsPro,IF($D2712="","",L2712-R2712),"")</f>
        <v/>
      </c>
      <c r="T2712" s="60" t="str">
        <f aca="false">IF(IsPro,IF($D2712="","",IF(U2712="","UNKNOWN ITEM",IF(INDEX(Items!$O$5:$O$504,U2712)&lt;0,"NEG STOCK",IF(K2712&lt;INDEX(Items!$P$5:$P$504,U2712),"BELOW COST","OK")))),IF($D2712="","","PRO PLAN"))</f>
        <v/>
      </c>
      <c r="U2712" s="60" t="str">
        <f aca="false">IF(IsPro,IF($D2712="","",IFERROR(MATCH($D2712,Items!$A$5:$A$504,0),"")),"")</f>
        <v/>
      </c>
      <c r="V2712" s="60" t="str">
        <f aca="false">IF(IsPro,IF($C2712="","",IFERROR(MATCH($C2712,Parties!$A$5:$A$304,0),"")),"")</f>
        <v/>
      </c>
      <c r="W2712" s="60" t="str">
        <f aca="false">IF(IsPro,IF($B2712="","",IFERROR(VALUE(SUBSTITUTE($B2712,InvPrefix,"")),0)),"")</f>
        <v/>
      </c>
      <c r="X2712" s="61" t="str">
        <f aca="false">IF(IsPro,IF($D2712="","",IF(OR($H2712="",$H2712="Credit"),0,Q2712)),"")</f>
        <v/>
      </c>
    </row>
    <row r="2713" customFormat="false" ht="15" hidden="false" customHeight="false" outlineLevel="0" collapsed="false">
      <c r="A2713" s="55"/>
      <c r="B2713" s="56"/>
      <c r="C2713" s="56"/>
      <c r="D2713" s="56"/>
      <c r="E2713" s="57"/>
      <c r="F2713" s="58"/>
      <c r="G2713" s="59"/>
      <c r="H2713" s="56"/>
      <c r="I2713" s="56"/>
      <c r="J2713" s="60" t="str">
        <f aca="false">IF(IsPro,IF($D2713="","",IFERROR(INDEX(Items!$D$5:$D$504,U2713),"")),"")</f>
        <v/>
      </c>
      <c r="K2713" s="61" t="str">
        <f aca="false">IF(IsPro,IF($D2713="","",IF($F2713="",IFERROR(INDEX(Items!$H$5:$H$504,U2713),0),$F2713)),"")</f>
        <v/>
      </c>
      <c r="L2713" s="61" t="str">
        <f aca="false">IF(IsPro,IF($D2713="","",ROUND(N($E2713)*K2713*(1-N($G2713)),2)),"")</f>
        <v/>
      </c>
      <c r="M2713" s="62" t="str">
        <f aca="false">IF(IsPro,IF($D2713="","",IFERROR(INDEX(Items!$F$5:$F$504,U2713),0)),"")</f>
        <v/>
      </c>
      <c r="N2713" s="61" t="str">
        <f aca="false">IF(IsPro,IF($D2713="","",IF(AND(V2713&lt;&gt;"",INDEX(Parties!$E$5:$E$304,V2713)&lt;&gt;"",INDEX(Parties!$E$5:$E$304,V2713)&lt;&gt;HomeState),0,ROUND(L2713*M2713/2,2))),"")</f>
        <v/>
      </c>
      <c r="O2713" s="61" t="str">
        <f aca="false">IF(IsPro,IF($D2713="","",N2713),"")</f>
        <v/>
      </c>
      <c r="P2713" s="61" t="str">
        <f aca="false">IF(IsPro,IF($D2713="","",IF(AND(V2713&lt;&gt;"",INDEX(Parties!$E$5:$E$304,V2713)&lt;&gt;"",INDEX(Parties!$E$5:$E$304,V2713)&lt;&gt;HomeState),ROUND(L2713*M2713,2),0)),"")</f>
        <v/>
      </c>
      <c r="Q2713" s="61" t="str">
        <f aca="false">IF(IsPro,IF($D2713="","",L2713+N2713+O2713+P2713),"")</f>
        <v/>
      </c>
      <c r="R2713" s="61" t="str">
        <f aca="false">IF(IsPro,IF($D2713="","",ROUND(N($E2713)*IFERROR(INDEX(Items!$P$5:$P$504,U2713),0),2)),"")</f>
        <v/>
      </c>
      <c r="S2713" s="61" t="str">
        <f aca="false">IF(IsPro,IF($D2713="","",L2713-R2713),"")</f>
        <v/>
      </c>
      <c r="T2713" s="60" t="str">
        <f aca="false">IF(IsPro,IF($D2713="","",IF(U2713="","UNKNOWN ITEM",IF(INDEX(Items!$O$5:$O$504,U2713)&lt;0,"NEG STOCK",IF(K2713&lt;INDEX(Items!$P$5:$P$504,U2713),"BELOW COST","OK")))),IF($D2713="","","PRO PLAN"))</f>
        <v/>
      </c>
      <c r="U2713" s="60" t="str">
        <f aca="false">IF(IsPro,IF($D2713="","",IFERROR(MATCH($D2713,Items!$A$5:$A$504,0),"")),"")</f>
        <v/>
      </c>
      <c r="V2713" s="60" t="str">
        <f aca="false">IF(IsPro,IF($C2713="","",IFERROR(MATCH($C2713,Parties!$A$5:$A$304,0),"")),"")</f>
        <v/>
      </c>
      <c r="W2713" s="60" t="str">
        <f aca="false">IF(IsPro,IF($B2713="","",IFERROR(VALUE(SUBSTITUTE($B2713,InvPrefix,"")),0)),"")</f>
        <v/>
      </c>
      <c r="X2713" s="61" t="str">
        <f aca="false">IF(IsPro,IF($D2713="","",IF(OR($H2713="",$H2713="Credit"),0,Q2713)),"")</f>
        <v/>
      </c>
    </row>
    <row r="2714" customFormat="false" ht="15" hidden="false" customHeight="false" outlineLevel="0" collapsed="false">
      <c r="A2714" s="55"/>
      <c r="B2714" s="56"/>
      <c r="C2714" s="56"/>
      <c r="D2714" s="56"/>
      <c r="E2714" s="57"/>
      <c r="F2714" s="58"/>
      <c r="G2714" s="59"/>
      <c r="H2714" s="56"/>
      <c r="I2714" s="56"/>
      <c r="J2714" s="60" t="str">
        <f aca="false">IF(IsPro,IF($D2714="","",IFERROR(INDEX(Items!$D$5:$D$504,U2714),"")),"")</f>
        <v/>
      </c>
      <c r="K2714" s="61" t="str">
        <f aca="false">IF(IsPro,IF($D2714="","",IF($F2714="",IFERROR(INDEX(Items!$H$5:$H$504,U2714),0),$F2714)),"")</f>
        <v/>
      </c>
      <c r="L2714" s="61" t="str">
        <f aca="false">IF(IsPro,IF($D2714="","",ROUND(N($E2714)*K2714*(1-N($G2714)),2)),"")</f>
        <v/>
      </c>
      <c r="M2714" s="62" t="str">
        <f aca="false">IF(IsPro,IF($D2714="","",IFERROR(INDEX(Items!$F$5:$F$504,U2714),0)),"")</f>
        <v/>
      </c>
      <c r="N2714" s="61" t="str">
        <f aca="false">IF(IsPro,IF($D2714="","",IF(AND(V2714&lt;&gt;"",INDEX(Parties!$E$5:$E$304,V2714)&lt;&gt;"",INDEX(Parties!$E$5:$E$304,V2714)&lt;&gt;HomeState),0,ROUND(L2714*M2714/2,2))),"")</f>
        <v/>
      </c>
      <c r="O2714" s="61" t="str">
        <f aca="false">IF(IsPro,IF($D2714="","",N2714),"")</f>
        <v/>
      </c>
      <c r="P2714" s="61" t="str">
        <f aca="false">IF(IsPro,IF($D2714="","",IF(AND(V2714&lt;&gt;"",INDEX(Parties!$E$5:$E$304,V2714)&lt;&gt;"",INDEX(Parties!$E$5:$E$304,V2714)&lt;&gt;HomeState),ROUND(L2714*M2714,2),0)),"")</f>
        <v/>
      </c>
      <c r="Q2714" s="61" t="str">
        <f aca="false">IF(IsPro,IF($D2714="","",L2714+N2714+O2714+P2714),"")</f>
        <v/>
      </c>
      <c r="R2714" s="61" t="str">
        <f aca="false">IF(IsPro,IF($D2714="","",ROUND(N($E2714)*IFERROR(INDEX(Items!$P$5:$P$504,U2714),0),2)),"")</f>
        <v/>
      </c>
      <c r="S2714" s="61" t="str">
        <f aca="false">IF(IsPro,IF($D2714="","",L2714-R2714),"")</f>
        <v/>
      </c>
      <c r="T2714" s="60" t="str">
        <f aca="false">IF(IsPro,IF($D2714="","",IF(U2714="","UNKNOWN ITEM",IF(INDEX(Items!$O$5:$O$504,U2714)&lt;0,"NEG STOCK",IF(K2714&lt;INDEX(Items!$P$5:$P$504,U2714),"BELOW COST","OK")))),IF($D2714="","","PRO PLAN"))</f>
        <v/>
      </c>
      <c r="U2714" s="60" t="str">
        <f aca="false">IF(IsPro,IF($D2714="","",IFERROR(MATCH($D2714,Items!$A$5:$A$504,0),"")),"")</f>
        <v/>
      </c>
      <c r="V2714" s="60" t="str">
        <f aca="false">IF(IsPro,IF($C2714="","",IFERROR(MATCH($C2714,Parties!$A$5:$A$304,0),"")),"")</f>
        <v/>
      </c>
      <c r="W2714" s="60" t="str">
        <f aca="false">IF(IsPro,IF($B2714="","",IFERROR(VALUE(SUBSTITUTE($B2714,InvPrefix,"")),0)),"")</f>
        <v/>
      </c>
      <c r="X2714" s="61" t="str">
        <f aca="false">IF(IsPro,IF($D2714="","",IF(OR($H2714="",$H2714="Credit"),0,Q2714)),"")</f>
        <v/>
      </c>
    </row>
    <row r="2715" customFormat="false" ht="15" hidden="false" customHeight="false" outlineLevel="0" collapsed="false">
      <c r="A2715" s="55"/>
      <c r="B2715" s="56"/>
      <c r="C2715" s="56"/>
      <c r="D2715" s="56"/>
      <c r="E2715" s="57"/>
      <c r="F2715" s="58"/>
      <c r="G2715" s="59"/>
      <c r="H2715" s="56"/>
      <c r="I2715" s="56"/>
      <c r="J2715" s="60" t="str">
        <f aca="false">IF(IsPro,IF($D2715="","",IFERROR(INDEX(Items!$D$5:$D$504,U2715),"")),"")</f>
        <v/>
      </c>
      <c r="K2715" s="61" t="str">
        <f aca="false">IF(IsPro,IF($D2715="","",IF($F2715="",IFERROR(INDEX(Items!$H$5:$H$504,U2715),0),$F2715)),"")</f>
        <v/>
      </c>
      <c r="L2715" s="61" t="str">
        <f aca="false">IF(IsPro,IF($D2715="","",ROUND(N($E2715)*K2715*(1-N($G2715)),2)),"")</f>
        <v/>
      </c>
      <c r="M2715" s="62" t="str">
        <f aca="false">IF(IsPro,IF($D2715="","",IFERROR(INDEX(Items!$F$5:$F$504,U2715),0)),"")</f>
        <v/>
      </c>
      <c r="N2715" s="61" t="str">
        <f aca="false">IF(IsPro,IF($D2715="","",IF(AND(V2715&lt;&gt;"",INDEX(Parties!$E$5:$E$304,V2715)&lt;&gt;"",INDEX(Parties!$E$5:$E$304,V2715)&lt;&gt;HomeState),0,ROUND(L2715*M2715/2,2))),"")</f>
        <v/>
      </c>
      <c r="O2715" s="61" t="str">
        <f aca="false">IF(IsPro,IF($D2715="","",N2715),"")</f>
        <v/>
      </c>
      <c r="P2715" s="61" t="str">
        <f aca="false">IF(IsPro,IF($D2715="","",IF(AND(V2715&lt;&gt;"",INDEX(Parties!$E$5:$E$304,V2715)&lt;&gt;"",INDEX(Parties!$E$5:$E$304,V2715)&lt;&gt;HomeState),ROUND(L2715*M2715,2),0)),"")</f>
        <v/>
      </c>
      <c r="Q2715" s="61" t="str">
        <f aca="false">IF(IsPro,IF($D2715="","",L2715+N2715+O2715+P2715),"")</f>
        <v/>
      </c>
      <c r="R2715" s="61" t="str">
        <f aca="false">IF(IsPro,IF($D2715="","",ROUND(N($E2715)*IFERROR(INDEX(Items!$P$5:$P$504,U2715),0),2)),"")</f>
        <v/>
      </c>
      <c r="S2715" s="61" t="str">
        <f aca="false">IF(IsPro,IF($D2715="","",L2715-R2715),"")</f>
        <v/>
      </c>
      <c r="T2715" s="60" t="str">
        <f aca="false">IF(IsPro,IF($D2715="","",IF(U2715="","UNKNOWN ITEM",IF(INDEX(Items!$O$5:$O$504,U2715)&lt;0,"NEG STOCK",IF(K2715&lt;INDEX(Items!$P$5:$P$504,U2715),"BELOW COST","OK")))),IF($D2715="","","PRO PLAN"))</f>
        <v/>
      </c>
      <c r="U2715" s="60" t="str">
        <f aca="false">IF(IsPro,IF($D2715="","",IFERROR(MATCH($D2715,Items!$A$5:$A$504,0),"")),"")</f>
        <v/>
      </c>
      <c r="V2715" s="60" t="str">
        <f aca="false">IF(IsPro,IF($C2715="","",IFERROR(MATCH($C2715,Parties!$A$5:$A$304,0),"")),"")</f>
        <v/>
      </c>
      <c r="W2715" s="60" t="str">
        <f aca="false">IF(IsPro,IF($B2715="","",IFERROR(VALUE(SUBSTITUTE($B2715,InvPrefix,"")),0)),"")</f>
        <v/>
      </c>
      <c r="X2715" s="61" t="str">
        <f aca="false">IF(IsPro,IF($D2715="","",IF(OR($H2715="",$H2715="Credit"),0,Q2715)),"")</f>
        <v/>
      </c>
    </row>
    <row r="2716" customFormat="false" ht="15" hidden="false" customHeight="false" outlineLevel="0" collapsed="false">
      <c r="A2716" s="55"/>
      <c r="B2716" s="56"/>
      <c r="C2716" s="56"/>
      <c r="D2716" s="56"/>
      <c r="E2716" s="57"/>
      <c r="F2716" s="58"/>
      <c r="G2716" s="59"/>
      <c r="H2716" s="56"/>
      <c r="I2716" s="56"/>
      <c r="J2716" s="60" t="str">
        <f aca="false">IF(IsPro,IF($D2716="","",IFERROR(INDEX(Items!$D$5:$D$504,U2716),"")),"")</f>
        <v/>
      </c>
      <c r="K2716" s="61" t="str">
        <f aca="false">IF(IsPro,IF($D2716="","",IF($F2716="",IFERROR(INDEX(Items!$H$5:$H$504,U2716),0),$F2716)),"")</f>
        <v/>
      </c>
      <c r="L2716" s="61" t="str">
        <f aca="false">IF(IsPro,IF($D2716="","",ROUND(N($E2716)*K2716*(1-N($G2716)),2)),"")</f>
        <v/>
      </c>
      <c r="M2716" s="62" t="str">
        <f aca="false">IF(IsPro,IF($D2716="","",IFERROR(INDEX(Items!$F$5:$F$504,U2716),0)),"")</f>
        <v/>
      </c>
      <c r="N2716" s="61" t="str">
        <f aca="false">IF(IsPro,IF($D2716="","",IF(AND(V2716&lt;&gt;"",INDEX(Parties!$E$5:$E$304,V2716)&lt;&gt;"",INDEX(Parties!$E$5:$E$304,V2716)&lt;&gt;HomeState),0,ROUND(L2716*M2716/2,2))),"")</f>
        <v/>
      </c>
      <c r="O2716" s="61" t="str">
        <f aca="false">IF(IsPro,IF($D2716="","",N2716),"")</f>
        <v/>
      </c>
      <c r="P2716" s="61" t="str">
        <f aca="false">IF(IsPro,IF($D2716="","",IF(AND(V2716&lt;&gt;"",INDEX(Parties!$E$5:$E$304,V2716)&lt;&gt;"",INDEX(Parties!$E$5:$E$304,V2716)&lt;&gt;HomeState),ROUND(L2716*M2716,2),0)),"")</f>
        <v/>
      </c>
      <c r="Q2716" s="61" t="str">
        <f aca="false">IF(IsPro,IF($D2716="","",L2716+N2716+O2716+P2716),"")</f>
        <v/>
      </c>
      <c r="R2716" s="61" t="str">
        <f aca="false">IF(IsPro,IF($D2716="","",ROUND(N($E2716)*IFERROR(INDEX(Items!$P$5:$P$504,U2716),0),2)),"")</f>
        <v/>
      </c>
      <c r="S2716" s="61" t="str">
        <f aca="false">IF(IsPro,IF($D2716="","",L2716-R2716),"")</f>
        <v/>
      </c>
      <c r="T2716" s="60" t="str">
        <f aca="false">IF(IsPro,IF($D2716="","",IF(U2716="","UNKNOWN ITEM",IF(INDEX(Items!$O$5:$O$504,U2716)&lt;0,"NEG STOCK",IF(K2716&lt;INDEX(Items!$P$5:$P$504,U2716),"BELOW COST","OK")))),IF($D2716="","","PRO PLAN"))</f>
        <v/>
      </c>
      <c r="U2716" s="60" t="str">
        <f aca="false">IF(IsPro,IF($D2716="","",IFERROR(MATCH($D2716,Items!$A$5:$A$504,0),"")),"")</f>
        <v/>
      </c>
      <c r="V2716" s="60" t="str">
        <f aca="false">IF(IsPro,IF($C2716="","",IFERROR(MATCH($C2716,Parties!$A$5:$A$304,0),"")),"")</f>
        <v/>
      </c>
      <c r="W2716" s="60" t="str">
        <f aca="false">IF(IsPro,IF($B2716="","",IFERROR(VALUE(SUBSTITUTE($B2716,InvPrefix,"")),0)),"")</f>
        <v/>
      </c>
      <c r="X2716" s="61" t="str">
        <f aca="false">IF(IsPro,IF($D2716="","",IF(OR($H2716="",$H2716="Credit"),0,Q2716)),"")</f>
        <v/>
      </c>
    </row>
    <row r="2717" customFormat="false" ht="15" hidden="false" customHeight="false" outlineLevel="0" collapsed="false">
      <c r="A2717" s="55"/>
      <c r="B2717" s="56"/>
      <c r="C2717" s="56"/>
      <c r="D2717" s="56"/>
      <c r="E2717" s="57"/>
      <c r="F2717" s="58"/>
      <c r="G2717" s="59"/>
      <c r="H2717" s="56"/>
      <c r="I2717" s="56"/>
      <c r="J2717" s="60" t="str">
        <f aca="false">IF(IsPro,IF($D2717="","",IFERROR(INDEX(Items!$D$5:$D$504,U2717),"")),"")</f>
        <v/>
      </c>
      <c r="K2717" s="61" t="str">
        <f aca="false">IF(IsPro,IF($D2717="","",IF($F2717="",IFERROR(INDEX(Items!$H$5:$H$504,U2717),0),$F2717)),"")</f>
        <v/>
      </c>
      <c r="L2717" s="61" t="str">
        <f aca="false">IF(IsPro,IF($D2717="","",ROUND(N($E2717)*K2717*(1-N($G2717)),2)),"")</f>
        <v/>
      </c>
      <c r="M2717" s="62" t="str">
        <f aca="false">IF(IsPro,IF($D2717="","",IFERROR(INDEX(Items!$F$5:$F$504,U2717),0)),"")</f>
        <v/>
      </c>
      <c r="N2717" s="61" t="str">
        <f aca="false">IF(IsPro,IF($D2717="","",IF(AND(V2717&lt;&gt;"",INDEX(Parties!$E$5:$E$304,V2717)&lt;&gt;"",INDEX(Parties!$E$5:$E$304,V2717)&lt;&gt;HomeState),0,ROUND(L2717*M2717/2,2))),"")</f>
        <v/>
      </c>
      <c r="O2717" s="61" t="str">
        <f aca="false">IF(IsPro,IF($D2717="","",N2717),"")</f>
        <v/>
      </c>
      <c r="P2717" s="61" t="str">
        <f aca="false">IF(IsPro,IF($D2717="","",IF(AND(V2717&lt;&gt;"",INDEX(Parties!$E$5:$E$304,V2717)&lt;&gt;"",INDEX(Parties!$E$5:$E$304,V2717)&lt;&gt;HomeState),ROUND(L2717*M2717,2),0)),"")</f>
        <v/>
      </c>
      <c r="Q2717" s="61" t="str">
        <f aca="false">IF(IsPro,IF($D2717="","",L2717+N2717+O2717+P2717),"")</f>
        <v/>
      </c>
      <c r="R2717" s="61" t="str">
        <f aca="false">IF(IsPro,IF($D2717="","",ROUND(N($E2717)*IFERROR(INDEX(Items!$P$5:$P$504,U2717),0),2)),"")</f>
        <v/>
      </c>
      <c r="S2717" s="61" t="str">
        <f aca="false">IF(IsPro,IF($D2717="","",L2717-R2717),"")</f>
        <v/>
      </c>
      <c r="T2717" s="60" t="str">
        <f aca="false">IF(IsPro,IF($D2717="","",IF(U2717="","UNKNOWN ITEM",IF(INDEX(Items!$O$5:$O$504,U2717)&lt;0,"NEG STOCK",IF(K2717&lt;INDEX(Items!$P$5:$P$504,U2717),"BELOW COST","OK")))),IF($D2717="","","PRO PLAN"))</f>
        <v/>
      </c>
      <c r="U2717" s="60" t="str">
        <f aca="false">IF(IsPro,IF($D2717="","",IFERROR(MATCH($D2717,Items!$A$5:$A$504,0),"")),"")</f>
        <v/>
      </c>
      <c r="V2717" s="60" t="str">
        <f aca="false">IF(IsPro,IF($C2717="","",IFERROR(MATCH($C2717,Parties!$A$5:$A$304,0),"")),"")</f>
        <v/>
      </c>
      <c r="W2717" s="60" t="str">
        <f aca="false">IF(IsPro,IF($B2717="","",IFERROR(VALUE(SUBSTITUTE($B2717,InvPrefix,"")),0)),"")</f>
        <v/>
      </c>
      <c r="X2717" s="61" t="str">
        <f aca="false">IF(IsPro,IF($D2717="","",IF(OR($H2717="",$H2717="Credit"),0,Q2717)),"")</f>
        <v/>
      </c>
    </row>
    <row r="2718" customFormat="false" ht="15" hidden="false" customHeight="false" outlineLevel="0" collapsed="false">
      <c r="A2718" s="55"/>
      <c r="B2718" s="56"/>
      <c r="C2718" s="56"/>
      <c r="D2718" s="56"/>
      <c r="E2718" s="57"/>
      <c r="F2718" s="58"/>
      <c r="G2718" s="59"/>
      <c r="H2718" s="56"/>
      <c r="I2718" s="56"/>
      <c r="J2718" s="60" t="str">
        <f aca="false">IF(IsPro,IF($D2718="","",IFERROR(INDEX(Items!$D$5:$D$504,U2718),"")),"")</f>
        <v/>
      </c>
      <c r="K2718" s="61" t="str">
        <f aca="false">IF(IsPro,IF($D2718="","",IF($F2718="",IFERROR(INDEX(Items!$H$5:$H$504,U2718),0),$F2718)),"")</f>
        <v/>
      </c>
      <c r="L2718" s="61" t="str">
        <f aca="false">IF(IsPro,IF($D2718="","",ROUND(N($E2718)*K2718*(1-N($G2718)),2)),"")</f>
        <v/>
      </c>
      <c r="M2718" s="62" t="str">
        <f aca="false">IF(IsPro,IF($D2718="","",IFERROR(INDEX(Items!$F$5:$F$504,U2718),0)),"")</f>
        <v/>
      </c>
      <c r="N2718" s="61" t="str">
        <f aca="false">IF(IsPro,IF($D2718="","",IF(AND(V2718&lt;&gt;"",INDEX(Parties!$E$5:$E$304,V2718)&lt;&gt;"",INDEX(Parties!$E$5:$E$304,V2718)&lt;&gt;HomeState),0,ROUND(L2718*M2718/2,2))),"")</f>
        <v/>
      </c>
      <c r="O2718" s="61" t="str">
        <f aca="false">IF(IsPro,IF($D2718="","",N2718),"")</f>
        <v/>
      </c>
      <c r="P2718" s="61" t="str">
        <f aca="false">IF(IsPro,IF($D2718="","",IF(AND(V2718&lt;&gt;"",INDEX(Parties!$E$5:$E$304,V2718)&lt;&gt;"",INDEX(Parties!$E$5:$E$304,V2718)&lt;&gt;HomeState),ROUND(L2718*M2718,2),0)),"")</f>
        <v/>
      </c>
      <c r="Q2718" s="61" t="str">
        <f aca="false">IF(IsPro,IF($D2718="","",L2718+N2718+O2718+P2718),"")</f>
        <v/>
      </c>
      <c r="R2718" s="61" t="str">
        <f aca="false">IF(IsPro,IF($D2718="","",ROUND(N($E2718)*IFERROR(INDEX(Items!$P$5:$P$504,U2718),0),2)),"")</f>
        <v/>
      </c>
      <c r="S2718" s="61" t="str">
        <f aca="false">IF(IsPro,IF($D2718="","",L2718-R2718),"")</f>
        <v/>
      </c>
      <c r="T2718" s="60" t="str">
        <f aca="false">IF(IsPro,IF($D2718="","",IF(U2718="","UNKNOWN ITEM",IF(INDEX(Items!$O$5:$O$504,U2718)&lt;0,"NEG STOCK",IF(K2718&lt;INDEX(Items!$P$5:$P$504,U2718),"BELOW COST","OK")))),IF($D2718="","","PRO PLAN"))</f>
        <v/>
      </c>
      <c r="U2718" s="60" t="str">
        <f aca="false">IF(IsPro,IF($D2718="","",IFERROR(MATCH($D2718,Items!$A$5:$A$504,0),"")),"")</f>
        <v/>
      </c>
      <c r="V2718" s="60" t="str">
        <f aca="false">IF(IsPro,IF($C2718="","",IFERROR(MATCH($C2718,Parties!$A$5:$A$304,0),"")),"")</f>
        <v/>
      </c>
      <c r="W2718" s="60" t="str">
        <f aca="false">IF(IsPro,IF($B2718="","",IFERROR(VALUE(SUBSTITUTE($B2718,InvPrefix,"")),0)),"")</f>
        <v/>
      </c>
      <c r="X2718" s="61" t="str">
        <f aca="false">IF(IsPro,IF($D2718="","",IF(OR($H2718="",$H2718="Credit"),0,Q2718)),"")</f>
        <v/>
      </c>
    </row>
    <row r="2719" customFormat="false" ht="15" hidden="false" customHeight="false" outlineLevel="0" collapsed="false">
      <c r="A2719" s="55"/>
      <c r="B2719" s="56"/>
      <c r="C2719" s="56"/>
      <c r="D2719" s="56"/>
      <c r="E2719" s="57"/>
      <c r="F2719" s="58"/>
      <c r="G2719" s="59"/>
      <c r="H2719" s="56"/>
      <c r="I2719" s="56"/>
      <c r="J2719" s="60" t="str">
        <f aca="false">IF(IsPro,IF($D2719="","",IFERROR(INDEX(Items!$D$5:$D$504,U2719),"")),"")</f>
        <v/>
      </c>
      <c r="K2719" s="61" t="str">
        <f aca="false">IF(IsPro,IF($D2719="","",IF($F2719="",IFERROR(INDEX(Items!$H$5:$H$504,U2719),0),$F2719)),"")</f>
        <v/>
      </c>
      <c r="L2719" s="61" t="str">
        <f aca="false">IF(IsPro,IF($D2719="","",ROUND(N($E2719)*K2719*(1-N($G2719)),2)),"")</f>
        <v/>
      </c>
      <c r="M2719" s="62" t="str">
        <f aca="false">IF(IsPro,IF($D2719="","",IFERROR(INDEX(Items!$F$5:$F$504,U2719),0)),"")</f>
        <v/>
      </c>
      <c r="N2719" s="61" t="str">
        <f aca="false">IF(IsPro,IF($D2719="","",IF(AND(V2719&lt;&gt;"",INDEX(Parties!$E$5:$E$304,V2719)&lt;&gt;"",INDEX(Parties!$E$5:$E$304,V2719)&lt;&gt;HomeState),0,ROUND(L2719*M2719/2,2))),"")</f>
        <v/>
      </c>
      <c r="O2719" s="61" t="str">
        <f aca="false">IF(IsPro,IF($D2719="","",N2719),"")</f>
        <v/>
      </c>
      <c r="P2719" s="61" t="str">
        <f aca="false">IF(IsPro,IF($D2719="","",IF(AND(V2719&lt;&gt;"",INDEX(Parties!$E$5:$E$304,V2719)&lt;&gt;"",INDEX(Parties!$E$5:$E$304,V2719)&lt;&gt;HomeState),ROUND(L2719*M2719,2),0)),"")</f>
        <v/>
      </c>
      <c r="Q2719" s="61" t="str">
        <f aca="false">IF(IsPro,IF($D2719="","",L2719+N2719+O2719+P2719),"")</f>
        <v/>
      </c>
      <c r="R2719" s="61" t="str">
        <f aca="false">IF(IsPro,IF($D2719="","",ROUND(N($E2719)*IFERROR(INDEX(Items!$P$5:$P$504,U2719),0),2)),"")</f>
        <v/>
      </c>
      <c r="S2719" s="61" t="str">
        <f aca="false">IF(IsPro,IF($D2719="","",L2719-R2719),"")</f>
        <v/>
      </c>
      <c r="T2719" s="60" t="str">
        <f aca="false">IF(IsPro,IF($D2719="","",IF(U2719="","UNKNOWN ITEM",IF(INDEX(Items!$O$5:$O$504,U2719)&lt;0,"NEG STOCK",IF(K2719&lt;INDEX(Items!$P$5:$P$504,U2719),"BELOW COST","OK")))),IF($D2719="","","PRO PLAN"))</f>
        <v/>
      </c>
      <c r="U2719" s="60" t="str">
        <f aca="false">IF(IsPro,IF($D2719="","",IFERROR(MATCH($D2719,Items!$A$5:$A$504,0),"")),"")</f>
        <v/>
      </c>
      <c r="V2719" s="60" t="str">
        <f aca="false">IF(IsPro,IF($C2719="","",IFERROR(MATCH($C2719,Parties!$A$5:$A$304,0),"")),"")</f>
        <v/>
      </c>
      <c r="W2719" s="60" t="str">
        <f aca="false">IF(IsPro,IF($B2719="","",IFERROR(VALUE(SUBSTITUTE($B2719,InvPrefix,"")),0)),"")</f>
        <v/>
      </c>
      <c r="X2719" s="61" t="str">
        <f aca="false">IF(IsPro,IF($D2719="","",IF(OR($H2719="",$H2719="Credit"),0,Q2719)),"")</f>
        <v/>
      </c>
    </row>
    <row r="2720" customFormat="false" ht="15" hidden="false" customHeight="false" outlineLevel="0" collapsed="false">
      <c r="A2720" s="55"/>
      <c r="B2720" s="56"/>
      <c r="C2720" s="56"/>
      <c r="D2720" s="56"/>
      <c r="E2720" s="57"/>
      <c r="F2720" s="58"/>
      <c r="G2720" s="59"/>
      <c r="H2720" s="56"/>
      <c r="I2720" s="56"/>
      <c r="J2720" s="60" t="str">
        <f aca="false">IF(IsPro,IF($D2720="","",IFERROR(INDEX(Items!$D$5:$D$504,U2720),"")),"")</f>
        <v/>
      </c>
      <c r="K2720" s="61" t="str">
        <f aca="false">IF(IsPro,IF($D2720="","",IF($F2720="",IFERROR(INDEX(Items!$H$5:$H$504,U2720),0),$F2720)),"")</f>
        <v/>
      </c>
      <c r="L2720" s="61" t="str">
        <f aca="false">IF(IsPro,IF($D2720="","",ROUND(N($E2720)*K2720*(1-N($G2720)),2)),"")</f>
        <v/>
      </c>
      <c r="M2720" s="62" t="str">
        <f aca="false">IF(IsPro,IF($D2720="","",IFERROR(INDEX(Items!$F$5:$F$504,U2720),0)),"")</f>
        <v/>
      </c>
      <c r="N2720" s="61" t="str">
        <f aca="false">IF(IsPro,IF($D2720="","",IF(AND(V2720&lt;&gt;"",INDEX(Parties!$E$5:$E$304,V2720)&lt;&gt;"",INDEX(Parties!$E$5:$E$304,V2720)&lt;&gt;HomeState),0,ROUND(L2720*M2720/2,2))),"")</f>
        <v/>
      </c>
      <c r="O2720" s="61" t="str">
        <f aca="false">IF(IsPro,IF($D2720="","",N2720),"")</f>
        <v/>
      </c>
      <c r="P2720" s="61" t="str">
        <f aca="false">IF(IsPro,IF($D2720="","",IF(AND(V2720&lt;&gt;"",INDEX(Parties!$E$5:$E$304,V2720)&lt;&gt;"",INDEX(Parties!$E$5:$E$304,V2720)&lt;&gt;HomeState),ROUND(L2720*M2720,2),0)),"")</f>
        <v/>
      </c>
      <c r="Q2720" s="61" t="str">
        <f aca="false">IF(IsPro,IF($D2720="","",L2720+N2720+O2720+P2720),"")</f>
        <v/>
      </c>
      <c r="R2720" s="61" t="str">
        <f aca="false">IF(IsPro,IF($D2720="","",ROUND(N($E2720)*IFERROR(INDEX(Items!$P$5:$P$504,U2720),0),2)),"")</f>
        <v/>
      </c>
      <c r="S2720" s="61" t="str">
        <f aca="false">IF(IsPro,IF($D2720="","",L2720-R2720),"")</f>
        <v/>
      </c>
      <c r="T2720" s="60" t="str">
        <f aca="false">IF(IsPro,IF($D2720="","",IF(U2720="","UNKNOWN ITEM",IF(INDEX(Items!$O$5:$O$504,U2720)&lt;0,"NEG STOCK",IF(K2720&lt;INDEX(Items!$P$5:$P$504,U2720),"BELOW COST","OK")))),IF($D2720="","","PRO PLAN"))</f>
        <v/>
      </c>
      <c r="U2720" s="60" t="str">
        <f aca="false">IF(IsPro,IF($D2720="","",IFERROR(MATCH($D2720,Items!$A$5:$A$504,0),"")),"")</f>
        <v/>
      </c>
      <c r="V2720" s="60" t="str">
        <f aca="false">IF(IsPro,IF($C2720="","",IFERROR(MATCH($C2720,Parties!$A$5:$A$304,0),"")),"")</f>
        <v/>
      </c>
      <c r="W2720" s="60" t="str">
        <f aca="false">IF(IsPro,IF($B2720="","",IFERROR(VALUE(SUBSTITUTE($B2720,InvPrefix,"")),0)),"")</f>
        <v/>
      </c>
      <c r="X2720" s="61" t="str">
        <f aca="false">IF(IsPro,IF($D2720="","",IF(OR($H2720="",$H2720="Credit"),0,Q2720)),"")</f>
        <v/>
      </c>
    </row>
    <row r="2721" customFormat="false" ht="15" hidden="false" customHeight="false" outlineLevel="0" collapsed="false">
      <c r="A2721" s="55"/>
      <c r="B2721" s="56"/>
      <c r="C2721" s="56"/>
      <c r="D2721" s="56"/>
      <c r="E2721" s="57"/>
      <c r="F2721" s="58"/>
      <c r="G2721" s="59"/>
      <c r="H2721" s="56"/>
      <c r="I2721" s="56"/>
      <c r="J2721" s="60" t="str">
        <f aca="false">IF(IsPro,IF($D2721="","",IFERROR(INDEX(Items!$D$5:$D$504,U2721),"")),"")</f>
        <v/>
      </c>
      <c r="K2721" s="61" t="str">
        <f aca="false">IF(IsPro,IF($D2721="","",IF($F2721="",IFERROR(INDEX(Items!$H$5:$H$504,U2721),0),$F2721)),"")</f>
        <v/>
      </c>
      <c r="L2721" s="61" t="str">
        <f aca="false">IF(IsPro,IF($D2721="","",ROUND(N($E2721)*K2721*(1-N($G2721)),2)),"")</f>
        <v/>
      </c>
      <c r="M2721" s="62" t="str">
        <f aca="false">IF(IsPro,IF($D2721="","",IFERROR(INDEX(Items!$F$5:$F$504,U2721),0)),"")</f>
        <v/>
      </c>
      <c r="N2721" s="61" t="str">
        <f aca="false">IF(IsPro,IF($D2721="","",IF(AND(V2721&lt;&gt;"",INDEX(Parties!$E$5:$E$304,V2721)&lt;&gt;"",INDEX(Parties!$E$5:$E$304,V2721)&lt;&gt;HomeState),0,ROUND(L2721*M2721/2,2))),"")</f>
        <v/>
      </c>
      <c r="O2721" s="61" t="str">
        <f aca="false">IF(IsPro,IF($D2721="","",N2721),"")</f>
        <v/>
      </c>
      <c r="P2721" s="61" t="str">
        <f aca="false">IF(IsPro,IF($D2721="","",IF(AND(V2721&lt;&gt;"",INDEX(Parties!$E$5:$E$304,V2721)&lt;&gt;"",INDEX(Parties!$E$5:$E$304,V2721)&lt;&gt;HomeState),ROUND(L2721*M2721,2),0)),"")</f>
        <v/>
      </c>
      <c r="Q2721" s="61" t="str">
        <f aca="false">IF(IsPro,IF($D2721="","",L2721+N2721+O2721+P2721),"")</f>
        <v/>
      </c>
      <c r="R2721" s="61" t="str">
        <f aca="false">IF(IsPro,IF($D2721="","",ROUND(N($E2721)*IFERROR(INDEX(Items!$P$5:$P$504,U2721),0),2)),"")</f>
        <v/>
      </c>
      <c r="S2721" s="61" t="str">
        <f aca="false">IF(IsPro,IF($D2721="","",L2721-R2721),"")</f>
        <v/>
      </c>
      <c r="T2721" s="60" t="str">
        <f aca="false">IF(IsPro,IF($D2721="","",IF(U2721="","UNKNOWN ITEM",IF(INDEX(Items!$O$5:$O$504,U2721)&lt;0,"NEG STOCK",IF(K2721&lt;INDEX(Items!$P$5:$P$504,U2721),"BELOW COST","OK")))),IF($D2721="","","PRO PLAN"))</f>
        <v/>
      </c>
      <c r="U2721" s="60" t="str">
        <f aca="false">IF(IsPro,IF($D2721="","",IFERROR(MATCH($D2721,Items!$A$5:$A$504,0),"")),"")</f>
        <v/>
      </c>
      <c r="V2721" s="60" t="str">
        <f aca="false">IF(IsPro,IF($C2721="","",IFERROR(MATCH($C2721,Parties!$A$5:$A$304,0),"")),"")</f>
        <v/>
      </c>
      <c r="W2721" s="60" t="str">
        <f aca="false">IF(IsPro,IF($B2721="","",IFERROR(VALUE(SUBSTITUTE($B2721,InvPrefix,"")),0)),"")</f>
        <v/>
      </c>
      <c r="X2721" s="61" t="str">
        <f aca="false">IF(IsPro,IF($D2721="","",IF(OR($H2721="",$H2721="Credit"),0,Q2721)),"")</f>
        <v/>
      </c>
    </row>
    <row r="2722" customFormat="false" ht="15" hidden="false" customHeight="false" outlineLevel="0" collapsed="false">
      <c r="A2722" s="55"/>
      <c r="B2722" s="56"/>
      <c r="C2722" s="56"/>
      <c r="D2722" s="56"/>
      <c r="E2722" s="57"/>
      <c r="F2722" s="58"/>
      <c r="G2722" s="59"/>
      <c r="H2722" s="56"/>
      <c r="I2722" s="56"/>
      <c r="J2722" s="60" t="str">
        <f aca="false">IF(IsPro,IF($D2722="","",IFERROR(INDEX(Items!$D$5:$D$504,U2722),"")),"")</f>
        <v/>
      </c>
      <c r="K2722" s="61" t="str">
        <f aca="false">IF(IsPro,IF($D2722="","",IF($F2722="",IFERROR(INDEX(Items!$H$5:$H$504,U2722),0),$F2722)),"")</f>
        <v/>
      </c>
      <c r="L2722" s="61" t="str">
        <f aca="false">IF(IsPro,IF($D2722="","",ROUND(N($E2722)*K2722*(1-N($G2722)),2)),"")</f>
        <v/>
      </c>
      <c r="M2722" s="62" t="str">
        <f aca="false">IF(IsPro,IF($D2722="","",IFERROR(INDEX(Items!$F$5:$F$504,U2722),0)),"")</f>
        <v/>
      </c>
      <c r="N2722" s="61" t="str">
        <f aca="false">IF(IsPro,IF($D2722="","",IF(AND(V2722&lt;&gt;"",INDEX(Parties!$E$5:$E$304,V2722)&lt;&gt;"",INDEX(Parties!$E$5:$E$304,V2722)&lt;&gt;HomeState),0,ROUND(L2722*M2722/2,2))),"")</f>
        <v/>
      </c>
      <c r="O2722" s="61" t="str">
        <f aca="false">IF(IsPro,IF($D2722="","",N2722),"")</f>
        <v/>
      </c>
      <c r="P2722" s="61" t="str">
        <f aca="false">IF(IsPro,IF($D2722="","",IF(AND(V2722&lt;&gt;"",INDEX(Parties!$E$5:$E$304,V2722)&lt;&gt;"",INDEX(Parties!$E$5:$E$304,V2722)&lt;&gt;HomeState),ROUND(L2722*M2722,2),0)),"")</f>
        <v/>
      </c>
      <c r="Q2722" s="61" t="str">
        <f aca="false">IF(IsPro,IF($D2722="","",L2722+N2722+O2722+P2722),"")</f>
        <v/>
      </c>
      <c r="R2722" s="61" t="str">
        <f aca="false">IF(IsPro,IF($D2722="","",ROUND(N($E2722)*IFERROR(INDEX(Items!$P$5:$P$504,U2722),0),2)),"")</f>
        <v/>
      </c>
      <c r="S2722" s="61" t="str">
        <f aca="false">IF(IsPro,IF($D2722="","",L2722-R2722),"")</f>
        <v/>
      </c>
      <c r="T2722" s="60" t="str">
        <f aca="false">IF(IsPro,IF($D2722="","",IF(U2722="","UNKNOWN ITEM",IF(INDEX(Items!$O$5:$O$504,U2722)&lt;0,"NEG STOCK",IF(K2722&lt;INDEX(Items!$P$5:$P$504,U2722),"BELOW COST","OK")))),IF($D2722="","","PRO PLAN"))</f>
        <v/>
      </c>
      <c r="U2722" s="60" t="str">
        <f aca="false">IF(IsPro,IF($D2722="","",IFERROR(MATCH($D2722,Items!$A$5:$A$504,0),"")),"")</f>
        <v/>
      </c>
      <c r="V2722" s="60" t="str">
        <f aca="false">IF(IsPro,IF($C2722="","",IFERROR(MATCH($C2722,Parties!$A$5:$A$304,0),"")),"")</f>
        <v/>
      </c>
      <c r="W2722" s="60" t="str">
        <f aca="false">IF(IsPro,IF($B2722="","",IFERROR(VALUE(SUBSTITUTE($B2722,InvPrefix,"")),0)),"")</f>
        <v/>
      </c>
      <c r="X2722" s="61" t="str">
        <f aca="false">IF(IsPro,IF($D2722="","",IF(OR($H2722="",$H2722="Credit"),0,Q2722)),"")</f>
        <v/>
      </c>
    </row>
    <row r="2723" customFormat="false" ht="15" hidden="false" customHeight="false" outlineLevel="0" collapsed="false">
      <c r="A2723" s="55"/>
      <c r="B2723" s="56"/>
      <c r="C2723" s="56"/>
      <c r="D2723" s="56"/>
      <c r="E2723" s="57"/>
      <c r="F2723" s="58"/>
      <c r="G2723" s="59"/>
      <c r="H2723" s="56"/>
      <c r="I2723" s="56"/>
      <c r="J2723" s="60" t="str">
        <f aca="false">IF(IsPro,IF($D2723="","",IFERROR(INDEX(Items!$D$5:$D$504,U2723),"")),"")</f>
        <v/>
      </c>
      <c r="K2723" s="61" t="str">
        <f aca="false">IF(IsPro,IF($D2723="","",IF($F2723="",IFERROR(INDEX(Items!$H$5:$H$504,U2723),0),$F2723)),"")</f>
        <v/>
      </c>
      <c r="L2723" s="61" t="str">
        <f aca="false">IF(IsPro,IF($D2723="","",ROUND(N($E2723)*K2723*(1-N($G2723)),2)),"")</f>
        <v/>
      </c>
      <c r="M2723" s="62" t="str">
        <f aca="false">IF(IsPro,IF($D2723="","",IFERROR(INDEX(Items!$F$5:$F$504,U2723),0)),"")</f>
        <v/>
      </c>
      <c r="N2723" s="61" t="str">
        <f aca="false">IF(IsPro,IF($D2723="","",IF(AND(V2723&lt;&gt;"",INDEX(Parties!$E$5:$E$304,V2723)&lt;&gt;"",INDEX(Parties!$E$5:$E$304,V2723)&lt;&gt;HomeState),0,ROUND(L2723*M2723/2,2))),"")</f>
        <v/>
      </c>
      <c r="O2723" s="61" t="str">
        <f aca="false">IF(IsPro,IF($D2723="","",N2723),"")</f>
        <v/>
      </c>
      <c r="P2723" s="61" t="str">
        <f aca="false">IF(IsPro,IF($D2723="","",IF(AND(V2723&lt;&gt;"",INDEX(Parties!$E$5:$E$304,V2723)&lt;&gt;"",INDEX(Parties!$E$5:$E$304,V2723)&lt;&gt;HomeState),ROUND(L2723*M2723,2),0)),"")</f>
        <v/>
      </c>
      <c r="Q2723" s="61" t="str">
        <f aca="false">IF(IsPro,IF($D2723="","",L2723+N2723+O2723+P2723),"")</f>
        <v/>
      </c>
      <c r="R2723" s="61" t="str">
        <f aca="false">IF(IsPro,IF($D2723="","",ROUND(N($E2723)*IFERROR(INDEX(Items!$P$5:$P$504,U2723),0),2)),"")</f>
        <v/>
      </c>
      <c r="S2723" s="61" t="str">
        <f aca="false">IF(IsPro,IF($D2723="","",L2723-R2723),"")</f>
        <v/>
      </c>
      <c r="T2723" s="60" t="str">
        <f aca="false">IF(IsPro,IF($D2723="","",IF(U2723="","UNKNOWN ITEM",IF(INDEX(Items!$O$5:$O$504,U2723)&lt;0,"NEG STOCK",IF(K2723&lt;INDEX(Items!$P$5:$P$504,U2723),"BELOW COST","OK")))),IF($D2723="","","PRO PLAN"))</f>
        <v/>
      </c>
      <c r="U2723" s="60" t="str">
        <f aca="false">IF(IsPro,IF($D2723="","",IFERROR(MATCH($D2723,Items!$A$5:$A$504,0),"")),"")</f>
        <v/>
      </c>
      <c r="V2723" s="60" t="str">
        <f aca="false">IF(IsPro,IF($C2723="","",IFERROR(MATCH($C2723,Parties!$A$5:$A$304,0),"")),"")</f>
        <v/>
      </c>
      <c r="W2723" s="60" t="str">
        <f aca="false">IF(IsPro,IF($B2723="","",IFERROR(VALUE(SUBSTITUTE($B2723,InvPrefix,"")),0)),"")</f>
        <v/>
      </c>
      <c r="X2723" s="61" t="str">
        <f aca="false">IF(IsPro,IF($D2723="","",IF(OR($H2723="",$H2723="Credit"),0,Q2723)),"")</f>
        <v/>
      </c>
    </row>
    <row r="2724" customFormat="false" ht="15" hidden="false" customHeight="false" outlineLevel="0" collapsed="false">
      <c r="A2724" s="55"/>
      <c r="B2724" s="56"/>
      <c r="C2724" s="56"/>
      <c r="D2724" s="56"/>
      <c r="E2724" s="57"/>
      <c r="F2724" s="58"/>
      <c r="G2724" s="59"/>
      <c r="H2724" s="56"/>
      <c r="I2724" s="56"/>
      <c r="J2724" s="60" t="str">
        <f aca="false">IF(IsPro,IF($D2724="","",IFERROR(INDEX(Items!$D$5:$D$504,U2724),"")),"")</f>
        <v/>
      </c>
      <c r="K2724" s="61" t="str">
        <f aca="false">IF(IsPro,IF($D2724="","",IF($F2724="",IFERROR(INDEX(Items!$H$5:$H$504,U2724),0),$F2724)),"")</f>
        <v/>
      </c>
      <c r="L2724" s="61" t="str">
        <f aca="false">IF(IsPro,IF($D2724="","",ROUND(N($E2724)*K2724*(1-N($G2724)),2)),"")</f>
        <v/>
      </c>
      <c r="M2724" s="62" t="str">
        <f aca="false">IF(IsPro,IF($D2724="","",IFERROR(INDEX(Items!$F$5:$F$504,U2724),0)),"")</f>
        <v/>
      </c>
      <c r="N2724" s="61" t="str">
        <f aca="false">IF(IsPro,IF($D2724="","",IF(AND(V2724&lt;&gt;"",INDEX(Parties!$E$5:$E$304,V2724)&lt;&gt;"",INDEX(Parties!$E$5:$E$304,V2724)&lt;&gt;HomeState),0,ROUND(L2724*M2724/2,2))),"")</f>
        <v/>
      </c>
      <c r="O2724" s="61" t="str">
        <f aca="false">IF(IsPro,IF($D2724="","",N2724),"")</f>
        <v/>
      </c>
      <c r="P2724" s="61" t="str">
        <f aca="false">IF(IsPro,IF($D2724="","",IF(AND(V2724&lt;&gt;"",INDEX(Parties!$E$5:$E$304,V2724)&lt;&gt;"",INDEX(Parties!$E$5:$E$304,V2724)&lt;&gt;HomeState),ROUND(L2724*M2724,2),0)),"")</f>
        <v/>
      </c>
      <c r="Q2724" s="61" t="str">
        <f aca="false">IF(IsPro,IF($D2724="","",L2724+N2724+O2724+P2724),"")</f>
        <v/>
      </c>
      <c r="R2724" s="61" t="str">
        <f aca="false">IF(IsPro,IF($D2724="","",ROUND(N($E2724)*IFERROR(INDEX(Items!$P$5:$P$504,U2724),0),2)),"")</f>
        <v/>
      </c>
      <c r="S2724" s="61" t="str">
        <f aca="false">IF(IsPro,IF($D2724="","",L2724-R2724),"")</f>
        <v/>
      </c>
      <c r="T2724" s="60" t="str">
        <f aca="false">IF(IsPro,IF($D2724="","",IF(U2724="","UNKNOWN ITEM",IF(INDEX(Items!$O$5:$O$504,U2724)&lt;0,"NEG STOCK",IF(K2724&lt;INDEX(Items!$P$5:$P$504,U2724),"BELOW COST","OK")))),IF($D2724="","","PRO PLAN"))</f>
        <v/>
      </c>
      <c r="U2724" s="60" t="str">
        <f aca="false">IF(IsPro,IF($D2724="","",IFERROR(MATCH($D2724,Items!$A$5:$A$504,0),"")),"")</f>
        <v/>
      </c>
      <c r="V2724" s="60" t="str">
        <f aca="false">IF(IsPro,IF($C2724="","",IFERROR(MATCH($C2724,Parties!$A$5:$A$304,0),"")),"")</f>
        <v/>
      </c>
      <c r="W2724" s="60" t="str">
        <f aca="false">IF(IsPro,IF($B2724="","",IFERROR(VALUE(SUBSTITUTE($B2724,InvPrefix,"")),0)),"")</f>
        <v/>
      </c>
      <c r="X2724" s="61" t="str">
        <f aca="false">IF(IsPro,IF($D2724="","",IF(OR($H2724="",$H2724="Credit"),0,Q2724)),"")</f>
        <v/>
      </c>
    </row>
    <row r="2725" customFormat="false" ht="15" hidden="false" customHeight="false" outlineLevel="0" collapsed="false">
      <c r="A2725" s="55"/>
      <c r="B2725" s="56"/>
      <c r="C2725" s="56"/>
      <c r="D2725" s="56"/>
      <c r="E2725" s="57"/>
      <c r="F2725" s="58"/>
      <c r="G2725" s="59"/>
      <c r="H2725" s="56"/>
      <c r="I2725" s="56"/>
      <c r="J2725" s="60" t="str">
        <f aca="false">IF(IsPro,IF($D2725="","",IFERROR(INDEX(Items!$D$5:$D$504,U2725),"")),"")</f>
        <v/>
      </c>
      <c r="K2725" s="61" t="str">
        <f aca="false">IF(IsPro,IF($D2725="","",IF($F2725="",IFERROR(INDEX(Items!$H$5:$H$504,U2725),0),$F2725)),"")</f>
        <v/>
      </c>
      <c r="L2725" s="61" t="str">
        <f aca="false">IF(IsPro,IF($D2725="","",ROUND(N($E2725)*K2725*(1-N($G2725)),2)),"")</f>
        <v/>
      </c>
      <c r="M2725" s="62" t="str">
        <f aca="false">IF(IsPro,IF($D2725="","",IFERROR(INDEX(Items!$F$5:$F$504,U2725),0)),"")</f>
        <v/>
      </c>
      <c r="N2725" s="61" t="str">
        <f aca="false">IF(IsPro,IF($D2725="","",IF(AND(V2725&lt;&gt;"",INDEX(Parties!$E$5:$E$304,V2725)&lt;&gt;"",INDEX(Parties!$E$5:$E$304,V2725)&lt;&gt;HomeState),0,ROUND(L2725*M2725/2,2))),"")</f>
        <v/>
      </c>
      <c r="O2725" s="61" t="str">
        <f aca="false">IF(IsPro,IF($D2725="","",N2725),"")</f>
        <v/>
      </c>
      <c r="P2725" s="61" t="str">
        <f aca="false">IF(IsPro,IF($D2725="","",IF(AND(V2725&lt;&gt;"",INDEX(Parties!$E$5:$E$304,V2725)&lt;&gt;"",INDEX(Parties!$E$5:$E$304,V2725)&lt;&gt;HomeState),ROUND(L2725*M2725,2),0)),"")</f>
        <v/>
      </c>
      <c r="Q2725" s="61" t="str">
        <f aca="false">IF(IsPro,IF($D2725="","",L2725+N2725+O2725+P2725),"")</f>
        <v/>
      </c>
      <c r="R2725" s="61" t="str">
        <f aca="false">IF(IsPro,IF($D2725="","",ROUND(N($E2725)*IFERROR(INDEX(Items!$P$5:$P$504,U2725),0),2)),"")</f>
        <v/>
      </c>
      <c r="S2725" s="61" t="str">
        <f aca="false">IF(IsPro,IF($D2725="","",L2725-R2725),"")</f>
        <v/>
      </c>
      <c r="T2725" s="60" t="str">
        <f aca="false">IF(IsPro,IF($D2725="","",IF(U2725="","UNKNOWN ITEM",IF(INDEX(Items!$O$5:$O$504,U2725)&lt;0,"NEG STOCK",IF(K2725&lt;INDEX(Items!$P$5:$P$504,U2725),"BELOW COST","OK")))),IF($D2725="","","PRO PLAN"))</f>
        <v/>
      </c>
      <c r="U2725" s="60" t="str">
        <f aca="false">IF(IsPro,IF($D2725="","",IFERROR(MATCH($D2725,Items!$A$5:$A$504,0),"")),"")</f>
        <v/>
      </c>
      <c r="V2725" s="60" t="str">
        <f aca="false">IF(IsPro,IF($C2725="","",IFERROR(MATCH($C2725,Parties!$A$5:$A$304,0),"")),"")</f>
        <v/>
      </c>
      <c r="W2725" s="60" t="str">
        <f aca="false">IF(IsPro,IF($B2725="","",IFERROR(VALUE(SUBSTITUTE($B2725,InvPrefix,"")),0)),"")</f>
        <v/>
      </c>
      <c r="X2725" s="61" t="str">
        <f aca="false">IF(IsPro,IF($D2725="","",IF(OR($H2725="",$H2725="Credit"),0,Q2725)),"")</f>
        <v/>
      </c>
    </row>
    <row r="2726" customFormat="false" ht="15" hidden="false" customHeight="false" outlineLevel="0" collapsed="false">
      <c r="A2726" s="55"/>
      <c r="B2726" s="56"/>
      <c r="C2726" s="56"/>
      <c r="D2726" s="56"/>
      <c r="E2726" s="57"/>
      <c r="F2726" s="58"/>
      <c r="G2726" s="59"/>
      <c r="H2726" s="56"/>
      <c r="I2726" s="56"/>
      <c r="J2726" s="60" t="str">
        <f aca="false">IF(IsPro,IF($D2726="","",IFERROR(INDEX(Items!$D$5:$D$504,U2726),"")),"")</f>
        <v/>
      </c>
      <c r="K2726" s="61" t="str">
        <f aca="false">IF(IsPro,IF($D2726="","",IF($F2726="",IFERROR(INDEX(Items!$H$5:$H$504,U2726),0),$F2726)),"")</f>
        <v/>
      </c>
      <c r="L2726" s="61" t="str">
        <f aca="false">IF(IsPro,IF($D2726="","",ROUND(N($E2726)*K2726*(1-N($G2726)),2)),"")</f>
        <v/>
      </c>
      <c r="M2726" s="62" t="str">
        <f aca="false">IF(IsPro,IF($D2726="","",IFERROR(INDEX(Items!$F$5:$F$504,U2726),0)),"")</f>
        <v/>
      </c>
      <c r="N2726" s="61" t="str">
        <f aca="false">IF(IsPro,IF($D2726="","",IF(AND(V2726&lt;&gt;"",INDEX(Parties!$E$5:$E$304,V2726)&lt;&gt;"",INDEX(Parties!$E$5:$E$304,V2726)&lt;&gt;HomeState),0,ROUND(L2726*M2726/2,2))),"")</f>
        <v/>
      </c>
      <c r="O2726" s="61" t="str">
        <f aca="false">IF(IsPro,IF($D2726="","",N2726),"")</f>
        <v/>
      </c>
      <c r="P2726" s="61" t="str">
        <f aca="false">IF(IsPro,IF($D2726="","",IF(AND(V2726&lt;&gt;"",INDEX(Parties!$E$5:$E$304,V2726)&lt;&gt;"",INDEX(Parties!$E$5:$E$304,V2726)&lt;&gt;HomeState),ROUND(L2726*M2726,2),0)),"")</f>
        <v/>
      </c>
      <c r="Q2726" s="61" t="str">
        <f aca="false">IF(IsPro,IF($D2726="","",L2726+N2726+O2726+P2726),"")</f>
        <v/>
      </c>
      <c r="R2726" s="61" t="str">
        <f aca="false">IF(IsPro,IF($D2726="","",ROUND(N($E2726)*IFERROR(INDEX(Items!$P$5:$P$504,U2726),0),2)),"")</f>
        <v/>
      </c>
      <c r="S2726" s="61" t="str">
        <f aca="false">IF(IsPro,IF($D2726="","",L2726-R2726),"")</f>
        <v/>
      </c>
      <c r="T2726" s="60" t="str">
        <f aca="false">IF(IsPro,IF($D2726="","",IF(U2726="","UNKNOWN ITEM",IF(INDEX(Items!$O$5:$O$504,U2726)&lt;0,"NEG STOCK",IF(K2726&lt;INDEX(Items!$P$5:$P$504,U2726),"BELOW COST","OK")))),IF($D2726="","","PRO PLAN"))</f>
        <v/>
      </c>
      <c r="U2726" s="60" t="str">
        <f aca="false">IF(IsPro,IF($D2726="","",IFERROR(MATCH($D2726,Items!$A$5:$A$504,0),"")),"")</f>
        <v/>
      </c>
      <c r="V2726" s="60" t="str">
        <f aca="false">IF(IsPro,IF($C2726="","",IFERROR(MATCH($C2726,Parties!$A$5:$A$304,0),"")),"")</f>
        <v/>
      </c>
      <c r="W2726" s="60" t="str">
        <f aca="false">IF(IsPro,IF($B2726="","",IFERROR(VALUE(SUBSTITUTE($B2726,InvPrefix,"")),0)),"")</f>
        <v/>
      </c>
      <c r="X2726" s="61" t="str">
        <f aca="false">IF(IsPro,IF($D2726="","",IF(OR($H2726="",$H2726="Credit"),0,Q2726)),"")</f>
        <v/>
      </c>
    </row>
    <row r="2727" customFormat="false" ht="15" hidden="false" customHeight="false" outlineLevel="0" collapsed="false">
      <c r="A2727" s="55"/>
      <c r="B2727" s="56"/>
      <c r="C2727" s="56"/>
      <c r="D2727" s="56"/>
      <c r="E2727" s="57"/>
      <c r="F2727" s="58"/>
      <c r="G2727" s="59"/>
      <c r="H2727" s="56"/>
      <c r="I2727" s="56"/>
      <c r="J2727" s="60" t="str">
        <f aca="false">IF(IsPro,IF($D2727="","",IFERROR(INDEX(Items!$D$5:$D$504,U2727),"")),"")</f>
        <v/>
      </c>
      <c r="K2727" s="61" t="str">
        <f aca="false">IF(IsPro,IF($D2727="","",IF($F2727="",IFERROR(INDEX(Items!$H$5:$H$504,U2727),0),$F2727)),"")</f>
        <v/>
      </c>
      <c r="L2727" s="61" t="str">
        <f aca="false">IF(IsPro,IF($D2727="","",ROUND(N($E2727)*K2727*(1-N($G2727)),2)),"")</f>
        <v/>
      </c>
      <c r="M2727" s="62" t="str">
        <f aca="false">IF(IsPro,IF($D2727="","",IFERROR(INDEX(Items!$F$5:$F$504,U2727),0)),"")</f>
        <v/>
      </c>
      <c r="N2727" s="61" t="str">
        <f aca="false">IF(IsPro,IF($D2727="","",IF(AND(V2727&lt;&gt;"",INDEX(Parties!$E$5:$E$304,V2727)&lt;&gt;"",INDEX(Parties!$E$5:$E$304,V2727)&lt;&gt;HomeState),0,ROUND(L2727*M2727/2,2))),"")</f>
        <v/>
      </c>
      <c r="O2727" s="61" t="str">
        <f aca="false">IF(IsPro,IF($D2727="","",N2727),"")</f>
        <v/>
      </c>
      <c r="P2727" s="61" t="str">
        <f aca="false">IF(IsPro,IF($D2727="","",IF(AND(V2727&lt;&gt;"",INDEX(Parties!$E$5:$E$304,V2727)&lt;&gt;"",INDEX(Parties!$E$5:$E$304,V2727)&lt;&gt;HomeState),ROUND(L2727*M2727,2),0)),"")</f>
        <v/>
      </c>
      <c r="Q2727" s="61" t="str">
        <f aca="false">IF(IsPro,IF($D2727="","",L2727+N2727+O2727+P2727),"")</f>
        <v/>
      </c>
      <c r="R2727" s="61" t="str">
        <f aca="false">IF(IsPro,IF($D2727="","",ROUND(N($E2727)*IFERROR(INDEX(Items!$P$5:$P$504,U2727),0),2)),"")</f>
        <v/>
      </c>
      <c r="S2727" s="61" t="str">
        <f aca="false">IF(IsPro,IF($D2727="","",L2727-R2727),"")</f>
        <v/>
      </c>
      <c r="T2727" s="60" t="str">
        <f aca="false">IF(IsPro,IF($D2727="","",IF(U2727="","UNKNOWN ITEM",IF(INDEX(Items!$O$5:$O$504,U2727)&lt;0,"NEG STOCK",IF(K2727&lt;INDEX(Items!$P$5:$P$504,U2727),"BELOW COST","OK")))),IF($D2727="","","PRO PLAN"))</f>
        <v/>
      </c>
      <c r="U2727" s="60" t="str">
        <f aca="false">IF(IsPro,IF($D2727="","",IFERROR(MATCH($D2727,Items!$A$5:$A$504,0),"")),"")</f>
        <v/>
      </c>
      <c r="V2727" s="60" t="str">
        <f aca="false">IF(IsPro,IF($C2727="","",IFERROR(MATCH($C2727,Parties!$A$5:$A$304,0),"")),"")</f>
        <v/>
      </c>
      <c r="W2727" s="60" t="str">
        <f aca="false">IF(IsPro,IF($B2727="","",IFERROR(VALUE(SUBSTITUTE($B2727,InvPrefix,"")),0)),"")</f>
        <v/>
      </c>
      <c r="X2727" s="61" t="str">
        <f aca="false">IF(IsPro,IF($D2727="","",IF(OR($H2727="",$H2727="Credit"),0,Q2727)),"")</f>
        <v/>
      </c>
    </row>
    <row r="2728" customFormat="false" ht="15" hidden="false" customHeight="false" outlineLevel="0" collapsed="false">
      <c r="A2728" s="55"/>
      <c r="B2728" s="56"/>
      <c r="C2728" s="56"/>
      <c r="D2728" s="56"/>
      <c r="E2728" s="57"/>
      <c r="F2728" s="58"/>
      <c r="G2728" s="59"/>
      <c r="H2728" s="56"/>
      <c r="I2728" s="56"/>
      <c r="J2728" s="60" t="str">
        <f aca="false">IF(IsPro,IF($D2728="","",IFERROR(INDEX(Items!$D$5:$D$504,U2728),"")),"")</f>
        <v/>
      </c>
      <c r="K2728" s="61" t="str">
        <f aca="false">IF(IsPro,IF($D2728="","",IF($F2728="",IFERROR(INDEX(Items!$H$5:$H$504,U2728),0),$F2728)),"")</f>
        <v/>
      </c>
      <c r="L2728" s="61" t="str">
        <f aca="false">IF(IsPro,IF($D2728="","",ROUND(N($E2728)*K2728*(1-N($G2728)),2)),"")</f>
        <v/>
      </c>
      <c r="M2728" s="62" t="str">
        <f aca="false">IF(IsPro,IF($D2728="","",IFERROR(INDEX(Items!$F$5:$F$504,U2728),0)),"")</f>
        <v/>
      </c>
      <c r="N2728" s="61" t="str">
        <f aca="false">IF(IsPro,IF($D2728="","",IF(AND(V2728&lt;&gt;"",INDEX(Parties!$E$5:$E$304,V2728)&lt;&gt;"",INDEX(Parties!$E$5:$E$304,V2728)&lt;&gt;HomeState),0,ROUND(L2728*M2728/2,2))),"")</f>
        <v/>
      </c>
      <c r="O2728" s="61" t="str">
        <f aca="false">IF(IsPro,IF($D2728="","",N2728),"")</f>
        <v/>
      </c>
      <c r="P2728" s="61" t="str">
        <f aca="false">IF(IsPro,IF($D2728="","",IF(AND(V2728&lt;&gt;"",INDEX(Parties!$E$5:$E$304,V2728)&lt;&gt;"",INDEX(Parties!$E$5:$E$304,V2728)&lt;&gt;HomeState),ROUND(L2728*M2728,2),0)),"")</f>
        <v/>
      </c>
      <c r="Q2728" s="61" t="str">
        <f aca="false">IF(IsPro,IF($D2728="","",L2728+N2728+O2728+P2728),"")</f>
        <v/>
      </c>
      <c r="R2728" s="61" t="str">
        <f aca="false">IF(IsPro,IF($D2728="","",ROUND(N($E2728)*IFERROR(INDEX(Items!$P$5:$P$504,U2728),0),2)),"")</f>
        <v/>
      </c>
      <c r="S2728" s="61" t="str">
        <f aca="false">IF(IsPro,IF($D2728="","",L2728-R2728),"")</f>
        <v/>
      </c>
      <c r="T2728" s="60" t="str">
        <f aca="false">IF(IsPro,IF($D2728="","",IF(U2728="","UNKNOWN ITEM",IF(INDEX(Items!$O$5:$O$504,U2728)&lt;0,"NEG STOCK",IF(K2728&lt;INDEX(Items!$P$5:$P$504,U2728),"BELOW COST","OK")))),IF($D2728="","","PRO PLAN"))</f>
        <v/>
      </c>
      <c r="U2728" s="60" t="str">
        <f aca="false">IF(IsPro,IF($D2728="","",IFERROR(MATCH($D2728,Items!$A$5:$A$504,0),"")),"")</f>
        <v/>
      </c>
      <c r="V2728" s="60" t="str">
        <f aca="false">IF(IsPro,IF($C2728="","",IFERROR(MATCH($C2728,Parties!$A$5:$A$304,0),"")),"")</f>
        <v/>
      </c>
      <c r="W2728" s="60" t="str">
        <f aca="false">IF(IsPro,IF($B2728="","",IFERROR(VALUE(SUBSTITUTE($B2728,InvPrefix,"")),0)),"")</f>
        <v/>
      </c>
      <c r="X2728" s="61" t="str">
        <f aca="false">IF(IsPro,IF($D2728="","",IF(OR($H2728="",$H2728="Credit"),0,Q2728)),"")</f>
        <v/>
      </c>
    </row>
    <row r="2729" customFormat="false" ht="15" hidden="false" customHeight="false" outlineLevel="0" collapsed="false">
      <c r="A2729" s="55"/>
      <c r="B2729" s="56"/>
      <c r="C2729" s="56"/>
      <c r="D2729" s="56"/>
      <c r="E2729" s="57"/>
      <c r="F2729" s="58"/>
      <c r="G2729" s="59"/>
      <c r="H2729" s="56"/>
      <c r="I2729" s="56"/>
      <c r="J2729" s="60" t="str">
        <f aca="false">IF(IsPro,IF($D2729="","",IFERROR(INDEX(Items!$D$5:$D$504,U2729),"")),"")</f>
        <v/>
      </c>
      <c r="K2729" s="61" t="str">
        <f aca="false">IF(IsPro,IF($D2729="","",IF($F2729="",IFERROR(INDEX(Items!$H$5:$H$504,U2729),0),$F2729)),"")</f>
        <v/>
      </c>
      <c r="L2729" s="61" t="str">
        <f aca="false">IF(IsPro,IF($D2729="","",ROUND(N($E2729)*K2729*(1-N($G2729)),2)),"")</f>
        <v/>
      </c>
      <c r="M2729" s="62" t="str">
        <f aca="false">IF(IsPro,IF($D2729="","",IFERROR(INDEX(Items!$F$5:$F$504,U2729),0)),"")</f>
        <v/>
      </c>
      <c r="N2729" s="61" t="str">
        <f aca="false">IF(IsPro,IF($D2729="","",IF(AND(V2729&lt;&gt;"",INDEX(Parties!$E$5:$E$304,V2729)&lt;&gt;"",INDEX(Parties!$E$5:$E$304,V2729)&lt;&gt;HomeState),0,ROUND(L2729*M2729/2,2))),"")</f>
        <v/>
      </c>
      <c r="O2729" s="61" t="str">
        <f aca="false">IF(IsPro,IF($D2729="","",N2729),"")</f>
        <v/>
      </c>
      <c r="P2729" s="61" t="str">
        <f aca="false">IF(IsPro,IF($D2729="","",IF(AND(V2729&lt;&gt;"",INDEX(Parties!$E$5:$E$304,V2729)&lt;&gt;"",INDEX(Parties!$E$5:$E$304,V2729)&lt;&gt;HomeState),ROUND(L2729*M2729,2),0)),"")</f>
        <v/>
      </c>
      <c r="Q2729" s="61" t="str">
        <f aca="false">IF(IsPro,IF($D2729="","",L2729+N2729+O2729+P2729),"")</f>
        <v/>
      </c>
      <c r="R2729" s="61" t="str">
        <f aca="false">IF(IsPro,IF($D2729="","",ROUND(N($E2729)*IFERROR(INDEX(Items!$P$5:$P$504,U2729),0),2)),"")</f>
        <v/>
      </c>
      <c r="S2729" s="61" t="str">
        <f aca="false">IF(IsPro,IF($D2729="","",L2729-R2729),"")</f>
        <v/>
      </c>
      <c r="T2729" s="60" t="str">
        <f aca="false">IF(IsPro,IF($D2729="","",IF(U2729="","UNKNOWN ITEM",IF(INDEX(Items!$O$5:$O$504,U2729)&lt;0,"NEG STOCK",IF(K2729&lt;INDEX(Items!$P$5:$P$504,U2729),"BELOW COST","OK")))),IF($D2729="","","PRO PLAN"))</f>
        <v/>
      </c>
      <c r="U2729" s="60" t="str">
        <f aca="false">IF(IsPro,IF($D2729="","",IFERROR(MATCH($D2729,Items!$A$5:$A$504,0),"")),"")</f>
        <v/>
      </c>
      <c r="V2729" s="60" t="str">
        <f aca="false">IF(IsPro,IF($C2729="","",IFERROR(MATCH($C2729,Parties!$A$5:$A$304,0),"")),"")</f>
        <v/>
      </c>
      <c r="W2729" s="60" t="str">
        <f aca="false">IF(IsPro,IF($B2729="","",IFERROR(VALUE(SUBSTITUTE($B2729,InvPrefix,"")),0)),"")</f>
        <v/>
      </c>
      <c r="X2729" s="61" t="str">
        <f aca="false">IF(IsPro,IF($D2729="","",IF(OR($H2729="",$H2729="Credit"),0,Q2729)),"")</f>
        <v/>
      </c>
    </row>
    <row r="2730" customFormat="false" ht="15" hidden="false" customHeight="false" outlineLevel="0" collapsed="false">
      <c r="A2730" s="55"/>
      <c r="B2730" s="56"/>
      <c r="C2730" s="56"/>
      <c r="D2730" s="56"/>
      <c r="E2730" s="57"/>
      <c r="F2730" s="58"/>
      <c r="G2730" s="59"/>
      <c r="H2730" s="56"/>
      <c r="I2730" s="56"/>
      <c r="J2730" s="60" t="str">
        <f aca="false">IF(IsPro,IF($D2730="","",IFERROR(INDEX(Items!$D$5:$D$504,U2730),"")),"")</f>
        <v/>
      </c>
      <c r="K2730" s="61" t="str">
        <f aca="false">IF(IsPro,IF($D2730="","",IF($F2730="",IFERROR(INDEX(Items!$H$5:$H$504,U2730),0),$F2730)),"")</f>
        <v/>
      </c>
      <c r="L2730" s="61" t="str">
        <f aca="false">IF(IsPro,IF($D2730="","",ROUND(N($E2730)*K2730*(1-N($G2730)),2)),"")</f>
        <v/>
      </c>
      <c r="M2730" s="62" t="str">
        <f aca="false">IF(IsPro,IF($D2730="","",IFERROR(INDEX(Items!$F$5:$F$504,U2730),0)),"")</f>
        <v/>
      </c>
      <c r="N2730" s="61" t="str">
        <f aca="false">IF(IsPro,IF($D2730="","",IF(AND(V2730&lt;&gt;"",INDEX(Parties!$E$5:$E$304,V2730)&lt;&gt;"",INDEX(Parties!$E$5:$E$304,V2730)&lt;&gt;HomeState),0,ROUND(L2730*M2730/2,2))),"")</f>
        <v/>
      </c>
      <c r="O2730" s="61" t="str">
        <f aca="false">IF(IsPro,IF($D2730="","",N2730),"")</f>
        <v/>
      </c>
      <c r="P2730" s="61" t="str">
        <f aca="false">IF(IsPro,IF($D2730="","",IF(AND(V2730&lt;&gt;"",INDEX(Parties!$E$5:$E$304,V2730)&lt;&gt;"",INDEX(Parties!$E$5:$E$304,V2730)&lt;&gt;HomeState),ROUND(L2730*M2730,2),0)),"")</f>
        <v/>
      </c>
      <c r="Q2730" s="61" t="str">
        <f aca="false">IF(IsPro,IF($D2730="","",L2730+N2730+O2730+P2730),"")</f>
        <v/>
      </c>
      <c r="R2730" s="61" t="str">
        <f aca="false">IF(IsPro,IF($D2730="","",ROUND(N($E2730)*IFERROR(INDEX(Items!$P$5:$P$504,U2730),0),2)),"")</f>
        <v/>
      </c>
      <c r="S2730" s="61" t="str">
        <f aca="false">IF(IsPro,IF($D2730="","",L2730-R2730),"")</f>
        <v/>
      </c>
      <c r="T2730" s="60" t="str">
        <f aca="false">IF(IsPro,IF($D2730="","",IF(U2730="","UNKNOWN ITEM",IF(INDEX(Items!$O$5:$O$504,U2730)&lt;0,"NEG STOCK",IF(K2730&lt;INDEX(Items!$P$5:$P$504,U2730),"BELOW COST","OK")))),IF($D2730="","","PRO PLAN"))</f>
        <v/>
      </c>
      <c r="U2730" s="60" t="str">
        <f aca="false">IF(IsPro,IF($D2730="","",IFERROR(MATCH($D2730,Items!$A$5:$A$504,0),"")),"")</f>
        <v/>
      </c>
      <c r="V2730" s="60" t="str">
        <f aca="false">IF(IsPro,IF($C2730="","",IFERROR(MATCH($C2730,Parties!$A$5:$A$304,0),"")),"")</f>
        <v/>
      </c>
      <c r="W2730" s="60" t="str">
        <f aca="false">IF(IsPro,IF($B2730="","",IFERROR(VALUE(SUBSTITUTE($B2730,InvPrefix,"")),0)),"")</f>
        <v/>
      </c>
      <c r="X2730" s="61" t="str">
        <f aca="false">IF(IsPro,IF($D2730="","",IF(OR($H2730="",$H2730="Credit"),0,Q2730)),"")</f>
        <v/>
      </c>
    </row>
    <row r="2731" customFormat="false" ht="15" hidden="false" customHeight="false" outlineLevel="0" collapsed="false">
      <c r="A2731" s="55"/>
      <c r="B2731" s="56"/>
      <c r="C2731" s="56"/>
      <c r="D2731" s="56"/>
      <c r="E2731" s="57"/>
      <c r="F2731" s="58"/>
      <c r="G2731" s="59"/>
      <c r="H2731" s="56"/>
      <c r="I2731" s="56"/>
      <c r="J2731" s="60" t="str">
        <f aca="false">IF(IsPro,IF($D2731="","",IFERROR(INDEX(Items!$D$5:$D$504,U2731),"")),"")</f>
        <v/>
      </c>
      <c r="K2731" s="61" t="str">
        <f aca="false">IF(IsPro,IF($D2731="","",IF($F2731="",IFERROR(INDEX(Items!$H$5:$H$504,U2731),0),$F2731)),"")</f>
        <v/>
      </c>
      <c r="L2731" s="61" t="str">
        <f aca="false">IF(IsPro,IF($D2731="","",ROUND(N($E2731)*K2731*(1-N($G2731)),2)),"")</f>
        <v/>
      </c>
      <c r="M2731" s="62" t="str">
        <f aca="false">IF(IsPro,IF($D2731="","",IFERROR(INDEX(Items!$F$5:$F$504,U2731),0)),"")</f>
        <v/>
      </c>
      <c r="N2731" s="61" t="str">
        <f aca="false">IF(IsPro,IF($D2731="","",IF(AND(V2731&lt;&gt;"",INDEX(Parties!$E$5:$E$304,V2731)&lt;&gt;"",INDEX(Parties!$E$5:$E$304,V2731)&lt;&gt;HomeState),0,ROUND(L2731*M2731/2,2))),"")</f>
        <v/>
      </c>
      <c r="O2731" s="61" t="str">
        <f aca="false">IF(IsPro,IF($D2731="","",N2731),"")</f>
        <v/>
      </c>
      <c r="P2731" s="61" t="str">
        <f aca="false">IF(IsPro,IF($D2731="","",IF(AND(V2731&lt;&gt;"",INDEX(Parties!$E$5:$E$304,V2731)&lt;&gt;"",INDEX(Parties!$E$5:$E$304,V2731)&lt;&gt;HomeState),ROUND(L2731*M2731,2),0)),"")</f>
        <v/>
      </c>
      <c r="Q2731" s="61" t="str">
        <f aca="false">IF(IsPro,IF($D2731="","",L2731+N2731+O2731+P2731),"")</f>
        <v/>
      </c>
      <c r="R2731" s="61" t="str">
        <f aca="false">IF(IsPro,IF($D2731="","",ROUND(N($E2731)*IFERROR(INDEX(Items!$P$5:$P$504,U2731),0),2)),"")</f>
        <v/>
      </c>
      <c r="S2731" s="61" t="str">
        <f aca="false">IF(IsPro,IF($D2731="","",L2731-R2731),"")</f>
        <v/>
      </c>
      <c r="T2731" s="60" t="str">
        <f aca="false">IF(IsPro,IF($D2731="","",IF(U2731="","UNKNOWN ITEM",IF(INDEX(Items!$O$5:$O$504,U2731)&lt;0,"NEG STOCK",IF(K2731&lt;INDEX(Items!$P$5:$P$504,U2731),"BELOW COST","OK")))),IF($D2731="","","PRO PLAN"))</f>
        <v/>
      </c>
      <c r="U2731" s="60" t="str">
        <f aca="false">IF(IsPro,IF($D2731="","",IFERROR(MATCH($D2731,Items!$A$5:$A$504,0),"")),"")</f>
        <v/>
      </c>
      <c r="V2731" s="60" t="str">
        <f aca="false">IF(IsPro,IF($C2731="","",IFERROR(MATCH($C2731,Parties!$A$5:$A$304,0),"")),"")</f>
        <v/>
      </c>
      <c r="W2731" s="60" t="str">
        <f aca="false">IF(IsPro,IF($B2731="","",IFERROR(VALUE(SUBSTITUTE($B2731,InvPrefix,"")),0)),"")</f>
        <v/>
      </c>
      <c r="X2731" s="61" t="str">
        <f aca="false">IF(IsPro,IF($D2731="","",IF(OR($H2731="",$H2731="Credit"),0,Q2731)),"")</f>
        <v/>
      </c>
    </row>
    <row r="2732" customFormat="false" ht="15" hidden="false" customHeight="false" outlineLevel="0" collapsed="false">
      <c r="A2732" s="55"/>
      <c r="B2732" s="56"/>
      <c r="C2732" s="56"/>
      <c r="D2732" s="56"/>
      <c r="E2732" s="57"/>
      <c r="F2732" s="58"/>
      <c r="G2732" s="59"/>
      <c r="H2732" s="56"/>
      <c r="I2732" s="56"/>
      <c r="J2732" s="60" t="str">
        <f aca="false">IF(IsPro,IF($D2732="","",IFERROR(INDEX(Items!$D$5:$D$504,U2732),"")),"")</f>
        <v/>
      </c>
      <c r="K2732" s="61" t="str">
        <f aca="false">IF(IsPro,IF($D2732="","",IF($F2732="",IFERROR(INDEX(Items!$H$5:$H$504,U2732),0),$F2732)),"")</f>
        <v/>
      </c>
      <c r="L2732" s="61" t="str">
        <f aca="false">IF(IsPro,IF($D2732="","",ROUND(N($E2732)*K2732*(1-N($G2732)),2)),"")</f>
        <v/>
      </c>
      <c r="M2732" s="62" t="str">
        <f aca="false">IF(IsPro,IF($D2732="","",IFERROR(INDEX(Items!$F$5:$F$504,U2732),0)),"")</f>
        <v/>
      </c>
      <c r="N2732" s="61" t="str">
        <f aca="false">IF(IsPro,IF($D2732="","",IF(AND(V2732&lt;&gt;"",INDEX(Parties!$E$5:$E$304,V2732)&lt;&gt;"",INDEX(Parties!$E$5:$E$304,V2732)&lt;&gt;HomeState),0,ROUND(L2732*M2732/2,2))),"")</f>
        <v/>
      </c>
      <c r="O2732" s="61" t="str">
        <f aca="false">IF(IsPro,IF($D2732="","",N2732),"")</f>
        <v/>
      </c>
      <c r="P2732" s="61" t="str">
        <f aca="false">IF(IsPro,IF($D2732="","",IF(AND(V2732&lt;&gt;"",INDEX(Parties!$E$5:$E$304,V2732)&lt;&gt;"",INDEX(Parties!$E$5:$E$304,V2732)&lt;&gt;HomeState),ROUND(L2732*M2732,2),0)),"")</f>
        <v/>
      </c>
      <c r="Q2732" s="61" t="str">
        <f aca="false">IF(IsPro,IF($D2732="","",L2732+N2732+O2732+P2732),"")</f>
        <v/>
      </c>
      <c r="R2732" s="61" t="str">
        <f aca="false">IF(IsPro,IF($D2732="","",ROUND(N($E2732)*IFERROR(INDEX(Items!$P$5:$P$504,U2732),0),2)),"")</f>
        <v/>
      </c>
      <c r="S2732" s="61" t="str">
        <f aca="false">IF(IsPro,IF($D2732="","",L2732-R2732),"")</f>
        <v/>
      </c>
      <c r="T2732" s="60" t="str">
        <f aca="false">IF(IsPro,IF($D2732="","",IF(U2732="","UNKNOWN ITEM",IF(INDEX(Items!$O$5:$O$504,U2732)&lt;0,"NEG STOCK",IF(K2732&lt;INDEX(Items!$P$5:$P$504,U2732),"BELOW COST","OK")))),IF($D2732="","","PRO PLAN"))</f>
        <v/>
      </c>
      <c r="U2732" s="60" t="str">
        <f aca="false">IF(IsPro,IF($D2732="","",IFERROR(MATCH($D2732,Items!$A$5:$A$504,0),"")),"")</f>
        <v/>
      </c>
      <c r="V2732" s="60" t="str">
        <f aca="false">IF(IsPro,IF($C2732="","",IFERROR(MATCH($C2732,Parties!$A$5:$A$304,0),"")),"")</f>
        <v/>
      </c>
      <c r="W2732" s="60" t="str">
        <f aca="false">IF(IsPro,IF($B2732="","",IFERROR(VALUE(SUBSTITUTE($B2732,InvPrefix,"")),0)),"")</f>
        <v/>
      </c>
      <c r="X2732" s="61" t="str">
        <f aca="false">IF(IsPro,IF($D2732="","",IF(OR($H2732="",$H2732="Credit"),0,Q2732)),"")</f>
        <v/>
      </c>
    </row>
    <row r="2733" customFormat="false" ht="15" hidden="false" customHeight="false" outlineLevel="0" collapsed="false">
      <c r="A2733" s="55"/>
      <c r="B2733" s="56"/>
      <c r="C2733" s="56"/>
      <c r="D2733" s="56"/>
      <c r="E2733" s="57"/>
      <c r="F2733" s="58"/>
      <c r="G2733" s="59"/>
      <c r="H2733" s="56"/>
      <c r="I2733" s="56"/>
      <c r="J2733" s="60" t="str">
        <f aca="false">IF(IsPro,IF($D2733="","",IFERROR(INDEX(Items!$D$5:$D$504,U2733),"")),"")</f>
        <v/>
      </c>
      <c r="K2733" s="61" t="str">
        <f aca="false">IF(IsPro,IF($D2733="","",IF($F2733="",IFERROR(INDEX(Items!$H$5:$H$504,U2733),0),$F2733)),"")</f>
        <v/>
      </c>
      <c r="L2733" s="61" t="str">
        <f aca="false">IF(IsPro,IF($D2733="","",ROUND(N($E2733)*K2733*(1-N($G2733)),2)),"")</f>
        <v/>
      </c>
      <c r="M2733" s="62" t="str">
        <f aca="false">IF(IsPro,IF($D2733="","",IFERROR(INDEX(Items!$F$5:$F$504,U2733),0)),"")</f>
        <v/>
      </c>
      <c r="N2733" s="61" t="str">
        <f aca="false">IF(IsPro,IF($D2733="","",IF(AND(V2733&lt;&gt;"",INDEX(Parties!$E$5:$E$304,V2733)&lt;&gt;"",INDEX(Parties!$E$5:$E$304,V2733)&lt;&gt;HomeState),0,ROUND(L2733*M2733/2,2))),"")</f>
        <v/>
      </c>
      <c r="O2733" s="61" t="str">
        <f aca="false">IF(IsPro,IF($D2733="","",N2733),"")</f>
        <v/>
      </c>
      <c r="P2733" s="61" t="str">
        <f aca="false">IF(IsPro,IF($D2733="","",IF(AND(V2733&lt;&gt;"",INDEX(Parties!$E$5:$E$304,V2733)&lt;&gt;"",INDEX(Parties!$E$5:$E$304,V2733)&lt;&gt;HomeState),ROUND(L2733*M2733,2),0)),"")</f>
        <v/>
      </c>
      <c r="Q2733" s="61" t="str">
        <f aca="false">IF(IsPro,IF($D2733="","",L2733+N2733+O2733+P2733),"")</f>
        <v/>
      </c>
      <c r="R2733" s="61" t="str">
        <f aca="false">IF(IsPro,IF($D2733="","",ROUND(N($E2733)*IFERROR(INDEX(Items!$P$5:$P$504,U2733),0),2)),"")</f>
        <v/>
      </c>
      <c r="S2733" s="61" t="str">
        <f aca="false">IF(IsPro,IF($D2733="","",L2733-R2733),"")</f>
        <v/>
      </c>
      <c r="T2733" s="60" t="str">
        <f aca="false">IF(IsPro,IF($D2733="","",IF(U2733="","UNKNOWN ITEM",IF(INDEX(Items!$O$5:$O$504,U2733)&lt;0,"NEG STOCK",IF(K2733&lt;INDEX(Items!$P$5:$P$504,U2733),"BELOW COST","OK")))),IF($D2733="","","PRO PLAN"))</f>
        <v/>
      </c>
      <c r="U2733" s="60" t="str">
        <f aca="false">IF(IsPro,IF($D2733="","",IFERROR(MATCH($D2733,Items!$A$5:$A$504,0),"")),"")</f>
        <v/>
      </c>
      <c r="V2733" s="60" t="str">
        <f aca="false">IF(IsPro,IF($C2733="","",IFERROR(MATCH($C2733,Parties!$A$5:$A$304,0),"")),"")</f>
        <v/>
      </c>
      <c r="W2733" s="60" t="str">
        <f aca="false">IF(IsPro,IF($B2733="","",IFERROR(VALUE(SUBSTITUTE($B2733,InvPrefix,"")),0)),"")</f>
        <v/>
      </c>
      <c r="X2733" s="61" t="str">
        <f aca="false">IF(IsPro,IF($D2733="","",IF(OR($H2733="",$H2733="Credit"),0,Q2733)),"")</f>
        <v/>
      </c>
    </row>
    <row r="2734" customFormat="false" ht="15" hidden="false" customHeight="false" outlineLevel="0" collapsed="false">
      <c r="A2734" s="55"/>
      <c r="B2734" s="56"/>
      <c r="C2734" s="56"/>
      <c r="D2734" s="56"/>
      <c r="E2734" s="57"/>
      <c r="F2734" s="58"/>
      <c r="G2734" s="59"/>
      <c r="H2734" s="56"/>
      <c r="I2734" s="56"/>
      <c r="J2734" s="60" t="str">
        <f aca="false">IF(IsPro,IF($D2734="","",IFERROR(INDEX(Items!$D$5:$D$504,U2734),"")),"")</f>
        <v/>
      </c>
      <c r="K2734" s="61" t="str">
        <f aca="false">IF(IsPro,IF($D2734="","",IF($F2734="",IFERROR(INDEX(Items!$H$5:$H$504,U2734),0),$F2734)),"")</f>
        <v/>
      </c>
      <c r="L2734" s="61" t="str">
        <f aca="false">IF(IsPro,IF($D2734="","",ROUND(N($E2734)*K2734*(1-N($G2734)),2)),"")</f>
        <v/>
      </c>
      <c r="M2734" s="62" t="str">
        <f aca="false">IF(IsPro,IF($D2734="","",IFERROR(INDEX(Items!$F$5:$F$504,U2734),0)),"")</f>
        <v/>
      </c>
      <c r="N2734" s="61" t="str">
        <f aca="false">IF(IsPro,IF($D2734="","",IF(AND(V2734&lt;&gt;"",INDEX(Parties!$E$5:$E$304,V2734)&lt;&gt;"",INDEX(Parties!$E$5:$E$304,V2734)&lt;&gt;HomeState),0,ROUND(L2734*M2734/2,2))),"")</f>
        <v/>
      </c>
      <c r="O2734" s="61" t="str">
        <f aca="false">IF(IsPro,IF($D2734="","",N2734),"")</f>
        <v/>
      </c>
      <c r="P2734" s="61" t="str">
        <f aca="false">IF(IsPro,IF($D2734="","",IF(AND(V2734&lt;&gt;"",INDEX(Parties!$E$5:$E$304,V2734)&lt;&gt;"",INDEX(Parties!$E$5:$E$304,V2734)&lt;&gt;HomeState),ROUND(L2734*M2734,2),0)),"")</f>
        <v/>
      </c>
      <c r="Q2734" s="61" t="str">
        <f aca="false">IF(IsPro,IF($D2734="","",L2734+N2734+O2734+P2734),"")</f>
        <v/>
      </c>
      <c r="R2734" s="61" t="str">
        <f aca="false">IF(IsPro,IF($D2734="","",ROUND(N($E2734)*IFERROR(INDEX(Items!$P$5:$P$504,U2734),0),2)),"")</f>
        <v/>
      </c>
      <c r="S2734" s="61" t="str">
        <f aca="false">IF(IsPro,IF($D2734="","",L2734-R2734),"")</f>
        <v/>
      </c>
      <c r="T2734" s="60" t="str">
        <f aca="false">IF(IsPro,IF($D2734="","",IF(U2734="","UNKNOWN ITEM",IF(INDEX(Items!$O$5:$O$504,U2734)&lt;0,"NEG STOCK",IF(K2734&lt;INDEX(Items!$P$5:$P$504,U2734),"BELOW COST","OK")))),IF($D2734="","","PRO PLAN"))</f>
        <v/>
      </c>
      <c r="U2734" s="60" t="str">
        <f aca="false">IF(IsPro,IF($D2734="","",IFERROR(MATCH($D2734,Items!$A$5:$A$504,0),"")),"")</f>
        <v/>
      </c>
      <c r="V2734" s="60" t="str">
        <f aca="false">IF(IsPro,IF($C2734="","",IFERROR(MATCH($C2734,Parties!$A$5:$A$304,0),"")),"")</f>
        <v/>
      </c>
      <c r="W2734" s="60" t="str">
        <f aca="false">IF(IsPro,IF($B2734="","",IFERROR(VALUE(SUBSTITUTE($B2734,InvPrefix,"")),0)),"")</f>
        <v/>
      </c>
      <c r="X2734" s="61" t="str">
        <f aca="false">IF(IsPro,IF($D2734="","",IF(OR($H2734="",$H2734="Credit"),0,Q2734)),"")</f>
        <v/>
      </c>
    </row>
    <row r="2735" customFormat="false" ht="15" hidden="false" customHeight="false" outlineLevel="0" collapsed="false">
      <c r="A2735" s="55"/>
      <c r="B2735" s="56"/>
      <c r="C2735" s="56"/>
      <c r="D2735" s="56"/>
      <c r="E2735" s="57"/>
      <c r="F2735" s="58"/>
      <c r="G2735" s="59"/>
      <c r="H2735" s="56"/>
      <c r="I2735" s="56"/>
      <c r="J2735" s="60" t="str">
        <f aca="false">IF(IsPro,IF($D2735="","",IFERROR(INDEX(Items!$D$5:$D$504,U2735),"")),"")</f>
        <v/>
      </c>
      <c r="K2735" s="61" t="str">
        <f aca="false">IF(IsPro,IF($D2735="","",IF($F2735="",IFERROR(INDEX(Items!$H$5:$H$504,U2735),0),$F2735)),"")</f>
        <v/>
      </c>
      <c r="L2735" s="61" t="str">
        <f aca="false">IF(IsPro,IF($D2735="","",ROUND(N($E2735)*K2735*(1-N($G2735)),2)),"")</f>
        <v/>
      </c>
      <c r="M2735" s="62" t="str">
        <f aca="false">IF(IsPro,IF($D2735="","",IFERROR(INDEX(Items!$F$5:$F$504,U2735),0)),"")</f>
        <v/>
      </c>
      <c r="N2735" s="61" t="str">
        <f aca="false">IF(IsPro,IF($D2735="","",IF(AND(V2735&lt;&gt;"",INDEX(Parties!$E$5:$E$304,V2735)&lt;&gt;"",INDEX(Parties!$E$5:$E$304,V2735)&lt;&gt;HomeState),0,ROUND(L2735*M2735/2,2))),"")</f>
        <v/>
      </c>
      <c r="O2735" s="61" t="str">
        <f aca="false">IF(IsPro,IF($D2735="","",N2735),"")</f>
        <v/>
      </c>
      <c r="P2735" s="61" t="str">
        <f aca="false">IF(IsPro,IF($D2735="","",IF(AND(V2735&lt;&gt;"",INDEX(Parties!$E$5:$E$304,V2735)&lt;&gt;"",INDEX(Parties!$E$5:$E$304,V2735)&lt;&gt;HomeState),ROUND(L2735*M2735,2),0)),"")</f>
        <v/>
      </c>
      <c r="Q2735" s="61" t="str">
        <f aca="false">IF(IsPro,IF($D2735="","",L2735+N2735+O2735+P2735),"")</f>
        <v/>
      </c>
      <c r="R2735" s="61" t="str">
        <f aca="false">IF(IsPro,IF($D2735="","",ROUND(N($E2735)*IFERROR(INDEX(Items!$P$5:$P$504,U2735),0),2)),"")</f>
        <v/>
      </c>
      <c r="S2735" s="61" t="str">
        <f aca="false">IF(IsPro,IF($D2735="","",L2735-R2735),"")</f>
        <v/>
      </c>
      <c r="T2735" s="60" t="str">
        <f aca="false">IF(IsPro,IF($D2735="","",IF(U2735="","UNKNOWN ITEM",IF(INDEX(Items!$O$5:$O$504,U2735)&lt;0,"NEG STOCK",IF(K2735&lt;INDEX(Items!$P$5:$P$504,U2735),"BELOW COST","OK")))),IF($D2735="","","PRO PLAN"))</f>
        <v/>
      </c>
      <c r="U2735" s="60" t="str">
        <f aca="false">IF(IsPro,IF($D2735="","",IFERROR(MATCH($D2735,Items!$A$5:$A$504,0),"")),"")</f>
        <v/>
      </c>
      <c r="V2735" s="60" t="str">
        <f aca="false">IF(IsPro,IF($C2735="","",IFERROR(MATCH($C2735,Parties!$A$5:$A$304,0),"")),"")</f>
        <v/>
      </c>
      <c r="W2735" s="60" t="str">
        <f aca="false">IF(IsPro,IF($B2735="","",IFERROR(VALUE(SUBSTITUTE($B2735,InvPrefix,"")),0)),"")</f>
        <v/>
      </c>
      <c r="X2735" s="61" t="str">
        <f aca="false">IF(IsPro,IF($D2735="","",IF(OR($H2735="",$H2735="Credit"),0,Q2735)),"")</f>
        <v/>
      </c>
    </row>
    <row r="2736" customFormat="false" ht="15" hidden="false" customHeight="false" outlineLevel="0" collapsed="false">
      <c r="A2736" s="55"/>
      <c r="B2736" s="56"/>
      <c r="C2736" s="56"/>
      <c r="D2736" s="56"/>
      <c r="E2736" s="57"/>
      <c r="F2736" s="58"/>
      <c r="G2736" s="59"/>
      <c r="H2736" s="56"/>
      <c r="I2736" s="56"/>
      <c r="J2736" s="60" t="str">
        <f aca="false">IF(IsPro,IF($D2736="","",IFERROR(INDEX(Items!$D$5:$D$504,U2736),"")),"")</f>
        <v/>
      </c>
      <c r="K2736" s="61" t="str">
        <f aca="false">IF(IsPro,IF($D2736="","",IF($F2736="",IFERROR(INDEX(Items!$H$5:$H$504,U2736),0),$F2736)),"")</f>
        <v/>
      </c>
      <c r="L2736" s="61" t="str">
        <f aca="false">IF(IsPro,IF($D2736="","",ROUND(N($E2736)*K2736*(1-N($G2736)),2)),"")</f>
        <v/>
      </c>
      <c r="M2736" s="62" t="str">
        <f aca="false">IF(IsPro,IF($D2736="","",IFERROR(INDEX(Items!$F$5:$F$504,U2736),0)),"")</f>
        <v/>
      </c>
      <c r="N2736" s="61" t="str">
        <f aca="false">IF(IsPro,IF($D2736="","",IF(AND(V2736&lt;&gt;"",INDEX(Parties!$E$5:$E$304,V2736)&lt;&gt;"",INDEX(Parties!$E$5:$E$304,V2736)&lt;&gt;HomeState),0,ROUND(L2736*M2736/2,2))),"")</f>
        <v/>
      </c>
      <c r="O2736" s="61" t="str">
        <f aca="false">IF(IsPro,IF($D2736="","",N2736),"")</f>
        <v/>
      </c>
      <c r="P2736" s="61" t="str">
        <f aca="false">IF(IsPro,IF($D2736="","",IF(AND(V2736&lt;&gt;"",INDEX(Parties!$E$5:$E$304,V2736)&lt;&gt;"",INDEX(Parties!$E$5:$E$304,V2736)&lt;&gt;HomeState),ROUND(L2736*M2736,2),0)),"")</f>
        <v/>
      </c>
      <c r="Q2736" s="61" t="str">
        <f aca="false">IF(IsPro,IF($D2736="","",L2736+N2736+O2736+P2736),"")</f>
        <v/>
      </c>
      <c r="R2736" s="61" t="str">
        <f aca="false">IF(IsPro,IF($D2736="","",ROUND(N($E2736)*IFERROR(INDEX(Items!$P$5:$P$504,U2736),0),2)),"")</f>
        <v/>
      </c>
      <c r="S2736" s="61" t="str">
        <f aca="false">IF(IsPro,IF($D2736="","",L2736-R2736),"")</f>
        <v/>
      </c>
      <c r="T2736" s="60" t="str">
        <f aca="false">IF(IsPro,IF($D2736="","",IF(U2736="","UNKNOWN ITEM",IF(INDEX(Items!$O$5:$O$504,U2736)&lt;0,"NEG STOCK",IF(K2736&lt;INDEX(Items!$P$5:$P$504,U2736),"BELOW COST","OK")))),IF($D2736="","","PRO PLAN"))</f>
        <v/>
      </c>
      <c r="U2736" s="60" t="str">
        <f aca="false">IF(IsPro,IF($D2736="","",IFERROR(MATCH($D2736,Items!$A$5:$A$504,0),"")),"")</f>
        <v/>
      </c>
      <c r="V2736" s="60" t="str">
        <f aca="false">IF(IsPro,IF($C2736="","",IFERROR(MATCH($C2736,Parties!$A$5:$A$304,0),"")),"")</f>
        <v/>
      </c>
      <c r="W2736" s="60" t="str">
        <f aca="false">IF(IsPro,IF($B2736="","",IFERROR(VALUE(SUBSTITUTE($B2736,InvPrefix,"")),0)),"")</f>
        <v/>
      </c>
      <c r="X2736" s="61" t="str">
        <f aca="false">IF(IsPro,IF($D2736="","",IF(OR($H2736="",$H2736="Credit"),0,Q2736)),"")</f>
        <v/>
      </c>
    </row>
    <row r="2737" customFormat="false" ht="15" hidden="false" customHeight="false" outlineLevel="0" collapsed="false">
      <c r="A2737" s="55"/>
      <c r="B2737" s="56"/>
      <c r="C2737" s="56"/>
      <c r="D2737" s="56"/>
      <c r="E2737" s="57"/>
      <c r="F2737" s="58"/>
      <c r="G2737" s="59"/>
      <c r="H2737" s="56"/>
      <c r="I2737" s="56"/>
      <c r="J2737" s="60" t="str">
        <f aca="false">IF(IsPro,IF($D2737="","",IFERROR(INDEX(Items!$D$5:$D$504,U2737),"")),"")</f>
        <v/>
      </c>
      <c r="K2737" s="61" t="str">
        <f aca="false">IF(IsPro,IF($D2737="","",IF($F2737="",IFERROR(INDEX(Items!$H$5:$H$504,U2737),0),$F2737)),"")</f>
        <v/>
      </c>
      <c r="L2737" s="61" t="str">
        <f aca="false">IF(IsPro,IF($D2737="","",ROUND(N($E2737)*K2737*(1-N($G2737)),2)),"")</f>
        <v/>
      </c>
      <c r="M2737" s="62" t="str">
        <f aca="false">IF(IsPro,IF($D2737="","",IFERROR(INDEX(Items!$F$5:$F$504,U2737),0)),"")</f>
        <v/>
      </c>
      <c r="N2737" s="61" t="str">
        <f aca="false">IF(IsPro,IF($D2737="","",IF(AND(V2737&lt;&gt;"",INDEX(Parties!$E$5:$E$304,V2737)&lt;&gt;"",INDEX(Parties!$E$5:$E$304,V2737)&lt;&gt;HomeState),0,ROUND(L2737*M2737/2,2))),"")</f>
        <v/>
      </c>
      <c r="O2737" s="61" t="str">
        <f aca="false">IF(IsPro,IF($D2737="","",N2737),"")</f>
        <v/>
      </c>
      <c r="P2737" s="61" t="str">
        <f aca="false">IF(IsPro,IF($D2737="","",IF(AND(V2737&lt;&gt;"",INDEX(Parties!$E$5:$E$304,V2737)&lt;&gt;"",INDEX(Parties!$E$5:$E$304,V2737)&lt;&gt;HomeState),ROUND(L2737*M2737,2),0)),"")</f>
        <v/>
      </c>
      <c r="Q2737" s="61" t="str">
        <f aca="false">IF(IsPro,IF($D2737="","",L2737+N2737+O2737+P2737),"")</f>
        <v/>
      </c>
      <c r="R2737" s="61" t="str">
        <f aca="false">IF(IsPro,IF($D2737="","",ROUND(N($E2737)*IFERROR(INDEX(Items!$P$5:$P$504,U2737),0),2)),"")</f>
        <v/>
      </c>
      <c r="S2737" s="61" t="str">
        <f aca="false">IF(IsPro,IF($D2737="","",L2737-R2737),"")</f>
        <v/>
      </c>
      <c r="T2737" s="60" t="str">
        <f aca="false">IF(IsPro,IF($D2737="","",IF(U2737="","UNKNOWN ITEM",IF(INDEX(Items!$O$5:$O$504,U2737)&lt;0,"NEG STOCK",IF(K2737&lt;INDEX(Items!$P$5:$P$504,U2737),"BELOW COST","OK")))),IF($D2737="","","PRO PLAN"))</f>
        <v/>
      </c>
      <c r="U2737" s="60" t="str">
        <f aca="false">IF(IsPro,IF($D2737="","",IFERROR(MATCH($D2737,Items!$A$5:$A$504,0),"")),"")</f>
        <v/>
      </c>
      <c r="V2737" s="60" t="str">
        <f aca="false">IF(IsPro,IF($C2737="","",IFERROR(MATCH($C2737,Parties!$A$5:$A$304,0),"")),"")</f>
        <v/>
      </c>
      <c r="W2737" s="60" t="str">
        <f aca="false">IF(IsPro,IF($B2737="","",IFERROR(VALUE(SUBSTITUTE($B2737,InvPrefix,"")),0)),"")</f>
        <v/>
      </c>
      <c r="X2737" s="61" t="str">
        <f aca="false">IF(IsPro,IF($D2737="","",IF(OR($H2737="",$H2737="Credit"),0,Q2737)),"")</f>
        <v/>
      </c>
    </row>
    <row r="2738" customFormat="false" ht="15" hidden="false" customHeight="false" outlineLevel="0" collapsed="false">
      <c r="A2738" s="55"/>
      <c r="B2738" s="56"/>
      <c r="C2738" s="56"/>
      <c r="D2738" s="56"/>
      <c r="E2738" s="57"/>
      <c r="F2738" s="58"/>
      <c r="G2738" s="59"/>
      <c r="H2738" s="56"/>
      <c r="I2738" s="56"/>
      <c r="J2738" s="60" t="str">
        <f aca="false">IF(IsPro,IF($D2738="","",IFERROR(INDEX(Items!$D$5:$D$504,U2738),"")),"")</f>
        <v/>
      </c>
      <c r="K2738" s="61" t="str">
        <f aca="false">IF(IsPro,IF($D2738="","",IF($F2738="",IFERROR(INDEX(Items!$H$5:$H$504,U2738),0),$F2738)),"")</f>
        <v/>
      </c>
      <c r="L2738" s="61" t="str">
        <f aca="false">IF(IsPro,IF($D2738="","",ROUND(N($E2738)*K2738*(1-N($G2738)),2)),"")</f>
        <v/>
      </c>
      <c r="M2738" s="62" t="str">
        <f aca="false">IF(IsPro,IF($D2738="","",IFERROR(INDEX(Items!$F$5:$F$504,U2738),0)),"")</f>
        <v/>
      </c>
      <c r="N2738" s="61" t="str">
        <f aca="false">IF(IsPro,IF($D2738="","",IF(AND(V2738&lt;&gt;"",INDEX(Parties!$E$5:$E$304,V2738)&lt;&gt;"",INDEX(Parties!$E$5:$E$304,V2738)&lt;&gt;HomeState),0,ROUND(L2738*M2738/2,2))),"")</f>
        <v/>
      </c>
      <c r="O2738" s="61" t="str">
        <f aca="false">IF(IsPro,IF($D2738="","",N2738),"")</f>
        <v/>
      </c>
      <c r="P2738" s="61" t="str">
        <f aca="false">IF(IsPro,IF($D2738="","",IF(AND(V2738&lt;&gt;"",INDEX(Parties!$E$5:$E$304,V2738)&lt;&gt;"",INDEX(Parties!$E$5:$E$304,V2738)&lt;&gt;HomeState),ROUND(L2738*M2738,2),0)),"")</f>
        <v/>
      </c>
      <c r="Q2738" s="61" t="str">
        <f aca="false">IF(IsPro,IF($D2738="","",L2738+N2738+O2738+P2738),"")</f>
        <v/>
      </c>
      <c r="R2738" s="61" t="str">
        <f aca="false">IF(IsPro,IF($D2738="","",ROUND(N($E2738)*IFERROR(INDEX(Items!$P$5:$P$504,U2738),0),2)),"")</f>
        <v/>
      </c>
      <c r="S2738" s="61" t="str">
        <f aca="false">IF(IsPro,IF($D2738="","",L2738-R2738),"")</f>
        <v/>
      </c>
      <c r="T2738" s="60" t="str">
        <f aca="false">IF(IsPro,IF($D2738="","",IF(U2738="","UNKNOWN ITEM",IF(INDEX(Items!$O$5:$O$504,U2738)&lt;0,"NEG STOCK",IF(K2738&lt;INDEX(Items!$P$5:$P$504,U2738),"BELOW COST","OK")))),IF($D2738="","","PRO PLAN"))</f>
        <v/>
      </c>
      <c r="U2738" s="60" t="str">
        <f aca="false">IF(IsPro,IF($D2738="","",IFERROR(MATCH($D2738,Items!$A$5:$A$504,0),"")),"")</f>
        <v/>
      </c>
      <c r="V2738" s="60" t="str">
        <f aca="false">IF(IsPro,IF($C2738="","",IFERROR(MATCH($C2738,Parties!$A$5:$A$304,0),"")),"")</f>
        <v/>
      </c>
      <c r="W2738" s="60" t="str">
        <f aca="false">IF(IsPro,IF($B2738="","",IFERROR(VALUE(SUBSTITUTE($B2738,InvPrefix,"")),0)),"")</f>
        <v/>
      </c>
      <c r="X2738" s="61" t="str">
        <f aca="false">IF(IsPro,IF($D2738="","",IF(OR($H2738="",$H2738="Credit"),0,Q2738)),"")</f>
        <v/>
      </c>
    </row>
    <row r="2739" customFormat="false" ht="15" hidden="false" customHeight="false" outlineLevel="0" collapsed="false">
      <c r="A2739" s="55"/>
      <c r="B2739" s="56"/>
      <c r="C2739" s="56"/>
      <c r="D2739" s="56"/>
      <c r="E2739" s="57"/>
      <c r="F2739" s="58"/>
      <c r="G2739" s="59"/>
      <c r="H2739" s="56"/>
      <c r="I2739" s="56"/>
      <c r="J2739" s="60" t="str">
        <f aca="false">IF(IsPro,IF($D2739="","",IFERROR(INDEX(Items!$D$5:$D$504,U2739),"")),"")</f>
        <v/>
      </c>
      <c r="K2739" s="61" t="str">
        <f aca="false">IF(IsPro,IF($D2739="","",IF($F2739="",IFERROR(INDEX(Items!$H$5:$H$504,U2739),0),$F2739)),"")</f>
        <v/>
      </c>
      <c r="L2739" s="61" t="str">
        <f aca="false">IF(IsPro,IF($D2739="","",ROUND(N($E2739)*K2739*(1-N($G2739)),2)),"")</f>
        <v/>
      </c>
      <c r="M2739" s="62" t="str">
        <f aca="false">IF(IsPro,IF($D2739="","",IFERROR(INDEX(Items!$F$5:$F$504,U2739),0)),"")</f>
        <v/>
      </c>
      <c r="N2739" s="61" t="str">
        <f aca="false">IF(IsPro,IF($D2739="","",IF(AND(V2739&lt;&gt;"",INDEX(Parties!$E$5:$E$304,V2739)&lt;&gt;"",INDEX(Parties!$E$5:$E$304,V2739)&lt;&gt;HomeState),0,ROUND(L2739*M2739/2,2))),"")</f>
        <v/>
      </c>
      <c r="O2739" s="61" t="str">
        <f aca="false">IF(IsPro,IF($D2739="","",N2739),"")</f>
        <v/>
      </c>
      <c r="P2739" s="61" t="str">
        <f aca="false">IF(IsPro,IF($D2739="","",IF(AND(V2739&lt;&gt;"",INDEX(Parties!$E$5:$E$304,V2739)&lt;&gt;"",INDEX(Parties!$E$5:$E$304,V2739)&lt;&gt;HomeState),ROUND(L2739*M2739,2),0)),"")</f>
        <v/>
      </c>
      <c r="Q2739" s="61" t="str">
        <f aca="false">IF(IsPro,IF($D2739="","",L2739+N2739+O2739+P2739),"")</f>
        <v/>
      </c>
      <c r="R2739" s="61" t="str">
        <f aca="false">IF(IsPro,IF($D2739="","",ROUND(N($E2739)*IFERROR(INDEX(Items!$P$5:$P$504,U2739),0),2)),"")</f>
        <v/>
      </c>
      <c r="S2739" s="61" t="str">
        <f aca="false">IF(IsPro,IF($D2739="","",L2739-R2739),"")</f>
        <v/>
      </c>
      <c r="T2739" s="60" t="str">
        <f aca="false">IF(IsPro,IF($D2739="","",IF(U2739="","UNKNOWN ITEM",IF(INDEX(Items!$O$5:$O$504,U2739)&lt;0,"NEG STOCK",IF(K2739&lt;INDEX(Items!$P$5:$P$504,U2739),"BELOW COST","OK")))),IF($D2739="","","PRO PLAN"))</f>
        <v/>
      </c>
      <c r="U2739" s="60" t="str">
        <f aca="false">IF(IsPro,IF($D2739="","",IFERROR(MATCH($D2739,Items!$A$5:$A$504,0),"")),"")</f>
        <v/>
      </c>
      <c r="V2739" s="60" t="str">
        <f aca="false">IF(IsPro,IF($C2739="","",IFERROR(MATCH($C2739,Parties!$A$5:$A$304,0),"")),"")</f>
        <v/>
      </c>
      <c r="W2739" s="60" t="str">
        <f aca="false">IF(IsPro,IF($B2739="","",IFERROR(VALUE(SUBSTITUTE($B2739,InvPrefix,"")),0)),"")</f>
        <v/>
      </c>
      <c r="X2739" s="61" t="str">
        <f aca="false">IF(IsPro,IF($D2739="","",IF(OR($H2739="",$H2739="Credit"),0,Q2739)),"")</f>
        <v/>
      </c>
    </row>
    <row r="2740" customFormat="false" ht="15" hidden="false" customHeight="false" outlineLevel="0" collapsed="false">
      <c r="A2740" s="55"/>
      <c r="B2740" s="56"/>
      <c r="C2740" s="56"/>
      <c r="D2740" s="56"/>
      <c r="E2740" s="57"/>
      <c r="F2740" s="58"/>
      <c r="G2740" s="59"/>
      <c r="H2740" s="56"/>
      <c r="I2740" s="56"/>
      <c r="J2740" s="60" t="str">
        <f aca="false">IF(IsPro,IF($D2740="","",IFERROR(INDEX(Items!$D$5:$D$504,U2740),"")),"")</f>
        <v/>
      </c>
      <c r="K2740" s="61" t="str">
        <f aca="false">IF(IsPro,IF($D2740="","",IF($F2740="",IFERROR(INDEX(Items!$H$5:$H$504,U2740),0),$F2740)),"")</f>
        <v/>
      </c>
      <c r="L2740" s="61" t="str">
        <f aca="false">IF(IsPro,IF($D2740="","",ROUND(N($E2740)*K2740*(1-N($G2740)),2)),"")</f>
        <v/>
      </c>
      <c r="M2740" s="62" t="str">
        <f aca="false">IF(IsPro,IF($D2740="","",IFERROR(INDEX(Items!$F$5:$F$504,U2740),0)),"")</f>
        <v/>
      </c>
      <c r="N2740" s="61" t="str">
        <f aca="false">IF(IsPro,IF($D2740="","",IF(AND(V2740&lt;&gt;"",INDEX(Parties!$E$5:$E$304,V2740)&lt;&gt;"",INDEX(Parties!$E$5:$E$304,V2740)&lt;&gt;HomeState),0,ROUND(L2740*M2740/2,2))),"")</f>
        <v/>
      </c>
      <c r="O2740" s="61" t="str">
        <f aca="false">IF(IsPro,IF($D2740="","",N2740),"")</f>
        <v/>
      </c>
      <c r="P2740" s="61" t="str">
        <f aca="false">IF(IsPro,IF($D2740="","",IF(AND(V2740&lt;&gt;"",INDEX(Parties!$E$5:$E$304,V2740)&lt;&gt;"",INDEX(Parties!$E$5:$E$304,V2740)&lt;&gt;HomeState),ROUND(L2740*M2740,2),0)),"")</f>
        <v/>
      </c>
      <c r="Q2740" s="61" t="str">
        <f aca="false">IF(IsPro,IF($D2740="","",L2740+N2740+O2740+P2740),"")</f>
        <v/>
      </c>
      <c r="R2740" s="61" t="str">
        <f aca="false">IF(IsPro,IF($D2740="","",ROUND(N($E2740)*IFERROR(INDEX(Items!$P$5:$P$504,U2740),0),2)),"")</f>
        <v/>
      </c>
      <c r="S2740" s="61" t="str">
        <f aca="false">IF(IsPro,IF($D2740="","",L2740-R2740),"")</f>
        <v/>
      </c>
      <c r="T2740" s="60" t="str">
        <f aca="false">IF(IsPro,IF($D2740="","",IF(U2740="","UNKNOWN ITEM",IF(INDEX(Items!$O$5:$O$504,U2740)&lt;0,"NEG STOCK",IF(K2740&lt;INDEX(Items!$P$5:$P$504,U2740),"BELOW COST","OK")))),IF($D2740="","","PRO PLAN"))</f>
        <v/>
      </c>
      <c r="U2740" s="60" t="str">
        <f aca="false">IF(IsPro,IF($D2740="","",IFERROR(MATCH($D2740,Items!$A$5:$A$504,0),"")),"")</f>
        <v/>
      </c>
      <c r="V2740" s="60" t="str">
        <f aca="false">IF(IsPro,IF($C2740="","",IFERROR(MATCH($C2740,Parties!$A$5:$A$304,0),"")),"")</f>
        <v/>
      </c>
      <c r="W2740" s="60" t="str">
        <f aca="false">IF(IsPro,IF($B2740="","",IFERROR(VALUE(SUBSTITUTE($B2740,InvPrefix,"")),0)),"")</f>
        <v/>
      </c>
      <c r="X2740" s="61" t="str">
        <f aca="false">IF(IsPro,IF($D2740="","",IF(OR($H2740="",$H2740="Credit"),0,Q2740)),"")</f>
        <v/>
      </c>
    </row>
    <row r="2741" customFormat="false" ht="15" hidden="false" customHeight="false" outlineLevel="0" collapsed="false">
      <c r="A2741" s="55"/>
      <c r="B2741" s="56"/>
      <c r="C2741" s="56"/>
      <c r="D2741" s="56"/>
      <c r="E2741" s="57"/>
      <c r="F2741" s="58"/>
      <c r="G2741" s="59"/>
      <c r="H2741" s="56"/>
      <c r="I2741" s="56"/>
      <c r="J2741" s="60" t="str">
        <f aca="false">IF(IsPro,IF($D2741="","",IFERROR(INDEX(Items!$D$5:$D$504,U2741),"")),"")</f>
        <v/>
      </c>
      <c r="K2741" s="61" t="str">
        <f aca="false">IF(IsPro,IF($D2741="","",IF($F2741="",IFERROR(INDEX(Items!$H$5:$H$504,U2741),0),$F2741)),"")</f>
        <v/>
      </c>
      <c r="L2741" s="61" t="str">
        <f aca="false">IF(IsPro,IF($D2741="","",ROUND(N($E2741)*K2741*(1-N($G2741)),2)),"")</f>
        <v/>
      </c>
      <c r="M2741" s="62" t="str">
        <f aca="false">IF(IsPro,IF($D2741="","",IFERROR(INDEX(Items!$F$5:$F$504,U2741),0)),"")</f>
        <v/>
      </c>
      <c r="N2741" s="61" t="str">
        <f aca="false">IF(IsPro,IF($D2741="","",IF(AND(V2741&lt;&gt;"",INDEX(Parties!$E$5:$E$304,V2741)&lt;&gt;"",INDEX(Parties!$E$5:$E$304,V2741)&lt;&gt;HomeState),0,ROUND(L2741*M2741/2,2))),"")</f>
        <v/>
      </c>
      <c r="O2741" s="61" t="str">
        <f aca="false">IF(IsPro,IF($D2741="","",N2741),"")</f>
        <v/>
      </c>
      <c r="P2741" s="61" t="str">
        <f aca="false">IF(IsPro,IF($D2741="","",IF(AND(V2741&lt;&gt;"",INDEX(Parties!$E$5:$E$304,V2741)&lt;&gt;"",INDEX(Parties!$E$5:$E$304,V2741)&lt;&gt;HomeState),ROUND(L2741*M2741,2),0)),"")</f>
        <v/>
      </c>
      <c r="Q2741" s="61" t="str">
        <f aca="false">IF(IsPro,IF($D2741="","",L2741+N2741+O2741+P2741),"")</f>
        <v/>
      </c>
      <c r="R2741" s="61" t="str">
        <f aca="false">IF(IsPro,IF($D2741="","",ROUND(N($E2741)*IFERROR(INDEX(Items!$P$5:$P$504,U2741),0),2)),"")</f>
        <v/>
      </c>
      <c r="S2741" s="61" t="str">
        <f aca="false">IF(IsPro,IF($D2741="","",L2741-R2741),"")</f>
        <v/>
      </c>
      <c r="T2741" s="60" t="str">
        <f aca="false">IF(IsPro,IF($D2741="","",IF(U2741="","UNKNOWN ITEM",IF(INDEX(Items!$O$5:$O$504,U2741)&lt;0,"NEG STOCK",IF(K2741&lt;INDEX(Items!$P$5:$P$504,U2741),"BELOW COST","OK")))),IF($D2741="","","PRO PLAN"))</f>
        <v/>
      </c>
      <c r="U2741" s="60" t="str">
        <f aca="false">IF(IsPro,IF($D2741="","",IFERROR(MATCH($D2741,Items!$A$5:$A$504,0),"")),"")</f>
        <v/>
      </c>
      <c r="V2741" s="60" t="str">
        <f aca="false">IF(IsPro,IF($C2741="","",IFERROR(MATCH($C2741,Parties!$A$5:$A$304,0),"")),"")</f>
        <v/>
      </c>
      <c r="W2741" s="60" t="str">
        <f aca="false">IF(IsPro,IF($B2741="","",IFERROR(VALUE(SUBSTITUTE($B2741,InvPrefix,"")),0)),"")</f>
        <v/>
      </c>
      <c r="X2741" s="61" t="str">
        <f aca="false">IF(IsPro,IF($D2741="","",IF(OR($H2741="",$H2741="Credit"),0,Q2741)),"")</f>
        <v/>
      </c>
    </row>
    <row r="2742" customFormat="false" ht="15" hidden="false" customHeight="false" outlineLevel="0" collapsed="false">
      <c r="A2742" s="55"/>
      <c r="B2742" s="56"/>
      <c r="C2742" s="56"/>
      <c r="D2742" s="56"/>
      <c r="E2742" s="57"/>
      <c r="F2742" s="58"/>
      <c r="G2742" s="59"/>
      <c r="H2742" s="56"/>
      <c r="I2742" s="56"/>
      <c r="J2742" s="60" t="str">
        <f aca="false">IF(IsPro,IF($D2742="","",IFERROR(INDEX(Items!$D$5:$D$504,U2742),"")),"")</f>
        <v/>
      </c>
      <c r="K2742" s="61" t="str">
        <f aca="false">IF(IsPro,IF($D2742="","",IF($F2742="",IFERROR(INDEX(Items!$H$5:$H$504,U2742),0),$F2742)),"")</f>
        <v/>
      </c>
      <c r="L2742" s="61" t="str">
        <f aca="false">IF(IsPro,IF($D2742="","",ROUND(N($E2742)*K2742*(1-N($G2742)),2)),"")</f>
        <v/>
      </c>
      <c r="M2742" s="62" t="str">
        <f aca="false">IF(IsPro,IF($D2742="","",IFERROR(INDEX(Items!$F$5:$F$504,U2742),0)),"")</f>
        <v/>
      </c>
      <c r="N2742" s="61" t="str">
        <f aca="false">IF(IsPro,IF($D2742="","",IF(AND(V2742&lt;&gt;"",INDEX(Parties!$E$5:$E$304,V2742)&lt;&gt;"",INDEX(Parties!$E$5:$E$304,V2742)&lt;&gt;HomeState),0,ROUND(L2742*M2742/2,2))),"")</f>
        <v/>
      </c>
      <c r="O2742" s="61" t="str">
        <f aca="false">IF(IsPro,IF($D2742="","",N2742),"")</f>
        <v/>
      </c>
      <c r="P2742" s="61" t="str">
        <f aca="false">IF(IsPro,IF($D2742="","",IF(AND(V2742&lt;&gt;"",INDEX(Parties!$E$5:$E$304,V2742)&lt;&gt;"",INDEX(Parties!$E$5:$E$304,V2742)&lt;&gt;HomeState),ROUND(L2742*M2742,2),0)),"")</f>
        <v/>
      </c>
      <c r="Q2742" s="61" t="str">
        <f aca="false">IF(IsPro,IF($D2742="","",L2742+N2742+O2742+P2742),"")</f>
        <v/>
      </c>
      <c r="R2742" s="61" t="str">
        <f aca="false">IF(IsPro,IF($D2742="","",ROUND(N($E2742)*IFERROR(INDEX(Items!$P$5:$P$504,U2742),0),2)),"")</f>
        <v/>
      </c>
      <c r="S2742" s="61" t="str">
        <f aca="false">IF(IsPro,IF($D2742="","",L2742-R2742),"")</f>
        <v/>
      </c>
      <c r="T2742" s="60" t="str">
        <f aca="false">IF(IsPro,IF($D2742="","",IF(U2742="","UNKNOWN ITEM",IF(INDEX(Items!$O$5:$O$504,U2742)&lt;0,"NEG STOCK",IF(K2742&lt;INDEX(Items!$P$5:$P$504,U2742),"BELOW COST","OK")))),IF($D2742="","","PRO PLAN"))</f>
        <v/>
      </c>
      <c r="U2742" s="60" t="str">
        <f aca="false">IF(IsPro,IF($D2742="","",IFERROR(MATCH($D2742,Items!$A$5:$A$504,0),"")),"")</f>
        <v/>
      </c>
      <c r="V2742" s="60" t="str">
        <f aca="false">IF(IsPro,IF($C2742="","",IFERROR(MATCH($C2742,Parties!$A$5:$A$304,0),"")),"")</f>
        <v/>
      </c>
      <c r="W2742" s="60" t="str">
        <f aca="false">IF(IsPro,IF($B2742="","",IFERROR(VALUE(SUBSTITUTE($B2742,InvPrefix,"")),0)),"")</f>
        <v/>
      </c>
      <c r="X2742" s="61" t="str">
        <f aca="false">IF(IsPro,IF($D2742="","",IF(OR($H2742="",$H2742="Credit"),0,Q2742)),"")</f>
        <v/>
      </c>
    </row>
    <row r="2743" customFormat="false" ht="15" hidden="false" customHeight="false" outlineLevel="0" collapsed="false">
      <c r="A2743" s="55"/>
      <c r="B2743" s="56"/>
      <c r="C2743" s="56"/>
      <c r="D2743" s="56"/>
      <c r="E2743" s="57"/>
      <c r="F2743" s="58"/>
      <c r="G2743" s="59"/>
      <c r="H2743" s="56"/>
      <c r="I2743" s="56"/>
      <c r="J2743" s="60" t="str">
        <f aca="false">IF(IsPro,IF($D2743="","",IFERROR(INDEX(Items!$D$5:$D$504,U2743),"")),"")</f>
        <v/>
      </c>
      <c r="K2743" s="61" t="str">
        <f aca="false">IF(IsPro,IF($D2743="","",IF($F2743="",IFERROR(INDEX(Items!$H$5:$H$504,U2743),0),$F2743)),"")</f>
        <v/>
      </c>
      <c r="L2743" s="61" t="str">
        <f aca="false">IF(IsPro,IF($D2743="","",ROUND(N($E2743)*K2743*(1-N($G2743)),2)),"")</f>
        <v/>
      </c>
      <c r="M2743" s="62" t="str">
        <f aca="false">IF(IsPro,IF($D2743="","",IFERROR(INDEX(Items!$F$5:$F$504,U2743),0)),"")</f>
        <v/>
      </c>
      <c r="N2743" s="61" t="str">
        <f aca="false">IF(IsPro,IF($D2743="","",IF(AND(V2743&lt;&gt;"",INDEX(Parties!$E$5:$E$304,V2743)&lt;&gt;"",INDEX(Parties!$E$5:$E$304,V2743)&lt;&gt;HomeState),0,ROUND(L2743*M2743/2,2))),"")</f>
        <v/>
      </c>
      <c r="O2743" s="61" t="str">
        <f aca="false">IF(IsPro,IF($D2743="","",N2743),"")</f>
        <v/>
      </c>
      <c r="P2743" s="61" t="str">
        <f aca="false">IF(IsPro,IF($D2743="","",IF(AND(V2743&lt;&gt;"",INDEX(Parties!$E$5:$E$304,V2743)&lt;&gt;"",INDEX(Parties!$E$5:$E$304,V2743)&lt;&gt;HomeState),ROUND(L2743*M2743,2),0)),"")</f>
        <v/>
      </c>
      <c r="Q2743" s="61" t="str">
        <f aca="false">IF(IsPro,IF($D2743="","",L2743+N2743+O2743+P2743),"")</f>
        <v/>
      </c>
      <c r="R2743" s="61" t="str">
        <f aca="false">IF(IsPro,IF($D2743="","",ROUND(N($E2743)*IFERROR(INDEX(Items!$P$5:$P$504,U2743),0),2)),"")</f>
        <v/>
      </c>
      <c r="S2743" s="61" t="str">
        <f aca="false">IF(IsPro,IF($D2743="","",L2743-R2743),"")</f>
        <v/>
      </c>
      <c r="T2743" s="60" t="str">
        <f aca="false">IF(IsPro,IF($D2743="","",IF(U2743="","UNKNOWN ITEM",IF(INDEX(Items!$O$5:$O$504,U2743)&lt;0,"NEG STOCK",IF(K2743&lt;INDEX(Items!$P$5:$P$504,U2743),"BELOW COST","OK")))),IF($D2743="","","PRO PLAN"))</f>
        <v/>
      </c>
      <c r="U2743" s="60" t="str">
        <f aca="false">IF(IsPro,IF($D2743="","",IFERROR(MATCH($D2743,Items!$A$5:$A$504,0),"")),"")</f>
        <v/>
      </c>
      <c r="V2743" s="60" t="str">
        <f aca="false">IF(IsPro,IF($C2743="","",IFERROR(MATCH($C2743,Parties!$A$5:$A$304,0),"")),"")</f>
        <v/>
      </c>
      <c r="W2743" s="60" t="str">
        <f aca="false">IF(IsPro,IF($B2743="","",IFERROR(VALUE(SUBSTITUTE($B2743,InvPrefix,"")),0)),"")</f>
        <v/>
      </c>
      <c r="X2743" s="61" t="str">
        <f aca="false">IF(IsPro,IF($D2743="","",IF(OR($H2743="",$H2743="Credit"),0,Q2743)),"")</f>
        <v/>
      </c>
    </row>
    <row r="2744" customFormat="false" ht="15" hidden="false" customHeight="false" outlineLevel="0" collapsed="false">
      <c r="A2744" s="55"/>
      <c r="B2744" s="56"/>
      <c r="C2744" s="56"/>
      <c r="D2744" s="56"/>
      <c r="E2744" s="57"/>
      <c r="F2744" s="58"/>
      <c r="G2744" s="59"/>
      <c r="H2744" s="56"/>
      <c r="I2744" s="56"/>
      <c r="J2744" s="60" t="str">
        <f aca="false">IF(IsPro,IF($D2744="","",IFERROR(INDEX(Items!$D$5:$D$504,U2744),"")),"")</f>
        <v/>
      </c>
      <c r="K2744" s="61" t="str">
        <f aca="false">IF(IsPro,IF($D2744="","",IF($F2744="",IFERROR(INDEX(Items!$H$5:$H$504,U2744),0),$F2744)),"")</f>
        <v/>
      </c>
      <c r="L2744" s="61" t="str">
        <f aca="false">IF(IsPro,IF($D2744="","",ROUND(N($E2744)*K2744*(1-N($G2744)),2)),"")</f>
        <v/>
      </c>
      <c r="M2744" s="62" t="str">
        <f aca="false">IF(IsPro,IF($D2744="","",IFERROR(INDEX(Items!$F$5:$F$504,U2744),0)),"")</f>
        <v/>
      </c>
      <c r="N2744" s="61" t="str">
        <f aca="false">IF(IsPro,IF($D2744="","",IF(AND(V2744&lt;&gt;"",INDEX(Parties!$E$5:$E$304,V2744)&lt;&gt;"",INDEX(Parties!$E$5:$E$304,V2744)&lt;&gt;HomeState),0,ROUND(L2744*M2744/2,2))),"")</f>
        <v/>
      </c>
      <c r="O2744" s="61" t="str">
        <f aca="false">IF(IsPro,IF($D2744="","",N2744),"")</f>
        <v/>
      </c>
      <c r="P2744" s="61" t="str">
        <f aca="false">IF(IsPro,IF($D2744="","",IF(AND(V2744&lt;&gt;"",INDEX(Parties!$E$5:$E$304,V2744)&lt;&gt;"",INDEX(Parties!$E$5:$E$304,V2744)&lt;&gt;HomeState),ROUND(L2744*M2744,2),0)),"")</f>
        <v/>
      </c>
      <c r="Q2744" s="61" t="str">
        <f aca="false">IF(IsPro,IF($D2744="","",L2744+N2744+O2744+P2744),"")</f>
        <v/>
      </c>
      <c r="R2744" s="61" t="str">
        <f aca="false">IF(IsPro,IF($D2744="","",ROUND(N($E2744)*IFERROR(INDEX(Items!$P$5:$P$504,U2744),0),2)),"")</f>
        <v/>
      </c>
      <c r="S2744" s="61" t="str">
        <f aca="false">IF(IsPro,IF($D2744="","",L2744-R2744),"")</f>
        <v/>
      </c>
      <c r="T2744" s="60" t="str">
        <f aca="false">IF(IsPro,IF($D2744="","",IF(U2744="","UNKNOWN ITEM",IF(INDEX(Items!$O$5:$O$504,U2744)&lt;0,"NEG STOCK",IF(K2744&lt;INDEX(Items!$P$5:$P$504,U2744),"BELOW COST","OK")))),IF($D2744="","","PRO PLAN"))</f>
        <v/>
      </c>
      <c r="U2744" s="60" t="str">
        <f aca="false">IF(IsPro,IF($D2744="","",IFERROR(MATCH($D2744,Items!$A$5:$A$504,0),"")),"")</f>
        <v/>
      </c>
      <c r="V2744" s="60" t="str">
        <f aca="false">IF(IsPro,IF($C2744="","",IFERROR(MATCH($C2744,Parties!$A$5:$A$304,0),"")),"")</f>
        <v/>
      </c>
      <c r="W2744" s="60" t="str">
        <f aca="false">IF(IsPro,IF($B2744="","",IFERROR(VALUE(SUBSTITUTE($B2744,InvPrefix,"")),0)),"")</f>
        <v/>
      </c>
      <c r="X2744" s="61" t="str">
        <f aca="false">IF(IsPro,IF($D2744="","",IF(OR($H2744="",$H2744="Credit"),0,Q2744)),"")</f>
        <v/>
      </c>
    </row>
    <row r="2745" customFormat="false" ht="15" hidden="false" customHeight="false" outlineLevel="0" collapsed="false">
      <c r="A2745" s="55"/>
      <c r="B2745" s="56"/>
      <c r="C2745" s="56"/>
      <c r="D2745" s="56"/>
      <c r="E2745" s="57"/>
      <c r="F2745" s="58"/>
      <c r="G2745" s="59"/>
      <c r="H2745" s="56"/>
      <c r="I2745" s="56"/>
      <c r="J2745" s="60" t="str">
        <f aca="false">IF(IsPro,IF($D2745="","",IFERROR(INDEX(Items!$D$5:$D$504,U2745),"")),"")</f>
        <v/>
      </c>
      <c r="K2745" s="61" t="str">
        <f aca="false">IF(IsPro,IF($D2745="","",IF($F2745="",IFERROR(INDEX(Items!$H$5:$H$504,U2745),0),$F2745)),"")</f>
        <v/>
      </c>
      <c r="L2745" s="61" t="str">
        <f aca="false">IF(IsPro,IF($D2745="","",ROUND(N($E2745)*K2745*(1-N($G2745)),2)),"")</f>
        <v/>
      </c>
      <c r="M2745" s="62" t="str">
        <f aca="false">IF(IsPro,IF($D2745="","",IFERROR(INDEX(Items!$F$5:$F$504,U2745),0)),"")</f>
        <v/>
      </c>
      <c r="N2745" s="61" t="str">
        <f aca="false">IF(IsPro,IF($D2745="","",IF(AND(V2745&lt;&gt;"",INDEX(Parties!$E$5:$E$304,V2745)&lt;&gt;"",INDEX(Parties!$E$5:$E$304,V2745)&lt;&gt;HomeState),0,ROUND(L2745*M2745/2,2))),"")</f>
        <v/>
      </c>
      <c r="O2745" s="61" t="str">
        <f aca="false">IF(IsPro,IF($D2745="","",N2745),"")</f>
        <v/>
      </c>
      <c r="P2745" s="61" t="str">
        <f aca="false">IF(IsPro,IF($D2745="","",IF(AND(V2745&lt;&gt;"",INDEX(Parties!$E$5:$E$304,V2745)&lt;&gt;"",INDEX(Parties!$E$5:$E$304,V2745)&lt;&gt;HomeState),ROUND(L2745*M2745,2),0)),"")</f>
        <v/>
      </c>
      <c r="Q2745" s="61" t="str">
        <f aca="false">IF(IsPro,IF($D2745="","",L2745+N2745+O2745+P2745),"")</f>
        <v/>
      </c>
      <c r="R2745" s="61" t="str">
        <f aca="false">IF(IsPro,IF($D2745="","",ROUND(N($E2745)*IFERROR(INDEX(Items!$P$5:$P$504,U2745),0),2)),"")</f>
        <v/>
      </c>
      <c r="S2745" s="61" t="str">
        <f aca="false">IF(IsPro,IF($D2745="","",L2745-R2745),"")</f>
        <v/>
      </c>
      <c r="T2745" s="60" t="str">
        <f aca="false">IF(IsPro,IF($D2745="","",IF(U2745="","UNKNOWN ITEM",IF(INDEX(Items!$O$5:$O$504,U2745)&lt;0,"NEG STOCK",IF(K2745&lt;INDEX(Items!$P$5:$P$504,U2745),"BELOW COST","OK")))),IF($D2745="","","PRO PLAN"))</f>
        <v/>
      </c>
      <c r="U2745" s="60" t="str">
        <f aca="false">IF(IsPro,IF($D2745="","",IFERROR(MATCH($D2745,Items!$A$5:$A$504,0),"")),"")</f>
        <v/>
      </c>
      <c r="V2745" s="60" t="str">
        <f aca="false">IF(IsPro,IF($C2745="","",IFERROR(MATCH($C2745,Parties!$A$5:$A$304,0),"")),"")</f>
        <v/>
      </c>
      <c r="W2745" s="60" t="str">
        <f aca="false">IF(IsPro,IF($B2745="","",IFERROR(VALUE(SUBSTITUTE($B2745,InvPrefix,"")),0)),"")</f>
        <v/>
      </c>
      <c r="X2745" s="61" t="str">
        <f aca="false">IF(IsPro,IF($D2745="","",IF(OR($H2745="",$H2745="Credit"),0,Q2745)),"")</f>
        <v/>
      </c>
    </row>
    <row r="2746" customFormat="false" ht="15" hidden="false" customHeight="false" outlineLevel="0" collapsed="false">
      <c r="A2746" s="55"/>
      <c r="B2746" s="56"/>
      <c r="C2746" s="56"/>
      <c r="D2746" s="56"/>
      <c r="E2746" s="57"/>
      <c r="F2746" s="58"/>
      <c r="G2746" s="59"/>
      <c r="H2746" s="56"/>
      <c r="I2746" s="56"/>
      <c r="J2746" s="60" t="str">
        <f aca="false">IF(IsPro,IF($D2746="","",IFERROR(INDEX(Items!$D$5:$D$504,U2746),"")),"")</f>
        <v/>
      </c>
      <c r="K2746" s="61" t="str">
        <f aca="false">IF(IsPro,IF($D2746="","",IF($F2746="",IFERROR(INDEX(Items!$H$5:$H$504,U2746),0),$F2746)),"")</f>
        <v/>
      </c>
      <c r="L2746" s="61" t="str">
        <f aca="false">IF(IsPro,IF($D2746="","",ROUND(N($E2746)*K2746*(1-N($G2746)),2)),"")</f>
        <v/>
      </c>
      <c r="M2746" s="62" t="str">
        <f aca="false">IF(IsPro,IF($D2746="","",IFERROR(INDEX(Items!$F$5:$F$504,U2746),0)),"")</f>
        <v/>
      </c>
      <c r="N2746" s="61" t="str">
        <f aca="false">IF(IsPro,IF($D2746="","",IF(AND(V2746&lt;&gt;"",INDEX(Parties!$E$5:$E$304,V2746)&lt;&gt;"",INDEX(Parties!$E$5:$E$304,V2746)&lt;&gt;HomeState),0,ROUND(L2746*M2746/2,2))),"")</f>
        <v/>
      </c>
      <c r="O2746" s="61" t="str">
        <f aca="false">IF(IsPro,IF($D2746="","",N2746),"")</f>
        <v/>
      </c>
      <c r="P2746" s="61" t="str">
        <f aca="false">IF(IsPro,IF($D2746="","",IF(AND(V2746&lt;&gt;"",INDEX(Parties!$E$5:$E$304,V2746)&lt;&gt;"",INDEX(Parties!$E$5:$E$304,V2746)&lt;&gt;HomeState),ROUND(L2746*M2746,2),0)),"")</f>
        <v/>
      </c>
      <c r="Q2746" s="61" t="str">
        <f aca="false">IF(IsPro,IF($D2746="","",L2746+N2746+O2746+P2746),"")</f>
        <v/>
      </c>
      <c r="R2746" s="61" t="str">
        <f aca="false">IF(IsPro,IF($D2746="","",ROUND(N($E2746)*IFERROR(INDEX(Items!$P$5:$P$504,U2746),0),2)),"")</f>
        <v/>
      </c>
      <c r="S2746" s="61" t="str">
        <f aca="false">IF(IsPro,IF($D2746="","",L2746-R2746),"")</f>
        <v/>
      </c>
      <c r="T2746" s="60" t="str">
        <f aca="false">IF(IsPro,IF($D2746="","",IF(U2746="","UNKNOWN ITEM",IF(INDEX(Items!$O$5:$O$504,U2746)&lt;0,"NEG STOCK",IF(K2746&lt;INDEX(Items!$P$5:$P$504,U2746),"BELOW COST","OK")))),IF($D2746="","","PRO PLAN"))</f>
        <v/>
      </c>
      <c r="U2746" s="60" t="str">
        <f aca="false">IF(IsPro,IF($D2746="","",IFERROR(MATCH($D2746,Items!$A$5:$A$504,0),"")),"")</f>
        <v/>
      </c>
      <c r="V2746" s="60" t="str">
        <f aca="false">IF(IsPro,IF($C2746="","",IFERROR(MATCH($C2746,Parties!$A$5:$A$304,0),"")),"")</f>
        <v/>
      </c>
      <c r="W2746" s="60" t="str">
        <f aca="false">IF(IsPro,IF($B2746="","",IFERROR(VALUE(SUBSTITUTE($B2746,InvPrefix,"")),0)),"")</f>
        <v/>
      </c>
      <c r="X2746" s="61" t="str">
        <f aca="false">IF(IsPro,IF($D2746="","",IF(OR($H2746="",$H2746="Credit"),0,Q2746)),"")</f>
        <v/>
      </c>
    </row>
    <row r="2747" customFormat="false" ht="15" hidden="false" customHeight="false" outlineLevel="0" collapsed="false">
      <c r="A2747" s="55"/>
      <c r="B2747" s="56"/>
      <c r="C2747" s="56"/>
      <c r="D2747" s="56"/>
      <c r="E2747" s="57"/>
      <c r="F2747" s="58"/>
      <c r="G2747" s="59"/>
      <c r="H2747" s="56"/>
      <c r="I2747" s="56"/>
      <c r="J2747" s="60" t="str">
        <f aca="false">IF(IsPro,IF($D2747="","",IFERROR(INDEX(Items!$D$5:$D$504,U2747),"")),"")</f>
        <v/>
      </c>
      <c r="K2747" s="61" t="str">
        <f aca="false">IF(IsPro,IF($D2747="","",IF($F2747="",IFERROR(INDEX(Items!$H$5:$H$504,U2747),0),$F2747)),"")</f>
        <v/>
      </c>
      <c r="L2747" s="61" t="str">
        <f aca="false">IF(IsPro,IF($D2747="","",ROUND(N($E2747)*K2747*(1-N($G2747)),2)),"")</f>
        <v/>
      </c>
      <c r="M2747" s="62" t="str">
        <f aca="false">IF(IsPro,IF($D2747="","",IFERROR(INDEX(Items!$F$5:$F$504,U2747),0)),"")</f>
        <v/>
      </c>
      <c r="N2747" s="61" t="str">
        <f aca="false">IF(IsPro,IF($D2747="","",IF(AND(V2747&lt;&gt;"",INDEX(Parties!$E$5:$E$304,V2747)&lt;&gt;"",INDEX(Parties!$E$5:$E$304,V2747)&lt;&gt;HomeState),0,ROUND(L2747*M2747/2,2))),"")</f>
        <v/>
      </c>
      <c r="O2747" s="61" t="str">
        <f aca="false">IF(IsPro,IF($D2747="","",N2747),"")</f>
        <v/>
      </c>
      <c r="P2747" s="61" t="str">
        <f aca="false">IF(IsPro,IF($D2747="","",IF(AND(V2747&lt;&gt;"",INDEX(Parties!$E$5:$E$304,V2747)&lt;&gt;"",INDEX(Parties!$E$5:$E$304,V2747)&lt;&gt;HomeState),ROUND(L2747*M2747,2),0)),"")</f>
        <v/>
      </c>
      <c r="Q2747" s="61" t="str">
        <f aca="false">IF(IsPro,IF($D2747="","",L2747+N2747+O2747+P2747),"")</f>
        <v/>
      </c>
      <c r="R2747" s="61" t="str">
        <f aca="false">IF(IsPro,IF($D2747="","",ROUND(N($E2747)*IFERROR(INDEX(Items!$P$5:$P$504,U2747),0),2)),"")</f>
        <v/>
      </c>
      <c r="S2747" s="61" t="str">
        <f aca="false">IF(IsPro,IF($D2747="","",L2747-R2747),"")</f>
        <v/>
      </c>
      <c r="T2747" s="60" t="str">
        <f aca="false">IF(IsPro,IF($D2747="","",IF(U2747="","UNKNOWN ITEM",IF(INDEX(Items!$O$5:$O$504,U2747)&lt;0,"NEG STOCK",IF(K2747&lt;INDEX(Items!$P$5:$P$504,U2747),"BELOW COST","OK")))),IF($D2747="","","PRO PLAN"))</f>
        <v/>
      </c>
      <c r="U2747" s="60" t="str">
        <f aca="false">IF(IsPro,IF($D2747="","",IFERROR(MATCH($D2747,Items!$A$5:$A$504,0),"")),"")</f>
        <v/>
      </c>
      <c r="V2747" s="60" t="str">
        <f aca="false">IF(IsPro,IF($C2747="","",IFERROR(MATCH($C2747,Parties!$A$5:$A$304,0),"")),"")</f>
        <v/>
      </c>
      <c r="W2747" s="60" t="str">
        <f aca="false">IF(IsPro,IF($B2747="","",IFERROR(VALUE(SUBSTITUTE($B2747,InvPrefix,"")),0)),"")</f>
        <v/>
      </c>
      <c r="X2747" s="61" t="str">
        <f aca="false">IF(IsPro,IF($D2747="","",IF(OR($H2747="",$H2747="Credit"),0,Q2747)),"")</f>
        <v/>
      </c>
    </row>
    <row r="2748" customFormat="false" ht="15" hidden="false" customHeight="false" outlineLevel="0" collapsed="false">
      <c r="A2748" s="55"/>
      <c r="B2748" s="56"/>
      <c r="C2748" s="56"/>
      <c r="D2748" s="56"/>
      <c r="E2748" s="57"/>
      <c r="F2748" s="58"/>
      <c r="G2748" s="59"/>
      <c r="H2748" s="56"/>
      <c r="I2748" s="56"/>
      <c r="J2748" s="60" t="str">
        <f aca="false">IF(IsPro,IF($D2748="","",IFERROR(INDEX(Items!$D$5:$D$504,U2748),"")),"")</f>
        <v/>
      </c>
      <c r="K2748" s="61" t="str">
        <f aca="false">IF(IsPro,IF($D2748="","",IF($F2748="",IFERROR(INDEX(Items!$H$5:$H$504,U2748),0),$F2748)),"")</f>
        <v/>
      </c>
      <c r="L2748" s="61" t="str">
        <f aca="false">IF(IsPro,IF($D2748="","",ROUND(N($E2748)*K2748*(1-N($G2748)),2)),"")</f>
        <v/>
      </c>
      <c r="M2748" s="62" t="str">
        <f aca="false">IF(IsPro,IF($D2748="","",IFERROR(INDEX(Items!$F$5:$F$504,U2748),0)),"")</f>
        <v/>
      </c>
      <c r="N2748" s="61" t="str">
        <f aca="false">IF(IsPro,IF($D2748="","",IF(AND(V2748&lt;&gt;"",INDEX(Parties!$E$5:$E$304,V2748)&lt;&gt;"",INDEX(Parties!$E$5:$E$304,V2748)&lt;&gt;HomeState),0,ROUND(L2748*M2748/2,2))),"")</f>
        <v/>
      </c>
      <c r="O2748" s="61" t="str">
        <f aca="false">IF(IsPro,IF($D2748="","",N2748),"")</f>
        <v/>
      </c>
      <c r="P2748" s="61" t="str">
        <f aca="false">IF(IsPro,IF($D2748="","",IF(AND(V2748&lt;&gt;"",INDEX(Parties!$E$5:$E$304,V2748)&lt;&gt;"",INDEX(Parties!$E$5:$E$304,V2748)&lt;&gt;HomeState),ROUND(L2748*M2748,2),0)),"")</f>
        <v/>
      </c>
      <c r="Q2748" s="61" t="str">
        <f aca="false">IF(IsPro,IF($D2748="","",L2748+N2748+O2748+P2748),"")</f>
        <v/>
      </c>
      <c r="R2748" s="61" t="str">
        <f aca="false">IF(IsPro,IF($D2748="","",ROUND(N($E2748)*IFERROR(INDEX(Items!$P$5:$P$504,U2748),0),2)),"")</f>
        <v/>
      </c>
      <c r="S2748" s="61" t="str">
        <f aca="false">IF(IsPro,IF($D2748="","",L2748-R2748),"")</f>
        <v/>
      </c>
      <c r="T2748" s="60" t="str">
        <f aca="false">IF(IsPro,IF($D2748="","",IF(U2748="","UNKNOWN ITEM",IF(INDEX(Items!$O$5:$O$504,U2748)&lt;0,"NEG STOCK",IF(K2748&lt;INDEX(Items!$P$5:$P$504,U2748),"BELOW COST","OK")))),IF($D2748="","","PRO PLAN"))</f>
        <v/>
      </c>
      <c r="U2748" s="60" t="str">
        <f aca="false">IF(IsPro,IF($D2748="","",IFERROR(MATCH($D2748,Items!$A$5:$A$504,0),"")),"")</f>
        <v/>
      </c>
      <c r="V2748" s="60" t="str">
        <f aca="false">IF(IsPro,IF($C2748="","",IFERROR(MATCH($C2748,Parties!$A$5:$A$304,0),"")),"")</f>
        <v/>
      </c>
      <c r="W2748" s="60" t="str">
        <f aca="false">IF(IsPro,IF($B2748="","",IFERROR(VALUE(SUBSTITUTE($B2748,InvPrefix,"")),0)),"")</f>
        <v/>
      </c>
      <c r="X2748" s="61" t="str">
        <f aca="false">IF(IsPro,IF($D2748="","",IF(OR($H2748="",$H2748="Credit"),0,Q2748)),"")</f>
        <v/>
      </c>
    </row>
    <row r="2749" customFormat="false" ht="15" hidden="false" customHeight="false" outlineLevel="0" collapsed="false">
      <c r="A2749" s="55"/>
      <c r="B2749" s="56"/>
      <c r="C2749" s="56"/>
      <c r="D2749" s="56"/>
      <c r="E2749" s="57"/>
      <c r="F2749" s="58"/>
      <c r="G2749" s="59"/>
      <c r="H2749" s="56"/>
      <c r="I2749" s="56"/>
      <c r="J2749" s="60" t="str">
        <f aca="false">IF(IsPro,IF($D2749="","",IFERROR(INDEX(Items!$D$5:$D$504,U2749),"")),"")</f>
        <v/>
      </c>
      <c r="K2749" s="61" t="str">
        <f aca="false">IF(IsPro,IF($D2749="","",IF($F2749="",IFERROR(INDEX(Items!$H$5:$H$504,U2749),0),$F2749)),"")</f>
        <v/>
      </c>
      <c r="L2749" s="61" t="str">
        <f aca="false">IF(IsPro,IF($D2749="","",ROUND(N($E2749)*K2749*(1-N($G2749)),2)),"")</f>
        <v/>
      </c>
      <c r="M2749" s="62" t="str">
        <f aca="false">IF(IsPro,IF($D2749="","",IFERROR(INDEX(Items!$F$5:$F$504,U2749),0)),"")</f>
        <v/>
      </c>
      <c r="N2749" s="61" t="str">
        <f aca="false">IF(IsPro,IF($D2749="","",IF(AND(V2749&lt;&gt;"",INDEX(Parties!$E$5:$E$304,V2749)&lt;&gt;"",INDEX(Parties!$E$5:$E$304,V2749)&lt;&gt;HomeState),0,ROUND(L2749*M2749/2,2))),"")</f>
        <v/>
      </c>
      <c r="O2749" s="61" t="str">
        <f aca="false">IF(IsPro,IF($D2749="","",N2749),"")</f>
        <v/>
      </c>
      <c r="P2749" s="61" t="str">
        <f aca="false">IF(IsPro,IF($D2749="","",IF(AND(V2749&lt;&gt;"",INDEX(Parties!$E$5:$E$304,V2749)&lt;&gt;"",INDEX(Parties!$E$5:$E$304,V2749)&lt;&gt;HomeState),ROUND(L2749*M2749,2),0)),"")</f>
        <v/>
      </c>
      <c r="Q2749" s="61" t="str">
        <f aca="false">IF(IsPro,IF($D2749="","",L2749+N2749+O2749+P2749),"")</f>
        <v/>
      </c>
      <c r="R2749" s="61" t="str">
        <f aca="false">IF(IsPro,IF($D2749="","",ROUND(N($E2749)*IFERROR(INDEX(Items!$P$5:$P$504,U2749),0),2)),"")</f>
        <v/>
      </c>
      <c r="S2749" s="61" t="str">
        <f aca="false">IF(IsPro,IF($D2749="","",L2749-R2749),"")</f>
        <v/>
      </c>
      <c r="T2749" s="60" t="str">
        <f aca="false">IF(IsPro,IF($D2749="","",IF(U2749="","UNKNOWN ITEM",IF(INDEX(Items!$O$5:$O$504,U2749)&lt;0,"NEG STOCK",IF(K2749&lt;INDEX(Items!$P$5:$P$504,U2749),"BELOW COST","OK")))),IF($D2749="","","PRO PLAN"))</f>
        <v/>
      </c>
      <c r="U2749" s="60" t="str">
        <f aca="false">IF(IsPro,IF($D2749="","",IFERROR(MATCH($D2749,Items!$A$5:$A$504,0),"")),"")</f>
        <v/>
      </c>
      <c r="V2749" s="60" t="str">
        <f aca="false">IF(IsPro,IF($C2749="","",IFERROR(MATCH($C2749,Parties!$A$5:$A$304,0),"")),"")</f>
        <v/>
      </c>
      <c r="W2749" s="60" t="str">
        <f aca="false">IF(IsPro,IF($B2749="","",IFERROR(VALUE(SUBSTITUTE($B2749,InvPrefix,"")),0)),"")</f>
        <v/>
      </c>
      <c r="X2749" s="61" t="str">
        <f aca="false">IF(IsPro,IF($D2749="","",IF(OR($H2749="",$H2749="Credit"),0,Q2749)),"")</f>
        <v/>
      </c>
    </row>
    <row r="2750" customFormat="false" ht="15" hidden="false" customHeight="false" outlineLevel="0" collapsed="false">
      <c r="A2750" s="55"/>
      <c r="B2750" s="56"/>
      <c r="C2750" s="56"/>
      <c r="D2750" s="56"/>
      <c r="E2750" s="57"/>
      <c r="F2750" s="58"/>
      <c r="G2750" s="59"/>
      <c r="H2750" s="56"/>
      <c r="I2750" s="56"/>
      <c r="J2750" s="60" t="str">
        <f aca="false">IF(IsPro,IF($D2750="","",IFERROR(INDEX(Items!$D$5:$D$504,U2750),"")),"")</f>
        <v/>
      </c>
      <c r="K2750" s="61" t="str">
        <f aca="false">IF(IsPro,IF($D2750="","",IF($F2750="",IFERROR(INDEX(Items!$H$5:$H$504,U2750),0),$F2750)),"")</f>
        <v/>
      </c>
      <c r="L2750" s="61" t="str">
        <f aca="false">IF(IsPro,IF($D2750="","",ROUND(N($E2750)*K2750*(1-N($G2750)),2)),"")</f>
        <v/>
      </c>
      <c r="M2750" s="62" t="str">
        <f aca="false">IF(IsPro,IF($D2750="","",IFERROR(INDEX(Items!$F$5:$F$504,U2750),0)),"")</f>
        <v/>
      </c>
      <c r="N2750" s="61" t="str">
        <f aca="false">IF(IsPro,IF($D2750="","",IF(AND(V2750&lt;&gt;"",INDEX(Parties!$E$5:$E$304,V2750)&lt;&gt;"",INDEX(Parties!$E$5:$E$304,V2750)&lt;&gt;HomeState),0,ROUND(L2750*M2750/2,2))),"")</f>
        <v/>
      </c>
      <c r="O2750" s="61" t="str">
        <f aca="false">IF(IsPro,IF($D2750="","",N2750),"")</f>
        <v/>
      </c>
      <c r="P2750" s="61" t="str">
        <f aca="false">IF(IsPro,IF($D2750="","",IF(AND(V2750&lt;&gt;"",INDEX(Parties!$E$5:$E$304,V2750)&lt;&gt;"",INDEX(Parties!$E$5:$E$304,V2750)&lt;&gt;HomeState),ROUND(L2750*M2750,2),0)),"")</f>
        <v/>
      </c>
      <c r="Q2750" s="61" t="str">
        <f aca="false">IF(IsPro,IF($D2750="","",L2750+N2750+O2750+P2750),"")</f>
        <v/>
      </c>
      <c r="R2750" s="61" t="str">
        <f aca="false">IF(IsPro,IF($D2750="","",ROUND(N($E2750)*IFERROR(INDEX(Items!$P$5:$P$504,U2750),0),2)),"")</f>
        <v/>
      </c>
      <c r="S2750" s="61" t="str">
        <f aca="false">IF(IsPro,IF($D2750="","",L2750-R2750),"")</f>
        <v/>
      </c>
      <c r="T2750" s="60" t="str">
        <f aca="false">IF(IsPro,IF($D2750="","",IF(U2750="","UNKNOWN ITEM",IF(INDEX(Items!$O$5:$O$504,U2750)&lt;0,"NEG STOCK",IF(K2750&lt;INDEX(Items!$P$5:$P$504,U2750),"BELOW COST","OK")))),IF($D2750="","","PRO PLAN"))</f>
        <v/>
      </c>
      <c r="U2750" s="60" t="str">
        <f aca="false">IF(IsPro,IF($D2750="","",IFERROR(MATCH($D2750,Items!$A$5:$A$504,0),"")),"")</f>
        <v/>
      </c>
      <c r="V2750" s="60" t="str">
        <f aca="false">IF(IsPro,IF($C2750="","",IFERROR(MATCH($C2750,Parties!$A$5:$A$304,0),"")),"")</f>
        <v/>
      </c>
      <c r="W2750" s="60" t="str">
        <f aca="false">IF(IsPro,IF($B2750="","",IFERROR(VALUE(SUBSTITUTE($B2750,InvPrefix,"")),0)),"")</f>
        <v/>
      </c>
      <c r="X2750" s="61" t="str">
        <f aca="false">IF(IsPro,IF($D2750="","",IF(OR($H2750="",$H2750="Credit"),0,Q2750)),"")</f>
        <v/>
      </c>
    </row>
    <row r="2751" customFormat="false" ht="15" hidden="false" customHeight="false" outlineLevel="0" collapsed="false">
      <c r="A2751" s="55"/>
      <c r="B2751" s="56"/>
      <c r="C2751" s="56"/>
      <c r="D2751" s="56"/>
      <c r="E2751" s="57"/>
      <c r="F2751" s="58"/>
      <c r="G2751" s="59"/>
      <c r="H2751" s="56"/>
      <c r="I2751" s="56"/>
      <c r="J2751" s="60" t="str">
        <f aca="false">IF(IsPro,IF($D2751="","",IFERROR(INDEX(Items!$D$5:$D$504,U2751),"")),"")</f>
        <v/>
      </c>
      <c r="K2751" s="61" t="str">
        <f aca="false">IF(IsPro,IF($D2751="","",IF($F2751="",IFERROR(INDEX(Items!$H$5:$H$504,U2751),0),$F2751)),"")</f>
        <v/>
      </c>
      <c r="L2751" s="61" t="str">
        <f aca="false">IF(IsPro,IF($D2751="","",ROUND(N($E2751)*K2751*(1-N($G2751)),2)),"")</f>
        <v/>
      </c>
      <c r="M2751" s="62" t="str">
        <f aca="false">IF(IsPro,IF($D2751="","",IFERROR(INDEX(Items!$F$5:$F$504,U2751),0)),"")</f>
        <v/>
      </c>
      <c r="N2751" s="61" t="str">
        <f aca="false">IF(IsPro,IF($D2751="","",IF(AND(V2751&lt;&gt;"",INDEX(Parties!$E$5:$E$304,V2751)&lt;&gt;"",INDEX(Parties!$E$5:$E$304,V2751)&lt;&gt;HomeState),0,ROUND(L2751*M2751/2,2))),"")</f>
        <v/>
      </c>
      <c r="O2751" s="61" t="str">
        <f aca="false">IF(IsPro,IF($D2751="","",N2751),"")</f>
        <v/>
      </c>
      <c r="P2751" s="61" t="str">
        <f aca="false">IF(IsPro,IF($D2751="","",IF(AND(V2751&lt;&gt;"",INDEX(Parties!$E$5:$E$304,V2751)&lt;&gt;"",INDEX(Parties!$E$5:$E$304,V2751)&lt;&gt;HomeState),ROUND(L2751*M2751,2),0)),"")</f>
        <v/>
      </c>
      <c r="Q2751" s="61" t="str">
        <f aca="false">IF(IsPro,IF($D2751="","",L2751+N2751+O2751+P2751),"")</f>
        <v/>
      </c>
      <c r="R2751" s="61" t="str">
        <f aca="false">IF(IsPro,IF($D2751="","",ROUND(N($E2751)*IFERROR(INDEX(Items!$P$5:$P$504,U2751),0),2)),"")</f>
        <v/>
      </c>
      <c r="S2751" s="61" t="str">
        <f aca="false">IF(IsPro,IF($D2751="","",L2751-R2751),"")</f>
        <v/>
      </c>
      <c r="T2751" s="60" t="str">
        <f aca="false">IF(IsPro,IF($D2751="","",IF(U2751="","UNKNOWN ITEM",IF(INDEX(Items!$O$5:$O$504,U2751)&lt;0,"NEG STOCK",IF(K2751&lt;INDEX(Items!$P$5:$P$504,U2751),"BELOW COST","OK")))),IF($D2751="","","PRO PLAN"))</f>
        <v/>
      </c>
      <c r="U2751" s="60" t="str">
        <f aca="false">IF(IsPro,IF($D2751="","",IFERROR(MATCH($D2751,Items!$A$5:$A$504,0),"")),"")</f>
        <v/>
      </c>
      <c r="V2751" s="60" t="str">
        <f aca="false">IF(IsPro,IF($C2751="","",IFERROR(MATCH($C2751,Parties!$A$5:$A$304,0),"")),"")</f>
        <v/>
      </c>
      <c r="W2751" s="60" t="str">
        <f aca="false">IF(IsPro,IF($B2751="","",IFERROR(VALUE(SUBSTITUTE($B2751,InvPrefix,"")),0)),"")</f>
        <v/>
      </c>
      <c r="X2751" s="61" t="str">
        <f aca="false">IF(IsPro,IF($D2751="","",IF(OR($H2751="",$H2751="Credit"),0,Q2751)),"")</f>
        <v/>
      </c>
    </row>
    <row r="2752" customFormat="false" ht="15" hidden="false" customHeight="false" outlineLevel="0" collapsed="false">
      <c r="A2752" s="55"/>
      <c r="B2752" s="56"/>
      <c r="C2752" s="56"/>
      <c r="D2752" s="56"/>
      <c r="E2752" s="57"/>
      <c r="F2752" s="58"/>
      <c r="G2752" s="59"/>
      <c r="H2752" s="56"/>
      <c r="I2752" s="56"/>
      <c r="J2752" s="60" t="str">
        <f aca="false">IF(IsPro,IF($D2752="","",IFERROR(INDEX(Items!$D$5:$D$504,U2752),"")),"")</f>
        <v/>
      </c>
      <c r="K2752" s="61" t="str">
        <f aca="false">IF(IsPro,IF($D2752="","",IF($F2752="",IFERROR(INDEX(Items!$H$5:$H$504,U2752),0),$F2752)),"")</f>
        <v/>
      </c>
      <c r="L2752" s="61" t="str">
        <f aca="false">IF(IsPro,IF($D2752="","",ROUND(N($E2752)*K2752*(1-N($G2752)),2)),"")</f>
        <v/>
      </c>
      <c r="M2752" s="62" t="str">
        <f aca="false">IF(IsPro,IF($D2752="","",IFERROR(INDEX(Items!$F$5:$F$504,U2752),0)),"")</f>
        <v/>
      </c>
      <c r="N2752" s="61" t="str">
        <f aca="false">IF(IsPro,IF($D2752="","",IF(AND(V2752&lt;&gt;"",INDEX(Parties!$E$5:$E$304,V2752)&lt;&gt;"",INDEX(Parties!$E$5:$E$304,V2752)&lt;&gt;HomeState),0,ROUND(L2752*M2752/2,2))),"")</f>
        <v/>
      </c>
      <c r="O2752" s="61" t="str">
        <f aca="false">IF(IsPro,IF($D2752="","",N2752),"")</f>
        <v/>
      </c>
      <c r="P2752" s="61" t="str">
        <f aca="false">IF(IsPro,IF($D2752="","",IF(AND(V2752&lt;&gt;"",INDEX(Parties!$E$5:$E$304,V2752)&lt;&gt;"",INDEX(Parties!$E$5:$E$304,V2752)&lt;&gt;HomeState),ROUND(L2752*M2752,2),0)),"")</f>
        <v/>
      </c>
      <c r="Q2752" s="61" t="str">
        <f aca="false">IF(IsPro,IF($D2752="","",L2752+N2752+O2752+P2752),"")</f>
        <v/>
      </c>
      <c r="R2752" s="61" t="str">
        <f aca="false">IF(IsPro,IF($D2752="","",ROUND(N($E2752)*IFERROR(INDEX(Items!$P$5:$P$504,U2752),0),2)),"")</f>
        <v/>
      </c>
      <c r="S2752" s="61" t="str">
        <f aca="false">IF(IsPro,IF($D2752="","",L2752-R2752),"")</f>
        <v/>
      </c>
      <c r="T2752" s="60" t="str">
        <f aca="false">IF(IsPro,IF($D2752="","",IF(U2752="","UNKNOWN ITEM",IF(INDEX(Items!$O$5:$O$504,U2752)&lt;0,"NEG STOCK",IF(K2752&lt;INDEX(Items!$P$5:$P$504,U2752),"BELOW COST","OK")))),IF($D2752="","","PRO PLAN"))</f>
        <v/>
      </c>
      <c r="U2752" s="60" t="str">
        <f aca="false">IF(IsPro,IF($D2752="","",IFERROR(MATCH($D2752,Items!$A$5:$A$504,0),"")),"")</f>
        <v/>
      </c>
      <c r="V2752" s="60" t="str">
        <f aca="false">IF(IsPro,IF($C2752="","",IFERROR(MATCH($C2752,Parties!$A$5:$A$304,0),"")),"")</f>
        <v/>
      </c>
      <c r="W2752" s="60" t="str">
        <f aca="false">IF(IsPro,IF($B2752="","",IFERROR(VALUE(SUBSTITUTE($B2752,InvPrefix,"")),0)),"")</f>
        <v/>
      </c>
      <c r="X2752" s="61" t="str">
        <f aca="false">IF(IsPro,IF($D2752="","",IF(OR($H2752="",$H2752="Credit"),0,Q2752)),"")</f>
        <v/>
      </c>
    </row>
    <row r="2753" customFormat="false" ht="15" hidden="false" customHeight="false" outlineLevel="0" collapsed="false">
      <c r="A2753" s="55"/>
      <c r="B2753" s="56"/>
      <c r="C2753" s="56"/>
      <c r="D2753" s="56"/>
      <c r="E2753" s="57"/>
      <c r="F2753" s="58"/>
      <c r="G2753" s="59"/>
      <c r="H2753" s="56"/>
      <c r="I2753" s="56"/>
      <c r="J2753" s="60" t="str">
        <f aca="false">IF(IsPro,IF($D2753="","",IFERROR(INDEX(Items!$D$5:$D$504,U2753),"")),"")</f>
        <v/>
      </c>
      <c r="K2753" s="61" t="str">
        <f aca="false">IF(IsPro,IF($D2753="","",IF($F2753="",IFERROR(INDEX(Items!$H$5:$H$504,U2753),0),$F2753)),"")</f>
        <v/>
      </c>
      <c r="L2753" s="61" t="str">
        <f aca="false">IF(IsPro,IF($D2753="","",ROUND(N($E2753)*K2753*(1-N($G2753)),2)),"")</f>
        <v/>
      </c>
      <c r="M2753" s="62" t="str">
        <f aca="false">IF(IsPro,IF($D2753="","",IFERROR(INDEX(Items!$F$5:$F$504,U2753),0)),"")</f>
        <v/>
      </c>
      <c r="N2753" s="61" t="str">
        <f aca="false">IF(IsPro,IF($D2753="","",IF(AND(V2753&lt;&gt;"",INDEX(Parties!$E$5:$E$304,V2753)&lt;&gt;"",INDEX(Parties!$E$5:$E$304,V2753)&lt;&gt;HomeState),0,ROUND(L2753*M2753/2,2))),"")</f>
        <v/>
      </c>
      <c r="O2753" s="61" t="str">
        <f aca="false">IF(IsPro,IF($D2753="","",N2753),"")</f>
        <v/>
      </c>
      <c r="P2753" s="61" t="str">
        <f aca="false">IF(IsPro,IF($D2753="","",IF(AND(V2753&lt;&gt;"",INDEX(Parties!$E$5:$E$304,V2753)&lt;&gt;"",INDEX(Parties!$E$5:$E$304,V2753)&lt;&gt;HomeState),ROUND(L2753*M2753,2),0)),"")</f>
        <v/>
      </c>
      <c r="Q2753" s="61" t="str">
        <f aca="false">IF(IsPro,IF($D2753="","",L2753+N2753+O2753+P2753),"")</f>
        <v/>
      </c>
      <c r="R2753" s="61" t="str">
        <f aca="false">IF(IsPro,IF($D2753="","",ROUND(N($E2753)*IFERROR(INDEX(Items!$P$5:$P$504,U2753),0),2)),"")</f>
        <v/>
      </c>
      <c r="S2753" s="61" t="str">
        <f aca="false">IF(IsPro,IF($D2753="","",L2753-R2753),"")</f>
        <v/>
      </c>
      <c r="T2753" s="60" t="str">
        <f aca="false">IF(IsPro,IF($D2753="","",IF(U2753="","UNKNOWN ITEM",IF(INDEX(Items!$O$5:$O$504,U2753)&lt;0,"NEG STOCK",IF(K2753&lt;INDEX(Items!$P$5:$P$504,U2753),"BELOW COST","OK")))),IF($D2753="","","PRO PLAN"))</f>
        <v/>
      </c>
      <c r="U2753" s="60" t="str">
        <f aca="false">IF(IsPro,IF($D2753="","",IFERROR(MATCH($D2753,Items!$A$5:$A$504,0),"")),"")</f>
        <v/>
      </c>
      <c r="V2753" s="60" t="str">
        <f aca="false">IF(IsPro,IF($C2753="","",IFERROR(MATCH($C2753,Parties!$A$5:$A$304,0),"")),"")</f>
        <v/>
      </c>
      <c r="W2753" s="60" t="str">
        <f aca="false">IF(IsPro,IF($B2753="","",IFERROR(VALUE(SUBSTITUTE($B2753,InvPrefix,"")),0)),"")</f>
        <v/>
      </c>
      <c r="X2753" s="61" t="str">
        <f aca="false">IF(IsPro,IF($D2753="","",IF(OR($H2753="",$H2753="Credit"),0,Q2753)),"")</f>
        <v/>
      </c>
    </row>
    <row r="2754" customFormat="false" ht="15" hidden="false" customHeight="false" outlineLevel="0" collapsed="false">
      <c r="A2754" s="55"/>
      <c r="B2754" s="56"/>
      <c r="C2754" s="56"/>
      <c r="D2754" s="56"/>
      <c r="E2754" s="57"/>
      <c r="F2754" s="58"/>
      <c r="G2754" s="59"/>
      <c r="H2754" s="56"/>
      <c r="I2754" s="56"/>
      <c r="J2754" s="60" t="str">
        <f aca="false">IF(IsPro,IF($D2754="","",IFERROR(INDEX(Items!$D$5:$D$504,U2754),"")),"")</f>
        <v/>
      </c>
      <c r="K2754" s="61" t="str">
        <f aca="false">IF(IsPro,IF($D2754="","",IF($F2754="",IFERROR(INDEX(Items!$H$5:$H$504,U2754),0),$F2754)),"")</f>
        <v/>
      </c>
      <c r="L2754" s="61" t="str">
        <f aca="false">IF(IsPro,IF($D2754="","",ROUND(N($E2754)*K2754*(1-N($G2754)),2)),"")</f>
        <v/>
      </c>
      <c r="M2754" s="62" t="str">
        <f aca="false">IF(IsPro,IF($D2754="","",IFERROR(INDEX(Items!$F$5:$F$504,U2754),0)),"")</f>
        <v/>
      </c>
      <c r="N2754" s="61" t="str">
        <f aca="false">IF(IsPro,IF($D2754="","",IF(AND(V2754&lt;&gt;"",INDEX(Parties!$E$5:$E$304,V2754)&lt;&gt;"",INDEX(Parties!$E$5:$E$304,V2754)&lt;&gt;HomeState),0,ROUND(L2754*M2754/2,2))),"")</f>
        <v/>
      </c>
      <c r="O2754" s="61" t="str">
        <f aca="false">IF(IsPro,IF($D2754="","",N2754),"")</f>
        <v/>
      </c>
      <c r="P2754" s="61" t="str">
        <f aca="false">IF(IsPro,IF($D2754="","",IF(AND(V2754&lt;&gt;"",INDEX(Parties!$E$5:$E$304,V2754)&lt;&gt;"",INDEX(Parties!$E$5:$E$304,V2754)&lt;&gt;HomeState),ROUND(L2754*M2754,2),0)),"")</f>
        <v/>
      </c>
      <c r="Q2754" s="61" t="str">
        <f aca="false">IF(IsPro,IF($D2754="","",L2754+N2754+O2754+P2754),"")</f>
        <v/>
      </c>
      <c r="R2754" s="61" t="str">
        <f aca="false">IF(IsPro,IF($D2754="","",ROUND(N($E2754)*IFERROR(INDEX(Items!$P$5:$P$504,U2754),0),2)),"")</f>
        <v/>
      </c>
      <c r="S2754" s="61" t="str">
        <f aca="false">IF(IsPro,IF($D2754="","",L2754-R2754),"")</f>
        <v/>
      </c>
      <c r="T2754" s="60" t="str">
        <f aca="false">IF(IsPro,IF($D2754="","",IF(U2754="","UNKNOWN ITEM",IF(INDEX(Items!$O$5:$O$504,U2754)&lt;0,"NEG STOCK",IF(K2754&lt;INDEX(Items!$P$5:$P$504,U2754),"BELOW COST","OK")))),IF($D2754="","","PRO PLAN"))</f>
        <v/>
      </c>
      <c r="U2754" s="60" t="str">
        <f aca="false">IF(IsPro,IF($D2754="","",IFERROR(MATCH($D2754,Items!$A$5:$A$504,0),"")),"")</f>
        <v/>
      </c>
      <c r="V2754" s="60" t="str">
        <f aca="false">IF(IsPro,IF($C2754="","",IFERROR(MATCH($C2754,Parties!$A$5:$A$304,0),"")),"")</f>
        <v/>
      </c>
      <c r="W2754" s="60" t="str">
        <f aca="false">IF(IsPro,IF($B2754="","",IFERROR(VALUE(SUBSTITUTE($B2754,InvPrefix,"")),0)),"")</f>
        <v/>
      </c>
      <c r="X2754" s="61" t="str">
        <f aca="false">IF(IsPro,IF($D2754="","",IF(OR($H2754="",$H2754="Credit"),0,Q2754)),"")</f>
        <v/>
      </c>
    </row>
    <row r="2755" customFormat="false" ht="15" hidden="false" customHeight="false" outlineLevel="0" collapsed="false">
      <c r="A2755" s="55"/>
      <c r="B2755" s="56"/>
      <c r="C2755" s="56"/>
      <c r="D2755" s="56"/>
      <c r="E2755" s="57"/>
      <c r="F2755" s="58"/>
      <c r="G2755" s="59"/>
      <c r="H2755" s="56"/>
      <c r="I2755" s="56"/>
      <c r="J2755" s="60" t="str">
        <f aca="false">IF(IsPro,IF($D2755="","",IFERROR(INDEX(Items!$D$5:$D$504,U2755),"")),"")</f>
        <v/>
      </c>
      <c r="K2755" s="61" t="str">
        <f aca="false">IF(IsPro,IF($D2755="","",IF($F2755="",IFERROR(INDEX(Items!$H$5:$H$504,U2755),0),$F2755)),"")</f>
        <v/>
      </c>
      <c r="L2755" s="61" t="str">
        <f aca="false">IF(IsPro,IF($D2755="","",ROUND(N($E2755)*K2755*(1-N($G2755)),2)),"")</f>
        <v/>
      </c>
      <c r="M2755" s="62" t="str">
        <f aca="false">IF(IsPro,IF($D2755="","",IFERROR(INDEX(Items!$F$5:$F$504,U2755),0)),"")</f>
        <v/>
      </c>
      <c r="N2755" s="61" t="str">
        <f aca="false">IF(IsPro,IF($D2755="","",IF(AND(V2755&lt;&gt;"",INDEX(Parties!$E$5:$E$304,V2755)&lt;&gt;"",INDEX(Parties!$E$5:$E$304,V2755)&lt;&gt;HomeState),0,ROUND(L2755*M2755/2,2))),"")</f>
        <v/>
      </c>
      <c r="O2755" s="61" t="str">
        <f aca="false">IF(IsPro,IF($D2755="","",N2755),"")</f>
        <v/>
      </c>
      <c r="P2755" s="61" t="str">
        <f aca="false">IF(IsPro,IF($D2755="","",IF(AND(V2755&lt;&gt;"",INDEX(Parties!$E$5:$E$304,V2755)&lt;&gt;"",INDEX(Parties!$E$5:$E$304,V2755)&lt;&gt;HomeState),ROUND(L2755*M2755,2),0)),"")</f>
        <v/>
      </c>
      <c r="Q2755" s="61" t="str">
        <f aca="false">IF(IsPro,IF($D2755="","",L2755+N2755+O2755+P2755),"")</f>
        <v/>
      </c>
      <c r="R2755" s="61" t="str">
        <f aca="false">IF(IsPro,IF($D2755="","",ROUND(N($E2755)*IFERROR(INDEX(Items!$P$5:$P$504,U2755),0),2)),"")</f>
        <v/>
      </c>
      <c r="S2755" s="61" t="str">
        <f aca="false">IF(IsPro,IF($D2755="","",L2755-R2755),"")</f>
        <v/>
      </c>
      <c r="T2755" s="60" t="str">
        <f aca="false">IF(IsPro,IF($D2755="","",IF(U2755="","UNKNOWN ITEM",IF(INDEX(Items!$O$5:$O$504,U2755)&lt;0,"NEG STOCK",IF(K2755&lt;INDEX(Items!$P$5:$P$504,U2755),"BELOW COST","OK")))),IF($D2755="","","PRO PLAN"))</f>
        <v/>
      </c>
      <c r="U2755" s="60" t="str">
        <f aca="false">IF(IsPro,IF($D2755="","",IFERROR(MATCH($D2755,Items!$A$5:$A$504,0),"")),"")</f>
        <v/>
      </c>
      <c r="V2755" s="60" t="str">
        <f aca="false">IF(IsPro,IF($C2755="","",IFERROR(MATCH($C2755,Parties!$A$5:$A$304,0),"")),"")</f>
        <v/>
      </c>
      <c r="W2755" s="60" t="str">
        <f aca="false">IF(IsPro,IF($B2755="","",IFERROR(VALUE(SUBSTITUTE($B2755,InvPrefix,"")),0)),"")</f>
        <v/>
      </c>
      <c r="X2755" s="61" t="str">
        <f aca="false">IF(IsPro,IF($D2755="","",IF(OR($H2755="",$H2755="Credit"),0,Q2755)),"")</f>
        <v/>
      </c>
    </row>
    <row r="2756" customFormat="false" ht="15" hidden="false" customHeight="false" outlineLevel="0" collapsed="false">
      <c r="A2756" s="55"/>
      <c r="B2756" s="56"/>
      <c r="C2756" s="56"/>
      <c r="D2756" s="56"/>
      <c r="E2756" s="57"/>
      <c r="F2756" s="58"/>
      <c r="G2756" s="59"/>
      <c r="H2756" s="56"/>
      <c r="I2756" s="56"/>
      <c r="J2756" s="60" t="str">
        <f aca="false">IF(IsPro,IF($D2756="","",IFERROR(INDEX(Items!$D$5:$D$504,U2756),"")),"")</f>
        <v/>
      </c>
      <c r="K2756" s="61" t="str">
        <f aca="false">IF(IsPro,IF($D2756="","",IF($F2756="",IFERROR(INDEX(Items!$H$5:$H$504,U2756),0),$F2756)),"")</f>
        <v/>
      </c>
      <c r="L2756" s="61" t="str">
        <f aca="false">IF(IsPro,IF($D2756="","",ROUND(N($E2756)*K2756*(1-N($G2756)),2)),"")</f>
        <v/>
      </c>
      <c r="M2756" s="62" t="str">
        <f aca="false">IF(IsPro,IF($D2756="","",IFERROR(INDEX(Items!$F$5:$F$504,U2756),0)),"")</f>
        <v/>
      </c>
      <c r="N2756" s="61" t="str">
        <f aca="false">IF(IsPro,IF($D2756="","",IF(AND(V2756&lt;&gt;"",INDEX(Parties!$E$5:$E$304,V2756)&lt;&gt;"",INDEX(Parties!$E$5:$E$304,V2756)&lt;&gt;HomeState),0,ROUND(L2756*M2756/2,2))),"")</f>
        <v/>
      </c>
      <c r="O2756" s="61" t="str">
        <f aca="false">IF(IsPro,IF($D2756="","",N2756),"")</f>
        <v/>
      </c>
      <c r="P2756" s="61" t="str">
        <f aca="false">IF(IsPro,IF($D2756="","",IF(AND(V2756&lt;&gt;"",INDEX(Parties!$E$5:$E$304,V2756)&lt;&gt;"",INDEX(Parties!$E$5:$E$304,V2756)&lt;&gt;HomeState),ROUND(L2756*M2756,2),0)),"")</f>
        <v/>
      </c>
      <c r="Q2756" s="61" t="str">
        <f aca="false">IF(IsPro,IF($D2756="","",L2756+N2756+O2756+P2756),"")</f>
        <v/>
      </c>
      <c r="R2756" s="61" t="str">
        <f aca="false">IF(IsPro,IF($D2756="","",ROUND(N($E2756)*IFERROR(INDEX(Items!$P$5:$P$504,U2756),0),2)),"")</f>
        <v/>
      </c>
      <c r="S2756" s="61" t="str">
        <f aca="false">IF(IsPro,IF($D2756="","",L2756-R2756),"")</f>
        <v/>
      </c>
      <c r="T2756" s="60" t="str">
        <f aca="false">IF(IsPro,IF($D2756="","",IF(U2756="","UNKNOWN ITEM",IF(INDEX(Items!$O$5:$O$504,U2756)&lt;0,"NEG STOCK",IF(K2756&lt;INDEX(Items!$P$5:$P$504,U2756),"BELOW COST","OK")))),IF($D2756="","","PRO PLAN"))</f>
        <v/>
      </c>
      <c r="U2756" s="60" t="str">
        <f aca="false">IF(IsPro,IF($D2756="","",IFERROR(MATCH($D2756,Items!$A$5:$A$504,0),"")),"")</f>
        <v/>
      </c>
      <c r="V2756" s="60" t="str">
        <f aca="false">IF(IsPro,IF($C2756="","",IFERROR(MATCH($C2756,Parties!$A$5:$A$304,0),"")),"")</f>
        <v/>
      </c>
      <c r="W2756" s="60" t="str">
        <f aca="false">IF(IsPro,IF($B2756="","",IFERROR(VALUE(SUBSTITUTE($B2756,InvPrefix,"")),0)),"")</f>
        <v/>
      </c>
      <c r="X2756" s="61" t="str">
        <f aca="false">IF(IsPro,IF($D2756="","",IF(OR($H2756="",$H2756="Credit"),0,Q2756)),"")</f>
        <v/>
      </c>
    </row>
    <row r="2757" customFormat="false" ht="15" hidden="false" customHeight="false" outlineLevel="0" collapsed="false">
      <c r="A2757" s="55"/>
      <c r="B2757" s="56"/>
      <c r="C2757" s="56"/>
      <c r="D2757" s="56"/>
      <c r="E2757" s="57"/>
      <c r="F2757" s="58"/>
      <c r="G2757" s="59"/>
      <c r="H2757" s="56"/>
      <c r="I2757" s="56"/>
      <c r="J2757" s="60" t="str">
        <f aca="false">IF(IsPro,IF($D2757="","",IFERROR(INDEX(Items!$D$5:$D$504,U2757),"")),"")</f>
        <v/>
      </c>
      <c r="K2757" s="61" t="str">
        <f aca="false">IF(IsPro,IF($D2757="","",IF($F2757="",IFERROR(INDEX(Items!$H$5:$H$504,U2757),0),$F2757)),"")</f>
        <v/>
      </c>
      <c r="L2757" s="61" t="str">
        <f aca="false">IF(IsPro,IF($D2757="","",ROUND(N($E2757)*K2757*(1-N($G2757)),2)),"")</f>
        <v/>
      </c>
      <c r="M2757" s="62" t="str">
        <f aca="false">IF(IsPro,IF($D2757="","",IFERROR(INDEX(Items!$F$5:$F$504,U2757),0)),"")</f>
        <v/>
      </c>
      <c r="N2757" s="61" t="str">
        <f aca="false">IF(IsPro,IF($D2757="","",IF(AND(V2757&lt;&gt;"",INDEX(Parties!$E$5:$E$304,V2757)&lt;&gt;"",INDEX(Parties!$E$5:$E$304,V2757)&lt;&gt;HomeState),0,ROUND(L2757*M2757/2,2))),"")</f>
        <v/>
      </c>
      <c r="O2757" s="61" t="str">
        <f aca="false">IF(IsPro,IF($D2757="","",N2757),"")</f>
        <v/>
      </c>
      <c r="P2757" s="61" t="str">
        <f aca="false">IF(IsPro,IF($D2757="","",IF(AND(V2757&lt;&gt;"",INDEX(Parties!$E$5:$E$304,V2757)&lt;&gt;"",INDEX(Parties!$E$5:$E$304,V2757)&lt;&gt;HomeState),ROUND(L2757*M2757,2),0)),"")</f>
        <v/>
      </c>
      <c r="Q2757" s="61" t="str">
        <f aca="false">IF(IsPro,IF($D2757="","",L2757+N2757+O2757+P2757),"")</f>
        <v/>
      </c>
      <c r="R2757" s="61" t="str">
        <f aca="false">IF(IsPro,IF($D2757="","",ROUND(N($E2757)*IFERROR(INDEX(Items!$P$5:$P$504,U2757),0),2)),"")</f>
        <v/>
      </c>
      <c r="S2757" s="61" t="str">
        <f aca="false">IF(IsPro,IF($D2757="","",L2757-R2757),"")</f>
        <v/>
      </c>
      <c r="T2757" s="60" t="str">
        <f aca="false">IF(IsPro,IF($D2757="","",IF(U2757="","UNKNOWN ITEM",IF(INDEX(Items!$O$5:$O$504,U2757)&lt;0,"NEG STOCK",IF(K2757&lt;INDEX(Items!$P$5:$P$504,U2757),"BELOW COST","OK")))),IF($D2757="","","PRO PLAN"))</f>
        <v/>
      </c>
      <c r="U2757" s="60" t="str">
        <f aca="false">IF(IsPro,IF($D2757="","",IFERROR(MATCH($D2757,Items!$A$5:$A$504,0),"")),"")</f>
        <v/>
      </c>
      <c r="V2757" s="60" t="str">
        <f aca="false">IF(IsPro,IF($C2757="","",IFERROR(MATCH($C2757,Parties!$A$5:$A$304,0),"")),"")</f>
        <v/>
      </c>
      <c r="W2757" s="60" t="str">
        <f aca="false">IF(IsPro,IF($B2757="","",IFERROR(VALUE(SUBSTITUTE($B2757,InvPrefix,"")),0)),"")</f>
        <v/>
      </c>
      <c r="X2757" s="61" t="str">
        <f aca="false">IF(IsPro,IF($D2757="","",IF(OR($H2757="",$H2757="Credit"),0,Q2757)),"")</f>
        <v/>
      </c>
    </row>
    <row r="2758" customFormat="false" ht="15" hidden="false" customHeight="false" outlineLevel="0" collapsed="false">
      <c r="A2758" s="55"/>
      <c r="B2758" s="56"/>
      <c r="C2758" s="56"/>
      <c r="D2758" s="56"/>
      <c r="E2758" s="57"/>
      <c r="F2758" s="58"/>
      <c r="G2758" s="59"/>
      <c r="H2758" s="56"/>
      <c r="I2758" s="56"/>
      <c r="J2758" s="60" t="str">
        <f aca="false">IF(IsPro,IF($D2758="","",IFERROR(INDEX(Items!$D$5:$D$504,U2758),"")),"")</f>
        <v/>
      </c>
      <c r="K2758" s="61" t="str">
        <f aca="false">IF(IsPro,IF($D2758="","",IF($F2758="",IFERROR(INDEX(Items!$H$5:$H$504,U2758),0),$F2758)),"")</f>
        <v/>
      </c>
      <c r="L2758" s="61" t="str">
        <f aca="false">IF(IsPro,IF($D2758="","",ROUND(N($E2758)*K2758*(1-N($G2758)),2)),"")</f>
        <v/>
      </c>
      <c r="M2758" s="62" t="str">
        <f aca="false">IF(IsPro,IF($D2758="","",IFERROR(INDEX(Items!$F$5:$F$504,U2758),0)),"")</f>
        <v/>
      </c>
      <c r="N2758" s="61" t="str">
        <f aca="false">IF(IsPro,IF($D2758="","",IF(AND(V2758&lt;&gt;"",INDEX(Parties!$E$5:$E$304,V2758)&lt;&gt;"",INDEX(Parties!$E$5:$E$304,V2758)&lt;&gt;HomeState),0,ROUND(L2758*M2758/2,2))),"")</f>
        <v/>
      </c>
      <c r="O2758" s="61" t="str">
        <f aca="false">IF(IsPro,IF($D2758="","",N2758),"")</f>
        <v/>
      </c>
      <c r="P2758" s="61" t="str">
        <f aca="false">IF(IsPro,IF($D2758="","",IF(AND(V2758&lt;&gt;"",INDEX(Parties!$E$5:$E$304,V2758)&lt;&gt;"",INDEX(Parties!$E$5:$E$304,V2758)&lt;&gt;HomeState),ROUND(L2758*M2758,2),0)),"")</f>
        <v/>
      </c>
      <c r="Q2758" s="61" t="str">
        <f aca="false">IF(IsPro,IF($D2758="","",L2758+N2758+O2758+P2758),"")</f>
        <v/>
      </c>
      <c r="R2758" s="61" t="str">
        <f aca="false">IF(IsPro,IF($D2758="","",ROUND(N($E2758)*IFERROR(INDEX(Items!$P$5:$P$504,U2758),0),2)),"")</f>
        <v/>
      </c>
      <c r="S2758" s="61" t="str">
        <f aca="false">IF(IsPro,IF($D2758="","",L2758-R2758),"")</f>
        <v/>
      </c>
      <c r="T2758" s="60" t="str">
        <f aca="false">IF(IsPro,IF($D2758="","",IF(U2758="","UNKNOWN ITEM",IF(INDEX(Items!$O$5:$O$504,U2758)&lt;0,"NEG STOCK",IF(K2758&lt;INDEX(Items!$P$5:$P$504,U2758),"BELOW COST","OK")))),IF($D2758="","","PRO PLAN"))</f>
        <v/>
      </c>
      <c r="U2758" s="60" t="str">
        <f aca="false">IF(IsPro,IF($D2758="","",IFERROR(MATCH($D2758,Items!$A$5:$A$504,0),"")),"")</f>
        <v/>
      </c>
      <c r="V2758" s="60" t="str">
        <f aca="false">IF(IsPro,IF($C2758="","",IFERROR(MATCH($C2758,Parties!$A$5:$A$304,0),"")),"")</f>
        <v/>
      </c>
      <c r="W2758" s="60" t="str">
        <f aca="false">IF(IsPro,IF($B2758="","",IFERROR(VALUE(SUBSTITUTE($B2758,InvPrefix,"")),0)),"")</f>
        <v/>
      </c>
      <c r="X2758" s="61" t="str">
        <f aca="false">IF(IsPro,IF($D2758="","",IF(OR($H2758="",$H2758="Credit"),0,Q2758)),"")</f>
        <v/>
      </c>
    </row>
    <row r="2759" customFormat="false" ht="15" hidden="false" customHeight="false" outlineLevel="0" collapsed="false">
      <c r="A2759" s="55"/>
      <c r="B2759" s="56"/>
      <c r="C2759" s="56"/>
      <c r="D2759" s="56"/>
      <c r="E2759" s="57"/>
      <c r="F2759" s="58"/>
      <c r="G2759" s="59"/>
      <c r="H2759" s="56"/>
      <c r="I2759" s="56"/>
      <c r="J2759" s="60" t="str">
        <f aca="false">IF(IsPro,IF($D2759="","",IFERROR(INDEX(Items!$D$5:$D$504,U2759),"")),"")</f>
        <v/>
      </c>
      <c r="K2759" s="61" t="str">
        <f aca="false">IF(IsPro,IF($D2759="","",IF($F2759="",IFERROR(INDEX(Items!$H$5:$H$504,U2759),0),$F2759)),"")</f>
        <v/>
      </c>
      <c r="L2759" s="61" t="str">
        <f aca="false">IF(IsPro,IF($D2759="","",ROUND(N($E2759)*K2759*(1-N($G2759)),2)),"")</f>
        <v/>
      </c>
      <c r="M2759" s="62" t="str">
        <f aca="false">IF(IsPro,IF($D2759="","",IFERROR(INDEX(Items!$F$5:$F$504,U2759),0)),"")</f>
        <v/>
      </c>
      <c r="N2759" s="61" t="str">
        <f aca="false">IF(IsPro,IF($D2759="","",IF(AND(V2759&lt;&gt;"",INDEX(Parties!$E$5:$E$304,V2759)&lt;&gt;"",INDEX(Parties!$E$5:$E$304,V2759)&lt;&gt;HomeState),0,ROUND(L2759*M2759/2,2))),"")</f>
        <v/>
      </c>
      <c r="O2759" s="61" t="str">
        <f aca="false">IF(IsPro,IF($D2759="","",N2759),"")</f>
        <v/>
      </c>
      <c r="P2759" s="61" t="str">
        <f aca="false">IF(IsPro,IF($D2759="","",IF(AND(V2759&lt;&gt;"",INDEX(Parties!$E$5:$E$304,V2759)&lt;&gt;"",INDEX(Parties!$E$5:$E$304,V2759)&lt;&gt;HomeState),ROUND(L2759*M2759,2),0)),"")</f>
        <v/>
      </c>
      <c r="Q2759" s="61" t="str">
        <f aca="false">IF(IsPro,IF($D2759="","",L2759+N2759+O2759+P2759),"")</f>
        <v/>
      </c>
      <c r="R2759" s="61" t="str">
        <f aca="false">IF(IsPro,IF($D2759="","",ROUND(N($E2759)*IFERROR(INDEX(Items!$P$5:$P$504,U2759),0),2)),"")</f>
        <v/>
      </c>
      <c r="S2759" s="61" t="str">
        <f aca="false">IF(IsPro,IF($D2759="","",L2759-R2759),"")</f>
        <v/>
      </c>
      <c r="T2759" s="60" t="str">
        <f aca="false">IF(IsPro,IF($D2759="","",IF(U2759="","UNKNOWN ITEM",IF(INDEX(Items!$O$5:$O$504,U2759)&lt;0,"NEG STOCK",IF(K2759&lt;INDEX(Items!$P$5:$P$504,U2759),"BELOW COST","OK")))),IF($D2759="","","PRO PLAN"))</f>
        <v/>
      </c>
      <c r="U2759" s="60" t="str">
        <f aca="false">IF(IsPro,IF($D2759="","",IFERROR(MATCH($D2759,Items!$A$5:$A$504,0),"")),"")</f>
        <v/>
      </c>
      <c r="V2759" s="60" t="str">
        <f aca="false">IF(IsPro,IF($C2759="","",IFERROR(MATCH($C2759,Parties!$A$5:$A$304,0),"")),"")</f>
        <v/>
      </c>
      <c r="W2759" s="60" t="str">
        <f aca="false">IF(IsPro,IF($B2759="","",IFERROR(VALUE(SUBSTITUTE($B2759,InvPrefix,"")),0)),"")</f>
        <v/>
      </c>
      <c r="X2759" s="61" t="str">
        <f aca="false">IF(IsPro,IF($D2759="","",IF(OR($H2759="",$H2759="Credit"),0,Q2759)),"")</f>
        <v/>
      </c>
    </row>
    <row r="2760" customFormat="false" ht="15" hidden="false" customHeight="false" outlineLevel="0" collapsed="false">
      <c r="A2760" s="55"/>
      <c r="B2760" s="56"/>
      <c r="C2760" s="56"/>
      <c r="D2760" s="56"/>
      <c r="E2760" s="57"/>
      <c r="F2760" s="58"/>
      <c r="G2760" s="59"/>
      <c r="H2760" s="56"/>
      <c r="I2760" s="56"/>
      <c r="J2760" s="60" t="str">
        <f aca="false">IF(IsPro,IF($D2760="","",IFERROR(INDEX(Items!$D$5:$D$504,U2760),"")),"")</f>
        <v/>
      </c>
      <c r="K2760" s="61" t="str">
        <f aca="false">IF(IsPro,IF($D2760="","",IF($F2760="",IFERROR(INDEX(Items!$H$5:$H$504,U2760),0),$F2760)),"")</f>
        <v/>
      </c>
      <c r="L2760" s="61" t="str">
        <f aca="false">IF(IsPro,IF($D2760="","",ROUND(N($E2760)*K2760*(1-N($G2760)),2)),"")</f>
        <v/>
      </c>
      <c r="M2760" s="62" t="str">
        <f aca="false">IF(IsPro,IF($D2760="","",IFERROR(INDEX(Items!$F$5:$F$504,U2760),0)),"")</f>
        <v/>
      </c>
      <c r="N2760" s="61" t="str">
        <f aca="false">IF(IsPro,IF($D2760="","",IF(AND(V2760&lt;&gt;"",INDEX(Parties!$E$5:$E$304,V2760)&lt;&gt;"",INDEX(Parties!$E$5:$E$304,V2760)&lt;&gt;HomeState),0,ROUND(L2760*M2760/2,2))),"")</f>
        <v/>
      </c>
      <c r="O2760" s="61" t="str">
        <f aca="false">IF(IsPro,IF($D2760="","",N2760),"")</f>
        <v/>
      </c>
      <c r="P2760" s="61" t="str">
        <f aca="false">IF(IsPro,IF($D2760="","",IF(AND(V2760&lt;&gt;"",INDEX(Parties!$E$5:$E$304,V2760)&lt;&gt;"",INDEX(Parties!$E$5:$E$304,V2760)&lt;&gt;HomeState),ROUND(L2760*M2760,2),0)),"")</f>
        <v/>
      </c>
      <c r="Q2760" s="61" t="str">
        <f aca="false">IF(IsPro,IF($D2760="","",L2760+N2760+O2760+P2760),"")</f>
        <v/>
      </c>
      <c r="R2760" s="61" t="str">
        <f aca="false">IF(IsPro,IF($D2760="","",ROUND(N($E2760)*IFERROR(INDEX(Items!$P$5:$P$504,U2760),0),2)),"")</f>
        <v/>
      </c>
      <c r="S2760" s="61" t="str">
        <f aca="false">IF(IsPro,IF($D2760="","",L2760-R2760),"")</f>
        <v/>
      </c>
      <c r="T2760" s="60" t="str">
        <f aca="false">IF(IsPro,IF($D2760="","",IF(U2760="","UNKNOWN ITEM",IF(INDEX(Items!$O$5:$O$504,U2760)&lt;0,"NEG STOCK",IF(K2760&lt;INDEX(Items!$P$5:$P$504,U2760),"BELOW COST","OK")))),IF($D2760="","","PRO PLAN"))</f>
        <v/>
      </c>
      <c r="U2760" s="60" t="str">
        <f aca="false">IF(IsPro,IF($D2760="","",IFERROR(MATCH($D2760,Items!$A$5:$A$504,0),"")),"")</f>
        <v/>
      </c>
      <c r="V2760" s="60" t="str">
        <f aca="false">IF(IsPro,IF($C2760="","",IFERROR(MATCH($C2760,Parties!$A$5:$A$304,0),"")),"")</f>
        <v/>
      </c>
      <c r="W2760" s="60" t="str">
        <f aca="false">IF(IsPro,IF($B2760="","",IFERROR(VALUE(SUBSTITUTE($B2760,InvPrefix,"")),0)),"")</f>
        <v/>
      </c>
      <c r="X2760" s="61" t="str">
        <f aca="false">IF(IsPro,IF($D2760="","",IF(OR($H2760="",$H2760="Credit"),0,Q2760)),"")</f>
        <v/>
      </c>
    </row>
    <row r="2761" customFormat="false" ht="15" hidden="false" customHeight="false" outlineLevel="0" collapsed="false">
      <c r="A2761" s="55"/>
      <c r="B2761" s="56"/>
      <c r="C2761" s="56"/>
      <c r="D2761" s="56"/>
      <c r="E2761" s="57"/>
      <c r="F2761" s="58"/>
      <c r="G2761" s="59"/>
      <c r="H2761" s="56"/>
      <c r="I2761" s="56"/>
      <c r="J2761" s="60" t="str">
        <f aca="false">IF(IsPro,IF($D2761="","",IFERROR(INDEX(Items!$D$5:$D$504,U2761),"")),"")</f>
        <v/>
      </c>
      <c r="K2761" s="61" t="str">
        <f aca="false">IF(IsPro,IF($D2761="","",IF($F2761="",IFERROR(INDEX(Items!$H$5:$H$504,U2761),0),$F2761)),"")</f>
        <v/>
      </c>
      <c r="L2761" s="61" t="str">
        <f aca="false">IF(IsPro,IF($D2761="","",ROUND(N($E2761)*K2761*(1-N($G2761)),2)),"")</f>
        <v/>
      </c>
      <c r="M2761" s="62" t="str">
        <f aca="false">IF(IsPro,IF($D2761="","",IFERROR(INDEX(Items!$F$5:$F$504,U2761),0)),"")</f>
        <v/>
      </c>
      <c r="N2761" s="61" t="str">
        <f aca="false">IF(IsPro,IF($D2761="","",IF(AND(V2761&lt;&gt;"",INDEX(Parties!$E$5:$E$304,V2761)&lt;&gt;"",INDEX(Parties!$E$5:$E$304,V2761)&lt;&gt;HomeState),0,ROUND(L2761*M2761/2,2))),"")</f>
        <v/>
      </c>
      <c r="O2761" s="61" t="str">
        <f aca="false">IF(IsPro,IF($D2761="","",N2761),"")</f>
        <v/>
      </c>
      <c r="P2761" s="61" t="str">
        <f aca="false">IF(IsPro,IF($D2761="","",IF(AND(V2761&lt;&gt;"",INDEX(Parties!$E$5:$E$304,V2761)&lt;&gt;"",INDEX(Parties!$E$5:$E$304,V2761)&lt;&gt;HomeState),ROUND(L2761*M2761,2),0)),"")</f>
        <v/>
      </c>
      <c r="Q2761" s="61" t="str">
        <f aca="false">IF(IsPro,IF($D2761="","",L2761+N2761+O2761+P2761),"")</f>
        <v/>
      </c>
      <c r="R2761" s="61" t="str">
        <f aca="false">IF(IsPro,IF($D2761="","",ROUND(N($E2761)*IFERROR(INDEX(Items!$P$5:$P$504,U2761),0),2)),"")</f>
        <v/>
      </c>
      <c r="S2761" s="61" t="str">
        <f aca="false">IF(IsPro,IF($D2761="","",L2761-R2761),"")</f>
        <v/>
      </c>
      <c r="T2761" s="60" t="str">
        <f aca="false">IF(IsPro,IF($D2761="","",IF(U2761="","UNKNOWN ITEM",IF(INDEX(Items!$O$5:$O$504,U2761)&lt;0,"NEG STOCK",IF(K2761&lt;INDEX(Items!$P$5:$P$504,U2761),"BELOW COST","OK")))),IF($D2761="","","PRO PLAN"))</f>
        <v/>
      </c>
      <c r="U2761" s="60" t="str">
        <f aca="false">IF(IsPro,IF($D2761="","",IFERROR(MATCH($D2761,Items!$A$5:$A$504,0),"")),"")</f>
        <v/>
      </c>
      <c r="V2761" s="60" t="str">
        <f aca="false">IF(IsPro,IF($C2761="","",IFERROR(MATCH($C2761,Parties!$A$5:$A$304,0),"")),"")</f>
        <v/>
      </c>
      <c r="W2761" s="60" t="str">
        <f aca="false">IF(IsPro,IF($B2761="","",IFERROR(VALUE(SUBSTITUTE($B2761,InvPrefix,"")),0)),"")</f>
        <v/>
      </c>
      <c r="X2761" s="61" t="str">
        <f aca="false">IF(IsPro,IF($D2761="","",IF(OR($H2761="",$H2761="Credit"),0,Q2761)),"")</f>
        <v/>
      </c>
    </row>
    <row r="2762" customFormat="false" ht="15" hidden="false" customHeight="false" outlineLevel="0" collapsed="false">
      <c r="A2762" s="55"/>
      <c r="B2762" s="56"/>
      <c r="C2762" s="56"/>
      <c r="D2762" s="56"/>
      <c r="E2762" s="57"/>
      <c r="F2762" s="58"/>
      <c r="G2762" s="59"/>
      <c r="H2762" s="56"/>
      <c r="I2762" s="56"/>
      <c r="J2762" s="60" t="str">
        <f aca="false">IF(IsPro,IF($D2762="","",IFERROR(INDEX(Items!$D$5:$D$504,U2762),"")),"")</f>
        <v/>
      </c>
      <c r="K2762" s="61" t="str">
        <f aca="false">IF(IsPro,IF($D2762="","",IF($F2762="",IFERROR(INDEX(Items!$H$5:$H$504,U2762),0),$F2762)),"")</f>
        <v/>
      </c>
      <c r="L2762" s="61" t="str">
        <f aca="false">IF(IsPro,IF($D2762="","",ROUND(N($E2762)*K2762*(1-N($G2762)),2)),"")</f>
        <v/>
      </c>
      <c r="M2762" s="62" t="str">
        <f aca="false">IF(IsPro,IF($D2762="","",IFERROR(INDEX(Items!$F$5:$F$504,U2762),0)),"")</f>
        <v/>
      </c>
      <c r="N2762" s="61" t="str">
        <f aca="false">IF(IsPro,IF($D2762="","",IF(AND(V2762&lt;&gt;"",INDEX(Parties!$E$5:$E$304,V2762)&lt;&gt;"",INDEX(Parties!$E$5:$E$304,V2762)&lt;&gt;HomeState),0,ROUND(L2762*M2762/2,2))),"")</f>
        <v/>
      </c>
      <c r="O2762" s="61" t="str">
        <f aca="false">IF(IsPro,IF($D2762="","",N2762),"")</f>
        <v/>
      </c>
      <c r="P2762" s="61" t="str">
        <f aca="false">IF(IsPro,IF($D2762="","",IF(AND(V2762&lt;&gt;"",INDEX(Parties!$E$5:$E$304,V2762)&lt;&gt;"",INDEX(Parties!$E$5:$E$304,V2762)&lt;&gt;HomeState),ROUND(L2762*M2762,2),0)),"")</f>
        <v/>
      </c>
      <c r="Q2762" s="61" t="str">
        <f aca="false">IF(IsPro,IF($D2762="","",L2762+N2762+O2762+P2762),"")</f>
        <v/>
      </c>
      <c r="R2762" s="61" t="str">
        <f aca="false">IF(IsPro,IF($D2762="","",ROUND(N($E2762)*IFERROR(INDEX(Items!$P$5:$P$504,U2762),0),2)),"")</f>
        <v/>
      </c>
      <c r="S2762" s="61" t="str">
        <f aca="false">IF(IsPro,IF($D2762="","",L2762-R2762),"")</f>
        <v/>
      </c>
      <c r="T2762" s="60" t="str">
        <f aca="false">IF(IsPro,IF($D2762="","",IF(U2762="","UNKNOWN ITEM",IF(INDEX(Items!$O$5:$O$504,U2762)&lt;0,"NEG STOCK",IF(K2762&lt;INDEX(Items!$P$5:$P$504,U2762),"BELOW COST","OK")))),IF($D2762="","","PRO PLAN"))</f>
        <v/>
      </c>
      <c r="U2762" s="60" t="str">
        <f aca="false">IF(IsPro,IF($D2762="","",IFERROR(MATCH($D2762,Items!$A$5:$A$504,0),"")),"")</f>
        <v/>
      </c>
      <c r="V2762" s="60" t="str">
        <f aca="false">IF(IsPro,IF($C2762="","",IFERROR(MATCH($C2762,Parties!$A$5:$A$304,0),"")),"")</f>
        <v/>
      </c>
      <c r="W2762" s="60" t="str">
        <f aca="false">IF(IsPro,IF($B2762="","",IFERROR(VALUE(SUBSTITUTE($B2762,InvPrefix,"")),0)),"")</f>
        <v/>
      </c>
      <c r="X2762" s="61" t="str">
        <f aca="false">IF(IsPro,IF($D2762="","",IF(OR($H2762="",$H2762="Credit"),0,Q2762)),"")</f>
        <v/>
      </c>
    </row>
    <row r="2763" customFormat="false" ht="15" hidden="false" customHeight="false" outlineLevel="0" collapsed="false">
      <c r="A2763" s="55"/>
      <c r="B2763" s="56"/>
      <c r="C2763" s="56"/>
      <c r="D2763" s="56"/>
      <c r="E2763" s="57"/>
      <c r="F2763" s="58"/>
      <c r="G2763" s="59"/>
      <c r="H2763" s="56"/>
      <c r="I2763" s="56"/>
      <c r="J2763" s="60" t="str">
        <f aca="false">IF(IsPro,IF($D2763="","",IFERROR(INDEX(Items!$D$5:$D$504,U2763),"")),"")</f>
        <v/>
      </c>
      <c r="K2763" s="61" t="str">
        <f aca="false">IF(IsPro,IF($D2763="","",IF($F2763="",IFERROR(INDEX(Items!$H$5:$H$504,U2763),0),$F2763)),"")</f>
        <v/>
      </c>
      <c r="L2763" s="61" t="str">
        <f aca="false">IF(IsPro,IF($D2763="","",ROUND(N($E2763)*K2763*(1-N($G2763)),2)),"")</f>
        <v/>
      </c>
      <c r="M2763" s="62" t="str">
        <f aca="false">IF(IsPro,IF($D2763="","",IFERROR(INDEX(Items!$F$5:$F$504,U2763),0)),"")</f>
        <v/>
      </c>
      <c r="N2763" s="61" t="str">
        <f aca="false">IF(IsPro,IF($D2763="","",IF(AND(V2763&lt;&gt;"",INDEX(Parties!$E$5:$E$304,V2763)&lt;&gt;"",INDEX(Parties!$E$5:$E$304,V2763)&lt;&gt;HomeState),0,ROUND(L2763*M2763/2,2))),"")</f>
        <v/>
      </c>
      <c r="O2763" s="61" t="str">
        <f aca="false">IF(IsPro,IF($D2763="","",N2763),"")</f>
        <v/>
      </c>
      <c r="P2763" s="61" t="str">
        <f aca="false">IF(IsPro,IF($D2763="","",IF(AND(V2763&lt;&gt;"",INDEX(Parties!$E$5:$E$304,V2763)&lt;&gt;"",INDEX(Parties!$E$5:$E$304,V2763)&lt;&gt;HomeState),ROUND(L2763*M2763,2),0)),"")</f>
        <v/>
      </c>
      <c r="Q2763" s="61" t="str">
        <f aca="false">IF(IsPro,IF($D2763="","",L2763+N2763+O2763+P2763),"")</f>
        <v/>
      </c>
      <c r="R2763" s="61" t="str">
        <f aca="false">IF(IsPro,IF($D2763="","",ROUND(N($E2763)*IFERROR(INDEX(Items!$P$5:$P$504,U2763),0),2)),"")</f>
        <v/>
      </c>
      <c r="S2763" s="61" t="str">
        <f aca="false">IF(IsPro,IF($D2763="","",L2763-R2763),"")</f>
        <v/>
      </c>
      <c r="T2763" s="60" t="str">
        <f aca="false">IF(IsPro,IF($D2763="","",IF(U2763="","UNKNOWN ITEM",IF(INDEX(Items!$O$5:$O$504,U2763)&lt;0,"NEG STOCK",IF(K2763&lt;INDEX(Items!$P$5:$P$504,U2763),"BELOW COST","OK")))),IF($D2763="","","PRO PLAN"))</f>
        <v/>
      </c>
      <c r="U2763" s="60" t="str">
        <f aca="false">IF(IsPro,IF($D2763="","",IFERROR(MATCH($D2763,Items!$A$5:$A$504,0),"")),"")</f>
        <v/>
      </c>
      <c r="V2763" s="60" t="str">
        <f aca="false">IF(IsPro,IF($C2763="","",IFERROR(MATCH($C2763,Parties!$A$5:$A$304,0),"")),"")</f>
        <v/>
      </c>
      <c r="W2763" s="60" t="str">
        <f aca="false">IF(IsPro,IF($B2763="","",IFERROR(VALUE(SUBSTITUTE($B2763,InvPrefix,"")),0)),"")</f>
        <v/>
      </c>
      <c r="X2763" s="61" t="str">
        <f aca="false">IF(IsPro,IF($D2763="","",IF(OR($H2763="",$H2763="Credit"),0,Q2763)),"")</f>
        <v/>
      </c>
    </row>
    <row r="2764" customFormat="false" ht="15" hidden="false" customHeight="false" outlineLevel="0" collapsed="false">
      <c r="A2764" s="55"/>
      <c r="B2764" s="56"/>
      <c r="C2764" s="56"/>
      <c r="D2764" s="56"/>
      <c r="E2764" s="57"/>
      <c r="F2764" s="58"/>
      <c r="G2764" s="59"/>
      <c r="H2764" s="56"/>
      <c r="I2764" s="56"/>
      <c r="J2764" s="60" t="str">
        <f aca="false">IF(IsPro,IF($D2764="","",IFERROR(INDEX(Items!$D$5:$D$504,U2764),"")),"")</f>
        <v/>
      </c>
      <c r="K2764" s="61" t="str">
        <f aca="false">IF(IsPro,IF($D2764="","",IF($F2764="",IFERROR(INDEX(Items!$H$5:$H$504,U2764),0),$F2764)),"")</f>
        <v/>
      </c>
      <c r="L2764" s="61" t="str">
        <f aca="false">IF(IsPro,IF($D2764="","",ROUND(N($E2764)*K2764*(1-N($G2764)),2)),"")</f>
        <v/>
      </c>
      <c r="M2764" s="62" t="str">
        <f aca="false">IF(IsPro,IF($D2764="","",IFERROR(INDEX(Items!$F$5:$F$504,U2764),0)),"")</f>
        <v/>
      </c>
      <c r="N2764" s="61" t="str">
        <f aca="false">IF(IsPro,IF($D2764="","",IF(AND(V2764&lt;&gt;"",INDEX(Parties!$E$5:$E$304,V2764)&lt;&gt;"",INDEX(Parties!$E$5:$E$304,V2764)&lt;&gt;HomeState),0,ROUND(L2764*M2764/2,2))),"")</f>
        <v/>
      </c>
      <c r="O2764" s="61" t="str">
        <f aca="false">IF(IsPro,IF($D2764="","",N2764),"")</f>
        <v/>
      </c>
      <c r="P2764" s="61" t="str">
        <f aca="false">IF(IsPro,IF($D2764="","",IF(AND(V2764&lt;&gt;"",INDEX(Parties!$E$5:$E$304,V2764)&lt;&gt;"",INDEX(Parties!$E$5:$E$304,V2764)&lt;&gt;HomeState),ROUND(L2764*M2764,2),0)),"")</f>
        <v/>
      </c>
      <c r="Q2764" s="61" t="str">
        <f aca="false">IF(IsPro,IF($D2764="","",L2764+N2764+O2764+P2764),"")</f>
        <v/>
      </c>
      <c r="R2764" s="61" t="str">
        <f aca="false">IF(IsPro,IF($D2764="","",ROUND(N($E2764)*IFERROR(INDEX(Items!$P$5:$P$504,U2764),0),2)),"")</f>
        <v/>
      </c>
      <c r="S2764" s="61" t="str">
        <f aca="false">IF(IsPro,IF($D2764="","",L2764-R2764),"")</f>
        <v/>
      </c>
      <c r="T2764" s="60" t="str">
        <f aca="false">IF(IsPro,IF($D2764="","",IF(U2764="","UNKNOWN ITEM",IF(INDEX(Items!$O$5:$O$504,U2764)&lt;0,"NEG STOCK",IF(K2764&lt;INDEX(Items!$P$5:$P$504,U2764),"BELOW COST","OK")))),IF($D2764="","","PRO PLAN"))</f>
        <v/>
      </c>
      <c r="U2764" s="60" t="str">
        <f aca="false">IF(IsPro,IF($D2764="","",IFERROR(MATCH($D2764,Items!$A$5:$A$504,0),"")),"")</f>
        <v/>
      </c>
      <c r="V2764" s="60" t="str">
        <f aca="false">IF(IsPro,IF($C2764="","",IFERROR(MATCH($C2764,Parties!$A$5:$A$304,0),"")),"")</f>
        <v/>
      </c>
      <c r="W2764" s="60" t="str">
        <f aca="false">IF(IsPro,IF($B2764="","",IFERROR(VALUE(SUBSTITUTE($B2764,InvPrefix,"")),0)),"")</f>
        <v/>
      </c>
      <c r="X2764" s="61" t="str">
        <f aca="false">IF(IsPro,IF($D2764="","",IF(OR($H2764="",$H2764="Credit"),0,Q2764)),"")</f>
        <v/>
      </c>
    </row>
    <row r="2765" customFormat="false" ht="15" hidden="false" customHeight="false" outlineLevel="0" collapsed="false">
      <c r="A2765" s="55"/>
      <c r="B2765" s="56"/>
      <c r="C2765" s="56"/>
      <c r="D2765" s="56"/>
      <c r="E2765" s="57"/>
      <c r="F2765" s="58"/>
      <c r="G2765" s="59"/>
      <c r="H2765" s="56"/>
      <c r="I2765" s="56"/>
      <c r="J2765" s="60" t="str">
        <f aca="false">IF(IsPro,IF($D2765="","",IFERROR(INDEX(Items!$D$5:$D$504,U2765),"")),"")</f>
        <v/>
      </c>
      <c r="K2765" s="61" t="str">
        <f aca="false">IF(IsPro,IF($D2765="","",IF($F2765="",IFERROR(INDEX(Items!$H$5:$H$504,U2765),0),$F2765)),"")</f>
        <v/>
      </c>
      <c r="L2765" s="61" t="str">
        <f aca="false">IF(IsPro,IF($D2765="","",ROUND(N($E2765)*K2765*(1-N($G2765)),2)),"")</f>
        <v/>
      </c>
      <c r="M2765" s="62" t="str">
        <f aca="false">IF(IsPro,IF($D2765="","",IFERROR(INDEX(Items!$F$5:$F$504,U2765),0)),"")</f>
        <v/>
      </c>
      <c r="N2765" s="61" t="str">
        <f aca="false">IF(IsPro,IF($D2765="","",IF(AND(V2765&lt;&gt;"",INDEX(Parties!$E$5:$E$304,V2765)&lt;&gt;"",INDEX(Parties!$E$5:$E$304,V2765)&lt;&gt;HomeState),0,ROUND(L2765*M2765/2,2))),"")</f>
        <v/>
      </c>
      <c r="O2765" s="61" t="str">
        <f aca="false">IF(IsPro,IF($D2765="","",N2765),"")</f>
        <v/>
      </c>
      <c r="P2765" s="61" t="str">
        <f aca="false">IF(IsPro,IF($D2765="","",IF(AND(V2765&lt;&gt;"",INDEX(Parties!$E$5:$E$304,V2765)&lt;&gt;"",INDEX(Parties!$E$5:$E$304,V2765)&lt;&gt;HomeState),ROUND(L2765*M2765,2),0)),"")</f>
        <v/>
      </c>
      <c r="Q2765" s="61" t="str">
        <f aca="false">IF(IsPro,IF($D2765="","",L2765+N2765+O2765+P2765),"")</f>
        <v/>
      </c>
      <c r="R2765" s="61" t="str">
        <f aca="false">IF(IsPro,IF($D2765="","",ROUND(N($E2765)*IFERROR(INDEX(Items!$P$5:$P$504,U2765),0),2)),"")</f>
        <v/>
      </c>
      <c r="S2765" s="61" t="str">
        <f aca="false">IF(IsPro,IF($D2765="","",L2765-R2765),"")</f>
        <v/>
      </c>
      <c r="T2765" s="60" t="str">
        <f aca="false">IF(IsPro,IF($D2765="","",IF(U2765="","UNKNOWN ITEM",IF(INDEX(Items!$O$5:$O$504,U2765)&lt;0,"NEG STOCK",IF(K2765&lt;INDEX(Items!$P$5:$P$504,U2765),"BELOW COST","OK")))),IF($D2765="","","PRO PLAN"))</f>
        <v/>
      </c>
      <c r="U2765" s="60" t="str">
        <f aca="false">IF(IsPro,IF($D2765="","",IFERROR(MATCH($D2765,Items!$A$5:$A$504,0),"")),"")</f>
        <v/>
      </c>
      <c r="V2765" s="60" t="str">
        <f aca="false">IF(IsPro,IF($C2765="","",IFERROR(MATCH($C2765,Parties!$A$5:$A$304,0),"")),"")</f>
        <v/>
      </c>
      <c r="W2765" s="60" t="str">
        <f aca="false">IF(IsPro,IF($B2765="","",IFERROR(VALUE(SUBSTITUTE($B2765,InvPrefix,"")),0)),"")</f>
        <v/>
      </c>
      <c r="X2765" s="61" t="str">
        <f aca="false">IF(IsPro,IF($D2765="","",IF(OR($H2765="",$H2765="Credit"),0,Q2765)),"")</f>
        <v/>
      </c>
    </row>
    <row r="2766" customFormat="false" ht="15" hidden="false" customHeight="false" outlineLevel="0" collapsed="false">
      <c r="A2766" s="55"/>
      <c r="B2766" s="56"/>
      <c r="C2766" s="56"/>
      <c r="D2766" s="56"/>
      <c r="E2766" s="57"/>
      <c r="F2766" s="58"/>
      <c r="G2766" s="59"/>
      <c r="H2766" s="56"/>
      <c r="I2766" s="56"/>
      <c r="J2766" s="60" t="str">
        <f aca="false">IF(IsPro,IF($D2766="","",IFERROR(INDEX(Items!$D$5:$D$504,U2766),"")),"")</f>
        <v/>
      </c>
      <c r="K2766" s="61" t="str">
        <f aca="false">IF(IsPro,IF($D2766="","",IF($F2766="",IFERROR(INDEX(Items!$H$5:$H$504,U2766),0),$F2766)),"")</f>
        <v/>
      </c>
      <c r="L2766" s="61" t="str">
        <f aca="false">IF(IsPro,IF($D2766="","",ROUND(N($E2766)*K2766*(1-N($G2766)),2)),"")</f>
        <v/>
      </c>
      <c r="M2766" s="62" t="str">
        <f aca="false">IF(IsPro,IF($D2766="","",IFERROR(INDEX(Items!$F$5:$F$504,U2766),0)),"")</f>
        <v/>
      </c>
      <c r="N2766" s="61" t="str">
        <f aca="false">IF(IsPro,IF($D2766="","",IF(AND(V2766&lt;&gt;"",INDEX(Parties!$E$5:$E$304,V2766)&lt;&gt;"",INDEX(Parties!$E$5:$E$304,V2766)&lt;&gt;HomeState),0,ROUND(L2766*M2766/2,2))),"")</f>
        <v/>
      </c>
      <c r="O2766" s="61" t="str">
        <f aca="false">IF(IsPro,IF($D2766="","",N2766),"")</f>
        <v/>
      </c>
      <c r="P2766" s="61" t="str">
        <f aca="false">IF(IsPro,IF($D2766="","",IF(AND(V2766&lt;&gt;"",INDEX(Parties!$E$5:$E$304,V2766)&lt;&gt;"",INDEX(Parties!$E$5:$E$304,V2766)&lt;&gt;HomeState),ROUND(L2766*M2766,2),0)),"")</f>
        <v/>
      </c>
      <c r="Q2766" s="61" t="str">
        <f aca="false">IF(IsPro,IF($D2766="","",L2766+N2766+O2766+P2766),"")</f>
        <v/>
      </c>
      <c r="R2766" s="61" t="str">
        <f aca="false">IF(IsPro,IF($D2766="","",ROUND(N($E2766)*IFERROR(INDEX(Items!$P$5:$P$504,U2766),0),2)),"")</f>
        <v/>
      </c>
      <c r="S2766" s="61" t="str">
        <f aca="false">IF(IsPro,IF($D2766="","",L2766-R2766),"")</f>
        <v/>
      </c>
      <c r="T2766" s="60" t="str">
        <f aca="false">IF(IsPro,IF($D2766="","",IF(U2766="","UNKNOWN ITEM",IF(INDEX(Items!$O$5:$O$504,U2766)&lt;0,"NEG STOCK",IF(K2766&lt;INDEX(Items!$P$5:$P$504,U2766),"BELOW COST","OK")))),IF($D2766="","","PRO PLAN"))</f>
        <v/>
      </c>
      <c r="U2766" s="60" t="str">
        <f aca="false">IF(IsPro,IF($D2766="","",IFERROR(MATCH($D2766,Items!$A$5:$A$504,0),"")),"")</f>
        <v/>
      </c>
      <c r="V2766" s="60" t="str">
        <f aca="false">IF(IsPro,IF($C2766="","",IFERROR(MATCH($C2766,Parties!$A$5:$A$304,0),"")),"")</f>
        <v/>
      </c>
      <c r="W2766" s="60" t="str">
        <f aca="false">IF(IsPro,IF($B2766="","",IFERROR(VALUE(SUBSTITUTE($B2766,InvPrefix,"")),0)),"")</f>
        <v/>
      </c>
      <c r="X2766" s="61" t="str">
        <f aca="false">IF(IsPro,IF($D2766="","",IF(OR($H2766="",$H2766="Credit"),0,Q2766)),"")</f>
        <v/>
      </c>
    </row>
    <row r="2767" customFormat="false" ht="15" hidden="false" customHeight="false" outlineLevel="0" collapsed="false">
      <c r="A2767" s="55"/>
      <c r="B2767" s="56"/>
      <c r="C2767" s="56"/>
      <c r="D2767" s="56"/>
      <c r="E2767" s="57"/>
      <c r="F2767" s="58"/>
      <c r="G2767" s="59"/>
      <c r="H2767" s="56"/>
      <c r="I2767" s="56"/>
      <c r="J2767" s="60" t="str">
        <f aca="false">IF(IsPro,IF($D2767="","",IFERROR(INDEX(Items!$D$5:$D$504,U2767),"")),"")</f>
        <v/>
      </c>
      <c r="K2767" s="61" t="str">
        <f aca="false">IF(IsPro,IF($D2767="","",IF($F2767="",IFERROR(INDEX(Items!$H$5:$H$504,U2767),0),$F2767)),"")</f>
        <v/>
      </c>
      <c r="L2767" s="61" t="str">
        <f aca="false">IF(IsPro,IF($D2767="","",ROUND(N($E2767)*K2767*(1-N($G2767)),2)),"")</f>
        <v/>
      </c>
      <c r="M2767" s="62" t="str">
        <f aca="false">IF(IsPro,IF($D2767="","",IFERROR(INDEX(Items!$F$5:$F$504,U2767),0)),"")</f>
        <v/>
      </c>
      <c r="N2767" s="61" t="str">
        <f aca="false">IF(IsPro,IF($D2767="","",IF(AND(V2767&lt;&gt;"",INDEX(Parties!$E$5:$E$304,V2767)&lt;&gt;"",INDEX(Parties!$E$5:$E$304,V2767)&lt;&gt;HomeState),0,ROUND(L2767*M2767/2,2))),"")</f>
        <v/>
      </c>
      <c r="O2767" s="61" t="str">
        <f aca="false">IF(IsPro,IF($D2767="","",N2767),"")</f>
        <v/>
      </c>
      <c r="P2767" s="61" t="str">
        <f aca="false">IF(IsPro,IF($D2767="","",IF(AND(V2767&lt;&gt;"",INDEX(Parties!$E$5:$E$304,V2767)&lt;&gt;"",INDEX(Parties!$E$5:$E$304,V2767)&lt;&gt;HomeState),ROUND(L2767*M2767,2),0)),"")</f>
        <v/>
      </c>
      <c r="Q2767" s="61" t="str">
        <f aca="false">IF(IsPro,IF($D2767="","",L2767+N2767+O2767+P2767),"")</f>
        <v/>
      </c>
      <c r="R2767" s="61" t="str">
        <f aca="false">IF(IsPro,IF($D2767="","",ROUND(N($E2767)*IFERROR(INDEX(Items!$P$5:$P$504,U2767),0),2)),"")</f>
        <v/>
      </c>
      <c r="S2767" s="61" t="str">
        <f aca="false">IF(IsPro,IF($D2767="","",L2767-R2767),"")</f>
        <v/>
      </c>
      <c r="T2767" s="60" t="str">
        <f aca="false">IF(IsPro,IF($D2767="","",IF(U2767="","UNKNOWN ITEM",IF(INDEX(Items!$O$5:$O$504,U2767)&lt;0,"NEG STOCK",IF(K2767&lt;INDEX(Items!$P$5:$P$504,U2767),"BELOW COST","OK")))),IF($D2767="","","PRO PLAN"))</f>
        <v/>
      </c>
      <c r="U2767" s="60" t="str">
        <f aca="false">IF(IsPro,IF($D2767="","",IFERROR(MATCH($D2767,Items!$A$5:$A$504,0),"")),"")</f>
        <v/>
      </c>
      <c r="V2767" s="60" t="str">
        <f aca="false">IF(IsPro,IF($C2767="","",IFERROR(MATCH($C2767,Parties!$A$5:$A$304,0),"")),"")</f>
        <v/>
      </c>
      <c r="W2767" s="60" t="str">
        <f aca="false">IF(IsPro,IF($B2767="","",IFERROR(VALUE(SUBSTITUTE($B2767,InvPrefix,"")),0)),"")</f>
        <v/>
      </c>
      <c r="X2767" s="61" t="str">
        <f aca="false">IF(IsPro,IF($D2767="","",IF(OR($H2767="",$H2767="Credit"),0,Q2767)),"")</f>
        <v/>
      </c>
    </row>
    <row r="2768" customFormat="false" ht="15" hidden="false" customHeight="false" outlineLevel="0" collapsed="false">
      <c r="A2768" s="55"/>
      <c r="B2768" s="56"/>
      <c r="C2768" s="56"/>
      <c r="D2768" s="56"/>
      <c r="E2768" s="57"/>
      <c r="F2768" s="58"/>
      <c r="G2768" s="59"/>
      <c r="H2768" s="56"/>
      <c r="I2768" s="56"/>
      <c r="J2768" s="60" t="str">
        <f aca="false">IF(IsPro,IF($D2768="","",IFERROR(INDEX(Items!$D$5:$D$504,U2768),"")),"")</f>
        <v/>
      </c>
      <c r="K2768" s="61" t="str">
        <f aca="false">IF(IsPro,IF($D2768="","",IF($F2768="",IFERROR(INDEX(Items!$H$5:$H$504,U2768),0),$F2768)),"")</f>
        <v/>
      </c>
      <c r="L2768" s="61" t="str">
        <f aca="false">IF(IsPro,IF($D2768="","",ROUND(N($E2768)*K2768*(1-N($G2768)),2)),"")</f>
        <v/>
      </c>
      <c r="M2768" s="62" t="str">
        <f aca="false">IF(IsPro,IF($D2768="","",IFERROR(INDEX(Items!$F$5:$F$504,U2768),0)),"")</f>
        <v/>
      </c>
      <c r="N2768" s="61" t="str">
        <f aca="false">IF(IsPro,IF($D2768="","",IF(AND(V2768&lt;&gt;"",INDEX(Parties!$E$5:$E$304,V2768)&lt;&gt;"",INDEX(Parties!$E$5:$E$304,V2768)&lt;&gt;HomeState),0,ROUND(L2768*M2768/2,2))),"")</f>
        <v/>
      </c>
      <c r="O2768" s="61" t="str">
        <f aca="false">IF(IsPro,IF($D2768="","",N2768),"")</f>
        <v/>
      </c>
      <c r="P2768" s="61" t="str">
        <f aca="false">IF(IsPro,IF($D2768="","",IF(AND(V2768&lt;&gt;"",INDEX(Parties!$E$5:$E$304,V2768)&lt;&gt;"",INDEX(Parties!$E$5:$E$304,V2768)&lt;&gt;HomeState),ROUND(L2768*M2768,2),0)),"")</f>
        <v/>
      </c>
      <c r="Q2768" s="61" t="str">
        <f aca="false">IF(IsPro,IF($D2768="","",L2768+N2768+O2768+P2768),"")</f>
        <v/>
      </c>
      <c r="R2768" s="61" t="str">
        <f aca="false">IF(IsPro,IF($D2768="","",ROUND(N($E2768)*IFERROR(INDEX(Items!$P$5:$P$504,U2768),0),2)),"")</f>
        <v/>
      </c>
      <c r="S2768" s="61" t="str">
        <f aca="false">IF(IsPro,IF($D2768="","",L2768-R2768),"")</f>
        <v/>
      </c>
      <c r="T2768" s="60" t="str">
        <f aca="false">IF(IsPro,IF($D2768="","",IF(U2768="","UNKNOWN ITEM",IF(INDEX(Items!$O$5:$O$504,U2768)&lt;0,"NEG STOCK",IF(K2768&lt;INDEX(Items!$P$5:$P$504,U2768),"BELOW COST","OK")))),IF($D2768="","","PRO PLAN"))</f>
        <v/>
      </c>
      <c r="U2768" s="60" t="str">
        <f aca="false">IF(IsPro,IF($D2768="","",IFERROR(MATCH($D2768,Items!$A$5:$A$504,0),"")),"")</f>
        <v/>
      </c>
      <c r="V2768" s="60" t="str">
        <f aca="false">IF(IsPro,IF($C2768="","",IFERROR(MATCH($C2768,Parties!$A$5:$A$304,0),"")),"")</f>
        <v/>
      </c>
      <c r="W2768" s="60" t="str">
        <f aca="false">IF(IsPro,IF($B2768="","",IFERROR(VALUE(SUBSTITUTE($B2768,InvPrefix,"")),0)),"")</f>
        <v/>
      </c>
      <c r="X2768" s="61" t="str">
        <f aca="false">IF(IsPro,IF($D2768="","",IF(OR($H2768="",$H2768="Credit"),0,Q2768)),"")</f>
        <v/>
      </c>
    </row>
    <row r="2769" customFormat="false" ht="15" hidden="false" customHeight="false" outlineLevel="0" collapsed="false">
      <c r="A2769" s="55"/>
      <c r="B2769" s="56"/>
      <c r="C2769" s="56"/>
      <c r="D2769" s="56"/>
      <c r="E2769" s="57"/>
      <c r="F2769" s="58"/>
      <c r="G2769" s="59"/>
      <c r="H2769" s="56"/>
      <c r="I2769" s="56"/>
      <c r="J2769" s="60" t="str">
        <f aca="false">IF(IsPro,IF($D2769="","",IFERROR(INDEX(Items!$D$5:$D$504,U2769),"")),"")</f>
        <v/>
      </c>
      <c r="K2769" s="61" t="str">
        <f aca="false">IF(IsPro,IF($D2769="","",IF($F2769="",IFERROR(INDEX(Items!$H$5:$H$504,U2769),0),$F2769)),"")</f>
        <v/>
      </c>
      <c r="L2769" s="61" t="str">
        <f aca="false">IF(IsPro,IF($D2769="","",ROUND(N($E2769)*K2769*(1-N($G2769)),2)),"")</f>
        <v/>
      </c>
      <c r="M2769" s="62" t="str">
        <f aca="false">IF(IsPro,IF($D2769="","",IFERROR(INDEX(Items!$F$5:$F$504,U2769),0)),"")</f>
        <v/>
      </c>
      <c r="N2769" s="61" t="str">
        <f aca="false">IF(IsPro,IF($D2769="","",IF(AND(V2769&lt;&gt;"",INDEX(Parties!$E$5:$E$304,V2769)&lt;&gt;"",INDEX(Parties!$E$5:$E$304,V2769)&lt;&gt;HomeState),0,ROUND(L2769*M2769/2,2))),"")</f>
        <v/>
      </c>
      <c r="O2769" s="61" t="str">
        <f aca="false">IF(IsPro,IF($D2769="","",N2769),"")</f>
        <v/>
      </c>
      <c r="P2769" s="61" t="str">
        <f aca="false">IF(IsPro,IF($D2769="","",IF(AND(V2769&lt;&gt;"",INDEX(Parties!$E$5:$E$304,V2769)&lt;&gt;"",INDEX(Parties!$E$5:$E$304,V2769)&lt;&gt;HomeState),ROUND(L2769*M2769,2),0)),"")</f>
        <v/>
      </c>
      <c r="Q2769" s="61" t="str">
        <f aca="false">IF(IsPro,IF($D2769="","",L2769+N2769+O2769+P2769),"")</f>
        <v/>
      </c>
      <c r="R2769" s="61" t="str">
        <f aca="false">IF(IsPro,IF($D2769="","",ROUND(N($E2769)*IFERROR(INDEX(Items!$P$5:$P$504,U2769),0),2)),"")</f>
        <v/>
      </c>
      <c r="S2769" s="61" t="str">
        <f aca="false">IF(IsPro,IF($D2769="","",L2769-R2769),"")</f>
        <v/>
      </c>
      <c r="T2769" s="60" t="str">
        <f aca="false">IF(IsPro,IF($D2769="","",IF(U2769="","UNKNOWN ITEM",IF(INDEX(Items!$O$5:$O$504,U2769)&lt;0,"NEG STOCK",IF(K2769&lt;INDEX(Items!$P$5:$P$504,U2769),"BELOW COST","OK")))),IF($D2769="","","PRO PLAN"))</f>
        <v/>
      </c>
      <c r="U2769" s="60" t="str">
        <f aca="false">IF(IsPro,IF($D2769="","",IFERROR(MATCH($D2769,Items!$A$5:$A$504,0),"")),"")</f>
        <v/>
      </c>
      <c r="V2769" s="60" t="str">
        <f aca="false">IF(IsPro,IF($C2769="","",IFERROR(MATCH($C2769,Parties!$A$5:$A$304,0),"")),"")</f>
        <v/>
      </c>
      <c r="W2769" s="60" t="str">
        <f aca="false">IF(IsPro,IF($B2769="","",IFERROR(VALUE(SUBSTITUTE($B2769,InvPrefix,"")),0)),"")</f>
        <v/>
      </c>
      <c r="X2769" s="61" t="str">
        <f aca="false">IF(IsPro,IF($D2769="","",IF(OR($H2769="",$H2769="Credit"),0,Q2769)),"")</f>
        <v/>
      </c>
    </row>
    <row r="2770" customFormat="false" ht="15" hidden="false" customHeight="false" outlineLevel="0" collapsed="false">
      <c r="A2770" s="55"/>
      <c r="B2770" s="56"/>
      <c r="C2770" s="56"/>
      <c r="D2770" s="56"/>
      <c r="E2770" s="57"/>
      <c r="F2770" s="58"/>
      <c r="G2770" s="59"/>
      <c r="H2770" s="56"/>
      <c r="I2770" s="56"/>
      <c r="J2770" s="60" t="str">
        <f aca="false">IF(IsPro,IF($D2770="","",IFERROR(INDEX(Items!$D$5:$D$504,U2770),"")),"")</f>
        <v/>
      </c>
      <c r="K2770" s="61" t="str">
        <f aca="false">IF(IsPro,IF($D2770="","",IF($F2770="",IFERROR(INDEX(Items!$H$5:$H$504,U2770),0),$F2770)),"")</f>
        <v/>
      </c>
      <c r="L2770" s="61" t="str">
        <f aca="false">IF(IsPro,IF($D2770="","",ROUND(N($E2770)*K2770*(1-N($G2770)),2)),"")</f>
        <v/>
      </c>
      <c r="M2770" s="62" t="str">
        <f aca="false">IF(IsPro,IF($D2770="","",IFERROR(INDEX(Items!$F$5:$F$504,U2770),0)),"")</f>
        <v/>
      </c>
      <c r="N2770" s="61" t="str">
        <f aca="false">IF(IsPro,IF($D2770="","",IF(AND(V2770&lt;&gt;"",INDEX(Parties!$E$5:$E$304,V2770)&lt;&gt;"",INDEX(Parties!$E$5:$E$304,V2770)&lt;&gt;HomeState),0,ROUND(L2770*M2770/2,2))),"")</f>
        <v/>
      </c>
      <c r="O2770" s="61" t="str">
        <f aca="false">IF(IsPro,IF($D2770="","",N2770),"")</f>
        <v/>
      </c>
      <c r="P2770" s="61" t="str">
        <f aca="false">IF(IsPro,IF($D2770="","",IF(AND(V2770&lt;&gt;"",INDEX(Parties!$E$5:$E$304,V2770)&lt;&gt;"",INDEX(Parties!$E$5:$E$304,V2770)&lt;&gt;HomeState),ROUND(L2770*M2770,2),0)),"")</f>
        <v/>
      </c>
      <c r="Q2770" s="61" t="str">
        <f aca="false">IF(IsPro,IF($D2770="","",L2770+N2770+O2770+P2770),"")</f>
        <v/>
      </c>
      <c r="R2770" s="61" t="str">
        <f aca="false">IF(IsPro,IF($D2770="","",ROUND(N($E2770)*IFERROR(INDEX(Items!$P$5:$P$504,U2770),0),2)),"")</f>
        <v/>
      </c>
      <c r="S2770" s="61" t="str">
        <f aca="false">IF(IsPro,IF($D2770="","",L2770-R2770),"")</f>
        <v/>
      </c>
      <c r="T2770" s="60" t="str">
        <f aca="false">IF(IsPro,IF($D2770="","",IF(U2770="","UNKNOWN ITEM",IF(INDEX(Items!$O$5:$O$504,U2770)&lt;0,"NEG STOCK",IF(K2770&lt;INDEX(Items!$P$5:$P$504,U2770),"BELOW COST","OK")))),IF($D2770="","","PRO PLAN"))</f>
        <v/>
      </c>
      <c r="U2770" s="60" t="str">
        <f aca="false">IF(IsPro,IF($D2770="","",IFERROR(MATCH($D2770,Items!$A$5:$A$504,0),"")),"")</f>
        <v/>
      </c>
      <c r="V2770" s="60" t="str">
        <f aca="false">IF(IsPro,IF($C2770="","",IFERROR(MATCH($C2770,Parties!$A$5:$A$304,0),"")),"")</f>
        <v/>
      </c>
      <c r="W2770" s="60" t="str">
        <f aca="false">IF(IsPro,IF($B2770="","",IFERROR(VALUE(SUBSTITUTE($B2770,InvPrefix,"")),0)),"")</f>
        <v/>
      </c>
      <c r="X2770" s="61" t="str">
        <f aca="false">IF(IsPro,IF($D2770="","",IF(OR($H2770="",$H2770="Credit"),0,Q2770)),"")</f>
        <v/>
      </c>
    </row>
    <row r="2771" customFormat="false" ht="15" hidden="false" customHeight="false" outlineLevel="0" collapsed="false">
      <c r="A2771" s="55"/>
      <c r="B2771" s="56"/>
      <c r="C2771" s="56"/>
      <c r="D2771" s="56"/>
      <c r="E2771" s="57"/>
      <c r="F2771" s="58"/>
      <c r="G2771" s="59"/>
      <c r="H2771" s="56"/>
      <c r="I2771" s="56"/>
      <c r="J2771" s="60" t="str">
        <f aca="false">IF(IsPro,IF($D2771="","",IFERROR(INDEX(Items!$D$5:$D$504,U2771),"")),"")</f>
        <v/>
      </c>
      <c r="K2771" s="61" t="str">
        <f aca="false">IF(IsPro,IF($D2771="","",IF($F2771="",IFERROR(INDEX(Items!$H$5:$H$504,U2771),0),$F2771)),"")</f>
        <v/>
      </c>
      <c r="L2771" s="61" t="str">
        <f aca="false">IF(IsPro,IF($D2771="","",ROUND(N($E2771)*K2771*(1-N($G2771)),2)),"")</f>
        <v/>
      </c>
      <c r="M2771" s="62" t="str">
        <f aca="false">IF(IsPro,IF($D2771="","",IFERROR(INDEX(Items!$F$5:$F$504,U2771),0)),"")</f>
        <v/>
      </c>
      <c r="N2771" s="61" t="str">
        <f aca="false">IF(IsPro,IF($D2771="","",IF(AND(V2771&lt;&gt;"",INDEX(Parties!$E$5:$E$304,V2771)&lt;&gt;"",INDEX(Parties!$E$5:$E$304,V2771)&lt;&gt;HomeState),0,ROUND(L2771*M2771/2,2))),"")</f>
        <v/>
      </c>
      <c r="O2771" s="61" t="str">
        <f aca="false">IF(IsPro,IF($D2771="","",N2771),"")</f>
        <v/>
      </c>
      <c r="P2771" s="61" t="str">
        <f aca="false">IF(IsPro,IF($D2771="","",IF(AND(V2771&lt;&gt;"",INDEX(Parties!$E$5:$E$304,V2771)&lt;&gt;"",INDEX(Parties!$E$5:$E$304,V2771)&lt;&gt;HomeState),ROUND(L2771*M2771,2),0)),"")</f>
        <v/>
      </c>
      <c r="Q2771" s="61" t="str">
        <f aca="false">IF(IsPro,IF($D2771="","",L2771+N2771+O2771+P2771),"")</f>
        <v/>
      </c>
      <c r="R2771" s="61" t="str">
        <f aca="false">IF(IsPro,IF($D2771="","",ROUND(N($E2771)*IFERROR(INDEX(Items!$P$5:$P$504,U2771),0),2)),"")</f>
        <v/>
      </c>
      <c r="S2771" s="61" t="str">
        <f aca="false">IF(IsPro,IF($D2771="","",L2771-R2771),"")</f>
        <v/>
      </c>
      <c r="T2771" s="60" t="str">
        <f aca="false">IF(IsPro,IF($D2771="","",IF(U2771="","UNKNOWN ITEM",IF(INDEX(Items!$O$5:$O$504,U2771)&lt;0,"NEG STOCK",IF(K2771&lt;INDEX(Items!$P$5:$P$504,U2771),"BELOW COST","OK")))),IF($D2771="","","PRO PLAN"))</f>
        <v/>
      </c>
      <c r="U2771" s="60" t="str">
        <f aca="false">IF(IsPro,IF($D2771="","",IFERROR(MATCH($D2771,Items!$A$5:$A$504,0),"")),"")</f>
        <v/>
      </c>
      <c r="V2771" s="60" t="str">
        <f aca="false">IF(IsPro,IF($C2771="","",IFERROR(MATCH($C2771,Parties!$A$5:$A$304,0),"")),"")</f>
        <v/>
      </c>
      <c r="W2771" s="60" t="str">
        <f aca="false">IF(IsPro,IF($B2771="","",IFERROR(VALUE(SUBSTITUTE($B2771,InvPrefix,"")),0)),"")</f>
        <v/>
      </c>
      <c r="X2771" s="61" t="str">
        <f aca="false">IF(IsPro,IF($D2771="","",IF(OR($H2771="",$H2771="Credit"),0,Q2771)),"")</f>
        <v/>
      </c>
    </row>
    <row r="2772" customFormat="false" ht="15" hidden="false" customHeight="false" outlineLevel="0" collapsed="false">
      <c r="A2772" s="55"/>
      <c r="B2772" s="56"/>
      <c r="C2772" s="56"/>
      <c r="D2772" s="56"/>
      <c r="E2772" s="57"/>
      <c r="F2772" s="58"/>
      <c r="G2772" s="59"/>
      <c r="H2772" s="56"/>
      <c r="I2772" s="56"/>
      <c r="J2772" s="60" t="str">
        <f aca="false">IF(IsPro,IF($D2772="","",IFERROR(INDEX(Items!$D$5:$D$504,U2772),"")),"")</f>
        <v/>
      </c>
      <c r="K2772" s="61" t="str">
        <f aca="false">IF(IsPro,IF($D2772="","",IF($F2772="",IFERROR(INDEX(Items!$H$5:$H$504,U2772),0),$F2772)),"")</f>
        <v/>
      </c>
      <c r="L2772" s="61" t="str">
        <f aca="false">IF(IsPro,IF($D2772="","",ROUND(N($E2772)*K2772*(1-N($G2772)),2)),"")</f>
        <v/>
      </c>
      <c r="M2772" s="62" t="str">
        <f aca="false">IF(IsPro,IF($D2772="","",IFERROR(INDEX(Items!$F$5:$F$504,U2772),0)),"")</f>
        <v/>
      </c>
      <c r="N2772" s="61" t="str">
        <f aca="false">IF(IsPro,IF($D2772="","",IF(AND(V2772&lt;&gt;"",INDEX(Parties!$E$5:$E$304,V2772)&lt;&gt;"",INDEX(Parties!$E$5:$E$304,V2772)&lt;&gt;HomeState),0,ROUND(L2772*M2772/2,2))),"")</f>
        <v/>
      </c>
      <c r="O2772" s="61" t="str">
        <f aca="false">IF(IsPro,IF($D2772="","",N2772),"")</f>
        <v/>
      </c>
      <c r="P2772" s="61" t="str">
        <f aca="false">IF(IsPro,IF($D2772="","",IF(AND(V2772&lt;&gt;"",INDEX(Parties!$E$5:$E$304,V2772)&lt;&gt;"",INDEX(Parties!$E$5:$E$304,V2772)&lt;&gt;HomeState),ROUND(L2772*M2772,2),0)),"")</f>
        <v/>
      </c>
      <c r="Q2772" s="61" t="str">
        <f aca="false">IF(IsPro,IF($D2772="","",L2772+N2772+O2772+P2772),"")</f>
        <v/>
      </c>
      <c r="R2772" s="61" t="str">
        <f aca="false">IF(IsPro,IF($D2772="","",ROUND(N($E2772)*IFERROR(INDEX(Items!$P$5:$P$504,U2772),0),2)),"")</f>
        <v/>
      </c>
      <c r="S2772" s="61" t="str">
        <f aca="false">IF(IsPro,IF($D2772="","",L2772-R2772),"")</f>
        <v/>
      </c>
      <c r="T2772" s="60" t="str">
        <f aca="false">IF(IsPro,IF($D2772="","",IF(U2772="","UNKNOWN ITEM",IF(INDEX(Items!$O$5:$O$504,U2772)&lt;0,"NEG STOCK",IF(K2772&lt;INDEX(Items!$P$5:$P$504,U2772),"BELOW COST","OK")))),IF($D2772="","","PRO PLAN"))</f>
        <v/>
      </c>
      <c r="U2772" s="60" t="str">
        <f aca="false">IF(IsPro,IF($D2772="","",IFERROR(MATCH($D2772,Items!$A$5:$A$504,0),"")),"")</f>
        <v/>
      </c>
      <c r="V2772" s="60" t="str">
        <f aca="false">IF(IsPro,IF($C2772="","",IFERROR(MATCH($C2772,Parties!$A$5:$A$304,0),"")),"")</f>
        <v/>
      </c>
      <c r="W2772" s="60" t="str">
        <f aca="false">IF(IsPro,IF($B2772="","",IFERROR(VALUE(SUBSTITUTE($B2772,InvPrefix,"")),0)),"")</f>
        <v/>
      </c>
      <c r="X2772" s="61" t="str">
        <f aca="false">IF(IsPro,IF($D2772="","",IF(OR($H2772="",$H2772="Credit"),0,Q2772)),"")</f>
        <v/>
      </c>
    </row>
    <row r="2773" customFormat="false" ht="15" hidden="false" customHeight="false" outlineLevel="0" collapsed="false">
      <c r="A2773" s="55"/>
      <c r="B2773" s="56"/>
      <c r="C2773" s="56"/>
      <c r="D2773" s="56"/>
      <c r="E2773" s="57"/>
      <c r="F2773" s="58"/>
      <c r="G2773" s="59"/>
      <c r="H2773" s="56"/>
      <c r="I2773" s="56"/>
      <c r="J2773" s="60" t="str">
        <f aca="false">IF(IsPro,IF($D2773="","",IFERROR(INDEX(Items!$D$5:$D$504,U2773),"")),"")</f>
        <v/>
      </c>
      <c r="K2773" s="61" t="str">
        <f aca="false">IF(IsPro,IF($D2773="","",IF($F2773="",IFERROR(INDEX(Items!$H$5:$H$504,U2773),0),$F2773)),"")</f>
        <v/>
      </c>
      <c r="L2773" s="61" t="str">
        <f aca="false">IF(IsPro,IF($D2773="","",ROUND(N($E2773)*K2773*(1-N($G2773)),2)),"")</f>
        <v/>
      </c>
      <c r="M2773" s="62" t="str">
        <f aca="false">IF(IsPro,IF($D2773="","",IFERROR(INDEX(Items!$F$5:$F$504,U2773),0)),"")</f>
        <v/>
      </c>
      <c r="N2773" s="61" t="str">
        <f aca="false">IF(IsPro,IF($D2773="","",IF(AND(V2773&lt;&gt;"",INDEX(Parties!$E$5:$E$304,V2773)&lt;&gt;"",INDEX(Parties!$E$5:$E$304,V2773)&lt;&gt;HomeState),0,ROUND(L2773*M2773/2,2))),"")</f>
        <v/>
      </c>
      <c r="O2773" s="61" t="str">
        <f aca="false">IF(IsPro,IF($D2773="","",N2773),"")</f>
        <v/>
      </c>
      <c r="P2773" s="61" t="str">
        <f aca="false">IF(IsPro,IF($D2773="","",IF(AND(V2773&lt;&gt;"",INDEX(Parties!$E$5:$E$304,V2773)&lt;&gt;"",INDEX(Parties!$E$5:$E$304,V2773)&lt;&gt;HomeState),ROUND(L2773*M2773,2),0)),"")</f>
        <v/>
      </c>
      <c r="Q2773" s="61" t="str">
        <f aca="false">IF(IsPro,IF($D2773="","",L2773+N2773+O2773+P2773),"")</f>
        <v/>
      </c>
      <c r="R2773" s="61" t="str">
        <f aca="false">IF(IsPro,IF($D2773="","",ROUND(N($E2773)*IFERROR(INDEX(Items!$P$5:$P$504,U2773),0),2)),"")</f>
        <v/>
      </c>
      <c r="S2773" s="61" t="str">
        <f aca="false">IF(IsPro,IF($D2773="","",L2773-R2773),"")</f>
        <v/>
      </c>
      <c r="T2773" s="60" t="str">
        <f aca="false">IF(IsPro,IF($D2773="","",IF(U2773="","UNKNOWN ITEM",IF(INDEX(Items!$O$5:$O$504,U2773)&lt;0,"NEG STOCK",IF(K2773&lt;INDEX(Items!$P$5:$P$504,U2773),"BELOW COST","OK")))),IF($D2773="","","PRO PLAN"))</f>
        <v/>
      </c>
      <c r="U2773" s="60" t="str">
        <f aca="false">IF(IsPro,IF($D2773="","",IFERROR(MATCH($D2773,Items!$A$5:$A$504,0),"")),"")</f>
        <v/>
      </c>
      <c r="V2773" s="60" t="str">
        <f aca="false">IF(IsPro,IF($C2773="","",IFERROR(MATCH($C2773,Parties!$A$5:$A$304,0),"")),"")</f>
        <v/>
      </c>
      <c r="W2773" s="60" t="str">
        <f aca="false">IF(IsPro,IF($B2773="","",IFERROR(VALUE(SUBSTITUTE($B2773,InvPrefix,"")),0)),"")</f>
        <v/>
      </c>
      <c r="X2773" s="61" t="str">
        <f aca="false">IF(IsPro,IF($D2773="","",IF(OR($H2773="",$H2773="Credit"),0,Q2773)),"")</f>
        <v/>
      </c>
    </row>
    <row r="2774" customFormat="false" ht="15" hidden="false" customHeight="false" outlineLevel="0" collapsed="false">
      <c r="A2774" s="55"/>
      <c r="B2774" s="56"/>
      <c r="C2774" s="56"/>
      <c r="D2774" s="56"/>
      <c r="E2774" s="57"/>
      <c r="F2774" s="58"/>
      <c r="G2774" s="59"/>
      <c r="H2774" s="56"/>
      <c r="I2774" s="56"/>
      <c r="J2774" s="60" t="str">
        <f aca="false">IF(IsPro,IF($D2774="","",IFERROR(INDEX(Items!$D$5:$D$504,U2774),"")),"")</f>
        <v/>
      </c>
      <c r="K2774" s="61" t="str">
        <f aca="false">IF(IsPro,IF($D2774="","",IF($F2774="",IFERROR(INDEX(Items!$H$5:$H$504,U2774),0),$F2774)),"")</f>
        <v/>
      </c>
      <c r="L2774" s="61" t="str">
        <f aca="false">IF(IsPro,IF($D2774="","",ROUND(N($E2774)*K2774*(1-N($G2774)),2)),"")</f>
        <v/>
      </c>
      <c r="M2774" s="62" t="str">
        <f aca="false">IF(IsPro,IF($D2774="","",IFERROR(INDEX(Items!$F$5:$F$504,U2774),0)),"")</f>
        <v/>
      </c>
      <c r="N2774" s="61" t="str">
        <f aca="false">IF(IsPro,IF($D2774="","",IF(AND(V2774&lt;&gt;"",INDEX(Parties!$E$5:$E$304,V2774)&lt;&gt;"",INDEX(Parties!$E$5:$E$304,V2774)&lt;&gt;HomeState),0,ROUND(L2774*M2774/2,2))),"")</f>
        <v/>
      </c>
      <c r="O2774" s="61" t="str">
        <f aca="false">IF(IsPro,IF($D2774="","",N2774),"")</f>
        <v/>
      </c>
      <c r="P2774" s="61" t="str">
        <f aca="false">IF(IsPro,IF($D2774="","",IF(AND(V2774&lt;&gt;"",INDEX(Parties!$E$5:$E$304,V2774)&lt;&gt;"",INDEX(Parties!$E$5:$E$304,V2774)&lt;&gt;HomeState),ROUND(L2774*M2774,2),0)),"")</f>
        <v/>
      </c>
      <c r="Q2774" s="61" t="str">
        <f aca="false">IF(IsPro,IF($D2774="","",L2774+N2774+O2774+P2774),"")</f>
        <v/>
      </c>
      <c r="R2774" s="61" t="str">
        <f aca="false">IF(IsPro,IF($D2774="","",ROUND(N($E2774)*IFERROR(INDEX(Items!$P$5:$P$504,U2774),0),2)),"")</f>
        <v/>
      </c>
      <c r="S2774" s="61" t="str">
        <f aca="false">IF(IsPro,IF($D2774="","",L2774-R2774),"")</f>
        <v/>
      </c>
      <c r="T2774" s="60" t="str">
        <f aca="false">IF(IsPro,IF($D2774="","",IF(U2774="","UNKNOWN ITEM",IF(INDEX(Items!$O$5:$O$504,U2774)&lt;0,"NEG STOCK",IF(K2774&lt;INDEX(Items!$P$5:$P$504,U2774),"BELOW COST","OK")))),IF($D2774="","","PRO PLAN"))</f>
        <v/>
      </c>
      <c r="U2774" s="60" t="str">
        <f aca="false">IF(IsPro,IF($D2774="","",IFERROR(MATCH($D2774,Items!$A$5:$A$504,0),"")),"")</f>
        <v/>
      </c>
      <c r="V2774" s="60" t="str">
        <f aca="false">IF(IsPro,IF($C2774="","",IFERROR(MATCH($C2774,Parties!$A$5:$A$304,0),"")),"")</f>
        <v/>
      </c>
      <c r="W2774" s="60" t="str">
        <f aca="false">IF(IsPro,IF($B2774="","",IFERROR(VALUE(SUBSTITUTE($B2774,InvPrefix,"")),0)),"")</f>
        <v/>
      </c>
      <c r="X2774" s="61" t="str">
        <f aca="false">IF(IsPro,IF($D2774="","",IF(OR($H2774="",$H2774="Credit"),0,Q2774)),"")</f>
        <v/>
      </c>
    </row>
    <row r="2775" customFormat="false" ht="15" hidden="false" customHeight="false" outlineLevel="0" collapsed="false">
      <c r="A2775" s="55"/>
      <c r="B2775" s="56"/>
      <c r="C2775" s="56"/>
      <c r="D2775" s="56"/>
      <c r="E2775" s="57"/>
      <c r="F2775" s="58"/>
      <c r="G2775" s="59"/>
      <c r="H2775" s="56"/>
      <c r="I2775" s="56"/>
      <c r="J2775" s="60" t="str">
        <f aca="false">IF(IsPro,IF($D2775="","",IFERROR(INDEX(Items!$D$5:$D$504,U2775),"")),"")</f>
        <v/>
      </c>
      <c r="K2775" s="61" t="str">
        <f aca="false">IF(IsPro,IF($D2775="","",IF($F2775="",IFERROR(INDEX(Items!$H$5:$H$504,U2775),0),$F2775)),"")</f>
        <v/>
      </c>
      <c r="L2775" s="61" t="str">
        <f aca="false">IF(IsPro,IF($D2775="","",ROUND(N($E2775)*K2775*(1-N($G2775)),2)),"")</f>
        <v/>
      </c>
      <c r="M2775" s="62" t="str">
        <f aca="false">IF(IsPro,IF($D2775="","",IFERROR(INDEX(Items!$F$5:$F$504,U2775),0)),"")</f>
        <v/>
      </c>
      <c r="N2775" s="61" t="str">
        <f aca="false">IF(IsPro,IF($D2775="","",IF(AND(V2775&lt;&gt;"",INDEX(Parties!$E$5:$E$304,V2775)&lt;&gt;"",INDEX(Parties!$E$5:$E$304,V2775)&lt;&gt;HomeState),0,ROUND(L2775*M2775/2,2))),"")</f>
        <v/>
      </c>
      <c r="O2775" s="61" t="str">
        <f aca="false">IF(IsPro,IF($D2775="","",N2775),"")</f>
        <v/>
      </c>
      <c r="P2775" s="61" t="str">
        <f aca="false">IF(IsPro,IF($D2775="","",IF(AND(V2775&lt;&gt;"",INDEX(Parties!$E$5:$E$304,V2775)&lt;&gt;"",INDEX(Parties!$E$5:$E$304,V2775)&lt;&gt;HomeState),ROUND(L2775*M2775,2),0)),"")</f>
        <v/>
      </c>
      <c r="Q2775" s="61" t="str">
        <f aca="false">IF(IsPro,IF($D2775="","",L2775+N2775+O2775+P2775),"")</f>
        <v/>
      </c>
      <c r="R2775" s="61" t="str">
        <f aca="false">IF(IsPro,IF($D2775="","",ROUND(N($E2775)*IFERROR(INDEX(Items!$P$5:$P$504,U2775),0),2)),"")</f>
        <v/>
      </c>
      <c r="S2775" s="61" t="str">
        <f aca="false">IF(IsPro,IF($D2775="","",L2775-R2775),"")</f>
        <v/>
      </c>
      <c r="T2775" s="60" t="str">
        <f aca="false">IF(IsPro,IF($D2775="","",IF(U2775="","UNKNOWN ITEM",IF(INDEX(Items!$O$5:$O$504,U2775)&lt;0,"NEG STOCK",IF(K2775&lt;INDEX(Items!$P$5:$P$504,U2775),"BELOW COST","OK")))),IF($D2775="","","PRO PLAN"))</f>
        <v/>
      </c>
      <c r="U2775" s="60" t="str">
        <f aca="false">IF(IsPro,IF($D2775="","",IFERROR(MATCH($D2775,Items!$A$5:$A$504,0),"")),"")</f>
        <v/>
      </c>
      <c r="V2775" s="60" t="str">
        <f aca="false">IF(IsPro,IF($C2775="","",IFERROR(MATCH($C2775,Parties!$A$5:$A$304,0),"")),"")</f>
        <v/>
      </c>
      <c r="W2775" s="60" t="str">
        <f aca="false">IF(IsPro,IF($B2775="","",IFERROR(VALUE(SUBSTITUTE($B2775,InvPrefix,"")),0)),"")</f>
        <v/>
      </c>
      <c r="X2775" s="61" t="str">
        <f aca="false">IF(IsPro,IF($D2775="","",IF(OR($H2775="",$H2775="Credit"),0,Q2775)),"")</f>
        <v/>
      </c>
    </row>
    <row r="2776" customFormat="false" ht="15" hidden="false" customHeight="false" outlineLevel="0" collapsed="false">
      <c r="A2776" s="55"/>
      <c r="B2776" s="56"/>
      <c r="C2776" s="56"/>
      <c r="D2776" s="56"/>
      <c r="E2776" s="57"/>
      <c r="F2776" s="58"/>
      <c r="G2776" s="59"/>
      <c r="H2776" s="56"/>
      <c r="I2776" s="56"/>
      <c r="J2776" s="60" t="str">
        <f aca="false">IF(IsPro,IF($D2776="","",IFERROR(INDEX(Items!$D$5:$D$504,U2776),"")),"")</f>
        <v/>
      </c>
      <c r="K2776" s="61" t="str">
        <f aca="false">IF(IsPro,IF($D2776="","",IF($F2776="",IFERROR(INDEX(Items!$H$5:$H$504,U2776),0),$F2776)),"")</f>
        <v/>
      </c>
      <c r="L2776" s="61" t="str">
        <f aca="false">IF(IsPro,IF($D2776="","",ROUND(N($E2776)*K2776*(1-N($G2776)),2)),"")</f>
        <v/>
      </c>
      <c r="M2776" s="62" t="str">
        <f aca="false">IF(IsPro,IF($D2776="","",IFERROR(INDEX(Items!$F$5:$F$504,U2776),0)),"")</f>
        <v/>
      </c>
      <c r="N2776" s="61" t="str">
        <f aca="false">IF(IsPro,IF($D2776="","",IF(AND(V2776&lt;&gt;"",INDEX(Parties!$E$5:$E$304,V2776)&lt;&gt;"",INDEX(Parties!$E$5:$E$304,V2776)&lt;&gt;HomeState),0,ROUND(L2776*M2776/2,2))),"")</f>
        <v/>
      </c>
      <c r="O2776" s="61" t="str">
        <f aca="false">IF(IsPro,IF($D2776="","",N2776),"")</f>
        <v/>
      </c>
      <c r="P2776" s="61" t="str">
        <f aca="false">IF(IsPro,IF($D2776="","",IF(AND(V2776&lt;&gt;"",INDEX(Parties!$E$5:$E$304,V2776)&lt;&gt;"",INDEX(Parties!$E$5:$E$304,V2776)&lt;&gt;HomeState),ROUND(L2776*M2776,2),0)),"")</f>
        <v/>
      </c>
      <c r="Q2776" s="61" t="str">
        <f aca="false">IF(IsPro,IF($D2776="","",L2776+N2776+O2776+P2776),"")</f>
        <v/>
      </c>
      <c r="R2776" s="61" t="str">
        <f aca="false">IF(IsPro,IF($D2776="","",ROUND(N($E2776)*IFERROR(INDEX(Items!$P$5:$P$504,U2776),0),2)),"")</f>
        <v/>
      </c>
      <c r="S2776" s="61" t="str">
        <f aca="false">IF(IsPro,IF($D2776="","",L2776-R2776),"")</f>
        <v/>
      </c>
      <c r="T2776" s="60" t="str">
        <f aca="false">IF(IsPro,IF($D2776="","",IF(U2776="","UNKNOWN ITEM",IF(INDEX(Items!$O$5:$O$504,U2776)&lt;0,"NEG STOCK",IF(K2776&lt;INDEX(Items!$P$5:$P$504,U2776),"BELOW COST","OK")))),IF($D2776="","","PRO PLAN"))</f>
        <v/>
      </c>
      <c r="U2776" s="60" t="str">
        <f aca="false">IF(IsPro,IF($D2776="","",IFERROR(MATCH($D2776,Items!$A$5:$A$504,0),"")),"")</f>
        <v/>
      </c>
      <c r="V2776" s="60" t="str">
        <f aca="false">IF(IsPro,IF($C2776="","",IFERROR(MATCH($C2776,Parties!$A$5:$A$304,0),"")),"")</f>
        <v/>
      </c>
      <c r="W2776" s="60" t="str">
        <f aca="false">IF(IsPro,IF($B2776="","",IFERROR(VALUE(SUBSTITUTE($B2776,InvPrefix,"")),0)),"")</f>
        <v/>
      </c>
      <c r="X2776" s="61" t="str">
        <f aca="false">IF(IsPro,IF($D2776="","",IF(OR($H2776="",$H2776="Credit"),0,Q2776)),"")</f>
        <v/>
      </c>
    </row>
    <row r="2777" customFormat="false" ht="15" hidden="false" customHeight="false" outlineLevel="0" collapsed="false">
      <c r="A2777" s="55"/>
      <c r="B2777" s="56"/>
      <c r="C2777" s="56"/>
      <c r="D2777" s="56"/>
      <c r="E2777" s="57"/>
      <c r="F2777" s="58"/>
      <c r="G2777" s="59"/>
      <c r="H2777" s="56"/>
      <c r="I2777" s="56"/>
      <c r="J2777" s="60" t="str">
        <f aca="false">IF(IsPro,IF($D2777="","",IFERROR(INDEX(Items!$D$5:$D$504,U2777),"")),"")</f>
        <v/>
      </c>
      <c r="K2777" s="61" t="str">
        <f aca="false">IF(IsPro,IF($D2777="","",IF($F2777="",IFERROR(INDEX(Items!$H$5:$H$504,U2777),0),$F2777)),"")</f>
        <v/>
      </c>
      <c r="L2777" s="61" t="str">
        <f aca="false">IF(IsPro,IF($D2777="","",ROUND(N($E2777)*K2777*(1-N($G2777)),2)),"")</f>
        <v/>
      </c>
      <c r="M2777" s="62" t="str">
        <f aca="false">IF(IsPro,IF($D2777="","",IFERROR(INDEX(Items!$F$5:$F$504,U2777),0)),"")</f>
        <v/>
      </c>
      <c r="N2777" s="61" t="str">
        <f aca="false">IF(IsPro,IF($D2777="","",IF(AND(V2777&lt;&gt;"",INDEX(Parties!$E$5:$E$304,V2777)&lt;&gt;"",INDEX(Parties!$E$5:$E$304,V2777)&lt;&gt;HomeState),0,ROUND(L2777*M2777/2,2))),"")</f>
        <v/>
      </c>
      <c r="O2777" s="61" t="str">
        <f aca="false">IF(IsPro,IF($D2777="","",N2777),"")</f>
        <v/>
      </c>
      <c r="P2777" s="61" t="str">
        <f aca="false">IF(IsPro,IF($D2777="","",IF(AND(V2777&lt;&gt;"",INDEX(Parties!$E$5:$E$304,V2777)&lt;&gt;"",INDEX(Parties!$E$5:$E$304,V2777)&lt;&gt;HomeState),ROUND(L2777*M2777,2),0)),"")</f>
        <v/>
      </c>
      <c r="Q2777" s="61" t="str">
        <f aca="false">IF(IsPro,IF($D2777="","",L2777+N2777+O2777+P2777),"")</f>
        <v/>
      </c>
      <c r="R2777" s="61" t="str">
        <f aca="false">IF(IsPro,IF($D2777="","",ROUND(N($E2777)*IFERROR(INDEX(Items!$P$5:$P$504,U2777),0),2)),"")</f>
        <v/>
      </c>
      <c r="S2777" s="61" t="str">
        <f aca="false">IF(IsPro,IF($D2777="","",L2777-R2777),"")</f>
        <v/>
      </c>
      <c r="T2777" s="60" t="str">
        <f aca="false">IF(IsPro,IF($D2777="","",IF(U2777="","UNKNOWN ITEM",IF(INDEX(Items!$O$5:$O$504,U2777)&lt;0,"NEG STOCK",IF(K2777&lt;INDEX(Items!$P$5:$P$504,U2777),"BELOW COST","OK")))),IF($D2777="","","PRO PLAN"))</f>
        <v/>
      </c>
      <c r="U2777" s="60" t="str">
        <f aca="false">IF(IsPro,IF($D2777="","",IFERROR(MATCH($D2777,Items!$A$5:$A$504,0),"")),"")</f>
        <v/>
      </c>
      <c r="V2777" s="60" t="str">
        <f aca="false">IF(IsPro,IF($C2777="","",IFERROR(MATCH($C2777,Parties!$A$5:$A$304,0),"")),"")</f>
        <v/>
      </c>
      <c r="W2777" s="60" t="str">
        <f aca="false">IF(IsPro,IF($B2777="","",IFERROR(VALUE(SUBSTITUTE($B2777,InvPrefix,"")),0)),"")</f>
        <v/>
      </c>
      <c r="X2777" s="61" t="str">
        <f aca="false">IF(IsPro,IF($D2777="","",IF(OR($H2777="",$H2777="Credit"),0,Q2777)),"")</f>
        <v/>
      </c>
    </row>
    <row r="2778" customFormat="false" ht="15" hidden="false" customHeight="false" outlineLevel="0" collapsed="false">
      <c r="A2778" s="55"/>
      <c r="B2778" s="56"/>
      <c r="C2778" s="56"/>
      <c r="D2778" s="56"/>
      <c r="E2778" s="57"/>
      <c r="F2778" s="58"/>
      <c r="G2778" s="59"/>
      <c r="H2778" s="56"/>
      <c r="I2778" s="56"/>
      <c r="J2778" s="60" t="str">
        <f aca="false">IF(IsPro,IF($D2778="","",IFERROR(INDEX(Items!$D$5:$D$504,U2778),"")),"")</f>
        <v/>
      </c>
      <c r="K2778" s="61" t="str">
        <f aca="false">IF(IsPro,IF($D2778="","",IF($F2778="",IFERROR(INDEX(Items!$H$5:$H$504,U2778),0),$F2778)),"")</f>
        <v/>
      </c>
      <c r="L2778" s="61" t="str">
        <f aca="false">IF(IsPro,IF($D2778="","",ROUND(N($E2778)*K2778*(1-N($G2778)),2)),"")</f>
        <v/>
      </c>
      <c r="M2778" s="62" t="str">
        <f aca="false">IF(IsPro,IF($D2778="","",IFERROR(INDEX(Items!$F$5:$F$504,U2778),0)),"")</f>
        <v/>
      </c>
      <c r="N2778" s="61" t="str">
        <f aca="false">IF(IsPro,IF($D2778="","",IF(AND(V2778&lt;&gt;"",INDEX(Parties!$E$5:$E$304,V2778)&lt;&gt;"",INDEX(Parties!$E$5:$E$304,V2778)&lt;&gt;HomeState),0,ROUND(L2778*M2778/2,2))),"")</f>
        <v/>
      </c>
      <c r="O2778" s="61" t="str">
        <f aca="false">IF(IsPro,IF($D2778="","",N2778),"")</f>
        <v/>
      </c>
      <c r="P2778" s="61" t="str">
        <f aca="false">IF(IsPro,IF($D2778="","",IF(AND(V2778&lt;&gt;"",INDEX(Parties!$E$5:$E$304,V2778)&lt;&gt;"",INDEX(Parties!$E$5:$E$304,V2778)&lt;&gt;HomeState),ROUND(L2778*M2778,2),0)),"")</f>
        <v/>
      </c>
      <c r="Q2778" s="61" t="str">
        <f aca="false">IF(IsPro,IF($D2778="","",L2778+N2778+O2778+P2778),"")</f>
        <v/>
      </c>
      <c r="R2778" s="61" t="str">
        <f aca="false">IF(IsPro,IF($D2778="","",ROUND(N($E2778)*IFERROR(INDEX(Items!$P$5:$P$504,U2778),0),2)),"")</f>
        <v/>
      </c>
      <c r="S2778" s="61" t="str">
        <f aca="false">IF(IsPro,IF($D2778="","",L2778-R2778),"")</f>
        <v/>
      </c>
      <c r="T2778" s="60" t="str">
        <f aca="false">IF(IsPro,IF($D2778="","",IF(U2778="","UNKNOWN ITEM",IF(INDEX(Items!$O$5:$O$504,U2778)&lt;0,"NEG STOCK",IF(K2778&lt;INDEX(Items!$P$5:$P$504,U2778),"BELOW COST","OK")))),IF($D2778="","","PRO PLAN"))</f>
        <v/>
      </c>
      <c r="U2778" s="60" t="str">
        <f aca="false">IF(IsPro,IF($D2778="","",IFERROR(MATCH($D2778,Items!$A$5:$A$504,0),"")),"")</f>
        <v/>
      </c>
      <c r="V2778" s="60" t="str">
        <f aca="false">IF(IsPro,IF($C2778="","",IFERROR(MATCH($C2778,Parties!$A$5:$A$304,0),"")),"")</f>
        <v/>
      </c>
      <c r="W2778" s="60" t="str">
        <f aca="false">IF(IsPro,IF($B2778="","",IFERROR(VALUE(SUBSTITUTE($B2778,InvPrefix,"")),0)),"")</f>
        <v/>
      </c>
      <c r="X2778" s="61" t="str">
        <f aca="false">IF(IsPro,IF($D2778="","",IF(OR($H2778="",$H2778="Credit"),0,Q2778)),"")</f>
        <v/>
      </c>
    </row>
    <row r="2779" customFormat="false" ht="15" hidden="false" customHeight="false" outlineLevel="0" collapsed="false">
      <c r="A2779" s="55"/>
      <c r="B2779" s="56"/>
      <c r="C2779" s="56"/>
      <c r="D2779" s="56"/>
      <c r="E2779" s="57"/>
      <c r="F2779" s="58"/>
      <c r="G2779" s="59"/>
      <c r="H2779" s="56"/>
      <c r="I2779" s="56"/>
      <c r="J2779" s="60" t="str">
        <f aca="false">IF(IsPro,IF($D2779="","",IFERROR(INDEX(Items!$D$5:$D$504,U2779),"")),"")</f>
        <v/>
      </c>
      <c r="K2779" s="61" t="str">
        <f aca="false">IF(IsPro,IF($D2779="","",IF($F2779="",IFERROR(INDEX(Items!$H$5:$H$504,U2779),0),$F2779)),"")</f>
        <v/>
      </c>
      <c r="L2779" s="61" t="str">
        <f aca="false">IF(IsPro,IF($D2779="","",ROUND(N($E2779)*K2779*(1-N($G2779)),2)),"")</f>
        <v/>
      </c>
      <c r="M2779" s="62" t="str">
        <f aca="false">IF(IsPro,IF($D2779="","",IFERROR(INDEX(Items!$F$5:$F$504,U2779),0)),"")</f>
        <v/>
      </c>
      <c r="N2779" s="61" t="str">
        <f aca="false">IF(IsPro,IF($D2779="","",IF(AND(V2779&lt;&gt;"",INDEX(Parties!$E$5:$E$304,V2779)&lt;&gt;"",INDEX(Parties!$E$5:$E$304,V2779)&lt;&gt;HomeState),0,ROUND(L2779*M2779/2,2))),"")</f>
        <v/>
      </c>
      <c r="O2779" s="61" t="str">
        <f aca="false">IF(IsPro,IF($D2779="","",N2779),"")</f>
        <v/>
      </c>
      <c r="P2779" s="61" t="str">
        <f aca="false">IF(IsPro,IF($D2779="","",IF(AND(V2779&lt;&gt;"",INDEX(Parties!$E$5:$E$304,V2779)&lt;&gt;"",INDEX(Parties!$E$5:$E$304,V2779)&lt;&gt;HomeState),ROUND(L2779*M2779,2),0)),"")</f>
        <v/>
      </c>
      <c r="Q2779" s="61" t="str">
        <f aca="false">IF(IsPro,IF($D2779="","",L2779+N2779+O2779+P2779),"")</f>
        <v/>
      </c>
      <c r="R2779" s="61" t="str">
        <f aca="false">IF(IsPro,IF($D2779="","",ROUND(N($E2779)*IFERROR(INDEX(Items!$P$5:$P$504,U2779),0),2)),"")</f>
        <v/>
      </c>
      <c r="S2779" s="61" t="str">
        <f aca="false">IF(IsPro,IF($D2779="","",L2779-R2779),"")</f>
        <v/>
      </c>
      <c r="T2779" s="60" t="str">
        <f aca="false">IF(IsPro,IF($D2779="","",IF(U2779="","UNKNOWN ITEM",IF(INDEX(Items!$O$5:$O$504,U2779)&lt;0,"NEG STOCK",IF(K2779&lt;INDEX(Items!$P$5:$P$504,U2779),"BELOW COST","OK")))),IF($D2779="","","PRO PLAN"))</f>
        <v/>
      </c>
      <c r="U2779" s="60" t="str">
        <f aca="false">IF(IsPro,IF($D2779="","",IFERROR(MATCH($D2779,Items!$A$5:$A$504,0),"")),"")</f>
        <v/>
      </c>
      <c r="V2779" s="60" t="str">
        <f aca="false">IF(IsPro,IF($C2779="","",IFERROR(MATCH($C2779,Parties!$A$5:$A$304,0),"")),"")</f>
        <v/>
      </c>
      <c r="W2779" s="60" t="str">
        <f aca="false">IF(IsPro,IF($B2779="","",IFERROR(VALUE(SUBSTITUTE($B2779,InvPrefix,"")),0)),"")</f>
        <v/>
      </c>
      <c r="X2779" s="61" t="str">
        <f aca="false">IF(IsPro,IF($D2779="","",IF(OR($H2779="",$H2779="Credit"),0,Q2779)),"")</f>
        <v/>
      </c>
    </row>
    <row r="2780" customFormat="false" ht="15" hidden="false" customHeight="false" outlineLevel="0" collapsed="false">
      <c r="A2780" s="55"/>
      <c r="B2780" s="56"/>
      <c r="C2780" s="56"/>
      <c r="D2780" s="56"/>
      <c r="E2780" s="57"/>
      <c r="F2780" s="58"/>
      <c r="G2780" s="59"/>
      <c r="H2780" s="56"/>
      <c r="I2780" s="56"/>
      <c r="J2780" s="60" t="str">
        <f aca="false">IF(IsPro,IF($D2780="","",IFERROR(INDEX(Items!$D$5:$D$504,U2780),"")),"")</f>
        <v/>
      </c>
      <c r="K2780" s="61" t="str">
        <f aca="false">IF(IsPro,IF($D2780="","",IF($F2780="",IFERROR(INDEX(Items!$H$5:$H$504,U2780),0),$F2780)),"")</f>
        <v/>
      </c>
      <c r="L2780" s="61" t="str">
        <f aca="false">IF(IsPro,IF($D2780="","",ROUND(N($E2780)*K2780*(1-N($G2780)),2)),"")</f>
        <v/>
      </c>
      <c r="M2780" s="62" t="str">
        <f aca="false">IF(IsPro,IF($D2780="","",IFERROR(INDEX(Items!$F$5:$F$504,U2780),0)),"")</f>
        <v/>
      </c>
      <c r="N2780" s="61" t="str">
        <f aca="false">IF(IsPro,IF($D2780="","",IF(AND(V2780&lt;&gt;"",INDEX(Parties!$E$5:$E$304,V2780)&lt;&gt;"",INDEX(Parties!$E$5:$E$304,V2780)&lt;&gt;HomeState),0,ROUND(L2780*M2780/2,2))),"")</f>
        <v/>
      </c>
      <c r="O2780" s="61" t="str">
        <f aca="false">IF(IsPro,IF($D2780="","",N2780),"")</f>
        <v/>
      </c>
      <c r="P2780" s="61" t="str">
        <f aca="false">IF(IsPro,IF($D2780="","",IF(AND(V2780&lt;&gt;"",INDEX(Parties!$E$5:$E$304,V2780)&lt;&gt;"",INDEX(Parties!$E$5:$E$304,V2780)&lt;&gt;HomeState),ROUND(L2780*M2780,2),0)),"")</f>
        <v/>
      </c>
      <c r="Q2780" s="61" t="str">
        <f aca="false">IF(IsPro,IF($D2780="","",L2780+N2780+O2780+P2780),"")</f>
        <v/>
      </c>
      <c r="R2780" s="61" t="str">
        <f aca="false">IF(IsPro,IF($D2780="","",ROUND(N($E2780)*IFERROR(INDEX(Items!$P$5:$P$504,U2780),0),2)),"")</f>
        <v/>
      </c>
      <c r="S2780" s="61" t="str">
        <f aca="false">IF(IsPro,IF($D2780="","",L2780-R2780),"")</f>
        <v/>
      </c>
      <c r="T2780" s="60" t="str">
        <f aca="false">IF(IsPro,IF($D2780="","",IF(U2780="","UNKNOWN ITEM",IF(INDEX(Items!$O$5:$O$504,U2780)&lt;0,"NEG STOCK",IF(K2780&lt;INDEX(Items!$P$5:$P$504,U2780),"BELOW COST","OK")))),IF($D2780="","","PRO PLAN"))</f>
        <v/>
      </c>
      <c r="U2780" s="60" t="str">
        <f aca="false">IF(IsPro,IF($D2780="","",IFERROR(MATCH($D2780,Items!$A$5:$A$504,0),"")),"")</f>
        <v/>
      </c>
      <c r="V2780" s="60" t="str">
        <f aca="false">IF(IsPro,IF($C2780="","",IFERROR(MATCH($C2780,Parties!$A$5:$A$304,0),"")),"")</f>
        <v/>
      </c>
      <c r="W2780" s="60" t="str">
        <f aca="false">IF(IsPro,IF($B2780="","",IFERROR(VALUE(SUBSTITUTE($B2780,InvPrefix,"")),0)),"")</f>
        <v/>
      </c>
      <c r="X2780" s="61" t="str">
        <f aca="false">IF(IsPro,IF($D2780="","",IF(OR($H2780="",$H2780="Credit"),0,Q2780)),"")</f>
        <v/>
      </c>
    </row>
    <row r="2781" customFormat="false" ht="15" hidden="false" customHeight="false" outlineLevel="0" collapsed="false">
      <c r="A2781" s="55"/>
      <c r="B2781" s="56"/>
      <c r="C2781" s="56"/>
      <c r="D2781" s="56"/>
      <c r="E2781" s="57"/>
      <c r="F2781" s="58"/>
      <c r="G2781" s="59"/>
      <c r="H2781" s="56"/>
      <c r="I2781" s="56"/>
      <c r="J2781" s="60" t="str">
        <f aca="false">IF(IsPro,IF($D2781="","",IFERROR(INDEX(Items!$D$5:$D$504,U2781),"")),"")</f>
        <v/>
      </c>
      <c r="K2781" s="61" t="str">
        <f aca="false">IF(IsPro,IF($D2781="","",IF($F2781="",IFERROR(INDEX(Items!$H$5:$H$504,U2781),0),$F2781)),"")</f>
        <v/>
      </c>
      <c r="L2781" s="61" t="str">
        <f aca="false">IF(IsPro,IF($D2781="","",ROUND(N($E2781)*K2781*(1-N($G2781)),2)),"")</f>
        <v/>
      </c>
      <c r="M2781" s="62" t="str">
        <f aca="false">IF(IsPro,IF($D2781="","",IFERROR(INDEX(Items!$F$5:$F$504,U2781),0)),"")</f>
        <v/>
      </c>
      <c r="N2781" s="61" t="str">
        <f aca="false">IF(IsPro,IF($D2781="","",IF(AND(V2781&lt;&gt;"",INDEX(Parties!$E$5:$E$304,V2781)&lt;&gt;"",INDEX(Parties!$E$5:$E$304,V2781)&lt;&gt;HomeState),0,ROUND(L2781*M2781/2,2))),"")</f>
        <v/>
      </c>
      <c r="O2781" s="61" t="str">
        <f aca="false">IF(IsPro,IF($D2781="","",N2781),"")</f>
        <v/>
      </c>
      <c r="P2781" s="61" t="str">
        <f aca="false">IF(IsPro,IF($D2781="","",IF(AND(V2781&lt;&gt;"",INDEX(Parties!$E$5:$E$304,V2781)&lt;&gt;"",INDEX(Parties!$E$5:$E$304,V2781)&lt;&gt;HomeState),ROUND(L2781*M2781,2),0)),"")</f>
        <v/>
      </c>
      <c r="Q2781" s="61" t="str">
        <f aca="false">IF(IsPro,IF($D2781="","",L2781+N2781+O2781+P2781),"")</f>
        <v/>
      </c>
      <c r="R2781" s="61" t="str">
        <f aca="false">IF(IsPro,IF($D2781="","",ROUND(N($E2781)*IFERROR(INDEX(Items!$P$5:$P$504,U2781),0),2)),"")</f>
        <v/>
      </c>
      <c r="S2781" s="61" t="str">
        <f aca="false">IF(IsPro,IF($D2781="","",L2781-R2781),"")</f>
        <v/>
      </c>
      <c r="T2781" s="60" t="str">
        <f aca="false">IF(IsPro,IF($D2781="","",IF(U2781="","UNKNOWN ITEM",IF(INDEX(Items!$O$5:$O$504,U2781)&lt;0,"NEG STOCK",IF(K2781&lt;INDEX(Items!$P$5:$P$504,U2781),"BELOW COST","OK")))),IF($D2781="","","PRO PLAN"))</f>
        <v/>
      </c>
      <c r="U2781" s="60" t="str">
        <f aca="false">IF(IsPro,IF($D2781="","",IFERROR(MATCH($D2781,Items!$A$5:$A$504,0),"")),"")</f>
        <v/>
      </c>
      <c r="V2781" s="60" t="str">
        <f aca="false">IF(IsPro,IF($C2781="","",IFERROR(MATCH($C2781,Parties!$A$5:$A$304,0),"")),"")</f>
        <v/>
      </c>
      <c r="W2781" s="60" t="str">
        <f aca="false">IF(IsPro,IF($B2781="","",IFERROR(VALUE(SUBSTITUTE($B2781,InvPrefix,"")),0)),"")</f>
        <v/>
      </c>
      <c r="X2781" s="61" t="str">
        <f aca="false">IF(IsPro,IF($D2781="","",IF(OR($H2781="",$H2781="Credit"),0,Q2781)),"")</f>
        <v/>
      </c>
    </row>
    <row r="2782" customFormat="false" ht="15" hidden="false" customHeight="false" outlineLevel="0" collapsed="false">
      <c r="A2782" s="55"/>
      <c r="B2782" s="56"/>
      <c r="C2782" s="56"/>
      <c r="D2782" s="56"/>
      <c r="E2782" s="57"/>
      <c r="F2782" s="58"/>
      <c r="G2782" s="59"/>
      <c r="H2782" s="56"/>
      <c r="I2782" s="56"/>
      <c r="J2782" s="60" t="str">
        <f aca="false">IF(IsPro,IF($D2782="","",IFERROR(INDEX(Items!$D$5:$D$504,U2782),"")),"")</f>
        <v/>
      </c>
      <c r="K2782" s="61" t="str">
        <f aca="false">IF(IsPro,IF($D2782="","",IF($F2782="",IFERROR(INDEX(Items!$H$5:$H$504,U2782),0),$F2782)),"")</f>
        <v/>
      </c>
      <c r="L2782" s="61" t="str">
        <f aca="false">IF(IsPro,IF($D2782="","",ROUND(N($E2782)*K2782*(1-N($G2782)),2)),"")</f>
        <v/>
      </c>
      <c r="M2782" s="62" t="str">
        <f aca="false">IF(IsPro,IF($D2782="","",IFERROR(INDEX(Items!$F$5:$F$504,U2782),0)),"")</f>
        <v/>
      </c>
      <c r="N2782" s="61" t="str">
        <f aca="false">IF(IsPro,IF($D2782="","",IF(AND(V2782&lt;&gt;"",INDEX(Parties!$E$5:$E$304,V2782)&lt;&gt;"",INDEX(Parties!$E$5:$E$304,V2782)&lt;&gt;HomeState),0,ROUND(L2782*M2782/2,2))),"")</f>
        <v/>
      </c>
      <c r="O2782" s="61" t="str">
        <f aca="false">IF(IsPro,IF($D2782="","",N2782),"")</f>
        <v/>
      </c>
      <c r="P2782" s="61" t="str">
        <f aca="false">IF(IsPro,IF($D2782="","",IF(AND(V2782&lt;&gt;"",INDEX(Parties!$E$5:$E$304,V2782)&lt;&gt;"",INDEX(Parties!$E$5:$E$304,V2782)&lt;&gt;HomeState),ROUND(L2782*M2782,2),0)),"")</f>
        <v/>
      </c>
      <c r="Q2782" s="61" t="str">
        <f aca="false">IF(IsPro,IF($D2782="","",L2782+N2782+O2782+P2782),"")</f>
        <v/>
      </c>
      <c r="R2782" s="61" t="str">
        <f aca="false">IF(IsPro,IF($D2782="","",ROUND(N($E2782)*IFERROR(INDEX(Items!$P$5:$P$504,U2782),0),2)),"")</f>
        <v/>
      </c>
      <c r="S2782" s="61" t="str">
        <f aca="false">IF(IsPro,IF($D2782="","",L2782-R2782),"")</f>
        <v/>
      </c>
      <c r="T2782" s="60" t="str">
        <f aca="false">IF(IsPro,IF($D2782="","",IF(U2782="","UNKNOWN ITEM",IF(INDEX(Items!$O$5:$O$504,U2782)&lt;0,"NEG STOCK",IF(K2782&lt;INDEX(Items!$P$5:$P$504,U2782),"BELOW COST","OK")))),IF($D2782="","","PRO PLAN"))</f>
        <v/>
      </c>
      <c r="U2782" s="60" t="str">
        <f aca="false">IF(IsPro,IF($D2782="","",IFERROR(MATCH($D2782,Items!$A$5:$A$504,0),"")),"")</f>
        <v/>
      </c>
      <c r="V2782" s="60" t="str">
        <f aca="false">IF(IsPro,IF($C2782="","",IFERROR(MATCH($C2782,Parties!$A$5:$A$304,0),"")),"")</f>
        <v/>
      </c>
      <c r="W2782" s="60" t="str">
        <f aca="false">IF(IsPro,IF($B2782="","",IFERROR(VALUE(SUBSTITUTE($B2782,InvPrefix,"")),0)),"")</f>
        <v/>
      </c>
      <c r="X2782" s="61" t="str">
        <f aca="false">IF(IsPro,IF($D2782="","",IF(OR($H2782="",$H2782="Credit"),0,Q2782)),"")</f>
        <v/>
      </c>
    </row>
    <row r="2783" customFormat="false" ht="15" hidden="false" customHeight="false" outlineLevel="0" collapsed="false">
      <c r="A2783" s="55"/>
      <c r="B2783" s="56"/>
      <c r="C2783" s="56"/>
      <c r="D2783" s="56"/>
      <c r="E2783" s="57"/>
      <c r="F2783" s="58"/>
      <c r="G2783" s="59"/>
      <c r="H2783" s="56"/>
      <c r="I2783" s="56"/>
      <c r="J2783" s="60" t="str">
        <f aca="false">IF(IsPro,IF($D2783="","",IFERROR(INDEX(Items!$D$5:$D$504,U2783),"")),"")</f>
        <v/>
      </c>
      <c r="K2783" s="61" t="str">
        <f aca="false">IF(IsPro,IF($D2783="","",IF($F2783="",IFERROR(INDEX(Items!$H$5:$H$504,U2783),0),$F2783)),"")</f>
        <v/>
      </c>
      <c r="L2783" s="61" t="str">
        <f aca="false">IF(IsPro,IF($D2783="","",ROUND(N($E2783)*K2783*(1-N($G2783)),2)),"")</f>
        <v/>
      </c>
      <c r="M2783" s="62" t="str">
        <f aca="false">IF(IsPro,IF($D2783="","",IFERROR(INDEX(Items!$F$5:$F$504,U2783),0)),"")</f>
        <v/>
      </c>
      <c r="N2783" s="61" t="str">
        <f aca="false">IF(IsPro,IF($D2783="","",IF(AND(V2783&lt;&gt;"",INDEX(Parties!$E$5:$E$304,V2783)&lt;&gt;"",INDEX(Parties!$E$5:$E$304,V2783)&lt;&gt;HomeState),0,ROUND(L2783*M2783/2,2))),"")</f>
        <v/>
      </c>
      <c r="O2783" s="61" t="str">
        <f aca="false">IF(IsPro,IF($D2783="","",N2783),"")</f>
        <v/>
      </c>
      <c r="P2783" s="61" t="str">
        <f aca="false">IF(IsPro,IF($D2783="","",IF(AND(V2783&lt;&gt;"",INDEX(Parties!$E$5:$E$304,V2783)&lt;&gt;"",INDEX(Parties!$E$5:$E$304,V2783)&lt;&gt;HomeState),ROUND(L2783*M2783,2),0)),"")</f>
        <v/>
      </c>
      <c r="Q2783" s="61" t="str">
        <f aca="false">IF(IsPro,IF($D2783="","",L2783+N2783+O2783+P2783),"")</f>
        <v/>
      </c>
      <c r="R2783" s="61" t="str">
        <f aca="false">IF(IsPro,IF($D2783="","",ROUND(N($E2783)*IFERROR(INDEX(Items!$P$5:$P$504,U2783),0),2)),"")</f>
        <v/>
      </c>
      <c r="S2783" s="61" t="str">
        <f aca="false">IF(IsPro,IF($D2783="","",L2783-R2783),"")</f>
        <v/>
      </c>
      <c r="T2783" s="60" t="str">
        <f aca="false">IF(IsPro,IF($D2783="","",IF(U2783="","UNKNOWN ITEM",IF(INDEX(Items!$O$5:$O$504,U2783)&lt;0,"NEG STOCK",IF(K2783&lt;INDEX(Items!$P$5:$P$504,U2783),"BELOW COST","OK")))),IF($D2783="","","PRO PLAN"))</f>
        <v/>
      </c>
      <c r="U2783" s="60" t="str">
        <f aca="false">IF(IsPro,IF($D2783="","",IFERROR(MATCH($D2783,Items!$A$5:$A$504,0),"")),"")</f>
        <v/>
      </c>
      <c r="V2783" s="60" t="str">
        <f aca="false">IF(IsPro,IF($C2783="","",IFERROR(MATCH($C2783,Parties!$A$5:$A$304,0),"")),"")</f>
        <v/>
      </c>
      <c r="W2783" s="60" t="str">
        <f aca="false">IF(IsPro,IF($B2783="","",IFERROR(VALUE(SUBSTITUTE($B2783,InvPrefix,"")),0)),"")</f>
        <v/>
      </c>
      <c r="X2783" s="61" t="str">
        <f aca="false">IF(IsPro,IF($D2783="","",IF(OR($H2783="",$H2783="Credit"),0,Q2783)),"")</f>
        <v/>
      </c>
    </row>
    <row r="2784" customFormat="false" ht="15" hidden="false" customHeight="false" outlineLevel="0" collapsed="false">
      <c r="A2784" s="55"/>
      <c r="B2784" s="56"/>
      <c r="C2784" s="56"/>
      <c r="D2784" s="56"/>
      <c r="E2784" s="57"/>
      <c r="F2784" s="58"/>
      <c r="G2784" s="59"/>
      <c r="H2784" s="56"/>
      <c r="I2784" s="56"/>
      <c r="J2784" s="60" t="str">
        <f aca="false">IF(IsPro,IF($D2784="","",IFERROR(INDEX(Items!$D$5:$D$504,U2784),"")),"")</f>
        <v/>
      </c>
      <c r="K2784" s="61" t="str">
        <f aca="false">IF(IsPro,IF($D2784="","",IF($F2784="",IFERROR(INDEX(Items!$H$5:$H$504,U2784),0),$F2784)),"")</f>
        <v/>
      </c>
      <c r="L2784" s="61" t="str">
        <f aca="false">IF(IsPro,IF($D2784="","",ROUND(N($E2784)*K2784*(1-N($G2784)),2)),"")</f>
        <v/>
      </c>
      <c r="M2784" s="62" t="str">
        <f aca="false">IF(IsPro,IF($D2784="","",IFERROR(INDEX(Items!$F$5:$F$504,U2784),0)),"")</f>
        <v/>
      </c>
      <c r="N2784" s="61" t="str">
        <f aca="false">IF(IsPro,IF($D2784="","",IF(AND(V2784&lt;&gt;"",INDEX(Parties!$E$5:$E$304,V2784)&lt;&gt;"",INDEX(Parties!$E$5:$E$304,V2784)&lt;&gt;HomeState),0,ROUND(L2784*M2784/2,2))),"")</f>
        <v/>
      </c>
      <c r="O2784" s="61" t="str">
        <f aca="false">IF(IsPro,IF($D2784="","",N2784),"")</f>
        <v/>
      </c>
      <c r="P2784" s="61" t="str">
        <f aca="false">IF(IsPro,IF($D2784="","",IF(AND(V2784&lt;&gt;"",INDEX(Parties!$E$5:$E$304,V2784)&lt;&gt;"",INDEX(Parties!$E$5:$E$304,V2784)&lt;&gt;HomeState),ROUND(L2784*M2784,2),0)),"")</f>
        <v/>
      </c>
      <c r="Q2784" s="61" t="str">
        <f aca="false">IF(IsPro,IF($D2784="","",L2784+N2784+O2784+P2784),"")</f>
        <v/>
      </c>
      <c r="R2784" s="61" t="str">
        <f aca="false">IF(IsPro,IF($D2784="","",ROUND(N($E2784)*IFERROR(INDEX(Items!$P$5:$P$504,U2784),0),2)),"")</f>
        <v/>
      </c>
      <c r="S2784" s="61" t="str">
        <f aca="false">IF(IsPro,IF($D2784="","",L2784-R2784),"")</f>
        <v/>
      </c>
      <c r="T2784" s="60" t="str">
        <f aca="false">IF(IsPro,IF($D2784="","",IF(U2784="","UNKNOWN ITEM",IF(INDEX(Items!$O$5:$O$504,U2784)&lt;0,"NEG STOCK",IF(K2784&lt;INDEX(Items!$P$5:$P$504,U2784),"BELOW COST","OK")))),IF($D2784="","","PRO PLAN"))</f>
        <v/>
      </c>
      <c r="U2784" s="60" t="str">
        <f aca="false">IF(IsPro,IF($D2784="","",IFERROR(MATCH($D2784,Items!$A$5:$A$504,0),"")),"")</f>
        <v/>
      </c>
      <c r="V2784" s="60" t="str">
        <f aca="false">IF(IsPro,IF($C2784="","",IFERROR(MATCH($C2784,Parties!$A$5:$A$304,0),"")),"")</f>
        <v/>
      </c>
      <c r="W2784" s="60" t="str">
        <f aca="false">IF(IsPro,IF($B2784="","",IFERROR(VALUE(SUBSTITUTE($B2784,InvPrefix,"")),0)),"")</f>
        <v/>
      </c>
      <c r="X2784" s="61" t="str">
        <f aca="false">IF(IsPro,IF($D2784="","",IF(OR($H2784="",$H2784="Credit"),0,Q2784)),"")</f>
        <v/>
      </c>
    </row>
    <row r="2785" customFormat="false" ht="15" hidden="false" customHeight="false" outlineLevel="0" collapsed="false">
      <c r="A2785" s="55"/>
      <c r="B2785" s="56"/>
      <c r="C2785" s="56"/>
      <c r="D2785" s="56"/>
      <c r="E2785" s="57"/>
      <c r="F2785" s="58"/>
      <c r="G2785" s="59"/>
      <c r="H2785" s="56"/>
      <c r="I2785" s="56"/>
      <c r="J2785" s="60" t="str">
        <f aca="false">IF(IsPro,IF($D2785="","",IFERROR(INDEX(Items!$D$5:$D$504,U2785),"")),"")</f>
        <v/>
      </c>
      <c r="K2785" s="61" t="str">
        <f aca="false">IF(IsPro,IF($D2785="","",IF($F2785="",IFERROR(INDEX(Items!$H$5:$H$504,U2785),0),$F2785)),"")</f>
        <v/>
      </c>
      <c r="L2785" s="61" t="str">
        <f aca="false">IF(IsPro,IF($D2785="","",ROUND(N($E2785)*K2785*(1-N($G2785)),2)),"")</f>
        <v/>
      </c>
      <c r="M2785" s="62" t="str">
        <f aca="false">IF(IsPro,IF($D2785="","",IFERROR(INDEX(Items!$F$5:$F$504,U2785),0)),"")</f>
        <v/>
      </c>
      <c r="N2785" s="61" t="str">
        <f aca="false">IF(IsPro,IF($D2785="","",IF(AND(V2785&lt;&gt;"",INDEX(Parties!$E$5:$E$304,V2785)&lt;&gt;"",INDEX(Parties!$E$5:$E$304,V2785)&lt;&gt;HomeState),0,ROUND(L2785*M2785/2,2))),"")</f>
        <v/>
      </c>
      <c r="O2785" s="61" t="str">
        <f aca="false">IF(IsPro,IF($D2785="","",N2785),"")</f>
        <v/>
      </c>
      <c r="P2785" s="61" t="str">
        <f aca="false">IF(IsPro,IF($D2785="","",IF(AND(V2785&lt;&gt;"",INDEX(Parties!$E$5:$E$304,V2785)&lt;&gt;"",INDEX(Parties!$E$5:$E$304,V2785)&lt;&gt;HomeState),ROUND(L2785*M2785,2),0)),"")</f>
        <v/>
      </c>
      <c r="Q2785" s="61" t="str">
        <f aca="false">IF(IsPro,IF($D2785="","",L2785+N2785+O2785+P2785),"")</f>
        <v/>
      </c>
      <c r="R2785" s="61" t="str">
        <f aca="false">IF(IsPro,IF($D2785="","",ROUND(N($E2785)*IFERROR(INDEX(Items!$P$5:$P$504,U2785),0),2)),"")</f>
        <v/>
      </c>
      <c r="S2785" s="61" t="str">
        <f aca="false">IF(IsPro,IF($D2785="","",L2785-R2785),"")</f>
        <v/>
      </c>
      <c r="T2785" s="60" t="str">
        <f aca="false">IF(IsPro,IF($D2785="","",IF(U2785="","UNKNOWN ITEM",IF(INDEX(Items!$O$5:$O$504,U2785)&lt;0,"NEG STOCK",IF(K2785&lt;INDEX(Items!$P$5:$P$504,U2785),"BELOW COST","OK")))),IF($D2785="","","PRO PLAN"))</f>
        <v/>
      </c>
      <c r="U2785" s="60" t="str">
        <f aca="false">IF(IsPro,IF($D2785="","",IFERROR(MATCH($D2785,Items!$A$5:$A$504,0),"")),"")</f>
        <v/>
      </c>
      <c r="V2785" s="60" t="str">
        <f aca="false">IF(IsPro,IF($C2785="","",IFERROR(MATCH($C2785,Parties!$A$5:$A$304,0),"")),"")</f>
        <v/>
      </c>
      <c r="W2785" s="60" t="str">
        <f aca="false">IF(IsPro,IF($B2785="","",IFERROR(VALUE(SUBSTITUTE($B2785,InvPrefix,"")),0)),"")</f>
        <v/>
      </c>
      <c r="X2785" s="61" t="str">
        <f aca="false">IF(IsPro,IF($D2785="","",IF(OR($H2785="",$H2785="Credit"),0,Q2785)),"")</f>
        <v/>
      </c>
    </row>
    <row r="2786" customFormat="false" ht="15" hidden="false" customHeight="false" outlineLevel="0" collapsed="false">
      <c r="A2786" s="55"/>
      <c r="B2786" s="56"/>
      <c r="C2786" s="56"/>
      <c r="D2786" s="56"/>
      <c r="E2786" s="57"/>
      <c r="F2786" s="58"/>
      <c r="G2786" s="59"/>
      <c r="H2786" s="56"/>
      <c r="I2786" s="56"/>
      <c r="J2786" s="60" t="str">
        <f aca="false">IF(IsPro,IF($D2786="","",IFERROR(INDEX(Items!$D$5:$D$504,U2786),"")),"")</f>
        <v/>
      </c>
      <c r="K2786" s="61" t="str">
        <f aca="false">IF(IsPro,IF($D2786="","",IF($F2786="",IFERROR(INDEX(Items!$H$5:$H$504,U2786),0),$F2786)),"")</f>
        <v/>
      </c>
      <c r="L2786" s="61" t="str">
        <f aca="false">IF(IsPro,IF($D2786="","",ROUND(N($E2786)*K2786*(1-N($G2786)),2)),"")</f>
        <v/>
      </c>
      <c r="M2786" s="62" t="str">
        <f aca="false">IF(IsPro,IF($D2786="","",IFERROR(INDEX(Items!$F$5:$F$504,U2786),0)),"")</f>
        <v/>
      </c>
      <c r="N2786" s="61" t="str">
        <f aca="false">IF(IsPro,IF($D2786="","",IF(AND(V2786&lt;&gt;"",INDEX(Parties!$E$5:$E$304,V2786)&lt;&gt;"",INDEX(Parties!$E$5:$E$304,V2786)&lt;&gt;HomeState),0,ROUND(L2786*M2786/2,2))),"")</f>
        <v/>
      </c>
      <c r="O2786" s="61" t="str">
        <f aca="false">IF(IsPro,IF($D2786="","",N2786),"")</f>
        <v/>
      </c>
      <c r="P2786" s="61" t="str">
        <f aca="false">IF(IsPro,IF($D2786="","",IF(AND(V2786&lt;&gt;"",INDEX(Parties!$E$5:$E$304,V2786)&lt;&gt;"",INDEX(Parties!$E$5:$E$304,V2786)&lt;&gt;HomeState),ROUND(L2786*M2786,2),0)),"")</f>
        <v/>
      </c>
      <c r="Q2786" s="61" t="str">
        <f aca="false">IF(IsPro,IF($D2786="","",L2786+N2786+O2786+P2786),"")</f>
        <v/>
      </c>
      <c r="R2786" s="61" t="str">
        <f aca="false">IF(IsPro,IF($D2786="","",ROUND(N($E2786)*IFERROR(INDEX(Items!$P$5:$P$504,U2786),0),2)),"")</f>
        <v/>
      </c>
      <c r="S2786" s="61" t="str">
        <f aca="false">IF(IsPro,IF($D2786="","",L2786-R2786),"")</f>
        <v/>
      </c>
      <c r="T2786" s="60" t="str">
        <f aca="false">IF(IsPro,IF($D2786="","",IF(U2786="","UNKNOWN ITEM",IF(INDEX(Items!$O$5:$O$504,U2786)&lt;0,"NEG STOCK",IF(K2786&lt;INDEX(Items!$P$5:$P$504,U2786),"BELOW COST","OK")))),IF($D2786="","","PRO PLAN"))</f>
        <v/>
      </c>
      <c r="U2786" s="60" t="str">
        <f aca="false">IF(IsPro,IF($D2786="","",IFERROR(MATCH($D2786,Items!$A$5:$A$504,0),"")),"")</f>
        <v/>
      </c>
      <c r="V2786" s="60" t="str">
        <f aca="false">IF(IsPro,IF($C2786="","",IFERROR(MATCH($C2786,Parties!$A$5:$A$304,0),"")),"")</f>
        <v/>
      </c>
      <c r="W2786" s="60" t="str">
        <f aca="false">IF(IsPro,IF($B2786="","",IFERROR(VALUE(SUBSTITUTE($B2786,InvPrefix,"")),0)),"")</f>
        <v/>
      </c>
      <c r="X2786" s="61" t="str">
        <f aca="false">IF(IsPro,IF($D2786="","",IF(OR($H2786="",$H2786="Credit"),0,Q2786)),"")</f>
        <v/>
      </c>
    </row>
    <row r="2787" customFormat="false" ht="15" hidden="false" customHeight="false" outlineLevel="0" collapsed="false">
      <c r="A2787" s="55"/>
      <c r="B2787" s="56"/>
      <c r="C2787" s="56"/>
      <c r="D2787" s="56"/>
      <c r="E2787" s="57"/>
      <c r="F2787" s="58"/>
      <c r="G2787" s="59"/>
      <c r="H2787" s="56"/>
      <c r="I2787" s="56"/>
      <c r="J2787" s="60" t="str">
        <f aca="false">IF(IsPro,IF($D2787="","",IFERROR(INDEX(Items!$D$5:$D$504,U2787),"")),"")</f>
        <v/>
      </c>
      <c r="K2787" s="61" t="str">
        <f aca="false">IF(IsPro,IF($D2787="","",IF($F2787="",IFERROR(INDEX(Items!$H$5:$H$504,U2787),0),$F2787)),"")</f>
        <v/>
      </c>
      <c r="L2787" s="61" t="str">
        <f aca="false">IF(IsPro,IF($D2787="","",ROUND(N($E2787)*K2787*(1-N($G2787)),2)),"")</f>
        <v/>
      </c>
      <c r="M2787" s="62" t="str">
        <f aca="false">IF(IsPro,IF($D2787="","",IFERROR(INDEX(Items!$F$5:$F$504,U2787),0)),"")</f>
        <v/>
      </c>
      <c r="N2787" s="61" t="str">
        <f aca="false">IF(IsPro,IF($D2787="","",IF(AND(V2787&lt;&gt;"",INDEX(Parties!$E$5:$E$304,V2787)&lt;&gt;"",INDEX(Parties!$E$5:$E$304,V2787)&lt;&gt;HomeState),0,ROUND(L2787*M2787/2,2))),"")</f>
        <v/>
      </c>
      <c r="O2787" s="61" t="str">
        <f aca="false">IF(IsPro,IF($D2787="","",N2787),"")</f>
        <v/>
      </c>
      <c r="P2787" s="61" t="str">
        <f aca="false">IF(IsPro,IF($D2787="","",IF(AND(V2787&lt;&gt;"",INDEX(Parties!$E$5:$E$304,V2787)&lt;&gt;"",INDEX(Parties!$E$5:$E$304,V2787)&lt;&gt;HomeState),ROUND(L2787*M2787,2),0)),"")</f>
        <v/>
      </c>
      <c r="Q2787" s="61" t="str">
        <f aca="false">IF(IsPro,IF($D2787="","",L2787+N2787+O2787+P2787),"")</f>
        <v/>
      </c>
      <c r="R2787" s="61" t="str">
        <f aca="false">IF(IsPro,IF($D2787="","",ROUND(N($E2787)*IFERROR(INDEX(Items!$P$5:$P$504,U2787),0),2)),"")</f>
        <v/>
      </c>
      <c r="S2787" s="61" t="str">
        <f aca="false">IF(IsPro,IF($D2787="","",L2787-R2787),"")</f>
        <v/>
      </c>
      <c r="T2787" s="60" t="str">
        <f aca="false">IF(IsPro,IF($D2787="","",IF(U2787="","UNKNOWN ITEM",IF(INDEX(Items!$O$5:$O$504,U2787)&lt;0,"NEG STOCK",IF(K2787&lt;INDEX(Items!$P$5:$P$504,U2787),"BELOW COST","OK")))),IF($D2787="","","PRO PLAN"))</f>
        <v/>
      </c>
      <c r="U2787" s="60" t="str">
        <f aca="false">IF(IsPro,IF($D2787="","",IFERROR(MATCH($D2787,Items!$A$5:$A$504,0),"")),"")</f>
        <v/>
      </c>
      <c r="V2787" s="60" t="str">
        <f aca="false">IF(IsPro,IF($C2787="","",IFERROR(MATCH($C2787,Parties!$A$5:$A$304,0),"")),"")</f>
        <v/>
      </c>
      <c r="W2787" s="60" t="str">
        <f aca="false">IF(IsPro,IF($B2787="","",IFERROR(VALUE(SUBSTITUTE($B2787,InvPrefix,"")),0)),"")</f>
        <v/>
      </c>
      <c r="X2787" s="61" t="str">
        <f aca="false">IF(IsPro,IF($D2787="","",IF(OR($H2787="",$H2787="Credit"),0,Q2787)),"")</f>
        <v/>
      </c>
    </row>
    <row r="2788" customFormat="false" ht="15" hidden="false" customHeight="false" outlineLevel="0" collapsed="false">
      <c r="A2788" s="55"/>
      <c r="B2788" s="56"/>
      <c r="C2788" s="56"/>
      <c r="D2788" s="56"/>
      <c r="E2788" s="57"/>
      <c r="F2788" s="58"/>
      <c r="G2788" s="59"/>
      <c r="H2788" s="56"/>
      <c r="I2788" s="56"/>
      <c r="J2788" s="60" t="str">
        <f aca="false">IF(IsPro,IF($D2788="","",IFERROR(INDEX(Items!$D$5:$D$504,U2788),"")),"")</f>
        <v/>
      </c>
      <c r="K2788" s="61" t="str">
        <f aca="false">IF(IsPro,IF($D2788="","",IF($F2788="",IFERROR(INDEX(Items!$H$5:$H$504,U2788),0),$F2788)),"")</f>
        <v/>
      </c>
      <c r="L2788" s="61" t="str">
        <f aca="false">IF(IsPro,IF($D2788="","",ROUND(N($E2788)*K2788*(1-N($G2788)),2)),"")</f>
        <v/>
      </c>
      <c r="M2788" s="62" t="str">
        <f aca="false">IF(IsPro,IF($D2788="","",IFERROR(INDEX(Items!$F$5:$F$504,U2788),0)),"")</f>
        <v/>
      </c>
      <c r="N2788" s="61" t="str">
        <f aca="false">IF(IsPro,IF($D2788="","",IF(AND(V2788&lt;&gt;"",INDEX(Parties!$E$5:$E$304,V2788)&lt;&gt;"",INDEX(Parties!$E$5:$E$304,V2788)&lt;&gt;HomeState),0,ROUND(L2788*M2788/2,2))),"")</f>
        <v/>
      </c>
      <c r="O2788" s="61" t="str">
        <f aca="false">IF(IsPro,IF($D2788="","",N2788),"")</f>
        <v/>
      </c>
      <c r="P2788" s="61" t="str">
        <f aca="false">IF(IsPro,IF($D2788="","",IF(AND(V2788&lt;&gt;"",INDEX(Parties!$E$5:$E$304,V2788)&lt;&gt;"",INDEX(Parties!$E$5:$E$304,V2788)&lt;&gt;HomeState),ROUND(L2788*M2788,2),0)),"")</f>
        <v/>
      </c>
      <c r="Q2788" s="61" t="str">
        <f aca="false">IF(IsPro,IF($D2788="","",L2788+N2788+O2788+P2788),"")</f>
        <v/>
      </c>
      <c r="R2788" s="61" t="str">
        <f aca="false">IF(IsPro,IF($D2788="","",ROUND(N($E2788)*IFERROR(INDEX(Items!$P$5:$P$504,U2788),0),2)),"")</f>
        <v/>
      </c>
      <c r="S2788" s="61" t="str">
        <f aca="false">IF(IsPro,IF($D2788="","",L2788-R2788),"")</f>
        <v/>
      </c>
      <c r="T2788" s="60" t="str">
        <f aca="false">IF(IsPro,IF($D2788="","",IF(U2788="","UNKNOWN ITEM",IF(INDEX(Items!$O$5:$O$504,U2788)&lt;0,"NEG STOCK",IF(K2788&lt;INDEX(Items!$P$5:$P$504,U2788),"BELOW COST","OK")))),IF($D2788="","","PRO PLAN"))</f>
        <v/>
      </c>
      <c r="U2788" s="60" t="str">
        <f aca="false">IF(IsPro,IF($D2788="","",IFERROR(MATCH($D2788,Items!$A$5:$A$504,0),"")),"")</f>
        <v/>
      </c>
      <c r="V2788" s="60" t="str">
        <f aca="false">IF(IsPro,IF($C2788="","",IFERROR(MATCH($C2788,Parties!$A$5:$A$304,0),"")),"")</f>
        <v/>
      </c>
      <c r="W2788" s="60" t="str">
        <f aca="false">IF(IsPro,IF($B2788="","",IFERROR(VALUE(SUBSTITUTE($B2788,InvPrefix,"")),0)),"")</f>
        <v/>
      </c>
      <c r="X2788" s="61" t="str">
        <f aca="false">IF(IsPro,IF($D2788="","",IF(OR($H2788="",$H2788="Credit"),0,Q2788)),"")</f>
        <v/>
      </c>
    </row>
    <row r="2789" customFormat="false" ht="15" hidden="false" customHeight="false" outlineLevel="0" collapsed="false">
      <c r="A2789" s="55"/>
      <c r="B2789" s="56"/>
      <c r="C2789" s="56"/>
      <c r="D2789" s="56"/>
      <c r="E2789" s="57"/>
      <c r="F2789" s="58"/>
      <c r="G2789" s="59"/>
      <c r="H2789" s="56"/>
      <c r="I2789" s="56"/>
      <c r="J2789" s="60" t="str">
        <f aca="false">IF(IsPro,IF($D2789="","",IFERROR(INDEX(Items!$D$5:$D$504,U2789),"")),"")</f>
        <v/>
      </c>
      <c r="K2789" s="61" t="str">
        <f aca="false">IF(IsPro,IF($D2789="","",IF($F2789="",IFERROR(INDEX(Items!$H$5:$H$504,U2789),0),$F2789)),"")</f>
        <v/>
      </c>
      <c r="L2789" s="61" t="str">
        <f aca="false">IF(IsPro,IF($D2789="","",ROUND(N($E2789)*K2789*(1-N($G2789)),2)),"")</f>
        <v/>
      </c>
      <c r="M2789" s="62" t="str">
        <f aca="false">IF(IsPro,IF($D2789="","",IFERROR(INDEX(Items!$F$5:$F$504,U2789),0)),"")</f>
        <v/>
      </c>
      <c r="N2789" s="61" t="str">
        <f aca="false">IF(IsPro,IF($D2789="","",IF(AND(V2789&lt;&gt;"",INDEX(Parties!$E$5:$E$304,V2789)&lt;&gt;"",INDEX(Parties!$E$5:$E$304,V2789)&lt;&gt;HomeState),0,ROUND(L2789*M2789/2,2))),"")</f>
        <v/>
      </c>
      <c r="O2789" s="61" t="str">
        <f aca="false">IF(IsPro,IF($D2789="","",N2789),"")</f>
        <v/>
      </c>
      <c r="P2789" s="61" t="str">
        <f aca="false">IF(IsPro,IF($D2789="","",IF(AND(V2789&lt;&gt;"",INDEX(Parties!$E$5:$E$304,V2789)&lt;&gt;"",INDEX(Parties!$E$5:$E$304,V2789)&lt;&gt;HomeState),ROUND(L2789*M2789,2),0)),"")</f>
        <v/>
      </c>
      <c r="Q2789" s="61" t="str">
        <f aca="false">IF(IsPro,IF($D2789="","",L2789+N2789+O2789+P2789),"")</f>
        <v/>
      </c>
      <c r="R2789" s="61" t="str">
        <f aca="false">IF(IsPro,IF($D2789="","",ROUND(N($E2789)*IFERROR(INDEX(Items!$P$5:$P$504,U2789),0),2)),"")</f>
        <v/>
      </c>
      <c r="S2789" s="61" t="str">
        <f aca="false">IF(IsPro,IF($D2789="","",L2789-R2789),"")</f>
        <v/>
      </c>
      <c r="T2789" s="60" t="str">
        <f aca="false">IF(IsPro,IF($D2789="","",IF(U2789="","UNKNOWN ITEM",IF(INDEX(Items!$O$5:$O$504,U2789)&lt;0,"NEG STOCK",IF(K2789&lt;INDEX(Items!$P$5:$P$504,U2789),"BELOW COST","OK")))),IF($D2789="","","PRO PLAN"))</f>
        <v/>
      </c>
      <c r="U2789" s="60" t="str">
        <f aca="false">IF(IsPro,IF($D2789="","",IFERROR(MATCH($D2789,Items!$A$5:$A$504,0),"")),"")</f>
        <v/>
      </c>
      <c r="V2789" s="60" t="str">
        <f aca="false">IF(IsPro,IF($C2789="","",IFERROR(MATCH($C2789,Parties!$A$5:$A$304,0),"")),"")</f>
        <v/>
      </c>
      <c r="W2789" s="60" t="str">
        <f aca="false">IF(IsPro,IF($B2789="","",IFERROR(VALUE(SUBSTITUTE($B2789,InvPrefix,"")),0)),"")</f>
        <v/>
      </c>
      <c r="X2789" s="61" t="str">
        <f aca="false">IF(IsPro,IF($D2789="","",IF(OR($H2789="",$H2789="Credit"),0,Q2789)),"")</f>
        <v/>
      </c>
    </row>
    <row r="2790" customFormat="false" ht="15" hidden="false" customHeight="false" outlineLevel="0" collapsed="false">
      <c r="A2790" s="55"/>
      <c r="B2790" s="56"/>
      <c r="C2790" s="56"/>
      <c r="D2790" s="56"/>
      <c r="E2790" s="57"/>
      <c r="F2790" s="58"/>
      <c r="G2790" s="59"/>
      <c r="H2790" s="56"/>
      <c r="I2790" s="56"/>
      <c r="J2790" s="60" t="str">
        <f aca="false">IF(IsPro,IF($D2790="","",IFERROR(INDEX(Items!$D$5:$D$504,U2790),"")),"")</f>
        <v/>
      </c>
      <c r="K2790" s="61" t="str">
        <f aca="false">IF(IsPro,IF($D2790="","",IF($F2790="",IFERROR(INDEX(Items!$H$5:$H$504,U2790),0),$F2790)),"")</f>
        <v/>
      </c>
      <c r="L2790" s="61" t="str">
        <f aca="false">IF(IsPro,IF($D2790="","",ROUND(N($E2790)*K2790*(1-N($G2790)),2)),"")</f>
        <v/>
      </c>
      <c r="M2790" s="62" t="str">
        <f aca="false">IF(IsPro,IF($D2790="","",IFERROR(INDEX(Items!$F$5:$F$504,U2790),0)),"")</f>
        <v/>
      </c>
      <c r="N2790" s="61" t="str">
        <f aca="false">IF(IsPro,IF($D2790="","",IF(AND(V2790&lt;&gt;"",INDEX(Parties!$E$5:$E$304,V2790)&lt;&gt;"",INDEX(Parties!$E$5:$E$304,V2790)&lt;&gt;HomeState),0,ROUND(L2790*M2790/2,2))),"")</f>
        <v/>
      </c>
      <c r="O2790" s="61" t="str">
        <f aca="false">IF(IsPro,IF($D2790="","",N2790),"")</f>
        <v/>
      </c>
      <c r="P2790" s="61" t="str">
        <f aca="false">IF(IsPro,IF($D2790="","",IF(AND(V2790&lt;&gt;"",INDEX(Parties!$E$5:$E$304,V2790)&lt;&gt;"",INDEX(Parties!$E$5:$E$304,V2790)&lt;&gt;HomeState),ROUND(L2790*M2790,2),0)),"")</f>
        <v/>
      </c>
      <c r="Q2790" s="61" t="str">
        <f aca="false">IF(IsPro,IF($D2790="","",L2790+N2790+O2790+P2790),"")</f>
        <v/>
      </c>
      <c r="R2790" s="61" t="str">
        <f aca="false">IF(IsPro,IF($D2790="","",ROUND(N($E2790)*IFERROR(INDEX(Items!$P$5:$P$504,U2790),0),2)),"")</f>
        <v/>
      </c>
      <c r="S2790" s="61" t="str">
        <f aca="false">IF(IsPro,IF($D2790="","",L2790-R2790),"")</f>
        <v/>
      </c>
      <c r="T2790" s="60" t="str">
        <f aca="false">IF(IsPro,IF($D2790="","",IF(U2790="","UNKNOWN ITEM",IF(INDEX(Items!$O$5:$O$504,U2790)&lt;0,"NEG STOCK",IF(K2790&lt;INDEX(Items!$P$5:$P$504,U2790),"BELOW COST","OK")))),IF($D2790="","","PRO PLAN"))</f>
        <v/>
      </c>
      <c r="U2790" s="60" t="str">
        <f aca="false">IF(IsPro,IF($D2790="","",IFERROR(MATCH($D2790,Items!$A$5:$A$504,0),"")),"")</f>
        <v/>
      </c>
      <c r="V2790" s="60" t="str">
        <f aca="false">IF(IsPro,IF($C2790="","",IFERROR(MATCH($C2790,Parties!$A$5:$A$304,0),"")),"")</f>
        <v/>
      </c>
      <c r="W2790" s="60" t="str">
        <f aca="false">IF(IsPro,IF($B2790="","",IFERROR(VALUE(SUBSTITUTE($B2790,InvPrefix,"")),0)),"")</f>
        <v/>
      </c>
      <c r="X2790" s="61" t="str">
        <f aca="false">IF(IsPro,IF($D2790="","",IF(OR($H2790="",$H2790="Credit"),0,Q2790)),"")</f>
        <v/>
      </c>
    </row>
    <row r="2791" customFormat="false" ht="15" hidden="false" customHeight="false" outlineLevel="0" collapsed="false">
      <c r="A2791" s="55"/>
      <c r="B2791" s="56"/>
      <c r="C2791" s="56"/>
      <c r="D2791" s="56"/>
      <c r="E2791" s="57"/>
      <c r="F2791" s="58"/>
      <c r="G2791" s="59"/>
      <c r="H2791" s="56"/>
      <c r="I2791" s="56"/>
      <c r="J2791" s="60" t="str">
        <f aca="false">IF(IsPro,IF($D2791="","",IFERROR(INDEX(Items!$D$5:$D$504,U2791),"")),"")</f>
        <v/>
      </c>
      <c r="K2791" s="61" t="str">
        <f aca="false">IF(IsPro,IF($D2791="","",IF($F2791="",IFERROR(INDEX(Items!$H$5:$H$504,U2791),0),$F2791)),"")</f>
        <v/>
      </c>
      <c r="L2791" s="61" t="str">
        <f aca="false">IF(IsPro,IF($D2791="","",ROUND(N($E2791)*K2791*(1-N($G2791)),2)),"")</f>
        <v/>
      </c>
      <c r="M2791" s="62" t="str">
        <f aca="false">IF(IsPro,IF($D2791="","",IFERROR(INDEX(Items!$F$5:$F$504,U2791),0)),"")</f>
        <v/>
      </c>
      <c r="N2791" s="61" t="str">
        <f aca="false">IF(IsPro,IF($D2791="","",IF(AND(V2791&lt;&gt;"",INDEX(Parties!$E$5:$E$304,V2791)&lt;&gt;"",INDEX(Parties!$E$5:$E$304,V2791)&lt;&gt;HomeState),0,ROUND(L2791*M2791/2,2))),"")</f>
        <v/>
      </c>
      <c r="O2791" s="61" t="str">
        <f aca="false">IF(IsPro,IF($D2791="","",N2791),"")</f>
        <v/>
      </c>
      <c r="P2791" s="61" t="str">
        <f aca="false">IF(IsPro,IF($D2791="","",IF(AND(V2791&lt;&gt;"",INDEX(Parties!$E$5:$E$304,V2791)&lt;&gt;"",INDEX(Parties!$E$5:$E$304,V2791)&lt;&gt;HomeState),ROUND(L2791*M2791,2),0)),"")</f>
        <v/>
      </c>
      <c r="Q2791" s="61" t="str">
        <f aca="false">IF(IsPro,IF($D2791="","",L2791+N2791+O2791+P2791),"")</f>
        <v/>
      </c>
      <c r="R2791" s="61" t="str">
        <f aca="false">IF(IsPro,IF($D2791="","",ROUND(N($E2791)*IFERROR(INDEX(Items!$P$5:$P$504,U2791),0),2)),"")</f>
        <v/>
      </c>
      <c r="S2791" s="61" t="str">
        <f aca="false">IF(IsPro,IF($D2791="","",L2791-R2791),"")</f>
        <v/>
      </c>
      <c r="T2791" s="60" t="str">
        <f aca="false">IF(IsPro,IF($D2791="","",IF(U2791="","UNKNOWN ITEM",IF(INDEX(Items!$O$5:$O$504,U2791)&lt;0,"NEG STOCK",IF(K2791&lt;INDEX(Items!$P$5:$P$504,U2791),"BELOW COST","OK")))),IF($D2791="","","PRO PLAN"))</f>
        <v/>
      </c>
      <c r="U2791" s="60" t="str">
        <f aca="false">IF(IsPro,IF($D2791="","",IFERROR(MATCH($D2791,Items!$A$5:$A$504,0),"")),"")</f>
        <v/>
      </c>
      <c r="V2791" s="60" t="str">
        <f aca="false">IF(IsPro,IF($C2791="","",IFERROR(MATCH($C2791,Parties!$A$5:$A$304,0),"")),"")</f>
        <v/>
      </c>
      <c r="W2791" s="60" t="str">
        <f aca="false">IF(IsPro,IF($B2791="","",IFERROR(VALUE(SUBSTITUTE($B2791,InvPrefix,"")),0)),"")</f>
        <v/>
      </c>
      <c r="X2791" s="61" t="str">
        <f aca="false">IF(IsPro,IF($D2791="","",IF(OR($H2791="",$H2791="Credit"),0,Q2791)),"")</f>
        <v/>
      </c>
    </row>
    <row r="2792" customFormat="false" ht="15" hidden="false" customHeight="false" outlineLevel="0" collapsed="false">
      <c r="A2792" s="55"/>
      <c r="B2792" s="56"/>
      <c r="C2792" s="56"/>
      <c r="D2792" s="56"/>
      <c r="E2792" s="57"/>
      <c r="F2792" s="58"/>
      <c r="G2792" s="59"/>
      <c r="H2792" s="56"/>
      <c r="I2792" s="56"/>
      <c r="J2792" s="60" t="str">
        <f aca="false">IF(IsPro,IF($D2792="","",IFERROR(INDEX(Items!$D$5:$D$504,U2792),"")),"")</f>
        <v/>
      </c>
      <c r="K2792" s="61" t="str">
        <f aca="false">IF(IsPro,IF($D2792="","",IF($F2792="",IFERROR(INDEX(Items!$H$5:$H$504,U2792),0),$F2792)),"")</f>
        <v/>
      </c>
      <c r="L2792" s="61" t="str">
        <f aca="false">IF(IsPro,IF($D2792="","",ROUND(N($E2792)*K2792*(1-N($G2792)),2)),"")</f>
        <v/>
      </c>
      <c r="M2792" s="62" t="str">
        <f aca="false">IF(IsPro,IF($D2792="","",IFERROR(INDEX(Items!$F$5:$F$504,U2792),0)),"")</f>
        <v/>
      </c>
      <c r="N2792" s="61" t="str">
        <f aca="false">IF(IsPro,IF($D2792="","",IF(AND(V2792&lt;&gt;"",INDEX(Parties!$E$5:$E$304,V2792)&lt;&gt;"",INDEX(Parties!$E$5:$E$304,V2792)&lt;&gt;HomeState),0,ROUND(L2792*M2792/2,2))),"")</f>
        <v/>
      </c>
      <c r="O2792" s="61" t="str">
        <f aca="false">IF(IsPro,IF($D2792="","",N2792),"")</f>
        <v/>
      </c>
      <c r="P2792" s="61" t="str">
        <f aca="false">IF(IsPro,IF($D2792="","",IF(AND(V2792&lt;&gt;"",INDEX(Parties!$E$5:$E$304,V2792)&lt;&gt;"",INDEX(Parties!$E$5:$E$304,V2792)&lt;&gt;HomeState),ROUND(L2792*M2792,2),0)),"")</f>
        <v/>
      </c>
      <c r="Q2792" s="61" t="str">
        <f aca="false">IF(IsPro,IF($D2792="","",L2792+N2792+O2792+P2792),"")</f>
        <v/>
      </c>
      <c r="R2792" s="61" t="str">
        <f aca="false">IF(IsPro,IF($D2792="","",ROUND(N($E2792)*IFERROR(INDEX(Items!$P$5:$P$504,U2792),0),2)),"")</f>
        <v/>
      </c>
      <c r="S2792" s="61" t="str">
        <f aca="false">IF(IsPro,IF($D2792="","",L2792-R2792),"")</f>
        <v/>
      </c>
      <c r="T2792" s="60" t="str">
        <f aca="false">IF(IsPro,IF($D2792="","",IF(U2792="","UNKNOWN ITEM",IF(INDEX(Items!$O$5:$O$504,U2792)&lt;0,"NEG STOCK",IF(K2792&lt;INDEX(Items!$P$5:$P$504,U2792),"BELOW COST","OK")))),IF($D2792="","","PRO PLAN"))</f>
        <v/>
      </c>
      <c r="U2792" s="60" t="str">
        <f aca="false">IF(IsPro,IF($D2792="","",IFERROR(MATCH($D2792,Items!$A$5:$A$504,0),"")),"")</f>
        <v/>
      </c>
      <c r="V2792" s="60" t="str">
        <f aca="false">IF(IsPro,IF($C2792="","",IFERROR(MATCH($C2792,Parties!$A$5:$A$304,0),"")),"")</f>
        <v/>
      </c>
      <c r="W2792" s="60" t="str">
        <f aca="false">IF(IsPro,IF($B2792="","",IFERROR(VALUE(SUBSTITUTE($B2792,InvPrefix,"")),0)),"")</f>
        <v/>
      </c>
      <c r="X2792" s="61" t="str">
        <f aca="false">IF(IsPro,IF($D2792="","",IF(OR($H2792="",$H2792="Credit"),0,Q2792)),"")</f>
        <v/>
      </c>
    </row>
    <row r="2793" customFormat="false" ht="15" hidden="false" customHeight="false" outlineLevel="0" collapsed="false">
      <c r="A2793" s="55"/>
      <c r="B2793" s="56"/>
      <c r="C2793" s="56"/>
      <c r="D2793" s="56"/>
      <c r="E2793" s="57"/>
      <c r="F2793" s="58"/>
      <c r="G2793" s="59"/>
      <c r="H2793" s="56"/>
      <c r="I2793" s="56"/>
      <c r="J2793" s="60" t="str">
        <f aca="false">IF(IsPro,IF($D2793="","",IFERROR(INDEX(Items!$D$5:$D$504,U2793),"")),"")</f>
        <v/>
      </c>
      <c r="K2793" s="61" t="str">
        <f aca="false">IF(IsPro,IF($D2793="","",IF($F2793="",IFERROR(INDEX(Items!$H$5:$H$504,U2793),0),$F2793)),"")</f>
        <v/>
      </c>
      <c r="L2793" s="61" t="str">
        <f aca="false">IF(IsPro,IF($D2793="","",ROUND(N($E2793)*K2793*(1-N($G2793)),2)),"")</f>
        <v/>
      </c>
      <c r="M2793" s="62" t="str">
        <f aca="false">IF(IsPro,IF($D2793="","",IFERROR(INDEX(Items!$F$5:$F$504,U2793),0)),"")</f>
        <v/>
      </c>
      <c r="N2793" s="61" t="str">
        <f aca="false">IF(IsPro,IF($D2793="","",IF(AND(V2793&lt;&gt;"",INDEX(Parties!$E$5:$E$304,V2793)&lt;&gt;"",INDEX(Parties!$E$5:$E$304,V2793)&lt;&gt;HomeState),0,ROUND(L2793*M2793/2,2))),"")</f>
        <v/>
      </c>
      <c r="O2793" s="61" t="str">
        <f aca="false">IF(IsPro,IF($D2793="","",N2793),"")</f>
        <v/>
      </c>
      <c r="P2793" s="61" t="str">
        <f aca="false">IF(IsPro,IF($D2793="","",IF(AND(V2793&lt;&gt;"",INDEX(Parties!$E$5:$E$304,V2793)&lt;&gt;"",INDEX(Parties!$E$5:$E$304,V2793)&lt;&gt;HomeState),ROUND(L2793*M2793,2),0)),"")</f>
        <v/>
      </c>
      <c r="Q2793" s="61" t="str">
        <f aca="false">IF(IsPro,IF($D2793="","",L2793+N2793+O2793+P2793),"")</f>
        <v/>
      </c>
      <c r="R2793" s="61" t="str">
        <f aca="false">IF(IsPro,IF($D2793="","",ROUND(N($E2793)*IFERROR(INDEX(Items!$P$5:$P$504,U2793),0),2)),"")</f>
        <v/>
      </c>
      <c r="S2793" s="61" t="str">
        <f aca="false">IF(IsPro,IF($D2793="","",L2793-R2793),"")</f>
        <v/>
      </c>
      <c r="T2793" s="60" t="str">
        <f aca="false">IF(IsPro,IF($D2793="","",IF(U2793="","UNKNOWN ITEM",IF(INDEX(Items!$O$5:$O$504,U2793)&lt;0,"NEG STOCK",IF(K2793&lt;INDEX(Items!$P$5:$P$504,U2793),"BELOW COST","OK")))),IF($D2793="","","PRO PLAN"))</f>
        <v/>
      </c>
      <c r="U2793" s="60" t="str">
        <f aca="false">IF(IsPro,IF($D2793="","",IFERROR(MATCH($D2793,Items!$A$5:$A$504,0),"")),"")</f>
        <v/>
      </c>
      <c r="V2793" s="60" t="str">
        <f aca="false">IF(IsPro,IF($C2793="","",IFERROR(MATCH($C2793,Parties!$A$5:$A$304,0),"")),"")</f>
        <v/>
      </c>
      <c r="W2793" s="60" t="str">
        <f aca="false">IF(IsPro,IF($B2793="","",IFERROR(VALUE(SUBSTITUTE($B2793,InvPrefix,"")),0)),"")</f>
        <v/>
      </c>
      <c r="X2793" s="61" t="str">
        <f aca="false">IF(IsPro,IF($D2793="","",IF(OR($H2793="",$H2793="Credit"),0,Q2793)),"")</f>
        <v/>
      </c>
    </row>
    <row r="2794" customFormat="false" ht="15" hidden="false" customHeight="false" outlineLevel="0" collapsed="false">
      <c r="A2794" s="55"/>
      <c r="B2794" s="56"/>
      <c r="C2794" s="56"/>
      <c r="D2794" s="56"/>
      <c r="E2794" s="57"/>
      <c r="F2794" s="58"/>
      <c r="G2794" s="59"/>
      <c r="H2794" s="56"/>
      <c r="I2794" s="56"/>
      <c r="J2794" s="60" t="str">
        <f aca="false">IF(IsPro,IF($D2794="","",IFERROR(INDEX(Items!$D$5:$D$504,U2794),"")),"")</f>
        <v/>
      </c>
      <c r="K2794" s="61" t="str">
        <f aca="false">IF(IsPro,IF($D2794="","",IF($F2794="",IFERROR(INDEX(Items!$H$5:$H$504,U2794),0),$F2794)),"")</f>
        <v/>
      </c>
      <c r="L2794" s="61" t="str">
        <f aca="false">IF(IsPro,IF($D2794="","",ROUND(N($E2794)*K2794*(1-N($G2794)),2)),"")</f>
        <v/>
      </c>
      <c r="M2794" s="62" t="str">
        <f aca="false">IF(IsPro,IF($D2794="","",IFERROR(INDEX(Items!$F$5:$F$504,U2794),0)),"")</f>
        <v/>
      </c>
      <c r="N2794" s="61" t="str">
        <f aca="false">IF(IsPro,IF($D2794="","",IF(AND(V2794&lt;&gt;"",INDEX(Parties!$E$5:$E$304,V2794)&lt;&gt;"",INDEX(Parties!$E$5:$E$304,V2794)&lt;&gt;HomeState),0,ROUND(L2794*M2794/2,2))),"")</f>
        <v/>
      </c>
      <c r="O2794" s="61" t="str">
        <f aca="false">IF(IsPro,IF($D2794="","",N2794),"")</f>
        <v/>
      </c>
      <c r="P2794" s="61" t="str">
        <f aca="false">IF(IsPro,IF($D2794="","",IF(AND(V2794&lt;&gt;"",INDEX(Parties!$E$5:$E$304,V2794)&lt;&gt;"",INDEX(Parties!$E$5:$E$304,V2794)&lt;&gt;HomeState),ROUND(L2794*M2794,2),0)),"")</f>
        <v/>
      </c>
      <c r="Q2794" s="61" t="str">
        <f aca="false">IF(IsPro,IF($D2794="","",L2794+N2794+O2794+P2794),"")</f>
        <v/>
      </c>
      <c r="R2794" s="61" t="str">
        <f aca="false">IF(IsPro,IF($D2794="","",ROUND(N($E2794)*IFERROR(INDEX(Items!$P$5:$P$504,U2794),0),2)),"")</f>
        <v/>
      </c>
      <c r="S2794" s="61" t="str">
        <f aca="false">IF(IsPro,IF($D2794="","",L2794-R2794),"")</f>
        <v/>
      </c>
      <c r="T2794" s="60" t="str">
        <f aca="false">IF(IsPro,IF($D2794="","",IF(U2794="","UNKNOWN ITEM",IF(INDEX(Items!$O$5:$O$504,U2794)&lt;0,"NEG STOCK",IF(K2794&lt;INDEX(Items!$P$5:$P$504,U2794),"BELOW COST","OK")))),IF($D2794="","","PRO PLAN"))</f>
        <v/>
      </c>
      <c r="U2794" s="60" t="str">
        <f aca="false">IF(IsPro,IF($D2794="","",IFERROR(MATCH($D2794,Items!$A$5:$A$504,0),"")),"")</f>
        <v/>
      </c>
      <c r="V2794" s="60" t="str">
        <f aca="false">IF(IsPro,IF($C2794="","",IFERROR(MATCH($C2794,Parties!$A$5:$A$304,0),"")),"")</f>
        <v/>
      </c>
      <c r="W2794" s="60" t="str">
        <f aca="false">IF(IsPro,IF($B2794="","",IFERROR(VALUE(SUBSTITUTE($B2794,InvPrefix,"")),0)),"")</f>
        <v/>
      </c>
      <c r="X2794" s="61" t="str">
        <f aca="false">IF(IsPro,IF($D2794="","",IF(OR($H2794="",$H2794="Credit"),0,Q2794)),"")</f>
        <v/>
      </c>
    </row>
    <row r="2795" customFormat="false" ht="15" hidden="false" customHeight="false" outlineLevel="0" collapsed="false">
      <c r="A2795" s="55"/>
      <c r="B2795" s="56"/>
      <c r="C2795" s="56"/>
      <c r="D2795" s="56"/>
      <c r="E2795" s="57"/>
      <c r="F2795" s="58"/>
      <c r="G2795" s="59"/>
      <c r="H2795" s="56"/>
      <c r="I2795" s="56"/>
      <c r="J2795" s="60" t="str">
        <f aca="false">IF(IsPro,IF($D2795="","",IFERROR(INDEX(Items!$D$5:$D$504,U2795),"")),"")</f>
        <v/>
      </c>
      <c r="K2795" s="61" t="str">
        <f aca="false">IF(IsPro,IF($D2795="","",IF($F2795="",IFERROR(INDEX(Items!$H$5:$H$504,U2795),0),$F2795)),"")</f>
        <v/>
      </c>
      <c r="L2795" s="61" t="str">
        <f aca="false">IF(IsPro,IF($D2795="","",ROUND(N($E2795)*K2795*(1-N($G2795)),2)),"")</f>
        <v/>
      </c>
      <c r="M2795" s="62" t="str">
        <f aca="false">IF(IsPro,IF($D2795="","",IFERROR(INDEX(Items!$F$5:$F$504,U2795),0)),"")</f>
        <v/>
      </c>
      <c r="N2795" s="61" t="str">
        <f aca="false">IF(IsPro,IF($D2795="","",IF(AND(V2795&lt;&gt;"",INDEX(Parties!$E$5:$E$304,V2795)&lt;&gt;"",INDEX(Parties!$E$5:$E$304,V2795)&lt;&gt;HomeState),0,ROUND(L2795*M2795/2,2))),"")</f>
        <v/>
      </c>
      <c r="O2795" s="61" t="str">
        <f aca="false">IF(IsPro,IF($D2795="","",N2795),"")</f>
        <v/>
      </c>
      <c r="P2795" s="61" t="str">
        <f aca="false">IF(IsPro,IF($D2795="","",IF(AND(V2795&lt;&gt;"",INDEX(Parties!$E$5:$E$304,V2795)&lt;&gt;"",INDEX(Parties!$E$5:$E$304,V2795)&lt;&gt;HomeState),ROUND(L2795*M2795,2),0)),"")</f>
        <v/>
      </c>
      <c r="Q2795" s="61" t="str">
        <f aca="false">IF(IsPro,IF($D2795="","",L2795+N2795+O2795+P2795),"")</f>
        <v/>
      </c>
      <c r="R2795" s="61" t="str">
        <f aca="false">IF(IsPro,IF($D2795="","",ROUND(N($E2795)*IFERROR(INDEX(Items!$P$5:$P$504,U2795),0),2)),"")</f>
        <v/>
      </c>
      <c r="S2795" s="61" t="str">
        <f aca="false">IF(IsPro,IF($D2795="","",L2795-R2795),"")</f>
        <v/>
      </c>
      <c r="T2795" s="60" t="str">
        <f aca="false">IF(IsPro,IF($D2795="","",IF(U2795="","UNKNOWN ITEM",IF(INDEX(Items!$O$5:$O$504,U2795)&lt;0,"NEG STOCK",IF(K2795&lt;INDEX(Items!$P$5:$P$504,U2795),"BELOW COST","OK")))),IF($D2795="","","PRO PLAN"))</f>
        <v/>
      </c>
      <c r="U2795" s="60" t="str">
        <f aca="false">IF(IsPro,IF($D2795="","",IFERROR(MATCH($D2795,Items!$A$5:$A$504,0),"")),"")</f>
        <v/>
      </c>
      <c r="V2795" s="60" t="str">
        <f aca="false">IF(IsPro,IF($C2795="","",IFERROR(MATCH($C2795,Parties!$A$5:$A$304,0),"")),"")</f>
        <v/>
      </c>
      <c r="W2795" s="60" t="str">
        <f aca="false">IF(IsPro,IF($B2795="","",IFERROR(VALUE(SUBSTITUTE($B2795,InvPrefix,"")),0)),"")</f>
        <v/>
      </c>
      <c r="X2795" s="61" t="str">
        <f aca="false">IF(IsPro,IF($D2795="","",IF(OR($H2795="",$H2795="Credit"),0,Q2795)),"")</f>
        <v/>
      </c>
    </row>
    <row r="2796" customFormat="false" ht="15" hidden="false" customHeight="false" outlineLevel="0" collapsed="false">
      <c r="A2796" s="55"/>
      <c r="B2796" s="56"/>
      <c r="C2796" s="56"/>
      <c r="D2796" s="56"/>
      <c r="E2796" s="57"/>
      <c r="F2796" s="58"/>
      <c r="G2796" s="59"/>
      <c r="H2796" s="56"/>
      <c r="I2796" s="56"/>
      <c r="J2796" s="60" t="str">
        <f aca="false">IF(IsPro,IF($D2796="","",IFERROR(INDEX(Items!$D$5:$D$504,U2796),"")),"")</f>
        <v/>
      </c>
      <c r="K2796" s="61" t="str">
        <f aca="false">IF(IsPro,IF($D2796="","",IF($F2796="",IFERROR(INDEX(Items!$H$5:$H$504,U2796),0),$F2796)),"")</f>
        <v/>
      </c>
      <c r="L2796" s="61" t="str">
        <f aca="false">IF(IsPro,IF($D2796="","",ROUND(N($E2796)*K2796*(1-N($G2796)),2)),"")</f>
        <v/>
      </c>
      <c r="M2796" s="62" t="str">
        <f aca="false">IF(IsPro,IF($D2796="","",IFERROR(INDEX(Items!$F$5:$F$504,U2796),0)),"")</f>
        <v/>
      </c>
      <c r="N2796" s="61" t="str">
        <f aca="false">IF(IsPro,IF($D2796="","",IF(AND(V2796&lt;&gt;"",INDEX(Parties!$E$5:$E$304,V2796)&lt;&gt;"",INDEX(Parties!$E$5:$E$304,V2796)&lt;&gt;HomeState),0,ROUND(L2796*M2796/2,2))),"")</f>
        <v/>
      </c>
      <c r="O2796" s="61" t="str">
        <f aca="false">IF(IsPro,IF($D2796="","",N2796),"")</f>
        <v/>
      </c>
      <c r="P2796" s="61" t="str">
        <f aca="false">IF(IsPro,IF($D2796="","",IF(AND(V2796&lt;&gt;"",INDEX(Parties!$E$5:$E$304,V2796)&lt;&gt;"",INDEX(Parties!$E$5:$E$304,V2796)&lt;&gt;HomeState),ROUND(L2796*M2796,2),0)),"")</f>
        <v/>
      </c>
      <c r="Q2796" s="61" t="str">
        <f aca="false">IF(IsPro,IF($D2796="","",L2796+N2796+O2796+P2796),"")</f>
        <v/>
      </c>
      <c r="R2796" s="61" t="str">
        <f aca="false">IF(IsPro,IF($D2796="","",ROUND(N($E2796)*IFERROR(INDEX(Items!$P$5:$P$504,U2796),0),2)),"")</f>
        <v/>
      </c>
      <c r="S2796" s="61" t="str">
        <f aca="false">IF(IsPro,IF($D2796="","",L2796-R2796),"")</f>
        <v/>
      </c>
      <c r="T2796" s="60" t="str">
        <f aca="false">IF(IsPro,IF($D2796="","",IF(U2796="","UNKNOWN ITEM",IF(INDEX(Items!$O$5:$O$504,U2796)&lt;0,"NEG STOCK",IF(K2796&lt;INDEX(Items!$P$5:$P$504,U2796),"BELOW COST","OK")))),IF($D2796="","","PRO PLAN"))</f>
        <v/>
      </c>
      <c r="U2796" s="60" t="str">
        <f aca="false">IF(IsPro,IF($D2796="","",IFERROR(MATCH($D2796,Items!$A$5:$A$504,0),"")),"")</f>
        <v/>
      </c>
      <c r="V2796" s="60" t="str">
        <f aca="false">IF(IsPro,IF($C2796="","",IFERROR(MATCH($C2796,Parties!$A$5:$A$304,0),"")),"")</f>
        <v/>
      </c>
      <c r="W2796" s="60" t="str">
        <f aca="false">IF(IsPro,IF($B2796="","",IFERROR(VALUE(SUBSTITUTE($B2796,InvPrefix,"")),0)),"")</f>
        <v/>
      </c>
      <c r="X2796" s="61" t="str">
        <f aca="false">IF(IsPro,IF($D2796="","",IF(OR($H2796="",$H2796="Credit"),0,Q2796)),"")</f>
        <v/>
      </c>
    </row>
    <row r="2797" customFormat="false" ht="15" hidden="false" customHeight="false" outlineLevel="0" collapsed="false">
      <c r="A2797" s="55"/>
      <c r="B2797" s="56"/>
      <c r="C2797" s="56"/>
      <c r="D2797" s="56"/>
      <c r="E2797" s="57"/>
      <c r="F2797" s="58"/>
      <c r="G2797" s="59"/>
      <c r="H2797" s="56"/>
      <c r="I2797" s="56"/>
      <c r="J2797" s="60" t="str">
        <f aca="false">IF(IsPro,IF($D2797="","",IFERROR(INDEX(Items!$D$5:$D$504,U2797),"")),"")</f>
        <v/>
      </c>
      <c r="K2797" s="61" t="str">
        <f aca="false">IF(IsPro,IF($D2797="","",IF($F2797="",IFERROR(INDEX(Items!$H$5:$H$504,U2797),0),$F2797)),"")</f>
        <v/>
      </c>
      <c r="L2797" s="61" t="str">
        <f aca="false">IF(IsPro,IF($D2797="","",ROUND(N($E2797)*K2797*(1-N($G2797)),2)),"")</f>
        <v/>
      </c>
      <c r="M2797" s="62" t="str">
        <f aca="false">IF(IsPro,IF($D2797="","",IFERROR(INDEX(Items!$F$5:$F$504,U2797),0)),"")</f>
        <v/>
      </c>
      <c r="N2797" s="61" t="str">
        <f aca="false">IF(IsPro,IF($D2797="","",IF(AND(V2797&lt;&gt;"",INDEX(Parties!$E$5:$E$304,V2797)&lt;&gt;"",INDEX(Parties!$E$5:$E$304,V2797)&lt;&gt;HomeState),0,ROUND(L2797*M2797/2,2))),"")</f>
        <v/>
      </c>
      <c r="O2797" s="61" t="str">
        <f aca="false">IF(IsPro,IF($D2797="","",N2797),"")</f>
        <v/>
      </c>
      <c r="P2797" s="61" t="str">
        <f aca="false">IF(IsPro,IF($D2797="","",IF(AND(V2797&lt;&gt;"",INDEX(Parties!$E$5:$E$304,V2797)&lt;&gt;"",INDEX(Parties!$E$5:$E$304,V2797)&lt;&gt;HomeState),ROUND(L2797*M2797,2),0)),"")</f>
        <v/>
      </c>
      <c r="Q2797" s="61" t="str">
        <f aca="false">IF(IsPro,IF($D2797="","",L2797+N2797+O2797+P2797),"")</f>
        <v/>
      </c>
      <c r="R2797" s="61" t="str">
        <f aca="false">IF(IsPro,IF($D2797="","",ROUND(N($E2797)*IFERROR(INDEX(Items!$P$5:$P$504,U2797),0),2)),"")</f>
        <v/>
      </c>
      <c r="S2797" s="61" t="str">
        <f aca="false">IF(IsPro,IF($D2797="","",L2797-R2797),"")</f>
        <v/>
      </c>
      <c r="T2797" s="60" t="str">
        <f aca="false">IF(IsPro,IF($D2797="","",IF(U2797="","UNKNOWN ITEM",IF(INDEX(Items!$O$5:$O$504,U2797)&lt;0,"NEG STOCK",IF(K2797&lt;INDEX(Items!$P$5:$P$504,U2797),"BELOW COST","OK")))),IF($D2797="","","PRO PLAN"))</f>
        <v/>
      </c>
      <c r="U2797" s="60" t="str">
        <f aca="false">IF(IsPro,IF($D2797="","",IFERROR(MATCH($D2797,Items!$A$5:$A$504,0),"")),"")</f>
        <v/>
      </c>
      <c r="V2797" s="60" t="str">
        <f aca="false">IF(IsPro,IF($C2797="","",IFERROR(MATCH($C2797,Parties!$A$5:$A$304,0),"")),"")</f>
        <v/>
      </c>
      <c r="W2797" s="60" t="str">
        <f aca="false">IF(IsPro,IF($B2797="","",IFERROR(VALUE(SUBSTITUTE($B2797,InvPrefix,"")),0)),"")</f>
        <v/>
      </c>
      <c r="X2797" s="61" t="str">
        <f aca="false">IF(IsPro,IF($D2797="","",IF(OR($H2797="",$H2797="Credit"),0,Q2797)),"")</f>
        <v/>
      </c>
    </row>
    <row r="2798" customFormat="false" ht="15" hidden="false" customHeight="false" outlineLevel="0" collapsed="false">
      <c r="A2798" s="55"/>
      <c r="B2798" s="56"/>
      <c r="C2798" s="56"/>
      <c r="D2798" s="56"/>
      <c r="E2798" s="57"/>
      <c r="F2798" s="58"/>
      <c r="G2798" s="59"/>
      <c r="H2798" s="56"/>
      <c r="I2798" s="56"/>
      <c r="J2798" s="60" t="str">
        <f aca="false">IF(IsPro,IF($D2798="","",IFERROR(INDEX(Items!$D$5:$D$504,U2798),"")),"")</f>
        <v/>
      </c>
      <c r="K2798" s="61" t="str">
        <f aca="false">IF(IsPro,IF($D2798="","",IF($F2798="",IFERROR(INDEX(Items!$H$5:$H$504,U2798),0),$F2798)),"")</f>
        <v/>
      </c>
      <c r="L2798" s="61" t="str">
        <f aca="false">IF(IsPro,IF($D2798="","",ROUND(N($E2798)*K2798*(1-N($G2798)),2)),"")</f>
        <v/>
      </c>
      <c r="M2798" s="62" t="str">
        <f aca="false">IF(IsPro,IF($D2798="","",IFERROR(INDEX(Items!$F$5:$F$504,U2798),0)),"")</f>
        <v/>
      </c>
      <c r="N2798" s="61" t="str">
        <f aca="false">IF(IsPro,IF($D2798="","",IF(AND(V2798&lt;&gt;"",INDEX(Parties!$E$5:$E$304,V2798)&lt;&gt;"",INDEX(Parties!$E$5:$E$304,V2798)&lt;&gt;HomeState),0,ROUND(L2798*M2798/2,2))),"")</f>
        <v/>
      </c>
      <c r="O2798" s="61" t="str">
        <f aca="false">IF(IsPro,IF($D2798="","",N2798),"")</f>
        <v/>
      </c>
      <c r="P2798" s="61" t="str">
        <f aca="false">IF(IsPro,IF($D2798="","",IF(AND(V2798&lt;&gt;"",INDEX(Parties!$E$5:$E$304,V2798)&lt;&gt;"",INDEX(Parties!$E$5:$E$304,V2798)&lt;&gt;HomeState),ROUND(L2798*M2798,2),0)),"")</f>
        <v/>
      </c>
      <c r="Q2798" s="61" t="str">
        <f aca="false">IF(IsPro,IF($D2798="","",L2798+N2798+O2798+P2798),"")</f>
        <v/>
      </c>
      <c r="R2798" s="61" t="str">
        <f aca="false">IF(IsPro,IF($D2798="","",ROUND(N($E2798)*IFERROR(INDEX(Items!$P$5:$P$504,U2798),0),2)),"")</f>
        <v/>
      </c>
      <c r="S2798" s="61" t="str">
        <f aca="false">IF(IsPro,IF($D2798="","",L2798-R2798),"")</f>
        <v/>
      </c>
      <c r="T2798" s="60" t="str">
        <f aca="false">IF(IsPro,IF($D2798="","",IF(U2798="","UNKNOWN ITEM",IF(INDEX(Items!$O$5:$O$504,U2798)&lt;0,"NEG STOCK",IF(K2798&lt;INDEX(Items!$P$5:$P$504,U2798),"BELOW COST","OK")))),IF($D2798="","","PRO PLAN"))</f>
        <v/>
      </c>
      <c r="U2798" s="60" t="str">
        <f aca="false">IF(IsPro,IF($D2798="","",IFERROR(MATCH($D2798,Items!$A$5:$A$504,0),"")),"")</f>
        <v/>
      </c>
      <c r="V2798" s="60" t="str">
        <f aca="false">IF(IsPro,IF($C2798="","",IFERROR(MATCH($C2798,Parties!$A$5:$A$304,0),"")),"")</f>
        <v/>
      </c>
      <c r="W2798" s="60" t="str">
        <f aca="false">IF(IsPro,IF($B2798="","",IFERROR(VALUE(SUBSTITUTE($B2798,InvPrefix,"")),0)),"")</f>
        <v/>
      </c>
      <c r="X2798" s="61" t="str">
        <f aca="false">IF(IsPro,IF($D2798="","",IF(OR($H2798="",$H2798="Credit"),0,Q2798)),"")</f>
        <v/>
      </c>
    </row>
    <row r="2799" customFormat="false" ht="15" hidden="false" customHeight="false" outlineLevel="0" collapsed="false">
      <c r="A2799" s="55"/>
      <c r="B2799" s="56"/>
      <c r="C2799" s="56"/>
      <c r="D2799" s="56"/>
      <c r="E2799" s="57"/>
      <c r="F2799" s="58"/>
      <c r="G2799" s="59"/>
      <c r="H2799" s="56"/>
      <c r="I2799" s="56"/>
      <c r="J2799" s="60" t="str">
        <f aca="false">IF(IsPro,IF($D2799="","",IFERROR(INDEX(Items!$D$5:$D$504,U2799),"")),"")</f>
        <v/>
      </c>
      <c r="K2799" s="61" t="str">
        <f aca="false">IF(IsPro,IF($D2799="","",IF($F2799="",IFERROR(INDEX(Items!$H$5:$H$504,U2799),0),$F2799)),"")</f>
        <v/>
      </c>
      <c r="L2799" s="61" t="str">
        <f aca="false">IF(IsPro,IF($D2799="","",ROUND(N($E2799)*K2799*(1-N($G2799)),2)),"")</f>
        <v/>
      </c>
      <c r="M2799" s="62" t="str">
        <f aca="false">IF(IsPro,IF($D2799="","",IFERROR(INDEX(Items!$F$5:$F$504,U2799),0)),"")</f>
        <v/>
      </c>
      <c r="N2799" s="61" t="str">
        <f aca="false">IF(IsPro,IF($D2799="","",IF(AND(V2799&lt;&gt;"",INDEX(Parties!$E$5:$E$304,V2799)&lt;&gt;"",INDEX(Parties!$E$5:$E$304,V2799)&lt;&gt;HomeState),0,ROUND(L2799*M2799/2,2))),"")</f>
        <v/>
      </c>
      <c r="O2799" s="61" t="str">
        <f aca="false">IF(IsPro,IF($D2799="","",N2799),"")</f>
        <v/>
      </c>
      <c r="P2799" s="61" t="str">
        <f aca="false">IF(IsPro,IF($D2799="","",IF(AND(V2799&lt;&gt;"",INDEX(Parties!$E$5:$E$304,V2799)&lt;&gt;"",INDEX(Parties!$E$5:$E$304,V2799)&lt;&gt;HomeState),ROUND(L2799*M2799,2),0)),"")</f>
        <v/>
      </c>
      <c r="Q2799" s="61" t="str">
        <f aca="false">IF(IsPro,IF($D2799="","",L2799+N2799+O2799+P2799),"")</f>
        <v/>
      </c>
      <c r="R2799" s="61" t="str">
        <f aca="false">IF(IsPro,IF($D2799="","",ROUND(N($E2799)*IFERROR(INDEX(Items!$P$5:$P$504,U2799),0),2)),"")</f>
        <v/>
      </c>
      <c r="S2799" s="61" t="str">
        <f aca="false">IF(IsPro,IF($D2799="","",L2799-R2799),"")</f>
        <v/>
      </c>
      <c r="T2799" s="60" t="str">
        <f aca="false">IF(IsPro,IF($D2799="","",IF(U2799="","UNKNOWN ITEM",IF(INDEX(Items!$O$5:$O$504,U2799)&lt;0,"NEG STOCK",IF(K2799&lt;INDEX(Items!$P$5:$P$504,U2799),"BELOW COST","OK")))),IF($D2799="","","PRO PLAN"))</f>
        <v/>
      </c>
      <c r="U2799" s="60" t="str">
        <f aca="false">IF(IsPro,IF($D2799="","",IFERROR(MATCH($D2799,Items!$A$5:$A$504,0),"")),"")</f>
        <v/>
      </c>
      <c r="V2799" s="60" t="str">
        <f aca="false">IF(IsPro,IF($C2799="","",IFERROR(MATCH($C2799,Parties!$A$5:$A$304,0),"")),"")</f>
        <v/>
      </c>
      <c r="W2799" s="60" t="str">
        <f aca="false">IF(IsPro,IF($B2799="","",IFERROR(VALUE(SUBSTITUTE($B2799,InvPrefix,"")),0)),"")</f>
        <v/>
      </c>
      <c r="X2799" s="61" t="str">
        <f aca="false">IF(IsPro,IF($D2799="","",IF(OR($H2799="",$H2799="Credit"),0,Q2799)),"")</f>
        <v/>
      </c>
    </row>
    <row r="2800" customFormat="false" ht="15" hidden="false" customHeight="false" outlineLevel="0" collapsed="false">
      <c r="A2800" s="55"/>
      <c r="B2800" s="56"/>
      <c r="C2800" s="56"/>
      <c r="D2800" s="56"/>
      <c r="E2800" s="57"/>
      <c r="F2800" s="58"/>
      <c r="G2800" s="59"/>
      <c r="H2800" s="56"/>
      <c r="I2800" s="56"/>
      <c r="J2800" s="60" t="str">
        <f aca="false">IF(IsPro,IF($D2800="","",IFERROR(INDEX(Items!$D$5:$D$504,U2800),"")),"")</f>
        <v/>
      </c>
      <c r="K2800" s="61" t="str">
        <f aca="false">IF(IsPro,IF($D2800="","",IF($F2800="",IFERROR(INDEX(Items!$H$5:$H$504,U2800),0),$F2800)),"")</f>
        <v/>
      </c>
      <c r="L2800" s="61" t="str">
        <f aca="false">IF(IsPro,IF($D2800="","",ROUND(N($E2800)*K2800*(1-N($G2800)),2)),"")</f>
        <v/>
      </c>
      <c r="M2800" s="62" t="str">
        <f aca="false">IF(IsPro,IF($D2800="","",IFERROR(INDEX(Items!$F$5:$F$504,U2800),0)),"")</f>
        <v/>
      </c>
      <c r="N2800" s="61" t="str">
        <f aca="false">IF(IsPro,IF($D2800="","",IF(AND(V2800&lt;&gt;"",INDEX(Parties!$E$5:$E$304,V2800)&lt;&gt;"",INDEX(Parties!$E$5:$E$304,V2800)&lt;&gt;HomeState),0,ROUND(L2800*M2800/2,2))),"")</f>
        <v/>
      </c>
      <c r="O2800" s="61" t="str">
        <f aca="false">IF(IsPro,IF($D2800="","",N2800),"")</f>
        <v/>
      </c>
      <c r="P2800" s="61" t="str">
        <f aca="false">IF(IsPro,IF($D2800="","",IF(AND(V2800&lt;&gt;"",INDEX(Parties!$E$5:$E$304,V2800)&lt;&gt;"",INDEX(Parties!$E$5:$E$304,V2800)&lt;&gt;HomeState),ROUND(L2800*M2800,2),0)),"")</f>
        <v/>
      </c>
      <c r="Q2800" s="61" t="str">
        <f aca="false">IF(IsPro,IF($D2800="","",L2800+N2800+O2800+P2800),"")</f>
        <v/>
      </c>
      <c r="R2800" s="61" t="str">
        <f aca="false">IF(IsPro,IF($D2800="","",ROUND(N($E2800)*IFERROR(INDEX(Items!$P$5:$P$504,U2800),0),2)),"")</f>
        <v/>
      </c>
      <c r="S2800" s="61" t="str">
        <f aca="false">IF(IsPro,IF($D2800="","",L2800-R2800),"")</f>
        <v/>
      </c>
      <c r="T2800" s="60" t="str">
        <f aca="false">IF(IsPro,IF($D2800="","",IF(U2800="","UNKNOWN ITEM",IF(INDEX(Items!$O$5:$O$504,U2800)&lt;0,"NEG STOCK",IF(K2800&lt;INDEX(Items!$P$5:$P$504,U2800),"BELOW COST","OK")))),IF($D2800="","","PRO PLAN"))</f>
        <v/>
      </c>
      <c r="U2800" s="60" t="str">
        <f aca="false">IF(IsPro,IF($D2800="","",IFERROR(MATCH($D2800,Items!$A$5:$A$504,0),"")),"")</f>
        <v/>
      </c>
      <c r="V2800" s="60" t="str">
        <f aca="false">IF(IsPro,IF($C2800="","",IFERROR(MATCH($C2800,Parties!$A$5:$A$304,0),"")),"")</f>
        <v/>
      </c>
      <c r="W2800" s="60" t="str">
        <f aca="false">IF(IsPro,IF($B2800="","",IFERROR(VALUE(SUBSTITUTE($B2800,InvPrefix,"")),0)),"")</f>
        <v/>
      </c>
      <c r="X2800" s="61" t="str">
        <f aca="false">IF(IsPro,IF($D2800="","",IF(OR($H2800="",$H2800="Credit"),0,Q2800)),"")</f>
        <v/>
      </c>
    </row>
    <row r="2801" customFormat="false" ht="15" hidden="false" customHeight="false" outlineLevel="0" collapsed="false">
      <c r="A2801" s="55"/>
      <c r="B2801" s="56"/>
      <c r="C2801" s="56"/>
      <c r="D2801" s="56"/>
      <c r="E2801" s="57"/>
      <c r="F2801" s="58"/>
      <c r="G2801" s="59"/>
      <c r="H2801" s="56"/>
      <c r="I2801" s="56"/>
      <c r="J2801" s="60" t="str">
        <f aca="false">IF(IsPro,IF($D2801="","",IFERROR(INDEX(Items!$D$5:$D$504,U2801),"")),"")</f>
        <v/>
      </c>
      <c r="K2801" s="61" t="str">
        <f aca="false">IF(IsPro,IF($D2801="","",IF($F2801="",IFERROR(INDEX(Items!$H$5:$H$504,U2801),0),$F2801)),"")</f>
        <v/>
      </c>
      <c r="L2801" s="61" t="str">
        <f aca="false">IF(IsPro,IF($D2801="","",ROUND(N($E2801)*K2801*(1-N($G2801)),2)),"")</f>
        <v/>
      </c>
      <c r="M2801" s="62" t="str">
        <f aca="false">IF(IsPro,IF($D2801="","",IFERROR(INDEX(Items!$F$5:$F$504,U2801),0)),"")</f>
        <v/>
      </c>
      <c r="N2801" s="61" t="str">
        <f aca="false">IF(IsPro,IF($D2801="","",IF(AND(V2801&lt;&gt;"",INDEX(Parties!$E$5:$E$304,V2801)&lt;&gt;"",INDEX(Parties!$E$5:$E$304,V2801)&lt;&gt;HomeState),0,ROUND(L2801*M2801/2,2))),"")</f>
        <v/>
      </c>
      <c r="O2801" s="61" t="str">
        <f aca="false">IF(IsPro,IF($D2801="","",N2801),"")</f>
        <v/>
      </c>
      <c r="P2801" s="61" t="str">
        <f aca="false">IF(IsPro,IF($D2801="","",IF(AND(V2801&lt;&gt;"",INDEX(Parties!$E$5:$E$304,V2801)&lt;&gt;"",INDEX(Parties!$E$5:$E$304,V2801)&lt;&gt;HomeState),ROUND(L2801*M2801,2),0)),"")</f>
        <v/>
      </c>
      <c r="Q2801" s="61" t="str">
        <f aca="false">IF(IsPro,IF($D2801="","",L2801+N2801+O2801+P2801),"")</f>
        <v/>
      </c>
      <c r="R2801" s="61" t="str">
        <f aca="false">IF(IsPro,IF($D2801="","",ROUND(N($E2801)*IFERROR(INDEX(Items!$P$5:$P$504,U2801),0),2)),"")</f>
        <v/>
      </c>
      <c r="S2801" s="61" t="str">
        <f aca="false">IF(IsPro,IF($D2801="","",L2801-R2801),"")</f>
        <v/>
      </c>
      <c r="T2801" s="60" t="str">
        <f aca="false">IF(IsPro,IF($D2801="","",IF(U2801="","UNKNOWN ITEM",IF(INDEX(Items!$O$5:$O$504,U2801)&lt;0,"NEG STOCK",IF(K2801&lt;INDEX(Items!$P$5:$P$504,U2801),"BELOW COST","OK")))),IF($D2801="","","PRO PLAN"))</f>
        <v/>
      </c>
      <c r="U2801" s="60" t="str">
        <f aca="false">IF(IsPro,IF($D2801="","",IFERROR(MATCH($D2801,Items!$A$5:$A$504,0),"")),"")</f>
        <v/>
      </c>
      <c r="V2801" s="60" t="str">
        <f aca="false">IF(IsPro,IF($C2801="","",IFERROR(MATCH($C2801,Parties!$A$5:$A$304,0),"")),"")</f>
        <v/>
      </c>
      <c r="W2801" s="60" t="str">
        <f aca="false">IF(IsPro,IF($B2801="","",IFERROR(VALUE(SUBSTITUTE($B2801,InvPrefix,"")),0)),"")</f>
        <v/>
      </c>
      <c r="X2801" s="61" t="str">
        <f aca="false">IF(IsPro,IF($D2801="","",IF(OR($H2801="",$H2801="Credit"),0,Q2801)),"")</f>
        <v/>
      </c>
    </row>
    <row r="2802" customFormat="false" ht="15" hidden="false" customHeight="false" outlineLevel="0" collapsed="false">
      <c r="A2802" s="55"/>
      <c r="B2802" s="56"/>
      <c r="C2802" s="56"/>
      <c r="D2802" s="56"/>
      <c r="E2802" s="57"/>
      <c r="F2802" s="58"/>
      <c r="G2802" s="59"/>
      <c r="H2802" s="56"/>
      <c r="I2802" s="56"/>
      <c r="J2802" s="60" t="str">
        <f aca="false">IF(IsPro,IF($D2802="","",IFERROR(INDEX(Items!$D$5:$D$504,U2802),"")),"")</f>
        <v/>
      </c>
      <c r="K2802" s="61" t="str">
        <f aca="false">IF(IsPro,IF($D2802="","",IF($F2802="",IFERROR(INDEX(Items!$H$5:$H$504,U2802),0),$F2802)),"")</f>
        <v/>
      </c>
      <c r="L2802" s="61" t="str">
        <f aca="false">IF(IsPro,IF($D2802="","",ROUND(N($E2802)*K2802*(1-N($G2802)),2)),"")</f>
        <v/>
      </c>
      <c r="M2802" s="62" t="str">
        <f aca="false">IF(IsPro,IF($D2802="","",IFERROR(INDEX(Items!$F$5:$F$504,U2802),0)),"")</f>
        <v/>
      </c>
      <c r="N2802" s="61" t="str">
        <f aca="false">IF(IsPro,IF($D2802="","",IF(AND(V2802&lt;&gt;"",INDEX(Parties!$E$5:$E$304,V2802)&lt;&gt;"",INDEX(Parties!$E$5:$E$304,V2802)&lt;&gt;HomeState),0,ROUND(L2802*M2802/2,2))),"")</f>
        <v/>
      </c>
      <c r="O2802" s="61" t="str">
        <f aca="false">IF(IsPro,IF($D2802="","",N2802),"")</f>
        <v/>
      </c>
      <c r="P2802" s="61" t="str">
        <f aca="false">IF(IsPro,IF($D2802="","",IF(AND(V2802&lt;&gt;"",INDEX(Parties!$E$5:$E$304,V2802)&lt;&gt;"",INDEX(Parties!$E$5:$E$304,V2802)&lt;&gt;HomeState),ROUND(L2802*M2802,2),0)),"")</f>
        <v/>
      </c>
      <c r="Q2802" s="61" t="str">
        <f aca="false">IF(IsPro,IF($D2802="","",L2802+N2802+O2802+P2802),"")</f>
        <v/>
      </c>
      <c r="R2802" s="61" t="str">
        <f aca="false">IF(IsPro,IF($D2802="","",ROUND(N($E2802)*IFERROR(INDEX(Items!$P$5:$P$504,U2802),0),2)),"")</f>
        <v/>
      </c>
      <c r="S2802" s="61" t="str">
        <f aca="false">IF(IsPro,IF($D2802="","",L2802-R2802),"")</f>
        <v/>
      </c>
      <c r="T2802" s="60" t="str">
        <f aca="false">IF(IsPro,IF($D2802="","",IF(U2802="","UNKNOWN ITEM",IF(INDEX(Items!$O$5:$O$504,U2802)&lt;0,"NEG STOCK",IF(K2802&lt;INDEX(Items!$P$5:$P$504,U2802),"BELOW COST","OK")))),IF($D2802="","","PRO PLAN"))</f>
        <v/>
      </c>
      <c r="U2802" s="60" t="str">
        <f aca="false">IF(IsPro,IF($D2802="","",IFERROR(MATCH($D2802,Items!$A$5:$A$504,0),"")),"")</f>
        <v/>
      </c>
      <c r="V2802" s="60" t="str">
        <f aca="false">IF(IsPro,IF($C2802="","",IFERROR(MATCH($C2802,Parties!$A$5:$A$304,0),"")),"")</f>
        <v/>
      </c>
      <c r="W2802" s="60" t="str">
        <f aca="false">IF(IsPro,IF($B2802="","",IFERROR(VALUE(SUBSTITUTE($B2802,InvPrefix,"")),0)),"")</f>
        <v/>
      </c>
      <c r="X2802" s="61" t="str">
        <f aca="false">IF(IsPro,IF($D2802="","",IF(OR($H2802="",$H2802="Credit"),0,Q2802)),"")</f>
        <v/>
      </c>
    </row>
    <row r="2803" customFormat="false" ht="15" hidden="false" customHeight="false" outlineLevel="0" collapsed="false">
      <c r="A2803" s="55"/>
      <c r="B2803" s="56"/>
      <c r="C2803" s="56"/>
      <c r="D2803" s="56"/>
      <c r="E2803" s="57"/>
      <c r="F2803" s="58"/>
      <c r="G2803" s="59"/>
      <c r="H2803" s="56"/>
      <c r="I2803" s="56"/>
      <c r="J2803" s="60" t="str">
        <f aca="false">IF(IsPro,IF($D2803="","",IFERROR(INDEX(Items!$D$5:$D$504,U2803),"")),"")</f>
        <v/>
      </c>
      <c r="K2803" s="61" t="str">
        <f aca="false">IF(IsPro,IF($D2803="","",IF($F2803="",IFERROR(INDEX(Items!$H$5:$H$504,U2803),0),$F2803)),"")</f>
        <v/>
      </c>
      <c r="L2803" s="61" t="str">
        <f aca="false">IF(IsPro,IF($D2803="","",ROUND(N($E2803)*K2803*(1-N($G2803)),2)),"")</f>
        <v/>
      </c>
      <c r="M2803" s="62" t="str">
        <f aca="false">IF(IsPro,IF($D2803="","",IFERROR(INDEX(Items!$F$5:$F$504,U2803),0)),"")</f>
        <v/>
      </c>
      <c r="N2803" s="61" t="str">
        <f aca="false">IF(IsPro,IF($D2803="","",IF(AND(V2803&lt;&gt;"",INDEX(Parties!$E$5:$E$304,V2803)&lt;&gt;"",INDEX(Parties!$E$5:$E$304,V2803)&lt;&gt;HomeState),0,ROUND(L2803*M2803/2,2))),"")</f>
        <v/>
      </c>
      <c r="O2803" s="61" t="str">
        <f aca="false">IF(IsPro,IF($D2803="","",N2803),"")</f>
        <v/>
      </c>
      <c r="P2803" s="61" t="str">
        <f aca="false">IF(IsPro,IF($D2803="","",IF(AND(V2803&lt;&gt;"",INDEX(Parties!$E$5:$E$304,V2803)&lt;&gt;"",INDEX(Parties!$E$5:$E$304,V2803)&lt;&gt;HomeState),ROUND(L2803*M2803,2),0)),"")</f>
        <v/>
      </c>
      <c r="Q2803" s="61" t="str">
        <f aca="false">IF(IsPro,IF($D2803="","",L2803+N2803+O2803+P2803),"")</f>
        <v/>
      </c>
      <c r="R2803" s="61" t="str">
        <f aca="false">IF(IsPro,IF($D2803="","",ROUND(N($E2803)*IFERROR(INDEX(Items!$P$5:$P$504,U2803),0),2)),"")</f>
        <v/>
      </c>
      <c r="S2803" s="61" t="str">
        <f aca="false">IF(IsPro,IF($D2803="","",L2803-R2803),"")</f>
        <v/>
      </c>
      <c r="T2803" s="60" t="str">
        <f aca="false">IF(IsPro,IF($D2803="","",IF(U2803="","UNKNOWN ITEM",IF(INDEX(Items!$O$5:$O$504,U2803)&lt;0,"NEG STOCK",IF(K2803&lt;INDEX(Items!$P$5:$P$504,U2803),"BELOW COST","OK")))),IF($D2803="","","PRO PLAN"))</f>
        <v/>
      </c>
      <c r="U2803" s="60" t="str">
        <f aca="false">IF(IsPro,IF($D2803="","",IFERROR(MATCH($D2803,Items!$A$5:$A$504,0),"")),"")</f>
        <v/>
      </c>
      <c r="V2803" s="60" t="str">
        <f aca="false">IF(IsPro,IF($C2803="","",IFERROR(MATCH($C2803,Parties!$A$5:$A$304,0),"")),"")</f>
        <v/>
      </c>
      <c r="W2803" s="60" t="str">
        <f aca="false">IF(IsPro,IF($B2803="","",IFERROR(VALUE(SUBSTITUTE($B2803,InvPrefix,"")),0)),"")</f>
        <v/>
      </c>
      <c r="X2803" s="61" t="str">
        <f aca="false">IF(IsPro,IF($D2803="","",IF(OR($H2803="",$H2803="Credit"),0,Q2803)),"")</f>
        <v/>
      </c>
    </row>
    <row r="2804" customFormat="false" ht="15" hidden="false" customHeight="false" outlineLevel="0" collapsed="false">
      <c r="A2804" s="55"/>
      <c r="B2804" s="56"/>
      <c r="C2804" s="56"/>
      <c r="D2804" s="56"/>
      <c r="E2804" s="57"/>
      <c r="F2804" s="58"/>
      <c r="G2804" s="59"/>
      <c r="H2804" s="56"/>
      <c r="I2804" s="56"/>
      <c r="J2804" s="60" t="str">
        <f aca="false">IF(IsPro,IF($D2804="","",IFERROR(INDEX(Items!$D$5:$D$504,U2804),"")),"")</f>
        <v/>
      </c>
      <c r="K2804" s="61" t="str">
        <f aca="false">IF(IsPro,IF($D2804="","",IF($F2804="",IFERROR(INDEX(Items!$H$5:$H$504,U2804),0),$F2804)),"")</f>
        <v/>
      </c>
      <c r="L2804" s="61" t="str">
        <f aca="false">IF(IsPro,IF($D2804="","",ROUND(N($E2804)*K2804*(1-N($G2804)),2)),"")</f>
        <v/>
      </c>
      <c r="M2804" s="62" t="str">
        <f aca="false">IF(IsPro,IF($D2804="","",IFERROR(INDEX(Items!$F$5:$F$504,U2804),0)),"")</f>
        <v/>
      </c>
      <c r="N2804" s="61" t="str">
        <f aca="false">IF(IsPro,IF($D2804="","",IF(AND(V2804&lt;&gt;"",INDEX(Parties!$E$5:$E$304,V2804)&lt;&gt;"",INDEX(Parties!$E$5:$E$304,V2804)&lt;&gt;HomeState),0,ROUND(L2804*M2804/2,2))),"")</f>
        <v/>
      </c>
      <c r="O2804" s="61" t="str">
        <f aca="false">IF(IsPro,IF($D2804="","",N2804),"")</f>
        <v/>
      </c>
      <c r="P2804" s="61" t="str">
        <f aca="false">IF(IsPro,IF($D2804="","",IF(AND(V2804&lt;&gt;"",INDEX(Parties!$E$5:$E$304,V2804)&lt;&gt;"",INDEX(Parties!$E$5:$E$304,V2804)&lt;&gt;HomeState),ROUND(L2804*M2804,2),0)),"")</f>
        <v/>
      </c>
      <c r="Q2804" s="61" t="str">
        <f aca="false">IF(IsPro,IF($D2804="","",L2804+N2804+O2804+P2804),"")</f>
        <v/>
      </c>
      <c r="R2804" s="61" t="str">
        <f aca="false">IF(IsPro,IF($D2804="","",ROUND(N($E2804)*IFERROR(INDEX(Items!$P$5:$P$504,U2804),0),2)),"")</f>
        <v/>
      </c>
      <c r="S2804" s="61" t="str">
        <f aca="false">IF(IsPro,IF($D2804="","",L2804-R2804),"")</f>
        <v/>
      </c>
      <c r="T2804" s="60" t="str">
        <f aca="false">IF(IsPro,IF($D2804="","",IF(U2804="","UNKNOWN ITEM",IF(INDEX(Items!$O$5:$O$504,U2804)&lt;0,"NEG STOCK",IF(K2804&lt;INDEX(Items!$P$5:$P$504,U2804),"BELOW COST","OK")))),IF($D2804="","","PRO PLAN"))</f>
        <v/>
      </c>
      <c r="U2804" s="60" t="str">
        <f aca="false">IF(IsPro,IF($D2804="","",IFERROR(MATCH($D2804,Items!$A$5:$A$504,0),"")),"")</f>
        <v/>
      </c>
      <c r="V2804" s="60" t="str">
        <f aca="false">IF(IsPro,IF($C2804="","",IFERROR(MATCH($C2804,Parties!$A$5:$A$304,0),"")),"")</f>
        <v/>
      </c>
      <c r="W2804" s="60" t="str">
        <f aca="false">IF(IsPro,IF($B2804="","",IFERROR(VALUE(SUBSTITUTE($B2804,InvPrefix,"")),0)),"")</f>
        <v/>
      </c>
      <c r="X2804" s="61" t="str">
        <f aca="false">IF(IsPro,IF($D2804="","",IF(OR($H2804="",$H2804="Credit"),0,Q2804)),"")</f>
        <v/>
      </c>
    </row>
    <row r="2805" customFormat="false" ht="15" hidden="false" customHeight="false" outlineLevel="0" collapsed="false">
      <c r="A2805" s="55"/>
      <c r="B2805" s="56"/>
      <c r="C2805" s="56"/>
      <c r="D2805" s="56"/>
      <c r="E2805" s="57"/>
      <c r="F2805" s="58"/>
      <c r="G2805" s="59"/>
      <c r="H2805" s="56"/>
      <c r="I2805" s="56"/>
      <c r="J2805" s="60" t="str">
        <f aca="false">IF(IsPro,IF($D2805="","",IFERROR(INDEX(Items!$D$5:$D$504,U2805),"")),"")</f>
        <v/>
      </c>
      <c r="K2805" s="61" t="str">
        <f aca="false">IF(IsPro,IF($D2805="","",IF($F2805="",IFERROR(INDEX(Items!$H$5:$H$504,U2805),0),$F2805)),"")</f>
        <v/>
      </c>
      <c r="L2805" s="61" t="str">
        <f aca="false">IF(IsPro,IF($D2805="","",ROUND(N($E2805)*K2805*(1-N($G2805)),2)),"")</f>
        <v/>
      </c>
      <c r="M2805" s="62" t="str">
        <f aca="false">IF(IsPro,IF($D2805="","",IFERROR(INDEX(Items!$F$5:$F$504,U2805),0)),"")</f>
        <v/>
      </c>
      <c r="N2805" s="61" t="str">
        <f aca="false">IF(IsPro,IF($D2805="","",IF(AND(V2805&lt;&gt;"",INDEX(Parties!$E$5:$E$304,V2805)&lt;&gt;"",INDEX(Parties!$E$5:$E$304,V2805)&lt;&gt;HomeState),0,ROUND(L2805*M2805/2,2))),"")</f>
        <v/>
      </c>
      <c r="O2805" s="61" t="str">
        <f aca="false">IF(IsPro,IF($D2805="","",N2805),"")</f>
        <v/>
      </c>
      <c r="P2805" s="61" t="str">
        <f aca="false">IF(IsPro,IF($D2805="","",IF(AND(V2805&lt;&gt;"",INDEX(Parties!$E$5:$E$304,V2805)&lt;&gt;"",INDEX(Parties!$E$5:$E$304,V2805)&lt;&gt;HomeState),ROUND(L2805*M2805,2),0)),"")</f>
        <v/>
      </c>
      <c r="Q2805" s="61" t="str">
        <f aca="false">IF(IsPro,IF($D2805="","",L2805+N2805+O2805+P2805),"")</f>
        <v/>
      </c>
      <c r="R2805" s="61" t="str">
        <f aca="false">IF(IsPro,IF($D2805="","",ROUND(N($E2805)*IFERROR(INDEX(Items!$P$5:$P$504,U2805),0),2)),"")</f>
        <v/>
      </c>
      <c r="S2805" s="61" t="str">
        <f aca="false">IF(IsPro,IF($D2805="","",L2805-R2805),"")</f>
        <v/>
      </c>
      <c r="T2805" s="60" t="str">
        <f aca="false">IF(IsPro,IF($D2805="","",IF(U2805="","UNKNOWN ITEM",IF(INDEX(Items!$O$5:$O$504,U2805)&lt;0,"NEG STOCK",IF(K2805&lt;INDEX(Items!$P$5:$P$504,U2805),"BELOW COST","OK")))),IF($D2805="","","PRO PLAN"))</f>
        <v/>
      </c>
      <c r="U2805" s="60" t="str">
        <f aca="false">IF(IsPro,IF($D2805="","",IFERROR(MATCH($D2805,Items!$A$5:$A$504,0),"")),"")</f>
        <v/>
      </c>
      <c r="V2805" s="60" t="str">
        <f aca="false">IF(IsPro,IF($C2805="","",IFERROR(MATCH($C2805,Parties!$A$5:$A$304,0),"")),"")</f>
        <v/>
      </c>
      <c r="W2805" s="60" t="str">
        <f aca="false">IF(IsPro,IF($B2805="","",IFERROR(VALUE(SUBSTITUTE($B2805,InvPrefix,"")),0)),"")</f>
        <v/>
      </c>
      <c r="X2805" s="61" t="str">
        <f aca="false">IF(IsPro,IF($D2805="","",IF(OR($H2805="",$H2805="Credit"),0,Q2805)),"")</f>
        <v/>
      </c>
    </row>
    <row r="2806" customFormat="false" ht="15" hidden="false" customHeight="false" outlineLevel="0" collapsed="false">
      <c r="A2806" s="55"/>
      <c r="B2806" s="56"/>
      <c r="C2806" s="56"/>
      <c r="D2806" s="56"/>
      <c r="E2806" s="57"/>
      <c r="F2806" s="58"/>
      <c r="G2806" s="59"/>
      <c r="H2806" s="56"/>
      <c r="I2806" s="56"/>
      <c r="J2806" s="60" t="str">
        <f aca="false">IF(IsPro,IF($D2806="","",IFERROR(INDEX(Items!$D$5:$D$504,U2806),"")),"")</f>
        <v/>
      </c>
      <c r="K2806" s="61" t="str">
        <f aca="false">IF(IsPro,IF($D2806="","",IF($F2806="",IFERROR(INDEX(Items!$H$5:$H$504,U2806),0),$F2806)),"")</f>
        <v/>
      </c>
      <c r="L2806" s="61" t="str">
        <f aca="false">IF(IsPro,IF($D2806="","",ROUND(N($E2806)*K2806*(1-N($G2806)),2)),"")</f>
        <v/>
      </c>
      <c r="M2806" s="62" t="str">
        <f aca="false">IF(IsPro,IF($D2806="","",IFERROR(INDEX(Items!$F$5:$F$504,U2806),0)),"")</f>
        <v/>
      </c>
      <c r="N2806" s="61" t="str">
        <f aca="false">IF(IsPro,IF($D2806="","",IF(AND(V2806&lt;&gt;"",INDEX(Parties!$E$5:$E$304,V2806)&lt;&gt;"",INDEX(Parties!$E$5:$E$304,V2806)&lt;&gt;HomeState),0,ROUND(L2806*M2806/2,2))),"")</f>
        <v/>
      </c>
      <c r="O2806" s="61" t="str">
        <f aca="false">IF(IsPro,IF($D2806="","",N2806),"")</f>
        <v/>
      </c>
      <c r="P2806" s="61" t="str">
        <f aca="false">IF(IsPro,IF($D2806="","",IF(AND(V2806&lt;&gt;"",INDEX(Parties!$E$5:$E$304,V2806)&lt;&gt;"",INDEX(Parties!$E$5:$E$304,V2806)&lt;&gt;HomeState),ROUND(L2806*M2806,2),0)),"")</f>
        <v/>
      </c>
      <c r="Q2806" s="61" t="str">
        <f aca="false">IF(IsPro,IF($D2806="","",L2806+N2806+O2806+P2806),"")</f>
        <v/>
      </c>
      <c r="R2806" s="61" t="str">
        <f aca="false">IF(IsPro,IF($D2806="","",ROUND(N($E2806)*IFERROR(INDEX(Items!$P$5:$P$504,U2806),0),2)),"")</f>
        <v/>
      </c>
      <c r="S2806" s="61" t="str">
        <f aca="false">IF(IsPro,IF($D2806="","",L2806-R2806),"")</f>
        <v/>
      </c>
      <c r="T2806" s="60" t="str">
        <f aca="false">IF(IsPro,IF($D2806="","",IF(U2806="","UNKNOWN ITEM",IF(INDEX(Items!$O$5:$O$504,U2806)&lt;0,"NEG STOCK",IF(K2806&lt;INDEX(Items!$P$5:$P$504,U2806),"BELOW COST","OK")))),IF($D2806="","","PRO PLAN"))</f>
        <v/>
      </c>
      <c r="U2806" s="60" t="str">
        <f aca="false">IF(IsPro,IF($D2806="","",IFERROR(MATCH($D2806,Items!$A$5:$A$504,0),"")),"")</f>
        <v/>
      </c>
      <c r="V2806" s="60" t="str">
        <f aca="false">IF(IsPro,IF($C2806="","",IFERROR(MATCH($C2806,Parties!$A$5:$A$304,0),"")),"")</f>
        <v/>
      </c>
      <c r="W2806" s="60" t="str">
        <f aca="false">IF(IsPro,IF($B2806="","",IFERROR(VALUE(SUBSTITUTE($B2806,InvPrefix,"")),0)),"")</f>
        <v/>
      </c>
      <c r="X2806" s="61" t="str">
        <f aca="false">IF(IsPro,IF($D2806="","",IF(OR($H2806="",$H2806="Credit"),0,Q2806)),"")</f>
        <v/>
      </c>
    </row>
    <row r="2807" customFormat="false" ht="15" hidden="false" customHeight="false" outlineLevel="0" collapsed="false">
      <c r="A2807" s="55"/>
      <c r="B2807" s="56"/>
      <c r="C2807" s="56"/>
      <c r="D2807" s="56"/>
      <c r="E2807" s="57"/>
      <c r="F2807" s="58"/>
      <c r="G2807" s="59"/>
      <c r="H2807" s="56"/>
      <c r="I2807" s="56"/>
      <c r="J2807" s="60" t="str">
        <f aca="false">IF(IsPro,IF($D2807="","",IFERROR(INDEX(Items!$D$5:$D$504,U2807),"")),"")</f>
        <v/>
      </c>
      <c r="K2807" s="61" t="str">
        <f aca="false">IF(IsPro,IF($D2807="","",IF($F2807="",IFERROR(INDEX(Items!$H$5:$H$504,U2807),0),$F2807)),"")</f>
        <v/>
      </c>
      <c r="L2807" s="61" t="str">
        <f aca="false">IF(IsPro,IF($D2807="","",ROUND(N($E2807)*K2807*(1-N($G2807)),2)),"")</f>
        <v/>
      </c>
      <c r="M2807" s="62" t="str">
        <f aca="false">IF(IsPro,IF($D2807="","",IFERROR(INDEX(Items!$F$5:$F$504,U2807),0)),"")</f>
        <v/>
      </c>
      <c r="N2807" s="61" t="str">
        <f aca="false">IF(IsPro,IF($D2807="","",IF(AND(V2807&lt;&gt;"",INDEX(Parties!$E$5:$E$304,V2807)&lt;&gt;"",INDEX(Parties!$E$5:$E$304,V2807)&lt;&gt;HomeState),0,ROUND(L2807*M2807/2,2))),"")</f>
        <v/>
      </c>
      <c r="O2807" s="61" t="str">
        <f aca="false">IF(IsPro,IF($D2807="","",N2807),"")</f>
        <v/>
      </c>
      <c r="P2807" s="61" t="str">
        <f aca="false">IF(IsPro,IF($D2807="","",IF(AND(V2807&lt;&gt;"",INDEX(Parties!$E$5:$E$304,V2807)&lt;&gt;"",INDEX(Parties!$E$5:$E$304,V2807)&lt;&gt;HomeState),ROUND(L2807*M2807,2),0)),"")</f>
        <v/>
      </c>
      <c r="Q2807" s="61" t="str">
        <f aca="false">IF(IsPro,IF($D2807="","",L2807+N2807+O2807+P2807),"")</f>
        <v/>
      </c>
      <c r="R2807" s="61" t="str">
        <f aca="false">IF(IsPro,IF($D2807="","",ROUND(N($E2807)*IFERROR(INDEX(Items!$P$5:$P$504,U2807),0),2)),"")</f>
        <v/>
      </c>
      <c r="S2807" s="61" t="str">
        <f aca="false">IF(IsPro,IF($D2807="","",L2807-R2807),"")</f>
        <v/>
      </c>
      <c r="T2807" s="60" t="str">
        <f aca="false">IF(IsPro,IF($D2807="","",IF(U2807="","UNKNOWN ITEM",IF(INDEX(Items!$O$5:$O$504,U2807)&lt;0,"NEG STOCK",IF(K2807&lt;INDEX(Items!$P$5:$P$504,U2807),"BELOW COST","OK")))),IF($D2807="","","PRO PLAN"))</f>
        <v/>
      </c>
      <c r="U2807" s="60" t="str">
        <f aca="false">IF(IsPro,IF($D2807="","",IFERROR(MATCH($D2807,Items!$A$5:$A$504,0),"")),"")</f>
        <v/>
      </c>
      <c r="V2807" s="60" t="str">
        <f aca="false">IF(IsPro,IF($C2807="","",IFERROR(MATCH($C2807,Parties!$A$5:$A$304,0),"")),"")</f>
        <v/>
      </c>
      <c r="W2807" s="60" t="str">
        <f aca="false">IF(IsPro,IF($B2807="","",IFERROR(VALUE(SUBSTITUTE($B2807,InvPrefix,"")),0)),"")</f>
        <v/>
      </c>
      <c r="X2807" s="61" t="str">
        <f aca="false">IF(IsPro,IF($D2807="","",IF(OR($H2807="",$H2807="Credit"),0,Q2807)),"")</f>
        <v/>
      </c>
    </row>
    <row r="2808" customFormat="false" ht="15" hidden="false" customHeight="false" outlineLevel="0" collapsed="false">
      <c r="A2808" s="55"/>
      <c r="B2808" s="56"/>
      <c r="C2808" s="56"/>
      <c r="D2808" s="56"/>
      <c r="E2808" s="57"/>
      <c r="F2808" s="58"/>
      <c r="G2808" s="59"/>
      <c r="H2808" s="56"/>
      <c r="I2808" s="56"/>
      <c r="J2808" s="60" t="str">
        <f aca="false">IF(IsPro,IF($D2808="","",IFERROR(INDEX(Items!$D$5:$D$504,U2808),"")),"")</f>
        <v/>
      </c>
      <c r="K2808" s="61" t="str">
        <f aca="false">IF(IsPro,IF($D2808="","",IF($F2808="",IFERROR(INDEX(Items!$H$5:$H$504,U2808),0),$F2808)),"")</f>
        <v/>
      </c>
      <c r="L2808" s="61" t="str">
        <f aca="false">IF(IsPro,IF($D2808="","",ROUND(N($E2808)*K2808*(1-N($G2808)),2)),"")</f>
        <v/>
      </c>
      <c r="M2808" s="62" t="str">
        <f aca="false">IF(IsPro,IF($D2808="","",IFERROR(INDEX(Items!$F$5:$F$504,U2808),0)),"")</f>
        <v/>
      </c>
      <c r="N2808" s="61" t="str">
        <f aca="false">IF(IsPro,IF($D2808="","",IF(AND(V2808&lt;&gt;"",INDEX(Parties!$E$5:$E$304,V2808)&lt;&gt;"",INDEX(Parties!$E$5:$E$304,V2808)&lt;&gt;HomeState),0,ROUND(L2808*M2808/2,2))),"")</f>
        <v/>
      </c>
      <c r="O2808" s="61" t="str">
        <f aca="false">IF(IsPro,IF($D2808="","",N2808),"")</f>
        <v/>
      </c>
      <c r="P2808" s="61" t="str">
        <f aca="false">IF(IsPro,IF($D2808="","",IF(AND(V2808&lt;&gt;"",INDEX(Parties!$E$5:$E$304,V2808)&lt;&gt;"",INDEX(Parties!$E$5:$E$304,V2808)&lt;&gt;HomeState),ROUND(L2808*M2808,2),0)),"")</f>
        <v/>
      </c>
      <c r="Q2808" s="61" t="str">
        <f aca="false">IF(IsPro,IF($D2808="","",L2808+N2808+O2808+P2808),"")</f>
        <v/>
      </c>
      <c r="R2808" s="61" t="str">
        <f aca="false">IF(IsPro,IF($D2808="","",ROUND(N($E2808)*IFERROR(INDEX(Items!$P$5:$P$504,U2808),0),2)),"")</f>
        <v/>
      </c>
      <c r="S2808" s="61" t="str">
        <f aca="false">IF(IsPro,IF($D2808="","",L2808-R2808),"")</f>
        <v/>
      </c>
      <c r="T2808" s="60" t="str">
        <f aca="false">IF(IsPro,IF($D2808="","",IF(U2808="","UNKNOWN ITEM",IF(INDEX(Items!$O$5:$O$504,U2808)&lt;0,"NEG STOCK",IF(K2808&lt;INDEX(Items!$P$5:$P$504,U2808),"BELOW COST","OK")))),IF($D2808="","","PRO PLAN"))</f>
        <v/>
      </c>
      <c r="U2808" s="60" t="str">
        <f aca="false">IF(IsPro,IF($D2808="","",IFERROR(MATCH($D2808,Items!$A$5:$A$504,0),"")),"")</f>
        <v/>
      </c>
      <c r="V2808" s="60" t="str">
        <f aca="false">IF(IsPro,IF($C2808="","",IFERROR(MATCH($C2808,Parties!$A$5:$A$304,0),"")),"")</f>
        <v/>
      </c>
      <c r="W2808" s="60" t="str">
        <f aca="false">IF(IsPro,IF($B2808="","",IFERROR(VALUE(SUBSTITUTE($B2808,InvPrefix,"")),0)),"")</f>
        <v/>
      </c>
      <c r="X2808" s="61" t="str">
        <f aca="false">IF(IsPro,IF($D2808="","",IF(OR($H2808="",$H2808="Credit"),0,Q2808)),"")</f>
        <v/>
      </c>
    </row>
    <row r="2809" customFormat="false" ht="15" hidden="false" customHeight="false" outlineLevel="0" collapsed="false">
      <c r="A2809" s="55"/>
      <c r="B2809" s="56"/>
      <c r="C2809" s="56"/>
      <c r="D2809" s="56"/>
      <c r="E2809" s="57"/>
      <c r="F2809" s="58"/>
      <c r="G2809" s="59"/>
      <c r="H2809" s="56"/>
      <c r="I2809" s="56"/>
      <c r="J2809" s="60" t="str">
        <f aca="false">IF(IsPro,IF($D2809="","",IFERROR(INDEX(Items!$D$5:$D$504,U2809),"")),"")</f>
        <v/>
      </c>
      <c r="K2809" s="61" t="str">
        <f aca="false">IF(IsPro,IF($D2809="","",IF($F2809="",IFERROR(INDEX(Items!$H$5:$H$504,U2809),0),$F2809)),"")</f>
        <v/>
      </c>
      <c r="L2809" s="61" t="str">
        <f aca="false">IF(IsPro,IF($D2809="","",ROUND(N($E2809)*K2809*(1-N($G2809)),2)),"")</f>
        <v/>
      </c>
      <c r="M2809" s="62" t="str">
        <f aca="false">IF(IsPro,IF($D2809="","",IFERROR(INDEX(Items!$F$5:$F$504,U2809),0)),"")</f>
        <v/>
      </c>
      <c r="N2809" s="61" t="str">
        <f aca="false">IF(IsPro,IF($D2809="","",IF(AND(V2809&lt;&gt;"",INDEX(Parties!$E$5:$E$304,V2809)&lt;&gt;"",INDEX(Parties!$E$5:$E$304,V2809)&lt;&gt;HomeState),0,ROUND(L2809*M2809/2,2))),"")</f>
        <v/>
      </c>
      <c r="O2809" s="61" t="str">
        <f aca="false">IF(IsPro,IF($D2809="","",N2809),"")</f>
        <v/>
      </c>
      <c r="P2809" s="61" t="str">
        <f aca="false">IF(IsPro,IF($D2809="","",IF(AND(V2809&lt;&gt;"",INDEX(Parties!$E$5:$E$304,V2809)&lt;&gt;"",INDEX(Parties!$E$5:$E$304,V2809)&lt;&gt;HomeState),ROUND(L2809*M2809,2),0)),"")</f>
        <v/>
      </c>
      <c r="Q2809" s="61" t="str">
        <f aca="false">IF(IsPro,IF($D2809="","",L2809+N2809+O2809+P2809),"")</f>
        <v/>
      </c>
      <c r="R2809" s="61" t="str">
        <f aca="false">IF(IsPro,IF($D2809="","",ROUND(N($E2809)*IFERROR(INDEX(Items!$P$5:$P$504,U2809),0),2)),"")</f>
        <v/>
      </c>
      <c r="S2809" s="61" t="str">
        <f aca="false">IF(IsPro,IF($D2809="","",L2809-R2809),"")</f>
        <v/>
      </c>
      <c r="T2809" s="60" t="str">
        <f aca="false">IF(IsPro,IF($D2809="","",IF(U2809="","UNKNOWN ITEM",IF(INDEX(Items!$O$5:$O$504,U2809)&lt;0,"NEG STOCK",IF(K2809&lt;INDEX(Items!$P$5:$P$504,U2809),"BELOW COST","OK")))),IF($D2809="","","PRO PLAN"))</f>
        <v/>
      </c>
      <c r="U2809" s="60" t="str">
        <f aca="false">IF(IsPro,IF($D2809="","",IFERROR(MATCH($D2809,Items!$A$5:$A$504,0),"")),"")</f>
        <v/>
      </c>
      <c r="V2809" s="60" t="str">
        <f aca="false">IF(IsPro,IF($C2809="","",IFERROR(MATCH($C2809,Parties!$A$5:$A$304,0),"")),"")</f>
        <v/>
      </c>
      <c r="W2809" s="60" t="str">
        <f aca="false">IF(IsPro,IF($B2809="","",IFERROR(VALUE(SUBSTITUTE($B2809,InvPrefix,"")),0)),"")</f>
        <v/>
      </c>
      <c r="X2809" s="61" t="str">
        <f aca="false">IF(IsPro,IF($D2809="","",IF(OR($H2809="",$H2809="Credit"),0,Q2809)),"")</f>
        <v/>
      </c>
    </row>
    <row r="2810" customFormat="false" ht="15" hidden="false" customHeight="false" outlineLevel="0" collapsed="false">
      <c r="A2810" s="55"/>
      <c r="B2810" s="56"/>
      <c r="C2810" s="56"/>
      <c r="D2810" s="56"/>
      <c r="E2810" s="57"/>
      <c r="F2810" s="58"/>
      <c r="G2810" s="59"/>
      <c r="H2810" s="56"/>
      <c r="I2810" s="56"/>
      <c r="J2810" s="60" t="str">
        <f aca="false">IF(IsPro,IF($D2810="","",IFERROR(INDEX(Items!$D$5:$D$504,U2810),"")),"")</f>
        <v/>
      </c>
      <c r="K2810" s="61" t="str">
        <f aca="false">IF(IsPro,IF($D2810="","",IF($F2810="",IFERROR(INDEX(Items!$H$5:$H$504,U2810),0),$F2810)),"")</f>
        <v/>
      </c>
      <c r="L2810" s="61" t="str">
        <f aca="false">IF(IsPro,IF($D2810="","",ROUND(N($E2810)*K2810*(1-N($G2810)),2)),"")</f>
        <v/>
      </c>
      <c r="M2810" s="62" t="str">
        <f aca="false">IF(IsPro,IF($D2810="","",IFERROR(INDEX(Items!$F$5:$F$504,U2810),0)),"")</f>
        <v/>
      </c>
      <c r="N2810" s="61" t="str">
        <f aca="false">IF(IsPro,IF($D2810="","",IF(AND(V2810&lt;&gt;"",INDEX(Parties!$E$5:$E$304,V2810)&lt;&gt;"",INDEX(Parties!$E$5:$E$304,V2810)&lt;&gt;HomeState),0,ROUND(L2810*M2810/2,2))),"")</f>
        <v/>
      </c>
      <c r="O2810" s="61" t="str">
        <f aca="false">IF(IsPro,IF($D2810="","",N2810),"")</f>
        <v/>
      </c>
      <c r="P2810" s="61" t="str">
        <f aca="false">IF(IsPro,IF($D2810="","",IF(AND(V2810&lt;&gt;"",INDEX(Parties!$E$5:$E$304,V2810)&lt;&gt;"",INDEX(Parties!$E$5:$E$304,V2810)&lt;&gt;HomeState),ROUND(L2810*M2810,2),0)),"")</f>
        <v/>
      </c>
      <c r="Q2810" s="61" t="str">
        <f aca="false">IF(IsPro,IF($D2810="","",L2810+N2810+O2810+P2810),"")</f>
        <v/>
      </c>
      <c r="R2810" s="61" t="str">
        <f aca="false">IF(IsPro,IF($D2810="","",ROUND(N($E2810)*IFERROR(INDEX(Items!$P$5:$P$504,U2810),0),2)),"")</f>
        <v/>
      </c>
      <c r="S2810" s="61" t="str">
        <f aca="false">IF(IsPro,IF($D2810="","",L2810-R2810),"")</f>
        <v/>
      </c>
      <c r="T2810" s="60" t="str">
        <f aca="false">IF(IsPro,IF($D2810="","",IF(U2810="","UNKNOWN ITEM",IF(INDEX(Items!$O$5:$O$504,U2810)&lt;0,"NEG STOCK",IF(K2810&lt;INDEX(Items!$P$5:$P$504,U2810),"BELOW COST","OK")))),IF($D2810="","","PRO PLAN"))</f>
        <v/>
      </c>
      <c r="U2810" s="60" t="str">
        <f aca="false">IF(IsPro,IF($D2810="","",IFERROR(MATCH($D2810,Items!$A$5:$A$504,0),"")),"")</f>
        <v/>
      </c>
      <c r="V2810" s="60" t="str">
        <f aca="false">IF(IsPro,IF($C2810="","",IFERROR(MATCH($C2810,Parties!$A$5:$A$304,0),"")),"")</f>
        <v/>
      </c>
      <c r="W2810" s="60" t="str">
        <f aca="false">IF(IsPro,IF($B2810="","",IFERROR(VALUE(SUBSTITUTE($B2810,InvPrefix,"")),0)),"")</f>
        <v/>
      </c>
      <c r="X2810" s="61" t="str">
        <f aca="false">IF(IsPro,IF($D2810="","",IF(OR($H2810="",$H2810="Credit"),0,Q2810)),"")</f>
        <v/>
      </c>
    </row>
    <row r="2811" customFormat="false" ht="15" hidden="false" customHeight="false" outlineLevel="0" collapsed="false">
      <c r="A2811" s="55"/>
      <c r="B2811" s="56"/>
      <c r="C2811" s="56"/>
      <c r="D2811" s="56"/>
      <c r="E2811" s="57"/>
      <c r="F2811" s="58"/>
      <c r="G2811" s="59"/>
      <c r="H2811" s="56"/>
      <c r="I2811" s="56"/>
      <c r="J2811" s="60" t="str">
        <f aca="false">IF(IsPro,IF($D2811="","",IFERROR(INDEX(Items!$D$5:$D$504,U2811),"")),"")</f>
        <v/>
      </c>
      <c r="K2811" s="61" t="str">
        <f aca="false">IF(IsPro,IF($D2811="","",IF($F2811="",IFERROR(INDEX(Items!$H$5:$H$504,U2811),0),$F2811)),"")</f>
        <v/>
      </c>
      <c r="L2811" s="61" t="str">
        <f aca="false">IF(IsPro,IF($D2811="","",ROUND(N($E2811)*K2811*(1-N($G2811)),2)),"")</f>
        <v/>
      </c>
      <c r="M2811" s="62" t="str">
        <f aca="false">IF(IsPro,IF($D2811="","",IFERROR(INDEX(Items!$F$5:$F$504,U2811),0)),"")</f>
        <v/>
      </c>
      <c r="N2811" s="61" t="str">
        <f aca="false">IF(IsPro,IF($D2811="","",IF(AND(V2811&lt;&gt;"",INDEX(Parties!$E$5:$E$304,V2811)&lt;&gt;"",INDEX(Parties!$E$5:$E$304,V2811)&lt;&gt;HomeState),0,ROUND(L2811*M2811/2,2))),"")</f>
        <v/>
      </c>
      <c r="O2811" s="61" t="str">
        <f aca="false">IF(IsPro,IF($D2811="","",N2811),"")</f>
        <v/>
      </c>
      <c r="P2811" s="61" t="str">
        <f aca="false">IF(IsPro,IF($D2811="","",IF(AND(V2811&lt;&gt;"",INDEX(Parties!$E$5:$E$304,V2811)&lt;&gt;"",INDEX(Parties!$E$5:$E$304,V2811)&lt;&gt;HomeState),ROUND(L2811*M2811,2),0)),"")</f>
        <v/>
      </c>
      <c r="Q2811" s="61" t="str">
        <f aca="false">IF(IsPro,IF($D2811="","",L2811+N2811+O2811+P2811),"")</f>
        <v/>
      </c>
      <c r="R2811" s="61" t="str">
        <f aca="false">IF(IsPro,IF($D2811="","",ROUND(N($E2811)*IFERROR(INDEX(Items!$P$5:$P$504,U2811),0),2)),"")</f>
        <v/>
      </c>
      <c r="S2811" s="61" t="str">
        <f aca="false">IF(IsPro,IF($D2811="","",L2811-R2811),"")</f>
        <v/>
      </c>
      <c r="T2811" s="60" t="str">
        <f aca="false">IF(IsPro,IF($D2811="","",IF(U2811="","UNKNOWN ITEM",IF(INDEX(Items!$O$5:$O$504,U2811)&lt;0,"NEG STOCK",IF(K2811&lt;INDEX(Items!$P$5:$P$504,U2811),"BELOW COST","OK")))),IF($D2811="","","PRO PLAN"))</f>
        <v/>
      </c>
      <c r="U2811" s="60" t="str">
        <f aca="false">IF(IsPro,IF($D2811="","",IFERROR(MATCH($D2811,Items!$A$5:$A$504,0),"")),"")</f>
        <v/>
      </c>
      <c r="V2811" s="60" t="str">
        <f aca="false">IF(IsPro,IF($C2811="","",IFERROR(MATCH($C2811,Parties!$A$5:$A$304,0),"")),"")</f>
        <v/>
      </c>
      <c r="W2811" s="60" t="str">
        <f aca="false">IF(IsPro,IF($B2811="","",IFERROR(VALUE(SUBSTITUTE($B2811,InvPrefix,"")),0)),"")</f>
        <v/>
      </c>
      <c r="X2811" s="61" t="str">
        <f aca="false">IF(IsPro,IF($D2811="","",IF(OR($H2811="",$H2811="Credit"),0,Q2811)),"")</f>
        <v/>
      </c>
    </row>
    <row r="2812" customFormat="false" ht="15" hidden="false" customHeight="false" outlineLevel="0" collapsed="false">
      <c r="A2812" s="55"/>
      <c r="B2812" s="56"/>
      <c r="C2812" s="56"/>
      <c r="D2812" s="56"/>
      <c r="E2812" s="57"/>
      <c r="F2812" s="58"/>
      <c r="G2812" s="59"/>
      <c r="H2812" s="56"/>
      <c r="I2812" s="56"/>
      <c r="J2812" s="60" t="str">
        <f aca="false">IF(IsPro,IF($D2812="","",IFERROR(INDEX(Items!$D$5:$D$504,U2812),"")),"")</f>
        <v/>
      </c>
      <c r="K2812" s="61" t="str">
        <f aca="false">IF(IsPro,IF($D2812="","",IF($F2812="",IFERROR(INDEX(Items!$H$5:$H$504,U2812),0),$F2812)),"")</f>
        <v/>
      </c>
      <c r="L2812" s="61" t="str">
        <f aca="false">IF(IsPro,IF($D2812="","",ROUND(N($E2812)*K2812*(1-N($G2812)),2)),"")</f>
        <v/>
      </c>
      <c r="M2812" s="62" t="str">
        <f aca="false">IF(IsPro,IF($D2812="","",IFERROR(INDEX(Items!$F$5:$F$504,U2812),0)),"")</f>
        <v/>
      </c>
      <c r="N2812" s="61" t="str">
        <f aca="false">IF(IsPro,IF($D2812="","",IF(AND(V2812&lt;&gt;"",INDEX(Parties!$E$5:$E$304,V2812)&lt;&gt;"",INDEX(Parties!$E$5:$E$304,V2812)&lt;&gt;HomeState),0,ROUND(L2812*M2812/2,2))),"")</f>
        <v/>
      </c>
      <c r="O2812" s="61" t="str">
        <f aca="false">IF(IsPro,IF($D2812="","",N2812),"")</f>
        <v/>
      </c>
      <c r="P2812" s="61" t="str">
        <f aca="false">IF(IsPro,IF($D2812="","",IF(AND(V2812&lt;&gt;"",INDEX(Parties!$E$5:$E$304,V2812)&lt;&gt;"",INDEX(Parties!$E$5:$E$304,V2812)&lt;&gt;HomeState),ROUND(L2812*M2812,2),0)),"")</f>
        <v/>
      </c>
      <c r="Q2812" s="61" t="str">
        <f aca="false">IF(IsPro,IF($D2812="","",L2812+N2812+O2812+P2812),"")</f>
        <v/>
      </c>
      <c r="R2812" s="61" t="str">
        <f aca="false">IF(IsPro,IF($D2812="","",ROUND(N($E2812)*IFERROR(INDEX(Items!$P$5:$P$504,U2812),0),2)),"")</f>
        <v/>
      </c>
      <c r="S2812" s="61" t="str">
        <f aca="false">IF(IsPro,IF($D2812="","",L2812-R2812),"")</f>
        <v/>
      </c>
      <c r="T2812" s="60" t="str">
        <f aca="false">IF(IsPro,IF($D2812="","",IF(U2812="","UNKNOWN ITEM",IF(INDEX(Items!$O$5:$O$504,U2812)&lt;0,"NEG STOCK",IF(K2812&lt;INDEX(Items!$P$5:$P$504,U2812),"BELOW COST","OK")))),IF($D2812="","","PRO PLAN"))</f>
        <v/>
      </c>
      <c r="U2812" s="60" t="str">
        <f aca="false">IF(IsPro,IF($D2812="","",IFERROR(MATCH($D2812,Items!$A$5:$A$504,0),"")),"")</f>
        <v/>
      </c>
      <c r="V2812" s="60" t="str">
        <f aca="false">IF(IsPro,IF($C2812="","",IFERROR(MATCH($C2812,Parties!$A$5:$A$304,0),"")),"")</f>
        <v/>
      </c>
      <c r="W2812" s="60" t="str">
        <f aca="false">IF(IsPro,IF($B2812="","",IFERROR(VALUE(SUBSTITUTE($B2812,InvPrefix,"")),0)),"")</f>
        <v/>
      </c>
      <c r="X2812" s="61" t="str">
        <f aca="false">IF(IsPro,IF($D2812="","",IF(OR($H2812="",$H2812="Credit"),0,Q2812)),"")</f>
        <v/>
      </c>
    </row>
    <row r="2813" customFormat="false" ht="15" hidden="false" customHeight="false" outlineLevel="0" collapsed="false">
      <c r="A2813" s="55"/>
      <c r="B2813" s="56"/>
      <c r="C2813" s="56"/>
      <c r="D2813" s="56"/>
      <c r="E2813" s="57"/>
      <c r="F2813" s="58"/>
      <c r="G2813" s="59"/>
      <c r="H2813" s="56"/>
      <c r="I2813" s="56"/>
      <c r="J2813" s="60" t="str">
        <f aca="false">IF(IsPro,IF($D2813="","",IFERROR(INDEX(Items!$D$5:$D$504,U2813),"")),"")</f>
        <v/>
      </c>
      <c r="K2813" s="61" t="str">
        <f aca="false">IF(IsPro,IF($D2813="","",IF($F2813="",IFERROR(INDEX(Items!$H$5:$H$504,U2813),0),$F2813)),"")</f>
        <v/>
      </c>
      <c r="L2813" s="61" t="str">
        <f aca="false">IF(IsPro,IF($D2813="","",ROUND(N($E2813)*K2813*(1-N($G2813)),2)),"")</f>
        <v/>
      </c>
      <c r="M2813" s="62" t="str">
        <f aca="false">IF(IsPro,IF($D2813="","",IFERROR(INDEX(Items!$F$5:$F$504,U2813),0)),"")</f>
        <v/>
      </c>
      <c r="N2813" s="61" t="str">
        <f aca="false">IF(IsPro,IF($D2813="","",IF(AND(V2813&lt;&gt;"",INDEX(Parties!$E$5:$E$304,V2813)&lt;&gt;"",INDEX(Parties!$E$5:$E$304,V2813)&lt;&gt;HomeState),0,ROUND(L2813*M2813/2,2))),"")</f>
        <v/>
      </c>
      <c r="O2813" s="61" t="str">
        <f aca="false">IF(IsPro,IF($D2813="","",N2813),"")</f>
        <v/>
      </c>
      <c r="P2813" s="61" t="str">
        <f aca="false">IF(IsPro,IF($D2813="","",IF(AND(V2813&lt;&gt;"",INDEX(Parties!$E$5:$E$304,V2813)&lt;&gt;"",INDEX(Parties!$E$5:$E$304,V2813)&lt;&gt;HomeState),ROUND(L2813*M2813,2),0)),"")</f>
        <v/>
      </c>
      <c r="Q2813" s="61" t="str">
        <f aca="false">IF(IsPro,IF($D2813="","",L2813+N2813+O2813+P2813),"")</f>
        <v/>
      </c>
      <c r="R2813" s="61" t="str">
        <f aca="false">IF(IsPro,IF($D2813="","",ROUND(N($E2813)*IFERROR(INDEX(Items!$P$5:$P$504,U2813),0),2)),"")</f>
        <v/>
      </c>
      <c r="S2813" s="61" t="str">
        <f aca="false">IF(IsPro,IF($D2813="","",L2813-R2813),"")</f>
        <v/>
      </c>
      <c r="T2813" s="60" t="str">
        <f aca="false">IF(IsPro,IF($D2813="","",IF(U2813="","UNKNOWN ITEM",IF(INDEX(Items!$O$5:$O$504,U2813)&lt;0,"NEG STOCK",IF(K2813&lt;INDEX(Items!$P$5:$P$504,U2813),"BELOW COST","OK")))),IF($D2813="","","PRO PLAN"))</f>
        <v/>
      </c>
      <c r="U2813" s="60" t="str">
        <f aca="false">IF(IsPro,IF($D2813="","",IFERROR(MATCH($D2813,Items!$A$5:$A$504,0),"")),"")</f>
        <v/>
      </c>
      <c r="V2813" s="60" t="str">
        <f aca="false">IF(IsPro,IF($C2813="","",IFERROR(MATCH($C2813,Parties!$A$5:$A$304,0),"")),"")</f>
        <v/>
      </c>
      <c r="W2813" s="60" t="str">
        <f aca="false">IF(IsPro,IF($B2813="","",IFERROR(VALUE(SUBSTITUTE($B2813,InvPrefix,"")),0)),"")</f>
        <v/>
      </c>
      <c r="X2813" s="61" t="str">
        <f aca="false">IF(IsPro,IF($D2813="","",IF(OR($H2813="",$H2813="Credit"),0,Q2813)),"")</f>
        <v/>
      </c>
    </row>
    <row r="2814" customFormat="false" ht="15" hidden="false" customHeight="false" outlineLevel="0" collapsed="false">
      <c r="A2814" s="55"/>
      <c r="B2814" s="56"/>
      <c r="C2814" s="56"/>
      <c r="D2814" s="56"/>
      <c r="E2814" s="57"/>
      <c r="F2814" s="58"/>
      <c r="G2814" s="59"/>
      <c r="H2814" s="56"/>
      <c r="I2814" s="56"/>
      <c r="J2814" s="60" t="str">
        <f aca="false">IF(IsPro,IF($D2814="","",IFERROR(INDEX(Items!$D$5:$D$504,U2814),"")),"")</f>
        <v/>
      </c>
      <c r="K2814" s="61" t="str">
        <f aca="false">IF(IsPro,IF($D2814="","",IF($F2814="",IFERROR(INDEX(Items!$H$5:$H$504,U2814),0),$F2814)),"")</f>
        <v/>
      </c>
      <c r="L2814" s="61" t="str">
        <f aca="false">IF(IsPro,IF($D2814="","",ROUND(N($E2814)*K2814*(1-N($G2814)),2)),"")</f>
        <v/>
      </c>
      <c r="M2814" s="62" t="str">
        <f aca="false">IF(IsPro,IF($D2814="","",IFERROR(INDEX(Items!$F$5:$F$504,U2814),0)),"")</f>
        <v/>
      </c>
      <c r="N2814" s="61" t="str">
        <f aca="false">IF(IsPro,IF($D2814="","",IF(AND(V2814&lt;&gt;"",INDEX(Parties!$E$5:$E$304,V2814)&lt;&gt;"",INDEX(Parties!$E$5:$E$304,V2814)&lt;&gt;HomeState),0,ROUND(L2814*M2814/2,2))),"")</f>
        <v/>
      </c>
      <c r="O2814" s="61" t="str">
        <f aca="false">IF(IsPro,IF($D2814="","",N2814),"")</f>
        <v/>
      </c>
      <c r="P2814" s="61" t="str">
        <f aca="false">IF(IsPro,IF($D2814="","",IF(AND(V2814&lt;&gt;"",INDEX(Parties!$E$5:$E$304,V2814)&lt;&gt;"",INDEX(Parties!$E$5:$E$304,V2814)&lt;&gt;HomeState),ROUND(L2814*M2814,2),0)),"")</f>
        <v/>
      </c>
      <c r="Q2814" s="61" t="str">
        <f aca="false">IF(IsPro,IF($D2814="","",L2814+N2814+O2814+P2814),"")</f>
        <v/>
      </c>
      <c r="R2814" s="61" t="str">
        <f aca="false">IF(IsPro,IF($D2814="","",ROUND(N($E2814)*IFERROR(INDEX(Items!$P$5:$P$504,U2814),0),2)),"")</f>
        <v/>
      </c>
      <c r="S2814" s="61" t="str">
        <f aca="false">IF(IsPro,IF($D2814="","",L2814-R2814),"")</f>
        <v/>
      </c>
      <c r="T2814" s="60" t="str">
        <f aca="false">IF(IsPro,IF($D2814="","",IF(U2814="","UNKNOWN ITEM",IF(INDEX(Items!$O$5:$O$504,U2814)&lt;0,"NEG STOCK",IF(K2814&lt;INDEX(Items!$P$5:$P$504,U2814),"BELOW COST","OK")))),IF($D2814="","","PRO PLAN"))</f>
        <v/>
      </c>
      <c r="U2814" s="60" t="str">
        <f aca="false">IF(IsPro,IF($D2814="","",IFERROR(MATCH($D2814,Items!$A$5:$A$504,0),"")),"")</f>
        <v/>
      </c>
      <c r="V2814" s="60" t="str">
        <f aca="false">IF(IsPro,IF($C2814="","",IFERROR(MATCH($C2814,Parties!$A$5:$A$304,0),"")),"")</f>
        <v/>
      </c>
      <c r="W2814" s="60" t="str">
        <f aca="false">IF(IsPro,IF($B2814="","",IFERROR(VALUE(SUBSTITUTE($B2814,InvPrefix,"")),0)),"")</f>
        <v/>
      </c>
      <c r="X2814" s="61" t="str">
        <f aca="false">IF(IsPro,IF($D2814="","",IF(OR($H2814="",$H2814="Credit"),0,Q2814)),"")</f>
        <v/>
      </c>
    </row>
    <row r="2815" customFormat="false" ht="15" hidden="false" customHeight="false" outlineLevel="0" collapsed="false">
      <c r="A2815" s="55"/>
      <c r="B2815" s="56"/>
      <c r="C2815" s="56"/>
      <c r="D2815" s="56"/>
      <c r="E2815" s="57"/>
      <c r="F2815" s="58"/>
      <c r="G2815" s="59"/>
      <c r="H2815" s="56"/>
      <c r="I2815" s="56"/>
      <c r="J2815" s="60" t="str">
        <f aca="false">IF(IsPro,IF($D2815="","",IFERROR(INDEX(Items!$D$5:$D$504,U2815),"")),"")</f>
        <v/>
      </c>
      <c r="K2815" s="61" t="str">
        <f aca="false">IF(IsPro,IF($D2815="","",IF($F2815="",IFERROR(INDEX(Items!$H$5:$H$504,U2815),0),$F2815)),"")</f>
        <v/>
      </c>
      <c r="L2815" s="61" t="str">
        <f aca="false">IF(IsPro,IF($D2815="","",ROUND(N($E2815)*K2815*(1-N($G2815)),2)),"")</f>
        <v/>
      </c>
      <c r="M2815" s="62" t="str">
        <f aca="false">IF(IsPro,IF($D2815="","",IFERROR(INDEX(Items!$F$5:$F$504,U2815),0)),"")</f>
        <v/>
      </c>
      <c r="N2815" s="61" t="str">
        <f aca="false">IF(IsPro,IF($D2815="","",IF(AND(V2815&lt;&gt;"",INDEX(Parties!$E$5:$E$304,V2815)&lt;&gt;"",INDEX(Parties!$E$5:$E$304,V2815)&lt;&gt;HomeState),0,ROUND(L2815*M2815/2,2))),"")</f>
        <v/>
      </c>
      <c r="O2815" s="61" t="str">
        <f aca="false">IF(IsPro,IF($D2815="","",N2815),"")</f>
        <v/>
      </c>
      <c r="P2815" s="61" t="str">
        <f aca="false">IF(IsPro,IF($D2815="","",IF(AND(V2815&lt;&gt;"",INDEX(Parties!$E$5:$E$304,V2815)&lt;&gt;"",INDEX(Parties!$E$5:$E$304,V2815)&lt;&gt;HomeState),ROUND(L2815*M2815,2),0)),"")</f>
        <v/>
      </c>
      <c r="Q2815" s="61" t="str">
        <f aca="false">IF(IsPro,IF($D2815="","",L2815+N2815+O2815+P2815),"")</f>
        <v/>
      </c>
      <c r="R2815" s="61" t="str">
        <f aca="false">IF(IsPro,IF($D2815="","",ROUND(N($E2815)*IFERROR(INDEX(Items!$P$5:$P$504,U2815),0),2)),"")</f>
        <v/>
      </c>
      <c r="S2815" s="61" t="str">
        <f aca="false">IF(IsPro,IF($D2815="","",L2815-R2815),"")</f>
        <v/>
      </c>
      <c r="T2815" s="60" t="str">
        <f aca="false">IF(IsPro,IF($D2815="","",IF(U2815="","UNKNOWN ITEM",IF(INDEX(Items!$O$5:$O$504,U2815)&lt;0,"NEG STOCK",IF(K2815&lt;INDEX(Items!$P$5:$P$504,U2815),"BELOW COST","OK")))),IF($D2815="","","PRO PLAN"))</f>
        <v/>
      </c>
      <c r="U2815" s="60" t="str">
        <f aca="false">IF(IsPro,IF($D2815="","",IFERROR(MATCH($D2815,Items!$A$5:$A$504,0),"")),"")</f>
        <v/>
      </c>
      <c r="V2815" s="60" t="str">
        <f aca="false">IF(IsPro,IF($C2815="","",IFERROR(MATCH($C2815,Parties!$A$5:$A$304,0),"")),"")</f>
        <v/>
      </c>
      <c r="W2815" s="60" t="str">
        <f aca="false">IF(IsPro,IF($B2815="","",IFERROR(VALUE(SUBSTITUTE($B2815,InvPrefix,"")),0)),"")</f>
        <v/>
      </c>
      <c r="X2815" s="61" t="str">
        <f aca="false">IF(IsPro,IF($D2815="","",IF(OR($H2815="",$H2815="Credit"),0,Q2815)),"")</f>
        <v/>
      </c>
    </row>
    <row r="2816" customFormat="false" ht="15" hidden="false" customHeight="false" outlineLevel="0" collapsed="false">
      <c r="A2816" s="55"/>
      <c r="B2816" s="56"/>
      <c r="C2816" s="56"/>
      <c r="D2816" s="56"/>
      <c r="E2816" s="57"/>
      <c r="F2816" s="58"/>
      <c r="G2816" s="59"/>
      <c r="H2816" s="56"/>
      <c r="I2816" s="56"/>
      <c r="J2816" s="60" t="str">
        <f aca="false">IF(IsPro,IF($D2816="","",IFERROR(INDEX(Items!$D$5:$D$504,U2816),"")),"")</f>
        <v/>
      </c>
      <c r="K2816" s="61" t="str">
        <f aca="false">IF(IsPro,IF($D2816="","",IF($F2816="",IFERROR(INDEX(Items!$H$5:$H$504,U2816),0),$F2816)),"")</f>
        <v/>
      </c>
      <c r="L2816" s="61" t="str">
        <f aca="false">IF(IsPro,IF($D2816="","",ROUND(N($E2816)*K2816*(1-N($G2816)),2)),"")</f>
        <v/>
      </c>
      <c r="M2816" s="62" t="str">
        <f aca="false">IF(IsPro,IF($D2816="","",IFERROR(INDEX(Items!$F$5:$F$504,U2816),0)),"")</f>
        <v/>
      </c>
      <c r="N2816" s="61" t="str">
        <f aca="false">IF(IsPro,IF($D2816="","",IF(AND(V2816&lt;&gt;"",INDEX(Parties!$E$5:$E$304,V2816)&lt;&gt;"",INDEX(Parties!$E$5:$E$304,V2816)&lt;&gt;HomeState),0,ROUND(L2816*M2816/2,2))),"")</f>
        <v/>
      </c>
      <c r="O2816" s="61" t="str">
        <f aca="false">IF(IsPro,IF($D2816="","",N2816),"")</f>
        <v/>
      </c>
      <c r="P2816" s="61" t="str">
        <f aca="false">IF(IsPro,IF($D2816="","",IF(AND(V2816&lt;&gt;"",INDEX(Parties!$E$5:$E$304,V2816)&lt;&gt;"",INDEX(Parties!$E$5:$E$304,V2816)&lt;&gt;HomeState),ROUND(L2816*M2816,2),0)),"")</f>
        <v/>
      </c>
      <c r="Q2816" s="61" t="str">
        <f aca="false">IF(IsPro,IF($D2816="","",L2816+N2816+O2816+P2816),"")</f>
        <v/>
      </c>
      <c r="R2816" s="61" t="str">
        <f aca="false">IF(IsPro,IF($D2816="","",ROUND(N($E2816)*IFERROR(INDEX(Items!$P$5:$P$504,U2816),0),2)),"")</f>
        <v/>
      </c>
      <c r="S2816" s="61" t="str">
        <f aca="false">IF(IsPro,IF($D2816="","",L2816-R2816),"")</f>
        <v/>
      </c>
      <c r="T2816" s="60" t="str">
        <f aca="false">IF(IsPro,IF($D2816="","",IF(U2816="","UNKNOWN ITEM",IF(INDEX(Items!$O$5:$O$504,U2816)&lt;0,"NEG STOCK",IF(K2816&lt;INDEX(Items!$P$5:$P$504,U2816),"BELOW COST","OK")))),IF($D2816="","","PRO PLAN"))</f>
        <v/>
      </c>
      <c r="U2816" s="60" t="str">
        <f aca="false">IF(IsPro,IF($D2816="","",IFERROR(MATCH($D2816,Items!$A$5:$A$504,0),"")),"")</f>
        <v/>
      </c>
      <c r="V2816" s="60" t="str">
        <f aca="false">IF(IsPro,IF($C2816="","",IFERROR(MATCH($C2816,Parties!$A$5:$A$304,0),"")),"")</f>
        <v/>
      </c>
      <c r="W2816" s="60" t="str">
        <f aca="false">IF(IsPro,IF($B2816="","",IFERROR(VALUE(SUBSTITUTE($B2816,InvPrefix,"")),0)),"")</f>
        <v/>
      </c>
      <c r="X2816" s="61" t="str">
        <f aca="false">IF(IsPro,IF($D2816="","",IF(OR($H2816="",$H2816="Credit"),0,Q2816)),"")</f>
        <v/>
      </c>
    </row>
    <row r="2817" customFormat="false" ht="15" hidden="false" customHeight="false" outlineLevel="0" collapsed="false">
      <c r="A2817" s="55"/>
      <c r="B2817" s="56"/>
      <c r="C2817" s="56"/>
      <c r="D2817" s="56"/>
      <c r="E2817" s="57"/>
      <c r="F2817" s="58"/>
      <c r="G2817" s="59"/>
      <c r="H2817" s="56"/>
      <c r="I2817" s="56"/>
      <c r="J2817" s="60" t="str">
        <f aca="false">IF(IsPro,IF($D2817="","",IFERROR(INDEX(Items!$D$5:$D$504,U2817),"")),"")</f>
        <v/>
      </c>
      <c r="K2817" s="61" t="str">
        <f aca="false">IF(IsPro,IF($D2817="","",IF($F2817="",IFERROR(INDEX(Items!$H$5:$H$504,U2817),0),$F2817)),"")</f>
        <v/>
      </c>
      <c r="L2817" s="61" t="str">
        <f aca="false">IF(IsPro,IF($D2817="","",ROUND(N($E2817)*K2817*(1-N($G2817)),2)),"")</f>
        <v/>
      </c>
      <c r="M2817" s="62" t="str">
        <f aca="false">IF(IsPro,IF($D2817="","",IFERROR(INDEX(Items!$F$5:$F$504,U2817),0)),"")</f>
        <v/>
      </c>
      <c r="N2817" s="61" t="str">
        <f aca="false">IF(IsPro,IF($D2817="","",IF(AND(V2817&lt;&gt;"",INDEX(Parties!$E$5:$E$304,V2817)&lt;&gt;"",INDEX(Parties!$E$5:$E$304,V2817)&lt;&gt;HomeState),0,ROUND(L2817*M2817/2,2))),"")</f>
        <v/>
      </c>
      <c r="O2817" s="61" t="str">
        <f aca="false">IF(IsPro,IF($D2817="","",N2817),"")</f>
        <v/>
      </c>
      <c r="P2817" s="61" t="str">
        <f aca="false">IF(IsPro,IF($D2817="","",IF(AND(V2817&lt;&gt;"",INDEX(Parties!$E$5:$E$304,V2817)&lt;&gt;"",INDEX(Parties!$E$5:$E$304,V2817)&lt;&gt;HomeState),ROUND(L2817*M2817,2),0)),"")</f>
        <v/>
      </c>
      <c r="Q2817" s="61" t="str">
        <f aca="false">IF(IsPro,IF($D2817="","",L2817+N2817+O2817+P2817),"")</f>
        <v/>
      </c>
      <c r="R2817" s="61" t="str">
        <f aca="false">IF(IsPro,IF($D2817="","",ROUND(N($E2817)*IFERROR(INDEX(Items!$P$5:$P$504,U2817),0),2)),"")</f>
        <v/>
      </c>
      <c r="S2817" s="61" t="str">
        <f aca="false">IF(IsPro,IF($D2817="","",L2817-R2817),"")</f>
        <v/>
      </c>
      <c r="T2817" s="60" t="str">
        <f aca="false">IF(IsPro,IF($D2817="","",IF(U2817="","UNKNOWN ITEM",IF(INDEX(Items!$O$5:$O$504,U2817)&lt;0,"NEG STOCK",IF(K2817&lt;INDEX(Items!$P$5:$P$504,U2817),"BELOW COST","OK")))),IF($D2817="","","PRO PLAN"))</f>
        <v/>
      </c>
      <c r="U2817" s="60" t="str">
        <f aca="false">IF(IsPro,IF($D2817="","",IFERROR(MATCH($D2817,Items!$A$5:$A$504,0),"")),"")</f>
        <v/>
      </c>
      <c r="V2817" s="60" t="str">
        <f aca="false">IF(IsPro,IF($C2817="","",IFERROR(MATCH($C2817,Parties!$A$5:$A$304,0),"")),"")</f>
        <v/>
      </c>
      <c r="W2817" s="60" t="str">
        <f aca="false">IF(IsPro,IF($B2817="","",IFERROR(VALUE(SUBSTITUTE($B2817,InvPrefix,"")),0)),"")</f>
        <v/>
      </c>
      <c r="X2817" s="61" t="str">
        <f aca="false">IF(IsPro,IF($D2817="","",IF(OR($H2817="",$H2817="Credit"),0,Q2817)),"")</f>
        <v/>
      </c>
    </row>
    <row r="2818" customFormat="false" ht="15" hidden="false" customHeight="false" outlineLevel="0" collapsed="false">
      <c r="A2818" s="55"/>
      <c r="B2818" s="56"/>
      <c r="C2818" s="56"/>
      <c r="D2818" s="56"/>
      <c r="E2818" s="57"/>
      <c r="F2818" s="58"/>
      <c r="G2818" s="59"/>
      <c r="H2818" s="56"/>
      <c r="I2818" s="56"/>
      <c r="J2818" s="60" t="str">
        <f aca="false">IF(IsPro,IF($D2818="","",IFERROR(INDEX(Items!$D$5:$D$504,U2818),"")),"")</f>
        <v/>
      </c>
      <c r="K2818" s="61" t="str">
        <f aca="false">IF(IsPro,IF($D2818="","",IF($F2818="",IFERROR(INDEX(Items!$H$5:$H$504,U2818),0),$F2818)),"")</f>
        <v/>
      </c>
      <c r="L2818" s="61" t="str">
        <f aca="false">IF(IsPro,IF($D2818="","",ROUND(N($E2818)*K2818*(1-N($G2818)),2)),"")</f>
        <v/>
      </c>
      <c r="M2818" s="62" t="str">
        <f aca="false">IF(IsPro,IF($D2818="","",IFERROR(INDEX(Items!$F$5:$F$504,U2818),0)),"")</f>
        <v/>
      </c>
      <c r="N2818" s="61" t="str">
        <f aca="false">IF(IsPro,IF($D2818="","",IF(AND(V2818&lt;&gt;"",INDEX(Parties!$E$5:$E$304,V2818)&lt;&gt;"",INDEX(Parties!$E$5:$E$304,V2818)&lt;&gt;HomeState),0,ROUND(L2818*M2818/2,2))),"")</f>
        <v/>
      </c>
      <c r="O2818" s="61" t="str">
        <f aca="false">IF(IsPro,IF($D2818="","",N2818),"")</f>
        <v/>
      </c>
      <c r="P2818" s="61" t="str">
        <f aca="false">IF(IsPro,IF($D2818="","",IF(AND(V2818&lt;&gt;"",INDEX(Parties!$E$5:$E$304,V2818)&lt;&gt;"",INDEX(Parties!$E$5:$E$304,V2818)&lt;&gt;HomeState),ROUND(L2818*M2818,2),0)),"")</f>
        <v/>
      </c>
      <c r="Q2818" s="61" t="str">
        <f aca="false">IF(IsPro,IF($D2818="","",L2818+N2818+O2818+P2818),"")</f>
        <v/>
      </c>
      <c r="R2818" s="61" t="str">
        <f aca="false">IF(IsPro,IF($D2818="","",ROUND(N($E2818)*IFERROR(INDEX(Items!$P$5:$P$504,U2818),0),2)),"")</f>
        <v/>
      </c>
      <c r="S2818" s="61" t="str">
        <f aca="false">IF(IsPro,IF($D2818="","",L2818-R2818),"")</f>
        <v/>
      </c>
      <c r="T2818" s="60" t="str">
        <f aca="false">IF(IsPro,IF($D2818="","",IF(U2818="","UNKNOWN ITEM",IF(INDEX(Items!$O$5:$O$504,U2818)&lt;0,"NEG STOCK",IF(K2818&lt;INDEX(Items!$P$5:$P$504,U2818),"BELOW COST","OK")))),IF($D2818="","","PRO PLAN"))</f>
        <v/>
      </c>
      <c r="U2818" s="60" t="str">
        <f aca="false">IF(IsPro,IF($D2818="","",IFERROR(MATCH($D2818,Items!$A$5:$A$504,0),"")),"")</f>
        <v/>
      </c>
      <c r="V2818" s="60" t="str">
        <f aca="false">IF(IsPro,IF($C2818="","",IFERROR(MATCH($C2818,Parties!$A$5:$A$304,0),"")),"")</f>
        <v/>
      </c>
      <c r="W2818" s="60" t="str">
        <f aca="false">IF(IsPro,IF($B2818="","",IFERROR(VALUE(SUBSTITUTE($B2818,InvPrefix,"")),0)),"")</f>
        <v/>
      </c>
      <c r="X2818" s="61" t="str">
        <f aca="false">IF(IsPro,IF($D2818="","",IF(OR($H2818="",$H2818="Credit"),0,Q2818)),"")</f>
        <v/>
      </c>
    </row>
    <row r="2819" customFormat="false" ht="15" hidden="false" customHeight="false" outlineLevel="0" collapsed="false">
      <c r="A2819" s="55"/>
      <c r="B2819" s="56"/>
      <c r="C2819" s="56"/>
      <c r="D2819" s="56"/>
      <c r="E2819" s="57"/>
      <c r="F2819" s="58"/>
      <c r="G2819" s="59"/>
      <c r="H2819" s="56"/>
      <c r="I2819" s="56"/>
      <c r="J2819" s="60" t="str">
        <f aca="false">IF(IsPro,IF($D2819="","",IFERROR(INDEX(Items!$D$5:$D$504,U2819),"")),"")</f>
        <v/>
      </c>
      <c r="K2819" s="61" t="str">
        <f aca="false">IF(IsPro,IF($D2819="","",IF($F2819="",IFERROR(INDEX(Items!$H$5:$H$504,U2819),0),$F2819)),"")</f>
        <v/>
      </c>
      <c r="L2819" s="61" t="str">
        <f aca="false">IF(IsPro,IF($D2819="","",ROUND(N($E2819)*K2819*(1-N($G2819)),2)),"")</f>
        <v/>
      </c>
      <c r="M2819" s="62" t="str">
        <f aca="false">IF(IsPro,IF($D2819="","",IFERROR(INDEX(Items!$F$5:$F$504,U2819),0)),"")</f>
        <v/>
      </c>
      <c r="N2819" s="61" t="str">
        <f aca="false">IF(IsPro,IF($D2819="","",IF(AND(V2819&lt;&gt;"",INDEX(Parties!$E$5:$E$304,V2819)&lt;&gt;"",INDEX(Parties!$E$5:$E$304,V2819)&lt;&gt;HomeState),0,ROUND(L2819*M2819/2,2))),"")</f>
        <v/>
      </c>
      <c r="O2819" s="61" t="str">
        <f aca="false">IF(IsPro,IF($D2819="","",N2819),"")</f>
        <v/>
      </c>
      <c r="P2819" s="61" t="str">
        <f aca="false">IF(IsPro,IF($D2819="","",IF(AND(V2819&lt;&gt;"",INDEX(Parties!$E$5:$E$304,V2819)&lt;&gt;"",INDEX(Parties!$E$5:$E$304,V2819)&lt;&gt;HomeState),ROUND(L2819*M2819,2),0)),"")</f>
        <v/>
      </c>
      <c r="Q2819" s="61" t="str">
        <f aca="false">IF(IsPro,IF($D2819="","",L2819+N2819+O2819+P2819),"")</f>
        <v/>
      </c>
      <c r="R2819" s="61" t="str">
        <f aca="false">IF(IsPro,IF($D2819="","",ROUND(N($E2819)*IFERROR(INDEX(Items!$P$5:$P$504,U2819),0),2)),"")</f>
        <v/>
      </c>
      <c r="S2819" s="61" t="str">
        <f aca="false">IF(IsPro,IF($D2819="","",L2819-R2819),"")</f>
        <v/>
      </c>
      <c r="T2819" s="60" t="str">
        <f aca="false">IF(IsPro,IF($D2819="","",IF(U2819="","UNKNOWN ITEM",IF(INDEX(Items!$O$5:$O$504,U2819)&lt;0,"NEG STOCK",IF(K2819&lt;INDEX(Items!$P$5:$P$504,U2819),"BELOW COST","OK")))),IF($D2819="","","PRO PLAN"))</f>
        <v/>
      </c>
      <c r="U2819" s="60" t="str">
        <f aca="false">IF(IsPro,IF($D2819="","",IFERROR(MATCH($D2819,Items!$A$5:$A$504,0),"")),"")</f>
        <v/>
      </c>
      <c r="V2819" s="60" t="str">
        <f aca="false">IF(IsPro,IF($C2819="","",IFERROR(MATCH($C2819,Parties!$A$5:$A$304,0),"")),"")</f>
        <v/>
      </c>
      <c r="W2819" s="60" t="str">
        <f aca="false">IF(IsPro,IF($B2819="","",IFERROR(VALUE(SUBSTITUTE($B2819,InvPrefix,"")),0)),"")</f>
        <v/>
      </c>
      <c r="X2819" s="61" t="str">
        <f aca="false">IF(IsPro,IF($D2819="","",IF(OR($H2819="",$H2819="Credit"),0,Q2819)),"")</f>
        <v/>
      </c>
    </row>
    <row r="2820" customFormat="false" ht="15" hidden="false" customHeight="false" outlineLevel="0" collapsed="false">
      <c r="A2820" s="55"/>
      <c r="B2820" s="56"/>
      <c r="C2820" s="56"/>
      <c r="D2820" s="56"/>
      <c r="E2820" s="57"/>
      <c r="F2820" s="58"/>
      <c r="G2820" s="59"/>
      <c r="H2820" s="56"/>
      <c r="I2820" s="56"/>
      <c r="J2820" s="60" t="str">
        <f aca="false">IF(IsPro,IF($D2820="","",IFERROR(INDEX(Items!$D$5:$D$504,U2820),"")),"")</f>
        <v/>
      </c>
      <c r="K2820" s="61" t="str">
        <f aca="false">IF(IsPro,IF($D2820="","",IF($F2820="",IFERROR(INDEX(Items!$H$5:$H$504,U2820),0),$F2820)),"")</f>
        <v/>
      </c>
      <c r="L2820" s="61" t="str">
        <f aca="false">IF(IsPro,IF($D2820="","",ROUND(N($E2820)*K2820*(1-N($G2820)),2)),"")</f>
        <v/>
      </c>
      <c r="M2820" s="62" t="str">
        <f aca="false">IF(IsPro,IF($D2820="","",IFERROR(INDEX(Items!$F$5:$F$504,U2820),0)),"")</f>
        <v/>
      </c>
      <c r="N2820" s="61" t="str">
        <f aca="false">IF(IsPro,IF($D2820="","",IF(AND(V2820&lt;&gt;"",INDEX(Parties!$E$5:$E$304,V2820)&lt;&gt;"",INDEX(Parties!$E$5:$E$304,V2820)&lt;&gt;HomeState),0,ROUND(L2820*M2820/2,2))),"")</f>
        <v/>
      </c>
      <c r="O2820" s="61" t="str">
        <f aca="false">IF(IsPro,IF($D2820="","",N2820),"")</f>
        <v/>
      </c>
      <c r="P2820" s="61" t="str">
        <f aca="false">IF(IsPro,IF($D2820="","",IF(AND(V2820&lt;&gt;"",INDEX(Parties!$E$5:$E$304,V2820)&lt;&gt;"",INDEX(Parties!$E$5:$E$304,V2820)&lt;&gt;HomeState),ROUND(L2820*M2820,2),0)),"")</f>
        <v/>
      </c>
      <c r="Q2820" s="61" t="str">
        <f aca="false">IF(IsPro,IF($D2820="","",L2820+N2820+O2820+P2820),"")</f>
        <v/>
      </c>
      <c r="R2820" s="61" t="str">
        <f aca="false">IF(IsPro,IF($D2820="","",ROUND(N($E2820)*IFERROR(INDEX(Items!$P$5:$P$504,U2820),0),2)),"")</f>
        <v/>
      </c>
      <c r="S2820" s="61" t="str">
        <f aca="false">IF(IsPro,IF($D2820="","",L2820-R2820),"")</f>
        <v/>
      </c>
      <c r="T2820" s="60" t="str">
        <f aca="false">IF(IsPro,IF($D2820="","",IF(U2820="","UNKNOWN ITEM",IF(INDEX(Items!$O$5:$O$504,U2820)&lt;0,"NEG STOCK",IF(K2820&lt;INDEX(Items!$P$5:$P$504,U2820),"BELOW COST","OK")))),IF($D2820="","","PRO PLAN"))</f>
        <v/>
      </c>
      <c r="U2820" s="60" t="str">
        <f aca="false">IF(IsPro,IF($D2820="","",IFERROR(MATCH($D2820,Items!$A$5:$A$504,0),"")),"")</f>
        <v/>
      </c>
      <c r="V2820" s="60" t="str">
        <f aca="false">IF(IsPro,IF($C2820="","",IFERROR(MATCH($C2820,Parties!$A$5:$A$304,0),"")),"")</f>
        <v/>
      </c>
      <c r="W2820" s="60" t="str">
        <f aca="false">IF(IsPro,IF($B2820="","",IFERROR(VALUE(SUBSTITUTE($B2820,InvPrefix,"")),0)),"")</f>
        <v/>
      </c>
      <c r="X2820" s="61" t="str">
        <f aca="false">IF(IsPro,IF($D2820="","",IF(OR($H2820="",$H2820="Credit"),0,Q2820)),"")</f>
        <v/>
      </c>
    </row>
    <row r="2821" customFormat="false" ht="15" hidden="false" customHeight="false" outlineLevel="0" collapsed="false">
      <c r="A2821" s="55"/>
      <c r="B2821" s="56"/>
      <c r="C2821" s="56"/>
      <c r="D2821" s="56"/>
      <c r="E2821" s="57"/>
      <c r="F2821" s="58"/>
      <c r="G2821" s="59"/>
      <c r="H2821" s="56"/>
      <c r="I2821" s="56"/>
      <c r="J2821" s="60" t="str">
        <f aca="false">IF(IsPro,IF($D2821="","",IFERROR(INDEX(Items!$D$5:$D$504,U2821),"")),"")</f>
        <v/>
      </c>
      <c r="K2821" s="61" t="str">
        <f aca="false">IF(IsPro,IF($D2821="","",IF($F2821="",IFERROR(INDEX(Items!$H$5:$H$504,U2821),0),$F2821)),"")</f>
        <v/>
      </c>
      <c r="L2821" s="61" t="str">
        <f aca="false">IF(IsPro,IF($D2821="","",ROUND(N($E2821)*K2821*(1-N($G2821)),2)),"")</f>
        <v/>
      </c>
      <c r="M2821" s="62" t="str">
        <f aca="false">IF(IsPro,IF($D2821="","",IFERROR(INDEX(Items!$F$5:$F$504,U2821),0)),"")</f>
        <v/>
      </c>
      <c r="N2821" s="61" t="str">
        <f aca="false">IF(IsPro,IF($D2821="","",IF(AND(V2821&lt;&gt;"",INDEX(Parties!$E$5:$E$304,V2821)&lt;&gt;"",INDEX(Parties!$E$5:$E$304,V2821)&lt;&gt;HomeState),0,ROUND(L2821*M2821/2,2))),"")</f>
        <v/>
      </c>
      <c r="O2821" s="61" t="str">
        <f aca="false">IF(IsPro,IF($D2821="","",N2821),"")</f>
        <v/>
      </c>
      <c r="P2821" s="61" t="str">
        <f aca="false">IF(IsPro,IF($D2821="","",IF(AND(V2821&lt;&gt;"",INDEX(Parties!$E$5:$E$304,V2821)&lt;&gt;"",INDEX(Parties!$E$5:$E$304,V2821)&lt;&gt;HomeState),ROUND(L2821*M2821,2),0)),"")</f>
        <v/>
      </c>
      <c r="Q2821" s="61" t="str">
        <f aca="false">IF(IsPro,IF($D2821="","",L2821+N2821+O2821+P2821),"")</f>
        <v/>
      </c>
      <c r="R2821" s="61" t="str">
        <f aca="false">IF(IsPro,IF($D2821="","",ROUND(N($E2821)*IFERROR(INDEX(Items!$P$5:$P$504,U2821),0),2)),"")</f>
        <v/>
      </c>
      <c r="S2821" s="61" t="str">
        <f aca="false">IF(IsPro,IF($D2821="","",L2821-R2821),"")</f>
        <v/>
      </c>
      <c r="T2821" s="60" t="str">
        <f aca="false">IF(IsPro,IF($D2821="","",IF(U2821="","UNKNOWN ITEM",IF(INDEX(Items!$O$5:$O$504,U2821)&lt;0,"NEG STOCK",IF(K2821&lt;INDEX(Items!$P$5:$P$504,U2821),"BELOW COST","OK")))),IF($D2821="","","PRO PLAN"))</f>
        <v/>
      </c>
      <c r="U2821" s="60" t="str">
        <f aca="false">IF(IsPro,IF($D2821="","",IFERROR(MATCH($D2821,Items!$A$5:$A$504,0),"")),"")</f>
        <v/>
      </c>
      <c r="V2821" s="60" t="str">
        <f aca="false">IF(IsPro,IF($C2821="","",IFERROR(MATCH($C2821,Parties!$A$5:$A$304,0),"")),"")</f>
        <v/>
      </c>
      <c r="W2821" s="60" t="str">
        <f aca="false">IF(IsPro,IF($B2821="","",IFERROR(VALUE(SUBSTITUTE($B2821,InvPrefix,"")),0)),"")</f>
        <v/>
      </c>
      <c r="X2821" s="61" t="str">
        <f aca="false">IF(IsPro,IF($D2821="","",IF(OR($H2821="",$H2821="Credit"),0,Q2821)),"")</f>
        <v/>
      </c>
    </row>
    <row r="2822" customFormat="false" ht="15" hidden="false" customHeight="false" outlineLevel="0" collapsed="false">
      <c r="A2822" s="55"/>
      <c r="B2822" s="56"/>
      <c r="C2822" s="56"/>
      <c r="D2822" s="56"/>
      <c r="E2822" s="57"/>
      <c r="F2822" s="58"/>
      <c r="G2822" s="59"/>
      <c r="H2822" s="56"/>
      <c r="I2822" s="56"/>
      <c r="J2822" s="60" t="str">
        <f aca="false">IF(IsPro,IF($D2822="","",IFERROR(INDEX(Items!$D$5:$D$504,U2822),"")),"")</f>
        <v/>
      </c>
      <c r="K2822" s="61" t="str">
        <f aca="false">IF(IsPro,IF($D2822="","",IF($F2822="",IFERROR(INDEX(Items!$H$5:$H$504,U2822),0),$F2822)),"")</f>
        <v/>
      </c>
      <c r="L2822" s="61" t="str">
        <f aca="false">IF(IsPro,IF($D2822="","",ROUND(N($E2822)*K2822*(1-N($G2822)),2)),"")</f>
        <v/>
      </c>
      <c r="M2822" s="62" t="str">
        <f aca="false">IF(IsPro,IF($D2822="","",IFERROR(INDEX(Items!$F$5:$F$504,U2822),0)),"")</f>
        <v/>
      </c>
      <c r="N2822" s="61" t="str">
        <f aca="false">IF(IsPro,IF($D2822="","",IF(AND(V2822&lt;&gt;"",INDEX(Parties!$E$5:$E$304,V2822)&lt;&gt;"",INDEX(Parties!$E$5:$E$304,V2822)&lt;&gt;HomeState),0,ROUND(L2822*M2822/2,2))),"")</f>
        <v/>
      </c>
      <c r="O2822" s="61" t="str">
        <f aca="false">IF(IsPro,IF($D2822="","",N2822),"")</f>
        <v/>
      </c>
      <c r="P2822" s="61" t="str">
        <f aca="false">IF(IsPro,IF($D2822="","",IF(AND(V2822&lt;&gt;"",INDEX(Parties!$E$5:$E$304,V2822)&lt;&gt;"",INDEX(Parties!$E$5:$E$304,V2822)&lt;&gt;HomeState),ROUND(L2822*M2822,2),0)),"")</f>
        <v/>
      </c>
      <c r="Q2822" s="61" t="str">
        <f aca="false">IF(IsPro,IF($D2822="","",L2822+N2822+O2822+P2822),"")</f>
        <v/>
      </c>
      <c r="R2822" s="61" t="str">
        <f aca="false">IF(IsPro,IF($D2822="","",ROUND(N($E2822)*IFERROR(INDEX(Items!$P$5:$P$504,U2822),0),2)),"")</f>
        <v/>
      </c>
      <c r="S2822" s="61" t="str">
        <f aca="false">IF(IsPro,IF($D2822="","",L2822-R2822),"")</f>
        <v/>
      </c>
      <c r="T2822" s="60" t="str">
        <f aca="false">IF(IsPro,IF($D2822="","",IF(U2822="","UNKNOWN ITEM",IF(INDEX(Items!$O$5:$O$504,U2822)&lt;0,"NEG STOCK",IF(K2822&lt;INDEX(Items!$P$5:$P$504,U2822),"BELOW COST","OK")))),IF($D2822="","","PRO PLAN"))</f>
        <v/>
      </c>
      <c r="U2822" s="60" t="str">
        <f aca="false">IF(IsPro,IF($D2822="","",IFERROR(MATCH($D2822,Items!$A$5:$A$504,0),"")),"")</f>
        <v/>
      </c>
      <c r="V2822" s="60" t="str">
        <f aca="false">IF(IsPro,IF($C2822="","",IFERROR(MATCH($C2822,Parties!$A$5:$A$304,0),"")),"")</f>
        <v/>
      </c>
      <c r="W2822" s="60" t="str">
        <f aca="false">IF(IsPro,IF($B2822="","",IFERROR(VALUE(SUBSTITUTE($B2822,InvPrefix,"")),0)),"")</f>
        <v/>
      </c>
      <c r="X2822" s="61" t="str">
        <f aca="false">IF(IsPro,IF($D2822="","",IF(OR($H2822="",$H2822="Credit"),0,Q2822)),"")</f>
        <v/>
      </c>
    </row>
    <row r="2823" customFormat="false" ht="15" hidden="false" customHeight="false" outlineLevel="0" collapsed="false">
      <c r="A2823" s="55"/>
      <c r="B2823" s="56"/>
      <c r="C2823" s="56"/>
      <c r="D2823" s="56"/>
      <c r="E2823" s="57"/>
      <c r="F2823" s="58"/>
      <c r="G2823" s="59"/>
      <c r="H2823" s="56"/>
      <c r="I2823" s="56"/>
      <c r="J2823" s="60" t="str">
        <f aca="false">IF(IsPro,IF($D2823="","",IFERROR(INDEX(Items!$D$5:$D$504,U2823),"")),"")</f>
        <v/>
      </c>
      <c r="K2823" s="61" t="str">
        <f aca="false">IF(IsPro,IF($D2823="","",IF($F2823="",IFERROR(INDEX(Items!$H$5:$H$504,U2823),0),$F2823)),"")</f>
        <v/>
      </c>
      <c r="L2823" s="61" t="str">
        <f aca="false">IF(IsPro,IF($D2823="","",ROUND(N($E2823)*K2823*(1-N($G2823)),2)),"")</f>
        <v/>
      </c>
      <c r="M2823" s="62" t="str">
        <f aca="false">IF(IsPro,IF($D2823="","",IFERROR(INDEX(Items!$F$5:$F$504,U2823),0)),"")</f>
        <v/>
      </c>
      <c r="N2823" s="61" t="str">
        <f aca="false">IF(IsPro,IF($D2823="","",IF(AND(V2823&lt;&gt;"",INDEX(Parties!$E$5:$E$304,V2823)&lt;&gt;"",INDEX(Parties!$E$5:$E$304,V2823)&lt;&gt;HomeState),0,ROUND(L2823*M2823/2,2))),"")</f>
        <v/>
      </c>
      <c r="O2823" s="61" t="str">
        <f aca="false">IF(IsPro,IF($D2823="","",N2823),"")</f>
        <v/>
      </c>
      <c r="P2823" s="61" t="str">
        <f aca="false">IF(IsPro,IF($D2823="","",IF(AND(V2823&lt;&gt;"",INDEX(Parties!$E$5:$E$304,V2823)&lt;&gt;"",INDEX(Parties!$E$5:$E$304,V2823)&lt;&gt;HomeState),ROUND(L2823*M2823,2),0)),"")</f>
        <v/>
      </c>
      <c r="Q2823" s="61" t="str">
        <f aca="false">IF(IsPro,IF($D2823="","",L2823+N2823+O2823+P2823),"")</f>
        <v/>
      </c>
      <c r="R2823" s="61" t="str">
        <f aca="false">IF(IsPro,IF($D2823="","",ROUND(N($E2823)*IFERROR(INDEX(Items!$P$5:$P$504,U2823),0),2)),"")</f>
        <v/>
      </c>
      <c r="S2823" s="61" t="str">
        <f aca="false">IF(IsPro,IF($D2823="","",L2823-R2823),"")</f>
        <v/>
      </c>
      <c r="T2823" s="60" t="str">
        <f aca="false">IF(IsPro,IF($D2823="","",IF(U2823="","UNKNOWN ITEM",IF(INDEX(Items!$O$5:$O$504,U2823)&lt;0,"NEG STOCK",IF(K2823&lt;INDEX(Items!$P$5:$P$504,U2823),"BELOW COST","OK")))),IF($D2823="","","PRO PLAN"))</f>
        <v/>
      </c>
      <c r="U2823" s="60" t="str">
        <f aca="false">IF(IsPro,IF($D2823="","",IFERROR(MATCH($D2823,Items!$A$5:$A$504,0),"")),"")</f>
        <v/>
      </c>
      <c r="V2823" s="60" t="str">
        <f aca="false">IF(IsPro,IF($C2823="","",IFERROR(MATCH($C2823,Parties!$A$5:$A$304,0),"")),"")</f>
        <v/>
      </c>
      <c r="W2823" s="60" t="str">
        <f aca="false">IF(IsPro,IF($B2823="","",IFERROR(VALUE(SUBSTITUTE($B2823,InvPrefix,"")),0)),"")</f>
        <v/>
      </c>
      <c r="X2823" s="61" t="str">
        <f aca="false">IF(IsPro,IF($D2823="","",IF(OR($H2823="",$H2823="Credit"),0,Q2823)),"")</f>
        <v/>
      </c>
    </row>
    <row r="2824" customFormat="false" ht="15" hidden="false" customHeight="false" outlineLevel="0" collapsed="false">
      <c r="A2824" s="55"/>
      <c r="B2824" s="56"/>
      <c r="C2824" s="56"/>
      <c r="D2824" s="56"/>
      <c r="E2824" s="57"/>
      <c r="F2824" s="58"/>
      <c r="G2824" s="59"/>
      <c r="H2824" s="56"/>
      <c r="I2824" s="56"/>
      <c r="J2824" s="60" t="str">
        <f aca="false">IF(IsPro,IF($D2824="","",IFERROR(INDEX(Items!$D$5:$D$504,U2824),"")),"")</f>
        <v/>
      </c>
      <c r="K2824" s="61" t="str">
        <f aca="false">IF(IsPro,IF($D2824="","",IF($F2824="",IFERROR(INDEX(Items!$H$5:$H$504,U2824),0),$F2824)),"")</f>
        <v/>
      </c>
      <c r="L2824" s="61" t="str">
        <f aca="false">IF(IsPro,IF($D2824="","",ROUND(N($E2824)*K2824*(1-N($G2824)),2)),"")</f>
        <v/>
      </c>
      <c r="M2824" s="62" t="str">
        <f aca="false">IF(IsPro,IF($D2824="","",IFERROR(INDEX(Items!$F$5:$F$504,U2824),0)),"")</f>
        <v/>
      </c>
      <c r="N2824" s="61" t="str">
        <f aca="false">IF(IsPro,IF($D2824="","",IF(AND(V2824&lt;&gt;"",INDEX(Parties!$E$5:$E$304,V2824)&lt;&gt;"",INDEX(Parties!$E$5:$E$304,V2824)&lt;&gt;HomeState),0,ROUND(L2824*M2824/2,2))),"")</f>
        <v/>
      </c>
      <c r="O2824" s="61" t="str">
        <f aca="false">IF(IsPro,IF($D2824="","",N2824),"")</f>
        <v/>
      </c>
      <c r="P2824" s="61" t="str">
        <f aca="false">IF(IsPro,IF($D2824="","",IF(AND(V2824&lt;&gt;"",INDEX(Parties!$E$5:$E$304,V2824)&lt;&gt;"",INDEX(Parties!$E$5:$E$304,V2824)&lt;&gt;HomeState),ROUND(L2824*M2824,2),0)),"")</f>
        <v/>
      </c>
      <c r="Q2824" s="61" t="str">
        <f aca="false">IF(IsPro,IF($D2824="","",L2824+N2824+O2824+P2824),"")</f>
        <v/>
      </c>
      <c r="R2824" s="61" t="str">
        <f aca="false">IF(IsPro,IF($D2824="","",ROUND(N($E2824)*IFERROR(INDEX(Items!$P$5:$P$504,U2824),0),2)),"")</f>
        <v/>
      </c>
      <c r="S2824" s="61" t="str">
        <f aca="false">IF(IsPro,IF($D2824="","",L2824-R2824),"")</f>
        <v/>
      </c>
      <c r="T2824" s="60" t="str">
        <f aca="false">IF(IsPro,IF($D2824="","",IF(U2824="","UNKNOWN ITEM",IF(INDEX(Items!$O$5:$O$504,U2824)&lt;0,"NEG STOCK",IF(K2824&lt;INDEX(Items!$P$5:$P$504,U2824),"BELOW COST","OK")))),IF($D2824="","","PRO PLAN"))</f>
        <v/>
      </c>
      <c r="U2824" s="60" t="str">
        <f aca="false">IF(IsPro,IF($D2824="","",IFERROR(MATCH($D2824,Items!$A$5:$A$504,0),"")),"")</f>
        <v/>
      </c>
      <c r="V2824" s="60" t="str">
        <f aca="false">IF(IsPro,IF($C2824="","",IFERROR(MATCH($C2824,Parties!$A$5:$A$304,0),"")),"")</f>
        <v/>
      </c>
      <c r="W2824" s="60" t="str">
        <f aca="false">IF(IsPro,IF($B2824="","",IFERROR(VALUE(SUBSTITUTE($B2824,InvPrefix,"")),0)),"")</f>
        <v/>
      </c>
      <c r="X2824" s="61" t="str">
        <f aca="false">IF(IsPro,IF($D2824="","",IF(OR($H2824="",$H2824="Credit"),0,Q2824)),"")</f>
        <v/>
      </c>
    </row>
    <row r="2825" customFormat="false" ht="15" hidden="false" customHeight="false" outlineLevel="0" collapsed="false">
      <c r="A2825" s="55"/>
      <c r="B2825" s="56"/>
      <c r="C2825" s="56"/>
      <c r="D2825" s="56"/>
      <c r="E2825" s="57"/>
      <c r="F2825" s="58"/>
      <c r="G2825" s="59"/>
      <c r="H2825" s="56"/>
      <c r="I2825" s="56"/>
      <c r="J2825" s="60" t="str">
        <f aca="false">IF(IsPro,IF($D2825="","",IFERROR(INDEX(Items!$D$5:$D$504,U2825),"")),"")</f>
        <v/>
      </c>
      <c r="K2825" s="61" t="str">
        <f aca="false">IF(IsPro,IF($D2825="","",IF($F2825="",IFERROR(INDEX(Items!$H$5:$H$504,U2825),0),$F2825)),"")</f>
        <v/>
      </c>
      <c r="L2825" s="61" t="str">
        <f aca="false">IF(IsPro,IF($D2825="","",ROUND(N($E2825)*K2825*(1-N($G2825)),2)),"")</f>
        <v/>
      </c>
      <c r="M2825" s="62" t="str">
        <f aca="false">IF(IsPro,IF($D2825="","",IFERROR(INDEX(Items!$F$5:$F$504,U2825),0)),"")</f>
        <v/>
      </c>
      <c r="N2825" s="61" t="str">
        <f aca="false">IF(IsPro,IF($D2825="","",IF(AND(V2825&lt;&gt;"",INDEX(Parties!$E$5:$E$304,V2825)&lt;&gt;"",INDEX(Parties!$E$5:$E$304,V2825)&lt;&gt;HomeState),0,ROUND(L2825*M2825/2,2))),"")</f>
        <v/>
      </c>
      <c r="O2825" s="61" t="str">
        <f aca="false">IF(IsPro,IF($D2825="","",N2825),"")</f>
        <v/>
      </c>
      <c r="P2825" s="61" t="str">
        <f aca="false">IF(IsPro,IF($D2825="","",IF(AND(V2825&lt;&gt;"",INDEX(Parties!$E$5:$E$304,V2825)&lt;&gt;"",INDEX(Parties!$E$5:$E$304,V2825)&lt;&gt;HomeState),ROUND(L2825*M2825,2),0)),"")</f>
        <v/>
      </c>
      <c r="Q2825" s="61" t="str">
        <f aca="false">IF(IsPro,IF($D2825="","",L2825+N2825+O2825+P2825),"")</f>
        <v/>
      </c>
      <c r="R2825" s="61" t="str">
        <f aca="false">IF(IsPro,IF($D2825="","",ROUND(N($E2825)*IFERROR(INDEX(Items!$P$5:$P$504,U2825),0),2)),"")</f>
        <v/>
      </c>
      <c r="S2825" s="61" t="str">
        <f aca="false">IF(IsPro,IF($D2825="","",L2825-R2825),"")</f>
        <v/>
      </c>
      <c r="T2825" s="60" t="str">
        <f aca="false">IF(IsPro,IF($D2825="","",IF(U2825="","UNKNOWN ITEM",IF(INDEX(Items!$O$5:$O$504,U2825)&lt;0,"NEG STOCK",IF(K2825&lt;INDEX(Items!$P$5:$P$504,U2825),"BELOW COST","OK")))),IF($D2825="","","PRO PLAN"))</f>
        <v/>
      </c>
      <c r="U2825" s="60" t="str">
        <f aca="false">IF(IsPro,IF($D2825="","",IFERROR(MATCH($D2825,Items!$A$5:$A$504,0),"")),"")</f>
        <v/>
      </c>
      <c r="V2825" s="60" t="str">
        <f aca="false">IF(IsPro,IF($C2825="","",IFERROR(MATCH($C2825,Parties!$A$5:$A$304,0),"")),"")</f>
        <v/>
      </c>
      <c r="W2825" s="60" t="str">
        <f aca="false">IF(IsPro,IF($B2825="","",IFERROR(VALUE(SUBSTITUTE($B2825,InvPrefix,"")),0)),"")</f>
        <v/>
      </c>
      <c r="X2825" s="61" t="str">
        <f aca="false">IF(IsPro,IF($D2825="","",IF(OR($H2825="",$H2825="Credit"),0,Q2825)),"")</f>
        <v/>
      </c>
    </row>
    <row r="2826" customFormat="false" ht="15" hidden="false" customHeight="false" outlineLevel="0" collapsed="false">
      <c r="A2826" s="55"/>
      <c r="B2826" s="56"/>
      <c r="C2826" s="56"/>
      <c r="D2826" s="56"/>
      <c r="E2826" s="57"/>
      <c r="F2826" s="58"/>
      <c r="G2826" s="59"/>
      <c r="H2826" s="56"/>
      <c r="I2826" s="56"/>
      <c r="J2826" s="60" t="str">
        <f aca="false">IF(IsPro,IF($D2826="","",IFERROR(INDEX(Items!$D$5:$D$504,U2826),"")),"")</f>
        <v/>
      </c>
      <c r="K2826" s="61" t="str">
        <f aca="false">IF(IsPro,IF($D2826="","",IF($F2826="",IFERROR(INDEX(Items!$H$5:$H$504,U2826),0),$F2826)),"")</f>
        <v/>
      </c>
      <c r="L2826" s="61" t="str">
        <f aca="false">IF(IsPro,IF($D2826="","",ROUND(N($E2826)*K2826*(1-N($G2826)),2)),"")</f>
        <v/>
      </c>
      <c r="M2826" s="62" t="str">
        <f aca="false">IF(IsPro,IF($D2826="","",IFERROR(INDEX(Items!$F$5:$F$504,U2826),0)),"")</f>
        <v/>
      </c>
      <c r="N2826" s="61" t="str">
        <f aca="false">IF(IsPro,IF($D2826="","",IF(AND(V2826&lt;&gt;"",INDEX(Parties!$E$5:$E$304,V2826)&lt;&gt;"",INDEX(Parties!$E$5:$E$304,V2826)&lt;&gt;HomeState),0,ROUND(L2826*M2826/2,2))),"")</f>
        <v/>
      </c>
      <c r="O2826" s="61" t="str">
        <f aca="false">IF(IsPro,IF($D2826="","",N2826),"")</f>
        <v/>
      </c>
      <c r="P2826" s="61" t="str">
        <f aca="false">IF(IsPro,IF($D2826="","",IF(AND(V2826&lt;&gt;"",INDEX(Parties!$E$5:$E$304,V2826)&lt;&gt;"",INDEX(Parties!$E$5:$E$304,V2826)&lt;&gt;HomeState),ROUND(L2826*M2826,2),0)),"")</f>
        <v/>
      </c>
      <c r="Q2826" s="61" t="str">
        <f aca="false">IF(IsPro,IF($D2826="","",L2826+N2826+O2826+P2826),"")</f>
        <v/>
      </c>
      <c r="R2826" s="61" t="str">
        <f aca="false">IF(IsPro,IF($D2826="","",ROUND(N($E2826)*IFERROR(INDEX(Items!$P$5:$P$504,U2826),0),2)),"")</f>
        <v/>
      </c>
      <c r="S2826" s="61" t="str">
        <f aca="false">IF(IsPro,IF($D2826="","",L2826-R2826),"")</f>
        <v/>
      </c>
      <c r="T2826" s="60" t="str">
        <f aca="false">IF(IsPro,IF($D2826="","",IF(U2826="","UNKNOWN ITEM",IF(INDEX(Items!$O$5:$O$504,U2826)&lt;0,"NEG STOCK",IF(K2826&lt;INDEX(Items!$P$5:$P$504,U2826),"BELOW COST","OK")))),IF($D2826="","","PRO PLAN"))</f>
        <v/>
      </c>
      <c r="U2826" s="60" t="str">
        <f aca="false">IF(IsPro,IF($D2826="","",IFERROR(MATCH($D2826,Items!$A$5:$A$504,0),"")),"")</f>
        <v/>
      </c>
      <c r="V2826" s="60" t="str">
        <f aca="false">IF(IsPro,IF($C2826="","",IFERROR(MATCH($C2826,Parties!$A$5:$A$304,0),"")),"")</f>
        <v/>
      </c>
      <c r="W2826" s="60" t="str">
        <f aca="false">IF(IsPro,IF($B2826="","",IFERROR(VALUE(SUBSTITUTE($B2826,InvPrefix,"")),0)),"")</f>
        <v/>
      </c>
      <c r="X2826" s="61" t="str">
        <f aca="false">IF(IsPro,IF($D2826="","",IF(OR($H2826="",$H2826="Credit"),0,Q2826)),"")</f>
        <v/>
      </c>
    </row>
    <row r="2827" customFormat="false" ht="15" hidden="false" customHeight="false" outlineLevel="0" collapsed="false">
      <c r="A2827" s="55"/>
      <c r="B2827" s="56"/>
      <c r="C2827" s="56"/>
      <c r="D2827" s="56"/>
      <c r="E2827" s="57"/>
      <c r="F2827" s="58"/>
      <c r="G2827" s="59"/>
      <c r="H2827" s="56"/>
      <c r="I2827" s="56"/>
      <c r="J2827" s="60" t="str">
        <f aca="false">IF(IsPro,IF($D2827="","",IFERROR(INDEX(Items!$D$5:$D$504,U2827),"")),"")</f>
        <v/>
      </c>
      <c r="K2827" s="61" t="str">
        <f aca="false">IF(IsPro,IF($D2827="","",IF($F2827="",IFERROR(INDEX(Items!$H$5:$H$504,U2827),0),$F2827)),"")</f>
        <v/>
      </c>
      <c r="L2827" s="61" t="str">
        <f aca="false">IF(IsPro,IF($D2827="","",ROUND(N($E2827)*K2827*(1-N($G2827)),2)),"")</f>
        <v/>
      </c>
      <c r="M2827" s="62" t="str">
        <f aca="false">IF(IsPro,IF($D2827="","",IFERROR(INDEX(Items!$F$5:$F$504,U2827),0)),"")</f>
        <v/>
      </c>
      <c r="N2827" s="61" t="str">
        <f aca="false">IF(IsPro,IF($D2827="","",IF(AND(V2827&lt;&gt;"",INDEX(Parties!$E$5:$E$304,V2827)&lt;&gt;"",INDEX(Parties!$E$5:$E$304,V2827)&lt;&gt;HomeState),0,ROUND(L2827*M2827/2,2))),"")</f>
        <v/>
      </c>
      <c r="O2827" s="61" t="str">
        <f aca="false">IF(IsPro,IF($D2827="","",N2827),"")</f>
        <v/>
      </c>
      <c r="P2827" s="61" t="str">
        <f aca="false">IF(IsPro,IF($D2827="","",IF(AND(V2827&lt;&gt;"",INDEX(Parties!$E$5:$E$304,V2827)&lt;&gt;"",INDEX(Parties!$E$5:$E$304,V2827)&lt;&gt;HomeState),ROUND(L2827*M2827,2),0)),"")</f>
        <v/>
      </c>
      <c r="Q2827" s="61" t="str">
        <f aca="false">IF(IsPro,IF($D2827="","",L2827+N2827+O2827+P2827),"")</f>
        <v/>
      </c>
      <c r="R2827" s="61" t="str">
        <f aca="false">IF(IsPro,IF($D2827="","",ROUND(N($E2827)*IFERROR(INDEX(Items!$P$5:$P$504,U2827),0),2)),"")</f>
        <v/>
      </c>
      <c r="S2827" s="61" t="str">
        <f aca="false">IF(IsPro,IF($D2827="","",L2827-R2827),"")</f>
        <v/>
      </c>
      <c r="T2827" s="60" t="str">
        <f aca="false">IF(IsPro,IF($D2827="","",IF(U2827="","UNKNOWN ITEM",IF(INDEX(Items!$O$5:$O$504,U2827)&lt;0,"NEG STOCK",IF(K2827&lt;INDEX(Items!$P$5:$P$504,U2827),"BELOW COST","OK")))),IF($D2827="","","PRO PLAN"))</f>
        <v/>
      </c>
      <c r="U2827" s="60" t="str">
        <f aca="false">IF(IsPro,IF($D2827="","",IFERROR(MATCH($D2827,Items!$A$5:$A$504,0),"")),"")</f>
        <v/>
      </c>
      <c r="V2827" s="60" t="str">
        <f aca="false">IF(IsPro,IF($C2827="","",IFERROR(MATCH($C2827,Parties!$A$5:$A$304,0),"")),"")</f>
        <v/>
      </c>
      <c r="W2827" s="60" t="str">
        <f aca="false">IF(IsPro,IF($B2827="","",IFERROR(VALUE(SUBSTITUTE($B2827,InvPrefix,"")),0)),"")</f>
        <v/>
      </c>
      <c r="X2827" s="61" t="str">
        <f aca="false">IF(IsPro,IF($D2827="","",IF(OR($H2827="",$H2827="Credit"),0,Q2827)),"")</f>
        <v/>
      </c>
    </row>
    <row r="2828" customFormat="false" ht="15" hidden="false" customHeight="false" outlineLevel="0" collapsed="false">
      <c r="A2828" s="55"/>
      <c r="B2828" s="56"/>
      <c r="C2828" s="56"/>
      <c r="D2828" s="56"/>
      <c r="E2828" s="57"/>
      <c r="F2828" s="58"/>
      <c r="G2828" s="59"/>
      <c r="H2828" s="56"/>
      <c r="I2828" s="56"/>
      <c r="J2828" s="60" t="str">
        <f aca="false">IF(IsPro,IF($D2828="","",IFERROR(INDEX(Items!$D$5:$D$504,U2828),"")),"")</f>
        <v/>
      </c>
      <c r="K2828" s="61" t="str">
        <f aca="false">IF(IsPro,IF($D2828="","",IF($F2828="",IFERROR(INDEX(Items!$H$5:$H$504,U2828),0),$F2828)),"")</f>
        <v/>
      </c>
      <c r="L2828" s="61" t="str">
        <f aca="false">IF(IsPro,IF($D2828="","",ROUND(N($E2828)*K2828*(1-N($G2828)),2)),"")</f>
        <v/>
      </c>
      <c r="M2828" s="62" t="str">
        <f aca="false">IF(IsPro,IF($D2828="","",IFERROR(INDEX(Items!$F$5:$F$504,U2828),0)),"")</f>
        <v/>
      </c>
      <c r="N2828" s="61" t="str">
        <f aca="false">IF(IsPro,IF($D2828="","",IF(AND(V2828&lt;&gt;"",INDEX(Parties!$E$5:$E$304,V2828)&lt;&gt;"",INDEX(Parties!$E$5:$E$304,V2828)&lt;&gt;HomeState),0,ROUND(L2828*M2828/2,2))),"")</f>
        <v/>
      </c>
      <c r="O2828" s="61" t="str">
        <f aca="false">IF(IsPro,IF($D2828="","",N2828),"")</f>
        <v/>
      </c>
      <c r="P2828" s="61" t="str">
        <f aca="false">IF(IsPro,IF($D2828="","",IF(AND(V2828&lt;&gt;"",INDEX(Parties!$E$5:$E$304,V2828)&lt;&gt;"",INDEX(Parties!$E$5:$E$304,V2828)&lt;&gt;HomeState),ROUND(L2828*M2828,2),0)),"")</f>
        <v/>
      </c>
      <c r="Q2828" s="61" t="str">
        <f aca="false">IF(IsPro,IF($D2828="","",L2828+N2828+O2828+P2828),"")</f>
        <v/>
      </c>
      <c r="R2828" s="61" t="str">
        <f aca="false">IF(IsPro,IF($D2828="","",ROUND(N($E2828)*IFERROR(INDEX(Items!$P$5:$P$504,U2828),0),2)),"")</f>
        <v/>
      </c>
      <c r="S2828" s="61" t="str">
        <f aca="false">IF(IsPro,IF($D2828="","",L2828-R2828),"")</f>
        <v/>
      </c>
      <c r="T2828" s="60" t="str">
        <f aca="false">IF(IsPro,IF($D2828="","",IF(U2828="","UNKNOWN ITEM",IF(INDEX(Items!$O$5:$O$504,U2828)&lt;0,"NEG STOCK",IF(K2828&lt;INDEX(Items!$P$5:$P$504,U2828),"BELOW COST","OK")))),IF($D2828="","","PRO PLAN"))</f>
        <v/>
      </c>
      <c r="U2828" s="60" t="str">
        <f aca="false">IF(IsPro,IF($D2828="","",IFERROR(MATCH($D2828,Items!$A$5:$A$504,0),"")),"")</f>
        <v/>
      </c>
      <c r="V2828" s="60" t="str">
        <f aca="false">IF(IsPro,IF($C2828="","",IFERROR(MATCH($C2828,Parties!$A$5:$A$304,0),"")),"")</f>
        <v/>
      </c>
      <c r="W2828" s="60" t="str">
        <f aca="false">IF(IsPro,IF($B2828="","",IFERROR(VALUE(SUBSTITUTE($B2828,InvPrefix,"")),0)),"")</f>
        <v/>
      </c>
      <c r="X2828" s="61" t="str">
        <f aca="false">IF(IsPro,IF($D2828="","",IF(OR($H2828="",$H2828="Credit"),0,Q2828)),"")</f>
        <v/>
      </c>
    </row>
    <row r="2829" customFormat="false" ht="15" hidden="false" customHeight="false" outlineLevel="0" collapsed="false">
      <c r="A2829" s="55"/>
      <c r="B2829" s="56"/>
      <c r="C2829" s="56"/>
      <c r="D2829" s="56"/>
      <c r="E2829" s="57"/>
      <c r="F2829" s="58"/>
      <c r="G2829" s="59"/>
      <c r="H2829" s="56"/>
      <c r="I2829" s="56"/>
      <c r="J2829" s="60" t="str">
        <f aca="false">IF(IsPro,IF($D2829="","",IFERROR(INDEX(Items!$D$5:$D$504,U2829),"")),"")</f>
        <v/>
      </c>
      <c r="K2829" s="61" t="str">
        <f aca="false">IF(IsPro,IF($D2829="","",IF($F2829="",IFERROR(INDEX(Items!$H$5:$H$504,U2829),0),$F2829)),"")</f>
        <v/>
      </c>
      <c r="L2829" s="61" t="str">
        <f aca="false">IF(IsPro,IF($D2829="","",ROUND(N($E2829)*K2829*(1-N($G2829)),2)),"")</f>
        <v/>
      </c>
      <c r="M2829" s="62" t="str">
        <f aca="false">IF(IsPro,IF($D2829="","",IFERROR(INDEX(Items!$F$5:$F$504,U2829),0)),"")</f>
        <v/>
      </c>
      <c r="N2829" s="61" t="str">
        <f aca="false">IF(IsPro,IF($D2829="","",IF(AND(V2829&lt;&gt;"",INDEX(Parties!$E$5:$E$304,V2829)&lt;&gt;"",INDEX(Parties!$E$5:$E$304,V2829)&lt;&gt;HomeState),0,ROUND(L2829*M2829/2,2))),"")</f>
        <v/>
      </c>
      <c r="O2829" s="61" t="str">
        <f aca="false">IF(IsPro,IF($D2829="","",N2829),"")</f>
        <v/>
      </c>
      <c r="P2829" s="61" t="str">
        <f aca="false">IF(IsPro,IF($D2829="","",IF(AND(V2829&lt;&gt;"",INDEX(Parties!$E$5:$E$304,V2829)&lt;&gt;"",INDEX(Parties!$E$5:$E$304,V2829)&lt;&gt;HomeState),ROUND(L2829*M2829,2),0)),"")</f>
        <v/>
      </c>
      <c r="Q2829" s="61" t="str">
        <f aca="false">IF(IsPro,IF($D2829="","",L2829+N2829+O2829+P2829),"")</f>
        <v/>
      </c>
      <c r="R2829" s="61" t="str">
        <f aca="false">IF(IsPro,IF($D2829="","",ROUND(N($E2829)*IFERROR(INDEX(Items!$P$5:$P$504,U2829),0),2)),"")</f>
        <v/>
      </c>
      <c r="S2829" s="61" t="str">
        <f aca="false">IF(IsPro,IF($D2829="","",L2829-R2829),"")</f>
        <v/>
      </c>
      <c r="T2829" s="60" t="str">
        <f aca="false">IF(IsPro,IF($D2829="","",IF(U2829="","UNKNOWN ITEM",IF(INDEX(Items!$O$5:$O$504,U2829)&lt;0,"NEG STOCK",IF(K2829&lt;INDEX(Items!$P$5:$P$504,U2829),"BELOW COST","OK")))),IF($D2829="","","PRO PLAN"))</f>
        <v/>
      </c>
      <c r="U2829" s="60" t="str">
        <f aca="false">IF(IsPro,IF($D2829="","",IFERROR(MATCH($D2829,Items!$A$5:$A$504,0),"")),"")</f>
        <v/>
      </c>
      <c r="V2829" s="60" t="str">
        <f aca="false">IF(IsPro,IF($C2829="","",IFERROR(MATCH($C2829,Parties!$A$5:$A$304,0),"")),"")</f>
        <v/>
      </c>
      <c r="W2829" s="60" t="str">
        <f aca="false">IF(IsPro,IF($B2829="","",IFERROR(VALUE(SUBSTITUTE($B2829,InvPrefix,"")),0)),"")</f>
        <v/>
      </c>
      <c r="X2829" s="61" t="str">
        <f aca="false">IF(IsPro,IF($D2829="","",IF(OR($H2829="",$H2829="Credit"),0,Q2829)),"")</f>
        <v/>
      </c>
    </row>
    <row r="2830" customFormat="false" ht="15" hidden="false" customHeight="false" outlineLevel="0" collapsed="false">
      <c r="A2830" s="55"/>
      <c r="B2830" s="56"/>
      <c r="C2830" s="56"/>
      <c r="D2830" s="56"/>
      <c r="E2830" s="57"/>
      <c r="F2830" s="58"/>
      <c r="G2830" s="59"/>
      <c r="H2830" s="56"/>
      <c r="I2830" s="56"/>
      <c r="J2830" s="60" t="str">
        <f aca="false">IF(IsPro,IF($D2830="","",IFERROR(INDEX(Items!$D$5:$D$504,U2830),"")),"")</f>
        <v/>
      </c>
      <c r="K2830" s="61" t="str">
        <f aca="false">IF(IsPro,IF($D2830="","",IF($F2830="",IFERROR(INDEX(Items!$H$5:$H$504,U2830),0),$F2830)),"")</f>
        <v/>
      </c>
      <c r="L2830" s="61" t="str">
        <f aca="false">IF(IsPro,IF($D2830="","",ROUND(N($E2830)*K2830*(1-N($G2830)),2)),"")</f>
        <v/>
      </c>
      <c r="M2830" s="62" t="str">
        <f aca="false">IF(IsPro,IF($D2830="","",IFERROR(INDEX(Items!$F$5:$F$504,U2830),0)),"")</f>
        <v/>
      </c>
      <c r="N2830" s="61" t="str">
        <f aca="false">IF(IsPro,IF($D2830="","",IF(AND(V2830&lt;&gt;"",INDEX(Parties!$E$5:$E$304,V2830)&lt;&gt;"",INDEX(Parties!$E$5:$E$304,V2830)&lt;&gt;HomeState),0,ROUND(L2830*M2830/2,2))),"")</f>
        <v/>
      </c>
      <c r="O2830" s="61" t="str">
        <f aca="false">IF(IsPro,IF($D2830="","",N2830),"")</f>
        <v/>
      </c>
      <c r="P2830" s="61" t="str">
        <f aca="false">IF(IsPro,IF($D2830="","",IF(AND(V2830&lt;&gt;"",INDEX(Parties!$E$5:$E$304,V2830)&lt;&gt;"",INDEX(Parties!$E$5:$E$304,V2830)&lt;&gt;HomeState),ROUND(L2830*M2830,2),0)),"")</f>
        <v/>
      </c>
      <c r="Q2830" s="61" t="str">
        <f aca="false">IF(IsPro,IF($D2830="","",L2830+N2830+O2830+P2830),"")</f>
        <v/>
      </c>
      <c r="R2830" s="61" t="str">
        <f aca="false">IF(IsPro,IF($D2830="","",ROUND(N($E2830)*IFERROR(INDEX(Items!$P$5:$P$504,U2830),0),2)),"")</f>
        <v/>
      </c>
      <c r="S2830" s="61" t="str">
        <f aca="false">IF(IsPro,IF($D2830="","",L2830-R2830),"")</f>
        <v/>
      </c>
      <c r="T2830" s="60" t="str">
        <f aca="false">IF(IsPro,IF($D2830="","",IF(U2830="","UNKNOWN ITEM",IF(INDEX(Items!$O$5:$O$504,U2830)&lt;0,"NEG STOCK",IF(K2830&lt;INDEX(Items!$P$5:$P$504,U2830),"BELOW COST","OK")))),IF($D2830="","","PRO PLAN"))</f>
        <v/>
      </c>
      <c r="U2830" s="60" t="str">
        <f aca="false">IF(IsPro,IF($D2830="","",IFERROR(MATCH($D2830,Items!$A$5:$A$504,0),"")),"")</f>
        <v/>
      </c>
      <c r="V2830" s="60" t="str">
        <f aca="false">IF(IsPro,IF($C2830="","",IFERROR(MATCH($C2830,Parties!$A$5:$A$304,0),"")),"")</f>
        <v/>
      </c>
      <c r="W2830" s="60" t="str">
        <f aca="false">IF(IsPro,IF($B2830="","",IFERROR(VALUE(SUBSTITUTE($B2830,InvPrefix,"")),0)),"")</f>
        <v/>
      </c>
      <c r="X2830" s="61" t="str">
        <f aca="false">IF(IsPro,IF($D2830="","",IF(OR($H2830="",$H2830="Credit"),0,Q2830)),"")</f>
        <v/>
      </c>
    </row>
    <row r="2831" customFormat="false" ht="15" hidden="false" customHeight="false" outlineLevel="0" collapsed="false">
      <c r="A2831" s="55"/>
      <c r="B2831" s="56"/>
      <c r="C2831" s="56"/>
      <c r="D2831" s="56"/>
      <c r="E2831" s="57"/>
      <c r="F2831" s="58"/>
      <c r="G2831" s="59"/>
      <c r="H2831" s="56"/>
      <c r="I2831" s="56"/>
      <c r="J2831" s="60" t="str">
        <f aca="false">IF(IsPro,IF($D2831="","",IFERROR(INDEX(Items!$D$5:$D$504,U2831),"")),"")</f>
        <v/>
      </c>
      <c r="K2831" s="61" t="str">
        <f aca="false">IF(IsPro,IF($D2831="","",IF($F2831="",IFERROR(INDEX(Items!$H$5:$H$504,U2831),0),$F2831)),"")</f>
        <v/>
      </c>
      <c r="L2831" s="61" t="str">
        <f aca="false">IF(IsPro,IF($D2831="","",ROUND(N($E2831)*K2831*(1-N($G2831)),2)),"")</f>
        <v/>
      </c>
      <c r="M2831" s="62" t="str">
        <f aca="false">IF(IsPro,IF($D2831="","",IFERROR(INDEX(Items!$F$5:$F$504,U2831),0)),"")</f>
        <v/>
      </c>
      <c r="N2831" s="61" t="str">
        <f aca="false">IF(IsPro,IF($D2831="","",IF(AND(V2831&lt;&gt;"",INDEX(Parties!$E$5:$E$304,V2831)&lt;&gt;"",INDEX(Parties!$E$5:$E$304,V2831)&lt;&gt;HomeState),0,ROUND(L2831*M2831/2,2))),"")</f>
        <v/>
      </c>
      <c r="O2831" s="61" t="str">
        <f aca="false">IF(IsPro,IF($D2831="","",N2831),"")</f>
        <v/>
      </c>
      <c r="P2831" s="61" t="str">
        <f aca="false">IF(IsPro,IF($D2831="","",IF(AND(V2831&lt;&gt;"",INDEX(Parties!$E$5:$E$304,V2831)&lt;&gt;"",INDEX(Parties!$E$5:$E$304,V2831)&lt;&gt;HomeState),ROUND(L2831*M2831,2),0)),"")</f>
        <v/>
      </c>
      <c r="Q2831" s="61" t="str">
        <f aca="false">IF(IsPro,IF($D2831="","",L2831+N2831+O2831+P2831),"")</f>
        <v/>
      </c>
      <c r="R2831" s="61" t="str">
        <f aca="false">IF(IsPro,IF($D2831="","",ROUND(N($E2831)*IFERROR(INDEX(Items!$P$5:$P$504,U2831),0),2)),"")</f>
        <v/>
      </c>
      <c r="S2831" s="61" t="str">
        <f aca="false">IF(IsPro,IF($D2831="","",L2831-R2831),"")</f>
        <v/>
      </c>
      <c r="T2831" s="60" t="str">
        <f aca="false">IF(IsPro,IF($D2831="","",IF(U2831="","UNKNOWN ITEM",IF(INDEX(Items!$O$5:$O$504,U2831)&lt;0,"NEG STOCK",IF(K2831&lt;INDEX(Items!$P$5:$P$504,U2831),"BELOW COST","OK")))),IF($D2831="","","PRO PLAN"))</f>
        <v/>
      </c>
      <c r="U2831" s="60" t="str">
        <f aca="false">IF(IsPro,IF($D2831="","",IFERROR(MATCH($D2831,Items!$A$5:$A$504,0),"")),"")</f>
        <v/>
      </c>
      <c r="V2831" s="60" t="str">
        <f aca="false">IF(IsPro,IF($C2831="","",IFERROR(MATCH($C2831,Parties!$A$5:$A$304,0),"")),"")</f>
        <v/>
      </c>
      <c r="W2831" s="60" t="str">
        <f aca="false">IF(IsPro,IF($B2831="","",IFERROR(VALUE(SUBSTITUTE($B2831,InvPrefix,"")),0)),"")</f>
        <v/>
      </c>
      <c r="X2831" s="61" t="str">
        <f aca="false">IF(IsPro,IF($D2831="","",IF(OR($H2831="",$H2831="Credit"),0,Q2831)),"")</f>
        <v/>
      </c>
    </row>
    <row r="2832" customFormat="false" ht="15" hidden="false" customHeight="false" outlineLevel="0" collapsed="false">
      <c r="A2832" s="55"/>
      <c r="B2832" s="56"/>
      <c r="C2832" s="56"/>
      <c r="D2832" s="56"/>
      <c r="E2832" s="57"/>
      <c r="F2832" s="58"/>
      <c r="G2832" s="59"/>
      <c r="H2832" s="56"/>
      <c r="I2832" s="56"/>
      <c r="J2832" s="60" t="str">
        <f aca="false">IF(IsPro,IF($D2832="","",IFERROR(INDEX(Items!$D$5:$D$504,U2832),"")),"")</f>
        <v/>
      </c>
      <c r="K2832" s="61" t="str">
        <f aca="false">IF(IsPro,IF($D2832="","",IF($F2832="",IFERROR(INDEX(Items!$H$5:$H$504,U2832),0),$F2832)),"")</f>
        <v/>
      </c>
      <c r="L2832" s="61" t="str">
        <f aca="false">IF(IsPro,IF($D2832="","",ROUND(N($E2832)*K2832*(1-N($G2832)),2)),"")</f>
        <v/>
      </c>
      <c r="M2832" s="62" t="str">
        <f aca="false">IF(IsPro,IF($D2832="","",IFERROR(INDEX(Items!$F$5:$F$504,U2832),0)),"")</f>
        <v/>
      </c>
      <c r="N2832" s="61" t="str">
        <f aca="false">IF(IsPro,IF($D2832="","",IF(AND(V2832&lt;&gt;"",INDEX(Parties!$E$5:$E$304,V2832)&lt;&gt;"",INDEX(Parties!$E$5:$E$304,V2832)&lt;&gt;HomeState),0,ROUND(L2832*M2832/2,2))),"")</f>
        <v/>
      </c>
      <c r="O2832" s="61" t="str">
        <f aca="false">IF(IsPro,IF($D2832="","",N2832),"")</f>
        <v/>
      </c>
      <c r="P2832" s="61" t="str">
        <f aca="false">IF(IsPro,IF($D2832="","",IF(AND(V2832&lt;&gt;"",INDEX(Parties!$E$5:$E$304,V2832)&lt;&gt;"",INDEX(Parties!$E$5:$E$304,V2832)&lt;&gt;HomeState),ROUND(L2832*M2832,2),0)),"")</f>
        <v/>
      </c>
      <c r="Q2832" s="61" t="str">
        <f aca="false">IF(IsPro,IF($D2832="","",L2832+N2832+O2832+P2832),"")</f>
        <v/>
      </c>
      <c r="R2832" s="61" t="str">
        <f aca="false">IF(IsPro,IF($D2832="","",ROUND(N($E2832)*IFERROR(INDEX(Items!$P$5:$P$504,U2832),0),2)),"")</f>
        <v/>
      </c>
      <c r="S2832" s="61" t="str">
        <f aca="false">IF(IsPro,IF($D2832="","",L2832-R2832),"")</f>
        <v/>
      </c>
      <c r="T2832" s="60" t="str">
        <f aca="false">IF(IsPro,IF($D2832="","",IF(U2832="","UNKNOWN ITEM",IF(INDEX(Items!$O$5:$O$504,U2832)&lt;0,"NEG STOCK",IF(K2832&lt;INDEX(Items!$P$5:$P$504,U2832),"BELOW COST","OK")))),IF($D2832="","","PRO PLAN"))</f>
        <v/>
      </c>
      <c r="U2832" s="60" t="str">
        <f aca="false">IF(IsPro,IF($D2832="","",IFERROR(MATCH($D2832,Items!$A$5:$A$504,0),"")),"")</f>
        <v/>
      </c>
      <c r="V2832" s="60" t="str">
        <f aca="false">IF(IsPro,IF($C2832="","",IFERROR(MATCH($C2832,Parties!$A$5:$A$304,0),"")),"")</f>
        <v/>
      </c>
      <c r="W2832" s="60" t="str">
        <f aca="false">IF(IsPro,IF($B2832="","",IFERROR(VALUE(SUBSTITUTE($B2832,InvPrefix,"")),0)),"")</f>
        <v/>
      </c>
      <c r="X2832" s="61" t="str">
        <f aca="false">IF(IsPro,IF($D2832="","",IF(OR($H2832="",$H2832="Credit"),0,Q2832)),"")</f>
        <v/>
      </c>
    </row>
    <row r="2833" customFormat="false" ht="15" hidden="false" customHeight="false" outlineLevel="0" collapsed="false">
      <c r="A2833" s="55"/>
      <c r="B2833" s="56"/>
      <c r="C2833" s="56"/>
      <c r="D2833" s="56"/>
      <c r="E2833" s="57"/>
      <c r="F2833" s="58"/>
      <c r="G2833" s="59"/>
      <c r="H2833" s="56"/>
      <c r="I2833" s="56"/>
      <c r="J2833" s="60" t="str">
        <f aca="false">IF(IsPro,IF($D2833="","",IFERROR(INDEX(Items!$D$5:$D$504,U2833),"")),"")</f>
        <v/>
      </c>
      <c r="K2833" s="61" t="str">
        <f aca="false">IF(IsPro,IF($D2833="","",IF($F2833="",IFERROR(INDEX(Items!$H$5:$H$504,U2833),0),$F2833)),"")</f>
        <v/>
      </c>
      <c r="L2833" s="61" t="str">
        <f aca="false">IF(IsPro,IF($D2833="","",ROUND(N($E2833)*K2833*(1-N($G2833)),2)),"")</f>
        <v/>
      </c>
      <c r="M2833" s="62" t="str">
        <f aca="false">IF(IsPro,IF($D2833="","",IFERROR(INDEX(Items!$F$5:$F$504,U2833),0)),"")</f>
        <v/>
      </c>
      <c r="N2833" s="61" t="str">
        <f aca="false">IF(IsPro,IF($D2833="","",IF(AND(V2833&lt;&gt;"",INDEX(Parties!$E$5:$E$304,V2833)&lt;&gt;"",INDEX(Parties!$E$5:$E$304,V2833)&lt;&gt;HomeState),0,ROUND(L2833*M2833/2,2))),"")</f>
        <v/>
      </c>
      <c r="O2833" s="61" t="str">
        <f aca="false">IF(IsPro,IF($D2833="","",N2833),"")</f>
        <v/>
      </c>
      <c r="P2833" s="61" t="str">
        <f aca="false">IF(IsPro,IF($D2833="","",IF(AND(V2833&lt;&gt;"",INDEX(Parties!$E$5:$E$304,V2833)&lt;&gt;"",INDEX(Parties!$E$5:$E$304,V2833)&lt;&gt;HomeState),ROUND(L2833*M2833,2),0)),"")</f>
        <v/>
      </c>
      <c r="Q2833" s="61" t="str">
        <f aca="false">IF(IsPro,IF($D2833="","",L2833+N2833+O2833+P2833),"")</f>
        <v/>
      </c>
      <c r="R2833" s="61" t="str">
        <f aca="false">IF(IsPro,IF($D2833="","",ROUND(N($E2833)*IFERROR(INDEX(Items!$P$5:$P$504,U2833),0),2)),"")</f>
        <v/>
      </c>
      <c r="S2833" s="61" t="str">
        <f aca="false">IF(IsPro,IF($D2833="","",L2833-R2833),"")</f>
        <v/>
      </c>
      <c r="T2833" s="60" t="str">
        <f aca="false">IF(IsPro,IF($D2833="","",IF(U2833="","UNKNOWN ITEM",IF(INDEX(Items!$O$5:$O$504,U2833)&lt;0,"NEG STOCK",IF(K2833&lt;INDEX(Items!$P$5:$P$504,U2833),"BELOW COST","OK")))),IF($D2833="","","PRO PLAN"))</f>
        <v/>
      </c>
      <c r="U2833" s="60" t="str">
        <f aca="false">IF(IsPro,IF($D2833="","",IFERROR(MATCH($D2833,Items!$A$5:$A$504,0),"")),"")</f>
        <v/>
      </c>
      <c r="V2833" s="60" t="str">
        <f aca="false">IF(IsPro,IF($C2833="","",IFERROR(MATCH($C2833,Parties!$A$5:$A$304,0),"")),"")</f>
        <v/>
      </c>
      <c r="W2833" s="60" t="str">
        <f aca="false">IF(IsPro,IF($B2833="","",IFERROR(VALUE(SUBSTITUTE($B2833,InvPrefix,"")),0)),"")</f>
        <v/>
      </c>
      <c r="X2833" s="61" t="str">
        <f aca="false">IF(IsPro,IF($D2833="","",IF(OR($H2833="",$H2833="Credit"),0,Q2833)),"")</f>
        <v/>
      </c>
    </row>
    <row r="2834" customFormat="false" ht="15" hidden="false" customHeight="false" outlineLevel="0" collapsed="false">
      <c r="A2834" s="55"/>
      <c r="B2834" s="56"/>
      <c r="C2834" s="56"/>
      <c r="D2834" s="56"/>
      <c r="E2834" s="57"/>
      <c r="F2834" s="58"/>
      <c r="G2834" s="59"/>
      <c r="H2834" s="56"/>
      <c r="I2834" s="56"/>
      <c r="J2834" s="60" t="str">
        <f aca="false">IF(IsPro,IF($D2834="","",IFERROR(INDEX(Items!$D$5:$D$504,U2834),"")),"")</f>
        <v/>
      </c>
      <c r="K2834" s="61" t="str">
        <f aca="false">IF(IsPro,IF($D2834="","",IF($F2834="",IFERROR(INDEX(Items!$H$5:$H$504,U2834),0),$F2834)),"")</f>
        <v/>
      </c>
      <c r="L2834" s="61" t="str">
        <f aca="false">IF(IsPro,IF($D2834="","",ROUND(N($E2834)*K2834*(1-N($G2834)),2)),"")</f>
        <v/>
      </c>
      <c r="M2834" s="62" t="str">
        <f aca="false">IF(IsPro,IF($D2834="","",IFERROR(INDEX(Items!$F$5:$F$504,U2834),0)),"")</f>
        <v/>
      </c>
      <c r="N2834" s="61" t="str">
        <f aca="false">IF(IsPro,IF($D2834="","",IF(AND(V2834&lt;&gt;"",INDEX(Parties!$E$5:$E$304,V2834)&lt;&gt;"",INDEX(Parties!$E$5:$E$304,V2834)&lt;&gt;HomeState),0,ROUND(L2834*M2834/2,2))),"")</f>
        <v/>
      </c>
      <c r="O2834" s="61" t="str">
        <f aca="false">IF(IsPro,IF($D2834="","",N2834),"")</f>
        <v/>
      </c>
      <c r="P2834" s="61" t="str">
        <f aca="false">IF(IsPro,IF($D2834="","",IF(AND(V2834&lt;&gt;"",INDEX(Parties!$E$5:$E$304,V2834)&lt;&gt;"",INDEX(Parties!$E$5:$E$304,V2834)&lt;&gt;HomeState),ROUND(L2834*M2834,2),0)),"")</f>
        <v/>
      </c>
      <c r="Q2834" s="61" t="str">
        <f aca="false">IF(IsPro,IF($D2834="","",L2834+N2834+O2834+P2834),"")</f>
        <v/>
      </c>
      <c r="R2834" s="61" t="str">
        <f aca="false">IF(IsPro,IF($D2834="","",ROUND(N($E2834)*IFERROR(INDEX(Items!$P$5:$P$504,U2834),0),2)),"")</f>
        <v/>
      </c>
      <c r="S2834" s="61" t="str">
        <f aca="false">IF(IsPro,IF($D2834="","",L2834-R2834),"")</f>
        <v/>
      </c>
      <c r="T2834" s="60" t="str">
        <f aca="false">IF(IsPro,IF($D2834="","",IF(U2834="","UNKNOWN ITEM",IF(INDEX(Items!$O$5:$O$504,U2834)&lt;0,"NEG STOCK",IF(K2834&lt;INDEX(Items!$P$5:$P$504,U2834),"BELOW COST","OK")))),IF($D2834="","","PRO PLAN"))</f>
        <v/>
      </c>
      <c r="U2834" s="60" t="str">
        <f aca="false">IF(IsPro,IF($D2834="","",IFERROR(MATCH($D2834,Items!$A$5:$A$504,0),"")),"")</f>
        <v/>
      </c>
      <c r="V2834" s="60" t="str">
        <f aca="false">IF(IsPro,IF($C2834="","",IFERROR(MATCH($C2834,Parties!$A$5:$A$304,0),"")),"")</f>
        <v/>
      </c>
      <c r="W2834" s="60" t="str">
        <f aca="false">IF(IsPro,IF($B2834="","",IFERROR(VALUE(SUBSTITUTE($B2834,InvPrefix,"")),0)),"")</f>
        <v/>
      </c>
      <c r="X2834" s="61" t="str">
        <f aca="false">IF(IsPro,IF($D2834="","",IF(OR($H2834="",$H2834="Credit"),0,Q2834)),"")</f>
        <v/>
      </c>
    </row>
    <row r="2835" customFormat="false" ht="15" hidden="false" customHeight="false" outlineLevel="0" collapsed="false">
      <c r="A2835" s="55"/>
      <c r="B2835" s="56"/>
      <c r="C2835" s="56"/>
      <c r="D2835" s="56"/>
      <c r="E2835" s="57"/>
      <c r="F2835" s="58"/>
      <c r="G2835" s="59"/>
      <c r="H2835" s="56"/>
      <c r="I2835" s="56"/>
      <c r="J2835" s="60" t="str">
        <f aca="false">IF(IsPro,IF($D2835="","",IFERROR(INDEX(Items!$D$5:$D$504,U2835),"")),"")</f>
        <v/>
      </c>
      <c r="K2835" s="61" t="str">
        <f aca="false">IF(IsPro,IF($D2835="","",IF($F2835="",IFERROR(INDEX(Items!$H$5:$H$504,U2835),0),$F2835)),"")</f>
        <v/>
      </c>
      <c r="L2835" s="61" t="str">
        <f aca="false">IF(IsPro,IF($D2835="","",ROUND(N($E2835)*K2835*(1-N($G2835)),2)),"")</f>
        <v/>
      </c>
      <c r="M2835" s="62" t="str">
        <f aca="false">IF(IsPro,IF($D2835="","",IFERROR(INDEX(Items!$F$5:$F$504,U2835),0)),"")</f>
        <v/>
      </c>
      <c r="N2835" s="61" t="str">
        <f aca="false">IF(IsPro,IF($D2835="","",IF(AND(V2835&lt;&gt;"",INDEX(Parties!$E$5:$E$304,V2835)&lt;&gt;"",INDEX(Parties!$E$5:$E$304,V2835)&lt;&gt;HomeState),0,ROUND(L2835*M2835/2,2))),"")</f>
        <v/>
      </c>
      <c r="O2835" s="61" t="str">
        <f aca="false">IF(IsPro,IF($D2835="","",N2835),"")</f>
        <v/>
      </c>
      <c r="P2835" s="61" t="str">
        <f aca="false">IF(IsPro,IF($D2835="","",IF(AND(V2835&lt;&gt;"",INDEX(Parties!$E$5:$E$304,V2835)&lt;&gt;"",INDEX(Parties!$E$5:$E$304,V2835)&lt;&gt;HomeState),ROUND(L2835*M2835,2),0)),"")</f>
        <v/>
      </c>
      <c r="Q2835" s="61" t="str">
        <f aca="false">IF(IsPro,IF($D2835="","",L2835+N2835+O2835+P2835),"")</f>
        <v/>
      </c>
      <c r="R2835" s="61" t="str">
        <f aca="false">IF(IsPro,IF($D2835="","",ROUND(N($E2835)*IFERROR(INDEX(Items!$P$5:$P$504,U2835),0),2)),"")</f>
        <v/>
      </c>
      <c r="S2835" s="61" t="str">
        <f aca="false">IF(IsPro,IF($D2835="","",L2835-R2835),"")</f>
        <v/>
      </c>
      <c r="T2835" s="60" t="str">
        <f aca="false">IF(IsPro,IF($D2835="","",IF(U2835="","UNKNOWN ITEM",IF(INDEX(Items!$O$5:$O$504,U2835)&lt;0,"NEG STOCK",IF(K2835&lt;INDEX(Items!$P$5:$P$504,U2835),"BELOW COST","OK")))),IF($D2835="","","PRO PLAN"))</f>
        <v/>
      </c>
      <c r="U2835" s="60" t="str">
        <f aca="false">IF(IsPro,IF($D2835="","",IFERROR(MATCH($D2835,Items!$A$5:$A$504,0),"")),"")</f>
        <v/>
      </c>
      <c r="V2835" s="60" t="str">
        <f aca="false">IF(IsPro,IF($C2835="","",IFERROR(MATCH($C2835,Parties!$A$5:$A$304,0),"")),"")</f>
        <v/>
      </c>
      <c r="W2835" s="60" t="str">
        <f aca="false">IF(IsPro,IF($B2835="","",IFERROR(VALUE(SUBSTITUTE($B2835,InvPrefix,"")),0)),"")</f>
        <v/>
      </c>
      <c r="X2835" s="61" t="str">
        <f aca="false">IF(IsPro,IF($D2835="","",IF(OR($H2835="",$H2835="Credit"),0,Q2835)),"")</f>
        <v/>
      </c>
    </row>
    <row r="2836" customFormat="false" ht="15" hidden="false" customHeight="false" outlineLevel="0" collapsed="false">
      <c r="A2836" s="55"/>
      <c r="B2836" s="56"/>
      <c r="C2836" s="56"/>
      <c r="D2836" s="56"/>
      <c r="E2836" s="57"/>
      <c r="F2836" s="58"/>
      <c r="G2836" s="59"/>
      <c r="H2836" s="56"/>
      <c r="I2836" s="56"/>
      <c r="J2836" s="60" t="str">
        <f aca="false">IF(IsPro,IF($D2836="","",IFERROR(INDEX(Items!$D$5:$D$504,U2836),"")),"")</f>
        <v/>
      </c>
      <c r="K2836" s="61" t="str">
        <f aca="false">IF(IsPro,IF($D2836="","",IF($F2836="",IFERROR(INDEX(Items!$H$5:$H$504,U2836),0),$F2836)),"")</f>
        <v/>
      </c>
      <c r="L2836" s="61" t="str">
        <f aca="false">IF(IsPro,IF($D2836="","",ROUND(N($E2836)*K2836*(1-N($G2836)),2)),"")</f>
        <v/>
      </c>
      <c r="M2836" s="62" t="str">
        <f aca="false">IF(IsPro,IF($D2836="","",IFERROR(INDEX(Items!$F$5:$F$504,U2836),0)),"")</f>
        <v/>
      </c>
      <c r="N2836" s="61" t="str">
        <f aca="false">IF(IsPro,IF($D2836="","",IF(AND(V2836&lt;&gt;"",INDEX(Parties!$E$5:$E$304,V2836)&lt;&gt;"",INDEX(Parties!$E$5:$E$304,V2836)&lt;&gt;HomeState),0,ROUND(L2836*M2836/2,2))),"")</f>
        <v/>
      </c>
      <c r="O2836" s="61" t="str">
        <f aca="false">IF(IsPro,IF($D2836="","",N2836),"")</f>
        <v/>
      </c>
      <c r="P2836" s="61" t="str">
        <f aca="false">IF(IsPro,IF($D2836="","",IF(AND(V2836&lt;&gt;"",INDEX(Parties!$E$5:$E$304,V2836)&lt;&gt;"",INDEX(Parties!$E$5:$E$304,V2836)&lt;&gt;HomeState),ROUND(L2836*M2836,2),0)),"")</f>
        <v/>
      </c>
      <c r="Q2836" s="61" t="str">
        <f aca="false">IF(IsPro,IF($D2836="","",L2836+N2836+O2836+P2836),"")</f>
        <v/>
      </c>
      <c r="R2836" s="61" t="str">
        <f aca="false">IF(IsPro,IF($D2836="","",ROUND(N($E2836)*IFERROR(INDEX(Items!$P$5:$P$504,U2836),0),2)),"")</f>
        <v/>
      </c>
      <c r="S2836" s="61" t="str">
        <f aca="false">IF(IsPro,IF($D2836="","",L2836-R2836),"")</f>
        <v/>
      </c>
      <c r="T2836" s="60" t="str">
        <f aca="false">IF(IsPro,IF($D2836="","",IF(U2836="","UNKNOWN ITEM",IF(INDEX(Items!$O$5:$O$504,U2836)&lt;0,"NEG STOCK",IF(K2836&lt;INDEX(Items!$P$5:$P$504,U2836),"BELOW COST","OK")))),IF($D2836="","","PRO PLAN"))</f>
        <v/>
      </c>
      <c r="U2836" s="60" t="str">
        <f aca="false">IF(IsPro,IF($D2836="","",IFERROR(MATCH($D2836,Items!$A$5:$A$504,0),"")),"")</f>
        <v/>
      </c>
      <c r="V2836" s="60" t="str">
        <f aca="false">IF(IsPro,IF($C2836="","",IFERROR(MATCH($C2836,Parties!$A$5:$A$304,0),"")),"")</f>
        <v/>
      </c>
      <c r="W2836" s="60" t="str">
        <f aca="false">IF(IsPro,IF($B2836="","",IFERROR(VALUE(SUBSTITUTE($B2836,InvPrefix,"")),0)),"")</f>
        <v/>
      </c>
      <c r="X2836" s="61" t="str">
        <f aca="false">IF(IsPro,IF($D2836="","",IF(OR($H2836="",$H2836="Credit"),0,Q2836)),"")</f>
        <v/>
      </c>
    </row>
    <row r="2837" customFormat="false" ht="15" hidden="false" customHeight="false" outlineLevel="0" collapsed="false">
      <c r="A2837" s="55"/>
      <c r="B2837" s="56"/>
      <c r="C2837" s="56"/>
      <c r="D2837" s="56"/>
      <c r="E2837" s="57"/>
      <c r="F2837" s="58"/>
      <c r="G2837" s="59"/>
      <c r="H2837" s="56"/>
      <c r="I2837" s="56"/>
      <c r="J2837" s="60" t="str">
        <f aca="false">IF(IsPro,IF($D2837="","",IFERROR(INDEX(Items!$D$5:$D$504,U2837),"")),"")</f>
        <v/>
      </c>
      <c r="K2837" s="61" t="str">
        <f aca="false">IF(IsPro,IF($D2837="","",IF($F2837="",IFERROR(INDEX(Items!$H$5:$H$504,U2837),0),$F2837)),"")</f>
        <v/>
      </c>
      <c r="L2837" s="61" t="str">
        <f aca="false">IF(IsPro,IF($D2837="","",ROUND(N($E2837)*K2837*(1-N($G2837)),2)),"")</f>
        <v/>
      </c>
      <c r="M2837" s="62" t="str">
        <f aca="false">IF(IsPro,IF($D2837="","",IFERROR(INDEX(Items!$F$5:$F$504,U2837),0)),"")</f>
        <v/>
      </c>
      <c r="N2837" s="61" t="str">
        <f aca="false">IF(IsPro,IF($D2837="","",IF(AND(V2837&lt;&gt;"",INDEX(Parties!$E$5:$E$304,V2837)&lt;&gt;"",INDEX(Parties!$E$5:$E$304,V2837)&lt;&gt;HomeState),0,ROUND(L2837*M2837/2,2))),"")</f>
        <v/>
      </c>
      <c r="O2837" s="61" t="str">
        <f aca="false">IF(IsPro,IF($D2837="","",N2837),"")</f>
        <v/>
      </c>
      <c r="P2837" s="61" t="str">
        <f aca="false">IF(IsPro,IF($D2837="","",IF(AND(V2837&lt;&gt;"",INDEX(Parties!$E$5:$E$304,V2837)&lt;&gt;"",INDEX(Parties!$E$5:$E$304,V2837)&lt;&gt;HomeState),ROUND(L2837*M2837,2),0)),"")</f>
        <v/>
      </c>
      <c r="Q2837" s="61" t="str">
        <f aca="false">IF(IsPro,IF($D2837="","",L2837+N2837+O2837+P2837),"")</f>
        <v/>
      </c>
      <c r="R2837" s="61" t="str">
        <f aca="false">IF(IsPro,IF($D2837="","",ROUND(N($E2837)*IFERROR(INDEX(Items!$P$5:$P$504,U2837),0),2)),"")</f>
        <v/>
      </c>
      <c r="S2837" s="61" t="str">
        <f aca="false">IF(IsPro,IF($D2837="","",L2837-R2837),"")</f>
        <v/>
      </c>
      <c r="T2837" s="60" t="str">
        <f aca="false">IF(IsPro,IF($D2837="","",IF(U2837="","UNKNOWN ITEM",IF(INDEX(Items!$O$5:$O$504,U2837)&lt;0,"NEG STOCK",IF(K2837&lt;INDEX(Items!$P$5:$P$504,U2837),"BELOW COST","OK")))),IF($D2837="","","PRO PLAN"))</f>
        <v/>
      </c>
      <c r="U2837" s="60" t="str">
        <f aca="false">IF(IsPro,IF($D2837="","",IFERROR(MATCH($D2837,Items!$A$5:$A$504,0),"")),"")</f>
        <v/>
      </c>
      <c r="V2837" s="60" t="str">
        <f aca="false">IF(IsPro,IF($C2837="","",IFERROR(MATCH($C2837,Parties!$A$5:$A$304,0),"")),"")</f>
        <v/>
      </c>
      <c r="W2837" s="60" t="str">
        <f aca="false">IF(IsPro,IF($B2837="","",IFERROR(VALUE(SUBSTITUTE($B2837,InvPrefix,"")),0)),"")</f>
        <v/>
      </c>
      <c r="X2837" s="61" t="str">
        <f aca="false">IF(IsPro,IF($D2837="","",IF(OR($H2837="",$H2837="Credit"),0,Q2837)),"")</f>
        <v/>
      </c>
    </row>
    <row r="2838" customFormat="false" ht="15" hidden="false" customHeight="false" outlineLevel="0" collapsed="false">
      <c r="A2838" s="55"/>
      <c r="B2838" s="56"/>
      <c r="C2838" s="56"/>
      <c r="D2838" s="56"/>
      <c r="E2838" s="57"/>
      <c r="F2838" s="58"/>
      <c r="G2838" s="59"/>
      <c r="H2838" s="56"/>
      <c r="I2838" s="56"/>
      <c r="J2838" s="60" t="str">
        <f aca="false">IF(IsPro,IF($D2838="","",IFERROR(INDEX(Items!$D$5:$D$504,U2838),"")),"")</f>
        <v/>
      </c>
      <c r="K2838" s="61" t="str">
        <f aca="false">IF(IsPro,IF($D2838="","",IF($F2838="",IFERROR(INDEX(Items!$H$5:$H$504,U2838),0),$F2838)),"")</f>
        <v/>
      </c>
      <c r="L2838" s="61" t="str">
        <f aca="false">IF(IsPro,IF($D2838="","",ROUND(N($E2838)*K2838*(1-N($G2838)),2)),"")</f>
        <v/>
      </c>
      <c r="M2838" s="62" t="str">
        <f aca="false">IF(IsPro,IF($D2838="","",IFERROR(INDEX(Items!$F$5:$F$504,U2838),0)),"")</f>
        <v/>
      </c>
      <c r="N2838" s="61" t="str">
        <f aca="false">IF(IsPro,IF($D2838="","",IF(AND(V2838&lt;&gt;"",INDEX(Parties!$E$5:$E$304,V2838)&lt;&gt;"",INDEX(Parties!$E$5:$E$304,V2838)&lt;&gt;HomeState),0,ROUND(L2838*M2838/2,2))),"")</f>
        <v/>
      </c>
      <c r="O2838" s="61" t="str">
        <f aca="false">IF(IsPro,IF($D2838="","",N2838),"")</f>
        <v/>
      </c>
      <c r="P2838" s="61" t="str">
        <f aca="false">IF(IsPro,IF($D2838="","",IF(AND(V2838&lt;&gt;"",INDEX(Parties!$E$5:$E$304,V2838)&lt;&gt;"",INDEX(Parties!$E$5:$E$304,V2838)&lt;&gt;HomeState),ROUND(L2838*M2838,2),0)),"")</f>
        <v/>
      </c>
      <c r="Q2838" s="61" t="str">
        <f aca="false">IF(IsPro,IF($D2838="","",L2838+N2838+O2838+P2838),"")</f>
        <v/>
      </c>
      <c r="R2838" s="61" t="str">
        <f aca="false">IF(IsPro,IF($D2838="","",ROUND(N($E2838)*IFERROR(INDEX(Items!$P$5:$P$504,U2838),0),2)),"")</f>
        <v/>
      </c>
      <c r="S2838" s="61" t="str">
        <f aca="false">IF(IsPro,IF($D2838="","",L2838-R2838),"")</f>
        <v/>
      </c>
      <c r="T2838" s="60" t="str">
        <f aca="false">IF(IsPro,IF($D2838="","",IF(U2838="","UNKNOWN ITEM",IF(INDEX(Items!$O$5:$O$504,U2838)&lt;0,"NEG STOCK",IF(K2838&lt;INDEX(Items!$P$5:$P$504,U2838),"BELOW COST","OK")))),IF($D2838="","","PRO PLAN"))</f>
        <v/>
      </c>
      <c r="U2838" s="60" t="str">
        <f aca="false">IF(IsPro,IF($D2838="","",IFERROR(MATCH($D2838,Items!$A$5:$A$504,0),"")),"")</f>
        <v/>
      </c>
      <c r="V2838" s="60" t="str">
        <f aca="false">IF(IsPro,IF($C2838="","",IFERROR(MATCH($C2838,Parties!$A$5:$A$304,0),"")),"")</f>
        <v/>
      </c>
      <c r="W2838" s="60" t="str">
        <f aca="false">IF(IsPro,IF($B2838="","",IFERROR(VALUE(SUBSTITUTE($B2838,InvPrefix,"")),0)),"")</f>
        <v/>
      </c>
      <c r="X2838" s="61" t="str">
        <f aca="false">IF(IsPro,IF($D2838="","",IF(OR($H2838="",$H2838="Credit"),0,Q2838)),"")</f>
        <v/>
      </c>
    </row>
    <row r="2839" customFormat="false" ht="15" hidden="false" customHeight="false" outlineLevel="0" collapsed="false">
      <c r="A2839" s="55"/>
      <c r="B2839" s="56"/>
      <c r="C2839" s="56"/>
      <c r="D2839" s="56"/>
      <c r="E2839" s="57"/>
      <c r="F2839" s="58"/>
      <c r="G2839" s="59"/>
      <c r="H2839" s="56"/>
      <c r="I2839" s="56"/>
      <c r="J2839" s="60" t="str">
        <f aca="false">IF(IsPro,IF($D2839="","",IFERROR(INDEX(Items!$D$5:$D$504,U2839),"")),"")</f>
        <v/>
      </c>
      <c r="K2839" s="61" t="str">
        <f aca="false">IF(IsPro,IF($D2839="","",IF($F2839="",IFERROR(INDEX(Items!$H$5:$H$504,U2839),0),$F2839)),"")</f>
        <v/>
      </c>
      <c r="L2839" s="61" t="str">
        <f aca="false">IF(IsPro,IF($D2839="","",ROUND(N($E2839)*K2839*(1-N($G2839)),2)),"")</f>
        <v/>
      </c>
      <c r="M2839" s="62" t="str">
        <f aca="false">IF(IsPro,IF($D2839="","",IFERROR(INDEX(Items!$F$5:$F$504,U2839),0)),"")</f>
        <v/>
      </c>
      <c r="N2839" s="61" t="str">
        <f aca="false">IF(IsPro,IF($D2839="","",IF(AND(V2839&lt;&gt;"",INDEX(Parties!$E$5:$E$304,V2839)&lt;&gt;"",INDEX(Parties!$E$5:$E$304,V2839)&lt;&gt;HomeState),0,ROUND(L2839*M2839/2,2))),"")</f>
        <v/>
      </c>
      <c r="O2839" s="61" t="str">
        <f aca="false">IF(IsPro,IF($D2839="","",N2839),"")</f>
        <v/>
      </c>
      <c r="P2839" s="61" t="str">
        <f aca="false">IF(IsPro,IF($D2839="","",IF(AND(V2839&lt;&gt;"",INDEX(Parties!$E$5:$E$304,V2839)&lt;&gt;"",INDEX(Parties!$E$5:$E$304,V2839)&lt;&gt;HomeState),ROUND(L2839*M2839,2),0)),"")</f>
        <v/>
      </c>
      <c r="Q2839" s="61" t="str">
        <f aca="false">IF(IsPro,IF($D2839="","",L2839+N2839+O2839+P2839),"")</f>
        <v/>
      </c>
      <c r="R2839" s="61" t="str">
        <f aca="false">IF(IsPro,IF($D2839="","",ROUND(N($E2839)*IFERROR(INDEX(Items!$P$5:$P$504,U2839),0),2)),"")</f>
        <v/>
      </c>
      <c r="S2839" s="61" t="str">
        <f aca="false">IF(IsPro,IF($D2839="","",L2839-R2839),"")</f>
        <v/>
      </c>
      <c r="T2839" s="60" t="str">
        <f aca="false">IF(IsPro,IF($D2839="","",IF(U2839="","UNKNOWN ITEM",IF(INDEX(Items!$O$5:$O$504,U2839)&lt;0,"NEG STOCK",IF(K2839&lt;INDEX(Items!$P$5:$P$504,U2839),"BELOW COST","OK")))),IF($D2839="","","PRO PLAN"))</f>
        <v/>
      </c>
      <c r="U2839" s="60" t="str">
        <f aca="false">IF(IsPro,IF($D2839="","",IFERROR(MATCH($D2839,Items!$A$5:$A$504,0),"")),"")</f>
        <v/>
      </c>
      <c r="V2839" s="60" t="str">
        <f aca="false">IF(IsPro,IF($C2839="","",IFERROR(MATCH($C2839,Parties!$A$5:$A$304,0),"")),"")</f>
        <v/>
      </c>
      <c r="W2839" s="60" t="str">
        <f aca="false">IF(IsPro,IF($B2839="","",IFERROR(VALUE(SUBSTITUTE($B2839,InvPrefix,"")),0)),"")</f>
        <v/>
      </c>
      <c r="X2839" s="61" t="str">
        <f aca="false">IF(IsPro,IF($D2839="","",IF(OR($H2839="",$H2839="Credit"),0,Q2839)),"")</f>
        <v/>
      </c>
    </row>
    <row r="2840" customFormat="false" ht="15" hidden="false" customHeight="false" outlineLevel="0" collapsed="false">
      <c r="A2840" s="55"/>
      <c r="B2840" s="56"/>
      <c r="C2840" s="56"/>
      <c r="D2840" s="56"/>
      <c r="E2840" s="57"/>
      <c r="F2840" s="58"/>
      <c r="G2840" s="59"/>
      <c r="H2840" s="56"/>
      <c r="I2840" s="56"/>
      <c r="J2840" s="60" t="str">
        <f aca="false">IF(IsPro,IF($D2840="","",IFERROR(INDEX(Items!$D$5:$D$504,U2840),"")),"")</f>
        <v/>
      </c>
      <c r="K2840" s="61" t="str">
        <f aca="false">IF(IsPro,IF($D2840="","",IF($F2840="",IFERROR(INDEX(Items!$H$5:$H$504,U2840),0),$F2840)),"")</f>
        <v/>
      </c>
      <c r="L2840" s="61" t="str">
        <f aca="false">IF(IsPro,IF($D2840="","",ROUND(N($E2840)*K2840*(1-N($G2840)),2)),"")</f>
        <v/>
      </c>
      <c r="M2840" s="62" t="str">
        <f aca="false">IF(IsPro,IF($D2840="","",IFERROR(INDEX(Items!$F$5:$F$504,U2840),0)),"")</f>
        <v/>
      </c>
      <c r="N2840" s="61" t="str">
        <f aca="false">IF(IsPro,IF($D2840="","",IF(AND(V2840&lt;&gt;"",INDEX(Parties!$E$5:$E$304,V2840)&lt;&gt;"",INDEX(Parties!$E$5:$E$304,V2840)&lt;&gt;HomeState),0,ROUND(L2840*M2840/2,2))),"")</f>
        <v/>
      </c>
      <c r="O2840" s="61" t="str">
        <f aca="false">IF(IsPro,IF($D2840="","",N2840),"")</f>
        <v/>
      </c>
      <c r="P2840" s="61" t="str">
        <f aca="false">IF(IsPro,IF($D2840="","",IF(AND(V2840&lt;&gt;"",INDEX(Parties!$E$5:$E$304,V2840)&lt;&gt;"",INDEX(Parties!$E$5:$E$304,V2840)&lt;&gt;HomeState),ROUND(L2840*M2840,2),0)),"")</f>
        <v/>
      </c>
      <c r="Q2840" s="61" t="str">
        <f aca="false">IF(IsPro,IF($D2840="","",L2840+N2840+O2840+P2840),"")</f>
        <v/>
      </c>
      <c r="R2840" s="61" t="str">
        <f aca="false">IF(IsPro,IF($D2840="","",ROUND(N($E2840)*IFERROR(INDEX(Items!$P$5:$P$504,U2840),0),2)),"")</f>
        <v/>
      </c>
      <c r="S2840" s="61" t="str">
        <f aca="false">IF(IsPro,IF($D2840="","",L2840-R2840),"")</f>
        <v/>
      </c>
      <c r="T2840" s="60" t="str">
        <f aca="false">IF(IsPro,IF($D2840="","",IF(U2840="","UNKNOWN ITEM",IF(INDEX(Items!$O$5:$O$504,U2840)&lt;0,"NEG STOCK",IF(K2840&lt;INDEX(Items!$P$5:$P$504,U2840),"BELOW COST","OK")))),IF($D2840="","","PRO PLAN"))</f>
        <v/>
      </c>
      <c r="U2840" s="60" t="str">
        <f aca="false">IF(IsPro,IF($D2840="","",IFERROR(MATCH($D2840,Items!$A$5:$A$504,0),"")),"")</f>
        <v/>
      </c>
      <c r="V2840" s="60" t="str">
        <f aca="false">IF(IsPro,IF($C2840="","",IFERROR(MATCH($C2840,Parties!$A$5:$A$304,0),"")),"")</f>
        <v/>
      </c>
      <c r="W2840" s="60" t="str">
        <f aca="false">IF(IsPro,IF($B2840="","",IFERROR(VALUE(SUBSTITUTE($B2840,InvPrefix,"")),0)),"")</f>
        <v/>
      </c>
      <c r="X2840" s="61" t="str">
        <f aca="false">IF(IsPro,IF($D2840="","",IF(OR($H2840="",$H2840="Credit"),0,Q2840)),"")</f>
        <v/>
      </c>
    </row>
    <row r="2841" customFormat="false" ht="15" hidden="false" customHeight="false" outlineLevel="0" collapsed="false">
      <c r="A2841" s="55"/>
      <c r="B2841" s="56"/>
      <c r="C2841" s="56"/>
      <c r="D2841" s="56"/>
      <c r="E2841" s="57"/>
      <c r="F2841" s="58"/>
      <c r="G2841" s="59"/>
      <c r="H2841" s="56"/>
      <c r="I2841" s="56"/>
      <c r="J2841" s="60" t="str">
        <f aca="false">IF(IsPro,IF($D2841="","",IFERROR(INDEX(Items!$D$5:$D$504,U2841),"")),"")</f>
        <v/>
      </c>
      <c r="K2841" s="61" t="str">
        <f aca="false">IF(IsPro,IF($D2841="","",IF($F2841="",IFERROR(INDEX(Items!$H$5:$H$504,U2841),0),$F2841)),"")</f>
        <v/>
      </c>
      <c r="L2841" s="61" t="str">
        <f aca="false">IF(IsPro,IF($D2841="","",ROUND(N($E2841)*K2841*(1-N($G2841)),2)),"")</f>
        <v/>
      </c>
      <c r="M2841" s="62" t="str">
        <f aca="false">IF(IsPro,IF($D2841="","",IFERROR(INDEX(Items!$F$5:$F$504,U2841),0)),"")</f>
        <v/>
      </c>
      <c r="N2841" s="61" t="str">
        <f aca="false">IF(IsPro,IF($D2841="","",IF(AND(V2841&lt;&gt;"",INDEX(Parties!$E$5:$E$304,V2841)&lt;&gt;"",INDEX(Parties!$E$5:$E$304,V2841)&lt;&gt;HomeState),0,ROUND(L2841*M2841/2,2))),"")</f>
        <v/>
      </c>
      <c r="O2841" s="61" t="str">
        <f aca="false">IF(IsPro,IF($D2841="","",N2841),"")</f>
        <v/>
      </c>
      <c r="P2841" s="61" t="str">
        <f aca="false">IF(IsPro,IF($D2841="","",IF(AND(V2841&lt;&gt;"",INDEX(Parties!$E$5:$E$304,V2841)&lt;&gt;"",INDEX(Parties!$E$5:$E$304,V2841)&lt;&gt;HomeState),ROUND(L2841*M2841,2),0)),"")</f>
        <v/>
      </c>
      <c r="Q2841" s="61" t="str">
        <f aca="false">IF(IsPro,IF($D2841="","",L2841+N2841+O2841+P2841),"")</f>
        <v/>
      </c>
      <c r="R2841" s="61" t="str">
        <f aca="false">IF(IsPro,IF($D2841="","",ROUND(N($E2841)*IFERROR(INDEX(Items!$P$5:$P$504,U2841),0),2)),"")</f>
        <v/>
      </c>
      <c r="S2841" s="61" t="str">
        <f aca="false">IF(IsPro,IF($D2841="","",L2841-R2841),"")</f>
        <v/>
      </c>
      <c r="T2841" s="60" t="str">
        <f aca="false">IF(IsPro,IF($D2841="","",IF(U2841="","UNKNOWN ITEM",IF(INDEX(Items!$O$5:$O$504,U2841)&lt;0,"NEG STOCK",IF(K2841&lt;INDEX(Items!$P$5:$P$504,U2841),"BELOW COST","OK")))),IF($D2841="","","PRO PLAN"))</f>
        <v/>
      </c>
      <c r="U2841" s="60" t="str">
        <f aca="false">IF(IsPro,IF($D2841="","",IFERROR(MATCH($D2841,Items!$A$5:$A$504,0),"")),"")</f>
        <v/>
      </c>
      <c r="V2841" s="60" t="str">
        <f aca="false">IF(IsPro,IF($C2841="","",IFERROR(MATCH($C2841,Parties!$A$5:$A$304,0),"")),"")</f>
        <v/>
      </c>
      <c r="W2841" s="60" t="str">
        <f aca="false">IF(IsPro,IF($B2841="","",IFERROR(VALUE(SUBSTITUTE($B2841,InvPrefix,"")),0)),"")</f>
        <v/>
      </c>
      <c r="X2841" s="61" t="str">
        <f aca="false">IF(IsPro,IF($D2841="","",IF(OR($H2841="",$H2841="Credit"),0,Q2841)),"")</f>
        <v/>
      </c>
    </row>
    <row r="2842" customFormat="false" ht="15" hidden="false" customHeight="false" outlineLevel="0" collapsed="false">
      <c r="A2842" s="55"/>
      <c r="B2842" s="56"/>
      <c r="C2842" s="56"/>
      <c r="D2842" s="56"/>
      <c r="E2842" s="57"/>
      <c r="F2842" s="58"/>
      <c r="G2842" s="59"/>
      <c r="H2842" s="56"/>
      <c r="I2842" s="56"/>
      <c r="J2842" s="60" t="str">
        <f aca="false">IF(IsPro,IF($D2842="","",IFERROR(INDEX(Items!$D$5:$D$504,U2842),"")),"")</f>
        <v/>
      </c>
      <c r="K2842" s="61" t="str">
        <f aca="false">IF(IsPro,IF($D2842="","",IF($F2842="",IFERROR(INDEX(Items!$H$5:$H$504,U2842),0),$F2842)),"")</f>
        <v/>
      </c>
      <c r="L2842" s="61" t="str">
        <f aca="false">IF(IsPro,IF($D2842="","",ROUND(N($E2842)*K2842*(1-N($G2842)),2)),"")</f>
        <v/>
      </c>
      <c r="M2842" s="62" t="str">
        <f aca="false">IF(IsPro,IF($D2842="","",IFERROR(INDEX(Items!$F$5:$F$504,U2842),0)),"")</f>
        <v/>
      </c>
      <c r="N2842" s="61" t="str">
        <f aca="false">IF(IsPro,IF($D2842="","",IF(AND(V2842&lt;&gt;"",INDEX(Parties!$E$5:$E$304,V2842)&lt;&gt;"",INDEX(Parties!$E$5:$E$304,V2842)&lt;&gt;HomeState),0,ROUND(L2842*M2842/2,2))),"")</f>
        <v/>
      </c>
      <c r="O2842" s="61" t="str">
        <f aca="false">IF(IsPro,IF($D2842="","",N2842),"")</f>
        <v/>
      </c>
      <c r="P2842" s="61" t="str">
        <f aca="false">IF(IsPro,IF($D2842="","",IF(AND(V2842&lt;&gt;"",INDEX(Parties!$E$5:$E$304,V2842)&lt;&gt;"",INDEX(Parties!$E$5:$E$304,V2842)&lt;&gt;HomeState),ROUND(L2842*M2842,2),0)),"")</f>
        <v/>
      </c>
      <c r="Q2842" s="61" t="str">
        <f aca="false">IF(IsPro,IF($D2842="","",L2842+N2842+O2842+P2842),"")</f>
        <v/>
      </c>
      <c r="R2842" s="61" t="str">
        <f aca="false">IF(IsPro,IF($D2842="","",ROUND(N($E2842)*IFERROR(INDEX(Items!$P$5:$P$504,U2842),0),2)),"")</f>
        <v/>
      </c>
      <c r="S2842" s="61" t="str">
        <f aca="false">IF(IsPro,IF($D2842="","",L2842-R2842),"")</f>
        <v/>
      </c>
      <c r="T2842" s="60" t="str">
        <f aca="false">IF(IsPro,IF($D2842="","",IF(U2842="","UNKNOWN ITEM",IF(INDEX(Items!$O$5:$O$504,U2842)&lt;0,"NEG STOCK",IF(K2842&lt;INDEX(Items!$P$5:$P$504,U2842),"BELOW COST","OK")))),IF($D2842="","","PRO PLAN"))</f>
        <v/>
      </c>
      <c r="U2842" s="60" t="str">
        <f aca="false">IF(IsPro,IF($D2842="","",IFERROR(MATCH($D2842,Items!$A$5:$A$504,0),"")),"")</f>
        <v/>
      </c>
      <c r="V2842" s="60" t="str">
        <f aca="false">IF(IsPro,IF($C2842="","",IFERROR(MATCH($C2842,Parties!$A$5:$A$304,0),"")),"")</f>
        <v/>
      </c>
      <c r="W2842" s="60" t="str">
        <f aca="false">IF(IsPro,IF($B2842="","",IFERROR(VALUE(SUBSTITUTE($B2842,InvPrefix,"")),0)),"")</f>
        <v/>
      </c>
      <c r="X2842" s="61" t="str">
        <f aca="false">IF(IsPro,IF($D2842="","",IF(OR($H2842="",$H2842="Credit"),0,Q2842)),"")</f>
        <v/>
      </c>
    </row>
    <row r="2843" customFormat="false" ht="15" hidden="false" customHeight="false" outlineLevel="0" collapsed="false">
      <c r="A2843" s="55"/>
      <c r="B2843" s="56"/>
      <c r="C2843" s="56"/>
      <c r="D2843" s="56"/>
      <c r="E2843" s="57"/>
      <c r="F2843" s="58"/>
      <c r="G2843" s="59"/>
      <c r="H2843" s="56"/>
      <c r="I2843" s="56"/>
      <c r="J2843" s="60" t="str">
        <f aca="false">IF(IsPro,IF($D2843="","",IFERROR(INDEX(Items!$D$5:$D$504,U2843),"")),"")</f>
        <v/>
      </c>
      <c r="K2843" s="61" t="str">
        <f aca="false">IF(IsPro,IF($D2843="","",IF($F2843="",IFERROR(INDEX(Items!$H$5:$H$504,U2843),0),$F2843)),"")</f>
        <v/>
      </c>
      <c r="L2843" s="61" t="str">
        <f aca="false">IF(IsPro,IF($D2843="","",ROUND(N($E2843)*K2843*(1-N($G2843)),2)),"")</f>
        <v/>
      </c>
      <c r="M2843" s="62" t="str">
        <f aca="false">IF(IsPro,IF($D2843="","",IFERROR(INDEX(Items!$F$5:$F$504,U2843),0)),"")</f>
        <v/>
      </c>
      <c r="N2843" s="61" t="str">
        <f aca="false">IF(IsPro,IF($D2843="","",IF(AND(V2843&lt;&gt;"",INDEX(Parties!$E$5:$E$304,V2843)&lt;&gt;"",INDEX(Parties!$E$5:$E$304,V2843)&lt;&gt;HomeState),0,ROUND(L2843*M2843/2,2))),"")</f>
        <v/>
      </c>
      <c r="O2843" s="61" t="str">
        <f aca="false">IF(IsPro,IF($D2843="","",N2843),"")</f>
        <v/>
      </c>
      <c r="P2843" s="61" t="str">
        <f aca="false">IF(IsPro,IF($D2843="","",IF(AND(V2843&lt;&gt;"",INDEX(Parties!$E$5:$E$304,V2843)&lt;&gt;"",INDEX(Parties!$E$5:$E$304,V2843)&lt;&gt;HomeState),ROUND(L2843*M2843,2),0)),"")</f>
        <v/>
      </c>
      <c r="Q2843" s="61" t="str">
        <f aca="false">IF(IsPro,IF($D2843="","",L2843+N2843+O2843+P2843),"")</f>
        <v/>
      </c>
      <c r="R2843" s="61" t="str">
        <f aca="false">IF(IsPro,IF($D2843="","",ROUND(N($E2843)*IFERROR(INDEX(Items!$P$5:$P$504,U2843),0),2)),"")</f>
        <v/>
      </c>
      <c r="S2843" s="61" t="str">
        <f aca="false">IF(IsPro,IF($D2843="","",L2843-R2843),"")</f>
        <v/>
      </c>
      <c r="T2843" s="60" t="str">
        <f aca="false">IF(IsPro,IF($D2843="","",IF(U2843="","UNKNOWN ITEM",IF(INDEX(Items!$O$5:$O$504,U2843)&lt;0,"NEG STOCK",IF(K2843&lt;INDEX(Items!$P$5:$P$504,U2843),"BELOW COST","OK")))),IF($D2843="","","PRO PLAN"))</f>
        <v/>
      </c>
      <c r="U2843" s="60" t="str">
        <f aca="false">IF(IsPro,IF($D2843="","",IFERROR(MATCH($D2843,Items!$A$5:$A$504,0),"")),"")</f>
        <v/>
      </c>
      <c r="V2843" s="60" t="str">
        <f aca="false">IF(IsPro,IF($C2843="","",IFERROR(MATCH($C2843,Parties!$A$5:$A$304,0),"")),"")</f>
        <v/>
      </c>
      <c r="W2843" s="60" t="str">
        <f aca="false">IF(IsPro,IF($B2843="","",IFERROR(VALUE(SUBSTITUTE($B2843,InvPrefix,"")),0)),"")</f>
        <v/>
      </c>
      <c r="X2843" s="61" t="str">
        <f aca="false">IF(IsPro,IF($D2843="","",IF(OR($H2843="",$H2843="Credit"),0,Q2843)),"")</f>
        <v/>
      </c>
    </row>
    <row r="2844" customFormat="false" ht="15" hidden="false" customHeight="false" outlineLevel="0" collapsed="false">
      <c r="A2844" s="55"/>
      <c r="B2844" s="56"/>
      <c r="C2844" s="56"/>
      <c r="D2844" s="56"/>
      <c r="E2844" s="57"/>
      <c r="F2844" s="58"/>
      <c r="G2844" s="59"/>
      <c r="H2844" s="56"/>
      <c r="I2844" s="56"/>
      <c r="J2844" s="60" t="str">
        <f aca="false">IF(IsPro,IF($D2844="","",IFERROR(INDEX(Items!$D$5:$D$504,U2844),"")),"")</f>
        <v/>
      </c>
      <c r="K2844" s="61" t="str">
        <f aca="false">IF(IsPro,IF($D2844="","",IF($F2844="",IFERROR(INDEX(Items!$H$5:$H$504,U2844),0),$F2844)),"")</f>
        <v/>
      </c>
      <c r="L2844" s="61" t="str">
        <f aca="false">IF(IsPro,IF($D2844="","",ROUND(N($E2844)*K2844*(1-N($G2844)),2)),"")</f>
        <v/>
      </c>
      <c r="M2844" s="62" t="str">
        <f aca="false">IF(IsPro,IF($D2844="","",IFERROR(INDEX(Items!$F$5:$F$504,U2844),0)),"")</f>
        <v/>
      </c>
      <c r="N2844" s="61" t="str">
        <f aca="false">IF(IsPro,IF($D2844="","",IF(AND(V2844&lt;&gt;"",INDEX(Parties!$E$5:$E$304,V2844)&lt;&gt;"",INDEX(Parties!$E$5:$E$304,V2844)&lt;&gt;HomeState),0,ROUND(L2844*M2844/2,2))),"")</f>
        <v/>
      </c>
      <c r="O2844" s="61" t="str">
        <f aca="false">IF(IsPro,IF($D2844="","",N2844),"")</f>
        <v/>
      </c>
      <c r="P2844" s="61" t="str">
        <f aca="false">IF(IsPro,IF($D2844="","",IF(AND(V2844&lt;&gt;"",INDEX(Parties!$E$5:$E$304,V2844)&lt;&gt;"",INDEX(Parties!$E$5:$E$304,V2844)&lt;&gt;HomeState),ROUND(L2844*M2844,2),0)),"")</f>
        <v/>
      </c>
      <c r="Q2844" s="61" t="str">
        <f aca="false">IF(IsPro,IF($D2844="","",L2844+N2844+O2844+P2844),"")</f>
        <v/>
      </c>
      <c r="R2844" s="61" t="str">
        <f aca="false">IF(IsPro,IF($D2844="","",ROUND(N($E2844)*IFERROR(INDEX(Items!$P$5:$P$504,U2844),0),2)),"")</f>
        <v/>
      </c>
      <c r="S2844" s="61" t="str">
        <f aca="false">IF(IsPro,IF($D2844="","",L2844-R2844),"")</f>
        <v/>
      </c>
      <c r="T2844" s="60" t="str">
        <f aca="false">IF(IsPro,IF($D2844="","",IF(U2844="","UNKNOWN ITEM",IF(INDEX(Items!$O$5:$O$504,U2844)&lt;0,"NEG STOCK",IF(K2844&lt;INDEX(Items!$P$5:$P$504,U2844),"BELOW COST","OK")))),IF($D2844="","","PRO PLAN"))</f>
        <v/>
      </c>
      <c r="U2844" s="60" t="str">
        <f aca="false">IF(IsPro,IF($D2844="","",IFERROR(MATCH($D2844,Items!$A$5:$A$504,0),"")),"")</f>
        <v/>
      </c>
      <c r="V2844" s="60" t="str">
        <f aca="false">IF(IsPro,IF($C2844="","",IFERROR(MATCH($C2844,Parties!$A$5:$A$304,0),"")),"")</f>
        <v/>
      </c>
      <c r="W2844" s="60" t="str">
        <f aca="false">IF(IsPro,IF($B2844="","",IFERROR(VALUE(SUBSTITUTE($B2844,InvPrefix,"")),0)),"")</f>
        <v/>
      </c>
      <c r="X2844" s="61" t="str">
        <f aca="false">IF(IsPro,IF($D2844="","",IF(OR($H2844="",$H2844="Credit"),0,Q2844)),"")</f>
        <v/>
      </c>
    </row>
    <row r="2845" customFormat="false" ht="15" hidden="false" customHeight="false" outlineLevel="0" collapsed="false">
      <c r="A2845" s="55"/>
      <c r="B2845" s="56"/>
      <c r="C2845" s="56"/>
      <c r="D2845" s="56"/>
      <c r="E2845" s="57"/>
      <c r="F2845" s="58"/>
      <c r="G2845" s="59"/>
      <c r="H2845" s="56"/>
      <c r="I2845" s="56"/>
      <c r="J2845" s="60" t="str">
        <f aca="false">IF(IsPro,IF($D2845="","",IFERROR(INDEX(Items!$D$5:$D$504,U2845),"")),"")</f>
        <v/>
      </c>
      <c r="K2845" s="61" t="str">
        <f aca="false">IF(IsPro,IF($D2845="","",IF($F2845="",IFERROR(INDEX(Items!$H$5:$H$504,U2845),0),$F2845)),"")</f>
        <v/>
      </c>
      <c r="L2845" s="61" t="str">
        <f aca="false">IF(IsPro,IF($D2845="","",ROUND(N($E2845)*K2845*(1-N($G2845)),2)),"")</f>
        <v/>
      </c>
      <c r="M2845" s="62" t="str">
        <f aca="false">IF(IsPro,IF($D2845="","",IFERROR(INDEX(Items!$F$5:$F$504,U2845),0)),"")</f>
        <v/>
      </c>
      <c r="N2845" s="61" t="str">
        <f aca="false">IF(IsPro,IF($D2845="","",IF(AND(V2845&lt;&gt;"",INDEX(Parties!$E$5:$E$304,V2845)&lt;&gt;"",INDEX(Parties!$E$5:$E$304,V2845)&lt;&gt;HomeState),0,ROUND(L2845*M2845/2,2))),"")</f>
        <v/>
      </c>
      <c r="O2845" s="61" t="str">
        <f aca="false">IF(IsPro,IF($D2845="","",N2845),"")</f>
        <v/>
      </c>
      <c r="P2845" s="61" t="str">
        <f aca="false">IF(IsPro,IF($D2845="","",IF(AND(V2845&lt;&gt;"",INDEX(Parties!$E$5:$E$304,V2845)&lt;&gt;"",INDEX(Parties!$E$5:$E$304,V2845)&lt;&gt;HomeState),ROUND(L2845*M2845,2),0)),"")</f>
        <v/>
      </c>
      <c r="Q2845" s="61" t="str">
        <f aca="false">IF(IsPro,IF($D2845="","",L2845+N2845+O2845+P2845),"")</f>
        <v/>
      </c>
      <c r="R2845" s="61" t="str">
        <f aca="false">IF(IsPro,IF($D2845="","",ROUND(N($E2845)*IFERROR(INDEX(Items!$P$5:$P$504,U2845),0),2)),"")</f>
        <v/>
      </c>
      <c r="S2845" s="61" t="str">
        <f aca="false">IF(IsPro,IF($D2845="","",L2845-R2845),"")</f>
        <v/>
      </c>
      <c r="T2845" s="60" t="str">
        <f aca="false">IF(IsPro,IF($D2845="","",IF(U2845="","UNKNOWN ITEM",IF(INDEX(Items!$O$5:$O$504,U2845)&lt;0,"NEG STOCK",IF(K2845&lt;INDEX(Items!$P$5:$P$504,U2845),"BELOW COST","OK")))),IF($D2845="","","PRO PLAN"))</f>
        <v/>
      </c>
      <c r="U2845" s="60" t="str">
        <f aca="false">IF(IsPro,IF($D2845="","",IFERROR(MATCH($D2845,Items!$A$5:$A$504,0),"")),"")</f>
        <v/>
      </c>
      <c r="V2845" s="60" t="str">
        <f aca="false">IF(IsPro,IF($C2845="","",IFERROR(MATCH($C2845,Parties!$A$5:$A$304,0),"")),"")</f>
        <v/>
      </c>
      <c r="W2845" s="60" t="str">
        <f aca="false">IF(IsPro,IF($B2845="","",IFERROR(VALUE(SUBSTITUTE($B2845,InvPrefix,"")),0)),"")</f>
        <v/>
      </c>
      <c r="X2845" s="61" t="str">
        <f aca="false">IF(IsPro,IF($D2845="","",IF(OR($H2845="",$H2845="Credit"),0,Q2845)),"")</f>
        <v/>
      </c>
    </row>
    <row r="2846" customFormat="false" ht="15" hidden="false" customHeight="false" outlineLevel="0" collapsed="false">
      <c r="A2846" s="55"/>
      <c r="B2846" s="56"/>
      <c r="C2846" s="56"/>
      <c r="D2846" s="56"/>
      <c r="E2846" s="57"/>
      <c r="F2846" s="58"/>
      <c r="G2846" s="59"/>
      <c r="H2846" s="56"/>
      <c r="I2846" s="56"/>
      <c r="J2846" s="60" t="str">
        <f aca="false">IF(IsPro,IF($D2846="","",IFERROR(INDEX(Items!$D$5:$D$504,U2846),"")),"")</f>
        <v/>
      </c>
      <c r="K2846" s="61" t="str">
        <f aca="false">IF(IsPro,IF($D2846="","",IF($F2846="",IFERROR(INDEX(Items!$H$5:$H$504,U2846),0),$F2846)),"")</f>
        <v/>
      </c>
      <c r="L2846" s="61" t="str">
        <f aca="false">IF(IsPro,IF($D2846="","",ROUND(N($E2846)*K2846*(1-N($G2846)),2)),"")</f>
        <v/>
      </c>
      <c r="M2846" s="62" t="str">
        <f aca="false">IF(IsPro,IF($D2846="","",IFERROR(INDEX(Items!$F$5:$F$504,U2846),0)),"")</f>
        <v/>
      </c>
      <c r="N2846" s="61" t="str">
        <f aca="false">IF(IsPro,IF($D2846="","",IF(AND(V2846&lt;&gt;"",INDEX(Parties!$E$5:$E$304,V2846)&lt;&gt;"",INDEX(Parties!$E$5:$E$304,V2846)&lt;&gt;HomeState),0,ROUND(L2846*M2846/2,2))),"")</f>
        <v/>
      </c>
      <c r="O2846" s="61" t="str">
        <f aca="false">IF(IsPro,IF($D2846="","",N2846),"")</f>
        <v/>
      </c>
      <c r="P2846" s="61" t="str">
        <f aca="false">IF(IsPro,IF($D2846="","",IF(AND(V2846&lt;&gt;"",INDEX(Parties!$E$5:$E$304,V2846)&lt;&gt;"",INDEX(Parties!$E$5:$E$304,V2846)&lt;&gt;HomeState),ROUND(L2846*M2846,2),0)),"")</f>
        <v/>
      </c>
      <c r="Q2846" s="61" t="str">
        <f aca="false">IF(IsPro,IF($D2846="","",L2846+N2846+O2846+P2846),"")</f>
        <v/>
      </c>
      <c r="R2846" s="61" t="str">
        <f aca="false">IF(IsPro,IF($D2846="","",ROUND(N($E2846)*IFERROR(INDEX(Items!$P$5:$P$504,U2846),0),2)),"")</f>
        <v/>
      </c>
      <c r="S2846" s="61" t="str">
        <f aca="false">IF(IsPro,IF($D2846="","",L2846-R2846),"")</f>
        <v/>
      </c>
      <c r="T2846" s="60" t="str">
        <f aca="false">IF(IsPro,IF($D2846="","",IF(U2846="","UNKNOWN ITEM",IF(INDEX(Items!$O$5:$O$504,U2846)&lt;0,"NEG STOCK",IF(K2846&lt;INDEX(Items!$P$5:$P$504,U2846),"BELOW COST","OK")))),IF($D2846="","","PRO PLAN"))</f>
        <v/>
      </c>
      <c r="U2846" s="60" t="str">
        <f aca="false">IF(IsPro,IF($D2846="","",IFERROR(MATCH($D2846,Items!$A$5:$A$504,0),"")),"")</f>
        <v/>
      </c>
      <c r="V2846" s="60" t="str">
        <f aca="false">IF(IsPro,IF($C2846="","",IFERROR(MATCH($C2846,Parties!$A$5:$A$304,0),"")),"")</f>
        <v/>
      </c>
      <c r="W2846" s="60" t="str">
        <f aca="false">IF(IsPro,IF($B2846="","",IFERROR(VALUE(SUBSTITUTE($B2846,InvPrefix,"")),0)),"")</f>
        <v/>
      </c>
      <c r="X2846" s="61" t="str">
        <f aca="false">IF(IsPro,IF($D2846="","",IF(OR($H2846="",$H2846="Credit"),0,Q2846)),"")</f>
        <v/>
      </c>
    </row>
    <row r="2847" customFormat="false" ht="15" hidden="false" customHeight="false" outlineLevel="0" collapsed="false">
      <c r="A2847" s="55"/>
      <c r="B2847" s="56"/>
      <c r="C2847" s="56"/>
      <c r="D2847" s="56"/>
      <c r="E2847" s="57"/>
      <c r="F2847" s="58"/>
      <c r="G2847" s="59"/>
      <c r="H2847" s="56"/>
      <c r="I2847" s="56"/>
      <c r="J2847" s="60" t="str">
        <f aca="false">IF(IsPro,IF($D2847="","",IFERROR(INDEX(Items!$D$5:$D$504,U2847),"")),"")</f>
        <v/>
      </c>
      <c r="K2847" s="61" t="str">
        <f aca="false">IF(IsPro,IF($D2847="","",IF($F2847="",IFERROR(INDEX(Items!$H$5:$H$504,U2847),0),$F2847)),"")</f>
        <v/>
      </c>
      <c r="L2847" s="61" t="str">
        <f aca="false">IF(IsPro,IF($D2847="","",ROUND(N($E2847)*K2847*(1-N($G2847)),2)),"")</f>
        <v/>
      </c>
      <c r="M2847" s="62" t="str">
        <f aca="false">IF(IsPro,IF($D2847="","",IFERROR(INDEX(Items!$F$5:$F$504,U2847),0)),"")</f>
        <v/>
      </c>
      <c r="N2847" s="61" t="str">
        <f aca="false">IF(IsPro,IF($D2847="","",IF(AND(V2847&lt;&gt;"",INDEX(Parties!$E$5:$E$304,V2847)&lt;&gt;"",INDEX(Parties!$E$5:$E$304,V2847)&lt;&gt;HomeState),0,ROUND(L2847*M2847/2,2))),"")</f>
        <v/>
      </c>
      <c r="O2847" s="61" t="str">
        <f aca="false">IF(IsPro,IF($D2847="","",N2847),"")</f>
        <v/>
      </c>
      <c r="P2847" s="61" t="str">
        <f aca="false">IF(IsPro,IF($D2847="","",IF(AND(V2847&lt;&gt;"",INDEX(Parties!$E$5:$E$304,V2847)&lt;&gt;"",INDEX(Parties!$E$5:$E$304,V2847)&lt;&gt;HomeState),ROUND(L2847*M2847,2),0)),"")</f>
        <v/>
      </c>
      <c r="Q2847" s="61" t="str">
        <f aca="false">IF(IsPro,IF($D2847="","",L2847+N2847+O2847+P2847),"")</f>
        <v/>
      </c>
      <c r="R2847" s="61" t="str">
        <f aca="false">IF(IsPro,IF($D2847="","",ROUND(N($E2847)*IFERROR(INDEX(Items!$P$5:$P$504,U2847),0),2)),"")</f>
        <v/>
      </c>
      <c r="S2847" s="61" t="str">
        <f aca="false">IF(IsPro,IF($D2847="","",L2847-R2847),"")</f>
        <v/>
      </c>
      <c r="T2847" s="60" t="str">
        <f aca="false">IF(IsPro,IF($D2847="","",IF(U2847="","UNKNOWN ITEM",IF(INDEX(Items!$O$5:$O$504,U2847)&lt;0,"NEG STOCK",IF(K2847&lt;INDEX(Items!$P$5:$P$504,U2847),"BELOW COST","OK")))),IF($D2847="","","PRO PLAN"))</f>
        <v/>
      </c>
      <c r="U2847" s="60" t="str">
        <f aca="false">IF(IsPro,IF($D2847="","",IFERROR(MATCH($D2847,Items!$A$5:$A$504,0),"")),"")</f>
        <v/>
      </c>
      <c r="V2847" s="60" t="str">
        <f aca="false">IF(IsPro,IF($C2847="","",IFERROR(MATCH($C2847,Parties!$A$5:$A$304,0),"")),"")</f>
        <v/>
      </c>
      <c r="W2847" s="60" t="str">
        <f aca="false">IF(IsPro,IF($B2847="","",IFERROR(VALUE(SUBSTITUTE($B2847,InvPrefix,"")),0)),"")</f>
        <v/>
      </c>
      <c r="X2847" s="61" t="str">
        <f aca="false">IF(IsPro,IF($D2847="","",IF(OR($H2847="",$H2847="Credit"),0,Q2847)),"")</f>
        <v/>
      </c>
    </row>
    <row r="2848" customFormat="false" ht="15" hidden="false" customHeight="false" outlineLevel="0" collapsed="false">
      <c r="A2848" s="55"/>
      <c r="B2848" s="56"/>
      <c r="C2848" s="56"/>
      <c r="D2848" s="56"/>
      <c r="E2848" s="57"/>
      <c r="F2848" s="58"/>
      <c r="G2848" s="59"/>
      <c r="H2848" s="56"/>
      <c r="I2848" s="56"/>
      <c r="J2848" s="60" t="str">
        <f aca="false">IF(IsPro,IF($D2848="","",IFERROR(INDEX(Items!$D$5:$D$504,U2848),"")),"")</f>
        <v/>
      </c>
      <c r="K2848" s="61" t="str">
        <f aca="false">IF(IsPro,IF($D2848="","",IF($F2848="",IFERROR(INDEX(Items!$H$5:$H$504,U2848),0),$F2848)),"")</f>
        <v/>
      </c>
      <c r="L2848" s="61" t="str">
        <f aca="false">IF(IsPro,IF($D2848="","",ROUND(N($E2848)*K2848*(1-N($G2848)),2)),"")</f>
        <v/>
      </c>
      <c r="M2848" s="62" t="str">
        <f aca="false">IF(IsPro,IF($D2848="","",IFERROR(INDEX(Items!$F$5:$F$504,U2848),0)),"")</f>
        <v/>
      </c>
      <c r="N2848" s="61" t="str">
        <f aca="false">IF(IsPro,IF($D2848="","",IF(AND(V2848&lt;&gt;"",INDEX(Parties!$E$5:$E$304,V2848)&lt;&gt;"",INDEX(Parties!$E$5:$E$304,V2848)&lt;&gt;HomeState),0,ROUND(L2848*M2848/2,2))),"")</f>
        <v/>
      </c>
      <c r="O2848" s="61" t="str">
        <f aca="false">IF(IsPro,IF($D2848="","",N2848),"")</f>
        <v/>
      </c>
      <c r="P2848" s="61" t="str">
        <f aca="false">IF(IsPro,IF($D2848="","",IF(AND(V2848&lt;&gt;"",INDEX(Parties!$E$5:$E$304,V2848)&lt;&gt;"",INDEX(Parties!$E$5:$E$304,V2848)&lt;&gt;HomeState),ROUND(L2848*M2848,2),0)),"")</f>
        <v/>
      </c>
      <c r="Q2848" s="61" t="str">
        <f aca="false">IF(IsPro,IF($D2848="","",L2848+N2848+O2848+P2848),"")</f>
        <v/>
      </c>
      <c r="R2848" s="61" t="str">
        <f aca="false">IF(IsPro,IF($D2848="","",ROUND(N($E2848)*IFERROR(INDEX(Items!$P$5:$P$504,U2848),0),2)),"")</f>
        <v/>
      </c>
      <c r="S2848" s="61" t="str">
        <f aca="false">IF(IsPro,IF($D2848="","",L2848-R2848),"")</f>
        <v/>
      </c>
      <c r="T2848" s="60" t="str">
        <f aca="false">IF(IsPro,IF($D2848="","",IF(U2848="","UNKNOWN ITEM",IF(INDEX(Items!$O$5:$O$504,U2848)&lt;0,"NEG STOCK",IF(K2848&lt;INDEX(Items!$P$5:$P$504,U2848),"BELOW COST","OK")))),IF($D2848="","","PRO PLAN"))</f>
        <v/>
      </c>
      <c r="U2848" s="60" t="str">
        <f aca="false">IF(IsPro,IF($D2848="","",IFERROR(MATCH($D2848,Items!$A$5:$A$504,0),"")),"")</f>
        <v/>
      </c>
      <c r="V2848" s="60" t="str">
        <f aca="false">IF(IsPro,IF($C2848="","",IFERROR(MATCH($C2848,Parties!$A$5:$A$304,0),"")),"")</f>
        <v/>
      </c>
      <c r="W2848" s="60" t="str">
        <f aca="false">IF(IsPro,IF($B2848="","",IFERROR(VALUE(SUBSTITUTE($B2848,InvPrefix,"")),0)),"")</f>
        <v/>
      </c>
      <c r="X2848" s="61" t="str">
        <f aca="false">IF(IsPro,IF($D2848="","",IF(OR($H2848="",$H2848="Credit"),0,Q2848)),"")</f>
        <v/>
      </c>
    </row>
    <row r="2849" customFormat="false" ht="15" hidden="false" customHeight="false" outlineLevel="0" collapsed="false">
      <c r="A2849" s="55"/>
      <c r="B2849" s="56"/>
      <c r="C2849" s="56"/>
      <c r="D2849" s="56"/>
      <c r="E2849" s="57"/>
      <c r="F2849" s="58"/>
      <c r="G2849" s="59"/>
      <c r="H2849" s="56"/>
      <c r="I2849" s="56"/>
      <c r="J2849" s="60" t="str">
        <f aca="false">IF(IsPro,IF($D2849="","",IFERROR(INDEX(Items!$D$5:$D$504,U2849),"")),"")</f>
        <v/>
      </c>
      <c r="K2849" s="61" t="str">
        <f aca="false">IF(IsPro,IF($D2849="","",IF($F2849="",IFERROR(INDEX(Items!$H$5:$H$504,U2849),0),$F2849)),"")</f>
        <v/>
      </c>
      <c r="L2849" s="61" t="str">
        <f aca="false">IF(IsPro,IF($D2849="","",ROUND(N($E2849)*K2849*(1-N($G2849)),2)),"")</f>
        <v/>
      </c>
      <c r="M2849" s="62" t="str">
        <f aca="false">IF(IsPro,IF($D2849="","",IFERROR(INDEX(Items!$F$5:$F$504,U2849),0)),"")</f>
        <v/>
      </c>
      <c r="N2849" s="61" t="str">
        <f aca="false">IF(IsPro,IF($D2849="","",IF(AND(V2849&lt;&gt;"",INDEX(Parties!$E$5:$E$304,V2849)&lt;&gt;"",INDEX(Parties!$E$5:$E$304,V2849)&lt;&gt;HomeState),0,ROUND(L2849*M2849/2,2))),"")</f>
        <v/>
      </c>
      <c r="O2849" s="61" t="str">
        <f aca="false">IF(IsPro,IF($D2849="","",N2849),"")</f>
        <v/>
      </c>
      <c r="P2849" s="61" t="str">
        <f aca="false">IF(IsPro,IF($D2849="","",IF(AND(V2849&lt;&gt;"",INDEX(Parties!$E$5:$E$304,V2849)&lt;&gt;"",INDEX(Parties!$E$5:$E$304,V2849)&lt;&gt;HomeState),ROUND(L2849*M2849,2),0)),"")</f>
        <v/>
      </c>
      <c r="Q2849" s="61" t="str">
        <f aca="false">IF(IsPro,IF($D2849="","",L2849+N2849+O2849+P2849),"")</f>
        <v/>
      </c>
      <c r="R2849" s="61" t="str">
        <f aca="false">IF(IsPro,IF($D2849="","",ROUND(N($E2849)*IFERROR(INDEX(Items!$P$5:$P$504,U2849),0),2)),"")</f>
        <v/>
      </c>
      <c r="S2849" s="61" t="str">
        <f aca="false">IF(IsPro,IF($D2849="","",L2849-R2849),"")</f>
        <v/>
      </c>
      <c r="T2849" s="60" t="str">
        <f aca="false">IF(IsPro,IF($D2849="","",IF(U2849="","UNKNOWN ITEM",IF(INDEX(Items!$O$5:$O$504,U2849)&lt;0,"NEG STOCK",IF(K2849&lt;INDEX(Items!$P$5:$P$504,U2849),"BELOW COST","OK")))),IF($D2849="","","PRO PLAN"))</f>
        <v/>
      </c>
      <c r="U2849" s="60" t="str">
        <f aca="false">IF(IsPro,IF($D2849="","",IFERROR(MATCH($D2849,Items!$A$5:$A$504,0),"")),"")</f>
        <v/>
      </c>
      <c r="V2849" s="60" t="str">
        <f aca="false">IF(IsPro,IF($C2849="","",IFERROR(MATCH($C2849,Parties!$A$5:$A$304,0),"")),"")</f>
        <v/>
      </c>
      <c r="W2849" s="60" t="str">
        <f aca="false">IF(IsPro,IF($B2849="","",IFERROR(VALUE(SUBSTITUTE($B2849,InvPrefix,"")),0)),"")</f>
        <v/>
      </c>
      <c r="X2849" s="61" t="str">
        <f aca="false">IF(IsPro,IF($D2849="","",IF(OR($H2849="",$H2849="Credit"),0,Q2849)),"")</f>
        <v/>
      </c>
    </row>
    <row r="2850" customFormat="false" ht="15" hidden="false" customHeight="false" outlineLevel="0" collapsed="false">
      <c r="A2850" s="55"/>
      <c r="B2850" s="56"/>
      <c r="C2850" s="56"/>
      <c r="D2850" s="56"/>
      <c r="E2850" s="57"/>
      <c r="F2850" s="58"/>
      <c r="G2850" s="59"/>
      <c r="H2850" s="56"/>
      <c r="I2850" s="56"/>
      <c r="J2850" s="60" t="str">
        <f aca="false">IF(IsPro,IF($D2850="","",IFERROR(INDEX(Items!$D$5:$D$504,U2850),"")),"")</f>
        <v/>
      </c>
      <c r="K2850" s="61" t="str">
        <f aca="false">IF(IsPro,IF($D2850="","",IF($F2850="",IFERROR(INDEX(Items!$H$5:$H$504,U2850),0),$F2850)),"")</f>
        <v/>
      </c>
      <c r="L2850" s="61" t="str">
        <f aca="false">IF(IsPro,IF($D2850="","",ROUND(N($E2850)*K2850*(1-N($G2850)),2)),"")</f>
        <v/>
      </c>
      <c r="M2850" s="62" t="str">
        <f aca="false">IF(IsPro,IF($D2850="","",IFERROR(INDEX(Items!$F$5:$F$504,U2850),0)),"")</f>
        <v/>
      </c>
      <c r="N2850" s="61" t="str">
        <f aca="false">IF(IsPro,IF($D2850="","",IF(AND(V2850&lt;&gt;"",INDEX(Parties!$E$5:$E$304,V2850)&lt;&gt;"",INDEX(Parties!$E$5:$E$304,V2850)&lt;&gt;HomeState),0,ROUND(L2850*M2850/2,2))),"")</f>
        <v/>
      </c>
      <c r="O2850" s="61" t="str">
        <f aca="false">IF(IsPro,IF($D2850="","",N2850),"")</f>
        <v/>
      </c>
      <c r="P2850" s="61" t="str">
        <f aca="false">IF(IsPro,IF($D2850="","",IF(AND(V2850&lt;&gt;"",INDEX(Parties!$E$5:$E$304,V2850)&lt;&gt;"",INDEX(Parties!$E$5:$E$304,V2850)&lt;&gt;HomeState),ROUND(L2850*M2850,2),0)),"")</f>
        <v/>
      </c>
      <c r="Q2850" s="61" t="str">
        <f aca="false">IF(IsPro,IF($D2850="","",L2850+N2850+O2850+P2850),"")</f>
        <v/>
      </c>
      <c r="R2850" s="61" t="str">
        <f aca="false">IF(IsPro,IF($D2850="","",ROUND(N($E2850)*IFERROR(INDEX(Items!$P$5:$P$504,U2850),0),2)),"")</f>
        <v/>
      </c>
      <c r="S2850" s="61" t="str">
        <f aca="false">IF(IsPro,IF($D2850="","",L2850-R2850),"")</f>
        <v/>
      </c>
      <c r="T2850" s="60" t="str">
        <f aca="false">IF(IsPro,IF($D2850="","",IF(U2850="","UNKNOWN ITEM",IF(INDEX(Items!$O$5:$O$504,U2850)&lt;0,"NEG STOCK",IF(K2850&lt;INDEX(Items!$P$5:$P$504,U2850),"BELOW COST","OK")))),IF($D2850="","","PRO PLAN"))</f>
        <v/>
      </c>
      <c r="U2850" s="60" t="str">
        <f aca="false">IF(IsPro,IF($D2850="","",IFERROR(MATCH($D2850,Items!$A$5:$A$504,0),"")),"")</f>
        <v/>
      </c>
      <c r="V2850" s="60" t="str">
        <f aca="false">IF(IsPro,IF($C2850="","",IFERROR(MATCH($C2850,Parties!$A$5:$A$304,0),"")),"")</f>
        <v/>
      </c>
      <c r="W2850" s="60" t="str">
        <f aca="false">IF(IsPro,IF($B2850="","",IFERROR(VALUE(SUBSTITUTE($B2850,InvPrefix,"")),0)),"")</f>
        <v/>
      </c>
      <c r="X2850" s="61" t="str">
        <f aca="false">IF(IsPro,IF($D2850="","",IF(OR($H2850="",$H2850="Credit"),0,Q2850)),"")</f>
        <v/>
      </c>
    </row>
    <row r="2851" customFormat="false" ht="15" hidden="false" customHeight="false" outlineLevel="0" collapsed="false">
      <c r="A2851" s="55"/>
      <c r="B2851" s="56"/>
      <c r="C2851" s="56"/>
      <c r="D2851" s="56"/>
      <c r="E2851" s="57"/>
      <c r="F2851" s="58"/>
      <c r="G2851" s="59"/>
      <c r="H2851" s="56"/>
      <c r="I2851" s="56"/>
      <c r="J2851" s="60" t="str">
        <f aca="false">IF(IsPro,IF($D2851="","",IFERROR(INDEX(Items!$D$5:$D$504,U2851),"")),"")</f>
        <v/>
      </c>
      <c r="K2851" s="61" t="str">
        <f aca="false">IF(IsPro,IF($D2851="","",IF($F2851="",IFERROR(INDEX(Items!$H$5:$H$504,U2851),0),$F2851)),"")</f>
        <v/>
      </c>
      <c r="L2851" s="61" t="str">
        <f aca="false">IF(IsPro,IF($D2851="","",ROUND(N($E2851)*K2851*(1-N($G2851)),2)),"")</f>
        <v/>
      </c>
      <c r="M2851" s="62" t="str">
        <f aca="false">IF(IsPro,IF($D2851="","",IFERROR(INDEX(Items!$F$5:$F$504,U2851),0)),"")</f>
        <v/>
      </c>
      <c r="N2851" s="61" t="str">
        <f aca="false">IF(IsPro,IF($D2851="","",IF(AND(V2851&lt;&gt;"",INDEX(Parties!$E$5:$E$304,V2851)&lt;&gt;"",INDEX(Parties!$E$5:$E$304,V2851)&lt;&gt;HomeState),0,ROUND(L2851*M2851/2,2))),"")</f>
        <v/>
      </c>
      <c r="O2851" s="61" t="str">
        <f aca="false">IF(IsPro,IF($D2851="","",N2851),"")</f>
        <v/>
      </c>
      <c r="P2851" s="61" t="str">
        <f aca="false">IF(IsPro,IF($D2851="","",IF(AND(V2851&lt;&gt;"",INDEX(Parties!$E$5:$E$304,V2851)&lt;&gt;"",INDEX(Parties!$E$5:$E$304,V2851)&lt;&gt;HomeState),ROUND(L2851*M2851,2),0)),"")</f>
        <v/>
      </c>
      <c r="Q2851" s="61" t="str">
        <f aca="false">IF(IsPro,IF($D2851="","",L2851+N2851+O2851+P2851),"")</f>
        <v/>
      </c>
      <c r="R2851" s="61" t="str">
        <f aca="false">IF(IsPro,IF($D2851="","",ROUND(N($E2851)*IFERROR(INDEX(Items!$P$5:$P$504,U2851),0),2)),"")</f>
        <v/>
      </c>
      <c r="S2851" s="61" t="str">
        <f aca="false">IF(IsPro,IF($D2851="","",L2851-R2851),"")</f>
        <v/>
      </c>
      <c r="T2851" s="60" t="str">
        <f aca="false">IF(IsPro,IF($D2851="","",IF(U2851="","UNKNOWN ITEM",IF(INDEX(Items!$O$5:$O$504,U2851)&lt;0,"NEG STOCK",IF(K2851&lt;INDEX(Items!$P$5:$P$504,U2851),"BELOW COST","OK")))),IF($D2851="","","PRO PLAN"))</f>
        <v/>
      </c>
      <c r="U2851" s="60" t="str">
        <f aca="false">IF(IsPro,IF($D2851="","",IFERROR(MATCH($D2851,Items!$A$5:$A$504,0),"")),"")</f>
        <v/>
      </c>
      <c r="V2851" s="60" t="str">
        <f aca="false">IF(IsPro,IF($C2851="","",IFERROR(MATCH($C2851,Parties!$A$5:$A$304,0),"")),"")</f>
        <v/>
      </c>
      <c r="W2851" s="60" t="str">
        <f aca="false">IF(IsPro,IF($B2851="","",IFERROR(VALUE(SUBSTITUTE($B2851,InvPrefix,"")),0)),"")</f>
        <v/>
      </c>
      <c r="X2851" s="61" t="str">
        <f aca="false">IF(IsPro,IF($D2851="","",IF(OR($H2851="",$H2851="Credit"),0,Q2851)),"")</f>
        <v/>
      </c>
    </row>
    <row r="2852" customFormat="false" ht="15" hidden="false" customHeight="false" outlineLevel="0" collapsed="false">
      <c r="A2852" s="55"/>
      <c r="B2852" s="56"/>
      <c r="C2852" s="56"/>
      <c r="D2852" s="56"/>
      <c r="E2852" s="57"/>
      <c r="F2852" s="58"/>
      <c r="G2852" s="59"/>
      <c r="H2852" s="56"/>
      <c r="I2852" s="56"/>
      <c r="J2852" s="60" t="str">
        <f aca="false">IF(IsPro,IF($D2852="","",IFERROR(INDEX(Items!$D$5:$D$504,U2852),"")),"")</f>
        <v/>
      </c>
      <c r="K2852" s="61" t="str">
        <f aca="false">IF(IsPro,IF($D2852="","",IF($F2852="",IFERROR(INDEX(Items!$H$5:$H$504,U2852),0),$F2852)),"")</f>
        <v/>
      </c>
      <c r="L2852" s="61" t="str">
        <f aca="false">IF(IsPro,IF($D2852="","",ROUND(N($E2852)*K2852*(1-N($G2852)),2)),"")</f>
        <v/>
      </c>
      <c r="M2852" s="62" t="str">
        <f aca="false">IF(IsPro,IF($D2852="","",IFERROR(INDEX(Items!$F$5:$F$504,U2852),0)),"")</f>
        <v/>
      </c>
      <c r="N2852" s="61" t="str">
        <f aca="false">IF(IsPro,IF($D2852="","",IF(AND(V2852&lt;&gt;"",INDEX(Parties!$E$5:$E$304,V2852)&lt;&gt;"",INDEX(Parties!$E$5:$E$304,V2852)&lt;&gt;HomeState),0,ROUND(L2852*M2852/2,2))),"")</f>
        <v/>
      </c>
      <c r="O2852" s="61" t="str">
        <f aca="false">IF(IsPro,IF($D2852="","",N2852),"")</f>
        <v/>
      </c>
      <c r="P2852" s="61" t="str">
        <f aca="false">IF(IsPro,IF($D2852="","",IF(AND(V2852&lt;&gt;"",INDEX(Parties!$E$5:$E$304,V2852)&lt;&gt;"",INDEX(Parties!$E$5:$E$304,V2852)&lt;&gt;HomeState),ROUND(L2852*M2852,2),0)),"")</f>
        <v/>
      </c>
      <c r="Q2852" s="61" t="str">
        <f aca="false">IF(IsPro,IF($D2852="","",L2852+N2852+O2852+P2852),"")</f>
        <v/>
      </c>
      <c r="R2852" s="61" t="str">
        <f aca="false">IF(IsPro,IF($D2852="","",ROUND(N($E2852)*IFERROR(INDEX(Items!$P$5:$P$504,U2852),0),2)),"")</f>
        <v/>
      </c>
      <c r="S2852" s="61" t="str">
        <f aca="false">IF(IsPro,IF($D2852="","",L2852-R2852),"")</f>
        <v/>
      </c>
      <c r="T2852" s="60" t="str">
        <f aca="false">IF(IsPro,IF($D2852="","",IF(U2852="","UNKNOWN ITEM",IF(INDEX(Items!$O$5:$O$504,U2852)&lt;0,"NEG STOCK",IF(K2852&lt;INDEX(Items!$P$5:$P$504,U2852),"BELOW COST","OK")))),IF($D2852="","","PRO PLAN"))</f>
        <v/>
      </c>
      <c r="U2852" s="60" t="str">
        <f aca="false">IF(IsPro,IF($D2852="","",IFERROR(MATCH($D2852,Items!$A$5:$A$504,0),"")),"")</f>
        <v/>
      </c>
      <c r="V2852" s="60" t="str">
        <f aca="false">IF(IsPro,IF($C2852="","",IFERROR(MATCH($C2852,Parties!$A$5:$A$304,0),"")),"")</f>
        <v/>
      </c>
      <c r="W2852" s="60" t="str">
        <f aca="false">IF(IsPro,IF($B2852="","",IFERROR(VALUE(SUBSTITUTE($B2852,InvPrefix,"")),0)),"")</f>
        <v/>
      </c>
      <c r="X2852" s="61" t="str">
        <f aca="false">IF(IsPro,IF($D2852="","",IF(OR($H2852="",$H2852="Credit"),0,Q2852)),"")</f>
        <v/>
      </c>
    </row>
    <row r="2853" customFormat="false" ht="15" hidden="false" customHeight="false" outlineLevel="0" collapsed="false">
      <c r="A2853" s="55"/>
      <c r="B2853" s="56"/>
      <c r="C2853" s="56"/>
      <c r="D2853" s="56"/>
      <c r="E2853" s="57"/>
      <c r="F2853" s="58"/>
      <c r="G2853" s="59"/>
      <c r="H2853" s="56"/>
      <c r="I2853" s="56"/>
      <c r="J2853" s="60" t="str">
        <f aca="false">IF(IsPro,IF($D2853="","",IFERROR(INDEX(Items!$D$5:$D$504,U2853),"")),"")</f>
        <v/>
      </c>
      <c r="K2853" s="61" t="str">
        <f aca="false">IF(IsPro,IF($D2853="","",IF($F2853="",IFERROR(INDEX(Items!$H$5:$H$504,U2853),0),$F2853)),"")</f>
        <v/>
      </c>
      <c r="L2853" s="61" t="str">
        <f aca="false">IF(IsPro,IF($D2853="","",ROUND(N($E2853)*K2853*(1-N($G2853)),2)),"")</f>
        <v/>
      </c>
      <c r="M2853" s="62" t="str">
        <f aca="false">IF(IsPro,IF($D2853="","",IFERROR(INDEX(Items!$F$5:$F$504,U2853),0)),"")</f>
        <v/>
      </c>
      <c r="N2853" s="61" t="str">
        <f aca="false">IF(IsPro,IF($D2853="","",IF(AND(V2853&lt;&gt;"",INDEX(Parties!$E$5:$E$304,V2853)&lt;&gt;"",INDEX(Parties!$E$5:$E$304,V2853)&lt;&gt;HomeState),0,ROUND(L2853*M2853/2,2))),"")</f>
        <v/>
      </c>
      <c r="O2853" s="61" t="str">
        <f aca="false">IF(IsPro,IF($D2853="","",N2853),"")</f>
        <v/>
      </c>
      <c r="P2853" s="61" t="str">
        <f aca="false">IF(IsPro,IF($D2853="","",IF(AND(V2853&lt;&gt;"",INDEX(Parties!$E$5:$E$304,V2853)&lt;&gt;"",INDEX(Parties!$E$5:$E$304,V2853)&lt;&gt;HomeState),ROUND(L2853*M2853,2),0)),"")</f>
        <v/>
      </c>
      <c r="Q2853" s="61" t="str">
        <f aca="false">IF(IsPro,IF($D2853="","",L2853+N2853+O2853+P2853),"")</f>
        <v/>
      </c>
      <c r="R2853" s="61" t="str">
        <f aca="false">IF(IsPro,IF($D2853="","",ROUND(N($E2853)*IFERROR(INDEX(Items!$P$5:$P$504,U2853),0),2)),"")</f>
        <v/>
      </c>
      <c r="S2853" s="61" t="str">
        <f aca="false">IF(IsPro,IF($D2853="","",L2853-R2853),"")</f>
        <v/>
      </c>
      <c r="T2853" s="60" t="str">
        <f aca="false">IF(IsPro,IF($D2853="","",IF(U2853="","UNKNOWN ITEM",IF(INDEX(Items!$O$5:$O$504,U2853)&lt;0,"NEG STOCK",IF(K2853&lt;INDEX(Items!$P$5:$P$504,U2853),"BELOW COST","OK")))),IF($D2853="","","PRO PLAN"))</f>
        <v/>
      </c>
      <c r="U2853" s="60" t="str">
        <f aca="false">IF(IsPro,IF($D2853="","",IFERROR(MATCH($D2853,Items!$A$5:$A$504,0),"")),"")</f>
        <v/>
      </c>
      <c r="V2853" s="60" t="str">
        <f aca="false">IF(IsPro,IF($C2853="","",IFERROR(MATCH($C2853,Parties!$A$5:$A$304,0),"")),"")</f>
        <v/>
      </c>
      <c r="W2853" s="60" t="str">
        <f aca="false">IF(IsPro,IF($B2853="","",IFERROR(VALUE(SUBSTITUTE($B2853,InvPrefix,"")),0)),"")</f>
        <v/>
      </c>
      <c r="X2853" s="61" t="str">
        <f aca="false">IF(IsPro,IF($D2853="","",IF(OR($H2853="",$H2853="Credit"),0,Q2853)),"")</f>
        <v/>
      </c>
    </row>
    <row r="2854" customFormat="false" ht="15" hidden="false" customHeight="false" outlineLevel="0" collapsed="false">
      <c r="A2854" s="55"/>
      <c r="B2854" s="56"/>
      <c r="C2854" s="56"/>
      <c r="D2854" s="56"/>
      <c r="E2854" s="57"/>
      <c r="F2854" s="58"/>
      <c r="G2854" s="59"/>
      <c r="H2854" s="56"/>
      <c r="I2854" s="56"/>
      <c r="J2854" s="60" t="str">
        <f aca="false">IF(IsPro,IF($D2854="","",IFERROR(INDEX(Items!$D$5:$D$504,U2854),"")),"")</f>
        <v/>
      </c>
      <c r="K2854" s="61" t="str">
        <f aca="false">IF(IsPro,IF($D2854="","",IF($F2854="",IFERROR(INDEX(Items!$H$5:$H$504,U2854),0),$F2854)),"")</f>
        <v/>
      </c>
      <c r="L2854" s="61" t="str">
        <f aca="false">IF(IsPro,IF($D2854="","",ROUND(N($E2854)*K2854*(1-N($G2854)),2)),"")</f>
        <v/>
      </c>
      <c r="M2854" s="62" t="str">
        <f aca="false">IF(IsPro,IF($D2854="","",IFERROR(INDEX(Items!$F$5:$F$504,U2854),0)),"")</f>
        <v/>
      </c>
      <c r="N2854" s="61" t="str">
        <f aca="false">IF(IsPro,IF($D2854="","",IF(AND(V2854&lt;&gt;"",INDEX(Parties!$E$5:$E$304,V2854)&lt;&gt;"",INDEX(Parties!$E$5:$E$304,V2854)&lt;&gt;HomeState),0,ROUND(L2854*M2854/2,2))),"")</f>
        <v/>
      </c>
      <c r="O2854" s="61" t="str">
        <f aca="false">IF(IsPro,IF($D2854="","",N2854),"")</f>
        <v/>
      </c>
      <c r="P2854" s="61" t="str">
        <f aca="false">IF(IsPro,IF($D2854="","",IF(AND(V2854&lt;&gt;"",INDEX(Parties!$E$5:$E$304,V2854)&lt;&gt;"",INDEX(Parties!$E$5:$E$304,V2854)&lt;&gt;HomeState),ROUND(L2854*M2854,2),0)),"")</f>
        <v/>
      </c>
      <c r="Q2854" s="61" t="str">
        <f aca="false">IF(IsPro,IF($D2854="","",L2854+N2854+O2854+P2854),"")</f>
        <v/>
      </c>
      <c r="R2854" s="61" t="str">
        <f aca="false">IF(IsPro,IF($D2854="","",ROUND(N($E2854)*IFERROR(INDEX(Items!$P$5:$P$504,U2854),0),2)),"")</f>
        <v/>
      </c>
      <c r="S2854" s="61" t="str">
        <f aca="false">IF(IsPro,IF($D2854="","",L2854-R2854),"")</f>
        <v/>
      </c>
      <c r="T2854" s="60" t="str">
        <f aca="false">IF(IsPro,IF($D2854="","",IF(U2854="","UNKNOWN ITEM",IF(INDEX(Items!$O$5:$O$504,U2854)&lt;0,"NEG STOCK",IF(K2854&lt;INDEX(Items!$P$5:$P$504,U2854),"BELOW COST","OK")))),IF($D2854="","","PRO PLAN"))</f>
        <v/>
      </c>
      <c r="U2854" s="60" t="str">
        <f aca="false">IF(IsPro,IF($D2854="","",IFERROR(MATCH($D2854,Items!$A$5:$A$504,0),"")),"")</f>
        <v/>
      </c>
      <c r="V2854" s="60" t="str">
        <f aca="false">IF(IsPro,IF($C2854="","",IFERROR(MATCH($C2854,Parties!$A$5:$A$304,0),"")),"")</f>
        <v/>
      </c>
      <c r="W2854" s="60" t="str">
        <f aca="false">IF(IsPro,IF($B2854="","",IFERROR(VALUE(SUBSTITUTE($B2854,InvPrefix,"")),0)),"")</f>
        <v/>
      </c>
      <c r="X2854" s="61" t="str">
        <f aca="false">IF(IsPro,IF($D2854="","",IF(OR($H2854="",$H2854="Credit"),0,Q2854)),"")</f>
        <v/>
      </c>
    </row>
    <row r="2855" customFormat="false" ht="15" hidden="false" customHeight="false" outlineLevel="0" collapsed="false">
      <c r="A2855" s="55"/>
      <c r="B2855" s="56"/>
      <c r="C2855" s="56"/>
      <c r="D2855" s="56"/>
      <c r="E2855" s="57"/>
      <c r="F2855" s="58"/>
      <c r="G2855" s="59"/>
      <c r="H2855" s="56"/>
      <c r="I2855" s="56"/>
      <c r="J2855" s="60" t="str">
        <f aca="false">IF(IsPro,IF($D2855="","",IFERROR(INDEX(Items!$D$5:$D$504,U2855),"")),"")</f>
        <v/>
      </c>
      <c r="K2855" s="61" t="str">
        <f aca="false">IF(IsPro,IF($D2855="","",IF($F2855="",IFERROR(INDEX(Items!$H$5:$H$504,U2855),0),$F2855)),"")</f>
        <v/>
      </c>
      <c r="L2855" s="61" t="str">
        <f aca="false">IF(IsPro,IF($D2855="","",ROUND(N($E2855)*K2855*(1-N($G2855)),2)),"")</f>
        <v/>
      </c>
      <c r="M2855" s="62" t="str">
        <f aca="false">IF(IsPro,IF($D2855="","",IFERROR(INDEX(Items!$F$5:$F$504,U2855),0)),"")</f>
        <v/>
      </c>
      <c r="N2855" s="61" t="str">
        <f aca="false">IF(IsPro,IF($D2855="","",IF(AND(V2855&lt;&gt;"",INDEX(Parties!$E$5:$E$304,V2855)&lt;&gt;"",INDEX(Parties!$E$5:$E$304,V2855)&lt;&gt;HomeState),0,ROUND(L2855*M2855/2,2))),"")</f>
        <v/>
      </c>
      <c r="O2855" s="61" t="str">
        <f aca="false">IF(IsPro,IF($D2855="","",N2855),"")</f>
        <v/>
      </c>
      <c r="P2855" s="61" t="str">
        <f aca="false">IF(IsPro,IF($D2855="","",IF(AND(V2855&lt;&gt;"",INDEX(Parties!$E$5:$E$304,V2855)&lt;&gt;"",INDEX(Parties!$E$5:$E$304,V2855)&lt;&gt;HomeState),ROUND(L2855*M2855,2),0)),"")</f>
        <v/>
      </c>
      <c r="Q2855" s="61" t="str">
        <f aca="false">IF(IsPro,IF($D2855="","",L2855+N2855+O2855+P2855),"")</f>
        <v/>
      </c>
      <c r="R2855" s="61" t="str">
        <f aca="false">IF(IsPro,IF($D2855="","",ROUND(N($E2855)*IFERROR(INDEX(Items!$P$5:$P$504,U2855),0),2)),"")</f>
        <v/>
      </c>
      <c r="S2855" s="61" t="str">
        <f aca="false">IF(IsPro,IF($D2855="","",L2855-R2855),"")</f>
        <v/>
      </c>
      <c r="T2855" s="60" t="str">
        <f aca="false">IF(IsPro,IF($D2855="","",IF(U2855="","UNKNOWN ITEM",IF(INDEX(Items!$O$5:$O$504,U2855)&lt;0,"NEG STOCK",IF(K2855&lt;INDEX(Items!$P$5:$P$504,U2855),"BELOW COST","OK")))),IF($D2855="","","PRO PLAN"))</f>
        <v/>
      </c>
      <c r="U2855" s="60" t="str">
        <f aca="false">IF(IsPro,IF($D2855="","",IFERROR(MATCH($D2855,Items!$A$5:$A$504,0),"")),"")</f>
        <v/>
      </c>
      <c r="V2855" s="60" t="str">
        <f aca="false">IF(IsPro,IF($C2855="","",IFERROR(MATCH($C2855,Parties!$A$5:$A$304,0),"")),"")</f>
        <v/>
      </c>
      <c r="W2855" s="60" t="str">
        <f aca="false">IF(IsPro,IF($B2855="","",IFERROR(VALUE(SUBSTITUTE($B2855,InvPrefix,"")),0)),"")</f>
        <v/>
      </c>
      <c r="X2855" s="61" t="str">
        <f aca="false">IF(IsPro,IF($D2855="","",IF(OR($H2855="",$H2855="Credit"),0,Q2855)),"")</f>
        <v/>
      </c>
    </row>
    <row r="2856" customFormat="false" ht="15" hidden="false" customHeight="false" outlineLevel="0" collapsed="false">
      <c r="A2856" s="55"/>
      <c r="B2856" s="56"/>
      <c r="C2856" s="56"/>
      <c r="D2856" s="56"/>
      <c r="E2856" s="57"/>
      <c r="F2856" s="58"/>
      <c r="G2856" s="59"/>
      <c r="H2856" s="56"/>
      <c r="I2856" s="56"/>
      <c r="J2856" s="60" t="str">
        <f aca="false">IF(IsPro,IF($D2856="","",IFERROR(INDEX(Items!$D$5:$D$504,U2856),"")),"")</f>
        <v/>
      </c>
      <c r="K2856" s="61" t="str">
        <f aca="false">IF(IsPro,IF($D2856="","",IF($F2856="",IFERROR(INDEX(Items!$H$5:$H$504,U2856),0),$F2856)),"")</f>
        <v/>
      </c>
      <c r="L2856" s="61" t="str">
        <f aca="false">IF(IsPro,IF($D2856="","",ROUND(N($E2856)*K2856*(1-N($G2856)),2)),"")</f>
        <v/>
      </c>
      <c r="M2856" s="62" t="str">
        <f aca="false">IF(IsPro,IF($D2856="","",IFERROR(INDEX(Items!$F$5:$F$504,U2856),0)),"")</f>
        <v/>
      </c>
      <c r="N2856" s="61" t="str">
        <f aca="false">IF(IsPro,IF($D2856="","",IF(AND(V2856&lt;&gt;"",INDEX(Parties!$E$5:$E$304,V2856)&lt;&gt;"",INDEX(Parties!$E$5:$E$304,V2856)&lt;&gt;HomeState),0,ROUND(L2856*M2856/2,2))),"")</f>
        <v/>
      </c>
      <c r="O2856" s="61" t="str">
        <f aca="false">IF(IsPro,IF($D2856="","",N2856),"")</f>
        <v/>
      </c>
      <c r="P2856" s="61" t="str">
        <f aca="false">IF(IsPro,IF($D2856="","",IF(AND(V2856&lt;&gt;"",INDEX(Parties!$E$5:$E$304,V2856)&lt;&gt;"",INDEX(Parties!$E$5:$E$304,V2856)&lt;&gt;HomeState),ROUND(L2856*M2856,2),0)),"")</f>
        <v/>
      </c>
      <c r="Q2856" s="61" t="str">
        <f aca="false">IF(IsPro,IF($D2856="","",L2856+N2856+O2856+P2856),"")</f>
        <v/>
      </c>
      <c r="R2856" s="61" t="str">
        <f aca="false">IF(IsPro,IF($D2856="","",ROUND(N($E2856)*IFERROR(INDEX(Items!$P$5:$P$504,U2856),0),2)),"")</f>
        <v/>
      </c>
      <c r="S2856" s="61" t="str">
        <f aca="false">IF(IsPro,IF($D2856="","",L2856-R2856),"")</f>
        <v/>
      </c>
      <c r="T2856" s="60" t="str">
        <f aca="false">IF(IsPro,IF($D2856="","",IF(U2856="","UNKNOWN ITEM",IF(INDEX(Items!$O$5:$O$504,U2856)&lt;0,"NEG STOCK",IF(K2856&lt;INDEX(Items!$P$5:$P$504,U2856),"BELOW COST","OK")))),IF($D2856="","","PRO PLAN"))</f>
        <v/>
      </c>
      <c r="U2856" s="60" t="str">
        <f aca="false">IF(IsPro,IF($D2856="","",IFERROR(MATCH($D2856,Items!$A$5:$A$504,0),"")),"")</f>
        <v/>
      </c>
      <c r="V2856" s="60" t="str">
        <f aca="false">IF(IsPro,IF($C2856="","",IFERROR(MATCH($C2856,Parties!$A$5:$A$304,0),"")),"")</f>
        <v/>
      </c>
      <c r="W2856" s="60" t="str">
        <f aca="false">IF(IsPro,IF($B2856="","",IFERROR(VALUE(SUBSTITUTE($B2856,InvPrefix,"")),0)),"")</f>
        <v/>
      </c>
      <c r="X2856" s="61" t="str">
        <f aca="false">IF(IsPro,IF($D2856="","",IF(OR($H2856="",$H2856="Credit"),0,Q2856)),"")</f>
        <v/>
      </c>
    </row>
    <row r="2857" customFormat="false" ht="15" hidden="false" customHeight="false" outlineLevel="0" collapsed="false">
      <c r="A2857" s="55"/>
      <c r="B2857" s="56"/>
      <c r="C2857" s="56"/>
      <c r="D2857" s="56"/>
      <c r="E2857" s="57"/>
      <c r="F2857" s="58"/>
      <c r="G2857" s="59"/>
      <c r="H2857" s="56"/>
      <c r="I2857" s="56"/>
      <c r="J2857" s="60" t="str">
        <f aca="false">IF(IsPro,IF($D2857="","",IFERROR(INDEX(Items!$D$5:$D$504,U2857),"")),"")</f>
        <v/>
      </c>
      <c r="K2857" s="61" t="str">
        <f aca="false">IF(IsPro,IF($D2857="","",IF($F2857="",IFERROR(INDEX(Items!$H$5:$H$504,U2857),0),$F2857)),"")</f>
        <v/>
      </c>
      <c r="L2857" s="61" t="str">
        <f aca="false">IF(IsPro,IF($D2857="","",ROUND(N($E2857)*K2857*(1-N($G2857)),2)),"")</f>
        <v/>
      </c>
      <c r="M2857" s="62" t="str">
        <f aca="false">IF(IsPro,IF($D2857="","",IFERROR(INDEX(Items!$F$5:$F$504,U2857),0)),"")</f>
        <v/>
      </c>
      <c r="N2857" s="61" t="str">
        <f aca="false">IF(IsPro,IF($D2857="","",IF(AND(V2857&lt;&gt;"",INDEX(Parties!$E$5:$E$304,V2857)&lt;&gt;"",INDEX(Parties!$E$5:$E$304,V2857)&lt;&gt;HomeState),0,ROUND(L2857*M2857/2,2))),"")</f>
        <v/>
      </c>
      <c r="O2857" s="61" t="str">
        <f aca="false">IF(IsPro,IF($D2857="","",N2857),"")</f>
        <v/>
      </c>
      <c r="P2857" s="61" t="str">
        <f aca="false">IF(IsPro,IF($D2857="","",IF(AND(V2857&lt;&gt;"",INDEX(Parties!$E$5:$E$304,V2857)&lt;&gt;"",INDEX(Parties!$E$5:$E$304,V2857)&lt;&gt;HomeState),ROUND(L2857*M2857,2),0)),"")</f>
        <v/>
      </c>
      <c r="Q2857" s="61" t="str">
        <f aca="false">IF(IsPro,IF($D2857="","",L2857+N2857+O2857+P2857),"")</f>
        <v/>
      </c>
      <c r="R2857" s="61" t="str">
        <f aca="false">IF(IsPro,IF($D2857="","",ROUND(N($E2857)*IFERROR(INDEX(Items!$P$5:$P$504,U2857),0),2)),"")</f>
        <v/>
      </c>
      <c r="S2857" s="61" t="str">
        <f aca="false">IF(IsPro,IF($D2857="","",L2857-R2857),"")</f>
        <v/>
      </c>
      <c r="T2857" s="60" t="str">
        <f aca="false">IF(IsPro,IF($D2857="","",IF(U2857="","UNKNOWN ITEM",IF(INDEX(Items!$O$5:$O$504,U2857)&lt;0,"NEG STOCK",IF(K2857&lt;INDEX(Items!$P$5:$P$504,U2857),"BELOW COST","OK")))),IF($D2857="","","PRO PLAN"))</f>
        <v/>
      </c>
      <c r="U2857" s="60" t="str">
        <f aca="false">IF(IsPro,IF($D2857="","",IFERROR(MATCH($D2857,Items!$A$5:$A$504,0),"")),"")</f>
        <v/>
      </c>
      <c r="V2857" s="60" t="str">
        <f aca="false">IF(IsPro,IF($C2857="","",IFERROR(MATCH($C2857,Parties!$A$5:$A$304,0),"")),"")</f>
        <v/>
      </c>
      <c r="W2857" s="60" t="str">
        <f aca="false">IF(IsPro,IF($B2857="","",IFERROR(VALUE(SUBSTITUTE($B2857,InvPrefix,"")),0)),"")</f>
        <v/>
      </c>
      <c r="X2857" s="61" t="str">
        <f aca="false">IF(IsPro,IF($D2857="","",IF(OR($H2857="",$H2857="Credit"),0,Q2857)),"")</f>
        <v/>
      </c>
    </row>
    <row r="2858" customFormat="false" ht="15" hidden="false" customHeight="false" outlineLevel="0" collapsed="false">
      <c r="A2858" s="55"/>
      <c r="B2858" s="56"/>
      <c r="C2858" s="56"/>
      <c r="D2858" s="56"/>
      <c r="E2858" s="57"/>
      <c r="F2858" s="58"/>
      <c r="G2858" s="59"/>
      <c r="H2858" s="56"/>
      <c r="I2858" s="56"/>
      <c r="J2858" s="60" t="str">
        <f aca="false">IF(IsPro,IF($D2858="","",IFERROR(INDEX(Items!$D$5:$D$504,U2858),"")),"")</f>
        <v/>
      </c>
      <c r="K2858" s="61" t="str">
        <f aca="false">IF(IsPro,IF($D2858="","",IF($F2858="",IFERROR(INDEX(Items!$H$5:$H$504,U2858),0),$F2858)),"")</f>
        <v/>
      </c>
      <c r="L2858" s="61" t="str">
        <f aca="false">IF(IsPro,IF($D2858="","",ROUND(N($E2858)*K2858*(1-N($G2858)),2)),"")</f>
        <v/>
      </c>
      <c r="M2858" s="62" t="str">
        <f aca="false">IF(IsPro,IF($D2858="","",IFERROR(INDEX(Items!$F$5:$F$504,U2858),0)),"")</f>
        <v/>
      </c>
      <c r="N2858" s="61" t="str">
        <f aca="false">IF(IsPro,IF($D2858="","",IF(AND(V2858&lt;&gt;"",INDEX(Parties!$E$5:$E$304,V2858)&lt;&gt;"",INDEX(Parties!$E$5:$E$304,V2858)&lt;&gt;HomeState),0,ROUND(L2858*M2858/2,2))),"")</f>
        <v/>
      </c>
      <c r="O2858" s="61" t="str">
        <f aca="false">IF(IsPro,IF($D2858="","",N2858),"")</f>
        <v/>
      </c>
      <c r="P2858" s="61" t="str">
        <f aca="false">IF(IsPro,IF($D2858="","",IF(AND(V2858&lt;&gt;"",INDEX(Parties!$E$5:$E$304,V2858)&lt;&gt;"",INDEX(Parties!$E$5:$E$304,V2858)&lt;&gt;HomeState),ROUND(L2858*M2858,2),0)),"")</f>
        <v/>
      </c>
      <c r="Q2858" s="61" t="str">
        <f aca="false">IF(IsPro,IF($D2858="","",L2858+N2858+O2858+P2858),"")</f>
        <v/>
      </c>
      <c r="R2858" s="61" t="str">
        <f aca="false">IF(IsPro,IF($D2858="","",ROUND(N($E2858)*IFERROR(INDEX(Items!$P$5:$P$504,U2858),0),2)),"")</f>
        <v/>
      </c>
      <c r="S2858" s="61" t="str">
        <f aca="false">IF(IsPro,IF($D2858="","",L2858-R2858),"")</f>
        <v/>
      </c>
      <c r="T2858" s="60" t="str">
        <f aca="false">IF(IsPro,IF($D2858="","",IF(U2858="","UNKNOWN ITEM",IF(INDEX(Items!$O$5:$O$504,U2858)&lt;0,"NEG STOCK",IF(K2858&lt;INDEX(Items!$P$5:$P$504,U2858),"BELOW COST","OK")))),IF($D2858="","","PRO PLAN"))</f>
        <v/>
      </c>
      <c r="U2858" s="60" t="str">
        <f aca="false">IF(IsPro,IF($D2858="","",IFERROR(MATCH($D2858,Items!$A$5:$A$504,0),"")),"")</f>
        <v/>
      </c>
      <c r="V2858" s="60" t="str">
        <f aca="false">IF(IsPro,IF($C2858="","",IFERROR(MATCH($C2858,Parties!$A$5:$A$304,0),"")),"")</f>
        <v/>
      </c>
      <c r="W2858" s="60" t="str">
        <f aca="false">IF(IsPro,IF($B2858="","",IFERROR(VALUE(SUBSTITUTE($B2858,InvPrefix,"")),0)),"")</f>
        <v/>
      </c>
      <c r="X2858" s="61" t="str">
        <f aca="false">IF(IsPro,IF($D2858="","",IF(OR($H2858="",$H2858="Credit"),0,Q2858)),"")</f>
        <v/>
      </c>
    </row>
    <row r="2859" customFormat="false" ht="15" hidden="false" customHeight="false" outlineLevel="0" collapsed="false">
      <c r="A2859" s="55"/>
      <c r="B2859" s="56"/>
      <c r="C2859" s="56"/>
      <c r="D2859" s="56"/>
      <c r="E2859" s="57"/>
      <c r="F2859" s="58"/>
      <c r="G2859" s="59"/>
      <c r="H2859" s="56"/>
      <c r="I2859" s="56"/>
      <c r="J2859" s="60" t="str">
        <f aca="false">IF(IsPro,IF($D2859="","",IFERROR(INDEX(Items!$D$5:$D$504,U2859),"")),"")</f>
        <v/>
      </c>
      <c r="K2859" s="61" t="str">
        <f aca="false">IF(IsPro,IF($D2859="","",IF($F2859="",IFERROR(INDEX(Items!$H$5:$H$504,U2859),0),$F2859)),"")</f>
        <v/>
      </c>
      <c r="L2859" s="61" t="str">
        <f aca="false">IF(IsPro,IF($D2859="","",ROUND(N($E2859)*K2859*(1-N($G2859)),2)),"")</f>
        <v/>
      </c>
      <c r="M2859" s="62" t="str">
        <f aca="false">IF(IsPro,IF($D2859="","",IFERROR(INDEX(Items!$F$5:$F$504,U2859),0)),"")</f>
        <v/>
      </c>
      <c r="N2859" s="61" t="str">
        <f aca="false">IF(IsPro,IF($D2859="","",IF(AND(V2859&lt;&gt;"",INDEX(Parties!$E$5:$E$304,V2859)&lt;&gt;"",INDEX(Parties!$E$5:$E$304,V2859)&lt;&gt;HomeState),0,ROUND(L2859*M2859/2,2))),"")</f>
        <v/>
      </c>
      <c r="O2859" s="61" t="str">
        <f aca="false">IF(IsPro,IF($D2859="","",N2859),"")</f>
        <v/>
      </c>
      <c r="P2859" s="61" t="str">
        <f aca="false">IF(IsPro,IF($D2859="","",IF(AND(V2859&lt;&gt;"",INDEX(Parties!$E$5:$E$304,V2859)&lt;&gt;"",INDEX(Parties!$E$5:$E$304,V2859)&lt;&gt;HomeState),ROUND(L2859*M2859,2),0)),"")</f>
        <v/>
      </c>
      <c r="Q2859" s="61" t="str">
        <f aca="false">IF(IsPro,IF($D2859="","",L2859+N2859+O2859+P2859),"")</f>
        <v/>
      </c>
      <c r="R2859" s="61" t="str">
        <f aca="false">IF(IsPro,IF($D2859="","",ROUND(N($E2859)*IFERROR(INDEX(Items!$P$5:$P$504,U2859),0),2)),"")</f>
        <v/>
      </c>
      <c r="S2859" s="61" t="str">
        <f aca="false">IF(IsPro,IF($D2859="","",L2859-R2859),"")</f>
        <v/>
      </c>
      <c r="T2859" s="60" t="str">
        <f aca="false">IF(IsPro,IF($D2859="","",IF(U2859="","UNKNOWN ITEM",IF(INDEX(Items!$O$5:$O$504,U2859)&lt;0,"NEG STOCK",IF(K2859&lt;INDEX(Items!$P$5:$P$504,U2859),"BELOW COST","OK")))),IF($D2859="","","PRO PLAN"))</f>
        <v/>
      </c>
      <c r="U2859" s="60" t="str">
        <f aca="false">IF(IsPro,IF($D2859="","",IFERROR(MATCH($D2859,Items!$A$5:$A$504,0),"")),"")</f>
        <v/>
      </c>
      <c r="V2859" s="60" t="str">
        <f aca="false">IF(IsPro,IF($C2859="","",IFERROR(MATCH($C2859,Parties!$A$5:$A$304,0),"")),"")</f>
        <v/>
      </c>
      <c r="W2859" s="60" t="str">
        <f aca="false">IF(IsPro,IF($B2859="","",IFERROR(VALUE(SUBSTITUTE($B2859,InvPrefix,"")),0)),"")</f>
        <v/>
      </c>
      <c r="X2859" s="61" t="str">
        <f aca="false">IF(IsPro,IF($D2859="","",IF(OR($H2859="",$H2859="Credit"),0,Q2859)),"")</f>
        <v/>
      </c>
    </row>
    <row r="2860" customFormat="false" ht="15" hidden="false" customHeight="false" outlineLevel="0" collapsed="false">
      <c r="A2860" s="55"/>
      <c r="B2860" s="56"/>
      <c r="C2860" s="56"/>
      <c r="D2860" s="56"/>
      <c r="E2860" s="57"/>
      <c r="F2860" s="58"/>
      <c r="G2860" s="59"/>
      <c r="H2860" s="56"/>
      <c r="I2860" s="56"/>
      <c r="J2860" s="60" t="str">
        <f aca="false">IF(IsPro,IF($D2860="","",IFERROR(INDEX(Items!$D$5:$D$504,U2860),"")),"")</f>
        <v/>
      </c>
      <c r="K2860" s="61" t="str">
        <f aca="false">IF(IsPro,IF($D2860="","",IF($F2860="",IFERROR(INDEX(Items!$H$5:$H$504,U2860),0),$F2860)),"")</f>
        <v/>
      </c>
      <c r="L2860" s="61" t="str">
        <f aca="false">IF(IsPro,IF($D2860="","",ROUND(N($E2860)*K2860*(1-N($G2860)),2)),"")</f>
        <v/>
      </c>
      <c r="M2860" s="62" t="str">
        <f aca="false">IF(IsPro,IF($D2860="","",IFERROR(INDEX(Items!$F$5:$F$504,U2860),0)),"")</f>
        <v/>
      </c>
      <c r="N2860" s="61" t="str">
        <f aca="false">IF(IsPro,IF($D2860="","",IF(AND(V2860&lt;&gt;"",INDEX(Parties!$E$5:$E$304,V2860)&lt;&gt;"",INDEX(Parties!$E$5:$E$304,V2860)&lt;&gt;HomeState),0,ROUND(L2860*M2860/2,2))),"")</f>
        <v/>
      </c>
      <c r="O2860" s="61" t="str">
        <f aca="false">IF(IsPro,IF($D2860="","",N2860),"")</f>
        <v/>
      </c>
      <c r="P2860" s="61" t="str">
        <f aca="false">IF(IsPro,IF($D2860="","",IF(AND(V2860&lt;&gt;"",INDEX(Parties!$E$5:$E$304,V2860)&lt;&gt;"",INDEX(Parties!$E$5:$E$304,V2860)&lt;&gt;HomeState),ROUND(L2860*M2860,2),0)),"")</f>
        <v/>
      </c>
      <c r="Q2860" s="61" t="str">
        <f aca="false">IF(IsPro,IF($D2860="","",L2860+N2860+O2860+P2860),"")</f>
        <v/>
      </c>
      <c r="R2860" s="61" t="str">
        <f aca="false">IF(IsPro,IF($D2860="","",ROUND(N($E2860)*IFERROR(INDEX(Items!$P$5:$P$504,U2860),0),2)),"")</f>
        <v/>
      </c>
      <c r="S2860" s="61" t="str">
        <f aca="false">IF(IsPro,IF($D2860="","",L2860-R2860),"")</f>
        <v/>
      </c>
      <c r="T2860" s="60" t="str">
        <f aca="false">IF(IsPro,IF($D2860="","",IF(U2860="","UNKNOWN ITEM",IF(INDEX(Items!$O$5:$O$504,U2860)&lt;0,"NEG STOCK",IF(K2860&lt;INDEX(Items!$P$5:$P$504,U2860),"BELOW COST","OK")))),IF($D2860="","","PRO PLAN"))</f>
        <v/>
      </c>
      <c r="U2860" s="60" t="str">
        <f aca="false">IF(IsPro,IF($D2860="","",IFERROR(MATCH($D2860,Items!$A$5:$A$504,0),"")),"")</f>
        <v/>
      </c>
      <c r="V2860" s="60" t="str">
        <f aca="false">IF(IsPro,IF($C2860="","",IFERROR(MATCH($C2860,Parties!$A$5:$A$304,0),"")),"")</f>
        <v/>
      </c>
      <c r="W2860" s="60" t="str">
        <f aca="false">IF(IsPro,IF($B2860="","",IFERROR(VALUE(SUBSTITUTE($B2860,InvPrefix,"")),0)),"")</f>
        <v/>
      </c>
      <c r="X2860" s="61" t="str">
        <f aca="false">IF(IsPro,IF($D2860="","",IF(OR($H2860="",$H2860="Credit"),0,Q2860)),"")</f>
        <v/>
      </c>
    </row>
    <row r="2861" customFormat="false" ht="15" hidden="false" customHeight="false" outlineLevel="0" collapsed="false">
      <c r="A2861" s="55"/>
      <c r="B2861" s="56"/>
      <c r="C2861" s="56"/>
      <c r="D2861" s="56"/>
      <c r="E2861" s="57"/>
      <c r="F2861" s="58"/>
      <c r="G2861" s="59"/>
      <c r="H2861" s="56"/>
      <c r="I2861" s="56"/>
      <c r="J2861" s="60" t="str">
        <f aca="false">IF(IsPro,IF($D2861="","",IFERROR(INDEX(Items!$D$5:$D$504,U2861),"")),"")</f>
        <v/>
      </c>
      <c r="K2861" s="61" t="str">
        <f aca="false">IF(IsPro,IF($D2861="","",IF($F2861="",IFERROR(INDEX(Items!$H$5:$H$504,U2861),0),$F2861)),"")</f>
        <v/>
      </c>
      <c r="L2861" s="61" t="str">
        <f aca="false">IF(IsPro,IF($D2861="","",ROUND(N($E2861)*K2861*(1-N($G2861)),2)),"")</f>
        <v/>
      </c>
      <c r="M2861" s="62" t="str">
        <f aca="false">IF(IsPro,IF($D2861="","",IFERROR(INDEX(Items!$F$5:$F$504,U2861),0)),"")</f>
        <v/>
      </c>
      <c r="N2861" s="61" t="str">
        <f aca="false">IF(IsPro,IF($D2861="","",IF(AND(V2861&lt;&gt;"",INDEX(Parties!$E$5:$E$304,V2861)&lt;&gt;"",INDEX(Parties!$E$5:$E$304,V2861)&lt;&gt;HomeState),0,ROUND(L2861*M2861/2,2))),"")</f>
        <v/>
      </c>
      <c r="O2861" s="61" t="str">
        <f aca="false">IF(IsPro,IF($D2861="","",N2861),"")</f>
        <v/>
      </c>
      <c r="P2861" s="61" t="str">
        <f aca="false">IF(IsPro,IF($D2861="","",IF(AND(V2861&lt;&gt;"",INDEX(Parties!$E$5:$E$304,V2861)&lt;&gt;"",INDEX(Parties!$E$5:$E$304,V2861)&lt;&gt;HomeState),ROUND(L2861*M2861,2),0)),"")</f>
        <v/>
      </c>
      <c r="Q2861" s="61" t="str">
        <f aca="false">IF(IsPro,IF($D2861="","",L2861+N2861+O2861+P2861),"")</f>
        <v/>
      </c>
      <c r="R2861" s="61" t="str">
        <f aca="false">IF(IsPro,IF($D2861="","",ROUND(N($E2861)*IFERROR(INDEX(Items!$P$5:$P$504,U2861),0),2)),"")</f>
        <v/>
      </c>
      <c r="S2861" s="61" t="str">
        <f aca="false">IF(IsPro,IF($D2861="","",L2861-R2861),"")</f>
        <v/>
      </c>
      <c r="T2861" s="60" t="str">
        <f aca="false">IF(IsPro,IF($D2861="","",IF(U2861="","UNKNOWN ITEM",IF(INDEX(Items!$O$5:$O$504,U2861)&lt;0,"NEG STOCK",IF(K2861&lt;INDEX(Items!$P$5:$P$504,U2861),"BELOW COST","OK")))),IF($D2861="","","PRO PLAN"))</f>
        <v/>
      </c>
      <c r="U2861" s="60" t="str">
        <f aca="false">IF(IsPro,IF($D2861="","",IFERROR(MATCH($D2861,Items!$A$5:$A$504,0),"")),"")</f>
        <v/>
      </c>
      <c r="V2861" s="60" t="str">
        <f aca="false">IF(IsPro,IF($C2861="","",IFERROR(MATCH($C2861,Parties!$A$5:$A$304,0),"")),"")</f>
        <v/>
      </c>
      <c r="W2861" s="60" t="str">
        <f aca="false">IF(IsPro,IF($B2861="","",IFERROR(VALUE(SUBSTITUTE($B2861,InvPrefix,"")),0)),"")</f>
        <v/>
      </c>
      <c r="X2861" s="61" t="str">
        <f aca="false">IF(IsPro,IF($D2861="","",IF(OR($H2861="",$H2861="Credit"),0,Q2861)),"")</f>
        <v/>
      </c>
    </row>
    <row r="2862" customFormat="false" ht="15" hidden="false" customHeight="false" outlineLevel="0" collapsed="false">
      <c r="A2862" s="55"/>
      <c r="B2862" s="56"/>
      <c r="C2862" s="56"/>
      <c r="D2862" s="56"/>
      <c r="E2862" s="57"/>
      <c r="F2862" s="58"/>
      <c r="G2862" s="59"/>
      <c r="H2862" s="56"/>
      <c r="I2862" s="56"/>
      <c r="J2862" s="60" t="str">
        <f aca="false">IF(IsPro,IF($D2862="","",IFERROR(INDEX(Items!$D$5:$D$504,U2862),"")),"")</f>
        <v/>
      </c>
      <c r="K2862" s="61" t="str">
        <f aca="false">IF(IsPro,IF($D2862="","",IF($F2862="",IFERROR(INDEX(Items!$H$5:$H$504,U2862),0),$F2862)),"")</f>
        <v/>
      </c>
      <c r="L2862" s="61" t="str">
        <f aca="false">IF(IsPro,IF($D2862="","",ROUND(N($E2862)*K2862*(1-N($G2862)),2)),"")</f>
        <v/>
      </c>
      <c r="M2862" s="62" t="str">
        <f aca="false">IF(IsPro,IF($D2862="","",IFERROR(INDEX(Items!$F$5:$F$504,U2862),0)),"")</f>
        <v/>
      </c>
      <c r="N2862" s="61" t="str">
        <f aca="false">IF(IsPro,IF($D2862="","",IF(AND(V2862&lt;&gt;"",INDEX(Parties!$E$5:$E$304,V2862)&lt;&gt;"",INDEX(Parties!$E$5:$E$304,V2862)&lt;&gt;HomeState),0,ROUND(L2862*M2862/2,2))),"")</f>
        <v/>
      </c>
      <c r="O2862" s="61" t="str">
        <f aca="false">IF(IsPro,IF($D2862="","",N2862),"")</f>
        <v/>
      </c>
      <c r="P2862" s="61" t="str">
        <f aca="false">IF(IsPro,IF($D2862="","",IF(AND(V2862&lt;&gt;"",INDEX(Parties!$E$5:$E$304,V2862)&lt;&gt;"",INDEX(Parties!$E$5:$E$304,V2862)&lt;&gt;HomeState),ROUND(L2862*M2862,2),0)),"")</f>
        <v/>
      </c>
      <c r="Q2862" s="61" t="str">
        <f aca="false">IF(IsPro,IF($D2862="","",L2862+N2862+O2862+P2862),"")</f>
        <v/>
      </c>
      <c r="R2862" s="61" t="str">
        <f aca="false">IF(IsPro,IF($D2862="","",ROUND(N($E2862)*IFERROR(INDEX(Items!$P$5:$P$504,U2862),0),2)),"")</f>
        <v/>
      </c>
      <c r="S2862" s="61" t="str">
        <f aca="false">IF(IsPro,IF($D2862="","",L2862-R2862),"")</f>
        <v/>
      </c>
      <c r="T2862" s="60" t="str">
        <f aca="false">IF(IsPro,IF($D2862="","",IF(U2862="","UNKNOWN ITEM",IF(INDEX(Items!$O$5:$O$504,U2862)&lt;0,"NEG STOCK",IF(K2862&lt;INDEX(Items!$P$5:$P$504,U2862),"BELOW COST","OK")))),IF($D2862="","","PRO PLAN"))</f>
        <v/>
      </c>
      <c r="U2862" s="60" t="str">
        <f aca="false">IF(IsPro,IF($D2862="","",IFERROR(MATCH($D2862,Items!$A$5:$A$504,0),"")),"")</f>
        <v/>
      </c>
      <c r="V2862" s="60" t="str">
        <f aca="false">IF(IsPro,IF($C2862="","",IFERROR(MATCH($C2862,Parties!$A$5:$A$304,0),"")),"")</f>
        <v/>
      </c>
      <c r="W2862" s="60" t="str">
        <f aca="false">IF(IsPro,IF($B2862="","",IFERROR(VALUE(SUBSTITUTE($B2862,InvPrefix,"")),0)),"")</f>
        <v/>
      </c>
      <c r="X2862" s="61" t="str">
        <f aca="false">IF(IsPro,IF($D2862="","",IF(OR($H2862="",$H2862="Credit"),0,Q2862)),"")</f>
        <v/>
      </c>
    </row>
    <row r="2863" customFormat="false" ht="15" hidden="false" customHeight="false" outlineLevel="0" collapsed="false">
      <c r="A2863" s="55"/>
      <c r="B2863" s="56"/>
      <c r="C2863" s="56"/>
      <c r="D2863" s="56"/>
      <c r="E2863" s="57"/>
      <c r="F2863" s="58"/>
      <c r="G2863" s="59"/>
      <c r="H2863" s="56"/>
      <c r="I2863" s="56"/>
      <c r="J2863" s="60" t="str">
        <f aca="false">IF(IsPro,IF($D2863="","",IFERROR(INDEX(Items!$D$5:$D$504,U2863),"")),"")</f>
        <v/>
      </c>
      <c r="K2863" s="61" t="str">
        <f aca="false">IF(IsPro,IF($D2863="","",IF($F2863="",IFERROR(INDEX(Items!$H$5:$H$504,U2863),0),$F2863)),"")</f>
        <v/>
      </c>
      <c r="L2863" s="61" t="str">
        <f aca="false">IF(IsPro,IF($D2863="","",ROUND(N($E2863)*K2863*(1-N($G2863)),2)),"")</f>
        <v/>
      </c>
      <c r="M2863" s="62" t="str">
        <f aca="false">IF(IsPro,IF($D2863="","",IFERROR(INDEX(Items!$F$5:$F$504,U2863),0)),"")</f>
        <v/>
      </c>
      <c r="N2863" s="61" t="str">
        <f aca="false">IF(IsPro,IF($D2863="","",IF(AND(V2863&lt;&gt;"",INDEX(Parties!$E$5:$E$304,V2863)&lt;&gt;"",INDEX(Parties!$E$5:$E$304,V2863)&lt;&gt;HomeState),0,ROUND(L2863*M2863/2,2))),"")</f>
        <v/>
      </c>
      <c r="O2863" s="61" t="str">
        <f aca="false">IF(IsPro,IF($D2863="","",N2863),"")</f>
        <v/>
      </c>
      <c r="P2863" s="61" t="str">
        <f aca="false">IF(IsPro,IF($D2863="","",IF(AND(V2863&lt;&gt;"",INDEX(Parties!$E$5:$E$304,V2863)&lt;&gt;"",INDEX(Parties!$E$5:$E$304,V2863)&lt;&gt;HomeState),ROUND(L2863*M2863,2),0)),"")</f>
        <v/>
      </c>
      <c r="Q2863" s="61" t="str">
        <f aca="false">IF(IsPro,IF($D2863="","",L2863+N2863+O2863+P2863),"")</f>
        <v/>
      </c>
      <c r="R2863" s="61" t="str">
        <f aca="false">IF(IsPro,IF($D2863="","",ROUND(N($E2863)*IFERROR(INDEX(Items!$P$5:$P$504,U2863),0),2)),"")</f>
        <v/>
      </c>
      <c r="S2863" s="61" t="str">
        <f aca="false">IF(IsPro,IF($D2863="","",L2863-R2863),"")</f>
        <v/>
      </c>
      <c r="T2863" s="60" t="str">
        <f aca="false">IF(IsPro,IF($D2863="","",IF(U2863="","UNKNOWN ITEM",IF(INDEX(Items!$O$5:$O$504,U2863)&lt;0,"NEG STOCK",IF(K2863&lt;INDEX(Items!$P$5:$P$504,U2863),"BELOW COST","OK")))),IF($D2863="","","PRO PLAN"))</f>
        <v/>
      </c>
      <c r="U2863" s="60" t="str">
        <f aca="false">IF(IsPro,IF($D2863="","",IFERROR(MATCH($D2863,Items!$A$5:$A$504,0),"")),"")</f>
        <v/>
      </c>
      <c r="V2863" s="60" t="str">
        <f aca="false">IF(IsPro,IF($C2863="","",IFERROR(MATCH($C2863,Parties!$A$5:$A$304,0),"")),"")</f>
        <v/>
      </c>
      <c r="W2863" s="60" t="str">
        <f aca="false">IF(IsPro,IF($B2863="","",IFERROR(VALUE(SUBSTITUTE($B2863,InvPrefix,"")),0)),"")</f>
        <v/>
      </c>
      <c r="X2863" s="61" t="str">
        <f aca="false">IF(IsPro,IF($D2863="","",IF(OR($H2863="",$H2863="Credit"),0,Q2863)),"")</f>
        <v/>
      </c>
    </row>
    <row r="2864" customFormat="false" ht="15" hidden="false" customHeight="false" outlineLevel="0" collapsed="false">
      <c r="A2864" s="55"/>
      <c r="B2864" s="56"/>
      <c r="C2864" s="56"/>
      <c r="D2864" s="56"/>
      <c r="E2864" s="57"/>
      <c r="F2864" s="58"/>
      <c r="G2864" s="59"/>
      <c r="H2864" s="56"/>
      <c r="I2864" s="56"/>
      <c r="J2864" s="60" t="str">
        <f aca="false">IF(IsPro,IF($D2864="","",IFERROR(INDEX(Items!$D$5:$D$504,U2864),"")),"")</f>
        <v/>
      </c>
      <c r="K2864" s="61" t="str">
        <f aca="false">IF(IsPro,IF($D2864="","",IF($F2864="",IFERROR(INDEX(Items!$H$5:$H$504,U2864),0),$F2864)),"")</f>
        <v/>
      </c>
      <c r="L2864" s="61" t="str">
        <f aca="false">IF(IsPro,IF($D2864="","",ROUND(N($E2864)*K2864*(1-N($G2864)),2)),"")</f>
        <v/>
      </c>
      <c r="M2864" s="62" t="str">
        <f aca="false">IF(IsPro,IF($D2864="","",IFERROR(INDEX(Items!$F$5:$F$504,U2864),0)),"")</f>
        <v/>
      </c>
      <c r="N2864" s="61" t="str">
        <f aca="false">IF(IsPro,IF($D2864="","",IF(AND(V2864&lt;&gt;"",INDEX(Parties!$E$5:$E$304,V2864)&lt;&gt;"",INDEX(Parties!$E$5:$E$304,V2864)&lt;&gt;HomeState),0,ROUND(L2864*M2864/2,2))),"")</f>
        <v/>
      </c>
      <c r="O2864" s="61" t="str">
        <f aca="false">IF(IsPro,IF($D2864="","",N2864),"")</f>
        <v/>
      </c>
      <c r="P2864" s="61" t="str">
        <f aca="false">IF(IsPro,IF($D2864="","",IF(AND(V2864&lt;&gt;"",INDEX(Parties!$E$5:$E$304,V2864)&lt;&gt;"",INDEX(Parties!$E$5:$E$304,V2864)&lt;&gt;HomeState),ROUND(L2864*M2864,2),0)),"")</f>
        <v/>
      </c>
      <c r="Q2864" s="61" t="str">
        <f aca="false">IF(IsPro,IF($D2864="","",L2864+N2864+O2864+P2864),"")</f>
        <v/>
      </c>
      <c r="R2864" s="61" t="str">
        <f aca="false">IF(IsPro,IF($D2864="","",ROUND(N($E2864)*IFERROR(INDEX(Items!$P$5:$P$504,U2864),0),2)),"")</f>
        <v/>
      </c>
      <c r="S2864" s="61" t="str">
        <f aca="false">IF(IsPro,IF($D2864="","",L2864-R2864),"")</f>
        <v/>
      </c>
      <c r="T2864" s="60" t="str">
        <f aca="false">IF(IsPro,IF($D2864="","",IF(U2864="","UNKNOWN ITEM",IF(INDEX(Items!$O$5:$O$504,U2864)&lt;0,"NEG STOCK",IF(K2864&lt;INDEX(Items!$P$5:$P$504,U2864),"BELOW COST","OK")))),IF($D2864="","","PRO PLAN"))</f>
        <v/>
      </c>
      <c r="U2864" s="60" t="str">
        <f aca="false">IF(IsPro,IF($D2864="","",IFERROR(MATCH($D2864,Items!$A$5:$A$504,0),"")),"")</f>
        <v/>
      </c>
      <c r="V2864" s="60" t="str">
        <f aca="false">IF(IsPro,IF($C2864="","",IFERROR(MATCH($C2864,Parties!$A$5:$A$304,0),"")),"")</f>
        <v/>
      </c>
      <c r="W2864" s="60" t="str">
        <f aca="false">IF(IsPro,IF($B2864="","",IFERROR(VALUE(SUBSTITUTE($B2864,InvPrefix,"")),0)),"")</f>
        <v/>
      </c>
      <c r="X2864" s="61" t="str">
        <f aca="false">IF(IsPro,IF($D2864="","",IF(OR($H2864="",$H2864="Credit"),0,Q2864)),"")</f>
        <v/>
      </c>
    </row>
    <row r="2865" customFormat="false" ht="15" hidden="false" customHeight="false" outlineLevel="0" collapsed="false">
      <c r="A2865" s="55"/>
      <c r="B2865" s="56"/>
      <c r="C2865" s="56"/>
      <c r="D2865" s="56"/>
      <c r="E2865" s="57"/>
      <c r="F2865" s="58"/>
      <c r="G2865" s="59"/>
      <c r="H2865" s="56"/>
      <c r="I2865" s="56"/>
      <c r="J2865" s="60" t="str">
        <f aca="false">IF(IsPro,IF($D2865="","",IFERROR(INDEX(Items!$D$5:$D$504,U2865),"")),"")</f>
        <v/>
      </c>
      <c r="K2865" s="61" t="str">
        <f aca="false">IF(IsPro,IF($D2865="","",IF($F2865="",IFERROR(INDEX(Items!$H$5:$H$504,U2865),0),$F2865)),"")</f>
        <v/>
      </c>
      <c r="L2865" s="61" t="str">
        <f aca="false">IF(IsPro,IF($D2865="","",ROUND(N($E2865)*K2865*(1-N($G2865)),2)),"")</f>
        <v/>
      </c>
      <c r="M2865" s="62" t="str">
        <f aca="false">IF(IsPro,IF($D2865="","",IFERROR(INDEX(Items!$F$5:$F$504,U2865),0)),"")</f>
        <v/>
      </c>
      <c r="N2865" s="61" t="str">
        <f aca="false">IF(IsPro,IF($D2865="","",IF(AND(V2865&lt;&gt;"",INDEX(Parties!$E$5:$E$304,V2865)&lt;&gt;"",INDEX(Parties!$E$5:$E$304,V2865)&lt;&gt;HomeState),0,ROUND(L2865*M2865/2,2))),"")</f>
        <v/>
      </c>
      <c r="O2865" s="61" t="str">
        <f aca="false">IF(IsPro,IF($D2865="","",N2865),"")</f>
        <v/>
      </c>
      <c r="P2865" s="61" t="str">
        <f aca="false">IF(IsPro,IF($D2865="","",IF(AND(V2865&lt;&gt;"",INDEX(Parties!$E$5:$E$304,V2865)&lt;&gt;"",INDEX(Parties!$E$5:$E$304,V2865)&lt;&gt;HomeState),ROUND(L2865*M2865,2),0)),"")</f>
        <v/>
      </c>
      <c r="Q2865" s="61" t="str">
        <f aca="false">IF(IsPro,IF($D2865="","",L2865+N2865+O2865+P2865),"")</f>
        <v/>
      </c>
      <c r="R2865" s="61" t="str">
        <f aca="false">IF(IsPro,IF($D2865="","",ROUND(N($E2865)*IFERROR(INDEX(Items!$P$5:$P$504,U2865),0),2)),"")</f>
        <v/>
      </c>
      <c r="S2865" s="61" t="str">
        <f aca="false">IF(IsPro,IF($D2865="","",L2865-R2865),"")</f>
        <v/>
      </c>
      <c r="T2865" s="60" t="str">
        <f aca="false">IF(IsPro,IF($D2865="","",IF(U2865="","UNKNOWN ITEM",IF(INDEX(Items!$O$5:$O$504,U2865)&lt;0,"NEG STOCK",IF(K2865&lt;INDEX(Items!$P$5:$P$504,U2865),"BELOW COST","OK")))),IF($D2865="","","PRO PLAN"))</f>
        <v/>
      </c>
      <c r="U2865" s="60" t="str">
        <f aca="false">IF(IsPro,IF($D2865="","",IFERROR(MATCH($D2865,Items!$A$5:$A$504,0),"")),"")</f>
        <v/>
      </c>
      <c r="V2865" s="60" t="str">
        <f aca="false">IF(IsPro,IF($C2865="","",IFERROR(MATCH($C2865,Parties!$A$5:$A$304,0),"")),"")</f>
        <v/>
      </c>
      <c r="W2865" s="60" t="str">
        <f aca="false">IF(IsPro,IF($B2865="","",IFERROR(VALUE(SUBSTITUTE($B2865,InvPrefix,"")),0)),"")</f>
        <v/>
      </c>
      <c r="X2865" s="61" t="str">
        <f aca="false">IF(IsPro,IF($D2865="","",IF(OR($H2865="",$H2865="Credit"),0,Q2865)),"")</f>
        <v/>
      </c>
    </row>
    <row r="2866" customFormat="false" ht="15" hidden="false" customHeight="false" outlineLevel="0" collapsed="false">
      <c r="A2866" s="55"/>
      <c r="B2866" s="56"/>
      <c r="C2866" s="56"/>
      <c r="D2866" s="56"/>
      <c r="E2866" s="57"/>
      <c r="F2866" s="58"/>
      <c r="G2866" s="59"/>
      <c r="H2866" s="56"/>
      <c r="I2866" s="56"/>
      <c r="J2866" s="60" t="str">
        <f aca="false">IF(IsPro,IF($D2866="","",IFERROR(INDEX(Items!$D$5:$D$504,U2866),"")),"")</f>
        <v/>
      </c>
      <c r="K2866" s="61" t="str">
        <f aca="false">IF(IsPro,IF($D2866="","",IF($F2866="",IFERROR(INDEX(Items!$H$5:$H$504,U2866),0),$F2866)),"")</f>
        <v/>
      </c>
      <c r="L2866" s="61" t="str">
        <f aca="false">IF(IsPro,IF($D2866="","",ROUND(N($E2866)*K2866*(1-N($G2866)),2)),"")</f>
        <v/>
      </c>
      <c r="M2866" s="62" t="str">
        <f aca="false">IF(IsPro,IF($D2866="","",IFERROR(INDEX(Items!$F$5:$F$504,U2866),0)),"")</f>
        <v/>
      </c>
      <c r="N2866" s="61" t="str">
        <f aca="false">IF(IsPro,IF($D2866="","",IF(AND(V2866&lt;&gt;"",INDEX(Parties!$E$5:$E$304,V2866)&lt;&gt;"",INDEX(Parties!$E$5:$E$304,V2866)&lt;&gt;HomeState),0,ROUND(L2866*M2866/2,2))),"")</f>
        <v/>
      </c>
      <c r="O2866" s="61" t="str">
        <f aca="false">IF(IsPro,IF($D2866="","",N2866),"")</f>
        <v/>
      </c>
      <c r="P2866" s="61" t="str">
        <f aca="false">IF(IsPro,IF($D2866="","",IF(AND(V2866&lt;&gt;"",INDEX(Parties!$E$5:$E$304,V2866)&lt;&gt;"",INDEX(Parties!$E$5:$E$304,V2866)&lt;&gt;HomeState),ROUND(L2866*M2866,2),0)),"")</f>
        <v/>
      </c>
      <c r="Q2866" s="61" t="str">
        <f aca="false">IF(IsPro,IF($D2866="","",L2866+N2866+O2866+P2866),"")</f>
        <v/>
      </c>
      <c r="R2866" s="61" t="str">
        <f aca="false">IF(IsPro,IF($D2866="","",ROUND(N($E2866)*IFERROR(INDEX(Items!$P$5:$P$504,U2866),0),2)),"")</f>
        <v/>
      </c>
      <c r="S2866" s="61" t="str">
        <f aca="false">IF(IsPro,IF($D2866="","",L2866-R2866),"")</f>
        <v/>
      </c>
      <c r="T2866" s="60" t="str">
        <f aca="false">IF(IsPro,IF($D2866="","",IF(U2866="","UNKNOWN ITEM",IF(INDEX(Items!$O$5:$O$504,U2866)&lt;0,"NEG STOCK",IF(K2866&lt;INDEX(Items!$P$5:$P$504,U2866),"BELOW COST","OK")))),IF($D2866="","","PRO PLAN"))</f>
        <v/>
      </c>
      <c r="U2866" s="60" t="str">
        <f aca="false">IF(IsPro,IF($D2866="","",IFERROR(MATCH($D2866,Items!$A$5:$A$504,0),"")),"")</f>
        <v/>
      </c>
      <c r="V2866" s="60" t="str">
        <f aca="false">IF(IsPro,IF($C2866="","",IFERROR(MATCH($C2866,Parties!$A$5:$A$304,0),"")),"")</f>
        <v/>
      </c>
      <c r="W2866" s="60" t="str">
        <f aca="false">IF(IsPro,IF($B2866="","",IFERROR(VALUE(SUBSTITUTE($B2866,InvPrefix,"")),0)),"")</f>
        <v/>
      </c>
      <c r="X2866" s="61" t="str">
        <f aca="false">IF(IsPro,IF($D2866="","",IF(OR($H2866="",$H2866="Credit"),0,Q2866)),"")</f>
        <v/>
      </c>
    </row>
    <row r="2867" customFormat="false" ht="15" hidden="false" customHeight="false" outlineLevel="0" collapsed="false">
      <c r="A2867" s="55"/>
      <c r="B2867" s="56"/>
      <c r="C2867" s="56"/>
      <c r="D2867" s="56"/>
      <c r="E2867" s="57"/>
      <c r="F2867" s="58"/>
      <c r="G2867" s="59"/>
      <c r="H2867" s="56"/>
      <c r="I2867" s="56"/>
      <c r="J2867" s="60" t="str">
        <f aca="false">IF(IsPro,IF($D2867="","",IFERROR(INDEX(Items!$D$5:$D$504,U2867),"")),"")</f>
        <v/>
      </c>
      <c r="K2867" s="61" t="str">
        <f aca="false">IF(IsPro,IF($D2867="","",IF($F2867="",IFERROR(INDEX(Items!$H$5:$H$504,U2867),0),$F2867)),"")</f>
        <v/>
      </c>
      <c r="L2867" s="61" t="str">
        <f aca="false">IF(IsPro,IF($D2867="","",ROUND(N($E2867)*K2867*(1-N($G2867)),2)),"")</f>
        <v/>
      </c>
      <c r="M2867" s="62" t="str">
        <f aca="false">IF(IsPro,IF($D2867="","",IFERROR(INDEX(Items!$F$5:$F$504,U2867),0)),"")</f>
        <v/>
      </c>
      <c r="N2867" s="61" t="str">
        <f aca="false">IF(IsPro,IF($D2867="","",IF(AND(V2867&lt;&gt;"",INDEX(Parties!$E$5:$E$304,V2867)&lt;&gt;"",INDEX(Parties!$E$5:$E$304,V2867)&lt;&gt;HomeState),0,ROUND(L2867*M2867/2,2))),"")</f>
        <v/>
      </c>
      <c r="O2867" s="61" t="str">
        <f aca="false">IF(IsPro,IF($D2867="","",N2867),"")</f>
        <v/>
      </c>
      <c r="P2867" s="61" t="str">
        <f aca="false">IF(IsPro,IF($D2867="","",IF(AND(V2867&lt;&gt;"",INDEX(Parties!$E$5:$E$304,V2867)&lt;&gt;"",INDEX(Parties!$E$5:$E$304,V2867)&lt;&gt;HomeState),ROUND(L2867*M2867,2),0)),"")</f>
        <v/>
      </c>
      <c r="Q2867" s="61" t="str">
        <f aca="false">IF(IsPro,IF($D2867="","",L2867+N2867+O2867+P2867),"")</f>
        <v/>
      </c>
      <c r="R2867" s="61" t="str">
        <f aca="false">IF(IsPro,IF($D2867="","",ROUND(N($E2867)*IFERROR(INDEX(Items!$P$5:$P$504,U2867),0),2)),"")</f>
        <v/>
      </c>
      <c r="S2867" s="61" t="str">
        <f aca="false">IF(IsPro,IF($D2867="","",L2867-R2867),"")</f>
        <v/>
      </c>
      <c r="T2867" s="60" t="str">
        <f aca="false">IF(IsPro,IF($D2867="","",IF(U2867="","UNKNOWN ITEM",IF(INDEX(Items!$O$5:$O$504,U2867)&lt;0,"NEG STOCK",IF(K2867&lt;INDEX(Items!$P$5:$P$504,U2867),"BELOW COST","OK")))),IF($D2867="","","PRO PLAN"))</f>
        <v/>
      </c>
      <c r="U2867" s="60" t="str">
        <f aca="false">IF(IsPro,IF($D2867="","",IFERROR(MATCH($D2867,Items!$A$5:$A$504,0),"")),"")</f>
        <v/>
      </c>
      <c r="V2867" s="60" t="str">
        <f aca="false">IF(IsPro,IF($C2867="","",IFERROR(MATCH($C2867,Parties!$A$5:$A$304,0),"")),"")</f>
        <v/>
      </c>
      <c r="W2867" s="60" t="str">
        <f aca="false">IF(IsPro,IF($B2867="","",IFERROR(VALUE(SUBSTITUTE($B2867,InvPrefix,"")),0)),"")</f>
        <v/>
      </c>
      <c r="X2867" s="61" t="str">
        <f aca="false">IF(IsPro,IF($D2867="","",IF(OR($H2867="",$H2867="Credit"),0,Q2867)),"")</f>
        <v/>
      </c>
    </row>
    <row r="2868" customFormat="false" ht="15" hidden="false" customHeight="false" outlineLevel="0" collapsed="false">
      <c r="A2868" s="55"/>
      <c r="B2868" s="56"/>
      <c r="C2868" s="56"/>
      <c r="D2868" s="56"/>
      <c r="E2868" s="57"/>
      <c r="F2868" s="58"/>
      <c r="G2868" s="59"/>
      <c r="H2868" s="56"/>
      <c r="I2868" s="56"/>
      <c r="J2868" s="60" t="str">
        <f aca="false">IF(IsPro,IF($D2868="","",IFERROR(INDEX(Items!$D$5:$D$504,U2868),"")),"")</f>
        <v/>
      </c>
      <c r="K2868" s="61" t="str">
        <f aca="false">IF(IsPro,IF($D2868="","",IF($F2868="",IFERROR(INDEX(Items!$H$5:$H$504,U2868),0),$F2868)),"")</f>
        <v/>
      </c>
      <c r="L2868" s="61" t="str">
        <f aca="false">IF(IsPro,IF($D2868="","",ROUND(N($E2868)*K2868*(1-N($G2868)),2)),"")</f>
        <v/>
      </c>
      <c r="M2868" s="62" t="str">
        <f aca="false">IF(IsPro,IF($D2868="","",IFERROR(INDEX(Items!$F$5:$F$504,U2868),0)),"")</f>
        <v/>
      </c>
      <c r="N2868" s="61" t="str">
        <f aca="false">IF(IsPro,IF($D2868="","",IF(AND(V2868&lt;&gt;"",INDEX(Parties!$E$5:$E$304,V2868)&lt;&gt;"",INDEX(Parties!$E$5:$E$304,V2868)&lt;&gt;HomeState),0,ROUND(L2868*M2868/2,2))),"")</f>
        <v/>
      </c>
      <c r="O2868" s="61" t="str">
        <f aca="false">IF(IsPro,IF($D2868="","",N2868),"")</f>
        <v/>
      </c>
      <c r="P2868" s="61" t="str">
        <f aca="false">IF(IsPro,IF($D2868="","",IF(AND(V2868&lt;&gt;"",INDEX(Parties!$E$5:$E$304,V2868)&lt;&gt;"",INDEX(Parties!$E$5:$E$304,V2868)&lt;&gt;HomeState),ROUND(L2868*M2868,2),0)),"")</f>
        <v/>
      </c>
      <c r="Q2868" s="61" t="str">
        <f aca="false">IF(IsPro,IF($D2868="","",L2868+N2868+O2868+P2868),"")</f>
        <v/>
      </c>
      <c r="R2868" s="61" t="str">
        <f aca="false">IF(IsPro,IF($D2868="","",ROUND(N($E2868)*IFERROR(INDEX(Items!$P$5:$P$504,U2868),0),2)),"")</f>
        <v/>
      </c>
      <c r="S2868" s="61" t="str">
        <f aca="false">IF(IsPro,IF($D2868="","",L2868-R2868),"")</f>
        <v/>
      </c>
      <c r="T2868" s="60" t="str">
        <f aca="false">IF(IsPro,IF($D2868="","",IF(U2868="","UNKNOWN ITEM",IF(INDEX(Items!$O$5:$O$504,U2868)&lt;0,"NEG STOCK",IF(K2868&lt;INDEX(Items!$P$5:$P$504,U2868),"BELOW COST","OK")))),IF($D2868="","","PRO PLAN"))</f>
        <v/>
      </c>
      <c r="U2868" s="60" t="str">
        <f aca="false">IF(IsPro,IF($D2868="","",IFERROR(MATCH($D2868,Items!$A$5:$A$504,0),"")),"")</f>
        <v/>
      </c>
      <c r="V2868" s="60" t="str">
        <f aca="false">IF(IsPro,IF($C2868="","",IFERROR(MATCH($C2868,Parties!$A$5:$A$304,0),"")),"")</f>
        <v/>
      </c>
      <c r="W2868" s="60" t="str">
        <f aca="false">IF(IsPro,IF($B2868="","",IFERROR(VALUE(SUBSTITUTE($B2868,InvPrefix,"")),0)),"")</f>
        <v/>
      </c>
      <c r="X2868" s="61" t="str">
        <f aca="false">IF(IsPro,IF($D2868="","",IF(OR($H2868="",$H2868="Credit"),0,Q2868)),"")</f>
        <v/>
      </c>
    </row>
    <row r="2869" customFormat="false" ht="15" hidden="false" customHeight="false" outlineLevel="0" collapsed="false">
      <c r="A2869" s="55"/>
      <c r="B2869" s="56"/>
      <c r="C2869" s="56"/>
      <c r="D2869" s="56"/>
      <c r="E2869" s="57"/>
      <c r="F2869" s="58"/>
      <c r="G2869" s="59"/>
      <c r="H2869" s="56"/>
      <c r="I2869" s="56"/>
      <c r="J2869" s="60" t="str">
        <f aca="false">IF(IsPro,IF($D2869="","",IFERROR(INDEX(Items!$D$5:$D$504,U2869),"")),"")</f>
        <v/>
      </c>
      <c r="K2869" s="61" t="str">
        <f aca="false">IF(IsPro,IF($D2869="","",IF($F2869="",IFERROR(INDEX(Items!$H$5:$H$504,U2869),0),$F2869)),"")</f>
        <v/>
      </c>
      <c r="L2869" s="61" t="str">
        <f aca="false">IF(IsPro,IF($D2869="","",ROUND(N($E2869)*K2869*(1-N($G2869)),2)),"")</f>
        <v/>
      </c>
      <c r="M2869" s="62" t="str">
        <f aca="false">IF(IsPro,IF($D2869="","",IFERROR(INDEX(Items!$F$5:$F$504,U2869),0)),"")</f>
        <v/>
      </c>
      <c r="N2869" s="61" t="str">
        <f aca="false">IF(IsPro,IF($D2869="","",IF(AND(V2869&lt;&gt;"",INDEX(Parties!$E$5:$E$304,V2869)&lt;&gt;"",INDEX(Parties!$E$5:$E$304,V2869)&lt;&gt;HomeState),0,ROUND(L2869*M2869/2,2))),"")</f>
        <v/>
      </c>
      <c r="O2869" s="61" t="str">
        <f aca="false">IF(IsPro,IF($D2869="","",N2869),"")</f>
        <v/>
      </c>
      <c r="P2869" s="61" t="str">
        <f aca="false">IF(IsPro,IF($D2869="","",IF(AND(V2869&lt;&gt;"",INDEX(Parties!$E$5:$E$304,V2869)&lt;&gt;"",INDEX(Parties!$E$5:$E$304,V2869)&lt;&gt;HomeState),ROUND(L2869*M2869,2),0)),"")</f>
        <v/>
      </c>
      <c r="Q2869" s="61" t="str">
        <f aca="false">IF(IsPro,IF($D2869="","",L2869+N2869+O2869+P2869),"")</f>
        <v/>
      </c>
      <c r="R2869" s="61" t="str">
        <f aca="false">IF(IsPro,IF($D2869="","",ROUND(N($E2869)*IFERROR(INDEX(Items!$P$5:$P$504,U2869),0),2)),"")</f>
        <v/>
      </c>
      <c r="S2869" s="61" t="str">
        <f aca="false">IF(IsPro,IF($D2869="","",L2869-R2869),"")</f>
        <v/>
      </c>
      <c r="T2869" s="60" t="str">
        <f aca="false">IF(IsPro,IF($D2869="","",IF(U2869="","UNKNOWN ITEM",IF(INDEX(Items!$O$5:$O$504,U2869)&lt;0,"NEG STOCK",IF(K2869&lt;INDEX(Items!$P$5:$P$504,U2869),"BELOW COST","OK")))),IF($D2869="","","PRO PLAN"))</f>
        <v/>
      </c>
      <c r="U2869" s="60" t="str">
        <f aca="false">IF(IsPro,IF($D2869="","",IFERROR(MATCH($D2869,Items!$A$5:$A$504,0),"")),"")</f>
        <v/>
      </c>
      <c r="V2869" s="60" t="str">
        <f aca="false">IF(IsPro,IF($C2869="","",IFERROR(MATCH($C2869,Parties!$A$5:$A$304,0),"")),"")</f>
        <v/>
      </c>
      <c r="W2869" s="60" t="str">
        <f aca="false">IF(IsPro,IF($B2869="","",IFERROR(VALUE(SUBSTITUTE($B2869,InvPrefix,"")),0)),"")</f>
        <v/>
      </c>
      <c r="X2869" s="61" t="str">
        <f aca="false">IF(IsPro,IF($D2869="","",IF(OR($H2869="",$H2869="Credit"),0,Q2869)),"")</f>
        <v/>
      </c>
    </row>
    <row r="2870" customFormat="false" ht="15" hidden="false" customHeight="false" outlineLevel="0" collapsed="false">
      <c r="A2870" s="55"/>
      <c r="B2870" s="56"/>
      <c r="C2870" s="56"/>
      <c r="D2870" s="56"/>
      <c r="E2870" s="57"/>
      <c r="F2870" s="58"/>
      <c r="G2870" s="59"/>
      <c r="H2870" s="56"/>
      <c r="I2870" s="56"/>
      <c r="J2870" s="60" t="str">
        <f aca="false">IF(IsPro,IF($D2870="","",IFERROR(INDEX(Items!$D$5:$D$504,U2870),"")),"")</f>
        <v/>
      </c>
      <c r="K2870" s="61" t="str">
        <f aca="false">IF(IsPro,IF($D2870="","",IF($F2870="",IFERROR(INDEX(Items!$H$5:$H$504,U2870),0),$F2870)),"")</f>
        <v/>
      </c>
      <c r="L2870" s="61" t="str">
        <f aca="false">IF(IsPro,IF($D2870="","",ROUND(N($E2870)*K2870*(1-N($G2870)),2)),"")</f>
        <v/>
      </c>
      <c r="M2870" s="62" t="str">
        <f aca="false">IF(IsPro,IF($D2870="","",IFERROR(INDEX(Items!$F$5:$F$504,U2870),0)),"")</f>
        <v/>
      </c>
      <c r="N2870" s="61" t="str">
        <f aca="false">IF(IsPro,IF($D2870="","",IF(AND(V2870&lt;&gt;"",INDEX(Parties!$E$5:$E$304,V2870)&lt;&gt;"",INDEX(Parties!$E$5:$E$304,V2870)&lt;&gt;HomeState),0,ROUND(L2870*M2870/2,2))),"")</f>
        <v/>
      </c>
      <c r="O2870" s="61" t="str">
        <f aca="false">IF(IsPro,IF($D2870="","",N2870),"")</f>
        <v/>
      </c>
      <c r="P2870" s="61" t="str">
        <f aca="false">IF(IsPro,IF($D2870="","",IF(AND(V2870&lt;&gt;"",INDEX(Parties!$E$5:$E$304,V2870)&lt;&gt;"",INDEX(Parties!$E$5:$E$304,V2870)&lt;&gt;HomeState),ROUND(L2870*M2870,2),0)),"")</f>
        <v/>
      </c>
      <c r="Q2870" s="61" t="str">
        <f aca="false">IF(IsPro,IF($D2870="","",L2870+N2870+O2870+P2870),"")</f>
        <v/>
      </c>
      <c r="R2870" s="61" t="str">
        <f aca="false">IF(IsPro,IF($D2870="","",ROUND(N($E2870)*IFERROR(INDEX(Items!$P$5:$P$504,U2870),0),2)),"")</f>
        <v/>
      </c>
      <c r="S2870" s="61" t="str">
        <f aca="false">IF(IsPro,IF($D2870="","",L2870-R2870),"")</f>
        <v/>
      </c>
      <c r="T2870" s="60" t="str">
        <f aca="false">IF(IsPro,IF($D2870="","",IF(U2870="","UNKNOWN ITEM",IF(INDEX(Items!$O$5:$O$504,U2870)&lt;0,"NEG STOCK",IF(K2870&lt;INDEX(Items!$P$5:$P$504,U2870),"BELOW COST","OK")))),IF($D2870="","","PRO PLAN"))</f>
        <v/>
      </c>
      <c r="U2870" s="60" t="str">
        <f aca="false">IF(IsPro,IF($D2870="","",IFERROR(MATCH($D2870,Items!$A$5:$A$504,0),"")),"")</f>
        <v/>
      </c>
      <c r="V2870" s="60" t="str">
        <f aca="false">IF(IsPro,IF($C2870="","",IFERROR(MATCH($C2870,Parties!$A$5:$A$304,0),"")),"")</f>
        <v/>
      </c>
      <c r="W2870" s="60" t="str">
        <f aca="false">IF(IsPro,IF($B2870="","",IFERROR(VALUE(SUBSTITUTE($B2870,InvPrefix,"")),0)),"")</f>
        <v/>
      </c>
      <c r="X2870" s="61" t="str">
        <f aca="false">IF(IsPro,IF($D2870="","",IF(OR($H2870="",$H2870="Credit"),0,Q2870)),"")</f>
        <v/>
      </c>
    </row>
    <row r="2871" customFormat="false" ht="15" hidden="false" customHeight="false" outlineLevel="0" collapsed="false">
      <c r="A2871" s="55"/>
      <c r="B2871" s="56"/>
      <c r="C2871" s="56"/>
      <c r="D2871" s="56"/>
      <c r="E2871" s="57"/>
      <c r="F2871" s="58"/>
      <c r="G2871" s="59"/>
      <c r="H2871" s="56"/>
      <c r="I2871" s="56"/>
      <c r="J2871" s="60" t="str">
        <f aca="false">IF(IsPro,IF($D2871="","",IFERROR(INDEX(Items!$D$5:$D$504,U2871),"")),"")</f>
        <v/>
      </c>
      <c r="K2871" s="61" t="str">
        <f aca="false">IF(IsPro,IF($D2871="","",IF($F2871="",IFERROR(INDEX(Items!$H$5:$H$504,U2871),0),$F2871)),"")</f>
        <v/>
      </c>
      <c r="L2871" s="61" t="str">
        <f aca="false">IF(IsPro,IF($D2871="","",ROUND(N($E2871)*K2871*(1-N($G2871)),2)),"")</f>
        <v/>
      </c>
      <c r="M2871" s="62" t="str">
        <f aca="false">IF(IsPro,IF($D2871="","",IFERROR(INDEX(Items!$F$5:$F$504,U2871),0)),"")</f>
        <v/>
      </c>
      <c r="N2871" s="61" t="str">
        <f aca="false">IF(IsPro,IF($D2871="","",IF(AND(V2871&lt;&gt;"",INDEX(Parties!$E$5:$E$304,V2871)&lt;&gt;"",INDEX(Parties!$E$5:$E$304,V2871)&lt;&gt;HomeState),0,ROUND(L2871*M2871/2,2))),"")</f>
        <v/>
      </c>
      <c r="O2871" s="61" t="str">
        <f aca="false">IF(IsPro,IF($D2871="","",N2871),"")</f>
        <v/>
      </c>
      <c r="P2871" s="61" t="str">
        <f aca="false">IF(IsPro,IF($D2871="","",IF(AND(V2871&lt;&gt;"",INDEX(Parties!$E$5:$E$304,V2871)&lt;&gt;"",INDEX(Parties!$E$5:$E$304,V2871)&lt;&gt;HomeState),ROUND(L2871*M2871,2),0)),"")</f>
        <v/>
      </c>
      <c r="Q2871" s="61" t="str">
        <f aca="false">IF(IsPro,IF($D2871="","",L2871+N2871+O2871+P2871),"")</f>
        <v/>
      </c>
      <c r="R2871" s="61" t="str">
        <f aca="false">IF(IsPro,IF($D2871="","",ROUND(N($E2871)*IFERROR(INDEX(Items!$P$5:$P$504,U2871),0),2)),"")</f>
        <v/>
      </c>
      <c r="S2871" s="61" t="str">
        <f aca="false">IF(IsPro,IF($D2871="","",L2871-R2871),"")</f>
        <v/>
      </c>
      <c r="T2871" s="60" t="str">
        <f aca="false">IF(IsPro,IF($D2871="","",IF(U2871="","UNKNOWN ITEM",IF(INDEX(Items!$O$5:$O$504,U2871)&lt;0,"NEG STOCK",IF(K2871&lt;INDEX(Items!$P$5:$P$504,U2871),"BELOW COST","OK")))),IF($D2871="","","PRO PLAN"))</f>
        <v/>
      </c>
      <c r="U2871" s="60" t="str">
        <f aca="false">IF(IsPro,IF($D2871="","",IFERROR(MATCH($D2871,Items!$A$5:$A$504,0),"")),"")</f>
        <v/>
      </c>
      <c r="V2871" s="60" t="str">
        <f aca="false">IF(IsPro,IF($C2871="","",IFERROR(MATCH($C2871,Parties!$A$5:$A$304,0),"")),"")</f>
        <v/>
      </c>
      <c r="W2871" s="60" t="str">
        <f aca="false">IF(IsPro,IF($B2871="","",IFERROR(VALUE(SUBSTITUTE($B2871,InvPrefix,"")),0)),"")</f>
        <v/>
      </c>
      <c r="X2871" s="61" t="str">
        <f aca="false">IF(IsPro,IF($D2871="","",IF(OR($H2871="",$H2871="Credit"),0,Q2871)),"")</f>
        <v/>
      </c>
    </row>
    <row r="2872" customFormat="false" ht="15" hidden="false" customHeight="false" outlineLevel="0" collapsed="false">
      <c r="A2872" s="55"/>
      <c r="B2872" s="56"/>
      <c r="C2872" s="56"/>
      <c r="D2872" s="56"/>
      <c r="E2872" s="57"/>
      <c r="F2872" s="58"/>
      <c r="G2872" s="59"/>
      <c r="H2872" s="56"/>
      <c r="I2872" s="56"/>
      <c r="J2872" s="60" t="str">
        <f aca="false">IF(IsPro,IF($D2872="","",IFERROR(INDEX(Items!$D$5:$D$504,U2872),"")),"")</f>
        <v/>
      </c>
      <c r="K2872" s="61" t="str">
        <f aca="false">IF(IsPro,IF($D2872="","",IF($F2872="",IFERROR(INDEX(Items!$H$5:$H$504,U2872),0),$F2872)),"")</f>
        <v/>
      </c>
      <c r="L2872" s="61" t="str">
        <f aca="false">IF(IsPro,IF($D2872="","",ROUND(N($E2872)*K2872*(1-N($G2872)),2)),"")</f>
        <v/>
      </c>
      <c r="M2872" s="62" t="str">
        <f aca="false">IF(IsPro,IF($D2872="","",IFERROR(INDEX(Items!$F$5:$F$504,U2872),0)),"")</f>
        <v/>
      </c>
      <c r="N2872" s="61" t="str">
        <f aca="false">IF(IsPro,IF($D2872="","",IF(AND(V2872&lt;&gt;"",INDEX(Parties!$E$5:$E$304,V2872)&lt;&gt;"",INDEX(Parties!$E$5:$E$304,V2872)&lt;&gt;HomeState),0,ROUND(L2872*M2872/2,2))),"")</f>
        <v/>
      </c>
      <c r="O2872" s="61" t="str">
        <f aca="false">IF(IsPro,IF($D2872="","",N2872),"")</f>
        <v/>
      </c>
      <c r="P2872" s="61" t="str">
        <f aca="false">IF(IsPro,IF($D2872="","",IF(AND(V2872&lt;&gt;"",INDEX(Parties!$E$5:$E$304,V2872)&lt;&gt;"",INDEX(Parties!$E$5:$E$304,V2872)&lt;&gt;HomeState),ROUND(L2872*M2872,2),0)),"")</f>
        <v/>
      </c>
      <c r="Q2872" s="61" t="str">
        <f aca="false">IF(IsPro,IF($D2872="","",L2872+N2872+O2872+P2872),"")</f>
        <v/>
      </c>
      <c r="R2872" s="61" t="str">
        <f aca="false">IF(IsPro,IF($D2872="","",ROUND(N($E2872)*IFERROR(INDEX(Items!$P$5:$P$504,U2872),0),2)),"")</f>
        <v/>
      </c>
      <c r="S2872" s="61" t="str">
        <f aca="false">IF(IsPro,IF($D2872="","",L2872-R2872),"")</f>
        <v/>
      </c>
      <c r="T2872" s="60" t="str">
        <f aca="false">IF(IsPro,IF($D2872="","",IF(U2872="","UNKNOWN ITEM",IF(INDEX(Items!$O$5:$O$504,U2872)&lt;0,"NEG STOCK",IF(K2872&lt;INDEX(Items!$P$5:$P$504,U2872),"BELOW COST","OK")))),IF($D2872="","","PRO PLAN"))</f>
        <v/>
      </c>
      <c r="U2872" s="60" t="str">
        <f aca="false">IF(IsPro,IF($D2872="","",IFERROR(MATCH($D2872,Items!$A$5:$A$504,0),"")),"")</f>
        <v/>
      </c>
      <c r="V2872" s="60" t="str">
        <f aca="false">IF(IsPro,IF($C2872="","",IFERROR(MATCH($C2872,Parties!$A$5:$A$304,0),"")),"")</f>
        <v/>
      </c>
      <c r="W2872" s="60" t="str">
        <f aca="false">IF(IsPro,IF($B2872="","",IFERROR(VALUE(SUBSTITUTE($B2872,InvPrefix,"")),0)),"")</f>
        <v/>
      </c>
      <c r="X2872" s="61" t="str">
        <f aca="false">IF(IsPro,IF($D2872="","",IF(OR($H2872="",$H2872="Credit"),0,Q2872)),"")</f>
        <v/>
      </c>
    </row>
    <row r="2873" customFormat="false" ht="15" hidden="false" customHeight="false" outlineLevel="0" collapsed="false">
      <c r="A2873" s="55"/>
      <c r="B2873" s="56"/>
      <c r="C2873" s="56"/>
      <c r="D2873" s="56"/>
      <c r="E2873" s="57"/>
      <c r="F2873" s="58"/>
      <c r="G2873" s="59"/>
      <c r="H2873" s="56"/>
      <c r="I2873" s="56"/>
      <c r="J2873" s="60" t="str">
        <f aca="false">IF(IsPro,IF($D2873="","",IFERROR(INDEX(Items!$D$5:$D$504,U2873),"")),"")</f>
        <v/>
      </c>
      <c r="K2873" s="61" t="str">
        <f aca="false">IF(IsPro,IF($D2873="","",IF($F2873="",IFERROR(INDEX(Items!$H$5:$H$504,U2873),0),$F2873)),"")</f>
        <v/>
      </c>
      <c r="L2873" s="61" t="str">
        <f aca="false">IF(IsPro,IF($D2873="","",ROUND(N($E2873)*K2873*(1-N($G2873)),2)),"")</f>
        <v/>
      </c>
      <c r="M2873" s="62" t="str">
        <f aca="false">IF(IsPro,IF($D2873="","",IFERROR(INDEX(Items!$F$5:$F$504,U2873),0)),"")</f>
        <v/>
      </c>
      <c r="N2873" s="61" t="str">
        <f aca="false">IF(IsPro,IF($D2873="","",IF(AND(V2873&lt;&gt;"",INDEX(Parties!$E$5:$E$304,V2873)&lt;&gt;"",INDEX(Parties!$E$5:$E$304,V2873)&lt;&gt;HomeState),0,ROUND(L2873*M2873/2,2))),"")</f>
        <v/>
      </c>
      <c r="O2873" s="61" t="str">
        <f aca="false">IF(IsPro,IF($D2873="","",N2873),"")</f>
        <v/>
      </c>
      <c r="P2873" s="61" t="str">
        <f aca="false">IF(IsPro,IF($D2873="","",IF(AND(V2873&lt;&gt;"",INDEX(Parties!$E$5:$E$304,V2873)&lt;&gt;"",INDEX(Parties!$E$5:$E$304,V2873)&lt;&gt;HomeState),ROUND(L2873*M2873,2),0)),"")</f>
        <v/>
      </c>
      <c r="Q2873" s="61" t="str">
        <f aca="false">IF(IsPro,IF($D2873="","",L2873+N2873+O2873+P2873),"")</f>
        <v/>
      </c>
      <c r="R2873" s="61" t="str">
        <f aca="false">IF(IsPro,IF($D2873="","",ROUND(N($E2873)*IFERROR(INDEX(Items!$P$5:$P$504,U2873),0),2)),"")</f>
        <v/>
      </c>
      <c r="S2873" s="61" t="str">
        <f aca="false">IF(IsPro,IF($D2873="","",L2873-R2873),"")</f>
        <v/>
      </c>
      <c r="T2873" s="60" t="str">
        <f aca="false">IF(IsPro,IF($D2873="","",IF(U2873="","UNKNOWN ITEM",IF(INDEX(Items!$O$5:$O$504,U2873)&lt;0,"NEG STOCK",IF(K2873&lt;INDEX(Items!$P$5:$P$504,U2873),"BELOW COST","OK")))),IF($D2873="","","PRO PLAN"))</f>
        <v/>
      </c>
      <c r="U2873" s="60" t="str">
        <f aca="false">IF(IsPro,IF($D2873="","",IFERROR(MATCH($D2873,Items!$A$5:$A$504,0),"")),"")</f>
        <v/>
      </c>
      <c r="V2873" s="60" t="str">
        <f aca="false">IF(IsPro,IF($C2873="","",IFERROR(MATCH($C2873,Parties!$A$5:$A$304,0),"")),"")</f>
        <v/>
      </c>
      <c r="W2873" s="60" t="str">
        <f aca="false">IF(IsPro,IF($B2873="","",IFERROR(VALUE(SUBSTITUTE($B2873,InvPrefix,"")),0)),"")</f>
        <v/>
      </c>
      <c r="X2873" s="61" t="str">
        <f aca="false">IF(IsPro,IF($D2873="","",IF(OR($H2873="",$H2873="Credit"),0,Q2873)),"")</f>
        <v/>
      </c>
    </row>
    <row r="2874" customFormat="false" ht="15" hidden="false" customHeight="false" outlineLevel="0" collapsed="false">
      <c r="A2874" s="55"/>
      <c r="B2874" s="56"/>
      <c r="C2874" s="56"/>
      <c r="D2874" s="56"/>
      <c r="E2874" s="57"/>
      <c r="F2874" s="58"/>
      <c r="G2874" s="59"/>
      <c r="H2874" s="56"/>
      <c r="I2874" s="56"/>
      <c r="J2874" s="60" t="str">
        <f aca="false">IF(IsPro,IF($D2874="","",IFERROR(INDEX(Items!$D$5:$D$504,U2874),"")),"")</f>
        <v/>
      </c>
      <c r="K2874" s="61" t="str">
        <f aca="false">IF(IsPro,IF($D2874="","",IF($F2874="",IFERROR(INDEX(Items!$H$5:$H$504,U2874),0),$F2874)),"")</f>
        <v/>
      </c>
      <c r="L2874" s="61" t="str">
        <f aca="false">IF(IsPro,IF($D2874="","",ROUND(N($E2874)*K2874*(1-N($G2874)),2)),"")</f>
        <v/>
      </c>
      <c r="M2874" s="62" t="str">
        <f aca="false">IF(IsPro,IF($D2874="","",IFERROR(INDEX(Items!$F$5:$F$504,U2874),0)),"")</f>
        <v/>
      </c>
      <c r="N2874" s="61" t="str">
        <f aca="false">IF(IsPro,IF($D2874="","",IF(AND(V2874&lt;&gt;"",INDEX(Parties!$E$5:$E$304,V2874)&lt;&gt;"",INDEX(Parties!$E$5:$E$304,V2874)&lt;&gt;HomeState),0,ROUND(L2874*M2874/2,2))),"")</f>
        <v/>
      </c>
      <c r="O2874" s="61" t="str">
        <f aca="false">IF(IsPro,IF($D2874="","",N2874),"")</f>
        <v/>
      </c>
      <c r="P2874" s="61" t="str">
        <f aca="false">IF(IsPro,IF($D2874="","",IF(AND(V2874&lt;&gt;"",INDEX(Parties!$E$5:$E$304,V2874)&lt;&gt;"",INDEX(Parties!$E$5:$E$304,V2874)&lt;&gt;HomeState),ROUND(L2874*M2874,2),0)),"")</f>
        <v/>
      </c>
      <c r="Q2874" s="61" t="str">
        <f aca="false">IF(IsPro,IF($D2874="","",L2874+N2874+O2874+P2874),"")</f>
        <v/>
      </c>
      <c r="R2874" s="61" t="str">
        <f aca="false">IF(IsPro,IF($D2874="","",ROUND(N($E2874)*IFERROR(INDEX(Items!$P$5:$P$504,U2874),0),2)),"")</f>
        <v/>
      </c>
      <c r="S2874" s="61" t="str">
        <f aca="false">IF(IsPro,IF($D2874="","",L2874-R2874),"")</f>
        <v/>
      </c>
      <c r="T2874" s="60" t="str">
        <f aca="false">IF(IsPro,IF($D2874="","",IF(U2874="","UNKNOWN ITEM",IF(INDEX(Items!$O$5:$O$504,U2874)&lt;0,"NEG STOCK",IF(K2874&lt;INDEX(Items!$P$5:$P$504,U2874),"BELOW COST","OK")))),IF($D2874="","","PRO PLAN"))</f>
        <v/>
      </c>
      <c r="U2874" s="60" t="str">
        <f aca="false">IF(IsPro,IF($D2874="","",IFERROR(MATCH($D2874,Items!$A$5:$A$504,0),"")),"")</f>
        <v/>
      </c>
      <c r="V2874" s="60" t="str">
        <f aca="false">IF(IsPro,IF($C2874="","",IFERROR(MATCH($C2874,Parties!$A$5:$A$304,0),"")),"")</f>
        <v/>
      </c>
      <c r="W2874" s="60" t="str">
        <f aca="false">IF(IsPro,IF($B2874="","",IFERROR(VALUE(SUBSTITUTE($B2874,InvPrefix,"")),0)),"")</f>
        <v/>
      </c>
      <c r="X2874" s="61" t="str">
        <f aca="false">IF(IsPro,IF($D2874="","",IF(OR($H2874="",$H2874="Credit"),0,Q2874)),"")</f>
        <v/>
      </c>
    </row>
    <row r="2875" customFormat="false" ht="15" hidden="false" customHeight="false" outlineLevel="0" collapsed="false">
      <c r="A2875" s="55"/>
      <c r="B2875" s="56"/>
      <c r="C2875" s="56"/>
      <c r="D2875" s="56"/>
      <c r="E2875" s="57"/>
      <c r="F2875" s="58"/>
      <c r="G2875" s="59"/>
      <c r="H2875" s="56"/>
      <c r="I2875" s="56"/>
      <c r="J2875" s="60" t="str">
        <f aca="false">IF(IsPro,IF($D2875="","",IFERROR(INDEX(Items!$D$5:$D$504,U2875),"")),"")</f>
        <v/>
      </c>
      <c r="K2875" s="61" t="str">
        <f aca="false">IF(IsPro,IF($D2875="","",IF($F2875="",IFERROR(INDEX(Items!$H$5:$H$504,U2875),0),$F2875)),"")</f>
        <v/>
      </c>
      <c r="L2875" s="61" t="str">
        <f aca="false">IF(IsPro,IF($D2875="","",ROUND(N($E2875)*K2875*(1-N($G2875)),2)),"")</f>
        <v/>
      </c>
      <c r="M2875" s="62" t="str">
        <f aca="false">IF(IsPro,IF($D2875="","",IFERROR(INDEX(Items!$F$5:$F$504,U2875),0)),"")</f>
        <v/>
      </c>
      <c r="N2875" s="61" t="str">
        <f aca="false">IF(IsPro,IF($D2875="","",IF(AND(V2875&lt;&gt;"",INDEX(Parties!$E$5:$E$304,V2875)&lt;&gt;"",INDEX(Parties!$E$5:$E$304,V2875)&lt;&gt;HomeState),0,ROUND(L2875*M2875/2,2))),"")</f>
        <v/>
      </c>
      <c r="O2875" s="61" t="str">
        <f aca="false">IF(IsPro,IF($D2875="","",N2875),"")</f>
        <v/>
      </c>
      <c r="P2875" s="61" t="str">
        <f aca="false">IF(IsPro,IF($D2875="","",IF(AND(V2875&lt;&gt;"",INDEX(Parties!$E$5:$E$304,V2875)&lt;&gt;"",INDEX(Parties!$E$5:$E$304,V2875)&lt;&gt;HomeState),ROUND(L2875*M2875,2),0)),"")</f>
        <v/>
      </c>
      <c r="Q2875" s="61" t="str">
        <f aca="false">IF(IsPro,IF($D2875="","",L2875+N2875+O2875+P2875),"")</f>
        <v/>
      </c>
      <c r="R2875" s="61" t="str">
        <f aca="false">IF(IsPro,IF($D2875="","",ROUND(N($E2875)*IFERROR(INDEX(Items!$P$5:$P$504,U2875),0),2)),"")</f>
        <v/>
      </c>
      <c r="S2875" s="61" t="str">
        <f aca="false">IF(IsPro,IF($D2875="","",L2875-R2875),"")</f>
        <v/>
      </c>
      <c r="T2875" s="60" t="str">
        <f aca="false">IF(IsPro,IF($D2875="","",IF(U2875="","UNKNOWN ITEM",IF(INDEX(Items!$O$5:$O$504,U2875)&lt;0,"NEG STOCK",IF(K2875&lt;INDEX(Items!$P$5:$P$504,U2875),"BELOW COST","OK")))),IF($D2875="","","PRO PLAN"))</f>
        <v/>
      </c>
      <c r="U2875" s="60" t="str">
        <f aca="false">IF(IsPro,IF($D2875="","",IFERROR(MATCH($D2875,Items!$A$5:$A$504,0),"")),"")</f>
        <v/>
      </c>
      <c r="V2875" s="60" t="str">
        <f aca="false">IF(IsPro,IF($C2875="","",IFERROR(MATCH($C2875,Parties!$A$5:$A$304,0),"")),"")</f>
        <v/>
      </c>
      <c r="W2875" s="60" t="str">
        <f aca="false">IF(IsPro,IF($B2875="","",IFERROR(VALUE(SUBSTITUTE($B2875,InvPrefix,"")),0)),"")</f>
        <v/>
      </c>
      <c r="X2875" s="61" t="str">
        <f aca="false">IF(IsPro,IF($D2875="","",IF(OR($H2875="",$H2875="Credit"),0,Q2875)),"")</f>
        <v/>
      </c>
    </row>
    <row r="2876" customFormat="false" ht="15" hidden="false" customHeight="false" outlineLevel="0" collapsed="false">
      <c r="A2876" s="55"/>
      <c r="B2876" s="56"/>
      <c r="C2876" s="56"/>
      <c r="D2876" s="56"/>
      <c r="E2876" s="57"/>
      <c r="F2876" s="58"/>
      <c r="G2876" s="59"/>
      <c r="H2876" s="56"/>
      <c r="I2876" s="56"/>
      <c r="J2876" s="60" t="str">
        <f aca="false">IF(IsPro,IF($D2876="","",IFERROR(INDEX(Items!$D$5:$D$504,U2876),"")),"")</f>
        <v/>
      </c>
      <c r="K2876" s="61" t="str">
        <f aca="false">IF(IsPro,IF($D2876="","",IF($F2876="",IFERROR(INDEX(Items!$H$5:$H$504,U2876),0),$F2876)),"")</f>
        <v/>
      </c>
      <c r="L2876" s="61" t="str">
        <f aca="false">IF(IsPro,IF($D2876="","",ROUND(N($E2876)*K2876*(1-N($G2876)),2)),"")</f>
        <v/>
      </c>
      <c r="M2876" s="62" t="str">
        <f aca="false">IF(IsPro,IF($D2876="","",IFERROR(INDEX(Items!$F$5:$F$504,U2876),0)),"")</f>
        <v/>
      </c>
      <c r="N2876" s="61" t="str">
        <f aca="false">IF(IsPro,IF($D2876="","",IF(AND(V2876&lt;&gt;"",INDEX(Parties!$E$5:$E$304,V2876)&lt;&gt;"",INDEX(Parties!$E$5:$E$304,V2876)&lt;&gt;HomeState),0,ROUND(L2876*M2876/2,2))),"")</f>
        <v/>
      </c>
      <c r="O2876" s="61" t="str">
        <f aca="false">IF(IsPro,IF($D2876="","",N2876),"")</f>
        <v/>
      </c>
      <c r="P2876" s="61" t="str">
        <f aca="false">IF(IsPro,IF($D2876="","",IF(AND(V2876&lt;&gt;"",INDEX(Parties!$E$5:$E$304,V2876)&lt;&gt;"",INDEX(Parties!$E$5:$E$304,V2876)&lt;&gt;HomeState),ROUND(L2876*M2876,2),0)),"")</f>
        <v/>
      </c>
      <c r="Q2876" s="61" t="str">
        <f aca="false">IF(IsPro,IF($D2876="","",L2876+N2876+O2876+P2876),"")</f>
        <v/>
      </c>
      <c r="R2876" s="61" t="str">
        <f aca="false">IF(IsPro,IF($D2876="","",ROUND(N($E2876)*IFERROR(INDEX(Items!$P$5:$P$504,U2876),0),2)),"")</f>
        <v/>
      </c>
      <c r="S2876" s="61" t="str">
        <f aca="false">IF(IsPro,IF($D2876="","",L2876-R2876),"")</f>
        <v/>
      </c>
      <c r="T2876" s="60" t="str">
        <f aca="false">IF(IsPro,IF($D2876="","",IF(U2876="","UNKNOWN ITEM",IF(INDEX(Items!$O$5:$O$504,U2876)&lt;0,"NEG STOCK",IF(K2876&lt;INDEX(Items!$P$5:$P$504,U2876),"BELOW COST","OK")))),IF($D2876="","","PRO PLAN"))</f>
        <v/>
      </c>
      <c r="U2876" s="60" t="str">
        <f aca="false">IF(IsPro,IF($D2876="","",IFERROR(MATCH($D2876,Items!$A$5:$A$504,0),"")),"")</f>
        <v/>
      </c>
      <c r="V2876" s="60" t="str">
        <f aca="false">IF(IsPro,IF($C2876="","",IFERROR(MATCH($C2876,Parties!$A$5:$A$304,0),"")),"")</f>
        <v/>
      </c>
      <c r="W2876" s="60" t="str">
        <f aca="false">IF(IsPro,IF($B2876="","",IFERROR(VALUE(SUBSTITUTE($B2876,InvPrefix,"")),0)),"")</f>
        <v/>
      </c>
      <c r="X2876" s="61" t="str">
        <f aca="false">IF(IsPro,IF($D2876="","",IF(OR($H2876="",$H2876="Credit"),0,Q2876)),"")</f>
        <v/>
      </c>
    </row>
    <row r="2877" customFormat="false" ht="15" hidden="false" customHeight="false" outlineLevel="0" collapsed="false">
      <c r="A2877" s="55"/>
      <c r="B2877" s="56"/>
      <c r="C2877" s="56"/>
      <c r="D2877" s="56"/>
      <c r="E2877" s="57"/>
      <c r="F2877" s="58"/>
      <c r="G2877" s="59"/>
      <c r="H2877" s="56"/>
      <c r="I2877" s="56"/>
      <c r="J2877" s="60" t="str">
        <f aca="false">IF(IsPro,IF($D2877="","",IFERROR(INDEX(Items!$D$5:$D$504,U2877),"")),"")</f>
        <v/>
      </c>
      <c r="K2877" s="61" t="str">
        <f aca="false">IF(IsPro,IF($D2877="","",IF($F2877="",IFERROR(INDEX(Items!$H$5:$H$504,U2877),0),$F2877)),"")</f>
        <v/>
      </c>
      <c r="L2877" s="61" t="str">
        <f aca="false">IF(IsPro,IF($D2877="","",ROUND(N($E2877)*K2877*(1-N($G2877)),2)),"")</f>
        <v/>
      </c>
      <c r="M2877" s="62" t="str">
        <f aca="false">IF(IsPro,IF($D2877="","",IFERROR(INDEX(Items!$F$5:$F$504,U2877),0)),"")</f>
        <v/>
      </c>
      <c r="N2877" s="61" t="str">
        <f aca="false">IF(IsPro,IF($D2877="","",IF(AND(V2877&lt;&gt;"",INDEX(Parties!$E$5:$E$304,V2877)&lt;&gt;"",INDEX(Parties!$E$5:$E$304,V2877)&lt;&gt;HomeState),0,ROUND(L2877*M2877/2,2))),"")</f>
        <v/>
      </c>
      <c r="O2877" s="61" t="str">
        <f aca="false">IF(IsPro,IF($D2877="","",N2877),"")</f>
        <v/>
      </c>
      <c r="P2877" s="61" t="str">
        <f aca="false">IF(IsPro,IF($D2877="","",IF(AND(V2877&lt;&gt;"",INDEX(Parties!$E$5:$E$304,V2877)&lt;&gt;"",INDEX(Parties!$E$5:$E$304,V2877)&lt;&gt;HomeState),ROUND(L2877*M2877,2),0)),"")</f>
        <v/>
      </c>
      <c r="Q2877" s="61" t="str">
        <f aca="false">IF(IsPro,IF($D2877="","",L2877+N2877+O2877+P2877),"")</f>
        <v/>
      </c>
      <c r="R2877" s="61" t="str">
        <f aca="false">IF(IsPro,IF($D2877="","",ROUND(N($E2877)*IFERROR(INDEX(Items!$P$5:$P$504,U2877),0),2)),"")</f>
        <v/>
      </c>
      <c r="S2877" s="61" t="str">
        <f aca="false">IF(IsPro,IF($D2877="","",L2877-R2877),"")</f>
        <v/>
      </c>
      <c r="T2877" s="60" t="str">
        <f aca="false">IF(IsPro,IF($D2877="","",IF(U2877="","UNKNOWN ITEM",IF(INDEX(Items!$O$5:$O$504,U2877)&lt;0,"NEG STOCK",IF(K2877&lt;INDEX(Items!$P$5:$P$504,U2877),"BELOW COST","OK")))),IF($D2877="","","PRO PLAN"))</f>
        <v/>
      </c>
      <c r="U2877" s="60" t="str">
        <f aca="false">IF(IsPro,IF($D2877="","",IFERROR(MATCH($D2877,Items!$A$5:$A$504,0),"")),"")</f>
        <v/>
      </c>
      <c r="V2877" s="60" t="str">
        <f aca="false">IF(IsPro,IF($C2877="","",IFERROR(MATCH($C2877,Parties!$A$5:$A$304,0),"")),"")</f>
        <v/>
      </c>
      <c r="W2877" s="60" t="str">
        <f aca="false">IF(IsPro,IF($B2877="","",IFERROR(VALUE(SUBSTITUTE($B2877,InvPrefix,"")),0)),"")</f>
        <v/>
      </c>
      <c r="X2877" s="61" t="str">
        <f aca="false">IF(IsPro,IF($D2877="","",IF(OR($H2877="",$H2877="Credit"),0,Q2877)),"")</f>
        <v/>
      </c>
    </row>
    <row r="2878" customFormat="false" ht="15" hidden="false" customHeight="false" outlineLevel="0" collapsed="false">
      <c r="A2878" s="55"/>
      <c r="B2878" s="56"/>
      <c r="C2878" s="56"/>
      <c r="D2878" s="56"/>
      <c r="E2878" s="57"/>
      <c r="F2878" s="58"/>
      <c r="G2878" s="59"/>
      <c r="H2878" s="56"/>
      <c r="I2878" s="56"/>
      <c r="J2878" s="60" t="str">
        <f aca="false">IF(IsPro,IF($D2878="","",IFERROR(INDEX(Items!$D$5:$D$504,U2878),"")),"")</f>
        <v/>
      </c>
      <c r="K2878" s="61" t="str">
        <f aca="false">IF(IsPro,IF($D2878="","",IF($F2878="",IFERROR(INDEX(Items!$H$5:$H$504,U2878),0),$F2878)),"")</f>
        <v/>
      </c>
      <c r="L2878" s="61" t="str">
        <f aca="false">IF(IsPro,IF($D2878="","",ROUND(N($E2878)*K2878*(1-N($G2878)),2)),"")</f>
        <v/>
      </c>
      <c r="M2878" s="62" t="str">
        <f aca="false">IF(IsPro,IF($D2878="","",IFERROR(INDEX(Items!$F$5:$F$504,U2878),0)),"")</f>
        <v/>
      </c>
      <c r="N2878" s="61" t="str">
        <f aca="false">IF(IsPro,IF($D2878="","",IF(AND(V2878&lt;&gt;"",INDEX(Parties!$E$5:$E$304,V2878)&lt;&gt;"",INDEX(Parties!$E$5:$E$304,V2878)&lt;&gt;HomeState),0,ROUND(L2878*M2878/2,2))),"")</f>
        <v/>
      </c>
      <c r="O2878" s="61" t="str">
        <f aca="false">IF(IsPro,IF($D2878="","",N2878),"")</f>
        <v/>
      </c>
      <c r="P2878" s="61" t="str">
        <f aca="false">IF(IsPro,IF($D2878="","",IF(AND(V2878&lt;&gt;"",INDEX(Parties!$E$5:$E$304,V2878)&lt;&gt;"",INDEX(Parties!$E$5:$E$304,V2878)&lt;&gt;HomeState),ROUND(L2878*M2878,2),0)),"")</f>
        <v/>
      </c>
      <c r="Q2878" s="61" t="str">
        <f aca="false">IF(IsPro,IF($D2878="","",L2878+N2878+O2878+P2878),"")</f>
        <v/>
      </c>
      <c r="R2878" s="61" t="str">
        <f aca="false">IF(IsPro,IF($D2878="","",ROUND(N($E2878)*IFERROR(INDEX(Items!$P$5:$P$504,U2878),0),2)),"")</f>
        <v/>
      </c>
      <c r="S2878" s="61" t="str">
        <f aca="false">IF(IsPro,IF($D2878="","",L2878-R2878),"")</f>
        <v/>
      </c>
      <c r="T2878" s="60" t="str">
        <f aca="false">IF(IsPro,IF($D2878="","",IF(U2878="","UNKNOWN ITEM",IF(INDEX(Items!$O$5:$O$504,U2878)&lt;0,"NEG STOCK",IF(K2878&lt;INDEX(Items!$P$5:$P$504,U2878),"BELOW COST","OK")))),IF($D2878="","","PRO PLAN"))</f>
        <v/>
      </c>
      <c r="U2878" s="60" t="str">
        <f aca="false">IF(IsPro,IF($D2878="","",IFERROR(MATCH($D2878,Items!$A$5:$A$504,0),"")),"")</f>
        <v/>
      </c>
      <c r="V2878" s="60" t="str">
        <f aca="false">IF(IsPro,IF($C2878="","",IFERROR(MATCH($C2878,Parties!$A$5:$A$304,0),"")),"")</f>
        <v/>
      </c>
      <c r="W2878" s="60" t="str">
        <f aca="false">IF(IsPro,IF($B2878="","",IFERROR(VALUE(SUBSTITUTE($B2878,InvPrefix,"")),0)),"")</f>
        <v/>
      </c>
      <c r="X2878" s="61" t="str">
        <f aca="false">IF(IsPro,IF($D2878="","",IF(OR($H2878="",$H2878="Credit"),0,Q2878)),"")</f>
        <v/>
      </c>
    </row>
    <row r="2879" customFormat="false" ht="15" hidden="false" customHeight="false" outlineLevel="0" collapsed="false">
      <c r="A2879" s="55"/>
      <c r="B2879" s="56"/>
      <c r="C2879" s="56"/>
      <c r="D2879" s="56"/>
      <c r="E2879" s="57"/>
      <c r="F2879" s="58"/>
      <c r="G2879" s="59"/>
      <c r="H2879" s="56"/>
      <c r="I2879" s="56"/>
      <c r="J2879" s="60" t="str">
        <f aca="false">IF(IsPro,IF($D2879="","",IFERROR(INDEX(Items!$D$5:$D$504,U2879),"")),"")</f>
        <v/>
      </c>
      <c r="K2879" s="61" t="str">
        <f aca="false">IF(IsPro,IF($D2879="","",IF($F2879="",IFERROR(INDEX(Items!$H$5:$H$504,U2879),0),$F2879)),"")</f>
        <v/>
      </c>
      <c r="L2879" s="61" t="str">
        <f aca="false">IF(IsPro,IF($D2879="","",ROUND(N($E2879)*K2879*(1-N($G2879)),2)),"")</f>
        <v/>
      </c>
      <c r="M2879" s="62" t="str">
        <f aca="false">IF(IsPro,IF($D2879="","",IFERROR(INDEX(Items!$F$5:$F$504,U2879),0)),"")</f>
        <v/>
      </c>
      <c r="N2879" s="61" t="str">
        <f aca="false">IF(IsPro,IF($D2879="","",IF(AND(V2879&lt;&gt;"",INDEX(Parties!$E$5:$E$304,V2879)&lt;&gt;"",INDEX(Parties!$E$5:$E$304,V2879)&lt;&gt;HomeState),0,ROUND(L2879*M2879/2,2))),"")</f>
        <v/>
      </c>
      <c r="O2879" s="61" t="str">
        <f aca="false">IF(IsPro,IF($D2879="","",N2879),"")</f>
        <v/>
      </c>
      <c r="P2879" s="61" t="str">
        <f aca="false">IF(IsPro,IF($D2879="","",IF(AND(V2879&lt;&gt;"",INDEX(Parties!$E$5:$E$304,V2879)&lt;&gt;"",INDEX(Parties!$E$5:$E$304,V2879)&lt;&gt;HomeState),ROUND(L2879*M2879,2),0)),"")</f>
        <v/>
      </c>
      <c r="Q2879" s="61" t="str">
        <f aca="false">IF(IsPro,IF($D2879="","",L2879+N2879+O2879+P2879),"")</f>
        <v/>
      </c>
      <c r="R2879" s="61" t="str">
        <f aca="false">IF(IsPro,IF($D2879="","",ROUND(N($E2879)*IFERROR(INDEX(Items!$P$5:$P$504,U2879),0),2)),"")</f>
        <v/>
      </c>
      <c r="S2879" s="61" t="str">
        <f aca="false">IF(IsPro,IF($D2879="","",L2879-R2879),"")</f>
        <v/>
      </c>
      <c r="T2879" s="60" t="str">
        <f aca="false">IF(IsPro,IF($D2879="","",IF(U2879="","UNKNOWN ITEM",IF(INDEX(Items!$O$5:$O$504,U2879)&lt;0,"NEG STOCK",IF(K2879&lt;INDEX(Items!$P$5:$P$504,U2879),"BELOW COST","OK")))),IF($D2879="","","PRO PLAN"))</f>
        <v/>
      </c>
      <c r="U2879" s="60" t="str">
        <f aca="false">IF(IsPro,IF($D2879="","",IFERROR(MATCH($D2879,Items!$A$5:$A$504,0),"")),"")</f>
        <v/>
      </c>
      <c r="V2879" s="60" t="str">
        <f aca="false">IF(IsPro,IF($C2879="","",IFERROR(MATCH($C2879,Parties!$A$5:$A$304,0),"")),"")</f>
        <v/>
      </c>
      <c r="W2879" s="60" t="str">
        <f aca="false">IF(IsPro,IF($B2879="","",IFERROR(VALUE(SUBSTITUTE($B2879,InvPrefix,"")),0)),"")</f>
        <v/>
      </c>
      <c r="X2879" s="61" t="str">
        <f aca="false">IF(IsPro,IF($D2879="","",IF(OR($H2879="",$H2879="Credit"),0,Q2879)),"")</f>
        <v/>
      </c>
    </row>
    <row r="2880" customFormat="false" ht="15" hidden="false" customHeight="false" outlineLevel="0" collapsed="false">
      <c r="A2880" s="55"/>
      <c r="B2880" s="56"/>
      <c r="C2880" s="56"/>
      <c r="D2880" s="56"/>
      <c r="E2880" s="57"/>
      <c r="F2880" s="58"/>
      <c r="G2880" s="59"/>
      <c r="H2880" s="56"/>
      <c r="I2880" s="56"/>
      <c r="J2880" s="60" t="str">
        <f aca="false">IF(IsPro,IF($D2880="","",IFERROR(INDEX(Items!$D$5:$D$504,U2880),"")),"")</f>
        <v/>
      </c>
      <c r="K2880" s="61" t="str">
        <f aca="false">IF(IsPro,IF($D2880="","",IF($F2880="",IFERROR(INDEX(Items!$H$5:$H$504,U2880),0),$F2880)),"")</f>
        <v/>
      </c>
      <c r="L2880" s="61" t="str">
        <f aca="false">IF(IsPro,IF($D2880="","",ROUND(N($E2880)*K2880*(1-N($G2880)),2)),"")</f>
        <v/>
      </c>
      <c r="M2880" s="62" t="str">
        <f aca="false">IF(IsPro,IF($D2880="","",IFERROR(INDEX(Items!$F$5:$F$504,U2880),0)),"")</f>
        <v/>
      </c>
      <c r="N2880" s="61" t="str">
        <f aca="false">IF(IsPro,IF($D2880="","",IF(AND(V2880&lt;&gt;"",INDEX(Parties!$E$5:$E$304,V2880)&lt;&gt;"",INDEX(Parties!$E$5:$E$304,V2880)&lt;&gt;HomeState),0,ROUND(L2880*M2880/2,2))),"")</f>
        <v/>
      </c>
      <c r="O2880" s="61" t="str">
        <f aca="false">IF(IsPro,IF($D2880="","",N2880),"")</f>
        <v/>
      </c>
      <c r="P2880" s="61" t="str">
        <f aca="false">IF(IsPro,IF($D2880="","",IF(AND(V2880&lt;&gt;"",INDEX(Parties!$E$5:$E$304,V2880)&lt;&gt;"",INDEX(Parties!$E$5:$E$304,V2880)&lt;&gt;HomeState),ROUND(L2880*M2880,2),0)),"")</f>
        <v/>
      </c>
      <c r="Q2880" s="61" t="str">
        <f aca="false">IF(IsPro,IF($D2880="","",L2880+N2880+O2880+P2880),"")</f>
        <v/>
      </c>
      <c r="R2880" s="61" t="str">
        <f aca="false">IF(IsPro,IF($D2880="","",ROUND(N($E2880)*IFERROR(INDEX(Items!$P$5:$P$504,U2880),0),2)),"")</f>
        <v/>
      </c>
      <c r="S2880" s="61" t="str">
        <f aca="false">IF(IsPro,IF($D2880="","",L2880-R2880),"")</f>
        <v/>
      </c>
      <c r="T2880" s="60" t="str">
        <f aca="false">IF(IsPro,IF($D2880="","",IF(U2880="","UNKNOWN ITEM",IF(INDEX(Items!$O$5:$O$504,U2880)&lt;0,"NEG STOCK",IF(K2880&lt;INDEX(Items!$P$5:$P$504,U2880),"BELOW COST","OK")))),IF($D2880="","","PRO PLAN"))</f>
        <v/>
      </c>
      <c r="U2880" s="60" t="str">
        <f aca="false">IF(IsPro,IF($D2880="","",IFERROR(MATCH($D2880,Items!$A$5:$A$504,0),"")),"")</f>
        <v/>
      </c>
      <c r="V2880" s="60" t="str">
        <f aca="false">IF(IsPro,IF($C2880="","",IFERROR(MATCH($C2880,Parties!$A$5:$A$304,0),"")),"")</f>
        <v/>
      </c>
      <c r="W2880" s="60" t="str">
        <f aca="false">IF(IsPro,IF($B2880="","",IFERROR(VALUE(SUBSTITUTE($B2880,InvPrefix,"")),0)),"")</f>
        <v/>
      </c>
      <c r="X2880" s="61" t="str">
        <f aca="false">IF(IsPro,IF($D2880="","",IF(OR($H2880="",$H2880="Credit"),0,Q2880)),"")</f>
        <v/>
      </c>
    </row>
    <row r="2881" customFormat="false" ht="15" hidden="false" customHeight="false" outlineLevel="0" collapsed="false">
      <c r="A2881" s="55"/>
      <c r="B2881" s="56"/>
      <c r="C2881" s="56"/>
      <c r="D2881" s="56"/>
      <c r="E2881" s="57"/>
      <c r="F2881" s="58"/>
      <c r="G2881" s="59"/>
      <c r="H2881" s="56"/>
      <c r="I2881" s="56"/>
      <c r="J2881" s="60" t="str">
        <f aca="false">IF(IsPro,IF($D2881="","",IFERROR(INDEX(Items!$D$5:$D$504,U2881),"")),"")</f>
        <v/>
      </c>
      <c r="K2881" s="61" t="str">
        <f aca="false">IF(IsPro,IF($D2881="","",IF($F2881="",IFERROR(INDEX(Items!$H$5:$H$504,U2881),0),$F2881)),"")</f>
        <v/>
      </c>
      <c r="L2881" s="61" t="str">
        <f aca="false">IF(IsPro,IF($D2881="","",ROUND(N($E2881)*K2881*(1-N($G2881)),2)),"")</f>
        <v/>
      </c>
      <c r="M2881" s="62" t="str">
        <f aca="false">IF(IsPro,IF($D2881="","",IFERROR(INDEX(Items!$F$5:$F$504,U2881),0)),"")</f>
        <v/>
      </c>
      <c r="N2881" s="61" t="str">
        <f aca="false">IF(IsPro,IF($D2881="","",IF(AND(V2881&lt;&gt;"",INDEX(Parties!$E$5:$E$304,V2881)&lt;&gt;"",INDEX(Parties!$E$5:$E$304,V2881)&lt;&gt;HomeState),0,ROUND(L2881*M2881/2,2))),"")</f>
        <v/>
      </c>
      <c r="O2881" s="61" t="str">
        <f aca="false">IF(IsPro,IF($D2881="","",N2881),"")</f>
        <v/>
      </c>
      <c r="P2881" s="61" t="str">
        <f aca="false">IF(IsPro,IF($D2881="","",IF(AND(V2881&lt;&gt;"",INDEX(Parties!$E$5:$E$304,V2881)&lt;&gt;"",INDEX(Parties!$E$5:$E$304,V2881)&lt;&gt;HomeState),ROUND(L2881*M2881,2),0)),"")</f>
        <v/>
      </c>
      <c r="Q2881" s="61" t="str">
        <f aca="false">IF(IsPro,IF($D2881="","",L2881+N2881+O2881+P2881),"")</f>
        <v/>
      </c>
      <c r="R2881" s="61" t="str">
        <f aca="false">IF(IsPro,IF($D2881="","",ROUND(N($E2881)*IFERROR(INDEX(Items!$P$5:$P$504,U2881),0),2)),"")</f>
        <v/>
      </c>
      <c r="S2881" s="61" t="str">
        <f aca="false">IF(IsPro,IF($D2881="","",L2881-R2881),"")</f>
        <v/>
      </c>
      <c r="T2881" s="60" t="str">
        <f aca="false">IF(IsPro,IF($D2881="","",IF(U2881="","UNKNOWN ITEM",IF(INDEX(Items!$O$5:$O$504,U2881)&lt;0,"NEG STOCK",IF(K2881&lt;INDEX(Items!$P$5:$P$504,U2881),"BELOW COST","OK")))),IF($D2881="","","PRO PLAN"))</f>
        <v/>
      </c>
      <c r="U2881" s="60" t="str">
        <f aca="false">IF(IsPro,IF($D2881="","",IFERROR(MATCH($D2881,Items!$A$5:$A$504,0),"")),"")</f>
        <v/>
      </c>
      <c r="V2881" s="60" t="str">
        <f aca="false">IF(IsPro,IF($C2881="","",IFERROR(MATCH($C2881,Parties!$A$5:$A$304,0),"")),"")</f>
        <v/>
      </c>
      <c r="W2881" s="60" t="str">
        <f aca="false">IF(IsPro,IF($B2881="","",IFERROR(VALUE(SUBSTITUTE($B2881,InvPrefix,"")),0)),"")</f>
        <v/>
      </c>
      <c r="X2881" s="61" t="str">
        <f aca="false">IF(IsPro,IF($D2881="","",IF(OR($H2881="",$H2881="Credit"),0,Q2881)),"")</f>
        <v/>
      </c>
    </row>
    <row r="2882" customFormat="false" ht="15" hidden="false" customHeight="false" outlineLevel="0" collapsed="false">
      <c r="A2882" s="55"/>
      <c r="B2882" s="56"/>
      <c r="C2882" s="56"/>
      <c r="D2882" s="56"/>
      <c r="E2882" s="57"/>
      <c r="F2882" s="58"/>
      <c r="G2882" s="59"/>
      <c r="H2882" s="56"/>
      <c r="I2882" s="56"/>
      <c r="J2882" s="60" t="str">
        <f aca="false">IF(IsPro,IF($D2882="","",IFERROR(INDEX(Items!$D$5:$D$504,U2882),"")),"")</f>
        <v/>
      </c>
      <c r="K2882" s="61" t="str">
        <f aca="false">IF(IsPro,IF($D2882="","",IF($F2882="",IFERROR(INDEX(Items!$H$5:$H$504,U2882),0),$F2882)),"")</f>
        <v/>
      </c>
      <c r="L2882" s="61" t="str">
        <f aca="false">IF(IsPro,IF($D2882="","",ROUND(N($E2882)*K2882*(1-N($G2882)),2)),"")</f>
        <v/>
      </c>
      <c r="M2882" s="62" t="str">
        <f aca="false">IF(IsPro,IF($D2882="","",IFERROR(INDEX(Items!$F$5:$F$504,U2882),0)),"")</f>
        <v/>
      </c>
      <c r="N2882" s="61" t="str">
        <f aca="false">IF(IsPro,IF($D2882="","",IF(AND(V2882&lt;&gt;"",INDEX(Parties!$E$5:$E$304,V2882)&lt;&gt;"",INDEX(Parties!$E$5:$E$304,V2882)&lt;&gt;HomeState),0,ROUND(L2882*M2882/2,2))),"")</f>
        <v/>
      </c>
      <c r="O2882" s="61" t="str">
        <f aca="false">IF(IsPro,IF($D2882="","",N2882),"")</f>
        <v/>
      </c>
      <c r="P2882" s="61" t="str">
        <f aca="false">IF(IsPro,IF($D2882="","",IF(AND(V2882&lt;&gt;"",INDEX(Parties!$E$5:$E$304,V2882)&lt;&gt;"",INDEX(Parties!$E$5:$E$304,V2882)&lt;&gt;HomeState),ROUND(L2882*M2882,2),0)),"")</f>
        <v/>
      </c>
      <c r="Q2882" s="61" t="str">
        <f aca="false">IF(IsPro,IF($D2882="","",L2882+N2882+O2882+P2882),"")</f>
        <v/>
      </c>
      <c r="R2882" s="61" t="str">
        <f aca="false">IF(IsPro,IF($D2882="","",ROUND(N($E2882)*IFERROR(INDEX(Items!$P$5:$P$504,U2882),0),2)),"")</f>
        <v/>
      </c>
      <c r="S2882" s="61" t="str">
        <f aca="false">IF(IsPro,IF($D2882="","",L2882-R2882),"")</f>
        <v/>
      </c>
      <c r="T2882" s="60" t="str">
        <f aca="false">IF(IsPro,IF($D2882="","",IF(U2882="","UNKNOWN ITEM",IF(INDEX(Items!$O$5:$O$504,U2882)&lt;0,"NEG STOCK",IF(K2882&lt;INDEX(Items!$P$5:$P$504,U2882),"BELOW COST","OK")))),IF($D2882="","","PRO PLAN"))</f>
        <v/>
      </c>
      <c r="U2882" s="60" t="str">
        <f aca="false">IF(IsPro,IF($D2882="","",IFERROR(MATCH($D2882,Items!$A$5:$A$504,0),"")),"")</f>
        <v/>
      </c>
      <c r="V2882" s="60" t="str">
        <f aca="false">IF(IsPro,IF($C2882="","",IFERROR(MATCH($C2882,Parties!$A$5:$A$304,0),"")),"")</f>
        <v/>
      </c>
      <c r="W2882" s="60" t="str">
        <f aca="false">IF(IsPro,IF($B2882="","",IFERROR(VALUE(SUBSTITUTE($B2882,InvPrefix,"")),0)),"")</f>
        <v/>
      </c>
      <c r="X2882" s="61" t="str">
        <f aca="false">IF(IsPro,IF($D2882="","",IF(OR($H2882="",$H2882="Credit"),0,Q2882)),"")</f>
        <v/>
      </c>
    </row>
    <row r="2883" customFormat="false" ht="15" hidden="false" customHeight="false" outlineLevel="0" collapsed="false">
      <c r="A2883" s="55"/>
      <c r="B2883" s="56"/>
      <c r="C2883" s="56"/>
      <c r="D2883" s="56"/>
      <c r="E2883" s="57"/>
      <c r="F2883" s="58"/>
      <c r="G2883" s="59"/>
      <c r="H2883" s="56"/>
      <c r="I2883" s="56"/>
      <c r="J2883" s="60" t="str">
        <f aca="false">IF(IsPro,IF($D2883="","",IFERROR(INDEX(Items!$D$5:$D$504,U2883),"")),"")</f>
        <v/>
      </c>
      <c r="K2883" s="61" t="str">
        <f aca="false">IF(IsPro,IF($D2883="","",IF($F2883="",IFERROR(INDEX(Items!$H$5:$H$504,U2883),0),$F2883)),"")</f>
        <v/>
      </c>
      <c r="L2883" s="61" t="str">
        <f aca="false">IF(IsPro,IF($D2883="","",ROUND(N($E2883)*K2883*(1-N($G2883)),2)),"")</f>
        <v/>
      </c>
      <c r="M2883" s="62" t="str">
        <f aca="false">IF(IsPro,IF($D2883="","",IFERROR(INDEX(Items!$F$5:$F$504,U2883),0)),"")</f>
        <v/>
      </c>
      <c r="N2883" s="61" t="str">
        <f aca="false">IF(IsPro,IF($D2883="","",IF(AND(V2883&lt;&gt;"",INDEX(Parties!$E$5:$E$304,V2883)&lt;&gt;"",INDEX(Parties!$E$5:$E$304,V2883)&lt;&gt;HomeState),0,ROUND(L2883*M2883/2,2))),"")</f>
        <v/>
      </c>
      <c r="O2883" s="61" t="str">
        <f aca="false">IF(IsPro,IF($D2883="","",N2883),"")</f>
        <v/>
      </c>
      <c r="P2883" s="61" t="str">
        <f aca="false">IF(IsPro,IF($D2883="","",IF(AND(V2883&lt;&gt;"",INDEX(Parties!$E$5:$E$304,V2883)&lt;&gt;"",INDEX(Parties!$E$5:$E$304,V2883)&lt;&gt;HomeState),ROUND(L2883*M2883,2),0)),"")</f>
        <v/>
      </c>
      <c r="Q2883" s="61" t="str">
        <f aca="false">IF(IsPro,IF($D2883="","",L2883+N2883+O2883+P2883),"")</f>
        <v/>
      </c>
      <c r="R2883" s="61" t="str">
        <f aca="false">IF(IsPro,IF($D2883="","",ROUND(N($E2883)*IFERROR(INDEX(Items!$P$5:$P$504,U2883),0),2)),"")</f>
        <v/>
      </c>
      <c r="S2883" s="61" t="str">
        <f aca="false">IF(IsPro,IF($D2883="","",L2883-R2883),"")</f>
        <v/>
      </c>
      <c r="T2883" s="60" t="str">
        <f aca="false">IF(IsPro,IF($D2883="","",IF(U2883="","UNKNOWN ITEM",IF(INDEX(Items!$O$5:$O$504,U2883)&lt;0,"NEG STOCK",IF(K2883&lt;INDEX(Items!$P$5:$P$504,U2883),"BELOW COST","OK")))),IF($D2883="","","PRO PLAN"))</f>
        <v/>
      </c>
      <c r="U2883" s="60" t="str">
        <f aca="false">IF(IsPro,IF($D2883="","",IFERROR(MATCH($D2883,Items!$A$5:$A$504,0),"")),"")</f>
        <v/>
      </c>
      <c r="V2883" s="60" t="str">
        <f aca="false">IF(IsPro,IF($C2883="","",IFERROR(MATCH($C2883,Parties!$A$5:$A$304,0),"")),"")</f>
        <v/>
      </c>
      <c r="W2883" s="60" t="str">
        <f aca="false">IF(IsPro,IF($B2883="","",IFERROR(VALUE(SUBSTITUTE($B2883,InvPrefix,"")),0)),"")</f>
        <v/>
      </c>
      <c r="X2883" s="61" t="str">
        <f aca="false">IF(IsPro,IF($D2883="","",IF(OR($H2883="",$H2883="Credit"),0,Q2883)),"")</f>
        <v/>
      </c>
    </row>
    <row r="2884" customFormat="false" ht="15" hidden="false" customHeight="false" outlineLevel="0" collapsed="false">
      <c r="A2884" s="55"/>
      <c r="B2884" s="56"/>
      <c r="C2884" s="56"/>
      <c r="D2884" s="56"/>
      <c r="E2884" s="57"/>
      <c r="F2884" s="58"/>
      <c r="G2884" s="59"/>
      <c r="H2884" s="56"/>
      <c r="I2884" s="56"/>
      <c r="J2884" s="60" t="str">
        <f aca="false">IF(IsPro,IF($D2884="","",IFERROR(INDEX(Items!$D$5:$D$504,U2884),"")),"")</f>
        <v/>
      </c>
      <c r="K2884" s="61" t="str">
        <f aca="false">IF(IsPro,IF($D2884="","",IF($F2884="",IFERROR(INDEX(Items!$H$5:$H$504,U2884),0),$F2884)),"")</f>
        <v/>
      </c>
      <c r="L2884" s="61" t="str">
        <f aca="false">IF(IsPro,IF($D2884="","",ROUND(N($E2884)*K2884*(1-N($G2884)),2)),"")</f>
        <v/>
      </c>
      <c r="M2884" s="62" t="str">
        <f aca="false">IF(IsPro,IF($D2884="","",IFERROR(INDEX(Items!$F$5:$F$504,U2884),0)),"")</f>
        <v/>
      </c>
      <c r="N2884" s="61" t="str">
        <f aca="false">IF(IsPro,IF($D2884="","",IF(AND(V2884&lt;&gt;"",INDEX(Parties!$E$5:$E$304,V2884)&lt;&gt;"",INDEX(Parties!$E$5:$E$304,V2884)&lt;&gt;HomeState),0,ROUND(L2884*M2884/2,2))),"")</f>
        <v/>
      </c>
      <c r="O2884" s="61" t="str">
        <f aca="false">IF(IsPro,IF($D2884="","",N2884),"")</f>
        <v/>
      </c>
      <c r="P2884" s="61" t="str">
        <f aca="false">IF(IsPro,IF($D2884="","",IF(AND(V2884&lt;&gt;"",INDEX(Parties!$E$5:$E$304,V2884)&lt;&gt;"",INDEX(Parties!$E$5:$E$304,V2884)&lt;&gt;HomeState),ROUND(L2884*M2884,2),0)),"")</f>
        <v/>
      </c>
      <c r="Q2884" s="61" t="str">
        <f aca="false">IF(IsPro,IF($D2884="","",L2884+N2884+O2884+P2884),"")</f>
        <v/>
      </c>
      <c r="R2884" s="61" t="str">
        <f aca="false">IF(IsPro,IF($D2884="","",ROUND(N($E2884)*IFERROR(INDEX(Items!$P$5:$P$504,U2884),0),2)),"")</f>
        <v/>
      </c>
      <c r="S2884" s="61" t="str">
        <f aca="false">IF(IsPro,IF($D2884="","",L2884-R2884),"")</f>
        <v/>
      </c>
      <c r="T2884" s="60" t="str">
        <f aca="false">IF(IsPro,IF($D2884="","",IF(U2884="","UNKNOWN ITEM",IF(INDEX(Items!$O$5:$O$504,U2884)&lt;0,"NEG STOCK",IF(K2884&lt;INDEX(Items!$P$5:$P$504,U2884),"BELOW COST","OK")))),IF($D2884="","","PRO PLAN"))</f>
        <v/>
      </c>
      <c r="U2884" s="60" t="str">
        <f aca="false">IF(IsPro,IF($D2884="","",IFERROR(MATCH($D2884,Items!$A$5:$A$504,0),"")),"")</f>
        <v/>
      </c>
      <c r="V2884" s="60" t="str">
        <f aca="false">IF(IsPro,IF($C2884="","",IFERROR(MATCH($C2884,Parties!$A$5:$A$304,0),"")),"")</f>
        <v/>
      </c>
      <c r="W2884" s="60" t="str">
        <f aca="false">IF(IsPro,IF($B2884="","",IFERROR(VALUE(SUBSTITUTE($B2884,InvPrefix,"")),0)),"")</f>
        <v/>
      </c>
      <c r="X2884" s="61" t="str">
        <f aca="false">IF(IsPro,IF($D2884="","",IF(OR($H2884="",$H2884="Credit"),0,Q2884)),"")</f>
        <v/>
      </c>
    </row>
    <row r="2885" customFormat="false" ht="15" hidden="false" customHeight="false" outlineLevel="0" collapsed="false">
      <c r="A2885" s="55"/>
      <c r="B2885" s="56"/>
      <c r="C2885" s="56"/>
      <c r="D2885" s="56"/>
      <c r="E2885" s="57"/>
      <c r="F2885" s="58"/>
      <c r="G2885" s="59"/>
      <c r="H2885" s="56"/>
      <c r="I2885" s="56"/>
      <c r="J2885" s="60" t="str">
        <f aca="false">IF(IsPro,IF($D2885="","",IFERROR(INDEX(Items!$D$5:$D$504,U2885),"")),"")</f>
        <v/>
      </c>
      <c r="K2885" s="61" t="str">
        <f aca="false">IF(IsPro,IF($D2885="","",IF($F2885="",IFERROR(INDEX(Items!$H$5:$H$504,U2885),0),$F2885)),"")</f>
        <v/>
      </c>
      <c r="L2885" s="61" t="str">
        <f aca="false">IF(IsPro,IF($D2885="","",ROUND(N($E2885)*K2885*(1-N($G2885)),2)),"")</f>
        <v/>
      </c>
      <c r="M2885" s="62" t="str">
        <f aca="false">IF(IsPro,IF($D2885="","",IFERROR(INDEX(Items!$F$5:$F$504,U2885),0)),"")</f>
        <v/>
      </c>
      <c r="N2885" s="61" t="str">
        <f aca="false">IF(IsPro,IF($D2885="","",IF(AND(V2885&lt;&gt;"",INDEX(Parties!$E$5:$E$304,V2885)&lt;&gt;"",INDEX(Parties!$E$5:$E$304,V2885)&lt;&gt;HomeState),0,ROUND(L2885*M2885/2,2))),"")</f>
        <v/>
      </c>
      <c r="O2885" s="61" t="str">
        <f aca="false">IF(IsPro,IF($D2885="","",N2885),"")</f>
        <v/>
      </c>
      <c r="P2885" s="61" t="str">
        <f aca="false">IF(IsPro,IF($D2885="","",IF(AND(V2885&lt;&gt;"",INDEX(Parties!$E$5:$E$304,V2885)&lt;&gt;"",INDEX(Parties!$E$5:$E$304,V2885)&lt;&gt;HomeState),ROUND(L2885*M2885,2),0)),"")</f>
        <v/>
      </c>
      <c r="Q2885" s="61" t="str">
        <f aca="false">IF(IsPro,IF($D2885="","",L2885+N2885+O2885+P2885),"")</f>
        <v/>
      </c>
      <c r="R2885" s="61" t="str">
        <f aca="false">IF(IsPro,IF($D2885="","",ROUND(N($E2885)*IFERROR(INDEX(Items!$P$5:$P$504,U2885),0),2)),"")</f>
        <v/>
      </c>
      <c r="S2885" s="61" t="str">
        <f aca="false">IF(IsPro,IF($D2885="","",L2885-R2885),"")</f>
        <v/>
      </c>
      <c r="T2885" s="60" t="str">
        <f aca="false">IF(IsPro,IF($D2885="","",IF(U2885="","UNKNOWN ITEM",IF(INDEX(Items!$O$5:$O$504,U2885)&lt;0,"NEG STOCK",IF(K2885&lt;INDEX(Items!$P$5:$P$504,U2885),"BELOW COST","OK")))),IF($D2885="","","PRO PLAN"))</f>
        <v/>
      </c>
      <c r="U2885" s="60" t="str">
        <f aca="false">IF(IsPro,IF($D2885="","",IFERROR(MATCH($D2885,Items!$A$5:$A$504,0),"")),"")</f>
        <v/>
      </c>
      <c r="V2885" s="60" t="str">
        <f aca="false">IF(IsPro,IF($C2885="","",IFERROR(MATCH($C2885,Parties!$A$5:$A$304,0),"")),"")</f>
        <v/>
      </c>
      <c r="W2885" s="60" t="str">
        <f aca="false">IF(IsPro,IF($B2885="","",IFERROR(VALUE(SUBSTITUTE($B2885,InvPrefix,"")),0)),"")</f>
        <v/>
      </c>
      <c r="X2885" s="61" t="str">
        <f aca="false">IF(IsPro,IF($D2885="","",IF(OR($H2885="",$H2885="Credit"),0,Q2885)),"")</f>
        <v/>
      </c>
    </row>
    <row r="2886" customFormat="false" ht="15" hidden="false" customHeight="false" outlineLevel="0" collapsed="false">
      <c r="A2886" s="55"/>
      <c r="B2886" s="56"/>
      <c r="C2886" s="56"/>
      <c r="D2886" s="56"/>
      <c r="E2886" s="57"/>
      <c r="F2886" s="58"/>
      <c r="G2886" s="59"/>
      <c r="H2886" s="56"/>
      <c r="I2886" s="56"/>
      <c r="J2886" s="60" t="str">
        <f aca="false">IF(IsPro,IF($D2886="","",IFERROR(INDEX(Items!$D$5:$D$504,U2886),"")),"")</f>
        <v/>
      </c>
      <c r="K2886" s="61" t="str">
        <f aca="false">IF(IsPro,IF($D2886="","",IF($F2886="",IFERROR(INDEX(Items!$H$5:$H$504,U2886),0),$F2886)),"")</f>
        <v/>
      </c>
      <c r="L2886" s="61" t="str">
        <f aca="false">IF(IsPro,IF($D2886="","",ROUND(N($E2886)*K2886*(1-N($G2886)),2)),"")</f>
        <v/>
      </c>
      <c r="M2886" s="62" t="str">
        <f aca="false">IF(IsPro,IF($D2886="","",IFERROR(INDEX(Items!$F$5:$F$504,U2886),0)),"")</f>
        <v/>
      </c>
      <c r="N2886" s="61" t="str">
        <f aca="false">IF(IsPro,IF($D2886="","",IF(AND(V2886&lt;&gt;"",INDEX(Parties!$E$5:$E$304,V2886)&lt;&gt;"",INDEX(Parties!$E$5:$E$304,V2886)&lt;&gt;HomeState),0,ROUND(L2886*M2886/2,2))),"")</f>
        <v/>
      </c>
      <c r="O2886" s="61" t="str">
        <f aca="false">IF(IsPro,IF($D2886="","",N2886),"")</f>
        <v/>
      </c>
      <c r="P2886" s="61" t="str">
        <f aca="false">IF(IsPro,IF($D2886="","",IF(AND(V2886&lt;&gt;"",INDEX(Parties!$E$5:$E$304,V2886)&lt;&gt;"",INDEX(Parties!$E$5:$E$304,V2886)&lt;&gt;HomeState),ROUND(L2886*M2886,2),0)),"")</f>
        <v/>
      </c>
      <c r="Q2886" s="61" t="str">
        <f aca="false">IF(IsPro,IF($D2886="","",L2886+N2886+O2886+P2886),"")</f>
        <v/>
      </c>
      <c r="R2886" s="61" t="str">
        <f aca="false">IF(IsPro,IF($D2886="","",ROUND(N($E2886)*IFERROR(INDEX(Items!$P$5:$P$504,U2886),0),2)),"")</f>
        <v/>
      </c>
      <c r="S2886" s="61" t="str">
        <f aca="false">IF(IsPro,IF($D2886="","",L2886-R2886),"")</f>
        <v/>
      </c>
      <c r="T2886" s="60" t="str">
        <f aca="false">IF(IsPro,IF($D2886="","",IF(U2886="","UNKNOWN ITEM",IF(INDEX(Items!$O$5:$O$504,U2886)&lt;0,"NEG STOCK",IF(K2886&lt;INDEX(Items!$P$5:$P$504,U2886),"BELOW COST","OK")))),IF($D2886="","","PRO PLAN"))</f>
        <v/>
      </c>
      <c r="U2886" s="60" t="str">
        <f aca="false">IF(IsPro,IF($D2886="","",IFERROR(MATCH($D2886,Items!$A$5:$A$504,0),"")),"")</f>
        <v/>
      </c>
      <c r="V2886" s="60" t="str">
        <f aca="false">IF(IsPro,IF($C2886="","",IFERROR(MATCH($C2886,Parties!$A$5:$A$304,0),"")),"")</f>
        <v/>
      </c>
      <c r="W2886" s="60" t="str">
        <f aca="false">IF(IsPro,IF($B2886="","",IFERROR(VALUE(SUBSTITUTE($B2886,InvPrefix,"")),0)),"")</f>
        <v/>
      </c>
      <c r="X2886" s="61" t="str">
        <f aca="false">IF(IsPro,IF($D2886="","",IF(OR($H2886="",$H2886="Credit"),0,Q2886)),"")</f>
        <v/>
      </c>
    </row>
    <row r="2887" customFormat="false" ht="15" hidden="false" customHeight="false" outlineLevel="0" collapsed="false">
      <c r="A2887" s="55"/>
      <c r="B2887" s="56"/>
      <c r="C2887" s="56"/>
      <c r="D2887" s="56"/>
      <c r="E2887" s="57"/>
      <c r="F2887" s="58"/>
      <c r="G2887" s="59"/>
      <c r="H2887" s="56"/>
      <c r="I2887" s="56"/>
      <c r="J2887" s="60" t="str">
        <f aca="false">IF(IsPro,IF($D2887="","",IFERROR(INDEX(Items!$D$5:$D$504,U2887),"")),"")</f>
        <v/>
      </c>
      <c r="K2887" s="61" t="str">
        <f aca="false">IF(IsPro,IF($D2887="","",IF($F2887="",IFERROR(INDEX(Items!$H$5:$H$504,U2887),0),$F2887)),"")</f>
        <v/>
      </c>
      <c r="L2887" s="61" t="str">
        <f aca="false">IF(IsPro,IF($D2887="","",ROUND(N($E2887)*K2887*(1-N($G2887)),2)),"")</f>
        <v/>
      </c>
      <c r="M2887" s="62" t="str">
        <f aca="false">IF(IsPro,IF($D2887="","",IFERROR(INDEX(Items!$F$5:$F$504,U2887),0)),"")</f>
        <v/>
      </c>
      <c r="N2887" s="61" t="str">
        <f aca="false">IF(IsPro,IF($D2887="","",IF(AND(V2887&lt;&gt;"",INDEX(Parties!$E$5:$E$304,V2887)&lt;&gt;"",INDEX(Parties!$E$5:$E$304,V2887)&lt;&gt;HomeState),0,ROUND(L2887*M2887/2,2))),"")</f>
        <v/>
      </c>
      <c r="O2887" s="61" t="str">
        <f aca="false">IF(IsPro,IF($D2887="","",N2887),"")</f>
        <v/>
      </c>
      <c r="P2887" s="61" t="str">
        <f aca="false">IF(IsPro,IF($D2887="","",IF(AND(V2887&lt;&gt;"",INDEX(Parties!$E$5:$E$304,V2887)&lt;&gt;"",INDEX(Parties!$E$5:$E$304,V2887)&lt;&gt;HomeState),ROUND(L2887*M2887,2),0)),"")</f>
        <v/>
      </c>
      <c r="Q2887" s="61" t="str">
        <f aca="false">IF(IsPro,IF($D2887="","",L2887+N2887+O2887+P2887),"")</f>
        <v/>
      </c>
      <c r="R2887" s="61" t="str">
        <f aca="false">IF(IsPro,IF($D2887="","",ROUND(N($E2887)*IFERROR(INDEX(Items!$P$5:$P$504,U2887),0),2)),"")</f>
        <v/>
      </c>
      <c r="S2887" s="61" t="str">
        <f aca="false">IF(IsPro,IF($D2887="","",L2887-R2887),"")</f>
        <v/>
      </c>
      <c r="T2887" s="60" t="str">
        <f aca="false">IF(IsPro,IF($D2887="","",IF(U2887="","UNKNOWN ITEM",IF(INDEX(Items!$O$5:$O$504,U2887)&lt;0,"NEG STOCK",IF(K2887&lt;INDEX(Items!$P$5:$P$504,U2887),"BELOW COST","OK")))),IF($D2887="","","PRO PLAN"))</f>
        <v/>
      </c>
      <c r="U2887" s="60" t="str">
        <f aca="false">IF(IsPro,IF($D2887="","",IFERROR(MATCH($D2887,Items!$A$5:$A$504,0),"")),"")</f>
        <v/>
      </c>
      <c r="V2887" s="60" t="str">
        <f aca="false">IF(IsPro,IF($C2887="","",IFERROR(MATCH($C2887,Parties!$A$5:$A$304,0),"")),"")</f>
        <v/>
      </c>
      <c r="W2887" s="60" t="str">
        <f aca="false">IF(IsPro,IF($B2887="","",IFERROR(VALUE(SUBSTITUTE($B2887,InvPrefix,"")),0)),"")</f>
        <v/>
      </c>
      <c r="X2887" s="61" t="str">
        <f aca="false">IF(IsPro,IF($D2887="","",IF(OR($H2887="",$H2887="Credit"),0,Q2887)),"")</f>
        <v/>
      </c>
    </row>
    <row r="2888" customFormat="false" ht="15" hidden="false" customHeight="false" outlineLevel="0" collapsed="false">
      <c r="A2888" s="55"/>
      <c r="B2888" s="56"/>
      <c r="C2888" s="56"/>
      <c r="D2888" s="56"/>
      <c r="E2888" s="57"/>
      <c r="F2888" s="58"/>
      <c r="G2888" s="59"/>
      <c r="H2888" s="56"/>
      <c r="I2888" s="56"/>
      <c r="J2888" s="60" t="str">
        <f aca="false">IF(IsPro,IF($D2888="","",IFERROR(INDEX(Items!$D$5:$D$504,U2888),"")),"")</f>
        <v/>
      </c>
      <c r="K2888" s="61" t="str">
        <f aca="false">IF(IsPro,IF($D2888="","",IF($F2888="",IFERROR(INDEX(Items!$H$5:$H$504,U2888),0),$F2888)),"")</f>
        <v/>
      </c>
      <c r="L2888" s="61" t="str">
        <f aca="false">IF(IsPro,IF($D2888="","",ROUND(N($E2888)*K2888*(1-N($G2888)),2)),"")</f>
        <v/>
      </c>
      <c r="M2888" s="62" t="str">
        <f aca="false">IF(IsPro,IF($D2888="","",IFERROR(INDEX(Items!$F$5:$F$504,U2888),0)),"")</f>
        <v/>
      </c>
      <c r="N2888" s="61" t="str">
        <f aca="false">IF(IsPro,IF($D2888="","",IF(AND(V2888&lt;&gt;"",INDEX(Parties!$E$5:$E$304,V2888)&lt;&gt;"",INDEX(Parties!$E$5:$E$304,V2888)&lt;&gt;HomeState),0,ROUND(L2888*M2888/2,2))),"")</f>
        <v/>
      </c>
      <c r="O2888" s="61" t="str">
        <f aca="false">IF(IsPro,IF($D2888="","",N2888),"")</f>
        <v/>
      </c>
      <c r="P2888" s="61" t="str">
        <f aca="false">IF(IsPro,IF($D2888="","",IF(AND(V2888&lt;&gt;"",INDEX(Parties!$E$5:$E$304,V2888)&lt;&gt;"",INDEX(Parties!$E$5:$E$304,V2888)&lt;&gt;HomeState),ROUND(L2888*M2888,2),0)),"")</f>
        <v/>
      </c>
      <c r="Q2888" s="61" t="str">
        <f aca="false">IF(IsPro,IF($D2888="","",L2888+N2888+O2888+P2888),"")</f>
        <v/>
      </c>
      <c r="R2888" s="61" t="str">
        <f aca="false">IF(IsPro,IF($D2888="","",ROUND(N($E2888)*IFERROR(INDEX(Items!$P$5:$P$504,U2888),0),2)),"")</f>
        <v/>
      </c>
      <c r="S2888" s="61" t="str">
        <f aca="false">IF(IsPro,IF($D2888="","",L2888-R2888),"")</f>
        <v/>
      </c>
      <c r="T2888" s="60" t="str">
        <f aca="false">IF(IsPro,IF($D2888="","",IF(U2888="","UNKNOWN ITEM",IF(INDEX(Items!$O$5:$O$504,U2888)&lt;0,"NEG STOCK",IF(K2888&lt;INDEX(Items!$P$5:$P$504,U2888),"BELOW COST","OK")))),IF($D2888="","","PRO PLAN"))</f>
        <v/>
      </c>
      <c r="U2888" s="60" t="str">
        <f aca="false">IF(IsPro,IF($D2888="","",IFERROR(MATCH($D2888,Items!$A$5:$A$504,0),"")),"")</f>
        <v/>
      </c>
      <c r="V2888" s="60" t="str">
        <f aca="false">IF(IsPro,IF($C2888="","",IFERROR(MATCH($C2888,Parties!$A$5:$A$304,0),"")),"")</f>
        <v/>
      </c>
      <c r="W2888" s="60" t="str">
        <f aca="false">IF(IsPro,IF($B2888="","",IFERROR(VALUE(SUBSTITUTE($B2888,InvPrefix,"")),0)),"")</f>
        <v/>
      </c>
      <c r="X2888" s="61" t="str">
        <f aca="false">IF(IsPro,IF($D2888="","",IF(OR($H2888="",$H2888="Credit"),0,Q2888)),"")</f>
        <v/>
      </c>
    </row>
    <row r="2889" customFormat="false" ht="15" hidden="false" customHeight="false" outlineLevel="0" collapsed="false">
      <c r="A2889" s="55"/>
      <c r="B2889" s="56"/>
      <c r="C2889" s="56"/>
      <c r="D2889" s="56"/>
      <c r="E2889" s="57"/>
      <c r="F2889" s="58"/>
      <c r="G2889" s="59"/>
      <c r="H2889" s="56"/>
      <c r="I2889" s="56"/>
      <c r="J2889" s="60" t="str">
        <f aca="false">IF(IsPro,IF($D2889="","",IFERROR(INDEX(Items!$D$5:$D$504,U2889),"")),"")</f>
        <v/>
      </c>
      <c r="K2889" s="61" t="str">
        <f aca="false">IF(IsPro,IF($D2889="","",IF($F2889="",IFERROR(INDEX(Items!$H$5:$H$504,U2889),0),$F2889)),"")</f>
        <v/>
      </c>
      <c r="L2889" s="61" t="str">
        <f aca="false">IF(IsPro,IF($D2889="","",ROUND(N($E2889)*K2889*(1-N($G2889)),2)),"")</f>
        <v/>
      </c>
      <c r="M2889" s="62" t="str">
        <f aca="false">IF(IsPro,IF($D2889="","",IFERROR(INDEX(Items!$F$5:$F$504,U2889),0)),"")</f>
        <v/>
      </c>
      <c r="N2889" s="61" t="str">
        <f aca="false">IF(IsPro,IF($D2889="","",IF(AND(V2889&lt;&gt;"",INDEX(Parties!$E$5:$E$304,V2889)&lt;&gt;"",INDEX(Parties!$E$5:$E$304,V2889)&lt;&gt;HomeState),0,ROUND(L2889*M2889/2,2))),"")</f>
        <v/>
      </c>
      <c r="O2889" s="61" t="str">
        <f aca="false">IF(IsPro,IF($D2889="","",N2889),"")</f>
        <v/>
      </c>
      <c r="P2889" s="61" t="str">
        <f aca="false">IF(IsPro,IF($D2889="","",IF(AND(V2889&lt;&gt;"",INDEX(Parties!$E$5:$E$304,V2889)&lt;&gt;"",INDEX(Parties!$E$5:$E$304,V2889)&lt;&gt;HomeState),ROUND(L2889*M2889,2),0)),"")</f>
        <v/>
      </c>
      <c r="Q2889" s="61" t="str">
        <f aca="false">IF(IsPro,IF($D2889="","",L2889+N2889+O2889+P2889),"")</f>
        <v/>
      </c>
      <c r="R2889" s="61" t="str">
        <f aca="false">IF(IsPro,IF($D2889="","",ROUND(N($E2889)*IFERROR(INDEX(Items!$P$5:$P$504,U2889),0),2)),"")</f>
        <v/>
      </c>
      <c r="S2889" s="61" t="str">
        <f aca="false">IF(IsPro,IF($D2889="","",L2889-R2889),"")</f>
        <v/>
      </c>
      <c r="T2889" s="60" t="str">
        <f aca="false">IF(IsPro,IF($D2889="","",IF(U2889="","UNKNOWN ITEM",IF(INDEX(Items!$O$5:$O$504,U2889)&lt;0,"NEG STOCK",IF(K2889&lt;INDEX(Items!$P$5:$P$504,U2889),"BELOW COST","OK")))),IF($D2889="","","PRO PLAN"))</f>
        <v/>
      </c>
      <c r="U2889" s="60" t="str">
        <f aca="false">IF(IsPro,IF($D2889="","",IFERROR(MATCH($D2889,Items!$A$5:$A$504,0),"")),"")</f>
        <v/>
      </c>
      <c r="V2889" s="60" t="str">
        <f aca="false">IF(IsPro,IF($C2889="","",IFERROR(MATCH($C2889,Parties!$A$5:$A$304,0),"")),"")</f>
        <v/>
      </c>
      <c r="W2889" s="60" t="str">
        <f aca="false">IF(IsPro,IF($B2889="","",IFERROR(VALUE(SUBSTITUTE($B2889,InvPrefix,"")),0)),"")</f>
        <v/>
      </c>
      <c r="X2889" s="61" t="str">
        <f aca="false">IF(IsPro,IF($D2889="","",IF(OR($H2889="",$H2889="Credit"),0,Q2889)),"")</f>
        <v/>
      </c>
    </row>
    <row r="2890" customFormat="false" ht="15" hidden="false" customHeight="false" outlineLevel="0" collapsed="false">
      <c r="A2890" s="55"/>
      <c r="B2890" s="56"/>
      <c r="C2890" s="56"/>
      <c r="D2890" s="56"/>
      <c r="E2890" s="57"/>
      <c r="F2890" s="58"/>
      <c r="G2890" s="59"/>
      <c r="H2890" s="56"/>
      <c r="I2890" s="56"/>
      <c r="J2890" s="60" t="str">
        <f aca="false">IF(IsPro,IF($D2890="","",IFERROR(INDEX(Items!$D$5:$D$504,U2890),"")),"")</f>
        <v/>
      </c>
      <c r="K2890" s="61" t="str">
        <f aca="false">IF(IsPro,IF($D2890="","",IF($F2890="",IFERROR(INDEX(Items!$H$5:$H$504,U2890),0),$F2890)),"")</f>
        <v/>
      </c>
      <c r="L2890" s="61" t="str">
        <f aca="false">IF(IsPro,IF($D2890="","",ROUND(N($E2890)*K2890*(1-N($G2890)),2)),"")</f>
        <v/>
      </c>
      <c r="M2890" s="62" t="str">
        <f aca="false">IF(IsPro,IF($D2890="","",IFERROR(INDEX(Items!$F$5:$F$504,U2890),0)),"")</f>
        <v/>
      </c>
      <c r="N2890" s="61" t="str">
        <f aca="false">IF(IsPro,IF($D2890="","",IF(AND(V2890&lt;&gt;"",INDEX(Parties!$E$5:$E$304,V2890)&lt;&gt;"",INDEX(Parties!$E$5:$E$304,V2890)&lt;&gt;HomeState),0,ROUND(L2890*M2890/2,2))),"")</f>
        <v/>
      </c>
      <c r="O2890" s="61" t="str">
        <f aca="false">IF(IsPro,IF($D2890="","",N2890),"")</f>
        <v/>
      </c>
      <c r="P2890" s="61" t="str">
        <f aca="false">IF(IsPro,IF($D2890="","",IF(AND(V2890&lt;&gt;"",INDEX(Parties!$E$5:$E$304,V2890)&lt;&gt;"",INDEX(Parties!$E$5:$E$304,V2890)&lt;&gt;HomeState),ROUND(L2890*M2890,2),0)),"")</f>
        <v/>
      </c>
      <c r="Q2890" s="61" t="str">
        <f aca="false">IF(IsPro,IF($D2890="","",L2890+N2890+O2890+P2890),"")</f>
        <v/>
      </c>
      <c r="R2890" s="61" t="str">
        <f aca="false">IF(IsPro,IF($D2890="","",ROUND(N($E2890)*IFERROR(INDEX(Items!$P$5:$P$504,U2890),0),2)),"")</f>
        <v/>
      </c>
      <c r="S2890" s="61" t="str">
        <f aca="false">IF(IsPro,IF($D2890="","",L2890-R2890),"")</f>
        <v/>
      </c>
      <c r="T2890" s="60" t="str">
        <f aca="false">IF(IsPro,IF($D2890="","",IF(U2890="","UNKNOWN ITEM",IF(INDEX(Items!$O$5:$O$504,U2890)&lt;0,"NEG STOCK",IF(K2890&lt;INDEX(Items!$P$5:$P$504,U2890),"BELOW COST","OK")))),IF($D2890="","","PRO PLAN"))</f>
        <v/>
      </c>
      <c r="U2890" s="60" t="str">
        <f aca="false">IF(IsPro,IF($D2890="","",IFERROR(MATCH($D2890,Items!$A$5:$A$504,0),"")),"")</f>
        <v/>
      </c>
      <c r="V2890" s="60" t="str">
        <f aca="false">IF(IsPro,IF($C2890="","",IFERROR(MATCH($C2890,Parties!$A$5:$A$304,0),"")),"")</f>
        <v/>
      </c>
      <c r="W2890" s="60" t="str">
        <f aca="false">IF(IsPro,IF($B2890="","",IFERROR(VALUE(SUBSTITUTE($B2890,InvPrefix,"")),0)),"")</f>
        <v/>
      </c>
      <c r="X2890" s="61" t="str">
        <f aca="false">IF(IsPro,IF($D2890="","",IF(OR($H2890="",$H2890="Credit"),0,Q2890)),"")</f>
        <v/>
      </c>
    </row>
    <row r="2891" customFormat="false" ht="15" hidden="false" customHeight="false" outlineLevel="0" collapsed="false">
      <c r="A2891" s="55"/>
      <c r="B2891" s="56"/>
      <c r="C2891" s="56"/>
      <c r="D2891" s="56"/>
      <c r="E2891" s="57"/>
      <c r="F2891" s="58"/>
      <c r="G2891" s="59"/>
      <c r="H2891" s="56"/>
      <c r="I2891" s="56"/>
      <c r="J2891" s="60" t="str">
        <f aca="false">IF(IsPro,IF($D2891="","",IFERROR(INDEX(Items!$D$5:$D$504,U2891),"")),"")</f>
        <v/>
      </c>
      <c r="K2891" s="61" t="str">
        <f aca="false">IF(IsPro,IF($D2891="","",IF($F2891="",IFERROR(INDEX(Items!$H$5:$H$504,U2891),0),$F2891)),"")</f>
        <v/>
      </c>
      <c r="L2891" s="61" t="str">
        <f aca="false">IF(IsPro,IF($D2891="","",ROUND(N($E2891)*K2891*(1-N($G2891)),2)),"")</f>
        <v/>
      </c>
      <c r="M2891" s="62" t="str">
        <f aca="false">IF(IsPro,IF($D2891="","",IFERROR(INDEX(Items!$F$5:$F$504,U2891),0)),"")</f>
        <v/>
      </c>
      <c r="N2891" s="61" t="str">
        <f aca="false">IF(IsPro,IF($D2891="","",IF(AND(V2891&lt;&gt;"",INDEX(Parties!$E$5:$E$304,V2891)&lt;&gt;"",INDEX(Parties!$E$5:$E$304,V2891)&lt;&gt;HomeState),0,ROUND(L2891*M2891/2,2))),"")</f>
        <v/>
      </c>
      <c r="O2891" s="61" t="str">
        <f aca="false">IF(IsPro,IF($D2891="","",N2891),"")</f>
        <v/>
      </c>
      <c r="P2891" s="61" t="str">
        <f aca="false">IF(IsPro,IF($D2891="","",IF(AND(V2891&lt;&gt;"",INDEX(Parties!$E$5:$E$304,V2891)&lt;&gt;"",INDEX(Parties!$E$5:$E$304,V2891)&lt;&gt;HomeState),ROUND(L2891*M2891,2),0)),"")</f>
        <v/>
      </c>
      <c r="Q2891" s="61" t="str">
        <f aca="false">IF(IsPro,IF($D2891="","",L2891+N2891+O2891+P2891),"")</f>
        <v/>
      </c>
      <c r="R2891" s="61" t="str">
        <f aca="false">IF(IsPro,IF($D2891="","",ROUND(N($E2891)*IFERROR(INDEX(Items!$P$5:$P$504,U2891),0),2)),"")</f>
        <v/>
      </c>
      <c r="S2891" s="61" t="str">
        <f aca="false">IF(IsPro,IF($D2891="","",L2891-R2891),"")</f>
        <v/>
      </c>
      <c r="T2891" s="60" t="str">
        <f aca="false">IF(IsPro,IF($D2891="","",IF(U2891="","UNKNOWN ITEM",IF(INDEX(Items!$O$5:$O$504,U2891)&lt;0,"NEG STOCK",IF(K2891&lt;INDEX(Items!$P$5:$P$504,U2891),"BELOW COST","OK")))),IF($D2891="","","PRO PLAN"))</f>
        <v/>
      </c>
      <c r="U2891" s="60" t="str">
        <f aca="false">IF(IsPro,IF($D2891="","",IFERROR(MATCH($D2891,Items!$A$5:$A$504,0),"")),"")</f>
        <v/>
      </c>
      <c r="V2891" s="60" t="str">
        <f aca="false">IF(IsPro,IF($C2891="","",IFERROR(MATCH($C2891,Parties!$A$5:$A$304,0),"")),"")</f>
        <v/>
      </c>
      <c r="W2891" s="60" t="str">
        <f aca="false">IF(IsPro,IF($B2891="","",IFERROR(VALUE(SUBSTITUTE($B2891,InvPrefix,"")),0)),"")</f>
        <v/>
      </c>
      <c r="X2891" s="61" t="str">
        <f aca="false">IF(IsPro,IF($D2891="","",IF(OR($H2891="",$H2891="Credit"),0,Q2891)),"")</f>
        <v/>
      </c>
    </row>
    <row r="2892" customFormat="false" ht="15" hidden="false" customHeight="false" outlineLevel="0" collapsed="false">
      <c r="A2892" s="55"/>
      <c r="B2892" s="56"/>
      <c r="C2892" s="56"/>
      <c r="D2892" s="56"/>
      <c r="E2892" s="57"/>
      <c r="F2892" s="58"/>
      <c r="G2892" s="59"/>
      <c r="H2892" s="56"/>
      <c r="I2892" s="56"/>
      <c r="J2892" s="60" t="str">
        <f aca="false">IF(IsPro,IF($D2892="","",IFERROR(INDEX(Items!$D$5:$D$504,U2892),"")),"")</f>
        <v/>
      </c>
      <c r="K2892" s="61" t="str">
        <f aca="false">IF(IsPro,IF($D2892="","",IF($F2892="",IFERROR(INDEX(Items!$H$5:$H$504,U2892),0),$F2892)),"")</f>
        <v/>
      </c>
      <c r="L2892" s="61" t="str">
        <f aca="false">IF(IsPro,IF($D2892="","",ROUND(N($E2892)*K2892*(1-N($G2892)),2)),"")</f>
        <v/>
      </c>
      <c r="M2892" s="62" t="str">
        <f aca="false">IF(IsPro,IF($D2892="","",IFERROR(INDEX(Items!$F$5:$F$504,U2892),0)),"")</f>
        <v/>
      </c>
      <c r="N2892" s="61" t="str">
        <f aca="false">IF(IsPro,IF($D2892="","",IF(AND(V2892&lt;&gt;"",INDEX(Parties!$E$5:$E$304,V2892)&lt;&gt;"",INDEX(Parties!$E$5:$E$304,V2892)&lt;&gt;HomeState),0,ROUND(L2892*M2892/2,2))),"")</f>
        <v/>
      </c>
      <c r="O2892" s="61" t="str">
        <f aca="false">IF(IsPro,IF($D2892="","",N2892),"")</f>
        <v/>
      </c>
      <c r="P2892" s="61" t="str">
        <f aca="false">IF(IsPro,IF($D2892="","",IF(AND(V2892&lt;&gt;"",INDEX(Parties!$E$5:$E$304,V2892)&lt;&gt;"",INDEX(Parties!$E$5:$E$304,V2892)&lt;&gt;HomeState),ROUND(L2892*M2892,2),0)),"")</f>
        <v/>
      </c>
      <c r="Q2892" s="61" t="str">
        <f aca="false">IF(IsPro,IF($D2892="","",L2892+N2892+O2892+P2892),"")</f>
        <v/>
      </c>
      <c r="R2892" s="61" t="str">
        <f aca="false">IF(IsPro,IF($D2892="","",ROUND(N($E2892)*IFERROR(INDEX(Items!$P$5:$P$504,U2892),0),2)),"")</f>
        <v/>
      </c>
      <c r="S2892" s="61" t="str">
        <f aca="false">IF(IsPro,IF($D2892="","",L2892-R2892),"")</f>
        <v/>
      </c>
      <c r="T2892" s="60" t="str">
        <f aca="false">IF(IsPro,IF($D2892="","",IF(U2892="","UNKNOWN ITEM",IF(INDEX(Items!$O$5:$O$504,U2892)&lt;0,"NEG STOCK",IF(K2892&lt;INDEX(Items!$P$5:$P$504,U2892),"BELOW COST","OK")))),IF($D2892="","","PRO PLAN"))</f>
        <v/>
      </c>
      <c r="U2892" s="60" t="str">
        <f aca="false">IF(IsPro,IF($D2892="","",IFERROR(MATCH($D2892,Items!$A$5:$A$504,0),"")),"")</f>
        <v/>
      </c>
      <c r="V2892" s="60" t="str">
        <f aca="false">IF(IsPro,IF($C2892="","",IFERROR(MATCH($C2892,Parties!$A$5:$A$304,0),"")),"")</f>
        <v/>
      </c>
      <c r="W2892" s="60" t="str">
        <f aca="false">IF(IsPro,IF($B2892="","",IFERROR(VALUE(SUBSTITUTE($B2892,InvPrefix,"")),0)),"")</f>
        <v/>
      </c>
      <c r="X2892" s="61" t="str">
        <f aca="false">IF(IsPro,IF($D2892="","",IF(OR($H2892="",$H2892="Credit"),0,Q2892)),"")</f>
        <v/>
      </c>
    </row>
    <row r="2893" customFormat="false" ht="15" hidden="false" customHeight="false" outlineLevel="0" collapsed="false">
      <c r="A2893" s="55"/>
      <c r="B2893" s="56"/>
      <c r="C2893" s="56"/>
      <c r="D2893" s="56"/>
      <c r="E2893" s="57"/>
      <c r="F2893" s="58"/>
      <c r="G2893" s="59"/>
      <c r="H2893" s="56"/>
      <c r="I2893" s="56"/>
      <c r="J2893" s="60" t="str">
        <f aca="false">IF(IsPro,IF($D2893="","",IFERROR(INDEX(Items!$D$5:$D$504,U2893),"")),"")</f>
        <v/>
      </c>
      <c r="K2893" s="61" t="str">
        <f aca="false">IF(IsPro,IF($D2893="","",IF($F2893="",IFERROR(INDEX(Items!$H$5:$H$504,U2893),0),$F2893)),"")</f>
        <v/>
      </c>
      <c r="L2893" s="61" t="str">
        <f aca="false">IF(IsPro,IF($D2893="","",ROUND(N($E2893)*K2893*(1-N($G2893)),2)),"")</f>
        <v/>
      </c>
      <c r="M2893" s="62" t="str">
        <f aca="false">IF(IsPro,IF($D2893="","",IFERROR(INDEX(Items!$F$5:$F$504,U2893),0)),"")</f>
        <v/>
      </c>
      <c r="N2893" s="61" t="str">
        <f aca="false">IF(IsPro,IF($D2893="","",IF(AND(V2893&lt;&gt;"",INDEX(Parties!$E$5:$E$304,V2893)&lt;&gt;"",INDEX(Parties!$E$5:$E$304,V2893)&lt;&gt;HomeState),0,ROUND(L2893*M2893/2,2))),"")</f>
        <v/>
      </c>
      <c r="O2893" s="61" t="str">
        <f aca="false">IF(IsPro,IF($D2893="","",N2893),"")</f>
        <v/>
      </c>
      <c r="P2893" s="61" t="str">
        <f aca="false">IF(IsPro,IF($D2893="","",IF(AND(V2893&lt;&gt;"",INDEX(Parties!$E$5:$E$304,V2893)&lt;&gt;"",INDEX(Parties!$E$5:$E$304,V2893)&lt;&gt;HomeState),ROUND(L2893*M2893,2),0)),"")</f>
        <v/>
      </c>
      <c r="Q2893" s="61" t="str">
        <f aca="false">IF(IsPro,IF($D2893="","",L2893+N2893+O2893+P2893),"")</f>
        <v/>
      </c>
      <c r="R2893" s="61" t="str">
        <f aca="false">IF(IsPro,IF($D2893="","",ROUND(N($E2893)*IFERROR(INDEX(Items!$P$5:$P$504,U2893),0),2)),"")</f>
        <v/>
      </c>
      <c r="S2893" s="61" t="str">
        <f aca="false">IF(IsPro,IF($D2893="","",L2893-R2893),"")</f>
        <v/>
      </c>
      <c r="T2893" s="60" t="str">
        <f aca="false">IF(IsPro,IF($D2893="","",IF(U2893="","UNKNOWN ITEM",IF(INDEX(Items!$O$5:$O$504,U2893)&lt;0,"NEG STOCK",IF(K2893&lt;INDEX(Items!$P$5:$P$504,U2893),"BELOW COST","OK")))),IF($D2893="","","PRO PLAN"))</f>
        <v/>
      </c>
      <c r="U2893" s="60" t="str">
        <f aca="false">IF(IsPro,IF($D2893="","",IFERROR(MATCH($D2893,Items!$A$5:$A$504,0),"")),"")</f>
        <v/>
      </c>
      <c r="V2893" s="60" t="str">
        <f aca="false">IF(IsPro,IF($C2893="","",IFERROR(MATCH($C2893,Parties!$A$5:$A$304,0),"")),"")</f>
        <v/>
      </c>
      <c r="W2893" s="60" t="str">
        <f aca="false">IF(IsPro,IF($B2893="","",IFERROR(VALUE(SUBSTITUTE($B2893,InvPrefix,"")),0)),"")</f>
        <v/>
      </c>
      <c r="X2893" s="61" t="str">
        <f aca="false">IF(IsPro,IF($D2893="","",IF(OR($H2893="",$H2893="Credit"),0,Q2893)),"")</f>
        <v/>
      </c>
    </row>
    <row r="2894" customFormat="false" ht="15" hidden="false" customHeight="false" outlineLevel="0" collapsed="false">
      <c r="A2894" s="55"/>
      <c r="B2894" s="56"/>
      <c r="C2894" s="56"/>
      <c r="D2894" s="56"/>
      <c r="E2894" s="57"/>
      <c r="F2894" s="58"/>
      <c r="G2894" s="59"/>
      <c r="H2894" s="56"/>
      <c r="I2894" s="56"/>
      <c r="J2894" s="60" t="str">
        <f aca="false">IF(IsPro,IF($D2894="","",IFERROR(INDEX(Items!$D$5:$D$504,U2894),"")),"")</f>
        <v/>
      </c>
      <c r="K2894" s="61" t="str">
        <f aca="false">IF(IsPro,IF($D2894="","",IF($F2894="",IFERROR(INDEX(Items!$H$5:$H$504,U2894),0),$F2894)),"")</f>
        <v/>
      </c>
      <c r="L2894" s="61" t="str">
        <f aca="false">IF(IsPro,IF($D2894="","",ROUND(N($E2894)*K2894*(1-N($G2894)),2)),"")</f>
        <v/>
      </c>
      <c r="M2894" s="62" t="str">
        <f aca="false">IF(IsPro,IF($D2894="","",IFERROR(INDEX(Items!$F$5:$F$504,U2894),0)),"")</f>
        <v/>
      </c>
      <c r="N2894" s="61" t="str">
        <f aca="false">IF(IsPro,IF($D2894="","",IF(AND(V2894&lt;&gt;"",INDEX(Parties!$E$5:$E$304,V2894)&lt;&gt;"",INDEX(Parties!$E$5:$E$304,V2894)&lt;&gt;HomeState),0,ROUND(L2894*M2894/2,2))),"")</f>
        <v/>
      </c>
      <c r="O2894" s="61" t="str">
        <f aca="false">IF(IsPro,IF($D2894="","",N2894),"")</f>
        <v/>
      </c>
      <c r="P2894" s="61" t="str">
        <f aca="false">IF(IsPro,IF($D2894="","",IF(AND(V2894&lt;&gt;"",INDEX(Parties!$E$5:$E$304,V2894)&lt;&gt;"",INDEX(Parties!$E$5:$E$304,V2894)&lt;&gt;HomeState),ROUND(L2894*M2894,2),0)),"")</f>
        <v/>
      </c>
      <c r="Q2894" s="61" t="str">
        <f aca="false">IF(IsPro,IF($D2894="","",L2894+N2894+O2894+P2894),"")</f>
        <v/>
      </c>
      <c r="R2894" s="61" t="str">
        <f aca="false">IF(IsPro,IF($D2894="","",ROUND(N($E2894)*IFERROR(INDEX(Items!$P$5:$P$504,U2894),0),2)),"")</f>
        <v/>
      </c>
      <c r="S2894" s="61" t="str">
        <f aca="false">IF(IsPro,IF($D2894="","",L2894-R2894),"")</f>
        <v/>
      </c>
      <c r="T2894" s="60" t="str">
        <f aca="false">IF(IsPro,IF($D2894="","",IF(U2894="","UNKNOWN ITEM",IF(INDEX(Items!$O$5:$O$504,U2894)&lt;0,"NEG STOCK",IF(K2894&lt;INDEX(Items!$P$5:$P$504,U2894),"BELOW COST","OK")))),IF($D2894="","","PRO PLAN"))</f>
        <v/>
      </c>
      <c r="U2894" s="60" t="str">
        <f aca="false">IF(IsPro,IF($D2894="","",IFERROR(MATCH($D2894,Items!$A$5:$A$504,0),"")),"")</f>
        <v/>
      </c>
      <c r="V2894" s="60" t="str">
        <f aca="false">IF(IsPro,IF($C2894="","",IFERROR(MATCH($C2894,Parties!$A$5:$A$304,0),"")),"")</f>
        <v/>
      </c>
      <c r="W2894" s="60" t="str">
        <f aca="false">IF(IsPro,IF($B2894="","",IFERROR(VALUE(SUBSTITUTE($B2894,InvPrefix,"")),0)),"")</f>
        <v/>
      </c>
      <c r="X2894" s="61" t="str">
        <f aca="false">IF(IsPro,IF($D2894="","",IF(OR($H2894="",$H2894="Credit"),0,Q2894)),"")</f>
        <v/>
      </c>
    </row>
    <row r="2895" customFormat="false" ht="15" hidden="false" customHeight="false" outlineLevel="0" collapsed="false">
      <c r="A2895" s="55"/>
      <c r="B2895" s="56"/>
      <c r="C2895" s="56"/>
      <c r="D2895" s="56"/>
      <c r="E2895" s="57"/>
      <c r="F2895" s="58"/>
      <c r="G2895" s="59"/>
      <c r="H2895" s="56"/>
      <c r="I2895" s="56"/>
      <c r="J2895" s="60" t="str">
        <f aca="false">IF(IsPro,IF($D2895="","",IFERROR(INDEX(Items!$D$5:$D$504,U2895),"")),"")</f>
        <v/>
      </c>
      <c r="K2895" s="61" t="str">
        <f aca="false">IF(IsPro,IF($D2895="","",IF($F2895="",IFERROR(INDEX(Items!$H$5:$H$504,U2895),0),$F2895)),"")</f>
        <v/>
      </c>
      <c r="L2895" s="61" t="str">
        <f aca="false">IF(IsPro,IF($D2895="","",ROUND(N($E2895)*K2895*(1-N($G2895)),2)),"")</f>
        <v/>
      </c>
      <c r="M2895" s="62" t="str">
        <f aca="false">IF(IsPro,IF($D2895="","",IFERROR(INDEX(Items!$F$5:$F$504,U2895),0)),"")</f>
        <v/>
      </c>
      <c r="N2895" s="61" t="str">
        <f aca="false">IF(IsPro,IF($D2895="","",IF(AND(V2895&lt;&gt;"",INDEX(Parties!$E$5:$E$304,V2895)&lt;&gt;"",INDEX(Parties!$E$5:$E$304,V2895)&lt;&gt;HomeState),0,ROUND(L2895*M2895/2,2))),"")</f>
        <v/>
      </c>
      <c r="O2895" s="61" t="str">
        <f aca="false">IF(IsPro,IF($D2895="","",N2895),"")</f>
        <v/>
      </c>
      <c r="P2895" s="61" t="str">
        <f aca="false">IF(IsPro,IF($D2895="","",IF(AND(V2895&lt;&gt;"",INDEX(Parties!$E$5:$E$304,V2895)&lt;&gt;"",INDEX(Parties!$E$5:$E$304,V2895)&lt;&gt;HomeState),ROUND(L2895*M2895,2),0)),"")</f>
        <v/>
      </c>
      <c r="Q2895" s="61" t="str">
        <f aca="false">IF(IsPro,IF($D2895="","",L2895+N2895+O2895+P2895),"")</f>
        <v/>
      </c>
      <c r="R2895" s="61" t="str">
        <f aca="false">IF(IsPro,IF($D2895="","",ROUND(N($E2895)*IFERROR(INDEX(Items!$P$5:$P$504,U2895),0),2)),"")</f>
        <v/>
      </c>
      <c r="S2895" s="61" t="str">
        <f aca="false">IF(IsPro,IF($D2895="","",L2895-R2895),"")</f>
        <v/>
      </c>
      <c r="T2895" s="60" t="str">
        <f aca="false">IF(IsPro,IF($D2895="","",IF(U2895="","UNKNOWN ITEM",IF(INDEX(Items!$O$5:$O$504,U2895)&lt;0,"NEG STOCK",IF(K2895&lt;INDEX(Items!$P$5:$P$504,U2895),"BELOW COST","OK")))),IF($D2895="","","PRO PLAN"))</f>
        <v/>
      </c>
      <c r="U2895" s="60" t="str">
        <f aca="false">IF(IsPro,IF($D2895="","",IFERROR(MATCH($D2895,Items!$A$5:$A$504,0),"")),"")</f>
        <v/>
      </c>
      <c r="V2895" s="60" t="str">
        <f aca="false">IF(IsPro,IF($C2895="","",IFERROR(MATCH($C2895,Parties!$A$5:$A$304,0),"")),"")</f>
        <v/>
      </c>
      <c r="W2895" s="60" t="str">
        <f aca="false">IF(IsPro,IF($B2895="","",IFERROR(VALUE(SUBSTITUTE($B2895,InvPrefix,"")),0)),"")</f>
        <v/>
      </c>
      <c r="X2895" s="61" t="str">
        <f aca="false">IF(IsPro,IF($D2895="","",IF(OR($H2895="",$H2895="Credit"),0,Q2895)),"")</f>
        <v/>
      </c>
    </row>
    <row r="2896" customFormat="false" ht="15" hidden="false" customHeight="false" outlineLevel="0" collapsed="false">
      <c r="A2896" s="55"/>
      <c r="B2896" s="56"/>
      <c r="C2896" s="56"/>
      <c r="D2896" s="56"/>
      <c r="E2896" s="57"/>
      <c r="F2896" s="58"/>
      <c r="G2896" s="59"/>
      <c r="H2896" s="56"/>
      <c r="I2896" s="56"/>
      <c r="J2896" s="60" t="str">
        <f aca="false">IF(IsPro,IF($D2896="","",IFERROR(INDEX(Items!$D$5:$D$504,U2896),"")),"")</f>
        <v/>
      </c>
      <c r="K2896" s="61" t="str">
        <f aca="false">IF(IsPro,IF($D2896="","",IF($F2896="",IFERROR(INDEX(Items!$H$5:$H$504,U2896),0),$F2896)),"")</f>
        <v/>
      </c>
      <c r="L2896" s="61" t="str">
        <f aca="false">IF(IsPro,IF($D2896="","",ROUND(N($E2896)*K2896*(1-N($G2896)),2)),"")</f>
        <v/>
      </c>
      <c r="M2896" s="62" t="str">
        <f aca="false">IF(IsPro,IF($D2896="","",IFERROR(INDEX(Items!$F$5:$F$504,U2896),0)),"")</f>
        <v/>
      </c>
      <c r="N2896" s="61" t="str">
        <f aca="false">IF(IsPro,IF($D2896="","",IF(AND(V2896&lt;&gt;"",INDEX(Parties!$E$5:$E$304,V2896)&lt;&gt;"",INDEX(Parties!$E$5:$E$304,V2896)&lt;&gt;HomeState),0,ROUND(L2896*M2896/2,2))),"")</f>
        <v/>
      </c>
      <c r="O2896" s="61" t="str">
        <f aca="false">IF(IsPro,IF($D2896="","",N2896),"")</f>
        <v/>
      </c>
      <c r="P2896" s="61" t="str">
        <f aca="false">IF(IsPro,IF($D2896="","",IF(AND(V2896&lt;&gt;"",INDEX(Parties!$E$5:$E$304,V2896)&lt;&gt;"",INDEX(Parties!$E$5:$E$304,V2896)&lt;&gt;HomeState),ROUND(L2896*M2896,2),0)),"")</f>
        <v/>
      </c>
      <c r="Q2896" s="61" t="str">
        <f aca="false">IF(IsPro,IF($D2896="","",L2896+N2896+O2896+P2896),"")</f>
        <v/>
      </c>
      <c r="R2896" s="61" t="str">
        <f aca="false">IF(IsPro,IF($D2896="","",ROUND(N($E2896)*IFERROR(INDEX(Items!$P$5:$P$504,U2896),0),2)),"")</f>
        <v/>
      </c>
      <c r="S2896" s="61" t="str">
        <f aca="false">IF(IsPro,IF($D2896="","",L2896-R2896),"")</f>
        <v/>
      </c>
      <c r="T2896" s="60" t="str">
        <f aca="false">IF(IsPro,IF($D2896="","",IF(U2896="","UNKNOWN ITEM",IF(INDEX(Items!$O$5:$O$504,U2896)&lt;0,"NEG STOCK",IF(K2896&lt;INDEX(Items!$P$5:$P$504,U2896),"BELOW COST","OK")))),IF($D2896="","","PRO PLAN"))</f>
        <v/>
      </c>
      <c r="U2896" s="60" t="str">
        <f aca="false">IF(IsPro,IF($D2896="","",IFERROR(MATCH($D2896,Items!$A$5:$A$504,0),"")),"")</f>
        <v/>
      </c>
      <c r="V2896" s="60" t="str">
        <f aca="false">IF(IsPro,IF($C2896="","",IFERROR(MATCH($C2896,Parties!$A$5:$A$304,0),"")),"")</f>
        <v/>
      </c>
      <c r="W2896" s="60" t="str">
        <f aca="false">IF(IsPro,IF($B2896="","",IFERROR(VALUE(SUBSTITUTE($B2896,InvPrefix,"")),0)),"")</f>
        <v/>
      </c>
      <c r="X2896" s="61" t="str">
        <f aca="false">IF(IsPro,IF($D2896="","",IF(OR($H2896="",$H2896="Credit"),0,Q2896)),"")</f>
        <v/>
      </c>
    </row>
    <row r="2897" customFormat="false" ht="15" hidden="false" customHeight="false" outlineLevel="0" collapsed="false">
      <c r="A2897" s="55"/>
      <c r="B2897" s="56"/>
      <c r="C2897" s="56"/>
      <c r="D2897" s="56"/>
      <c r="E2897" s="57"/>
      <c r="F2897" s="58"/>
      <c r="G2897" s="59"/>
      <c r="H2897" s="56"/>
      <c r="I2897" s="56"/>
      <c r="J2897" s="60" t="str">
        <f aca="false">IF(IsPro,IF($D2897="","",IFERROR(INDEX(Items!$D$5:$D$504,U2897),"")),"")</f>
        <v/>
      </c>
      <c r="K2897" s="61" t="str">
        <f aca="false">IF(IsPro,IF($D2897="","",IF($F2897="",IFERROR(INDEX(Items!$H$5:$H$504,U2897),0),$F2897)),"")</f>
        <v/>
      </c>
      <c r="L2897" s="61" t="str">
        <f aca="false">IF(IsPro,IF($D2897="","",ROUND(N($E2897)*K2897*(1-N($G2897)),2)),"")</f>
        <v/>
      </c>
      <c r="M2897" s="62" t="str">
        <f aca="false">IF(IsPro,IF($D2897="","",IFERROR(INDEX(Items!$F$5:$F$504,U2897),0)),"")</f>
        <v/>
      </c>
      <c r="N2897" s="61" t="str">
        <f aca="false">IF(IsPro,IF($D2897="","",IF(AND(V2897&lt;&gt;"",INDEX(Parties!$E$5:$E$304,V2897)&lt;&gt;"",INDEX(Parties!$E$5:$E$304,V2897)&lt;&gt;HomeState),0,ROUND(L2897*M2897/2,2))),"")</f>
        <v/>
      </c>
      <c r="O2897" s="61" t="str">
        <f aca="false">IF(IsPro,IF($D2897="","",N2897),"")</f>
        <v/>
      </c>
      <c r="P2897" s="61" t="str">
        <f aca="false">IF(IsPro,IF($D2897="","",IF(AND(V2897&lt;&gt;"",INDEX(Parties!$E$5:$E$304,V2897)&lt;&gt;"",INDEX(Parties!$E$5:$E$304,V2897)&lt;&gt;HomeState),ROUND(L2897*M2897,2),0)),"")</f>
        <v/>
      </c>
      <c r="Q2897" s="61" t="str">
        <f aca="false">IF(IsPro,IF($D2897="","",L2897+N2897+O2897+P2897),"")</f>
        <v/>
      </c>
      <c r="R2897" s="61" t="str">
        <f aca="false">IF(IsPro,IF($D2897="","",ROUND(N($E2897)*IFERROR(INDEX(Items!$P$5:$P$504,U2897),0),2)),"")</f>
        <v/>
      </c>
      <c r="S2897" s="61" t="str">
        <f aca="false">IF(IsPro,IF($D2897="","",L2897-R2897),"")</f>
        <v/>
      </c>
      <c r="T2897" s="60" t="str">
        <f aca="false">IF(IsPro,IF($D2897="","",IF(U2897="","UNKNOWN ITEM",IF(INDEX(Items!$O$5:$O$504,U2897)&lt;0,"NEG STOCK",IF(K2897&lt;INDEX(Items!$P$5:$P$504,U2897),"BELOW COST","OK")))),IF($D2897="","","PRO PLAN"))</f>
        <v/>
      </c>
      <c r="U2897" s="60" t="str">
        <f aca="false">IF(IsPro,IF($D2897="","",IFERROR(MATCH($D2897,Items!$A$5:$A$504,0),"")),"")</f>
        <v/>
      </c>
      <c r="V2897" s="60" t="str">
        <f aca="false">IF(IsPro,IF($C2897="","",IFERROR(MATCH($C2897,Parties!$A$5:$A$304,0),"")),"")</f>
        <v/>
      </c>
      <c r="W2897" s="60" t="str">
        <f aca="false">IF(IsPro,IF($B2897="","",IFERROR(VALUE(SUBSTITUTE($B2897,InvPrefix,"")),0)),"")</f>
        <v/>
      </c>
      <c r="X2897" s="61" t="str">
        <f aca="false">IF(IsPro,IF($D2897="","",IF(OR($H2897="",$H2897="Credit"),0,Q2897)),"")</f>
        <v/>
      </c>
    </row>
    <row r="2898" customFormat="false" ht="15" hidden="false" customHeight="false" outlineLevel="0" collapsed="false">
      <c r="A2898" s="55"/>
      <c r="B2898" s="56"/>
      <c r="C2898" s="56"/>
      <c r="D2898" s="56"/>
      <c r="E2898" s="57"/>
      <c r="F2898" s="58"/>
      <c r="G2898" s="59"/>
      <c r="H2898" s="56"/>
      <c r="I2898" s="56"/>
      <c r="J2898" s="60" t="str">
        <f aca="false">IF(IsPro,IF($D2898="","",IFERROR(INDEX(Items!$D$5:$D$504,U2898),"")),"")</f>
        <v/>
      </c>
      <c r="K2898" s="61" t="str">
        <f aca="false">IF(IsPro,IF($D2898="","",IF($F2898="",IFERROR(INDEX(Items!$H$5:$H$504,U2898),0),$F2898)),"")</f>
        <v/>
      </c>
      <c r="L2898" s="61" t="str">
        <f aca="false">IF(IsPro,IF($D2898="","",ROUND(N($E2898)*K2898*(1-N($G2898)),2)),"")</f>
        <v/>
      </c>
      <c r="M2898" s="62" t="str">
        <f aca="false">IF(IsPro,IF($D2898="","",IFERROR(INDEX(Items!$F$5:$F$504,U2898),0)),"")</f>
        <v/>
      </c>
      <c r="N2898" s="61" t="str">
        <f aca="false">IF(IsPro,IF($D2898="","",IF(AND(V2898&lt;&gt;"",INDEX(Parties!$E$5:$E$304,V2898)&lt;&gt;"",INDEX(Parties!$E$5:$E$304,V2898)&lt;&gt;HomeState),0,ROUND(L2898*M2898/2,2))),"")</f>
        <v/>
      </c>
      <c r="O2898" s="61" t="str">
        <f aca="false">IF(IsPro,IF($D2898="","",N2898),"")</f>
        <v/>
      </c>
      <c r="P2898" s="61" t="str">
        <f aca="false">IF(IsPro,IF($D2898="","",IF(AND(V2898&lt;&gt;"",INDEX(Parties!$E$5:$E$304,V2898)&lt;&gt;"",INDEX(Parties!$E$5:$E$304,V2898)&lt;&gt;HomeState),ROUND(L2898*M2898,2),0)),"")</f>
        <v/>
      </c>
      <c r="Q2898" s="61" t="str">
        <f aca="false">IF(IsPro,IF($D2898="","",L2898+N2898+O2898+P2898),"")</f>
        <v/>
      </c>
      <c r="R2898" s="61" t="str">
        <f aca="false">IF(IsPro,IF($D2898="","",ROUND(N($E2898)*IFERROR(INDEX(Items!$P$5:$P$504,U2898),0),2)),"")</f>
        <v/>
      </c>
      <c r="S2898" s="61" t="str">
        <f aca="false">IF(IsPro,IF($D2898="","",L2898-R2898),"")</f>
        <v/>
      </c>
      <c r="T2898" s="60" t="str">
        <f aca="false">IF(IsPro,IF($D2898="","",IF(U2898="","UNKNOWN ITEM",IF(INDEX(Items!$O$5:$O$504,U2898)&lt;0,"NEG STOCK",IF(K2898&lt;INDEX(Items!$P$5:$P$504,U2898),"BELOW COST","OK")))),IF($D2898="","","PRO PLAN"))</f>
        <v/>
      </c>
      <c r="U2898" s="60" t="str">
        <f aca="false">IF(IsPro,IF($D2898="","",IFERROR(MATCH($D2898,Items!$A$5:$A$504,0),"")),"")</f>
        <v/>
      </c>
      <c r="V2898" s="60" t="str">
        <f aca="false">IF(IsPro,IF($C2898="","",IFERROR(MATCH($C2898,Parties!$A$5:$A$304,0),"")),"")</f>
        <v/>
      </c>
      <c r="W2898" s="60" t="str">
        <f aca="false">IF(IsPro,IF($B2898="","",IFERROR(VALUE(SUBSTITUTE($B2898,InvPrefix,"")),0)),"")</f>
        <v/>
      </c>
      <c r="X2898" s="61" t="str">
        <f aca="false">IF(IsPro,IF($D2898="","",IF(OR($H2898="",$H2898="Credit"),0,Q2898)),"")</f>
        <v/>
      </c>
    </row>
    <row r="2899" customFormat="false" ht="15" hidden="false" customHeight="false" outlineLevel="0" collapsed="false">
      <c r="A2899" s="55"/>
      <c r="B2899" s="56"/>
      <c r="C2899" s="56"/>
      <c r="D2899" s="56"/>
      <c r="E2899" s="57"/>
      <c r="F2899" s="58"/>
      <c r="G2899" s="59"/>
      <c r="H2899" s="56"/>
      <c r="I2899" s="56"/>
      <c r="J2899" s="60" t="str">
        <f aca="false">IF(IsPro,IF($D2899="","",IFERROR(INDEX(Items!$D$5:$D$504,U2899),"")),"")</f>
        <v/>
      </c>
      <c r="K2899" s="61" t="str">
        <f aca="false">IF(IsPro,IF($D2899="","",IF($F2899="",IFERROR(INDEX(Items!$H$5:$H$504,U2899),0),$F2899)),"")</f>
        <v/>
      </c>
      <c r="L2899" s="61" t="str">
        <f aca="false">IF(IsPro,IF($D2899="","",ROUND(N($E2899)*K2899*(1-N($G2899)),2)),"")</f>
        <v/>
      </c>
      <c r="M2899" s="62" t="str">
        <f aca="false">IF(IsPro,IF($D2899="","",IFERROR(INDEX(Items!$F$5:$F$504,U2899),0)),"")</f>
        <v/>
      </c>
      <c r="N2899" s="61" t="str">
        <f aca="false">IF(IsPro,IF($D2899="","",IF(AND(V2899&lt;&gt;"",INDEX(Parties!$E$5:$E$304,V2899)&lt;&gt;"",INDEX(Parties!$E$5:$E$304,V2899)&lt;&gt;HomeState),0,ROUND(L2899*M2899/2,2))),"")</f>
        <v/>
      </c>
      <c r="O2899" s="61" t="str">
        <f aca="false">IF(IsPro,IF($D2899="","",N2899),"")</f>
        <v/>
      </c>
      <c r="P2899" s="61" t="str">
        <f aca="false">IF(IsPro,IF($D2899="","",IF(AND(V2899&lt;&gt;"",INDEX(Parties!$E$5:$E$304,V2899)&lt;&gt;"",INDEX(Parties!$E$5:$E$304,V2899)&lt;&gt;HomeState),ROUND(L2899*M2899,2),0)),"")</f>
        <v/>
      </c>
      <c r="Q2899" s="61" t="str">
        <f aca="false">IF(IsPro,IF($D2899="","",L2899+N2899+O2899+P2899),"")</f>
        <v/>
      </c>
      <c r="R2899" s="61" t="str">
        <f aca="false">IF(IsPro,IF($D2899="","",ROUND(N($E2899)*IFERROR(INDEX(Items!$P$5:$P$504,U2899),0),2)),"")</f>
        <v/>
      </c>
      <c r="S2899" s="61" t="str">
        <f aca="false">IF(IsPro,IF($D2899="","",L2899-R2899),"")</f>
        <v/>
      </c>
      <c r="T2899" s="60" t="str">
        <f aca="false">IF(IsPro,IF($D2899="","",IF(U2899="","UNKNOWN ITEM",IF(INDEX(Items!$O$5:$O$504,U2899)&lt;0,"NEG STOCK",IF(K2899&lt;INDEX(Items!$P$5:$P$504,U2899),"BELOW COST","OK")))),IF($D2899="","","PRO PLAN"))</f>
        <v/>
      </c>
      <c r="U2899" s="60" t="str">
        <f aca="false">IF(IsPro,IF($D2899="","",IFERROR(MATCH($D2899,Items!$A$5:$A$504,0),"")),"")</f>
        <v/>
      </c>
      <c r="V2899" s="60" t="str">
        <f aca="false">IF(IsPro,IF($C2899="","",IFERROR(MATCH($C2899,Parties!$A$5:$A$304,0),"")),"")</f>
        <v/>
      </c>
      <c r="W2899" s="60" t="str">
        <f aca="false">IF(IsPro,IF($B2899="","",IFERROR(VALUE(SUBSTITUTE($B2899,InvPrefix,"")),0)),"")</f>
        <v/>
      </c>
      <c r="X2899" s="61" t="str">
        <f aca="false">IF(IsPro,IF($D2899="","",IF(OR($H2899="",$H2899="Credit"),0,Q2899)),"")</f>
        <v/>
      </c>
    </row>
    <row r="2900" customFormat="false" ht="15" hidden="false" customHeight="false" outlineLevel="0" collapsed="false">
      <c r="A2900" s="55"/>
      <c r="B2900" s="56"/>
      <c r="C2900" s="56"/>
      <c r="D2900" s="56"/>
      <c r="E2900" s="57"/>
      <c r="F2900" s="58"/>
      <c r="G2900" s="59"/>
      <c r="H2900" s="56"/>
      <c r="I2900" s="56"/>
      <c r="J2900" s="60" t="str">
        <f aca="false">IF(IsPro,IF($D2900="","",IFERROR(INDEX(Items!$D$5:$D$504,U2900),"")),"")</f>
        <v/>
      </c>
      <c r="K2900" s="61" t="str">
        <f aca="false">IF(IsPro,IF($D2900="","",IF($F2900="",IFERROR(INDEX(Items!$H$5:$H$504,U2900),0),$F2900)),"")</f>
        <v/>
      </c>
      <c r="L2900" s="61" t="str">
        <f aca="false">IF(IsPro,IF($D2900="","",ROUND(N($E2900)*K2900*(1-N($G2900)),2)),"")</f>
        <v/>
      </c>
      <c r="M2900" s="62" t="str">
        <f aca="false">IF(IsPro,IF($D2900="","",IFERROR(INDEX(Items!$F$5:$F$504,U2900),0)),"")</f>
        <v/>
      </c>
      <c r="N2900" s="61" t="str">
        <f aca="false">IF(IsPro,IF($D2900="","",IF(AND(V2900&lt;&gt;"",INDEX(Parties!$E$5:$E$304,V2900)&lt;&gt;"",INDEX(Parties!$E$5:$E$304,V2900)&lt;&gt;HomeState),0,ROUND(L2900*M2900/2,2))),"")</f>
        <v/>
      </c>
      <c r="O2900" s="61" t="str">
        <f aca="false">IF(IsPro,IF($D2900="","",N2900),"")</f>
        <v/>
      </c>
      <c r="P2900" s="61" t="str">
        <f aca="false">IF(IsPro,IF($D2900="","",IF(AND(V2900&lt;&gt;"",INDEX(Parties!$E$5:$E$304,V2900)&lt;&gt;"",INDEX(Parties!$E$5:$E$304,V2900)&lt;&gt;HomeState),ROUND(L2900*M2900,2),0)),"")</f>
        <v/>
      </c>
      <c r="Q2900" s="61" t="str">
        <f aca="false">IF(IsPro,IF($D2900="","",L2900+N2900+O2900+P2900),"")</f>
        <v/>
      </c>
      <c r="R2900" s="61" t="str">
        <f aca="false">IF(IsPro,IF($D2900="","",ROUND(N($E2900)*IFERROR(INDEX(Items!$P$5:$P$504,U2900),0),2)),"")</f>
        <v/>
      </c>
      <c r="S2900" s="61" t="str">
        <f aca="false">IF(IsPro,IF($D2900="","",L2900-R2900),"")</f>
        <v/>
      </c>
      <c r="T2900" s="60" t="str">
        <f aca="false">IF(IsPro,IF($D2900="","",IF(U2900="","UNKNOWN ITEM",IF(INDEX(Items!$O$5:$O$504,U2900)&lt;0,"NEG STOCK",IF(K2900&lt;INDEX(Items!$P$5:$P$504,U2900),"BELOW COST","OK")))),IF($D2900="","","PRO PLAN"))</f>
        <v/>
      </c>
      <c r="U2900" s="60" t="str">
        <f aca="false">IF(IsPro,IF($D2900="","",IFERROR(MATCH($D2900,Items!$A$5:$A$504,0),"")),"")</f>
        <v/>
      </c>
      <c r="V2900" s="60" t="str">
        <f aca="false">IF(IsPro,IF($C2900="","",IFERROR(MATCH($C2900,Parties!$A$5:$A$304,0),"")),"")</f>
        <v/>
      </c>
      <c r="W2900" s="60" t="str">
        <f aca="false">IF(IsPro,IF($B2900="","",IFERROR(VALUE(SUBSTITUTE($B2900,InvPrefix,"")),0)),"")</f>
        <v/>
      </c>
      <c r="X2900" s="61" t="str">
        <f aca="false">IF(IsPro,IF($D2900="","",IF(OR($H2900="",$H2900="Credit"),0,Q2900)),"")</f>
        <v/>
      </c>
    </row>
    <row r="2901" customFormat="false" ht="15" hidden="false" customHeight="false" outlineLevel="0" collapsed="false">
      <c r="A2901" s="55"/>
      <c r="B2901" s="56"/>
      <c r="C2901" s="56"/>
      <c r="D2901" s="56"/>
      <c r="E2901" s="57"/>
      <c r="F2901" s="58"/>
      <c r="G2901" s="59"/>
      <c r="H2901" s="56"/>
      <c r="I2901" s="56"/>
      <c r="J2901" s="60" t="str">
        <f aca="false">IF(IsPro,IF($D2901="","",IFERROR(INDEX(Items!$D$5:$D$504,U2901),"")),"")</f>
        <v/>
      </c>
      <c r="K2901" s="61" t="str">
        <f aca="false">IF(IsPro,IF($D2901="","",IF($F2901="",IFERROR(INDEX(Items!$H$5:$H$504,U2901),0),$F2901)),"")</f>
        <v/>
      </c>
      <c r="L2901" s="61" t="str">
        <f aca="false">IF(IsPro,IF($D2901="","",ROUND(N($E2901)*K2901*(1-N($G2901)),2)),"")</f>
        <v/>
      </c>
      <c r="M2901" s="62" t="str">
        <f aca="false">IF(IsPro,IF($D2901="","",IFERROR(INDEX(Items!$F$5:$F$504,U2901),0)),"")</f>
        <v/>
      </c>
      <c r="N2901" s="61" t="str">
        <f aca="false">IF(IsPro,IF($D2901="","",IF(AND(V2901&lt;&gt;"",INDEX(Parties!$E$5:$E$304,V2901)&lt;&gt;"",INDEX(Parties!$E$5:$E$304,V2901)&lt;&gt;HomeState),0,ROUND(L2901*M2901/2,2))),"")</f>
        <v/>
      </c>
      <c r="O2901" s="61" t="str">
        <f aca="false">IF(IsPro,IF($D2901="","",N2901),"")</f>
        <v/>
      </c>
      <c r="P2901" s="61" t="str">
        <f aca="false">IF(IsPro,IF($D2901="","",IF(AND(V2901&lt;&gt;"",INDEX(Parties!$E$5:$E$304,V2901)&lt;&gt;"",INDEX(Parties!$E$5:$E$304,V2901)&lt;&gt;HomeState),ROUND(L2901*M2901,2),0)),"")</f>
        <v/>
      </c>
      <c r="Q2901" s="61" t="str">
        <f aca="false">IF(IsPro,IF($D2901="","",L2901+N2901+O2901+P2901),"")</f>
        <v/>
      </c>
      <c r="R2901" s="61" t="str">
        <f aca="false">IF(IsPro,IF($D2901="","",ROUND(N($E2901)*IFERROR(INDEX(Items!$P$5:$P$504,U2901),0),2)),"")</f>
        <v/>
      </c>
      <c r="S2901" s="61" t="str">
        <f aca="false">IF(IsPro,IF($D2901="","",L2901-R2901),"")</f>
        <v/>
      </c>
      <c r="T2901" s="60" t="str">
        <f aca="false">IF(IsPro,IF($D2901="","",IF(U2901="","UNKNOWN ITEM",IF(INDEX(Items!$O$5:$O$504,U2901)&lt;0,"NEG STOCK",IF(K2901&lt;INDEX(Items!$P$5:$P$504,U2901),"BELOW COST","OK")))),IF($D2901="","","PRO PLAN"))</f>
        <v/>
      </c>
      <c r="U2901" s="60" t="str">
        <f aca="false">IF(IsPro,IF($D2901="","",IFERROR(MATCH($D2901,Items!$A$5:$A$504,0),"")),"")</f>
        <v/>
      </c>
      <c r="V2901" s="60" t="str">
        <f aca="false">IF(IsPro,IF($C2901="","",IFERROR(MATCH($C2901,Parties!$A$5:$A$304,0),"")),"")</f>
        <v/>
      </c>
      <c r="W2901" s="60" t="str">
        <f aca="false">IF(IsPro,IF($B2901="","",IFERROR(VALUE(SUBSTITUTE($B2901,InvPrefix,"")),0)),"")</f>
        <v/>
      </c>
      <c r="X2901" s="61" t="str">
        <f aca="false">IF(IsPro,IF($D2901="","",IF(OR($H2901="",$H2901="Credit"),0,Q2901)),"")</f>
        <v/>
      </c>
    </row>
    <row r="2902" customFormat="false" ht="15" hidden="false" customHeight="false" outlineLevel="0" collapsed="false">
      <c r="A2902" s="55"/>
      <c r="B2902" s="56"/>
      <c r="C2902" s="56"/>
      <c r="D2902" s="56"/>
      <c r="E2902" s="57"/>
      <c r="F2902" s="58"/>
      <c r="G2902" s="59"/>
      <c r="H2902" s="56"/>
      <c r="I2902" s="56"/>
      <c r="J2902" s="60" t="str">
        <f aca="false">IF(IsPro,IF($D2902="","",IFERROR(INDEX(Items!$D$5:$D$504,U2902),"")),"")</f>
        <v/>
      </c>
      <c r="K2902" s="61" t="str">
        <f aca="false">IF(IsPro,IF($D2902="","",IF($F2902="",IFERROR(INDEX(Items!$H$5:$H$504,U2902),0),$F2902)),"")</f>
        <v/>
      </c>
      <c r="L2902" s="61" t="str">
        <f aca="false">IF(IsPro,IF($D2902="","",ROUND(N($E2902)*K2902*(1-N($G2902)),2)),"")</f>
        <v/>
      </c>
      <c r="M2902" s="62" t="str">
        <f aca="false">IF(IsPro,IF($D2902="","",IFERROR(INDEX(Items!$F$5:$F$504,U2902),0)),"")</f>
        <v/>
      </c>
      <c r="N2902" s="61" t="str">
        <f aca="false">IF(IsPro,IF($D2902="","",IF(AND(V2902&lt;&gt;"",INDEX(Parties!$E$5:$E$304,V2902)&lt;&gt;"",INDEX(Parties!$E$5:$E$304,V2902)&lt;&gt;HomeState),0,ROUND(L2902*M2902/2,2))),"")</f>
        <v/>
      </c>
      <c r="O2902" s="61" t="str">
        <f aca="false">IF(IsPro,IF($D2902="","",N2902),"")</f>
        <v/>
      </c>
      <c r="P2902" s="61" t="str">
        <f aca="false">IF(IsPro,IF($D2902="","",IF(AND(V2902&lt;&gt;"",INDEX(Parties!$E$5:$E$304,V2902)&lt;&gt;"",INDEX(Parties!$E$5:$E$304,V2902)&lt;&gt;HomeState),ROUND(L2902*M2902,2),0)),"")</f>
        <v/>
      </c>
      <c r="Q2902" s="61" t="str">
        <f aca="false">IF(IsPro,IF($D2902="","",L2902+N2902+O2902+P2902),"")</f>
        <v/>
      </c>
      <c r="R2902" s="61" t="str">
        <f aca="false">IF(IsPro,IF($D2902="","",ROUND(N($E2902)*IFERROR(INDEX(Items!$P$5:$P$504,U2902),0),2)),"")</f>
        <v/>
      </c>
      <c r="S2902" s="61" t="str">
        <f aca="false">IF(IsPro,IF($D2902="","",L2902-R2902),"")</f>
        <v/>
      </c>
      <c r="T2902" s="60" t="str">
        <f aca="false">IF(IsPro,IF($D2902="","",IF(U2902="","UNKNOWN ITEM",IF(INDEX(Items!$O$5:$O$504,U2902)&lt;0,"NEG STOCK",IF(K2902&lt;INDEX(Items!$P$5:$P$504,U2902),"BELOW COST","OK")))),IF($D2902="","","PRO PLAN"))</f>
        <v/>
      </c>
      <c r="U2902" s="60" t="str">
        <f aca="false">IF(IsPro,IF($D2902="","",IFERROR(MATCH($D2902,Items!$A$5:$A$504,0),"")),"")</f>
        <v/>
      </c>
      <c r="V2902" s="60" t="str">
        <f aca="false">IF(IsPro,IF($C2902="","",IFERROR(MATCH($C2902,Parties!$A$5:$A$304,0),"")),"")</f>
        <v/>
      </c>
      <c r="W2902" s="60" t="str">
        <f aca="false">IF(IsPro,IF($B2902="","",IFERROR(VALUE(SUBSTITUTE($B2902,InvPrefix,"")),0)),"")</f>
        <v/>
      </c>
      <c r="X2902" s="61" t="str">
        <f aca="false">IF(IsPro,IF($D2902="","",IF(OR($H2902="",$H2902="Credit"),0,Q2902)),"")</f>
        <v/>
      </c>
    </row>
    <row r="2903" customFormat="false" ht="15" hidden="false" customHeight="false" outlineLevel="0" collapsed="false">
      <c r="A2903" s="55"/>
      <c r="B2903" s="56"/>
      <c r="C2903" s="56"/>
      <c r="D2903" s="56"/>
      <c r="E2903" s="57"/>
      <c r="F2903" s="58"/>
      <c r="G2903" s="59"/>
      <c r="H2903" s="56"/>
      <c r="I2903" s="56"/>
      <c r="J2903" s="60" t="str">
        <f aca="false">IF(IsPro,IF($D2903="","",IFERROR(INDEX(Items!$D$5:$D$504,U2903),"")),"")</f>
        <v/>
      </c>
      <c r="K2903" s="61" t="str">
        <f aca="false">IF(IsPro,IF($D2903="","",IF($F2903="",IFERROR(INDEX(Items!$H$5:$H$504,U2903),0),$F2903)),"")</f>
        <v/>
      </c>
      <c r="L2903" s="61" t="str">
        <f aca="false">IF(IsPro,IF($D2903="","",ROUND(N($E2903)*K2903*(1-N($G2903)),2)),"")</f>
        <v/>
      </c>
      <c r="M2903" s="62" t="str">
        <f aca="false">IF(IsPro,IF($D2903="","",IFERROR(INDEX(Items!$F$5:$F$504,U2903),0)),"")</f>
        <v/>
      </c>
      <c r="N2903" s="61" t="str">
        <f aca="false">IF(IsPro,IF($D2903="","",IF(AND(V2903&lt;&gt;"",INDEX(Parties!$E$5:$E$304,V2903)&lt;&gt;"",INDEX(Parties!$E$5:$E$304,V2903)&lt;&gt;HomeState),0,ROUND(L2903*M2903/2,2))),"")</f>
        <v/>
      </c>
      <c r="O2903" s="61" t="str">
        <f aca="false">IF(IsPro,IF($D2903="","",N2903),"")</f>
        <v/>
      </c>
      <c r="P2903" s="61" t="str">
        <f aca="false">IF(IsPro,IF($D2903="","",IF(AND(V2903&lt;&gt;"",INDEX(Parties!$E$5:$E$304,V2903)&lt;&gt;"",INDEX(Parties!$E$5:$E$304,V2903)&lt;&gt;HomeState),ROUND(L2903*M2903,2),0)),"")</f>
        <v/>
      </c>
      <c r="Q2903" s="61" t="str">
        <f aca="false">IF(IsPro,IF($D2903="","",L2903+N2903+O2903+P2903),"")</f>
        <v/>
      </c>
      <c r="R2903" s="61" t="str">
        <f aca="false">IF(IsPro,IF($D2903="","",ROUND(N($E2903)*IFERROR(INDEX(Items!$P$5:$P$504,U2903),0),2)),"")</f>
        <v/>
      </c>
      <c r="S2903" s="61" t="str">
        <f aca="false">IF(IsPro,IF($D2903="","",L2903-R2903),"")</f>
        <v/>
      </c>
      <c r="T2903" s="60" t="str">
        <f aca="false">IF(IsPro,IF($D2903="","",IF(U2903="","UNKNOWN ITEM",IF(INDEX(Items!$O$5:$O$504,U2903)&lt;0,"NEG STOCK",IF(K2903&lt;INDEX(Items!$P$5:$P$504,U2903),"BELOW COST","OK")))),IF($D2903="","","PRO PLAN"))</f>
        <v/>
      </c>
      <c r="U2903" s="60" t="str">
        <f aca="false">IF(IsPro,IF($D2903="","",IFERROR(MATCH($D2903,Items!$A$5:$A$504,0),"")),"")</f>
        <v/>
      </c>
      <c r="V2903" s="60" t="str">
        <f aca="false">IF(IsPro,IF($C2903="","",IFERROR(MATCH($C2903,Parties!$A$5:$A$304,0),"")),"")</f>
        <v/>
      </c>
      <c r="W2903" s="60" t="str">
        <f aca="false">IF(IsPro,IF($B2903="","",IFERROR(VALUE(SUBSTITUTE($B2903,InvPrefix,"")),0)),"")</f>
        <v/>
      </c>
      <c r="X2903" s="61" t="str">
        <f aca="false">IF(IsPro,IF($D2903="","",IF(OR($H2903="",$H2903="Credit"),0,Q2903)),"")</f>
        <v/>
      </c>
    </row>
    <row r="2904" customFormat="false" ht="15" hidden="false" customHeight="false" outlineLevel="0" collapsed="false">
      <c r="A2904" s="55"/>
      <c r="B2904" s="56"/>
      <c r="C2904" s="56"/>
      <c r="D2904" s="56"/>
      <c r="E2904" s="57"/>
      <c r="F2904" s="58"/>
      <c r="G2904" s="59"/>
      <c r="H2904" s="56"/>
      <c r="I2904" s="56"/>
      <c r="J2904" s="60" t="str">
        <f aca="false">IF(IsPro,IF($D2904="","",IFERROR(INDEX(Items!$D$5:$D$504,U2904),"")),"")</f>
        <v/>
      </c>
      <c r="K2904" s="61" t="str">
        <f aca="false">IF(IsPro,IF($D2904="","",IF($F2904="",IFERROR(INDEX(Items!$H$5:$H$504,U2904),0),$F2904)),"")</f>
        <v/>
      </c>
      <c r="L2904" s="61" t="str">
        <f aca="false">IF(IsPro,IF($D2904="","",ROUND(N($E2904)*K2904*(1-N($G2904)),2)),"")</f>
        <v/>
      </c>
      <c r="M2904" s="62" t="str">
        <f aca="false">IF(IsPro,IF($D2904="","",IFERROR(INDEX(Items!$F$5:$F$504,U2904),0)),"")</f>
        <v/>
      </c>
      <c r="N2904" s="61" t="str">
        <f aca="false">IF(IsPro,IF($D2904="","",IF(AND(V2904&lt;&gt;"",INDEX(Parties!$E$5:$E$304,V2904)&lt;&gt;"",INDEX(Parties!$E$5:$E$304,V2904)&lt;&gt;HomeState),0,ROUND(L2904*M2904/2,2))),"")</f>
        <v/>
      </c>
      <c r="O2904" s="61" t="str">
        <f aca="false">IF(IsPro,IF($D2904="","",N2904),"")</f>
        <v/>
      </c>
      <c r="P2904" s="61" t="str">
        <f aca="false">IF(IsPro,IF($D2904="","",IF(AND(V2904&lt;&gt;"",INDEX(Parties!$E$5:$E$304,V2904)&lt;&gt;"",INDEX(Parties!$E$5:$E$304,V2904)&lt;&gt;HomeState),ROUND(L2904*M2904,2),0)),"")</f>
        <v/>
      </c>
      <c r="Q2904" s="61" t="str">
        <f aca="false">IF(IsPro,IF($D2904="","",L2904+N2904+O2904+P2904),"")</f>
        <v/>
      </c>
      <c r="R2904" s="61" t="str">
        <f aca="false">IF(IsPro,IF($D2904="","",ROUND(N($E2904)*IFERROR(INDEX(Items!$P$5:$P$504,U2904),0),2)),"")</f>
        <v/>
      </c>
      <c r="S2904" s="61" t="str">
        <f aca="false">IF(IsPro,IF($D2904="","",L2904-R2904),"")</f>
        <v/>
      </c>
      <c r="T2904" s="60" t="str">
        <f aca="false">IF(IsPro,IF($D2904="","",IF(U2904="","UNKNOWN ITEM",IF(INDEX(Items!$O$5:$O$504,U2904)&lt;0,"NEG STOCK",IF(K2904&lt;INDEX(Items!$P$5:$P$504,U2904),"BELOW COST","OK")))),IF($D2904="","","PRO PLAN"))</f>
        <v/>
      </c>
      <c r="U2904" s="60" t="str">
        <f aca="false">IF(IsPro,IF($D2904="","",IFERROR(MATCH($D2904,Items!$A$5:$A$504,0),"")),"")</f>
        <v/>
      </c>
      <c r="V2904" s="60" t="str">
        <f aca="false">IF(IsPro,IF($C2904="","",IFERROR(MATCH($C2904,Parties!$A$5:$A$304,0),"")),"")</f>
        <v/>
      </c>
      <c r="W2904" s="60" t="str">
        <f aca="false">IF(IsPro,IF($B2904="","",IFERROR(VALUE(SUBSTITUTE($B2904,InvPrefix,"")),0)),"")</f>
        <v/>
      </c>
      <c r="X2904" s="61" t="str">
        <f aca="false">IF(IsPro,IF($D2904="","",IF(OR($H2904="",$H2904="Credit"),0,Q2904)),"")</f>
        <v/>
      </c>
    </row>
    <row r="2905" customFormat="false" ht="15" hidden="false" customHeight="false" outlineLevel="0" collapsed="false">
      <c r="A2905" s="55"/>
      <c r="B2905" s="56"/>
      <c r="C2905" s="56"/>
      <c r="D2905" s="56"/>
      <c r="E2905" s="57"/>
      <c r="F2905" s="58"/>
      <c r="G2905" s="59"/>
      <c r="H2905" s="56"/>
      <c r="I2905" s="56"/>
      <c r="J2905" s="60" t="str">
        <f aca="false">IF(IsPro,IF($D2905="","",IFERROR(INDEX(Items!$D$5:$D$504,U2905),"")),"")</f>
        <v/>
      </c>
      <c r="K2905" s="61" t="str">
        <f aca="false">IF(IsPro,IF($D2905="","",IF($F2905="",IFERROR(INDEX(Items!$H$5:$H$504,U2905),0),$F2905)),"")</f>
        <v/>
      </c>
      <c r="L2905" s="61" t="str">
        <f aca="false">IF(IsPro,IF($D2905="","",ROUND(N($E2905)*K2905*(1-N($G2905)),2)),"")</f>
        <v/>
      </c>
      <c r="M2905" s="62" t="str">
        <f aca="false">IF(IsPro,IF($D2905="","",IFERROR(INDEX(Items!$F$5:$F$504,U2905),0)),"")</f>
        <v/>
      </c>
      <c r="N2905" s="61" t="str">
        <f aca="false">IF(IsPro,IF($D2905="","",IF(AND(V2905&lt;&gt;"",INDEX(Parties!$E$5:$E$304,V2905)&lt;&gt;"",INDEX(Parties!$E$5:$E$304,V2905)&lt;&gt;HomeState),0,ROUND(L2905*M2905/2,2))),"")</f>
        <v/>
      </c>
      <c r="O2905" s="61" t="str">
        <f aca="false">IF(IsPro,IF($D2905="","",N2905),"")</f>
        <v/>
      </c>
      <c r="P2905" s="61" t="str">
        <f aca="false">IF(IsPro,IF($D2905="","",IF(AND(V2905&lt;&gt;"",INDEX(Parties!$E$5:$E$304,V2905)&lt;&gt;"",INDEX(Parties!$E$5:$E$304,V2905)&lt;&gt;HomeState),ROUND(L2905*M2905,2),0)),"")</f>
        <v/>
      </c>
      <c r="Q2905" s="61" t="str">
        <f aca="false">IF(IsPro,IF($D2905="","",L2905+N2905+O2905+P2905),"")</f>
        <v/>
      </c>
      <c r="R2905" s="61" t="str">
        <f aca="false">IF(IsPro,IF($D2905="","",ROUND(N($E2905)*IFERROR(INDEX(Items!$P$5:$P$504,U2905),0),2)),"")</f>
        <v/>
      </c>
      <c r="S2905" s="61" t="str">
        <f aca="false">IF(IsPro,IF($D2905="","",L2905-R2905),"")</f>
        <v/>
      </c>
      <c r="T2905" s="60" t="str">
        <f aca="false">IF(IsPro,IF($D2905="","",IF(U2905="","UNKNOWN ITEM",IF(INDEX(Items!$O$5:$O$504,U2905)&lt;0,"NEG STOCK",IF(K2905&lt;INDEX(Items!$P$5:$P$504,U2905),"BELOW COST","OK")))),IF($D2905="","","PRO PLAN"))</f>
        <v/>
      </c>
      <c r="U2905" s="60" t="str">
        <f aca="false">IF(IsPro,IF($D2905="","",IFERROR(MATCH($D2905,Items!$A$5:$A$504,0),"")),"")</f>
        <v/>
      </c>
      <c r="V2905" s="60" t="str">
        <f aca="false">IF(IsPro,IF($C2905="","",IFERROR(MATCH($C2905,Parties!$A$5:$A$304,0),"")),"")</f>
        <v/>
      </c>
      <c r="W2905" s="60" t="str">
        <f aca="false">IF(IsPro,IF($B2905="","",IFERROR(VALUE(SUBSTITUTE($B2905,InvPrefix,"")),0)),"")</f>
        <v/>
      </c>
      <c r="X2905" s="61" t="str">
        <f aca="false">IF(IsPro,IF($D2905="","",IF(OR($H2905="",$H2905="Credit"),0,Q2905)),"")</f>
        <v/>
      </c>
    </row>
    <row r="2906" customFormat="false" ht="15" hidden="false" customHeight="false" outlineLevel="0" collapsed="false">
      <c r="A2906" s="55"/>
      <c r="B2906" s="56"/>
      <c r="C2906" s="56"/>
      <c r="D2906" s="56"/>
      <c r="E2906" s="57"/>
      <c r="F2906" s="58"/>
      <c r="G2906" s="59"/>
      <c r="H2906" s="56"/>
      <c r="I2906" s="56"/>
      <c r="J2906" s="60" t="str">
        <f aca="false">IF(IsPro,IF($D2906="","",IFERROR(INDEX(Items!$D$5:$D$504,U2906),"")),"")</f>
        <v/>
      </c>
      <c r="K2906" s="61" t="str">
        <f aca="false">IF(IsPro,IF($D2906="","",IF($F2906="",IFERROR(INDEX(Items!$H$5:$H$504,U2906),0),$F2906)),"")</f>
        <v/>
      </c>
      <c r="L2906" s="61" t="str">
        <f aca="false">IF(IsPro,IF($D2906="","",ROUND(N($E2906)*K2906*(1-N($G2906)),2)),"")</f>
        <v/>
      </c>
      <c r="M2906" s="62" t="str">
        <f aca="false">IF(IsPro,IF($D2906="","",IFERROR(INDEX(Items!$F$5:$F$504,U2906),0)),"")</f>
        <v/>
      </c>
      <c r="N2906" s="61" t="str">
        <f aca="false">IF(IsPro,IF($D2906="","",IF(AND(V2906&lt;&gt;"",INDEX(Parties!$E$5:$E$304,V2906)&lt;&gt;"",INDEX(Parties!$E$5:$E$304,V2906)&lt;&gt;HomeState),0,ROUND(L2906*M2906/2,2))),"")</f>
        <v/>
      </c>
      <c r="O2906" s="61" t="str">
        <f aca="false">IF(IsPro,IF($D2906="","",N2906),"")</f>
        <v/>
      </c>
      <c r="P2906" s="61" t="str">
        <f aca="false">IF(IsPro,IF($D2906="","",IF(AND(V2906&lt;&gt;"",INDEX(Parties!$E$5:$E$304,V2906)&lt;&gt;"",INDEX(Parties!$E$5:$E$304,V2906)&lt;&gt;HomeState),ROUND(L2906*M2906,2),0)),"")</f>
        <v/>
      </c>
      <c r="Q2906" s="61" t="str">
        <f aca="false">IF(IsPro,IF($D2906="","",L2906+N2906+O2906+P2906),"")</f>
        <v/>
      </c>
      <c r="R2906" s="61" t="str">
        <f aca="false">IF(IsPro,IF($D2906="","",ROUND(N($E2906)*IFERROR(INDEX(Items!$P$5:$P$504,U2906),0),2)),"")</f>
        <v/>
      </c>
      <c r="S2906" s="61" t="str">
        <f aca="false">IF(IsPro,IF($D2906="","",L2906-R2906),"")</f>
        <v/>
      </c>
      <c r="T2906" s="60" t="str">
        <f aca="false">IF(IsPro,IF($D2906="","",IF(U2906="","UNKNOWN ITEM",IF(INDEX(Items!$O$5:$O$504,U2906)&lt;0,"NEG STOCK",IF(K2906&lt;INDEX(Items!$P$5:$P$504,U2906),"BELOW COST","OK")))),IF($D2906="","","PRO PLAN"))</f>
        <v/>
      </c>
      <c r="U2906" s="60" t="str">
        <f aca="false">IF(IsPro,IF($D2906="","",IFERROR(MATCH($D2906,Items!$A$5:$A$504,0),"")),"")</f>
        <v/>
      </c>
      <c r="V2906" s="60" t="str">
        <f aca="false">IF(IsPro,IF($C2906="","",IFERROR(MATCH($C2906,Parties!$A$5:$A$304,0),"")),"")</f>
        <v/>
      </c>
      <c r="W2906" s="60" t="str">
        <f aca="false">IF(IsPro,IF($B2906="","",IFERROR(VALUE(SUBSTITUTE($B2906,InvPrefix,"")),0)),"")</f>
        <v/>
      </c>
      <c r="X2906" s="61" t="str">
        <f aca="false">IF(IsPro,IF($D2906="","",IF(OR($H2906="",$H2906="Credit"),0,Q2906)),"")</f>
        <v/>
      </c>
    </row>
    <row r="2907" customFormat="false" ht="15" hidden="false" customHeight="false" outlineLevel="0" collapsed="false">
      <c r="A2907" s="55"/>
      <c r="B2907" s="56"/>
      <c r="C2907" s="56"/>
      <c r="D2907" s="56"/>
      <c r="E2907" s="57"/>
      <c r="F2907" s="58"/>
      <c r="G2907" s="59"/>
      <c r="H2907" s="56"/>
      <c r="I2907" s="56"/>
      <c r="J2907" s="60" t="str">
        <f aca="false">IF(IsPro,IF($D2907="","",IFERROR(INDEX(Items!$D$5:$D$504,U2907),"")),"")</f>
        <v/>
      </c>
      <c r="K2907" s="61" t="str">
        <f aca="false">IF(IsPro,IF($D2907="","",IF($F2907="",IFERROR(INDEX(Items!$H$5:$H$504,U2907),0),$F2907)),"")</f>
        <v/>
      </c>
      <c r="L2907" s="61" t="str">
        <f aca="false">IF(IsPro,IF($D2907="","",ROUND(N($E2907)*K2907*(1-N($G2907)),2)),"")</f>
        <v/>
      </c>
      <c r="M2907" s="62" t="str">
        <f aca="false">IF(IsPro,IF($D2907="","",IFERROR(INDEX(Items!$F$5:$F$504,U2907),0)),"")</f>
        <v/>
      </c>
      <c r="N2907" s="61" t="str">
        <f aca="false">IF(IsPro,IF($D2907="","",IF(AND(V2907&lt;&gt;"",INDEX(Parties!$E$5:$E$304,V2907)&lt;&gt;"",INDEX(Parties!$E$5:$E$304,V2907)&lt;&gt;HomeState),0,ROUND(L2907*M2907/2,2))),"")</f>
        <v/>
      </c>
      <c r="O2907" s="61" t="str">
        <f aca="false">IF(IsPro,IF($D2907="","",N2907),"")</f>
        <v/>
      </c>
      <c r="P2907" s="61" t="str">
        <f aca="false">IF(IsPro,IF($D2907="","",IF(AND(V2907&lt;&gt;"",INDEX(Parties!$E$5:$E$304,V2907)&lt;&gt;"",INDEX(Parties!$E$5:$E$304,V2907)&lt;&gt;HomeState),ROUND(L2907*M2907,2),0)),"")</f>
        <v/>
      </c>
      <c r="Q2907" s="61" t="str">
        <f aca="false">IF(IsPro,IF($D2907="","",L2907+N2907+O2907+P2907),"")</f>
        <v/>
      </c>
      <c r="R2907" s="61" t="str">
        <f aca="false">IF(IsPro,IF($D2907="","",ROUND(N($E2907)*IFERROR(INDEX(Items!$P$5:$P$504,U2907),0),2)),"")</f>
        <v/>
      </c>
      <c r="S2907" s="61" t="str">
        <f aca="false">IF(IsPro,IF($D2907="","",L2907-R2907),"")</f>
        <v/>
      </c>
      <c r="T2907" s="60" t="str">
        <f aca="false">IF(IsPro,IF($D2907="","",IF(U2907="","UNKNOWN ITEM",IF(INDEX(Items!$O$5:$O$504,U2907)&lt;0,"NEG STOCK",IF(K2907&lt;INDEX(Items!$P$5:$P$504,U2907),"BELOW COST","OK")))),IF($D2907="","","PRO PLAN"))</f>
        <v/>
      </c>
      <c r="U2907" s="60" t="str">
        <f aca="false">IF(IsPro,IF($D2907="","",IFERROR(MATCH($D2907,Items!$A$5:$A$504,0),"")),"")</f>
        <v/>
      </c>
      <c r="V2907" s="60" t="str">
        <f aca="false">IF(IsPro,IF($C2907="","",IFERROR(MATCH($C2907,Parties!$A$5:$A$304,0),"")),"")</f>
        <v/>
      </c>
      <c r="W2907" s="60" t="str">
        <f aca="false">IF(IsPro,IF($B2907="","",IFERROR(VALUE(SUBSTITUTE($B2907,InvPrefix,"")),0)),"")</f>
        <v/>
      </c>
      <c r="X2907" s="61" t="str">
        <f aca="false">IF(IsPro,IF($D2907="","",IF(OR($H2907="",$H2907="Credit"),0,Q2907)),"")</f>
        <v/>
      </c>
    </row>
    <row r="2908" customFormat="false" ht="15" hidden="false" customHeight="false" outlineLevel="0" collapsed="false">
      <c r="A2908" s="55"/>
      <c r="B2908" s="56"/>
      <c r="C2908" s="56"/>
      <c r="D2908" s="56"/>
      <c r="E2908" s="57"/>
      <c r="F2908" s="58"/>
      <c r="G2908" s="59"/>
      <c r="H2908" s="56"/>
      <c r="I2908" s="56"/>
      <c r="J2908" s="60" t="str">
        <f aca="false">IF(IsPro,IF($D2908="","",IFERROR(INDEX(Items!$D$5:$D$504,U2908),"")),"")</f>
        <v/>
      </c>
      <c r="K2908" s="61" t="str">
        <f aca="false">IF(IsPro,IF($D2908="","",IF($F2908="",IFERROR(INDEX(Items!$H$5:$H$504,U2908),0),$F2908)),"")</f>
        <v/>
      </c>
      <c r="L2908" s="61" t="str">
        <f aca="false">IF(IsPro,IF($D2908="","",ROUND(N($E2908)*K2908*(1-N($G2908)),2)),"")</f>
        <v/>
      </c>
      <c r="M2908" s="62" t="str">
        <f aca="false">IF(IsPro,IF($D2908="","",IFERROR(INDEX(Items!$F$5:$F$504,U2908),0)),"")</f>
        <v/>
      </c>
      <c r="N2908" s="61" t="str">
        <f aca="false">IF(IsPro,IF($D2908="","",IF(AND(V2908&lt;&gt;"",INDEX(Parties!$E$5:$E$304,V2908)&lt;&gt;"",INDEX(Parties!$E$5:$E$304,V2908)&lt;&gt;HomeState),0,ROUND(L2908*M2908/2,2))),"")</f>
        <v/>
      </c>
      <c r="O2908" s="61" t="str">
        <f aca="false">IF(IsPro,IF($D2908="","",N2908),"")</f>
        <v/>
      </c>
      <c r="P2908" s="61" t="str">
        <f aca="false">IF(IsPro,IF($D2908="","",IF(AND(V2908&lt;&gt;"",INDEX(Parties!$E$5:$E$304,V2908)&lt;&gt;"",INDEX(Parties!$E$5:$E$304,V2908)&lt;&gt;HomeState),ROUND(L2908*M2908,2),0)),"")</f>
        <v/>
      </c>
      <c r="Q2908" s="61" t="str">
        <f aca="false">IF(IsPro,IF($D2908="","",L2908+N2908+O2908+P2908),"")</f>
        <v/>
      </c>
      <c r="R2908" s="61" t="str">
        <f aca="false">IF(IsPro,IF($D2908="","",ROUND(N($E2908)*IFERROR(INDEX(Items!$P$5:$P$504,U2908),0),2)),"")</f>
        <v/>
      </c>
      <c r="S2908" s="61" t="str">
        <f aca="false">IF(IsPro,IF($D2908="","",L2908-R2908),"")</f>
        <v/>
      </c>
      <c r="T2908" s="60" t="str">
        <f aca="false">IF(IsPro,IF($D2908="","",IF(U2908="","UNKNOWN ITEM",IF(INDEX(Items!$O$5:$O$504,U2908)&lt;0,"NEG STOCK",IF(K2908&lt;INDEX(Items!$P$5:$P$504,U2908),"BELOW COST","OK")))),IF($D2908="","","PRO PLAN"))</f>
        <v/>
      </c>
      <c r="U2908" s="60" t="str">
        <f aca="false">IF(IsPro,IF($D2908="","",IFERROR(MATCH($D2908,Items!$A$5:$A$504,0),"")),"")</f>
        <v/>
      </c>
      <c r="V2908" s="60" t="str">
        <f aca="false">IF(IsPro,IF($C2908="","",IFERROR(MATCH($C2908,Parties!$A$5:$A$304,0),"")),"")</f>
        <v/>
      </c>
      <c r="W2908" s="60" t="str">
        <f aca="false">IF(IsPro,IF($B2908="","",IFERROR(VALUE(SUBSTITUTE($B2908,InvPrefix,"")),0)),"")</f>
        <v/>
      </c>
      <c r="X2908" s="61" t="str">
        <f aca="false">IF(IsPro,IF($D2908="","",IF(OR($H2908="",$H2908="Credit"),0,Q2908)),"")</f>
        <v/>
      </c>
    </row>
    <row r="2909" customFormat="false" ht="15" hidden="false" customHeight="false" outlineLevel="0" collapsed="false">
      <c r="A2909" s="55"/>
      <c r="B2909" s="56"/>
      <c r="C2909" s="56"/>
      <c r="D2909" s="56"/>
      <c r="E2909" s="57"/>
      <c r="F2909" s="58"/>
      <c r="G2909" s="59"/>
      <c r="H2909" s="56"/>
      <c r="I2909" s="56"/>
      <c r="J2909" s="60" t="str">
        <f aca="false">IF(IsPro,IF($D2909="","",IFERROR(INDEX(Items!$D$5:$D$504,U2909),"")),"")</f>
        <v/>
      </c>
      <c r="K2909" s="61" t="str">
        <f aca="false">IF(IsPro,IF($D2909="","",IF($F2909="",IFERROR(INDEX(Items!$H$5:$H$504,U2909),0),$F2909)),"")</f>
        <v/>
      </c>
      <c r="L2909" s="61" t="str">
        <f aca="false">IF(IsPro,IF($D2909="","",ROUND(N($E2909)*K2909*(1-N($G2909)),2)),"")</f>
        <v/>
      </c>
      <c r="M2909" s="62" t="str">
        <f aca="false">IF(IsPro,IF($D2909="","",IFERROR(INDEX(Items!$F$5:$F$504,U2909),0)),"")</f>
        <v/>
      </c>
      <c r="N2909" s="61" t="str">
        <f aca="false">IF(IsPro,IF($D2909="","",IF(AND(V2909&lt;&gt;"",INDEX(Parties!$E$5:$E$304,V2909)&lt;&gt;"",INDEX(Parties!$E$5:$E$304,V2909)&lt;&gt;HomeState),0,ROUND(L2909*M2909/2,2))),"")</f>
        <v/>
      </c>
      <c r="O2909" s="61" t="str">
        <f aca="false">IF(IsPro,IF($D2909="","",N2909),"")</f>
        <v/>
      </c>
      <c r="P2909" s="61" t="str">
        <f aca="false">IF(IsPro,IF($D2909="","",IF(AND(V2909&lt;&gt;"",INDEX(Parties!$E$5:$E$304,V2909)&lt;&gt;"",INDEX(Parties!$E$5:$E$304,V2909)&lt;&gt;HomeState),ROUND(L2909*M2909,2),0)),"")</f>
        <v/>
      </c>
      <c r="Q2909" s="61" t="str">
        <f aca="false">IF(IsPro,IF($D2909="","",L2909+N2909+O2909+P2909),"")</f>
        <v/>
      </c>
      <c r="R2909" s="61" t="str">
        <f aca="false">IF(IsPro,IF($D2909="","",ROUND(N($E2909)*IFERROR(INDEX(Items!$P$5:$P$504,U2909),0),2)),"")</f>
        <v/>
      </c>
      <c r="S2909" s="61" t="str">
        <f aca="false">IF(IsPro,IF($D2909="","",L2909-R2909),"")</f>
        <v/>
      </c>
      <c r="T2909" s="60" t="str">
        <f aca="false">IF(IsPro,IF($D2909="","",IF(U2909="","UNKNOWN ITEM",IF(INDEX(Items!$O$5:$O$504,U2909)&lt;0,"NEG STOCK",IF(K2909&lt;INDEX(Items!$P$5:$P$504,U2909),"BELOW COST","OK")))),IF($D2909="","","PRO PLAN"))</f>
        <v/>
      </c>
      <c r="U2909" s="60" t="str">
        <f aca="false">IF(IsPro,IF($D2909="","",IFERROR(MATCH($D2909,Items!$A$5:$A$504,0),"")),"")</f>
        <v/>
      </c>
      <c r="V2909" s="60" t="str">
        <f aca="false">IF(IsPro,IF($C2909="","",IFERROR(MATCH($C2909,Parties!$A$5:$A$304,0),"")),"")</f>
        <v/>
      </c>
      <c r="W2909" s="60" t="str">
        <f aca="false">IF(IsPro,IF($B2909="","",IFERROR(VALUE(SUBSTITUTE($B2909,InvPrefix,"")),0)),"")</f>
        <v/>
      </c>
      <c r="X2909" s="61" t="str">
        <f aca="false">IF(IsPro,IF($D2909="","",IF(OR($H2909="",$H2909="Credit"),0,Q2909)),"")</f>
        <v/>
      </c>
    </row>
    <row r="2910" customFormat="false" ht="15" hidden="false" customHeight="false" outlineLevel="0" collapsed="false">
      <c r="A2910" s="55"/>
      <c r="B2910" s="56"/>
      <c r="C2910" s="56"/>
      <c r="D2910" s="56"/>
      <c r="E2910" s="57"/>
      <c r="F2910" s="58"/>
      <c r="G2910" s="59"/>
      <c r="H2910" s="56"/>
      <c r="I2910" s="56"/>
      <c r="J2910" s="60" t="str">
        <f aca="false">IF(IsPro,IF($D2910="","",IFERROR(INDEX(Items!$D$5:$D$504,U2910),"")),"")</f>
        <v/>
      </c>
      <c r="K2910" s="61" t="str">
        <f aca="false">IF(IsPro,IF($D2910="","",IF($F2910="",IFERROR(INDEX(Items!$H$5:$H$504,U2910),0),$F2910)),"")</f>
        <v/>
      </c>
      <c r="L2910" s="61" t="str">
        <f aca="false">IF(IsPro,IF($D2910="","",ROUND(N($E2910)*K2910*(1-N($G2910)),2)),"")</f>
        <v/>
      </c>
      <c r="M2910" s="62" t="str">
        <f aca="false">IF(IsPro,IF($D2910="","",IFERROR(INDEX(Items!$F$5:$F$504,U2910),0)),"")</f>
        <v/>
      </c>
      <c r="N2910" s="61" t="str">
        <f aca="false">IF(IsPro,IF($D2910="","",IF(AND(V2910&lt;&gt;"",INDEX(Parties!$E$5:$E$304,V2910)&lt;&gt;"",INDEX(Parties!$E$5:$E$304,V2910)&lt;&gt;HomeState),0,ROUND(L2910*M2910/2,2))),"")</f>
        <v/>
      </c>
      <c r="O2910" s="61" t="str">
        <f aca="false">IF(IsPro,IF($D2910="","",N2910),"")</f>
        <v/>
      </c>
      <c r="P2910" s="61" t="str">
        <f aca="false">IF(IsPro,IF($D2910="","",IF(AND(V2910&lt;&gt;"",INDEX(Parties!$E$5:$E$304,V2910)&lt;&gt;"",INDEX(Parties!$E$5:$E$304,V2910)&lt;&gt;HomeState),ROUND(L2910*M2910,2),0)),"")</f>
        <v/>
      </c>
      <c r="Q2910" s="61" t="str">
        <f aca="false">IF(IsPro,IF($D2910="","",L2910+N2910+O2910+P2910),"")</f>
        <v/>
      </c>
      <c r="R2910" s="61" t="str">
        <f aca="false">IF(IsPro,IF($D2910="","",ROUND(N($E2910)*IFERROR(INDEX(Items!$P$5:$P$504,U2910),0),2)),"")</f>
        <v/>
      </c>
      <c r="S2910" s="61" t="str">
        <f aca="false">IF(IsPro,IF($D2910="","",L2910-R2910),"")</f>
        <v/>
      </c>
      <c r="T2910" s="60" t="str">
        <f aca="false">IF(IsPro,IF($D2910="","",IF(U2910="","UNKNOWN ITEM",IF(INDEX(Items!$O$5:$O$504,U2910)&lt;0,"NEG STOCK",IF(K2910&lt;INDEX(Items!$P$5:$P$504,U2910),"BELOW COST","OK")))),IF($D2910="","","PRO PLAN"))</f>
        <v/>
      </c>
      <c r="U2910" s="60" t="str">
        <f aca="false">IF(IsPro,IF($D2910="","",IFERROR(MATCH($D2910,Items!$A$5:$A$504,0),"")),"")</f>
        <v/>
      </c>
      <c r="V2910" s="60" t="str">
        <f aca="false">IF(IsPro,IF($C2910="","",IFERROR(MATCH($C2910,Parties!$A$5:$A$304,0),"")),"")</f>
        <v/>
      </c>
      <c r="W2910" s="60" t="str">
        <f aca="false">IF(IsPro,IF($B2910="","",IFERROR(VALUE(SUBSTITUTE($B2910,InvPrefix,"")),0)),"")</f>
        <v/>
      </c>
      <c r="X2910" s="61" t="str">
        <f aca="false">IF(IsPro,IF($D2910="","",IF(OR($H2910="",$H2910="Credit"),0,Q2910)),"")</f>
        <v/>
      </c>
    </row>
    <row r="2911" customFormat="false" ht="15" hidden="false" customHeight="false" outlineLevel="0" collapsed="false">
      <c r="A2911" s="55"/>
      <c r="B2911" s="56"/>
      <c r="C2911" s="56"/>
      <c r="D2911" s="56"/>
      <c r="E2911" s="57"/>
      <c r="F2911" s="58"/>
      <c r="G2911" s="59"/>
      <c r="H2911" s="56"/>
      <c r="I2911" s="56"/>
      <c r="J2911" s="60" t="str">
        <f aca="false">IF(IsPro,IF($D2911="","",IFERROR(INDEX(Items!$D$5:$D$504,U2911),"")),"")</f>
        <v/>
      </c>
      <c r="K2911" s="61" t="str">
        <f aca="false">IF(IsPro,IF($D2911="","",IF($F2911="",IFERROR(INDEX(Items!$H$5:$H$504,U2911),0),$F2911)),"")</f>
        <v/>
      </c>
      <c r="L2911" s="61" t="str">
        <f aca="false">IF(IsPro,IF($D2911="","",ROUND(N($E2911)*K2911*(1-N($G2911)),2)),"")</f>
        <v/>
      </c>
      <c r="M2911" s="62" t="str">
        <f aca="false">IF(IsPro,IF($D2911="","",IFERROR(INDEX(Items!$F$5:$F$504,U2911),0)),"")</f>
        <v/>
      </c>
      <c r="N2911" s="61" t="str">
        <f aca="false">IF(IsPro,IF($D2911="","",IF(AND(V2911&lt;&gt;"",INDEX(Parties!$E$5:$E$304,V2911)&lt;&gt;"",INDEX(Parties!$E$5:$E$304,V2911)&lt;&gt;HomeState),0,ROUND(L2911*M2911/2,2))),"")</f>
        <v/>
      </c>
      <c r="O2911" s="61" t="str">
        <f aca="false">IF(IsPro,IF($D2911="","",N2911),"")</f>
        <v/>
      </c>
      <c r="P2911" s="61" t="str">
        <f aca="false">IF(IsPro,IF($D2911="","",IF(AND(V2911&lt;&gt;"",INDEX(Parties!$E$5:$E$304,V2911)&lt;&gt;"",INDEX(Parties!$E$5:$E$304,V2911)&lt;&gt;HomeState),ROUND(L2911*M2911,2),0)),"")</f>
        <v/>
      </c>
      <c r="Q2911" s="61" t="str">
        <f aca="false">IF(IsPro,IF($D2911="","",L2911+N2911+O2911+P2911),"")</f>
        <v/>
      </c>
      <c r="R2911" s="61" t="str">
        <f aca="false">IF(IsPro,IF($D2911="","",ROUND(N($E2911)*IFERROR(INDEX(Items!$P$5:$P$504,U2911),0),2)),"")</f>
        <v/>
      </c>
      <c r="S2911" s="61" t="str">
        <f aca="false">IF(IsPro,IF($D2911="","",L2911-R2911),"")</f>
        <v/>
      </c>
      <c r="T2911" s="60" t="str">
        <f aca="false">IF(IsPro,IF($D2911="","",IF(U2911="","UNKNOWN ITEM",IF(INDEX(Items!$O$5:$O$504,U2911)&lt;0,"NEG STOCK",IF(K2911&lt;INDEX(Items!$P$5:$P$504,U2911),"BELOW COST","OK")))),IF($D2911="","","PRO PLAN"))</f>
        <v/>
      </c>
      <c r="U2911" s="60" t="str">
        <f aca="false">IF(IsPro,IF($D2911="","",IFERROR(MATCH($D2911,Items!$A$5:$A$504,0),"")),"")</f>
        <v/>
      </c>
      <c r="V2911" s="60" t="str">
        <f aca="false">IF(IsPro,IF($C2911="","",IFERROR(MATCH($C2911,Parties!$A$5:$A$304,0),"")),"")</f>
        <v/>
      </c>
      <c r="W2911" s="60" t="str">
        <f aca="false">IF(IsPro,IF($B2911="","",IFERROR(VALUE(SUBSTITUTE($B2911,InvPrefix,"")),0)),"")</f>
        <v/>
      </c>
      <c r="X2911" s="61" t="str">
        <f aca="false">IF(IsPro,IF($D2911="","",IF(OR($H2911="",$H2911="Credit"),0,Q2911)),"")</f>
        <v/>
      </c>
    </row>
    <row r="2912" customFormat="false" ht="15" hidden="false" customHeight="false" outlineLevel="0" collapsed="false">
      <c r="A2912" s="55"/>
      <c r="B2912" s="56"/>
      <c r="C2912" s="56"/>
      <c r="D2912" s="56"/>
      <c r="E2912" s="57"/>
      <c r="F2912" s="58"/>
      <c r="G2912" s="59"/>
      <c r="H2912" s="56"/>
      <c r="I2912" s="56"/>
      <c r="J2912" s="60" t="str">
        <f aca="false">IF(IsPro,IF($D2912="","",IFERROR(INDEX(Items!$D$5:$D$504,U2912),"")),"")</f>
        <v/>
      </c>
      <c r="K2912" s="61" t="str">
        <f aca="false">IF(IsPro,IF($D2912="","",IF($F2912="",IFERROR(INDEX(Items!$H$5:$H$504,U2912),0),$F2912)),"")</f>
        <v/>
      </c>
      <c r="L2912" s="61" t="str">
        <f aca="false">IF(IsPro,IF($D2912="","",ROUND(N($E2912)*K2912*(1-N($G2912)),2)),"")</f>
        <v/>
      </c>
      <c r="M2912" s="62" t="str">
        <f aca="false">IF(IsPro,IF($D2912="","",IFERROR(INDEX(Items!$F$5:$F$504,U2912),0)),"")</f>
        <v/>
      </c>
      <c r="N2912" s="61" t="str">
        <f aca="false">IF(IsPro,IF($D2912="","",IF(AND(V2912&lt;&gt;"",INDEX(Parties!$E$5:$E$304,V2912)&lt;&gt;"",INDEX(Parties!$E$5:$E$304,V2912)&lt;&gt;HomeState),0,ROUND(L2912*M2912/2,2))),"")</f>
        <v/>
      </c>
      <c r="O2912" s="61" t="str">
        <f aca="false">IF(IsPro,IF($D2912="","",N2912),"")</f>
        <v/>
      </c>
      <c r="P2912" s="61" t="str">
        <f aca="false">IF(IsPro,IF($D2912="","",IF(AND(V2912&lt;&gt;"",INDEX(Parties!$E$5:$E$304,V2912)&lt;&gt;"",INDEX(Parties!$E$5:$E$304,V2912)&lt;&gt;HomeState),ROUND(L2912*M2912,2),0)),"")</f>
        <v/>
      </c>
      <c r="Q2912" s="61" t="str">
        <f aca="false">IF(IsPro,IF($D2912="","",L2912+N2912+O2912+P2912),"")</f>
        <v/>
      </c>
      <c r="R2912" s="61" t="str">
        <f aca="false">IF(IsPro,IF($D2912="","",ROUND(N($E2912)*IFERROR(INDEX(Items!$P$5:$P$504,U2912),0),2)),"")</f>
        <v/>
      </c>
      <c r="S2912" s="61" t="str">
        <f aca="false">IF(IsPro,IF($D2912="","",L2912-R2912),"")</f>
        <v/>
      </c>
      <c r="T2912" s="60" t="str">
        <f aca="false">IF(IsPro,IF($D2912="","",IF(U2912="","UNKNOWN ITEM",IF(INDEX(Items!$O$5:$O$504,U2912)&lt;0,"NEG STOCK",IF(K2912&lt;INDEX(Items!$P$5:$P$504,U2912),"BELOW COST","OK")))),IF($D2912="","","PRO PLAN"))</f>
        <v/>
      </c>
      <c r="U2912" s="60" t="str">
        <f aca="false">IF(IsPro,IF($D2912="","",IFERROR(MATCH($D2912,Items!$A$5:$A$504,0),"")),"")</f>
        <v/>
      </c>
      <c r="V2912" s="60" t="str">
        <f aca="false">IF(IsPro,IF($C2912="","",IFERROR(MATCH($C2912,Parties!$A$5:$A$304,0),"")),"")</f>
        <v/>
      </c>
      <c r="W2912" s="60" t="str">
        <f aca="false">IF(IsPro,IF($B2912="","",IFERROR(VALUE(SUBSTITUTE($B2912,InvPrefix,"")),0)),"")</f>
        <v/>
      </c>
      <c r="X2912" s="61" t="str">
        <f aca="false">IF(IsPro,IF($D2912="","",IF(OR($H2912="",$H2912="Credit"),0,Q2912)),"")</f>
        <v/>
      </c>
    </row>
    <row r="2913" customFormat="false" ht="15" hidden="false" customHeight="false" outlineLevel="0" collapsed="false">
      <c r="A2913" s="55"/>
      <c r="B2913" s="56"/>
      <c r="C2913" s="56"/>
      <c r="D2913" s="56"/>
      <c r="E2913" s="57"/>
      <c r="F2913" s="58"/>
      <c r="G2913" s="59"/>
      <c r="H2913" s="56"/>
      <c r="I2913" s="56"/>
      <c r="J2913" s="60" t="str">
        <f aca="false">IF(IsPro,IF($D2913="","",IFERROR(INDEX(Items!$D$5:$D$504,U2913),"")),"")</f>
        <v/>
      </c>
      <c r="K2913" s="61" t="str">
        <f aca="false">IF(IsPro,IF($D2913="","",IF($F2913="",IFERROR(INDEX(Items!$H$5:$H$504,U2913),0),$F2913)),"")</f>
        <v/>
      </c>
      <c r="L2913" s="61" t="str">
        <f aca="false">IF(IsPro,IF($D2913="","",ROUND(N($E2913)*K2913*(1-N($G2913)),2)),"")</f>
        <v/>
      </c>
      <c r="M2913" s="62" t="str">
        <f aca="false">IF(IsPro,IF($D2913="","",IFERROR(INDEX(Items!$F$5:$F$504,U2913),0)),"")</f>
        <v/>
      </c>
      <c r="N2913" s="61" t="str">
        <f aca="false">IF(IsPro,IF($D2913="","",IF(AND(V2913&lt;&gt;"",INDEX(Parties!$E$5:$E$304,V2913)&lt;&gt;"",INDEX(Parties!$E$5:$E$304,V2913)&lt;&gt;HomeState),0,ROUND(L2913*M2913/2,2))),"")</f>
        <v/>
      </c>
      <c r="O2913" s="61" t="str">
        <f aca="false">IF(IsPro,IF($D2913="","",N2913),"")</f>
        <v/>
      </c>
      <c r="P2913" s="61" t="str">
        <f aca="false">IF(IsPro,IF($D2913="","",IF(AND(V2913&lt;&gt;"",INDEX(Parties!$E$5:$E$304,V2913)&lt;&gt;"",INDEX(Parties!$E$5:$E$304,V2913)&lt;&gt;HomeState),ROUND(L2913*M2913,2),0)),"")</f>
        <v/>
      </c>
      <c r="Q2913" s="61" t="str">
        <f aca="false">IF(IsPro,IF($D2913="","",L2913+N2913+O2913+P2913),"")</f>
        <v/>
      </c>
      <c r="R2913" s="61" t="str">
        <f aca="false">IF(IsPro,IF($D2913="","",ROUND(N($E2913)*IFERROR(INDEX(Items!$P$5:$P$504,U2913),0),2)),"")</f>
        <v/>
      </c>
      <c r="S2913" s="61" t="str">
        <f aca="false">IF(IsPro,IF($D2913="","",L2913-R2913),"")</f>
        <v/>
      </c>
      <c r="T2913" s="60" t="str">
        <f aca="false">IF(IsPro,IF($D2913="","",IF(U2913="","UNKNOWN ITEM",IF(INDEX(Items!$O$5:$O$504,U2913)&lt;0,"NEG STOCK",IF(K2913&lt;INDEX(Items!$P$5:$P$504,U2913),"BELOW COST","OK")))),IF($D2913="","","PRO PLAN"))</f>
        <v/>
      </c>
      <c r="U2913" s="60" t="str">
        <f aca="false">IF(IsPro,IF($D2913="","",IFERROR(MATCH($D2913,Items!$A$5:$A$504,0),"")),"")</f>
        <v/>
      </c>
      <c r="V2913" s="60" t="str">
        <f aca="false">IF(IsPro,IF($C2913="","",IFERROR(MATCH($C2913,Parties!$A$5:$A$304,0),"")),"")</f>
        <v/>
      </c>
      <c r="W2913" s="60" t="str">
        <f aca="false">IF(IsPro,IF($B2913="","",IFERROR(VALUE(SUBSTITUTE($B2913,InvPrefix,"")),0)),"")</f>
        <v/>
      </c>
      <c r="X2913" s="61" t="str">
        <f aca="false">IF(IsPro,IF($D2913="","",IF(OR($H2913="",$H2913="Credit"),0,Q2913)),"")</f>
        <v/>
      </c>
    </row>
    <row r="2914" customFormat="false" ht="15" hidden="false" customHeight="false" outlineLevel="0" collapsed="false">
      <c r="A2914" s="55"/>
      <c r="B2914" s="56"/>
      <c r="C2914" s="56"/>
      <c r="D2914" s="56"/>
      <c r="E2914" s="57"/>
      <c r="F2914" s="58"/>
      <c r="G2914" s="59"/>
      <c r="H2914" s="56"/>
      <c r="I2914" s="56"/>
      <c r="J2914" s="60" t="str">
        <f aca="false">IF(IsPro,IF($D2914="","",IFERROR(INDEX(Items!$D$5:$D$504,U2914),"")),"")</f>
        <v/>
      </c>
      <c r="K2914" s="61" t="str">
        <f aca="false">IF(IsPro,IF($D2914="","",IF($F2914="",IFERROR(INDEX(Items!$H$5:$H$504,U2914),0),$F2914)),"")</f>
        <v/>
      </c>
      <c r="L2914" s="61" t="str">
        <f aca="false">IF(IsPro,IF($D2914="","",ROUND(N($E2914)*K2914*(1-N($G2914)),2)),"")</f>
        <v/>
      </c>
      <c r="M2914" s="62" t="str">
        <f aca="false">IF(IsPro,IF($D2914="","",IFERROR(INDEX(Items!$F$5:$F$504,U2914),0)),"")</f>
        <v/>
      </c>
      <c r="N2914" s="61" t="str">
        <f aca="false">IF(IsPro,IF($D2914="","",IF(AND(V2914&lt;&gt;"",INDEX(Parties!$E$5:$E$304,V2914)&lt;&gt;"",INDEX(Parties!$E$5:$E$304,V2914)&lt;&gt;HomeState),0,ROUND(L2914*M2914/2,2))),"")</f>
        <v/>
      </c>
      <c r="O2914" s="61" t="str">
        <f aca="false">IF(IsPro,IF($D2914="","",N2914),"")</f>
        <v/>
      </c>
      <c r="P2914" s="61" t="str">
        <f aca="false">IF(IsPro,IF($D2914="","",IF(AND(V2914&lt;&gt;"",INDEX(Parties!$E$5:$E$304,V2914)&lt;&gt;"",INDEX(Parties!$E$5:$E$304,V2914)&lt;&gt;HomeState),ROUND(L2914*M2914,2),0)),"")</f>
        <v/>
      </c>
      <c r="Q2914" s="61" t="str">
        <f aca="false">IF(IsPro,IF($D2914="","",L2914+N2914+O2914+P2914),"")</f>
        <v/>
      </c>
      <c r="R2914" s="61" t="str">
        <f aca="false">IF(IsPro,IF($D2914="","",ROUND(N($E2914)*IFERROR(INDEX(Items!$P$5:$P$504,U2914),0),2)),"")</f>
        <v/>
      </c>
      <c r="S2914" s="61" t="str">
        <f aca="false">IF(IsPro,IF($D2914="","",L2914-R2914),"")</f>
        <v/>
      </c>
      <c r="T2914" s="60" t="str">
        <f aca="false">IF(IsPro,IF($D2914="","",IF(U2914="","UNKNOWN ITEM",IF(INDEX(Items!$O$5:$O$504,U2914)&lt;0,"NEG STOCK",IF(K2914&lt;INDEX(Items!$P$5:$P$504,U2914),"BELOW COST","OK")))),IF($D2914="","","PRO PLAN"))</f>
        <v/>
      </c>
      <c r="U2914" s="60" t="str">
        <f aca="false">IF(IsPro,IF($D2914="","",IFERROR(MATCH($D2914,Items!$A$5:$A$504,0),"")),"")</f>
        <v/>
      </c>
      <c r="V2914" s="60" t="str">
        <f aca="false">IF(IsPro,IF($C2914="","",IFERROR(MATCH($C2914,Parties!$A$5:$A$304,0),"")),"")</f>
        <v/>
      </c>
      <c r="W2914" s="60" t="str">
        <f aca="false">IF(IsPro,IF($B2914="","",IFERROR(VALUE(SUBSTITUTE($B2914,InvPrefix,"")),0)),"")</f>
        <v/>
      </c>
      <c r="X2914" s="61" t="str">
        <f aca="false">IF(IsPro,IF($D2914="","",IF(OR($H2914="",$H2914="Credit"),0,Q2914)),"")</f>
        <v/>
      </c>
    </row>
    <row r="2915" customFormat="false" ht="15" hidden="false" customHeight="false" outlineLevel="0" collapsed="false">
      <c r="A2915" s="55"/>
      <c r="B2915" s="56"/>
      <c r="C2915" s="56"/>
      <c r="D2915" s="56"/>
      <c r="E2915" s="57"/>
      <c r="F2915" s="58"/>
      <c r="G2915" s="59"/>
      <c r="H2915" s="56"/>
      <c r="I2915" s="56"/>
      <c r="J2915" s="60" t="str">
        <f aca="false">IF(IsPro,IF($D2915="","",IFERROR(INDEX(Items!$D$5:$D$504,U2915),"")),"")</f>
        <v/>
      </c>
      <c r="K2915" s="61" t="str">
        <f aca="false">IF(IsPro,IF($D2915="","",IF($F2915="",IFERROR(INDEX(Items!$H$5:$H$504,U2915),0),$F2915)),"")</f>
        <v/>
      </c>
      <c r="L2915" s="61" t="str">
        <f aca="false">IF(IsPro,IF($D2915="","",ROUND(N($E2915)*K2915*(1-N($G2915)),2)),"")</f>
        <v/>
      </c>
      <c r="M2915" s="62" t="str">
        <f aca="false">IF(IsPro,IF($D2915="","",IFERROR(INDEX(Items!$F$5:$F$504,U2915),0)),"")</f>
        <v/>
      </c>
      <c r="N2915" s="61" t="str">
        <f aca="false">IF(IsPro,IF($D2915="","",IF(AND(V2915&lt;&gt;"",INDEX(Parties!$E$5:$E$304,V2915)&lt;&gt;"",INDEX(Parties!$E$5:$E$304,V2915)&lt;&gt;HomeState),0,ROUND(L2915*M2915/2,2))),"")</f>
        <v/>
      </c>
      <c r="O2915" s="61" t="str">
        <f aca="false">IF(IsPro,IF($D2915="","",N2915),"")</f>
        <v/>
      </c>
      <c r="P2915" s="61" t="str">
        <f aca="false">IF(IsPro,IF($D2915="","",IF(AND(V2915&lt;&gt;"",INDEX(Parties!$E$5:$E$304,V2915)&lt;&gt;"",INDEX(Parties!$E$5:$E$304,V2915)&lt;&gt;HomeState),ROUND(L2915*M2915,2),0)),"")</f>
        <v/>
      </c>
      <c r="Q2915" s="61" t="str">
        <f aca="false">IF(IsPro,IF($D2915="","",L2915+N2915+O2915+P2915),"")</f>
        <v/>
      </c>
      <c r="R2915" s="61" t="str">
        <f aca="false">IF(IsPro,IF($D2915="","",ROUND(N($E2915)*IFERROR(INDEX(Items!$P$5:$P$504,U2915),0),2)),"")</f>
        <v/>
      </c>
      <c r="S2915" s="61" t="str">
        <f aca="false">IF(IsPro,IF($D2915="","",L2915-R2915),"")</f>
        <v/>
      </c>
      <c r="T2915" s="60" t="str">
        <f aca="false">IF(IsPro,IF($D2915="","",IF(U2915="","UNKNOWN ITEM",IF(INDEX(Items!$O$5:$O$504,U2915)&lt;0,"NEG STOCK",IF(K2915&lt;INDEX(Items!$P$5:$P$504,U2915),"BELOW COST","OK")))),IF($D2915="","","PRO PLAN"))</f>
        <v/>
      </c>
      <c r="U2915" s="60" t="str">
        <f aca="false">IF(IsPro,IF($D2915="","",IFERROR(MATCH($D2915,Items!$A$5:$A$504,0),"")),"")</f>
        <v/>
      </c>
      <c r="V2915" s="60" t="str">
        <f aca="false">IF(IsPro,IF($C2915="","",IFERROR(MATCH($C2915,Parties!$A$5:$A$304,0),"")),"")</f>
        <v/>
      </c>
      <c r="W2915" s="60" t="str">
        <f aca="false">IF(IsPro,IF($B2915="","",IFERROR(VALUE(SUBSTITUTE($B2915,InvPrefix,"")),0)),"")</f>
        <v/>
      </c>
      <c r="X2915" s="61" t="str">
        <f aca="false">IF(IsPro,IF($D2915="","",IF(OR($H2915="",$H2915="Credit"),0,Q2915)),"")</f>
        <v/>
      </c>
    </row>
    <row r="2916" customFormat="false" ht="15" hidden="false" customHeight="false" outlineLevel="0" collapsed="false">
      <c r="A2916" s="55"/>
      <c r="B2916" s="56"/>
      <c r="C2916" s="56"/>
      <c r="D2916" s="56"/>
      <c r="E2916" s="57"/>
      <c r="F2916" s="58"/>
      <c r="G2916" s="59"/>
      <c r="H2916" s="56"/>
      <c r="I2916" s="56"/>
      <c r="J2916" s="60" t="str">
        <f aca="false">IF(IsPro,IF($D2916="","",IFERROR(INDEX(Items!$D$5:$D$504,U2916),"")),"")</f>
        <v/>
      </c>
      <c r="K2916" s="61" t="str">
        <f aca="false">IF(IsPro,IF($D2916="","",IF($F2916="",IFERROR(INDEX(Items!$H$5:$H$504,U2916),0),$F2916)),"")</f>
        <v/>
      </c>
      <c r="L2916" s="61" t="str">
        <f aca="false">IF(IsPro,IF($D2916="","",ROUND(N($E2916)*K2916*(1-N($G2916)),2)),"")</f>
        <v/>
      </c>
      <c r="M2916" s="62" t="str">
        <f aca="false">IF(IsPro,IF($D2916="","",IFERROR(INDEX(Items!$F$5:$F$504,U2916),0)),"")</f>
        <v/>
      </c>
      <c r="N2916" s="61" t="str">
        <f aca="false">IF(IsPro,IF($D2916="","",IF(AND(V2916&lt;&gt;"",INDEX(Parties!$E$5:$E$304,V2916)&lt;&gt;"",INDEX(Parties!$E$5:$E$304,V2916)&lt;&gt;HomeState),0,ROUND(L2916*M2916/2,2))),"")</f>
        <v/>
      </c>
      <c r="O2916" s="61" t="str">
        <f aca="false">IF(IsPro,IF($D2916="","",N2916),"")</f>
        <v/>
      </c>
      <c r="P2916" s="61" t="str">
        <f aca="false">IF(IsPro,IF($D2916="","",IF(AND(V2916&lt;&gt;"",INDEX(Parties!$E$5:$E$304,V2916)&lt;&gt;"",INDEX(Parties!$E$5:$E$304,V2916)&lt;&gt;HomeState),ROUND(L2916*M2916,2),0)),"")</f>
        <v/>
      </c>
      <c r="Q2916" s="61" t="str">
        <f aca="false">IF(IsPro,IF($D2916="","",L2916+N2916+O2916+P2916),"")</f>
        <v/>
      </c>
      <c r="R2916" s="61" t="str">
        <f aca="false">IF(IsPro,IF($D2916="","",ROUND(N($E2916)*IFERROR(INDEX(Items!$P$5:$P$504,U2916),0),2)),"")</f>
        <v/>
      </c>
      <c r="S2916" s="61" t="str">
        <f aca="false">IF(IsPro,IF($D2916="","",L2916-R2916),"")</f>
        <v/>
      </c>
      <c r="T2916" s="60" t="str">
        <f aca="false">IF(IsPro,IF($D2916="","",IF(U2916="","UNKNOWN ITEM",IF(INDEX(Items!$O$5:$O$504,U2916)&lt;0,"NEG STOCK",IF(K2916&lt;INDEX(Items!$P$5:$P$504,U2916),"BELOW COST","OK")))),IF($D2916="","","PRO PLAN"))</f>
        <v/>
      </c>
      <c r="U2916" s="60" t="str">
        <f aca="false">IF(IsPro,IF($D2916="","",IFERROR(MATCH($D2916,Items!$A$5:$A$504,0),"")),"")</f>
        <v/>
      </c>
      <c r="V2916" s="60" t="str">
        <f aca="false">IF(IsPro,IF($C2916="","",IFERROR(MATCH($C2916,Parties!$A$5:$A$304,0),"")),"")</f>
        <v/>
      </c>
      <c r="W2916" s="60" t="str">
        <f aca="false">IF(IsPro,IF($B2916="","",IFERROR(VALUE(SUBSTITUTE($B2916,InvPrefix,"")),0)),"")</f>
        <v/>
      </c>
      <c r="X2916" s="61" t="str">
        <f aca="false">IF(IsPro,IF($D2916="","",IF(OR($H2916="",$H2916="Credit"),0,Q2916)),"")</f>
        <v/>
      </c>
    </row>
    <row r="2917" customFormat="false" ht="15" hidden="false" customHeight="false" outlineLevel="0" collapsed="false">
      <c r="A2917" s="55"/>
      <c r="B2917" s="56"/>
      <c r="C2917" s="56"/>
      <c r="D2917" s="56"/>
      <c r="E2917" s="57"/>
      <c r="F2917" s="58"/>
      <c r="G2917" s="59"/>
      <c r="H2917" s="56"/>
      <c r="I2917" s="56"/>
      <c r="J2917" s="60" t="str">
        <f aca="false">IF(IsPro,IF($D2917="","",IFERROR(INDEX(Items!$D$5:$D$504,U2917),"")),"")</f>
        <v/>
      </c>
      <c r="K2917" s="61" t="str">
        <f aca="false">IF(IsPro,IF($D2917="","",IF($F2917="",IFERROR(INDEX(Items!$H$5:$H$504,U2917),0),$F2917)),"")</f>
        <v/>
      </c>
      <c r="L2917" s="61" t="str">
        <f aca="false">IF(IsPro,IF($D2917="","",ROUND(N($E2917)*K2917*(1-N($G2917)),2)),"")</f>
        <v/>
      </c>
      <c r="M2917" s="62" t="str">
        <f aca="false">IF(IsPro,IF($D2917="","",IFERROR(INDEX(Items!$F$5:$F$504,U2917),0)),"")</f>
        <v/>
      </c>
      <c r="N2917" s="61" t="str">
        <f aca="false">IF(IsPro,IF($D2917="","",IF(AND(V2917&lt;&gt;"",INDEX(Parties!$E$5:$E$304,V2917)&lt;&gt;"",INDEX(Parties!$E$5:$E$304,V2917)&lt;&gt;HomeState),0,ROUND(L2917*M2917/2,2))),"")</f>
        <v/>
      </c>
      <c r="O2917" s="61" t="str">
        <f aca="false">IF(IsPro,IF($D2917="","",N2917),"")</f>
        <v/>
      </c>
      <c r="P2917" s="61" t="str">
        <f aca="false">IF(IsPro,IF($D2917="","",IF(AND(V2917&lt;&gt;"",INDEX(Parties!$E$5:$E$304,V2917)&lt;&gt;"",INDEX(Parties!$E$5:$E$304,V2917)&lt;&gt;HomeState),ROUND(L2917*M2917,2),0)),"")</f>
        <v/>
      </c>
      <c r="Q2917" s="61" t="str">
        <f aca="false">IF(IsPro,IF($D2917="","",L2917+N2917+O2917+P2917),"")</f>
        <v/>
      </c>
      <c r="R2917" s="61" t="str">
        <f aca="false">IF(IsPro,IF($D2917="","",ROUND(N($E2917)*IFERROR(INDEX(Items!$P$5:$P$504,U2917),0),2)),"")</f>
        <v/>
      </c>
      <c r="S2917" s="61" t="str">
        <f aca="false">IF(IsPro,IF($D2917="","",L2917-R2917),"")</f>
        <v/>
      </c>
      <c r="T2917" s="60" t="str">
        <f aca="false">IF(IsPro,IF($D2917="","",IF(U2917="","UNKNOWN ITEM",IF(INDEX(Items!$O$5:$O$504,U2917)&lt;0,"NEG STOCK",IF(K2917&lt;INDEX(Items!$P$5:$P$504,U2917),"BELOW COST","OK")))),IF($D2917="","","PRO PLAN"))</f>
        <v/>
      </c>
      <c r="U2917" s="60" t="str">
        <f aca="false">IF(IsPro,IF($D2917="","",IFERROR(MATCH($D2917,Items!$A$5:$A$504,0),"")),"")</f>
        <v/>
      </c>
      <c r="V2917" s="60" t="str">
        <f aca="false">IF(IsPro,IF($C2917="","",IFERROR(MATCH($C2917,Parties!$A$5:$A$304,0),"")),"")</f>
        <v/>
      </c>
      <c r="W2917" s="60" t="str">
        <f aca="false">IF(IsPro,IF($B2917="","",IFERROR(VALUE(SUBSTITUTE($B2917,InvPrefix,"")),0)),"")</f>
        <v/>
      </c>
      <c r="X2917" s="61" t="str">
        <f aca="false">IF(IsPro,IF($D2917="","",IF(OR($H2917="",$H2917="Credit"),0,Q2917)),"")</f>
        <v/>
      </c>
    </row>
    <row r="2918" customFormat="false" ht="15" hidden="false" customHeight="false" outlineLevel="0" collapsed="false">
      <c r="A2918" s="55"/>
      <c r="B2918" s="56"/>
      <c r="C2918" s="56"/>
      <c r="D2918" s="56"/>
      <c r="E2918" s="57"/>
      <c r="F2918" s="58"/>
      <c r="G2918" s="59"/>
      <c r="H2918" s="56"/>
      <c r="I2918" s="56"/>
      <c r="J2918" s="60" t="str">
        <f aca="false">IF(IsPro,IF($D2918="","",IFERROR(INDEX(Items!$D$5:$D$504,U2918),"")),"")</f>
        <v/>
      </c>
      <c r="K2918" s="61" t="str">
        <f aca="false">IF(IsPro,IF($D2918="","",IF($F2918="",IFERROR(INDEX(Items!$H$5:$H$504,U2918),0),$F2918)),"")</f>
        <v/>
      </c>
      <c r="L2918" s="61" t="str">
        <f aca="false">IF(IsPro,IF($D2918="","",ROUND(N($E2918)*K2918*(1-N($G2918)),2)),"")</f>
        <v/>
      </c>
      <c r="M2918" s="62" t="str">
        <f aca="false">IF(IsPro,IF($D2918="","",IFERROR(INDEX(Items!$F$5:$F$504,U2918),0)),"")</f>
        <v/>
      </c>
      <c r="N2918" s="61" t="str">
        <f aca="false">IF(IsPro,IF($D2918="","",IF(AND(V2918&lt;&gt;"",INDEX(Parties!$E$5:$E$304,V2918)&lt;&gt;"",INDEX(Parties!$E$5:$E$304,V2918)&lt;&gt;HomeState),0,ROUND(L2918*M2918/2,2))),"")</f>
        <v/>
      </c>
      <c r="O2918" s="61" t="str">
        <f aca="false">IF(IsPro,IF($D2918="","",N2918),"")</f>
        <v/>
      </c>
      <c r="P2918" s="61" t="str">
        <f aca="false">IF(IsPro,IF($D2918="","",IF(AND(V2918&lt;&gt;"",INDEX(Parties!$E$5:$E$304,V2918)&lt;&gt;"",INDEX(Parties!$E$5:$E$304,V2918)&lt;&gt;HomeState),ROUND(L2918*M2918,2),0)),"")</f>
        <v/>
      </c>
      <c r="Q2918" s="61" t="str">
        <f aca="false">IF(IsPro,IF($D2918="","",L2918+N2918+O2918+P2918),"")</f>
        <v/>
      </c>
      <c r="R2918" s="61" t="str">
        <f aca="false">IF(IsPro,IF($D2918="","",ROUND(N($E2918)*IFERROR(INDEX(Items!$P$5:$P$504,U2918),0),2)),"")</f>
        <v/>
      </c>
      <c r="S2918" s="61" t="str">
        <f aca="false">IF(IsPro,IF($D2918="","",L2918-R2918),"")</f>
        <v/>
      </c>
      <c r="T2918" s="60" t="str">
        <f aca="false">IF(IsPro,IF($D2918="","",IF(U2918="","UNKNOWN ITEM",IF(INDEX(Items!$O$5:$O$504,U2918)&lt;0,"NEG STOCK",IF(K2918&lt;INDEX(Items!$P$5:$P$504,U2918),"BELOW COST","OK")))),IF($D2918="","","PRO PLAN"))</f>
        <v/>
      </c>
      <c r="U2918" s="60" t="str">
        <f aca="false">IF(IsPro,IF($D2918="","",IFERROR(MATCH($D2918,Items!$A$5:$A$504,0),"")),"")</f>
        <v/>
      </c>
      <c r="V2918" s="60" t="str">
        <f aca="false">IF(IsPro,IF($C2918="","",IFERROR(MATCH($C2918,Parties!$A$5:$A$304,0),"")),"")</f>
        <v/>
      </c>
      <c r="W2918" s="60" t="str">
        <f aca="false">IF(IsPro,IF($B2918="","",IFERROR(VALUE(SUBSTITUTE($B2918,InvPrefix,"")),0)),"")</f>
        <v/>
      </c>
      <c r="X2918" s="61" t="str">
        <f aca="false">IF(IsPro,IF($D2918="","",IF(OR($H2918="",$H2918="Credit"),0,Q2918)),"")</f>
        <v/>
      </c>
    </row>
    <row r="2919" customFormat="false" ht="15" hidden="false" customHeight="false" outlineLevel="0" collapsed="false">
      <c r="A2919" s="55"/>
      <c r="B2919" s="56"/>
      <c r="C2919" s="56"/>
      <c r="D2919" s="56"/>
      <c r="E2919" s="57"/>
      <c r="F2919" s="58"/>
      <c r="G2919" s="59"/>
      <c r="H2919" s="56"/>
      <c r="I2919" s="56"/>
      <c r="J2919" s="60" t="str">
        <f aca="false">IF(IsPro,IF($D2919="","",IFERROR(INDEX(Items!$D$5:$D$504,U2919),"")),"")</f>
        <v/>
      </c>
      <c r="K2919" s="61" t="str">
        <f aca="false">IF(IsPro,IF($D2919="","",IF($F2919="",IFERROR(INDEX(Items!$H$5:$H$504,U2919),0),$F2919)),"")</f>
        <v/>
      </c>
      <c r="L2919" s="61" t="str">
        <f aca="false">IF(IsPro,IF($D2919="","",ROUND(N($E2919)*K2919*(1-N($G2919)),2)),"")</f>
        <v/>
      </c>
      <c r="M2919" s="62" t="str">
        <f aca="false">IF(IsPro,IF($D2919="","",IFERROR(INDEX(Items!$F$5:$F$504,U2919),0)),"")</f>
        <v/>
      </c>
      <c r="N2919" s="61" t="str">
        <f aca="false">IF(IsPro,IF($D2919="","",IF(AND(V2919&lt;&gt;"",INDEX(Parties!$E$5:$E$304,V2919)&lt;&gt;"",INDEX(Parties!$E$5:$E$304,V2919)&lt;&gt;HomeState),0,ROUND(L2919*M2919/2,2))),"")</f>
        <v/>
      </c>
      <c r="O2919" s="61" t="str">
        <f aca="false">IF(IsPro,IF($D2919="","",N2919),"")</f>
        <v/>
      </c>
      <c r="P2919" s="61" t="str">
        <f aca="false">IF(IsPro,IF($D2919="","",IF(AND(V2919&lt;&gt;"",INDEX(Parties!$E$5:$E$304,V2919)&lt;&gt;"",INDEX(Parties!$E$5:$E$304,V2919)&lt;&gt;HomeState),ROUND(L2919*M2919,2),0)),"")</f>
        <v/>
      </c>
      <c r="Q2919" s="61" t="str">
        <f aca="false">IF(IsPro,IF($D2919="","",L2919+N2919+O2919+P2919),"")</f>
        <v/>
      </c>
      <c r="R2919" s="61" t="str">
        <f aca="false">IF(IsPro,IF($D2919="","",ROUND(N($E2919)*IFERROR(INDEX(Items!$P$5:$P$504,U2919),0),2)),"")</f>
        <v/>
      </c>
      <c r="S2919" s="61" t="str">
        <f aca="false">IF(IsPro,IF($D2919="","",L2919-R2919),"")</f>
        <v/>
      </c>
      <c r="T2919" s="60" t="str">
        <f aca="false">IF(IsPro,IF($D2919="","",IF(U2919="","UNKNOWN ITEM",IF(INDEX(Items!$O$5:$O$504,U2919)&lt;0,"NEG STOCK",IF(K2919&lt;INDEX(Items!$P$5:$P$504,U2919),"BELOW COST","OK")))),IF($D2919="","","PRO PLAN"))</f>
        <v/>
      </c>
      <c r="U2919" s="60" t="str">
        <f aca="false">IF(IsPro,IF($D2919="","",IFERROR(MATCH($D2919,Items!$A$5:$A$504,0),"")),"")</f>
        <v/>
      </c>
      <c r="V2919" s="60" t="str">
        <f aca="false">IF(IsPro,IF($C2919="","",IFERROR(MATCH($C2919,Parties!$A$5:$A$304,0),"")),"")</f>
        <v/>
      </c>
      <c r="W2919" s="60" t="str">
        <f aca="false">IF(IsPro,IF($B2919="","",IFERROR(VALUE(SUBSTITUTE($B2919,InvPrefix,"")),0)),"")</f>
        <v/>
      </c>
      <c r="X2919" s="61" t="str">
        <f aca="false">IF(IsPro,IF($D2919="","",IF(OR($H2919="",$H2919="Credit"),0,Q2919)),"")</f>
        <v/>
      </c>
    </row>
    <row r="2920" customFormat="false" ht="15" hidden="false" customHeight="false" outlineLevel="0" collapsed="false">
      <c r="A2920" s="55"/>
      <c r="B2920" s="56"/>
      <c r="C2920" s="56"/>
      <c r="D2920" s="56"/>
      <c r="E2920" s="57"/>
      <c r="F2920" s="58"/>
      <c r="G2920" s="59"/>
      <c r="H2920" s="56"/>
      <c r="I2920" s="56"/>
      <c r="J2920" s="60" t="str">
        <f aca="false">IF(IsPro,IF($D2920="","",IFERROR(INDEX(Items!$D$5:$D$504,U2920),"")),"")</f>
        <v/>
      </c>
      <c r="K2920" s="61" t="str">
        <f aca="false">IF(IsPro,IF($D2920="","",IF($F2920="",IFERROR(INDEX(Items!$H$5:$H$504,U2920),0),$F2920)),"")</f>
        <v/>
      </c>
      <c r="L2920" s="61" t="str">
        <f aca="false">IF(IsPro,IF($D2920="","",ROUND(N($E2920)*K2920*(1-N($G2920)),2)),"")</f>
        <v/>
      </c>
      <c r="M2920" s="62" t="str">
        <f aca="false">IF(IsPro,IF($D2920="","",IFERROR(INDEX(Items!$F$5:$F$504,U2920),0)),"")</f>
        <v/>
      </c>
      <c r="N2920" s="61" t="str">
        <f aca="false">IF(IsPro,IF($D2920="","",IF(AND(V2920&lt;&gt;"",INDEX(Parties!$E$5:$E$304,V2920)&lt;&gt;"",INDEX(Parties!$E$5:$E$304,V2920)&lt;&gt;HomeState),0,ROUND(L2920*M2920/2,2))),"")</f>
        <v/>
      </c>
      <c r="O2920" s="61" t="str">
        <f aca="false">IF(IsPro,IF($D2920="","",N2920),"")</f>
        <v/>
      </c>
      <c r="P2920" s="61" t="str">
        <f aca="false">IF(IsPro,IF($D2920="","",IF(AND(V2920&lt;&gt;"",INDEX(Parties!$E$5:$E$304,V2920)&lt;&gt;"",INDEX(Parties!$E$5:$E$304,V2920)&lt;&gt;HomeState),ROUND(L2920*M2920,2),0)),"")</f>
        <v/>
      </c>
      <c r="Q2920" s="61" t="str">
        <f aca="false">IF(IsPro,IF($D2920="","",L2920+N2920+O2920+P2920),"")</f>
        <v/>
      </c>
      <c r="R2920" s="61" t="str">
        <f aca="false">IF(IsPro,IF($D2920="","",ROUND(N($E2920)*IFERROR(INDEX(Items!$P$5:$P$504,U2920),0),2)),"")</f>
        <v/>
      </c>
      <c r="S2920" s="61" t="str">
        <f aca="false">IF(IsPro,IF($D2920="","",L2920-R2920),"")</f>
        <v/>
      </c>
      <c r="T2920" s="60" t="str">
        <f aca="false">IF(IsPro,IF($D2920="","",IF(U2920="","UNKNOWN ITEM",IF(INDEX(Items!$O$5:$O$504,U2920)&lt;0,"NEG STOCK",IF(K2920&lt;INDEX(Items!$P$5:$P$504,U2920),"BELOW COST","OK")))),IF($D2920="","","PRO PLAN"))</f>
        <v/>
      </c>
      <c r="U2920" s="60" t="str">
        <f aca="false">IF(IsPro,IF($D2920="","",IFERROR(MATCH($D2920,Items!$A$5:$A$504,0),"")),"")</f>
        <v/>
      </c>
      <c r="V2920" s="60" t="str">
        <f aca="false">IF(IsPro,IF($C2920="","",IFERROR(MATCH($C2920,Parties!$A$5:$A$304,0),"")),"")</f>
        <v/>
      </c>
      <c r="W2920" s="60" t="str">
        <f aca="false">IF(IsPro,IF($B2920="","",IFERROR(VALUE(SUBSTITUTE($B2920,InvPrefix,"")),0)),"")</f>
        <v/>
      </c>
      <c r="X2920" s="61" t="str">
        <f aca="false">IF(IsPro,IF($D2920="","",IF(OR($H2920="",$H2920="Credit"),0,Q2920)),"")</f>
        <v/>
      </c>
    </row>
    <row r="2921" customFormat="false" ht="15" hidden="false" customHeight="false" outlineLevel="0" collapsed="false">
      <c r="A2921" s="55"/>
      <c r="B2921" s="56"/>
      <c r="C2921" s="56"/>
      <c r="D2921" s="56"/>
      <c r="E2921" s="57"/>
      <c r="F2921" s="58"/>
      <c r="G2921" s="59"/>
      <c r="H2921" s="56"/>
      <c r="I2921" s="56"/>
      <c r="J2921" s="60" t="str">
        <f aca="false">IF(IsPro,IF($D2921="","",IFERROR(INDEX(Items!$D$5:$D$504,U2921),"")),"")</f>
        <v/>
      </c>
      <c r="K2921" s="61" t="str">
        <f aca="false">IF(IsPro,IF($D2921="","",IF($F2921="",IFERROR(INDEX(Items!$H$5:$H$504,U2921),0),$F2921)),"")</f>
        <v/>
      </c>
      <c r="L2921" s="61" t="str">
        <f aca="false">IF(IsPro,IF($D2921="","",ROUND(N($E2921)*K2921*(1-N($G2921)),2)),"")</f>
        <v/>
      </c>
      <c r="M2921" s="62" t="str">
        <f aca="false">IF(IsPro,IF($D2921="","",IFERROR(INDEX(Items!$F$5:$F$504,U2921),0)),"")</f>
        <v/>
      </c>
      <c r="N2921" s="61" t="str">
        <f aca="false">IF(IsPro,IF($D2921="","",IF(AND(V2921&lt;&gt;"",INDEX(Parties!$E$5:$E$304,V2921)&lt;&gt;"",INDEX(Parties!$E$5:$E$304,V2921)&lt;&gt;HomeState),0,ROUND(L2921*M2921/2,2))),"")</f>
        <v/>
      </c>
      <c r="O2921" s="61" t="str">
        <f aca="false">IF(IsPro,IF($D2921="","",N2921),"")</f>
        <v/>
      </c>
      <c r="P2921" s="61" t="str">
        <f aca="false">IF(IsPro,IF($D2921="","",IF(AND(V2921&lt;&gt;"",INDEX(Parties!$E$5:$E$304,V2921)&lt;&gt;"",INDEX(Parties!$E$5:$E$304,V2921)&lt;&gt;HomeState),ROUND(L2921*M2921,2),0)),"")</f>
        <v/>
      </c>
      <c r="Q2921" s="61" t="str">
        <f aca="false">IF(IsPro,IF($D2921="","",L2921+N2921+O2921+P2921),"")</f>
        <v/>
      </c>
      <c r="R2921" s="61" t="str">
        <f aca="false">IF(IsPro,IF($D2921="","",ROUND(N($E2921)*IFERROR(INDEX(Items!$P$5:$P$504,U2921),0),2)),"")</f>
        <v/>
      </c>
      <c r="S2921" s="61" t="str">
        <f aca="false">IF(IsPro,IF($D2921="","",L2921-R2921),"")</f>
        <v/>
      </c>
      <c r="T2921" s="60" t="str">
        <f aca="false">IF(IsPro,IF($D2921="","",IF(U2921="","UNKNOWN ITEM",IF(INDEX(Items!$O$5:$O$504,U2921)&lt;0,"NEG STOCK",IF(K2921&lt;INDEX(Items!$P$5:$P$504,U2921),"BELOW COST","OK")))),IF($D2921="","","PRO PLAN"))</f>
        <v/>
      </c>
      <c r="U2921" s="60" t="str">
        <f aca="false">IF(IsPro,IF($D2921="","",IFERROR(MATCH($D2921,Items!$A$5:$A$504,0),"")),"")</f>
        <v/>
      </c>
      <c r="V2921" s="60" t="str">
        <f aca="false">IF(IsPro,IF($C2921="","",IFERROR(MATCH($C2921,Parties!$A$5:$A$304,0),"")),"")</f>
        <v/>
      </c>
      <c r="W2921" s="60" t="str">
        <f aca="false">IF(IsPro,IF($B2921="","",IFERROR(VALUE(SUBSTITUTE($B2921,InvPrefix,"")),0)),"")</f>
        <v/>
      </c>
      <c r="X2921" s="61" t="str">
        <f aca="false">IF(IsPro,IF($D2921="","",IF(OR($H2921="",$H2921="Credit"),0,Q2921)),"")</f>
        <v/>
      </c>
    </row>
    <row r="2922" customFormat="false" ht="15" hidden="false" customHeight="false" outlineLevel="0" collapsed="false">
      <c r="A2922" s="55"/>
      <c r="B2922" s="56"/>
      <c r="C2922" s="56"/>
      <c r="D2922" s="56"/>
      <c r="E2922" s="57"/>
      <c r="F2922" s="58"/>
      <c r="G2922" s="59"/>
      <c r="H2922" s="56"/>
      <c r="I2922" s="56"/>
      <c r="J2922" s="60" t="str">
        <f aca="false">IF(IsPro,IF($D2922="","",IFERROR(INDEX(Items!$D$5:$D$504,U2922),"")),"")</f>
        <v/>
      </c>
      <c r="K2922" s="61" t="str">
        <f aca="false">IF(IsPro,IF($D2922="","",IF($F2922="",IFERROR(INDEX(Items!$H$5:$H$504,U2922),0),$F2922)),"")</f>
        <v/>
      </c>
      <c r="L2922" s="61" t="str">
        <f aca="false">IF(IsPro,IF($D2922="","",ROUND(N($E2922)*K2922*(1-N($G2922)),2)),"")</f>
        <v/>
      </c>
      <c r="M2922" s="62" t="str">
        <f aca="false">IF(IsPro,IF($D2922="","",IFERROR(INDEX(Items!$F$5:$F$504,U2922),0)),"")</f>
        <v/>
      </c>
      <c r="N2922" s="61" t="str">
        <f aca="false">IF(IsPro,IF($D2922="","",IF(AND(V2922&lt;&gt;"",INDEX(Parties!$E$5:$E$304,V2922)&lt;&gt;"",INDEX(Parties!$E$5:$E$304,V2922)&lt;&gt;HomeState),0,ROUND(L2922*M2922/2,2))),"")</f>
        <v/>
      </c>
      <c r="O2922" s="61" t="str">
        <f aca="false">IF(IsPro,IF($D2922="","",N2922),"")</f>
        <v/>
      </c>
      <c r="P2922" s="61" t="str">
        <f aca="false">IF(IsPro,IF($D2922="","",IF(AND(V2922&lt;&gt;"",INDEX(Parties!$E$5:$E$304,V2922)&lt;&gt;"",INDEX(Parties!$E$5:$E$304,V2922)&lt;&gt;HomeState),ROUND(L2922*M2922,2),0)),"")</f>
        <v/>
      </c>
      <c r="Q2922" s="61" t="str">
        <f aca="false">IF(IsPro,IF($D2922="","",L2922+N2922+O2922+P2922),"")</f>
        <v/>
      </c>
      <c r="R2922" s="61" t="str">
        <f aca="false">IF(IsPro,IF($D2922="","",ROUND(N($E2922)*IFERROR(INDEX(Items!$P$5:$P$504,U2922),0),2)),"")</f>
        <v/>
      </c>
      <c r="S2922" s="61" t="str">
        <f aca="false">IF(IsPro,IF($D2922="","",L2922-R2922),"")</f>
        <v/>
      </c>
      <c r="T2922" s="60" t="str">
        <f aca="false">IF(IsPro,IF($D2922="","",IF(U2922="","UNKNOWN ITEM",IF(INDEX(Items!$O$5:$O$504,U2922)&lt;0,"NEG STOCK",IF(K2922&lt;INDEX(Items!$P$5:$P$504,U2922),"BELOW COST","OK")))),IF($D2922="","","PRO PLAN"))</f>
        <v/>
      </c>
      <c r="U2922" s="60" t="str">
        <f aca="false">IF(IsPro,IF($D2922="","",IFERROR(MATCH($D2922,Items!$A$5:$A$504,0),"")),"")</f>
        <v/>
      </c>
      <c r="V2922" s="60" t="str">
        <f aca="false">IF(IsPro,IF($C2922="","",IFERROR(MATCH($C2922,Parties!$A$5:$A$304,0),"")),"")</f>
        <v/>
      </c>
      <c r="W2922" s="60" t="str">
        <f aca="false">IF(IsPro,IF($B2922="","",IFERROR(VALUE(SUBSTITUTE($B2922,InvPrefix,"")),0)),"")</f>
        <v/>
      </c>
      <c r="X2922" s="61" t="str">
        <f aca="false">IF(IsPro,IF($D2922="","",IF(OR($H2922="",$H2922="Credit"),0,Q2922)),"")</f>
        <v/>
      </c>
    </row>
    <row r="2923" customFormat="false" ht="15" hidden="false" customHeight="false" outlineLevel="0" collapsed="false">
      <c r="A2923" s="55"/>
      <c r="B2923" s="56"/>
      <c r="C2923" s="56"/>
      <c r="D2923" s="56"/>
      <c r="E2923" s="57"/>
      <c r="F2923" s="58"/>
      <c r="G2923" s="59"/>
      <c r="H2923" s="56"/>
      <c r="I2923" s="56"/>
      <c r="J2923" s="60" t="str">
        <f aca="false">IF(IsPro,IF($D2923="","",IFERROR(INDEX(Items!$D$5:$D$504,U2923),"")),"")</f>
        <v/>
      </c>
      <c r="K2923" s="61" t="str">
        <f aca="false">IF(IsPro,IF($D2923="","",IF($F2923="",IFERROR(INDEX(Items!$H$5:$H$504,U2923),0),$F2923)),"")</f>
        <v/>
      </c>
      <c r="L2923" s="61" t="str">
        <f aca="false">IF(IsPro,IF($D2923="","",ROUND(N($E2923)*K2923*(1-N($G2923)),2)),"")</f>
        <v/>
      </c>
      <c r="M2923" s="62" t="str">
        <f aca="false">IF(IsPro,IF($D2923="","",IFERROR(INDEX(Items!$F$5:$F$504,U2923),0)),"")</f>
        <v/>
      </c>
      <c r="N2923" s="61" t="str">
        <f aca="false">IF(IsPro,IF($D2923="","",IF(AND(V2923&lt;&gt;"",INDEX(Parties!$E$5:$E$304,V2923)&lt;&gt;"",INDEX(Parties!$E$5:$E$304,V2923)&lt;&gt;HomeState),0,ROUND(L2923*M2923/2,2))),"")</f>
        <v/>
      </c>
      <c r="O2923" s="61" t="str">
        <f aca="false">IF(IsPro,IF($D2923="","",N2923),"")</f>
        <v/>
      </c>
      <c r="P2923" s="61" t="str">
        <f aca="false">IF(IsPro,IF($D2923="","",IF(AND(V2923&lt;&gt;"",INDEX(Parties!$E$5:$E$304,V2923)&lt;&gt;"",INDEX(Parties!$E$5:$E$304,V2923)&lt;&gt;HomeState),ROUND(L2923*M2923,2),0)),"")</f>
        <v/>
      </c>
      <c r="Q2923" s="61" t="str">
        <f aca="false">IF(IsPro,IF($D2923="","",L2923+N2923+O2923+P2923),"")</f>
        <v/>
      </c>
      <c r="R2923" s="61" t="str">
        <f aca="false">IF(IsPro,IF($D2923="","",ROUND(N($E2923)*IFERROR(INDEX(Items!$P$5:$P$504,U2923),0),2)),"")</f>
        <v/>
      </c>
      <c r="S2923" s="61" t="str">
        <f aca="false">IF(IsPro,IF($D2923="","",L2923-R2923),"")</f>
        <v/>
      </c>
      <c r="T2923" s="60" t="str">
        <f aca="false">IF(IsPro,IF($D2923="","",IF(U2923="","UNKNOWN ITEM",IF(INDEX(Items!$O$5:$O$504,U2923)&lt;0,"NEG STOCK",IF(K2923&lt;INDEX(Items!$P$5:$P$504,U2923),"BELOW COST","OK")))),IF($D2923="","","PRO PLAN"))</f>
        <v/>
      </c>
      <c r="U2923" s="60" t="str">
        <f aca="false">IF(IsPro,IF($D2923="","",IFERROR(MATCH($D2923,Items!$A$5:$A$504,0),"")),"")</f>
        <v/>
      </c>
      <c r="V2923" s="60" t="str">
        <f aca="false">IF(IsPro,IF($C2923="","",IFERROR(MATCH($C2923,Parties!$A$5:$A$304,0),"")),"")</f>
        <v/>
      </c>
      <c r="W2923" s="60" t="str">
        <f aca="false">IF(IsPro,IF($B2923="","",IFERROR(VALUE(SUBSTITUTE($B2923,InvPrefix,"")),0)),"")</f>
        <v/>
      </c>
      <c r="X2923" s="61" t="str">
        <f aca="false">IF(IsPro,IF($D2923="","",IF(OR($H2923="",$H2923="Credit"),0,Q2923)),"")</f>
        <v/>
      </c>
    </row>
    <row r="2924" customFormat="false" ht="15" hidden="false" customHeight="false" outlineLevel="0" collapsed="false">
      <c r="A2924" s="55"/>
      <c r="B2924" s="56"/>
      <c r="C2924" s="56"/>
      <c r="D2924" s="56"/>
      <c r="E2924" s="57"/>
      <c r="F2924" s="58"/>
      <c r="G2924" s="59"/>
      <c r="H2924" s="56"/>
      <c r="I2924" s="56"/>
      <c r="J2924" s="60" t="str">
        <f aca="false">IF(IsPro,IF($D2924="","",IFERROR(INDEX(Items!$D$5:$D$504,U2924),"")),"")</f>
        <v/>
      </c>
      <c r="K2924" s="61" t="str">
        <f aca="false">IF(IsPro,IF($D2924="","",IF($F2924="",IFERROR(INDEX(Items!$H$5:$H$504,U2924),0),$F2924)),"")</f>
        <v/>
      </c>
      <c r="L2924" s="61" t="str">
        <f aca="false">IF(IsPro,IF($D2924="","",ROUND(N($E2924)*K2924*(1-N($G2924)),2)),"")</f>
        <v/>
      </c>
      <c r="M2924" s="62" t="str">
        <f aca="false">IF(IsPro,IF($D2924="","",IFERROR(INDEX(Items!$F$5:$F$504,U2924),0)),"")</f>
        <v/>
      </c>
      <c r="N2924" s="61" t="str">
        <f aca="false">IF(IsPro,IF($D2924="","",IF(AND(V2924&lt;&gt;"",INDEX(Parties!$E$5:$E$304,V2924)&lt;&gt;"",INDEX(Parties!$E$5:$E$304,V2924)&lt;&gt;HomeState),0,ROUND(L2924*M2924/2,2))),"")</f>
        <v/>
      </c>
      <c r="O2924" s="61" t="str">
        <f aca="false">IF(IsPro,IF($D2924="","",N2924),"")</f>
        <v/>
      </c>
      <c r="P2924" s="61" t="str">
        <f aca="false">IF(IsPro,IF($D2924="","",IF(AND(V2924&lt;&gt;"",INDEX(Parties!$E$5:$E$304,V2924)&lt;&gt;"",INDEX(Parties!$E$5:$E$304,V2924)&lt;&gt;HomeState),ROUND(L2924*M2924,2),0)),"")</f>
        <v/>
      </c>
      <c r="Q2924" s="61" t="str">
        <f aca="false">IF(IsPro,IF($D2924="","",L2924+N2924+O2924+P2924),"")</f>
        <v/>
      </c>
      <c r="R2924" s="61" t="str">
        <f aca="false">IF(IsPro,IF($D2924="","",ROUND(N($E2924)*IFERROR(INDEX(Items!$P$5:$P$504,U2924),0),2)),"")</f>
        <v/>
      </c>
      <c r="S2924" s="61" t="str">
        <f aca="false">IF(IsPro,IF($D2924="","",L2924-R2924),"")</f>
        <v/>
      </c>
      <c r="T2924" s="60" t="str">
        <f aca="false">IF(IsPro,IF($D2924="","",IF(U2924="","UNKNOWN ITEM",IF(INDEX(Items!$O$5:$O$504,U2924)&lt;0,"NEG STOCK",IF(K2924&lt;INDEX(Items!$P$5:$P$504,U2924),"BELOW COST","OK")))),IF($D2924="","","PRO PLAN"))</f>
        <v/>
      </c>
      <c r="U2924" s="60" t="str">
        <f aca="false">IF(IsPro,IF($D2924="","",IFERROR(MATCH($D2924,Items!$A$5:$A$504,0),"")),"")</f>
        <v/>
      </c>
      <c r="V2924" s="60" t="str">
        <f aca="false">IF(IsPro,IF($C2924="","",IFERROR(MATCH($C2924,Parties!$A$5:$A$304,0),"")),"")</f>
        <v/>
      </c>
      <c r="W2924" s="60" t="str">
        <f aca="false">IF(IsPro,IF($B2924="","",IFERROR(VALUE(SUBSTITUTE($B2924,InvPrefix,"")),0)),"")</f>
        <v/>
      </c>
      <c r="X2924" s="61" t="str">
        <f aca="false">IF(IsPro,IF($D2924="","",IF(OR($H2924="",$H2924="Credit"),0,Q2924)),"")</f>
        <v/>
      </c>
    </row>
    <row r="2925" customFormat="false" ht="15" hidden="false" customHeight="false" outlineLevel="0" collapsed="false">
      <c r="A2925" s="55"/>
      <c r="B2925" s="56"/>
      <c r="C2925" s="56"/>
      <c r="D2925" s="56"/>
      <c r="E2925" s="57"/>
      <c r="F2925" s="58"/>
      <c r="G2925" s="59"/>
      <c r="H2925" s="56"/>
      <c r="I2925" s="56"/>
      <c r="J2925" s="60" t="str">
        <f aca="false">IF(IsPro,IF($D2925="","",IFERROR(INDEX(Items!$D$5:$D$504,U2925),"")),"")</f>
        <v/>
      </c>
      <c r="K2925" s="61" t="str">
        <f aca="false">IF(IsPro,IF($D2925="","",IF($F2925="",IFERROR(INDEX(Items!$H$5:$H$504,U2925),0),$F2925)),"")</f>
        <v/>
      </c>
      <c r="L2925" s="61" t="str">
        <f aca="false">IF(IsPro,IF($D2925="","",ROUND(N($E2925)*K2925*(1-N($G2925)),2)),"")</f>
        <v/>
      </c>
      <c r="M2925" s="62" t="str">
        <f aca="false">IF(IsPro,IF($D2925="","",IFERROR(INDEX(Items!$F$5:$F$504,U2925),0)),"")</f>
        <v/>
      </c>
      <c r="N2925" s="61" t="str">
        <f aca="false">IF(IsPro,IF($D2925="","",IF(AND(V2925&lt;&gt;"",INDEX(Parties!$E$5:$E$304,V2925)&lt;&gt;"",INDEX(Parties!$E$5:$E$304,V2925)&lt;&gt;HomeState),0,ROUND(L2925*M2925/2,2))),"")</f>
        <v/>
      </c>
      <c r="O2925" s="61" t="str">
        <f aca="false">IF(IsPro,IF($D2925="","",N2925),"")</f>
        <v/>
      </c>
      <c r="P2925" s="61" t="str">
        <f aca="false">IF(IsPro,IF($D2925="","",IF(AND(V2925&lt;&gt;"",INDEX(Parties!$E$5:$E$304,V2925)&lt;&gt;"",INDEX(Parties!$E$5:$E$304,V2925)&lt;&gt;HomeState),ROUND(L2925*M2925,2),0)),"")</f>
        <v/>
      </c>
      <c r="Q2925" s="61" t="str">
        <f aca="false">IF(IsPro,IF($D2925="","",L2925+N2925+O2925+P2925),"")</f>
        <v/>
      </c>
      <c r="R2925" s="61" t="str">
        <f aca="false">IF(IsPro,IF($D2925="","",ROUND(N($E2925)*IFERROR(INDEX(Items!$P$5:$P$504,U2925),0),2)),"")</f>
        <v/>
      </c>
      <c r="S2925" s="61" t="str">
        <f aca="false">IF(IsPro,IF($D2925="","",L2925-R2925),"")</f>
        <v/>
      </c>
      <c r="T2925" s="60" t="str">
        <f aca="false">IF(IsPro,IF($D2925="","",IF(U2925="","UNKNOWN ITEM",IF(INDEX(Items!$O$5:$O$504,U2925)&lt;0,"NEG STOCK",IF(K2925&lt;INDEX(Items!$P$5:$P$504,U2925),"BELOW COST","OK")))),IF($D2925="","","PRO PLAN"))</f>
        <v/>
      </c>
      <c r="U2925" s="60" t="str">
        <f aca="false">IF(IsPro,IF($D2925="","",IFERROR(MATCH($D2925,Items!$A$5:$A$504,0),"")),"")</f>
        <v/>
      </c>
      <c r="V2925" s="60" t="str">
        <f aca="false">IF(IsPro,IF($C2925="","",IFERROR(MATCH($C2925,Parties!$A$5:$A$304,0),"")),"")</f>
        <v/>
      </c>
      <c r="W2925" s="60" t="str">
        <f aca="false">IF(IsPro,IF($B2925="","",IFERROR(VALUE(SUBSTITUTE($B2925,InvPrefix,"")),0)),"")</f>
        <v/>
      </c>
      <c r="X2925" s="61" t="str">
        <f aca="false">IF(IsPro,IF($D2925="","",IF(OR($H2925="",$H2925="Credit"),0,Q2925)),"")</f>
        <v/>
      </c>
    </row>
    <row r="2926" customFormat="false" ht="15" hidden="false" customHeight="false" outlineLevel="0" collapsed="false">
      <c r="A2926" s="55"/>
      <c r="B2926" s="56"/>
      <c r="C2926" s="56"/>
      <c r="D2926" s="56"/>
      <c r="E2926" s="57"/>
      <c r="F2926" s="58"/>
      <c r="G2926" s="59"/>
      <c r="H2926" s="56"/>
      <c r="I2926" s="56"/>
      <c r="J2926" s="60" t="str">
        <f aca="false">IF(IsPro,IF($D2926="","",IFERROR(INDEX(Items!$D$5:$D$504,U2926),"")),"")</f>
        <v/>
      </c>
      <c r="K2926" s="61" t="str">
        <f aca="false">IF(IsPro,IF($D2926="","",IF($F2926="",IFERROR(INDEX(Items!$H$5:$H$504,U2926),0),$F2926)),"")</f>
        <v/>
      </c>
      <c r="L2926" s="61" t="str">
        <f aca="false">IF(IsPro,IF($D2926="","",ROUND(N($E2926)*K2926*(1-N($G2926)),2)),"")</f>
        <v/>
      </c>
      <c r="M2926" s="62" t="str">
        <f aca="false">IF(IsPro,IF($D2926="","",IFERROR(INDEX(Items!$F$5:$F$504,U2926),0)),"")</f>
        <v/>
      </c>
      <c r="N2926" s="61" t="str">
        <f aca="false">IF(IsPro,IF($D2926="","",IF(AND(V2926&lt;&gt;"",INDEX(Parties!$E$5:$E$304,V2926)&lt;&gt;"",INDEX(Parties!$E$5:$E$304,V2926)&lt;&gt;HomeState),0,ROUND(L2926*M2926/2,2))),"")</f>
        <v/>
      </c>
      <c r="O2926" s="61" t="str">
        <f aca="false">IF(IsPro,IF($D2926="","",N2926),"")</f>
        <v/>
      </c>
      <c r="P2926" s="61" t="str">
        <f aca="false">IF(IsPro,IF($D2926="","",IF(AND(V2926&lt;&gt;"",INDEX(Parties!$E$5:$E$304,V2926)&lt;&gt;"",INDEX(Parties!$E$5:$E$304,V2926)&lt;&gt;HomeState),ROUND(L2926*M2926,2),0)),"")</f>
        <v/>
      </c>
      <c r="Q2926" s="61" t="str">
        <f aca="false">IF(IsPro,IF($D2926="","",L2926+N2926+O2926+P2926),"")</f>
        <v/>
      </c>
      <c r="R2926" s="61" t="str">
        <f aca="false">IF(IsPro,IF($D2926="","",ROUND(N($E2926)*IFERROR(INDEX(Items!$P$5:$P$504,U2926),0),2)),"")</f>
        <v/>
      </c>
      <c r="S2926" s="61" t="str">
        <f aca="false">IF(IsPro,IF($D2926="","",L2926-R2926),"")</f>
        <v/>
      </c>
      <c r="T2926" s="60" t="str">
        <f aca="false">IF(IsPro,IF($D2926="","",IF(U2926="","UNKNOWN ITEM",IF(INDEX(Items!$O$5:$O$504,U2926)&lt;0,"NEG STOCK",IF(K2926&lt;INDEX(Items!$P$5:$P$504,U2926),"BELOW COST","OK")))),IF($D2926="","","PRO PLAN"))</f>
        <v/>
      </c>
      <c r="U2926" s="60" t="str">
        <f aca="false">IF(IsPro,IF($D2926="","",IFERROR(MATCH($D2926,Items!$A$5:$A$504,0),"")),"")</f>
        <v/>
      </c>
      <c r="V2926" s="60" t="str">
        <f aca="false">IF(IsPro,IF($C2926="","",IFERROR(MATCH($C2926,Parties!$A$5:$A$304,0),"")),"")</f>
        <v/>
      </c>
      <c r="W2926" s="60" t="str">
        <f aca="false">IF(IsPro,IF($B2926="","",IFERROR(VALUE(SUBSTITUTE($B2926,InvPrefix,"")),0)),"")</f>
        <v/>
      </c>
      <c r="X2926" s="61" t="str">
        <f aca="false">IF(IsPro,IF($D2926="","",IF(OR($H2926="",$H2926="Credit"),0,Q2926)),"")</f>
        <v/>
      </c>
    </row>
    <row r="2927" customFormat="false" ht="15" hidden="false" customHeight="false" outlineLevel="0" collapsed="false">
      <c r="A2927" s="55"/>
      <c r="B2927" s="56"/>
      <c r="C2927" s="56"/>
      <c r="D2927" s="56"/>
      <c r="E2927" s="57"/>
      <c r="F2927" s="58"/>
      <c r="G2927" s="59"/>
      <c r="H2927" s="56"/>
      <c r="I2927" s="56"/>
      <c r="J2927" s="60" t="str">
        <f aca="false">IF(IsPro,IF($D2927="","",IFERROR(INDEX(Items!$D$5:$D$504,U2927),"")),"")</f>
        <v/>
      </c>
      <c r="K2927" s="61" t="str">
        <f aca="false">IF(IsPro,IF($D2927="","",IF($F2927="",IFERROR(INDEX(Items!$H$5:$H$504,U2927),0),$F2927)),"")</f>
        <v/>
      </c>
      <c r="L2927" s="61" t="str">
        <f aca="false">IF(IsPro,IF($D2927="","",ROUND(N($E2927)*K2927*(1-N($G2927)),2)),"")</f>
        <v/>
      </c>
      <c r="M2927" s="62" t="str">
        <f aca="false">IF(IsPro,IF($D2927="","",IFERROR(INDEX(Items!$F$5:$F$504,U2927),0)),"")</f>
        <v/>
      </c>
      <c r="N2927" s="61" t="str">
        <f aca="false">IF(IsPro,IF($D2927="","",IF(AND(V2927&lt;&gt;"",INDEX(Parties!$E$5:$E$304,V2927)&lt;&gt;"",INDEX(Parties!$E$5:$E$304,V2927)&lt;&gt;HomeState),0,ROUND(L2927*M2927/2,2))),"")</f>
        <v/>
      </c>
      <c r="O2927" s="61" t="str">
        <f aca="false">IF(IsPro,IF($D2927="","",N2927),"")</f>
        <v/>
      </c>
      <c r="P2927" s="61" t="str">
        <f aca="false">IF(IsPro,IF($D2927="","",IF(AND(V2927&lt;&gt;"",INDEX(Parties!$E$5:$E$304,V2927)&lt;&gt;"",INDEX(Parties!$E$5:$E$304,V2927)&lt;&gt;HomeState),ROUND(L2927*M2927,2),0)),"")</f>
        <v/>
      </c>
      <c r="Q2927" s="61" t="str">
        <f aca="false">IF(IsPro,IF($D2927="","",L2927+N2927+O2927+P2927),"")</f>
        <v/>
      </c>
      <c r="R2927" s="61" t="str">
        <f aca="false">IF(IsPro,IF($D2927="","",ROUND(N($E2927)*IFERROR(INDEX(Items!$P$5:$P$504,U2927),0),2)),"")</f>
        <v/>
      </c>
      <c r="S2927" s="61" t="str">
        <f aca="false">IF(IsPro,IF($D2927="","",L2927-R2927),"")</f>
        <v/>
      </c>
      <c r="T2927" s="60" t="str">
        <f aca="false">IF(IsPro,IF($D2927="","",IF(U2927="","UNKNOWN ITEM",IF(INDEX(Items!$O$5:$O$504,U2927)&lt;0,"NEG STOCK",IF(K2927&lt;INDEX(Items!$P$5:$P$504,U2927),"BELOW COST","OK")))),IF($D2927="","","PRO PLAN"))</f>
        <v/>
      </c>
      <c r="U2927" s="60" t="str">
        <f aca="false">IF(IsPro,IF($D2927="","",IFERROR(MATCH($D2927,Items!$A$5:$A$504,0),"")),"")</f>
        <v/>
      </c>
      <c r="V2927" s="60" t="str">
        <f aca="false">IF(IsPro,IF($C2927="","",IFERROR(MATCH($C2927,Parties!$A$5:$A$304,0),"")),"")</f>
        <v/>
      </c>
      <c r="W2927" s="60" t="str">
        <f aca="false">IF(IsPro,IF($B2927="","",IFERROR(VALUE(SUBSTITUTE($B2927,InvPrefix,"")),0)),"")</f>
        <v/>
      </c>
      <c r="X2927" s="61" t="str">
        <f aca="false">IF(IsPro,IF($D2927="","",IF(OR($H2927="",$H2927="Credit"),0,Q2927)),"")</f>
        <v/>
      </c>
    </row>
    <row r="2928" customFormat="false" ht="15" hidden="false" customHeight="false" outlineLevel="0" collapsed="false">
      <c r="A2928" s="55"/>
      <c r="B2928" s="56"/>
      <c r="C2928" s="56"/>
      <c r="D2928" s="56"/>
      <c r="E2928" s="57"/>
      <c r="F2928" s="58"/>
      <c r="G2928" s="59"/>
      <c r="H2928" s="56"/>
      <c r="I2928" s="56"/>
      <c r="J2928" s="60" t="str">
        <f aca="false">IF(IsPro,IF($D2928="","",IFERROR(INDEX(Items!$D$5:$D$504,U2928),"")),"")</f>
        <v/>
      </c>
      <c r="K2928" s="61" t="str">
        <f aca="false">IF(IsPro,IF($D2928="","",IF($F2928="",IFERROR(INDEX(Items!$H$5:$H$504,U2928),0),$F2928)),"")</f>
        <v/>
      </c>
      <c r="L2928" s="61" t="str">
        <f aca="false">IF(IsPro,IF($D2928="","",ROUND(N($E2928)*K2928*(1-N($G2928)),2)),"")</f>
        <v/>
      </c>
      <c r="M2928" s="62" t="str">
        <f aca="false">IF(IsPro,IF($D2928="","",IFERROR(INDEX(Items!$F$5:$F$504,U2928),0)),"")</f>
        <v/>
      </c>
      <c r="N2928" s="61" t="str">
        <f aca="false">IF(IsPro,IF($D2928="","",IF(AND(V2928&lt;&gt;"",INDEX(Parties!$E$5:$E$304,V2928)&lt;&gt;"",INDEX(Parties!$E$5:$E$304,V2928)&lt;&gt;HomeState),0,ROUND(L2928*M2928/2,2))),"")</f>
        <v/>
      </c>
      <c r="O2928" s="61" t="str">
        <f aca="false">IF(IsPro,IF($D2928="","",N2928),"")</f>
        <v/>
      </c>
      <c r="P2928" s="61" t="str">
        <f aca="false">IF(IsPro,IF($D2928="","",IF(AND(V2928&lt;&gt;"",INDEX(Parties!$E$5:$E$304,V2928)&lt;&gt;"",INDEX(Parties!$E$5:$E$304,V2928)&lt;&gt;HomeState),ROUND(L2928*M2928,2),0)),"")</f>
        <v/>
      </c>
      <c r="Q2928" s="61" t="str">
        <f aca="false">IF(IsPro,IF($D2928="","",L2928+N2928+O2928+P2928),"")</f>
        <v/>
      </c>
      <c r="R2928" s="61" t="str">
        <f aca="false">IF(IsPro,IF($D2928="","",ROUND(N($E2928)*IFERROR(INDEX(Items!$P$5:$P$504,U2928),0),2)),"")</f>
        <v/>
      </c>
      <c r="S2928" s="61" t="str">
        <f aca="false">IF(IsPro,IF($D2928="","",L2928-R2928),"")</f>
        <v/>
      </c>
      <c r="T2928" s="60" t="str">
        <f aca="false">IF(IsPro,IF($D2928="","",IF(U2928="","UNKNOWN ITEM",IF(INDEX(Items!$O$5:$O$504,U2928)&lt;0,"NEG STOCK",IF(K2928&lt;INDEX(Items!$P$5:$P$504,U2928),"BELOW COST","OK")))),IF($D2928="","","PRO PLAN"))</f>
        <v/>
      </c>
      <c r="U2928" s="60" t="str">
        <f aca="false">IF(IsPro,IF($D2928="","",IFERROR(MATCH($D2928,Items!$A$5:$A$504,0),"")),"")</f>
        <v/>
      </c>
      <c r="V2928" s="60" t="str">
        <f aca="false">IF(IsPro,IF($C2928="","",IFERROR(MATCH($C2928,Parties!$A$5:$A$304,0),"")),"")</f>
        <v/>
      </c>
      <c r="W2928" s="60" t="str">
        <f aca="false">IF(IsPro,IF($B2928="","",IFERROR(VALUE(SUBSTITUTE($B2928,InvPrefix,"")),0)),"")</f>
        <v/>
      </c>
      <c r="X2928" s="61" t="str">
        <f aca="false">IF(IsPro,IF($D2928="","",IF(OR($H2928="",$H2928="Credit"),0,Q2928)),"")</f>
        <v/>
      </c>
    </row>
    <row r="2929" customFormat="false" ht="15" hidden="false" customHeight="false" outlineLevel="0" collapsed="false">
      <c r="A2929" s="55"/>
      <c r="B2929" s="56"/>
      <c r="C2929" s="56"/>
      <c r="D2929" s="56"/>
      <c r="E2929" s="57"/>
      <c r="F2929" s="58"/>
      <c r="G2929" s="59"/>
      <c r="H2929" s="56"/>
      <c r="I2929" s="56"/>
      <c r="J2929" s="60" t="str">
        <f aca="false">IF(IsPro,IF($D2929="","",IFERROR(INDEX(Items!$D$5:$D$504,U2929),"")),"")</f>
        <v/>
      </c>
      <c r="K2929" s="61" t="str">
        <f aca="false">IF(IsPro,IF($D2929="","",IF($F2929="",IFERROR(INDEX(Items!$H$5:$H$504,U2929),0),$F2929)),"")</f>
        <v/>
      </c>
      <c r="L2929" s="61" t="str">
        <f aca="false">IF(IsPro,IF($D2929="","",ROUND(N($E2929)*K2929*(1-N($G2929)),2)),"")</f>
        <v/>
      </c>
      <c r="M2929" s="62" t="str">
        <f aca="false">IF(IsPro,IF($D2929="","",IFERROR(INDEX(Items!$F$5:$F$504,U2929),0)),"")</f>
        <v/>
      </c>
      <c r="N2929" s="61" t="str">
        <f aca="false">IF(IsPro,IF($D2929="","",IF(AND(V2929&lt;&gt;"",INDEX(Parties!$E$5:$E$304,V2929)&lt;&gt;"",INDEX(Parties!$E$5:$E$304,V2929)&lt;&gt;HomeState),0,ROUND(L2929*M2929/2,2))),"")</f>
        <v/>
      </c>
      <c r="O2929" s="61" t="str">
        <f aca="false">IF(IsPro,IF($D2929="","",N2929),"")</f>
        <v/>
      </c>
      <c r="P2929" s="61" t="str">
        <f aca="false">IF(IsPro,IF($D2929="","",IF(AND(V2929&lt;&gt;"",INDEX(Parties!$E$5:$E$304,V2929)&lt;&gt;"",INDEX(Parties!$E$5:$E$304,V2929)&lt;&gt;HomeState),ROUND(L2929*M2929,2),0)),"")</f>
        <v/>
      </c>
      <c r="Q2929" s="61" t="str">
        <f aca="false">IF(IsPro,IF($D2929="","",L2929+N2929+O2929+P2929),"")</f>
        <v/>
      </c>
      <c r="R2929" s="61" t="str">
        <f aca="false">IF(IsPro,IF($D2929="","",ROUND(N($E2929)*IFERROR(INDEX(Items!$P$5:$P$504,U2929),0),2)),"")</f>
        <v/>
      </c>
      <c r="S2929" s="61" t="str">
        <f aca="false">IF(IsPro,IF($D2929="","",L2929-R2929),"")</f>
        <v/>
      </c>
      <c r="T2929" s="60" t="str">
        <f aca="false">IF(IsPro,IF($D2929="","",IF(U2929="","UNKNOWN ITEM",IF(INDEX(Items!$O$5:$O$504,U2929)&lt;0,"NEG STOCK",IF(K2929&lt;INDEX(Items!$P$5:$P$504,U2929),"BELOW COST","OK")))),IF($D2929="","","PRO PLAN"))</f>
        <v/>
      </c>
      <c r="U2929" s="60" t="str">
        <f aca="false">IF(IsPro,IF($D2929="","",IFERROR(MATCH($D2929,Items!$A$5:$A$504,0),"")),"")</f>
        <v/>
      </c>
      <c r="V2929" s="60" t="str">
        <f aca="false">IF(IsPro,IF($C2929="","",IFERROR(MATCH($C2929,Parties!$A$5:$A$304,0),"")),"")</f>
        <v/>
      </c>
      <c r="W2929" s="60" t="str">
        <f aca="false">IF(IsPro,IF($B2929="","",IFERROR(VALUE(SUBSTITUTE($B2929,InvPrefix,"")),0)),"")</f>
        <v/>
      </c>
      <c r="X2929" s="61" t="str">
        <f aca="false">IF(IsPro,IF($D2929="","",IF(OR($H2929="",$H2929="Credit"),0,Q2929)),"")</f>
        <v/>
      </c>
    </row>
    <row r="2930" customFormat="false" ht="15" hidden="false" customHeight="false" outlineLevel="0" collapsed="false">
      <c r="A2930" s="55"/>
      <c r="B2930" s="56"/>
      <c r="C2930" s="56"/>
      <c r="D2930" s="56"/>
      <c r="E2930" s="57"/>
      <c r="F2930" s="58"/>
      <c r="G2930" s="59"/>
      <c r="H2930" s="56"/>
      <c r="I2930" s="56"/>
      <c r="J2930" s="60" t="str">
        <f aca="false">IF(IsPro,IF($D2930="","",IFERROR(INDEX(Items!$D$5:$D$504,U2930),"")),"")</f>
        <v/>
      </c>
      <c r="K2930" s="61" t="str">
        <f aca="false">IF(IsPro,IF($D2930="","",IF($F2930="",IFERROR(INDEX(Items!$H$5:$H$504,U2930),0),$F2930)),"")</f>
        <v/>
      </c>
      <c r="L2930" s="61" t="str">
        <f aca="false">IF(IsPro,IF($D2930="","",ROUND(N($E2930)*K2930*(1-N($G2930)),2)),"")</f>
        <v/>
      </c>
      <c r="M2930" s="62" t="str">
        <f aca="false">IF(IsPro,IF($D2930="","",IFERROR(INDEX(Items!$F$5:$F$504,U2930),0)),"")</f>
        <v/>
      </c>
      <c r="N2930" s="61" t="str">
        <f aca="false">IF(IsPro,IF($D2930="","",IF(AND(V2930&lt;&gt;"",INDEX(Parties!$E$5:$E$304,V2930)&lt;&gt;"",INDEX(Parties!$E$5:$E$304,V2930)&lt;&gt;HomeState),0,ROUND(L2930*M2930/2,2))),"")</f>
        <v/>
      </c>
      <c r="O2930" s="61" t="str">
        <f aca="false">IF(IsPro,IF($D2930="","",N2930),"")</f>
        <v/>
      </c>
      <c r="P2930" s="61" t="str">
        <f aca="false">IF(IsPro,IF($D2930="","",IF(AND(V2930&lt;&gt;"",INDEX(Parties!$E$5:$E$304,V2930)&lt;&gt;"",INDEX(Parties!$E$5:$E$304,V2930)&lt;&gt;HomeState),ROUND(L2930*M2930,2),0)),"")</f>
        <v/>
      </c>
      <c r="Q2930" s="61" t="str">
        <f aca="false">IF(IsPro,IF($D2930="","",L2930+N2930+O2930+P2930),"")</f>
        <v/>
      </c>
      <c r="R2930" s="61" t="str">
        <f aca="false">IF(IsPro,IF($D2930="","",ROUND(N($E2930)*IFERROR(INDEX(Items!$P$5:$P$504,U2930),0),2)),"")</f>
        <v/>
      </c>
      <c r="S2930" s="61" t="str">
        <f aca="false">IF(IsPro,IF($D2930="","",L2930-R2930),"")</f>
        <v/>
      </c>
      <c r="T2930" s="60" t="str">
        <f aca="false">IF(IsPro,IF($D2930="","",IF(U2930="","UNKNOWN ITEM",IF(INDEX(Items!$O$5:$O$504,U2930)&lt;0,"NEG STOCK",IF(K2930&lt;INDEX(Items!$P$5:$P$504,U2930),"BELOW COST","OK")))),IF($D2930="","","PRO PLAN"))</f>
        <v/>
      </c>
      <c r="U2930" s="60" t="str">
        <f aca="false">IF(IsPro,IF($D2930="","",IFERROR(MATCH($D2930,Items!$A$5:$A$504,0),"")),"")</f>
        <v/>
      </c>
      <c r="V2930" s="60" t="str">
        <f aca="false">IF(IsPro,IF($C2930="","",IFERROR(MATCH($C2930,Parties!$A$5:$A$304,0),"")),"")</f>
        <v/>
      </c>
      <c r="W2930" s="60" t="str">
        <f aca="false">IF(IsPro,IF($B2930="","",IFERROR(VALUE(SUBSTITUTE($B2930,InvPrefix,"")),0)),"")</f>
        <v/>
      </c>
      <c r="X2930" s="61" t="str">
        <f aca="false">IF(IsPro,IF($D2930="","",IF(OR($H2930="",$H2930="Credit"),0,Q2930)),"")</f>
        <v/>
      </c>
    </row>
    <row r="2931" customFormat="false" ht="15" hidden="false" customHeight="false" outlineLevel="0" collapsed="false">
      <c r="A2931" s="55"/>
      <c r="B2931" s="56"/>
      <c r="C2931" s="56"/>
      <c r="D2931" s="56"/>
      <c r="E2931" s="57"/>
      <c r="F2931" s="58"/>
      <c r="G2931" s="59"/>
      <c r="H2931" s="56"/>
      <c r="I2931" s="56"/>
      <c r="J2931" s="60" t="str">
        <f aca="false">IF(IsPro,IF($D2931="","",IFERROR(INDEX(Items!$D$5:$D$504,U2931),"")),"")</f>
        <v/>
      </c>
      <c r="K2931" s="61" t="str">
        <f aca="false">IF(IsPro,IF($D2931="","",IF($F2931="",IFERROR(INDEX(Items!$H$5:$H$504,U2931),0),$F2931)),"")</f>
        <v/>
      </c>
      <c r="L2931" s="61" t="str">
        <f aca="false">IF(IsPro,IF($D2931="","",ROUND(N($E2931)*K2931*(1-N($G2931)),2)),"")</f>
        <v/>
      </c>
      <c r="M2931" s="62" t="str">
        <f aca="false">IF(IsPro,IF($D2931="","",IFERROR(INDEX(Items!$F$5:$F$504,U2931),0)),"")</f>
        <v/>
      </c>
      <c r="N2931" s="61" t="str">
        <f aca="false">IF(IsPro,IF($D2931="","",IF(AND(V2931&lt;&gt;"",INDEX(Parties!$E$5:$E$304,V2931)&lt;&gt;"",INDEX(Parties!$E$5:$E$304,V2931)&lt;&gt;HomeState),0,ROUND(L2931*M2931/2,2))),"")</f>
        <v/>
      </c>
      <c r="O2931" s="61" t="str">
        <f aca="false">IF(IsPro,IF($D2931="","",N2931),"")</f>
        <v/>
      </c>
      <c r="P2931" s="61" t="str">
        <f aca="false">IF(IsPro,IF($D2931="","",IF(AND(V2931&lt;&gt;"",INDEX(Parties!$E$5:$E$304,V2931)&lt;&gt;"",INDEX(Parties!$E$5:$E$304,V2931)&lt;&gt;HomeState),ROUND(L2931*M2931,2),0)),"")</f>
        <v/>
      </c>
      <c r="Q2931" s="61" t="str">
        <f aca="false">IF(IsPro,IF($D2931="","",L2931+N2931+O2931+P2931),"")</f>
        <v/>
      </c>
      <c r="R2931" s="61" t="str">
        <f aca="false">IF(IsPro,IF($D2931="","",ROUND(N($E2931)*IFERROR(INDEX(Items!$P$5:$P$504,U2931),0),2)),"")</f>
        <v/>
      </c>
      <c r="S2931" s="61" t="str">
        <f aca="false">IF(IsPro,IF($D2931="","",L2931-R2931),"")</f>
        <v/>
      </c>
      <c r="T2931" s="60" t="str">
        <f aca="false">IF(IsPro,IF($D2931="","",IF(U2931="","UNKNOWN ITEM",IF(INDEX(Items!$O$5:$O$504,U2931)&lt;0,"NEG STOCK",IF(K2931&lt;INDEX(Items!$P$5:$P$504,U2931),"BELOW COST","OK")))),IF($D2931="","","PRO PLAN"))</f>
        <v/>
      </c>
      <c r="U2931" s="60" t="str">
        <f aca="false">IF(IsPro,IF($D2931="","",IFERROR(MATCH($D2931,Items!$A$5:$A$504,0),"")),"")</f>
        <v/>
      </c>
      <c r="V2931" s="60" t="str">
        <f aca="false">IF(IsPro,IF($C2931="","",IFERROR(MATCH($C2931,Parties!$A$5:$A$304,0),"")),"")</f>
        <v/>
      </c>
      <c r="W2931" s="60" t="str">
        <f aca="false">IF(IsPro,IF($B2931="","",IFERROR(VALUE(SUBSTITUTE($B2931,InvPrefix,"")),0)),"")</f>
        <v/>
      </c>
      <c r="X2931" s="61" t="str">
        <f aca="false">IF(IsPro,IF($D2931="","",IF(OR($H2931="",$H2931="Credit"),0,Q2931)),"")</f>
        <v/>
      </c>
    </row>
    <row r="2932" customFormat="false" ht="15" hidden="false" customHeight="false" outlineLevel="0" collapsed="false">
      <c r="A2932" s="55"/>
      <c r="B2932" s="56"/>
      <c r="C2932" s="56"/>
      <c r="D2932" s="56"/>
      <c r="E2932" s="57"/>
      <c r="F2932" s="58"/>
      <c r="G2932" s="59"/>
      <c r="H2932" s="56"/>
      <c r="I2932" s="56"/>
      <c r="J2932" s="60" t="str">
        <f aca="false">IF(IsPro,IF($D2932="","",IFERROR(INDEX(Items!$D$5:$D$504,U2932),"")),"")</f>
        <v/>
      </c>
      <c r="K2932" s="61" t="str">
        <f aca="false">IF(IsPro,IF($D2932="","",IF($F2932="",IFERROR(INDEX(Items!$H$5:$H$504,U2932),0),$F2932)),"")</f>
        <v/>
      </c>
      <c r="L2932" s="61" t="str">
        <f aca="false">IF(IsPro,IF($D2932="","",ROUND(N($E2932)*K2932*(1-N($G2932)),2)),"")</f>
        <v/>
      </c>
      <c r="M2932" s="62" t="str">
        <f aca="false">IF(IsPro,IF($D2932="","",IFERROR(INDEX(Items!$F$5:$F$504,U2932),0)),"")</f>
        <v/>
      </c>
      <c r="N2932" s="61" t="str">
        <f aca="false">IF(IsPro,IF($D2932="","",IF(AND(V2932&lt;&gt;"",INDEX(Parties!$E$5:$E$304,V2932)&lt;&gt;"",INDEX(Parties!$E$5:$E$304,V2932)&lt;&gt;HomeState),0,ROUND(L2932*M2932/2,2))),"")</f>
        <v/>
      </c>
      <c r="O2932" s="61" t="str">
        <f aca="false">IF(IsPro,IF($D2932="","",N2932),"")</f>
        <v/>
      </c>
      <c r="P2932" s="61" t="str">
        <f aca="false">IF(IsPro,IF($D2932="","",IF(AND(V2932&lt;&gt;"",INDEX(Parties!$E$5:$E$304,V2932)&lt;&gt;"",INDEX(Parties!$E$5:$E$304,V2932)&lt;&gt;HomeState),ROUND(L2932*M2932,2),0)),"")</f>
        <v/>
      </c>
      <c r="Q2932" s="61" t="str">
        <f aca="false">IF(IsPro,IF($D2932="","",L2932+N2932+O2932+P2932),"")</f>
        <v/>
      </c>
      <c r="R2932" s="61" t="str">
        <f aca="false">IF(IsPro,IF($D2932="","",ROUND(N($E2932)*IFERROR(INDEX(Items!$P$5:$P$504,U2932),0),2)),"")</f>
        <v/>
      </c>
      <c r="S2932" s="61" t="str">
        <f aca="false">IF(IsPro,IF($D2932="","",L2932-R2932),"")</f>
        <v/>
      </c>
      <c r="T2932" s="60" t="str">
        <f aca="false">IF(IsPro,IF($D2932="","",IF(U2932="","UNKNOWN ITEM",IF(INDEX(Items!$O$5:$O$504,U2932)&lt;0,"NEG STOCK",IF(K2932&lt;INDEX(Items!$P$5:$P$504,U2932),"BELOW COST","OK")))),IF($D2932="","","PRO PLAN"))</f>
        <v/>
      </c>
      <c r="U2932" s="60" t="str">
        <f aca="false">IF(IsPro,IF($D2932="","",IFERROR(MATCH($D2932,Items!$A$5:$A$504,0),"")),"")</f>
        <v/>
      </c>
      <c r="V2932" s="60" t="str">
        <f aca="false">IF(IsPro,IF($C2932="","",IFERROR(MATCH($C2932,Parties!$A$5:$A$304,0),"")),"")</f>
        <v/>
      </c>
      <c r="W2932" s="60" t="str">
        <f aca="false">IF(IsPro,IF($B2932="","",IFERROR(VALUE(SUBSTITUTE($B2932,InvPrefix,"")),0)),"")</f>
        <v/>
      </c>
      <c r="X2932" s="61" t="str">
        <f aca="false">IF(IsPro,IF($D2932="","",IF(OR($H2932="",$H2932="Credit"),0,Q2932)),"")</f>
        <v/>
      </c>
    </row>
    <row r="2933" customFormat="false" ht="15" hidden="false" customHeight="false" outlineLevel="0" collapsed="false">
      <c r="A2933" s="55"/>
      <c r="B2933" s="56"/>
      <c r="C2933" s="56"/>
      <c r="D2933" s="56"/>
      <c r="E2933" s="57"/>
      <c r="F2933" s="58"/>
      <c r="G2933" s="59"/>
      <c r="H2933" s="56"/>
      <c r="I2933" s="56"/>
      <c r="J2933" s="60" t="str">
        <f aca="false">IF(IsPro,IF($D2933="","",IFERROR(INDEX(Items!$D$5:$D$504,U2933),"")),"")</f>
        <v/>
      </c>
      <c r="K2933" s="61" t="str">
        <f aca="false">IF(IsPro,IF($D2933="","",IF($F2933="",IFERROR(INDEX(Items!$H$5:$H$504,U2933),0),$F2933)),"")</f>
        <v/>
      </c>
      <c r="L2933" s="61" t="str">
        <f aca="false">IF(IsPro,IF($D2933="","",ROUND(N($E2933)*K2933*(1-N($G2933)),2)),"")</f>
        <v/>
      </c>
      <c r="M2933" s="62" t="str">
        <f aca="false">IF(IsPro,IF($D2933="","",IFERROR(INDEX(Items!$F$5:$F$504,U2933),0)),"")</f>
        <v/>
      </c>
      <c r="N2933" s="61" t="str">
        <f aca="false">IF(IsPro,IF($D2933="","",IF(AND(V2933&lt;&gt;"",INDEX(Parties!$E$5:$E$304,V2933)&lt;&gt;"",INDEX(Parties!$E$5:$E$304,V2933)&lt;&gt;HomeState),0,ROUND(L2933*M2933/2,2))),"")</f>
        <v/>
      </c>
      <c r="O2933" s="61" t="str">
        <f aca="false">IF(IsPro,IF($D2933="","",N2933),"")</f>
        <v/>
      </c>
      <c r="P2933" s="61" t="str">
        <f aca="false">IF(IsPro,IF($D2933="","",IF(AND(V2933&lt;&gt;"",INDEX(Parties!$E$5:$E$304,V2933)&lt;&gt;"",INDEX(Parties!$E$5:$E$304,V2933)&lt;&gt;HomeState),ROUND(L2933*M2933,2),0)),"")</f>
        <v/>
      </c>
      <c r="Q2933" s="61" t="str">
        <f aca="false">IF(IsPro,IF($D2933="","",L2933+N2933+O2933+P2933),"")</f>
        <v/>
      </c>
      <c r="R2933" s="61" t="str">
        <f aca="false">IF(IsPro,IF($D2933="","",ROUND(N($E2933)*IFERROR(INDEX(Items!$P$5:$P$504,U2933),0),2)),"")</f>
        <v/>
      </c>
      <c r="S2933" s="61" t="str">
        <f aca="false">IF(IsPro,IF($D2933="","",L2933-R2933),"")</f>
        <v/>
      </c>
      <c r="T2933" s="60" t="str">
        <f aca="false">IF(IsPro,IF($D2933="","",IF(U2933="","UNKNOWN ITEM",IF(INDEX(Items!$O$5:$O$504,U2933)&lt;0,"NEG STOCK",IF(K2933&lt;INDEX(Items!$P$5:$P$504,U2933),"BELOW COST","OK")))),IF($D2933="","","PRO PLAN"))</f>
        <v/>
      </c>
      <c r="U2933" s="60" t="str">
        <f aca="false">IF(IsPro,IF($D2933="","",IFERROR(MATCH($D2933,Items!$A$5:$A$504,0),"")),"")</f>
        <v/>
      </c>
      <c r="V2933" s="60" t="str">
        <f aca="false">IF(IsPro,IF($C2933="","",IFERROR(MATCH($C2933,Parties!$A$5:$A$304,0),"")),"")</f>
        <v/>
      </c>
      <c r="W2933" s="60" t="str">
        <f aca="false">IF(IsPro,IF($B2933="","",IFERROR(VALUE(SUBSTITUTE($B2933,InvPrefix,"")),0)),"")</f>
        <v/>
      </c>
      <c r="X2933" s="61" t="str">
        <f aca="false">IF(IsPro,IF($D2933="","",IF(OR($H2933="",$H2933="Credit"),0,Q2933)),"")</f>
        <v/>
      </c>
    </row>
    <row r="2934" customFormat="false" ht="15" hidden="false" customHeight="false" outlineLevel="0" collapsed="false">
      <c r="A2934" s="55"/>
      <c r="B2934" s="56"/>
      <c r="C2934" s="56"/>
      <c r="D2934" s="56"/>
      <c r="E2934" s="57"/>
      <c r="F2934" s="58"/>
      <c r="G2934" s="59"/>
      <c r="H2934" s="56"/>
      <c r="I2934" s="56"/>
      <c r="J2934" s="60" t="str">
        <f aca="false">IF(IsPro,IF($D2934="","",IFERROR(INDEX(Items!$D$5:$D$504,U2934),"")),"")</f>
        <v/>
      </c>
      <c r="K2934" s="61" t="str">
        <f aca="false">IF(IsPro,IF($D2934="","",IF($F2934="",IFERROR(INDEX(Items!$H$5:$H$504,U2934),0),$F2934)),"")</f>
        <v/>
      </c>
      <c r="L2934" s="61" t="str">
        <f aca="false">IF(IsPro,IF($D2934="","",ROUND(N($E2934)*K2934*(1-N($G2934)),2)),"")</f>
        <v/>
      </c>
      <c r="M2934" s="62" t="str">
        <f aca="false">IF(IsPro,IF($D2934="","",IFERROR(INDEX(Items!$F$5:$F$504,U2934),0)),"")</f>
        <v/>
      </c>
      <c r="N2934" s="61" t="str">
        <f aca="false">IF(IsPro,IF($D2934="","",IF(AND(V2934&lt;&gt;"",INDEX(Parties!$E$5:$E$304,V2934)&lt;&gt;"",INDEX(Parties!$E$5:$E$304,V2934)&lt;&gt;HomeState),0,ROUND(L2934*M2934/2,2))),"")</f>
        <v/>
      </c>
      <c r="O2934" s="61" t="str">
        <f aca="false">IF(IsPro,IF($D2934="","",N2934),"")</f>
        <v/>
      </c>
      <c r="P2934" s="61" t="str">
        <f aca="false">IF(IsPro,IF($D2934="","",IF(AND(V2934&lt;&gt;"",INDEX(Parties!$E$5:$E$304,V2934)&lt;&gt;"",INDEX(Parties!$E$5:$E$304,V2934)&lt;&gt;HomeState),ROUND(L2934*M2934,2),0)),"")</f>
        <v/>
      </c>
      <c r="Q2934" s="61" t="str">
        <f aca="false">IF(IsPro,IF($D2934="","",L2934+N2934+O2934+P2934),"")</f>
        <v/>
      </c>
      <c r="R2934" s="61" t="str">
        <f aca="false">IF(IsPro,IF($D2934="","",ROUND(N($E2934)*IFERROR(INDEX(Items!$P$5:$P$504,U2934),0),2)),"")</f>
        <v/>
      </c>
      <c r="S2934" s="61" t="str">
        <f aca="false">IF(IsPro,IF($D2934="","",L2934-R2934),"")</f>
        <v/>
      </c>
      <c r="T2934" s="60" t="str">
        <f aca="false">IF(IsPro,IF($D2934="","",IF(U2934="","UNKNOWN ITEM",IF(INDEX(Items!$O$5:$O$504,U2934)&lt;0,"NEG STOCK",IF(K2934&lt;INDEX(Items!$P$5:$P$504,U2934),"BELOW COST","OK")))),IF($D2934="","","PRO PLAN"))</f>
        <v/>
      </c>
      <c r="U2934" s="60" t="str">
        <f aca="false">IF(IsPro,IF($D2934="","",IFERROR(MATCH($D2934,Items!$A$5:$A$504,0),"")),"")</f>
        <v/>
      </c>
      <c r="V2934" s="60" t="str">
        <f aca="false">IF(IsPro,IF($C2934="","",IFERROR(MATCH($C2934,Parties!$A$5:$A$304,0),"")),"")</f>
        <v/>
      </c>
      <c r="W2934" s="60" t="str">
        <f aca="false">IF(IsPro,IF($B2934="","",IFERROR(VALUE(SUBSTITUTE($B2934,InvPrefix,"")),0)),"")</f>
        <v/>
      </c>
      <c r="X2934" s="61" t="str">
        <f aca="false">IF(IsPro,IF($D2934="","",IF(OR($H2934="",$H2934="Credit"),0,Q2934)),"")</f>
        <v/>
      </c>
    </row>
    <row r="2935" customFormat="false" ht="15" hidden="false" customHeight="false" outlineLevel="0" collapsed="false">
      <c r="A2935" s="55"/>
      <c r="B2935" s="56"/>
      <c r="C2935" s="56"/>
      <c r="D2935" s="56"/>
      <c r="E2935" s="57"/>
      <c r="F2935" s="58"/>
      <c r="G2935" s="59"/>
      <c r="H2935" s="56"/>
      <c r="I2935" s="56"/>
      <c r="J2935" s="60" t="str">
        <f aca="false">IF(IsPro,IF($D2935="","",IFERROR(INDEX(Items!$D$5:$D$504,U2935),"")),"")</f>
        <v/>
      </c>
      <c r="K2935" s="61" t="str">
        <f aca="false">IF(IsPro,IF($D2935="","",IF($F2935="",IFERROR(INDEX(Items!$H$5:$H$504,U2935),0),$F2935)),"")</f>
        <v/>
      </c>
      <c r="L2935" s="61" t="str">
        <f aca="false">IF(IsPro,IF($D2935="","",ROUND(N($E2935)*K2935*(1-N($G2935)),2)),"")</f>
        <v/>
      </c>
      <c r="M2935" s="62" t="str">
        <f aca="false">IF(IsPro,IF($D2935="","",IFERROR(INDEX(Items!$F$5:$F$504,U2935),0)),"")</f>
        <v/>
      </c>
      <c r="N2935" s="61" t="str">
        <f aca="false">IF(IsPro,IF($D2935="","",IF(AND(V2935&lt;&gt;"",INDEX(Parties!$E$5:$E$304,V2935)&lt;&gt;"",INDEX(Parties!$E$5:$E$304,V2935)&lt;&gt;HomeState),0,ROUND(L2935*M2935/2,2))),"")</f>
        <v/>
      </c>
      <c r="O2935" s="61" t="str">
        <f aca="false">IF(IsPro,IF($D2935="","",N2935),"")</f>
        <v/>
      </c>
      <c r="P2935" s="61" t="str">
        <f aca="false">IF(IsPro,IF($D2935="","",IF(AND(V2935&lt;&gt;"",INDEX(Parties!$E$5:$E$304,V2935)&lt;&gt;"",INDEX(Parties!$E$5:$E$304,V2935)&lt;&gt;HomeState),ROUND(L2935*M2935,2),0)),"")</f>
        <v/>
      </c>
      <c r="Q2935" s="61" t="str">
        <f aca="false">IF(IsPro,IF($D2935="","",L2935+N2935+O2935+P2935),"")</f>
        <v/>
      </c>
      <c r="R2935" s="61" t="str">
        <f aca="false">IF(IsPro,IF($D2935="","",ROUND(N($E2935)*IFERROR(INDEX(Items!$P$5:$P$504,U2935),0),2)),"")</f>
        <v/>
      </c>
      <c r="S2935" s="61" t="str">
        <f aca="false">IF(IsPro,IF($D2935="","",L2935-R2935),"")</f>
        <v/>
      </c>
      <c r="T2935" s="60" t="str">
        <f aca="false">IF(IsPro,IF($D2935="","",IF(U2935="","UNKNOWN ITEM",IF(INDEX(Items!$O$5:$O$504,U2935)&lt;0,"NEG STOCK",IF(K2935&lt;INDEX(Items!$P$5:$P$504,U2935),"BELOW COST","OK")))),IF($D2935="","","PRO PLAN"))</f>
        <v/>
      </c>
      <c r="U2935" s="60" t="str">
        <f aca="false">IF(IsPro,IF($D2935="","",IFERROR(MATCH($D2935,Items!$A$5:$A$504,0),"")),"")</f>
        <v/>
      </c>
      <c r="V2935" s="60" t="str">
        <f aca="false">IF(IsPro,IF($C2935="","",IFERROR(MATCH($C2935,Parties!$A$5:$A$304,0),"")),"")</f>
        <v/>
      </c>
      <c r="W2935" s="60" t="str">
        <f aca="false">IF(IsPro,IF($B2935="","",IFERROR(VALUE(SUBSTITUTE($B2935,InvPrefix,"")),0)),"")</f>
        <v/>
      </c>
      <c r="X2935" s="61" t="str">
        <f aca="false">IF(IsPro,IF($D2935="","",IF(OR($H2935="",$H2935="Credit"),0,Q2935)),"")</f>
        <v/>
      </c>
    </row>
    <row r="2936" customFormat="false" ht="15" hidden="false" customHeight="false" outlineLevel="0" collapsed="false">
      <c r="A2936" s="55"/>
      <c r="B2936" s="56"/>
      <c r="C2936" s="56"/>
      <c r="D2936" s="56"/>
      <c r="E2936" s="57"/>
      <c r="F2936" s="58"/>
      <c r="G2936" s="59"/>
      <c r="H2936" s="56"/>
      <c r="I2936" s="56"/>
      <c r="J2936" s="60" t="str">
        <f aca="false">IF(IsPro,IF($D2936="","",IFERROR(INDEX(Items!$D$5:$D$504,U2936),"")),"")</f>
        <v/>
      </c>
      <c r="K2936" s="61" t="str">
        <f aca="false">IF(IsPro,IF($D2936="","",IF($F2936="",IFERROR(INDEX(Items!$H$5:$H$504,U2936),0),$F2936)),"")</f>
        <v/>
      </c>
      <c r="L2936" s="61" t="str">
        <f aca="false">IF(IsPro,IF($D2936="","",ROUND(N($E2936)*K2936*(1-N($G2936)),2)),"")</f>
        <v/>
      </c>
      <c r="M2936" s="62" t="str">
        <f aca="false">IF(IsPro,IF($D2936="","",IFERROR(INDEX(Items!$F$5:$F$504,U2936),0)),"")</f>
        <v/>
      </c>
      <c r="N2936" s="61" t="str">
        <f aca="false">IF(IsPro,IF($D2936="","",IF(AND(V2936&lt;&gt;"",INDEX(Parties!$E$5:$E$304,V2936)&lt;&gt;"",INDEX(Parties!$E$5:$E$304,V2936)&lt;&gt;HomeState),0,ROUND(L2936*M2936/2,2))),"")</f>
        <v/>
      </c>
      <c r="O2936" s="61" t="str">
        <f aca="false">IF(IsPro,IF($D2936="","",N2936),"")</f>
        <v/>
      </c>
      <c r="P2936" s="61" t="str">
        <f aca="false">IF(IsPro,IF($D2936="","",IF(AND(V2936&lt;&gt;"",INDEX(Parties!$E$5:$E$304,V2936)&lt;&gt;"",INDEX(Parties!$E$5:$E$304,V2936)&lt;&gt;HomeState),ROUND(L2936*M2936,2),0)),"")</f>
        <v/>
      </c>
      <c r="Q2936" s="61" t="str">
        <f aca="false">IF(IsPro,IF($D2936="","",L2936+N2936+O2936+P2936),"")</f>
        <v/>
      </c>
      <c r="R2936" s="61" t="str">
        <f aca="false">IF(IsPro,IF($D2936="","",ROUND(N($E2936)*IFERROR(INDEX(Items!$P$5:$P$504,U2936),0),2)),"")</f>
        <v/>
      </c>
      <c r="S2936" s="61" t="str">
        <f aca="false">IF(IsPro,IF($D2936="","",L2936-R2936),"")</f>
        <v/>
      </c>
      <c r="T2936" s="60" t="str">
        <f aca="false">IF(IsPro,IF($D2936="","",IF(U2936="","UNKNOWN ITEM",IF(INDEX(Items!$O$5:$O$504,U2936)&lt;0,"NEG STOCK",IF(K2936&lt;INDEX(Items!$P$5:$P$504,U2936),"BELOW COST","OK")))),IF($D2936="","","PRO PLAN"))</f>
        <v/>
      </c>
      <c r="U2936" s="60" t="str">
        <f aca="false">IF(IsPro,IF($D2936="","",IFERROR(MATCH($D2936,Items!$A$5:$A$504,0),"")),"")</f>
        <v/>
      </c>
      <c r="V2936" s="60" t="str">
        <f aca="false">IF(IsPro,IF($C2936="","",IFERROR(MATCH($C2936,Parties!$A$5:$A$304,0),"")),"")</f>
        <v/>
      </c>
      <c r="W2936" s="60" t="str">
        <f aca="false">IF(IsPro,IF($B2936="","",IFERROR(VALUE(SUBSTITUTE($B2936,InvPrefix,"")),0)),"")</f>
        <v/>
      </c>
      <c r="X2936" s="61" t="str">
        <f aca="false">IF(IsPro,IF($D2936="","",IF(OR($H2936="",$H2936="Credit"),0,Q2936)),"")</f>
        <v/>
      </c>
    </row>
    <row r="2937" customFormat="false" ht="15" hidden="false" customHeight="false" outlineLevel="0" collapsed="false">
      <c r="A2937" s="55"/>
      <c r="B2937" s="56"/>
      <c r="C2937" s="56"/>
      <c r="D2937" s="56"/>
      <c r="E2937" s="57"/>
      <c r="F2937" s="58"/>
      <c r="G2937" s="59"/>
      <c r="H2937" s="56"/>
      <c r="I2937" s="56"/>
      <c r="J2937" s="60" t="str">
        <f aca="false">IF(IsPro,IF($D2937="","",IFERROR(INDEX(Items!$D$5:$D$504,U2937),"")),"")</f>
        <v/>
      </c>
      <c r="K2937" s="61" t="str">
        <f aca="false">IF(IsPro,IF($D2937="","",IF($F2937="",IFERROR(INDEX(Items!$H$5:$H$504,U2937),0),$F2937)),"")</f>
        <v/>
      </c>
      <c r="L2937" s="61" t="str">
        <f aca="false">IF(IsPro,IF($D2937="","",ROUND(N($E2937)*K2937*(1-N($G2937)),2)),"")</f>
        <v/>
      </c>
      <c r="M2937" s="62" t="str">
        <f aca="false">IF(IsPro,IF($D2937="","",IFERROR(INDEX(Items!$F$5:$F$504,U2937),0)),"")</f>
        <v/>
      </c>
      <c r="N2937" s="61" t="str">
        <f aca="false">IF(IsPro,IF($D2937="","",IF(AND(V2937&lt;&gt;"",INDEX(Parties!$E$5:$E$304,V2937)&lt;&gt;"",INDEX(Parties!$E$5:$E$304,V2937)&lt;&gt;HomeState),0,ROUND(L2937*M2937/2,2))),"")</f>
        <v/>
      </c>
      <c r="O2937" s="61" t="str">
        <f aca="false">IF(IsPro,IF($D2937="","",N2937),"")</f>
        <v/>
      </c>
      <c r="P2937" s="61" t="str">
        <f aca="false">IF(IsPro,IF($D2937="","",IF(AND(V2937&lt;&gt;"",INDEX(Parties!$E$5:$E$304,V2937)&lt;&gt;"",INDEX(Parties!$E$5:$E$304,V2937)&lt;&gt;HomeState),ROUND(L2937*M2937,2),0)),"")</f>
        <v/>
      </c>
      <c r="Q2937" s="61" t="str">
        <f aca="false">IF(IsPro,IF($D2937="","",L2937+N2937+O2937+P2937),"")</f>
        <v/>
      </c>
      <c r="R2937" s="61" t="str">
        <f aca="false">IF(IsPro,IF($D2937="","",ROUND(N($E2937)*IFERROR(INDEX(Items!$P$5:$P$504,U2937),0),2)),"")</f>
        <v/>
      </c>
      <c r="S2937" s="61" t="str">
        <f aca="false">IF(IsPro,IF($D2937="","",L2937-R2937),"")</f>
        <v/>
      </c>
      <c r="T2937" s="60" t="str">
        <f aca="false">IF(IsPro,IF($D2937="","",IF(U2937="","UNKNOWN ITEM",IF(INDEX(Items!$O$5:$O$504,U2937)&lt;0,"NEG STOCK",IF(K2937&lt;INDEX(Items!$P$5:$P$504,U2937),"BELOW COST","OK")))),IF($D2937="","","PRO PLAN"))</f>
        <v/>
      </c>
      <c r="U2937" s="60" t="str">
        <f aca="false">IF(IsPro,IF($D2937="","",IFERROR(MATCH($D2937,Items!$A$5:$A$504,0),"")),"")</f>
        <v/>
      </c>
      <c r="V2937" s="60" t="str">
        <f aca="false">IF(IsPro,IF($C2937="","",IFERROR(MATCH($C2937,Parties!$A$5:$A$304,0),"")),"")</f>
        <v/>
      </c>
      <c r="W2937" s="60" t="str">
        <f aca="false">IF(IsPro,IF($B2937="","",IFERROR(VALUE(SUBSTITUTE($B2937,InvPrefix,"")),0)),"")</f>
        <v/>
      </c>
      <c r="X2937" s="61" t="str">
        <f aca="false">IF(IsPro,IF($D2937="","",IF(OR($H2937="",$H2937="Credit"),0,Q2937)),"")</f>
        <v/>
      </c>
    </row>
    <row r="2938" customFormat="false" ht="15" hidden="false" customHeight="false" outlineLevel="0" collapsed="false">
      <c r="A2938" s="55"/>
      <c r="B2938" s="56"/>
      <c r="C2938" s="56"/>
      <c r="D2938" s="56"/>
      <c r="E2938" s="57"/>
      <c r="F2938" s="58"/>
      <c r="G2938" s="59"/>
      <c r="H2938" s="56"/>
      <c r="I2938" s="56"/>
      <c r="J2938" s="60" t="str">
        <f aca="false">IF(IsPro,IF($D2938="","",IFERROR(INDEX(Items!$D$5:$D$504,U2938),"")),"")</f>
        <v/>
      </c>
      <c r="K2938" s="61" t="str">
        <f aca="false">IF(IsPro,IF($D2938="","",IF($F2938="",IFERROR(INDEX(Items!$H$5:$H$504,U2938),0),$F2938)),"")</f>
        <v/>
      </c>
      <c r="L2938" s="61" t="str">
        <f aca="false">IF(IsPro,IF($D2938="","",ROUND(N($E2938)*K2938*(1-N($G2938)),2)),"")</f>
        <v/>
      </c>
      <c r="M2938" s="62" t="str">
        <f aca="false">IF(IsPro,IF($D2938="","",IFERROR(INDEX(Items!$F$5:$F$504,U2938),0)),"")</f>
        <v/>
      </c>
      <c r="N2938" s="61" t="str">
        <f aca="false">IF(IsPro,IF($D2938="","",IF(AND(V2938&lt;&gt;"",INDEX(Parties!$E$5:$E$304,V2938)&lt;&gt;"",INDEX(Parties!$E$5:$E$304,V2938)&lt;&gt;HomeState),0,ROUND(L2938*M2938/2,2))),"")</f>
        <v/>
      </c>
      <c r="O2938" s="61" t="str">
        <f aca="false">IF(IsPro,IF($D2938="","",N2938),"")</f>
        <v/>
      </c>
      <c r="P2938" s="61" t="str">
        <f aca="false">IF(IsPro,IF($D2938="","",IF(AND(V2938&lt;&gt;"",INDEX(Parties!$E$5:$E$304,V2938)&lt;&gt;"",INDEX(Parties!$E$5:$E$304,V2938)&lt;&gt;HomeState),ROUND(L2938*M2938,2),0)),"")</f>
        <v/>
      </c>
      <c r="Q2938" s="61" t="str">
        <f aca="false">IF(IsPro,IF($D2938="","",L2938+N2938+O2938+P2938),"")</f>
        <v/>
      </c>
      <c r="R2938" s="61" t="str">
        <f aca="false">IF(IsPro,IF($D2938="","",ROUND(N($E2938)*IFERROR(INDEX(Items!$P$5:$P$504,U2938),0),2)),"")</f>
        <v/>
      </c>
      <c r="S2938" s="61" t="str">
        <f aca="false">IF(IsPro,IF($D2938="","",L2938-R2938),"")</f>
        <v/>
      </c>
      <c r="T2938" s="60" t="str">
        <f aca="false">IF(IsPro,IF($D2938="","",IF(U2938="","UNKNOWN ITEM",IF(INDEX(Items!$O$5:$O$504,U2938)&lt;0,"NEG STOCK",IF(K2938&lt;INDEX(Items!$P$5:$P$504,U2938),"BELOW COST","OK")))),IF($D2938="","","PRO PLAN"))</f>
        <v/>
      </c>
      <c r="U2938" s="60" t="str">
        <f aca="false">IF(IsPro,IF($D2938="","",IFERROR(MATCH($D2938,Items!$A$5:$A$504,0),"")),"")</f>
        <v/>
      </c>
      <c r="V2938" s="60" t="str">
        <f aca="false">IF(IsPro,IF($C2938="","",IFERROR(MATCH($C2938,Parties!$A$5:$A$304,0),"")),"")</f>
        <v/>
      </c>
      <c r="W2938" s="60" t="str">
        <f aca="false">IF(IsPro,IF($B2938="","",IFERROR(VALUE(SUBSTITUTE($B2938,InvPrefix,"")),0)),"")</f>
        <v/>
      </c>
      <c r="X2938" s="61" t="str">
        <f aca="false">IF(IsPro,IF($D2938="","",IF(OR($H2938="",$H2938="Credit"),0,Q2938)),"")</f>
        <v/>
      </c>
    </row>
    <row r="2939" customFormat="false" ht="15" hidden="false" customHeight="false" outlineLevel="0" collapsed="false">
      <c r="A2939" s="55"/>
      <c r="B2939" s="56"/>
      <c r="C2939" s="56"/>
      <c r="D2939" s="56"/>
      <c r="E2939" s="57"/>
      <c r="F2939" s="58"/>
      <c r="G2939" s="59"/>
      <c r="H2939" s="56"/>
      <c r="I2939" s="56"/>
      <c r="J2939" s="60" t="str">
        <f aca="false">IF(IsPro,IF($D2939="","",IFERROR(INDEX(Items!$D$5:$D$504,U2939),"")),"")</f>
        <v/>
      </c>
      <c r="K2939" s="61" t="str">
        <f aca="false">IF(IsPro,IF($D2939="","",IF($F2939="",IFERROR(INDEX(Items!$H$5:$H$504,U2939),0),$F2939)),"")</f>
        <v/>
      </c>
      <c r="L2939" s="61" t="str">
        <f aca="false">IF(IsPro,IF($D2939="","",ROUND(N($E2939)*K2939*(1-N($G2939)),2)),"")</f>
        <v/>
      </c>
      <c r="M2939" s="62" t="str">
        <f aca="false">IF(IsPro,IF($D2939="","",IFERROR(INDEX(Items!$F$5:$F$504,U2939),0)),"")</f>
        <v/>
      </c>
      <c r="N2939" s="61" t="str">
        <f aca="false">IF(IsPro,IF($D2939="","",IF(AND(V2939&lt;&gt;"",INDEX(Parties!$E$5:$E$304,V2939)&lt;&gt;"",INDEX(Parties!$E$5:$E$304,V2939)&lt;&gt;HomeState),0,ROUND(L2939*M2939/2,2))),"")</f>
        <v/>
      </c>
      <c r="O2939" s="61" t="str">
        <f aca="false">IF(IsPro,IF($D2939="","",N2939),"")</f>
        <v/>
      </c>
      <c r="P2939" s="61" t="str">
        <f aca="false">IF(IsPro,IF($D2939="","",IF(AND(V2939&lt;&gt;"",INDEX(Parties!$E$5:$E$304,V2939)&lt;&gt;"",INDEX(Parties!$E$5:$E$304,V2939)&lt;&gt;HomeState),ROUND(L2939*M2939,2),0)),"")</f>
        <v/>
      </c>
      <c r="Q2939" s="61" t="str">
        <f aca="false">IF(IsPro,IF($D2939="","",L2939+N2939+O2939+P2939),"")</f>
        <v/>
      </c>
      <c r="R2939" s="61" t="str">
        <f aca="false">IF(IsPro,IF($D2939="","",ROUND(N($E2939)*IFERROR(INDEX(Items!$P$5:$P$504,U2939),0),2)),"")</f>
        <v/>
      </c>
      <c r="S2939" s="61" t="str">
        <f aca="false">IF(IsPro,IF($D2939="","",L2939-R2939),"")</f>
        <v/>
      </c>
      <c r="T2939" s="60" t="str">
        <f aca="false">IF(IsPro,IF($D2939="","",IF(U2939="","UNKNOWN ITEM",IF(INDEX(Items!$O$5:$O$504,U2939)&lt;0,"NEG STOCK",IF(K2939&lt;INDEX(Items!$P$5:$P$504,U2939),"BELOW COST","OK")))),IF($D2939="","","PRO PLAN"))</f>
        <v/>
      </c>
      <c r="U2939" s="60" t="str">
        <f aca="false">IF(IsPro,IF($D2939="","",IFERROR(MATCH($D2939,Items!$A$5:$A$504,0),"")),"")</f>
        <v/>
      </c>
      <c r="V2939" s="60" t="str">
        <f aca="false">IF(IsPro,IF($C2939="","",IFERROR(MATCH($C2939,Parties!$A$5:$A$304,0),"")),"")</f>
        <v/>
      </c>
      <c r="W2939" s="60" t="str">
        <f aca="false">IF(IsPro,IF($B2939="","",IFERROR(VALUE(SUBSTITUTE($B2939,InvPrefix,"")),0)),"")</f>
        <v/>
      </c>
      <c r="X2939" s="61" t="str">
        <f aca="false">IF(IsPro,IF($D2939="","",IF(OR($H2939="",$H2939="Credit"),0,Q2939)),"")</f>
        <v/>
      </c>
    </row>
    <row r="2940" customFormat="false" ht="15" hidden="false" customHeight="false" outlineLevel="0" collapsed="false">
      <c r="A2940" s="55"/>
      <c r="B2940" s="56"/>
      <c r="C2940" s="56"/>
      <c r="D2940" s="56"/>
      <c r="E2940" s="57"/>
      <c r="F2940" s="58"/>
      <c r="G2940" s="59"/>
      <c r="H2940" s="56"/>
      <c r="I2940" s="56"/>
      <c r="J2940" s="60" t="str">
        <f aca="false">IF(IsPro,IF($D2940="","",IFERROR(INDEX(Items!$D$5:$D$504,U2940),"")),"")</f>
        <v/>
      </c>
      <c r="K2940" s="61" t="str">
        <f aca="false">IF(IsPro,IF($D2940="","",IF($F2940="",IFERROR(INDEX(Items!$H$5:$H$504,U2940),0),$F2940)),"")</f>
        <v/>
      </c>
      <c r="L2940" s="61" t="str">
        <f aca="false">IF(IsPro,IF($D2940="","",ROUND(N($E2940)*K2940*(1-N($G2940)),2)),"")</f>
        <v/>
      </c>
      <c r="M2940" s="62" t="str">
        <f aca="false">IF(IsPro,IF($D2940="","",IFERROR(INDEX(Items!$F$5:$F$504,U2940),0)),"")</f>
        <v/>
      </c>
      <c r="N2940" s="61" t="str">
        <f aca="false">IF(IsPro,IF($D2940="","",IF(AND(V2940&lt;&gt;"",INDEX(Parties!$E$5:$E$304,V2940)&lt;&gt;"",INDEX(Parties!$E$5:$E$304,V2940)&lt;&gt;HomeState),0,ROUND(L2940*M2940/2,2))),"")</f>
        <v/>
      </c>
      <c r="O2940" s="61" t="str">
        <f aca="false">IF(IsPro,IF($D2940="","",N2940),"")</f>
        <v/>
      </c>
      <c r="P2940" s="61" t="str">
        <f aca="false">IF(IsPro,IF($D2940="","",IF(AND(V2940&lt;&gt;"",INDEX(Parties!$E$5:$E$304,V2940)&lt;&gt;"",INDEX(Parties!$E$5:$E$304,V2940)&lt;&gt;HomeState),ROUND(L2940*M2940,2),0)),"")</f>
        <v/>
      </c>
      <c r="Q2940" s="61" t="str">
        <f aca="false">IF(IsPro,IF($D2940="","",L2940+N2940+O2940+P2940),"")</f>
        <v/>
      </c>
      <c r="R2940" s="61" t="str">
        <f aca="false">IF(IsPro,IF($D2940="","",ROUND(N($E2940)*IFERROR(INDEX(Items!$P$5:$P$504,U2940),0),2)),"")</f>
        <v/>
      </c>
      <c r="S2940" s="61" t="str">
        <f aca="false">IF(IsPro,IF($D2940="","",L2940-R2940),"")</f>
        <v/>
      </c>
      <c r="T2940" s="60" t="str">
        <f aca="false">IF(IsPro,IF($D2940="","",IF(U2940="","UNKNOWN ITEM",IF(INDEX(Items!$O$5:$O$504,U2940)&lt;0,"NEG STOCK",IF(K2940&lt;INDEX(Items!$P$5:$P$504,U2940),"BELOW COST","OK")))),IF($D2940="","","PRO PLAN"))</f>
        <v/>
      </c>
      <c r="U2940" s="60" t="str">
        <f aca="false">IF(IsPro,IF($D2940="","",IFERROR(MATCH($D2940,Items!$A$5:$A$504,0),"")),"")</f>
        <v/>
      </c>
      <c r="V2940" s="60" t="str">
        <f aca="false">IF(IsPro,IF($C2940="","",IFERROR(MATCH($C2940,Parties!$A$5:$A$304,0),"")),"")</f>
        <v/>
      </c>
      <c r="W2940" s="60" t="str">
        <f aca="false">IF(IsPro,IF($B2940="","",IFERROR(VALUE(SUBSTITUTE($B2940,InvPrefix,"")),0)),"")</f>
        <v/>
      </c>
      <c r="X2940" s="61" t="str">
        <f aca="false">IF(IsPro,IF($D2940="","",IF(OR($H2940="",$H2940="Credit"),0,Q2940)),"")</f>
        <v/>
      </c>
    </row>
    <row r="2941" customFormat="false" ht="15" hidden="false" customHeight="false" outlineLevel="0" collapsed="false">
      <c r="A2941" s="55"/>
      <c r="B2941" s="56"/>
      <c r="C2941" s="56"/>
      <c r="D2941" s="56"/>
      <c r="E2941" s="57"/>
      <c r="F2941" s="58"/>
      <c r="G2941" s="59"/>
      <c r="H2941" s="56"/>
      <c r="I2941" s="56"/>
      <c r="J2941" s="60" t="str">
        <f aca="false">IF(IsPro,IF($D2941="","",IFERROR(INDEX(Items!$D$5:$D$504,U2941),"")),"")</f>
        <v/>
      </c>
      <c r="K2941" s="61" t="str">
        <f aca="false">IF(IsPro,IF($D2941="","",IF($F2941="",IFERROR(INDEX(Items!$H$5:$H$504,U2941),0),$F2941)),"")</f>
        <v/>
      </c>
      <c r="L2941" s="61" t="str">
        <f aca="false">IF(IsPro,IF($D2941="","",ROUND(N($E2941)*K2941*(1-N($G2941)),2)),"")</f>
        <v/>
      </c>
      <c r="M2941" s="62" t="str">
        <f aca="false">IF(IsPro,IF($D2941="","",IFERROR(INDEX(Items!$F$5:$F$504,U2941),0)),"")</f>
        <v/>
      </c>
      <c r="N2941" s="61" t="str">
        <f aca="false">IF(IsPro,IF($D2941="","",IF(AND(V2941&lt;&gt;"",INDEX(Parties!$E$5:$E$304,V2941)&lt;&gt;"",INDEX(Parties!$E$5:$E$304,V2941)&lt;&gt;HomeState),0,ROUND(L2941*M2941/2,2))),"")</f>
        <v/>
      </c>
      <c r="O2941" s="61" t="str">
        <f aca="false">IF(IsPro,IF($D2941="","",N2941),"")</f>
        <v/>
      </c>
      <c r="P2941" s="61" t="str">
        <f aca="false">IF(IsPro,IF($D2941="","",IF(AND(V2941&lt;&gt;"",INDEX(Parties!$E$5:$E$304,V2941)&lt;&gt;"",INDEX(Parties!$E$5:$E$304,V2941)&lt;&gt;HomeState),ROUND(L2941*M2941,2),0)),"")</f>
        <v/>
      </c>
      <c r="Q2941" s="61" t="str">
        <f aca="false">IF(IsPro,IF($D2941="","",L2941+N2941+O2941+P2941),"")</f>
        <v/>
      </c>
      <c r="R2941" s="61" t="str">
        <f aca="false">IF(IsPro,IF($D2941="","",ROUND(N($E2941)*IFERROR(INDEX(Items!$P$5:$P$504,U2941),0),2)),"")</f>
        <v/>
      </c>
      <c r="S2941" s="61" t="str">
        <f aca="false">IF(IsPro,IF($D2941="","",L2941-R2941),"")</f>
        <v/>
      </c>
      <c r="T2941" s="60" t="str">
        <f aca="false">IF(IsPro,IF($D2941="","",IF(U2941="","UNKNOWN ITEM",IF(INDEX(Items!$O$5:$O$504,U2941)&lt;0,"NEG STOCK",IF(K2941&lt;INDEX(Items!$P$5:$P$504,U2941),"BELOW COST","OK")))),IF($D2941="","","PRO PLAN"))</f>
        <v/>
      </c>
      <c r="U2941" s="60" t="str">
        <f aca="false">IF(IsPro,IF($D2941="","",IFERROR(MATCH($D2941,Items!$A$5:$A$504,0),"")),"")</f>
        <v/>
      </c>
      <c r="V2941" s="60" t="str">
        <f aca="false">IF(IsPro,IF($C2941="","",IFERROR(MATCH($C2941,Parties!$A$5:$A$304,0),"")),"")</f>
        <v/>
      </c>
      <c r="W2941" s="60" t="str">
        <f aca="false">IF(IsPro,IF($B2941="","",IFERROR(VALUE(SUBSTITUTE($B2941,InvPrefix,"")),0)),"")</f>
        <v/>
      </c>
      <c r="X2941" s="61" t="str">
        <f aca="false">IF(IsPro,IF($D2941="","",IF(OR($H2941="",$H2941="Credit"),0,Q2941)),"")</f>
        <v/>
      </c>
    </row>
    <row r="2942" customFormat="false" ht="15" hidden="false" customHeight="false" outlineLevel="0" collapsed="false">
      <c r="A2942" s="55"/>
      <c r="B2942" s="56"/>
      <c r="C2942" s="56"/>
      <c r="D2942" s="56"/>
      <c r="E2942" s="57"/>
      <c r="F2942" s="58"/>
      <c r="G2942" s="59"/>
      <c r="H2942" s="56"/>
      <c r="I2942" s="56"/>
      <c r="J2942" s="60" t="str">
        <f aca="false">IF(IsPro,IF($D2942="","",IFERROR(INDEX(Items!$D$5:$D$504,U2942),"")),"")</f>
        <v/>
      </c>
      <c r="K2942" s="61" t="str">
        <f aca="false">IF(IsPro,IF($D2942="","",IF($F2942="",IFERROR(INDEX(Items!$H$5:$H$504,U2942),0),$F2942)),"")</f>
        <v/>
      </c>
      <c r="L2942" s="61" t="str">
        <f aca="false">IF(IsPro,IF($D2942="","",ROUND(N($E2942)*K2942*(1-N($G2942)),2)),"")</f>
        <v/>
      </c>
      <c r="M2942" s="62" t="str">
        <f aca="false">IF(IsPro,IF($D2942="","",IFERROR(INDEX(Items!$F$5:$F$504,U2942),0)),"")</f>
        <v/>
      </c>
      <c r="N2942" s="61" t="str">
        <f aca="false">IF(IsPro,IF($D2942="","",IF(AND(V2942&lt;&gt;"",INDEX(Parties!$E$5:$E$304,V2942)&lt;&gt;"",INDEX(Parties!$E$5:$E$304,V2942)&lt;&gt;HomeState),0,ROUND(L2942*M2942/2,2))),"")</f>
        <v/>
      </c>
      <c r="O2942" s="61" t="str">
        <f aca="false">IF(IsPro,IF($D2942="","",N2942),"")</f>
        <v/>
      </c>
      <c r="P2942" s="61" t="str">
        <f aca="false">IF(IsPro,IF($D2942="","",IF(AND(V2942&lt;&gt;"",INDEX(Parties!$E$5:$E$304,V2942)&lt;&gt;"",INDEX(Parties!$E$5:$E$304,V2942)&lt;&gt;HomeState),ROUND(L2942*M2942,2),0)),"")</f>
        <v/>
      </c>
      <c r="Q2942" s="61" t="str">
        <f aca="false">IF(IsPro,IF($D2942="","",L2942+N2942+O2942+P2942),"")</f>
        <v/>
      </c>
      <c r="R2942" s="61" t="str">
        <f aca="false">IF(IsPro,IF($D2942="","",ROUND(N($E2942)*IFERROR(INDEX(Items!$P$5:$P$504,U2942),0),2)),"")</f>
        <v/>
      </c>
      <c r="S2942" s="61" t="str">
        <f aca="false">IF(IsPro,IF($D2942="","",L2942-R2942),"")</f>
        <v/>
      </c>
      <c r="T2942" s="60" t="str">
        <f aca="false">IF(IsPro,IF($D2942="","",IF(U2942="","UNKNOWN ITEM",IF(INDEX(Items!$O$5:$O$504,U2942)&lt;0,"NEG STOCK",IF(K2942&lt;INDEX(Items!$P$5:$P$504,U2942),"BELOW COST","OK")))),IF($D2942="","","PRO PLAN"))</f>
        <v/>
      </c>
      <c r="U2942" s="60" t="str">
        <f aca="false">IF(IsPro,IF($D2942="","",IFERROR(MATCH($D2942,Items!$A$5:$A$504,0),"")),"")</f>
        <v/>
      </c>
      <c r="V2942" s="60" t="str">
        <f aca="false">IF(IsPro,IF($C2942="","",IFERROR(MATCH($C2942,Parties!$A$5:$A$304,0),"")),"")</f>
        <v/>
      </c>
      <c r="W2942" s="60" t="str">
        <f aca="false">IF(IsPro,IF($B2942="","",IFERROR(VALUE(SUBSTITUTE($B2942,InvPrefix,"")),0)),"")</f>
        <v/>
      </c>
      <c r="X2942" s="61" t="str">
        <f aca="false">IF(IsPro,IF($D2942="","",IF(OR($H2942="",$H2942="Credit"),0,Q2942)),"")</f>
        <v/>
      </c>
    </row>
    <row r="2943" customFormat="false" ht="15" hidden="false" customHeight="false" outlineLevel="0" collapsed="false">
      <c r="A2943" s="55"/>
      <c r="B2943" s="56"/>
      <c r="C2943" s="56"/>
      <c r="D2943" s="56"/>
      <c r="E2943" s="57"/>
      <c r="F2943" s="58"/>
      <c r="G2943" s="59"/>
      <c r="H2943" s="56"/>
      <c r="I2943" s="56"/>
      <c r="J2943" s="60" t="str">
        <f aca="false">IF(IsPro,IF($D2943="","",IFERROR(INDEX(Items!$D$5:$D$504,U2943),"")),"")</f>
        <v/>
      </c>
      <c r="K2943" s="61" t="str">
        <f aca="false">IF(IsPro,IF($D2943="","",IF($F2943="",IFERROR(INDEX(Items!$H$5:$H$504,U2943),0),$F2943)),"")</f>
        <v/>
      </c>
      <c r="L2943" s="61" t="str">
        <f aca="false">IF(IsPro,IF($D2943="","",ROUND(N($E2943)*K2943*(1-N($G2943)),2)),"")</f>
        <v/>
      </c>
      <c r="M2943" s="62" t="str">
        <f aca="false">IF(IsPro,IF($D2943="","",IFERROR(INDEX(Items!$F$5:$F$504,U2943),0)),"")</f>
        <v/>
      </c>
      <c r="N2943" s="61" t="str">
        <f aca="false">IF(IsPro,IF($D2943="","",IF(AND(V2943&lt;&gt;"",INDEX(Parties!$E$5:$E$304,V2943)&lt;&gt;"",INDEX(Parties!$E$5:$E$304,V2943)&lt;&gt;HomeState),0,ROUND(L2943*M2943/2,2))),"")</f>
        <v/>
      </c>
      <c r="O2943" s="61" t="str">
        <f aca="false">IF(IsPro,IF($D2943="","",N2943),"")</f>
        <v/>
      </c>
      <c r="P2943" s="61" t="str">
        <f aca="false">IF(IsPro,IF($D2943="","",IF(AND(V2943&lt;&gt;"",INDEX(Parties!$E$5:$E$304,V2943)&lt;&gt;"",INDEX(Parties!$E$5:$E$304,V2943)&lt;&gt;HomeState),ROUND(L2943*M2943,2),0)),"")</f>
        <v/>
      </c>
      <c r="Q2943" s="61" t="str">
        <f aca="false">IF(IsPro,IF($D2943="","",L2943+N2943+O2943+P2943),"")</f>
        <v/>
      </c>
      <c r="R2943" s="61" t="str">
        <f aca="false">IF(IsPro,IF($D2943="","",ROUND(N($E2943)*IFERROR(INDEX(Items!$P$5:$P$504,U2943),0),2)),"")</f>
        <v/>
      </c>
      <c r="S2943" s="61" t="str">
        <f aca="false">IF(IsPro,IF($D2943="","",L2943-R2943),"")</f>
        <v/>
      </c>
      <c r="T2943" s="60" t="str">
        <f aca="false">IF(IsPro,IF($D2943="","",IF(U2943="","UNKNOWN ITEM",IF(INDEX(Items!$O$5:$O$504,U2943)&lt;0,"NEG STOCK",IF(K2943&lt;INDEX(Items!$P$5:$P$504,U2943),"BELOW COST","OK")))),IF($D2943="","","PRO PLAN"))</f>
        <v/>
      </c>
      <c r="U2943" s="60" t="str">
        <f aca="false">IF(IsPro,IF($D2943="","",IFERROR(MATCH($D2943,Items!$A$5:$A$504,0),"")),"")</f>
        <v/>
      </c>
      <c r="V2943" s="60" t="str">
        <f aca="false">IF(IsPro,IF($C2943="","",IFERROR(MATCH($C2943,Parties!$A$5:$A$304,0),"")),"")</f>
        <v/>
      </c>
      <c r="W2943" s="60" t="str">
        <f aca="false">IF(IsPro,IF($B2943="","",IFERROR(VALUE(SUBSTITUTE($B2943,InvPrefix,"")),0)),"")</f>
        <v/>
      </c>
      <c r="X2943" s="61" t="str">
        <f aca="false">IF(IsPro,IF($D2943="","",IF(OR($H2943="",$H2943="Credit"),0,Q2943)),"")</f>
        <v/>
      </c>
    </row>
    <row r="2944" customFormat="false" ht="15" hidden="false" customHeight="false" outlineLevel="0" collapsed="false">
      <c r="A2944" s="55"/>
      <c r="B2944" s="56"/>
      <c r="C2944" s="56"/>
      <c r="D2944" s="56"/>
      <c r="E2944" s="57"/>
      <c r="F2944" s="58"/>
      <c r="G2944" s="59"/>
      <c r="H2944" s="56"/>
      <c r="I2944" s="56"/>
      <c r="J2944" s="60" t="str">
        <f aca="false">IF(IsPro,IF($D2944="","",IFERROR(INDEX(Items!$D$5:$D$504,U2944),"")),"")</f>
        <v/>
      </c>
      <c r="K2944" s="61" t="str">
        <f aca="false">IF(IsPro,IF($D2944="","",IF($F2944="",IFERROR(INDEX(Items!$H$5:$H$504,U2944),0),$F2944)),"")</f>
        <v/>
      </c>
      <c r="L2944" s="61" t="str">
        <f aca="false">IF(IsPro,IF($D2944="","",ROUND(N($E2944)*K2944*(1-N($G2944)),2)),"")</f>
        <v/>
      </c>
      <c r="M2944" s="62" t="str">
        <f aca="false">IF(IsPro,IF($D2944="","",IFERROR(INDEX(Items!$F$5:$F$504,U2944),0)),"")</f>
        <v/>
      </c>
      <c r="N2944" s="61" t="str">
        <f aca="false">IF(IsPro,IF($D2944="","",IF(AND(V2944&lt;&gt;"",INDEX(Parties!$E$5:$E$304,V2944)&lt;&gt;"",INDEX(Parties!$E$5:$E$304,V2944)&lt;&gt;HomeState),0,ROUND(L2944*M2944/2,2))),"")</f>
        <v/>
      </c>
      <c r="O2944" s="61" t="str">
        <f aca="false">IF(IsPro,IF($D2944="","",N2944),"")</f>
        <v/>
      </c>
      <c r="P2944" s="61" t="str">
        <f aca="false">IF(IsPro,IF($D2944="","",IF(AND(V2944&lt;&gt;"",INDEX(Parties!$E$5:$E$304,V2944)&lt;&gt;"",INDEX(Parties!$E$5:$E$304,V2944)&lt;&gt;HomeState),ROUND(L2944*M2944,2),0)),"")</f>
        <v/>
      </c>
      <c r="Q2944" s="61" t="str">
        <f aca="false">IF(IsPro,IF($D2944="","",L2944+N2944+O2944+P2944),"")</f>
        <v/>
      </c>
      <c r="R2944" s="61" t="str">
        <f aca="false">IF(IsPro,IF($D2944="","",ROUND(N($E2944)*IFERROR(INDEX(Items!$P$5:$P$504,U2944),0),2)),"")</f>
        <v/>
      </c>
      <c r="S2944" s="61" t="str">
        <f aca="false">IF(IsPro,IF($D2944="","",L2944-R2944),"")</f>
        <v/>
      </c>
      <c r="T2944" s="60" t="str">
        <f aca="false">IF(IsPro,IF($D2944="","",IF(U2944="","UNKNOWN ITEM",IF(INDEX(Items!$O$5:$O$504,U2944)&lt;0,"NEG STOCK",IF(K2944&lt;INDEX(Items!$P$5:$P$504,U2944),"BELOW COST","OK")))),IF($D2944="","","PRO PLAN"))</f>
        <v/>
      </c>
      <c r="U2944" s="60" t="str">
        <f aca="false">IF(IsPro,IF($D2944="","",IFERROR(MATCH($D2944,Items!$A$5:$A$504,0),"")),"")</f>
        <v/>
      </c>
      <c r="V2944" s="60" t="str">
        <f aca="false">IF(IsPro,IF($C2944="","",IFERROR(MATCH($C2944,Parties!$A$5:$A$304,0),"")),"")</f>
        <v/>
      </c>
      <c r="W2944" s="60" t="str">
        <f aca="false">IF(IsPro,IF($B2944="","",IFERROR(VALUE(SUBSTITUTE($B2944,InvPrefix,"")),0)),"")</f>
        <v/>
      </c>
      <c r="X2944" s="61" t="str">
        <f aca="false">IF(IsPro,IF($D2944="","",IF(OR($H2944="",$H2944="Credit"),0,Q2944)),"")</f>
        <v/>
      </c>
    </row>
    <row r="2945" customFormat="false" ht="15" hidden="false" customHeight="false" outlineLevel="0" collapsed="false">
      <c r="A2945" s="55"/>
      <c r="B2945" s="56"/>
      <c r="C2945" s="56"/>
      <c r="D2945" s="56"/>
      <c r="E2945" s="57"/>
      <c r="F2945" s="58"/>
      <c r="G2945" s="59"/>
      <c r="H2945" s="56"/>
      <c r="I2945" s="56"/>
      <c r="J2945" s="60" t="str">
        <f aca="false">IF(IsPro,IF($D2945="","",IFERROR(INDEX(Items!$D$5:$D$504,U2945),"")),"")</f>
        <v/>
      </c>
      <c r="K2945" s="61" t="str">
        <f aca="false">IF(IsPro,IF($D2945="","",IF($F2945="",IFERROR(INDEX(Items!$H$5:$H$504,U2945),0),$F2945)),"")</f>
        <v/>
      </c>
      <c r="L2945" s="61" t="str">
        <f aca="false">IF(IsPro,IF($D2945="","",ROUND(N($E2945)*K2945*(1-N($G2945)),2)),"")</f>
        <v/>
      </c>
      <c r="M2945" s="62" t="str">
        <f aca="false">IF(IsPro,IF($D2945="","",IFERROR(INDEX(Items!$F$5:$F$504,U2945),0)),"")</f>
        <v/>
      </c>
      <c r="N2945" s="61" t="str">
        <f aca="false">IF(IsPro,IF($D2945="","",IF(AND(V2945&lt;&gt;"",INDEX(Parties!$E$5:$E$304,V2945)&lt;&gt;"",INDEX(Parties!$E$5:$E$304,V2945)&lt;&gt;HomeState),0,ROUND(L2945*M2945/2,2))),"")</f>
        <v/>
      </c>
      <c r="O2945" s="61" t="str">
        <f aca="false">IF(IsPro,IF($D2945="","",N2945),"")</f>
        <v/>
      </c>
      <c r="P2945" s="61" t="str">
        <f aca="false">IF(IsPro,IF($D2945="","",IF(AND(V2945&lt;&gt;"",INDEX(Parties!$E$5:$E$304,V2945)&lt;&gt;"",INDEX(Parties!$E$5:$E$304,V2945)&lt;&gt;HomeState),ROUND(L2945*M2945,2),0)),"")</f>
        <v/>
      </c>
      <c r="Q2945" s="61" t="str">
        <f aca="false">IF(IsPro,IF($D2945="","",L2945+N2945+O2945+P2945),"")</f>
        <v/>
      </c>
      <c r="R2945" s="61" t="str">
        <f aca="false">IF(IsPro,IF($D2945="","",ROUND(N($E2945)*IFERROR(INDEX(Items!$P$5:$P$504,U2945),0),2)),"")</f>
        <v/>
      </c>
      <c r="S2945" s="61" t="str">
        <f aca="false">IF(IsPro,IF($D2945="","",L2945-R2945),"")</f>
        <v/>
      </c>
      <c r="T2945" s="60" t="str">
        <f aca="false">IF(IsPro,IF($D2945="","",IF(U2945="","UNKNOWN ITEM",IF(INDEX(Items!$O$5:$O$504,U2945)&lt;0,"NEG STOCK",IF(K2945&lt;INDEX(Items!$P$5:$P$504,U2945),"BELOW COST","OK")))),IF($D2945="","","PRO PLAN"))</f>
        <v/>
      </c>
      <c r="U2945" s="60" t="str">
        <f aca="false">IF(IsPro,IF($D2945="","",IFERROR(MATCH($D2945,Items!$A$5:$A$504,0),"")),"")</f>
        <v/>
      </c>
      <c r="V2945" s="60" t="str">
        <f aca="false">IF(IsPro,IF($C2945="","",IFERROR(MATCH($C2945,Parties!$A$5:$A$304,0),"")),"")</f>
        <v/>
      </c>
      <c r="W2945" s="60" t="str">
        <f aca="false">IF(IsPro,IF($B2945="","",IFERROR(VALUE(SUBSTITUTE($B2945,InvPrefix,"")),0)),"")</f>
        <v/>
      </c>
      <c r="X2945" s="61" t="str">
        <f aca="false">IF(IsPro,IF($D2945="","",IF(OR($H2945="",$H2945="Credit"),0,Q2945)),"")</f>
        <v/>
      </c>
    </row>
    <row r="2946" customFormat="false" ht="15" hidden="false" customHeight="false" outlineLevel="0" collapsed="false">
      <c r="A2946" s="55"/>
      <c r="B2946" s="56"/>
      <c r="C2946" s="56"/>
      <c r="D2946" s="56"/>
      <c r="E2946" s="57"/>
      <c r="F2946" s="58"/>
      <c r="G2946" s="59"/>
      <c r="H2946" s="56"/>
      <c r="I2946" s="56"/>
      <c r="J2946" s="60" t="str">
        <f aca="false">IF(IsPro,IF($D2946="","",IFERROR(INDEX(Items!$D$5:$D$504,U2946),"")),"")</f>
        <v/>
      </c>
      <c r="K2946" s="61" t="str">
        <f aca="false">IF(IsPro,IF($D2946="","",IF($F2946="",IFERROR(INDEX(Items!$H$5:$H$504,U2946),0),$F2946)),"")</f>
        <v/>
      </c>
      <c r="L2946" s="61" t="str">
        <f aca="false">IF(IsPro,IF($D2946="","",ROUND(N($E2946)*K2946*(1-N($G2946)),2)),"")</f>
        <v/>
      </c>
      <c r="M2946" s="62" t="str">
        <f aca="false">IF(IsPro,IF($D2946="","",IFERROR(INDEX(Items!$F$5:$F$504,U2946),0)),"")</f>
        <v/>
      </c>
      <c r="N2946" s="61" t="str">
        <f aca="false">IF(IsPro,IF($D2946="","",IF(AND(V2946&lt;&gt;"",INDEX(Parties!$E$5:$E$304,V2946)&lt;&gt;"",INDEX(Parties!$E$5:$E$304,V2946)&lt;&gt;HomeState),0,ROUND(L2946*M2946/2,2))),"")</f>
        <v/>
      </c>
      <c r="O2946" s="61" t="str">
        <f aca="false">IF(IsPro,IF($D2946="","",N2946),"")</f>
        <v/>
      </c>
      <c r="P2946" s="61" t="str">
        <f aca="false">IF(IsPro,IF($D2946="","",IF(AND(V2946&lt;&gt;"",INDEX(Parties!$E$5:$E$304,V2946)&lt;&gt;"",INDEX(Parties!$E$5:$E$304,V2946)&lt;&gt;HomeState),ROUND(L2946*M2946,2),0)),"")</f>
        <v/>
      </c>
      <c r="Q2946" s="61" t="str">
        <f aca="false">IF(IsPro,IF($D2946="","",L2946+N2946+O2946+P2946),"")</f>
        <v/>
      </c>
      <c r="R2946" s="61" t="str">
        <f aca="false">IF(IsPro,IF($D2946="","",ROUND(N($E2946)*IFERROR(INDEX(Items!$P$5:$P$504,U2946),0),2)),"")</f>
        <v/>
      </c>
      <c r="S2946" s="61" t="str">
        <f aca="false">IF(IsPro,IF($D2946="","",L2946-R2946),"")</f>
        <v/>
      </c>
      <c r="T2946" s="60" t="str">
        <f aca="false">IF(IsPro,IF($D2946="","",IF(U2946="","UNKNOWN ITEM",IF(INDEX(Items!$O$5:$O$504,U2946)&lt;0,"NEG STOCK",IF(K2946&lt;INDEX(Items!$P$5:$P$504,U2946),"BELOW COST","OK")))),IF($D2946="","","PRO PLAN"))</f>
        <v/>
      </c>
      <c r="U2946" s="60" t="str">
        <f aca="false">IF(IsPro,IF($D2946="","",IFERROR(MATCH($D2946,Items!$A$5:$A$504,0),"")),"")</f>
        <v/>
      </c>
      <c r="V2946" s="60" t="str">
        <f aca="false">IF(IsPro,IF($C2946="","",IFERROR(MATCH($C2946,Parties!$A$5:$A$304,0),"")),"")</f>
        <v/>
      </c>
      <c r="W2946" s="60" t="str">
        <f aca="false">IF(IsPro,IF($B2946="","",IFERROR(VALUE(SUBSTITUTE($B2946,InvPrefix,"")),0)),"")</f>
        <v/>
      </c>
      <c r="X2946" s="61" t="str">
        <f aca="false">IF(IsPro,IF($D2946="","",IF(OR($H2946="",$H2946="Credit"),0,Q2946)),"")</f>
        <v/>
      </c>
    </row>
    <row r="2947" customFormat="false" ht="15" hidden="false" customHeight="false" outlineLevel="0" collapsed="false">
      <c r="A2947" s="55"/>
      <c r="B2947" s="56"/>
      <c r="C2947" s="56"/>
      <c r="D2947" s="56"/>
      <c r="E2947" s="57"/>
      <c r="F2947" s="58"/>
      <c r="G2947" s="59"/>
      <c r="H2947" s="56"/>
      <c r="I2947" s="56"/>
      <c r="J2947" s="60" t="str">
        <f aca="false">IF(IsPro,IF($D2947="","",IFERROR(INDEX(Items!$D$5:$D$504,U2947),"")),"")</f>
        <v/>
      </c>
      <c r="K2947" s="61" t="str">
        <f aca="false">IF(IsPro,IF($D2947="","",IF($F2947="",IFERROR(INDEX(Items!$H$5:$H$504,U2947),0),$F2947)),"")</f>
        <v/>
      </c>
      <c r="L2947" s="61" t="str">
        <f aca="false">IF(IsPro,IF($D2947="","",ROUND(N($E2947)*K2947*(1-N($G2947)),2)),"")</f>
        <v/>
      </c>
      <c r="M2947" s="62" t="str">
        <f aca="false">IF(IsPro,IF($D2947="","",IFERROR(INDEX(Items!$F$5:$F$504,U2947),0)),"")</f>
        <v/>
      </c>
      <c r="N2947" s="61" t="str">
        <f aca="false">IF(IsPro,IF($D2947="","",IF(AND(V2947&lt;&gt;"",INDEX(Parties!$E$5:$E$304,V2947)&lt;&gt;"",INDEX(Parties!$E$5:$E$304,V2947)&lt;&gt;HomeState),0,ROUND(L2947*M2947/2,2))),"")</f>
        <v/>
      </c>
      <c r="O2947" s="61" t="str">
        <f aca="false">IF(IsPro,IF($D2947="","",N2947),"")</f>
        <v/>
      </c>
      <c r="P2947" s="61" t="str">
        <f aca="false">IF(IsPro,IF($D2947="","",IF(AND(V2947&lt;&gt;"",INDEX(Parties!$E$5:$E$304,V2947)&lt;&gt;"",INDEX(Parties!$E$5:$E$304,V2947)&lt;&gt;HomeState),ROUND(L2947*M2947,2),0)),"")</f>
        <v/>
      </c>
      <c r="Q2947" s="61" t="str">
        <f aca="false">IF(IsPro,IF($D2947="","",L2947+N2947+O2947+P2947),"")</f>
        <v/>
      </c>
      <c r="R2947" s="61" t="str">
        <f aca="false">IF(IsPro,IF($D2947="","",ROUND(N($E2947)*IFERROR(INDEX(Items!$P$5:$P$504,U2947),0),2)),"")</f>
        <v/>
      </c>
      <c r="S2947" s="61" t="str">
        <f aca="false">IF(IsPro,IF($D2947="","",L2947-R2947),"")</f>
        <v/>
      </c>
      <c r="T2947" s="60" t="str">
        <f aca="false">IF(IsPro,IF($D2947="","",IF(U2947="","UNKNOWN ITEM",IF(INDEX(Items!$O$5:$O$504,U2947)&lt;0,"NEG STOCK",IF(K2947&lt;INDEX(Items!$P$5:$P$504,U2947),"BELOW COST","OK")))),IF($D2947="","","PRO PLAN"))</f>
        <v/>
      </c>
      <c r="U2947" s="60" t="str">
        <f aca="false">IF(IsPro,IF($D2947="","",IFERROR(MATCH($D2947,Items!$A$5:$A$504,0),"")),"")</f>
        <v/>
      </c>
      <c r="V2947" s="60" t="str">
        <f aca="false">IF(IsPro,IF($C2947="","",IFERROR(MATCH($C2947,Parties!$A$5:$A$304,0),"")),"")</f>
        <v/>
      </c>
      <c r="W2947" s="60" t="str">
        <f aca="false">IF(IsPro,IF($B2947="","",IFERROR(VALUE(SUBSTITUTE($B2947,InvPrefix,"")),0)),"")</f>
        <v/>
      </c>
      <c r="X2947" s="61" t="str">
        <f aca="false">IF(IsPro,IF($D2947="","",IF(OR($H2947="",$H2947="Credit"),0,Q2947)),"")</f>
        <v/>
      </c>
    </row>
    <row r="2948" customFormat="false" ht="15" hidden="false" customHeight="false" outlineLevel="0" collapsed="false">
      <c r="A2948" s="55"/>
      <c r="B2948" s="56"/>
      <c r="C2948" s="56"/>
      <c r="D2948" s="56"/>
      <c r="E2948" s="57"/>
      <c r="F2948" s="58"/>
      <c r="G2948" s="59"/>
      <c r="H2948" s="56"/>
      <c r="I2948" s="56"/>
      <c r="J2948" s="60" t="str">
        <f aca="false">IF(IsPro,IF($D2948="","",IFERROR(INDEX(Items!$D$5:$D$504,U2948),"")),"")</f>
        <v/>
      </c>
      <c r="K2948" s="61" t="str">
        <f aca="false">IF(IsPro,IF($D2948="","",IF($F2948="",IFERROR(INDEX(Items!$H$5:$H$504,U2948),0),$F2948)),"")</f>
        <v/>
      </c>
      <c r="L2948" s="61" t="str">
        <f aca="false">IF(IsPro,IF($D2948="","",ROUND(N($E2948)*K2948*(1-N($G2948)),2)),"")</f>
        <v/>
      </c>
      <c r="M2948" s="62" t="str">
        <f aca="false">IF(IsPro,IF($D2948="","",IFERROR(INDEX(Items!$F$5:$F$504,U2948),0)),"")</f>
        <v/>
      </c>
      <c r="N2948" s="61" t="str">
        <f aca="false">IF(IsPro,IF($D2948="","",IF(AND(V2948&lt;&gt;"",INDEX(Parties!$E$5:$E$304,V2948)&lt;&gt;"",INDEX(Parties!$E$5:$E$304,V2948)&lt;&gt;HomeState),0,ROUND(L2948*M2948/2,2))),"")</f>
        <v/>
      </c>
      <c r="O2948" s="61" t="str">
        <f aca="false">IF(IsPro,IF($D2948="","",N2948),"")</f>
        <v/>
      </c>
      <c r="P2948" s="61" t="str">
        <f aca="false">IF(IsPro,IF($D2948="","",IF(AND(V2948&lt;&gt;"",INDEX(Parties!$E$5:$E$304,V2948)&lt;&gt;"",INDEX(Parties!$E$5:$E$304,V2948)&lt;&gt;HomeState),ROUND(L2948*M2948,2),0)),"")</f>
        <v/>
      </c>
      <c r="Q2948" s="61" t="str">
        <f aca="false">IF(IsPro,IF($D2948="","",L2948+N2948+O2948+P2948),"")</f>
        <v/>
      </c>
      <c r="R2948" s="61" t="str">
        <f aca="false">IF(IsPro,IF($D2948="","",ROUND(N($E2948)*IFERROR(INDEX(Items!$P$5:$P$504,U2948),0),2)),"")</f>
        <v/>
      </c>
      <c r="S2948" s="61" t="str">
        <f aca="false">IF(IsPro,IF($D2948="","",L2948-R2948),"")</f>
        <v/>
      </c>
      <c r="T2948" s="60" t="str">
        <f aca="false">IF(IsPro,IF($D2948="","",IF(U2948="","UNKNOWN ITEM",IF(INDEX(Items!$O$5:$O$504,U2948)&lt;0,"NEG STOCK",IF(K2948&lt;INDEX(Items!$P$5:$P$504,U2948),"BELOW COST","OK")))),IF($D2948="","","PRO PLAN"))</f>
        <v/>
      </c>
      <c r="U2948" s="60" t="str">
        <f aca="false">IF(IsPro,IF($D2948="","",IFERROR(MATCH($D2948,Items!$A$5:$A$504,0),"")),"")</f>
        <v/>
      </c>
      <c r="V2948" s="60" t="str">
        <f aca="false">IF(IsPro,IF($C2948="","",IFERROR(MATCH($C2948,Parties!$A$5:$A$304,0),"")),"")</f>
        <v/>
      </c>
      <c r="W2948" s="60" t="str">
        <f aca="false">IF(IsPro,IF($B2948="","",IFERROR(VALUE(SUBSTITUTE($B2948,InvPrefix,"")),0)),"")</f>
        <v/>
      </c>
      <c r="X2948" s="61" t="str">
        <f aca="false">IF(IsPro,IF($D2948="","",IF(OR($H2948="",$H2948="Credit"),0,Q2948)),"")</f>
        <v/>
      </c>
    </row>
    <row r="2949" customFormat="false" ht="15" hidden="false" customHeight="false" outlineLevel="0" collapsed="false">
      <c r="A2949" s="55"/>
      <c r="B2949" s="56"/>
      <c r="C2949" s="56"/>
      <c r="D2949" s="56"/>
      <c r="E2949" s="57"/>
      <c r="F2949" s="58"/>
      <c r="G2949" s="59"/>
      <c r="H2949" s="56"/>
      <c r="I2949" s="56"/>
      <c r="J2949" s="60" t="str">
        <f aca="false">IF(IsPro,IF($D2949="","",IFERROR(INDEX(Items!$D$5:$D$504,U2949),"")),"")</f>
        <v/>
      </c>
      <c r="K2949" s="61" t="str">
        <f aca="false">IF(IsPro,IF($D2949="","",IF($F2949="",IFERROR(INDEX(Items!$H$5:$H$504,U2949),0),$F2949)),"")</f>
        <v/>
      </c>
      <c r="L2949" s="61" t="str">
        <f aca="false">IF(IsPro,IF($D2949="","",ROUND(N($E2949)*K2949*(1-N($G2949)),2)),"")</f>
        <v/>
      </c>
      <c r="M2949" s="62" t="str">
        <f aca="false">IF(IsPro,IF($D2949="","",IFERROR(INDEX(Items!$F$5:$F$504,U2949),0)),"")</f>
        <v/>
      </c>
      <c r="N2949" s="61" t="str">
        <f aca="false">IF(IsPro,IF($D2949="","",IF(AND(V2949&lt;&gt;"",INDEX(Parties!$E$5:$E$304,V2949)&lt;&gt;"",INDEX(Parties!$E$5:$E$304,V2949)&lt;&gt;HomeState),0,ROUND(L2949*M2949/2,2))),"")</f>
        <v/>
      </c>
      <c r="O2949" s="61" t="str">
        <f aca="false">IF(IsPro,IF($D2949="","",N2949),"")</f>
        <v/>
      </c>
      <c r="P2949" s="61" t="str">
        <f aca="false">IF(IsPro,IF($D2949="","",IF(AND(V2949&lt;&gt;"",INDEX(Parties!$E$5:$E$304,V2949)&lt;&gt;"",INDEX(Parties!$E$5:$E$304,V2949)&lt;&gt;HomeState),ROUND(L2949*M2949,2),0)),"")</f>
        <v/>
      </c>
      <c r="Q2949" s="61" t="str">
        <f aca="false">IF(IsPro,IF($D2949="","",L2949+N2949+O2949+P2949),"")</f>
        <v/>
      </c>
      <c r="R2949" s="61" t="str">
        <f aca="false">IF(IsPro,IF($D2949="","",ROUND(N($E2949)*IFERROR(INDEX(Items!$P$5:$P$504,U2949),0),2)),"")</f>
        <v/>
      </c>
      <c r="S2949" s="61" t="str">
        <f aca="false">IF(IsPro,IF($D2949="","",L2949-R2949),"")</f>
        <v/>
      </c>
      <c r="T2949" s="60" t="str">
        <f aca="false">IF(IsPro,IF($D2949="","",IF(U2949="","UNKNOWN ITEM",IF(INDEX(Items!$O$5:$O$504,U2949)&lt;0,"NEG STOCK",IF(K2949&lt;INDEX(Items!$P$5:$P$504,U2949),"BELOW COST","OK")))),IF($D2949="","","PRO PLAN"))</f>
        <v/>
      </c>
      <c r="U2949" s="60" t="str">
        <f aca="false">IF(IsPro,IF($D2949="","",IFERROR(MATCH($D2949,Items!$A$5:$A$504,0),"")),"")</f>
        <v/>
      </c>
      <c r="V2949" s="60" t="str">
        <f aca="false">IF(IsPro,IF($C2949="","",IFERROR(MATCH($C2949,Parties!$A$5:$A$304,0),"")),"")</f>
        <v/>
      </c>
      <c r="W2949" s="60" t="str">
        <f aca="false">IF(IsPro,IF($B2949="","",IFERROR(VALUE(SUBSTITUTE($B2949,InvPrefix,"")),0)),"")</f>
        <v/>
      </c>
      <c r="X2949" s="61" t="str">
        <f aca="false">IF(IsPro,IF($D2949="","",IF(OR($H2949="",$H2949="Credit"),0,Q2949)),"")</f>
        <v/>
      </c>
    </row>
    <row r="2950" customFormat="false" ht="15" hidden="false" customHeight="false" outlineLevel="0" collapsed="false">
      <c r="A2950" s="55"/>
      <c r="B2950" s="56"/>
      <c r="C2950" s="56"/>
      <c r="D2950" s="56"/>
      <c r="E2950" s="57"/>
      <c r="F2950" s="58"/>
      <c r="G2950" s="59"/>
      <c r="H2950" s="56"/>
      <c r="I2950" s="56"/>
      <c r="J2950" s="60" t="str">
        <f aca="false">IF(IsPro,IF($D2950="","",IFERROR(INDEX(Items!$D$5:$D$504,U2950),"")),"")</f>
        <v/>
      </c>
      <c r="K2950" s="61" t="str">
        <f aca="false">IF(IsPro,IF($D2950="","",IF($F2950="",IFERROR(INDEX(Items!$H$5:$H$504,U2950),0),$F2950)),"")</f>
        <v/>
      </c>
      <c r="L2950" s="61" t="str">
        <f aca="false">IF(IsPro,IF($D2950="","",ROUND(N($E2950)*K2950*(1-N($G2950)),2)),"")</f>
        <v/>
      </c>
      <c r="M2950" s="62" t="str">
        <f aca="false">IF(IsPro,IF($D2950="","",IFERROR(INDEX(Items!$F$5:$F$504,U2950),0)),"")</f>
        <v/>
      </c>
      <c r="N2950" s="61" t="str">
        <f aca="false">IF(IsPro,IF($D2950="","",IF(AND(V2950&lt;&gt;"",INDEX(Parties!$E$5:$E$304,V2950)&lt;&gt;"",INDEX(Parties!$E$5:$E$304,V2950)&lt;&gt;HomeState),0,ROUND(L2950*M2950/2,2))),"")</f>
        <v/>
      </c>
      <c r="O2950" s="61" t="str">
        <f aca="false">IF(IsPro,IF($D2950="","",N2950),"")</f>
        <v/>
      </c>
      <c r="P2950" s="61" t="str">
        <f aca="false">IF(IsPro,IF($D2950="","",IF(AND(V2950&lt;&gt;"",INDEX(Parties!$E$5:$E$304,V2950)&lt;&gt;"",INDEX(Parties!$E$5:$E$304,V2950)&lt;&gt;HomeState),ROUND(L2950*M2950,2),0)),"")</f>
        <v/>
      </c>
      <c r="Q2950" s="61" t="str">
        <f aca="false">IF(IsPro,IF($D2950="","",L2950+N2950+O2950+P2950),"")</f>
        <v/>
      </c>
      <c r="R2950" s="61" t="str">
        <f aca="false">IF(IsPro,IF($D2950="","",ROUND(N($E2950)*IFERROR(INDEX(Items!$P$5:$P$504,U2950),0),2)),"")</f>
        <v/>
      </c>
      <c r="S2950" s="61" t="str">
        <f aca="false">IF(IsPro,IF($D2950="","",L2950-R2950),"")</f>
        <v/>
      </c>
      <c r="T2950" s="60" t="str">
        <f aca="false">IF(IsPro,IF($D2950="","",IF(U2950="","UNKNOWN ITEM",IF(INDEX(Items!$O$5:$O$504,U2950)&lt;0,"NEG STOCK",IF(K2950&lt;INDEX(Items!$P$5:$P$504,U2950),"BELOW COST","OK")))),IF($D2950="","","PRO PLAN"))</f>
        <v/>
      </c>
      <c r="U2950" s="60" t="str">
        <f aca="false">IF(IsPro,IF($D2950="","",IFERROR(MATCH($D2950,Items!$A$5:$A$504,0),"")),"")</f>
        <v/>
      </c>
      <c r="V2950" s="60" t="str">
        <f aca="false">IF(IsPro,IF($C2950="","",IFERROR(MATCH($C2950,Parties!$A$5:$A$304,0),"")),"")</f>
        <v/>
      </c>
      <c r="W2950" s="60" t="str">
        <f aca="false">IF(IsPro,IF($B2950="","",IFERROR(VALUE(SUBSTITUTE($B2950,InvPrefix,"")),0)),"")</f>
        <v/>
      </c>
      <c r="X2950" s="61" t="str">
        <f aca="false">IF(IsPro,IF($D2950="","",IF(OR($H2950="",$H2950="Credit"),0,Q2950)),"")</f>
        <v/>
      </c>
    </row>
    <row r="2951" customFormat="false" ht="15" hidden="false" customHeight="false" outlineLevel="0" collapsed="false">
      <c r="A2951" s="55"/>
      <c r="B2951" s="56"/>
      <c r="C2951" s="56"/>
      <c r="D2951" s="56"/>
      <c r="E2951" s="57"/>
      <c r="F2951" s="58"/>
      <c r="G2951" s="59"/>
      <c r="H2951" s="56"/>
      <c r="I2951" s="56"/>
      <c r="J2951" s="60" t="str">
        <f aca="false">IF(IsPro,IF($D2951="","",IFERROR(INDEX(Items!$D$5:$D$504,U2951),"")),"")</f>
        <v/>
      </c>
      <c r="K2951" s="61" t="str">
        <f aca="false">IF(IsPro,IF($D2951="","",IF($F2951="",IFERROR(INDEX(Items!$H$5:$H$504,U2951),0),$F2951)),"")</f>
        <v/>
      </c>
      <c r="L2951" s="61" t="str">
        <f aca="false">IF(IsPro,IF($D2951="","",ROUND(N($E2951)*K2951*(1-N($G2951)),2)),"")</f>
        <v/>
      </c>
      <c r="M2951" s="62" t="str">
        <f aca="false">IF(IsPro,IF($D2951="","",IFERROR(INDEX(Items!$F$5:$F$504,U2951),0)),"")</f>
        <v/>
      </c>
      <c r="N2951" s="61" t="str">
        <f aca="false">IF(IsPro,IF($D2951="","",IF(AND(V2951&lt;&gt;"",INDEX(Parties!$E$5:$E$304,V2951)&lt;&gt;"",INDEX(Parties!$E$5:$E$304,V2951)&lt;&gt;HomeState),0,ROUND(L2951*M2951/2,2))),"")</f>
        <v/>
      </c>
      <c r="O2951" s="61" t="str">
        <f aca="false">IF(IsPro,IF($D2951="","",N2951),"")</f>
        <v/>
      </c>
      <c r="P2951" s="61" t="str">
        <f aca="false">IF(IsPro,IF($D2951="","",IF(AND(V2951&lt;&gt;"",INDEX(Parties!$E$5:$E$304,V2951)&lt;&gt;"",INDEX(Parties!$E$5:$E$304,V2951)&lt;&gt;HomeState),ROUND(L2951*M2951,2),0)),"")</f>
        <v/>
      </c>
      <c r="Q2951" s="61" t="str">
        <f aca="false">IF(IsPro,IF($D2951="","",L2951+N2951+O2951+P2951),"")</f>
        <v/>
      </c>
      <c r="R2951" s="61" t="str">
        <f aca="false">IF(IsPro,IF($D2951="","",ROUND(N($E2951)*IFERROR(INDEX(Items!$P$5:$P$504,U2951),0),2)),"")</f>
        <v/>
      </c>
      <c r="S2951" s="61" t="str">
        <f aca="false">IF(IsPro,IF($D2951="","",L2951-R2951),"")</f>
        <v/>
      </c>
      <c r="T2951" s="60" t="str">
        <f aca="false">IF(IsPro,IF($D2951="","",IF(U2951="","UNKNOWN ITEM",IF(INDEX(Items!$O$5:$O$504,U2951)&lt;0,"NEG STOCK",IF(K2951&lt;INDEX(Items!$P$5:$P$504,U2951),"BELOW COST","OK")))),IF($D2951="","","PRO PLAN"))</f>
        <v/>
      </c>
      <c r="U2951" s="60" t="str">
        <f aca="false">IF(IsPro,IF($D2951="","",IFERROR(MATCH($D2951,Items!$A$5:$A$504,0),"")),"")</f>
        <v/>
      </c>
      <c r="V2951" s="60" t="str">
        <f aca="false">IF(IsPro,IF($C2951="","",IFERROR(MATCH($C2951,Parties!$A$5:$A$304,0),"")),"")</f>
        <v/>
      </c>
      <c r="W2951" s="60" t="str">
        <f aca="false">IF(IsPro,IF($B2951="","",IFERROR(VALUE(SUBSTITUTE($B2951,InvPrefix,"")),0)),"")</f>
        <v/>
      </c>
      <c r="X2951" s="61" t="str">
        <f aca="false">IF(IsPro,IF($D2951="","",IF(OR($H2951="",$H2951="Credit"),0,Q2951)),"")</f>
        <v/>
      </c>
    </row>
    <row r="2952" customFormat="false" ht="15" hidden="false" customHeight="false" outlineLevel="0" collapsed="false">
      <c r="A2952" s="55"/>
      <c r="B2952" s="56"/>
      <c r="C2952" s="56"/>
      <c r="D2952" s="56"/>
      <c r="E2952" s="57"/>
      <c r="F2952" s="58"/>
      <c r="G2952" s="59"/>
      <c r="H2952" s="56"/>
      <c r="I2952" s="56"/>
      <c r="J2952" s="60" t="str">
        <f aca="false">IF(IsPro,IF($D2952="","",IFERROR(INDEX(Items!$D$5:$D$504,U2952),"")),"")</f>
        <v/>
      </c>
      <c r="K2952" s="61" t="str">
        <f aca="false">IF(IsPro,IF($D2952="","",IF($F2952="",IFERROR(INDEX(Items!$H$5:$H$504,U2952),0),$F2952)),"")</f>
        <v/>
      </c>
      <c r="L2952" s="61" t="str">
        <f aca="false">IF(IsPro,IF($D2952="","",ROUND(N($E2952)*K2952*(1-N($G2952)),2)),"")</f>
        <v/>
      </c>
      <c r="M2952" s="62" t="str">
        <f aca="false">IF(IsPro,IF($D2952="","",IFERROR(INDEX(Items!$F$5:$F$504,U2952),0)),"")</f>
        <v/>
      </c>
      <c r="N2952" s="61" t="str">
        <f aca="false">IF(IsPro,IF($D2952="","",IF(AND(V2952&lt;&gt;"",INDEX(Parties!$E$5:$E$304,V2952)&lt;&gt;"",INDEX(Parties!$E$5:$E$304,V2952)&lt;&gt;HomeState),0,ROUND(L2952*M2952/2,2))),"")</f>
        <v/>
      </c>
      <c r="O2952" s="61" t="str">
        <f aca="false">IF(IsPro,IF($D2952="","",N2952),"")</f>
        <v/>
      </c>
      <c r="P2952" s="61" t="str">
        <f aca="false">IF(IsPro,IF($D2952="","",IF(AND(V2952&lt;&gt;"",INDEX(Parties!$E$5:$E$304,V2952)&lt;&gt;"",INDEX(Parties!$E$5:$E$304,V2952)&lt;&gt;HomeState),ROUND(L2952*M2952,2),0)),"")</f>
        <v/>
      </c>
      <c r="Q2952" s="61" t="str">
        <f aca="false">IF(IsPro,IF($D2952="","",L2952+N2952+O2952+P2952),"")</f>
        <v/>
      </c>
      <c r="R2952" s="61" t="str">
        <f aca="false">IF(IsPro,IF($D2952="","",ROUND(N($E2952)*IFERROR(INDEX(Items!$P$5:$P$504,U2952),0),2)),"")</f>
        <v/>
      </c>
      <c r="S2952" s="61" t="str">
        <f aca="false">IF(IsPro,IF($D2952="","",L2952-R2952),"")</f>
        <v/>
      </c>
      <c r="T2952" s="60" t="str">
        <f aca="false">IF(IsPro,IF($D2952="","",IF(U2952="","UNKNOWN ITEM",IF(INDEX(Items!$O$5:$O$504,U2952)&lt;0,"NEG STOCK",IF(K2952&lt;INDEX(Items!$P$5:$P$504,U2952),"BELOW COST","OK")))),IF($D2952="","","PRO PLAN"))</f>
        <v/>
      </c>
      <c r="U2952" s="60" t="str">
        <f aca="false">IF(IsPro,IF($D2952="","",IFERROR(MATCH($D2952,Items!$A$5:$A$504,0),"")),"")</f>
        <v/>
      </c>
      <c r="V2952" s="60" t="str">
        <f aca="false">IF(IsPro,IF($C2952="","",IFERROR(MATCH($C2952,Parties!$A$5:$A$304,0),"")),"")</f>
        <v/>
      </c>
      <c r="W2952" s="60" t="str">
        <f aca="false">IF(IsPro,IF($B2952="","",IFERROR(VALUE(SUBSTITUTE($B2952,InvPrefix,"")),0)),"")</f>
        <v/>
      </c>
      <c r="X2952" s="61" t="str">
        <f aca="false">IF(IsPro,IF($D2952="","",IF(OR($H2952="",$H2952="Credit"),0,Q2952)),"")</f>
        <v/>
      </c>
    </row>
    <row r="2953" customFormat="false" ht="15" hidden="false" customHeight="false" outlineLevel="0" collapsed="false">
      <c r="A2953" s="55"/>
      <c r="B2953" s="56"/>
      <c r="C2953" s="56"/>
      <c r="D2953" s="56"/>
      <c r="E2953" s="57"/>
      <c r="F2953" s="58"/>
      <c r="G2953" s="59"/>
      <c r="H2953" s="56"/>
      <c r="I2953" s="56"/>
      <c r="J2953" s="60" t="str">
        <f aca="false">IF(IsPro,IF($D2953="","",IFERROR(INDEX(Items!$D$5:$D$504,U2953),"")),"")</f>
        <v/>
      </c>
      <c r="K2953" s="61" t="str">
        <f aca="false">IF(IsPro,IF($D2953="","",IF($F2953="",IFERROR(INDEX(Items!$H$5:$H$504,U2953),0),$F2953)),"")</f>
        <v/>
      </c>
      <c r="L2953" s="61" t="str">
        <f aca="false">IF(IsPro,IF($D2953="","",ROUND(N($E2953)*K2953*(1-N($G2953)),2)),"")</f>
        <v/>
      </c>
      <c r="M2953" s="62" t="str">
        <f aca="false">IF(IsPro,IF($D2953="","",IFERROR(INDEX(Items!$F$5:$F$504,U2953),0)),"")</f>
        <v/>
      </c>
      <c r="N2953" s="61" t="str">
        <f aca="false">IF(IsPro,IF($D2953="","",IF(AND(V2953&lt;&gt;"",INDEX(Parties!$E$5:$E$304,V2953)&lt;&gt;"",INDEX(Parties!$E$5:$E$304,V2953)&lt;&gt;HomeState),0,ROUND(L2953*M2953/2,2))),"")</f>
        <v/>
      </c>
      <c r="O2953" s="61" t="str">
        <f aca="false">IF(IsPro,IF($D2953="","",N2953),"")</f>
        <v/>
      </c>
      <c r="P2953" s="61" t="str">
        <f aca="false">IF(IsPro,IF($D2953="","",IF(AND(V2953&lt;&gt;"",INDEX(Parties!$E$5:$E$304,V2953)&lt;&gt;"",INDEX(Parties!$E$5:$E$304,V2953)&lt;&gt;HomeState),ROUND(L2953*M2953,2),0)),"")</f>
        <v/>
      </c>
      <c r="Q2953" s="61" t="str">
        <f aca="false">IF(IsPro,IF($D2953="","",L2953+N2953+O2953+P2953),"")</f>
        <v/>
      </c>
      <c r="R2953" s="61" t="str">
        <f aca="false">IF(IsPro,IF($D2953="","",ROUND(N($E2953)*IFERROR(INDEX(Items!$P$5:$P$504,U2953),0),2)),"")</f>
        <v/>
      </c>
      <c r="S2953" s="61" t="str">
        <f aca="false">IF(IsPro,IF($D2953="","",L2953-R2953),"")</f>
        <v/>
      </c>
      <c r="T2953" s="60" t="str">
        <f aca="false">IF(IsPro,IF($D2953="","",IF(U2953="","UNKNOWN ITEM",IF(INDEX(Items!$O$5:$O$504,U2953)&lt;0,"NEG STOCK",IF(K2953&lt;INDEX(Items!$P$5:$P$504,U2953),"BELOW COST","OK")))),IF($D2953="","","PRO PLAN"))</f>
        <v/>
      </c>
      <c r="U2953" s="60" t="str">
        <f aca="false">IF(IsPro,IF($D2953="","",IFERROR(MATCH($D2953,Items!$A$5:$A$504,0),"")),"")</f>
        <v/>
      </c>
      <c r="V2953" s="60" t="str">
        <f aca="false">IF(IsPro,IF($C2953="","",IFERROR(MATCH($C2953,Parties!$A$5:$A$304,0),"")),"")</f>
        <v/>
      </c>
      <c r="W2953" s="60" t="str">
        <f aca="false">IF(IsPro,IF($B2953="","",IFERROR(VALUE(SUBSTITUTE($B2953,InvPrefix,"")),0)),"")</f>
        <v/>
      </c>
      <c r="X2953" s="61" t="str">
        <f aca="false">IF(IsPro,IF($D2953="","",IF(OR($H2953="",$H2953="Credit"),0,Q2953)),"")</f>
        <v/>
      </c>
    </row>
    <row r="2954" customFormat="false" ht="15" hidden="false" customHeight="false" outlineLevel="0" collapsed="false">
      <c r="A2954" s="55"/>
      <c r="B2954" s="56"/>
      <c r="C2954" s="56"/>
      <c r="D2954" s="56"/>
      <c r="E2954" s="57"/>
      <c r="F2954" s="58"/>
      <c r="G2954" s="59"/>
      <c r="H2954" s="56"/>
      <c r="I2954" s="56"/>
      <c r="J2954" s="60" t="str">
        <f aca="false">IF(IsPro,IF($D2954="","",IFERROR(INDEX(Items!$D$5:$D$504,U2954),"")),"")</f>
        <v/>
      </c>
      <c r="K2954" s="61" t="str">
        <f aca="false">IF(IsPro,IF($D2954="","",IF($F2954="",IFERROR(INDEX(Items!$H$5:$H$504,U2954),0),$F2954)),"")</f>
        <v/>
      </c>
      <c r="L2954" s="61" t="str">
        <f aca="false">IF(IsPro,IF($D2954="","",ROUND(N($E2954)*K2954*(1-N($G2954)),2)),"")</f>
        <v/>
      </c>
      <c r="M2954" s="62" t="str">
        <f aca="false">IF(IsPro,IF($D2954="","",IFERROR(INDEX(Items!$F$5:$F$504,U2954),0)),"")</f>
        <v/>
      </c>
      <c r="N2954" s="61" t="str">
        <f aca="false">IF(IsPro,IF($D2954="","",IF(AND(V2954&lt;&gt;"",INDEX(Parties!$E$5:$E$304,V2954)&lt;&gt;"",INDEX(Parties!$E$5:$E$304,V2954)&lt;&gt;HomeState),0,ROUND(L2954*M2954/2,2))),"")</f>
        <v/>
      </c>
      <c r="O2954" s="61" t="str">
        <f aca="false">IF(IsPro,IF($D2954="","",N2954),"")</f>
        <v/>
      </c>
      <c r="P2954" s="61" t="str">
        <f aca="false">IF(IsPro,IF($D2954="","",IF(AND(V2954&lt;&gt;"",INDEX(Parties!$E$5:$E$304,V2954)&lt;&gt;"",INDEX(Parties!$E$5:$E$304,V2954)&lt;&gt;HomeState),ROUND(L2954*M2954,2),0)),"")</f>
        <v/>
      </c>
      <c r="Q2954" s="61" t="str">
        <f aca="false">IF(IsPro,IF($D2954="","",L2954+N2954+O2954+P2954),"")</f>
        <v/>
      </c>
      <c r="R2954" s="61" t="str">
        <f aca="false">IF(IsPro,IF($D2954="","",ROUND(N($E2954)*IFERROR(INDEX(Items!$P$5:$P$504,U2954),0),2)),"")</f>
        <v/>
      </c>
      <c r="S2954" s="61" t="str">
        <f aca="false">IF(IsPro,IF($D2954="","",L2954-R2954),"")</f>
        <v/>
      </c>
      <c r="T2954" s="60" t="str">
        <f aca="false">IF(IsPro,IF($D2954="","",IF(U2954="","UNKNOWN ITEM",IF(INDEX(Items!$O$5:$O$504,U2954)&lt;0,"NEG STOCK",IF(K2954&lt;INDEX(Items!$P$5:$P$504,U2954),"BELOW COST","OK")))),IF($D2954="","","PRO PLAN"))</f>
        <v/>
      </c>
      <c r="U2954" s="60" t="str">
        <f aca="false">IF(IsPro,IF($D2954="","",IFERROR(MATCH($D2954,Items!$A$5:$A$504,0),"")),"")</f>
        <v/>
      </c>
      <c r="V2954" s="60" t="str">
        <f aca="false">IF(IsPro,IF($C2954="","",IFERROR(MATCH($C2954,Parties!$A$5:$A$304,0),"")),"")</f>
        <v/>
      </c>
      <c r="W2954" s="60" t="str">
        <f aca="false">IF(IsPro,IF($B2954="","",IFERROR(VALUE(SUBSTITUTE($B2954,InvPrefix,"")),0)),"")</f>
        <v/>
      </c>
      <c r="X2954" s="61" t="str">
        <f aca="false">IF(IsPro,IF($D2954="","",IF(OR($H2954="",$H2954="Credit"),0,Q2954)),"")</f>
        <v/>
      </c>
    </row>
    <row r="2955" customFormat="false" ht="15" hidden="false" customHeight="false" outlineLevel="0" collapsed="false">
      <c r="A2955" s="55"/>
      <c r="B2955" s="56"/>
      <c r="C2955" s="56"/>
      <c r="D2955" s="56"/>
      <c r="E2955" s="57"/>
      <c r="F2955" s="58"/>
      <c r="G2955" s="59"/>
      <c r="H2955" s="56"/>
      <c r="I2955" s="56"/>
      <c r="J2955" s="60" t="str">
        <f aca="false">IF(IsPro,IF($D2955="","",IFERROR(INDEX(Items!$D$5:$D$504,U2955),"")),"")</f>
        <v/>
      </c>
      <c r="K2955" s="61" t="str">
        <f aca="false">IF(IsPro,IF($D2955="","",IF($F2955="",IFERROR(INDEX(Items!$H$5:$H$504,U2955),0),$F2955)),"")</f>
        <v/>
      </c>
      <c r="L2955" s="61" t="str">
        <f aca="false">IF(IsPro,IF($D2955="","",ROUND(N($E2955)*K2955*(1-N($G2955)),2)),"")</f>
        <v/>
      </c>
      <c r="M2955" s="62" t="str">
        <f aca="false">IF(IsPro,IF($D2955="","",IFERROR(INDEX(Items!$F$5:$F$504,U2955),0)),"")</f>
        <v/>
      </c>
      <c r="N2955" s="61" t="str">
        <f aca="false">IF(IsPro,IF($D2955="","",IF(AND(V2955&lt;&gt;"",INDEX(Parties!$E$5:$E$304,V2955)&lt;&gt;"",INDEX(Parties!$E$5:$E$304,V2955)&lt;&gt;HomeState),0,ROUND(L2955*M2955/2,2))),"")</f>
        <v/>
      </c>
      <c r="O2955" s="61" t="str">
        <f aca="false">IF(IsPro,IF($D2955="","",N2955),"")</f>
        <v/>
      </c>
      <c r="P2955" s="61" t="str">
        <f aca="false">IF(IsPro,IF($D2955="","",IF(AND(V2955&lt;&gt;"",INDEX(Parties!$E$5:$E$304,V2955)&lt;&gt;"",INDEX(Parties!$E$5:$E$304,V2955)&lt;&gt;HomeState),ROUND(L2955*M2955,2),0)),"")</f>
        <v/>
      </c>
      <c r="Q2955" s="61" t="str">
        <f aca="false">IF(IsPro,IF($D2955="","",L2955+N2955+O2955+P2955),"")</f>
        <v/>
      </c>
      <c r="R2955" s="61" t="str">
        <f aca="false">IF(IsPro,IF($D2955="","",ROUND(N($E2955)*IFERROR(INDEX(Items!$P$5:$P$504,U2955),0),2)),"")</f>
        <v/>
      </c>
      <c r="S2955" s="61" t="str">
        <f aca="false">IF(IsPro,IF($D2955="","",L2955-R2955),"")</f>
        <v/>
      </c>
      <c r="T2955" s="60" t="str">
        <f aca="false">IF(IsPro,IF($D2955="","",IF(U2955="","UNKNOWN ITEM",IF(INDEX(Items!$O$5:$O$504,U2955)&lt;0,"NEG STOCK",IF(K2955&lt;INDEX(Items!$P$5:$P$504,U2955),"BELOW COST","OK")))),IF($D2955="","","PRO PLAN"))</f>
        <v/>
      </c>
      <c r="U2955" s="60" t="str">
        <f aca="false">IF(IsPro,IF($D2955="","",IFERROR(MATCH($D2955,Items!$A$5:$A$504,0),"")),"")</f>
        <v/>
      </c>
      <c r="V2955" s="60" t="str">
        <f aca="false">IF(IsPro,IF($C2955="","",IFERROR(MATCH($C2955,Parties!$A$5:$A$304,0),"")),"")</f>
        <v/>
      </c>
      <c r="W2955" s="60" t="str">
        <f aca="false">IF(IsPro,IF($B2955="","",IFERROR(VALUE(SUBSTITUTE($B2955,InvPrefix,"")),0)),"")</f>
        <v/>
      </c>
      <c r="X2955" s="61" t="str">
        <f aca="false">IF(IsPro,IF($D2955="","",IF(OR($H2955="",$H2955="Credit"),0,Q2955)),"")</f>
        <v/>
      </c>
    </row>
    <row r="2956" customFormat="false" ht="15" hidden="false" customHeight="false" outlineLevel="0" collapsed="false">
      <c r="A2956" s="55"/>
      <c r="B2956" s="56"/>
      <c r="C2956" s="56"/>
      <c r="D2956" s="56"/>
      <c r="E2956" s="57"/>
      <c r="F2956" s="58"/>
      <c r="G2956" s="59"/>
      <c r="H2956" s="56"/>
      <c r="I2956" s="56"/>
      <c r="J2956" s="60" t="str">
        <f aca="false">IF(IsPro,IF($D2956="","",IFERROR(INDEX(Items!$D$5:$D$504,U2956),"")),"")</f>
        <v/>
      </c>
      <c r="K2956" s="61" t="str">
        <f aca="false">IF(IsPro,IF($D2956="","",IF($F2956="",IFERROR(INDEX(Items!$H$5:$H$504,U2956),0),$F2956)),"")</f>
        <v/>
      </c>
      <c r="L2956" s="61" t="str">
        <f aca="false">IF(IsPro,IF($D2956="","",ROUND(N($E2956)*K2956*(1-N($G2956)),2)),"")</f>
        <v/>
      </c>
      <c r="M2956" s="62" t="str">
        <f aca="false">IF(IsPro,IF($D2956="","",IFERROR(INDEX(Items!$F$5:$F$504,U2956),0)),"")</f>
        <v/>
      </c>
      <c r="N2956" s="61" t="str">
        <f aca="false">IF(IsPro,IF($D2956="","",IF(AND(V2956&lt;&gt;"",INDEX(Parties!$E$5:$E$304,V2956)&lt;&gt;"",INDEX(Parties!$E$5:$E$304,V2956)&lt;&gt;HomeState),0,ROUND(L2956*M2956/2,2))),"")</f>
        <v/>
      </c>
      <c r="O2956" s="61" t="str">
        <f aca="false">IF(IsPro,IF($D2956="","",N2956),"")</f>
        <v/>
      </c>
      <c r="P2956" s="61" t="str">
        <f aca="false">IF(IsPro,IF($D2956="","",IF(AND(V2956&lt;&gt;"",INDEX(Parties!$E$5:$E$304,V2956)&lt;&gt;"",INDEX(Parties!$E$5:$E$304,V2956)&lt;&gt;HomeState),ROUND(L2956*M2956,2),0)),"")</f>
        <v/>
      </c>
      <c r="Q2956" s="61" t="str">
        <f aca="false">IF(IsPro,IF($D2956="","",L2956+N2956+O2956+P2956),"")</f>
        <v/>
      </c>
      <c r="R2956" s="61" t="str">
        <f aca="false">IF(IsPro,IF($D2956="","",ROUND(N($E2956)*IFERROR(INDEX(Items!$P$5:$P$504,U2956),0),2)),"")</f>
        <v/>
      </c>
      <c r="S2956" s="61" t="str">
        <f aca="false">IF(IsPro,IF($D2956="","",L2956-R2956),"")</f>
        <v/>
      </c>
      <c r="T2956" s="60" t="str">
        <f aca="false">IF(IsPro,IF($D2956="","",IF(U2956="","UNKNOWN ITEM",IF(INDEX(Items!$O$5:$O$504,U2956)&lt;0,"NEG STOCK",IF(K2956&lt;INDEX(Items!$P$5:$P$504,U2956),"BELOW COST","OK")))),IF($D2956="","","PRO PLAN"))</f>
        <v/>
      </c>
      <c r="U2956" s="60" t="str">
        <f aca="false">IF(IsPro,IF($D2956="","",IFERROR(MATCH($D2956,Items!$A$5:$A$504,0),"")),"")</f>
        <v/>
      </c>
      <c r="V2956" s="60" t="str">
        <f aca="false">IF(IsPro,IF($C2956="","",IFERROR(MATCH($C2956,Parties!$A$5:$A$304,0),"")),"")</f>
        <v/>
      </c>
      <c r="W2956" s="60" t="str">
        <f aca="false">IF(IsPro,IF($B2956="","",IFERROR(VALUE(SUBSTITUTE($B2956,InvPrefix,"")),0)),"")</f>
        <v/>
      </c>
      <c r="X2956" s="61" t="str">
        <f aca="false">IF(IsPro,IF($D2956="","",IF(OR($H2956="",$H2956="Credit"),0,Q2956)),"")</f>
        <v/>
      </c>
    </row>
    <row r="2957" customFormat="false" ht="15" hidden="false" customHeight="false" outlineLevel="0" collapsed="false">
      <c r="A2957" s="55"/>
      <c r="B2957" s="56"/>
      <c r="C2957" s="56"/>
      <c r="D2957" s="56"/>
      <c r="E2957" s="57"/>
      <c r="F2957" s="58"/>
      <c r="G2957" s="59"/>
      <c r="H2957" s="56"/>
      <c r="I2957" s="56"/>
      <c r="J2957" s="60" t="str">
        <f aca="false">IF(IsPro,IF($D2957="","",IFERROR(INDEX(Items!$D$5:$D$504,U2957),"")),"")</f>
        <v/>
      </c>
      <c r="K2957" s="61" t="str">
        <f aca="false">IF(IsPro,IF($D2957="","",IF($F2957="",IFERROR(INDEX(Items!$H$5:$H$504,U2957),0),$F2957)),"")</f>
        <v/>
      </c>
      <c r="L2957" s="61" t="str">
        <f aca="false">IF(IsPro,IF($D2957="","",ROUND(N($E2957)*K2957*(1-N($G2957)),2)),"")</f>
        <v/>
      </c>
      <c r="M2957" s="62" t="str">
        <f aca="false">IF(IsPro,IF($D2957="","",IFERROR(INDEX(Items!$F$5:$F$504,U2957),0)),"")</f>
        <v/>
      </c>
      <c r="N2957" s="61" t="str">
        <f aca="false">IF(IsPro,IF($D2957="","",IF(AND(V2957&lt;&gt;"",INDEX(Parties!$E$5:$E$304,V2957)&lt;&gt;"",INDEX(Parties!$E$5:$E$304,V2957)&lt;&gt;HomeState),0,ROUND(L2957*M2957/2,2))),"")</f>
        <v/>
      </c>
      <c r="O2957" s="61" t="str">
        <f aca="false">IF(IsPro,IF($D2957="","",N2957),"")</f>
        <v/>
      </c>
      <c r="P2957" s="61" t="str">
        <f aca="false">IF(IsPro,IF($D2957="","",IF(AND(V2957&lt;&gt;"",INDEX(Parties!$E$5:$E$304,V2957)&lt;&gt;"",INDEX(Parties!$E$5:$E$304,V2957)&lt;&gt;HomeState),ROUND(L2957*M2957,2),0)),"")</f>
        <v/>
      </c>
      <c r="Q2957" s="61" t="str">
        <f aca="false">IF(IsPro,IF($D2957="","",L2957+N2957+O2957+P2957),"")</f>
        <v/>
      </c>
      <c r="R2957" s="61" t="str">
        <f aca="false">IF(IsPro,IF($D2957="","",ROUND(N($E2957)*IFERROR(INDEX(Items!$P$5:$P$504,U2957),0),2)),"")</f>
        <v/>
      </c>
      <c r="S2957" s="61" t="str">
        <f aca="false">IF(IsPro,IF($D2957="","",L2957-R2957),"")</f>
        <v/>
      </c>
      <c r="T2957" s="60" t="str">
        <f aca="false">IF(IsPro,IF($D2957="","",IF(U2957="","UNKNOWN ITEM",IF(INDEX(Items!$O$5:$O$504,U2957)&lt;0,"NEG STOCK",IF(K2957&lt;INDEX(Items!$P$5:$P$504,U2957),"BELOW COST","OK")))),IF($D2957="","","PRO PLAN"))</f>
        <v/>
      </c>
      <c r="U2957" s="60" t="str">
        <f aca="false">IF(IsPro,IF($D2957="","",IFERROR(MATCH($D2957,Items!$A$5:$A$504,0),"")),"")</f>
        <v/>
      </c>
      <c r="V2957" s="60" t="str">
        <f aca="false">IF(IsPro,IF($C2957="","",IFERROR(MATCH($C2957,Parties!$A$5:$A$304,0),"")),"")</f>
        <v/>
      </c>
      <c r="W2957" s="60" t="str">
        <f aca="false">IF(IsPro,IF($B2957="","",IFERROR(VALUE(SUBSTITUTE($B2957,InvPrefix,"")),0)),"")</f>
        <v/>
      </c>
      <c r="X2957" s="61" t="str">
        <f aca="false">IF(IsPro,IF($D2957="","",IF(OR($H2957="",$H2957="Credit"),0,Q2957)),"")</f>
        <v/>
      </c>
    </row>
    <row r="2958" customFormat="false" ht="15" hidden="false" customHeight="false" outlineLevel="0" collapsed="false">
      <c r="A2958" s="55"/>
      <c r="B2958" s="56"/>
      <c r="C2958" s="56"/>
      <c r="D2958" s="56"/>
      <c r="E2958" s="57"/>
      <c r="F2958" s="58"/>
      <c r="G2958" s="59"/>
      <c r="H2958" s="56"/>
      <c r="I2958" s="56"/>
      <c r="J2958" s="60" t="str">
        <f aca="false">IF(IsPro,IF($D2958="","",IFERROR(INDEX(Items!$D$5:$D$504,U2958),"")),"")</f>
        <v/>
      </c>
      <c r="K2958" s="61" t="str">
        <f aca="false">IF(IsPro,IF($D2958="","",IF($F2958="",IFERROR(INDEX(Items!$H$5:$H$504,U2958),0),$F2958)),"")</f>
        <v/>
      </c>
      <c r="L2958" s="61" t="str">
        <f aca="false">IF(IsPro,IF($D2958="","",ROUND(N($E2958)*K2958*(1-N($G2958)),2)),"")</f>
        <v/>
      </c>
      <c r="M2958" s="62" t="str">
        <f aca="false">IF(IsPro,IF($D2958="","",IFERROR(INDEX(Items!$F$5:$F$504,U2958),0)),"")</f>
        <v/>
      </c>
      <c r="N2958" s="61" t="str">
        <f aca="false">IF(IsPro,IF($D2958="","",IF(AND(V2958&lt;&gt;"",INDEX(Parties!$E$5:$E$304,V2958)&lt;&gt;"",INDEX(Parties!$E$5:$E$304,V2958)&lt;&gt;HomeState),0,ROUND(L2958*M2958/2,2))),"")</f>
        <v/>
      </c>
      <c r="O2958" s="61" t="str">
        <f aca="false">IF(IsPro,IF($D2958="","",N2958),"")</f>
        <v/>
      </c>
      <c r="P2958" s="61" t="str">
        <f aca="false">IF(IsPro,IF($D2958="","",IF(AND(V2958&lt;&gt;"",INDEX(Parties!$E$5:$E$304,V2958)&lt;&gt;"",INDEX(Parties!$E$5:$E$304,V2958)&lt;&gt;HomeState),ROUND(L2958*M2958,2),0)),"")</f>
        <v/>
      </c>
      <c r="Q2958" s="61" t="str">
        <f aca="false">IF(IsPro,IF($D2958="","",L2958+N2958+O2958+P2958),"")</f>
        <v/>
      </c>
      <c r="R2958" s="61" t="str">
        <f aca="false">IF(IsPro,IF($D2958="","",ROUND(N($E2958)*IFERROR(INDEX(Items!$P$5:$P$504,U2958),0),2)),"")</f>
        <v/>
      </c>
      <c r="S2958" s="61" t="str">
        <f aca="false">IF(IsPro,IF($D2958="","",L2958-R2958),"")</f>
        <v/>
      </c>
      <c r="T2958" s="60" t="str">
        <f aca="false">IF(IsPro,IF($D2958="","",IF(U2958="","UNKNOWN ITEM",IF(INDEX(Items!$O$5:$O$504,U2958)&lt;0,"NEG STOCK",IF(K2958&lt;INDEX(Items!$P$5:$P$504,U2958),"BELOW COST","OK")))),IF($D2958="","","PRO PLAN"))</f>
        <v/>
      </c>
      <c r="U2958" s="60" t="str">
        <f aca="false">IF(IsPro,IF($D2958="","",IFERROR(MATCH($D2958,Items!$A$5:$A$504,0),"")),"")</f>
        <v/>
      </c>
      <c r="V2958" s="60" t="str">
        <f aca="false">IF(IsPro,IF($C2958="","",IFERROR(MATCH($C2958,Parties!$A$5:$A$304,0),"")),"")</f>
        <v/>
      </c>
      <c r="W2958" s="60" t="str">
        <f aca="false">IF(IsPro,IF($B2958="","",IFERROR(VALUE(SUBSTITUTE($B2958,InvPrefix,"")),0)),"")</f>
        <v/>
      </c>
      <c r="X2958" s="61" t="str">
        <f aca="false">IF(IsPro,IF($D2958="","",IF(OR($H2958="",$H2958="Credit"),0,Q2958)),"")</f>
        <v/>
      </c>
    </row>
    <row r="2959" customFormat="false" ht="15" hidden="false" customHeight="false" outlineLevel="0" collapsed="false">
      <c r="A2959" s="55"/>
      <c r="B2959" s="56"/>
      <c r="C2959" s="56"/>
      <c r="D2959" s="56"/>
      <c r="E2959" s="57"/>
      <c r="F2959" s="58"/>
      <c r="G2959" s="59"/>
      <c r="H2959" s="56"/>
      <c r="I2959" s="56"/>
      <c r="J2959" s="60" t="str">
        <f aca="false">IF(IsPro,IF($D2959="","",IFERROR(INDEX(Items!$D$5:$D$504,U2959),"")),"")</f>
        <v/>
      </c>
      <c r="K2959" s="61" t="str">
        <f aca="false">IF(IsPro,IF($D2959="","",IF($F2959="",IFERROR(INDEX(Items!$H$5:$H$504,U2959),0),$F2959)),"")</f>
        <v/>
      </c>
      <c r="L2959" s="61" t="str">
        <f aca="false">IF(IsPro,IF($D2959="","",ROUND(N($E2959)*K2959*(1-N($G2959)),2)),"")</f>
        <v/>
      </c>
      <c r="M2959" s="62" t="str">
        <f aca="false">IF(IsPro,IF($D2959="","",IFERROR(INDEX(Items!$F$5:$F$504,U2959),0)),"")</f>
        <v/>
      </c>
      <c r="N2959" s="61" t="str">
        <f aca="false">IF(IsPro,IF($D2959="","",IF(AND(V2959&lt;&gt;"",INDEX(Parties!$E$5:$E$304,V2959)&lt;&gt;"",INDEX(Parties!$E$5:$E$304,V2959)&lt;&gt;HomeState),0,ROUND(L2959*M2959/2,2))),"")</f>
        <v/>
      </c>
      <c r="O2959" s="61" t="str">
        <f aca="false">IF(IsPro,IF($D2959="","",N2959),"")</f>
        <v/>
      </c>
      <c r="P2959" s="61" t="str">
        <f aca="false">IF(IsPro,IF($D2959="","",IF(AND(V2959&lt;&gt;"",INDEX(Parties!$E$5:$E$304,V2959)&lt;&gt;"",INDEX(Parties!$E$5:$E$304,V2959)&lt;&gt;HomeState),ROUND(L2959*M2959,2),0)),"")</f>
        <v/>
      </c>
      <c r="Q2959" s="61" t="str">
        <f aca="false">IF(IsPro,IF($D2959="","",L2959+N2959+O2959+P2959),"")</f>
        <v/>
      </c>
      <c r="R2959" s="61" t="str">
        <f aca="false">IF(IsPro,IF($D2959="","",ROUND(N($E2959)*IFERROR(INDEX(Items!$P$5:$P$504,U2959),0),2)),"")</f>
        <v/>
      </c>
      <c r="S2959" s="61" t="str">
        <f aca="false">IF(IsPro,IF($D2959="","",L2959-R2959),"")</f>
        <v/>
      </c>
      <c r="T2959" s="60" t="str">
        <f aca="false">IF(IsPro,IF($D2959="","",IF(U2959="","UNKNOWN ITEM",IF(INDEX(Items!$O$5:$O$504,U2959)&lt;0,"NEG STOCK",IF(K2959&lt;INDEX(Items!$P$5:$P$504,U2959),"BELOW COST","OK")))),IF($D2959="","","PRO PLAN"))</f>
        <v/>
      </c>
      <c r="U2959" s="60" t="str">
        <f aca="false">IF(IsPro,IF($D2959="","",IFERROR(MATCH($D2959,Items!$A$5:$A$504,0),"")),"")</f>
        <v/>
      </c>
      <c r="V2959" s="60" t="str">
        <f aca="false">IF(IsPro,IF($C2959="","",IFERROR(MATCH($C2959,Parties!$A$5:$A$304,0),"")),"")</f>
        <v/>
      </c>
      <c r="W2959" s="60" t="str">
        <f aca="false">IF(IsPro,IF($B2959="","",IFERROR(VALUE(SUBSTITUTE($B2959,InvPrefix,"")),0)),"")</f>
        <v/>
      </c>
      <c r="X2959" s="61" t="str">
        <f aca="false">IF(IsPro,IF($D2959="","",IF(OR($H2959="",$H2959="Credit"),0,Q2959)),"")</f>
        <v/>
      </c>
    </row>
    <row r="2960" customFormat="false" ht="15" hidden="false" customHeight="false" outlineLevel="0" collapsed="false">
      <c r="A2960" s="55"/>
      <c r="B2960" s="56"/>
      <c r="C2960" s="56"/>
      <c r="D2960" s="56"/>
      <c r="E2960" s="57"/>
      <c r="F2960" s="58"/>
      <c r="G2960" s="59"/>
      <c r="H2960" s="56"/>
      <c r="I2960" s="56"/>
      <c r="J2960" s="60" t="str">
        <f aca="false">IF(IsPro,IF($D2960="","",IFERROR(INDEX(Items!$D$5:$D$504,U2960),"")),"")</f>
        <v/>
      </c>
      <c r="K2960" s="61" t="str">
        <f aca="false">IF(IsPro,IF($D2960="","",IF($F2960="",IFERROR(INDEX(Items!$H$5:$H$504,U2960),0),$F2960)),"")</f>
        <v/>
      </c>
      <c r="L2960" s="61" t="str">
        <f aca="false">IF(IsPro,IF($D2960="","",ROUND(N($E2960)*K2960*(1-N($G2960)),2)),"")</f>
        <v/>
      </c>
      <c r="M2960" s="62" t="str">
        <f aca="false">IF(IsPro,IF($D2960="","",IFERROR(INDEX(Items!$F$5:$F$504,U2960),0)),"")</f>
        <v/>
      </c>
      <c r="N2960" s="61" t="str">
        <f aca="false">IF(IsPro,IF($D2960="","",IF(AND(V2960&lt;&gt;"",INDEX(Parties!$E$5:$E$304,V2960)&lt;&gt;"",INDEX(Parties!$E$5:$E$304,V2960)&lt;&gt;HomeState),0,ROUND(L2960*M2960/2,2))),"")</f>
        <v/>
      </c>
      <c r="O2960" s="61" t="str">
        <f aca="false">IF(IsPro,IF($D2960="","",N2960),"")</f>
        <v/>
      </c>
      <c r="P2960" s="61" t="str">
        <f aca="false">IF(IsPro,IF($D2960="","",IF(AND(V2960&lt;&gt;"",INDEX(Parties!$E$5:$E$304,V2960)&lt;&gt;"",INDEX(Parties!$E$5:$E$304,V2960)&lt;&gt;HomeState),ROUND(L2960*M2960,2),0)),"")</f>
        <v/>
      </c>
      <c r="Q2960" s="61" t="str">
        <f aca="false">IF(IsPro,IF($D2960="","",L2960+N2960+O2960+P2960),"")</f>
        <v/>
      </c>
      <c r="R2960" s="61" t="str">
        <f aca="false">IF(IsPro,IF($D2960="","",ROUND(N($E2960)*IFERROR(INDEX(Items!$P$5:$P$504,U2960),0),2)),"")</f>
        <v/>
      </c>
      <c r="S2960" s="61" t="str">
        <f aca="false">IF(IsPro,IF($D2960="","",L2960-R2960),"")</f>
        <v/>
      </c>
      <c r="T2960" s="60" t="str">
        <f aca="false">IF(IsPro,IF($D2960="","",IF(U2960="","UNKNOWN ITEM",IF(INDEX(Items!$O$5:$O$504,U2960)&lt;0,"NEG STOCK",IF(K2960&lt;INDEX(Items!$P$5:$P$504,U2960),"BELOW COST","OK")))),IF($D2960="","","PRO PLAN"))</f>
        <v/>
      </c>
      <c r="U2960" s="60" t="str">
        <f aca="false">IF(IsPro,IF($D2960="","",IFERROR(MATCH($D2960,Items!$A$5:$A$504,0),"")),"")</f>
        <v/>
      </c>
      <c r="V2960" s="60" t="str">
        <f aca="false">IF(IsPro,IF($C2960="","",IFERROR(MATCH($C2960,Parties!$A$5:$A$304,0),"")),"")</f>
        <v/>
      </c>
      <c r="W2960" s="60" t="str">
        <f aca="false">IF(IsPro,IF($B2960="","",IFERROR(VALUE(SUBSTITUTE($B2960,InvPrefix,"")),0)),"")</f>
        <v/>
      </c>
      <c r="X2960" s="61" t="str">
        <f aca="false">IF(IsPro,IF($D2960="","",IF(OR($H2960="",$H2960="Credit"),0,Q2960)),"")</f>
        <v/>
      </c>
    </row>
    <row r="2961" customFormat="false" ht="15" hidden="false" customHeight="false" outlineLevel="0" collapsed="false">
      <c r="A2961" s="55"/>
      <c r="B2961" s="56"/>
      <c r="C2961" s="56"/>
      <c r="D2961" s="56"/>
      <c r="E2961" s="57"/>
      <c r="F2961" s="58"/>
      <c r="G2961" s="59"/>
      <c r="H2961" s="56"/>
      <c r="I2961" s="56"/>
      <c r="J2961" s="60" t="str">
        <f aca="false">IF(IsPro,IF($D2961="","",IFERROR(INDEX(Items!$D$5:$D$504,U2961),"")),"")</f>
        <v/>
      </c>
      <c r="K2961" s="61" t="str">
        <f aca="false">IF(IsPro,IF($D2961="","",IF($F2961="",IFERROR(INDEX(Items!$H$5:$H$504,U2961),0),$F2961)),"")</f>
        <v/>
      </c>
      <c r="L2961" s="61" t="str">
        <f aca="false">IF(IsPro,IF($D2961="","",ROUND(N($E2961)*K2961*(1-N($G2961)),2)),"")</f>
        <v/>
      </c>
      <c r="M2961" s="62" t="str">
        <f aca="false">IF(IsPro,IF($D2961="","",IFERROR(INDEX(Items!$F$5:$F$504,U2961),0)),"")</f>
        <v/>
      </c>
      <c r="N2961" s="61" t="str">
        <f aca="false">IF(IsPro,IF($D2961="","",IF(AND(V2961&lt;&gt;"",INDEX(Parties!$E$5:$E$304,V2961)&lt;&gt;"",INDEX(Parties!$E$5:$E$304,V2961)&lt;&gt;HomeState),0,ROUND(L2961*M2961/2,2))),"")</f>
        <v/>
      </c>
      <c r="O2961" s="61" t="str">
        <f aca="false">IF(IsPro,IF($D2961="","",N2961),"")</f>
        <v/>
      </c>
      <c r="P2961" s="61" t="str">
        <f aca="false">IF(IsPro,IF($D2961="","",IF(AND(V2961&lt;&gt;"",INDEX(Parties!$E$5:$E$304,V2961)&lt;&gt;"",INDEX(Parties!$E$5:$E$304,V2961)&lt;&gt;HomeState),ROUND(L2961*M2961,2),0)),"")</f>
        <v/>
      </c>
      <c r="Q2961" s="61" t="str">
        <f aca="false">IF(IsPro,IF($D2961="","",L2961+N2961+O2961+P2961),"")</f>
        <v/>
      </c>
      <c r="R2961" s="61" t="str">
        <f aca="false">IF(IsPro,IF($D2961="","",ROUND(N($E2961)*IFERROR(INDEX(Items!$P$5:$P$504,U2961),0),2)),"")</f>
        <v/>
      </c>
      <c r="S2961" s="61" t="str">
        <f aca="false">IF(IsPro,IF($D2961="","",L2961-R2961),"")</f>
        <v/>
      </c>
      <c r="T2961" s="60" t="str">
        <f aca="false">IF(IsPro,IF($D2961="","",IF(U2961="","UNKNOWN ITEM",IF(INDEX(Items!$O$5:$O$504,U2961)&lt;0,"NEG STOCK",IF(K2961&lt;INDEX(Items!$P$5:$P$504,U2961),"BELOW COST","OK")))),IF($D2961="","","PRO PLAN"))</f>
        <v/>
      </c>
      <c r="U2961" s="60" t="str">
        <f aca="false">IF(IsPro,IF($D2961="","",IFERROR(MATCH($D2961,Items!$A$5:$A$504,0),"")),"")</f>
        <v/>
      </c>
      <c r="V2961" s="60" t="str">
        <f aca="false">IF(IsPro,IF($C2961="","",IFERROR(MATCH($C2961,Parties!$A$5:$A$304,0),"")),"")</f>
        <v/>
      </c>
      <c r="W2961" s="60" t="str">
        <f aca="false">IF(IsPro,IF($B2961="","",IFERROR(VALUE(SUBSTITUTE($B2961,InvPrefix,"")),0)),"")</f>
        <v/>
      </c>
      <c r="X2961" s="61" t="str">
        <f aca="false">IF(IsPro,IF($D2961="","",IF(OR($H2961="",$H2961="Credit"),0,Q2961)),"")</f>
        <v/>
      </c>
    </row>
    <row r="2962" customFormat="false" ht="15" hidden="false" customHeight="false" outlineLevel="0" collapsed="false">
      <c r="A2962" s="55"/>
      <c r="B2962" s="56"/>
      <c r="C2962" s="56"/>
      <c r="D2962" s="56"/>
      <c r="E2962" s="57"/>
      <c r="F2962" s="58"/>
      <c r="G2962" s="59"/>
      <c r="H2962" s="56"/>
      <c r="I2962" s="56"/>
      <c r="J2962" s="60" t="str">
        <f aca="false">IF(IsPro,IF($D2962="","",IFERROR(INDEX(Items!$D$5:$D$504,U2962),"")),"")</f>
        <v/>
      </c>
      <c r="K2962" s="61" t="str">
        <f aca="false">IF(IsPro,IF($D2962="","",IF($F2962="",IFERROR(INDEX(Items!$H$5:$H$504,U2962),0),$F2962)),"")</f>
        <v/>
      </c>
      <c r="L2962" s="61" t="str">
        <f aca="false">IF(IsPro,IF($D2962="","",ROUND(N($E2962)*K2962*(1-N($G2962)),2)),"")</f>
        <v/>
      </c>
      <c r="M2962" s="62" t="str">
        <f aca="false">IF(IsPro,IF($D2962="","",IFERROR(INDEX(Items!$F$5:$F$504,U2962),0)),"")</f>
        <v/>
      </c>
      <c r="N2962" s="61" t="str">
        <f aca="false">IF(IsPro,IF($D2962="","",IF(AND(V2962&lt;&gt;"",INDEX(Parties!$E$5:$E$304,V2962)&lt;&gt;"",INDEX(Parties!$E$5:$E$304,V2962)&lt;&gt;HomeState),0,ROUND(L2962*M2962/2,2))),"")</f>
        <v/>
      </c>
      <c r="O2962" s="61" t="str">
        <f aca="false">IF(IsPro,IF($D2962="","",N2962),"")</f>
        <v/>
      </c>
      <c r="P2962" s="61" t="str">
        <f aca="false">IF(IsPro,IF($D2962="","",IF(AND(V2962&lt;&gt;"",INDEX(Parties!$E$5:$E$304,V2962)&lt;&gt;"",INDEX(Parties!$E$5:$E$304,V2962)&lt;&gt;HomeState),ROUND(L2962*M2962,2),0)),"")</f>
        <v/>
      </c>
      <c r="Q2962" s="61" t="str">
        <f aca="false">IF(IsPro,IF($D2962="","",L2962+N2962+O2962+P2962),"")</f>
        <v/>
      </c>
      <c r="R2962" s="61" t="str">
        <f aca="false">IF(IsPro,IF($D2962="","",ROUND(N($E2962)*IFERROR(INDEX(Items!$P$5:$P$504,U2962),0),2)),"")</f>
        <v/>
      </c>
      <c r="S2962" s="61" t="str">
        <f aca="false">IF(IsPro,IF($D2962="","",L2962-R2962),"")</f>
        <v/>
      </c>
      <c r="T2962" s="60" t="str">
        <f aca="false">IF(IsPro,IF($D2962="","",IF(U2962="","UNKNOWN ITEM",IF(INDEX(Items!$O$5:$O$504,U2962)&lt;0,"NEG STOCK",IF(K2962&lt;INDEX(Items!$P$5:$P$504,U2962),"BELOW COST","OK")))),IF($D2962="","","PRO PLAN"))</f>
        <v/>
      </c>
      <c r="U2962" s="60" t="str">
        <f aca="false">IF(IsPro,IF($D2962="","",IFERROR(MATCH($D2962,Items!$A$5:$A$504,0),"")),"")</f>
        <v/>
      </c>
      <c r="V2962" s="60" t="str">
        <f aca="false">IF(IsPro,IF($C2962="","",IFERROR(MATCH($C2962,Parties!$A$5:$A$304,0),"")),"")</f>
        <v/>
      </c>
      <c r="W2962" s="60" t="str">
        <f aca="false">IF(IsPro,IF($B2962="","",IFERROR(VALUE(SUBSTITUTE($B2962,InvPrefix,"")),0)),"")</f>
        <v/>
      </c>
      <c r="X2962" s="61" t="str">
        <f aca="false">IF(IsPro,IF($D2962="","",IF(OR($H2962="",$H2962="Credit"),0,Q2962)),"")</f>
        <v/>
      </c>
    </row>
    <row r="2963" customFormat="false" ht="15" hidden="false" customHeight="false" outlineLevel="0" collapsed="false">
      <c r="A2963" s="55"/>
      <c r="B2963" s="56"/>
      <c r="C2963" s="56"/>
      <c r="D2963" s="56"/>
      <c r="E2963" s="57"/>
      <c r="F2963" s="58"/>
      <c r="G2963" s="59"/>
      <c r="H2963" s="56"/>
      <c r="I2963" s="56"/>
      <c r="J2963" s="60" t="str">
        <f aca="false">IF(IsPro,IF($D2963="","",IFERROR(INDEX(Items!$D$5:$D$504,U2963),"")),"")</f>
        <v/>
      </c>
      <c r="K2963" s="61" t="str">
        <f aca="false">IF(IsPro,IF($D2963="","",IF($F2963="",IFERROR(INDEX(Items!$H$5:$H$504,U2963),0),$F2963)),"")</f>
        <v/>
      </c>
      <c r="L2963" s="61" t="str">
        <f aca="false">IF(IsPro,IF($D2963="","",ROUND(N($E2963)*K2963*(1-N($G2963)),2)),"")</f>
        <v/>
      </c>
      <c r="M2963" s="62" t="str">
        <f aca="false">IF(IsPro,IF($D2963="","",IFERROR(INDEX(Items!$F$5:$F$504,U2963),0)),"")</f>
        <v/>
      </c>
      <c r="N2963" s="61" t="str">
        <f aca="false">IF(IsPro,IF($D2963="","",IF(AND(V2963&lt;&gt;"",INDEX(Parties!$E$5:$E$304,V2963)&lt;&gt;"",INDEX(Parties!$E$5:$E$304,V2963)&lt;&gt;HomeState),0,ROUND(L2963*M2963/2,2))),"")</f>
        <v/>
      </c>
      <c r="O2963" s="61" t="str">
        <f aca="false">IF(IsPro,IF($D2963="","",N2963),"")</f>
        <v/>
      </c>
      <c r="P2963" s="61" t="str">
        <f aca="false">IF(IsPro,IF($D2963="","",IF(AND(V2963&lt;&gt;"",INDEX(Parties!$E$5:$E$304,V2963)&lt;&gt;"",INDEX(Parties!$E$5:$E$304,V2963)&lt;&gt;HomeState),ROUND(L2963*M2963,2),0)),"")</f>
        <v/>
      </c>
      <c r="Q2963" s="61" t="str">
        <f aca="false">IF(IsPro,IF($D2963="","",L2963+N2963+O2963+P2963),"")</f>
        <v/>
      </c>
      <c r="R2963" s="61" t="str">
        <f aca="false">IF(IsPro,IF($D2963="","",ROUND(N($E2963)*IFERROR(INDEX(Items!$P$5:$P$504,U2963),0),2)),"")</f>
        <v/>
      </c>
      <c r="S2963" s="61" t="str">
        <f aca="false">IF(IsPro,IF($D2963="","",L2963-R2963),"")</f>
        <v/>
      </c>
      <c r="T2963" s="60" t="str">
        <f aca="false">IF(IsPro,IF($D2963="","",IF(U2963="","UNKNOWN ITEM",IF(INDEX(Items!$O$5:$O$504,U2963)&lt;0,"NEG STOCK",IF(K2963&lt;INDEX(Items!$P$5:$P$504,U2963),"BELOW COST","OK")))),IF($D2963="","","PRO PLAN"))</f>
        <v/>
      </c>
      <c r="U2963" s="60" t="str">
        <f aca="false">IF(IsPro,IF($D2963="","",IFERROR(MATCH($D2963,Items!$A$5:$A$504,0),"")),"")</f>
        <v/>
      </c>
      <c r="V2963" s="60" t="str">
        <f aca="false">IF(IsPro,IF($C2963="","",IFERROR(MATCH($C2963,Parties!$A$5:$A$304,0),"")),"")</f>
        <v/>
      </c>
      <c r="W2963" s="60" t="str">
        <f aca="false">IF(IsPro,IF($B2963="","",IFERROR(VALUE(SUBSTITUTE($B2963,InvPrefix,"")),0)),"")</f>
        <v/>
      </c>
      <c r="X2963" s="61" t="str">
        <f aca="false">IF(IsPro,IF($D2963="","",IF(OR($H2963="",$H2963="Credit"),0,Q2963)),"")</f>
        <v/>
      </c>
    </row>
    <row r="2964" customFormat="false" ht="15" hidden="false" customHeight="false" outlineLevel="0" collapsed="false">
      <c r="A2964" s="55"/>
      <c r="B2964" s="56"/>
      <c r="C2964" s="56"/>
      <c r="D2964" s="56"/>
      <c r="E2964" s="57"/>
      <c r="F2964" s="58"/>
      <c r="G2964" s="59"/>
      <c r="H2964" s="56"/>
      <c r="I2964" s="56"/>
      <c r="J2964" s="60" t="str">
        <f aca="false">IF(IsPro,IF($D2964="","",IFERROR(INDEX(Items!$D$5:$D$504,U2964),"")),"")</f>
        <v/>
      </c>
      <c r="K2964" s="61" t="str">
        <f aca="false">IF(IsPro,IF($D2964="","",IF($F2964="",IFERROR(INDEX(Items!$H$5:$H$504,U2964),0),$F2964)),"")</f>
        <v/>
      </c>
      <c r="L2964" s="61" t="str">
        <f aca="false">IF(IsPro,IF($D2964="","",ROUND(N($E2964)*K2964*(1-N($G2964)),2)),"")</f>
        <v/>
      </c>
      <c r="M2964" s="62" t="str">
        <f aca="false">IF(IsPro,IF($D2964="","",IFERROR(INDEX(Items!$F$5:$F$504,U2964),0)),"")</f>
        <v/>
      </c>
      <c r="N2964" s="61" t="str">
        <f aca="false">IF(IsPro,IF($D2964="","",IF(AND(V2964&lt;&gt;"",INDEX(Parties!$E$5:$E$304,V2964)&lt;&gt;"",INDEX(Parties!$E$5:$E$304,V2964)&lt;&gt;HomeState),0,ROUND(L2964*M2964/2,2))),"")</f>
        <v/>
      </c>
      <c r="O2964" s="61" t="str">
        <f aca="false">IF(IsPro,IF($D2964="","",N2964),"")</f>
        <v/>
      </c>
      <c r="P2964" s="61" t="str">
        <f aca="false">IF(IsPro,IF($D2964="","",IF(AND(V2964&lt;&gt;"",INDEX(Parties!$E$5:$E$304,V2964)&lt;&gt;"",INDEX(Parties!$E$5:$E$304,V2964)&lt;&gt;HomeState),ROUND(L2964*M2964,2),0)),"")</f>
        <v/>
      </c>
      <c r="Q2964" s="61" t="str">
        <f aca="false">IF(IsPro,IF($D2964="","",L2964+N2964+O2964+P2964),"")</f>
        <v/>
      </c>
      <c r="R2964" s="61" t="str">
        <f aca="false">IF(IsPro,IF($D2964="","",ROUND(N($E2964)*IFERROR(INDEX(Items!$P$5:$P$504,U2964),0),2)),"")</f>
        <v/>
      </c>
      <c r="S2964" s="61" t="str">
        <f aca="false">IF(IsPro,IF($D2964="","",L2964-R2964),"")</f>
        <v/>
      </c>
      <c r="T2964" s="60" t="str">
        <f aca="false">IF(IsPro,IF($D2964="","",IF(U2964="","UNKNOWN ITEM",IF(INDEX(Items!$O$5:$O$504,U2964)&lt;0,"NEG STOCK",IF(K2964&lt;INDEX(Items!$P$5:$P$504,U2964),"BELOW COST","OK")))),IF($D2964="","","PRO PLAN"))</f>
        <v/>
      </c>
      <c r="U2964" s="60" t="str">
        <f aca="false">IF(IsPro,IF($D2964="","",IFERROR(MATCH($D2964,Items!$A$5:$A$504,0),"")),"")</f>
        <v/>
      </c>
      <c r="V2964" s="60" t="str">
        <f aca="false">IF(IsPro,IF($C2964="","",IFERROR(MATCH($C2964,Parties!$A$5:$A$304,0),"")),"")</f>
        <v/>
      </c>
      <c r="W2964" s="60" t="str">
        <f aca="false">IF(IsPro,IF($B2964="","",IFERROR(VALUE(SUBSTITUTE($B2964,InvPrefix,"")),0)),"")</f>
        <v/>
      </c>
      <c r="X2964" s="61" t="str">
        <f aca="false">IF(IsPro,IF($D2964="","",IF(OR($H2964="",$H2964="Credit"),0,Q2964)),"")</f>
        <v/>
      </c>
    </row>
    <row r="2965" customFormat="false" ht="15" hidden="false" customHeight="false" outlineLevel="0" collapsed="false">
      <c r="A2965" s="55"/>
      <c r="B2965" s="56"/>
      <c r="C2965" s="56"/>
      <c r="D2965" s="56"/>
      <c r="E2965" s="57"/>
      <c r="F2965" s="58"/>
      <c r="G2965" s="59"/>
      <c r="H2965" s="56"/>
      <c r="I2965" s="56"/>
      <c r="J2965" s="60" t="str">
        <f aca="false">IF(IsPro,IF($D2965="","",IFERROR(INDEX(Items!$D$5:$D$504,U2965),"")),"")</f>
        <v/>
      </c>
      <c r="K2965" s="61" t="str">
        <f aca="false">IF(IsPro,IF($D2965="","",IF($F2965="",IFERROR(INDEX(Items!$H$5:$H$504,U2965),0),$F2965)),"")</f>
        <v/>
      </c>
      <c r="L2965" s="61" t="str">
        <f aca="false">IF(IsPro,IF($D2965="","",ROUND(N($E2965)*K2965*(1-N($G2965)),2)),"")</f>
        <v/>
      </c>
      <c r="M2965" s="62" t="str">
        <f aca="false">IF(IsPro,IF($D2965="","",IFERROR(INDEX(Items!$F$5:$F$504,U2965),0)),"")</f>
        <v/>
      </c>
      <c r="N2965" s="61" t="str">
        <f aca="false">IF(IsPro,IF($D2965="","",IF(AND(V2965&lt;&gt;"",INDEX(Parties!$E$5:$E$304,V2965)&lt;&gt;"",INDEX(Parties!$E$5:$E$304,V2965)&lt;&gt;HomeState),0,ROUND(L2965*M2965/2,2))),"")</f>
        <v/>
      </c>
      <c r="O2965" s="61" t="str">
        <f aca="false">IF(IsPro,IF($D2965="","",N2965),"")</f>
        <v/>
      </c>
      <c r="P2965" s="61" t="str">
        <f aca="false">IF(IsPro,IF($D2965="","",IF(AND(V2965&lt;&gt;"",INDEX(Parties!$E$5:$E$304,V2965)&lt;&gt;"",INDEX(Parties!$E$5:$E$304,V2965)&lt;&gt;HomeState),ROUND(L2965*M2965,2),0)),"")</f>
        <v/>
      </c>
      <c r="Q2965" s="61" t="str">
        <f aca="false">IF(IsPro,IF($D2965="","",L2965+N2965+O2965+P2965),"")</f>
        <v/>
      </c>
      <c r="R2965" s="61" t="str">
        <f aca="false">IF(IsPro,IF($D2965="","",ROUND(N($E2965)*IFERROR(INDEX(Items!$P$5:$P$504,U2965),0),2)),"")</f>
        <v/>
      </c>
      <c r="S2965" s="61" t="str">
        <f aca="false">IF(IsPro,IF($D2965="","",L2965-R2965),"")</f>
        <v/>
      </c>
      <c r="T2965" s="60" t="str">
        <f aca="false">IF(IsPro,IF($D2965="","",IF(U2965="","UNKNOWN ITEM",IF(INDEX(Items!$O$5:$O$504,U2965)&lt;0,"NEG STOCK",IF(K2965&lt;INDEX(Items!$P$5:$P$504,U2965),"BELOW COST","OK")))),IF($D2965="","","PRO PLAN"))</f>
        <v/>
      </c>
      <c r="U2965" s="60" t="str">
        <f aca="false">IF(IsPro,IF($D2965="","",IFERROR(MATCH($D2965,Items!$A$5:$A$504,0),"")),"")</f>
        <v/>
      </c>
      <c r="V2965" s="60" t="str">
        <f aca="false">IF(IsPro,IF($C2965="","",IFERROR(MATCH($C2965,Parties!$A$5:$A$304,0),"")),"")</f>
        <v/>
      </c>
      <c r="W2965" s="60" t="str">
        <f aca="false">IF(IsPro,IF($B2965="","",IFERROR(VALUE(SUBSTITUTE($B2965,InvPrefix,"")),0)),"")</f>
        <v/>
      </c>
      <c r="X2965" s="61" t="str">
        <f aca="false">IF(IsPro,IF($D2965="","",IF(OR($H2965="",$H2965="Credit"),0,Q2965)),"")</f>
        <v/>
      </c>
    </row>
    <row r="2966" customFormat="false" ht="15" hidden="false" customHeight="false" outlineLevel="0" collapsed="false">
      <c r="A2966" s="55"/>
      <c r="B2966" s="56"/>
      <c r="C2966" s="56"/>
      <c r="D2966" s="56"/>
      <c r="E2966" s="57"/>
      <c r="F2966" s="58"/>
      <c r="G2966" s="59"/>
      <c r="H2966" s="56"/>
      <c r="I2966" s="56"/>
      <c r="J2966" s="60" t="str">
        <f aca="false">IF(IsPro,IF($D2966="","",IFERROR(INDEX(Items!$D$5:$D$504,U2966),"")),"")</f>
        <v/>
      </c>
      <c r="K2966" s="61" t="str">
        <f aca="false">IF(IsPro,IF($D2966="","",IF($F2966="",IFERROR(INDEX(Items!$H$5:$H$504,U2966),0),$F2966)),"")</f>
        <v/>
      </c>
      <c r="L2966" s="61" t="str">
        <f aca="false">IF(IsPro,IF($D2966="","",ROUND(N($E2966)*K2966*(1-N($G2966)),2)),"")</f>
        <v/>
      </c>
      <c r="M2966" s="62" t="str">
        <f aca="false">IF(IsPro,IF($D2966="","",IFERROR(INDEX(Items!$F$5:$F$504,U2966),0)),"")</f>
        <v/>
      </c>
      <c r="N2966" s="61" t="str">
        <f aca="false">IF(IsPro,IF($D2966="","",IF(AND(V2966&lt;&gt;"",INDEX(Parties!$E$5:$E$304,V2966)&lt;&gt;"",INDEX(Parties!$E$5:$E$304,V2966)&lt;&gt;HomeState),0,ROUND(L2966*M2966/2,2))),"")</f>
        <v/>
      </c>
      <c r="O2966" s="61" t="str">
        <f aca="false">IF(IsPro,IF($D2966="","",N2966),"")</f>
        <v/>
      </c>
      <c r="P2966" s="61" t="str">
        <f aca="false">IF(IsPro,IF($D2966="","",IF(AND(V2966&lt;&gt;"",INDEX(Parties!$E$5:$E$304,V2966)&lt;&gt;"",INDEX(Parties!$E$5:$E$304,V2966)&lt;&gt;HomeState),ROUND(L2966*M2966,2),0)),"")</f>
        <v/>
      </c>
      <c r="Q2966" s="61" t="str">
        <f aca="false">IF(IsPro,IF($D2966="","",L2966+N2966+O2966+P2966),"")</f>
        <v/>
      </c>
      <c r="R2966" s="61" t="str">
        <f aca="false">IF(IsPro,IF($D2966="","",ROUND(N($E2966)*IFERROR(INDEX(Items!$P$5:$P$504,U2966),0),2)),"")</f>
        <v/>
      </c>
      <c r="S2966" s="61" t="str">
        <f aca="false">IF(IsPro,IF($D2966="","",L2966-R2966),"")</f>
        <v/>
      </c>
      <c r="T2966" s="60" t="str">
        <f aca="false">IF(IsPro,IF($D2966="","",IF(U2966="","UNKNOWN ITEM",IF(INDEX(Items!$O$5:$O$504,U2966)&lt;0,"NEG STOCK",IF(K2966&lt;INDEX(Items!$P$5:$P$504,U2966),"BELOW COST","OK")))),IF($D2966="","","PRO PLAN"))</f>
        <v/>
      </c>
      <c r="U2966" s="60" t="str">
        <f aca="false">IF(IsPro,IF($D2966="","",IFERROR(MATCH($D2966,Items!$A$5:$A$504,0),"")),"")</f>
        <v/>
      </c>
      <c r="V2966" s="60" t="str">
        <f aca="false">IF(IsPro,IF($C2966="","",IFERROR(MATCH($C2966,Parties!$A$5:$A$304,0),"")),"")</f>
        <v/>
      </c>
      <c r="W2966" s="60" t="str">
        <f aca="false">IF(IsPro,IF($B2966="","",IFERROR(VALUE(SUBSTITUTE($B2966,InvPrefix,"")),0)),"")</f>
        <v/>
      </c>
      <c r="X2966" s="61" t="str">
        <f aca="false">IF(IsPro,IF($D2966="","",IF(OR($H2966="",$H2966="Credit"),0,Q2966)),"")</f>
        <v/>
      </c>
    </row>
    <row r="2967" customFormat="false" ht="15" hidden="false" customHeight="false" outlineLevel="0" collapsed="false">
      <c r="A2967" s="55"/>
      <c r="B2967" s="56"/>
      <c r="C2967" s="56"/>
      <c r="D2967" s="56"/>
      <c r="E2967" s="57"/>
      <c r="F2967" s="58"/>
      <c r="G2967" s="59"/>
      <c r="H2967" s="56"/>
      <c r="I2967" s="56"/>
      <c r="J2967" s="60" t="str">
        <f aca="false">IF(IsPro,IF($D2967="","",IFERROR(INDEX(Items!$D$5:$D$504,U2967),"")),"")</f>
        <v/>
      </c>
      <c r="K2967" s="61" t="str">
        <f aca="false">IF(IsPro,IF($D2967="","",IF($F2967="",IFERROR(INDEX(Items!$H$5:$H$504,U2967),0),$F2967)),"")</f>
        <v/>
      </c>
      <c r="L2967" s="61" t="str">
        <f aca="false">IF(IsPro,IF($D2967="","",ROUND(N($E2967)*K2967*(1-N($G2967)),2)),"")</f>
        <v/>
      </c>
      <c r="M2967" s="62" t="str">
        <f aca="false">IF(IsPro,IF($D2967="","",IFERROR(INDEX(Items!$F$5:$F$504,U2967),0)),"")</f>
        <v/>
      </c>
      <c r="N2967" s="61" t="str">
        <f aca="false">IF(IsPro,IF($D2967="","",IF(AND(V2967&lt;&gt;"",INDEX(Parties!$E$5:$E$304,V2967)&lt;&gt;"",INDEX(Parties!$E$5:$E$304,V2967)&lt;&gt;HomeState),0,ROUND(L2967*M2967/2,2))),"")</f>
        <v/>
      </c>
      <c r="O2967" s="61" t="str">
        <f aca="false">IF(IsPro,IF($D2967="","",N2967),"")</f>
        <v/>
      </c>
      <c r="P2967" s="61" t="str">
        <f aca="false">IF(IsPro,IF($D2967="","",IF(AND(V2967&lt;&gt;"",INDEX(Parties!$E$5:$E$304,V2967)&lt;&gt;"",INDEX(Parties!$E$5:$E$304,V2967)&lt;&gt;HomeState),ROUND(L2967*M2967,2),0)),"")</f>
        <v/>
      </c>
      <c r="Q2967" s="61" t="str">
        <f aca="false">IF(IsPro,IF($D2967="","",L2967+N2967+O2967+P2967),"")</f>
        <v/>
      </c>
      <c r="R2967" s="61" t="str">
        <f aca="false">IF(IsPro,IF($D2967="","",ROUND(N($E2967)*IFERROR(INDEX(Items!$P$5:$P$504,U2967),0),2)),"")</f>
        <v/>
      </c>
      <c r="S2967" s="61" t="str">
        <f aca="false">IF(IsPro,IF($D2967="","",L2967-R2967),"")</f>
        <v/>
      </c>
      <c r="T2967" s="60" t="str">
        <f aca="false">IF(IsPro,IF($D2967="","",IF(U2967="","UNKNOWN ITEM",IF(INDEX(Items!$O$5:$O$504,U2967)&lt;0,"NEG STOCK",IF(K2967&lt;INDEX(Items!$P$5:$P$504,U2967),"BELOW COST","OK")))),IF($D2967="","","PRO PLAN"))</f>
        <v/>
      </c>
      <c r="U2967" s="60" t="str">
        <f aca="false">IF(IsPro,IF($D2967="","",IFERROR(MATCH($D2967,Items!$A$5:$A$504,0),"")),"")</f>
        <v/>
      </c>
      <c r="V2967" s="60" t="str">
        <f aca="false">IF(IsPro,IF($C2967="","",IFERROR(MATCH($C2967,Parties!$A$5:$A$304,0),"")),"")</f>
        <v/>
      </c>
      <c r="W2967" s="60" t="str">
        <f aca="false">IF(IsPro,IF($B2967="","",IFERROR(VALUE(SUBSTITUTE($B2967,InvPrefix,"")),0)),"")</f>
        <v/>
      </c>
      <c r="X2967" s="61" t="str">
        <f aca="false">IF(IsPro,IF($D2967="","",IF(OR($H2967="",$H2967="Credit"),0,Q2967)),"")</f>
        <v/>
      </c>
    </row>
    <row r="2968" customFormat="false" ht="15" hidden="false" customHeight="false" outlineLevel="0" collapsed="false">
      <c r="A2968" s="55"/>
      <c r="B2968" s="56"/>
      <c r="C2968" s="56"/>
      <c r="D2968" s="56"/>
      <c r="E2968" s="57"/>
      <c r="F2968" s="58"/>
      <c r="G2968" s="59"/>
      <c r="H2968" s="56"/>
      <c r="I2968" s="56"/>
      <c r="J2968" s="60" t="str">
        <f aca="false">IF(IsPro,IF($D2968="","",IFERROR(INDEX(Items!$D$5:$D$504,U2968),"")),"")</f>
        <v/>
      </c>
      <c r="K2968" s="61" t="str">
        <f aca="false">IF(IsPro,IF($D2968="","",IF($F2968="",IFERROR(INDEX(Items!$H$5:$H$504,U2968),0),$F2968)),"")</f>
        <v/>
      </c>
      <c r="L2968" s="61" t="str">
        <f aca="false">IF(IsPro,IF($D2968="","",ROUND(N($E2968)*K2968*(1-N($G2968)),2)),"")</f>
        <v/>
      </c>
      <c r="M2968" s="62" t="str">
        <f aca="false">IF(IsPro,IF($D2968="","",IFERROR(INDEX(Items!$F$5:$F$504,U2968),0)),"")</f>
        <v/>
      </c>
      <c r="N2968" s="61" t="str">
        <f aca="false">IF(IsPro,IF($D2968="","",IF(AND(V2968&lt;&gt;"",INDEX(Parties!$E$5:$E$304,V2968)&lt;&gt;"",INDEX(Parties!$E$5:$E$304,V2968)&lt;&gt;HomeState),0,ROUND(L2968*M2968/2,2))),"")</f>
        <v/>
      </c>
      <c r="O2968" s="61" t="str">
        <f aca="false">IF(IsPro,IF($D2968="","",N2968),"")</f>
        <v/>
      </c>
      <c r="P2968" s="61" t="str">
        <f aca="false">IF(IsPro,IF($D2968="","",IF(AND(V2968&lt;&gt;"",INDEX(Parties!$E$5:$E$304,V2968)&lt;&gt;"",INDEX(Parties!$E$5:$E$304,V2968)&lt;&gt;HomeState),ROUND(L2968*M2968,2),0)),"")</f>
        <v/>
      </c>
      <c r="Q2968" s="61" t="str">
        <f aca="false">IF(IsPro,IF($D2968="","",L2968+N2968+O2968+P2968),"")</f>
        <v/>
      </c>
      <c r="R2968" s="61" t="str">
        <f aca="false">IF(IsPro,IF($D2968="","",ROUND(N($E2968)*IFERROR(INDEX(Items!$P$5:$P$504,U2968),0),2)),"")</f>
        <v/>
      </c>
      <c r="S2968" s="61" t="str">
        <f aca="false">IF(IsPro,IF($D2968="","",L2968-R2968),"")</f>
        <v/>
      </c>
      <c r="T2968" s="60" t="str">
        <f aca="false">IF(IsPro,IF($D2968="","",IF(U2968="","UNKNOWN ITEM",IF(INDEX(Items!$O$5:$O$504,U2968)&lt;0,"NEG STOCK",IF(K2968&lt;INDEX(Items!$P$5:$P$504,U2968),"BELOW COST","OK")))),IF($D2968="","","PRO PLAN"))</f>
        <v/>
      </c>
      <c r="U2968" s="60" t="str">
        <f aca="false">IF(IsPro,IF($D2968="","",IFERROR(MATCH($D2968,Items!$A$5:$A$504,0),"")),"")</f>
        <v/>
      </c>
      <c r="V2968" s="60" t="str">
        <f aca="false">IF(IsPro,IF($C2968="","",IFERROR(MATCH($C2968,Parties!$A$5:$A$304,0),"")),"")</f>
        <v/>
      </c>
      <c r="W2968" s="60" t="str">
        <f aca="false">IF(IsPro,IF($B2968="","",IFERROR(VALUE(SUBSTITUTE($B2968,InvPrefix,"")),0)),"")</f>
        <v/>
      </c>
      <c r="X2968" s="61" t="str">
        <f aca="false">IF(IsPro,IF($D2968="","",IF(OR($H2968="",$H2968="Credit"),0,Q2968)),"")</f>
        <v/>
      </c>
    </row>
    <row r="2969" customFormat="false" ht="15" hidden="false" customHeight="false" outlineLevel="0" collapsed="false">
      <c r="A2969" s="55"/>
      <c r="B2969" s="56"/>
      <c r="C2969" s="56"/>
      <c r="D2969" s="56"/>
      <c r="E2969" s="57"/>
      <c r="F2969" s="58"/>
      <c r="G2969" s="59"/>
      <c r="H2969" s="56"/>
      <c r="I2969" s="56"/>
      <c r="J2969" s="60" t="str">
        <f aca="false">IF(IsPro,IF($D2969="","",IFERROR(INDEX(Items!$D$5:$D$504,U2969),"")),"")</f>
        <v/>
      </c>
      <c r="K2969" s="61" t="str">
        <f aca="false">IF(IsPro,IF($D2969="","",IF($F2969="",IFERROR(INDEX(Items!$H$5:$H$504,U2969),0),$F2969)),"")</f>
        <v/>
      </c>
      <c r="L2969" s="61" t="str">
        <f aca="false">IF(IsPro,IF($D2969="","",ROUND(N($E2969)*K2969*(1-N($G2969)),2)),"")</f>
        <v/>
      </c>
      <c r="M2969" s="62" t="str">
        <f aca="false">IF(IsPro,IF($D2969="","",IFERROR(INDEX(Items!$F$5:$F$504,U2969),0)),"")</f>
        <v/>
      </c>
      <c r="N2969" s="61" t="str">
        <f aca="false">IF(IsPro,IF($D2969="","",IF(AND(V2969&lt;&gt;"",INDEX(Parties!$E$5:$E$304,V2969)&lt;&gt;"",INDEX(Parties!$E$5:$E$304,V2969)&lt;&gt;HomeState),0,ROUND(L2969*M2969/2,2))),"")</f>
        <v/>
      </c>
      <c r="O2969" s="61" t="str">
        <f aca="false">IF(IsPro,IF($D2969="","",N2969),"")</f>
        <v/>
      </c>
      <c r="P2969" s="61" t="str">
        <f aca="false">IF(IsPro,IF($D2969="","",IF(AND(V2969&lt;&gt;"",INDEX(Parties!$E$5:$E$304,V2969)&lt;&gt;"",INDEX(Parties!$E$5:$E$304,V2969)&lt;&gt;HomeState),ROUND(L2969*M2969,2),0)),"")</f>
        <v/>
      </c>
      <c r="Q2969" s="61" t="str">
        <f aca="false">IF(IsPro,IF($D2969="","",L2969+N2969+O2969+P2969),"")</f>
        <v/>
      </c>
      <c r="R2969" s="61" t="str">
        <f aca="false">IF(IsPro,IF($D2969="","",ROUND(N($E2969)*IFERROR(INDEX(Items!$P$5:$P$504,U2969),0),2)),"")</f>
        <v/>
      </c>
      <c r="S2969" s="61" t="str">
        <f aca="false">IF(IsPro,IF($D2969="","",L2969-R2969),"")</f>
        <v/>
      </c>
      <c r="T2969" s="60" t="str">
        <f aca="false">IF(IsPro,IF($D2969="","",IF(U2969="","UNKNOWN ITEM",IF(INDEX(Items!$O$5:$O$504,U2969)&lt;0,"NEG STOCK",IF(K2969&lt;INDEX(Items!$P$5:$P$504,U2969),"BELOW COST","OK")))),IF($D2969="","","PRO PLAN"))</f>
        <v/>
      </c>
      <c r="U2969" s="60" t="str">
        <f aca="false">IF(IsPro,IF($D2969="","",IFERROR(MATCH($D2969,Items!$A$5:$A$504,0),"")),"")</f>
        <v/>
      </c>
      <c r="V2969" s="60" t="str">
        <f aca="false">IF(IsPro,IF($C2969="","",IFERROR(MATCH($C2969,Parties!$A$5:$A$304,0),"")),"")</f>
        <v/>
      </c>
      <c r="W2969" s="60" t="str">
        <f aca="false">IF(IsPro,IF($B2969="","",IFERROR(VALUE(SUBSTITUTE($B2969,InvPrefix,"")),0)),"")</f>
        <v/>
      </c>
      <c r="X2969" s="61" t="str">
        <f aca="false">IF(IsPro,IF($D2969="","",IF(OR($H2969="",$H2969="Credit"),0,Q2969)),"")</f>
        <v/>
      </c>
    </row>
    <row r="2970" customFormat="false" ht="15" hidden="false" customHeight="false" outlineLevel="0" collapsed="false">
      <c r="A2970" s="55"/>
      <c r="B2970" s="56"/>
      <c r="C2970" s="56"/>
      <c r="D2970" s="56"/>
      <c r="E2970" s="57"/>
      <c r="F2970" s="58"/>
      <c r="G2970" s="59"/>
      <c r="H2970" s="56"/>
      <c r="I2970" s="56"/>
      <c r="J2970" s="60" t="str">
        <f aca="false">IF(IsPro,IF($D2970="","",IFERROR(INDEX(Items!$D$5:$D$504,U2970),"")),"")</f>
        <v/>
      </c>
      <c r="K2970" s="61" t="str">
        <f aca="false">IF(IsPro,IF($D2970="","",IF($F2970="",IFERROR(INDEX(Items!$H$5:$H$504,U2970),0),$F2970)),"")</f>
        <v/>
      </c>
      <c r="L2970" s="61" t="str">
        <f aca="false">IF(IsPro,IF($D2970="","",ROUND(N($E2970)*K2970*(1-N($G2970)),2)),"")</f>
        <v/>
      </c>
      <c r="M2970" s="62" t="str">
        <f aca="false">IF(IsPro,IF($D2970="","",IFERROR(INDEX(Items!$F$5:$F$504,U2970),0)),"")</f>
        <v/>
      </c>
      <c r="N2970" s="61" t="str">
        <f aca="false">IF(IsPro,IF($D2970="","",IF(AND(V2970&lt;&gt;"",INDEX(Parties!$E$5:$E$304,V2970)&lt;&gt;"",INDEX(Parties!$E$5:$E$304,V2970)&lt;&gt;HomeState),0,ROUND(L2970*M2970/2,2))),"")</f>
        <v/>
      </c>
      <c r="O2970" s="61" t="str">
        <f aca="false">IF(IsPro,IF($D2970="","",N2970),"")</f>
        <v/>
      </c>
      <c r="P2970" s="61" t="str">
        <f aca="false">IF(IsPro,IF($D2970="","",IF(AND(V2970&lt;&gt;"",INDEX(Parties!$E$5:$E$304,V2970)&lt;&gt;"",INDEX(Parties!$E$5:$E$304,V2970)&lt;&gt;HomeState),ROUND(L2970*M2970,2),0)),"")</f>
        <v/>
      </c>
      <c r="Q2970" s="61" t="str">
        <f aca="false">IF(IsPro,IF($D2970="","",L2970+N2970+O2970+P2970),"")</f>
        <v/>
      </c>
      <c r="R2970" s="61" t="str">
        <f aca="false">IF(IsPro,IF($D2970="","",ROUND(N($E2970)*IFERROR(INDEX(Items!$P$5:$P$504,U2970),0),2)),"")</f>
        <v/>
      </c>
      <c r="S2970" s="61" t="str">
        <f aca="false">IF(IsPro,IF($D2970="","",L2970-R2970),"")</f>
        <v/>
      </c>
      <c r="T2970" s="60" t="str">
        <f aca="false">IF(IsPro,IF($D2970="","",IF(U2970="","UNKNOWN ITEM",IF(INDEX(Items!$O$5:$O$504,U2970)&lt;0,"NEG STOCK",IF(K2970&lt;INDEX(Items!$P$5:$P$504,U2970),"BELOW COST","OK")))),IF($D2970="","","PRO PLAN"))</f>
        <v/>
      </c>
      <c r="U2970" s="60" t="str">
        <f aca="false">IF(IsPro,IF($D2970="","",IFERROR(MATCH($D2970,Items!$A$5:$A$504,0),"")),"")</f>
        <v/>
      </c>
      <c r="V2970" s="60" t="str">
        <f aca="false">IF(IsPro,IF($C2970="","",IFERROR(MATCH($C2970,Parties!$A$5:$A$304,0),"")),"")</f>
        <v/>
      </c>
      <c r="W2970" s="60" t="str">
        <f aca="false">IF(IsPro,IF($B2970="","",IFERROR(VALUE(SUBSTITUTE($B2970,InvPrefix,"")),0)),"")</f>
        <v/>
      </c>
      <c r="X2970" s="61" t="str">
        <f aca="false">IF(IsPro,IF($D2970="","",IF(OR($H2970="",$H2970="Credit"),0,Q2970)),"")</f>
        <v/>
      </c>
    </row>
    <row r="2971" customFormat="false" ht="15" hidden="false" customHeight="false" outlineLevel="0" collapsed="false">
      <c r="A2971" s="55"/>
      <c r="B2971" s="56"/>
      <c r="C2971" s="56"/>
      <c r="D2971" s="56"/>
      <c r="E2971" s="57"/>
      <c r="F2971" s="58"/>
      <c r="G2971" s="59"/>
      <c r="H2971" s="56"/>
      <c r="I2971" s="56"/>
      <c r="J2971" s="60" t="str">
        <f aca="false">IF(IsPro,IF($D2971="","",IFERROR(INDEX(Items!$D$5:$D$504,U2971),"")),"")</f>
        <v/>
      </c>
      <c r="K2971" s="61" t="str">
        <f aca="false">IF(IsPro,IF($D2971="","",IF($F2971="",IFERROR(INDEX(Items!$H$5:$H$504,U2971),0),$F2971)),"")</f>
        <v/>
      </c>
      <c r="L2971" s="61" t="str">
        <f aca="false">IF(IsPro,IF($D2971="","",ROUND(N($E2971)*K2971*(1-N($G2971)),2)),"")</f>
        <v/>
      </c>
      <c r="M2971" s="62" t="str">
        <f aca="false">IF(IsPro,IF($D2971="","",IFERROR(INDEX(Items!$F$5:$F$504,U2971),0)),"")</f>
        <v/>
      </c>
      <c r="N2971" s="61" t="str">
        <f aca="false">IF(IsPro,IF($D2971="","",IF(AND(V2971&lt;&gt;"",INDEX(Parties!$E$5:$E$304,V2971)&lt;&gt;"",INDEX(Parties!$E$5:$E$304,V2971)&lt;&gt;HomeState),0,ROUND(L2971*M2971/2,2))),"")</f>
        <v/>
      </c>
      <c r="O2971" s="61" t="str">
        <f aca="false">IF(IsPro,IF($D2971="","",N2971),"")</f>
        <v/>
      </c>
      <c r="P2971" s="61" t="str">
        <f aca="false">IF(IsPro,IF($D2971="","",IF(AND(V2971&lt;&gt;"",INDEX(Parties!$E$5:$E$304,V2971)&lt;&gt;"",INDEX(Parties!$E$5:$E$304,V2971)&lt;&gt;HomeState),ROUND(L2971*M2971,2),0)),"")</f>
        <v/>
      </c>
      <c r="Q2971" s="61" t="str">
        <f aca="false">IF(IsPro,IF($D2971="","",L2971+N2971+O2971+P2971),"")</f>
        <v/>
      </c>
      <c r="R2971" s="61" t="str">
        <f aca="false">IF(IsPro,IF($D2971="","",ROUND(N($E2971)*IFERROR(INDEX(Items!$P$5:$P$504,U2971),0),2)),"")</f>
        <v/>
      </c>
      <c r="S2971" s="61" t="str">
        <f aca="false">IF(IsPro,IF($D2971="","",L2971-R2971),"")</f>
        <v/>
      </c>
      <c r="T2971" s="60" t="str">
        <f aca="false">IF(IsPro,IF($D2971="","",IF(U2971="","UNKNOWN ITEM",IF(INDEX(Items!$O$5:$O$504,U2971)&lt;0,"NEG STOCK",IF(K2971&lt;INDEX(Items!$P$5:$P$504,U2971),"BELOW COST","OK")))),IF($D2971="","","PRO PLAN"))</f>
        <v/>
      </c>
      <c r="U2971" s="60" t="str">
        <f aca="false">IF(IsPro,IF($D2971="","",IFERROR(MATCH($D2971,Items!$A$5:$A$504,0),"")),"")</f>
        <v/>
      </c>
      <c r="V2971" s="60" t="str">
        <f aca="false">IF(IsPro,IF($C2971="","",IFERROR(MATCH($C2971,Parties!$A$5:$A$304,0),"")),"")</f>
        <v/>
      </c>
      <c r="W2971" s="60" t="str">
        <f aca="false">IF(IsPro,IF($B2971="","",IFERROR(VALUE(SUBSTITUTE($B2971,InvPrefix,"")),0)),"")</f>
        <v/>
      </c>
      <c r="X2971" s="61" t="str">
        <f aca="false">IF(IsPro,IF($D2971="","",IF(OR($H2971="",$H2971="Credit"),0,Q2971)),"")</f>
        <v/>
      </c>
    </row>
    <row r="2972" customFormat="false" ht="15" hidden="false" customHeight="false" outlineLevel="0" collapsed="false">
      <c r="A2972" s="55"/>
      <c r="B2972" s="56"/>
      <c r="C2972" s="56"/>
      <c r="D2972" s="56"/>
      <c r="E2972" s="57"/>
      <c r="F2972" s="58"/>
      <c r="G2972" s="59"/>
      <c r="H2972" s="56"/>
      <c r="I2972" s="56"/>
      <c r="J2972" s="60" t="str">
        <f aca="false">IF(IsPro,IF($D2972="","",IFERROR(INDEX(Items!$D$5:$D$504,U2972),"")),"")</f>
        <v/>
      </c>
      <c r="K2972" s="61" t="str">
        <f aca="false">IF(IsPro,IF($D2972="","",IF($F2972="",IFERROR(INDEX(Items!$H$5:$H$504,U2972),0),$F2972)),"")</f>
        <v/>
      </c>
      <c r="L2972" s="61" t="str">
        <f aca="false">IF(IsPro,IF($D2972="","",ROUND(N($E2972)*K2972*(1-N($G2972)),2)),"")</f>
        <v/>
      </c>
      <c r="M2972" s="62" t="str">
        <f aca="false">IF(IsPro,IF($D2972="","",IFERROR(INDEX(Items!$F$5:$F$504,U2972),0)),"")</f>
        <v/>
      </c>
      <c r="N2972" s="61" t="str">
        <f aca="false">IF(IsPro,IF($D2972="","",IF(AND(V2972&lt;&gt;"",INDEX(Parties!$E$5:$E$304,V2972)&lt;&gt;"",INDEX(Parties!$E$5:$E$304,V2972)&lt;&gt;HomeState),0,ROUND(L2972*M2972/2,2))),"")</f>
        <v/>
      </c>
      <c r="O2972" s="61" t="str">
        <f aca="false">IF(IsPro,IF($D2972="","",N2972),"")</f>
        <v/>
      </c>
      <c r="P2972" s="61" t="str">
        <f aca="false">IF(IsPro,IF($D2972="","",IF(AND(V2972&lt;&gt;"",INDEX(Parties!$E$5:$E$304,V2972)&lt;&gt;"",INDEX(Parties!$E$5:$E$304,V2972)&lt;&gt;HomeState),ROUND(L2972*M2972,2),0)),"")</f>
        <v/>
      </c>
      <c r="Q2972" s="61" t="str">
        <f aca="false">IF(IsPro,IF($D2972="","",L2972+N2972+O2972+P2972),"")</f>
        <v/>
      </c>
      <c r="R2972" s="61" t="str">
        <f aca="false">IF(IsPro,IF($D2972="","",ROUND(N($E2972)*IFERROR(INDEX(Items!$P$5:$P$504,U2972),0),2)),"")</f>
        <v/>
      </c>
      <c r="S2972" s="61" t="str">
        <f aca="false">IF(IsPro,IF($D2972="","",L2972-R2972),"")</f>
        <v/>
      </c>
      <c r="T2972" s="60" t="str">
        <f aca="false">IF(IsPro,IF($D2972="","",IF(U2972="","UNKNOWN ITEM",IF(INDEX(Items!$O$5:$O$504,U2972)&lt;0,"NEG STOCK",IF(K2972&lt;INDEX(Items!$P$5:$P$504,U2972),"BELOW COST","OK")))),IF($D2972="","","PRO PLAN"))</f>
        <v/>
      </c>
      <c r="U2972" s="60" t="str">
        <f aca="false">IF(IsPro,IF($D2972="","",IFERROR(MATCH($D2972,Items!$A$5:$A$504,0),"")),"")</f>
        <v/>
      </c>
      <c r="V2972" s="60" t="str">
        <f aca="false">IF(IsPro,IF($C2972="","",IFERROR(MATCH($C2972,Parties!$A$5:$A$304,0),"")),"")</f>
        <v/>
      </c>
      <c r="W2972" s="60" t="str">
        <f aca="false">IF(IsPro,IF($B2972="","",IFERROR(VALUE(SUBSTITUTE($B2972,InvPrefix,"")),0)),"")</f>
        <v/>
      </c>
      <c r="X2972" s="61" t="str">
        <f aca="false">IF(IsPro,IF($D2972="","",IF(OR($H2972="",$H2972="Credit"),0,Q2972)),"")</f>
        <v/>
      </c>
    </row>
    <row r="2973" customFormat="false" ht="15" hidden="false" customHeight="false" outlineLevel="0" collapsed="false">
      <c r="A2973" s="55"/>
      <c r="B2973" s="56"/>
      <c r="C2973" s="56"/>
      <c r="D2973" s="56"/>
      <c r="E2973" s="57"/>
      <c r="F2973" s="58"/>
      <c r="G2973" s="59"/>
      <c r="H2973" s="56"/>
      <c r="I2973" s="56"/>
      <c r="J2973" s="60" t="str">
        <f aca="false">IF(IsPro,IF($D2973="","",IFERROR(INDEX(Items!$D$5:$D$504,U2973),"")),"")</f>
        <v/>
      </c>
      <c r="K2973" s="61" t="str">
        <f aca="false">IF(IsPro,IF($D2973="","",IF($F2973="",IFERROR(INDEX(Items!$H$5:$H$504,U2973),0),$F2973)),"")</f>
        <v/>
      </c>
      <c r="L2973" s="61" t="str">
        <f aca="false">IF(IsPro,IF($D2973="","",ROUND(N($E2973)*K2973*(1-N($G2973)),2)),"")</f>
        <v/>
      </c>
      <c r="M2973" s="62" t="str">
        <f aca="false">IF(IsPro,IF($D2973="","",IFERROR(INDEX(Items!$F$5:$F$504,U2973),0)),"")</f>
        <v/>
      </c>
      <c r="N2973" s="61" t="str">
        <f aca="false">IF(IsPro,IF($D2973="","",IF(AND(V2973&lt;&gt;"",INDEX(Parties!$E$5:$E$304,V2973)&lt;&gt;"",INDEX(Parties!$E$5:$E$304,V2973)&lt;&gt;HomeState),0,ROUND(L2973*M2973/2,2))),"")</f>
        <v/>
      </c>
      <c r="O2973" s="61" t="str">
        <f aca="false">IF(IsPro,IF($D2973="","",N2973),"")</f>
        <v/>
      </c>
      <c r="P2973" s="61" t="str">
        <f aca="false">IF(IsPro,IF($D2973="","",IF(AND(V2973&lt;&gt;"",INDEX(Parties!$E$5:$E$304,V2973)&lt;&gt;"",INDEX(Parties!$E$5:$E$304,V2973)&lt;&gt;HomeState),ROUND(L2973*M2973,2),0)),"")</f>
        <v/>
      </c>
      <c r="Q2973" s="61" t="str">
        <f aca="false">IF(IsPro,IF($D2973="","",L2973+N2973+O2973+P2973),"")</f>
        <v/>
      </c>
      <c r="R2973" s="61" t="str">
        <f aca="false">IF(IsPro,IF($D2973="","",ROUND(N($E2973)*IFERROR(INDEX(Items!$P$5:$P$504,U2973),0),2)),"")</f>
        <v/>
      </c>
      <c r="S2973" s="61" t="str">
        <f aca="false">IF(IsPro,IF($D2973="","",L2973-R2973),"")</f>
        <v/>
      </c>
      <c r="T2973" s="60" t="str">
        <f aca="false">IF(IsPro,IF($D2973="","",IF(U2973="","UNKNOWN ITEM",IF(INDEX(Items!$O$5:$O$504,U2973)&lt;0,"NEG STOCK",IF(K2973&lt;INDEX(Items!$P$5:$P$504,U2973),"BELOW COST","OK")))),IF($D2973="","","PRO PLAN"))</f>
        <v/>
      </c>
      <c r="U2973" s="60" t="str">
        <f aca="false">IF(IsPro,IF($D2973="","",IFERROR(MATCH($D2973,Items!$A$5:$A$504,0),"")),"")</f>
        <v/>
      </c>
      <c r="V2973" s="60" t="str">
        <f aca="false">IF(IsPro,IF($C2973="","",IFERROR(MATCH($C2973,Parties!$A$5:$A$304,0),"")),"")</f>
        <v/>
      </c>
      <c r="W2973" s="60" t="str">
        <f aca="false">IF(IsPro,IF($B2973="","",IFERROR(VALUE(SUBSTITUTE($B2973,InvPrefix,"")),0)),"")</f>
        <v/>
      </c>
      <c r="X2973" s="61" t="str">
        <f aca="false">IF(IsPro,IF($D2973="","",IF(OR($H2973="",$H2973="Credit"),0,Q2973)),"")</f>
        <v/>
      </c>
    </row>
    <row r="2974" customFormat="false" ht="15" hidden="false" customHeight="false" outlineLevel="0" collapsed="false">
      <c r="A2974" s="55"/>
      <c r="B2974" s="56"/>
      <c r="C2974" s="56"/>
      <c r="D2974" s="56"/>
      <c r="E2974" s="57"/>
      <c r="F2974" s="58"/>
      <c r="G2974" s="59"/>
      <c r="H2974" s="56"/>
      <c r="I2974" s="56"/>
      <c r="J2974" s="60" t="str">
        <f aca="false">IF(IsPro,IF($D2974="","",IFERROR(INDEX(Items!$D$5:$D$504,U2974),"")),"")</f>
        <v/>
      </c>
      <c r="K2974" s="61" t="str">
        <f aca="false">IF(IsPro,IF($D2974="","",IF($F2974="",IFERROR(INDEX(Items!$H$5:$H$504,U2974),0),$F2974)),"")</f>
        <v/>
      </c>
      <c r="L2974" s="61" t="str">
        <f aca="false">IF(IsPro,IF($D2974="","",ROUND(N($E2974)*K2974*(1-N($G2974)),2)),"")</f>
        <v/>
      </c>
      <c r="M2974" s="62" t="str">
        <f aca="false">IF(IsPro,IF($D2974="","",IFERROR(INDEX(Items!$F$5:$F$504,U2974),0)),"")</f>
        <v/>
      </c>
      <c r="N2974" s="61" t="str">
        <f aca="false">IF(IsPro,IF($D2974="","",IF(AND(V2974&lt;&gt;"",INDEX(Parties!$E$5:$E$304,V2974)&lt;&gt;"",INDEX(Parties!$E$5:$E$304,V2974)&lt;&gt;HomeState),0,ROUND(L2974*M2974/2,2))),"")</f>
        <v/>
      </c>
      <c r="O2974" s="61" t="str">
        <f aca="false">IF(IsPro,IF($D2974="","",N2974),"")</f>
        <v/>
      </c>
      <c r="P2974" s="61" t="str">
        <f aca="false">IF(IsPro,IF($D2974="","",IF(AND(V2974&lt;&gt;"",INDEX(Parties!$E$5:$E$304,V2974)&lt;&gt;"",INDEX(Parties!$E$5:$E$304,V2974)&lt;&gt;HomeState),ROUND(L2974*M2974,2),0)),"")</f>
        <v/>
      </c>
      <c r="Q2974" s="61" t="str">
        <f aca="false">IF(IsPro,IF($D2974="","",L2974+N2974+O2974+P2974),"")</f>
        <v/>
      </c>
      <c r="R2974" s="61" t="str">
        <f aca="false">IF(IsPro,IF($D2974="","",ROUND(N($E2974)*IFERROR(INDEX(Items!$P$5:$P$504,U2974),0),2)),"")</f>
        <v/>
      </c>
      <c r="S2974" s="61" t="str">
        <f aca="false">IF(IsPro,IF($D2974="","",L2974-R2974),"")</f>
        <v/>
      </c>
      <c r="T2974" s="60" t="str">
        <f aca="false">IF(IsPro,IF($D2974="","",IF(U2974="","UNKNOWN ITEM",IF(INDEX(Items!$O$5:$O$504,U2974)&lt;0,"NEG STOCK",IF(K2974&lt;INDEX(Items!$P$5:$P$504,U2974),"BELOW COST","OK")))),IF($D2974="","","PRO PLAN"))</f>
        <v/>
      </c>
      <c r="U2974" s="60" t="str">
        <f aca="false">IF(IsPro,IF($D2974="","",IFERROR(MATCH($D2974,Items!$A$5:$A$504,0),"")),"")</f>
        <v/>
      </c>
      <c r="V2974" s="60" t="str">
        <f aca="false">IF(IsPro,IF($C2974="","",IFERROR(MATCH($C2974,Parties!$A$5:$A$304,0),"")),"")</f>
        <v/>
      </c>
      <c r="W2974" s="60" t="str">
        <f aca="false">IF(IsPro,IF($B2974="","",IFERROR(VALUE(SUBSTITUTE($B2974,InvPrefix,"")),0)),"")</f>
        <v/>
      </c>
      <c r="X2974" s="61" t="str">
        <f aca="false">IF(IsPro,IF($D2974="","",IF(OR($H2974="",$H2974="Credit"),0,Q2974)),"")</f>
        <v/>
      </c>
    </row>
    <row r="2975" customFormat="false" ht="15" hidden="false" customHeight="false" outlineLevel="0" collapsed="false">
      <c r="A2975" s="55"/>
      <c r="B2975" s="56"/>
      <c r="C2975" s="56"/>
      <c r="D2975" s="56"/>
      <c r="E2975" s="57"/>
      <c r="F2975" s="58"/>
      <c r="G2975" s="59"/>
      <c r="H2975" s="56"/>
      <c r="I2975" s="56"/>
      <c r="J2975" s="60" t="str">
        <f aca="false">IF(IsPro,IF($D2975="","",IFERROR(INDEX(Items!$D$5:$D$504,U2975),"")),"")</f>
        <v/>
      </c>
      <c r="K2975" s="61" t="str">
        <f aca="false">IF(IsPro,IF($D2975="","",IF($F2975="",IFERROR(INDEX(Items!$H$5:$H$504,U2975),0),$F2975)),"")</f>
        <v/>
      </c>
      <c r="L2975" s="61" t="str">
        <f aca="false">IF(IsPro,IF($D2975="","",ROUND(N($E2975)*K2975*(1-N($G2975)),2)),"")</f>
        <v/>
      </c>
      <c r="M2975" s="62" t="str">
        <f aca="false">IF(IsPro,IF($D2975="","",IFERROR(INDEX(Items!$F$5:$F$504,U2975),0)),"")</f>
        <v/>
      </c>
      <c r="N2975" s="61" t="str">
        <f aca="false">IF(IsPro,IF($D2975="","",IF(AND(V2975&lt;&gt;"",INDEX(Parties!$E$5:$E$304,V2975)&lt;&gt;"",INDEX(Parties!$E$5:$E$304,V2975)&lt;&gt;HomeState),0,ROUND(L2975*M2975/2,2))),"")</f>
        <v/>
      </c>
      <c r="O2975" s="61" t="str">
        <f aca="false">IF(IsPro,IF($D2975="","",N2975),"")</f>
        <v/>
      </c>
      <c r="P2975" s="61" t="str">
        <f aca="false">IF(IsPro,IF($D2975="","",IF(AND(V2975&lt;&gt;"",INDEX(Parties!$E$5:$E$304,V2975)&lt;&gt;"",INDEX(Parties!$E$5:$E$304,V2975)&lt;&gt;HomeState),ROUND(L2975*M2975,2),0)),"")</f>
        <v/>
      </c>
      <c r="Q2975" s="61" t="str">
        <f aca="false">IF(IsPro,IF($D2975="","",L2975+N2975+O2975+P2975),"")</f>
        <v/>
      </c>
      <c r="R2975" s="61" t="str">
        <f aca="false">IF(IsPro,IF($D2975="","",ROUND(N($E2975)*IFERROR(INDEX(Items!$P$5:$P$504,U2975),0),2)),"")</f>
        <v/>
      </c>
      <c r="S2975" s="61" t="str">
        <f aca="false">IF(IsPro,IF($D2975="","",L2975-R2975),"")</f>
        <v/>
      </c>
      <c r="T2975" s="60" t="str">
        <f aca="false">IF(IsPro,IF($D2975="","",IF(U2975="","UNKNOWN ITEM",IF(INDEX(Items!$O$5:$O$504,U2975)&lt;0,"NEG STOCK",IF(K2975&lt;INDEX(Items!$P$5:$P$504,U2975),"BELOW COST","OK")))),IF($D2975="","","PRO PLAN"))</f>
        <v/>
      </c>
      <c r="U2975" s="60" t="str">
        <f aca="false">IF(IsPro,IF($D2975="","",IFERROR(MATCH($D2975,Items!$A$5:$A$504,0),"")),"")</f>
        <v/>
      </c>
      <c r="V2975" s="60" t="str">
        <f aca="false">IF(IsPro,IF($C2975="","",IFERROR(MATCH($C2975,Parties!$A$5:$A$304,0),"")),"")</f>
        <v/>
      </c>
      <c r="W2975" s="60" t="str">
        <f aca="false">IF(IsPro,IF($B2975="","",IFERROR(VALUE(SUBSTITUTE($B2975,InvPrefix,"")),0)),"")</f>
        <v/>
      </c>
      <c r="X2975" s="61" t="str">
        <f aca="false">IF(IsPro,IF($D2975="","",IF(OR($H2975="",$H2975="Credit"),0,Q2975)),"")</f>
        <v/>
      </c>
    </row>
    <row r="2976" customFormat="false" ht="15" hidden="false" customHeight="false" outlineLevel="0" collapsed="false">
      <c r="A2976" s="55"/>
      <c r="B2976" s="56"/>
      <c r="C2976" s="56"/>
      <c r="D2976" s="56"/>
      <c r="E2976" s="57"/>
      <c r="F2976" s="58"/>
      <c r="G2976" s="59"/>
      <c r="H2976" s="56"/>
      <c r="I2976" s="56"/>
      <c r="J2976" s="60" t="str">
        <f aca="false">IF(IsPro,IF($D2976="","",IFERROR(INDEX(Items!$D$5:$D$504,U2976),"")),"")</f>
        <v/>
      </c>
      <c r="K2976" s="61" t="str">
        <f aca="false">IF(IsPro,IF($D2976="","",IF($F2976="",IFERROR(INDEX(Items!$H$5:$H$504,U2976),0),$F2976)),"")</f>
        <v/>
      </c>
      <c r="L2976" s="61" t="str">
        <f aca="false">IF(IsPro,IF($D2976="","",ROUND(N($E2976)*K2976*(1-N($G2976)),2)),"")</f>
        <v/>
      </c>
      <c r="M2976" s="62" t="str">
        <f aca="false">IF(IsPro,IF($D2976="","",IFERROR(INDEX(Items!$F$5:$F$504,U2976),0)),"")</f>
        <v/>
      </c>
      <c r="N2976" s="61" t="str">
        <f aca="false">IF(IsPro,IF($D2976="","",IF(AND(V2976&lt;&gt;"",INDEX(Parties!$E$5:$E$304,V2976)&lt;&gt;"",INDEX(Parties!$E$5:$E$304,V2976)&lt;&gt;HomeState),0,ROUND(L2976*M2976/2,2))),"")</f>
        <v/>
      </c>
      <c r="O2976" s="61" t="str">
        <f aca="false">IF(IsPro,IF($D2976="","",N2976),"")</f>
        <v/>
      </c>
      <c r="P2976" s="61" t="str">
        <f aca="false">IF(IsPro,IF($D2976="","",IF(AND(V2976&lt;&gt;"",INDEX(Parties!$E$5:$E$304,V2976)&lt;&gt;"",INDEX(Parties!$E$5:$E$304,V2976)&lt;&gt;HomeState),ROUND(L2976*M2976,2),0)),"")</f>
        <v/>
      </c>
      <c r="Q2976" s="61" t="str">
        <f aca="false">IF(IsPro,IF($D2976="","",L2976+N2976+O2976+P2976),"")</f>
        <v/>
      </c>
      <c r="R2976" s="61" t="str">
        <f aca="false">IF(IsPro,IF($D2976="","",ROUND(N($E2976)*IFERROR(INDEX(Items!$P$5:$P$504,U2976),0),2)),"")</f>
        <v/>
      </c>
      <c r="S2976" s="61" t="str">
        <f aca="false">IF(IsPro,IF($D2976="","",L2976-R2976),"")</f>
        <v/>
      </c>
      <c r="T2976" s="60" t="str">
        <f aca="false">IF(IsPro,IF($D2976="","",IF(U2976="","UNKNOWN ITEM",IF(INDEX(Items!$O$5:$O$504,U2976)&lt;0,"NEG STOCK",IF(K2976&lt;INDEX(Items!$P$5:$P$504,U2976),"BELOW COST","OK")))),IF($D2976="","","PRO PLAN"))</f>
        <v/>
      </c>
      <c r="U2976" s="60" t="str">
        <f aca="false">IF(IsPro,IF($D2976="","",IFERROR(MATCH($D2976,Items!$A$5:$A$504,0),"")),"")</f>
        <v/>
      </c>
      <c r="V2976" s="60" t="str">
        <f aca="false">IF(IsPro,IF($C2976="","",IFERROR(MATCH($C2976,Parties!$A$5:$A$304,0),"")),"")</f>
        <v/>
      </c>
      <c r="W2976" s="60" t="str">
        <f aca="false">IF(IsPro,IF($B2976="","",IFERROR(VALUE(SUBSTITUTE($B2976,InvPrefix,"")),0)),"")</f>
        <v/>
      </c>
      <c r="X2976" s="61" t="str">
        <f aca="false">IF(IsPro,IF($D2976="","",IF(OR($H2976="",$H2976="Credit"),0,Q2976)),"")</f>
        <v/>
      </c>
    </row>
    <row r="2977" customFormat="false" ht="15" hidden="false" customHeight="false" outlineLevel="0" collapsed="false">
      <c r="A2977" s="55"/>
      <c r="B2977" s="56"/>
      <c r="C2977" s="56"/>
      <c r="D2977" s="56"/>
      <c r="E2977" s="57"/>
      <c r="F2977" s="58"/>
      <c r="G2977" s="59"/>
      <c r="H2977" s="56"/>
      <c r="I2977" s="56"/>
      <c r="J2977" s="60" t="str">
        <f aca="false">IF(IsPro,IF($D2977="","",IFERROR(INDEX(Items!$D$5:$D$504,U2977),"")),"")</f>
        <v/>
      </c>
      <c r="K2977" s="61" t="str">
        <f aca="false">IF(IsPro,IF($D2977="","",IF($F2977="",IFERROR(INDEX(Items!$H$5:$H$504,U2977),0),$F2977)),"")</f>
        <v/>
      </c>
      <c r="L2977" s="61" t="str">
        <f aca="false">IF(IsPro,IF($D2977="","",ROUND(N($E2977)*K2977*(1-N($G2977)),2)),"")</f>
        <v/>
      </c>
      <c r="M2977" s="62" t="str">
        <f aca="false">IF(IsPro,IF($D2977="","",IFERROR(INDEX(Items!$F$5:$F$504,U2977),0)),"")</f>
        <v/>
      </c>
      <c r="N2977" s="61" t="str">
        <f aca="false">IF(IsPro,IF($D2977="","",IF(AND(V2977&lt;&gt;"",INDEX(Parties!$E$5:$E$304,V2977)&lt;&gt;"",INDEX(Parties!$E$5:$E$304,V2977)&lt;&gt;HomeState),0,ROUND(L2977*M2977/2,2))),"")</f>
        <v/>
      </c>
      <c r="O2977" s="61" t="str">
        <f aca="false">IF(IsPro,IF($D2977="","",N2977),"")</f>
        <v/>
      </c>
      <c r="P2977" s="61" t="str">
        <f aca="false">IF(IsPro,IF($D2977="","",IF(AND(V2977&lt;&gt;"",INDEX(Parties!$E$5:$E$304,V2977)&lt;&gt;"",INDEX(Parties!$E$5:$E$304,V2977)&lt;&gt;HomeState),ROUND(L2977*M2977,2),0)),"")</f>
        <v/>
      </c>
      <c r="Q2977" s="61" t="str">
        <f aca="false">IF(IsPro,IF($D2977="","",L2977+N2977+O2977+P2977),"")</f>
        <v/>
      </c>
      <c r="R2977" s="61" t="str">
        <f aca="false">IF(IsPro,IF($D2977="","",ROUND(N($E2977)*IFERROR(INDEX(Items!$P$5:$P$504,U2977),0),2)),"")</f>
        <v/>
      </c>
      <c r="S2977" s="61" t="str">
        <f aca="false">IF(IsPro,IF($D2977="","",L2977-R2977),"")</f>
        <v/>
      </c>
      <c r="T2977" s="60" t="str">
        <f aca="false">IF(IsPro,IF($D2977="","",IF(U2977="","UNKNOWN ITEM",IF(INDEX(Items!$O$5:$O$504,U2977)&lt;0,"NEG STOCK",IF(K2977&lt;INDEX(Items!$P$5:$P$504,U2977),"BELOW COST","OK")))),IF($D2977="","","PRO PLAN"))</f>
        <v/>
      </c>
      <c r="U2977" s="60" t="str">
        <f aca="false">IF(IsPro,IF($D2977="","",IFERROR(MATCH($D2977,Items!$A$5:$A$504,0),"")),"")</f>
        <v/>
      </c>
      <c r="V2977" s="60" t="str">
        <f aca="false">IF(IsPro,IF($C2977="","",IFERROR(MATCH($C2977,Parties!$A$5:$A$304,0),"")),"")</f>
        <v/>
      </c>
      <c r="W2977" s="60" t="str">
        <f aca="false">IF(IsPro,IF($B2977="","",IFERROR(VALUE(SUBSTITUTE($B2977,InvPrefix,"")),0)),"")</f>
        <v/>
      </c>
      <c r="X2977" s="61" t="str">
        <f aca="false">IF(IsPro,IF($D2977="","",IF(OR($H2977="",$H2977="Credit"),0,Q2977)),"")</f>
        <v/>
      </c>
    </row>
    <row r="2978" customFormat="false" ht="15" hidden="false" customHeight="false" outlineLevel="0" collapsed="false">
      <c r="A2978" s="55"/>
      <c r="B2978" s="56"/>
      <c r="C2978" s="56"/>
      <c r="D2978" s="56"/>
      <c r="E2978" s="57"/>
      <c r="F2978" s="58"/>
      <c r="G2978" s="59"/>
      <c r="H2978" s="56"/>
      <c r="I2978" s="56"/>
      <c r="J2978" s="60" t="str">
        <f aca="false">IF(IsPro,IF($D2978="","",IFERROR(INDEX(Items!$D$5:$D$504,U2978),"")),"")</f>
        <v/>
      </c>
      <c r="K2978" s="61" t="str">
        <f aca="false">IF(IsPro,IF($D2978="","",IF($F2978="",IFERROR(INDEX(Items!$H$5:$H$504,U2978),0),$F2978)),"")</f>
        <v/>
      </c>
      <c r="L2978" s="61" t="str">
        <f aca="false">IF(IsPro,IF($D2978="","",ROUND(N($E2978)*K2978*(1-N($G2978)),2)),"")</f>
        <v/>
      </c>
      <c r="M2978" s="62" t="str">
        <f aca="false">IF(IsPro,IF($D2978="","",IFERROR(INDEX(Items!$F$5:$F$504,U2978),0)),"")</f>
        <v/>
      </c>
      <c r="N2978" s="61" t="str">
        <f aca="false">IF(IsPro,IF($D2978="","",IF(AND(V2978&lt;&gt;"",INDEX(Parties!$E$5:$E$304,V2978)&lt;&gt;"",INDEX(Parties!$E$5:$E$304,V2978)&lt;&gt;HomeState),0,ROUND(L2978*M2978/2,2))),"")</f>
        <v/>
      </c>
      <c r="O2978" s="61" t="str">
        <f aca="false">IF(IsPro,IF($D2978="","",N2978),"")</f>
        <v/>
      </c>
      <c r="P2978" s="61" t="str">
        <f aca="false">IF(IsPro,IF($D2978="","",IF(AND(V2978&lt;&gt;"",INDEX(Parties!$E$5:$E$304,V2978)&lt;&gt;"",INDEX(Parties!$E$5:$E$304,V2978)&lt;&gt;HomeState),ROUND(L2978*M2978,2),0)),"")</f>
        <v/>
      </c>
      <c r="Q2978" s="61" t="str">
        <f aca="false">IF(IsPro,IF($D2978="","",L2978+N2978+O2978+P2978),"")</f>
        <v/>
      </c>
      <c r="R2978" s="61" t="str">
        <f aca="false">IF(IsPro,IF($D2978="","",ROUND(N($E2978)*IFERROR(INDEX(Items!$P$5:$P$504,U2978),0),2)),"")</f>
        <v/>
      </c>
      <c r="S2978" s="61" t="str">
        <f aca="false">IF(IsPro,IF($D2978="","",L2978-R2978),"")</f>
        <v/>
      </c>
      <c r="T2978" s="60" t="str">
        <f aca="false">IF(IsPro,IF($D2978="","",IF(U2978="","UNKNOWN ITEM",IF(INDEX(Items!$O$5:$O$504,U2978)&lt;0,"NEG STOCK",IF(K2978&lt;INDEX(Items!$P$5:$P$504,U2978),"BELOW COST","OK")))),IF($D2978="","","PRO PLAN"))</f>
        <v/>
      </c>
      <c r="U2978" s="60" t="str">
        <f aca="false">IF(IsPro,IF($D2978="","",IFERROR(MATCH($D2978,Items!$A$5:$A$504,0),"")),"")</f>
        <v/>
      </c>
      <c r="V2978" s="60" t="str">
        <f aca="false">IF(IsPro,IF($C2978="","",IFERROR(MATCH($C2978,Parties!$A$5:$A$304,0),"")),"")</f>
        <v/>
      </c>
      <c r="W2978" s="60" t="str">
        <f aca="false">IF(IsPro,IF($B2978="","",IFERROR(VALUE(SUBSTITUTE($B2978,InvPrefix,"")),0)),"")</f>
        <v/>
      </c>
      <c r="X2978" s="61" t="str">
        <f aca="false">IF(IsPro,IF($D2978="","",IF(OR($H2978="",$H2978="Credit"),0,Q2978)),"")</f>
        <v/>
      </c>
    </row>
    <row r="2979" customFormat="false" ht="15" hidden="false" customHeight="false" outlineLevel="0" collapsed="false">
      <c r="A2979" s="55"/>
      <c r="B2979" s="56"/>
      <c r="C2979" s="56"/>
      <c r="D2979" s="56"/>
      <c r="E2979" s="57"/>
      <c r="F2979" s="58"/>
      <c r="G2979" s="59"/>
      <c r="H2979" s="56"/>
      <c r="I2979" s="56"/>
      <c r="J2979" s="60" t="str">
        <f aca="false">IF(IsPro,IF($D2979="","",IFERROR(INDEX(Items!$D$5:$D$504,U2979),"")),"")</f>
        <v/>
      </c>
      <c r="K2979" s="61" t="str">
        <f aca="false">IF(IsPro,IF($D2979="","",IF($F2979="",IFERROR(INDEX(Items!$H$5:$H$504,U2979),0),$F2979)),"")</f>
        <v/>
      </c>
      <c r="L2979" s="61" t="str">
        <f aca="false">IF(IsPro,IF($D2979="","",ROUND(N($E2979)*K2979*(1-N($G2979)),2)),"")</f>
        <v/>
      </c>
      <c r="M2979" s="62" t="str">
        <f aca="false">IF(IsPro,IF($D2979="","",IFERROR(INDEX(Items!$F$5:$F$504,U2979),0)),"")</f>
        <v/>
      </c>
      <c r="N2979" s="61" t="str">
        <f aca="false">IF(IsPro,IF($D2979="","",IF(AND(V2979&lt;&gt;"",INDEX(Parties!$E$5:$E$304,V2979)&lt;&gt;"",INDEX(Parties!$E$5:$E$304,V2979)&lt;&gt;HomeState),0,ROUND(L2979*M2979/2,2))),"")</f>
        <v/>
      </c>
      <c r="O2979" s="61" t="str">
        <f aca="false">IF(IsPro,IF($D2979="","",N2979),"")</f>
        <v/>
      </c>
      <c r="P2979" s="61" t="str">
        <f aca="false">IF(IsPro,IF($D2979="","",IF(AND(V2979&lt;&gt;"",INDEX(Parties!$E$5:$E$304,V2979)&lt;&gt;"",INDEX(Parties!$E$5:$E$304,V2979)&lt;&gt;HomeState),ROUND(L2979*M2979,2),0)),"")</f>
        <v/>
      </c>
      <c r="Q2979" s="61" t="str">
        <f aca="false">IF(IsPro,IF($D2979="","",L2979+N2979+O2979+P2979),"")</f>
        <v/>
      </c>
      <c r="R2979" s="61" t="str">
        <f aca="false">IF(IsPro,IF($D2979="","",ROUND(N($E2979)*IFERROR(INDEX(Items!$P$5:$P$504,U2979),0),2)),"")</f>
        <v/>
      </c>
      <c r="S2979" s="61" t="str">
        <f aca="false">IF(IsPro,IF($D2979="","",L2979-R2979),"")</f>
        <v/>
      </c>
      <c r="T2979" s="60" t="str">
        <f aca="false">IF(IsPro,IF($D2979="","",IF(U2979="","UNKNOWN ITEM",IF(INDEX(Items!$O$5:$O$504,U2979)&lt;0,"NEG STOCK",IF(K2979&lt;INDEX(Items!$P$5:$P$504,U2979),"BELOW COST","OK")))),IF($D2979="","","PRO PLAN"))</f>
        <v/>
      </c>
      <c r="U2979" s="60" t="str">
        <f aca="false">IF(IsPro,IF($D2979="","",IFERROR(MATCH($D2979,Items!$A$5:$A$504,0),"")),"")</f>
        <v/>
      </c>
      <c r="V2979" s="60" t="str">
        <f aca="false">IF(IsPro,IF($C2979="","",IFERROR(MATCH($C2979,Parties!$A$5:$A$304,0),"")),"")</f>
        <v/>
      </c>
      <c r="W2979" s="60" t="str">
        <f aca="false">IF(IsPro,IF($B2979="","",IFERROR(VALUE(SUBSTITUTE($B2979,InvPrefix,"")),0)),"")</f>
        <v/>
      </c>
      <c r="X2979" s="61" t="str">
        <f aca="false">IF(IsPro,IF($D2979="","",IF(OR($H2979="",$H2979="Credit"),0,Q2979)),"")</f>
        <v/>
      </c>
    </row>
    <row r="2980" customFormat="false" ht="15" hidden="false" customHeight="false" outlineLevel="0" collapsed="false">
      <c r="A2980" s="55"/>
      <c r="B2980" s="56"/>
      <c r="C2980" s="56"/>
      <c r="D2980" s="56"/>
      <c r="E2980" s="57"/>
      <c r="F2980" s="58"/>
      <c r="G2980" s="59"/>
      <c r="H2980" s="56"/>
      <c r="I2980" s="56"/>
      <c r="J2980" s="60" t="str">
        <f aca="false">IF(IsPro,IF($D2980="","",IFERROR(INDEX(Items!$D$5:$D$504,U2980),"")),"")</f>
        <v/>
      </c>
      <c r="K2980" s="61" t="str">
        <f aca="false">IF(IsPro,IF($D2980="","",IF($F2980="",IFERROR(INDEX(Items!$H$5:$H$504,U2980),0),$F2980)),"")</f>
        <v/>
      </c>
      <c r="L2980" s="61" t="str">
        <f aca="false">IF(IsPro,IF($D2980="","",ROUND(N($E2980)*K2980*(1-N($G2980)),2)),"")</f>
        <v/>
      </c>
      <c r="M2980" s="62" t="str">
        <f aca="false">IF(IsPro,IF($D2980="","",IFERROR(INDEX(Items!$F$5:$F$504,U2980),0)),"")</f>
        <v/>
      </c>
      <c r="N2980" s="61" t="str">
        <f aca="false">IF(IsPro,IF($D2980="","",IF(AND(V2980&lt;&gt;"",INDEX(Parties!$E$5:$E$304,V2980)&lt;&gt;"",INDEX(Parties!$E$5:$E$304,V2980)&lt;&gt;HomeState),0,ROUND(L2980*M2980/2,2))),"")</f>
        <v/>
      </c>
      <c r="O2980" s="61" t="str">
        <f aca="false">IF(IsPro,IF($D2980="","",N2980),"")</f>
        <v/>
      </c>
      <c r="P2980" s="61" t="str">
        <f aca="false">IF(IsPro,IF($D2980="","",IF(AND(V2980&lt;&gt;"",INDEX(Parties!$E$5:$E$304,V2980)&lt;&gt;"",INDEX(Parties!$E$5:$E$304,V2980)&lt;&gt;HomeState),ROUND(L2980*M2980,2),0)),"")</f>
        <v/>
      </c>
      <c r="Q2980" s="61" t="str">
        <f aca="false">IF(IsPro,IF($D2980="","",L2980+N2980+O2980+P2980),"")</f>
        <v/>
      </c>
      <c r="R2980" s="61" t="str">
        <f aca="false">IF(IsPro,IF($D2980="","",ROUND(N($E2980)*IFERROR(INDEX(Items!$P$5:$P$504,U2980),0),2)),"")</f>
        <v/>
      </c>
      <c r="S2980" s="61" t="str">
        <f aca="false">IF(IsPro,IF($D2980="","",L2980-R2980),"")</f>
        <v/>
      </c>
      <c r="T2980" s="60" t="str">
        <f aca="false">IF(IsPro,IF($D2980="","",IF(U2980="","UNKNOWN ITEM",IF(INDEX(Items!$O$5:$O$504,U2980)&lt;0,"NEG STOCK",IF(K2980&lt;INDEX(Items!$P$5:$P$504,U2980),"BELOW COST","OK")))),IF($D2980="","","PRO PLAN"))</f>
        <v/>
      </c>
      <c r="U2980" s="60" t="str">
        <f aca="false">IF(IsPro,IF($D2980="","",IFERROR(MATCH($D2980,Items!$A$5:$A$504,0),"")),"")</f>
        <v/>
      </c>
      <c r="V2980" s="60" t="str">
        <f aca="false">IF(IsPro,IF($C2980="","",IFERROR(MATCH($C2980,Parties!$A$5:$A$304,0),"")),"")</f>
        <v/>
      </c>
      <c r="W2980" s="60" t="str">
        <f aca="false">IF(IsPro,IF($B2980="","",IFERROR(VALUE(SUBSTITUTE($B2980,InvPrefix,"")),0)),"")</f>
        <v/>
      </c>
      <c r="X2980" s="61" t="str">
        <f aca="false">IF(IsPro,IF($D2980="","",IF(OR($H2980="",$H2980="Credit"),0,Q2980)),"")</f>
        <v/>
      </c>
    </row>
    <row r="2981" customFormat="false" ht="15" hidden="false" customHeight="false" outlineLevel="0" collapsed="false">
      <c r="A2981" s="55"/>
      <c r="B2981" s="56"/>
      <c r="C2981" s="56"/>
      <c r="D2981" s="56"/>
      <c r="E2981" s="57"/>
      <c r="F2981" s="58"/>
      <c r="G2981" s="59"/>
      <c r="H2981" s="56"/>
      <c r="I2981" s="56"/>
      <c r="J2981" s="60" t="str">
        <f aca="false">IF(IsPro,IF($D2981="","",IFERROR(INDEX(Items!$D$5:$D$504,U2981),"")),"")</f>
        <v/>
      </c>
      <c r="K2981" s="61" t="str">
        <f aca="false">IF(IsPro,IF($D2981="","",IF($F2981="",IFERROR(INDEX(Items!$H$5:$H$504,U2981),0),$F2981)),"")</f>
        <v/>
      </c>
      <c r="L2981" s="61" t="str">
        <f aca="false">IF(IsPro,IF($D2981="","",ROUND(N($E2981)*K2981*(1-N($G2981)),2)),"")</f>
        <v/>
      </c>
      <c r="M2981" s="62" t="str">
        <f aca="false">IF(IsPro,IF($D2981="","",IFERROR(INDEX(Items!$F$5:$F$504,U2981),0)),"")</f>
        <v/>
      </c>
      <c r="N2981" s="61" t="str">
        <f aca="false">IF(IsPro,IF($D2981="","",IF(AND(V2981&lt;&gt;"",INDEX(Parties!$E$5:$E$304,V2981)&lt;&gt;"",INDEX(Parties!$E$5:$E$304,V2981)&lt;&gt;HomeState),0,ROUND(L2981*M2981/2,2))),"")</f>
        <v/>
      </c>
      <c r="O2981" s="61" t="str">
        <f aca="false">IF(IsPro,IF($D2981="","",N2981),"")</f>
        <v/>
      </c>
      <c r="P2981" s="61" t="str">
        <f aca="false">IF(IsPro,IF($D2981="","",IF(AND(V2981&lt;&gt;"",INDEX(Parties!$E$5:$E$304,V2981)&lt;&gt;"",INDEX(Parties!$E$5:$E$304,V2981)&lt;&gt;HomeState),ROUND(L2981*M2981,2),0)),"")</f>
        <v/>
      </c>
      <c r="Q2981" s="61" t="str">
        <f aca="false">IF(IsPro,IF($D2981="","",L2981+N2981+O2981+P2981),"")</f>
        <v/>
      </c>
      <c r="R2981" s="61" t="str">
        <f aca="false">IF(IsPro,IF($D2981="","",ROUND(N($E2981)*IFERROR(INDEX(Items!$P$5:$P$504,U2981),0),2)),"")</f>
        <v/>
      </c>
      <c r="S2981" s="61" t="str">
        <f aca="false">IF(IsPro,IF($D2981="","",L2981-R2981),"")</f>
        <v/>
      </c>
      <c r="T2981" s="60" t="str">
        <f aca="false">IF(IsPro,IF($D2981="","",IF(U2981="","UNKNOWN ITEM",IF(INDEX(Items!$O$5:$O$504,U2981)&lt;0,"NEG STOCK",IF(K2981&lt;INDEX(Items!$P$5:$P$504,U2981),"BELOW COST","OK")))),IF($D2981="","","PRO PLAN"))</f>
        <v/>
      </c>
      <c r="U2981" s="60" t="str">
        <f aca="false">IF(IsPro,IF($D2981="","",IFERROR(MATCH($D2981,Items!$A$5:$A$504,0),"")),"")</f>
        <v/>
      </c>
      <c r="V2981" s="60" t="str">
        <f aca="false">IF(IsPro,IF($C2981="","",IFERROR(MATCH($C2981,Parties!$A$5:$A$304,0),"")),"")</f>
        <v/>
      </c>
      <c r="W2981" s="60" t="str">
        <f aca="false">IF(IsPro,IF($B2981="","",IFERROR(VALUE(SUBSTITUTE($B2981,InvPrefix,"")),0)),"")</f>
        <v/>
      </c>
      <c r="X2981" s="61" t="str">
        <f aca="false">IF(IsPro,IF($D2981="","",IF(OR($H2981="",$H2981="Credit"),0,Q2981)),"")</f>
        <v/>
      </c>
    </row>
    <row r="2982" customFormat="false" ht="15" hidden="false" customHeight="false" outlineLevel="0" collapsed="false">
      <c r="A2982" s="55"/>
      <c r="B2982" s="56"/>
      <c r="C2982" s="56"/>
      <c r="D2982" s="56"/>
      <c r="E2982" s="57"/>
      <c r="F2982" s="58"/>
      <c r="G2982" s="59"/>
      <c r="H2982" s="56"/>
      <c r="I2982" s="56"/>
      <c r="J2982" s="60" t="str">
        <f aca="false">IF(IsPro,IF($D2982="","",IFERROR(INDEX(Items!$D$5:$D$504,U2982),"")),"")</f>
        <v/>
      </c>
      <c r="K2982" s="61" t="str">
        <f aca="false">IF(IsPro,IF($D2982="","",IF($F2982="",IFERROR(INDEX(Items!$H$5:$H$504,U2982),0),$F2982)),"")</f>
        <v/>
      </c>
      <c r="L2982" s="61" t="str">
        <f aca="false">IF(IsPro,IF($D2982="","",ROUND(N($E2982)*K2982*(1-N($G2982)),2)),"")</f>
        <v/>
      </c>
      <c r="M2982" s="62" t="str">
        <f aca="false">IF(IsPro,IF($D2982="","",IFERROR(INDEX(Items!$F$5:$F$504,U2982),0)),"")</f>
        <v/>
      </c>
      <c r="N2982" s="61" t="str">
        <f aca="false">IF(IsPro,IF($D2982="","",IF(AND(V2982&lt;&gt;"",INDEX(Parties!$E$5:$E$304,V2982)&lt;&gt;"",INDEX(Parties!$E$5:$E$304,V2982)&lt;&gt;HomeState),0,ROUND(L2982*M2982/2,2))),"")</f>
        <v/>
      </c>
      <c r="O2982" s="61" t="str">
        <f aca="false">IF(IsPro,IF($D2982="","",N2982),"")</f>
        <v/>
      </c>
      <c r="P2982" s="61" t="str">
        <f aca="false">IF(IsPro,IF($D2982="","",IF(AND(V2982&lt;&gt;"",INDEX(Parties!$E$5:$E$304,V2982)&lt;&gt;"",INDEX(Parties!$E$5:$E$304,V2982)&lt;&gt;HomeState),ROUND(L2982*M2982,2),0)),"")</f>
        <v/>
      </c>
      <c r="Q2982" s="61" t="str">
        <f aca="false">IF(IsPro,IF($D2982="","",L2982+N2982+O2982+P2982),"")</f>
        <v/>
      </c>
      <c r="R2982" s="61" t="str">
        <f aca="false">IF(IsPro,IF($D2982="","",ROUND(N($E2982)*IFERROR(INDEX(Items!$P$5:$P$504,U2982),0),2)),"")</f>
        <v/>
      </c>
      <c r="S2982" s="61" t="str">
        <f aca="false">IF(IsPro,IF($D2982="","",L2982-R2982),"")</f>
        <v/>
      </c>
      <c r="T2982" s="60" t="str">
        <f aca="false">IF(IsPro,IF($D2982="","",IF(U2982="","UNKNOWN ITEM",IF(INDEX(Items!$O$5:$O$504,U2982)&lt;0,"NEG STOCK",IF(K2982&lt;INDEX(Items!$P$5:$P$504,U2982),"BELOW COST","OK")))),IF($D2982="","","PRO PLAN"))</f>
        <v/>
      </c>
      <c r="U2982" s="60" t="str">
        <f aca="false">IF(IsPro,IF($D2982="","",IFERROR(MATCH($D2982,Items!$A$5:$A$504,0),"")),"")</f>
        <v/>
      </c>
      <c r="V2982" s="60" t="str">
        <f aca="false">IF(IsPro,IF($C2982="","",IFERROR(MATCH($C2982,Parties!$A$5:$A$304,0),"")),"")</f>
        <v/>
      </c>
      <c r="W2982" s="60" t="str">
        <f aca="false">IF(IsPro,IF($B2982="","",IFERROR(VALUE(SUBSTITUTE($B2982,InvPrefix,"")),0)),"")</f>
        <v/>
      </c>
      <c r="X2982" s="61" t="str">
        <f aca="false">IF(IsPro,IF($D2982="","",IF(OR($H2982="",$H2982="Credit"),0,Q2982)),"")</f>
        <v/>
      </c>
    </row>
    <row r="2983" customFormat="false" ht="15" hidden="false" customHeight="false" outlineLevel="0" collapsed="false">
      <c r="A2983" s="55"/>
      <c r="B2983" s="56"/>
      <c r="C2983" s="56"/>
      <c r="D2983" s="56"/>
      <c r="E2983" s="57"/>
      <c r="F2983" s="58"/>
      <c r="G2983" s="59"/>
      <c r="H2983" s="56"/>
      <c r="I2983" s="56"/>
      <c r="J2983" s="60" t="str">
        <f aca="false">IF(IsPro,IF($D2983="","",IFERROR(INDEX(Items!$D$5:$D$504,U2983),"")),"")</f>
        <v/>
      </c>
      <c r="K2983" s="61" t="str">
        <f aca="false">IF(IsPro,IF($D2983="","",IF($F2983="",IFERROR(INDEX(Items!$H$5:$H$504,U2983),0),$F2983)),"")</f>
        <v/>
      </c>
      <c r="L2983" s="61" t="str">
        <f aca="false">IF(IsPro,IF($D2983="","",ROUND(N($E2983)*K2983*(1-N($G2983)),2)),"")</f>
        <v/>
      </c>
      <c r="M2983" s="62" t="str">
        <f aca="false">IF(IsPro,IF($D2983="","",IFERROR(INDEX(Items!$F$5:$F$504,U2983),0)),"")</f>
        <v/>
      </c>
      <c r="N2983" s="61" t="str">
        <f aca="false">IF(IsPro,IF($D2983="","",IF(AND(V2983&lt;&gt;"",INDEX(Parties!$E$5:$E$304,V2983)&lt;&gt;"",INDEX(Parties!$E$5:$E$304,V2983)&lt;&gt;HomeState),0,ROUND(L2983*M2983/2,2))),"")</f>
        <v/>
      </c>
      <c r="O2983" s="61" t="str">
        <f aca="false">IF(IsPro,IF($D2983="","",N2983),"")</f>
        <v/>
      </c>
      <c r="P2983" s="61" t="str">
        <f aca="false">IF(IsPro,IF($D2983="","",IF(AND(V2983&lt;&gt;"",INDEX(Parties!$E$5:$E$304,V2983)&lt;&gt;"",INDEX(Parties!$E$5:$E$304,V2983)&lt;&gt;HomeState),ROUND(L2983*M2983,2),0)),"")</f>
        <v/>
      </c>
      <c r="Q2983" s="61" t="str">
        <f aca="false">IF(IsPro,IF($D2983="","",L2983+N2983+O2983+P2983),"")</f>
        <v/>
      </c>
      <c r="R2983" s="61" t="str">
        <f aca="false">IF(IsPro,IF($D2983="","",ROUND(N($E2983)*IFERROR(INDEX(Items!$P$5:$P$504,U2983),0),2)),"")</f>
        <v/>
      </c>
      <c r="S2983" s="61" t="str">
        <f aca="false">IF(IsPro,IF($D2983="","",L2983-R2983),"")</f>
        <v/>
      </c>
      <c r="T2983" s="60" t="str">
        <f aca="false">IF(IsPro,IF($D2983="","",IF(U2983="","UNKNOWN ITEM",IF(INDEX(Items!$O$5:$O$504,U2983)&lt;0,"NEG STOCK",IF(K2983&lt;INDEX(Items!$P$5:$P$504,U2983),"BELOW COST","OK")))),IF($D2983="","","PRO PLAN"))</f>
        <v/>
      </c>
      <c r="U2983" s="60" t="str">
        <f aca="false">IF(IsPro,IF($D2983="","",IFERROR(MATCH($D2983,Items!$A$5:$A$504,0),"")),"")</f>
        <v/>
      </c>
      <c r="V2983" s="60" t="str">
        <f aca="false">IF(IsPro,IF($C2983="","",IFERROR(MATCH($C2983,Parties!$A$5:$A$304,0),"")),"")</f>
        <v/>
      </c>
      <c r="W2983" s="60" t="str">
        <f aca="false">IF(IsPro,IF($B2983="","",IFERROR(VALUE(SUBSTITUTE($B2983,InvPrefix,"")),0)),"")</f>
        <v/>
      </c>
      <c r="X2983" s="61" t="str">
        <f aca="false">IF(IsPro,IF($D2983="","",IF(OR($H2983="",$H2983="Credit"),0,Q2983)),"")</f>
        <v/>
      </c>
    </row>
    <row r="2984" customFormat="false" ht="15" hidden="false" customHeight="false" outlineLevel="0" collapsed="false">
      <c r="A2984" s="55"/>
      <c r="B2984" s="56"/>
      <c r="C2984" s="56"/>
      <c r="D2984" s="56"/>
      <c r="E2984" s="57"/>
      <c r="F2984" s="58"/>
      <c r="G2984" s="59"/>
      <c r="H2984" s="56"/>
      <c r="I2984" s="56"/>
      <c r="J2984" s="60" t="str">
        <f aca="false">IF(IsPro,IF($D2984="","",IFERROR(INDEX(Items!$D$5:$D$504,U2984),"")),"")</f>
        <v/>
      </c>
      <c r="K2984" s="61" t="str">
        <f aca="false">IF(IsPro,IF($D2984="","",IF($F2984="",IFERROR(INDEX(Items!$H$5:$H$504,U2984),0),$F2984)),"")</f>
        <v/>
      </c>
      <c r="L2984" s="61" t="str">
        <f aca="false">IF(IsPro,IF($D2984="","",ROUND(N($E2984)*K2984*(1-N($G2984)),2)),"")</f>
        <v/>
      </c>
      <c r="M2984" s="62" t="str">
        <f aca="false">IF(IsPro,IF($D2984="","",IFERROR(INDEX(Items!$F$5:$F$504,U2984),0)),"")</f>
        <v/>
      </c>
      <c r="N2984" s="61" t="str">
        <f aca="false">IF(IsPro,IF($D2984="","",IF(AND(V2984&lt;&gt;"",INDEX(Parties!$E$5:$E$304,V2984)&lt;&gt;"",INDEX(Parties!$E$5:$E$304,V2984)&lt;&gt;HomeState),0,ROUND(L2984*M2984/2,2))),"")</f>
        <v/>
      </c>
      <c r="O2984" s="61" t="str">
        <f aca="false">IF(IsPro,IF($D2984="","",N2984),"")</f>
        <v/>
      </c>
      <c r="P2984" s="61" t="str">
        <f aca="false">IF(IsPro,IF($D2984="","",IF(AND(V2984&lt;&gt;"",INDEX(Parties!$E$5:$E$304,V2984)&lt;&gt;"",INDEX(Parties!$E$5:$E$304,V2984)&lt;&gt;HomeState),ROUND(L2984*M2984,2),0)),"")</f>
        <v/>
      </c>
      <c r="Q2984" s="61" t="str">
        <f aca="false">IF(IsPro,IF($D2984="","",L2984+N2984+O2984+P2984),"")</f>
        <v/>
      </c>
      <c r="R2984" s="61" t="str">
        <f aca="false">IF(IsPro,IF($D2984="","",ROUND(N($E2984)*IFERROR(INDEX(Items!$P$5:$P$504,U2984),0),2)),"")</f>
        <v/>
      </c>
      <c r="S2984" s="61" t="str">
        <f aca="false">IF(IsPro,IF($D2984="","",L2984-R2984),"")</f>
        <v/>
      </c>
      <c r="T2984" s="60" t="str">
        <f aca="false">IF(IsPro,IF($D2984="","",IF(U2984="","UNKNOWN ITEM",IF(INDEX(Items!$O$5:$O$504,U2984)&lt;0,"NEG STOCK",IF(K2984&lt;INDEX(Items!$P$5:$P$504,U2984),"BELOW COST","OK")))),IF($D2984="","","PRO PLAN"))</f>
        <v/>
      </c>
      <c r="U2984" s="60" t="str">
        <f aca="false">IF(IsPro,IF($D2984="","",IFERROR(MATCH($D2984,Items!$A$5:$A$504,0),"")),"")</f>
        <v/>
      </c>
      <c r="V2984" s="60" t="str">
        <f aca="false">IF(IsPro,IF($C2984="","",IFERROR(MATCH($C2984,Parties!$A$5:$A$304,0),"")),"")</f>
        <v/>
      </c>
      <c r="W2984" s="60" t="str">
        <f aca="false">IF(IsPro,IF($B2984="","",IFERROR(VALUE(SUBSTITUTE($B2984,InvPrefix,"")),0)),"")</f>
        <v/>
      </c>
      <c r="X2984" s="61" t="str">
        <f aca="false">IF(IsPro,IF($D2984="","",IF(OR($H2984="",$H2984="Credit"),0,Q2984)),"")</f>
        <v/>
      </c>
    </row>
    <row r="2985" customFormat="false" ht="15" hidden="false" customHeight="false" outlineLevel="0" collapsed="false">
      <c r="A2985" s="55"/>
      <c r="B2985" s="56"/>
      <c r="C2985" s="56"/>
      <c r="D2985" s="56"/>
      <c r="E2985" s="57"/>
      <c r="F2985" s="58"/>
      <c r="G2985" s="59"/>
      <c r="H2985" s="56"/>
      <c r="I2985" s="56"/>
      <c r="J2985" s="60" t="str">
        <f aca="false">IF(IsPro,IF($D2985="","",IFERROR(INDEX(Items!$D$5:$D$504,U2985),"")),"")</f>
        <v/>
      </c>
      <c r="K2985" s="61" t="str">
        <f aca="false">IF(IsPro,IF($D2985="","",IF($F2985="",IFERROR(INDEX(Items!$H$5:$H$504,U2985),0),$F2985)),"")</f>
        <v/>
      </c>
      <c r="L2985" s="61" t="str">
        <f aca="false">IF(IsPro,IF($D2985="","",ROUND(N($E2985)*K2985*(1-N($G2985)),2)),"")</f>
        <v/>
      </c>
      <c r="M2985" s="62" t="str">
        <f aca="false">IF(IsPro,IF($D2985="","",IFERROR(INDEX(Items!$F$5:$F$504,U2985),0)),"")</f>
        <v/>
      </c>
      <c r="N2985" s="61" t="str">
        <f aca="false">IF(IsPro,IF($D2985="","",IF(AND(V2985&lt;&gt;"",INDEX(Parties!$E$5:$E$304,V2985)&lt;&gt;"",INDEX(Parties!$E$5:$E$304,V2985)&lt;&gt;HomeState),0,ROUND(L2985*M2985/2,2))),"")</f>
        <v/>
      </c>
      <c r="O2985" s="61" t="str">
        <f aca="false">IF(IsPro,IF($D2985="","",N2985),"")</f>
        <v/>
      </c>
      <c r="P2985" s="61" t="str">
        <f aca="false">IF(IsPro,IF($D2985="","",IF(AND(V2985&lt;&gt;"",INDEX(Parties!$E$5:$E$304,V2985)&lt;&gt;"",INDEX(Parties!$E$5:$E$304,V2985)&lt;&gt;HomeState),ROUND(L2985*M2985,2),0)),"")</f>
        <v/>
      </c>
      <c r="Q2985" s="61" t="str">
        <f aca="false">IF(IsPro,IF($D2985="","",L2985+N2985+O2985+P2985),"")</f>
        <v/>
      </c>
      <c r="R2985" s="61" t="str">
        <f aca="false">IF(IsPro,IF($D2985="","",ROUND(N($E2985)*IFERROR(INDEX(Items!$P$5:$P$504,U2985),0),2)),"")</f>
        <v/>
      </c>
      <c r="S2985" s="61" t="str">
        <f aca="false">IF(IsPro,IF($D2985="","",L2985-R2985),"")</f>
        <v/>
      </c>
      <c r="T2985" s="60" t="str">
        <f aca="false">IF(IsPro,IF($D2985="","",IF(U2985="","UNKNOWN ITEM",IF(INDEX(Items!$O$5:$O$504,U2985)&lt;0,"NEG STOCK",IF(K2985&lt;INDEX(Items!$P$5:$P$504,U2985),"BELOW COST","OK")))),IF($D2985="","","PRO PLAN"))</f>
        <v/>
      </c>
      <c r="U2985" s="60" t="str">
        <f aca="false">IF(IsPro,IF($D2985="","",IFERROR(MATCH($D2985,Items!$A$5:$A$504,0),"")),"")</f>
        <v/>
      </c>
      <c r="V2985" s="60" t="str">
        <f aca="false">IF(IsPro,IF($C2985="","",IFERROR(MATCH($C2985,Parties!$A$5:$A$304,0),"")),"")</f>
        <v/>
      </c>
      <c r="W2985" s="60" t="str">
        <f aca="false">IF(IsPro,IF($B2985="","",IFERROR(VALUE(SUBSTITUTE($B2985,InvPrefix,"")),0)),"")</f>
        <v/>
      </c>
      <c r="X2985" s="61" t="str">
        <f aca="false">IF(IsPro,IF($D2985="","",IF(OR($H2985="",$H2985="Credit"),0,Q2985)),"")</f>
        <v/>
      </c>
    </row>
    <row r="2986" customFormat="false" ht="15" hidden="false" customHeight="false" outlineLevel="0" collapsed="false">
      <c r="A2986" s="55"/>
      <c r="B2986" s="56"/>
      <c r="C2986" s="56"/>
      <c r="D2986" s="56"/>
      <c r="E2986" s="57"/>
      <c r="F2986" s="58"/>
      <c r="G2986" s="59"/>
      <c r="H2986" s="56"/>
      <c r="I2986" s="56"/>
      <c r="J2986" s="60" t="str">
        <f aca="false">IF(IsPro,IF($D2986="","",IFERROR(INDEX(Items!$D$5:$D$504,U2986),"")),"")</f>
        <v/>
      </c>
      <c r="K2986" s="61" t="str">
        <f aca="false">IF(IsPro,IF($D2986="","",IF($F2986="",IFERROR(INDEX(Items!$H$5:$H$504,U2986),0),$F2986)),"")</f>
        <v/>
      </c>
      <c r="L2986" s="61" t="str">
        <f aca="false">IF(IsPro,IF($D2986="","",ROUND(N($E2986)*K2986*(1-N($G2986)),2)),"")</f>
        <v/>
      </c>
      <c r="M2986" s="62" t="str">
        <f aca="false">IF(IsPro,IF($D2986="","",IFERROR(INDEX(Items!$F$5:$F$504,U2986),0)),"")</f>
        <v/>
      </c>
      <c r="N2986" s="61" t="str">
        <f aca="false">IF(IsPro,IF($D2986="","",IF(AND(V2986&lt;&gt;"",INDEX(Parties!$E$5:$E$304,V2986)&lt;&gt;"",INDEX(Parties!$E$5:$E$304,V2986)&lt;&gt;HomeState),0,ROUND(L2986*M2986/2,2))),"")</f>
        <v/>
      </c>
      <c r="O2986" s="61" t="str">
        <f aca="false">IF(IsPro,IF($D2986="","",N2986),"")</f>
        <v/>
      </c>
      <c r="P2986" s="61" t="str">
        <f aca="false">IF(IsPro,IF($D2986="","",IF(AND(V2986&lt;&gt;"",INDEX(Parties!$E$5:$E$304,V2986)&lt;&gt;"",INDEX(Parties!$E$5:$E$304,V2986)&lt;&gt;HomeState),ROUND(L2986*M2986,2),0)),"")</f>
        <v/>
      </c>
      <c r="Q2986" s="61" t="str">
        <f aca="false">IF(IsPro,IF($D2986="","",L2986+N2986+O2986+P2986),"")</f>
        <v/>
      </c>
      <c r="R2986" s="61" t="str">
        <f aca="false">IF(IsPro,IF($D2986="","",ROUND(N($E2986)*IFERROR(INDEX(Items!$P$5:$P$504,U2986),0),2)),"")</f>
        <v/>
      </c>
      <c r="S2986" s="61" t="str">
        <f aca="false">IF(IsPro,IF($D2986="","",L2986-R2986),"")</f>
        <v/>
      </c>
      <c r="T2986" s="60" t="str">
        <f aca="false">IF(IsPro,IF($D2986="","",IF(U2986="","UNKNOWN ITEM",IF(INDEX(Items!$O$5:$O$504,U2986)&lt;0,"NEG STOCK",IF(K2986&lt;INDEX(Items!$P$5:$P$504,U2986),"BELOW COST","OK")))),IF($D2986="","","PRO PLAN"))</f>
        <v/>
      </c>
      <c r="U2986" s="60" t="str">
        <f aca="false">IF(IsPro,IF($D2986="","",IFERROR(MATCH($D2986,Items!$A$5:$A$504,0),"")),"")</f>
        <v/>
      </c>
      <c r="V2986" s="60" t="str">
        <f aca="false">IF(IsPro,IF($C2986="","",IFERROR(MATCH($C2986,Parties!$A$5:$A$304,0),"")),"")</f>
        <v/>
      </c>
      <c r="W2986" s="60" t="str">
        <f aca="false">IF(IsPro,IF($B2986="","",IFERROR(VALUE(SUBSTITUTE($B2986,InvPrefix,"")),0)),"")</f>
        <v/>
      </c>
      <c r="X2986" s="61" t="str">
        <f aca="false">IF(IsPro,IF($D2986="","",IF(OR($H2986="",$H2986="Credit"),0,Q2986)),"")</f>
        <v/>
      </c>
    </row>
    <row r="2987" customFormat="false" ht="15" hidden="false" customHeight="false" outlineLevel="0" collapsed="false">
      <c r="A2987" s="55"/>
      <c r="B2987" s="56"/>
      <c r="C2987" s="56"/>
      <c r="D2987" s="56"/>
      <c r="E2987" s="57"/>
      <c r="F2987" s="58"/>
      <c r="G2987" s="59"/>
      <c r="H2987" s="56"/>
      <c r="I2987" s="56"/>
      <c r="J2987" s="60" t="str">
        <f aca="false">IF(IsPro,IF($D2987="","",IFERROR(INDEX(Items!$D$5:$D$504,U2987),"")),"")</f>
        <v/>
      </c>
      <c r="K2987" s="61" t="str">
        <f aca="false">IF(IsPro,IF($D2987="","",IF($F2987="",IFERROR(INDEX(Items!$H$5:$H$504,U2987),0),$F2987)),"")</f>
        <v/>
      </c>
      <c r="L2987" s="61" t="str">
        <f aca="false">IF(IsPro,IF($D2987="","",ROUND(N($E2987)*K2987*(1-N($G2987)),2)),"")</f>
        <v/>
      </c>
      <c r="M2987" s="62" t="str">
        <f aca="false">IF(IsPro,IF($D2987="","",IFERROR(INDEX(Items!$F$5:$F$504,U2987),0)),"")</f>
        <v/>
      </c>
      <c r="N2987" s="61" t="str">
        <f aca="false">IF(IsPro,IF($D2987="","",IF(AND(V2987&lt;&gt;"",INDEX(Parties!$E$5:$E$304,V2987)&lt;&gt;"",INDEX(Parties!$E$5:$E$304,V2987)&lt;&gt;HomeState),0,ROUND(L2987*M2987/2,2))),"")</f>
        <v/>
      </c>
      <c r="O2987" s="61" t="str">
        <f aca="false">IF(IsPro,IF($D2987="","",N2987),"")</f>
        <v/>
      </c>
      <c r="P2987" s="61" t="str">
        <f aca="false">IF(IsPro,IF($D2987="","",IF(AND(V2987&lt;&gt;"",INDEX(Parties!$E$5:$E$304,V2987)&lt;&gt;"",INDEX(Parties!$E$5:$E$304,V2987)&lt;&gt;HomeState),ROUND(L2987*M2987,2),0)),"")</f>
        <v/>
      </c>
      <c r="Q2987" s="61" t="str">
        <f aca="false">IF(IsPro,IF($D2987="","",L2987+N2987+O2987+P2987),"")</f>
        <v/>
      </c>
      <c r="R2987" s="61" t="str">
        <f aca="false">IF(IsPro,IF($D2987="","",ROUND(N($E2987)*IFERROR(INDEX(Items!$P$5:$P$504,U2987),0),2)),"")</f>
        <v/>
      </c>
      <c r="S2987" s="61" t="str">
        <f aca="false">IF(IsPro,IF($D2987="","",L2987-R2987),"")</f>
        <v/>
      </c>
      <c r="T2987" s="60" t="str">
        <f aca="false">IF(IsPro,IF($D2987="","",IF(U2987="","UNKNOWN ITEM",IF(INDEX(Items!$O$5:$O$504,U2987)&lt;0,"NEG STOCK",IF(K2987&lt;INDEX(Items!$P$5:$P$504,U2987),"BELOW COST","OK")))),IF($D2987="","","PRO PLAN"))</f>
        <v/>
      </c>
      <c r="U2987" s="60" t="str">
        <f aca="false">IF(IsPro,IF($D2987="","",IFERROR(MATCH($D2987,Items!$A$5:$A$504,0),"")),"")</f>
        <v/>
      </c>
      <c r="V2987" s="60" t="str">
        <f aca="false">IF(IsPro,IF($C2987="","",IFERROR(MATCH($C2987,Parties!$A$5:$A$304,0),"")),"")</f>
        <v/>
      </c>
      <c r="W2987" s="60" t="str">
        <f aca="false">IF(IsPro,IF($B2987="","",IFERROR(VALUE(SUBSTITUTE($B2987,InvPrefix,"")),0)),"")</f>
        <v/>
      </c>
      <c r="X2987" s="61" t="str">
        <f aca="false">IF(IsPro,IF($D2987="","",IF(OR($H2987="",$H2987="Credit"),0,Q2987)),"")</f>
        <v/>
      </c>
    </row>
    <row r="2988" customFormat="false" ht="15" hidden="false" customHeight="false" outlineLevel="0" collapsed="false">
      <c r="A2988" s="55"/>
      <c r="B2988" s="56"/>
      <c r="C2988" s="56"/>
      <c r="D2988" s="56"/>
      <c r="E2988" s="57"/>
      <c r="F2988" s="58"/>
      <c r="G2988" s="59"/>
      <c r="H2988" s="56"/>
      <c r="I2988" s="56"/>
      <c r="J2988" s="60" t="str">
        <f aca="false">IF(IsPro,IF($D2988="","",IFERROR(INDEX(Items!$D$5:$D$504,U2988),"")),"")</f>
        <v/>
      </c>
      <c r="K2988" s="61" t="str">
        <f aca="false">IF(IsPro,IF($D2988="","",IF($F2988="",IFERROR(INDEX(Items!$H$5:$H$504,U2988),0),$F2988)),"")</f>
        <v/>
      </c>
      <c r="L2988" s="61" t="str">
        <f aca="false">IF(IsPro,IF($D2988="","",ROUND(N($E2988)*K2988*(1-N($G2988)),2)),"")</f>
        <v/>
      </c>
      <c r="M2988" s="62" t="str">
        <f aca="false">IF(IsPro,IF($D2988="","",IFERROR(INDEX(Items!$F$5:$F$504,U2988),0)),"")</f>
        <v/>
      </c>
      <c r="N2988" s="61" t="str">
        <f aca="false">IF(IsPro,IF($D2988="","",IF(AND(V2988&lt;&gt;"",INDEX(Parties!$E$5:$E$304,V2988)&lt;&gt;"",INDEX(Parties!$E$5:$E$304,V2988)&lt;&gt;HomeState),0,ROUND(L2988*M2988/2,2))),"")</f>
        <v/>
      </c>
      <c r="O2988" s="61" t="str">
        <f aca="false">IF(IsPro,IF($D2988="","",N2988),"")</f>
        <v/>
      </c>
      <c r="P2988" s="61" t="str">
        <f aca="false">IF(IsPro,IF($D2988="","",IF(AND(V2988&lt;&gt;"",INDEX(Parties!$E$5:$E$304,V2988)&lt;&gt;"",INDEX(Parties!$E$5:$E$304,V2988)&lt;&gt;HomeState),ROUND(L2988*M2988,2),0)),"")</f>
        <v/>
      </c>
      <c r="Q2988" s="61" t="str">
        <f aca="false">IF(IsPro,IF($D2988="","",L2988+N2988+O2988+P2988),"")</f>
        <v/>
      </c>
      <c r="R2988" s="61" t="str">
        <f aca="false">IF(IsPro,IF($D2988="","",ROUND(N($E2988)*IFERROR(INDEX(Items!$P$5:$P$504,U2988),0),2)),"")</f>
        <v/>
      </c>
      <c r="S2988" s="61" t="str">
        <f aca="false">IF(IsPro,IF($D2988="","",L2988-R2988),"")</f>
        <v/>
      </c>
      <c r="T2988" s="60" t="str">
        <f aca="false">IF(IsPro,IF($D2988="","",IF(U2988="","UNKNOWN ITEM",IF(INDEX(Items!$O$5:$O$504,U2988)&lt;0,"NEG STOCK",IF(K2988&lt;INDEX(Items!$P$5:$P$504,U2988),"BELOW COST","OK")))),IF($D2988="","","PRO PLAN"))</f>
        <v/>
      </c>
      <c r="U2988" s="60" t="str">
        <f aca="false">IF(IsPro,IF($D2988="","",IFERROR(MATCH($D2988,Items!$A$5:$A$504,0),"")),"")</f>
        <v/>
      </c>
      <c r="V2988" s="60" t="str">
        <f aca="false">IF(IsPro,IF($C2988="","",IFERROR(MATCH($C2988,Parties!$A$5:$A$304,0),"")),"")</f>
        <v/>
      </c>
      <c r="W2988" s="60" t="str">
        <f aca="false">IF(IsPro,IF($B2988="","",IFERROR(VALUE(SUBSTITUTE($B2988,InvPrefix,"")),0)),"")</f>
        <v/>
      </c>
      <c r="X2988" s="61" t="str">
        <f aca="false">IF(IsPro,IF($D2988="","",IF(OR($H2988="",$H2988="Credit"),0,Q2988)),"")</f>
        <v/>
      </c>
    </row>
    <row r="2989" customFormat="false" ht="15" hidden="false" customHeight="false" outlineLevel="0" collapsed="false">
      <c r="A2989" s="55"/>
      <c r="B2989" s="56"/>
      <c r="C2989" s="56"/>
      <c r="D2989" s="56"/>
      <c r="E2989" s="57"/>
      <c r="F2989" s="58"/>
      <c r="G2989" s="59"/>
      <c r="H2989" s="56"/>
      <c r="I2989" s="56"/>
      <c r="J2989" s="60" t="str">
        <f aca="false">IF(IsPro,IF($D2989="","",IFERROR(INDEX(Items!$D$5:$D$504,U2989),"")),"")</f>
        <v/>
      </c>
      <c r="K2989" s="61" t="str">
        <f aca="false">IF(IsPro,IF($D2989="","",IF($F2989="",IFERROR(INDEX(Items!$H$5:$H$504,U2989),0),$F2989)),"")</f>
        <v/>
      </c>
      <c r="L2989" s="61" t="str">
        <f aca="false">IF(IsPro,IF($D2989="","",ROUND(N($E2989)*K2989*(1-N($G2989)),2)),"")</f>
        <v/>
      </c>
      <c r="M2989" s="62" t="str">
        <f aca="false">IF(IsPro,IF($D2989="","",IFERROR(INDEX(Items!$F$5:$F$504,U2989),0)),"")</f>
        <v/>
      </c>
      <c r="N2989" s="61" t="str">
        <f aca="false">IF(IsPro,IF($D2989="","",IF(AND(V2989&lt;&gt;"",INDEX(Parties!$E$5:$E$304,V2989)&lt;&gt;"",INDEX(Parties!$E$5:$E$304,V2989)&lt;&gt;HomeState),0,ROUND(L2989*M2989/2,2))),"")</f>
        <v/>
      </c>
      <c r="O2989" s="61" t="str">
        <f aca="false">IF(IsPro,IF($D2989="","",N2989),"")</f>
        <v/>
      </c>
      <c r="P2989" s="61" t="str">
        <f aca="false">IF(IsPro,IF($D2989="","",IF(AND(V2989&lt;&gt;"",INDEX(Parties!$E$5:$E$304,V2989)&lt;&gt;"",INDEX(Parties!$E$5:$E$304,V2989)&lt;&gt;HomeState),ROUND(L2989*M2989,2),0)),"")</f>
        <v/>
      </c>
      <c r="Q2989" s="61" t="str">
        <f aca="false">IF(IsPro,IF($D2989="","",L2989+N2989+O2989+P2989),"")</f>
        <v/>
      </c>
      <c r="R2989" s="61" t="str">
        <f aca="false">IF(IsPro,IF($D2989="","",ROUND(N($E2989)*IFERROR(INDEX(Items!$P$5:$P$504,U2989),0),2)),"")</f>
        <v/>
      </c>
      <c r="S2989" s="61" t="str">
        <f aca="false">IF(IsPro,IF($D2989="","",L2989-R2989),"")</f>
        <v/>
      </c>
      <c r="T2989" s="60" t="str">
        <f aca="false">IF(IsPro,IF($D2989="","",IF(U2989="","UNKNOWN ITEM",IF(INDEX(Items!$O$5:$O$504,U2989)&lt;0,"NEG STOCK",IF(K2989&lt;INDEX(Items!$P$5:$P$504,U2989),"BELOW COST","OK")))),IF($D2989="","","PRO PLAN"))</f>
        <v/>
      </c>
      <c r="U2989" s="60" t="str">
        <f aca="false">IF(IsPro,IF($D2989="","",IFERROR(MATCH($D2989,Items!$A$5:$A$504,0),"")),"")</f>
        <v/>
      </c>
      <c r="V2989" s="60" t="str">
        <f aca="false">IF(IsPro,IF($C2989="","",IFERROR(MATCH($C2989,Parties!$A$5:$A$304,0),"")),"")</f>
        <v/>
      </c>
      <c r="W2989" s="60" t="str">
        <f aca="false">IF(IsPro,IF($B2989="","",IFERROR(VALUE(SUBSTITUTE($B2989,InvPrefix,"")),0)),"")</f>
        <v/>
      </c>
      <c r="X2989" s="61" t="str">
        <f aca="false">IF(IsPro,IF($D2989="","",IF(OR($H2989="",$H2989="Credit"),0,Q2989)),"")</f>
        <v/>
      </c>
    </row>
    <row r="2990" customFormat="false" ht="15" hidden="false" customHeight="false" outlineLevel="0" collapsed="false">
      <c r="A2990" s="55"/>
      <c r="B2990" s="56"/>
      <c r="C2990" s="56"/>
      <c r="D2990" s="56"/>
      <c r="E2990" s="57"/>
      <c r="F2990" s="58"/>
      <c r="G2990" s="59"/>
      <c r="H2990" s="56"/>
      <c r="I2990" s="56"/>
      <c r="J2990" s="60" t="str">
        <f aca="false">IF(IsPro,IF($D2990="","",IFERROR(INDEX(Items!$D$5:$D$504,U2990),"")),"")</f>
        <v/>
      </c>
      <c r="K2990" s="61" t="str">
        <f aca="false">IF(IsPro,IF($D2990="","",IF($F2990="",IFERROR(INDEX(Items!$H$5:$H$504,U2990),0),$F2990)),"")</f>
        <v/>
      </c>
      <c r="L2990" s="61" t="str">
        <f aca="false">IF(IsPro,IF($D2990="","",ROUND(N($E2990)*K2990*(1-N($G2990)),2)),"")</f>
        <v/>
      </c>
      <c r="M2990" s="62" t="str">
        <f aca="false">IF(IsPro,IF($D2990="","",IFERROR(INDEX(Items!$F$5:$F$504,U2990),0)),"")</f>
        <v/>
      </c>
      <c r="N2990" s="61" t="str">
        <f aca="false">IF(IsPro,IF($D2990="","",IF(AND(V2990&lt;&gt;"",INDEX(Parties!$E$5:$E$304,V2990)&lt;&gt;"",INDEX(Parties!$E$5:$E$304,V2990)&lt;&gt;HomeState),0,ROUND(L2990*M2990/2,2))),"")</f>
        <v/>
      </c>
      <c r="O2990" s="61" t="str">
        <f aca="false">IF(IsPro,IF($D2990="","",N2990),"")</f>
        <v/>
      </c>
      <c r="P2990" s="61" t="str">
        <f aca="false">IF(IsPro,IF($D2990="","",IF(AND(V2990&lt;&gt;"",INDEX(Parties!$E$5:$E$304,V2990)&lt;&gt;"",INDEX(Parties!$E$5:$E$304,V2990)&lt;&gt;HomeState),ROUND(L2990*M2990,2),0)),"")</f>
        <v/>
      </c>
      <c r="Q2990" s="61" t="str">
        <f aca="false">IF(IsPro,IF($D2990="","",L2990+N2990+O2990+P2990),"")</f>
        <v/>
      </c>
      <c r="R2990" s="61" t="str">
        <f aca="false">IF(IsPro,IF($D2990="","",ROUND(N($E2990)*IFERROR(INDEX(Items!$P$5:$P$504,U2990),0),2)),"")</f>
        <v/>
      </c>
      <c r="S2990" s="61" t="str">
        <f aca="false">IF(IsPro,IF($D2990="","",L2990-R2990),"")</f>
        <v/>
      </c>
      <c r="T2990" s="60" t="str">
        <f aca="false">IF(IsPro,IF($D2990="","",IF(U2990="","UNKNOWN ITEM",IF(INDEX(Items!$O$5:$O$504,U2990)&lt;0,"NEG STOCK",IF(K2990&lt;INDEX(Items!$P$5:$P$504,U2990),"BELOW COST","OK")))),IF($D2990="","","PRO PLAN"))</f>
        <v/>
      </c>
      <c r="U2990" s="60" t="str">
        <f aca="false">IF(IsPro,IF($D2990="","",IFERROR(MATCH($D2990,Items!$A$5:$A$504,0),"")),"")</f>
        <v/>
      </c>
      <c r="V2990" s="60" t="str">
        <f aca="false">IF(IsPro,IF($C2990="","",IFERROR(MATCH($C2990,Parties!$A$5:$A$304,0),"")),"")</f>
        <v/>
      </c>
      <c r="W2990" s="60" t="str">
        <f aca="false">IF(IsPro,IF($B2990="","",IFERROR(VALUE(SUBSTITUTE($B2990,InvPrefix,"")),0)),"")</f>
        <v/>
      </c>
      <c r="X2990" s="61" t="str">
        <f aca="false">IF(IsPro,IF($D2990="","",IF(OR($H2990="",$H2990="Credit"),0,Q2990)),"")</f>
        <v/>
      </c>
    </row>
    <row r="2991" customFormat="false" ht="15" hidden="false" customHeight="false" outlineLevel="0" collapsed="false">
      <c r="A2991" s="55"/>
      <c r="B2991" s="56"/>
      <c r="C2991" s="56"/>
      <c r="D2991" s="56"/>
      <c r="E2991" s="57"/>
      <c r="F2991" s="58"/>
      <c r="G2991" s="59"/>
      <c r="H2991" s="56"/>
      <c r="I2991" s="56"/>
      <c r="J2991" s="60" t="str">
        <f aca="false">IF(IsPro,IF($D2991="","",IFERROR(INDEX(Items!$D$5:$D$504,U2991),"")),"")</f>
        <v/>
      </c>
      <c r="K2991" s="61" t="str">
        <f aca="false">IF(IsPro,IF($D2991="","",IF($F2991="",IFERROR(INDEX(Items!$H$5:$H$504,U2991),0),$F2991)),"")</f>
        <v/>
      </c>
      <c r="L2991" s="61" t="str">
        <f aca="false">IF(IsPro,IF($D2991="","",ROUND(N($E2991)*K2991*(1-N($G2991)),2)),"")</f>
        <v/>
      </c>
      <c r="M2991" s="62" t="str">
        <f aca="false">IF(IsPro,IF($D2991="","",IFERROR(INDEX(Items!$F$5:$F$504,U2991),0)),"")</f>
        <v/>
      </c>
      <c r="N2991" s="61" t="str">
        <f aca="false">IF(IsPro,IF($D2991="","",IF(AND(V2991&lt;&gt;"",INDEX(Parties!$E$5:$E$304,V2991)&lt;&gt;"",INDEX(Parties!$E$5:$E$304,V2991)&lt;&gt;HomeState),0,ROUND(L2991*M2991/2,2))),"")</f>
        <v/>
      </c>
      <c r="O2991" s="61" t="str">
        <f aca="false">IF(IsPro,IF($D2991="","",N2991),"")</f>
        <v/>
      </c>
      <c r="P2991" s="61" t="str">
        <f aca="false">IF(IsPro,IF($D2991="","",IF(AND(V2991&lt;&gt;"",INDEX(Parties!$E$5:$E$304,V2991)&lt;&gt;"",INDEX(Parties!$E$5:$E$304,V2991)&lt;&gt;HomeState),ROUND(L2991*M2991,2),0)),"")</f>
        <v/>
      </c>
      <c r="Q2991" s="61" t="str">
        <f aca="false">IF(IsPro,IF($D2991="","",L2991+N2991+O2991+P2991),"")</f>
        <v/>
      </c>
      <c r="R2991" s="61" t="str">
        <f aca="false">IF(IsPro,IF($D2991="","",ROUND(N($E2991)*IFERROR(INDEX(Items!$P$5:$P$504,U2991),0),2)),"")</f>
        <v/>
      </c>
      <c r="S2991" s="61" t="str">
        <f aca="false">IF(IsPro,IF($D2991="","",L2991-R2991),"")</f>
        <v/>
      </c>
      <c r="T2991" s="60" t="str">
        <f aca="false">IF(IsPro,IF($D2991="","",IF(U2991="","UNKNOWN ITEM",IF(INDEX(Items!$O$5:$O$504,U2991)&lt;0,"NEG STOCK",IF(K2991&lt;INDEX(Items!$P$5:$P$504,U2991),"BELOW COST","OK")))),IF($D2991="","","PRO PLAN"))</f>
        <v/>
      </c>
      <c r="U2991" s="60" t="str">
        <f aca="false">IF(IsPro,IF($D2991="","",IFERROR(MATCH($D2991,Items!$A$5:$A$504,0),"")),"")</f>
        <v/>
      </c>
      <c r="V2991" s="60" t="str">
        <f aca="false">IF(IsPro,IF($C2991="","",IFERROR(MATCH($C2991,Parties!$A$5:$A$304,0),"")),"")</f>
        <v/>
      </c>
      <c r="W2991" s="60" t="str">
        <f aca="false">IF(IsPro,IF($B2991="","",IFERROR(VALUE(SUBSTITUTE($B2991,InvPrefix,"")),0)),"")</f>
        <v/>
      </c>
      <c r="X2991" s="61" t="str">
        <f aca="false">IF(IsPro,IF($D2991="","",IF(OR($H2991="",$H2991="Credit"),0,Q2991)),"")</f>
        <v/>
      </c>
    </row>
    <row r="2992" customFormat="false" ht="15" hidden="false" customHeight="false" outlineLevel="0" collapsed="false">
      <c r="A2992" s="55"/>
      <c r="B2992" s="56"/>
      <c r="C2992" s="56"/>
      <c r="D2992" s="56"/>
      <c r="E2992" s="57"/>
      <c r="F2992" s="58"/>
      <c r="G2992" s="59"/>
      <c r="H2992" s="56"/>
      <c r="I2992" s="56"/>
      <c r="J2992" s="60" t="str">
        <f aca="false">IF(IsPro,IF($D2992="","",IFERROR(INDEX(Items!$D$5:$D$504,U2992),"")),"")</f>
        <v/>
      </c>
      <c r="K2992" s="61" t="str">
        <f aca="false">IF(IsPro,IF($D2992="","",IF($F2992="",IFERROR(INDEX(Items!$H$5:$H$504,U2992),0),$F2992)),"")</f>
        <v/>
      </c>
      <c r="L2992" s="61" t="str">
        <f aca="false">IF(IsPro,IF($D2992="","",ROUND(N($E2992)*K2992*(1-N($G2992)),2)),"")</f>
        <v/>
      </c>
      <c r="M2992" s="62" t="str">
        <f aca="false">IF(IsPro,IF($D2992="","",IFERROR(INDEX(Items!$F$5:$F$504,U2992),0)),"")</f>
        <v/>
      </c>
      <c r="N2992" s="61" t="str">
        <f aca="false">IF(IsPro,IF($D2992="","",IF(AND(V2992&lt;&gt;"",INDEX(Parties!$E$5:$E$304,V2992)&lt;&gt;"",INDEX(Parties!$E$5:$E$304,V2992)&lt;&gt;HomeState),0,ROUND(L2992*M2992/2,2))),"")</f>
        <v/>
      </c>
      <c r="O2992" s="61" t="str">
        <f aca="false">IF(IsPro,IF($D2992="","",N2992),"")</f>
        <v/>
      </c>
      <c r="P2992" s="61" t="str">
        <f aca="false">IF(IsPro,IF($D2992="","",IF(AND(V2992&lt;&gt;"",INDEX(Parties!$E$5:$E$304,V2992)&lt;&gt;"",INDEX(Parties!$E$5:$E$304,V2992)&lt;&gt;HomeState),ROUND(L2992*M2992,2),0)),"")</f>
        <v/>
      </c>
      <c r="Q2992" s="61" t="str">
        <f aca="false">IF(IsPro,IF($D2992="","",L2992+N2992+O2992+P2992),"")</f>
        <v/>
      </c>
      <c r="R2992" s="61" t="str">
        <f aca="false">IF(IsPro,IF($D2992="","",ROUND(N($E2992)*IFERROR(INDEX(Items!$P$5:$P$504,U2992),0),2)),"")</f>
        <v/>
      </c>
      <c r="S2992" s="61" t="str">
        <f aca="false">IF(IsPro,IF($D2992="","",L2992-R2992),"")</f>
        <v/>
      </c>
      <c r="T2992" s="60" t="str">
        <f aca="false">IF(IsPro,IF($D2992="","",IF(U2992="","UNKNOWN ITEM",IF(INDEX(Items!$O$5:$O$504,U2992)&lt;0,"NEG STOCK",IF(K2992&lt;INDEX(Items!$P$5:$P$504,U2992),"BELOW COST","OK")))),IF($D2992="","","PRO PLAN"))</f>
        <v/>
      </c>
      <c r="U2992" s="60" t="str">
        <f aca="false">IF(IsPro,IF($D2992="","",IFERROR(MATCH($D2992,Items!$A$5:$A$504,0),"")),"")</f>
        <v/>
      </c>
      <c r="V2992" s="60" t="str">
        <f aca="false">IF(IsPro,IF($C2992="","",IFERROR(MATCH($C2992,Parties!$A$5:$A$304,0),"")),"")</f>
        <v/>
      </c>
      <c r="W2992" s="60" t="str">
        <f aca="false">IF(IsPro,IF($B2992="","",IFERROR(VALUE(SUBSTITUTE($B2992,InvPrefix,"")),0)),"")</f>
        <v/>
      </c>
      <c r="X2992" s="61" t="str">
        <f aca="false">IF(IsPro,IF($D2992="","",IF(OR($H2992="",$H2992="Credit"),0,Q2992)),"")</f>
        <v/>
      </c>
    </row>
    <row r="2993" customFormat="false" ht="15" hidden="false" customHeight="false" outlineLevel="0" collapsed="false">
      <c r="A2993" s="55"/>
      <c r="B2993" s="56"/>
      <c r="C2993" s="56"/>
      <c r="D2993" s="56"/>
      <c r="E2993" s="57"/>
      <c r="F2993" s="58"/>
      <c r="G2993" s="59"/>
      <c r="H2993" s="56"/>
      <c r="I2993" s="56"/>
      <c r="J2993" s="60" t="str">
        <f aca="false">IF(IsPro,IF($D2993="","",IFERROR(INDEX(Items!$D$5:$D$504,U2993),"")),"")</f>
        <v/>
      </c>
      <c r="K2993" s="61" t="str">
        <f aca="false">IF(IsPro,IF($D2993="","",IF($F2993="",IFERROR(INDEX(Items!$H$5:$H$504,U2993),0),$F2993)),"")</f>
        <v/>
      </c>
      <c r="L2993" s="61" t="str">
        <f aca="false">IF(IsPro,IF($D2993="","",ROUND(N($E2993)*K2993*(1-N($G2993)),2)),"")</f>
        <v/>
      </c>
      <c r="M2993" s="62" t="str">
        <f aca="false">IF(IsPro,IF($D2993="","",IFERROR(INDEX(Items!$F$5:$F$504,U2993),0)),"")</f>
        <v/>
      </c>
      <c r="N2993" s="61" t="str">
        <f aca="false">IF(IsPro,IF($D2993="","",IF(AND(V2993&lt;&gt;"",INDEX(Parties!$E$5:$E$304,V2993)&lt;&gt;"",INDEX(Parties!$E$5:$E$304,V2993)&lt;&gt;HomeState),0,ROUND(L2993*M2993/2,2))),"")</f>
        <v/>
      </c>
      <c r="O2993" s="61" t="str">
        <f aca="false">IF(IsPro,IF($D2993="","",N2993),"")</f>
        <v/>
      </c>
      <c r="P2993" s="61" t="str">
        <f aca="false">IF(IsPro,IF($D2993="","",IF(AND(V2993&lt;&gt;"",INDEX(Parties!$E$5:$E$304,V2993)&lt;&gt;"",INDEX(Parties!$E$5:$E$304,V2993)&lt;&gt;HomeState),ROUND(L2993*M2993,2),0)),"")</f>
        <v/>
      </c>
      <c r="Q2993" s="61" t="str">
        <f aca="false">IF(IsPro,IF($D2993="","",L2993+N2993+O2993+P2993),"")</f>
        <v/>
      </c>
      <c r="R2993" s="61" t="str">
        <f aca="false">IF(IsPro,IF($D2993="","",ROUND(N($E2993)*IFERROR(INDEX(Items!$P$5:$P$504,U2993),0),2)),"")</f>
        <v/>
      </c>
      <c r="S2993" s="61" t="str">
        <f aca="false">IF(IsPro,IF($D2993="","",L2993-R2993),"")</f>
        <v/>
      </c>
      <c r="T2993" s="60" t="str">
        <f aca="false">IF(IsPro,IF($D2993="","",IF(U2993="","UNKNOWN ITEM",IF(INDEX(Items!$O$5:$O$504,U2993)&lt;0,"NEG STOCK",IF(K2993&lt;INDEX(Items!$P$5:$P$504,U2993),"BELOW COST","OK")))),IF($D2993="","","PRO PLAN"))</f>
        <v/>
      </c>
      <c r="U2993" s="60" t="str">
        <f aca="false">IF(IsPro,IF($D2993="","",IFERROR(MATCH($D2993,Items!$A$5:$A$504,0),"")),"")</f>
        <v/>
      </c>
      <c r="V2993" s="60" t="str">
        <f aca="false">IF(IsPro,IF($C2993="","",IFERROR(MATCH($C2993,Parties!$A$5:$A$304,0),"")),"")</f>
        <v/>
      </c>
      <c r="W2993" s="60" t="str">
        <f aca="false">IF(IsPro,IF($B2993="","",IFERROR(VALUE(SUBSTITUTE($B2993,InvPrefix,"")),0)),"")</f>
        <v/>
      </c>
      <c r="X2993" s="61" t="str">
        <f aca="false">IF(IsPro,IF($D2993="","",IF(OR($H2993="",$H2993="Credit"),0,Q2993)),"")</f>
        <v/>
      </c>
    </row>
    <row r="2994" customFormat="false" ht="15" hidden="false" customHeight="false" outlineLevel="0" collapsed="false">
      <c r="A2994" s="55"/>
      <c r="B2994" s="56"/>
      <c r="C2994" s="56"/>
      <c r="D2994" s="56"/>
      <c r="E2994" s="57"/>
      <c r="F2994" s="58"/>
      <c r="G2994" s="59"/>
      <c r="H2994" s="56"/>
      <c r="I2994" s="56"/>
      <c r="J2994" s="60" t="str">
        <f aca="false">IF(IsPro,IF($D2994="","",IFERROR(INDEX(Items!$D$5:$D$504,U2994),"")),"")</f>
        <v/>
      </c>
      <c r="K2994" s="61" t="str">
        <f aca="false">IF(IsPro,IF($D2994="","",IF($F2994="",IFERROR(INDEX(Items!$H$5:$H$504,U2994),0),$F2994)),"")</f>
        <v/>
      </c>
      <c r="L2994" s="61" t="str">
        <f aca="false">IF(IsPro,IF($D2994="","",ROUND(N($E2994)*K2994*(1-N($G2994)),2)),"")</f>
        <v/>
      </c>
      <c r="M2994" s="62" t="str">
        <f aca="false">IF(IsPro,IF($D2994="","",IFERROR(INDEX(Items!$F$5:$F$504,U2994),0)),"")</f>
        <v/>
      </c>
      <c r="N2994" s="61" t="str">
        <f aca="false">IF(IsPro,IF($D2994="","",IF(AND(V2994&lt;&gt;"",INDEX(Parties!$E$5:$E$304,V2994)&lt;&gt;"",INDEX(Parties!$E$5:$E$304,V2994)&lt;&gt;HomeState),0,ROUND(L2994*M2994/2,2))),"")</f>
        <v/>
      </c>
      <c r="O2994" s="61" t="str">
        <f aca="false">IF(IsPro,IF($D2994="","",N2994),"")</f>
        <v/>
      </c>
      <c r="P2994" s="61" t="str">
        <f aca="false">IF(IsPro,IF($D2994="","",IF(AND(V2994&lt;&gt;"",INDEX(Parties!$E$5:$E$304,V2994)&lt;&gt;"",INDEX(Parties!$E$5:$E$304,V2994)&lt;&gt;HomeState),ROUND(L2994*M2994,2),0)),"")</f>
        <v/>
      </c>
      <c r="Q2994" s="61" t="str">
        <f aca="false">IF(IsPro,IF($D2994="","",L2994+N2994+O2994+P2994),"")</f>
        <v/>
      </c>
      <c r="R2994" s="61" t="str">
        <f aca="false">IF(IsPro,IF($D2994="","",ROUND(N($E2994)*IFERROR(INDEX(Items!$P$5:$P$504,U2994),0),2)),"")</f>
        <v/>
      </c>
      <c r="S2994" s="61" t="str">
        <f aca="false">IF(IsPro,IF($D2994="","",L2994-R2994),"")</f>
        <v/>
      </c>
      <c r="T2994" s="60" t="str">
        <f aca="false">IF(IsPro,IF($D2994="","",IF(U2994="","UNKNOWN ITEM",IF(INDEX(Items!$O$5:$O$504,U2994)&lt;0,"NEG STOCK",IF(K2994&lt;INDEX(Items!$P$5:$P$504,U2994),"BELOW COST","OK")))),IF($D2994="","","PRO PLAN"))</f>
        <v/>
      </c>
      <c r="U2994" s="60" t="str">
        <f aca="false">IF(IsPro,IF($D2994="","",IFERROR(MATCH($D2994,Items!$A$5:$A$504,0),"")),"")</f>
        <v/>
      </c>
      <c r="V2994" s="60" t="str">
        <f aca="false">IF(IsPro,IF($C2994="","",IFERROR(MATCH($C2994,Parties!$A$5:$A$304,0),"")),"")</f>
        <v/>
      </c>
      <c r="W2994" s="60" t="str">
        <f aca="false">IF(IsPro,IF($B2994="","",IFERROR(VALUE(SUBSTITUTE($B2994,InvPrefix,"")),0)),"")</f>
        <v/>
      </c>
      <c r="X2994" s="61" t="str">
        <f aca="false">IF(IsPro,IF($D2994="","",IF(OR($H2994="",$H2994="Credit"),0,Q2994)),"")</f>
        <v/>
      </c>
    </row>
    <row r="2995" customFormat="false" ht="15" hidden="false" customHeight="false" outlineLevel="0" collapsed="false">
      <c r="A2995" s="55"/>
      <c r="B2995" s="56"/>
      <c r="C2995" s="56"/>
      <c r="D2995" s="56"/>
      <c r="E2995" s="57"/>
      <c r="F2995" s="58"/>
      <c r="G2995" s="59"/>
      <c r="H2995" s="56"/>
      <c r="I2995" s="56"/>
      <c r="J2995" s="60" t="str">
        <f aca="false">IF(IsPro,IF($D2995="","",IFERROR(INDEX(Items!$D$5:$D$504,U2995),"")),"")</f>
        <v/>
      </c>
      <c r="K2995" s="61" t="str">
        <f aca="false">IF(IsPro,IF($D2995="","",IF($F2995="",IFERROR(INDEX(Items!$H$5:$H$504,U2995),0),$F2995)),"")</f>
        <v/>
      </c>
      <c r="L2995" s="61" t="str">
        <f aca="false">IF(IsPro,IF($D2995="","",ROUND(N($E2995)*K2995*(1-N($G2995)),2)),"")</f>
        <v/>
      </c>
      <c r="M2995" s="62" t="str">
        <f aca="false">IF(IsPro,IF($D2995="","",IFERROR(INDEX(Items!$F$5:$F$504,U2995),0)),"")</f>
        <v/>
      </c>
      <c r="N2995" s="61" t="str">
        <f aca="false">IF(IsPro,IF($D2995="","",IF(AND(V2995&lt;&gt;"",INDEX(Parties!$E$5:$E$304,V2995)&lt;&gt;"",INDEX(Parties!$E$5:$E$304,V2995)&lt;&gt;HomeState),0,ROUND(L2995*M2995/2,2))),"")</f>
        <v/>
      </c>
      <c r="O2995" s="61" t="str">
        <f aca="false">IF(IsPro,IF($D2995="","",N2995),"")</f>
        <v/>
      </c>
      <c r="P2995" s="61" t="str">
        <f aca="false">IF(IsPro,IF($D2995="","",IF(AND(V2995&lt;&gt;"",INDEX(Parties!$E$5:$E$304,V2995)&lt;&gt;"",INDEX(Parties!$E$5:$E$304,V2995)&lt;&gt;HomeState),ROUND(L2995*M2995,2),0)),"")</f>
        <v/>
      </c>
      <c r="Q2995" s="61" t="str">
        <f aca="false">IF(IsPro,IF($D2995="","",L2995+N2995+O2995+P2995),"")</f>
        <v/>
      </c>
      <c r="R2995" s="61" t="str">
        <f aca="false">IF(IsPro,IF($D2995="","",ROUND(N($E2995)*IFERROR(INDEX(Items!$P$5:$P$504,U2995),0),2)),"")</f>
        <v/>
      </c>
      <c r="S2995" s="61" t="str">
        <f aca="false">IF(IsPro,IF($D2995="","",L2995-R2995),"")</f>
        <v/>
      </c>
      <c r="T2995" s="60" t="str">
        <f aca="false">IF(IsPro,IF($D2995="","",IF(U2995="","UNKNOWN ITEM",IF(INDEX(Items!$O$5:$O$504,U2995)&lt;0,"NEG STOCK",IF(K2995&lt;INDEX(Items!$P$5:$P$504,U2995),"BELOW COST","OK")))),IF($D2995="","","PRO PLAN"))</f>
        <v/>
      </c>
      <c r="U2995" s="60" t="str">
        <f aca="false">IF(IsPro,IF($D2995="","",IFERROR(MATCH($D2995,Items!$A$5:$A$504,0),"")),"")</f>
        <v/>
      </c>
      <c r="V2995" s="60" t="str">
        <f aca="false">IF(IsPro,IF($C2995="","",IFERROR(MATCH($C2995,Parties!$A$5:$A$304,0),"")),"")</f>
        <v/>
      </c>
      <c r="W2995" s="60" t="str">
        <f aca="false">IF(IsPro,IF($B2995="","",IFERROR(VALUE(SUBSTITUTE($B2995,InvPrefix,"")),0)),"")</f>
        <v/>
      </c>
      <c r="X2995" s="61" t="str">
        <f aca="false">IF(IsPro,IF($D2995="","",IF(OR($H2995="",$H2995="Credit"),0,Q2995)),"")</f>
        <v/>
      </c>
    </row>
    <row r="2996" customFormat="false" ht="15" hidden="false" customHeight="false" outlineLevel="0" collapsed="false">
      <c r="A2996" s="55"/>
      <c r="B2996" s="56"/>
      <c r="C2996" s="56"/>
      <c r="D2996" s="56"/>
      <c r="E2996" s="57"/>
      <c r="F2996" s="58"/>
      <c r="G2996" s="59"/>
      <c r="H2996" s="56"/>
      <c r="I2996" s="56"/>
      <c r="J2996" s="60" t="str">
        <f aca="false">IF(IsPro,IF($D2996="","",IFERROR(INDEX(Items!$D$5:$D$504,U2996),"")),"")</f>
        <v/>
      </c>
      <c r="K2996" s="61" t="str">
        <f aca="false">IF(IsPro,IF($D2996="","",IF($F2996="",IFERROR(INDEX(Items!$H$5:$H$504,U2996),0),$F2996)),"")</f>
        <v/>
      </c>
      <c r="L2996" s="61" t="str">
        <f aca="false">IF(IsPro,IF($D2996="","",ROUND(N($E2996)*K2996*(1-N($G2996)),2)),"")</f>
        <v/>
      </c>
      <c r="M2996" s="62" t="str">
        <f aca="false">IF(IsPro,IF($D2996="","",IFERROR(INDEX(Items!$F$5:$F$504,U2996),0)),"")</f>
        <v/>
      </c>
      <c r="N2996" s="61" t="str">
        <f aca="false">IF(IsPro,IF($D2996="","",IF(AND(V2996&lt;&gt;"",INDEX(Parties!$E$5:$E$304,V2996)&lt;&gt;"",INDEX(Parties!$E$5:$E$304,V2996)&lt;&gt;HomeState),0,ROUND(L2996*M2996/2,2))),"")</f>
        <v/>
      </c>
      <c r="O2996" s="61" t="str">
        <f aca="false">IF(IsPro,IF($D2996="","",N2996),"")</f>
        <v/>
      </c>
      <c r="P2996" s="61" t="str">
        <f aca="false">IF(IsPro,IF($D2996="","",IF(AND(V2996&lt;&gt;"",INDEX(Parties!$E$5:$E$304,V2996)&lt;&gt;"",INDEX(Parties!$E$5:$E$304,V2996)&lt;&gt;HomeState),ROUND(L2996*M2996,2),0)),"")</f>
        <v/>
      </c>
      <c r="Q2996" s="61" t="str">
        <f aca="false">IF(IsPro,IF($D2996="","",L2996+N2996+O2996+P2996),"")</f>
        <v/>
      </c>
      <c r="R2996" s="61" t="str">
        <f aca="false">IF(IsPro,IF($D2996="","",ROUND(N($E2996)*IFERROR(INDEX(Items!$P$5:$P$504,U2996),0),2)),"")</f>
        <v/>
      </c>
      <c r="S2996" s="61" t="str">
        <f aca="false">IF(IsPro,IF($D2996="","",L2996-R2996),"")</f>
        <v/>
      </c>
      <c r="T2996" s="60" t="str">
        <f aca="false">IF(IsPro,IF($D2996="","",IF(U2996="","UNKNOWN ITEM",IF(INDEX(Items!$O$5:$O$504,U2996)&lt;0,"NEG STOCK",IF(K2996&lt;INDEX(Items!$P$5:$P$504,U2996),"BELOW COST","OK")))),IF($D2996="","","PRO PLAN"))</f>
        <v/>
      </c>
      <c r="U2996" s="60" t="str">
        <f aca="false">IF(IsPro,IF($D2996="","",IFERROR(MATCH($D2996,Items!$A$5:$A$504,0),"")),"")</f>
        <v/>
      </c>
      <c r="V2996" s="60" t="str">
        <f aca="false">IF(IsPro,IF($C2996="","",IFERROR(MATCH($C2996,Parties!$A$5:$A$304,0),"")),"")</f>
        <v/>
      </c>
      <c r="W2996" s="60" t="str">
        <f aca="false">IF(IsPro,IF($B2996="","",IFERROR(VALUE(SUBSTITUTE($B2996,InvPrefix,"")),0)),"")</f>
        <v/>
      </c>
      <c r="X2996" s="61" t="str">
        <f aca="false">IF(IsPro,IF($D2996="","",IF(OR($H2996="",$H2996="Credit"),0,Q2996)),"")</f>
        <v/>
      </c>
    </row>
    <row r="2997" customFormat="false" ht="15" hidden="false" customHeight="false" outlineLevel="0" collapsed="false">
      <c r="A2997" s="55"/>
      <c r="B2997" s="56"/>
      <c r="C2997" s="56"/>
      <c r="D2997" s="56"/>
      <c r="E2997" s="57"/>
      <c r="F2997" s="58"/>
      <c r="G2997" s="59"/>
      <c r="H2997" s="56"/>
      <c r="I2997" s="56"/>
      <c r="J2997" s="60" t="str">
        <f aca="false">IF(IsPro,IF($D2997="","",IFERROR(INDEX(Items!$D$5:$D$504,U2997),"")),"")</f>
        <v/>
      </c>
      <c r="K2997" s="61" t="str">
        <f aca="false">IF(IsPro,IF($D2997="","",IF($F2997="",IFERROR(INDEX(Items!$H$5:$H$504,U2997),0),$F2997)),"")</f>
        <v/>
      </c>
      <c r="L2997" s="61" t="str">
        <f aca="false">IF(IsPro,IF($D2997="","",ROUND(N($E2997)*K2997*(1-N($G2997)),2)),"")</f>
        <v/>
      </c>
      <c r="M2997" s="62" t="str">
        <f aca="false">IF(IsPro,IF($D2997="","",IFERROR(INDEX(Items!$F$5:$F$504,U2997),0)),"")</f>
        <v/>
      </c>
      <c r="N2997" s="61" t="str">
        <f aca="false">IF(IsPro,IF($D2997="","",IF(AND(V2997&lt;&gt;"",INDEX(Parties!$E$5:$E$304,V2997)&lt;&gt;"",INDEX(Parties!$E$5:$E$304,V2997)&lt;&gt;HomeState),0,ROUND(L2997*M2997/2,2))),"")</f>
        <v/>
      </c>
      <c r="O2997" s="61" t="str">
        <f aca="false">IF(IsPro,IF($D2997="","",N2997),"")</f>
        <v/>
      </c>
      <c r="P2997" s="61" t="str">
        <f aca="false">IF(IsPro,IF($D2997="","",IF(AND(V2997&lt;&gt;"",INDEX(Parties!$E$5:$E$304,V2997)&lt;&gt;"",INDEX(Parties!$E$5:$E$304,V2997)&lt;&gt;HomeState),ROUND(L2997*M2997,2),0)),"")</f>
        <v/>
      </c>
      <c r="Q2997" s="61" t="str">
        <f aca="false">IF(IsPro,IF($D2997="","",L2997+N2997+O2997+P2997),"")</f>
        <v/>
      </c>
      <c r="R2997" s="61" t="str">
        <f aca="false">IF(IsPro,IF($D2997="","",ROUND(N($E2997)*IFERROR(INDEX(Items!$P$5:$P$504,U2997),0),2)),"")</f>
        <v/>
      </c>
      <c r="S2997" s="61" t="str">
        <f aca="false">IF(IsPro,IF($D2997="","",L2997-R2997),"")</f>
        <v/>
      </c>
      <c r="T2997" s="60" t="str">
        <f aca="false">IF(IsPro,IF($D2997="","",IF(U2997="","UNKNOWN ITEM",IF(INDEX(Items!$O$5:$O$504,U2997)&lt;0,"NEG STOCK",IF(K2997&lt;INDEX(Items!$P$5:$P$504,U2997),"BELOW COST","OK")))),IF($D2997="","","PRO PLAN"))</f>
        <v/>
      </c>
      <c r="U2997" s="60" t="str">
        <f aca="false">IF(IsPro,IF($D2997="","",IFERROR(MATCH($D2997,Items!$A$5:$A$504,0),"")),"")</f>
        <v/>
      </c>
      <c r="V2997" s="60" t="str">
        <f aca="false">IF(IsPro,IF($C2997="","",IFERROR(MATCH($C2997,Parties!$A$5:$A$304,0),"")),"")</f>
        <v/>
      </c>
      <c r="W2997" s="60" t="str">
        <f aca="false">IF(IsPro,IF($B2997="","",IFERROR(VALUE(SUBSTITUTE($B2997,InvPrefix,"")),0)),"")</f>
        <v/>
      </c>
      <c r="X2997" s="61" t="str">
        <f aca="false">IF(IsPro,IF($D2997="","",IF(OR($H2997="",$H2997="Credit"),0,Q2997)),"")</f>
        <v/>
      </c>
    </row>
    <row r="2998" customFormat="false" ht="15" hidden="false" customHeight="false" outlineLevel="0" collapsed="false">
      <c r="A2998" s="55"/>
      <c r="B2998" s="56"/>
      <c r="C2998" s="56"/>
      <c r="D2998" s="56"/>
      <c r="E2998" s="57"/>
      <c r="F2998" s="58"/>
      <c r="G2998" s="59"/>
      <c r="H2998" s="56"/>
      <c r="I2998" s="56"/>
      <c r="J2998" s="60" t="str">
        <f aca="false">IF(IsPro,IF($D2998="","",IFERROR(INDEX(Items!$D$5:$D$504,U2998),"")),"")</f>
        <v/>
      </c>
      <c r="K2998" s="61" t="str">
        <f aca="false">IF(IsPro,IF($D2998="","",IF($F2998="",IFERROR(INDEX(Items!$H$5:$H$504,U2998),0),$F2998)),"")</f>
        <v/>
      </c>
      <c r="L2998" s="61" t="str">
        <f aca="false">IF(IsPro,IF($D2998="","",ROUND(N($E2998)*K2998*(1-N($G2998)),2)),"")</f>
        <v/>
      </c>
      <c r="M2998" s="62" t="str">
        <f aca="false">IF(IsPro,IF($D2998="","",IFERROR(INDEX(Items!$F$5:$F$504,U2998),0)),"")</f>
        <v/>
      </c>
      <c r="N2998" s="61" t="str">
        <f aca="false">IF(IsPro,IF($D2998="","",IF(AND(V2998&lt;&gt;"",INDEX(Parties!$E$5:$E$304,V2998)&lt;&gt;"",INDEX(Parties!$E$5:$E$304,V2998)&lt;&gt;HomeState),0,ROUND(L2998*M2998/2,2))),"")</f>
        <v/>
      </c>
      <c r="O2998" s="61" t="str">
        <f aca="false">IF(IsPro,IF($D2998="","",N2998),"")</f>
        <v/>
      </c>
      <c r="P2998" s="61" t="str">
        <f aca="false">IF(IsPro,IF($D2998="","",IF(AND(V2998&lt;&gt;"",INDEX(Parties!$E$5:$E$304,V2998)&lt;&gt;"",INDEX(Parties!$E$5:$E$304,V2998)&lt;&gt;HomeState),ROUND(L2998*M2998,2),0)),"")</f>
        <v/>
      </c>
      <c r="Q2998" s="61" t="str">
        <f aca="false">IF(IsPro,IF($D2998="","",L2998+N2998+O2998+P2998),"")</f>
        <v/>
      </c>
      <c r="R2998" s="61" t="str">
        <f aca="false">IF(IsPro,IF($D2998="","",ROUND(N($E2998)*IFERROR(INDEX(Items!$P$5:$P$504,U2998),0),2)),"")</f>
        <v/>
      </c>
      <c r="S2998" s="61" t="str">
        <f aca="false">IF(IsPro,IF($D2998="","",L2998-R2998),"")</f>
        <v/>
      </c>
      <c r="T2998" s="60" t="str">
        <f aca="false">IF(IsPro,IF($D2998="","",IF(U2998="","UNKNOWN ITEM",IF(INDEX(Items!$O$5:$O$504,U2998)&lt;0,"NEG STOCK",IF(K2998&lt;INDEX(Items!$P$5:$P$504,U2998),"BELOW COST","OK")))),IF($D2998="","","PRO PLAN"))</f>
        <v/>
      </c>
      <c r="U2998" s="60" t="str">
        <f aca="false">IF(IsPro,IF($D2998="","",IFERROR(MATCH($D2998,Items!$A$5:$A$504,0),"")),"")</f>
        <v/>
      </c>
      <c r="V2998" s="60" t="str">
        <f aca="false">IF(IsPro,IF($C2998="","",IFERROR(MATCH($C2998,Parties!$A$5:$A$304,0),"")),"")</f>
        <v/>
      </c>
      <c r="W2998" s="60" t="str">
        <f aca="false">IF(IsPro,IF($B2998="","",IFERROR(VALUE(SUBSTITUTE($B2998,InvPrefix,"")),0)),"")</f>
        <v/>
      </c>
      <c r="X2998" s="61" t="str">
        <f aca="false">IF(IsPro,IF($D2998="","",IF(OR($H2998="",$H2998="Credit"),0,Q2998)),"")</f>
        <v/>
      </c>
    </row>
    <row r="2999" customFormat="false" ht="15" hidden="false" customHeight="false" outlineLevel="0" collapsed="false">
      <c r="A2999" s="55"/>
      <c r="B2999" s="56"/>
      <c r="C2999" s="56"/>
      <c r="D2999" s="56"/>
      <c r="E2999" s="57"/>
      <c r="F2999" s="58"/>
      <c r="G2999" s="59"/>
      <c r="H2999" s="56"/>
      <c r="I2999" s="56"/>
      <c r="J2999" s="60" t="str">
        <f aca="false">IF(IsPro,IF($D2999="","",IFERROR(INDEX(Items!$D$5:$D$504,U2999),"")),"")</f>
        <v/>
      </c>
      <c r="K2999" s="61" t="str">
        <f aca="false">IF(IsPro,IF($D2999="","",IF($F2999="",IFERROR(INDEX(Items!$H$5:$H$504,U2999),0),$F2999)),"")</f>
        <v/>
      </c>
      <c r="L2999" s="61" t="str">
        <f aca="false">IF(IsPro,IF($D2999="","",ROUND(N($E2999)*K2999*(1-N($G2999)),2)),"")</f>
        <v/>
      </c>
      <c r="M2999" s="62" t="str">
        <f aca="false">IF(IsPro,IF($D2999="","",IFERROR(INDEX(Items!$F$5:$F$504,U2999),0)),"")</f>
        <v/>
      </c>
      <c r="N2999" s="61" t="str">
        <f aca="false">IF(IsPro,IF($D2999="","",IF(AND(V2999&lt;&gt;"",INDEX(Parties!$E$5:$E$304,V2999)&lt;&gt;"",INDEX(Parties!$E$5:$E$304,V2999)&lt;&gt;HomeState),0,ROUND(L2999*M2999/2,2))),"")</f>
        <v/>
      </c>
      <c r="O2999" s="61" t="str">
        <f aca="false">IF(IsPro,IF($D2999="","",N2999),"")</f>
        <v/>
      </c>
      <c r="P2999" s="61" t="str">
        <f aca="false">IF(IsPro,IF($D2999="","",IF(AND(V2999&lt;&gt;"",INDEX(Parties!$E$5:$E$304,V2999)&lt;&gt;"",INDEX(Parties!$E$5:$E$304,V2999)&lt;&gt;HomeState),ROUND(L2999*M2999,2),0)),"")</f>
        <v/>
      </c>
      <c r="Q2999" s="61" t="str">
        <f aca="false">IF(IsPro,IF($D2999="","",L2999+N2999+O2999+P2999),"")</f>
        <v/>
      </c>
      <c r="R2999" s="61" t="str">
        <f aca="false">IF(IsPro,IF($D2999="","",ROUND(N($E2999)*IFERROR(INDEX(Items!$P$5:$P$504,U2999),0),2)),"")</f>
        <v/>
      </c>
      <c r="S2999" s="61" t="str">
        <f aca="false">IF(IsPro,IF($D2999="","",L2999-R2999),"")</f>
        <v/>
      </c>
      <c r="T2999" s="60" t="str">
        <f aca="false">IF(IsPro,IF($D2999="","",IF(U2999="","UNKNOWN ITEM",IF(INDEX(Items!$O$5:$O$504,U2999)&lt;0,"NEG STOCK",IF(K2999&lt;INDEX(Items!$P$5:$P$504,U2999),"BELOW COST","OK")))),IF($D2999="","","PRO PLAN"))</f>
        <v/>
      </c>
      <c r="U2999" s="60" t="str">
        <f aca="false">IF(IsPro,IF($D2999="","",IFERROR(MATCH($D2999,Items!$A$5:$A$504,0),"")),"")</f>
        <v/>
      </c>
      <c r="V2999" s="60" t="str">
        <f aca="false">IF(IsPro,IF($C2999="","",IFERROR(MATCH($C2999,Parties!$A$5:$A$304,0),"")),"")</f>
        <v/>
      </c>
      <c r="W2999" s="60" t="str">
        <f aca="false">IF(IsPro,IF($B2999="","",IFERROR(VALUE(SUBSTITUTE($B2999,InvPrefix,"")),0)),"")</f>
        <v/>
      </c>
      <c r="X2999" s="61" t="str">
        <f aca="false">IF(IsPro,IF($D2999="","",IF(OR($H2999="",$H2999="Credit"),0,Q2999)),"")</f>
        <v/>
      </c>
    </row>
    <row r="3000" customFormat="false" ht="15" hidden="false" customHeight="false" outlineLevel="0" collapsed="false">
      <c r="A3000" s="55"/>
      <c r="B3000" s="56"/>
      <c r="C3000" s="56"/>
      <c r="D3000" s="56"/>
      <c r="E3000" s="57"/>
      <c r="F3000" s="58"/>
      <c r="G3000" s="59"/>
      <c r="H3000" s="56"/>
      <c r="I3000" s="56"/>
      <c r="J3000" s="60" t="str">
        <f aca="false">IF(IsPro,IF($D3000="","",IFERROR(INDEX(Items!$D$5:$D$504,U3000),"")),"")</f>
        <v/>
      </c>
      <c r="K3000" s="61" t="str">
        <f aca="false">IF(IsPro,IF($D3000="","",IF($F3000="",IFERROR(INDEX(Items!$H$5:$H$504,U3000),0),$F3000)),"")</f>
        <v/>
      </c>
      <c r="L3000" s="61" t="str">
        <f aca="false">IF(IsPro,IF($D3000="","",ROUND(N($E3000)*K3000*(1-N($G3000)),2)),"")</f>
        <v/>
      </c>
      <c r="M3000" s="62" t="str">
        <f aca="false">IF(IsPro,IF($D3000="","",IFERROR(INDEX(Items!$F$5:$F$504,U3000),0)),"")</f>
        <v/>
      </c>
      <c r="N3000" s="61" t="str">
        <f aca="false">IF(IsPro,IF($D3000="","",IF(AND(V3000&lt;&gt;"",INDEX(Parties!$E$5:$E$304,V3000)&lt;&gt;"",INDEX(Parties!$E$5:$E$304,V3000)&lt;&gt;HomeState),0,ROUND(L3000*M3000/2,2))),"")</f>
        <v/>
      </c>
      <c r="O3000" s="61" t="str">
        <f aca="false">IF(IsPro,IF($D3000="","",N3000),"")</f>
        <v/>
      </c>
      <c r="P3000" s="61" t="str">
        <f aca="false">IF(IsPro,IF($D3000="","",IF(AND(V3000&lt;&gt;"",INDEX(Parties!$E$5:$E$304,V3000)&lt;&gt;"",INDEX(Parties!$E$5:$E$304,V3000)&lt;&gt;HomeState),ROUND(L3000*M3000,2),0)),"")</f>
        <v/>
      </c>
      <c r="Q3000" s="61" t="str">
        <f aca="false">IF(IsPro,IF($D3000="","",L3000+N3000+O3000+P3000),"")</f>
        <v/>
      </c>
      <c r="R3000" s="61" t="str">
        <f aca="false">IF(IsPro,IF($D3000="","",ROUND(N($E3000)*IFERROR(INDEX(Items!$P$5:$P$504,U3000),0),2)),"")</f>
        <v/>
      </c>
      <c r="S3000" s="61" t="str">
        <f aca="false">IF(IsPro,IF($D3000="","",L3000-R3000),"")</f>
        <v/>
      </c>
      <c r="T3000" s="60" t="str">
        <f aca="false">IF(IsPro,IF($D3000="","",IF(U3000="","UNKNOWN ITEM",IF(INDEX(Items!$O$5:$O$504,U3000)&lt;0,"NEG STOCK",IF(K3000&lt;INDEX(Items!$P$5:$P$504,U3000),"BELOW COST","OK")))),IF($D3000="","","PRO PLAN"))</f>
        <v/>
      </c>
      <c r="U3000" s="60" t="str">
        <f aca="false">IF(IsPro,IF($D3000="","",IFERROR(MATCH($D3000,Items!$A$5:$A$504,0),"")),"")</f>
        <v/>
      </c>
      <c r="V3000" s="60" t="str">
        <f aca="false">IF(IsPro,IF($C3000="","",IFERROR(MATCH($C3000,Parties!$A$5:$A$304,0),"")),"")</f>
        <v/>
      </c>
      <c r="W3000" s="60" t="str">
        <f aca="false">IF(IsPro,IF($B3000="","",IFERROR(VALUE(SUBSTITUTE($B3000,InvPrefix,"")),0)),"")</f>
        <v/>
      </c>
      <c r="X3000" s="61" t="str">
        <f aca="false">IF(IsPro,IF($D3000="","",IF(OR($H3000="",$H3000="Credit"),0,Q3000)),"")</f>
        <v/>
      </c>
    </row>
    <row r="3001" customFormat="false" ht="15" hidden="false" customHeight="false" outlineLevel="0" collapsed="false">
      <c r="A3001" s="55"/>
      <c r="B3001" s="56"/>
      <c r="C3001" s="56"/>
      <c r="D3001" s="56"/>
      <c r="E3001" s="57"/>
      <c r="F3001" s="58"/>
      <c r="G3001" s="59"/>
      <c r="H3001" s="56"/>
      <c r="I3001" s="56"/>
      <c r="J3001" s="60" t="str">
        <f aca="false">IF(IsPro,IF($D3001="","",IFERROR(INDEX(Items!$D$5:$D$504,U3001),"")),"")</f>
        <v/>
      </c>
      <c r="K3001" s="61" t="str">
        <f aca="false">IF(IsPro,IF($D3001="","",IF($F3001="",IFERROR(INDEX(Items!$H$5:$H$504,U3001),0),$F3001)),"")</f>
        <v/>
      </c>
      <c r="L3001" s="61" t="str">
        <f aca="false">IF(IsPro,IF($D3001="","",ROUND(N($E3001)*K3001*(1-N($G3001)),2)),"")</f>
        <v/>
      </c>
      <c r="M3001" s="62" t="str">
        <f aca="false">IF(IsPro,IF($D3001="","",IFERROR(INDEX(Items!$F$5:$F$504,U3001),0)),"")</f>
        <v/>
      </c>
      <c r="N3001" s="61" t="str">
        <f aca="false">IF(IsPro,IF($D3001="","",IF(AND(V3001&lt;&gt;"",INDEX(Parties!$E$5:$E$304,V3001)&lt;&gt;"",INDEX(Parties!$E$5:$E$304,V3001)&lt;&gt;HomeState),0,ROUND(L3001*M3001/2,2))),"")</f>
        <v/>
      </c>
      <c r="O3001" s="61" t="str">
        <f aca="false">IF(IsPro,IF($D3001="","",N3001),"")</f>
        <v/>
      </c>
      <c r="P3001" s="61" t="str">
        <f aca="false">IF(IsPro,IF($D3001="","",IF(AND(V3001&lt;&gt;"",INDEX(Parties!$E$5:$E$304,V3001)&lt;&gt;"",INDEX(Parties!$E$5:$E$304,V3001)&lt;&gt;HomeState),ROUND(L3001*M3001,2),0)),"")</f>
        <v/>
      </c>
      <c r="Q3001" s="61" t="str">
        <f aca="false">IF(IsPro,IF($D3001="","",L3001+N3001+O3001+P3001),"")</f>
        <v/>
      </c>
      <c r="R3001" s="61" t="str">
        <f aca="false">IF(IsPro,IF($D3001="","",ROUND(N($E3001)*IFERROR(INDEX(Items!$P$5:$P$504,U3001),0),2)),"")</f>
        <v/>
      </c>
      <c r="S3001" s="61" t="str">
        <f aca="false">IF(IsPro,IF($D3001="","",L3001-R3001),"")</f>
        <v/>
      </c>
      <c r="T3001" s="60" t="str">
        <f aca="false">IF(IsPro,IF($D3001="","",IF(U3001="","UNKNOWN ITEM",IF(INDEX(Items!$O$5:$O$504,U3001)&lt;0,"NEG STOCK",IF(K3001&lt;INDEX(Items!$P$5:$P$504,U3001),"BELOW COST","OK")))),IF($D3001="","","PRO PLAN"))</f>
        <v/>
      </c>
      <c r="U3001" s="60" t="str">
        <f aca="false">IF(IsPro,IF($D3001="","",IFERROR(MATCH($D3001,Items!$A$5:$A$504,0),"")),"")</f>
        <v/>
      </c>
      <c r="V3001" s="60" t="str">
        <f aca="false">IF(IsPro,IF($C3001="","",IFERROR(MATCH($C3001,Parties!$A$5:$A$304,0),"")),"")</f>
        <v/>
      </c>
      <c r="W3001" s="60" t="str">
        <f aca="false">IF(IsPro,IF($B3001="","",IFERROR(VALUE(SUBSTITUTE($B3001,InvPrefix,"")),0)),"")</f>
        <v/>
      </c>
      <c r="X3001" s="61" t="str">
        <f aca="false">IF(IsPro,IF($D3001="","",IF(OR($H3001="",$H3001="Credit"),0,Q3001)),"")</f>
        <v/>
      </c>
    </row>
    <row r="3002" customFormat="false" ht="15" hidden="false" customHeight="false" outlineLevel="0" collapsed="false">
      <c r="A3002" s="55"/>
      <c r="B3002" s="56"/>
      <c r="C3002" s="56"/>
      <c r="D3002" s="56"/>
      <c r="E3002" s="57"/>
      <c r="F3002" s="58"/>
      <c r="G3002" s="59"/>
      <c r="H3002" s="56"/>
      <c r="I3002" s="56"/>
      <c r="J3002" s="60" t="str">
        <f aca="false">IF(IsPro,IF($D3002="","",IFERROR(INDEX(Items!$D$5:$D$504,U3002),"")),"")</f>
        <v/>
      </c>
      <c r="K3002" s="61" t="str">
        <f aca="false">IF(IsPro,IF($D3002="","",IF($F3002="",IFERROR(INDEX(Items!$H$5:$H$504,U3002),0),$F3002)),"")</f>
        <v/>
      </c>
      <c r="L3002" s="61" t="str">
        <f aca="false">IF(IsPro,IF($D3002="","",ROUND(N($E3002)*K3002*(1-N($G3002)),2)),"")</f>
        <v/>
      </c>
      <c r="M3002" s="62" t="str">
        <f aca="false">IF(IsPro,IF($D3002="","",IFERROR(INDEX(Items!$F$5:$F$504,U3002),0)),"")</f>
        <v/>
      </c>
      <c r="N3002" s="61" t="str">
        <f aca="false">IF(IsPro,IF($D3002="","",IF(AND(V3002&lt;&gt;"",INDEX(Parties!$E$5:$E$304,V3002)&lt;&gt;"",INDEX(Parties!$E$5:$E$304,V3002)&lt;&gt;HomeState),0,ROUND(L3002*M3002/2,2))),"")</f>
        <v/>
      </c>
      <c r="O3002" s="61" t="str">
        <f aca="false">IF(IsPro,IF($D3002="","",N3002),"")</f>
        <v/>
      </c>
      <c r="P3002" s="61" t="str">
        <f aca="false">IF(IsPro,IF($D3002="","",IF(AND(V3002&lt;&gt;"",INDEX(Parties!$E$5:$E$304,V3002)&lt;&gt;"",INDEX(Parties!$E$5:$E$304,V3002)&lt;&gt;HomeState),ROUND(L3002*M3002,2),0)),"")</f>
        <v/>
      </c>
      <c r="Q3002" s="61" t="str">
        <f aca="false">IF(IsPro,IF($D3002="","",L3002+N3002+O3002+P3002),"")</f>
        <v/>
      </c>
      <c r="R3002" s="61" t="str">
        <f aca="false">IF(IsPro,IF($D3002="","",ROUND(N($E3002)*IFERROR(INDEX(Items!$P$5:$P$504,U3002),0),2)),"")</f>
        <v/>
      </c>
      <c r="S3002" s="61" t="str">
        <f aca="false">IF(IsPro,IF($D3002="","",L3002-R3002),"")</f>
        <v/>
      </c>
      <c r="T3002" s="60" t="str">
        <f aca="false">IF(IsPro,IF($D3002="","",IF(U3002="","UNKNOWN ITEM",IF(INDEX(Items!$O$5:$O$504,U3002)&lt;0,"NEG STOCK",IF(K3002&lt;INDEX(Items!$P$5:$P$504,U3002),"BELOW COST","OK")))),IF($D3002="","","PRO PLAN"))</f>
        <v/>
      </c>
      <c r="U3002" s="60" t="str">
        <f aca="false">IF(IsPro,IF($D3002="","",IFERROR(MATCH($D3002,Items!$A$5:$A$504,0),"")),"")</f>
        <v/>
      </c>
      <c r="V3002" s="60" t="str">
        <f aca="false">IF(IsPro,IF($C3002="","",IFERROR(MATCH($C3002,Parties!$A$5:$A$304,0),"")),"")</f>
        <v/>
      </c>
      <c r="W3002" s="60" t="str">
        <f aca="false">IF(IsPro,IF($B3002="","",IFERROR(VALUE(SUBSTITUTE($B3002,InvPrefix,"")),0)),"")</f>
        <v/>
      </c>
      <c r="X3002" s="61" t="str">
        <f aca="false">IF(IsPro,IF($D3002="","",IF(OR($H3002="",$H3002="Credit"),0,Q3002)),"")</f>
        <v/>
      </c>
    </row>
    <row r="3003" customFormat="false" ht="15" hidden="false" customHeight="false" outlineLevel="0" collapsed="false">
      <c r="A3003" s="55"/>
      <c r="B3003" s="56"/>
      <c r="C3003" s="56"/>
      <c r="D3003" s="56"/>
      <c r="E3003" s="57"/>
      <c r="F3003" s="58"/>
      <c r="G3003" s="59"/>
      <c r="H3003" s="56"/>
      <c r="I3003" s="56"/>
      <c r="J3003" s="60" t="str">
        <f aca="false">IF(IsPro,IF($D3003="","",IFERROR(INDEX(Items!$D$5:$D$504,U3003),"")),"")</f>
        <v/>
      </c>
      <c r="K3003" s="61" t="str">
        <f aca="false">IF(IsPro,IF($D3003="","",IF($F3003="",IFERROR(INDEX(Items!$H$5:$H$504,U3003),0),$F3003)),"")</f>
        <v/>
      </c>
      <c r="L3003" s="61" t="str">
        <f aca="false">IF(IsPro,IF($D3003="","",ROUND(N($E3003)*K3003*(1-N($G3003)),2)),"")</f>
        <v/>
      </c>
      <c r="M3003" s="62" t="str">
        <f aca="false">IF(IsPro,IF($D3003="","",IFERROR(INDEX(Items!$F$5:$F$504,U3003),0)),"")</f>
        <v/>
      </c>
      <c r="N3003" s="61" t="str">
        <f aca="false">IF(IsPro,IF($D3003="","",IF(AND(V3003&lt;&gt;"",INDEX(Parties!$E$5:$E$304,V3003)&lt;&gt;"",INDEX(Parties!$E$5:$E$304,V3003)&lt;&gt;HomeState),0,ROUND(L3003*M3003/2,2))),"")</f>
        <v/>
      </c>
      <c r="O3003" s="61" t="str">
        <f aca="false">IF(IsPro,IF($D3003="","",N3003),"")</f>
        <v/>
      </c>
      <c r="P3003" s="61" t="str">
        <f aca="false">IF(IsPro,IF($D3003="","",IF(AND(V3003&lt;&gt;"",INDEX(Parties!$E$5:$E$304,V3003)&lt;&gt;"",INDEX(Parties!$E$5:$E$304,V3003)&lt;&gt;HomeState),ROUND(L3003*M3003,2),0)),"")</f>
        <v/>
      </c>
      <c r="Q3003" s="61" t="str">
        <f aca="false">IF(IsPro,IF($D3003="","",L3003+N3003+O3003+P3003),"")</f>
        <v/>
      </c>
      <c r="R3003" s="61" t="str">
        <f aca="false">IF(IsPro,IF($D3003="","",ROUND(N($E3003)*IFERROR(INDEX(Items!$P$5:$P$504,U3003),0),2)),"")</f>
        <v/>
      </c>
      <c r="S3003" s="61" t="str">
        <f aca="false">IF(IsPro,IF($D3003="","",L3003-R3003),"")</f>
        <v/>
      </c>
      <c r="T3003" s="60" t="str">
        <f aca="false">IF(IsPro,IF($D3003="","",IF(U3003="","UNKNOWN ITEM",IF(INDEX(Items!$O$5:$O$504,U3003)&lt;0,"NEG STOCK",IF(K3003&lt;INDEX(Items!$P$5:$P$504,U3003),"BELOW COST","OK")))),IF($D3003="","","PRO PLAN"))</f>
        <v/>
      </c>
      <c r="U3003" s="60" t="str">
        <f aca="false">IF(IsPro,IF($D3003="","",IFERROR(MATCH($D3003,Items!$A$5:$A$504,0),"")),"")</f>
        <v/>
      </c>
      <c r="V3003" s="60" t="str">
        <f aca="false">IF(IsPro,IF($C3003="","",IFERROR(MATCH($C3003,Parties!$A$5:$A$304,0),"")),"")</f>
        <v/>
      </c>
      <c r="W3003" s="60" t="str">
        <f aca="false">IF(IsPro,IF($B3003="","",IFERROR(VALUE(SUBSTITUTE($B3003,InvPrefix,"")),0)),"")</f>
        <v/>
      </c>
      <c r="X3003" s="61" t="str">
        <f aca="false">IF(IsPro,IF($D3003="","",IF(OR($H3003="",$H3003="Credit"),0,Q3003)),"")</f>
        <v/>
      </c>
    </row>
    <row r="3004" customFormat="false" ht="15" hidden="false" customHeight="false" outlineLevel="0" collapsed="false">
      <c r="A3004" s="55"/>
      <c r="B3004" s="56"/>
      <c r="C3004" s="56"/>
      <c r="D3004" s="56"/>
      <c r="E3004" s="57"/>
      <c r="F3004" s="58"/>
      <c r="G3004" s="59"/>
      <c r="H3004" s="56"/>
      <c r="I3004" s="56"/>
      <c r="J3004" s="60" t="str">
        <f aca="false">IF(IsPro,IF($D3004="","",IFERROR(INDEX(Items!$D$5:$D$504,U3004),"")),"")</f>
        <v/>
      </c>
      <c r="K3004" s="61" t="str">
        <f aca="false">IF(IsPro,IF($D3004="","",IF($F3004="",IFERROR(INDEX(Items!$H$5:$H$504,U3004),0),$F3004)),"")</f>
        <v/>
      </c>
      <c r="L3004" s="61" t="str">
        <f aca="false">IF(IsPro,IF($D3004="","",ROUND(N($E3004)*K3004*(1-N($G3004)),2)),"")</f>
        <v/>
      </c>
      <c r="M3004" s="62" t="str">
        <f aca="false">IF(IsPro,IF($D3004="","",IFERROR(INDEX(Items!$F$5:$F$504,U3004),0)),"")</f>
        <v/>
      </c>
      <c r="N3004" s="61" t="str">
        <f aca="false">IF(IsPro,IF($D3004="","",IF(AND(V3004&lt;&gt;"",INDEX(Parties!$E$5:$E$304,V3004)&lt;&gt;"",INDEX(Parties!$E$5:$E$304,V3004)&lt;&gt;HomeState),0,ROUND(L3004*M3004/2,2))),"")</f>
        <v/>
      </c>
      <c r="O3004" s="61" t="str">
        <f aca="false">IF(IsPro,IF($D3004="","",N3004),"")</f>
        <v/>
      </c>
      <c r="P3004" s="61" t="str">
        <f aca="false">IF(IsPro,IF($D3004="","",IF(AND(V3004&lt;&gt;"",INDEX(Parties!$E$5:$E$304,V3004)&lt;&gt;"",INDEX(Parties!$E$5:$E$304,V3004)&lt;&gt;HomeState),ROUND(L3004*M3004,2),0)),"")</f>
        <v/>
      </c>
      <c r="Q3004" s="61" t="str">
        <f aca="false">IF(IsPro,IF($D3004="","",L3004+N3004+O3004+P3004),"")</f>
        <v/>
      </c>
      <c r="R3004" s="61" t="str">
        <f aca="false">IF(IsPro,IF($D3004="","",ROUND(N($E3004)*IFERROR(INDEX(Items!$P$5:$P$504,U3004),0),2)),"")</f>
        <v/>
      </c>
      <c r="S3004" s="61" t="str">
        <f aca="false">IF(IsPro,IF($D3004="","",L3004-R3004),"")</f>
        <v/>
      </c>
      <c r="T3004" s="60" t="str">
        <f aca="false">IF(IsPro,IF($D3004="","",IF(U3004="","UNKNOWN ITEM",IF(INDEX(Items!$O$5:$O$504,U3004)&lt;0,"NEG STOCK",IF(K3004&lt;INDEX(Items!$P$5:$P$504,U3004),"BELOW COST","OK")))),IF($D3004="","","PRO PLAN"))</f>
        <v/>
      </c>
      <c r="U3004" s="60" t="str">
        <f aca="false">IF(IsPro,IF($D3004="","",IFERROR(MATCH($D3004,Items!$A$5:$A$504,0),"")),"")</f>
        <v/>
      </c>
      <c r="V3004" s="60" t="str">
        <f aca="false">IF(IsPro,IF($C3004="","",IFERROR(MATCH($C3004,Parties!$A$5:$A$304,0),"")),"")</f>
        <v/>
      </c>
      <c r="W3004" s="60" t="str">
        <f aca="false">IF(IsPro,IF($B3004="","",IFERROR(VALUE(SUBSTITUTE($B3004,InvPrefix,"")),0)),"")</f>
        <v/>
      </c>
      <c r="X3004" s="61" t="str">
        <f aca="false">IF(IsPro,IF($D3004="","",IF(OR($H3004="",$H3004="Credit"),0,Q3004)),"")</f>
        <v/>
      </c>
    </row>
  </sheetData>
  <autoFilter ref="A4:X3004"/>
  <mergeCells count="2">
    <mergeCell ref="A1:X1"/>
    <mergeCell ref="A2:X2"/>
  </mergeCells>
  <conditionalFormatting sqref="T5:T3004">
    <cfRule type="cellIs" priority="2" operator="equal" aboveAverage="0" equalAverage="0" bottom="0" percent="0" rank="0" text="" dxfId="2">
      <formula>"NEG STOCK"</formula>
    </cfRule>
    <cfRule type="cellIs" priority="3" operator="equal" aboveAverage="0" equalAverage="0" bottom="0" percent="0" rank="0" text="" dxfId="3">
      <formula>"BELOW COST"</formula>
    </cfRule>
    <cfRule type="cellIs" priority="4" operator="equal" aboveAverage="0" equalAverage="0" bottom="0" percent="0" rank="0" text="" dxfId="4">
      <formula>"UNKNOWN ITEM"</formula>
    </cfRule>
    <cfRule type="cellIs" priority="5" operator="equal" aboveAverage="0" equalAverage="0" bottom="0" percent="0" rank="0" text="" dxfId="15">
      <formula>"PRO PLAN"</formula>
    </cfRule>
  </conditionalFormatting>
  <conditionalFormatting sqref="I5:I3004">
    <cfRule type="cellIs" priority="6" operator="equal" aboveAverage="0" equalAverage="0" bottom="0" percent="0" rank="0" text="" dxfId="3">
      <formula>"Pending"</formula>
    </cfRule>
  </conditionalFormatting>
  <conditionalFormatting sqref="A5:I3004">
    <cfRule type="expression" priority="7" aboveAverage="0" equalAverage="0" bottom="0" percent="0" rank="0" text="" dxfId="16">
      <formula>AND($B5&lt;&gt;"",ISODD(N($W5)))</formula>
    </cfRule>
  </conditionalFormatting>
  <dataValidations count="6">
    <dataValidation allowBlank="true" error="Quantity must be greater than 0 (use Adjustments for returns/losses)." errorStyle="stop" operator="greaterThan" showDropDown="false" showErrorMessage="true" showInputMessage="false" sqref="E5:E3004" type="decimal">
      <formula1>0</formula1>
      <formula2>0</formula2>
    </dataValidation>
    <dataValidation allowBlank="true" error="Enter a valid date, e.g. 15-Apr-2026 or Ctrl+; for today." errorStyle="stop" operator="greaterThan" showDropDown="false" showErrorMessage="true" showInputMessage="false" sqref="A5:A3004" type="date">
      <formula1>36526</formula1>
      <formula2>0</formula2>
    </dataValidation>
    <dataValidation allowBlank="true" error="Pick a value from the list (add new masters on the master sheet first)." errorStyle="stop" operator="between" prompt="Pick a party (add new ones on the Parties sheet)" showDropDown="false" showErrorMessage="true" showInputMessage="true" sqref="C5:C3004" type="list">
      <formula1>L_Parties</formula1>
      <formula2>0</formula2>
    </dataValidation>
    <dataValidation allowBlank="true" error="Pick a value from the list (add new masters on the master sheet first)." errorStyle="stop" operator="between" prompt="Pick an item (add new ones on the Items sheet)" showDropDown="false" showErrorMessage="true" showInputMessage="true" sqref="D5:D3004" type="list">
      <formula1>L_Items</formula1>
      <formula2>0</formula2>
    </dataValidation>
    <dataValidation allowBlank="true" error="Pick a value from the list (add new masters on the master sheet first)." errorStyle="stop" operator="between" showDropDown="false" showErrorMessage="true" showInputMessage="false" sqref="H5:H3004" type="list">
      <formula1>L_PayModes</formula1>
      <formula2>0</formula2>
    </dataValidation>
    <dataValidation allowBlank="true" error="Pick a value from the list (add new masters on the master sheet first)." errorStyle="stop" operator="between" showDropDown="false" showErrorMessage="true" showInputMessage="false" sqref="I5:I3004" type="list">
      <formula1>L_DeliveryStatus</formula1>
      <formula2>0</formula2>
    </dataValidation>
  </dataValidations>
  <hyperlinks>
    <hyperlink ref="Z1" r:id="rId1" location="Dashboard!A1" display="« Ho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false"/>
  </sheetPr>
  <dimension ref="A1:U3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7"/>
    <col collapsed="false" customWidth="true" hidden="false" outlineLevel="0" max="8" min="8" style="0" width="10"/>
    <col collapsed="false" customWidth="true" hidden="false" outlineLevel="0" max="9" min="9" style="0" width="6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7"/>
    <col collapsed="false" customWidth="true" hidden="false" outlineLevel="0" max="15" min="13" style="0" width="10"/>
    <col collapsed="false" customWidth="true" hidden="false" outlineLevel="0" max="16" min="16" style="0" width="12"/>
    <col collapsed="false" customWidth="true" hidden="true" outlineLevel="0" max="18" min="17" style="0" width="6"/>
    <col collapsed="false" customWidth="true" hidden="false" outlineLevel="0" max="19" min="19" style="0" width="11"/>
  </cols>
  <sheetData>
    <row r="1" customFormat="false" ht="27.75" hidden="false" customHeight="true" outlineLevel="0" collapsed="false">
      <c r="A1" s="49" t="s">
        <v>220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U1" s="50" t="s">
        <v>43</v>
      </c>
    </row>
    <row r="2" customFormat="false" ht="15" hidden="false" customHeight="false" outlineLevel="0" collapsed="false">
      <c r="A2" s="3" t="s">
        <v>221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customFormat="false" ht="15" hidden="false" customHeight="false" outlineLevel="0" collapsed="false">
      <c r="A3" s="51" t="s">
        <v>45</v>
      </c>
      <c r="I3" s="52" t="s">
        <v>46</v>
      </c>
    </row>
    <row r="4" customFormat="false" ht="31.5" hidden="false" customHeight="true" outlineLevel="0" collapsed="false">
      <c r="A4" s="53" t="s">
        <v>47</v>
      </c>
      <c r="B4" s="53" t="s">
        <v>222</v>
      </c>
      <c r="C4" s="53" t="s">
        <v>223</v>
      </c>
      <c r="D4" s="53" t="s">
        <v>50</v>
      </c>
      <c r="E4" s="53" t="s">
        <v>51</v>
      </c>
      <c r="F4" s="53" t="s">
        <v>52</v>
      </c>
      <c r="G4" s="53" t="s">
        <v>53</v>
      </c>
      <c r="H4" s="53" t="s">
        <v>54</v>
      </c>
      <c r="I4" s="54" t="s">
        <v>56</v>
      </c>
      <c r="J4" s="54" t="s">
        <v>57</v>
      </c>
      <c r="K4" s="54" t="s">
        <v>58</v>
      </c>
      <c r="L4" s="54" t="s">
        <v>59</v>
      </c>
      <c r="M4" s="54" t="s">
        <v>60</v>
      </c>
      <c r="N4" s="54" t="s">
        <v>61</v>
      </c>
      <c r="O4" s="54" t="s">
        <v>62</v>
      </c>
      <c r="P4" s="54" t="s">
        <v>224</v>
      </c>
      <c r="Q4" s="54" t="s">
        <v>67</v>
      </c>
      <c r="R4" s="54" t="s">
        <v>68</v>
      </c>
      <c r="S4" s="54" t="s">
        <v>70</v>
      </c>
    </row>
    <row r="5" customFormat="false" ht="15" hidden="false" customHeight="false" outlineLevel="0" collapsed="false">
      <c r="A5" s="55" t="n">
        <v>46113</v>
      </c>
      <c r="B5" s="56" t="s">
        <v>225</v>
      </c>
      <c r="C5" s="56" t="s">
        <v>226</v>
      </c>
      <c r="D5" s="56" t="s">
        <v>92</v>
      </c>
      <c r="E5" s="57" t="n">
        <v>13</v>
      </c>
      <c r="F5" s="58" t="n">
        <v>2517</v>
      </c>
      <c r="G5" s="59"/>
      <c r="H5" s="56"/>
      <c r="I5" s="60" t="str">
        <f aca="false">IF($D5="","",IFERROR(INDEX(Items!$D$5:$D$504,Q5),""))</f>
        <v>Pcs</v>
      </c>
      <c r="J5" s="61" t="n">
        <f aca="false">IF($D5="","",IF($F5="",IFERROR(INDEX(Items!$G$5:$G$504,Q5),0),$F5))</f>
        <v>2517</v>
      </c>
      <c r="K5" s="61" t="n">
        <f aca="false">IF($D5="","",ROUND(N($E5)*J5*(1-N($G5)),2))</f>
        <v>32721</v>
      </c>
      <c r="L5" s="62" t="n">
        <f aca="false">IF($D5="","",IFERROR(INDEX(Items!$F$5:$F$504,Q5),0))</f>
        <v>0.18</v>
      </c>
      <c r="M5" s="61" t="n">
        <f aca="false">IF($D5="","",IF(AND(R5&lt;&gt;"",INDEX(Parties!$E$5:$E$304,R5)&lt;&gt;"",INDEX(Parties!$E$5:$E$304,R5)&lt;&gt;HomeState),0,ROUND(K5*L5/2,2)))</f>
        <v>0</v>
      </c>
      <c r="N5" s="61" t="n">
        <f aca="false">IF($D5="","",M5)</f>
        <v>0</v>
      </c>
      <c r="O5" s="61" t="n">
        <f aca="false">IF($D5="","",IF(AND(R5&lt;&gt;"",INDEX(Parties!$E$5:$E$304,R5)&lt;&gt;"",INDEX(Parties!$E$5:$E$304,R5)&lt;&gt;HomeState),ROUND(K5*L5,2),0))</f>
        <v>5889.78</v>
      </c>
      <c r="P5" s="61" t="n">
        <f aca="false">IF($D5="","",K5+M5+N5+O5)</f>
        <v>38610.78</v>
      </c>
      <c r="Q5" s="60" t="n">
        <f aca="false">IF($D5="","",IFERROR(MATCH($D5,Items!$A$5:$A$504,0),""))</f>
        <v>8</v>
      </c>
      <c r="R5" s="60" t="n">
        <f aca="false">IF($C5="","",IFERROR(MATCH($C5,Parties!$A$5:$A$304,0),""))</f>
        <v>7</v>
      </c>
      <c r="S5" s="61" t="n">
        <f aca="false">IF($D5="","",IF(OR($H5="",$H5="Credit"),0,P5))</f>
        <v>0</v>
      </c>
    </row>
    <row r="6" customFormat="false" ht="15" hidden="false" customHeight="false" outlineLevel="0" collapsed="false">
      <c r="A6" s="55" t="n">
        <v>46113</v>
      </c>
      <c r="B6" s="56" t="s">
        <v>225</v>
      </c>
      <c r="C6" s="56" t="s">
        <v>226</v>
      </c>
      <c r="D6" s="56" t="s">
        <v>85</v>
      </c>
      <c r="E6" s="57" t="n">
        <v>21</v>
      </c>
      <c r="F6" s="58" t="n">
        <v>1650</v>
      </c>
      <c r="G6" s="59"/>
      <c r="H6" s="56"/>
      <c r="I6" s="60" t="str">
        <f aca="false">IF($D6="","",IFERROR(INDEX(Items!$D$5:$D$504,Q6),""))</f>
        <v>Pcs</v>
      </c>
      <c r="J6" s="61" t="n">
        <f aca="false">IF($D6="","",IF($F6="",IFERROR(INDEX(Items!$G$5:$G$504,Q6),0),$F6))</f>
        <v>1650</v>
      </c>
      <c r="K6" s="61" t="n">
        <f aca="false">IF($D6="","",ROUND(N($E6)*J6*(1-N($G6)),2))</f>
        <v>34650</v>
      </c>
      <c r="L6" s="62" t="n">
        <f aca="false">IF($D6="","",IFERROR(INDEX(Items!$F$5:$F$504,Q6),0))</f>
        <v>0.18</v>
      </c>
      <c r="M6" s="61" t="n">
        <f aca="false">IF($D6="","",IF(AND(R6&lt;&gt;"",INDEX(Parties!$E$5:$E$304,R6)&lt;&gt;"",INDEX(Parties!$E$5:$E$304,R6)&lt;&gt;HomeState),0,ROUND(K6*L6/2,2)))</f>
        <v>0</v>
      </c>
      <c r="N6" s="61" t="n">
        <f aca="false">IF($D6="","",M6)</f>
        <v>0</v>
      </c>
      <c r="O6" s="61" t="n">
        <f aca="false">IF($D6="","",IF(AND(R6&lt;&gt;"",INDEX(Parties!$E$5:$E$304,R6)&lt;&gt;"",INDEX(Parties!$E$5:$E$304,R6)&lt;&gt;HomeState),ROUND(K6*L6,2),0))</f>
        <v>6237</v>
      </c>
      <c r="P6" s="61" t="n">
        <f aca="false">IF($D6="","",K6+M6+N6+O6)</f>
        <v>40887</v>
      </c>
      <c r="Q6" s="60" t="n">
        <f aca="false">IF($D6="","",IFERROR(MATCH($D6,Items!$A$5:$A$504,0),""))</f>
        <v>12</v>
      </c>
      <c r="R6" s="60" t="n">
        <f aca="false">IF($C6="","",IFERROR(MATCH($C6,Parties!$A$5:$A$304,0),""))</f>
        <v>7</v>
      </c>
      <c r="S6" s="61" t="n">
        <f aca="false">IF($D6="","",IF(OR($H6="",$H6="Credit"),0,P6))</f>
        <v>0</v>
      </c>
    </row>
    <row r="7" customFormat="false" ht="15" hidden="false" customHeight="false" outlineLevel="0" collapsed="false">
      <c r="A7" s="55" t="n">
        <v>46113</v>
      </c>
      <c r="B7" s="56" t="s">
        <v>227</v>
      </c>
      <c r="C7" s="56" t="s">
        <v>84</v>
      </c>
      <c r="D7" s="56" t="s">
        <v>117</v>
      </c>
      <c r="E7" s="57" t="n">
        <v>25</v>
      </c>
      <c r="F7" s="58" t="n">
        <v>885</v>
      </c>
      <c r="G7" s="59"/>
      <c r="H7" s="56"/>
      <c r="I7" s="60" t="str">
        <f aca="false">IF($D7="","",IFERROR(INDEX(Items!$D$5:$D$504,Q7),""))</f>
        <v>Box</v>
      </c>
      <c r="J7" s="61" t="n">
        <f aca="false">IF($D7="","",IF($F7="",IFERROR(INDEX(Items!$G$5:$G$504,Q7),0),$F7))</f>
        <v>885</v>
      </c>
      <c r="K7" s="61" t="n">
        <f aca="false">IF($D7="","",ROUND(N($E7)*J7*(1-N($G7)),2))</f>
        <v>22125</v>
      </c>
      <c r="L7" s="62" t="n">
        <f aca="false">IF($D7="","",IFERROR(INDEX(Items!$F$5:$F$504,Q7),0))</f>
        <v>0.05</v>
      </c>
      <c r="M7" s="61" t="n">
        <f aca="false">IF($D7="","",IF(AND(R7&lt;&gt;"",INDEX(Parties!$E$5:$E$304,R7)&lt;&gt;"",INDEX(Parties!$E$5:$E$304,R7)&lt;&gt;HomeState),0,ROUND(K7*L7/2,2)))</f>
        <v>553.13</v>
      </c>
      <c r="N7" s="61" t="n">
        <f aca="false">IF($D7="","",M7)</f>
        <v>553.13</v>
      </c>
      <c r="O7" s="61" t="n">
        <f aca="false">IF($D7="","",IF(AND(R7&lt;&gt;"",INDEX(Parties!$E$5:$E$304,R7)&lt;&gt;"",INDEX(Parties!$E$5:$E$304,R7)&lt;&gt;HomeState),ROUND(K7*L7,2),0))</f>
        <v>0</v>
      </c>
      <c r="P7" s="61" t="n">
        <f aca="false">IF($D7="","",K7+M7+N7+O7)</f>
        <v>23231.26</v>
      </c>
      <c r="Q7" s="60" t="n">
        <f aca="false">IF($D7="","",IFERROR(MATCH($D7,Items!$A$5:$A$504,0),""))</f>
        <v>6</v>
      </c>
      <c r="R7" s="60" t="n">
        <f aca="false">IF($C7="","",IFERROR(MATCH($C7,Parties!$A$5:$A$304,0),""))</f>
        <v>9</v>
      </c>
      <c r="S7" s="61" t="n">
        <f aca="false">IF($D7="","",IF(OR($H7="",$H7="Credit"),0,P7))</f>
        <v>0</v>
      </c>
    </row>
    <row r="8" customFormat="false" ht="15" hidden="false" customHeight="false" outlineLevel="0" collapsed="false">
      <c r="A8" s="55" t="n">
        <v>46144</v>
      </c>
      <c r="B8" s="56" t="s">
        <v>228</v>
      </c>
      <c r="C8" s="56" t="s">
        <v>229</v>
      </c>
      <c r="D8" s="56" t="s">
        <v>73</v>
      </c>
      <c r="E8" s="57" t="n">
        <v>29</v>
      </c>
      <c r="F8" s="58" t="n">
        <v>1664</v>
      </c>
      <c r="G8" s="59"/>
      <c r="H8" s="56"/>
      <c r="I8" s="60" t="str">
        <f aca="false">IF($D8="","",IFERROR(INDEX(Items!$D$5:$D$504,Q8),""))</f>
        <v>Bag</v>
      </c>
      <c r="J8" s="61" t="n">
        <f aca="false">IF($D8="","",IF($F8="",IFERROR(INDEX(Items!$G$5:$G$504,Q8),0),$F8))</f>
        <v>1664</v>
      </c>
      <c r="K8" s="61" t="n">
        <f aca="false">IF($D8="","",ROUND(N($E8)*J8*(1-N($G8)),2))</f>
        <v>48256</v>
      </c>
      <c r="L8" s="62" t="n">
        <f aca="false">IF($D8="","",IFERROR(INDEX(Items!$F$5:$F$504,Q8),0))</f>
        <v>0.05</v>
      </c>
      <c r="M8" s="61" t="n">
        <f aca="false">IF($D8="","",IF(AND(R8&lt;&gt;"",INDEX(Parties!$E$5:$E$304,R8)&lt;&gt;"",INDEX(Parties!$E$5:$E$304,R8)&lt;&gt;HomeState),0,ROUND(K8*L8/2,2)))</f>
        <v>1206.4</v>
      </c>
      <c r="N8" s="61" t="n">
        <f aca="false">IF($D8="","",M8)</f>
        <v>1206.4</v>
      </c>
      <c r="O8" s="61" t="n">
        <f aca="false">IF($D8="","",IF(AND(R8&lt;&gt;"",INDEX(Parties!$E$5:$E$304,R8)&lt;&gt;"",INDEX(Parties!$E$5:$E$304,R8)&lt;&gt;HomeState),ROUND(K8*L8,2),0))</f>
        <v>0</v>
      </c>
      <c r="P8" s="61" t="n">
        <f aca="false">IF($D8="","",K8+M8+N8+O8)</f>
        <v>50668.8</v>
      </c>
      <c r="Q8" s="60" t="n">
        <f aca="false">IF($D8="","",IFERROR(MATCH($D8,Items!$A$5:$A$504,0),""))</f>
        <v>1</v>
      </c>
      <c r="R8" s="60" t="n">
        <f aca="false">IF($C8="","",IFERROR(MATCH($C8,Parties!$A$5:$A$304,0),""))</f>
        <v>6</v>
      </c>
      <c r="S8" s="61" t="n">
        <f aca="false">IF($D8="","",IF(OR($H8="",$H8="Credit"),0,P8))</f>
        <v>0</v>
      </c>
    </row>
    <row r="9" customFormat="false" ht="15" hidden="false" customHeight="false" outlineLevel="0" collapsed="false">
      <c r="A9" s="55" t="n">
        <v>46144</v>
      </c>
      <c r="B9" s="56" t="s">
        <v>228</v>
      </c>
      <c r="C9" s="56" t="s">
        <v>229</v>
      </c>
      <c r="D9" s="56" t="s">
        <v>86</v>
      </c>
      <c r="E9" s="57" t="n">
        <v>23</v>
      </c>
      <c r="F9" s="58" t="n">
        <v>2064</v>
      </c>
      <c r="G9" s="59"/>
      <c r="H9" s="56"/>
      <c r="I9" s="60" t="str">
        <f aca="false">IF($D9="","",IFERROR(INDEX(Items!$D$5:$D$504,Q9),""))</f>
        <v>Bag</v>
      </c>
      <c r="J9" s="61" t="n">
        <f aca="false">IF($D9="","",IF($F9="",IFERROR(INDEX(Items!$G$5:$G$504,Q9),0),$F9))</f>
        <v>2064</v>
      </c>
      <c r="K9" s="61" t="n">
        <f aca="false">IF($D9="","",ROUND(N($E9)*J9*(1-N($G9)),2))</f>
        <v>47472</v>
      </c>
      <c r="L9" s="62" t="n">
        <f aca="false">IF($D9="","",IFERROR(INDEX(Items!$F$5:$F$504,Q9),0))</f>
        <v>0.05</v>
      </c>
      <c r="M9" s="61" t="n">
        <f aca="false">IF($D9="","",IF(AND(R9&lt;&gt;"",INDEX(Parties!$E$5:$E$304,R9)&lt;&gt;"",INDEX(Parties!$E$5:$E$304,R9)&lt;&gt;HomeState),0,ROUND(K9*L9/2,2)))</f>
        <v>1186.8</v>
      </c>
      <c r="N9" s="61" t="n">
        <f aca="false">IF($D9="","",M9)</f>
        <v>1186.8</v>
      </c>
      <c r="O9" s="61" t="n">
        <f aca="false">IF($D9="","",IF(AND(R9&lt;&gt;"",INDEX(Parties!$E$5:$E$304,R9)&lt;&gt;"",INDEX(Parties!$E$5:$E$304,R9)&lt;&gt;HomeState),ROUND(K9*L9,2),0))</f>
        <v>0</v>
      </c>
      <c r="P9" s="61" t="n">
        <f aca="false">IF($D9="","",K9+M9+N9+O9)</f>
        <v>49845.6</v>
      </c>
      <c r="Q9" s="60" t="n">
        <f aca="false">IF($D9="","",IFERROR(MATCH($D9,Items!$A$5:$A$504,0),""))</f>
        <v>2</v>
      </c>
      <c r="R9" s="60" t="n">
        <f aca="false">IF($C9="","",IFERROR(MATCH($C9,Parties!$A$5:$A$304,0),""))</f>
        <v>6</v>
      </c>
      <c r="S9" s="61" t="n">
        <f aca="false">IF($D9="","",IF(OR($H9="",$H9="Credit"),0,P9))</f>
        <v>0</v>
      </c>
    </row>
    <row r="10" customFormat="false" ht="15" hidden="false" customHeight="false" outlineLevel="0" collapsed="false">
      <c r="A10" s="55" t="n">
        <v>46144</v>
      </c>
      <c r="B10" s="56" t="s">
        <v>228</v>
      </c>
      <c r="C10" s="56" t="s">
        <v>229</v>
      </c>
      <c r="D10" s="56" t="s">
        <v>96</v>
      </c>
      <c r="E10" s="57" t="n">
        <v>33</v>
      </c>
      <c r="F10" s="58" t="n">
        <v>1932</v>
      </c>
      <c r="G10" s="59"/>
      <c r="H10" s="56"/>
      <c r="I10" s="60" t="str">
        <f aca="false">IF($D10="","",IFERROR(INDEX(Items!$D$5:$D$504,Q10),""))</f>
        <v>Box</v>
      </c>
      <c r="J10" s="61" t="n">
        <f aca="false">IF($D10="","",IF($F10="",IFERROR(INDEX(Items!$G$5:$G$504,Q10),0),$F10))</f>
        <v>1932</v>
      </c>
      <c r="K10" s="61" t="n">
        <f aca="false">IF($D10="","",ROUND(N($E10)*J10*(1-N($G10)),2))</f>
        <v>63756</v>
      </c>
      <c r="L10" s="62" t="n">
        <f aca="false">IF($D10="","",IFERROR(INDEX(Items!$F$5:$F$504,Q10),0))</f>
        <v>0.05</v>
      </c>
      <c r="M10" s="61" t="n">
        <f aca="false">IF($D10="","",IF(AND(R10&lt;&gt;"",INDEX(Parties!$E$5:$E$304,R10)&lt;&gt;"",INDEX(Parties!$E$5:$E$304,R10)&lt;&gt;HomeState),0,ROUND(K10*L10/2,2)))</f>
        <v>1593.9</v>
      </c>
      <c r="N10" s="61" t="n">
        <f aca="false">IF($D10="","",M10)</f>
        <v>1593.9</v>
      </c>
      <c r="O10" s="61" t="n">
        <f aca="false">IF($D10="","",IF(AND(R10&lt;&gt;"",INDEX(Parties!$E$5:$E$304,R10)&lt;&gt;"",INDEX(Parties!$E$5:$E$304,R10)&lt;&gt;HomeState),ROUND(K10*L10,2),0))</f>
        <v>0</v>
      </c>
      <c r="P10" s="61" t="n">
        <f aca="false">IF($D10="","",K10+M10+N10+O10)</f>
        <v>66943.8</v>
      </c>
      <c r="Q10" s="60" t="n">
        <f aca="false">IF($D10="","",IFERROR(MATCH($D10,Items!$A$5:$A$504,0),""))</f>
        <v>3</v>
      </c>
      <c r="R10" s="60" t="n">
        <f aca="false">IF($C10="","",IFERROR(MATCH($C10,Parties!$A$5:$A$304,0),""))</f>
        <v>6</v>
      </c>
      <c r="S10" s="61" t="n">
        <f aca="false">IF($D10="","",IF(OR($H10="",$H10="Credit"),0,P10))</f>
        <v>0</v>
      </c>
    </row>
    <row r="11" customFormat="false" ht="15" hidden="false" customHeight="false" outlineLevel="0" collapsed="false">
      <c r="A11" s="55" t="n">
        <v>46144</v>
      </c>
      <c r="B11" s="56" t="s">
        <v>230</v>
      </c>
      <c r="C11" s="56" t="s">
        <v>226</v>
      </c>
      <c r="D11" s="56" t="s">
        <v>99</v>
      </c>
      <c r="E11" s="57" t="n">
        <v>343</v>
      </c>
      <c r="F11" s="58" t="n">
        <v>61</v>
      </c>
      <c r="G11" s="59"/>
      <c r="H11" s="56"/>
      <c r="I11" s="60" t="str">
        <f aca="false">IF($D11="","",IFERROR(INDEX(Items!$D$5:$D$504,Q11),""))</f>
        <v>Pcs</v>
      </c>
      <c r="J11" s="61" t="n">
        <f aca="false">IF($D11="","",IF($F11="",IFERROR(INDEX(Items!$G$5:$G$504,Q11),0),$F11))</f>
        <v>61</v>
      </c>
      <c r="K11" s="61" t="n">
        <f aca="false">IF($D11="","",ROUND(N($E11)*J11*(1-N($G11)),2))</f>
        <v>20923</v>
      </c>
      <c r="L11" s="62" t="n">
        <f aca="false">IF($D11="","",IFERROR(INDEX(Items!$F$5:$F$504,Q11),0))</f>
        <v>0.18</v>
      </c>
      <c r="M11" s="61" t="n">
        <f aca="false">IF($D11="","",IF(AND(R11&lt;&gt;"",INDEX(Parties!$E$5:$E$304,R11)&lt;&gt;"",INDEX(Parties!$E$5:$E$304,R11)&lt;&gt;HomeState),0,ROUND(K11*L11/2,2)))</f>
        <v>0</v>
      </c>
      <c r="N11" s="61" t="n">
        <f aca="false">IF($D11="","",M11)</f>
        <v>0</v>
      </c>
      <c r="O11" s="61" t="n">
        <f aca="false">IF($D11="","",IF(AND(R11&lt;&gt;"",INDEX(Parties!$E$5:$E$304,R11)&lt;&gt;"",INDEX(Parties!$E$5:$E$304,R11)&lt;&gt;HomeState),ROUND(K11*L11,2),0))</f>
        <v>3766.14</v>
      </c>
      <c r="P11" s="61" t="n">
        <f aca="false">IF($D11="","",K11+M11+N11+O11)</f>
        <v>24689.14</v>
      </c>
      <c r="Q11" s="60" t="n">
        <f aca="false">IF($D11="","",IFERROR(MATCH($D11,Items!$A$5:$A$504,0),""))</f>
        <v>7</v>
      </c>
      <c r="R11" s="60" t="n">
        <f aca="false">IF($C11="","",IFERROR(MATCH($C11,Parties!$A$5:$A$304,0),""))</f>
        <v>7</v>
      </c>
      <c r="S11" s="61" t="n">
        <f aca="false">IF($D11="","",IF(OR($H11="",$H11="Credit"),0,P11))</f>
        <v>0</v>
      </c>
    </row>
    <row r="12" customFormat="false" ht="15" hidden="false" customHeight="false" outlineLevel="0" collapsed="false">
      <c r="A12" s="55" t="n">
        <v>46144</v>
      </c>
      <c r="B12" s="56" t="s">
        <v>231</v>
      </c>
      <c r="C12" s="56" t="s">
        <v>84</v>
      </c>
      <c r="D12" s="56" t="s">
        <v>98</v>
      </c>
      <c r="E12" s="57" t="n">
        <v>51</v>
      </c>
      <c r="F12" s="58" t="n">
        <v>384</v>
      </c>
      <c r="G12" s="59"/>
      <c r="H12" s="56"/>
      <c r="I12" s="60" t="str">
        <f aca="false">IF($D12="","",IFERROR(INDEX(Items!$D$5:$D$504,Q12),""))</f>
        <v>Pack</v>
      </c>
      <c r="J12" s="61" t="n">
        <f aca="false">IF($D12="","",IF($F12="",IFERROR(INDEX(Items!$G$5:$G$504,Q12),0),$F12))</f>
        <v>384</v>
      </c>
      <c r="K12" s="61" t="n">
        <f aca="false">IF($D12="","",ROUND(N($E12)*J12*(1-N($G12)),2))</f>
        <v>19584</v>
      </c>
      <c r="L12" s="62" t="n">
        <f aca="false">IF($D12="","",IFERROR(INDEX(Items!$F$5:$F$504,Q12),0))</f>
        <v>0.05</v>
      </c>
      <c r="M12" s="61" t="n">
        <f aca="false">IF($D12="","",IF(AND(R12&lt;&gt;"",INDEX(Parties!$E$5:$E$304,R12)&lt;&gt;"",INDEX(Parties!$E$5:$E$304,R12)&lt;&gt;HomeState),0,ROUND(K12*L12/2,2)))</f>
        <v>489.6</v>
      </c>
      <c r="N12" s="61" t="n">
        <f aca="false">IF($D12="","",M12)</f>
        <v>489.6</v>
      </c>
      <c r="O12" s="61" t="n">
        <f aca="false">IF($D12="","",IF(AND(R12&lt;&gt;"",INDEX(Parties!$E$5:$E$304,R12)&lt;&gt;"",INDEX(Parties!$E$5:$E$304,R12)&lt;&gt;HomeState),ROUND(K12*L12,2),0))</f>
        <v>0</v>
      </c>
      <c r="P12" s="61" t="n">
        <f aca="false">IF($D12="","",K12+M12+N12+O12)</f>
        <v>20563.2</v>
      </c>
      <c r="Q12" s="60" t="n">
        <f aca="false">IF($D12="","",IFERROR(MATCH($D12,Items!$A$5:$A$504,0),""))</f>
        <v>4</v>
      </c>
      <c r="R12" s="60" t="n">
        <f aca="false">IF($C12="","",IFERROR(MATCH($C12,Parties!$A$5:$A$304,0),""))</f>
        <v>9</v>
      </c>
      <c r="S12" s="61" t="n">
        <f aca="false">IF($D12="","",IF(OR($H12="",$H12="Credit"),0,P12))</f>
        <v>0</v>
      </c>
    </row>
    <row r="13" customFormat="false" ht="15" hidden="false" customHeight="false" outlineLevel="0" collapsed="false">
      <c r="A13" s="55" t="n">
        <v>46144</v>
      </c>
      <c r="B13" s="56" t="s">
        <v>231</v>
      </c>
      <c r="C13" s="56" t="s">
        <v>84</v>
      </c>
      <c r="D13" s="56" t="s">
        <v>94</v>
      </c>
      <c r="E13" s="57" t="n">
        <v>32</v>
      </c>
      <c r="F13" s="58" t="n">
        <v>513</v>
      </c>
      <c r="G13" s="59"/>
      <c r="H13" s="56"/>
      <c r="I13" s="60" t="str">
        <f aca="false">IF($D13="","",IFERROR(INDEX(Items!$D$5:$D$504,Q13),""))</f>
        <v>Pack</v>
      </c>
      <c r="J13" s="61" t="n">
        <f aca="false">IF($D13="","",IF($F13="",IFERROR(INDEX(Items!$G$5:$G$504,Q13),0),$F13))</f>
        <v>513</v>
      </c>
      <c r="K13" s="61" t="n">
        <f aca="false">IF($D13="","",ROUND(N($E13)*J13*(1-N($G13)),2))</f>
        <v>16416</v>
      </c>
      <c r="L13" s="62" t="n">
        <f aca="false">IF($D13="","",IFERROR(INDEX(Items!$F$5:$F$504,Q13),0))</f>
        <v>0.18</v>
      </c>
      <c r="M13" s="61" t="n">
        <f aca="false">IF($D13="","",IF(AND(R13&lt;&gt;"",INDEX(Parties!$E$5:$E$304,R13)&lt;&gt;"",INDEX(Parties!$E$5:$E$304,R13)&lt;&gt;HomeState),0,ROUND(K13*L13/2,2)))</f>
        <v>1477.44</v>
      </c>
      <c r="N13" s="61" t="n">
        <f aca="false">IF($D13="","",M13)</f>
        <v>1477.44</v>
      </c>
      <c r="O13" s="61" t="n">
        <f aca="false">IF($D13="","",IF(AND(R13&lt;&gt;"",INDEX(Parties!$E$5:$E$304,R13)&lt;&gt;"",INDEX(Parties!$E$5:$E$304,R13)&lt;&gt;HomeState),ROUND(K13*L13,2),0))</f>
        <v>0</v>
      </c>
      <c r="P13" s="61" t="n">
        <f aca="false">IF($D13="","",K13+M13+N13+O13)</f>
        <v>19370.88</v>
      </c>
      <c r="Q13" s="60" t="n">
        <f aca="false">IF($D13="","",IFERROR(MATCH($D13,Items!$A$5:$A$504,0),""))</f>
        <v>5</v>
      </c>
      <c r="R13" s="60" t="n">
        <f aca="false">IF($C13="","",IFERROR(MATCH($C13,Parties!$A$5:$A$304,0),""))</f>
        <v>9</v>
      </c>
      <c r="S13" s="61" t="n">
        <f aca="false">IF($D13="","",IF(OR($H13="",$H13="Credit"),0,P13))</f>
        <v>0</v>
      </c>
    </row>
    <row r="14" customFormat="false" ht="15" hidden="false" customHeight="false" outlineLevel="0" collapsed="false">
      <c r="A14" s="55" t="n">
        <v>46144</v>
      </c>
      <c r="B14" s="56" t="s">
        <v>232</v>
      </c>
      <c r="C14" s="56" t="s">
        <v>233</v>
      </c>
      <c r="D14" s="56" t="s">
        <v>79</v>
      </c>
      <c r="E14" s="57" t="n">
        <v>132</v>
      </c>
      <c r="F14" s="58" t="n">
        <v>216</v>
      </c>
      <c r="G14" s="59"/>
      <c r="H14" s="56"/>
      <c r="I14" s="60" t="str">
        <f aca="false">IF($D14="","",IFERROR(INDEX(Items!$D$5:$D$504,Q14),""))</f>
        <v>Pcs</v>
      </c>
      <c r="J14" s="61" t="n">
        <f aca="false">IF($D14="","",IF($F14="",IFERROR(INDEX(Items!$G$5:$G$504,Q14),0),$F14))</f>
        <v>216</v>
      </c>
      <c r="K14" s="61" t="n">
        <f aca="false">IF($D14="","",ROUND(N($E14)*J14*(1-N($G14)),2))</f>
        <v>28512</v>
      </c>
      <c r="L14" s="62" t="n">
        <f aca="false">IF($D14="","",IFERROR(INDEX(Items!$F$5:$F$504,Q14),0))</f>
        <v>0.18</v>
      </c>
      <c r="M14" s="61" t="n">
        <f aca="false">IF($D14="","",IF(AND(R14&lt;&gt;"",INDEX(Parties!$E$5:$E$304,R14)&lt;&gt;"",INDEX(Parties!$E$5:$E$304,R14)&lt;&gt;HomeState),0,ROUND(K14*L14/2,2)))</f>
        <v>2566.08</v>
      </c>
      <c r="N14" s="61" t="n">
        <f aca="false">IF($D14="","",M14)</f>
        <v>2566.08</v>
      </c>
      <c r="O14" s="61" t="n">
        <f aca="false">IF($D14="","",IF(AND(R14&lt;&gt;"",INDEX(Parties!$E$5:$E$304,R14)&lt;&gt;"",INDEX(Parties!$E$5:$E$304,R14)&lt;&gt;HomeState),ROUND(K14*L14,2),0))</f>
        <v>0</v>
      </c>
      <c r="P14" s="61" t="n">
        <f aca="false">IF($D14="","",K14+M14+N14+O14)</f>
        <v>33644.16</v>
      </c>
      <c r="Q14" s="60" t="n">
        <f aca="false">IF($D14="","",IFERROR(MATCH($D14,Items!$A$5:$A$504,0),""))</f>
        <v>9</v>
      </c>
      <c r="R14" s="60" t="n">
        <f aca="false">IF($C14="","",IFERROR(MATCH($C14,Parties!$A$5:$A$304,0),""))</f>
        <v>8</v>
      </c>
      <c r="S14" s="61" t="n">
        <f aca="false">IF($D14="","",IF(OR($H14="",$H14="Credit"),0,P14))</f>
        <v>0</v>
      </c>
    </row>
    <row r="15" customFormat="false" ht="15" hidden="false" customHeight="false" outlineLevel="0" collapsed="false">
      <c r="A15" s="55" t="n">
        <v>46144</v>
      </c>
      <c r="B15" s="56" t="s">
        <v>232</v>
      </c>
      <c r="C15" s="56" t="s">
        <v>233</v>
      </c>
      <c r="D15" s="56" t="s">
        <v>82</v>
      </c>
      <c r="E15" s="57" t="n">
        <v>115</v>
      </c>
      <c r="F15" s="58" t="n">
        <v>343</v>
      </c>
      <c r="G15" s="59"/>
      <c r="H15" s="56"/>
      <c r="I15" s="60" t="str">
        <f aca="false">IF($D15="","",IFERROR(INDEX(Items!$D$5:$D$504,Q15),""))</f>
        <v>Bag</v>
      </c>
      <c r="J15" s="61" t="n">
        <f aca="false">IF($D15="","",IF($F15="",IFERROR(INDEX(Items!$G$5:$G$504,Q15),0),$F15))</f>
        <v>343</v>
      </c>
      <c r="K15" s="61" t="n">
        <f aca="false">IF($D15="","",ROUND(N($E15)*J15*(1-N($G15)),2))</f>
        <v>39445</v>
      </c>
      <c r="L15" s="62" t="n">
        <f aca="false">IF($D15="","",IFERROR(INDEX(Items!$F$5:$F$504,Q15),0))</f>
        <v>0.18</v>
      </c>
      <c r="M15" s="61" t="n">
        <f aca="false">IF($D15="","",IF(AND(R15&lt;&gt;"",INDEX(Parties!$E$5:$E$304,R15)&lt;&gt;"",INDEX(Parties!$E$5:$E$304,R15)&lt;&gt;HomeState),0,ROUND(K15*L15/2,2)))</f>
        <v>3550.05</v>
      </c>
      <c r="N15" s="61" t="n">
        <f aca="false">IF($D15="","",M15)</f>
        <v>3550.05</v>
      </c>
      <c r="O15" s="61" t="n">
        <f aca="false">IF($D15="","",IF(AND(R15&lt;&gt;"",INDEX(Parties!$E$5:$E$304,R15)&lt;&gt;"",INDEX(Parties!$E$5:$E$304,R15)&lt;&gt;HomeState),ROUND(K15*L15,2),0))</f>
        <v>0</v>
      </c>
      <c r="P15" s="61" t="n">
        <f aca="false">IF($D15="","",K15+M15+N15+O15)</f>
        <v>46545.1</v>
      </c>
      <c r="Q15" s="60" t="n">
        <f aca="false">IF($D15="","",IFERROR(MATCH($D15,Items!$A$5:$A$504,0),""))</f>
        <v>10</v>
      </c>
      <c r="R15" s="60" t="n">
        <f aca="false">IF($C15="","",IFERROR(MATCH($C15,Parties!$A$5:$A$304,0),""))</f>
        <v>8</v>
      </c>
      <c r="S15" s="61" t="n">
        <f aca="false">IF($D15="","",IF(OR($H15="",$H15="Credit"),0,P15))</f>
        <v>0</v>
      </c>
    </row>
    <row r="16" customFormat="false" ht="15" hidden="false" customHeight="false" outlineLevel="0" collapsed="false">
      <c r="A16" s="55" t="n">
        <v>46175</v>
      </c>
      <c r="B16" s="56" t="s">
        <v>234</v>
      </c>
      <c r="C16" s="56" t="s">
        <v>229</v>
      </c>
      <c r="D16" s="56" t="s">
        <v>96</v>
      </c>
      <c r="E16" s="57" t="n">
        <v>27</v>
      </c>
      <c r="F16" s="58" t="n">
        <v>1910</v>
      </c>
      <c r="G16" s="59"/>
      <c r="H16" s="56"/>
      <c r="I16" s="60" t="str">
        <f aca="false">IF($D16="","",IFERROR(INDEX(Items!$D$5:$D$504,Q16),""))</f>
        <v>Box</v>
      </c>
      <c r="J16" s="61" t="n">
        <f aca="false">IF($D16="","",IF($F16="",IFERROR(INDEX(Items!$G$5:$G$504,Q16),0),$F16))</f>
        <v>1910</v>
      </c>
      <c r="K16" s="61" t="n">
        <f aca="false">IF($D16="","",ROUND(N($E16)*J16*(1-N($G16)),2))</f>
        <v>51570</v>
      </c>
      <c r="L16" s="62" t="n">
        <f aca="false">IF($D16="","",IFERROR(INDEX(Items!$F$5:$F$504,Q16),0))</f>
        <v>0.05</v>
      </c>
      <c r="M16" s="61" t="n">
        <f aca="false">IF($D16="","",IF(AND(R16&lt;&gt;"",INDEX(Parties!$E$5:$E$304,R16)&lt;&gt;"",INDEX(Parties!$E$5:$E$304,R16)&lt;&gt;HomeState),0,ROUND(K16*L16/2,2)))</f>
        <v>1289.25</v>
      </c>
      <c r="N16" s="61" t="n">
        <f aca="false">IF($D16="","",M16)</f>
        <v>1289.25</v>
      </c>
      <c r="O16" s="61" t="n">
        <f aca="false">IF($D16="","",IF(AND(R16&lt;&gt;"",INDEX(Parties!$E$5:$E$304,R16)&lt;&gt;"",INDEX(Parties!$E$5:$E$304,R16)&lt;&gt;HomeState),ROUND(K16*L16,2),0))</f>
        <v>0</v>
      </c>
      <c r="P16" s="61" t="n">
        <f aca="false">IF($D16="","",K16+M16+N16+O16)</f>
        <v>54148.5</v>
      </c>
      <c r="Q16" s="60" t="n">
        <f aca="false">IF($D16="","",IFERROR(MATCH($D16,Items!$A$5:$A$504,0),""))</f>
        <v>3</v>
      </c>
      <c r="R16" s="60" t="n">
        <f aca="false">IF($C16="","",IFERROR(MATCH($C16,Parties!$A$5:$A$304,0),""))</f>
        <v>6</v>
      </c>
      <c r="S16" s="61" t="n">
        <f aca="false">IF($D16="","",IF(OR($H16="",$H16="Credit"),0,P16))</f>
        <v>0</v>
      </c>
    </row>
    <row r="17" customFormat="false" ht="15" hidden="false" customHeight="false" outlineLevel="0" collapsed="false">
      <c r="A17" s="55" t="n">
        <v>46175</v>
      </c>
      <c r="B17" s="56" t="s">
        <v>235</v>
      </c>
      <c r="C17" s="56" t="s">
        <v>226</v>
      </c>
      <c r="D17" s="56" t="s">
        <v>92</v>
      </c>
      <c r="E17" s="57" t="n">
        <v>19</v>
      </c>
      <c r="F17" s="58" t="n">
        <v>2442</v>
      </c>
      <c r="G17" s="59"/>
      <c r="H17" s="56"/>
      <c r="I17" s="60" t="str">
        <f aca="false">IF($D17="","",IFERROR(INDEX(Items!$D$5:$D$504,Q17),""))</f>
        <v>Pcs</v>
      </c>
      <c r="J17" s="61" t="n">
        <f aca="false">IF($D17="","",IF($F17="",IFERROR(INDEX(Items!$G$5:$G$504,Q17),0),$F17))</f>
        <v>2442</v>
      </c>
      <c r="K17" s="61" t="n">
        <f aca="false">IF($D17="","",ROUND(N($E17)*J17*(1-N($G17)),2))</f>
        <v>46398</v>
      </c>
      <c r="L17" s="62" t="n">
        <f aca="false">IF($D17="","",IFERROR(INDEX(Items!$F$5:$F$504,Q17),0))</f>
        <v>0.18</v>
      </c>
      <c r="M17" s="61" t="n">
        <f aca="false">IF($D17="","",IF(AND(R17&lt;&gt;"",INDEX(Parties!$E$5:$E$304,R17)&lt;&gt;"",INDEX(Parties!$E$5:$E$304,R17)&lt;&gt;HomeState),0,ROUND(K17*L17/2,2)))</f>
        <v>0</v>
      </c>
      <c r="N17" s="61" t="n">
        <f aca="false">IF($D17="","",M17)</f>
        <v>0</v>
      </c>
      <c r="O17" s="61" t="n">
        <f aca="false">IF($D17="","",IF(AND(R17&lt;&gt;"",INDEX(Parties!$E$5:$E$304,R17)&lt;&gt;"",INDEX(Parties!$E$5:$E$304,R17)&lt;&gt;HomeState),ROUND(K17*L17,2),0))</f>
        <v>8351.64</v>
      </c>
      <c r="P17" s="61" t="n">
        <f aca="false">IF($D17="","",K17+M17+N17+O17)</f>
        <v>54749.64</v>
      </c>
      <c r="Q17" s="60" t="n">
        <f aca="false">IF($D17="","",IFERROR(MATCH($D17,Items!$A$5:$A$504,0),""))</f>
        <v>8</v>
      </c>
      <c r="R17" s="60" t="n">
        <f aca="false">IF($C17="","",IFERROR(MATCH($C17,Parties!$A$5:$A$304,0),""))</f>
        <v>7</v>
      </c>
      <c r="S17" s="61" t="n">
        <f aca="false">IF($D17="","",IF(OR($H17="",$H17="Credit"),0,P17))</f>
        <v>0</v>
      </c>
    </row>
    <row r="18" customFormat="false" ht="15" hidden="false" customHeight="false" outlineLevel="0" collapsed="false">
      <c r="A18" s="55" t="n">
        <v>46175</v>
      </c>
      <c r="B18" s="56" t="s">
        <v>235</v>
      </c>
      <c r="C18" s="56" t="s">
        <v>226</v>
      </c>
      <c r="D18" s="56" t="s">
        <v>85</v>
      </c>
      <c r="E18" s="57" t="n">
        <v>14</v>
      </c>
      <c r="F18" s="58" t="n">
        <v>1655</v>
      </c>
      <c r="G18" s="59"/>
      <c r="H18" s="56"/>
      <c r="I18" s="60" t="str">
        <f aca="false">IF($D18="","",IFERROR(INDEX(Items!$D$5:$D$504,Q18),""))</f>
        <v>Pcs</v>
      </c>
      <c r="J18" s="61" t="n">
        <f aca="false">IF($D18="","",IF($F18="",IFERROR(INDEX(Items!$G$5:$G$504,Q18),0),$F18))</f>
        <v>1655</v>
      </c>
      <c r="K18" s="61" t="n">
        <f aca="false">IF($D18="","",ROUND(N($E18)*J18*(1-N($G18)),2))</f>
        <v>23170</v>
      </c>
      <c r="L18" s="62" t="n">
        <f aca="false">IF($D18="","",IFERROR(INDEX(Items!$F$5:$F$504,Q18),0))</f>
        <v>0.18</v>
      </c>
      <c r="M18" s="61" t="n">
        <f aca="false">IF($D18="","",IF(AND(R18&lt;&gt;"",INDEX(Parties!$E$5:$E$304,R18)&lt;&gt;"",INDEX(Parties!$E$5:$E$304,R18)&lt;&gt;HomeState),0,ROUND(K18*L18/2,2)))</f>
        <v>0</v>
      </c>
      <c r="N18" s="61" t="n">
        <f aca="false">IF($D18="","",M18)</f>
        <v>0</v>
      </c>
      <c r="O18" s="61" t="n">
        <f aca="false">IF($D18="","",IF(AND(R18&lt;&gt;"",INDEX(Parties!$E$5:$E$304,R18)&lt;&gt;"",INDEX(Parties!$E$5:$E$304,R18)&lt;&gt;HomeState),ROUND(K18*L18,2),0))</f>
        <v>4170.6</v>
      </c>
      <c r="P18" s="61" t="n">
        <f aca="false">IF($D18="","",K18+M18+N18+O18)</f>
        <v>27340.6</v>
      </c>
      <c r="Q18" s="60" t="n">
        <f aca="false">IF($D18="","",IFERROR(MATCH($D18,Items!$A$5:$A$504,0),""))</f>
        <v>12</v>
      </c>
      <c r="R18" s="60" t="n">
        <f aca="false">IF($C18="","",IFERROR(MATCH($C18,Parties!$A$5:$A$304,0),""))</f>
        <v>7</v>
      </c>
      <c r="S18" s="61" t="n">
        <f aca="false">IF($D18="","",IF(OR($H18="",$H18="Credit"),0,P18))</f>
        <v>0</v>
      </c>
    </row>
    <row r="19" customFormat="false" ht="15" hidden="false" customHeight="false" outlineLevel="0" collapsed="false">
      <c r="A19" s="55" t="n">
        <v>46175</v>
      </c>
      <c r="B19" s="56" t="s">
        <v>236</v>
      </c>
      <c r="C19" s="56" t="s">
        <v>233</v>
      </c>
      <c r="D19" s="56" t="s">
        <v>79</v>
      </c>
      <c r="E19" s="57" t="n">
        <v>122</v>
      </c>
      <c r="F19" s="58" t="n">
        <v>210</v>
      </c>
      <c r="G19" s="59"/>
      <c r="H19" s="56"/>
      <c r="I19" s="60" t="str">
        <f aca="false">IF($D19="","",IFERROR(INDEX(Items!$D$5:$D$504,Q19),""))</f>
        <v>Pcs</v>
      </c>
      <c r="J19" s="61" t="n">
        <f aca="false">IF($D19="","",IF($F19="",IFERROR(INDEX(Items!$G$5:$G$504,Q19),0),$F19))</f>
        <v>210</v>
      </c>
      <c r="K19" s="61" t="n">
        <f aca="false">IF($D19="","",ROUND(N($E19)*J19*(1-N($G19)),2))</f>
        <v>25620</v>
      </c>
      <c r="L19" s="62" t="n">
        <f aca="false">IF($D19="","",IFERROR(INDEX(Items!$F$5:$F$504,Q19),0))</f>
        <v>0.18</v>
      </c>
      <c r="M19" s="61" t="n">
        <f aca="false">IF($D19="","",IF(AND(R19&lt;&gt;"",INDEX(Parties!$E$5:$E$304,R19)&lt;&gt;"",INDEX(Parties!$E$5:$E$304,R19)&lt;&gt;HomeState),0,ROUND(K19*L19/2,2)))</f>
        <v>2305.8</v>
      </c>
      <c r="N19" s="61" t="n">
        <f aca="false">IF($D19="","",M19)</f>
        <v>2305.8</v>
      </c>
      <c r="O19" s="61" t="n">
        <f aca="false">IF($D19="","",IF(AND(R19&lt;&gt;"",INDEX(Parties!$E$5:$E$304,R19)&lt;&gt;"",INDEX(Parties!$E$5:$E$304,R19)&lt;&gt;HomeState),ROUND(K19*L19,2),0))</f>
        <v>0</v>
      </c>
      <c r="P19" s="61" t="n">
        <f aca="false">IF($D19="","",K19+M19+N19+O19)</f>
        <v>30231.6</v>
      </c>
      <c r="Q19" s="60" t="n">
        <f aca="false">IF($D19="","",IFERROR(MATCH($D19,Items!$A$5:$A$504,0),""))</f>
        <v>9</v>
      </c>
      <c r="R19" s="60" t="n">
        <f aca="false">IF($C19="","",IFERROR(MATCH($C19,Parties!$A$5:$A$304,0),""))</f>
        <v>8</v>
      </c>
      <c r="S19" s="61" t="n">
        <f aca="false">IF($D19="","",IF(OR($H19="",$H19="Credit"),0,P19))</f>
        <v>0</v>
      </c>
    </row>
    <row r="20" customFormat="false" ht="15" hidden="false" customHeight="false" outlineLevel="0" collapsed="false">
      <c r="A20" s="55" t="n">
        <v>46205</v>
      </c>
      <c r="B20" s="56" t="s">
        <v>237</v>
      </c>
      <c r="C20" s="56" t="s">
        <v>229</v>
      </c>
      <c r="D20" s="56" t="s">
        <v>73</v>
      </c>
      <c r="E20" s="57" t="n">
        <v>24</v>
      </c>
      <c r="F20" s="58" t="n">
        <v>1671</v>
      </c>
      <c r="G20" s="59"/>
      <c r="H20" s="56"/>
      <c r="I20" s="60" t="str">
        <f aca="false">IF($D20="","",IFERROR(INDEX(Items!$D$5:$D$504,Q20),""))</f>
        <v>Bag</v>
      </c>
      <c r="J20" s="61" t="n">
        <f aca="false">IF($D20="","",IF($F20="",IFERROR(INDEX(Items!$G$5:$G$504,Q20),0),$F20))</f>
        <v>1671</v>
      </c>
      <c r="K20" s="61" t="n">
        <f aca="false">IF($D20="","",ROUND(N($E20)*J20*(1-N($G20)),2))</f>
        <v>40104</v>
      </c>
      <c r="L20" s="62" t="n">
        <f aca="false">IF($D20="","",IFERROR(INDEX(Items!$F$5:$F$504,Q20),0))</f>
        <v>0.05</v>
      </c>
      <c r="M20" s="61" t="n">
        <f aca="false">IF($D20="","",IF(AND(R20&lt;&gt;"",INDEX(Parties!$E$5:$E$304,R20)&lt;&gt;"",INDEX(Parties!$E$5:$E$304,R20)&lt;&gt;HomeState),0,ROUND(K20*L20/2,2)))</f>
        <v>1002.6</v>
      </c>
      <c r="N20" s="61" t="n">
        <f aca="false">IF($D20="","",M20)</f>
        <v>1002.6</v>
      </c>
      <c r="O20" s="61" t="n">
        <f aca="false">IF($D20="","",IF(AND(R20&lt;&gt;"",INDEX(Parties!$E$5:$E$304,R20)&lt;&gt;"",INDEX(Parties!$E$5:$E$304,R20)&lt;&gt;HomeState),ROUND(K20*L20,2),0))</f>
        <v>0</v>
      </c>
      <c r="P20" s="61" t="n">
        <f aca="false">IF($D20="","",K20+M20+N20+O20)</f>
        <v>42109.2</v>
      </c>
      <c r="Q20" s="60" t="n">
        <f aca="false">IF($D20="","",IFERROR(MATCH($D20,Items!$A$5:$A$504,0),""))</f>
        <v>1</v>
      </c>
      <c r="R20" s="60" t="n">
        <f aca="false">IF($C20="","",IFERROR(MATCH($C20,Parties!$A$5:$A$304,0),""))</f>
        <v>6</v>
      </c>
      <c r="S20" s="61" t="n">
        <f aca="false">IF($D20="","",IF(OR($H20="",$H20="Credit"),0,P20))</f>
        <v>0</v>
      </c>
    </row>
    <row r="21" customFormat="false" ht="15" hidden="false" customHeight="false" outlineLevel="0" collapsed="false">
      <c r="A21" s="55" t="n">
        <v>46205</v>
      </c>
      <c r="B21" s="56" t="s">
        <v>238</v>
      </c>
      <c r="C21" s="56" t="s">
        <v>226</v>
      </c>
      <c r="D21" s="56" t="s">
        <v>99</v>
      </c>
      <c r="E21" s="57" t="n">
        <v>212</v>
      </c>
      <c r="F21" s="58" t="n">
        <v>63</v>
      </c>
      <c r="G21" s="59"/>
      <c r="H21" s="56"/>
      <c r="I21" s="60" t="str">
        <f aca="false">IF($D21="","",IFERROR(INDEX(Items!$D$5:$D$504,Q21),""))</f>
        <v>Pcs</v>
      </c>
      <c r="J21" s="61" t="n">
        <f aca="false">IF($D21="","",IF($F21="",IFERROR(INDEX(Items!$G$5:$G$504,Q21),0),$F21))</f>
        <v>63</v>
      </c>
      <c r="K21" s="61" t="n">
        <f aca="false">IF($D21="","",ROUND(N($E21)*J21*(1-N($G21)),2))</f>
        <v>13356</v>
      </c>
      <c r="L21" s="62" t="n">
        <f aca="false">IF($D21="","",IFERROR(INDEX(Items!$F$5:$F$504,Q21),0))</f>
        <v>0.18</v>
      </c>
      <c r="M21" s="61" t="n">
        <f aca="false">IF($D21="","",IF(AND(R21&lt;&gt;"",INDEX(Parties!$E$5:$E$304,R21)&lt;&gt;"",INDEX(Parties!$E$5:$E$304,R21)&lt;&gt;HomeState),0,ROUND(K21*L21/2,2)))</f>
        <v>0</v>
      </c>
      <c r="N21" s="61" t="n">
        <f aca="false">IF($D21="","",M21)</f>
        <v>0</v>
      </c>
      <c r="O21" s="61" t="n">
        <f aca="false">IF($D21="","",IF(AND(R21&lt;&gt;"",INDEX(Parties!$E$5:$E$304,R21)&lt;&gt;"",INDEX(Parties!$E$5:$E$304,R21)&lt;&gt;HomeState),ROUND(K21*L21,2),0))</f>
        <v>2404.08</v>
      </c>
      <c r="P21" s="61" t="n">
        <f aca="false">IF($D21="","",K21+M21+N21+O21)</f>
        <v>15760.08</v>
      </c>
      <c r="Q21" s="60" t="n">
        <f aca="false">IF($D21="","",IFERROR(MATCH($D21,Items!$A$5:$A$504,0),""))</f>
        <v>7</v>
      </c>
      <c r="R21" s="60" t="n">
        <f aca="false">IF($C21="","",IFERROR(MATCH($C21,Parties!$A$5:$A$304,0),""))</f>
        <v>7</v>
      </c>
      <c r="S21" s="61" t="n">
        <f aca="false">IF($D21="","",IF(OR($H21="",$H21="Credit"),0,P21))</f>
        <v>0</v>
      </c>
    </row>
    <row r="22" customFormat="false" ht="15" hidden="false" customHeight="false" outlineLevel="0" collapsed="false">
      <c r="A22" s="55" t="n">
        <v>46205</v>
      </c>
      <c r="B22" s="56" t="s">
        <v>239</v>
      </c>
      <c r="C22" s="56" t="s">
        <v>84</v>
      </c>
      <c r="D22" s="56" t="s">
        <v>98</v>
      </c>
      <c r="E22" s="57" t="n">
        <v>49</v>
      </c>
      <c r="F22" s="58" t="n">
        <v>377</v>
      </c>
      <c r="G22" s="59"/>
      <c r="H22" s="56" t="s">
        <v>74</v>
      </c>
      <c r="I22" s="60" t="str">
        <f aca="false">IF($D22="","",IFERROR(INDEX(Items!$D$5:$D$504,Q22),""))</f>
        <v>Pack</v>
      </c>
      <c r="J22" s="61" t="n">
        <f aca="false">IF($D22="","",IF($F22="",IFERROR(INDEX(Items!$G$5:$G$504,Q22),0),$F22))</f>
        <v>377</v>
      </c>
      <c r="K22" s="61" t="n">
        <f aca="false">IF($D22="","",ROUND(N($E22)*J22*(1-N($G22)),2))</f>
        <v>18473</v>
      </c>
      <c r="L22" s="62" t="n">
        <f aca="false">IF($D22="","",IFERROR(INDEX(Items!$F$5:$F$504,Q22),0))</f>
        <v>0.05</v>
      </c>
      <c r="M22" s="61" t="n">
        <f aca="false">IF($D22="","",IF(AND(R22&lt;&gt;"",INDEX(Parties!$E$5:$E$304,R22)&lt;&gt;"",INDEX(Parties!$E$5:$E$304,R22)&lt;&gt;HomeState),0,ROUND(K22*L22/2,2)))</f>
        <v>461.83</v>
      </c>
      <c r="N22" s="61" t="n">
        <f aca="false">IF($D22="","",M22)</f>
        <v>461.83</v>
      </c>
      <c r="O22" s="61" t="n">
        <f aca="false">IF($D22="","",IF(AND(R22&lt;&gt;"",INDEX(Parties!$E$5:$E$304,R22)&lt;&gt;"",INDEX(Parties!$E$5:$E$304,R22)&lt;&gt;HomeState),ROUND(K22*L22,2),0))</f>
        <v>0</v>
      </c>
      <c r="P22" s="61" t="n">
        <f aca="false">IF($D22="","",K22+M22+N22+O22)</f>
        <v>19396.66</v>
      </c>
      <c r="Q22" s="60" t="n">
        <f aca="false">IF($D22="","",IFERROR(MATCH($D22,Items!$A$5:$A$504,0),""))</f>
        <v>4</v>
      </c>
      <c r="R22" s="60" t="n">
        <f aca="false">IF($C22="","",IFERROR(MATCH($C22,Parties!$A$5:$A$304,0),""))</f>
        <v>9</v>
      </c>
      <c r="S22" s="61" t="n">
        <f aca="false">IF($D22="","",IF(OR($H22="",$H22="Credit"),0,P22))</f>
        <v>19396.66</v>
      </c>
    </row>
    <row r="23" customFormat="false" ht="15" hidden="false" customHeight="false" outlineLevel="0" collapsed="false">
      <c r="A23" s="55" t="n">
        <v>46236</v>
      </c>
      <c r="B23" s="56" t="s">
        <v>240</v>
      </c>
      <c r="C23" s="56" t="s">
        <v>229</v>
      </c>
      <c r="D23" s="56" t="s">
        <v>86</v>
      </c>
      <c r="E23" s="57" t="n">
        <v>33</v>
      </c>
      <c r="F23" s="58" t="n">
        <v>2048</v>
      </c>
      <c r="G23" s="59"/>
      <c r="H23" s="56" t="s">
        <v>74</v>
      </c>
      <c r="I23" s="60" t="str">
        <f aca="false">IF($D23="","",IFERROR(INDEX(Items!$D$5:$D$504,Q23),""))</f>
        <v>Bag</v>
      </c>
      <c r="J23" s="61" t="n">
        <f aca="false">IF($D23="","",IF($F23="",IFERROR(INDEX(Items!$G$5:$G$504,Q23),0),$F23))</f>
        <v>2048</v>
      </c>
      <c r="K23" s="61" t="n">
        <f aca="false">IF($D23="","",ROUND(N($E23)*J23*(1-N($G23)),2))</f>
        <v>67584</v>
      </c>
      <c r="L23" s="62" t="n">
        <f aca="false">IF($D23="","",IFERROR(INDEX(Items!$F$5:$F$504,Q23),0))</f>
        <v>0.05</v>
      </c>
      <c r="M23" s="61" t="n">
        <f aca="false">IF($D23="","",IF(AND(R23&lt;&gt;"",INDEX(Parties!$E$5:$E$304,R23)&lt;&gt;"",INDEX(Parties!$E$5:$E$304,R23)&lt;&gt;HomeState),0,ROUND(K23*L23/2,2)))</f>
        <v>1689.6</v>
      </c>
      <c r="N23" s="61" t="n">
        <f aca="false">IF($D23="","",M23)</f>
        <v>1689.6</v>
      </c>
      <c r="O23" s="61" t="n">
        <f aca="false">IF($D23="","",IF(AND(R23&lt;&gt;"",INDEX(Parties!$E$5:$E$304,R23)&lt;&gt;"",INDEX(Parties!$E$5:$E$304,R23)&lt;&gt;HomeState),ROUND(K23*L23,2),0))</f>
        <v>0</v>
      </c>
      <c r="P23" s="61" t="n">
        <f aca="false">IF($D23="","",K23+M23+N23+O23)</f>
        <v>70963.2</v>
      </c>
      <c r="Q23" s="60" t="n">
        <f aca="false">IF($D23="","",IFERROR(MATCH($D23,Items!$A$5:$A$504,0),""))</f>
        <v>2</v>
      </c>
      <c r="R23" s="60" t="n">
        <f aca="false">IF($C23="","",IFERROR(MATCH($C23,Parties!$A$5:$A$304,0),""))</f>
        <v>6</v>
      </c>
      <c r="S23" s="61" t="n">
        <f aca="false">IF($D23="","",IF(OR($H23="",$H23="Credit"),0,P23))</f>
        <v>70963.2</v>
      </c>
    </row>
    <row r="24" customFormat="false" ht="15" hidden="false" customHeight="false" outlineLevel="0" collapsed="false">
      <c r="A24" s="55" t="n">
        <v>46236</v>
      </c>
      <c r="B24" s="56" t="s">
        <v>241</v>
      </c>
      <c r="C24" s="56" t="s">
        <v>226</v>
      </c>
      <c r="D24" s="56" t="s">
        <v>92</v>
      </c>
      <c r="E24" s="57" t="n">
        <v>12</v>
      </c>
      <c r="F24" s="58" t="n">
        <v>2447</v>
      </c>
      <c r="G24" s="59"/>
      <c r="H24" s="56"/>
      <c r="I24" s="60" t="str">
        <f aca="false">IF($D24="","",IFERROR(INDEX(Items!$D$5:$D$504,Q24),""))</f>
        <v>Pcs</v>
      </c>
      <c r="J24" s="61" t="n">
        <f aca="false">IF($D24="","",IF($F24="",IFERROR(INDEX(Items!$G$5:$G$504,Q24),0),$F24))</f>
        <v>2447</v>
      </c>
      <c r="K24" s="61" t="n">
        <f aca="false">IF($D24="","",ROUND(N($E24)*J24*(1-N($G24)),2))</f>
        <v>29364</v>
      </c>
      <c r="L24" s="62" t="n">
        <f aca="false">IF($D24="","",IFERROR(INDEX(Items!$F$5:$F$504,Q24),0))</f>
        <v>0.18</v>
      </c>
      <c r="M24" s="61" t="n">
        <f aca="false">IF($D24="","",IF(AND(R24&lt;&gt;"",INDEX(Parties!$E$5:$E$304,R24)&lt;&gt;"",INDEX(Parties!$E$5:$E$304,R24)&lt;&gt;HomeState),0,ROUND(K24*L24/2,2)))</f>
        <v>0</v>
      </c>
      <c r="N24" s="61" t="n">
        <f aca="false">IF($D24="","",M24)</f>
        <v>0</v>
      </c>
      <c r="O24" s="61" t="n">
        <f aca="false">IF($D24="","",IF(AND(R24&lt;&gt;"",INDEX(Parties!$E$5:$E$304,R24)&lt;&gt;"",INDEX(Parties!$E$5:$E$304,R24)&lt;&gt;HomeState),ROUND(K24*L24,2),0))</f>
        <v>5285.52</v>
      </c>
      <c r="P24" s="61" t="n">
        <f aca="false">IF($D24="","",K24+M24+N24+O24)</f>
        <v>34649.52</v>
      </c>
      <c r="Q24" s="60" t="n">
        <f aca="false">IF($D24="","",IFERROR(MATCH($D24,Items!$A$5:$A$504,0),""))</f>
        <v>8</v>
      </c>
      <c r="R24" s="60" t="n">
        <f aca="false">IF($C24="","",IFERROR(MATCH($C24,Parties!$A$5:$A$304,0),""))</f>
        <v>7</v>
      </c>
      <c r="S24" s="61" t="n">
        <f aca="false">IF($D24="","",IF(OR($H24="",$H24="Credit"),0,P24))</f>
        <v>0</v>
      </c>
    </row>
    <row r="25" customFormat="false" ht="15" hidden="false" customHeight="false" outlineLevel="0" collapsed="false">
      <c r="A25" s="55" t="n">
        <v>46236</v>
      </c>
      <c r="B25" s="56" t="s">
        <v>241</v>
      </c>
      <c r="C25" s="56" t="s">
        <v>226</v>
      </c>
      <c r="D25" s="56" t="s">
        <v>85</v>
      </c>
      <c r="E25" s="57" t="n">
        <v>13</v>
      </c>
      <c r="F25" s="58" t="n">
        <v>1645</v>
      </c>
      <c r="G25" s="59"/>
      <c r="H25" s="56"/>
      <c r="I25" s="60" t="str">
        <f aca="false">IF($D25="","",IFERROR(INDEX(Items!$D$5:$D$504,Q25),""))</f>
        <v>Pcs</v>
      </c>
      <c r="J25" s="61" t="n">
        <f aca="false">IF($D25="","",IF($F25="",IFERROR(INDEX(Items!$G$5:$G$504,Q25),0),$F25))</f>
        <v>1645</v>
      </c>
      <c r="K25" s="61" t="n">
        <f aca="false">IF($D25="","",ROUND(N($E25)*J25*(1-N($G25)),2))</f>
        <v>21385</v>
      </c>
      <c r="L25" s="62" t="n">
        <f aca="false">IF($D25="","",IFERROR(INDEX(Items!$F$5:$F$504,Q25),0))</f>
        <v>0.18</v>
      </c>
      <c r="M25" s="61" t="n">
        <f aca="false">IF($D25="","",IF(AND(R25&lt;&gt;"",INDEX(Parties!$E$5:$E$304,R25)&lt;&gt;"",INDEX(Parties!$E$5:$E$304,R25)&lt;&gt;HomeState),0,ROUND(K25*L25/2,2)))</f>
        <v>0</v>
      </c>
      <c r="N25" s="61" t="n">
        <f aca="false">IF($D25="","",M25)</f>
        <v>0</v>
      </c>
      <c r="O25" s="61" t="n">
        <f aca="false">IF($D25="","",IF(AND(R25&lt;&gt;"",INDEX(Parties!$E$5:$E$304,R25)&lt;&gt;"",INDEX(Parties!$E$5:$E$304,R25)&lt;&gt;HomeState),ROUND(K25*L25,2),0))</f>
        <v>3849.3</v>
      </c>
      <c r="P25" s="61" t="n">
        <f aca="false">IF($D25="","",K25+M25+N25+O25)</f>
        <v>25234.3</v>
      </c>
      <c r="Q25" s="60" t="n">
        <f aca="false">IF($D25="","",IFERROR(MATCH($D25,Items!$A$5:$A$504,0),""))</f>
        <v>12</v>
      </c>
      <c r="R25" s="60" t="n">
        <f aca="false">IF($C25="","",IFERROR(MATCH($C25,Parties!$A$5:$A$304,0),""))</f>
        <v>7</v>
      </c>
      <c r="S25" s="61" t="n">
        <f aca="false">IF($D25="","",IF(OR($H25="",$H25="Credit"),0,P25))</f>
        <v>0</v>
      </c>
    </row>
    <row r="26" customFormat="false" ht="15" hidden="false" customHeight="false" outlineLevel="0" collapsed="false">
      <c r="A26" s="55" t="n">
        <v>46236</v>
      </c>
      <c r="B26" s="56" t="s">
        <v>242</v>
      </c>
      <c r="C26" s="56" t="s">
        <v>84</v>
      </c>
      <c r="D26" s="56" t="s">
        <v>94</v>
      </c>
      <c r="E26" s="57" t="n">
        <v>59</v>
      </c>
      <c r="F26" s="58" t="n">
        <v>523</v>
      </c>
      <c r="G26" s="59"/>
      <c r="H26" s="56"/>
      <c r="I26" s="60" t="str">
        <f aca="false">IF($D26="","",IFERROR(INDEX(Items!$D$5:$D$504,Q26),""))</f>
        <v>Pack</v>
      </c>
      <c r="J26" s="61" t="n">
        <f aca="false">IF($D26="","",IF($F26="",IFERROR(INDEX(Items!$G$5:$G$504,Q26),0),$F26))</f>
        <v>523</v>
      </c>
      <c r="K26" s="61" t="n">
        <f aca="false">IF($D26="","",ROUND(N($E26)*J26*(1-N($G26)),2))</f>
        <v>30857</v>
      </c>
      <c r="L26" s="62" t="n">
        <f aca="false">IF($D26="","",IFERROR(INDEX(Items!$F$5:$F$504,Q26),0))</f>
        <v>0.18</v>
      </c>
      <c r="M26" s="61" t="n">
        <f aca="false">IF($D26="","",IF(AND(R26&lt;&gt;"",INDEX(Parties!$E$5:$E$304,R26)&lt;&gt;"",INDEX(Parties!$E$5:$E$304,R26)&lt;&gt;HomeState),0,ROUND(K26*L26/2,2)))</f>
        <v>2777.13</v>
      </c>
      <c r="N26" s="61" t="n">
        <f aca="false">IF($D26="","",M26)</f>
        <v>2777.13</v>
      </c>
      <c r="O26" s="61" t="n">
        <f aca="false">IF($D26="","",IF(AND(R26&lt;&gt;"",INDEX(Parties!$E$5:$E$304,R26)&lt;&gt;"",INDEX(Parties!$E$5:$E$304,R26)&lt;&gt;HomeState),ROUND(K26*L26,2),0))</f>
        <v>0</v>
      </c>
      <c r="P26" s="61" t="n">
        <f aca="false">IF($D26="","",K26+M26+N26+O26)</f>
        <v>36411.26</v>
      </c>
      <c r="Q26" s="60" t="n">
        <f aca="false">IF($D26="","",IFERROR(MATCH($D26,Items!$A$5:$A$504,0),""))</f>
        <v>5</v>
      </c>
      <c r="R26" s="60" t="n">
        <f aca="false">IF($C26="","",IFERROR(MATCH($C26,Parties!$A$5:$A$304,0),""))</f>
        <v>9</v>
      </c>
      <c r="S26" s="61" t="n">
        <f aca="false">IF($D26="","",IF(OR($H26="",$H26="Credit"),0,P26))</f>
        <v>0</v>
      </c>
    </row>
    <row r="27" customFormat="false" ht="15" hidden="false" customHeight="false" outlineLevel="0" collapsed="false">
      <c r="A27" s="55" t="n">
        <v>46236</v>
      </c>
      <c r="B27" s="56" t="s">
        <v>243</v>
      </c>
      <c r="C27" s="56" t="s">
        <v>233</v>
      </c>
      <c r="D27" s="56" t="s">
        <v>79</v>
      </c>
      <c r="E27" s="57" t="n">
        <v>125</v>
      </c>
      <c r="F27" s="58" t="n">
        <v>207</v>
      </c>
      <c r="G27" s="59"/>
      <c r="H27" s="56"/>
      <c r="I27" s="60" t="str">
        <f aca="false">IF($D27="","",IFERROR(INDEX(Items!$D$5:$D$504,Q27),""))</f>
        <v>Pcs</v>
      </c>
      <c r="J27" s="61" t="n">
        <f aca="false">IF($D27="","",IF($F27="",IFERROR(INDEX(Items!$G$5:$G$504,Q27),0),$F27))</f>
        <v>207</v>
      </c>
      <c r="K27" s="61" t="n">
        <f aca="false">IF($D27="","",ROUND(N($E27)*J27*(1-N($G27)),2))</f>
        <v>25875</v>
      </c>
      <c r="L27" s="62" t="n">
        <f aca="false">IF($D27="","",IFERROR(INDEX(Items!$F$5:$F$504,Q27),0))</f>
        <v>0.18</v>
      </c>
      <c r="M27" s="61" t="n">
        <f aca="false">IF($D27="","",IF(AND(R27&lt;&gt;"",INDEX(Parties!$E$5:$E$304,R27)&lt;&gt;"",INDEX(Parties!$E$5:$E$304,R27)&lt;&gt;HomeState),0,ROUND(K27*L27/2,2)))</f>
        <v>2328.75</v>
      </c>
      <c r="N27" s="61" t="n">
        <f aca="false">IF($D27="","",M27)</f>
        <v>2328.75</v>
      </c>
      <c r="O27" s="61" t="n">
        <f aca="false">IF($D27="","",IF(AND(R27&lt;&gt;"",INDEX(Parties!$E$5:$E$304,R27)&lt;&gt;"",INDEX(Parties!$E$5:$E$304,R27)&lt;&gt;HomeState),ROUND(K27*L27,2),0))</f>
        <v>0</v>
      </c>
      <c r="P27" s="61" t="n">
        <f aca="false">IF($D27="","",K27+M27+N27+O27)</f>
        <v>30532.5</v>
      </c>
      <c r="Q27" s="60" t="n">
        <f aca="false">IF($D27="","",IFERROR(MATCH($D27,Items!$A$5:$A$504,0),""))</f>
        <v>9</v>
      </c>
      <c r="R27" s="60" t="n">
        <f aca="false">IF($C27="","",IFERROR(MATCH($C27,Parties!$A$5:$A$304,0),""))</f>
        <v>8</v>
      </c>
      <c r="S27" s="61" t="n">
        <f aca="false">IF($D27="","",IF(OR($H27="",$H27="Credit"),0,P27))</f>
        <v>0</v>
      </c>
    </row>
    <row r="28" customFormat="false" ht="15" hidden="false" customHeight="false" outlineLevel="0" collapsed="false">
      <c r="A28" s="55" t="n">
        <v>46267</v>
      </c>
      <c r="B28" s="56" t="s">
        <v>244</v>
      </c>
      <c r="C28" s="56" t="s">
        <v>229</v>
      </c>
      <c r="D28" s="56" t="s">
        <v>73</v>
      </c>
      <c r="E28" s="57" t="n">
        <v>29</v>
      </c>
      <c r="F28" s="58" t="n">
        <v>1648</v>
      </c>
      <c r="G28" s="59"/>
      <c r="H28" s="56"/>
      <c r="I28" s="60" t="str">
        <f aca="false">IF($D28="","",IFERROR(INDEX(Items!$D$5:$D$504,Q28),""))</f>
        <v>Bag</v>
      </c>
      <c r="J28" s="61" t="n">
        <f aca="false">IF($D28="","",IF($F28="",IFERROR(INDEX(Items!$G$5:$G$504,Q28),0),$F28))</f>
        <v>1648</v>
      </c>
      <c r="K28" s="61" t="n">
        <f aca="false">IF($D28="","",ROUND(N($E28)*J28*(1-N($G28)),2))</f>
        <v>47792</v>
      </c>
      <c r="L28" s="62" t="n">
        <f aca="false">IF($D28="","",IFERROR(INDEX(Items!$F$5:$F$504,Q28),0))</f>
        <v>0.05</v>
      </c>
      <c r="M28" s="61" t="n">
        <f aca="false">IF($D28="","",IF(AND(R28&lt;&gt;"",INDEX(Parties!$E$5:$E$304,R28)&lt;&gt;"",INDEX(Parties!$E$5:$E$304,R28)&lt;&gt;HomeState),0,ROUND(K28*L28/2,2)))</f>
        <v>1194.8</v>
      </c>
      <c r="N28" s="61" t="n">
        <f aca="false">IF($D28="","",M28)</f>
        <v>1194.8</v>
      </c>
      <c r="O28" s="61" t="n">
        <f aca="false">IF($D28="","",IF(AND(R28&lt;&gt;"",INDEX(Parties!$E$5:$E$304,R28)&lt;&gt;"",INDEX(Parties!$E$5:$E$304,R28)&lt;&gt;HomeState),ROUND(K28*L28,2),0))</f>
        <v>0</v>
      </c>
      <c r="P28" s="61" t="n">
        <f aca="false">IF($D28="","",K28+M28+N28+O28)</f>
        <v>50181.6</v>
      </c>
      <c r="Q28" s="60" t="n">
        <f aca="false">IF($D28="","",IFERROR(MATCH($D28,Items!$A$5:$A$504,0),""))</f>
        <v>1</v>
      </c>
      <c r="R28" s="60" t="n">
        <f aca="false">IF($C28="","",IFERROR(MATCH($C28,Parties!$A$5:$A$304,0),""))</f>
        <v>6</v>
      </c>
      <c r="S28" s="61" t="n">
        <f aca="false">IF($D28="","",IF(OR($H28="",$H28="Credit"),0,P28))</f>
        <v>0</v>
      </c>
    </row>
    <row r="29" customFormat="false" ht="15" hidden="false" customHeight="false" outlineLevel="0" collapsed="false">
      <c r="A29" s="55" t="n">
        <v>46267</v>
      </c>
      <c r="B29" s="56" t="s">
        <v>244</v>
      </c>
      <c r="C29" s="56" t="s">
        <v>229</v>
      </c>
      <c r="D29" s="56" t="s">
        <v>96</v>
      </c>
      <c r="E29" s="57" t="n">
        <v>23</v>
      </c>
      <c r="F29" s="58" t="n">
        <v>1929</v>
      </c>
      <c r="G29" s="59"/>
      <c r="H29" s="56"/>
      <c r="I29" s="60" t="str">
        <f aca="false">IF($D29="","",IFERROR(INDEX(Items!$D$5:$D$504,Q29),""))</f>
        <v>Box</v>
      </c>
      <c r="J29" s="61" t="n">
        <f aca="false">IF($D29="","",IF($F29="",IFERROR(INDEX(Items!$G$5:$G$504,Q29),0),$F29))</f>
        <v>1929</v>
      </c>
      <c r="K29" s="61" t="n">
        <f aca="false">IF($D29="","",ROUND(N($E29)*J29*(1-N($G29)),2))</f>
        <v>44367</v>
      </c>
      <c r="L29" s="62" t="n">
        <f aca="false">IF($D29="","",IFERROR(INDEX(Items!$F$5:$F$504,Q29),0))</f>
        <v>0.05</v>
      </c>
      <c r="M29" s="61" t="n">
        <f aca="false">IF($D29="","",IF(AND(R29&lt;&gt;"",INDEX(Parties!$E$5:$E$304,R29)&lt;&gt;"",INDEX(Parties!$E$5:$E$304,R29)&lt;&gt;HomeState),0,ROUND(K29*L29/2,2)))</f>
        <v>1109.18</v>
      </c>
      <c r="N29" s="61" t="n">
        <f aca="false">IF($D29="","",M29)</f>
        <v>1109.18</v>
      </c>
      <c r="O29" s="61" t="n">
        <f aca="false">IF($D29="","",IF(AND(R29&lt;&gt;"",INDEX(Parties!$E$5:$E$304,R29)&lt;&gt;"",INDEX(Parties!$E$5:$E$304,R29)&lt;&gt;HomeState),ROUND(K29*L29,2),0))</f>
        <v>0</v>
      </c>
      <c r="P29" s="61" t="n">
        <f aca="false">IF($D29="","",K29+M29+N29+O29)</f>
        <v>46585.36</v>
      </c>
      <c r="Q29" s="60" t="n">
        <f aca="false">IF($D29="","",IFERROR(MATCH($D29,Items!$A$5:$A$504,0),""))</f>
        <v>3</v>
      </c>
      <c r="R29" s="60" t="n">
        <f aca="false">IF($C29="","",IFERROR(MATCH($C29,Parties!$A$5:$A$304,0),""))</f>
        <v>6</v>
      </c>
      <c r="S29" s="61" t="n">
        <f aca="false">IF($D29="","",IF(OR($H29="",$H29="Credit"),0,P29))</f>
        <v>0</v>
      </c>
    </row>
    <row r="30" customFormat="false" ht="15" hidden="false" customHeight="false" outlineLevel="0" collapsed="false">
      <c r="A30" s="55" t="n">
        <v>46267</v>
      </c>
      <c r="B30" s="56" t="s">
        <v>245</v>
      </c>
      <c r="C30" s="56" t="s">
        <v>226</v>
      </c>
      <c r="D30" s="56" t="s">
        <v>99</v>
      </c>
      <c r="E30" s="57" t="n">
        <v>399</v>
      </c>
      <c r="F30" s="58" t="n">
        <v>62</v>
      </c>
      <c r="G30" s="59"/>
      <c r="H30" s="56"/>
      <c r="I30" s="60" t="str">
        <f aca="false">IF($D30="","",IFERROR(INDEX(Items!$D$5:$D$504,Q30),""))</f>
        <v>Pcs</v>
      </c>
      <c r="J30" s="61" t="n">
        <f aca="false">IF($D30="","",IF($F30="",IFERROR(INDEX(Items!$G$5:$G$504,Q30),0),$F30))</f>
        <v>62</v>
      </c>
      <c r="K30" s="61" t="n">
        <f aca="false">IF($D30="","",ROUND(N($E30)*J30*(1-N($G30)),2))</f>
        <v>24738</v>
      </c>
      <c r="L30" s="62" t="n">
        <f aca="false">IF($D30="","",IFERROR(INDEX(Items!$F$5:$F$504,Q30),0))</f>
        <v>0.18</v>
      </c>
      <c r="M30" s="61" t="n">
        <f aca="false">IF($D30="","",IF(AND(R30&lt;&gt;"",INDEX(Parties!$E$5:$E$304,R30)&lt;&gt;"",INDEX(Parties!$E$5:$E$304,R30)&lt;&gt;HomeState),0,ROUND(K30*L30/2,2)))</f>
        <v>0</v>
      </c>
      <c r="N30" s="61" t="n">
        <f aca="false">IF($D30="","",M30)</f>
        <v>0</v>
      </c>
      <c r="O30" s="61" t="n">
        <f aca="false">IF($D30="","",IF(AND(R30&lt;&gt;"",INDEX(Parties!$E$5:$E$304,R30)&lt;&gt;"",INDEX(Parties!$E$5:$E$304,R30)&lt;&gt;HomeState),ROUND(K30*L30,2),0))</f>
        <v>4452.84</v>
      </c>
      <c r="P30" s="61" t="n">
        <f aca="false">IF($D30="","",K30+M30+N30+O30)</f>
        <v>29190.84</v>
      </c>
      <c r="Q30" s="60" t="n">
        <f aca="false">IF($D30="","",IFERROR(MATCH($D30,Items!$A$5:$A$504,0),""))</f>
        <v>7</v>
      </c>
      <c r="R30" s="60" t="n">
        <f aca="false">IF($C30="","",IFERROR(MATCH($C30,Parties!$A$5:$A$304,0),""))</f>
        <v>7</v>
      </c>
      <c r="S30" s="61" t="n">
        <f aca="false">IF($D30="","",IF(OR($H30="",$H30="Credit"),0,P30))</f>
        <v>0</v>
      </c>
    </row>
    <row r="31" customFormat="false" ht="15" hidden="false" customHeight="false" outlineLevel="0" collapsed="false">
      <c r="A31" s="55" t="n">
        <v>46267</v>
      </c>
      <c r="B31" s="56" t="s">
        <v>246</v>
      </c>
      <c r="C31" s="56" t="s">
        <v>84</v>
      </c>
      <c r="D31" s="56" t="s">
        <v>98</v>
      </c>
      <c r="E31" s="57" t="n">
        <v>55</v>
      </c>
      <c r="F31" s="58" t="n">
        <v>373</v>
      </c>
      <c r="G31" s="59"/>
      <c r="H31" s="56" t="s">
        <v>74</v>
      </c>
      <c r="I31" s="60" t="str">
        <f aca="false">IF($D31="","",IFERROR(INDEX(Items!$D$5:$D$504,Q31),""))</f>
        <v>Pack</v>
      </c>
      <c r="J31" s="61" t="n">
        <f aca="false">IF($D31="","",IF($F31="",IFERROR(INDEX(Items!$G$5:$G$504,Q31),0),$F31))</f>
        <v>373</v>
      </c>
      <c r="K31" s="61" t="n">
        <f aca="false">IF($D31="","",ROUND(N($E31)*J31*(1-N($G31)),2))</f>
        <v>20515</v>
      </c>
      <c r="L31" s="62" t="n">
        <f aca="false">IF($D31="","",IFERROR(INDEX(Items!$F$5:$F$504,Q31),0))</f>
        <v>0.05</v>
      </c>
      <c r="M31" s="61" t="n">
        <f aca="false">IF($D31="","",IF(AND(R31&lt;&gt;"",INDEX(Parties!$E$5:$E$304,R31)&lt;&gt;"",INDEX(Parties!$E$5:$E$304,R31)&lt;&gt;HomeState),0,ROUND(K31*L31/2,2)))</f>
        <v>512.88</v>
      </c>
      <c r="N31" s="61" t="n">
        <f aca="false">IF($D31="","",M31)</f>
        <v>512.88</v>
      </c>
      <c r="O31" s="61" t="n">
        <f aca="false">IF($D31="","",IF(AND(R31&lt;&gt;"",INDEX(Parties!$E$5:$E$304,R31)&lt;&gt;"",INDEX(Parties!$E$5:$E$304,R31)&lt;&gt;HomeState),ROUND(K31*L31,2),0))</f>
        <v>0</v>
      </c>
      <c r="P31" s="61" t="n">
        <f aca="false">IF($D31="","",K31+M31+N31+O31)</f>
        <v>21540.76</v>
      </c>
      <c r="Q31" s="60" t="n">
        <f aca="false">IF($D31="","",IFERROR(MATCH($D31,Items!$A$5:$A$504,0),""))</f>
        <v>4</v>
      </c>
      <c r="R31" s="60" t="n">
        <f aca="false">IF($C31="","",IFERROR(MATCH($C31,Parties!$A$5:$A$304,0),""))</f>
        <v>9</v>
      </c>
      <c r="S31" s="61" t="n">
        <f aca="false">IF($D31="","",IF(OR($H31="",$H31="Credit"),0,P31))</f>
        <v>21540.76</v>
      </c>
    </row>
    <row r="32" customFormat="false" ht="15" hidden="false" customHeight="false" outlineLevel="0" collapsed="false">
      <c r="A32" s="55" t="n">
        <v>46267</v>
      </c>
      <c r="B32" s="56" t="s">
        <v>246</v>
      </c>
      <c r="C32" s="56" t="s">
        <v>84</v>
      </c>
      <c r="D32" s="56" t="s">
        <v>117</v>
      </c>
      <c r="E32" s="57" t="n">
        <v>25</v>
      </c>
      <c r="F32" s="58" t="n">
        <v>900</v>
      </c>
      <c r="G32" s="59"/>
      <c r="H32" s="56" t="s">
        <v>74</v>
      </c>
      <c r="I32" s="60" t="str">
        <f aca="false">IF($D32="","",IFERROR(INDEX(Items!$D$5:$D$504,Q32),""))</f>
        <v>Box</v>
      </c>
      <c r="J32" s="61" t="n">
        <f aca="false">IF($D32="","",IF($F32="",IFERROR(INDEX(Items!$G$5:$G$504,Q32),0),$F32))</f>
        <v>900</v>
      </c>
      <c r="K32" s="61" t="n">
        <f aca="false">IF($D32="","",ROUND(N($E32)*J32*(1-N($G32)),2))</f>
        <v>22500</v>
      </c>
      <c r="L32" s="62" t="n">
        <f aca="false">IF($D32="","",IFERROR(INDEX(Items!$F$5:$F$504,Q32),0))</f>
        <v>0.05</v>
      </c>
      <c r="M32" s="61" t="n">
        <f aca="false">IF($D32="","",IF(AND(R32&lt;&gt;"",INDEX(Parties!$E$5:$E$304,R32)&lt;&gt;"",INDEX(Parties!$E$5:$E$304,R32)&lt;&gt;HomeState),0,ROUND(K32*L32/2,2)))</f>
        <v>562.5</v>
      </c>
      <c r="N32" s="61" t="n">
        <f aca="false">IF($D32="","",M32)</f>
        <v>562.5</v>
      </c>
      <c r="O32" s="61" t="n">
        <f aca="false">IF($D32="","",IF(AND(R32&lt;&gt;"",INDEX(Parties!$E$5:$E$304,R32)&lt;&gt;"",INDEX(Parties!$E$5:$E$304,R32)&lt;&gt;HomeState),ROUND(K32*L32,2),0))</f>
        <v>0</v>
      </c>
      <c r="P32" s="61" t="n">
        <f aca="false">IF($D32="","",K32+M32+N32+O32)</f>
        <v>23625</v>
      </c>
      <c r="Q32" s="60" t="n">
        <f aca="false">IF($D32="","",IFERROR(MATCH($D32,Items!$A$5:$A$504,0),""))</f>
        <v>6</v>
      </c>
      <c r="R32" s="60" t="n">
        <f aca="false">IF($C32="","",IFERROR(MATCH($C32,Parties!$A$5:$A$304,0),""))</f>
        <v>9</v>
      </c>
      <c r="S32" s="61" t="n">
        <f aca="false">IF($D32="","",IF(OR($H32="",$H32="Credit"),0,P32))</f>
        <v>23625</v>
      </c>
    </row>
    <row r="33" customFormat="false" ht="15" hidden="false" customHeight="false" outlineLevel="0" collapsed="false">
      <c r="A33" s="55" t="n">
        <v>46297</v>
      </c>
      <c r="B33" s="56" t="s">
        <v>247</v>
      </c>
      <c r="C33" s="56" t="s">
        <v>229</v>
      </c>
      <c r="D33" s="56" t="s">
        <v>73</v>
      </c>
      <c r="E33" s="57" t="n">
        <v>22</v>
      </c>
      <c r="F33" s="58" t="n">
        <v>1649</v>
      </c>
      <c r="G33" s="59"/>
      <c r="H33" s="56"/>
      <c r="I33" s="60" t="str">
        <f aca="false">IF($D33="","",IFERROR(INDEX(Items!$D$5:$D$504,Q33),""))</f>
        <v>Bag</v>
      </c>
      <c r="J33" s="61" t="n">
        <f aca="false">IF($D33="","",IF($F33="",IFERROR(INDEX(Items!$G$5:$G$504,Q33),0),$F33))</f>
        <v>1649</v>
      </c>
      <c r="K33" s="61" t="n">
        <f aca="false">IF($D33="","",ROUND(N($E33)*J33*(1-N($G33)),2))</f>
        <v>36278</v>
      </c>
      <c r="L33" s="62" t="n">
        <f aca="false">IF($D33="","",IFERROR(INDEX(Items!$F$5:$F$504,Q33),0))</f>
        <v>0.05</v>
      </c>
      <c r="M33" s="61" t="n">
        <f aca="false">IF($D33="","",IF(AND(R33&lt;&gt;"",INDEX(Parties!$E$5:$E$304,R33)&lt;&gt;"",INDEX(Parties!$E$5:$E$304,R33)&lt;&gt;HomeState),0,ROUND(K33*L33/2,2)))</f>
        <v>906.95</v>
      </c>
      <c r="N33" s="61" t="n">
        <f aca="false">IF($D33="","",M33)</f>
        <v>906.95</v>
      </c>
      <c r="O33" s="61" t="n">
        <f aca="false">IF($D33="","",IF(AND(R33&lt;&gt;"",INDEX(Parties!$E$5:$E$304,R33)&lt;&gt;"",INDEX(Parties!$E$5:$E$304,R33)&lt;&gt;HomeState),ROUND(K33*L33,2),0))</f>
        <v>0</v>
      </c>
      <c r="P33" s="61" t="n">
        <f aca="false">IF($D33="","",K33+M33+N33+O33)</f>
        <v>38091.9</v>
      </c>
      <c r="Q33" s="60" t="n">
        <f aca="false">IF($D33="","",IFERROR(MATCH($D33,Items!$A$5:$A$504,0),""))</f>
        <v>1</v>
      </c>
      <c r="R33" s="60" t="n">
        <f aca="false">IF($C33="","",IFERROR(MATCH($C33,Parties!$A$5:$A$304,0),""))</f>
        <v>6</v>
      </c>
      <c r="S33" s="61" t="n">
        <f aca="false">IF($D33="","",IF(OR($H33="",$H33="Credit"),0,P33))</f>
        <v>0</v>
      </c>
    </row>
    <row r="34" customFormat="false" ht="15" hidden="false" customHeight="false" outlineLevel="0" collapsed="false">
      <c r="A34" s="55" t="n">
        <v>46297</v>
      </c>
      <c r="B34" s="56" t="s">
        <v>248</v>
      </c>
      <c r="C34" s="56" t="s">
        <v>226</v>
      </c>
      <c r="D34" s="56" t="s">
        <v>85</v>
      </c>
      <c r="E34" s="57" t="n">
        <v>13</v>
      </c>
      <c r="F34" s="58" t="n">
        <v>1634</v>
      </c>
      <c r="G34" s="59"/>
      <c r="H34" s="56" t="s">
        <v>74</v>
      </c>
      <c r="I34" s="60" t="str">
        <f aca="false">IF($D34="","",IFERROR(INDEX(Items!$D$5:$D$504,Q34),""))</f>
        <v>Pcs</v>
      </c>
      <c r="J34" s="61" t="n">
        <f aca="false">IF($D34="","",IF($F34="",IFERROR(INDEX(Items!$G$5:$G$504,Q34),0),$F34))</f>
        <v>1634</v>
      </c>
      <c r="K34" s="61" t="n">
        <f aca="false">IF($D34="","",ROUND(N($E34)*J34*(1-N($G34)),2))</f>
        <v>21242</v>
      </c>
      <c r="L34" s="62" t="n">
        <f aca="false">IF($D34="","",IFERROR(INDEX(Items!$F$5:$F$504,Q34),0))</f>
        <v>0.18</v>
      </c>
      <c r="M34" s="61" t="n">
        <f aca="false">IF($D34="","",IF(AND(R34&lt;&gt;"",INDEX(Parties!$E$5:$E$304,R34)&lt;&gt;"",INDEX(Parties!$E$5:$E$304,R34)&lt;&gt;HomeState),0,ROUND(K34*L34/2,2)))</f>
        <v>0</v>
      </c>
      <c r="N34" s="61" t="n">
        <f aca="false">IF($D34="","",M34)</f>
        <v>0</v>
      </c>
      <c r="O34" s="61" t="n">
        <f aca="false">IF($D34="","",IF(AND(R34&lt;&gt;"",INDEX(Parties!$E$5:$E$304,R34)&lt;&gt;"",INDEX(Parties!$E$5:$E$304,R34)&lt;&gt;HomeState),ROUND(K34*L34,2),0))</f>
        <v>3823.56</v>
      </c>
      <c r="P34" s="61" t="n">
        <f aca="false">IF($D34="","",K34+M34+N34+O34)</f>
        <v>25065.56</v>
      </c>
      <c r="Q34" s="60" t="n">
        <f aca="false">IF($D34="","",IFERROR(MATCH($D34,Items!$A$5:$A$504,0),""))</f>
        <v>12</v>
      </c>
      <c r="R34" s="60" t="n">
        <f aca="false">IF($C34="","",IFERROR(MATCH($C34,Parties!$A$5:$A$304,0),""))</f>
        <v>7</v>
      </c>
      <c r="S34" s="61" t="n">
        <f aca="false">IF($D34="","",IF(OR($H34="",$H34="Credit"),0,P34))</f>
        <v>25065.56</v>
      </c>
    </row>
    <row r="35" customFormat="false" ht="15" hidden="false" customHeight="false" outlineLevel="0" collapsed="false">
      <c r="A35" s="55" t="n">
        <v>46297</v>
      </c>
      <c r="B35" s="56" t="s">
        <v>249</v>
      </c>
      <c r="C35" s="56" t="s">
        <v>84</v>
      </c>
      <c r="D35" s="56" t="s">
        <v>94</v>
      </c>
      <c r="E35" s="57" t="n">
        <v>67</v>
      </c>
      <c r="F35" s="58" t="n">
        <v>521</v>
      </c>
      <c r="G35" s="59"/>
      <c r="H35" s="56"/>
      <c r="I35" s="60" t="str">
        <f aca="false">IF($D35="","",IFERROR(INDEX(Items!$D$5:$D$504,Q35),""))</f>
        <v>Pack</v>
      </c>
      <c r="J35" s="61" t="n">
        <f aca="false">IF($D35="","",IF($F35="",IFERROR(INDEX(Items!$G$5:$G$504,Q35),0),$F35))</f>
        <v>521</v>
      </c>
      <c r="K35" s="61" t="n">
        <f aca="false">IF($D35="","",ROUND(N($E35)*J35*(1-N($G35)),2))</f>
        <v>34907</v>
      </c>
      <c r="L35" s="62" t="n">
        <f aca="false">IF($D35="","",IFERROR(INDEX(Items!$F$5:$F$504,Q35),0))</f>
        <v>0.18</v>
      </c>
      <c r="M35" s="61" t="n">
        <f aca="false">IF($D35="","",IF(AND(R35&lt;&gt;"",INDEX(Parties!$E$5:$E$304,R35)&lt;&gt;"",INDEX(Parties!$E$5:$E$304,R35)&lt;&gt;HomeState),0,ROUND(K35*L35/2,2)))</f>
        <v>3141.63</v>
      </c>
      <c r="N35" s="61" t="n">
        <f aca="false">IF($D35="","",M35)</f>
        <v>3141.63</v>
      </c>
      <c r="O35" s="61" t="n">
        <f aca="false">IF($D35="","",IF(AND(R35&lt;&gt;"",INDEX(Parties!$E$5:$E$304,R35)&lt;&gt;"",INDEX(Parties!$E$5:$E$304,R35)&lt;&gt;HomeState),ROUND(K35*L35,2),0))</f>
        <v>0</v>
      </c>
      <c r="P35" s="61" t="n">
        <f aca="false">IF($D35="","",K35+M35+N35+O35)</f>
        <v>41190.26</v>
      </c>
      <c r="Q35" s="60" t="n">
        <f aca="false">IF($D35="","",IFERROR(MATCH($D35,Items!$A$5:$A$504,0),""))</f>
        <v>5</v>
      </c>
      <c r="R35" s="60" t="n">
        <f aca="false">IF($C35="","",IFERROR(MATCH($C35,Parties!$A$5:$A$304,0),""))</f>
        <v>9</v>
      </c>
      <c r="S35" s="61" t="n">
        <f aca="false">IF($D35="","",IF(OR($H35="",$H35="Credit"),0,P35))</f>
        <v>0</v>
      </c>
    </row>
    <row r="36" customFormat="false" ht="15" hidden="false" customHeight="false" outlineLevel="0" collapsed="false">
      <c r="A36" s="55" t="n">
        <v>46297</v>
      </c>
      <c r="B36" s="56" t="s">
        <v>249</v>
      </c>
      <c r="C36" s="56" t="s">
        <v>84</v>
      </c>
      <c r="D36" s="56" t="s">
        <v>117</v>
      </c>
      <c r="E36" s="57" t="n">
        <v>21</v>
      </c>
      <c r="F36" s="58" t="n">
        <v>889</v>
      </c>
      <c r="G36" s="59"/>
      <c r="H36" s="56"/>
      <c r="I36" s="60" t="str">
        <f aca="false">IF($D36="","",IFERROR(INDEX(Items!$D$5:$D$504,Q36),""))</f>
        <v>Box</v>
      </c>
      <c r="J36" s="61" t="n">
        <f aca="false">IF($D36="","",IF($F36="",IFERROR(INDEX(Items!$G$5:$G$504,Q36),0),$F36))</f>
        <v>889</v>
      </c>
      <c r="K36" s="61" t="n">
        <f aca="false">IF($D36="","",ROUND(N($E36)*J36*(1-N($G36)),2))</f>
        <v>18669</v>
      </c>
      <c r="L36" s="62" t="n">
        <f aca="false">IF($D36="","",IFERROR(INDEX(Items!$F$5:$F$504,Q36),0))</f>
        <v>0.05</v>
      </c>
      <c r="M36" s="61" t="n">
        <f aca="false">IF($D36="","",IF(AND(R36&lt;&gt;"",INDEX(Parties!$E$5:$E$304,R36)&lt;&gt;"",INDEX(Parties!$E$5:$E$304,R36)&lt;&gt;HomeState),0,ROUND(K36*L36/2,2)))</f>
        <v>466.73</v>
      </c>
      <c r="N36" s="61" t="n">
        <f aca="false">IF($D36="","",M36)</f>
        <v>466.73</v>
      </c>
      <c r="O36" s="61" t="n">
        <f aca="false">IF($D36="","",IF(AND(R36&lt;&gt;"",INDEX(Parties!$E$5:$E$304,R36)&lt;&gt;"",INDEX(Parties!$E$5:$E$304,R36)&lt;&gt;HomeState),ROUND(K36*L36,2),0))</f>
        <v>0</v>
      </c>
      <c r="P36" s="61" t="n">
        <f aca="false">IF($D36="","",K36+M36+N36+O36)</f>
        <v>19602.46</v>
      </c>
      <c r="Q36" s="60" t="n">
        <f aca="false">IF($D36="","",IFERROR(MATCH($D36,Items!$A$5:$A$504,0),""))</f>
        <v>6</v>
      </c>
      <c r="R36" s="60" t="n">
        <f aca="false">IF($C36="","",IFERROR(MATCH($C36,Parties!$A$5:$A$304,0),""))</f>
        <v>9</v>
      </c>
      <c r="S36" s="61" t="n">
        <f aca="false">IF($D36="","",IF(OR($H36="",$H36="Credit"),0,P36))</f>
        <v>0</v>
      </c>
    </row>
    <row r="37" customFormat="false" ht="15" hidden="false" customHeight="false" outlineLevel="0" collapsed="false">
      <c r="A37" s="55" t="n">
        <v>46297</v>
      </c>
      <c r="B37" s="56" t="s">
        <v>250</v>
      </c>
      <c r="C37" s="56" t="s">
        <v>233</v>
      </c>
      <c r="D37" s="56" t="s">
        <v>82</v>
      </c>
      <c r="E37" s="57" t="n">
        <v>104</v>
      </c>
      <c r="F37" s="58" t="n">
        <v>347</v>
      </c>
      <c r="G37" s="59"/>
      <c r="H37" s="56"/>
      <c r="I37" s="60" t="str">
        <f aca="false">IF($D37="","",IFERROR(INDEX(Items!$D$5:$D$504,Q37),""))</f>
        <v>Bag</v>
      </c>
      <c r="J37" s="61" t="n">
        <f aca="false">IF($D37="","",IF($F37="",IFERROR(INDEX(Items!$G$5:$G$504,Q37),0),$F37))</f>
        <v>347</v>
      </c>
      <c r="K37" s="61" t="n">
        <f aca="false">IF($D37="","",ROUND(N($E37)*J37*(1-N($G37)),2))</f>
        <v>36088</v>
      </c>
      <c r="L37" s="62" t="n">
        <f aca="false">IF($D37="","",IFERROR(INDEX(Items!$F$5:$F$504,Q37),0))</f>
        <v>0.18</v>
      </c>
      <c r="M37" s="61" t="n">
        <f aca="false">IF($D37="","",IF(AND(R37&lt;&gt;"",INDEX(Parties!$E$5:$E$304,R37)&lt;&gt;"",INDEX(Parties!$E$5:$E$304,R37)&lt;&gt;HomeState),0,ROUND(K37*L37/2,2)))</f>
        <v>3247.92</v>
      </c>
      <c r="N37" s="61" t="n">
        <f aca="false">IF($D37="","",M37)</f>
        <v>3247.92</v>
      </c>
      <c r="O37" s="61" t="n">
        <f aca="false">IF($D37="","",IF(AND(R37&lt;&gt;"",INDEX(Parties!$E$5:$E$304,R37)&lt;&gt;"",INDEX(Parties!$E$5:$E$304,R37)&lt;&gt;HomeState),ROUND(K37*L37,2),0))</f>
        <v>0</v>
      </c>
      <c r="P37" s="61" t="n">
        <f aca="false">IF($D37="","",K37+M37+N37+O37)</f>
        <v>42583.84</v>
      </c>
      <c r="Q37" s="60" t="n">
        <f aca="false">IF($D37="","",IFERROR(MATCH($D37,Items!$A$5:$A$504,0),""))</f>
        <v>10</v>
      </c>
      <c r="R37" s="60" t="n">
        <f aca="false">IF($C37="","",IFERROR(MATCH($C37,Parties!$A$5:$A$304,0),""))</f>
        <v>8</v>
      </c>
      <c r="S37" s="61" t="n">
        <f aca="false">IF($D37="","",IF(OR($H37="",$H37="Credit"),0,P37))</f>
        <v>0</v>
      </c>
    </row>
    <row r="38" customFormat="false" ht="15" hidden="false" customHeight="false" outlineLevel="0" collapsed="false">
      <c r="A38" s="55"/>
      <c r="B38" s="56"/>
      <c r="C38" s="56"/>
      <c r="D38" s="56"/>
      <c r="E38" s="57"/>
      <c r="F38" s="58"/>
      <c r="G38" s="59"/>
      <c r="H38" s="56"/>
      <c r="I38" s="60" t="str">
        <f aca="false">IF($D38="","",IFERROR(INDEX(Items!$D$5:$D$504,Q38),""))</f>
        <v/>
      </c>
      <c r="J38" s="61" t="str">
        <f aca="false">IF($D38="","",IF($F38="",IFERROR(INDEX(Items!$G$5:$G$504,Q38),0),$F38))</f>
        <v/>
      </c>
      <c r="K38" s="61" t="str">
        <f aca="false">IF($D38="","",ROUND(N($E38)*J38*(1-N($G38)),2))</f>
        <v/>
      </c>
      <c r="L38" s="62" t="str">
        <f aca="false">IF($D38="","",IFERROR(INDEX(Items!$F$5:$F$504,Q38),0))</f>
        <v/>
      </c>
      <c r="M38" s="61" t="str">
        <f aca="false">IF($D38="","",IF(AND(R38&lt;&gt;"",INDEX(Parties!$E$5:$E$304,R38)&lt;&gt;"",INDEX(Parties!$E$5:$E$304,R38)&lt;&gt;HomeState),0,ROUND(K38*L38/2,2)))</f>
        <v/>
      </c>
      <c r="N38" s="61" t="str">
        <f aca="false">IF($D38="","",M38)</f>
        <v/>
      </c>
      <c r="O38" s="61" t="str">
        <f aca="false">IF($D38="","",IF(AND(R38&lt;&gt;"",INDEX(Parties!$E$5:$E$304,R38)&lt;&gt;"",INDEX(Parties!$E$5:$E$304,R38)&lt;&gt;HomeState),ROUND(K38*L38,2),0))</f>
        <v/>
      </c>
      <c r="P38" s="61" t="str">
        <f aca="false">IF($D38="","",K38+M38+N38+O38)</f>
        <v/>
      </c>
      <c r="Q38" s="60" t="str">
        <f aca="false">IF($D38="","",IFERROR(MATCH($D38,Items!$A$5:$A$504,0),""))</f>
        <v/>
      </c>
      <c r="R38" s="60" t="str">
        <f aca="false">IF($C38="","",IFERROR(MATCH($C38,Parties!$A$5:$A$304,0),""))</f>
        <v/>
      </c>
      <c r="S38" s="61" t="str">
        <f aca="false">IF($D38="","",IF(OR($H38="",$H38="Credit"),0,P38))</f>
        <v/>
      </c>
    </row>
    <row r="39" customFormat="false" ht="15" hidden="false" customHeight="false" outlineLevel="0" collapsed="false">
      <c r="A39" s="55"/>
      <c r="B39" s="56"/>
      <c r="C39" s="56"/>
      <c r="D39" s="56"/>
      <c r="E39" s="57"/>
      <c r="F39" s="58"/>
      <c r="G39" s="59"/>
      <c r="H39" s="56"/>
      <c r="I39" s="60" t="str">
        <f aca="false">IF($D39="","",IFERROR(INDEX(Items!$D$5:$D$504,Q39),""))</f>
        <v/>
      </c>
      <c r="J39" s="61" t="str">
        <f aca="false">IF($D39="","",IF($F39="",IFERROR(INDEX(Items!$G$5:$G$504,Q39),0),$F39))</f>
        <v/>
      </c>
      <c r="K39" s="61" t="str">
        <f aca="false">IF($D39="","",ROUND(N($E39)*J39*(1-N($G39)),2))</f>
        <v/>
      </c>
      <c r="L39" s="62" t="str">
        <f aca="false">IF($D39="","",IFERROR(INDEX(Items!$F$5:$F$504,Q39),0))</f>
        <v/>
      </c>
      <c r="M39" s="61" t="str">
        <f aca="false">IF($D39="","",IF(AND(R39&lt;&gt;"",INDEX(Parties!$E$5:$E$304,R39)&lt;&gt;"",INDEX(Parties!$E$5:$E$304,R39)&lt;&gt;HomeState),0,ROUND(K39*L39/2,2)))</f>
        <v/>
      </c>
      <c r="N39" s="61" t="str">
        <f aca="false">IF($D39="","",M39)</f>
        <v/>
      </c>
      <c r="O39" s="61" t="str">
        <f aca="false">IF($D39="","",IF(AND(R39&lt;&gt;"",INDEX(Parties!$E$5:$E$304,R39)&lt;&gt;"",INDEX(Parties!$E$5:$E$304,R39)&lt;&gt;HomeState),ROUND(K39*L39,2),0))</f>
        <v/>
      </c>
      <c r="P39" s="61" t="str">
        <f aca="false">IF($D39="","",K39+M39+N39+O39)</f>
        <v/>
      </c>
      <c r="Q39" s="60" t="str">
        <f aca="false">IF($D39="","",IFERROR(MATCH($D39,Items!$A$5:$A$504,0),""))</f>
        <v/>
      </c>
      <c r="R39" s="60" t="str">
        <f aca="false">IF($C39="","",IFERROR(MATCH($C39,Parties!$A$5:$A$304,0),""))</f>
        <v/>
      </c>
      <c r="S39" s="61" t="str">
        <f aca="false">IF($D39="","",IF(OR($H39="",$H39="Credit"),0,P39))</f>
        <v/>
      </c>
    </row>
    <row r="40" customFormat="false" ht="15" hidden="false" customHeight="false" outlineLevel="0" collapsed="false">
      <c r="A40" s="55"/>
      <c r="B40" s="56"/>
      <c r="C40" s="56"/>
      <c r="D40" s="56"/>
      <c r="E40" s="57"/>
      <c r="F40" s="58"/>
      <c r="G40" s="59"/>
      <c r="H40" s="56"/>
      <c r="I40" s="60" t="str">
        <f aca="false">IF($D40="","",IFERROR(INDEX(Items!$D$5:$D$504,Q40),""))</f>
        <v/>
      </c>
      <c r="J40" s="61" t="str">
        <f aca="false">IF($D40="","",IF($F40="",IFERROR(INDEX(Items!$G$5:$G$504,Q40),0),$F40))</f>
        <v/>
      </c>
      <c r="K40" s="61" t="str">
        <f aca="false">IF($D40="","",ROUND(N($E40)*J40*(1-N($G40)),2))</f>
        <v/>
      </c>
      <c r="L40" s="62" t="str">
        <f aca="false">IF($D40="","",IFERROR(INDEX(Items!$F$5:$F$504,Q40),0))</f>
        <v/>
      </c>
      <c r="M40" s="61" t="str">
        <f aca="false">IF($D40="","",IF(AND(R40&lt;&gt;"",INDEX(Parties!$E$5:$E$304,R40)&lt;&gt;"",INDEX(Parties!$E$5:$E$304,R40)&lt;&gt;HomeState),0,ROUND(K40*L40/2,2)))</f>
        <v/>
      </c>
      <c r="N40" s="61" t="str">
        <f aca="false">IF($D40="","",M40)</f>
        <v/>
      </c>
      <c r="O40" s="61" t="str">
        <f aca="false">IF($D40="","",IF(AND(R40&lt;&gt;"",INDEX(Parties!$E$5:$E$304,R40)&lt;&gt;"",INDEX(Parties!$E$5:$E$304,R40)&lt;&gt;HomeState),ROUND(K40*L40,2),0))</f>
        <v/>
      </c>
      <c r="P40" s="61" t="str">
        <f aca="false">IF($D40="","",K40+M40+N40+O40)</f>
        <v/>
      </c>
      <c r="Q40" s="60" t="str">
        <f aca="false">IF($D40="","",IFERROR(MATCH($D40,Items!$A$5:$A$504,0),""))</f>
        <v/>
      </c>
      <c r="R40" s="60" t="str">
        <f aca="false">IF($C40="","",IFERROR(MATCH($C40,Parties!$A$5:$A$304,0),""))</f>
        <v/>
      </c>
      <c r="S40" s="61" t="str">
        <f aca="false">IF($D40="","",IF(OR($H40="",$H40="Credit"),0,P40))</f>
        <v/>
      </c>
    </row>
    <row r="41" customFormat="false" ht="15" hidden="false" customHeight="false" outlineLevel="0" collapsed="false">
      <c r="A41" s="55"/>
      <c r="B41" s="56"/>
      <c r="C41" s="56"/>
      <c r="D41" s="56"/>
      <c r="E41" s="57"/>
      <c r="F41" s="58"/>
      <c r="G41" s="59"/>
      <c r="H41" s="56"/>
      <c r="I41" s="60" t="str">
        <f aca="false">IF($D41="","",IFERROR(INDEX(Items!$D$5:$D$504,Q41),""))</f>
        <v/>
      </c>
      <c r="J41" s="61" t="str">
        <f aca="false">IF($D41="","",IF($F41="",IFERROR(INDEX(Items!$G$5:$G$504,Q41),0),$F41))</f>
        <v/>
      </c>
      <c r="K41" s="61" t="str">
        <f aca="false">IF($D41="","",ROUND(N($E41)*J41*(1-N($G41)),2))</f>
        <v/>
      </c>
      <c r="L41" s="62" t="str">
        <f aca="false">IF($D41="","",IFERROR(INDEX(Items!$F$5:$F$504,Q41),0))</f>
        <v/>
      </c>
      <c r="M41" s="61" t="str">
        <f aca="false">IF($D41="","",IF(AND(R41&lt;&gt;"",INDEX(Parties!$E$5:$E$304,R41)&lt;&gt;"",INDEX(Parties!$E$5:$E$304,R41)&lt;&gt;HomeState),0,ROUND(K41*L41/2,2)))</f>
        <v/>
      </c>
      <c r="N41" s="61" t="str">
        <f aca="false">IF($D41="","",M41)</f>
        <v/>
      </c>
      <c r="O41" s="61" t="str">
        <f aca="false">IF($D41="","",IF(AND(R41&lt;&gt;"",INDEX(Parties!$E$5:$E$304,R41)&lt;&gt;"",INDEX(Parties!$E$5:$E$304,R41)&lt;&gt;HomeState),ROUND(K41*L41,2),0))</f>
        <v/>
      </c>
      <c r="P41" s="61" t="str">
        <f aca="false">IF($D41="","",K41+M41+N41+O41)</f>
        <v/>
      </c>
      <c r="Q41" s="60" t="str">
        <f aca="false">IF($D41="","",IFERROR(MATCH($D41,Items!$A$5:$A$504,0),""))</f>
        <v/>
      </c>
      <c r="R41" s="60" t="str">
        <f aca="false">IF($C41="","",IFERROR(MATCH($C41,Parties!$A$5:$A$304,0),""))</f>
        <v/>
      </c>
      <c r="S41" s="61" t="str">
        <f aca="false">IF($D41="","",IF(OR($H41="",$H41="Credit"),0,P41))</f>
        <v/>
      </c>
    </row>
    <row r="42" customFormat="false" ht="15" hidden="false" customHeight="false" outlineLevel="0" collapsed="false">
      <c r="A42" s="55"/>
      <c r="B42" s="56"/>
      <c r="C42" s="56"/>
      <c r="D42" s="56"/>
      <c r="E42" s="57"/>
      <c r="F42" s="58"/>
      <c r="G42" s="59"/>
      <c r="H42" s="56"/>
      <c r="I42" s="60" t="str">
        <f aca="false">IF($D42="","",IFERROR(INDEX(Items!$D$5:$D$504,Q42),""))</f>
        <v/>
      </c>
      <c r="J42" s="61" t="str">
        <f aca="false">IF($D42="","",IF($F42="",IFERROR(INDEX(Items!$G$5:$G$504,Q42),0),$F42))</f>
        <v/>
      </c>
      <c r="K42" s="61" t="str">
        <f aca="false">IF($D42="","",ROUND(N($E42)*J42*(1-N($G42)),2))</f>
        <v/>
      </c>
      <c r="L42" s="62" t="str">
        <f aca="false">IF($D42="","",IFERROR(INDEX(Items!$F$5:$F$504,Q42),0))</f>
        <v/>
      </c>
      <c r="M42" s="61" t="str">
        <f aca="false">IF($D42="","",IF(AND(R42&lt;&gt;"",INDEX(Parties!$E$5:$E$304,R42)&lt;&gt;"",INDEX(Parties!$E$5:$E$304,R42)&lt;&gt;HomeState),0,ROUND(K42*L42/2,2)))</f>
        <v/>
      </c>
      <c r="N42" s="61" t="str">
        <f aca="false">IF($D42="","",M42)</f>
        <v/>
      </c>
      <c r="O42" s="61" t="str">
        <f aca="false">IF($D42="","",IF(AND(R42&lt;&gt;"",INDEX(Parties!$E$5:$E$304,R42)&lt;&gt;"",INDEX(Parties!$E$5:$E$304,R42)&lt;&gt;HomeState),ROUND(K42*L42,2),0))</f>
        <v/>
      </c>
      <c r="P42" s="61" t="str">
        <f aca="false">IF($D42="","",K42+M42+N42+O42)</f>
        <v/>
      </c>
      <c r="Q42" s="60" t="str">
        <f aca="false">IF($D42="","",IFERROR(MATCH($D42,Items!$A$5:$A$504,0),""))</f>
        <v/>
      </c>
      <c r="R42" s="60" t="str">
        <f aca="false">IF($C42="","",IFERROR(MATCH($C42,Parties!$A$5:$A$304,0),""))</f>
        <v/>
      </c>
      <c r="S42" s="61" t="str">
        <f aca="false">IF($D42="","",IF(OR($H42="",$H42="Credit"),0,P42))</f>
        <v/>
      </c>
    </row>
    <row r="43" customFormat="false" ht="15" hidden="false" customHeight="false" outlineLevel="0" collapsed="false">
      <c r="A43" s="55"/>
      <c r="B43" s="56"/>
      <c r="C43" s="56"/>
      <c r="D43" s="56"/>
      <c r="E43" s="57"/>
      <c r="F43" s="58"/>
      <c r="G43" s="59"/>
      <c r="H43" s="56"/>
      <c r="I43" s="60" t="str">
        <f aca="false">IF($D43="","",IFERROR(INDEX(Items!$D$5:$D$504,Q43),""))</f>
        <v/>
      </c>
      <c r="J43" s="61" t="str">
        <f aca="false">IF($D43="","",IF($F43="",IFERROR(INDEX(Items!$G$5:$G$504,Q43),0),$F43))</f>
        <v/>
      </c>
      <c r="K43" s="61" t="str">
        <f aca="false">IF($D43="","",ROUND(N($E43)*J43*(1-N($G43)),2))</f>
        <v/>
      </c>
      <c r="L43" s="62" t="str">
        <f aca="false">IF($D43="","",IFERROR(INDEX(Items!$F$5:$F$504,Q43),0))</f>
        <v/>
      </c>
      <c r="M43" s="61" t="str">
        <f aca="false">IF($D43="","",IF(AND(R43&lt;&gt;"",INDEX(Parties!$E$5:$E$304,R43)&lt;&gt;"",INDEX(Parties!$E$5:$E$304,R43)&lt;&gt;HomeState),0,ROUND(K43*L43/2,2)))</f>
        <v/>
      </c>
      <c r="N43" s="61" t="str">
        <f aca="false">IF($D43="","",M43)</f>
        <v/>
      </c>
      <c r="O43" s="61" t="str">
        <f aca="false">IF($D43="","",IF(AND(R43&lt;&gt;"",INDEX(Parties!$E$5:$E$304,R43)&lt;&gt;"",INDEX(Parties!$E$5:$E$304,R43)&lt;&gt;HomeState),ROUND(K43*L43,2),0))</f>
        <v/>
      </c>
      <c r="P43" s="61" t="str">
        <f aca="false">IF($D43="","",K43+M43+N43+O43)</f>
        <v/>
      </c>
      <c r="Q43" s="60" t="str">
        <f aca="false">IF($D43="","",IFERROR(MATCH($D43,Items!$A$5:$A$504,0),""))</f>
        <v/>
      </c>
      <c r="R43" s="60" t="str">
        <f aca="false">IF($C43="","",IFERROR(MATCH($C43,Parties!$A$5:$A$304,0),""))</f>
        <v/>
      </c>
      <c r="S43" s="61" t="str">
        <f aca="false">IF($D43="","",IF(OR($H43="",$H43="Credit"),0,P43))</f>
        <v/>
      </c>
    </row>
    <row r="44" customFormat="false" ht="15" hidden="false" customHeight="false" outlineLevel="0" collapsed="false">
      <c r="A44" s="55"/>
      <c r="B44" s="56"/>
      <c r="C44" s="56"/>
      <c r="D44" s="56"/>
      <c r="E44" s="57"/>
      <c r="F44" s="58"/>
      <c r="G44" s="59"/>
      <c r="H44" s="56"/>
      <c r="I44" s="60" t="str">
        <f aca="false">IF($D44="","",IFERROR(INDEX(Items!$D$5:$D$504,Q44),""))</f>
        <v/>
      </c>
      <c r="J44" s="61" t="str">
        <f aca="false">IF($D44="","",IF($F44="",IFERROR(INDEX(Items!$G$5:$G$504,Q44),0),$F44))</f>
        <v/>
      </c>
      <c r="K44" s="61" t="str">
        <f aca="false">IF($D44="","",ROUND(N($E44)*J44*(1-N($G44)),2))</f>
        <v/>
      </c>
      <c r="L44" s="62" t="str">
        <f aca="false">IF($D44="","",IFERROR(INDEX(Items!$F$5:$F$504,Q44),0))</f>
        <v/>
      </c>
      <c r="M44" s="61" t="str">
        <f aca="false">IF($D44="","",IF(AND(R44&lt;&gt;"",INDEX(Parties!$E$5:$E$304,R44)&lt;&gt;"",INDEX(Parties!$E$5:$E$304,R44)&lt;&gt;HomeState),0,ROUND(K44*L44/2,2)))</f>
        <v/>
      </c>
      <c r="N44" s="61" t="str">
        <f aca="false">IF($D44="","",M44)</f>
        <v/>
      </c>
      <c r="O44" s="61" t="str">
        <f aca="false">IF($D44="","",IF(AND(R44&lt;&gt;"",INDEX(Parties!$E$5:$E$304,R44)&lt;&gt;"",INDEX(Parties!$E$5:$E$304,R44)&lt;&gt;HomeState),ROUND(K44*L44,2),0))</f>
        <v/>
      </c>
      <c r="P44" s="61" t="str">
        <f aca="false">IF($D44="","",K44+M44+N44+O44)</f>
        <v/>
      </c>
      <c r="Q44" s="60" t="str">
        <f aca="false">IF($D44="","",IFERROR(MATCH($D44,Items!$A$5:$A$504,0),""))</f>
        <v/>
      </c>
      <c r="R44" s="60" t="str">
        <f aca="false">IF($C44="","",IFERROR(MATCH($C44,Parties!$A$5:$A$304,0),""))</f>
        <v/>
      </c>
      <c r="S44" s="61" t="str">
        <f aca="false">IF($D44="","",IF(OR($H44="",$H44="Credit"),0,P44))</f>
        <v/>
      </c>
    </row>
    <row r="45" customFormat="false" ht="15" hidden="false" customHeight="false" outlineLevel="0" collapsed="false">
      <c r="A45" s="55"/>
      <c r="B45" s="56"/>
      <c r="C45" s="56"/>
      <c r="D45" s="56"/>
      <c r="E45" s="57"/>
      <c r="F45" s="58"/>
      <c r="G45" s="59"/>
      <c r="H45" s="56"/>
      <c r="I45" s="60" t="str">
        <f aca="false">IF($D45="","",IFERROR(INDEX(Items!$D$5:$D$504,Q45),""))</f>
        <v/>
      </c>
      <c r="J45" s="61" t="str">
        <f aca="false">IF($D45="","",IF($F45="",IFERROR(INDEX(Items!$G$5:$G$504,Q45),0),$F45))</f>
        <v/>
      </c>
      <c r="K45" s="61" t="str">
        <f aca="false">IF($D45="","",ROUND(N($E45)*J45*(1-N($G45)),2))</f>
        <v/>
      </c>
      <c r="L45" s="62" t="str">
        <f aca="false">IF($D45="","",IFERROR(INDEX(Items!$F$5:$F$504,Q45),0))</f>
        <v/>
      </c>
      <c r="M45" s="61" t="str">
        <f aca="false">IF($D45="","",IF(AND(R45&lt;&gt;"",INDEX(Parties!$E$5:$E$304,R45)&lt;&gt;"",INDEX(Parties!$E$5:$E$304,R45)&lt;&gt;HomeState),0,ROUND(K45*L45/2,2)))</f>
        <v/>
      </c>
      <c r="N45" s="61" t="str">
        <f aca="false">IF($D45="","",M45)</f>
        <v/>
      </c>
      <c r="O45" s="61" t="str">
        <f aca="false">IF($D45="","",IF(AND(R45&lt;&gt;"",INDEX(Parties!$E$5:$E$304,R45)&lt;&gt;"",INDEX(Parties!$E$5:$E$304,R45)&lt;&gt;HomeState),ROUND(K45*L45,2),0))</f>
        <v/>
      </c>
      <c r="P45" s="61" t="str">
        <f aca="false">IF($D45="","",K45+M45+N45+O45)</f>
        <v/>
      </c>
      <c r="Q45" s="60" t="str">
        <f aca="false">IF($D45="","",IFERROR(MATCH($D45,Items!$A$5:$A$504,0),""))</f>
        <v/>
      </c>
      <c r="R45" s="60" t="str">
        <f aca="false">IF($C45="","",IFERROR(MATCH($C45,Parties!$A$5:$A$304,0),""))</f>
        <v/>
      </c>
      <c r="S45" s="61" t="str">
        <f aca="false">IF($D45="","",IF(OR($H45="",$H45="Credit"),0,P45))</f>
        <v/>
      </c>
    </row>
    <row r="46" customFormat="false" ht="15" hidden="false" customHeight="false" outlineLevel="0" collapsed="false">
      <c r="A46" s="55"/>
      <c r="B46" s="56"/>
      <c r="C46" s="56"/>
      <c r="D46" s="56"/>
      <c r="E46" s="57"/>
      <c r="F46" s="58"/>
      <c r="G46" s="59"/>
      <c r="H46" s="56"/>
      <c r="I46" s="60" t="str">
        <f aca="false">IF($D46="","",IFERROR(INDEX(Items!$D$5:$D$504,Q46),""))</f>
        <v/>
      </c>
      <c r="J46" s="61" t="str">
        <f aca="false">IF($D46="","",IF($F46="",IFERROR(INDEX(Items!$G$5:$G$504,Q46),0),$F46))</f>
        <v/>
      </c>
      <c r="K46" s="61" t="str">
        <f aca="false">IF($D46="","",ROUND(N($E46)*J46*(1-N($G46)),2))</f>
        <v/>
      </c>
      <c r="L46" s="62" t="str">
        <f aca="false">IF($D46="","",IFERROR(INDEX(Items!$F$5:$F$504,Q46),0))</f>
        <v/>
      </c>
      <c r="M46" s="61" t="str">
        <f aca="false">IF($D46="","",IF(AND(R46&lt;&gt;"",INDEX(Parties!$E$5:$E$304,R46)&lt;&gt;"",INDEX(Parties!$E$5:$E$304,R46)&lt;&gt;HomeState),0,ROUND(K46*L46/2,2)))</f>
        <v/>
      </c>
      <c r="N46" s="61" t="str">
        <f aca="false">IF($D46="","",M46)</f>
        <v/>
      </c>
      <c r="O46" s="61" t="str">
        <f aca="false">IF($D46="","",IF(AND(R46&lt;&gt;"",INDEX(Parties!$E$5:$E$304,R46)&lt;&gt;"",INDEX(Parties!$E$5:$E$304,R46)&lt;&gt;HomeState),ROUND(K46*L46,2),0))</f>
        <v/>
      </c>
      <c r="P46" s="61" t="str">
        <f aca="false">IF($D46="","",K46+M46+N46+O46)</f>
        <v/>
      </c>
      <c r="Q46" s="60" t="str">
        <f aca="false">IF($D46="","",IFERROR(MATCH($D46,Items!$A$5:$A$504,0),""))</f>
        <v/>
      </c>
      <c r="R46" s="60" t="str">
        <f aca="false">IF($C46="","",IFERROR(MATCH($C46,Parties!$A$5:$A$304,0),""))</f>
        <v/>
      </c>
      <c r="S46" s="61" t="str">
        <f aca="false">IF($D46="","",IF(OR($H46="",$H46="Credit"),0,P46))</f>
        <v/>
      </c>
    </row>
    <row r="47" customFormat="false" ht="15" hidden="false" customHeight="false" outlineLevel="0" collapsed="false">
      <c r="A47" s="55"/>
      <c r="B47" s="56"/>
      <c r="C47" s="56"/>
      <c r="D47" s="56"/>
      <c r="E47" s="57"/>
      <c r="F47" s="58"/>
      <c r="G47" s="59"/>
      <c r="H47" s="56"/>
      <c r="I47" s="60" t="str">
        <f aca="false">IF($D47="","",IFERROR(INDEX(Items!$D$5:$D$504,Q47),""))</f>
        <v/>
      </c>
      <c r="J47" s="61" t="str">
        <f aca="false">IF($D47="","",IF($F47="",IFERROR(INDEX(Items!$G$5:$G$504,Q47),0),$F47))</f>
        <v/>
      </c>
      <c r="K47" s="61" t="str">
        <f aca="false">IF($D47="","",ROUND(N($E47)*J47*(1-N($G47)),2))</f>
        <v/>
      </c>
      <c r="L47" s="62" t="str">
        <f aca="false">IF($D47="","",IFERROR(INDEX(Items!$F$5:$F$504,Q47),0))</f>
        <v/>
      </c>
      <c r="M47" s="61" t="str">
        <f aca="false">IF($D47="","",IF(AND(R47&lt;&gt;"",INDEX(Parties!$E$5:$E$304,R47)&lt;&gt;"",INDEX(Parties!$E$5:$E$304,R47)&lt;&gt;HomeState),0,ROUND(K47*L47/2,2)))</f>
        <v/>
      </c>
      <c r="N47" s="61" t="str">
        <f aca="false">IF($D47="","",M47)</f>
        <v/>
      </c>
      <c r="O47" s="61" t="str">
        <f aca="false">IF($D47="","",IF(AND(R47&lt;&gt;"",INDEX(Parties!$E$5:$E$304,R47)&lt;&gt;"",INDEX(Parties!$E$5:$E$304,R47)&lt;&gt;HomeState),ROUND(K47*L47,2),0))</f>
        <v/>
      </c>
      <c r="P47" s="61" t="str">
        <f aca="false">IF($D47="","",K47+M47+N47+O47)</f>
        <v/>
      </c>
      <c r="Q47" s="60" t="str">
        <f aca="false">IF($D47="","",IFERROR(MATCH($D47,Items!$A$5:$A$504,0),""))</f>
        <v/>
      </c>
      <c r="R47" s="60" t="str">
        <f aca="false">IF($C47="","",IFERROR(MATCH($C47,Parties!$A$5:$A$304,0),""))</f>
        <v/>
      </c>
      <c r="S47" s="61" t="str">
        <f aca="false">IF($D47="","",IF(OR($H47="",$H47="Credit"),0,P47))</f>
        <v/>
      </c>
    </row>
    <row r="48" customFormat="false" ht="15" hidden="false" customHeight="false" outlineLevel="0" collapsed="false">
      <c r="A48" s="55"/>
      <c r="B48" s="56"/>
      <c r="C48" s="56"/>
      <c r="D48" s="56"/>
      <c r="E48" s="57"/>
      <c r="F48" s="58"/>
      <c r="G48" s="59"/>
      <c r="H48" s="56"/>
      <c r="I48" s="60" t="str">
        <f aca="false">IF($D48="","",IFERROR(INDEX(Items!$D$5:$D$504,Q48),""))</f>
        <v/>
      </c>
      <c r="J48" s="61" t="str">
        <f aca="false">IF($D48="","",IF($F48="",IFERROR(INDEX(Items!$G$5:$G$504,Q48),0),$F48))</f>
        <v/>
      </c>
      <c r="K48" s="61" t="str">
        <f aca="false">IF($D48="","",ROUND(N($E48)*J48*(1-N($G48)),2))</f>
        <v/>
      </c>
      <c r="L48" s="62" t="str">
        <f aca="false">IF($D48="","",IFERROR(INDEX(Items!$F$5:$F$504,Q48),0))</f>
        <v/>
      </c>
      <c r="M48" s="61" t="str">
        <f aca="false">IF($D48="","",IF(AND(R48&lt;&gt;"",INDEX(Parties!$E$5:$E$304,R48)&lt;&gt;"",INDEX(Parties!$E$5:$E$304,R48)&lt;&gt;HomeState),0,ROUND(K48*L48/2,2)))</f>
        <v/>
      </c>
      <c r="N48" s="61" t="str">
        <f aca="false">IF($D48="","",M48)</f>
        <v/>
      </c>
      <c r="O48" s="61" t="str">
        <f aca="false">IF($D48="","",IF(AND(R48&lt;&gt;"",INDEX(Parties!$E$5:$E$304,R48)&lt;&gt;"",INDEX(Parties!$E$5:$E$304,R48)&lt;&gt;HomeState),ROUND(K48*L48,2),0))</f>
        <v/>
      </c>
      <c r="P48" s="61" t="str">
        <f aca="false">IF($D48="","",K48+M48+N48+O48)</f>
        <v/>
      </c>
      <c r="Q48" s="60" t="str">
        <f aca="false">IF($D48="","",IFERROR(MATCH($D48,Items!$A$5:$A$504,0),""))</f>
        <v/>
      </c>
      <c r="R48" s="60" t="str">
        <f aca="false">IF($C48="","",IFERROR(MATCH($C48,Parties!$A$5:$A$304,0),""))</f>
        <v/>
      </c>
      <c r="S48" s="61" t="str">
        <f aca="false">IF($D48="","",IF(OR($H48="",$H48="Credit"),0,P48))</f>
        <v/>
      </c>
    </row>
    <row r="49" customFormat="false" ht="15" hidden="false" customHeight="false" outlineLevel="0" collapsed="false">
      <c r="A49" s="55"/>
      <c r="B49" s="56"/>
      <c r="C49" s="56"/>
      <c r="D49" s="56"/>
      <c r="E49" s="57"/>
      <c r="F49" s="58"/>
      <c r="G49" s="59"/>
      <c r="H49" s="56"/>
      <c r="I49" s="60" t="str">
        <f aca="false">IF($D49="","",IFERROR(INDEX(Items!$D$5:$D$504,Q49),""))</f>
        <v/>
      </c>
      <c r="J49" s="61" t="str">
        <f aca="false">IF($D49="","",IF($F49="",IFERROR(INDEX(Items!$G$5:$G$504,Q49),0),$F49))</f>
        <v/>
      </c>
      <c r="K49" s="61" t="str">
        <f aca="false">IF($D49="","",ROUND(N($E49)*J49*(1-N($G49)),2))</f>
        <v/>
      </c>
      <c r="L49" s="62" t="str">
        <f aca="false">IF($D49="","",IFERROR(INDEX(Items!$F$5:$F$504,Q49),0))</f>
        <v/>
      </c>
      <c r="M49" s="61" t="str">
        <f aca="false">IF($D49="","",IF(AND(R49&lt;&gt;"",INDEX(Parties!$E$5:$E$304,R49)&lt;&gt;"",INDEX(Parties!$E$5:$E$304,R49)&lt;&gt;HomeState),0,ROUND(K49*L49/2,2)))</f>
        <v/>
      </c>
      <c r="N49" s="61" t="str">
        <f aca="false">IF($D49="","",M49)</f>
        <v/>
      </c>
      <c r="O49" s="61" t="str">
        <f aca="false">IF($D49="","",IF(AND(R49&lt;&gt;"",INDEX(Parties!$E$5:$E$304,R49)&lt;&gt;"",INDEX(Parties!$E$5:$E$304,R49)&lt;&gt;HomeState),ROUND(K49*L49,2),0))</f>
        <v/>
      </c>
      <c r="P49" s="61" t="str">
        <f aca="false">IF($D49="","",K49+M49+N49+O49)</f>
        <v/>
      </c>
      <c r="Q49" s="60" t="str">
        <f aca="false">IF($D49="","",IFERROR(MATCH($D49,Items!$A$5:$A$504,0),""))</f>
        <v/>
      </c>
      <c r="R49" s="60" t="str">
        <f aca="false">IF($C49="","",IFERROR(MATCH($C49,Parties!$A$5:$A$304,0),""))</f>
        <v/>
      </c>
      <c r="S49" s="61" t="str">
        <f aca="false">IF($D49="","",IF(OR($H49="",$H49="Credit"),0,P49))</f>
        <v/>
      </c>
    </row>
    <row r="50" customFormat="false" ht="15" hidden="false" customHeight="false" outlineLevel="0" collapsed="false">
      <c r="A50" s="55"/>
      <c r="B50" s="56"/>
      <c r="C50" s="56"/>
      <c r="D50" s="56"/>
      <c r="E50" s="57"/>
      <c r="F50" s="58"/>
      <c r="G50" s="59"/>
      <c r="H50" s="56"/>
      <c r="I50" s="60" t="str">
        <f aca="false">IF($D50="","",IFERROR(INDEX(Items!$D$5:$D$504,Q50),""))</f>
        <v/>
      </c>
      <c r="J50" s="61" t="str">
        <f aca="false">IF($D50="","",IF($F50="",IFERROR(INDEX(Items!$G$5:$G$504,Q50),0),$F50))</f>
        <v/>
      </c>
      <c r="K50" s="61" t="str">
        <f aca="false">IF($D50="","",ROUND(N($E50)*J50*(1-N($G50)),2))</f>
        <v/>
      </c>
      <c r="L50" s="62" t="str">
        <f aca="false">IF($D50="","",IFERROR(INDEX(Items!$F$5:$F$504,Q50),0))</f>
        <v/>
      </c>
      <c r="M50" s="61" t="str">
        <f aca="false">IF($D50="","",IF(AND(R50&lt;&gt;"",INDEX(Parties!$E$5:$E$304,R50)&lt;&gt;"",INDEX(Parties!$E$5:$E$304,R50)&lt;&gt;HomeState),0,ROUND(K50*L50/2,2)))</f>
        <v/>
      </c>
      <c r="N50" s="61" t="str">
        <f aca="false">IF($D50="","",M50)</f>
        <v/>
      </c>
      <c r="O50" s="61" t="str">
        <f aca="false">IF($D50="","",IF(AND(R50&lt;&gt;"",INDEX(Parties!$E$5:$E$304,R50)&lt;&gt;"",INDEX(Parties!$E$5:$E$304,R50)&lt;&gt;HomeState),ROUND(K50*L50,2),0))</f>
        <v/>
      </c>
      <c r="P50" s="61" t="str">
        <f aca="false">IF($D50="","",K50+M50+N50+O50)</f>
        <v/>
      </c>
      <c r="Q50" s="60" t="str">
        <f aca="false">IF($D50="","",IFERROR(MATCH($D50,Items!$A$5:$A$504,0),""))</f>
        <v/>
      </c>
      <c r="R50" s="60" t="str">
        <f aca="false">IF($C50="","",IFERROR(MATCH($C50,Parties!$A$5:$A$304,0),""))</f>
        <v/>
      </c>
      <c r="S50" s="61" t="str">
        <f aca="false">IF($D50="","",IF(OR($H50="",$H50="Credit"),0,P50))</f>
        <v/>
      </c>
    </row>
    <row r="51" customFormat="false" ht="15" hidden="false" customHeight="false" outlineLevel="0" collapsed="false">
      <c r="A51" s="55"/>
      <c r="B51" s="56"/>
      <c r="C51" s="56"/>
      <c r="D51" s="56"/>
      <c r="E51" s="57"/>
      <c r="F51" s="58"/>
      <c r="G51" s="59"/>
      <c r="H51" s="56"/>
      <c r="I51" s="60" t="str">
        <f aca="false">IF($D51="","",IFERROR(INDEX(Items!$D$5:$D$504,Q51),""))</f>
        <v/>
      </c>
      <c r="J51" s="61" t="str">
        <f aca="false">IF($D51="","",IF($F51="",IFERROR(INDEX(Items!$G$5:$G$504,Q51),0),$F51))</f>
        <v/>
      </c>
      <c r="K51" s="61" t="str">
        <f aca="false">IF($D51="","",ROUND(N($E51)*J51*(1-N($G51)),2))</f>
        <v/>
      </c>
      <c r="L51" s="62" t="str">
        <f aca="false">IF($D51="","",IFERROR(INDEX(Items!$F$5:$F$504,Q51),0))</f>
        <v/>
      </c>
      <c r="M51" s="61" t="str">
        <f aca="false">IF($D51="","",IF(AND(R51&lt;&gt;"",INDEX(Parties!$E$5:$E$304,R51)&lt;&gt;"",INDEX(Parties!$E$5:$E$304,R51)&lt;&gt;HomeState),0,ROUND(K51*L51/2,2)))</f>
        <v/>
      </c>
      <c r="N51" s="61" t="str">
        <f aca="false">IF($D51="","",M51)</f>
        <v/>
      </c>
      <c r="O51" s="61" t="str">
        <f aca="false">IF($D51="","",IF(AND(R51&lt;&gt;"",INDEX(Parties!$E$5:$E$304,R51)&lt;&gt;"",INDEX(Parties!$E$5:$E$304,R51)&lt;&gt;HomeState),ROUND(K51*L51,2),0))</f>
        <v/>
      </c>
      <c r="P51" s="61" t="str">
        <f aca="false">IF($D51="","",K51+M51+N51+O51)</f>
        <v/>
      </c>
      <c r="Q51" s="60" t="str">
        <f aca="false">IF($D51="","",IFERROR(MATCH($D51,Items!$A$5:$A$504,0),""))</f>
        <v/>
      </c>
      <c r="R51" s="60" t="str">
        <f aca="false">IF($C51="","",IFERROR(MATCH($C51,Parties!$A$5:$A$304,0),""))</f>
        <v/>
      </c>
      <c r="S51" s="61" t="str">
        <f aca="false">IF($D51="","",IF(OR($H51="",$H51="Credit"),0,P51))</f>
        <v/>
      </c>
    </row>
    <row r="52" customFormat="false" ht="15" hidden="false" customHeight="false" outlineLevel="0" collapsed="false">
      <c r="A52" s="55"/>
      <c r="B52" s="56"/>
      <c r="C52" s="56"/>
      <c r="D52" s="56"/>
      <c r="E52" s="57"/>
      <c r="F52" s="58"/>
      <c r="G52" s="59"/>
      <c r="H52" s="56"/>
      <c r="I52" s="60" t="str">
        <f aca="false">IF($D52="","",IFERROR(INDEX(Items!$D$5:$D$504,Q52),""))</f>
        <v/>
      </c>
      <c r="J52" s="61" t="str">
        <f aca="false">IF($D52="","",IF($F52="",IFERROR(INDEX(Items!$G$5:$G$504,Q52),0),$F52))</f>
        <v/>
      </c>
      <c r="K52" s="61" t="str">
        <f aca="false">IF($D52="","",ROUND(N($E52)*J52*(1-N($G52)),2))</f>
        <v/>
      </c>
      <c r="L52" s="62" t="str">
        <f aca="false">IF($D52="","",IFERROR(INDEX(Items!$F$5:$F$504,Q52),0))</f>
        <v/>
      </c>
      <c r="M52" s="61" t="str">
        <f aca="false">IF($D52="","",IF(AND(R52&lt;&gt;"",INDEX(Parties!$E$5:$E$304,R52)&lt;&gt;"",INDEX(Parties!$E$5:$E$304,R52)&lt;&gt;HomeState),0,ROUND(K52*L52/2,2)))</f>
        <v/>
      </c>
      <c r="N52" s="61" t="str">
        <f aca="false">IF($D52="","",M52)</f>
        <v/>
      </c>
      <c r="O52" s="61" t="str">
        <f aca="false">IF($D52="","",IF(AND(R52&lt;&gt;"",INDEX(Parties!$E$5:$E$304,R52)&lt;&gt;"",INDEX(Parties!$E$5:$E$304,R52)&lt;&gt;HomeState),ROUND(K52*L52,2),0))</f>
        <v/>
      </c>
      <c r="P52" s="61" t="str">
        <f aca="false">IF($D52="","",K52+M52+N52+O52)</f>
        <v/>
      </c>
      <c r="Q52" s="60" t="str">
        <f aca="false">IF($D52="","",IFERROR(MATCH($D52,Items!$A$5:$A$504,0),""))</f>
        <v/>
      </c>
      <c r="R52" s="60" t="str">
        <f aca="false">IF($C52="","",IFERROR(MATCH($C52,Parties!$A$5:$A$304,0),""))</f>
        <v/>
      </c>
      <c r="S52" s="61" t="str">
        <f aca="false">IF($D52="","",IF(OR($H52="",$H52="Credit"),0,P52))</f>
        <v/>
      </c>
    </row>
    <row r="53" customFormat="false" ht="15" hidden="false" customHeight="false" outlineLevel="0" collapsed="false">
      <c r="A53" s="55"/>
      <c r="B53" s="56"/>
      <c r="C53" s="56"/>
      <c r="D53" s="56"/>
      <c r="E53" s="57"/>
      <c r="F53" s="58"/>
      <c r="G53" s="59"/>
      <c r="H53" s="56"/>
      <c r="I53" s="60" t="str">
        <f aca="false">IF($D53="","",IFERROR(INDEX(Items!$D$5:$D$504,Q53),""))</f>
        <v/>
      </c>
      <c r="J53" s="61" t="str">
        <f aca="false">IF($D53="","",IF($F53="",IFERROR(INDEX(Items!$G$5:$G$504,Q53),0),$F53))</f>
        <v/>
      </c>
      <c r="K53" s="61" t="str">
        <f aca="false">IF($D53="","",ROUND(N($E53)*J53*(1-N($G53)),2))</f>
        <v/>
      </c>
      <c r="L53" s="62" t="str">
        <f aca="false">IF($D53="","",IFERROR(INDEX(Items!$F$5:$F$504,Q53),0))</f>
        <v/>
      </c>
      <c r="M53" s="61" t="str">
        <f aca="false">IF($D53="","",IF(AND(R53&lt;&gt;"",INDEX(Parties!$E$5:$E$304,R53)&lt;&gt;"",INDEX(Parties!$E$5:$E$304,R53)&lt;&gt;HomeState),0,ROUND(K53*L53/2,2)))</f>
        <v/>
      </c>
      <c r="N53" s="61" t="str">
        <f aca="false">IF($D53="","",M53)</f>
        <v/>
      </c>
      <c r="O53" s="61" t="str">
        <f aca="false">IF($D53="","",IF(AND(R53&lt;&gt;"",INDEX(Parties!$E$5:$E$304,R53)&lt;&gt;"",INDEX(Parties!$E$5:$E$304,R53)&lt;&gt;HomeState),ROUND(K53*L53,2),0))</f>
        <v/>
      </c>
      <c r="P53" s="61" t="str">
        <f aca="false">IF($D53="","",K53+M53+N53+O53)</f>
        <v/>
      </c>
      <c r="Q53" s="60" t="str">
        <f aca="false">IF($D53="","",IFERROR(MATCH($D53,Items!$A$5:$A$504,0),""))</f>
        <v/>
      </c>
      <c r="R53" s="60" t="str">
        <f aca="false">IF($C53="","",IFERROR(MATCH($C53,Parties!$A$5:$A$304,0),""))</f>
        <v/>
      </c>
      <c r="S53" s="61" t="str">
        <f aca="false">IF($D53="","",IF(OR($H53="",$H53="Credit"),0,P53))</f>
        <v/>
      </c>
    </row>
    <row r="54" customFormat="false" ht="15" hidden="false" customHeight="false" outlineLevel="0" collapsed="false">
      <c r="A54" s="55"/>
      <c r="B54" s="56"/>
      <c r="C54" s="56"/>
      <c r="D54" s="56"/>
      <c r="E54" s="57"/>
      <c r="F54" s="58"/>
      <c r="G54" s="59"/>
      <c r="H54" s="56"/>
      <c r="I54" s="60" t="str">
        <f aca="false">IF($D54="","",IFERROR(INDEX(Items!$D$5:$D$504,Q54),""))</f>
        <v/>
      </c>
      <c r="J54" s="61" t="str">
        <f aca="false">IF($D54="","",IF($F54="",IFERROR(INDEX(Items!$G$5:$G$504,Q54),0),$F54))</f>
        <v/>
      </c>
      <c r="K54" s="61" t="str">
        <f aca="false">IF($D54="","",ROUND(N($E54)*J54*(1-N($G54)),2))</f>
        <v/>
      </c>
      <c r="L54" s="62" t="str">
        <f aca="false">IF($D54="","",IFERROR(INDEX(Items!$F$5:$F$504,Q54),0))</f>
        <v/>
      </c>
      <c r="M54" s="61" t="str">
        <f aca="false">IF($D54="","",IF(AND(R54&lt;&gt;"",INDEX(Parties!$E$5:$E$304,R54)&lt;&gt;"",INDEX(Parties!$E$5:$E$304,R54)&lt;&gt;HomeState),0,ROUND(K54*L54/2,2)))</f>
        <v/>
      </c>
      <c r="N54" s="61" t="str">
        <f aca="false">IF($D54="","",M54)</f>
        <v/>
      </c>
      <c r="O54" s="61" t="str">
        <f aca="false">IF($D54="","",IF(AND(R54&lt;&gt;"",INDEX(Parties!$E$5:$E$304,R54)&lt;&gt;"",INDEX(Parties!$E$5:$E$304,R54)&lt;&gt;HomeState),ROUND(K54*L54,2),0))</f>
        <v/>
      </c>
      <c r="P54" s="61" t="str">
        <f aca="false">IF($D54="","",K54+M54+N54+O54)</f>
        <v/>
      </c>
      <c r="Q54" s="60" t="str">
        <f aca="false">IF($D54="","",IFERROR(MATCH($D54,Items!$A$5:$A$504,0),""))</f>
        <v/>
      </c>
      <c r="R54" s="60" t="str">
        <f aca="false">IF($C54="","",IFERROR(MATCH($C54,Parties!$A$5:$A$304,0),""))</f>
        <v/>
      </c>
      <c r="S54" s="61" t="str">
        <f aca="false">IF($D54="","",IF(OR($H54="",$H54="Credit"),0,P54))</f>
        <v/>
      </c>
    </row>
    <row r="55" customFormat="false" ht="15" hidden="false" customHeight="false" outlineLevel="0" collapsed="false">
      <c r="A55" s="55"/>
      <c r="B55" s="56"/>
      <c r="C55" s="56"/>
      <c r="D55" s="56"/>
      <c r="E55" s="57"/>
      <c r="F55" s="58"/>
      <c r="G55" s="59"/>
      <c r="H55" s="56"/>
      <c r="I55" s="60" t="str">
        <f aca="false">IF($D55="","",IFERROR(INDEX(Items!$D$5:$D$504,Q55),""))</f>
        <v/>
      </c>
      <c r="J55" s="61" t="str">
        <f aca="false">IF($D55="","",IF($F55="",IFERROR(INDEX(Items!$G$5:$G$504,Q55),0),$F55))</f>
        <v/>
      </c>
      <c r="K55" s="61" t="str">
        <f aca="false">IF($D55="","",ROUND(N($E55)*J55*(1-N($G55)),2))</f>
        <v/>
      </c>
      <c r="L55" s="62" t="str">
        <f aca="false">IF($D55="","",IFERROR(INDEX(Items!$F$5:$F$504,Q55),0))</f>
        <v/>
      </c>
      <c r="M55" s="61" t="str">
        <f aca="false">IF($D55="","",IF(AND(R55&lt;&gt;"",INDEX(Parties!$E$5:$E$304,R55)&lt;&gt;"",INDEX(Parties!$E$5:$E$304,R55)&lt;&gt;HomeState),0,ROUND(K55*L55/2,2)))</f>
        <v/>
      </c>
      <c r="N55" s="61" t="str">
        <f aca="false">IF($D55="","",M55)</f>
        <v/>
      </c>
      <c r="O55" s="61" t="str">
        <f aca="false">IF($D55="","",IF(AND(R55&lt;&gt;"",INDEX(Parties!$E$5:$E$304,R55)&lt;&gt;"",INDEX(Parties!$E$5:$E$304,R55)&lt;&gt;HomeState),ROUND(K55*L55,2),0))</f>
        <v/>
      </c>
      <c r="P55" s="61" t="str">
        <f aca="false">IF($D55="","",K55+M55+N55+O55)</f>
        <v/>
      </c>
      <c r="Q55" s="60" t="str">
        <f aca="false">IF($D55="","",IFERROR(MATCH($D55,Items!$A$5:$A$504,0),""))</f>
        <v/>
      </c>
      <c r="R55" s="60" t="str">
        <f aca="false">IF($C55="","",IFERROR(MATCH($C55,Parties!$A$5:$A$304,0),""))</f>
        <v/>
      </c>
      <c r="S55" s="61" t="str">
        <f aca="false">IF($D55="","",IF(OR($H55="",$H55="Credit"),0,P55))</f>
        <v/>
      </c>
    </row>
    <row r="56" customFormat="false" ht="15" hidden="false" customHeight="false" outlineLevel="0" collapsed="false">
      <c r="A56" s="55"/>
      <c r="B56" s="56"/>
      <c r="C56" s="56"/>
      <c r="D56" s="56"/>
      <c r="E56" s="57"/>
      <c r="F56" s="58"/>
      <c r="G56" s="59"/>
      <c r="H56" s="56"/>
      <c r="I56" s="60" t="str">
        <f aca="false">IF($D56="","",IFERROR(INDEX(Items!$D$5:$D$504,Q56),""))</f>
        <v/>
      </c>
      <c r="J56" s="61" t="str">
        <f aca="false">IF($D56="","",IF($F56="",IFERROR(INDEX(Items!$G$5:$G$504,Q56),0),$F56))</f>
        <v/>
      </c>
      <c r="K56" s="61" t="str">
        <f aca="false">IF($D56="","",ROUND(N($E56)*J56*(1-N($G56)),2))</f>
        <v/>
      </c>
      <c r="L56" s="62" t="str">
        <f aca="false">IF($D56="","",IFERROR(INDEX(Items!$F$5:$F$504,Q56),0))</f>
        <v/>
      </c>
      <c r="M56" s="61" t="str">
        <f aca="false">IF($D56="","",IF(AND(R56&lt;&gt;"",INDEX(Parties!$E$5:$E$304,R56)&lt;&gt;"",INDEX(Parties!$E$5:$E$304,R56)&lt;&gt;HomeState),0,ROUND(K56*L56/2,2)))</f>
        <v/>
      </c>
      <c r="N56" s="61" t="str">
        <f aca="false">IF($D56="","",M56)</f>
        <v/>
      </c>
      <c r="O56" s="61" t="str">
        <f aca="false">IF($D56="","",IF(AND(R56&lt;&gt;"",INDEX(Parties!$E$5:$E$304,R56)&lt;&gt;"",INDEX(Parties!$E$5:$E$304,R56)&lt;&gt;HomeState),ROUND(K56*L56,2),0))</f>
        <v/>
      </c>
      <c r="P56" s="61" t="str">
        <f aca="false">IF($D56="","",K56+M56+N56+O56)</f>
        <v/>
      </c>
      <c r="Q56" s="60" t="str">
        <f aca="false">IF($D56="","",IFERROR(MATCH($D56,Items!$A$5:$A$504,0),""))</f>
        <v/>
      </c>
      <c r="R56" s="60" t="str">
        <f aca="false">IF($C56="","",IFERROR(MATCH($C56,Parties!$A$5:$A$304,0),""))</f>
        <v/>
      </c>
      <c r="S56" s="61" t="str">
        <f aca="false">IF($D56="","",IF(OR($H56="",$H56="Credit"),0,P56))</f>
        <v/>
      </c>
    </row>
    <row r="57" customFormat="false" ht="15" hidden="false" customHeight="false" outlineLevel="0" collapsed="false">
      <c r="A57" s="55"/>
      <c r="B57" s="56"/>
      <c r="C57" s="56"/>
      <c r="D57" s="56"/>
      <c r="E57" s="57"/>
      <c r="F57" s="58"/>
      <c r="G57" s="59"/>
      <c r="H57" s="56"/>
      <c r="I57" s="60" t="str">
        <f aca="false">IF($D57="","",IFERROR(INDEX(Items!$D$5:$D$504,Q57),""))</f>
        <v/>
      </c>
      <c r="J57" s="61" t="str">
        <f aca="false">IF($D57="","",IF($F57="",IFERROR(INDEX(Items!$G$5:$G$504,Q57),0),$F57))</f>
        <v/>
      </c>
      <c r="K57" s="61" t="str">
        <f aca="false">IF($D57="","",ROUND(N($E57)*J57*(1-N($G57)),2))</f>
        <v/>
      </c>
      <c r="L57" s="62" t="str">
        <f aca="false">IF($D57="","",IFERROR(INDEX(Items!$F$5:$F$504,Q57),0))</f>
        <v/>
      </c>
      <c r="M57" s="61" t="str">
        <f aca="false">IF($D57="","",IF(AND(R57&lt;&gt;"",INDEX(Parties!$E$5:$E$304,R57)&lt;&gt;"",INDEX(Parties!$E$5:$E$304,R57)&lt;&gt;HomeState),0,ROUND(K57*L57/2,2)))</f>
        <v/>
      </c>
      <c r="N57" s="61" t="str">
        <f aca="false">IF($D57="","",M57)</f>
        <v/>
      </c>
      <c r="O57" s="61" t="str">
        <f aca="false">IF($D57="","",IF(AND(R57&lt;&gt;"",INDEX(Parties!$E$5:$E$304,R57)&lt;&gt;"",INDEX(Parties!$E$5:$E$304,R57)&lt;&gt;HomeState),ROUND(K57*L57,2),0))</f>
        <v/>
      </c>
      <c r="P57" s="61" t="str">
        <f aca="false">IF($D57="","",K57+M57+N57+O57)</f>
        <v/>
      </c>
      <c r="Q57" s="60" t="str">
        <f aca="false">IF($D57="","",IFERROR(MATCH($D57,Items!$A$5:$A$504,0),""))</f>
        <v/>
      </c>
      <c r="R57" s="60" t="str">
        <f aca="false">IF($C57="","",IFERROR(MATCH($C57,Parties!$A$5:$A$304,0),""))</f>
        <v/>
      </c>
      <c r="S57" s="61" t="str">
        <f aca="false">IF($D57="","",IF(OR($H57="",$H57="Credit"),0,P57))</f>
        <v/>
      </c>
    </row>
    <row r="58" customFormat="false" ht="15" hidden="false" customHeight="false" outlineLevel="0" collapsed="false">
      <c r="A58" s="55"/>
      <c r="B58" s="56"/>
      <c r="C58" s="56"/>
      <c r="D58" s="56"/>
      <c r="E58" s="57"/>
      <c r="F58" s="58"/>
      <c r="G58" s="59"/>
      <c r="H58" s="56"/>
      <c r="I58" s="60" t="str">
        <f aca="false">IF($D58="","",IFERROR(INDEX(Items!$D$5:$D$504,Q58),""))</f>
        <v/>
      </c>
      <c r="J58" s="61" t="str">
        <f aca="false">IF($D58="","",IF($F58="",IFERROR(INDEX(Items!$G$5:$G$504,Q58),0),$F58))</f>
        <v/>
      </c>
      <c r="K58" s="61" t="str">
        <f aca="false">IF($D58="","",ROUND(N($E58)*J58*(1-N($G58)),2))</f>
        <v/>
      </c>
      <c r="L58" s="62" t="str">
        <f aca="false">IF($D58="","",IFERROR(INDEX(Items!$F$5:$F$504,Q58),0))</f>
        <v/>
      </c>
      <c r="M58" s="61" t="str">
        <f aca="false">IF($D58="","",IF(AND(R58&lt;&gt;"",INDEX(Parties!$E$5:$E$304,R58)&lt;&gt;"",INDEX(Parties!$E$5:$E$304,R58)&lt;&gt;HomeState),0,ROUND(K58*L58/2,2)))</f>
        <v/>
      </c>
      <c r="N58" s="61" t="str">
        <f aca="false">IF($D58="","",M58)</f>
        <v/>
      </c>
      <c r="O58" s="61" t="str">
        <f aca="false">IF($D58="","",IF(AND(R58&lt;&gt;"",INDEX(Parties!$E$5:$E$304,R58)&lt;&gt;"",INDEX(Parties!$E$5:$E$304,R58)&lt;&gt;HomeState),ROUND(K58*L58,2),0))</f>
        <v/>
      </c>
      <c r="P58" s="61" t="str">
        <f aca="false">IF($D58="","",K58+M58+N58+O58)</f>
        <v/>
      </c>
      <c r="Q58" s="60" t="str">
        <f aca="false">IF($D58="","",IFERROR(MATCH($D58,Items!$A$5:$A$504,0),""))</f>
        <v/>
      </c>
      <c r="R58" s="60" t="str">
        <f aca="false">IF($C58="","",IFERROR(MATCH($C58,Parties!$A$5:$A$304,0),""))</f>
        <v/>
      </c>
      <c r="S58" s="61" t="str">
        <f aca="false">IF($D58="","",IF(OR($H58="",$H58="Credit"),0,P58))</f>
        <v/>
      </c>
    </row>
    <row r="59" customFormat="false" ht="15" hidden="false" customHeight="false" outlineLevel="0" collapsed="false">
      <c r="A59" s="55"/>
      <c r="B59" s="56"/>
      <c r="C59" s="56"/>
      <c r="D59" s="56"/>
      <c r="E59" s="57"/>
      <c r="F59" s="58"/>
      <c r="G59" s="59"/>
      <c r="H59" s="56"/>
      <c r="I59" s="60" t="str">
        <f aca="false">IF($D59="","",IFERROR(INDEX(Items!$D$5:$D$504,Q59),""))</f>
        <v/>
      </c>
      <c r="J59" s="61" t="str">
        <f aca="false">IF($D59="","",IF($F59="",IFERROR(INDEX(Items!$G$5:$G$504,Q59),0),$F59))</f>
        <v/>
      </c>
      <c r="K59" s="61" t="str">
        <f aca="false">IF($D59="","",ROUND(N($E59)*J59*(1-N($G59)),2))</f>
        <v/>
      </c>
      <c r="L59" s="62" t="str">
        <f aca="false">IF($D59="","",IFERROR(INDEX(Items!$F$5:$F$504,Q59),0))</f>
        <v/>
      </c>
      <c r="M59" s="61" t="str">
        <f aca="false">IF($D59="","",IF(AND(R59&lt;&gt;"",INDEX(Parties!$E$5:$E$304,R59)&lt;&gt;"",INDEX(Parties!$E$5:$E$304,R59)&lt;&gt;HomeState),0,ROUND(K59*L59/2,2)))</f>
        <v/>
      </c>
      <c r="N59" s="61" t="str">
        <f aca="false">IF($D59="","",M59)</f>
        <v/>
      </c>
      <c r="O59" s="61" t="str">
        <f aca="false">IF($D59="","",IF(AND(R59&lt;&gt;"",INDEX(Parties!$E$5:$E$304,R59)&lt;&gt;"",INDEX(Parties!$E$5:$E$304,R59)&lt;&gt;HomeState),ROUND(K59*L59,2),0))</f>
        <v/>
      </c>
      <c r="P59" s="61" t="str">
        <f aca="false">IF($D59="","",K59+M59+N59+O59)</f>
        <v/>
      </c>
      <c r="Q59" s="60" t="str">
        <f aca="false">IF($D59="","",IFERROR(MATCH($D59,Items!$A$5:$A$504,0),""))</f>
        <v/>
      </c>
      <c r="R59" s="60" t="str">
        <f aca="false">IF($C59="","",IFERROR(MATCH($C59,Parties!$A$5:$A$304,0),""))</f>
        <v/>
      </c>
      <c r="S59" s="61" t="str">
        <f aca="false">IF($D59="","",IF(OR($H59="",$H59="Credit"),0,P59))</f>
        <v/>
      </c>
    </row>
    <row r="60" customFormat="false" ht="15" hidden="false" customHeight="false" outlineLevel="0" collapsed="false">
      <c r="A60" s="55"/>
      <c r="B60" s="56"/>
      <c r="C60" s="56"/>
      <c r="D60" s="56"/>
      <c r="E60" s="57"/>
      <c r="F60" s="58"/>
      <c r="G60" s="59"/>
      <c r="H60" s="56"/>
      <c r="I60" s="60" t="str">
        <f aca="false">IF($D60="","",IFERROR(INDEX(Items!$D$5:$D$504,Q60),""))</f>
        <v/>
      </c>
      <c r="J60" s="61" t="str">
        <f aca="false">IF($D60="","",IF($F60="",IFERROR(INDEX(Items!$G$5:$G$504,Q60),0),$F60))</f>
        <v/>
      </c>
      <c r="K60" s="61" t="str">
        <f aca="false">IF($D60="","",ROUND(N($E60)*J60*(1-N($G60)),2))</f>
        <v/>
      </c>
      <c r="L60" s="62" t="str">
        <f aca="false">IF($D60="","",IFERROR(INDEX(Items!$F$5:$F$504,Q60),0))</f>
        <v/>
      </c>
      <c r="M60" s="61" t="str">
        <f aca="false">IF($D60="","",IF(AND(R60&lt;&gt;"",INDEX(Parties!$E$5:$E$304,R60)&lt;&gt;"",INDEX(Parties!$E$5:$E$304,R60)&lt;&gt;HomeState),0,ROUND(K60*L60/2,2)))</f>
        <v/>
      </c>
      <c r="N60" s="61" t="str">
        <f aca="false">IF($D60="","",M60)</f>
        <v/>
      </c>
      <c r="O60" s="61" t="str">
        <f aca="false">IF($D60="","",IF(AND(R60&lt;&gt;"",INDEX(Parties!$E$5:$E$304,R60)&lt;&gt;"",INDEX(Parties!$E$5:$E$304,R60)&lt;&gt;HomeState),ROUND(K60*L60,2),0))</f>
        <v/>
      </c>
      <c r="P60" s="61" t="str">
        <f aca="false">IF($D60="","",K60+M60+N60+O60)</f>
        <v/>
      </c>
      <c r="Q60" s="60" t="str">
        <f aca="false">IF($D60="","",IFERROR(MATCH($D60,Items!$A$5:$A$504,0),""))</f>
        <v/>
      </c>
      <c r="R60" s="60" t="str">
        <f aca="false">IF($C60="","",IFERROR(MATCH($C60,Parties!$A$5:$A$304,0),""))</f>
        <v/>
      </c>
      <c r="S60" s="61" t="str">
        <f aca="false">IF($D60="","",IF(OR($H60="",$H60="Credit"),0,P60))</f>
        <v/>
      </c>
    </row>
    <row r="61" customFormat="false" ht="15" hidden="false" customHeight="false" outlineLevel="0" collapsed="false">
      <c r="A61" s="55"/>
      <c r="B61" s="56"/>
      <c r="C61" s="56"/>
      <c r="D61" s="56"/>
      <c r="E61" s="57"/>
      <c r="F61" s="58"/>
      <c r="G61" s="59"/>
      <c r="H61" s="56"/>
      <c r="I61" s="60" t="str">
        <f aca="false">IF($D61="","",IFERROR(INDEX(Items!$D$5:$D$504,Q61),""))</f>
        <v/>
      </c>
      <c r="J61" s="61" t="str">
        <f aca="false">IF($D61="","",IF($F61="",IFERROR(INDEX(Items!$G$5:$G$504,Q61),0),$F61))</f>
        <v/>
      </c>
      <c r="K61" s="61" t="str">
        <f aca="false">IF($D61="","",ROUND(N($E61)*J61*(1-N($G61)),2))</f>
        <v/>
      </c>
      <c r="L61" s="62" t="str">
        <f aca="false">IF($D61="","",IFERROR(INDEX(Items!$F$5:$F$504,Q61),0))</f>
        <v/>
      </c>
      <c r="M61" s="61" t="str">
        <f aca="false">IF($D61="","",IF(AND(R61&lt;&gt;"",INDEX(Parties!$E$5:$E$304,R61)&lt;&gt;"",INDEX(Parties!$E$5:$E$304,R61)&lt;&gt;HomeState),0,ROUND(K61*L61/2,2)))</f>
        <v/>
      </c>
      <c r="N61" s="61" t="str">
        <f aca="false">IF($D61="","",M61)</f>
        <v/>
      </c>
      <c r="O61" s="61" t="str">
        <f aca="false">IF($D61="","",IF(AND(R61&lt;&gt;"",INDEX(Parties!$E$5:$E$304,R61)&lt;&gt;"",INDEX(Parties!$E$5:$E$304,R61)&lt;&gt;HomeState),ROUND(K61*L61,2),0))</f>
        <v/>
      </c>
      <c r="P61" s="61" t="str">
        <f aca="false">IF($D61="","",K61+M61+N61+O61)</f>
        <v/>
      </c>
      <c r="Q61" s="60" t="str">
        <f aca="false">IF($D61="","",IFERROR(MATCH($D61,Items!$A$5:$A$504,0),""))</f>
        <v/>
      </c>
      <c r="R61" s="60" t="str">
        <f aca="false">IF($C61="","",IFERROR(MATCH($C61,Parties!$A$5:$A$304,0),""))</f>
        <v/>
      </c>
      <c r="S61" s="61" t="str">
        <f aca="false">IF($D61="","",IF(OR($H61="",$H61="Credit"),0,P61))</f>
        <v/>
      </c>
    </row>
    <row r="62" customFormat="false" ht="15" hidden="false" customHeight="false" outlineLevel="0" collapsed="false">
      <c r="A62" s="55"/>
      <c r="B62" s="56"/>
      <c r="C62" s="56"/>
      <c r="D62" s="56"/>
      <c r="E62" s="57"/>
      <c r="F62" s="58"/>
      <c r="G62" s="59"/>
      <c r="H62" s="56"/>
      <c r="I62" s="60" t="str">
        <f aca="false">IF($D62="","",IFERROR(INDEX(Items!$D$5:$D$504,Q62),""))</f>
        <v/>
      </c>
      <c r="J62" s="61" t="str">
        <f aca="false">IF($D62="","",IF($F62="",IFERROR(INDEX(Items!$G$5:$G$504,Q62),0),$F62))</f>
        <v/>
      </c>
      <c r="K62" s="61" t="str">
        <f aca="false">IF($D62="","",ROUND(N($E62)*J62*(1-N($G62)),2))</f>
        <v/>
      </c>
      <c r="L62" s="62" t="str">
        <f aca="false">IF($D62="","",IFERROR(INDEX(Items!$F$5:$F$504,Q62),0))</f>
        <v/>
      </c>
      <c r="M62" s="61" t="str">
        <f aca="false">IF($D62="","",IF(AND(R62&lt;&gt;"",INDEX(Parties!$E$5:$E$304,R62)&lt;&gt;"",INDEX(Parties!$E$5:$E$304,R62)&lt;&gt;HomeState),0,ROUND(K62*L62/2,2)))</f>
        <v/>
      </c>
      <c r="N62" s="61" t="str">
        <f aca="false">IF($D62="","",M62)</f>
        <v/>
      </c>
      <c r="O62" s="61" t="str">
        <f aca="false">IF($D62="","",IF(AND(R62&lt;&gt;"",INDEX(Parties!$E$5:$E$304,R62)&lt;&gt;"",INDEX(Parties!$E$5:$E$304,R62)&lt;&gt;HomeState),ROUND(K62*L62,2),0))</f>
        <v/>
      </c>
      <c r="P62" s="61" t="str">
        <f aca="false">IF($D62="","",K62+M62+N62+O62)</f>
        <v/>
      </c>
      <c r="Q62" s="60" t="str">
        <f aca="false">IF($D62="","",IFERROR(MATCH($D62,Items!$A$5:$A$504,0),""))</f>
        <v/>
      </c>
      <c r="R62" s="60" t="str">
        <f aca="false">IF($C62="","",IFERROR(MATCH($C62,Parties!$A$5:$A$304,0),""))</f>
        <v/>
      </c>
      <c r="S62" s="61" t="str">
        <f aca="false">IF($D62="","",IF(OR($H62="",$H62="Credit"),0,P62))</f>
        <v/>
      </c>
    </row>
    <row r="63" customFormat="false" ht="15" hidden="false" customHeight="false" outlineLevel="0" collapsed="false">
      <c r="A63" s="55"/>
      <c r="B63" s="56"/>
      <c r="C63" s="56"/>
      <c r="D63" s="56"/>
      <c r="E63" s="57"/>
      <c r="F63" s="58"/>
      <c r="G63" s="59"/>
      <c r="H63" s="56"/>
      <c r="I63" s="60" t="str">
        <f aca="false">IF($D63="","",IFERROR(INDEX(Items!$D$5:$D$504,Q63),""))</f>
        <v/>
      </c>
      <c r="J63" s="61" t="str">
        <f aca="false">IF($D63="","",IF($F63="",IFERROR(INDEX(Items!$G$5:$G$504,Q63),0),$F63))</f>
        <v/>
      </c>
      <c r="K63" s="61" t="str">
        <f aca="false">IF($D63="","",ROUND(N($E63)*J63*(1-N($G63)),2))</f>
        <v/>
      </c>
      <c r="L63" s="62" t="str">
        <f aca="false">IF($D63="","",IFERROR(INDEX(Items!$F$5:$F$504,Q63),0))</f>
        <v/>
      </c>
      <c r="M63" s="61" t="str">
        <f aca="false">IF($D63="","",IF(AND(R63&lt;&gt;"",INDEX(Parties!$E$5:$E$304,R63)&lt;&gt;"",INDEX(Parties!$E$5:$E$304,R63)&lt;&gt;HomeState),0,ROUND(K63*L63/2,2)))</f>
        <v/>
      </c>
      <c r="N63" s="61" t="str">
        <f aca="false">IF($D63="","",M63)</f>
        <v/>
      </c>
      <c r="O63" s="61" t="str">
        <f aca="false">IF($D63="","",IF(AND(R63&lt;&gt;"",INDEX(Parties!$E$5:$E$304,R63)&lt;&gt;"",INDEX(Parties!$E$5:$E$304,R63)&lt;&gt;HomeState),ROUND(K63*L63,2),0))</f>
        <v/>
      </c>
      <c r="P63" s="61" t="str">
        <f aca="false">IF($D63="","",K63+M63+N63+O63)</f>
        <v/>
      </c>
      <c r="Q63" s="60" t="str">
        <f aca="false">IF($D63="","",IFERROR(MATCH($D63,Items!$A$5:$A$504,0),""))</f>
        <v/>
      </c>
      <c r="R63" s="60" t="str">
        <f aca="false">IF($C63="","",IFERROR(MATCH($C63,Parties!$A$5:$A$304,0),""))</f>
        <v/>
      </c>
      <c r="S63" s="61" t="str">
        <f aca="false">IF($D63="","",IF(OR($H63="",$H63="Credit"),0,P63))</f>
        <v/>
      </c>
    </row>
    <row r="64" customFormat="false" ht="15" hidden="false" customHeight="false" outlineLevel="0" collapsed="false">
      <c r="A64" s="55"/>
      <c r="B64" s="56"/>
      <c r="C64" s="56"/>
      <c r="D64" s="56"/>
      <c r="E64" s="57"/>
      <c r="F64" s="58"/>
      <c r="G64" s="59"/>
      <c r="H64" s="56"/>
      <c r="I64" s="60" t="str">
        <f aca="false">IF($D64="","",IFERROR(INDEX(Items!$D$5:$D$504,Q64),""))</f>
        <v/>
      </c>
      <c r="J64" s="61" t="str">
        <f aca="false">IF($D64="","",IF($F64="",IFERROR(INDEX(Items!$G$5:$G$504,Q64),0),$F64))</f>
        <v/>
      </c>
      <c r="K64" s="61" t="str">
        <f aca="false">IF($D64="","",ROUND(N($E64)*J64*(1-N($G64)),2))</f>
        <v/>
      </c>
      <c r="L64" s="62" t="str">
        <f aca="false">IF($D64="","",IFERROR(INDEX(Items!$F$5:$F$504,Q64),0))</f>
        <v/>
      </c>
      <c r="M64" s="61" t="str">
        <f aca="false">IF($D64="","",IF(AND(R64&lt;&gt;"",INDEX(Parties!$E$5:$E$304,R64)&lt;&gt;"",INDEX(Parties!$E$5:$E$304,R64)&lt;&gt;HomeState),0,ROUND(K64*L64/2,2)))</f>
        <v/>
      </c>
      <c r="N64" s="61" t="str">
        <f aca="false">IF($D64="","",M64)</f>
        <v/>
      </c>
      <c r="O64" s="61" t="str">
        <f aca="false">IF($D64="","",IF(AND(R64&lt;&gt;"",INDEX(Parties!$E$5:$E$304,R64)&lt;&gt;"",INDEX(Parties!$E$5:$E$304,R64)&lt;&gt;HomeState),ROUND(K64*L64,2),0))</f>
        <v/>
      </c>
      <c r="P64" s="61" t="str">
        <f aca="false">IF($D64="","",K64+M64+N64+O64)</f>
        <v/>
      </c>
      <c r="Q64" s="60" t="str">
        <f aca="false">IF($D64="","",IFERROR(MATCH($D64,Items!$A$5:$A$504,0),""))</f>
        <v/>
      </c>
      <c r="R64" s="60" t="str">
        <f aca="false">IF($C64="","",IFERROR(MATCH($C64,Parties!$A$5:$A$304,0),""))</f>
        <v/>
      </c>
      <c r="S64" s="61" t="str">
        <f aca="false">IF($D64="","",IF(OR($H64="",$H64="Credit"),0,P64))</f>
        <v/>
      </c>
    </row>
    <row r="65" customFormat="false" ht="15" hidden="false" customHeight="false" outlineLevel="0" collapsed="false">
      <c r="A65" s="55"/>
      <c r="B65" s="56"/>
      <c r="C65" s="56"/>
      <c r="D65" s="56"/>
      <c r="E65" s="57"/>
      <c r="F65" s="58"/>
      <c r="G65" s="59"/>
      <c r="H65" s="56"/>
      <c r="I65" s="60" t="str">
        <f aca="false">IF($D65="","",IFERROR(INDEX(Items!$D$5:$D$504,Q65),""))</f>
        <v/>
      </c>
      <c r="J65" s="61" t="str">
        <f aca="false">IF($D65="","",IF($F65="",IFERROR(INDEX(Items!$G$5:$G$504,Q65),0),$F65))</f>
        <v/>
      </c>
      <c r="K65" s="61" t="str">
        <f aca="false">IF($D65="","",ROUND(N($E65)*J65*(1-N($G65)),2))</f>
        <v/>
      </c>
      <c r="L65" s="62" t="str">
        <f aca="false">IF($D65="","",IFERROR(INDEX(Items!$F$5:$F$504,Q65),0))</f>
        <v/>
      </c>
      <c r="M65" s="61" t="str">
        <f aca="false">IF($D65="","",IF(AND(R65&lt;&gt;"",INDEX(Parties!$E$5:$E$304,R65)&lt;&gt;"",INDEX(Parties!$E$5:$E$304,R65)&lt;&gt;HomeState),0,ROUND(K65*L65/2,2)))</f>
        <v/>
      </c>
      <c r="N65" s="61" t="str">
        <f aca="false">IF($D65="","",M65)</f>
        <v/>
      </c>
      <c r="O65" s="61" t="str">
        <f aca="false">IF($D65="","",IF(AND(R65&lt;&gt;"",INDEX(Parties!$E$5:$E$304,R65)&lt;&gt;"",INDEX(Parties!$E$5:$E$304,R65)&lt;&gt;HomeState),ROUND(K65*L65,2),0))</f>
        <v/>
      </c>
      <c r="P65" s="61" t="str">
        <f aca="false">IF($D65="","",K65+M65+N65+O65)</f>
        <v/>
      </c>
      <c r="Q65" s="60" t="str">
        <f aca="false">IF($D65="","",IFERROR(MATCH($D65,Items!$A$5:$A$504,0),""))</f>
        <v/>
      </c>
      <c r="R65" s="60" t="str">
        <f aca="false">IF($C65="","",IFERROR(MATCH($C65,Parties!$A$5:$A$304,0),""))</f>
        <v/>
      </c>
      <c r="S65" s="61" t="str">
        <f aca="false">IF($D65="","",IF(OR($H65="",$H65="Credit"),0,P65))</f>
        <v/>
      </c>
    </row>
    <row r="66" customFormat="false" ht="15" hidden="false" customHeight="false" outlineLevel="0" collapsed="false">
      <c r="A66" s="55"/>
      <c r="B66" s="56"/>
      <c r="C66" s="56"/>
      <c r="D66" s="56"/>
      <c r="E66" s="57"/>
      <c r="F66" s="58"/>
      <c r="G66" s="59"/>
      <c r="H66" s="56"/>
      <c r="I66" s="60" t="str">
        <f aca="false">IF($D66="","",IFERROR(INDEX(Items!$D$5:$D$504,Q66),""))</f>
        <v/>
      </c>
      <c r="J66" s="61" t="str">
        <f aca="false">IF($D66="","",IF($F66="",IFERROR(INDEX(Items!$G$5:$G$504,Q66),0),$F66))</f>
        <v/>
      </c>
      <c r="K66" s="61" t="str">
        <f aca="false">IF($D66="","",ROUND(N($E66)*J66*(1-N($G66)),2))</f>
        <v/>
      </c>
      <c r="L66" s="62" t="str">
        <f aca="false">IF($D66="","",IFERROR(INDEX(Items!$F$5:$F$504,Q66),0))</f>
        <v/>
      </c>
      <c r="M66" s="61" t="str">
        <f aca="false">IF($D66="","",IF(AND(R66&lt;&gt;"",INDEX(Parties!$E$5:$E$304,R66)&lt;&gt;"",INDEX(Parties!$E$5:$E$304,R66)&lt;&gt;HomeState),0,ROUND(K66*L66/2,2)))</f>
        <v/>
      </c>
      <c r="N66" s="61" t="str">
        <f aca="false">IF($D66="","",M66)</f>
        <v/>
      </c>
      <c r="O66" s="61" t="str">
        <f aca="false">IF($D66="","",IF(AND(R66&lt;&gt;"",INDEX(Parties!$E$5:$E$304,R66)&lt;&gt;"",INDEX(Parties!$E$5:$E$304,R66)&lt;&gt;HomeState),ROUND(K66*L66,2),0))</f>
        <v/>
      </c>
      <c r="P66" s="61" t="str">
        <f aca="false">IF($D66="","",K66+M66+N66+O66)</f>
        <v/>
      </c>
      <c r="Q66" s="60" t="str">
        <f aca="false">IF($D66="","",IFERROR(MATCH($D66,Items!$A$5:$A$504,0),""))</f>
        <v/>
      </c>
      <c r="R66" s="60" t="str">
        <f aca="false">IF($C66="","",IFERROR(MATCH($C66,Parties!$A$5:$A$304,0),""))</f>
        <v/>
      </c>
      <c r="S66" s="61" t="str">
        <f aca="false">IF($D66="","",IF(OR($H66="",$H66="Credit"),0,P66))</f>
        <v/>
      </c>
    </row>
    <row r="67" customFormat="false" ht="15" hidden="false" customHeight="false" outlineLevel="0" collapsed="false">
      <c r="A67" s="55"/>
      <c r="B67" s="56"/>
      <c r="C67" s="56"/>
      <c r="D67" s="56"/>
      <c r="E67" s="57"/>
      <c r="F67" s="58"/>
      <c r="G67" s="59"/>
      <c r="H67" s="56"/>
      <c r="I67" s="60" t="str">
        <f aca="false">IF($D67="","",IFERROR(INDEX(Items!$D$5:$D$504,Q67),""))</f>
        <v/>
      </c>
      <c r="J67" s="61" t="str">
        <f aca="false">IF($D67="","",IF($F67="",IFERROR(INDEX(Items!$G$5:$G$504,Q67),0),$F67))</f>
        <v/>
      </c>
      <c r="K67" s="61" t="str">
        <f aca="false">IF($D67="","",ROUND(N($E67)*J67*(1-N($G67)),2))</f>
        <v/>
      </c>
      <c r="L67" s="62" t="str">
        <f aca="false">IF($D67="","",IFERROR(INDEX(Items!$F$5:$F$504,Q67),0))</f>
        <v/>
      </c>
      <c r="M67" s="61" t="str">
        <f aca="false">IF($D67="","",IF(AND(R67&lt;&gt;"",INDEX(Parties!$E$5:$E$304,R67)&lt;&gt;"",INDEX(Parties!$E$5:$E$304,R67)&lt;&gt;HomeState),0,ROUND(K67*L67/2,2)))</f>
        <v/>
      </c>
      <c r="N67" s="61" t="str">
        <f aca="false">IF($D67="","",M67)</f>
        <v/>
      </c>
      <c r="O67" s="61" t="str">
        <f aca="false">IF($D67="","",IF(AND(R67&lt;&gt;"",INDEX(Parties!$E$5:$E$304,R67)&lt;&gt;"",INDEX(Parties!$E$5:$E$304,R67)&lt;&gt;HomeState),ROUND(K67*L67,2),0))</f>
        <v/>
      </c>
      <c r="P67" s="61" t="str">
        <f aca="false">IF($D67="","",K67+M67+N67+O67)</f>
        <v/>
      </c>
      <c r="Q67" s="60" t="str">
        <f aca="false">IF($D67="","",IFERROR(MATCH($D67,Items!$A$5:$A$504,0),""))</f>
        <v/>
      </c>
      <c r="R67" s="60" t="str">
        <f aca="false">IF($C67="","",IFERROR(MATCH($C67,Parties!$A$5:$A$304,0),""))</f>
        <v/>
      </c>
      <c r="S67" s="61" t="str">
        <f aca="false">IF($D67="","",IF(OR($H67="",$H67="Credit"),0,P67))</f>
        <v/>
      </c>
    </row>
    <row r="68" customFormat="false" ht="15" hidden="false" customHeight="false" outlineLevel="0" collapsed="false">
      <c r="A68" s="55"/>
      <c r="B68" s="56"/>
      <c r="C68" s="56"/>
      <c r="D68" s="56"/>
      <c r="E68" s="57"/>
      <c r="F68" s="58"/>
      <c r="G68" s="59"/>
      <c r="H68" s="56"/>
      <c r="I68" s="60" t="str">
        <f aca="false">IF($D68="","",IFERROR(INDEX(Items!$D$5:$D$504,Q68),""))</f>
        <v/>
      </c>
      <c r="J68" s="61" t="str">
        <f aca="false">IF($D68="","",IF($F68="",IFERROR(INDEX(Items!$G$5:$G$504,Q68),0),$F68))</f>
        <v/>
      </c>
      <c r="K68" s="61" t="str">
        <f aca="false">IF($D68="","",ROUND(N($E68)*J68*(1-N($G68)),2))</f>
        <v/>
      </c>
      <c r="L68" s="62" t="str">
        <f aca="false">IF($D68="","",IFERROR(INDEX(Items!$F$5:$F$504,Q68),0))</f>
        <v/>
      </c>
      <c r="M68" s="61" t="str">
        <f aca="false">IF($D68="","",IF(AND(R68&lt;&gt;"",INDEX(Parties!$E$5:$E$304,R68)&lt;&gt;"",INDEX(Parties!$E$5:$E$304,R68)&lt;&gt;HomeState),0,ROUND(K68*L68/2,2)))</f>
        <v/>
      </c>
      <c r="N68" s="61" t="str">
        <f aca="false">IF($D68="","",M68)</f>
        <v/>
      </c>
      <c r="O68" s="61" t="str">
        <f aca="false">IF($D68="","",IF(AND(R68&lt;&gt;"",INDEX(Parties!$E$5:$E$304,R68)&lt;&gt;"",INDEX(Parties!$E$5:$E$304,R68)&lt;&gt;HomeState),ROUND(K68*L68,2),0))</f>
        <v/>
      </c>
      <c r="P68" s="61" t="str">
        <f aca="false">IF($D68="","",K68+M68+N68+O68)</f>
        <v/>
      </c>
      <c r="Q68" s="60" t="str">
        <f aca="false">IF($D68="","",IFERROR(MATCH($D68,Items!$A$5:$A$504,0),""))</f>
        <v/>
      </c>
      <c r="R68" s="60" t="str">
        <f aca="false">IF($C68="","",IFERROR(MATCH($C68,Parties!$A$5:$A$304,0),""))</f>
        <v/>
      </c>
      <c r="S68" s="61" t="str">
        <f aca="false">IF($D68="","",IF(OR($H68="",$H68="Credit"),0,P68))</f>
        <v/>
      </c>
    </row>
    <row r="69" customFormat="false" ht="15" hidden="false" customHeight="false" outlineLevel="0" collapsed="false">
      <c r="A69" s="55"/>
      <c r="B69" s="56"/>
      <c r="C69" s="56"/>
      <c r="D69" s="56"/>
      <c r="E69" s="57"/>
      <c r="F69" s="58"/>
      <c r="G69" s="59"/>
      <c r="H69" s="56"/>
      <c r="I69" s="60" t="str">
        <f aca="false">IF($D69="","",IFERROR(INDEX(Items!$D$5:$D$504,Q69),""))</f>
        <v/>
      </c>
      <c r="J69" s="61" t="str">
        <f aca="false">IF($D69="","",IF($F69="",IFERROR(INDEX(Items!$G$5:$G$504,Q69),0),$F69))</f>
        <v/>
      </c>
      <c r="K69" s="61" t="str">
        <f aca="false">IF($D69="","",ROUND(N($E69)*J69*(1-N($G69)),2))</f>
        <v/>
      </c>
      <c r="L69" s="62" t="str">
        <f aca="false">IF($D69="","",IFERROR(INDEX(Items!$F$5:$F$504,Q69),0))</f>
        <v/>
      </c>
      <c r="M69" s="61" t="str">
        <f aca="false">IF($D69="","",IF(AND(R69&lt;&gt;"",INDEX(Parties!$E$5:$E$304,R69)&lt;&gt;"",INDEX(Parties!$E$5:$E$304,R69)&lt;&gt;HomeState),0,ROUND(K69*L69/2,2)))</f>
        <v/>
      </c>
      <c r="N69" s="61" t="str">
        <f aca="false">IF($D69="","",M69)</f>
        <v/>
      </c>
      <c r="O69" s="61" t="str">
        <f aca="false">IF($D69="","",IF(AND(R69&lt;&gt;"",INDEX(Parties!$E$5:$E$304,R69)&lt;&gt;"",INDEX(Parties!$E$5:$E$304,R69)&lt;&gt;HomeState),ROUND(K69*L69,2),0))</f>
        <v/>
      </c>
      <c r="P69" s="61" t="str">
        <f aca="false">IF($D69="","",K69+M69+N69+O69)</f>
        <v/>
      </c>
      <c r="Q69" s="60" t="str">
        <f aca="false">IF($D69="","",IFERROR(MATCH($D69,Items!$A$5:$A$504,0),""))</f>
        <v/>
      </c>
      <c r="R69" s="60" t="str">
        <f aca="false">IF($C69="","",IFERROR(MATCH($C69,Parties!$A$5:$A$304,0),""))</f>
        <v/>
      </c>
      <c r="S69" s="61" t="str">
        <f aca="false">IF($D69="","",IF(OR($H69="",$H69="Credit"),0,P69))</f>
        <v/>
      </c>
    </row>
    <row r="70" customFormat="false" ht="15" hidden="false" customHeight="false" outlineLevel="0" collapsed="false">
      <c r="A70" s="55"/>
      <c r="B70" s="56"/>
      <c r="C70" s="56"/>
      <c r="D70" s="56"/>
      <c r="E70" s="57"/>
      <c r="F70" s="58"/>
      <c r="G70" s="59"/>
      <c r="H70" s="56"/>
      <c r="I70" s="60" t="str">
        <f aca="false">IF($D70="","",IFERROR(INDEX(Items!$D$5:$D$504,Q70),""))</f>
        <v/>
      </c>
      <c r="J70" s="61" t="str">
        <f aca="false">IF($D70="","",IF($F70="",IFERROR(INDEX(Items!$G$5:$G$504,Q70),0),$F70))</f>
        <v/>
      </c>
      <c r="K70" s="61" t="str">
        <f aca="false">IF($D70="","",ROUND(N($E70)*J70*(1-N($G70)),2))</f>
        <v/>
      </c>
      <c r="L70" s="62" t="str">
        <f aca="false">IF($D70="","",IFERROR(INDEX(Items!$F$5:$F$504,Q70),0))</f>
        <v/>
      </c>
      <c r="M70" s="61" t="str">
        <f aca="false">IF($D70="","",IF(AND(R70&lt;&gt;"",INDEX(Parties!$E$5:$E$304,R70)&lt;&gt;"",INDEX(Parties!$E$5:$E$304,R70)&lt;&gt;HomeState),0,ROUND(K70*L70/2,2)))</f>
        <v/>
      </c>
      <c r="N70" s="61" t="str">
        <f aca="false">IF($D70="","",M70)</f>
        <v/>
      </c>
      <c r="O70" s="61" t="str">
        <f aca="false">IF($D70="","",IF(AND(R70&lt;&gt;"",INDEX(Parties!$E$5:$E$304,R70)&lt;&gt;"",INDEX(Parties!$E$5:$E$304,R70)&lt;&gt;HomeState),ROUND(K70*L70,2),0))</f>
        <v/>
      </c>
      <c r="P70" s="61" t="str">
        <f aca="false">IF($D70="","",K70+M70+N70+O70)</f>
        <v/>
      </c>
      <c r="Q70" s="60" t="str">
        <f aca="false">IF($D70="","",IFERROR(MATCH($D70,Items!$A$5:$A$504,0),""))</f>
        <v/>
      </c>
      <c r="R70" s="60" t="str">
        <f aca="false">IF($C70="","",IFERROR(MATCH($C70,Parties!$A$5:$A$304,0),""))</f>
        <v/>
      </c>
      <c r="S70" s="61" t="str">
        <f aca="false">IF($D70="","",IF(OR($H70="",$H70="Credit"),0,P70))</f>
        <v/>
      </c>
    </row>
    <row r="71" customFormat="false" ht="15" hidden="false" customHeight="false" outlineLevel="0" collapsed="false">
      <c r="A71" s="55"/>
      <c r="B71" s="56"/>
      <c r="C71" s="56"/>
      <c r="D71" s="56"/>
      <c r="E71" s="57"/>
      <c r="F71" s="58"/>
      <c r="G71" s="59"/>
      <c r="H71" s="56"/>
      <c r="I71" s="60" t="str">
        <f aca="false">IF($D71="","",IFERROR(INDEX(Items!$D$5:$D$504,Q71),""))</f>
        <v/>
      </c>
      <c r="J71" s="61" t="str">
        <f aca="false">IF($D71="","",IF($F71="",IFERROR(INDEX(Items!$G$5:$G$504,Q71),0),$F71))</f>
        <v/>
      </c>
      <c r="K71" s="61" t="str">
        <f aca="false">IF($D71="","",ROUND(N($E71)*J71*(1-N($G71)),2))</f>
        <v/>
      </c>
      <c r="L71" s="62" t="str">
        <f aca="false">IF($D71="","",IFERROR(INDEX(Items!$F$5:$F$504,Q71),0))</f>
        <v/>
      </c>
      <c r="M71" s="61" t="str">
        <f aca="false">IF($D71="","",IF(AND(R71&lt;&gt;"",INDEX(Parties!$E$5:$E$304,R71)&lt;&gt;"",INDEX(Parties!$E$5:$E$304,R71)&lt;&gt;HomeState),0,ROUND(K71*L71/2,2)))</f>
        <v/>
      </c>
      <c r="N71" s="61" t="str">
        <f aca="false">IF($D71="","",M71)</f>
        <v/>
      </c>
      <c r="O71" s="61" t="str">
        <f aca="false">IF($D71="","",IF(AND(R71&lt;&gt;"",INDEX(Parties!$E$5:$E$304,R71)&lt;&gt;"",INDEX(Parties!$E$5:$E$304,R71)&lt;&gt;HomeState),ROUND(K71*L71,2),0))</f>
        <v/>
      </c>
      <c r="P71" s="61" t="str">
        <f aca="false">IF($D71="","",K71+M71+N71+O71)</f>
        <v/>
      </c>
      <c r="Q71" s="60" t="str">
        <f aca="false">IF($D71="","",IFERROR(MATCH($D71,Items!$A$5:$A$504,0),""))</f>
        <v/>
      </c>
      <c r="R71" s="60" t="str">
        <f aca="false">IF($C71="","",IFERROR(MATCH($C71,Parties!$A$5:$A$304,0),""))</f>
        <v/>
      </c>
      <c r="S71" s="61" t="str">
        <f aca="false">IF($D71="","",IF(OR($H71="",$H71="Credit"),0,P71))</f>
        <v/>
      </c>
    </row>
    <row r="72" customFormat="false" ht="15" hidden="false" customHeight="false" outlineLevel="0" collapsed="false">
      <c r="A72" s="55"/>
      <c r="B72" s="56"/>
      <c r="C72" s="56"/>
      <c r="D72" s="56"/>
      <c r="E72" s="57"/>
      <c r="F72" s="58"/>
      <c r="G72" s="59"/>
      <c r="H72" s="56"/>
      <c r="I72" s="60" t="str">
        <f aca="false">IF($D72="","",IFERROR(INDEX(Items!$D$5:$D$504,Q72),""))</f>
        <v/>
      </c>
      <c r="J72" s="61" t="str">
        <f aca="false">IF($D72="","",IF($F72="",IFERROR(INDEX(Items!$G$5:$G$504,Q72),0),$F72))</f>
        <v/>
      </c>
      <c r="K72" s="61" t="str">
        <f aca="false">IF($D72="","",ROUND(N($E72)*J72*(1-N($G72)),2))</f>
        <v/>
      </c>
      <c r="L72" s="62" t="str">
        <f aca="false">IF($D72="","",IFERROR(INDEX(Items!$F$5:$F$504,Q72),0))</f>
        <v/>
      </c>
      <c r="M72" s="61" t="str">
        <f aca="false">IF($D72="","",IF(AND(R72&lt;&gt;"",INDEX(Parties!$E$5:$E$304,R72)&lt;&gt;"",INDEX(Parties!$E$5:$E$304,R72)&lt;&gt;HomeState),0,ROUND(K72*L72/2,2)))</f>
        <v/>
      </c>
      <c r="N72" s="61" t="str">
        <f aca="false">IF($D72="","",M72)</f>
        <v/>
      </c>
      <c r="O72" s="61" t="str">
        <f aca="false">IF($D72="","",IF(AND(R72&lt;&gt;"",INDEX(Parties!$E$5:$E$304,R72)&lt;&gt;"",INDEX(Parties!$E$5:$E$304,R72)&lt;&gt;HomeState),ROUND(K72*L72,2),0))</f>
        <v/>
      </c>
      <c r="P72" s="61" t="str">
        <f aca="false">IF($D72="","",K72+M72+N72+O72)</f>
        <v/>
      </c>
      <c r="Q72" s="60" t="str">
        <f aca="false">IF($D72="","",IFERROR(MATCH($D72,Items!$A$5:$A$504,0),""))</f>
        <v/>
      </c>
      <c r="R72" s="60" t="str">
        <f aca="false">IF($C72="","",IFERROR(MATCH($C72,Parties!$A$5:$A$304,0),""))</f>
        <v/>
      </c>
      <c r="S72" s="61" t="str">
        <f aca="false">IF($D72="","",IF(OR($H72="",$H72="Credit"),0,P72))</f>
        <v/>
      </c>
    </row>
    <row r="73" customFormat="false" ht="15" hidden="false" customHeight="false" outlineLevel="0" collapsed="false">
      <c r="A73" s="55"/>
      <c r="B73" s="56"/>
      <c r="C73" s="56"/>
      <c r="D73" s="56"/>
      <c r="E73" s="57"/>
      <c r="F73" s="58"/>
      <c r="G73" s="59"/>
      <c r="H73" s="56"/>
      <c r="I73" s="60" t="str">
        <f aca="false">IF($D73="","",IFERROR(INDEX(Items!$D$5:$D$504,Q73),""))</f>
        <v/>
      </c>
      <c r="J73" s="61" t="str">
        <f aca="false">IF($D73="","",IF($F73="",IFERROR(INDEX(Items!$G$5:$G$504,Q73),0),$F73))</f>
        <v/>
      </c>
      <c r="K73" s="61" t="str">
        <f aca="false">IF($D73="","",ROUND(N($E73)*J73*(1-N($G73)),2))</f>
        <v/>
      </c>
      <c r="L73" s="62" t="str">
        <f aca="false">IF($D73="","",IFERROR(INDEX(Items!$F$5:$F$504,Q73),0))</f>
        <v/>
      </c>
      <c r="M73" s="61" t="str">
        <f aca="false">IF($D73="","",IF(AND(R73&lt;&gt;"",INDEX(Parties!$E$5:$E$304,R73)&lt;&gt;"",INDEX(Parties!$E$5:$E$304,R73)&lt;&gt;HomeState),0,ROUND(K73*L73/2,2)))</f>
        <v/>
      </c>
      <c r="N73" s="61" t="str">
        <f aca="false">IF($D73="","",M73)</f>
        <v/>
      </c>
      <c r="O73" s="61" t="str">
        <f aca="false">IF($D73="","",IF(AND(R73&lt;&gt;"",INDEX(Parties!$E$5:$E$304,R73)&lt;&gt;"",INDEX(Parties!$E$5:$E$304,R73)&lt;&gt;HomeState),ROUND(K73*L73,2),0))</f>
        <v/>
      </c>
      <c r="P73" s="61" t="str">
        <f aca="false">IF($D73="","",K73+M73+N73+O73)</f>
        <v/>
      </c>
      <c r="Q73" s="60" t="str">
        <f aca="false">IF($D73="","",IFERROR(MATCH($D73,Items!$A$5:$A$504,0),""))</f>
        <v/>
      </c>
      <c r="R73" s="60" t="str">
        <f aca="false">IF($C73="","",IFERROR(MATCH($C73,Parties!$A$5:$A$304,0),""))</f>
        <v/>
      </c>
      <c r="S73" s="61" t="str">
        <f aca="false">IF($D73="","",IF(OR($H73="",$H73="Credit"),0,P73))</f>
        <v/>
      </c>
    </row>
    <row r="74" customFormat="false" ht="15" hidden="false" customHeight="false" outlineLevel="0" collapsed="false">
      <c r="A74" s="55"/>
      <c r="B74" s="56"/>
      <c r="C74" s="56"/>
      <c r="D74" s="56"/>
      <c r="E74" s="57"/>
      <c r="F74" s="58"/>
      <c r="G74" s="59"/>
      <c r="H74" s="56"/>
      <c r="I74" s="60" t="str">
        <f aca="false">IF($D74="","",IFERROR(INDEX(Items!$D$5:$D$504,Q74),""))</f>
        <v/>
      </c>
      <c r="J74" s="61" t="str">
        <f aca="false">IF($D74="","",IF($F74="",IFERROR(INDEX(Items!$G$5:$G$504,Q74),0),$F74))</f>
        <v/>
      </c>
      <c r="K74" s="61" t="str">
        <f aca="false">IF($D74="","",ROUND(N($E74)*J74*(1-N($G74)),2))</f>
        <v/>
      </c>
      <c r="L74" s="62" t="str">
        <f aca="false">IF($D74="","",IFERROR(INDEX(Items!$F$5:$F$504,Q74),0))</f>
        <v/>
      </c>
      <c r="M74" s="61" t="str">
        <f aca="false">IF($D74="","",IF(AND(R74&lt;&gt;"",INDEX(Parties!$E$5:$E$304,R74)&lt;&gt;"",INDEX(Parties!$E$5:$E$304,R74)&lt;&gt;HomeState),0,ROUND(K74*L74/2,2)))</f>
        <v/>
      </c>
      <c r="N74" s="61" t="str">
        <f aca="false">IF($D74="","",M74)</f>
        <v/>
      </c>
      <c r="O74" s="61" t="str">
        <f aca="false">IF($D74="","",IF(AND(R74&lt;&gt;"",INDEX(Parties!$E$5:$E$304,R74)&lt;&gt;"",INDEX(Parties!$E$5:$E$304,R74)&lt;&gt;HomeState),ROUND(K74*L74,2),0))</f>
        <v/>
      </c>
      <c r="P74" s="61" t="str">
        <f aca="false">IF($D74="","",K74+M74+N74+O74)</f>
        <v/>
      </c>
      <c r="Q74" s="60" t="str">
        <f aca="false">IF($D74="","",IFERROR(MATCH($D74,Items!$A$5:$A$504,0),""))</f>
        <v/>
      </c>
      <c r="R74" s="60" t="str">
        <f aca="false">IF($C74="","",IFERROR(MATCH($C74,Parties!$A$5:$A$304,0),""))</f>
        <v/>
      </c>
      <c r="S74" s="61" t="str">
        <f aca="false">IF($D74="","",IF(OR($H74="",$H74="Credit"),0,P74))</f>
        <v/>
      </c>
    </row>
    <row r="75" customFormat="false" ht="15" hidden="false" customHeight="false" outlineLevel="0" collapsed="false">
      <c r="A75" s="55"/>
      <c r="B75" s="56"/>
      <c r="C75" s="56"/>
      <c r="D75" s="56"/>
      <c r="E75" s="57"/>
      <c r="F75" s="58"/>
      <c r="G75" s="59"/>
      <c r="H75" s="56"/>
      <c r="I75" s="60" t="str">
        <f aca="false">IF($D75="","",IFERROR(INDEX(Items!$D$5:$D$504,Q75),""))</f>
        <v/>
      </c>
      <c r="J75" s="61" t="str">
        <f aca="false">IF($D75="","",IF($F75="",IFERROR(INDEX(Items!$G$5:$G$504,Q75),0),$F75))</f>
        <v/>
      </c>
      <c r="K75" s="61" t="str">
        <f aca="false">IF($D75="","",ROUND(N($E75)*J75*(1-N($G75)),2))</f>
        <v/>
      </c>
      <c r="L75" s="62" t="str">
        <f aca="false">IF($D75="","",IFERROR(INDEX(Items!$F$5:$F$504,Q75),0))</f>
        <v/>
      </c>
      <c r="M75" s="61" t="str">
        <f aca="false">IF($D75="","",IF(AND(R75&lt;&gt;"",INDEX(Parties!$E$5:$E$304,R75)&lt;&gt;"",INDEX(Parties!$E$5:$E$304,R75)&lt;&gt;HomeState),0,ROUND(K75*L75/2,2)))</f>
        <v/>
      </c>
      <c r="N75" s="61" t="str">
        <f aca="false">IF($D75="","",M75)</f>
        <v/>
      </c>
      <c r="O75" s="61" t="str">
        <f aca="false">IF($D75="","",IF(AND(R75&lt;&gt;"",INDEX(Parties!$E$5:$E$304,R75)&lt;&gt;"",INDEX(Parties!$E$5:$E$304,R75)&lt;&gt;HomeState),ROUND(K75*L75,2),0))</f>
        <v/>
      </c>
      <c r="P75" s="61" t="str">
        <f aca="false">IF($D75="","",K75+M75+N75+O75)</f>
        <v/>
      </c>
      <c r="Q75" s="60" t="str">
        <f aca="false">IF($D75="","",IFERROR(MATCH($D75,Items!$A$5:$A$504,0),""))</f>
        <v/>
      </c>
      <c r="R75" s="60" t="str">
        <f aca="false">IF($C75="","",IFERROR(MATCH($C75,Parties!$A$5:$A$304,0),""))</f>
        <v/>
      </c>
      <c r="S75" s="61" t="str">
        <f aca="false">IF($D75="","",IF(OR($H75="",$H75="Credit"),0,P75))</f>
        <v/>
      </c>
    </row>
    <row r="76" customFormat="false" ht="15" hidden="false" customHeight="false" outlineLevel="0" collapsed="false">
      <c r="A76" s="55"/>
      <c r="B76" s="56"/>
      <c r="C76" s="56"/>
      <c r="D76" s="56"/>
      <c r="E76" s="57"/>
      <c r="F76" s="58"/>
      <c r="G76" s="59"/>
      <c r="H76" s="56"/>
      <c r="I76" s="60" t="str">
        <f aca="false">IF($D76="","",IFERROR(INDEX(Items!$D$5:$D$504,Q76),""))</f>
        <v/>
      </c>
      <c r="J76" s="61" t="str">
        <f aca="false">IF($D76="","",IF($F76="",IFERROR(INDEX(Items!$G$5:$G$504,Q76),0),$F76))</f>
        <v/>
      </c>
      <c r="K76" s="61" t="str">
        <f aca="false">IF($D76="","",ROUND(N($E76)*J76*(1-N($G76)),2))</f>
        <v/>
      </c>
      <c r="L76" s="62" t="str">
        <f aca="false">IF($D76="","",IFERROR(INDEX(Items!$F$5:$F$504,Q76),0))</f>
        <v/>
      </c>
      <c r="M76" s="61" t="str">
        <f aca="false">IF($D76="","",IF(AND(R76&lt;&gt;"",INDEX(Parties!$E$5:$E$304,R76)&lt;&gt;"",INDEX(Parties!$E$5:$E$304,R76)&lt;&gt;HomeState),0,ROUND(K76*L76/2,2)))</f>
        <v/>
      </c>
      <c r="N76" s="61" t="str">
        <f aca="false">IF($D76="","",M76)</f>
        <v/>
      </c>
      <c r="O76" s="61" t="str">
        <f aca="false">IF($D76="","",IF(AND(R76&lt;&gt;"",INDEX(Parties!$E$5:$E$304,R76)&lt;&gt;"",INDEX(Parties!$E$5:$E$304,R76)&lt;&gt;HomeState),ROUND(K76*L76,2),0))</f>
        <v/>
      </c>
      <c r="P76" s="61" t="str">
        <f aca="false">IF($D76="","",K76+M76+N76+O76)</f>
        <v/>
      </c>
      <c r="Q76" s="60" t="str">
        <f aca="false">IF($D76="","",IFERROR(MATCH($D76,Items!$A$5:$A$504,0),""))</f>
        <v/>
      </c>
      <c r="R76" s="60" t="str">
        <f aca="false">IF($C76="","",IFERROR(MATCH($C76,Parties!$A$5:$A$304,0),""))</f>
        <v/>
      </c>
      <c r="S76" s="61" t="str">
        <f aca="false">IF($D76="","",IF(OR($H76="",$H76="Credit"),0,P76))</f>
        <v/>
      </c>
    </row>
    <row r="77" customFormat="false" ht="15" hidden="false" customHeight="false" outlineLevel="0" collapsed="false">
      <c r="A77" s="55"/>
      <c r="B77" s="56"/>
      <c r="C77" s="56"/>
      <c r="D77" s="56"/>
      <c r="E77" s="57"/>
      <c r="F77" s="58"/>
      <c r="G77" s="59"/>
      <c r="H77" s="56"/>
      <c r="I77" s="60" t="str">
        <f aca="false">IF($D77="","",IFERROR(INDEX(Items!$D$5:$D$504,Q77),""))</f>
        <v/>
      </c>
      <c r="J77" s="61" t="str">
        <f aca="false">IF($D77="","",IF($F77="",IFERROR(INDEX(Items!$G$5:$G$504,Q77),0),$F77))</f>
        <v/>
      </c>
      <c r="K77" s="61" t="str">
        <f aca="false">IF($D77="","",ROUND(N($E77)*J77*(1-N($G77)),2))</f>
        <v/>
      </c>
      <c r="L77" s="62" t="str">
        <f aca="false">IF($D77="","",IFERROR(INDEX(Items!$F$5:$F$504,Q77),0))</f>
        <v/>
      </c>
      <c r="M77" s="61" t="str">
        <f aca="false">IF($D77="","",IF(AND(R77&lt;&gt;"",INDEX(Parties!$E$5:$E$304,R77)&lt;&gt;"",INDEX(Parties!$E$5:$E$304,R77)&lt;&gt;HomeState),0,ROUND(K77*L77/2,2)))</f>
        <v/>
      </c>
      <c r="N77" s="61" t="str">
        <f aca="false">IF($D77="","",M77)</f>
        <v/>
      </c>
      <c r="O77" s="61" t="str">
        <f aca="false">IF($D77="","",IF(AND(R77&lt;&gt;"",INDEX(Parties!$E$5:$E$304,R77)&lt;&gt;"",INDEX(Parties!$E$5:$E$304,R77)&lt;&gt;HomeState),ROUND(K77*L77,2),0))</f>
        <v/>
      </c>
      <c r="P77" s="61" t="str">
        <f aca="false">IF($D77="","",K77+M77+N77+O77)</f>
        <v/>
      </c>
      <c r="Q77" s="60" t="str">
        <f aca="false">IF($D77="","",IFERROR(MATCH($D77,Items!$A$5:$A$504,0),""))</f>
        <v/>
      </c>
      <c r="R77" s="60" t="str">
        <f aca="false">IF($C77="","",IFERROR(MATCH($C77,Parties!$A$5:$A$304,0),""))</f>
        <v/>
      </c>
      <c r="S77" s="61" t="str">
        <f aca="false">IF($D77="","",IF(OR($H77="",$H77="Credit"),0,P77))</f>
        <v/>
      </c>
    </row>
    <row r="78" customFormat="false" ht="15" hidden="false" customHeight="false" outlineLevel="0" collapsed="false">
      <c r="A78" s="55"/>
      <c r="B78" s="56"/>
      <c r="C78" s="56"/>
      <c r="D78" s="56"/>
      <c r="E78" s="57"/>
      <c r="F78" s="58"/>
      <c r="G78" s="59"/>
      <c r="H78" s="56"/>
      <c r="I78" s="60" t="str">
        <f aca="false">IF($D78="","",IFERROR(INDEX(Items!$D$5:$D$504,Q78),""))</f>
        <v/>
      </c>
      <c r="J78" s="61" t="str">
        <f aca="false">IF($D78="","",IF($F78="",IFERROR(INDEX(Items!$G$5:$G$504,Q78),0),$F78))</f>
        <v/>
      </c>
      <c r="K78" s="61" t="str">
        <f aca="false">IF($D78="","",ROUND(N($E78)*J78*(1-N($G78)),2))</f>
        <v/>
      </c>
      <c r="L78" s="62" t="str">
        <f aca="false">IF($D78="","",IFERROR(INDEX(Items!$F$5:$F$504,Q78),0))</f>
        <v/>
      </c>
      <c r="M78" s="61" t="str">
        <f aca="false">IF($D78="","",IF(AND(R78&lt;&gt;"",INDEX(Parties!$E$5:$E$304,R78)&lt;&gt;"",INDEX(Parties!$E$5:$E$304,R78)&lt;&gt;HomeState),0,ROUND(K78*L78/2,2)))</f>
        <v/>
      </c>
      <c r="N78" s="61" t="str">
        <f aca="false">IF($D78="","",M78)</f>
        <v/>
      </c>
      <c r="O78" s="61" t="str">
        <f aca="false">IF($D78="","",IF(AND(R78&lt;&gt;"",INDEX(Parties!$E$5:$E$304,R78)&lt;&gt;"",INDEX(Parties!$E$5:$E$304,R78)&lt;&gt;HomeState),ROUND(K78*L78,2),0))</f>
        <v/>
      </c>
      <c r="P78" s="61" t="str">
        <f aca="false">IF($D78="","",K78+M78+N78+O78)</f>
        <v/>
      </c>
      <c r="Q78" s="60" t="str">
        <f aca="false">IF($D78="","",IFERROR(MATCH($D78,Items!$A$5:$A$504,0),""))</f>
        <v/>
      </c>
      <c r="R78" s="60" t="str">
        <f aca="false">IF($C78="","",IFERROR(MATCH($C78,Parties!$A$5:$A$304,0),""))</f>
        <v/>
      </c>
      <c r="S78" s="61" t="str">
        <f aca="false">IF($D78="","",IF(OR($H78="",$H78="Credit"),0,P78))</f>
        <v/>
      </c>
    </row>
    <row r="79" customFormat="false" ht="15" hidden="false" customHeight="false" outlineLevel="0" collapsed="false">
      <c r="A79" s="55"/>
      <c r="B79" s="56"/>
      <c r="C79" s="56"/>
      <c r="D79" s="56"/>
      <c r="E79" s="57"/>
      <c r="F79" s="58"/>
      <c r="G79" s="59"/>
      <c r="H79" s="56"/>
      <c r="I79" s="60" t="str">
        <f aca="false">IF($D79="","",IFERROR(INDEX(Items!$D$5:$D$504,Q79),""))</f>
        <v/>
      </c>
      <c r="J79" s="61" t="str">
        <f aca="false">IF($D79="","",IF($F79="",IFERROR(INDEX(Items!$G$5:$G$504,Q79),0),$F79))</f>
        <v/>
      </c>
      <c r="K79" s="61" t="str">
        <f aca="false">IF($D79="","",ROUND(N($E79)*J79*(1-N($G79)),2))</f>
        <v/>
      </c>
      <c r="L79" s="62" t="str">
        <f aca="false">IF($D79="","",IFERROR(INDEX(Items!$F$5:$F$504,Q79),0))</f>
        <v/>
      </c>
      <c r="M79" s="61" t="str">
        <f aca="false">IF($D79="","",IF(AND(R79&lt;&gt;"",INDEX(Parties!$E$5:$E$304,R79)&lt;&gt;"",INDEX(Parties!$E$5:$E$304,R79)&lt;&gt;HomeState),0,ROUND(K79*L79/2,2)))</f>
        <v/>
      </c>
      <c r="N79" s="61" t="str">
        <f aca="false">IF($D79="","",M79)</f>
        <v/>
      </c>
      <c r="O79" s="61" t="str">
        <f aca="false">IF($D79="","",IF(AND(R79&lt;&gt;"",INDEX(Parties!$E$5:$E$304,R79)&lt;&gt;"",INDEX(Parties!$E$5:$E$304,R79)&lt;&gt;HomeState),ROUND(K79*L79,2),0))</f>
        <v/>
      </c>
      <c r="P79" s="61" t="str">
        <f aca="false">IF($D79="","",K79+M79+N79+O79)</f>
        <v/>
      </c>
      <c r="Q79" s="60" t="str">
        <f aca="false">IF($D79="","",IFERROR(MATCH($D79,Items!$A$5:$A$504,0),""))</f>
        <v/>
      </c>
      <c r="R79" s="60" t="str">
        <f aca="false">IF($C79="","",IFERROR(MATCH($C79,Parties!$A$5:$A$304,0),""))</f>
        <v/>
      </c>
      <c r="S79" s="61" t="str">
        <f aca="false">IF($D79="","",IF(OR($H79="",$H79="Credit"),0,P79))</f>
        <v/>
      </c>
    </row>
    <row r="80" customFormat="false" ht="15" hidden="false" customHeight="false" outlineLevel="0" collapsed="false">
      <c r="A80" s="55"/>
      <c r="B80" s="56"/>
      <c r="C80" s="56"/>
      <c r="D80" s="56"/>
      <c r="E80" s="57"/>
      <c r="F80" s="58"/>
      <c r="G80" s="59"/>
      <c r="H80" s="56"/>
      <c r="I80" s="60" t="str">
        <f aca="false">IF($D80="","",IFERROR(INDEX(Items!$D$5:$D$504,Q80),""))</f>
        <v/>
      </c>
      <c r="J80" s="61" t="str">
        <f aca="false">IF($D80="","",IF($F80="",IFERROR(INDEX(Items!$G$5:$G$504,Q80),0),$F80))</f>
        <v/>
      </c>
      <c r="K80" s="61" t="str">
        <f aca="false">IF($D80="","",ROUND(N($E80)*J80*(1-N($G80)),2))</f>
        <v/>
      </c>
      <c r="L80" s="62" t="str">
        <f aca="false">IF($D80="","",IFERROR(INDEX(Items!$F$5:$F$504,Q80),0))</f>
        <v/>
      </c>
      <c r="M80" s="61" t="str">
        <f aca="false">IF($D80="","",IF(AND(R80&lt;&gt;"",INDEX(Parties!$E$5:$E$304,R80)&lt;&gt;"",INDEX(Parties!$E$5:$E$304,R80)&lt;&gt;HomeState),0,ROUND(K80*L80/2,2)))</f>
        <v/>
      </c>
      <c r="N80" s="61" t="str">
        <f aca="false">IF($D80="","",M80)</f>
        <v/>
      </c>
      <c r="O80" s="61" t="str">
        <f aca="false">IF($D80="","",IF(AND(R80&lt;&gt;"",INDEX(Parties!$E$5:$E$304,R80)&lt;&gt;"",INDEX(Parties!$E$5:$E$304,R80)&lt;&gt;HomeState),ROUND(K80*L80,2),0))</f>
        <v/>
      </c>
      <c r="P80" s="61" t="str">
        <f aca="false">IF($D80="","",K80+M80+N80+O80)</f>
        <v/>
      </c>
      <c r="Q80" s="60" t="str">
        <f aca="false">IF($D80="","",IFERROR(MATCH($D80,Items!$A$5:$A$504,0),""))</f>
        <v/>
      </c>
      <c r="R80" s="60" t="str">
        <f aca="false">IF($C80="","",IFERROR(MATCH($C80,Parties!$A$5:$A$304,0),""))</f>
        <v/>
      </c>
      <c r="S80" s="61" t="str">
        <f aca="false">IF($D80="","",IF(OR($H80="",$H80="Credit"),0,P80))</f>
        <v/>
      </c>
    </row>
    <row r="81" customFormat="false" ht="15" hidden="false" customHeight="false" outlineLevel="0" collapsed="false">
      <c r="A81" s="55"/>
      <c r="B81" s="56"/>
      <c r="C81" s="56"/>
      <c r="D81" s="56"/>
      <c r="E81" s="57"/>
      <c r="F81" s="58"/>
      <c r="G81" s="59"/>
      <c r="H81" s="56"/>
      <c r="I81" s="60" t="str">
        <f aca="false">IF($D81="","",IFERROR(INDEX(Items!$D$5:$D$504,Q81),""))</f>
        <v/>
      </c>
      <c r="J81" s="61" t="str">
        <f aca="false">IF($D81="","",IF($F81="",IFERROR(INDEX(Items!$G$5:$G$504,Q81),0),$F81))</f>
        <v/>
      </c>
      <c r="K81" s="61" t="str">
        <f aca="false">IF($D81="","",ROUND(N($E81)*J81*(1-N($G81)),2))</f>
        <v/>
      </c>
      <c r="L81" s="62" t="str">
        <f aca="false">IF($D81="","",IFERROR(INDEX(Items!$F$5:$F$504,Q81),0))</f>
        <v/>
      </c>
      <c r="M81" s="61" t="str">
        <f aca="false">IF($D81="","",IF(AND(R81&lt;&gt;"",INDEX(Parties!$E$5:$E$304,R81)&lt;&gt;"",INDEX(Parties!$E$5:$E$304,R81)&lt;&gt;HomeState),0,ROUND(K81*L81/2,2)))</f>
        <v/>
      </c>
      <c r="N81" s="61" t="str">
        <f aca="false">IF($D81="","",M81)</f>
        <v/>
      </c>
      <c r="O81" s="61" t="str">
        <f aca="false">IF($D81="","",IF(AND(R81&lt;&gt;"",INDEX(Parties!$E$5:$E$304,R81)&lt;&gt;"",INDEX(Parties!$E$5:$E$304,R81)&lt;&gt;HomeState),ROUND(K81*L81,2),0))</f>
        <v/>
      </c>
      <c r="P81" s="61" t="str">
        <f aca="false">IF($D81="","",K81+M81+N81+O81)</f>
        <v/>
      </c>
      <c r="Q81" s="60" t="str">
        <f aca="false">IF($D81="","",IFERROR(MATCH($D81,Items!$A$5:$A$504,0),""))</f>
        <v/>
      </c>
      <c r="R81" s="60" t="str">
        <f aca="false">IF($C81="","",IFERROR(MATCH($C81,Parties!$A$5:$A$304,0),""))</f>
        <v/>
      </c>
      <c r="S81" s="61" t="str">
        <f aca="false">IF($D81="","",IF(OR($H81="",$H81="Credit"),0,P81))</f>
        <v/>
      </c>
    </row>
    <row r="82" customFormat="false" ht="15" hidden="false" customHeight="false" outlineLevel="0" collapsed="false">
      <c r="A82" s="55"/>
      <c r="B82" s="56"/>
      <c r="C82" s="56"/>
      <c r="D82" s="56"/>
      <c r="E82" s="57"/>
      <c r="F82" s="58"/>
      <c r="G82" s="59"/>
      <c r="H82" s="56"/>
      <c r="I82" s="60" t="str">
        <f aca="false">IF($D82="","",IFERROR(INDEX(Items!$D$5:$D$504,Q82),""))</f>
        <v/>
      </c>
      <c r="J82" s="61" t="str">
        <f aca="false">IF($D82="","",IF($F82="",IFERROR(INDEX(Items!$G$5:$G$504,Q82),0),$F82))</f>
        <v/>
      </c>
      <c r="K82" s="61" t="str">
        <f aca="false">IF($D82="","",ROUND(N($E82)*J82*(1-N($G82)),2))</f>
        <v/>
      </c>
      <c r="L82" s="62" t="str">
        <f aca="false">IF($D82="","",IFERROR(INDEX(Items!$F$5:$F$504,Q82),0))</f>
        <v/>
      </c>
      <c r="M82" s="61" t="str">
        <f aca="false">IF($D82="","",IF(AND(R82&lt;&gt;"",INDEX(Parties!$E$5:$E$304,R82)&lt;&gt;"",INDEX(Parties!$E$5:$E$304,R82)&lt;&gt;HomeState),0,ROUND(K82*L82/2,2)))</f>
        <v/>
      </c>
      <c r="N82" s="61" t="str">
        <f aca="false">IF($D82="","",M82)</f>
        <v/>
      </c>
      <c r="O82" s="61" t="str">
        <f aca="false">IF($D82="","",IF(AND(R82&lt;&gt;"",INDEX(Parties!$E$5:$E$304,R82)&lt;&gt;"",INDEX(Parties!$E$5:$E$304,R82)&lt;&gt;HomeState),ROUND(K82*L82,2),0))</f>
        <v/>
      </c>
      <c r="P82" s="61" t="str">
        <f aca="false">IF($D82="","",K82+M82+N82+O82)</f>
        <v/>
      </c>
      <c r="Q82" s="60" t="str">
        <f aca="false">IF($D82="","",IFERROR(MATCH($D82,Items!$A$5:$A$504,0),""))</f>
        <v/>
      </c>
      <c r="R82" s="60" t="str">
        <f aca="false">IF($C82="","",IFERROR(MATCH($C82,Parties!$A$5:$A$304,0),""))</f>
        <v/>
      </c>
      <c r="S82" s="61" t="str">
        <f aca="false">IF($D82="","",IF(OR($H82="",$H82="Credit"),0,P82))</f>
        <v/>
      </c>
    </row>
    <row r="83" customFormat="false" ht="15" hidden="false" customHeight="false" outlineLevel="0" collapsed="false">
      <c r="A83" s="55"/>
      <c r="B83" s="56"/>
      <c r="C83" s="56"/>
      <c r="D83" s="56"/>
      <c r="E83" s="57"/>
      <c r="F83" s="58"/>
      <c r="G83" s="59"/>
      <c r="H83" s="56"/>
      <c r="I83" s="60" t="str">
        <f aca="false">IF($D83="","",IFERROR(INDEX(Items!$D$5:$D$504,Q83),""))</f>
        <v/>
      </c>
      <c r="J83" s="61" t="str">
        <f aca="false">IF($D83="","",IF($F83="",IFERROR(INDEX(Items!$G$5:$G$504,Q83),0),$F83))</f>
        <v/>
      </c>
      <c r="K83" s="61" t="str">
        <f aca="false">IF($D83="","",ROUND(N($E83)*J83*(1-N($G83)),2))</f>
        <v/>
      </c>
      <c r="L83" s="62" t="str">
        <f aca="false">IF($D83="","",IFERROR(INDEX(Items!$F$5:$F$504,Q83),0))</f>
        <v/>
      </c>
      <c r="M83" s="61" t="str">
        <f aca="false">IF($D83="","",IF(AND(R83&lt;&gt;"",INDEX(Parties!$E$5:$E$304,R83)&lt;&gt;"",INDEX(Parties!$E$5:$E$304,R83)&lt;&gt;HomeState),0,ROUND(K83*L83/2,2)))</f>
        <v/>
      </c>
      <c r="N83" s="61" t="str">
        <f aca="false">IF($D83="","",M83)</f>
        <v/>
      </c>
      <c r="O83" s="61" t="str">
        <f aca="false">IF($D83="","",IF(AND(R83&lt;&gt;"",INDEX(Parties!$E$5:$E$304,R83)&lt;&gt;"",INDEX(Parties!$E$5:$E$304,R83)&lt;&gt;HomeState),ROUND(K83*L83,2),0))</f>
        <v/>
      </c>
      <c r="P83" s="61" t="str">
        <f aca="false">IF($D83="","",K83+M83+N83+O83)</f>
        <v/>
      </c>
      <c r="Q83" s="60" t="str">
        <f aca="false">IF($D83="","",IFERROR(MATCH($D83,Items!$A$5:$A$504,0),""))</f>
        <v/>
      </c>
      <c r="R83" s="60" t="str">
        <f aca="false">IF($C83="","",IFERROR(MATCH($C83,Parties!$A$5:$A$304,0),""))</f>
        <v/>
      </c>
      <c r="S83" s="61" t="str">
        <f aca="false">IF($D83="","",IF(OR($H83="",$H83="Credit"),0,P83))</f>
        <v/>
      </c>
    </row>
    <row r="84" customFormat="false" ht="15" hidden="false" customHeight="false" outlineLevel="0" collapsed="false">
      <c r="A84" s="55"/>
      <c r="B84" s="56"/>
      <c r="C84" s="56"/>
      <c r="D84" s="56"/>
      <c r="E84" s="57"/>
      <c r="F84" s="58"/>
      <c r="G84" s="59"/>
      <c r="H84" s="56"/>
      <c r="I84" s="60" t="str">
        <f aca="false">IF($D84="","",IFERROR(INDEX(Items!$D$5:$D$504,Q84),""))</f>
        <v/>
      </c>
      <c r="J84" s="61" t="str">
        <f aca="false">IF($D84="","",IF($F84="",IFERROR(INDEX(Items!$G$5:$G$504,Q84),0),$F84))</f>
        <v/>
      </c>
      <c r="K84" s="61" t="str">
        <f aca="false">IF($D84="","",ROUND(N($E84)*J84*(1-N($G84)),2))</f>
        <v/>
      </c>
      <c r="L84" s="62" t="str">
        <f aca="false">IF($D84="","",IFERROR(INDEX(Items!$F$5:$F$504,Q84),0))</f>
        <v/>
      </c>
      <c r="M84" s="61" t="str">
        <f aca="false">IF($D84="","",IF(AND(R84&lt;&gt;"",INDEX(Parties!$E$5:$E$304,R84)&lt;&gt;"",INDEX(Parties!$E$5:$E$304,R84)&lt;&gt;HomeState),0,ROUND(K84*L84/2,2)))</f>
        <v/>
      </c>
      <c r="N84" s="61" t="str">
        <f aca="false">IF($D84="","",M84)</f>
        <v/>
      </c>
      <c r="O84" s="61" t="str">
        <f aca="false">IF($D84="","",IF(AND(R84&lt;&gt;"",INDEX(Parties!$E$5:$E$304,R84)&lt;&gt;"",INDEX(Parties!$E$5:$E$304,R84)&lt;&gt;HomeState),ROUND(K84*L84,2),0))</f>
        <v/>
      </c>
      <c r="P84" s="61" t="str">
        <f aca="false">IF($D84="","",K84+M84+N84+O84)</f>
        <v/>
      </c>
      <c r="Q84" s="60" t="str">
        <f aca="false">IF($D84="","",IFERROR(MATCH($D84,Items!$A$5:$A$504,0),""))</f>
        <v/>
      </c>
      <c r="R84" s="60" t="str">
        <f aca="false">IF($C84="","",IFERROR(MATCH($C84,Parties!$A$5:$A$304,0),""))</f>
        <v/>
      </c>
      <c r="S84" s="61" t="str">
        <f aca="false">IF($D84="","",IF(OR($H84="",$H84="Credit"),0,P84))</f>
        <v/>
      </c>
    </row>
    <row r="85" customFormat="false" ht="15" hidden="false" customHeight="false" outlineLevel="0" collapsed="false">
      <c r="A85" s="55"/>
      <c r="B85" s="56"/>
      <c r="C85" s="56"/>
      <c r="D85" s="56"/>
      <c r="E85" s="57"/>
      <c r="F85" s="58"/>
      <c r="G85" s="59"/>
      <c r="H85" s="56"/>
      <c r="I85" s="60" t="str">
        <f aca="false">IF($D85="","",IFERROR(INDEX(Items!$D$5:$D$504,Q85),""))</f>
        <v/>
      </c>
      <c r="J85" s="61" t="str">
        <f aca="false">IF($D85="","",IF($F85="",IFERROR(INDEX(Items!$G$5:$G$504,Q85),0),$F85))</f>
        <v/>
      </c>
      <c r="K85" s="61" t="str">
        <f aca="false">IF($D85="","",ROUND(N($E85)*J85*(1-N($G85)),2))</f>
        <v/>
      </c>
      <c r="L85" s="62" t="str">
        <f aca="false">IF($D85="","",IFERROR(INDEX(Items!$F$5:$F$504,Q85),0))</f>
        <v/>
      </c>
      <c r="M85" s="61" t="str">
        <f aca="false">IF($D85="","",IF(AND(R85&lt;&gt;"",INDEX(Parties!$E$5:$E$304,R85)&lt;&gt;"",INDEX(Parties!$E$5:$E$304,R85)&lt;&gt;HomeState),0,ROUND(K85*L85/2,2)))</f>
        <v/>
      </c>
      <c r="N85" s="61" t="str">
        <f aca="false">IF($D85="","",M85)</f>
        <v/>
      </c>
      <c r="O85" s="61" t="str">
        <f aca="false">IF($D85="","",IF(AND(R85&lt;&gt;"",INDEX(Parties!$E$5:$E$304,R85)&lt;&gt;"",INDEX(Parties!$E$5:$E$304,R85)&lt;&gt;HomeState),ROUND(K85*L85,2),0))</f>
        <v/>
      </c>
      <c r="P85" s="61" t="str">
        <f aca="false">IF($D85="","",K85+M85+N85+O85)</f>
        <v/>
      </c>
      <c r="Q85" s="60" t="str">
        <f aca="false">IF($D85="","",IFERROR(MATCH($D85,Items!$A$5:$A$504,0),""))</f>
        <v/>
      </c>
      <c r="R85" s="60" t="str">
        <f aca="false">IF($C85="","",IFERROR(MATCH($C85,Parties!$A$5:$A$304,0),""))</f>
        <v/>
      </c>
      <c r="S85" s="61" t="str">
        <f aca="false">IF($D85="","",IF(OR($H85="",$H85="Credit"),0,P85))</f>
        <v/>
      </c>
    </row>
    <row r="86" customFormat="false" ht="15" hidden="false" customHeight="false" outlineLevel="0" collapsed="false">
      <c r="A86" s="55"/>
      <c r="B86" s="56"/>
      <c r="C86" s="56"/>
      <c r="D86" s="56"/>
      <c r="E86" s="57"/>
      <c r="F86" s="58"/>
      <c r="G86" s="59"/>
      <c r="H86" s="56"/>
      <c r="I86" s="60" t="str">
        <f aca="false">IF($D86="","",IFERROR(INDEX(Items!$D$5:$D$504,Q86),""))</f>
        <v/>
      </c>
      <c r="J86" s="61" t="str">
        <f aca="false">IF($D86="","",IF($F86="",IFERROR(INDEX(Items!$G$5:$G$504,Q86),0),$F86))</f>
        <v/>
      </c>
      <c r="K86" s="61" t="str">
        <f aca="false">IF($D86="","",ROUND(N($E86)*J86*(1-N($G86)),2))</f>
        <v/>
      </c>
      <c r="L86" s="62" t="str">
        <f aca="false">IF($D86="","",IFERROR(INDEX(Items!$F$5:$F$504,Q86),0))</f>
        <v/>
      </c>
      <c r="M86" s="61" t="str">
        <f aca="false">IF($D86="","",IF(AND(R86&lt;&gt;"",INDEX(Parties!$E$5:$E$304,R86)&lt;&gt;"",INDEX(Parties!$E$5:$E$304,R86)&lt;&gt;HomeState),0,ROUND(K86*L86/2,2)))</f>
        <v/>
      </c>
      <c r="N86" s="61" t="str">
        <f aca="false">IF($D86="","",M86)</f>
        <v/>
      </c>
      <c r="O86" s="61" t="str">
        <f aca="false">IF($D86="","",IF(AND(R86&lt;&gt;"",INDEX(Parties!$E$5:$E$304,R86)&lt;&gt;"",INDEX(Parties!$E$5:$E$304,R86)&lt;&gt;HomeState),ROUND(K86*L86,2),0))</f>
        <v/>
      </c>
      <c r="P86" s="61" t="str">
        <f aca="false">IF($D86="","",K86+M86+N86+O86)</f>
        <v/>
      </c>
      <c r="Q86" s="60" t="str">
        <f aca="false">IF($D86="","",IFERROR(MATCH($D86,Items!$A$5:$A$504,0),""))</f>
        <v/>
      </c>
      <c r="R86" s="60" t="str">
        <f aca="false">IF($C86="","",IFERROR(MATCH($C86,Parties!$A$5:$A$304,0),""))</f>
        <v/>
      </c>
      <c r="S86" s="61" t="str">
        <f aca="false">IF($D86="","",IF(OR($H86="",$H86="Credit"),0,P86))</f>
        <v/>
      </c>
    </row>
    <row r="87" customFormat="false" ht="15" hidden="false" customHeight="false" outlineLevel="0" collapsed="false">
      <c r="A87" s="55"/>
      <c r="B87" s="56"/>
      <c r="C87" s="56"/>
      <c r="D87" s="56"/>
      <c r="E87" s="57"/>
      <c r="F87" s="58"/>
      <c r="G87" s="59"/>
      <c r="H87" s="56"/>
      <c r="I87" s="60" t="str">
        <f aca="false">IF($D87="","",IFERROR(INDEX(Items!$D$5:$D$504,Q87),""))</f>
        <v/>
      </c>
      <c r="J87" s="61" t="str">
        <f aca="false">IF($D87="","",IF($F87="",IFERROR(INDEX(Items!$G$5:$G$504,Q87),0),$F87))</f>
        <v/>
      </c>
      <c r="K87" s="61" t="str">
        <f aca="false">IF($D87="","",ROUND(N($E87)*J87*(1-N($G87)),2))</f>
        <v/>
      </c>
      <c r="L87" s="62" t="str">
        <f aca="false">IF($D87="","",IFERROR(INDEX(Items!$F$5:$F$504,Q87),0))</f>
        <v/>
      </c>
      <c r="M87" s="61" t="str">
        <f aca="false">IF($D87="","",IF(AND(R87&lt;&gt;"",INDEX(Parties!$E$5:$E$304,R87)&lt;&gt;"",INDEX(Parties!$E$5:$E$304,R87)&lt;&gt;HomeState),0,ROUND(K87*L87/2,2)))</f>
        <v/>
      </c>
      <c r="N87" s="61" t="str">
        <f aca="false">IF($D87="","",M87)</f>
        <v/>
      </c>
      <c r="O87" s="61" t="str">
        <f aca="false">IF($D87="","",IF(AND(R87&lt;&gt;"",INDEX(Parties!$E$5:$E$304,R87)&lt;&gt;"",INDEX(Parties!$E$5:$E$304,R87)&lt;&gt;HomeState),ROUND(K87*L87,2),0))</f>
        <v/>
      </c>
      <c r="P87" s="61" t="str">
        <f aca="false">IF($D87="","",K87+M87+N87+O87)</f>
        <v/>
      </c>
      <c r="Q87" s="60" t="str">
        <f aca="false">IF($D87="","",IFERROR(MATCH($D87,Items!$A$5:$A$504,0),""))</f>
        <v/>
      </c>
      <c r="R87" s="60" t="str">
        <f aca="false">IF($C87="","",IFERROR(MATCH($C87,Parties!$A$5:$A$304,0),""))</f>
        <v/>
      </c>
      <c r="S87" s="61" t="str">
        <f aca="false">IF($D87="","",IF(OR($H87="",$H87="Credit"),0,P87))</f>
        <v/>
      </c>
    </row>
    <row r="88" customFormat="false" ht="15" hidden="false" customHeight="false" outlineLevel="0" collapsed="false">
      <c r="A88" s="55"/>
      <c r="B88" s="56"/>
      <c r="C88" s="56"/>
      <c r="D88" s="56"/>
      <c r="E88" s="57"/>
      <c r="F88" s="58"/>
      <c r="G88" s="59"/>
      <c r="H88" s="56"/>
      <c r="I88" s="60" t="str">
        <f aca="false">IF($D88="","",IFERROR(INDEX(Items!$D$5:$D$504,Q88),""))</f>
        <v/>
      </c>
      <c r="J88" s="61" t="str">
        <f aca="false">IF($D88="","",IF($F88="",IFERROR(INDEX(Items!$G$5:$G$504,Q88),0),$F88))</f>
        <v/>
      </c>
      <c r="K88" s="61" t="str">
        <f aca="false">IF($D88="","",ROUND(N($E88)*J88*(1-N($G88)),2))</f>
        <v/>
      </c>
      <c r="L88" s="62" t="str">
        <f aca="false">IF($D88="","",IFERROR(INDEX(Items!$F$5:$F$504,Q88),0))</f>
        <v/>
      </c>
      <c r="M88" s="61" t="str">
        <f aca="false">IF($D88="","",IF(AND(R88&lt;&gt;"",INDEX(Parties!$E$5:$E$304,R88)&lt;&gt;"",INDEX(Parties!$E$5:$E$304,R88)&lt;&gt;HomeState),0,ROUND(K88*L88/2,2)))</f>
        <v/>
      </c>
      <c r="N88" s="61" t="str">
        <f aca="false">IF($D88="","",M88)</f>
        <v/>
      </c>
      <c r="O88" s="61" t="str">
        <f aca="false">IF($D88="","",IF(AND(R88&lt;&gt;"",INDEX(Parties!$E$5:$E$304,R88)&lt;&gt;"",INDEX(Parties!$E$5:$E$304,R88)&lt;&gt;HomeState),ROUND(K88*L88,2),0))</f>
        <v/>
      </c>
      <c r="P88" s="61" t="str">
        <f aca="false">IF($D88="","",K88+M88+N88+O88)</f>
        <v/>
      </c>
      <c r="Q88" s="60" t="str">
        <f aca="false">IF($D88="","",IFERROR(MATCH($D88,Items!$A$5:$A$504,0),""))</f>
        <v/>
      </c>
      <c r="R88" s="60" t="str">
        <f aca="false">IF($C88="","",IFERROR(MATCH($C88,Parties!$A$5:$A$304,0),""))</f>
        <v/>
      </c>
      <c r="S88" s="61" t="str">
        <f aca="false">IF($D88="","",IF(OR($H88="",$H88="Credit"),0,P88))</f>
        <v/>
      </c>
    </row>
    <row r="89" customFormat="false" ht="15" hidden="false" customHeight="false" outlineLevel="0" collapsed="false">
      <c r="A89" s="55"/>
      <c r="B89" s="56"/>
      <c r="C89" s="56"/>
      <c r="D89" s="56"/>
      <c r="E89" s="57"/>
      <c r="F89" s="58"/>
      <c r="G89" s="59"/>
      <c r="H89" s="56"/>
      <c r="I89" s="60" t="str">
        <f aca="false">IF($D89="","",IFERROR(INDEX(Items!$D$5:$D$504,Q89),""))</f>
        <v/>
      </c>
      <c r="J89" s="61" t="str">
        <f aca="false">IF($D89="","",IF($F89="",IFERROR(INDEX(Items!$G$5:$G$504,Q89),0),$F89))</f>
        <v/>
      </c>
      <c r="K89" s="61" t="str">
        <f aca="false">IF($D89="","",ROUND(N($E89)*J89*(1-N($G89)),2))</f>
        <v/>
      </c>
      <c r="L89" s="62" t="str">
        <f aca="false">IF($D89="","",IFERROR(INDEX(Items!$F$5:$F$504,Q89),0))</f>
        <v/>
      </c>
      <c r="M89" s="61" t="str">
        <f aca="false">IF($D89="","",IF(AND(R89&lt;&gt;"",INDEX(Parties!$E$5:$E$304,R89)&lt;&gt;"",INDEX(Parties!$E$5:$E$304,R89)&lt;&gt;HomeState),0,ROUND(K89*L89/2,2)))</f>
        <v/>
      </c>
      <c r="N89" s="61" t="str">
        <f aca="false">IF($D89="","",M89)</f>
        <v/>
      </c>
      <c r="O89" s="61" t="str">
        <f aca="false">IF($D89="","",IF(AND(R89&lt;&gt;"",INDEX(Parties!$E$5:$E$304,R89)&lt;&gt;"",INDEX(Parties!$E$5:$E$304,R89)&lt;&gt;HomeState),ROUND(K89*L89,2),0))</f>
        <v/>
      </c>
      <c r="P89" s="61" t="str">
        <f aca="false">IF($D89="","",K89+M89+N89+O89)</f>
        <v/>
      </c>
      <c r="Q89" s="60" t="str">
        <f aca="false">IF($D89="","",IFERROR(MATCH($D89,Items!$A$5:$A$504,0),""))</f>
        <v/>
      </c>
      <c r="R89" s="60" t="str">
        <f aca="false">IF($C89="","",IFERROR(MATCH($C89,Parties!$A$5:$A$304,0),""))</f>
        <v/>
      </c>
      <c r="S89" s="61" t="str">
        <f aca="false">IF($D89="","",IF(OR($H89="",$H89="Credit"),0,P89))</f>
        <v/>
      </c>
    </row>
    <row r="90" customFormat="false" ht="15" hidden="false" customHeight="false" outlineLevel="0" collapsed="false">
      <c r="A90" s="55"/>
      <c r="B90" s="56"/>
      <c r="C90" s="56"/>
      <c r="D90" s="56"/>
      <c r="E90" s="57"/>
      <c r="F90" s="58"/>
      <c r="G90" s="59"/>
      <c r="H90" s="56"/>
      <c r="I90" s="60" t="str">
        <f aca="false">IF($D90="","",IFERROR(INDEX(Items!$D$5:$D$504,Q90),""))</f>
        <v/>
      </c>
      <c r="J90" s="61" t="str">
        <f aca="false">IF($D90="","",IF($F90="",IFERROR(INDEX(Items!$G$5:$G$504,Q90),0),$F90))</f>
        <v/>
      </c>
      <c r="K90" s="61" t="str">
        <f aca="false">IF($D90="","",ROUND(N($E90)*J90*(1-N($G90)),2))</f>
        <v/>
      </c>
      <c r="L90" s="62" t="str">
        <f aca="false">IF($D90="","",IFERROR(INDEX(Items!$F$5:$F$504,Q90),0))</f>
        <v/>
      </c>
      <c r="M90" s="61" t="str">
        <f aca="false">IF($D90="","",IF(AND(R90&lt;&gt;"",INDEX(Parties!$E$5:$E$304,R90)&lt;&gt;"",INDEX(Parties!$E$5:$E$304,R90)&lt;&gt;HomeState),0,ROUND(K90*L90/2,2)))</f>
        <v/>
      </c>
      <c r="N90" s="61" t="str">
        <f aca="false">IF($D90="","",M90)</f>
        <v/>
      </c>
      <c r="O90" s="61" t="str">
        <f aca="false">IF($D90="","",IF(AND(R90&lt;&gt;"",INDEX(Parties!$E$5:$E$304,R90)&lt;&gt;"",INDEX(Parties!$E$5:$E$304,R90)&lt;&gt;HomeState),ROUND(K90*L90,2),0))</f>
        <v/>
      </c>
      <c r="P90" s="61" t="str">
        <f aca="false">IF($D90="","",K90+M90+N90+O90)</f>
        <v/>
      </c>
      <c r="Q90" s="60" t="str">
        <f aca="false">IF($D90="","",IFERROR(MATCH($D90,Items!$A$5:$A$504,0),""))</f>
        <v/>
      </c>
      <c r="R90" s="60" t="str">
        <f aca="false">IF($C90="","",IFERROR(MATCH($C90,Parties!$A$5:$A$304,0),""))</f>
        <v/>
      </c>
      <c r="S90" s="61" t="str">
        <f aca="false">IF($D90="","",IF(OR($H90="",$H90="Credit"),0,P90))</f>
        <v/>
      </c>
    </row>
    <row r="91" customFormat="false" ht="15" hidden="false" customHeight="false" outlineLevel="0" collapsed="false">
      <c r="A91" s="55"/>
      <c r="B91" s="56"/>
      <c r="C91" s="56"/>
      <c r="D91" s="56"/>
      <c r="E91" s="57"/>
      <c r="F91" s="58"/>
      <c r="G91" s="59"/>
      <c r="H91" s="56"/>
      <c r="I91" s="60" t="str">
        <f aca="false">IF($D91="","",IFERROR(INDEX(Items!$D$5:$D$504,Q91),""))</f>
        <v/>
      </c>
      <c r="J91" s="61" t="str">
        <f aca="false">IF($D91="","",IF($F91="",IFERROR(INDEX(Items!$G$5:$G$504,Q91),0),$F91))</f>
        <v/>
      </c>
      <c r="K91" s="61" t="str">
        <f aca="false">IF($D91="","",ROUND(N($E91)*J91*(1-N($G91)),2))</f>
        <v/>
      </c>
      <c r="L91" s="62" t="str">
        <f aca="false">IF($D91="","",IFERROR(INDEX(Items!$F$5:$F$504,Q91),0))</f>
        <v/>
      </c>
      <c r="M91" s="61" t="str">
        <f aca="false">IF($D91="","",IF(AND(R91&lt;&gt;"",INDEX(Parties!$E$5:$E$304,R91)&lt;&gt;"",INDEX(Parties!$E$5:$E$304,R91)&lt;&gt;HomeState),0,ROUND(K91*L91/2,2)))</f>
        <v/>
      </c>
      <c r="N91" s="61" t="str">
        <f aca="false">IF($D91="","",M91)</f>
        <v/>
      </c>
      <c r="O91" s="61" t="str">
        <f aca="false">IF($D91="","",IF(AND(R91&lt;&gt;"",INDEX(Parties!$E$5:$E$304,R91)&lt;&gt;"",INDEX(Parties!$E$5:$E$304,R91)&lt;&gt;HomeState),ROUND(K91*L91,2),0))</f>
        <v/>
      </c>
      <c r="P91" s="61" t="str">
        <f aca="false">IF($D91="","",K91+M91+N91+O91)</f>
        <v/>
      </c>
      <c r="Q91" s="60" t="str">
        <f aca="false">IF($D91="","",IFERROR(MATCH($D91,Items!$A$5:$A$504,0),""))</f>
        <v/>
      </c>
      <c r="R91" s="60" t="str">
        <f aca="false">IF($C91="","",IFERROR(MATCH($C91,Parties!$A$5:$A$304,0),""))</f>
        <v/>
      </c>
      <c r="S91" s="61" t="str">
        <f aca="false">IF($D91="","",IF(OR($H91="",$H91="Credit"),0,P91))</f>
        <v/>
      </c>
    </row>
    <row r="92" customFormat="false" ht="15" hidden="false" customHeight="false" outlineLevel="0" collapsed="false">
      <c r="A92" s="55"/>
      <c r="B92" s="56"/>
      <c r="C92" s="56"/>
      <c r="D92" s="56"/>
      <c r="E92" s="57"/>
      <c r="F92" s="58"/>
      <c r="G92" s="59"/>
      <c r="H92" s="56"/>
      <c r="I92" s="60" t="str">
        <f aca="false">IF($D92="","",IFERROR(INDEX(Items!$D$5:$D$504,Q92),""))</f>
        <v/>
      </c>
      <c r="J92" s="61" t="str">
        <f aca="false">IF($D92="","",IF($F92="",IFERROR(INDEX(Items!$G$5:$G$504,Q92),0),$F92))</f>
        <v/>
      </c>
      <c r="K92" s="61" t="str">
        <f aca="false">IF($D92="","",ROUND(N($E92)*J92*(1-N($G92)),2))</f>
        <v/>
      </c>
      <c r="L92" s="62" t="str">
        <f aca="false">IF($D92="","",IFERROR(INDEX(Items!$F$5:$F$504,Q92),0))</f>
        <v/>
      </c>
      <c r="M92" s="61" t="str">
        <f aca="false">IF($D92="","",IF(AND(R92&lt;&gt;"",INDEX(Parties!$E$5:$E$304,R92)&lt;&gt;"",INDEX(Parties!$E$5:$E$304,R92)&lt;&gt;HomeState),0,ROUND(K92*L92/2,2)))</f>
        <v/>
      </c>
      <c r="N92" s="61" t="str">
        <f aca="false">IF($D92="","",M92)</f>
        <v/>
      </c>
      <c r="O92" s="61" t="str">
        <f aca="false">IF($D92="","",IF(AND(R92&lt;&gt;"",INDEX(Parties!$E$5:$E$304,R92)&lt;&gt;"",INDEX(Parties!$E$5:$E$304,R92)&lt;&gt;HomeState),ROUND(K92*L92,2),0))</f>
        <v/>
      </c>
      <c r="P92" s="61" t="str">
        <f aca="false">IF($D92="","",K92+M92+N92+O92)</f>
        <v/>
      </c>
      <c r="Q92" s="60" t="str">
        <f aca="false">IF($D92="","",IFERROR(MATCH($D92,Items!$A$5:$A$504,0),""))</f>
        <v/>
      </c>
      <c r="R92" s="60" t="str">
        <f aca="false">IF($C92="","",IFERROR(MATCH($C92,Parties!$A$5:$A$304,0),""))</f>
        <v/>
      </c>
      <c r="S92" s="61" t="str">
        <f aca="false">IF($D92="","",IF(OR($H92="",$H92="Credit"),0,P92))</f>
        <v/>
      </c>
    </row>
    <row r="93" customFormat="false" ht="15" hidden="false" customHeight="false" outlineLevel="0" collapsed="false">
      <c r="A93" s="55"/>
      <c r="B93" s="56"/>
      <c r="C93" s="56"/>
      <c r="D93" s="56"/>
      <c r="E93" s="57"/>
      <c r="F93" s="58"/>
      <c r="G93" s="59"/>
      <c r="H93" s="56"/>
      <c r="I93" s="60" t="str">
        <f aca="false">IF($D93="","",IFERROR(INDEX(Items!$D$5:$D$504,Q93),""))</f>
        <v/>
      </c>
      <c r="J93" s="61" t="str">
        <f aca="false">IF($D93="","",IF($F93="",IFERROR(INDEX(Items!$G$5:$G$504,Q93),0),$F93))</f>
        <v/>
      </c>
      <c r="K93" s="61" t="str">
        <f aca="false">IF($D93="","",ROUND(N($E93)*J93*(1-N($G93)),2))</f>
        <v/>
      </c>
      <c r="L93" s="62" t="str">
        <f aca="false">IF($D93="","",IFERROR(INDEX(Items!$F$5:$F$504,Q93),0))</f>
        <v/>
      </c>
      <c r="M93" s="61" t="str">
        <f aca="false">IF($D93="","",IF(AND(R93&lt;&gt;"",INDEX(Parties!$E$5:$E$304,R93)&lt;&gt;"",INDEX(Parties!$E$5:$E$304,R93)&lt;&gt;HomeState),0,ROUND(K93*L93/2,2)))</f>
        <v/>
      </c>
      <c r="N93" s="61" t="str">
        <f aca="false">IF($D93="","",M93)</f>
        <v/>
      </c>
      <c r="O93" s="61" t="str">
        <f aca="false">IF($D93="","",IF(AND(R93&lt;&gt;"",INDEX(Parties!$E$5:$E$304,R93)&lt;&gt;"",INDEX(Parties!$E$5:$E$304,R93)&lt;&gt;HomeState),ROUND(K93*L93,2),0))</f>
        <v/>
      </c>
      <c r="P93" s="61" t="str">
        <f aca="false">IF($D93="","",K93+M93+N93+O93)</f>
        <v/>
      </c>
      <c r="Q93" s="60" t="str">
        <f aca="false">IF($D93="","",IFERROR(MATCH($D93,Items!$A$5:$A$504,0),""))</f>
        <v/>
      </c>
      <c r="R93" s="60" t="str">
        <f aca="false">IF($C93="","",IFERROR(MATCH($C93,Parties!$A$5:$A$304,0),""))</f>
        <v/>
      </c>
      <c r="S93" s="61" t="str">
        <f aca="false">IF($D93="","",IF(OR($H93="",$H93="Credit"),0,P93))</f>
        <v/>
      </c>
    </row>
    <row r="94" customFormat="false" ht="15" hidden="false" customHeight="false" outlineLevel="0" collapsed="false">
      <c r="A94" s="55"/>
      <c r="B94" s="56"/>
      <c r="C94" s="56"/>
      <c r="D94" s="56"/>
      <c r="E94" s="57"/>
      <c r="F94" s="58"/>
      <c r="G94" s="59"/>
      <c r="H94" s="56"/>
      <c r="I94" s="60" t="str">
        <f aca="false">IF($D94="","",IFERROR(INDEX(Items!$D$5:$D$504,Q94),""))</f>
        <v/>
      </c>
      <c r="J94" s="61" t="str">
        <f aca="false">IF($D94="","",IF($F94="",IFERROR(INDEX(Items!$G$5:$G$504,Q94),0),$F94))</f>
        <v/>
      </c>
      <c r="K94" s="61" t="str">
        <f aca="false">IF($D94="","",ROUND(N($E94)*J94*(1-N($G94)),2))</f>
        <v/>
      </c>
      <c r="L94" s="62" t="str">
        <f aca="false">IF($D94="","",IFERROR(INDEX(Items!$F$5:$F$504,Q94),0))</f>
        <v/>
      </c>
      <c r="M94" s="61" t="str">
        <f aca="false">IF($D94="","",IF(AND(R94&lt;&gt;"",INDEX(Parties!$E$5:$E$304,R94)&lt;&gt;"",INDEX(Parties!$E$5:$E$304,R94)&lt;&gt;HomeState),0,ROUND(K94*L94/2,2)))</f>
        <v/>
      </c>
      <c r="N94" s="61" t="str">
        <f aca="false">IF($D94="","",M94)</f>
        <v/>
      </c>
      <c r="O94" s="61" t="str">
        <f aca="false">IF($D94="","",IF(AND(R94&lt;&gt;"",INDEX(Parties!$E$5:$E$304,R94)&lt;&gt;"",INDEX(Parties!$E$5:$E$304,R94)&lt;&gt;HomeState),ROUND(K94*L94,2),0))</f>
        <v/>
      </c>
      <c r="P94" s="61" t="str">
        <f aca="false">IF($D94="","",K94+M94+N94+O94)</f>
        <v/>
      </c>
      <c r="Q94" s="60" t="str">
        <f aca="false">IF($D94="","",IFERROR(MATCH($D94,Items!$A$5:$A$504,0),""))</f>
        <v/>
      </c>
      <c r="R94" s="60" t="str">
        <f aca="false">IF($C94="","",IFERROR(MATCH($C94,Parties!$A$5:$A$304,0),""))</f>
        <v/>
      </c>
      <c r="S94" s="61" t="str">
        <f aca="false">IF($D94="","",IF(OR($H94="",$H94="Credit"),0,P94))</f>
        <v/>
      </c>
    </row>
    <row r="95" customFormat="false" ht="15" hidden="false" customHeight="false" outlineLevel="0" collapsed="false">
      <c r="A95" s="55"/>
      <c r="B95" s="56"/>
      <c r="C95" s="56"/>
      <c r="D95" s="56"/>
      <c r="E95" s="57"/>
      <c r="F95" s="58"/>
      <c r="G95" s="59"/>
      <c r="H95" s="56"/>
      <c r="I95" s="60" t="str">
        <f aca="false">IF($D95="","",IFERROR(INDEX(Items!$D$5:$D$504,Q95),""))</f>
        <v/>
      </c>
      <c r="J95" s="61" t="str">
        <f aca="false">IF($D95="","",IF($F95="",IFERROR(INDEX(Items!$G$5:$G$504,Q95),0),$F95))</f>
        <v/>
      </c>
      <c r="K95" s="61" t="str">
        <f aca="false">IF($D95="","",ROUND(N($E95)*J95*(1-N($G95)),2))</f>
        <v/>
      </c>
      <c r="L95" s="62" t="str">
        <f aca="false">IF($D95="","",IFERROR(INDEX(Items!$F$5:$F$504,Q95),0))</f>
        <v/>
      </c>
      <c r="M95" s="61" t="str">
        <f aca="false">IF($D95="","",IF(AND(R95&lt;&gt;"",INDEX(Parties!$E$5:$E$304,R95)&lt;&gt;"",INDEX(Parties!$E$5:$E$304,R95)&lt;&gt;HomeState),0,ROUND(K95*L95/2,2)))</f>
        <v/>
      </c>
      <c r="N95" s="61" t="str">
        <f aca="false">IF($D95="","",M95)</f>
        <v/>
      </c>
      <c r="O95" s="61" t="str">
        <f aca="false">IF($D95="","",IF(AND(R95&lt;&gt;"",INDEX(Parties!$E$5:$E$304,R95)&lt;&gt;"",INDEX(Parties!$E$5:$E$304,R95)&lt;&gt;HomeState),ROUND(K95*L95,2),0))</f>
        <v/>
      </c>
      <c r="P95" s="61" t="str">
        <f aca="false">IF($D95="","",K95+M95+N95+O95)</f>
        <v/>
      </c>
      <c r="Q95" s="60" t="str">
        <f aca="false">IF($D95="","",IFERROR(MATCH($D95,Items!$A$5:$A$504,0),""))</f>
        <v/>
      </c>
      <c r="R95" s="60" t="str">
        <f aca="false">IF($C95="","",IFERROR(MATCH($C95,Parties!$A$5:$A$304,0),""))</f>
        <v/>
      </c>
      <c r="S95" s="61" t="str">
        <f aca="false">IF($D95="","",IF(OR($H95="",$H95="Credit"),0,P95))</f>
        <v/>
      </c>
    </row>
    <row r="96" customFormat="false" ht="15" hidden="false" customHeight="false" outlineLevel="0" collapsed="false">
      <c r="A96" s="55"/>
      <c r="B96" s="56"/>
      <c r="C96" s="56"/>
      <c r="D96" s="56"/>
      <c r="E96" s="57"/>
      <c r="F96" s="58"/>
      <c r="G96" s="59"/>
      <c r="H96" s="56"/>
      <c r="I96" s="60" t="str">
        <f aca="false">IF($D96="","",IFERROR(INDEX(Items!$D$5:$D$504,Q96),""))</f>
        <v/>
      </c>
      <c r="J96" s="61" t="str">
        <f aca="false">IF($D96="","",IF($F96="",IFERROR(INDEX(Items!$G$5:$G$504,Q96),0),$F96))</f>
        <v/>
      </c>
      <c r="K96" s="61" t="str">
        <f aca="false">IF($D96="","",ROUND(N($E96)*J96*(1-N($G96)),2))</f>
        <v/>
      </c>
      <c r="L96" s="62" t="str">
        <f aca="false">IF($D96="","",IFERROR(INDEX(Items!$F$5:$F$504,Q96),0))</f>
        <v/>
      </c>
      <c r="M96" s="61" t="str">
        <f aca="false">IF($D96="","",IF(AND(R96&lt;&gt;"",INDEX(Parties!$E$5:$E$304,R96)&lt;&gt;"",INDEX(Parties!$E$5:$E$304,R96)&lt;&gt;HomeState),0,ROUND(K96*L96/2,2)))</f>
        <v/>
      </c>
      <c r="N96" s="61" t="str">
        <f aca="false">IF($D96="","",M96)</f>
        <v/>
      </c>
      <c r="O96" s="61" t="str">
        <f aca="false">IF($D96="","",IF(AND(R96&lt;&gt;"",INDEX(Parties!$E$5:$E$304,R96)&lt;&gt;"",INDEX(Parties!$E$5:$E$304,R96)&lt;&gt;HomeState),ROUND(K96*L96,2),0))</f>
        <v/>
      </c>
      <c r="P96" s="61" t="str">
        <f aca="false">IF($D96="","",K96+M96+N96+O96)</f>
        <v/>
      </c>
      <c r="Q96" s="60" t="str">
        <f aca="false">IF($D96="","",IFERROR(MATCH($D96,Items!$A$5:$A$504,0),""))</f>
        <v/>
      </c>
      <c r="R96" s="60" t="str">
        <f aca="false">IF($C96="","",IFERROR(MATCH($C96,Parties!$A$5:$A$304,0),""))</f>
        <v/>
      </c>
      <c r="S96" s="61" t="str">
        <f aca="false">IF($D96="","",IF(OR($H96="",$H96="Credit"),0,P96))</f>
        <v/>
      </c>
    </row>
    <row r="97" customFormat="false" ht="15" hidden="false" customHeight="false" outlineLevel="0" collapsed="false">
      <c r="A97" s="55"/>
      <c r="B97" s="56"/>
      <c r="C97" s="56"/>
      <c r="D97" s="56"/>
      <c r="E97" s="57"/>
      <c r="F97" s="58"/>
      <c r="G97" s="59"/>
      <c r="H97" s="56"/>
      <c r="I97" s="60" t="str">
        <f aca="false">IF($D97="","",IFERROR(INDEX(Items!$D$5:$D$504,Q97),""))</f>
        <v/>
      </c>
      <c r="J97" s="61" t="str">
        <f aca="false">IF($D97="","",IF($F97="",IFERROR(INDEX(Items!$G$5:$G$504,Q97),0),$F97))</f>
        <v/>
      </c>
      <c r="K97" s="61" t="str">
        <f aca="false">IF($D97="","",ROUND(N($E97)*J97*(1-N($G97)),2))</f>
        <v/>
      </c>
      <c r="L97" s="62" t="str">
        <f aca="false">IF($D97="","",IFERROR(INDEX(Items!$F$5:$F$504,Q97),0))</f>
        <v/>
      </c>
      <c r="M97" s="61" t="str">
        <f aca="false">IF($D97="","",IF(AND(R97&lt;&gt;"",INDEX(Parties!$E$5:$E$304,R97)&lt;&gt;"",INDEX(Parties!$E$5:$E$304,R97)&lt;&gt;HomeState),0,ROUND(K97*L97/2,2)))</f>
        <v/>
      </c>
      <c r="N97" s="61" t="str">
        <f aca="false">IF($D97="","",M97)</f>
        <v/>
      </c>
      <c r="O97" s="61" t="str">
        <f aca="false">IF($D97="","",IF(AND(R97&lt;&gt;"",INDEX(Parties!$E$5:$E$304,R97)&lt;&gt;"",INDEX(Parties!$E$5:$E$304,R97)&lt;&gt;HomeState),ROUND(K97*L97,2),0))</f>
        <v/>
      </c>
      <c r="P97" s="61" t="str">
        <f aca="false">IF($D97="","",K97+M97+N97+O97)</f>
        <v/>
      </c>
      <c r="Q97" s="60" t="str">
        <f aca="false">IF($D97="","",IFERROR(MATCH($D97,Items!$A$5:$A$504,0),""))</f>
        <v/>
      </c>
      <c r="R97" s="60" t="str">
        <f aca="false">IF($C97="","",IFERROR(MATCH($C97,Parties!$A$5:$A$304,0),""))</f>
        <v/>
      </c>
      <c r="S97" s="61" t="str">
        <f aca="false">IF($D97="","",IF(OR($H97="",$H97="Credit"),0,P97))</f>
        <v/>
      </c>
    </row>
    <row r="98" customFormat="false" ht="15" hidden="false" customHeight="false" outlineLevel="0" collapsed="false">
      <c r="A98" s="55"/>
      <c r="B98" s="56"/>
      <c r="C98" s="56"/>
      <c r="D98" s="56"/>
      <c r="E98" s="57"/>
      <c r="F98" s="58"/>
      <c r="G98" s="59"/>
      <c r="H98" s="56"/>
      <c r="I98" s="60" t="str">
        <f aca="false">IF($D98="","",IFERROR(INDEX(Items!$D$5:$D$504,Q98),""))</f>
        <v/>
      </c>
      <c r="J98" s="61" t="str">
        <f aca="false">IF($D98="","",IF($F98="",IFERROR(INDEX(Items!$G$5:$G$504,Q98),0),$F98))</f>
        <v/>
      </c>
      <c r="K98" s="61" t="str">
        <f aca="false">IF($D98="","",ROUND(N($E98)*J98*(1-N($G98)),2))</f>
        <v/>
      </c>
      <c r="L98" s="62" t="str">
        <f aca="false">IF($D98="","",IFERROR(INDEX(Items!$F$5:$F$504,Q98),0))</f>
        <v/>
      </c>
      <c r="M98" s="61" t="str">
        <f aca="false">IF($D98="","",IF(AND(R98&lt;&gt;"",INDEX(Parties!$E$5:$E$304,R98)&lt;&gt;"",INDEX(Parties!$E$5:$E$304,R98)&lt;&gt;HomeState),0,ROUND(K98*L98/2,2)))</f>
        <v/>
      </c>
      <c r="N98" s="61" t="str">
        <f aca="false">IF($D98="","",M98)</f>
        <v/>
      </c>
      <c r="O98" s="61" t="str">
        <f aca="false">IF($D98="","",IF(AND(R98&lt;&gt;"",INDEX(Parties!$E$5:$E$304,R98)&lt;&gt;"",INDEX(Parties!$E$5:$E$304,R98)&lt;&gt;HomeState),ROUND(K98*L98,2),0))</f>
        <v/>
      </c>
      <c r="P98" s="61" t="str">
        <f aca="false">IF($D98="","",K98+M98+N98+O98)</f>
        <v/>
      </c>
      <c r="Q98" s="60" t="str">
        <f aca="false">IF($D98="","",IFERROR(MATCH($D98,Items!$A$5:$A$504,0),""))</f>
        <v/>
      </c>
      <c r="R98" s="60" t="str">
        <f aca="false">IF($C98="","",IFERROR(MATCH($C98,Parties!$A$5:$A$304,0),""))</f>
        <v/>
      </c>
      <c r="S98" s="61" t="str">
        <f aca="false">IF($D98="","",IF(OR($H98="",$H98="Credit"),0,P98))</f>
        <v/>
      </c>
    </row>
    <row r="99" customFormat="false" ht="15" hidden="false" customHeight="false" outlineLevel="0" collapsed="false">
      <c r="A99" s="55"/>
      <c r="B99" s="56"/>
      <c r="C99" s="56"/>
      <c r="D99" s="56"/>
      <c r="E99" s="57"/>
      <c r="F99" s="58"/>
      <c r="G99" s="59"/>
      <c r="H99" s="56"/>
      <c r="I99" s="60" t="str">
        <f aca="false">IF($D99="","",IFERROR(INDEX(Items!$D$5:$D$504,Q99),""))</f>
        <v/>
      </c>
      <c r="J99" s="61" t="str">
        <f aca="false">IF($D99="","",IF($F99="",IFERROR(INDEX(Items!$G$5:$G$504,Q99),0),$F99))</f>
        <v/>
      </c>
      <c r="K99" s="61" t="str">
        <f aca="false">IF($D99="","",ROUND(N($E99)*J99*(1-N($G99)),2))</f>
        <v/>
      </c>
      <c r="L99" s="62" t="str">
        <f aca="false">IF($D99="","",IFERROR(INDEX(Items!$F$5:$F$504,Q99),0))</f>
        <v/>
      </c>
      <c r="M99" s="61" t="str">
        <f aca="false">IF($D99="","",IF(AND(R99&lt;&gt;"",INDEX(Parties!$E$5:$E$304,R99)&lt;&gt;"",INDEX(Parties!$E$5:$E$304,R99)&lt;&gt;HomeState),0,ROUND(K99*L99/2,2)))</f>
        <v/>
      </c>
      <c r="N99" s="61" t="str">
        <f aca="false">IF($D99="","",M99)</f>
        <v/>
      </c>
      <c r="O99" s="61" t="str">
        <f aca="false">IF($D99="","",IF(AND(R99&lt;&gt;"",INDEX(Parties!$E$5:$E$304,R99)&lt;&gt;"",INDEX(Parties!$E$5:$E$304,R99)&lt;&gt;HomeState),ROUND(K99*L99,2),0))</f>
        <v/>
      </c>
      <c r="P99" s="61" t="str">
        <f aca="false">IF($D99="","",K99+M99+N99+O99)</f>
        <v/>
      </c>
      <c r="Q99" s="60" t="str">
        <f aca="false">IF($D99="","",IFERROR(MATCH($D99,Items!$A$5:$A$504,0),""))</f>
        <v/>
      </c>
      <c r="R99" s="60" t="str">
        <f aca="false">IF($C99="","",IFERROR(MATCH($C99,Parties!$A$5:$A$304,0),""))</f>
        <v/>
      </c>
      <c r="S99" s="61" t="str">
        <f aca="false">IF($D99="","",IF(OR($H99="",$H99="Credit"),0,P99))</f>
        <v/>
      </c>
    </row>
    <row r="100" customFormat="false" ht="15" hidden="false" customHeight="false" outlineLevel="0" collapsed="false">
      <c r="A100" s="55"/>
      <c r="B100" s="56"/>
      <c r="C100" s="56"/>
      <c r="D100" s="56"/>
      <c r="E100" s="57"/>
      <c r="F100" s="58"/>
      <c r="G100" s="59"/>
      <c r="H100" s="56"/>
      <c r="I100" s="60" t="str">
        <f aca="false">IF($D100="","",IFERROR(INDEX(Items!$D$5:$D$504,Q100),""))</f>
        <v/>
      </c>
      <c r="J100" s="61" t="str">
        <f aca="false">IF($D100="","",IF($F100="",IFERROR(INDEX(Items!$G$5:$G$504,Q100),0),$F100))</f>
        <v/>
      </c>
      <c r="K100" s="61" t="str">
        <f aca="false">IF($D100="","",ROUND(N($E100)*J100*(1-N($G100)),2))</f>
        <v/>
      </c>
      <c r="L100" s="62" t="str">
        <f aca="false">IF($D100="","",IFERROR(INDEX(Items!$F$5:$F$504,Q100),0))</f>
        <v/>
      </c>
      <c r="M100" s="61" t="str">
        <f aca="false">IF($D100="","",IF(AND(R100&lt;&gt;"",INDEX(Parties!$E$5:$E$304,R100)&lt;&gt;"",INDEX(Parties!$E$5:$E$304,R100)&lt;&gt;HomeState),0,ROUND(K100*L100/2,2)))</f>
        <v/>
      </c>
      <c r="N100" s="61" t="str">
        <f aca="false">IF($D100="","",M100)</f>
        <v/>
      </c>
      <c r="O100" s="61" t="str">
        <f aca="false">IF($D100="","",IF(AND(R100&lt;&gt;"",INDEX(Parties!$E$5:$E$304,R100)&lt;&gt;"",INDEX(Parties!$E$5:$E$304,R100)&lt;&gt;HomeState),ROUND(K100*L100,2),0))</f>
        <v/>
      </c>
      <c r="P100" s="61" t="str">
        <f aca="false">IF($D100="","",K100+M100+N100+O100)</f>
        <v/>
      </c>
      <c r="Q100" s="60" t="str">
        <f aca="false">IF($D100="","",IFERROR(MATCH($D100,Items!$A$5:$A$504,0),""))</f>
        <v/>
      </c>
      <c r="R100" s="60" t="str">
        <f aca="false">IF($C100="","",IFERROR(MATCH($C100,Parties!$A$5:$A$304,0),""))</f>
        <v/>
      </c>
      <c r="S100" s="61" t="str">
        <f aca="false">IF($D100="","",IF(OR($H100="",$H100="Credit"),0,P100))</f>
        <v/>
      </c>
    </row>
    <row r="101" customFormat="false" ht="15" hidden="false" customHeight="false" outlineLevel="0" collapsed="false">
      <c r="A101" s="55"/>
      <c r="B101" s="56"/>
      <c r="C101" s="56"/>
      <c r="D101" s="56"/>
      <c r="E101" s="57"/>
      <c r="F101" s="58"/>
      <c r="G101" s="59"/>
      <c r="H101" s="56"/>
      <c r="I101" s="60" t="str">
        <f aca="false">IF($D101="","",IFERROR(INDEX(Items!$D$5:$D$504,Q101),""))</f>
        <v/>
      </c>
      <c r="J101" s="61" t="str">
        <f aca="false">IF($D101="","",IF($F101="",IFERROR(INDEX(Items!$G$5:$G$504,Q101),0),$F101))</f>
        <v/>
      </c>
      <c r="K101" s="61" t="str">
        <f aca="false">IF($D101="","",ROUND(N($E101)*J101*(1-N($G101)),2))</f>
        <v/>
      </c>
      <c r="L101" s="62" t="str">
        <f aca="false">IF($D101="","",IFERROR(INDEX(Items!$F$5:$F$504,Q101),0))</f>
        <v/>
      </c>
      <c r="M101" s="61" t="str">
        <f aca="false">IF($D101="","",IF(AND(R101&lt;&gt;"",INDEX(Parties!$E$5:$E$304,R101)&lt;&gt;"",INDEX(Parties!$E$5:$E$304,R101)&lt;&gt;HomeState),0,ROUND(K101*L101/2,2)))</f>
        <v/>
      </c>
      <c r="N101" s="61" t="str">
        <f aca="false">IF($D101="","",M101)</f>
        <v/>
      </c>
      <c r="O101" s="61" t="str">
        <f aca="false">IF($D101="","",IF(AND(R101&lt;&gt;"",INDEX(Parties!$E$5:$E$304,R101)&lt;&gt;"",INDEX(Parties!$E$5:$E$304,R101)&lt;&gt;HomeState),ROUND(K101*L101,2),0))</f>
        <v/>
      </c>
      <c r="P101" s="61" t="str">
        <f aca="false">IF($D101="","",K101+M101+N101+O101)</f>
        <v/>
      </c>
      <c r="Q101" s="60" t="str">
        <f aca="false">IF($D101="","",IFERROR(MATCH($D101,Items!$A$5:$A$504,0),""))</f>
        <v/>
      </c>
      <c r="R101" s="60" t="str">
        <f aca="false">IF($C101="","",IFERROR(MATCH($C101,Parties!$A$5:$A$304,0),""))</f>
        <v/>
      </c>
      <c r="S101" s="61" t="str">
        <f aca="false">IF($D101="","",IF(OR($H101="",$H101="Credit"),0,P101))</f>
        <v/>
      </c>
    </row>
    <row r="102" customFormat="false" ht="15" hidden="false" customHeight="false" outlineLevel="0" collapsed="false">
      <c r="A102" s="55"/>
      <c r="B102" s="56"/>
      <c r="C102" s="56"/>
      <c r="D102" s="56"/>
      <c r="E102" s="57"/>
      <c r="F102" s="58"/>
      <c r="G102" s="59"/>
      <c r="H102" s="56"/>
      <c r="I102" s="60" t="str">
        <f aca="false">IF($D102="","",IFERROR(INDEX(Items!$D$5:$D$504,Q102),""))</f>
        <v/>
      </c>
      <c r="J102" s="61" t="str">
        <f aca="false">IF($D102="","",IF($F102="",IFERROR(INDEX(Items!$G$5:$G$504,Q102),0),$F102))</f>
        <v/>
      </c>
      <c r="K102" s="61" t="str">
        <f aca="false">IF($D102="","",ROUND(N($E102)*J102*(1-N($G102)),2))</f>
        <v/>
      </c>
      <c r="L102" s="62" t="str">
        <f aca="false">IF($D102="","",IFERROR(INDEX(Items!$F$5:$F$504,Q102),0))</f>
        <v/>
      </c>
      <c r="M102" s="61" t="str">
        <f aca="false">IF($D102="","",IF(AND(R102&lt;&gt;"",INDEX(Parties!$E$5:$E$304,R102)&lt;&gt;"",INDEX(Parties!$E$5:$E$304,R102)&lt;&gt;HomeState),0,ROUND(K102*L102/2,2)))</f>
        <v/>
      </c>
      <c r="N102" s="61" t="str">
        <f aca="false">IF($D102="","",M102)</f>
        <v/>
      </c>
      <c r="O102" s="61" t="str">
        <f aca="false">IF($D102="","",IF(AND(R102&lt;&gt;"",INDEX(Parties!$E$5:$E$304,R102)&lt;&gt;"",INDEX(Parties!$E$5:$E$304,R102)&lt;&gt;HomeState),ROUND(K102*L102,2),0))</f>
        <v/>
      </c>
      <c r="P102" s="61" t="str">
        <f aca="false">IF($D102="","",K102+M102+N102+O102)</f>
        <v/>
      </c>
      <c r="Q102" s="60" t="str">
        <f aca="false">IF($D102="","",IFERROR(MATCH($D102,Items!$A$5:$A$504,0),""))</f>
        <v/>
      </c>
      <c r="R102" s="60" t="str">
        <f aca="false">IF($C102="","",IFERROR(MATCH($C102,Parties!$A$5:$A$304,0),""))</f>
        <v/>
      </c>
      <c r="S102" s="61" t="str">
        <f aca="false">IF($D102="","",IF(OR($H102="",$H102="Credit"),0,P102))</f>
        <v/>
      </c>
    </row>
    <row r="103" customFormat="false" ht="15" hidden="false" customHeight="false" outlineLevel="0" collapsed="false">
      <c r="A103" s="55"/>
      <c r="B103" s="56"/>
      <c r="C103" s="56"/>
      <c r="D103" s="56"/>
      <c r="E103" s="57"/>
      <c r="F103" s="58"/>
      <c r="G103" s="59"/>
      <c r="H103" s="56"/>
      <c r="I103" s="60" t="str">
        <f aca="false">IF($D103="","",IFERROR(INDEX(Items!$D$5:$D$504,Q103),""))</f>
        <v/>
      </c>
      <c r="J103" s="61" t="str">
        <f aca="false">IF($D103="","",IF($F103="",IFERROR(INDEX(Items!$G$5:$G$504,Q103),0),$F103))</f>
        <v/>
      </c>
      <c r="K103" s="61" t="str">
        <f aca="false">IF($D103="","",ROUND(N($E103)*J103*(1-N($G103)),2))</f>
        <v/>
      </c>
      <c r="L103" s="62" t="str">
        <f aca="false">IF($D103="","",IFERROR(INDEX(Items!$F$5:$F$504,Q103),0))</f>
        <v/>
      </c>
      <c r="M103" s="61" t="str">
        <f aca="false">IF($D103="","",IF(AND(R103&lt;&gt;"",INDEX(Parties!$E$5:$E$304,R103)&lt;&gt;"",INDEX(Parties!$E$5:$E$304,R103)&lt;&gt;HomeState),0,ROUND(K103*L103/2,2)))</f>
        <v/>
      </c>
      <c r="N103" s="61" t="str">
        <f aca="false">IF($D103="","",M103)</f>
        <v/>
      </c>
      <c r="O103" s="61" t="str">
        <f aca="false">IF($D103="","",IF(AND(R103&lt;&gt;"",INDEX(Parties!$E$5:$E$304,R103)&lt;&gt;"",INDEX(Parties!$E$5:$E$304,R103)&lt;&gt;HomeState),ROUND(K103*L103,2),0))</f>
        <v/>
      </c>
      <c r="P103" s="61" t="str">
        <f aca="false">IF($D103="","",K103+M103+N103+O103)</f>
        <v/>
      </c>
      <c r="Q103" s="60" t="str">
        <f aca="false">IF($D103="","",IFERROR(MATCH($D103,Items!$A$5:$A$504,0),""))</f>
        <v/>
      </c>
      <c r="R103" s="60" t="str">
        <f aca="false">IF($C103="","",IFERROR(MATCH($C103,Parties!$A$5:$A$304,0),""))</f>
        <v/>
      </c>
      <c r="S103" s="61" t="str">
        <f aca="false">IF($D103="","",IF(OR($H103="",$H103="Credit"),0,P103))</f>
        <v/>
      </c>
    </row>
    <row r="104" customFormat="false" ht="15" hidden="false" customHeight="false" outlineLevel="0" collapsed="false">
      <c r="A104" s="55"/>
      <c r="B104" s="56"/>
      <c r="C104" s="56"/>
      <c r="D104" s="56"/>
      <c r="E104" s="57"/>
      <c r="F104" s="58"/>
      <c r="G104" s="59"/>
      <c r="H104" s="56"/>
      <c r="I104" s="60" t="str">
        <f aca="false">IF($D104="","",IFERROR(INDEX(Items!$D$5:$D$504,Q104),""))</f>
        <v/>
      </c>
      <c r="J104" s="61" t="str">
        <f aca="false">IF($D104="","",IF($F104="",IFERROR(INDEX(Items!$G$5:$G$504,Q104),0),$F104))</f>
        <v/>
      </c>
      <c r="K104" s="61" t="str">
        <f aca="false">IF($D104="","",ROUND(N($E104)*J104*(1-N($G104)),2))</f>
        <v/>
      </c>
      <c r="L104" s="62" t="str">
        <f aca="false">IF($D104="","",IFERROR(INDEX(Items!$F$5:$F$504,Q104),0))</f>
        <v/>
      </c>
      <c r="M104" s="61" t="str">
        <f aca="false">IF($D104="","",IF(AND(R104&lt;&gt;"",INDEX(Parties!$E$5:$E$304,R104)&lt;&gt;"",INDEX(Parties!$E$5:$E$304,R104)&lt;&gt;HomeState),0,ROUND(K104*L104/2,2)))</f>
        <v/>
      </c>
      <c r="N104" s="61" t="str">
        <f aca="false">IF($D104="","",M104)</f>
        <v/>
      </c>
      <c r="O104" s="61" t="str">
        <f aca="false">IF($D104="","",IF(AND(R104&lt;&gt;"",INDEX(Parties!$E$5:$E$304,R104)&lt;&gt;"",INDEX(Parties!$E$5:$E$304,R104)&lt;&gt;HomeState),ROUND(K104*L104,2),0))</f>
        <v/>
      </c>
      <c r="P104" s="61" t="str">
        <f aca="false">IF($D104="","",K104+M104+N104+O104)</f>
        <v/>
      </c>
      <c r="Q104" s="60" t="str">
        <f aca="false">IF($D104="","",IFERROR(MATCH($D104,Items!$A$5:$A$504,0),""))</f>
        <v/>
      </c>
      <c r="R104" s="60" t="str">
        <f aca="false">IF($C104="","",IFERROR(MATCH($C104,Parties!$A$5:$A$304,0),""))</f>
        <v/>
      </c>
      <c r="S104" s="61" t="str">
        <f aca="false">IF($D104="","",IF(OR($H104="",$H104="Credit"),0,P104))</f>
        <v/>
      </c>
    </row>
    <row r="105" customFormat="false" ht="15" hidden="false" customHeight="false" outlineLevel="0" collapsed="false">
      <c r="A105" s="55"/>
      <c r="B105" s="56"/>
      <c r="C105" s="56"/>
      <c r="D105" s="56"/>
      <c r="E105" s="57"/>
      <c r="F105" s="58"/>
      <c r="G105" s="59"/>
      <c r="H105" s="56"/>
      <c r="I105" s="60" t="str">
        <f aca="false">IF($D105="","",IFERROR(INDEX(Items!$D$5:$D$504,Q105),""))</f>
        <v/>
      </c>
      <c r="J105" s="61" t="str">
        <f aca="false">IF($D105="","",IF($F105="",IFERROR(INDEX(Items!$G$5:$G$504,Q105),0),$F105))</f>
        <v/>
      </c>
      <c r="K105" s="61" t="str">
        <f aca="false">IF($D105="","",ROUND(N($E105)*J105*(1-N($G105)),2))</f>
        <v/>
      </c>
      <c r="L105" s="62" t="str">
        <f aca="false">IF($D105="","",IFERROR(INDEX(Items!$F$5:$F$504,Q105),0))</f>
        <v/>
      </c>
      <c r="M105" s="61" t="str">
        <f aca="false">IF($D105="","",IF(AND(R105&lt;&gt;"",INDEX(Parties!$E$5:$E$304,R105)&lt;&gt;"",INDEX(Parties!$E$5:$E$304,R105)&lt;&gt;HomeState),0,ROUND(K105*L105/2,2)))</f>
        <v/>
      </c>
      <c r="N105" s="61" t="str">
        <f aca="false">IF($D105="","",M105)</f>
        <v/>
      </c>
      <c r="O105" s="61" t="str">
        <f aca="false">IF($D105="","",IF(AND(R105&lt;&gt;"",INDEX(Parties!$E$5:$E$304,R105)&lt;&gt;"",INDEX(Parties!$E$5:$E$304,R105)&lt;&gt;HomeState),ROUND(K105*L105,2),0))</f>
        <v/>
      </c>
      <c r="P105" s="61" t="str">
        <f aca="false">IF($D105="","",K105+M105+N105+O105)</f>
        <v/>
      </c>
      <c r="Q105" s="60" t="str">
        <f aca="false">IF($D105="","",IFERROR(MATCH($D105,Items!$A$5:$A$504,0),""))</f>
        <v/>
      </c>
      <c r="R105" s="60" t="str">
        <f aca="false">IF($C105="","",IFERROR(MATCH($C105,Parties!$A$5:$A$304,0),""))</f>
        <v/>
      </c>
      <c r="S105" s="61" t="str">
        <f aca="false">IF($D105="","",IF(OR($H105="",$H105="Credit"),0,P105))</f>
        <v/>
      </c>
    </row>
    <row r="106" customFormat="false" ht="15" hidden="false" customHeight="false" outlineLevel="0" collapsed="false">
      <c r="A106" s="55"/>
      <c r="B106" s="56"/>
      <c r="C106" s="56"/>
      <c r="D106" s="56"/>
      <c r="E106" s="57"/>
      <c r="F106" s="58"/>
      <c r="G106" s="59"/>
      <c r="H106" s="56"/>
      <c r="I106" s="60" t="str">
        <f aca="false">IF($D106="","",IFERROR(INDEX(Items!$D$5:$D$504,Q106),""))</f>
        <v/>
      </c>
      <c r="J106" s="61" t="str">
        <f aca="false">IF($D106="","",IF($F106="",IFERROR(INDEX(Items!$G$5:$G$504,Q106),0),$F106))</f>
        <v/>
      </c>
      <c r="K106" s="61" t="str">
        <f aca="false">IF($D106="","",ROUND(N($E106)*J106*(1-N($G106)),2))</f>
        <v/>
      </c>
      <c r="L106" s="62" t="str">
        <f aca="false">IF($D106="","",IFERROR(INDEX(Items!$F$5:$F$504,Q106),0))</f>
        <v/>
      </c>
      <c r="M106" s="61" t="str">
        <f aca="false">IF($D106="","",IF(AND(R106&lt;&gt;"",INDEX(Parties!$E$5:$E$304,R106)&lt;&gt;"",INDEX(Parties!$E$5:$E$304,R106)&lt;&gt;HomeState),0,ROUND(K106*L106/2,2)))</f>
        <v/>
      </c>
      <c r="N106" s="61" t="str">
        <f aca="false">IF($D106="","",M106)</f>
        <v/>
      </c>
      <c r="O106" s="61" t="str">
        <f aca="false">IF($D106="","",IF(AND(R106&lt;&gt;"",INDEX(Parties!$E$5:$E$304,R106)&lt;&gt;"",INDEX(Parties!$E$5:$E$304,R106)&lt;&gt;HomeState),ROUND(K106*L106,2),0))</f>
        <v/>
      </c>
      <c r="P106" s="61" t="str">
        <f aca="false">IF($D106="","",K106+M106+N106+O106)</f>
        <v/>
      </c>
      <c r="Q106" s="60" t="str">
        <f aca="false">IF($D106="","",IFERROR(MATCH($D106,Items!$A$5:$A$504,0),""))</f>
        <v/>
      </c>
      <c r="R106" s="60" t="str">
        <f aca="false">IF($C106="","",IFERROR(MATCH($C106,Parties!$A$5:$A$304,0),""))</f>
        <v/>
      </c>
      <c r="S106" s="61" t="str">
        <f aca="false">IF($D106="","",IF(OR($H106="",$H106="Credit"),0,P106))</f>
        <v/>
      </c>
    </row>
    <row r="107" customFormat="false" ht="15" hidden="false" customHeight="false" outlineLevel="0" collapsed="false">
      <c r="A107" s="55"/>
      <c r="B107" s="56"/>
      <c r="C107" s="56"/>
      <c r="D107" s="56"/>
      <c r="E107" s="57"/>
      <c r="F107" s="58"/>
      <c r="G107" s="59"/>
      <c r="H107" s="56"/>
      <c r="I107" s="60" t="str">
        <f aca="false">IF($D107="","",IFERROR(INDEX(Items!$D$5:$D$504,Q107),""))</f>
        <v/>
      </c>
      <c r="J107" s="61" t="str">
        <f aca="false">IF($D107="","",IF($F107="",IFERROR(INDEX(Items!$G$5:$G$504,Q107),0),$F107))</f>
        <v/>
      </c>
      <c r="K107" s="61" t="str">
        <f aca="false">IF($D107="","",ROUND(N($E107)*J107*(1-N($G107)),2))</f>
        <v/>
      </c>
      <c r="L107" s="62" t="str">
        <f aca="false">IF($D107="","",IFERROR(INDEX(Items!$F$5:$F$504,Q107),0))</f>
        <v/>
      </c>
      <c r="M107" s="61" t="str">
        <f aca="false">IF($D107="","",IF(AND(R107&lt;&gt;"",INDEX(Parties!$E$5:$E$304,R107)&lt;&gt;"",INDEX(Parties!$E$5:$E$304,R107)&lt;&gt;HomeState),0,ROUND(K107*L107/2,2)))</f>
        <v/>
      </c>
      <c r="N107" s="61" t="str">
        <f aca="false">IF($D107="","",M107)</f>
        <v/>
      </c>
      <c r="O107" s="61" t="str">
        <f aca="false">IF($D107="","",IF(AND(R107&lt;&gt;"",INDEX(Parties!$E$5:$E$304,R107)&lt;&gt;"",INDEX(Parties!$E$5:$E$304,R107)&lt;&gt;HomeState),ROUND(K107*L107,2),0))</f>
        <v/>
      </c>
      <c r="P107" s="61" t="str">
        <f aca="false">IF($D107="","",K107+M107+N107+O107)</f>
        <v/>
      </c>
      <c r="Q107" s="60" t="str">
        <f aca="false">IF($D107="","",IFERROR(MATCH($D107,Items!$A$5:$A$504,0),""))</f>
        <v/>
      </c>
      <c r="R107" s="60" t="str">
        <f aca="false">IF($C107="","",IFERROR(MATCH($C107,Parties!$A$5:$A$304,0),""))</f>
        <v/>
      </c>
      <c r="S107" s="61" t="str">
        <f aca="false">IF($D107="","",IF(OR($H107="",$H107="Credit"),0,P107))</f>
        <v/>
      </c>
    </row>
    <row r="108" customFormat="false" ht="15" hidden="false" customHeight="false" outlineLevel="0" collapsed="false">
      <c r="A108" s="55"/>
      <c r="B108" s="56"/>
      <c r="C108" s="56"/>
      <c r="D108" s="56"/>
      <c r="E108" s="57"/>
      <c r="F108" s="58"/>
      <c r="G108" s="59"/>
      <c r="H108" s="56"/>
      <c r="I108" s="60" t="str">
        <f aca="false">IF($D108="","",IFERROR(INDEX(Items!$D$5:$D$504,Q108),""))</f>
        <v/>
      </c>
      <c r="J108" s="61" t="str">
        <f aca="false">IF($D108="","",IF($F108="",IFERROR(INDEX(Items!$G$5:$G$504,Q108),0),$F108))</f>
        <v/>
      </c>
      <c r="K108" s="61" t="str">
        <f aca="false">IF($D108="","",ROUND(N($E108)*J108*(1-N($G108)),2))</f>
        <v/>
      </c>
      <c r="L108" s="62" t="str">
        <f aca="false">IF($D108="","",IFERROR(INDEX(Items!$F$5:$F$504,Q108),0))</f>
        <v/>
      </c>
      <c r="M108" s="61" t="str">
        <f aca="false">IF($D108="","",IF(AND(R108&lt;&gt;"",INDEX(Parties!$E$5:$E$304,R108)&lt;&gt;"",INDEX(Parties!$E$5:$E$304,R108)&lt;&gt;HomeState),0,ROUND(K108*L108/2,2)))</f>
        <v/>
      </c>
      <c r="N108" s="61" t="str">
        <f aca="false">IF($D108="","",M108)</f>
        <v/>
      </c>
      <c r="O108" s="61" t="str">
        <f aca="false">IF($D108="","",IF(AND(R108&lt;&gt;"",INDEX(Parties!$E$5:$E$304,R108)&lt;&gt;"",INDEX(Parties!$E$5:$E$304,R108)&lt;&gt;HomeState),ROUND(K108*L108,2),0))</f>
        <v/>
      </c>
      <c r="P108" s="61" t="str">
        <f aca="false">IF($D108="","",K108+M108+N108+O108)</f>
        <v/>
      </c>
      <c r="Q108" s="60" t="str">
        <f aca="false">IF($D108="","",IFERROR(MATCH($D108,Items!$A$5:$A$504,0),""))</f>
        <v/>
      </c>
      <c r="R108" s="60" t="str">
        <f aca="false">IF($C108="","",IFERROR(MATCH($C108,Parties!$A$5:$A$304,0),""))</f>
        <v/>
      </c>
      <c r="S108" s="61" t="str">
        <f aca="false">IF($D108="","",IF(OR($H108="",$H108="Credit"),0,P108))</f>
        <v/>
      </c>
    </row>
    <row r="109" customFormat="false" ht="15" hidden="false" customHeight="false" outlineLevel="0" collapsed="false">
      <c r="A109" s="55"/>
      <c r="B109" s="56"/>
      <c r="C109" s="56"/>
      <c r="D109" s="56"/>
      <c r="E109" s="57"/>
      <c r="F109" s="58"/>
      <c r="G109" s="59"/>
      <c r="H109" s="56"/>
      <c r="I109" s="60" t="str">
        <f aca="false">IF($D109="","",IFERROR(INDEX(Items!$D$5:$D$504,Q109),""))</f>
        <v/>
      </c>
      <c r="J109" s="61" t="str">
        <f aca="false">IF($D109="","",IF($F109="",IFERROR(INDEX(Items!$G$5:$G$504,Q109),0),$F109))</f>
        <v/>
      </c>
      <c r="K109" s="61" t="str">
        <f aca="false">IF($D109="","",ROUND(N($E109)*J109*(1-N($G109)),2))</f>
        <v/>
      </c>
      <c r="L109" s="62" t="str">
        <f aca="false">IF($D109="","",IFERROR(INDEX(Items!$F$5:$F$504,Q109),0))</f>
        <v/>
      </c>
      <c r="M109" s="61" t="str">
        <f aca="false">IF($D109="","",IF(AND(R109&lt;&gt;"",INDEX(Parties!$E$5:$E$304,R109)&lt;&gt;"",INDEX(Parties!$E$5:$E$304,R109)&lt;&gt;HomeState),0,ROUND(K109*L109/2,2)))</f>
        <v/>
      </c>
      <c r="N109" s="61" t="str">
        <f aca="false">IF($D109="","",M109)</f>
        <v/>
      </c>
      <c r="O109" s="61" t="str">
        <f aca="false">IF($D109="","",IF(AND(R109&lt;&gt;"",INDEX(Parties!$E$5:$E$304,R109)&lt;&gt;"",INDEX(Parties!$E$5:$E$304,R109)&lt;&gt;HomeState),ROUND(K109*L109,2),0))</f>
        <v/>
      </c>
      <c r="P109" s="61" t="str">
        <f aca="false">IF($D109="","",K109+M109+N109+O109)</f>
        <v/>
      </c>
      <c r="Q109" s="60" t="str">
        <f aca="false">IF($D109="","",IFERROR(MATCH($D109,Items!$A$5:$A$504,0),""))</f>
        <v/>
      </c>
      <c r="R109" s="60" t="str">
        <f aca="false">IF($C109="","",IFERROR(MATCH($C109,Parties!$A$5:$A$304,0),""))</f>
        <v/>
      </c>
      <c r="S109" s="61" t="str">
        <f aca="false">IF($D109="","",IF(OR($H109="",$H109="Credit"),0,P109))</f>
        <v/>
      </c>
    </row>
    <row r="110" customFormat="false" ht="15" hidden="false" customHeight="false" outlineLevel="0" collapsed="false">
      <c r="A110" s="55"/>
      <c r="B110" s="56"/>
      <c r="C110" s="56"/>
      <c r="D110" s="56"/>
      <c r="E110" s="57"/>
      <c r="F110" s="58"/>
      <c r="G110" s="59"/>
      <c r="H110" s="56"/>
      <c r="I110" s="60" t="str">
        <f aca="false">IF($D110="","",IFERROR(INDEX(Items!$D$5:$D$504,Q110),""))</f>
        <v/>
      </c>
      <c r="J110" s="61" t="str">
        <f aca="false">IF($D110="","",IF($F110="",IFERROR(INDEX(Items!$G$5:$G$504,Q110),0),$F110))</f>
        <v/>
      </c>
      <c r="K110" s="61" t="str">
        <f aca="false">IF($D110="","",ROUND(N($E110)*J110*(1-N($G110)),2))</f>
        <v/>
      </c>
      <c r="L110" s="62" t="str">
        <f aca="false">IF($D110="","",IFERROR(INDEX(Items!$F$5:$F$504,Q110),0))</f>
        <v/>
      </c>
      <c r="M110" s="61" t="str">
        <f aca="false">IF($D110="","",IF(AND(R110&lt;&gt;"",INDEX(Parties!$E$5:$E$304,R110)&lt;&gt;"",INDEX(Parties!$E$5:$E$304,R110)&lt;&gt;HomeState),0,ROUND(K110*L110/2,2)))</f>
        <v/>
      </c>
      <c r="N110" s="61" t="str">
        <f aca="false">IF($D110="","",M110)</f>
        <v/>
      </c>
      <c r="O110" s="61" t="str">
        <f aca="false">IF($D110="","",IF(AND(R110&lt;&gt;"",INDEX(Parties!$E$5:$E$304,R110)&lt;&gt;"",INDEX(Parties!$E$5:$E$304,R110)&lt;&gt;HomeState),ROUND(K110*L110,2),0))</f>
        <v/>
      </c>
      <c r="P110" s="61" t="str">
        <f aca="false">IF($D110="","",K110+M110+N110+O110)</f>
        <v/>
      </c>
      <c r="Q110" s="60" t="str">
        <f aca="false">IF($D110="","",IFERROR(MATCH($D110,Items!$A$5:$A$504,0),""))</f>
        <v/>
      </c>
      <c r="R110" s="60" t="str">
        <f aca="false">IF($C110="","",IFERROR(MATCH($C110,Parties!$A$5:$A$304,0),""))</f>
        <v/>
      </c>
      <c r="S110" s="61" t="str">
        <f aca="false">IF($D110="","",IF(OR($H110="",$H110="Credit"),0,P110))</f>
        <v/>
      </c>
    </row>
    <row r="111" customFormat="false" ht="15" hidden="false" customHeight="false" outlineLevel="0" collapsed="false">
      <c r="A111" s="55"/>
      <c r="B111" s="56"/>
      <c r="C111" s="56"/>
      <c r="D111" s="56"/>
      <c r="E111" s="57"/>
      <c r="F111" s="58"/>
      <c r="G111" s="59"/>
      <c r="H111" s="56"/>
      <c r="I111" s="60" t="str">
        <f aca="false">IF($D111="","",IFERROR(INDEX(Items!$D$5:$D$504,Q111),""))</f>
        <v/>
      </c>
      <c r="J111" s="61" t="str">
        <f aca="false">IF($D111="","",IF($F111="",IFERROR(INDEX(Items!$G$5:$G$504,Q111),0),$F111))</f>
        <v/>
      </c>
      <c r="K111" s="61" t="str">
        <f aca="false">IF($D111="","",ROUND(N($E111)*J111*(1-N($G111)),2))</f>
        <v/>
      </c>
      <c r="L111" s="62" t="str">
        <f aca="false">IF($D111="","",IFERROR(INDEX(Items!$F$5:$F$504,Q111),0))</f>
        <v/>
      </c>
      <c r="M111" s="61" t="str">
        <f aca="false">IF($D111="","",IF(AND(R111&lt;&gt;"",INDEX(Parties!$E$5:$E$304,R111)&lt;&gt;"",INDEX(Parties!$E$5:$E$304,R111)&lt;&gt;HomeState),0,ROUND(K111*L111/2,2)))</f>
        <v/>
      </c>
      <c r="N111" s="61" t="str">
        <f aca="false">IF($D111="","",M111)</f>
        <v/>
      </c>
      <c r="O111" s="61" t="str">
        <f aca="false">IF($D111="","",IF(AND(R111&lt;&gt;"",INDEX(Parties!$E$5:$E$304,R111)&lt;&gt;"",INDEX(Parties!$E$5:$E$304,R111)&lt;&gt;HomeState),ROUND(K111*L111,2),0))</f>
        <v/>
      </c>
      <c r="P111" s="61" t="str">
        <f aca="false">IF($D111="","",K111+M111+N111+O111)</f>
        <v/>
      </c>
      <c r="Q111" s="60" t="str">
        <f aca="false">IF($D111="","",IFERROR(MATCH($D111,Items!$A$5:$A$504,0),""))</f>
        <v/>
      </c>
      <c r="R111" s="60" t="str">
        <f aca="false">IF($C111="","",IFERROR(MATCH($C111,Parties!$A$5:$A$304,0),""))</f>
        <v/>
      </c>
      <c r="S111" s="61" t="str">
        <f aca="false">IF($D111="","",IF(OR($H111="",$H111="Credit"),0,P111))</f>
        <v/>
      </c>
    </row>
    <row r="112" customFormat="false" ht="15" hidden="false" customHeight="false" outlineLevel="0" collapsed="false">
      <c r="A112" s="55"/>
      <c r="B112" s="56"/>
      <c r="C112" s="56"/>
      <c r="D112" s="56"/>
      <c r="E112" s="57"/>
      <c r="F112" s="58"/>
      <c r="G112" s="59"/>
      <c r="H112" s="56"/>
      <c r="I112" s="60" t="str">
        <f aca="false">IF($D112="","",IFERROR(INDEX(Items!$D$5:$D$504,Q112),""))</f>
        <v/>
      </c>
      <c r="J112" s="61" t="str">
        <f aca="false">IF($D112="","",IF($F112="",IFERROR(INDEX(Items!$G$5:$G$504,Q112),0),$F112))</f>
        <v/>
      </c>
      <c r="K112" s="61" t="str">
        <f aca="false">IF($D112="","",ROUND(N($E112)*J112*(1-N($G112)),2))</f>
        <v/>
      </c>
      <c r="L112" s="62" t="str">
        <f aca="false">IF($D112="","",IFERROR(INDEX(Items!$F$5:$F$504,Q112),0))</f>
        <v/>
      </c>
      <c r="M112" s="61" t="str">
        <f aca="false">IF($D112="","",IF(AND(R112&lt;&gt;"",INDEX(Parties!$E$5:$E$304,R112)&lt;&gt;"",INDEX(Parties!$E$5:$E$304,R112)&lt;&gt;HomeState),0,ROUND(K112*L112/2,2)))</f>
        <v/>
      </c>
      <c r="N112" s="61" t="str">
        <f aca="false">IF($D112="","",M112)</f>
        <v/>
      </c>
      <c r="O112" s="61" t="str">
        <f aca="false">IF($D112="","",IF(AND(R112&lt;&gt;"",INDEX(Parties!$E$5:$E$304,R112)&lt;&gt;"",INDEX(Parties!$E$5:$E$304,R112)&lt;&gt;HomeState),ROUND(K112*L112,2),0))</f>
        <v/>
      </c>
      <c r="P112" s="61" t="str">
        <f aca="false">IF($D112="","",K112+M112+N112+O112)</f>
        <v/>
      </c>
      <c r="Q112" s="60" t="str">
        <f aca="false">IF($D112="","",IFERROR(MATCH($D112,Items!$A$5:$A$504,0),""))</f>
        <v/>
      </c>
      <c r="R112" s="60" t="str">
        <f aca="false">IF($C112="","",IFERROR(MATCH($C112,Parties!$A$5:$A$304,0),""))</f>
        <v/>
      </c>
      <c r="S112" s="61" t="str">
        <f aca="false">IF($D112="","",IF(OR($H112="",$H112="Credit"),0,P112))</f>
        <v/>
      </c>
    </row>
    <row r="113" customFormat="false" ht="15" hidden="false" customHeight="false" outlineLevel="0" collapsed="false">
      <c r="A113" s="55"/>
      <c r="B113" s="56"/>
      <c r="C113" s="56"/>
      <c r="D113" s="56"/>
      <c r="E113" s="57"/>
      <c r="F113" s="58"/>
      <c r="G113" s="59"/>
      <c r="H113" s="56"/>
      <c r="I113" s="60" t="str">
        <f aca="false">IF($D113="","",IFERROR(INDEX(Items!$D$5:$D$504,Q113),""))</f>
        <v/>
      </c>
      <c r="J113" s="61" t="str">
        <f aca="false">IF($D113="","",IF($F113="",IFERROR(INDEX(Items!$G$5:$G$504,Q113),0),$F113))</f>
        <v/>
      </c>
      <c r="K113" s="61" t="str">
        <f aca="false">IF($D113="","",ROUND(N($E113)*J113*(1-N($G113)),2))</f>
        <v/>
      </c>
      <c r="L113" s="62" t="str">
        <f aca="false">IF($D113="","",IFERROR(INDEX(Items!$F$5:$F$504,Q113),0))</f>
        <v/>
      </c>
      <c r="M113" s="61" t="str">
        <f aca="false">IF($D113="","",IF(AND(R113&lt;&gt;"",INDEX(Parties!$E$5:$E$304,R113)&lt;&gt;"",INDEX(Parties!$E$5:$E$304,R113)&lt;&gt;HomeState),0,ROUND(K113*L113/2,2)))</f>
        <v/>
      </c>
      <c r="N113" s="61" t="str">
        <f aca="false">IF($D113="","",M113)</f>
        <v/>
      </c>
      <c r="O113" s="61" t="str">
        <f aca="false">IF($D113="","",IF(AND(R113&lt;&gt;"",INDEX(Parties!$E$5:$E$304,R113)&lt;&gt;"",INDEX(Parties!$E$5:$E$304,R113)&lt;&gt;HomeState),ROUND(K113*L113,2),0))</f>
        <v/>
      </c>
      <c r="P113" s="61" t="str">
        <f aca="false">IF($D113="","",K113+M113+N113+O113)</f>
        <v/>
      </c>
      <c r="Q113" s="60" t="str">
        <f aca="false">IF($D113="","",IFERROR(MATCH($D113,Items!$A$5:$A$504,0),""))</f>
        <v/>
      </c>
      <c r="R113" s="60" t="str">
        <f aca="false">IF($C113="","",IFERROR(MATCH($C113,Parties!$A$5:$A$304,0),""))</f>
        <v/>
      </c>
      <c r="S113" s="61" t="str">
        <f aca="false">IF($D113="","",IF(OR($H113="",$H113="Credit"),0,P113))</f>
        <v/>
      </c>
    </row>
    <row r="114" customFormat="false" ht="15" hidden="false" customHeight="false" outlineLevel="0" collapsed="false">
      <c r="A114" s="55"/>
      <c r="B114" s="56"/>
      <c r="C114" s="56"/>
      <c r="D114" s="56"/>
      <c r="E114" s="57"/>
      <c r="F114" s="58"/>
      <c r="G114" s="59"/>
      <c r="H114" s="56"/>
      <c r="I114" s="60" t="str">
        <f aca="false">IF($D114="","",IFERROR(INDEX(Items!$D$5:$D$504,Q114),""))</f>
        <v/>
      </c>
      <c r="J114" s="61" t="str">
        <f aca="false">IF($D114="","",IF($F114="",IFERROR(INDEX(Items!$G$5:$G$504,Q114),0),$F114))</f>
        <v/>
      </c>
      <c r="K114" s="61" t="str">
        <f aca="false">IF($D114="","",ROUND(N($E114)*J114*(1-N($G114)),2))</f>
        <v/>
      </c>
      <c r="L114" s="62" t="str">
        <f aca="false">IF($D114="","",IFERROR(INDEX(Items!$F$5:$F$504,Q114),0))</f>
        <v/>
      </c>
      <c r="M114" s="61" t="str">
        <f aca="false">IF($D114="","",IF(AND(R114&lt;&gt;"",INDEX(Parties!$E$5:$E$304,R114)&lt;&gt;"",INDEX(Parties!$E$5:$E$304,R114)&lt;&gt;HomeState),0,ROUND(K114*L114/2,2)))</f>
        <v/>
      </c>
      <c r="N114" s="61" t="str">
        <f aca="false">IF($D114="","",M114)</f>
        <v/>
      </c>
      <c r="O114" s="61" t="str">
        <f aca="false">IF($D114="","",IF(AND(R114&lt;&gt;"",INDEX(Parties!$E$5:$E$304,R114)&lt;&gt;"",INDEX(Parties!$E$5:$E$304,R114)&lt;&gt;HomeState),ROUND(K114*L114,2),0))</f>
        <v/>
      </c>
      <c r="P114" s="61" t="str">
        <f aca="false">IF($D114="","",K114+M114+N114+O114)</f>
        <v/>
      </c>
      <c r="Q114" s="60" t="str">
        <f aca="false">IF($D114="","",IFERROR(MATCH($D114,Items!$A$5:$A$504,0),""))</f>
        <v/>
      </c>
      <c r="R114" s="60" t="str">
        <f aca="false">IF($C114="","",IFERROR(MATCH($C114,Parties!$A$5:$A$304,0),""))</f>
        <v/>
      </c>
      <c r="S114" s="61" t="str">
        <f aca="false">IF($D114="","",IF(OR($H114="",$H114="Credit"),0,P114))</f>
        <v/>
      </c>
    </row>
    <row r="115" customFormat="false" ht="15" hidden="false" customHeight="false" outlineLevel="0" collapsed="false">
      <c r="A115" s="55"/>
      <c r="B115" s="56"/>
      <c r="C115" s="56"/>
      <c r="D115" s="56"/>
      <c r="E115" s="57"/>
      <c r="F115" s="58"/>
      <c r="G115" s="59"/>
      <c r="H115" s="56"/>
      <c r="I115" s="60" t="str">
        <f aca="false">IF($D115="","",IFERROR(INDEX(Items!$D$5:$D$504,Q115),""))</f>
        <v/>
      </c>
      <c r="J115" s="61" t="str">
        <f aca="false">IF($D115="","",IF($F115="",IFERROR(INDEX(Items!$G$5:$G$504,Q115),0),$F115))</f>
        <v/>
      </c>
      <c r="K115" s="61" t="str">
        <f aca="false">IF($D115="","",ROUND(N($E115)*J115*(1-N($G115)),2))</f>
        <v/>
      </c>
      <c r="L115" s="62" t="str">
        <f aca="false">IF($D115="","",IFERROR(INDEX(Items!$F$5:$F$504,Q115),0))</f>
        <v/>
      </c>
      <c r="M115" s="61" t="str">
        <f aca="false">IF($D115="","",IF(AND(R115&lt;&gt;"",INDEX(Parties!$E$5:$E$304,R115)&lt;&gt;"",INDEX(Parties!$E$5:$E$304,R115)&lt;&gt;HomeState),0,ROUND(K115*L115/2,2)))</f>
        <v/>
      </c>
      <c r="N115" s="61" t="str">
        <f aca="false">IF($D115="","",M115)</f>
        <v/>
      </c>
      <c r="O115" s="61" t="str">
        <f aca="false">IF($D115="","",IF(AND(R115&lt;&gt;"",INDEX(Parties!$E$5:$E$304,R115)&lt;&gt;"",INDEX(Parties!$E$5:$E$304,R115)&lt;&gt;HomeState),ROUND(K115*L115,2),0))</f>
        <v/>
      </c>
      <c r="P115" s="61" t="str">
        <f aca="false">IF($D115="","",K115+M115+N115+O115)</f>
        <v/>
      </c>
      <c r="Q115" s="60" t="str">
        <f aca="false">IF($D115="","",IFERROR(MATCH($D115,Items!$A$5:$A$504,0),""))</f>
        <v/>
      </c>
      <c r="R115" s="60" t="str">
        <f aca="false">IF($C115="","",IFERROR(MATCH($C115,Parties!$A$5:$A$304,0),""))</f>
        <v/>
      </c>
      <c r="S115" s="61" t="str">
        <f aca="false">IF($D115="","",IF(OR($H115="",$H115="Credit"),0,P115))</f>
        <v/>
      </c>
    </row>
    <row r="116" customFormat="false" ht="15" hidden="false" customHeight="false" outlineLevel="0" collapsed="false">
      <c r="A116" s="55"/>
      <c r="B116" s="56"/>
      <c r="C116" s="56"/>
      <c r="D116" s="56"/>
      <c r="E116" s="57"/>
      <c r="F116" s="58"/>
      <c r="G116" s="59"/>
      <c r="H116" s="56"/>
      <c r="I116" s="60" t="str">
        <f aca="false">IF($D116="","",IFERROR(INDEX(Items!$D$5:$D$504,Q116),""))</f>
        <v/>
      </c>
      <c r="J116" s="61" t="str">
        <f aca="false">IF($D116="","",IF($F116="",IFERROR(INDEX(Items!$G$5:$G$504,Q116),0),$F116))</f>
        <v/>
      </c>
      <c r="K116" s="61" t="str">
        <f aca="false">IF($D116="","",ROUND(N($E116)*J116*(1-N($G116)),2))</f>
        <v/>
      </c>
      <c r="L116" s="62" t="str">
        <f aca="false">IF($D116="","",IFERROR(INDEX(Items!$F$5:$F$504,Q116),0))</f>
        <v/>
      </c>
      <c r="M116" s="61" t="str">
        <f aca="false">IF($D116="","",IF(AND(R116&lt;&gt;"",INDEX(Parties!$E$5:$E$304,R116)&lt;&gt;"",INDEX(Parties!$E$5:$E$304,R116)&lt;&gt;HomeState),0,ROUND(K116*L116/2,2)))</f>
        <v/>
      </c>
      <c r="N116" s="61" t="str">
        <f aca="false">IF($D116="","",M116)</f>
        <v/>
      </c>
      <c r="O116" s="61" t="str">
        <f aca="false">IF($D116="","",IF(AND(R116&lt;&gt;"",INDEX(Parties!$E$5:$E$304,R116)&lt;&gt;"",INDEX(Parties!$E$5:$E$304,R116)&lt;&gt;HomeState),ROUND(K116*L116,2),0))</f>
        <v/>
      </c>
      <c r="P116" s="61" t="str">
        <f aca="false">IF($D116="","",K116+M116+N116+O116)</f>
        <v/>
      </c>
      <c r="Q116" s="60" t="str">
        <f aca="false">IF($D116="","",IFERROR(MATCH($D116,Items!$A$5:$A$504,0),""))</f>
        <v/>
      </c>
      <c r="R116" s="60" t="str">
        <f aca="false">IF($C116="","",IFERROR(MATCH($C116,Parties!$A$5:$A$304,0),""))</f>
        <v/>
      </c>
      <c r="S116" s="61" t="str">
        <f aca="false">IF($D116="","",IF(OR($H116="",$H116="Credit"),0,P116))</f>
        <v/>
      </c>
    </row>
    <row r="117" customFormat="false" ht="15" hidden="false" customHeight="false" outlineLevel="0" collapsed="false">
      <c r="A117" s="55"/>
      <c r="B117" s="56"/>
      <c r="C117" s="56"/>
      <c r="D117" s="56"/>
      <c r="E117" s="57"/>
      <c r="F117" s="58"/>
      <c r="G117" s="59"/>
      <c r="H117" s="56"/>
      <c r="I117" s="60" t="str">
        <f aca="false">IF($D117="","",IFERROR(INDEX(Items!$D$5:$D$504,Q117),""))</f>
        <v/>
      </c>
      <c r="J117" s="61" t="str">
        <f aca="false">IF($D117="","",IF($F117="",IFERROR(INDEX(Items!$G$5:$G$504,Q117),0),$F117))</f>
        <v/>
      </c>
      <c r="K117" s="61" t="str">
        <f aca="false">IF($D117="","",ROUND(N($E117)*J117*(1-N($G117)),2))</f>
        <v/>
      </c>
      <c r="L117" s="62" t="str">
        <f aca="false">IF($D117="","",IFERROR(INDEX(Items!$F$5:$F$504,Q117),0))</f>
        <v/>
      </c>
      <c r="M117" s="61" t="str">
        <f aca="false">IF($D117="","",IF(AND(R117&lt;&gt;"",INDEX(Parties!$E$5:$E$304,R117)&lt;&gt;"",INDEX(Parties!$E$5:$E$304,R117)&lt;&gt;HomeState),0,ROUND(K117*L117/2,2)))</f>
        <v/>
      </c>
      <c r="N117" s="61" t="str">
        <f aca="false">IF($D117="","",M117)</f>
        <v/>
      </c>
      <c r="O117" s="61" t="str">
        <f aca="false">IF($D117="","",IF(AND(R117&lt;&gt;"",INDEX(Parties!$E$5:$E$304,R117)&lt;&gt;"",INDEX(Parties!$E$5:$E$304,R117)&lt;&gt;HomeState),ROUND(K117*L117,2),0))</f>
        <v/>
      </c>
      <c r="P117" s="61" t="str">
        <f aca="false">IF($D117="","",K117+M117+N117+O117)</f>
        <v/>
      </c>
      <c r="Q117" s="60" t="str">
        <f aca="false">IF($D117="","",IFERROR(MATCH($D117,Items!$A$5:$A$504,0),""))</f>
        <v/>
      </c>
      <c r="R117" s="60" t="str">
        <f aca="false">IF($C117="","",IFERROR(MATCH($C117,Parties!$A$5:$A$304,0),""))</f>
        <v/>
      </c>
      <c r="S117" s="61" t="str">
        <f aca="false">IF($D117="","",IF(OR($H117="",$H117="Credit"),0,P117))</f>
        <v/>
      </c>
    </row>
    <row r="118" customFormat="false" ht="15" hidden="false" customHeight="false" outlineLevel="0" collapsed="false">
      <c r="A118" s="55"/>
      <c r="B118" s="56"/>
      <c r="C118" s="56"/>
      <c r="D118" s="56"/>
      <c r="E118" s="57"/>
      <c r="F118" s="58"/>
      <c r="G118" s="59"/>
      <c r="H118" s="56"/>
      <c r="I118" s="60" t="str">
        <f aca="false">IF($D118="","",IFERROR(INDEX(Items!$D$5:$D$504,Q118),""))</f>
        <v/>
      </c>
      <c r="J118" s="61" t="str">
        <f aca="false">IF($D118="","",IF($F118="",IFERROR(INDEX(Items!$G$5:$G$504,Q118),0),$F118))</f>
        <v/>
      </c>
      <c r="K118" s="61" t="str">
        <f aca="false">IF($D118="","",ROUND(N($E118)*J118*(1-N($G118)),2))</f>
        <v/>
      </c>
      <c r="L118" s="62" t="str">
        <f aca="false">IF($D118="","",IFERROR(INDEX(Items!$F$5:$F$504,Q118),0))</f>
        <v/>
      </c>
      <c r="M118" s="61" t="str">
        <f aca="false">IF($D118="","",IF(AND(R118&lt;&gt;"",INDEX(Parties!$E$5:$E$304,R118)&lt;&gt;"",INDEX(Parties!$E$5:$E$304,R118)&lt;&gt;HomeState),0,ROUND(K118*L118/2,2)))</f>
        <v/>
      </c>
      <c r="N118" s="61" t="str">
        <f aca="false">IF($D118="","",M118)</f>
        <v/>
      </c>
      <c r="O118" s="61" t="str">
        <f aca="false">IF($D118="","",IF(AND(R118&lt;&gt;"",INDEX(Parties!$E$5:$E$304,R118)&lt;&gt;"",INDEX(Parties!$E$5:$E$304,R118)&lt;&gt;HomeState),ROUND(K118*L118,2),0))</f>
        <v/>
      </c>
      <c r="P118" s="61" t="str">
        <f aca="false">IF($D118="","",K118+M118+N118+O118)</f>
        <v/>
      </c>
      <c r="Q118" s="60" t="str">
        <f aca="false">IF($D118="","",IFERROR(MATCH($D118,Items!$A$5:$A$504,0),""))</f>
        <v/>
      </c>
      <c r="R118" s="60" t="str">
        <f aca="false">IF($C118="","",IFERROR(MATCH($C118,Parties!$A$5:$A$304,0),""))</f>
        <v/>
      </c>
      <c r="S118" s="61" t="str">
        <f aca="false">IF($D118="","",IF(OR($H118="",$H118="Credit"),0,P118))</f>
        <v/>
      </c>
    </row>
    <row r="119" customFormat="false" ht="15" hidden="false" customHeight="false" outlineLevel="0" collapsed="false">
      <c r="A119" s="55"/>
      <c r="B119" s="56"/>
      <c r="C119" s="56"/>
      <c r="D119" s="56"/>
      <c r="E119" s="57"/>
      <c r="F119" s="58"/>
      <c r="G119" s="59"/>
      <c r="H119" s="56"/>
      <c r="I119" s="60" t="str">
        <f aca="false">IF($D119="","",IFERROR(INDEX(Items!$D$5:$D$504,Q119),""))</f>
        <v/>
      </c>
      <c r="J119" s="61" t="str">
        <f aca="false">IF($D119="","",IF($F119="",IFERROR(INDEX(Items!$G$5:$G$504,Q119),0),$F119))</f>
        <v/>
      </c>
      <c r="K119" s="61" t="str">
        <f aca="false">IF($D119="","",ROUND(N($E119)*J119*(1-N($G119)),2))</f>
        <v/>
      </c>
      <c r="L119" s="62" t="str">
        <f aca="false">IF($D119="","",IFERROR(INDEX(Items!$F$5:$F$504,Q119),0))</f>
        <v/>
      </c>
      <c r="M119" s="61" t="str">
        <f aca="false">IF($D119="","",IF(AND(R119&lt;&gt;"",INDEX(Parties!$E$5:$E$304,R119)&lt;&gt;"",INDEX(Parties!$E$5:$E$304,R119)&lt;&gt;HomeState),0,ROUND(K119*L119/2,2)))</f>
        <v/>
      </c>
      <c r="N119" s="61" t="str">
        <f aca="false">IF($D119="","",M119)</f>
        <v/>
      </c>
      <c r="O119" s="61" t="str">
        <f aca="false">IF($D119="","",IF(AND(R119&lt;&gt;"",INDEX(Parties!$E$5:$E$304,R119)&lt;&gt;"",INDEX(Parties!$E$5:$E$304,R119)&lt;&gt;HomeState),ROUND(K119*L119,2),0))</f>
        <v/>
      </c>
      <c r="P119" s="61" t="str">
        <f aca="false">IF($D119="","",K119+M119+N119+O119)</f>
        <v/>
      </c>
      <c r="Q119" s="60" t="str">
        <f aca="false">IF($D119="","",IFERROR(MATCH($D119,Items!$A$5:$A$504,0),""))</f>
        <v/>
      </c>
      <c r="R119" s="60" t="str">
        <f aca="false">IF($C119="","",IFERROR(MATCH($C119,Parties!$A$5:$A$304,0),""))</f>
        <v/>
      </c>
      <c r="S119" s="61" t="str">
        <f aca="false">IF($D119="","",IF(OR($H119="",$H119="Credit"),0,P119))</f>
        <v/>
      </c>
    </row>
    <row r="120" customFormat="false" ht="15" hidden="false" customHeight="false" outlineLevel="0" collapsed="false">
      <c r="A120" s="55"/>
      <c r="B120" s="56"/>
      <c r="C120" s="56"/>
      <c r="D120" s="56"/>
      <c r="E120" s="57"/>
      <c r="F120" s="58"/>
      <c r="G120" s="59"/>
      <c r="H120" s="56"/>
      <c r="I120" s="60" t="str">
        <f aca="false">IF($D120="","",IFERROR(INDEX(Items!$D$5:$D$504,Q120),""))</f>
        <v/>
      </c>
      <c r="J120" s="61" t="str">
        <f aca="false">IF($D120="","",IF($F120="",IFERROR(INDEX(Items!$G$5:$G$504,Q120),0),$F120))</f>
        <v/>
      </c>
      <c r="K120" s="61" t="str">
        <f aca="false">IF($D120="","",ROUND(N($E120)*J120*(1-N($G120)),2))</f>
        <v/>
      </c>
      <c r="L120" s="62" t="str">
        <f aca="false">IF($D120="","",IFERROR(INDEX(Items!$F$5:$F$504,Q120),0))</f>
        <v/>
      </c>
      <c r="M120" s="61" t="str">
        <f aca="false">IF($D120="","",IF(AND(R120&lt;&gt;"",INDEX(Parties!$E$5:$E$304,R120)&lt;&gt;"",INDEX(Parties!$E$5:$E$304,R120)&lt;&gt;HomeState),0,ROUND(K120*L120/2,2)))</f>
        <v/>
      </c>
      <c r="N120" s="61" t="str">
        <f aca="false">IF($D120="","",M120)</f>
        <v/>
      </c>
      <c r="O120" s="61" t="str">
        <f aca="false">IF($D120="","",IF(AND(R120&lt;&gt;"",INDEX(Parties!$E$5:$E$304,R120)&lt;&gt;"",INDEX(Parties!$E$5:$E$304,R120)&lt;&gt;HomeState),ROUND(K120*L120,2),0))</f>
        <v/>
      </c>
      <c r="P120" s="61" t="str">
        <f aca="false">IF($D120="","",K120+M120+N120+O120)</f>
        <v/>
      </c>
      <c r="Q120" s="60" t="str">
        <f aca="false">IF($D120="","",IFERROR(MATCH($D120,Items!$A$5:$A$504,0),""))</f>
        <v/>
      </c>
      <c r="R120" s="60" t="str">
        <f aca="false">IF($C120="","",IFERROR(MATCH($C120,Parties!$A$5:$A$304,0),""))</f>
        <v/>
      </c>
      <c r="S120" s="61" t="str">
        <f aca="false">IF($D120="","",IF(OR($H120="",$H120="Credit"),0,P120))</f>
        <v/>
      </c>
    </row>
    <row r="121" customFormat="false" ht="15" hidden="false" customHeight="false" outlineLevel="0" collapsed="false">
      <c r="A121" s="55"/>
      <c r="B121" s="56"/>
      <c r="C121" s="56"/>
      <c r="D121" s="56"/>
      <c r="E121" s="57"/>
      <c r="F121" s="58"/>
      <c r="G121" s="59"/>
      <c r="H121" s="56"/>
      <c r="I121" s="60" t="str">
        <f aca="false">IF($D121="","",IFERROR(INDEX(Items!$D$5:$D$504,Q121),""))</f>
        <v/>
      </c>
      <c r="J121" s="61" t="str">
        <f aca="false">IF($D121="","",IF($F121="",IFERROR(INDEX(Items!$G$5:$G$504,Q121),0),$F121))</f>
        <v/>
      </c>
      <c r="K121" s="61" t="str">
        <f aca="false">IF($D121="","",ROUND(N($E121)*J121*(1-N($G121)),2))</f>
        <v/>
      </c>
      <c r="L121" s="62" t="str">
        <f aca="false">IF($D121="","",IFERROR(INDEX(Items!$F$5:$F$504,Q121),0))</f>
        <v/>
      </c>
      <c r="M121" s="61" t="str">
        <f aca="false">IF($D121="","",IF(AND(R121&lt;&gt;"",INDEX(Parties!$E$5:$E$304,R121)&lt;&gt;"",INDEX(Parties!$E$5:$E$304,R121)&lt;&gt;HomeState),0,ROUND(K121*L121/2,2)))</f>
        <v/>
      </c>
      <c r="N121" s="61" t="str">
        <f aca="false">IF($D121="","",M121)</f>
        <v/>
      </c>
      <c r="O121" s="61" t="str">
        <f aca="false">IF($D121="","",IF(AND(R121&lt;&gt;"",INDEX(Parties!$E$5:$E$304,R121)&lt;&gt;"",INDEX(Parties!$E$5:$E$304,R121)&lt;&gt;HomeState),ROUND(K121*L121,2),0))</f>
        <v/>
      </c>
      <c r="P121" s="61" t="str">
        <f aca="false">IF($D121="","",K121+M121+N121+O121)</f>
        <v/>
      </c>
      <c r="Q121" s="60" t="str">
        <f aca="false">IF($D121="","",IFERROR(MATCH($D121,Items!$A$5:$A$504,0),""))</f>
        <v/>
      </c>
      <c r="R121" s="60" t="str">
        <f aca="false">IF($C121="","",IFERROR(MATCH($C121,Parties!$A$5:$A$304,0),""))</f>
        <v/>
      </c>
      <c r="S121" s="61" t="str">
        <f aca="false">IF($D121="","",IF(OR($H121="",$H121="Credit"),0,P121))</f>
        <v/>
      </c>
    </row>
    <row r="122" customFormat="false" ht="15" hidden="false" customHeight="false" outlineLevel="0" collapsed="false">
      <c r="A122" s="55"/>
      <c r="B122" s="56"/>
      <c r="C122" s="56"/>
      <c r="D122" s="56"/>
      <c r="E122" s="57"/>
      <c r="F122" s="58"/>
      <c r="G122" s="59"/>
      <c r="H122" s="56"/>
      <c r="I122" s="60" t="str">
        <f aca="false">IF($D122="","",IFERROR(INDEX(Items!$D$5:$D$504,Q122),""))</f>
        <v/>
      </c>
      <c r="J122" s="61" t="str">
        <f aca="false">IF($D122="","",IF($F122="",IFERROR(INDEX(Items!$G$5:$G$504,Q122),0),$F122))</f>
        <v/>
      </c>
      <c r="K122" s="61" t="str">
        <f aca="false">IF($D122="","",ROUND(N($E122)*J122*(1-N($G122)),2))</f>
        <v/>
      </c>
      <c r="L122" s="62" t="str">
        <f aca="false">IF($D122="","",IFERROR(INDEX(Items!$F$5:$F$504,Q122),0))</f>
        <v/>
      </c>
      <c r="M122" s="61" t="str">
        <f aca="false">IF($D122="","",IF(AND(R122&lt;&gt;"",INDEX(Parties!$E$5:$E$304,R122)&lt;&gt;"",INDEX(Parties!$E$5:$E$304,R122)&lt;&gt;HomeState),0,ROUND(K122*L122/2,2)))</f>
        <v/>
      </c>
      <c r="N122" s="61" t="str">
        <f aca="false">IF($D122="","",M122)</f>
        <v/>
      </c>
      <c r="O122" s="61" t="str">
        <f aca="false">IF($D122="","",IF(AND(R122&lt;&gt;"",INDEX(Parties!$E$5:$E$304,R122)&lt;&gt;"",INDEX(Parties!$E$5:$E$304,R122)&lt;&gt;HomeState),ROUND(K122*L122,2),0))</f>
        <v/>
      </c>
      <c r="P122" s="61" t="str">
        <f aca="false">IF($D122="","",K122+M122+N122+O122)</f>
        <v/>
      </c>
      <c r="Q122" s="60" t="str">
        <f aca="false">IF($D122="","",IFERROR(MATCH($D122,Items!$A$5:$A$504,0),""))</f>
        <v/>
      </c>
      <c r="R122" s="60" t="str">
        <f aca="false">IF($C122="","",IFERROR(MATCH($C122,Parties!$A$5:$A$304,0),""))</f>
        <v/>
      </c>
      <c r="S122" s="61" t="str">
        <f aca="false">IF($D122="","",IF(OR($H122="",$H122="Credit"),0,P122))</f>
        <v/>
      </c>
    </row>
    <row r="123" customFormat="false" ht="15" hidden="false" customHeight="false" outlineLevel="0" collapsed="false">
      <c r="A123" s="55"/>
      <c r="B123" s="56"/>
      <c r="C123" s="56"/>
      <c r="D123" s="56"/>
      <c r="E123" s="57"/>
      <c r="F123" s="58"/>
      <c r="G123" s="59"/>
      <c r="H123" s="56"/>
      <c r="I123" s="60" t="str">
        <f aca="false">IF($D123="","",IFERROR(INDEX(Items!$D$5:$D$504,Q123),""))</f>
        <v/>
      </c>
      <c r="J123" s="61" t="str">
        <f aca="false">IF($D123="","",IF($F123="",IFERROR(INDEX(Items!$G$5:$G$504,Q123),0),$F123))</f>
        <v/>
      </c>
      <c r="K123" s="61" t="str">
        <f aca="false">IF($D123="","",ROUND(N($E123)*J123*(1-N($G123)),2))</f>
        <v/>
      </c>
      <c r="L123" s="62" t="str">
        <f aca="false">IF($D123="","",IFERROR(INDEX(Items!$F$5:$F$504,Q123),0))</f>
        <v/>
      </c>
      <c r="M123" s="61" t="str">
        <f aca="false">IF($D123="","",IF(AND(R123&lt;&gt;"",INDEX(Parties!$E$5:$E$304,R123)&lt;&gt;"",INDEX(Parties!$E$5:$E$304,R123)&lt;&gt;HomeState),0,ROUND(K123*L123/2,2)))</f>
        <v/>
      </c>
      <c r="N123" s="61" t="str">
        <f aca="false">IF($D123="","",M123)</f>
        <v/>
      </c>
      <c r="O123" s="61" t="str">
        <f aca="false">IF($D123="","",IF(AND(R123&lt;&gt;"",INDEX(Parties!$E$5:$E$304,R123)&lt;&gt;"",INDEX(Parties!$E$5:$E$304,R123)&lt;&gt;HomeState),ROUND(K123*L123,2),0))</f>
        <v/>
      </c>
      <c r="P123" s="61" t="str">
        <f aca="false">IF($D123="","",K123+M123+N123+O123)</f>
        <v/>
      </c>
      <c r="Q123" s="60" t="str">
        <f aca="false">IF($D123="","",IFERROR(MATCH($D123,Items!$A$5:$A$504,0),""))</f>
        <v/>
      </c>
      <c r="R123" s="60" t="str">
        <f aca="false">IF($C123="","",IFERROR(MATCH($C123,Parties!$A$5:$A$304,0),""))</f>
        <v/>
      </c>
      <c r="S123" s="61" t="str">
        <f aca="false">IF($D123="","",IF(OR($H123="",$H123="Credit"),0,P123))</f>
        <v/>
      </c>
    </row>
    <row r="124" customFormat="false" ht="15" hidden="false" customHeight="false" outlineLevel="0" collapsed="false">
      <c r="A124" s="55"/>
      <c r="B124" s="56"/>
      <c r="C124" s="56"/>
      <c r="D124" s="56"/>
      <c r="E124" s="57"/>
      <c r="F124" s="58"/>
      <c r="G124" s="59"/>
      <c r="H124" s="56"/>
      <c r="I124" s="60" t="str">
        <f aca="false">IF($D124="","",IFERROR(INDEX(Items!$D$5:$D$504,Q124),""))</f>
        <v/>
      </c>
      <c r="J124" s="61" t="str">
        <f aca="false">IF($D124="","",IF($F124="",IFERROR(INDEX(Items!$G$5:$G$504,Q124),0),$F124))</f>
        <v/>
      </c>
      <c r="K124" s="61" t="str">
        <f aca="false">IF($D124="","",ROUND(N($E124)*J124*(1-N($G124)),2))</f>
        <v/>
      </c>
      <c r="L124" s="62" t="str">
        <f aca="false">IF($D124="","",IFERROR(INDEX(Items!$F$5:$F$504,Q124),0))</f>
        <v/>
      </c>
      <c r="M124" s="61" t="str">
        <f aca="false">IF($D124="","",IF(AND(R124&lt;&gt;"",INDEX(Parties!$E$5:$E$304,R124)&lt;&gt;"",INDEX(Parties!$E$5:$E$304,R124)&lt;&gt;HomeState),0,ROUND(K124*L124/2,2)))</f>
        <v/>
      </c>
      <c r="N124" s="61" t="str">
        <f aca="false">IF($D124="","",M124)</f>
        <v/>
      </c>
      <c r="O124" s="61" t="str">
        <f aca="false">IF($D124="","",IF(AND(R124&lt;&gt;"",INDEX(Parties!$E$5:$E$304,R124)&lt;&gt;"",INDEX(Parties!$E$5:$E$304,R124)&lt;&gt;HomeState),ROUND(K124*L124,2),0))</f>
        <v/>
      </c>
      <c r="P124" s="61" t="str">
        <f aca="false">IF($D124="","",K124+M124+N124+O124)</f>
        <v/>
      </c>
      <c r="Q124" s="60" t="str">
        <f aca="false">IF($D124="","",IFERROR(MATCH($D124,Items!$A$5:$A$504,0),""))</f>
        <v/>
      </c>
      <c r="R124" s="60" t="str">
        <f aca="false">IF($C124="","",IFERROR(MATCH($C124,Parties!$A$5:$A$304,0),""))</f>
        <v/>
      </c>
      <c r="S124" s="61" t="str">
        <f aca="false">IF($D124="","",IF(OR($H124="",$H124="Credit"),0,P124))</f>
        <v/>
      </c>
    </row>
    <row r="125" customFormat="false" ht="15" hidden="false" customHeight="false" outlineLevel="0" collapsed="false">
      <c r="A125" s="55"/>
      <c r="B125" s="56"/>
      <c r="C125" s="56"/>
      <c r="D125" s="56"/>
      <c r="E125" s="57"/>
      <c r="F125" s="58"/>
      <c r="G125" s="59"/>
      <c r="H125" s="56"/>
      <c r="I125" s="60" t="str">
        <f aca="false">IF($D125="","",IFERROR(INDEX(Items!$D$5:$D$504,Q125),""))</f>
        <v/>
      </c>
      <c r="J125" s="61" t="str">
        <f aca="false">IF($D125="","",IF($F125="",IFERROR(INDEX(Items!$G$5:$G$504,Q125),0),$F125))</f>
        <v/>
      </c>
      <c r="K125" s="61" t="str">
        <f aca="false">IF($D125="","",ROUND(N($E125)*J125*(1-N($G125)),2))</f>
        <v/>
      </c>
      <c r="L125" s="62" t="str">
        <f aca="false">IF($D125="","",IFERROR(INDEX(Items!$F$5:$F$504,Q125),0))</f>
        <v/>
      </c>
      <c r="M125" s="61" t="str">
        <f aca="false">IF($D125="","",IF(AND(R125&lt;&gt;"",INDEX(Parties!$E$5:$E$304,R125)&lt;&gt;"",INDEX(Parties!$E$5:$E$304,R125)&lt;&gt;HomeState),0,ROUND(K125*L125/2,2)))</f>
        <v/>
      </c>
      <c r="N125" s="61" t="str">
        <f aca="false">IF($D125="","",M125)</f>
        <v/>
      </c>
      <c r="O125" s="61" t="str">
        <f aca="false">IF($D125="","",IF(AND(R125&lt;&gt;"",INDEX(Parties!$E$5:$E$304,R125)&lt;&gt;"",INDEX(Parties!$E$5:$E$304,R125)&lt;&gt;HomeState),ROUND(K125*L125,2),0))</f>
        <v/>
      </c>
      <c r="P125" s="61" t="str">
        <f aca="false">IF($D125="","",K125+M125+N125+O125)</f>
        <v/>
      </c>
      <c r="Q125" s="60" t="str">
        <f aca="false">IF($D125="","",IFERROR(MATCH($D125,Items!$A$5:$A$504,0),""))</f>
        <v/>
      </c>
      <c r="R125" s="60" t="str">
        <f aca="false">IF($C125="","",IFERROR(MATCH($C125,Parties!$A$5:$A$304,0),""))</f>
        <v/>
      </c>
      <c r="S125" s="61" t="str">
        <f aca="false">IF($D125="","",IF(OR($H125="",$H125="Credit"),0,P125))</f>
        <v/>
      </c>
    </row>
    <row r="126" customFormat="false" ht="15" hidden="false" customHeight="false" outlineLevel="0" collapsed="false">
      <c r="A126" s="55"/>
      <c r="B126" s="56"/>
      <c r="C126" s="56"/>
      <c r="D126" s="56"/>
      <c r="E126" s="57"/>
      <c r="F126" s="58"/>
      <c r="G126" s="59"/>
      <c r="H126" s="56"/>
      <c r="I126" s="60" t="str">
        <f aca="false">IF($D126="","",IFERROR(INDEX(Items!$D$5:$D$504,Q126),""))</f>
        <v/>
      </c>
      <c r="J126" s="61" t="str">
        <f aca="false">IF($D126="","",IF($F126="",IFERROR(INDEX(Items!$G$5:$G$504,Q126),0),$F126))</f>
        <v/>
      </c>
      <c r="K126" s="61" t="str">
        <f aca="false">IF($D126="","",ROUND(N($E126)*J126*(1-N($G126)),2))</f>
        <v/>
      </c>
      <c r="L126" s="62" t="str">
        <f aca="false">IF($D126="","",IFERROR(INDEX(Items!$F$5:$F$504,Q126),0))</f>
        <v/>
      </c>
      <c r="M126" s="61" t="str">
        <f aca="false">IF($D126="","",IF(AND(R126&lt;&gt;"",INDEX(Parties!$E$5:$E$304,R126)&lt;&gt;"",INDEX(Parties!$E$5:$E$304,R126)&lt;&gt;HomeState),0,ROUND(K126*L126/2,2)))</f>
        <v/>
      </c>
      <c r="N126" s="61" t="str">
        <f aca="false">IF($D126="","",M126)</f>
        <v/>
      </c>
      <c r="O126" s="61" t="str">
        <f aca="false">IF($D126="","",IF(AND(R126&lt;&gt;"",INDEX(Parties!$E$5:$E$304,R126)&lt;&gt;"",INDEX(Parties!$E$5:$E$304,R126)&lt;&gt;HomeState),ROUND(K126*L126,2),0))</f>
        <v/>
      </c>
      <c r="P126" s="61" t="str">
        <f aca="false">IF($D126="","",K126+M126+N126+O126)</f>
        <v/>
      </c>
      <c r="Q126" s="60" t="str">
        <f aca="false">IF($D126="","",IFERROR(MATCH($D126,Items!$A$5:$A$504,0),""))</f>
        <v/>
      </c>
      <c r="R126" s="60" t="str">
        <f aca="false">IF($C126="","",IFERROR(MATCH($C126,Parties!$A$5:$A$304,0),""))</f>
        <v/>
      </c>
      <c r="S126" s="61" t="str">
        <f aca="false">IF($D126="","",IF(OR($H126="",$H126="Credit"),0,P126))</f>
        <v/>
      </c>
    </row>
    <row r="127" customFormat="false" ht="15" hidden="false" customHeight="false" outlineLevel="0" collapsed="false">
      <c r="A127" s="55"/>
      <c r="B127" s="56"/>
      <c r="C127" s="56"/>
      <c r="D127" s="56"/>
      <c r="E127" s="57"/>
      <c r="F127" s="58"/>
      <c r="G127" s="59"/>
      <c r="H127" s="56"/>
      <c r="I127" s="60" t="str">
        <f aca="false">IF($D127="","",IFERROR(INDEX(Items!$D$5:$D$504,Q127),""))</f>
        <v/>
      </c>
      <c r="J127" s="61" t="str">
        <f aca="false">IF($D127="","",IF($F127="",IFERROR(INDEX(Items!$G$5:$G$504,Q127),0),$F127))</f>
        <v/>
      </c>
      <c r="K127" s="61" t="str">
        <f aca="false">IF($D127="","",ROUND(N($E127)*J127*(1-N($G127)),2))</f>
        <v/>
      </c>
      <c r="L127" s="62" t="str">
        <f aca="false">IF($D127="","",IFERROR(INDEX(Items!$F$5:$F$504,Q127),0))</f>
        <v/>
      </c>
      <c r="M127" s="61" t="str">
        <f aca="false">IF($D127="","",IF(AND(R127&lt;&gt;"",INDEX(Parties!$E$5:$E$304,R127)&lt;&gt;"",INDEX(Parties!$E$5:$E$304,R127)&lt;&gt;HomeState),0,ROUND(K127*L127/2,2)))</f>
        <v/>
      </c>
      <c r="N127" s="61" t="str">
        <f aca="false">IF($D127="","",M127)</f>
        <v/>
      </c>
      <c r="O127" s="61" t="str">
        <f aca="false">IF($D127="","",IF(AND(R127&lt;&gt;"",INDEX(Parties!$E$5:$E$304,R127)&lt;&gt;"",INDEX(Parties!$E$5:$E$304,R127)&lt;&gt;HomeState),ROUND(K127*L127,2),0))</f>
        <v/>
      </c>
      <c r="P127" s="61" t="str">
        <f aca="false">IF($D127="","",K127+M127+N127+O127)</f>
        <v/>
      </c>
      <c r="Q127" s="60" t="str">
        <f aca="false">IF($D127="","",IFERROR(MATCH($D127,Items!$A$5:$A$504,0),""))</f>
        <v/>
      </c>
      <c r="R127" s="60" t="str">
        <f aca="false">IF($C127="","",IFERROR(MATCH($C127,Parties!$A$5:$A$304,0),""))</f>
        <v/>
      </c>
      <c r="S127" s="61" t="str">
        <f aca="false">IF($D127="","",IF(OR($H127="",$H127="Credit"),0,P127))</f>
        <v/>
      </c>
    </row>
    <row r="128" customFormat="false" ht="15" hidden="false" customHeight="false" outlineLevel="0" collapsed="false">
      <c r="A128" s="55"/>
      <c r="B128" s="56"/>
      <c r="C128" s="56"/>
      <c r="D128" s="56"/>
      <c r="E128" s="57"/>
      <c r="F128" s="58"/>
      <c r="G128" s="59"/>
      <c r="H128" s="56"/>
      <c r="I128" s="60" t="str">
        <f aca="false">IF($D128="","",IFERROR(INDEX(Items!$D$5:$D$504,Q128),""))</f>
        <v/>
      </c>
      <c r="J128" s="61" t="str">
        <f aca="false">IF($D128="","",IF($F128="",IFERROR(INDEX(Items!$G$5:$G$504,Q128),0),$F128))</f>
        <v/>
      </c>
      <c r="K128" s="61" t="str">
        <f aca="false">IF($D128="","",ROUND(N($E128)*J128*(1-N($G128)),2))</f>
        <v/>
      </c>
      <c r="L128" s="62" t="str">
        <f aca="false">IF($D128="","",IFERROR(INDEX(Items!$F$5:$F$504,Q128),0))</f>
        <v/>
      </c>
      <c r="M128" s="61" t="str">
        <f aca="false">IF($D128="","",IF(AND(R128&lt;&gt;"",INDEX(Parties!$E$5:$E$304,R128)&lt;&gt;"",INDEX(Parties!$E$5:$E$304,R128)&lt;&gt;HomeState),0,ROUND(K128*L128/2,2)))</f>
        <v/>
      </c>
      <c r="N128" s="61" t="str">
        <f aca="false">IF($D128="","",M128)</f>
        <v/>
      </c>
      <c r="O128" s="61" t="str">
        <f aca="false">IF($D128="","",IF(AND(R128&lt;&gt;"",INDEX(Parties!$E$5:$E$304,R128)&lt;&gt;"",INDEX(Parties!$E$5:$E$304,R128)&lt;&gt;HomeState),ROUND(K128*L128,2),0))</f>
        <v/>
      </c>
      <c r="P128" s="61" t="str">
        <f aca="false">IF($D128="","",K128+M128+N128+O128)</f>
        <v/>
      </c>
      <c r="Q128" s="60" t="str">
        <f aca="false">IF($D128="","",IFERROR(MATCH($D128,Items!$A$5:$A$504,0),""))</f>
        <v/>
      </c>
      <c r="R128" s="60" t="str">
        <f aca="false">IF($C128="","",IFERROR(MATCH($C128,Parties!$A$5:$A$304,0),""))</f>
        <v/>
      </c>
      <c r="S128" s="61" t="str">
        <f aca="false">IF($D128="","",IF(OR($H128="",$H128="Credit"),0,P128))</f>
        <v/>
      </c>
    </row>
    <row r="129" customFormat="false" ht="15" hidden="false" customHeight="false" outlineLevel="0" collapsed="false">
      <c r="A129" s="55"/>
      <c r="B129" s="56"/>
      <c r="C129" s="56"/>
      <c r="D129" s="56"/>
      <c r="E129" s="57"/>
      <c r="F129" s="58"/>
      <c r="G129" s="59"/>
      <c r="H129" s="56"/>
      <c r="I129" s="60" t="str">
        <f aca="false">IF($D129="","",IFERROR(INDEX(Items!$D$5:$D$504,Q129),""))</f>
        <v/>
      </c>
      <c r="J129" s="61" t="str">
        <f aca="false">IF($D129="","",IF($F129="",IFERROR(INDEX(Items!$G$5:$G$504,Q129),0),$F129))</f>
        <v/>
      </c>
      <c r="K129" s="61" t="str">
        <f aca="false">IF($D129="","",ROUND(N($E129)*J129*(1-N($G129)),2))</f>
        <v/>
      </c>
      <c r="L129" s="62" t="str">
        <f aca="false">IF($D129="","",IFERROR(INDEX(Items!$F$5:$F$504,Q129),0))</f>
        <v/>
      </c>
      <c r="M129" s="61" t="str">
        <f aca="false">IF($D129="","",IF(AND(R129&lt;&gt;"",INDEX(Parties!$E$5:$E$304,R129)&lt;&gt;"",INDEX(Parties!$E$5:$E$304,R129)&lt;&gt;HomeState),0,ROUND(K129*L129/2,2)))</f>
        <v/>
      </c>
      <c r="N129" s="61" t="str">
        <f aca="false">IF($D129="","",M129)</f>
        <v/>
      </c>
      <c r="O129" s="61" t="str">
        <f aca="false">IF($D129="","",IF(AND(R129&lt;&gt;"",INDEX(Parties!$E$5:$E$304,R129)&lt;&gt;"",INDEX(Parties!$E$5:$E$304,R129)&lt;&gt;HomeState),ROUND(K129*L129,2),0))</f>
        <v/>
      </c>
      <c r="P129" s="61" t="str">
        <f aca="false">IF($D129="","",K129+M129+N129+O129)</f>
        <v/>
      </c>
      <c r="Q129" s="60" t="str">
        <f aca="false">IF($D129="","",IFERROR(MATCH($D129,Items!$A$5:$A$504,0),""))</f>
        <v/>
      </c>
      <c r="R129" s="60" t="str">
        <f aca="false">IF($C129="","",IFERROR(MATCH($C129,Parties!$A$5:$A$304,0),""))</f>
        <v/>
      </c>
      <c r="S129" s="61" t="str">
        <f aca="false">IF($D129="","",IF(OR($H129="",$H129="Credit"),0,P129))</f>
        <v/>
      </c>
    </row>
    <row r="130" customFormat="false" ht="15" hidden="false" customHeight="false" outlineLevel="0" collapsed="false">
      <c r="A130" s="55"/>
      <c r="B130" s="56"/>
      <c r="C130" s="56"/>
      <c r="D130" s="56"/>
      <c r="E130" s="57"/>
      <c r="F130" s="58"/>
      <c r="G130" s="59"/>
      <c r="H130" s="56"/>
      <c r="I130" s="60" t="str">
        <f aca="false">IF($D130="","",IFERROR(INDEX(Items!$D$5:$D$504,Q130),""))</f>
        <v/>
      </c>
      <c r="J130" s="61" t="str">
        <f aca="false">IF($D130="","",IF($F130="",IFERROR(INDEX(Items!$G$5:$G$504,Q130),0),$F130))</f>
        <v/>
      </c>
      <c r="K130" s="61" t="str">
        <f aca="false">IF($D130="","",ROUND(N($E130)*J130*(1-N($G130)),2))</f>
        <v/>
      </c>
      <c r="L130" s="62" t="str">
        <f aca="false">IF($D130="","",IFERROR(INDEX(Items!$F$5:$F$504,Q130),0))</f>
        <v/>
      </c>
      <c r="M130" s="61" t="str">
        <f aca="false">IF($D130="","",IF(AND(R130&lt;&gt;"",INDEX(Parties!$E$5:$E$304,R130)&lt;&gt;"",INDEX(Parties!$E$5:$E$304,R130)&lt;&gt;HomeState),0,ROUND(K130*L130/2,2)))</f>
        <v/>
      </c>
      <c r="N130" s="61" t="str">
        <f aca="false">IF($D130="","",M130)</f>
        <v/>
      </c>
      <c r="O130" s="61" t="str">
        <f aca="false">IF($D130="","",IF(AND(R130&lt;&gt;"",INDEX(Parties!$E$5:$E$304,R130)&lt;&gt;"",INDEX(Parties!$E$5:$E$304,R130)&lt;&gt;HomeState),ROUND(K130*L130,2),0))</f>
        <v/>
      </c>
      <c r="P130" s="61" t="str">
        <f aca="false">IF($D130="","",K130+M130+N130+O130)</f>
        <v/>
      </c>
      <c r="Q130" s="60" t="str">
        <f aca="false">IF($D130="","",IFERROR(MATCH($D130,Items!$A$5:$A$504,0),""))</f>
        <v/>
      </c>
      <c r="R130" s="60" t="str">
        <f aca="false">IF($C130="","",IFERROR(MATCH($C130,Parties!$A$5:$A$304,0),""))</f>
        <v/>
      </c>
      <c r="S130" s="61" t="str">
        <f aca="false">IF($D130="","",IF(OR($H130="",$H130="Credit"),0,P130))</f>
        <v/>
      </c>
    </row>
    <row r="131" customFormat="false" ht="15" hidden="false" customHeight="false" outlineLevel="0" collapsed="false">
      <c r="A131" s="55"/>
      <c r="B131" s="56"/>
      <c r="C131" s="56"/>
      <c r="D131" s="56"/>
      <c r="E131" s="57"/>
      <c r="F131" s="58"/>
      <c r="G131" s="59"/>
      <c r="H131" s="56"/>
      <c r="I131" s="60" t="str">
        <f aca="false">IF($D131="","",IFERROR(INDEX(Items!$D$5:$D$504,Q131),""))</f>
        <v/>
      </c>
      <c r="J131" s="61" t="str">
        <f aca="false">IF($D131="","",IF($F131="",IFERROR(INDEX(Items!$G$5:$G$504,Q131),0),$F131))</f>
        <v/>
      </c>
      <c r="K131" s="61" t="str">
        <f aca="false">IF($D131="","",ROUND(N($E131)*J131*(1-N($G131)),2))</f>
        <v/>
      </c>
      <c r="L131" s="62" t="str">
        <f aca="false">IF($D131="","",IFERROR(INDEX(Items!$F$5:$F$504,Q131),0))</f>
        <v/>
      </c>
      <c r="M131" s="61" t="str">
        <f aca="false">IF($D131="","",IF(AND(R131&lt;&gt;"",INDEX(Parties!$E$5:$E$304,R131)&lt;&gt;"",INDEX(Parties!$E$5:$E$304,R131)&lt;&gt;HomeState),0,ROUND(K131*L131/2,2)))</f>
        <v/>
      </c>
      <c r="N131" s="61" t="str">
        <f aca="false">IF($D131="","",M131)</f>
        <v/>
      </c>
      <c r="O131" s="61" t="str">
        <f aca="false">IF($D131="","",IF(AND(R131&lt;&gt;"",INDEX(Parties!$E$5:$E$304,R131)&lt;&gt;"",INDEX(Parties!$E$5:$E$304,R131)&lt;&gt;HomeState),ROUND(K131*L131,2),0))</f>
        <v/>
      </c>
      <c r="P131" s="61" t="str">
        <f aca="false">IF($D131="","",K131+M131+N131+O131)</f>
        <v/>
      </c>
      <c r="Q131" s="60" t="str">
        <f aca="false">IF($D131="","",IFERROR(MATCH($D131,Items!$A$5:$A$504,0),""))</f>
        <v/>
      </c>
      <c r="R131" s="60" t="str">
        <f aca="false">IF($C131="","",IFERROR(MATCH($C131,Parties!$A$5:$A$304,0),""))</f>
        <v/>
      </c>
      <c r="S131" s="61" t="str">
        <f aca="false">IF($D131="","",IF(OR($H131="",$H131="Credit"),0,P131))</f>
        <v/>
      </c>
    </row>
    <row r="132" customFormat="false" ht="15" hidden="false" customHeight="false" outlineLevel="0" collapsed="false">
      <c r="A132" s="55"/>
      <c r="B132" s="56"/>
      <c r="C132" s="56"/>
      <c r="D132" s="56"/>
      <c r="E132" s="57"/>
      <c r="F132" s="58"/>
      <c r="G132" s="59"/>
      <c r="H132" s="56"/>
      <c r="I132" s="60" t="str">
        <f aca="false">IF($D132="","",IFERROR(INDEX(Items!$D$5:$D$504,Q132),""))</f>
        <v/>
      </c>
      <c r="J132" s="61" t="str">
        <f aca="false">IF($D132="","",IF($F132="",IFERROR(INDEX(Items!$G$5:$G$504,Q132),0),$F132))</f>
        <v/>
      </c>
      <c r="K132" s="61" t="str">
        <f aca="false">IF($D132="","",ROUND(N($E132)*J132*(1-N($G132)),2))</f>
        <v/>
      </c>
      <c r="L132" s="62" t="str">
        <f aca="false">IF($D132="","",IFERROR(INDEX(Items!$F$5:$F$504,Q132),0))</f>
        <v/>
      </c>
      <c r="M132" s="61" t="str">
        <f aca="false">IF($D132="","",IF(AND(R132&lt;&gt;"",INDEX(Parties!$E$5:$E$304,R132)&lt;&gt;"",INDEX(Parties!$E$5:$E$304,R132)&lt;&gt;HomeState),0,ROUND(K132*L132/2,2)))</f>
        <v/>
      </c>
      <c r="N132" s="61" t="str">
        <f aca="false">IF($D132="","",M132)</f>
        <v/>
      </c>
      <c r="O132" s="61" t="str">
        <f aca="false">IF($D132="","",IF(AND(R132&lt;&gt;"",INDEX(Parties!$E$5:$E$304,R132)&lt;&gt;"",INDEX(Parties!$E$5:$E$304,R132)&lt;&gt;HomeState),ROUND(K132*L132,2),0))</f>
        <v/>
      </c>
      <c r="P132" s="61" t="str">
        <f aca="false">IF($D132="","",K132+M132+N132+O132)</f>
        <v/>
      </c>
      <c r="Q132" s="60" t="str">
        <f aca="false">IF($D132="","",IFERROR(MATCH($D132,Items!$A$5:$A$504,0),""))</f>
        <v/>
      </c>
      <c r="R132" s="60" t="str">
        <f aca="false">IF($C132="","",IFERROR(MATCH($C132,Parties!$A$5:$A$304,0),""))</f>
        <v/>
      </c>
      <c r="S132" s="61" t="str">
        <f aca="false">IF($D132="","",IF(OR($H132="",$H132="Credit"),0,P132))</f>
        <v/>
      </c>
    </row>
    <row r="133" customFormat="false" ht="15" hidden="false" customHeight="false" outlineLevel="0" collapsed="false">
      <c r="A133" s="55"/>
      <c r="B133" s="56"/>
      <c r="C133" s="56"/>
      <c r="D133" s="56"/>
      <c r="E133" s="57"/>
      <c r="F133" s="58"/>
      <c r="G133" s="59"/>
      <c r="H133" s="56"/>
      <c r="I133" s="60" t="str">
        <f aca="false">IF($D133="","",IFERROR(INDEX(Items!$D$5:$D$504,Q133),""))</f>
        <v/>
      </c>
      <c r="J133" s="61" t="str">
        <f aca="false">IF($D133="","",IF($F133="",IFERROR(INDEX(Items!$G$5:$G$504,Q133),0),$F133))</f>
        <v/>
      </c>
      <c r="K133" s="61" t="str">
        <f aca="false">IF($D133="","",ROUND(N($E133)*J133*(1-N($G133)),2))</f>
        <v/>
      </c>
      <c r="L133" s="62" t="str">
        <f aca="false">IF($D133="","",IFERROR(INDEX(Items!$F$5:$F$504,Q133),0))</f>
        <v/>
      </c>
      <c r="M133" s="61" t="str">
        <f aca="false">IF($D133="","",IF(AND(R133&lt;&gt;"",INDEX(Parties!$E$5:$E$304,R133)&lt;&gt;"",INDEX(Parties!$E$5:$E$304,R133)&lt;&gt;HomeState),0,ROUND(K133*L133/2,2)))</f>
        <v/>
      </c>
      <c r="N133" s="61" t="str">
        <f aca="false">IF($D133="","",M133)</f>
        <v/>
      </c>
      <c r="O133" s="61" t="str">
        <f aca="false">IF($D133="","",IF(AND(R133&lt;&gt;"",INDEX(Parties!$E$5:$E$304,R133)&lt;&gt;"",INDEX(Parties!$E$5:$E$304,R133)&lt;&gt;HomeState),ROUND(K133*L133,2),0))</f>
        <v/>
      </c>
      <c r="P133" s="61" t="str">
        <f aca="false">IF($D133="","",K133+M133+N133+O133)</f>
        <v/>
      </c>
      <c r="Q133" s="60" t="str">
        <f aca="false">IF($D133="","",IFERROR(MATCH($D133,Items!$A$5:$A$504,0),""))</f>
        <v/>
      </c>
      <c r="R133" s="60" t="str">
        <f aca="false">IF($C133="","",IFERROR(MATCH($C133,Parties!$A$5:$A$304,0),""))</f>
        <v/>
      </c>
      <c r="S133" s="61" t="str">
        <f aca="false">IF($D133="","",IF(OR($H133="",$H133="Credit"),0,P133))</f>
        <v/>
      </c>
    </row>
    <row r="134" customFormat="false" ht="15" hidden="false" customHeight="false" outlineLevel="0" collapsed="false">
      <c r="A134" s="55"/>
      <c r="B134" s="56"/>
      <c r="C134" s="56"/>
      <c r="D134" s="56"/>
      <c r="E134" s="57"/>
      <c r="F134" s="58"/>
      <c r="G134" s="59"/>
      <c r="H134" s="56"/>
      <c r="I134" s="60" t="str">
        <f aca="false">IF($D134="","",IFERROR(INDEX(Items!$D$5:$D$504,Q134),""))</f>
        <v/>
      </c>
      <c r="J134" s="61" t="str">
        <f aca="false">IF($D134="","",IF($F134="",IFERROR(INDEX(Items!$G$5:$G$504,Q134),0),$F134))</f>
        <v/>
      </c>
      <c r="K134" s="61" t="str">
        <f aca="false">IF($D134="","",ROUND(N($E134)*J134*(1-N($G134)),2))</f>
        <v/>
      </c>
      <c r="L134" s="62" t="str">
        <f aca="false">IF($D134="","",IFERROR(INDEX(Items!$F$5:$F$504,Q134),0))</f>
        <v/>
      </c>
      <c r="M134" s="61" t="str">
        <f aca="false">IF($D134="","",IF(AND(R134&lt;&gt;"",INDEX(Parties!$E$5:$E$304,R134)&lt;&gt;"",INDEX(Parties!$E$5:$E$304,R134)&lt;&gt;HomeState),0,ROUND(K134*L134/2,2)))</f>
        <v/>
      </c>
      <c r="N134" s="61" t="str">
        <f aca="false">IF($D134="","",M134)</f>
        <v/>
      </c>
      <c r="O134" s="61" t="str">
        <f aca="false">IF($D134="","",IF(AND(R134&lt;&gt;"",INDEX(Parties!$E$5:$E$304,R134)&lt;&gt;"",INDEX(Parties!$E$5:$E$304,R134)&lt;&gt;HomeState),ROUND(K134*L134,2),0))</f>
        <v/>
      </c>
      <c r="P134" s="61" t="str">
        <f aca="false">IF($D134="","",K134+M134+N134+O134)</f>
        <v/>
      </c>
      <c r="Q134" s="60" t="str">
        <f aca="false">IF($D134="","",IFERROR(MATCH($D134,Items!$A$5:$A$504,0),""))</f>
        <v/>
      </c>
      <c r="R134" s="60" t="str">
        <f aca="false">IF($C134="","",IFERROR(MATCH($C134,Parties!$A$5:$A$304,0),""))</f>
        <v/>
      </c>
      <c r="S134" s="61" t="str">
        <f aca="false">IF($D134="","",IF(OR($H134="",$H134="Credit"),0,P134))</f>
        <v/>
      </c>
    </row>
    <row r="135" customFormat="false" ht="15" hidden="false" customHeight="false" outlineLevel="0" collapsed="false">
      <c r="A135" s="55"/>
      <c r="B135" s="56"/>
      <c r="C135" s="56"/>
      <c r="D135" s="56"/>
      <c r="E135" s="57"/>
      <c r="F135" s="58"/>
      <c r="G135" s="59"/>
      <c r="H135" s="56"/>
      <c r="I135" s="60" t="str">
        <f aca="false">IF($D135="","",IFERROR(INDEX(Items!$D$5:$D$504,Q135),""))</f>
        <v/>
      </c>
      <c r="J135" s="61" t="str">
        <f aca="false">IF($D135="","",IF($F135="",IFERROR(INDEX(Items!$G$5:$G$504,Q135),0),$F135))</f>
        <v/>
      </c>
      <c r="K135" s="61" t="str">
        <f aca="false">IF($D135="","",ROUND(N($E135)*J135*(1-N($G135)),2))</f>
        <v/>
      </c>
      <c r="L135" s="62" t="str">
        <f aca="false">IF($D135="","",IFERROR(INDEX(Items!$F$5:$F$504,Q135),0))</f>
        <v/>
      </c>
      <c r="M135" s="61" t="str">
        <f aca="false">IF($D135="","",IF(AND(R135&lt;&gt;"",INDEX(Parties!$E$5:$E$304,R135)&lt;&gt;"",INDEX(Parties!$E$5:$E$304,R135)&lt;&gt;HomeState),0,ROUND(K135*L135/2,2)))</f>
        <v/>
      </c>
      <c r="N135" s="61" t="str">
        <f aca="false">IF($D135="","",M135)</f>
        <v/>
      </c>
      <c r="O135" s="61" t="str">
        <f aca="false">IF($D135="","",IF(AND(R135&lt;&gt;"",INDEX(Parties!$E$5:$E$304,R135)&lt;&gt;"",INDEX(Parties!$E$5:$E$304,R135)&lt;&gt;HomeState),ROUND(K135*L135,2),0))</f>
        <v/>
      </c>
      <c r="P135" s="61" t="str">
        <f aca="false">IF($D135="","",K135+M135+N135+O135)</f>
        <v/>
      </c>
      <c r="Q135" s="60" t="str">
        <f aca="false">IF($D135="","",IFERROR(MATCH($D135,Items!$A$5:$A$504,0),""))</f>
        <v/>
      </c>
      <c r="R135" s="60" t="str">
        <f aca="false">IF($C135="","",IFERROR(MATCH($C135,Parties!$A$5:$A$304,0),""))</f>
        <v/>
      </c>
      <c r="S135" s="61" t="str">
        <f aca="false">IF($D135="","",IF(OR($H135="",$H135="Credit"),0,P135))</f>
        <v/>
      </c>
    </row>
    <row r="136" customFormat="false" ht="15" hidden="false" customHeight="false" outlineLevel="0" collapsed="false">
      <c r="A136" s="55"/>
      <c r="B136" s="56"/>
      <c r="C136" s="56"/>
      <c r="D136" s="56"/>
      <c r="E136" s="57"/>
      <c r="F136" s="58"/>
      <c r="G136" s="59"/>
      <c r="H136" s="56"/>
      <c r="I136" s="60" t="str">
        <f aca="false">IF($D136="","",IFERROR(INDEX(Items!$D$5:$D$504,Q136),""))</f>
        <v/>
      </c>
      <c r="J136" s="61" t="str">
        <f aca="false">IF($D136="","",IF($F136="",IFERROR(INDEX(Items!$G$5:$G$504,Q136),0),$F136))</f>
        <v/>
      </c>
      <c r="K136" s="61" t="str">
        <f aca="false">IF($D136="","",ROUND(N($E136)*J136*(1-N($G136)),2))</f>
        <v/>
      </c>
      <c r="L136" s="62" t="str">
        <f aca="false">IF($D136="","",IFERROR(INDEX(Items!$F$5:$F$504,Q136),0))</f>
        <v/>
      </c>
      <c r="M136" s="61" t="str">
        <f aca="false">IF($D136="","",IF(AND(R136&lt;&gt;"",INDEX(Parties!$E$5:$E$304,R136)&lt;&gt;"",INDEX(Parties!$E$5:$E$304,R136)&lt;&gt;HomeState),0,ROUND(K136*L136/2,2)))</f>
        <v/>
      </c>
      <c r="N136" s="61" t="str">
        <f aca="false">IF($D136="","",M136)</f>
        <v/>
      </c>
      <c r="O136" s="61" t="str">
        <f aca="false">IF($D136="","",IF(AND(R136&lt;&gt;"",INDEX(Parties!$E$5:$E$304,R136)&lt;&gt;"",INDEX(Parties!$E$5:$E$304,R136)&lt;&gt;HomeState),ROUND(K136*L136,2),0))</f>
        <v/>
      </c>
      <c r="P136" s="61" t="str">
        <f aca="false">IF($D136="","",K136+M136+N136+O136)</f>
        <v/>
      </c>
      <c r="Q136" s="60" t="str">
        <f aca="false">IF($D136="","",IFERROR(MATCH($D136,Items!$A$5:$A$504,0),""))</f>
        <v/>
      </c>
      <c r="R136" s="60" t="str">
        <f aca="false">IF($C136="","",IFERROR(MATCH($C136,Parties!$A$5:$A$304,0),""))</f>
        <v/>
      </c>
      <c r="S136" s="61" t="str">
        <f aca="false">IF($D136="","",IF(OR($H136="",$H136="Credit"),0,P136))</f>
        <v/>
      </c>
    </row>
    <row r="137" customFormat="false" ht="15" hidden="false" customHeight="false" outlineLevel="0" collapsed="false">
      <c r="A137" s="55"/>
      <c r="B137" s="56"/>
      <c r="C137" s="56"/>
      <c r="D137" s="56"/>
      <c r="E137" s="57"/>
      <c r="F137" s="58"/>
      <c r="G137" s="59"/>
      <c r="H137" s="56"/>
      <c r="I137" s="60" t="str">
        <f aca="false">IF($D137="","",IFERROR(INDEX(Items!$D$5:$D$504,Q137),""))</f>
        <v/>
      </c>
      <c r="J137" s="61" t="str">
        <f aca="false">IF($D137="","",IF($F137="",IFERROR(INDEX(Items!$G$5:$G$504,Q137),0),$F137))</f>
        <v/>
      </c>
      <c r="K137" s="61" t="str">
        <f aca="false">IF($D137="","",ROUND(N($E137)*J137*(1-N($G137)),2))</f>
        <v/>
      </c>
      <c r="L137" s="62" t="str">
        <f aca="false">IF($D137="","",IFERROR(INDEX(Items!$F$5:$F$504,Q137),0))</f>
        <v/>
      </c>
      <c r="M137" s="61" t="str">
        <f aca="false">IF($D137="","",IF(AND(R137&lt;&gt;"",INDEX(Parties!$E$5:$E$304,R137)&lt;&gt;"",INDEX(Parties!$E$5:$E$304,R137)&lt;&gt;HomeState),0,ROUND(K137*L137/2,2)))</f>
        <v/>
      </c>
      <c r="N137" s="61" t="str">
        <f aca="false">IF($D137="","",M137)</f>
        <v/>
      </c>
      <c r="O137" s="61" t="str">
        <f aca="false">IF($D137="","",IF(AND(R137&lt;&gt;"",INDEX(Parties!$E$5:$E$304,R137)&lt;&gt;"",INDEX(Parties!$E$5:$E$304,R137)&lt;&gt;HomeState),ROUND(K137*L137,2),0))</f>
        <v/>
      </c>
      <c r="P137" s="61" t="str">
        <f aca="false">IF($D137="","",K137+M137+N137+O137)</f>
        <v/>
      </c>
      <c r="Q137" s="60" t="str">
        <f aca="false">IF($D137="","",IFERROR(MATCH($D137,Items!$A$5:$A$504,0),""))</f>
        <v/>
      </c>
      <c r="R137" s="60" t="str">
        <f aca="false">IF($C137="","",IFERROR(MATCH($C137,Parties!$A$5:$A$304,0),""))</f>
        <v/>
      </c>
      <c r="S137" s="61" t="str">
        <f aca="false">IF($D137="","",IF(OR($H137="",$H137="Credit"),0,P137))</f>
        <v/>
      </c>
    </row>
    <row r="138" customFormat="false" ht="15" hidden="false" customHeight="false" outlineLevel="0" collapsed="false">
      <c r="A138" s="55"/>
      <c r="B138" s="56"/>
      <c r="C138" s="56"/>
      <c r="D138" s="56"/>
      <c r="E138" s="57"/>
      <c r="F138" s="58"/>
      <c r="G138" s="59"/>
      <c r="H138" s="56"/>
      <c r="I138" s="60" t="str">
        <f aca="false">IF($D138="","",IFERROR(INDEX(Items!$D$5:$D$504,Q138),""))</f>
        <v/>
      </c>
      <c r="J138" s="61" t="str">
        <f aca="false">IF($D138="","",IF($F138="",IFERROR(INDEX(Items!$G$5:$G$504,Q138),0),$F138))</f>
        <v/>
      </c>
      <c r="K138" s="61" t="str">
        <f aca="false">IF($D138="","",ROUND(N($E138)*J138*(1-N($G138)),2))</f>
        <v/>
      </c>
      <c r="L138" s="62" t="str">
        <f aca="false">IF($D138="","",IFERROR(INDEX(Items!$F$5:$F$504,Q138),0))</f>
        <v/>
      </c>
      <c r="M138" s="61" t="str">
        <f aca="false">IF($D138="","",IF(AND(R138&lt;&gt;"",INDEX(Parties!$E$5:$E$304,R138)&lt;&gt;"",INDEX(Parties!$E$5:$E$304,R138)&lt;&gt;HomeState),0,ROUND(K138*L138/2,2)))</f>
        <v/>
      </c>
      <c r="N138" s="61" t="str">
        <f aca="false">IF($D138="","",M138)</f>
        <v/>
      </c>
      <c r="O138" s="61" t="str">
        <f aca="false">IF($D138="","",IF(AND(R138&lt;&gt;"",INDEX(Parties!$E$5:$E$304,R138)&lt;&gt;"",INDEX(Parties!$E$5:$E$304,R138)&lt;&gt;HomeState),ROUND(K138*L138,2),0))</f>
        <v/>
      </c>
      <c r="P138" s="61" t="str">
        <f aca="false">IF($D138="","",K138+M138+N138+O138)</f>
        <v/>
      </c>
      <c r="Q138" s="60" t="str">
        <f aca="false">IF($D138="","",IFERROR(MATCH($D138,Items!$A$5:$A$504,0),""))</f>
        <v/>
      </c>
      <c r="R138" s="60" t="str">
        <f aca="false">IF($C138="","",IFERROR(MATCH($C138,Parties!$A$5:$A$304,0),""))</f>
        <v/>
      </c>
      <c r="S138" s="61" t="str">
        <f aca="false">IF($D138="","",IF(OR($H138="",$H138="Credit"),0,P138))</f>
        <v/>
      </c>
    </row>
    <row r="139" customFormat="false" ht="15" hidden="false" customHeight="false" outlineLevel="0" collapsed="false">
      <c r="A139" s="55"/>
      <c r="B139" s="56"/>
      <c r="C139" s="56"/>
      <c r="D139" s="56"/>
      <c r="E139" s="57"/>
      <c r="F139" s="58"/>
      <c r="G139" s="59"/>
      <c r="H139" s="56"/>
      <c r="I139" s="60" t="str">
        <f aca="false">IF($D139="","",IFERROR(INDEX(Items!$D$5:$D$504,Q139),""))</f>
        <v/>
      </c>
      <c r="J139" s="61" t="str">
        <f aca="false">IF($D139="","",IF($F139="",IFERROR(INDEX(Items!$G$5:$G$504,Q139),0),$F139))</f>
        <v/>
      </c>
      <c r="K139" s="61" t="str">
        <f aca="false">IF($D139="","",ROUND(N($E139)*J139*(1-N($G139)),2))</f>
        <v/>
      </c>
      <c r="L139" s="62" t="str">
        <f aca="false">IF($D139="","",IFERROR(INDEX(Items!$F$5:$F$504,Q139),0))</f>
        <v/>
      </c>
      <c r="M139" s="61" t="str">
        <f aca="false">IF($D139="","",IF(AND(R139&lt;&gt;"",INDEX(Parties!$E$5:$E$304,R139)&lt;&gt;"",INDEX(Parties!$E$5:$E$304,R139)&lt;&gt;HomeState),0,ROUND(K139*L139/2,2)))</f>
        <v/>
      </c>
      <c r="N139" s="61" t="str">
        <f aca="false">IF($D139="","",M139)</f>
        <v/>
      </c>
      <c r="O139" s="61" t="str">
        <f aca="false">IF($D139="","",IF(AND(R139&lt;&gt;"",INDEX(Parties!$E$5:$E$304,R139)&lt;&gt;"",INDEX(Parties!$E$5:$E$304,R139)&lt;&gt;HomeState),ROUND(K139*L139,2),0))</f>
        <v/>
      </c>
      <c r="P139" s="61" t="str">
        <f aca="false">IF($D139="","",K139+M139+N139+O139)</f>
        <v/>
      </c>
      <c r="Q139" s="60" t="str">
        <f aca="false">IF($D139="","",IFERROR(MATCH($D139,Items!$A$5:$A$504,0),""))</f>
        <v/>
      </c>
      <c r="R139" s="60" t="str">
        <f aca="false">IF($C139="","",IFERROR(MATCH($C139,Parties!$A$5:$A$304,0),""))</f>
        <v/>
      </c>
      <c r="S139" s="61" t="str">
        <f aca="false">IF($D139="","",IF(OR($H139="",$H139="Credit"),0,P139))</f>
        <v/>
      </c>
    </row>
    <row r="140" customFormat="false" ht="15" hidden="false" customHeight="false" outlineLevel="0" collapsed="false">
      <c r="A140" s="55"/>
      <c r="B140" s="56"/>
      <c r="C140" s="56"/>
      <c r="D140" s="56"/>
      <c r="E140" s="57"/>
      <c r="F140" s="58"/>
      <c r="G140" s="59"/>
      <c r="H140" s="56"/>
      <c r="I140" s="60" t="str">
        <f aca="false">IF($D140="","",IFERROR(INDEX(Items!$D$5:$D$504,Q140),""))</f>
        <v/>
      </c>
      <c r="J140" s="61" t="str">
        <f aca="false">IF($D140="","",IF($F140="",IFERROR(INDEX(Items!$G$5:$G$504,Q140),0),$F140))</f>
        <v/>
      </c>
      <c r="K140" s="61" t="str">
        <f aca="false">IF($D140="","",ROUND(N($E140)*J140*(1-N($G140)),2))</f>
        <v/>
      </c>
      <c r="L140" s="62" t="str">
        <f aca="false">IF($D140="","",IFERROR(INDEX(Items!$F$5:$F$504,Q140),0))</f>
        <v/>
      </c>
      <c r="M140" s="61" t="str">
        <f aca="false">IF($D140="","",IF(AND(R140&lt;&gt;"",INDEX(Parties!$E$5:$E$304,R140)&lt;&gt;"",INDEX(Parties!$E$5:$E$304,R140)&lt;&gt;HomeState),0,ROUND(K140*L140/2,2)))</f>
        <v/>
      </c>
      <c r="N140" s="61" t="str">
        <f aca="false">IF($D140="","",M140)</f>
        <v/>
      </c>
      <c r="O140" s="61" t="str">
        <f aca="false">IF($D140="","",IF(AND(R140&lt;&gt;"",INDEX(Parties!$E$5:$E$304,R140)&lt;&gt;"",INDEX(Parties!$E$5:$E$304,R140)&lt;&gt;HomeState),ROUND(K140*L140,2),0))</f>
        <v/>
      </c>
      <c r="P140" s="61" t="str">
        <f aca="false">IF($D140="","",K140+M140+N140+O140)</f>
        <v/>
      </c>
      <c r="Q140" s="60" t="str">
        <f aca="false">IF($D140="","",IFERROR(MATCH($D140,Items!$A$5:$A$504,0),""))</f>
        <v/>
      </c>
      <c r="R140" s="60" t="str">
        <f aca="false">IF($C140="","",IFERROR(MATCH($C140,Parties!$A$5:$A$304,0),""))</f>
        <v/>
      </c>
      <c r="S140" s="61" t="str">
        <f aca="false">IF($D140="","",IF(OR($H140="",$H140="Credit"),0,P140))</f>
        <v/>
      </c>
    </row>
    <row r="141" customFormat="false" ht="15" hidden="false" customHeight="false" outlineLevel="0" collapsed="false">
      <c r="A141" s="55"/>
      <c r="B141" s="56"/>
      <c r="C141" s="56"/>
      <c r="D141" s="56"/>
      <c r="E141" s="57"/>
      <c r="F141" s="58"/>
      <c r="G141" s="59"/>
      <c r="H141" s="56"/>
      <c r="I141" s="60" t="str">
        <f aca="false">IF($D141="","",IFERROR(INDEX(Items!$D$5:$D$504,Q141),""))</f>
        <v/>
      </c>
      <c r="J141" s="61" t="str">
        <f aca="false">IF($D141="","",IF($F141="",IFERROR(INDEX(Items!$G$5:$G$504,Q141),0),$F141))</f>
        <v/>
      </c>
      <c r="K141" s="61" t="str">
        <f aca="false">IF($D141="","",ROUND(N($E141)*J141*(1-N($G141)),2))</f>
        <v/>
      </c>
      <c r="L141" s="62" t="str">
        <f aca="false">IF($D141="","",IFERROR(INDEX(Items!$F$5:$F$504,Q141),0))</f>
        <v/>
      </c>
      <c r="M141" s="61" t="str">
        <f aca="false">IF($D141="","",IF(AND(R141&lt;&gt;"",INDEX(Parties!$E$5:$E$304,R141)&lt;&gt;"",INDEX(Parties!$E$5:$E$304,R141)&lt;&gt;HomeState),0,ROUND(K141*L141/2,2)))</f>
        <v/>
      </c>
      <c r="N141" s="61" t="str">
        <f aca="false">IF($D141="","",M141)</f>
        <v/>
      </c>
      <c r="O141" s="61" t="str">
        <f aca="false">IF($D141="","",IF(AND(R141&lt;&gt;"",INDEX(Parties!$E$5:$E$304,R141)&lt;&gt;"",INDEX(Parties!$E$5:$E$304,R141)&lt;&gt;HomeState),ROUND(K141*L141,2),0))</f>
        <v/>
      </c>
      <c r="P141" s="61" t="str">
        <f aca="false">IF($D141="","",K141+M141+N141+O141)</f>
        <v/>
      </c>
      <c r="Q141" s="60" t="str">
        <f aca="false">IF($D141="","",IFERROR(MATCH($D141,Items!$A$5:$A$504,0),""))</f>
        <v/>
      </c>
      <c r="R141" s="60" t="str">
        <f aca="false">IF($C141="","",IFERROR(MATCH($C141,Parties!$A$5:$A$304,0),""))</f>
        <v/>
      </c>
      <c r="S141" s="61" t="str">
        <f aca="false">IF($D141="","",IF(OR($H141="",$H141="Credit"),0,P141))</f>
        <v/>
      </c>
    </row>
    <row r="142" customFormat="false" ht="15" hidden="false" customHeight="false" outlineLevel="0" collapsed="false">
      <c r="A142" s="55"/>
      <c r="B142" s="56"/>
      <c r="C142" s="56"/>
      <c r="D142" s="56"/>
      <c r="E142" s="57"/>
      <c r="F142" s="58"/>
      <c r="G142" s="59"/>
      <c r="H142" s="56"/>
      <c r="I142" s="60" t="str">
        <f aca="false">IF($D142="","",IFERROR(INDEX(Items!$D$5:$D$504,Q142),""))</f>
        <v/>
      </c>
      <c r="J142" s="61" t="str">
        <f aca="false">IF($D142="","",IF($F142="",IFERROR(INDEX(Items!$G$5:$G$504,Q142),0),$F142))</f>
        <v/>
      </c>
      <c r="K142" s="61" t="str">
        <f aca="false">IF($D142="","",ROUND(N($E142)*J142*(1-N($G142)),2))</f>
        <v/>
      </c>
      <c r="L142" s="62" t="str">
        <f aca="false">IF($D142="","",IFERROR(INDEX(Items!$F$5:$F$504,Q142),0))</f>
        <v/>
      </c>
      <c r="M142" s="61" t="str">
        <f aca="false">IF($D142="","",IF(AND(R142&lt;&gt;"",INDEX(Parties!$E$5:$E$304,R142)&lt;&gt;"",INDEX(Parties!$E$5:$E$304,R142)&lt;&gt;HomeState),0,ROUND(K142*L142/2,2)))</f>
        <v/>
      </c>
      <c r="N142" s="61" t="str">
        <f aca="false">IF($D142="","",M142)</f>
        <v/>
      </c>
      <c r="O142" s="61" t="str">
        <f aca="false">IF($D142="","",IF(AND(R142&lt;&gt;"",INDEX(Parties!$E$5:$E$304,R142)&lt;&gt;"",INDEX(Parties!$E$5:$E$304,R142)&lt;&gt;HomeState),ROUND(K142*L142,2),0))</f>
        <v/>
      </c>
      <c r="P142" s="61" t="str">
        <f aca="false">IF($D142="","",K142+M142+N142+O142)</f>
        <v/>
      </c>
      <c r="Q142" s="60" t="str">
        <f aca="false">IF($D142="","",IFERROR(MATCH($D142,Items!$A$5:$A$504,0),""))</f>
        <v/>
      </c>
      <c r="R142" s="60" t="str">
        <f aca="false">IF($C142="","",IFERROR(MATCH($C142,Parties!$A$5:$A$304,0),""))</f>
        <v/>
      </c>
      <c r="S142" s="61" t="str">
        <f aca="false">IF($D142="","",IF(OR($H142="",$H142="Credit"),0,P142))</f>
        <v/>
      </c>
    </row>
    <row r="143" customFormat="false" ht="15" hidden="false" customHeight="false" outlineLevel="0" collapsed="false">
      <c r="A143" s="55"/>
      <c r="B143" s="56"/>
      <c r="C143" s="56"/>
      <c r="D143" s="56"/>
      <c r="E143" s="57"/>
      <c r="F143" s="58"/>
      <c r="G143" s="59"/>
      <c r="H143" s="56"/>
      <c r="I143" s="60" t="str">
        <f aca="false">IF($D143="","",IFERROR(INDEX(Items!$D$5:$D$504,Q143),""))</f>
        <v/>
      </c>
      <c r="J143" s="61" t="str">
        <f aca="false">IF($D143="","",IF($F143="",IFERROR(INDEX(Items!$G$5:$G$504,Q143),0),$F143))</f>
        <v/>
      </c>
      <c r="K143" s="61" t="str">
        <f aca="false">IF($D143="","",ROUND(N($E143)*J143*(1-N($G143)),2))</f>
        <v/>
      </c>
      <c r="L143" s="62" t="str">
        <f aca="false">IF($D143="","",IFERROR(INDEX(Items!$F$5:$F$504,Q143),0))</f>
        <v/>
      </c>
      <c r="M143" s="61" t="str">
        <f aca="false">IF($D143="","",IF(AND(R143&lt;&gt;"",INDEX(Parties!$E$5:$E$304,R143)&lt;&gt;"",INDEX(Parties!$E$5:$E$304,R143)&lt;&gt;HomeState),0,ROUND(K143*L143/2,2)))</f>
        <v/>
      </c>
      <c r="N143" s="61" t="str">
        <f aca="false">IF($D143="","",M143)</f>
        <v/>
      </c>
      <c r="O143" s="61" t="str">
        <f aca="false">IF($D143="","",IF(AND(R143&lt;&gt;"",INDEX(Parties!$E$5:$E$304,R143)&lt;&gt;"",INDEX(Parties!$E$5:$E$304,R143)&lt;&gt;HomeState),ROUND(K143*L143,2),0))</f>
        <v/>
      </c>
      <c r="P143" s="61" t="str">
        <f aca="false">IF($D143="","",K143+M143+N143+O143)</f>
        <v/>
      </c>
      <c r="Q143" s="60" t="str">
        <f aca="false">IF($D143="","",IFERROR(MATCH($D143,Items!$A$5:$A$504,0),""))</f>
        <v/>
      </c>
      <c r="R143" s="60" t="str">
        <f aca="false">IF($C143="","",IFERROR(MATCH($C143,Parties!$A$5:$A$304,0),""))</f>
        <v/>
      </c>
      <c r="S143" s="61" t="str">
        <f aca="false">IF($D143="","",IF(OR($H143="",$H143="Credit"),0,P143))</f>
        <v/>
      </c>
    </row>
    <row r="144" customFormat="false" ht="15" hidden="false" customHeight="false" outlineLevel="0" collapsed="false">
      <c r="A144" s="55"/>
      <c r="B144" s="56"/>
      <c r="C144" s="56"/>
      <c r="D144" s="56"/>
      <c r="E144" s="57"/>
      <c r="F144" s="58"/>
      <c r="G144" s="59"/>
      <c r="H144" s="56"/>
      <c r="I144" s="60" t="str">
        <f aca="false">IF($D144="","",IFERROR(INDEX(Items!$D$5:$D$504,Q144),""))</f>
        <v/>
      </c>
      <c r="J144" s="61" t="str">
        <f aca="false">IF($D144="","",IF($F144="",IFERROR(INDEX(Items!$G$5:$G$504,Q144),0),$F144))</f>
        <v/>
      </c>
      <c r="K144" s="61" t="str">
        <f aca="false">IF($D144="","",ROUND(N($E144)*J144*(1-N($G144)),2))</f>
        <v/>
      </c>
      <c r="L144" s="62" t="str">
        <f aca="false">IF($D144="","",IFERROR(INDEX(Items!$F$5:$F$504,Q144),0))</f>
        <v/>
      </c>
      <c r="M144" s="61" t="str">
        <f aca="false">IF($D144="","",IF(AND(R144&lt;&gt;"",INDEX(Parties!$E$5:$E$304,R144)&lt;&gt;"",INDEX(Parties!$E$5:$E$304,R144)&lt;&gt;HomeState),0,ROUND(K144*L144/2,2)))</f>
        <v/>
      </c>
      <c r="N144" s="61" t="str">
        <f aca="false">IF($D144="","",M144)</f>
        <v/>
      </c>
      <c r="O144" s="61" t="str">
        <f aca="false">IF($D144="","",IF(AND(R144&lt;&gt;"",INDEX(Parties!$E$5:$E$304,R144)&lt;&gt;"",INDEX(Parties!$E$5:$E$304,R144)&lt;&gt;HomeState),ROUND(K144*L144,2),0))</f>
        <v/>
      </c>
      <c r="P144" s="61" t="str">
        <f aca="false">IF($D144="","",K144+M144+N144+O144)</f>
        <v/>
      </c>
      <c r="Q144" s="60" t="str">
        <f aca="false">IF($D144="","",IFERROR(MATCH($D144,Items!$A$5:$A$504,0),""))</f>
        <v/>
      </c>
      <c r="R144" s="60" t="str">
        <f aca="false">IF($C144="","",IFERROR(MATCH($C144,Parties!$A$5:$A$304,0),""))</f>
        <v/>
      </c>
      <c r="S144" s="61" t="str">
        <f aca="false">IF($D144="","",IF(OR($H144="",$H144="Credit"),0,P144))</f>
        <v/>
      </c>
    </row>
    <row r="145" customFormat="false" ht="15" hidden="false" customHeight="false" outlineLevel="0" collapsed="false">
      <c r="A145" s="55"/>
      <c r="B145" s="56"/>
      <c r="C145" s="56"/>
      <c r="D145" s="56"/>
      <c r="E145" s="57"/>
      <c r="F145" s="58"/>
      <c r="G145" s="59"/>
      <c r="H145" s="56"/>
      <c r="I145" s="60" t="str">
        <f aca="false">IF($D145="","",IFERROR(INDEX(Items!$D$5:$D$504,Q145),""))</f>
        <v/>
      </c>
      <c r="J145" s="61" t="str">
        <f aca="false">IF($D145="","",IF($F145="",IFERROR(INDEX(Items!$G$5:$G$504,Q145),0),$F145))</f>
        <v/>
      </c>
      <c r="K145" s="61" t="str">
        <f aca="false">IF($D145="","",ROUND(N($E145)*J145*(1-N($G145)),2))</f>
        <v/>
      </c>
      <c r="L145" s="62" t="str">
        <f aca="false">IF($D145="","",IFERROR(INDEX(Items!$F$5:$F$504,Q145),0))</f>
        <v/>
      </c>
      <c r="M145" s="61" t="str">
        <f aca="false">IF($D145="","",IF(AND(R145&lt;&gt;"",INDEX(Parties!$E$5:$E$304,R145)&lt;&gt;"",INDEX(Parties!$E$5:$E$304,R145)&lt;&gt;HomeState),0,ROUND(K145*L145/2,2)))</f>
        <v/>
      </c>
      <c r="N145" s="61" t="str">
        <f aca="false">IF($D145="","",M145)</f>
        <v/>
      </c>
      <c r="O145" s="61" t="str">
        <f aca="false">IF($D145="","",IF(AND(R145&lt;&gt;"",INDEX(Parties!$E$5:$E$304,R145)&lt;&gt;"",INDEX(Parties!$E$5:$E$304,R145)&lt;&gt;HomeState),ROUND(K145*L145,2),0))</f>
        <v/>
      </c>
      <c r="P145" s="61" t="str">
        <f aca="false">IF($D145="","",K145+M145+N145+O145)</f>
        <v/>
      </c>
      <c r="Q145" s="60" t="str">
        <f aca="false">IF($D145="","",IFERROR(MATCH($D145,Items!$A$5:$A$504,0),""))</f>
        <v/>
      </c>
      <c r="R145" s="60" t="str">
        <f aca="false">IF($C145="","",IFERROR(MATCH($C145,Parties!$A$5:$A$304,0),""))</f>
        <v/>
      </c>
      <c r="S145" s="61" t="str">
        <f aca="false">IF($D145="","",IF(OR($H145="",$H145="Credit"),0,P145))</f>
        <v/>
      </c>
    </row>
    <row r="146" customFormat="false" ht="15" hidden="false" customHeight="false" outlineLevel="0" collapsed="false">
      <c r="A146" s="55"/>
      <c r="B146" s="56"/>
      <c r="C146" s="56"/>
      <c r="D146" s="56"/>
      <c r="E146" s="57"/>
      <c r="F146" s="58"/>
      <c r="G146" s="59"/>
      <c r="H146" s="56"/>
      <c r="I146" s="60" t="str">
        <f aca="false">IF($D146="","",IFERROR(INDEX(Items!$D$5:$D$504,Q146),""))</f>
        <v/>
      </c>
      <c r="J146" s="61" t="str">
        <f aca="false">IF($D146="","",IF($F146="",IFERROR(INDEX(Items!$G$5:$G$504,Q146),0),$F146))</f>
        <v/>
      </c>
      <c r="K146" s="61" t="str">
        <f aca="false">IF($D146="","",ROUND(N($E146)*J146*(1-N($G146)),2))</f>
        <v/>
      </c>
      <c r="L146" s="62" t="str">
        <f aca="false">IF($D146="","",IFERROR(INDEX(Items!$F$5:$F$504,Q146),0))</f>
        <v/>
      </c>
      <c r="M146" s="61" t="str">
        <f aca="false">IF($D146="","",IF(AND(R146&lt;&gt;"",INDEX(Parties!$E$5:$E$304,R146)&lt;&gt;"",INDEX(Parties!$E$5:$E$304,R146)&lt;&gt;HomeState),0,ROUND(K146*L146/2,2)))</f>
        <v/>
      </c>
      <c r="N146" s="61" t="str">
        <f aca="false">IF($D146="","",M146)</f>
        <v/>
      </c>
      <c r="O146" s="61" t="str">
        <f aca="false">IF($D146="","",IF(AND(R146&lt;&gt;"",INDEX(Parties!$E$5:$E$304,R146)&lt;&gt;"",INDEX(Parties!$E$5:$E$304,R146)&lt;&gt;HomeState),ROUND(K146*L146,2),0))</f>
        <v/>
      </c>
      <c r="P146" s="61" t="str">
        <f aca="false">IF($D146="","",K146+M146+N146+O146)</f>
        <v/>
      </c>
      <c r="Q146" s="60" t="str">
        <f aca="false">IF($D146="","",IFERROR(MATCH($D146,Items!$A$5:$A$504,0),""))</f>
        <v/>
      </c>
      <c r="R146" s="60" t="str">
        <f aca="false">IF($C146="","",IFERROR(MATCH($C146,Parties!$A$5:$A$304,0),""))</f>
        <v/>
      </c>
      <c r="S146" s="61" t="str">
        <f aca="false">IF($D146="","",IF(OR($H146="",$H146="Credit"),0,P146))</f>
        <v/>
      </c>
    </row>
    <row r="147" customFormat="false" ht="15" hidden="false" customHeight="false" outlineLevel="0" collapsed="false">
      <c r="A147" s="55"/>
      <c r="B147" s="56"/>
      <c r="C147" s="56"/>
      <c r="D147" s="56"/>
      <c r="E147" s="57"/>
      <c r="F147" s="58"/>
      <c r="G147" s="59"/>
      <c r="H147" s="56"/>
      <c r="I147" s="60" t="str">
        <f aca="false">IF($D147="","",IFERROR(INDEX(Items!$D$5:$D$504,Q147),""))</f>
        <v/>
      </c>
      <c r="J147" s="61" t="str">
        <f aca="false">IF($D147="","",IF($F147="",IFERROR(INDEX(Items!$G$5:$G$504,Q147),0),$F147))</f>
        <v/>
      </c>
      <c r="K147" s="61" t="str">
        <f aca="false">IF($D147="","",ROUND(N($E147)*J147*(1-N($G147)),2))</f>
        <v/>
      </c>
      <c r="L147" s="62" t="str">
        <f aca="false">IF($D147="","",IFERROR(INDEX(Items!$F$5:$F$504,Q147),0))</f>
        <v/>
      </c>
      <c r="M147" s="61" t="str">
        <f aca="false">IF($D147="","",IF(AND(R147&lt;&gt;"",INDEX(Parties!$E$5:$E$304,R147)&lt;&gt;"",INDEX(Parties!$E$5:$E$304,R147)&lt;&gt;HomeState),0,ROUND(K147*L147/2,2)))</f>
        <v/>
      </c>
      <c r="N147" s="61" t="str">
        <f aca="false">IF($D147="","",M147)</f>
        <v/>
      </c>
      <c r="O147" s="61" t="str">
        <f aca="false">IF($D147="","",IF(AND(R147&lt;&gt;"",INDEX(Parties!$E$5:$E$304,R147)&lt;&gt;"",INDEX(Parties!$E$5:$E$304,R147)&lt;&gt;HomeState),ROUND(K147*L147,2),0))</f>
        <v/>
      </c>
      <c r="P147" s="61" t="str">
        <f aca="false">IF($D147="","",K147+M147+N147+O147)</f>
        <v/>
      </c>
      <c r="Q147" s="60" t="str">
        <f aca="false">IF($D147="","",IFERROR(MATCH($D147,Items!$A$5:$A$504,0),""))</f>
        <v/>
      </c>
      <c r="R147" s="60" t="str">
        <f aca="false">IF($C147="","",IFERROR(MATCH($C147,Parties!$A$5:$A$304,0),""))</f>
        <v/>
      </c>
      <c r="S147" s="61" t="str">
        <f aca="false">IF($D147="","",IF(OR($H147="",$H147="Credit"),0,P147))</f>
        <v/>
      </c>
    </row>
    <row r="148" customFormat="false" ht="15" hidden="false" customHeight="false" outlineLevel="0" collapsed="false">
      <c r="A148" s="55"/>
      <c r="B148" s="56"/>
      <c r="C148" s="56"/>
      <c r="D148" s="56"/>
      <c r="E148" s="57"/>
      <c r="F148" s="58"/>
      <c r="G148" s="59"/>
      <c r="H148" s="56"/>
      <c r="I148" s="60" t="str">
        <f aca="false">IF($D148="","",IFERROR(INDEX(Items!$D$5:$D$504,Q148),""))</f>
        <v/>
      </c>
      <c r="J148" s="61" t="str">
        <f aca="false">IF($D148="","",IF($F148="",IFERROR(INDEX(Items!$G$5:$G$504,Q148),0),$F148))</f>
        <v/>
      </c>
      <c r="K148" s="61" t="str">
        <f aca="false">IF($D148="","",ROUND(N($E148)*J148*(1-N($G148)),2))</f>
        <v/>
      </c>
      <c r="L148" s="62" t="str">
        <f aca="false">IF($D148="","",IFERROR(INDEX(Items!$F$5:$F$504,Q148),0))</f>
        <v/>
      </c>
      <c r="M148" s="61" t="str">
        <f aca="false">IF($D148="","",IF(AND(R148&lt;&gt;"",INDEX(Parties!$E$5:$E$304,R148)&lt;&gt;"",INDEX(Parties!$E$5:$E$304,R148)&lt;&gt;HomeState),0,ROUND(K148*L148/2,2)))</f>
        <v/>
      </c>
      <c r="N148" s="61" t="str">
        <f aca="false">IF($D148="","",M148)</f>
        <v/>
      </c>
      <c r="O148" s="61" t="str">
        <f aca="false">IF($D148="","",IF(AND(R148&lt;&gt;"",INDEX(Parties!$E$5:$E$304,R148)&lt;&gt;"",INDEX(Parties!$E$5:$E$304,R148)&lt;&gt;HomeState),ROUND(K148*L148,2),0))</f>
        <v/>
      </c>
      <c r="P148" s="61" t="str">
        <f aca="false">IF($D148="","",K148+M148+N148+O148)</f>
        <v/>
      </c>
      <c r="Q148" s="60" t="str">
        <f aca="false">IF($D148="","",IFERROR(MATCH($D148,Items!$A$5:$A$504,0),""))</f>
        <v/>
      </c>
      <c r="R148" s="60" t="str">
        <f aca="false">IF($C148="","",IFERROR(MATCH($C148,Parties!$A$5:$A$304,0),""))</f>
        <v/>
      </c>
      <c r="S148" s="61" t="str">
        <f aca="false">IF($D148="","",IF(OR($H148="",$H148="Credit"),0,P148))</f>
        <v/>
      </c>
    </row>
    <row r="149" customFormat="false" ht="15" hidden="false" customHeight="false" outlineLevel="0" collapsed="false">
      <c r="A149" s="55"/>
      <c r="B149" s="56"/>
      <c r="C149" s="56"/>
      <c r="D149" s="56"/>
      <c r="E149" s="57"/>
      <c r="F149" s="58"/>
      <c r="G149" s="59"/>
      <c r="H149" s="56"/>
      <c r="I149" s="60" t="str">
        <f aca="false">IF($D149="","",IFERROR(INDEX(Items!$D$5:$D$504,Q149),""))</f>
        <v/>
      </c>
      <c r="J149" s="61" t="str">
        <f aca="false">IF($D149="","",IF($F149="",IFERROR(INDEX(Items!$G$5:$G$504,Q149),0),$F149))</f>
        <v/>
      </c>
      <c r="K149" s="61" t="str">
        <f aca="false">IF($D149="","",ROUND(N($E149)*J149*(1-N($G149)),2))</f>
        <v/>
      </c>
      <c r="L149" s="62" t="str">
        <f aca="false">IF($D149="","",IFERROR(INDEX(Items!$F$5:$F$504,Q149),0))</f>
        <v/>
      </c>
      <c r="M149" s="61" t="str">
        <f aca="false">IF($D149="","",IF(AND(R149&lt;&gt;"",INDEX(Parties!$E$5:$E$304,R149)&lt;&gt;"",INDEX(Parties!$E$5:$E$304,R149)&lt;&gt;HomeState),0,ROUND(K149*L149/2,2)))</f>
        <v/>
      </c>
      <c r="N149" s="61" t="str">
        <f aca="false">IF($D149="","",M149)</f>
        <v/>
      </c>
      <c r="O149" s="61" t="str">
        <f aca="false">IF($D149="","",IF(AND(R149&lt;&gt;"",INDEX(Parties!$E$5:$E$304,R149)&lt;&gt;"",INDEX(Parties!$E$5:$E$304,R149)&lt;&gt;HomeState),ROUND(K149*L149,2),0))</f>
        <v/>
      </c>
      <c r="P149" s="61" t="str">
        <f aca="false">IF($D149="","",K149+M149+N149+O149)</f>
        <v/>
      </c>
      <c r="Q149" s="60" t="str">
        <f aca="false">IF($D149="","",IFERROR(MATCH($D149,Items!$A$5:$A$504,0),""))</f>
        <v/>
      </c>
      <c r="R149" s="60" t="str">
        <f aca="false">IF($C149="","",IFERROR(MATCH($C149,Parties!$A$5:$A$304,0),""))</f>
        <v/>
      </c>
      <c r="S149" s="61" t="str">
        <f aca="false">IF($D149="","",IF(OR($H149="",$H149="Credit"),0,P149))</f>
        <v/>
      </c>
    </row>
    <row r="150" customFormat="false" ht="15" hidden="false" customHeight="false" outlineLevel="0" collapsed="false">
      <c r="A150" s="55"/>
      <c r="B150" s="56"/>
      <c r="C150" s="56"/>
      <c r="D150" s="56"/>
      <c r="E150" s="57"/>
      <c r="F150" s="58"/>
      <c r="G150" s="59"/>
      <c r="H150" s="56"/>
      <c r="I150" s="60" t="str">
        <f aca="false">IF($D150="","",IFERROR(INDEX(Items!$D$5:$D$504,Q150),""))</f>
        <v/>
      </c>
      <c r="J150" s="61" t="str">
        <f aca="false">IF($D150="","",IF($F150="",IFERROR(INDEX(Items!$G$5:$G$504,Q150),0),$F150))</f>
        <v/>
      </c>
      <c r="K150" s="61" t="str">
        <f aca="false">IF($D150="","",ROUND(N($E150)*J150*(1-N($G150)),2))</f>
        <v/>
      </c>
      <c r="L150" s="62" t="str">
        <f aca="false">IF($D150="","",IFERROR(INDEX(Items!$F$5:$F$504,Q150),0))</f>
        <v/>
      </c>
      <c r="M150" s="61" t="str">
        <f aca="false">IF($D150="","",IF(AND(R150&lt;&gt;"",INDEX(Parties!$E$5:$E$304,R150)&lt;&gt;"",INDEX(Parties!$E$5:$E$304,R150)&lt;&gt;HomeState),0,ROUND(K150*L150/2,2)))</f>
        <v/>
      </c>
      <c r="N150" s="61" t="str">
        <f aca="false">IF($D150="","",M150)</f>
        <v/>
      </c>
      <c r="O150" s="61" t="str">
        <f aca="false">IF($D150="","",IF(AND(R150&lt;&gt;"",INDEX(Parties!$E$5:$E$304,R150)&lt;&gt;"",INDEX(Parties!$E$5:$E$304,R150)&lt;&gt;HomeState),ROUND(K150*L150,2),0))</f>
        <v/>
      </c>
      <c r="P150" s="61" t="str">
        <f aca="false">IF($D150="","",K150+M150+N150+O150)</f>
        <v/>
      </c>
      <c r="Q150" s="60" t="str">
        <f aca="false">IF($D150="","",IFERROR(MATCH($D150,Items!$A$5:$A$504,0),""))</f>
        <v/>
      </c>
      <c r="R150" s="60" t="str">
        <f aca="false">IF($C150="","",IFERROR(MATCH($C150,Parties!$A$5:$A$304,0),""))</f>
        <v/>
      </c>
      <c r="S150" s="61" t="str">
        <f aca="false">IF($D150="","",IF(OR($H150="",$H150="Credit"),0,P150))</f>
        <v/>
      </c>
    </row>
    <row r="151" customFormat="false" ht="15" hidden="false" customHeight="false" outlineLevel="0" collapsed="false">
      <c r="A151" s="55"/>
      <c r="B151" s="56"/>
      <c r="C151" s="56"/>
      <c r="D151" s="56"/>
      <c r="E151" s="57"/>
      <c r="F151" s="58"/>
      <c r="G151" s="59"/>
      <c r="H151" s="56"/>
      <c r="I151" s="60" t="str">
        <f aca="false">IF($D151="","",IFERROR(INDEX(Items!$D$5:$D$504,Q151),""))</f>
        <v/>
      </c>
      <c r="J151" s="61" t="str">
        <f aca="false">IF($D151="","",IF($F151="",IFERROR(INDEX(Items!$G$5:$G$504,Q151),0),$F151))</f>
        <v/>
      </c>
      <c r="K151" s="61" t="str">
        <f aca="false">IF($D151="","",ROUND(N($E151)*J151*(1-N($G151)),2))</f>
        <v/>
      </c>
      <c r="L151" s="62" t="str">
        <f aca="false">IF($D151="","",IFERROR(INDEX(Items!$F$5:$F$504,Q151),0))</f>
        <v/>
      </c>
      <c r="M151" s="61" t="str">
        <f aca="false">IF($D151="","",IF(AND(R151&lt;&gt;"",INDEX(Parties!$E$5:$E$304,R151)&lt;&gt;"",INDEX(Parties!$E$5:$E$304,R151)&lt;&gt;HomeState),0,ROUND(K151*L151/2,2)))</f>
        <v/>
      </c>
      <c r="N151" s="61" t="str">
        <f aca="false">IF($D151="","",M151)</f>
        <v/>
      </c>
      <c r="O151" s="61" t="str">
        <f aca="false">IF($D151="","",IF(AND(R151&lt;&gt;"",INDEX(Parties!$E$5:$E$304,R151)&lt;&gt;"",INDEX(Parties!$E$5:$E$304,R151)&lt;&gt;HomeState),ROUND(K151*L151,2),0))</f>
        <v/>
      </c>
      <c r="P151" s="61" t="str">
        <f aca="false">IF($D151="","",K151+M151+N151+O151)</f>
        <v/>
      </c>
      <c r="Q151" s="60" t="str">
        <f aca="false">IF($D151="","",IFERROR(MATCH($D151,Items!$A$5:$A$504,0),""))</f>
        <v/>
      </c>
      <c r="R151" s="60" t="str">
        <f aca="false">IF($C151="","",IFERROR(MATCH($C151,Parties!$A$5:$A$304,0),""))</f>
        <v/>
      </c>
      <c r="S151" s="61" t="str">
        <f aca="false">IF($D151="","",IF(OR($H151="",$H151="Credit"),0,P151))</f>
        <v/>
      </c>
    </row>
    <row r="152" customFormat="false" ht="15" hidden="false" customHeight="false" outlineLevel="0" collapsed="false">
      <c r="A152" s="55"/>
      <c r="B152" s="56"/>
      <c r="C152" s="56"/>
      <c r="D152" s="56"/>
      <c r="E152" s="57"/>
      <c r="F152" s="58"/>
      <c r="G152" s="59"/>
      <c r="H152" s="56"/>
      <c r="I152" s="60" t="str">
        <f aca="false">IF($D152="","",IFERROR(INDEX(Items!$D$5:$D$504,Q152),""))</f>
        <v/>
      </c>
      <c r="J152" s="61" t="str">
        <f aca="false">IF($D152="","",IF($F152="",IFERROR(INDEX(Items!$G$5:$G$504,Q152),0),$F152))</f>
        <v/>
      </c>
      <c r="K152" s="61" t="str">
        <f aca="false">IF($D152="","",ROUND(N($E152)*J152*(1-N($G152)),2))</f>
        <v/>
      </c>
      <c r="L152" s="62" t="str">
        <f aca="false">IF($D152="","",IFERROR(INDEX(Items!$F$5:$F$504,Q152),0))</f>
        <v/>
      </c>
      <c r="M152" s="61" t="str">
        <f aca="false">IF($D152="","",IF(AND(R152&lt;&gt;"",INDEX(Parties!$E$5:$E$304,R152)&lt;&gt;"",INDEX(Parties!$E$5:$E$304,R152)&lt;&gt;HomeState),0,ROUND(K152*L152/2,2)))</f>
        <v/>
      </c>
      <c r="N152" s="61" t="str">
        <f aca="false">IF($D152="","",M152)</f>
        <v/>
      </c>
      <c r="O152" s="61" t="str">
        <f aca="false">IF($D152="","",IF(AND(R152&lt;&gt;"",INDEX(Parties!$E$5:$E$304,R152)&lt;&gt;"",INDEX(Parties!$E$5:$E$304,R152)&lt;&gt;HomeState),ROUND(K152*L152,2),0))</f>
        <v/>
      </c>
      <c r="P152" s="61" t="str">
        <f aca="false">IF($D152="","",K152+M152+N152+O152)</f>
        <v/>
      </c>
      <c r="Q152" s="60" t="str">
        <f aca="false">IF($D152="","",IFERROR(MATCH($D152,Items!$A$5:$A$504,0),""))</f>
        <v/>
      </c>
      <c r="R152" s="60" t="str">
        <f aca="false">IF($C152="","",IFERROR(MATCH($C152,Parties!$A$5:$A$304,0),""))</f>
        <v/>
      </c>
      <c r="S152" s="61" t="str">
        <f aca="false">IF($D152="","",IF(OR($H152="",$H152="Credit"),0,P152))</f>
        <v/>
      </c>
    </row>
    <row r="153" customFormat="false" ht="15" hidden="false" customHeight="false" outlineLevel="0" collapsed="false">
      <c r="A153" s="55"/>
      <c r="B153" s="56"/>
      <c r="C153" s="56"/>
      <c r="D153" s="56"/>
      <c r="E153" s="57"/>
      <c r="F153" s="58"/>
      <c r="G153" s="59"/>
      <c r="H153" s="56"/>
      <c r="I153" s="60" t="str">
        <f aca="false">IF($D153="","",IFERROR(INDEX(Items!$D$5:$D$504,Q153),""))</f>
        <v/>
      </c>
      <c r="J153" s="61" t="str">
        <f aca="false">IF($D153="","",IF($F153="",IFERROR(INDEX(Items!$G$5:$G$504,Q153),0),$F153))</f>
        <v/>
      </c>
      <c r="K153" s="61" t="str">
        <f aca="false">IF($D153="","",ROUND(N($E153)*J153*(1-N($G153)),2))</f>
        <v/>
      </c>
      <c r="L153" s="62" t="str">
        <f aca="false">IF($D153="","",IFERROR(INDEX(Items!$F$5:$F$504,Q153),0))</f>
        <v/>
      </c>
      <c r="M153" s="61" t="str">
        <f aca="false">IF($D153="","",IF(AND(R153&lt;&gt;"",INDEX(Parties!$E$5:$E$304,R153)&lt;&gt;"",INDEX(Parties!$E$5:$E$304,R153)&lt;&gt;HomeState),0,ROUND(K153*L153/2,2)))</f>
        <v/>
      </c>
      <c r="N153" s="61" t="str">
        <f aca="false">IF($D153="","",M153)</f>
        <v/>
      </c>
      <c r="O153" s="61" t="str">
        <f aca="false">IF($D153="","",IF(AND(R153&lt;&gt;"",INDEX(Parties!$E$5:$E$304,R153)&lt;&gt;"",INDEX(Parties!$E$5:$E$304,R153)&lt;&gt;HomeState),ROUND(K153*L153,2),0))</f>
        <v/>
      </c>
      <c r="P153" s="61" t="str">
        <f aca="false">IF($D153="","",K153+M153+N153+O153)</f>
        <v/>
      </c>
      <c r="Q153" s="60" t="str">
        <f aca="false">IF($D153="","",IFERROR(MATCH($D153,Items!$A$5:$A$504,0),""))</f>
        <v/>
      </c>
      <c r="R153" s="60" t="str">
        <f aca="false">IF($C153="","",IFERROR(MATCH($C153,Parties!$A$5:$A$304,0),""))</f>
        <v/>
      </c>
      <c r="S153" s="61" t="str">
        <f aca="false">IF($D153="","",IF(OR($H153="",$H153="Credit"),0,P153))</f>
        <v/>
      </c>
    </row>
    <row r="154" customFormat="false" ht="15" hidden="false" customHeight="false" outlineLevel="0" collapsed="false">
      <c r="A154" s="55"/>
      <c r="B154" s="56"/>
      <c r="C154" s="56"/>
      <c r="D154" s="56"/>
      <c r="E154" s="57"/>
      <c r="F154" s="58"/>
      <c r="G154" s="59"/>
      <c r="H154" s="56"/>
      <c r="I154" s="60" t="str">
        <f aca="false">IF($D154="","",IFERROR(INDEX(Items!$D$5:$D$504,Q154),""))</f>
        <v/>
      </c>
      <c r="J154" s="61" t="str">
        <f aca="false">IF($D154="","",IF($F154="",IFERROR(INDEX(Items!$G$5:$G$504,Q154),0),$F154))</f>
        <v/>
      </c>
      <c r="K154" s="61" t="str">
        <f aca="false">IF($D154="","",ROUND(N($E154)*J154*(1-N($G154)),2))</f>
        <v/>
      </c>
      <c r="L154" s="62" t="str">
        <f aca="false">IF($D154="","",IFERROR(INDEX(Items!$F$5:$F$504,Q154),0))</f>
        <v/>
      </c>
      <c r="M154" s="61" t="str">
        <f aca="false">IF($D154="","",IF(AND(R154&lt;&gt;"",INDEX(Parties!$E$5:$E$304,R154)&lt;&gt;"",INDEX(Parties!$E$5:$E$304,R154)&lt;&gt;HomeState),0,ROUND(K154*L154/2,2)))</f>
        <v/>
      </c>
      <c r="N154" s="61" t="str">
        <f aca="false">IF($D154="","",M154)</f>
        <v/>
      </c>
      <c r="O154" s="61" t="str">
        <f aca="false">IF($D154="","",IF(AND(R154&lt;&gt;"",INDEX(Parties!$E$5:$E$304,R154)&lt;&gt;"",INDEX(Parties!$E$5:$E$304,R154)&lt;&gt;HomeState),ROUND(K154*L154,2),0))</f>
        <v/>
      </c>
      <c r="P154" s="61" t="str">
        <f aca="false">IF($D154="","",K154+M154+N154+O154)</f>
        <v/>
      </c>
      <c r="Q154" s="60" t="str">
        <f aca="false">IF($D154="","",IFERROR(MATCH($D154,Items!$A$5:$A$504,0),""))</f>
        <v/>
      </c>
      <c r="R154" s="60" t="str">
        <f aca="false">IF($C154="","",IFERROR(MATCH($C154,Parties!$A$5:$A$304,0),""))</f>
        <v/>
      </c>
      <c r="S154" s="61" t="str">
        <f aca="false">IF($D154="","",IF(OR($H154="",$H154="Credit"),0,P154))</f>
        <v/>
      </c>
    </row>
    <row r="155" customFormat="false" ht="15" hidden="false" customHeight="false" outlineLevel="0" collapsed="false">
      <c r="A155" s="55"/>
      <c r="B155" s="56"/>
      <c r="C155" s="56"/>
      <c r="D155" s="56"/>
      <c r="E155" s="57"/>
      <c r="F155" s="58"/>
      <c r="G155" s="59"/>
      <c r="H155" s="56"/>
      <c r="I155" s="60" t="str">
        <f aca="false">IF($D155="","",IFERROR(INDEX(Items!$D$5:$D$504,Q155),""))</f>
        <v/>
      </c>
      <c r="J155" s="61" t="str">
        <f aca="false">IF($D155="","",IF($F155="",IFERROR(INDEX(Items!$G$5:$G$504,Q155),0),$F155))</f>
        <v/>
      </c>
      <c r="K155" s="61" t="str">
        <f aca="false">IF($D155="","",ROUND(N($E155)*J155*(1-N($G155)),2))</f>
        <v/>
      </c>
      <c r="L155" s="62" t="str">
        <f aca="false">IF($D155="","",IFERROR(INDEX(Items!$F$5:$F$504,Q155),0))</f>
        <v/>
      </c>
      <c r="M155" s="61" t="str">
        <f aca="false">IF($D155="","",IF(AND(R155&lt;&gt;"",INDEX(Parties!$E$5:$E$304,R155)&lt;&gt;"",INDEX(Parties!$E$5:$E$304,R155)&lt;&gt;HomeState),0,ROUND(K155*L155/2,2)))</f>
        <v/>
      </c>
      <c r="N155" s="61" t="str">
        <f aca="false">IF($D155="","",M155)</f>
        <v/>
      </c>
      <c r="O155" s="61" t="str">
        <f aca="false">IF($D155="","",IF(AND(R155&lt;&gt;"",INDEX(Parties!$E$5:$E$304,R155)&lt;&gt;"",INDEX(Parties!$E$5:$E$304,R155)&lt;&gt;HomeState),ROUND(K155*L155,2),0))</f>
        <v/>
      </c>
      <c r="P155" s="61" t="str">
        <f aca="false">IF($D155="","",K155+M155+N155+O155)</f>
        <v/>
      </c>
      <c r="Q155" s="60" t="str">
        <f aca="false">IF($D155="","",IFERROR(MATCH($D155,Items!$A$5:$A$504,0),""))</f>
        <v/>
      </c>
      <c r="R155" s="60" t="str">
        <f aca="false">IF($C155="","",IFERROR(MATCH($C155,Parties!$A$5:$A$304,0),""))</f>
        <v/>
      </c>
      <c r="S155" s="61" t="str">
        <f aca="false">IF($D155="","",IF(OR($H155="",$H155="Credit"),0,P155))</f>
        <v/>
      </c>
    </row>
    <row r="156" customFormat="false" ht="15" hidden="false" customHeight="false" outlineLevel="0" collapsed="false">
      <c r="A156" s="55"/>
      <c r="B156" s="56"/>
      <c r="C156" s="56"/>
      <c r="D156" s="56"/>
      <c r="E156" s="57"/>
      <c r="F156" s="58"/>
      <c r="G156" s="59"/>
      <c r="H156" s="56"/>
      <c r="I156" s="60" t="str">
        <f aca="false">IF($D156="","",IFERROR(INDEX(Items!$D$5:$D$504,Q156),""))</f>
        <v/>
      </c>
      <c r="J156" s="61" t="str">
        <f aca="false">IF($D156="","",IF($F156="",IFERROR(INDEX(Items!$G$5:$G$504,Q156),0),$F156))</f>
        <v/>
      </c>
      <c r="K156" s="61" t="str">
        <f aca="false">IF($D156="","",ROUND(N($E156)*J156*(1-N($G156)),2))</f>
        <v/>
      </c>
      <c r="L156" s="62" t="str">
        <f aca="false">IF($D156="","",IFERROR(INDEX(Items!$F$5:$F$504,Q156),0))</f>
        <v/>
      </c>
      <c r="M156" s="61" t="str">
        <f aca="false">IF($D156="","",IF(AND(R156&lt;&gt;"",INDEX(Parties!$E$5:$E$304,R156)&lt;&gt;"",INDEX(Parties!$E$5:$E$304,R156)&lt;&gt;HomeState),0,ROUND(K156*L156/2,2)))</f>
        <v/>
      </c>
      <c r="N156" s="61" t="str">
        <f aca="false">IF($D156="","",M156)</f>
        <v/>
      </c>
      <c r="O156" s="61" t="str">
        <f aca="false">IF($D156="","",IF(AND(R156&lt;&gt;"",INDEX(Parties!$E$5:$E$304,R156)&lt;&gt;"",INDEX(Parties!$E$5:$E$304,R156)&lt;&gt;HomeState),ROUND(K156*L156,2),0))</f>
        <v/>
      </c>
      <c r="P156" s="61" t="str">
        <f aca="false">IF($D156="","",K156+M156+N156+O156)</f>
        <v/>
      </c>
      <c r="Q156" s="60" t="str">
        <f aca="false">IF($D156="","",IFERROR(MATCH($D156,Items!$A$5:$A$504,0),""))</f>
        <v/>
      </c>
      <c r="R156" s="60" t="str">
        <f aca="false">IF($C156="","",IFERROR(MATCH($C156,Parties!$A$5:$A$304,0),""))</f>
        <v/>
      </c>
      <c r="S156" s="61" t="str">
        <f aca="false">IF($D156="","",IF(OR($H156="",$H156="Credit"),0,P156))</f>
        <v/>
      </c>
    </row>
    <row r="157" customFormat="false" ht="15" hidden="false" customHeight="false" outlineLevel="0" collapsed="false">
      <c r="A157" s="55"/>
      <c r="B157" s="56"/>
      <c r="C157" s="56"/>
      <c r="D157" s="56"/>
      <c r="E157" s="57"/>
      <c r="F157" s="58"/>
      <c r="G157" s="59"/>
      <c r="H157" s="56"/>
      <c r="I157" s="60" t="str">
        <f aca="false">IF($D157="","",IFERROR(INDEX(Items!$D$5:$D$504,Q157),""))</f>
        <v/>
      </c>
      <c r="J157" s="61" t="str">
        <f aca="false">IF($D157="","",IF($F157="",IFERROR(INDEX(Items!$G$5:$G$504,Q157),0),$F157))</f>
        <v/>
      </c>
      <c r="K157" s="61" t="str">
        <f aca="false">IF($D157="","",ROUND(N($E157)*J157*(1-N($G157)),2))</f>
        <v/>
      </c>
      <c r="L157" s="62" t="str">
        <f aca="false">IF($D157="","",IFERROR(INDEX(Items!$F$5:$F$504,Q157),0))</f>
        <v/>
      </c>
      <c r="M157" s="61" t="str">
        <f aca="false">IF($D157="","",IF(AND(R157&lt;&gt;"",INDEX(Parties!$E$5:$E$304,R157)&lt;&gt;"",INDEX(Parties!$E$5:$E$304,R157)&lt;&gt;HomeState),0,ROUND(K157*L157/2,2)))</f>
        <v/>
      </c>
      <c r="N157" s="61" t="str">
        <f aca="false">IF($D157="","",M157)</f>
        <v/>
      </c>
      <c r="O157" s="61" t="str">
        <f aca="false">IF($D157="","",IF(AND(R157&lt;&gt;"",INDEX(Parties!$E$5:$E$304,R157)&lt;&gt;"",INDEX(Parties!$E$5:$E$304,R157)&lt;&gt;HomeState),ROUND(K157*L157,2),0))</f>
        <v/>
      </c>
      <c r="P157" s="61" t="str">
        <f aca="false">IF($D157="","",K157+M157+N157+O157)</f>
        <v/>
      </c>
      <c r="Q157" s="60" t="str">
        <f aca="false">IF($D157="","",IFERROR(MATCH($D157,Items!$A$5:$A$504,0),""))</f>
        <v/>
      </c>
      <c r="R157" s="60" t="str">
        <f aca="false">IF($C157="","",IFERROR(MATCH($C157,Parties!$A$5:$A$304,0),""))</f>
        <v/>
      </c>
      <c r="S157" s="61" t="str">
        <f aca="false">IF($D157="","",IF(OR($H157="",$H157="Credit"),0,P157))</f>
        <v/>
      </c>
    </row>
    <row r="158" customFormat="false" ht="15" hidden="false" customHeight="false" outlineLevel="0" collapsed="false">
      <c r="A158" s="55"/>
      <c r="B158" s="56"/>
      <c r="C158" s="56"/>
      <c r="D158" s="56"/>
      <c r="E158" s="57"/>
      <c r="F158" s="58"/>
      <c r="G158" s="59"/>
      <c r="H158" s="56"/>
      <c r="I158" s="60" t="str">
        <f aca="false">IF($D158="","",IFERROR(INDEX(Items!$D$5:$D$504,Q158),""))</f>
        <v/>
      </c>
      <c r="J158" s="61" t="str">
        <f aca="false">IF($D158="","",IF($F158="",IFERROR(INDEX(Items!$G$5:$G$504,Q158),0),$F158))</f>
        <v/>
      </c>
      <c r="K158" s="61" t="str">
        <f aca="false">IF($D158="","",ROUND(N($E158)*J158*(1-N($G158)),2))</f>
        <v/>
      </c>
      <c r="L158" s="62" t="str">
        <f aca="false">IF($D158="","",IFERROR(INDEX(Items!$F$5:$F$504,Q158),0))</f>
        <v/>
      </c>
      <c r="M158" s="61" t="str">
        <f aca="false">IF($D158="","",IF(AND(R158&lt;&gt;"",INDEX(Parties!$E$5:$E$304,R158)&lt;&gt;"",INDEX(Parties!$E$5:$E$304,R158)&lt;&gt;HomeState),0,ROUND(K158*L158/2,2)))</f>
        <v/>
      </c>
      <c r="N158" s="61" t="str">
        <f aca="false">IF($D158="","",M158)</f>
        <v/>
      </c>
      <c r="O158" s="61" t="str">
        <f aca="false">IF($D158="","",IF(AND(R158&lt;&gt;"",INDEX(Parties!$E$5:$E$304,R158)&lt;&gt;"",INDEX(Parties!$E$5:$E$304,R158)&lt;&gt;HomeState),ROUND(K158*L158,2),0))</f>
        <v/>
      </c>
      <c r="P158" s="61" t="str">
        <f aca="false">IF($D158="","",K158+M158+N158+O158)</f>
        <v/>
      </c>
      <c r="Q158" s="60" t="str">
        <f aca="false">IF($D158="","",IFERROR(MATCH($D158,Items!$A$5:$A$504,0),""))</f>
        <v/>
      </c>
      <c r="R158" s="60" t="str">
        <f aca="false">IF($C158="","",IFERROR(MATCH($C158,Parties!$A$5:$A$304,0),""))</f>
        <v/>
      </c>
      <c r="S158" s="61" t="str">
        <f aca="false">IF($D158="","",IF(OR($H158="",$H158="Credit"),0,P158))</f>
        <v/>
      </c>
    </row>
    <row r="159" customFormat="false" ht="15" hidden="false" customHeight="false" outlineLevel="0" collapsed="false">
      <c r="A159" s="55"/>
      <c r="B159" s="56"/>
      <c r="C159" s="56"/>
      <c r="D159" s="56"/>
      <c r="E159" s="57"/>
      <c r="F159" s="58"/>
      <c r="G159" s="59"/>
      <c r="H159" s="56"/>
      <c r="I159" s="60" t="str">
        <f aca="false">IF($D159="","",IFERROR(INDEX(Items!$D$5:$D$504,Q159),""))</f>
        <v/>
      </c>
      <c r="J159" s="61" t="str">
        <f aca="false">IF($D159="","",IF($F159="",IFERROR(INDEX(Items!$G$5:$G$504,Q159),0),$F159))</f>
        <v/>
      </c>
      <c r="K159" s="61" t="str">
        <f aca="false">IF($D159="","",ROUND(N($E159)*J159*(1-N($G159)),2))</f>
        <v/>
      </c>
      <c r="L159" s="62" t="str">
        <f aca="false">IF($D159="","",IFERROR(INDEX(Items!$F$5:$F$504,Q159),0))</f>
        <v/>
      </c>
      <c r="M159" s="61" t="str">
        <f aca="false">IF($D159="","",IF(AND(R159&lt;&gt;"",INDEX(Parties!$E$5:$E$304,R159)&lt;&gt;"",INDEX(Parties!$E$5:$E$304,R159)&lt;&gt;HomeState),0,ROUND(K159*L159/2,2)))</f>
        <v/>
      </c>
      <c r="N159" s="61" t="str">
        <f aca="false">IF($D159="","",M159)</f>
        <v/>
      </c>
      <c r="O159" s="61" t="str">
        <f aca="false">IF($D159="","",IF(AND(R159&lt;&gt;"",INDEX(Parties!$E$5:$E$304,R159)&lt;&gt;"",INDEX(Parties!$E$5:$E$304,R159)&lt;&gt;HomeState),ROUND(K159*L159,2),0))</f>
        <v/>
      </c>
      <c r="P159" s="61" t="str">
        <f aca="false">IF($D159="","",K159+M159+N159+O159)</f>
        <v/>
      </c>
      <c r="Q159" s="60" t="str">
        <f aca="false">IF($D159="","",IFERROR(MATCH($D159,Items!$A$5:$A$504,0),""))</f>
        <v/>
      </c>
      <c r="R159" s="60" t="str">
        <f aca="false">IF($C159="","",IFERROR(MATCH($C159,Parties!$A$5:$A$304,0),""))</f>
        <v/>
      </c>
      <c r="S159" s="61" t="str">
        <f aca="false">IF($D159="","",IF(OR($H159="",$H159="Credit"),0,P159))</f>
        <v/>
      </c>
    </row>
    <row r="160" customFormat="false" ht="15" hidden="false" customHeight="false" outlineLevel="0" collapsed="false">
      <c r="A160" s="55"/>
      <c r="B160" s="56"/>
      <c r="C160" s="56"/>
      <c r="D160" s="56"/>
      <c r="E160" s="57"/>
      <c r="F160" s="58"/>
      <c r="G160" s="59"/>
      <c r="H160" s="56"/>
      <c r="I160" s="60" t="str">
        <f aca="false">IF($D160="","",IFERROR(INDEX(Items!$D$5:$D$504,Q160),""))</f>
        <v/>
      </c>
      <c r="J160" s="61" t="str">
        <f aca="false">IF($D160="","",IF($F160="",IFERROR(INDEX(Items!$G$5:$G$504,Q160),0),$F160))</f>
        <v/>
      </c>
      <c r="K160" s="61" t="str">
        <f aca="false">IF($D160="","",ROUND(N($E160)*J160*(1-N($G160)),2))</f>
        <v/>
      </c>
      <c r="L160" s="62" t="str">
        <f aca="false">IF($D160="","",IFERROR(INDEX(Items!$F$5:$F$504,Q160),0))</f>
        <v/>
      </c>
      <c r="M160" s="61" t="str">
        <f aca="false">IF($D160="","",IF(AND(R160&lt;&gt;"",INDEX(Parties!$E$5:$E$304,R160)&lt;&gt;"",INDEX(Parties!$E$5:$E$304,R160)&lt;&gt;HomeState),0,ROUND(K160*L160/2,2)))</f>
        <v/>
      </c>
      <c r="N160" s="61" t="str">
        <f aca="false">IF($D160="","",M160)</f>
        <v/>
      </c>
      <c r="O160" s="61" t="str">
        <f aca="false">IF($D160="","",IF(AND(R160&lt;&gt;"",INDEX(Parties!$E$5:$E$304,R160)&lt;&gt;"",INDEX(Parties!$E$5:$E$304,R160)&lt;&gt;HomeState),ROUND(K160*L160,2),0))</f>
        <v/>
      </c>
      <c r="P160" s="61" t="str">
        <f aca="false">IF($D160="","",K160+M160+N160+O160)</f>
        <v/>
      </c>
      <c r="Q160" s="60" t="str">
        <f aca="false">IF($D160="","",IFERROR(MATCH($D160,Items!$A$5:$A$504,0),""))</f>
        <v/>
      </c>
      <c r="R160" s="60" t="str">
        <f aca="false">IF($C160="","",IFERROR(MATCH($C160,Parties!$A$5:$A$304,0),""))</f>
        <v/>
      </c>
      <c r="S160" s="61" t="str">
        <f aca="false">IF($D160="","",IF(OR($H160="",$H160="Credit"),0,P160))</f>
        <v/>
      </c>
    </row>
    <row r="161" customFormat="false" ht="15" hidden="false" customHeight="false" outlineLevel="0" collapsed="false">
      <c r="A161" s="55"/>
      <c r="B161" s="56"/>
      <c r="C161" s="56"/>
      <c r="D161" s="56"/>
      <c r="E161" s="57"/>
      <c r="F161" s="58"/>
      <c r="G161" s="59"/>
      <c r="H161" s="56"/>
      <c r="I161" s="60" t="str">
        <f aca="false">IF($D161="","",IFERROR(INDEX(Items!$D$5:$D$504,Q161),""))</f>
        <v/>
      </c>
      <c r="J161" s="61" t="str">
        <f aca="false">IF($D161="","",IF($F161="",IFERROR(INDEX(Items!$G$5:$G$504,Q161),0),$F161))</f>
        <v/>
      </c>
      <c r="K161" s="61" t="str">
        <f aca="false">IF($D161="","",ROUND(N($E161)*J161*(1-N($G161)),2))</f>
        <v/>
      </c>
      <c r="L161" s="62" t="str">
        <f aca="false">IF($D161="","",IFERROR(INDEX(Items!$F$5:$F$504,Q161),0))</f>
        <v/>
      </c>
      <c r="M161" s="61" t="str">
        <f aca="false">IF($D161="","",IF(AND(R161&lt;&gt;"",INDEX(Parties!$E$5:$E$304,R161)&lt;&gt;"",INDEX(Parties!$E$5:$E$304,R161)&lt;&gt;HomeState),0,ROUND(K161*L161/2,2)))</f>
        <v/>
      </c>
      <c r="N161" s="61" t="str">
        <f aca="false">IF($D161="","",M161)</f>
        <v/>
      </c>
      <c r="O161" s="61" t="str">
        <f aca="false">IF($D161="","",IF(AND(R161&lt;&gt;"",INDEX(Parties!$E$5:$E$304,R161)&lt;&gt;"",INDEX(Parties!$E$5:$E$304,R161)&lt;&gt;HomeState),ROUND(K161*L161,2),0))</f>
        <v/>
      </c>
      <c r="P161" s="61" t="str">
        <f aca="false">IF($D161="","",K161+M161+N161+O161)</f>
        <v/>
      </c>
      <c r="Q161" s="60" t="str">
        <f aca="false">IF($D161="","",IFERROR(MATCH($D161,Items!$A$5:$A$504,0),""))</f>
        <v/>
      </c>
      <c r="R161" s="60" t="str">
        <f aca="false">IF($C161="","",IFERROR(MATCH($C161,Parties!$A$5:$A$304,0),""))</f>
        <v/>
      </c>
      <c r="S161" s="61" t="str">
        <f aca="false">IF($D161="","",IF(OR($H161="",$H161="Credit"),0,P161))</f>
        <v/>
      </c>
    </row>
    <row r="162" customFormat="false" ht="15" hidden="false" customHeight="false" outlineLevel="0" collapsed="false">
      <c r="A162" s="55"/>
      <c r="B162" s="56"/>
      <c r="C162" s="56"/>
      <c r="D162" s="56"/>
      <c r="E162" s="57"/>
      <c r="F162" s="58"/>
      <c r="G162" s="59"/>
      <c r="H162" s="56"/>
      <c r="I162" s="60" t="str">
        <f aca="false">IF($D162="","",IFERROR(INDEX(Items!$D$5:$D$504,Q162),""))</f>
        <v/>
      </c>
      <c r="J162" s="61" t="str">
        <f aca="false">IF($D162="","",IF($F162="",IFERROR(INDEX(Items!$G$5:$G$504,Q162),0),$F162))</f>
        <v/>
      </c>
      <c r="K162" s="61" t="str">
        <f aca="false">IF($D162="","",ROUND(N($E162)*J162*(1-N($G162)),2))</f>
        <v/>
      </c>
      <c r="L162" s="62" t="str">
        <f aca="false">IF($D162="","",IFERROR(INDEX(Items!$F$5:$F$504,Q162),0))</f>
        <v/>
      </c>
      <c r="M162" s="61" t="str">
        <f aca="false">IF($D162="","",IF(AND(R162&lt;&gt;"",INDEX(Parties!$E$5:$E$304,R162)&lt;&gt;"",INDEX(Parties!$E$5:$E$304,R162)&lt;&gt;HomeState),0,ROUND(K162*L162/2,2)))</f>
        <v/>
      </c>
      <c r="N162" s="61" t="str">
        <f aca="false">IF($D162="","",M162)</f>
        <v/>
      </c>
      <c r="O162" s="61" t="str">
        <f aca="false">IF($D162="","",IF(AND(R162&lt;&gt;"",INDEX(Parties!$E$5:$E$304,R162)&lt;&gt;"",INDEX(Parties!$E$5:$E$304,R162)&lt;&gt;HomeState),ROUND(K162*L162,2),0))</f>
        <v/>
      </c>
      <c r="P162" s="61" t="str">
        <f aca="false">IF($D162="","",K162+M162+N162+O162)</f>
        <v/>
      </c>
      <c r="Q162" s="60" t="str">
        <f aca="false">IF($D162="","",IFERROR(MATCH($D162,Items!$A$5:$A$504,0),""))</f>
        <v/>
      </c>
      <c r="R162" s="60" t="str">
        <f aca="false">IF($C162="","",IFERROR(MATCH($C162,Parties!$A$5:$A$304,0),""))</f>
        <v/>
      </c>
      <c r="S162" s="61" t="str">
        <f aca="false">IF($D162="","",IF(OR($H162="",$H162="Credit"),0,P162))</f>
        <v/>
      </c>
    </row>
    <row r="163" customFormat="false" ht="15" hidden="false" customHeight="false" outlineLevel="0" collapsed="false">
      <c r="A163" s="55"/>
      <c r="B163" s="56"/>
      <c r="C163" s="56"/>
      <c r="D163" s="56"/>
      <c r="E163" s="57"/>
      <c r="F163" s="58"/>
      <c r="G163" s="59"/>
      <c r="H163" s="56"/>
      <c r="I163" s="60" t="str">
        <f aca="false">IF($D163="","",IFERROR(INDEX(Items!$D$5:$D$504,Q163),""))</f>
        <v/>
      </c>
      <c r="J163" s="61" t="str">
        <f aca="false">IF($D163="","",IF($F163="",IFERROR(INDEX(Items!$G$5:$G$504,Q163),0),$F163))</f>
        <v/>
      </c>
      <c r="K163" s="61" t="str">
        <f aca="false">IF($D163="","",ROUND(N($E163)*J163*(1-N($G163)),2))</f>
        <v/>
      </c>
      <c r="L163" s="62" t="str">
        <f aca="false">IF($D163="","",IFERROR(INDEX(Items!$F$5:$F$504,Q163),0))</f>
        <v/>
      </c>
      <c r="M163" s="61" t="str">
        <f aca="false">IF($D163="","",IF(AND(R163&lt;&gt;"",INDEX(Parties!$E$5:$E$304,R163)&lt;&gt;"",INDEX(Parties!$E$5:$E$304,R163)&lt;&gt;HomeState),0,ROUND(K163*L163/2,2)))</f>
        <v/>
      </c>
      <c r="N163" s="61" t="str">
        <f aca="false">IF($D163="","",M163)</f>
        <v/>
      </c>
      <c r="O163" s="61" t="str">
        <f aca="false">IF($D163="","",IF(AND(R163&lt;&gt;"",INDEX(Parties!$E$5:$E$304,R163)&lt;&gt;"",INDEX(Parties!$E$5:$E$304,R163)&lt;&gt;HomeState),ROUND(K163*L163,2),0))</f>
        <v/>
      </c>
      <c r="P163" s="61" t="str">
        <f aca="false">IF($D163="","",K163+M163+N163+O163)</f>
        <v/>
      </c>
      <c r="Q163" s="60" t="str">
        <f aca="false">IF($D163="","",IFERROR(MATCH($D163,Items!$A$5:$A$504,0),""))</f>
        <v/>
      </c>
      <c r="R163" s="60" t="str">
        <f aca="false">IF($C163="","",IFERROR(MATCH($C163,Parties!$A$5:$A$304,0),""))</f>
        <v/>
      </c>
      <c r="S163" s="61" t="str">
        <f aca="false">IF($D163="","",IF(OR($H163="",$H163="Credit"),0,P163))</f>
        <v/>
      </c>
    </row>
    <row r="164" customFormat="false" ht="15" hidden="false" customHeight="false" outlineLevel="0" collapsed="false">
      <c r="A164" s="55"/>
      <c r="B164" s="56"/>
      <c r="C164" s="56"/>
      <c r="D164" s="56"/>
      <c r="E164" s="57"/>
      <c r="F164" s="58"/>
      <c r="G164" s="59"/>
      <c r="H164" s="56"/>
      <c r="I164" s="60" t="str">
        <f aca="false">IF($D164="","",IFERROR(INDEX(Items!$D$5:$D$504,Q164),""))</f>
        <v/>
      </c>
      <c r="J164" s="61" t="str">
        <f aca="false">IF($D164="","",IF($F164="",IFERROR(INDEX(Items!$G$5:$G$504,Q164),0),$F164))</f>
        <v/>
      </c>
      <c r="K164" s="61" t="str">
        <f aca="false">IF($D164="","",ROUND(N($E164)*J164*(1-N($G164)),2))</f>
        <v/>
      </c>
      <c r="L164" s="62" t="str">
        <f aca="false">IF($D164="","",IFERROR(INDEX(Items!$F$5:$F$504,Q164),0))</f>
        <v/>
      </c>
      <c r="M164" s="61" t="str">
        <f aca="false">IF($D164="","",IF(AND(R164&lt;&gt;"",INDEX(Parties!$E$5:$E$304,R164)&lt;&gt;"",INDEX(Parties!$E$5:$E$304,R164)&lt;&gt;HomeState),0,ROUND(K164*L164/2,2)))</f>
        <v/>
      </c>
      <c r="N164" s="61" t="str">
        <f aca="false">IF($D164="","",M164)</f>
        <v/>
      </c>
      <c r="O164" s="61" t="str">
        <f aca="false">IF($D164="","",IF(AND(R164&lt;&gt;"",INDEX(Parties!$E$5:$E$304,R164)&lt;&gt;"",INDEX(Parties!$E$5:$E$304,R164)&lt;&gt;HomeState),ROUND(K164*L164,2),0))</f>
        <v/>
      </c>
      <c r="P164" s="61" t="str">
        <f aca="false">IF($D164="","",K164+M164+N164+O164)</f>
        <v/>
      </c>
      <c r="Q164" s="60" t="str">
        <f aca="false">IF($D164="","",IFERROR(MATCH($D164,Items!$A$5:$A$504,0),""))</f>
        <v/>
      </c>
      <c r="R164" s="60" t="str">
        <f aca="false">IF($C164="","",IFERROR(MATCH($C164,Parties!$A$5:$A$304,0),""))</f>
        <v/>
      </c>
      <c r="S164" s="61" t="str">
        <f aca="false">IF($D164="","",IF(OR($H164="",$H164="Credit"),0,P164))</f>
        <v/>
      </c>
    </row>
    <row r="165" customFormat="false" ht="15" hidden="false" customHeight="false" outlineLevel="0" collapsed="false">
      <c r="A165" s="55"/>
      <c r="B165" s="56"/>
      <c r="C165" s="56"/>
      <c r="D165" s="56"/>
      <c r="E165" s="57"/>
      <c r="F165" s="58"/>
      <c r="G165" s="59"/>
      <c r="H165" s="56"/>
      <c r="I165" s="60" t="str">
        <f aca="false">IF($D165="","",IFERROR(INDEX(Items!$D$5:$D$504,Q165),""))</f>
        <v/>
      </c>
      <c r="J165" s="61" t="str">
        <f aca="false">IF($D165="","",IF($F165="",IFERROR(INDEX(Items!$G$5:$G$504,Q165),0),$F165))</f>
        <v/>
      </c>
      <c r="K165" s="61" t="str">
        <f aca="false">IF($D165="","",ROUND(N($E165)*J165*(1-N($G165)),2))</f>
        <v/>
      </c>
      <c r="L165" s="62" t="str">
        <f aca="false">IF($D165="","",IFERROR(INDEX(Items!$F$5:$F$504,Q165),0))</f>
        <v/>
      </c>
      <c r="M165" s="61" t="str">
        <f aca="false">IF($D165="","",IF(AND(R165&lt;&gt;"",INDEX(Parties!$E$5:$E$304,R165)&lt;&gt;"",INDEX(Parties!$E$5:$E$304,R165)&lt;&gt;HomeState),0,ROUND(K165*L165/2,2)))</f>
        <v/>
      </c>
      <c r="N165" s="61" t="str">
        <f aca="false">IF($D165="","",M165)</f>
        <v/>
      </c>
      <c r="O165" s="61" t="str">
        <f aca="false">IF($D165="","",IF(AND(R165&lt;&gt;"",INDEX(Parties!$E$5:$E$304,R165)&lt;&gt;"",INDEX(Parties!$E$5:$E$304,R165)&lt;&gt;HomeState),ROUND(K165*L165,2),0))</f>
        <v/>
      </c>
      <c r="P165" s="61" t="str">
        <f aca="false">IF($D165="","",K165+M165+N165+O165)</f>
        <v/>
      </c>
      <c r="Q165" s="60" t="str">
        <f aca="false">IF($D165="","",IFERROR(MATCH($D165,Items!$A$5:$A$504,0),""))</f>
        <v/>
      </c>
      <c r="R165" s="60" t="str">
        <f aca="false">IF($C165="","",IFERROR(MATCH($C165,Parties!$A$5:$A$304,0),""))</f>
        <v/>
      </c>
      <c r="S165" s="61" t="str">
        <f aca="false">IF($D165="","",IF(OR($H165="",$H165="Credit"),0,P165))</f>
        <v/>
      </c>
    </row>
    <row r="166" customFormat="false" ht="15" hidden="false" customHeight="false" outlineLevel="0" collapsed="false">
      <c r="A166" s="55"/>
      <c r="B166" s="56"/>
      <c r="C166" s="56"/>
      <c r="D166" s="56"/>
      <c r="E166" s="57"/>
      <c r="F166" s="58"/>
      <c r="G166" s="59"/>
      <c r="H166" s="56"/>
      <c r="I166" s="60" t="str">
        <f aca="false">IF($D166="","",IFERROR(INDEX(Items!$D$5:$D$504,Q166),""))</f>
        <v/>
      </c>
      <c r="J166" s="61" t="str">
        <f aca="false">IF($D166="","",IF($F166="",IFERROR(INDEX(Items!$G$5:$G$504,Q166),0),$F166))</f>
        <v/>
      </c>
      <c r="K166" s="61" t="str">
        <f aca="false">IF($D166="","",ROUND(N($E166)*J166*(1-N($G166)),2))</f>
        <v/>
      </c>
      <c r="L166" s="62" t="str">
        <f aca="false">IF($D166="","",IFERROR(INDEX(Items!$F$5:$F$504,Q166),0))</f>
        <v/>
      </c>
      <c r="M166" s="61" t="str">
        <f aca="false">IF($D166="","",IF(AND(R166&lt;&gt;"",INDEX(Parties!$E$5:$E$304,R166)&lt;&gt;"",INDEX(Parties!$E$5:$E$304,R166)&lt;&gt;HomeState),0,ROUND(K166*L166/2,2)))</f>
        <v/>
      </c>
      <c r="N166" s="61" t="str">
        <f aca="false">IF($D166="","",M166)</f>
        <v/>
      </c>
      <c r="O166" s="61" t="str">
        <f aca="false">IF($D166="","",IF(AND(R166&lt;&gt;"",INDEX(Parties!$E$5:$E$304,R166)&lt;&gt;"",INDEX(Parties!$E$5:$E$304,R166)&lt;&gt;HomeState),ROUND(K166*L166,2),0))</f>
        <v/>
      </c>
      <c r="P166" s="61" t="str">
        <f aca="false">IF($D166="","",K166+M166+N166+O166)</f>
        <v/>
      </c>
      <c r="Q166" s="60" t="str">
        <f aca="false">IF($D166="","",IFERROR(MATCH($D166,Items!$A$5:$A$504,0),""))</f>
        <v/>
      </c>
      <c r="R166" s="60" t="str">
        <f aca="false">IF($C166="","",IFERROR(MATCH($C166,Parties!$A$5:$A$304,0),""))</f>
        <v/>
      </c>
      <c r="S166" s="61" t="str">
        <f aca="false">IF($D166="","",IF(OR($H166="",$H166="Credit"),0,P166))</f>
        <v/>
      </c>
    </row>
    <row r="167" customFormat="false" ht="15" hidden="false" customHeight="false" outlineLevel="0" collapsed="false">
      <c r="A167" s="55"/>
      <c r="B167" s="56"/>
      <c r="C167" s="56"/>
      <c r="D167" s="56"/>
      <c r="E167" s="57"/>
      <c r="F167" s="58"/>
      <c r="G167" s="59"/>
      <c r="H167" s="56"/>
      <c r="I167" s="60" t="str">
        <f aca="false">IF($D167="","",IFERROR(INDEX(Items!$D$5:$D$504,Q167),""))</f>
        <v/>
      </c>
      <c r="J167" s="61" t="str">
        <f aca="false">IF($D167="","",IF($F167="",IFERROR(INDEX(Items!$G$5:$G$504,Q167),0),$F167))</f>
        <v/>
      </c>
      <c r="K167" s="61" t="str">
        <f aca="false">IF($D167="","",ROUND(N($E167)*J167*(1-N($G167)),2))</f>
        <v/>
      </c>
      <c r="L167" s="62" t="str">
        <f aca="false">IF($D167="","",IFERROR(INDEX(Items!$F$5:$F$504,Q167),0))</f>
        <v/>
      </c>
      <c r="M167" s="61" t="str">
        <f aca="false">IF($D167="","",IF(AND(R167&lt;&gt;"",INDEX(Parties!$E$5:$E$304,R167)&lt;&gt;"",INDEX(Parties!$E$5:$E$304,R167)&lt;&gt;HomeState),0,ROUND(K167*L167/2,2)))</f>
        <v/>
      </c>
      <c r="N167" s="61" t="str">
        <f aca="false">IF($D167="","",M167)</f>
        <v/>
      </c>
      <c r="O167" s="61" t="str">
        <f aca="false">IF($D167="","",IF(AND(R167&lt;&gt;"",INDEX(Parties!$E$5:$E$304,R167)&lt;&gt;"",INDEX(Parties!$E$5:$E$304,R167)&lt;&gt;HomeState),ROUND(K167*L167,2),0))</f>
        <v/>
      </c>
      <c r="P167" s="61" t="str">
        <f aca="false">IF($D167="","",K167+M167+N167+O167)</f>
        <v/>
      </c>
      <c r="Q167" s="60" t="str">
        <f aca="false">IF($D167="","",IFERROR(MATCH($D167,Items!$A$5:$A$504,0),""))</f>
        <v/>
      </c>
      <c r="R167" s="60" t="str">
        <f aca="false">IF($C167="","",IFERROR(MATCH($C167,Parties!$A$5:$A$304,0),""))</f>
        <v/>
      </c>
      <c r="S167" s="61" t="str">
        <f aca="false">IF($D167="","",IF(OR($H167="",$H167="Credit"),0,P167))</f>
        <v/>
      </c>
    </row>
    <row r="168" customFormat="false" ht="15" hidden="false" customHeight="false" outlineLevel="0" collapsed="false">
      <c r="A168" s="55"/>
      <c r="B168" s="56"/>
      <c r="C168" s="56"/>
      <c r="D168" s="56"/>
      <c r="E168" s="57"/>
      <c r="F168" s="58"/>
      <c r="G168" s="59"/>
      <c r="H168" s="56"/>
      <c r="I168" s="60" t="str">
        <f aca="false">IF($D168="","",IFERROR(INDEX(Items!$D$5:$D$504,Q168),""))</f>
        <v/>
      </c>
      <c r="J168" s="61" t="str">
        <f aca="false">IF($D168="","",IF($F168="",IFERROR(INDEX(Items!$G$5:$G$504,Q168),0),$F168))</f>
        <v/>
      </c>
      <c r="K168" s="61" t="str">
        <f aca="false">IF($D168="","",ROUND(N($E168)*J168*(1-N($G168)),2))</f>
        <v/>
      </c>
      <c r="L168" s="62" t="str">
        <f aca="false">IF($D168="","",IFERROR(INDEX(Items!$F$5:$F$504,Q168),0))</f>
        <v/>
      </c>
      <c r="M168" s="61" t="str">
        <f aca="false">IF($D168="","",IF(AND(R168&lt;&gt;"",INDEX(Parties!$E$5:$E$304,R168)&lt;&gt;"",INDEX(Parties!$E$5:$E$304,R168)&lt;&gt;HomeState),0,ROUND(K168*L168/2,2)))</f>
        <v/>
      </c>
      <c r="N168" s="61" t="str">
        <f aca="false">IF($D168="","",M168)</f>
        <v/>
      </c>
      <c r="O168" s="61" t="str">
        <f aca="false">IF($D168="","",IF(AND(R168&lt;&gt;"",INDEX(Parties!$E$5:$E$304,R168)&lt;&gt;"",INDEX(Parties!$E$5:$E$304,R168)&lt;&gt;HomeState),ROUND(K168*L168,2),0))</f>
        <v/>
      </c>
      <c r="P168" s="61" t="str">
        <f aca="false">IF($D168="","",K168+M168+N168+O168)</f>
        <v/>
      </c>
      <c r="Q168" s="60" t="str">
        <f aca="false">IF($D168="","",IFERROR(MATCH($D168,Items!$A$5:$A$504,0),""))</f>
        <v/>
      </c>
      <c r="R168" s="60" t="str">
        <f aca="false">IF($C168="","",IFERROR(MATCH($C168,Parties!$A$5:$A$304,0),""))</f>
        <v/>
      </c>
      <c r="S168" s="61" t="str">
        <f aca="false">IF($D168="","",IF(OR($H168="",$H168="Credit"),0,P168))</f>
        <v/>
      </c>
    </row>
    <row r="169" customFormat="false" ht="15" hidden="false" customHeight="false" outlineLevel="0" collapsed="false">
      <c r="A169" s="55"/>
      <c r="B169" s="56"/>
      <c r="C169" s="56"/>
      <c r="D169" s="56"/>
      <c r="E169" s="57"/>
      <c r="F169" s="58"/>
      <c r="G169" s="59"/>
      <c r="H169" s="56"/>
      <c r="I169" s="60" t="str">
        <f aca="false">IF($D169="","",IFERROR(INDEX(Items!$D$5:$D$504,Q169),""))</f>
        <v/>
      </c>
      <c r="J169" s="61" t="str">
        <f aca="false">IF($D169="","",IF($F169="",IFERROR(INDEX(Items!$G$5:$G$504,Q169),0),$F169))</f>
        <v/>
      </c>
      <c r="K169" s="61" t="str">
        <f aca="false">IF($D169="","",ROUND(N($E169)*J169*(1-N($G169)),2))</f>
        <v/>
      </c>
      <c r="L169" s="62" t="str">
        <f aca="false">IF($D169="","",IFERROR(INDEX(Items!$F$5:$F$504,Q169),0))</f>
        <v/>
      </c>
      <c r="M169" s="61" t="str">
        <f aca="false">IF($D169="","",IF(AND(R169&lt;&gt;"",INDEX(Parties!$E$5:$E$304,R169)&lt;&gt;"",INDEX(Parties!$E$5:$E$304,R169)&lt;&gt;HomeState),0,ROUND(K169*L169/2,2)))</f>
        <v/>
      </c>
      <c r="N169" s="61" t="str">
        <f aca="false">IF($D169="","",M169)</f>
        <v/>
      </c>
      <c r="O169" s="61" t="str">
        <f aca="false">IF($D169="","",IF(AND(R169&lt;&gt;"",INDEX(Parties!$E$5:$E$304,R169)&lt;&gt;"",INDEX(Parties!$E$5:$E$304,R169)&lt;&gt;HomeState),ROUND(K169*L169,2),0))</f>
        <v/>
      </c>
      <c r="P169" s="61" t="str">
        <f aca="false">IF($D169="","",K169+M169+N169+O169)</f>
        <v/>
      </c>
      <c r="Q169" s="60" t="str">
        <f aca="false">IF($D169="","",IFERROR(MATCH($D169,Items!$A$5:$A$504,0),""))</f>
        <v/>
      </c>
      <c r="R169" s="60" t="str">
        <f aca="false">IF($C169="","",IFERROR(MATCH($C169,Parties!$A$5:$A$304,0),""))</f>
        <v/>
      </c>
      <c r="S169" s="61" t="str">
        <f aca="false">IF($D169="","",IF(OR($H169="",$H169="Credit"),0,P169))</f>
        <v/>
      </c>
    </row>
    <row r="170" customFormat="false" ht="15" hidden="false" customHeight="false" outlineLevel="0" collapsed="false">
      <c r="A170" s="55"/>
      <c r="B170" s="56"/>
      <c r="C170" s="56"/>
      <c r="D170" s="56"/>
      <c r="E170" s="57"/>
      <c r="F170" s="58"/>
      <c r="G170" s="59"/>
      <c r="H170" s="56"/>
      <c r="I170" s="60" t="str">
        <f aca="false">IF($D170="","",IFERROR(INDEX(Items!$D$5:$D$504,Q170),""))</f>
        <v/>
      </c>
      <c r="J170" s="61" t="str">
        <f aca="false">IF($D170="","",IF($F170="",IFERROR(INDEX(Items!$G$5:$G$504,Q170),0),$F170))</f>
        <v/>
      </c>
      <c r="K170" s="61" t="str">
        <f aca="false">IF($D170="","",ROUND(N($E170)*J170*(1-N($G170)),2))</f>
        <v/>
      </c>
      <c r="L170" s="62" t="str">
        <f aca="false">IF($D170="","",IFERROR(INDEX(Items!$F$5:$F$504,Q170),0))</f>
        <v/>
      </c>
      <c r="M170" s="61" t="str">
        <f aca="false">IF($D170="","",IF(AND(R170&lt;&gt;"",INDEX(Parties!$E$5:$E$304,R170)&lt;&gt;"",INDEX(Parties!$E$5:$E$304,R170)&lt;&gt;HomeState),0,ROUND(K170*L170/2,2)))</f>
        <v/>
      </c>
      <c r="N170" s="61" t="str">
        <f aca="false">IF($D170="","",M170)</f>
        <v/>
      </c>
      <c r="O170" s="61" t="str">
        <f aca="false">IF($D170="","",IF(AND(R170&lt;&gt;"",INDEX(Parties!$E$5:$E$304,R170)&lt;&gt;"",INDEX(Parties!$E$5:$E$304,R170)&lt;&gt;HomeState),ROUND(K170*L170,2),0))</f>
        <v/>
      </c>
      <c r="P170" s="61" t="str">
        <f aca="false">IF($D170="","",K170+M170+N170+O170)</f>
        <v/>
      </c>
      <c r="Q170" s="60" t="str">
        <f aca="false">IF($D170="","",IFERROR(MATCH($D170,Items!$A$5:$A$504,0),""))</f>
        <v/>
      </c>
      <c r="R170" s="60" t="str">
        <f aca="false">IF($C170="","",IFERROR(MATCH($C170,Parties!$A$5:$A$304,0),""))</f>
        <v/>
      </c>
      <c r="S170" s="61" t="str">
        <f aca="false">IF($D170="","",IF(OR($H170="",$H170="Credit"),0,P170))</f>
        <v/>
      </c>
    </row>
    <row r="171" customFormat="false" ht="15" hidden="false" customHeight="false" outlineLevel="0" collapsed="false">
      <c r="A171" s="55"/>
      <c r="B171" s="56"/>
      <c r="C171" s="56"/>
      <c r="D171" s="56"/>
      <c r="E171" s="57"/>
      <c r="F171" s="58"/>
      <c r="G171" s="59"/>
      <c r="H171" s="56"/>
      <c r="I171" s="60" t="str">
        <f aca="false">IF($D171="","",IFERROR(INDEX(Items!$D$5:$D$504,Q171),""))</f>
        <v/>
      </c>
      <c r="J171" s="61" t="str">
        <f aca="false">IF($D171="","",IF($F171="",IFERROR(INDEX(Items!$G$5:$G$504,Q171),0),$F171))</f>
        <v/>
      </c>
      <c r="K171" s="61" t="str">
        <f aca="false">IF($D171="","",ROUND(N($E171)*J171*(1-N($G171)),2))</f>
        <v/>
      </c>
      <c r="L171" s="62" t="str">
        <f aca="false">IF($D171="","",IFERROR(INDEX(Items!$F$5:$F$504,Q171),0))</f>
        <v/>
      </c>
      <c r="M171" s="61" t="str">
        <f aca="false">IF($D171="","",IF(AND(R171&lt;&gt;"",INDEX(Parties!$E$5:$E$304,R171)&lt;&gt;"",INDEX(Parties!$E$5:$E$304,R171)&lt;&gt;HomeState),0,ROUND(K171*L171/2,2)))</f>
        <v/>
      </c>
      <c r="N171" s="61" t="str">
        <f aca="false">IF($D171="","",M171)</f>
        <v/>
      </c>
      <c r="O171" s="61" t="str">
        <f aca="false">IF($D171="","",IF(AND(R171&lt;&gt;"",INDEX(Parties!$E$5:$E$304,R171)&lt;&gt;"",INDEX(Parties!$E$5:$E$304,R171)&lt;&gt;HomeState),ROUND(K171*L171,2),0))</f>
        <v/>
      </c>
      <c r="P171" s="61" t="str">
        <f aca="false">IF($D171="","",K171+M171+N171+O171)</f>
        <v/>
      </c>
      <c r="Q171" s="60" t="str">
        <f aca="false">IF($D171="","",IFERROR(MATCH($D171,Items!$A$5:$A$504,0),""))</f>
        <v/>
      </c>
      <c r="R171" s="60" t="str">
        <f aca="false">IF($C171="","",IFERROR(MATCH($C171,Parties!$A$5:$A$304,0),""))</f>
        <v/>
      </c>
      <c r="S171" s="61" t="str">
        <f aca="false">IF($D171="","",IF(OR($H171="",$H171="Credit"),0,P171))</f>
        <v/>
      </c>
    </row>
    <row r="172" customFormat="false" ht="15" hidden="false" customHeight="false" outlineLevel="0" collapsed="false">
      <c r="A172" s="55"/>
      <c r="B172" s="56"/>
      <c r="C172" s="56"/>
      <c r="D172" s="56"/>
      <c r="E172" s="57"/>
      <c r="F172" s="58"/>
      <c r="G172" s="59"/>
      <c r="H172" s="56"/>
      <c r="I172" s="60" t="str">
        <f aca="false">IF($D172="","",IFERROR(INDEX(Items!$D$5:$D$504,Q172),""))</f>
        <v/>
      </c>
      <c r="J172" s="61" t="str">
        <f aca="false">IF($D172="","",IF($F172="",IFERROR(INDEX(Items!$G$5:$G$504,Q172),0),$F172))</f>
        <v/>
      </c>
      <c r="K172" s="61" t="str">
        <f aca="false">IF($D172="","",ROUND(N($E172)*J172*(1-N($G172)),2))</f>
        <v/>
      </c>
      <c r="L172" s="62" t="str">
        <f aca="false">IF($D172="","",IFERROR(INDEX(Items!$F$5:$F$504,Q172),0))</f>
        <v/>
      </c>
      <c r="M172" s="61" t="str">
        <f aca="false">IF($D172="","",IF(AND(R172&lt;&gt;"",INDEX(Parties!$E$5:$E$304,R172)&lt;&gt;"",INDEX(Parties!$E$5:$E$304,R172)&lt;&gt;HomeState),0,ROUND(K172*L172/2,2)))</f>
        <v/>
      </c>
      <c r="N172" s="61" t="str">
        <f aca="false">IF($D172="","",M172)</f>
        <v/>
      </c>
      <c r="O172" s="61" t="str">
        <f aca="false">IF($D172="","",IF(AND(R172&lt;&gt;"",INDEX(Parties!$E$5:$E$304,R172)&lt;&gt;"",INDEX(Parties!$E$5:$E$304,R172)&lt;&gt;HomeState),ROUND(K172*L172,2),0))</f>
        <v/>
      </c>
      <c r="P172" s="61" t="str">
        <f aca="false">IF($D172="","",K172+M172+N172+O172)</f>
        <v/>
      </c>
      <c r="Q172" s="60" t="str">
        <f aca="false">IF($D172="","",IFERROR(MATCH($D172,Items!$A$5:$A$504,0),""))</f>
        <v/>
      </c>
      <c r="R172" s="60" t="str">
        <f aca="false">IF($C172="","",IFERROR(MATCH($C172,Parties!$A$5:$A$304,0),""))</f>
        <v/>
      </c>
      <c r="S172" s="61" t="str">
        <f aca="false">IF($D172="","",IF(OR($H172="",$H172="Credit"),0,P172))</f>
        <v/>
      </c>
    </row>
    <row r="173" customFormat="false" ht="15" hidden="false" customHeight="false" outlineLevel="0" collapsed="false">
      <c r="A173" s="55"/>
      <c r="B173" s="56"/>
      <c r="C173" s="56"/>
      <c r="D173" s="56"/>
      <c r="E173" s="57"/>
      <c r="F173" s="58"/>
      <c r="G173" s="59"/>
      <c r="H173" s="56"/>
      <c r="I173" s="60" t="str">
        <f aca="false">IF($D173="","",IFERROR(INDEX(Items!$D$5:$D$504,Q173),""))</f>
        <v/>
      </c>
      <c r="J173" s="61" t="str">
        <f aca="false">IF($D173="","",IF($F173="",IFERROR(INDEX(Items!$G$5:$G$504,Q173),0),$F173))</f>
        <v/>
      </c>
      <c r="K173" s="61" t="str">
        <f aca="false">IF($D173="","",ROUND(N($E173)*J173*(1-N($G173)),2))</f>
        <v/>
      </c>
      <c r="L173" s="62" t="str">
        <f aca="false">IF($D173="","",IFERROR(INDEX(Items!$F$5:$F$504,Q173),0))</f>
        <v/>
      </c>
      <c r="M173" s="61" t="str">
        <f aca="false">IF($D173="","",IF(AND(R173&lt;&gt;"",INDEX(Parties!$E$5:$E$304,R173)&lt;&gt;"",INDEX(Parties!$E$5:$E$304,R173)&lt;&gt;HomeState),0,ROUND(K173*L173/2,2)))</f>
        <v/>
      </c>
      <c r="N173" s="61" t="str">
        <f aca="false">IF($D173="","",M173)</f>
        <v/>
      </c>
      <c r="O173" s="61" t="str">
        <f aca="false">IF($D173="","",IF(AND(R173&lt;&gt;"",INDEX(Parties!$E$5:$E$304,R173)&lt;&gt;"",INDEX(Parties!$E$5:$E$304,R173)&lt;&gt;HomeState),ROUND(K173*L173,2),0))</f>
        <v/>
      </c>
      <c r="P173" s="61" t="str">
        <f aca="false">IF($D173="","",K173+M173+N173+O173)</f>
        <v/>
      </c>
      <c r="Q173" s="60" t="str">
        <f aca="false">IF($D173="","",IFERROR(MATCH($D173,Items!$A$5:$A$504,0),""))</f>
        <v/>
      </c>
      <c r="R173" s="60" t="str">
        <f aca="false">IF($C173="","",IFERROR(MATCH($C173,Parties!$A$5:$A$304,0),""))</f>
        <v/>
      </c>
      <c r="S173" s="61" t="str">
        <f aca="false">IF($D173="","",IF(OR($H173="",$H173="Credit"),0,P173))</f>
        <v/>
      </c>
    </row>
    <row r="174" customFormat="false" ht="15" hidden="false" customHeight="false" outlineLevel="0" collapsed="false">
      <c r="A174" s="55"/>
      <c r="B174" s="56"/>
      <c r="C174" s="56"/>
      <c r="D174" s="56"/>
      <c r="E174" s="57"/>
      <c r="F174" s="58"/>
      <c r="G174" s="59"/>
      <c r="H174" s="56"/>
      <c r="I174" s="60" t="str">
        <f aca="false">IF($D174="","",IFERROR(INDEX(Items!$D$5:$D$504,Q174),""))</f>
        <v/>
      </c>
      <c r="J174" s="61" t="str">
        <f aca="false">IF($D174="","",IF($F174="",IFERROR(INDEX(Items!$G$5:$G$504,Q174),0),$F174))</f>
        <v/>
      </c>
      <c r="K174" s="61" t="str">
        <f aca="false">IF($D174="","",ROUND(N($E174)*J174*(1-N($G174)),2))</f>
        <v/>
      </c>
      <c r="L174" s="62" t="str">
        <f aca="false">IF($D174="","",IFERROR(INDEX(Items!$F$5:$F$504,Q174),0))</f>
        <v/>
      </c>
      <c r="M174" s="61" t="str">
        <f aca="false">IF($D174="","",IF(AND(R174&lt;&gt;"",INDEX(Parties!$E$5:$E$304,R174)&lt;&gt;"",INDEX(Parties!$E$5:$E$304,R174)&lt;&gt;HomeState),0,ROUND(K174*L174/2,2)))</f>
        <v/>
      </c>
      <c r="N174" s="61" t="str">
        <f aca="false">IF($D174="","",M174)</f>
        <v/>
      </c>
      <c r="O174" s="61" t="str">
        <f aca="false">IF($D174="","",IF(AND(R174&lt;&gt;"",INDEX(Parties!$E$5:$E$304,R174)&lt;&gt;"",INDEX(Parties!$E$5:$E$304,R174)&lt;&gt;HomeState),ROUND(K174*L174,2),0))</f>
        <v/>
      </c>
      <c r="P174" s="61" t="str">
        <f aca="false">IF($D174="","",K174+M174+N174+O174)</f>
        <v/>
      </c>
      <c r="Q174" s="60" t="str">
        <f aca="false">IF($D174="","",IFERROR(MATCH($D174,Items!$A$5:$A$504,0),""))</f>
        <v/>
      </c>
      <c r="R174" s="60" t="str">
        <f aca="false">IF($C174="","",IFERROR(MATCH($C174,Parties!$A$5:$A$304,0),""))</f>
        <v/>
      </c>
      <c r="S174" s="61" t="str">
        <f aca="false">IF($D174="","",IF(OR($H174="",$H174="Credit"),0,P174))</f>
        <v/>
      </c>
    </row>
    <row r="175" customFormat="false" ht="15" hidden="false" customHeight="false" outlineLevel="0" collapsed="false">
      <c r="A175" s="55"/>
      <c r="B175" s="56"/>
      <c r="C175" s="56"/>
      <c r="D175" s="56"/>
      <c r="E175" s="57"/>
      <c r="F175" s="58"/>
      <c r="G175" s="59"/>
      <c r="H175" s="56"/>
      <c r="I175" s="60" t="str">
        <f aca="false">IF($D175="","",IFERROR(INDEX(Items!$D$5:$D$504,Q175),""))</f>
        <v/>
      </c>
      <c r="J175" s="61" t="str">
        <f aca="false">IF($D175="","",IF($F175="",IFERROR(INDEX(Items!$G$5:$G$504,Q175),0),$F175))</f>
        <v/>
      </c>
      <c r="K175" s="61" t="str">
        <f aca="false">IF($D175="","",ROUND(N($E175)*J175*(1-N($G175)),2))</f>
        <v/>
      </c>
      <c r="L175" s="62" t="str">
        <f aca="false">IF($D175="","",IFERROR(INDEX(Items!$F$5:$F$504,Q175),0))</f>
        <v/>
      </c>
      <c r="M175" s="61" t="str">
        <f aca="false">IF($D175="","",IF(AND(R175&lt;&gt;"",INDEX(Parties!$E$5:$E$304,R175)&lt;&gt;"",INDEX(Parties!$E$5:$E$304,R175)&lt;&gt;HomeState),0,ROUND(K175*L175/2,2)))</f>
        <v/>
      </c>
      <c r="N175" s="61" t="str">
        <f aca="false">IF($D175="","",M175)</f>
        <v/>
      </c>
      <c r="O175" s="61" t="str">
        <f aca="false">IF($D175="","",IF(AND(R175&lt;&gt;"",INDEX(Parties!$E$5:$E$304,R175)&lt;&gt;"",INDEX(Parties!$E$5:$E$304,R175)&lt;&gt;HomeState),ROUND(K175*L175,2),0))</f>
        <v/>
      </c>
      <c r="P175" s="61" t="str">
        <f aca="false">IF($D175="","",K175+M175+N175+O175)</f>
        <v/>
      </c>
      <c r="Q175" s="60" t="str">
        <f aca="false">IF($D175="","",IFERROR(MATCH($D175,Items!$A$5:$A$504,0),""))</f>
        <v/>
      </c>
      <c r="R175" s="60" t="str">
        <f aca="false">IF($C175="","",IFERROR(MATCH($C175,Parties!$A$5:$A$304,0),""))</f>
        <v/>
      </c>
      <c r="S175" s="61" t="str">
        <f aca="false">IF($D175="","",IF(OR($H175="",$H175="Credit"),0,P175))</f>
        <v/>
      </c>
    </row>
    <row r="176" customFormat="false" ht="15" hidden="false" customHeight="false" outlineLevel="0" collapsed="false">
      <c r="A176" s="55"/>
      <c r="B176" s="56"/>
      <c r="C176" s="56"/>
      <c r="D176" s="56"/>
      <c r="E176" s="57"/>
      <c r="F176" s="58"/>
      <c r="G176" s="59"/>
      <c r="H176" s="56"/>
      <c r="I176" s="60" t="str">
        <f aca="false">IF($D176="","",IFERROR(INDEX(Items!$D$5:$D$504,Q176),""))</f>
        <v/>
      </c>
      <c r="J176" s="61" t="str">
        <f aca="false">IF($D176="","",IF($F176="",IFERROR(INDEX(Items!$G$5:$G$504,Q176),0),$F176))</f>
        <v/>
      </c>
      <c r="K176" s="61" t="str">
        <f aca="false">IF($D176="","",ROUND(N($E176)*J176*(1-N($G176)),2))</f>
        <v/>
      </c>
      <c r="L176" s="62" t="str">
        <f aca="false">IF($D176="","",IFERROR(INDEX(Items!$F$5:$F$504,Q176),0))</f>
        <v/>
      </c>
      <c r="M176" s="61" t="str">
        <f aca="false">IF($D176="","",IF(AND(R176&lt;&gt;"",INDEX(Parties!$E$5:$E$304,R176)&lt;&gt;"",INDEX(Parties!$E$5:$E$304,R176)&lt;&gt;HomeState),0,ROUND(K176*L176/2,2)))</f>
        <v/>
      </c>
      <c r="N176" s="61" t="str">
        <f aca="false">IF($D176="","",M176)</f>
        <v/>
      </c>
      <c r="O176" s="61" t="str">
        <f aca="false">IF($D176="","",IF(AND(R176&lt;&gt;"",INDEX(Parties!$E$5:$E$304,R176)&lt;&gt;"",INDEX(Parties!$E$5:$E$304,R176)&lt;&gt;HomeState),ROUND(K176*L176,2),0))</f>
        <v/>
      </c>
      <c r="P176" s="61" t="str">
        <f aca="false">IF($D176="","",K176+M176+N176+O176)</f>
        <v/>
      </c>
      <c r="Q176" s="60" t="str">
        <f aca="false">IF($D176="","",IFERROR(MATCH($D176,Items!$A$5:$A$504,0),""))</f>
        <v/>
      </c>
      <c r="R176" s="60" t="str">
        <f aca="false">IF($C176="","",IFERROR(MATCH($C176,Parties!$A$5:$A$304,0),""))</f>
        <v/>
      </c>
      <c r="S176" s="61" t="str">
        <f aca="false">IF($D176="","",IF(OR($H176="",$H176="Credit"),0,P176))</f>
        <v/>
      </c>
    </row>
    <row r="177" customFormat="false" ht="15" hidden="false" customHeight="false" outlineLevel="0" collapsed="false">
      <c r="A177" s="55"/>
      <c r="B177" s="56"/>
      <c r="C177" s="56"/>
      <c r="D177" s="56"/>
      <c r="E177" s="57"/>
      <c r="F177" s="58"/>
      <c r="G177" s="59"/>
      <c r="H177" s="56"/>
      <c r="I177" s="60" t="str">
        <f aca="false">IF($D177="","",IFERROR(INDEX(Items!$D$5:$D$504,Q177),""))</f>
        <v/>
      </c>
      <c r="J177" s="61" t="str">
        <f aca="false">IF($D177="","",IF($F177="",IFERROR(INDEX(Items!$G$5:$G$504,Q177),0),$F177))</f>
        <v/>
      </c>
      <c r="K177" s="61" t="str">
        <f aca="false">IF($D177="","",ROUND(N($E177)*J177*(1-N($G177)),2))</f>
        <v/>
      </c>
      <c r="L177" s="62" t="str">
        <f aca="false">IF($D177="","",IFERROR(INDEX(Items!$F$5:$F$504,Q177),0))</f>
        <v/>
      </c>
      <c r="M177" s="61" t="str">
        <f aca="false">IF($D177="","",IF(AND(R177&lt;&gt;"",INDEX(Parties!$E$5:$E$304,R177)&lt;&gt;"",INDEX(Parties!$E$5:$E$304,R177)&lt;&gt;HomeState),0,ROUND(K177*L177/2,2)))</f>
        <v/>
      </c>
      <c r="N177" s="61" t="str">
        <f aca="false">IF($D177="","",M177)</f>
        <v/>
      </c>
      <c r="O177" s="61" t="str">
        <f aca="false">IF($D177="","",IF(AND(R177&lt;&gt;"",INDEX(Parties!$E$5:$E$304,R177)&lt;&gt;"",INDEX(Parties!$E$5:$E$304,R177)&lt;&gt;HomeState),ROUND(K177*L177,2),0))</f>
        <v/>
      </c>
      <c r="P177" s="61" t="str">
        <f aca="false">IF($D177="","",K177+M177+N177+O177)</f>
        <v/>
      </c>
      <c r="Q177" s="60" t="str">
        <f aca="false">IF($D177="","",IFERROR(MATCH($D177,Items!$A$5:$A$504,0),""))</f>
        <v/>
      </c>
      <c r="R177" s="60" t="str">
        <f aca="false">IF($C177="","",IFERROR(MATCH($C177,Parties!$A$5:$A$304,0),""))</f>
        <v/>
      </c>
      <c r="S177" s="61" t="str">
        <f aca="false">IF($D177="","",IF(OR($H177="",$H177="Credit"),0,P177))</f>
        <v/>
      </c>
    </row>
    <row r="178" customFormat="false" ht="15" hidden="false" customHeight="false" outlineLevel="0" collapsed="false">
      <c r="A178" s="55"/>
      <c r="B178" s="56"/>
      <c r="C178" s="56"/>
      <c r="D178" s="56"/>
      <c r="E178" s="57"/>
      <c r="F178" s="58"/>
      <c r="G178" s="59"/>
      <c r="H178" s="56"/>
      <c r="I178" s="60" t="str">
        <f aca="false">IF($D178="","",IFERROR(INDEX(Items!$D$5:$D$504,Q178),""))</f>
        <v/>
      </c>
      <c r="J178" s="61" t="str">
        <f aca="false">IF($D178="","",IF($F178="",IFERROR(INDEX(Items!$G$5:$G$504,Q178),0),$F178))</f>
        <v/>
      </c>
      <c r="K178" s="61" t="str">
        <f aca="false">IF($D178="","",ROUND(N($E178)*J178*(1-N($G178)),2))</f>
        <v/>
      </c>
      <c r="L178" s="62" t="str">
        <f aca="false">IF($D178="","",IFERROR(INDEX(Items!$F$5:$F$504,Q178),0))</f>
        <v/>
      </c>
      <c r="M178" s="61" t="str">
        <f aca="false">IF($D178="","",IF(AND(R178&lt;&gt;"",INDEX(Parties!$E$5:$E$304,R178)&lt;&gt;"",INDEX(Parties!$E$5:$E$304,R178)&lt;&gt;HomeState),0,ROUND(K178*L178/2,2)))</f>
        <v/>
      </c>
      <c r="N178" s="61" t="str">
        <f aca="false">IF($D178="","",M178)</f>
        <v/>
      </c>
      <c r="O178" s="61" t="str">
        <f aca="false">IF($D178="","",IF(AND(R178&lt;&gt;"",INDEX(Parties!$E$5:$E$304,R178)&lt;&gt;"",INDEX(Parties!$E$5:$E$304,R178)&lt;&gt;HomeState),ROUND(K178*L178,2),0))</f>
        <v/>
      </c>
      <c r="P178" s="61" t="str">
        <f aca="false">IF($D178="","",K178+M178+N178+O178)</f>
        <v/>
      </c>
      <c r="Q178" s="60" t="str">
        <f aca="false">IF($D178="","",IFERROR(MATCH($D178,Items!$A$5:$A$504,0),""))</f>
        <v/>
      </c>
      <c r="R178" s="60" t="str">
        <f aca="false">IF($C178="","",IFERROR(MATCH($C178,Parties!$A$5:$A$304,0),""))</f>
        <v/>
      </c>
      <c r="S178" s="61" t="str">
        <f aca="false">IF($D178="","",IF(OR($H178="",$H178="Credit"),0,P178))</f>
        <v/>
      </c>
    </row>
    <row r="179" customFormat="false" ht="15" hidden="false" customHeight="false" outlineLevel="0" collapsed="false">
      <c r="A179" s="55"/>
      <c r="B179" s="56"/>
      <c r="C179" s="56"/>
      <c r="D179" s="56"/>
      <c r="E179" s="57"/>
      <c r="F179" s="58"/>
      <c r="G179" s="59"/>
      <c r="H179" s="56"/>
      <c r="I179" s="60" t="str">
        <f aca="false">IF($D179="","",IFERROR(INDEX(Items!$D$5:$D$504,Q179),""))</f>
        <v/>
      </c>
      <c r="J179" s="61" t="str">
        <f aca="false">IF($D179="","",IF($F179="",IFERROR(INDEX(Items!$G$5:$G$504,Q179),0),$F179))</f>
        <v/>
      </c>
      <c r="K179" s="61" t="str">
        <f aca="false">IF($D179="","",ROUND(N($E179)*J179*(1-N($G179)),2))</f>
        <v/>
      </c>
      <c r="L179" s="62" t="str">
        <f aca="false">IF($D179="","",IFERROR(INDEX(Items!$F$5:$F$504,Q179),0))</f>
        <v/>
      </c>
      <c r="M179" s="61" t="str">
        <f aca="false">IF($D179="","",IF(AND(R179&lt;&gt;"",INDEX(Parties!$E$5:$E$304,R179)&lt;&gt;"",INDEX(Parties!$E$5:$E$304,R179)&lt;&gt;HomeState),0,ROUND(K179*L179/2,2)))</f>
        <v/>
      </c>
      <c r="N179" s="61" t="str">
        <f aca="false">IF($D179="","",M179)</f>
        <v/>
      </c>
      <c r="O179" s="61" t="str">
        <f aca="false">IF($D179="","",IF(AND(R179&lt;&gt;"",INDEX(Parties!$E$5:$E$304,R179)&lt;&gt;"",INDEX(Parties!$E$5:$E$304,R179)&lt;&gt;HomeState),ROUND(K179*L179,2),0))</f>
        <v/>
      </c>
      <c r="P179" s="61" t="str">
        <f aca="false">IF($D179="","",K179+M179+N179+O179)</f>
        <v/>
      </c>
      <c r="Q179" s="60" t="str">
        <f aca="false">IF($D179="","",IFERROR(MATCH($D179,Items!$A$5:$A$504,0),""))</f>
        <v/>
      </c>
      <c r="R179" s="60" t="str">
        <f aca="false">IF($C179="","",IFERROR(MATCH($C179,Parties!$A$5:$A$304,0),""))</f>
        <v/>
      </c>
      <c r="S179" s="61" t="str">
        <f aca="false">IF($D179="","",IF(OR($H179="",$H179="Credit"),0,P179))</f>
        <v/>
      </c>
    </row>
    <row r="180" customFormat="false" ht="15" hidden="false" customHeight="false" outlineLevel="0" collapsed="false">
      <c r="A180" s="55"/>
      <c r="B180" s="56"/>
      <c r="C180" s="56"/>
      <c r="D180" s="56"/>
      <c r="E180" s="57"/>
      <c r="F180" s="58"/>
      <c r="G180" s="59"/>
      <c r="H180" s="56"/>
      <c r="I180" s="60" t="str">
        <f aca="false">IF($D180="","",IFERROR(INDEX(Items!$D$5:$D$504,Q180),""))</f>
        <v/>
      </c>
      <c r="J180" s="61" t="str">
        <f aca="false">IF($D180="","",IF($F180="",IFERROR(INDEX(Items!$G$5:$G$504,Q180),0),$F180))</f>
        <v/>
      </c>
      <c r="K180" s="61" t="str">
        <f aca="false">IF($D180="","",ROUND(N($E180)*J180*(1-N($G180)),2))</f>
        <v/>
      </c>
      <c r="L180" s="62" t="str">
        <f aca="false">IF($D180="","",IFERROR(INDEX(Items!$F$5:$F$504,Q180),0))</f>
        <v/>
      </c>
      <c r="M180" s="61" t="str">
        <f aca="false">IF($D180="","",IF(AND(R180&lt;&gt;"",INDEX(Parties!$E$5:$E$304,R180)&lt;&gt;"",INDEX(Parties!$E$5:$E$304,R180)&lt;&gt;HomeState),0,ROUND(K180*L180/2,2)))</f>
        <v/>
      </c>
      <c r="N180" s="61" t="str">
        <f aca="false">IF($D180="","",M180)</f>
        <v/>
      </c>
      <c r="O180" s="61" t="str">
        <f aca="false">IF($D180="","",IF(AND(R180&lt;&gt;"",INDEX(Parties!$E$5:$E$304,R180)&lt;&gt;"",INDEX(Parties!$E$5:$E$304,R180)&lt;&gt;HomeState),ROUND(K180*L180,2),0))</f>
        <v/>
      </c>
      <c r="P180" s="61" t="str">
        <f aca="false">IF($D180="","",K180+M180+N180+O180)</f>
        <v/>
      </c>
      <c r="Q180" s="60" t="str">
        <f aca="false">IF($D180="","",IFERROR(MATCH($D180,Items!$A$5:$A$504,0),""))</f>
        <v/>
      </c>
      <c r="R180" s="60" t="str">
        <f aca="false">IF($C180="","",IFERROR(MATCH($C180,Parties!$A$5:$A$304,0),""))</f>
        <v/>
      </c>
      <c r="S180" s="61" t="str">
        <f aca="false">IF($D180="","",IF(OR($H180="",$H180="Credit"),0,P180))</f>
        <v/>
      </c>
    </row>
    <row r="181" customFormat="false" ht="15" hidden="false" customHeight="false" outlineLevel="0" collapsed="false">
      <c r="A181" s="55"/>
      <c r="B181" s="56"/>
      <c r="C181" s="56"/>
      <c r="D181" s="56"/>
      <c r="E181" s="57"/>
      <c r="F181" s="58"/>
      <c r="G181" s="59"/>
      <c r="H181" s="56"/>
      <c r="I181" s="60" t="str">
        <f aca="false">IF($D181="","",IFERROR(INDEX(Items!$D$5:$D$504,Q181),""))</f>
        <v/>
      </c>
      <c r="J181" s="61" t="str">
        <f aca="false">IF($D181="","",IF($F181="",IFERROR(INDEX(Items!$G$5:$G$504,Q181),0),$F181))</f>
        <v/>
      </c>
      <c r="K181" s="61" t="str">
        <f aca="false">IF($D181="","",ROUND(N($E181)*J181*(1-N($G181)),2))</f>
        <v/>
      </c>
      <c r="L181" s="62" t="str">
        <f aca="false">IF($D181="","",IFERROR(INDEX(Items!$F$5:$F$504,Q181),0))</f>
        <v/>
      </c>
      <c r="M181" s="61" t="str">
        <f aca="false">IF($D181="","",IF(AND(R181&lt;&gt;"",INDEX(Parties!$E$5:$E$304,R181)&lt;&gt;"",INDEX(Parties!$E$5:$E$304,R181)&lt;&gt;HomeState),0,ROUND(K181*L181/2,2)))</f>
        <v/>
      </c>
      <c r="N181" s="61" t="str">
        <f aca="false">IF($D181="","",M181)</f>
        <v/>
      </c>
      <c r="O181" s="61" t="str">
        <f aca="false">IF($D181="","",IF(AND(R181&lt;&gt;"",INDEX(Parties!$E$5:$E$304,R181)&lt;&gt;"",INDEX(Parties!$E$5:$E$304,R181)&lt;&gt;HomeState),ROUND(K181*L181,2),0))</f>
        <v/>
      </c>
      <c r="P181" s="61" t="str">
        <f aca="false">IF($D181="","",K181+M181+N181+O181)</f>
        <v/>
      </c>
      <c r="Q181" s="60" t="str">
        <f aca="false">IF($D181="","",IFERROR(MATCH($D181,Items!$A$5:$A$504,0),""))</f>
        <v/>
      </c>
      <c r="R181" s="60" t="str">
        <f aca="false">IF($C181="","",IFERROR(MATCH($C181,Parties!$A$5:$A$304,0),""))</f>
        <v/>
      </c>
      <c r="S181" s="61" t="str">
        <f aca="false">IF($D181="","",IF(OR($H181="",$H181="Credit"),0,P181))</f>
        <v/>
      </c>
    </row>
    <row r="182" customFormat="false" ht="15" hidden="false" customHeight="false" outlineLevel="0" collapsed="false">
      <c r="A182" s="55"/>
      <c r="B182" s="56"/>
      <c r="C182" s="56"/>
      <c r="D182" s="56"/>
      <c r="E182" s="57"/>
      <c r="F182" s="58"/>
      <c r="G182" s="59"/>
      <c r="H182" s="56"/>
      <c r="I182" s="60" t="str">
        <f aca="false">IF($D182="","",IFERROR(INDEX(Items!$D$5:$D$504,Q182),""))</f>
        <v/>
      </c>
      <c r="J182" s="61" t="str">
        <f aca="false">IF($D182="","",IF($F182="",IFERROR(INDEX(Items!$G$5:$G$504,Q182),0),$F182))</f>
        <v/>
      </c>
      <c r="K182" s="61" t="str">
        <f aca="false">IF($D182="","",ROUND(N($E182)*J182*(1-N($G182)),2))</f>
        <v/>
      </c>
      <c r="L182" s="62" t="str">
        <f aca="false">IF($D182="","",IFERROR(INDEX(Items!$F$5:$F$504,Q182),0))</f>
        <v/>
      </c>
      <c r="M182" s="61" t="str">
        <f aca="false">IF($D182="","",IF(AND(R182&lt;&gt;"",INDEX(Parties!$E$5:$E$304,R182)&lt;&gt;"",INDEX(Parties!$E$5:$E$304,R182)&lt;&gt;HomeState),0,ROUND(K182*L182/2,2)))</f>
        <v/>
      </c>
      <c r="N182" s="61" t="str">
        <f aca="false">IF($D182="","",M182)</f>
        <v/>
      </c>
      <c r="O182" s="61" t="str">
        <f aca="false">IF($D182="","",IF(AND(R182&lt;&gt;"",INDEX(Parties!$E$5:$E$304,R182)&lt;&gt;"",INDEX(Parties!$E$5:$E$304,R182)&lt;&gt;HomeState),ROUND(K182*L182,2),0))</f>
        <v/>
      </c>
      <c r="P182" s="61" t="str">
        <f aca="false">IF($D182="","",K182+M182+N182+O182)</f>
        <v/>
      </c>
      <c r="Q182" s="60" t="str">
        <f aca="false">IF($D182="","",IFERROR(MATCH($D182,Items!$A$5:$A$504,0),""))</f>
        <v/>
      </c>
      <c r="R182" s="60" t="str">
        <f aca="false">IF($C182="","",IFERROR(MATCH($C182,Parties!$A$5:$A$304,0),""))</f>
        <v/>
      </c>
      <c r="S182" s="61" t="str">
        <f aca="false">IF($D182="","",IF(OR($H182="",$H182="Credit"),0,P182))</f>
        <v/>
      </c>
    </row>
    <row r="183" customFormat="false" ht="15" hidden="false" customHeight="false" outlineLevel="0" collapsed="false">
      <c r="A183" s="55"/>
      <c r="B183" s="56"/>
      <c r="C183" s="56"/>
      <c r="D183" s="56"/>
      <c r="E183" s="57"/>
      <c r="F183" s="58"/>
      <c r="G183" s="59"/>
      <c r="H183" s="56"/>
      <c r="I183" s="60" t="str">
        <f aca="false">IF($D183="","",IFERROR(INDEX(Items!$D$5:$D$504,Q183),""))</f>
        <v/>
      </c>
      <c r="J183" s="61" t="str">
        <f aca="false">IF($D183="","",IF($F183="",IFERROR(INDEX(Items!$G$5:$G$504,Q183),0),$F183))</f>
        <v/>
      </c>
      <c r="K183" s="61" t="str">
        <f aca="false">IF($D183="","",ROUND(N($E183)*J183*(1-N($G183)),2))</f>
        <v/>
      </c>
      <c r="L183" s="62" t="str">
        <f aca="false">IF($D183="","",IFERROR(INDEX(Items!$F$5:$F$504,Q183),0))</f>
        <v/>
      </c>
      <c r="M183" s="61" t="str">
        <f aca="false">IF($D183="","",IF(AND(R183&lt;&gt;"",INDEX(Parties!$E$5:$E$304,R183)&lt;&gt;"",INDEX(Parties!$E$5:$E$304,R183)&lt;&gt;HomeState),0,ROUND(K183*L183/2,2)))</f>
        <v/>
      </c>
      <c r="N183" s="61" t="str">
        <f aca="false">IF($D183="","",M183)</f>
        <v/>
      </c>
      <c r="O183" s="61" t="str">
        <f aca="false">IF($D183="","",IF(AND(R183&lt;&gt;"",INDEX(Parties!$E$5:$E$304,R183)&lt;&gt;"",INDEX(Parties!$E$5:$E$304,R183)&lt;&gt;HomeState),ROUND(K183*L183,2),0))</f>
        <v/>
      </c>
      <c r="P183" s="61" t="str">
        <f aca="false">IF($D183="","",K183+M183+N183+O183)</f>
        <v/>
      </c>
      <c r="Q183" s="60" t="str">
        <f aca="false">IF($D183="","",IFERROR(MATCH($D183,Items!$A$5:$A$504,0),""))</f>
        <v/>
      </c>
      <c r="R183" s="60" t="str">
        <f aca="false">IF($C183="","",IFERROR(MATCH($C183,Parties!$A$5:$A$304,0),""))</f>
        <v/>
      </c>
      <c r="S183" s="61" t="str">
        <f aca="false">IF($D183="","",IF(OR($H183="",$H183="Credit"),0,P183))</f>
        <v/>
      </c>
    </row>
    <row r="184" customFormat="false" ht="15" hidden="false" customHeight="false" outlineLevel="0" collapsed="false">
      <c r="A184" s="55"/>
      <c r="B184" s="56"/>
      <c r="C184" s="56"/>
      <c r="D184" s="56"/>
      <c r="E184" s="57"/>
      <c r="F184" s="58"/>
      <c r="G184" s="59"/>
      <c r="H184" s="56"/>
      <c r="I184" s="60" t="str">
        <f aca="false">IF($D184="","",IFERROR(INDEX(Items!$D$5:$D$504,Q184),""))</f>
        <v/>
      </c>
      <c r="J184" s="61" t="str">
        <f aca="false">IF($D184="","",IF($F184="",IFERROR(INDEX(Items!$G$5:$G$504,Q184),0),$F184))</f>
        <v/>
      </c>
      <c r="K184" s="61" t="str">
        <f aca="false">IF($D184="","",ROUND(N($E184)*J184*(1-N($G184)),2))</f>
        <v/>
      </c>
      <c r="L184" s="62" t="str">
        <f aca="false">IF($D184="","",IFERROR(INDEX(Items!$F$5:$F$504,Q184),0))</f>
        <v/>
      </c>
      <c r="M184" s="61" t="str">
        <f aca="false">IF($D184="","",IF(AND(R184&lt;&gt;"",INDEX(Parties!$E$5:$E$304,R184)&lt;&gt;"",INDEX(Parties!$E$5:$E$304,R184)&lt;&gt;HomeState),0,ROUND(K184*L184/2,2)))</f>
        <v/>
      </c>
      <c r="N184" s="61" t="str">
        <f aca="false">IF($D184="","",M184)</f>
        <v/>
      </c>
      <c r="O184" s="61" t="str">
        <f aca="false">IF($D184="","",IF(AND(R184&lt;&gt;"",INDEX(Parties!$E$5:$E$304,R184)&lt;&gt;"",INDEX(Parties!$E$5:$E$304,R184)&lt;&gt;HomeState),ROUND(K184*L184,2),0))</f>
        <v/>
      </c>
      <c r="P184" s="61" t="str">
        <f aca="false">IF($D184="","",K184+M184+N184+O184)</f>
        <v/>
      </c>
      <c r="Q184" s="60" t="str">
        <f aca="false">IF($D184="","",IFERROR(MATCH($D184,Items!$A$5:$A$504,0),""))</f>
        <v/>
      </c>
      <c r="R184" s="60" t="str">
        <f aca="false">IF($C184="","",IFERROR(MATCH($C184,Parties!$A$5:$A$304,0),""))</f>
        <v/>
      </c>
      <c r="S184" s="61" t="str">
        <f aca="false">IF($D184="","",IF(OR($H184="",$H184="Credit"),0,P184))</f>
        <v/>
      </c>
    </row>
    <row r="185" customFormat="false" ht="15" hidden="false" customHeight="false" outlineLevel="0" collapsed="false">
      <c r="A185" s="55"/>
      <c r="B185" s="56"/>
      <c r="C185" s="56"/>
      <c r="D185" s="56"/>
      <c r="E185" s="57"/>
      <c r="F185" s="58"/>
      <c r="G185" s="59"/>
      <c r="H185" s="56"/>
      <c r="I185" s="60" t="str">
        <f aca="false">IF($D185="","",IFERROR(INDEX(Items!$D$5:$D$504,Q185),""))</f>
        <v/>
      </c>
      <c r="J185" s="61" t="str">
        <f aca="false">IF($D185="","",IF($F185="",IFERROR(INDEX(Items!$G$5:$G$504,Q185),0),$F185))</f>
        <v/>
      </c>
      <c r="K185" s="61" t="str">
        <f aca="false">IF($D185="","",ROUND(N($E185)*J185*(1-N($G185)),2))</f>
        <v/>
      </c>
      <c r="L185" s="62" t="str">
        <f aca="false">IF($D185="","",IFERROR(INDEX(Items!$F$5:$F$504,Q185),0))</f>
        <v/>
      </c>
      <c r="M185" s="61" t="str">
        <f aca="false">IF($D185="","",IF(AND(R185&lt;&gt;"",INDEX(Parties!$E$5:$E$304,R185)&lt;&gt;"",INDEX(Parties!$E$5:$E$304,R185)&lt;&gt;HomeState),0,ROUND(K185*L185/2,2)))</f>
        <v/>
      </c>
      <c r="N185" s="61" t="str">
        <f aca="false">IF($D185="","",M185)</f>
        <v/>
      </c>
      <c r="O185" s="61" t="str">
        <f aca="false">IF($D185="","",IF(AND(R185&lt;&gt;"",INDEX(Parties!$E$5:$E$304,R185)&lt;&gt;"",INDEX(Parties!$E$5:$E$304,R185)&lt;&gt;HomeState),ROUND(K185*L185,2),0))</f>
        <v/>
      </c>
      <c r="P185" s="61" t="str">
        <f aca="false">IF($D185="","",K185+M185+N185+O185)</f>
        <v/>
      </c>
      <c r="Q185" s="60" t="str">
        <f aca="false">IF($D185="","",IFERROR(MATCH($D185,Items!$A$5:$A$504,0),""))</f>
        <v/>
      </c>
      <c r="R185" s="60" t="str">
        <f aca="false">IF($C185="","",IFERROR(MATCH($C185,Parties!$A$5:$A$304,0),""))</f>
        <v/>
      </c>
      <c r="S185" s="61" t="str">
        <f aca="false">IF($D185="","",IF(OR($H185="",$H185="Credit"),0,P185))</f>
        <v/>
      </c>
    </row>
    <row r="186" customFormat="false" ht="15" hidden="false" customHeight="false" outlineLevel="0" collapsed="false">
      <c r="A186" s="55"/>
      <c r="B186" s="56"/>
      <c r="C186" s="56"/>
      <c r="D186" s="56"/>
      <c r="E186" s="57"/>
      <c r="F186" s="58"/>
      <c r="G186" s="59"/>
      <c r="H186" s="56"/>
      <c r="I186" s="60" t="str">
        <f aca="false">IF($D186="","",IFERROR(INDEX(Items!$D$5:$D$504,Q186),""))</f>
        <v/>
      </c>
      <c r="J186" s="61" t="str">
        <f aca="false">IF($D186="","",IF($F186="",IFERROR(INDEX(Items!$G$5:$G$504,Q186),0),$F186))</f>
        <v/>
      </c>
      <c r="K186" s="61" t="str">
        <f aca="false">IF($D186="","",ROUND(N($E186)*J186*(1-N($G186)),2))</f>
        <v/>
      </c>
      <c r="L186" s="62" t="str">
        <f aca="false">IF($D186="","",IFERROR(INDEX(Items!$F$5:$F$504,Q186),0))</f>
        <v/>
      </c>
      <c r="M186" s="61" t="str">
        <f aca="false">IF($D186="","",IF(AND(R186&lt;&gt;"",INDEX(Parties!$E$5:$E$304,R186)&lt;&gt;"",INDEX(Parties!$E$5:$E$304,R186)&lt;&gt;HomeState),0,ROUND(K186*L186/2,2)))</f>
        <v/>
      </c>
      <c r="N186" s="61" t="str">
        <f aca="false">IF($D186="","",M186)</f>
        <v/>
      </c>
      <c r="O186" s="61" t="str">
        <f aca="false">IF($D186="","",IF(AND(R186&lt;&gt;"",INDEX(Parties!$E$5:$E$304,R186)&lt;&gt;"",INDEX(Parties!$E$5:$E$304,R186)&lt;&gt;HomeState),ROUND(K186*L186,2),0))</f>
        <v/>
      </c>
      <c r="P186" s="61" t="str">
        <f aca="false">IF($D186="","",K186+M186+N186+O186)</f>
        <v/>
      </c>
      <c r="Q186" s="60" t="str">
        <f aca="false">IF($D186="","",IFERROR(MATCH($D186,Items!$A$5:$A$504,0),""))</f>
        <v/>
      </c>
      <c r="R186" s="60" t="str">
        <f aca="false">IF($C186="","",IFERROR(MATCH($C186,Parties!$A$5:$A$304,0),""))</f>
        <v/>
      </c>
      <c r="S186" s="61" t="str">
        <f aca="false">IF($D186="","",IF(OR($H186="",$H186="Credit"),0,P186))</f>
        <v/>
      </c>
    </row>
    <row r="187" customFormat="false" ht="15" hidden="false" customHeight="false" outlineLevel="0" collapsed="false">
      <c r="A187" s="55"/>
      <c r="B187" s="56"/>
      <c r="C187" s="56"/>
      <c r="D187" s="56"/>
      <c r="E187" s="57"/>
      <c r="F187" s="58"/>
      <c r="G187" s="59"/>
      <c r="H187" s="56"/>
      <c r="I187" s="60" t="str">
        <f aca="false">IF($D187="","",IFERROR(INDEX(Items!$D$5:$D$504,Q187),""))</f>
        <v/>
      </c>
      <c r="J187" s="61" t="str">
        <f aca="false">IF($D187="","",IF($F187="",IFERROR(INDEX(Items!$G$5:$G$504,Q187),0),$F187))</f>
        <v/>
      </c>
      <c r="K187" s="61" t="str">
        <f aca="false">IF($D187="","",ROUND(N($E187)*J187*(1-N($G187)),2))</f>
        <v/>
      </c>
      <c r="L187" s="62" t="str">
        <f aca="false">IF($D187="","",IFERROR(INDEX(Items!$F$5:$F$504,Q187),0))</f>
        <v/>
      </c>
      <c r="M187" s="61" t="str">
        <f aca="false">IF($D187="","",IF(AND(R187&lt;&gt;"",INDEX(Parties!$E$5:$E$304,R187)&lt;&gt;"",INDEX(Parties!$E$5:$E$304,R187)&lt;&gt;HomeState),0,ROUND(K187*L187/2,2)))</f>
        <v/>
      </c>
      <c r="N187" s="61" t="str">
        <f aca="false">IF($D187="","",M187)</f>
        <v/>
      </c>
      <c r="O187" s="61" t="str">
        <f aca="false">IF($D187="","",IF(AND(R187&lt;&gt;"",INDEX(Parties!$E$5:$E$304,R187)&lt;&gt;"",INDEX(Parties!$E$5:$E$304,R187)&lt;&gt;HomeState),ROUND(K187*L187,2),0))</f>
        <v/>
      </c>
      <c r="P187" s="61" t="str">
        <f aca="false">IF($D187="","",K187+M187+N187+O187)</f>
        <v/>
      </c>
      <c r="Q187" s="60" t="str">
        <f aca="false">IF($D187="","",IFERROR(MATCH($D187,Items!$A$5:$A$504,0),""))</f>
        <v/>
      </c>
      <c r="R187" s="60" t="str">
        <f aca="false">IF($C187="","",IFERROR(MATCH($C187,Parties!$A$5:$A$304,0),""))</f>
        <v/>
      </c>
      <c r="S187" s="61" t="str">
        <f aca="false">IF($D187="","",IF(OR($H187="",$H187="Credit"),0,P187))</f>
        <v/>
      </c>
    </row>
    <row r="188" customFormat="false" ht="15" hidden="false" customHeight="false" outlineLevel="0" collapsed="false">
      <c r="A188" s="55"/>
      <c r="B188" s="56"/>
      <c r="C188" s="56"/>
      <c r="D188" s="56"/>
      <c r="E188" s="57"/>
      <c r="F188" s="58"/>
      <c r="G188" s="59"/>
      <c r="H188" s="56"/>
      <c r="I188" s="60" t="str">
        <f aca="false">IF($D188="","",IFERROR(INDEX(Items!$D$5:$D$504,Q188),""))</f>
        <v/>
      </c>
      <c r="J188" s="61" t="str">
        <f aca="false">IF($D188="","",IF($F188="",IFERROR(INDEX(Items!$G$5:$G$504,Q188),0),$F188))</f>
        <v/>
      </c>
      <c r="K188" s="61" t="str">
        <f aca="false">IF($D188="","",ROUND(N($E188)*J188*(1-N($G188)),2))</f>
        <v/>
      </c>
      <c r="L188" s="62" t="str">
        <f aca="false">IF($D188="","",IFERROR(INDEX(Items!$F$5:$F$504,Q188),0))</f>
        <v/>
      </c>
      <c r="M188" s="61" t="str">
        <f aca="false">IF($D188="","",IF(AND(R188&lt;&gt;"",INDEX(Parties!$E$5:$E$304,R188)&lt;&gt;"",INDEX(Parties!$E$5:$E$304,R188)&lt;&gt;HomeState),0,ROUND(K188*L188/2,2)))</f>
        <v/>
      </c>
      <c r="N188" s="61" t="str">
        <f aca="false">IF($D188="","",M188)</f>
        <v/>
      </c>
      <c r="O188" s="61" t="str">
        <f aca="false">IF($D188="","",IF(AND(R188&lt;&gt;"",INDEX(Parties!$E$5:$E$304,R188)&lt;&gt;"",INDEX(Parties!$E$5:$E$304,R188)&lt;&gt;HomeState),ROUND(K188*L188,2),0))</f>
        <v/>
      </c>
      <c r="P188" s="61" t="str">
        <f aca="false">IF($D188="","",K188+M188+N188+O188)</f>
        <v/>
      </c>
      <c r="Q188" s="60" t="str">
        <f aca="false">IF($D188="","",IFERROR(MATCH($D188,Items!$A$5:$A$504,0),""))</f>
        <v/>
      </c>
      <c r="R188" s="60" t="str">
        <f aca="false">IF($C188="","",IFERROR(MATCH($C188,Parties!$A$5:$A$304,0),""))</f>
        <v/>
      </c>
      <c r="S188" s="61" t="str">
        <f aca="false">IF($D188="","",IF(OR($H188="",$H188="Credit"),0,P188))</f>
        <v/>
      </c>
    </row>
    <row r="189" customFormat="false" ht="15" hidden="false" customHeight="false" outlineLevel="0" collapsed="false">
      <c r="A189" s="55"/>
      <c r="B189" s="56"/>
      <c r="C189" s="56"/>
      <c r="D189" s="56"/>
      <c r="E189" s="57"/>
      <c r="F189" s="58"/>
      <c r="G189" s="59"/>
      <c r="H189" s="56"/>
      <c r="I189" s="60" t="str">
        <f aca="false">IF($D189="","",IFERROR(INDEX(Items!$D$5:$D$504,Q189),""))</f>
        <v/>
      </c>
      <c r="J189" s="61" t="str">
        <f aca="false">IF($D189="","",IF($F189="",IFERROR(INDEX(Items!$G$5:$G$504,Q189),0),$F189))</f>
        <v/>
      </c>
      <c r="K189" s="61" t="str">
        <f aca="false">IF($D189="","",ROUND(N($E189)*J189*(1-N($G189)),2))</f>
        <v/>
      </c>
      <c r="L189" s="62" t="str">
        <f aca="false">IF($D189="","",IFERROR(INDEX(Items!$F$5:$F$504,Q189),0))</f>
        <v/>
      </c>
      <c r="M189" s="61" t="str">
        <f aca="false">IF($D189="","",IF(AND(R189&lt;&gt;"",INDEX(Parties!$E$5:$E$304,R189)&lt;&gt;"",INDEX(Parties!$E$5:$E$304,R189)&lt;&gt;HomeState),0,ROUND(K189*L189/2,2)))</f>
        <v/>
      </c>
      <c r="N189" s="61" t="str">
        <f aca="false">IF($D189="","",M189)</f>
        <v/>
      </c>
      <c r="O189" s="61" t="str">
        <f aca="false">IF($D189="","",IF(AND(R189&lt;&gt;"",INDEX(Parties!$E$5:$E$304,R189)&lt;&gt;"",INDEX(Parties!$E$5:$E$304,R189)&lt;&gt;HomeState),ROUND(K189*L189,2),0))</f>
        <v/>
      </c>
      <c r="P189" s="61" t="str">
        <f aca="false">IF($D189="","",K189+M189+N189+O189)</f>
        <v/>
      </c>
      <c r="Q189" s="60" t="str">
        <f aca="false">IF($D189="","",IFERROR(MATCH($D189,Items!$A$5:$A$504,0),""))</f>
        <v/>
      </c>
      <c r="R189" s="60" t="str">
        <f aca="false">IF($C189="","",IFERROR(MATCH($C189,Parties!$A$5:$A$304,0),""))</f>
        <v/>
      </c>
      <c r="S189" s="61" t="str">
        <f aca="false">IF($D189="","",IF(OR($H189="",$H189="Credit"),0,P189))</f>
        <v/>
      </c>
    </row>
    <row r="190" customFormat="false" ht="15" hidden="false" customHeight="false" outlineLevel="0" collapsed="false">
      <c r="A190" s="55"/>
      <c r="B190" s="56"/>
      <c r="C190" s="56"/>
      <c r="D190" s="56"/>
      <c r="E190" s="57"/>
      <c r="F190" s="58"/>
      <c r="G190" s="59"/>
      <c r="H190" s="56"/>
      <c r="I190" s="60" t="str">
        <f aca="false">IF($D190="","",IFERROR(INDEX(Items!$D$5:$D$504,Q190),""))</f>
        <v/>
      </c>
      <c r="J190" s="61" t="str">
        <f aca="false">IF($D190="","",IF($F190="",IFERROR(INDEX(Items!$G$5:$G$504,Q190),0),$F190))</f>
        <v/>
      </c>
      <c r="K190" s="61" t="str">
        <f aca="false">IF($D190="","",ROUND(N($E190)*J190*(1-N($G190)),2))</f>
        <v/>
      </c>
      <c r="L190" s="62" t="str">
        <f aca="false">IF($D190="","",IFERROR(INDEX(Items!$F$5:$F$504,Q190),0))</f>
        <v/>
      </c>
      <c r="M190" s="61" t="str">
        <f aca="false">IF($D190="","",IF(AND(R190&lt;&gt;"",INDEX(Parties!$E$5:$E$304,R190)&lt;&gt;"",INDEX(Parties!$E$5:$E$304,R190)&lt;&gt;HomeState),0,ROUND(K190*L190/2,2)))</f>
        <v/>
      </c>
      <c r="N190" s="61" t="str">
        <f aca="false">IF($D190="","",M190)</f>
        <v/>
      </c>
      <c r="O190" s="61" t="str">
        <f aca="false">IF($D190="","",IF(AND(R190&lt;&gt;"",INDEX(Parties!$E$5:$E$304,R190)&lt;&gt;"",INDEX(Parties!$E$5:$E$304,R190)&lt;&gt;HomeState),ROUND(K190*L190,2),0))</f>
        <v/>
      </c>
      <c r="P190" s="61" t="str">
        <f aca="false">IF($D190="","",K190+M190+N190+O190)</f>
        <v/>
      </c>
      <c r="Q190" s="60" t="str">
        <f aca="false">IF($D190="","",IFERROR(MATCH($D190,Items!$A$5:$A$504,0),""))</f>
        <v/>
      </c>
      <c r="R190" s="60" t="str">
        <f aca="false">IF($C190="","",IFERROR(MATCH($C190,Parties!$A$5:$A$304,0),""))</f>
        <v/>
      </c>
      <c r="S190" s="61" t="str">
        <f aca="false">IF($D190="","",IF(OR($H190="",$H190="Credit"),0,P190))</f>
        <v/>
      </c>
    </row>
    <row r="191" customFormat="false" ht="15" hidden="false" customHeight="false" outlineLevel="0" collapsed="false">
      <c r="A191" s="55"/>
      <c r="B191" s="56"/>
      <c r="C191" s="56"/>
      <c r="D191" s="56"/>
      <c r="E191" s="57"/>
      <c r="F191" s="58"/>
      <c r="G191" s="59"/>
      <c r="H191" s="56"/>
      <c r="I191" s="60" t="str">
        <f aca="false">IF($D191="","",IFERROR(INDEX(Items!$D$5:$D$504,Q191),""))</f>
        <v/>
      </c>
      <c r="J191" s="61" t="str">
        <f aca="false">IF($D191="","",IF($F191="",IFERROR(INDEX(Items!$G$5:$G$504,Q191),0),$F191))</f>
        <v/>
      </c>
      <c r="K191" s="61" t="str">
        <f aca="false">IF($D191="","",ROUND(N($E191)*J191*(1-N($G191)),2))</f>
        <v/>
      </c>
      <c r="L191" s="62" t="str">
        <f aca="false">IF($D191="","",IFERROR(INDEX(Items!$F$5:$F$504,Q191),0))</f>
        <v/>
      </c>
      <c r="M191" s="61" t="str">
        <f aca="false">IF($D191="","",IF(AND(R191&lt;&gt;"",INDEX(Parties!$E$5:$E$304,R191)&lt;&gt;"",INDEX(Parties!$E$5:$E$304,R191)&lt;&gt;HomeState),0,ROUND(K191*L191/2,2)))</f>
        <v/>
      </c>
      <c r="N191" s="61" t="str">
        <f aca="false">IF($D191="","",M191)</f>
        <v/>
      </c>
      <c r="O191" s="61" t="str">
        <f aca="false">IF($D191="","",IF(AND(R191&lt;&gt;"",INDEX(Parties!$E$5:$E$304,R191)&lt;&gt;"",INDEX(Parties!$E$5:$E$304,R191)&lt;&gt;HomeState),ROUND(K191*L191,2),0))</f>
        <v/>
      </c>
      <c r="P191" s="61" t="str">
        <f aca="false">IF($D191="","",K191+M191+N191+O191)</f>
        <v/>
      </c>
      <c r="Q191" s="60" t="str">
        <f aca="false">IF($D191="","",IFERROR(MATCH($D191,Items!$A$5:$A$504,0),""))</f>
        <v/>
      </c>
      <c r="R191" s="60" t="str">
        <f aca="false">IF($C191="","",IFERROR(MATCH($C191,Parties!$A$5:$A$304,0),""))</f>
        <v/>
      </c>
      <c r="S191" s="61" t="str">
        <f aca="false">IF($D191="","",IF(OR($H191="",$H191="Credit"),0,P191))</f>
        <v/>
      </c>
    </row>
    <row r="192" customFormat="false" ht="15" hidden="false" customHeight="false" outlineLevel="0" collapsed="false">
      <c r="A192" s="55"/>
      <c r="B192" s="56"/>
      <c r="C192" s="56"/>
      <c r="D192" s="56"/>
      <c r="E192" s="57"/>
      <c r="F192" s="58"/>
      <c r="G192" s="59"/>
      <c r="H192" s="56"/>
      <c r="I192" s="60" t="str">
        <f aca="false">IF($D192="","",IFERROR(INDEX(Items!$D$5:$D$504,Q192),""))</f>
        <v/>
      </c>
      <c r="J192" s="61" t="str">
        <f aca="false">IF($D192="","",IF($F192="",IFERROR(INDEX(Items!$G$5:$G$504,Q192),0),$F192))</f>
        <v/>
      </c>
      <c r="K192" s="61" t="str">
        <f aca="false">IF($D192="","",ROUND(N($E192)*J192*(1-N($G192)),2))</f>
        <v/>
      </c>
      <c r="L192" s="62" t="str">
        <f aca="false">IF($D192="","",IFERROR(INDEX(Items!$F$5:$F$504,Q192),0))</f>
        <v/>
      </c>
      <c r="M192" s="61" t="str">
        <f aca="false">IF($D192="","",IF(AND(R192&lt;&gt;"",INDEX(Parties!$E$5:$E$304,R192)&lt;&gt;"",INDEX(Parties!$E$5:$E$304,R192)&lt;&gt;HomeState),0,ROUND(K192*L192/2,2)))</f>
        <v/>
      </c>
      <c r="N192" s="61" t="str">
        <f aca="false">IF($D192="","",M192)</f>
        <v/>
      </c>
      <c r="O192" s="61" t="str">
        <f aca="false">IF($D192="","",IF(AND(R192&lt;&gt;"",INDEX(Parties!$E$5:$E$304,R192)&lt;&gt;"",INDEX(Parties!$E$5:$E$304,R192)&lt;&gt;HomeState),ROUND(K192*L192,2),0))</f>
        <v/>
      </c>
      <c r="P192" s="61" t="str">
        <f aca="false">IF($D192="","",K192+M192+N192+O192)</f>
        <v/>
      </c>
      <c r="Q192" s="60" t="str">
        <f aca="false">IF($D192="","",IFERROR(MATCH($D192,Items!$A$5:$A$504,0),""))</f>
        <v/>
      </c>
      <c r="R192" s="60" t="str">
        <f aca="false">IF($C192="","",IFERROR(MATCH($C192,Parties!$A$5:$A$304,0),""))</f>
        <v/>
      </c>
      <c r="S192" s="61" t="str">
        <f aca="false">IF($D192="","",IF(OR($H192="",$H192="Credit"),0,P192))</f>
        <v/>
      </c>
    </row>
    <row r="193" customFormat="false" ht="15" hidden="false" customHeight="false" outlineLevel="0" collapsed="false">
      <c r="A193" s="55"/>
      <c r="B193" s="56"/>
      <c r="C193" s="56"/>
      <c r="D193" s="56"/>
      <c r="E193" s="57"/>
      <c r="F193" s="58"/>
      <c r="G193" s="59"/>
      <c r="H193" s="56"/>
      <c r="I193" s="60" t="str">
        <f aca="false">IF($D193="","",IFERROR(INDEX(Items!$D$5:$D$504,Q193),""))</f>
        <v/>
      </c>
      <c r="J193" s="61" t="str">
        <f aca="false">IF($D193="","",IF($F193="",IFERROR(INDEX(Items!$G$5:$G$504,Q193),0),$F193))</f>
        <v/>
      </c>
      <c r="K193" s="61" t="str">
        <f aca="false">IF($D193="","",ROUND(N($E193)*J193*(1-N($G193)),2))</f>
        <v/>
      </c>
      <c r="L193" s="62" t="str">
        <f aca="false">IF($D193="","",IFERROR(INDEX(Items!$F$5:$F$504,Q193),0))</f>
        <v/>
      </c>
      <c r="M193" s="61" t="str">
        <f aca="false">IF($D193="","",IF(AND(R193&lt;&gt;"",INDEX(Parties!$E$5:$E$304,R193)&lt;&gt;"",INDEX(Parties!$E$5:$E$304,R193)&lt;&gt;HomeState),0,ROUND(K193*L193/2,2)))</f>
        <v/>
      </c>
      <c r="N193" s="61" t="str">
        <f aca="false">IF($D193="","",M193)</f>
        <v/>
      </c>
      <c r="O193" s="61" t="str">
        <f aca="false">IF($D193="","",IF(AND(R193&lt;&gt;"",INDEX(Parties!$E$5:$E$304,R193)&lt;&gt;"",INDEX(Parties!$E$5:$E$304,R193)&lt;&gt;HomeState),ROUND(K193*L193,2),0))</f>
        <v/>
      </c>
      <c r="P193" s="61" t="str">
        <f aca="false">IF($D193="","",K193+M193+N193+O193)</f>
        <v/>
      </c>
      <c r="Q193" s="60" t="str">
        <f aca="false">IF($D193="","",IFERROR(MATCH($D193,Items!$A$5:$A$504,0),""))</f>
        <v/>
      </c>
      <c r="R193" s="60" t="str">
        <f aca="false">IF($C193="","",IFERROR(MATCH($C193,Parties!$A$5:$A$304,0),""))</f>
        <v/>
      </c>
      <c r="S193" s="61" t="str">
        <f aca="false">IF($D193="","",IF(OR($H193="",$H193="Credit"),0,P193))</f>
        <v/>
      </c>
    </row>
    <row r="194" customFormat="false" ht="15" hidden="false" customHeight="false" outlineLevel="0" collapsed="false">
      <c r="A194" s="55"/>
      <c r="B194" s="56"/>
      <c r="C194" s="56"/>
      <c r="D194" s="56"/>
      <c r="E194" s="57"/>
      <c r="F194" s="58"/>
      <c r="G194" s="59"/>
      <c r="H194" s="56"/>
      <c r="I194" s="60" t="str">
        <f aca="false">IF($D194="","",IFERROR(INDEX(Items!$D$5:$D$504,Q194),""))</f>
        <v/>
      </c>
      <c r="J194" s="61" t="str">
        <f aca="false">IF($D194="","",IF($F194="",IFERROR(INDEX(Items!$G$5:$G$504,Q194),0),$F194))</f>
        <v/>
      </c>
      <c r="K194" s="61" t="str">
        <f aca="false">IF($D194="","",ROUND(N($E194)*J194*(1-N($G194)),2))</f>
        <v/>
      </c>
      <c r="L194" s="62" t="str">
        <f aca="false">IF($D194="","",IFERROR(INDEX(Items!$F$5:$F$504,Q194),0))</f>
        <v/>
      </c>
      <c r="M194" s="61" t="str">
        <f aca="false">IF($D194="","",IF(AND(R194&lt;&gt;"",INDEX(Parties!$E$5:$E$304,R194)&lt;&gt;"",INDEX(Parties!$E$5:$E$304,R194)&lt;&gt;HomeState),0,ROUND(K194*L194/2,2)))</f>
        <v/>
      </c>
      <c r="N194" s="61" t="str">
        <f aca="false">IF($D194="","",M194)</f>
        <v/>
      </c>
      <c r="O194" s="61" t="str">
        <f aca="false">IF($D194="","",IF(AND(R194&lt;&gt;"",INDEX(Parties!$E$5:$E$304,R194)&lt;&gt;"",INDEX(Parties!$E$5:$E$304,R194)&lt;&gt;HomeState),ROUND(K194*L194,2),0))</f>
        <v/>
      </c>
      <c r="P194" s="61" t="str">
        <f aca="false">IF($D194="","",K194+M194+N194+O194)</f>
        <v/>
      </c>
      <c r="Q194" s="60" t="str">
        <f aca="false">IF($D194="","",IFERROR(MATCH($D194,Items!$A$5:$A$504,0),""))</f>
        <v/>
      </c>
      <c r="R194" s="60" t="str">
        <f aca="false">IF($C194="","",IFERROR(MATCH($C194,Parties!$A$5:$A$304,0),""))</f>
        <v/>
      </c>
      <c r="S194" s="61" t="str">
        <f aca="false">IF($D194="","",IF(OR($H194="",$H194="Credit"),0,P194))</f>
        <v/>
      </c>
    </row>
    <row r="195" customFormat="false" ht="15" hidden="false" customHeight="false" outlineLevel="0" collapsed="false">
      <c r="A195" s="55"/>
      <c r="B195" s="56"/>
      <c r="C195" s="56"/>
      <c r="D195" s="56"/>
      <c r="E195" s="57"/>
      <c r="F195" s="58"/>
      <c r="G195" s="59"/>
      <c r="H195" s="56"/>
      <c r="I195" s="60" t="str">
        <f aca="false">IF($D195="","",IFERROR(INDEX(Items!$D$5:$D$504,Q195),""))</f>
        <v/>
      </c>
      <c r="J195" s="61" t="str">
        <f aca="false">IF($D195="","",IF($F195="",IFERROR(INDEX(Items!$G$5:$G$504,Q195),0),$F195))</f>
        <v/>
      </c>
      <c r="K195" s="61" t="str">
        <f aca="false">IF($D195="","",ROUND(N($E195)*J195*(1-N($G195)),2))</f>
        <v/>
      </c>
      <c r="L195" s="62" t="str">
        <f aca="false">IF($D195="","",IFERROR(INDEX(Items!$F$5:$F$504,Q195),0))</f>
        <v/>
      </c>
      <c r="M195" s="61" t="str">
        <f aca="false">IF($D195="","",IF(AND(R195&lt;&gt;"",INDEX(Parties!$E$5:$E$304,R195)&lt;&gt;"",INDEX(Parties!$E$5:$E$304,R195)&lt;&gt;HomeState),0,ROUND(K195*L195/2,2)))</f>
        <v/>
      </c>
      <c r="N195" s="61" t="str">
        <f aca="false">IF($D195="","",M195)</f>
        <v/>
      </c>
      <c r="O195" s="61" t="str">
        <f aca="false">IF($D195="","",IF(AND(R195&lt;&gt;"",INDEX(Parties!$E$5:$E$304,R195)&lt;&gt;"",INDEX(Parties!$E$5:$E$304,R195)&lt;&gt;HomeState),ROUND(K195*L195,2),0))</f>
        <v/>
      </c>
      <c r="P195" s="61" t="str">
        <f aca="false">IF($D195="","",K195+M195+N195+O195)</f>
        <v/>
      </c>
      <c r="Q195" s="60" t="str">
        <f aca="false">IF($D195="","",IFERROR(MATCH($D195,Items!$A$5:$A$504,0),""))</f>
        <v/>
      </c>
      <c r="R195" s="60" t="str">
        <f aca="false">IF($C195="","",IFERROR(MATCH($C195,Parties!$A$5:$A$304,0),""))</f>
        <v/>
      </c>
      <c r="S195" s="61" t="str">
        <f aca="false">IF($D195="","",IF(OR($H195="",$H195="Credit"),0,P195))</f>
        <v/>
      </c>
    </row>
    <row r="196" customFormat="false" ht="15" hidden="false" customHeight="false" outlineLevel="0" collapsed="false">
      <c r="A196" s="55"/>
      <c r="B196" s="56"/>
      <c r="C196" s="56"/>
      <c r="D196" s="56"/>
      <c r="E196" s="57"/>
      <c r="F196" s="58"/>
      <c r="G196" s="59"/>
      <c r="H196" s="56"/>
      <c r="I196" s="60" t="str">
        <f aca="false">IF($D196="","",IFERROR(INDEX(Items!$D$5:$D$504,Q196),""))</f>
        <v/>
      </c>
      <c r="J196" s="61" t="str">
        <f aca="false">IF($D196="","",IF($F196="",IFERROR(INDEX(Items!$G$5:$G$504,Q196),0),$F196))</f>
        <v/>
      </c>
      <c r="K196" s="61" t="str">
        <f aca="false">IF($D196="","",ROUND(N($E196)*J196*(1-N($G196)),2))</f>
        <v/>
      </c>
      <c r="L196" s="62" t="str">
        <f aca="false">IF($D196="","",IFERROR(INDEX(Items!$F$5:$F$504,Q196),0))</f>
        <v/>
      </c>
      <c r="M196" s="61" t="str">
        <f aca="false">IF($D196="","",IF(AND(R196&lt;&gt;"",INDEX(Parties!$E$5:$E$304,R196)&lt;&gt;"",INDEX(Parties!$E$5:$E$304,R196)&lt;&gt;HomeState),0,ROUND(K196*L196/2,2)))</f>
        <v/>
      </c>
      <c r="N196" s="61" t="str">
        <f aca="false">IF($D196="","",M196)</f>
        <v/>
      </c>
      <c r="O196" s="61" t="str">
        <f aca="false">IF($D196="","",IF(AND(R196&lt;&gt;"",INDEX(Parties!$E$5:$E$304,R196)&lt;&gt;"",INDEX(Parties!$E$5:$E$304,R196)&lt;&gt;HomeState),ROUND(K196*L196,2),0))</f>
        <v/>
      </c>
      <c r="P196" s="61" t="str">
        <f aca="false">IF($D196="","",K196+M196+N196+O196)</f>
        <v/>
      </c>
      <c r="Q196" s="60" t="str">
        <f aca="false">IF($D196="","",IFERROR(MATCH($D196,Items!$A$5:$A$504,0),""))</f>
        <v/>
      </c>
      <c r="R196" s="60" t="str">
        <f aca="false">IF($C196="","",IFERROR(MATCH($C196,Parties!$A$5:$A$304,0),""))</f>
        <v/>
      </c>
      <c r="S196" s="61" t="str">
        <f aca="false">IF($D196="","",IF(OR($H196="",$H196="Credit"),0,P196))</f>
        <v/>
      </c>
    </row>
    <row r="197" customFormat="false" ht="15" hidden="false" customHeight="false" outlineLevel="0" collapsed="false">
      <c r="A197" s="55"/>
      <c r="B197" s="56"/>
      <c r="C197" s="56"/>
      <c r="D197" s="56"/>
      <c r="E197" s="57"/>
      <c r="F197" s="58"/>
      <c r="G197" s="59"/>
      <c r="H197" s="56"/>
      <c r="I197" s="60" t="str">
        <f aca="false">IF($D197="","",IFERROR(INDEX(Items!$D$5:$D$504,Q197),""))</f>
        <v/>
      </c>
      <c r="J197" s="61" t="str">
        <f aca="false">IF($D197="","",IF($F197="",IFERROR(INDEX(Items!$G$5:$G$504,Q197),0),$F197))</f>
        <v/>
      </c>
      <c r="K197" s="61" t="str">
        <f aca="false">IF($D197="","",ROUND(N($E197)*J197*(1-N($G197)),2))</f>
        <v/>
      </c>
      <c r="L197" s="62" t="str">
        <f aca="false">IF($D197="","",IFERROR(INDEX(Items!$F$5:$F$504,Q197),0))</f>
        <v/>
      </c>
      <c r="M197" s="61" t="str">
        <f aca="false">IF($D197="","",IF(AND(R197&lt;&gt;"",INDEX(Parties!$E$5:$E$304,R197)&lt;&gt;"",INDEX(Parties!$E$5:$E$304,R197)&lt;&gt;HomeState),0,ROUND(K197*L197/2,2)))</f>
        <v/>
      </c>
      <c r="N197" s="61" t="str">
        <f aca="false">IF($D197="","",M197)</f>
        <v/>
      </c>
      <c r="O197" s="61" t="str">
        <f aca="false">IF($D197="","",IF(AND(R197&lt;&gt;"",INDEX(Parties!$E$5:$E$304,R197)&lt;&gt;"",INDEX(Parties!$E$5:$E$304,R197)&lt;&gt;HomeState),ROUND(K197*L197,2),0))</f>
        <v/>
      </c>
      <c r="P197" s="61" t="str">
        <f aca="false">IF($D197="","",K197+M197+N197+O197)</f>
        <v/>
      </c>
      <c r="Q197" s="60" t="str">
        <f aca="false">IF($D197="","",IFERROR(MATCH($D197,Items!$A$5:$A$504,0),""))</f>
        <v/>
      </c>
      <c r="R197" s="60" t="str">
        <f aca="false">IF($C197="","",IFERROR(MATCH($C197,Parties!$A$5:$A$304,0),""))</f>
        <v/>
      </c>
      <c r="S197" s="61" t="str">
        <f aca="false">IF($D197="","",IF(OR($H197="",$H197="Credit"),0,P197))</f>
        <v/>
      </c>
    </row>
    <row r="198" customFormat="false" ht="15" hidden="false" customHeight="false" outlineLevel="0" collapsed="false">
      <c r="A198" s="55"/>
      <c r="B198" s="56"/>
      <c r="C198" s="56"/>
      <c r="D198" s="56"/>
      <c r="E198" s="57"/>
      <c r="F198" s="58"/>
      <c r="G198" s="59"/>
      <c r="H198" s="56"/>
      <c r="I198" s="60" t="str">
        <f aca="false">IF($D198="","",IFERROR(INDEX(Items!$D$5:$D$504,Q198),""))</f>
        <v/>
      </c>
      <c r="J198" s="61" t="str">
        <f aca="false">IF($D198="","",IF($F198="",IFERROR(INDEX(Items!$G$5:$G$504,Q198),0),$F198))</f>
        <v/>
      </c>
      <c r="K198" s="61" t="str">
        <f aca="false">IF($D198="","",ROUND(N($E198)*J198*(1-N($G198)),2))</f>
        <v/>
      </c>
      <c r="L198" s="62" t="str">
        <f aca="false">IF($D198="","",IFERROR(INDEX(Items!$F$5:$F$504,Q198),0))</f>
        <v/>
      </c>
      <c r="M198" s="61" t="str">
        <f aca="false">IF($D198="","",IF(AND(R198&lt;&gt;"",INDEX(Parties!$E$5:$E$304,R198)&lt;&gt;"",INDEX(Parties!$E$5:$E$304,R198)&lt;&gt;HomeState),0,ROUND(K198*L198/2,2)))</f>
        <v/>
      </c>
      <c r="N198" s="61" t="str">
        <f aca="false">IF($D198="","",M198)</f>
        <v/>
      </c>
      <c r="O198" s="61" t="str">
        <f aca="false">IF($D198="","",IF(AND(R198&lt;&gt;"",INDEX(Parties!$E$5:$E$304,R198)&lt;&gt;"",INDEX(Parties!$E$5:$E$304,R198)&lt;&gt;HomeState),ROUND(K198*L198,2),0))</f>
        <v/>
      </c>
      <c r="P198" s="61" t="str">
        <f aca="false">IF($D198="","",K198+M198+N198+O198)</f>
        <v/>
      </c>
      <c r="Q198" s="60" t="str">
        <f aca="false">IF($D198="","",IFERROR(MATCH($D198,Items!$A$5:$A$504,0),""))</f>
        <v/>
      </c>
      <c r="R198" s="60" t="str">
        <f aca="false">IF($C198="","",IFERROR(MATCH($C198,Parties!$A$5:$A$304,0),""))</f>
        <v/>
      </c>
      <c r="S198" s="61" t="str">
        <f aca="false">IF($D198="","",IF(OR($H198="",$H198="Credit"),0,P198))</f>
        <v/>
      </c>
    </row>
    <row r="199" customFormat="false" ht="15" hidden="false" customHeight="false" outlineLevel="0" collapsed="false">
      <c r="A199" s="55"/>
      <c r="B199" s="56"/>
      <c r="C199" s="56"/>
      <c r="D199" s="56"/>
      <c r="E199" s="57"/>
      <c r="F199" s="58"/>
      <c r="G199" s="59"/>
      <c r="H199" s="56"/>
      <c r="I199" s="60" t="str">
        <f aca="false">IF($D199="","",IFERROR(INDEX(Items!$D$5:$D$504,Q199),""))</f>
        <v/>
      </c>
      <c r="J199" s="61" t="str">
        <f aca="false">IF($D199="","",IF($F199="",IFERROR(INDEX(Items!$G$5:$G$504,Q199),0),$F199))</f>
        <v/>
      </c>
      <c r="K199" s="61" t="str">
        <f aca="false">IF($D199="","",ROUND(N($E199)*J199*(1-N($G199)),2))</f>
        <v/>
      </c>
      <c r="L199" s="62" t="str">
        <f aca="false">IF($D199="","",IFERROR(INDEX(Items!$F$5:$F$504,Q199),0))</f>
        <v/>
      </c>
      <c r="M199" s="61" t="str">
        <f aca="false">IF($D199="","",IF(AND(R199&lt;&gt;"",INDEX(Parties!$E$5:$E$304,R199)&lt;&gt;"",INDEX(Parties!$E$5:$E$304,R199)&lt;&gt;HomeState),0,ROUND(K199*L199/2,2)))</f>
        <v/>
      </c>
      <c r="N199" s="61" t="str">
        <f aca="false">IF($D199="","",M199)</f>
        <v/>
      </c>
      <c r="O199" s="61" t="str">
        <f aca="false">IF($D199="","",IF(AND(R199&lt;&gt;"",INDEX(Parties!$E$5:$E$304,R199)&lt;&gt;"",INDEX(Parties!$E$5:$E$304,R199)&lt;&gt;HomeState),ROUND(K199*L199,2),0))</f>
        <v/>
      </c>
      <c r="P199" s="61" t="str">
        <f aca="false">IF($D199="","",K199+M199+N199+O199)</f>
        <v/>
      </c>
      <c r="Q199" s="60" t="str">
        <f aca="false">IF($D199="","",IFERROR(MATCH($D199,Items!$A$5:$A$504,0),""))</f>
        <v/>
      </c>
      <c r="R199" s="60" t="str">
        <f aca="false">IF($C199="","",IFERROR(MATCH($C199,Parties!$A$5:$A$304,0),""))</f>
        <v/>
      </c>
      <c r="S199" s="61" t="str">
        <f aca="false">IF($D199="","",IF(OR($H199="",$H199="Credit"),0,P199))</f>
        <v/>
      </c>
    </row>
    <row r="200" customFormat="false" ht="15" hidden="false" customHeight="false" outlineLevel="0" collapsed="false">
      <c r="A200" s="55"/>
      <c r="B200" s="56"/>
      <c r="C200" s="56"/>
      <c r="D200" s="56"/>
      <c r="E200" s="57"/>
      <c r="F200" s="58"/>
      <c r="G200" s="59"/>
      <c r="H200" s="56"/>
      <c r="I200" s="60" t="str">
        <f aca="false">IF($D200="","",IFERROR(INDEX(Items!$D$5:$D$504,Q200),""))</f>
        <v/>
      </c>
      <c r="J200" s="61" t="str">
        <f aca="false">IF($D200="","",IF($F200="",IFERROR(INDEX(Items!$G$5:$G$504,Q200),0),$F200))</f>
        <v/>
      </c>
      <c r="K200" s="61" t="str">
        <f aca="false">IF($D200="","",ROUND(N($E200)*J200*(1-N($G200)),2))</f>
        <v/>
      </c>
      <c r="L200" s="62" t="str">
        <f aca="false">IF($D200="","",IFERROR(INDEX(Items!$F$5:$F$504,Q200),0))</f>
        <v/>
      </c>
      <c r="M200" s="61" t="str">
        <f aca="false">IF($D200="","",IF(AND(R200&lt;&gt;"",INDEX(Parties!$E$5:$E$304,R200)&lt;&gt;"",INDEX(Parties!$E$5:$E$304,R200)&lt;&gt;HomeState),0,ROUND(K200*L200/2,2)))</f>
        <v/>
      </c>
      <c r="N200" s="61" t="str">
        <f aca="false">IF($D200="","",M200)</f>
        <v/>
      </c>
      <c r="O200" s="61" t="str">
        <f aca="false">IF($D200="","",IF(AND(R200&lt;&gt;"",INDEX(Parties!$E$5:$E$304,R200)&lt;&gt;"",INDEX(Parties!$E$5:$E$304,R200)&lt;&gt;HomeState),ROUND(K200*L200,2),0))</f>
        <v/>
      </c>
      <c r="P200" s="61" t="str">
        <f aca="false">IF($D200="","",K200+M200+N200+O200)</f>
        <v/>
      </c>
      <c r="Q200" s="60" t="str">
        <f aca="false">IF($D200="","",IFERROR(MATCH($D200,Items!$A$5:$A$504,0),""))</f>
        <v/>
      </c>
      <c r="R200" s="60" t="str">
        <f aca="false">IF($C200="","",IFERROR(MATCH($C200,Parties!$A$5:$A$304,0),""))</f>
        <v/>
      </c>
      <c r="S200" s="61" t="str">
        <f aca="false">IF($D200="","",IF(OR($H200="",$H200="Credit"),0,P200))</f>
        <v/>
      </c>
    </row>
    <row r="201" customFormat="false" ht="15" hidden="false" customHeight="false" outlineLevel="0" collapsed="false">
      <c r="A201" s="55"/>
      <c r="B201" s="56"/>
      <c r="C201" s="56"/>
      <c r="D201" s="56"/>
      <c r="E201" s="57"/>
      <c r="F201" s="58"/>
      <c r="G201" s="59"/>
      <c r="H201" s="56"/>
      <c r="I201" s="60" t="str">
        <f aca="false">IF($D201="","",IFERROR(INDEX(Items!$D$5:$D$504,Q201),""))</f>
        <v/>
      </c>
      <c r="J201" s="61" t="str">
        <f aca="false">IF($D201="","",IF($F201="",IFERROR(INDEX(Items!$G$5:$G$504,Q201),0),$F201))</f>
        <v/>
      </c>
      <c r="K201" s="61" t="str">
        <f aca="false">IF($D201="","",ROUND(N($E201)*J201*(1-N($G201)),2))</f>
        <v/>
      </c>
      <c r="L201" s="62" t="str">
        <f aca="false">IF($D201="","",IFERROR(INDEX(Items!$F$5:$F$504,Q201),0))</f>
        <v/>
      </c>
      <c r="M201" s="61" t="str">
        <f aca="false">IF($D201="","",IF(AND(R201&lt;&gt;"",INDEX(Parties!$E$5:$E$304,R201)&lt;&gt;"",INDEX(Parties!$E$5:$E$304,R201)&lt;&gt;HomeState),0,ROUND(K201*L201/2,2)))</f>
        <v/>
      </c>
      <c r="N201" s="61" t="str">
        <f aca="false">IF($D201="","",M201)</f>
        <v/>
      </c>
      <c r="O201" s="61" t="str">
        <f aca="false">IF($D201="","",IF(AND(R201&lt;&gt;"",INDEX(Parties!$E$5:$E$304,R201)&lt;&gt;"",INDEX(Parties!$E$5:$E$304,R201)&lt;&gt;HomeState),ROUND(K201*L201,2),0))</f>
        <v/>
      </c>
      <c r="P201" s="61" t="str">
        <f aca="false">IF($D201="","",K201+M201+N201+O201)</f>
        <v/>
      </c>
      <c r="Q201" s="60" t="str">
        <f aca="false">IF($D201="","",IFERROR(MATCH($D201,Items!$A$5:$A$504,0),""))</f>
        <v/>
      </c>
      <c r="R201" s="60" t="str">
        <f aca="false">IF($C201="","",IFERROR(MATCH($C201,Parties!$A$5:$A$304,0),""))</f>
        <v/>
      </c>
      <c r="S201" s="61" t="str">
        <f aca="false">IF($D201="","",IF(OR($H201="",$H201="Credit"),0,P201))</f>
        <v/>
      </c>
    </row>
    <row r="202" customFormat="false" ht="15" hidden="false" customHeight="false" outlineLevel="0" collapsed="false">
      <c r="A202" s="55"/>
      <c r="B202" s="56"/>
      <c r="C202" s="56"/>
      <c r="D202" s="56"/>
      <c r="E202" s="57"/>
      <c r="F202" s="58"/>
      <c r="G202" s="59"/>
      <c r="H202" s="56"/>
      <c r="I202" s="60" t="str">
        <f aca="false">IF($D202="","",IFERROR(INDEX(Items!$D$5:$D$504,Q202),""))</f>
        <v/>
      </c>
      <c r="J202" s="61" t="str">
        <f aca="false">IF($D202="","",IF($F202="",IFERROR(INDEX(Items!$G$5:$G$504,Q202),0),$F202))</f>
        <v/>
      </c>
      <c r="K202" s="61" t="str">
        <f aca="false">IF($D202="","",ROUND(N($E202)*J202*(1-N($G202)),2))</f>
        <v/>
      </c>
      <c r="L202" s="62" t="str">
        <f aca="false">IF($D202="","",IFERROR(INDEX(Items!$F$5:$F$504,Q202),0))</f>
        <v/>
      </c>
      <c r="M202" s="61" t="str">
        <f aca="false">IF($D202="","",IF(AND(R202&lt;&gt;"",INDEX(Parties!$E$5:$E$304,R202)&lt;&gt;"",INDEX(Parties!$E$5:$E$304,R202)&lt;&gt;HomeState),0,ROUND(K202*L202/2,2)))</f>
        <v/>
      </c>
      <c r="N202" s="61" t="str">
        <f aca="false">IF($D202="","",M202)</f>
        <v/>
      </c>
      <c r="O202" s="61" t="str">
        <f aca="false">IF($D202="","",IF(AND(R202&lt;&gt;"",INDEX(Parties!$E$5:$E$304,R202)&lt;&gt;"",INDEX(Parties!$E$5:$E$304,R202)&lt;&gt;HomeState),ROUND(K202*L202,2),0))</f>
        <v/>
      </c>
      <c r="P202" s="61" t="str">
        <f aca="false">IF($D202="","",K202+M202+N202+O202)</f>
        <v/>
      </c>
      <c r="Q202" s="60" t="str">
        <f aca="false">IF($D202="","",IFERROR(MATCH($D202,Items!$A$5:$A$504,0),""))</f>
        <v/>
      </c>
      <c r="R202" s="60" t="str">
        <f aca="false">IF($C202="","",IFERROR(MATCH($C202,Parties!$A$5:$A$304,0),""))</f>
        <v/>
      </c>
      <c r="S202" s="61" t="str">
        <f aca="false">IF($D202="","",IF(OR($H202="",$H202="Credit"),0,P202))</f>
        <v/>
      </c>
    </row>
    <row r="203" customFormat="false" ht="15" hidden="false" customHeight="false" outlineLevel="0" collapsed="false">
      <c r="A203" s="55"/>
      <c r="B203" s="56"/>
      <c r="C203" s="56"/>
      <c r="D203" s="56"/>
      <c r="E203" s="57"/>
      <c r="F203" s="58"/>
      <c r="G203" s="59"/>
      <c r="H203" s="56"/>
      <c r="I203" s="60" t="str">
        <f aca="false">IF($D203="","",IFERROR(INDEX(Items!$D$5:$D$504,Q203),""))</f>
        <v/>
      </c>
      <c r="J203" s="61" t="str">
        <f aca="false">IF($D203="","",IF($F203="",IFERROR(INDEX(Items!$G$5:$G$504,Q203),0),$F203))</f>
        <v/>
      </c>
      <c r="K203" s="61" t="str">
        <f aca="false">IF($D203="","",ROUND(N($E203)*J203*(1-N($G203)),2))</f>
        <v/>
      </c>
      <c r="L203" s="62" t="str">
        <f aca="false">IF($D203="","",IFERROR(INDEX(Items!$F$5:$F$504,Q203),0))</f>
        <v/>
      </c>
      <c r="M203" s="61" t="str">
        <f aca="false">IF($D203="","",IF(AND(R203&lt;&gt;"",INDEX(Parties!$E$5:$E$304,R203)&lt;&gt;"",INDEX(Parties!$E$5:$E$304,R203)&lt;&gt;HomeState),0,ROUND(K203*L203/2,2)))</f>
        <v/>
      </c>
      <c r="N203" s="61" t="str">
        <f aca="false">IF($D203="","",M203)</f>
        <v/>
      </c>
      <c r="O203" s="61" t="str">
        <f aca="false">IF($D203="","",IF(AND(R203&lt;&gt;"",INDEX(Parties!$E$5:$E$304,R203)&lt;&gt;"",INDEX(Parties!$E$5:$E$304,R203)&lt;&gt;HomeState),ROUND(K203*L203,2),0))</f>
        <v/>
      </c>
      <c r="P203" s="61" t="str">
        <f aca="false">IF($D203="","",K203+M203+N203+O203)</f>
        <v/>
      </c>
      <c r="Q203" s="60" t="str">
        <f aca="false">IF($D203="","",IFERROR(MATCH($D203,Items!$A$5:$A$504,0),""))</f>
        <v/>
      </c>
      <c r="R203" s="60" t="str">
        <f aca="false">IF($C203="","",IFERROR(MATCH($C203,Parties!$A$5:$A$304,0),""))</f>
        <v/>
      </c>
      <c r="S203" s="61" t="str">
        <f aca="false">IF($D203="","",IF(OR($H203="",$H203="Credit"),0,P203))</f>
        <v/>
      </c>
    </row>
    <row r="204" customFormat="false" ht="15" hidden="false" customHeight="false" outlineLevel="0" collapsed="false">
      <c r="A204" s="55"/>
      <c r="B204" s="56"/>
      <c r="C204" s="56"/>
      <c r="D204" s="56"/>
      <c r="E204" s="57"/>
      <c r="F204" s="58"/>
      <c r="G204" s="59"/>
      <c r="H204" s="56"/>
      <c r="I204" s="60" t="str">
        <f aca="false">IF($D204="","",IFERROR(INDEX(Items!$D$5:$D$504,Q204),""))</f>
        <v/>
      </c>
      <c r="J204" s="61" t="str">
        <f aca="false">IF($D204="","",IF($F204="",IFERROR(INDEX(Items!$G$5:$G$504,Q204),0),$F204))</f>
        <v/>
      </c>
      <c r="K204" s="61" t="str">
        <f aca="false">IF($D204="","",ROUND(N($E204)*J204*(1-N($G204)),2))</f>
        <v/>
      </c>
      <c r="L204" s="62" t="str">
        <f aca="false">IF($D204="","",IFERROR(INDEX(Items!$F$5:$F$504,Q204),0))</f>
        <v/>
      </c>
      <c r="M204" s="61" t="str">
        <f aca="false">IF($D204="","",IF(AND(R204&lt;&gt;"",INDEX(Parties!$E$5:$E$304,R204)&lt;&gt;"",INDEX(Parties!$E$5:$E$304,R204)&lt;&gt;HomeState),0,ROUND(K204*L204/2,2)))</f>
        <v/>
      </c>
      <c r="N204" s="61" t="str">
        <f aca="false">IF($D204="","",M204)</f>
        <v/>
      </c>
      <c r="O204" s="61" t="str">
        <f aca="false">IF($D204="","",IF(AND(R204&lt;&gt;"",INDEX(Parties!$E$5:$E$304,R204)&lt;&gt;"",INDEX(Parties!$E$5:$E$304,R204)&lt;&gt;HomeState),ROUND(K204*L204,2),0))</f>
        <v/>
      </c>
      <c r="P204" s="61" t="str">
        <f aca="false">IF($D204="","",K204+M204+N204+O204)</f>
        <v/>
      </c>
      <c r="Q204" s="60" t="str">
        <f aca="false">IF($D204="","",IFERROR(MATCH($D204,Items!$A$5:$A$504,0),""))</f>
        <v/>
      </c>
      <c r="R204" s="60" t="str">
        <f aca="false">IF($C204="","",IFERROR(MATCH($C204,Parties!$A$5:$A$304,0),""))</f>
        <v/>
      </c>
      <c r="S204" s="61" t="str">
        <f aca="false">IF($D204="","",IF(OR($H204="",$H204="Credit"),0,P204))</f>
        <v/>
      </c>
    </row>
    <row r="205" customFormat="false" ht="15" hidden="false" customHeight="false" outlineLevel="0" collapsed="false">
      <c r="A205" s="55"/>
      <c r="B205" s="56"/>
      <c r="C205" s="56"/>
      <c r="D205" s="56"/>
      <c r="E205" s="57"/>
      <c r="F205" s="58"/>
      <c r="G205" s="59"/>
      <c r="H205" s="56"/>
      <c r="I205" s="60" t="str">
        <f aca="false">IF(IsPro,IF($D205="","",IFERROR(INDEX(Items!$D$5:$D$504,Q205),"")),IF($D205="","","PRO PLAN"))</f>
        <v/>
      </c>
      <c r="J205" s="61" t="str">
        <f aca="false">IF(IsPro,IF($D205="","",IF($F205="",IFERROR(INDEX(Items!$G$5:$G$504,Q205),0),$F205)),"")</f>
        <v/>
      </c>
      <c r="K205" s="61" t="str">
        <f aca="false">IF(IsPro,IF($D205="","",ROUND(N($E205)*J205*(1-N($G205)),2)),"")</f>
        <v/>
      </c>
      <c r="L205" s="62" t="str">
        <f aca="false">IF(IsPro,IF($D205="","",IFERROR(INDEX(Items!$F$5:$F$504,Q205),0)),"")</f>
        <v/>
      </c>
      <c r="M205" s="61" t="str">
        <f aca="false">IF(IsPro,IF($D205="","",IF(AND(R205&lt;&gt;"",INDEX(Parties!$E$5:$E$304,R205)&lt;&gt;"",INDEX(Parties!$E$5:$E$304,R205)&lt;&gt;HomeState),0,ROUND(K205*L205/2,2))),"")</f>
        <v/>
      </c>
      <c r="N205" s="61" t="str">
        <f aca="false">IF(IsPro,IF($D205="","",M205),"")</f>
        <v/>
      </c>
      <c r="O205" s="61" t="str">
        <f aca="false">IF(IsPro,IF($D205="","",IF(AND(R205&lt;&gt;"",INDEX(Parties!$E$5:$E$304,R205)&lt;&gt;"",INDEX(Parties!$E$5:$E$304,R205)&lt;&gt;HomeState),ROUND(K205*L205,2),0)),"")</f>
        <v/>
      </c>
      <c r="P205" s="61" t="str">
        <f aca="false">IF(IsPro,IF($D205="","",K205+M205+N205+O205),"")</f>
        <v/>
      </c>
      <c r="Q205" s="60" t="str">
        <f aca="false">IF(IsPro,IF($D205="","",IFERROR(MATCH($D205,Items!$A$5:$A$504,0),"")),"")</f>
        <v/>
      </c>
      <c r="R205" s="60" t="str">
        <f aca="false">IF(IsPro,IF($C205="","",IFERROR(MATCH($C205,Parties!$A$5:$A$304,0),"")),"")</f>
        <v/>
      </c>
      <c r="S205" s="61" t="str">
        <f aca="false">IF(IsPro,IF($D205="","",IF(OR($H205="",$H205="Credit"),0,P205)),"")</f>
        <v/>
      </c>
    </row>
    <row r="206" customFormat="false" ht="15" hidden="false" customHeight="false" outlineLevel="0" collapsed="false">
      <c r="A206" s="55"/>
      <c r="B206" s="56"/>
      <c r="C206" s="56"/>
      <c r="D206" s="56"/>
      <c r="E206" s="57"/>
      <c r="F206" s="58"/>
      <c r="G206" s="59"/>
      <c r="H206" s="56"/>
      <c r="I206" s="60" t="str">
        <f aca="false">IF(IsPro,IF($D206="","",IFERROR(INDEX(Items!$D$5:$D$504,Q206),"")),IF($D206="","","PRO PLAN"))</f>
        <v/>
      </c>
      <c r="J206" s="61" t="str">
        <f aca="false">IF(IsPro,IF($D206="","",IF($F206="",IFERROR(INDEX(Items!$G$5:$G$504,Q206),0),$F206)),"")</f>
        <v/>
      </c>
      <c r="K206" s="61" t="str">
        <f aca="false">IF(IsPro,IF($D206="","",ROUND(N($E206)*J206*(1-N($G206)),2)),"")</f>
        <v/>
      </c>
      <c r="L206" s="62" t="str">
        <f aca="false">IF(IsPro,IF($D206="","",IFERROR(INDEX(Items!$F$5:$F$504,Q206),0)),"")</f>
        <v/>
      </c>
      <c r="M206" s="61" t="str">
        <f aca="false">IF(IsPro,IF($D206="","",IF(AND(R206&lt;&gt;"",INDEX(Parties!$E$5:$E$304,R206)&lt;&gt;"",INDEX(Parties!$E$5:$E$304,R206)&lt;&gt;HomeState),0,ROUND(K206*L206/2,2))),"")</f>
        <v/>
      </c>
      <c r="N206" s="61" t="str">
        <f aca="false">IF(IsPro,IF($D206="","",M206),"")</f>
        <v/>
      </c>
      <c r="O206" s="61" t="str">
        <f aca="false">IF(IsPro,IF($D206="","",IF(AND(R206&lt;&gt;"",INDEX(Parties!$E$5:$E$304,R206)&lt;&gt;"",INDEX(Parties!$E$5:$E$304,R206)&lt;&gt;HomeState),ROUND(K206*L206,2),0)),"")</f>
        <v/>
      </c>
      <c r="P206" s="61" t="str">
        <f aca="false">IF(IsPro,IF($D206="","",K206+M206+N206+O206),"")</f>
        <v/>
      </c>
      <c r="Q206" s="60" t="str">
        <f aca="false">IF(IsPro,IF($D206="","",IFERROR(MATCH($D206,Items!$A$5:$A$504,0),"")),"")</f>
        <v/>
      </c>
      <c r="R206" s="60" t="str">
        <f aca="false">IF(IsPro,IF($C206="","",IFERROR(MATCH($C206,Parties!$A$5:$A$304,0),"")),"")</f>
        <v/>
      </c>
      <c r="S206" s="61" t="str">
        <f aca="false">IF(IsPro,IF($D206="","",IF(OR($H206="",$H206="Credit"),0,P206)),"")</f>
        <v/>
      </c>
    </row>
    <row r="207" customFormat="false" ht="15" hidden="false" customHeight="false" outlineLevel="0" collapsed="false">
      <c r="A207" s="55"/>
      <c r="B207" s="56"/>
      <c r="C207" s="56"/>
      <c r="D207" s="56"/>
      <c r="E207" s="57"/>
      <c r="F207" s="58"/>
      <c r="G207" s="59"/>
      <c r="H207" s="56"/>
      <c r="I207" s="60" t="str">
        <f aca="false">IF(IsPro,IF($D207="","",IFERROR(INDEX(Items!$D$5:$D$504,Q207),"")),IF($D207="","","PRO PLAN"))</f>
        <v/>
      </c>
      <c r="J207" s="61" t="str">
        <f aca="false">IF(IsPro,IF($D207="","",IF($F207="",IFERROR(INDEX(Items!$G$5:$G$504,Q207),0),$F207)),"")</f>
        <v/>
      </c>
      <c r="K207" s="61" t="str">
        <f aca="false">IF(IsPro,IF($D207="","",ROUND(N($E207)*J207*(1-N($G207)),2)),"")</f>
        <v/>
      </c>
      <c r="L207" s="62" t="str">
        <f aca="false">IF(IsPro,IF($D207="","",IFERROR(INDEX(Items!$F$5:$F$504,Q207),0)),"")</f>
        <v/>
      </c>
      <c r="M207" s="61" t="str">
        <f aca="false">IF(IsPro,IF($D207="","",IF(AND(R207&lt;&gt;"",INDEX(Parties!$E$5:$E$304,R207)&lt;&gt;"",INDEX(Parties!$E$5:$E$304,R207)&lt;&gt;HomeState),0,ROUND(K207*L207/2,2))),"")</f>
        <v/>
      </c>
      <c r="N207" s="61" t="str">
        <f aca="false">IF(IsPro,IF($D207="","",M207),"")</f>
        <v/>
      </c>
      <c r="O207" s="61" t="str">
        <f aca="false">IF(IsPro,IF($D207="","",IF(AND(R207&lt;&gt;"",INDEX(Parties!$E$5:$E$304,R207)&lt;&gt;"",INDEX(Parties!$E$5:$E$304,R207)&lt;&gt;HomeState),ROUND(K207*L207,2),0)),"")</f>
        <v/>
      </c>
      <c r="P207" s="61" t="str">
        <f aca="false">IF(IsPro,IF($D207="","",K207+M207+N207+O207),"")</f>
        <v/>
      </c>
      <c r="Q207" s="60" t="str">
        <f aca="false">IF(IsPro,IF($D207="","",IFERROR(MATCH($D207,Items!$A$5:$A$504,0),"")),"")</f>
        <v/>
      </c>
      <c r="R207" s="60" t="str">
        <f aca="false">IF(IsPro,IF($C207="","",IFERROR(MATCH($C207,Parties!$A$5:$A$304,0),"")),"")</f>
        <v/>
      </c>
      <c r="S207" s="61" t="str">
        <f aca="false">IF(IsPro,IF($D207="","",IF(OR($H207="",$H207="Credit"),0,P207)),"")</f>
        <v/>
      </c>
    </row>
    <row r="208" customFormat="false" ht="15" hidden="false" customHeight="false" outlineLevel="0" collapsed="false">
      <c r="A208" s="55"/>
      <c r="B208" s="56"/>
      <c r="C208" s="56"/>
      <c r="D208" s="56"/>
      <c r="E208" s="57"/>
      <c r="F208" s="58"/>
      <c r="G208" s="59"/>
      <c r="H208" s="56"/>
      <c r="I208" s="60" t="str">
        <f aca="false">IF(IsPro,IF($D208="","",IFERROR(INDEX(Items!$D$5:$D$504,Q208),"")),IF($D208="","","PRO PLAN"))</f>
        <v/>
      </c>
      <c r="J208" s="61" t="str">
        <f aca="false">IF(IsPro,IF($D208="","",IF($F208="",IFERROR(INDEX(Items!$G$5:$G$504,Q208),0),$F208)),"")</f>
        <v/>
      </c>
      <c r="K208" s="61" t="str">
        <f aca="false">IF(IsPro,IF($D208="","",ROUND(N($E208)*J208*(1-N($G208)),2)),"")</f>
        <v/>
      </c>
      <c r="L208" s="62" t="str">
        <f aca="false">IF(IsPro,IF($D208="","",IFERROR(INDEX(Items!$F$5:$F$504,Q208),0)),"")</f>
        <v/>
      </c>
      <c r="M208" s="61" t="str">
        <f aca="false">IF(IsPro,IF($D208="","",IF(AND(R208&lt;&gt;"",INDEX(Parties!$E$5:$E$304,R208)&lt;&gt;"",INDEX(Parties!$E$5:$E$304,R208)&lt;&gt;HomeState),0,ROUND(K208*L208/2,2))),"")</f>
        <v/>
      </c>
      <c r="N208" s="61" t="str">
        <f aca="false">IF(IsPro,IF($D208="","",M208),"")</f>
        <v/>
      </c>
      <c r="O208" s="61" t="str">
        <f aca="false">IF(IsPro,IF($D208="","",IF(AND(R208&lt;&gt;"",INDEX(Parties!$E$5:$E$304,R208)&lt;&gt;"",INDEX(Parties!$E$5:$E$304,R208)&lt;&gt;HomeState),ROUND(K208*L208,2),0)),"")</f>
        <v/>
      </c>
      <c r="P208" s="61" t="str">
        <f aca="false">IF(IsPro,IF($D208="","",K208+M208+N208+O208),"")</f>
        <v/>
      </c>
      <c r="Q208" s="60" t="str">
        <f aca="false">IF(IsPro,IF($D208="","",IFERROR(MATCH($D208,Items!$A$5:$A$504,0),"")),"")</f>
        <v/>
      </c>
      <c r="R208" s="60" t="str">
        <f aca="false">IF(IsPro,IF($C208="","",IFERROR(MATCH($C208,Parties!$A$5:$A$304,0),"")),"")</f>
        <v/>
      </c>
      <c r="S208" s="61" t="str">
        <f aca="false">IF(IsPro,IF($D208="","",IF(OR($H208="",$H208="Credit"),0,P208)),"")</f>
        <v/>
      </c>
    </row>
    <row r="209" customFormat="false" ht="15" hidden="false" customHeight="false" outlineLevel="0" collapsed="false">
      <c r="A209" s="55"/>
      <c r="B209" s="56"/>
      <c r="C209" s="56"/>
      <c r="D209" s="56"/>
      <c r="E209" s="57"/>
      <c r="F209" s="58"/>
      <c r="G209" s="59"/>
      <c r="H209" s="56"/>
      <c r="I209" s="60" t="str">
        <f aca="false">IF(IsPro,IF($D209="","",IFERROR(INDEX(Items!$D$5:$D$504,Q209),"")),IF($D209="","","PRO PLAN"))</f>
        <v/>
      </c>
      <c r="J209" s="61" t="str">
        <f aca="false">IF(IsPro,IF($D209="","",IF($F209="",IFERROR(INDEX(Items!$G$5:$G$504,Q209),0),$F209)),"")</f>
        <v/>
      </c>
      <c r="K209" s="61" t="str">
        <f aca="false">IF(IsPro,IF($D209="","",ROUND(N($E209)*J209*(1-N($G209)),2)),"")</f>
        <v/>
      </c>
      <c r="L209" s="62" t="str">
        <f aca="false">IF(IsPro,IF($D209="","",IFERROR(INDEX(Items!$F$5:$F$504,Q209),0)),"")</f>
        <v/>
      </c>
      <c r="M209" s="61" t="str">
        <f aca="false">IF(IsPro,IF($D209="","",IF(AND(R209&lt;&gt;"",INDEX(Parties!$E$5:$E$304,R209)&lt;&gt;"",INDEX(Parties!$E$5:$E$304,R209)&lt;&gt;HomeState),0,ROUND(K209*L209/2,2))),"")</f>
        <v/>
      </c>
      <c r="N209" s="61" t="str">
        <f aca="false">IF(IsPro,IF($D209="","",M209),"")</f>
        <v/>
      </c>
      <c r="O209" s="61" t="str">
        <f aca="false">IF(IsPro,IF($D209="","",IF(AND(R209&lt;&gt;"",INDEX(Parties!$E$5:$E$304,R209)&lt;&gt;"",INDEX(Parties!$E$5:$E$304,R209)&lt;&gt;HomeState),ROUND(K209*L209,2),0)),"")</f>
        <v/>
      </c>
      <c r="P209" s="61" t="str">
        <f aca="false">IF(IsPro,IF($D209="","",K209+M209+N209+O209),"")</f>
        <v/>
      </c>
      <c r="Q209" s="60" t="str">
        <f aca="false">IF(IsPro,IF($D209="","",IFERROR(MATCH($D209,Items!$A$5:$A$504,0),"")),"")</f>
        <v/>
      </c>
      <c r="R209" s="60" t="str">
        <f aca="false">IF(IsPro,IF($C209="","",IFERROR(MATCH($C209,Parties!$A$5:$A$304,0),"")),"")</f>
        <v/>
      </c>
      <c r="S209" s="61" t="str">
        <f aca="false">IF(IsPro,IF($D209="","",IF(OR($H209="",$H209="Credit"),0,P209)),"")</f>
        <v/>
      </c>
    </row>
    <row r="210" customFormat="false" ht="15" hidden="false" customHeight="false" outlineLevel="0" collapsed="false">
      <c r="A210" s="55"/>
      <c r="B210" s="56"/>
      <c r="C210" s="56"/>
      <c r="D210" s="56"/>
      <c r="E210" s="57"/>
      <c r="F210" s="58"/>
      <c r="G210" s="59"/>
      <c r="H210" s="56"/>
      <c r="I210" s="60" t="str">
        <f aca="false">IF(IsPro,IF($D210="","",IFERROR(INDEX(Items!$D$5:$D$504,Q210),"")),IF($D210="","","PRO PLAN"))</f>
        <v/>
      </c>
      <c r="J210" s="61" t="str">
        <f aca="false">IF(IsPro,IF($D210="","",IF($F210="",IFERROR(INDEX(Items!$G$5:$G$504,Q210),0),$F210)),"")</f>
        <v/>
      </c>
      <c r="K210" s="61" t="str">
        <f aca="false">IF(IsPro,IF($D210="","",ROUND(N($E210)*J210*(1-N($G210)),2)),"")</f>
        <v/>
      </c>
      <c r="L210" s="62" t="str">
        <f aca="false">IF(IsPro,IF($D210="","",IFERROR(INDEX(Items!$F$5:$F$504,Q210),0)),"")</f>
        <v/>
      </c>
      <c r="M210" s="61" t="str">
        <f aca="false">IF(IsPro,IF($D210="","",IF(AND(R210&lt;&gt;"",INDEX(Parties!$E$5:$E$304,R210)&lt;&gt;"",INDEX(Parties!$E$5:$E$304,R210)&lt;&gt;HomeState),0,ROUND(K210*L210/2,2))),"")</f>
        <v/>
      </c>
      <c r="N210" s="61" t="str">
        <f aca="false">IF(IsPro,IF($D210="","",M210),"")</f>
        <v/>
      </c>
      <c r="O210" s="61" t="str">
        <f aca="false">IF(IsPro,IF($D210="","",IF(AND(R210&lt;&gt;"",INDEX(Parties!$E$5:$E$304,R210)&lt;&gt;"",INDEX(Parties!$E$5:$E$304,R210)&lt;&gt;HomeState),ROUND(K210*L210,2),0)),"")</f>
        <v/>
      </c>
      <c r="P210" s="61" t="str">
        <f aca="false">IF(IsPro,IF($D210="","",K210+M210+N210+O210),"")</f>
        <v/>
      </c>
      <c r="Q210" s="60" t="str">
        <f aca="false">IF(IsPro,IF($D210="","",IFERROR(MATCH($D210,Items!$A$5:$A$504,0),"")),"")</f>
        <v/>
      </c>
      <c r="R210" s="60" t="str">
        <f aca="false">IF(IsPro,IF($C210="","",IFERROR(MATCH($C210,Parties!$A$5:$A$304,0),"")),"")</f>
        <v/>
      </c>
      <c r="S210" s="61" t="str">
        <f aca="false">IF(IsPro,IF($D210="","",IF(OR($H210="",$H210="Credit"),0,P210)),"")</f>
        <v/>
      </c>
    </row>
    <row r="211" customFormat="false" ht="15" hidden="false" customHeight="false" outlineLevel="0" collapsed="false">
      <c r="A211" s="55"/>
      <c r="B211" s="56"/>
      <c r="C211" s="56"/>
      <c r="D211" s="56"/>
      <c r="E211" s="57"/>
      <c r="F211" s="58"/>
      <c r="G211" s="59"/>
      <c r="H211" s="56"/>
      <c r="I211" s="60" t="str">
        <f aca="false">IF(IsPro,IF($D211="","",IFERROR(INDEX(Items!$D$5:$D$504,Q211),"")),IF($D211="","","PRO PLAN"))</f>
        <v/>
      </c>
      <c r="J211" s="61" t="str">
        <f aca="false">IF(IsPro,IF($D211="","",IF($F211="",IFERROR(INDEX(Items!$G$5:$G$504,Q211),0),$F211)),"")</f>
        <v/>
      </c>
      <c r="K211" s="61" t="str">
        <f aca="false">IF(IsPro,IF($D211="","",ROUND(N($E211)*J211*(1-N($G211)),2)),"")</f>
        <v/>
      </c>
      <c r="L211" s="62" t="str">
        <f aca="false">IF(IsPro,IF($D211="","",IFERROR(INDEX(Items!$F$5:$F$504,Q211),0)),"")</f>
        <v/>
      </c>
      <c r="M211" s="61" t="str">
        <f aca="false">IF(IsPro,IF($D211="","",IF(AND(R211&lt;&gt;"",INDEX(Parties!$E$5:$E$304,R211)&lt;&gt;"",INDEX(Parties!$E$5:$E$304,R211)&lt;&gt;HomeState),0,ROUND(K211*L211/2,2))),"")</f>
        <v/>
      </c>
      <c r="N211" s="61" t="str">
        <f aca="false">IF(IsPro,IF($D211="","",M211),"")</f>
        <v/>
      </c>
      <c r="O211" s="61" t="str">
        <f aca="false">IF(IsPro,IF($D211="","",IF(AND(R211&lt;&gt;"",INDEX(Parties!$E$5:$E$304,R211)&lt;&gt;"",INDEX(Parties!$E$5:$E$304,R211)&lt;&gt;HomeState),ROUND(K211*L211,2),0)),"")</f>
        <v/>
      </c>
      <c r="P211" s="61" t="str">
        <f aca="false">IF(IsPro,IF($D211="","",K211+M211+N211+O211),"")</f>
        <v/>
      </c>
      <c r="Q211" s="60" t="str">
        <f aca="false">IF(IsPro,IF($D211="","",IFERROR(MATCH($D211,Items!$A$5:$A$504,0),"")),"")</f>
        <v/>
      </c>
      <c r="R211" s="60" t="str">
        <f aca="false">IF(IsPro,IF($C211="","",IFERROR(MATCH($C211,Parties!$A$5:$A$304,0),"")),"")</f>
        <v/>
      </c>
      <c r="S211" s="61" t="str">
        <f aca="false">IF(IsPro,IF($D211="","",IF(OR($H211="",$H211="Credit"),0,P211)),"")</f>
        <v/>
      </c>
    </row>
    <row r="212" customFormat="false" ht="15" hidden="false" customHeight="false" outlineLevel="0" collapsed="false">
      <c r="A212" s="55"/>
      <c r="B212" s="56"/>
      <c r="C212" s="56"/>
      <c r="D212" s="56"/>
      <c r="E212" s="57"/>
      <c r="F212" s="58"/>
      <c r="G212" s="59"/>
      <c r="H212" s="56"/>
      <c r="I212" s="60" t="str">
        <f aca="false">IF(IsPro,IF($D212="","",IFERROR(INDEX(Items!$D$5:$D$504,Q212),"")),IF($D212="","","PRO PLAN"))</f>
        <v/>
      </c>
      <c r="J212" s="61" t="str">
        <f aca="false">IF(IsPro,IF($D212="","",IF($F212="",IFERROR(INDEX(Items!$G$5:$G$504,Q212),0),$F212)),"")</f>
        <v/>
      </c>
      <c r="K212" s="61" t="str">
        <f aca="false">IF(IsPro,IF($D212="","",ROUND(N($E212)*J212*(1-N($G212)),2)),"")</f>
        <v/>
      </c>
      <c r="L212" s="62" t="str">
        <f aca="false">IF(IsPro,IF($D212="","",IFERROR(INDEX(Items!$F$5:$F$504,Q212),0)),"")</f>
        <v/>
      </c>
      <c r="M212" s="61" t="str">
        <f aca="false">IF(IsPro,IF($D212="","",IF(AND(R212&lt;&gt;"",INDEX(Parties!$E$5:$E$304,R212)&lt;&gt;"",INDEX(Parties!$E$5:$E$304,R212)&lt;&gt;HomeState),0,ROUND(K212*L212/2,2))),"")</f>
        <v/>
      </c>
      <c r="N212" s="61" t="str">
        <f aca="false">IF(IsPro,IF($D212="","",M212),"")</f>
        <v/>
      </c>
      <c r="O212" s="61" t="str">
        <f aca="false">IF(IsPro,IF($D212="","",IF(AND(R212&lt;&gt;"",INDEX(Parties!$E$5:$E$304,R212)&lt;&gt;"",INDEX(Parties!$E$5:$E$304,R212)&lt;&gt;HomeState),ROUND(K212*L212,2),0)),"")</f>
        <v/>
      </c>
      <c r="P212" s="61" t="str">
        <f aca="false">IF(IsPro,IF($D212="","",K212+M212+N212+O212),"")</f>
        <v/>
      </c>
      <c r="Q212" s="60" t="str">
        <f aca="false">IF(IsPro,IF($D212="","",IFERROR(MATCH($D212,Items!$A$5:$A$504,0),"")),"")</f>
        <v/>
      </c>
      <c r="R212" s="60" t="str">
        <f aca="false">IF(IsPro,IF($C212="","",IFERROR(MATCH($C212,Parties!$A$5:$A$304,0),"")),"")</f>
        <v/>
      </c>
      <c r="S212" s="61" t="str">
        <f aca="false">IF(IsPro,IF($D212="","",IF(OR($H212="",$H212="Credit"),0,P212)),"")</f>
        <v/>
      </c>
    </row>
    <row r="213" customFormat="false" ht="15" hidden="false" customHeight="false" outlineLevel="0" collapsed="false">
      <c r="A213" s="55"/>
      <c r="B213" s="56"/>
      <c r="C213" s="56"/>
      <c r="D213" s="56"/>
      <c r="E213" s="57"/>
      <c r="F213" s="58"/>
      <c r="G213" s="59"/>
      <c r="H213" s="56"/>
      <c r="I213" s="60" t="str">
        <f aca="false">IF(IsPro,IF($D213="","",IFERROR(INDEX(Items!$D$5:$D$504,Q213),"")),IF($D213="","","PRO PLAN"))</f>
        <v/>
      </c>
      <c r="J213" s="61" t="str">
        <f aca="false">IF(IsPro,IF($D213="","",IF($F213="",IFERROR(INDEX(Items!$G$5:$G$504,Q213),0),$F213)),"")</f>
        <v/>
      </c>
      <c r="K213" s="61" t="str">
        <f aca="false">IF(IsPro,IF($D213="","",ROUND(N($E213)*J213*(1-N($G213)),2)),"")</f>
        <v/>
      </c>
      <c r="L213" s="62" t="str">
        <f aca="false">IF(IsPro,IF($D213="","",IFERROR(INDEX(Items!$F$5:$F$504,Q213),0)),"")</f>
        <v/>
      </c>
      <c r="M213" s="61" t="str">
        <f aca="false">IF(IsPro,IF($D213="","",IF(AND(R213&lt;&gt;"",INDEX(Parties!$E$5:$E$304,R213)&lt;&gt;"",INDEX(Parties!$E$5:$E$304,R213)&lt;&gt;HomeState),0,ROUND(K213*L213/2,2))),"")</f>
        <v/>
      </c>
      <c r="N213" s="61" t="str">
        <f aca="false">IF(IsPro,IF($D213="","",M213),"")</f>
        <v/>
      </c>
      <c r="O213" s="61" t="str">
        <f aca="false">IF(IsPro,IF($D213="","",IF(AND(R213&lt;&gt;"",INDEX(Parties!$E$5:$E$304,R213)&lt;&gt;"",INDEX(Parties!$E$5:$E$304,R213)&lt;&gt;HomeState),ROUND(K213*L213,2),0)),"")</f>
        <v/>
      </c>
      <c r="P213" s="61" t="str">
        <f aca="false">IF(IsPro,IF($D213="","",K213+M213+N213+O213),"")</f>
        <v/>
      </c>
      <c r="Q213" s="60" t="str">
        <f aca="false">IF(IsPro,IF($D213="","",IFERROR(MATCH($D213,Items!$A$5:$A$504,0),"")),"")</f>
        <v/>
      </c>
      <c r="R213" s="60" t="str">
        <f aca="false">IF(IsPro,IF($C213="","",IFERROR(MATCH($C213,Parties!$A$5:$A$304,0),"")),"")</f>
        <v/>
      </c>
      <c r="S213" s="61" t="str">
        <f aca="false">IF(IsPro,IF($D213="","",IF(OR($H213="",$H213="Credit"),0,P213)),"")</f>
        <v/>
      </c>
    </row>
    <row r="214" customFormat="false" ht="15" hidden="false" customHeight="false" outlineLevel="0" collapsed="false">
      <c r="A214" s="55"/>
      <c r="B214" s="56"/>
      <c r="C214" s="56"/>
      <c r="D214" s="56"/>
      <c r="E214" s="57"/>
      <c r="F214" s="58"/>
      <c r="G214" s="59"/>
      <c r="H214" s="56"/>
      <c r="I214" s="60" t="str">
        <f aca="false">IF(IsPro,IF($D214="","",IFERROR(INDEX(Items!$D$5:$D$504,Q214),"")),IF($D214="","","PRO PLAN"))</f>
        <v/>
      </c>
      <c r="J214" s="61" t="str">
        <f aca="false">IF(IsPro,IF($D214="","",IF($F214="",IFERROR(INDEX(Items!$G$5:$G$504,Q214),0),$F214)),"")</f>
        <v/>
      </c>
      <c r="K214" s="61" t="str">
        <f aca="false">IF(IsPro,IF($D214="","",ROUND(N($E214)*J214*(1-N($G214)),2)),"")</f>
        <v/>
      </c>
      <c r="L214" s="62" t="str">
        <f aca="false">IF(IsPro,IF($D214="","",IFERROR(INDEX(Items!$F$5:$F$504,Q214),0)),"")</f>
        <v/>
      </c>
      <c r="M214" s="61" t="str">
        <f aca="false">IF(IsPro,IF($D214="","",IF(AND(R214&lt;&gt;"",INDEX(Parties!$E$5:$E$304,R214)&lt;&gt;"",INDEX(Parties!$E$5:$E$304,R214)&lt;&gt;HomeState),0,ROUND(K214*L214/2,2))),"")</f>
        <v/>
      </c>
      <c r="N214" s="61" t="str">
        <f aca="false">IF(IsPro,IF($D214="","",M214),"")</f>
        <v/>
      </c>
      <c r="O214" s="61" t="str">
        <f aca="false">IF(IsPro,IF($D214="","",IF(AND(R214&lt;&gt;"",INDEX(Parties!$E$5:$E$304,R214)&lt;&gt;"",INDEX(Parties!$E$5:$E$304,R214)&lt;&gt;HomeState),ROUND(K214*L214,2),0)),"")</f>
        <v/>
      </c>
      <c r="P214" s="61" t="str">
        <f aca="false">IF(IsPro,IF($D214="","",K214+M214+N214+O214),"")</f>
        <v/>
      </c>
      <c r="Q214" s="60" t="str">
        <f aca="false">IF(IsPro,IF($D214="","",IFERROR(MATCH($D214,Items!$A$5:$A$504,0),"")),"")</f>
        <v/>
      </c>
      <c r="R214" s="60" t="str">
        <f aca="false">IF(IsPro,IF($C214="","",IFERROR(MATCH($C214,Parties!$A$5:$A$304,0),"")),"")</f>
        <v/>
      </c>
      <c r="S214" s="61" t="str">
        <f aca="false">IF(IsPro,IF($D214="","",IF(OR($H214="",$H214="Credit"),0,P214)),"")</f>
        <v/>
      </c>
    </row>
    <row r="215" customFormat="false" ht="15" hidden="false" customHeight="false" outlineLevel="0" collapsed="false">
      <c r="A215" s="55"/>
      <c r="B215" s="56"/>
      <c r="C215" s="56"/>
      <c r="D215" s="56"/>
      <c r="E215" s="57"/>
      <c r="F215" s="58"/>
      <c r="G215" s="59"/>
      <c r="H215" s="56"/>
      <c r="I215" s="60" t="str">
        <f aca="false">IF(IsPro,IF($D215="","",IFERROR(INDEX(Items!$D$5:$D$504,Q215),"")),IF($D215="","","PRO PLAN"))</f>
        <v/>
      </c>
      <c r="J215" s="61" t="str">
        <f aca="false">IF(IsPro,IF($D215="","",IF($F215="",IFERROR(INDEX(Items!$G$5:$G$504,Q215),0),$F215)),"")</f>
        <v/>
      </c>
      <c r="K215" s="61" t="str">
        <f aca="false">IF(IsPro,IF($D215="","",ROUND(N($E215)*J215*(1-N($G215)),2)),"")</f>
        <v/>
      </c>
      <c r="L215" s="62" t="str">
        <f aca="false">IF(IsPro,IF($D215="","",IFERROR(INDEX(Items!$F$5:$F$504,Q215),0)),"")</f>
        <v/>
      </c>
      <c r="M215" s="61" t="str">
        <f aca="false">IF(IsPro,IF($D215="","",IF(AND(R215&lt;&gt;"",INDEX(Parties!$E$5:$E$304,R215)&lt;&gt;"",INDEX(Parties!$E$5:$E$304,R215)&lt;&gt;HomeState),0,ROUND(K215*L215/2,2))),"")</f>
        <v/>
      </c>
      <c r="N215" s="61" t="str">
        <f aca="false">IF(IsPro,IF($D215="","",M215),"")</f>
        <v/>
      </c>
      <c r="O215" s="61" t="str">
        <f aca="false">IF(IsPro,IF($D215="","",IF(AND(R215&lt;&gt;"",INDEX(Parties!$E$5:$E$304,R215)&lt;&gt;"",INDEX(Parties!$E$5:$E$304,R215)&lt;&gt;HomeState),ROUND(K215*L215,2),0)),"")</f>
        <v/>
      </c>
      <c r="P215" s="61" t="str">
        <f aca="false">IF(IsPro,IF($D215="","",K215+M215+N215+O215),"")</f>
        <v/>
      </c>
      <c r="Q215" s="60" t="str">
        <f aca="false">IF(IsPro,IF($D215="","",IFERROR(MATCH($D215,Items!$A$5:$A$504,0),"")),"")</f>
        <v/>
      </c>
      <c r="R215" s="60" t="str">
        <f aca="false">IF(IsPro,IF($C215="","",IFERROR(MATCH($C215,Parties!$A$5:$A$304,0),"")),"")</f>
        <v/>
      </c>
      <c r="S215" s="61" t="str">
        <f aca="false">IF(IsPro,IF($D215="","",IF(OR($H215="",$H215="Credit"),0,P215)),"")</f>
        <v/>
      </c>
    </row>
    <row r="216" customFormat="false" ht="15" hidden="false" customHeight="false" outlineLevel="0" collapsed="false">
      <c r="A216" s="55"/>
      <c r="B216" s="56"/>
      <c r="C216" s="56"/>
      <c r="D216" s="56"/>
      <c r="E216" s="57"/>
      <c r="F216" s="58"/>
      <c r="G216" s="59"/>
      <c r="H216" s="56"/>
      <c r="I216" s="60" t="str">
        <f aca="false">IF(IsPro,IF($D216="","",IFERROR(INDEX(Items!$D$5:$D$504,Q216),"")),IF($D216="","","PRO PLAN"))</f>
        <v/>
      </c>
      <c r="J216" s="61" t="str">
        <f aca="false">IF(IsPro,IF($D216="","",IF($F216="",IFERROR(INDEX(Items!$G$5:$G$504,Q216),0),$F216)),"")</f>
        <v/>
      </c>
      <c r="K216" s="61" t="str">
        <f aca="false">IF(IsPro,IF($D216="","",ROUND(N($E216)*J216*(1-N($G216)),2)),"")</f>
        <v/>
      </c>
      <c r="L216" s="62" t="str">
        <f aca="false">IF(IsPro,IF($D216="","",IFERROR(INDEX(Items!$F$5:$F$504,Q216),0)),"")</f>
        <v/>
      </c>
      <c r="M216" s="61" t="str">
        <f aca="false">IF(IsPro,IF($D216="","",IF(AND(R216&lt;&gt;"",INDEX(Parties!$E$5:$E$304,R216)&lt;&gt;"",INDEX(Parties!$E$5:$E$304,R216)&lt;&gt;HomeState),0,ROUND(K216*L216/2,2))),"")</f>
        <v/>
      </c>
      <c r="N216" s="61" t="str">
        <f aca="false">IF(IsPro,IF($D216="","",M216),"")</f>
        <v/>
      </c>
      <c r="O216" s="61" t="str">
        <f aca="false">IF(IsPro,IF($D216="","",IF(AND(R216&lt;&gt;"",INDEX(Parties!$E$5:$E$304,R216)&lt;&gt;"",INDEX(Parties!$E$5:$E$304,R216)&lt;&gt;HomeState),ROUND(K216*L216,2),0)),"")</f>
        <v/>
      </c>
      <c r="P216" s="61" t="str">
        <f aca="false">IF(IsPro,IF($D216="","",K216+M216+N216+O216),"")</f>
        <v/>
      </c>
      <c r="Q216" s="60" t="str">
        <f aca="false">IF(IsPro,IF($D216="","",IFERROR(MATCH($D216,Items!$A$5:$A$504,0),"")),"")</f>
        <v/>
      </c>
      <c r="R216" s="60" t="str">
        <f aca="false">IF(IsPro,IF($C216="","",IFERROR(MATCH($C216,Parties!$A$5:$A$304,0),"")),"")</f>
        <v/>
      </c>
      <c r="S216" s="61" t="str">
        <f aca="false">IF(IsPro,IF($D216="","",IF(OR($H216="",$H216="Credit"),0,P216)),"")</f>
        <v/>
      </c>
    </row>
    <row r="217" customFormat="false" ht="15" hidden="false" customHeight="false" outlineLevel="0" collapsed="false">
      <c r="A217" s="55"/>
      <c r="B217" s="56"/>
      <c r="C217" s="56"/>
      <c r="D217" s="56"/>
      <c r="E217" s="57"/>
      <c r="F217" s="58"/>
      <c r="G217" s="59"/>
      <c r="H217" s="56"/>
      <c r="I217" s="60" t="str">
        <f aca="false">IF(IsPro,IF($D217="","",IFERROR(INDEX(Items!$D$5:$D$504,Q217),"")),IF($D217="","","PRO PLAN"))</f>
        <v/>
      </c>
      <c r="J217" s="61" t="str">
        <f aca="false">IF(IsPro,IF($D217="","",IF($F217="",IFERROR(INDEX(Items!$G$5:$G$504,Q217),0),$F217)),"")</f>
        <v/>
      </c>
      <c r="K217" s="61" t="str">
        <f aca="false">IF(IsPro,IF($D217="","",ROUND(N($E217)*J217*(1-N($G217)),2)),"")</f>
        <v/>
      </c>
      <c r="L217" s="62" t="str">
        <f aca="false">IF(IsPro,IF($D217="","",IFERROR(INDEX(Items!$F$5:$F$504,Q217),0)),"")</f>
        <v/>
      </c>
      <c r="M217" s="61" t="str">
        <f aca="false">IF(IsPro,IF($D217="","",IF(AND(R217&lt;&gt;"",INDEX(Parties!$E$5:$E$304,R217)&lt;&gt;"",INDEX(Parties!$E$5:$E$304,R217)&lt;&gt;HomeState),0,ROUND(K217*L217/2,2))),"")</f>
        <v/>
      </c>
      <c r="N217" s="61" t="str">
        <f aca="false">IF(IsPro,IF($D217="","",M217),"")</f>
        <v/>
      </c>
      <c r="O217" s="61" t="str">
        <f aca="false">IF(IsPro,IF($D217="","",IF(AND(R217&lt;&gt;"",INDEX(Parties!$E$5:$E$304,R217)&lt;&gt;"",INDEX(Parties!$E$5:$E$304,R217)&lt;&gt;HomeState),ROUND(K217*L217,2),0)),"")</f>
        <v/>
      </c>
      <c r="P217" s="61" t="str">
        <f aca="false">IF(IsPro,IF($D217="","",K217+M217+N217+O217),"")</f>
        <v/>
      </c>
      <c r="Q217" s="60" t="str">
        <f aca="false">IF(IsPro,IF($D217="","",IFERROR(MATCH($D217,Items!$A$5:$A$504,0),"")),"")</f>
        <v/>
      </c>
      <c r="R217" s="60" t="str">
        <f aca="false">IF(IsPro,IF($C217="","",IFERROR(MATCH($C217,Parties!$A$5:$A$304,0),"")),"")</f>
        <v/>
      </c>
      <c r="S217" s="61" t="str">
        <f aca="false">IF(IsPro,IF($D217="","",IF(OR($H217="",$H217="Credit"),0,P217)),"")</f>
        <v/>
      </c>
    </row>
    <row r="218" customFormat="false" ht="15" hidden="false" customHeight="false" outlineLevel="0" collapsed="false">
      <c r="A218" s="55"/>
      <c r="B218" s="56"/>
      <c r="C218" s="56"/>
      <c r="D218" s="56"/>
      <c r="E218" s="57"/>
      <c r="F218" s="58"/>
      <c r="G218" s="59"/>
      <c r="H218" s="56"/>
      <c r="I218" s="60" t="str">
        <f aca="false">IF(IsPro,IF($D218="","",IFERROR(INDEX(Items!$D$5:$D$504,Q218),"")),IF($D218="","","PRO PLAN"))</f>
        <v/>
      </c>
      <c r="J218" s="61" t="str">
        <f aca="false">IF(IsPro,IF($D218="","",IF($F218="",IFERROR(INDEX(Items!$G$5:$G$504,Q218),0),$F218)),"")</f>
        <v/>
      </c>
      <c r="K218" s="61" t="str">
        <f aca="false">IF(IsPro,IF($D218="","",ROUND(N($E218)*J218*(1-N($G218)),2)),"")</f>
        <v/>
      </c>
      <c r="L218" s="62" t="str">
        <f aca="false">IF(IsPro,IF($D218="","",IFERROR(INDEX(Items!$F$5:$F$504,Q218),0)),"")</f>
        <v/>
      </c>
      <c r="M218" s="61" t="str">
        <f aca="false">IF(IsPro,IF($D218="","",IF(AND(R218&lt;&gt;"",INDEX(Parties!$E$5:$E$304,R218)&lt;&gt;"",INDEX(Parties!$E$5:$E$304,R218)&lt;&gt;HomeState),0,ROUND(K218*L218/2,2))),"")</f>
        <v/>
      </c>
      <c r="N218" s="61" t="str">
        <f aca="false">IF(IsPro,IF($D218="","",M218),"")</f>
        <v/>
      </c>
      <c r="O218" s="61" t="str">
        <f aca="false">IF(IsPro,IF($D218="","",IF(AND(R218&lt;&gt;"",INDEX(Parties!$E$5:$E$304,R218)&lt;&gt;"",INDEX(Parties!$E$5:$E$304,R218)&lt;&gt;HomeState),ROUND(K218*L218,2),0)),"")</f>
        <v/>
      </c>
      <c r="P218" s="61" t="str">
        <f aca="false">IF(IsPro,IF($D218="","",K218+M218+N218+O218),"")</f>
        <v/>
      </c>
      <c r="Q218" s="60" t="str">
        <f aca="false">IF(IsPro,IF($D218="","",IFERROR(MATCH($D218,Items!$A$5:$A$504,0),"")),"")</f>
        <v/>
      </c>
      <c r="R218" s="60" t="str">
        <f aca="false">IF(IsPro,IF($C218="","",IFERROR(MATCH($C218,Parties!$A$5:$A$304,0),"")),"")</f>
        <v/>
      </c>
      <c r="S218" s="61" t="str">
        <f aca="false">IF(IsPro,IF($D218="","",IF(OR($H218="",$H218="Credit"),0,P218)),"")</f>
        <v/>
      </c>
    </row>
    <row r="219" customFormat="false" ht="15" hidden="false" customHeight="false" outlineLevel="0" collapsed="false">
      <c r="A219" s="55"/>
      <c r="B219" s="56"/>
      <c r="C219" s="56"/>
      <c r="D219" s="56"/>
      <c r="E219" s="57"/>
      <c r="F219" s="58"/>
      <c r="G219" s="59"/>
      <c r="H219" s="56"/>
      <c r="I219" s="60" t="str">
        <f aca="false">IF(IsPro,IF($D219="","",IFERROR(INDEX(Items!$D$5:$D$504,Q219),"")),IF($D219="","","PRO PLAN"))</f>
        <v/>
      </c>
      <c r="J219" s="61" t="str">
        <f aca="false">IF(IsPro,IF($D219="","",IF($F219="",IFERROR(INDEX(Items!$G$5:$G$504,Q219),0),$F219)),"")</f>
        <v/>
      </c>
      <c r="K219" s="61" t="str">
        <f aca="false">IF(IsPro,IF($D219="","",ROUND(N($E219)*J219*(1-N($G219)),2)),"")</f>
        <v/>
      </c>
      <c r="L219" s="62" t="str">
        <f aca="false">IF(IsPro,IF($D219="","",IFERROR(INDEX(Items!$F$5:$F$504,Q219),0)),"")</f>
        <v/>
      </c>
      <c r="M219" s="61" t="str">
        <f aca="false">IF(IsPro,IF($D219="","",IF(AND(R219&lt;&gt;"",INDEX(Parties!$E$5:$E$304,R219)&lt;&gt;"",INDEX(Parties!$E$5:$E$304,R219)&lt;&gt;HomeState),0,ROUND(K219*L219/2,2))),"")</f>
        <v/>
      </c>
      <c r="N219" s="61" t="str">
        <f aca="false">IF(IsPro,IF($D219="","",M219),"")</f>
        <v/>
      </c>
      <c r="O219" s="61" t="str">
        <f aca="false">IF(IsPro,IF($D219="","",IF(AND(R219&lt;&gt;"",INDEX(Parties!$E$5:$E$304,R219)&lt;&gt;"",INDEX(Parties!$E$5:$E$304,R219)&lt;&gt;HomeState),ROUND(K219*L219,2),0)),"")</f>
        <v/>
      </c>
      <c r="P219" s="61" t="str">
        <f aca="false">IF(IsPro,IF($D219="","",K219+M219+N219+O219),"")</f>
        <v/>
      </c>
      <c r="Q219" s="60" t="str">
        <f aca="false">IF(IsPro,IF($D219="","",IFERROR(MATCH($D219,Items!$A$5:$A$504,0),"")),"")</f>
        <v/>
      </c>
      <c r="R219" s="60" t="str">
        <f aca="false">IF(IsPro,IF($C219="","",IFERROR(MATCH($C219,Parties!$A$5:$A$304,0),"")),"")</f>
        <v/>
      </c>
      <c r="S219" s="61" t="str">
        <f aca="false">IF(IsPro,IF($D219="","",IF(OR($H219="",$H219="Credit"),0,P219)),"")</f>
        <v/>
      </c>
    </row>
    <row r="220" customFormat="false" ht="15" hidden="false" customHeight="false" outlineLevel="0" collapsed="false">
      <c r="A220" s="55"/>
      <c r="B220" s="56"/>
      <c r="C220" s="56"/>
      <c r="D220" s="56"/>
      <c r="E220" s="57"/>
      <c r="F220" s="58"/>
      <c r="G220" s="59"/>
      <c r="H220" s="56"/>
      <c r="I220" s="60" t="str">
        <f aca="false">IF(IsPro,IF($D220="","",IFERROR(INDEX(Items!$D$5:$D$504,Q220),"")),IF($D220="","","PRO PLAN"))</f>
        <v/>
      </c>
      <c r="J220" s="61" t="str">
        <f aca="false">IF(IsPro,IF($D220="","",IF($F220="",IFERROR(INDEX(Items!$G$5:$G$504,Q220),0),$F220)),"")</f>
        <v/>
      </c>
      <c r="K220" s="61" t="str">
        <f aca="false">IF(IsPro,IF($D220="","",ROUND(N($E220)*J220*(1-N($G220)),2)),"")</f>
        <v/>
      </c>
      <c r="L220" s="62" t="str">
        <f aca="false">IF(IsPro,IF($D220="","",IFERROR(INDEX(Items!$F$5:$F$504,Q220),0)),"")</f>
        <v/>
      </c>
      <c r="M220" s="61" t="str">
        <f aca="false">IF(IsPro,IF($D220="","",IF(AND(R220&lt;&gt;"",INDEX(Parties!$E$5:$E$304,R220)&lt;&gt;"",INDEX(Parties!$E$5:$E$304,R220)&lt;&gt;HomeState),0,ROUND(K220*L220/2,2))),"")</f>
        <v/>
      </c>
      <c r="N220" s="61" t="str">
        <f aca="false">IF(IsPro,IF($D220="","",M220),"")</f>
        <v/>
      </c>
      <c r="O220" s="61" t="str">
        <f aca="false">IF(IsPro,IF($D220="","",IF(AND(R220&lt;&gt;"",INDEX(Parties!$E$5:$E$304,R220)&lt;&gt;"",INDEX(Parties!$E$5:$E$304,R220)&lt;&gt;HomeState),ROUND(K220*L220,2),0)),"")</f>
        <v/>
      </c>
      <c r="P220" s="61" t="str">
        <f aca="false">IF(IsPro,IF($D220="","",K220+M220+N220+O220),"")</f>
        <v/>
      </c>
      <c r="Q220" s="60" t="str">
        <f aca="false">IF(IsPro,IF($D220="","",IFERROR(MATCH($D220,Items!$A$5:$A$504,0),"")),"")</f>
        <v/>
      </c>
      <c r="R220" s="60" t="str">
        <f aca="false">IF(IsPro,IF($C220="","",IFERROR(MATCH($C220,Parties!$A$5:$A$304,0),"")),"")</f>
        <v/>
      </c>
      <c r="S220" s="61" t="str">
        <f aca="false">IF(IsPro,IF($D220="","",IF(OR($H220="",$H220="Credit"),0,P220)),"")</f>
        <v/>
      </c>
    </row>
    <row r="221" customFormat="false" ht="15" hidden="false" customHeight="false" outlineLevel="0" collapsed="false">
      <c r="A221" s="55"/>
      <c r="B221" s="56"/>
      <c r="C221" s="56"/>
      <c r="D221" s="56"/>
      <c r="E221" s="57"/>
      <c r="F221" s="58"/>
      <c r="G221" s="59"/>
      <c r="H221" s="56"/>
      <c r="I221" s="60" t="str">
        <f aca="false">IF(IsPro,IF($D221="","",IFERROR(INDEX(Items!$D$5:$D$504,Q221),"")),IF($D221="","","PRO PLAN"))</f>
        <v/>
      </c>
      <c r="J221" s="61" t="str">
        <f aca="false">IF(IsPro,IF($D221="","",IF($F221="",IFERROR(INDEX(Items!$G$5:$G$504,Q221),0),$F221)),"")</f>
        <v/>
      </c>
      <c r="K221" s="61" t="str">
        <f aca="false">IF(IsPro,IF($D221="","",ROUND(N($E221)*J221*(1-N($G221)),2)),"")</f>
        <v/>
      </c>
      <c r="L221" s="62" t="str">
        <f aca="false">IF(IsPro,IF($D221="","",IFERROR(INDEX(Items!$F$5:$F$504,Q221),0)),"")</f>
        <v/>
      </c>
      <c r="M221" s="61" t="str">
        <f aca="false">IF(IsPro,IF($D221="","",IF(AND(R221&lt;&gt;"",INDEX(Parties!$E$5:$E$304,R221)&lt;&gt;"",INDEX(Parties!$E$5:$E$304,R221)&lt;&gt;HomeState),0,ROUND(K221*L221/2,2))),"")</f>
        <v/>
      </c>
      <c r="N221" s="61" t="str">
        <f aca="false">IF(IsPro,IF($D221="","",M221),"")</f>
        <v/>
      </c>
      <c r="O221" s="61" t="str">
        <f aca="false">IF(IsPro,IF($D221="","",IF(AND(R221&lt;&gt;"",INDEX(Parties!$E$5:$E$304,R221)&lt;&gt;"",INDEX(Parties!$E$5:$E$304,R221)&lt;&gt;HomeState),ROUND(K221*L221,2),0)),"")</f>
        <v/>
      </c>
      <c r="P221" s="61" t="str">
        <f aca="false">IF(IsPro,IF($D221="","",K221+M221+N221+O221),"")</f>
        <v/>
      </c>
      <c r="Q221" s="60" t="str">
        <f aca="false">IF(IsPro,IF($D221="","",IFERROR(MATCH($D221,Items!$A$5:$A$504,0),"")),"")</f>
        <v/>
      </c>
      <c r="R221" s="60" t="str">
        <f aca="false">IF(IsPro,IF($C221="","",IFERROR(MATCH($C221,Parties!$A$5:$A$304,0),"")),"")</f>
        <v/>
      </c>
      <c r="S221" s="61" t="str">
        <f aca="false">IF(IsPro,IF($D221="","",IF(OR($H221="",$H221="Credit"),0,P221)),"")</f>
        <v/>
      </c>
    </row>
    <row r="222" customFormat="false" ht="15" hidden="false" customHeight="false" outlineLevel="0" collapsed="false">
      <c r="A222" s="55"/>
      <c r="B222" s="56"/>
      <c r="C222" s="56"/>
      <c r="D222" s="56"/>
      <c r="E222" s="57"/>
      <c r="F222" s="58"/>
      <c r="G222" s="59"/>
      <c r="H222" s="56"/>
      <c r="I222" s="60" t="str">
        <f aca="false">IF(IsPro,IF($D222="","",IFERROR(INDEX(Items!$D$5:$D$504,Q222),"")),IF($D222="","","PRO PLAN"))</f>
        <v/>
      </c>
      <c r="J222" s="61" t="str">
        <f aca="false">IF(IsPro,IF($D222="","",IF($F222="",IFERROR(INDEX(Items!$G$5:$G$504,Q222),0),$F222)),"")</f>
        <v/>
      </c>
      <c r="K222" s="61" t="str">
        <f aca="false">IF(IsPro,IF($D222="","",ROUND(N($E222)*J222*(1-N($G222)),2)),"")</f>
        <v/>
      </c>
      <c r="L222" s="62" t="str">
        <f aca="false">IF(IsPro,IF($D222="","",IFERROR(INDEX(Items!$F$5:$F$504,Q222),0)),"")</f>
        <v/>
      </c>
      <c r="M222" s="61" t="str">
        <f aca="false">IF(IsPro,IF($D222="","",IF(AND(R222&lt;&gt;"",INDEX(Parties!$E$5:$E$304,R222)&lt;&gt;"",INDEX(Parties!$E$5:$E$304,R222)&lt;&gt;HomeState),0,ROUND(K222*L222/2,2))),"")</f>
        <v/>
      </c>
      <c r="N222" s="61" t="str">
        <f aca="false">IF(IsPro,IF($D222="","",M222),"")</f>
        <v/>
      </c>
      <c r="O222" s="61" t="str">
        <f aca="false">IF(IsPro,IF($D222="","",IF(AND(R222&lt;&gt;"",INDEX(Parties!$E$5:$E$304,R222)&lt;&gt;"",INDEX(Parties!$E$5:$E$304,R222)&lt;&gt;HomeState),ROUND(K222*L222,2),0)),"")</f>
        <v/>
      </c>
      <c r="P222" s="61" t="str">
        <f aca="false">IF(IsPro,IF($D222="","",K222+M222+N222+O222),"")</f>
        <v/>
      </c>
      <c r="Q222" s="60" t="str">
        <f aca="false">IF(IsPro,IF($D222="","",IFERROR(MATCH($D222,Items!$A$5:$A$504,0),"")),"")</f>
        <v/>
      </c>
      <c r="R222" s="60" t="str">
        <f aca="false">IF(IsPro,IF($C222="","",IFERROR(MATCH($C222,Parties!$A$5:$A$304,0),"")),"")</f>
        <v/>
      </c>
      <c r="S222" s="61" t="str">
        <f aca="false">IF(IsPro,IF($D222="","",IF(OR($H222="",$H222="Credit"),0,P222)),"")</f>
        <v/>
      </c>
    </row>
    <row r="223" customFormat="false" ht="15" hidden="false" customHeight="false" outlineLevel="0" collapsed="false">
      <c r="A223" s="55"/>
      <c r="B223" s="56"/>
      <c r="C223" s="56"/>
      <c r="D223" s="56"/>
      <c r="E223" s="57"/>
      <c r="F223" s="58"/>
      <c r="G223" s="59"/>
      <c r="H223" s="56"/>
      <c r="I223" s="60" t="str">
        <f aca="false">IF(IsPro,IF($D223="","",IFERROR(INDEX(Items!$D$5:$D$504,Q223),"")),IF($D223="","","PRO PLAN"))</f>
        <v/>
      </c>
      <c r="J223" s="61" t="str">
        <f aca="false">IF(IsPro,IF($D223="","",IF($F223="",IFERROR(INDEX(Items!$G$5:$G$504,Q223),0),$F223)),"")</f>
        <v/>
      </c>
      <c r="K223" s="61" t="str">
        <f aca="false">IF(IsPro,IF($D223="","",ROUND(N($E223)*J223*(1-N($G223)),2)),"")</f>
        <v/>
      </c>
      <c r="L223" s="62" t="str">
        <f aca="false">IF(IsPro,IF($D223="","",IFERROR(INDEX(Items!$F$5:$F$504,Q223),0)),"")</f>
        <v/>
      </c>
      <c r="M223" s="61" t="str">
        <f aca="false">IF(IsPro,IF($D223="","",IF(AND(R223&lt;&gt;"",INDEX(Parties!$E$5:$E$304,R223)&lt;&gt;"",INDEX(Parties!$E$5:$E$304,R223)&lt;&gt;HomeState),0,ROUND(K223*L223/2,2))),"")</f>
        <v/>
      </c>
      <c r="N223" s="61" t="str">
        <f aca="false">IF(IsPro,IF($D223="","",M223),"")</f>
        <v/>
      </c>
      <c r="O223" s="61" t="str">
        <f aca="false">IF(IsPro,IF($D223="","",IF(AND(R223&lt;&gt;"",INDEX(Parties!$E$5:$E$304,R223)&lt;&gt;"",INDEX(Parties!$E$5:$E$304,R223)&lt;&gt;HomeState),ROUND(K223*L223,2),0)),"")</f>
        <v/>
      </c>
      <c r="P223" s="61" t="str">
        <f aca="false">IF(IsPro,IF($D223="","",K223+M223+N223+O223),"")</f>
        <v/>
      </c>
      <c r="Q223" s="60" t="str">
        <f aca="false">IF(IsPro,IF($D223="","",IFERROR(MATCH($D223,Items!$A$5:$A$504,0),"")),"")</f>
        <v/>
      </c>
      <c r="R223" s="60" t="str">
        <f aca="false">IF(IsPro,IF($C223="","",IFERROR(MATCH($C223,Parties!$A$5:$A$304,0),"")),"")</f>
        <v/>
      </c>
      <c r="S223" s="61" t="str">
        <f aca="false">IF(IsPro,IF($D223="","",IF(OR($H223="",$H223="Credit"),0,P223)),"")</f>
        <v/>
      </c>
    </row>
    <row r="224" customFormat="false" ht="15" hidden="false" customHeight="false" outlineLevel="0" collapsed="false">
      <c r="A224" s="55"/>
      <c r="B224" s="56"/>
      <c r="C224" s="56"/>
      <c r="D224" s="56"/>
      <c r="E224" s="57"/>
      <c r="F224" s="58"/>
      <c r="G224" s="59"/>
      <c r="H224" s="56"/>
      <c r="I224" s="60" t="str">
        <f aca="false">IF(IsPro,IF($D224="","",IFERROR(INDEX(Items!$D$5:$D$504,Q224),"")),IF($D224="","","PRO PLAN"))</f>
        <v/>
      </c>
      <c r="J224" s="61" t="str">
        <f aca="false">IF(IsPro,IF($D224="","",IF($F224="",IFERROR(INDEX(Items!$G$5:$G$504,Q224),0),$F224)),"")</f>
        <v/>
      </c>
      <c r="K224" s="61" t="str">
        <f aca="false">IF(IsPro,IF($D224="","",ROUND(N($E224)*J224*(1-N($G224)),2)),"")</f>
        <v/>
      </c>
      <c r="L224" s="62" t="str">
        <f aca="false">IF(IsPro,IF($D224="","",IFERROR(INDEX(Items!$F$5:$F$504,Q224),0)),"")</f>
        <v/>
      </c>
      <c r="M224" s="61" t="str">
        <f aca="false">IF(IsPro,IF($D224="","",IF(AND(R224&lt;&gt;"",INDEX(Parties!$E$5:$E$304,R224)&lt;&gt;"",INDEX(Parties!$E$5:$E$304,R224)&lt;&gt;HomeState),0,ROUND(K224*L224/2,2))),"")</f>
        <v/>
      </c>
      <c r="N224" s="61" t="str">
        <f aca="false">IF(IsPro,IF($D224="","",M224),"")</f>
        <v/>
      </c>
      <c r="O224" s="61" t="str">
        <f aca="false">IF(IsPro,IF($D224="","",IF(AND(R224&lt;&gt;"",INDEX(Parties!$E$5:$E$304,R224)&lt;&gt;"",INDEX(Parties!$E$5:$E$304,R224)&lt;&gt;HomeState),ROUND(K224*L224,2),0)),"")</f>
        <v/>
      </c>
      <c r="P224" s="61" t="str">
        <f aca="false">IF(IsPro,IF($D224="","",K224+M224+N224+O224),"")</f>
        <v/>
      </c>
      <c r="Q224" s="60" t="str">
        <f aca="false">IF(IsPro,IF($D224="","",IFERROR(MATCH($D224,Items!$A$5:$A$504,0),"")),"")</f>
        <v/>
      </c>
      <c r="R224" s="60" t="str">
        <f aca="false">IF(IsPro,IF($C224="","",IFERROR(MATCH($C224,Parties!$A$5:$A$304,0),"")),"")</f>
        <v/>
      </c>
      <c r="S224" s="61" t="str">
        <f aca="false">IF(IsPro,IF($D224="","",IF(OR($H224="",$H224="Credit"),0,P224)),"")</f>
        <v/>
      </c>
    </row>
    <row r="225" customFormat="false" ht="15" hidden="false" customHeight="false" outlineLevel="0" collapsed="false">
      <c r="A225" s="55"/>
      <c r="B225" s="56"/>
      <c r="C225" s="56"/>
      <c r="D225" s="56"/>
      <c r="E225" s="57"/>
      <c r="F225" s="58"/>
      <c r="G225" s="59"/>
      <c r="H225" s="56"/>
      <c r="I225" s="60" t="str">
        <f aca="false">IF(IsPro,IF($D225="","",IFERROR(INDEX(Items!$D$5:$D$504,Q225),"")),IF($D225="","","PRO PLAN"))</f>
        <v/>
      </c>
      <c r="J225" s="61" t="str">
        <f aca="false">IF(IsPro,IF($D225="","",IF($F225="",IFERROR(INDEX(Items!$G$5:$G$504,Q225),0),$F225)),"")</f>
        <v/>
      </c>
      <c r="K225" s="61" t="str">
        <f aca="false">IF(IsPro,IF($D225="","",ROUND(N($E225)*J225*(1-N($G225)),2)),"")</f>
        <v/>
      </c>
      <c r="L225" s="62" t="str">
        <f aca="false">IF(IsPro,IF($D225="","",IFERROR(INDEX(Items!$F$5:$F$504,Q225),0)),"")</f>
        <v/>
      </c>
      <c r="M225" s="61" t="str">
        <f aca="false">IF(IsPro,IF($D225="","",IF(AND(R225&lt;&gt;"",INDEX(Parties!$E$5:$E$304,R225)&lt;&gt;"",INDEX(Parties!$E$5:$E$304,R225)&lt;&gt;HomeState),0,ROUND(K225*L225/2,2))),"")</f>
        <v/>
      </c>
      <c r="N225" s="61" t="str">
        <f aca="false">IF(IsPro,IF($D225="","",M225),"")</f>
        <v/>
      </c>
      <c r="O225" s="61" t="str">
        <f aca="false">IF(IsPro,IF($D225="","",IF(AND(R225&lt;&gt;"",INDEX(Parties!$E$5:$E$304,R225)&lt;&gt;"",INDEX(Parties!$E$5:$E$304,R225)&lt;&gt;HomeState),ROUND(K225*L225,2),0)),"")</f>
        <v/>
      </c>
      <c r="P225" s="61" t="str">
        <f aca="false">IF(IsPro,IF($D225="","",K225+M225+N225+O225),"")</f>
        <v/>
      </c>
      <c r="Q225" s="60" t="str">
        <f aca="false">IF(IsPro,IF($D225="","",IFERROR(MATCH($D225,Items!$A$5:$A$504,0),"")),"")</f>
        <v/>
      </c>
      <c r="R225" s="60" t="str">
        <f aca="false">IF(IsPro,IF($C225="","",IFERROR(MATCH($C225,Parties!$A$5:$A$304,0),"")),"")</f>
        <v/>
      </c>
      <c r="S225" s="61" t="str">
        <f aca="false">IF(IsPro,IF($D225="","",IF(OR($H225="",$H225="Credit"),0,P225)),"")</f>
        <v/>
      </c>
    </row>
    <row r="226" customFormat="false" ht="15" hidden="false" customHeight="false" outlineLevel="0" collapsed="false">
      <c r="A226" s="55"/>
      <c r="B226" s="56"/>
      <c r="C226" s="56"/>
      <c r="D226" s="56"/>
      <c r="E226" s="57"/>
      <c r="F226" s="58"/>
      <c r="G226" s="59"/>
      <c r="H226" s="56"/>
      <c r="I226" s="60" t="str">
        <f aca="false">IF(IsPro,IF($D226="","",IFERROR(INDEX(Items!$D$5:$D$504,Q226),"")),IF($D226="","","PRO PLAN"))</f>
        <v/>
      </c>
      <c r="J226" s="61" t="str">
        <f aca="false">IF(IsPro,IF($D226="","",IF($F226="",IFERROR(INDEX(Items!$G$5:$G$504,Q226),0),$F226)),"")</f>
        <v/>
      </c>
      <c r="K226" s="61" t="str">
        <f aca="false">IF(IsPro,IF($D226="","",ROUND(N($E226)*J226*(1-N($G226)),2)),"")</f>
        <v/>
      </c>
      <c r="L226" s="62" t="str">
        <f aca="false">IF(IsPro,IF($D226="","",IFERROR(INDEX(Items!$F$5:$F$504,Q226),0)),"")</f>
        <v/>
      </c>
      <c r="M226" s="61" t="str">
        <f aca="false">IF(IsPro,IF($D226="","",IF(AND(R226&lt;&gt;"",INDEX(Parties!$E$5:$E$304,R226)&lt;&gt;"",INDEX(Parties!$E$5:$E$304,R226)&lt;&gt;HomeState),0,ROUND(K226*L226/2,2))),"")</f>
        <v/>
      </c>
      <c r="N226" s="61" t="str">
        <f aca="false">IF(IsPro,IF($D226="","",M226),"")</f>
        <v/>
      </c>
      <c r="O226" s="61" t="str">
        <f aca="false">IF(IsPro,IF($D226="","",IF(AND(R226&lt;&gt;"",INDEX(Parties!$E$5:$E$304,R226)&lt;&gt;"",INDEX(Parties!$E$5:$E$304,R226)&lt;&gt;HomeState),ROUND(K226*L226,2),0)),"")</f>
        <v/>
      </c>
      <c r="P226" s="61" t="str">
        <f aca="false">IF(IsPro,IF($D226="","",K226+M226+N226+O226),"")</f>
        <v/>
      </c>
      <c r="Q226" s="60" t="str">
        <f aca="false">IF(IsPro,IF($D226="","",IFERROR(MATCH($D226,Items!$A$5:$A$504,0),"")),"")</f>
        <v/>
      </c>
      <c r="R226" s="60" t="str">
        <f aca="false">IF(IsPro,IF($C226="","",IFERROR(MATCH($C226,Parties!$A$5:$A$304,0),"")),"")</f>
        <v/>
      </c>
      <c r="S226" s="61" t="str">
        <f aca="false">IF(IsPro,IF($D226="","",IF(OR($H226="",$H226="Credit"),0,P226)),"")</f>
        <v/>
      </c>
    </row>
    <row r="227" customFormat="false" ht="15" hidden="false" customHeight="false" outlineLevel="0" collapsed="false">
      <c r="A227" s="55"/>
      <c r="B227" s="56"/>
      <c r="C227" s="56"/>
      <c r="D227" s="56"/>
      <c r="E227" s="57"/>
      <c r="F227" s="58"/>
      <c r="G227" s="59"/>
      <c r="H227" s="56"/>
      <c r="I227" s="60" t="str">
        <f aca="false">IF(IsPro,IF($D227="","",IFERROR(INDEX(Items!$D$5:$D$504,Q227),"")),IF($D227="","","PRO PLAN"))</f>
        <v/>
      </c>
      <c r="J227" s="61" t="str">
        <f aca="false">IF(IsPro,IF($D227="","",IF($F227="",IFERROR(INDEX(Items!$G$5:$G$504,Q227),0),$F227)),"")</f>
        <v/>
      </c>
      <c r="K227" s="61" t="str">
        <f aca="false">IF(IsPro,IF($D227="","",ROUND(N($E227)*J227*(1-N($G227)),2)),"")</f>
        <v/>
      </c>
      <c r="L227" s="62" t="str">
        <f aca="false">IF(IsPro,IF($D227="","",IFERROR(INDEX(Items!$F$5:$F$504,Q227),0)),"")</f>
        <v/>
      </c>
      <c r="M227" s="61" t="str">
        <f aca="false">IF(IsPro,IF($D227="","",IF(AND(R227&lt;&gt;"",INDEX(Parties!$E$5:$E$304,R227)&lt;&gt;"",INDEX(Parties!$E$5:$E$304,R227)&lt;&gt;HomeState),0,ROUND(K227*L227/2,2))),"")</f>
        <v/>
      </c>
      <c r="N227" s="61" t="str">
        <f aca="false">IF(IsPro,IF($D227="","",M227),"")</f>
        <v/>
      </c>
      <c r="O227" s="61" t="str">
        <f aca="false">IF(IsPro,IF($D227="","",IF(AND(R227&lt;&gt;"",INDEX(Parties!$E$5:$E$304,R227)&lt;&gt;"",INDEX(Parties!$E$5:$E$304,R227)&lt;&gt;HomeState),ROUND(K227*L227,2),0)),"")</f>
        <v/>
      </c>
      <c r="P227" s="61" t="str">
        <f aca="false">IF(IsPro,IF($D227="","",K227+M227+N227+O227),"")</f>
        <v/>
      </c>
      <c r="Q227" s="60" t="str">
        <f aca="false">IF(IsPro,IF($D227="","",IFERROR(MATCH($D227,Items!$A$5:$A$504,0),"")),"")</f>
        <v/>
      </c>
      <c r="R227" s="60" t="str">
        <f aca="false">IF(IsPro,IF($C227="","",IFERROR(MATCH($C227,Parties!$A$5:$A$304,0),"")),"")</f>
        <v/>
      </c>
      <c r="S227" s="61" t="str">
        <f aca="false">IF(IsPro,IF($D227="","",IF(OR($H227="",$H227="Credit"),0,P227)),"")</f>
        <v/>
      </c>
    </row>
    <row r="228" customFormat="false" ht="15" hidden="false" customHeight="false" outlineLevel="0" collapsed="false">
      <c r="A228" s="55"/>
      <c r="B228" s="56"/>
      <c r="C228" s="56"/>
      <c r="D228" s="56"/>
      <c r="E228" s="57"/>
      <c r="F228" s="58"/>
      <c r="G228" s="59"/>
      <c r="H228" s="56"/>
      <c r="I228" s="60" t="str">
        <f aca="false">IF(IsPro,IF($D228="","",IFERROR(INDEX(Items!$D$5:$D$504,Q228),"")),IF($D228="","","PRO PLAN"))</f>
        <v/>
      </c>
      <c r="J228" s="61" t="str">
        <f aca="false">IF(IsPro,IF($D228="","",IF($F228="",IFERROR(INDEX(Items!$G$5:$G$504,Q228),0),$F228)),"")</f>
        <v/>
      </c>
      <c r="K228" s="61" t="str">
        <f aca="false">IF(IsPro,IF($D228="","",ROUND(N($E228)*J228*(1-N($G228)),2)),"")</f>
        <v/>
      </c>
      <c r="L228" s="62" t="str">
        <f aca="false">IF(IsPro,IF($D228="","",IFERROR(INDEX(Items!$F$5:$F$504,Q228),0)),"")</f>
        <v/>
      </c>
      <c r="M228" s="61" t="str">
        <f aca="false">IF(IsPro,IF($D228="","",IF(AND(R228&lt;&gt;"",INDEX(Parties!$E$5:$E$304,R228)&lt;&gt;"",INDEX(Parties!$E$5:$E$304,R228)&lt;&gt;HomeState),0,ROUND(K228*L228/2,2))),"")</f>
        <v/>
      </c>
      <c r="N228" s="61" t="str">
        <f aca="false">IF(IsPro,IF($D228="","",M228),"")</f>
        <v/>
      </c>
      <c r="O228" s="61" t="str">
        <f aca="false">IF(IsPro,IF($D228="","",IF(AND(R228&lt;&gt;"",INDEX(Parties!$E$5:$E$304,R228)&lt;&gt;"",INDEX(Parties!$E$5:$E$304,R228)&lt;&gt;HomeState),ROUND(K228*L228,2),0)),"")</f>
        <v/>
      </c>
      <c r="P228" s="61" t="str">
        <f aca="false">IF(IsPro,IF($D228="","",K228+M228+N228+O228),"")</f>
        <v/>
      </c>
      <c r="Q228" s="60" t="str">
        <f aca="false">IF(IsPro,IF($D228="","",IFERROR(MATCH($D228,Items!$A$5:$A$504,0),"")),"")</f>
        <v/>
      </c>
      <c r="R228" s="60" t="str">
        <f aca="false">IF(IsPro,IF($C228="","",IFERROR(MATCH($C228,Parties!$A$5:$A$304,0),"")),"")</f>
        <v/>
      </c>
      <c r="S228" s="61" t="str">
        <f aca="false">IF(IsPro,IF($D228="","",IF(OR($H228="",$H228="Credit"),0,P228)),"")</f>
        <v/>
      </c>
    </row>
    <row r="229" customFormat="false" ht="15" hidden="false" customHeight="false" outlineLevel="0" collapsed="false">
      <c r="A229" s="55"/>
      <c r="B229" s="56"/>
      <c r="C229" s="56"/>
      <c r="D229" s="56"/>
      <c r="E229" s="57"/>
      <c r="F229" s="58"/>
      <c r="G229" s="59"/>
      <c r="H229" s="56"/>
      <c r="I229" s="60" t="str">
        <f aca="false">IF(IsPro,IF($D229="","",IFERROR(INDEX(Items!$D$5:$D$504,Q229),"")),IF($D229="","","PRO PLAN"))</f>
        <v/>
      </c>
      <c r="J229" s="61" t="str">
        <f aca="false">IF(IsPro,IF($D229="","",IF($F229="",IFERROR(INDEX(Items!$G$5:$G$504,Q229),0),$F229)),"")</f>
        <v/>
      </c>
      <c r="K229" s="61" t="str">
        <f aca="false">IF(IsPro,IF($D229="","",ROUND(N($E229)*J229*(1-N($G229)),2)),"")</f>
        <v/>
      </c>
      <c r="L229" s="62" t="str">
        <f aca="false">IF(IsPro,IF($D229="","",IFERROR(INDEX(Items!$F$5:$F$504,Q229),0)),"")</f>
        <v/>
      </c>
      <c r="M229" s="61" t="str">
        <f aca="false">IF(IsPro,IF($D229="","",IF(AND(R229&lt;&gt;"",INDEX(Parties!$E$5:$E$304,R229)&lt;&gt;"",INDEX(Parties!$E$5:$E$304,R229)&lt;&gt;HomeState),0,ROUND(K229*L229/2,2))),"")</f>
        <v/>
      </c>
      <c r="N229" s="61" t="str">
        <f aca="false">IF(IsPro,IF($D229="","",M229),"")</f>
        <v/>
      </c>
      <c r="O229" s="61" t="str">
        <f aca="false">IF(IsPro,IF($D229="","",IF(AND(R229&lt;&gt;"",INDEX(Parties!$E$5:$E$304,R229)&lt;&gt;"",INDEX(Parties!$E$5:$E$304,R229)&lt;&gt;HomeState),ROUND(K229*L229,2),0)),"")</f>
        <v/>
      </c>
      <c r="P229" s="61" t="str">
        <f aca="false">IF(IsPro,IF($D229="","",K229+M229+N229+O229),"")</f>
        <v/>
      </c>
      <c r="Q229" s="60" t="str">
        <f aca="false">IF(IsPro,IF($D229="","",IFERROR(MATCH($D229,Items!$A$5:$A$504,0),"")),"")</f>
        <v/>
      </c>
      <c r="R229" s="60" t="str">
        <f aca="false">IF(IsPro,IF($C229="","",IFERROR(MATCH($C229,Parties!$A$5:$A$304,0),"")),"")</f>
        <v/>
      </c>
      <c r="S229" s="61" t="str">
        <f aca="false">IF(IsPro,IF($D229="","",IF(OR($H229="",$H229="Credit"),0,P229)),"")</f>
        <v/>
      </c>
    </row>
    <row r="230" customFormat="false" ht="15" hidden="false" customHeight="false" outlineLevel="0" collapsed="false">
      <c r="A230" s="55"/>
      <c r="B230" s="56"/>
      <c r="C230" s="56"/>
      <c r="D230" s="56"/>
      <c r="E230" s="57"/>
      <c r="F230" s="58"/>
      <c r="G230" s="59"/>
      <c r="H230" s="56"/>
      <c r="I230" s="60" t="str">
        <f aca="false">IF(IsPro,IF($D230="","",IFERROR(INDEX(Items!$D$5:$D$504,Q230),"")),IF($D230="","","PRO PLAN"))</f>
        <v/>
      </c>
      <c r="J230" s="61" t="str">
        <f aca="false">IF(IsPro,IF($D230="","",IF($F230="",IFERROR(INDEX(Items!$G$5:$G$504,Q230),0),$F230)),"")</f>
        <v/>
      </c>
      <c r="K230" s="61" t="str">
        <f aca="false">IF(IsPro,IF($D230="","",ROUND(N($E230)*J230*(1-N($G230)),2)),"")</f>
        <v/>
      </c>
      <c r="L230" s="62" t="str">
        <f aca="false">IF(IsPro,IF($D230="","",IFERROR(INDEX(Items!$F$5:$F$504,Q230),0)),"")</f>
        <v/>
      </c>
      <c r="M230" s="61" t="str">
        <f aca="false">IF(IsPro,IF($D230="","",IF(AND(R230&lt;&gt;"",INDEX(Parties!$E$5:$E$304,R230)&lt;&gt;"",INDEX(Parties!$E$5:$E$304,R230)&lt;&gt;HomeState),0,ROUND(K230*L230/2,2))),"")</f>
        <v/>
      </c>
      <c r="N230" s="61" t="str">
        <f aca="false">IF(IsPro,IF($D230="","",M230),"")</f>
        <v/>
      </c>
      <c r="O230" s="61" t="str">
        <f aca="false">IF(IsPro,IF($D230="","",IF(AND(R230&lt;&gt;"",INDEX(Parties!$E$5:$E$304,R230)&lt;&gt;"",INDEX(Parties!$E$5:$E$304,R230)&lt;&gt;HomeState),ROUND(K230*L230,2),0)),"")</f>
        <v/>
      </c>
      <c r="P230" s="61" t="str">
        <f aca="false">IF(IsPro,IF($D230="","",K230+M230+N230+O230),"")</f>
        <v/>
      </c>
      <c r="Q230" s="60" t="str">
        <f aca="false">IF(IsPro,IF($D230="","",IFERROR(MATCH($D230,Items!$A$5:$A$504,0),"")),"")</f>
        <v/>
      </c>
      <c r="R230" s="60" t="str">
        <f aca="false">IF(IsPro,IF($C230="","",IFERROR(MATCH($C230,Parties!$A$5:$A$304,0),"")),"")</f>
        <v/>
      </c>
      <c r="S230" s="61" t="str">
        <f aca="false">IF(IsPro,IF($D230="","",IF(OR($H230="",$H230="Credit"),0,P230)),"")</f>
        <v/>
      </c>
    </row>
    <row r="231" customFormat="false" ht="15" hidden="false" customHeight="false" outlineLevel="0" collapsed="false">
      <c r="A231" s="55"/>
      <c r="B231" s="56"/>
      <c r="C231" s="56"/>
      <c r="D231" s="56"/>
      <c r="E231" s="57"/>
      <c r="F231" s="58"/>
      <c r="G231" s="59"/>
      <c r="H231" s="56"/>
      <c r="I231" s="60" t="str">
        <f aca="false">IF(IsPro,IF($D231="","",IFERROR(INDEX(Items!$D$5:$D$504,Q231),"")),IF($D231="","","PRO PLAN"))</f>
        <v/>
      </c>
      <c r="J231" s="61" t="str">
        <f aca="false">IF(IsPro,IF($D231="","",IF($F231="",IFERROR(INDEX(Items!$G$5:$G$504,Q231),0),$F231)),"")</f>
        <v/>
      </c>
      <c r="K231" s="61" t="str">
        <f aca="false">IF(IsPro,IF($D231="","",ROUND(N($E231)*J231*(1-N($G231)),2)),"")</f>
        <v/>
      </c>
      <c r="L231" s="62" t="str">
        <f aca="false">IF(IsPro,IF($D231="","",IFERROR(INDEX(Items!$F$5:$F$504,Q231),0)),"")</f>
        <v/>
      </c>
      <c r="M231" s="61" t="str">
        <f aca="false">IF(IsPro,IF($D231="","",IF(AND(R231&lt;&gt;"",INDEX(Parties!$E$5:$E$304,R231)&lt;&gt;"",INDEX(Parties!$E$5:$E$304,R231)&lt;&gt;HomeState),0,ROUND(K231*L231/2,2))),"")</f>
        <v/>
      </c>
      <c r="N231" s="61" t="str">
        <f aca="false">IF(IsPro,IF($D231="","",M231),"")</f>
        <v/>
      </c>
      <c r="O231" s="61" t="str">
        <f aca="false">IF(IsPro,IF($D231="","",IF(AND(R231&lt;&gt;"",INDEX(Parties!$E$5:$E$304,R231)&lt;&gt;"",INDEX(Parties!$E$5:$E$304,R231)&lt;&gt;HomeState),ROUND(K231*L231,2),0)),"")</f>
        <v/>
      </c>
      <c r="P231" s="61" t="str">
        <f aca="false">IF(IsPro,IF($D231="","",K231+M231+N231+O231),"")</f>
        <v/>
      </c>
      <c r="Q231" s="60" t="str">
        <f aca="false">IF(IsPro,IF($D231="","",IFERROR(MATCH($D231,Items!$A$5:$A$504,0),"")),"")</f>
        <v/>
      </c>
      <c r="R231" s="60" t="str">
        <f aca="false">IF(IsPro,IF($C231="","",IFERROR(MATCH($C231,Parties!$A$5:$A$304,0),"")),"")</f>
        <v/>
      </c>
      <c r="S231" s="61" t="str">
        <f aca="false">IF(IsPro,IF($D231="","",IF(OR($H231="",$H231="Credit"),0,P231)),"")</f>
        <v/>
      </c>
    </row>
    <row r="232" customFormat="false" ht="15" hidden="false" customHeight="false" outlineLevel="0" collapsed="false">
      <c r="A232" s="55"/>
      <c r="B232" s="56"/>
      <c r="C232" s="56"/>
      <c r="D232" s="56"/>
      <c r="E232" s="57"/>
      <c r="F232" s="58"/>
      <c r="G232" s="59"/>
      <c r="H232" s="56"/>
      <c r="I232" s="60" t="str">
        <f aca="false">IF(IsPro,IF($D232="","",IFERROR(INDEX(Items!$D$5:$D$504,Q232),"")),IF($D232="","","PRO PLAN"))</f>
        <v/>
      </c>
      <c r="J232" s="61" t="str">
        <f aca="false">IF(IsPro,IF($D232="","",IF($F232="",IFERROR(INDEX(Items!$G$5:$G$504,Q232),0),$F232)),"")</f>
        <v/>
      </c>
      <c r="K232" s="61" t="str">
        <f aca="false">IF(IsPro,IF($D232="","",ROUND(N($E232)*J232*(1-N($G232)),2)),"")</f>
        <v/>
      </c>
      <c r="L232" s="62" t="str">
        <f aca="false">IF(IsPro,IF($D232="","",IFERROR(INDEX(Items!$F$5:$F$504,Q232),0)),"")</f>
        <v/>
      </c>
      <c r="M232" s="61" t="str">
        <f aca="false">IF(IsPro,IF($D232="","",IF(AND(R232&lt;&gt;"",INDEX(Parties!$E$5:$E$304,R232)&lt;&gt;"",INDEX(Parties!$E$5:$E$304,R232)&lt;&gt;HomeState),0,ROUND(K232*L232/2,2))),"")</f>
        <v/>
      </c>
      <c r="N232" s="61" t="str">
        <f aca="false">IF(IsPro,IF($D232="","",M232),"")</f>
        <v/>
      </c>
      <c r="O232" s="61" t="str">
        <f aca="false">IF(IsPro,IF($D232="","",IF(AND(R232&lt;&gt;"",INDEX(Parties!$E$5:$E$304,R232)&lt;&gt;"",INDEX(Parties!$E$5:$E$304,R232)&lt;&gt;HomeState),ROUND(K232*L232,2),0)),"")</f>
        <v/>
      </c>
      <c r="P232" s="61" t="str">
        <f aca="false">IF(IsPro,IF($D232="","",K232+M232+N232+O232),"")</f>
        <v/>
      </c>
      <c r="Q232" s="60" t="str">
        <f aca="false">IF(IsPro,IF($D232="","",IFERROR(MATCH($D232,Items!$A$5:$A$504,0),"")),"")</f>
        <v/>
      </c>
      <c r="R232" s="60" t="str">
        <f aca="false">IF(IsPro,IF($C232="","",IFERROR(MATCH($C232,Parties!$A$5:$A$304,0),"")),"")</f>
        <v/>
      </c>
      <c r="S232" s="61" t="str">
        <f aca="false">IF(IsPro,IF($D232="","",IF(OR($H232="",$H232="Credit"),0,P232)),"")</f>
        <v/>
      </c>
    </row>
    <row r="233" customFormat="false" ht="15" hidden="false" customHeight="false" outlineLevel="0" collapsed="false">
      <c r="A233" s="55"/>
      <c r="B233" s="56"/>
      <c r="C233" s="56"/>
      <c r="D233" s="56"/>
      <c r="E233" s="57"/>
      <c r="F233" s="58"/>
      <c r="G233" s="59"/>
      <c r="H233" s="56"/>
      <c r="I233" s="60" t="str">
        <f aca="false">IF(IsPro,IF($D233="","",IFERROR(INDEX(Items!$D$5:$D$504,Q233),"")),IF($D233="","","PRO PLAN"))</f>
        <v/>
      </c>
      <c r="J233" s="61" t="str">
        <f aca="false">IF(IsPro,IF($D233="","",IF($F233="",IFERROR(INDEX(Items!$G$5:$G$504,Q233),0),$F233)),"")</f>
        <v/>
      </c>
      <c r="K233" s="61" t="str">
        <f aca="false">IF(IsPro,IF($D233="","",ROUND(N($E233)*J233*(1-N($G233)),2)),"")</f>
        <v/>
      </c>
      <c r="L233" s="62" t="str">
        <f aca="false">IF(IsPro,IF($D233="","",IFERROR(INDEX(Items!$F$5:$F$504,Q233),0)),"")</f>
        <v/>
      </c>
      <c r="M233" s="61" t="str">
        <f aca="false">IF(IsPro,IF($D233="","",IF(AND(R233&lt;&gt;"",INDEX(Parties!$E$5:$E$304,R233)&lt;&gt;"",INDEX(Parties!$E$5:$E$304,R233)&lt;&gt;HomeState),0,ROUND(K233*L233/2,2))),"")</f>
        <v/>
      </c>
      <c r="N233" s="61" t="str">
        <f aca="false">IF(IsPro,IF($D233="","",M233),"")</f>
        <v/>
      </c>
      <c r="O233" s="61" t="str">
        <f aca="false">IF(IsPro,IF($D233="","",IF(AND(R233&lt;&gt;"",INDEX(Parties!$E$5:$E$304,R233)&lt;&gt;"",INDEX(Parties!$E$5:$E$304,R233)&lt;&gt;HomeState),ROUND(K233*L233,2),0)),"")</f>
        <v/>
      </c>
      <c r="P233" s="61" t="str">
        <f aca="false">IF(IsPro,IF($D233="","",K233+M233+N233+O233),"")</f>
        <v/>
      </c>
      <c r="Q233" s="60" t="str">
        <f aca="false">IF(IsPro,IF($D233="","",IFERROR(MATCH($D233,Items!$A$5:$A$504,0),"")),"")</f>
        <v/>
      </c>
      <c r="R233" s="60" t="str">
        <f aca="false">IF(IsPro,IF($C233="","",IFERROR(MATCH($C233,Parties!$A$5:$A$304,0),"")),"")</f>
        <v/>
      </c>
      <c r="S233" s="61" t="str">
        <f aca="false">IF(IsPro,IF($D233="","",IF(OR($H233="",$H233="Credit"),0,P233)),"")</f>
        <v/>
      </c>
    </row>
    <row r="234" customFormat="false" ht="15" hidden="false" customHeight="false" outlineLevel="0" collapsed="false">
      <c r="A234" s="55"/>
      <c r="B234" s="56"/>
      <c r="C234" s="56"/>
      <c r="D234" s="56"/>
      <c r="E234" s="57"/>
      <c r="F234" s="58"/>
      <c r="G234" s="59"/>
      <c r="H234" s="56"/>
      <c r="I234" s="60" t="str">
        <f aca="false">IF(IsPro,IF($D234="","",IFERROR(INDEX(Items!$D$5:$D$504,Q234),"")),IF($D234="","","PRO PLAN"))</f>
        <v/>
      </c>
      <c r="J234" s="61" t="str">
        <f aca="false">IF(IsPro,IF($D234="","",IF($F234="",IFERROR(INDEX(Items!$G$5:$G$504,Q234),0),$F234)),"")</f>
        <v/>
      </c>
      <c r="K234" s="61" t="str">
        <f aca="false">IF(IsPro,IF($D234="","",ROUND(N($E234)*J234*(1-N($G234)),2)),"")</f>
        <v/>
      </c>
      <c r="L234" s="62" t="str">
        <f aca="false">IF(IsPro,IF($D234="","",IFERROR(INDEX(Items!$F$5:$F$504,Q234),0)),"")</f>
        <v/>
      </c>
      <c r="M234" s="61" t="str">
        <f aca="false">IF(IsPro,IF($D234="","",IF(AND(R234&lt;&gt;"",INDEX(Parties!$E$5:$E$304,R234)&lt;&gt;"",INDEX(Parties!$E$5:$E$304,R234)&lt;&gt;HomeState),0,ROUND(K234*L234/2,2))),"")</f>
        <v/>
      </c>
      <c r="N234" s="61" t="str">
        <f aca="false">IF(IsPro,IF($D234="","",M234),"")</f>
        <v/>
      </c>
      <c r="O234" s="61" t="str">
        <f aca="false">IF(IsPro,IF($D234="","",IF(AND(R234&lt;&gt;"",INDEX(Parties!$E$5:$E$304,R234)&lt;&gt;"",INDEX(Parties!$E$5:$E$304,R234)&lt;&gt;HomeState),ROUND(K234*L234,2),0)),"")</f>
        <v/>
      </c>
      <c r="P234" s="61" t="str">
        <f aca="false">IF(IsPro,IF($D234="","",K234+M234+N234+O234),"")</f>
        <v/>
      </c>
      <c r="Q234" s="60" t="str">
        <f aca="false">IF(IsPro,IF($D234="","",IFERROR(MATCH($D234,Items!$A$5:$A$504,0),"")),"")</f>
        <v/>
      </c>
      <c r="R234" s="60" t="str">
        <f aca="false">IF(IsPro,IF($C234="","",IFERROR(MATCH($C234,Parties!$A$5:$A$304,0),"")),"")</f>
        <v/>
      </c>
      <c r="S234" s="61" t="str">
        <f aca="false">IF(IsPro,IF($D234="","",IF(OR($H234="",$H234="Credit"),0,P234)),"")</f>
        <v/>
      </c>
    </row>
    <row r="235" customFormat="false" ht="15" hidden="false" customHeight="false" outlineLevel="0" collapsed="false">
      <c r="A235" s="55"/>
      <c r="B235" s="56"/>
      <c r="C235" s="56"/>
      <c r="D235" s="56"/>
      <c r="E235" s="57"/>
      <c r="F235" s="58"/>
      <c r="G235" s="59"/>
      <c r="H235" s="56"/>
      <c r="I235" s="60" t="str">
        <f aca="false">IF(IsPro,IF($D235="","",IFERROR(INDEX(Items!$D$5:$D$504,Q235),"")),IF($D235="","","PRO PLAN"))</f>
        <v/>
      </c>
      <c r="J235" s="61" t="str">
        <f aca="false">IF(IsPro,IF($D235="","",IF($F235="",IFERROR(INDEX(Items!$G$5:$G$504,Q235),0),$F235)),"")</f>
        <v/>
      </c>
      <c r="K235" s="61" t="str">
        <f aca="false">IF(IsPro,IF($D235="","",ROUND(N($E235)*J235*(1-N($G235)),2)),"")</f>
        <v/>
      </c>
      <c r="L235" s="62" t="str">
        <f aca="false">IF(IsPro,IF($D235="","",IFERROR(INDEX(Items!$F$5:$F$504,Q235),0)),"")</f>
        <v/>
      </c>
      <c r="M235" s="61" t="str">
        <f aca="false">IF(IsPro,IF($D235="","",IF(AND(R235&lt;&gt;"",INDEX(Parties!$E$5:$E$304,R235)&lt;&gt;"",INDEX(Parties!$E$5:$E$304,R235)&lt;&gt;HomeState),0,ROUND(K235*L235/2,2))),"")</f>
        <v/>
      </c>
      <c r="N235" s="61" t="str">
        <f aca="false">IF(IsPro,IF($D235="","",M235),"")</f>
        <v/>
      </c>
      <c r="O235" s="61" t="str">
        <f aca="false">IF(IsPro,IF($D235="","",IF(AND(R235&lt;&gt;"",INDEX(Parties!$E$5:$E$304,R235)&lt;&gt;"",INDEX(Parties!$E$5:$E$304,R235)&lt;&gt;HomeState),ROUND(K235*L235,2),0)),"")</f>
        <v/>
      </c>
      <c r="P235" s="61" t="str">
        <f aca="false">IF(IsPro,IF($D235="","",K235+M235+N235+O235),"")</f>
        <v/>
      </c>
      <c r="Q235" s="60" t="str">
        <f aca="false">IF(IsPro,IF($D235="","",IFERROR(MATCH($D235,Items!$A$5:$A$504,0),"")),"")</f>
        <v/>
      </c>
      <c r="R235" s="60" t="str">
        <f aca="false">IF(IsPro,IF($C235="","",IFERROR(MATCH($C235,Parties!$A$5:$A$304,0),"")),"")</f>
        <v/>
      </c>
      <c r="S235" s="61" t="str">
        <f aca="false">IF(IsPro,IF($D235="","",IF(OR($H235="",$H235="Credit"),0,P235)),"")</f>
        <v/>
      </c>
    </row>
    <row r="236" customFormat="false" ht="15" hidden="false" customHeight="false" outlineLevel="0" collapsed="false">
      <c r="A236" s="55"/>
      <c r="B236" s="56"/>
      <c r="C236" s="56"/>
      <c r="D236" s="56"/>
      <c r="E236" s="57"/>
      <c r="F236" s="58"/>
      <c r="G236" s="59"/>
      <c r="H236" s="56"/>
      <c r="I236" s="60" t="str">
        <f aca="false">IF(IsPro,IF($D236="","",IFERROR(INDEX(Items!$D$5:$D$504,Q236),"")),IF($D236="","","PRO PLAN"))</f>
        <v/>
      </c>
      <c r="J236" s="61" t="str">
        <f aca="false">IF(IsPro,IF($D236="","",IF($F236="",IFERROR(INDEX(Items!$G$5:$G$504,Q236),0),$F236)),"")</f>
        <v/>
      </c>
      <c r="K236" s="61" t="str">
        <f aca="false">IF(IsPro,IF($D236="","",ROUND(N($E236)*J236*(1-N($G236)),2)),"")</f>
        <v/>
      </c>
      <c r="L236" s="62" t="str">
        <f aca="false">IF(IsPro,IF($D236="","",IFERROR(INDEX(Items!$F$5:$F$504,Q236),0)),"")</f>
        <v/>
      </c>
      <c r="M236" s="61" t="str">
        <f aca="false">IF(IsPro,IF($D236="","",IF(AND(R236&lt;&gt;"",INDEX(Parties!$E$5:$E$304,R236)&lt;&gt;"",INDEX(Parties!$E$5:$E$304,R236)&lt;&gt;HomeState),0,ROUND(K236*L236/2,2))),"")</f>
        <v/>
      </c>
      <c r="N236" s="61" t="str">
        <f aca="false">IF(IsPro,IF($D236="","",M236),"")</f>
        <v/>
      </c>
      <c r="O236" s="61" t="str">
        <f aca="false">IF(IsPro,IF($D236="","",IF(AND(R236&lt;&gt;"",INDEX(Parties!$E$5:$E$304,R236)&lt;&gt;"",INDEX(Parties!$E$5:$E$304,R236)&lt;&gt;HomeState),ROUND(K236*L236,2),0)),"")</f>
        <v/>
      </c>
      <c r="P236" s="61" t="str">
        <f aca="false">IF(IsPro,IF($D236="","",K236+M236+N236+O236),"")</f>
        <v/>
      </c>
      <c r="Q236" s="60" t="str">
        <f aca="false">IF(IsPro,IF($D236="","",IFERROR(MATCH($D236,Items!$A$5:$A$504,0),"")),"")</f>
        <v/>
      </c>
      <c r="R236" s="60" t="str">
        <f aca="false">IF(IsPro,IF($C236="","",IFERROR(MATCH($C236,Parties!$A$5:$A$304,0),"")),"")</f>
        <v/>
      </c>
      <c r="S236" s="61" t="str">
        <f aca="false">IF(IsPro,IF($D236="","",IF(OR($H236="",$H236="Credit"),0,P236)),"")</f>
        <v/>
      </c>
    </row>
    <row r="237" customFormat="false" ht="15" hidden="false" customHeight="false" outlineLevel="0" collapsed="false">
      <c r="A237" s="55"/>
      <c r="B237" s="56"/>
      <c r="C237" s="56"/>
      <c r="D237" s="56"/>
      <c r="E237" s="57"/>
      <c r="F237" s="58"/>
      <c r="G237" s="59"/>
      <c r="H237" s="56"/>
      <c r="I237" s="60" t="str">
        <f aca="false">IF(IsPro,IF($D237="","",IFERROR(INDEX(Items!$D$5:$D$504,Q237),"")),IF($D237="","","PRO PLAN"))</f>
        <v/>
      </c>
      <c r="J237" s="61" t="str">
        <f aca="false">IF(IsPro,IF($D237="","",IF($F237="",IFERROR(INDEX(Items!$G$5:$G$504,Q237),0),$F237)),"")</f>
        <v/>
      </c>
      <c r="K237" s="61" t="str">
        <f aca="false">IF(IsPro,IF($D237="","",ROUND(N($E237)*J237*(1-N($G237)),2)),"")</f>
        <v/>
      </c>
      <c r="L237" s="62" t="str">
        <f aca="false">IF(IsPro,IF($D237="","",IFERROR(INDEX(Items!$F$5:$F$504,Q237),0)),"")</f>
        <v/>
      </c>
      <c r="M237" s="61" t="str">
        <f aca="false">IF(IsPro,IF($D237="","",IF(AND(R237&lt;&gt;"",INDEX(Parties!$E$5:$E$304,R237)&lt;&gt;"",INDEX(Parties!$E$5:$E$304,R237)&lt;&gt;HomeState),0,ROUND(K237*L237/2,2))),"")</f>
        <v/>
      </c>
      <c r="N237" s="61" t="str">
        <f aca="false">IF(IsPro,IF($D237="","",M237),"")</f>
        <v/>
      </c>
      <c r="O237" s="61" t="str">
        <f aca="false">IF(IsPro,IF($D237="","",IF(AND(R237&lt;&gt;"",INDEX(Parties!$E$5:$E$304,R237)&lt;&gt;"",INDEX(Parties!$E$5:$E$304,R237)&lt;&gt;HomeState),ROUND(K237*L237,2),0)),"")</f>
        <v/>
      </c>
      <c r="P237" s="61" t="str">
        <f aca="false">IF(IsPro,IF($D237="","",K237+M237+N237+O237),"")</f>
        <v/>
      </c>
      <c r="Q237" s="60" t="str">
        <f aca="false">IF(IsPro,IF($D237="","",IFERROR(MATCH($D237,Items!$A$5:$A$504,0),"")),"")</f>
        <v/>
      </c>
      <c r="R237" s="60" t="str">
        <f aca="false">IF(IsPro,IF($C237="","",IFERROR(MATCH($C237,Parties!$A$5:$A$304,0),"")),"")</f>
        <v/>
      </c>
      <c r="S237" s="61" t="str">
        <f aca="false">IF(IsPro,IF($D237="","",IF(OR($H237="",$H237="Credit"),0,P237)),"")</f>
        <v/>
      </c>
    </row>
    <row r="238" customFormat="false" ht="15" hidden="false" customHeight="false" outlineLevel="0" collapsed="false">
      <c r="A238" s="55"/>
      <c r="B238" s="56"/>
      <c r="C238" s="56"/>
      <c r="D238" s="56"/>
      <c r="E238" s="57"/>
      <c r="F238" s="58"/>
      <c r="G238" s="59"/>
      <c r="H238" s="56"/>
      <c r="I238" s="60" t="str">
        <f aca="false">IF(IsPro,IF($D238="","",IFERROR(INDEX(Items!$D$5:$D$504,Q238),"")),IF($D238="","","PRO PLAN"))</f>
        <v/>
      </c>
      <c r="J238" s="61" t="str">
        <f aca="false">IF(IsPro,IF($D238="","",IF($F238="",IFERROR(INDEX(Items!$G$5:$G$504,Q238),0),$F238)),"")</f>
        <v/>
      </c>
      <c r="K238" s="61" t="str">
        <f aca="false">IF(IsPro,IF($D238="","",ROUND(N($E238)*J238*(1-N($G238)),2)),"")</f>
        <v/>
      </c>
      <c r="L238" s="62" t="str">
        <f aca="false">IF(IsPro,IF($D238="","",IFERROR(INDEX(Items!$F$5:$F$504,Q238),0)),"")</f>
        <v/>
      </c>
      <c r="M238" s="61" t="str">
        <f aca="false">IF(IsPro,IF($D238="","",IF(AND(R238&lt;&gt;"",INDEX(Parties!$E$5:$E$304,R238)&lt;&gt;"",INDEX(Parties!$E$5:$E$304,R238)&lt;&gt;HomeState),0,ROUND(K238*L238/2,2))),"")</f>
        <v/>
      </c>
      <c r="N238" s="61" t="str">
        <f aca="false">IF(IsPro,IF($D238="","",M238),"")</f>
        <v/>
      </c>
      <c r="O238" s="61" t="str">
        <f aca="false">IF(IsPro,IF($D238="","",IF(AND(R238&lt;&gt;"",INDEX(Parties!$E$5:$E$304,R238)&lt;&gt;"",INDEX(Parties!$E$5:$E$304,R238)&lt;&gt;HomeState),ROUND(K238*L238,2),0)),"")</f>
        <v/>
      </c>
      <c r="P238" s="61" t="str">
        <f aca="false">IF(IsPro,IF($D238="","",K238+M238+N238+O238),"")</f>
        <v/>
      </c>
      <c r="Q238" s="60" t="str">
        <f aca="false">IF(IsPro,IF($D238="","",IFERROR(MATCH($D238,Items!$A$5:$A$504,0),"")),"")</f>
        <v/>
      </c>
      <c r="R238" s="60" t="str">
        <f aca="false">IF(IsPro,IF($C238="","",IFERROR(MATCH($C238,Parties!$A$5:$A$304,0),"")),"")</f>
        <v/>
      </c>
      <c r="S238" s="61" t="str">
        <f aca="false">IF(IsPro,IF($D238="","",IF(OR($H238="",$H238="Credit"),0,P238)),"")</f>
        <v/>
      </c>
    </row>
    <row r="239" customFormat="false" ht="15" hidden="false" customHeight="false" outlineLevel="0" collapsed="false">
      <c r="A239" s="55"/>
      <c r="B239" s="56"/>
      <c r="C239" s="56"/>
      <c r="D239" s="56"/>
      <c r="E239" s="57"/>
      <c r="F239" s="58"/>
      <c r="G239" s="59"/>
      <c r="H239" s="56"/>
      <c r="I239" s="60" t="str">
        <f aca="false">IF(IsPro,IF($D239="","",IFERROR(INDEX(Items!$D$5:$D$504,Q239),"")),IF($D239="","","PRO PLAN"))</f>
        <v/>
      </c>
      <c r="J239" s="61" t="str">
        <f aca="false">IF(IsPro,IF($D239="","",IF($F239="",IFERROR(INDEX(Items!$G$5:$G$504,Q239),0),$F239)),"")</f>
        <v/>
      </c>
      <c r="K239" s="61" t="str">
        <f aca="false">IF(IsPro,IF($D239="","",ROUND(N($E239)*J239*(1-N($G239)),2)),"")</f>
        <v/>
      </c>
      <c r="L239" s="62" t="str">
        <f aca="false">IF(IsPro,IF($D239="","",IFERROR(INDEX(Items!$F$5:$F$504,Q239),0)),"")</f>
        <v/>
      </c>
      <c r="M239" s="61" t="str">
        <f aca="false">IF(IsPro,IF($D239="","",IF(AND(R239&lt;&gt;"",INDEX(Parties!$E$5:$E$304,R239)&lt;&gt;"",INDEX(Parties!$E$5:$E$304,R239)&lt;&gt;HomeState),0,ROUND(K239*L239/2,2))),"")</f>
        <v/>
      </c>
      <c r="N239" s="61" t="str">
        <f aca="false">IF(IsPro,IF($D239="","",M239),"")</f>
        <v/>
      </c>
      <c r="O239" s="61" t="str">
        <f aca="false">IF(IsPro,IF($D239="","",IF(AND(R239&lt;&gt;"",INDEX(Parties!$E$5:$E$304,R239)&lt;&gt;"",INDEX(Parties!$E$5:$E$304,R239)&lt;&gt;HomeState),ROUND(K239*L239,2),0)),"")</f>
        <v/>
      </c>
      <c r="P239" s="61" t="str">
        <f aca="false">IF(IsPro,IF($D239="","",K239+M239+N239+O239),"")</f>
        <v/>
      </c>
      <c r="Q239" s="60" t="str">
        <f aca="false">IF(IsPro,IF($D239="","",IFERROR(MATCH($D239,Items!$A$5:$A$504,0),"")),"")</f>
        <v/>
      </c>
      <c r="R239" s="60" t="str">
        <f aca="false">IF(IsPro,IF($C239="","",IFERROR(MATCH($C239,Parties!$A$5:$A$304,0),"")),"")</f>
        <v/>
      </c>
      <c r="S239" s="61" t="str">
        <f aca="false">IF(IsPro,IF($D239="","",IF(OR($H239="",$H239="Credit"),0,P239)),"")</f>
        <v/>
      </c>
    </row>
    <row r="240" customFormat="false" ht="15" hidden="false" customHeight="false" outlineLevel="0" collapsed="false">
      <c r="A240" s="55"/>
      <c r="B240" s="56"/>
      <c r="C240" s="56"/>
      <c r="D240" s="56"/>
      <c r="E240" s="57"/>
      <c r="F240" s="58"/>
      <c r="G240" s="59"/>
      <c r="H240" s="56"/>
      <c r="I240" s="60" t="str">
        <f aca="false">IF(IsPro,IF($D240="","",IFERROR(INDEX(Items!$D$5:$D$504,Q240),"")),IF($D240="","","PRO PLAN"))</f>
        <v/>
      </c>
      <c r="J240" s="61" t="str">
        <f aca="false">IF(IsPro,IF($D240="","",IF($F240="",IFERROR(INDEX(Items!$G$5:$G$504,Q240),0),$F240)),"")</f>
        <v/>
      </c>
      <c r="K240" s="61" t="str">
        <f aca="false">IF(IsPro,IF($D240="","",ROUND(N($E240)*J240*(1-N($G240)),2)),"")</f>
        <v/>
      </c>
      <c r="L240" s="62" t="str">
        <f aca="false">IF(IsPro,IF($D240="","",IFERROR(INDEX(Items!$F$5:$F$504,Q240),0)),"")</f>
        <v/>
      </c>
      <c r="M240" s="61" t="str">
        <f aca="false">IF(IsPro,IF($D240="","",IF(AND(R240&lt;&gt;"",INDEX(Parties!$E$5:$E$304,R240)&lt;&gt;"",INDEX(Parties!$E$5:$E$304,R240)&lt;&gt;HomeState),0,ROUND(K240*L240/2,2))),"")</f>
        <v/>
      </c>
      <c r="N240" s="61" t="str">
        <f aca="false">IF(IsPro,IF($D240="","",M240),"")</f>
        <v/>
      </c>
      <c r="O240" s="61" t="str">
        <f aca="false">IF(IsPro,IF($D240="","",IF(AND(R240&lt;&gt;"",INDEX(Parties!$E$5:$E$304,R240)&lt;&gt;"",INDEX(Parties!$E$5:$E$304,R240)&lt;&gt;HomeState),ROUND(K240*L240,2),0)),"")</f>
        <v/>
      </c>
      <c r="P240" s="61" t="str">
        <f aca="false">IF(IsPro,IF($D240="","",K240+M240+N240+O240),"")</f>
        <v/>
      </c>
      <c r="Q240" s="60" t="str">
        <f aca="false">IF(IsPro,IF($D240="","",IFERROR(MATCH($D240,Items!$A$5:$A$504,0),"")),"")</f>
        <v/>
      </c>
      <c r="R240" s="60" t="str">
        <f aca="false">IF(IsPro,IF($C240="","",IFERROR(MATCH($C240,Parties!$A$5:$A$304,0),"")),"")</f>
        <v/>
      </c>
      <c r="S240" s="61" t="str">
        <f aca="false">IF(IsPro,IF($D240="","",IF(OR($H240="",$H240="Credit"),0,P240)),"")</f>
        <v/>
      </c>
    </row>
    <row r="241" customFormat="false" ht="15" hidden="false" customHeight="false" outlineLevel="0" collapsed="false">
      <c r="A241" s="55"/>
      <c r="B241" s="56"/>
      <c r="C241" s="56"/>
      <c r="D241" s="56"/>
      <c r="E241" s="57"/>
      <c r="F241" s="58"/>
      <c r="G241" s="59"/>
      <c r="H241" s="56"/>
      <c r="I241" s="60" t="str">
        <f aca="false">IF(IsPro,IF($D241="","",IFERROR(INDEX(Items!$D$5:$D$504,Q241),"")),IF($D241="","","PRO PLAN"))</f>
        <v/>
      </c>
      <c r="J241" s="61" t="str">
        <f aca="false">IF(IsPro,IF($D241="","",IF($F241="",IFERROR(INDEX(Items!$G$5:$G$504,Q241),0),$F241)),"")</f>
        <v/>
      </c>
      <c r="K241" s="61" t="str">
        <f aca="false">IF(IsPro,IF($D241="","",ROUND(N($E241)*J241*(1-N($G241)),2)),"")</f>
        <v/>
      </c>
      <c r="L241" s="62" t="str">
        <f aca="false">IF(IsPro,IF($D241="","",IFERROR(INDEX(Items!$F$5:$F$504,Q241),0)),"")</f>
        <v/>
      </c>
      <c r="M241" s="61" t="str">
        <f aca="false">IF(IsPro,IF($D241="","",IF(AND(R241&lt;&gt;"",INDEX(Parties!$E$5:$E$304,R241)&lt;&gt;"",INDEX(Parties!$E$5:$E$304,R241)&lt;&gt;HomeState),0,ROUND(K241*L241/2,2))),"")</f>
        <v/>
      </c>
      <c r="N241" s="61" t="str">
        <f aca="false">IF(IsPro,IF($D241="","",M241),"")</f>
        <v/>
      </c>
      <c r="O241" s="61" t="str">
        <f aca="false">IF(IsPro,IF($D241="","",IF(AND(R241&lt;&gt;"",INDEX(Parties!$E$5:$E$304,R241)&lt;&gt;"",INDEX(Parties!$E$5:$E$304,R241)&lt;&gt;HomeState),ROUND(K241*L241,2),0)),"")</f>
        <v/>
      </c>
      <c r="P241" s="61" t="str">
        <f aca="false">IF(IsPro,IF($D241="","",K241+M241+N241+O241),"")</f>
        <v/>
      </c>
      <c r="Q241" s="60" t="str">
        <f aca="false">IF(IsPro,IF($D241="","",IFERROR(MATCH($D241,Items!$A$5:$A$504,0),"")),"")</f>
        <v/>
      </c>
      <c r="R241" s="60" t="str">
        <f aca="false">IF(IsPro,IF($C241="","",IFERROR(MATCH($C241,Parties!$A$5:$A$304,0),"")),"")</f>
        <v/>
      </c>
      <c r="S241" s="61" t="str">
        <f aca="false">IF(IsPro,IF($D241="","",IF(OR($H241="",$H241="Credit"),0,P241)),"")</f>
        <v/>
      </c>
    </row>
    <row r="242" customFormat="false" ht="15" hidden="false" customHeight="false" outlineLevel="0" collapsed="false">
      <c r="A242" s="55"/>
      <c r="B242" s="56"/>
      <c r="C242" s="56"/>
      <c r="D242" s="56"/>
      <c r="E242" s="57"/>
      <c r="F242" s="58"/>
      <c r="G242" s="59"/>
      <c r="H242" s="56"/>
      <c r="I242" s="60" t="str">
        <f aca="false">IF(IsPro,IF($D242="","",IFERROR(INDEX(Items!$D$5:$D$504,Q242),"")),IF($D242="","","PRO PLAN"))</f>
        <v/>
      </c>
      <c r="J242" s="61" t="str">
        <f aca="false">IF(IsPro,IF($D242="","",IF($F242="",IFERROR(INDEX(Items!$G$5:$G$504,Q242),0),$F242)),"")</f>
        <v/>
      </c>
      <c r="K242" s="61" t="str">
        <f aca="false">IF(IsPro,IF($D242="","",ROUND(N($E242)*J242*(1-N($G242)),2)),"")</f>
        <v/>
      </c>
      <c r="L242" s="62" t="str">
        <f aca="false">IF(IsPro,IF($D242="","",IFERROR(INDEX(Items!$F$5:$F$504,Q242),0)),"")</f>
        <v/>
      </c>
      <c r="M242" s="61" t="str">
        <f aca="false">IF(IsPro,IF($D242="","",IF(AND(R242&lt;&gt;"",INDEX(Parties!$E$5:$E$304,R242)&lt;&gt;"",INDEX(Parties!$E$5:$E$304,R242)&lt;&gt;HomeState),0,ROUND(K242*L242/2,2))),"")</f>
        <v/>
      </c>
      <c r="N242" s="61" t="str">
        <f aca="false">IF(IsPro,IF($D242="","",M242),"")</f>
        <v/>
      </c>
      <c r="O242" s="61" t="str">
        <f aca="false">IF(IsPro,IF($D242="","",IF(AND(R242&lt;&gt;"",INDEX(Parties!$E$5:$E$304,R242)&lt;&gt;"",INDEX(Parties!$E$5:$E$304,R242)&lt;&gt;HomeState),ROUND(K242*L242,2),0)),"")</f>
        <v/>
      </c>
      <c r="P242" s="61" t="str">
        <f aca="false">IF(IsPro,IF($D242="","",K242+M242+N242+O242),"")</f>
        <v/>
      </c>
      <c r="Q242" s="60" t="str">
        <f aca="false">IF(IsPro,IF($D242="","",IFERROR(MATCH($D242,Items!$A$5:$A$504,0),"")),"")</f>
        <v/>
      </c>
      <c r="R242" s="60" t="str">
        <f aca="false">IF(IsPro,IF($C242="","",IFERROR(MATCH($C242,Parties!$A$5:$A$304,0),"")),"")</f>
        <v/>
      </c>
      <c r="S242" s="61" t="str">
        <f aca="false">IF(IsPro,IF($D242="","",IF(OR($H242="",$H242="Credit"),0,P242)),"")</f>
        <v/>
      </c>
    </row>
    <row r="243" customFormat="false" ht="15" hidden="false" customHeight="false" outlineLevel="0" collapsed="false">
      <c r="A243" s="55"/>
      <c r="B243" s="56"/>
      <c r="C243" s="56"/>
      <c r="D243" s="56"/>
      <c r="E243" s="57"/>
      <c r="F243" s="58"/>
      <c r="G243" s="59"/>
      <c r="H243" s="56"/>
      <c r="I243" s="60" t="str">
        <f aca="false">IF(IsPro,IF($D243="","",IFERROR(INDEX(Items!$D$5:$D$504,Q243),"")),IF($D243="","","PRO PLAN"))</f>
        <v/>
      </c>
      <c r="J243" s="61" t="str">
        <f aca="false">IF(IsPro,IF($D243="","",IF($F243="",IFERROR(INDEX(Items!$G$5:$G$504,Q243),0),$F243)),"")</f>
        <v/>
      </c>
      <c r="K243" s="61" t="str">
        <f aca="false">IF(IsPro,IF($D243="","",ROUND(N($E243)*J243*(1-N($G243)),2)),"")</f>
        <v/>
      </c>
      <c r="L243" s="62" t="str">
        <f aca="false">IF(IsPro,IF($D243="","",IFERROR(INDEX(Items!$F$5:$F$504,Q243),0)),"")</f>
        <v/>
      </c>
      <c r="M243" s="61" t="str">
        <f aca="false">IF(IsPro,IF($D243="","",IF(AND(R243&lt;&gt;"",INDEX(Parties!$E$5:$E$304,R243)&lt;&gt;"",INDEX(Parties!$E$5:$E$304,R243)&lt;&gt;HomeState),0,ROUND(K243*L243/2,2))),"")</f>
        <v/>
      </c>
      <c r="N243" s="61" t="str">
        <f aca="false">IF(IsPro,IF($D243="","",M243),"")</f>
        <v/>
      </c>
      <c r="O243" s="61" t="str">
        <f aca="false">IF(IsPro,IF($D243="","",IF(AND(R243&lt;&gt;"",INDEX(Parties!$E$5:$E$304,R243)&lt;&gt;"",INDEX(Parties!$E$5:$E$304,R243)&lt;&gt;HomeState),ROUND(K243*L243,2),0)),"")</f>
        <v/>
      </c>
      <c r="P243" s="61" t="str">
        <f aca="false">IF(IsPro,IF($D243="","",K243+M243+N243+O243),"")</f>
        <v/>
      </c>
      <c r="Q243" s="60" t="str">
        <f aca="false">IF(IsPro,IF($D243="","",IFERROR(MATCH($D243,Items!$A$5:$A$504,0),"")),"")</f>
        <v/>
      </c>
      <c r="R243" s="60" t="str">
        <f aca="false">IF(IsPro,IF($C243="","",IFERROR(MATCH($C243,Parties!$A$5:$A$304,0),"")),"")</f>
        <v/>
      </c>
      <c r="S243" s="61" t="str">
        <f aca="false">IF(IsPro,IF($D243="","",IF(OR($H243="",$H243="Credit"),0,P243)),"")</f>
        <v/>
      </c>
    </row>
    <row r="244" customFormat="false" ht="15" hidden="false" customHeight="false" outlineLevel="0" collapsed="false">
      <c r="A244" s="55"/>
      <c r="B244" s="56"/>
      <c r="C244" s="56"/>
      <c r="D244" s="56"/>
      <c r="E244" s="57"/>
      <c r="F244" s="58"/>
      <c r="G244" s="59"/>
      <c r="H244" s="56"/>
      <c r="I244" s="60" t="str">
        <f aca="false">IF(IsPro,IF($D244="","",IFERROR(INDEX(Items!$D$5:$D$504,Q244),"")),IF($D244="","","PRO PLAN"))</f>
        <v/>
      </c>
      <c r="J244" s="61" t="str">
        <f aca="false">IF(IsPro,IF($D244="","",IF($F244="",IFERROR(INDEX(Items!$G$5:$G$504,Q244),0),$F244)),"")</f>
        <v/>
      </c>
      <c r="K244" s="61" t="str">
        <f aca="false">IF(IsPro,IF($D244="","",ROUND(N($E244)*J244*(1-N($G244)),2)),"")</f>
        <v/>
      </c>
      <c r="L244" s="62" t="str">
        <f aca="false">IF(IsPro,IF($D244="","",IFERROR(INDEX(Items!$F$5:$F$504,Q244),0)),"")</f>
        <v/>
      </c>
      <c r="M244" s="61" t="str">
        <f aca="false">IF(IsPro,IF($D244="","",IF(AND(R244&lt;&gt;"",INDEX(Parties!$E$5:$E$304,R244)&lt;&gt;"",INDEX(Parties!$E$5:$E$304,R244)&lt;&gt;HomeState),0,ROUND(K244*L244/2,2))),"")</f>
        <v/>
      </c>
      <c r="N244" s="61" t="str">
        <f aca="false">IF(IsPro,IF($D244="","",M244),"")</f>
        <v/>
      </c>
      <c r="O244" s="61" t="str">
        <f aca="false">IF(IsPro,IF($D244="","",IF(AND(R244&lt;&gt;"",INDEX(Parties!$E$5:$E$304,R244)&lt;&gt;"",INDEX(Parties!$E$5:$E$304,R244)&lt;&gt;HomeState),ROUND(K244*L244,2),0)),"")</f>
        <v/>
      </c>
      <c r="P244" s="61" t="str">
        <f aca="false">IF(IsPro,IF($D244="","",K244+M244+N244+O244),"")</f>
        <v/>
      </c>
      <c r="Q244" s="60" t="str">
        <f aca="false">IF(IsPro,IF($D244="","",IFERROR(MATCH($D244,Items!$A$5:$A$504,0),"")),"")</f>
        <v/>
      </c>
      <c r="R244" s="60" t="str">
        <f aca="false">IF(IsPro,IF($C244="","",IFERROR(MATCH($C244,Parties!$A$5:$A$304,0),"")),"")</f>
        <v/>
      </c>
      <c r="S244" s="61" t="str">
        <f aca="false">IF(IsPro,IF($D244="","",IF(OR($H244="",$H244="Credit"),0,P244)),"")</f>
        <v/>
      </c>
    </row>
    <row r="245" customFormat="false" ht="15" hidden="false" customHeight="false" outlineLevel="0" collapsed="false">
      <c r="A245" s="55"/>
      <c r="B245" s="56"/>
      <c r="C245" s="56"/>
      <c r="D245" s="56"/>
      <c r="E245" s="57"/>
      <c r="F245" s="58"/>
      <c r="G245" s="59"/>
      <c r="H245" s="56"/>
      <c r="I245" s="60" t="str">
        <f aca="false">IF(IsPro,IF($D245="","",IFERROR(INDEX(Items!$D$5:$D$504,Q245),"")),IF($D245="","","PRO PLAN"))</f>
        <v/>
      </c>
      <c r="J245" s="61" t="str">
        <f aca="false">IF(IsPro,IF($D245="","",IF($F245="",IFERROR(INDEX(Items!$G$5:$G$504,Q245),0),$F245)),"")</f>
        <v/>
      </c>
      <c r="K245" s="61" t="str">
        <f aca="false">IF(IsPro,IF($D245="","",ROUND(N($E245)*J245*(1-N($G245)),2)),"")</f>
        <v/>
      </c>
      <c r="L245" s="62" t="str">
        <f aca="false">IF(IsPro,IF($D245="","",IFERROR(INDEX(Items!$F$5:$F$504,Q245),0)),"")</f>
        <v/>
      </c>
      <c r="M245" s="61" t="str">
        <f aca="false">IF(IsPro,IF($D245="","",IF(AND(R245&lt;&gt;"",INDEX(Parties!$E$5:$E$304,R245)&lt;&gt;"",INDEX(Parties!$E$5:$E$304,R245)&lt;&gt;HomeState),0,ROUND(K245*L245/2,2))),"")</f>
        <v/>
      </c>
      <c r="N245" s="61" t="str">
        <f aca="false">IF(IsPro,IF($D245="","",M245),"")</f>
        <v/>
      </c>
      <c r="O245" s="61" t="str">
        <f aca="false">IF(IsPro,IF($D245="","",IF(AND(R245&lt;&gt;"",INDEX(Parties!$E$5:$E$304,R245)&lt;&gt;"",INDEX(Parties!$E$5:$E$304,R245)&lt;&gt;HomeState),ROUND(K245*L245,2),0)),"")</f>
        <v/>
      </c>
      <c r="P245" s="61" t="str">
        <f aca="false">IF(IsPro,IF($D245="","",K245+M245+N245+O245),"")</f>
        <v/>
      </c>
      <c r="Q245" s="60" t="str">
        <f aca="false">IF(IsPro,IF($D245="","",IFERROR(MATCH($D245,Items!$A$5:$A$504,0),"")),"")</f>
        <v/>
      </c>
      <c r="R245" s="60" t="str">
        <f aca="false">IF(IsPro,IF($C245="","",IFERROR(MATCH($C245,Parties!$A$5:$A$304,0),"")),"")</f>
        <v/>
      </c>
      <c r="S245" s="61" t="str">
        <f aca="false">IF(IsPro,IF($D245="","",IF(OR($H245="",$H245="Credit"),0,P245)),"")</f>
        <v/>
      </c>
    </row>
    <row r="246" customFormat="false" ht="15" hidden="false" customHeight="false" outlineLevel="0" collapsed="false">
      <c r="A246" s="55"/>
      <c r="B246" s="56"/>
      <c r="C246" s="56"/>
      <c r="D246" s="56"/>
      <c r="E246" s="57"/>
      <c r="F246" s="58"/>
      <c r="G246" s="59"/>
      <c r="H246" s="56"/>
      <c r="I246" s="60" t="str">
        <f aca="false">IF(IsPro,IF($D246="","",IFERROR(INDEX(Items!$D$5:$D$504,Q246),"")),IF($D246="","","PRO PLAN"))</f>
        <v/>
      </c>
      <c r="J246" s="61" t="str">
        <f aca="false">IF(IsPro,IF($D246="","",IF($F246="",IFERROR(INDEX(Items!$G$5:$G$504,Q246),0),$F246)),"")</f>
        <v/>
      </c>
      <c r="K246" s="61" t="str">
        <f aca="false">IF(IsPro,IF($D246="","",ROUND(N($E246)*J246*(1-N($G246)),2)),"")</f>
        <v/>
      </c>
      <c r="L246" s="62" t="str">
        <f aca="false">IF(IsPro,IF($D246="","",IFERROR(INDEX(Items!$F$5:$F$504,Q246),0)),"")</f>
        <v/>
      </c>
      <c r="M246" s="61" t="str">
        <f aca="false">IF(IsPro,IF($D246="","",IF(AND(R246&lt;&gt;"",INDEX(Parties!$E$5:$E$304,R246)&lt;&gt;"",INDEX(Parties!$E$5:$E$304,R246)&lt;&gt;HomeState),0,ROUND(K246*L246/2,2))),"")</f>
        <v/>
      </c>
      <c r="N246" s="61" t="str">
        <f aca="false">IF(IsPro,IF($D246="","",M246),"")</f>
        <v/>
      </c>
      <c r="O246" s="61" t="str">
        <f aca="false">IF(IsPro,IF($D246="","",IF(AND(R246&lt;&gt;"",INDEX(Parties!$E$5:$E$304,R246)&lt;&gt;"",INDEX(Parties!$E$5:$E$304,R246)&lt;&gt;HomeState),ROUND(K246*L246,2),0)),"")</f>
        <v/>
      </c>
      <c r="P246" s="61" t="str">
        <f aca="false">IF(IsPro,IF($D246="","",K246+M246+N246+O246),"")</f>
        <v/>
      </c>
      <c r="Q246" s="60" t="str">
        <f aca="false">IF(IsPro,IF($D246="","",IFERROR(MATCH($D246,Items!$A$5:$A$504,0),"")),"")</f>
        <v/>
      </c>
      <c r="R246" s="60" t="str">
        <f aca="false">IF(IsPro,IF($C246="","",IFERROR(MATCH($C246,Parties!$A$5:$A$304,0),"")),"")</f>
        <v/>
      </c>
      <c r="S246" s="61" t="str">
        <f aca="false">IF(IsPro,IF($D246="","",IF(OR($H246="",$H246="Credit"),0,P246)),"")</f>
        <v/>
      </c>
    </row>
    <row r="247" customFormat="false" ht="15" hidden="false" customHeight="false" outlineLevel="0" collapsed="false">
      <c r="A247" s="55"/>
      <c r="B247" s="56"/>
      <c r="C247" s="56"/>
      <c r="D247" s="56"/>
      <c r="E247" s="57"/>
      <c r="F247" s="58"/>
      <c r="G247" s="59"/>
      <c r="H247" s="56"/>
      <c r="I247" s="60" t="str">
        <f aca="false">IF(IsPro,IF($D247="","",IFERROR(INDEX(Items!$D$5:$D$504,Q247),"")),IF($D247="","","PRO PLAN"))</f>
        <v/>
      </c>
      <c r="J247" s="61" t="str">
        <f aca="false">IF(IsPro,IF($D247="","",IF($F247="",IFERROR(INDEX(Items!$G$5:$G$504,Q247),0),$F247)),"")</f>
        <v/>
      </c>
      <c r="K247" s="61" t="str">
        <f aca="false">IF(IsPro,IF($D247="","",ROUND(N($E247)*J247*(1-N($G247)),2)),"")</f>
        <v/>
      </c>
      <c r="L247" s="62" t="str">
        <f aca="false">IF(IsPro,IF($D247="","",IFERROR(INDEX(Items!$F$5:$F$504,Q247),0)),"")</f>
        <v/>
      </c>
      <c r="M247" s="61" t="str">
        <f aca="false">IF(IsPro,IF($D247="","",IF(AND(R247&lt;&gt;"",INDEX(Parties!$E$5:$E$304,R247)&lt;&gt;"",INDEX(Parties!$E$5:$E$304,R247)&lt;&gt;HomeState),0,ROUND(K247*L247/2,2))),"")</f>
        <v/>
      </c>
      <c r="N247" s="61" t="str">
        <f aca="false">IF(IsPro,IF($D247="","",M247),"")</f>
        <v/>
      </c>
      <c r="O247" s="61" t="str">
        <f aca="false">IF(IsPro,IF($D247="","",IF(AND(R247&lt;&gt;"",INDEX(Parties!$E$5:$E$304,R247)&lt;&gt;"",INDEX(Parties!$E$5:$E$304,R247)&lt;&gt;HomeState),ROUND(K247*L247,2),0)),"")</f>
        <v/>
      </c>
      <c r="P247" s="61" t="str">
        <f aca="false">IF(IsPro,IF($D247="","",K247+M247+N247+O247),"")</f>
        <v/>
      </c>
      <c r="Q247" s="60" t="str">
        <f aca="false">IF(IsPro,IF($D247="","",IFERROR(MATCH($D247,Items!$A$5:$A$504,0),"")),"")</f>
        <v/>
      </c>
      <c r="R247" s="60" t="str">
        <f aca="false">IF(IsPro,IF($C247="","",IFERROR(MATCH($C247,Parties!$A$5:$A$304,0),"")),"")</f>
        <v/>
      </c>
      <c r="S247" s="61" t="str">
        <f aca="false">IF(IsPro,IF($D247="","",IF(OR($H247="",$H247="Credit"),0,P247)),"")</f>
        <v/>
      </c>
    </row>
    <row r="248" customFormat="false" ht="15" hidden="false" customHeight="false" outlineLevel="0" collapsed="false">
      <c r="A248" s="55"/>
      <c r="B248" s="56"/>
      <c r="C248" s="56"/>
      <c r="D248" s="56"/>
      <c r="E248" s="57"/>
      <c r="F248" s="58"/>
      <c r="G248" s="59"/>
      <c r="H248" s="56"/>
      <c r="I248" s="60" t="str">
        <f aca="false">IF(IsPro,IF($D248="","",IFERROR(INDEX(Items!$D$5:$D$504,Q248),"")),IF($D248="","","PRO PLAN"))</f>
        <v/>
      </c>
      <c r="J248" s="61" t="str">
        <f aca="false">IF(IsPro,IF($D248="","",IF($F248="",IFERROR(INDEX(Items!$G$5:$G$504,Q248),0),$F248)),"")</f>
        <v/>
      </c>
      <c r="K248" s="61" t="str">
        <f aca="false">IF(IsPro,IF($D248="","",ROUND(N($E248)*J248*(1-N($G248)),2)),"")</f>
        <v/>
      </c>
      <c r="L248" s="62" t="str">
        <f aca="false">IF(IsPro,IF($D248="","",IFERROR(INDEX(Items!$F$5:$F$504,Q248),0)),"")</f>
        <v/>
      </c>
      <c r="M248" s="61" t="str">
        <f aca="false">IF(IsPro,IF($D248="","",IF(AND(R248&lt;&gt;"",INDEX(Parties!$E$5:$E$304,R248)&lt;&gt;"",INDEX(Parties!$E$5:$E$304,R248)&lt;&gt;HomeState),0,ROUND(K248*L248/2,2))),"")</f>
        <v/>
      </c>
      <c r="N248" s="61" t="str">
        <f aca="false">IF(IsPro,IF($D248="","",M248),"")</f>
        <v/>
      </c>
      <c r="O248" s="61" t="str">
        <f aca="false">IF(IsPro,IF($D248="","",IF(AND(R248&lt;&gt;"",INDEX(Parties!$E$5:$E$304,R248)&lt;&gt;"",INDEX(Parties!$E$5:$E$304,R248)&lt;&gt;HomeState),ROUND(K248*L248,2),0)),"")</f>
        <v/>
      </c>
      <c r="P248" s="61" t="str">
        <f aca="false">IF(IsPro,IF($D248="","",K248+M248+N248+O248),"")</f>
        <v/>
      </c>
      <c r="Q248" s="60" t="str">
        <f aca="false">IF(IsPro,IF($D248="","",IFERROR(MATCH($D248,Items!$A$5:$A$504,0),"")),"")</f>
        <v/>
      </c>
      <c r="R248" s="60" t="str">
        <f aca="false">IF(IsPro,IF($C248="","",IFERROR(MATCH($C248,Parties!$A$5:$A$304,0),"")),"")</f>
        <v/>
      </c>
      <c r="S248" s="61" t="str">
        <f aca="false">IF(IsPro,IF($D248="","",IF(OR($H248="",$H248="Credit"),0,P248)),"")</f>
        <v/>
      </c>
    </row>
    <row r="249" customFormat="false" ht="15" hidden="false" customHeight="false" outlineLevel="0" collapsed="false">
      <c r="A249" s="55"/>
      <c r="B249" s="56"/>
      <c r="C249" s="56"/>
      <c r="D249" s="56"/>
      <c r="E249" s="57"/>
      <c r="F249" s="58"/>
      <c r="G249" s="59"/>
      <c r="H249" s="56"/>
      <c r="I249" s="60" t="str">
        <f aca="false">IF(IsPro,IF($D249="","",IFERROR(INDEX(Items!$D$5:$D$504,Q249),"")),IF($D249="","","PRO PLAN"))</f>
        <v/>
      </c>
      <c r="J249" s="61" t="str">
        <f aca="false">IF(IsPro,IF($D249="","",IF($F249="",IFERROR(INDEX(Items!$G$5:$G$504,Q249),0),$F249)),"")</f>
        <v/>
      </c>
      <c r="K249" s="61" t="str">
        <f aca="false">IF(IsPro,IF($D249="","",ROUND(N($E249)*J249*(1-N($G249)),2)),"")</f>
        <v/>
      </c>
      <c r="L249" s="62" t="str">
        <f aca="false">IF(IsPro,IF($D249="","",IFERROR(INDEX(Items!$F$5:$F$504,Q249),0)),"")</f>
        <v/>
      </c>
      <c r="M249" s="61" t="str">
        <f aca="false">IF(IsPro,IF($D249="","",IF(AND(R249&lt;&gt;"",INDEX(Parties!$E$5:$E$304,R249)&lt;&gt;"",INDEX(Parties!$E$5:$E$304,R249)&lt;&gt;HomeState),0,ROUND(K249*L249/2,2))),"")</f>
        <v/>
      </c>
      <c r="N249" s="61" t="str">
        <f aca="false">IF(IsPro,IF($D249="","",M249),"")</f>
        <v/>
      </c>
      <c r="O249" s="61" t="str">
        <f aca="false">IF(IsPro,IF($D249="","",IF(AND(R249&lt;&gt;"",INDEX(Parties!$E$5:$E$304,R249)&lt;&gt;"",INDEX(Parties!$E$5:$E$304,R249)&lt;&gt;HomeState),ROUND(K249*L249,2),0)),"")</f>
        <v/>
      </c>
      <c r="P249" s="61" t="str">
        <f aca="false">IF(IsPro,IF($D249="","",K249+M249+N249+O249),"")</f>
        <v/>
      </c>
      <c r="Q249" s="60" t="str">
        <f aca="false">IF(IsPro,IF($D249="","",IFERROR(MATCH($D249,Items!$A$5:$A$504,0),"")),"")</f>
        <v/>
      </c>
      <c r="R249" s="60" t="str">
        <f aca="false">IF(IsPro,IF($C249="","",IFERROR(MATCH($C249,Parties!$A$5:$A$304,0),"")),"")</f>
        <v/>
      </c>
      <c r="S249" s="61" t="str">
        <f aca="false">IF(IsPro,IF($D249="","",IF(OR($H249="",$H249="Credit"),0,P249)),"")</f>
        <v/>
      </c>
    </row>
    <row r="250" customFormat="false" ht="15" hidden="false" customHeight="false" outlineLevel="0" collapsed="false">
      <c r="A250" s="55"/>
      <c r="B250" s="56"/>
      <c r="C250" s="56"/>
      <c r="D250" s="56"/>
      <c r="E250" s="57"/>
      <c r="F250" s="58"/>
      <c r="G250" s="59"/>
      <c r="H250" s="56"/>
      <c r="I250" s="60" t="str">
        <f aca="false">IF(IsPro,IF($D250="","",IFERROR(INDEX(Items!$D$5:$D$504,Q250),"")),IF($D250="","","PRO PLAN"))</f>
        <v/>
      </c>
      <c r="J250" s="61" t="str">
        <f aca="false">IF(IsPro,IF($D250="","",IF($F250="",IFERROR(INDEX(Items!$G$5:$G$504,Q250),0),$F250)),"")</f>
        <v/>
      </c>
      <c r="K250" s="61" t="str">
        <f aca="false">IF(IsPro,IF($D250="","",ROUND(N($E250)*J250*(1-N($G250)),2)),"")</f>
        <v/>
      </c>
      <c r="L250" s="62" t="str">
        <f aca="false">IF(IsPro,IF($D250="","",IFERROR(INDEX(Items!$F$5:$F$504,Q250),0)),"")</f>
        <v/>
      </c>
      <c r="M250" s="61" t="str">
        <f aca="false">IF(IsPro,IF($D250="","",IF(AND(R250&lt;&gt;"",INDEX(Parties!$E$5:$E$304,R250)&lt;&gt;"",INDEX(Parties!$E$5:$E$304,R250)&lt;&gt;HomeState),0,ROUND(K250*L250/2,2))),"")</f>
        <v/>
      </c>
      <c r="N250" s="61" t="str">
        <f aca="false">IF(IsPro,IF($D250="","",M250),"")</f>
        <v/>
      </c>
      <c r="O250" s="61" t="str">
        <f aca="false">IF(IsPro,IF($D250="","",IF(AND(R250&lt;&gt;"",INDEX(Parties!$E$5:$E$304,R250)&lt;&gt;"",INDEX(Parties!$E$5:$E$304,R250)&lt;&gt;HomeState),ROUND(K250*L250,2),0)),"")</f>
        <v/>
      </c>
      <c r="P250" s="61" t="str">
        <f aca="false">IF(IsPro,IF($D250="","",K250+M250+N250+O250),"")</f>
        <v/>
      </c>
      <c r="Q250" s="60" t="str">
        <f aca="false">IF(IsPro,IF($D250="","",IFERROR(MATCH($D250,Items!$A$5:$A$504,0),"")),"")</f>
        <v/>
      </c>
      <c r="R250" s="60" t="str">
        <f aca="false">IF(IsPro,IF($C250="","",IFERROR(MATCH($C250,Parties!$A$5:$A$304,0),"")),"")</f>
        <v/>
      </c>
      <c r="S250" s="61" t="str">
        <f aca="false">IF(IsPro,IF($D250="","",IF(OR($H250="",$H250="Credit"),0,P250)),"")</f>
        <v/>
      </c>
    </row>
    <row r="251" customFormat="false" ht="15" hidden="false" customHeight="false" outlineLevel="0" collapsed="false">
      <c r="A251" s="55"/>
      <c r="B251" s="56"/>
      <c r="C251" s="56"/>
      <c r="D251" s="56"/>
      <c r="E251" s="57"/>
      <c r="F251" s="58"/>
      <c r="G251" s="59"/>
      <c r="H251" s="56"/>
      <c r="I251" s="60" t="str">
        <f aca="false">IF(IsPro,IF($D251="","",IFERROR(INDEX(Items!$D$5:$D$504,Q251),"")),IF($D251="","","PRO PLAN"))</f>
        <v/>
      </c>
      <c r="J251" s="61" t="str">
        <f aca="false">IF(IsPro,IF($D251="","",IF($F251="",IFERROR(INDEX(Items!$G$5:$G$504,Q251),0),$F251)),"")</f>
        <v/>
      </c>
      <c r="K251" s="61" t="str">
        <f aca="false">IF(IsPro,IF($D251="","",ROUND(N($E251)*J251*(1-N($G251)),2)),"")</f>
        <v/>
      </c>
      <c r="L251" s="62" t="str">
        <f aca="false">IF(IsPro,IF($D251="","",IFERROR(INDEX(Items!$F$5:$F$504,Q251),0)),"")</f>
        <v/>
      </c>
      <c r="M251" s="61" t="str">
        <f aca="false">IF(IsPro,IF($D251="","",IF(AND(R251&lt;&gt;"",INDEX(Parties!$E$5:$E$304,R251)&lt;&gt;"",INDEX(Parties!$E$5:$E$304,R251)&lt;&gt;HomeState),0,ROUND(K251*L251/2,2))),"")</f>
        <v/>
      </c>
      <c r="N251" s="61" t="str">
        <f aca="false">IF(IsPro,IF($D251="","",M251),"")</f>
        <v/>
      </c>
      <c r="O251" s="61" t="str">
        <f aca="false">IF(IsPro,IF($D251="","",IF(AND(R251&lt;&gt;"",INDEX(Parties!$E$5:$E$304,R251)&lt;&gt;"",INDEX(Parties!$E$5:$E$304,R251)&lt;&gt;HomeState),ROUND(K251*L251,2),0)),"")</f>
        <v/>
      </c>
      <c r="P251" s="61" t="str">
        <f aca="false">IF(IsPro,IF($D251="","",K251+M251+N251+O251),"")</f>
        <v/>
      </c>
      <c r="Q251" s="60" t="str">
        <f aca="false">IF(IsPro,IF($D251="","",IFERROR(MATCH($D251,Items!$A$5:$A$504,0),"")),"")</f>
        <v/>
      </c>
      <c r="R251" s="60" t="str">
        <f aca="false">IF(IsPro,IF($C251="","",IFERROR(MATCH($C251,Parties!$A$5:$A$304,0),"")),"")</f>
        <v/>
      </c>
      <c r="S251" s="61" t="str">
        <f aca="false">IF(IsPro,IF($D251="","",IF(OR($H251="",$H251="Credit"),0,P251)),"")</f>
        <v/>
      </c>
    </row>
    <row r="252" customFormat="false" ht="15" hidden="false" customHeight="false" outlineLevel="0" collapsed="false">
      <c r="A252" s="55"/>
      <c r="B252" s="56"/>
      <c r="C252" s="56"/>
      <c r="D252" s="56"/>
      <c r="E252" s="57"/>
      <c r="F252" s="58"/>
      <c r="G252" s="59"/>
      <c r="H252" s="56"/>
      <c r="I252" s="60" t="str">
        <f aca="false">IF(IsPro,IF($D252="","",IFERROR(INDEX(Items!$D$5:$D$504,Q252),"")),IF($D252="","","PRO PLAN"))</f>
        <v/>
      </c>
      <c r="J252" s="61" t="str">
        <f aca="false">IF(IsPro,IF($D252="","",IF($F252="",IFERROR(INDEX(Items!$G$5:$G$504,Q252),0),$F252)),"")</f>
        <v/>
      </c>
      <c r="K252" s="61" t="str">
        <f aca="false">IF(IsPro,IF($D252="","",ROUND(N($E252)*J252*(1-N($G252)),2)),"")</f>
        <v/>
      </c>
      <c r="L252" s="62" t="str">
        <f aca="false">IF(IsPro,IF($D252="","",IFERROR(INDEX(Items!$F$5:$F$504,Q252),0)),"")</f>
        <v/>
      </c>
      <c r="M252" s="61" t="str">
        <f aca="false">IF(IsPro,IF($D252="","",IF(AND(R252&lt;&gt;"",INDEX(Parties!$E$5:$E$304,R252)&lt;&gt;"",INDEX(Parties!$E$5:$E$304,R252)&lt;&gt;HomeState),0,ROUND(K252*L252/2,2))),"")</f>
        <v/>
      </c>
      <c r="N252" s="61" t="str">
        <f aca="false">IF(IsPro,IF($D252="","",M252),"")</f>
        <v/>
      </c>
      <c r="O252" s="61" t="str">
        <f aca="false">IF(IsPro,IF($D252="","",IF(AND(R252&lt;&gt;"",INDEX(Parties!$E$5:$E$304,R252)&lt;&gt;"",INDEX(Parties!$E$5:$E$304,R252)&lt;&gt;HomeState),ROUND(K252*L252,2),0)),"")</f>
        <v/>
      </c>
      <c r="P252" s="61" t="str">
        <f aca="false">IF(IsPro,IF($D252="","",K252+M252+N252+O252),"")</f>
        <v/>
      </c>
      <c r="Q252" s="60" t="str">
        <f aca="false">IF(IsPro,IF($D252="","",IFERROR(MATCH($D252,Items!$A$5:$A$504,0),"")),"")</f>
        <v/>
      </c>
      <c r="R252" s="60" t="str">
        <f aca="false">IF(IsPro,IF($C252="","",IFERROR(MATCH($C252,Parties!$A$5:$A$304,0),"")),"")</f>
        <v/>
      </c>
      <c r="S252" s="61" t="str">
        <f aca="false">IF(IsPro,IF($D252="","",IF(OR($H252="",$H252="Credit"),0,P252)),"")</f>
        <v/>
      </c>
    </row>
    <row r="253" customFormat="false" ht="15" hidden="false" customHeight="false" outlineLevel="0" collapsed="false">
      <c r="A253" s="55"/>
      <c r="B253" s="56"/>
      <c r="C253" s="56"/>
      <c r="D253" s="56"/>
      <c r="E253" s="57"/>
      <c r="F253" s="58"/>
      <c r="G253" s="59"/>
      <c r="H253" s="56"/>
      <c r="I253" s="60" t="str">
        <f aca="false">IF(IsPro,IF($D253="","",IFERROR(INDEX(Items!$D$5:$D$504,Q253),"")),IF($D253="","","PRO PLAN"))</f>
        <v/>
      </c>
      <c r="J253" s="61" t="str">
        <f aca="false">IF(IsPro,IF($D253="","",IF($F253="",IFERROR(INDEX(Items!$G$5:$G$504,Q253),0),$F253)),"")</f>
        <v/>
      </c>
      <c r="K253" s="61" t="str">
        <f aca="false">IF(IsPro,IF($D253="","",ROUND(N($E253)*J253*(1-N($G253)),2)),"")</f>
        <v/>
      </c>
      <c r="L253" s="62" t="str">
        <f aca="false">IF(IsPro,IF($D253="","",IFERROR(INDEX(Items!$F$5:$F$504,Q253),0)),"")</f>
        <v/>
      </c>
      <c r="M253" s="61" t="str">
        <f aca="false">IF(IsPro,IF($D253="","",IF(AND(R253&lt;&gt;"",INDEX(Parties!$E$5:$E$304,R253)&lt;&gt;"",INDEX(Parties!$E$5:$E$304,R253)&lt;&gt;HomeState),0,ROUND(K253*L253/2,2))),"")</f>
        <v/>
      </c>
      <c r="N253" s="61" t="str">
        <f aca="false">IF(IsPro,IF($D253="","",M253),"")</f>
        <v/>
      </c>
      <c r="O253" s="61" t="str">
        <f aca="false">IF(IsPro,IF($D253="","",IF(AND(R253&lt;&gt;"",INDEX(Parties!$E$5:$E$304,R253)&lt;&gt;"",INDEX(Parties!$E$5:$E$304,R253)&lt;&gt;HomeState),ROUND(K253*L253,2),0)),"")</f>
        <v/>
      </c>
      <c r="P253" s="61" t="str">
        <f aca="false">IF(IsPro,IF($D253="","",K253+M253+N253+O253),"")</f>
        <v/>
      </c>
      <c r="Q253" s="60" t="str">
        <f aca="false">IF(IsPro,IF($D253="","",IFERROR(MATCH($D253,Items!$A$5:$A$504,0),"")),"")</f>
        <v/>
      </c>
      <c r="R253" s="60" t="str">
        <f aca="false">IF(IsPro,IF($C253="","",IFERROR(MATCH($C253,Parties!$A$5:$A$304,0),"")),"")</f>
        <v/>
      </c>
      <c r="S253" s="61" t="str">
        <f aca="false">IF(IsPro,IF($D253="","",IF(OR($H253="",$H253="Credit"),0,P253)),"")</f>
        <v/>
      </c>
    </row>
    <row r="254" customFormat="false" ht="15" hidden="false" customHeight="false" outlineLevel="0" collapsed="false">
      <c r="A254" s="55"/>
      <c r="B254" s="56"/>
      <c r="C254" s="56"/>
      <c r="D254" s="56"/>
      <c r="E254" s="57"/>
      <c r="F254" s="58"/>
      <c r="G254" s="59"/>
      <c r="H254" s="56"/>
      <c r="I254" s="60" t="str">
        <f aca="false">IF(IsPro,IF($D254="","",IFERROR(INDEX(Items!$D$5:$D$504,Q254),"")),IF($D254="","","PRO PLAN"))</f>
        <v/>
      </c>
      <c r="J254" s="61" t="str">
        <f aca="false">IF(IsPro,IF($D254="","",IF($F254="",IFERROR(INDEX(Items!$G$5:$G$504,Q254),0),$F254)),"")</f>
        <v/>
      </c>
      <c r="K254" s="61" t="str">
        <f aca="false">IF(IsPro,IF($D254="","",ROUND(N($E254)*J254*(1-N($G254)),2)),"")</f>
        <v/>
      </c>
      <c r="L254" s="62" t="str">
        <f aca="false">IF(IsPro,IF($D254="","",IFERROR(INDEX(Items!$F$5:$F$504,Q254),0)),"")</f>
        <v/>
      </c>
      <c r="M254" s="61" t="str">
        <f aca="false">IF(IsPro,IF($D254="","",IF(AND(R254&lt;&gt;"",INDEX(Parties!$E$5:$E$304,R254)&lt;&gt;"",INDEX(Parties!$E$5:$E$304,R254)&lt;&gt;HomeState),0,ROUND(K254*L254/2,2))),"")</f>
        <v/>
      </c>
      <c r="N254" s="61" t="str">
        <f aca="false">IF(IsPro,IF($D254="","",M254),"")</f>
        <v/>
      </c>
      <c r="O254" s="61" t="str">
        <f aca="false">IF(IsPro,IF($D254="","",IF(AND(R254&lt;&gt;"",INDEX(Parties!$E$5:$E$304,R254)&lt;&gt;"",INDEX(Parties!$E$5:$E$304,R254)&lt;&gt;HomeState),ROUND(K254*L254,2),0)),"")</f>
        <v/>
      </c>
      <c r="P254" s="61" t="str">
        <f aca="false">IF(IsPro,IF($D254="","",K254+M254+N254+O254),"")</f>
        <v/>
      </c>
      <c r="Q254" s="60" t="str">
        <f aca="false">IF(IsPro,IF($D254="","",IFERROR(MATCH($D254,Items!$A$5:$A$504,0),"")),"")</f>
        <v/>
      </c>
      <c r="R254" s="60" t="str">
        <f aca="false">IF(IsPro,IF($C254="","",IFERROR(MATCH($C254,Parties!$A$5:$A$304,0),"")),"")</f>
        <v/>
      </c>
      <c r="S254" s="61" t="str">
        <f aca="false">IF(IsPro,IF($D254="","",IF(OR($H254="",$H254="Credit"),0,P254)),"")</f>
        <v/>
      </c>
    </row>
    <row r="255" customFormat="false" ht="15" hidden="false" customHeight="false" outlineLevel="0" collapsed="false">
      <c r="A255" s="55"/>
      <c r="B255" s="56"/>
      <c r="C255" s="56"/>
      <c r="D255" s="56"/>
      <c r="E255" s="57"/>
      <c r="F255" s="58"/>
      <c r="G255" s="59"/>
      <c r="H255" s="56"/>
      <c r="I255" s="60" t="str">
        <f aca="false">IF(IsPro,IF($D255="","",IFERROR(INDEX(Items!$D$5:$D$504,Q255),"")),IF($D255="","","PRO PLAN"))</f>
        <v/>
      </c>
      <c r="J255" s="61" t="str">
        <f aca="false">IF(IsPro,IF($D255="","",IF($F255="",IFERROR(INDEX(Items!$G$5:$G$504,Q255),0),$F255)),"")</f>
        <v/>
      </c>
      <c r="K255" s="61" t="str">
        <f aca="false">IF(IsPro,IF($D255="","",ROUND(N($E255)*J255*(1-N($G255)),2)),"")</f>
        <v/>
      </c>
      <c r="L255" s="62" t="str">
        <f aca="false">IF(IsPro,IF($D255="","",IFERROR(INDEX(Items!$F$5:$F$504,Q255),0)),"")</f>
        <v/>
      </c>
      <c r="M255" s="61" t="str">
        <f aca="false">IF(IsPro,IF($D255="","",IF(AND(R255&lt;&gt;"",INDEX(Parties!$E$5:$E$304,R255)&lt;&gt;"",INDEX(Parties!$E$5:$E$304,R255)&lt;&gt;HomeState),0,ROUND(K255*L255/2,2))),"")</f>
        <v/>
      </c>
      <c r="N255" s="61" t="str">
        <f aca="false">IF(IsPro,IF($D255="","",M255),"")</f>
        <v/>
      </c>
      <c r="O255" s="61" t="str">
        <f aca="false">IF(IsPro,IF($D255="","",IF(AND(R255&lt;&gt;"",INDEX(Parties!$E$5:$E$304,R255)&lt;&gt;"",INDEX(Parties!$E$5:$E$304,R255)&lt;&gt;HomeState),ROUND(K255*L255,2),0)),"")</f>
        <v/>
      </c>
      <c r="P255" s="61" t="str">
        <f aca="false">IF(IsPro,IF($D255="","",K255+M255+N255+O255),"")</f>
        <v/>
      </c>
      <c r="Q255" s="60" t="str">
        <f aca="false">IF(IsPro,IF($D255="","",IFERROR(MATCH($D255,Items!$A$5:$A$504,0),"")),"")</f>
        <v/>
      </c>
      <c r="R255" s="60" t="str">
        <f aca="false">IF(IsPro,IF($C255="","",IFERROR(MATCH($C255,Parties!$A$5:$A$304,0),"")),"")</f>
        <v/>
      </c>
      <c r="S255" s="61" t="str">
        <f aca="false">IF(IsPro,IF($D255="","",IF(OR($H255="",$H255="Credit"),0,P255)),"")</f>
        <v/>
      </c>
    </row>
    <row r="256" customFormat="false" ht="15" hidden="false" customHeight="false" outlineLevel="0" collapsed="false">
      <c r="A256" s="55"/>
      <c r="B256" s="56"/>
      <c r="C256" s="56"/>
      <c r="D256" s="56"/>
      <c r="E256" s="57"/>
      <c r="F256" s="58"/>
      <c r="G256" s="59"/>
      <c r="H256" s="56"/>
      <c r="I256" s="60" t="str">
        <f aca="false">IF(IsPro,IF($D256="","",IFERROR(INDEX(Items!$D$5:$D$504,Q256),"")),IF($D256="","","PRO PLAN"))</f>
        <v/>
      </c>
      <c r="J256" s="61" t="str">
        <f aca="false">IF(IsPro,IF($D256="","",IF($F256="",IFERROR(INDEX(Items!$G$5:$G$504,Q256),0),$F256)),"")</f>
        <v/>
      </c>
      <c r="K256" s="61" t="str">
        <f aca="false">IF(IsPro,IF($D256="","",ROUND(N($E256)*J256*(1-N($G256)),2)),"")</f>
        <v/>
      </c>
      <c r="L256" s="62" t="str">
        <f aca="false">IF(IsPro,IF($D256="","",IFERROR(INDEX(Items!$F$5:$F$504,Q256),0)),"")</f>
        <v/>
      </c>
      <c r="M256" s="61" t="str">
        <f aca="false">IF(IsPro,IF($D256="","",IF(AND(R256&lt;&gt;"",INDEX(Parties!$E$5:$E$304,R256)&lt;&gt;"",INDEX(Parties!$E$5:$E$304,R256)&lt;&gt;HomeState),0,ROUND(K256*L256/2,2))),"")</f>
        <v/>
      </c>
      <c r="N256" s="61" t="str">
        <f aca="false">IF(IsPro,IF($D256="","",M256),"")</f>
        <v/>
      </c>
      <c r="O256" s="61" t="str">
        <f aca="false">IF(IsPro,IF($D256="","",IF(AND(R256&lt;&gt;"",INDEX(Parties!$E$5:$E$304,R256)&lt;&gt;"",INDEX(Parties!$E$5:$E$304,R256)&lt;&gt;HomeState),ROUND(K256*L256,2),0)),"")</f>
        <v/>
      </c>
      <c r="P256" s="61" t="str">
        <f aca="false">IF(IsPro,IF($D256="","",K256+M256+N256+O256),"")</f>
        <v/>
      </c>
      <c r="Q256" s="60" t="str">
        <f aca="false">IF(IsPro,IF($D256="","",IFERROR(MATCH($D256,Items!$A$5:$A$504,0),"")),"")</f>
        <v/>
      </c>
      <c r="R256" s="60" t="str">
        <f aca="false">IF(IsPro,IF($C256="","",IFERROR(MATCH($C256,Parties!$A$5:$A$304,0),"")),"")</f>
        <v/>
      </c>
      <c r="S256" s="61" t="str">
        <f aca="false">IF(IsPro,IF($D256="","",IF(OR($H256="",$H256="Credit"),0,P256)),"")</f>
        <v/>
      </c>
    </row>
    <row r="257" customFormat="false" ht="15" hidden="false" customHeight="false" outlineLevel="0" collapsed="false">
      <c r="A257" s="55"/>
      <c r="B257" s="56"/>
      <c r="C257" s="56"/>
      <c r="D257" s="56"/>
      <c r="E257" s="57"/>
      <c r="F257" s="58"/>
      <c r="G257" s="59"/>
      <c r="H257" s="56"/>
      <c r="I257" s="60" t="str">
        <f aca="false">IF(IsPro,IF($D257="","",IFERROR(INDEX(Items!$D$5:$D$504,Q257),"")),IF($D257="","","PRO PLAN"))</f>
        <v/>
      </c>
      <c r="J257" s="61" t="str">
        <f aca="false">IF(IsPro,IF($D257="","",IF($F257="",IFERROR(INDEX(Items!$G$5:$G$504,Q257),0),$F257)),"")</f>
        <v/>
      </c>
      <c r="K257" s="61" t="str">
        <f aca="false">IF(IsPro,IF($D257="","",ROUND(N($E257)*J257*(1-N($G257)),2)),"")</f>
        <v/>
      </c>
      <c r="L257" s="62" t="str">
        <f aca="false">IF(IsPro,IF($D257="","",IFERROR(INDEX(Items!$F$5:$F$504,Q257),0)),"")</f>
        <v/>
      </c>
      <c r="M257" s="61" t="str">
        <f aca="false">IF(IsPro,IF($D257="","",IF(AND(R257&lt;&gt;"",INDEX(Parties!$E$5:$E$304,R257)&lt;&gt;"",INDEX(Parties!$E$5:$E$304,R257)&lt;&gt;HomeState),0,ROUND(K257*L257/2,2))),"")</f>
        <v/>
      </c>
      <c r="N257" s="61" t="str">
        <f aca="false">IF(IsPro,IF($D257="","",M257),"")</f>
        <v/>
      </c>
      <c r="O257" s="61" t="str">
        <f aca="false">IF(IsPro,IF($D257="","",IF(AND(R257&lt;&gt;"",INDEX(Parties!$E$5:$E$304,R257)&lt;&gt;"",INDEX(Parties!$E$5:$E$304,R257)&lt;&gt;HomeState),ROUND(K257*L257,2),0)),"")</f>
        <v/>
      </c>
      <c r="P257" s="61" t="str">
        <f aca="false">IF(IsPro,IF($D257="","",K257+M257+N257+O257),"")</f>
        <v/>
      </c>
      <c r="Q257" s="60" t="str">
        <f aca="false">IF(IsPro,IF($D257="","",IFERROR(MATCH($D257,Items!$A$5:$A$504,0),"")),"")</f>
        <v/>
      </c>
      <c r="R257" s="60" t="str">
        <f aca="false">IF(IsPro,IF($C257="","",IFERROR(MATCH($C257,Parties!$A$5:$A$304,0),"")),"")</f>
        <v/>
      </c>
      <c r="S257" s="61" t="str">
        <f aca="false">IF(IsPro,IF($D257="","",IF(OR($H257="",$H257="Credit"),0,P257)),"")</f>
        <v/>
      </c>
    </row>
    <row r="258" customFormat="false" ht="15" hidden="false" customHeight="false" outlineLevel="0" collapsed="false">
      <c r="A258" s="55"/>
      <c r="B258" s="56"/>
      <c r="C258" s="56"/>
      <c r="D258" s="56"/>
      <c r="E258" s="57"/>
      <c r="F258" s="58"/>
      <c r="G258" s="59"/>
      <c r="H258" s="56"/>
      <c r="I258" s="60" t="str">
        <f aca="false">IF(IsPro,IF($D258="","",IFERROR(INDEX(Items!$D$5:$D$504,Q258),"")),IF($D258="","","PRO PLAN"))</f>
        <v/>
      </c>
      <c r="J258" s="61" t="str">
        <f aca="false">IF(IsPro,IF($D258="","",IF($F258="",IFERROR(INDEX(Items!$G$5:$G$504,Q258),0),$F258)),"")</f>
        <v/>
      </c>
      <c r="K258" s="61" t="str">
        <f aca="false">IF(IsPro,IF($D258="","",ROUND(N($E258)*J258*(1-N($G258)),2)),"")</f>
        <v/>
      </c>
      <c r="L258" s="62" t="str">
        <f aca="false">IF(IsPro,IF($D258="","",IFERROR(INDEX(Items!$F$5:$F$504,Q258),0)),"")</f>
        <v/>
      </c>
      <c r="M258" s="61" t="str">
        <f aca="false">IF(IsPro,IF($D258="","",IF(AND(R258&lt;&gt;"",INDEX(Parties!$E$5:$E$304,R258)&lt;&gt;"",INDEX(Parties!$E$5:$E$304,R258)&lt;&gt;HomeState),0,ROUND(K258*L258/2,2))),"")</f>
        <v/>
      </c>
      <c r="N258" s="61" t="str">
        <f aca="false">IF(IsPro,IF($D258="","",M258),"")</f>
        <v/>
      </c>
      <c r="O258" s="61" t="str">
        <f aca="false">IF(IsPro,IF($D258="","",IF(AND(R258&lt;&gt;"",INDEX(Parties!$E$5:$E$304,R258)&lt;&gt;"",INDEX(Parties!$E$5:$E$304,R258)&lt;&gt;HomeState),ROUND(K258*L258,2),0)),"")</f>
        <v/>
      </c>
      <c r="P258" s="61" t="str">
        <f aca="false">IF(IsPro,IF($D258="","",K258+M258+N258+O258),"")</f>
        <v/>
      </c>
      <c r="Q258" s="60" t="str">
        <f aca="false">IF(IsPro,IF($D258="","",IFERROR(MATCH($D258,Items!$A$5:$A$504,0),"")),"")</f>
        <v/>
      </c>
      <c r="R258" s="60" t="str">
        <f aca="false">IF(IsPro,IF($C258="","",IFERROR(MATCH($C258,Parties!$A$5:$A$304,0),"")),"")</f>
        <v/>
      </c>
      <c r="S258" s="61" t="str">
        <f aca="false">IF(IsPro,IF($D258="","",IF(OR($H258="",$H258="Credit"),0,P258)),"")</f>
        <v/>
      </c>
    </row>
    <row r="259" customFormat="false" ht="15" hidden="false" customHeight="false" outlineLevel="0" collapsed="false">
      <c r="A259" s="55"/>
      <c r="B259" s="56"/>
      <c r="C259" s="56"/>
      <c r="D259" s="56"/>
      <c r="E259" s="57"/>
      <c r="F259" s="58"/>
      <c r="G259" s="59"/>
      <c r="H259" s="56"/>
      <c r="I259" s="60" t="str">
        <f aca="false">IF(IsPro,IF($D259="","",IFERROR(INDEX(Items!$D$5:$D$504,Q259),"")),IF($D259="","","PRO PLAN"))</f>
        <v/>
      </c>
      <c r="J259" s="61" t="str">
        <f aca="false">IF(IsPro,IF($D259="","",IF($F259="",IFERROR(INDEX(Items!$G$5:$G$504,Q259),0),$F259)),"")</f>
        <v/>
      </c>
      <c r="K259" s="61" t="str">
        <f aca="false">IF(IsPro,IF($D259="","",ROUND(N($E259)*J259*(1-N($G259)),2)),"")</f>
        <v/>
      </c>
      <c r="L259" s="62" t="str">
        <f aca="false">IF(IsPro,IF($D259="","",IFERROR(INDEX(Items!$F$5:$F$504,Q259),0)),"")</f>
        <v/>
      </c>
      <c r="M259" s="61" t="str">
        <f aca="false">IF(IsPro,IF($D259="","",IF(AND(R259&lt;&gt;"",INDEX(Parties!$E$5:$E$304,R259)&lt;&gt;"",INDEX(Parties!$E$5:$E$304,R259)&lt;&gt;HomeState),0,ROUND(K259*L259/2,2))),"")</f>
        <v/>
      </c>
      <c r="N259" s="61" t="str">
        <f aca="false">IF(IsPro,IF($D259="","",M259),"")</f>
        <v/>
      </c>
      <c r="O259" s="61" t="str">
        <f aca="false">IF(IsPro,IF($D259="","",IF(AND(R259&lt;&gt;"",INDEX(Parties!$E$5:$E$304,R259)&lt;&gt;"",INDEX(Parties!$E$5:$E$304,R259)&lt;&gt;HomeState),ROUND(K259*L259,2),0)),"")</f>
        <v/>
      </c>
      <c r="P259" s="61" t="str">
        <f aca="false">IF(IsPro,IF($D259="","",K259+M259+N259+O259),"")</f>
        <v/>
      </c>
      <c r="Q259" s="60" t="str">
        <f aca="false">IF(IsPro,IF($D259="","",IFERROR(MATCH($D259,Items!$A$5:$A$504,0),"")),"")</f>
        <v/>
      </c>
      <c r="R259" s="60" t="str">
        <f aca="false">IF(IsPro,IF($C259="","",IFERROR(MATCH($C259,Parties!$A$5:$A$304,0),"")),"")</f>
        <v/>
      </c>
      <c r="S259" s="61" t="str">
        <f aca="false">IF(IsPro,IF($D259="","",IF(OR($H259="",$H259="Credit"),0,P259)),"")</f>
        <v/>
      </c>
    </row>
    <row r="260" customFormat="false" ht="15" hidden="false" customHeight="false" outlineLevel="0" collapsed="false">
      <c r="A260" s="55"/>
      <c r="B260" s="56"/>
      <c r="C260" s="56"/>
      <c r="D260" s="56"/>
      <c r="E260" s="57"/>
      <c r="F260" s="58"/>
      <c r="G260" s="59"/>
      <c r="H260" s="56"/>
      <c r="I260" s="60" t="str">
        <f aca="false">IF(IsPro,IF($D260="","",IFERROR(INDEX(Items!$D$5:$D$504,Q260),"")),IF($D260="","","PRO PLAN"))</f>
        <v/>
      </c>
      <c r="J260" s="61" t="str">
        <f aca="false">IF(IsPro,IF($D260="","",IF($F260="",IFERROR(INDEX(Items!$G$5:$G$504,Q260),0),$F260)),"")</f>
        <v/>
      </c>
      <c r="K260" s="61" t="str">
        <f aca="false">IF(IsPro,IF($D260="","",ROUND(N($E260)*J260*(1-N($G260)),2)),"")</f>
        <v/>
      </c>
      <c r="L260" s="62" t="str">
        <f aca="false">IF(IsPro,IF($D260="","",IFERROR(INDEX(Items!$F$5:$F$504,Q260),0)),"")</f>
        <v/>
      </c>
      <c r="M260" s="61" t="str">
        <f aca="false">IF(IsPro,IF($D260="","",IF(AND(R260&lt;&gt;"",INDEX(Parties!$E$5:$E$304,R260)&lt;&gt;"",INDEX(Parties!$E$5:$E$304,R260)&lt;&gt;HomeState),0,ROUND(K260*L260/2,2))),"")</f>
        <v/>
      </c>
      <c r="N260" s="61" t="str">
        <f aca="false">IF(IsPro,IF($D260="","",M260),"")</f>
        <v/>
      </c>
      <c r="O260" s="61" t="str">
        <f aca="false">IF(IsPro,IF($D260="","",IF(AND(R260&lt;&gt;"",INDEX(Parties!$E$5:$E$304,R260)&lt;&gt;"",INDEX(Parties!$E$5:$E$304,R260)&lt;&gt;HomeState),ROUND(K260*L260,2),0)),"")</f>
        <v/>
      </c>
      <c r="P260" s="61" t="str">
        <f aca="false">IF(IsPro,IF($D260="","",K260+M260+N260+O260),"")</f>
        <v/>
      </c>
      <c r="Q260" s="60" t="str">
        <f aca="false">IF(IsPro,IF($D260="","",IFERROR(MATCH($D260,Items!$A$5:$A$504,0),"")),"")</f>
        <v/>
      </c>
      <c r="R260" s="60" t="str">
        <f aca="false">IF(IsPro,IF($C260="","",IFERROR(MATCH($C260,Parties!$A$5:$A$304,0),"")),"")</f>
        <v/>
      </c>
      <c r="S260" s="61" t="str">
        <f aca="false">IF(IsPro,IF($D260="","",IF(OR($H260="",$H260="Credit"),0,P260)),"")</f>
        <v/>
      </c>
    </row>
    <row r="261" customFormat="false" ht="15" hidden="false" customHeight="false" outlineLevel="0" collapsed="false">
      <c r="A261" s="55"/>
      <c r="B261" s="56"/>
      <c r="C261" s="56"/>
      <c r="D261" s="56"/>
      <c r="E261" s="57"/>
      <c r="F261" s="58"/>
      <c r="G261" s="59"/>
      <c r="H261" s="56"/>
      <c r="I261" s="60" t="str">
        <f aca="false">IF(IsPro,IF($D261="","",IFERROR(INDEX(Items!$D$5:$D$504,Q261),"")),IF($D261="","","PRO PLAN"))</f>
        <v/>
      </c>
      <c r="J261" s="61" t="str">
        <f aca="false">IF(IsPro,IF($D261="","",IF($F261="",IFERROR(INDEX(Items!$G$5:$G$504,Q261),0),$F261)),"")</f>
        <v/>
      </c>
      <c r="K261" s="61" t="str">
        <f aca="false">IF(IsPro,IF($D261="","",ROUND(N($E261)*J261*(1-N($G261)),2)),"")</f>
        <v/>
      </c>
      <c r="L261" s="62" t="str">
        <f aca="false">IF(IsPro,IF($D261="","",IFERROR(INDEX(Items!$F$5:$F$504,Q261),0)),"")</f>
        <v/>
      </c>
      <c r="M261" s="61" t="str">
        <f aca="false">IF(IsPro,IF($D261="","",IF(AND(R261&lt;&gt;"",INDEX(Parties!$E$5:$E$304,R261)&lt;&gt;"",INDEX(Parties!$E$5:$E$304,R261)&lt;&gt;HomeState),0,ROUND(K261*L261/2,2))),"")</f>
        <v/>
      </c>
      <c r="N261" s="61" t="str">
        <f aca="false">IF(IsPro,IF($D261="","",M261),"")</f>
        <v/>
      </c>
      <c r="O261" s="61" t="str">
        <f aca="false">IF(IsPro,IF($D261="","",IF(AND(R261&lt;&gt;"",INDEX(Parties!$E$5:$E$304,R261)&lt;&gt;"",INDEX(Parties!$E$5:$E$304,R261)&lt;&gt;HomeState),ROUND(K261*L261,2),0)),"")</f>
        <v/>
      </c>
      <c r="P261" s="61" t="str">
        <f aca="false">IF(IsPro,IF($D261="","",K261+M261+N261+O261),"")</f>
        <v/>
      </c>
      <c r="Q261" s="60" t="str">
        <f aca="false">IF(IsPro,IF($D261="","",IFERROR(MATCH($D261,Items!$A$5:$A$504,0),"")),"")</f>
        <v/>
      </c>
      <c r="R261" s="60" t="str">
        <f aca="false">IF(IsPro,IF($C261="","",IFERROR(MATCH($C261,Parties!$A$5:$A$304,0),"")),"")</f>
        <v/>
      </c>
      <c r="S261" s="61" t="str">
        <f aca="false">IF(IsPro,IF($D261="","",IF(OR($H261="",$H261="Credit"),0,P261)),"")</f>
        <v/>
      </c>
    </row>
    <row r="262" customFormat="false" ht="15" hidden="false" customHeight="false" outlineLevel="0" collapsed="false">
      <c r="A262" s="55"/>
      <c r="B262" s="56"/>
      <c r="C262" s="56"/>
      <c r="D262" s="56"/>
      <c r="E262" s="57"/>
      <c r="F262" s="58"/>
      <c r="G262" s="59"/>
      <c r="H262" s="56"/>
      <c r="I262" s="60" t="str">
        <f aca="false">IF(IsPro,IF($D262="","",IFERROR(INDEX(Items!$D$5:$D$504,Q262),"")),IF($D262="","","PRO PLAN"))</f>
        <v/>
      </c>
      <c r="J262" s="61" t="str">
        <f aca="false">IF(IsPro,IF($D262="","",IF($F262="",IFERROR(INDEX(Items!$G$5:$G$504,Q262),0),$F262)),"")</f>
        <v/>
      </c>
      <c r="K262" s="61" t="str">
        <f aca="false">IF(IsPro,IF($D262="","",ROUND(N($E262)*J262*(1-N($G262)),2)),"")</f>
        <v/>
      </c>
      <c r="L262" s="62" t="str">
        <f aca="false">IF(IsPro,IF($D262="","",IFERROR(INDEX(Items!$F$5:$F$504,Q262),0)),"")</f>
        <v/>
      </c>
      <c r="M262" s="61" t="str">
        <f aca="false">IF(IsPro,IF($D262="","",IF(AND(R262&lt;&gt;"",INDEX(Parties!$E$5:$E$304,R262)&lt;&gt;"",INDEX(Parties!$E$5:$E$304,R262)&lt;&gt;HomeState),0,ROUND(K262*L262/2,2))),"")</f>
        <v/>
      </c>
      <c r="N262" s="61" t="str">
        <f aca="false">IF(IsPro,IF($D262="","",M262),"")</f>
        <v/>
      </c>
      <c r="O262" s="61" t="str">
        <f aca="false">IF(IsPro,IF($D262="","",IF(AND(R262&lt;&gt;"",INDEX(Parties!$E$5:$E$304,R262)&lt;&gt;"",INDEX(Parties!$E$5:$E$304,R262)&lt;&gt;HomeState),ROUND(K262*L262,2),0)),"")</f>
        <v/>
      </c>
      <c r="P262" s="61" t="str">
        <f aca="false">IF(IsPro,IF($D262="","",K262+M262+N262+O262),"")</f>
        <v/>
      </c>
      <c r="Q262" s="60" t="str">
        <f aca="false">IF(IsPro,IF($D262="","",IFERROR(MATCH($D262,Items!$A$5:$A$504,0),"")),"")</f>
        <v/>
      </c>
      <c r="R262" s="60" t="str">
        <f aca="false">IF(IsPro,IF($C262="","",IFERROR(MATCH($C262,Parties!$A$5:$A$304,0),"")),"")</f>
        <v/>
      </c>
      <c r="S262" s="61" t="str">
        <f aca="false">IF(IsPro,IF($D262="","",IF(OR($H262="",$H262="Credit"),0,P262)),"")</f>
        <v/>
      </c>
    </row>
    <row r="263" customFormat="false" ht="15" hidden="false" customHeight="false" outlineLevel="0" collapsed="false">
      <c r="A263" s="55"/>
      <c r="B263" s="56"/>
      <c r="C263" s="56"/>
      <c r="D263" s="56"/>
      <c r="E263" s="57"/>
      <c r="F263" s="58"/>
      <c r="G263" s="59"/>
      <c r="H263" s="56"/>
      <c r="I263" s="60" t="str">
        <f aca="false">IF(IsPro,IF($D263="","",IFERROR(INDEX(Items!$D$5:$D$504,Q263),"")),IF($D263="","","PRO PLAN"))</f>
        <v/>
      </c>
      <c r="J263" s="61" t="str">
        <f aca="false">IF(IsPro,IF($D263="","",IF($F263="",IFERROR(INDEX(Items!$G$5:$G$504,Q263),0),$F263)),"")</f>
        <v/>
      </c>
      <c r="K263" s="61" t="str">
        <f aca="false">IF(IsPro,IF($D263="","",ROUND(N($E263)*J263*(1-N($G263)),2)),"")</f>
        <v/>
      </c>
      <c r="L263" s="62" t="str">
        <f aca="false">IF(IsPro,IF($D263="","",IFERROR(INDEX(Items!$F$5:$F$504,Q263),0)),"")</f>
        <v/>
      </c>
      <c r="M263" s="61" t="str">
        <f aca="false">IF(IsPro,IF($D263="","",IF(AND(R263&lt;&gt;"",INDEX(Parties!$E$5:$E$304,R263)&lt;&gt;"",INDEX(Parties!$E$5:$E$304,R263)&lt;&gt;HomeState),0,ROUND(K263*L263/2,2))),"")</f>
        <v/>
      </c>
      <c r="N263" s="61" t="str">
        <f aca="false">IF(IsPro,IF($D263="","",M263),"")</f>
        <v/>
      </c>
      <c r="O263" s="61" t="str">
        <f aca="false">IF(IsPro,IF($D263="","",IF(AND(R263&lt;&gt;"",INDEX(Parties!$E$5:$E$304,R263)&lt;&gt;"",INDEX(Parties!$E$5:$E$304,R263)&lt;&gt;HomeState),ROUND(K263*L263,2),0)),"")</f>
        <v/>
      </c>
      <c r="P263" s="61" t="str">
        <f aca="false">IF(IsPro,IF($D263="","",K263+M263+N263+O263),"")</f>
        <v/>
      </c>
      <c r="Q263" s="60" t="str">
        <f aca="false">IF(IsPro,IF($D263="","",IFERROR(MATCH($D263,Items!$A$5:$A$504,0),"")),"")</f>
        <v/>
      </c>
      <c r="R263" s="60" t="str">
        <f aca="false">IF(IsPro,IF($C263="","",IFERROR(MATCH($C263,Parties!$A$5:$A$304,0),"")),"")</f>
        <v/>
      </c>
      <c r="S263" s="61" t="str">
        <f aca="false">IF(IsPro,IF($D263="","",IF(OR($H263="",$H263="Credit"),0,P263)),"")</f>
        <v/>
      </c>
    </row>
    <row r="264" customFormat="false" ht="15" hidden="false" customHeight="false" outlineLevel="0" collapsed="false">
      <c r="A264" s="55"/>
      <c r="B264" s="56"/>
      <c r="C264" s="56"/>
      <c r="D264" s="56"/>
      <c r="E264" s="57"/>
      <c r="F264" s="58"/>
      <c r="G264" s="59"/>
      <c r="H264" s="56"/>
      <c r="I264" s="60" t="str">
        <f aca="false">IF(IsPro,IF($D264="","",IFERROR(INDEX(Items!$D$5:$D$504,Q264),"")),IF($D264="","","PRO PLAN"))</f>
        <v/>
      </c>
      <c r="J264" s="61" t="str">
        <f aca="false">IF(IsPro,IF($D264="","",IF($F264="",IFERROR(INDEX(Items!$G$5:$G$504,Q264),0),$F264)),"")</f>
        <v/>
      </c>
      <c r="K264" s="61" t="str">
        <f aca="false">IF(IsPro,IF($D264="","",ROUND(N($E264)*J264*(1-N($G264)),2)),"")</f>
        <v/>
      </c>
      <c r="L264" s="62" t="str">
        <f aca="false">IF(IsPro,IF($D264="","",IFERROR(INDEX(Items!$F$5:$F$504,Q264),0)),"")</f>
        <v/>
      </c>
      <c r="M264" s="61" t="str">
        <f aca="false">IF(IsPro,IF($D264="","",IF(AND(R264&lt;&gt;"",INDEX(Parties!$E$5:$E$304,R264)&lt;&gt;"",INDEX(Parties!$E$5:$E$304,R264)&lt;&gt;HomeState),0,ROUND(K264*L264/2,2))),"")</f>
        <v/>
      </c>
      <c r="N264" s="61" t="str">
        <f aca="false">IF(IsPro,IF($D264="","",M264),"")</f>
        <v/>
      </c>
      <c r="O264" s="61" t="str">
        <f aca="false">IF(IsPro,IF($D264="","",IF(AND(R264&lt;&gt;"",INDEX(Parties!$E$5:$E$304,R264)&lt;&gt;"",INDEX(Parties!$E$5:$E$304,R264)&lt;&gt;HomeState),ROUND(K264*L264,2),0)),"")</f>
        <v/>
      </c>
      <c r="P264" s="61" t="str">
        <f aca="false">IF(IsPro,IF($D264="","",K264+M264+N264+O264),"")</f>
        <v/>
      </c>
      <c r="Q264" s="60" t="str">
        <f aca="false">IF(IsPro,IF($D264="","",IFERROR(MATCH($D264,Items!$A$5:$A$504,0),"")),"")</f>
        <v/>
      </c>
      <c r="R264" s="60" t="str">
        <f aca="false">IF(IsPro,IF($C264="","",IFERROR(MATCH($C264,Parties!$A$5:$A$304,0),"")),"")</f>
        <v/>
      </c>
      <c r="S264" s="61" t="str">
        <f aca="false">IF(IsPro,IF($D264="","",IF(OR($H264="",$H264="Credit"),0,P264)),"")</f>
        <v/>
      </c>
    </row>
    <row r="265" customFormat="false" ht="15" hidden="false" customHeight="false" outlineLevel="0" collapsed="false">
      <c r="A265" s="55"/>
      <c r="B265" s="56"/>
      <c r="C265" s="56"/>
      <c r="D265" s="56"/>
      <c r="E265" s="57"/>
      <c r="F265" s="58"/>
      <c r="G265" s="59"/>
      <c r="H265" s="56"/>
      <c r="I265" s="60" t="str">
        <f aca="false">IF(IsPro,IF($D265="","",IFERROR(INDEX(Items!$D$5:$D$504,Q265),"")),IF($D265="","","PRO PLAN"))</f>
        <v/>
      </c>
      <c r="J265" s="61" t="str">
        <f aca="false">IF(IsPro,IF($D265="","",IF($F265="",IFERROR(INDEX(Items!$G$5:$G$504,Q265),0),$F265)),"")</f>
        <v/>
      </c>
      <c r="K265" s="61" t="str">
        <f aca="false">IF(IsPro,IF($D265="","",ROUND(N($E265)*J265*(1-N($G265)),2)),"")</f>
        <v/>
      </c>
      <c r="L265" s="62" t="str">
        <f aca="false">IF(IsPro,IF($D265="","",IFERROR(INDEX(Items!$F$5:$F$504,Q265),0)),"")</f>
        <v/>
      </c>
      <c r="M265" s="61" t="str">
        <f aca="false">IF(IsPro,IF($D265="","",IF(AND(R265&lt;&gt;"",INDEX(Parties!$E$5:$E$304,R265)&lt;&gt;"",INDEX(Parties!$E$5:$E$304,R265)&lt;&gt;HomeState),0,ROUND(K265*L265/2,2))),"")</f>
        <v/>
      </c>
      <c r="N265" s="61" t="str">
        <f aca="false">IF(IsPro,IF($D265="","",M265),"")</f>
        <v/>
      </c>
      <c r="O265" s="61" t="str">
        <f aca="false">IF(IsPro,IF($D265="","",IF(AND(R265&lt;&gt;"",INDEX(Parties!$E$5:$E$304,R265)&lt;&gt;"",INDEX(Parties!$E$5:$E$304,R265)&lt;&gt;HomeState),ROUND(K265*L265,2),0)),"")</f>
        <v/>
      </c>
      <c r="P265" s="61" t="str">
        <f aca="false">IF(IsPro,IF($D265="","",K265+M265+N265+O265),"")</f>
        <v/>
      </c>
      <c r="Q265" s="60" t="str">
        <f aca="false">IF(IsPro,IF($D265="","",IFERROR(MATCH($D265,Items!$A$5:$A$504,0),"")),"")</f>
        <v/>
      </c>
      <c r="R265" s="60" t="str">
        <f aca="false">IF(IsPro,IF($C265="","",IFERROR(MATCH($C265,Parties!$A$5:$A$304,0),"")),"")</f>
        <v/>
      </c>
      <c r="S265" s="61" t="str">
        <f aca="false">IF(IsPro,IF($D265="","",IF(OR($H265="",$H265="Credit"),0,P265)),"")</f>
        <v/>
      </c>
    </row>
    <row r="266" customFormat="false" ht="15" hidden="false" customHeight="false" outlineLevel="0" collapsed="false">
      <c r="A266" s="55"/>
      <c r="B266" s="56"/>
      <c r="C266" s="56"/>
      <c r="D266" s="56"/>
      <c r="E266" s="57"/>
      <c r="F266" s="58"/>
      <c r="G266" s="59"/>
      <c r="H266" s="56"/>
      <c r="I266" s="60" t="str">
        <f aca="false">IF(IsPro,IF($D266="","",IFERROR(INDEX(Items!$D$5:$D$504,Q266),"")),IF($D266="","","PRO PLAN"))</f>
        <v/>
      </c>
      <c r="J266" s="61" t="str">
        <f aca="false">IF(IsPro,IF($D266="","",IF($F266="",IFERROR(INDEX(Items!$G$5:$G$504,Q266),0),$F266)),"")</f>
        <v/>
      </c>
      <c r="K266" s="61" t="str">
        <f aca="false">IF(IsPro,IF($D266="","",ROUND(N($E266)*J266*(1-N($G266)),2)),"")</f>
        <v/>
      </c>
      <c r="L266" s="62" t="str">
        <f aca="false">IF(IsPro,IF($D266="","",IFERROR(INDEX(Items!$F$5:$F$504,Q266),0)),"")</f>
        <v/>
      </c>
      <c r="M266" s="61" t="str">
        <f aca="false">IF(IsPro,IF($D266="","",IF(AND(R266&lt;&gt;"",INDEX(Parties!$E$5:$E$304,R266)&lt;&gt;"",INDEX(Parties!$E$5:$E$304,R266)&lt;&gt;HomeState),0,ROUND(K266*L266/2,2))),"")</f>
        <v/>
      </c>
      <c r="N266" s="61" t="str">
        <f aca="false">IF(IsPro,IF($D266="","",M266),"")</f>
        <v/>
      </c>
      <c r="O266" s="61" t="str">
        <f aca="false">IF(IsPro,IF($D266="","",IF(AND(R266&lt;&gt;"",INDEX(Parties!$E$5:$E$304,R266)&lt;&gt;"",INDEX(Parties!$E$5:$E$304,R266)&lt;&gt;HomeState),ROUND(K266*L266,2),0)),"")</f>
        <v/>
      </c>
      <c r="P266" s="61" t="str">
        <f aca="false">IF(IsPro,IF($D266="","",K266+M266+N266+O266),"")</f>
        <v/>
      </c>
      <c r="Q266" s="60" t="str">
        <f aca="false">IF(IsPro,IF($D266="","",IFERROR(MATCH($D266,Items!$A$5:$A$504,0),"")),"")</f>
        <v/>
      </c>
      <c r="R266" s="60" t="str">
        <f aca="false">IF(IsPro,IF($C266="","",IFERROR(MATCH($C266,Parties!$A$5:$A$304,0),"")),"")</f>
        <v/>
      </c>
      <c r="S266" s="61" t="str">
        <f aca="false">IF(IsPro,IF($D266="","",IF(OR($H266="",$H266="Credit"),0,P266)),"")</f>
        <v/>
      </c>
    </row>
    <row r="267" customFormat="false" ht="15" hidden="false" customHeight="false" outlineLevel="0" collapsed="false">
      <c r="A267" s="55"/>
      <c r="B267" s="56"/>
      <c r="C267" s="56"/>
      <c r="D267" s="56"/>
      <c r="E267" s="57"/>
      <c r="F267" s="58"/>
      <c r="G267" s="59"/>
      <c r="H267" s="56"/>
      <c r="I267" s="60" t="str">
        <f aca="false">IF(IsPro,IF($D267="","",IFERROR(INDEX(Items!$D$5:$D$504,Q267),"")),IF($D267="","","PRO PLAN"))</f>
        <v/>
      </c>
      <c r="J267" s="61" t="str">
        <f aca="false">IF(IsPro,IF($D267="","",IF($F267="",IFERROR(INDEX(Items!$G$5:$G$504,Q267),0),$F267)),"")</f>
        <v/>
      </c>
      <c r="K267" s="61" t="str">
        <f aca="false">IF(IsPro,IF($D267="","",ROUND(N($E267)*J267*(1-N($G267)),2)),"")</f>
        <v/>
      </c>
      <c r="L267" s="62" t="str">
        <f aca="false">IF(IsPro,IF($D267="","",IFERROR(INDEX(Items!$F$5:$F$504,Q267),0)),"")</f>
        <v/>
      </c>
      <c r="M267" s="61" t="str">
        <f aca="false">IF(IsPro,IF($D267="","",IF(AND(R267&lt;&gt;"",INDEX(Parties!$E$5:$E$304,R267)&lt;&gt;"",INDEX(Parties!$E$5:$E$304,R267)&lt;&gt;HomeState),0,ROUND(K267*L267/2,2))),"")</f>
        <v/>
      </c>
      <c r="N267" s="61" t="str">
        <f aca="false">IF(IsPro,IF($D267="","",M267),"")</f>
        <v/>
      </c>
      <c r="O267" s="61" t="str">
        <f aca="false">IF(IsPro,IF($D267="","",IF(AND(R267&lt;&gt;"",INDEX(Parties!$E$5:$E$304,R267)&lt;&gt;"",INDEX(Parties!$E$5:$E$304,R267)&lt;&gt;HomeState),ROUND(K267*L267,2),0)),"")</f>
        <v/>
      </c>
      <c r="P267" s="61" t="str">
        <f aca="false">IF(IsPro,IF($D267="","",K267+M267+N267+O267),"")</f>
        <v/>
      </c>
      <c r="Q267" s="60" t="str">
        <f aca="false">IF(IsPro,IF($D267="","",IFERROR(MATCH($D267,Items!$A$5:$A$504,0),"")),"")</f>
        <v/>
      </c>
      <c r="R267" s="60" t="str">
        <f aca="false">IF(IsPro,IF($C267="","",IFERROR(MATCH($C267,Parties!$A$5:$A$304,0),"")),"")</f>
        <v/>
      </c>
      <c r="S267" s="61" t="str">
        <f aca="false">IF(IsPro,IF($D267="","",IF(OR($H267="",$H267="Credit"),0,P267)),"")</f>
        <v/>
      </c>
    </row>
    <row r="268" customFormat="false" ht="15" hidden="false" customHeight="false" outlineLevel="0" collapsed="false">
      <c r="A268" s="55"/>
      <c r="B268" s="56"/>
      <c r="C268" s="56"/>
      <c r="D268" s="56"/>
      <c r="E268" s="57"/>
      <c r="F268" s="58"/>
      <c r="G268" s="59"/>
      <c r="H268" s="56"/>
      <c r="I268" s="60" t="str">
        <f aca="false">IF(IsPro,IF($D268="","",IFERROR(INDEX(Items!$D$5:$D$504,Q268),"")),IF($D268="","","PRO PLAN"))</f>
        <v/>
      </c>
      <c r="J268" s="61" t="str">
        <f aca="false">IF(IsPro,IF($D268="","",IF($F268="",IFERROR(INDEX(Items!$G$5:$G$504,Q268),0),$F268)),"")</f>
        <v/>
      </c>
      <c r="K268" s="61" t="str">
        <f aca="false">IF(IsPro,IF($D268="","",ROUND(N($E268)*J268*(1-N($G268)),2)),"")</f>
        <v/>
      </c>
      <c r="L268" s="62" t="str">
        <f aca="false">IF(IsPro,IF($D268="","",IFERROR(INDEX(Items!$F$5:$F$504,Q268),0)),"")</f>
        <v/>
      </c>
      <c r="M268" s="61" t="str">
        <f aca="false">IF(IsPro,IF($D268="","",IF(AND(R268&lt;&gt;"",INDEX(Parties!$E$5:$E$304,R268)&lt;&gt;"",INDEX(Parties!$E$5:$E$304,R268)&lt;&gt;HomeState),0,ROUND(K268*L268/2,2))),"")</f>
        <v/>
      </c>
      <c r="N268" s="61" t="str">
        <f aca="false">IF(IsPro,IF($D268="","",M268),"")</f>
        <v/>
      </c>
      <c r="O268" s="61" t="str">
        <f aca="false">IF(IsPro,IF($D268="","",IF(AND(R268&lt;&gt;"",INDEX(Parties!$E$5:$E$304,R268)&lt;&gt;"",INDEX(Parties!$E$5:$E$304,R268)&lt;&gt;HomeState),ROUND(K268*L268,2),0)),"")</f>
        <v/>
      </c>
      <c r="P268" s="61" t="str">
        <f aca="false">IF(IsPro,IF($D268="","",K268+M268+N268+O268),"")</f>
        <v/>
      </c>
      <c r="Q268" s="60" t="str">
        <f aca="false">IF(IsPro,IF($D268="","",IFERROR(MATCH($D268,Items!$A$5:$A$504,0),"")),"")</f>
        <v/>
      </c>
      <c r="R268" s="60" t="str">
        <f aca="false">IF(IsPro,IF($C268="","",IFERROR(MATCH($C268,Parties!$A$5:$A$304,0),"")),"")</f>
        <v/>
      </c>
      <c r="S268" s="61" t="str">
        <f aca="false">IF(IsPro,IF($D268="","",IF(OR($H268="",$H268="Credit"),0,P268)),"")</f>
        <v/>
      </c>
    </row>
    <row r="269" customFormat="false" ht="15" hidden="false" customHeight="false" outlineLevel="0" collapsed="false">
      <c r="A269" s="55"/>
      <c r="B269" s="56"/>
      <c r="C269" s="56"/>
      <c r="D269" s="56"/>
      <c r="E269" s="57"/>
      <c r="F269" s="58"/>
      <c r="G269" s="59"/>
      <c r="H269" s="56"/>
      <c r="I269" s="60" t="str">
        <f aca="false">IF(IsPro,IF($D269="","",IFERROR(INDEX(Items!$D$5:$D$504,Q269),"")),IF($D269="","","PRO PLAN"))</f>
        <v/>
      </c>
      <c r="J269" s="61" t="str">
        <f aca="false">IF(IsPro,IF($D269="","",IF($F269="",IFERROR(INDEX(Items!$G$5:$G$504,Q269),0),$F269)),"")</f>
        <v/>
      </c>
      <c r="K269" s="61" t="str">
        <f aca="false">IF(IsPro,IF($D269="","",ROUND(N($E269)*J269*(1-N($G269)),2)),"")</f>
        <v/>
      </c>
      <c r="L269" s="62" t="str">
        <f aca="false">IF(IsPro,IF($D269="","",IFERROR(INDEX(Items!$F$5:$F$504,Q269),0)),"")</f>
        <v/>
      </c>
      <c r="M269" s="61" t="str">
        <f aca="false">IF(IsPro,IF($D269="","",IF(AND(R269&lt;&gt;"",INDEX(Parties!$E$5:$E$304,R269)&lt;&gt;"",INDEX(Parties!$E$5:$E$304,R269)&lt;&gt;HomeState),0,ROUND(K269*L269/2,2))),"")</f>
        <v/>
      </c>
      <c r="N269" s="61" t="str">
        <f aca="false">IF(IsPro,IF($D269="","",M269),"")</f>
        <v/>
      </c>
      <c r="O269" s="61" t="str">
        <f aca="false">IF(IsPro,IF($D269="","",IF(AND(R269&lt;&gt;"",INDEX(Parties!$E$5:$E$304,R269)&lt;&gt;"",INDEX(Parties!$E$5:$E$304,R269)&lt;&gt;HomeState),ROUND(K269*L269,2),0)),"")</f>
        <v/>
      </c>
      <c r="P269" s="61" t="str">
        <f aca="false">IF(IsPro,IF($D269="","",K269+M269+N269+O269),"")</f>
        <v/>
      </c>
      <c r="Q269" s="60" t="str">
        <f aca="false">IF(IsPro,IF($D269="","",IFERROR(MATCH($D269,Items!$A$5:$A$504,0),"")),"")</f>
        <v/>
      </c>
      <c r="R269" s="60" t="str">
        <f aca="false">IF(IsPro,IF($C269="","",IFERROR(MATCH($C269,Parties!$A$5:$A$304,0),"")),"")</f>
        <v/>
      </c>
      <c r="S269" s="61" t="str">
        <f aca="false">IF(IsPro,IF($D269="","",IF(OR($H269="",$H269="Credit"),0,P269)),"")</f>
        <v/>
      </c>
    </row>
    <row r="270" customFormat="false" ht="15" hidden="false" customHeight="false" outlineLevel="0" collapsed="false">
      <c r="A270" s="55"/>
      <c r="B270" s="56"/>
      <c r="C270" s="56"/>
      <c r="D270" s="56"/>
      <c r="E270" s="57"/>
      <c r="F270" s="58"/>
      <c r="G270" s="59"/>
      <c r="H270" s="56"/>
      <c r="I270" s="60" t="str">
        <f aca="false">IF(IsPro,IF($D270="","",IFERROR(INDEX(Items!$D$5:$D$504,Q270),"")),IF($D270="","","PRO PLAN"))</f>
        <v/>
      </c>
      <c r="J270" s="61" t="str">
        <f aca="false">IF(IsPro,IF($D270="","",IF($F270="",IFERROR(INDEX(Items!$G$5:$G$504,Q270),0),$F270)),"")</f>
        <v/>
      </c>
      <c r="K270" s="61" t="str">
        <f aca="false">IF(IsPro,IF($D270="","",ROUND(N($E270)*J270*(1-N($G270)),2)),"")</f>
        <v/>
      </c>
      <c r="L270" s="62" t="str">
        <f aca="false">IF(IsPro,IF($D270="","",IFERROR(INDEX(Items!$F$5:$F$504,Q270),0)),"")</f>
        <v/>
      </c>
      <c r="M270" s="61" t="str">
        <f aca="false">IF(IsPro,IF($D270="","",IF(AND(R270&lt;&gt;"",INDEX(Parties!$E$5:$E$304,R270)&lt;&gt;"",INDEX(Parties!$E$5:$E$304,R270)&lt;&gt;HomeState),0,ROUND(K270*L270/2,2))),"")</f>
        <v/>
      </c>
      <c r="N270" s="61" t="str">
        <f aca="false">IF(IsPro,IF($D270="","",M270),"")</f>
        <v/>
      </c>
      <c r="O270" s="61" t="str">
        <f aca="false">IF(IsPro,IF($D270="","",IF(AND(R270&lt;&gt;"",INDEX(Parties!$E$5:$E$304,R270)&lt;&gt;"",INDEX(Parties!$E$5:$E$304,R270)&lt;&gt;HomeState),ROUND(K270*L270,2),0)),"")</f>
        <v/>
      </c>
      <c r="P270" s="61" t="str">
        <f aca="false">IF(IsPro,IF($D270="","",K270+M270+N270+O270),"")</f>
        <v/>
      </c>
      <c r="Q270" s="60" t="str">
        <f aca="false">IF(IsPro,IF($D270="","",IFERROR(MATCH($D270,Items!$A$5:$A$504,0),"")),"")</f>
        <v/>
      </c>
      <c r="R270" s="60" t="str">
        <f aca="false">IF(IsPro,IF($C270="","",IFERROR(MATCH($C270,Parties!$A$5:$A$304,0),"")),"")</f>
        <v/>
      </c>
      <c r="S270" s="61" t="str">
        <f aca="false">IF(IsPro,IF($D270="","",IF(OR($H270="",$H270="Credit"),0,P270)),"")</f>
        <v/>
      </c>
    </row>
    <row r="271" customFormat="false" ht="15" hidden="false" customHeight="false" outlineLevel="0" collapsed="false">
      <c r="A271" s="55"/>
      <c r="B271" s="56"/>
      <c r="C271" s="56"/>
      <c r="D271" s="56"/>
      <c r="E271" s="57"/>
      <c r="F271" s="58"/>
      <c r="G271" s="59"/>
      <c r="H271" s="56"/>
      <c r="I271" s="60" t="str">
        <f aca="false">IF(IsPro,IF($D271="","",IFERROR(INDEX(Items!$D$5:$D$504,Q271),"")),IF($D271="","","PRO PLAN"))</f>
        <v/>
      </c>
      <c r="J271" s="61" t="str">
        <f aca="false">IF(IsPro,IF($D271="","",IF($F271="",IFERROR(INDEX(Items!$G$5:$G$504,Q271),0),$F271)),"")</f>
        <v/>
      </c>
      <c r="K271" s="61" t="str">
        <f aca="false">IF(IsPro,IF($D271="","",ROUND(N($E271)*J271*(1-N($G271)),2)),"")</f>
        <v/>
      </c>
      <c r="L271" s="62" t="str">
        <f aca="false">IF(IsPro,IF($D271="","",IFERROR(INDEX(Items!$F$5:$F$504,Q271),0)),"")</f>
        <v/>
      </c>
      <c r="M271" s="61" t="str">
        <f aca="false">IF(IsPro,IF($D271="","",IF(AND(R271&lt;&gt;"",INDEX(Parties!$E$5:$E$304,R271)&lt;&gt;"",INDEX(Parties!$E$5:$E$304,R271)&lt;&gt;HomeState),0,ROUND(K271*L271/2,2))),"")</f>
        <v/>
      </c>
      <c r="N271" s="61" t="str">
        <f aca="false">IF(IsPro,IF($D271="","",M271),"")</f>
        <v/>
      </c>
      <c r="O271" s="61" t="str">
        <f aca="false">IF(IsPro,IF($D271="","",IF(AND(R271&lt;&gt;"",INDEX(Parties!$E$5:$E$304,R271)&lt;&gt;"",INDEX(Parties!$E$5:$E$304,R271)&lt;&gt;HomeState),ROUND(K271*L271,2),0)),"")</f>
        <v/>
      </c>
      <c r="P271" s="61" t="str">
        <f aca="false">IF(IsPro,IF($D271="","",K271+M271+N271+O271),"")</f>
        <v/>
      </c>
      <c r="Q271" s="60" t="str">
        <f aca="false">IF(IsPro,IF($D271="","",IFERROR(MATCH($D271,Items!$A$5:$A$504,0),"")),"")</f>
        <v/>
      </c>
      <c r="R271" s="60" t="str">
        <f aca="false">IF(IsPro,IF($C271="","",IFERROR(MATCH($C271,Parties!$A$5:$A$304,0),"")),"")</f>
        <v/>
      </c>
      <c r="S271" s="61" t="str">
        <f aca="false">IF(IsPro,IF($D271="","",IF(OR($H271="",$H271="Credit"),0,P271)),"")</f>
        <v/>
      </c>
    </row>
    <row r="272" customFormat="false" ht="15" hidden="false" customHeight="false" outlineLevel="0" collapsed="false">
      <c r="A272" s="55"/>
      <c r="B272" s="56"/>
      <c r="C272" s="56"/>
      <c r="D272" s="56"/>
      <c r="E272" s="57"/>
      <c r="F272" s="58"/>
      <c r="G272" s="59"/>
      <c r="H272" s="56"/>
      <c r="I272" s="60" t="str">
        <f aca="false">IF(IsPro,IF($D272="","",IFERROR(INDEX(Items!$D$5:$D$504,Q272),"")),IF($D272="","","PRO PLAN"))</f>
        <v/>
      </c>
      <c r="J272" s="61" t="str">
        <f aca="false">IF(IsPro,IF($D272="","",IF($F272="",IFERROR(INDEX(Items!$G$5:$G$504,Q272),0),$F272)),"")</f>
        <v/>
      </c>
      <c r="K272" s="61" t="str">
        <f aca="false">IF(IsPro,IF($D272="","",ROUND(N($E272)*J272*(1-N($G272)),2)),"")</f>
        <v/>
      </c>
      <c r="L272" s="62" t="str">
        <f aca="false">IF(IsPro,IF($D272="","",IFERROR(INDEX(Items!$F$5:$F$504,Q272),0)),"")</f>
        <v/>
      </c>
      <c r="M272" s="61" t="str">
        <f aca="false">IF(IsPro,IF($D272="","",IF(AND(R272&lt;&gt;"",INDEX(Parties!$E$5:$E$304,R272)&lt;&gt;"",INDEX(Parties!$E$5:$E$304,R272)&lt;&gt;HomeState),0,ROUND(K272*L272/2,2))),"")</f>
        <v/>
      </c>
      <c r="N272" s="61" t="str">
        <f aca="false">IF(IsPro,IF($D272="","",M272),"")</f>
        <v/>
      </c>
      <c r="O272" s="61" t="str">
        <f aca="false">IF(IsPro,IF($D272="","",IF(AND(R272&lt;&gt;"",INDEX(Parties!$E$5:$E$304,R272)&lt;&gt;"",INDEX(Parties!$E$5:$E$304,R272)&lt;&gt;HomeState),ROUND(K272*L272,2),0)),"")</f>
        <v/>
      </c>
      <c r="P272" s="61" t="str">
        <f aca="false">IF(IsPro,IF($D272="","",K272+M272+N272+O272),"")</f>
        <v/>
      </c>
      <c r="Q272" s="60" t="str">
        <f aca="false">IF(IsPro,IF($D272="","",IFERROR(MATCH($D272,Items!$A$5:$A$504,0),"")),"")</f>
        <v/>
      </c>
      <c r="R272" s="60" t="str">
        <f aca="false">IF(IsPro,IF($C272="","",IFERROR(MATCH($C272,Parties!$A$5:$A$304,0),"")),"")</f>
        <v/>
      </c>
      <c r="S272" s="61" t="str">
        <f aca="false">IF(IsPro,IF($D272="","",IF(OR($H272="",$H272="Credit"),0,P272)),"")</f>
        <v/>
      </c>
    </row>
    <row r="273" customFormat="false" ht="15" hidden="false" customHeight="false" outlineLevel="0" collapsed="false">
      <c r="A273" s="55"/>
      <c r="B273" s="56"/>
      <c r="C273" s="56"/>
      <c r="D273" s="56"/>
      <c r="E273" s="57"/>
      <c r="F273" s="58"/>
      <c r="G273" s="59"/>
      <c r="H273" s="56"/>
      <c r="I273" s="60" t="str">
        <f aca="false">IF(IsPro,IF($D273="","",IFERROR(INDEX(Items!$D$5:$D$504,Q273),"")),IF($D273="","","PRO PLAN"))</f>
        <v/>
      </c>
      <c r="J273" s="61" t="str">
        <f aca="false">IF(IsPro,IF($D273="","",IF($F273="",IFERROR(INDEX(Items!$G$5:$G$504,Q273),0),$F273)),"")</f>
        <v/>
      </c>
      <c r="K273" s="61" t="str">
        <f aca="false">IF(IsPro,IF($D273="","",ROUND(N($E273)*J273*(1-N($G273)),2)),"")</f>
        <v/>
      </c>
      <c r="L273" s="62" t="str">
        <f aca="false">IF(IsPro,IF($D273="","",IFERROR(INDEX(Items!$F$5:$F$504,Q273),0)),"")</f>
        <v/>
      </c>
      <c r="M273" s="61" t="str">
        <f aca="false">IF(IsPro,IF($D273="","",IF(AND(R273&lt;&gt;"",INDEX(Parties!$E$5:$E$304,R273)&lt;&gt;"",INDEX(Parties!$E$5:$E$304,R273)&lt;&gt;HomeState),0,ROUND(K273*L273/2,2))),"")</f>
        <v/>
      </c>
      <c r="N273" s="61" t="str">
        <f aca="false">IF(IsPro,IF($D273="","",M273),"")</f>
        <v/>
      </c>
      <c r="O273" s="61" t="str">
        <f aca="false">IF(IsPro,IF($D273="","",IF(AND(R273&lt;&gt;"",INDEX(Parties!$E$5:$E$304,R273)&lt;&gt;"",INDEX(Parties!$E$5:$E$304,R273)&lt;&gt;HomeState),ROUND(K273*L273,2),0)),"")</f>
        <v/>
      </c>
      <c r="P273" s="61" t="str">
        <f aca="false">IF(IsPro,IF($D273="","",K273+M273+N273+O273),"")</f>
        <v/>
      </c>
      <c r="Q273" s="60" t="str">
        <f aca="false">IF(IsPro,IF($D273="","",IFERROR(MATCH($D273,Items!$A$5:$A$504,0),"")),"")</f>
        <v/>
      </c>
      <c r="R273" s="60" t="str">
        <f aca="false">IF(IsPro,IF($C273="","",IFERROR(MATCH($C273,Parties!$A$5:$A$304,0),"")),"")</f>
        <v/>
      </c>
      <c r="S273" s="61" t="str">
        <f aca="false">IF(IsPro,IF($D273="","",IF(OR($H273="",$H273="Credit"),0,P273)),"")</f>
        <v/>
      </c>
    </row>
    <row r="274" customFormat="false" ht="15" hidden="false" customHeight="false" outlineLevel="0" collapsed="false">
      <c r="A274" s="55"/>
      <c r="B274" s="56"/>
      <c r="C274" s="56"/>
      <c r="D274" s="56"/>
      <c r="E274" s="57"/>
      <c r="F274" s="58"/>
      <c r="G274" s="59"/>
      <c r="H274" s="56"/>
      <c r="I274" s="60" t="str">
        <f aca="false">IF(IsPro,IF($D274="","",IFERROR(INDEX(Items!$D$5:$D$504,Q274),"")),IF($D274="","","PRO PLAN"))</f>
        <v/>
      </c>
      <c r="J274" s="61" t="str">
        <f aca="false">IF(IsPro,IF($D274="","",IF($F274="",IFERROR(INDEX(Items!$G$5:$G$504,Q274),0),$F274)),"")</f>
        <v/>
      </c>
      <c r="K274" s="61" t="str">
        <f aca="false">IF(IsPro,IF($D274="","",ROUND(N($E274)*J274*(1-N($G274)),2)),"")</f>
        <v/>
      </c>
      <c r="L274" s="62" t="str">
        <f aca="false">IF(IsPro,IF($D274="","",IFERROR(INDEX(Items!$F$5:$F$504,Q274),0)),"")</f>
        <v/>
      </c>
      <c r="M274" s="61" t="str">
        <f aca="false">IF(IsPro,IF($D274="","",IF(AND(R274&lt;&gt;"",INDEX(Parties!$E$5:$E$304,R274)&lt;&gt;"",INDEX(Parties!$E$5:$E$304,R274)&lt;&gt;HomeState),0,ROUND(K274*L274/2,2))),"")</f>
        <v/>
      </c>
      <c r="N274" s="61" t="str">
        <f aca="false">IF(IsPro,IF($D274="","",M274),"")</f>
        <v/>
      </c>
      <c r="O274" s="61" t="str">
        <f aca="false">IF(IsPro,IF($D274="","",IF(AND(R274&lt;&gt;"",INDEX(Parties!$E$5:$E$304,R274)&lt;&gt;"",INDEX(Parties!$E$5:$E$304,R274)&lt;&gt;HomeState),ROUND(K274*L274,2),0)),"")</f>
        <v/>
      </c>
      <c r="P274" s="61" t="str">
        <f aca="false">IF(IsPro,IF($D274="","",K274+M274+N274+O274),"")</f>
        <v/>
      </c>
      <c r="Q274" s="60" t="str">
        <f aca="false">IF(IsPro,IF($D274="","",IFERROR(MATCH($D274,Items!$A$5:$A$504,0),"")),"")</f>
        <v/>
      </c>
      <c r="R274" s="60" t="str">
        <f aca="false">IF(IsPro,IF($C274="","",IFERROR(MATCH($C274,Parties!$A$5:$A$304,0),"")),"")</f>
        <v/>
      </c>
      <c r="S274" s="61" t="str">
        <f aca="false">IF(IsPro,IF($D274="","",IF(OR($H274="",$H274="Credit"),0,P274)),"")</f>
        <v/>
      </c>
    </row>
    <row r="275" customFormat="false" ht="15" hidden="false" customHeight="false" outlineLevel="0" collapsed="false">
      <c r="A275" s="55"/>
      <c r="B275" s="56"/>
      <c r="C275" s="56"/>
      <c r="D275" s="56"/>
      <c r="E275" s="57"/>
      <c r="F275" s="58"/>
      <c r="G275" s="59"/>
      <c r="H275" s="56"/>
      <c r="I275" s="60" t="str">
        <f aca="false">IF(IsPro,IF($D275="","",IFERROR(INDEX(Items!$D$5:$D$504,Q275),"")),IF($D275="","","PRO PLAN"))</f>
        <v/>
      </c>
      <c r="J275" s="61" t="str">
        <f aca="false">IF(IsPro,IF($D275="","",IF($F275="",IFERROR(INDEX(Items!$G$5:$G$504,Q275),0),$F275)),"")</f>
        <v/>
      </c>
      <c r="K275" s="61" t="str">
        <f aca="false">IF(IsPro,IF($D275="","",ROUND(N($E275)*J275*(1-N($G275)),2)),"")</f>
        <v/>
      </c>
      <c r="L275" s="62" t="str">
        <f aca="false">IF(IsPro,IF($D275="","",IFERROR(INDEX(Items!$F$5:$F$504,Q275),0)),"")</f>
        <v/>
      </c>
      <c r="M275" s="61" t="str">
        <f aca="false">IF(IsPro,IF($D275="","",IF(AND(R275&lt;&gt;"",INDEX(Parties!$E$5:$E$304,R275)&lt;&gt;"",INDEX(Parties!$E$5:$E$304,R275)&lt;&gt;HomeState),0,ROUND(K275*L275/2,2))),"")</f>
        <v/>
      </c>
      <c r="N275" s="61" t="str">
        <f aca="false">IF(IsPro,IF($D275="","",M275),"")</f>
        <v/>
      </c>
      <c r="O275" s="61" t="str">
        <f aca="false">IF(IsPro,IF($D275="","",IF(AND(R275&lt;&gt;"",INDEX(Parties!$E$5:$E$304,R275)&lt;&gt;"",INDEX(Parties!$E$5:$E$304,R275)&lt;&gt;HomeState),ROUND(K275*L275,2),0)),"")</f>
        <v/>
      </c>
      <c r="P275" s="61" t="str">
        <f aca="false">IF(IsPro,IF($D275="","",K275+M275+N275+O275),"")</f>
        <v/>
      </c>
      <c r="Q275" s="60" t="str">
        <f aca="false">IF(IsPro,IF($D275="","",IFERROR(MATCH($D275,Items!$A$5:$A$504,0),"")),"")</f>
        <v/>
      </c>
      <c r="R275" s="60" t="str">
        <f aca="false">IF(IsPro,IF($C275="","",IFERROR(MATCH($C275,Parties!$A$5:$A$304,0),"")),"")</f>
        <v/>
      </c>
      <c r="S275" s="61" t="str">
        <f aca="false">IF(IsPro,IF($D275="","",IF(OR($H275="",$H275="Credit"),0,P275)),"")</f>
        <v/>
      </c>
    </row>
    <row r="276" customFormat="false" ht="15" hidden="false" customHeight="false" outlineLevel="0" collapsed="false">
      <c r="A276" s="55"/>
      <c r="B276" s="56"/>
      <c r="C276" s="56"/>
      <c r="D276" s="56"/>
      <c r="E276" s="57"/>
      <c r="F276" s="58"/>
      <c r="G276" s="59"/>
      <c r="H276" s="56"/>
      <c r="I276" s="60" t="str">
        <f aca="false">IF(IsPro,IF($D276="","",IFERROR(INDEX(Items!$D$5:$D$504,Q276),"")),IF($D276="","","PRO PLAN"))</f>
        <v/>
      </c>
      <c r="J276" s="61" t="str">
        <f aca="false">IF(IsPro,IF($D276="","",IF($F276="",IFERROR(INDEX(Items!$G$5:$G$504,Q276),0),$F276)),"")</f>
        <v/>
      </c>
      <c r="K276" s="61" t="str">
        <f aca="false">IF(IsPro,IF($D276="","",ROUND(N($E276)*J276*(1-N($G276)),2)),"")</f>
        <v/>
      </c>
      <c r="L276" s="62" t="str">
        <f aca="false">IF(IsPro,IF($D276="","",IFERROR(INDEX(Items!$F$5:$F$504,Q276),0)),"")</f>
        <v/>
      </c>
      <c r="M276" s="61" t="str">
        <f aca="false">IF(IsPro,IF($D276="","",IF(AND(R276&lt;&gt;"",INDEX(Parties!$E$5:$E$304,R276)&lt;&gt;"",INDEX(Parties!$E$5:$E$304,R276)&lt;&gt;HomeState),0,ROUND(K276*L276/2,2))),"")</f>
        <v/>
      </c>
      <c r="N276" s="61" t="str">
        <f aca="false">IF(IsPro,IF($D276="","",M276),"")</f>
        <v/>
      </c>
      <c r="O276" s="61" t="str">
        <f aca="false">IF(IsPro,IF($D276="","",IF(AND(R276&lt;&gt;"",INDEX(Parties!$E$5:$E$304,R276)&lt;&gt;"",INDEX(Parties!$E$5:$E$304,R276)&lt;&gt;HomeState),ROUND(K276*L276,2),0)),"")</f>
        <v/>
      </c>
      <c r="P276" s="61" t="str">
        <f aca="false">IF(IsPro,IF($D276="","",K276+M276+N276+O276),"")</f>
        <v/>
      </c>
      <c r="Q276" s="60" t="str">
        <f aca="false">IF(IsPro,IF($D276="","",IFERROR(MATCH($D276,Items!$A$5:$A$504,0),"")),"")</f>
        <v/>
      </c>
      <c r="R276" s="60" t="str">
        <f aca="false">IF(IsPro,IF($C276="","",IFERROR(MATCH($C276,Parties!$A$5:$A$304,0),"")),"")</f>
        <v/>
      </c>
      <c r="S276" s="61" t="str">
        <f aca="false">IF(IsPro,IF($D276="","",IF(OR($H276="",$H276="Credit"),0,P276)),"")</f>
        <v/>
      </c>
    </row>
    <row r="277" customFormat="false" ht="15" hidden="false" customHeight="false" outlineLevel="0" collapsed="false">
      <c r="A277" s="55"/>
      <c r="B277" s="56"/>
      <c r="C277" s="56"/>
      <c r="D277" s="56"/>
      <c r="E277" s="57"/>
      <c r="F277" s="58"/>
      <c r="G277" s="59"/>
      <c r="H277" s="56"/>
      <c r="I277" s="60" t="str">
        <f aca="false">IF(IsPro,IF($D277="","",IFERROR(INDEX(Items!$D$5:$D$504,Q277),"")),IF($D277="","","PRO PLAN"))</f>
        <v/>
      </c>
      <c r="J277" s="61" t="str">
        <f aca="false">IF(IsPro,IF($D277="","",IF($F277="",IFERROR(INDEX(Items!$G$5:$G$504,Q277),0),$F277)),"")</f>
        <v/>
      </c>
      <c r="K277" s="61" t="str">
        <f aca="false">IF(IsPro,IF($D277="","",ROUND(N($E277)*J277*(1-N($G277)),2)),"")</f>
        <v/>
      </c>
      <c r="L277" s="62" t="str">
        <f aca="false">IF(IsPro,IF($D277="","",IFERROR(INDEX(Items!$F$5:$F$504,Q277),0)),"")</f>
        <v/>
      </c>
      <c r="M277" s="61" t="str">
        <f aca="false">IF(IsPro,IF($D277="","",IF(AND(R277&lt;&gt;"",INDEX(Parties!$E$5:$E$304,R277)&lt;&gt;"",INDEX(Parties!$E$5:$E$304,R277)&lt;&gt;HomeState),0,ROUND(K277*L277/2,2))),"")</f>
        <v/>
      </c>
      <c r="N277" s="61" t="str">
        <f aca="false">IF(IsPro,IF($D277="","",M277),"")</f>
        <v/>
      </c>
      <c r="O277" s="61" t="str">
        <f aca="false">IF(IsPro,IF($D277="","",IF(AND(R277&lt;&gt;"",INDEX(Parties!$E$5:$E$304,R277)&lt;&gt;"",INDEX(Parties!$E$5:$E$304,R277)&lt;&gt;HomeState),ROUND(K277*L277,2),0)),"")</f>
        <v/>
      </c>
      <c r="P277" s="61" t="str">
        <f aca="false">IF(IsPro,IF($D277="","",K277+M277+N277+O277),"")</f>
        <v/>
      </c>
      <c r="Q277" s="60" t="str">
        <f aca="false">IF(IsPro,IF($D277="","",IFERROR(MATCH($D277,Items!$A$5:$A$504,0),"")),"")</f>
        <v/>
      </c>
      <c r="R277" s="60" t="str">
        <f aca="false">IF(IsPro,IF($C277="","",IFERROR(MATCH($C277,Parties!$A$5:$A$304,0),"")),"")</f>
        <v/>
      </c>
      <c r="S277" s="61" t="str">
        <f aca="false">IF(IsPro,IF($D277="","",IF(OR($H277="",$H277="Credit"),0,P277)),"")</f>
        <v/>
      </c>
    </row>
    <row r="278" customFormat="false" ht="15" hidden="false" customHeight="false" outlineLevel="0" collapsed="false">
      <c r="A278" s="55"/>
      <c r="B278" s="56"/>
      <c r="C278" s="56"/>
      <c r="D278" s="56"/>
      <c r="E278" s="57"/>
      <c r="F278" s="58"/>
      <c r="G278" s="59"/>
      <c r="H278" s="56"/>
      <c r="I278" s="60" t="str">
        <f aca="false">IF(IsPro,IF($D278="","",IFERROR(INDEX(Items!$D$5:$D$504,Q278),"")),IF($D278="","","PRO PLAN"))</f>
        <v/>
      </c>
      <c r="J278" s="61" t="str">
        <f aca="false">IF(IsPro,IF($D278="","",IF($F278="",IFERROR(INDEX(Items!$G$5:$G$504,Q278),0),$F278)),"")</f>
        <v/>
      </c>
      <c r="K278" s="61" t="str">
        <f aca="false">IF(IsPro,IF($D278="","",ROUND(N($E278)*J278*(1-N($G278)),2)),"")</f>
        <v/>
      </c>
      <c r="L278" s="62" t="str">
        <f aca="false">IF(IsPro,IF($D278="","",IFERROR(INDEX(Items!$F$5:$F$504,Q278),0)),"")</f>
        <v/>
      </c>
      <c r="M278" s="61" t="str">
        <f aca="false">IF(IsPro,IF($D278="","",IF(AND(R278&lt;&gt;"",INDEX(Parties!$E$5:$E$304,R278)&lt;&gt;"",INDEX(Parties!$E$5:$E$304,R278)&lt;&gt;HomeState),0,ROUND(K278*L278/2,2))),"")</f>
        <v/>
      </c>
      <c r="N278" s="61" t="str">
        <f aca="false">IF(IsPro,IF($D278="","",M278),"")</f>
        <v/>
      </c>
      <c r="O278" s="61" t="str">
        <f aca="false">IF(IsPro,IF($D278="","",IF(AND(R278&lt;&gt;"",INDEX(Parties!$E$5:$E$304,R278)&lt;&gt;"",INDEX(Parties!$E$5:$E$304,R278)&lt;&gt;HomeState),ROUND(K278*L278,2),0)),"")</f>
        <v/>
      </c>
      <c r="P278" s="61" t="str">
        <f aca="false">IF(IsPro,IF($D278="","",K278+M278+N278+O278),"")</f>
        <v/>
      </c>
      <c r="Q278" s="60" t="str">
        <f aca="false">IF(IsPro,IF($D278="","",IFERROR(MATCH($D278,Items!$A$5:$A$504,0),"")),"")</f>
        <v/>
      </c>
      <c r="R278" s="60" t="str">
        <f aca="false">IF(IsPro,IF($C278="","",IFERROR(MATCH($C278,Parties!$A$5:$A$304,0),"")),"")</f>
        <v/>
      </c>
      <c r="S278" s="61" t="str">
        <f aca="false">IF(IsPro,IF($D278="","",IF(OR($H278="",$H278="Credit"),0,P278)),"")</f>
        <v/>
      </c>
    </row>
    <row r="279" customFormat="false" ht="15" hidden="false" customHeight="false" outlineLevel="0" collapsed="false">
      <c r="A279" s="55"/>
      <c r="B279" s="56"/>
      <c r="C279" s="56"/>
      <c r="D279" s="56"/>
      <c r="E279" s="57"/>
      <c r="F279" s="58"/>
      <c r="G279" s="59"/>
      <c r="H279" s="56"/>
      <c r="I279" s="60" t="str">
        <f aca="false">IF(IsPro,IF($D279="","",IFERROR(INDEX(Items!$D$5:$D$504,Q279),"")),IF($D279="","","PRO PLAN"))</f>
        <v/>
      </c>
      <c r="J279" s="61" t="str">
        <f aca="false">IF(IsPro,IF($D279="","",IF($F279="",IFERROR(INDEX(Items!$G$5:$G$504,Q279),0),$F279)),"")</f>
        <v/>
      </c>
      <c r="K279" s="61" t="str">
        <f aca="false">IF(IsPro,IF($D279="","",ROUND(N($E279)*J279*(1-N($G279)),2)),"")</f>
        <v/>
      </c>
      <c r="L279" s="62" t="str">
        <f aca="false">IF(IsPro,IF($D279="","",IFERROR(INDEX(Items!$F$5:$F$504,Q279),0)),"")</f>
        <v/>
      </c>
      <c r="M279" s="61" t="str">
        <f aca="false">IF(IsPro,IF($D279="","",IF(AND(R279&lt;&gt;"",INDEX(Parties!$E$5:$E$304,R279)&lt;&gt;"",INDEX(Parties!$E$5:$E$304,R279)&lt;&gt;HomeState),0,ROUND(K279*L279/2,2))),"")</f>
        <v/>
      </c>
      <c r="N279" s="61" t="str">
        <f aca="false">IF(IsPro,IF($D279="","",M279),"")</f>
        <v/>
      </c>
      <c r="O279" s="61" t="str">
        <f aca="false">IF(IsPro,IF($D279="","",IF(AND(R279&lt;&gt;"",INDEX(Parties!$E$5:$E$304,R279)&lt;&gt;"",INDEX(Parties!$E$5:$E$304,R279)&lt;&gt;HomeState),ROUND(K279*L279,2),0)),"")</f>
        <v/>
      </c>
      <c r="P279" s="61" t="str">
        <f aca="false">IF(IsPro,IF($D279="","",K279+M279+N279+O279),"")</f>
        <v/>
      </c>
      <c r="Q279" s="60" t="str">
        <f aca="false">IF(IsPro,IF($D279="","",IFERROR(MATCH($D279,Items!$A$5:$A$504,0),"")),"")</f>
        <v/>
      </c>
      <c r="R279" s="60" t="str">
        <f aca="false">IF(IsPro,IF($C279="","",IFERROR(MATCH($C279,Parties!$A$5:$A$304,0),"")),"")</f>
        <v/>
      </c>
      <c r="S279" s="61" t="str">
        <f aca="false">IF(IsPro,IF($D279="","",IF(OR($H279="",$H279="Credit"),0,P279)),"")</f>
        <v/>
      </c>
    </row>
    <row r="280" customFormat="false" ht="15" hidden="false" customHeight="false" outlineLevel="0" collapsed="false">
      <c r="A280" s="55"/>
      <c r="B280" s="56"/>
      <c r="C280" s="56"/>
      <c r="D280" s="56"/>
      <c r="E280" s="57"/>
      <c r="F280" s="58"/>
      <c r="G280" s="59"/>
      <c r="H280" s="56"/>
      <c r="I280" s="60" t="str">
        <f aca="false">IF(IsPro,IF($D280="","",IFERROR(INDEX(Items!$D$5:$D$504,Q280),"")),IF($D280="","","PRO PLAN"))</f>
        <v/>
      </c>
      <c r="J280" s="61" t="str">
        <f aca="false">IF(IsPro,IF($D280="","",IF($F280="",IFERROR(INDEX(Items!$G$5:$G$504,Q280),0),$F280)),"")</f>
        <v/>
      </c>
      <c r="K280" s="61" t="str">
        <f aca="false">IF(IsPro,IF($D280="","",ROUND(N($E280)*J280*(1-N($G280)),2)),"")</f>
        <v/>
      </c>
      <c r="L280" s="62" t="str">
        <f aca="false">IF(IsPro,IF($D280="","",IFERROR(INDEX(Items!$F$5:$F$504,Q280),0)),"")</f>
        <v/>
      </c>
      <c r="M280" s="61" t="str">
        <f aca="false">IF(IsPro,IF($D280="","",IF(AND(R280&lt;&gt;"",INDEX(Parties!$E$5:$E$304,R280)&lt;&gt;"",INDEX(Parties!$E$5:$E$304,R280)&lt;&gt;HomeState),0,ROUND(K280*L280/2,2))),"")</f>
        <v/>
      </c>
      <c r="N280" s="61" t="str">
        <f aca="false">IF(IsPro,IF($D280="","",M280),"")</f>
        <v/>
      </c>
      <c r="O280" s="61" t="str">
        <f aca="false">IF(IsPro,IF($D280="","",IF(AND(R280&lt;&gt;"",INDEX(Parties!$E$5:$E$304,R280)&lt;&gt;"",INDEX(Parties!$E$5:$E$304,R280)&lt;&gt;HomeState),ROUND(K280*L280,2),0)),"")</f>
        <v/>
      </c>
      <c r="P280" s="61" t="str">
        <f aca="false">IF(IsPro,IF($D280="","",K280+M280+N280+O280),"")</f>
        <v/>
      </c>
      <c r="Q280" s="60" t="str">
        <f aca="false">IF(IsPro,IF($D280="","",IFERROR(MATCH($D280,Items!$A$5:$A$504,0),"")),"")</f>
        <v/>
      </c>
      <c r="R280" s="60" t="str">
        <f aca="false">IF(IsPro,IF($C280="","",IFERROR(MATCH($C280,Parties!$A$5:$A$304,0),"")),"")</f>
        <v/>
      </c>
      <c r="S280" s="61" t="str">
        <f aca="false">IF(IsPro,IF($D280="","",IF(OR($H280="",$H280="Credit"),0,P280)),"")</f>
        <v/>
      </c>
    </row>
    <row r="281" customFormat="false" ht="15" hidden="false" customHeight="false" outlineLevel="0" collapsed="false">
      <c r="A281" s="55"/>
      <c r="B281" s="56"/>
      <c r="C281" s="56"/>
      <c r="D281" s="56"/>
      <c r="E281" s="57"/>
      <c r="F281" s="58"/>
      <c r="G281" s="59"/>
      <c r="H281" s="56"/>
      <c r="I281" s="60" t="str">
        <f aca="false">IF(IsPro,IF($D281="","",IFERROR(INDEX(Items!$D$5:$D$504,Q281),"")),IF($D281="","","PRO PLAN"))</f>
        <v/>
      </c>
      <c r="J281" s="61" t="str">
        <f aca="false">IF(IsPro,IF($D281="","",IF($F281="",IFERROR(INDEX(Items!$G$5:$G$504,Q281),0),$F281)),"")</f>
        <v/>
      </c>
      <c r="K281" s="61" t="str">
        <f aca="false">IF(IsPro,IF($D281="","",ROUND(N($E281)*J281*(1-N($G281)),2)),"")</f>
        <v/>
      </c>
      <c r="L281" s="62" t="str">
        <f aca="false">IF(IsPro,IF($D281="","",IFERROR(INDEX(Items!$F$5:$F$504,Q281),0)),"")</f>
        <v/>
      </c>
      <c r="M281" s="61" t="str">
        <f aca="false">IF(IsPro,IF($D281="","",IF(AND(R281&lt;&gt;"",INDEX(Parties!$E$5:$E$304,R281)&lt;&gt;"",INDEX(Parties!$E$5:$E$304,R281)&lt;&gt;HomeState),0,ROUND(K281*L281/2,2))),"")</f>
        <v/>
      </c>
      <c r="N281" s="61" t="str">
        <f aca="false">IF(IsPro,IF($D281="","",M281),"")</f>
        <v/>
      </c>
      <c r="O281" s="61" t="str">
        <f aca="false">IF(IsPro,IF($D281="","",IF(AND(R281&lt;&gt;"",INDEX(Parties!$E$5:$E$304,R281)&lt;&gt;"",INDEX(Parties!$E$5:$E$304,R281)&lt;&gt;HomeState),ROUND(K281*L281,2),0)),"")</f>
        <v/>
      </c>
      <c r="P281" s="61" t="str">
        <f aca="false">IF(IsPro,IF($D281="","",K281+M281+N281+O281),"")</f>
        <v/>
      </c>
      <c r="Q281" s="60" t="str">
        <f aca="false">IF(IsPro,IF($D281="","",IFERROR(MATCH($D281,Items!$A$5:$A$504,0),"")),"")</f>
        <v/>
      </c>
      <c r="R281" s="60" t="str">
        <f aca="false">IF(IsPro,IF($C281="","",IFERROR(MATCH($C281,Parties!$A$5:$A$304,0),"")),"")</f>
        <v/>
      </c>
      <c r="S281" s="61" t="str">
        <f aca="false">IF(IsPro,IF($D281="","",IF(OR($H281="",$H281="Credit"),0,P281)),"")</f>
        <v/>
      </c>
    </row>
    <row r="282" customFormat="false" ht="15" hidden="false" customHeight="false" outlineLevel="0" collapsed="false">
      <c r="A282" s="55"/>
      <c r="B282" s="56"/>
      <c r="C282" s="56"/>
      <c r="D282" s="56"/>
      <c r="E282" s="57"/>
      <c r="F282" s="58"/>
      <c r="G282" s="59"/>
      <c r="H282" s="56"/>
      <c r="I282" s="60" t="str">
        <f aca="false">IF(IsPro,IF($D282="","",IFERROR(INDEX(Items!$D$5:$D$504,Q282),"")),IF($D282="","","PRO PLAN"))</f>
        <v/>
      </c>
      <c r="J282" s="61" t="str">
        <f aca="false">IF(IsPro,IF($D282="","",IF($F282="",IFERROR(INDEX(Items!$G$5:$G$504,Q282),0),$F282)),"")</f>
        <v/>
      </c>
      <c r="K282" s="61" t="str">
        <f aca="false">IF(IsPro,IF($D282="","",ROUND(N($E282)*J282*(1-N($G282)),2)),"")</f>
        <v/>
      </c>
      <c r="L282" s="62" t="str">
        <f aca="false">IF(IsPro,IF($D282="","",IFERROR(INDEX(Items!$F$5:$F$504,Q282),0)),"")</f>
        <v/>
      </c>
      <c r="M282" s="61" t="str">
        <f aca="false">IF(IsPro,IF($D282="","",IF(AND(R282&lt;&gt;"",INDEX(Parties!$E$5:$E$304,R282)&lt;&gt;"",INDEX(Parties!$E$5:$E$304,R282)&lt;&gt;HomeState),0,ROUND(K282*L282/2,2))),"")</f>
        <v/>
      </c>
      <c r="N282" s="61" t="str">
        <f aca="false">IF(IsPro,IF($D282="","",M282),"")</f>
        <v/>
      </c>
      <c r="O282" s="61" t="str">
        <f aca="false">IF(IsPro,IF($D282="","",IF(AND(R282&lt;&gt;"",INDEX(Parties!$E$5:$E$304,R282)&lt;&gt;"",INDEX(Parties!$E$5:$E$304,R282)&lt;&gt;HomeState),ROUND(K282*L282,2),0)),"")</f>
        <v/>
      </c>
      <c r="P282" s="61" t="str">
        <f aca="false">IF(IsPro,IF($D282="","",K282+M282+N282+O282),"")</f>
        <v/>
      </c>
      <c r="Q282" s="60" t="str">
        <f aca="false">IF(IsPro,IF($D282="","",IFERROR(MATCH($D282,Items!$A$5:$A$504,0),"")),"")</f>
        <v/>
      </c>
      <c r="R282" s="60" t="str">
        <f aca="false">IF(IsPro,IF($C282="","",IFERROR(MATCH($C282,Parties!$A$5:$A$304,0),"")),"")</f>
        <v/>
      </c>
      <c r="S282" s="61" t="str">
        <f aca="false">IF(IsPro,IF($D282="","",IF(OR($H282="",$H282="Credit"),0,P282)),"")</f>
        <v/>
      </c>
    </row>
    <row r="283" customFormat="false" ht="15" hidden="false" customHeight="false" outlineLevel="0" collapsed="false">
      <c r="A283" s="55"/>
      <c r="B283" s="56"/>
      <c r="C283" s="56"/>
      <c r="D283" s="56"/>
      <c r="E283" s="57"/>
      <c r="F283" s="58"/>
      <c r="G283" s="59"/>
      <c r="H283" s="56"/>
      <c r="I283" s="60" t="str">
        <f aca="false">IF(IsPro,IF($D283="","",IFERROR(INDEX(Items!$D$5:$D$504,Q283),"")),IF($D283="","","PRO PLAN"))</f>
        <v/>
      </c>
      <c r="J283" s="61" t="str">
        <f aca="false">IF(IsPro,IF($D283="","",IF($F283="",IFERROR(INDEX(Items!$G$5:$G$504,Q283),0),$F283)),"")</f>
        <v/>
      </c>
      <c r="K283" s="61" t="str">
        <f aca="false">IF(IsPro,IF($D283="","",ROUND(N($E283)*J283*(1-N($G283)),2)),"")</f>
        <v/>
      </c>
      <c r="L283" s="62" t="str">
        <f aca="false">IF(IsPro,IF($D283="","",IFERROR(INDEX(Items!$F$5:$F$504,Q283),0)),"")</f>
        <v/>
      </c>
      <c r="M283" s="61" t="str">
        <f aca="false">IF(IsPro,IF($D283="","",IF(AND(R283&lt;&gt;"",INDEX(Parties!$E$5:$E$304,R283)&lt;&gt;"",INDEX(Parties!$E$5:$E$304,R283)&lt;&gt;HomeState),0,ROUND(K283*L283/2,2))),"")</f>
        <v/>
      </c>
      <c r="N283" s="61" t="str">
        <f aca="false">IF(IsPro,IF($D283="","",M283),"")</f>
        <v/>
      </c>
      <c r="O283" s="61" t="str">
        <f aca="false">IF(IsPro,IF($D283="","",IF(AND(R283&lt;&gt;"",INDEX(Parties!$E$5:$E$304,R283)&lt;&gt;"",INDEX(Parties!$E$5:$E$304,R283)&lt;&gt;HomeState),ROUND(K283*L283,2),0)),"")</f>
        <v/>
      </c>
      <c r="P283" s="61" t="str">
        <f aca="false">IF(IsPro,IF($D283="","",K283+M283+N283+O283),"")</f>
        <v/>
      </c>
      <c r="Q283" s="60" t="str">
        <f aca="false">IF(IsPro,IF($D283="","",IFERROR(MATCH($D283,Items!$A$5:$A$504,0),"")),"")</f>
        <v/>
      </c>
      <c r="R283" s="60" t="str">
        <f aca="false">IF(IsPro,IF($C283="","",IFERROR(MATCH($C283,Parties!$A$5:$A$304,0),"")),"")</f>
        <v/>
      </c>
      <c r="S283" s="61" t="str">
        <f aca="false">IF(IsPro,IF($D283="","",IF(OR($H283="",$H283="Credit"),0,P283)),"")</f>
        <v/>
      </c>
    </row>
    <row r="284" customFormat="false" ht="15" hidden="false" customHeight="false" outlineLevel="0" collapsed="false">
      <c r="A284" s="55"/>
      <c r="B284" s="56"/>
      <c r="C284" s="56"/>
      <c r="D284" s="56"/>
      <c r="E284" s="57"/>
      <c r="F284" s="58"/>
      <c r="G284" s="59"/>
      <c r="H284" s="56"/>
      <c r="I284" s="60" t="str">
        <f aca="false">IF(IsPro,IF($D284="","",IFERROR(INDEX(Items!$D$5:$D$504,Q284),"")),IF($D284="","","PRO PLAN"))</f>
        <v/>
      </c>
      <c r="J284" s="61" t="str">
        <f aca="false">IF(IsPro,IF($D284="","",IF($F284="",IFERROR(INDEX(Items!$G$5:$G$504,Q284),0),$F284)),"")</f>
        <v/>
      </c>
      <c r="K284" s="61" t="str">
        <f aca="false">IF(IsPro,IF($D284="","",ROUND(N($E284)*J284*(1-N($G284)),2)),"")</f>
        <v/>
      </c>
      <c r="L284" s="62" t="str">
        <f aca="false">IF(IsPro,IF($D284="","",IFERROR(INDEX(Items!$F$5:$F$504,Q284),0)),"")</f>
        <v/>
      </c>
      <c r="M284" s="61" t="str">
        <f aca="false">IF(IsPro,IF($D284="","",IF(AND(R284&lt;&gt;"",INDEX(Parties!$E$5:$E$304,R284)&lt;&gt;"",INDEX(Parties!$E$5:$E$304,R284)&lt;&gt;HomeState),0,ROUND(K284*L284/2,2))),"")</f>
        <v/>
      </c>
      <c r="N284" s="61" t="str">
        <f aca="false">IF(IsPro,IF($D284="","",M284),"")</f>
        <v/>
      </c>
      <c r="O284" s="61" t="str">
        <f aca="false">IF(IsPro,IF($D284="","",IF(AND(R284&lt;&gt;"",INDEX(Parties!$E$5:$E$304,R284)&lt;&gt;"",INDEX(Parties!$E$5:$E$304,R284)&lt;&gt;HomeState),ROUND(K284*L284,2),0)),"")</f>
        <v/>
      </c>
      <c r="P284" s="61" t="str">
        <f aca="false">IF(IsPro,IF($D284="","",K284+M284+N284+O284),"")</f>
        <v/>
      </c>
      <c r="Q284" s="60" t="str">
        <f aca="false">IF(IsPro,IF($D284="","",IFERROR(MATCH($D284,Items!$A$5:$A$504,0),"")),"")</f>
        <v/>
      </c>
      <c r="R284" s="60" t="str">
        <f aca="false">IF(IsPro,IF($C284="","",IFERROR(MATCH($C284,Parties!$A$5:$A$304,0),"")),"")</f>
        <v/>
      </c>
      <c r="S284" s="61" t="str">
        <f aca="false">IF(IsPro,IF($D284="","",IF(OR($H284="",$H284="Credit"),0,P284)),"")</f>
        <v/>
      </c>
    </row>
    <row r="285" customFormat="false" ht="15" hidden="false" customHeight="false" outlineLevel="0" collapsed="false">
      <c r="A285" s="55"/>
      <c r="B285" s="56"/>
      <c r="C285" s="56"/>
      <c r="D285" s="56"/>
      <c r="E285" s="57"/>
      <c r="F285" s="58"/>
      <c r="G285" s="59"/>
      <c r="H285" s="56"/>
      <c r="I285" s="60" t="str">
        <f aca="false">IF(IsPro,IF($D285="","",IFERROR(INDEX(Items!$D$5:$D$504,Q285),"")),IF($D285="","","PRO PLAN"))</f>
        <v/>
      </c>
      <c r="J285" s="61" t="str">
        <f aca="false">IF(IsPro,IF($D285="","",IF($F285="",IFERROR(INDEX(Items!$G$5:$G$504,Q285),0),$F285)),"")</f>
        <v/>
      </c>
      <c r="K285" s="61" t="str">
        <f aca="false">IF(IsPro,IF($D285="","",ROUND(N($E285)*J285*(1-N($G285)),2)),"")</f>
        <v/>
      </c>
      <c r="L285" s="62" t="str">
        <f aca="false">IF(IsPro,IF($D285="","",IFERROR(INDEX(Items!$F$5:$F$504,Q285),0)),"")</f>
        <v/>
      </c>
      <c r="M285" s="61" t="str">
        <f aca="false">IF(IsPro,IF($D285="","",IF(AND(R285&lt;&gt;"",INDEX(Parties!$E$5:$E$304,R285)&lt;&gt;"",INDEX(Parties!$E$5:$E$304,R285)&lt;&gt;HomeState),0,ROUND(K285*L285/2,2))),"")</f>
        <v/>
      </c>
      <c r="N285" s="61" t="str">
        <f aca="false">IF(IsPro,IF($D285="","",M285),"")</f>
        <v/>
      </c>
      <c r="O285" s="61" t="str">
        <f aca="false">IF(IsPro,IF($D285="","",IF(AND(R285&lt;&gt;"",INDEX(Parties!$E$5:$E$304,R285)&lt;&gt;"",INDEX(Parties!$E$5:$E$304,R285)&lt;&gt;HomeState),ROUND(K285*L285,2),0)),"")</f>
        <v/>
      </c>
      <c r="P285" s="61" t="str">
        <f aca="false">IF(IsPro,IF($D285="","",K285+M285+N285+O285),"")</f>
        <v/>
      </c>
      <c r="Q285" s="60" t="str">
        <f aca="false">IF(IsPro,IF($D285="","",IFERROR(MATCH($D285,Items!$A$5:$A$504,0),"")),"")</f>
        <v/>
      </c>
      <c r="R285" s="60" t="str">
        <f aca="false">IF(IsPro,IF($C285="","",IFERROR(MATCH($C285,Parties!$A$5:$A$304,0),"")),"")</f>
        <v/>
      </c>
      <c r="S285" s="61" t="str">
        <f aca="false">IF(IsPro,IF($D285="","",IF(OR($H285="",$H285="Credit"),0,P285)),"")</f>
        <v/>
      </c>
    </row>
    <row r="286" customFormat="false" ht="15" hidden="false" customHeight="false" outlineLevel="0" collapsed="false">
      <c r="A286" s="55"/>
      <c r="B286" s="56"/>
      <c r="C286" s="56"/>
      <c r="D286" s="56"/>
      <c r="E286" s="57"/>
      <c r="F286" s="58"/>
      <c r="G286" s="59"/>
      <c r="H286" s="56"/>
      <c r="I286" s="60" t="str">
        <f aca="false">IF(IsPro,IF($D286="","",IFERROR(INDEX(Items!$D$5:$D$504,Q286),"")),IF($D286="","","PRO PLAN"))</f>
        <v/>
      </c>
      <c r="J286" s="61" t="str">
        <f aca="false">IF(IsPro,IF($D286="","",IF($F286="",IFERROR(INDEX(Items!$G$5:$G$504,Q286),0),$F286)),"")</f>
        <v/>
      </c>
      <c r="K286" s="61" t="str">
        <f aca="false">IF(IsPro,IF($D286="","",ROUND(N($E286)*J286*(1-N($G286)),2)),"")</f>
        <v/>
      </c>
      <c r="L286" s="62" t="str">
        <f aca="false">IF(IsPro,IF($D286="","",IFERROR(INDEX(Items!$F$5:$F$504,Q286),0)),"")</f>
        <v/>
      </c>
      <c r="M286" s="61" t="str">
        <f aca="false">IF(IsPro,IF($D286="","",IF(AND(R286&lt;&gt;"",INDEX(Parties!$E$5:$E$304,R286)&lt;&gt;"",INDEX(Parties!$E$5:$E$304,R286)&lt;&gt;HomeState),0,ROUND(K286*L286/2,2))),"")</f>
        <v/>
      </c>
      <c r="N286" s="61" t="str">
        <f aca="false">IF(IsPro,IF($D286="","",M286),"")</f>
        <v/>
      </c>
      <c r="O286" s="61" t="str">
        <f aca="false">IF(IsPro,IF($D286="","",IF(AND(R286&lt;&gt;"",INDEX(Parties!$E$5:$E$304,R286)&lt;&gt;"",INDEX(Parties!$E$5:$E$304,R286)&lt;&gt;HomeState),ROUND(K286*L286,2),0)),"")</f>
        <v/>
      </c>
      <c r="P286" s="61" t="str">
        <f aca="false">IF(IsPro,IF($D286="","",K286+M286+N286+O286),"")</f>
        <v/>
      </c>
      <c r="Q286" s="60" t="str">
        <f aca="false">IF(IsPro,IF($D286="","",IFERROR(MATCH($D286,Items!$A$5:$A$504,0),"")),"")</f>
        <v/>
      </c>
      <c r="R286" s="60" t="str">
        <f aca="false">IF(IsPro,IF($C286="","",IFERROR(MATCH($C286,Parties!$A$5:$A$304,0),"")),"")</f>
        <v/>
      </c>
      <c r="S286" s="61" t="str">
        <f aca="false">IF(IsPro,IF($D286="","",IF(OR($H286="",$H286="Credit"),0,P286)),"")</f>
        <v/>
      </c>
    </row>
    <row r="287" customFormat="false" ht="15" hidden="false" customHeight="false" outlineLevel="0" collapsed="false">
      <c r="A287" s="55"/>
      <c r="B287" s="56"/>
      <c r="C287" s="56"/>
      <c r="D287" s="56"/>
      <c r="E287" s="57"/>
      <c r="F287" s="58"/>
      <c r="G287" s="59"/>
      <c r="H287" s="56"/>
      <c r="I287" s="60" t="str">
        <f aca="false">IF(IsPro,IF($D287="","",IFERROR(INDEX(Items!$D$5:$D$504,Q287),"")),IF($D287="","","PRO PLAN"))</f>
        <v/>
      </c>
      <c r="J287" s="61" t="str">
        <f aca="false">IF(IsPro,IF($D287="","",IF($F287="",IFERROR(INDEX(Items!$G$5:$G$504,Q287),0),$F287)),"")</f>
        <v/>
      </c>
      <c r="K287" s="61" t="str">
        <f aca="false">IF(IsPro,IF($D287="","",ROUND(N($E287)*J287*(1-N($G287)),2)),"")</f>
        <v/>
      </c>
      <c r="L287" s="62" t="str">
        <f aca="false">IF(IsPro,IF($D287="","",IFERROR(INDEX(Items!$F$5:$F$504,Q287),0)),"")</f>
        <v/>
      </c>
      <c r="M287" s="61" t="str">
        <f aca="false">IF(IsPro,IF($D287="","",IF(AND(R287&lt;&gt;"",INDEX(Parties!$E$5:$E$304,R287)&lt;&gt;"",INDEX(Parties!$E$5:$E$304,R287)&lt;&gt;HomeState),0,ROUND(K287*L287/2,2))),"")</f>
        <v/>
      </c>
      <c r="N287" s="61" t="str">
        <f aca="false">IF(IsPro,IF($D287="","",M287),"")</f>
        <v/>
      </c>
      <c r="O287" s="61" t="str">
        <f aca="false">IF(IsPro,IF($D287="","",IF(AND(R287&lt;&gt;"",INDEX(Parties!$E$5:$E$304,R287)&lt;&gt;"",INDEX(Parties!$E$5:$E$304,R287)&lt;&gt;HomeState),ROUND(K287*L287,2),0)),"")</f>
        <v/>
      </c>
      <c r="P287" s="61" t="str">
        <f aca="false">IF(IsPro,IF($D287="","",K287+M287+N287+O287),"")</f>
        <v/>
      </c>
      <c r="Q287" s="60" t="str">
        <f aca="false">IF(IsPro,IF($D287="","",IFERROR(MATCH($D287,Items!$A$5:$A$504,0),"")),"")</f>
        <v/>
      </c>
      <c r="R287" s="60" t="str">
        <f aca="false">IF(IsPro,IF($C287="","",IFERROR(MATCH($C287,Parties!$A$5:$A$304,0),"")),"")</f>
        <v/>
      </c>
      <c r="S287" s="61" t="str">
        <f aca="false">IF(IsPro,IF($D287="","",IF(OR($H287="",$H287="Credit"),0,P287)),"")</f>
        <v/>
      </c>
    </row>
    <row r="288" customFormat="false" ht="15" hidden="false" customHeight="false" outlineLevel="0" collapsed="false">
      <c r="A288" s="55"/>
      <c r="B288" s="56"/>
      <c r="C288" s="56"/>
      <c r="D288" s="56"/>
      <c r="E288" s="57"/>
      <c r="F288" s="58"/>
      <c r="G288" s="59"/>
      <c r="H288" s="56"/>
      <c r="I288" s="60" t="str">
        <f aca="false">IF(IsPro,IF($D288="","",IFERROR(INDEX(Items!$D$5:$D$504,Q288),"")),IF($D288="","","PRO PLAN"))</f>
        <v/>
      </c>
      <c r="J288" s="61" t="str">
        <f aca="false">IF(IsPro,IF($D288="","",IF($F288="",IFERROR(INDEX(Items!$G$5:$G$504,Q288),0),$F288)),"")</f>
        <v/>
      </c>
      <c r="K288" s="61" t="str">
        <f aca="false">IF(IsPro,IF($D288="","",ROUND(N($E288)*J288*(1-N($G288)),2)),"")</f>
        <v/>
      </c>
      <c r="L288" s="62" t="str">
        <f aca="false">IF(IsPro,IF($D288="","",IFERROR(INDEX(Items!$F$5:$F$504,Q288),0)),"")</f>
        <v/>
      </c>
      <c r="M288" s="61" t="str">
        <f aca="false">IF(IsPro,IF($D288="","",IF(AND(R288&lt;&gt;"",INDEX(Parties!$E$5:$E$304,R288)&lt;&gt;"",INDEX(Parties!$E$5:$E$304,R288)&lt;&gt;HomeState),0,ROUND(K288*L288/2,2))),"")</f>
        <v/>
      </c>
      <c r="N288" s="61" t="str">
        <f aca="false">IF(IsPro,IF($D288="","",M288),"")</f>
        <v/>
      </c>
      <c r="O288" s="61" t="str">
        <f aca="false">IF(IsPro,IF($D288="","",IF(AND(R288&lt;&gt;"",INDEX(Parties!$E$5:$E$304,R288)&lt;&gt;"",INDEX(Parties!$E$5:$E$304,R288)&lt;&gt;HomeState),ROUND(K288*L288,2),0)),"")</f>
        <v/>
      </c>
      <c r="P288" s="61" t="str">
        <f aca="false">IF(IsPro,IF($D288="","",K288+M288+N288+O288),"")</f>
        <v/>
      </c>
      <c r="Q288" s="60" t="str">
        <f aca="false">IF(IsPro,IF($D288="","",IFERROR(MATCH($D288,Items!$A$5:$A$504,0),"")),"")</f>
        <v/>
      </c>
      <c r="R288" s="60" t="str">
        <f aca="false">IF(IsPro,IF($C288="","",IFERROR(MATCH($C288,Parties!$A$5:$A$304,0),"")),"")</f>
        <v/>
      </c>
      <c r="S288" s="61" t="str">
        <f aca="false">IF(IsPro,IF($D288="","",IF(OR($H288="",$H288="Credit"),0,P288)),"")</f>
        <v/>
      </c>
    </row>
    <row r="289" customFormat="false" ht="15" hidden="false" customHeight="false" outlineLevel="0" collapsed="false">
      <c r="A289" s="55"/>
      <c r="B289" s="56"/>
      <c r="C289" s="56"/>
      <c r="D289" s="56"/>
      <c r="E289" s="57"/>
      <c r="F289" s="58"/>
      <c r="G289" s="59"/>
      <c r="H289" s="56"/>
      <c r="I289" s="60" t="str">
        <f aca="false">IF(IsPro,IF($D289="","",IFERROR(INDEX(Items!$D$5:$D$504,Q289),"")),IF($D289="","","PRO PLAN"))</f>
        <v/>
      </c>
      <c r="J289" s="61" t="str">
        <f aca="false">IF(IsPro,IF($D289="","",IF($F289="",IFERROR(INDEX(Items!$G$5:$G$504,Q289),0),$F289)),"")</f>
        <v/>
      </c>
      <c r="K289" s="61" t="str">
        <f aca="false">IF(IsPro,IF($D289="","",ROUND(N($E289)*J289*(1-N($G289)),2)),"")</f>
        <v/>
      </c>
      <c r="L289" s="62" t="str">
        <f aca="false">IF(IsPro,IF($D289="","",IFERROR(INDEX(Items!$F$5:$F$504,Q289),0)),"")</f>
        <v/>
      </c>
      <c r="M289" s="61" t="str">
        <f aca="false">IF(IsPro,IF($D289="","",IF(AND(R289&lt;&gt;"",INDEX(Parties!$E$5:$E$304,R289)&lt;&gt;"",INDEX(Parties!$E$5:$E$304,R289)&lt;&gt;HomeState),0,ROUND(K289*L289/2,2))),"")</f>
        <v/>
      </c>
      <c r="N289" s="61" t="str">
        <f aca="false">IF(IsPro,IF($D289="","",M289),"")</f>
        <v/>
      </c>
      <c r="O289" s="61" t="str">
        <f aca="false">IF(IsPro,IF($D289="","",IF(AND(R289&lt;&gt;"",INDEX(Parties!$E$5:$E$304,R289)&lt;&gt;"",INDEX(Parties!$E$5:$E$304,R289)&lt;&gt;HomeState),ROUND(K289*L289,2),0)),"")</f>
        <v/>
      </c>
      <c r="P289" s="61" t="str">
        <f aca="false">IF(IsPro,IF($D289="","",K289+M289+N289+O289),"")</f>
        <v/>
      </c>
      <c r="Q289" s="60" t="str">
        <f aca="false">IF(IsPro,IF($D289="","",IFERROR(MATCH($D289,Items!$A$5:$A$504,0),"")),"")</f>
        <v/>
      </c>
      <c r="R289" s="60" t="str">
        <f aca="false">IF(IsPro,IF($C289="","",IFERROR(MATCH($C289,Parties!$A$5:$A$304,0),"")),"")</f>
        <v/>
      </c>
      <c r="S289" s="61" t="str">
        <f aca="false">IF(IsPro,IF($D289="","",IF(OR($H289="",$H289="Credit"),0,P289)),"")</f>
        <v/>
      </c>
    </row>
    <row r="290" customFormat="false" ht="15" hidden="false" customHeight="false" outlineLevel="0" collapsed="false">
      <c r="A290" s="55"/>
      <c r="B290" s="56"/>
      <c r="C290" s="56"/>
      <c r="D290" s="56"/>
      <c r="E290" s="57"/>
      <c r="F290" s="58"/>
      <c r="G290" s="59"/>
      <c r="H290" s="56"/>
      <c r="I290" s="60" t="str">
        <f aca="false">IF(IsPro,IF($D290="","",IFERROR(INDEX(Items!$D$5:$D$504,Q290),"")),IF($D290="","","PRO PLAN"))</f>
        <v/>
      </c>
      <c r="J290" s="61" t="str">
        <f aca="false">IF(IsPro,IF($D290="","",IF($F290="",IFERROR(INDEX(Items!$G$5:$G$504,Q290),0),$F290)),"")</f>
        <v/>
      </c>
      <c r="K290" s="61" t="str">
        <f aca="false">IF(IsPro,IF($D290="","",ROUND(N($E290)*J290*(1-N($G290)),2)),"")</f>
        <v/>
      </c>
      <c r="L290" s="62" t="str">
        <f aca="false">IF(IsPro,IF($D290="","",IFERROR(INDEX(Items!$F$5:$F$504,Q290),0)),"")</f>
        <v/>
      </c>
      <c r="M290" s="61" t="str">
        <f aca="false">IF(IsPro,IF($D290="","",IF(AND(R290&lt;&gt;"",INDEX(Parties!$E$5:$E$304,R290)&lt;&gt;"",INDEX(Parties!$E$5:$E$304,R290)&lt;&gt;HomeState),0,ROUND(K290*L290/2,2))),"")</f>
        <v/>
      </c>
      <c r="N290" s="61" t="str">
        <f aca="false">IF(IsPro,IF($D290="","",M290),"")</f>
        <v/>
      </c>
      <c r="O290" s="61" t="str">
        <f aca="false">IF(IsPro,IF($D290="","",IF(AND(R290&lt;&gt;"",INDEX(Parties!$E$5:$E$304,R290)&lt;&gt;"",INDEX(Parties!$E$5:$E$304,R290)&lt;&gt;HomeState),ROUND(K290*L290,2),0)),"")</f>
        <v/>
      </c>
      <c r="P290" s="61" t="str">
        <f aca="false">IF(IsPro,IF($D290="","",K290+M290+N290+O290),"")</f>
        <v/>
      </c>
      <c r="Q290" s="60" t="str">
        <f aca="false">IF(IsPro,IF($D290="","",IFERROR(MATCH($D290,Items!$A$5:$A$504,0),"")),"")</f>
        <v/>
      </c>
      <c r="R290" s="60" t="str">
        <f aca="false">IF(IsPro,IF($C290="","",IFERROR(MATCH($C290,Parties!$A$5:$A$304,0),"")),"")</f>
        <v/>
      </c>
      <c r="S290" s="61" t="str">
        <f aca="false">IF(IsPro,IF($D290="","",IF(OR($H290="",$H290="Credit"),0,P290)),"")</f>
        <v/>
      </c>
    </row>
    <row r="291" customFormat="false" ht="15" hidden="false" customHeight="false" outlineLevel="0" collapsed="false">
      <c r="A291" s="55"/>
      <c r="B291" s="56"/>
      <c r="C291" s="56"/>
      <c r="D291" s="56"/>
      <c r="E291" s="57"/>
      <c r="F291" s="58"/>
      <c r="G291" s="59"/>
      <c r="H291" s="56"/>
      <c r="I291" s="60" t="str">
        <f aca="false">IF(IsPro,IF($D291="","",IFERROR(INDEX(Items!$D$5:$D$504,Q291),"")),IF($D291="","","PRO PLAN"))</f>
        <v/>
      </c>
      <c r="J291" s="61" t="str">
        <f aca="false">IF(IsPro,IF($D291="","",IF($F291="",IFERROR(INDEX(Items!$G$5:$G$504,Q291),0),$F291)),"")</f>
        <v/>
      </c>
      <c r="K291" s="61" t="str">
        <f aca="false">IF(IsPro,IF($D291="","",ROUND(N($E291)*J291*(1-N($G291)),2)),"")</f>
        <v/>
      </c>
      <c r="L291" s="62" t="str">
        <f aca="false">IF(IsPro,IF($D291="","",IFERROR(INDEX(Items!$F$5:$F$504,Q291),0)),"")</f>
        <v/>
      </c>
      <c r="M291" s="61" t="str">
        <f aca="false">IF(IsPro,IF($D291="","",IF(AND(R291&lt;&gt;"",INDEX(Parties!$E$5:$E$304,R291)&lt;&gt;"",INDEX(Parties!$E$5:$E$304,R291)&lt;&gt;HomeState),0,ROUND(K291*L291/2,2))),"")</f>
        <v/>
      </c>
      <c r="N291" s="61" t="str">
        <f aca="false">IF(IsPro,IF($D291="","",M291),"")</f>
        <v/>
      </c>
      <c r="O291" s="61" t="str">
        <f aca="false">IF(IsPro,IF($D291="","",IF(AND(R291&lt;&gt;"",INDEX(Parties!$E$5:$E$304,R291)&lt;&gt;"",INDEX(Parties!$E$5:$E$304,R291)&lt;&gt;HomeState),ROUND(K291*L291,2),0)),"")</f>
        <v/>
      </c>
      <c r="P291" s="61" t="str">
        <f aca="false">IF(IsPro,IF($D291="","",K291+M291+N291+O291),"")</f>
        <v/>
      </c>
      <c r="Q291" s="60" t="str">
        <f aca="false">IF(IsPro,IF($D291="","",IFERROR(MATCH($D291,Items!$A$5:$A$504,0),"")),"")</f>
        <v/>
      </c>
      <c r="R291" s="60" t="str">
        <f aca="false">IF(IsPro,IF($C291="","",IFERROR(MATCH($C291,Parties!$A$5:$A$304,0),"")),"")</f>
        <v/>
      </c>
      <c r="S291" s="61" t="str">
        <f aca="false">IF(IsPro,IF($D291="","",IF(OR($H291="",$H291="Credit"),0,P291)),"")</f>
        <v/>
      </c>
    </row>
    <row r="292" customFormat="false" ht="15" hidden="false" customHeight="false" outlineLevel="0" collapsed="false">
      <c r="A292" s="55"/>
      <c r="B292" s="56"/>
      <c r="C292" s="56"/>
      <c r="D292" s="56"/>
      <c r="E292" s="57"/>
      <c r="F292" s="58"/>
      <c r="G292" s="59"/>
      <c r="H292" s="56"/>
      <c r="I292" s="60" t="str">
        <f aca="false">IF(IsPro,IF($D292="","",IFERROR(INDEX(Items!$D$5:$D$504,Q292),"")),IF($D292="","","PRO PLAN"))</f>
        <v/>
      </c>
      <c r="J292" s="61" t="str">
        <f aca="false">IF(IsPro,IF($D292="","",IF($F292="",IFERROR(INDEX(Items!$G$5:$G$504,Q292),0),$F292)),"")</f>
        <v/>
      </c>
      <c r="K292" s="61" t="str">
        <f aca="false">IF(IsPro,IF($D292="","",ROUND(N($E292)*J292*(1-N($G292)),2)),"")</f>
        <v/>
      </c>
      <c r="L292" s="62" t="str">
        <f aca="false">IF(IsPro,IF($D292="","",IFERROR(INDEX(Items!$F$5:$F$504,Q292),0)),"")</f>
        <v/>
      </c>
      <c r="M292" s="61" t="str">
        <f aca="false">IF(IsPro,IF($D292="","",IF(AND(R292&lt;&gt;"",INDEX(Parties!$E$5:$E$304,R292)&lt;&gt;"",INDEX(Parties!$E$5:$E$304,R292)&lt;&gt;HomeState),0,ROUND(K292*L292/2,2))),"")</f>
        <v/>
      </c>
      <c r="N292" s="61" t="str">
        <f aca="false">IF(IsPro,IF($D292="","",M292),"")</f>
        <v/>
      </c>
      <c r="O292" s="61" t="str">
        <f aca="false">IF(IsPro,IF($D292="","",IF(AND(R292&lt;&gt;"",INDEX(Parties!$E$5:$E$304,R292)&lt;&gt;"",INDEX(Parties!$E$5:$E$304,R292)&lt;&gt;HomeState),ROUND(K292*L292,2),0)),"")</f>
        <v/>
      </c>
      <c r="P292" s="61" t="str">
        <f aca="false">IF(IsPro,IF($D292="","",K292+M292+N292+O292),"")</f>
        <v/>
      </c>
      <c r="Q292" s="60" t="str">
        <f aca="false">IF(IsPro,IF($D292="","",IFERROR(MATCH($D292,Items!$A$5:$A$504,0),"")),"")</f>
        <v/>
      </c>
      <c r="R292" s="60" t="str">
        <f aca="false">IF(IsPro,IF($C292="","",IFERROR(MATCH($C292,Parties!$A$5:$A$304,0),"")),"")</f>
        <v/>
      </c>
      <c r="S292" s="61" t="str">
        <f aca="false">IF(IsPro,IF($D292="","",IF(OR($H292="",$H292="Credit"),0,P292)),"")</f>
        <v/>
      </c>
    </row>
    <row r="293" customFormat="false" ht="15" hidden="false" customHeight="false" outlineLevel="0" collapsed="false">
      <c r="A293" s="55"/>
      <c r="B293" s="56"/>
      <c r="C293" s="56"/>
      <c r="D293" s="56"/>
      <c r="E293" s="57"/>
      <c r="F293" s="58"/>
      <c r="G293" s="59"/>
      <c r="H293" s="56"/>
      <c r="I293" s="60" t="str">
        <f aca="false">IF(IsPro,IF($D293="","",IFERROR(INDEX(Items!$D$5:$D$504,Q293),"")),IF($D293="","","PRO PLAN"))</f>
        <v/>
      </c>
      <c r="J293" s="61" t="str">
        <f aca="false">IF(IsPro,IF($D293="","",IF($F293="",IFERROR(INDEX(Items!$G$5:$G$504,Q293),0),$F293)),"")</f>
        <v/>
      </c>
      <c r="K293" s="61" t="str">
        <f aca="false">IF(IsPro,IF($D293="","",ROUND(N($E293)*J293*(1-N($G293)),2)),"")</f>
        <v/>
      </c>
      <c r="L293" s="62" t="str">
        <f aca="false">IF(IsPro,IF($D293="","",IFERROR(INDEX(Items!$F$5:$F$504,Q293),0)),"")</f>
        <v/>
      </c>
      <c r="M293" s="61" t="str">
        <f aca="false">IF(IsPro,IF($D293="","",IF(AND(R293&lt;&gt;"",INDEX(Parties!$E$5:$E$304,R293)&lt;&gt;"",INDEX(Parties!$E$5:$E$304,R293)&lt;&gt;HomeState),0,ROUND(K293*L293/2,2))),"")</f>
        <v/>
      </c>
      <c r="N293" s="61" t="str">
        <f aca="false">IF(IsPro,IF($D293="","",M293),"")</f>
        <v/>
      </c>
      <c r="O293" s="61" t="str">
        <f aca="false">IF(IsPro,IF($D293="","",IF(AND(R293&lt;&gt;"",INDEX(Parties!$E$5:$E$304,R293)&lt;&gt;"",INDEX(Parties!$E$5:$E$304,R293)&lt;&gt;HomeState),ROUND(K293*L293,2),0)),"")</f>
        <v/>
      </c>
      <c r="P293" s="61" t="str">
        <f aca="false">IF(IsPro,IF($D293="","",K293+M293+N293+O293),"")</f>
        <v/>
      </c>
      <c r="Q293" s="60" t="str">
        <f aca="false">IF(IsPro,IF($D293="","",IFERROR(MATCH($D293,Items!$A$5:$A$504,0),"")),"")</f>
        <v/>
      </c>
      <c r="R293" s="60" t="str">
        <f aca="false">IF(IsPro,IF($C293="","",IFERROR(MATCH($C293,Parties!$A$5:$A$304,0),"")),"")</f>
        <v/>
      </c>
      <c r="S293" s="61" t="str">
        <f aca="false">IF(IsPro,IF($D293="","",IF(OR($H293="",$H293="Credit"),0,P293)),"")</f>
        <v/>
      </c>
    </row>
    <row r="294" customFormat="false" ht="15" hidden="false" customHeight="false" outlineLevel="0" collapsed="false">
      <c r="A294" s="55"/>
      <c r="B294" s="56"/>
      <c r="C294" s="56"/>
      <c r="D294" s="56"/>
      <c r="E294" s="57"/>
      <c r="F294" s="58"/>
      <c r="G294" s="59"/>
      <c r="H294" s="56"/>
      <c r="I294" s="60" t="str">
        <f aca="false">IF(IsPro,IF($D294="","",IFERROR(INDEX(Items!$D$5:$D$504,Q294),"")),IF($D294="","","PRO PLAN"))</f>
        <v/>
      </c>
      <c r="J294" s="61" t="str">
        <f aca="false">IF(IsPro,IF($D294="","",IF($F294="",IFERROR(INDEX(Items!$G$5:$G$504,Q294),0),$F294)),"")</f>
        <v/>
      </c>
      <c r="K294" s="61" t="str">
        <f aca="false">IF(IsPro,IF($D294="","",ROUND(N($E294)*J294*(1-N($G294)),2)),"")</f>
        <v/>
      </c>
      <c r="L294" s="62" t="str">
        <f aca="false">IF(IsPro,IF($D294="","",IFERROR(INDEX(Items!$F$5:$F$504,Q294),0)),"")</f>
        <v/>
      </c>
      <c r="M294" s="61" t="str">
        <f aca="false">IF(IsPro,IF($D294="","",IF(AND(R294&lt;&gt;"",INDEX(Parties!$E$5:$E$304,R294)&lt;&gt;"",INDEX(Parties!$E$5:$E$304,R294)&lt;&gt;HomeState),0,ROUND(K294*L294/2,2))),"")</f>
        <v/>
      </c>
      <c r="N294" s="61" t="str">
        <f aca="false">IF(IsPro,IF($D294="","",M294),"")</f>
        <v/>
      </c>
      <c r="O294" s="61" t="str">
        <f aca="false">IF(IsPro,IF($D294="","",IF(AND(R294&lt;&gt;"",INDEX(Parties!$E$5:$E$304,R294)&lt;&gt;"",INDEX(Parties!$E$5:$E$304,R294)&lt;&gt;HomeState),ROUND(K294*L294,2),0)),"")</f>
        <v/>
      </c>
      <c r="P294" s="61" t="str">
        <f aca="false">IF(IsPro,IF($D294="","",K294+M294+N294+O294),"")</f>
        <v/>
      </c>
      <c r="Q294" s="60" t="str">
        <f aca="false">IF(IsPro,IF($D294="","",IFERROR(MATCH($D294,Items!$A$5:$A$504,0),"")),"")</f>
        <v/>
      </c>
      <c r="R294" s="60" t="str">
        <f aca="false">IF(IsPro,IF($C294="","",IFERROR(MATCH($C294,Parties!$A$5:$A$304,0),"")),"")</f>
        <v/>
      </c>
      <c r="S294" s="61" t="str">
        <f aca="false">IF(IsPro,IF($D294="","",IF(OR($H294="",$H294="Credit"),0,P294)),"")</f>
        <v/>
      </c>
    </row>
    <row r="295" customFormat="false" ht="15" hidden="false" customHeight="false" outlineLevel="0" collapsed="false">
      <c r="A295" s="55"/>
      <c r="B295" s="56"/>
      <c r="C295" s="56"/>
      <c r="D295" s="56"/>
      <c r="E295" s="57"/>
      <c r="F295" s="58"/>
      <c r="G295" s="59"/>
      <c r="H295" s="56"/>
      <c r="I295" s="60" t="str">
        <f aca="false">IF(IsPro,IF($D295="","",IFERROR(INDEX(Items!$D$5:$D$504,Q295),"")),IF($D295="","","PRO PLAN"))</f>
        <v/>
      </c>
      <c r="J295" s="61" t="str">
        <f aca="false">IF(IsPro,IF($D295="","",IF($F295="",IFERROR(INDEX(Items!$G$5:$G$504,Q295),0),$F295)),"")</f>
        <v/>
      </c>
      <c r="K295" s="61" t="str">
        <f aca="false">IF(IsPro,IF($D295="","",ROUND(N($E295)*J295*(1-N($G295)),2)),"")</f>
        <v/>
      </c>
      <c r="L295" s="62" t="str">
        <f aca="false">IF(IsPro,IF($D295="","",IFERROR(INDEX(Items!$F$5:$F$504,Q295),0)),"")</f>
        <v/>
      </c>
      <c r="M295" s="61" t="str">
        <f aca="false">IF(IsPro,IF($D295="","",IF(AND(R295&lt;&gt;"",INDEX(Parties!$E$5:$E$304,R295)&lt;&gt;"",INDEX(Parties!$E$5:$E$304,R295)&lt;&gt;HomeState),0,ROUND(K295*L295/2,2))),"")</f>
        <v/>
      </c>
      <c r="N295" s="61" t="str">
        <f aca="false">IF(IsPro,IF($D295="","",M295),"")</f>
        <v/>
      </c>
      <c r="O295" s="61" t="str">
        <f aca="false">IF(IsPro,IF($D295="","",IF(AND(R295&lt;&gt;"",INDEX(Parties!$E$5:$E$304,R295)&lt;&gt;"",INDEX(Parties!$E$5:$E$304,R295)&lt;&gt;HomeState),ROUND(K295*L295,2),0)),"")</f>
        <v/>
      </c>
      <c r="P295" s="61" t="str">
        <f aca="false">IF(IsPro,IF($D295="","",K295+M295+N295+O295),"")</f>
        <v/>
      </c>
      <c r="Q295" s="60" t="str">
        <f aca="false">IF(IsPro,IF($D295="","",IFERROR(MATCH($D295,Items!$A$5:$A$504,0),"")),"")</f>
        <v/>
      </c>
      <c r="R295" s="60" t="str">
        <f aca="false">IF(IsPro,IF($C295="","",IFERROR(MATCH($C295,Parties!$A$5:$A$304,0),"")),"")</f>
        <v/>
      </c>
      <c r="S295" s="61" t="str">
        <f aca="false">IF(IsPro,IF($D295="","",IF(OR($H295="",$H295="Credit"),0,P295)),"")</f>
        <v/>
      </c>
    </row>
    <row r="296" customFormat="false" ht="15" hidden="false" customHeight="false" outlineLevel="0" collapsed="false">
      <c r="A296" s="55"/>
      <c r="B296" s="56"/>
      <c r="C296" s="56"/>
      <c r="D296" s="56"/>
      <c r="E296" s="57"/>
      <c r="F296" s="58"/>
      <c r="G296" s="59"/>
      <c r="H296" s="56"/>
      <c r="I296" s="60" t="str">
        <f aca="false">IF(IsPro,IF($D296="","",IFERROR(INDEX(Items!$D$5:$D$504,Q296),"")),IF($D296="","","PRO PLAN"))</f>
        <v/>
      </c>
      <c r="J296" s="61" t="str">
        <f aca="false">IF(IsPro,IF($D296="","",IF($F296="",IFERROR(INDEX(Items!$G$5:$G$504,Q296),0),$F296)),"")</f>
        <v/>
      </c>
      <c r="K296" s="61" t="str">
        <f aca="false">IF(IsPro,IF($D296="","",ROUND(N($E296)*J296*(1-N($G296)),2)),"")</f>
        <v/>
      </c>
      <c r="L296" s="62" t="str">
        <f aca="false">IF(IsPro,IF($D296="","",IFERROR(INDEX(Items!$F$5:$F$504,Q296),0)),"")</f>
        <v/>
      </c>
      <c r="M296" s="61" t="str">
        <f aca="false">IF(IsPro,IF($D296="","",IF(AND(R296&lt;&gt;"",INDEX(Parties!$E$5:$E$304,R296)&lt;&gt;"",INDEX(Parties!$E$5:$E$304,R296)&lt;&gt;HomeState),0,ROUND(K296*L296/2,2))),"")</f>
        <v/>
      </c>
      <c r="N296" s="61" t="str">
        <f aca="false">IF(IsPro,IF($D296="","",M296),"")</f>
        <v/>
      </c>
      <c r="O296" s="61" t="str">
        <f aca="false">IF(IsPro,IF($D296="","",IF(AND(R296&lt;&gt;"",INDEX(Parties!$E$5:$E$304,R296)&lt;&gt;"",INDEX(Parties!$E$5:$E$304,R296)&lt;&gt;HomeState),ROUND(K296*L296,2),0)),"")</f>
        <v/>
      </c>
      <c r="P296" s="61" t="str">
        <f aca="false">IF(IsPro,IF($D296="","",K296+M296+N296+O296),"")</f>
        <v/>
      </c>
      <c r="Q296" s="60" t="str">
        <f aca="false">IF(IsPro,IF($D296="","",IFERROR(MATCH($D296,Items!$A$5:$A$504,0),"")),"")</f>
        <v/>
      </c>
      <c r="R296" s="60" t="str">
        <f aca="false">IF(IsPro,IF($C296="","",IFERROR(MATCH($C296,Parties!$A$5:$A$304,0),"")),"")</f>
        <v/>
      </c>
      <c r="S296" s="61" t="str">
        <f aca="false">IF(IsPro,IF($D296="","",IF(OR($H296="",$H296="Credit"),0,P296)),"")</f>
        <v/>
      </c>
    </row>
    <row r="297" customFormat="false" ht="15" hidden="false" customHeight="false" outlineLevel="0" collapsed="false">
      <c r="A297" s="55"/>
      <c r="B297" s="56"/>
      <c r="C297" s="56"/>
      <c r="D297" s="56"/>
      <c r="E297" s="57"/>
      <c r="F297" s="58"/>
      <c r="G297" s="59"/>
      <c r="H297" s="56"/>
      <c r="I297" s="60" t="str">
        <f aca="false">IF(IsPro,IF($D297="","",IFERROR(INDEX(Items!$D$5:$D$504,Q297),"")),IF($D297="","","PRO PLAN"))</f>
        <v/>
      </c>
      <c r="J297" s="61" t="str">
        <f aca="false">IF(IsPro,IF($D297="","",IF($F297="",IFERROR(INDEX(Items!$G$5:$G$504,Q297),0),$F297)),"")</f>
        <v/>
      </c>
      <c r="K297" s="61" t="str">
        <f aca="false">IF(IsPro,IF($D297="","",ROUND(N($E297)*J297*(1-N($G297)),2)),"")</f>
        <v/>
      </c>
      <c r="L297" s="62" t="str">
        <f aca="false">IF(IsPro,IF($D297="","",IFERROR(INDEX(Items!$F$5:$F$504,Q297),0)),"")</f>
        <v/>
      </c>
      <c r="M297" s="61" t="str">
        <f aca="false">IF(IsPro,IF($D297="","",IF(AND(R297&lt;&gt;"",INDEX(Parties!$E$5:$E$304,R297)&lt;&gt;"",INDEX(Parties!$E$5:$E$304,R297)&lt;&gt;HomeState),0,ROUND(K297*L297/2,2))),"")</f>
        <v/>
      </c>
      <c r="N297" s="61" t="str">
        <f aca="false">IF(IsPro,IF($D297="","",M297),"")</f>
        <v/>
      </c>
      <c r="O297" s="61" t="str">
        <f aca="false">IF(IsPro,IF($D297="","",IF(AND(R297&lt;&gt;"",INDEX(Parties!$E$5:$E$304,R297)&lt;&gt;"",INDEX(Parties!$E$5:$E$304,R297)&lt;&gt;HomeState),ROUND(K297*L297,2),0)),"")</f>
        <v/>
      </c>
      <c r="P297" s="61" t="str">
        <f aca="false">IF(IsPro,IF($D297="","",K297+M297+N297+O297),"")</f>
        <v/>
      </c>
      <c r="Q297" s="60" t="str">
        <f aca="false">IF(IsPro,IF($D297="","",IFERROR(MATCH($D297,Items!$A$5:$A$504,0),"")),"")</f>
        <v/>
      </c>
      <c r="R297" s="60" t="str">
        <f aca="false">IF(IsPro,IF($C297="","",IFERROR(MATCH($C297,Parties!$A$5:$A$304,0),"")),"")</f>
        <v/>
      </c>
      <c r="S297" s="61" t="str">
        <f aca="false">IF(IsPro,IF($D297="","",IF(OR($H297="",$H297="Credit"),0,P297)),"")</f>
        <v/>
      </c>
    </row>
    <row r="298" customFormat="false" ht="15" hidden="false" customHeight="false" outlineLevel="0" collapsed="false">
      <c r="A298" s="55"/>
      <c r="B298" s="56"/>
      <c r="C298" s="56"/>
      <c r="D298" s="56"/>
      <c r="E298" s="57"/>
      <c r="F298" s="58"/>
      <c r="G298" s="59"/>
      <c r="H298" s="56"/>
      <c r="I298" s="60" t="str">
        <f aca="false">IF(IsPro,IF($D298="","",IFERROR(INDEX(Items!$D$5:$D$504,Q298),"")),IF($D298="","","PRO PLAN"))</f>
        <v/>
      </c>
      <c r="J298" s="61" t="str">
        <f aca="false">IF(IsPro,IF($D298="","",IF($F298="",IFERROR(INDEX(Items!$G$5:$G$504,Q298),0),$F298)),"")</f>
        <v/>
      </c>
      <c r="K298" s="61" t="str">
        <f aca="false">IF(IsPro,IF($D298="","",ROUND(N($E298)*J298*(1-N($G298)),2)),"")</f>
        <v/>
      </c>
      <c r="L298" s="62" t="str">
        <f aca="false">IF(IsPro,IF($D298="","",IFERROR(INDEX(Items!$F$5:$F$504,Q298),0)),"")</f>
        <v/>
      </c>
      <c r="M298" s="61" t="str">
        <f aca="false">IF(IsPro,IF($D298="","",IF(AND(R298&lt;&gt;"",INDEX(Parties!$E$5:$E$304,R298)&lt;&gt;"",INDEX(Parties!$E$5:$E$304,R298)&lt;&gt;HomeState),0,ROUND(K298*L298/2,2))),"")</f>
        <v/>
      </c>
      <c r="N298" s="61" t="str">
        <f aca="false">IF(IsPro,IF($D298="","",M298),"")</f>
        <v/>
      </c>
      <c r="O298" s="61" t="str">
        <f aca="false">IF(IsPro,IF($D298="","",IF(AND(R298&lt;&gt;"",INDEX(Parties!$E$5:$E$304,R298)&lt;&gt;"",INDEX(Parties!$E$5:$E$304,R298)&lt;&gt;HomeState),ROUND(K298*L298,2),0)),"")</f>
        <v/>
      </c>
      <c r="P298" s="61" t="str">
        <f aca="false">IF(IsPro,IF($D298="","",K298+M298+N298+O298),"")</f>
        <v/>
      </c>
      <c r="Q298" s="60" t="str">
        <f aca="false">IF(IsPro,IF($D298="","",IFERROR(MATCH($D298,Items!$A$5:$A$504,0),"")),"")</f>
        <v/>
      </c>
      <c r="R298" s="60" t="str">
        <f aca="false">IF(IsPro,IF($C298="","",IFERROR(MATCH($C298,Parties!$A$5:$A$304,0),"")),"")</f>
        <v/>
      </c>
      <c r="S298" s="61" t="str">
        <f aca="false">IF(IsPro,IF($D298="","",IF(OR($H298="",$H298="Credit"),0,P298)),"")</f>
        <v/>
      </c>
    </row>
    <row r="299" customFormat="false" ht="15" hidden="false" customHeight="false" outlineLevel="0" collapsed="false">
      <c r="A299" s="55"/>
      <c r="B299" s="56"/>
      <c r="C299" s="56"/>
      <c r="D299" s="56"/>
      <c r="E299" s="57"/>
      <c r="F299" s="58"/>
      <c r="G299" s="59"/>
      <c r="H299" s="56"/>
      <c r="I299" s="60" t="str">
        <f aca="false">IF(IsPro,IF($D299="","",IFERROR(INDEX(Items!$D$5:$D$504,Q299),"")),IF($D299="","","PRO PLAN"))</f>
        <v/>
      </c>
      <c r="J299" s="61" t="str">
        <f aca="false">IF(IsPro,IF($D299="","",IF($F299="",IFERROR(INDEX(Items!$G$5:$G$504,Q299),0),$F299)),"")</f>
        <v/>
      </c>
      <c r="K299" s="61" t="str">
        <f aca="false">IF(IsPro,IF($D299="","",ROUND(N($E299)*J299*(1-N($G299)),2)),"")</f>
        <v/>
      </c>
      <c r="L299" s="62" t="str">
        <f aca="false">IF(IsPro,IF($D299="","",IFERROR(INDEX(Items!$F$5:$F$504,Q299),0)),"")</f>
        <v/>
      </c>
      <c r="M299" s="61" t="str">
        <f aca="false">IF(IsPro,IF($D299="","",IF(AND(R299&lt;&gt;"",INDEX(Parties!$E$5:$E$304,R299)&lt;&gt;"",INDEX(Parties!$E$5:$E$304,R299)&lt;&gt;HomeState),0,ROUND(K299*L299/2,2))),"")</f>
        <v/>
      </c>
      <c r="N299" s="61" t="str">
        <f aca="false">IF(IsPro,IF($D299="","",M299),"")</f>
        <v/>
      </c>
      <c r="O299" s="61" t="str">
        <f aca="false">IF(IsPro,IF($D299="","",IF(AND(R299&lt;&gt;"",INDEX(Parties!$E$5:$E$304,R299)&lt;&gt;"",INDEX(Parties!$E$5:$E$304,R299)&lt;&gt;HomeState),ROUND(K299*L299,2),0)),"")</f>
        <v/>
      </c>
      <c r="P299" s="61" t="str">
        <f aca="false">IF(IsPro,IF($D299="","",K299+M299+N299+O299),"")</f>
        <v/>
      </c>
      <c r="Q299" s="60" t="str">
        <f aca="false">IF(IsPro,IF($D299="","",IFERROR(MATCH($D299,Items!$A$5:$A$504,0),"")),"")</f>
        <v/>
      </c>
      <c r="R299" s="60" t="str">
        <f aca="false">IF(IsPro,IF($C299="","",IFERROR(MATCH($C299,Parties!$A$5:$A$304,0),"")),"")</f>
        <v/>
      </c>
      <c r="S299" s="61" t="str">
        <f aca="false">IF(IsPro,IF($D299="","",IF(OR($H299="",$H299="Credit"),0,P299)),"")</f>
        <v/>
      </c>
    </row>
    <row r="300" customFormat="false" ht="15" hidden="false" customHeight="false" outlineLevel="0" collapsed="false">
      <c r="A300" s="55"/>
      <c r="B300" s="56"/>
      <c r="C300" s="56"/>
      <c r="D300" s="56"/>
      <c r="E300" s="57"/>
      <c r="F300" s="58"/>
      <c r="G300" s="59"/>
      <c r="H300" s="56"/>
      <c r="I300" s="60" t="str">
        <f aca="false">IF(IsPro,IF($D300="","",IFERROR(INDEX(Items!$D$5:$D$504,Q300),"")),IF($D300="","","PRO PLAN"))</f>
        <v/>
      </c>
      <c r="J300" s="61" t="str">
        <f aca="false">IF(IsPro,IF($D300="","",IF($F300="",IFERROR(INDEX(Items!$G$5:$G$504,Q300),0),$F300)),"")</f>
        <v/>
      </c>
      <c r="K300" s="61" t="str">
        <f aca="false">IF(IsPro,IF($D300="","",ROUND(N($E300)*J300*(1-N($G300)),2)),"")</f>
        <v/>
      </c>
      <c r="L300" s="62" t="str">
        <f aca="false">IF(IsPro,IF($D300="","",IFERROR(INDEX(Items!$F$5:$F$504,Q300),0)),"")</f>
        <v/>
      </c>
      <c r="M300" s="61" t="str">
        <f aca="false">IF(IsPro,IF($D300="","",IF(AND(R300&lt;&gt;"",INDEX(Parties!$E$5:$E$304,R300)&lt;&gt;"",INDEX(Parties!$E$5:$E$304,R300)&lt;&gt;HomeState),0,ROUND(K300*L300/2,2))),"")</f>
        <v/>
      </c>
      <c r="N300" s="61" t="str">
        <f aca="false">IF(IsPro,IF($D300="","",M300),"")</f>
        <v/>
      </c>
      <c r="O300" s="61" t="str">
        <f aca="false">IF(IsPro,IF($D300="","",IF(AND(R300&lt;&gt;"",INDEX(Parties!$E$5:$E$304,R300)&lt;&gt;"",INDEX(Parties!$E$5:$E$304,R300)&lt;&gt;HomeState),ROUND(K300*L300,2),0)),"")</f>
        <v/>
      </c>
      <c r="P300" s="61" t="str">
        <f aca="false">IF(IsPro,IF($D300="","",K300+M300+N300+O300),"")</f>
        <v/>
      </c>
      <c r="Q300" s="60" t="str">
        <f aca="false">IF(IsPro,IF($D300="","",IFERROR(MATCH($D300,Items!$A$5:$A$504,0),"")),"")</f>
        <v/>
      </c>
      <c r="R300" s="60" t="str">
        <f aca="false">IF(IsPro,IF($C300="","",IFERROR(MATCH($C300,Parties!$A$5:$A$304,0),"")),"")</f>
        <v/>
      </c>
      <c r="S300" s="61" t="str">
        <f aca="false">IF(IsPro,IF($D300="","",IF(OR($H300="",$H300="Credit"),0,P300)),"")</f>
        <v/>
      </c>
    </row>
    <row r="301" customFormat="false" ht="15" hidden="false" customHeight="false" outlineLevel="0" collapsed="false">
      <c r="A301" s="55"/>
      <c r="B301" s="56"/>
      <c r="C301" s="56"/>
      <c r="D301" s="56"/>
      <c r="E301" s="57"/>
      <c r="F301" s="58"/>
      <c r="G301" s="59"/>
      <c r="H301" s="56"/>
      <c r="I301" s="60" t="str">
        <f aca="false">IF(IsPro,IF($D301="","",IFERROR(INDEX(Items!$D$5:$D$504,Q301),"")),IF($D301="","","PRO PLAN"))</f>
        <v/>
      </c>
      <c r="J301" s="61" t="str">
        <f aca="false">IF(IsPro,IF($D301="","",IF($F301="",IFERROR(INDEX(Items!$G$5:$G$504,Q301),0),$F301)),"")</f>
        <v/>
      </c>
      <c r="K301" s="61" t="str">
        <f aca="false">IF(IsPro,IF($D301="","",ROUND(N($E301)*J301*(1-N($G301)),2)),"")</f>
        <v/>
      </c>
      <c r="L301" s="62" t="str">
        <f aca="false">IF(IsPro,IF($D301="","",IFERROR(INDEX(Items!$F$5:$F$504,Q301),0)),"")</f>
        <v/>
      </c>
      <c r="M301" s="61" t="str">
        <f aca="false">IF(IsPro,IF($D301="","",IF(AND(R301&lt;&gt;"",INDEX(Parties!$E$5:$E$304,R301)&lt;&gt;"",INDEX(Parties!$E$5:$E$304,R301)&lt;&gt;HomeState),0,ROUND(K301*L301/2,2))),"")</f>
        <v/>
      </c>
      <c r="N301" s="61" t="str">
        <f aca="false">IF(IsPro,IF($D301="","",M301),"")</f>
        <v/>
      </c>
      <c r="O301" s="61" t="str">
        <f aca="false">IF(IsPro,IF($D301="","",IF(AND(R301&lt;&gt;"",INDEX(Parties!$E$5:$E$304,R301)&lt;&gt;"",INDEX(Parties!$E$5:$E$304,R301)&lt;&gt;HomeState),ROUND(K301*L301,2),0)),"")</f>
        <v/>
      </c>
      <c r="P301" s="61" t="str">
        <f aca="false">IF(IsPro,IF($D301="","",K301+M301+N301+O301),"")</f>
        <v/>
      </c>
      <c r="Q301" s="60" t="str">
        <f aca="false">IF(IsPro,IF($D301="","",IFERROR(MATCH($D301,Items!$A$5:$A$504,0),"")),"")</f>
        <v/>
      </c>
      <c r="R301" s="60" t="str">
        <f aca="false">IF(IsPro,IF($C301="","",IFERROR(MATCH($C301,Parties!$A$5:$A$304,0),"")),"")</f>
        <v/>
      </c>
      <c r="S301" s="61" t="str">
        <f aca="false">IF(IsPro,IF($D301="","",IF(OR($H301="",$H301="Credit"),0,P301)),"")</f>
        <v/>
      </c>
    </row>
    <row r="302" customFormat="false" ht="15" hidden="false" customHeight="false" outlineLevel="0" collapsed="false">
      <c r="A302" s="55"/>
      <c r="B302" s="56"/>
      <c r="C302" s="56"/>
      <c r="D302" s="56"/>
      <c r="E302" s="57"/>
      <c r="F302" s="58"/>
      <c r="G302" s="59"/>
      <c r="H302" s="56"/>
      <c r="I302" s="60" t="str">
        <f aca="false">IF(IsPro,IF($D302="","",IFERROR(INDEX(Items!$D$5:$D$504,Q302),"")),IF($D302="","","PRO PLAN"))</f>
        <v/>
      </c>
      <c r="J302" s="61" t="str">
        <f aca="false">IF(IsPro,IF($D302="","",IF($F302="",IFERROR(INDEX(Items!$G$5:$G$504,Q302),0),$F302)),"")</f>
        <v/>
      </c>
      <c r="K302" s="61" t="str">
        <f aca="false">IF(IsPro,IF($D302="","",ROUND(N($E302)*J302*(1-N($G302)),2)),"")</f>
        <v/>
      </c>
      <c r="L302" s="62" t="str">
        <f aca="false">IF(IsPro,IF($D302="","",IFERROR(INDEX(Items!$F$5:$F$504,Q302),0)),"")</f>
        <v/>
      </c>
      <c r="M302" s="61" t="str">
        <f aca="false">IF(IsPro,IF($D302="","",IF(AND(R302&lt;&gt;"",INDEX(Parties!$E$5:$E$304,R302)&lt;&gt;"",INDEX(Parties!$E$5:$E$304,R302)&lt;&gt;HomeState),0,ROUND(K302*L302/2,2))),"")</f>
        <v/>
      </c>
      <c r="N302" s="61" t="str">
        <f aca="false">IF(IsPro,IF($D302="","",M302),"")</f>
        <v/>
      </c>
      <c r="O302" s="61" t="str">
        <f aca="false">IF(IsPro,IF($D302="","",IF(AND(R302&lt;&gt;"",INDEX(Parties!$E$5:$E$304,R302)&lt;&gt;"",INDEX(Parties!$E$5:$E$304,R302)&lt;&gt;HomeState),ROUND(K302*L302,2),0)),"")</f>
        <v/>
      </c>
      <c r="P302" s="61" t="str">
        <f aca="false">IF(IsPro,IF($D302="","",K302+M302+N302+O302),"")</f>
        <v/>
      </c>
      <c r="Q302" s="60" t="str">
        <f aca="false">IF(IsPro,IF($D302="","",IFERROR(MATCH($D302,Items!$A$5:$A$504,0),"")),"")</f>
        <v/>
      </c>
      <c r="R302" s="60" t="str">
        <f aca="false">IF(IsPro,IF($C302="","",IFERROR(MATCH($C302,Parties!$A$5:$A$304,0),"")),"")</f>
        <v/>
      </c>
      <c r="S302" s="61" t="str">
        <f aca="false">IF(IsPro,IF($D302="","",IF(OR($H302="",$H302="Credit"),0,P302)),"")</f>
        <v/>
      </c>
    </row>
    <row r="303" customFormat="false" ht="15" hidden="false" customHeight="false" outlineLevel="0" collapsed="false">
      <c r="A303" s="55"/>
      <c r="B303" s="56"/>
      <c r="C303" s="56"/>
      <c r="D303" s="56"/>
      <c r="E303" s="57"/>
      <c r="F303" s="58"/>
      <c r="G303" s="59"/>
      <c r="H303" s="56"/>
      <c r="I303" s="60" t="str">
        <f aca="false">IF(IsPro,IF($D303="","",IFERROR(INDEX(Items!$D$5:$D$504,Q303),"")),IF($D303="","","PRO PLAN"))</f>
        <v/>
      </c>
      <c r="J303" s="61" t="str">
        <f aca="false">IF(IsPro,IF($D303="","",IF($F303="",IFERROR(INDEX(Items!$G$5:$G$504,Q303),0),$F303)),"")</f>
        <v/>
      </c>
      <c r="K303" s="61" t="str">
        <f aca="false">IF(IsPro,IF($D303="","",ROUND(N($E303)*J303*(1-N($G303)),2)),"")</f>
        <v/>
      </c>
      <c r="L303" s="62" t="str">
        <f aca="false">IF(IsPro,IF($D303="","",IFERROR(INDEX(Items!$F$5:$F$504,Q303),0)),"")</f>
        <v/>
      </c>
      <c r="M303" s="61" t="str">
        <f aca="false">IF(IsPro,IF($D303="","",IF(AND(R303&lt;&gt;"",INDEX(Parties!$E$5:$E$304,R303)&lt;&gt;"",INDEX(Parties!$E$5:$E$304,R303)&lt;&gt;HomeState),0,ROUND(K303*L303/2,2))),"")</f>
        <v/>
      </c>
      <c r="N303" s="61" t="str">
        <f aca="false">IF(IsPro,IF($D303="","",M303),"")</f>
        <v/>
      </c>
      <c r="O303" s="61" t="str">
        <f aca="false">IF(IsPro,IF($D303="","",IF(AND(R303&lt;&gt;"",INDEX(Parties!$E$5:$E$304,R303)&lt;&gt;"",INDEX(Parties!$E$5:$E$304,R303)&lt;&gt;HomeState),ROUND(K303*L303,2),0)),"")</f>
        <v/>
      </c>
      <c r="P303" s="61" t="str">
        <f aca="false">IF(IsPro,IF($D303="","",K303+M303+N303+O303),"")</f>
        <v/>
      </c>
      <c r="Q303" s="60" t="str">
        <f aca="false">IF(IsPro,IF($D303="","",IFERROR(MATCH($D303,Items!$A$5:$A$504,0),"")),"")</f>
        <v/>
      </c>
      <c r="R303" s="60" t="str">
        <f aca="false">IF(IsPro,IF($C303="","",IFERROR(MATCH($C303,Parties!$A$5:$A$304,0),"")),"")</f>
        <v/>
      </c>
      <c r="S303" s="61" t="str">
        <f aca="false">IF(IsPro,IF($D303="","",IF(OR($H303="",$H303="Credit"),0,P303)),"")</f>
        <v/>
      </c>
    </row>
    <row r="304" customFormat="false" ht="15" hidden="false" customHeight="false" outlineLevel="0" collapsed="false">
      <c r="A304" s="55"/>
      <c r="B304" s="56"/>
      <c r="C304" s="56"/>
      <c r="D304" s="56"/>
      <c r="E304" s="57"/>
      <c r="F304" s="58"/>
      <c r="G304" s="59"/>
      <c r="H304" s="56"/>
      <c r="I304" s="60" t="str">
        <f aca="false">IF(IsPro,IF($D304="","",IFERROR(INDEX(Items!$D$5:$D$504,Q304),"")),IF($D304="","","PRO PLAN"))</f>
        <v/>
      </c>
      <c r="J304" s="61" t="str">
        <f aca="false">IF(IsPro,IF($D304="","",IF($F304="",IFERROR(INDEX(Items!$G$5:$G$504,Q304),0),$F304)),"")</f>
        <v/>
      </c>
      <c r="K304" s="61" t="str">
        <f aca="false">IF(IsPro,IF($D304="","",ROUND(N($E304)*J304*(1-N($G304)),2)),"")</f>
        <v/>
      </c>
      <c r="L304" s="62" t="str">
        <f aca="false">IF(IsPro,IF($D304="","",IFERROR(INDEX(Items!$F$5:$F$504,Q304),0)),"")</f>
        <v/>
      </c>
      <c r="M304" s="61" t="str">
        <f aca="false">IF(IsPro,IF($D304="","",IF(AND(R304&lt;&gt;"",INDEX(Parties!$E$5:$E$304,R304)&lt;&gt;"",INDEX(Parties!$E$5:$E$304,R304)&lt;&gt;HomeState),0,ROUND(K304*L304/2,2))),"")</f>
        <v/>
      </c>
      <c r="N304" s="61" t="str">
        <f aca="false">IF(IsPro,IF($D304="","",M304),"")</f>
        <v/>
      </c>
      <c r="O304" s="61" t="str">
        <f aca="false">IF(IsPro,IF($D304="","",IF(AND(R304&lt;&gt;"",INDEX(Parties!$E$5:$E$304,R304)&lt;&gt;"",INDEX(Parties!$E$5:$E$304,R304)&lt;&gt;HomeState),ROUND(K304*L304,2),0)),"")</f>
        <v/>
      </c>
      <c r="P304" s="61" t="str">
        <f aca="false">IF(IsPro,IF($D304="","",K304+M304+N304+O304),"")</f>
        <v/>
      </c>
      <c r="Q304" s="60" t="str">
        <f aca="false">IF(IsPro,IF($D304="","",IFERROR(MATCH($D304,Items!$A$5:$A$504,0),"")),"")</f>
        <v/>
      </c>
      <c r="R304" s="60" t="str">
        <f aca="false">IF(IsPro,IF($C304="","",IFERROR(MATCH($C304,Parties!$A$5:$A$304,0),"")),"")</f>
        <v/>
      </c>
      <c r="S304" s="61" t="str">
        <f aca="false">IF(IsPro,IF($D304="","",IF(OR($H304="",$H304="Credit"),0,P304)),"")</f>
        <v/>
      </c>
    </row>
    <row r="305" customFormat="false" ht="15" hidden="false" customHeight="false" outlineLevel="0" collapsed="false">
      <c r="A305" s="55"/>
      <c r="B305" s="56"/>
      <c r="C305" s="56"/>
      <c r="D305" s="56"/>
      <c r="E305" s="57"/>
      <c r="F305" s="58"/>
      <c r="G305" s="59"/>
      <c r="H305" s="56"/>
      <c r="I305" s="60" t="str">
        <f aca="false">IF(IsPro,IF($D305="","",IFERROR(INDEX(Items!$D$5:$D$504,Q305),"")),IF($D305="","","PRO PLAN"))</f>
        <v/>
      </c>
      <c r="J305" s="61" t="str">
        <f aca="false">IF(IsPro,IF($D305="","",IF($F305="",IFERROR(INDEX(Items!$G$5:$G$504,Q305),0),$F305)),"")</f>
        <v/>
      </c>
      <c r="K305" s="61" t="str">
        <f aca="false">IF(IsPro,IF($D305="","",ROUND(N($E305)*J305*(1-N($G305)),2)),"")</f>
        <v/>
      </c>
      <c r="L305" s="62" t="str">
        <f aca="false">IF(IsPro,IF($D305="","",IFERROR(INDEX(Items!$F$5:$F$504,Q305),0)),"")</f>
        <v/>
      </c>
      <c r="M305" s="61" t="str">
        <f aca="false">IF(IsPro,IF($D305="","",IF(AND(R305&lt;&gt;"",INDEX(Parties!$E$5:$E$304,R305)&lt;&gt;"",INDEX(Parties!$E$5:$E$304,R305)&lt;&gt;HomeState),0,ROUND(K305*L305/2,2))),"")</f>
        <v/>
      </c>
      <c r="N305" s="61" t="str">
        <f aca="false">IF(IsPro,IF($D305="","",M305),"")</f>
        <v/>
      </c>
      <c r="O305" s="61" t="str">
        <f aca="false">IF(IsPro,IF($D305="","",IF(AND(R305&lt;&gt;"",INDEX(Parties!$E$5:$E$304,R305)&lt;&gt;"",INDEX(Parties!$E$5:$E$304,R305)&lt;&gt;HomeState),ROUND(K305*L305,2),0)),"")</f>
        <v/>
      </c>
      <c r="P305" s="61" t="str">
        <f aca="false">IF(IsPro,IF($D305="","",K305+M305+N305+O305),"")</f>
        <v/>
      </c>
      <c r="Q305" s="60" t="str">
        <f aca="false">IF(IsPro,IF($D305="","",IFERROR(MATCH($D305,Items!$A$5:$A$504,0),"")),"")</f>
        <v/>
      </c>
      <c r="R305" s="60" t="str">
        <f aca="false">IF(IsPro,IF($C305="","",IFERROR(MATCH($C305,Parties!$A$5:$A$304,0),"")),"")</f>
        <v/>
      </c>
      <c r="S305" s="61" t="str">
        <f aca="false">IF(IsPro,IF($D305="","",IF(OR($H305="",$H305="Credit"),0,P305)),"")</f>
        <v/>
      </c>
    </row>
    <row r="306" customFormat="false" ht="15" hidden="false" customHeight="false" outlineLevel="0" collapsed="false">
      <c r="A306" s="55"/>
      <c r="B306" s="56"/>
      <c r="C306" s="56"/>
      <c r="D306" s="56"/>
      <c r="E306" s="57"/>
      <c r="F306" s="58"/>
      <c r="G306" s="59"/>
      <c r="H306" s="56"/>
      <c r="I306" s="60" t="str">
        <f aca="false">IF(IsPro,IF($D306="","",IFERROR(INDEX(Items!$D$5:$D$504,Q306),"")),IF($D306="","","PRO PLAN"))</f>
        <v/>
      </c>
      <c r="J306" s="61" t="str">
        <f aca="false">IF(IsPro,IF($D306="","",IF($F306="",IFERROR(INDEX(Items!$G$5:$G$504,Q306),0),$F306)),"")</f>
        <v/>
      </c>
      <c r="K306" s="61" t="str">
        <f aca="false">IF(IsPro,IF($D306="","",ROUND(N($E306)*J306*(1-N($G306)),2)),"")</f>
        <v/>
      </c>
      <c r="L306" s="62" t="str">
        <f aca="false">IF(IsPro,IF($D306="","",IFERROR(INDEX(Items!$F$5:$F$504,Q306),0)),"")</f>
        <v/>
      </c>
      <c r="M306" s="61" t="str">
        <f aca="false">IF(IsPro,IF($D306="","",IF(AND(R306&lt;&gt;"",INDEX(Parties!$E$5:$E$304,R306)&lt;&gt;"",INDEX(Parties!$E$5:$E$304,R306)&lt;&gt;HomeState),0,ROUND(K306*L306/2,2))),"")</f>
        <v/>
      </c>
      <c r="N306" s="61" t="str">
        <f aca="false">IF(IsPro,IF($D306="","",M306),"")</f>
        <v/>
      </c>
      <c r="O306" s="61" t="str">
        <f aca="false">IF(IsPro,IF($D306="","",IF(AND(R306&lt;&gt;"",INDEX(Parties!$E$5:$E$304,R306)&lt;&gt;"",INDEX(Parties!$E$5:$E$304,R306)&lt;&gt;HomeState),ROUND(K306*L306,2),0)),"")</f>
        <v/>
      </c>
      <c r="P306" s="61" t="str">
        <f aca="false">IF(IsPro,IF($D306="","",K306+M306+N306+O306),"")</f>
        <v/>
      </c>
      <c r="Q306" s="60" t="str">
        <f aca="false">IF(IsPro,IF($D306="","",IFERROR(MATCH($D306,Items!$A$5:$A$504,0),"")),"")</f>
        <v/>
      </c>
      <c r="R306" s="60" t="str">
        <f aca="false">IF(IsPro,IF($C306="","",IFERROR(MATCH($C306,Parties!$A$5:$A$304,0),"")),"")</f>
        <v/>
      </c>
      <c r="S306" s="61" t="str">
        <f aca="false">IF(IsPro,IF($D306="","",IF(OR($H306="",$H306="Credit"),0,P306)),"")</f>
        <v/>
      </c>
    </row>
    <row r="307" customFormat="false" ht="15" hidden="false" customHeight="false" outlineLevel="0" collapsed="false">
      <c r="A307" s="55"/>
      <c r="B307" s="56"/>
      <c r="C307" s="56"/>
      <c r="D307" s="56"/>
      <c r="E307" s="57"/>
      <c r="F307" s="58"/>
      <c r="G307" s="59"/>
      <c r="H307" s="56"/>
      <c r="I307" s="60" t="str">
        <f aca="false">IF(IsPro,IF($D307="","",IFERROR(INDEX(Items!$D$5:$D$504,Q307),"")),IF($D307="","","PRO PLAN"))</f>
        <v/>
      </c>
      <c r="J307" s="61" t="str">
        <f aca="false">IF(IsPro,IF($D307="","",IF($F307="",IFERROR(INDEX(Items!$G$5:$G$504,Q307),0),$F307)),"")</f>
        <v/>
      </c>
      <c r="K307" s="61" t="str">
        <f aca="false">IF(IsPro,IF($D307="","",ROUND(N($E307)*J307*(1-N($G307)),2)),"")</f>
        <v/>
      </c>
      <c r="L307" s="62" t="str">
        <f aca="false">IF(IsPro,IF($D307="","",IFERROR(INDEX(Items!$F$5:$F$504,Q307),0)),"")</f>
        <v/>
      </c>
      <c r="M307" s="61" t="str">
        <f aca="false">IF(IsPro,IF($D307="","",IF(AND(R307&lt;&gt;"",INDEX(Parties!$E$5:$E$304,R307)&lt;&gt;"",INDEX(Parties!$E$5:$E$304,R307)&lt;&gt;HomeState),0,ROUND(K307*L307/2,2))),"")</f>
        <v/>
      </c>
      <c r="N307" s="61" t="str">
        <f aca="false">IF(IsPro,IF($D307="","",M307),"")</f>
        <v/>
      </c>
      <c r="O307" s="61" t="str">
        <f aca="false">IF(IsPro,IF($D307="","",IF(AND(R307&lt;&gt;"",INDEX(Parties!$E$5:$E$304,R307)&lt;&gt;"",INDEX(Parties!$E$5:$E$304,R307)&lt;&gt;HomeState),ROUND(K307*L307,2),0)),"")</f>
        <v/>
      </c>
      <c r="P307" s="61" t="str">
        <f aca="false">IF(IsPro,IF($D307="","",K307+M307+N307+O307),"")</f>
        <v/>
      </c>
      <c r="Q307" s="60" t="str">
        <f aca="false">IF(IsPro,IF($D307="","",IFERROR(MATCH($D307,Items!$A$5:$A$504,0),"")),"")</f>
        <v/>
      </c>
      <c r="R307" s="60" t="str">
        <f aca="false">IF(IsPro,IF($C307="","",IFERROR(MATCH($C307,Parties!$A$5:$A$304,0),"")),"")</f>
        <v/>
      </c>
      <c r="S307" s="61" t="str">
        <f aca="false">IF(IsPro,IF($D307="","",IF(OR($H307="",$H307="Credit"),0,P307)),"")</f>
        <v/>
      </c>
    </row>
    <row r="308" customFormat="false" ht="15" hidden="false" customHeight="false" outlineLevel="0" collapsed="false">
      <c r="A308" s="55"/>
      <c r="B308" s="56"/>
      <c r="C308" s="56"/>
      <c r="D308" s="56"/>
      <c r="E308" s="57"/>
      <c r="F308" s="58"/>
      <c r="G308" s="59"/>
      <c r="H308" s="56"/>
      <c r="I308" s="60" t="str">
        <f aca="false">IF(IsPro,IF($D308="","",IFERROR(INDEX(Items!$D$5:$D$504,Q308),"")),IF($D308="","","PRO PLAN"))</f>
        <v/>
      </c>
      <c r="J308" s="61" t="str">
        <f aca="false">IF(IsPro,IF($D308="","",IF($F308="",IFERROR(INDEX(Items!$G$5:$G$504,Q308),0),$F308)),"")</f>
        <v/>
      </c>
      <c r="K308" s="61" t="str">
        <f aca="false">IF(IsPro,IF($D308="","",ROUND(N($E308)*J308*(1-N($G308)),2)),"")</f>
        <v/>
      </c>
      <c r="L308" s="62" t="str">
        <f aca="false">IF(IsPro,IF($D308="","",IFERROR(INDEX(Items!$F$5:$F$504,Q308),0)),"")</f>
        <v/>
      </c>
      <c r="M308" s="61" t="str">
        <f aca="false">IF(IsPro,IF($D308="","",IF(AND(R308&lt;&gt;"",INDEX(Parties!$E$5:$E$304,R308)&lt;&gt;"",INDEX(Parties!$E$5:$E$304,R308)&lt;&gt;HomeState),0,ROUND(K308*L308/2,2))),"")</f>
        <v/>
      </c>
      <c r="N308" s="61" t="str">
        <f aca="false">IF(IsPro,IF($D308="","",M308),"")</f>
        <v/>
      </c>
      <c r="O308" s="61" t="str">
        <f aca="false">IF(IsPro,IF($D308="","",IF(AND(R308&lt;&gt;"",INDEX(Parties!$E$5:$E$304,R308)&lt;&gt;"",INDEX(Parties!$E$5:$E$304,R308)&lt;&gt;HomeState),ROUND(K308*L308,2),0)),"")</f>
        <v/>
      </c>
      <c r="P308" s="61" t="str">
        <f aca="false">IF(IsPro,IF($D308="","",K308+M308+N308+O308),"")</f>
        <v/>
      </c>
      <c r="Q308" s="60" t="str">
        <f aca="false">IF(IsPro,IF($D308="","",IFERROR(MATCH($D308,Items!$A$5:$A$504,0),"")),"")</f>
        <v/>
      </c>
      <c r="R308" s="60" t="str">
        <f aca="false">IF(IsPro,IF($C308="","",IFERROR(MATCH($C308,Parties!$A$5:$A$304,0),"")),"")</f>
        <v/>
      </c>
      <c r="S308" s="61" t="str">
        <f aca="false">IF(IsPro,IF($D308="","",IF(OR($H308="",$H308="Credit"),0,P308)),"")</f>
        <v/>
      </c>
    </row>
    <row r="309" customFormat="false" ht="15" hidden="false" customHeight="false" outlineLevel="0" collapsed="false">
      <c r="A309" s="55"/>
      <c r="B309" s="56"/>
      <c r="C309" s="56"/>
      <c r="D309" s="56"/>
      <c r="E309" s="57"/>
      <c r="F309" s="58"/>
      <c r="G309" s="59"/>
      <c r="H309" s="56"/>
      <c r="I309" s="60" t="str">
        <f aca="false">IF(IsPro,IF($D309="","",IFERROR(INDEX(Items!$D$5:$D$504,Q309),"")),IF($D309="","","PRO PLAN"))</f>
        <v/>
      </c>
      <c r="J309" s="61" t="str">
        <f aca="false">IF(IsPro,IF($D309="","",IF($F309="",IFERROR(INDEX(Items!$G$5:$G$504,Q309),0),$F309)),"")</f>
        <v/>
      </c>
      <c r="K309" s="61" t="str">
        <f aca="false">IF(IsPro,IF($D309="","",ROUND(N($E309)*J309*(1-N($G309)),2)),"")</f>
        <v/>
      </c>
      <c r="L309" s="62" t="str">
        <f aca="false">IF(IsPro,IF($D309="","",IFERROR(INDEX(Items!$F$5:$F$504,Q309),0)),"")</f>
        <v/>
      </c>
      <c r="M309" s="61" t="str">
        <f aca="false">IF(IsPro,IF($D309="","",IF(AND(R309&lt;&gt;"",INDEX(Parties!$E$5:$E$304,R309)&lt;&gt;"",INDEX(Parties!$E$5:$E$304,R309)&lt;&gt;HomeState),0,ROUND(K309*L309/2,2))),"")</f>
        <v/>
      </c>
      <c r="N309" s="61" t="str">
        <f aca="false">IF(IsPro,IF($D309="","",M309),"")</f>
        <v/>
      </c>
      <c r="O309" s="61" t="str">
        <f aca="false">IF(IsPro,IF($D309="","",IF(AND(R309&lt;&gt;"",INDEX(Parties!$E$5:$E$304,R309)&lt;&gt;"",INDEX(Parties!$E$5:$E$304,R309)&lt;&gt;HomeState),ROUND(K309*L309,2),0)),"")</f>
        <v/>
      </c>
      <c r="P309" s="61" t="str">
        <f aca="false">IF(IsPro,IF($D309="","",K309+M309+N309+O309),"")</f>
        <v/>
      </c>
      <c r="Q309" s="60" t="str">
        <f aca="false">IF(IsPro,IF($D309="","",IFERROR(MATCH($D309,Items!$A$5:$A$504,0),"")),"")</f>
        <v/>
      </c>
      <c r="R309" s="60" t="str">
        <f aca="false">IF(IsPro,IF($C309="","",IFERROR(MATCH($C309,Parties!$A$5:$A$304,0),"")),"")</f>
        <v/>
      </c>
      <c r="S309" s="61" t="str">
        <f aca="false">IF(IsPro,IF($D309="","",IF(OR($H309="",$H309="Credit"),0,P309)),"")</f>
        <v/>
      </c>
    </row>
    <row r="310" customFormat="false" ht="15" hidden="false" customHeight="false" outlineLevel="0" collapsed="false">
      <c r="A310" s="55"/>
      <c r="B310" s="56"/>
      <c r="C310" s="56"/>
      <c r="D310" s="56"/>
      <c r="E310" s="57"/>
      <c r="F310" s="58"/>
      <c r="G310" s="59"/>
      <c r="H310" s="56"/>
      <c r="I310" s="60" t="str">
        <f aca="false">IF(IsPro,IF($D310="","",IFERROR(INDEX(Items!$D$5:$D$504,Q310),"")),IF($D310="","","PRO PLAN"))</f>
        <v/>
      </c>
      <c r="J310" s="61" t="str">
        <f aca="false">IF(IsPro,IF($D310="","",IF($F310="",IFERROR(INDEX(Items!$G$5:$G$504,Q310),0),$F310)),"")</f>
        <v/>
      </c>
      <c r="K310" s="61" t="str">
        <f aca="false">IF(IsPro,IF($D310="","",ROUND(N($E310)*J310*(1-N($G310)),2)),"")</f>
        <v/>
      </c>
      <c r="L310" s="62" t="str">
        <f aca="false">IF(IsPro,IF($D310="","",IFERROR(INDEX(Items!$F$5:$F$504,Q310),0)),"")</f>
        <v/>
      </c>
      <c r="M310" s="61" t="str">
        <f aca="false">IF(IsPro,IF($D310="","",IF(AND(R310&lt;&gt;"",INDEX(Parties!$E$5:$E$304,R310)&lt;&gt;"",INDEX(Parties!$E$5:$E$304,R310)&lt;&gt;HomeState),0,ROUND(K310*L310/2,2))),"")</f>
        <v/>
      </c>
      <c r="N310" s="61" t="str">
        <f aca="false">IF(IsPro,IF($D310="","",M310),"")</f>
        <v/>
      </c>
      <c r="O310" s="61" t="str">
        <f aca="false">IF(IsPro,IF($D310="","",IF(AND(R310&lt;&gt;"",INDEX(Parties!$E$5:$E$304,R310)&lt;&gt;"",INDEX(Parties!$E$5:$E$304,R310)&lt;&gt;HomeState),ROUND(K310*L310,2),0)),"")</f>
        <v/>
      </c>
      <c r="P310" s="61" t="str">
        <f aca="false">IF(IsPro,IF($D310="","",K310+M310+N310+O310),"")</f>
        <v/>
      </c>
      <c r="Q310" s="60" t="str">
        <f aca="false">IF(IsPro,IF($D310="","",IFERROR(MATCH($D310,Items!$A$5:$A$504,0),"")),"")</f>
        <v/>
      </c>
      <c r="R310" s="60" t="str">
        <f aca="false">IF(IsPro,IF($C310="","",IFERROR(MATCH($C310,Parties!$A$5:$A$304,0),"")),"")</f>
        <v/>
      </c>
      <c r="S310" s="61" t="str">
        <f aca="false">IF(IsPro,IF($D310="","",IF(OR($H310="",$H310="Credit"),0,P310)),"")</f>
        <v/>
      </c>
    </row>
    <row r="311" customFormat="false" ht="15" hidden="false" customHeight="false" outlineLevel="0" collapsed="false">
      <c r="A311" s="55"/>
      <c r="B311" s="56"/>
      <c r="C311" s="56"/>
      <c r="D311" s="56"/>
      <c r="E311" s="57"/>
      <c r="F311" s="58"/>
      <c r="G311" s="59"/>
      <c r="H311" s="56"/>
      <c r="I311" s="60" t="str">
        <f aca="false">IF(IsPro,IF($D311="","",IFERROR(INDEX(Items!$D$5:$D$504,Q311),"")),IF($D311="","","PRO PLAN"))</f>
        <v/>
      </c>
      <c r="J311" s="61" t="str">
        <f aca="false">IF(IsPro,IF($D311="","",IF($F311="",IFERROR(INDEX(Items!$G$5:$G$504,Q311),0),$F311)),"")</f>
        <v/>
      </c>
      <c r="K311" s="61" t="str">
        <f aca="false">IF(IsPro,IF($D311="","",ROUND(N($E311)*J311*(1-N($G311)),2)),"")</f>
        <v/>
      </c>
      <c r="L311" s="62" t="str">
        <f aca="false">IF(IsPro,IF($D311="","",IFERROR(INDEX(Items!$F$5:$F$504,Q311),0)),"")</f>
        <v/>
      </c>
      <c r="M311" s="61" t="str">
        <f aca="false">IF(IsPro,IF($D311="","",IF(AND(R311&lt;&gt;"",INDEX(Parties!$E$5:$E$304,R311)&lt;&gt;"",INDEX(Parties!$E$5:$E$304,R311)&lt;&gt;HomeState),0,ROUND(K311*L311/2,2))),"")</f>
        <v/>
      </c>
      <c r="N311" s="61" t="str">
        <f aca="false">IF(IsPro,IF($D311="","",M311),"")</f>
        <v/>
      </c>
      <c r="O311" s="61" t="str">
        <f aca="false">IF(IsPro,IF($D311="","",IF(AND(R311&lt;&gt;"",INDEX(Parties!$E$5:$E$304,R311)&lt;&gt;"",INDEX(Parties!$E$5:$E$304,R311)&lt;&gt;HomeState),ROUND(K311*L311,2),0)),"")</f>
        <v/>
      </c>
      <c r="P311" s="61" t="str">
        <f aca="false">IF(IsPro,IF($D311="","",K311+M311+N311+O311),"")</f>
        <v/>
      </c>
      <c r="Q311" s="60" t="str">
        <f aca="false">IF(IsPro,IF($D311="","",IFERROR(MATCH($D311,Items!$A$5:$A$504,0),"")),"")</f>
        <v/>
      </c>
      <c r="R311" s="60" t="str">
        <f aca="false">IF(IsPro,IF($C311="","",IFERROR(MATCH($C311,Parties!$A$5:$A$304,0),"")),"")</f>
        <v/>
      </c>
      <c r="S311" s="61" t="str">
        <f aca="false">IF(IsPro,IF($D311="","",IF(OR($H311="",$H311="Credit"),0,P311)),"")</f>
        <v/>
      </c>
    </row>
    <row r="312" customFormat="false" ht="15" hidden="false" customHeight="false" outlineLevel="0" collapsed="false">
      <c r="A312" s="55"/>
      <c r="B312" s="56"/>
      <c r="C312" s="56"/>
      <c r="D312" s="56"/>
      <c r="E312" s="57"/>
      <c r="F312" s="58"/>
      <c r="G312" s="59"/>
      <c r="H312" s="56"/>
      <c r="I312" s="60" t="str">
        <f aca="false">IF(IsPro,IF($D312="","",IFERROR(INDEX(Items!$D$5:$D$504,Q312),"")),IF($D312="","","PRO PLAN"))</f>
        <v/>
      </c>
      <c r="J312" s="61" t="str">
        <f aca="false">IF(IsPro,IF($D312="","",IF($F312="",IFERROR(INDEX(Items!$G$5:$G$504,Q312),0),$F312)),"")</f>
        <v/>
      </c>
      <c r="K312" s="61" t="str">
        <f aca="false">IF(IsPro,IF($D312="","",ROUND(N($E312)*J312*(1-N($G312)),2)),"")</f>
        <v/>
      </c>
      <c r="L312" s="62" t="str">
        <f aca="false">IF(IsPro,IF($D312="","",IFERROR(INDEX(Items!$F$5:$F$504,Q312),0)),"")</f>
        <v/>
      </c>
      <c r="M312" s="61" t="str">
        <f aca="false">IF(IsPro,IF($D312="","",IF(AND(R312&lt;&gt;"",INDEX(Parties!$E$5:$E$304,R312)&lt;&gt;"",INDEX(Parties!$E$5:$E$304,R312)&lt;&gt;HomeState),0,ROUND(K312*L312/2,2))),"")</f>
        <v/>
      </c>
      <c r="N312" s="61" t="str">
        <f aca="false">IF(IsPro,IF($D312="","",M312),"")</f>
        <v/>
      </c>
      <c r="O312" s="61" t="str">
        <f aca="false">IF(IsPro,IF($D312="","",IF(AND(R312&lt;&gt;"",INDEX(Parties!$E$5:$E$304,R312)&lt;&gt;"",INDEX(Parties!$E$5:$E$304,R312)&lt;&gt;HomeState),ROUND(K312*L312,2),0)),"")</f>
        <v/>
      </c>
      <c r="P312" s="61" t="str">
        <f aca="false">IF(IsPro,IF($D312="","",K312+M312+N312+O312),"")</f>
        <v/>
      </c>
      <c r="Q312" s="60" t="str">
        <f aca="false">IF(IsPro,IF($D312="","",IFERROR(MATCH($D312,Items!$A$5:$A$504,0),"")),"")</f>
        <v/>
      </c>
      <c r="R312" s="60" t="str">
        <f aca="false">IF(IsPro,IF($C312="","",IFERROR(MATCH($C312,Parties!$A$5:$A$304,0),"")),"")</f>
        <v/>
      </c>
      <c r="S312" s="61" t="str">
        <f aca="false">IF(IsPro,IF($D312="","",IF(OR($H312="",$H312="Credit"),0,P312)),"")</f>
        <v/>
      </c>
    </row>
    <row r="313" customFormat="false" ht="15" hidden="false" customHeight="false" outlineLevel="0" collapsed="false">
      <c r="A313" s="55"/>
      <c r="B313" s="56"/>
      <c r="C313" s="56"/>
      <c r="D313" s="56"/>
      <c r="E313" s="57"/>
      <c r="F313" s="58"/>
      <c r="G313" s="59"/>
      <c r="H313" s="56"/>
      <c r="I313" s="60" t="str">
        <f aca="false">IF(IsPro,IF($D313="","",IFERROR(INDEX(Items!$D$5:$D$504,Q313),"")),IF($D313="","","PRO PLAN"))</f>
        <v/>
      </c>
      <c r="J313" s="61" t="str">
        <f aca="false">IF(IsPro,IF($D313="","",IF($F313="",IFERROR(INDEX(Items!$G$5:$G$504,Q313),0),$F313)),"")</f>
        <v/>
      </c>
      <c r="K313" s="61" t="str">
        <f aca="false">IF(IsPro,IF($D313="","",ROUND(N($E313)*J313*(1-N($G313)),2)),"")</f>
        <v/>
      </c>
      <c r="L313" s="62" t="str">
        <f aca="false">IF(IsPro,IF($D313="","",IFERROR(INDEX(Items!$F$5:$F$504,Q313),0)),"")</f>
        <v/>
      </c>
      <c r="M313" s="61" t="str">
        <f aca="false">IF(IsPro,IF($D313="","",IF(AND(R313&lt;&gt;"",INDEX(Parties!$E$5:$E$304,R313)&lt;&gt;"",INDEX(Parties!$E$5:$E$304,R313)&lt;&gt;HomeState),0,ROUND(K313*L313/2,2))),"")</f>
        <v/>
      </c>
      <c r="N313" s="61" t="str">
        <f aca="false">IF(IsPro,IF($D313="","",M313),"")</f>
        <v/>
      </c>
      <c r="O313" s="61" t="str">
        <f aca="false">IF(IsPro,IF($D313="","",IF(AND(R313&lt;&gt;"",INDEX(Parties!$E$5:$E$304,R313)&lt;&gt;"",INDEX(Parties!$E$5:$E$304,R313)&lt;&gt;HomeState),ROUND(K313*L313,2),0)),"")</f>
        <v/>
      </c>
      <c r="P313" s="61" t="str">
        <f aca="false">IF(IsPro,IF($D313="","",K313+M313+N313+O313),"")</f>
        <v/>
      </c>
      <c r="Q313" s="60" t="str">
        <f aca="false">IF(IsPro,IF($D313="","",IFERROR(MATCH($D313,Items!$A$5:$A$504,0),"")),"")</f>
        <v/>
      </c>
      <c r="R313" s="60" t="str">
        <f aca="false">IF(IsPro,IF($C313="","",IFERROR(MATCH($C313,Parties!$A$5:$A$304,0),"")),"")</f>
        <v/>
      </c>
      <c r="S313" s="61" t="str">
        <f aca="false">IF(IsPro,IF($D313="","",IF(OR($H313="",$H313="Credit"),0,P313)),"")</f>
        <v/>
      </c>
    </row>
    <row r="314" customFormat="false" ht="15" hidden="false" customHeight="false" outlineLevel="0" collapsed="false">
      <c r="A314" s="55"/>
      <c r="B314" s="56"/>
      <c r="C314" s="56"/>
      <c r="D314" s="56"/>
      <c r="E314" s="57"/>
      <c r="F314" s="58"/>
      <c r="G314" s="59"/>
      <c r="H314" s="56"/>
      <c r="I314" s="60" t="str">
        <f aca="false">IF(IsPro,IF($D314="","",IFERROR(INDEX(Items!$D$5:$D$504,Q314),"")),IF($D314="","","PRO PLAN"))</f>
        <v/>
      </c>
      <c r="J314" s="61" t="str">
        <f aca="false">IF(IsPro,IF($D314="","",IF($F314="",IFERROR(INDEX(Items!$G$5:$G$504,Q314),0),$F314)),"")</f>
        <v/>
      </c>
      <c r="K314" s="61" t="str">
        <f aca="false">IF(IsPro,IF($D314="","",ROUND(N($E314)*J314*(1-N($G314)),2)),"")</f>
        <v/>
      </c>
      <c r="L314" s="62" t="str">
        <f aca="false">IF(IsPro,IF($D314="","",IFERROR(INDEX(Items!$F$5:$F$504,Q314),0)),"")</f>
        <v/>
      </c>
      <c r="M314" s="61" t="str">
        <f aca="false">IF(IsPro,IF($D314="","",IF(AND(R314&lt;&gt;"",INDEX(Parties!$E$5:$E$304,R314)&lt;&gt;"",INDEX(Parties!$E$5:$E$304,R314)&lt;&gt;HomeState),0,ROUND(K314*L314/2,2))),"")</f>
        <v/>
      </c>
      <c r="N314" s="61" t="str">
        <f aca="false">IF(IsPro,IF($D314="","",M314),"")</f>
        <v/>
      </c>
      <c r="O314" s="61" t="str">
        <f aca="false">IF(IsPro,IF($D314="","",IF(AND(R314&lt;&gt;"",INDEX(Parties!$E$5:$E$304,R314)&lt;&gt;"",INDEX(Parties!$E$5:$E$304,R314)&lt;&gt;HomeState),ROUND(K314*L314,2),0)),"")</f>
        <v/>
      </c>
      <c r="P314" s="61" t="str">
        <f aca="false">IF(IsPro,IF($D314="","",K314+M314+N314+O314),"")</f>
        <v/>
      </c>
      <c r="Q314" s="60" t="str">
        <f aca="false">IF(IsPro,IF($D314="","",IFERROR(MATCH($D314,Items!$A$5:$A$504,0),"")),"")</f>
        <v/>
      </c>
      <c r="R314" s="60" t="str">
        <f aca="false">IF(IsPro,IF($C314="","",IFERROR(MATCH($C314,Parties!$A$5:$A$304,0),"")),"")</f>
        <v/>
      </c>
      <c r="S314" s="61" t="str">
        <f aca="false">IF(IsPro,IF($D314="","",IF(OR($H314="",$H314="Credit"),0,P314)),"")</f>
        <v/>
      </c>
    </row>
    <row r="315" customFormat="false" ht="15" hidden="false" customHeight="false" outlineLevel="0" collapsed="false">
      <c r="A315" s="55"/>
      <c r="B315" s="56"/>
      <c r="C315" s="56"/>
      <c r="D315" s="56"/>
      <c r="E315" s="57"/>
      <c r="F315" s="58"/>
      <c r="G315" s="59"/>
      <c r="H315" s="56"/>
      <c r="I315" s="60" t="str">
        <f aca="false">IF(IsPro,IF($D315="","",IFERROR(INDEX(Items!$D$5:$D$504,Q315),"")),IF($D315="","","PRO PLAN"))</f>
        <v/>
      </c>
      <c r="J315" s="61" t="str">
        <f aca="false">IF(IsPro,IF($D315="","",IF($F315="",IFERROR(INDEX(Items!$G$5:$G$504,Q315),0),$F315)),"")</f>
        <v/>
      </c>
      <c r="K315" s="61" t="str">
        <f aca="false">IF(IsPro,IF($D315="","",ROUND(N($E315)*J315*(1-N($G315)),2)),"")</f>
        <v/>
      </c>
      <c r="L315" s="62" t="str">
        <f aca="false">IF(IsPro,IF($D315="","",IFERROR(INDEX(Items!$F$5:$F$504,Q315),0)),"")</f>
        <v/>
      </c>
      <c r="M315" s="61" t="str">
        <f aca="false">IF(IsPro,IF($D315="","",IF(AND(R315&lt;&gt;"",INDEX(Parties!$E$5:$E$304,R315)&lt;&gt;"",INDEX(Parties!$E$5:$E$304,R315)&lt;&gt;HomeState),0,ROUND(K315*L315/2,2))),"")</f>
        <v/>
      </c>
      <c r="N315" s="61" t="str">
        <f aca="false">IF(IsPro,IF($D315="","",M315),"")</f>
        <v/>
      </c>
      <c r="O315" s="61" t="str">
        <f aca="false">IF(IsPro,IF($D315="","",IF(AND(R315&lt;&gt;"",INDEX(Parties!$E$5:$E$304,R315)&lt;&gt;"",INDEX(Parties!$E$5:$E$304,R315)&lt;&gt;HomeState),ROUND(K315*L315,2),0)),"")</f>
        <v/>
      </c>
      <c r="P315" s="61" t="str">
        <f aca="false">IF(IsPro,IF($D315="","",K315+M315+N315+O315),"")</f>
        <v/>
      </c>
      <c r="Q315" s="60" t="str">
        <f aca="false">IF(IsPro,IF($D315="","",IFERROR(MATCH($D315,Items!$A$5:$A$504,0),"")),"")</f>
        <v/>
      </c>
      <c r="R315" s="60" t="str">
        <f aca="false">IF(IsPro,IF($C315="","",IFERROR(MATCH($C315,Parties!$A$5:$A$304,0),"")),"")</f>
        <v/>
      </c>
      <c r="S315" s="61" t="str">
        <f aca="false">IF(IsPro,IF($D315="","",IF(OR($H315="",$H315="Credit"),0,P315)),"")</f>
        <v/>
      </c>
    </row>
    <row r="316" customFormat="false" ht="15" hidden="false" customHeight="false" outlineLevel="0" collapsed="false">
      <c r="A316" s="55"/>
      <c r="B316" s="56"/>
      <c r="C316" s="56"/>
      <c r="D316" s="56"/>
      <c r="E316" s="57"/>
      <c r="F316" s="58"/>
      <c r="G316" s="59"/>
      <c r="H316" s="56"/>
      <c r="I316" s="60" t="str">
        <f aca="false">IF(IsPro,IF($D316="","",IFERROR(INDEX(Items!$D$5:$D$504,Q316),"")),IF($D316="","","PRO PLAN"))</f>
        <v/>
      </c>
      <c r="J316" s="61" t="str">
        <f aca="false">IF(IsPro,IF($D316="","",IF($F316="",IFERROR(INDEX(Items!$G$5:$G$504,Q316),0),$F316)),"")</f>
        <v/>
      </c>
      <c r="K316" s="61" t="str">
        <f aca="false">IF(IsPro,IF($D316="","",ROUND(N($E316)*J316*(1-N($G316)),2)),"")</f>
        <v/>
      </c>
      <c r="L316" s="62" t="str">
        <f aca="false">IF(IsPro,IF($D316="","",IFERROR(INDEX(Items!$F$5:$F$504,Q316),0)),"")</f>
        <v/>
      </c>
      <c r="M316" s="61" t="str">
        <f aca="false">IF(IsPro,IF($D316="","",IF(AND(R316&lt;&gt;"",INDEX(Parties!$E$5:$E$304,R316)&lt;&gt;"",INDEX(Parties!$E$5:$E$304,R316)&lt;&gt;HomeState),0,ROUND(K316*L316/2,2))),"")</f>
        <v/>
      </c>
      <c r="N316" s="61" t="str">
        <f aca="false">IF(IsPro,IF($D316="","",M316),"")</f>
        <v/>
      </c>
      <c r="O316" s="61" t="str">
        <f aca="false">IF(IsPro,IF($D316="","",IF(AND(R316&lt;&gt;"",INDEX(Parties!$E$5:$E$304,R316)&lt;&gt;"",INDEX(Parties!$E$5:$E$304,R316)&lt;&gt;HomeState),ROUND(K316*L316,2),0)),"")</f>
        <v/>
      </c>
      <c r="P316" s="61" t="str">
        <f aca="false">IF(IsPro,IF($D316="","",K316+M316+N316+O316),"")</f>
        <v/>
      </c>
      <c r="Q316" s="60" t="str">
        <f aca="false">IF(IsPro,IF($D316="","",IFERROR(MATCH($D316,Items!$A$5:$A$504,0),"")),"")</f>
        <v/>
      </c>
      <c r="R316" s="60" t="str">
        <f aca="false">IF(IsPro,IF($C316="","",IFERROR(MATCH($C316,Parties!$A$5:$A$304,0),"")),"")</f>
        <v/>
      </c>
      <c r="S316" s="61" t="str">
        <f aca="false">IF(IsPro,IF($D316="","",IF(OR($H316="",$H316="Credit"),0,P316)),"")</f>
        <v/>
      </c>
    </row>
    <row r="317" customFormat="false" ht="15" hidden="false" customHeight="false" outlineLevel="0" collapsed="false">
      <c r="A317" s="55"/>
      <c r="B317" s="56"/>
      <c r="C317" s="56"/>
      <c r="D317" s="56"/>
      <c r="E317" s="57"/>
      <c r="F317" s="58"/>
      <c r="G317" s="59"/>
      <c r="H317" s="56"/>
      <c r="I317" s="60" t="str">
        <f aca="false">IF(IsPro,IF($D317="","",IFERROR(INDEX(Items!$D$5:$D$504,Q317),"")),IF($D317="","","PRO PLAN"))</f>
        <v/>
      </c>
      <c r="J317" s="61" t="str">
        <f aca="false">IF(IsPro,IF($D317="","",IF($F317="",IFERROR(INDEX(Items!$G$5:$G$504,Q317),0),$F317)),"")</f>
        <v/>
      </c>
      <c r="K317" s="61" t="str">
        <f aca="false">IF(IsPro,IF($D317="","",ROUND(N($E317)*J317*(1-N($G317)),2)),"")</f>
        <v/>
      </c>
      <c r="L317" s="62" t="str">
        <f aca="false">IF(IsPro,IF($D317="","",IFERROR(INDEX(Items!$F$5:$F$504,Q317),0)),"")</f>
        <v/>
      </c>
      <c r="M317" s="61" t="str">
        <f aca="false">IF(IsPro,IF($D317="","",IF(AND(R317&lt;&gt;"",INDEX(Parties!$E$5:$E$304,R317)&lt;&gt;"",INDEX(Parties!$E$5:$E$304,R317)&lt;&gt;HomeState),0,ROUND(K317*L317/2,2))),"")</f>
        <v/>
      </c>
      <c r="N317" s="61" t="str">
        <f aca="false">IF(IsPro,IF($D317="","",M317),"")</f>
        <v/>
      </c>
      <c r="O317" s="61" t="str">
        <f aca="false">IF(IsPro,IF($D317="","",IF(AND(R317&lt;&gt;"",INDEX(Parties!$E$5:$E$304,R317)&lt;&gt;"",INDEX(Parties!$E$5:$E$304,R317)&lt;&gt;HomeState),ROUND(K317*L317,2),0)),"")</f>
        <v/>
      </c>
      <c r="P317" s="61" t="str">
        <f aca="false">IF(IsPro,IF($D317="","",K317+M317+N317+O317),"")</f>
        <v/>
      </c>
      <c r="Q317" s="60" t="str">
        <f aca="false">IF(IsPro,IF($D317="","",IFERROR(MATCH($D317,Items!$A$5:$A$504,0),"")),"")</f>
        <v/>
      </c>
      <c r="R317" s="60" t="str">
        <f aca="false">IF(IsPro,IF($C317="","",IFERROR(MATCH($C317,Parties!$A$5:$A$304,0),"")),"")</f>
        <v/>
      </c>
      <c r="S317" s="61" t="str">
        <f aca="false">IF(IsPro,IF($D317="","",IF(OR($H317="",$H317="Credit"),0,P317)),"")</f>
        <v/>
      </c>
    </row>
    <row r="318" customFormat="false" ht="15" hidden="false" customHeight="false" outlineLevel="0" collapsed="false">
      <c r="A318" s="55"/>
      <c r="B318" s="56"/>
      <c r="C318" s="56"/>
      <c r="D318" s="56"/>
      <c r="E318" s="57"/>
      <c r="F318" s="58"/>
      <c r="G318" s="59"/>
      <c r="H318" s="56"/>
      <c r="I318" s="60" t="str">
        <f aca="false">IF(IsPro,IF($D318="","",IFERROR(INDEX(Items!$D$5:$D$504,Q318),"")),IF($D318="","","PRO PLAN"))</f>
        <v/>
      </c>
      <c r="J318" s="61" t="str">
        <f aca="false">IF(IsPro,IF($D318="","",IF($F318="",IFERROR(INDEX(Items!$G$5:$G$504,Q318),0),$F318)),"")</f>
        <v/>
      </c>
      <c r="K318" s="61" t="str">
        <f aca="false">IF(IsPro,IF($D318="","",ROUND(N($E318)*J318*(1-N($G318)),2)),"")</f>
        <v/>
      </c>
      <c r="L318" s="62" t="str">
        <f aca="false">IF(IsPro,IF($D318="","",IFERROR(INDEX(Items!$F$5:$F$504,Q318),0)),"")</f>
        <v/>
      </c>
      <c r="M318" s="61" t="str">
        <f aca="false">IF(IsPro,IF($D318="","",IF(AND(R318&lt;&gt;"",INDEX(Parties!$E$5:$E$304,R318)&lt;&gt;"",INDEX(Parties!$E$5:$E$304,R318)&lt;&gt;HomeState),0,ROUND(K318*L318/2,2))),"")</f>
        <v/>
      </c>
      <c r="N318" s="61" t="str">
        <f aca="false">IF(IsPro,IF($D318="","",M318),"")</f>
        <v/>
      </c>
      <c r="O318" s="61" t="str">
        <f aca="false">IF(IsPro,IF($D318="","",IF(AND(R318&lt;&gt;"",INDEX(Parties!$E$5:$E$304,R318)&lt;&gt;"",INDEX(Parties!$E$5:$E$304,R318)&lt;&gt;HomeState),ROUND(K318*L318,2),0)),"")</f>
        <v/>
      </c>
      <c r="P318" s="61" t="str">
        <f aca="false">IF(IsPro,IF($D318="","",K318+M318+N318+O318),"")</f>
        <v/>
      </c>
      <c r="Q318" s="60" t="str">
        <f aca="false">IF(IsPro,IF($D318="","",IFERROR(MATCH($D318,Items!$A$5:$A$504,0),"")),"")</f>
        <v/>
      </c>
      <c r="R318" s="60" t="str">
        <f aca="false">IF(IsPro,IF($C318="","",IFERROR(MATCH($C318,Parties!$A$5:$A$304,0),"")),"")</f>
        <v/>
      </c>
      <c r="S318" s="61" t="str">
        <f aca="false">IF(IsPro,IF($D318="","",IF(OR($H318="",$H318="Credit"),0,P318)),"")</f>
        <v/>
      </c>
    </row>
    <row r="319" customFormat="false" ht="15" hidden="false" customHeight="false" outlineLevel="0" collapsed="false">
      <c r="A319" s="55"/>
      <c r="B319" s="56"/>
      <c r="C319" s="56"/>
      <c r="D319" s="56"/>
      <c r="E319" s="57"/>
      <c r="F319" s="58"/>
      <c r="G319" s="59"/>
      <c r="H319" s="56"/>
      <c r="I319" s="60" t="str">
        <f aca="false">IF(IsPro,IF($D319="","",IFERROR(INDEX(Items!$D$5:$D$504,Q319),"")),IF($D319="","","PRO PLAN"))</f>
        <v/>
      </c>
      <c r="J319" s="61" t="str">
        <f aca="false">IF(IsPro,IF($D319="","",IF($F319="",IFERROR(INDEX(Items!$G$5:$G$504,Q319),0),$F319)),"")</f>
        <v/>
      </c>
      <c r="K319" s="61" t="str">
        <f aca="false">IF(IsPro,IF($D319="","",ROUND(N($E319)*J319*(1-N($G319)),2)),"")</f>
        <v/>
      </c>
      <c r="L319" s="62" t="str">
        <f aca="false">IF(IsPro,IF($D319="","",IFERROR(INDEX(Items!$F$5:$F$504,Q319),0)),"")</f>
        <v/>
      </c>
      <c r="M319" s="61" t="str">
        <f aca="false">IF(IsPro,IF($D319="","",IF(AND(R319&lt;&gt;"",INDEX(Parties!$E$5:$E$304,R319)&lt;&gt;"",INDEX(Parties!$E$5:$E$304,R319)&lt;&gt;HomeState),0,ROUND(K319*L319/2,2))),"")</f>
        <v/>
      </c>
      <c r="N319" s="61" t="str">
        <f aca="false">IF(IsPro,IF($D319="","",M319),"")</f>
        <v/>
      </c>
      <c r="O319" s="61" t="str">
        <f aca="false">IF(IsPro,IF($D319="","",IF(AND(R319&lt;&gt;"",INDEX(Parties!$E$5:$E$304,R319)&lt;&gt;"",INDEX(Parties!$E$5:$E$304,R319)&lt;&gt;HomeState),ROUND(K319*L319,2),0)),"")</f>
        <v/>
      </c>
      <c r="P319" s="61" t="str">
        <f aca="false">IF(IsPro,IF($D319="","",K319+M319+N319+O319),"")</f>
        <v/>
      </c>
      <c r="Q319" s="60" t="str">
        <f aca="false">IF(IsPro,IF($D319="","",IFERROR(MATCH($D319,Items!$A$5:$A$504,0),"")),"")</f>
        <v/>
      </c>
      <c r="R319" s="60" t="str">
        <f aca="false">IF(IsPro,IF($C319="","",IFERROR(MATCH($C319,Parties!$A$5:$A$304,0),"")),"")</f>
        <v/>
      </c>
      <c r="S319" s="61" t="str">
        <f aca="false">IF(IsPro,IF($D319="","",IF(OR($H319="",$H319="Credit"),0,P319)),"")</f>
        <v/>
      </c>
    </row>
    <row r="320" customFormat="false" ht="15" hidden="false" customHeight="false" outlineLevel="0" collapsed="false">
      <c r="A320" s="55"/>
      <c r="B320" s="56"/>
      <c r="C320" s="56"/>
      <c r="D320" s="56"/>
      <c r="E320" s="57"/>
      <c r="F320" s="58"/>
      <c r="G320" s="59"/>
      <c r="H320" s="56"/>
      <c r="I320" s="60" t="str">
        <f aca="false">IF(IsPro,IF($D320="","",IFERROR(INDEX(Items!$D$5:$D$504,Q320),"")),IF($D320="","","PRO PLAN"))</f>
        <v/>
      </c>
      <c r="J320" s="61" t="str">
        <f aca="false">IF(IsPro,IF($D320="","",IF($F320="",IFERROR(INDEX(Items!$G$5:$G$504,Q320),0),$F320)),"")</f>
        <v/>
      </c>
      <c r="K320" s="61" t="str">
        <f aca="false">IF(IsPro,IF($D320="","",ROUND(N($E320)*J320*(1-N($G320)),2)),"")</f>
        <v/>
      </c>
      <c r="L320" s="62" t="str">
        <f aca="false">IF(IsPro,IF($D320="","",IFERROR(INDEX(Items!$F$5:$F$504,Q320),0)),"")</f>
        <v/>
      </c>
      <c r="M320" s="61" t="str">
        <f aca="false">IF(IsPro,IF($D320="","",IF(AND(R320&lt;&gt;"",INDEX(Parties!$E$5:$E$304,R320)&lt;&gt;"",INDEX(Parties!$E$5:$E$304,R320)&lt;&gt;HomeState),0,ROUND(K320*L320/2,2))),"")</f>
        <v/>
      </c>
      <c r="N320" s="61" t="str">
        <f aca="false">IF(IsPro,IF($D320="","",M320),"")</f>
        <v/>
      </c>
      <c r="O320" s="61" t="str">
        <f aca="false">IF(IsPro,IF($D320="","",IF(AND(R320&lt;&gt;"",INDEX(Parties!$E$5:$E$304,R320)&lt;&gt;"",INDEX(Parties!$E$5:$E$304,R320)&lt;&gt;HomeState),ROUND(K320*L320,2),0)),"")</f>
        <v/>
      </c>
      <c r="P320" s="61" t="str">
        <f aca="false">IF(IsPro,IF($D320="","",K320+M320+N320+O320),"")</f>
        <v/>
      </c>
      <c r="Q320" s="60" t="str">
        <f aca="false">IF(IsPro,IF($D320="","",IFERROR(MATCH($D320,Items!$A$5:$A$504,0),"")),"")</f>
        <v/>
      </c>
      <c r="R320" s="60" t="str">
        <f aca="false">IF(IsPro,IF($C320="","",IFERROR(MATCH($C320,Parties!$A$5:$A$304,0),"")),"")</f>
        <v/>
      </c>
      <c r="S320" s="61" t="str">
        <f aca="false">IF(IsPro,IF($D320="","",IF(OR($H320="",$H320="Credit"),0,P320)),"")</f>
        <v/>
      </c>
    </row>
    <row r="321" customFormat="false" ht="15" hidden="false" customHeight="false" outlineLevel="0" collapsed="false">
      <c r="A321" s="55"/>
      <c r="B321" s="56"/>
      <c r="C321" s="56"/>
      <c r="D321" s="56"/>
      <c r="E321" s="57"/>
      <c r="F321" s="58"/>
      <c r="G321" s="59"/>
      <c r="H321" s="56"/>
      <c r="I321" s="60" t="str">
        <f aca="false">IF(IsPro,IF($D321="","",IFERROR(INDEX(Items!$D$5:$D$504,Q321),"")),IF($D321="","","PRO PLAN"))</f>
        <v/>
      </c>
      <c r="J321" s="61" t="str">
        <f aca="false">IF(IsPro,IF($D321="","",IF($F321="",IFERROR(INDEX(Items!$G$5:$G$504,Q321),0),$F321)),"")</f>
        <v/>
      </c>
      <c r="K321" s="61" t="str">
        <f aca="false">IF(IsPro,IF($D321="","",ROUND(N($E321)*J321*(1-N($G321)),2)),"")</f>
        <v/>
      </c>
      <c r="L321" s="62" t="str">
        <f aca="false">IF(IsPro,IF($D321="","",IFERROR(INDEX(Items!$F$5:$F$504,Q321),0)),"")</f>
        <v/>
      </c>
      <c r="M321" s="61" t="str">
        <f aca="false">IF(IsPro,IF($D321="","",IF(AND(R321&lt;&gt;"",INDEX(Parties!$E$5:$E$304,R321)&lt;&gt;"",INDEX(Parties!$E$5:$E$304,R321)&lt;&gt;HomeState),0,ROUND(K321*L321/2,2))),"")</f>
        <v/>
      </c>
      <c r="N321" s="61" t="str">
        <f aca="false">IF(IsPro,IF($D321="","",M321),"")</f>
        <v/>
      </c>
      <c r="O321" s="61" t="str">
        <f aca="false">IF(IsPro,IF($D321="","",IF(AND(R321&lt;&gt;"",INDEX(Parties!$E$5:$E$304,R321)&lt;&gt;"",INDEX(Parties!$E$5:$E$304,R321)&lt;&gt;HomeState),ROUND(K321*L321,2),0)),"")</f>
        <v/>
      </c>
      <c r="P321" s="61" t="str">
        <f aca="false">IF(IsPro,IF($D321="","",K321+M321+N321+O321),"")</f>
        <v/>
      </c>
      <c r="Q321" s="60" t="str">
        <f aca="false">IF(IsPro,IF($D321="","",IFERROR(MATCH($D321,Items!$A$5:$A$504,0),"")),"")</f>
        <v/>
      </c>
      <c r="R321" s="60" t="str">
        <f aca="false">IF(IsPro,IF($C321="","",IFERROR(MATCH($C321,Parties!$A$5:$A$304,0),"")),"")</f>
        <v/>
      </c>
      <c r="S321" s="61" t="str">
        <f aca="false">IF(IsPro,IF($D321="","",IF(OR($H321="",$H321="Credit"),0,P321)),"")</f>
        <v/>
      </c>
    </row>
    <row r="322" customFormat="false" ht="15" hidden="false" customHeight="false" outlineLevel="0" collapsed="false">
      <c r="A322" s="55"/>
      <c r="B322" s="56"/>
      <c r="C322" s="56"/>
      <c r="D322" s="56"/>
      <c r="E322" s="57"/>
      <c r="F322" s="58"/>
      <c r="G322" s="59"/>
      <c r="H322" s="56"/>
      <c r="I322" s="60" t="str">
        <f aca="false">IF(IsPro,IF($D322="","",IFERROR(INDEX(Items!$D$5:$D$504,Q322),"")),IF($D322="","","PRO PLAN"))</f>
        <v/>
      </c>
      <c r="J322" s="61" t="str">
        <f aca="false">IF(IsPro,IF($D322="","",IF($F322="",IFERROR(INDEX(Items!$G$5:$G$504,Q322),0),$F322)),"")</f>
        <v/>
      </c>
      <c r="K322" s="61" t="str">
        <f aca="false">IF(IsPro,IF($D322="","",ROUND(N($E322)*J322*(1-N($G322)),2)),"")</f>
        <v/>
      </c>
      <c r="L322" s="62" t="str">
        <f aca="false">IF(IsPro,IF($D322="","",IFERROR(INDEX(Items!$F$5:$F$504,Q322),0)),"")</f>
        <v/>
      </c>
      <c r="M322" s="61" t="str">
        <f aca="false">IF(IsPro,IF($D322="","",IF(AND(R322&lt;&gt;"",INDEX(Parties!$E$5:$E$304,R322)&lt;&gt;"",INDEX(Parties!$E$5:$E$304,R322)&lt;&gt;HomeState),0,ROUND(K322*L322/2,2))),"")</f>
        <v/>
      </c>
      <c r="N322" s="61" t="str">
        <f aca="false">IF(IsPro,IF($D322="","",M322),"")</f>
        <v/>
      </c>
      <c r="O322" s="61" t="str">
        <f aca="false">IF(IsPro,IF($D322="","",IF(AND(R322&lt;&gt;"",INDEX(Parties!$E$5:$E$304,R322)&lt;&gt;"",INDEX(Parties!$E$5:$E$304,R322)&lt;&gt;HomeState),ROUND(K322*L322,2),0)),"")</f>
        <v/>
      </c>
      <c r="P322" s="61" t="str">
        <f aca="false">IF(IsPro,IF($D322="","",K322+M322+N322+O322),"")</f>
        <v/>
      </c>
      <c r="Q322" s="60" t="str">
        <f aca="false">IF(IsPro,IF($D322="","",IFERROR(MATCH($D322,Items!$A$5:$A$504,0),"")),"")</f>
        <v/>
      </c>
      <c r="R322" s="60" t="str">
        <f aca="false">IF(IsPro,IF($C322="","",IFERROR(MATCH($C322,Parties!$A$5:$A$304,0),"")),"")</f>
        <v/>
      </c>
      <c r="S322" s="61" t="str">
        <f aca="false">IF(IsPro,IF($D322="","",IF(OR($H322="",$H322="Credit"),0,P322)),"")</f>
        <v/>
      </c>
    </row>
    <row r="323" customFormat="false" ht="15" hidden="false" customHeight="false" outlineLevel="0" collapsed="false">
      <c r="A323" s="55"/>
      <c r="B323" s="56"/>
      <c r="C323" s="56"/>
      <c r="D323" s="56"/>
      <c r="E323" s="57"/>
      <c r="F323" s="58"/>
      <c r="G323" s="59"/>
      <c r="H323" s="56"/>
      <c r="I323" s="60" t="str">
        <f aca="false">IF(IsPro,IF($D323="","",IFERROR(INDEX(Items!$D$5:$D$504,Q323),"")),IF($D323="","","PRO PLAN"))</f>
        <v/>
      </c>
      <c r="J323" s="61" t="str">
        <f aca="false">IF(IsPro,IF($D323="","",IF($F323="",IFERROR(INDEX(Items!$G$5:$G$504,Q323),0),$F323)),"")</f>
        <v/>
      </c>
      <c r="K323" s="61" t="str">
        <f aca="false">IF(IsPro,IF($D323="","",ROUND(N($E323)*J323*(1-N($G323)),2)),"")</f>
        <v/>
      </c>
      <c r="L323" s="62" t="str">
        <f aca="false">IF(IsPro,IF($D323="","",IFERROR(INDEX(Items!$F$5:$F$504,Q323),0)),"")</f>
        <v/>
      </c>
      <c r="M323" s="61" t="str">
        <f aca="false">IF(IsPro,IF($D323="","",IF(AND(R323&lt;&gt;"",INDEX(Parties!$E$5:$E$304,R323)&lt;&gt;"",INDEX(Parties!$E$5:$E$304,R323)&lt;&gt;HomeState),0,ROUND(K323*L323/2,2))),"")</f>
        <v/>
      </c>
      <c r="N323" s="61" t="str">
        <f aca="false">IF(IsPro,IF($D323="","",M323),"")</f>
        <v/>
      </c>
      <c r="O323" s="61" t="str">
        <f aca="false">IF(IsPro,IF($D323="","",IF(AND(R323&lt;&gt;"",INDEX(Parties!$E$5:$E$304,R323)&lt;&gt;"",INDEX(Parties!$E$5:$E$304,R323)&lt;&gt;HomeState),ROUND(K323*L323,2),0)),"")</f>
        <v/>
      </c>
      <c r="P323" s="61" t="str">
        <f aca="false">IF(IsPro,IF($D323="","",K323+M323+N323+O323),"")</f>
        <v/>
      </c>
      <c r="Q323" s="60" t="str">
        <f aca="false">IF(IsPro,IF($D323="","",IFERROR(MATCH($D323,Items!$A$5:$A$504,0),"")),"")</f>
        <v/>
      </c>
      <c r="R323" s="60" t="str">
        <f aca="false">IF(IsPro,IF($C323="","",IFERROR(MATCH($C323,Parties!$A$5:$A$304,0),"")),"")</f>
        <v/>
      </c>
      <c r="S323" s="61" t="str">
        <f aca="false">IF(IsPro,IF($D323="","",IF(OR($H323="",$H323="Credit"),0,P323)),"")</f>
        <v/>
      </c>
    </row>
    <row r="324" customFormat="false" ht="15" hidden="false" customHeight="false" outlineLevel="0" collapsed="false">
      <c r="A324" s="55"/>
      <c r="B324" s="56"/>
      <c r="C324" s="56"/>
      <c r="D324" s="56"/>
      <c r="E324" s="57"/>
      <c r="F324" s="58"/>
      <c r="G324" s="59"/>
      <c r="H324" s="56"/>
      <c r="I324" s="60" t="str">
        <f aca="false">IF(IsPro,IF($D324="","",IFERROR(INDEX(Items!$D$5:$D$504,Q324),"")),IF($D324="","","PRO PLAN"))</f>
        <v/>
      </c>
      <c r="J324" s="61" t="str">
        <f aca="false">IF(IsPro,IF($D324="","",IF($F324="",IFERROR(INDEX(Items!$G$5:$G$504,Q324),0),$F324)),"")</f>
        <v/>
      </c>
      <c r="K324" s="61" t="str">
        <f aca="false">IF(IsPro,IF($D324="","",ROUND(N($E324)*J324*(1-N($G324)),2)),"")</f>
        <v/>
      </c>
      <c r="L324" s="62" t="str">
        <f aca="false">IF(IsPro,IF($D324="","",IFERROR(INDEX(Items!$F$5:$F$504,Q324),0)),"")</f>
        <v/>
      </c>
      <c r="M324" s="61" t="str">
        <f aca="false">IF(IsPro,IF($D324="","",IF(AND(R324&lt;&gt;"",INDEX(Parties!$E$5:$E$304,R324)&lt;&gt;"",INDEX(Parties!$E$5:$E$304,R324)&lt;&gt;HomeState),0,ROUND(K324*L324/2,2))),"")</f>
        <v/>
      </c>
      <c r="N324" s="61" t="str">
        <f aca="false">IF(IsPro,IF($D324="","",M324),"")</f>
        <v/>
      </c>
      <c r="O324" s="61" t="str">
        <f aca="false">IF(IsPro,IF($D324="","",IF(AND(R324&lt;&gt;"",INDEX(Parties!$E$5:$E$304,R324)&lt;&gt;"",INDEX(Parties!$E$5:$E$304,R324)&lt;&gt;HomeState),ROUND(K324*L324,2),0)),"")</f>
        <v/>
      </c>
      <c r="P324" s="61" t="str">
        <f aca="false">IF(IsPro,IF($D324="","",K324+M324+N324+O324),"")</f>
        <v/>
      </c>
      <c r="Q324" s="60" t="str">
        <f aca="false">IF(IsPro,IF($D324="","",IFERROR(MATCH($D324,Items!$A$5:$A$504,0),"")),"")</f>
        <v/>
      </c>
      <c r="R324" s="60" t="str">
        <f aca="false">IF(IsPro,IF($C324="","",IFERROR(MATCH($C324,Parties!$A$5:$A$304,0),"")),"")</f>
        <v/>
      </c>
      <c r="S324" s="61" t="str">
        <f aca="false">IF(IsPro,IF($D324="","",IF(OR($H324="",$H324="Credit"),0,P324)),"")</f>
        <v/>
      </c>
    </row>
    <row r="325" customFormat="false" ht="15" hidden="false" customHeight="false" outlineLevel="0" collapsed="false">
      <c r="A325" s="55"/>
      <c r="B325" s="56"/>
      <c r="C325" s="56"/>
      <c r="D325" s="56"/>
      <c r="E325" s="57"/>
      <c r="F325" s="58"/>
      <c r="G325" s="59"/>
      <c r="H325" s="56"/>
      <c r="I325" s="60" t="str">
        <f aca="false">IF(IsPro,IF($D325="","",IFERROR(INDEX(Items!$D$5:$D$504,Q325),"")),IF($D325="","","PRO PLAN"))</f>
        <v/>
      </c>
      <c r="J325" s="61" t="str">
        <f aca="false">IF(IsPro,IF($D325="","",IF($F325="",IFERROR(INDEX(Items!$G$5:$G$504,Q325),0),$F325)),"")</f>
        <v/>
      </c>
      <c r="K325" s="61" t="str">
        <f aca="false">IF(IsPro,IF($D325="","",ROUND(N($E325)*J325*(1-N($G325)),2)),"")</f>
        <v/>
      </c>
      <c r="L325" s="62" t="str">
        <f aca="false">IF(IsPro,IF($D325="","",IFERROR(INDEX(Items!$F$5:$F$504,Q325),0)),"")</f>
        <v/>
      </c>
      <c r="M325" s="61" t="str">
        <f aca="false">IF(IsPro,IF($D325="","",IF(AND(R325&lt;&gt;"",INDEX(Parties!$E$5:$E$304,R325)&lt;&gt;"",INDEX(Parties!$E$5:$E$304,R325)&lt;&gt;HomeState),0,ROUND(K325*L325/2,2))),"")</f>
        <v/>
      </c>
      <c r="N325" s="61" t="str">
        <f aca="false">IF(IsPro,IF($D325="","",M325),"")</f>
        <v/>
      </c>
      <c r="O325" s="61" t="str">
        <f aca="false">IF(IsPro,IF($D325="","",IF(AND(R325&lt;&gt;"",INDEX(Parties!$E$5:$E$304,R325)&lt;&gt;"",INDEX(Parties!$E$5:$E$304,R325)&lt;&gt;HomeState),ROUND(K325*L325,2),0)),"")</f>
        <v/>
      </c>
      <c r="P325" s="61" t="str">
        <f aca="false">IF(IsPro,IF($D325="","",K325+M325+N325+O325),"")</f>
        <v/>
      </c>
      <c r="Q325" s="60" t="str">
        <f aca="false">IF(IsPro,IF($D325="","",IFERROR(MATCH($D325,Items!$A$5:$A$504,0),"")),"")</f>
        <v/>
      </c>
      <c r="R325" s="60" t="str">
        <f aca="false">IF(IsPro,IF($C325="","",IFERROR(MATCH($C325,Parties!$A$5:$A$304,0),"")),"")</f>
        <v/>
      </c>
      <c r="S325" s="61" t="str">
        <f aca="false">IF(IsPro,IF($D325="","",IF(OR($H325="",$H325="Credit"),0,P325)),"")</f>
        <v/>
      </c>
    </row>
    <row r="326" customFormat="false" ht="15" hidden="false" customHeight="false" outlineLevel="0" collapsed="false">
      <c r="A326" s="55"/>
      <c r="B326" s="56"/>
      <c r="C326" s="56"/>
      <c r="D326" s="56"/>
      <c r="E326" s="57"/>
      <c r="F326" s="58"/>
      <c r="G326" s="59"/>
      <c r="H326" s="56"/>
      <c r="I326" s="60" t="str">
        <f aca="false">IF(IsPro,IF($D326="","",IFERROR(INDEX(Items!$D$5:$D$504,Q326),"")),IF($D326="","","PRO PLAN"))</f>
        <v/>
      </c>
      <c r="J326" s="61" t="str">
        <f aca="false">IF(IsPro,IF($D326="","",IF($F326="",IFERROR(INDEX(Items!$G$5:$G$504,Q326),0),$F326)),"")</f>
        <v/>
      </c>
      <c r="K326" s="61" t="str">
        <f aca="false">IF(IsPro,IF($D326="","",ROUND(N($E326)*J326*(1-N($G326)),2)),"")</f>
        <v/>
      </c>
      <c r="L326" s="62" t="str">
        <f aca="false">IF(IsPro,IF($D326="","",IFERROR(INDEX(Items!$F$5:$F$504,Q326),0)),"")</f>
        <v/>
      </c>
      <c r="M326" s="61" t="str">
        <f aca="false">IF(IsPro,IF($D326="","",IF(AND(R326&lt;&gt;"",INDEX(Parties!$E$5:$E$304,R326)&lt;&gt;"",INDEX(Parties!$E$5:$E$304,R326)&lt;&gt;HomeState),0,ROUND(K326*L326/2,2))),"")</f>
        <v/>
      </c>
      <c r="N326" s="61" t="str">
        <f aca="false">IF(IsPro,IF($D326="","",M326),"")</f>
        <v/>
      </c>
      <c r="O326" s="61" t="str">
        <f aca="false">IF(IsPro,IF($D326="","",IF(AND(R326&lt;&gt;"",INDEX(Parties!$E$5:$E$304,R326)&lt;&gt;"",INDEX(Parties!$E$5:$E$304,R326)&lt;&gt;HomeState),ROUND(K326*L326,2),0)),"")</f>
        <v/>
      </c>
      <c r="P326" s="61" t="str">
        <f aca="false">IF(IsPro,IF($D326="","",K326+M326+N326+O326),"")</f>
        <v/>
      </c>
      <c r="Q326" s="60" t="str">
        <f aca="false">IF(IsPro,IF($D326="","",IFERROR(MATCH($D326,Items!$A$5:$A$504,0),"")),"")</f>
        <v/>
      </c>
      <c r="R326" s="60" t="str">
        <f aca="false">IF(IsPro,IF($C326="","",IFERROR(MATCH($C326,Parties!$A$5:$A$304,0),"")),"")</f>
        <v/>
      </c>
      <c r="S326" s="61" t="str">
        <f aca="false">IF(IsPro,IF($D326="","",IF(OR($H326="",$H326="Credit"),0,P326)),"")</f>
        <v/>
      </c>
    </row>
    <row r="327" customFormat="false" ht="15" hidden="false" customHeight="false" outlineLevel="0" collapsed="false">
      <c r="A327" s="55"/>
      <c r="B327" s="56"/>
      <c r="C327" s="56"/>
      <c r="D327" s="56"/>
      <c r="E327" s="57"/>
      <c r="F327" s="58"/>
      <c r="G327" s="59"/>
      <c r="H327" s="56"/>
      <c r="I327" s="60" t="str">
        <f aca="false">IF(IsPro,IF($D327="","",IFERROR(INDEX(Items!$D$5:$D$504,Q327),"")),IF($D327="","","PRO PLAN"))</f>
        <v/>
      </c>
      <c r="J327" s="61" t="str">
        <f aca="false">IF(IsPro,IF($D327="","",IF($F327="",IFERROR(INDEX(Items!$G$5:$G$504,Q327),0),$F327)),"")</f>
        <v/>
      </c>
      <c r="K327" s="61" t="str">
        <f aca="false">IF(IsPro,IF($D327="","",ROUND(N($E327)*J327*(1-N($G327)),2)),"")</f>
        <v/>
      </c>
      <c r="L327" s="62" t="str">
        <f aca="false">IF(IsPro,IF($D327="","",IFERROR(INDEX(Items!$F$5:$F$504,Q327),0)),"")</f>
        <v/>
      </c>
      <c r="M327" s="61" t="str">
        <f aca="false">IF(IsPro,IF($D327="","",IF(AND(R327&lt;&gt;"",INDEX(Parties!$E$5:$E$304,R327)&lt;&gt;"",INDEX(Parties!$E$5:$E$304,R327)&lt;&gt;HomeState),0,ROUND(K327*L327/2,2))),"")</f>
        <v/>
      </c>
      <c r="N327" s="61" t="str">
        <f aca="false">IF(IsPro,IF($D327="","",M327),"")</f>
        <v/>
      </c>
      <c r="O327" s="61" t="str">
        <f aca="false">IF(IsPro,IF($D327="","",IF(AND(R327&lt;&gt;"",INDEX(Parties!$E$5:$E$304,R327)&lt;&gt;"",INDEX(Parties!$E$5:$E$304,R327)&lt;&gt;HomeState),ROUND(K327*L327,2),0)),"")</f>
        <v/>
      </c>
      <c r="P327" s="61" t="str">
        <f aca="false">IF(IsPro,IF($D327="","",K327+M327+N327+O327),"")</f>
        <v/>
      </c>
      <c r="Q327" s="60" t="str">
        <f aca="false">IF(IsPro,IF($D327="","",IFERROR(MATCH($D327,Items!$A$5:$A$504,0),"")),"")</f>
        <v/>
      </c>
      <c r="R327" s="60" t="str">
        <f aca="false">IF(IsPro,IF($C327="","",IFERROR(MATCH($C327,Parties!$A$5:$A$304,0),"")),"")</f>
        <v/>
      </c>
      <c r="S327" s="61" t="str">
        <f aca="false">IF(IsPro,IF($D327="","",IF(OR($H327="",$H327="Credit"),0,P327)),"")</f>
        <v/>
      </c>
    </row>
    <row r="328" customFormat="false" ht="15" hidden="false" customHeight="false" outlineLevel="0" collapsed="false">
      <c r="A328" s="55"/>
      <c r="B328" s="56"/>
      <c r="C328" s="56"/>
      <c r="D328" s="56"/>
      <c r="E328" s="57"/>
      <c r="F328" s="58"/>
      <c r="G328" s="59"/>
      <c r="H328" s="56"/>
      <c r="I328" s="60" t="str">
        <f aca="false">IF(IsPro,IF($D328="","",IFERROR(INDEX(Items!$D$5:$D$504,Q328),"")),IF($D328="","","PRO PLAN"))</f>
        <v/>
      </c>
      <c r="J328" s="61" t="str">
        <f aca="false">IF(IsPro,IF($D328="","",IF($F328="",IFERROR(INDEX(Items!$G$5:$G$504,Q328),0),$F328)),"")</f>
        <v/>
      </c>
      <c r="K328" s="61" t="str">
        <f aca="false">IF(IsPro,IF($D328="","",ROUND(N($E328)*J328*(1-N($G328)),2)),"")</f>
        <v/>
      </c>
      <c r="L328" s="62" t="str">
        <f aca="false">IF(IsPro,IF($D328="","",IFERROR(INDEX(Items!$F$5:$F$504,Q328),0)),"")</f>
        <v/>
      </c>
      <c r="M328" s="61" t="str">
        <f aca="false">IF(IsPro,IF($D328="","",IF(AND(R328&lt;&gt;"",INDEX(Parties!$E$5:$E$304,R328)&lt;&gt;"",INDEX(Parties!$E$5:$E$304,R328)&lt;&gt;HomeState),0,ROUND(K328*L328/2,2))),"")</f>
        <v/>
      </c>
      <c r="N328" s="61" t="str">
        <f aca="false">IF(IsPro,IF($D328="","",M328),"")</f>
        <v/>
      </c>
      <c r="O328" s="61" t="str">
        <f aca="false">IF(IsPro,IF($D328="","",IF(AND(R328&lt;&gt;"",INDEX(Parties!$E$5:$E$304,R328)&lt;&gt;"",INDEX(Parties!$E$5:$E$304,R328)&lt;&gt;HomeState),ROUND(K328*L328,2),0)),"")</f>
        <v/>
      </c>
      <c r="P328" s="61" t="str">
        <f aca="false">IF(IsPro,IF($D328="","",K328+M328+N328+O328),"")</f>
        <v/>
      </c>
      <c r="Q328" s="60" t="str">
        <f aca="false">IF(IsPro,IF($D328="","",IFERROR(MATCH($D328,Items!$A$5:$A$504,0),"")),"")</f>
        <v/>
      </c>
      <c r="R328" s="60" t="str">
        <f aca="false">IF(IsPro,IF($C328="","",IFERROR(MATCH($C328,Parties!$A$5:$A$304,0),"")),"")</f>
        <v/>
      </c>
      <c r="S328" s="61" t="str">
        <f aca="false">IF(IsPro,IF($D328="","",IF(OR($H328="",$H328="Credit"),0,P328)),"")</f>
        <v/>
      </c>
    </row>
    <row r="329" customFormat="false" ht="15" hidden="false" customHeight="false" outlineLevel="0" collapsed="false">
      <c r="A329" s="55"/>
      <c r="B329" s="56"/>
      <c r="C329" s="56"/>
      <c r="D329" s="56"/>
      <c r="E329" s="57"/>
      <c r="F329" s="58"/>
      <c r="G329" s="59"/>
      <c r="H329" s="56"/>
      <c r="I329" s="60" t="str">
        <f aca="false">IF(IsPro,IF($D329="","",IFERROR(INDEX(Items!$D$5:$D$504,Q329),"")),IF($D329="","","PRO PLAN"))</f>
        <v/>
      </c>
      <c r="J329" s="61" t="str">
        <f aca="false">IF(IsPro,IF($D329="","",IF($F329="",IFERROR(INDEX(Items!$G$5:$G$504,Q329),0),$F329)),"")</f>
        <v/>
      </c>
      <c r="K329" s="61" t="str">
        <f aca="false">IF(IsPro,IF($D329="","",ROUND(N($E329)*J329*(1-N($G329)),2)),"")</f>
        <v/>
      </c>
      <c r="L329" s="62" t="str">
        <f aca="false">IF(IsPro,IF($D329="","",IFERROR(INDEX(Items!$F$5:$F$504,Q329),0)),"")</f>
        <v/>
      </c>
      <c r="M329" s="61" t="str">
        <f aca="false">IF(IsPro,IF($D329="","",IF(AND(R329&lt;&gt;"",INDEX(Parties!$E$5:$E$304,R329)&lt;&gt;"",INDEX(Parties!$E$5:$E$304,R329)&lt;&gt;HomeState),0,ROUND(K329*L329/2,2))),"")</f>
        <v/>
      </c>
      <c r="N329" s="61" t="str">
        <f aca="false">IF(IsPro,IF($D329="","",M329),"")</f>
        <v/>
      </c>
      <c r="O329" s="61" t="str">
        <f aca="false">IF(IsPro,IF($D329="","",IF(AND(R329&lt;&gt;"",INDEX(Parties!$E$5:$E$304,R329)&lt;&gt;"",INDEX(Parties!$E$5:$E$304,R329)&lt;&gt;HomeState),ROUND(K329*L329,2),0)),"")</f>
        <v/>
      </c>
      <c r="P329" s="61" t="str">
        <f aca="false">IF(IsPro,IF($D329="","",K329+M329+N329+O329),"")</f>
        <v/>
      </c>
      <c r="Q329" s="60" t="str">
        <f aca="false">IF(IsPro,IF($D329="","",IFERROR(MATCH($D329,Items!$A$5:$A$504,0),"")),"")</f>
        <v/>
      </c>
      <c r="R329" s="60" t="str">
        <f aca="false">IF(IsPro,IF($C329="","",IFERROR(MATCH($C329,Parties!$A$5:$A$304,0),"")),"")</f>
        <v/>
      </c>
      <c r="S329" s="61" t="str">
        <f aca="false">IF(IsPro,IF($D329="","",IF(OR($H329="",$H329="Credit"),0,P329)),"")</f>
        <v/>
      </c>
    </row>
    <row r="330" customFormat="false" ht="15" hidden="false" customHeight="false" outlineLevel="0" collapsed="false">
      <c r="A330" s="55"/>
      <c r="B330" s="56"/>
      <c r="C330" s="56"/>
      <c r="D330" s="56"/>
      <c r="E330" s="57"/>
      <c r="F330" s="58"/>
      <c r="G330" s="59"/>
      <c r="H330" s="56"/>
      <c r="I330" s="60" t="str">
        <f aca="false">IF(IsPro,IF($D330="","",IFERROR(INDEX(Items!$D$5:$D$504,Q330),"")),IF($D330="","","PRO PLAN"))</f>
        <v/>
      </c>
      <c r="J330" s="61" t="str">
        <f aca="false">IF(IsPro,IF($D330="","",IF($F330="",IFERROR(INDEX(Items!$G$5:$G$504,Q330),0),$F330)),"")</f>
        <v/>
      </c>
      <c r="K330" s="61" t="str">
        <f aca="false">IF(IsPro,IF($D330="","",ROUND(N($E330)*J330*(1-N($G330)),2)),"")</f>
        <v/>
      </c>
      <c r="L330" s="62" t="str">
        <f aca="false">IF(IsPro,IF($D330="","",IFERROR(INDEX(Items!$F$5:$F$504,Q330),0)),"")</f>
        <v/>
      </c>
      <c r="M330" s="61" t="str">
        <f aca="false">IF(IsPro,IF($D330="","",IF(AND(R330&lt;&gt;"",INDEX(Parties!$E$5:$E$304,R330)&lt;&gt;"",INDEX(Parties!$E$5:$E$304,R330)&lt;&gt;HomeState),0,ROUND(K330*L330/2,2))),"")</f>
        <v/>
      </c>
      <c r="N330" s="61" t="str">
        <f aca="false">IF(IsPro,IF($D330="","",M330),"")</f>
        <v/>
      </c>
      <c r="O330" s="61" t="str">
        <f aca="false">IF(IsPro,IF($D330="","",IF(AND(R330&lt;&gt;"",INDEX(Parties!$E$5:$E$304,R330)&lt;&gt;"",INDEX(Parties!$E$5:$E$304,R330)&lt;&gt;HomeState),ROUND(K330*L330,2),0)),"")</f>
        <v/>
      </c>
      <c r="P330" s="61" t="str">
        <f aca="false">IF(IsPro,IF($D330="","",K330+M330+N330+O330),"")</f>
        <v/>
      </c>
      <c r="Q330" s="60" t="str">
        <f aca="false">IF(IsPro,IF($D330="","",IFERROR(MATCH($D330,Items!$A$5:$A$504,0),"")),"")</f>
        <v/>
      </c>
      <c r="R330" s="60" t="str">
        <f aca="false">IF(IsPro,IF($C330="","",IFERROR(MATCH($C330,Parties!$A$5:$A$304,0),"")),"")</f>
        <v/>
      </c>
      <c r="S330" s="61" t="str">
        <f aca="false">IF(IsPro,IF($D330="","",IF(OR($H330="",$H330="Credit"),0,P330)),"")</f>
        <v/>
      </c>
    </row>
    <row r="331" customFormat="false" ht="15" hidden="false" customHeight="false" outlineLevel="0" collapsed="false">
      <c r="A331" s="55"/>
      <c r="B331" s="56"/>
      <c r="C331" s="56"/>
      <c r="D331" s="56"/>
      <c r="E331" s="57"/>
      <c r="F331" s="58"/>
      <c r="G331" s="59"/>
      <c r="H331" s="56"/>
      <c r="I331" s="60" t="str">
        <f aca="false">IF(IsPro,IF($D331="","",IFERROR(INDEX(Items!$D$5:$D$504,Q331),"")),IF($D331="","","PRO PLAN"))</f>
        <v/>
      </c>
      <c r="J331" s="61" t="str">
        <f aca="false">IF(IsPro,IF($D331="","",IF($F331="",IFERROR(INDEX(Items!$G$5:$G$504,Q331),0),$F331)),"")</f>
        <v/>
      </c>
      <c r="K331" s="61" t="str">
        <f aca="false">IF(IsPro,IF($D331="","",ROUND(N($E331)*J331*(1-N($G331)),2)),"")</f>
        <v/>
      </c>
      <c r="L331" s="62" t="str">
        <f aca="false">IF(IsPro,IF($D331="","",IFERROR(INDEX(Items!$F$5:$F$504,Q331),0)),"")</f>
        <v/>
      </c>
      <c r="M331" s="61" t="str">
        <f aca="false">IF(IsPro,IF($D331="","",IF(AND(R331&lt;&gt;"",INDEX(Parties!$E$5:$E$304,R331)&lt;&gt;"",INDEX(Parties!$E$5:$E$304,R331)&lt;&gt;HomeState),0,ROUND(K331*L331/2,2))),"")</f>
        <v/>
      </c>
      <c r="N331" s="61" t="str">
        <f aca="false">IF(IsPro,IF($D331="","",M331),"")</f>
        <v/>
      </c>
      <c r="O331" s="61" t="str">
        <f aca="false">IF(IsPro,IF($D331="","",IF(AND(R331&lt;&gt;"",INDEX(Parties!$E$5:$E$304,R331)&lt;&gt;"",INDEX(Parties!$E$5:$E$304,R331)&lt;&gt;HomeState),ROUND(K331*L331,2),0)),"")</f>
        <v/>
      </c>
      <c r="P331" s="61" t="str">
        <f aca="false">IF(IsPro,IF($D331="","",K331+M331+N331+O331),"")</f>
        <v/>
      </c>
      <c r="Q331" s="60" t="str">
        <f aca="false">IF(IsPro,IF($D331="","",IFERROR(MATCH($D331,Items!$A$5:$A$504,0),"")),"")</f>
        <v/>
      </c>
      <c r="R331" s="60" t="str">
        <f aca="false">IF(IsPro,IF($C331="","",IFERROR(MATCH($C331,Parties!$A$5:$A$304,0),"")),"")</f>
        <v/>
      </c>
      <c r="S331" s="61" t="str">
        <f aca="false">IF(IsPro,IF($D331="","",IF(OR($H331="",$H331="Credit"),0,P331)),"")</f>
        <v/>
      </c>
    </row>
    <row r="332" customFormat="false" ht="15" hidden="false" customHeight="false" outlineLevel="0" collapsed="false">
      <c r="A332" s="55"/>
      <c r="B332" s="56"/>
      <c r="C332" s="56"/>
      <c r="D332" s="56"/>
      <c r="E332" s="57"/>
      <c r="F332" s="58"/>
      <c r="G332" s="59"/>
      <c r="H332" s="56"/>
      <c r="I332" s="60" t="str">
        <f aca="false">IF(IsPro,IF($D332="","",IFERROR(INDEX(Items!$D$5:$D$504,Q332),"")),IF($D332="","","PRO PLAN"))</f>
        <v/>
      </c>
      <c r="J332" s="61" t="str">
        <f aca="false">IF(IsPro,IF($D332="","",IF($F332="",IFERROR(INDEX(Items!$G$5:$G$504,Q332),0),$F332)),"")</f>
        <v/>
      </c>
      <c r="K332" s="61" t="str">
        <f aca="false">IF(IsPro,IF($D332="","",ROUND(N($E332)*J332*(1-N($G332)),2)),"")</f>
        <v/>
      </c>
      <c r="L332" s="62" t="str">
        <f aca="false">IF(IsPro,IF($D332="","",IFERROR(INDEX(Items!$F$5:$F$504,Q332),0)),"")</f>
        <v/>
      </c>
      <c r="M332" s="61" t="str">
        <f aca="false">IF(IsPro,IF($D332="","",IF(AND(R332&lt;&gt;"",INDEX(Parties!$E$5:$E$304,R332)&lt;&gt;"",INDEX(Parties!$E$5:$E$304,R332)&lt;&gt;HomeState),0,ROUND(K332*L332/2,2))),"")</f>
        <v/>
      </c>
      <c r="N332" s="61" t="str">
        <f aca="false">IF(IsPro,IF($D332="","",M332),"")</f>
        <v/>
      </c>
      <c r="O332" s="61" t="str">
        <f aca="false">IF(IsPro,IF($D332="","",IF(AND(R332&lt;&gt;"",INDEX(Parties!$E$5:$E$304,R332)&lt;&gt;"",INDEX(Parties!$E$5:$E$304,R332)&lt;&gt;HomeState),ROUND(K332*L332,2),0)),"")</f>
        <v/>
      </c>
      <c r="P332" s="61" t="str">
        <f aca="false">IF(IsPro,IF($D332="","",K332+M332+N332+O332),"")</f>
        <v/>
      </c>
      <c r="Q332" s="60" t="str">
        <f aca="false">IF(IsPro,IF($D332="","",IFERROR(MATCH($D332,Items!$A$5:$A$504,0),"")),"")</f>
        <v/>
      </c>
      <c r="R332" s="60" t="str">
        <f aca="false">IF(IsPro,IF($C332="","",IFERROR(MATCH($C332,Parties!$A$5:$A$304,0),"")),"")</f>
        <v/>
      </c>
      <c r="S332" s="61" t="str">
        <f aca="false">IF(IsPro,IF($D332="","",IF(OR($H332="",$H332="Credit"),0,P332)),"")</f>
        <v/>
      </c>
    </row>
    <row r="333" customFormat="false" ht="15" hidden="false" customHeight="false" outlineLevel="0" collapsed="false">
      <c r="A333" s="55"/>
      <c r="B333" s="56"/>
      <c r="C333" s="56"/>
      <c r="D333" s="56"/>
      <c r="E333" s="57"/>
      <c r="F333" s="58"/>
      <c r="G333" s="59"/>
      <c r="H333" s="56"/>
      <c r="I333" s="60" t="str">
        <f aca="false">IF(IsPro,IF($D333="","",IFERROR(INDEX(Items!$D$5:$D$504,Q333),"")),IF($D333="","","PRO PLAN"))</f>
        <v/>
      </c>
      <c r="J333" s="61" t="str">
        <f aca="false">IF(IsPro,IF($D333="","",IF($F333="",IFERROR(INDEX(Items!$G$5:$G$504,Q333),0),$F333)),"")</f>
        <v/>
      </c>
      <c r="K333" s="61" t="str">
        <f aca="false">IF(IsPro,IF($D333="","",ROUND(N($E333)*J333*(1-N($G333)),2)),"")</f>
        <v/>
      </c>
      <c r="L333" s="62" t="str">
        <f aca="false">IF(IsPro,IF($D333="","",IFERROR(INDEX(Items!$F$5:$F$504,Q333),0)),"")</f>
        <v/>
      </c>
      <c r="M333" s="61" t="str">
        <f aca="false">IF(IsPro,IF($D333="","",IF(AND(R333&lt;&gt;"",INDEX(Parties!$E$5:$E$304,R333)&lt;&gt;"",INDEX(Parties!$E$5:$E$304,R333)&lt;&gt;HomeState),0,ROUND(K333*L333/2,2))),"")</f>
        <v/>
      </c>
      <c r="N333" s="61" t="str">
        <f aca="false">IF(IsPro,IF($D333="","",M333),"")</f>
        <v/>
      </c>
      <c r="O333" s="61" t="str">
        <f aca="false">IF(IsPro,IF($D333="","",IF(AND(R333&lt;&gt;"",INDEX(Parties!$E$5:$E$304,R333)&lt;&gt;"",INDEX(Parties!$E$5:$E$304,R333)&lt;&gt;HomeState),ROUND(K333*L333,2),0)),"")</f>
        <v/>
      </c>
      <c r="P333" s="61" t="str">
        <f aca="false">IF(IsPro,IF($D333="","",K333+M333+N333+O333),"")</f>
        <v/>
      </c>
      <c r="Q333" s="60" t="str">
        <f aca="false">IF(IsPro,IF($D333="","",IFERROR(MATCH($D333,Items!$A$5:$A$504,0),"")),"")</f>
        <v/>
      </c>
      <c r="R333" s="60" t="str">
        <f aca="false">IF(IsPro,IF($C333="","",IFERROR(MATCH($C333,Parties!$A$5:$A$304,0),"")),"")</f>
        <v/>
      </c>
      <c r="S333" s="61" t="str">
        <f aca="false">IF(IsPro,IF($D333="","",IF(OR($H333="",$H333="Credit"),0,P333)),"")</f>
        <v/>
      </c>
    </row>
    <row r="334" customFormat="false" ht="15" hidden="false" customHeight="false" outlineLevel="0" collapsed="false">
      <c r="A334" s="55"/>
      <c r="B334" s="56"/>
      <c r="C334" s="56"/>
      <c r="D334" s="56"/>
      <c r="E334" s="57"/>
      <c r="F334" s="58"/>
      <c r="G334" s="59"/>
      <c r="H334" s="56"/>
      <c r="I334" s="60" t="str">
        <f aca="false">IF(IsPro,IF($D334="","",IFERROR(INDEX(Items!$D$5:$D$504,Q334),"")),IF($D334="","","PRO PLAN"))</f>
        <v/>
      </c>
      <c r="J334" s="61" t="str">
        <f aca="false">IF(IsPro,IF($D334="","",IF($F334="",IFERROR(INDEX(Items!$G$5:$G$504,Q334),0),$F334)),"")</f>
        <v/>
      </c>
      <c r="K334" s="61" t="str">
        <f aca="false">IF(IsPro,IF($D334="","",ROUND(N($E334)*J334*(1-N($G334)),2)),"")</f>
        <v/>
      </c>
      <c r="L334" s="62" t="str">
        <f aca="false">IF(IsPro,IF($D334="","",IFERROR(INDEX(Items!$F$5:$F$504,Q334),0)),"")</f>
        <v/>
      </c>
      <c r="M334" s="61" t="str">
        <f aca="false">IF(IsPro,IF($D334="","",IF(AND(R334&lt;&gt;"",INDEX(Parties!$E$5:$E$304,R334)&lt;&gt;"",INDEX(Parties!$E$5:$E$304,R334)&lt;&gt;HomeState),0,ROUND(K334*L334/2,2))),"")</f>
        <v/>
      </c>
      <c r="N334" s="61" t="str">
        <f aca="false">IF(IsPro,IF($D334="","",M334),"")</f>
        <v/>
      </c>
      <c r="O334" s="61" t="str">
        <f aca="false">IF(IsPro,IF($D334="","",IF(AND(R334&lt;&gt;"",INDEX(Parties!$E$5:$E$304,R334)&lt;&gt;"",INDEX(Parties!$E$5:$E$304,R334)&lt;&gt;HomeState),ROUND(K334*L334,2),0)),"")</f>
        <v/>
      </c>
      <c r="P334" s="61" t="str">
        <f aca="false">IF(IsPro,IF($D334="","",K334+M334+N334+O334),"")</f>
        <v/>
      </c>
      <c r="Q334" s="60" t="str">
        <f aca="false">IF(IsPro,IF($D334="","",IFERROR(MATCH($D334,Items!$A$5:$A$504,0),"")),"")</f>
        <v/>
      </c>
      <c r="R334" s="60" t="str">
        <f aca="false">IF(IsPro,IF($C334="","",IFERROR(MATCH($C334,Parties!$A$5:$A$304,0),"")),"")</f>
        <v/>
      </c>
      <c r="S334" s="61" t="str">
        <f aca="false">IF(IsPro,IF($D334="","",IF(OR($H334="",$H334="Credit"),0,P334)),"")</f>
        <v/>
      </c>
    </row>
    <row r="335" customFormat="false" ht="15" hidden="false" customHeight="false" outlineLevel="0" collapsed="false">
      <c r="A335" s="55"/>
      <c r="B335" s="56"/>
      <c r="C335" s="56"/>
      <c r="D335" s="56"/>
      <c r="E335" s="57"/>
      <c r="F335" s="58"/>
      <c r="G335" s="59"/>
      <c r="H335" s="56"/>
      <c r="I335" s="60" t="str">
        <f aca="false">IF(IsPro,IF($D335="","",IFERROR(INDEX(Items!$D$5:$D$504,Q335),"")),IF($D335="","","PRO PLAN"))</f>
        <v/>
      </c>
      <c r="J335" s="61" t="str">
        <f aca="false">IF(IsPro,IF($D335="","",IF($F335="",IFERROR(INDEX(Items!$G$5:$G$504,Q335),0),$F335)),"")</f>
        <v/>
      </c>
      <c r="K335" s="61" t="str">
        <f aca="false">IF(IsPro,IF($D335="","",ROUND(N($E335)*J335*(1-N($G335)),2)),"")</f>
        <v/>
      </c>
      <c r="L335" s="62" t="str">
        <f aca="false">IF(IsPro,IF($D335="","",IFERROR(INDEX(Items!$F$5:$F$504,Q335),0)),"")</f>
        <v/>
      </c>
      <c r="M335" s="61" t="str">
        <f aca="false">IF(IsPro,IF($D335="","",IF(AND(R335&lt;&gt;"",INDEX(Parties!$E$5:$E$304,R335)&lt;&gt;"",INDEX(Parties!$E$5:$E$304,R335)&lt;&gt;HomeState),0,ROUND(K335*L335/2,2))),"")</f>
        <v/>
      </c>
      <c r="N335" s="61" t="str">
        <f aca="false">IF(IsPro,IF($D335="","",M335),"")</f>
        <v/>
      </c>
      <c r="O335" s="61" t="str">
        <f aca="false">IF(IsPro,IF($D335="","",IF(AND(R335&lt;&gt;"",INDEX(Parties!$E$5:$E$304,R335)&lt;&gt;"",INDEX(Parties!$E$5:$E$304,R335)&lt;&gt;HomeState),ROUND(K335*L335,2),0)),"")</f>
        <v/>
      </c>
      <c r="P335" s="61" t="str">
        <f aca="false">IF(IsPro,IF($D335="","",K335+M335+N335+O335),"")</f>
        <v/>
      </c>
      <c r="Q335" s="60" t="str">
        <f aca="false">IF(IsPro,IF($D335="","",IFERROR(MATCH($D335,Items!$A$5:$A$504,0),"")),"")</f>
        <v/>
      </c>
      <c r="R335" s="60" t="str">
        <f aca="false">IF(IsPro,IF($C335="","",IFERROR(MATCH($C335,Parties!$A$5:$A$304,0),"")),"")</f>
        <v/>
      </c>
      <c r="S335" s="61" t="str">
        <f aca="false">IF(IsPro,IF($D335="","",IF(OR($H335="",$H335="Credit"),0,P335)),"")</f>
        <v/>
      </c>
    </row>
    <row r="336" customFormat="false" ht="15" hidden="false" customHeight="false" outlineLevel="0" collapsed="false">
      <c r="A336" s="55"/>
      <c r="B336" s="56"/>
      <c r="C336" s="56"/>
      <c r="D336" s="56"/>
      <c r="E336" s="57"/>
      <c r="F336" s="58"/>
      <c r="G336" s="59"/>
      <c r="H336" s="56"/>
      <c r="I336" s="60" t="str">
        <f aca="false">IF(IsPro,IF($D336="","",IFERROR(INDEX(Items!$D$5:$D$504,Q336),"")),IF($D336="","","PRO PLAN"))</f>
        <v/>
      </c>
      <c r="J336" s="61" t="str">
        <f aca="false">IF(IsPro,IF($D336="","",IF($F336="",IFERROR(INDEX(Items!$G$5:$G$504,Q336),0),$F336)),"")</f>
        <v/>
      </c>
      <c r="K336" s="61" t="str">
        <f aca="false">IF(IsPro,IF($D336="","",ROUND(N($E336)*J336*(1-N($G336)),2)),"")</f>
        <v/>
      </c>
      <c r="L336" s="62" t="str">
        <f aca="false">IF(IsPro,IF($D336="","",IFERROR(INDEX(Items!$F$5:$F$504,Q336),0)),"")</f>
        <v/>
      </c>
      <c r="M336" s="61" t="str">
        <f aca="false">IF(IsPro,IF($D336="","",IF(AND(R336&lt;&gt;"",INDEX(Parties!$E$5:$E$304,R336)&lt;&gt;"",INDEX(Parties!$E$5:$E$304,R336)&lt;&gt;HomeState),0,ROUND(K336*L336/2,2))),"")</f>
        <v/>
      </c>
      <c r="N336" s="61" t="str">
        <f aca="false">IF(IsPro,IF($D336="","",M336),"")</f>
        <v/>
      </c>
      <c r="O336" s="61" t="str">
        <f aca="false">IF(IsPro,IF($D336="","",IF(AND(R336&lt;&gt;"",INDEX(Parties!$E$5:$E$304,R336)&lt;&gt;"",INDEX(Parties!$E$5:$E$304,R336)&lt;&gt;HomeState),ROUND(K336*L336,2),0)),"")</f>
        <v/>
      </c>
      <c r="P336" s="61" t="str">
        <f aca="false">IF(IsPro,IF($D336="","",K336+M336+N336+O336),"")</f>
        <v/>
      </c>
      <c r="Q336" s="60" t="str">
        <f aca="false">IF(IsPro,IF($D336="","",IFERROR(MATCH($D336,Items!$A$5:$A$504,0),"")),"")</f>
        <v/>
      </c>
      <c r="R336" s="60" t="str">
        <f aca="false">IF(IsPro,IF($C336="","",IFERROR(MATCH($C336,Parties!$A$5:$A$304,0),"")),"")</f>
        <v/>
      </c>
      <c r="S336" s="61" t="str">
        <f aca="false">IF(IsPro,IF($D336="","",IF(OR($H336="",$H336="Credit"),0,P336)),"")</f>
        <v/>
      </c>
    </row>
    <row r="337" customFormat="false" ht="15" hidden="false" customHeight="false" outlineLevel="0" collapsed="false">
      <c r="A337" s="55"/>
      <c r="B337" s="56"/>
      <c r="C337" s="56"/>
      <c r="D337" s="56"/>
      <c r="E337" s="57"/>
      <c r="F337" s="58"/>
      <c r="G337" s="59"/>
      <c r="H337" s="56"/>
      <c r="I337" s="60" t="str">
        <f aca="false">IF(IsPro,IF($D337="","",IFERROR(INDEX(Items!$D$5:$D$504,Q337),"")),IF($D337="","","PRO PLAN"))</f>
        <v/>
      </c>
      <c r="J337" s="61" t="str">
        <f aca="false">IF(IsPro,IF($D337="","",IF($F337="",IFERROR(INDEX(Items!$G$5:$G$504,Q337),0),$F337)),"")</f>
        <v/>
      </c>
      <c r="K337" s="61" t="str">
        <f aca="false">IF(IsPro,IF($D337="","",ROUND(N($E337)*J337*(1-N($G337)),2)),"")</f>
        <v/>
      </c>
      <c r="L337" s="62" t="str">
        <f aca="false">IF(IsPro,IF($D337="","",IFERROR(INDEX(Items!$F$5:$F$504,Q337),0)),"")</f>
        <v/>
      </c>
      <c r="M337" s="61" t="str">
        <f aca="false">IF(IsPro,IF($D337="","",IF(AND(R337&lt;&gt;"",INDEX(Parties!$E$5:$E$304,R337)&lt;&gt;"",INDEX(Parties!$E$5:$E$304,R337)&lt;&gt;HomeState),0,ROUND(K337*L337/2,2))),"")</f>
        <v/>
      </c>
      <c r="N337" s="61" t="str">
        <f aca="false">IF(IsPro,IF($D337="","",M337),"")</f>
        <v/>
      </c>
      <c r="O337" s="61" t="str">
        <f aca="false">IF(IsPro,IF($D337="","",IF(AND(R337&lt;&gt;"",INDEX(Parties!$E$5:$E$304,R337)&lt;&gt;"",INDEX(Parties!$E$5:$E$304,R337)&lt;&gt;HomeState),ROUND(K337*L337,2),0)),"")</f>
        <v/>
      </c>
      <c r="P337" s="61" t="str">
        <f aca="false">IF(IsPro,IF($D337="","",K337+M337+N337+O337),"")</f>
        <v/>
      </c>
      <c r="Q337" s="60" t="str">
        <f aca="false">IF(IsPro,IF($D337="","",IFERROR(MATCH($D337,Items!$A$5:$A$504,0),"")),"")</f>
        <v/>
      </c>
      <c r="R337" s="60" t="str">
        <f aca="false">IF(IsPro,IF($C337="","",IFERROR(MATCH($C337,Parties!$A$5:$A$304,0),"")),"")</f>
        <v/>
      </c>
      <c r="S337" s="61" t="str">
        <f aca="false">IF(IsPro,IF($D337="","",IF(OR($H337="",$H337="Credit"),0,P337)),"")</f>
        <v/>
      </c>
    </row>
    <row r="338" customFormat="false" ht="15" hidden="false" customHeight="false" outlineLevel="0" collapsed="false">
      <c r="A338" s="55"/>
      <c r="B338" s="56"/>
      <c r="C338" s="56"/>
      <c r="D338" s="56"/>
      <c r="E338" s="57"/>
      <c r="F338" s="58"/>
      <c r="G338" s="59"/>
      <c r="H338" s="56"/>
      <c r="I338" s="60" t="str">
        <f aca="false">IF(IsPro,IF($D338="","",IFERROR(INDEX(Items!$D$5:$D$504,Q338),"")),IF($D338="","","PRO PLAN"))</f>
        <v/>
      </c>
      <c r="J338" s="61" t="str">
        <f aca="false">IF(IsPro,IF($D338="","",IF($F338="",IFERROR(INDEX(Items!$G$5:$G$504,Q338),0),$F338)),"")</f>
        <v/>
      </c>
      <c r="K338" s="61" t="str">
        <f aca="false">IF(IsPro,IF($D338="","",ROUND(N($E338)*J338*(1-N($G338)),2)),"")</f>
        <v/>
      </c>
      <c r="L338" s="62" t="str">
        <f aca="false">IF(IsPro,IF($D338="","",IFERROR(INDEX(Items!$F$5:$F$504,Q338),0)),"")</f>
        <v/>
      </c>
      <c r="M338" s="61" t="str">
        <f aca="false">IF(IsPro,IF($D338="","",IF(AND(R338&lt;&gt;"",INDEX(Parties!$E$5:$E$304,R338)&lt;&gt;"",INDEX(Parties!$E$5:$E$304,R338)&lt;&gt;HomeState),0,ROUND(K338*L338/2,2))),"")</f>
        <v/>
      </c>
      <c r="N338" s="61" t="str">
        <f aca="false">IF(IsPro,IF($D338="","",M338),"")</f>
        <v/>
      </c>
      <c r="O338" s="61" t="str">
        <f aca="false">IF(IsPro,IF($D338="","",IF(AND(R338&lt;&gt;"",INDEX(Parties!$E$5:$E$304,R338)&lt;&gt;"",INDEX(Parties!$E$5:$E$304,R338)&lt;&gt;HomeState),ROUND(K338*L338,2),0)),"")</f>
        <v/>
      </c>
      <c r="P338" s="61" t="str">
        <f aca="false">IF(IsPro,IF($D338="","",K338+M338+N338+O338),"")</f>
        <v/>
      </c>
      <c r="Q338" s="60" t="str">
        <f aca="false">IF(IsPro,IF($D338="","",IFERROR(MATCH($D338,Items!$A$5:$A$504,0),"")),"")</f>
        <v/>
      </c>
      <c r="R338" s="60" t="str">
        <f aca="false">IF(IsPro,IF($C338="","",IFERROR(MATCH($C338,Parties!$A$5:$A$304,0),"")),"")</f>
        <v/>
      </c>
      <c r="S338" s="61" t="str">
        <f aca="false">IF(IsPro,IF($D338="","",IF(OR($H338="",$H338="Credit"),0,P338)),"")</f>
        <v/>
      </c>
    </row>
    <row r="339" customFormat="false" ht="15" hidden="false" customHeight="false" outlineLevel="0" collapsed="false">
      <c r="A339" s="55"/>
      <c r="B339" s="56"/>
      <c r="C339" s="56"/>
      <c r="D339" s="56"/>
      <c r="E339" s="57"/>
      <c r="F339" s="58"/>
      <c r="G339" s="59"/>
      <c r="H339" s="56"/>
      <c r="I339" s="60" t="str">
        <f aca="false">IF(IsPro,IF($D339="","",IFERROR(INDEX(Items!$D$5:$D$504,Q339),"")),IF($D339="","","PRO PLAN"))</f>
        <v/>
      </c>
      <c r="J339" s="61" t="str">
        <f aca="false">IF(IsPro,IF($D339="","",IF($F339="",IFERROR(INDEX(Items!$G$5:$G$504,Q339),0),$F339)),"")</f>
        <v/>
      </c>
      <c r="K339" s="61" t="str">
        <f aca="false">IF(IsPro,IF($D339="","",ROUND(N($E339)*J339*(1-N($G339)),2)),"")</f>
        <v/>
      </c>
      <c r="L339" s="62" t="str">
        <f aca="false">IF(IsPro,IF($D339="","",IFERROR(INDEX(Items!$F$5:$F$504,Q339),0)),"")</f>
        <v/>
      </c>
      <c r="M339" s="61" t="str">
        <f aca="false">IF(IsPro,IF($D339="","",IF(AND(R339&lt;&gt;"",INDEX(Parties!$E$5:$E$304,R339)&lt;&gt;"",INDEX(Parties!$E$5:$E$304,R339)&lt;&gt;HomeState),0,ROUND(K339*L339/2,2))),"")</f>
        <v/>
      </c>
      <c r="N339" s="61" t="str">
        <f aca="false">IF(IsPro,IF($D339="","",M339),"")</f>
        <v/>
      </c>
      <c r="O339" s="61" t="str">
        <f aca="false">IF(IsPro,IF($D339="","",IF(AND(R339&lt;&gt;"",INDEX(Parties!$E$5:$E$304,R339)&lt;&gt;"",INDEX(Parties!$E$5:$E$304,R339)&lt;&gt;HomeState),ROUND(K339*L339,2),0)),"")</f>
        <v/>
      </c>
      <c r="P339" s="61" t="str">
        <f aca="false">IF(IsPro,IF($D339="","",K339+M339+N339+O339),"")</f>
        <v/>
      </c>
      <c r="Q339" s="60" t="str">
        <f aca="false">IF(IsPro,IF($D339="","",IFERROR(MATCH($D339,Items!$A$5:$A$504,0),"")),"")</f>
        <v/>
      </c>
      <c r="R339" s="60" t="str">
        <f aca="false">IF(IsPro,IF($C339="","",IFERROR(MATCH($C339,Parties!$A$5:$A$304,0),"")),"")</f>
        <v/>
      </c>
      <c r="S339" s="61" t="str">
        <f aca="false">IF(IsPro,IF($D339="","",IF(OR($H339="",$H339="Credit"),0,P339)),"")</f>
        <v/>
      </c>
    </row>
    <row r="340" customFormat="false" ht="15" hidden="false" customHeight="false" outlineLevel="0" collapsed="false">
      <c r="A340" s="55"/>
      <c r="B340" s="56"/>
      <c r="C340" s="56"/>
      <c r="D340" s="56"/>
      <c r="E340" s="57"/>
      <c r="F340" s="58"/>
      <c r="G340" s="59"/>
      <c r="H340" s="56"/>
      <c r="I340" s="60" t="str">
        <f aca="false">IF(IsPro,IF($D340="","",IFERROR(INDEX(Items!$D$5:$D$504,Q340),"")),IF($D340="","","PRO PLAN"))</f>
        <v/>
      </c>
      <c r="J340" s="61" t="str">
        <f aca="false">IF(IsPro,IF($D340="","",IF($F340="",IFERROR(INDEX(Items!$G$5:$G$504,Q340),0),$F340)),"")</f>
        <v/>
      </c>
      <c r="K340" s="61" t="str">
        <f aca="false">IF(IsPro,IF($D340="","",ROUND(N($E340)*J340*(1-N($G340)),2)),"")</f>
        <v/>
      </c>
      <c r="L340" s="62" t="str">
        <f aca="false">IF(IsPro,IF($D340="","",IFERROR(INDEX(Items!$F$5:$F$504,Q340),0)),"")</f>
        <v/>
      </c>
      <c r="M340" s="61" t="str">
        <f aca="false">IF(IsPro,IF($D340="","",IF(AND(R340&lt;&gt;"",INDEX(Parties!$E$5:$E$304,R340)&lt;&gt;"",INDEX(Parties!$E$5:$E$304,R340)&lt;&gt;HomeState),0,ROUND(K340*L340/2,2))),"")</f>
        <v/>
      </c>
      <c r="N340" s="61" t="str">
        <f aca="false">IF(IsPro,IF($D340="","",M340),"")</f>
        <v/>
      </c>
      <c r="O340" s="61" t="str">
        <f aca="false">IF(IsPro,IF($D340="","",IF(AND(R340&lt;&gt;"",INDEX(Parties!$E$5:$E$304,R340)&lt;&gt;"",INDEX(Parties!$E$5:$E$304,R340)&lt;&gt;HomeState),ROUND(K340*L340,2),0)),"")</f>
        <v/>
      </c>
      <c r="P340" s="61" t="str">
        <f aca="false">IF(IsPro,IF($D340="","",K340+M340+N340+O340),"")</f>
        <v/>
      </c>
      <c r="Q340" s="60" t="str">
        <f aca="false">IF(IsPro,IF($D340="","",IFERROR(MATCH($D340,Items!$A$5:$A$504,0),"")),"")</f>
        <v/>
      </c>
      <c r="R340" s="60" t="str">
        <f aca="false">IF(IsPro,IF($C340="","",IFERROR(MATCH($C340,Parties!$A$5:$A$304,0),"")),"")</f>
        <v/>
      </c>
      <c r="S340" s="61" t="str">
        <f aca="false">IF(IsPro,IF($D340="","",IF(OR($H340="",$H340="Credit"),0,P340)),"")</f>
        <v/>
      </c>
    </row>
    <row r="341" customFormat="false" ht="15" hidden="false" customHeight="false" outlineLevel="0" collapsed="false">
      <c r="A341" s="55"/>
      <c r="B341" s="56"/>
      <c r="C341" s="56"/>
      <c r="D341" s="56"/>
      <c r="E341" s="57"/>
      <c r="F341" s="58"/>
      <c r="G341" s="59"/>
      <c r="H341" s="56"/>
      <c r="I341" s="60" t="str">
        <f aca="false">IF(IsPro,IF($D341="","",IFERROR(INDEX(Items!$D$5:$D$504,Q341),"")),IF($D341="","","PRO PLAN"))</f>
        <v/>
      </c>
      <c r="J341" s="61" t="str">
        <f aca="false">IF(IsPro,IF($D341="","",IF($F341="",IFERROR(INDEX(Items!$G$5:$G$504,Q341),0),$F341)),"")</f>
        <v/>
      </c>
      <c r="K341" s="61" t="str">
        <f aca="false">IF(IsPro,IF($D341="","",ROUND(N($E341)*J341*(1-N($G341)),2)),"")</f>
        <v/>
      </c>
      <c r="L341" s="62" t="str">
        <f aca="false">IF(IsPro,IF($D341="","",IFERROR(INDEX(Items!$F$5:$F$504,Q341),0)),"")</f>
        <v/>
      </c>
      <c r="M341" s="61" t="str">
        <f aca="false">IF(IsPro,IF($D341="","",IF(AND(R341&lt;&gt;"",INDEX(Parties!$E$5:$E$304,R341)&lt;&gt;"",INDEX(Parties!$E$5:$E$304,R341)&lt;&gt;HomeState),0,ROUND(K341*L341/2,2))),"")</f>
        <v/>
      </c>
      <c r="N341" s="61" t="str">
        <f aca="false">IF(IsPro,IF($D341="","",M341),"")</f>
        <v/>
      </c>
      <c r="O341" s="61" t="str">
        <f aca="false">IF(IsPro,IF($D341="","",IF(AND(R341&lt;&gt;"",INDEX(Parties!$E$5:$E$304,R341)&lt;&gt;"",INDEX(Parties!$E$5:$E$304,R341)&lt;&gt;HomeState),ROUND(K341*L341,2),0)),"")</f>
        <v/>
      </c>
      <c r="P341" s="61" t="str">
        <f aca="false">IF(IsPro,IF($D341="","",K341+M341+N341+O341),"")</f>
        <v/>
      </c>
      <c r="Q341" s="60" t="str">
        <f aca="false">IF(IsPro,IF($D341="","",IFERROR(MATCH($D341,Items!$A$5:$A$504,0),"")),"")</f>
        <v/>
      </c>
      <c r="R341" s="60" t="str">
        <f aca="false">IF(IsPro,IF($C341="","",IFERROR(MATCH($C341,Parties!$A$5:$A$304,0),"")),"")</f>
        <v/>
      </c>
      <c r="S341" s="61" t="str">
        <f aca="false">IF(IsPro,IF($D341="","",IF(OR($H341="",$H341="Credit"),0,P341)),"")</f>
        <v/>
      </c>
    </row>
    <row r="342" customFormat="false" ht="15" hidden="false" customHeight="false" outlineLevel="0" collapsed="false">
      <c r="A342" s="55"/>
      <c r="B342" s="56"/>
      <c r="C342" s="56"/>
      <c r="D342" s="56"/>
      <c r="E342" s="57"/>
      <c r="F342" s="58"/>
      <c r="G342" s="59"/>
      <c r="H342" s="56"/>
      <c r="I342" s="60" t="str">
        <f aca="false">IF(IsPro,IF($D342="","",IFERROR(INDEX(Items!$D$5:$D$504,Q342),"")),IF($D342="","","PRO PLAN"))</f>
        <v/>
      </c>
      <c r="J342" s="61" t="str">
        <f aca="false">IF(IsPro,IF($D342="","",IF($F342="",IFERROR(INDEX(Items!$G$5:$G$504,Q342),0),$F342)),"")</f>
        <v/>
      </c>
      <c r="K342" s="61" t="str">
        <f aca="false">IF(IsPro,IF($D342="","",ROUND(N($E342)*J342*(1-N($G342)),2)),"")</f>
        <v/>
      </c>
      <c r="L342" s="62" t="str">
        <f aca="false">IF(IsPro,IF($D342="","",IFERROR(INDEX(Items!$F$5:$F$504,Q342),0)),"")</f>
        <v/>
      </c>
      <c r="M342" s="61" t="str">
        <f aca="false">IF(IsPro,IF($D342="","",IF(AND(R342&lt;&gt;"",INDEX(Parties!$E$5:$E$304,R342)&lt;&gt;"",INDEX(Parties!$E$5:$E$304,R342)&lt;&gt;HomeState),0,ROUND(K342*L342/2,2))),"")</f>
        <v/>
      </c>
      <c r="N342" s="61" t="str">
        <f aca="false">IF(IsPro,IF($D342="","",M342),"")</f>
        <v/>
      </c>
      <c r="O342" s="61" t="str">
        <f aca="false">IF(IsPro,IF($D342="","",IF(AND(R342&lt;&gt;"",INDEX(Parties!$E$5:$E$304,R342)&lt;&gt;"",INDEX(Parties!$E$5:$E$304,R342)&lt;&gt;HomeState),ROUND(K342*L342,2),0)),"")</f>
        <v/>
      </c>
      <c r="P342" s="61" t="str">
        <f aca="false">IF(IsPro,IF($D342="","",K342+M342+N342+O342),"")</f>
        <v/>
      </c>
      <c r="Q342" s="60" t="str">
        <f aca="false">IF(IsPro,IF($D342="","",IFERROR(MATCH($D342,Items!$A$5:$A$504,0),"")),"")</f>
        <v/>
      </c>
      <c r="R342" s="60" t="str">
        <f aca="false">IF(IsPro,IF($C342="","",IFERROR(MATCH($C342,Parties!$A$5:$A$304,0),"")),"")</f>
        <v/>
      </c>
      <c r="S342" s="61" t="str">
        <f aca="false">IF(IsPro,IF($D342="","",IF(OR($H342="",$H342="Credit"),0,P342)),"")</f>
        <v/>
      </c>
    </row>
    <row r="343" customFormat="false" ht="15" hidden="false" customHeight="false" outlineLevel="0" collapsed="false">
      <c r="A343" s="55"/>
      <c r="B343" s="56"/>
      <c r="C343" s="56"/>
      <c r="D343" s="56"/>
      <c r="E343" s="57"/>
      <c r="F343" s="58"/>
      <c r="G343" s="59"/>
      <c r="H343" s="56"/>
      <c r="I343" s="60" t="str">
        <f aca="false">IF(IsPro,IF($D343="","",IFERROR(INDEX(Items!$D$5:$D$504,Q343),"")),IF($D343="","","PRO PLAN"))</f>
        <v/>
      </c>
      <c r="J343" s="61" t="str">
        <f aca="false">IF(IsPro,IF($D343="","",IF($F343="",IFERROR(INDEX(Items!$G$5:$G$504,Q343),0),$F343)),"")</f>
        <v/>
      </c>
      <c r="K343" s="61" t="str">
        <f aca="false">IF(IsPro,IF($D343="","",ROUND(N($E343)*J343*(1-N($G343)),2)),"")</f>
        <v/>
      </c>
      <c r="L343" s="62" t="str">
        <f aca="false">IF(IsPro,IF($D343="","",IFERROR(INDEX(Items!$F$5:$F$504,Q343),0)),"")</f>
        <v/>
      </c>
      <c r="M343" s="61" t="str">
        <f aca="false">IF(IsPro,IF($D343="","",IF(AND(R343&lt;&gt;"",INDEX(Parties!$E$5:$E$304,R343)&lt;&gt;"",INDEX(Parties!$E$5:$E$304,R343)&lt;&gt;HomeState),0,ROUND(K343*L343/2,2))),"")</f>
        <v/>
      </c>
      <c r="N343" s="61" t="str">
        <f aca="false">IF(IsPro,IF($D343="","",M343),"")</f>
        <v/>
      </c>
      <c r="O343" s="61" t="str">
        <f aca="false">IF(IsPro,IF($D343="","",IF(AND(R343&lt;&gt;"",INDEX(Parties!$E$5:$E$304,R343)&lt;&gt;"",INDEX(Parties!$E$5:$E$304,R343)&lt;&gt;HomeState),ROUND(K343*L343,2),0)),"")</f>
        <v/>
      </c>
      <c r="P343" s="61" t="str">
        <f aca="false">IF(IsPro,IF($D343="","",K343+M343+N343+O343),"")</f>
        <v/>
      </c>
      <c r="Q343" s="60" t="str">
        <f aca="false">IF(IsPro,IF($D343="","",IFERROR(MATCH($D343,Items!$A$5:$A$504,0),"")),"")</f>
        <v/>
      </c>
      <c r="R343" s="60" t="str">
        <f aca="false">IF(IsPro,IF($C343="","",IFERROR(MATCH($C343,Parties!$A$5:$A$304,0),"")),"")</f>
        <v/>
      </c>
      <c r="S343" s="61" t="str">
        <f aca="false">IF(IsPro,IF($D343="","",IF(OR($H343="",$H343="Credit"),0,P343)),"")</f>
        <v/>
      </c>
    </row>
    <row r="344" customFormat="false" ht="15" hidden="false" customHeight="false" outlineLevel="0" collapsed="false">
      <c r="A344" s="55"/>
      <c r="B344" s="56"/>
      <c r="C344" s="56"/>
      <c r="D344" s="56"/>
      <c r="E344" s="57"/>
      <c r="F344" s="58"/>
      <c r="G344" s="59"/>
      <c r="H344" s="56"/>
      <c r="I344" s="60" t="str">
        <f aca="false">IF(IsPro,IF($D344="","",IFERROR(INDEX(Items!$D$5:$D$504,Q344),"")),IF($D344="","","PRO PLAN"))</f>
        <v/>
      </c>
      <c r="J344" s="61" t="str">
        <f aca="false">IF(IsPro,IF($D344="","",IF($F344="",IFERROR(INDEX(Items!$G$5:$G$504,Q344),0),$F344)),"")</f>
        <v/>
      </c>
      <c r="K344" s="61" t="str">
        <f aca="false">IF(IsPro,IF($D344="","",ROUND(N($E344)*J344*(1-N($G344)),2)),"")</f>
        <v/>
      </c>
      <c r="L344" s="62" t="str">
        <f aca="false">IF(IsPro,IF($D344="","",IFERROR(INDEX(Items!$F$5:$F$504,Q344),0)),"")</f>
        <v/>
      </c>
      <c r="M344" s="61" t="str">
        <f aca="false">IF(IsPro,IF($D344="","",IF(AND(R344&lt;&gt;"",INDEX(Parties!$E$5:$E$304,R344)&lt;&gt;"",INDEX(Parties!$E$5:$E$304,R344)&lt;&gt;HomeState),0,ROUND(K344*L344/2,2))),"")</f>
        <v/>
      </c>
      <c r="N344" s="61" t="str">
        <f aca="false">IF(IsPro,IF($D344="","",M344),"")</f>
        <v/>
      </c>
      <c r="O344" s="61" t="str">
        <f aca="false">IF(IsPro,IF($D344="","",IF(AND(R344&lt;&gt;"",INDEX(Parties!$E$5:$E$304,R344)&lt;&gt;"",INDEX(Parties!$E$5:$E$304,R344)&lt;&gt;HomeState),ROUND(K344*L344,2),0)),"")</f>
        <v/>
      </c>
      <c r="P344" s="61" t="str">
        <f aca="false">IF(IsPro,IF($D344="","",K344+M344+N344+O344),"")</f>
        <v/>
      </c>
      <c r="Q344" s="60" t="str">
        <f aca="false">IF(IsPro,IF($D344="","",IFERROR(MATCH($D344,Items!$A$5:$A$504,0),"")),"")</f>
        <v/>
      </c>
      <c r="R344" s="60" t="str">
        <f aca="false">IF(IsPro,IF($C344="","",IFERROR(MATCH($C344,Parties!$A$5:$A$304,0),"")),"")</f>
        <v/>
      </c>
      <c r="S344" s="61" t="str">
        <f aca="false">IF(IsPro,IF($D344="","",IF(OR($H344="",$H344="Credit"),0,P344)),"")</f>
        <v/>
      </c>
    </row>
    <row r="345" customFormat="false" ht="15" hidden="false" customHeight="false" outlineLevel="0" collapsed="false">
      <c r="A345" s="55"/>
      <c r="B345" s="56"/>
      <c r="C345" s="56"/>
      <c r="D345" s="56"/>
      <c r="E345" s="57"/>
      <c r="F345" s="58"/>
      <c r="G345" s="59"/>
      <c r="H345" s="56"/>
      <c r="I345" s="60" t="str">
        <f aca="false">IF(IsPro,IF($D345="","",IFERROR(INDEX(Items!$D$5:$D$504,Q345),"")),IF($D345="","","PRO PLAN"))</f>
        <v/>
      </c>
      <c r="J345" s="61" t="str">
        <f aca="false">IF(IsPro,IF($D345="","",IF($F345="",IFERROR(INDEX(Items!$G$5:$G$504,Q345),0),$F345)),"")</f>
        <v/>
      </c>
      <c r="K345" s="61" t="str">
        <f aca="false">IF(IsPro,IF($D345="","",ROUND(N($E345)*J345*(1-N($G345)),2)),"")</f>
        <v/>
      </c>
      <c r="L345" s="62" t="str">
        <f aca="false">IF(IsPro,IF($D345="","",IFERROR(INDEX(Items!$F$5:$F$504,Q345),0)),"")</f>
        <v/>
      </c>
      <c r="M345" s="61" t="str">
        <f aca="false">IF(IsPro,IF($D345="","",IF(AND(R345&lt;&gt;"",INDEX(Parties!$E$5:$E$304,R345)&lt;&gt;"",INDEX(Parties!$E$5:$E$304,R345)&lt;&gt;HomeState),0,ROUND(K345*L345/2,2))),"")</f>
        <v/>
      </c>
      <c r="N345" s="61" t="str">
        <f aca="false">IF(IsPro,IF($D345="","",M345),"")</f>
        <v/>
      </c>
      <c r="O345" s="61" t="str">
        <f aca="false">IF(IsPro,IF($D345="","",IF(AND(R345&lt;&gt;"",INDEX(Parties!$E$5:$E$304,R345)&lt;&gt;"",INDEX(Parties!$E$5:$E$304,R345)&lt;&gt;HomeState),ROUND(K345*L345,2),0)),"")</f>
        <v/>
      </c>
      <c r="P345" s="61" t="str">
        <f aca="false">IF(IsPro,IF($D345="","",K345+M345+N345+O345),"")</f>
        <v/>
      </c>
      <c r="Q345" s="60" t="str">
        <f aca="false">IF(IsPro,IF($D345="","",IFERROR(MATCH($D345,Items!$A$5:$A$504,0),"")),"")</f>
        <v/>
      </c>
      <c r="R345" s="60" t="str">
        <f aca="false">IF(IsPro,IF($C345="","",IFERROR(MATCH($C345,Parties!$A$5:$A$304,0),"")),"")</f>
        <v/>
      </c>
      <c r="S345" s="61" t="str">
        <f aca="false">IF(IsPro,IF($D345="","",IF(OR($H345="",$H345="Credit"),0,P345)),"")</f>
        <v/>
      </c>
    </row>
    <row r="346" customFormat="false" ht="15" hidden="false" customHeight="false" outlineLevel="0" collapsed="false">
      <c r="A346" s="55"/>
      <c r="B346" s="56"/>
      <c r="C346" s="56"/>
      <c r="D346" s="56"/>
      <c r="E346" s="57"/>
      <c r="F346" s="58"/>
      <c r="G346" s="59"/>
      <c r="H346" s="56"/>
      <c r="I346" s="60" t="str">
        <f aca="false">IF(IsPro,IF($D346="","",IFERROR(INDEX(Items!$D$5:$D$504,Q346),"")),IF($D346="","","PRO PLAN"))</f>
        <v/>
      </c>
      <c r="J346" s="61" t="str">
        <f aca="false">IF(IsPro,IF($D346="","",IF($F346="",IFERROR(INDEX(Items!$G$5:$G$504,Q346),0),$F346)),"")</f>
        <v/>
      </c>
      <c r="K346" s="61" t="str">
        <f aca="false">IF(IsPro,IF($D346="","",ROUND(N($E346)*J346*(1-N($G346)),2)),"")</f>
        <v/>
      </c>
      <c r="L346" s="62" t="str">
        <f aca="false">IF(IsPro,IF($D346="","",IFERROR(INDEX(Items!$F$5:$F$504,Q346),0)),"")</f>
        <v/>
      </c>
      <c r="M346" s="61" t="str">
        <f aca="false">IF(IsPro,IF($D346="","",IF(AND(R346&lt;&gt;"",INDEX(Parties!$E$5:$E$304,R346)&lt;&gt;"",INDEX(Parties!$E$5:$E$304,R346)&lt;&gt;HomeState),0,ROUND(K346*L346/2,2))),"")</f>
        <v/>
      </c>
      <c r="N346" s="61" t="str">
        <f aca="false">IF(IsPro,IF($D346="","",M346),"")</f>
        <v/>
      </c>
      <c r="O346" s="61" t="str">
        <f aca="false">IF(IsPro,IF($D346="","",IF(AND(R346&lt;&gt;"",INDEX(Parties!$E$5:$E$304,R346)&lt;&gt;"",INDEX(Parties!$E$5:$E$304,R346)&lt;&gt;HomeState),ROUND(K346*L346,2),0)),"")</f>
        <v/>
      </c>
      <c r="P346" s="61" t="str">
        <f aca="false">IF(IsPro,IF($D346="","",K346+M346+N346+O346),"")</f>
        <v/>
      </c>
      <c r="Q346" s="60" t="str">
        <f aca="false">IF(IsPro,IF($D346="","",IFERROR(MATCH($D346,Items!$A$5:$A$504,0),"")),"")</f>
        <v/>
      </c>
      <c r="R346" s="60" t="str">
        <f aca="false">IF(IsPro,IF($C346="","",IFERROR(MATCH($C346,Parties!$A$5:$A$304,0),"")),"")</f>
        <v/>
      </c>
      <c r="S346" s="61" t="str">
        <f aca="false">IF(IsPro,IF($D346="","",IF(OR($H346="",$H346="Credit"),0,P346)),"")</f>
        <v/>
      </c>
    </row>
    <row r="347" customFormat="false" ht="15" hidden="false" customHeight="false" outlineLevel="0" collapsed="false">
      <c r="A347" s="55"/>
      <c r="B347" s="56"/>
      <c r="C347" s="56"/>
      <c r="D347" s="56"/>
      <c r="E347" s="57"/>
      <c r="F347" s="58"/>
      <c r="G347" s="59"/>
      <c r="H347" s="56"/>
      <c r="I347" s="60" t="str">
        <f aca="false">IF(IsPro,IF($D347="","",IFERROR(INDEX(Items!$D$5:$D$504,Q347),"")),IF($D347="","","PRO PLAN"))</f>
        <v/>
      </c>
      <c r="J347" s="61" t="str">
        <f aca="false">IF(IsPro,IF($D347="","",IF($F347="",IFERROR(INDEX(Items!$G$5:$G$504,Q347),0),$F347)),"")</f>
        <v/>
      </c>
      <c r="K347" s="61" t="str">
        <f aca="false">IF(IsPro,IF($D347="","",ROUND(N($E347)*J347*(1-N($G347)),2)),"")</f>
        <v/>
      </c>
      <c r="L347" s="62" t="str">
        <f aca="false">IF(IsPro,IF($D347="","",IFERROR(INDEX(Items!$F$5:$F$504,Q347),0)),"")</f>
        <v/>
      </c>
      <c r="M347" s="61" t="str">
        <f aca="false">IF(IsPro,IF($D347="","",IF(AND(R347&lt;&gt;"",INDEX(Parties!$E$5:$E$304,R347)&lt;&gt;"",INDEX(Parties!$E$5:$E$304,R347)&lt;&gt;HomeState),0,ROUND(K347*L347/2,2))),"")</f>
        <v/>
      </c>
      <c r="N347" s="61" t="str">
        <f aca="false">IF(IsPro,IF($D347="","",M347),"")</f>
        <v/>
      </c>
      <c r="O347" s="61" t="str">
        <f aca="false">IF(IsPro,IF($D347="","",IF(AND(R347&lt;&gt;"",INDEX(Parties!$E$5:$E$304,R347)&lt;&gt;"",INDEX(Parties!$E$5:$E$304,R347)&lt;&gt;HomeState),ROUND(K347*L347,2),0)),"")</f>
        <v/>
      </c>
      <c r="P347" s="61" t="str">
        <f aca="false">IF(IsPro,IF($D347="","",K347+M347+N347+O347),"")</f>
        <v/>
      </c>
      <c r="Q347" s="60" t="str">
        <f aca="false">IF(IsPro,IF($D347="","",IFERROR(MATCH($D347,Items!$A$5:$A$504,0),"")),"")</f>
        <v/>
      </c>
      <c r="R347" s="60" t="str">
        <f aca="false">IF(IsPro,IF($C347="","",IFERROR(MATCH($C347,Parties!$A$5:$A$304,0),"")),"")</f>
        <v/>
      </c>
      <c r="S347" s="61" t="str">
        <f aca="false">IF(IsPro,IF($D347="","",IF(OR($H347="",$H347="Credit"),0,P347)),"")</f>
        <v/>
      </c>
    </row>
    <row r="348" customFormat="false" ht="15" hidden="false" customHeight="false" outlineLevel="0" collapsed="false">
      <c r="A348" s="55"/>
      <c r="B348" s="56"/>
      <c r="C348" s="56"/>
      <c r="D348" s="56"/>
      <c r="E348" s="57"/>
      <c r="F348" s="58"/>
      <c r="G348" s="59"/>
      <c r="H348" s="56"/>
      <c r="I348" s="60" t="str">
        <f aca="false">IF(IsPro,IF($D348="","",IFERROR(INDEX(Items!$D$5:$D$504,Q348),"")),IF($D348="","","PRO PLAN"))</f>
        <v/>
      </c>
      <c r="J348" s="61" t="str">
        <f aca="false">IF(IsPro,IF($D348="","",IF($F348="",IFERROR(INDEX(Items!$G$5:$G$504,Q348),0),$F348)),"")</f>
        <v/>
      </c>
      <c r="K348" s="61" t="str">
        <f aca="false">IF(IsPro,IF($D348="","",ROUND(N($E348)*J348*(1-N($G348)),2)),"")</f>
        <v/>
      </c>
      <c r="L348" s="62" t="str">
        <f aca="false">IF(IsPro,IF($D348="","",IFERROR(INDEX(Items!$F$5:$F$504,Q348),0)),"")</f>
        <v/>
      </c>
      <c r="M348" s="61" t="str">
        <f aca="false">IF(IsPro,IF($D348="","",IF(AND(R348&lt;&gt;"",INDEX(Parties!$E$5:$E$304,R348)&lt;&gt;"",INDEX(Parties!$E$5:$E$304,R348)&lt;&gt;HomeState),0,ROUND(K348*L348/2,2))),"")</f>
        <v/>
      </c>
      <c r="N348" s="61" t="str">
        <f aca="false">IF(IsPro,IF($D348="","",M348),"")</f>
        <v/>
      </c>
      <c r="O348" s="61" t="str">
        <f aca="false">IF(IsPro,IF($D348="","",IF(AND(R348&lt;&gt;"",INDEX(Parties!$E$5:$E$304,R348)&lt;&gt;"",INDEX(Parties!$E$5:$E$304,R348)&lt;&gt;HomeState),ROUND(K348*L348,2),0)),"")</f>
        <v/>
      </c>
      <c r="P348" s="61" t="str">
        <f aca="false">IF(IsPro,IF($D348="","",K348+M348+N348+O348),"")</f>
        <v/>
      </c>
      <c r="Q348" s="60" t="str">
        <f aca="false">IF(IsPro,IF($D348="","",IFERROR(MATCH($D348,Items!$A$5:$A$504,0),"")),"")</f>
        <v/>
      </c>
      <c r="R348" s="60" t="str">
        <f aca="false">IF(IsPro,IF($C348="","",IFERROR(MATCH($C348,Parties!$A$5:$A$304,0),"")),"")</f>
        <v/>
      </c>
      <c r="S348" s="61" t="str">
        <f aca="false">IF(IsPro,IF($D348="","",IF(OR($H348="",$H348="Credit"),0,P348)),"")</f>
        <v/>
      </c>
    </row>
    <row r="349" customFormat="false" ht="15" hidden="false" customHeight="false" outlineLevel="0" collapsed="false">
      <c r="A349" s="55"/>
      <c r="B349" s="56"/>
      <c r="C349" s="56"/>
      <c r="D349" s="56"/>
      <c r="E349" s="57"/>
      <c r="F349" s="58"/>
      <c r="G349" s="59"/>
      <c r="H349" s="56"/>
      <c r="I349" s="60" t="str">
        <f aca="false">IF(IsPro,IF($D349="","",IFERROR(INDEX(Items!$D$5:$D$504,Q349),"")),IF($D349="","","PRO PLAN"))</f>
        <v/>
      </c>
      <c r="J349" s="61" t="str">
        <f aca="false">IF(IsPro,IF($D349="","",IF($F349="",IFERROR(INDEX(Items!$G$5:$G$504,Q349),0),$F349)),"")</f>
        <v/>
      </c>
      <c r="K349" s="61" t="str">
        <f aca="false">IF(IsPro,IF($D349="","",ROUND(N($E349)*J349*(1-N($G349)),2)),"")</f>
        <v/>
      </c>
      <c r="L349" s="62" t="str">
        <f aca="false">IF(IsPro,IF($D349="","",IFERROR(INDEX(Items!$F$5:$F$504,Q349),0)),"")</f>
        <v/>
      </c>
      <c r="M349" s="61" t="str">
        <f aca="false">IF(IsPro,IF($D349="","",IF(AND(R349&lt;&gt;"",INDEX(Parties!$E$5:$E$304,R349)&lt;&gt;"",INDEX(Parties!$E$5:$E$304,R349)&lt;&gt;HomeState),0,ROUND(K349*L349/2,2))),"")</f>
        <v/>
      </c>
      <c r="N349" s="61" t="str">
        <f aca="false">IF(IsPro,IF($D349="","",M349),"")</f>
        <v/>
      </c>
      <c r="O349" s="61" t="str">
        <f aca="false">IF(IsPro,IF($D349="","",IF(AND(R349&lt;&gt;"",INDEX(Parties!$E$5:$E$304,R349)&lt;&gt;"",INDEX(Parties!$E$5:$E$304,R349)&lt;&gt;HomeState),ROUND(K349*L349,2),0)),"")</f>
        <v/>
      </c>
      <c r="P349" s="61" t="str">
        <f aca="false">IF(IsPro,IF($D349="","",K349+M349+N349+O349),"")</f>
        <v/>
      </c>
      <c r="Q349" s="60" t="str">
        <f aca="false">IF(IsPro,IF($D349="","",IFERROR(MATCH($D349,Items!$A$5:$A$504,0),"")),"")</f>
        <v/>
      </c>
      <c r="R349" s="60" t="str">
        <f aca="false">IF(IsPro,IF($C349="","",IFERROR(MATCH($C349,Parties!$A$5:$A$304,0),"")),"")</f>
        <v/>
      </c>
      <c r="S349" s="61" t="str">
        <f aca="false">IF(IsPro,IF($D349="","",IF(OR($H349="",$H349="Credit"),0,P349)),"")</f>
        <v/>
      </c>
    </row>
    <row r="350" customFormat="false" ht="15" hidden="false" customHeight="false" outlineLevel="0" collapsed="false">
      <c r="A350" s="55"/>
      <c r="B350" s="56"/>
      <c r="C350" s="56"/>
      <c r="D350" s="56"/>
      <c r="E350" s="57"/>
      <c r="F350" s="58"/>
      <c r="G350" s="59"/>
      <c r="H350" s="56"/>
      <c r="I350" s="60" t="str">
        <f aca="false">IF(IsPro,IF($D350="","",IFERROR(INDEX(Items!$D$5:$D$504,Q350),"")),IF($D350="","","PRO PLAN"))</f>
        <v/>
      </c>
      <c r="J350" s="61" t="str">
        <f aca="false">IF(IsPro,IF($D350="","",IF($F350="",IFERROR(INDEX(Items!$G$5:$G$504,Q350),0),$F350)),"")</f>
        <v/>
      </c>
      <c r="K350" s="61" t="str">
        <f aca="false">IF(IsPro,IF($D350="","",ROUND(N($E350)*J350*(1-N($G350)),2)),"")</f>
        <v/>
      </c>
      <c r="L350" s="62" t="str">
        <f aca="false">IF(IsPro,IF($D350="","",IFERROR(INDEX(Items!$F$5:$F$504,Q350),0)),"")</f>
        <v/>
      </c>
      <c r="M350" s="61" t="str">
        <f aca="false">IF(IsPro,IF($D350="","",IF(AND(R350&lt;&gt;"",INDEX(Parties!$E$5:$E$304,R350)&lt;&gt;"",INDEX(Parties!$E$5:$E$304,R350)&lt;&gt;HomeState),0,ROUND(K350*L350/2,2))),"")</f>
        <v/>
      </c>
      <c r="N350" s="61" t="str">
        <f aca="false">IF(IsPro,IF($D350="","",M350),"")</f>
        <v/>
      </c>
      <c r="O350" s="61" t="str">
        <f aca="false">IF(IsPro,IF($D350="","",IF(AND(R350&lt;&gt;"",INDEX(Parties!$E$5:$E$304,R350)&lt;&gt;"",INDEX(Parties!$E$5:$E$304,R350)&lt;&gt;HomeState),ROUND(K350*L350,2),0)),"")</f>
        <v/>
      </c>
      <c r="P350" s="61" t="str">
        <f aca="false">IF(IsPro,IF($D350="","",K350+M350+N350+O350),"")</f>
        <v/>
      </c>
      <c r="Q350" s="60" t="str">
        <f aca="false">IF(IsPro,IF($D350="","",IFERROR(MATCH($D350,Items!$A$5:$A$504,0),"")),"")</f>
        <v/>
      </c>
      <c r="R350" s="60" t="str">
        <f aca="false">IF(IsPro,IF($C350="","",IFERROR(MATCH($C350,Parties!$A$5:$A$304,0),"")),"")</f>
        <v/>
      </c>
      <c r="S350" s="61" t="str">
        <f aca="false">IF(IsPro,IF($D350="","",IF(OR($H350="",$H350="Credit"),0,P350)),"")</f>
        <v/>
      </c>
    </row>
    <row r="351" customFormat="false" ht="15" hidden="false" customHeight="false" outlineLevel="0" collapsed="false">
      <c r="A351" s="55"/>
      <c r="B351" s="56"/>
      <c r="C351" s="56"/>
      <c r="D351" s="56"/>
      <c r="E351" s="57"/>
      <c r="F351" s="58"/>
      <c r="G351" s="59"/>
      <c r="H351" s="56"/>
      <c r="I351" s="60" t="str">
        <f aca="false">IF(IsPro,IF($D351="","",IFERROR(INDEX(Items!$D$5:$D$504,Q351),"")),IF($D351="","","PRO PLAN"))</f>
        <v/>
      </c>
      <c r="J351" s="61" t="str">
        <f aca="false">IF(IsPro,IF($D351="","",IF($F351="",IFERROR(INDEX(Items!$G$5:$G$504,Q351),0),$F351)),"")</f>
        <v/>
      </c>
      <c r="K351" s="61" t="str">
        <f aca="false">IF(IsPro,IF($D351="","",ROUND(N($E351)*J351*(1-N($G351)),2)),"")</f>
        <v/>
      </c>
      <c r="L351" s="62" t="str">
        <f aca="false">IF(IsPro,IF($D351="","",IFERROR(INDEX(Items!$F$5:$F$504,Q351),0)),"")</f>
        <v/>
      </c>
      <c r="M351" s="61" t="str">
        <f aca="false">IF(IsPro,IF($D351="","",IF(AND(R351&lt;&gt;"",INDEX(Parties!$E$5:$E$304,R351)&lt;&gt;"",INDEX(Parties!$E$5:$E$304,R351)&lt;&gt;HomeState),0,ROUND(K351*L351/2,2))),"")</f>
        <v/>
      </c>
      <c r="N351" s="61" t="str">
        <f aca="false">IF(IsPro,IF($D351="","",M351),"")</f>
        <v/>
      </c>
      <c r="O351" s="61" t="str">
        <f aca="false">IF(IsPro,IF($D351="","",IF(AND(R351&lt;&gt;"",INDEX(Parties!$E$5:$E$304,R351)&lt;&gt;"",INDEX(Parties!$E$5:$E$304,R351)&lt;&gt;HomeState),ROUND(K351*L351,2),0)),"")</f>
        <v/>
      </c>
      <c r="P351" s="61" t="str">
        <f aca="false">IF(IsPro,IF($D351="","",K351+M351+N351+O351),"")</f>
        <v/>
      </c>
      <c r="Q351" s="60" t="str">
        <f aca="false">IF(IsPro,IF($D351="","",IFERROR(MATCH($D351,Items!$A$5:$A$504,0),"")),"")</f>
        <v/>
      </c>
      <c r="R351" s="60" t="str">
        <f aca="false">IF(IsPro,IF($C351="","",IFERROR(MATCH($C351,Parties!$A$5:$A$304,0),"")),"")</f>
        <v/>
      </c>
      <c r="S351" s="61" t="str">
        <f aca="false">IF(IsPro,IF($D351="","",IF(OR($H351="",$H351="Credit"),0,P351)),"")</f>
        <v/>
      </c>
    </row>
    <row r="352" customFormat="false" ht="15" hidden="false" customHeight="false" outlineLevel="0" collapsed="false">
      <c r="A352" s="55"/>
      <c r="B352" s="56"/>
      <c r="C352" s="56"/>
      <c r="D352" s="56"/>
      <c r="E352" s="57"/>
      <c r="F352" s="58"/>
      <c r="G352" s="59"/>
      <c r="H352" s="56"/>
      <c r="I352" s="60" t="str">
        <f aca="false">IF(IsPro,IF($D352="","",IFERROR(INDEX(Items!$D$5:$D$504,Q352),"")),IF($D352="","","PRO PLAN"))</f>
        <v/>
      </c>
      <c r="J352" s="61" t="str">
        <f aca="false">IF(IsPro,IF($D352="","",IF($F352="",IFERROR(INDEX(Items!$G$5:$G$504,Q352),0),$F352)),"")</f>
        <v/>
      </c>
      <c r="K352" s="61" t="str">
        <f aca="false">IF(IsPro,IF($D352="","",ROUND(N($E352)*J352*(1-N($G352)),2)),"")</f>
        <v/>
      </c>
      <c r="L352" s="62" t="str">
        <f aca="false">IF(IsPro,IF($D352="","",IFERROR(INDEX(Items!$F$5:$F$504,Q352),0)),"")</f>
        <v/>
      </c>
      <c r="M352" s="61" t="str">
        <f aca="false">IF(IsPro,IF($D352="","",IF(AND(R352&lt;&gt;"",INDEX(Parties!$E$5:$E$304,R352)&lt;&gt;"",INDEX(Parties!$E$5:$E$304,R352)&lt;&gt;HomeState),0,ROUND(K352*L352/2,2))),"")</f>
        <v/>
      </c>
      <c r="N352" s="61" t="str">
        <f aca="false">IF(IsPro,IF($D352="","",M352),"")</f>
        <v/>
      </c>
      <c r="O352" s="61" t="str">
        <f aca="false">IF(IsPro,IF($D352="","",IF(AND(R352&lt;&gt;"",INDEX(Parties!$E$5:$E$304,R352)&lt;&gt;"",INDEX(Parties!$E$5:$E$304,R352)&lt;&gt;HomeState),ROUND(K352*L352,2),0)),"")</f>
        <v/>
      </c>
      <c r="P352" s="61" t="str">
        <f aca="false">IF(IsPro,IF($D352="","",K352+M352+N352+O352),"")</f>
        <v/>
      </c>
      <c r="Q352" s="60" t="str">
        <f aca="false">IF(IsPro,IF($D352="","",IFERROR(MATCH($D352,Items!$A$5:$A$504,0),"")),"")</f>
        <v/>
      </c>
      <c r="R352" s="60" t="str">
        <f aca="false">IF(IsPro,IF($C352="","",IFERROR(MATCH($C352,Parties!$A$5:$A$304,0),"")),"")</f>
        <v/>
      </c>
      <c r="S352" s="61" t="str">
        <f aca="false">IF(IsPro,IF($D352="","",IF(OR($H352="",$H352="Credit"),0,P352)),"")</f>
        <v/>
      </c>
    </row>
    <row r="353" customFormat="false" ht="15" hidden="false" customHeight="false" outlineLevel="0" collapsed="false">
      <c r="A353" s="55"/>
      <c r="B353" s="56"/>
      <c r="C353" s="56"/>
      <c r="D353" s="56"/>
      <c r="E353" s="57"/>
      <c r="F353" s="58"/>
      <c r="G353" s="59"/>
      <c r="H353" s="56"/>
      <c r="I353" s="60" t="str">
        <f aca="false">IF(IsPro,IF($D353="","",IFERROR(INDEX(Items!$D$5:$D$504,Q353),"")),IF($D353="","","PRO PLAN"))</f>
        <v/>
      </c>
      <c r="J353" s="61" t="str">
        <f aca="false">IF(IsPro,IF($D353="","",IF($F353="",IFERROR(INDEX(Items!$G$5:$G$504,Q353),0),$F353)),"")</f>
        <v/>
      </c>
      <c r="K353" s="61" t="str">
        <f aca="false">IF(IsPro,IF($D353="","",ROUND(N($E353)*J353*(1-N($G353)),2)),"")</f>
        <v/>
      </c>
      <c r="L353" s="62" t="str">
        <f aca="false">IF(IsPro,IF($D353="","",IFERROR(INDEX(Items!$F$5:$F$504,Q353),0)),"")</f>
        <v/>
      </c>
      <c r="M353" s="61" t="str">
        <f aca="false">IF(IsPro,IF($D353="","",IF(AND(R353&lt;&gt;"",INDEX(Parties!$E$5:$E$304,R353)&lt;&gt;"",INDEX(Parties!$E$5:$E$304,R353)&lt;&gt;HomeState),0,ROUND(K353*L353/2,2))),"")</f>
        <v/>
      </c>
      <c r="N353" s="61" t="str">
        <f aca="false">IF(IsPro,IF($D353="","",M353),"")</f>
        <v/>
      </c>
      <c r="O353" s="61" t="str">
        <f aca="false">IF(IsPro,IF($D353="","",IF(AND(R353&lt;&gt;"",INDEX(Parties!$E$5:$E$304,R353)&lt;&gt;"",INDEX(Parties!$E$5:$E$304,R353)&lt;&gt;HomeState),ROUND(K353*L353,2),0)),"")</f>
        <v/>
      </c>
      <c r="P353" s="61" t="str">
        <f aca="false">IF(IsPro,IF($D353="","",K353+M353+N353+O353),"")</f>
        <v/>
      </c>
      <c r="Q353" s="60" t="str">
        <f aca="false">IF(IsPro,IF($D353="","",IFERROR(MATCH($D353,Items!$A$5:$A$504,0),"")),"")</f>
        <v/>
      </c>
      <c r="R353" s="60" t="str">
        <f aca="false">IF(IsPro,IF($C353="","",IFERROR(MATCH($C353,Parties!$A$5:$A$304,0),"")),"")</f>
        <v/>
      </c>
      <c r="S353" s="61" t="str">
        <f aca="false">IF(IsPro,IF($D353="","",IF(OR($H353="",$H353="Credit"),0,P353)),"")</f>
        <v/>
      </c>
    </row>
    <row r="354" customFormat="false" ht="15" hidden="false" customHeight="false" outlineLevel="0" collapsed="false">
      <c r="A354" s="55"/>
      <c r="B354" s="56"/>
      <c r="C354" s="56"/>
      <c r="D354" s="56"/>
      <c r="E354" s="57"/>
      <c r="F354" s="58"/>
      <c r="G354" s="59"/>
      <c r="H354" s="56"/>
      <c r="I354" s="60" t="str">
        <f aca="false">IF(IsPro,IF($D354="","",IFERROR(INDEX(Items!$D$5:$D$504,Q354),"")),IF($D354="","","PRO PLAN"))</f>
        <v/>
      </c>
      <c r="J354" s="61" t="str">
        <f aca="false">IF(IsPro,IF($D354="","",IF($F354="",IFERROR(INDEX(Items!$G$5:$G$504,Q354),0),$F354)),"")</f>
        <v/>
      </c>
      <c r="K354" s="61" t="str">
        <f aca="false">IF(IsPro,IF($D354="","",ROUND(N($E354)*J354*(1-N($G354)),2)),"")</f>
        <v/>
      </c>
      <c r="L354" s="62" t="str">
        <f aca="false">IF(IsPro,IF($D354="","",IFERROR(INDEX(Items!$F$5:$F$504,Q354),0)),"")</f>
        <v/>
      </c>
      <c r="M354" s="61" t="str">
        <f aca="false">IF(IsPro,IF($D354="","",IF(AND(R354&lt;&gt;"",INDEX(Parties!$E$5:$E$304,R354)&lt;&gt;"",INDEX(Parties!$E$5:$E$304,R354)&lt;&gt;HomeState),0,ROUND(K354*L354/2,2))),"")</f>
        <v/>
      </c>
      <c r="N354" s="61" t="str">
        <f aca="false">IF(IsPro,IF($D354="","",M354),"")</f>
        <v/>
      </c>
      <c r="O354" s="61" t="str">
        <f aca="false">IF(IsPro,IF($D354="","",IF(AND(R354&lt;&gt;"",INDEX(Parties!$E$5:$E$304,R354)&lt;&gt;"",INDEX(Parties!$E$5:$E$304,R354)&lt;&gt;HomeState),ROUND(K354*L354,2),0)),"")</f>
        <v/>
      </c>
      <c r="P354" s="61" t="str">
        <f aca="false">IF(IsPro,IF($D354="","",K354+M354+N354+O354),"")</f>
        <v/>
      </c>
      <c r="Q354" s="60" t="str">
        <f aca="false">IF(IsPro,IF($D354="","",IFERROR(MATCH($D354,Items!$A$5:$A$504,0),"")),"")</f>
        <v/>
      </c>
      <c r="R354" s="60" t="str">
        <f aca="false">IF(IsPro,IF($C354="","",IFERROR(MATCH($C354,Parties!$A$5:$A$304,0),"")),"")</f>
        <v/>
      </c>
      <c r="S354" s="61" t="str">
        <f aca="false">IF(IsPro,IF($D354="","",IF(OR($H354="",$H354="Credit"),0,P354)),"")</f>
        <v/>
      </c>
    </row>
    <row r="355" customFormat="false" ht="15" hidden="false" customHeight="false" outlineLevel="0" collapsed="false">
      <c r="A355" s="55"/>
      <c r="B355" s="56"/>
      <c r="C355" s="56"/>
      <c r="D355" s="56"/>
      <c r="E355" s="57"/>
      <c r="F355" s="58"/>
      <c r="G355" s="59"/>
      <c r="H355" s="56"/>
      <c r="I355" s="60" t="str">
        <f aca="false">IF(IsPro,IF($D355="","",IFERROR(INDEX(Items!$D$5:$D$504,Q355),"")),IF($D355="","","PRO PLAN"))</f>
        <v/>
      </c>
      <c r="J355" s="61" t="str">
        <f aca="false">IF(IsPro,IF($D355="","",IF($F355="",IFERROR(INDEX(Items!$G$5:$G$504,Q355),0),$F355)),"")</f>
        <v/>
      </c>
      <c r="K355" s="61" t="str">
        <f aca="false">IF(IsPro,IF($D355="","",ROUND(N($E355)*J355*(1-N($G355)),2)),"")</f>
        <v/>
      </c>
      <c r="L355" s="62" t="str">
        <f aca="false">IF(IsPro,IF($D355="","",IFERROR(INDEX(Items!$F$5:$F$504,Q355),0)),"")</f>
        <v/>
      </c>
      <c r="M355" s="61" t="str">
        <f aca="false">IF(IsPro,IF($D355="","",IF(AND(R355&lt;&gt;"",INDEX(Parties!$E$5:$E$304,R355)&lt;&gt;"",INDEX(Parties!$E$5:$E$304,R355)&lt;&gt;HomeState),0,ROUND(K355*L355/2,2))),"")</f>
        <v/>
      </c>
      <c r="N355" s="61" t="str">
        <f aca="false">IF(IsPro,IF($D355="","",M355),"")</f>
        <v/>
      </c>
      <c r="O355" s="61" t="str">
        <f aca="false">IF(IsPro,IF($D355="","",IF(AND(R355&lt;&gt;"",INDEX(Parties!$E$5:$E$304,R355)&lt;&gt;"",INDEX(Parties!$E$5:$E$304,R355)&lt;&gt;HomeState),ROUND(K355*L355,2),0)),"")</f>
        <v/>
      </c>
      <c r="P355" s="61" t="str">
        <f aca="false">IF(IsPro,IF($D355="","",K355+M355+N355+O355),"")</f>
        <v/>
      </c>
      <c r="Q355" s="60" t="str">
        <f aca="false">IF(IsPro,IF($D355="","",IFERROR(MATCH($D355,Items!$A$5:$A$504,0),"")),"")</f>
        <v/>
      </c>
      <c r="R355" s="60" t="str">
        <f aca="false">IF(IsPro,IF($C355="","",IFERROR(MATCH($C355,Parties!$A$5:$A$304,0),"")),"")</f>
        <v/>
      </c>
      <c r="S355" s="61" t="str">
        <f aca="false">IF(IsPro,IF($D355="","",IF(OR($H355="",$H355="Credit"),0,P355)),"")</f>
        <v/>
      </c>
    </row>
    <row r="356" customFormat="false" ht="15" hidden="false" customHeight="false" outlineLevel="0" collapsed="false">
      <c r="A356" s="55"/>
      <c r="B356" s="56"/>
      <c r="C356" s="56"/>
      <c r="D356" s="56"/>
      <c r="E356" s="57"/>
      <c r="F356" s="58"/>
      <c r="G356" s="59"/>
      <c r="H356" s="56"/>
      <c r="I356" s="60" t="str">
        <f aca="false">IF(IsPro,IF($D356="","",IFERROR(INDEX(Items!$D$5:$D$504,Q356),"")),IF($D356="","","PRO PLAN"))</f>
        <v/>
      </c>
      <c r="J356" s="61" t="str">
        <f aca="false">IF(IsPro,IF($D356="","",IF($F356="",IFERROR(INDEX(Items!$G$5:$G$504,Q356),0),$F356)),"")</f>
        <v/>
      </c>
      <c r="K356" s="61" t="str">
        <f aca="false">IF(IsPro,IF($D356="","",ROUND(N($E356)*J356*(1-N($G356)),2)),"")</f>
        <v/>
      </c>
      <c r="L356" s="62" t="str">
        <f aca="false">IF(IsPro,IF($D356="","",IFERROR(INDEX(Items!$F$5:$F$504,Q356),0)),"")</f>
        <v/>
      </c>
      <c r="M356" s="61" t="str">
        <f aca="false">IF(IsPro,IF($D356="","",IF(AND(R356&lt;&gt;"",INDEX(Parties!$E$5:$E$304,R356)&lt;&gt;"",INDEX(Parties!$E$5:$E$304,R356)&lt;&gt;HomeState),0,ROUND(K356*L356/2,2))),"")</f>
        <v/>
      </c>
      <c r="N356" s="61" t="str">
        <f aca="false">IF(IsPro,IF($D356="","",M356),"")</f>
        <v/>
      </c>
      <c r="O356" s="61" t="str">
        <f aca="false">IF(IsPro,IF($D356="","",IF(AND(R356&lt;&gt;"",INDEX(Parties!$E$5:$E$304,R356)&lt;&gt;"",INDEX(Parties!$E$5:$E$304,R356)&lt;&gt;HomeState),ROUND(K356*L356,2),0)),"")</f>
        <v/>
      </c>
      <c r="P356" s="61" t="str">
        <f aca="false">IF(IsPro,IF($D356="","",K356+M356+N356+O356),"")</f>
        <v/>
      </c>
      <c r="Q356" s="60" t="str">
        <f aca="false">IF(IsPro,IF($D356="","",IFERROR(MATCH($D356,Items!$A$5:$A$504,0),"")),"")</f>
        <v/>
      </c>
      <c r="R356" s="60" t="str">
        <f aca="false">IF(IsPro,IF($C356="","",IFERROR(MATCH($C356,Parties!$A$5:$A$304,0),"")),"")</f>
        <v/>
      </c>
      <c r="S356" s="61" t="str">
        <f aca="false">IF(IsPro,IF($D356="","",IF(OR($H356="",$H356="Credit"),0,P356)),"")</f>
        <v/>
      </c>
    </row>
    <row r="357" customFormat="false" ht="15" hidden="false" customHeight="false" outlineLevel="0" collapsed="false">
      <c r="A357" s="55"/>
      <c r="B357" s="56"/>
      <c r="C357" s="56"/>
      <c r="D357" s="56"/>
      <c r="E357" s="57"/>
      <c r="F357" s="58"/>
      <c r="G357" s="59"/>
      <c r="H357" s="56"/>
      <c r="I357" s="60" t="str">
        <f aca="false">IF(IsPro,IF($D357="","",IFERROR(INDEX(Items!$D$5:$D$504,Q357),"")),IF($D357="","","PRO PLAN"))</f>
        <v/>
      </c>
      <c r="J357" s="61" t="str">
        <f aca="false">IF(IsPro,IF($D357="","",IF($F357="",IFERROR(INDEX(Items!$G$5:$G$504,Q357),0),$F357)),"")</f>
        <v/>
      </c>
      <c r="K357" s="61" t="str">
        <f aca="false">IF(IsPro,IF($D357="","",ROUND(N($E357)*J357*(1-N($G357)),2)),"")</f>
        <v/>
      </c>
      <c r="L357" s="62" t="str">
        <f aca="false">IF(IsPro,IF($D357="","",IFERROR(INDEX(Items!$F$5:$F$504,Q357),0)),"")</f>
        <v/>
      </c>
      <c r="M357" s="61" t="str">
        <f aca="false">IF(IsPro,IF($D357="","",IF(AND(R357&lt;&gt;"",INDEX(Parties!$E$5:$E$304,R357)&lt;&gt;"",INDEX(Parties!$E$5:$E$304,R357)&lt;&gt;HomeState),0,ROUND(K357*L357/2,2))),"")</f>
        <v/>
      </c>
      <c r="N357" s="61" t="str">
        <f aca="false">IF(IsPro,IF($D357="","",M357),"")</f>
        <v/>
      </c>
      <c r="O357" s="61" t="str">
        <f aca="false">IF(IsPro,IF($D357="","",IF(AND(R357&lt;&gt;"",INDEX(Parties!$E$5:$E$304,R357)&lt;&gt;"",INDEX(Parties!$E$5:$E$304,R357)&lt;&gt;HomeState),ROUND(K357*L357,2),0)),"")</f>
        <v/>
      </c>
      <c r="P357" s="61" t="str">
        <f aca="false">IF(IsPro,IF($D357="","",K357+M357+N357+O357),"")</f>
        <v/>
      </c>
      <c r="Q357" s="60" t="str">
        <f aca="false">IF(IsPro,IF($D357="","",IFERROR(MATCH($D357,Items!$A$5:$A$504,0),"")),"")</f>
        <v/>
      </c>
      <c r="R357" s="60" t="str">
        <f aca="false">IF(IsPro,IF($C357="","",IFERROR(MATCH($C357,Parties!$A$5:$A$304,0),"")),"")</f>
        <v/>
      </c>
      <c r="S357" s="61" t="str">
        <f aca="false">IF(IsPro,IF($D357="","",IF(OR($H357="",$H357="Credit"),0,P357)),"")</f>
        <v/>
      </c>
    </row>
    <row r="358" customFormat="false" ht="15" hidden="false" customHeight="false" outlineLevel="0" collapsed="false">
      <c r="A358" s="55"/>
      <c r="B358" s="56"/>
      <c r="C358" s="56"/>
      <c r="D358" s="56"/>
      <c r="E358" s="57"/>
      <c r="F358" s="58"/>
      <c r="G358" s="59"/>
      <c r="H358" s="56"/>
      <c r="I358" s="60" t="str">
        <f aca="false">IF(IsPro,IF($D358="","",IFERROR(INDEX(Items!$D$5:$D$504,Q358),"")),IF($D358="","","PRO PLAN"))</f>
        <v/>
      </c>
      <c r="J358" s="61" t="str">
        <f aca="false">IF(IsPro,IF($D358="","",IF($F358="",IFERROR(INDEX(Items!$G$5:$G$504,Q358),0),$F358)),"")</f>
        <v/>
      </c>
      <c r="K358" s="61" t="str">
        <f aca="false">IF(IsPro,IF($D358="","",ROUND(N($E358)*J358*(1-N($G358)),2)),"")</f>
        <v/>
      </c>
      <c r="L358" s="62" t="str">
        <f aca="false">IF(IsPro,IF($D358="","",IFERROR(INDEX(Items!$F$5:$F$504,Q358),0)),"")</f>
        <v/>
      </c>
      <c r="M358" s="61" t="str">
        <f aca="false">IF(IsPro,IF($D358="","",IF(AND(R358&lt;&gt;"",INDEX(Parties!$E$5:$E$304,R358)&lt;&gt;"",INDEX(Parties!$E$5:$E$304,R358)&lt;&gt;HomeState),0,ROUND(K358*L358/2,2))),"")</f>
        <v/>
      </c>
      <c r="N358" s="61" t="str">
        <f aca="false">IF(IsPro,IF($D358="","",M358),"")</f>
        <v/>
      </c>
      <c r="O358" s="61" t="str">
        <f aca="false">IF(IsPro,IF($D358="","",IF(AND(R358&lt;&gt;"",INDEX(Parties!$E$5:$E$304,R358)&lt;&gt;"",INDEX(Parties!$E$5:$E$304,R358)&lt;&gt;HomeState),ROUND(K358*L358,2),0)),"")</f>
        <v/>
      </c>
      <c r="P358" s="61" t="str">
        <f aca="false">IF(IsPro,IF($D358="","",K358+M358+N358+O358),"")</f>
        <v/>
      </c>
      <c r="Q358" s="60" t="str">
        <f aca="false">IF(IsPro,IF($D358="","",IFERROR(MATCH($D358,Items!$A$5:$A$504,0),"")),"")</f>
        <v/>
      </c>
      <c r="R358" s="60" t="str">
        <f aca="false">IF(IsPro,IF($C358="","",IFERROR(MATCH($C358,Parties!$A$5:$A$304,0),"")),"")</f>
        <v/>
      </c>
      <c r="S358" s="61" t="str">
        <f aca="false">IF(IsPro,IF($D358="","",IF(OR($H358="",$H358="Credit"),0,P358)),"")</f>
        <v/>
      </c>
    </row>
    <row r="359" customFormat="false" ht="15" hidden="false" customHeight="false" outlineLevel="0" collapsed="false">
      <c r="A359" s="55"/>
      <c r="B359" s="56"/>
      <c r="C359" s="56"/>
      <c r="D359" s="56"/>
      <c r="E359" s="57"/>
      <c r="F359" s="58"/>
      <c r="G359" s="59"/>
      <c r="H359" s="56"/>
      <c r="I359" s="60" t="str">
        <f aca="false">IF(IsPro,IF($D359="","",IFERROR(INDEX(Items!$D$5:$D$504,Q359),"")),IF($D359="","","PRO PLAN"))</f>
        <v/>
      </c>
      <c r="J359" s="61" t="str">
        <f aca="false">IF(IsPro,IF($D359="","",IF($F359="",IFERROR(INDEX(Items!$G$5:$G$504,Q359),0),$F359)),"")</f>
        <v/>
      </c>
      <c r="K359" s="61" t="str">
        <f aca="false">IF(IsPro,IF($D359="","",ROUND(N($E359)*J359*(1-N($G359)),2)),"")</f>
        <v/>
      </c>
      <c r="L359" s="62" t="str">
        <f aca="false">IF(IsPro,IF($D359="","",IFERROR(INDEX(Items!$F$5:$F$504,Q359),0)),"")</f>
        <v/>
      </c>
      <c r="M359" s="61" t="str">
        <f aca="false">IF(IsPro,IF($D359="","",IF(AND(R359&lt;&gt;"",INDEX(Parties!$E$5:$E$304,R359)&lt;&gt;"",INDEX(Parties!$E$5:$E$304,R359)&lt;&gt;HomeState),0,ROUND(K359*L359/2,2))),"")</f>
        <v/>
      </c>
      <c r="N359" s="61" t="str">
        <f aca="false">IF(IsPro,IF($D359="","",M359),"")</f>
        <v/>
      </c>
      <c r="O359" s="61" t="str">
        <f aca="false">IF(IsPro,IF($D359="","",IF(AND(R359&lt;&gt;"",INDEX(Parties!$E$5:$E$304,R359)&lt;&gt;"",INDEX(Parties!$E$5:$E$304,R359)&lt;&gt;HomeState),ROUND(K359*L359,2),0)),"")</f>
        <v/>
      </c>
      <c r="P359" s="61" t="str">
        <f aca="false">IF(IsPro,IF($D359="","",K359+M359+N359+O359),"")</f>
        <v/>
      </c>
      <c r="Q359" s="60" t="str">
        <f aca="false">IF(IsPro,IF($D359="","",IFERROR(MATCH($D359,Items!$A$5:$A$504,0),"")),"")</f>
        <v/>
      </c>
      <c r="R359" s="60" t="str">
        <f aca="false">IF(IsPro,IF($C359="","",IFERROR(MATCH($C359,Parties!$A$5:$A$304,0),"")),"")</f>
        <v/>
      </c>
      <c r="S359" s="61" t="str">
        <f aca="false">IF(IsPro,IF($D359="","",IF(OR($H359="",$H359="Credit"),0,P359)),"")</f>
        <v/>
      </c>
    </row>
    <row r="360" customFormat="false" ht="15" hidden="false" customHeight="false" outlineLevel="0" collapsed="false">
      <c r="A360" s="55"/>
      <c r="B360" s="56"/>
      <c r="C360" s="56"/>
      <c r="D360" s="56"/>
      <c r="E360" s="57"/>
      <c r="F360" s="58"/>
      <c r="G360" s="59"/>
      <c r="H360" s="56"/>
      <c r="I360" s="60" t="str">
        <f aca="false">IF(IsPro,IF($D360="","",IFERROR(INDEX(Items!$D$5:$D$504,Q360),"")),IF($D360="","","PRO PLAN"))</f>
        <v/>
      </c>
      <c r="J360" s="61" t="str">
        <f aca="false">IF(IsPro,IF($D360="","",IF($F360="",IFERROR(INDEX(Items!$G$5:$G$504,Q360),0),$F360)),"")</f>
        <v/>
      </c>
      <c r="K360" s="61" t="str">
        <f aca="false">IF(IsPro,IF($D360="","",ROUND(N($E360)*J360*(1-N($G360)),2)),"")</f>
        <v/>
      </c>
      <c r="L360" s="62" t="str">
        <f aca="false">IF(IsPro,IF($D360="","",IFERROR(INDEX(Items!$F$5:$F$504,Q360),0)),"")</f>
        <v/>
      </c>
      <c r="M360" s="61" t="str">
        <f aca="false">IF(IsPro,IF($D360="","",IF(AND(R360&lt;&gt;"",INDEX(Parties!$E$5:$E$304,R360)&lt;&gt;"",INDEX(Parties!$E$5:$E$304,R360)&lt;&gt;HomeState),0,ROUND(K360*L360/2,2))),"")</f>
        <v/>
      </c>
      <c r="N360" s="61" t="str">
        <f aca="false">IF(IsPro,IF($D360="","",M360),"")</f>
        <v/>
      </c>
      <c r="O360" s="61" t="str">
        <f aca="false">IF(IsPro,IF($D360="","",IF(AND(R360&lt;&gt;"",INDEX(Parties!$E$5:$E$304,R360)&lt;&gt;"",INDEX(Parties!$E$5:$E$304,R360)&lt;&gt;HomeState),ROUND(K360*L360,2),0)),"")</f>
        <v/>
      </c>
      <c r="P360" s="61" t="str">
        <f aca="false">IF(IsPro,IF($D360="","",K360+M360+N360+O360),"")</f>
        <v/>
      </c>
      <c r="Q360" s="60" t="str">
        <f aca="false">IF(IsPro,IF($D360="","",IFERROR(MATCH($D360,Items!$A$5:$A$504,0),"")),"")</f>
        <v/>
      </c>
      <c r="R360" s="60" t="str">
        <f aca="false">IF(IsPro,IF($C360="","",IFERROR(MATCH($C360,Parties!$A$5:$A$304,0),"")),"")</f>
        <v/>
      </c>
      <c r="S360" s="61" t="str">
        <f aca="false">IF(IsPro,IF($D360="","",IF(OR($H360="",$H360="Credit"),0,P360)),"")</f>
        <v/>
      </c>
    </row>
    <row r="361" customFormat="false" ht="15" hidden="false" customHeight="false" outlineLevel="0" collapsed="false">
      <c r="A361" s="55"/>
      <c r="B361" s="56"/>
      <c r="C361" s="56"/>
      <c r="D361" s="56"/>
      <c r="E361" s="57"/>
      <c r="F361" s="58"/>
      <c r="G361" s="59"/>
      <c r="H361" s="56"/>
      <c r="I361" s="60" t="str">
        <f aca="false">IF(IsPro,IF($D361="","",IFERROR(INDEX(Items!$D$5:$D$504,Q361),"")),IF($D361="","","PRO PLAN"))</f>
        <v/>
      </c>
      <c r="J361" s="61" t="str">
        <f aca="false">IF(IsPro,IF($D361="","",IF($F361="",IFERROR(INDEX(Items!$G$5:$G$504,Q361),0),$F361)),"")</f>
        <v/>
      </c>
      <c r="K361" s="61" t="str">
        <f aca="false">IF(IsPro,IF($D361="","",ROUND(N($E361)*J361*(1-N($G361)),2)),"")</f>
        <v/>
      </c>
      <c r="L361" s="62" t="str">
        <f aca="false">IF(IsPro,IF($D361="","",IFERROR(INDEX(Items!$F$5:$F$504,Q361),0)),"")</f>
        <v/>
      </c>
      <c r="M361" s="61" t="str">
        <f aca="false">IF(IsPro,IF($D361="","",IF(AND(R361&lt;&gt;"",INDEX(Parties!$E$5:$E$304,R361)&lt;&gt;"",INDEX(Parties!$E$5:$E$304,R361)&lt;&gt;HomeState),0,ROUND(K361*L361/2,2))),"")</f>
        <v/>
      </c>
      <c r="N361" s="61" t="str">
        <f aca="false">IF(IsPro,IF($D361="","",M361),"")</f>
        <v/>
      </c>
      <c r="O361" s="61" t="str">
        <f aca="false">IF(IsPro,IF($D361="","",IF(AND(R361&lt;&gt;"",INDEX(Parties!$E$5:$E$304,R361)&lt;&gt;"",INDEX(Parties!$E$5:$E$304,R361)&lt;&gt;HomeState),ROUND(K361*L361,2),0)),"")</f>
        <v/>
      </c>
      <c r="P361" s="61" t="str">
        <f aca="false">IF(IsPro,IF($D361="","",K361+M361+N361+O361),"")</f>
        <v/>
      </c>
      <c r="Q361" s="60" t="str">
        <f aca="false">IF(IsPro,IF($D361="","",IFERROR(MATCH($D361,Items!$A$5:$A$504,0),"")),"")</f>
        <v/>
      </c>
      <c r="R361" s="60" t="str">
        <f aca="false">IF(IsPro,IF($C361="","",IFERROR(MATCH($C361,Parties!$A$5:$A$304,0),"")),"")</f>
        <v/>
      </c>
      <c r="S361" s="61" t="str">
        <f aca="false">IF(IsPro,IF($D361="","",IF(OR($H361="",$H361="Credit"),0,P361)),"")</f>
        <v/>
      </c>
    </row>
    <row r="362" customFormat="false" ht="15" hidden="false" customHeight="false" outlineLevel="0" collapsed="false">
      <c r="A362" s="55"/>
      <c r="B362" s="56"/>
      <c r="C362" s="56"/>
      <c r="D362" s="56"/>
      <c r="E362" s="57"/>
      <c r="F362" s="58"/>
      <c r="G362" s="59"/>
      <c r="H362" s="56"/>
      <c r="I362" s="60" t="str">
        <f aca="false">IF(IsPro,IF($D362="","",IFERROR(INDEX(Items!$D$5:$D$504,Q362),"")),IF($D362="","","PRO PLAN"))</f>
        <v/>
      </c>
      <c r="J362" s="61" t="str">
        <f aca="false">IF(IsPro,IF($D362="","",IF($F362="",IFERROR(INDEX(Items!$G$5:$G$504,Q362),0),$F362)),"")</f>
        <v/>
      </c>
      <c r="K362" s="61" t="str">
        <f aca="false">IF(IsPro,IF($D362="","",ROUND(N($E362)*J362*(1-N($G362)),2)),"")</f>
        <v/>
      </c>
      <c r="L362" s="62" t="str">
        <f aca="false">IF(IsPro,IF($D362="","",IFERROR(INDEX(Items!$F$5:$F$504,Q362),0)),"")</f>
        <v/>
      </c>
      <c r="M362" s="61" t="str">
        <f aca="false">IF(IsPro,IF($D362="","",IF(AND(R362&lt;&gt;"",INDEX(Parties!$E$5:$E$304,R362)&lt;&gt;"",INDEX(Parties!$E$5:$E$304,R362)&lt;&gt;HomeState),0,ROUND(K362*L362/2,2))),"")</f>
        <v/>
      </c>
      <c r="N362" s="61" t="str">
        <f aca="false">IF(IsPro,IF($D362="","",M362),"")</f>
        <v/>
      </c>
      <c r="O362" s="61" t="str">
        <f aca="false">IF(IsPro,IF($D362="","",IF(AND(R362&lt;&gt;"",INDEX(Parties!$E$5:$E$304,R362)&lt;&gt;"",INDEX(Parties!$E$5:$E$304,R362)&lt;&gt;HomeState),ROUND(K362*L362,2),0)),"")</f>
        <v/>
      </c>
      <c r="P362" s="61" t="str">
        <f aca="false">IF(IsPro,IF($D362="","",K362+M362+N362+O362),"")</f>
        <v/>
      </c>
      <c r="Q362" s="60" t="str">
        <f aca="false">IF(IsPro,IF($D362="","",IFERROR(MATCH($D362,Items!$A$5:$A$504,0),"")),"")</f>
        <v/>
      </c>
      <c r="R362" s="60" t="str">
        <f aca="false">IF(IsPro,IF($C362="","",IFERROR(MATCH($C362,Parties!$A$5:$A$304,0),"")),"")</f>
        <v/>
      </c>
      <c r="S362" s="61" t="str">
        <f aca="false">IF(IsPro,IF($D362="","",IF(OR($H362="",$H362="Credit"),0,P362)),"")</f>
        <v/>
      </c>
    </row>
    <row r="363" customFormat="false" ht="15" hidden="false" customHeight="false" outlineLevel="0" collapsed="false">
      <c r="A363" s="55"/>
      <c r="B363" s="56"/>
      <c r="C363" s="56"/>
      <c r="D363" s="56"/>
      <c r="E363" s="57"/>
      <c r="F363" s="58"/>
      <c r="G363" s="59"/>
      <c r="H363" s="56"/>
      <c r="I363" s="60" t="str">
        <f aca="false">IF(IsPro,IF($D363="","",IFERROR(INDEX(Items!$D$5:$D$504,Q363),"")),IF($D363="","","PRO PLAN"))</f>
        <v/>
      </c>
      <c r="J363" s="61" t="str">
        <f aca="false">IF(IsPro,IF($D363="","",IF($F363="",IFERROR(INDEX(Items!$G$5:$G$504,Q363),0),$F363)),"")</f>
        <v/>
      </c>
      <c r="K363" s="61" t="str">
        <f aca="false">IF(IsPro,IF($D363="","",ROUND(N($E363)*J363*(1-N($G363)),2)),"")</f>
        <v/>
      </c>
      <c r="L363" s="62" t="str">
        <f aca="false">IF(IsPro,IF($D363="","",IFERROR(INDEX(Items!$F$5:$F$504,Q363),0)),"")</f>
        <v/>
      </c>
      <c r="M363" s="61" t="str">
        <f aca="false">IF(IsPro,IF($D363="","",IF(AND(R363&lt;&gt;"",INDEX(Parties!$E$5:$E$304,R363)&lt;&gt;"",INDEX(Parties!$E$5:$E$304,R363)&lt;&gt;HomeState),0,ROUND(K363*L363/2,2))),"")</f>
        <v/>
      </c>
      <c r="N363" s="61" t="str">
        <f aca="false">IF(IsPro,IF($D363="","",M363),"")</f>
        <v/>
      </c>
      <c r="O363" s="61" t="str">
        <f aca="false">IF(IsPro,IF($D363="","",IF(AND(R363&lt;&gt;"",INDEX(Parties!$E$5:$E$304,R363)&lt;&gt;"",INDEX(Parties!$E$5:$E$304,R363)&lt;&gt;HomeState),ROUND(K363*L363,2),0)),"")</f>
        <v/>
      </c>
      <c r="P363" s="61" t="str">
        <f aca="false">IF(IsPro,IF($D363="","",K363+M363+N363+O363),"")</f>
        <v/>
      </c>
      <c r="Q363" s="60" t="str">
        <f aca="false">IF(IsPro,IF($D363="","",IFERROR(MATCH($D363,Items!$A$5:$A$504,0),"")),"")</f>
        <v/>
      </c>
      <c r="R363" s="60" t="str">
        <f aca="false">IF(IsPro,IF($C363="","",IFERROR(MATCH($C363,Parties!$A$5:$A$304,0),"")),"")</f>
        <v/>
      </c>
      <c r="S363" s="61" t="str">
        <f aca="false">IF(IsPro,IF($D363="","",IF(OR($H363="",$H363="Credit"),0,P363)),"")</f>
        <v/>
      </c>
    </row>
    <row r="364" customFormat="false" ht="15" hidden="false" customHeight="false" outlineLevel="0" collapsed="false">
      <c r="A364" s="55"/>
      <c r="B364" s="56"/>
      <c r="C364" s="56"/>
      <c r="D364" s="56"/>
      <c r="E364" s="57"/>
      <c r="F364" s="58"/>
      <c r="G364" s="59"/>
      <c r="H364" s="56"/>
      <c r="I364" s="60" t="str">
        <f aca="false">IF(IsPro,IF($D364="","",IFERROR(INDEX(Items!$D$5:$D$504,Q364),"")),IF($D364="","","PRO PLAN"))</f>
        <v/>
      </c>
      <c r="J364" s="61" t="str">
        <f aca="false">IF(IsPro,IF($D364="","",IF($F364="",IFERROR(INDEX(Items!$G$5:$G$504,Q364),0),$F364)),"")</f>
        <v/>
      </c>
      <c r="K364" s="61" t="str">
        <f aca="false">IF(IsPro,IF($D364="","",ROUND(N($E364)*J364*(1-N($G364)),2)),"")</f>
        <v/>
      </c>
      <c r="L364" s="62" t="str">
        <f aca="false">IF(IsPro,IF($D364="","",IFERROR(INDEX(Items!$F$5:$F$504,Q364),0)),"")</f>
        <v/>
      </c>
      <c r="M364" s="61" t="str">
        <f aca="false">IF(IsPro,IF($D364="","",IF(AND(R364&lt;&gt;"",INDEX(Parties!$E$5:$E$304,R364)&lt;&gt;"",INDEX(Parties!$E$5:$E$304,R364)&lt;&gt;HomeState),0,ROUND(K364*L364/2,2))),"")</f>
        <v/>
      </c>
      <c r="N364" s="61" t="str">
        <f aca="false">IF(IsPro,IF($D364="","",M364),"")</f>
        <v/>
      </c>
      <c r="O364" s="61" t="str">
        <f aca="false">IF(IsPro,IF($D364="","",IF(AND(R364&lt;&gt;"",INDEX(Parties!$E$5:$E$304,R364)&lt;&gt;"",INDEX(Parties!$E$5:$E$304,R364)&lt;&gt;HomeState),ROUND(K364*L364,2),0)),"")</f>
        <v/>
      </c>
      <c r="P364" s="61" t="str">
        <f aca="false">IF(IsPro,IF($D364="","",K364+M364+N364+O364),"")</f>
        <v/>
      </c>
      <c r="Q364" s="60" t="str">
        <f aca="false">IF(IsPro,IF($D364="","",IFERROR(MATCH($D364,Items!$A$5:$A$504,0),"")),"")</f>
        <v/>
      </c>
      <c r="R364" s="60" t="str">
        <f aca="false">IF(IsPro,IF($C364="","",IFERROR(MATCH($C364,Parties!$A$5:$A$304,0),"")),"")</f>
        <v/>
      </c>
      <c r="S364" s="61" t="str">
        <f aca="false">IF(IsPro,IF($D364="","",IF(OR($H364="",$H364="Credit"),0,P364)),"")</f>
        <v/>
      </c>
    </row>
    <row r="365" customFormat="false" ht="15" hidden="false" customHeight="false" outlineLevel="0" collapsed="false">
      <c r="A365" s="55"/>
      <c r="B365" s="56"/>
      <c r="C365" s="56"/>
      <c r="D365" s="56"/>
      <c r="E365" s="57"/>
      <c r="F365" s="58"/>
      <c r="G365" s="59"/>
      <c r="H365" s="56"/>
      <c r="I365" s="60" t="str">
        <f aca="false">IF(IsPro,IF($D365="","",IFERROR(INDEX(Items!$D$5:$D$504,Q365),"")),IF($D365="","","PRO PLAN"))</f>
        <v/>
      </c>
      <c r="J365" s="61" t="str">
        <f aca="false">IF(IsPro,IF($D365="","",IF($F365="",IFERROR(INDEX(Items!$G$5:$G$504,Q365),0),$F365)),"")</f>
        <v/>
      </c>
      <c r="K365" s="61" t="str">
        <f aca="false">IF(IsPro,IF($D365="","",ROUND(N($E365)*J365*(1-N($G365)),2)),"")</f>
        <v/>
      </c>
      <c r="L365" s="62" t="str">
        <f aca="false">IF(IsPro,IF($D365="","",IFERROR(INDEX(Items!$F$5:$F$504,Q365),0)),"")</f>
        <v/>
      </c>
      <c r="M365" s="61" t="str">
        <f aca="false">IF(IsPro,IF($D365="","",IF(AND(R365&lt;&gt;"",INDEX(Parties!$E$5:$E$304,R365)&lt;&gt;"",INDEX(Parties!$E$5:$E$304,R365)&lt;&gt;HomeState),0,ROUND(K365*L365/2,2))),"")</f>
        <v/>
      </c>
      <c r="N365" s="61" t="str">
        <f aca="false">IF(IsPro,IF($D365="","",M365),"")</f>
        <v/>
      </c>
      <c r="O365" s="61" t="str">
        <f aca="false">IF(IsPro,IF($D365="","",IF(AND(R365&lt;&gt;"",INDEX(Parties!$E$5:$E$304,R365)&lt;&gt;"",INDEX(Parties!$E$5:$E$304,R365)&lt;&gt;HomeState),ROUND(K365*L365,2),0)),"")</f>
        <v/>
      </c>
      <c r="P365" s="61" t="str">
        <f aca="false">IF(IsPro,IF($D365="","",K365+M365+N365+O365),"")</f>
        <v/>
      </c>
      <c r="Q365" s="60" t="str">
        <f aca="false">IF(IsPro,IF($D365="","",IFERROR(MATCH($D365,Items!$A$5:$A$504,0),"")),"")</f>
        <v/>
      </c>
      <c r="R365" s="60" t="str">
        <f aca="false">IF(IsPro,IF($C365="","",IFERROR(MATCH($C365,Parties!$A$5:$A$304,0),"")),"")</f>
        <v/>
      </c>
      <c r="S365" s="61" t="str">
        <f aca="false">IF(IsPro,IF($D365="","",IF(OR($H365="",$H365="Credit"),0,P365)),"")</f>
        <v/>
      </c>
    </row>
    <row r="366" customFormat="false" ht="15" hidden="false" customHeight="false" outlineLevel="0" collapsed="false">
      <c r="A366" s="55"/>
      <c r="B366" s="56"/>
      <c r="C366" s="56"/>
      <c r="D366" s="56"/>
      <c r="E366" s="57"/>
      <c r="F366" s="58"/>
      <c r="G366" s="59"/>
      <c r="H366" s="56"/>
      <c r="I366" s="60" t="str">
        <f aca="false">IF(IsPro,IF($D366="","",IFERROR(INDEX(Items!$D$5:$D$504,Q366),"")),IF($D366="","","PRO PLAN"))</f>
        <v/>
      </c>
      <c r="J366" s="61" t="str">
        <f aca="false">IF(IsPro,IF($D366="","",IF($F366="",IFERROR(INDEX(Items!$G$5:$G$504,Q366),0),$F366)),"")</f>
        <v/>
      </c>
      <c r="K366" s="61" t="str">
        <f aca="false">IF(IsPro,IF($D366="","",ROUND(N($E366)*J366*(1-N($G366)),2)),"")</f>
        <v/>
      </c>
      <c r="L366" s="62" t="str">
        <f aca="false">IF(IsPro,IF($D366="","",IFERROR(INDEX(Items!$F$5:$F$504,Q366),0)),"")</f>
        <v/>
      </c>
      <c r="M366" s="61" t="str">
        <f aca="false">IF(IsPro,IF($D366="","",IF(AND(R366&lt;&gt;"",INDEX(Parties!$E$5:$E$304,R366)&lt;&gt;"",INDEX(Parties!$E$5:$E$304,R366)&lt;&gt;HomeState),0,ROUND(K366*L366/2,2))),"")</f>
        <v/>
      </c>
      <c r="N366" s="61" t="str">
        <f aca="false">IF(IsPro,IF($D366="","",M366),"")</f>
        <v/>
      </c>
      <c r="O366" s="61" t="str">
        <f aca="false">IF(IsPro,IF($D366="","",IF(AND(R366&lt;&gt;"",INDEX(Parties!$E$5:$E$304,R366)&lt;&gt;"",INDEX(Parties!$E$5:$E$304,R366)&lt;&gt;HomeState),ROUND(K366*L366,2),0)),"")</f>
        <v/>
      </c>
      <c r="P366" s="61" t="str">
        <f aca="false">IF(IsPro,IF($D366="","",K366+M366+N366+O366),"")</f>
        <v/>
      </c>
      <c r="Q366" s="60" t="str">
        <f aca="false">IF(IsPro,IF($D366="","",IFERROR(MATCH($D366,Items!$A$5:$A$504,0),"")),"")</f>
        <v/>
      </c>
      <c r="R366" s="60" t="str">
        <f aca="false">IF(IsPro,IF($C366="","",IFERROR(MATCH($C366,Parties!$A$5:$A$304,0),"")),"")</f>
        <v/>
      </c>
      <c r="S366" s="61" t="str">
        <f aca="false">IF(IsPro,IF($D366="","",IF(OR($H366="",$H366="Credit"),0,P366)),"")</f>
        <v/>
      </c>
    </row>
    <row r="367" customFormat="false" ht="15" hidden="false" customHeight="false" outlineLevel="0" collapsed="false">
      <c r="A367" s="55"/>
      <c r="B367" s="56"/>
      <c r="C367" s="56"/>
      <c r="D367" s="56"/>
      <c r="E367" s="57"/>
      <c r="F367" s="58"/>
      <c r="G367" s="59"/>
      <c r="H367" s="56"/>
      <c r="I367" s="60" t="str">
        <f aca="false">IF(IsPro,IF($D367="","",IFERROR(INDEX(Items!$D$5:$D$504,Q367),"")),IF($D367="","","PRO PLAN"))</f>
        <v/>
      </c>
      <c r="J367" s="61" t="str">
        <f aca="false">IF(IsPro,IF($D367="","",IF($F367="",IFERROR(INDEX(Items!$G$5:$G$504,Q367),0),$F367)),"")</f>
        <v/>
      </c>
      <c r="K367" s="61" t="str">
        <f aca="false">IF(IsPro,IF($D367="","",ROUND(N($E367)*J367*(1-N($G367)),2)),"")</f>
        <v/>
      </c>
      <c r="L367" s="62" t="str">
        <f aca="false">IF(IsPro,IF($D367="","",IFERROR(INDEX(Items!$F$5:$F$504,Q367),0)),"")</f>
        <v/>
      </c>
      <c r="M367" s="61" t="str">
        <f aca="false">IF(IsPro,IF($D367="","",IF(AND(R367&lt;&gt;"",INDEX(Parties!$E$5:$E$304,R367)&lt;&gt;"",INDEX(Parties!$E$5:$E$304,R367)&lt;&gt;HomeState),0,ROUND(K367*L367/2,2))),"")</f>
        <v/>
      </c>
      <c r="N367" s="61" t="str">
        <f aca="false">IF(IsPro,IF($D367="","",M367),"")</f>
        <v/>
      </c>
      <c r="O367" s="61" t="str">
        <f aca="false">IF(IsPro,IF($D367="","",IF(AND(R367&lt;&gt;"",INDEX(Parties!$E$5:$E$304,R367)&lt;&gt;"",INDEX(Parties!$E$5:$E$304,R367)&lt;&gt;HomeState),ROUND(K367*L367,2),0)),"")</f>
        <v/>
      </c>
      <c r="P367" s="61" t="str">
        <f aca="false">IF(IsPro,IF($D367="","",K367+M367+N367+O367),"")</f>
        <v/>
      </c>
      <c r="Q367" s="60" t="str">
        <f aca="false">IF(IsPro,IF($D367="","",IFERROR(MATCH($D367,Items!$A$5:$A$504,0),"")),"")</f>
        <v/>
      </c>
      <c r="R367" s="60" t="str">
        <f aca="false">IF(IsPro,IF($C367="","",IFERROR(MATCH($C367,Parties!$A$5:$A$304,0),"")),"")</f>
        <v/>
      </c>
      <c r="S367" s="61" t="str">
        <f aca="false">IF(IsPro,IF($D367="","",IF(OR($H367="",$H367="Credit"),0,P367)),"")</f>
        <v/>
      </c>
    </row>
    <row r="368" customFormat="false" ht="15" hidden="false" customHeight="false" outlineLevel="0" collapsed="false">
      <c r="A368" s="55"/>
      <c r="B368" s="56"/>
      <c r="C368" s="56"/>
      <c r="D368" s="56"/>
      <c r="E368" s="57"/>
      <c r="F368" s="58"/>
      <c r="G368" s="59"/>
      <c r="H368" s="56"/>
      <c r="I368" s="60" t="str">
        <f aca="false">IF(IsPro,IF($D368="","",IFERROR(INDEX(Items!$D$5:$D$504,Q368),"")),IF($D368="","","PRO PLAN"))</f>
        <v/>
      </c>
      <c r="J368" s="61" t="str">
        <f aca="false">IF(IsPro,IF($D368="","",IF($F368="",IFERROR(INDEX(Items!$G$5:$G$504,Q368),0),$F368)),"")</f>
        <v/>
      </c>
      <c r="K368" s="61" t="str">
        <f aca="false">IF(IsPro,IF($D368="","",ROUND(N($E368)*J368*(1-N($G368)),2)),"")</f>
        <v/>
      </c>
      <c r="L368" s="62" t="str">
        <f aca="false">IF(IsPro,IF($D368="","",IFERROR(INDEX(Items!$F$5:$F$504,Q368),0)),"")</f>
        <v/>
      </c>
      <c r="M368" s="61" t="str">
        <f aca="false">IF(IsPro,IF($D368="","",IF(AND(R368&lt;&gt;"",INDEX(Parties!$E$5:$E$304,R368)&lt;&gt;"",INDEX(Parties!$E$5:$E$304,R368)&lt;&gt;HomeState),0,ROUND(K368*L368/2,2))),"")</f>
        <v/>
      </c>
      <c r="N368" s="61" t="str">
        <f aca="false">IF(IsPro,IF($D368="","",M368),"")</f>
        <v/>
      </c>
      <c r="O368" s="61" t="str">
        <f aca="false">IF(IsPro,IF($D368="","",IF(AND(R368&lt;&gt;"",INDEX(Parties!$E$5:$E$304,R368)&lt;&gt;"",INDEX(Parties!$E$5:$E$304,R368)&lt;&gt;HomeState),ROUND(K368*L368,2),0)),"")</f>
        <v/>
      </c>
      <c r="P368" s="61" t="str">
        <f aca="false">IF(IsPro,IF($D368="","",K368+M368+N368+O368),"")</f>
        <v/>
      </c>
      <c r="Q368" s="60" t="str">
        <f aca="false">IF(IsPro,IF($D368="","",IFERROR(MATCH($D368,Items!$A$5:$A$504,0),"")),"")</f>
        <v/>
      </c>
      <c r="R368" s="60" t="str">
        <f aca="false">IF(IsPro,IF($C368="","",IFERROR(MATCH($C368,Parties!$A$5:$A$304,0),"")),"")</f>
        <v/>
      </c>
      <c r="S368" s="61" t="str">
        <f aca="false">IF(IsPro,IF($D368="","",IF(OR($H368="",$H368="Credit"),0,P368)),"")</f>
        <v/>
      </c>
    </row>
    <row r="369" customFormat="false" ht="15" hidden="false" customHeight="false" outlineLevel="0" collapsed="false">
      <c r="A369" s="55"/>
      <c r="B369" s="56"/>
      <c r="C369" s="56"/>
      <c r="D369" s="56"/>
      <c r="E369" s="57"/>
      <c r="F369" s="58"/>
      <c r="G369" s="59"/>
      <c r="H369" s="56"/>
      <c r="I369" s="60" t="str">
        <f aca="false">IF(IsPro,IF($D369="","",IFERROR(INDEX(Items!$D$5:$D$504,Q369),"")),IF($D369="","","PRO PLAN"))</f>
        <v/>
      </c>
      <c r="J369" s="61" t="str">
        <f aca="false">IF(IsPro,IF($D369="","",IF($F369="",IFERROR(INDEX(Items!$G$5:$G$504,Q369),0),$F369)),"")</f>
        <v/>
      </c>
      <c r="K369" s="61" t="str">
        <f aca="false">IF(IsPro,IF($D369="","",ROUND(N($E369)*J369*(1-N($G369)),2)),"")</f>
        <v/>
      </c>
      <c r="L369" s="62" t="str">
        <f aca="false">IF(IsPro,IF($D369="","",IFERROR(INDEX(Items!$F$5:$F$504,Q369),0)),"")</f>
        <v/>
      </c>
      <c r="M369" s="61" t="str">
        <f aca="false">IF(IsPro,IF($D369="","",IF(AND(R369&lt;&gt;"",INDEX(Parties!$E$5:$E$304,R369)&lt;&gt;"",INDEX(Parties!$E$5:$E$304,R369)&lt;&gt;HomeState),0,ROUND(K369*L369/2,2))),"")</f>
        <v/>
      </c>
      <c r="N369" s="61" t="str">
        <f aca="false">IF(IsPro,IF($D369="","",M369),"")</f>
        <v/>
      </c>
      <c r="O369" s="61" t="str">
        <f aca="false">IF(IsPro,IF($D369="","",IF(AND(R369&lt;&gt;"",INDEX(Parties!$E$5:$E$304,R369)&lt;&gt;"",INDEX(Parties!$E$5:$E$304,R369)&lt;&gt;HomeState),ROUND(K369*L369,2),0)),"")</f>
        <v/>
      </c>
      <c r="P369" s="61" t="str">
        <f aca="false">IF(IsPro,IF($D369="","",K369+M369+N369+O369),"")</f>
        <v/>
      </c>
      <c r="Q369" s="60" t="str">
        <f aca="false">IF(IsPro,IF($D369="","",IFERROR(MATCH($D369,Items!$A$5:$A$504,0),"")),"")</f>
        <v/>
      </c>
      <c r="R369" s="60" t="str">
        <f aca="false">IF(IsPro,IF($C369="","",IFERROR(MATCH($C369,Parties!$A$5:$A$304,0),"")),"")</f>
        <v/>
      </c>
      <c r="S369" s="61" t="str">
        <f aca="false">IF(IsPro,IF($D369="","",IF(OR($H369="",$H369="Credit"),0,P369)),"")</f>
        <v/>
      </c>
    </row>
    <row r="370" customFormat="false" ht="15" hidden="false" customHeight="false" outlineLevel="0" collapsed="false">
      <c r="A370" s="55"/>
      <c r="B370" s="56"/>
      <c r="C370" s="56"/>
      <c r="D370" s="56"/>
      <c r="E370" s="57"/>
      <c r="F370" s="58"/>
      <c r="G370" s="59"/>
      <c r="H370" s="56"/>
      <c r="I370" s="60" t="str">
        <f aca="false">IF(IsPro,IF($D370="","",IFERROR(INDEX(Items!$D$5:$D$504,Q370),"")),IF($D370="","","PRO PLAN"))</f>
        <v/>
      </c>
      <c r="J370" s="61" t="str">
        <f aca="false">IF(IsPro,IF($D370="","",IF($F370="",IFERROR(INDEX(Items!$G$5:$G$504,Q370),0),$F370)),"")</f>
        <v/>
      </c>
      <c r="K370" s="61" t="str">
        <f aca="false">IF(IsPro,IF($D370="","",ROUND(N($E370)*J370*(1-N($G370)),2)),"")</f>
        <v/>
      </c>
      <c r="L370" s="62" t="str">
        <f aca="false">IF(IsPro,IF($D370="","",IFERROR(INDEX(Items!$F$5:$F$504,Q370),0)),"")</f>
        <v/>
      </c>
      <c r="M370" s="61" t="str">
        <f aca="false">IF(IsPro,IF($D370="","",IF(AND(R370&lt;&gt;"",INDEX(Parties!$E$5:$E$304,R370)&lt;&gt;"",INDEX(Parties!$E$5:$E$304,R370)&lt;&gt;HomeState),0,ROUND(K370*L370/2,2))),"")</f>
        <v/>
      </c>
      <c r="N370" s="61" t="str">
        <f aca="false">IF(IsPro,IF($D370="","",M370),"")</f>
        <v/>
      </c>
      <c r="O370" s="61" t="str">
        <f aca="false">IF(IsPro,IF($D370="","",IF(AND(R370&lt;&gt;"",INDEX(Parties!$E$5:$E$304,R370)&lt;&gt;"",INDEX(Parties!$E$5:$E$304,R370)&lt;&gt;HomeState),ROUND(K370*L370,2),0)),"")</f>
        <v/>
      </c>
      <c r="P370" s="61" t="str">
        <f aca="false">IF(IsPro,IF($D370="","",K370+M370+N370+O370),"")</f>
        <v/>
      </c>
      <c r="Q370" s="60" t="str">
        <f aca="false">IF(IsPro,IF($D370="","",IFERROR(MATCH($D370,Items!$A$5:$A$504,0),"")),"")</f>
        <v/>
      </c>
      <c r="R370" s="60" t="str">
        <f aca="false">IF(IsPro,IF($C370="","",IFERROR(MATCH($C370,Parties!$A$5:$A$304,0),"")),"")</f>
        <v/>
      </c>
      <c r="S370" s="61" t="str">
        <f aca="false">IF(IsPro,IF($D370="","",IF(OR($H370="",$H370="Credit"),0,P370)),"")</f>
        <v/>
      </c>
    </row>
    <row r="371" customFormat="false" ht="15" hidden="false" customHeight="false" outlineLevel="0" collapsed="false">
      <c r="A371" s="55"/>
      <c r="B371" s="56"/>
      <c r="C371" s="56"/>
      <c r="D371" s="56"/>
      <c r="E371" s="57"/>
      <c r="F371" s="58"/>
      <c r="G371" s="59"/>
      <c r="H371" s="56"/>
      <c r="I371" s="60" t="str">
        <f aca="false">IF(IsPro,IF($D371="","",IFERROR(INDEX(Items!$D$5:$D$504,Q371),"")),IF($D371="","","PRO PLAN"))</f>
        <v/>
      </c>
      <c r="J371" s="61" t="str">
        <f aca="false">IF(IsPro,IF($D371="","",IF($F371="",IFERROR(INDEX(Items!$G$5:$G$504,Q371),0),$F371)),"")</f>
        <v/>
      </c>
      <c r="K371" s="61" t="str">
        <f aca="false">IF(IsPro,IF($D371="","",ROUND(N($E371)*J371*(1-N($G371)),2)),"")</f>
        <v/>
      </c>
      <c r="L371" s="62" t="str">
        <f aca="false">IF(IsPro,IF($D371="","",IFERROR(INDEX(Items!$F$5:$F$504,Q371),0)),"")</f>
        <v/>
      </c>
      <c r="M371" s="61" t="str">
        <f aca="false">IF(IsPro,IF($D371="","",IF(AND(R371&lt;&gt;"",INDEX(Parties!$E$5:$E$304,R371)&lt;&gt;"",INDEX(Parties!$E$5:$E$304,R371)&lt;&gt;HomeState),0,ROUND(K371*L371/2,2))),"")</f>
        <v/>
      </c>
      <c r="N371" s="61" t="str">
        <f aca="false">IF(IsPro,IF($D371="","",M371),"")</f>
        <v/>
      </c>
      <c r="O371" s="61" t="str">
        <f aca="false">IF(IsPro,IF($D371="","",IF(AND(R371&lt;&gt;"",INDEX(Parties!$E$5:$E$304,R371)&lt;&gt;"",INDEX(Parties!$E$5:$E$304,R371)&lt;&gt;HomeState),ROUND(K371*L371,2),0)),"")</f>
        <v/>
      </c>
      <c r="P371" s="61" t="str">
        <f aca="false">IF(IsPro,IF($D371="","",K371+M371+N371+O371),"")</f>
        <v/>
      </c>
      <c r="Q371" s="60" t="str">
        <f aca="false">IF(IsPro,IF($D371="","",IFERROR(MATCH($D371,Items!$A$5:$A$504,0),"")),"")</f>
        <v/>
      </c>
      <c r="R371" s="60" t="str">
        <f aca="false">IF(IsPro,IF($C371="","",IFERROR(MATCH($C371,Parties!$A$5:$A$304,0),"")),"")</f>
        <v/>
      </c>
      <c r="S371" s="61" t="str">
        <f aca="false">IF(IsPro,IF($D371="","",IF(OR($H371="",$H371="Credit"),0,P371)),"")</f>
        <v/>
      </c>
    </row>
    <row r="372" customFormat="false" ht="15" hidden="false" customHeight="false" outlineLevel="0" collapsed="false">
      <c r="A372" s="55"/>
      <c r="B372" s="56"/>
      <c r="C372" s="56"/>
      <c r="D372" s="56"/>
      <c r="E372" s="57"/>
      <c r="F372" s="58"/>
      <c r="G372" s="59"/>
      <c r="H372" s="56"/>
      <c r="I372" s="60" t="str">
        <f aca="false">IF(IsPro,IF($D372="","",IFERROR(INDEX(Items!$D$5:$D$504,Q372),"")),IF($D372="","","PRO PLAN"))</f>
        <v/>
      </c>
      <c r="J372" s="61" t="str">
        <f aca="false">IF(IsPro,IF($D372="","",IF($F372="",IFERROR(INDEX(Items!$G$5:$G$504,Q372),0),$F372)),"")</f>
        <v/>
      </c>
      <c r="K372" s="61" t="str">
        <f aca="false">IF(IsPro,IF($D372="","",ROUND(N($E372)*J372*(1-N($G372)),2)),"")</f>
        <v/>
      </c>
      <c r="L372" s="62" t="str">
        <f aca="false">IF(IsPro,IF($D372="","",IFERROR(INDEX(Items!$F$5:$F$504,Q372),0)),"")</f>
        <v/>
      </c>
      <c r="M372" s="61" t="str">
        <f aca="false">IF(IsPro,IF($D372="","",IF(AND(R372&lt;&gt;"",INDEX(Parties!$E$5:$E$304,R372)&lt;&gt;"",INDEX(Parties!$E$5:$E$304,R372)&lt;&gt;HomeState),0,ROUND(K372*L372/2,2))),"")</f>
        <v/>
      </c>
      <c r="N372" s="61" t="str">
        <f aca="false">IF(IsPro,IF($D372="","",M372),"")</f>
        <v/>
      </c>
      <c r="O372" s="61" t="str">
        <f aca="false">IF(IsPro,IF($D372="","",IF(AND(R372&lt;&gt;"",INDEX(Parties!$E$5:$E$304,R372)&lt;&gt;"",INDEX(Parties!$E$5:$E$304,R372)&lt;&gt;HomeState),ROUND(K372*L372,2),0)),"")</f>
        <v/>
      </c>
      <c r="P372" s="61" t="str">
        <f aca="false">IF(IsPro,IF($D372="","",K372+M372+N372+O372),"")</f>
        <v/>
      </c>
      <c r="Q372" s="60" t="str">
        <f aca="false">IF(IsPro,IF($D372="","",IFERROR(MATCH($D372,Items!$A$5:$A$504,0),"")),"")</f>
        <v/>
      </c>
      <c r="R372" s="60" t="str">
        <f aca="false">IF(IsPro,IF($C372="","",IFERROR(MATCH($C372,Parties!$A$5:$A$304,0),"")),"")</f>
        <v/>
      </c>
      <c r="S372" s="61" t="str">
        <f aca="false">IF(IsPro,IF($D372="","",IF(OR($H372="",$H372="Credit"),0,P372)),"")</f>
        <v/>
      </c>
    </row>
    <row r="373" customFormat="false" ht="15" hidden="false" customHeight="false" outlineLevel="0" collapsed="false">
      <c r="A373" s="55"/>
      <c r="B373" s="56"/>
      <c r="C373" s="56"/>
      <c r="D373" s="56"/>
      <c r="E373" s="57"/>
      <c r="F373" s="58"/>
      <c r="G373" s="59"/>
      <c r="H373" s="56"/>
      <c r="I373" s="60" t="str">
        <f aca="false">IF(IsPro,IF($D373="","",IFERROR(INDEX(Items!$D$5:$D$504,Q373),"")),IF($D373="","","PRO PLAN"))</f>
        <v/>
      </c>
      <c r="J373" s="61" t="str">
        <f aca="false">IF(IsPro,IF($D373="","",IF($F373="",IFERROR(INDEX(Items!$G$5:$G$504,Q373),0),$F373)),"")</f>
        <v/>
      </c>
      <c r="K373" s="61" t="str">
        <f aca="false">IF(IsPro,IF($D373="","",ROUND(N($E373)*J373*(1-N($G373)),2)),"")</f>
        <v/>
      </c>
      <c r="L373" s="62" t="str">
        <f aca="false">IF(IsPro,IF($D373="","",IFERROR(INDEX(Items!$F$5:$F$504,Q373),0)),"")</f>
        <v/>
      </c>
      <c r="M373" s="61" t="str">
        <f aca="false">IF(IsPro,IF($D373="","",IF(AND(R373&lt;&gt;"",INDEX(Parties!$E$5:$E$304,R373)&lt;&gt;"",INDEX(Parties!$E$5:$E$304,R373)&lt;&gt;HomeState),0,ROUND(K373*L373/2,2))),"")</f>
        <v/>
      </c>
      <c r="N373" s="61" t="str">
        <f aca="false">IF(IsPro,IF($D373="","",M373),"")</f>
        <v/>
      </c>
      <c r="O373" s="61" t="str">
        <f aca="false">IF(IsPro,IF($D373="","",IF(AND(R373&lt;&gt;"",INDEX(Parties!$E$5:$E$304,R373)&lt;&gt;"",INDEX(Parties!$E$5:$E$304,R373)&lt;&gt;HomeState),ROUND(K373*L373,2),0)),"")</f>
        <v/>
      </c>
      <c r="P373" s="61" t="str">
        <f aca="false">IF(IsPro,IF($D373="","",K373+M373+N373+O373),"")</f>
        <v/>
      </c>
      <c r="Q373" s="60" t="str">
        <f aca="false">IF(IsPro,IF($D373="","",IFERROR(MATCH($D373,Items!$A$5:$A$504,0),"")),"")</f>
        <v/>
      </c>
      <c r="R373" s="60" t="str">
        <f aca="false">IF(IsPro,IF($C373="","",IFERROR(MATCH($C373,Parties!$A$5:$A$304,0),"")),"")</f>
        <v/>
      </c>
      <c r="S373" s="61" t="str">
        <f aca="false">IF(IsPro,IF($D373="","",IF(OR($H373="",$H373="Credit"),0,P373)),"")</f>
        <v/>
      </c>
    </row>
    <row r="374" customFormat="false" ht="15" hidden="false" customHeight="false" outlineLevel="0" collapsed="false">
      <c r="A374" s="55"/>
      <c r="B374" s="56"/>
      <c r="C374" s="56"/>
      <c r="D374" s="56"/>
      <c r="E374" s="57"/>
      <c r="F374" s="58"/>
      <c r="G374" s="59"/>
      <c r="H374" s="56"/>
      <c r="I374" s="60" t="str">
        <f aca="false">IF(IsPro,IF($D374="","",IFERROR(INDEX(Items!$D$5:$D$504,Q374),"")),IF($D374="","","PRO PLAN"))</f>
        <v/>
      </c>
      <c r="J374" s="61" t="str">
        <f aca="false">IF(IsPro,IF($D374="","",IF($F374="",IFERROR(INDEX(Items!$G$5:$G$504,Q374),0),$F374)),"")</f>
        <v/>
      </c>
      <c r="K374" s="61" t="str">
        <f aca="false">IF(IsPro,IF($D374="","",ROUND(N($E374)*J374*(1-N($G374)),2)),"")</f>
        <v/>
      </c>
      <c r="L374" s="62" t="str">
        <f aca="false">IF(IsPro,IF($D374="","",IFERROR(INDEX(Items!$F$5:$F$504,Q374),0)),"")</f>
        <v/>
      </c>
      <c r="M374" s="61" t="str">
        <f aca="false">IF(IsPro,IF($D374="","",IF(AND(R374&lt;&gt;"",INDEX(Parties!$E$5:$E$304,R374)&lt;&gt;"",INDEX(Parties!$E$5:$E$304,R374)&lt;&gt;HomeState),0,ROUND(K374*L374/2,2))),"")</f>
        <v/>
      </c>
      <c r="N374" s="61" t="str">
        <f aca="false">IF(IsPro,IF($D374="","",M374),"")</f>
        <v/>
      </c>
      <c r="O374" s="61" t="str">
        <f aca="false">IF(IsPro,IF($D374="","",IF(AND(R374&lt;&gt;"",INDEX(Parties!$E$5:$E$304,R374)&lt;&gt;"",INDEX(Parties!$E$5:$E$304,R374)&lt;&gt;HomeState),ROUND(K374*L374,2),0)),"")</f>
        <v/>
      </c>
      <c r="P374" s="61" t="str">
        <f aca="false">IF(IsPro,IF($D374="","",K374+M374+N374+O374),"")</f>
        <v/>
      </c>
      <c r="Q374" s="60" t="str">
        <f aca="false">IF(IsPro,IF($D374="","",IFERROR(MATCH($D374,Items!$A$5:$A$504,0),"")),"")</f>
        <v/>
      </c>
      <c r="R374" s="60" t="str">
        <f aca="false">IF(IsPro,IF($C374="","",IFERROR(MATCH($C374,Parties!$A$5:$A$304,0),"")),"")</f>
        <v/>
      </c>
      <c r="S374" s="61" t="str">
        <f aca="false">IF(IsPro,IF($D374="","",IF(OR($H374="",$H374="Credit"),0,P374)),"")</f>
        <v/>
      </c>
    </row>
    <row r="375" customFormat="false" ht="15" hidden="false" customHeight="false" outlineLevel="0" collapsed="false">
      <c r="A375" s="55"/>
      <c r="B375" s="56"/>
      <c r="C375" s="56"/>
      <c r="D375" s="56"/>
      <c r="E375" s="57"/>
      <c r="F375" s="58"/>
      <c r="G375" s="59"/>
      <c r="H375" s="56"/>
      <c r="I375" s="60" t="str">
        <f aca="false">IF(IsPro,IF($D375="","",IFERROR(INDEX(Items!$D$5:$D$504,Q375),"")),IF($D375="","","PRO PLAN"))</f>
        <v/>
      </c>
      <c r="J375" s="61" t="str">
        <f aca="false">IF(IsPro,IF($D375="","",IF($F375="",IFERROR(INDEX(Items!$G$5:$G$504,Q375),0),$F375)),"")</f>
        <v/>
      </c>
      <c r="K375" s="61" t="str">
        <f aca="false">IF(IsPro,IF($D375="","",ROUND(N($E375)*J375*(1-N($G375)),2)),"")</f>
        <v/>
      </c>
      <c r="L375" s="62" t="str">
        <f aca="false">IF(IsPro,IF($D375="","",IFERROR(INDEX(Items!$F$5:$F$504,Q375),0)),"")</f>
        <v/>
      </c>
      <c r="M375" s="61" t="str">
        <f aca="false">IF(IsPro,IF($D375="","",IF(AND(R375&lt;&gt;"",INDEX(Parties!$E$5:$E$304,R375)&lt;&gt;"",INDEX(Parties!$E$5:$E$304,R375)&lt;&gt;HomeState),0,ROUND(K375*L375/2,2))),"")</f>
        <v/>
      </c>
      <c r="N375" s="61" t="str">
        <f aca="false">IF(IsPro,IF($D375="","",M375),"")</f>
        <v/>
      </c>
      <c r="O375" s="61" t="str">
        <f aca="false">IF(IsPro,IF($D375="","",IF(AND(R375&lt;&gt;"",INDEX(Parties!$E$5:$E$304,R375)&lt;&gt;"",INDEX(Parties!$E$5:$E$304,R375)&lt;&gt;HomeState),ROUND(K375*L375,2),0)),"")</f>
        <v/>
      </c>
      <c r="P375" s="61" t="str">
        <f aca="false">IF(IsPro,IF($D375="","",K375+M375+N375+O375),"")</f>
        <v/>
      </c>
      <c r="Q375" s="60" t="str">
        <f aca="false">IF(IsPro,IF($D375="","",IFERROR(MATCH($D375,Items!$A$5:$A$504,0),"")),"")</f>
        <v/>
      </c>
      <c r="R375" s="60" t="str">
        <f aca="false">IF(IsPro,IF($C375="","",IFERROR(MATCH($C375,Parties!$A$5:$A$304,0),"")),"")</f>
        <v/>
      </c>
      <c r="S375" s="61" t="str">
        <f aca="false">IF(IsPro,IF($D375="","",IF(OR($H375="",$H375="Credit"),0,P375)),"")</f>
        <v/>
      </c>
    </row>
    <row r="376" customFormat="false" ht="15" hidden="false" customHeight="false" outlineLevel="0" collapsed="false">
      <c r="A376" s="55"/>
      <c r="B376" s="56"/>
      <c r="C376" s="56"/>
      <c r="D376" s="56"/>
      <c r="E376" s="57"/>
      <c r="F376" s="58"/>
      <c r="G376" s="59"/>
      <c r="H376" s="56"/>
      <c r="I376" s="60" t="str">
        <f aca="false">IF(IsPro,IF($D376="","",IFERROR(INDEX(Items!$D$5:$D$504,Q376),"")),IF($D376="","","PRO PLAN"))</f>
        <v/>
      </c>
      <c r="J376" s="61" t="str">
        <f aca="false">IF(IsPro,IF($D376="","",IF($F376="",IFERROR(INDEX(Items!$G$5:$G$504,Q376),0),$F376)),"")</f>
        <v/>
      </c>
      <c r="K376" s="61" t="str">
        <f aca="false">IF(IsPro,IF($D376="","",ROUND(N($E376)*J376*(1-N($G376)),2)),"")</f>
        <v/>
      </c>
      <c r="L376" s="62" t="str">
        <f aca="false">IF(IsPro,IF($D376="","",IFERROR(INDEX(Items!$F$5:$F$504,Q376),0)),"")</f>
        <v/>
      </c>
      <c r="M376" s="61" t="str">
        <f aca="false">IF(IsPro,IF($D376="","",IF(AND(R376&lt;&gt;"",INDEX(Parties!$E$5:$E$304,R376)&lt;&gt;"",INDEX(Parties!$E$5:$E$304,R376)&lt;&gt;HomeState),0,ROUND(K376*L376/2,2))),"")</f>
        <v/>
      </c>
      <c r="N376" s="61" t="str">
        <f aca="false">IF(IsPro,IF($D376="","",M376),"")</f>
        <v/>
      </c>
      <c r="O376" s="61" t="str">
        <f aca="false">IF(IsPro,IF($D376="","",IF(AND(R376&lt;&gt;"",INDEX(Parties!$E$5:$E$304,R376)&lt;&gt;"",INDEX(Parties!$E$5:$E$304,R376)&lt;&gt;HomeState),ROUND(K376*L376,2),0)),"")</f>
        <v/>
      </c>
      <c r="P376" s="61" t="str">
        <f aca="false">IF(IsPro,IF($D376="","",K376+M376+N376+O376),"")</f>
        <v/>
      </c>
      <c r="Q376" s="60" t="str">
        <f aca="false">IF(IsPro,IF($D376="","",IFERROR(MATCH($D376,Items!$A$5:$A$504,0),"")),"")</f>
        <v/>
      </c>
      <c r="R376" s="60" t="str">
        <f aca="false">IF(IsPro,IF($C376="","",IFERROR(MATCH($C376,Parties!$A$5:$A$304,0),"")),"")</f>
        <v/>
      </c>
      <c r="S376" s="61" t="str">
        <f aca="false">IF(IsPro,IF($D376="","",IF(OR($H376="",$H376="Credit"),0,P376)),"")</f>
        <v/>
      </c>
    </row>
    <row r="377" customFormat="false" ht="15" hidden="false" customHeight="false" outlineLevel="0" collapsed="false">
      <c r="A377" s="55"/>
      <c r="B377" s="56"/>
      <c r="C377" s="56"/>
      <c r="D377" s="56"/>
      <c r="E377" s="57"/>
      <c r="F377" s="58"/>
      <c r="G377" s="59"/>
      <c r="H377" s="56"/>
      <c r="I377" s="60" t="str">
        <f aca="false">IF(IsPro,IF($D377="","",IFERROR(INDEX(Items!$D$5:$D$504,Q377),"")),IF($D377="","","PRO PLAN"))</f>
        <v/>
      </c>
      <c r="J377" s="61" t="str">
        <f aca="false">IF(IsPro,IF($D377="","",IF($F377="",IFERROR(INDEX(Items!$G$5:$G$504,Q377),0),$F377)),"")</f>
        <v/>
      </c>
      <c r="K377" s="61" t="str">
        <f aca="false">IF(IsPro,IF($D377="","",ROUND(N($E377)*J377*(1-N($G377)),2)),"")</f>
        <v/>
      </c>
      <c r="L377" s="62" t="str">
        <f aca="false">IF(IsPro,IF($D377="","",IFERROR(INDEX(Items!$F$5:$F$504,Q377),0)),"")</f>
        <v/>
      </c>
      <c r="M377" s="61" t="str">
        <f aca="false">IF(IsPro,IF($D377="","",IF(AND(R377&lt;&gt;"",INDEX(Parties!$E$5:$E$304,R377)&lt;&gt;"",INDEX(Parties!$E$5:$E$304,R377)&lt;&gt;HomeState),0,ROUND(K377*L377/2,2))),"")</f>
        <v/>
      </c>
      <c r="N377" s="61" t="str">
        <f aca="false">IF(IsPro,IF($D377="","",M377),"")</f>
        <v/>
      </c>
      <c r="O377" s="61" t="str">
        <f aca="false">IF(IsPro,IF($D377="","",IF(AND(R377&lt;&gt;"",INDEX(Parties!$E$5:$E$304,R377)&lt;&gt;"",INDEX(Parties!$E$5:$E$304,R377)&lt;&gt;HomeState),ROUND(K377*L377,2),0)),"")</f>
        <v/>
      </c>
      <c r="P377" s="61" t="str">
        <f aca="false">IF(IsPro,IF($D377="","",K377+M377+N377+O377),"")</f>
        <v/>
      </c>
      <c r="Q377" s="60" t="str">
        <f aca="false">IF(IsPro,IF($D377="","",IFERROR(MATCH($D377,Items!$A$5:$A$504,0),"")),"")</f>
        <v/>
      </c>
      <c r="R377" s="60" t="str">
        <f aca="false">IF(IsPro,IF($C377="","",IFERROR(MATCH($C377,Parties!$A$5:$A$304,0),"")),"")</f>
        <v/>
      </c>
      <c r="S377" s="61" t="str">
        <f aca="false">IF(IsPro,IF($D377="","",IF(OR($H377="",$H377="Credit"),0,P377)),"")</f>
        <v/>
      </c>
    </row>
    <row r="378" customFormat="false" ht="15" hidden="false" customHeight="false" outlineLevel="0" collapsed="false">
      <c r="A378" s="55"/>
      <c r="B378" s="56"/>
      <c r="C378" s="56"/>
      <c r="D378" s="56"/>
      <c r="E378" s="57"/>
      <c r="F378" s="58"/>
      <c r="G378" s="59"/>
      <c r="H378" s="56"/>
      <c r="I378" s="60" t="str">
        <f aca="false">IF(IsPro,IF($D378="","",IFERROR(INDEX(Items!$D$5:$D$504,Q378),"")),IF($D378="","","PRO PLAN"))</f>
        <v/>
      </c>
      <c r="J378" s="61" t="str">
        <f aca="false">IF(IsPro,IF($D378="","",IF($F378="",IFERROR(INDEX(Items!$G$5:$G$504,Q378),0),$F378)),"")</f>
        <v/>
      </c>
      <c r="K378" s="61" t="str">
        <f aca="false">IF(IsPro,IF($D378="","",ROUND(N($E378)*J378*(1-N($G378)),2)),"")</f>
        <v/>
      </c>
      <c r="L378" s="62" t="str">
        <f aca="false">IF(IsPro,IF($D378="","",IFERROR(INDEX(Items!$F$5:$F$504,Q378),0)),"")</f>
        <v/>
      </c>
      <c r="M378" s="61" t="str">
        <f aca="false">IF(IsPro,IF($D378="","",IF(AND(R378&lt;&gt;"",INDEX(Parties!$E$5:$E$304,R378)&lt;&gt;"",INDEX(Parties!$E$5:$E$304,R378)&lt;&gt;HomeState),0,ROUND(K378*L378/2,2))),"")</f>
        <v/>
      </c>
      <c r="N378" s="61" t="str">
        <f aca="false">IF(IsPro,IF($D378="","",M378),"")</f>
        <v/>
      </c>
      <c r="O378" s="61" t="str">
        <f aca="false">IF(IsPro,IF($D378="","",IF(AND(R378&lt;&gt;"",INDEX(Parties!$E$5:$E$304,R378)&lt;&gt;"",INDEX(Parties!$E$5:$E$304,R378)&lt;&gt;HomeState),ROUND(K378*L378,2),0)),"")</f>
        <v/>
      </c>
      <c r="P378" s="61" t="str">
        <f aca="false">IF(IsPro,IF($D378="","",K378+M378+N378+O378),"")</f>
        <v/>
      </c>
      <c r="Q378" s="60" t="str">
        <f aca="false">IF(IsPro,IF($D378="","",IFERROR(MATCH($D378,Items!$A$5:$A$504,0),"")),"")</f>
        <v/>
      </c>
      <c r="R378" s="60" t="str">
        <f aca="false">IF(IsPro,IF($C378="","",IFERROR(MATCH($C378,Parties!$A$5:$A$304,0),"")),"")</f>
        <v/>
      </c>
      <c r="S378" s="61" t="str">
        <f aca="false">IF(IsPro,IF($D378="","",IF(OR($H378="",$H378="Credit"),0,P378)),"")</f>
        <v/>
      </c>
    </row>
    <row r="379" customFormat="false" ht="15" hidden="false" customHeight="false" outlineLevel="0" collapsed="false">
      <c r="A379" s="55"/>
      <c r="B379" s="56"/>
      <c r="C379" s="56"/>
      <c r="D379" s="56"/>
      <c r="E379" s="57"/>
      <c r="F379" s="58"/>
      <c r="G379" s="59"/>
      <c r="H379" s="56"/>
      <c r="I379" s="60" t="str">
        <f aca="false">IF(IsPro,IF($D379="","",IFERROR(INDEX(Items!$D$5:$D$504,Q379),"")),IF($D379="","","PRO PLAN"))</f>
        <v/>
      </c>
      <c r="J379" s="61" t="str">
        <f aca="false">IF(IsPro,IF($D379="","",IF($F379="",IFERROR(INDEX(Items!$G$5:$G$504,Q379),0),$F379)),"")</f>
        <v/>
      </c>
      <c r="K379" s="61" t="str">
        <f aca="false">IF(IsPro,IF($D379="","",ROUND(N($E379)*J379*(1-N($G379)),2)),"")</f>
        <v/>
      </c>
      <c r="L379" s="62" t="str">
        <f aca="false">IF(IsPro,IF($D379="","",IFERROR(INDEX(Items!$F$5:$F$504,Q379),0)),"")</f>
        <v/>
      </c>
      <c r="M379" s="61" t="str">
        <f aca="false">IF(IsPro,IF($D379="","",IF(AND(R379&lt;&gt;"",INDEX(Parties!$E$5:$E$304,R379)&lt;&gt;"",INDEX(Parties!$E$5:$E$304,R379)&lt;&gt;HomeState),0,ROUND(K379*L379/2,2))),"")</f>
        <v/>
      </c>
      <c r="N379" s="61" t="str">
        <f aca="false">IF(IsPro,IF($D379="","",M379),"")</f>
        <v/>
      </c>
      <c r="O379" s="61" t="str">
        <f aca="false">IF(IsPro,IF($D379="","",IF(AND(R379&lt;&gt;"",INDEX(Parties!$E$5:$E$304,R379)&lt;&gt;"",INDEX(Parties!$E$5:$E$304,R379)&lt;&gt;HomeState),ROUND(K379*L379,2),0)),"")</f>
        <v/>
      </c>
      <c r="P379" s="61" t="str">
        <f aca="false">IF(IsPro,IF($D379="","",K379+M379+N379+O379),"")</f>
        <v/>
      </c>
      <c r="Q379" s="60" t="str">
        <f aca="false">IF(IsPro,IF($D379="","",IFERROR(MATCH($D379,Items!$A$5:$A$504,0),"")),"")</f>
        <v/>
      </c>
      <c r="R379" s="60" t="str">
        <f aca="false">IF(IsPro,IF($C379="","",IFERROR(MATCH($C379,Parties!$A$5:$A$304,0),"")),"")</f>
        <v/>
      </c>
      <c r="S379" s="61" t="str">
        <f aca="false">IF(IsPro,IF($D379="","",IF(OR($H379="",$H379="Credit"),0,P379)),"")</f>
        <v/>
      </c>
    </row>
    <row r="380" customFormat="false" ht="15" hidden="false" customHeight="false" outlineLevel="0" collapsed="false">
      <c r="A380" s="55"/>
      <c r="B380" s="56"/>
      <c r="C380" s="56"/>
      <c r="D380" s="56"/>
      <c r="E380" s="57"/>
      <c r="F380" s="58"/>
      <c r="G380" s="59"/>
      <c r="H380" s="56"/>
      <c r="I380" s="60" t="str">
        <f aca="false">IF(IsPro,IF($D380="","",IFERROR(INDEX(Items!$D$5:$D$504,Q380),"")),IF($D380="","","PRO PLAN"))</f>
        <v/>
      </c>
      <c r="J380" s="61" t="str">
        <f aca="false">IF(IsPro,IF($D380="","",IF($F380="",IFERROR(INDEX(Items!$G$5:$G$504,Q380),0),$F380)),"")</f>
        <v/>
      </c>
      <c r="K380" s="61" t="str">
        <f aca="false">IF(IsPro,IF($D380="","",ROUND(N($E380)*J380*(1-N($G380)),2)),"")</f>
        <v/>
      </c>
      <c r="L380" s="62" t="str">
        <f aca="false">IF(IsPro,IF($D380="","",IFERROR(INDEX(Items!$F$5:$F$504,Q380),0)),"")</f>
        <v/>
      </c>
      <c r="M380" s="61" t="str">
        <f aca="false">IF(IsPro,IF($D380="","",IF(AND(R380&lt;&gt;"",INDEX(Parties!$E$5:$E$304,R380)&lt;&gt;"",INDEX(Parties!$E$5:$E$304,R380)&lt;&gt;HomeState),0,ROUND(K380*L380/2,2))),"")</f>
        <v/>
      </c>
      <c r="N380" s="61" t="str">
        <f aca="false">IF(IsPro,IF($D380="","",M380),"")</f>
        <v/>
      </c>
      <c r="O380" s="61" t="str">
        <f aca="false">IF(IsPro,IF($D380="","",IF(AND(R380&lt;&gt;"",INDEX(Parties!$E$5:$E$304,R380)&lt;&gt;"",INDEX(Parties!$E$5:$E$304,R380)&lt;&gt;HomeState),ROUND(K380*L380,2),0)),"")</f>
        <v/>
      </c>
      <c r="P380" s="61" t="str">
        <f aca="false">IF(IsPro,IF($D380="","",K380+M380+N380+O380),"")</f>
        <v/>
      </c>
      <c r="Q380" s="60" t="str">
        <f aca="false">IF(IsPro,IF($D380="","",IFERROR(MATCH($D380,Items!$A$5:$A$504,0),"")),"")</f>
        <v/>
      </c>
      <c r="R380" s="60" t="str">
        <f aca="false">IF(IsPro,IF($C380="","",IFERROR(MATCH($C380,Parties!$A$5:$A$304,0),"")),"")</f>
        <v/>
      </c>
      <c r="S380" s="61" t="str">
        <f aca="false">IF(IsPro,IF($D380="","",IF(OR($H380="",$H380="Credit"),0,P380)),"")</f>
        <v/>
      </c>
    </row>
    <row r="381" customFormat="false" ht="15" hidden="false" customHeight="false" outlineLevel="0" collapsed="false">
      <c r="A381" s="55"/>
      <c r="B381" s="56"/>
      <c r="C381" s="56"/>
      <c r="D381" s="56"/>
      <c r="E381" s="57"/>
      <c r="F381" s="58"/>
      <c r="G381" s="59"/>
      <c r="H381" s="56"/>
      <c r="I381" s="60" t="str">
        <f aca="false">IF(IsPro,IF($D381="","",IFERROR(INDEX(Items!$D$5:$D$504,Q381),"")),IF($D381="","","PRO PLAN"))</f>
        <v/>
      </c>
      <c r="J381" s="61" t="str">
        <f aca="false">IF(IsPro,IF($D381="","",IF($F381="",IFERROR(INDEX(Items!$G$5:$G$504,Q381),0),$F381)),"")</f>
        <v/>
      </c>
      <c r="K381" s="61" t="str">
        <f aca="false">IF(IsPro,IF($D381="","",ROUND(N($E381)*J381*(1-N($G381)),2)),"")</f>
        <v/>
      </c>
      <c r="L381" s="62" t="str">
        <f aca="false">IF(IsPro,IF($D381="","",IFERROR(INDEX(Items!$F$5:$F$504,Q381),0)),"")</f>
        <v/>
      </c>
      <c r="M381" s="61" t="str">
        <f aca="false">IF(IsPro,IF($D381="","",IF(AND(R381&lt;&gt;"",INDEX(Parties!$E$5:$E$304,R381)&lt;&gt;"",INDEX(Parties!$E$5:$E$304,R381)&lt;&gt;HomeState),0,ROUND(K381*L381/2,2))),"")</f>
        <v/>
      </c>
      <c r="N381" s="61" t="str">
        <f aca="false">IF(IsPro,IF($D381="","",M381),"")</f>
        <v/>
      </c>
      <c r="O381" s="61" t="str">
        <f aca="false">IF(IsPro,IF($D381="","",IF(AND(R381&lt;&gt;"",INDEX(Parties!$E$5:$E$304,R381)&lt;&gt;"",INDEX(Parties!$E$5:$E$304,R381)&lt;&gt;HomeState),ROUND(K381*L381,2),0)),"")</f>
        <v/>
      </c>
      <c r="P381" s="61" t="str">
        <f aca="false">IF(IsPro,IF($D381="","",K381+M381+N381+O381),"")</f>
        <v/>
      </c>
      <c r="Q381" s="60" t="str">
        <f aca="false">IF(IsPro,IF($D381="","",IFERROR(MATCH($D381,Items!$A$5:$A$504,0),"")),"")</f>
        <v/>
      </c>
      <c r="R381" s="60" t="str">
        <f aca="false">IF(IsPro,IF($C381="","",IFERROR(MATCH($C381,Parties!$A$5:$A$304,0),"")),"")</f>
        <v/>
      </c>
      <c r="S381" s="61" t="str">
        <f aca="false">IF(IsPro,IF($D381="","",IF(OR($H381="",$H381="Credit"),0,P381)),"")</f>
        <v/>
      </c>
    </row>
    <row r="382" customFormat="false" ht="15" hidden="false" customHeight="false" outlineLevel="0" collapsed="false">
      <c r="A382" s="55"/>
      <c r="B382" s="56"/>
      <c r="C382" s="56"/>
      <c r="D382" s="56"/>
      <c r="E382" s="57"/>
      <c r="F382" s="58"/>
      <c r="G382" s="59"/>
      <c r="H382" s="56"/>
      <c r="I382" s="60" t="str">
        <f aca="false">IF(IsPro,IF($D382="","",IFERROR(INDEX(Items!$D$5:$D$504,Q382),"")),IF($D382="","","PRO PLAN"))</f>
        <v/>
      </c>
      <c r="J382" s="61" t="str">
        <f aca="false">IF(IsPro,IF($D382="","",IF($F382="",IFERROR(INDEX(Items!$G$5:$G$504,Q382),0),$F382)),"")</f>
        <v/>
      </c>
      <c r="K382" s="61" t="str">
        <f aca="false">IF(IsPro,IF($D382="","",ROUND(N($E382)*J382*(1-N($G382)),2)),"")</f>
        <v/>
      </c>
      <c r="L382" s="62" t="str">
        <f aca="false">IF(IsPro,IF($D382="","",IFERROR(INDEX(Items!$F$5:$F$504,Q382),0)),"")</f>
        <v/>
      </c>
      <c r="M382" s="61" t="str">
        <f aca="false">IF(IsPro,IF($D382="","",IF(AND(R382&lt;&gt;"",INDEX(Parties!$E$5:$E$304,R382)&lt;&gt;"",INDEX(Parties!$E$5:$E$304,R382)&lt;&gt;HomeState),0,ROUND(K382*L382/2,2))),"")</f>
        <v/>
      </c>
      <c r="N382" s="61" t="str">
        <f aca="false">IF(IsPro,IF($D382="","",M382),"")</f>
        <v/>
      </c>
      <c r="O382" s="61" t="str">
        <f aca="false">IF(IsPro,IF($D382="","",IF(AND(R382&lt;&gt;"",INDEX(Parties!$E$5:$E$304,R382)&lt;&gt;"",INDEX(Parties!$E$5:$E$304,R382)&lt;&gt;HomeState),ROUND(K382*L382,2),0)),"")</f>
        <v/>
      </c>
      <c r="P382" s="61" t="str">
        <f aca="false">IF(IsPro,IF($D382="","",K382+M382+N382+O382),"")</f>
        <v/>
      </c>
      <c r="Q382" s="60" t="str">
        <f aca="false">IF(IsPro,IF($D382="","",IFERROR(MATCH($D382,Items!$A$5:$A$504,0),"")),"")</f>
        <v/>
      </c>
      <c r="R382" s="60" t="str">
        <f aca="false">IF(IsPro,IF($C382="","",IFERROR(MATCH($C382,Parties!$A$5:$A$304,0),"")),"")</f>
        <v/>
      </c>
      <c r="S382" s="61" t="str">
        <f aca="false">IF(IsPro,IF($D382="","",IF(OR($H382="",$H382="Credit"),0,P382)),"")</f>
        <v/>
      </c>
    </row>
    <row r="383" customFormat="false" ht="15" hidden="false" customHeight="false" outlineLevel="0" collapsed="false">
      <c r="A383" s="55"/>
      <c r="B383" s="56"/>
      <c r="C383" s="56"/>
      <c r="D383" s="56"/>
      <c r="E383" s="57"/>
      <c r="F383" s="58"/>
      <c r="G383" s="59"/>
      <c r="H383" s="56"/>
      <c r="I383" s="60" t="str">
        <f aca="false">IF(IsPro,IF($D383="","",IFERROR(INDEX(Items!$D$5:$D$504,Q383),"")),IF($D383="","","PRO PLAN"))</f>
        <v/>
      </c>
      <c r="J383" s="61" t="str">
        <f aca="false">IF(IsPro,IF($D383="","",IF($F383="",IFERROR(INDEX(Items!$G$5:$G$504,Q383),0),$F383)),"")</f>
        <v/>
      </c>
      <c r="K383" s="61" t="str">
        <f aca="false">IF(IsPro,IF($D383="","",ROUND(N($E383)*J383*(1-N($G383)),2)),"")</f>
        <v/>
      </c>
      <c r="L383" s="62" t="str">
        <f aca="false">IF(IsPro,IF($D383="","",IFERROR(INDEX(Items!$F$5:$F$504,Q383),0)),"")</f>
        <v/>
      </c>
      <c r="M383" s="61" t="str">
        <f aca="false">IF(IsPro,IF($D383="","",IF(AND(R383&lt;&gt;"",INDEX(Parties!$E$5:$E$304,R383)&lt;&gt;"",INDEX(Parties!$E$5:$E$304,R383)&lt;&gt;HomeState),0,ROUND(K383*L383/2,2))),"")</f>
        <v/>
      </c>
      <c r="N383" s="61" t="str">
        <f aca="false">IF(IsPro,IF($D383="","",M383),"")</f>
        <v/>
      </c>
      <c r="O383" s="61" t="str">
        <f aca="false">IF(IsPro,IF($D383="","",IF(AND(R383&lt;&gt;"",INDEX(Parties!$E$5:$E$304,R383)&lt;&gt;"",INDEX(Parties!$E$5:$E$304,R383)&lt;&gt;HomeState),ROUND(K383*L383,2),0)),"")</f>
        <v/>
      </c>
      <c r="P383" s="61" t="str">
        <f aca="false">IF(IsPro,IF($D383="","",K383+M383+N383+O383),"")</f>
        <v/>
      </c>
      <c r="Q383" s="60" t="str">
        <f aca="false">IF(IsPro,IF($D383="","",IFERROR(MATCH($D383,Items!$A$5:$A$504,0),"")),"")</f>
        <v/>
      </c>
      <c r="R383" s="60" t="str">
        <f aca="false">IF(IsPro,IF($C383="","",IFERROR(MATCH($C383,Parties!$A$5:$A$304,0),"")),"")</f>
        <v/>
      </c>
      <c r="S383" s="61" t="str">
        <f aca="false">IF(IsPro,IF($D383="","",IF(OR($H383="",$H383="Credit"),0,P383)),"")</f>
        <v/>
      </c>
    </row>
    <row r="384" customFormat="false" ht="15" hidden="false" customHeight="false" outlineLevel="0" collapsed="false">
      <c r="A384" s="55"/>
      <c r="B384" s="56"/>
      <c r="C384" s="56"/>
      <c r="D384" s="56"/>
      <c r="E384" s="57"/>
      <c r="F384" s="58"/>
      <c r="G384" s="59"/>
      <c r="H384" s="56"/>
      <c r="I384" s="60" t="str">
        <f aca="false">IF(IsPro,IF($D384="","",IFERROR(INDEX(Items!$D$5:$D$504,Q384),"")),IF($D384="","","PRO PLAN"))</f>
        <v/>
      </c>
      <c r="J384" s="61" t="str">
        <f aca="false">IF(IsPro,IF($D384="","",IF($F384="",IFERROR(INDEX(Items!$G$5:$G$504,Q384),0),$F384)),"")</f>
        <v/>
      </c>
      <c r="K384" s="61" t="str">
        <f aca="false">IF(IsPro,IF($D384="","",ROUND(N($E384)*J384*(1-N($G384)),2)),"")</f>
        <v/>
      </c>
      <c r="L384" s="62" t="str">
        <f aca="false">IF(IsPro,IF($D384="","",IFERROR(INDEX(Items!$F$5:$F$504,Q384),0)),"")</f>
        <v/>
      </c>
      <c r="M384" s="61" t="str">
        <f aca="false">IF(IsPro,IF($D384="","",IF(AND(R384&lt;&gt;"",INDEX(Parties!$E$5:$E$304,R384)&lt;&gt;"",INDEX(Parties!$E$5:$E$304,R384)&lt;&gt;HomeState),0,ROUND(K384*L384/2,2))),"")</f>
        <v/>
      </c>
      <c r="N384" s="61" t="str">
        <f aca="false">IF(IsPro,IF($D384="","",M384),"")</f>
        <v/>
      </c>
      <c r="O384" s="61" t="str">
        <f aca="false">IF(IsPro,IF($D384="","",IF(AND(R384&lt;&gt;"",INDEX(Parties!$E$5:$E$304,R384)&lt;&gt;"",INDEX(Parties!$E$5:$E$304,R384)&lt;&gt;HomeState),ROUND(K384*L384,2),0)),"")</f>
        <v/>
      </c>
      <c r="P384" s="61" t="str">
        <f aca="false">IF(IsPro,IF($D384="","",K384+M384+N384+O384),"")</f>
        <v/>
      </c>
      <c r="Q384" s="60" t="str">
        <f aca="false">IF(IsPro,IF($D384="","",IFERROR(MATCH($D384,Items!$A$5:$A$504,0),"")),"")</f>
        <v/>
      </c>
      <c r="R384" s="60" t="str">
        <f aca="false">IF(IsPro,IF($C384="","",IFERROR(MATCH($C384,Parties!$A$5:$A$304,0),"")),"")</f>
        <v/>
      </c>
      <c r="S384" s="61" t="str">
        <f aca="false">IF(IsPro,IF($D384="","",IF(OR($H384="",$H384="Credit"),0,P384)),"")</f>
        <v/>
      </c>
    </row>
    <row r="385" customFormat="false" ht="15" hidden="false" customHeight="false" outlineLevel="0" collapsed="false">
      <c r="A385" s="55"/>
      <c r="B385" s="56"/>
      <c r="C385" s="56"/>
      <c r="D385" s="56"/>
      <c r="E385" s="57"/>
      <c r="F385" s="58"/>
      <c r="G385" s="59"/>
      <c r="H385" s="56"/>
      <c r="I385" s="60" t="str">
        <f aca="false">IF(IsPro,IF($D385="","",IFERROR(INDEX(Items!$D$5:$D$504,Q385),"")),IF($D385="","","PRO PLAN"))</f>
        <v/>
      </c>
      <c r="J385" s="61" t="str">
        <f aca="false">IF(IsPro,IF($D385="","",IF($F385="",IFERROR(INDEX(Items!$G$5:$G$504,Q385),0),$F385)),"")</f>
        <v/>
      </c>
      <c r="K385" s="61" t="str">
        <f aca="false">IF(IsPro,IF($D385="","",ROUND(N($E385)*J385*(1-N($G385)),2)),"")</f>
        <v/>
      </c>
      <c r="L385" s="62" t="str">
        <f aca="false">IF(IsPro,IF($D385="","",IFERROR(INDEX(Items!$F$5:$F$504,Q385),0)),"")</f>
        <v/>
      </c>
      <c r="M385" s="61" t="str">
        <f aca="false">IF(IsPro,IF($D385="","",IF(AND(R385&lt;&gt;"",INDEX(Parties!$E$5:$E$304,R385)&lt;&gt;"",INDEX(Parties!$E$5:$E$304,R385)&lt;&gt;HomeState),0,ROUND(K385*L385/2,2))),"")</f>
        <v/>
      </c>
      <c r="N385" s="61" t="str">
        <f aca="false">IF(IsPro,IF($D385="","",M385),"")</f>
        <v/>
      </c>
      <c r="O385" s="61" t="str">
        <f aca="false">IF(IsPro,IF($D385="","",IF(AND(R385&lt;&gt;"",INDEX(Parties!$E$5:$E$304,R385)&lt;&gt;"",INDEX(Parties!$E$5:$E$304,R385)&lt;&gt;HomeState),ROUND(K385*L385,2),0)),"")</f>
        <v/>
      </c>
      <c r="P385" s="61" t="str">
        <f aca="false">IF(IsPro,IF($D385="","",K385+M385+N385+O385),"")</f>
        <v/>
      </c>
      <c r="Q385" s="60" t="str">
        <f aca="false">IF(IsPro,IF($D385="","",IFERROR(MATCH($D385,Items!$A$5:$A$504,0),"")),"")</f>
        <v/>
      </c>
      <c r="R385" s="60" t="str">
        <f aca="false">IF(IsPro,IF($C385="","",IFERROR(MATCH($C385,Parties!$A$5:$A$304,0),"")),"")</f>
        <v/>
      </c>
      <c r="S385" s="61" t="str">
        <f aca="false">IF(IsPro,IF($D385="","",IF(OR($H385="",$H385="Credit"),0,P385)),"")</f>
        <v/>
      </c>
    </row>
    <row r="386" customFormat="false" ht="15" hidden="false" customHeight="false" outlineLevel="0" collapsed="false">
      <c r="A386" s="55"/>
      <c r="B386" s="56"/>
      <c r="C386" s="56"/>
      <c r="D386" s="56"/>
      <c r="E386" s="57"/>
      <c r="F386" s="58"/>
      <c r="G386" s="59"/>
      <c r="H386" s="56"/>
      <c r="I386" s="60" t="str">
        <f aca="false">IF(IsPro,IF($D386="","",IFERROR(INDEX(Items!$D$5:$D$504,Q386),"")),IF($D386="","","PRO PLAN"))</f>
        <v/>
      </c>
      <c r="J386" s="61" t="str">
        <f aca="false">IF(IsPro,IF($D386="","",IF($F386="",IFERROR(INDEX(Items!$G$5:$G$504,Q386),0),$F386)),"")</f>
        <v/>
      </c>
      <c r="K386" s="61" t="str">
        <f aca="false">IF(IsPro,IF($D386="","",ROUND(N($E386)*J386*(1-N($G386)),2)),"")</f>
        <v/>
      </c>
      <c r="L386" s="62" t="str">
        <f aca="false">IF(IsPro,IF($D386="","",IFERROR(INDEX(Items!$F$5:$F$504,Q386),0)),"")</f>
        <v/>
      </c>
      <c r="M386" s="61" t="str">
        <f aca="false">IF(IsPro,IF($D386="","",IF(AND(R386&lt;&gt;"",INDEX(Parties!$E$5:$E$304,R386)&lt;&gt;"",INDEX(Parties!$E$5:$E$304,R386)&lt;&gt;HomeState),0,ROUND(K386*L386/2,2))),"")</f>
        <v/>
      </c>
      <c r="N386" s="61" t="str">
        <f aca="false">IF(IsPro,IF($D386="","",M386),"")</f>
        <v/>
      </c>
      <c r="O386" s="61" t="str">
        <f aca="false">IF(IsPro,IF($D386="","",IF(AND(R386&lt;&gt;"",INDEX(Parties!$E$5:$E$304,R386)&lt;&gt;"",INDEX(Parties!$E$5:$E$304,R386)&lt;&gt;HomeState),ROUND(K386*L386,2),0)),"")</f>
        <v/>
      </c>
      <c r="P386" s="61" t="str">
        <f aca="false">IF(IsPro,IF($D386="","",K386+M386+N386+O386),"")</f>
        <v/>
      </c>
      <c r="Q386" s="60" t="str">
        <f aca="false">IF(IsPro,IF($D386="","",IFERROR(MATCH($D386,Items!$A$5:$A$504,0),"")),"")</f>
        <v/>
      </c>
      <c r="R386" s="60" t="str">
        <f aca="false">IF(IsPro,IF($C386="","",IFERROR(MATCH($C386,Parties!$A$5:$A$304,0),"")),"")</f>
        <v/>
      </c>
      <c r="S386" s="61" t="str">
        <f aca="false">IF(IsPro,IF($D386="","",IF(OR($H386="",$H386="Credit"),0,P386)),"")</f>
        <v/>
      </c>
    </row>
    <row r="387" customFormat="false" ht="15" hidden="false" customHeight="false" outlineLevel="0" collapsed="false">
      <c r="A387" s="55"/>
      <c r="B387" s="56"/>
      <c r="C387" s="56"/>
      <c r="D387" s="56"/>
      <c r="E387" s="57"/>
      <c r="F387" s="58"/>
      <c r="G387" s="59"/>
      <c r="H387" s="56"/>
      <c r="I387" s="60" t="str">
        <f aca="false">IF(IsPro,IF($D387="","",IFERROR(INDEX(Items!$D$5:$D$504,Q387),"")),IF($D387="","","PRO PLAN"))</f>
        <v/>
      </c>
      <c r="J387" s="61" t="str">
        <f aca="false">IF(IsPro,IF($D387="","",IF($F387="",IFERROR(INDEX(Items!$G$5:$G$504,Q387),0),$F387)),"")</f>
        <v/>
      </c>
      <c r="K387" s="61" t="str">
        <f aca="false">IF(IsPro,IF($D387="","",ROUND(N($E387)*J387*(1-N($G387)),2)),"")</f>
        <v/>
      </c>
      <c r="L387" s="62" t="str">
        <f aca="false">IF(IsPro,IF($D387="","",IFERROR(INDEX(Items!$F$5:$F$504,Q387),0)),"")</f>
        <v/>
      </c>
      <c r="M387" s="61" t="str">
        <f aca="false">IF(IsPro,IF($D387="","",IF(AND(R387&lt;&gt;"",INDEX(Parties!$E$5:$E$304,R387)&lt;&gt;"",INDEX(Parties!$E$5:$E$304,R387)&lt;&gt;HomeState),0,ROUND(K387*L387/2,2))),"")</f>
        <v/>
      </c>
      <c r="N387" s="61" t="str">
        <f aca="false">IF(IsPro,IF($D387="","",M387),"")</f>
        <v/>
      </c>
      <c r="O387" s="61" t="str">
        <f aca="false">IF(IsPro,IF($D387="","",IF(AND(R387&lt;&gt;"",INDEX(Parties!$E$5:$E$304,R387)&lt;&gt;"",INDEX(Parties!$E$5:$E$304,R387)&lt;&gt;HomeState),ROUND(K387*L387,2),0)),"")</f>
        <v/>
      </c>
      <c r="P387" s="61" t="str">
        <f aca="false">IF(IsPro,IF($D387="","",K387+M387+N387+O387),"")</f>
        <v/>
      </c>
      <c r="Q387" s="60" t="str">
        <f aca="false">IF(IsPro,IF($D387="","",IFERROR(MATCH($D387,Items!$A$5:$A$504,0),"")),"")</f>
        <v/>
      </c>
      <c r="R387" s="60" t="str">
        <f aca="false">IF(IsPro,IF($C387="","",IFERROR(MATCH($C387,Parties!$A$5:$A$304,0),"")),"")</f>
        <v/>
      </c>
      <c r="S387" s="61" t="str">
        <f aca="false">IF(IsPro,IF($D387="","",IF(OR($H387="",$H387="Credit"),0,P387)),"")</f>
        <v/>
      </c>
    </row>
    <row r="388" customFormat="false" ht="15" hidden="false" customHeight="false" outlineLevel="0" collapsed="false">
      <c r="A388" s="55"/>
      <c r="B388" s="56"/>
      <c r="C388" s="56"/>
      <c r="D388" s="56"/>
      <c r="E388" s="57"/>
      <c r="F388" s="58"/>
      <c r="G388" s="59"/>
      <c r="H388" s="56"/>
      <c r="I388" s="60" t="str">
        <f aca="false">IF(IsPro,IF($D388="","",IFERROR(INDEX(Items!$D$5:$D$504,Q388),"")),IF($D388="","","PRO PLAN"))</f>
        <v/>
      </c>
      <c r="J388" s="61" t="str">
        <f aca="false">IF(IsPro,IF($D388="","",IF($F388="",IFERROR(INDEX(Items!$G$5:$G$504,Q388),0),$F388)),"")</f>
        <v/>
      </c>
      <c r="K388" s="61" t="str">
        <f aca="false">IF(IsPro,IF($D388="","",ROUND(N($E388)*J388*(1-N($G388)),2)),"")</f>
        <v/>
      </c>
      <c r="L388" s="62" t="str">
        <f aca="false">IF(IsPro,IF($D388="","",IFERROR(INDEX(Items!$F$5:$F$504,Q388),0)),"")</f>
        <v/>
      </c>
      <c r="M388" s="61" t="str">
        <f aca="false">IF(IsPro,IF($D388="","",IF(AND(R388&lt;&gt;"",INDEX(Parties!$E$5:$E$304,R388)&lt;&gt;"",INDEX(Parties!$E$5:$E$304,R388)&lt;&gt;HomeState),0,ROUND(K388*L388/2,2))),"")</f>
        <v/>
      </c>
      <c r="N388" s="61" t="str">
        <f aca="false">IF(IsPro,IF($D388="","",M388),"")</f>
        <v/>
      </c>
      <c r="O388" s="61" t="str">
        <f aca="false">IF(IsPro,IF($D388="","",IF(AND(R388&lt;&gt;"",INDEX(Parties!$E$5:$E$304,R388)&lt;&gt;"",INDEX(Parties!$E$5:$E$304,R388)&lt;&gt;HomeState),ROUND(K388*L388,2),0)),"")</f>
        <v/>
      </c>
      <c r="P388" s="61" t="str">
        <f aca="false">IF(IsPro,IF($D388="","",K388+M388+N388+O388),"")</f>
        <v/>
      </c>
      <c r="Q388" s="60" t="str">
        <f aca="false">IF(IsPro,IF($D388="","",IFERROR(MATCH($D388,Items!$A$5:$A$504,0),"")),"")</f>
        <v/>
      </c>
      <c r="R388" s="60" t="str">
        <f aca="false">IF(IsPro,IF($C388="","",IFERROR(MATCH($C388,Parties!$A$5:$A$304,0),"")),"")</f>
        <v/>
      </c>
      <c r="S388" s="61" t="str">
        <f aca="false">IF(IsPro,IF($D388="","",IF(OR($H388="",$H388="Credit"),0,P388)),"")</f>
        <v/>
      </c>
    </row>
    <row r="389" customFormat="false" ht="15" hidden="false" customHeight="false" outlineLevel="0" collapsed="false">
      <c r="A389" s="55"/>
      <c r="B389" s="56"/>
      <c r="C389" s="56"/>
      <c r="D389" s="56"/>
      <c r="E389" s="57"/>
      <c r="F389" s="58"/>
      <c r="G389" s="59"/>
      <c r="H389" s="56"/>
      <c r="I389" s="60" t="str">
        <f aca="false">IF(IsPro,IF($D389="","",IFERROR(INDEX(Items!$D$5:$D$504,Q389),"")),IF($D389="","","PRO PLAN"))</f>
        <v/>
      </c>
      <c r="J389" s="61" t="str">
        <f aca="false">IF(IsPro,IF($D389="","",IF($F389="",IFERROR(INDEX(Items!$G$5:$G$504,Q389),0),$F389)),"")</f>
        <v/>
      </c>
      <c r="K389" s="61" t="str">
        <f aca="false">IF(IsPro,IF($D389="","",ROUND(N($E389)*J389*(1-N($G389)),2)),"")</f>
        <v/>
      </c>
      <c r="L389" s="62" t="str">
        <f aca="false">IF(IsPro,IF($D389="","",IFERROR(INDEX(Items!$F$5:$F$504,Q389),0)),"")</f>
        <v/>
      </c>
      <c r="M389" s="61" t="str">
        <f aca="false">IF(IsPro,IF($D389="","",IF(AND(R389&lt;&gt;"",INDEX(Parties!$E$5:$E$304,R389)&lt;&gt;"",INDEX(Parties!$E$5:$E$304,R389)&lt;&gt;HomeState),0,ROUND(K389*L389/2,2))),"")</f>
        <v/>
      </c>
      <c r="N389" s="61" t="str">
        <f aca="false">IF(IsPro,IF($D389="","",M389),"")</f>
        <v/>
      </c>
      <c r="O389" s="61" t="str">
        <f aca="false">IF(IsPro,IF($D389="","",IF(AND(R389&lt;&gt;"",INDEX(Parties!$E$5:$E$304,R389)&lt;&gt;"",INDEX(Parties!$E$5:$E$304,R389)&lt;&gt;HomeState),ROUND(K389*L389,2),0)),"")</f>
        <v/>
      </c>
      <c r="P389" s="61" t="str">
        <f aca="false">IF(IsPro,IF($D389="","",K389+M389+N389+O389),"")</f>
        <v/>
      </c>
      <c r="Q389" s="60" t="str">
        <f aca="false">IF(IsPro,IF($D389="","",IFERROR(MATCH($D389,Items!$A$5:$A$504,0),"")),"")</f>
        <v/>
      </c>
      <c r="R389" s="60" t="str">
        <f aca="false">IF(IsPro,IF($C389="","",IFERROR(MATCH($C389,Parties!$A$5:$A$304,0),"")),"")</f>
        <v/>
      </c>
      <c r="S389" s="61" t="str">
        <f aca="false">IF(IsPro,IF($D389="","",IF(OR($H389="",$H389="Credit"),0,P389)),"")</f>
        <v/>
      </c>
    </row>
    <row r="390" customFormat="false" ht="15" hidden="false" customHeight="false" outlineLevel="0" collapsed="false">
      <c r="A390" s="55"/>
      <c r="B390" s="56"/>
      <c r="C390" s="56"/>
      <c r="D390" s="56"/>
      <c r="E390" s="57"/>
      <c r="F390" s="58"/>
      <c r="G390" s="59"/>
      <c r="H390" s="56"/>
      <c r="I390" s="60" t="str">
        <f aca="false">IF(IsPro,IF($D390="","",IFERROR(INDEX(Items!$D$5:$D$504,Q390),"")),IF($D390="","","PRO PLAN"))</f>
        <v/>
      </c>
      <c r="J390" s="61" t="str">
        <f aca="false">IF(IsPro,IF($D390="","",IF($F390="",IFERROR(INDEX(Items!$G$5:$G$504,Q390),0),$F390)),"")</f>
        <v/>
      </c>
      <c r="K390" s="61" t="str">
        <f aca="false">IF(IsPro,IF($D390="","",ROUND(N($E390)*J390*(1-N($G390)),2)),"")</f>
        <v/>
      </c>
      <c r="L390" s="62" t="str">
        <f aca="false">IF(IsPro,IF($D390="","",IFERROR(INDEX(Items!$F$5:$F$504,Q390),0)),"")</f>
        <v/>
      </c>
      <c r="M390" s="61" t="str">
        <f aca="false">IF(IsPro,IF($D390="","",IF(AND(R390&lt;&gt;"",INDEX(Parties!$E$5:$E$304,R390)&lt;&gt;"",INDEX(Parties!$E$5:$E$304,R390)&lt;&gt;HomeState),0,ROUND(K390*L390/2,2))),"")</f>
        <v/>
      </c>
      <c r="N390" s="61" t="str">
        <f aca="false">IF(IsPro,IF($D390="","",M390),"")</f>
        <v/>
      </c>
      <c r="O390" s="61" t="str">
        <f aca="false">IF(IsPro,IF($D390="","",IF(AND(R390&lt;&gt;"",INDEX(Parties!$E$5:$E$304,R390)&lt;&gt;"",INDEX(Parties!$E$5:$E$304,R390)&lt;&gt;HomeState),ROUND(K390*L390,2),0)),"")</f>
        <v/>
      </c>
      <c r="P390" s="61" t="str">
        <f aca="false">IF(IsPro,IF($D390="","",K390+M390+N390+O390),"")</f>
        <v/>
      </c>
      <c r="Q390" s="60" t="str">
        <f aca="false">IF(IsPro,IF($D390="","",IFERROR(MATCH($D390,Items!$A$5:$A$504,0),"")),"")</f>
        <v/>
      </c>
      <c r="R390" s="60" t="str">
        <f aca="false">IF(IsPro,IF($C390="","",IFERROR(MATCH($C390,Parties!$A$5:$A$304,0),"")),"")</f>
        <v/>
      </c>
      <c r="S390" s="61" t="str">
        <f aca="false">IF(IsPro,IF($D390="","",IF(OR($H390="",$H390="Credit"),0,P390)),"")</f>
        <v/>
      </c>
    </row>
    <row r="391" customFormat="false" ht="15" hidden="false" customHeight="false" outlineLevel="0" collapsed="false">
      <c r="A391" s="55"/>
      <c r="B391" s="56"/>
      <c r="C391" s="56"/>
      <c r="D391" s="56"/>
      <c r="E391" s="57"/>
      <c r="F391" s="58"/>
      <c r="G391" s="59"/>
      <c r="H391" s="56"/>
      <c r="I391" s="60" t="str">
        <f aca="false">IF(IsPro,IF($D391="","",IFERROR(INDEX(Items!$D$5:$D$504,Q391),"")),IF($D391="","","PRO PLAN"))</f>
        <v/>
      </c>
      <c r="J391" s="61" t="str">
        <f aca="false">IF(IsPro,IF($D391="","",IF($F391="",IFERROR(INDEX(Items!$G$5:$G$504,Q391),0),$F391)),"")</f>
        <v/>
      </c>
      <c r="K391" s="61" t="str">
        <f aca="false">IF(IsPro,IF($D391="","",ROUND(N($E391)*J391*(1-N($G391)),2)),"")</f>
        <v/>
      </c>
      <c r="L391" s="62" t="str">
        <f aca="false">IF(IsPro,IF($D391="","",IFERROR(INDEX(Items!$F$5:$F$504,Q391),0)),"")</f>
        <v/>
      </c>
      <c r="M391" s="61" t="str">
        <f aca="false">IF(IsPro,IF($D391="","",IF(AND(R391&lt;&gt;"",INDEX(Parties!$E$5:$E$304,R391)&lt;&gt;"",INDEX(Parties!$E$5:$E$304,R391)&lt;&gt;HomeState),0,ROUND(K391*L391/2,2))),"")</f>
        <v/>
      </c>
      <c r="N391" s="61" t="str">
        <f aca="false">IF(IsPro,IF($D391="","",M391),"")</f>
        <v/>
      </c>
      <c r="O391" s="61" t="str">
        <f aca="false">IF(IsPro,IF($D391="","",IF(AND(R391&lt;&gt;"",INDEX(Parties!$E$5:$E$304,R391)&lt;&gt;"",INDEX(Parties!$E$5:$E$304,R391)&lt;&gt;HomeState),ROUND(K391*L391,2),0)),"")</f>
        <v/>
      </c>
      <c r="P391" s="61" t="str">
        <f aca="false">IF(IsPro,IF($D391="","",K391+M391+N391+O391),"")</f>
        <v/>
      </c>
      <c r="Q391" s="60" t="str">
        <f aca="false">IF(IsPro,IF($D391="","",IFERROR(MATCH($D391,Items!$A$5:$A$504,0),"")),"")</f>
        <v/>
      </c>
      <c r="R391" s="60" t="str">
        <f aca="false">IF(IsPro,IF($C391="","",IFERROR(MATCH($C391,Parties!$A$5:$A$304,0),"")),"")</f>
        <v/>
      </c>
      <c r="S391" s="61" t="str">
        <f aca="false">IF(IsPro,IF($D391="","",IF(OR($H391="",$H391="Credit"),0,P391)),"")</f>
        <v/>
      </c>
    </row>
    <row r="392" customFormat="false" ht="15" hidden="false" customHeight="false" outlineLevel="0" collapsed="false">
      <c r="A392" s="55"/>
      <c r="B392" s="56"/>
      <c r="C392" s="56"/>
      <c r="D392" s="56"/>
      <c r="E392" s="57"/>
      <c r="F392" s="58"/>
      <c r="G392" s="59"/>
      <c r="H392" s="56"/>
      <c r="I392" s="60" t="str">
        <f aca="false">IF(IsPro,IF($D392="","",IFERROR(INDEX(Items!$D$5:$D$504,Q392),"")),IF($D392="","","PRO PLAN"))</f>
        <v/>
      </c>
      <c r="J392" s="61" t="str">
        <f aca="false">IF(IsPro,IF($D392="","",IF($F392="",IFERROR(INDEX(Items!$G$5:$G$504,Q392),0),$F392)),"")</f>
        <v/>
      </c>
      <c r="K392" s="61" t="str">
        <f aca="false">IF(IsPro,IF($D392="","",ROUND(N($E392)*J392*(1-N($G392)),2)),"")</f>
        <v/>
      </c>
      <c r="L392" s="62" t="str">
        <f aca="false">IF(IsPro,IF($D392="","",IFERROR(INDEX(Items!$F$5:$F$504,Q392),0)),"")</f>
        <v/>
      </c>
      <c r="M392" s="61" t="str">
        <f aca="false">IF(IsPro,IF($D392="","",IF(AND(R392&lt;&gt;"",INDEX(Parties!$E$5:$E$304,R392)&lt;&gt;"",INDEX(Parties!$E$5:$E$304,R392)&lt;&gt;HomeState),0,ROUND(K392*L392/2,2))),"")</f>
        <v/>
      </c>
      <c r="N392" s="61" t="str">
        <f aca="false">IF(IsPro,IF($D392="","",M392),"")</f>
        <v/>
      </c>
      <c r="O392" s="61" t="str">
        <f aca="false">IF(IsPro,IF($D392="","",IF(AND(R392&lt;&gt;"",INDEX(Parties!$E$5:$E$304,R392)&lt;&gt;"",INDEX(Parties!$E$5:$E$304,R392)&lt;&gt;HomeState),ROUND(K392*L392,2),0)),"")</f>
        <v/>
      </c>
      <c r="P392" s="61" t="str">
        <f aca="false">IF(IsPro,IF($D392="","",K392+M392+N392+O392),"")</f>
        <v/>
      </c>
      <c r="Q392" s="60" t="str">
        <f aca="false">IF(IsPro,IF($D392="","",IFERROR(MATCH($D392,Items!$A$5:$A$504,0),"")),"")</f>
        <v/>
      </c>
      <c r="R392" s="60" t="str">
        <f aca="false">IF(IsPro,IF($C392="","",IFERROR(MATCH($C392,Parties!$A$5:$A$304,0),"")),"")</f>
        <v/>
      </c>
      <c r="S392" s="61" t="str">
        <f aca="false">IF(IsPro,IF($D392="","",IF(OR($H392="",$H392="Credit"),0,P392)),"")</f>
        <v/>
      </c>
    </row>
    <row r="393" customFormat="false" ht="15" hidden="false" customHeight="false" outlineLevel="0" collapsed="false">
      <c r="A393" s="55"/>
      <c r="B393" s="56"/>
      <c r="C393" s="56"/>
      <c r="D393" s="56"/>
      <c r="E393" s="57"/>
      <c r="F393" s="58"/>
      <c r="G393" s="59"/>
      <c r="H393" s="56"/>
      <c r="I393" s="60" t="str">
        <f aca="false">IF(IsPro,IF($D393="","",IFERROR(INDEX(Items!$D$5:$D$504,Q393),"")),IF($D393="","","PRO PLAN"))</f>
        <v/>
      </c>
      <c r="J393" s="61" t="str">
        <f aca="false">IF(IsPro,IF($D393="","",IF($F393="",IFERROR(INDEX(Items!$G$5:$G$504,Q393),0),$F393)),"")</f>
        <v/>
      </c>
      <c r="K393" s="61" t="str">
        <f aca="false">IF(IsPro,IF($D393="","",ROUND(N($E393)*J393*(1-N($G393)),2)),"")</f>
        <v/>
      </c>
      <c r="L393" s="62" t="str">
        <f aca="false">IF(IsPro,IF($D393="","",IFERROR(INDEX(Items!$F$5:$F$504,Q393),0)),"")</f>
        <v/>
      </c>
      <c r="M393" s="61" t="str">
        <f aca="false">IF(IsPro,IF($D393="","",IF(AND(R393&lt;&gt;"",INDEX(Parties!$E$5:$E$304,R393)&lt;&gt;"",INDEX(Parties!$E$5:$E$304,R393)&lt;&gt;HomeState),0,ROUND(K393*L393/2,2))),"")</f>
        <v/>
      </c>
      <c r="N393" s="61" t="str">
        <f aca="false">IF(IsPro,IF($D393="","",M393),"")</f>
        <v/>
      </c>
      <c r="O393" s="61" t="str">
        <f aca="false">IF(IsPro,IF($D393="","",IF(AND(R393&lt;&gt;"",INDEX(Parties!$E$5:$E$304,R393)&lt;&gt;"",INDEX(Parties!$E$5:$E$304,R393)&lt;&gt;HomeState),ROUND(K393*L393,2),0)),"")</f>
        <v/>
      </c>
      <c r="P393" s="61" t="str">
        <f aca="false">IF(IsPro,IF($D393="","",K393+M393+N393+O393),"")</f>
        <v/>
      </c>
      <c r="Q393" s="60" t="str">
        <f aca="false">IF(IsPro,IF($D393="","",IFERROR(MATCH($D393,Items!$A$5:$A$504,0),"")),"")</f>
        <v/>
      </c>
      <c r="R393" s="60" t="str">
        <f aca="false">IF(IsPro,IF($C393="","",IFERROR(MATCH($C393,Parties!$A$5:$A$304,0),"")),"")</f>
        <v/>
      </c>
      <c r="S393" s="61" t="str">
        <f aca="false">IF(IsPro,IF($D393="","",IF(OR($H393="",$H393="Credit"),0,P393)),"")</f>
        <v/>
      </c>
    </row>
    <row r="394" customFormat="false" ht="15" hidden="false" customHeight="false" outlineLevel="0" collapsed="false">
      <c r="A394" s="55"/>
      <c r="B394" s="56"/>
      <c r="C394" s="56"/>
      <c r="D394" s="56"/>
      <c r="E394" s="57"/>
      <c r="F394" s="58"/>
      <c r="G394" s="59"/>
      <c r="H394" s="56"/>
      <c r="I394" s="60" t="str">
        <f aca="false">IF(IsPro,IF($D394="","",IFERROR(INDEX(Items!$D$5:$D$504,Q394),"")),IF($D394="","","PRO PLAN"))</f>
        <v/>
      </c>
      <c r="J394" s="61" t="str">
        <f aca="false">IF(IsPro,IF($D394="","",IF($F394="",IFERROR(INDEX(Items!$G$5:$G$504,Q394),0),$F394)),"")</f>
        <v/>
      </c>
      <c r="K394" s="61" t="str">
        <f aca="false">IF(IsPro,IF($D394="","",ROUND(N($E394)*J394*(1-N($G394)),2)),"")</f>
        <v/>
      </c>
      <c r="L394" s="62" t="str">
        <f aca="false">IF(IsPro,IF($D394="","",IFERROR(INDEX(Items!$F$5:$F$504,Q394),0)),"")</f>
        <v/>
      </c>
      <c r="M394" s="61" t="str">
        <f aca="false">IF(IsPro,IF($D394="","",IF(AND(R394&lt;&gt;"",INDEX(Parties!$E$5:$E$304,R394)&lt;&gt;"",INDEX(Parties!$E$5:$E$304,R394)&lt;&gt;HomeState),0,ROUND(K394*L394/2,2))),"")</f>
        <v/>
      </c>
      <c r="N394" s="61" t="str">
        <f aca="false">IF(IsPro,IF($D394="","",M394),"")</f>
        <v/>
      </c>
      <c r="O394" s="61" t="str">
        <f aca="false">IF(IsPro,IF($D394="","",IF(AND(R394&lt;&gt;"",INDEX(Parties!$E$5:$E$304,R394)&lt;&gt;"",INDEX(Parties!$E$5:$E$304,R394)&lt;&gt;HomeState),ROUND(K394*L394,2),0)),"")</f>
        <v/>
      </c>
      <c r="P394" s="61" t="str">
        <f aca="false">IF(IsPro,IF($D394="","",K394+M394+N394+O394),"")</f>
        <v/>
      </c>
      <c r="Q394" s="60" t="str">
        <f aca="false">IF(IsPro,IF($D394="","",IFERROR(MATCH($D394,Items!$A$5:$A$504,0),"")),"")</f>
        <v/>
      </c>
      <c r="R394" s="60" t="str">
        <f aca="false">IF(IsPro,IF($C394="","",IFERROR(MATCH($C394,Parties!$A$5:$A$304,0),"")),"")</f>
        <v/>
      </c>
      <c r="S394" s="61" t="str">
        <f aca="false">IF(IsPro,IF($D394="","",IF(OR($H394="",$H394="Credit"),0,P394)),"")</f>
        <v/>
      </c>
    </row>
    <row r="395" customFormat="false" ht="15" hidden="false" customHeight="false" outlineLevel="0" collapsed="false">
      <c r="A395" s="55"/>
      <c r="B395" s="56"/>
      <c r="C395" s="56"/>
      <c r="D395" s="56"/>
      <c r="E395" s="57"/>
      <c r="F395" s="58"/>
      <c r="G395" s="59"/>
      <c r="H395" s="56"/>
      <c r="I395" s="60" t="str">
        <f aca="false">IF(IsPro,IF($D395="","",IFERROR(INDEX(Items!$D$5:$D$504,Q395),"")),IF($D395="","","PRO PLAN"))</f>
        <v/>
      </c>
      <c r="J395" s="61" t="str">
        <f aca="false">IF(IsPro,IF($D395="","",IF($F395="",IFERROR(INDEX(Items!$G$5:$G$504,Q395),0),$F395)),"")</f>
        <v/>
      </c>
      <c r="K395" s="61" t="str">
        <f aca="false">IF(IsPro,IF($D395="","",ROUND(N($E395)*J395*(1-N($G395)),2)),"")</f>
        <v/>
      </c>
      <c r="L395" s="62" t="str">
        <f aca="false">IF(IsPro,IF($D395="","",IFERROR(INDEX(Items!$F$5:$F$504,Q395),0)),"")</f>
        <v/>
      </c>
      <c r="M395" s="61" t="str">
        <f aca="false">IF(IsPro,IF($D395="","",IF(AND(R395&lt;&gt;"",INDEX(Parties!$E$5:$E$304,R395)&lt;&gt;"",INDEX(Parties!$E$5:$E$304,R395)&lt;&gt;HomeState),0,ROUND(K395*L395/2,2))),"")</f>
        <v/>
      </c>
      <c r="N395" s="61" t="str">
        <f aca="false">IF(IsPro,IF($D395="","",M395),"")</f>
        <v/>
      </c>
      <c r="O395" s="61" t="str">
        <f aca="false">IF(IsPro,IF($D395="","",IF(AND(R395&lt;&gt;"",INDEX(Parties!$E$5:$E$304,R395)&lt;&gt;"",INDEX(Parties!$E$5:$E$304,R395)&lt;&gt;HomeState),ROUND(K395*L395,2),0)),"")</f>
        <v/>
      </c>
      <c r="P395" s="61" t="str">
        <f aca="false">IF(IsPro,IF($D395="","",K395+M395+N395+O395),"")</f>
        <v/>
      </c>
      <c r="Q395" s="60" t="str">
        <f aca="false">IF(IsPro,IF($D395="","",IFERROR(MATCH($D395,Items!$A$5:$A$504,0),"")),"")</f>
        <v/>
      </c>
      <c r="R395" s="60" t="str">
        <f aca="false">IF(IsPro,IF($C395="","",IFERROR(MATCH($C395,Parties!$A$5:$A$304,0),"")),"")</f>
        <v/>
      </c>
      <c r="S395" s="61" t="str">
        <f aca="false">IF(IsPro,IF($D395="","",IF(OR($H395="",$H395="Credit"),0,P395)),"")</f>
        <v/>
      </c>
    </row>
    <row r="396" customFormat="false" ht="15" hidden="false" customHeight="false" outlineLevel="0" collapsed="false">
      <c r="A396" s="55"/>
      <c r="B396" s="56"/>
      <c r="C396" s="56"/>
      <c r="D396" s="56"/>
      <c r="E396" s="57"/>
      <c r="F396" s="58"/>
      <c r="G396" s="59"/>
      <c r="H396" s="56"/>
      <c r="I396" s="60" t="str">
        <f aca="false">IF(IsPro,IF($D396="","",IFERROR(INDEX(Items!$D$5:$D$504,Q396),"")),IF($D396="","","PRO PLAN"))</f>
        <v/>
      </c>
      <c r="J396" s="61" t="str">
        <f aca="false">IF(IsPro,IF($D396="","",IF($F396="",IFERROR(INDEX(Items!$G$5:$G$504,Q396),0),$F396)),"")</f>
        <v/>
      </c>
      <c r="K396" s="61" t="str">
        <f aca="false">IF(IsPro,IF($D396="","",ROUND(N($E396)*J396*(1-N($G396)),2)),"")</f>
        <v/>
      </c>
      <c r="L396" s="62" t="str">
        <f aca="false">IF(IsPro,IF($D396="","",IFERROR(INDEX(Items!$F$5:$F$504,Q396),0)),"")</f>
        <v/>
      </c>
      <c r="M396" s="61" t="str">
        <f aca="false">IF(IsPro,IF($D396="","",IF(AND(R396&lt;&gt;"",INDEX(Parties!$E$5:$E$304,R396)&lt;&gt;"",INDEX(Parties!$E$5:$E$304,R396)&lt;&gt;HomeState),0,ROUND(K396*L396/2,2))),"")</f>
        <v/>
      </c>
      <c r="N396" s="61" t="str">
        <f aca="false">IF(IsPro,IF($D396="","",M396),"")</f>
        <v/>
      </c>
      <c r="O396" s="61" t="str">
        <f aca="false">IF(IsPro,IF($D396="","",IF(AND(R396&lt;&gt;"",INDEX(Parties!$E$5:$E$304,R396)&lt;&gt;"",INDEX(Parties!$E$5:$E$304,R396)&lt;&gt;HomeState),ROUND(K396*L396,2),0)),"")</f>
        <v/>
      </c>
      <c r="P396" s="61" t="str">
        <f aca="false">IF(IsPro,IF($D396="","",K396+M396+N396+O396),"")</f>
        <v/>
      </c>
      <c r="Q396" s="60" t="str">
        <f aca="false">IF(IsPro,IF($D396="","",IFERROR(MATCH($D396,Items!$A$5:$A$504,0),"")),"")</f>
        <v/>
      </c>
      <c r="R396" s="60" t="str">
        <f aca="false">IF(IsPro,IF($C396="","",IFERROR(MATCH($C396,Parties!$A$5:$A$304,0),"")),"")</f>
        <v/>
      </c>
      <c r="S396" s="61" t="str">
        <f aca="false">IF(IsPro,IF($D396="","",IF(OR($H396="",$H396="Credit"),0,P396)),"")</f>
        <v/>
      </c>
    </row>
    <row r="397" customFormat="false" ht="15" hidden="false" customHeight="false" outlineLevel="0" collapsed="false">
      <c r="A397" s="55"/>
      <c r="B397" s="56"/>
      <c r="C397" s="56"/>
      <c r="D397" s="56"/>
      <c r="E397" s="57"/>
      <c r="F397" s="58"/>
      <c r="G397" s="59"/>
      <c r="H397" s="56"/>
      <c r="I397" s="60" t="str">
        <f aca="false">IF(IsPro,IF($D397="","",IFERROR(INDEX(Items!$D$5:$D$504,Q397),"")),IF($D397="","","PRO PLAN"))</f>
        <v/>
      </c>
      <c r="J397" s="61" t="str">
        <f aca="false">IF(IsPro,IF($D397="","",IF($F397="",IFERROR(INDEX(Items!$G$5:$G$504,Q397),0),$F397)),"")</f>
        <v/>
      </c>
      <c r="K397" s="61" t="str">
        <f aca="false">IF(IsPro,IF($D397="","",ROUND(N($E397)*J397*(1-N($G397)),2)),"")</f>
        <v/>
      </c>
      <c r="L397" s="62" t="str">
        <f aca="false">IF(IsPro,IF($D397="","",IFERROR(INDEX(Items!$F$5:$F$504,Q397),0)),"")</f>
        <v/>
      </c>
      <c r="M397" s="61" t="str">
        <f aca="false">IF(IsPro,IF($D397="","",IF(AND(R397&lt;&gt;"",INDEX(Parties!$E$5:$E$304,R397)&lt;&gt;"",INDEX(Parties!$E$5:$E$304,R397)&lt;&gt;HomeState),0,ROUND(K397*L397/2,2))),"")</f>
        <v/>
      </c>
      <c r="N397" s="61" t="str">
        <f aca="false">IF(IsPro,IF($D397="","",M397),"")</f>
        <v/>
      </c>
      <c r="O397" s="61" t="str">
        <f aca="false">IF(IsPro,IF($D397="","",IF(AND(R397&lt;&gt;"",INDEX(Parties!$E$5:$E$304,R397)&lt;&gt;"",INDEX(Parties!$E$5:$E$304,R397)&lt;&gt;HomeState),ROUND(K397*L397,2),0)),"")</f>
        <v/>
      </c>
      <c r="P397" s="61" t="str">
        <f aca="false">IF(IsPro,IF($D397="","",K397+M397+N397+O397),"")</f>
        <v/>
      </c>
      <c r="Q397" s="60" t="str">
        <f aca="false">IF(IsPro,IF($D397="","",IFERROR(MATCH($D397,Items!$A$5:$A$504,0),"")),"")</f>
        <v/>
      </c>
      <c r="R397" s="60" t="str">
        <f aca="false">IF(IsPro,IF($C397="","",IFERROR(MATCH($C397,Parties!$A$5:$A$304,0),"")),"")</f>
        <v/>
      </c>
      <c r="S397" s="61" t="str">
        <f aca="false">IF(IsPro,IF($D397="","",IF(OR($H397="",$H397="Credit"),0,P397)),"")</f>
        <v/>
      </c>
    </row>
    <row r="398" customFormat="false" ht="15" hidden="false" customHeight="false" outlineLevel="0" collapsed="false">
      <c r="A398" s="55"/>
      <c r="B398" s="56"/>
      <c r="C398" s="56"/>
      <c r="D398" s="56"/>
      <c r="E398" s="57"/>
      <c r="F398" s="58"/>
      <c r="G398" s="59"/>
      <c r="H398" s="56"/>
      <c r="I398" s="60" t="str">
        <f aca="false">IF(IsPro,IF($D398="","",IFERROR(INDEX(Items!$D$5:$D$504,Q398),"")),IF($D398="","","PRO PLAN"))</f>
        <v/>
      </c>
      <c r="J398" s="61" t="str">
        <f aca="false">IF(IsPro,IF($D398="","",IF($F398="",IFERROR(INDEX(Items!$G$5:$G$504,Q398),0),$F398)),"")</f>
        <v/>
      </c>
      <c r="K398" s="61" t="str">
        <f aca="false">IF(IsPro,IF($D398="","",ROUND(N($E398)*J398*(1-N($G398)),2)),"")</f>
        <v/>
      </c>
      <c r="L398" s="62" t="str">
        <f aca="false">IF(IsPro,IF($D398="","",IFERROR(INDEX(Items!$F$5:$F$504,Q398),0)),"")</f>
        <v/>
      </c>
      <c r="M398" s="61" t="str">
        <f aca="false">IF(IsPro,IF($D398="","",IF(AND(R398&lt;&gt;"",INDEX(Parties!$E$5:$E$304,R398)&lt;&gt;"",INDEX(Parties!$E$5:$E$304,R398)&lt;&gt;HomeState),0,ROUND(K398*L398/2,2))),"")</f>
        <v/>
      </c>
      <c r="N398" s="61" t="str">
        <f aca="false">IF(IsPro,IF($D398="","",M398),"")</f>
        <v/>
      </c>
      <c r="O398" s="61" t="str">
        <f aca="false">IF(IsPro,IF($D398="","",IF(AND(R398&lt;&gt;"",INDEX(Parties!$E$5:$E$304,R398)&lt;&gt;"",INDEX(Parties!$E$5:$E$304,R398)&lt;&gt;HomeState),ROUND(K398*L398,2),0)),"")</f>
        <v/>
      </c>
      <c r="P398" s="61" t="str">
        <f aca="false">IF(IsPro,IF($D398="","",K398+M398+N398+O398),"")</f>
        <v/>
      </c>
      <c r="Q398" s="60" t="str">
        <f aca="false">IF(IsPro,IF($D398="","",IFERROR(MATCH($D398,Items!$A$5:$A$504,0),"")),"")</f>
        <v/>
      </c>
      <c r="R398" s="60" t="str">
        <f aca="false">IF(IsPro,IF($C398="","",IFERROR(MATCH($C398,Parties!$A$5:$A$304,0),"")),"")</f>
        <v/>
      </c>
      <c r="S398" s="61" t="str">
        <f aca="false">IF(IsPro,IF($D398="","",IF(OR($H398="",$H398="Credit"),0,P398)),"")</f>
        <v/>
      </c>
    </row>
    <row r="399" customFormat="false" ht="15" hidden="false" customHeight="false" outlineLevel="0" collapsed="false">
      <c r="A399" s="55"/>
      <c r="B399" s="56"/>
      <c r="C399" s="56"/>
      <c r="D399" s="56"/>
      <c r="E399" s="57"/>
      <c r="F399" s="58"/>
      <c r="G399" s="59"/>
      <c r="H399" s="56"/>
      <c r="I399" s="60" t="str">
        <f aca="false">IF(IsPro,IF($D399="","",IFERROR(INDEX(Items!$D$5:$D$504,Q399),"")),IF($D399="","","PRO PLAN"))</f>
        <v/>
      </c>
      <c r="J399" s="61" t="str">
        <f aca="false">IF(IsPro,IF($D399="","",IF($F399="",IFERROR(INDEX(Items!$G$5:$G$504,Q399),0),$F399)),"")</f>
        <v/>
      </c>
      <c r="K399" s="61" t="str">
        <f aca="false">IF(IsPro,IF($D399="","",ROUND(N($E399)*J399*(1-N($G399)),2)),"")</f>
        <v/>
      </c>
      <c r="L399" s="62" t="str">
        <f aca="false">IF(IsPro,IF($D399="","",IFERROR(INDEX(Items!$F$5:$F$504,Q399),0)),"")</f>
        <v/>
      </c>
      <c r="M399" s="61" t="str">
        <f aca="false">IF(IsPro,IF($D399="","",IF(AND(R399&lt;&gt;"",INDEX(Parties!$E$5:$E$304,R399)&lt;&gt;"",INDEX(Parties!$E$5:$E$304,R399)&lt;&gt;HomeState),0,ROUND(K399*L399/2,2))),"")</f>
        <v/>
      </c>
      <c r="N399" s="61" t="str">
        <f aca="false">IF(IsPro,IF($D399="","",M399),"")</f>
        <v/>
      </c>
      <c r="O399" s="61" t="str">
        <f aca="false">IF(IsPro,IF($D399="","",IF(AND(R399&lt;&gt;"",INDEX(Parties!$E$5:$E$304,R399)&lt;&gt;"",INDEX(Parties!$E$5:$E$304,R399)&lt;&gt;HomeState),ROUND(K399*L399,2),0)),"")</f>
        <v/>
      </c>
      <c r="P399" s="61" t="str">
        <f aca="false">IF(IsPro,IF($D399="","",K399+M399+N399+O399),"")</f>
        <v/>
      </c>
      <c r="Q399" s="60" t="str">
        <f aca="false">IF(IsPro,IF($D399="","",IFERROR(MATCH($D399,Items!$A$5:$A$504,0),"")),"")</f>
        <v/>
      </c>
      <c r="R399" s="60" t="str">
        <f aca="false">IF(IsPro,IF($C399="","",IFERROR(MATCH($C399,Parties!$A$5:$A$304,0),"")),"")</f>
        <v/>
      </c>
      <c r="S399" s="61" t="str">
        <f aca="false">IF(IsPro,IF($D399="","",IF(OR($H399="",$H399="Credit"),0,P399)),"")</f>
        <v/>
      </c>
    </row>
    <row r="400" customFormat="false" ht="15" hidden="false" customHeight="false" outlineLevel="0" collapsed="false">
      <c r="A400" s="55"/>
      <c r="B400" s="56"/>
      <c r="C400" s="56"/>
      <c r="D400" s="56"/>
      <c r="E400" s="57"/>
      <c r="F400" s="58"/>
      <c r="G400" s="59"/>
      <c r="H400" s="56"/>
      <c r="I400" s="60" t="str">
        <f aca="false">IF(IsPro,IF($D400="","",IFERROR(INDEX(Items!$D$5:$D$504,Q400),"")),IF($D400="","","PRO PLAN"))</f>
        <v/>
      </c>
      <c r="J400" s="61" t="str">
        <f aca="false">IF(IsPro,IF($D400="","",IF($F400="",IFERROR(INDEX(Items!$G$5:$G$504,Q400),0),$F400)),"")</f>
        <v/>
      </c>
      <c r="K400" s="61" t="str">
        <f aca="false">IF(IsPro,IF($D400="","",ROUND(N($E400)*J400*(1-N($G400)),2)),"")</f>
        <v/>
      </c>
      <c r="L400" s="62" t="str">
        <f aca="false">IF(IsPro,IF($D400="","",IFERROR(INDEX(Items!$F$5:$F$504,Q400),0)),"")</f>
        <v/>
      </c>
      <c r="M400" s="61" t="str">
        <f aca="false">IF(IsPro,IF($D400="","",IF(AND(R400&lt;&gt;"",INDEX(Parties!$E$5:$E$304,R400)&lt;&gt;"",INDEX(Parties!$E$5:$E$304,R400)&lt;&gt;HomeState),0,ROUND(K400*L400/2,2))),"")</f>
        <v/>
      </c>
      <c r="N400" s="61" t="str">
        <f aca="false">IF(IsPro,IF($D400="","",M400),"")</f>
        <v/>
      </c>
      <c r="O400" s="61" t="str">
        <f aca="false">IF(IsPro,IF($D400="","",IF(AND(R400&lt;&gt;"",INDEX(Parties!$E$5:$E$304,R400)&lt;&gt;"",INDEX(Parties!$E$5:$E$304,R400)&lt;&gt;HomeState),ROUND(K400*L400,2),0)),"")</f>
        <v/>
      </c>
      <c r="P400" s="61" t="str">
        <f aca="false">IF(IsPro,IF($D400="","",K400+M400+N400+O400),"")</f>
        <v/>
      </c>
      <c r="Q400" s="60" t="str">
        <f aca="false">IF(IsPro,IF($D400="","",IFERROR(MATCH($D400,Items!$A$5:$A$504,0),"")),"")</f>
        <v/>
      </c>
      <c r="R400" s="60" t="str">
        <f aca="false">IF(IsPro,IF($C400="","",IFERROR(MATCH($C400,Parties!$A$5:$A$304,0),"")),"")</f>
        <v/>
      </c>
      <c r="S400" s="61" t="str">
        <f aca="false">IF(IsPro,IF($D400="","",IF(OR($H400="",$H400="Credit"),0,P400)),"")</f>
        <v/>
      </c>
    </row>
    <row r="401" customFormat="false" ht="15" hidden="false" customHeight="false" outlineLevel="0" collapsed="false">
      <c r="A401" s="55"/>
      <c r="B401" s="56"/>
      <c r="C401" s="56"/>
      <c r="D401" s="56"/>
      <c r="E401" s="57"/>
      <c r="F401" s="58"/>
      <c r="G401" s="59"/>
      <c r="H401" s="56"/>
      <c r="I401" s="60" t="str">
        <f aca="false">IF(IsPro,IF($D401="","",IFERROR(INDEX(Items!$D$5:$D$504,Q401),"")),IF($D401="","","PRO PLAN"))</f>
        <v/>
      </c>
      <c r="J401" s="61" t="str">
        <f aca="false">IF(IsPro,IF($D401="","",IF($F401="",IFERROR(INDEX(Items!$G$5:$G$504,Q401),0),$F401)),"")</f>
        <v/>
      </c>
      <c r="K401" s="61" t="str">
        <f aca="false">IF(IsPro,IF($D401="","",ROUND(N($E401)*J401*(1-N($G401)),2)),"")</f>
        <v/>
      </c>
      <c r="L401" s="62" t="str">
        <f aca="false">IF(IsPro,IF($D401="","",IFERROR(INDEX(Items!$F$5:$F$504,Q401),0)),"")</f>
        <v/>
      </c>
      <c r="M401" s="61" t="str">
        <f aca="false">IF(IsPro,IF($D401="","",IF(AND(R401&lt;&gt;"",INDEX(Parties!$E$5:$E$304,R401)&lt;&gt;"",INDEX(Parties!$E$5:$E$304,R401)&lt;&gt;HomeState),0,ROUND(K401*L401/2,2))),"")</f>
        <v/>
      </c>
      <c r="N401" s="61" t="str">
        <f aca="false">IF(IsPro,IF($D401="","",M401),"")</f>
        <v/>
      </c>
      <c r="O401" s="61" t="str">
        <f aca="false">IF(IsPro,IF($D401="","",IF(AND(R401&lt;&gt;"",INDEX(Parties!$E$5:$E$304,R401)&lt;&gt;"",INDEX(Parties!$E$5:$E$304,R401)&lt;&gt;HomeState),ROUND(K401*L401,2),0)),"")</f>
        <v/>
      </c>
      <c r="P401" s="61" t="str">
        <f aca="false">IF(IsPro,IF($D401="","",K401+M401+N401+O401),"")</f>
        <v/>
      </c>
      <c r="Q401" s="60" t="str">
        <f aca="false">IF(IsPro,IF($D401="","",IFERROR(MATCH($D401,Items!$A$5:$A$504,0),"")),"")</f>
        <v/>
      </c>
      <c r="R401" s="60" t="str">
        <f aca="false">IF(IsPro,IF($C401="","",IFERROR(MATCH($C401,Parties!$A$5:$A$304,0),"")),"")</f>
        <v/>
      </c>
      <c r="S401" s="61" t="str">
        <f aca="false">IF(IsPro,IF($D401="","",IF(OR($H401="",$H401="Credit"),0,P401)),"")</f>
        <v/>
      </c>
    </row>
    <row r="402" customFormat="false" ht="15" hidden="false" customHeight="false" outlineLevel="0" collapsed="false">
      <c r="A402" s="55"/>
      <c r="B402" s="56"/>
      <c r="C402" s="56"/>
      <c r="D402" s="56"/>
      <c r="E402" s="57"/>
      <c r="F402" s="58"/>
      <c r="G402" s="59"/>
      <c r="H402" s="56"/>
      <c r="I402" s="60" t="str">
        <f aca="false">IF(IsPro,IF($D402="","",IFERROR(INDEX(Items!$D$5:$D$504,Q402),"")),IF($D402="","","PRO PLAN"))</f>
        <v/>
      </c>
      <c r="J402" s="61" t="str">
        <f aca="false">IF(IsPro,IF($D402="","",IF($F402="",IFERROR(INDEX(Items!$G$5:$G$504,Q402),0),$F402)),"")</f>
        <v/>
      </c>
      <c r="K402" s="61" t="str">
        <f aca="false">IF(IsPro,IF($D402="","",ROUND(N($E402)*J402*(1-N($G402)),2)),"")</f>
        <v/>
      </c>
      <c r="L402" s="62" t="str">
        <f aca="false">IF(IsPro,IF($D402="","",IFERROR(INDEX(Items!$F$5:$F$504,Q402),0)),"")</f>
        <v/>
      </c>
      <c r="M402" s="61" t="str">
        <f aca="false">IF(IsPro,IF($D402="","",IF(AND(R402&lt;&gt;"",INDEX(Parties!$E$5:$E$304,R402)&lt;&gt;"",INDEX(Parties!$E$5:$E$304,R402)&lt;&gt;HomeState),0,ROUND(K402*L402/2,2))),"")</f>
        <v/>
      </c>
      <c r="N402" s="61" t="str">
        <f aca="false">IF(IsPro,IF($D402="","",M402),"")</f>
        <v/>
      </c>
      <c r="O402" s="61" t="str">
        <f aca="false">IF(IsPro,IF($D402="","",IF(AND(R402&lt;&gt;"",INDEX(Parties!$E$5:$E$304,R402)&lt;&gt;"",INDEX(Parties!$E$5:$E$304,R402)&lt;&gt;HomeState),ROUND(K402*L402,2),0)),"")</f>
        <v/>
      </c>
      <c r="P402" s="61" t="str">
        <f aca="false">IF(IsPro,IF($D402="","",K402+M402+N402+O402),"")</f>
        <v/>
      </c>
      <c r="Q402" s="60" t="str">
        <f aca="false">IF(IsPro,IF($D402="","",IFERROR(MATCH($D402,Items!$A$5:$A$504,0),"")),"")</f>
        <v/>
      </c>
      <c r="R402" s="60" t="str">
        <f aca="false">IF(IsPro,IF($C402="","",IFERROR(MATCH($C402,Parties!$A$5:$A$304,0),"")),"")</f>
        <v/>
      </c>
      <c r="S402" s="61" t="str">
        <f aca="false">IF(IsPro,IF($D402="","",IF(OR($H402="",$H402="Credit"),0,P402)),"")</f>
        <v/>
      </c>
    </row>
    <row r="403" customFormat="false" ht="15" hidden="false" customHeight="false" outlineLevel="0" collapsed="false">
      <c r="A403" s="55"/>
      <c r="B403" s="56"/>
      <c r="C403" s="56"/>
      <c r="D403" s="56"/>
      <c r="E403" s="57"/>
      <c r="F403" s="58"/>
      <c r="G403" s="59"/>
      <c r="H403" s="56"/>
      <c r="I403" s="60" t="str">
        <f aca="false">IF(IsPro,IF($D403="","",IFERROR(INDEX(Items!$D$5:$D$504,Q403),"")),IF($D403="","","PRO PLAN"))</f>
        <v/>
      </c>
      <c r="J403" s="61" t="str">
        <f aca="false">IF(IsPro,IF($D403="","",IF($F403="",IFERROR(INDEX(Items!$G$5:$G$504,Q403),0),$F403)),"")</f>
        <v/>
      </c>
      <c r="K403" s="61" t="str">
        <f aca="false">IF(IsPro,IF($D403="","",ROUND(N($E403)*J403*(1-N($G403)),2)),"")</f>
        <v/>
      </c>
      <c r="L403" s="62" t="str">
        <f aca="false">IF(IsPro,IF($D403="","",IFERROR(INDEX(Items!$F$5:$F$504,Q403),0)),"")</f>
        <v/>
      </c>
      <c r="M403" s="61" t="str">
        <f aca="false">IF(IsPro,IF($D403="","",IF(AND(R403&lt;&gt;"",INDEX(Parties!$E$5:$E$304,R403)&lt;&gt;"",INDEX(Parties!$E$5:$E$304,R403)&lt;&gt;HomeState),0,ROUND(K403*L403/2,2))),"")</f>
        <v/>
      </c>
      <c r="N403" s="61" t="str">
        <f aca="false">IF(IsPro,IF($D403="","",M403),"")</f>
        <v/>
      </c>
      <c r="O403" s="61" t="str">
        <f aca="false">IF(IsPro,IF($D403="","",IF(AND(R403&lt;&gt;"",INDEX(Parties!$E$5:$E$304,R403)&lt;&gt;"",INDEX(Parties!$E$5:$E$304,R403)&lt;&gt;HomeState),ROUND(K403*L403,2),0)),"")</f>
        <v/>
      </c>
      <c r="P403" s="61" t="str">
        <f aca="false">IF(IsPro,IF($D403="","",K403+M403+N403+O403),"")</f>
        <v/>
      </c>
      <c r="Q403" s="60" t="str">
        <f aca="false">IF(IsPro,IF($D403="","",IFERROR(MATCH($D403,Items!$A$5:$A$504,0),"")),"")</f>
        <v/>
      </c>
      <c r="R403" s="60" t="str">
        <f aca="false">IF(IsPro,IF($C403="","",IFERROR(MATCH($C403,Parties!$A$5:$A$304,0),"")),"")</f>
        <v/>
      </c>
      <c r="S403" s="61" t="str">
        <f aca="false">IF(IsPro,IF($D403="","",IF(OR($H403="",$H403="Credit"),0,P403)),"")</f>
        <v/>
      </c>
    </row>
    <row r="404" customFormat="false" ht="15" hidden="false" customHeight="false" outlineLevel="0" collapsed="false">
      <c r="A404" s="55"/>
      <c r="B404" s="56"/>
      <c r="C404" s="56"/>
      <c r="D404" s="56"/>
      <c r="E404" s="57"/>
      <c r="F404" s="58"/>
      <c r="G404" s="59"/>
      <c r="H404" s="56"/>
      <c r="I404" s="60" t="str">
        <f aca="false">IF(IsPro,IF($D404="","",IFERROR(INDEX(Items!$D$5:$D$504,Q404),"")),IF($D404="","","PRO PLAN"))</f>
        <v/>
      </c>
      <c r="J404" s="61" t="str">
        <f aca="false">IF(IsPro,IF($D404="","",IF($F404="",IFERROR(INDEX(Items!$G$5:$G$504,Q404),0),$F404)),"")</f>
        <v/>
      </c>
      <c r="K404" s="61" t="str">
        <f aca="false">IF(IsPro,IF($D404="","",ROUND(N($E404)*J404*(1-N($G404)),2)),"")</f>
        <v/>
      </c>
      <c r="L404" s="62" t="str">
        <f aca="false">IF(IsPro,IF($D404="","",IFERROR(INDEX(Items!$F$5:$F$504,Q404),0)),"")</f>
        <v/>
      </c>
      <c r="M404" s="61" t="str">
        <f aca="false">IF(IsPro,IF($D404="","",IF(AND(R404&lt;&gt;"",INDEX(Parties!$E$5:$E$304,R404)&lt;&gt;"",INDEX(Parties!$E$5:$E$304,R404)&lt;&gt;HomeState),0,ROUND(K404*L404/2,2))),"")</f>
        <v/>
      </c>
      <c r="N404" s="61" t="str">
        <f aca="false">IF(IsPro,IF($D404="","",M404),"")</f>
        <v/>
      </c>
      <c r="O404" s="61" t="str">
        <f aca="false">IF(IsPro,IF($D404="","",IF(AND(R404&lt;&gt;"",INDEX(Parties!$E$5:$E$304,R404)&lt;&gt;"",INDEX(Parties!$E$5:$E$304,R404)&lt;&gt;HomeState),ROUND(K404*L404,2),0)),"")</f>
        <v/>
      </c>
      <c r="P404" s="61" t="str">
        <f aca="false">IF(IsPro,IF($D404="","",K404+M404+N404+O404),"")</f>
        <v/>
      </c>
      <c r="Q404" s="60" t="str">
        <f aca="false">IF(IsPro,IF($D404="","",IFERROR(MATCH($D404,Items!$A$5:$A$504,0),"")),"")</f>
        <v/>
      </c>
      <c r="R404" s="60" t="str">
        <f aca="false">IF(IsPro,IF($C404="","",IFERROR(MATCH($C404,Parties!$A$5:$A$304,0),"")),"")</f>
        <v/>
      </c>
      <c r="S404" s="61" t="str">
        <f aca="false">IF(IsPro,IF($D404="","",IF(OR($H404="",$H404="Credit"),0,P404)),"")</f>
        <v/>
      </c>
    </row>
    <row r="405" customFormat="false" ht="15" hidden="false" customHeight="false" outlineLevel="0" collapsed="false">
      <c r="A405" s="55"/>
      <c r="B405" s="56"/>
      <c r="C405" s="56"/>
      <c r="D405" s="56"/>
      <c r="E405" s="57"/>
      <c r="F405" s="58"/>
      <c r="G405" s="59"/>
      <c r="H405" s="56"/>
      <c r="I405" s="60" t="str">
        <f aca="false">IF(IsPro,IF($D405="","",IFERROR(INDEX(Items!$D$5:$D$504,Q405),"")),IF($D405="","","PRO PLAN"))</f>
        <v/>
      </c>
      <c r="J405" s="61" t="str">
        <f aca="false">IF(IsPro,IF($D405="","",IF($F405="",IFERROR(INDEX(Items!$G$5:$G$504,Q405),0),$F405)),"")</f>
        <v/>
      </c>
      <c r="K405" s="61" t="str">
        <f aca="false">IF(IsPro,IF($D405="","",ROUND(N($E405)*J405*(1-N($G405)),2)),"")</f>
        <v/>
      </c>
      <c r="L405" s="62" t="str">
        <f aca="false">IF(IsPro,IF($D405="","",IFERROR(INDEX(Items!$F$5:$F$504,Q405),0)),"")</f>
        <v/>
      </c>
      <c r="M405" s="61" t="str">
        <f aca="false">IF(IsPro,IF($D405="","",IF(AND(R405&lt;&gt;"",INDEX(Parties!$E$5:$E$304,R405)&lt;&gt;"",INDEX(Parties!$E$5:$E$304,R405)&lt;&gt;HomeState),0,ROUND(K405*L405/2,2))),"")</f>
        <v/>
      </c>
      <c r="N405" s="61" t="str">
        <f aca="false">IF(IsPro,IF($D405="","",M405),"")</f>
        <v/>
      </c>
      <c r="O405" s="61" t="str">
        <f aca="false">IF(IsPro,IF($D405="","",IF(AND(R405&lt;&gt;"",INDEX(Parties!$E$5:$E$304,R405)&lt;&gt;"",INDEX(Parties!$E$5:$E$304,R405)&lt;&gt;HomeState),ROUND(K405*L405,2),0)),"")</f>
        <v/>
      </c>
      <c r="P405" s="61" t="str">
        <f aca="false">IF(IsPro,IF($D405="","",K405+M405+N405+O405),"")</f>
        <v/>
      </c>
      <c r="Q405" s="60" t="str">
        <f aca="false">IF(IsPro,IF($D405="","",IFERROR(MATCH($D405,Items!$A$5:$A$504,0),"")),"")</f>
        <v/>
      </c>
      <c r="R405" s="60" t="str">
        <f aca="false">IF(IsPro,IF($C405="","",IFERROR(MATCH($C405,Parties!$A$5:$A$304,0),"")),"")</f>
        <v/>
      </c>
      <c r="S405" s="61" t="str">
        <f aca="false">IF(IsPro,IF($D405="","",IF(OR($H405="",$H405="Credit"),0,P405)),"")</f>
        <v/>
      </c>
    </row>
    <row r="406" customFormat="false" ht="15" hidden="false" customHeight="false" outlineLevel="0" collapsed="false">
      <c r="A406" s="55"/>
      <c r="B406" s="56"/>
      <c r="C406" s="56"/>
      <c r="D406" s="56"/>
      <c r="E406" s="57"/>
      <c r="F406" s="58"/>
      <c r="G406" s="59"/>
      <c r="H406" s="56"/>
      <c r="I406" s="60" t="str">
        <f aca="false">IF(IsPro,IF($D406="","",IFERROR(INDEX(Items!$D$5:$D$504,Q406),"")),IF($D406="","","PRO PLAN"))</f>
        <v/>
      </c>
      <c r="J406" s="61" t="str">
        <f aca="false">IF(IsPro,IF($D406="","",IF($F406="",IFERROR(INDEX(Items!$G$5:$G$504,Q406),0),$F406)),"")</f>
        <v/>
      </c>
      <c r="K406" s="61" t="str">
        <f aca="false">IF(IsPro,IF($D406="","",ROUND(N($E406)*J406*(1-N($G406)),2)),"")</f>
        <v/>
      </c>
      <c r="L406" s="62" t="str">
        <f aca="false">IF(IsPro,IF($D406="","",IFERROR(INDEX(Items!$F$5:$F$504,Q406),0)),"")</f>
        <v/>
      </c>
      <c r="M406" s="61" t="str">
        <f aca="false">IF(IsPro,IF($D406="","",IF(AND(R406&lt;&gt;"",INDEX(Parties!$E$5:$E$304,R406)&lt;&gt;"",INDEX(Parties!$E$5:$E$304,R406)&lt;&gt;HomeState),0,ROUND(K406*L406/2,2))),"")</f>
        <v/>
      </c>
      <c r="N406" s="61" t="str">
        <f aca="false">IF(IsPro,IF($D406="","",M406),"")</f>
        <v/>
      </c>
      <c r="O406" s="61" t="str">
        <f aca="false">IF(IsPro,IF($D406="","",IF(AND(R406&lt;&gt;"",INDEX(Parties!$E$5:$E$304,R406)&lt;&gt;"",INDEX(Parties!$E$5:$E$304,R406)&lt;&gt;HomeState),ROUND(K406*L406,2),0)),"")</f>
        <v/>
      </c>
      <c r="P406" s="61" t="str">
        <f aca="false">IF(IsPro,IF($D406="","",K406+M406+N406+O406),"")</f>
        <v/>
      </c>
      <c r="Q406" s="60" t="str">
        <f aca="false">IF(IsPro,IF($D406="","",IFERROR(MATCH($D406,Items!$A$5:$A$504,0),"")),"")</f>
        <v/>
      </c>
      <c r="R406" s="60" t="str">
        <f aca="false">IF(IsPro,IF($C406="","",IFERROR(MATCH($C406,Parties!$A$5:$A$304,0),"")),"")</f>
        <v/>
      </c>
      <c r="S406" s="61" t="str">
        <f aca="false">IF(IsPro,IF($D406="","",IF(OR($H406="",$H406="Credit"),0,P406)),"")</f>
        <v/>
      </c>
    </row>
    <row r="407" customFormat="false" ht="15" hidden="false" customHeight="false" outlineLevel="0" collapsed="false">
      <c r="A407" s="55"/>
      <c r="B407" s="56"/>
      <c r="C407" s="56"/>
      <c r="D407" s="56"/>
      <c r="E407" s="57"/>
      <c r="F407" s="58"/>
      <c r="G407" s="59"/>
      <c r="H407" s="56"/>
      <c r="I407" s="60" t="str">
        <f aca="false">IF(IsPro,IF($D407="","",IFERROR(INDEX(Items!$D$5:$D$504,Q407),"")),IF($D407="","","PRO PLAN"))</f>
        <v/>
      </c>
      <c r="J407" s="61" t="str">
        <f aca="false">IF(IsPro,IF($D407="","",IF($F407="",IFERROR(INDEX(Items!$G$5:$G$504,Q407),0),$F407)),"")</f>
        <v/>
      </c>
      <c r="K407" s="61" t="str">
        <f aca="false">IF(IsPro,IF($D407="","",ROUND(N($E407)*J407*(1-N($G407)),2)),"")</f>
        <v/>
      </c>
      <c r="L407" s="62" t="str">
        <f aca="false">IF(IsPro,IF($D407="","",IFERROR(INDEX(Items!$F$5:$F$504,Q407),0)),"")</f>
        <v/>
      </c>
      <c r="M407" s="61" t="str">
        <f aca="false">IF(IsPro,IF($D407="","",IF(AND(R407&lt;&gt;"",INDEX(Parties!$E$5:$E$304,R407)&lt;&gt;"",INDEX(Parties!$E$5:$E$304,R407)&lt;&gt;HomeState),0,ROUND(K407*L407/2,2))),"")</f>
        <v/>
      </c>
      <c r="N407" s="61" t="str">
        <f aca="false">IF(IsPro,IF($D407="","",M407),"")</f>
        <v/>
      </c>
      <c r="O407" s="61" t="str">
        <f aca="false">IF(IsPro,IF($D407="","",IF(AND(R407&lt;&gt;"",INDEX(Parties!$E$5:$E$304,R407)&lt;&gt;"",INDEX(Parties!$E$5:$E$304,R407)&lt;&gt;HomeState),ROUND(K407*L407,2),0)),"")</f>
        <v/>
      </c>
      <c r="P407" s="61" t="str">
        <f aca="false">IF(IsPro,IF($D407="","",K407+M407+N407+O407),"")</f>
        <v/>
      </c>
      <c r="Q407" s="60" t="str">
        <f aca="false">IF(IsPro,IF($D407="","",IFERROR(MATCH($D407,Items!$A$5:$A$504,0),"")),"")</f>
        <v/>
      </c>
      <c r="R407" s="60" t="str">
        <f aca="false">IF(IsPro,IF($C407="","",IFERROR(MATCH($C407,Parties!$A$5:$A$304,0),"")),"")</f>
        <v/>
      </c>
      <c r="S407" s="61" t="str">
        <f aca="false">IF(IsPro,IF($D407="","",IF(OR($H407="",$H407="Credit"),0,P407)),"")</f>
        <v/>
      </c>
    </row>
    <row r="408" customFormat="false" ht="15" hidden="false" customHeight="false" outlineLevel="0" collapsed="false">
      <c r="A408" s="55"/>
      <c r="B408" s="56"/>
      <c r="C408" s="56"/>
      <c r="D408" s="56"/>
      <c r="E408" s="57"/>
      <c r="F408" s="58"/>
      <c r="G408" s="59"/>
      <c r="H408" s="56"/>
      <c r="I408" s="60" t="str">
        <f aca="false">IF(IsPro,IF($D408="","",IFERROR(INDEX(Items!$D$5:$D$504,Q408),"")),IF($D408="","","PRO PLAN"))</f>
        <v/>
      </c>
      <c r="J408" s="61" t="str">
        <f aca="false">IF(IsPro,IF($D408="","",IF($F408="",IFERROR(INDEX(Items!$G$5:$G$504,Q408),0),$F408)),"")</f>
        <v/>
      </c>
      <c r="K408" s="61" t="str">
        <f aca="false">IF(IsPro,IF($D408="","",ROUND(N($E408)*J408*(1-N($G408)),2)),"")</f>
        <v/>
      </c>
      <c r="L408" s="62" t="str">
        <f aca="false">IF(IsPro,IF($D408="","",IFERROR(INDEX(Items!$F$5:$F$504,Q408),0)),"")</f>
        <v/>
      </c>
      <c r="M408" s="61" t="str">
        <f aca="false">IF(IsPro,IF($D408="","",IF(AND(R408&lt;&gt;"",INDEX(Parties!$E$5:$E$304,R408)&lt;&gt;"",INDEX(Parties!$E$5:$E$304,R408)&lt;&gt;HomeState),0,ROUND(K408*L408/2,2))),"")</f>
        <v/>
      </c>
      <c r="N408" s="61" t="str">
        <f aca="false">IF(IsPro,IF($D408="","",M408),"")</f>
        <v/>
      </c>
      <c r="O408" s="61" t="str">
        <f aca="false">IF(IsPro,IF($D408="","",IF(AND(R408&lt;&gt;"",INDEX(Parties!$E$5:$E$304,R408)&lt;&gt;"",INDEX(Parties!$E$5:$E$304,R408)&lt;&gt;HomeState),ROUND(K408*L408,2),0)),"")</f>
        <v/>
      </c>
      <c r="P408" s="61" t="str">
        <f aca="false">IF(IsPro,IF($D408="","",K408+M408+N408+O408),"")</f>
        <v/>
      </c>
      <c r="Q408" s="60" t="str">
        <f aca="false">IF(IsPro,IF($D408="","",IFERROR(MATCH($D408,Items!$A$5:$A$504,0),"")),"")</f>
        <v/>
      </c>
      <c r="R408" s="60" t="str">
        <f aca="false">IF(IsPro,IF($C408="","",IFERROR(MATCH($C408,Parties!$A$5:$A$304,0),"")),"")</f>
        <v/>
      </c>
      <c r="S408" s="61" t="str">
        <f aca="false">IF(IsPro,IF($D408="","",IF(OR($H408="",$H408="Credit"),0,P408)),"")</f>
        <v/>
      </c>
    </row>
    <row r="409" customFormat="false" ht="15" hidden="false" customHeight="false" outlineLevel="0" collapsed="false">
      <c r="A409" s="55"/>
      <c r="B409" s="56"/>
      <c r="C409" s="56"/>
      <c r="D409" s="56"/>
      <c r="E409" s="57"/>
      <c r="F409" s="58"/>
      <c r="G409" s="59"/>
      <c r="H409" s="56"/>
      <c r="I409" s="60" t="str">
        <f aca="false">IF(IsPro,IF($D409="","",IFERROR(INDEX(Items!$D$5:$D$504,Q409),"")),IF($D409="","","PRO PLAN"))</f>
        <v/>
      </c>
      <c r="J409" s="61" t="str">
        <f aca="false">IF(IsPro,IF($D409="","",IF($F409="",IFERROR(INDEX(Items!$G$5:$G$504,Q409),0),$F409)),"")</f>
        <v/>
      </c>
      <c r="K409" s="61" t="str">
        <f aca="false">IF(IsPro,IF($D409="","",ROUND(N($E409)*J409*(1-N($G409)),2)),"")</f>
        <v/>
      </c>
      <c r="L409" s="62" t="str">
        <f aca="false">IF(IsPro,IF($D409="","",IFERROR(INDEX(Items!$F$5:$F$504,Q409),0)),"")</f>
        <v/>
      </c>
      <c r="M409" s="61" t="str">
        <f aca="false">IF(IsPro,IF($D409="","",IF(AND(R409&lt;&gt;"",INDEX(Parties!$E$5:$E$304,R409)&lt;&gt;"",INDEX(Parties!$E$5:$E$304,R409)&lt;&gt;HomeState),0,ROUND(K409*L409/2,2))),"")</f>
        <v/>
      </c>
      <c r="N409" s="61" t="str">
        <f aca="false">IF(IsPro,IF($D409="","",M409),"")</f>
        <v/>
      </c>
      <c r="O409" s="61" t="str">
        <f aca="false">IF(IsPro,IF($D409="","",IF(AND(R409&lt;&gt;"",INDEX(Parties!$E$5:$E$304,R409)&lt;&gt;"",INDEX(Parties!$E$5:$E$304,R409)&lt;&gt;HomeState),ROUND(K409*L409,2),0)),"")</f>
        <v/>
      </c>
      <c r="P409" s="61" t="str">
        <f aca="false">IF(IsPro,IF($D409="","",K409+M409+N409+O409),"")</f>
        <v/>
      </c>
      <c r="Q409" s="60" t="str">
        <f aca="false">IF(IsPro,IF($D409="","",IFERROR(MATCH($D409,Items!$A$5:$A$504,0),"")),"")</f>
        <v/>
      </c>
      <c r="R409" s="60" t="str">
        <f aca="false">IF(IsPro,IF($C409="","",IFERROR(MATCH($C409,Parties!$A$5:$A$304,0),"")),"")</f>
        <v/>
      </c>
      <c r="S409" s="61" t="str">
        <f aca="false">IF(IsPro,IF($D409="","",IF(OR($H409="",$H409="Credit"),0,P409)),"")</f>
        <v/>
      </c>
    </row>
    <row r="410" customFormat="false" ht="15" hidden="false" customHeight="false" outlineLevel="0" collapsed="false">
      <c r="A410" s="55"/>
      <c r="B410" s="56"/>
      <c r="C410" s="56"/>
      <c r="D410" s="56"/>
      <c r="E410" s="57"/>
      <c r="F410" s="58"/>
      <c r="G410" s="59"/>
      <c r="H410" s="56"/>
      <c r="I410" s="60" t="str">
        <f aca="false">IF(IsPro,IF($D410="","",IFERROR(INDEX(Items!$D$5:$D$504,Q410),"")),IF($D410="","","PRO PLAN"))</f>
        <v/>
      </c>
      <c r="J410" s="61" t="str">
        <f aca="false">IF(IsPro,IF($D410="","",IF($F410="",IFERROR(INDEX(Items!$G$5:$G$504,Q410),0),$F410)),"")</f>
        <v/>
      </c>
      <c r="K410" s="61" t="str">
        <f aca="false">IF(IsPro,IF($D410="","",ROUND(N($E410)*J410*(1-N($G410)),2)),"")</f>
        <v/>
      </c>
      <c r="L410" s="62" t="str">
        <f aca="false">IF(IsPro,IF($D410="","",IFERROR(INDEX(Items!$F$5:$F$504,Q410),0)),"")</f>
        <v/>
      </c>
      <c r="M410" s="61" t="str">
        <f aca="false">IF(IsPro,IF($D410="","",IF(AND(R410&lt;&gt;"",INDEX(Parties!$E$5:$E$304,R410)&lt;&gt;"",INDEX(Parties!$E$5:$E$304,R410)&lt;&gt;HomeState),0,ROUND(K410*L410/2,2))),"")</f>
        <v/>
      </c>
      <c r="N410" s="61" t="str">
        <f aca="false">IF(IsPro,IF($D410="","",M410),"")</f>
        <v/>
      </c>
      <c r="O410" s="61" t="str">
        <f aca="false">IF(IsPro,IF($D410="","",IF(AND(R410&lt;&gt;"",INDEX(Parties!$E$5:$E$304,R410)&lt;&gt;"",INDEX(Parties!$E$5:$E$304,R410)&lt;&gt;HomeState),ROUND(K410*L410,2),0)),"")</f>
        <v/>
      </c>
      <c r="P410" s="61" t="str">
        <f aca="false">IF(IsPro,IF($D410="","",K410+M410+N410+O410),"")</f>
        <v/>
      </c>
      <c r="Q410" s="60" t="str">
        <f aca="false">IF(IsPro,IF($D410="","",IFERROR(MATCH($D410,Items!$A$5:$A$504,0),"")),"")</f>
        <v/>
      </c>
      <c r="R410" s="60" t="str">
        <f aca="false">IF(IsPro,IF($C410="","",IFERROR(MATCH($C410,Parties!$A$5:$A$304,0),"")),"")</f>
        <v/>
      </c>
      <c r="S410" s="61" t="str">
        <f aca="false">IF(IsPro,IF($D410="","",IF(OR($H410="",$H410="Credit"),0,P410)),"")</f>
        <v/>
      </c>
    </row>
    <row r="411" customFormat="false" ht="15" hidden="false" customHeight="false" outlineLevel="0" collapsed="false">
      <c r="A411" s="55"/>
      <c r="B411" s="56"/>
      <c r="C411" s="56"/>
      <c r="D411" s="56"/>
      <c r="E411" s="57"/>
      <c r="F411" s="58"/>
      <c r="G411" s="59"/>
      <c r="H411" s="56"/>
      <c r="I411" s="60" t="str">
        <f aca="false">IF(IsPro,IF($D411="","",IFERROR(INDEX(Items!$D$5:$D$504,Q411),"")),IF($D411="","","PRO PLAN"))</f>
        <v/>
      </c>
      <c r="J411" s="61" t="str">
        <f aca="false">IF(IsPro,IF($D411="","",IF($F411="",IFERROR(INDEX(Items!$G$5:$G$504,Q411),0),$F411)),"")</f>
        <v/>
      </c>
      <c r="K411" s="61" t="str">
        <f aca="false">IF(IsPro,IF($D411="","",ROUND(N($E411)*J411*(1-N($G411)),2)),"")</f>
        <v/>
      </c>
      <c r="L411" s="62" t="str">
        <f aca="false">IF(IsPro,IF($D411="","",IFERROR(INDEX(Items!$F$5:$F$504,Q411),0)),"")</f>
        <v/>
      </c>
      <c r="M411" s="61" t="str">
        <f aca="false">IF(IsPro,IF($D411="","",IF(AND(R411&lt;&gt;"",INDEX(Parties!$E$5:$E$304,R411)&lt;&gt;"",INDEX(Parties!$E$5:$E$304,R411)&lt;&gt;HomeState),0,ROUND(K411*L411/2,2))),"")</f>
        <v/>
      </c>
      <c r="N411" s="61" t="str">
        <f aca="false">IF(IsPro,IF($D411="","",M411),"")</f>
        <v/>
      </c>
      <c r="O411" s="61" t="str">
        <f aca="false">IF(IsPro,IF($D411="","",IF(AND(R411&lt;&gt;"",INDEX(Parties!$E$5:$E$304,R411)&lt;&gt;"",INDEX(Parties!$E$5:$E$304,R411)&lt;&gt;HomeState),ROUND(K411*L411,2),0)),"")</f>
        <v/>
      </c>
      <c r="P411" s="61" t="str">
        <f aca="false">IF(IsPro,IF($D411="","",K411+M411+N411+O411),"")</f>
        <v/>
      </c>
      <c r="Q411" s="60" t="str">
        <f aca="false">IF(IsPro,IF($D411="","",IFERROR(MATCH($D411,Items!$A$5:$A$504,0),"")),"")</f>
        <v/>
      </c>
      <c r="R411" s="60" t="str">
        <f aca="false">IF(IsPro,IF($C411="","",IFERROR(MATCH($C411,Parties!$A$5:$A$304,0),"")),"")</f>
        <v/>
      </c>
      <c r="S411" s="61" t="str">
        <f aca="false">IF(IsPro,IF($D411="","",IF(OR($H411="",$H411="Credit"),0,P411)),"")</f>
        <v/>
      </c>
    </row>
    <row r="412" customFormat="false" ht="15" hidden="false" customHeight="false" outlineLevel="0" collapsed="false">
      <c r="A412" s="55"/>
      <c r="B412" s="56"/>
      <c r="C412" s="56"/>
      <c r="D412" s="56"/>
      <c r="E412" s="57"/>
      <c r="F412" s="58"/>
      <c r="G412" s="59"/>
      <c r="H412" s="56"/>
      <c r="I412" s="60" t="str">
        <f aca="false">IF(IsPro,IF($D412="","",IFERROR(INDEX(Items!$D$5:$D$504,Q412),"")),IF($D412="","","PRO PLAN"))</f>
        <v/>
      </c>
      <c r="J412" s="61" t="str">
        <f aca="false">IF(IsPro,IF($D412="","",IF($F412="",IFERROR(INDEX(Items!$G$5:$G$504,Q412),0),$F412)),"")</f>
        <v/>
      </c>
      <c r="K412" s="61" t="str">
        <f aca="false">IF(IsPro,IF($D412="","",ROUND(N($E412)*J412*(1-N($G412)),2)),"")</f>
        <v/>
      </c>
      <c r="L412" s="62" t="str">
        <f aca="false">IF(IsPro,IF($D412="","",IFERROR(INDEX(Items!$F$5:$F$504,Q412),0)),"")</f>
        <v/>
      </c>
      <c r="M412" s="61" t="str">
        <f aca="false">IF(IsPro,IF($D412="","",IF(AND(R412&lt;&gt;"",INDEX(Parties!$E$5:$E$304,R412)&lt;&gt;"",INDEX(Parties!$E$5:$E$304,R412)&lt;&gt;HomeState),0,ROUND(K412*L412/2,2))),"")</f>
        <v/>
      </c>
      <c r="N412" s="61" t="str">
        <f aca="false">IF(IsPro,IF($D412="","",M412),"")</f>
        <v/>
      </c>
      <c r="O412" s="61" t="str">
        <f aca="false">IF(IsPro,IF($D412="","",IF(AND(R412&lt;&gt;"",INDEX(Parties!$E$5:$E$304,R412)&lt;&gt;"",INDEX(Parties!$E$5:$E$304,R412)&lt;&gt;HomeState),ROUND(K412*L412,2),0)),"")</f>
        <v/>
      </c>
      <c r="P412" s="61" t="str">
        <f aca="false">IF(IsPro,IF($D412="","",K412+M412+N412+O412),"")</f>
        <v/>
      </c>
      <c r="Q412" s="60" t="str">
        <f aca="false">IF(IsPro,IF($D412="","",IFERROR(MATCH($D412,Items!$A$5:$A$504,0),"")),"")</f>
        <v/>
      </c>
      <c r="R412" s="60" t="str">
        <f aca="false">IF(IsPro,IF($C412="","",IFERROR(MATCH($C412,Parties!$A$5:$A$304,0),"")),"")</f>
        <v/>
      </c>
      <c r="S412" s="61" t="str">
        <f aca="false">IF(IsPro,IF($D412="","",IF(OR($H412="",$H412="Credit"),0,P412)),"")</f>
        <v/>
      </c>
    </row>
    <row r="413" customFormat="false" ht="15" hidden="false" customHeight="false" outlineLevel="0" collapsed="false">
      <c r="A413" s="55"/>
      <c r="B413" s="56"/>
      <c r="C413" s="56"/>
      <c r="D413" s="56"/>
      <c r="E413" s="57"/>
      <c r="F413" s="58"/>
      <c r="G413" s="59"/>
      <c r="H413" s="56"/>
      <c r="I413" s="60" t="str">
        <f aca="false">IF(IsPro,IF($D413="","",IFERROR(INDEX(Items!$D$5:$D$504,Q413),"")),IF($D413="","","PRO PLAN"))</f>
        <v/>
      </c>
      <c r="J413" s="61" t="str">
        <f aca="false">IF(IsPro,IF($D413="","",IF($F413="",IFERROR(INDEX(Items!$G$5:$G$504,Q413),0),$F413)),"")</f>
        <v/>
      </c>
      <c r="K413" s="61" t="str">
        <f aca="false">IF(IsPro,IF($D413="","",ROUND(N($E413)*J413*(1-N($G413)),2)),"")</f>
        <v/>
      </c>
      <c r="L413" s="62" t="str">
        <f aca="false">IF(IsPro,IF($D413="","",IFERROR(INDEX(Items!$F$5:$F$504,Q413),0)),"")</f>
        <v/>
      </c>
      <c r="M413" s="61" t="str">
        <f aca="false">IF(IsPro,IF($D413="","",IF(AND(R413&lt;&gt;"",INDEX(Parties!$E$5:$E$304,R413)&lt;&gt;"",INDEX(Parties!$E$5:$E$304,R413)&lt;&gt;HomeState),0,ROUND(K413*L413/2,2))),"")</f>
        <v/>
      </c>
      <c r="N413" s="61" t="str">
        <f aca="false">IF(IsPro,IF($D413="","",M413),"")</f>
        <v/>
      </c>
      <c r="O413" s="61" t="str">
        <f aca="false">IF(IsPro,IF($D413="","",IF(AND(R413&lt;&gt;"",INDEX(Parties!$E$5:$E$304,R413)&lt;&gt;"",INDEX(Parties!$E$5:$E$304,R413)&lt;&gt;HomeState),ROUND(K413*L413,2),0)),"")</f>
        <v/>
      </c>
      <c r="P413" s="61" t="str">
        <f aca="false">IF(IsPro,IF($D413="","",K413+M413+N413+O413),"")</f>
        <v/>
      </c>
      <c r="Q413" s="60" t="str">
        <f aca="false">IF(IsPro,IF($D413="","",IFERROR(MATCH($D413,Items!$A$5:$A$504,0),"")),"")</f>
        <v/>
      </c>
      <c r="R413" s="60" t="str">
        <f aca="false">IF(IsPro,IF($C413="","",IFERROR(MATCH($C413,Parties!$A$5:$A$304,0),"")),"")</f>
        <v/>
      </c>
      <c r="S413" s="61" t="str">
        <f aca="false">IF(IsPro,IF($D413="","",IF(OR($H413="",$H413="Credit"),0,P413)),"")</f>
        <v/>
      </c>
    </row>
    <row r="414" customFormat="false" ht="15" hidden="false" customHeight="false" outlineLevel="0" collapsed="false">
      <c r="A414" s="55"/>
      <c r="B414" s="56"/>
      <c r="C414" s="56"/>
      <c r="D414" s="56"/>
      <c r="E414" s="57"/>
      <c r="F414" s="58"/>
      <c r="G414" s="59"/>
      <c r="H414" s="56"/>
      <c r="I414" s="60" t="str">
        <f aca="false">IF(IsPro,IF($D414="","",IFERROR(INDEX(Items!$D$5:$D$504,Q414),"")),IF($D414="","","PRO PLAN"))</f>
        <v/>
      </c>
      <c r="J414" s="61" t="str">
        <f aca="false">IF(IsPro,IF($D414="","",IF($F414="",IFERROR(INDEX(Items!$G$5:$G$504,Q414),0),$F414)),"")</f>
        <v/>
      </c>
      <c r="K414" s="61" t="str">
        <f aca="false">IF(IsPro,IF($D414="","",ROUND(N($E414)*J414*(1-N($G414)),2)),"")</f>
        <v/>
      </c>
      <c r="L414" s="62" t="str">
        <f aca="false">IF(IsPro,IF($D414="","",IFERROR(INDEX(Items!$F$5:$F$504,Q414),0)),"")</f>
        <v/>
      </c>
      <c r="M414" s="61" t="str">
        <f aca="false">IF(IsPro,IF($D414="","",IF(AND(R414&lt;&gt;"",INDEX(Parties!$E$5:$E$304,R414)&lt;&gt;"",INDEX(Parties!$E$5:$E$304,R414)&lt;&gt;HomeState),0,ROUND(K414*L414/2,2))),"")</f>
        <v/>
      </c>
      <c r="N414" s="61" t="str">
        <f aca="false">IF(IsPro,IF($D414="","",M414),"")</f>
        <v/>
      </c>
      <c r="O414" s="61" t="str">
        <f aca="false">IF(IsPro,IF($D414="","",IF(AND(R414&lt;&gt;"",INDEX(Parties!$E$5:$E$304,R414)&lt;&gt;"",INDEX(Parties!$E$5:$E$304,R414)&lt;&gt;HomeState),ROUND(K414*L414,2),0)),"")</f>
        <v/>
      </c>
      <c r="P414" s="61" t="str">
        <f aca="false">IF(IsPro,IF($D414="","",K414+M414+N414+O414),"")</f>
        <v/>
      </c>
      <c r="Q414" s="60" t="str">
        <f aca="false">IF(IsPro,IF($D414="","",IFERROR(MATCH($D414,Items!$A$5:$A$504,0),"")),"")</f>
        <v/>
      </c>
      <c r="R414" s="60" t="str">
        <f aca="false">IF(IsPro,IF($C414="","",IFERROR(MATCH($C414,Parties!$A$5:$A$304,0),"")),"")</f>
        <v/>
      </c>
      <c r="S414" s="61" t="str">
        <f aca="false">IF(IsPro,IF($D414="","",IF(OR($H414="",$H414="Credit"),0,P414)),"")</f>
        <v/>
      </c>
    </row>
    <row r="415" customFormat="false" ht="15" hidden="false" customHeight="false" outlineLevel="0" collapsed="false">
      <c r="A415" s="55"/>
      <c r="B415" s="56"/>
      <c r="C415" s="56"/>
      <c r="D415" s="56"/>
      <c r="E415" s="57"/>
      <c r="F415" s="58"/>
      <c r="G415" s="59"/>
      <c r="H415" s="56"/>
      <c r="I415" s="60" t="str">
        <f aca="false">IF(IsPro,IF($D415="","",IFERROR(INDEX(Items!$D$5:$D$504,Q415),"")),IF($D415="","","PRO PLAN"))</f>
        <v/>
      </c>
      <c r="J415" s="61" t="str">
        <f aca="false">IF(IsPro,IF($D415="","",IF($F415="",IFERROR(INDEX(Items!$G$5:$G$504,Q415),0),$F415)),"")</f>
        <v/>
      </c>
      <c r="K415" s="61" t="str">
        <f aca="false">IF(IsPro,IF($D415="","",ROUND(N($E415)*J415*(1-N($G415)),2)),"")</f>
        <v/>
      </c>
      <c r="L415" s="62" t="str">
        <f aca="false">IF(IsPro,IF($D415="","",IFERROR(INDEX(Items!$F$5:$F$504,Q415),0)),"")</f>
        <v/>
      </c>
      <c r="M415" s="61" t="str">
        <f aca="false">IF(IsPro,IF($D415="","",IF(AND(R415&lt;&gt;"",INDEX(Parties!$E$5:$E$304,R415)&lt;&gt;"",INDEX(Parties!$E$5:$E$304,R415)&lt;&gt;HomeState),0,ROUND(K415*L415/2,2))),"")</f>
        <v/>
      </c>
      <c r="N415" s="61" t="str">
        <f aca="false">IF(IsPro,IF($D415="","",M415),"")</f>
        <v/>
      </c>
      <c r="O415" s="61" t="str">
        <f aca="false">IF(IsPro,IF($D415="","",IF(AND(R415&lt;&gt;"",INDEX(Parties!$E$5:$E$304,R415)&lt;&gt;"",INDEX(Parties!$E$5:$E$304,R415)&lt;&gt;HomeState),ROUND(K415*L415,2),0)),"")</f>
        <v/>
      </c>
      <c r="P415" s="61" t="str">
        <f aca="false">IF(IsPro,IF($D415="","",K415+M415+N415+O415),"")</f>
        <v/>
      </c>
      <c r="Q415" s="60" t="str">
        <f aca="false">IF(IsPro,IF($D415="","",IFERROR(MATCH($D415,Items!$A$5:$A$504,0),"")),"")</f>
        <v/>
      </c>
      <c r="R415" s="60" t="str">
        <f aca="false">IF(IsPro,IF($C415="","",IFERROR(MATCH($C415,Parties!$A$5:$A$304,0),"")),"")</f>
        <v/>
      </c>
      <c r="S415" s="61" t="str">
        <f aca="false">IF(IsPro,IF($D415="","",IF(OR($H415="",$H415="Credit"),0,P415)),"")</f>
        <v/>
      </c>
    </row>
    <row r="416" customFormat="false" ht="15" hidden="false" customHeight="false" outlineLevel="0" collapsed="false">
      <c r="A416" s="55"/>
      <c r="B416" s="56"/>
      <c r="C416" s="56"/>
      <c r="D416" s="56"/>
      <c r="E416" s="57"/>
      <c r="F416" s="58"/>
      <c r="G416" s="59"/>
      <c r="H416" s="56"/>
      <c r="I416" s="60" t="str">
        <f aca="false">IF(IsPro,IF($D416="","",IFERROR(INDEX(Items!$D$5:$D$504,Q416),"")),IF($D416="","","PRO PLAN"))</f>
        <v/>
      </c>
      <c r="J416" s="61" t="str">
        <f aca="false">IF(IsPro,IF($D416="","",IF($F416="",IFERROR(INDEX(Items!$G$5:$G$504,Q416),0),$F416)),"")</f>
        <v/>
      </c>
      <c r="K416" s="61" t="str">
        <f aca="false">IF(IsPro,IF($D416="","",ROUND(N($E416)*J416*(1-N($G416)),2)),"")</f>
        <v/>
      </c>
      <c r="L416" s="62" t="str">
        <f aca="false">IF(IsPro,IF($D416="","",IFERROR(INDEX(Items!$F$5:$F$504,Q416),0)),"")</f>
        <v/>
      </c>
      <c r="M416" s="61" t="str">
        <f aca="false">IF(IsPro,IF($D416="","",IF(AND(R416&lt;&gt;"",INDEX(Parties!$E$5:$E$304,R416)&lt;&gt;"",INDEX(Parties!$E$5:$E$304,R416)&lt;&gt;HomeState),0,ROUND(K416*L416/2,2))),"")</f>
        <v/>
      </c>
      <c r="N416" s="61" t="str">
        <f aca="false">IF(IsPro,IF($D416="","",M416),"")</f>
        <v/>
      </c>
      <c r="O416" s="61" t="str">
        <f aca="false">IF(IsPro,IF($D416="","",IF(AND(R416&lt;&gt;"",INDEX(Parties!$E$5:$E$304,R416)&lt;&gt;"",INDEX(Parties!$E$5:$E$304,R416)&lt;&gt;HomeState),ROUND(K416*L416,2),0)),"")</f>
        <v/>
      </c>
      <c r="P416" s="61" t="str">
        <f aca="false">IF(IsPro,IF($D416="","",K416+M416+N416+O416),"")</f>
        <v/>
      </c>
      <c r="Q416" s="60" t="str">
        <f aca="false">IF(IsPro,IF($D416="","",IFERROR(MATCH($D416,Items!$A$5:$A$504,0),"")),"")</f>
        <v/>
      </c>
      <c r="R416" s="60" t="str">
        <f aca="false">IF(IsPro,IF($C416="","",IFERROR(MATCH($C416,Parties!$A$5:$A$304,0),"")),"")</f>
        <v/>
      </c>
      <c r="S416" s="61" t="str">
        <f aca="false">IF(IsPro,IF($D416="","",IF(OR($H416="",$H416="Credit"),0,P416)),"")</f>
        <v/>
      </c>
    </row>
    <row r="417" customFormat="false" ht="15" hidden="false" customHeight="false" outlineLevel="0" collapsed="false">
      <c r="A417" s="55"/>
      <c r="B417" s="56"/>
      <c r="C417" s="56"/>
      <c r="D417" s="56"/>
      <c r="E417" s="57"/>
      <c r="F417" s="58"/>
      <c r="G417" s="59"/>
      <c r="H417" s="56"/>
      <c r="I417" s="60" t="str">
        <f aca="false">IF(IsPro,IF($D417="","",IFERROR(INDEX(Items!$D$5:$D$504,Q417),"")),IF($D417="","","PRO PLAN"))</f>
        <v/>
      </c>
      <c r="J417" s="61" t="str">
        <f aca="false">IF(IsPro,IF($D417="","",IF($F417="",IFERROR(INDEX(Items!$G$5:$G$504,Q417),0),$F417)),"")</f>
        <v/>
      </c>
      <c r="K417" s="61" t="str">
        <f aca="false">IF(IsPro,IF($D417="","",ROUND(N($E417)*J417*(1-N($G417)),2)),"")</f>
        <v/>
      </c>
      <c r="L417" s="62" t="str">
        <f aca="false">IF(IsPro,IF($D417="","",IFERROR(INDEX(Items!$F$5:$F$504,Q417),0)),"")</f>
        <v/>
      </c>
      <c r="M417" s="61" t="str">
        <f aca="false">IF(IsPro,IF($D417="","",IF(AND(R417&lt;&gt;"",INDEX(Parties!$E$5:$E$304,R417)&lt;&gt;"",INDEX(Parties!$E$5:$E$304,R417)&lt;&gt;HomeState),0,ROUND(K417*L417/2,2))),"")</f>
        <v/>
      </c>
      <c r="N417" s="61" t="str">
        <f aca="false">IF(IsPro,IF($D417="","",M417),"")</f>
        <v/>
      </c>
      <c r="O417" s="61" t="str">
        <f aca="false">IF(IsPro,IF($D417="","",IF(AND(R417&lt;&gt;"",INDEX(Parties!$E$5:$E$304,R417)&lt;&gt;"",INDEX(Parties!$E$5:$E$304,R417)&lt;&gt;HomeState),ROUND(K417*L417,2),0)),"")</f>
        <v/>
      </c>
      <c r="P417" s="61" t="str">
        <f aca="false">IF(IsPro,IF($D417="","",K417+M417+N417+O417),"")</f>
        <v/>
      </c>
      <c r="Q417" s="60" t="str">
        <f aca="false">IF(IsPro,IF($D417="","",IFERROR(MATCH($D417,Items!$A$5:$A$504,0),"")),"")</f>
        <v/>
      </c>
      <c r="R417" s="60" t="str">
        <f aca="false">IF(IsPro,IF($C417="","",IFERROR(MATCH($C417,Parties!$A$5:$A$304,0),"")),"")</f>
        <v/>
      </c>
      <c r="S417" s="61" t="str">
        <f aca="false">IF(IsPro,IF($D417="","",IF(OR($H417="",$H417="Credit"),0,P417)),"")</f>
        <v/>
      </c>
    </row>
    <row r="418" customFormat="false" ht="15" hidden="false" customHeight="false" outlineLevel="0" collapsed="false">
      <c r="A418" s="55"/>
      <c r="B418" s="56"/>
      <c r="C418" s="56"/>
      <c r="D418" s="56"/>
      <c r="E418" s="57"/>
      <c r="F418" s="58"/>
      <c r="G418" s="59"/>
      <c r="H418" s="56"/>
      <c r="I418" s="60" t="str">
        <f aca="false">IF(IsPro,IF($D418="","",IFERROR(INDEX(Items!$D$5:$D$504,Q418),"")),IF($D418="","","PRO PLAN"))</f>
        <v/>
      </c>
      <c r="J418" s="61" t="str">
        <f aca="false">IF(IsPro,IF($D418="","",IF($F418="",IFERROR(INDEX(Items!$G$5:$G$504,Q418),0),$F418)),"")</f>
        <v/>
      </c>
      <c r="K418" s="61" t="str">
        <f aca="false">IF(IsPro,IF($D418="","",ROUND(N($E418)*J418*(1-N($G418)),2)),"")</f>
        <v/>
      </c>
      <c r="L418" s="62" t="str">
        <f aca="false">IF(IsPro,IF($D418="","",IFERROR(INDEX(Items!$F$5:$F$504,Q418),0)),"")</f>
        <v/>
      </c>
      <c r="M418" s="61" t="str">
        <f aca="false">IF(IsPro,IF($D418="","",IF(AND(R418&lt;&gt;"",INDEX(Parties!$E$5:$E$304,R418)&lt;&gt;"",INDEX(Parties!$E$5:$E$304,R418)&lt;&gt;HomeState),0,ROUND(K418*L418/2,2))),"")</f>
        <v/>
      </c>
      <c r="N418" s="61" t="str">
        <f aca="false">IF(IsPro,IF($D418="","",M418),"")</f>
        <v/>
      </c>
      <c r="O418" s="61" t="str">
        <f aca="false">IF(IsPro,IF($D418="","",IF(AND(R418&lt;&gt;"",INDEX(Parties!$E$5:$E$304,R418)&lt;&gt;"",INDEX(Parties!$E$5:$E$304,R418)&lt;&gt;HomeState),ROUND(K418*L418,2),0)),"")</f>
        <v/>
      </c>
      <c r="P418" s="61" t="str">
        <f aca="false">IF(IsPro,IF($D418="","",K418+M418+N418+O418),"")</f>
        <v/>
      </c>
      <c r="Q418" s="60" t="str">
        <f aca="false">IF(IsPro,IF($D418="","",IFERROR(MATCH($D418,Items!$A$5:$A$504,0),"")),"")</f>
        <v/>
      </c>
      <c r="R418" s="60" t="str">
        <f aca="false">IF(IsPro,IF($C418="","",IFERROR(MATCH($C418,Parties!$A$5:$A$304,0),"")),"")</f>
        <v/>
      </c>
      <c r="S418" s="61" t="str">
        <f aca="false">IF(IsPro,IF($D418="","",IF(OR($H418="",$H418="Credit"),0,P418)),"")</f>
        <v/>
      </c>
    </row>
    <row r="419" customFormat="false" ht="15" hidden="false" customHeight="false" outlineLevel="0" collapsed="false">
      <c r="A419" s="55"/>
      <c r="B419" s="56"/>
      <c r="C419" s="56"/>
      <c r="D419" s="56"/>
      <c r="E419" s="57"/>
      <c r="F419" s="58"/>
      <c r="G419" s="59"/>
      <c r="H419" s="56"/>
      <c r="I419" s="60" t="str">
        <f aca="false">IF(IsPro,IF($D419="","",IFERROR(INDEX(Items!$D$5:$D$504,Q419),"")),IF($D419="","","PRO PLAN"))</f>
        <v/>
      </c>
      <c r="J419" s="61" t="str">
        <f aca="false">IF(IsPro,IF($D419="","",IF($F419="",IFERROR(INDEX(Items!$G$5:$G$504,Q419),0),$F419)),"")</f>
        <v/>
      </c>
      <c r="K419" s="61" t="str">
        <f aca="false">IF(IsPro,IF($D419="","",ROUND(N($E419)*J419*(1-N($G419)),2)),"")</f>
        <v/>
      </c>
      <c r="L419" s="62" t="str">
        <f aca="false">IF(IsPro,IF($D419="","",IFERROR(INDEX(Items!$F$5:$F$504,Q419),0)),"")</f>
        <v/>
      </c>
      <c r="M419" s="61" t="str">
        <f aca="false">IF(IsPro,IF($D419="","",IF(AND(R419&lt;&gt;"",INDEX(Parties!$E$5:$E$304,R419)&lt;&gt;"",INDEX(Parties!$E$5:$E$304,R419)&lt;&gt;HomeState),0,ROUND(K419*L419/2,2))),"")</f>
        <v/>
      </c>
      <c r="N419" s="61" t="str">
        <f aca="false">IF(IsPro,IF($D419="","",M419),"")</f>
        <v/>
      </c>
      <c r="O419" s="61" t="str">
        <f aca="false">IF(IsPro,IF($D419="","",IF(AND(R419&lt;&gt;"",INDEX(Parties!$E$5:$E$304,R419)&lt;&gt;"",INDEX(Parties!$E$5:$E$304,R419)&lt;&gt;HomeState),ROUND(K419*L419,2),0)),"")</f>
        <v/>
      </c>
      <c r="P419" s="61" t="str">
        <f aca="false">IF(IsPro,IF($D419="","",K419+M419+N419+O419),"")</f>
        <v/>
      </c>
      <c r="Q419" s="60" t="str">
        <f aca="false">IF(IsPro,IF($D419="","",IFERROR(MATCH($D419,Items!$A$5:$A$504,0),"")),"")</f>
        <v/>
      </c>
      <c r="R419" s="60" t="str">
        <f aca="false">IF(IsPro,IF($C419="","",IFERROR(MATCH($C419,Parties!$A$5:$A$304,0),"")),"")</f>
        <v/>
      </c>
      <c r="S419" s="61" t="str">
        <f aca="false">IF(IsPro,IF($D419="","",IF(OR($H419="",$H419="Credit"),0,P419)),"")</f>
        <v/>
      </c>
    </row>
    <row r="420" customFormat="false" ht="15" hidden="false" customHeight="false" outlineLevel="0" collapsed="false">
      <c r="A420" s="55"/>
      <c r="B420" s="56"/>
      <c r="C420" s="56"/>
      <c r="D420" s="56"/>
      <c r="E420" s="57"/>
      <c r="F420" s="58"/>
      <c r="G420" s="59"/>
      <c r="H420" s="56"/>
      <c r="I420" s="60" t="str">
        <f aca="false">IF(IsPro,IF($D420="","",IFERROR(INDEX(Items!$D$5:$D$504,Q420),"")),IF($D420="","","PRO PLAN"))</f>
        <v/>
      </c>
      <c r="J420" s="61" t="str">
        <f aca="false">IF(IsPro,IF($D420="","",IF($F420="",IFERROR(INDEX(Items!$G$5:$G$504,Q420),0),$F420)),"")</f>
        <v/>
      </c>
      <c r="K420" s="61" t="str">
        <f aca="false">IF(IsPro,IF($D420="","",ROUND(N($E420)*J420*(1-N($G420)),2)),"")</f>
        <v/>
      </c>
      <c r="L420" s="62" t="str">
        <f aca="false">IF(IsPro,IF($D420="","",IFERROR(INDEX(Items!$F$5:$F$504,Q420),0)),"")</f>
        <v/>
      </c>
      <c r="M420" s="61" t="str">
        <f aca="false">IF(IsPro,IF($D420="","",IF(AND(R420&lt;&gt;"",INDEX(Parties!$E$5:$E$304,R420)&lt;&gt;"",INDEX(Parties!$E$5:$E$304,R420)&lt;&gt;HomeState),0,ROUND(K420*L420/2,2))),"")</f>
        <v/>
      </c>
      <c r="N420" s="61" t="str">
        <f aca="false">IF(IsPro,IF($D420="","",M420),"")</f>
        <v/>
      </c>
      <c r="O420" s="61" t="str">
        <f aca="false">IF(IsPro,IF($D420="","",IF(AND(R420&lt;&gt;"",INDEX(Parties!$E$5:$E$304,R420)&lt;&gt;"",INDEX(Parties!$E$5:$E$304,R420)&lt;&gt;HomeState),ROUND(K420*L420,2),0)),"")</f>
        <v/>
      </c>
      <c r="P420" s="61" t="str">
        <f aca="false">IF(IsPro,IF($D420="","",K420+M420+N420+O420),"")</f>
        <v/>
      </c>
      <c r="Q420" s="60" t="str">
        <f aca="false">IF(IsPro,IF($D420="","",IFERROR(MATCH($D420,Items!$A$5:$A$504,0),"")),"")</f>
        <v/>
      </c>
      <c r="R420" s="60" t="str">
        <f aca="false">IF(IsPro,IF($C420="","",IFERROR(MATCH($C420,Parties!$A$5:$A$304,0),"")),"")</f>
        <v/>
      </c>
      <c r="S420" s="61" t="str">
        <f aca="false">IF(IsPro,IF($D420="","",IF(OR($H420="",$H420="Credit"),0,P420)),"")</f>
        <v/>
      </c>
    </row>
    <row r="421" customFormat="false" ht="15" hidden="false" customHeight="false" outlineLevel="0" collapsed="false">
      <c r="A421" s="55"/>
      <c r="B421" s="56"/>
      <c r="C421" s="56"/>
      <c r="D421" s="56"/>
      <c r="E421" s="57"/>
      <c r="F421" s="58"/>
      <c r="G421" s="59"/>
      <c r="H421" s="56"/>
      <c r="I421" s="60" t="str">
        <f aca="false">IF(IsPro,IF($D421="","",IFERROR(INDEX(Items!$D$5:$D$504,Q421),"")),IF($D421="","","PRO PLAN"))</f>
        <v/>
      </c>
      <c r="J421" s="61" t="str">
        <f aca="false">IF(IsPro,IF($D421="","",IF($F421="",IFERROR(INDEX(Items!$G$5:$G$504,Q421),0),$F421)),"")</f>
        <v/>
      </c>
      <c r="K421" s="61" t="str">
        <f aca="false">IF(IsPro,IF($D421="","",ROUND(N($E421)*J421*(1-N($G421)),2)),"")</f>
        <v/>
      </c>
      <c r="L421" s="62" t="str">
        <f aca="false">IF(IsPro,IF($D421="","",IFERROR(INDEX(Items!$F$5:$F$504,Q421),0)),"")</f>
        <v/>
      </c>
      <c r="M421" s="61" t="str">
        <f aca="false">IF(IsPro,IF($D421="","",IF(AND(R421&lt;&gt;"",INDEX(Parties!$E$5:$E$304,R421)&lt;&gt;"",INDEX(Parties!$E$5:$E$304,R421)&lt;&gt;HomeState),0,ROUND(K421*L421/2,2))),"")</f>
        <v/>
      </c>
      <c r="N421" s="61" t="str">
        <f aca="false">IF(IsPro,IF($D421="","",M421),"")</f>
        <v/>
      </c>
      <c r="O421" s="61" t="str">
        <f aca="false">IF(IsPro,IF($D421="","",IF(AND(R421&lt;&gt;"",INDEX(Parties!$E$5:$E$304,R421)&lt;&gt;"",INDEX(Parties!$E$5:$E$304,R421)&lt;&gt;HomeState),ROUND(K421*L421,2),0)),"")</f>
        <v/>
      </c>
      <c r="P421" s="61" t="str">
        <f aca="false">IF(IsPro,IF($D421="","",K421+M421+N421+O421),"")</f>
        <v/>
      </c>
      <c r="Q421" s="60" t="str">
        <f aca="false">IF(IsPro,IF($D421="","",IFERROR(MATCH($D421,Items!$A$5:$A$504,0),"")),"")</f>
        <v/>
      </c>
      <c r="R421" s="60" t="str">
        <f aca="false">IF(IsPro,IF($C421="","",IFERROR(MATCH($C421,Parties!$A$5:$A$304,0),"")),"")</f>
        <v/>
      </c>
      <c r="S421" s="61" t="str">
        <f aca="false">IF(IsPro,IF($D421="","",IF(OR($H421="",$H421="Credit"),0,P421)),"")</f>
        <v/>
      </c>
    </row>
    <row r="422" customFormat="false" ht="15" hidden="false" customHeight="false" outlineLevel="0" collapsed="false">
      <c r="A422" s="55"/>
      <c r="B422" s="56"/>
      <c r="C422" s="56"/>
      <c r="D422" s="56"/>
      <c r="E422" s="57"/>
      <c r="F422" s="58"/>
      <c r="G422" s="59"/>
      <c r="H422" s="56"/>
      <c r="I422" s="60" t="str">
        <f aca="false">IF(IsPro,IF($D422="","",IFERROR(INDEX(Items!$D$5:$D$504,Q422),"")),IF($D422="","","PRO PLAN"))</f>
        <v/>
      </c>
      <c r="J422" s="61" t="str">
        <f aca="false">IF(IsPro,IF($D422="","",IF($F422="",IFERROR(INDEX(Items!$G$5:$G$504,Q422),0),$F422)),"")</f>
        <v/>
      </c>
      <c r="K422" s="61" t="str">
        <f aca="false">IF(IsPro,IF($D422="","",ROUND(N($E422)*J422*(1-N($G422)),2)),"")</f>
        <v/>
      </c>
      <c r="L422" s="62" t="str">
        <f aca="false">IF(IsPro,IF($D422="","",IFERROR(INDEX(Items!$F$5:$F$504,Q422),0)),"")</f>
        <v/>
      </c>
      <c r="M422" s="61" t="str">
        <f aca="false">IF(IsPro,IF($D422="","",IF(AND(R422&lt;&gt;"",INDEX(Parties!$E$5:$E$304,R422)&lt;&gt;"",INDEX(Parties!$E$5:$E$304,R422)&lt;&gt;HomeState),0,ROUND(K422*L422/2,2))),"")</f>
        <v/>
      </c>
      <c r="N422" s="61" t="str">
        <f aca="false">IF(IsPro,IF($D422="","",M422),"")</f>
        <v/>
      </c>
      <c r="O422" s="61" t="str">
        <f aca="false">IF(IsPro,IF($D422="","",IF(AND(R422&lt;&gt;"",INDEX(Parties!$E$5:$E$304,R422)&lt;&gt;"",INDEX(Parties!$E$5:$E$304,R422)&lt;&gt;HomeState),ROUND(K422*L422,2),0)),"")</f>
        <v/>
      </c>
      <c r="P422" s="61" t="str">
        <f aca="false">IF(IsPro,IF($D422="","",K422+M422+N422+O422),"")</f>
        <v/>
      </c>
      <c r="Q422" s="60" t="str">
        <f aca="false">IF(IsPro,IF($D422="","",IFERROR(MATCH($D422,Items!$A$5:$A$504,0),"")),"")</f>
        <v/>
      </c>
      <c r="R422" s="60" t="str">
        <f aca="false">IF(IsPro,IF($C422="","",IFERROR(MATCH($C422,Parties!$A$5:$A$304,0),"")),"")</f>
        <v/>
      </c>
      <c r="S422" s="61" t="str">
        <f aca="false">IF(IsPro,IF($D422="","",IF(OR($H422="",$H422="Credit"),0,P422)),"")</f>
        <v/>
      </c>
    </row>
    <row r="423" customFormat="false" ht="15" hidden="false" customHeight="false" outlineLevel="0" collapsed="false">
      <c r="A423" s="55"/>
      <c r="B423" s="56"/>
      <c r="C423" s="56"/>
      <c r="D423" s="56"/>
      <c r="E423" s="57"/>
      <c r="F423" s="58"/>
      <c r="G423" s="59"/>
      <c r="H423" s="56"/>
      <c r="I423" s="60" t="str">
        <f aca="false">IF(IsPro,IF($D423="","",IFERROR(INDEX(Items!$D$5:$D$504,Q423),"")),IF($D423="","","PRO PLAN"))</f>
        <v/>
      </c>
      <c r="J423" s="61" t="str">
        <f aca="false">IF(IsPro,IF($D423="","",IF($F423="",IFERROR(INDEX(Items!$G$5:$G$504,Q423),0),$F423)),"")</f>
        <v/>
      </c>
      <c r="K423" s="61" t="str">
        <f aca="false">IF(IsPro,IF($D423="","",ROUND(N($E423)*J423*(1-N($G423)),2)),"")</f>
        <v/>
      </c>
      <c r="L423" s="62" t="str">
        <f aca="false">IF(IsPro,IF($D423="","",IFERROR(INDEX(Items!$F$5:$F$504,Q423),0)),"")</f>
        <v/>
      </c>
      <c r="M423" s="61" t="str">
        <f aca="false">IF(IsPro,IF($D423="","",IF(AND(R423&lt;&gt;"",INDEX(Parties!$E$5:$E$304,R423)&lt;&gt;"",INDEX(Parties!$E$5:$E$304,R423)&lt;&gt;HomeState),0,ROUND(K423*L423/2,2))),"")</f>
        <v/>
      </c>
      <c r="N423" s="61" t="str">
        <f aca="false">IF(IsPro,IF($D423="","",M423),"")</f>
        <v/>
      </c>
      <c r="O423" s="61" t="str">
        <f aca="false">IF(IsPro,IF($D423="","",IF(AND(R423&lt;&gt;"",INDEX(Parties!$E$5:$E$304,R423)&lt;&gt;"",INDEX(Parties!$E$5:$E$304,R423)&lt;&gt;HomeState),ROUND(K423*L423,2),0)),"")</f>
        <v/>
      </c>
      <c r="P423" s="61" t="str">
        <f aca="false">IF(IsPro,IF($D423="","",K423+M423+N423+O423),"")</f>
        <v/>
      </c>
      <c r="Q423" s="60" t="str">
        <f aca="false">IF(IsPro,IF($D423="","",IFERROR(MATCH($D423,Items!$A$5:$A$504,0),"")),"")</f>
        <v/>
      </c>
      <c r="R423" s="60" t="str">
        <f aca="false">IF(IsPro,IF($C423="","",IFERROR(MATCH($C423,Parties!$A$5:$A$304,0),"")),"")</f>
        <v/>
      </c>
      <c r="S423" s="61" t="str">
        <f aca="false">IF(IsPro,IF($D423="","",IF(OR($H423="",$H423="Credit"),0,P423)),"")</f>
        <v/>
      </c>
    </row>
    <row r="424" customFormat="false" ht="15" hidden="false" customHeight="false" outlineLevel="0" collapsed="false">
      <c r="A424" s="55"/>
      <c r="B424" s="56"/>
      <c r="C424" s="56"/>
      <c r="D424" s="56"/>
      <c r="E424" s="57"/>
      <c r="F424" s="58"/>
      <c r="G424" s="59"/>
      <c r="H424" s="56"/>
      <c r="I424" s="60" t="str">
        <f aca="false">IF(IsPro,IF($D424="","",IFERROR(INDEX(Items!$D$5:$D$504,Q424),"")),IF($D424="","","PRO PLAN"))</f>
        <v/>
      </c>
      <c r="J424" s="61" t="str">
        <f aca="false">IF(IsPro,IF($D424="","",IF($F424="",IFERROR(INDEX(Items!$G$5:$G$504,Q424),0),$F424)),"")</f>
        <v/>
      </c>
      <c r="K424" s="61" t="str">
        <f aca="false">IF(IsPro,IF($D424="","",ROUND(N($E424)*J424*(1-N($G424)),2)),"")</f>
        <v/>
      </c>
      <c r="L424" s="62" t="str">
        <f aca="false">IF(IsPro,IF($D424="","",IFERROR(INDEX(Items!$F$5:$F$504,Q424),0)),"")</f>
        <v/>
      </c>
      <c r="M424" s="61" t="str">
        <f aca="false">IF(IsPro,IF($D424="","",IF(AND(R424&lt;&gt;"",INDEX(Parties!$E$5:$E$304,R424)&lt;&gt;"",INDEX(Parties!$E$5:$E$304,R424)&lt;&gt;HomeState),0,ROUND(K424*L424/2,2))),"")</f>
        <v/>
      </c>
      <c r="N424" s="61" t="str">
        <f aca="false">IF(IsPro,IF($D424="","",M424),"")</f>
        <v/>
      </c>
      <c r="O424" s="61" t="str">
        <f aca="false">IF(IsPro,IF($D424="","",IF(AND(R424&lt;&gt;"",INDEX(Parties!$E$5:$E$304,R424)&lt;&gt;"",INDEX(Parties!$E$5:$E$304,R424)&lt;&gt;HomeState),ROUND(K424*L424,2),0)),"")</f>
        <v/>
      </c>
      <c r="P424" s="61" t="str">
        <f aca="false">IF(IsPro,IF($D424="","",K424+M424+N424+O424),"")</f>
        <v/>
      </c>
      <c r="Q424" s="60" t="str">
        <f aca="false">IF(IsPro,IF($D424="","",IFERROR(MATCH($D424,Items!$A$5:$A$504,0),"")),"")</f>
        <v/>
      </c>
      <c r="R424" s="60" t="str">
        <f aca="false">IF(IsPro,IF($C424="","",IFERROR(MATCH($C424,Parties!$A$5:$A$304,0),"")),"")</f>
        <v/>
      </c>
      <c r="S424" s="61" t="str">
        <f aca="false">IF(IsPro,IF($D424="","",IF(OR($H424="",$H424="Credit"),0,P424)),"")</f>
        <v/>
      </c>
    </row>
    <row r="425" customFormat="false" ht="15" hidden="false" customHeight="false" outlineLevel="0" collapsed="false">
      <c r="A425" s="55"/>
      <c r="B425" s="56"/>
      <c r="C425" s="56"/>
      <c r="D425" s="56"/>
      <c r="E425" s="57"/>
      <c r="F425" s="58"/>
      <c r="G425" s="59"/>
      <c r="H425" s="56"/>
      <c r="I425" s="60" t="str">
        <f aca="false">IF(IsPro,IF($D425="","",IFERROR(INDEX(Items!$D$5:$D$504,Q425),"")),IF($D425="","","PRO PLAN"))</f>
        <v/>
      </c>
      <c r="J425" s="61" t="str">
        <f aca="false">IF(IsPro,IF($D425="","",IF($F425="",IFERROR(INDEX(Items!$G$5:$G$504,Q425),0),$F425)),"")</f>
        <v/>
      </c>
      <c r="K425" s="61" t="str">
        <f aca="false">IF(IsPro,IF($D425="","",ROUND(N($E425)*J425*(1-N($G425)),2)),"")</f>
        <v/>
      </c>
      <c r="L425" s="62" t="str">
        <f aca="false">IF(IsPro,IF($D425="","",IFERROR(INDEX(Items!$F$5:$F$504,Q425),0)),"")</f>
        <v/>
      </c>
      <c r="M425" s="61" t="str">
        <f aca="false">IF(IsPro,IF($D425="","",IF(AND(R425&lt;&gt;"",INDEX(Parties!$E$5:$E$304,R425)&lt;&gt;"",INDEX(Parties!$E$5:$E$304,R425)&lt;&gt;HomeState),0,ROUND(K425*L425/2,2))),"")</f>
        <v/>
      </c>
      <c r="N425" s="61" t="str">
        <f aca="false">IF(IsPro,IF($D425="","",M425),"")</f>
        <v/>
      </c>
      <c r="O425" s="61" t="str">
        <f aca="false">IF(IsPro,IF($D425="","",IF(AND(R425&lt;&gt;"",INDEX(Parties!$E$5:$E$304,R425)&lt;&gt;"",INDEX(Parties!$E$5:$E$304,R425)&lt;&gt;HomeState),ROUND(K425*L425,2),0)),"")</f>
        <v/>
      </c>
      <c r="P425" s="61" t="str">
        <f aca="false">IF(IsPro,IF($D425="","",K425+M425+N425+O425),"")</f>
        <v/>
      </c>
      <c r="Q425" s="60" t="str">
        <f aca="false">IF(IsPro,IF($D425="","",IFERROR(MATCH($D425,Items!$A$5:$A$504,0),"")),"")</f>
        <v/>
      </c>
      <c r="R425" s="60" t="str">
        <f aca="false">IF(IsPro,IF($C425="","",IFERROR(MATCH($C425,Parties!$A$5:$A$304,0),"")),"")</f>
        <v/>
      </c>
      <c r="S425" s="61" t="str">
        <f aca="false">IF(IsPro,IF($D425="","",IF(OR($H425="",$H425="Credit"),0,P425)),"")</f>
        <v/>
      </c>
    </row>
    <row r="426" customFormat="false" ht="15" hidden="false" customHeight="false" outlineLevel="0" collapsed="false">
      <c r="A426" s="55"/>
      <c r="B426" s="56"/>
      <c r="C426" s="56"/>
      <c r="D426" s="56"/>
      <c r="E426" s="57"/>
      <c r="F426" s="58"/>
      <c r="G426" s="59"/>
      <c r="H426" s="56"/>
      <c r="I426" s="60" t="str">
        <f aca="false">IF(IsPro,IF($D426="","",IFERROR(INDEX(Items!$D$5:$D$504,Q426),"")),IF($D426="","","PRO PLAN"))</f>
        <v/>
      </c>
      <c r="J426" s="61" t="str">
        <f aca="false">IF(IsPro,IF($D426="","",IF($F426="",IFERROR(INDEX(Items!$G$5:$G$504,Q426),0),$F426)),"")</f>
        <v/>
      </c>
      <c r="K426" s="61" t="str">
        <f aca="false">IF(IsPro,IF($D426="","",ROUND(N($E426)*J426*(1-N($G426)),2)),"")</f>
        <v/>
      </c>
      <c r="L426" s="62" t="str">
        <f aca="false">IF(IsPro,IF($D426="","",IFERROR(INDEX(Items!$F$5:$F$504,Q426),0)),"")</f>
        <v/>
      </c>
      <c r="M426" s="61" t="str">
        <f aca="false">IF(IsPro,IF($D426="","",IF(AND(R426&lt;&gt;"",INDEX(Parties!$E$5:$E$304,R426)&lt;&gt;"",INDEX(Parties!$E$5:$E$304,R426)&lt;&gt;HomeState),0,ROUND(K426*L426/2,2))),"")</f>
        <v/>
      </c>
      <c r="N426" s="61" t="str">
        <f aca="false">IF(IsPro,IF($D426="","",M426),"")</f>
        <v/>
      </c>
      <c r="O426" s="61" t="str">
        <f aca="false">IF(IsPro,IF($D426="","",IF(AND(R426&lt;&gt;"",INDEX(Parties!$E$5:$E$304,R426)&lt;&gt;"",INDEX(Parties!$E$5:$E$304,R426)&lt;&gt;HomeState),ROUND(K426*L426,2),0)),"")</f>
        <v/>
      </c>
      <c r="P426" s="61" t="str">
        <f aca="false">IF(IsPro,IF($D426="","",K426+M426+N426+O426),"")</f>
        <v/>
      </c>
      <c r="Q426" s="60" t="str">
        <f aca="false">IF(IsPro,IF($D426="","",IFERROR(MATCH($D426,Items!$A$5:$A$504,0),"")),"")</f>
        <v/>
      </c>
      <c r="R426" s="60" t="str">
        <f aca="false">IF(IsPro,IF($C426="","",IFERROR(MATCH($C426,Parties!$A$5:$A$304,0),"")),"")</f>
        <v/>
      </c>
      <c r="S426" s="61" t="str">
        <f aca="false">IF(IsPro,IF($D426="","",IF(OR($H426="",$H426="Credit"),0,P426)),"")</f>
        <v/>
      </c>
    </row>
    <row r="427" customFormat="false" ht="15" hidden="false" customHeight="false" outlineLevel="0" collapsed="false">
      <c r="A427" s="55"/>
      <c r="B427" s="56"/>
      <c r="C427" s="56"/>
      <c r="D427" s="56"/>
      <c r="E427" s="57"/>
      <c r="F427" s="58"/>
      <c r="G427" s="59"/>
      <c r="H427" s="56"/>
      <c r="I427" s="60" t="str">
        <f aca="false">IF(IsPro,IF($D427="","",IFERROR(INDEX(Items!$D$5:$D$504,Q427),"")),IF($D427="","","PRO PLAN"))</f>
        <v/>
      </c>
      <c r="J427" s="61" t="str">
        <f aca="false">IF(IsPro,IF($D427="","",IF($F427="",IFERROR(INDEX(Items!$G$5:$G$504,Q427),0),$F427)),"")</f>
        <v/>
      </c>
      <c r="K427" s="61" t="str">
        <f aca="false">IF(IsPro,IF($D427="","",ROUND(N($E427)*J427*(1-N($G427)),2)),"")</f>
        <v/>
      </c>
      <c r="L427" s="62" t="str">
        <f aca="false">IF(IsPro,IF($D427="","",IFERROR(INDEX(Items!$F$5:$F$504,Q427),0)),"")</f>
        <v/>
      </c>
      <c r="M427" s="61" t="str">
        <f aca="false">IF(IsPro,IF($D427="","",IF(AND(R427&lt;&gt;"",INDEX(Parties!$E$5:$E$304,R427)&lt;&gt;"",INDEX(Parties!$E$5:$E$304,R427)&lt;&gt;HomeState),0,ROUND(K427*L427/2,2))),"")</f>
        <v/>
      </c>
      <c r="N427" s="61" t="str">
        <f aca="false">IF(IsPro,IF($D427="","",M427),"")</f>
        <v/>
      </c>
      <c r="O427" s="61" t="str">
        <f aca="false">IF(IsPro,IF($D427="","",IF(AND(R427&lt;&gt;"",INDEX(Parties!$E$5:$E$304,R427)&lt;&gt;"",INDEX(Parties!$E$5:$E$304,R427)&lt;&gt;HomeState),ROUND(K427*L427,2),0)),"")</f>
        <v/>
      </c>
      <c r="P427" s="61" t="str">
        <f aca="false">IF(IsPro,IF($D427="","",K427+M427+N427+O427),"")</f>
        <v/>
      </c>
      <c r="Q427" s="60" t="str">
        <f aca="false">IF(IsPro,IF($D427="","",IFERROR(MATCH($D427,Items!$A$5:$A$504,0),"")),"")</f>
        <v/>
      </c>
      <c r="R427" s="60" t="str">
        <f aca="false">IF(IsPro,IF($C427="","",IFERROR(MATCH($C427,Parties!$A$5:$A$304,0),"")),"")</f>
        <v/>
      </c>
      <c r="S427" s="61" t="str">
        <f aca="false">IF(IsPro,IF($D427="","",IF(OR($H427="",$H427="Credit"),0,P427)),"")</f>
        <v/>
      </c>
    </row>
    <row r="428" customFormat="false" ht="15" hidden="false" customHeight="false" outlineLevel="0" collapsed="false">
      <c r="A428" s="55"/>
      <c r="B428" s="56"/>
      <c r="C428" s="56"/>
      <c r="D428" s="56"/>
      <c r="E428" s="57"/>
      <c r="F428" s="58"/>
      <c r="G428" s="59"/>
      <c r="H428" s="56"/>
      <c r="I428" s="60" t="str">
        <f aca="false">IF(IsPro,IF($D428="","",IFERROR(INDEX(Items!$D$5:$D$504,Q428),"")),IF($D428="","","PRO PLAN"))</f>
        <v/>
      </c>
      <c r="J428" s="61" t="str">
        <f aca="false">IF(IsPro,IF($D428="","",IF($F428="",IFERROR(INDEX(Items!$G$5:$G$504,Q428),0),$F428)),"")</f>
        <v/>
      </c>
      <c r="K428" s="61" t="str">
        <f aca="false">IF(IsPro,IF($D428="","",ROUND(N($E428)*J428*(1-N($G428)),2)),"")</f>
        <v/>
      </c>
      <c r="L428" s="62" t="str">
        <f aca="false">IF(IsPro,IF($D428="","",IFERROR(INDEX(Items!$F$5:$F$504,Q428),0)),"")</f>
        <v/>
      </c>
      <c r="M428" s="61" t="str">
        <f aca="false">IF(IsPro,IF($D428="","",IF(AND(R428&lt;&gt;"",INDEX(Parties!$E$5:$E$304,R428)&lt;&gt;"",INDEX(Parties!$E$5:$E$304,R428)&lt;&gt;HomeState),0,ROUND(K428*L428/2,2))),"")</f>
        <v/>
      </c>
      <c r="N428" s="61" t="str">
        <f aca="false">IF(IsPro,IF($D428="","",M428),"")</f>
        <v/>
      </c>
      <c r="O428" s="61" t="str">
        <f aca="false">IF(IsPro,IF($D428="","",IF(AND(R428&lt;&gt;"",INDEX(Parties!$E$5:$E$304,R428)&lt;&gt;"",INDEX(Parties!$E$5:$E$304,R428)&lt;&gt;HomeState),ROUND(K428*L428,2),0)),"")</f>
        <v/>
      </c>
      <c r="P428" s="61" t="str">
        <f aca="false">IF(IsPro,IF($D428="","",K428+M428+N428+O428),"")</f>
        <v/>
      </c>
      <c r="Q428" s="60" t="str">
        <f aca="false">IF(IsPro,IF($D428="","",IFERROR(MATCH($D428,Items!$A$5:$A$504,0),"")),"")</f>
        <v/>
      </c>
      <c r="R428" s="60" t="str">
        <f aca="false">IF(IsPro,IF($C428="","",IFERROR(MATCH($C428,Parties!$A$5:$A$304,0),"")),"")</f>
        <v/>
      </c>
      <c r="S428" s="61" t="str">
        <f aca="false">IF(IsPro,IF($D428="","",IF(OR($H428="",$H428="Credit"),0,P428)),"")</f>
        <v/>
      </c>
    </row>
    <row r="429" customFormat="false" ht="15" hidden="false" customHeight="false" outlineLevel="0" collapsed="false">
      <c r="A429" s="55"/>
      <c r="B429" s="56"/>
      <c r="C429" s="56"/>
      <c r="D429" s="56"/>
      <c r="E429" s="57"/>
      <c r="F429" s="58"/>
      <c r="G429" s="59"/>
      <c r="H429" s="56"/>
      <c r="I429" s="60" t="str">
        <f aca="false">IF(IsPro,IF($D429="","",IFERROR(INDEX(Items!$D$5:$D$504,Q429),"")),IF($D429="","","PRO PLAN"))</f>
        <v/>
      </c>
      <c r="J429" s="61" t="str">
        <f aca="false">IF(IsPro,IF($D429="","",IF($F429="",IFERROR(INDEX(Items!$G$5:$G$504,Q429),0),$F429)),"")</f>
        <v/>
      </c>
      <c r="K429" s="61" t="str">
        <f aca="false">IF(IsPro,IF($D429="","",ROUND(N($E429)*J429*(1-N($G429)),2)),"")</f>
        <v/>
      </c>
      <c r="L429" s="62" t="str">
        <f aca="false">IF(IsPro,IF($D429="","",IFERROR(INDEX(Items!$F$5:$F$504,Q429),0)),"")</f>
        <v/>
      </c>
      <c r="M429" s="61" t="str">
        <f aca="false">IF(IsPro,IF($D429="","",IF(AND(R429&lt;&gt;"",INDEX(Parties!$E$5:$E$304,R429)&lt;&gt;"",INDEX(Parties!$E$5:$E$304,R429)&lt;&gt;HomeState),0,ROUND(K429*L429/2,2))),"")</f>
        <v/>
      </c>
      <c r="N429" s="61" t="str">
        <f aca="false">IF(IsPro,IF($D429="","",M429),"")</f>
        <v/>
      </c>
      <c r="O429" s="61" t="str">
        <f aca="false">IF(IsPro,IF($D429="","",IF(AND(R429&lt;&gt;"",INDEX(Parties!$E$5:$E$304,R429)&lt;&gt;"",INDEX(Parties!$E$5:$E$304,R429)&lt;&gt;HomeState),ROUND(K429*L429,2),0)),"")</f>
        <v/>
      </c>
      <c r="P429" s="61" t="str">
        <f aca="false">IF(IsPro,IF($D429="","",K429+M429+N429+O429),"")</f>
        <v/>
      </c>
      <c r="Q429" s="60" t="str">
        <f aca="false">IF(IsPro,IF($D429="","",IFERROR(MATCH($D429,Items!$A$5:$A$504,0),"")),"")</f>
        <v/>
      </c>
      <c r="R429" s="60" t="str">
        <f aca="false">IF(IsPro,IF($C429="","",IFERROR(MATCH($C429,Parties!$A$5:$A$304,0),"")),"")</f>
        <v/>
      </c>
      <c r="S429" s="61" t="str">
        <f aca="false">IF(IsPro,IF($D429="","",IF(OR($H429="",$H429="Credit"),0,P429)),"")</f>
        <v/>
      </c>
    </row>
    <row r="430" customFormat="false" ht="15" hidden="false" customHeight="false" outlineLevel="0" collapsed="false">
      <c r="A430" s="55"/>
      <c r="B430" s="56"/>
      <c r="C430" s="56"/>
      <c r="D430" s="56"/>
      <c r="E430" s="57"/>
      <c r="F430" s="58"/>
      <c r="G430" s="59"/>
      <c r="H430" s="56"/>
      <c r="I430" s="60" t="str">
        <f aca="false">IF(IsPro,IF($D430="","",IFERROR(INDEX(Items!$D$5:$D$504,Q430),"")),IF($D430="","","PRO PLAN"))</f>
        <v/>
      </c>
      <c r="J430" s="61" t="str">
        <f aca="false">IF(IsPro,IF($D430="","",IF($F430="",IFERROR(INDEX(Items!$G$5:$G$504,Q430),0),$F430)),"")</f>
        <v/>
      </c>
      <c r="K430" s="61" t="str">
        <f aca="false">IF(IsPro,IF($D430="","",ROUND(N($E430)*J430*(1-N($G430)),2)),"")</f>
        <v/>
      </c>
      <c r="L430" s="62" t="str">
        <f aca="false">IF(IsPro,IF($D430="","",IFERROR(INDEX(Items!$F$5:$F$504,Q430),0)),"")</f>
        <v/>
      </c>
      <c r="M430" s="61" t="str">
        <f aca="false">IF(IsPro,IF($D430="","",IF(AND(R430&lt;&gt;"",INDEX(Parties!$E$5:$E$304,R430)&lt;&gt;"",INDEX(Parties!$E$5:$E$304,R430)&lt;&gt;HomeState),0,ROUND(K430*L430/2,2))),"")</f>
        <v/>
      </c>
      <c r="N430" s="61" t="str">
        <f aca="false">IF(IsPro,IF($D430="","",M430),"")</f>
        <v/>
      </c>
      <c r="O430" s="61" t="str">
        <f aca="false">IF(IsPro,IF($D430="","",IF(AND(R430&lt;&gt;"",INDEX(Parties!$E$5:$E$304,R430)&lt;&gt;"",INDEX(Parties!$E$5:$E$304,R430)&lt;&gt;HomeState),ROUND(K430*L430,2),0)),"")</f>
        <v/>
      </c>
      <c r="P430" s="61" t="str">
        <f aca="false">IF(IsPro,IF($D430="","",K430+M430+N430+O430),"")</f>
        <v/>
      </c>
      <c r="Q430" s="60" t="str">
        <f aca="false">IF(IsPro,IF($D430="","",IFERROR(MATCH($D430,Items!$A$5:$A$504,0),"")),"")</f>
        <v/>
      </c>
      <c r="R430" s="60" t="str">
        <f aca="false">IF(IsPro,IF($C430="","",IFERROR(MATCH($C430,Parties!$A$5:$A$304,0),"")),"")</f>
        <v/>
      </c>
      <c r="S430" s="61" t="str">
        <f aca="false">IF(IsPro,IF($D430="","",IF(OR($H430="",$H430="Credit"),0,P430)),"")</f>
        <v/>
      </c>
    </row>
    <row r="431" customFormat="false" ht="15" hidden="false" customHeight="false" outlineLevel="0" collapsed="false">
      <c r="A431" s="55"/>
      <c r="B431" s="56"/>
      <c r="C431" s="56"/>
      <c r="D431" s="56"/>
      <c r="E431" s="57"/>
      <c r="F431" s="58"/>
      <c r="G431" s="59"/>
      <c r="H431" s="56"/>
      <c r="I431" s="60" t="str">
        <f aca="false">IF(IsPro,IF($D431="","",IFERROR(INDEX(Items!$D$5:$D$504,Q431),"")),IF($D431="","","PRO PLAN"))</f>
        <v/>
      </c>
      <c r="J431" s="61" t="str">
        <f aca="false">IF(IsPro,IF($D431="","",IF($F431="",IFERROR(INDEX(Items!$G$5:$G$504,Q431),0),$F431)),"")</f>
        <v/>
      </c>
      <c r="K431" s="61" t="str">
        <f aca="false">IF(IsPro,IF($D431="","",ROUND(N($E431)*J431*(1-N($G431)),2)),"")</f>
        <v/>
      </c>
      <c r="L431" s="62" t="str">
        <f aca="false">IF(IsPro,IF($D431="","",IFERROR(INDEX(Items!$F$5:$F$504,Q431),0)),"")</f>
        <v/>
      </c>
      <c r="M431" s="61" t="str">
        <f aca="false">IF(IsPro,IF($D431="","",IF(AND(R431&lt;&gt;"",INDEX(Parties!$E$5:$E$304,R431)&lt;&gt;"",INDEX(Parties!$E$5:$E$304,R431)&lt;&gt;HomeState),0,ROUND(K431*L431/2,2))),"")</f>
        <v/>
      </c>
      <c r="N431" s="61" t="str">
        <f aca="false">IF(IsPro,IF($D431="","",M431),"")</f>
        <v/>
      </c>
      <c r="O431" s="61" t="str">
        <f aca="false">IF(IsPro,IF($D431="","",IF(AND(R431&lt;&gt;"",INDEX(Parties!$E$5:$E$304,R431)&lt;&gt;"",INDEX(Parties!$E$5:$E$304,R431)&lt;&gt;HomeState),ROUND(K431*L431,2),0)),"")</f>
        <v/>
      </c>
      <c r="P431" s="61" t="str">
        <f aca="false">IF(IsPro,IF($D431="","",K431+M431+N431+O431),"")</f>
        <v/>
      </c>
      <c r="Q431" s="60" t="str">
        <f aca="false">IF(IsPro,IF($D431="","",IFERROR(MATCH($D431,Items!$A$5:$A$504,0),"")),"")</f>
        <v/>
      </c>
      <c r="R431" s="60" t="str">
        <f aca="false">IF(IsPro,IF($C431="","",IFERROR(MATCH($C431,Parties!$A$5:$A$304,0),"")),"")</f>
        <v/>
      </c>
      <c r="S431" s="61" t="str">
        <f aca="false">IF(IsPro,IF($D431="","",IF(OR($H431="",$H431="Credit"),0,P431)),"")</f>
        <v/>
      </c>
    </row>
    <row r="432" customFormat="false" ht="15" hidden="false" customHeight="false" outlineLevel="0" collapsed="false">
      <c r="A432" s="55"/>
      <c r="B432" s="56"/>
      <c r="C432" s="56"/>
      <c r="D432" s="56"/>
      <c r="E432" s="57"/>
      <c r="F432" s="58"/>
      <c r="G432" s="59"/>
      <c r="H432" s="56"/>
      <c r="I432" s="60" t="str">
        <f aca="false">IF(IsPro,IF($D432="","",IFERROR(INDEX(Items!$D$5:$D$504,Q432),"")),IF($D432="","","PRO PLAN"))</f>
        <v/>
      </c>
      <c r="J432" s="61" t="str">
        <f aca="false">IF(IsPro,IF($D432="","",IF($F432="",IFERROR(INDEX(Items!$G$5:$G$504,Q432),0),$F432)),"")</f>
        <v/>
      </c>
      <c r="K432" s="61" t="str">
        <f aca="false">IF(IsPro,IF($D432="","",ROUND(N($E432)*J432*(1-N($G432)),2)),"")</f>
        <v/>
      </c>
      <c r="L432" s="62" t="str">
        <f aca="false">IF(IsPro,IF($D432="","",IFERROR(INDEX(Items!$F$5:$F$504,Q432),0)),"")</f>
        <v/>
      </c>
      <c r="M432" s="61" t="str">
        <f aca="false">IF(IsPro,IF($D432="","",IF(AND(R432&lt;&gt;"",INDEX(Parties!$E$5:$E$304,R432)&lt;&gt;"",INDEX(Parties!$E$5:$E$304,R432)&lt;&gt;HomeState),0,ROUND(K432*L432/2,2))),"")</f>
        <v/>
      </c>
      <c r="N432" s="61" t="str">
        <f aca="false">IF(IsPro,IF($D432="","",M432),"")</f>
        <v/>
      </c>
      <c r="O432" s="61" t="str">
        <f aca="false">IF(IsPro,IF($D432="","",IF(AND(R432&lt;&gt;"",INDEX(Parties!$E$5:$E$304,R432)&lt;&gt;"",INDEX(Parties!$E$5:$E$304,R432)&lt;&gt;HomeState),ROUND(K432*L432,2),0)),"")</f>
        <v/>
      </c>
      <c r="P432" s="61" t="str">
        <f aca="false">IF(IsPro,IF($D432="","",K432+M432+N432+O432),"")</f>
        <v/>
      </c>
      <c r="Q432" s="60" t="str">
        <f aca="false">IF(IsPro,IF($D432="","",IFERROR(MATCH($D432,Items!$A$5:$A$504,0),"")),"")</f>
        <v/>
      </c>
      <c r="R432" s="60" t="str">
        <f aca="false">IF(IsPro,IF($C432="","",IFERROR(MATCH($C432,Parties!$A$5:$A$304,0),"")),"")</f>
        <v/>
      </c>
      <c r="S432" s="61" t="str">
        <f aca="false">IF(IsPro,IF($D432="","",IF(OR($H432="",$H432="Credit"),0,P432)),"")</f>
        <v/>
      </c>
    </row>
    <row r="433" customFormat="false" ht="15" hidden="false" customHeight="false" outlineLevel="0" collapsed="false">
      <c r="A433" s="55"/>
      <c r="B433" s="56"/>
      <c r="C433" s="56"/>
      <c r="D433" s="56"/>
      <c r="E433" s="57"/>
      <c r="F433" s="58"/>
      <c r="G433" s="59"/>
      <c r="H433" s="56"/>
      <c r="I433" s="60" t="str">
        <f aca="false">IF(IsPro,IF($D433="","",IFERROR(INDEX(Items!$D$5:$D$504,Q433),"")),IF($D433="","","PRO PLAN"))</f>
        <v/>
      </c>
      <c r="J433" s="61" t="str">
        <f aca="false">IF(IsPro,IF($D433="","",IF($F433="",IFERROR(INDEX(Items!$G$5:$G$504,Q433),0),$F433)),"")</f>
        <v/>
      </c>
      <c r="K433" s="61" t="str">
        <f aca="false">IF(IsPro,IF($D433="","",ROUND(N($E433)*J433*(1-N($G433)),2)),"")</f>
        <v/>
      </c>
      <c r="L433" s="62" t="str">
        <f aca="false">IF(IsPro,IF($D433="","",IFERROR(INDEX(Items!$F$5:$F$504,Q433),0)),"")</f>
        <v/>
      </c>
      <c r="M433" s="61" t="str">
        <f aca="false">IF(IsPro,IF($D433="","",IF(AND(R433&lt;&gt;"",INDEX(Parties!$E$5:$E$304,R433)&lt;&gt;"",INDEX(Parties!$E$5:$E$304,R433)&lt;&gt;HomeState),0,ROUND(K433*L433/2,2))),"")</f>
        <v/>
      </c>
      <c r="N433" s="61" t="str">
        <f aca="false">IF(IsPro,IF($D433="","",M433),"")</f>
        <v/>
      </c>
      <c r="O433" s="61" t="str">
        <f aca="false">IF(IsPro,IF($D433="","",IF(AND(R433&lt;&gt;"",INDEX(Parties!$E$5:$E$304,R433)&lt;&gt;"",INDEX(Parties!$E$5:$E$304,R433)&lt;&gt;HomeState),ROUND(K433*L433,2),0)),"")</f>
        <v/>
      </c>
      <c r="P433" s="61" t="str">
        <f aca="false">IF(IsPro,IF($D433="","",K433+M433+N433+O433),"")</f>
        <v/>
      </c>
      <c r="Q433" s="60" t="str">
        <f aca="false">IF(IsPro,IF($D433="","",IFERROR(MATCH($D433,Items!$A$5:$A$504,0),"")),"")</f>
        <v/>
      </c>
      <c r="R433" s="60" t="str">
        <f aca="false">IF(IsPro,IF($C433="","",IFERROR(MATCH($C433,Parties!$A$5:$A$304,0),"")),"")</f>
        <v/>
      </c>
      <c r="S433" s="61" t="str">
        <f aca="false">IF(IsPro,IF($D433="","",IF(OR($H433="",$H433="Credit"),0,P433)),"")</f>
        <v/>
      </c>
    </row>
    <row r="434" customFormat="false" ht="15" hidden="false" customHeight="false" outlineLevel="0" collapsed="false">
      <c r="A434" s="55"/>
      <c r="B434" s="56"/>
      <c r="C434" s="56"/>
      <c r="D434" s="56"/>
      <c r="E434" s="57"/>
      <c r="F434" s="58"/>
      <c r="G434" s="59"/>
      <c r="H434" s="56"/>
      <c r="I434" s="60" t="str">
        <f aca="false">IF(IsPro,IF($D434="","",IFERROR(INDEX(Items!$D$5:$D$504,Q434),"")),IF($D434="","","PRO PLAN"))</f>
        <v/>
      </c>
      <c r="J434" s="61" t="str">
        <f aca="false">IF(IsPro,IF($D434="","",IF($F434="",IFERROR(INDEX(Items!$G$5:$G$504,Q434),0),$F434)),"")</f>
        <v/>
      </c>
      <c r="K434" s="61" t="str">
        <f aca="false">IF(IsPro,IF($D434="","",ROUND(N($E434)*J434*(1-N($G434)),2)),"")</f>
        <v/>
      </c>
      <c r="L434" s="62" t="str">
        <f aca="false">IF(IsPro,IF($D434="","",IFERROR(INDEX(Items!$F$5:$F$504,Q434),0)),"")</f>
        <v/>
      </c>
      <c r="M434" s="61" t="str">
        <f aca="false">IF(IsPro,IF($D434="","",IF(AND(R434&lt;&gt;"",INDEX(Parties!$E$5:$E$304,R434)&lt;&gt;"",INDEX(Parties!$E$5:$E$304,R434)&lt;&gt;HomeState),0,ROUND(K434*L434/2,2))),"")</f>
        <v/>
      </c>
      <c r="N434" s="61" t="str">
        <f aca="false">IF(IsPro,IF($D434="","",M434),"")</f>
        <v/>
      </c>
      <c r="O434" s="61" t="str">
        <f aca="false">IF(IsPro,IF($D434="","",IF(AND(R434&lt;&gt;"",INDEX(Parties!$E$5:$E$304,R434)&lt;&gt;"",INDEX(Parties!$E$5:$E$304,R434)&lt;&gt;HomeState),ROUND(K434*L434,2),0)),"")</f>
        <v/>
      </c>
      <c r="P434" s="61" t="str">
        <f aca="false">IF(IsPro,IF($D434="","",K434+M434+N434+O434),"")</f>
        <v/>
      </c>
      <c r="Q434" s="60" t="str">
        <f aca="false">IF(IsPro,IF($D434="","",IFERROR(MATCH($D434,Items!$A$5:$A$504,0),"")),"")</f>
        <v/>
      </c>
      <c r="R434" s="60" t="str">
        <f aca="false">IF(IsPro,IF($C434="","",IFERROR(MATCH($C434,Parties!$A$5:$A$304,0),"")),"")</f>
        <v/>
      </c>
      <c r="S434" s="61" t="str">
        <f aca="false">IF(IsPro,IF($D434="","",IF(OR($H434="",$H434="Credit"),0,P434)),"")</f>
        <v/>
      </c>
    </row>
    <row r="435" customFormat="false" ht="15" hidden="false" customHeight="false" outlineLevel="0" collapsed="false">
      <c r="A435" s="55"/>
      <c r="B435" s="56"/>
      <c r="C435" s="56"/>
      <c r="D435" s="56"/>
      <c r="E435" s="57"/>
      <c r="F435" s="58"/>
      <c r="G435" s="59"/>
      <c r="H435" s="56"/>
      <c r="I435" s="60" t="str">
        <f aca="false">IF(IsPro,IF($D435="","",IFERROR(INDEX(Items!$D$5:$D$504,Q435),"")),IF($D435="","","PRO PLAN"))</f>
        <v/>
      </c>
      <c r="J435" s="61" t="str">
        <f aca="false">IF(IsPro,IF($D435="","",IF($F435="",IFERROR(INDEX(Items!$G$5:$G$504,Q435),0),$F435)),"")</f>
        <v/>
      </c>
      <c r="K435" s="61" t="str">
        <f aca="false">IF(IsPro,IF($D435="","",ROUND(N($E435)*J435*(1-N($G435)),2)),"")</f>
        <v/>
      </c>
      <c r="L435" s="62" t="str">
        <f aca="false">IF(IsPro,IF($D435="","",IFERROR(INDEX(Items!$F$5:$F$504,Q435),0)),"")</f>
        <v/>
      </c>
      <c r="M435" s="61" t="str">
        <f aca="false">IF(IsPro,IF($D435="","",IF(AND(R435&lt;&gt;"",INDEX(Parties!$E$5:$E$304,R435)&lt;&gt;"",INDEX(Parties!$E$5:$E$304,R435)&lt;&gt;HomeState),0,ROUND(K435*L435/2,2))),"")</f>
        <v/>
      </c>
      <c r="N435" s="61" t="str">
        <f aca="false">IF(IsPro,IF($D435="","",M435),"")</f>
        <v/>
      </c>
      <c r="O435" s="61" t="str">
        <f aca="false">IF(IsPro,IF($D435="","",IF(AND(R435&lt;&gt;"",INDEX(Parties!$E$5:$E$304,R435)&lt;&gt;"",INDEX(Parties!$E$5:$E$304,R435)&lt;&gt;HomeState),ROUND(K435*L435,2),0)),"")</f>
        <v/>
      </c>
      <c r="P435" s="61" t="str">
        <f aca="false">IF(IsPro,IF($D435="","",K435+M435+N435+O435),"")</f>
        <v/>
      </c>
      <c r="Q435" s="60" t="str">
        <f aca="false">IF(IsPro,IF($D435="","",IFERROR(MATCH($D435,Items!$A$5:$A$504,0),"")),"")</f>
        <v/>
      </c>
      <c r="R435" s="60" t="str">
        <f aca="false">IF(IsPro,IF($C435="","",IFERROR(MATCH($C435,Parties!$A$5:$A$304,0),"")),"")</f>
        <v/>
      </c>
      <c r="S435" s="61" t="str">
        <f aca="false">IF(IsPro,IF($D435="","",IF(OR($H435="",$H435="Credit"),0,P435)),"")</f>
        <v/>
      </c>
    </row>
    <row r="436" customFormat="false" ht="15" hidden="false" customHeight="false" outlineLevel="0" collapsed="false">
      <c r="A436" s="55"/>
      <c r="B436" s="56"/>
      <c r="C436" s="56"/>
      <c r="D436" s="56"/>
      <c r="E436" s="57"/>
      <c r="F436" s="58"/>
      <c r="G436" s="59"/>
      <c r="H436" s="56"/>
      <c r="I436" s="60" t="str">
        <f aca="false">IF(IsPro,IF($D436="","",IFERROR(INDEX(Items!$D$5:$D$504,Q436),"")),IF($D436="","","PRO PLAN"))</f>
        <v/>
      </c>
      <c r="J436" s="61" t="str">
        <f aca="false">IF(IsPro,IF($D436="","",IF($F436="",IFERROR(INDEX(Items!$G$5:$G$504,Q436),0),$F436)),"")</f>
        <v/>
      </c>
      <c r="K436" s="61" t="str">
        <f aca="false">IF(IsPro,IF($D436="","",ROUND(N($E436)*J436*(1-N($G436)),2)),"")</f>
        <v/>
      </c>
      <c r="L436" s="62" t="str">
        <f aca="false">IF(IsPro,IF($D436="","",IFERROR(INDEX(Items!$F$5:$F$504,Q436),0)),"")</f>
        <v/>
      </c>
      <c r="M436" s="61" t="str">
        <f aca="false">IF(IsPro,IF($D436="","",IF(AND(R436&lt;&gt;"",INDEX(Parties!$E$5:$E$304,R436)&lt;&gt;"",INDEX(Parties!$E$5:$E$304,R436)&lt;&gt;HomeState),0,ROUND(K436*L436/2,2))),"")</f>
        <v/>
      </c>
      <c r="N436" s="61" t="str">
        <f aca="false">IF(IsPro,IF($D436="","",M436),"")</f>
        <v/>
      </c>
      <c r="O436" s="61" t="str">
        <f aca="false">IF(IsPro,IF($D436="","",IF(AND(R436&lt;&gt;"",INDEX(Parties!$E$5:$E$304,R436)&lt;&gt;"",INDEX(Parties!$E$5:$E$304,R436)&lt;&gt;HomeState),ROUND(K436*L436,2),0)),"")</f>
        <v/>
      </c>
      <c r="P436" s="61" t="str">
        <f aca="false">IF(IsPro,IF($D436="","",K436+M436+N436+O436),"")</f>
        <v/>
      </c>
      <c r="Q436" s="60" t="str">
        <f aca="false">IF(IsPro,IF($D436="","",IFERROR(MATCH($D436,Items!$A$5:$A$504,0),"")),"")</f>
        <v/>
      </c>
      <c r="R436" s="60" t="str">
        <f aca="false">IF(IsPro,IF($C436="","",IFERROR(MATCH($C436,Parties!$A$5:$A$304,0),"")),"")</f>
        <v/>
      </c>
      <c r="S436" s="61" t="str">
        <f aca="false">IF(IsPro,IF($D436="","",IF(OR($H436="",$H436="Credit"),0,P436)),"")</f>
        <v/>
      </c>
    </row>
    <row r="437" customFormat="false" ht="15" hidden="false" customHeight="false" outlineLevel="0" collapsed="false">
      <c r="A437" s="55"/>
      <c r="B437" s="56"/>
      <c r="C437" s="56"/>
      <c r="D437" s="56"/>
      <c r="E437" s="57"/>
      <c r="F437" s="58"/>
      <c r="G437" s="59"/>
      <c r="H437" s="56"/>
      <c r="I437" s="60" t="str">
        <f aca="false">IF(IsPro,IF($D437="","",IFERROR(INDEX(Items!$D$5:$D$504,Q437),"")),IF($D437="","","PRO PLAN"))</f>
        <v/>
      </c>
      <c r="J437" s="61" t="str">
        <f aca="false">IF(IsPro,IF($D437="","",IF($F437="",IFERROR(INDEX(Items!$G$5:$G$504,Q437),0),$F437)),"")</f>
        <v/>
      </c>
      <c r="K437" s="61" t="str">
        <f aca="false">IF(IsPro,IF($D437="","",ROUND(N($E437)*J437*(1-N($G437)),2)),"")</f>
        <v/>
      </c>
      <c r="L437" s="62" t="str">
        <f aca="false">IF(IsPro,IF($D437="","",IFERROR(INDEX(Items!$F$5:$F$504,Q437),0)),"")</f>
        <v/>
      </c>
      <c r="M437" s="61" t="str">
        <f aca="false">IF(IsPro,IF($D437="","",IF(AND(R437&lt;&gt;"",INDEX(Parties!$E$5:$E$304,R437)&lt;&gt;"",INDEX(Parties!$E$5:$E$304,R437)&lt;&gt;HomeState),0,ROUND(K437*L437/2,2))),"")</f>
        <v/>
      </c>
      <c r="N437" s="61" t="str">
        <f aca="false">IF(IsPro,IF($D437="","",M437),"")</f>
        <v/>
      </c>
      <c r="O437" s="61" t="str">
        <f aca="false">IF(IsPro,IF($D437="","",IF(AND(R437&lt;&gt;"",INDEX(Parties!$E$5:$E$304,R437)&lt;&gt;"",INDEX(Parties!$E$5:$E$304,R437)&lt;&gt;HomeState),ROUND(K437*L437,2),0)),"")</f>
        <v/>
      </c>
      <c r="P437" s="61" t="str">
        <f aca="false">IF(IsPro,IF($D437="","",K437+M437+N437+O437),"")</f>
        <v/>
      </c>
      <c r="Q437" s="60" t="str">
        <f aca="false">IF(IsPro,IF($D437="","",IFERROR(MATCH($D437,Items!$A$5:$A$504,0),"")),"")</f>
        <v/>
      </c>
      <c r="R437" s="60" t="str">
        <f aca="false">IF(IsPro,IF($C437="","",IFERROR(MATCH($C437,Parties!$A$5:$A$304,0),"")),"")</f>
        <v/>
      </c>
      <c r="S437" s="61" t="str">
        <f aca="false">IF(IsPro,IF($D437="","",IF(OR($H437="",$H437="Credit"),0,P437)),"")</f>
        <v/>
      </c>
    </row>
    <row r="438" customFormat="false" ht="15" hidden="false" customHeight="false" outlineLevel="0" collapsed="false">
      <c r="A438" s="55"/>
      <c r="B438" s="56"/>
      <c r="C438" s="56"/>
      <c r="D438" s="56"/>
      <c r="E438" s="57"/>
      <c r="F438" s="58"/>
      <c r="G438" s="59"/>
      <c r="H438" s="56"/>
      <c r="I438" s="60" t="str">
        <f aca="false">IF(IsPro,IF($D438="","",IFERROR(INDEX(Items!$D$5:$D$504,Q438),"")),IF($D438="","","PRO PLAN"))</f>
        <v/>
      </c>
      <c r="J438" s="61" t="str">
        <f aca="false">IF(IsPro,IF($D438="","",IF($F438="",IFERROR(INDEX(Items!$G$5:$G$504,Q438),0),$F438)),"")</f>
        <v/>
      </c>
      <c r="K438" s="61" t="str">
        <f aca="false">IF(IsPro,IF($D438="","",ROUND(N($E438)*J438*(1-N($G438)),2)),"")</f>
        <v/>
      </c>
      <c r="L438" s="62" t="str">
        <f aca="false">IF(IsPro,IF($D438="","",IFERROR(INDEX(Items!$F$5:$F$504,Q438),0)),"")</f>
        <v/>
      </c>
      <c r="M438" s="61" t="str">
        <f aca="false">IF(IsPro,IF($D438="","",IF(AND(R438&lt;&gt;"",INDEX(Parties!$E$5:$E$304,R438)&lt;&gt;"",INDEX(Parties!$E$5:$E$304,R438)&lt;&gt;HomeState),0,ROUND(K438*L438/2,2))),"")</f>
        <v/>
      </c>
      <c r="N438" s="61" t="str">
        <f aca="false">IF(IsPro,IF($D438="","",M438),"")</f>
        <v/>
      </c>
      <c r="O438" s="61" t="str">
        <f aca="false">IF(IsPro,IF($D438="","",IF(AND(R438&lt;&gt;"",INDEX(Parties!$E$5:$E$304,R438)&lt;&gt;"",INDEX(Parties!$E$5:$E$304,R438)&lt;&gt;HomeState),ROUND(K438*L438,2),0)),"")</f>
        <v/>
      </c>
      <c r="P438" s="61" t="str">
        <f aca="false">IF(IsPro,IF($D438="","",K438+M438+N438+O438),"")</f>
        <v/>
      </c>
      <c r="Q438" s="60" t="str">
        <f aca="false">IF(IsPro,IF($D438="","",IFERROR(MATCH($D438,Items!$A$5:$A$504,0),"")),"")</f>
        <v/>
      </c>
      <c r="R438" s="60" t="str">
        <f aca="false">IF(IsPro,IF($C438="","",IFERROR(MATCH($C438,Parties!$A$5:$A$304,0),"")),"")</f>
        <v/>
      </c>
      <c r="S438" s="61" t="str">
        <f aca="false">IF(IsPro,IF($D438="","",IF(OR($H438="",$H438="Credit"),0,P438)),"")</f>
        <v/>
      </c>
    </row>
    <row r="439" customFormat="false" ht="15" hidden="false" customHeight="false" outlineLevel="0" collapsed="false">
      <c r="A439" s="55"/>
      <c r="B439" s="56"/>
      <c r="C439" s="56"/>
      <c r="D439" s="56"/>
      <c r="E439" s="57"/>
      <c r="F439" s="58"/>
      <c r="G439" s="59"/>
      <c r="H439" s="56"/>
      <c r="I439" s="60" t="str">
        <f aca="false">IF(IsPro,IF($D439="","",IFERROR(INDEX(Items!$D$5:$D$504,Q439),"")),IF($D439="","","PRO PLAN"))</f>
        <v/>
      </c>
      <c r="J439" s="61" t="str">
        <f aca="false">IF(IsPro,IF($D439="","",IF($F439="",IFERROR(INDEX(Items!$G$5:$G$504,Q439),0),$F439)),"")</f>
        <v/>
      </c>
      <c r="K439" s="61" t="str">
        <f aca="false">IF(IsPro,IF($D439="","",ROUND(N($E439)*J439*(1-N($G439)),2)),"")</f>
        <v/>
      </c>
      <c r="L439" s="62" t="str">
        <f aca="false">IF(IsPro,IF($D439="","",IFERROR(INDEX(Items!$F$5:$F$504,Q439),0)),"")</f>
        <v/>
      </c>
      <c r="M439" s="61" t="str">
        <f aca="false">IF(IsPro,IF($D439="","",IF(AND(R439&lt;&gt;"",INDEX(Parties!$E$5:$E$304,R439)&lt;&gt;"",INDEX(Parties!$E$5:$E$304,R439)&lt;&gt;HomeState),0,ROUND(K439*L439/2,2))),"")</f>
        <v/>
      </c>
      <c r="N439" s="61" t="str">
        <f aca="false">IF(IsPro,IF($D439="","",M439),"")</f>
        <v/>
      </c>
      <c r="O439" s="61" t="str">
        <f aca="false">IF(IsPro,IF($D439="","",IF(AND(R439&lt;&gt;"",INDEX(Parties!$E$5:$E$304,R439)&lt;&gt;"",INDEX(Parties!$E$5:$E$304,R439)&lt;&gt;HomeState),ROUND(K439*L439,2),0)),"")</f>
        <v/>
      </c>
      <c r="P439" s="61" t="str">
        <f aca="false">IF(IsPro,IF($D439="","",K439+M439+N439+O439),"")</f>
        <v/>
      </c>
      <c r="Q439" s="60" t="str">
        <f aca="false">IF(IsPro,IF($D439="","",IFERROR(MATCH($D439,Items!$A$5:$A$504,0),"")),"")</f>
        <v/>
      </c>
      <c r="R439" s="60" t="str">
        <f aca="false">IF(IsPro,IF($C439="","",IFERROR(MATCH($C439,Parties!$A$5:$A$304,0),"")),"")</f>
        <v/>
      </c>
      <c r="S439" s="61" t="str">
        <f aca="false">IF(IsPro,IF($D439="","",IF(OR($H439="",$H439="Credit"),0,P439)),"")</f>
        <v/>
      </c>
    </row>
    <row r="440" customFormat="false" ht="15" hidden="false" customHeight="false" outlineLevel="0" collapsed="false">
      <c r="A440" s="55"/>
      <c r="B440" s="56"/>
      <c r="C440" s="56"/>
      <c r="D440" s="56"/>
      <c r="E440" s="57"/>
      <c r="F440" s="58"/>
      <c r="G440" s="59"/>
      <c r="H440" s="56"/>
      <c r="I440" s="60" t="str">
        <f aca="false">IF(IsPro,IF($D440="","",IFERROR(INDEX(Items!$D$5:$D$504,Q440),"")),IF($D440="","","PRO PLAN"))</f>
        <v/>
      </c>
      <c r="J440" s="61" t="str">
        <f aca="false">IF(IsPro,IF($D440="","",IF($F440="",IFERROR(INDEX(Items!$G$5:$G$504,Q440),0),$F440)),"")</f>
        <v/>
      </c>
      <c r="K440" s="61" t="str">
        <f aca="false">IF(IsPro,IF($D440="","",ROUND(N($E440)*J440*(1-N($G440)),2)),"")</f>
        <v/>
      </c>
      <c r="L440" s="62" t="str">
        <f aca="false">IF(IsPro,IF($D440="","",IFERROR(INDEX(Items!$F$5:$F$504,Q440),0)),"")</f>
        <v/>
      </c>
      <c r="M440" s="61" t="str">
        <f aca="false">IF(IsPro,IF($D440="","",IF(AND(R440&lt;&gt;"",INDEX(Parties!$E$5:$E$304,R440)&lt;&gt;"",INDEX(Parties!$E$5:$E$304,R440)&lt;&gt;HomeState),0,ROUND(K440*L440/2,2))),"")</f>
        <v/>
      </c>
      <c r="N440" s="61" t="str">
        <f aca="false">IF(IsPro,IF($D440="","",M440),"")</f>
        <v/>
      </c>
      <c r="O440" s="61" t="str">
        <f aca="false">IF(IsPro,IF($D440="","",IF(AND(R440&lt;&gt;"",INDEX(Parties!$E$5:$E$304,R440)&lt;&gt;"",INDEX(Parties!$E$5:$E$304,R440)&lt;&gt;HomeState),ROUND(K440*L440,2),0)),"")</f>
        <v/>
      </c>
      <c r="P440" s="61" t="str">
        <f aca="false">IF(IsPro,IF($D440="","",K440+M440+N440+O440),"")</f>
        <v/>
      </c>
      <c r="Q440" s="60" t="str">
        <f aca="false">IF(IsPro,IF($D440="","",IFERROR(MATCH($D440,Items!$A$5:$A$504,0),"")),"")</f>
        <v/>
      </c>
      <c r="R440" s="60" t="str">
        <f aca="false">IF(IsPro,IF($C440="","",IFERROR(MATCH($C440,Parties!$A$5:$A$304,0),"")),"")</f>
        <v/>
      </c>
      <c r="S440" s="61" t="str">
        <f aca="false">IF(IsPro,IF($D440="","",IF(OR($H440="",$H440="Credit"),0,P440)),"")</f>
        <v/>
      </c>
    </row>
    <row r="441" customFormat="false" ht="15" hidden="false" customHeight="false" outlineLevel="0" collapsed="false">
      <c r="A441" s="55"/>
      <c r="B441" s="56"/>
      <c r="C441" s="56"/>
      <c r="D441" s="56"/>
      <c r="E441" s="57"/>
      <c r="F441" s="58"/>
      <c r="G441" s="59"/>
      <c r="H441" s="56"/>
      <c r="I441" s="60" t="str">
        <f aca="false">IF(IsPro,IF($D441="","",IFERROR(INDEX(Items!$D$5:$D$504,Q441),"")),IF($D441="","","PRO PLAN"))</f>
        <v/>
      </c>
      <c r="J441" s="61" t="str">
        <f aca="false">IF(IsPro,IF($D441="","",IF($F441="",IFERROR(INDEX(Items!$G$5:$G$504,Q441),0),$F441)),"")</f>
        <v/>
      </c>
      <c r="K441" s="61" t="str">
        <f aca="false">IF(IsPro,IF($D441="","",ROUND(N($E441)*J441*(1-N($G441)),2)),"")</f>
        <v/>
      </c>
      <c r="L441" s="62" t="str">
        <f aca="false">IF(IsPro,IF($D441="","",IFERROR(INDEX(Items!$F$5:$F$504,Q441),0)),"")</f>
        <v/>
      </c>
      <c r="M441" s="61" t="str">
        <f aca="false">IF(IsPro,IF($D441="","",IF(AND(R441&lt;&gt;"",INDEX(Parties!$E$5:$E$304,R441)&lt;&gt;"",INDEX(Parties!$E$5:$E$304,R441)&lt;&gt;HomeState),0,ROUND(K441*L441/2,2))),"")</f>
        <v/>
      </c>
      <c r="N441" s="61" t="str">
        <f aca="false">IF(IsPro,IF($D441="","",M441),"")</f>
        <v/>
      </c>
      <c r="O441" s="61" t="str">
        <f aca="false">IF(IsPro,IF($D441="","",IF(AND(R441&lt;&gt;"",INDEX(Parties!$E$5:$E$304,R441)&lt;&gt;"",INDEX(Parties!$E$5:$E$304,R441)&lt;&gt;HomeState),ROUND(K441*L441,2),0)),"")</f>
        <v/>
      </c>
      <c r="P441" s="61" t="str">
        <f aca="false">IF(IsPro,IF($D441="","",K441+M441+N441+O441),"")</f>
        <v/>
      </c>
      <c r="Q441" s="60" t="str">
        <f aca="false">IF(IsPro,IF($D441="","",IFERROR(MATCH($D441,Items!$A$5:$A$504,0),"")),"")</f>
        <v/>
      </c>
      <c r="R441" s="60" t="str">
        <f aca="false">IF(IsPro,IF($C441="","",IFERROR(MATCH($C441,Parties!$A$5:$A$304,0),"")),"")</f>
        <v/>
      </c>
      <c r="S441" s="61" t="str">
        <f aca="false">IF(IsPro,IF($D441="","",IF(OR($H441="",$H441="Credit"),0,P441)),"")</f>
        <v/>
      </c>
    </row>
    <row r="442" customFormat="false" ht="15" hidden="false" customHeight="false" outlineLevel="0" collapsed="false">
      <c r="A442" s="55"/>
      <c r="B442" s="56"/>
      <c r="C442" s="56"/>
      <c r="D442" s="56"/>
      <c r="E442" s="57"/>
      <c r="F442" s="58"/>
      <c r="G442" s="59"/>
      <c r="H442" s="56"/>
      <c r="I442" s="60" t="str">
        <f aca="false">IF(IsPro,IF($D442="","",IFERROR(INDEX(Items!$D$5:$D$504,Q442),"")),IF($D442="","","PRO PLAN"))</f>
        <v/>
      </c>
      <c r="J442" s="61" t="str">
        <f aca="false">IF(IsPro,IF($D442="","",IF($F442="",IFERROR(INDEX(Items!$G$5:$G$504,Q442),0),$F442)),"")</f>
        <v/>
      </c>
      <c r="K442" s="61" t="str">
        <f aca="false">IF(IsPro,IF($D442="","",ROUND(N($E442)*J442*(1-N($G442)),2)),"")</f>
        <v/>
      </c>
      <c r="L442" s="62" t="str">
        <f aca="false">IF(IsPro,IF($D442="","",IFERROR(INDEX(Items!$F$5:$F$504,Q442),0)),"")</f>
        <v/>
      </c>
      <c r="M442" s="61" t="str">
        <f aca="false">IF(IsPro,IF($D442="","",IF(AND(R442&lt;&gt;"",INDEX(Parties!$E$5:$E$304,R442)&lt;&gt;"",INDEX(Parties!$E$5:$E$304,R442)&lt;&gt;HomeState),0,ROUND(K442*L442/2,2))),"")</f>
        <v/>
      </c>
      <c r="N442" s="61" t="str">
        <f aca="false">IF(IsPro,IF($D442="","",M442),"")</f>
        <v/>
      </c>
      <c r="O442" s="61" t="str">
        <f aca="false">IF(IsPro,IF($D442="","",IF(AND(R442&lt;&gt;"",INDEX(Parties!$E$5:$E$304,R442)&lt;&gt;"",INDEX(Parties!$E$5:$E$304,R442)&lt;&gt;HomeState),ROUND(K442*L442,2),0)),"")</f>
        <v/>
      </c>
      <c r="P442" s="61" t="str">
        <f aca="false">IF(IsPro,IF($D442="","",K442+M442+N442+O442),"")</f>
        <v/>
      </c>
      <c r="Q442" s="60" t="str">
        <f aca="false">IF(IsPro,IF($D442="","",IFERROR(MATCH($D442,Items!$A$5:$A$504,0),"")),"")</f>
        <v/>
      </c>
      <c r="R442" s="60" t="str">
        <f aca="false">IF(IsPro,IF($C442="","",IFERROR(MATCH($C442,Parties!$A$5:$A$304,0),"")),"")</f>
        <v/>
      </c>
      <c r="S442" s="61" t="str">
        <f aca="false">IF(IsPro,IF($D442="","",IF(OR($H442="",$H442="Credit"),0,P442)),"")</f>
        <v/>
      </c>
    </row>
    <row r="443" customFormat="false" ht="15" hidden="false" customHeight="false" outlineLevel="0" collapsed="false">
      <c r="A443" s="55"/>
      <c r="B443" s="56"/>
      <c r="C443" s="56"/>
      <c r="D443" s="56"/>
      <c r="E443" s="57"/>
      <c r="F443" s="58"/>
      <c r="G443" s="59"/>
      <c r="H443" s="56"/>
      <c r="I443" s="60" t="str">
        <f aca="false">IF(IsPro,IF($D443="","",IFERROR(INDEX(Items!$D$5:$D$504,Q443),"")),IF($D443="","","PRO PLAN"))</f>
        <v/>
      </c>
      <c r="J443" s="61" t="str">
        <f aca="false">IF(IsPro,IF($D443="","",IF($F443="",IFERROR(INDEX(Items!$G$5:$G$504,Q443),0),$F443)),"")</f>
        <v/>
      </c>
      <c r="K443" s="61" t="str">
        <f aca="false">IF(IsPro,IF($D443="","",ROUND(N($E443)*J443*(1-N($G443)),2)),"")</f>
        <v/>
      </c>
      <c r="L443" s="62" t="str">
        <f aca="false">IF(IsPro,IF($D443="","",IFERROR(INDEX(Items!$F$5:$F$504,Q443),0)),"")</f>
        <v/>
      </c>
      <c r="M443" s="61" t="str">
        <f aca="false">IF(IsPro,IF($D443="","",IF(AND(R443&lt;&gt;"",INDEX(Parties!$E$5:$E$304,R443)&lt;&gt;"",INDEX(Parties!$E$5:$E$304,R443)&lt;&gt;HomeState),0,ROUND(K443*L443/2,2))),"")</f>
        <v/>
      </c>
      <c r="N443" s="61" t="str">
        <f aca="false">IF(IsPro,IF($D443="","",M443),"")</f>
        <v/>
      </c>
      <c r="O443" s="61" t="str">
        <f aca="false">IF(IsPro,IF($D443="","",IF(AND(R443&lt;&gt;"",INDEX(Parties!$E$5:$E$304,R443)&lt;&gt;"",INDEX(Parties!$E$5:$E$304,R443)&lt;&gt;HomeState),ROUND(K443*L443,2),0)),"")</f>
        <v/>
      </c>
      <c r="P443" s="61" t="str">
        <f aca="false">IF(IsPro,IF($D443="","",K443+M443+N443+O443),"")</f>
        <v/>
      </c>
      <c r="Q443" s="60" t="str">
        <f aca="false">IF(IsPro,IF($D443="","",IFERROR(MATCH($D443,Items!$A$5:$A$504,0),"")),"")</f>
        <v/>
      </c>
      <c r="R443" s="60" t="str">
        <f aca="false">IF(IsPro,IF($C443="","",IFERROR(MATCH($C443,Parties!$A$5:$A$304,0),"")),"")</f>
        <v/>
      </c>
      <c r="S443" s="61" t="str">
        <f aca="false">IF(IsPro,IF($D443="","",IF(OR($H443="",$H443="Credit"),0,P443)),"")</f>
        <v/>
      </c>
    </row>
    <row r="444" customFormat="false" ht="15" hidden="false" customHeight="false" outlineLevel="0" collapsed="false">
      <c r="A444" s="55"/>
      <c r="B444" s="56"/>
      <c r="C444" s="56"/>
      <c r="D444" s="56"/>
      <c r="E444" s="57"/>
      <c r="F444" s="58"/>
      <c r="G444" s="59"/>
      <c r="H444" s="56"/>
      <c r="I444" s="60" t="str">
        <f aca="false">IF(IsPro,IF($D444="","",IFERROR(INDEX(Items!$D$5:$D$504,Q444),"")),IF($D444="","","PRO PLAN"))</f>
        <v/>
      </c>
      <c r="J444" s="61" t="str">
        <f aca="false">IF(IsPro,IF($D444="","",IF($F444="",IFERROR(INDEX(Items!$G$5:$G$504,Q444),0),$F444)),"")</f>
        <v/>
      </c>
      <c r="K444" s="61" t="str">
        <f aca="false">IF(IsPro,IF($D444="","",ROUND(N($E444)*J444*(1-N($G444)),2)),"")</f>
        <v/>
      </c>
      <c r="L444" s="62" t="str">
        <f aca="false">IF(IsPro,IF($D444="","",IFERROR(INDEX(Items!$F$5:$F$504,Q444),0)),"")</f>
        <v/>
      </c>
      <c r="M444" s="61" t="str">
        <f aca="false">IF(IsPro,IF($D444="","",IF(AND(R444&lt;&gt;"",INDEX(Parties!$E$5:$E$304,R444)&lt;&gt;"",INDEX(Parties!$E$5:$E$304,R444)&lt;&gt;HomeState),0,ROUND(K444*L444/2,2))),"")</f>
        <v/>
      </c>
      <c r="N444" s="61" t="str">
        <f aca="false">IF(IsPro,IF($D444="","",M444),"")</f>
        <v/>
      </c>
      <c r="O444" s="61" t="str">
        <f aca="false">IF(IsPro,IF($D444="","",IF(AND(R444&lt;&gt;"",INDEX(Parties!$E$5:$E$304,R444)&lt;&gt;"",INDEX(Parties!$E$5:$E$304,R444)&lt;&gt;HomeState),ROUND(K444*L444,2),0)),"")</f>
        <v/>
      </c>
      <c r="P444" s="61" t="str">
        <f aca="false">IF(IsPro,IF($D444="","",K444+M444+N444+O444),"")</f>
        <v/>
      </c>
      <c r="Q444" s="60" t="str">
        <f aca="false">IF(IsPro,IF($D444="","",IFERROR(MATCH($D444,Items!$A$5:$A$504,0),"")),"")</f>
        <v/>
      </c>
      <c r="R444" s="60" t="str">
        <f aca="false">IF(IsPro,IF($C444="","",IFERROR(MATCH($C444,Parties!$A$5:$A$304,0),"")),"")</f>
        <v/>
      </c>
      <c r="S444" s="61" t="str">
        <f aca="false">IF(IsPro,IF($D444="","",IF(OR($H444="",$H444="Credit"),0,P444)),"")</f>
        <v/>
      </c>
    </row>
    <row r="445" customFormat="false" ht="15" hidden="false" customHeight="false" outlineLevel="0" collapsed="false">
      <c r="A445" s="55"/>
      <c r="B445" s="56"/>
      <c r="C445" s="56"/>
      <c r="D445" s="56"/>
      <c r="E445" s="57"/>
      <c r="F445" s="58"/>
      <c r="G445" s="59"/>
      <c r="H445" s="56"/>
      <c r="I445" s="60" t="str">
        <f aca="false">IF(IsPro,IF($D445="","",IFERROR(INDEX(Items!$D$5:$D$504,Q445),"")),IF($D445="","","PRO PLAN"))</f>
        <v/>
      </c>
      <c r="J445" s="61" t="str">
        <f aca="false">IF(IsPro,IF($D445="","",IF($F445="",IFERROR(INDEX(Items!$G$5:$G$504,Q445),0),$F445)),"")</f>
        <v/>
      </c>
      <c r="K445" s="61" t="str">
        <f aca="false">IF(IsPro,IF($D445="","",ROUND(N($E445)*J445*(1-N($G445)),2)),"")</f>
        <v/>
      </c>
      <c r="L445" s="62" t="str">
        <f aca="false">IF(IsPro,IF($D445="","",IFERROR(INDEX(Items!$F$5:$F$504,Q445),0)),"")</f>
        <v/>
      </c>
      <c r="M445" s="61" t="str">
        <f aca="false">IF(IsPro,IF($D445="","",IF(AND(R445&lt;&gt;"",INDEX(Parties!$E$5:$E$304,R445)&lt;&gt;"",INDEX(Parties!$E$5:$E$304,R445)&lt;&gt;HomeState),0,ROUND(K445*L445/2,2))),"")</f>
        <v/>
      </c>
      <c r="N445" s="61" t="str">
        <f aca="false">IF(IsPro,IF($D445="","",M445),"")</f>
        <v/>
      </c>
      <c r="O445" s="61" t="str">
        <f aca="false">IF(IsPro,IF($D445="","",IF(AND(R445&lt;&gt;"",INDEX(Parties!$E$5:$E$304,R445)&lt;&gt;"",INDEX(Parties!$E$5:$E$304,R445)&lt;&gt;HomeState),ROUND(K445*L445,2),0)),"")</f>
        <v/>
      </c>
      <c r="P445" s="61" t="str">
        <f aca="false">IF(IsPro,IF($D445="","",K445+M445+N445+O445),"")</f>
        <v/>
      </c>
      <c r="Q445" s="60" t="str">
        <f aca="false">IF(IsPro,IF($D445="","",IFERROR(MATCH($D445,Items!$A$5:$A$504,0),"")),"")</f>
        <v/>
      </c>
      <c r="R445" s="60" t="str">
        <f aca="false">IF(IsPro,IF($C445="","",IFERROR(MATCH($C445,Parties!$A$5:$A$304,0),"")),"")</f>
        <v/>
      </c>
      <c r="S445" s="61" t="str">
        <f aca="false">IF(IsPro,IF($D445="","",IF(OR($H445="",$H445="Credit"),0,P445)),"")</f>
        <v/>
      </c>
    </row>
    <row r="446" customFormat="false" ht="15" hidden="false" customHeight="false" outlineLevel="0" collapsed="false">
      <c r="A446" s="55"/>
      <c r="B446" s="56"/>
      <c r="C446" s="56"/>
      <c r="D446" s="56"/>
      <c r="E446" s="57"/>
      <c r="F446" s="58"/>
      <c r="G446" s="59"/>
      <c r="H446" s="56"/>
      <c r="I446" s="60" t="str">
        <f aca="false">IF(IsPro,IF($D446="","",IFERROR(INDEX(Items!$D$5:$D$504,Q446),"")),IF($D446="","","PRO PLAN"))</f>
        <v/>
      </c>
      <c r="J446" s="61" t="str">
        <f aca="false">IF(IsPro,IF($D446="","",IF($F446="",IFERROR(INDEX(Items!$G$5:$G$504,Q446),0),$F446)),"")</f>
        <v/>
      </c>
      <c r="K446" s="61" t="str">
        <f aca="false">IF(IsPro,IF($D446="","",ROUND(N($E446)*J446*(1-N($G446)),2)),"")</f>
        <v/>
      </c>
      <c r="L446" s="62" t="str">
        <f aca="false">IF(IsPro,IF($D446="","",IFERROR(INDEX(Items!$F$5:$F$504,Q446),0)),"")</f>
        <v/>
      </c>
      <c r="M446" s="61" t="str">
        <f aca="false">IF(IsPro,IF($D446="","",IF(AND(R446&lt;&gt;"",INDEX(Parties!$E$5:$E$304,R446)&lt;&gt;"",INDEX(Parties!$E$5:$E$304,R446)&lt;&gt;HomeState),0,ROUND(K446*L446/2,2))),"")</f>
        <v/>
      </c>
      <c r="N446" s="61" t="str">
        <f aca="false">IF(IsPro,IF($D446="","",M446),"")</f>
        <v/>
      </c>
      <c r="O446" s="61" t="str">
        <f aca="false">IF(IsPro,IF($D446="","",IF(AND(R446&lt;&gt;"",INDEX(Parties!$E$5:$E$304,R446)&lt;&gt;"",INDEX(Parties!$E$5:$E$304,R446)&lt;&gt;HomeState),ROUND(K446*L446,2),0)),"")</f>
        <v/>
      </c>
      <c r="P446" s="61" t="str">
        <f aca="false">IF(IsPro,IF($D446="","",K446+M446+N446+O446),"")</f>
        <v/>
      </c>
      <c r="Q446" s="60" t="str">
        <f aca="false">IF(IsPro,IF($D446="","",IFERROR(MATCH($D446,Items!$A$5:$A$504,0),"")),"")</f>
        <v/>
      </c>
      <c r="R446" s="60" t="str">
        <f aca="false">IF(IsPro,IF($C446="","",IFERROR(MATCH($C446,Parties!$A$5:$A$304,0),"")),"")</f>
        <v/>
      </c>
      <c r="S446" s="61" t="str">
        <f aca="false">IF(IsPro,IF($D446="","",IF(OR($H446="",$H446="Credit"),0,P446)),"")</f>
        <v/>
      </c>
    </row>
    <row r="447" customFormat="false" ht="15" hidden="false" customHeight="false" outlineLevel="0" collapsed="false">
      <c r="A447" s="55"/>
      <c r="B447" s="56"/>
      <c r="C447" s="56"/>
      <c r="D447" s="56"/>
      <c r="E447" s="57"/>
      <c r="F447" s="58"/>
      <c r="G447" s="59"/>
      <c r="H447" s="56"/>
      <c r="I447" s="60" t="str">
        <f aca="false">IF(IsPro,IF($D447="","",IFERROR(INDEX(Items!$D$5:$D$504,Q447),"")),IF($D447="","","PRO PLAN"))</f>
        <v/>
      </c>
      <c r="J447" s="61" t="str">
        <f aca="false">IF(IsPro,IF($D447="","",IF($F447="",IFERROR(INDEX(Items!$G$5:$G$504,Q447),0),$F447)),"")</f>
        <v/>
      </c>
      <c r="K447" s="61" t="str">
        <f aca="false">IF(IsPro,IF($D447="","",ROUND(N($E447)*J447*(1-N($G447)),2)),"")</f>
        <v/>
      </c>
      <c r="L447" s="62" t="str">
        <f aca="false">IF(IsPro,IF($D447="","",IFERROR(INDEX(Items!$F$5:$F$504,Q447),0)),"")</f>
        <v/>
      </c>
      <c r="M447" s="61" t="str">
        <f aca="false">IF(IsPro,IF($D447="","",IF(AND(R447&lt;&gt;"",INDEX(Parties!$E$5:$E$304,R447)&lt;&gt;"",INDEX(Parties!$E$5:$E$304,R447)&lt;&gt;HomeState),0,ROUND(K447*L447/2,2))),"")</f>
        <v/>
      </c>
      <c r="N447" s="61" t="str">
        <f aca="false">IF(IsPro,IF($D447="","",M447),"")</f>
        <v/>
      </c>
      <c r="O447" s="61" t="str">
        <f aca="false">IF(IsPro,IF($D447="","",IF(AND(R447&lt;&gt;"",INDEX(Parties!$E$5:$E$304,R447)&lt;&gt;"",INDEX(Parties!$E$5:$E$304,R447)&lt;&gt;HomeState),ROUND(K447*L447,2),0)),"")</f>
        <v/>
      </c>
      <c r="P447" s="61" t="str">
        <f aca="false">IF(IsPro,IF($D447="","",K447+M447+N447+O447),"")</f>
        <v/>
      </c>
      <c r="Q447" s="60" t="str">
        <f aca="false">IF(IsPro,IF($D447="","",IFERROR(MATCH($D447,Items!$A$5:$A$504,0),"")),"")</f>
        <v/>
      </c>
      <c r="R447" s="60" t="str">
        <f aca="false">IF(IsPro,IF($C447="","",IFERROR(MATCH($C447,Parties!$A$5:$A$304,0),"")),"")</f>
        <v/>
      </c>
      <c r="S447" s="61" t="str">
        <f aca="false">IF(IsPro,IF($D447="","",IF(OR($H447="",$H447="Credit"),0,P447)),"")</f>
        <v/>
      </c>
    </row>
    <row r="448" customFormat="false" ht="15" hidden="false" customHeight="false" outlineLevel="0" collapsed="false">
      <c r="A448" s="55"/>
      <c r="B448" s="56"/>
      <c r="C448" s="56"/>
      <c r="D448" s="56"/>
      <c r="E448" s="57"/>
      <c r="F448" s="58"/>
      <c r="G448" s="59"/>
      <c r="H448" s="56"/>
      <c r="I448" s="60" t="str">
        <f aca="false">IF(IsPro,IF($D448="","",IFERROR(INDEX(Items!$D$5:$D$504,Q448),"")),IF($D448="","","PRO PLAN"))</f>
        <v/>
      </c>
      <c r="J448" s="61" t="str">
        <f aca="false">IF(IsPro,IF($D448="","",IF($F448="",IFERROR(INDEX(Items!$G$5:$G$504,Q448),0),$F448)),"")</f>
        <v/>
      </c>
      <c r="K448" s="61" t="str">
        <f aca="false">IF(IsPro,IF($D448="","",ROUND(N($E448)*J448*(1-N($G448)),2)),"")</f>
        <v/>
      </c>
      <c r="L448" s="62" t="str">
        <f aca="false">IF(IsPro,IF($D448="","",IFERROR(INDEX(Items!$F$5:$F$504,Q448),0)),"")</f>
        <v/>
      </c>
      <c r="M448" s="61" t="str">
        <f aca="false">IF(IsPro,IF($D448="","",IF(AND(R448&lt;&gt;"",INDEX(Parties!$E$5:$E$304,R448)&lt;&gt;"",INDEX(Parties!$E$5:$E$304,R448)&lt;&gt;HomeState),0,ROUND(K448*L448/2,2))),"")</f>
        <v/>
      </c>
      <c r="N448" s="61" t="str">
        <f aca="false">IF(IsPro,IF($D448="","",M448),"")</f>
        <v/>
      </c>
      <c r="O448" s="61" t="str">
        <f aca="false">IF(IsPro,IF($D448="","",IF(AND(R448&lt;&gt;"",INDEX(Parties!$E$5:$E$304,R448)&lt;&gt;"",INDEX(Parties!$E$5:$E$304,R448)&lt;&gt;HomeState),ROUND(K448*L448,2),0)),"")</f>
        <v/>
      </c>
      <c r="P448" s="61" t="str">
        <f aca="false">IF(IsPro,IF($D448="","",K448+M448+N448+O448),"")</f>
        <v/>
      </c>
      <c r="Q448" s="60" t="str">
        <f aca="false">IF(IsPro,IF($D448="","",IFERROR(MATCH($D448,Items!$A$5:$A$504,0),"")),"")</f>
        <v/>
      </c>
      <c r="R448" s="60" t="str">
        <f aca="false">IF(IsPro,IF($C448="","",IFERROR(MATCH($C448,Parties!$A$5:$A$304,0),"")),"")</f>
        <v/>
      </c>
      <c r="S448" s="61" t="str">
        <f aca="false">IF(IsPro,IF($D448="","",IF(OR($H448="",$H448="Credit"),0,P448)),"")</f>
        <v/>
      </c>
    </row>
    <row r="449" customFormat="false" ht="15" hidden="false" customHeight="false" outlineLevel="0" collapsed="false">
      <c r="A449" s="55"/>
      <c r="B449" s="56"/>
      <c r="C449" s="56"/>
      <c r="D449" s="56"/>
      <c r="E449" s="57"/>
      <c r="F449" s="58"/>
      <c r="G449" s="59"/>
      <c r="H449" s="56"/>
      <c r="I449" s="60" t="str">
        <f aca="false">IF(IsPro,IF($D449="","",IFERROR(INDEX(Items!$D$5:$D$504,Q449),"")),IF($D449="","","PRO PLAN"))</f>
        <v/>
      </c>
      <c r="J449" s="61" t="str">
        <f aca="false">IF(IsPro,IF($D449="","",IF($F449="",IFERROR(INDEX(Items!$G$5:$G$504,Q449),0),$F449)),"")</f>
        <v/>
      </c>
      <c r="K449" s="61" t="str">
        <f aca="false">IF(IsPro,IF($D449="","",ROUND(N($E449)*J449*(1-N($G449)),2)),"")</f>
        <v/>
      </c>
      <c r="L449" s="62" t="str">
        <f aca="false">IF(IsPro,IF($D449="","",IFERROR(INDEX(Items!$F$5:$F$504,Q449),0)),"")</f>
        <v/>
      </c>
      <c r="M449" s="61" t="str">
        <f aca="false">IF(IsPro,IF($D449="","",IF(AND(R449&lt;&gt;"",INDEX(Parties!$E$5:$E$304,R449)&lt;&gt;"",INDEX(Parties!$E$5:$E$304,R449)&lt;&gt;HomeState),0,ROUND(K449*L449/2,2))),"")</f>
        <v/>
      </c>
      <c r="N449" s="61" t="str">
        <f aca="false">IF(IsPro,IF($D449="","",M449),"")</f>
        <v/>
      </c>
      <c r="O449" s="61" t="str">
        <f aca="false">IF(IsPro,IF($D449="","",IF(AND(R449&lt;&gt;"",INDEX(Parties!$E$5:$E$304,R449)&lt;&gt;"",INDEX(Parties!$E$5:$E$304,R449)&lt;&gt;HomeState),ROUND(K449*L449,2),0)),"")</f>
        <v/>
      </c>
      <c r="P449" s="61" t="str">
        <f aca="false">IF(IsPro,IF($D449="","",K449+M449+N449+O449),"")</f>
        <v/>
      </c>
      <c r="Q449" s="60" t="str">
        <f aca="false">IF(IsPro,IF($D449="","",IFERROR(MATCH($D449,Items!$A$5:$A$504,0),"")),"")</f>
        <v/>
      </c>
      <c r="R449" s="60" t="str">
        <f aca="false">IF(IsPro,IF($C449="","",IFERROR(MATCH($C449,Parties!$A$5:$A$304,0),"")),"")</f>
        <v/>
      </c>
      <c r="S449" s="61" t="str">
        <f aca="false">IF(IsPro,IF($D449="","",IF(OR($H449="",$H449="Credit"),0,P449)),"")</f>
        <v/>
      </c>
    </row>
    <row r="450" customFormat="false" ht="15" hidden="false" customHeight="false" outlineLevel="0" collapsed="false">
      <c r="A450" s="55"/>
      <c r="B450" s="56"/>
      <c r="C450" s="56"/>
      <c r="D450" s="56"/>
      <c r="E450" s="57"/>
      <c r="F450" s="58"/>
      <c r="G450" s="59"/>
      <c r="H450" s="56"/>
      <c r="I450" s="60" t="str">
        <f aca="false">IF(IsPro,IF($D450="","",IFERROR(INDEX(Items!$D$5:$D$504,Q450),"")),IF($D450="","","PRO PLAN"))</f>
        <v/>
      </c>
      <c r="J450" s="61" t="str">
        <f aca="false">IF(IsPro,IF($D450="","",IF($F450="",IFERROR(INDEX(Items!$G$5:$G$504,Q450),0),$F450)),"")</f>
        <v/>
      </c>
      <c r="K450" s="61" t="str">
        <f aca="false">IF(IsPro,IF($D450="","",ROUND(N($E450)*J450*(1-N($G450)),2)),"")</f>
        <v/>
      </c>
      <c r="L450" s="62" t="str">
        <f aca="false">IF(IsPro,IF($D450="","",IFERROR(INDEX(Items!$F$5:$F$504,Q450),0)),"")</f>
        <v/>
      </c>
      <c r="M450" s="61" t="str">
        <f aca="false">IF(IsPro,IF($D450="","",IF(AND(R450&lt;&gt;"",INDEX(Parties!$E$5:$E$304,R450)&lt;&gt;"",INDEX(Parties!$E$5:$E$304,R450)&lt;&gt;HomeState),0,ROUND(K450*L450/2,2))),"")</f>
        <v/>
      </c>
      <c r="N450" s="61" t="str">
        <f aca="false">IF(IsPro,IF($D450="","",M450),"")</f>
        <v/>
      </c>
      <c r="O450" s="61" t="str">
        <f aca="false">IF(IsPro,IF($D450="","",IF(AND(R450&lt;&gt;"",INDEX(Parties!$E$5:$E$304,R450)&lt;&gt;"",INDEX(Parties!$E$5:$E$304,R450)&lt;&gt;HomeState),ROUND(K450*L450,2),0)),"")</f>
        <v/>
      </c>
      <c r="P450" s="61" t="str">
        <f aca="false">IF(IsPro,IF($D450="","",K450+M450+N450+O450),"")</f>
        <v/>
      </c>
      <c r="Q450" s="60" t="str">
        <f aca="false">IF(IsPro,IF($D450="","",IFERROR(MATCH($D450,Items!$A$5:$A$504,0),"")),"")</f>
        <v/>
      </c>
      <c r="R450" s="60" t="str">
        <f aca="false">IF(IsPro,IF($C450="","",IFERROR(MATCH($C450,Parties!$A$5:$A$304,0),"")),"")</f>
        <v/>
      </c>
      <c r="S450" s="61" t="str">
        <f aca="false">IF(IsPro,IF($D450="","",IF(OR($H450="",$H450="Credit"),0,P450)),"")</f>
        <v/>
      </c>
    </row>
    <row r="451" customFormat="false" ht="15" hidden="false" customHeight="false" outlineLevel="0" collapsed="false">
      <c r="A451" s="55"/>
      <c r="B451" s="56"/>
      <c r="C451" s="56"/>
      <c r="D451" s="56"/>
      <c r="E451" s="57"/>
      <c r="F451" s="58"/>
      <c r="G451" s="59"/>
      <c r="H451" s="56"/>
      <c r="I451" s="60" t="str">
        <f aca="false">IF(IsPro,IF($D451="","",IFERROR(INDEX(Items!$D$5:$D$504,Q451),"")),IF($D451="","","PRO PLAN"))</f>
        <v/>
      </c>
      <c r="J451" s="61" t="str">
        <f aca="false">IF(IsPro,IF($D451="","",IF($F451="",IFERROR(INDEX(Items!$G$5:$G$504,Q451),0),$F451)),"")</f>
        <v/>
      </c>
      <c r="K451" s="61" t="str">
        <f aca="false">IF(IsPro,IF($D451="","",ROUND(N($E451)*J451*(1-N($G451)),2)),"")</f>
        <v/>
      </c>
      <c r="L451" s="62" t="str">
        <f aca="false">IF(IsPro,IF($D451="","",IFERROR(INDEX(Items!$F$5:$F$504,Q451),0)),"")</f>
        <v/>
      </c>
      <c r="M451" s="61" t="str">
        <f aca="false">IF(IsPro,IF($D451="","",IF(AND(R451&lt;&gt;"",INDEX(Parties!$E$5:$E$304,R451)&lt;&gt;"",INDEX(Parties!$E$5:$E$304,R451)&lt;&gt;HomeState),0,ROUND(K451*L451/2,2))),"")</f>
        <v/>
      </c>
      <c r="N451" s="61" t="str">
        <f aca="false">IF(IsPro,IF($D451="","",M451),"")</f>
        <v/>
      </c>
      <c r="O451" s="61" t="str">
        <f aca="false">IF(IsPro,IF($D451="","",IF(AND(R451&lt;&gt;"",INDEX(Parties!$E$5:$E$304,R451)&lt;&gt;"",INDEX(Parties!$E$5:$E$304,R451)&lt;&gt;HomeState),ROUND(K451*L451,2),0)),"")</f>
        <v/>
      </c>
      <c r="P451" s="61" t="str">
        <f aca="false">IF(IsPro,IF($D451="","",K451+M451+N451+O451),"")</f>
        <v/>
      </c>
      <c r="Q451" s="60" t="str">
        <f aca="false">IF(IsPro,IF($D451="","",IFERROR(MATCH($D451,Items!$A$5:$A$504,0),"")),"")</f>
        <v/>
      </c>
      <c r="R451" s="60" t="str">
        <f aca="false">IF(IsPro,IF($C451="","",IFERROR(MATCH($C451,Parties!$A$5:$A$304,0),"")),"")</f>
        <v/>
      </c>
      <c r="S451" s="61" t="str">
        <f aca="false">IF(IsPro,IF($D451="","",IF(OR($H451="",$H451="Credit"),0,P451)),"")</f>
        <v/>
      </c>
    </row>
    <row r="452" customFormat="false" ht="15" hidden="false" customHeight="false" outlineLevel="0" collapsed="false">
      <c r="A452" s="55"/>
      <c r="B452" s="56"/>
      <c r="C452" s="56"/>
      <c r="D452" s="56"/>
      <c r="E452" s="57"/>
      <c r="F452" s="58"/>
      <c r="G452" s="59"/>
      <c r="H452" s="56"/>
      <c r="I452" s="60" t="str">
        <f aca="false">IF(IsPro,IF($D452="","",IFERROR(INDEX(Items!$D$5:$D$504,Q452),"")),IF($D452="","","PRO PLAN"))</f>
        <v/>
      </c>
      <c r="J452" s="61" t="str">
        <f aca="false">IF(IsPro,IF($D452="","",IF($F452="",IFERROR(INDEX(Items!$G$5:$G$504,Q452),0),$F452)),"")</f>
        <v/>
      </c>
      <c r="K452" s="61" t="str">
        <f aca="false">IF(IsPro,IF($D452="","",ROUND(N($E452)*J452*(1-N($G452)),2)),"")</f>
        <v/>
      </c>
      <c r="L452" s="62" t="str">
        <f aca="false">IF(IsPro,IF($D452="","",IFERROR(INDEX(Items!$F$5:$F$504,Q452),0)),"")</f>
        <v/>
      </c>
      <c r="M452" s="61" t="str">
        <f aca="false">IF(IsPro,IF($D452="","",IF(AND(R452&lt;&gt;"",INDEX(Parties!$E$5:$E$304,R452)&lt;&gt;"",INDEX(Parties!$E$5:$E$304,R452)&lt;&gt;HomeState),0,ROUND(K452*L452/2,2))),"")</f>
        <v/>
      </c>
      <c r="N452" s="61" t="str">
        <f aca="false">IF(IsPro,IF($D452="","",M452),"")</f>
        <v/>
      </c>
      <c r="O452" s="61" t="str">
        <f aca="false">IF(IsPro,IF($D452="","",IF(AND(R452&lt;&gt;"",INDEX(Parties!$E$5:$E$304,R452)&lt;&gt;"",INDEX(Parties!$E$5:$E$304,R452)&lt;&gt;HomeState),ROUND(K452*L452,2),0)),"")</f>
        <v/>
      </c>
      <c r="P452" s="61" t="str">
        <f aca="false">IF(IsPro,IF($D452="","",K452+M452+N452+O452),"")</f>
        <v/>
      </c>
      <c r="Q452" s="60" t="str">
        <f aca="false">IF(IsPro,IF($D452="","",IFERROR(MATCH($D452,Items!$A$5:$A$504,0),"")),"")</f>
        <v/>
      </c>
      <c r="R452" s="60" t="str">
        <f aca="false">IF(IsPro,IF($C452="","",IFERROR(MATCH($C452,Parties!$A$5:$A$304,0),"")),"")</f>
        <v/>
      </c>
      <c r="S452" s="61" t="str">
        <f aca="false">IF(IsPro,IF($D452="","",IF(OR($H452="",$H452="Credit"),0,P452)),"")</f>
        <v/>
      </c>
    </row>
    <row r="453" customFormat="false" ht="15" hidden="false" customHeight="false" outlineLevel="0" collapsed="false">
      <c r="A453" s="55"/>
      <c r="B453" s="56"/>
      <c r="C453" s="56"/>
      <c r="D453" s="56"/>
      <c r="E453" s="57"/>
      <c r="F453" s="58"/>
      <c r="G453" s="59"/>
      <c r="H453" s="56"/>
      <c r="I453" s="60" t="str">
        <f aca="false">IF(IsPro,IF($D453="","",IFERROR(INDEX(Items!$D$5:$D$504,Q453),"")),IF($D453="","","PRO PLAN"))</f>
        <v/>
      </c>
      <c r="J453" s="61" t="str">
        <f aca="false">IF(IsPro,IF($D453="","",IF($F453="",IFERROR(INDEX(Items!$G$5:$G$504,Q453),0),$F453)),"")</f>
        <v/>
      </c>
      <c r="K453" s="61" t="str">
        <f aca="false">IF(IsPro,IF($D453="","",ROUND(N($E453)*J453*(1-N($G453)),2)),"")</f>
        <v/>
      </c>
      <c r="L453" s="62" t="str">
        <f aca="false">IF(IsPro,IF($D453="","",IFERROR(INDEX(Items!$F$5:$F$504,Q453),0)),"")</f>
        <v/>
      </c>
      <c r="M453" s="61" t="str">
        <f aca="false">IF(IsPro,IF($D453="","",IF(AND(R453&lt;&gt;"",INDEX(Parties!$E$5:$E$304,R453)&lt;&gt;"",INDEX(Parties!$E$5:$E$304,R453)&lt;&gt;HomeState),0,ROUND(K453*L453/2,2))),"")</f>
        <v/>
      </c>
      <c r="N453" s="61" t="str">
        <f aca="false">IF(IsPro,IF($D453="","",M453),"")</f>
        <v/>
      </c>
      <c r="O453" s="61" t="str">
        <f aca="false">IF(IsPro,IF($D453="","",IF(AND(R453&lt;&gt;"",INDEX(Parties!$E$5:$E$304,R453)&lt;&gt;"",INDEX(Parties!$E$5:$E$304,R453)&lt;&gt;HomeState),ROUND(K453*L453,2),0)),"")</f>
        <v/>
      </c>
      <c r="P453" s="61" t="str">
        <f aca="false">IF(IsPro,IF($D453="","",K453+M453+N453+O453),"")</f>
        <v/>
      </c>
      <c r="Q453" s="60" t="str">
        <f aca="false">IF(IsPro,IF($D453="","",IFERROR(MATCH($D453,Items!$A$5:$A$504,0),"")),"")</f>
        <v/>
      </c>
      <c r="R453" s="60" t="str">
        <f aca="false">IF(IsPro,IF($C453="","",IFERROR(MATCH($C453,Parties!$A$5:$A$304,0),"")),"")</f>
        <v/>
      </c>
      <c r="S453" s="61" t="str">
        <f aca="false">IF(IsPro,IF($D453="","",IF(OR($H453="",$H453="Credit"),0,P453)),"")</f>
        <v/>
      </c>
    </row>
    <row r="454" customFormat="false" ht="15" hidden="false" customHeight="false" outlineLevel="0" collapsed="false">
      <c r="A454" s="55"/>
      <c r="B454" s="56"/>
      <c r="C454" s="56"/>
      <c r="D454" s="56"/>
      <c r="E454" s="57"/>
      <c r="F454" s="58"/>
      <c r="G454" s="59"/>
      <c r="H454" s="56"/>
      <c r="I454" s="60" t="str">
        <f aca="false">IF(IsPro,IF($D454="","",IFERROR(INDEX(Items!$D$5:$D$504,Q454),"")),IF($D454="","","PRO PLAN"))</f>
        <v/>
      </c>
      <c r="J454" s="61" t="str">
        <f aca="false">IF(IsPro,IF($D454="","",IF($F454="",IFERROR(INDEX(Items!$G$5:$G$504,Q454),0),$F454)),"")</f>
        <v/>
      </c>
      <c r="K454" s="61" t="str">
        <f aca="false">IF(IsPro,IF($D454="","",ROUND(N($E454)*J454*(1-N($G454)),2)),"")</f>
        <v/>
      </c>
      <c r="L454" s="62" t="str">
        <f aca="false">IF(IsPro,IF($D454="","",IFERROR(INDEX(Items!$F$5:$F$504,Q454),0)),"")</f>
        <v/>
      </c>
      <c r="M454" s="61" t="str">
        <f aca="false">IF(IsPro,IF($D454="","",IF(AND(R454&lt;&gt;"",INDEX(Parties!$E$5:$E$304,R454)&lt;&gt;"",INDEX(Parties!$E$5:$E$304,R454)&lt;&gt;HomeState),0,ROUND(K454*L454/2,2))),"")</f>
        <v/>
      </c>
      <c r="N454" s="61" t="str">
        <f aca="false">IF(IsPro,IF($D454="","",M454),"")</f>
        <v/>
      </c>
      <c r="O454" s="61" t="str">
        <f aca="false">IF(IsPro,IF($D454="","",IF(AND(R454&lt;&gt;"",INDEX(Parties!$E$5:$E$304,R454)&lt;&gt;"",INDEX(Parties!$E$5:$E$304,R454)&lt;&gt;HomeState),ROUND(K454*L454,2),0)),"")</f>
        <v/>
      </c>
      <c r="P454" s="61" t="str">
        <f aca="false">IF(IsPro,IF($D454="","",K454+M454+N454+O454),"")</f>
        <v/>
      </c>
      <c r="Q454" s="60" t="str">
        <f aca="false">IF(IsPro,IF($D454="","",IFERROR(MATCH($D454,Items!$A$5:$A$504,0),"")),"")</f>
        <v/>
      </c>
      <c r="R454" s="60" t="str">
        <f aca="false">IF(IsPro,IF($C454="","",IFERROR(MATCH($C454,Parties!$A$5:$A$304,0),"")),"")</f>
        <v/>
      </c>
      <c r="S454" s="61" t="str">
        <f aca="false">IF(IsPro,IF($D454="","",IF(OR($H454="",$H454="Credit"),0,P454)),"")</f>
        <v/>
      </c>
    </row>
    <row r="455" customFormat="false" ht="15" hidden="false" customHeight="false" outlineLevel="0" collapsed="false">
      <c r="A455" s="55"/>
      <c r="B455" s="56"/>
      <c r="C455" s="56"/>
      <c r="D455" s="56"/>
      <c r="E455" s="57"/>
      <c r="F455" s="58"/>
      <c r="G455" s="59"/>
      <c r="H455" s="56"/>
      <c r="I455" s="60" t="str">
        <f aca="false">IF(IsPro,IF($D455="","",IFERROR(INDEX(Items!$D$5:$D$504,Q455),"")),IF($D455="","","PRO PLAN"))</f>
        <v/>
      </c>
      <c r="J455" s="61" t="str">
        <f aca="false">IF(IsPro,IF($D455="","",IF($F455="",IFERROR(INDEX(Items!$G$5:$G$504,Q455),0),$F455)),"")</f>
        <v/>
      </c>
      <c r="K455" s="61" t="str">
        <f aca="false">IF(IsPro,IF($D455="","",ROUND(N($E455)*J455*(1-N($G455)),2)),"")</f>
        <v/>
      </c>
      <c r="L455" s="62" t="str">
        <f aca="false">IF(IsPro,IF($D455="","",IFERROR(INDEX(Items!$F$5:$F$504,Q455),0)),"")</f>
        <v/>
      </c>
      <c r="M455" s="61" t="str">
        <f aca="false">IF(IsPro,IF($D455="","",IF(AND(R455&lt;&gt;"",INDEX(Parties!$E$5:$E$304,R455)&lt;&gt;"",INDEX(Parties!$E$5:$E$304,R455)&lt;&gt;HomeState),0,ROUND(K455*L455/2,2))),"")</f>
        <v/>
      </c>
      <c r="N455" s="61" t="str">
        <f aca="false">IF(IsPro,IF($D455="","",M455),"")</f>
        <v/>
      </c>
      <c r="O455" s="61" t="str">
        <f aca="false">IF(IsPro,IF($D455="","",IF(AND(R455&lt;&gt;"",INDEX(Parties!$E$5:$E$304,R455)&lt;&gt;"",INDEX(Parties!$E$5:$E$304,R455)&lt;&gt;HomeState),ROUND(K455*L455,2),0)),"")</f>
        <v/>
      </c>
      <c r="P455" s="61" t="str">
        <f aca="false">IF(IsPro,IF($D455="","",K455+M455+N455+O455),"")</f>
        <v/>
      </c>
      <c r="Q455" s="60" t="str">
        <f aca="false">IF(IsPro,IF($D455="","",IFERROR(MATCH($D455,Items!$A$5:$A$504,0),"")),"")</f>
        <v/>
      </c>
      <c r="R455" s="60" t="str">
        <f aca="false">IF(IsPro,IF($C455="","",IFERROR(MATCH($C455,Parties!$A$5:$A$304,0),"")),"")</f>
        <v/>
      </c>
      <c r="S455" s="61" t="str">
        <f aca="false">IF(IsPro,IF($D455="","",IF(OR($H455="",$H455="Credit"),0,P455)),"")</f>
        <v/>
      </c>
    </row>
    <row r="456" customFormat="false" ht="15" hidden="false" customHeight="false" outlineLevel="0" collapsed="false">
      <c r="A456" s="55"/>
      <c r="B456" s="56"/>
      <c r="C456" s="56"/>
      <c r="D456" s="56"/>
      <c r="E456" s="57"/>
      <c r="F456" s="58"/>
      <c r="G456" s="59"/>
      <c r="H456" s="56"/>
      <c r="I456" s="60" t="str">
        <f aca="false">IF(IsPro,IF($D456="","",IFERROR(INDEX(Items!$D$5:$D$504,Q456),"")),IF($D456="","","PRO PLAN"))</f>
        <v/>
      </c>
      <c r="J456" s="61" t="str">
        <f aca="false">IF(IsPro,IF($D456="","",IF($F456="",IFERROR(INDEX(Items!$G$5:$G$504,Q456),0),$F456)),"")</f>
        <v/>
      </c>
      <c r="K456" s="61" t="str">
        <f aca="false">IF(IsPro,IF($D456="","",ROUND(N($E456)*J456*(1-N($G456)),2)),"")</f>
        <v/>
      </c>
      <c r="L456" s="62" t="str">
        <f aca="false">IF(IsPro,IF($D456="","",IFERROR(INDEX(Items!$F$5:$F$504,Q456),0)),"")</f>
        <v/>
      </c>
      <c r="M456" s="61" t="str">
        <f aca="false">IF(IsPro,IF($D456="","",IF(AND(R456&lt;&gt;"",INDEX(Parties!$E$5:$E$304,R456)&lt;&gt;"",INDEX(Parties!$E$5:$E$304,R456)&lt;&gt;HomeState),0,ROUND(K456*L456/2,2))),"")</f>
        <v/>
      </c>
      <c r="N456" s="61" t="str">
        <f aca="false">IF(IsPro,IF($D456="","",M456),"")</f>
        <v/>
      </c>
      <c r="O456" s="61" t="str">
        <f aca="false">IF(IsPro,IF($D456="","",IF(AND(R456&lt;&gt;"",INDEX(Parties!$E$5:$E$304,R456)&lt;&gt;"",INDEX(Parties!$E$5:$E$304,R456)&lt;&gt;HomeState),ROUND(K456*L456,2),0)),"")</f>
        <v/>
      </c>
      <c r="P456" s="61" t="str">
        <f aca="false">IF(IsPro,IF($D456="","",K456+M456+N456+O456),"")</f>
        <v/>
      </c>
      <c r="Q456" s="60" t="str">
        <f aca="false">IF(IsPro,IF($D456="","",IFERROR(MATCH($D456,Items!$A$5:$A$504,0),"")),"")</f>
        <v/>
      </c>
      <c r="R456" s="60" t="str">
        <f aca="false">IF(IsPro,IF($C456="","",IFERROR(MATCH($C456,Parties!$A$5:$A$304,0),"")),"")</f>
        <v/>
      </c>
      <c r="S456" s="61" t="str">
        <f aca="false">IF(IsPro,IF($D456="","",IF(OR($H456="",$H456="Credit"),0,P456)),"")</f>
        <v/>
      </c>
    </row>
    <row r="457" customFormat="false" ht="15" hidden="false" customHeight="false" outlineLevel="0" collapsed="false">
      <c r="A457" s="55"/>
      <c r="B457" s="56"/>
      <c r="C457" s="56"/>
      <c r="D457" s="56"/>
      <c r="E457" s="57"/>
      <c r="F457" s="58"/>
      <c r="G457" s="59"/>
      <c r="H457" s="56"/>
      <c r="I457" s="60" t="str">
        <f aca="false">IF(IsPro,IF($D457="","",IFERROR(INDEX(Items!$D$5:$D$504,Q457),"")),IF($D457="","","PRO PLAN"))</f>
        <v/>
      </c>
      <c r="J457" s="61" t="str">
        <f aca="false">IF(IsPro,IF($D457="","",IF($F457="",IFERROR(INDEX(Items!$G$5:$G$504,Q457),0),$F457)),"")</f>
        <v/>
      </c>
      <c r="K457" s="61" t="str">
        <f aca="false">IF(IsPro,IF($D457="","",ROUND(N($E457)*J457*(1-N($G457)),2)),"")</f>
        <v/>
      </c>
      <c r="L457" s="62" t="str">
        <f aca="false">IF(IsPro,IF($D457="","",IFERROR(INDEX(Items!$F$5:$F$504,Q457),0)),"")</f>
        <v/>
      </c>
      <c r="M457" s="61" t="str">
        <f aca="false">IF(IsPro,IF($D457="","",IF(AND(R457&lt;&gt;"",INDEX(Parties!$E$5:$E$304,R457)&lt;&gt;"",INDEX(Parties!$E$5:$E$304,R457)&lt;&gt;HomeState),0,ROUND(K457*L457/2,2))),"")</f>
        <v/>
      </c>
      <c r="N457" s="61" t="str">
        <f aca="false">IF(IsPro,IF($D457="","",M457),"")</f>
        <v/>
      </c>
      <c r="O457" s="61" t="str">
        <f aca="false">IF(IsPro,IF($D457="","",IF(AND(R457&lt;&gt;"",INDEX(Parties!$E$5:$E$304,R457)&lt;&gt;"",INDEX(Parties!$E$5:$E$304,R457)&lt;&gt;HomeState),ROUND(K457*L457,2),0)),"")</f>
        <v/>
      </c>
      <c r="P457" s="61" t="str">
        <f aca="false">IF(IsPro,IF($D457="","",K457+M457+N457+O457),"")</f>
        <v/>
      </c>
      <c r="Q457" s="60" t="str">
        <f aca="false">IF(IsPro,IF($D457="","",IFERROR(MATCH($D457,Items!$A$5:$A$504,0),"")),"")</f>
        <v/>
      </c>
      <c r="R457" s="60" t="str">
        <f aca="false">IF(IsPro,IF($C457="","",IFERROR(MATCH($C457,Parties!$A$5:$A$304,0),"")),"")</f>
        <v/>
      </c>
      <c r="S457" s="61" t="str">
        <f aca="false">IF(IsPro,IF($D457="","",IF(OR($H457="",$H457="Credit"),0,P457)),"")</f>
        <v/>
      </c>
    </row>
    <row r="458" customFormat="false" ht="15" hidden="false" customHeight="false" outlineLevel="0" collapsed="false">
      <c r="A458" s="55"/>
      <c r="B458" s="56"/>
      <c r="C458" s="56"/>
      <c r="D458" s="56"/>
      <c r="E458" s="57"/>
      <c r="F458" s="58"/>
      <c r="G458" s="59"/>
      <c r="H458" s="56"/>
      <c r="I458" s="60" t="str">
        <f aca="false">IF(IsPro,IF($D458="","",IFERROR(INDEX(Items!$D$5:$D$504,Q458),"")),IF($D458="","","PRO PLAN"))</f>
        <v/>
      </c>
      <c r="J458" s="61" t="str">
        <f aca="false">IF(IsPro,IF($D458="","",IF($F458="",IFERROR(INDEX(Items!$G$5:$G$504,Q458),0),$F458)),"")</f>
        <v/>
      </c>
      <c r="K458" s="61" t="str">
        <f aca="false">IF(IsPro,IF($D458="","",ROUND(N($E458)*J458*(1-N($G458)),2)),"")</f>
        <v/>
      </c>
      <c r="L458" s="62" t="str">
        <f aca="false">IF(IsPro,IF($D458="","",IFERROR(INDEX(Items!$F$5:$F$504,Q458),0)),"")</f>
        <v/>
      </c>
      <c r="M458" s="61" t="str">
        <f aca="false">IF(IsPro,IF($D458="","",IF(AND(R458&lt;&gt;"",INDEX(Parties!$E$5:$E$304,R458)&lt;&gt;"",INDEX(Parties!$E$5:$E$304,R458)&lt;&gt;HomeState),0,ROUND(K458*L458/2,2))),"")</f>
        <v/>
      </c>
      <c r="N458" s="61" t="str">
        <f aca="false">IF(IsPro,IF($D458="","",M458),"")</f>
        <v/>
      </c>
      <c r="O458" s="61" t="str">
        <f aca="false">IF(IsPro,IF($D458="","",IF(AND(R458&lt;&gt;"",INDEX(Parties!$E$5:$E$304,R458)&lt;&gt;"",INDEX(Parties!$E$5:$E$304,R458)&lt;&gt;HomeState),ROUND(K458*L458,2),0)),"")</f>
        <v/>
      </c>
      <c r="P458" s="61" t="str">
        <f aca="false">IF(IsPro,IF($D458="","",K458+M458+N458+O458),"")</f>
        <v/>
      </c>
      <c r="Q458" s="60" t="str">
        <f aca="false">IF(IsPro,IF($D458="","",IFERROR(MATCH($D458,Items!$A$5:$A$504,0),"")),"")</f>
        <v/>
      </c>
      <c r="R458" s="60" t="str">
        <f aca="false">IF(IsPro,IF($C458="","",IFERROR(MATCH($C458,Parties!$A$5:$A$304,0),"")),"")</f>
        <v/>
      </c>
      <c r="S458" s="61" t="str">
        <f aca="false">IF(IsPro,IF($D458="","",IF(OR($H458="",$H458="Credit"),0,P458)),"")</f>
        <v/>
      </c>
    </row>
    <row r="459" customFormat="false" ht="15" hidden="false" customHeight="false" outlineLevel="0" collapsed="false">
      <c r="A459" s="55"/>
      <c r="B459" s="56"/>
      <c r="C459" s="56"/>
      <c r="D459" s="56"/>
      <c r="E459" s="57"/>
      <c r="F459" s="58"/>
      <c r="G459" s="59"/>
      <c r="H459" s="56"/>
      <c r="I459" s="60" t="str">
        <f aca="false">IF(IsPro,IF($D459="","",IFERROR(INDEX(Items!$D$5:$D$504,Q459),"")),IF($D459="","","PRO PLAN"))</f>
        <v/>
      </c>
      <c r="J459" s="61" t="str">
        <f aca="false">IF(IsPro,IF($D459="","",IF($F459="",IFERROR(INDEX(Items!$G$5:$G$504,Q459),0),$F459)),"")</f>
        <v/>
      </c>
      <c r="K459" s="61" t="str">
        <f aca="false">IF(IsPro,IF($D459="","",ROUND(N($E459)*J459*(1-N($G459)),2)),"")</f>
        <v/>
      </c>
      <c r="L459" s="62" t="str">
        <f aca="false">IF(IsPro,IF($D459="","",IFERROR(INDEX(Items!$F$5:$F$504,Q459),0)),"")</f>
        <v/>
      </c>
      <c r="M459" s="61" t="str">
        <f aca="false">IF(IsPro,IF($D459="","",IF(AND(R459&lt;&gt;"",INDEX(Parties!$E$5:$E$304,R459)&lt;&gt;"",INDEX(Parties!$E$5:$E$304,R459)&lt;&gt;HomeState),0,ROUND(K459*L459/2,2))),"")</f>
        <v/>
      </c>
      <c r="N459" s="61" t="str">
        <f aca="false">IF(IsPro,IF($D459="","",M459),"")</f>
        <v/>
      </c>
      <c r="O459" s="61" t="str">
        <f aca="false">IF(IsPro,IF($D459="","",IF(AND(R459&lt;&gt;"",INDEX(Parties!$E$5:$E$304,R459)&lt;&gt;"",INDEX(Parties!$E$5:$E$304,R459)&lt;&gt;HomeState),ROUND(K459*L459,2),0)),"")</f>
        <v/>
      </c>
      <c r="P459" s="61" t="str">
        <f aca="false">IF(IsPro,IF($D459="","",K459+M459+N459+O459),"")</f>
        <v/>
      </c>
      <c r="Q459" s="60" t="str">
        <f aca="false">IF(IsPro,IF($D459="","",IFERROR(MATCH($D459,Items!$A$5:$A$504,0),"")),"")</f>
        <v/>
      </c>
      <c r="R459" s="60" t="str">
        <f aca="false">IF(IsPro,IF($C459="","",IFERROR(MATCH($C459,Parties!$A$5:$A$304,0),"")),"")</f>
        <v/>
      </c>
      <c r="S459" s="61" t="str">
        <f aca="false">IF(IsPro,IF($D459="","",IF(OR($H459="",$H459="Credit"),0,P459)),"")</f>
        <v/>
      </c>
    </row>
    <row r="460" customFormat="false" ht="15" hidden="false" customHeight="false" outlineLevel="0" collapsed="false">
      <c r="A460" s="55"/>
      <c r="B460" s="56"/>
      <c r="C460" s="56"/>
      <c r="D460" s="56"/>
      <c r="E460" s="57"/>
      <c r="F460" s="58"/>
      <c r="G460" s="59"/>
      <c r="H460" s="56"/>
      <c r="I460" s="60" t="str">
        <f aca="false">IF(IsPro,IF($D460="","",IFERROR(INDEX(Items!$D$5:$D$504,Q460),"")),IF($D460="","","PRO PLAN"))</f>
        <v/>
      </c>
      <c r="J460" s="61" t="str">
        <f aca="false">IF(IsPro,IF($D460="","",IF($F460="",IFERROR(INDEX(Items!$G$5:$G$504,Q460),0),$F460)),"")</f>
        <v/>
      </c>
      <c r="K460" s="61" t="str">
        <f aca="false">IF(IsPro,IF($D460="","",ROUND(N($E460)*J460*(1-N($G460)),2)),"")</f>
        <v/>
      </c>
      <c r="L460" s="62" t="str">
        <f aca="false">IF(IsPro,IF($D460="","",IFERROR(INDEX(Items!$F$5:$F$504,Q460),0)),"")</f>
        <v/>
      </c>
      <c r="M460" s="61" t="str">
        <f aca="false">IF(IsPro,IF($D460="","",IF(AND(R460&lt;&gt;"",INDEX(Parties!$E$5:$E$304,R460)&lt;&gt;"",INDEX(Parties!$E$5:$E$304,R460)&lt;&gt;HomeState),0,ROUND(K460*L460/2,2))),"")</f>
        <v/>
      </c>
      <c r="N460" s="61" t="str">
        <f aca="false">IF(IsPro,IF($D460="","",M460),"")</f>
        <v/>
      </c>
      <c r="O460" s="61" t="str">
        <f aca="false">IF(IsPro,IF($D460="","",IF(AND(R460&lt;&gt;"",INDEX(Parties!$E$5:$E$304,R460)&lt;&gt;"",INDEX(Parties!$E$5:$E$304,R460)&lt;&gt;HomeState),ROUND(K460*L460,2),0)),"")</f>
        <v/>
      </c>
      <c r="P460" s="61" t="str">
        <f aca="false">IF(IsPro,IF($D460="","",K460+M460+N460+O460),"")</f>
        <v/>
      </c>
      <c r="Q460" s="60" t="str">
        <f aca="false">IF(IsPro,IF($D460="","",IFERROR(MATCH($D460,Items!$A$5:$A$504,0),"")),"")</f>
        <v/>
      </c>
      <c r="R460" s="60" t="str">
        <f aca="false">IF(IsPro,IF($C460="","",IFERROR(MATCH($C460,Parties!$A$5:$A$304,0),"")),"")</f>
        <v/>
      </c>
      <c r="S460" s="61" t="str">
        <f aca="false">IF(IsPro,IF($D460="","",IF(OR($H460="",$H460="Credit"),0,P460)),"")</f>
        <v/>
      </c>
    </row>
    <row r="461" customFormat="false" ht="15" hidden="false" customHeight="false" outlineLevel="0" collapsed="false">
      <c r="A461" s="55"/>
      <c r="B461" s="56"/>
      <c r="C461" s="56"/>
      <c r="D461" s="56"/>
      <c r="E461" s="57"/>
      <c r="F461" s="58"/>
      <c r="G461" s="59"/>
      <c r="H461" s="56"/>
      <c r="I461" s="60" t="str">
        <f aca="false">IF(IsPro,IF($D461="","",IFERROR(INDEX(Items!$D$5:$D$504,Q461),"")),IF($D461="","","PRO PLAN"))</f>
        <v/>
      </c>
      <c r="J461" s="61" t="str">
        <f aca="false">IF(IsPro,IF($D461="","",IF($F461="",IFERROR(INDEX(Items!$G$5:$G$504,Q461),0),$F461)),"")</f>
        <v/>
      </c>
      <c r="K461" s="61" t="str">
        <f aca="false">IF(IsPro,IF($D461="","",ROUND(N($E461)*J461*(1-N($G461)),2)),"")</f>
        <v/>
      </c>
      <c r="L461" s="62" t="str">
        <f aca="false">IF(IsPro,IF($D461="","",IFERROR(INDEX(Items!$F$5:$F$504,Q461),0)),"")</f>
        <v/>
      </c>
      <c r="M461" s="61" t="str">
        <f aca="false">IF(IsPro,IF($D461="","",IF(AND(R461&lt;&gt;"",INDEX(Parties!$E$5:$E$304,R461)&lt;&gt;"",INDEX(Parties!$E$5:$E$304,R461)&lt;&gt;HomeState),0,ROUND(K461*L461/2,2))),"")</f>
        <v/>
      </c>
      <c r="N461" s="61" t="str">
        <f aca="false">IF(IsPro,IF($D461="","",M461),"")</f>
        <v/>
      </c>
      <c r="O461" s="61" t="str">
        <f aca="false">IF(IsPro,IF($D461="","",IF(AND(R461&lt;&gt;"",INDEX(Parties!$E$5:$E$304,R461)&lt;&gt;"",INDEX(Parties!$E$5:$E$304,R461)&lt;&gt;HomeState),ROUND(K461*L461,2),0)),"")</f>
        <v/>
      </c>
      <c r="P461" s="61" t="str">
        <f aca="false">IF(IsPro,IF($D461="","",K461+M461+N461+O461),"")</f>
        <v/>
      </c>
      <c r="Q461" s="60" t="str">
        <f aca="false">IF(IsPro,IF($D461="","",IFERROR(MATCH($D461,Items!$A$5:$A$504,0),"")),"")</f>
        <v/>
      </c>
      <c r="R461" s="60" t="str">
        <f aca="false">IF(IsPro,IF($C461="","",IFERROR(MATCH($C461,Parties!$A$5:$A$304,0),"")),"")</f>
        <v/>
      </c>
      <c r="S461" s="61" t="str">
        <f aca="false">IF(IsPro,IF($D461="","",IF(OR($H461="",$H461="Credit"),0,P461)),"")</f>
        <v/>
      </c>
    </row>
    <row r="462" customFormat="false" ht="15" hidden="false" customHeight="false" outlineLevel="0" collapsed="false">
      <c r="A462" s="55"/>
      <c r="B462" s="56"/>
      <c r="C462" s="56"/>
      <c r="D462" s="56"/>
      <c r="E462" s="57"/>
      <c r="F462" s="58"/>
      <c r="G462" s="59"/>
      <c r="H462" s="56"/>
      <c r="I462" s="60" t="str">
        <f aca="false">IF(IsPro,IF($D462="","",IFERROR(INDEX(Items!$D$5:$D$504,Q462),"")),IF($D462="","","PRO PLAN"))</f>
        <v/>
      </c>
      <c r="J462" s="61" t="str">
        <f aca="false">IF(IsPro,IF($D462="","",IF($F462="",IFERROR(INDEX(Items!$G$5:$G$504,Q462),0),$F462)),"")</f>
        <v/>
      </c>
      <c r="K462" s="61" t="str">
        <f aca="false">IF(IsPro,IF($D462="","",ROUND(N($E462)*J462*(1-N($G462)),2)),"")</f>
        <v/>
      </c>
      <c r="L462" s="62" t="str">
        <f aca="false">IF(IsPro,IF($D462="","",IFERROR(INDEX(Items!$F$5:$F$504,Q462),0)),"")</f>
        <v/>
      </c>
      <c r="M462" s="61" t="str">
        <f aca="false">IF(IsPro,IF($D462="","",IF(AND(R462&lt;&gt;"",INDEX(Parties!$E$5:$E$304,R462)&lt;&gt;"",INDEX(Parties!$E$5:$E$304,R462)&lt;&gt;HomeState),0,ROUND(K462*L462/2,2))),"")</f>
        <v/>
      </c>
      <c r="N462" s="61" t="str">
        <f aca="false">IF(IsPro,IF($D462="","",M462),"")</f>
        <v/>
      </c>
      <c r="O462" s="61" t="str">
        <f aca="false">IF(IsPro,IF($D462="","",IF(AND(R462&lt;&gt;"",INDEX(Parties!$E$5:$E$304,R462)&lt;&gt;"",INDEX(Parties!$E$5:$E$304,R462)&lt;&gt;HomeState),ROUND(K462*L462,2),0)),"")</f>
        <v/>
      </c>
      <c r="P462" s="61" t="str">
        <f aca="false">IF(IsPro,IF($D462="","",K462+M462+N462+O462),"")</f>
        <v/>
      </c>
      <c r="Q462" s="60" t="str">
        <f aca="false">IF(IsPro,IF($D462="","",IFERROR(MATCH($D462,Items!$A$5:$A$504,0),"")),"")</f>
        <v/>
      </c>
      <c r="R462" s="60" t="str">
        <f aca="false">IF(IsPro,IF($C462="","",IFERROR(MATCH($C462,Parties!$A$5:$A$304,0),"")),"")</f>
        <v/>
      </c>
      <c r="S462" s="61" t="str">
        <f aca="false">IF(IsPro,IF($D462="","",IF(OR($H462="",$H462="Credit"),0,P462)),"")</f>
        <v/>
      </c>
    </row>
    <row r="463" customFormat="false" ht="15" hidden="false" customHeight="false" outlineLevel="0" collapsed="false">
      <c r="A463" s="55"/>
      <c r="B463" s="56"/>
      <c r="C463" s="56"/>
      <c r="D463" s="56"/>
      <c r="E463" s="57"/>
      <c r="F463" s="58"/>
      <c r="G463" s="59"/>
      <c r="H463" s="56"/>
      <c r="I463" s="60" t="str">
        <f aca="false">IF(IsPro,IF($D463="","",IFERROR(INDEX(Items!$D$5:$D$504,Q463),"")),IF($D463="","","PRO PLAN"))</f>
        <v/>
      </c>
      <c r="J463" s="61" t="str">
        <f aca="false">IF(IsPro,IF($D463="","",IF($F463="",IFERROR(INDEX(Items!$G$5:$G$504,Q463),0),$F463)),"")</f>
        <v/>
      </c>
      <c r="K463" s="61" t="str">
        <f aca="false">IF(IsPro,IF($D463="","",ROUND(N($E463)*J463*(1-N($G463)),2)),"")</f>
        <v/>
      </c>
      <c r="L463" s="62" t="str">
        <f aca="false">IF(IsPro,IF($D463="","",IFERROR(INDEX(Items!$F$5:$F$504,Q463),0)),"")</f>
        <v/>
      </c>
      <c r="M463" s="61" t="str">
        <f aca="false">IF(IsPro,IF($D463="","",IF(AND(R463&lt;&gt;"",INDEX(Parties!$E$5:$E$304,R463)&lt;&gt;"",INDEX(Parties!$E$5:$E$304,R463)&lt;&gt;HomeState),0,ROUND(K463*L463/2,2))),"")</f>
        <v/>
      </c>
      <c r="N463" s="61" t="str">
        <f aca="false">IF(IsPro,IF($D463="","",M463),"")</f>
        <v/>
      </c>
      <c r="O463" s="61" t="str">
        <f aca="false">IF(IsPro,IF($D463="","",IF(AND(R463&lt;&gt;"",INDEX(Parties!$E$5:$E$304,R463)&lt;&gt;"",INDEX(Parties!$E$5:$E$304,R463)&lt;&gt;HomeState),ROUND(K463*L463,2),0)),"")</f>
        <v/>
      </c>
      <c r="P463" s="61" t="str">
        <f aca="false">IF(IsPro,IF($D463="","",K463+M463+N463+O463),"")</f>
        <v/>
      </c>
      <c r="Q463" s="60" t="str">
        <f aca="false">IF(IsPro,IF($D463="","",IFERROR(MATCH($D463,Items!$A$5:$A$504,0),"")),"")</f>
        <v/>
      </c>
      <c r="R463" s="60" t="str">
        <f aca="false">IF(IsPro,IF($C463="","",IFERROR(MATCH($C463,Parties!$A$5:$A$304,0),"")),"")</f>
        <v/>
      </c>
      <c r="S463" s="61" t="str">
        <f aca="false">IF(IsPro,IF($D463="","",IF(OR($H463="",$H463="Credit"),0,P463)),"")</f>
        <v/>
      </c>
    </row>
    <row r="464" customFormat="false" ht="15" hidden="false" customHeight="false" outlineLevel="0" collapsed="false">
      <c r="A464" s="55"/>
      <c r="B464" s="56"/>
      <c r="C464" s="56"/>
      <c r="D464" s="56"/>
      <c r="E464" s="57"/>
      <c r="F464" s="58"/>
      <c r="G464" s="59"/>
      <c r="H464" s="56"/>
      <c r="I464" s="60" t="str">
        <f aca="false">IF(IsPro,IF($D464="","",IFERROR(INDEX(Items!$D$5:$D$504,Q464),"")),IF($D464="","","PRO PLAN"))</f>
        <v/>
      </c>
      <c r="J464" s="61" t="str">
        <f aca="false">IF(IsPro,IF($D464="","",IF($F464="",IFERROR(INDEX(Items!$G$5:$G$504,Q464),0),$F464)),"")</f>
        <v/>
      </c>
      <c r="K464" s="61" t="str">
        <f aca="false">IF(IsPro,IF($D464="","",ROUND(N($E464)*J464*(1-N($G464)),2)),"")</f>
        <v/>
      </c>
      <c r="L464" s="62" t="str">
        <f aca="false">IF(IsPro,IF($D464="","",IFERROR(INDEX(Items!$F$5:$F$504,Q464),0)),"")</f>
        <v/>
      </c>
      <c r="M464" s="61" t="str">
        <f aca="false">IF(IsPro,IF($D464="","",IF(AND(R464&lt;&gt;"",INDEX(Parties!$E$5:$E$304,R464)&lt;&gt;"",INDEX(Parties!$E$5:$E$304,R464)&lt;&gt;HomeState),0,ROUND(K464*L464/2,2))),"")</f>
        <v/>
      </c>
      <c r="N464" s="61" t="str">
        <f aca="false">IF(IsPro,IF($D464="","",M464),"")</f>
        <v/>
      </c>
      <c r="O464" s="61" t="str">
        <f aca="false">IF(IsPro,IF($D464="","",IF(AND(R464&lt;&gt;"",INDEX(Parties!$E$5:$E$304,R464)&lt;&gt;"",INDEX(Parties!$E$5:$E$304,R464)&lt;&gt;HomeState),ROUND(K464*L464,2),0)),"")</f>
        <v/>
      </c>
      <c r="P464" s="61" t="str">
        <f aca="false">IF(IsPro,IF($D464="","",K464+M464+N464+O464),"")</f>
        <v/>
      </c>
      <c r="Q464" s="60" t="str">
        <f aca="false">IF(IsPro,IF($D464="","",IFERROR(MATCH($D464,Items!$A$5:$A$504,0),"")),"")</f>
        <v/>
      </c>
      <c r="R464" s="60" t="str">
        <f aca="false">IF(IsPro,IF($C464="","",IFERROR(MATCH($C464,Parties!$A$5:$A$304,0),"")),"")</f>
        <v/>
      </c>
      <c r="S464" s="61" t="str">
        <f aca="false">IF(IsPro,IF($D464="","",IF(OR($H464="",$H464="Credit"),0,P464)),"")</f>
        <v/>
      </c>
    </row>
    <row r="465" customFormat="false" ht="15" hidden="false" customHeight="false" outlineLevel="0" collapsed="false">
      <c r="A465" s="55"/>
      <c r="B465" s="56"/>
      <c r="C465" s="56"/>
      <c r="D465" s="56"/>
      <c r="E465" s="57"/>
      <c r="F465" s="58"/>
      <c r="G465" s="59"/>
      <c r="H465" s="56"/>
      <c r="I465" s="60" t="str">
        <f aca="false">IF(IsPro,IF($D465="","",IFERROR(INDEX(Items!$D$5:$D$504,Q465),"")),IF($D465="","","PRO PLAN"))</f>
        <v/>
      </c>
      <c r="J465" s="61" t="str">
        <f aca="false">IF(IsPro,IF($D465="","",IF($F465="",IFERROR(INDEX(Items!$G$5:$G$504,Q465),0),$F465)),"")</f>
        <v/>
      </c>
      <c r="K465" s="61" t="str">
        <f aca="false">IF(IsPro,IF($D465="","",ROUND(N($E465)*J465*(1-N($G465)),2)),"")</f>
        <v/>
      </c>
      <c r="L465" s="62" t="str">
        <f aca="false">IF(IsPro,IF($D465="","",IFERROR(INDEX(Items!$F$5:$F$504,Q465),0)),"")</f>
        <v/>
      </c>
      <c r="M465" s="61" t="str">
        <f aca="false">IF(IsPro,IF($D465="","",IF(AND(R465&lt;&gt;"",INDEX(Parties!$E$5:$E$304,R465)&lt;&gt;"",INDEX(Parties!$E$5:$E$304,R465)&lt;&gt;HomeState),0,ROUND(K465*L465/2,2))),"")</f>
        <v/>
      </c>
      <c r="N465" s="61" t="str">
        <f aca="false">IF(IsPro,IF($D465="","",M465),"")</f>
        <v/>
      </c>
      <c r="O465" s="61" t="str">
        <f aca="false">IF(IsPro,IF($D465="","",IF(AND(R465&lt;&gt;"",INDEX(Parties!$E$5:$E$304,R465)&lt;&gt;"",INDEX(Parties!$E$5:$E$304,R465)&lt;&gt;HomeState),ROUND(K465*L465,2),0)),"")</f>
        <v/>
      </c>
      <c r="P465" s="61" t="str">
        <f aca="false">IF(IsPro,IF($D465="","",K465+M465+N465+O465),"")</f>
        <v/>
      </c>
      <c r="Q465" s="60" t="str">
        <f aca="false">IF(IsPro,IF($D465="","",IFERROR(MATCH($D465,Items!$A$5:$A$504,0),"")),"")</f>
        <v/>
      </c>
      <c r="R465" s="60" t="str">
        <f aca="false">IF(IsPro,IF($C465="","",IFERROR(MATCH($C465,Parties!$A$5:$A$304,0),"")),"")</f>
        <v/>
      </c>
      <c r="S465" s="61" t="str">
        <f aca="false">IF(IsPro,IF($D465="","",IF(OR($H465="",$H465="Credit"),0,P465)),"")</f>
        <v/>
      </c>
    </row>
    <row r="466" customFormat="false" ht="15" hidden="false" customHeight="false" outlineLevel="0" collapsed="false">
      <c r="A466" s="55"/>
      <c r="B466" s="56"/>
      <c r="C466" s="56"/>
      <c r="D466" s="56"/>
      <c r="E466" s="57"/>
      <c r="F466" s="58"/>
      <c r="G466" s="59"/>
      <c r="H466" s="56"/>
      <c r="I466" s="60" t="str">
        <f aca="false">IF(IsPro,IF($D466="","",IFERROR(INDEX(Items!$D$5:$D$504,Q466),"")),IF($D466="","","PRO PLAN"))</f>
        <v/>
      </c>
      <c r="J466" s="61" t="str">
        <f aca="false">IF(IsPro,IF($D466="","",IF($F466="",IFERROR(INDEX(Items!$G$5:$G$504,Q466),0),$F466)),"")</f>
        <v/>
      </c>
      <c r="K466" s="61" t="str">
        <f aca="false">IF(IsPro,IF($D466="","",ROUND(N($E466)*J466*(1-N($G466)),2)),"")</f>
        <v/>
      </c>
      <c r="L466" s="62" t="str">
        <f aca="false">IF(IsPro,IF($D466="","",IFERROR(INDEX(Items!$F$5:$F$504,Q466),0)),"")</f>
        <v/>
      </c>
      <c r="M466" s="61" t="str">
        <f aca="false">IF(IsPro,IF($D466="","",IF(AND(R466&lt;&gt;"",INDEX(Parties!$E$5:$E$304,R466)&lt;&gt;"",INDEX(Parties!$E$5:$E$304,R466)&lt;&gt;HomeState),0,ROUND(K466*L466/2,2))),"")</f>
        <v/>
      </c>
      <c r="N466" s="61" t="str">
        <f aca="false">IF(IsPro,IF($D466="","",M466),"")</f>
        <v/>
      </c>
      <c r="O466" s="61" t="str">
        <f aca="false">IF(IsPro,IF($D466="","",IF(AND(R466&lt;&gt;"",INDEX(Parties!$E$5:$E$304,R466)&lt;&gt;"",INDEX(Parties!$E$5:$E$304,R466)&lt;&gt;HomeState),ROUND(K466*L466,2),0)),"")</f>
        <v/>
      </c>
      <c r="P466" s="61" t="str">
        <f aca="false">IF(IsPro,IF($D466="","",K466+M466+N466+O466),"")</f>
        <v/>
      </c>
      <c r="Q466" s="60" t="str">
        <f aca="false">IF(IsPro,IF($D466="","",IFERROR(MATCH($D466,Items!$A$5:$A$504,0),"")),"")</f>
        <v/>
      </c>
      <c r="R466" s="60" t="str">
        <f aca="false">IF(IsPro,IF($C466="","",IFERROR(MATCH($C466,Parties!$A$5:$A$304,0),"")),"")</f>
        <v/>
      </c>
      <c r="S466" s="61" t="str">
        <f aca="false">IF(IsPro,IF($D466="","",IF(OR($H466="",$H466="Credit"),0,P466)),"")</f>
        <v/>
      </c>
    </row>
    <row r="467" customFormat="false" ht="15" hidden="false" customHeight="false" outlineLevel="0" collapsed="false">
      <c r="A467" s="55"/>
      <c r="B467" s="56"/>
      <c r="C467" s="56"/>
      <c r="D467" s="56"/>
      <c r="E467" s="57"/>
      <c r="F467" s="58"/>
      <c r="G467" s="59"/>
      <c r="H467" s="56"/>
      <c r="I467" s="60" t="str">
        <f aca="false">IF(IsPro,IF($D467="","",IFERROR(INDEX(Items!$D$5:$D$504,Q467),"")),IF($D467="","","PRO PLAN"))</f>
        <v/>
      </c>
      <c r="J467" s="61" t="str">
        <f aca="false">IF(IsPro,IF($D467="","",IF($F467="",IFERROR(INDEX(Items!$G$5:$G$504,Q467),0),$F467)),"")</f>
        <v/>
      </c>
      <c r="K467" s="61" t="str">
        <f aca="false">IF(IsPro,IF($D467="","",ROUND(N($E467)*J467*(1-N($G467)),2)),"")</f>
        <v/>
      </c>
      <c r="L467" s="62" t="str">
        <f aca="false">IF(IsPro,IF($D467="","",IFERROR(INDEX(Items!$F$5:$F$504,Q467),0)),"")</f>
        <v/>
      </c>
      <c r="M467" s="61" t="str">
        <f aca="false">IF(IsPro,IF($D467="","",IF(AND(R467&lt;&gt;"",INDEX(Parties!$E$5:$E$304,R467)&lt;&gt;"",INDEX(Parties!$E$5:$E$304,R467)&lt;&gt;HomeState),0,ROUND(K467*L467/2,2))),"")</f>
        <v/>
      </c>
      <c r="N467" s="61" t="str">
        <f aca="false">IF(IsPro,IF($D467="","",M467),"")</f>
        <v/>
      </c>
      <c r="O467" s="61" t="str">
        <f aca="false">IF(IsPro,IF($D467="","",IF(AND(R467&lt;&gt;"",INDEX(Parties!$E$5:$E$304,R467)&lt;&gt;"",INDEX(Parties!$E$5:$E$304,R467)&lt;&gt;HomeState),ROUND(K467*L467,2),0)),"")</f>
        <v/>
      </c>
      <c r="P467" s="61" t="str">
        <f aca="false">IF(IsPro,IF($D467="","",K467+M467+N467+O467),"")</f>
        <v/>
      </c>
      <c r="Q467" s="60" t="str">
        <f aca="false">IF(IsPro,IF($D467="","",IFERROR(MATCH($D467,Items!$A$5:$A$504,0),"")),"")</f>
        <v/>
      </c>
      <c r="R467" s="60" t="str">
        <f aca="false">IF(IsPro,IF($C467="","",IFERROR(MATCH($C467,Parties!$A$5:$A$304,0),"")),"")</f>
        <v/>
      </c>
      <c r="S467" s="61" t="str">
        <f aca="false">IF(IsPro,IF($D467="","",IF(OR($H467="",$H467="Credit"),0,P467)),"")</f>
        <v/>
      </c>
    </row>
    <row r="468" customFormat="false" ht="15" hidden="false" customHeight="false" outlineLevel="0" collapsed="false">
      <c r="A468" s="55"/>
      <c r="B468" s="56"/>
      <c r="C468" s="56"/>
      <c r="D468" s="56"/>
      <c r="E468" s="57"/>
      <c r="F468" s="58"/>
      <c r="G468" s="59"/>
      <c r="H468" s="56"/>
      <c r="I468" s="60" t="str">
        <f aca="false">IF(IsPro,IF($D468="","",IFERROR(INDEX(Items!$D$5:$D$504,Q468),"")),IF($D468="","","PRO PLAN"))</f>
        <v/>
      </c>
      <c r="J468" s="61" t="str">
        <f aca="false">IF(IsPro,IF($D468="","",IF($F468="",IFERROR(INDEX(Items!$G$5:$G$504,Q468),0),$F468)),"")</f>
        <v/>
      </c>
      <c r="K468" s="61" t="str">
        <f aca="false">IF(IsPro,IF($D468="","",ROUND(N($E468)*J468*(1-N($G468)),2)),"")</f>
        <v/>
      </c>
      <c r="L468" s="62" t="str">
        <f aca="false">IF(IsPro,IF($D468="","",IFERROR(INDEX(Items!$F$5:$F$504,Q468),0)),"")</f>
        <v/>
      </c>
      <c r="M468" s="61" t="str">
        <f aca="false">IF(IsPro,IF($D468="","",IF(AND(R468&lt;&gt;"",INDEX(Parties!$E$5:$E$304,R468)&lt;&gt;"",INDEX(Parties!$E$5:$E$304,R468)&lt;&gt;HomeState),0,ROUND(K468*L468/2,2))),"")</f>
        <v/>
      </c>
      <c r="N468" s="61" t="str">
        <f aca="false">IF(IsPro,IF($D468="","",M468),"")</f>
        <v/>
      </c>
      <c r="O468" s="61" t="str">
        <f aca="false">IF(IsPro,IF($D468="","",IF(AND(R468&lt;&gt;"",INDEX(Parties!$E$5:$E$304,R468)&lt;&gt;"",INDEX(Parties!$E$5:$E$304,R468)&lt;&gt;HomeState),ROUND(K468*L468,2),0)),"")</f>
        <v/>
      </c>
      <c r="P468" s="61" t="str">
        <f aca="false">IF(IsPro,IF($D468="","",K468+M468+N468+O468),"")</f>
        <v/>
      </c>
      <c r="Q468" s="60" t="str">
        <f aca="false">IF(IsPro,IF($D468="","",IFERROR(MATCH($D468,Items!$A$5:$A$504,0),"")),"")</f>
        <v/>
      </c>
      <c r="R468" s="60" t="str">
        <f aca="false">IF(IsPro,IF($C468="","",IFERROR(MATCH($C468,Parties!$A$5:$A$304,0),"")),"")</f>
        <v/>
      </c>
      <c r="S468" s="61" t="str">
        <f aca="false">IF(IsPro,IF($D468="","",IF(OR($H468="",$H468="Credit"),0,P468)),"")</f>
        <v/>
      </c>
    </row>
    <row r="469" customFormat="false" ht="15" hidden="false" customHeight="false" outlineLevel="0" collapsed="false">
      <c r="A469" s="55"/>
      <c r="B469" s="56"/>
      <c r="C469" s="56"/>
      <c r="D469" s="56"/>
      <c r="E469" s="57"/>
      <c r="F469" s="58"/>
      <c r="G469" s="59"/>
      <c r="H469" s="56"/>
      <c r="I469" s="60" t="str">
        <f aca="false">IF(IsPro,IF($D469="","",IFERROR(INDEX(Items!$D$5:$D$504,Q469),"")),IF($D469="","","PRO PLAN"))</f>
        <v/>
      </c>
      <c r="J469" s="61" t="str">
        <f aca="false">IF(IsPro,IF($D469="","",IF($F469="",IFERROR(INDEX(Items!$G$5:$G$504,Q469),0),$F469)),"")</f>
        <v/>
      </c>
      <c r="K469" s="61" t="str">
        <f aca="false">IF(IsPro,IF($D469="","",ROUND(N($E469)*J469*(1-N($G469)),2)),"")</f>
        <v/>
      </c>
      <c r="L469" s="62" t="str">
        <f aca="false">IF(IsPro,IF($D469="","",IFERROR(INDEX(Items!$F$5:$F$504,Q469),0)),"")</f>
        <v/>
      </c>
      <c r="M469" s="61" t="str">
        <f aca="false">IF(IsPro,IF($D469="","",IF(AND(R469&lt;&gt;"",INDEX(Parties!$E$5:$E$304,R469)&lt;&gt;"",INDEX(Parties!$E$5:$E$304,R469)&lt;&gt;HomeState),0,ROUND(K469*L469/2,2))),"")</f>
        <v/>
      </c>
      <c r="N469" s="61" t="str">
        <f aca="false">IF(IsPro,IF($D469="","",M469),"")</f>
        <v/>
      </c>
      <c r="O469" s="61" t="str">
        <f aca="false">IF(IsPro,IF($D469="","",IF(AND(R469&lt;&gt;"",INDEX(Parties!$E$5:$E$304,R469)&lt;&gt;"",INDEX(Parties!$E$5:$E$304,R469)&lt;&gt;HomeState),ROUND(K469*L469,2),0)),"")</f>
        <v/>
      </c>
      <c r="P469" s="61" t="str">
        <f aca="false">IF(IsPro,IF($D469="","",K469+M469+N469+O469),"")</f>
        <v/>
      </c>
      <c r="Q469" s="60" t="str">
        <f aca="false">IF(IsPro,IF($D469="","",IFERROR(MATCH($D469,Items!$A$5:$A$504,0),"")),"")</f>
        <v/>
      </c>
      <c r="R469" s="60" t="str">
        <f aca="false">IF(IsPro,IF($C469="","",IFERROR(MATCH($C469,Parties!$A$5:$A$304,0),"")),"")</f>
        <v/>
      </c>
      <c r="S469" s="61" t="str">
        <f aca="false">IF(IsPro,IF($D469="","",IF(OR($H469="",$H469="Credit"),0,P469)),"")</f>
        <v/>
      </c>
    </row>
    <row r="470" customFormat="false" ht="15" hidden="false" customHeight="false" outlineLevel="0" collapsed="false">
      <c r="A470" s="55"/>
      <c r="B470" s="56"/>
      <c r="C470" s="56"/>
      <c r="D470" s="56"/>
      <c r="E470" s="57"/>
      <c r="F470" s="58"/>
      <c r="G470" s="59"/>
      <c r="H470" s="56"/>
      <c r="I470" s="60" t="str">
        <f aca="false">IF(IsPro,IF($D470="","",IFERROR(INDEX(Items!$D$5:$D$504,Q470),"")),IF($D470="","","PRO PLAN"))</f>
        <v/>
      </c>
      <c r="J470" s="61" t="str">
        <f aca="false">IF(IsPro,IF($D470="","",IF($F470="",IFERROR(INDEX(Items!$G$5:$G$504,Q470),0),$F470)),"")</f>
        <v/>
      </c>
      <c r="K470" s="61" t="str">
        <f aca="false">IF(IsPro,IF($D470="","",ROUND(N($E470)*J470*(1-N($G470)),2)),"")</f>
        <v/>
      </c>
      <c r="L470" s="62" t="str">
        <f aca="false">IF(IsPro,IF($D470="","",IFERROR(INDEX(Items!$F$5:$F$504,Q470),0)),"")</f>
        <v/>
      </c>
      <c r="M470" s="61" t="str">
        <f aca="false">IF(IsPro,IF($D470="","",IF(AND(R470&lt;&gt;"",INDEX(Parties!$E$5:$E$304,R470)&lt;&gt;"",INDEX(Parties!$E$5:$E$304,R470)&lt;&gt;HomeState),0,ROUND(K470*L470/2,2))),"")</f>
        <v/>
      </c>
      <c r="N470" s="61" t="str">
        <f aca="false">IF(IsPro,IF($D470="","",M470),"")</f>
        <v/>
      </c>
      <c r="O470" s="61" t="str">
        <f aca="false">IF(IsPro,IF($D470="","",IF(AND(R470&lt;&gt;"",INDEX(Parties!$E$5:$E$304,R470)&lt;&gt;"",INDEX(Parties!$E$5:$E$304,R470)&lt;&gt;HomeState),ROUND(K470*L470,2),0)),"")</f>
        <v/>
      </c>
      <c r="P470" s="61" t="str">
        <f aca="false">IF(IsPro,IF($D470="","",K470+M470+N470+O470),"")</f>
        <v/>
      </c>
      <c r="Q470" s="60" t="str">
        <f aca="false">IF(IsPro,IF($D470="","",IFERROR(MATCH($D470,Items!$A$5:$A$504,0),"")),"")</f>
        <v/>
      </c>
      <c r="R470" s="60" t="str">
        <f aca="false">IF(IsPro,IF($C470="","",IFERROR(MATCH($C470,Parties!$A$5:$A$304,0),"")),"")</f>
        <v/>
      </c>
      <c r="S470" s="61" t="str">
        <f aca="false">IF(IsPro,IF($D470="","",IF(OR($H470="",$H470="Credit"),0,P470)),"")</f>
        <v/>
      </c>
    </row>
    <row r="471" customFormat="false" ht="15" hidden="false" customHeight="false" outlineLevel="0" collapsed="false">
      <c r="A471" s="55"/>
      <c r="B471" s="56"/>
      <c r="C471" s="56"/>
      <c r="D471" s="56"/>
      <c r="E471" s="57"/>
      <c r="F471" s="58"/>
      <c r="G471" s="59"/>
      <c r="H471" s="56"/>
      <c r="I471" s="60" t="str">
        <f aca="false">IF(IsPro,IF($D471="","",IFERROR(INDEX(Items!$D$5:$D$504,Q471),"")),IF($D471="","","PRO PLAN"))</f>
        <v/>
      </c>
      <c r="J471" s="61" t="str">
        <f aca="false">IF(IsPro,IF($D471="","",IF($F471="",IFERROR(INDEX(Items!$G$5:$G$504,Q471),0),$F471)),"")</f>
        <v/>
      </c>
      <c r="K471" s="61" t="str">
        <f aca="false">IF(IsPro,IF($D471="","",ROUND(N($E471)*J471*(1-N($G471)),2)),"")</f>
        <v/>
      </c>
      <c r="L471" s="62" t="str">
        <f aca="false">IF(IsPro,IF($D471="","",IFERROR(INDEX(Items!$F$5:$F$504,Q471),0)),"")</f>
        <v/>
      </c>
      <c r="M471" s="61" t="str">
        <f aca="false">IF(IsPro,IF($D471="","",IF(AND(R471&lt;&gt;"",INDEX(Parties!$E$5:$E$304,R471)&lt;&gt;"",INDEX(Parties!$E$5:$E$304,R471)&lt;&gt;HomeState),0,ROUND(K471*L471/2,2))),"")</f>
        <v/>
      </c>
      <c r="N471" s="61" t="str">
        <f aca="false">IF(IsPro,IF($D471="","",M471),"")</f>
        <v/>
      </c>
      <c r="O471" s="61" t="str">
        <f aca="false">IF(IsPro,IF($D471="","",IF(AND(R471&lt;&gt;"",INDEX(Parties!$E$5:$E$304,R471)&lt;&gt;"",INDEX(Parties!$E$5:$E$304,R471)&lt;&gt;HomeState),ROUND(K471*L471,2),0)),"")</f>
        <v/>
      </c>
      <c r="P471" s="61" t="str">
        <f aca="false">IF(IsPro,IF($D471="","",K471+M471+N471+O471),"")</f>
        <v/>
      </c>
      <c r="Q471" s="60" t="str">
        <f aca="false">IF(IsPro,IF($D471="","",IFERROR(MATCH($D471,Items!$A$5:$A$504,0),"")),"")</f>
        <v/>
      </c>
      <c r="R471" s="60" t="str">
        <f aca="false">IF(IsPro,IF($C471="","",IFERROR(MATCH($C471,Parties!$A$5:$A$304,0),"")),"")</f>
        <v/>
      </c>
      <c r="S471" s="61" t="str">
        <f aca="false">IF(IsPro,IF($D471="","",IF(OR($H471="",$H471="Credit"),0,P471)),"")</f>
        <v/>
      </c>
    </row>
    <row r="472" customFormat="false" ht="15" hidden="false" customHeight="false" outlineLevel="0" collapsed="false">
      <c r="A472" s="55"/>
      <c r="B472" s="56"/>
      <c r="C472" s="56"/>
      <c r="D472" s="56"/>
      <c r="E472" s="57"/>
      <c r="F472" s="58"/>
      <c r="G472" s="59"/>
      <c r="H472" s="56"/>
      <c r="I472" s="60" t="str">
        <f aca="false">IF(IsPro,IF($D472="","",IFERROR(INDEX(Items!$D$5:$D$504,Q472),"")),IF($D472="","","PRO PLAN"))</f>
        <v/>
      </c>
      <c r="J472" s="61" t="str">
        <f aca="false">IF(IsPro,IF($D472="","",IF($F472="",IFERROR(INDEX(Items!$G$5:$G$504,Q472),0),$F472)),"")</f>
        <v/>
      </c>
      <c r="K472" s="61" t="str">
        <f aca="false">IF(IsPro,IF($D472="","",ROUND(N($E472)*J472*(1-N($G472)),2)),"")</f>
        <v/>
      </c>
      <c r="L472" s="62" t="str">
        <f aca="false">IF(IsPro,IF($D472="","",IFERROR(INDEX(Items!$F$5:$F$504,Q472),0)),"")</f>
        <v/>
      </c>
      <c r="M472" s="61" t="str">
        <f aca="false">IF(IsPro,IF($D472="","",IF(AND(R472&lt;&gt;"",INDEX(Parties!$E$5:$E$304,R472)&lt;&gt;"",INDEX(Parties!$E$5:$E$304,R472)&lt;&gt;HomeState),0,ROUND(K472*L472/2,2))),"")</f>
        <v/>
      </c>
      <c r="N472" s="61" t="str">
        <f aca="false">IF(IsPro,IF($D472="","",M472),"")</f>
        <v/>
      </c>
      <c r="O472" s="61" t="str">
        <f aca="false">IF(IsPro,IF($D472="","",IF(AND(R472&lt;&gt;"",INDEX(Parties!$E$5:$E$304,R472)&lt;&gt;"",INDEX(Parties!$E$5:$E$304,R472)&lt;&gt;HomeState),ROUND(K472*L472,2),0)),"")</f>
        <v/>
      </c>
      <c r="P472" s="61" t="str">
        <f aca="false">IF(IsPro,IF($D472="","",K472+M472+N472+O472),"")</f>
        <v/>
      </c>
      <c r="Q472" s="60" t="str">
        <f aca="false">IF(IsPro,IF($D472="","",IFERROR(MATCH($D472,Items!$A$5:$A$504,0),"")),"")</f>
        <v/>
      </c>
      <c r="R472" s="60" t="str">
        <f aca="false">IF(IsPro,IF($C472="","",IFERROR(MATCH($C472,Parties!$A$5:$A$304,0),"")),"")</f>
        <v/>
      </c>
      <c r="S472" s="61" t="str">
        <f aca="false">IF(IsPro,IF($D472="","",IF(OR($H472="",$H472="Credit"),0,P472)),"")</f>
        <v/>
      </c>
    </row>
    <row r="473" customFormat="false" ht="15" hidden="false" customHeight="false" outlineLevel="0" collapsed="false">
      <c r="A473" s="55"/>
      <c r="B473" s="56"/>
      <c r="C473" s="56"/>
      <c r="D473" s="56"/>
      <c r="E473" s="57"/>
      <c r="F473" s="58"/>
      <c r="G473" s="59"/>
      <c r="H473" s="56"/>
      <c r="I473" s="60" t="str">
        <f aca="false">IF(IsPro,IF($D473="","",IFERROR(INDEX(Items!$D$5:$D$504,Q473),"")),IF($D473="","","PRO PLAN"))</f>
        <v/>
      </c>
      <c r="J473" s="61" t="str">
        <f aca="false">IF(IsPro,IF($D473="","",IF($F473="",IFERROR(INDEX(Items!$G$5:$G$504,Q473),0),$F473)),"")</f>
        <v/>
      </c>
      <c r="K473" s="61" t="str">
        <f aca="false">IF(IsPro,IF($D473="","",ROUND(N($E473)*J473*(1-N($G473)),2)),"")</f>
        <v/>
      </c>
      <c r="L473" s="62" t="str">
        <f aca="false">IF(IsPro,IF($D473="","",IFERROR(INDEX(Items!$F$5:$F$504,Q473),0)),"")</f>
        <v/>
      </c>
      <c r="M473" s="61" t="str">
        <f aca="false">IF(IsPro,IF($D473="","",IF(AND(R473&lt;&gt;"",INDEX(Parties!$E$5:$E$304,R473)&lt;&gt;"",INDEX(Parties!$E$5:$E$304,R473)&lt;&gt;HomeState),0,ROUND(K473*L473/2,2))),"")</f>
        <v/>
      </c>
      <c r="N473" s="61" t="str">
        <f aca="false">IF(IsPro,IF($D473="","",M473),"")</f>
        <v/>
      </c>
      <c r="O473" s="61" t="str">
        <f aca="false">IF(IsPro,IF($D473="","",IF(AND(R473&lt;&gt;"",INDEX(Parties!$E$5:$E$304,R473)&lt;&gt;"",INDEX(Parties!$E$5:$E$304,R473)&lt;&gt;HomeState),ROUND(K473*L473,2),0)),"")</f>
        <v/>
      </c>
      <c r="P473" s="61" t="str">
        <f aca="false">IF(IsPro,IF($D473="","",K473+M473+N473+O473),"")</f>
        <v/>
      </c>
      <c r="Q473" s="60" t="str">
        <f aca="false">IF(IsPro,IF($D473="","",IFERROR(MATCH($D473,Items!$A$5:$A$504,0),"")),"")</f>
        <v/>
      </c>
      <c r="R473" s="60" t="str">
        <f aca="false">IF(IsPro,IF($C473="","",IFERROR(MATCH($C473,Parties!$A$5:$A$304,0),"")),"")</f>
        <v/>
      </c>
      <c r="S473" s="61" t="str">
        <f aca="false">IF(IsPro,IF($D473="","",IF(OR($H473="",$H473="Credit"),0,P473)),"")</f>
        <v/>
      </c>
    </row>
    <row r="474" customFormat="false" ht="15" hidden="false" customHeight="false" outlineLevel="0" collapsed="false">
      <c r="A474" s="55"/>
      <c r="B474" s="56"/>
      <c r="C474" s="56"/>
      <c r="D474" s="56"/>
      <c r="E474" s="57"/>
      <c r="F474" s="58"/>
      <c r="G474" s="59"/>
      <c r="H474" s="56"/>
      <c r="I474" s="60" t="str">
        <f aca="false">IF(IsPro,IF($D474="","",IFERROR(INDEX(Items!$D$5:$D$504,Q474),"")),IF($D474="","","PRO PLAN"))</f>
        <v/>
      </c>
      <c r="J474" s="61" t="str">
        <f aca="false">IF(IsPro,IF($D474="","",IF($F474="",IFERROR(INDEX(Items!$G$5:$G$504,Q474),0),$F474)),"")</f>
        <v/>
      </c>
      <c r="K474" s="61" t="str">
        <f aca="false">IF(IsPro,IF($D474="","",ROUND(N($E474)*J474*(1-N($G474)),2)),"")</f>
        <v/>
      </c>
      <c r="L474" s="62" t="str">
        <f aca="false">IF(IsPro,IF($D474="","",IFERROR(INDEX(Items!$F$5:$F$504,Q474),0)),"")</f>
        <v/>
      </c>
      <c r="M474" s="61" t="str">
        <f aca="false">IF(IsPro,IF($D474="","",IF(AND(R474&lt;&gt;"",INDEX(Parties!$E$5:$E$304,R474)&lt;&gt;"",INDEX(Parties!$E$5:$E$304,R474)&lt;&gt;HomeState),0,ROUND(K474*L474/2,2))),"")</f>
        <v/>
      </c>
      <c r="N474" s="61" t="str">
        <f aca="false">IF(IsPro,IF($D474="","",M474),"")</f>
        <v/>
      </c>
      <c r="O474" s="61" t="str">
        <f aca="false">IF(IsPro,IF($D474="","",IF(AND(R474&lt;&gt;"",INDEX(Parties!$E$5:$E$304,R474)&lt;&gt;"",INDEX(Parties!$E$5:$E$304,R474)&lt;&gt;HomeState),ROUND(K474*L474,2),0)),"")</f>
        <v/>
      </c>
      <c r="P474" s="61" t="str">
        <f aca="false">IF(IsPro,IF($D474="","",K474+M474+N474+O474),"")</f>
        <v/>
      </c>
      <c r="Q474" s="60" t="str">
        <f aca="false">IF(IsPro,IF($D474="","",IFERROR(MATCH($D474,Items!$A$5:$A$504,0),"")),"")</f>
        <v/>
      </c>
      <c r="R474" s="60" t="str">
        <f aca="false">IF(IsPro,IF($C474="","",IFERROR(MATCH($C474,Parties!$A$5:$A$304,0),"")),"")</f>
        <v/>
      </c>
      <c r="S474" s="61" t="str">
        <f aca="false">IF(IsPro,IF($D474="","",IF(OR($H474="",$H474="Credit"),0,P474)),"")</f>
        <v/>
      </c>
    </row>
    <row r="475" customFormat="false" ht="15" hidden="false" customHeight="false" outlineLevel="0" collapsed="false">
      <c r="A475" s="55"/>
      <c r="B475" s="56"/>
      <c r="C475" s="56"/>
      <c r="D475" s="56"/>
      <c r="E475" s="57"/>
      <c r="F475" s="58"/>
      <c r="G475" s="59"/>
      <c r="H475" s="56"/>
      <c r="I475" s="60" t="str">
        <f aca="false">IF(IsPro,IF($D475="","",IFERROR(INDEX(Items!$D$5:$D$504,Q475),"")),IF($D475="","","PRO PLAN"))</f>
        <v/>
      </c>
      <c r="J475" s="61" t="str">
        <f aca="false">IF(IsPro,IF($D475="","",IF($F475="",IFERROR(INDEX(Items!$G$5:$G$504,Q475),0),$F475)),"")</f>
        <v/>
      </c>
      <c r="K475" s="61" t="str">
        <f aca="false">IF(IsPro,IF($D475="","",ROUND(N($E475)*J475*(1-N($G475)),2)),"")</f>
        <v/>
      </c>
      <c r="L475" s="62" t="str">
        <f aca="false">IF(IsPro,IF($D475="","",IFERROR(INDEX(Items!$F$5:$F$504,Q475),0)),"")</f>
        <v/>
      </c>
      <c r="M475" s="61" t="str">
        <f aca="false">IF(IsPro,IF($D475="","",IF(AND(R475&lt;&gt;"",INDEX(Parties!$E$5:$E$304,R475)&lt;&gt;"",INDEX(Parties!$E$5:$E$304,R475)&lt;&gt;HomeState),0,ROUND(K475*L475/2,2))),"")</f>
        <v/>
      </c>
      <c r="N475" s="61" t="str">
        <f aca="false">IF(IsPro,IF($D475="","",M475),"")</f>
        <v/>
      </c>
      <c r="O475" s="61" t="str">
        <f aca="false">IF(IsPro,IF($D475="","",IF(AND(R475&lt;&gt;"",INDEX(Parties!$E$5:$E$304,R475)&lt;&gt;"",INDEX(Parties!$E$5:$E$304,R475)&lt;&gt;HomeState),ROUND(K475*L475,2),0)),"")</f>
        <v/>
      </c>
      <c r="P475" s="61" t="str">
        <f aca="false">IF(IsPro,IF($D475="","",K475+M475+N475+O475),"")</f>
        <v/>
      </c>
      <c r="Q475" s="60" t="str">
        <f aca="false">IF(IsPro,IF($D475="","",IFERROR(MATCH($D475,Items!$A$5:$A$504,0),"")),"")</f>
        <v/>
      </c>
      <c r="R475" s="60" t="str">
        <f aca="false">IF(IsPro,IF($C475="","",IFERROR(MATCH($C475,Parties!$A$5:$A$304,0),"")),"")</f>
        <v/>
      </c>
      <c r="S475" s="61" t="str">
        <f aca="false">IF(IsPro,IF($D475="","",IF(OR($H475="",$H475="Credit"),0,P475)),"")</f>
        <v/>
      </c>
    </row>
    <row r="476" customFormat="false" ht="15" hidden="false" customHeight="false" outlineLevel="0" collapsed="false">
      <c r="A476" s="55"/>
      <c r="B476" s="56"/>
      <c r="C476" s="56"/>
      <c r="D476" s="56"/>
      <c r="E476" s="57"/>
      <c r="F476" s="58"/>
      <c r="G476" s="59"/>
      <c r="H476" s="56"/>
      <c r="I476" s="60" t="str">
        <f aca="false">IF(IsPro,IF($D476="","",IFERROR(INDEX(Items!$D$5:$D$504,Q476),"")),IF($D476="","","PRO PLAN"))</f>
        <v/>
      </c>
      <c r="J476" s="61" t="str">
        <f aca="false">IF(IsPro,IF($D476="","",IF($F476="",IFERROR(INDEX(Items!$G$5:$G$504,Q476),0),$F476)),"")</f>
        <v/>
      </c>
      <c r="K476" s="61" t="str">
        <f aca="false">IF(IsPro,IF($D476="","",ROUND(N($E476)*J476*(1-N($G476)),2)),"")</f>
        <v/>
      </c>
      <c r="L476" s="62" t="str">
        <f aca="false">IF(IsPro,IF($D476="","",IFERROR(INDEX(Items!$F$5:$F$504,Q476),0)),"")</f>
        <v/>
      </c>
      <c r="M476" s="61" t="str">
        <f aca="false">IF(IsPro,IF($D476="","",IF(AND(R476&lt;&gt;"",INDEX(Parties!$E$5:$E$304,R476)&lt;&gt;"",INDEX(Parties!$E$5:$E$304,R476)&lt;&gt;HomeState),0,ROUND(K476*L476/2,2))),"")</f>
        <v/>
      </c>
      <c r="N476" s="61" t="str">
        <f aca="false">IF(IsPro,IF($D476="","",M476),"")</f>
        <v/>
      </c>
      <c r="O476" s="61" t="str">
        <f aca="false">IF(IsPro,IF($D476="","",IF(AND(R476&lt;&gt;"",INDEX(Parties!$E$5:$E$304,R476)&lt;&gt;"",INDEX(Parties!$E$5:$E$304,R476)&lt;&gt;HomeState),ROUND(K476*L476,2),0)),"")</f>
        <v/>
      </c>
      <c r="P476" s="61" t="str">
        <f aca="false">IF(IsPro,IF($D476="","",K476+M476+N476+O476),"")</f>
        <v/>
      </c>
      <c r="Q476" s="60" t="str">
        <f aca="false">IF(IsPro,IF($D476="","",IFERROR(MATCH($D476,Items!$A$5:$A$504,0),"")),"")</f>
        <v/>
      </c>
      <c r="R476" s="60" t="str">
        <f aca="false">IF(IsPro,IF($C476="","",IFERROR(MATCH($C476,Parties!$A$5:$A$304,0),"")),"")</f>
        <v/>
      </c>
      <c r="S476" s="61" t="str">
        <f aca="false">IF(IsPro,IF($D476="","",IF(OR($H476="",$H476="Credit"),0,P476)),"")</f>
        <v/>
      </c>
    </row>
    <row r="477" customFormat="false" ht="15" hidden="false" customHeight="false" outlineLevel="0" collapsed="false">
      <c r="A477" s="55"/>
      <c r="B477" s="56"/>
      <c r="C477" s="56"/>
      <c r="D477" s="56"/>
      <c r="E477" s="57"/>
      <c r="F477" s="58"/>
      <c r="G477" s="59"/>
      <c r="H477" s="56"/>
      <c r="I477" s="60" t="str">
        <f aca="false">IF(IsPro,IF($D477="","",IFERROR(INDEX(Items!$D$5:$D$504,Q477),"")),IF($D477="","","PRO PLAN"))</f>
        <v/>
      </c>
      <c r="J477" s="61" t="str">
        <f aca="false">IF(IsPro,IF($D477="","",IF($F477="",IFERROR(INDEX(Items!$G$5:$G$504,Q477),0),$F477)),"")</f>
        <v/>
      </c>
      <c r="K477" s="61" t="str">
        <f aca="false">IF(IsPro,IF($D477="","",ROUND(N($E477)*J477*(1-N($G477)),2)),"")</f>
        <v/>
      </c>
      <c r="L477" s="62" t="str">
        <f aca="false">IF(IsPro,IF($D477="","",IFERROR(INDEX(Items!$F$5:$F$504,Q477),0)),"")</f>
        <v/>
      </c>
      <c r="M477" s="61" t="str">
        <f aca="false">IF(IsPro,IF($D477="","",IF(AND(R477&lt;&gt;"",INDEX(Parties!$E$5:$E$304,R477)&lt;&gt;"",INDEX(Parties!$E$5:$E$304,R477)&lt;&gt;HomeState),0,ROUND(K477*L477/2,2))),"")</f>
        <v/>
      </c>
      <c r="N477" s="61" t="str">
        <f aca="false">IF(IsPro,IF($D477="","",M477),"")</f>
        <v/>
      </c>
      <c r="O477" s="61" t="str">
        <f aca="false">IF(IsPro,IF($D477="","",IF(AND(R477&lt;&gt;"",INDEX(Parties!$E$5:$E$304,R477)&lt;&gt;"",INDEX(Parties!$E$5:$E$304,R477)&lt;&gt;HomeState),ROUND(K477*L477,2),0)),"")</f>
        <v/>
      </c>
      <c r="P477" s="61" t="str">
        <f aca="false">IF(IsPro,IF($D477="","",K477+M477+N477+O477),"")</f>
        <v/>
      </c>
      <c r="Q477" s="60" t="str">
        <f aca="false">IF(IsPro,IF($D477="","",IFERROR(MATCH($D477,Items!$A$5:$A$504,0),"")),"")</f>
        <v/>
      </c>
      <c r="R477" s="60" t="str">
        <f aca="false">IF(IsPro,IF($C477="","",IFERROR(MATCH($C477,Parties!$A$5:$A$304,0),"")),"")</f>
        <v/>
      </c>
      <c r="S477" s="61" t="str">
        <f aca="false">IF(IsPro,IF($D477="","",IF(OR($H477="",$H477="Credit"),0,P477)),"")</f>
        <v/>
      </c>
    </row>
    <row r="478" customFormat="false" ht="15" hidden="false" customHeight="false" outlineLevel="0" collapsed="false">
      <c r="A478" s="55"/>
      <c r="B478" s="56"/>
      <c r="C478" s="56"/>
      <c r="D478" s="56"/>
      <c r="E478" s="57"/>
      <c r="F478" s="58"/>
      <c r="G478" s="59"/>
      <c r="H478" s="56"/>
      <c r="I478" s="60" t="str">
        <f aca="false">IF(IsPro,IF($D478="","",IFERROR(INDEX(Items!$D$5:$D$504,Q478),"")),IF($D478="","","PRO PLAN"))</f>
        <v/>
      </c>
      <c r="J478" s="61" t="str">
        <f aca="false">IF(IsPro,IF($D478="","",IF($F478="",IFERROR(INDEX(Items!$G$5:$G$504,Q478),0),$F478)),"")</f>
        <v/>
      </c>
      <c r="K478" s="61" t="str">
        <f aca="false">IF(IsPro,IF($D478="","",ROUND(N($E478)*J478*(1-N($G478)),2)),"")</f>
        <v/>
      </c>
      <c r="L478" s="62" t="str">
        <f aca="false">IF(IsPro,IF($D478="","",IFERROR(INDEX(Items!$F$5:$F$504,Q478),0)),"")</f>
        <v/>
      </c>
      <c r="M478" s="61" t="str">
        <f aca="false">IF(IsPro,IF($D478="","",IF(AND(R478&lt;&gt;"",INDEX(Parties!$E$5:$E$304,R478)&lt;&gt;"",INDEX(Parties!$E$5:$E$304,R478)&lt;&gt;HomeState),0,ROUND(K478*L478/2,2))),"")</f>
        <v/>
      </c>
      <c r="N478" s="61" t="str">
        <f aca="false">IF(IsPro,IF($D478="","",M478),"")</f>
        <v/>
      </c>
      <c r="O478" s="61" t="str">
        <f aca="false">IF(IsPro,IF($D478="","",IF(AND(R478&lt;&gt;"",INDEX(Parties!$E$5:$E$304,R478)&lt;&gt;"",INDEX(Parties!$E$5:$E$304,R478)&lt;&gt;HomeState),ROUND(K478*L478,2),0)),"")</f>
        <v/>
      </c>
      <c r="P478" s="61" t="str">
        <f aca="false">IF(IsPro,IF($D478="","",K478+M478+N478+O478),"")</f>
        <v/>
      </c>
      <c r="Q478" s="60" t="str">
        <f aca="false">IF(IsPro,IF($D478="","",IFERROR(MATCH($D478,Items!$A$5:$A$504,0),"")),"")</f>
        <v/>
      </c>
      <c r="R478" s="60" t="str">
        <f aca="false">IF(IsPro,IF($C478="","",IFERROR(MATCH($C478,Parties!$A$5:$A$304,0),"")),"")</f>
        <v/>
      </c>
      <c r="S478" s="61" t="str">
        <f aca="false">IF(IsPro,IF($D478="","",IF(OR($H478="",$H478="Credit"),0,P478)),"")</f>
        <v/>
      </c>
    </row>
    <row r="479" customFormat="false" ht="15" hidden="false" customHeight="false" outlineLevel="0" collapsed="false">
      <c r="A479" s="55"/>
      <c r="B479" s="56"/>
      <c r="C479" s="56"/>
      <c r="D479" s="56"/>
      <c r="E479" s="57"/>
      <c r="F479" s="58"/>
      <c r="G479" s="59"/>
      <c r="H479" s="56"/>
      <c r="I479" s="60" t="str">
        <f aca="false">IF(IsPro,IF($D479="","",IFERROR(INDEX(Items!$D$5:$D$504,Q479),"")),IF($D479="","","PRO PLAN"))</f>
        <v/>
      </c>
      <c r="J479" s="61" t="str">
        <f aca="false">IF(IsPro,IF($D479="","",IF($F479="",IFERROR(INDEX(Items!$G$5:$G$504,Q479),0),$F479)),"")</f>
        <v/>
      </c>
      <c r="K479" s="61" t="str">
        <f aca="false">IF(IsPro,IF($D479="","",ROUND(N($E479)*J479*(1-N($G479)),2)),"")</f>
        <v/>
      </c>
      <c r="L479" s="62" t="str">
        <f aca="false">IF(IsPro,IF($D479="","",IFERROR(INDEX(Items!$F$5:$F$504,Q479),0)),"")</f>
        <v/>
      </c>
      <c r="M479" s="61" t="str">
        <f aca="false">IF(IsPro,IF($D479="","",IF(AND(R479&lt;&gt;"",INDEX(Parties!$E$5:$E$304,R479)&lt;&gt;"",INDEX(Parties!$E$5:$E$304,R479)&lt;&gt;HomeState),0,ROUND(K479*L479/2,2))),"")</f>
        <v/>
      </c>
      <c r="N479" s="61" t="str">
        <f aca="false">IF(IsPro,IF($D479="","",M479),"")</f>
        <v/>
      </c>
      <c r="O479" s="61" t="str">
        <f aca="false">IF(IsPro,IF($D479="","",IF(AND(R479&lt;&gt;"",INDEX(Parties!$E$5:$E$304,R479)&lt;&gt;"",INDEX(Parties!$E$5:$E$304,R479)&lt;&gt;HomeState),ROUND(K479*L479,2),0)),"")</f>
        <v/>
      </c>
      <c r="P479" s="61" t="str">
        <f aca="false">IF(IsPro,IF($D479="","",K479+M479+N479+O479),"")</f>
        <v/>
      </c>
      <c r="Q479" s="60" t="str">
        <f aca="false">IF(IsPro,IF($D479="","",IFERROR(MATCH($D479,Items!$A$5:$A$504,0),"")),"")</f>
        <v/>
      </c>
      <c r="R479" s="60" t="str">
        <f aca="false">IF(IsPro,IF($C479="","",IFERROR(MATCH($C479,Parties!$A$5:$A$304,0),"")),"")</f>
        <v/>
      </c>
      <c r="S479" s="61" t="str">
        <f aca="false">IF(IsPro,IF($D479="","",IF(OR($H479="",$H479="Credit"),0,P479)),"")</f>
        <v/>
      </c>
    </row>
    <row r="480" customFormat="false" ht="15" hidden="false" customHeight="false" outlineLevel="0" collapsed="false">
      <c r="A480" s="55"/>
      <c r="B480" s="56"/>
      <c r="C480" s="56"/>
      <c r="D480" s="56"/>
      <c r="E480" s="57"/>
      <c r="F480" s="58"/>
      <c r="G480" s="59"/>
      <c r="H480" s="56"/>
      <c r="I480" s="60" t="str">
        <f aca="false">IF(IsPro,IF($D480="","",IFERROR(INDEX(Items!$D$5:$D$504,Q480),"")),IF($D480="","","PRO PLAN"))</f>
        <v/>
      </c>
      <c r="J480" s="61" t="str">
        <f aca="false">IF(IsPro,IF($D480="","",IF($F480="",IFERROR(INDEX(Items!$G$5:$G$504,Q480),0),$F480)),"")</f>
        <v/>
      </c>
      <c r="K480" s="61" t="str">
        <f aca="false">IF(IsPro,IF($D480="","",ROUND(N($E480)*J480*(1-N($G480)),2)),"")</f>
        <v/>
      </c>
      <c r="L480" s="62" t="str">
        <f aca="false">IF(IsPro,IF($D480="","",IFERROR(INDEX(Items!$F$5:$F$504,Q480),0)),"")</f>
        <v/>
      </c>
      <c r="M480" s="61" t="str">
        <f aca="false">IF(IsPro,IF($D480="","",IF(AND(R480&lt;&gt;"",INDEX(Parties!$E$5:$E$304,R480)&lt;&gt;"",INDEX(Parties!$E$5:$E$304,R480)&lt;&gt;HomeState),0,ROUND(K480*L480/2,2))),"")</f>
        <v/>
      </c>
      <c r="N480" s="61" t="str">
        <f aca="false">IF(IsPro,IF($D480="","",M480),"")</f>
        <v/>
      </c>
      <c r="O480" s="61" t="str">
        <f aca="false">IF(IsPro,IF($D480="","",IF(AND(R480&lt;&gt;"",INDEX(Parties!$E$5:$E$304,R480)&lt;&gt;"",INDEX(Parties!$E$5:$E$304,R480)&lt;&gt;HomeState),ROUND(K480*L480,2),0)),"")</f>
        <v/>
      </c>
      <c r="P480" s="61" t="str">
        <f aca="false">IF(IsPro,IF($D480="","",K480+M480+N480+O480),"")</f>
        <v/>
      </c>
      <c r="Q480" s="60" t="str">
        <f aca="false">IF(IsPro,IF($D480="","",IFERROR(MATCH($D480,Items!$A$5:$A$504,0),"")),"")</f>
        <v/>
      </c>
      <c r="R480" s="60" t="str">
        <f aca="false">IF(IsPro,IF($C480="","",IFERROR(MATCH($C480,Parties!$A$5:$A$304,0),"")),"")</f>
        <v/>
      </c>
      <c r="S480" s="61" t="str">
        <f aca="false">IF(IsPro,IF($D480="","",IF(OR($H480="",$H480="Credit"),0,P480)),"")</f>
        <v/>
      </c>
    </row>
    <row r="481" customFormat="false" ht="15" hidden="false" customHeight="false" outlineLevel="0" collapsed="false">
      <c r="A481" s="55"/>
      <c r="B481" s="56"/>
      <c r="C481" s="56"/>
      <c r="D481" s="56"/>
      <c r="E481" s="57"/>
      <c r="F481" s="58"/>
      <c r="G481" s="59"/>
      <c r="H481" s="56"/>
      <c r="I481" s="60" t="str">
        <f aca="false">IF(IsPro,IF($D481="","",IFERROR(INDEX(Items!$D$5:$D$504,Q481),"")),IF($D481="","","PRO PLAN"))</f>
        <v/>
      </c>
      <c r="J481" s="61" t="str">
        <f aca="false">IF(IsPro,IF($D481="","",IF($F481="",IFERROR(INDEX(Items!$G$5:$G$504,Q481),0),$F481)),"")</f>
        <v/>
      </c>
      <c r="K481" s="61" t="str">
        <f aca="false">IF(IsPro,IF($D481="","",ROUND(N($E481)*J481*(1-N($G481)),2)),"")</f>
        <v/>
      </c>
      <c r="L481" s="62" t="str">
        <f aca="false">IF(IsPro,IF($D481="","",IFERROR(INDEX(Items!$F$5:$F$504,Q481),0)),"")</f>
        <v/>
      </c>
      <c r="M481" s="61" t="str">
        <f aca="false">IF(IsPro,IF($D481="","",IF(AND(R481&lt;&gt;"",INDEX(Parties!$E$5:$E$304,R481)&lt;&gt;"",INDEX(Parties!$E$5:$E$304,R481)&lt;&gt;HomeState),0,ROUND(K481*L481/2,2))),"")</f>
        <v/>
      </c>
      <c r="N481" s="61" t="str">
        <f aca="false">IF(IsPro,IF($D481="","",M481),"")</f>
        <v/>
      </c>
      <c r="O481" s="61" t="str">
        <f aca="false">IF(IsPro,IF($D481="","",IF(AND(R481&lt;&gt;"",INDEX(Parties!$E$5:$E$304,R481)&lt;&gt;"",INDEX(Parties!$E$5:$E$304,R481)&lt;&gt;HomeState),ROUND(K481*L481,2),0)),"")</f>
        <v/>
      </c>
      <c r="P481" s="61" t="str">
        <f aca="false">IF(IsPro,IF($D481="","",K481+M481+N481+O481),"")</f>
        <v/>
      </c>
      <c r="Q481" s="60" t="str">
        <f aca="false">IF(IsPro,IF($D481="","",IFERROR(MATCH($D481,Items!$A$5:$A$504,0),"")),"")</f>
        <v/>
      </c>
      <c r="R481" s="60" t="str">
        <f aca="false">IF(IsPro,IF($C481="","",IFERROR(MATCH($C481,Parties!$A$5:$A$304,0),"")),"")</f>
        <v/>
      </c>
      <c r="S481" s="61" t="str">
        <f aca="false">IF(IsPro,IF($D481="","",IF(OR($H481="",$H481="Credit"),0,P481)),"")</f>
        <v/>
      </c>
    </row>
    <row r="482" customFormat="false" ht="15" hidden="false" customHeight="false" outlineLevel="0" collapsed="false">
      <c r="A482" s="55"/>
      <c r="B482" s="56"/>
      <c r="C482" s="56"/>
      <c r="D482" s="56"/>
      <c r="E482" s="57"/>
      <c r="F482" s="58"/>
      <c r="G482" s="59"/>
      <c r="H482" s="56"/>
      <c r="I482" s="60" t="str">
        <f aca="false">IF(IsPro,IF($D482="","",IFERROR(INDEX(Items!$D$5:$D$504,Q482),"")),IF($D482="","","PRO PLAN"))</f>
        <v/>
      </c>
      <c r="J482" s="61" t="str">
        <f aca="false">IF(IsPro,IF($D482="","",IF($F482="",IFERROR(INDEX(Items!$G$5:$G$504,Q482),0),$F482)),"")</f>
        <v/>
      </c>
      <c r="K482" s="61" t="str">
        <f aca="false">IF(IsPro,IF($D482="","",ROUND(N($E482)*J482*(1-N($G482)),2)),"")</f>
        <v/>
      </c>
      <c r="L482" s="62" t="str">
        <f aca="false">IF(IsPro,IF($D482="","",IFERROR(INDEX(Items!$F$5:$F$504,Q482),0)),"")</f>
        <v/>
      </c>
      <c r="M482" s="61" t="str">
        <f aca="false">IF(IsPro,IF($D482="","",IF(AND(R482&lt;&gt;"",INDEX(Parties!$E$5:$E$304,R482)&lt;&gt;"",INDEX(Parties!$E$5:$E$304,R482)&lt;&gt;HomeState),0,ROUND(K482*L482/2,2))),"")</f>
        <v/>
      </c>
      <c r="N482" s="61" t="str">
        <f aca="false">IF(IsPro,IF($D482="","",M482),"")</f>
        <v/>
      </c>
      <c r="O482" s="61" t="str">
        <f aca="false">IF(IsPro,IF($D482="","",IF(AND(R482&lt;&gt;"",INDEX(Parties!$E$5:$E$304,R482)&lt;&gt;"",INDEX(Parties!$E$5:$E$304,R482)&lt;&gt;HomeState),ROUND(K482*L482,2),0)),"")</f>
        <v/>
      </c>
      <c r="P482" s="61" t="str">
        <f aca="false">IF(IsPro,IF($D482="","",K482+M482+N482+O482),"")</f>
        <v/>
      </c>
      <c r="Q482" s="60" t="str">
        <f aca="false">IF(IsPro,IF($D482="","",IFERROR(MATCH($D482,Items!$A$5:$A$504,0),"")),"")</f>
        <v/>
      </c>
      <c r="R482" s="60" t="str">
        <f aca="false">IF(IsPro,IF($C482="","",IFERROR(MATCH($C482,Parties!$A$5:$A$304,0),"")),"")</f>
        <v/>
      </c>
      <c r="S482" s="61" t="str">
        <f aca="false">IF(IsPro,IF($D482="","",IF(OR($H482="",$H482="Credit"),0,P482)),"")</f>
        <v/>
      </c>
    </row>
    <row r="483" customFormat="false" ht="15" hidden="false" customHeight="false" outlineLevel="0" collapsed="false">
      <c r="A483" s="55"/>
      <c r="B483" s="56"/>
      <c r="C483" s="56"/>
      <c r="D483" s="56"/>
      <c r="E483" s="57"/>
      <c r="F483" s="58"/>
      <c r="G483" s="59"/>
      <c r="H483" s="56"/>
      <c r="I483" s="60" t="str">
        <f aca="false">IF(IsPro,IF($D483="","",IFERROR(INDEX(Items!$D$5:$D$504,Q483),"")),IF($D483="","","PRO PLAN"))</f>
        <v/>
      </c>
      <c r="J483" s="61" t="str">
        <f aca="false">IF(IsPro,IF($D483="","",IF($F483="",IFERROR(INDEX(Items!$G$5:$G$504,Q483),0),$F483)),"")</f>
        <v/>
      </c>
      <c r="K483" s="61" t="str">
        <f aca="false">IF(IsPro,IF($D483="","",ROUND(N($E483)*J483*(1-N($G483)),2)),"")</f>
        <v/>
      </c>
      <c r="L483" s="62" t="str">
        <f aca="false">IF(IsPro,IF($D483="","",IFERROR(INDEX(Items!$F$5:$F$504,Q483),0)),"")</f>
        <v/>
      </c>
      <c r="M483" s="61" t="str">
        <f aca="false">IF(IsPro,IF($D483="","",IF(AND(R483&lt;&gt;"",INDEX(Parties!$E$5:$E$304,R483)&lt;&gt;"",INDEX(Parties!$E$5:$E$304,R483)&lt;&gt;HomeState),0,ROUND(K483*L483/2,2))),"")</f>
        <v/>
      </c>
      <c r="N483" s="61" t="str">
        <f aca="false">IF(IsPro,IF($D483="","",M483),"")</f>
        <v/>
      </c>
      <c r="O483" s="61" t="str">
        <f aca="false">IF(IsPro,IF($D483="","",IF(AND(R483&lt;&gt;"",INDEX(Parties!$E$5:$E$304,R483)&lt;&gt;"",INDEX(Parties!$E$5:$E$304,R483)&lt;&gt;HomeState),ROUND(K483*L483,2),0)),"")</f>
        <v/>
      </c>
      <c r="P483" s="61" t="str">
        <f aca="false">IF(IsPro,IF($D483="","",K483+M483+N483+O483),"")</f>
        <v/>
      </c>
      <c r="Q483" s="60" t="str">
        <f aca="false">IF(IsPro,IF($D483="","",IFERROR(MATCH($D483,Items!$A$5:$A$504,0),"")),"")</f>
        <v/>
      </c>
      <c r="R483" s="60" t="str">
        <f aca="false">IF(IsPro,IF($C483="","",IFERROR(MATCH($C483,Parties!$A$5:$A$304,0),"")),"")</f>
        <v/>
      </c>
      <c r="S483" s="61" t="str">
        <f aca="false">IF(IsPro,IF($D483="","",IF(OR($H483="",$H483="Credit"),0,P483)),"")</f>
        <v/>
      </c>
    </row>
    <row r="484" customFormat="false" ht="15" hidden="false" customHeight="false" outlineLevel="0" collapsed="false">
      <c r="A484" s="55"/>
      <c r="B484" s="56"/>
      <c r="C484" s="56"/>
      <c r="D484" s="56"/>
      <c r="E484" s="57"/>
      <c r="F484" s="58"/>
      <c r="G484" s="59"/>
      <c r="H484" s="56"/>
      <c r="I484" s="60" t="str">
        <f aca="false">IF(IsPro,IF($D484="","",IFERROR(INDEX(Items!$D$5:$D$504,Q484),"")),IF($D484="","","PRO PLAN"))</f>
        <v/>
      </c>
      <c r="J484" s="61" t="str">
        <f aca="false">IF(IsPro,IF($D484="","",IF($F484="",IFERROR(INDEX(Items!$G$5:$G$504,Q484),0),$F484)),"")</f>
        <v/>
      </c>
      <c r="K484" s="61" t="str">
        <f aca="false">IF(IsPro,IF($D484="","",ROUND(N($E484)*J484*(1-N($G484)),2)),"")</f>
        <v/>
      </c>
      <c r="L484" s="62" t="str">
        <f aca="false">IF(IsPro,IF($D484="","",IFERROR(INDEX(Items!$F$5:$F$504,Q484),0)),"")</f>
        <v/>
      </c>
      <c r="M484" s="61" t="str">
        <f aca="false">IF(IsPro,IF($D484="","",IF(AND(R484&lt;&gt;"",INDEX(Parties!$E$5:$E$304,R484)&lt;&gt;"",INDEX(Parties!$E$5:$E$304,R484)&lt;&gt;HomeState),0,ROUND(K484*L484/2,2))),"")</f>
        <v/>
      </c>
      <c r="N484" s="61" t="str">
        <f aca="false">IF(IsPro,IF($D484="","",M484),"")</f>
        <v/>
      </c>
      <c r="O484" s="61" t="str">
        <f aca="false">IF(IsPro,IF($D484="","",IF(AND(R484&lt;&gt;"",INDEX(Parties!$E$5:$E$304,R484)&lt;&gt;"",INDEX(Parties!$E$5:$E$304,R484)&lt;&gt;HomeState),ROUND(K484*L484,2),0)),"")</f>
        <v/>
      </c>
      <c r="P484" s="61" t="str">
        <f aca="false">IF(IsPro,IF($D484="","",K484+M484+N484+O484),"")</f>
        <v/>
      </c>
      <c r="Q484" s="60" t="str">
        <f aca="false">IF(IsPro,IF($D484="","",IFERROR(MATCH($D484,Items!$A$5:$A$504,0),"")),"")</f>
        <v/>
      </c>
      <c r="R484" s="60" t="str">
        <f aca="false">IF(IsPro,IF($C484="","",IFERROR(MATCH($C484,Parties!$A$5:$A$304,0),"")),"")</f>
        <v/>
      </c>
      <c r="S484" s="61" t="str">
        <f aca="false">IF(IsPro,IF($D484="","",IF(OR($H484="",$H484="Credit"),0,P484)),"")</f>
        <v/>
      </c>
    </row>
    <row r="485" customFormat="false" ht="15" hidden="false" customHeight="false" outlineLevel="0" collapsed="false">
      <c r="A485" s="55"/>
      <c r="B485" s="56"/>
      <c r="C485" s="56"/>
      <c r="D485" s="56"/>
      <c r="E485" s="57"/>
      <c r="F485" s="58"/>
      <c r="G485" s="59"/>
      <c r="H485" s="56"/>
      <c r="I485" s="60" t="str">
        <f aca="false">IF(IsPro,IF($D485="","",IFERROR(INDEX(Items!$D$5:$D$504,Q485),"")),IF($D485="","","PRO PLAN"))</f>
        <v/>
      </c>
      <c r="J485" s="61" t="str">
        <f aca="false">IF(IsPro,IF($D485="","",IF($F485="",IFERROR(INDEX(Items!$G$5:$G$504,Q485),0),$F485)),"")</f>
        <v/>
      </c>
      <c r="K485" s="61" t="str">
        <f aca="false">IF(IsPro,IF($D485="","",ROUND(N($E485)*J485*(1-N($G485)),2)),"")</f>
        <v/>
      </c>
      <c r="L485" s="62" t="str">
        <f aca="false">IF(IsPro,IF($D485="","",IFERROR(INDEX(Items!$F$5:$F$504,Q485),0)),"")</f>
        <v/>
      </c>
      <c r="M485" s="61" t="str">
        <f aca="false">IF(IsPro,IF($D485="","",IF(AND(R485&lt;&gt;"",INDEX(Parties!$E$5:$E$304,R485)&lt;&gt;"",INDEX(Parties!$E$5:$E$304,R485)&lt;&gt;HomeState),0,ROUND(K485*L485/2,2))),"")</f>
        <v/>
      </c>
      <c r="N485" s="61" t="str">
        <f aca="false">IF(IsPro,IF($D485="","",M485),"")</f>
        <v/>
      </c>
      <c r="O485" s="61" t="str">
        <f aca="false">IF(IsPro,IF($D485="","",IF(AND(R485&lt;&gt;"",INDEX(Parties!$E$5:$E$304,R485)&lt;&gt;"",INDEX(Parties!$E$5:$E$304,R485)&lt;&gt;HomeState),ROUND(K485*L485,2),0)),"")</f>
        <v/>
      </c>
      <c r="P485" s="61" t="str">
        <f aca="false">IF(IsPro,IF($D485="","",K485+M485+N485+O485),"")</f>
        <v/>
      </c>
      <c r="Q485" s="60" t="str">
        <f aca="false">IF(IsPro,IF($D485="","",IFERROR(MATCH($D485,Items!$A$5:$A$504,0),"")),"")</f>
        <v/>
      </c>
      <c r="R485" s="60" t="str">
        <f aca="false">IF(IsPro,IF($C485="","",IFERROR(MATCH($C485,Parties!$A$5:$A$304,0),"")),"")</f>
        <v/>
      </c>
      <c r="S485" s="61" t="str">
        <f aca="false">IF(IsPro,IF($D485="","",IF(OR($H485="",$H485="Credit"),0,P485)),"")</f>
        <v/>
      </c>
    </row>
    <row r="486" customFormat="false" ht="15" hidden="false" customHeight="false" outlineLevel="0" collapsed="false">
      <c r="A486" s="55"/>
      <c r="B486" s="56"/>
      <c r="C486" s="56"/>
      <c r="D486" s="56"/>
      <c r="E486" s="57"/>
      <c r="F486" s="58"/>
      <c r="G486" s="59"/>
      <c r="H486" s="56"/>
      <c r="I486" s="60" t="str">
        <f aca="false">IF(IsPro,IF($D486="","",IFERROR(INDEX(Items!$D$5:$D$504,Q486),"")),IF($D486="","","PRO PLAN"))</f>
        <v/>
      </c>
      <c r="J486" s="61" t="str">
        <f aca="false">IF(IsPro,IF($D486="","",IF($F486="",IFERROR(INDEX(Items!$G$5:$G$504,Q486),0),$F486)),"")</f>
        <v/>
      </c>
      <c r="K486" s="61" t="str">
        <f aca="false">IF(IsPro,IF($D486="","",ROUND(N($E486)*J486*(1-N($G486)),2)),"")</f>
        <v/>
      </c>
      <c r="L486" s="62" t="str">
        <f aca="false">IF(IsPro,IF($D486="","",IFERROR(INDEX(Items!$F$5:$F$504,Q486),0)),"")</f>
        <v/>
      </c>
      <c r="M486" s="61" t="str">
        <f aca="false">IF(IsPro,IF($D486="","",IF(AND(R486&lt;&gt;"",INDEX(Parties!$E$5:$E$304,R486)&lt;&gt;"",INDEX(Parties!$E$5:$E$304,R486)&lt;&gt;HomeState),0,ROUND(K486*L486/2,2))),"")</f>
        <v/>
      </c>
      <c r="N486" s="61" t="str">
        <f aca="false">IF(IsPro,IF($D486="","",M486),"")</f>
        <v/>
      </c>
      <c r="O486" s="61" t="str">
        <f aca="false">IF(IsPro,IF($D486="","",IF(AND(R486&lt;&gt;"",INDEX(Parties!$E$5:$E$304,R486)&lt;&gt;"",INDEX(Parties!$E$5:$E$304,R486)&lt;&gt;HomeState),ROUND(K486*L486,2),0)),"")</f>
        <v/>
      </c>
      <c r="P486" s="61" t="str">
        <f aca="false">IF(IsPro,IF($D486="","",K486+M486+N486+O486),"")</f>
        <v/>
      </c>
      <c r="Q486" s="60" t="str">
        <f aca="false">IF(IsPro,IF($D486="","",IFERROR(MATCH($D486,Items!$A$5:$A$504,0),"")),"")</f>
        <v/>
      </c>
      <c r="R486" s="60" t="str">
        <f aca="false">IF(IsPro,IF($C486="","",IFERROR(MATCH($C486,Parties!$A$5:$A$304,0),"")),"")</f>
        <v/>
      </c>
      <c r="S486" s="61" t="str">
        <f aca="false">IF(IsPro,IF($D486="","",IF(OR($H486="",$H486="Credit"),0,P486)),"")</f>
        <v/>
      </c>
    </row>
    <row r="487" customFormat="false" ht="15" hidden="false" customHeight="false" outlineLevel="0" collapsed="false">
      <c r="A487" s="55"/>
      <c r="B487" s="56"/>
      <c r="C487" s="56"/>
      <c r="D487" s="56"/>
      <c r="E487" s="57"/>
      <c r="F487" s="58"/>
      <c r="G487" s="59"/>
      <c r="H487" s="56"/>
      <c r="I487" s="60" t="str">
        <f aca="false">IF(IsPro,IF($D487="","",IFERROR(INDEX(Items!$D$5:$D$504,Q487),"")),IF($D487="","","PRO PLAN"))</f>
        <v/>
      </c>
      <c r="J487" s="61" t="str">
        <f aca="false">IF(IsPro,IF($D487="","",IF($F487="",IFERROR(INDEX(Items!$G$5:$G$504,Q487),0),$F487)),"")</f>
        <v/>
      </c>
      <c r="K487" s="61" t="str">
        <f aca="false">IF(IsPro,IF($D487="","",ROUND(N($E487)*J487*(1-N($G487)),2)),"")</f>
        <v/>
      </c>
      <c r="L487" s="62" t="str">
        <f aca="false">IF(IsPro,IF($D487="","",IFERROR(INDEX(Items!$F$5:$F$504,Q487),0)),"")</f>
        <v/>
      </c>
      <c r="M487" s="61" t="str">
        <f aca="false">IF(IsPro,IF($D487="","",IF(AND(R487&lt;&gt;"",INDEX(Parties!$E$5:$E$304,R487)&lt;&gt;"",INDEX(Parties!$E$5:$E$304,R487)&lt;&gt;HomeState),0,ROUND(K487*L487/2,2))),"")</f>
        <v/>
      </c>
      <c r="N487" s="61" t="str">
        <f aca="false">IF(IsPro,IF($D487="","",M487),"")</f>
        <v/>
      </c>
      <c r="O487" s="61" t="str">
        <f aca="false">IF(IsPro,IF($D487="","",IF(AND(R487&lt;&gt;"",INDEX(Parties!$E$5:$E$304,R487)&lt;&gt;"",INDEX(Parties!$E$5:$E$304,R487)&lt;&gt;HomeState),ROUND(K487*L487,2),0)),"")</f>
        <v/>
      </c>
      <c r="P487" s="61" t="str">
        <f aca="false">IF(IsPro,IF($D487="","",K487+M487+N487+O487),"")</f>
        <v/>
      </c>
      <c r="Q487" s="60" t="str">
        <f aca="false">IF(IsPro,IF($D487="","",IFERROR(MATCH($D487,Items!$A$5:$A$504,0),"")),"")</f>
        <v/>
      </c>
      <c r="R487" s="60" t="str">
        <f aca="false">IF(IsPro,IF($C487="","",IFERROR(MATCH($C487,Parties!$A$5:$A$304,0),"")),"")</f>
        <v/>
      </c>
      <c r="S487" s="61" t="str">
        <f aca="false">IF(IsPro,IF($D487="","",IF(OR($H487="",$H487="Credit"),0,P487)),"")</f>
        <v/>
      </c>
    </row>
    <row r="488" customFormat="false" ht="15" hidden="false" customHeight="false" outlineLevel="0" collapsed="false">
      <c r="A488" s="55"/>
      <c r="B488" s="56"/>
      <c r="C488" s="56"/>
      <c r="D488" s="56"/>
      <c r="E488" s="57"/>
      <c r="F488" s="58"/>
      <c r="G488" s="59"/>
      <c r="H488" s="56"/>
      <c r="I488" s="60" t="str">
        <f aca="false">IF(IsPro,IF($D488="","",IFERROR(INDEX(Items!$D$5:$D$504,Q488),"")),IF($D488="","","PRO PLAN"))</f>
        <v/>
      </c>
      <c r="J488" s="61" t="str">
        <f aca="false">IF(IsPro,IF($D488="","",IF($F488="",IFERROR(INDEX(Items!$G$5:$G$504,Q488),0),$F488)),"")</f>
        <v/>
      </c>
      <c r="K488" s="61" t="str">
        <f aca="false">IF(IsPro,IF($D488="","",ROUND(N($E488)*J488*(1-N($G488)),2)),"")</f>
        <v/>
      </c>
      <c r="L488" s="62" t="str">
        <f aca="false">IF(IsPro,IF($D488="","",IFERROR(INDEX(Items!$F$5:$F$504,Q488),0)),"")</f>
        <v/>
      </c>
      <c r="M488" s="61" t="str">
        <f aca="false">IF(IsPro,IF($D488="","",IF(AND(R488&lt;&gt;"",INDEX(Parties!$E$5:$E$304,R488)&lt;&gt;"",INDEX(Parties!$E$5:$E$304,R488)&lt;&gt;HomeState),0,ROUND(K488*L488/2,2))),"")</f>
        <v/>
      </c>
      <c r="N488" s="61" t="str">
        <f aca="false">IF(IsPro,IF($D488="","",M488),"")</f>
        <v/>
      </c>
      <c r="O488" s="61" t="str">
        <f aca="false">IF(IsPro,IF($D488="","",IF(AND(R488&lt;&gt;"",INDEX(Parties!$E$5:$E$304,R488)&lt;&gt;"",INDEX(Parties!$E$5:$E$304,R488)&lt;&gt;HomeState),ROUND(K488*L488,2),0)),"")</f>
        <v/>
      </c>
      <c r="P488" s="61" t="str">
        <f aca="false">IF(IsPro,IF($D488="","",K488+M488+N488+O488),"")</f>
        <v/>
      </c>
      <c r="Q488" s="60" t="str">
        <f aca="false">IF(IsPro,IF($D488="","",IFERROR(MATCH($D488,Items!$A$5:$A$504,0),"")),"")</f>
        <v/>
      </c>
      <c r="R488" s="60" t="str">
        <f aca="false">IF(IsPro,IF($C488="","",IFERROR(MATCH($C488,Parties!$A$5:$A$304,0),"")),"")</f>
        <v/>
      </c>
      <c r="S488" s="61" t="str">
        <f aca="false">IF(IsPro,IF($D488="","",IF(OR($H488="",$H488="Credit"),0,P488)),"")</f>
        <v/>
      </c>
    </row>
    <row r="489" customFormat="false" ht="15" hidden="false" customHeight="false" outlineLevel="0" collapsed="false">
      <c r="A489" s="55"/>
      <c r="B489" s="56"/>
      <c r="C489" s="56"/>
      <c r="D489" s="56"/>
      <c r="E489" s="57"/>
      <c r="F489" s="58"/>
      <c r="G489" s="59"/>
      <c r="H489" s="56"/>
      <c r="I489" s="60" t="str">
        <f aca="false">IF(IsPro,IF($D489="","",IFERROR(INDEX(Items!$D$5:$D$504,Q489),"")),IF($D489="","","PRO PLAN"))</f>
        <v/>
      </c>
      <c r="J489" s="61" t="str">
        <f aca="false">IF(IsPro,IF($D489="","",IF($F489="",IFERROR(INDEX(Items!$G$5:$G$504,Q489),0),$F489)),"")</f>
        <v/>
      </c>
      <c r="K489" s="61" t="str">
        <f aca="false">IF(IsPro,IF($D489="","",ROUND(N($E489)*J489*(1-N($G489)),2)),"")</f>
        <v/>
      </c>
      <c r="L489" s="62" t="str">
        <f aca="false">IF(IsPro,IF($D489="","",IFERROR(INDEX(Items!$F$5:$F$504,Q489),0)),"")</f>
        <v/>
      </c>
      <c r="M489" s="61" t="str">
        <f aca="false">IF(IsPro,IF($D489="","",IF(AND(R489&lt;&gt;"",INDEX(Parties!$E$5:$E$304,R489)&lt;&gt;"",INDEX(Parties!$E$5:$E$304,R489)&lt;&gt;HomeState),0,ROUND(K489*L489/2,2))),"")</f>
        <v/>
      </c>
      <c r="N489" s="61" t="str">
        <f aca="false">IF(IsPro,IF($D489="","",M489),"")</f>
        <v/>
      </c>
      <c r="O489" s="61" t="str">
        <f aca="false">IF(IsPro,IF($D489="","",IF(AND(R489&lt;&gt;"",INDEX(Parties!$E$5:$E$304,R489)&lt;&gt;"",INDEX(Parties!$E$5:$E$304,R489)&lt;&gt;HomeState),ROUND(K489*L489,2),0)),"")</f>
        <v/>
      </c>
      <c r="P489" s="61" t="str">
        <f aca="false">IF(IsPro,IF($D489="","",K489+M489+N489+O489),"")</f>
        <v/>
      </c>
      <c r="Q489" s="60" t="str">
        <f aca="false">IF(IsPro,IF($D489="","",IFERROR(MATCH($D489,Items!$A$5:$A$504,0),"")),"")</f>
        <v/>
      </c>
      <c r="R489" s="60" t="str">
        <f aca="false">IF(IsPro,IF($C489="","",IFERROR(MATCH($C489,Parties!$A$5:$A$304,0),"")),"")</f>
        <v/>
      </c>
      <c r="S489" s="61" t="str">
        <f aca="false">IF(IsPro,IF($D489="","",IF(OR($H489="",$H489="Credit"),0,P489)),"")</f>
        <v/>
      </c>
    </row>
    <row r="490" customFormat="false" ht="15" hidden="false" customHeight="false" outlineLevel="0" collapsed="false">
      <c r="A490" s="55"/>
      <c r="B490" s="56"/>
      <c r="C490" s="56"/>
      <c r="D490" s="56"/>
      <c r="E490" s="57"/>
      <c r="F490" s="58"/>
      <c r="G490" s="59"/>
      <c r="H490" s="56"/>
      <c r="I490" s="60" t="str">
        <f aca="false">IF(IsPro,IF($D490="","",IFERROR(INDEX(Items!$D$5:$D$504,Q490),"")),IF($D490="","","PRO PLAN"))</f>
        <v/>
      </c>
      <c r="J490" s="61" t="str">
        <f aca="false">IF(IsPro,IF($D490="","",IF($F490="",IFERROR(INDEX(Items!$G$5:$G$504,Q490),0),$F490)),"")</f>
        <v/>
      </c>
      <c r="K490" s="61" t="str">
        <f aca="false">IF(IsPro,IF($D490="","",ROUND(N($E490)*J490*(1-N($G490)),2)),"")</f>
        <v/>
      </c>
      <c r="L490" s="62" t="str">
        <f aca="false">IF(IsPro,IF($D490="","",IFERROR(INDEX(Items!$F$5:$F$504,Q490),0)),"")</f>
        <v/>
      </c>
      <c r="M490" s="61" t="str">
        <f aca="false">IF(IsPro,IF($D490="","",IF(AND(R490&lt;&gt;"",INDEX(Parties!$E$5:$E$304,R490)&lt;&gt;"",INDEX(Parties!$E$5:$E$304,R490)&lt;&gt;HomeState),0,ROUND(K490*L490/2,2))),"")</f>
        <v/>
      </c>
      <c r="N490" s="61" t="str">
        <f aca="false">IF(IsPro,IF($D490="","",M490),"")</f>
        <v/>
      </c>
      <c r="O490" s="61" t="str">
        <f aca="false">IF(IsPro,IF($D490="","",IF(AND(R490&lt;&gt;"",INDEX(Parties!$E$5:$E$304,R490)&lt;&gt;"",INDEX(Parties!$E$5:$E$304,R490)&lt;&gt;HomeState),ROUND(K490*L490,2),0)),"")</f>
        <v/>
      </c>
      <c r="P490" s="61" t="str">
        <f aca="false">IF(IsPro,IF($D490="","",K490+M490+N490+O490),"")</f>
        <v/>
      </c>
      <c r="Q490" s="60" t="str">
        <f aca="false">IF(IsPro,IF($D490="","",IFERROR(MATCH($D490,Items!$A$5:$A$504,0),"")),"")</f>
        <v/>
      </c>
      <c r="R490" s="60" t="str">
        <f aca="false">IF(IsPro,IF($C490="","",IFERROR(MATCH($C490,Parties!$A$5:$A$304,0),"")),"")</f>
        <v/>
      </c>
      <c r="S490" s="61" t="str">
        <f aca="false">IF(IsPro,IF($D490="","",IF(OR($H490="",$H490="Credit"),0,P490)),"")</f>
        <v/>
      </c>
    </row>
    <row r="491" customFormat="false" ht="15" hidden="false" customHeight="false" outlineLevel="0" collapsed="false">
      <c r="A491" s="55"/>
      <c r="B491" s="56"/>
      <c r="C491" s="56"/>
      <c r="D491" s="56"/>
      <c r="E491" s="57"/>
      <c r="F491" s="58"/>
      <c r="G491" s="59"/>
      <c r="H491" s="56"/>
      <c r="I491" s="60" t="str">
        <f aca="false">IF(IsPro,IF($D491="","",IFERROR(INDEX(Items!$D$5:$D$504,Q491),"")),IF($D491="","","PRO PLAN"))</f>
        <v/>
      </c>
      <c r="J491" s="61" t="str">
        <f aca="false">IF(IsPro,IF($D491="","",IF($F491="",IFERROR(INDEX(Items!$G$5:$G$504,Q491),0),$F491)),"")</f>
        <v/>
      </c>
      <c r="K491" s="61" t="str">
        <f aca="false">IF(IsPro,IF($D491="","",ROUND(N($E491)*J491*(1-N($G491)),2)),"")</f>
        <v/>
      </c>
      <c r="L491" s="62" t="str">
        <f aca="false">IF(IsPro,IF($D491="","",IFERROR(INDEX(Items!$F$5:$F$504,Q491),0)),"")</f>
        <v/>
      </c>
      <c r="M491" s="61" t="str">
        <f aca="false">IF(IsPro,IF($D491="","",IF(AND(R491&lt;&gt;"",INDEX(Parties!$E$5:$E$304,R491)&lt;&gt;"",INDEX(Parties!$E$5:$E$304,R491)&lt;&gt;HomeState),0,ROUND(K491*L491/2,2))),"")</f>
        <v/>
      </c>
      <c r="N491" s="61" t="str">
        <f aca="false">IF(IsPro,IF($D491="","",M491),"")</f>
        <v/>
      </c>
      <c r="O491" s="61" t="str">
        <f aca="false">IF(IsPro,IF($D491="","",IF(AND(R491&lt;&gt;"",INDEX(Parties!$E$5:$E$304,R491)&lt;&gt;"",INDEX(Parties!$E$5:$E$304,R491)&lt;&gt;HomeState),ROUND(K491*L491,2),0)),"")</f>
        <v/>
      </c>
      <c r="P491" s="61" t="str">
        <f aca="false">IF(IsPro,IF($D491="","",K491+M491+N491+O491),"")</f>
        <v/>
      </c>
      <c r="Q491" s="60" t="str">
        <f aca="false">IF(IsPro,IF($D491="","",IFERROR(MATCH($D491,Items!$A$5:$A$504,0),"")),"")</f>
        <v/>
      </c>
      <c r="R491" s="60" t="str">
        <f aca="false">IF(IsPro,IF($C491="","",IFERROR(MATCH($C491,Parties!$A$5:$A$304,0),"")),"")</f>
        <v/>
      </c>
      <c r="S491" s="61" t="str">
        <f aca="false">IF(IsPro,IF($D491="","",IF(OR($H491="",$H491="Credit"),0,P491)),"")</f>
        <v/>
      </c>
    </row>
    <row r="492" customFormat="false" ht="15" hidden="false" customHeight="false" outlineLevel="0" collapsed="false">
      <c r="A492" s="55"/>
      <c r="B492" s="56"/>
      <c r="C492" s="56"/>
      <c r="D492" s="56"/>
      <c r="E492" s="57"/>
      <c r="F492" s="58"/>
      <c r="G492" s="59"/>
      <c r="H492" s="56"/>
      <c r="I492" s="60" t="str">
        <f aca="false">IF(IsPro,IF($D492="","",IFERROR(INDEX(Items!$D$5:$D$504,Q492),"")),IF($D492="","","PRO PLAN"))</f>
        <v/>
      </c>
      <c r="J492" s="61" t="str">
        <f aca="false">IF(IsPro,IF($D492="","",IF($F492="",IFERROR(INDEX(Items!$G$5:$G$504,Q492),0),$F492)),"")</f>
        <v/>
      </c>
      <c r="K492" s="61" t="str">
        <f aca="false">IF(IsPro,IF($D492="","",ROUND(N($E492)*J492*(1-N($G492)),2)),"")</f>
        <v/>
      </c>
      <c r="L492" s="62" t="str">
        <f aca="false">IF(IsPro,IF($D492="","",IFERROR(INDEX(Items!$F$5:$F$504,Q492),0)),"")</f>
        <v/>
      </c>
      <c r="M492" s="61" t="str">
        <f aca="false">IF(IsPro,IF($D492="","",IF(AND(R492&lt;&gt;"",INDEX(Parties!$E$5:$E$304,R492)&lt;&gt;"",INDEX(Parties!$E$5:$E$304,R492)&lt;&gt;HomeState),0,ROUND(K492*L492/2,2))),"")</f>
        <v/>
      </c>
      <c r="N492" s="61" t="str">
        <f aca="false">IF(IsPro,IF($D492="","",M492),"")</f>
        <v/>
      </c>
      <c r="O492" s="61" t="str">
        <f aca="false">IF(IsPro,IF($D492="","",IF(AND(R492&lt;&gt;"",INDEX(Parties!$E$5:$E$304,R492)&lt;&gt;"",INDEX(Parties!$E$5:$E$304,R492)&lt;&gt;HomeState),ROUND(K492*L492,2),0)),"")</f>
        <v/>
      </c>
      <c r="P492" s="61" t="str">
        <f aca="false">IF(IsPro,IF($D492="","",K492+M492+N492+O492),"")</f>
        <v/>
      </c>
      <c r="Q492" s="60" t="str">
        <f aca="false">IF(IsPro,IF($D492="","",IFERROR(MATCH($D492,Items!$A$5:$A$504,0),"")),"")</f>
        <v/>
      </c>
      <c r="R492" s="60" t="str">
        <f aca="false">IF(IsPro,IF($C492="","",IFERROR(MATCH($C492,Parties!$A$5:$A$304,0),"")),"")</f>
        <v/>
      </c>
      <c r="S492" s="61" t="str">
        <f aca="false">IF(IsPro,IF($D492="","",IF(OR($H492="",$H492="Credit"),0,P492)),"")</f>
        <v/>
      </c>
    </row>
    <row r="493" customFormat="false" ht="15" hidden="false" customHeight="false" outlineLevel="0" collapsed="false">
      <c r="A493" s="55"/>
      <c r="B493" s="56"/>
      <c r="C493" s="56"/>
      <c r="D493" s="56"/>
      <c r="E493" s="57"/>
      <c r="F493" s="58"/>
      <c r="G493" s="59"/>
      <c r="H493" s="56"/>
      <c r="I493" s="60" t="str">
        <f aca="false">IF(IsPro,IF($D493="","",IFERROR(INDEX(Items!$D$5:$D$504,Q493),"")),IF($D493="","","PRO PLAN"))</f>
        <v/>
      </c>
      <c r="J493" s="61" t="str">
        <f aca="false">IF(IsPro,IF($D493="","",IF($F493="",IFERROR(INDEX(Items!$G$5:$G$504,Q493),0),$F493)),"")</f>
        <v/>
      </c>
      <c r="K493" s="61" t="str">
        <f aca="false">IF(IsPro,IF($D493="","",ROUND(N($E493)*J493*(1-N($G493)),2)),"")</f>
        <v/>
      </c>
      <c r="L493" s="62" t="str">
        <f aca="false">IF(IsPro,IF($D493="","",IFERROR(INDEX(Items!$F$5:$F$504,Q493),0)),"")</f>
        <v/>
      </c>
      <c r="M493" s="61" t="str">
        <f aca="false">IF(IsPro,IF($D493="","",IF(AND(R493&lt;&gt;"",INDEX(Parties!$E$5:$E$304,R493)&lt;&gt;"",INDEX(Parties!$E$5:$E$304,R493)&lt;&gt;HomeState),0,ROUND(K493*L493/2,2))),"")</f>
        <v/>
      </c>
      <c r="N493" s="61" t="str">
        <f aca="false">IF(IsPro,IF($D493="","",M493),"")</f>
        <v/>
      </c>
      <c r="O493" s="61" t="str">
        <f aca="false">IF(IsPro,IF($D493="","",IF(AND(R493&lt;&gt;"",INDEX(Parties!$E$5:$E$304,R493)&lt;&gt;"",INDEX(Parties!$E$5:$E$304,R493)&lt;&gt;HomeState),ROUND(K493*L493,2),0)),"")</f>
        <v/>
      </c>
      <c r="P493" s="61" t="str">
        <f aca="false">IF(IsPro,IF($D493="","",K493+M493+N493+O493),"")</f>
        <v/>
      </c>
      <c r="Q493" s="60" t="str">
        <f aca="false">IF(IsPro,IF($D493="","",IFERROR(MATCH($D493,Items!$A$5:$A$504,0),"")),"")</f>
        <v/>
      </c>
      <c r="R493" s="60" t="str">
        <f aca="false">IF(IsPro,IF($C493="","",IFERROR(MATCH($C493,Parties!$A$5:$A$304,0),"")),"")</f>
        <v/>
      </c>
      <c r="S493" s="61" t="str">
        <f aca="false">IF(IsPro,IF($D493="","",IF(OR($H493="",$H493="Credit"),0,P493)),"")</f>
        <v/>
      </c>
    </row>
    <row r="494" customFormat="false" ht="15" hidden="false" customHeight="false" outlineLevel="0" collapsed="false">
      <c r="A494" s="55"/>
      <c r="B494" s="56"/>
      <c r="C494" s="56"/>
      <c r="D494" s="56"/>
      <c r="E494" s="57"/>
      <c r="F494" s="58"/>
      <c r="G494" s="59"/>
      <c r="H494" s="56"/>
      <c r="I494" s="60" t="str">
        <f aca="false">IF(IsPro,IF($D494="","",IFERROR(INDEX(Items!$D$5:$D$504,Q494),"")),IF($D494="","","PRO PLAN"))</f>
        <v/>
      </c>
      <c r="J494" s="61" t="str">
        <f aca="false">IF(IsPro,IF($D494="","",IF($F494="",IFERROR(INDEX(Items!$G$5:$G$504,Q494),0),$F494)),"")</f>
        <v/>
      </c>
      <c r="K494" s="61" t="str">
        <f aca="false">IF(IsPro,IF($D494="","",ROUND(N($E494)*J494*(1-N($G494)),2)),"")</f>
        <v/>
      </c>
      <c r="L494" s="62" t="str">
        <f aca="false">IF(IsPro,IF($D494="","",IFERROR(INDEX(Items!$F$5:$F$504,Q494),0)),"")</f>
        <v/>
      </c>
      <c r="M494" s="61" t="str">
        <f aca="false">IF(IsPro,IF($D494="","",IF(AND(R494&lt;&gt;"",INDEX(Parties!$E$5:$E$304,R494)&lt;&gt;"",INDEX(Parties!$E$5:$E$304,R494)&lt;&gt;HomeState),0,ROUND(K494*L494/2,2))),"")</f>
        <v/>
      </c>
      <c r="N494" s="61" t="str">
        <f aca="false">IF(IsPro,IF($D494="","",M494),"")</f>
        <v/>
      </c>
      <c r="O494" s="61" t="str">
        <f aca="false">IF(IsPro,IF($D494="","",IF(AND(R494&lt;&gt;"",INDEX(Parties!$E$5:$E$304,R494)&lt;&gt;"",INDEX(Parties!$E$5:$E$304,R494)&lt;&gt;HomeState),ROUND(K494*L494,2),0)),"")</f>
        <v/>
      </c>
      <c r="P494" s="61" t="str">
        <f aca="false">IF(IsPro,IF($D494="","",K494+M494+N494+O494),"")</f>
        <v/>
      </c>
      <c r="Q494" s="60" t="str">
        <f aca="false">IF(IsPro,IF($D494="","",IFERROR(MATCH($D494,Items!$A$5:$A$504,0),"")),"")</f>
        <v/>
      </c>
      <c r="R494" s="60" t="str">
        <f aca="false">IF(IsPro,IF($C494="","",IFERROR(MATCH($C494,Parties!$A$5:$A$304,0),"")),"")</f>
        <v/>
      </c>
      <c r="S494" s="61" t="str">
        <f aca="false">IF(IsPro,IF($D494="","",IF(OR($H494="",$H494="Credit"),0,P494)),"")</f>
        <v/>
      </c>
    </row>
    <row r="495" customFormat="false" ht="15" hidden="false" customHeight="false" outlineLevel="0" collapsed="false">
      <c r="A495" s="55"/>
      <c r="B495" s="56"/>
      <c r="C495" s="56"/>
      <c r="D495" s="56"/>
      <c r="E495" s="57"/>
      <c r="F495" s="58"/>
      <c r="G495" s="59"/>
      <c r="H495" s="56"/>
      <c r="I495" s="60" t="str">
        <f aca="false">IF(IsPro,IF($D495="","",IFERROR(INDEX(Items!$D$5:$D$504,Q495),"")),IF($D495="","","PRO PLAN"))</f>
        <v/>
      </c>
      <c r="J495" s="61" t="str">
        <f aca="false">IF(IsPro,IF($D495="","",IF($F495="",IFERROR(INDEX(Items!$G$5:$G$504,Q495),0),$F495)),"")</f>
        <v/>
      </c>
      <c r="K495" s="61" t="str">
        <f aca="false">IF(IsPro,IF($D495="","",ROUND(N($E495)*J495*(1-N($G495)),2)),"")</f>
        <v/>
      </c>
      <c r="L495" s="62" t="str">
        <f aca="false">IF(IsPro,IF($D495="","",IFERROR(INDEX(Items!$F$5:$F$504,Q495),0)),"")</f>
        <v/>
      </c>
      <c r="M495" s="61" t="str">
        <f aca="false">IF(IsPro,IF($D495="","",IF(AND(R495&lt;&gt;"",INDEX(Parties!$E$5:$E$304,R495)&lt;&gt;"",INDEX(Parties!$E$5:$E$304,R495)&lt;&gt;HomeState),0,ROUND(K495*L495/2,2))),"")</f>
        <v/>
      </c>
      <c r="N495" s="61" t="str">
        <f aca="false">IF(IsPro,IF($D495="","",M495),"")</f>
        <v/>
      </c>
      <c r="O495" s="61" t="str">
        <f aca="false">IF(IsPro,IF($D495="","",IF(AND(R495&lt;&gt;"",INDEX(Parties!$E$5:$E$304,R495)&lt;&gt;"",INDEX(Parties!$E$5:$E$304,R495)&lt;&gt;HomeState),ROUND(K495*L495,2),0)),"")</f>
        <v/>
      </c>
      <c r="P495" s="61" t="str">
        <f aca="false">IF(IsPro,IF($D495="","",K495+M495+N495+O495),"")</f>
        <v/>
      </c>
      <c r="Q495" s="60" t="str">
        <f aca="false">IF(IsPro,IF($D495="","",IFERROR(MATCH($D495,Items!$A$5:$A$504,0),"")),"")</f>
        <v/>
      </c>
      <c r="R495" s="60" t="str">
        <f aca="false">IF(IsPro,IF($C495="","",IFERROR(MATCH($C495,Parties!$A$5:$A$304,0),"")),"")</f>
        <v/>
      </c>
      <c r="S495" s="61" t="str">
        <f aca="false">IF(IsPro,IF($D495="","",IF(OR($H495="",$H495="Credit"),0,P495)),"")</f>
        <v/>
      </c>
    </row>
    <row r="496" customFormat="false" ht="15" hidden="false" customHeight="false" outlineLevel="0" collapsed="false">
      <c r="A496" s="55"/>
      <c r="B496" s="56"/>
      <c r="C496" s="56"/>
      <c r="D496" s="56"/>
      <c r="E496" s="57"/>
      <c r="F496" s="58"/>
      <c r="G496" s="59"/>
      <c r="H496" s="56"/>
      <c r="I496" s="60" t="str">
        <f aca="false">IF(IsPro,IF($D496="","",IFERROR(INDEX(Items!$D$5:$D$504,Q496),"")),IF($D496="","","PRO PLAN"))</f>
        <v/>
      </c>
      <c r="J496" s="61" t="str">
        <f aca="false">IF(IsPro,IF($D496="","",IF($F496="",IFERROR(INDEX(Items!$G$5:$G$504,Q496),0),$F496)),"")</f>
        <v/>
      </c>
      <c r="K496" s="61" t="str">
        <f aca="false">IF(IsPro,IF($D496="","",ROUND(N($E496)*J496*(1-N($G496)),2)),"")</f>
        <v/>
      </c>
      <c r="L496" s="62" t="str">
        <f aca="false">IF(IsPro,IF($D496="","",IFERROR(INDEX(Items!$F$5:$F$504,Q496),0)),"")</f>
        <v/>
      </c>
      <c r="M496" s="61" t="str">
        <f aca="false">IF(IsPro,IF($D496="","",IF(AND(R496&lt;&gt;"",INDEX(Parties!$E$5:$E$304,R496)&lt;&gt;"",INDEX(Parties!$E$5:$E$304,R496)&lt;&gt;HomeState),0,ROUND(K496*L496/2,2))),"")</f>
        <v/>
      </c>
      <c r="N496" s="61" t="str">
        <f aca="false">IF(IsPro,IF($D496="","",M496),"")</f>
        <v/>
      </c>
      <c r="O496" s="61" t="str">
        <f aca="false">IF(IsPro,IF($D496="","",IF(AND(R496&lt;&gt;"",INDEX(Parties!$E$5:$E$304,R496)&lt;&gt;"",INDEX(Parties!$E$5:$E$304,R496)&lt;&gt;HomeState),ROUND(K496*L496,2),0)),"")</f>
        <v/>
      </c>
      <c r="P496" s="61" t="str">
        <f aca="false">IF(IsPro,IF($D496="","",K496+M496+N496+O496),"")</f>
        <v/>
      </c>
      <c r="Q496" s="60" t="str">
        <f aca="false">IF(IsPro,IF($D496="","",IFERROR(MATCH($D496,Items!$A$5:$A$504,0),"")),"")</f>
        <v/>
      </c>
      <c r="R496" s="60" t="str">
        <f aca="false">IF(IsPro,IF($C496="","",IFERROR(MATCH($C496,Parties!$A$5:$A$304,0),"")),"")</f>
        <v/>
      </c>
      <c r="S496" s="61" t="str">
        <f aca="false">IF(IsPro,IF($D496="","",IF(OR($H496="",$H496="Credit"),0,P496)),"")</f>
        <v/>
      </c>
    </row>
    <row r="497" customFormat="false" ht="15" hidden="false" customHeight="false" outlineLevel="0" collapsed="false">
      <c r="A497" s="55"/>
      <c r="B497" s="56"/>
      <c r="C497" s="56"/>
      <c r="D497" s="56"/>
      <c r="E497" s="57"/>
      <c r="F497" s="58"/>
      <c r="G497" s="59"/>
      <c r="H497" s="56"/>
      <c r="I497" s="60" t="str">
        <f aca="false">IF(IsPro,IF($D497="","",IFERROR(INDEX(Items!$D$5:$D$504,Q497),"")),IF($D497="","","PRO PLAN"))</f>
        <v/>
      </c>
      <c r="J497" s="61" t="str">
        <f aca="false">IF(IsPro,IF($D497="","",IF($F497="",IFERROR(INDEX(Items!$G$5:$G$504,Q497),0),$F497)),"")</f>
        <v/>
      </c>
      <c r="K497" s="61" t="str">
        <f aca="false">IF(IsPro,IF($D497="","",ROUND(N($E497)*J497*(1-N($G497)),2)),"")</f>
        <v/>
      </c>
      <c r="L497" s="62" t="str">
        <f aca="false">IF(IsPro,IF($D497="","",IFERROR(INDEX(Items!$F$5:$F$504,Q497),0)),"")</f>
        <v/>
      </c>
      <c r="M497" s="61" t="str">
        <f aca="false">IF(IsPro,IF($D497="","",IF(AND(R497&lt;&gt;"",INDEX(Parties!$E$5:$E$304,R497)&lt;&gt;"",INDEX(Parties!$E$5:$E$304,R497)&lt;&gt;HomeState),0,ROUND(K497*L497/2,2))),"")</f>
        <v/>
      </c>
      <c r="N497" s="61" t="str">
        <f aca="false">IF(IsPro,IF($D497="","",M497),"")</f>
        <v/>
      </c>
      <c r="O497" s="61" t="str">
        <f aca="false">IF(IsPro,IF($D497="","",IF(AND(R497&lt;&gt;"",INDEX(Parties!$E$5:$E$304,R497)&lt;&gt;"",INDEX(Parties!$E$5:$E$304,R497)&lt;&gt;HomeState),ROUND(K497*L497,2),0)),"")</f>
        <v/>
      </c>
      <c r="P497" s="61" t="str">
        <f aca="false">IF(IsPro,IF($D497="","",K497+M497+N497+O497),"")</f>
        <v/>
      </c>
      <c r="Q497" s="60" t="str">
        <f aca="false">IF(IsPro,IF($D497="","",IFERROR(MATCH($D497,Items!$A$5:$A$504,0),"")),"")</f>
        <v/>
      </c>
      <c r="R497" s="60" t="str">
        <f aca="false">IF(IsPro,IF($C497="","",IFERROR(MATCH($C497,Parties!$A$5:$A$304,0),"")),"")</f>
        <v/>
      </c>
      <c r="S497" s="61" t="str">
        <f aca="false">IF(IsPro,IF($D497="","",IF(OR($H497="",$H497="Credit"),0,P497)),"")</f>
        <v/>
      </c>
    </row>
    <row r="498" customFormat="false" ht="15" hidden="false" customHeight="false" outlineLevel="0" collapsed="false">
      <c r="A498" s="55"/>
      <c r="B498" s="56"/>
      <c r="C498" s="56"/>
      <c r="D498" s="56"/>
      <c r="E498" s="57"/>
      <c r="F498" s="58"/>
      <c r="G498" s="59"/>
      <c r="H498" s="56"/>
      <c r="I498" s="60" t="str">
        <f aca="false">IF(IsPro,IF($D498="","",IFERROR(INDEX(Items!$D$5:$D$504,Q498),"")),IF($D498="","","PRO PLAN"))</f>
        <v/>
      </c>
      <c r="J498" s="61" t="str">
        <f aca="false">IF(IsPro,IF($D498="","",IF($F498="",IFERROR(INDEX(Items!$G$5:$G$504,Q498),0),$F498)),"")</f>
        <v/>
      </c>
      <c r="K498" s="61" t="str">
        <f aca="false">IF(IsPro,IF($D498="","",ROUND(N($E498)*J498*(1-N($G498)),2)),"")</f>
        <v/>
      </c>
      <c r="L498" s="62" t="str">
        <f aca="false">IF(IsPro,IF($D498="","",IFERROR(INDEX(Items!$F$5:$F$504,Q498),0)),"")</f>
        <v/>
      </c>
      <c r="M498" s="61" t="str">
        <f aca="false">IF(IsPro,IF($D498="","",IF(AND(R498&lt;&gt;"",INDEX(Parties!$E$5:$E$304,R498)&lt;&gt;"",INDEX(Parties!$E$5:$E$304,R498)&lt;&gt;HomeState),0,ROUND(K498*L498/2,2))),"")</f>
        <v/>
      </c>
      <c r="N498" s="61" t="str">
        <f aca="false">IF(IsPro,IF($D498="","",M498),"")</f>
        <v/>
      </c>
      <c r="O498" s="61" t="str">
        <f aca="false">IF(IsPro,IF($D498="","",IF(AND(R498&lt;&gt;"",INDEX(Parties!$E$5:$E$304,R498)&lt;&gt;"",INDEX(Parties!$E$5:$E$304,R498)&lt;&gt;HomeState),ROUND(K498*L498,2),0)),"")</f>
        <v/>
      </c>
      <c r="P498" s="61" t="str">
        <f aca="false">IF(IsPro,IF($D498="","",K498+M498+N498+O498),"")</f>
        <v/>
      </c>
      <c r="Q498" s="60" t="str">
        <f aca="false">IF(IsPro,IF($D498="","",IFERROR(MATCH($D498,Items!$A$5:$A$504,0),"")),"")</f>
        <v/>
      </c>
      <c r="R498" s="60" t="str">
        <f aca="false">IF(IsPro,IF($C498="","",IFERROR(MATCH($C498,Parties!$A$5:$A$304,0),"")),"")</f>
        <v/>
      </c>
      <c r="S498" s="61" t="str">
        <f aca="false">IF(IsPro,IF($D498="","",IF(OR($H498="",$H498="Credit"),0,P498)),"")</f>
        <v/>
      </c>
    </row>
    <row r="499" customFormat="false" ht="15" hidden="false" customHeight="false" outlineLevel="0" collapsed="false">
      <c r="A499" s="55"/>
      <c r="B499" s="56"/>
      <c r="C499" s="56"/>
      <c r="D499" s="56"/>
      <c r="E499" s="57"/>
      <c r="F499" s="58"/>
      <c r="G499" s="59"/>
      <c r="H499" s="56"/>
      <c r="I499" s="60" t="str">
        <f aca="false">IF(IsPro,IF($D499="","",IFERROR(INDEX(Items!$D$5:$D$504,Q499),"")),IF($D499="","","PRO PLAN"))</f>
        <v/>
      </c>
      <c r="J499" s="61" t="str">
        <f aca="false">IF(IsPro,IF($D499="","",IF($F499="",IFERROR(INDEX(Items!$G$5:$G$504,Q499),0),$F499)),"")</f>
        <v/>
      </c>
      <c r="K499" s="61" t="str">
        <f aca="false">IF(IsPro,IF($D499="","",ROUND(N($E499)*J499*(1-N($G499)),2)),"")</f>
        <v/>
      </c>
      <c r="L499" s="62" t="str">
        <f aca="false">IF(IsPro,IF($D499="","",IFERROR(INDEX(Items!$F$5:$F$504,Q499),0)),"")</f>
        <v/>
      </c>
      <c r="M499" s="61" t="str">
        <f aca="false">IF(IsPro,IF($D499="","",IF(AND(R499&lt;&gt;"",INDEX(Parties!$E$5:$E$304,R499)&lt;&gt;"",INDEX(Parties!$E$5:$E$304,R499)&lt;&gt;HomeState),0,ROUND(K499*L499/2,2))),"")</f>
        <v/>
      </c>
      <c r="N499" s="61" t="str">
        <f aca="false">IF(IsPro,IF($D499="","",M499),"")</f>
        <v/>
      </c>
      <c r="O499" s="61" t="str">
        <f aca="false">IF(IsPro,IF($D499="","",IF(AND(R499&lt;&gt;"",INDEX(Parties!$E$5:$E$304,R499)&lt;&gt;"",INDEX(Parties!$E$5:$E$304,R499)&lt;&gt;HomeState),ROUND(K499*L499,2),0)),"")</f>
        <v/>
      </c>
      <c r="P499" s="61" t="str">
        <f aca="false">IF(IsPro,IF($D499="","",K499+M499+N499+O499),"")</f>
        <v/>
      </c>
      <c r="Q499" s="60" t="str">
        <f aca="false">IF(IsPro,IF($D499="","",IFERROR(MATCH($D499,Items!$A$5:$A$504,0),"")),"")</f>
        <v/>
      </c>
      <c r="R499" s="60" t="str">
        <f aca="false">IF(IsPro,IF($C499="","",IFERROR(MATCH($C499,Parties!$A$5:$A$304,0),"")),"")</f>
        <v/>
      </c>
      <c r="S499" s="61" t="str">
        <f aca="false">IF(IsPro,IF($D499="","",IF(OR($H499="",$H499="Credit"),0,P499)),"")</f>
        <v/>
      </c>
    </row>
    <row r="500" customFormat="false" ht="15" hidden="false" customHeight="false" outlineLevel="0" collapsed="false">
      <c r="A500" s="55"/>
      <c r="B500" s="56"/>
      <c r="C500" s="56"/>
      <c r="D500" s="56"/>
      <c r="E500" s="57"/>
      <c r="F500" s="58"/>
      <c r="G500" s="59"/>
      <c r="H500" s="56"/>
      <c r="I500" s="60" t="str">
        <f aca="false">IF(IsPro,IF($D500="","",IFERROR(INDEX(Items!$D$5:$D$504,Q500),"")),IF($D500="","","PRO PLAN"))</f>
        <v/>
      </c>
      <c r="J500" s="61" t="str">
        <f aca="false">IF(IsPro,IF($D500="","",IF($F500="",IFERROR(INDEX(Items!$G$5:$G$504,Q500),0),$F500)),"")</f>
        <v/>
      </c>
      <c r="K500" s="61" t="str">
        <f aca="false">IF(IsPro,IF($D500="","",ROUND(N($E500)*J500*(1-N($G500)),2)),"")</f>
        <v/>
      </c>
      <c r="L500" s="62" t="str">
        <f aca="false">IF(IsPro,IF($D500="","",IFERROR(INDEX(Items!$F$5:$F$504,Q500),0)),"")</f>
        <v/>
      </c>
      <c r="M500" s="61" t="str">
        <f aca="false">IF(IsPro,IF($D500="","",IF(AND(R500&lt;&gt;"",INDEX(Parties!$E$5:$E$304,R500)&lt;&gt;"",INDEX(Parties!$E$5:$E$304,R500)&lt;&gt;HomeState),0,ROUND(K500*L500/2,2))),"")</f>
        <v/>
      </c>
      <c r="N500" s="61" t="str">
        <f aca="false">IF(IsPro,IF($D500="","",M500),"")</f>
        <v/>
      </c>
      <c r="O500" s="61" t="str">
        <f aca="false">IF(IsPro,IF($D500="","",IF(AND(R500&lt;&gt;"",INDEX(Parties!$E$5:$E$304,R500)&lt;&gt;"",INDEX(Parties!$E$5:$E$304,R500)&lt;&gt;HomeState),ROUND(K500*L500,2),0)),"")</f>
        <v/>
      </c>
      <c r="P500" s="61" t="str">
        <f aca="false">IF(IsPro,IF($D500="","",K500+M500+N500+O500),"")</f>
        <v/>
      </c>
      <c r="Q500" s="60" t="str">
        <f aca="false">IF(IsPro,IF($D500="","",IFERROR(MATCH($D500,Items!$A$5:$A$504,0),"")),"")</f>
        <v/>
      </c>
      <c r="R500" s="60" t="str">
        <f aca="false">IF(IsPro,IF($C500="","",IFERROR(MATCH($C500,Parties!$A$5:$A$304,0),"")),"")</f>
        <v/>
      </c>
      <c r="S500" s="61" t="str">
        <f aca="false">IF(IsPro,IF($D500="","",IF(OR($H500="",$H500="Credit"),0,P500)),"")</f>
        <v/>
      </c>
    </row>
    <row r="501" customFormat="false" ht="15" hidden="false" customHeight="false" outlineLevel="0" collapsed="false">
      <c r="A501" s="55"/>
      <c r="B501" s="56"/>
      <c r="C501" s="56"/>
      <c r="D501" s="56"/>
      <c r="E501" s="57"/>
      <c r="F501" s="58"/>
      <c r="G501" s="59"/>
      <c r="H501" s="56"/>
      <c r="I501" s="60" t="str">
        <f aca="false">IF(IsPro,IF($D501="","",IFERROR(INDEX(Items!$D$5:$D$504,Q501),"")),IF($D501="","","PRO PLAN"))</f>
        <v/>
      </c>
      <c r="J501" s="61" t="str">
        <f aca="false">IF(IsPro,IF($D501="","",IF($F501="",IFERROR(INDEX(Items!$G$5:$G$504,Q501),0),$F501)),"")</f>
        <v/>
      </c>
      <c r="K501" s="61" t="str">
        <f aca="false">IF(IsPro,IF($D501="","",ROUND(N($E501)*J501*(1-N($G501)),2)),"")</f>
        <v/>
      </c>
      <c r="L501" s="62" t="str">
        <f aca="false">IF(IsPro,IF($D501="","",IFERROR(INDEX(Items!$F$5:$F$504,Q501),0)),"")</f>
        <v/>
      </c>
      <c r="M501" s="61" t="str">
        <f aca="false">IF(IsPro,IF($D501="","",IF(AND(R501&lt;&gt;"",INDEX(Parties!$E$5:$E$304,R501)&lt;&gt;"",INDEX(Parties!$E$5:$E$304,R501)&lt;&gt;HomeState),0,ROUND(K501*L501/2,2))),"")</f>
        <v/>
      </c>
      <c r="N501" s="61" t="str">
        <f aca="false">IF(IsPro,IF($D501="","",M501),"")</f>
        <v/>
      </c>
      <c r="O501" s="61" t="str">
        <f aca="false">IF(IsPro,IF($D501="","",IF(AND(R501&lt;&gt;"",INDEX(Parties!$E$5:$E$304,R501)&lt;&gt;"",INDEX(Parties!$E$5:$E$304,R501)&lt;&gt;HomeState),ROUND(K501*L501,2),0)),"")</f>
        <v/>
      </c>
      <c r="P501" s="61" t="str">
        <f aca="false">IF(IsPro,IF($D501="","",K501+M501+N501+O501),"")</f>
        <v/>
      </c>
      <c r="Q501" s="60" t="str">
        <f aca="false">IF(IsPro,IF($D501="","",IFERROR(MATCH($D501,Items!$A$5:$A$504,0),"")),"")</f>
        <v/>
      </c>
      <c r="R501" s="60" t="str">
        <f aca="false">IF(IsPro,IF($C501="","",IFERROR(MATCH($C501,Parties!$A$5:$A$304,0),"")),"")</f>
        <v/>
      </c>
      <c r="S501" s="61" t="str">
        <f aca="false">IF(IsPro,IF($D501="","",IF(OR($H501="",$H501="Credit"),0,P501)),"")</f>
        <v/>
      </c>
    </row>
    <row r="502" customFormat="false" ht="15" hidden="false" customHeight="false" outlineLevel="0" collapsed="false">
      <c r="A502" s="55"/>
      <c r="B502" s="56"/>
      <c r="C502" s="56"/>
      <c r="D502" s="56"/>
      <c r="E502" s="57"/>
      <c r="F502" s="58"/>
      <c r="G502" s="59"/>
      <c r="H502" s="56"/>
      <c r="I502" s="60" t="str">
        <f aca="false">IF(IsPro,IF($D502="","",IFERROR(INDEX(Items!$D$5:$D$504,Q502),"")),IF($D502="","","PRO PLAN"))</f>
        <v/>
      </c>
      <c r="J502" s="61" t="str">
        <f aca="false">IF(IsPro,IF($D502="","",IF($F502="",IFERROR(INDEX(Items!$G$5:$G$504,Q502),0),$F502)),"")</f>
        <v/>
      </c>
      <c r="K502" s="61" t="str">
        <f aca="false">IF(IsPro,IF($D502="","",ROUND(N($E502)*J502*(1-N($G502)),2)),"")</f>
        <v/>
      </c>
      <c r="L502" s="62" t="str">
        <f aca="false">IF(IsPro,IF($D502="","",IFERROR(INDEX(Items!$F$5:$F$504,Q502),0)),"")</f>
        <v/>
      </c>
      <c r="M502" s="61" t="str">
        <f aca="false">IF(IsPro,IF($D502="","",IF(AND(R502&lt;&gt;"",INDEX(Parties!$E$5:$E$304,R502)&lt;&gt;"",INDEX(Parties!$E$5:$E$304,R502)&lt;&gt;HomeState),0,ROUND(K502*L502/2,2))),"")</f>
        <v/>
      </c>
      <c r="N502" s="61" t="str">
        <f aca="false">IF(IsPro,IF($D502="","",M502),"")</f>
        <v/>
      </c>
      <c r="O502" s="61" t="str">
        <f aca="false">IF(IsPro,IF($D502="","",IF(AND(R502&lt;&gt;"",INDEX(Parties!$E$5:$E$304,R502)&lt;&gt;"",INDEX(Parties!$E$5:$E$304,R502)&lt;&gt;HomeState),ROUND(K502*L502,2),0)),"")</f>
        <v/>
      </c>
      <c r="P502" s="61" t="str">
        <f aca="false">IF(IsPro,IF($D502="","",K502+M502+N502+O502),"")</f>
        <v/>
      </c>
      <c r="Q502" s="60" t="str">
        <f aca="false">IF(IsPro,IF($D502="","",IFERROR(MATCH($D502,Items!$A$5:$A$504,0),"")),"")</f>
        <v/>
      </c>
      <c r="R502" s="60" t="str">
        <f aca="false">IF(IsPro,IF($C502="","",IFERROR(MATCH($C502,Parties!$A$5:$A$304,0),"")),"")</f>
        <v/>
      </c>
      <c r="S502" s="61" t="str">
        <f aca="false">IF(IsPro,IF($D502="","",IF(OR($H502="",$H502="Credit"),0,P502)),"")</f>
        <v/>
      </c>
    </row>
    <row r="503" customFormat="false" ht="15" hidden="false" customHeight="false" outlineLevel="0" collapsed="false">
      <c r="A503" s="55"/>
      <c r="B503" s="56"/>
      <c r="C503" s="56"/>
      <c r="D503" s="56"/>
      <c r="E503" s="57"/>
      <c r="F503" s="58"/>
      <c r="G503" s="59"/>
      <c r="H503" s="56"/>
      <c r="I503" s="60" t="str">
        <f aca="false">IF(IsPro,IF($D503="","",IFERROR(INDEX(Items!$D$5:$D$504,Q503),"")),IF($D503="","","PRO PLAN"))</f>
        <v/>
      </c>
      <c r="J503" s="61" t="str">
        <f aca="false">IF(IsPro,IF($D503="","",IF($F503="",IFERROR(INDEX(Items!$G$5:$G$504,Q503),0),$F503)),"")</f>
        <v/>
      </c>
      <c r="K503" s="61" t="str">
        <f aca="false">IF(IsPro,IF($D503="","",ROUND(N($E503)*J503*(1-N($G503)),2)),"")</f>
        <v/>
      </c>
      <c r="L503" s="62" t="str">
        <f aca="false">IF(IsPro,IF($D503="","",IFERROR(INDEX(Items!$F$5:$F$504,Q503),0)),"")</f>
        <v/>
      </c>
      <c r="M503" s="61" t="str">
        <f aca="false">IF(IsPro,IF($D503="","",IF(AND(R503&lt;&gt;"",INDEX(Parties!$E$5:$E$304,R503)&lt;&gt;"",INDEX(Parties!$E$5:$E$304,R503)&lt;&gt;HomeState),0,ROUND(K503*L503/2,2))),"")</f>
        <v/>
      </c>
      <c r="N503" s="61" t="str">
        <f aca="false">IF(IsPro,IF($D503="","",M503),"")</f>
        <v/>
      </c>
      <c r="O503" s="61" t="str">
        <f aca="false">IF(IsPro,IF($D503="","",IF(AND(R503&lt;&gt;"",INDEX(Parties!$E$5:$E$304,R503)&lt;&gt;"",INDEX(Parties!$E$5:$E$304,R503)&lt;&gt;HomeState),ROUND(K503*L503,2),0)),"")</f>
        <v/>
      </c>
      <c r="P503" s="61" t="str">
        <f aca="false">IF(IsPro,IF($D503="","",K503+M503+N503+O503),"")</f>
        <v/>
      </c>
      <c r="Q503" s="60" t="str">
        <f aca="false">IF(IsPro,IF($D503="","",IFERROR(MATCH($D503,Items!$A$5:$A$504,0),"")),"")</f>
        <v/>
      </c>
      <c r="R503" s="60" t="str">
        <f aca="false">IF(IsPro,IF($C503="","",IFERROR(MATCH($C503,Parties!$A$5:$A$304,0),"")),"")</f>
        <v/>
      </c>
      <c r="S503" s="61" t="str">
        <f aca="false">IF(IsPro,IF($D503="","",IF(OR($H503="",$H503="Credit"),0,P503)),"")</f>
        <v/>
      </c>
    </row>
    <row r="504" customFormat="false" ht="15" hidden="false" customHeight="false" outlineLevel="0" collapsed="false">
      <c r="A504" s="55"/>
      <c r="B504" s="56"/>
      <c r="C504" s="56"/>
      <c r="D504" s="56"/>
      <c r="E504" s="57"/>
      <c r="F504" s="58"/>
      <c r="G504" s="59"/>
      <c r="H504" s="56"/>
      <c r="I504" s="60" t="str">
        <f aca="false">IF(IsPro,IF($D504="","",IFERROR(INDEX(Items!$D$5:$D$504,Q504),"")),IF($D504="","","PRO PLAN"))</f>
        <v/>
      </c>
      <c r="J504" s="61" t="str">
        <f aca="false">IF(IsPro,IF($D504="","",IF($F504="",IFERROR(INDEX(Items!$G$5:$G$504,Q504),0),$F504)),"")</f>
        <v/>
      </c>
      <c r="K504" s="61" t="str">
        <f aca="false">IF(IsPro,IF($D504="","",ROUND(N($E504)*J504*(1-N($G504)),2)),"")</f>
        <v/>
      </c>
      <c r="L504" s="62" t="str">
        <f aca="false">IF(IsPro,IF($D504="","",IFERROR(INDEX(Items!$F$5:$F$504,Q504),0)),"")</f>
        <v/>
      </c>
      <c r="M504" s="61" t="str">
        <f aca="false">IF(IsPro,IF($D504="","",IF(AND(R504&lt;&gt;"",INDEX(Parties!$E$5:$E$304,R504)&lt;&gt;"",INDEX(Parties!$E$5:$E$304,R504)&lt;&gt;HomeState),0,ROUND(K504*L504/2,2))),"")</f>
        <v/>
      </c>
      <c r="N504" s="61" t="str">
        <f aca="false">IF(IsPro,IF($D504="","",M504),"")</f>
        <v/>
      </c>
      <c r="O504" s="61" t="str">
        <f aca="false">IF(IsPro,IF($D504="","",IF(AND(R504&lt;&gt;"",INDEX(Parties!$E$5:$E$304,R504)&lt;&gt;"",INDEX(Parties!$E$5:$E$304,R504)&lt;&gt;HomeState),ROUND(K504*L504,2),0)),"")</f>
        <v/>
      </c>
      <c r="P504" s="61" t="str">
        <f aca="false">IF(IsPro,IF($D504="","",K504+M504+N504+O504),"")</f>
        <v/>
      </c>
      <c r="Q504" s="60" t="str">
        <f aca="false">IF(IsPro,IF($D504="","",IFERROR(MATCH($D504,Items!$A$5:$A$504,0),"")),"")</f>
        <v/>
      </c>
      <c r="R504" s="60" t="str">
        <f aca="false">IF(IsPro,IF($C504="","",IFERROR(MATCH($C504,Parties!$A$5:$A$304,0),"")),"")</f>
        <v/>
      </c>
      <c r="S504" s="61" t="str">
        <f aca="false">IF(IsPro,IF($D504="","",IF(OR($H504="",$H504="Credit"),0,P504)),"")</f>
        <v/>
      </c>
    </row>
    <row r="505" customFormat="false" ht="15" hidden="false" customHeight="false" outlineLevel="0" collapsed="false">
      <c r="A505" s="55"/>
      <c r="B505" s="56"/>
      <c r="C505" s="56"/>
      <c r="D505" s="56"/>
      <c r="E505" s="57"/>
      <c r="F505" s="58"/>
      <c r="G505" s="59"/>
      <c r="H505" s="56"/>
      <c r="I505" s="60" t="str">
        <f aca="false">IF(IsPro,IF($D505="","",IFERROR(INDEX(Items!$D$5:$D$504,Q505),"")),IF($D505="","","PRO PLAN"))</f>
        <v/>
      </c>
      <c r="J505" s="61" t="str">
        <f aca="false">IF(IsPro,IF($D505="","",IF($F505="",IFERROR(INDEX(Items!$G$5:$G$504,Q505),0),$F505)),"")</f>
        <v/>
      </c>
      <c r="K505" s="61" t="str">
        <f aca="false">IF(IsPro,IF($D505="","",ROUND(N($E505)*J505*(1-N($G505)),2)),"")</f>
        <v/>
      </c>
      <c r="L505" s="62" t="str">
        <f aca="false">IF(IsPro,IF($D505="","",IFERROR(INDEX(Items!$F$5:$F$504,Q505),0)),"")</f>
        <v/>
      </c>
      <c r="M505" s="61" t="str">
        <f aca="false">IF(IsPro,IF($D505="","",IF(AND(R505&lt;&gt;"",INDEX(Parties!$E$5:$E$304,R505)&lt;&gt;"",INDEX(Parties!$E$5:$E$304,R505)&lt;&gt;HomeState),0,ROUND(K505*L505/2,2))),"")</f>
        <v/>
      </c>
      <c r="N505" s="61" t="str">
        <f aca="false">IF(IsPro,IF($D505="","",M505),"")</f>
        <v/>
      </c>
      <c r="O505" s="61" t="str">
        <f aca="false">IF(IsPro,IF($D505="","",IF(AND(R505&lt;&gt;"",INDEX(Parties!$E$5:$E$304,R505)&lt;&gt;"",INDEX(Parties!$E$5:$E$304,R505)&lt;&gt;HomeState),ROUND(K505*L505,2),0)),"")</f>
        <v/>
      </c>
      <c r="P505" s="61" t="str">
        <f aca="false">IF(IsPro,IF($D505="","",K505+M505+N505+O505),"")</f>
        <v/>
      </c>
      <c r="Q505" s="60" t="str">
        <f aca="false">IF(IsPro,IF($D505="","",IFERROR(MATCH($D505,Items!$A$5:$A$504,0),"")),"")</f>
        <v/>
      </c>
      <c r="R505" s="60" t="str">
        <f aca="false">IF(IsPro,IF($C505="","",IFERROR(MATCH($C505,Parties!$A$5:$A$304,0),"")),"")</f>
        <v/>
      </c>
      <c r="S505" s="61" t="str">
        <f aca="false">IF(IsPro,IF($D505="","",IF(OR($H505="",$H505="Credit"),0,P505)),"")</f>
        <v/>
      </c>
    </row>
    <row r="506" customFormat="false" ht="15" hidden="false" customHeight="false" outlineLevel="0" collapsed="false">
      <c r="A506" s="55"/>
      <c r="B506" s="56"/>
      <c r="C506" s="56"/>
      <c r="D506" s="56"/>
      <c r="E506" s="57"/>
      <c r="F506" s="58"/>
      <c r="G506" s="59"/>
      <c r="H506" s="56"/>
      <c r="I506" s="60" t="str">
        <f aca="false">IF(IsPro,IF($D506="","",IFERROR(INDEX(Items!$D$5:$D$504,Q506),"")),IF($D506="","","PRO PLAN"))</f>
        <v/>
      </c>
      <c r="J506" s="61" t="str">
        <f aca="false">IF(IsPro,IF($D506="","",IF($F506="",IFERROR(INDEX(Items!$G$5:$G$504,Q506),0),$F506)),"")</f>
        <v/>
      </c>
      <c r="K506" s="61" t="str">
        <f aca="false">IF(IsPro,IF($D506="","",ROUND(N($E506)*J506*(1-N($G506)),2)),"")</f>
        <v/>
      </c>
      <c r="L506" s="62" t="str">
        <f aca="false">IF(IsPro,IF($D506="","",IFERROR(INDEX(Items!$F$5:$F$504,Q506),0)),"")</f>
        <v/>
      </c>
      <c r="M506" s="61" t="str">
        <f aca="false">IF(IsPro,IF($D506="","",IF(AND(R506&lt;&gt;"",INDEX(Parties!$E$5:$E$304,R506)&lt;&gt;"",INDEX(Parties!$E$5:$E$304,R506)&lt;&gt;HomeState),0,ROUND(K506*L506/2,2))),"")</f>
        <v/>
      </c>
      <c r="N506" s="61" t="str">
        <f aca="false">IF(IsPro,IF($D506="","",M506),"")</f>
        <v/>
      </c>
      <c r="O506" s="61" t="str">
        <f aca="false">IF(IsPro,IF($D506="","",IF(AND(R506&lt;&gt;"",INDEX(Parties!$E$5:$E$304,R506)&lt;&gt;"",INDEX(Parties!$E$5:$E$304,R506)&lt;&gt;HomeState),ROUND(K506*L506,2),0)),"")</f>
        <v/>
      </c>
      <c r="P506" s="61" t="str">
        <f aca="false">IF(IsPro,IF($D506="","",K506+M506+N506+O506),"")</f>
        <v/>
      </c>
      <c r="Q506" s="60" t="str">
        <f aca="false">IF(IsPro,IF($D506="","",IFERROR(MATCH($D506,Items!$A$5:$A$504,0),"")),"")</f>
        <v/>
      </c>
      <c r="R506" s="60" t="str">
        <f aca="false">IF(IsPro,IF($C506="","",IFERROR(MATCH($C506,Parties!$A$5:$A$304,0),"")),"")</f>
        <v/>
      </c>
      <c r="S506" s="61" t="str">
        <f aca="false">IF(IsPro,IF($D506="","",IF(OR($H506="",$H506="Credit"),0,P506)),"")</f>
        <v/>
      </c>
    </row>
    <row r="507" customFormat="false" ht="15" hidden="false" customHeight="false" outlineLevel="0" collapsed="false">
      <c r="A507" s="55"/>
      <c r="B507" s="56"/>
      <c r="C507" s="56"/>
      <c r="D507" s="56"/>
      <c r="E507" s="57"/>
      <c r="F507" s="58"/>
      <c r="G507" s="59"/>
      <c r="H507" s="56"/>
      <c r="I507" s="60" t="str">
        <f aca="false">IF(IsPro,IF($D507="","",IFERROR(INDEX(Items!$D$5:$D$504,Q507),"")),IF($D507="","","PRO PLAN"))</f>
        <v/>
      </c>
      <c r="J507" s="61" t="str">
        <f aca="false">IF(IsPro,IF($D507="","",IF($F507="",IFERROR(INDEX(Items!$G$5:$G$504,Q507),0),$F507)),"")</f>
        <v/>
      </c>
      <c r="K507" s="61" t="str">
        <f aca="false">IF(IsPro,IF($D507="","",ROUND(N($E507)*J507*(1-N($G507)),2)),"")</f>
        <v/>
      </c>
      <c r="L507" s="62" t="str">
        <f aca="false">IF(IsPro,IF($D507="","",IFERROR(INDEX(Items!$F$5:$F$504,Q507),0)),"")</f>
        <v/>
      </c>
      <c r="M507" s="61" t="str">
        <f aca="false">IF(IsPro,IF($D507="","",IF(AND(R507&lt;&gt;"",INDEX(Parties!$E$5:$E$304,R507)&lt;&gt;"",INDEX(Parties!$E$5:$E$304,R507)&lt;&gt;HomeState),0,ROUND(K507*L507/2,2))),"")</f>
        <v/>
      </c>
      <c r="N507" s="61" t="str">
        <f aca="false">IF(IsPro,IF($D507="","",M507),"")</f>
        <v/>
      </c>
      <c r="O507" s="61" t="str">
        <f aca="false">IF(IsPro,IF($D507="","",IF(AND(R507&lt;&gt;"",INDEX(Parties!$E$5:$E$304,R507)&lt;&gt;"",INDEX(Parties!$E$5:$E$304,R507)&lt;&gt;HomeState),ROUND(K507*L507,2),0)),"")</f>
        <v/>
      </c>
      <c r="P507" s="61" t="str">
        <f aca="false">IF(IsPro,IF($D507="","",K507+M507+N507+O507),"")</f>
        <v/>
      </c>
      <c r="Q507" s="60" t="str">
        <f aca="false">IF(IsPro,IF($D507="","",IFERROR(MATCH($D507,Items!$A$5:$A$504,0),"")),"")</f>
        <v/>
      </c>
      <c r="R507" s="60" t="str">
        <f aca="false">IF(IsPro,IF($C507="","",IFERROR(MATCH($C507,Parties!$A$5:$A$304,0),"")),"")</f>
        <v/>
      </c>
      <c r="S507" s="61" t="str">
        <f aca="false">IF(IsPro,IF($D507="","",IF(OR($H507="",$H507="Credit"),0,P507)),"")</f>
        <v/>
      </c>
    </row>
    <row r="508" customFormat="false" ht="15" hidden="false" customHeight="false" outlineLevel="0" collapsed="false">
      <c r="A508" s="55"/>
      <c r="B508" s="56"/>
      <c r="C508" s="56"/>
      <c r="D508" s="56"/>
      <c r="E508" s="57"/>
      <c r="F508" s="58"/>
      <c r="G508" s="59"/>
      <c r="H508" s="56"/>
      <c r="I508" s="60" t="str">
        <f aca="false">IF(IsPro,IF($D508="","",IFERROR(INDEX(Items!$D$5:$D$504,Q508),"")),IF($D508="","","PRO PLAN"))</f>
        <v/>
      </c>
      <c r="J508" s="61" t="str">
        <f aca="false">IF(IsPro,IF($D508="","",IF($F508="",IFERROR(INDEX(Items!$G$5:$G$504,Q508),0),$F508)),"")</f>
        <v/>
      </c>
      <c r="K508" s="61" t="str">
        <f aca="false">IF(IsPro,IF($D508="","",ROUND(N($E508)*J508*(1-N($G508)),2)),"")</f>
        <v/>
      </c>
      <c r="L508" s="62" t="str">
        <f aca="false">IF(IsPro,IF($D508="","",IFERROR(INDEX(Items!$F$5:$F$504,Q508),0)),"")</f>
        <v/>
      </c>
      <c r="M508" s="61" t="str">
        <f aca="false">IF(IsPro,IF($D508="","",IF(AND(R508&lt;&gt;"",INDEX(Parties!$E$5:$E$304,R508)&lt;&gt;"",INDEX(Parties!$E$5:$E$304,R508)&lt;&gt;HomeState),0,ROUND(K508*L508/2,2))),"")</f>
        <v/>
      </c>
      <c r="N508" s="61" t="str">
        <f aca="false">IF(IsPro,IF($D508="","",M508),"")</f>
        <v/>
      </c>
      <c r="O508" s="61" t="str">
        <f aca="false">IF(IsPro,IF($D508="","",IF(AND(R508&lt;&gt;"",INDEX(Parties!$E$5:$E$304,R508)&lt;&gt;"",INDEX(Parties!$E$5:$E$304,R508)&lt;&gt;HomeState),ROUND(K508*L508,2),0)),"")</f>
        <v/>
      </c>
      <c r="P508" s="61" t="str">
        <f aca="false">IF(IsPro,IF($D508="","",K508+M508+N508+O508),"")</f>
        <v/>
      </c>
      <c r="Q508" s="60" t="str">
        <f aca="false">IF(IsPro,IF($D508="","",IFERROR(MATCH($D508,Items!$A$5:$A$504,0),"")),"")</f>
        <v/>
      </c>
      <c r="R508" s="60" t="str">
        <f aca="false">IF(IsPro,IF($C508="","",IFERROR(MATCH($C508,Parties!$A$5:$A$304,0),"")),"")</f>
        <v/>
      </c>
      <c r="S508" s="61" t="str">
        <f aca="false">IF(IsPro,IF($D508="","",IF(OR($H508="",$H508="Credit"),0,P508)),"")</f>
        <v/>
      </c>
    </row>
    <row r="509" customFormat="false" ht="15" hidden="false" customHeight="false" outlineLevel="0" collapsed="false">
      <c r="A509" s="55"/>
      <c r="B509" s="56"/>
      <c r="C509" s="56"/>
      <c r="D509" s="56"/>
      <c r="E509" s="57"/>
      <c r="F509" s="58"/>
      <c r="G509" s="59"/>
      <c r="H509" s="56"/>
      <c r="I509" s="60" t="str">
        <f aca="false">IF(IsPro,IF($D509="","",IFERROR(INDEX(Items!$D$5:$D$504,Q509),"")),IF($D509="","","PRO PLAN"))</f>
        <v/>
      </c>
      <c r="J509" s="61" t="str">
        <f aca="false">IF(IsPro,IF($D509="","",IF($F509="",IFERROR(INDEX(Items!$G$5:$G$504,Q509),0),$F509)),"")</f>
        <v/>
      </c>
      <c r="K509" s="61" t="str">
        <f aca="false">IF(IsPro,IF($D509="","",ROUND(N($E509)*J509*(1-N($G509)),2)),"")</f>
        <v/>
      </c>
      <c r="L509" s="62" t="str">
        <f aca="false">IF(IsPro,IF($D509="","",IFERROR(INDEX(Items!$F$5:$F$504,Q509),0)),"")</f>
        <v/>
      </c>
      <c r="M509" s="61" t="str">
        <f aca="false">IF(IsPro,IF($D509="","",IF(AND(R509&lt;&gt;"",INDEX(Parties!$E$5:$E$304,R509)&lt;&gt;"",INDEX(Parties!$E$5:$E$304,R509)&lt;&gt;HomeState),0,ROUND(K509*L509/2,2))),"")</f>
        <v/>
      </c>
      <c r="N509" s="61" t="str">
        <f aca="false">IF(IsPro,IF($D509="","",M509),"")</f>
        <v/>
      </c>
      <c r="O509" s="61" t="str">
        <f aca="false">IF(IsPro,IF($D509="","",IF(AND(R509&lt;&gt;"",INDEX(Parties!$E$5:$E$304,R509)&lt;&gt;"",INDEX(Parties!$E$5:$E$304,R509)&lt;&gt;HomeState),ROUND(K509*L509,2),0)),"")</f>
        <v/>
      </c>
      <c r="P509" s="61" t="str">
        <f aca="false">IF(IsPro,IF($D509="","",K509+M509+N509+O509),"")</f>
        <v/>
      </c>
      <c r="Q509" s="60" t="str">
        <f aca="false">IF(IsPro,IF($D509="","",IFERROR(MATCH($D509,Items!$A$5:$A$504,0),"")),"")</f>
        <v/>
      </c>
      <c r="R509" s="60" t="str">
        <f aca="false">IF(IsPro,IF($C509="","",IFERROR(MATCH($C509,Parties!$A$5:$A$304,0),"")),"")</f>
        <v/>
      </c>
      <c r="S509" s="61" t="str">
        <f aca="false">IF(IsPro,IF($D509="","",IF(OR($H509="",$H509="Credit"),0,P509)),"")</f>
        <v/>
      </c>
    </row>
    <row r="510" customFormat="false" ht="15" hidden="false" customHeight="false" outlineLevel="0" collapsed="false">
      <c r="A510" s="55"/>
      <c r="B510" s="56"/>
      <c r="C510" s="56"/>
      <c r="D510" s="56"/>
      <c r="E510" s="57"/>
      <c r="F510" s="58"/>
      <c r="G510" s="59"/>
      <c r="H510" s="56"/>
      <c r="I510" s="60" t="str">
        <f aca="false">IF(IsPro,IF($D510="","",IFERROR(INDEX(Items!$D$5:$D$504,Q510),"")),IF($D510="","","PRO PLAN"))</f>
        <v/>
      </c>
      <c r="J510" s="61" t="str">
        <f aca="false">IF(IsPro,IF($D510="","",IF($F510="",IFERROR(INDEX(Items!$G$5:$G$504,Q510),0),$F510)),"")</f>
        <v/>
      </c>
      <c r="K510" s="61" t="str">
        <f aca="false">IF(IsPro,IF($D510="","",ROUND(N($E510)*J510*(1-N($G510)),2)),"")</f>
        <v/>
      </c>
      <c r="L510" s="62" t="str">
        <f aca="false">IF(IsPro,IF($D510="","",IFERROR(INDEX(Items!$F$5:$F$504,Q510),0)),"")</f>
        <v/>
      </c>
      <c r="M510" s="61" t="str">
        <f aca="false">IF(IsPro,IF($D510="","",IF(AND(R510&lt;&gt;"",INDEX(Parties!$E$5:$E$304,R510)&lt;&gt;"",INDEX(Parties!$E$5:$E$304,R510)&lt;&gt;HomeState),0,ROUND(K510*L510/2,2))),"")</f>
        <v/>
      </c>
      <c r="N510" s="61" t="str">
        <f aca="false">IF(IsPro,IF($D510="","",M510),"")</f>
        <v/>
      </c>
      <c r="O510" s="61" t="str">
        <f aca="false">IF(IsPro,IF($D510="","",IF(AND(R510&lt;&gt;"",INDEX(Parties!$E$5:$E$304,R510)&lt;&gt;"",INDEX(Parties!$E$5:$E$304,R510)&lt;&gt;HomeState),ROUND(K510*L510,2),0)),"")</f>
        <v/>
      </c>
      <c r="P510" s="61" t="str">
        <f aca="false">IF(IsPro,IF($D510="","",K510+M510+N510+O510),"")</f>
        <v/>
      </c>
      <c r="Q510" s="60" t="str">
        <f aca="false">IF(IsPro,IF($D510="","",IFERROR(MATCH($D510,Items!$A$5:$A$504,0),"")),"")</f>
        <v/>
      </c>
      <c r="R510" s="60" t="str">
        <f aca="false">IF(IsPro,IF($C510="","",IFERROR(MATCH($C510,Parties!$A$5:$A$304,0),"")),"")</f>
        <v/>
      </c>
      <c r="S510" s="61" t="str">
        <f aca="false">IF(IsPro,IF($D510="","",IF(OR($H510="",$H510="Credit"),0,P510)),"")</f>
        <v/>
      </c>
    </row>
    <row r="511" customFormat="false" ht="15" hidden="false" customHeight="false" outlineLevel="0" collapsed="false">
      <c r="A511" s="55"/>
      <c r="B511" s="56"/>
      <c r="C511" s="56"/>
      <c r="D511" s="56"/>
      <c r="E511" s="57"/>
      <c r="F511" s="58"/>
      <c r="G511" s="59"/>
      <c r="H511" s="56"/>
      <c r="I511" s="60" t="str">
        <f aca="false">IF(IsPro,IF($D511="","",IFERROR(INDEX(Items!$D$5:$D$504,Q511),"")),IF($D511="","","PRO PLAN"))</f>
        <v/>
      </c>
      <c r="J511" s="61" t="str">
        <f aca="false">IF(IsPro,IF($D511="","",IF($F511="",IFERROR(INDEX(Items!$G$5:$G$504,Q511),0),$F511)),"")</f>
        <v/>
      </c>
      <c r="K511" s="61" t="str">
        <f aca="false">IF(IsPro,IF($D511="","",ROUND(N($E511)*J511*(1-N($G511)),2)),"")</f>
        <v/>
      </c>
      <c r="L511" s="62" t="str">
        <f aca="false">IF(IsPro,IF($D511="","",IFERROR(INDEX(Items!$F$5:$F$504,Q511),0)),"")</f>
        <v/>
      </c>
      <c r="M511" s="61" t="str">
        <f aca="false">IF(IsPro,IF($D511="","",IF(AND(R511&lt;&gt;"",INDEX(Parties!$E$5:$E$304,R511)&lt;&gt;"",INDEX(Parties!$E$5:$E$304,R511)&lt;&gt;HomeState),0,ROUND(K511*L511/2,2))),"")</f>
        <v/>
      </c>
      <c r="N511" s="61" t="str">
        <f aca="false">IF(IsPro,IF($D511="","",M511),"")</f>
        <v/>
      </c>
      <c r="O511" s="61" t="str">
        <f aca="false">IF(IsPro,IF($D511="","",IF(AND(R511&lt;&gt;"",INDEX(Parties!$E$5:$E$304,R511)&lt;&gt;"",INDEX(Parties!$E$5:$E$304,R511)&lt;&gt;HomeState),ROUND(K511*L511,2),0)),"")</f>
        <v/>
      </c>
      <c r="P511" s="61" t="str">
        <f aca="false">IF(IsPro,IF($D511="","",K511+M511+N511+O511),"")</f>
        <v/>
      </c>
      <c r="Q511" s="60" t="str">
        <f aca="false">IF(IsPro,IF($D511="","",IFERROR(MATCH($D511,Items!$A$5:$A$504,0),"")),"")</f>
        <v/>
      </c>
      <c r="R511" s="60" t="str">
        <f aca="false">IF(IsPro,IF($C511="","",IFERROR(MATCH($C511,Parties!$A$5:$A$304,0),"")),"")</f>
        <v/>
      </c>
      <c r="S511" s="61" t="str">
        <f aca="false">IF(IsPro,IF($D511="","",IF(OR($H511="",$H511="Credit"),0,P511)),"")</f>
        <v/>
      </c>
    </row>
    <row r="512" customFormat="false" ht="15" hidden="false" customHeight="false" outlineLevel="0" collapsed="false">
      <c r="A512" s="55"/>
      <c r="B512" s="56"/>
      <c r="C512" s="56"/>
      <c r="D512" s="56"/>
      <c r="E512" s="57"/>
      <c r="F512" s="58"/>
      <c r="G512" s="59"/>
      <c r="H512" s="56"/>
      <c r="I512" s="60" t="str">
        <f aca="false">IF(IsPro,IF($D512="","",IFERROR(INDEX(Items!$D$5:$D$504,Q512),"")),IF($D512="","","PRO PLAN"))</f>
        <v/>
      </c>
      <c r="J512" s="61" t="str">
        <f aca="false">IF(IsPro,IF($D512="","",IF($F512="",IFERROR(INDEX(Items!$G$5:$G$504,Q512),0),$F512)),"")</f>
        <v/>
      </c>
      <c r="K512" s="61" t="str">
        <f aca="false">IF(IsPro,IF($D512="","",ROUND(N($E512)*J512*(1-N($G512)),2)),"")</f>
        <v/>
      </c>
      <c r="L512" s="62" t="str">
        <f aca="false">IF(IsPro,IF($D512="","",IFERROR(INDEX(Items!$F$5:$F$504,Q512),0)),"")</f>
        <v/>
      </c>
      <c r="M512" s="61" t="str">
        <f aca="false">IF(IsPro,IF($D512="","",IF(AND(R512&lt;&gt;"",INDEX(Parties!$E$5:$E$304,R512)&lt;&gt;"",INDEX(Parties!$E$5:$E$304,R512)&lt;&gt;HomeState),0,ROUND(K512*L512/2,2))),"")</f>
        <v/>
      </c>
      <c r="N512" s="61" t="str">
        <f aca="false">IF(IsPro,IF($D512="","",M512),"")</f>
        <v/>
      </c>
      <c r="O512" s="61" t="str">
        <f aca="false">IF(IsPro,IF($D512="","",IF(AND(R512&lt;&gt;"",INDEX(Parties!$E$5:$E$304,R512)&lt;&gt;"",INDEX(Parties!$E$5:$E$304,R512)&lt;&gt;HomeState),ROUND(K512*L512,2),0)),"")</f>
        <v/>
      </c>
      <c r="P512" s="61" t="str">
        <f aca="false">IF(IsPro,IF($D512="","",K512+M512+N512+O512),"")</f>
        <v/>
      </c>
      <c r="Q512" s="60" t="str">
        <f aca="false">IF(IsPro,IF($D512="","",IFERROR(MATCH($D512,Items!$A$5:$A$504,0),"")),"")</f>
        <v/>
      </c>
      <c r="R512" s="60" t="str">
        <f aca="false">IF(IsPro,IF($C512="","",IFERROR(MATCH($C512,Parties!$A$5:$A$304,0),"")),"")</f>
        <v/>
      </c>
      <c r="S512" s="61" t="str">
        <f aca="false">IF(IsPro,IF($D512="","",IF(OR($H512="",$H512="Credit"),0,P512)),"")</f>
        <v/>
      </c>
    </row>
    <row r="513" customFormat="false" ht="15" hidden="false" customHeight="false" outlineLevel="0" collapsed="false">
      <c r="A513" s="55"/>
      <c r="B513" s="56"/>
      <c r="C513" s="56"/>
      <c r="D513" s="56"/>
      <c r="E513" s="57"/>
      <c r="F513" s="58"/>
      <c r="G513" s="59"/>
      <c r="H513" s="56"/>
      <c r="I513" s="60" t="str">
        <f aca="false">IF(IsPro,IF($D513="","",IFERROR(INDEX(Items!$D$5:$D$504,Q513),"")),IF($D513="","","PRO PLAN"))</f>
        <v/>
      </c>
      <c r="J513" s="61" t="str">
        <f aca="false">IF(IsPro,IF($D513="","",IF($F513="",IFERROR(INDEX(Items!$G$5:$G$504,Q513),0),$F513)),"")</f>
        <v/>
      </c>
      <c r="K513" s="61" t="str">
        <f aca="false">IF(IsPro,IF($D513="","",ROUND(N($E513)*J513*(1-N($G513)),2)),"")</f>
        <v/>
      </c>
      <c r="L513" s="62" t="str">
        <f aca="false">IF(IsPro,IF($D513="","",IFERROR(INDEX(Items!$F$5:$F$504,Q513),0)),"")</f>
        <v/>
      </c>
      <c r="M513" s="61" t="str">
        <f aca="false">IF(IsPro,IF($D513="","",IF(AND(R513&lt;&gt;"",INDEX(Parties!$E$5:$E$304,R513)&lt;&gt;"",INDEX(Parties!$E$5:$E$304,R513)&lt;&gt;HomeState),0,ROUND(K513*L513/2,2))),"")</f>
        <v/>
      </c>
      <c r="N513" s="61" t="str">
        <f aca="false">IF(IsPro,IF($D513="","",M513),"")</f>
        <v/>
      </c>
      <c r="O513" s="61" t="str">
        <f aca="false">IF(IsPro,IF($D513="","",IF(AND(R513&lt;&gt;"",INDEX(Parties!$E$5:$E$304,R513)&lt;&gt;"",INDEX(Parties!$E$5:$E$304,R513)&lt;&gt;HomeState),ROUND(K513*L513,2),0)),"")</f>
        <v/>
      </c>
      <c r="P513" s="61" t="str">
        <f aca="false">IF(IsPro,IF($D513="","",K513+M513+N513+O513),"")</f>
        <v/>
      </c>
      <c r="Q513" s="60" t="str">
        <f aca="false">IF(IsPro,IF($D513="","",IFERROR(MATCH($D513,Items!$A$5:$A$504,0),"")),"")</f>
        <v/>
      </c>
      <c r="R513" s="60" t="str">
        <f aca="false">IF(IsPro,IF($C513="","",IFERROR(MATCH($C513,Parties!$A$5:$A$304,0),"")),"")</f>
        <v/>
      </c>
      <c r="S513" s="61" t="str">
        <f aca="false">IF(IsPro,IF($D513="","",IF(OR($H513="",$H513="Credit"),0,P513)),"")</f>
        <v/>
      </c>
    </row>
    <row r="514" customFormat="false" ht="15" hidden="false" customHeight="false" outlineLevel="0" collapsed="false">
      <c r="A514" s="55"/>
      <c r="B514" s="56"/>
      <c r="C514" s="56"/>
      <c r="D514" s="56"/>
      <c r="E514" s="57"/>
      <c r="F514" s="58"/>
      <c r="G514" s="59"/>
      <c r="H514" s="56"/>
      <c r="I514" s="60" t="str">
        <f aca="false">IF(IsPro,IF($D514="","",IFERROR(INDEX(Items!$D$5:$D$504,Q514),"")),IF($D514="","","PRO PLAN"))</f>
        <v/>
      </c>
      <c r="J514" s="61" t="str">
        <f aca="false">IF(IsPro,IF($D514="","",IF($F514="",IFERROR(INDEX(Items!$G$5:$G$504,Q514),0),$F514)),"")</f>
        <v/>
      </c>
      <c r="K514" s="61" t="str">
        <f aca="false">IF(IsPro,IF($D514="","",ROUND(N($E514)*J514*(1-N($G514)),2)),"")</f>
        <v/>
      </c>
      <c r="L514" s="62" t="str">
        <f aca="false">IF(IsPro,IF($D514="","",IFERROR(INDEX(Items!$F$5:$F$504,Q514),0)),"")</f>
        <v/>
      </c>
      <c r="M514" s="61" t="str">
        <f aca="false">IF(IsPro,IF($D514="","",IF(AND(R514&lt;&gt;"",INDEX(Parties!$E$5:$E$304,R514)&lt;&gt;"",INDEX(Parties!$E$5:$E$304,R514)&lt;&gt;HomeState),0,ROUND(K514*L514/2,2))),"")</f>
        <v/>
      </c>
      <c r="N514" s="61" t="str">
        <f aca="false">IF(IsPro,IF($D514="","",M514),"")</f>
        <v/>
      </c>
      <c r="O514" s="61" t="str">
        <f aca="false">IF(IsPro,IF($D514="","",IF(AND(R514&lt;&gt;"",INDEX(Parties!$E$5:$E$304,R514)&lt;&gt;"",INDEX(Parties!$E$5:$E$304,R514)&lt;&gt;HomeState),ROUND(K514*L514,2),0)),"")</f>
        <v/>
      </c>
      <c r="P514" s="61" t="str">
        <f aca="false">IF(IsPro,IF($D514="","",K514+M514+N514+O514),"")</f>
        <v/>
      </c>
      <c r="Q514" s="60" t="str">
        <f aca="false">IF(IsPro,IF($D514="","",IFERROR(MATCH($D514,Items!$A$5:$A$504,0),"")),"")</f>
        <v/>
      </c>
      <c r="R514" s="60" t="str">
        <f aca="false">IF(IsPro,IF($C514="","",IFERROR(MATCH($C514,Parties!$A$5:$A$304,0),"")),"")</f>
        <v/>
      </c>
      <c r="S514" s="61" t="str">
        <f aca="false">IF(IsPro,IF($D514="","",IF(OR($H514="",$H514="Credit"),0,P514)),"")</f>
        <v/>
      </c>
    </row>
    <row r="515" customFormat="false" ht="15" hidden="false" customHeight="false" outlineLevel="0" collapsed="false">
      <c r="A515" s="55"/>
      <c r="B515" s="56"/>
      <c r="C515" s="56"/>
      <c r="D515" s="56"/>
      <c r="E515" s="57"/>
      <c r="F515" s="58"/>
      <c r="G515" s="59"/>
      <c r="H515" s="56"/>
      <c r="I515" s="60" t="str">
        <f aca="false">IF(IsPro,IF($D515="","",IFERROR(INDEX(Items!$D$5:$D$504,Q515),"")),IF($D515="","","PRO PLAN"))</f>
        <v/>
      </c>
      <c r="J515" s="61" t="str">
        <f aca="false">IF(IsPro,IF($D515="","",IF($F515="",IFERROR(INDEX(Items!$G$5:$G$504,Q515),0),$F515)),"")</f>
        <v/>
      </c>
      <c r="K515" s="61" t="str">
        <f aca="false">IF(IsPro,IF($D515="","",ROUND(N($E515)*J515*(1-N($G515)),2)),"")</f>
        <v/>
      </c>
      <c r="L515" s="62" t="str">
        <f aca="false">IF(IsPro,IF($D515="","",IFERROR(INDEX(Items!$F$5:$F$504,Q515),0)),"")</f>
        <v/>
      </c>
      <c r="M515" s="61" t="str">
        <f aca="false">IF(IsPro,IF($D515="","",IF(AND(R515&lt;&gt;"",INDEX(Parties!$E$5:$E$304,R515)&lt;&gt;"",INDEX(Parties!$E$5:$E$304,R515)&lt;&gt;HomeState),0,ROUND(K515*L515/2,2))),"")</f>
        <v/>
      </c>
      <c r="N515" s="61" t="str">
        <f aca="false">IF(IsPro,IF($D515="","",M515),"")</f>
        <v/>
      </c>
      <c r="O515" s="61" t="str">
        <f aca="false">IF(IsPro,IF($D515="","",IF(AND(R515&lt;&gt;"",INDEX(Parties!$E$5:$E$304,R515)&lt;&gt;"",INDEX(Parties!$E$5:$E$304,R515)&lt;&gt;HomeState),ROUND(K515*L515,2),0)),"")</f>
        <v/>
      </c>
      <c r="P515" s="61" t="str">
        <f aca="false">IF(IsPro,IF($D515="","",K515+M515+N515+O515),"")</f>
        <v/>
      </c>
      <c r="Q515" s="60" t="str">
        <f aca="false">IF(IsPro,IF($D515="","",IFERROR(MATCH($D515,Items!$A$5:$A$504,0),"")),"")</f>
        <v/>
      </c>
      <c r="R515" s="60" t="str">
        <f aca="false">IF(IsPro,IF($C515="","",IFERROR(MATCH($C515,Parties!$A$5:$A$304,0),"")),"")</f>
        <v/>
      </c>
      <c r="S515" s="61" t="str">
        <f aca="false">IF(IsPro,IF($D515="","",IF(OR($H515="",$H515="Credit"),0,P515)),"")</f>
        <v/>
      </c>
    </row>
    <row r="516" customFormat="false" ht="15" hidden="false" customHeight="false" outlineLevel="0" collapsed="false">
      <c r="A516" s="55"/>
      <c r="B516" s="56"/>
      <c r="C516" s="56"/>
      <c r="D516" s="56"/>
      <c r="E516" s="57"/>
      <c r="F516" s="58"/>
      <c r="G516" s="59"/>
      <c r="H516" s="56"/>
      <c r="I516" s="60" t="str">
        <f aca="false">IF(IsPro,IF($D516="","",IFERROR(INDEX(Items!$D$5:$D$504,Q516),"")),IF($D516="","","PRO PLAN"))</f>
        <v/>
      </c>
      <c r="J516" s="61" t="str">
        <f aca="false">IF(IsPro,IF($D516="","",IF($F516="",IFERROR(INDEX(Items!$G$5:$G$504,Q516),0),$F516)),"")</f>
        <v/>
      </c>
      <c r="K516" s="61" t="str">
        <f aca="false">IF(IsPro,IF($D516="","",ROUND(N($E516)*J516*(1-N($G516)),2)),"")</f>
        <v/>
      </c>
      <c r="L516" s="62" t="str">
        <f aca="false">IF(IsPro,IF($D516="","",IFERROR(INDEX(Items!$F$5:$F$504,Q516),0)),"")</f>
        <v/>
      </c>
      <c r="M516" s="61" t="str">
        <f aca="false">IF(IsPro,IF($D516="","",IF(AND(R516&lt;&gt;"",INDEX(Parties!$E$5:$E$304,R516)&lt;&gt;"",INDEX(Parties!$E$5:$E$304,R516)&lt;&gt;HomeState),0,ROUND(K516*L516/2,2))),"")</f>
        <v/>
      </c>
      <c r="N516" s="61" t="str">
        <f aca="false">IF(IsPro,IF($D516="","",M516),"")</f>
        <v/>
      </c>
      <c r="O516" s="61" t="str">
        <f aca="false">IF(IsPro,IF($D516="","",IF(AND(R516&lt;&gt;"",INDEX(Parties!$E$5:$E$304,R516)&lt;&gt;"",INDEX(Parties!$E$5:$E$304,R516)&lt;&gt;HomeState),ROUND(K516*L516,2),0)),"")</f>
        <v/>
      </c>
      <c r="P516" s="61" t="str">
        <f aca="false">IF(IsPro,IF($D516="","",K516+M516+N516+O516),"")</f>
        <v/>
      </c>
      <c r="Q516" s="60" t="str">
        <f aca="false">IF(IsPro,IF($D516="","",IFERROR(MATCH($D516,Items!$A$5:$A$504,0),"")),"")</f>
        <v/>
      </c>
      <c r="R516" s="60" t="str">
        <f aca="false">IF(IsPro,IF($C516="","",IFERROR(MATCH($C516,Parties!$A$5:$A$304,0),"")),"")</f>
        <v/>
      </c>
      <c r="S516" s="61" t="str">
        <f aca="false">IF(IsPro,IF($D516="","",IF(OR($H516="",$H516="Credit"),0,P516)),"")</f>
        <v/>
      </c>
    </row>
    <row r="517" customFormat="false" ht="15" hidden="false" customHeight="false" outlineLevel="0" collapsed="false">
      <c r="A517" s="55"/>
      <c r="B517" s="56"/>
      <c r="C517" s="56"/>
      <c r="D517" s="56"/>
      <c r="E517" s="57"/>
      <c r="F517" s="58"/>
      <c r="G517" s="59"/>
      <c r="H517" s="56"/>
      <c r="I517" s="60" t="str">
        <f aca="false">IF(IsPro,IF($D517="","",IFERROR(INDEX(Items!$D$5:$D$504,Q517),"")),IF($D517="","","PRO PLAN"))</f>
        <v/>
      </c>
      <c r="J517" s="61" t="str">
        <f aca="false">IF(IsPro,IF($D517="","",IF($F517="",IFERROR(INDEX(Items!$G$5:$G$504,Q517),0),$F517)),"")</f>
        <v/>
      </c>
      <c r="K517" s="61" t="str">
        <f aca="false">IF(IsPro,IF($D517="","",ROUND(N($E517)*J517*(1-N($G517)),2)),"")</f>
        <v/>
      </c>
      <c r="L517" s="62" t="str">
        <f aca="false">IF(IsPro,IF($D517="","",IFERROR(INDEX(Items!$F$5:$F$504,Q517),0)),"")</f>
        <v/>
      </c>
      <c r="M517" s="61" t="str">
        <f aca="false">IF(IsPro,IF($D517="","",IF(AND(R517&lt;&gt;"",INDEX(Parties!$E$5:$E$304,R517)&lt;&gt;"",INDEX(Parties!$E$5:$E$304,R517)&lt;&gt;HomeState),0,ROUND(K517*L517/2,2))),"")</f>
        <v/>
      </c>
      <c r="N517" s="61" t="str">
        <f aca="false">IF(IsPro,IF($D517="","",M517),"")</f>
        <v/>
      </c>
      <c r="O517" s="61" t="str">
        <f aca="false">IF(IsPro,IF($D517="","",IF(AND(R517&lt;&gt;"",INDEX(Parties!$E$5:$E$304,R517)&lt;&gt;"",INDEX(Parties!$E$5:$E$304,R517)&lt;&gt;HomeState),ROUND(K517*L517,2),0)),"")</f>
        <v/>
      </c>
      <c r="P517" s="61" t="str">
        <f aca="false">IF(IsPro,IF($D517="","",K517+M517+N517+O517),"")</f>
        <v/>
      </c>
      <c r="Q517" s="60" t="str">
        <f aca="false">IF(IsPro,IF($D517="","",IFERROR(MATCH($D517,Items!$A$5:$A$504,0),"")),"")</f>
        <v/>
      </c>
      <c r="R517" s="60" t="str">
        <f aca="false">IF(IsPro,IF($C517="","",IFERROR(MATCH($C517,Parties!$A$5:$A$304,0),"")),"")</f>
        <v/>
      </c>
      <c r="S517" s="61" t="str">
        <f aca="false">IF(IsPro,IF($D517="","",IF(OR($H517="",$H517="Credit"),0,P517)),"")</f>
        <v/>
      </c>
    </row>
    <row r="518" customFormat="false" ht="15" hidden="false" customHeight="false" outlineLevel="0" collapsed="false">
      <c r="A518" s="55"/>
      <c r="B518" s="56"/>
      <c r="C518" s="56"/>
      <c r="D518" s="56"/>
      <c r="E518" s="57"/>
      <c r="F518" s="58"/>
      <c r="G518" s="59"/>
      <c r="H518" s="56"/>
      <c r="I518" s="60" t="str">
        <f aca="false">IF(IsPro,IF($D518="","",IFERROR(INDEX(Items!$D$5:$D$504,Q518),"")),IF($D518="","","PRO PLAN"))</f>
        <v/>
      </c>
      <c r="J518" s="61" t="str">
        <f aca="false">IF(IsPro,IF($D518="","",IF($F518="",IFERROR(INDEX(Items!$G$5:$G$504,Q518),0),$F518)),"")</f>
        <v/>
      </c>
      <c r="K518" s="61" t="str">
        <f aca="false">IF(IsPro,IF($D518="","",ROUND(N($E518)*J518*(1-N($G518)),2)),"")</f>
        <v/>
      </c>
      <c r="L518" s="62" t="str">
        <f aca="false">IF(IsPro,IF($D518="","",IFERROR(INDEX(Items!$F$5:$F$504,Q518),0)),"")</f>
        <v/>
      </c>
      <c r="M518" s="61" t="str">
        <f aca="false">IF(IsPro,IF($D518="","",IF(AND(R518&lt;&gt;"",INDEX(Parties!$E$5:$E$304,R518)&lt;&gt;"",INDEX(Parties!$E$5:$E$304,R518)&lt;&gt;HomeState),0,ROUND(K518*L518/2,2))),"")</f>
        <v/>
      </c>
      <c r="N518" s="61" t="str">
        <f aca="false">IF(IsPro,IF($D518="","",M518),"")</f>
        <v/>
      </c>
      <c r="O518" s="61" t="str">
        <f aca="false">IF(IsPro,IF($D518="","",IF(AND(R518&lt;&gt;"",INDEX(Parties!$E$5:$E$304,R518)&lt;&gt;"",INDEX(Parties!$E$5:$E$304,R518)&lt;&gt;HomeState),ROUND(K518*L518,2),0)),"")</f>
        <v/>
      </c>
      <c r="P518" s="61" t="str">
        <f aca="false">IF(IsPro,IF($D518="","",K518+M518+N518+O518),"")</f>
        <v/>
      </c>
      <c r="Q518" s="60" t="str">
        <f aca="false">IF(IsPro,IF($D518="","",IFERROR(MATCH($D518,Items!$A$5:$A$504,0),"")),"")</f>
        <v/>
      </c>
      <c r="R518" s="60" t="str">
        <f aca="false">IF(IsPro,IF($C518="","",IFERROR(MATCH($C518,Parties!$A$5:$A$304,0),"")),"")</f>
        <v/>
      </c>
      <c r="S518" s="61" t="str">
        <f aca="false">IF(IsPro,IF($D518="","",IF(OR($H518="",$H518="Credit"),0,P518)),"")</f>
        <v/>
      </c>
    </row>
    <row r="519" customFormat="false" ht="15" hidden="false" customHeight="false" outlineLevel="0" collapsed="false">
      <c r="A519" s="55"/>
      <c r="B519" s="56"/>
      <c r="C519" s="56"/>
      <c r="D519" s="56"/>
      <c r="E519" s="57"/>
      <c r="F519" s="58"/>
      <c r="G519" s="59"/>
      <c r="H519" s="56"/>
      <c r="I519" s="60" t="str">
        <f aca="false">IF(IsPro,IF($D519="","",IFERROR(INDEX(Items!$D$5:$D$504,Q519),"")),IF($D519="","","PRO PLAN"))</f>
        <v/>
      </c>
      <c r="J519" s="61" t="str">
        <f aca="false">IF(IsPro,IF($D519="","",IF($F519="",IFERROR(INDEX(Items!$G$5:$G$504,Q519),0),$F519)),"")</f>
        <v/>
      </c>
      <c r="K519" s="61" t="str">
        <f aca="false">IF(IsPro,IF($D519="","",ROUND(N($E519)*J519*(1-N($G519)),2)),"")</f>
        <v/>
      </c>
      <c r="L519" s="62" t="str">
        <f aca="false">IF(IsPro,IF($D519="","",IFERROR(INDEX(Items!$F$5:$F$504,Q519),0)),"")</f>
        <v/>
      </c>
      <c r="M519" s="61" t="str">
        <f aca="false">IF(IsPro,IF($D519="","",IF(AND(R519&lt;&gt;"",INDEX(Parties!$E$5:$E$304,R519)&lt;&gt;"",INDEX(Parties!$E$5:$E$304,R519)&lt;&gt;HomeState),0,ROUND(K519*L519/2,2))),"")</f>
        <v/>
      </c>
      <c r="N519" s="61" t="str">
        <f aca="false">IF(IsPro,IF($D519="","",M519),"")</f>
        <v/>
      </c>
      <c r="O519" s="61" t="str">
        <f aca="false">IF(IsPro,IF($D519="","",IF(AND(R519&lt;&gt;"",INDEX(Parties!$E$5:$E$304,R519)&lt;&gt;"",INDEX(Parties!$E$5:$E$304,R519)&lt;&gt;HomeState),ROUND(K519*L519,2),0)),"")</f>
        <v/>
      </c>
      <c r="P519" s="61" t="str">
        <f aca="false">IF(IsPro,IF($D519="","",K519+M519+N519+O519),"")</f>
        <v/>
      </c>
      <c r="Q519" s="60" t="str">
        <f aca="false">IF(IsPro,IF($D519="","",IFERROR(MATCH($D519,Items!$A$5:$A$504,0),"")),"")</f>
        <v/>
      </c>
      <c r="R519" s="60" t="str">
        <f aca="false">IF(IsPro,IF($C519="","",IFERROR(MATCH($C519,Parties!$A$5:$A$304,0),"")),"")</f>
        <v/>
      </c>
      <c r="S519" s="61" t="str">
        <f aca="false">IF(IsPro,IF($D519="","",IF(OR($H519="",$H519="Credit"),0,P519)),"")</f>
        <v/>
      </c>
    </row>
    <row r="520" customFormat="false" ht="15" hidden="false" customHeight="false" outlineLevel="0" collapsed="false">
      <c r="A520" s="55"/>
      <c r="B520" s="56"/>
      <c r="C520" s="56"/>
      <c r="D520" s="56"/>
      <c r="E520" s="57"/>
      <c r="F520" s="58"/>
      <c r="G520" s="59"/>
      <c r="H520" s="56"/>
      <c r="I520" s="60" t="str">
        <f aca="false">IF(IsPro,IF($D520="","",IFERROR(INDEX(Items!$D$5:$D$504,Q520),"")),IF($D520="","","PRO PLAN"))</f>
        <v/>
      </c>
      <c r="J520" s="61" t="str">
        <f aca="false">IF(IsPro,IF($D520="","",IF($F520="",IFERROR(INDEX(Items!$G$5:$G$504,Q520),0),$F520)),"")</f>
        <v/>
      </c>
      <c r="K520" s="61" t="str">
        <f aca="false">IF(IsPro,IF($D520="","",ROUND(N($E520)*J520*(1-N($G520)),2)),"")</f>
        <v/>
      </c>
      <c r="L520" s="62" t="str">
        <f aca="false">IF(IsPro,IF($D520="","",IFERROR(INDEX(Items!$F$5:$F$504,Q520),0)),"")</f>
        <v/>
      </c>
      <c r="M520" s="61" t="str">
        <f aca="false">IF(IsPro,IF($D520="","",IF(AND(R520&lt;&gt;"",INDEX(Parties!$E$5:$E$304,R520)&lt;&gt;"",INDEX(Parties!$E$5:$E$304,R520)&lt;&gt;HomeState),0,ROUND(K520*L520/2,2))),"")</f>
        <v/>
      </c>
      <c r="N520" s="61" t="str">
        <f aca="false">IF(IsPro,IF($D520="","",M520),"")</f>
        <v/>
      </c>
      <c r="O520" s="61" t="str">
        <f aca="false">IF(IsPro,IF($D520="","",IF(AND(R520&lt;&gt;"",INDEX(Parties!$E$5:$E$304,R520)&lt;&gt;"",INDEX(Parties!$E$5:$E$304,R520)&lt;&gt;HomeState),ROUND(K520*L520,2),0)),"")</f>
        <v/>
      </c>
      <c r="P520" s="61" t="str">
        <f aca="false">IF(IsPro,IF($D520="","",K520+M520+N520+O520),"")</f>
        <v/>
      </c>
      <c r="Q520" s="60" t="str">
        <f aca="false">IF(IsPro,IF($D520="","",IFERROR(MATCH($D520,Items!$A$5:$A$504,0),"")),"")</f>
        <v/>
      </c>
      <c r="R520" s="60" t="str">
        <f aca="false">IF(IsPro,IF($C520="","",IFERROR(MATCH($C520,Parties!$A$5:$A$304,0),"")),"")</f>
        <v/>
      </c>
      <c r="S520" s="61" t="str">
        <f aca="false">IF(IsPro,IF($D520="","",IF(OR($H520="",$H520="Credit"),0,P520)),"")</f>
        <v/>
      </c>
    </row>
    <row r="521" customFormat="false" ht="15" hidden="false" customHeight="false" outlineLevel="0" collapsed="false">
      <c r="A521" s="55"/>
      <c r="B521" s="56"/>
      <c r="C521" s="56"/>
      <c r="D521" s="56"/>
      <c r="E521" s="57"/>
      <c r="F521" s="58"/>
      <c r="G521" s="59"/>
      <c r="H521" s="56"/>
      <c r="I521" s="60" t="str">
        <f aca="false">IF(IsPro,IF($D521="","",IFERROR(INDEX(Items!$D$5:$D$504,Q521),"")),IF($D521="","","PRO PLAN"))</f>
        <v/>
      </c>
      <c r="J521" s="61" t="str">
        <f aca="false">IF(IsPro,IF($D521="","",IF($F521="",IFERROR(INDEX(Items!$G$5:$G$504,Q521),0),$F521)),"")</f>
        <v/>
      </c>
      <c r="K521" s="61" t="str">
        <f aca="false">IF(IsPro,IF($D521="","",ROUND(N($E521)*J521*(1-N($G521)),2)),"")</f>
        <v/>
      </c>
      <c r="L521" s="62" t="str">
        <f aca="false">IF(IsPro,IF($D521="","",IFERROR(INDEX(Items!$F$5:$F$504,Q521),0)),"")</f>
        <v/>
      </c>
      <c r="M521" s="61" t="str">
        <f aca="false">IF(IsPro,IF($D521="","",IF(AND(R521&lt;&gt;"",INDEX(Parties!$E$5:$E$304,R521)&lt;&gt;"",INDEX(Parties!$E$5:$E$304,R521)&lt;&gt;HomeState),0,ROUND(K521*L521/2,2))),"")</f>
        <v/>
      </c>
      <c r="N521" s="61" t="str">
        <f aca="false">IF(IsPro,IF($D521="","",M521),"")</f>
        <v/>
      </c>
      <c r="O521" s="61" t="str">
        <f aca="false">IF(IsPro,IF($D521="","",IF(AND(R521&lt;&gt;"",INDEX(Parties!$E$5:$E$304,R521)&lt;&gt;"",INDEX(Parties!$E$5:$E$304,R521)&lt;&gt;HomeState),ROUND(K521*L521,2),0)),"")</f>
        <v/>
      </c>
      <c r="P521" s="61" t="str">
        <f aca="false">IF(IsPro,IF($D521="","",K521+M521+N521+O521),"")</f>
        <v/>
      </c>
      <c r="Q521" s="60" t="str">
        <f aca="false">IF(IsPro,IF($D521="","",IFERROR(MATCH($D521,Items!$A$5:$A$504,0),"")),"")</f>
        <v/>
      </c>
      <c r="R521" s="60" t="str">
        <f aca="false">IF(IsPro,IF($C521="","",IFERROR(MATCH($C521,Parties!$A$5:$A$304,0),"")),"")</f>
        <v/>
      </c>
      <c r="S521" s="61" t="str">
        <f aca="false">IF(IsPro,IF($D521="","",IF(OR($H521="",$H521="Credit"),0,P521)),"")</f>
        <v/>
      </c>
    </row>
    <row r="522" customFormat="false" ht="15" hidden="false" customHeight="false" outlineLevel="0" collapsed="false">
      <c r="A522" s="55"/>
      <c r="B522" s="56"/>
      <c r="C522" s="56"/>
      <c r="D522" s="56"/>
      <c r="E522" s="57"/>
      <c r="F522" s="58"/>
      <c r="G522" s="59"/>
      <c r="H522" s="56"/>
      <c r="I522" s="60" t="str">
        <f aca="false">IF(IsPro,IF($D522="","",IFERROR(INDEX(Items!$D$5:$D$504,Q522),"")),IF($D522="","","PRO PLAN"))</f>
        <v/>
      </c>
      <c r="J522" s="61" t="str">
        <f aca="false">IF(IsPro,IF($D522="","",IF($F522="",IFERROR(INDEX(Items!$G$5:$G$504,Q522),0),$F522)),"")</f>
        <v/>
      </c>
      <c r="K522" s="61" t="str">
        <f aca="false">IF(IsPro,IF($D522="","",ROUND(N($E522)*J522*(1-N($G522)),2)),"")</f>
        <v/>
      </c>
      <c r="L522" s="62" t="str">
        <f aca="false">IF(IsPro,IF($D522="","",IFERROR(INDEX(Items!$F$5:$F$504,Q522),0)),"")</f>
        <v/>
      </c>
      <c r="M522" s="61" t="str">
        <f aca="false">IF(IsPro,IF($D522="","",IF(AND(R522&lt;&gt;"",INDEX(Parties!$E$5:$E$304,R522)&lt;&gt;"",INDEX(Parties!$E$5:$E$304,R522)&lt;&gt;HomeState),0,ROUND(K522*L522/2,2))),"")</f>
        <v/>
      </c>
      <c r="N522" s="61" t="str">
        <f aca="false">IF(IsPro,IF($D522="","",M522),"")</f>
        <v/>
      </c>
      <c r="O522" s="61" t="str">
        <f aca="false">IF(IsPro,IF($D522="","",IF(AND(R522&lt;&gt;"",INDEX(Parties!$E$5:$E$304,R522)&lt;&gt;"",INDEX(Parties!$E$5:$E$304,R522)&lt;&gt;HomeState),ROUND(K522*L522,2),0)),"")</f>
        <v/>
      </c>
      <c r="P522" s="61" t="str">
        <f aca="false">IF(IsPro,IF($D522="","",K522+M522+N522+O522),"")</f>
        <v/>
      </c>
      <c r="Q522" s="60" t="str">
        <f aca="false">IF(IsPro,IF($D522="","",IFERROR(MATCH($D522,Items!$A$5:$A$504,0),"")),"")</f>
        <v/>
      </c>
      <c r="R522" s="60" t="str">
        <f aca="false">IF(IsPro,IF($C522="","",IFERROR(MATCH($C522,Parties!$A$5:$A$304,0),"")),"")</f>
        <v/>
      </c>
      <c r="S522" s="61" t="str">
        <f aca="false">IF(IsPro,IF($D522="","",IF(OR($H522="",$H522="Credit"),0,P522)),"")</f>
        <v/>
      </c>
    </row>
    <row r="523" customFormat="false" ht="15" hidden="false" customHeight="false" outlineLevel="0" collapsed="false">
      <c r="A523" s="55"/>
      <c r="B523" s="56"/>
      <c r="C523" s="56"/>
      <c r="D523" s="56"/>
      <c r="E523" s="57"/>
      <c r="F523" s="58"/>
      <c r="G523" s="59"/>
      <c r="H523" s="56"/>
      <c r="I523" s="60" t="str">
        <f aca="false">IF(IsPro,IF($D523="","",IFERROR(INDEX(Items!$D$5:$D$504,Q523),"")),IF($D523="","","PRO PLAN"))</f>
        <v/>
      </c>
      <c r="J523" s="61" t="str">
        <f aca="false">IF(IsPro,IF($D523="","",IF($F523="",IFERROR(INDEX(Items!$G$5:$G$504,Q523),0),$F523)),"")</f>
        <v/>
      </c>
      <c r="K523" s="61" t="str">
        <f aca="false">IF(IsPro,IF($D523="","",ROUND(N($E523)*J523*(1-N($G523)),2)),"")</f>
        <v/>
      </c>
      <c r="L523" s="62" t="str">
        <f aca="false">IF(IsPro,IF($D523="","",IFERROR(INDEX(Items!$F$5:$F$504,Q523),0)),"")</f>
        <v/>
      </c>
      <c r="M523" s="61" t="str">
        <f aca="false">IF(IsPro,IF($D523="","",IF(AND(R523&lt;&gt;"",INDEX(Parties!$E$5:$E$304,R523)&lt;&gt;"",INDEX(Parties!$E$5:$E$304,R523)&lt;&gt;HomeState),0,ROUND(K523*L523/2,2))),"")</f>
        <v/>
      </c>
      <c r="N523" s="61" t="str">
        <f aca="false">IF(IsPro,IF($D523="","",M523),"")</f>
        <v/>
      </c>
      <c r="O523" s="61" t="str">
        <f aca="false">IF(IsPro,IF($D523="","",IF(AND(R523&lt;&gt;"",INDEX(Parties!$E$5:$E$304,R523)&lt;&gt;"",INDEX(Parties!$E$5:$E$304,R523)&lt;&gt;HomeState),ROUND(K523*L523,2),0)),"")</f>
        <v/>
      </c>
      <c r="P523" s="61" t="str">
        <f aca="false">IF(IsPro,IF($D523="","",K523+M523+N523+O523),"")</f>
        <v/>
      </c>
      <c r="Q523" s="60" t="str">
        <f aca="false">IF(IsPro,IF($D523="","",IFERROR(MATCH($D523,Items!$A$5:$A$504,0),"")),"")</f>
        <v/>
      </c>
      <c r="R523" s="60" t="str">
        <f aca="false">IF(IsPro,IF($C523="","",IFERROR(MATCH($C523,Parties!$A$5:$A$304,0),"")),"")</f>
        <v/>
      </c>
      <c r="S523" s="61" t="str">
        <f aca="false">IF(IsPro,IF($D523="","",IF(OR($H523="",$H523="Credit"),0,P523)),"")</f>
        <v/>
      </c>
    </row>
    <row r="524" customFormat="false" ht="15" hidden="false" customHeight="false" outlineLevel="0" collapsed="false">
      <c r="A524" s="55"/>
      <c r="B524" s="56"/>
      <c r="C524" s="56"/>
      <c r="D524" s="56"/>
      <c r="E524" s="57"/>
      <c r="F524" s="58"/>
      <c r="G524" s="59"/>
      <c r="H524" s="56"/>
      <c r="I524" s="60" t="str">
        <f aca="false">IF(IsPro,IF($D524="","",IFERROR(INDEX(Items!$D$5:$D$504,Q524),"")),IF($D524="","","PRO PLAN"))</f>
        <v/>
      </c>
      <c r="J524" s="61" t="str">
        <f aca="false">IF(IsPro,IF($D524="","",IF($F524="",IFERROR(INDEX(Items!$G$5:$G$504,Q524),0),$F524)),"")</f>
        <v/>
      </c>
      <c r="K524" s="61" t="str">
        <f aca="false">IF(IsPro,IF($D524="","",ROUND(N($E524)*J524*(1-N($G524)),2)),"")</f>
        <v/>
      </c>
      <c r="L524" s="62" t="str">
        <f aca="false">IF(IsPro,IF($D524="","",IFERROR(INDEX(Items!$F$5:$F$504,Q524),0)),"")</f>
        <v/>
      </c>
      <c r="M524" s="61" t="str">
        <f aca="false">IF(IsPro,IF($D524="","",IF(AND(R524&lt;&gt;"",INDEX(Parties!$E$5:$E$304,R524)&lt;&gt;"",INDEX(Parties!$E$5:$E$304,R524)&lt;&gt;HomeState),0,ROUND(K524*L524/2,2))),"")</f>
        <v/>
      </c>
      <c r="N524" s="61" t="str">
        <f aca="false">IF(IsPro,IF($D524="","",M524),"")</f>
        <v/>
      </c>
      <c r="O524" s="61" t="str">
        <f aca="false">IF(IsPro,IF($D524="","",IF(AND(R524&lt;&gt;"",INDEX(Parties!$E$5:$E$304,R524)&lt;&gt;"",INDEX(Parties!$E$5:$E$304,R524)&lt;&gt;HomeState),ROUND(K524*L524,2),0)),"")</f>
        <v/>
      </c>
      <c r="P524" s="61" t="str">
        <f aca="false">IF(IsPro,IF($D524="","",K524+M524+N524+O524),"")</f>
        <v/>
      </c>
      <c r="Q524" s="60" t="str">
        <f aca="false">IF(IsPro,IF($D524="","",IFERROR(MATCH($D524,Items!$A$5:$A$504,0),"")),"")</f>
        <v/>
      </c>
      <c r="R524" s="60" t="str">
        <f aca="false">IF(IsPro,IF($C524="","",IFERROR(MATCH($C524,Parties!$A$5:$A$304,0),"")),"")</f>
        <v/>
      </c>
      <c r="S524" s="61" t="str">
        <f aca="false">IF(IsPro,IF($D524="","",IF(OR($H524="",$H524="Credit"),0,P524)),"")</f>
        <v/>
      </c>
    </row>
    <row r="525" customFormat="false" ht="15" hidden="false" customHeight="false" outlineLevel="0" collapsed="false">
      <c r="A525" s="55"/>
      <c r="B525" s="56"/>
      <c r="C525" s="56"/>
      <c r="D525" s="56"/>
      <c r="E525" s="57"/>
      <c r="F525" s="58"/>
      <c r="G525" s="59"/>
      <c r="H525" s="56"/>
      <c r="I525" s="60" t="str">
        <f aca="false">IF(IsPro,IF($D525="","",IFERROR(INDEX(Items!$D$5:$D$504,Q525),"")),IF($D525="","","PRO PLAN"))</f>
        <v/>
      </c>
      <c r="J525" s="61" t="str">
        <f aca="false">IF(IsPro,IF($D525="","",IF($F525="",IFERROR(INDEX(Items!$G$5:$G$504,Q525),0),$F525)),"")</f>
        <v/>
      </c>
      <c r="K525" s="61" t="str">
        <f aca="false">IF(IsPro,IF($D525="","",ROUND(N($E525)*J525*(1-N($G525)),2)),"")</f>
        <v/>
      </c>
      <c r="L525" s="62" t="str">
        <f aca="false">IF(IsPro,IF($D525="","",IFERROR(INDEX(Items!$F$5:$F$504,Q525),0)),"")</f>
        <v/>
      </c>
      <c r="M525" s="61" t="str">
        <f aca="false">IF(IsPro,IF($D525="","",IF(AND(R525&lt;&gt;"",INDEX(Parties!$E$5:$E$304,R525)&lt;&gt;"",INDEX(Parties!$E$5:$E$304,R525)&lt;&gt;HomeState),0,ROUND(K525*L525/2,2))),"")</f>
        <v/>
      </c>
      <c r="N525" s="61" t="str">
        <f aca="false">IF(IsPro,IF($D525="","",M525),"")</f>
        <v/>
      </c>
      <c r="O525" s="61" t="str">
        <f aca="false">IF(IsPro,IF($D525="","",IF(AND(R525&lt;&gt;"",INDEX(Parties!$E$5:$E$304,R525)&lt;&gt;"",INDEX(Parties!$E$5:$E$304,R525)&lt;&gt;HomeState),ROUND(K525*L525,2),0)),"")</f>
        <v/>
      </c>
      <c r="P525" s="61" t="str">
        <f aca="false">IF(IsPro,IF($D525="","",K525+M525+N525+O525),"")</f>
        <v/>
      </c>
      <c r="Q525" s="60" t="str">
        <f aca="false">IF(IsPro,IF($D525="","",IFERROR(MATCH($D525,Items!$A$5:$A$504,0),"")),"")</f>
        <v/>
      </c>
      <c r="R525" s="60" t="str">
        <f aca="false">IF(IsPro,IF($C525="","",IFERROR(MATCH($C525,Parties!$A$5:$A$304,0),"")),"")</f>
        <v/>
      </c>
      <c r="S525" s="61" t="str">
        <f aca="false">IF(IsPro,IF($D525="","",IF(OR($H525="",$H525="Credit"),0,P525)),"")</f>
        <v/>
      </c>
    </row>
    <row r="526" customFormat="false" ht="15" hidden="false" customHeight="false" outlineLevel="0" collapsed="false">
      <c r="A526" s="55"/>
      <c r="B526" s="56"/>
      <c r="C526" s="56"/>
      <c r="D526" s="56"/>
      <c r="E526" s="57"/>
      <c r="F526" s="58"/>
      <c r="G526" s="59"/>
      <c r="H526" s="56"/>
      <c r="I526" s="60" t="str">
        <f aca="false">IF(IsPro,IF($D526="","",IFERROR(INDEX(Items!$D$5:$D$504,Q526),"")),IF($D526="","","PRO PLAN"))</f>
        <v/>
      </c>
      <c r="J526" s="61" t="str">
        <f aca="false">IF(IsPro,IF($D526="","",IF($F526="",IFERROR(INDEX(Items!$G$5:$G$504,Q526),0),$F526)),"")</f>
        <v/>
      </c>
      <c r="K526" s="61" t="str">
        <f aca="false">IF(IsPro,IF($D526="","",ROUND(N($E526)*J526*(1-N($G526)),2)),"")</f>
        <v/>
      </c>
      <c r="L526" s="62" t="str">
        <f aca="false">IF(IsPro,IF($D526="","",IFERROR(INDEX(Items!$F$5:$F$504,Q526),0)),"")</f>
        <v/>
      </c>
      <c r="M526" s="61" t="str">
        <f aca="false">IF(IsPro,IF($D526="","",IF(AND(R526&lt;&gt;"",INDEX(Parties!$E$5:$E$304,R526)&lt;&gt;"",INDEX(Parties!$E$5:$E$304,R526)&lt;&gt;HomeState),0,ROUND(K526*L526/2,2))),"")</f>
        <v/>
      </c>
      <c r="N526" s="61" t="str">
        <f aca="false">IF(IsPro,IF($D526="","",M526),"")</f>
        <v/>
      </c>
      <c r="O526" s="61" t="str">
        <f aca="false">IF(IsPro,IF($D526="","",IF(AND(R526&lt;&gt;"",INDEX(Parties!$E$5:$E$304,R526)&lt;&gt;"",INDEX(Parties!$E$5:$E$304,R526)&lt;&gt;HomeState),ROUND(K526*L526,2),0)),"")</f>
        <v/>
      </c>
      <c r="P526" s="61" t="str">
        <f aca="false">IF(IsPro,IF($D526="","",K526+M526+N526+O526),"")</f>
        <v/>
      </c>
      <c r="Q526" s="60" t="str">
        <f aca="false">IF(IsPro,IF($D526="","",IFERROR(MATCH($D526,Items!$A$5:$A$504,0),"")),"")</f>
        <v/>
      </c>
      <c r="R526" s="60" t="str">
        <f aca="false">IF(IsPro,IF($C526="","",IFERROR(MATCH($C526,Parties!$A$5:$A$304,0),"")),"")</f>
        <v/>
      </c>
      <c r="S526" s="61" t="str">
        <f aca="false">IF(IsPro,IF($D526="","",IF(OR($H526="",$H526="Credit"),0,P526)),"")</f>
        <v/>
      </c>
    </row>
    <row r="527" customFormat="false" ht="15" hidden="false" customHeight="false" outlineLevel="0" collapsed="false">
      <c r="A527" s="55"/>
      <c r="B527" s="56"/>
      <c r="C527" s="56"/>
      <c r="D527" s="56"/>
      <c r="E527" s="57"/>
      <c r="F527" s="58"/>
      <c r="G527" s="59"/>
      <c r="H527" s="56"/>
      <c r="I527" s="60" t="str">
        <f aca="false">IF(IsPro,IF($D527="","",IFERROR(INDEX(Items!$D$5:$D$504,Q527),"")),IF($D527="","","PRO PLAN"))</f>
        <v/>
      </c>
      <c r="J527" s="61" t="str">
        <f aca="false">IF(IsPro,IF($D527="","",IF($F527="",IFERROR(INDEX(Items!$G$5:$G$504,Q527),0),$F527)),"")</f>
        <v/>
      </c>
      <c r="K527" s="61" t="str">
        <f aca="false">IF(IsPro,IF($D527="","",ROUND(N($E527)*J527*(1-N($G527)),2)),"")</f>
        <v/>
      </c>
      <c r="L527" s="62" t="str">
        <f aca="false">IF(IsPro,IF($D527="","",IFERROR(INDEX(Items!$F$5:$F$504,Q527),0)),"")</f>
        <v/>
      </c>
      <c r="M527" s="61" t="str">
        <f aca="false">IF(IsPro,IF($D527="","",IF(AND(R527&lt;&gt;"",INDEX(Parties!$E$5:$E$304,R527)&lt;&gt;"",INDEX(Parties!$E$5:$E$304,R527)&lt;&gt;HomeState),0,ROUND(K527*L527/2,2))),"")</f>
        <v/>
      </c>
      <c r="N527" s="61" t="str">
        <f aca="false">IF(IsPro,IF($D527="","",M527),"")</f>
        <v/>
      </c>
      <c r="O527" s="61" t="str">
        <f aca="false">IF(IsPro,IF($D527="","",IF(AND(R527&lt;&gt;"",INDEX(Parties!$E$5:$E$304,R527)&lt;&gt;"",INDEX(Parties!$E$5:$E$304,R527)&lt;&gt;HomeState),ROUND(K527*L527,2),0)),"")</f>
        <v/>
      </c>
      <c r="P527" s="61" t="str">
        <f aca="false">IF(IsPro,IF($D527="","",K527+M527+N527+O527),"")</f>
        <v/>
      </c>
      <c r="Q527" s="60" t="str">
        <f aca="false">IF(IsPro,IF($D527="","",IFERROR(MATCH($D527,Items!$A$5:$A$504,0),"")),"")</f>
        <v/>
      </c>
      <c r="R527" s="60" t="str">
        <f aca="false">IF(IsPro,IF($C527="","",IFERROR(MATCH($C527,Parties!$A$5:$A$304,0),"")),"")</f>
        <v/>
      </c>
      <c r="S527" s="61" t="str">
        <f aca="false">IF(IsPro,IF($D527="","",IF(OR($H527="",$H527="Credit"),0,P527)),"")</f>
        <v/>
      </c>
    </row>
    <row r="528" customFormat="false" ht="15" hidden="false" customHeight="false" outlineLevel="0" collapsed="false">
      <c r="A528" s="55"/>
      <c r="B528" s="56"/>
      <c r="C528" s="56"/>
      <c r="D528" s="56"/>
      <c r="E528" s="57"/>
      <c r="F528" s="58"/>
      <c r="G528" s="59"/>
      <c r="H528" s="56"/>
      <c r="I528" s="60" t="str">
        <f aca="false">IF(IsPro,IF($D528="","",IFERROR(INDEX(Items!$D$5:$D$504,Q528),"")),IF($D528="","","PRO PLAN"))</f>
        <v/>
      </c>
      <c r="J528" s="61" t="str">
        <f aca="false">IF(IsPro,IF($D528="","",IF($F528="",IFERROR(INDEX(Items!$G$5:$G$504,Q528),0),$F528)),"")</f>
        <v/>
      </c>
      <c r="K528" s="61" t="str">
        <f aca="false">IF(IsPro,IF($D528="","",ROUND(N($E528)*J528*(1-N($G528)),2)),"")</f>
        <v/>
      </c>
      <c r="L528" s="62" t="str">
        <f aca="false">IF(IsPro,IF($D528="","",IFERROR(INDEX(Items!$F$5:$F$504,Q528),0)),"")</f>
        <v/>
      </c>
      <c r="M528" s="61" t="str">
        <f aca="false">IF(IsPro,IF($D528="","",IF(AND(R528&lt;&gt;"",INDEX(Parties!$E$5:$E$304,R528)&lt;&gt;"",INDEX(Parties!$E$5:$E$304,R528)&lt;&gt;HomeState),0,ROUND(K528*L528/2,2))),"")</f>
        <v/>
      </c>
      <c r="N528" s="61" t="str">
        <f aca="false">IF(IsPro,IF($D528="","",M528),"")</f>
        <v/>
      </c>
      <c r="O528" s="61" t="str">
        <f aca="false">IF(IsPro,IF($D528="","",IF(AND(R528&lt;&gt;"",INDEX(Parties!$E$5:$E$304,R528)&lt;&gt;"",INDEX(Parties!$E$5:$E$304,R528)&lt;&gt;HomeState),ROUND(K528*L528,2),0)),"")</f>
        <v/>
      </c>
      <c r="P528" s="61" t="str">
        <f aca="false">IF(IsPro,IF($D528="","",K528+M528+N528+O528),"")</f>
        <v/>
      </c>
      <c r="Q528" s="60" t="str">
        <f aca="false">IF(IsPro,IF($D528="","",IFERROR(MATCH($D528,Items!$A$5:$A$504,0),"")),"")</f>
        <v/>
      </c>
      <c r="R528" s="60" t="str">
        <f aca="false">IF(IsPro,IF($C528="","",IFERROR(MATCH($C528,Parties!$A$5:$A$304,0),"")),"")</f>
        <v/>
      </c>
      <c r="S528" s="61" t="str">
        <f aca="false">IF(IsPro,IF($D528="","",IF(OR($H528="",$H528="Credit"),0,P528)),"")</f>
        <v/>
      </c>
    </row>
    <row r="529" customFormat="false" ht="15" hidden="false" customHeight="false" outlineLevel="0" collapsed="false">
      <c r="A529" s="55"/>
      <c r="B529" s="56"/>
      <c r="C529" s="56"/>
      <c r="D529" s="56"/>
      <c r="E529" s="57"/>
      <c r="F529" s="58"/>
      <c r="G529" s="59"/>
      <c r="H529" s="56"/>
      <c r="I529" s="60" t="str">
        <f aca="false">IF(IsPro,IF($D529="","",IFERROR(INDEX(Items!$D$5:$D$504,Q529),"")),IF($D529="","","PRO PLAN"))</f>
        <v/>
      </c>
      <c r="J529" s="61" t="str">
        <f aca="false">IF(IsPro,IF($D529="","",IF($F529="",IFERROR(INDEX(Items!$G$5:$G$504,Q529),0),$F529)),"")</f>
        <v/>
      </c>
      <c r="K529" s="61" t="str">
        <f aca="false">IF(IsPro,IF($D529="","",ROUND(N($E529)*J529*(1-N($G529)),2)),"")</f>
        <v/>
      </c>
      <c r="L529" s="62" t="str">
        <f aca="false">IF(IsPro,IF($D529="","",IFERROR(INDEX(Items!$F$5:$F$504,Q529),0)),"")</f>
        <v/>
      </c>
      <c r="M529" s="61" t="str">
        <f aca="false">IF(IsPro,IF($D529="","",IF(AND(R529&lt;&gt;"",INDEX(Parties!$E$5:$E$304,R529)&lt;&gt;"",INDEX(Parties!$E$5:$E$304,R529)&lt;&gt;HomeState),0,ROUND(K529*L529/2,2))),"")</f>
        <v/>
      </c>
      <c r="N529" s="61" t="str">
        <f aca="false">IF(IsPro,IF($D529="","",M529),"")</f>
        <v/>
      </c>
      <c r="O529" s="61" t="str">
        <f aca="false">IF(IsPro,IF($D529="","",IF(AND(R529&lt;&gt;"",INDEX(Parties!$E$5:$E$304,R529)&lt;&gt;"",INDEX(Parties!$E$5:$E$304,R529)&lt;&gt;HomeState),ROUND(K529*L529,2),0)),"")</f>
        <v/>
      </c>
      <c r="P529" s="61" t="str">
        <f aca="false">IF(IsPro,IF($D529="","",K529+M529+N529+O529),"")</f>
        <v/>
      </c>
      <c r="Q529" s="60" t="str">
        <f aca="false">IF(IsPro,IF($D529="","",IFERROR(MATCH($D529,Items!$A$5:$A$504,0),"")),"")</f>
        <v/>
      </c>
      <c r="R529" s="60" t="str">
        <f aca="false">IF(IsPro,IF($C529="","",IFERROR(MATCH($C529,Parties!$A$5:$A$304,0),"")),"")</f>
        <v/>
      </c>
      <c r="S529" s="61" t="str">
        <f aca="false">IF(IsPro,IF($D529="","",IF(OR($H529="",$H529="Credit"),0,P529)),"")</f>
        <v/>
      </c>
    </row>
    <row r="530" customFormat="false" ht="15" hidden="false" customHeight="false" outlineLevel="0" collapsed="false">
      <c r="A530" s="55"/>
      <c r="B530" s="56"/>
      <c r="C530" s="56"/>
      <c r="D530" s="56"/>
      <c r="E530" s="57"/>
      <c r="F530" s="58"/>
      <c r="G530" s="59"/>
      <c r="H530" s="56"/>
      <c r="I530" s="60" t="str">
        <f aca="false">IF(IsPro,IF($D530="","",IFERROR(INDEX(Items!$D$5:$D$504,Q530),"")),IF($D530="","","PRO PLAN"))</f>
        <v/>
      </c>
      <c r="J530" s="61" t="str">
        <f aca="false">IF(IsPro,IF($D530="","",IF($F530="",IFERROR(INDEX(Items!$G$5:$G$504,Q530),0),$F530)),"")</f>
        <v/>
      </c>
      <c r="K530" s="61" t="str">
        <f aca="false">IF(IsPro,IF($D530="","",ROUND(N($E530)*J530*(1-N($G530)),2)),"")</f>
        <v/>
      </c>
      <c r="L530" s="62" t="str">
        <f aca="false">IF(IsPro,IF($D530="","",IFERROR(INDEX(Items!$F$5:$F$504,Q530),0)),"")</f>
        <v/>
      </c>
      <c r="M530" s="61" t="str">
        <f aca="false">IF(IsPro,IF($D530="","",IF(AND(R530&lt;&gt;"",INDEX(Parties!$E$5:$E$304,R530)&lt;&gt;"",INDEX(Parties!$E$5:$E$304,R530)&lt;&gt;HomeState),0,ROUND(K530*L530/2,2))),"")</f>
        <v/>
      </c>
      <c r="N530" s="61" t="str">
        <f aca="false">IF(IsPro,IF($D530="","",M530),"")</f>
        <v/>
      </c>
      <c r="O530" s="61" t="str">
        <f aca="false">IF(IsPro,IF($D530="","",IF(AND(R530&lt;&gt;"",INDEX(Parties!$E$5:$E$304,R530)&lt;&gt;"",INDEX(Parties!$E$5:$E$304,R530)&lt;&gt;HomeState),ROUND(K530*L530,2),0)),"")</f>
        <v/>
      </c>
      <c r="P530" s="61" t="str">
        <f aca="false">IF(IsPro,IF($D530="","",K530+M530+N530+O530),"")</f>
        <v/>
      </c>
      <c r="Q530" s="60" t="str">
        <f aca="false">IF(IsPro,IF($D530="","",IFERROR(MATCH($D530,Items!$A$5:$A$504,0),"")),"")</f>
        <v/>
      </c>
      <c r="R530" s="60" t="str">
        <f aca="false">IF(IsPro,IF($C530="","",IFERROR(MATCH($C530,Parties!$A$5:$A$304,0),"")),"")</f>
        <v/>
      </c>
      <c r="S530" s="61" t="str">
        <f aca="false">IF(IsPro,IF($D530="","",IF(OR($H530="",$H530="Credit"),0,P530)),"")</f>
        <v/>
      </c>
    </row>
    <row r="531" customFormat="false" ht="15" hidden="false" customHeight="false" outlineLevel="0" collapsed="false">
      <c r="A531" s="55"/>
      <c r="B531" s="56"/>
      <c r="C531" s="56"/>
      <c r="D531" s="56"/>
      <c r="E531" s="57"/>
      <c r="F531" s="58"/>
      <c r="G531" s="59"/>
      <c r="H531" s="56"/>
      <c r="I531" s="60" t="str">
        <f aca="false">IF(IsPro,IF($D531="","",IFERROR(INDEX(Items!$D$5:$D$504,Q531),"")),IF($D531="","","PRO PLAN"))</f>
        <v/>
      </c>
      <c r="J531" s="61" t="str">
        <f aca="false">IF(IsPro,IF($D531="","",IF($F531="",IFERROR(INDEX(Items!$G$5:$G$504,Q531),0),$F531)),"")</f>
        <v/>
      </c>
      <c r="K531" s="61" t="str">
        <f aca="false">IF(IsPro,IF($D531="","",ROUND(N($E531)*J531*(1-N($G531)),2)),"")</f>
        <v/>
      </c>
      <c r="L531" s="62" t="str">
        <f aca="false">IF(IsPro,IF($D531="","",IFERROR(INDEX(Items!$F$5:$F$504,Q531),0)),"")</f>
        <v/>
      </c>
      <c r="M531" s="61" t="str">
        <f aca="false">IF(IsPro,IF($D531="","",IF(AND(R531&lt;&gt;"",INDEX(Parties!$E$5:$E$304,R531)&lt;&gt;"",INDEX(Parties!$E$5:$E$304,R531)&lt;&gt;HomeState),0,ROUND(K531*L531/2,2))),"")</f>
        <v/>
      </c>
      <c r="N531" s="61" t="str">
        <f aca="false">IF(IsPro,IF($D531="","",M531),"")</f>
        <v/>
      </c>
      <c r="O531" s="61" t="str">
        <f aca="false">IF(IsPro,IF($D531="","",IF(AND(R531&lt;&gt;"",INDEX(Parties!$E$5:$E$304,R531)&lt;&gt;"",INDEX(Parties!$E$5:$E$304,R531)&lt;&gt;HomeState),ROUND(K531*L531,2),0)),"")</f>
        <v/>
      </c>
      <c r="P531" s="61" t="str">
        <f aca="false">IF(IsPro,IF($D531="","",K531+M531+N531+O531),"")</f>
        <v/>
      </c>
      <c r="Q531" s="60" t="str">
        <f aca="false">IF(IsPro,IF($D531="","",IFERROR(MATCH($D531,Items!$A$5:$A$504,0),"")),"")</f>
        <v/>
      </c>
      <c r="R531" s="60" t="str">
        <f aca="false">IF(IsPro,IF($C531="","",IFERROR(MATCH($C531,Parties!$A$5:$A$304,0),"")),"")</f>
        <v/>
      </c>
      <c r="S531" s="61" t="str">
        <f aca="false">IF(IsPro,IF($D531="","",IF(OR($H531="",$H531="Credit"),0,P531)),"")</f>
        <v/>
      </c>
    </row>
    <row r="532" customFormat="false" ht="15" hidden="false" customHeight="false" outlineLevel="0" collapsed="false">
      <c r="A532" s="55"/>
      <c r="B532" s="56"/>
      <c r="C532" s="56"/>
      <c r="D532" s="56"/>
      <c r="E532" s="57"/>
      <c r="F532" s="58"/>
      <c r="G532" s="59"/>
      <c r="H532" s="56"/>
      <c r="I532" s="60" t="str">
        <f aca="false">IF(IsPro,IF($D532="","",IFERROR(INDEX(Items!$D$5:$D$504,Q532),"")),IF($D532="","","PRO PLAN"))</f>
        <v/>
      </c>
      <c r="J532" s="61" t="str">
        <f aca="false">IF(IsPro,IF($D532="","",IF($F532="",IFERROR(INDEX(Items!$G$5:$G$504,Q532),0),$F532)),"")</f>
        <v/>
      </c>
      <c r="K532" s="61" t="str">
        <f aca="false">IF(IsPro,IF($D532="","",ROUND(N($E532)*J532*(1-N($G532)),2)),"")</f>
        <v/>
      </c>
      <c r="L532" s="62" t="str">
        <f aca="false">IF(IsPro,IF($D532="","",IFERROR(INDEX(Items!$F$5:$F$504,Q532),0)),"")</f>
        <v/>
      </c>
      <c r="M532" s="61" t="str">
        <f aca="false">IF(IsPro,IF($D532="","",IF(AND(R532&lt;&gt;"",INDEX(Parties!$E$5:$E$304,R532)&lt;&gt;"",INDEX(Parties!$E$5:$E$304,R532)&lt;&gt;HomeState),0,ROUND(K532*L532/2,2))),"")</f>
        <v/>
      </c>
      <c r="N532" s="61" t="str">
        <f aca="false">IF(IsPro,IF($D532="","",M532),"")</f>
        <v/>
      </c>
      <c r="O532" s="61" t="str">
        <f aca="false">IF(IsPro,IF($D532="","",IF(AND(R532&lt;&gt;"",INDEX(Parties!$E$5:$E$304,R532)&lt;&gt;"",INDEX(Parties!$E$5:$E$304,R532)&lt;&gt;HomeState),ROUND(K532*L532,2),0)),"")</f>
        <v/>
      </c>
      <c r="P532" s="61" t="str">
        <f aca="false">IF(IsPro,IF($D532="","",K532+M532+N532+O532),"")</f>
        <v/>
      </c>
      <c r="Q532" s="60" t="str">
        <f aca="false">IF(IsPro,IF($D532="","",IFERROR(MATCH($D532,Items!$A$5:$A$504,0),"")),"")</f>
        <v/>
      </c>
      <c r="R532" s="60" t="str">
        <f aca="false">IF(IsPro,IF($C532="","",IFERROR(MATCH($C532,Parties!$A$5:$A$304,0),"")),"")</f>
        <v/>
      </c>
      <c r="S532" s="61" t="str">
        <f aca="false">IF(IsPro,IF($D532="","",IF(OR($H532="",$H532="Credit"),0,P532)),"")</f>
        <v/>
      </c>
    </row>
    <row r="533" customFormat="false" ht="15" hidden="false" customHeight="false" outlineLevel="0" collapsed="false">
      <c r="A533" s="55"/>
      <c r="B533" s="56"/>
      <c r="C533" s="56"/>
      <c r="D533" s="56"/>
      <c r="E533" s="57"/>
      <c r="F533" s="58"/>
      <c r="G533" s="59"/>
      <c r="H533" s="56"/>
      <c r="I533" s="60" t="str">
        <f aca="false">IF(IsPro,IF($D533="","",IFERROR(INDEX(Items!$D$5:$D$504,Q533),"")),IF($D533="","","PRO PLAN"))</f>
        <v/>
      </c>
      <c r="J533" s="61" t="str">
        <f aca="false">IF(IsPro,IF($D533="","",IF($F533="",IFERROR(INDEX(Items!$G$5:$G$504,Q533),0),$F533)),"")</f>
        <v/>
      </c>
      <c r="K533" s="61" t="str">
        <f aca="false">IF(IsPro,IF($D533="","",ROUND(N($E533)*J533*(1-N($G533)),2)),"")</f>
        <v/>
      </c>
      <c r="L533" s="62" t="str">
        <f aca="false">IF(IsPro,IF($D533="","",IFERROR(INDEX(Items!$F$5:$F$504,Q533),0)),"")</f>
        <v/>
      </c>
      <c r="M533" s="61" t="str">
        <f aca="false">IF(IsPro,IF($D533="","",IF(AND(R533&lt;&gt;"",INDEX(Parties!$E$5:$E$304,R533)&lt;&gt;"",INDEX(Parties!$E$5:$E$304,R533)&lt;&gt;HomeState),0,ROUND(K533*L533/2,2))),"")</f>
        <v/>
      </c>
      <c r="N533" s="61" t="str">
        <f aca="false">IF(IsPro,IF($D533="","",M533),"")</f>
        <v/>
      </c>
      <c r="O533" s="61" t="str">
        <f aca="false">IF(IsPro,IF($D533="","",IF(AND(R533&lt;&gt;"",INDEX(Parties!$E$5:$E$304,R533)&lt;&gt;"",INDEX(Parties!$E$5:$E$304,R533)&lt;&gt;HomeState),ROUND(K533*L533,2),0)),"")</f>
        <v/>
      </c>
      <c r="P533" s="61" t="str">
        <f aca="false">IF(IsPro,IF($D533="","",K533+M533+N533+O533),"")</f>
        <v/>
      </c>
      <c r="Q533" s="60" t="str">
        <f aca="false">IF(IsPro,IF($D533="","",IFERROR(MATCH($D533,Items!$A$5:$A$504,0),"")),"")</f>
        <v/>
      </c>
      <c r="R533" s="60" t="str">
        <f aca="false">IF(IsPro,IF($C533="","",IFERROR(MATCH($C533,Parties!$A$5:$A$304,0),"")),"")</f>
        <v/>
      </c>
      <c r="S533" s="61" t="str">
        <f aca="false">IF(IsPro,IF($D533="","",IF(OR($H533="",$H533="Credit"),0,P533)),"")</f>
        <v/>
      </c>
    </row>
    <row r="534" customFormat="false" ht="15" hidden="false" customHeight="false" outlineLevel="0" collapsed="false">
      <c r="A534" s="55"/>
      <c r="B534" s="56"/>
      <c r="C534" s="56"/>
      <c r="D534" s="56"/>
      <c r="E534" s="57"/>
      <c r="F534" s="58"/>
      <c r="G534" s="59"/>
      <c r="H534" s="56"/>
      <c r="I534" s="60" t="str">
        <f aca="false">IF(IsPro,IF($D534="","",IFERROR(INDEX(Items!$D$5:$D$504,Q534),"")),IF($D534="","","PRO PLAN"))</f>
        <v/>
      </c>
      <c r="J534" s="61" t="str">
        <f aca="false">IF(IsPro,IF($D534="","",IF($F534="",IFERROR(INDEX(Items!$G$5:$G$504,Q534),0),$F534)),"")</f>
        <v/>
      </c>
      <c r="K534" s="61" t="str">
        <f aca="false">IF(IsPro,IF($D534="","",ROUND(N($E534)*J534*(1-N($G534)),2)),"")</f>
        <v/>
      </c>
      <c r="L534" s="62" t="str">
        <f aca="false">IF(IsPro,IF($D534="","",IFERROR(INDEX(Items!$F$5:$F$504,Q534),0)),"")</f>
        <v/>
      </c>
      <c r="M534" s="61" t="str">
        <f aca="false">IF(IsPro,IF($D534="","",IF(AND(R534&lt;&gt;"",INDEX(Parties!$E$5:$E$304,R534)&lt;&gt;"",INDEX(Parties!$E$5:$E$304,R534)&lt;&gt;HomeState),0,ROUND(K534*L534/2,2))),"")</f>
        <v/>
      </c>
      <c r="N534" s="61" t="str">
        <f aca="false">IF(IsPro,IF($D534="","",M534),"")</f>
        <v/>
      </c>
      <c r="O534" s="61" t="str">
        <f aca="false">IF(IsPro,IF($D534="","",IF(AND(R534&lt;&gt;"",INDEX(Parties!$E$5:$E$304,R534)&lt;&gt;"",INDEX(Parties!$E$5:$E$304,R534)&lt;&gt;HomeState),ROUND(K534*L534,2),0)),"")</f>
        <v/>
      </c>
      <c r="P534" s="61" t="str">
        <f aca="false">IF(IsPro,IF($D534="","",K534+M534+N534+O534),"")</f>
        <v/>
      </c>
      <c r="Q534" s="60" t="str">
        <f aca="false">IF(IsPro,IF($D534="","",IFERROR(MATCH($D534,Items!$A$5:$A$504,0),"")),"")</f>
        <v/>
      </c>
      <c r="R534" s="60" t="str">
        <f aca="false">IF(IsPro,IF($C534="","",IFERROR(MATCH($C534,Parties!$A$5:$A$304,0),"")),"")</f>
        <v/>
      </c>
      <c r="S534" s="61" t="str">
        <f aca="false">IF(IsPro,IF($D534="","",IF(OR($H534="",$H534="Credit"),0,P534)),"")</f>
        <v/>
      </c>
    </row>
    <row r="535" customFormat="false" ht="15" hidden="false" customHeight="false" outlineLevel="0" collapsed="false">
      <c r="A535" s="55"/>
      <c r="B535" s="56"/>
      <c r="C535" s="56"/>
      <c r="D535" s="56"/>
      <c r="E535" s="57"/>
      <c r="F535" s="58"/>
      <c r="G535" s="59"/>
      <c r="H535" s="56"/>
      <c r="I535" s="60" t="str">
        <f aca="false">IF(IsPro,IF($D535="","",IFERROR(INDEX(Items!$D$5:$D$504,Q535),"")),IF($D535="","","PRO PLAN"))</f>
        <v/>
      </c>
      <c r="J535" s="61" t="str">
        <f aca="false">IF(IsPro,IF($D535="","",IF($F535="",IFERROR(INDEX(Items!$G$5:$G$504,Q535),0),$F535)),"")</f>
        <v/>
      </c>
      <c r="K535" s="61" t="str">
        <f aca="false">IF(IsPro,IF($D535="","",ROUND(N($E535)*J535*(1-N($G535)),2)),"")</f>
        <v/>
      </c>
      <c r="L535" s="62" t="str">
        <f aca="false">IF(IsPro,IF($D535="","",IFERROR(INDEX(Items!$F$5:$F$504,Q535),0)),"")</f>
        <v/>
      </c>
      <c r="M535" s="61" t="str">
        <f aca="false">IF(IsPro,IF($D535="","",IF(AND(R535&lt;&gt;"",INDEX(Parties!$E$5:$E$304,R535)&lt;&gt;"",INDEX(Parties!$E$5:$E$304,R535)&lt;&gt;HomeState),0,ROUND(K535*L535/2,2))),"")</f>
        <v/>
      </c>
      <c r="N535" s="61" t="str">
        <f aca="false">IF(IsPro,IF($D535="","",M535),"")</f>
        <v/>
      </c>
      <c r="O535" s="61" t="str">
        <f aca="false">IF(IsPro,IF($D535="","",IF(AND(R535&lt;&gt;"",INDEX(Parties!$E$5:$E$304,R535)&lt;&gt;"",INDEX(Parties!$E$5:$E$304,R535)&lt;&gt;HomeState),ROUND(K535*L535,2),0)),"")</f>
        <v/>
      </c>
      <c r="P535" s="61" t="str">
        <f aca="false">IF(IsPro,IF($D535="","",K535+M535+N535+O535),"")</f>
        <v/>
      </c>
      <c r="Q535" s="60" t="str">
        <f aca="false">IF(IsPro,IF($D535="","",IFERROR(MATCH($D535,Items!$A$5:$A$504,0),"")),"")</f>
        <v/>
      </c>
      <c r="R535" s="60" t="str">
        <f aca="false">IF(IsPro,IF($C535="","",IFERROR(MATCH($C535,Parties!$A$5:$A$304,0),"")),"")</f>
        <v/>
      </c>
      <c r="S535" s="61" t="str">
        <f aca="false">IF(IsPro,IF($D535="","",IF(OR($H535="",$H535="Credit"),0,P535)),"")</f>
        <v/>
      </c>
    </row>
    <row r="536" customFormat="false" ht="15" hidden="false" customHeight="false" outlineLevel="0" collapsed="false">
      <c r="A536" s="55"/>
      <c r="B536" s="56"/>
      <c r="C536" s="56"/>
      <c r="D536" s="56"/>
      <c r="E536" s="57"/>
      <c r="F536" s="58"/>
      <c r="G536" s="59"/>
      <c r="H536" s="56"/>
      <c r="I536" s="60" t="str">
        <f aca="false">IF(IsPro,IF($D536="","",IFERROR(INDEX(Items!$D$5:$D$504,Q536),"")),IF($D536="","","PRO PLAN"))</f>
        <v/>
      </c>
      <c r="J536" s="61" t="str">
        <f aca="false">IF(IsPro,IF($D536="","",IF($F536="",IFERROR(INDEX(Items!$G$5:$G$504,Q536),0),$F536)),"")</f>
        <v/>
      </c>
      <c r="K536" s="61" t="str">
        <f aca="false">IF(IsPro,IF($D536="","",ROUND(N($E536)*J536*(1-N($G536)),2)),"")</f>
        <v/>
      </c>
      <c r="L536" s="62" t="str">
        <f aca="false">IF(IsPro,IF($D536="","",IFERROR(INDEX(Items!$F$5:$F$504,Q536),0)),"")</f>
        <v/>
      </c>
      <c r="M536" s="61" t="str">
        <f aca="false">IF(IsPro,IF($D536="","",IF(AND(R536&lt;&gt;"",INDEX(Parties!$E$5:$E$304,R536)&lt;&gt;"",INDEX(Parties!$E$5:$E$304,R536)&lt;&gt;HomeState),0,ROUND(K536*L536/2,2))),"")</f>
        <v/>
      </c>
      <c r="N536" s="61" t="str">
        <f aca="false">IF(IsPro,IF($D536="","",M536),"")</f>
        <v/>
      </c>
      <c r="O536" s="61" t="str">
        <f aca="false">IF(IsPro,IF($D536="","",IF(AND(R536&lt;&gt;"",INDEX(Parties!$E$5:$E$304,R536)&lt;&gt;"",INDEX(Parties!$E$5:$E$304,R536)&lt;&gt;HomeState),ROUND(K536*L536,2),0)),"")</f>
        <v/>
      </c>
      <c r="P536" s="61" t="str">
        <f aca="false">IF(IsPro,IF($D536="","",K536+M536+N536+O536),"")</f>
        <v/>
      </c>
      <c r="Q536" s="60" t="str">
        <f aca="false">IF(IsPro,IF($D536="","",IFERROR(MATCH($D536,Items!$A$5:$A$504,0),"")),"")</f>
        <v/>
      </c>
      <c r="R536" s="60" t="str">
        <f aca="false">IF(IsPro,IF($C536="","",IFERROR(MATCH($C536,Parties!$A$5:$A$304,0),"")),"")</f>
        <v/>
      </c>
      <c r="S536" s="61" t="str">
        <f aca="false">IF(IsPro,IF($D536="","",IF(OR($H536="",$H536="Credit"),0,P536)),"")</f>
        <v/>
      </c>
    </row>
    <row r="537" customFormat="false" ht="15" hidden="false" customHeight="false" outlineLevel="0" collapsed="false">
      <c r="A537" s="55"/>
      <c r="B537" s="56"/>
      <c r="C537" s="56"/>
      <c r="D537" s="56"/>
      <c r="E537" s="57"/>
      <c r="F537" s="58"/>
      <c r="G537" s="59"/>
      <c r="H537" s="56"/>
      <c r="I537" s="60" t="str">
        <f aca="false">IF(IsPro,IF($D537="","",IFERROR(INDEX(Items!$D$5:$D$504,Q537),"")),IF($D537="","","PRO PLAN"))</f>
        <v/>
      </c>
      <c r="J537" s="61" t="str">
        <f aca="false">IF(IsPro,IF($D537="","",IF($F537="",IFERROR(INDEX(Items!$G$5:$G$504,Q537),0),$F537)),"")</f>
        <v/>
      </c>
      <c r="K537" s="61" t="str">
        <f aca="false">IF(IsPro,IF($D537="","",ROUND(N($E537)*J537*(1-N($G537)),2)),"")</f>
        <v/>
      </c>
      <c r="L537" s="62" t="str">
        <f aca="false">IF(IsPro,IF($D537="","",IFERROR(INDEX(Items!$F$5:$F$504,Q537),0)),"")</f>
        <v/>
      </c>
      <c r="M537" s="61" t="str">
        <f aca="false">IF(IsPro,IF($D537="","",IF(AND(R537&lt;&gt;"",INDEX(Parties!$E$5:$E$304,R537)&lt;&gt;"",INDEX(Parties!$E$5:$E$304,R537)&lt;&gt;HomeState),0,ROUND(K537*L537/2,2))),"")</f>
        <v/>
      </c>
      <c r="N537" s="61" t="str">
        <f aca="false">IF(IsPro,IF($D537="","",M537),"")</f>
        <v/>
      </c>
      <c r="O537" s="61" t="str">
        <f aca="false">IF(IsPro,IF($D537="","",IF(AND(R537&lt;&gt;"",INDEX(Parties!$E$5:$E$304,R537)&lt;&gt;"",INDEX(Parties!$E$5:$E$304,R537)&lt;&gt;HomeState),ROUND(K537*L537,2),0)),"")</f>
        <v/>
      </c>
      <c r="P537" s="61" t="str">
        <f aca="false">IF(IsPro,IF($D537="","",K537+M537+N537+O537),"")</f>
        <v/>
      </c>
      <c r="Q537" s="60" t="str">
        <f aca="false">IF(IsPro,IF($D537="","",IFERROR(MATCH($D537,Items!$A$5:$A$504,0),"")),"")</f>
        <v/>
      </c>
      <c r="R537" s="60" t="str">
        <f aca="false">IF(IsPro,IF($C537="","",IFERROR(MATCH($C537,Parties!$A$5:$A$304,0),"")),"")</f>
        <v/>
      </c>
      <c r="S537" s="61" t="str">
        <f aca="false">IF(IsPro,IF($D537="","",IF(OR($H537="",$H537="Credit"),0,P537)),"")</f>
        <v/>
      </c>
    </row>
    <row r="538" customFormat="false" ht="15" hidden="false" customHeight="false" outlineLevel="0" collapsed="false">
      <c r="A538" s="55"/>
      <c r="B538" s="56"/>
      <c r="C538" s="56"/>
      <c r="D538" s="56"/>
      <c r="E538" s="57"/>
      <c r="F538" s="58"/>
      <c r="G538" s="59"/>
      <c r="H538" s="56"/>
      <c r="I538" s="60" t="str">
        <f aca="false">IF(IsPro,IF($D538="","",IFERROR(INDEX(Items!$D$5:$D$504,Q538),"")),IF($D538="","","PRO PLAN"))</f>
        <v/>
      </c>
      <c r="J538" s="61" t="str">
        <f aca="false">IF(IsPro,IF($D538="","",IF($F538="",IFERROR(INDEX(Items!$G$5:$G$504,Q538),0),$F538)),"")</f>
        <v/>
      </c>
      <c r="K538" s="61" t="str">
        <f aca="false">IF(IsPro,IF($D538="","",ROUND(N($E538)*J538*(1-N($G538)),2)),"")</f>
        <v/>
      </c>
      <c r="L538" s="62" t="str">
        <f aca="false">IF(IsPro,IF($D538="","",IFERROR(INDEX(Items!$F$5:$F$504,Q538),0)),"")</f>
        <v/>
      </c>
      <c r="M538" s="61" t="str">
        <f aca="false">IF(IsPro,IF($D538="","",IF(AND(R538&lt;&gt;"",INDEX(Parties!$E$5:$E$304,R538)&lt;&gt;"",INDEX(Parties!$E$5:$E$304,R538)&lt;&gt;HomeState),0,ROUND(K538*L538/2,2))),"")</f>
        <v/>
      </c>
      <c r="N538" s="61" t="str">
        <f aca="false">IF(IsPro,IF($D538="","",M538),"")</f>
        <v/>
      </c>
      <c r="O538" s="61" t="str">
        <f aca="false">IF(IsPro,IF($D538="","",IF(AND(R538&lt;&gt;"",INDEX(Parties!$E$5:$E$304,R538)&lt;&gt;"",INDEX(Parties!$E$5:$E$304,R538)&lt;&gt;HomeState),ROUND(K538*L538,2),0)),"")</f>
        <v/>
      </c>
      <c r="P538" s="61" t="str">
        <f aca="false">IF(IsPro,IF($D538="","",K538+M538+N538+O538),"")</f>
        <v/>
      </c>
      <c r="Q538" s="60" t="str">
        <f aca="false">IF(IsPro,IF($D538="","",IFERROR(MATCH($D538,Items!$A$5:$A$504,0),"")),"")</f>
        <v/>
      </c>
      <c r="R538" s="60" t="str">
        <f aca="false">IF(IsPro,IF($C538="","",IFERROR(MATCH($C538,Parties!$A$5:$A$304,0),"")),"")</f>
        <v/>
      </c>
      <c r="S538" s="61" t="str">
        <f aca="false">IF(IsPro,IF($D538="","",IF(OR($H538="",$H538="Credit"),0,P538)),"")</f>
        <v/>
      </c>
    </row>
    <row r="539" customFormat="false" ht="15" hidden="false" customHeight="false" outlineLevel="0" collapsed="false">
      <c r="A539" s="55"/>
      <c r="B539" s="56"/>
      <c r="C539" s="56"/>
      <c r="D539" s="56"/>
      <c r="E539" s="57"/>
      <c r="F539" s="58"/>
      <c r="G539" s="59"/>
      <c r="H539" s="56"/>
      <c r="I539" s="60" t="str">
        <f aca="false">IF(IsPro,IF($D539="","",IFERROR(INDEX(Items!$D$5:$D$504,Q539),"")),IF($D539="","","PRO PLAN"))</f>
        <v/>
      </c>
      <c r="J539" s="61" t="str">
        <f aca="false">IF(IsPro,IF($D539="","",IF($F539="",IFERROR(INDEX(Items!$G$5:$G$504,Q539),0),$F539)),"")</f>
        <v/>
      </c>
      <c r="K539" s="61" t="str">
        <f aca="false">IF(IsPro,IF($D539="","",ROUND(N($E539)*J539*(1-N($G539)),2)),"")</f>
        <v/>
      </c>
      <c r="L539" s="62" t="str">
        <f aca="false">IF(IsPro,IF($D539="","",IFERROR(INDEX(Items!$F$5:$F$504,Q539),0)),"")</f>
        <v/>
      </c>
      <c r="M539" s="61" t="str">
        <f aca="false">IF(IsPro,IF($D539="","",IF(AND(R539&lt;&gt;"",INDEX(Parties!$E$5:$E$304,R539)&lt;&gt;"",INDEX(Parties!$E$5:$E$304,R539)&lt;&gt;HomeState),0,ROUND(K539*L539/2,2))),"")</f>
        <v/>
      </c>
      <c r="N539" s="61" t="str">
        <f aca="false">IF(IsPro,IF($D539="","",M539),"")</f>
        <v/>
      </c>
      <c r="O539" s="61" t="str">
        <f aca="false">IF(IsPro,IF($D539="","",IF(AND(R539&lt;&gt;"",INDEX(Parties!$E$5:$E$304,R539)&lt;&gt;"",INDEX(Parties!$E$5:$E$304,R539)&lt;&gt;HomeState),ROUND(K539*L539,2),0)),"")</f>
        <v/>
      </c>
      <c r="P539" s="61" t="str">
        <f aca="false">IF(IsPro,IF($D539="","",K539+M539+N539+O539),"")</f>
        <v/>
      </c>
      <c r="Q539" s="60" t="str">
        <f aca="false">IF(IsPro,IF($D539="","",IFERROR(MATCH($D539,Items!$A$5:$A$504,0),"")),"")</f>
        <v/>
      </c>
      <c r="R539" s="60" t="str">
        <f aca="false">IF(IsPro,IF($C539="","",IFERROR(MATCH($C539,Parties!$A$5:$A$304,0),"")),"")</f>
        <v/>
      </c>
      <c r="S539" s="61" t="str">
        <f aca="false">IF(IsPro,IF($D539="","",IF(OR($H539="",$H539="Credit"),0,P539)),"")</f>
        <v/>
      </c>
    </row>
    <row r="540" customFormat="false" ht="15" hidden="false" customHeight="false" outlineLevel="0" collapsed="false">
      <c r="A540" s="55"/>
      <c r="B540" s="56"/>
      <c r="C540" s="56"/>
      <c r="D540" s="56"/>
      <c r="E540" s="57"/>
      <c r="F540" s="58"/>
      <c r="G540" s="59"/>
      <c r="H540" s="56"/>
      <c r="I540" s="60" t="str">
        <f aca="false">IF(IsPro,IF($D540="","",IFERROR(INDEX(Items!$D$5:$D$504,Q540),"")),IF($D540="","","PRO PLAN"))</f>
        <v/>
      </c>
      <c r="J540" s="61" t="str">
        <f aca="false">IF(IsPro,IF($D540="","",IF($F540="",IFERROR(INDEX(Items!$G$5:$G$504,Q540),0),$F540)),"")</f>
        <v/>
      </c>
      <c r="K540" s="61" t="str">
        <f aca="false">IF(IsPro,IF($D540="","",ROUND(N($E540)*J540*(1-N($G540)),2)),"")</f>
        <v/>
      </c>
      <c r="L540" s="62" t="str">
        <f aca="false">IF(IsPro,IF($D540="","",IFERROR(INDEX(Items!$F$5:$F$504,Q540),0)),"")</f>
        <v/>
      </c>
      <c r="M540" s="61" t="str">
        <f aca="false">IF(IsPro,IF($D540="","",IF(AND(R540&lt;&gt;"",INDEX(Parties!$E$5:$E$304,R540)&lt;&gt;"",INDEX(Parties!$E$5:$E$304,R540)&lt;&gt;HomeState),0,ROUND(K540*L540/2,2))),"")</f>
        <v/>
      </c>
      <c r="N540" s="61" t="str">
        <f aca="false">IF(IsPro,IF($D540="","",M540),"")</f>
        <v/>
      </c>
      <c r="O540" s="61" t="str">
        <f aca="false">IF(IsPro,IF($D540="","",IF(AND(R540&lt;&gt;"",INDEX(Parties!$E$5:$E$304,R540)&lt;&gt;"",INDEX(Parties!$E$5:$E$304,R540)&lt;&gt;HomeState),ROUND(K540*L540,2),0)),"")</f>
        <v/>
      </c>
      <c r="P540" s="61" t="str">
        <f aca="false">IF(IsPro,IF($D540="","",K540+M540+N540+O540),"")</f>
        <v/>
      </c>
      <c r="Q540" s="60" t="str">
        <f aca="false">IF(IsPro,IF($D540="","",IFERROR(MATCH($D540,Items!$A$5:$A$504,0),"")),"")</f>
        <v/>
      </c>
      <c r="R540" s="60" t="str">
        <f aca="false">IF(IsPro,IF($C540="","",IFERROR(MATCH($C540,Parties!$A$5:$A$304,0),"")),"")</f>
        <v/>
      </c>
      <c r="S540" s="61" t="str">
        <f aca="false">IF(IsPro,IF($D540="","",IF(OR($H540="",$H540="Credit"),0,P540)),"")</f>
        <v/>
      </c>
    </row>
    <row r="541" customFormat="false" ht="15" hidden="false" customHeight="false" outlineLevel="0" collapsed="false">
      <c r="A541" s="55"/>
      <c r="B541" s="56"/>
      <c r="C541" s="56"/>
      <c r="D541" s="56"/>
      <c r="E541" s="57"/>
      <c r="F541" s="58"/>
      <c r="G541" s="59"/>
      <c r="H541" s="56"/>
      <c r="I541" s="60" t="str">
        <f aca="false">IF(IsPro,IF($D541="","",IFERROR(INDEX(Items!$D$5:$D$504,Q541),"")),IF($D541="","","PRO PLAN"))</f>
        <v/>
      </c>
      <c r="J541" s="61" t="str">
        <f aca="false">IF(IsPro,IF($D541="","",IF($F541="",IFERROR(INDEX(Items!$G$5:$G$504,Q541),0),$F541)),"")</f>
        <v/>
      </c>
      <c r="K541" s="61" t="str">
        <f aca="false">IF(IsPro,IF($D541="","",ROUND(N($E541)*J541*(1-N($G541)),2)),"")</f>
        <v/>
      </c>
      <c r="L541" s="62" t="str">
        <f aca="false">IF(IsPro,IF($D541="","",IFERROR(INDEX(Items!$F$5:$F$504,Q541),0)),"")</f>
        <v/>
      </c>
      <c r="M541" s="61" t="str">
        <f aca="false">IF(IsPro,IF($D541="","",IF(AND(R541&lt;&gt;"",INDEX(Parties!$E$5:$E$304,R541)&lt;&gt;"",INDEX(Parties!$E$5:$E$304,R541)&lt;&gt;HomeState),0,ROUND(K541*L541/2,2))),"")</f>
        <v/>
      </c>
      <c r="N541" s="61" t="str">
        <f aca="false">IF(IsPro,IF($D541="","",M541),"")</f>
        <v/>
      </c>
      <c r="O541" s="61" t="str">
        <f aca="false">IF(IsPro,IF($D541="","",IF(AND(R541&lt;&gt;"",INDEX(Parties!$E$5:$E$304,R541)&lt;&gt;"",INDEX(Parties!$E$5:$E$304,R541)&lt;&gt;HomeState),ROUND(K541*L541,2),0)),"")</f>
        <v/>
      </c>
      <c r="P541" s="61" t="str">
        <f aca="false">IF(IsPro,IF($D541="","",K541+M541+N541+O541),"")</f>
        <v/>
      </c>
      <c r="Q541" s="60" t="str">
        <f aca="false">IF(IsPro,IF($D541="","",IFERROR(MATCH($D541,Items!$A$5:$A$504,0),"")),"")</f>
        <v/>
      </c>
      <c r="R541" s="60" t="str">
        <f aca="false">IF(IsPro,IF($C541="","",IFERROR(MATCH($C541,Parties!$A$5:$A$304,0),"")),"")</f>
        <v/>
      </c>
      <c r="S541" s="61" t="str">
        <f aca="false">IF(IsPro,IF($D541="","",IF(OR($H541="",$H541="Credit"),0,P541)),"")</f>
        <v/>
      </c>
    </row>
    <row r="542" customFormat="false" ht="15" hidden="false" customHeight="false" outlineLevel="0" collapsed="false">
      <c r="A542" s="55"/>
      <c r="B542" s="56"/>
      <c r="C542" s="56"/>
      <c r="D542" s="56"/>
      <c r="E542" s="57"/>
      <c r="F542" s="58"/>
      <c r="G542" s="59"/>
      <c r="H542" s="56"/>
      <c r="I542" s="60" t="str">
        <f aca="false">IF(IsPro,IF($D542="","",IFERROR(INDEX(Items!$D$5:$D$504,Q542),"")),IF($D542="","","PRO PLAN"))</f>
        <v/>
      </c>
      <c r="J542" s="61" t="str">
        <f aca="false">IF(IsPro,IF($D542="","",IF($F542="",IFERROR(INDEX(Items!$G$5:$G$504,Q542),0),$F542)),"")</f>
        <v/>
      </c>
      <c r="K542" s="61" t="str">
        <f aca="false">IF(IsPro,IF($D542="","",ROUND(N($E542)*J542*(1-N($G542)),2)),"")</f>
        <v/>
      </c>
      <c r="L542" s="62" t="str">
        <f aca="false">IF(IsPro,IF($D542="","",IFERROR(INDEX(Items!$F$5:$F$504,Q542),0)),"")</f>
        <v/>
      </c>
      <c r="M542" s="61" t="str">
        <f aca="false">IF(IsPro,IF($D542="","",IF(AND(R542&lt;&gt;"",INDEX(Parties!$E$5:$E$304,R542)&lt;&gt;"",INDEX(Parties!$E$5:$E$304,R542)&lt;&gt;HomeState),0,ROUND(K542*L542/2,2))),"")</f>
        <v/>
      </c>
      <c r="N542" s="61" t="str">
        <f aca="false">IF(IsPro,IF($D542="","",M542),"")</f>
        <v/>
      </c>
      <c r="O542" s="61" t="str">
        <f aca="false">IF(IsPro,IF($D542="","",IF(AND(R542&lt;&gt;"",INDEX(Parties!$E$5:$E$304,R542)&lt;&gt;"",INDEX(Parties!$E$5:$E$304,R542)&lt;&gt;HomeState),ROUND(K542*L542,2),0)),"")</f>
        <v/>
      </c>
      <c r="P542" s="61" t="str">
        <f aca="false">IF(IsPro,IF($D542="","",K542+M542+N542+O542),"")</f>
        <v/>
      </c>
      <c r="Q542" s="60" t="str">
        <f aca="false">IF(IsPro,IF($D542="","",IFERROR(MATCH($D542,Items!$A$5:$A$504,0),"")),"")</f>
        <v/>
      </c>
      <c r="R542" s="60" t="str">
        <f aca="false">IF(IsPro,IF($C542="","",IFERROR(MATCH($C542,Parties!$A$5:$A$304,0),"")),"")</f>
        <v/>
      </c>
      <c r="S542" s="61" t="str">
        <f aca="false">IF(IsPro,IF($D542="","",IF(OR($H542="",$H542="Credit"),0,P542)),"")</f>
        <v/>
      </c>
    </row>
    <row r="543" customFormat="false" ht="15" hidden="false" customHeight="false" outlineLevel="0" collapsed="false">
      <c r="A543" s="55"/>
      <c r="B543" s="56"/>
      <c r="C543" s="56"/>
      <c r="D543" s="56"/>
      <c r="E543" s="57"/>
      <c r="F543" s="58"/>
      <c r="G543" s="59"/>
      <c r="H543" s="56"/>
      <c r="I543" s="60" t="str">
        <f aca="false">IF(IsPro,IF($D543="","",IFERROR(INDEX(Items!$D$5:$D$504,Q543),"")),IF($D543="","","PRO PLAN"))</f>
        <v/>
      </c>
      <c r="J543" s="61" t="str">
        <f aca="false">IF(IsPro,IF($D543="","",IF($F543="",IFERROR(INDEX(Items!$G$5:$G$504,Q543),0),$F543)),"")</f>
        <v/>
      </c>
      <c r="K543" s="61" t="str">
        <f aca="false">IF(IsPro,IF($D543="","",ROUND(N($E543)*J543*(1-N($G543)),2)),"")</f>
        <v/>
      </c>
      <c r="L543" s="62" t="str">
        <f aca="false">IF(IsPro,IF($D543="","",IFERROR(INDEX(Items!$F$5:$F$504,Q543),0)),"")</f>
        <v/>
      </c>
      <c r="M543" s="61" t="str">
        <f aca="false">IF(IsPro,IF($D543="","",IF(AND(R543&lt;&gt;"",INDEX(Parties!$E$5:$E$304,R543)&lt;&gt;"",INDEX(Parties!$E$5:$E$304,R543)&lt;&gt;HomeState),0,ROUND(K543*L543/2,2))),"")</f>
        <v/>
      </c>
      <c r="N543" s="61" t="str">
        <f aca="false">IF(IsPro,IF($D543="","",M543),"")</f>
        <v/>
      </c>
      <c r="O543" s="61" t="str">
        <f aca="false">IF(IsPro,IF($D543="","",IF(AND(R543&lt;&gt;"",INDEX(Parties!$E$5:$E$304,R543)&lt;&gt;"",INDEX(Parties!$E$5:$E$304,R543)&lt;&gt;HomeState),ROUND(K543*L543,2),0)),"")</f>
        <v/>
      </c>
      <c r="P543" s="61" t="str">
        <f aca="false">IF(IsPro,IF($D543="","",K543+M543+N543+O543),"")</f>
        <v/>
      </c>
      <c r="Q543" s="60" t="str">
        <f aca="false">IF(IsPro,IF($D543="","",IFERROR(MATCH($D543,Items!$A$5:$A$504,0),"")),"")</f>
        <v/>
      </c>
      <c r="R543" s="60" t="str">
        <f aca="false">IF(IsPro,IF($C543="","",IFERROR(MATCH($C543,Parties!$A$5:$A$304,0),"")),"")</f>
        <v/>
      </c>
      <c r="S543" s="61" t="str">
        <f aca="false">IF(IsPro,IF($D543="","",IF(OR($H543="",$H543="Credit"),0,P543)),"")</f>
        <v/>
      </c>
    </row>
    <row r="544" customFormat="false" ht="15" hidden="false" customHeight="false" outlineLevel="0" collapsed="false">
      <c r="A544" s="55"/>
      <c r="B544" s="56"/>
      <c r="C544" s="56"/>
      <c r="D544" s="56"/>
      <c r="E544" s="57"/>
      <c r="F544" s="58"/>
      <c r="G544" s="59"/>
      <c r="H544" s="56"/>
      <c r="I544" s="60" t="str">
        <f aca="false">IF(IsPro,IF($D544="","",IFERROR(INDEX(Items!$D$5:$D$504,Q544),"")),IF($D544="","","PRO PLAN"))</f>
        <v/>
      </c>
      <c r="J544" s="61" t="str">
        <f aca="false">IF(IsPro,IF($D544="","",IF($F544="",IFERROR(INDEX(Items!$G$5:$G$504,Q544),0),$F544)),"")</f>
        <v/>
      </c>
      <c r="K544" s="61" t="str">
        <f aca="false">IF(IsPro,IF($D544="","",ROUND(N($E544)*J544*(1-N($G544)),2)),"")</f>
        <v/>
      </c>
      <c r="L544" s="62" t="str">
        <f aca="false">IF(IsPro,IF($D544="","",IFERROR(INDEX(Items!$F$5:$F$504,Q544),0)),"")</f>
        <v/>
      </c>
      <c r="M544" s="61" t="str">
        <f aca="false">IF(IsPro,IF($D544="","",IF(AND(R544&lt;&gt;"",INDEX(Parties!$E$5:$E$304,R544)&lt;&gt;"",INDEX(Parties!$E$5:$E$304,R544)&lt;&gt;HomeState),0,ROUND(K544*L544/2,2))),"")</f>
        <v/>
      </c>
      <c r="N544" s="61" t="str">
        <f aca="false">IF(IsPro,IF($D544="","",M544),"")</f>
        <v/>
      </c>
      <c r="O544" s="61" t="str">
        <f aca="false">IF(IsPro,IF($D544="","",IF(AND(R544&lt;&gt;"",INDEX(Parties!$E$5:$E$304,R544)&lt;&gt;"",INDEX(Parties!$E$5:$E$304,R544)&lt;&gt;HomeState),ROUND(K544*L544,2),0)),"")</f>
        <v/>
      </c>
      <c r="P544" s="61" t="str">
        <f aca="false">IF(IsPro,IF($D544="","",K544+M544+N544+O544),"")</f>
        <v/>
      </c>
      <c r="Q544" s="60" t="str">
        <f aca="false">IF(IsPro,IF($D544="","",IFERROR(MATCH($D544,Items!$A$5:$A$504,0),"")),"")</f>
        <v/>
      </c>
      <c r="R544" s="60" t="str">
        <f aca="false">IF(IsPro,IF($C544="","",IFERROR(MATCH($C544,Parties!$A$5:$A$304,0),"")),"")</f>
        <v/>
      </c>
      <c r="S544" s="61" t="str">
        <f aca="false">IF(IsPro,IF($D544="","",IF(OR($H544="",$H544="Credit"),0,P544)),"")</f>
        <v/>
      </c>
    </row>
    <row r="545" customFormat="false" ht="15" hidden="false" customHeight="false" outlineLevel="0" collapsed="false">
      <c r="A545" s="55"/>
      <c r="B545" s="56"/>
      <c r="C545" s="56"/>
      <c r="D545" s="56"/>
      <c r="E545" s="57"/>
      <c r="F545" s="58"/>
      <c r="G545" s="59"/>
      <c r="H545" s="56"/>
      <c r="I545" s="60" t="str">
        <f aca="false">IF(IsPro,IF($D545="","",IFERROR(INDEX(Items!$D$5:$D$504,Q545),"")),IF($D545="","","PRO PLAN"))</f>
        <v/>
      </c>
      <c r="J545" s="61" t="str">
        <f aca="false">IF(IsPro,IF($D545="","",IF($F545="",IFERROR(INDEX(Items!$G$5:$G$504,Q545),0),$F545)),"")</f>
        <v/>
      </c>
      <c r="K545" s="61" t="str">
        <f aca="false">IF(IsPro,IF($D545="","",ROUND(N($E545)*J545*(1-N($G545)),2)),"")</f>
        <v/>
      </c>
      <c r="L545" s="62" t="str">
        <f aca="false">IF(IsPro,IF($D545="","",IFERROR(INDEX(Items!$F$5:$F$504,Q545),0)),"")</f>
        <v/>
      </c>
      <c r="M545" s="61" t="str">
        <f aca="false">IF(IsPro,IF($D545="","",IF(AND(R545&lt;&gt;"",INDEX(Parties!$E$5:$E$304,R545)&lt;&gt;"",INDEX(Parties!$E$5:$E$304,R545)&lt;&gt;HomeState),0,ROUND(K545*L545/2,2))),"")</f>
        <v/>
      </c>
      <c r="N545" s="61" t="str">
        <f aca="false">IF(IsPro,IF($D545="","",M545),"")</f>
        <v/>
      </c>
      <c r="O545" s="61" t="str">
        <f aca="false">IF(IsPro,IF($D545="","",IF(AND(R545&lt;&gt;"",INDEX(Parties!$E$5:$E$304,R545)&lt;&gt;"",INDEX(Parties!$E$5:$E$304,R545)&lt;&gt;HomeState),ROUND(K545*L545,2),0)),"")</f>
        <v/>
      </c>
      <c r="P545" s="61" t="str">
        <f aca="false">IF(IsPro,IF($D545="","",K545+M545+N545+O545),"")</f>
        <v/>
      </c>
      <c r="Q545" s="60" t="str">
        <f aca="false">IF(IsPro,IF($D545="","",IFERROR(MATCH($D545,Items!$A$5:$A$504,0),"")),"")</f>
        <v/>
      </c>
      <c r="R545" s="60" t="str">
        <f aca="false">IF(IsPro,IF($C545="","",IFERROR(MATCH($C545,Parties!$A$5:$A$304,0),"")),"")</f>
        <v/>
      </c>
      <c r="S545" s="61" t="str">
        <f aca="false">IF(IsPro,IF($D545="","",IF(OR($H545="",$H545="Credit"),0,P545)),"")</f>
        <v/>
      </c>
    </row>
    <row r="546" customFormat="false" ht="15" hidden="false" customHeight="false" outlineLevel="0" collapsed="false">
      <c r="A546" s="55"/>
      <c r="B546" s="56"/>
      <c r="C546" s="56"/>
      <c r="D546" s="56"/>
      <c r="E546" s="57"/>
      <c r="F546" s="58"/>
      <c r="G546" s="59"/>
      <c r="H546" s="56"/>
      <c r="I546" s="60" t="str">
        <f aca="false">IF(IsPro,IF($D546="","",IFERROR(INDEX(Items!$D$5:$D$504,Q546),"")),IF($D546="","","PRO PLAN"))</f>
        <v/>
      </c>
      <c r="J546" s="61" t="str">
        <f aca="false">IF(IsPro,IF($D546="","",IF($F546="",IFERROR(INDEX(Items!$G$5:$G$504,Q546),0),$F546)),"")</f>
        <v/>
      </c>
      <c r="K546" s="61" t="str">
        <f aca="false">IF(IsPro,IF($D546="","",ROUND(N($E546)*J546*(1-N($G546)),2)),"")</f>
        <v/>
      </c>
      <c r="L546" s="62" t="str">
        <f aca="false">IF(IsPro,IF($D546="","",IFERROR(INDEX(Items!$F$5:$F$504,Q546),0)),"")</f>
        <v/>
      </c>
      <c r="M546" s="61" t="str">
        <f aca="false">IF(IsPro,IF($D546="","",IF(AND(R546&lt;&gt;"",INDEX(Parties!$E$5:$E$304,R546)&lt;&gt;"",INDEX(Parties!$E$5:$E$304,R546)&lt;&gt;HomeState),0,ROUND(K546*L546/2,2))),"")</f>
        <v/>
      </c>
      <c r="N546" s="61" t="str">
        <f aca="false">IF(IsPro,IF($D546="","",M546),"")</f>
        <v/>
      </c>
      <c r="O546" s="61" t="str">
        <f aca="false">IF(IsPro,IF($D546="","",IF(AND(R546&lt;&gt;"",INDEX(Parties!$E$5:$E$304,R546)&lt;&gt;"",INDEX(Parties!$E$5:$E$304,R546)&lt;&gt;HomeState),ROUND(K546*L546,2),0)),"")</f>
        <v/>
      </c>
      <c r="P546" s="61" t="str">
        <f aca="false">IF(IsPro,IF($D546="","",K546+M546+N546+O546),"")</f>
        <v/>
      </c>
      <c r="Q546" s="60" t="str">
        <f aca="false">IF(IsPro,IF($D546="","",IFERROR(MATCH($D546,Items!$A$5:$A$504,0),"")),"")</f>
        <v/>
      </c>
      <c r="R546" s="60" t="str">
        <f aca="false">IF(IsPro,IF($C546="","",IFERROR(MATCH($C546,Parties!$A$5:$A$304,0),"")),"")</f>
        <v/>
      </c>
      <c r="S546" s="61" t="str">
        <f aca="false">IF(IsPro,IF($D546="","",IF(OR($H546="",$H546="Credit"),0,P546)),"")</f>
        <v/>
      </c>
    </row>
    <row r="547" customFormat="false" ht="15" hidden="false" customHeight="false" outlineLevel="0" collapsed="false">
      <c r="A547" s="55"/>
      <c r="B547" s="56"/>
      <c r="C547" s="56"/>
      <c r="D547" s="56"/>
      <c r="E547" s="57"/>
      <c r="F547" s="58"/>
      <c r="G547" s="59"/>
      <c r="H547" s="56"/>
      <c r="I547" s="60" t="str">
        <f aca="false">IF(IsPro,IF($D547="","",IFERROR(INDEX(Items!$D$5:$D$504,Q547),"")),IF($D547="","","PRO PLAN"))</f>
        <v/>
      </c>
      <c r="J547" s="61" t="str">
        <f aca="false">IF(IsPro,IF($D547="","",IF($F547="",IFERROR(INDEX(Items!$G$5:$G$504,Q547),0),$F547)),"")</f>
        <v/>
      </c>
      <c r="K547" s="61" t="str">
        <f aca="false">IF(IsPro,IF($D547="","",ROUND(N($E547)*J547*(1-N($G547)),2)),"")</f>
        <v/>
      </c>
      <c r="L547" s="62" t="str">
        <f aca="false">IF(IsPro,IF($D547="","",IFERROR(INDEX(Items!$F$5:$F$504,Q547),0)),"")</f>
        <v/>
      </c>
      <c r="M547" s="61" t="str">
        <f aca="false">IF(IsPro,IF($D547="","",IF(AND(R547&lt;&gt;"",INDEX(Parties!$E$5:$E$304,R547)&lt;&gt;"",INDEX(Parties!$E$5:$E$304,R547)&lt;&gt;HomeState),0,ROUND(K547*L547/2,2))),"")</f>
        <v/>
      </c>
      <c r="N547" s="61" t="str">
        <f aca="false">IF(IsPro,IF($D547="","",M547),"")</f>
        <v/>
      </c>
      <c r="O547" s="61" t="str">
        <f aca="false">IF(IsPro,IF($D547="","",IF(AND(R547&lt;&gt;"",INDEX(Parties!$E$5:$E$304,R547)&lt;&gt;"",INDEX(Parties!$E$5:$E$304,R547)&lt;&gt;HomeState),ROUND(K547*L547,2),0)),"")</f>
        <v/>
      </c>
      <c r="P547" s="61" t="str">
        <f aca="false">IF(IsPro,IF($D547="","",K547+M547+N547+O547),"")</f>
        <v/>
      </c>
      <c r="Q547" s="60" t="str">
        <f aca="false">IF(IsPro,IF($D547="","",IFERROR(MATCH($D547,Items!$A$5:$A$504,0),"")),"")</f>
        <v/>
      </c>
      <c r="R547" s="60" t="str">
        <f aca="false">IF(IsPro,IF($C547="","",IFERROR(MATCH($C547,Parties!$A$5:$A$304,0),"")),"")</f>
        <v/>
      </c>
      <c r="S547" s="61" t="str">
        <f aca="false">IF(IsPro,IF($D547="","",IF(OR($H547="",$H547="Credit"),0,P547)),"")</f>
        <v/>
      </c>
    </row>
    <row r="548" customFormat="false" ht="15" hidden="false" customHeight="false" outlineLevel="0" collapsed="false">
      <c r="A548" s="55"/>
      <c r="B548" s="56"/>
      <c r="C548" s="56"/>
      <c r="D548" s="56"/>
      <c r="E548" s="57"/>
      <c r="F548" s="58"/>
      <c r="G548" s="59"/>
      <c r="H548" s="56"/>
      <c r="I548" s="60" t="str">
        <f aca="false">IF(IsPro,IF($D548="","",IFERROR(INDEX(Items!$D$5:$D$504,Q548),"")),IF($D548="","","PRO PLAN"))</f>
        <v/>
      </c>
      <c r="J548" s="61" t="str">
        <f aca="false">IF(IsPro,IF($D548="","",IF($F548="",IFERROR(INDEX(Items!$G$5:$G$504,Q548),0),$F548)),"")</f>
        <v/>
      </c>
      <c r="K548" s="61" t="str">
        <f aca="false">IF(IsPro,IF($D548="","",ROUND(N($E548)*J548*(1-N($G548)),2)),"")</f>
        <v/>
      </c>
      <c r="L548" s="62" t="str">
        <f aca="false">IF(IsPro,IF($D548="","",IFERROR(INDEX(Items!$F$5:$F$504,Q548),0)),"")</f>
        <v/>
      </c>
      <c r="M548" s="61" t="str">
        <f aca="false">IF(IsPro,IF($D548="","",IF(AND(R548&lt;&gt;"",INDEX(Parties!$E$5:$E$304,R548)&lt;&gt;"",INDEX(Parties!$E$5:$E$304,R548)&lt;&gt;HomeState),0,ROUND(K548*L548/2,2))),"")</f>
        <v/>
      </c>
      <c r="N548" s="61" t="str">
        <f aca="false">IF(IsPro,IF($D548="","",M548),"")</f>
        <v/>
      </c>
      <c r="O548" s="61" t="str">
        <f aca="false">IF(IsPro,IF($D548="","",IF(AND(R548&lt;&gt;"",INDEX(Parties!$E$5:$E$304,R548)&lt;&gt;"",INDEX(Parties!$E$5:$E$304,R548)&lt;&gt;HomeState),ROUND(K548*L548,2),0)),"")</f>
        <v/>
      </c>
      <c r="P548" s="61" t="str">
        <f aca="false">IF(IsPro,IF($D548="","",K548+M548+N548+O548),"")</f>
        <v/>
      </c>
      <c r="Q548" s="60" t="str">
        <f aca="false">IF(IsPro,IF($D548="","",IFERROR(MATCH($D548,Items!$A$5:$A$504,0),"")),"")</f>
        <v/>
      </c>
      <c r="R548" s="60" t="str">
        <f aca="false">IF(IsPro,IF($C548="","",IFERROR(MATCH($C548,Parties!$A$5:$A$304,0),"")),"")</f>
        <v/>
      </c>
      <c r="S548" s="61" t="str">
        <f aca="false">IF(IsPro,IF($D548="","",IF(OR($H548="",$H548="Credit"),0,P548)),"")</f>
        <v/>
      </c>
    </row>
    <row r="549" customFormat="false" ht="15" hidden="false" customHeight="false" outlineLevel="0" collapsed="false">
      <c r="A549" s="55"/>
      <c r="B549" s="56"/>
      <c r="C549" s="56"/>
      <c r="D549" s="56"/>
      <c r="E549" s="57"/>
      <c r="F549" s="58"/>
      <c r="G549" s="59"/>
      <c r="H549" s="56"/>
      <c r="I549" s="60" t="str">
        <f aca="false">IF(IsPro,IF($D549="","",IFERROR(INDEX(Items!$D$5:$D$504,Q549),"")),IF($D549="","","PRO PLAN"))</f>
        <v/>
      </c>
      <c r="J549" s="61" t="str">
        <f aca="false">IF(IsPro,IF($D549="","",IF($F549="",IFERROR(INDEX(Items!$G$5:$G$504,Q549),0),$F549)),"")</f>
        <v/>
      </c>
      <c r="K549" s="61" t="str">
        <f aca="false">IF(IsPro,IF($D549="","",ROUND(N($E549)*J549*(1-N($G549)),2)),"")</f>
        <v/>
      </c>
      <c r="L549" s="62" t="str">
        <f aca="false">IF(IsPro,IF($D549="","",IFERROR(INDEX(Items!$F$5:$F$504,Q549),0)),"")</f>
        <v/>
      </c>
      <c r="M549" s="61" t="str">
        <f aca="false">IF(IsPro,IF($D549="","",IF(AND(R549&lt;&gt;"",INDEX(Parties!$E$5:$E$304,R549)&lt;&gt;"",INDEX(Parties!$E$5:$E$304,R549)&lt;&gt;HomeState),0,ROUND(K549*L549/2,2))),"")</f>
        <v/>
      </c>
      <c r="N549" s="61" t="str">
        <f aca="false">IF(IsPro,IF($D549="","",M549),"")</f>
        <v/>
      </c>
      <c r="O549" s="61" t="str">
        <f aca="false">IF(IsPro,IF($D549="","",IF(AND(R549&lt;&gt;"",INDEX(Parties!$E$5:$E$304,R549)&lt;&gt;"",INDEX(Parties!$E$5:$E$304,R549)&lt;&gt;HomeState),ROUND(K549*L549,2),0)),"")</f>
        <v/>
      </c>
      <c r="P549" s="61" t="str">
        <f aca="false">IF(IsPro,IF($D549="","",K549+M549+N549+O549),"")</f>
        <v/>
      </c>
      <c r="Q549" s="60" t="str">
        <f aca="false">IF(IsPro,IF($D549="","",IFERROR(MATCH($D549,Items!$A$5:$A$504,0),"")),"")</f>
        <v/>
      </c>
      <c r="R549" s="60" t="str">
        <f aca="false">IF(IsPro,IF($C549="","",IFERROR(MATCH($C549,Parties!$A$5:$A$304,0),"")),"")</f>
        <v/>
      </c>
      <c r="S549" s="61" t="str">
        <f aca="false">IF(IsPro,IF($D549="","",IF(OR($H549="",$H549="Credit"),0,P549)),"")</f>
        <v/>
      </c>
    </row>
    <row r="550" customFormat="false" ht="15" hidden="false" customHeight="false" outlineLevel="0" collapsed="false">
      <c r="A550" s="55"/>
      <c r="B550" s="56"/>
      <c r="C550" s="56"/>
      <c r="D550" s="56"/>
      <c r="E550" s="57"/>
      <c r="F550" s="58"/>
      <c r="G550" s="59"/>
      <c r="H550" s="56"/>
      <c r="I550" s="60" t="str">
        <f aca="false">IF(IsPro,IF($D550="","",IFERROR(INDEX(Items!$D$5:$D$504,Q550),"")),IF($D550="","","PRO PLAN"))</f>
        <v/>
      </c>
      <c r="J550" s="61" t="str">
        <f aca="false">IF(IsPro,IF($D550="","",IF($F550="",IFERROR(INDEX(Items!$G$5:$G$504,Q550),0),$F550)),"")</f>
        <v/>
      </c>
      <c r="K550" s="61" t="str">
        <f aca="false">IF(IsPro,IF($D550="","",ROUND(N($E550)*J550*(1-N($G550)),2)),"")</f>
        <v/>
      </c>
      <c r="L550" s="62" t="str">
        <f aca="false">IF(IsPro,IF($D550="","",IFERROR(INDEX(Items!$F$5:$F$504,Q550),0)),"")</f>
        <v/>
      </c>
      <c r="M550" s="61" t="str">
        <f aca="false">IF(IsPro,IF($D550="","",IF(AND(R550&lt;&gt;"",INDEX(Parties!$E$5:$E$304,R550)&lt;&gt;"",INDEX(Parties!$E$5:$E$304,R550)&lt;&gt;HomeState),0,ROUND(K550*L550/2,2))),"")</f>
        <v/>
      </c>
      <c r="N550" s="61" t="str">
        <f aca="false">IF(IsPro,IF($D550="","",M550),"")</f>
        <v/>
      </c>
      <c r="O550" s="61" t="str">
        <f aca="false">IF(IsPro,IF($D550="","",IF(AND(R550&lt;&gt;"",INDEX(Parties!$E$5:$E$304,R550)&lt;&gt;"",INDEX(Parties!$E$5:$E$304,R550)&lt;&gt;HomeState),ROUND(K550*L550,2),0)),"")</f>
        <v/>
      </c>
      <c r="P550" s="61" t="str">
        <f aca="false">IF(IsPro,IF($D550="","",K550+M550+N550+O550),"")</f>
        <v/>
      </c>
      <c r="Q550" s="60" t="str">
        <f aca="false">IF(IsPro,IF($D550="","",IFERROR(MATCH($D550,Items!$A$5:$A$504,0),"")),"")</f>
        <v/>
      </c>
      <c r="R550" s="60" t="str">
        <f aca="false">IF(IsPro,IF($C550="","",IFERROR(MATCH($C550,Parties!$A$5:$A$304,0),"")),"")</f>
        <v/>
      </c>
      <c r="S550" s="61" t="str">
        <f aca="false">IF(IsPro,IF($D550="","",IF(OR($H550="",$H550="Credit"),0,P550)),"")</f>
        <v/>
      </c>
    </row>
    <row r="551" customFormat="false" ht="15" hidden="false" customHeight="false" outlineLevel="0" collapsed="false">
      <c r="A551" s="55"/>
      <c r="B551" s="56"/>
      <c r="C551" s="56"/>
      <c r="D551" s="56"/>
      <c r="E551" s="57"/>
      <c r="F551" s="58"/>
      <c r="G551" s="59"/>
      <c r="H551" s="56"/>
      <c r="I551" s="60" t="str">
        <f aca="false">IF(IsPro,IF($D551="","",IFERROR(INDEX(Items!$D$5:$D$504,Q551),"")),IF($D551="","","PRO PLAN"))</f>
        <v/>
      </c>
      <c r="J551" s="61" t="str">
        <f aca="false">IF(IsPro,IF($D551="","",IF($F551="",IFERROR(INDEX(Items!$G$5:$G$504,Q551),0),$F551)),"")</f>
        <v/>
      </c>
      <c r="K551" s="61" t="str">
        <f aca="false">IF(IsPro,IF($D551="","",ROUND(N($E551)*J551*(1-N($G551)),2)),"")</f>
        <v/>
      </c>
      <c r="L551" s="62" t="str">
        <f aca="false">IF(IsPro,IF($D551="","",IFERROR(INDEX(Items!$F$5:$F$504,Q551),0)),"")</f>
        <v/>
      </c>
      <c r="M551" s="61" t="str">
        <f aca="false">IF(IsPro,IF($D551="","",IF(AND(R551&lt;&gt;"",INDEX(Parties!$E$5:$E$304,R551)&lt;&gt;"",INDEX(Parties!$E$5:$E$304,R551)&lt;&gt;HomeState),0,ROUND(K551*L551/2,2))),"")</f>
        <v/>
      </c>
      <c r="N551" s="61" t="str">
        <f aca="false">IF(IsPro,IF($D551="","",M551),"")</f>
        <v/>
      </c>
      <c r="O551" s="61" t="str">
        <f aca="false">IF(IsPro,IF($D551="","",IF(AND(R551&lt;&gt;"",INDEX(Parties!$E$5:$E$304,R551)&lt;&gt;"",INDEX(Parties!$E$5:$E$304,R551)&lt;&gt;HomeState),ROUND(K551*L551,2),0)),"")</f>
        <v/>
      </c>
      <c r="P551" s="61" t="str">
        <f aca="false">IF(IsPro,IF($D551="","",K551+M551+N551+O551),"")</f>
        <v/>
      </c>
      <c r="Q551" s="60" t="str">
        <f aca="false">IF(IsPro,IF($D551="","",IFERROR(MATCH($D551,Items!$A$5:$A$504,0),"")),"")</f>
        <v/>
      </c>
      <c r="R551" s="60" t="str">
        <f aca="false">IF(IsPro,IF($C551="","",IFERROR(MATCH($C551,Parties!$A$5:$A$304,0),"")),"")</f>
        <v/>
      </c>
      <c r="S551" s="61" t="str">
        <f aca="false">IF(IsPro,IF($D551="","",IF(OR($H551="",$H551="Credit"),0,P551)),"")</f>
        <v/>
      </c>
    </row>
    <row r="552" customFormat="false" ht="15" hidden="false" customHeight="false" outlineLevel="0" collapsed="false">
      <c r="A552" s="55"/>
      <c r="B552" s="56"/>
      <c r="C552" s="56"/>
      <c r="D552" s="56"/>
      <c r="E552" s="57"/>
      <c r="F552" s="58"/>
      <c r="G552" s="59"/>
      <c r="H552" s="56"/>
      <c r="I552" s="60" t="str">
        <f aca="false">IF(IsPro,IF($D552="","",IFERROR(INDEX(Items!$D$5:$D$504,Q552),"")),IF($D552="","","PRO PLAN"))</f>
        <v/>
      </c>
      <c r="J552" s="61" t="str">
        <f aca="false">IF(IsPro,IF($D552="","",IF($F552="",IFERROR(INDEX(Items!$G$5:$G$504,Q552),0),$F552)),"")</f>
        <v/>
      </c>
      <c r="K552" s="61" t="str">
        <f aca="false">IF(IsPro,IF($D552="","",ROUND(N($E552)*J552*(1-N($G552)),2)),"")</f>
        <v/>
      </c>
      <c r="L552" s="62" t="str">
        <f aca="false">IF(IsPro,IF($D552="","",IFERROR(INDEX(Items!$F$5:$F$504,Q552),0)),"")</f>
        <v/>
      </c>
      <c r="M552" s="61" t="str">
        <f aca="false">IF(IsPro,IF($D552="","",IF(AND(R552&lt;&gt;"",INDEX(Parties!$E$5:$E$304,R552)&lt;&gt;"",INDEX(Parties!$E$5:$E$304,R552)&lt;&gt;HomeState),0,ROUND(K552*L552/2,2))),"")</f>
        <v/>
      </c>
      <c r="N552" s="61" t="str">
        <f aca="false">IF(IsPro,IF($D552="","",M552),"")</f>
        <v/>
      </c>
      <c r="O552" s="61" t="str">
        <f aca="false">IF(IsPro,IF($D552="","",IF(AND(R552&lt;&gt;"",INDEX(Parties!$E$5:$E$304,R552)&lt;&gt;"",INDEX(Parties!$E$5:$E$304,R552)&lt;&gt;HomeState),ROUND(K552*L552,2),0)),"")</f>
        <v/>
      </c>
      <c r="P552" s="61" t="str">
        <f aca="false">IF(IsPro,IF($D552="","",K552+M552+N552+O552),"")</f>
        <v/>
      </c>
      <c r="Q552" s="60" t="str">
        <f aca="false">IF(IsPro,IF($D552="","",IFERROR(MATCH($D552,Items!$A$5:$A$504,0),"")),"")</f>
        <v/>
      </c>
      <c r="R552" s="60" t="str">
        <f aca="false">IF(IsPro,IF($C552="","",IFERROR(MATCH($C552,Parties!$A$5:$A$304,0),"")),"")</f>
        <v/>
      </c>
      <c r="S552" s="61" t="str">
        <f aca="false">IF(IsPro,IF($D552="","",IF(OR($H552="",$H552="Credit"),0,P552)),"")</f>
        <v/>
      </c>
    </row>
    <row r="553" customFormat="false" ht="15" hidden="false" customHeight="false" outlineLevel="0" collapsed="false">
      <c r="A553" s="55"/>
      <c r="B553" s="56"/>
      <c r="C553" s="56"/>
      <c r="D553" s="56"/>
      <c r="E553" s="57"/>
      <c r="F553" s="58"/>
      <c r="G553" s="59"/>
      <c r="H553" s="56"/>
      <c r="I553" s="60" t="str">
        <f aca="false">IF(IsPro,IF($D553="","",IFERROR(INDEX(Items!$D$5:$D$504,Q553),"")),IF($D553="","","PRO PLAN"))</f>
        <v/>
      </c>
      <c r="J553" s="61" t="str">
        <f aca="false">IF(IsPro,IF($D553="","",IF($F553="",IFERROR(INDEX(Items!$G$5:$G$504,Q553),0),$F553)),"")</f>
        <v/>
      </c>
      <c r="K553" s="61" t="str">
        <f aca="false">IF(IsPro,IF($D553="","",ROUND(N($E553)*J553*(1-N($G553)),2)),"")</f>
        <v/>
      </c>
      <c r="L553" s="62" t="str">
        <f aca="false">IF(IsPro,IF($D553="","",IFERROR(INDEX(Items!$F$5:$F$504,Q553),0)),"")</f>
        <v/>
      </c>
      <c r="M553" s="61" t="str">
        <f aca="false">IF(IsPro,IF($D553="","",IF(AND(R553&lt;&gt;"",INDEX(Parties!$E$5:$E$304,R553)&lt;&gt;"",INDEX(Parties!$E$5:$E$304,R553)&lt;&gt;HomeState),0,ROUND(K553*L553/2,2))),"")</f>
        <v/>
      </c>
      <c r="N553" s="61" t="str">
        <f aca="false">IF(IsPro,IF($D553="","",M553),"")</f>
        <v/>
      </c>
      <c r="O553" s="61" t="str">
        <f aca="false">IF(IsPro,IF($D553="","",IF(AND(R553&lt;&gt;"",INDEX(Parties!$E$5:$E$304,R553)&lt;&gt;"",INDEX(Parties!$E$5:$E$304,R553)&lt;&gt;HomeState),ROUND(K553*L553,2),0)),"")</f>
        <v/>
      </c>
      <c r="P553" s="61" t="str">
        <f aca="false">IF(IsPro,IF($D553="","",K553+M553+N553+O553),"")</f>
        <v/>
      </c>
      <c r="Q553" s="60" t="str">
        <f aca="false">IF(IsPro,IF($D553="","",IFERROR(MATCH($D553,Items!$A$5:$A$504,0),"")),"")</f>
        <v/>
      </c>
      <c r="R553" s="60" t="str">
        <f aca="false">IF(IsPro,IF($C553="","",IFERROR(MATCH($C553,Parties!$A$5:$A$304,0),"")),"")</f>
        <v/>
      </c>
      <c r="S553" s="61" t="str">
        <f aca="false">IF(IsPro,IF($D553="","",IF(OR($H553="",$H553="Credit"),0,P553)),"")</f>
        <v/>
      </c>
    </row>
    <row r="554" customFormat="false" ht="15" hidden="false" customHeight="false" outlineLevel="0" collapsed="false">
      <c r="A554" s="55"/>
      <c r="B554" s="56"/>
      <c r="C554" s="56"/>
      <c r="D554" s="56"/>
      <c r="E554" s="57"/>
      <c r="F554" s="58"/>
      <c r="G554" s="59"/>
      <c r="H554" s="56"/>
      <c r="I554" s="60" t="str">
        <f aca="false">IF(IsPro,IF($D554="","",IFERROR(INDEX(Items!$D$5:$D$504,Q554),"")),IF($D554="","","PRO PLAN"))</f>
        <v/>
      </c>
      <c r="J554" s="61" t="str">
        <f aca="false">IF(IsPro,IF($D554="","",IF($F554="",IFERROR(INDEX(Items!$G$5:$G$504,Q554),0),$F554)),"")</f>
        <v/>
      </c>
      <c r="K554" s="61" t="str">
        <f aca="false">IF(IsPro,IF($D554="","",ROUND(N($E554)*J554*(1-N($G554)),2)),"")</f>
        <v/>
      </c>
      <c r="L554" s="62" t="str">
        <f aca="false">IF(IsPro,IF($D554="","",IFERROR(INDEX(Items!$F$5:$F$504,Q554),0)),"")</f>
        <v/>
      </c>
      <c r="M554" s="61" t="str">
        <f aca="false">IF(IsPro,IF($D554="","",IF(AND(R554&lt;&gt;"",INDEX(Parties!$E$5:$E$304,R554)&lt;&gt;"",INDEX(Parties!$E$5:$E$304,R554)&lt;&gt;HomeState),0,ROUND(K554*L554/2,2))),"")</f>
        <v/>
      </c>
      <c r="N554" s="61" t="str">
        <f aca="false">IF(IsPro,IF($D554="","",M554),"")</f>
        <v/>
      </c>
      <c r="O554" s="61" t="str">
        <f aca="false">IF(IsPro,IF($D554="","",IF(AND(R554&lt;&gt;"",INDEX(Parties!$E$5:$E$304,R554)&lt;&gt;"",INDEX(Parties!$E$5:$E$304,R554)&lt;&gt;HomeState),ROUND(K554*L554,2),0)),"")</f>
        <v/>
      </c>
      <c r="P554" s="61" t="str">
        <f aca="false">IF(IsPro,IF($D554="","",K554+M554+N554+O554),"")</f>
        <v/>
      </c>
      <c r="Q554" s="60" t="str">
        <f aca="false">IF(IsPro,IF($D554="","",IFERROR(MATCH($D554,Items!$A$5:$A$504,0),"")),"")</f>
        <v/>
      </c>
      <c r="R554" s="60" t="str">
        <f aca="false">IF(IsPro,IF($C554="","",IFERROR(MATCH($C554,Parties!$A$5:$A$304,0),"")),"")</f>
        <v/>
      </c>
      <c r="S554" s="61" t="str">
        <f aca="false">IF(IsPro,IF($D554="","",IF(OR($H554="",$H554="Credit"),0,P554)),"")</f>
        <v/>
      </c>
    </row>
    <row r="555" customFormat="false" ht="15" hidden="false" customHeight="false" outlineLevel="0" collapsed="false">
      <c r="A555" s="55"/>
      <c r="B555" s="56"/>
      <c r="C555" s="56"/>
      <c r="D555" s="56"/>
      <c r="E555" s="57"/>
      <c r="F555" s="58"/>
      <c r="G555" s="59"/>
      <c r="H555" s="56"/>
      <c r="I555" s="60" t="str">
        <f aca="false">IF(IsPro,IF($D555="","",IFERROR(INDEX(Items!$D$5:$D$504,Q555),"")),IF($D555="","","PRO PLAN"))</f>
        <v/>
      </c>
      <c r="J555" s="61" t="str">
        <f aca="false">IF(IsPro,IF($D555="","",IF($F555="",IFERROR(INDEX(Items!$G$5:$G$504,Q555),0),$F555)),"")</f>
        <v/>
      </c>
      <c r="K555" s="61" t="str">
        <f aca="false">IF(IsPro,IF($D555="","",ROUND(N($E555)*J555*(1-N($G555)),2)),"")</f>
        <v/>
      </c>
      <c r="L555" s="62" t="str">
        <f aca="false">IF(IsPro,IF($D555="","",IFERROR(INDEX(Items!$F$5:$F$504,Q555),0)),"")</f>
        <v/>
      </c>
      <c r="M555" s="61" t="str">
        <f aca="false">IF(IsPro,IF($D555="","",IF(AND(R555&lt;&gt;"",INDEX(Parties!$E$5:$E$304,R555)&lt;&gt;"",INDEX(Parties!$E$5:$E$304,R555)&lt;&gt;HomeState),0,ROUND(K555*L555/2,2))),"")</f>
        <v/>
      </c>
      <c r="N555" s="61" t="str">
        <f aca="false">IF(IsPro,IF($D555="","",M555),"")</f>
        <v/>
      </c>
      <c r="O555" s="61" t="str">
        <f aca="false">IF(IsPro,IF($D555="","",IF(AND(R555&lt;&gt;"",INDEX(Parties!$E$5:$E$304,R555)&lt;&gt;"",INDEX(Parties!$E$5:$E$304,R555)&lt;&gt;HomeState),ROUND(K555*L555,2),0)),"")</f>
        <v/>
      </c>
      <c r="P555" s="61" t="str">
        <f aca="false">IF(IsPro,IF($D555="","",K555+M555+N555+O555),"")</f>
        <v/>
      </c>
      <c r="Q555" s="60" t="str">
        <f aca="false">IF(IsPro,IF($D555="","",IFERROR(MATCH($D555,Items!$A$5:$A$504,0),"")),"")</f>
        <v/>
      </c>
      <c r="R555" s="60" t="str">
        <f aca="false">IF(IsPro,IF($C555="","",IFERROR(MATCH($C555,Parties!$A$5:$A$304,0),"")),"")</f>
        <v/>
      </c>
      <c r="S555" s="61" t="str">
        <f aca="false">IF(IsPro,IF($D555="","",IF(OR($H555="",$H555="Credit"),0,P555)),"")</f>
        <v/>
      </c>
    </row>
    <row r="556" customFormat="false" ht="15" hidden="false" customHeight="false" outlineLevel="0" collapsed="false">
      <c r="A556" s="55"/>
      <c r="B556" s="56"/>
      <c r="C556" s="56"/>
      <c r="D556" s="56"/>
      <c r="E556" s="57"/>
      <c r="F556" s="58"/>
      <c r="G556" s="59"/>
      <c r="H556" s="56"/>
      <c r="I556" s="60" t="str">
        <f aca="false">IF(IsPro,IF($D556="","",IFERROR(INDEX(Items!$D$5:$D$504,Q556),"")),IF($D556="","","PRO PLAN"))</f>
        <v/>
      </c>
      <c r="J556" s="61" t="str">
        <f aca="false">IF(IsPro,IF($D556="","",IF($F556="",IFERROR(INDEX(Items!$G$5:$G$504,Q556),0),$F556)),"")</f>
        <v/>
      </c>
      <c r="K556" s="61" t="str">
        <f aca="false">IF(IsPro,IF($D556="","",ROUND(N($E556)*J556*(1-N($G556)),2)),"")</f>
        <v/>
      </c>
      <c r="L556" s="62" t="str">
        <f aca="false">IF(IsPro,IF($D556="","",IFERROR(INDEX(Items!$F$5:$F$504,Q556),0)),"")</f>
        <v/>
      </c>
      <c r="M556" s="61" t="str">
        <f aca="false">IF(IsPro,IF($D556="","",IF(AND(R556&lt;&gt;"",INDEX(Parties!$E$5:$E$304,R556)&lt;&gt;"",INDEX(Parties!$E$5:$E$304,R556)&lt;&gt;HomeState),0,ROUND(K556*L556/2,2))),"")</f>
        <v/>
      </c>
      <c r="N556" s="61" t="str">
        <f aca="false">IF(IsPro,IF($D556="","",M556),"")</f>
        <v/>
      </c>
      <c r="O556" s="61" t="str">
        <f aca="false">IF(IsPro,IF($D556="","",IF(AND(R556&lt;&gt;"",INDEX(Parties!$E$5:$E$304,R556)&lt;&gt;"",INDEX(Parties!$E$5:$E$304,R556)&lt;&gt;HomeState),ROUND(K556*L556,2),0)),"")</f>
        <v/>
      </c>
      <c r="P556" s="61" t="str">
        <f aca="false">IF(IsPro,IF($D556="","",K556+M556+N556+O556),"")</f>
        <v/>
      </c>
      <c r="Q556" s="60" t="str">
        <f aca="false">IF(IsPro,IF($D556="","",IFERROR(MATCH($D556,Items!$A$5:$A$504,0),"")),"")</f>
        <v/>
      </c>
      <c r="R556" s="60" t="str">
        <f aca="false">IF(IsPro,IF($C556="","",IFERROR(MATCH($C556,Parties!$A$5:$A$304,0),"")),"")</f>
        <v/>
      </c>
      <c r="S556" s="61" t="str">
        <f aca="false">IF(IsPro,IF($D556="","",IF(OR($H556="",$H556="Credit"),0,P556)),"")</f>
        <v/>
      </c>
    </row>
    <row r="557" customFormat="false" ht="15" hidden="false" customHeight="false" outlineLevel="0" collapsed="false">
      <c r="A557" s="55"/>
      <c r="B557" s="56"/>
      <c r="C557" s="56"/>
      <c r="D557" s="56"/>
      <c r="E557" s="57"/>
      <c r="F557" s="58"/>
      <c r="G557" s="59"/>
      <c r="H557" s="56"/>
      <c r="I557" s="60" t="str">
        <f aca="false">IF(IsPro,IF($D557="","",IFERROR(INDEX(Items!$D$5:$D$504,Q557),"")),IF($D557="","","PRO PLAN"))</f>
        <v/>
      </c>
      <c r="J557" s="61" t="str">
        <f aca="false">IF(IsPro,IF($D557="","",IF($F557="",IFERROR(INDEX(Items!$G$5:$G$504,Q557),0),$F557)),"")</f>
        <v/>
      </c>
      <c r="K557" s="61" t="str">
        <f aca="false">IF(IsPro,IF($D557="","",ROUND(N($E557)*J557*(1-N($G557)),2)),"")</f>
        <v/>
      </c>
      <c r="L557" s="62" t="str">
        <f aca="false">IF(IsPro,IF($D557="","",IFERROR(INDEX(Items!$F$5:$F$504,Q557),0)),"")</f>
        <v/>
      </c>
      <c r="M557" s="61" t="str">
        <f aca="false">IF(IsPro,IF($D557="","",IF(AND(R557&lt;&gt;"",INDEX(Parties!$E$5:$E$304,R557)&lt;&gt;"",INDEX(Parties!$E$5:$E$304,R557)&lt;&gt;HomeState),0,ROUND(K557*L557/2,2))),"")</f>
        <v/>
      </c>
      <c r="N557" s="61" t="str">
        <f aca="false">IF(IsPro,IF($D557="","",M557),"")</f>
        <v/>
      </c>
      <c r="O557" s="61" t="str">
        <f aca="false">IF(IsPro,IF($D557="","",IF(AND(R557&lt;&gt;"",INDEX(Parties!$E$5:$E$304,R557)&lt;&gt;"",INDEX(Parties!$E$5:$E$304,R557)&lt;&gt;HomeState),ROUND(K557*L557,2),0)),"")</f>
        <v/>
      </c>
      <c r="P557" s="61" t="str">
        <f aca="false">IF(IsPro,IF($D557="","",K557+M557+N557+O557),"")</f>
        <v/>
      </c>
      <c r="Q557" s="60" t="str">
        <f aca="false">IF(IsPro,IF($D557="","",IFERROR(MATCH($D557,Items!$A$5:$A$504,0),"")),"")</f>
        <v/>
      </c>
      <c r="R557" s="60" t="str">
        <f aca="false">IF(IsPro,IF($C557="","",IFERROR(MATCH($C557,Parties!$A$5:$A$304,0),"")),"")</f>
        <v/>
      </c>
      <c r="S557" s="61" t="str">
        <f aca="false">IF(IsPro,IF($D557="","",IF(OR($H557="",$H557="Credit"),0,P557)),"")</f>
        <v/>
      </c>
    </row>
    <row r="558" customFormat="false" ht="15" hidden="false" customHeight="false" outlineLevel="0" collapsed="false">
      <c r="A558" s="55"/>
      <c r="B558" s="56"/>
      <c r="C558" s="56"/>
      <c r="D558" s="56"/>
      <c r="E558" s="57"/>
      <c r="F558" s="58"/>
      <c r="G558" s="59"/>
      <c r="H558" s="56"/>
      <c r="I558" s="60" t="str">
        <f aca="false">IF(IsPro,IF($D558="","",IFERROR(INDEX(Items!$D$5:$D$504,Q558),"")),IF($D558="","","PRO PLAN"))</f>
        <v/>
      </c>
      <c r="J558" s="61" t="str">
        <f aca="false">IF(IsPro,IF($D558="","",IF($F558="",IFERROR(INDEX(Items!$G$5:$G$504,Q558),0),$F558)),"")</f>
        <v/>
      </c>
      <c r="K558" s="61" t="str">
        <f aca="false">IF(IsPro,IF($D558="","",ROUND(N($E558)*J558*(1-N($G558)),2)),"")</f>
        <v/>
      </c>
      <c r="L558" s="62" t="str">
        <f aca="false">IF(IsPro,IF($D558="","",IFERROR(INDEX(Items!$F$5:$F$504,Q558),0)),"")</f>
        <v/>
      </c>
      <c r="M558" s="61" t="str">
        <f aca="false">IF(IsPro,IF($D558="","",IF(AND(R558&lt;&gt;"",INDEX(Parties!$E$5:$E$304,R558)&lt;&gt;"",INDEX(Parties!$E$5:$E$304,R558)&lt;&gt;HomeState),0,ROUND(K558*L558/2,2))),"")</f>
        <v/>
      </c>
      <c r="N558" s="61" t="str">
        <f aca="false">IF(IsPro,IF($D558="","",M558),"")</f>
        <v/>
      </c>
      <c r="O558" s="61" t="str">
        <f aca="false">IF(IsPro,IF($D558="","",IF(AND(R558&lt;&gt;"",INDEX(Parties!$E$5:$E$304,R558)&lt;&gt;"",INDEX(Parties!$E$5:$E$304,R558)&lt;&gt;HomeState),ROUND(K558*L558,2),0)),"")</f>
        <v/>
      </c>
      <c r="P558" s="61" t="str">
        <f aca="false">IF(IsPro,IF($D558="","",K558+M558+N558+O558),"")</f>
        <v/>
      </c>
      <c r="Q558" s="60" t="str">
        <f aca="false">IF(IsPro,IF($D558="","",IFERROR(MATCH($D558,Items!$A$5:$A$504,0),"")),"")</f>
        <v/>
      </c>
      <c r="R558" s="60" t="str">
        <f aca="false">IF(IsPro,IF($C558="","",IFERROR(MATCH($C558,Parties!$A$5:$A$304,0),"")),"")</f>
        <v/>
      </c>
      <c r="S558" s="61" t="str">
        <f aca="false">IF(IsPro,IF($D558="","",IF(OR($H558="",$H558="Credit"),0,P558)),"")</f>
        <v/>
      </c>
    </row>
    <row r="559" customFormat="false" ht="15" hidden="false" customHeight="false" outlineLevel="0" collapsed="false">
      <c r="A559" s="55"/>
      <c r="B559" s="56"/>
      <c r="C559" s="56"/>
      <c r="D559" s="56"/>
      <c r="E559" s="57"/>
      <c r="F559" s="58"/>
      <c r="G559" s="59"/>
      <c r="H559" s="56"/>
      <c r="I559" s="60" t="str">
        <f aca="false">IF(IsPro,IF($D559="","",IFERROR(INDEX(Items!$D$5:$D$504,Q559),"")),IF($D559="","","PRO PLAN"))</f>
        <v/>
      </c>
      <c r="J559" s="61" t="str">
        <f aca="false">IF(IsPro,IF($D559="","",IF($F559="",IFERROR(INDEX(Items!$G$5:$G$504,Q559),0),$F559)),"")</f>
        <v/>
      </c>
      <c r="K559" s="61" t="str">
        <f aca="false">IF(IsPro,IF($D559="","",ROUND(N($E559)*J559*(1-N($G559)),2)),"")</f>
        <v/>
      </c>
      <c r="L559" s="62" t="str">
        <f aca="false">IF(IsPro,IF($D559="","",IFERROR(INDEX(Items!$F$5:$F$504,Q559),0)),"")</f>
        <v/>
      </c>
      <c r="M559" s="61" t="str">
        <f aca="false">IF(IsPro,IF($D559="","",IF(AND(R559&lt;&gt;"",INDEX(Parties!$E$5:$E$304,R559)&lt;&gt;"",INDEX(Parties!$E$5:$E$304,R559)&lt;&gt;HomeState),0,ROUND(K559*L559/2,2))),"")</f>
        <v/>
      </c>
      <c r="N559" s="61" t="str">
        <f aca="false">IF(IsPro,IF($D559="","",M559),"")</f>
        <v/>
      </c>
      <c r="O559" s="61" t="str">
        <f aca="false">IF(IsPro,IF($D559="","",IF(AND(R559&lt;&gt;"",INDEX(Parties!$E$5:$E$304,R559)&lt;&gt;"",INDEX(Parties!$E$5:$E$304,R559)&lt;&gt;HomeState),ROUND(K559*L559,2),0)),"")</f>
        <v/>
      </c>
      <c r="P559" s="61" t="str">
        <f aca="false">IF(IsPro,IF($D559="","",K559+M559+N559+O559),"")</f>
        <v/>
      </c>
      <c r="Q559" s="60" t="str">
        <f aca="false">IF(IsPro,IF($D559="","",IFERROR(MATCH($D559,Items!$A$5:$A$504,0),"")),"")</f>
        <v/>
      </c>
      <c r="R559" s="60" t="str">
        <f aca="false">IF(IsPro,IF($C559="","",IFERROR(MATCH($C559,Parties!$A$5:$A$304,0),"")),"")</f>
        <v/>
      </c>
      <c r="S559" s="61" t="str">
        <f aca="false">IF(IsPro,IF($D559="","",IF(OR($H559="",$H559="Credit"),0,P559)),"")</f>
        <v/>
      </c>
    </row>
    <row r="560" customFormat="false" ht="15" hidden="false" customHeight="false" outlineLevel="0" collapsed="false">
      <c r="A560" s="55"/>
      <c r="B560" s="56"/>
      <c r="C560" s="56"/>
      <c r="D560" s="56"/>
      <c r="E560" s="57"/>
      <c r="F560" s="58"/>
      <c r="G560" s="59"/>
      <c r="H560" s="56"/>
      <c r="I560" s="60" t="str">
        <f aca="false">IF(IsPro,IF($D560="","",IFERROR(INDEX(Items!$D$5:$D$504,Q560),"")),IF($D560="","","PRO PLAN"))</f>
        <v/>
      </c>
      <c r="J560" s="61" t="str">
        <f aca="false">IF(IsPro,IF($D560="","",IF($F560="",IFERROR(INDEX(Items!$G$5:$G$504,Q560),0),$F560)),"")</f>
        <v/>
      </c>
      <c r="K560" s="61" t="str">
        <f aca="false">IF(IsPro,IF($D560="","",ROUND(N($E560)*J560*(1-N($G560)),2)),"")</f>
        <v/>
      </c>
      <c r="L560" s="62" t="str">
        <f aca="false">IF(IsPro,IF($D560="","",IFERROR(INDEX(Items!$F$5:$F$504,Q560),0)),"")</f>
        <v/>
      </c>
      <c r="M560" s="61" t="str">
        <f aca="false">IF(IsPro,IF($D560="","",IF(AND(R560&lt;&gt;"",INDEX(Parties!$E$5:$E$304,R560)&lt;&gt;"",INDEX(Parties!$E$5:$E$304,R560)&lt;&gt;HomeState),0,ROUND(K560*L560/2,2))),"")</f>
        <v/>
      </c>
      <c r="N560" s="61" t="str">
        <f aca="false">IF(IsPro,IF($D560="","",M560),"")</f>
        <v/>
      </c>
      <c r="O560" s="61" t="str">
        <f aca="false">IF(IsPro,IF($D560="","",IF(AND(R560&lt;&gt;"",INDEX(Parties!$E$5:$E$304,R560)&lt;&gt;"",INDEX(Parties!$E$5:$E$304,R560)&lt;&gt;HomeState),ROUND(K560*L560,2),0)),"")</f>
        <v/>
      </c>
      <c r="P560" s="61" t="str">
        <f aca="false">IF(IsPro,IF($D560="","",K560+M560+N560+O560),"")</f>
        <v/>
      </c>
      <c r="Q560" s="60" t="str">
        <f aca="false">IF(IsPro,IF($D560="","",IFERROR(MATCH($D560,Items!$A$5:$A$504,0),"")),"")</f>
        <v/>
      </c>
      <c r="R560" s="60" t="str">
        <f aca="false">IF(IsPro,IF($C560="","",IFERROR(MATCH($C560,Parties!$A$5:$A$304,0),"")),"")</f>
        <v/>
      </c>
      <c r="S560" s="61" t="str">
        <f aca="false">IF(IsPro,IF($D560="","",IF(OR($H560="",$H560="Credit"),0,P560)),"")</f>
        <v/>
      </c>
    </row>
    <row r="561" customFormat="false" ht="15" hidden="false" customHeight="false" outlineLevel="0" collapsed="false">
      <c r="A561" s="55"/>
      <c r="B561" s="56"/>
      <c r="C561" s="56"/>
      <c r="D561" s="56"/>
      <c r="E561" s="57"/>
      <c r="F561" s="58"/>
      <c r="G561" s="59"/>
      <c r="H561" s="56"/>
      <c r="I561" s="60" t="str">
        <f aca="false">IF(IsPro,IF($D561="","",IFERROR(INDEX(Items!$D$5:$D$504,Q561),"")),IF($D561="","","PRO PLAN"))</f>
        <v/>
      </c>
      <c r="J561" s="61" t="str">
        <f aca="false">IF(IsPro,IF($D561="","",IF($F561="",IFERROR(INDEX(Items!$G$5:$G$504,Q561),0),$F561)),"")</f>
        <v/>
      </c>
      <c r="K561" s="61" t="str">
        <f aca="false">IF(IsPro,IF($D561="","",ROUND(N($E561)*J561*(1-N($G561)),2)),"")</f>
        <v/>
      </c>
      <c r="L561" s="62" t="str">
        <f aca="false">IF(IsPro,IF($D561="","",IFERROR(INDEX(Items!$F$5:$F$504,Q561),0)),"")</f>
        <v/>
      </c>
      <c r="M561" s="61" t="str">
        <f aca="false">IF(IsPro,IF($D561="","",IF(AND(R561&lt;&gt;"",INDEX(Parties!$E$5:$E$304,R561)&lt;&gt;"",INDEX(Parties!$E$5:$E$304,R561)&lt;&gt;HomeState),0,ROUND(K561*L561/2,2))),"")</f>
        <v/>
      </c>
      <c r="N561" s="61" t="str">
        <f aca="false">IF(IsPro,IF($D561="","",M561),"")</f>
        <v/>
      </c>
      <c r="O561" s="61" t="str">
        <f aca="false">IF(IsPro,IF($D561="","",IF(AND(R561&lt;&gt;"",INDEX(Parties!$E$5:$E$304,R561)&lt;&gt;"",INDEX(Parties!$E$5:$E$304,R561)&lt;&gt;HomeState),ROUND(K561*L561,2),0)),"")</f>
        <v/>
      </c>
      <c r="P561" s="61" t="str">
        <f aca="false">IF(IsPro,IF($D561="","",K561+M561+N561+O561),"")</f>
        <v/>
      </c>
      <c r="Q561" s="60" t="str">
        <f aca="false">IF(IsPro,IF($D561="","",IFERROR(MATCH($D561,Items!$A$5:$A$504,0),"")),"")</f>
        <v/>
      </c>
      <c r="R561" s="60" t="str">
        <f aca="false">IF(IsPro,IF($C561="","",IFERROR(MATCH($C561,Parties!$A$5:$A$304,0),"")),"")</f>
        <v/>
      </c>
      <c r="S561" s="61" t="str">
        <f aca="false">IF(IsPro,IF($D561="","",IF(OR($H561="",$H561="Credit"),0,P561)),"")</f>
        <v/>
      </c>
    </row>
    <row r="562" customFormat="false" ht="15" hidden="false" customHeight="false" outlineLevel="0" collapsed="false">
      <c r="A562" s="55"/>
      <c r="B562" s="56"/>
      <c r="C562" s="56"/>
      <c r="D562" s="56"/>
      <c r="E562" s="57"/>
      <c r="F562" s="58"/>
      <c r="G562" s="59"/>
      <c r="H562" s="56"/>
      <c r="I562" s="60" t="str">
        <f aca="false">IF(IsPro,IF($D562="","",IFERROR(INDEX(Items!$D$5:$D$504,Q562),"")),IF($D562="","","PRO PLAN"))</f>
        <v/>
      </c>
      <c r="J562" s="61" t="str">
        <f aca="false">IF(IsPro,IF($D562="","",IF($F562="",IFERROR(INDEX(Items!$G$5:$G$504,Q562),0),$F562)),"")</f>
        <v/>
      </c>
      <c r="K562" s="61" t="str">
        <f aca="false">IF(IsPro,IF($D562="","",ROUND(N($E562)*J562*(1-N($G562)),2)),"")</f>
        <v/>
      </c>
      <c r="L562" s="62" t="str">
        <f aca="false">IF(IsPro,IF($D562="","",IFERROR(INDEX(Items!$F$5:$F$504,Q562),0)),"")</f>
        <v/>
      </c>
      <c r="M562" s="61" t="str">
        <f aca="false">IF(IsPro,IF($D562="","",IF(AND(R562&lt;&gt;"",INDEX(Parties!$E$5:$E$304,R562)&lt;&gt;"",INDEX(Parties!$E$5:$E$304,R562)&lt;&gt;HomeState),0,ROUND(K562*L562/2,2))),"")</f>
        <v/>
      </c>
      <c r="N562" s="61" t="str">
        <f aca="false">IF(IsPro,IF($D562="","",M562),"")</f>
        <v/>
      </c>
      <c r="O562" s="61" t="str">
        <f aca="false">IF(IsPro,IF($D562="","",IF(AND(R562&lt;&gt;"",INDEX(Parties!$E$5:$E$304,R562)&lt;&gt;"",INDEX(Parties!$E$5:$E$304,R562)&lt;&gt;HomeState),ROUND(K562*L562,2),0)),"")</f>
        <v/>
      </c>
      <c r="P562" s="61" t="str">
        <f aca="false">IF(IsPro,IF($D562="","",K562+M562+N562+O562),"")</f>
        <v/>
      </c>
      <c r="Q562" s="60" t="str">
        <f aca="false">IF(IsPro,IF($D562="","",IFERROR(MATCH($D562,Items!$A$5:$A$504,0),"")),"")</f>
        <v/>
      </c>
      <c r="R562" s="60" t="str">
        <f aca="false">IF(IsPro,IF($C562="","",IFERROR(MATCH($C562,Parties!$A$5:$A$304,0),"")),"")</f>
        <v/>
      </c>
      <c r="S562" s="61" t="str">
        <f aca="false">IF(IsPro,IF($D562="","",IF(OR($H562="",$H562="Credit"),0,P562)),"")</f>
        <v/>
      </c>
    </row>
    <row r="563" customFormat="false" ht="15" hidden="false" customHeight="false" outlineLevel="0" collapsed="false">
      <c r="A563" s="55"/>
      <c r="B563" s="56"/>
      <c r="C563" s="56"/>
      <c r="D563" s="56"/>
      <c r="E563" s="57"/>
      <c r="F563" s="58"/>
      <c r="G563" s="59"/>
      <c r="H563" s="56"/>
      <c r="I563" s="60" t="str">
        <f aca="false">IF(IsPro,IF($D563="","",IFERROR(INDEX(Items!$D$5:$D$504,Q563),"")),IF($D563="","","PRO PLAN"))</f>
        <v/>
      </c>
      <c r="J563" s="61" t="str">
        <f aca="false">IF(IsPro,IF($D563="","",IF($F563="",IFERROR(INDEX(Items!$G$5:$G$504,Q563),0),$F563)),"")</f>
        <v/>
      </c>
      <c r="K563" s="61" t="str">
        <f aca="false">IF(IsPro,IF($D563="","",ROUND(N($E563)*J563*(1-N($G563)),2)),"")</f>
        <v/>
      </c>
      <c r="L563" s="62" t="str">
        <f aca="false">IF(IsPro,IF($D563="","",IFERROR(INDEX(Items!$F$5:$F$504,Q563),0)),"")</f>
        <v/>
      </c>
      <c r="M563" s="61" t="str">
        <f aca="false">IF(IsPro,IF($D563="","",IF(AND(R563&lt;&gt;"",INDEX(Parties!$E$5:$E$304,R563)&lt;&gt;"",INDEX(Parties!$E$5:$E$304,R563)&lt;&gt;HomeState),0,ROUND(K563*L563/2,2))),"")</f>
        <v/>
      </c>
      <c r="N563" s="61" t="str">
        <f aca="false">IF(IsPro,IF($D563="","",M563),"")</f>
        <v/>
      </c>
      <c r="O563" s="61" t="str">
        <f aca="false">IF(IsPro,IF($D563="","",IF(AND(R563&lt;&gt;"",INDEX(Parties!$E$5:$E$304,R563)&lt;&gt;"",INDEX(Parties!$E$5:$E$304,R563)&lt;&gt;HomeState),ROUND(K563*L563,2),0)),"")</f>
        <v/>
      </c>
      <c r="P563" s="61" t="str">
        <f aca="false">IF(IsPro,IF($D563="","",K563+M563+N563+O563),"")</f>
        <v/>
      </c>
      <c r="Q563" s="60" t="str">
        <f aca="false">IF(IsPro,IF($D563="","",IFERROR(MATCH($D563,Items!$A$5:$A$504,0),"")),"")</f>
        <v/>
      </c>
      <c r="R563" s="60" t="str">
        <f aca="false">IF(IsPro,IF($C563="","",IFERROR(MATCH($C563,Parties!$A$5:$A$304,0),"")),"")</f>
        <v/>
      </c>
      <c r="S563" s="61" t="str">
        <f aca="false">IF(IsPro,IF($D563="","",IF(OR($H563="",$H563="Credit"),0,P563)),"")</f>
        <v/>
      </c>
    </row>
    <row r="564" customFormat="false" ht="15" hidden="false" customHeight="false" outlineLevel="0" collapsed="false">
      <c r="A564" s="55"/>
      <c r="B564" s="56"/>
      <c r="C564" s="56"/>
      <c r="D564" s="56"/>
      <c r="E564" s="57"/>
      <c r="F564" s="58"/>
      <c r="G564" s="59"/>
      <c r="H564" s="56"/>
      <c r="I564" s="60" t="str">
        <f aca="false">IF(IsPro,IF($D564="","",IFERROR(INDEX(Items!$D$5:$D$504,Q564),"")),IF($D564="","","PRO PLAN"))</f>
        <v/>
      </c>
      <c r="J564" s="61" t="str">
        <f aca="false">IF(IsPro,IF($D564="","",IF($F564="",IFERROR(INDEX(Items!$G$5:$G$504,Q564),0),$F564)),"")</f>
        <v/>
      </c>
      <c r="K564" s="61" t="str">
        <f aca="false">IF(IsPro,IF($D564="","",ROUND(N($E564)*J564*(1-N($G564)),2)),"")</f>
        <v/>
      </c>
      <c r="L564" s="62" t="str">
        <f aca="false">IF(IsPro,IF($D564="","",IFERROR(INDEX(Items!$F$5:$F$504,Q564),0)),"")</f>
        <v/>
      </c>
      <c r="M564" s="61" t="str">
        <f aca="false">IF(IsPro,IF($D564="","",IF(AND(R564&lt;&gt;"",INDEX(Parties!$E$5:$E$304,R564)&lt;&gt;"",INDEX(Parties!$E$5:$E$304,R564)&lt;&gt;HomeState),0,ROUND(K564*L564/2,2))),"")</f>
        <v/>
      </c>
      <c r="N564" s="61" t="str">
        <f aca="false">IF(IsPro,IF($D564="","",M564),"")</f>
        <v/>
      </c>
      <c r="O564" s="61" t="str">
        <f aca="false">IF(IsPro,IF($D564="","",IF(AND(R564&lt;&gt;"",INDEX(Parties!$E$5:$E$304,R564)&lt;&gt;"",INDEX(Parties!$E$5:$E$304,R564)&lt;&gt;HomeState),ROUND(K564*L564,2),0)),"")</f>
        <v/>
      </c>
      <c r="P564" s="61" t="str">
        <f aca="false">IF(IsPro,IF($D564="","",K564+M564+N564+O564),"")</f>
        <v/>
      </c>
      <c r="Q564" s="60" t="str">
        <f aca="false">IF(IsPro,IF($D564="","",IFERROR(MATCH($D564,Items!$A$5:$A$504,0),"")),"")</f>
        <v/>
      </c>
      <c r="R564" s="60" t="str">
        <f aca="false">IF(IsPro,IF($C564="","",IFERROR(MATCH($C564,Parties!$A$5:$A$304,0),"")),"")</f>
        <v/>
      </c>
      <c r="S564" s="61" t="str">
        <f aca="false">IF(IsPro,IF($D564="","",IF(OR($H564="",$H564="Credit"),0,P564)),"")</f>
        <v/>
      </c>
    </row>
    <row r="565" customFormat="false" ht="15" hidden="false" customHeight="false" outlineLevel="0" collapsed="false">
      <c r="A565" s="55"/>
      <c r="B565" s="56"/>
      <c r="C565" s="56"/>
      <c r="D565" s="56"/>
      <c r="E565" s="57"/>
      <c r="F565" s="58"/>
      <c r="G565" s="59"/>
      <c r="H565" s="56"/>
      <c r="I565" s="60" t="str">
        <f aca="false">IF(IsPro,IF($D565="","",IFERROR(INDEX(Items!$D$5:$D$504,Q565),"")),IF($D565="","","PRO PLAN"))</f>
        <v/>
      </c>
      <c r="J565" s="61" t="str">
        <f aca="false">IF(IsPro,IF($D565="","",IF($F565="",IFERROR(INDEX(Items!$G$5:$G$504,Q565),0),$F565)),"")</f>
        <v/>
      </c>
      <c r="K565" s="61" t="str">
        <f aca="false">IF(IsPro,IF($D565="","",ROUND(N($E565)*J565*(1-N($G565)),2)),"")</f>
        <v/>
      </c>
      <c r="L565" s="62" t="str">
        <f aca="false">IF(IsPro,IF($D565="","",IFERROR(INDEX(Items!$F$5:$F$504,Q565),0)),"")</f>
        <v/>
      </c>
      <c r="M565" s="61" t="str">
        <f aca="false">IF(IsPro,IF($D565="","",IF(AND(R565&lt;&gt;"",INDEX(Parties!$E$5:$E$304,R565)&lt;&gt;"",INDEX(Parties!$E$5:$E$304,R565)&lt;&gt;HomeState),0,ROUND(K565*L565/2,2))),"")</f>
        <v/>
      </c>
      <c r="N565" s="61" t="str">
        <f aca="false">IF(IsPro,IF($D565="","",M565),"")</f>
        <v/>
      </c>
      <c r="O565" s="61" t="str">
        <f aca="false">IF(IsPro,IF($D565="","",IF(AND(R565&lt;&gt;"",INDEX(Parties!$E$5:$E$304,R565)&lt;&gt;"",INDEX(Parties!$E$5:$E$304,R565)&lt;&gt;HomeState),ROUND(K565*L565,2),0)),"")</f>
        <v/>
      </c>
      <c r="P565" s="61" t="str">
        <f aca="false">IF(IsPro,IF($D565="","",K565+M565+N565+O565),"")</f>
        <v/>
      </c>
      <c r="Q565" s="60" t="str">
        <f aca="false">IF(IsPro,IF($D565="","",IFERROR(MATCH($D565,Items!$A$5:$A$504,0),"")),"")</f>
        <v/>
      </c>
      <c r="R565" s="60" t="str">
        <f aca="false">IF(IsPro,IF($C565="","",IFERROR(MATCH($C565,Parties!$A$5:$A$304,0),"")),"")</f>
        <v/>
      </c>
      <c r="S565" s="61" t="str">
        <f aca="false">IF(IsPro,IF($D565="","",IF(OR($H565="",$H565="Credit"),0,P565)),"")</f>
        <v/>
      </c>
    </row>
    <row r="566" customFormat="false" ht="15" hidden="false" customHeight="false" outlineLevel="0" collapsed="false">
      <c r="A566" s="55"/>
      <c r="B566" s="56"/>
      <c r="C566" s="56"/>
      <c r="D566" s="56"/>
      <c r="E566" s="57"/>
      <c r="F566" s="58"/>
      <c r="G566" s="59"/>
      <c r="H566" s="56"/>
      <c r="I566" s="60" t="str">
        <f aca="false">IF(IsPro,IF($D566="","",IFERROR(INDEX(Items!$D$5:$D$504,Q566),"")),IF($D566="","","PRO PLAN"))</f>
        <v/>
      </c>
      <c r="J566" s="61" t="str">
        <f aca="false">IF(IsPro,IF($D566="","",IF($F566="",IFERROR(INDEX(Items!$G$5:$G$504,Q566),0),$F566)),"")</f>
        <v/>
      </c>
      <c r="K566" s="61" t="str">
        <f aca="false">IF(IsPro,IF($D566="","",ROUND(N($E566)*J566*(1-N($G566)),2)),"")</f>
        <v/>
      </c>
      <c r="L566" s="62" t="str">
        <f aca="false">IF(IsPro,IF($D566="","",IFERROR(INDEX(Items!$F$5:$F$504,Q566),0)),"")</f>
        <v/>
      </c>
      <c r="M566" s="61" t="str">
        <f aca="false">IF(IsPro,IF($D566="","",IF(AND(R566&lt;&gt;"",INDEX(Parties!$E$5:$E$304,R566)&lt;&gt;"",INDEX(Parties!$E$5:$E$304,R566)&lt;&gt;HomeState),0,ROUND(K566*L566/2,2))),"")</f>
        <v/>
      </c>
      <c r="N566" s="61" t="str">
        <f aca="false">IF(IsPro,IF($D566="","",M566),"")</f>
        <v/>
      </c>
      <c r="O566" s="61" t="str">
        <f aca="false">IF(IsPro,IF($D566="","",IF(AND(R566&lt;&gt;"",INDEX(Parties!$E$5:$E$304,R566)&lt;&gt;"",INDEX(Parties!$E$5:$E$304,R566)&lt;&gt;HomeState),ROUND(K566*L566,2),0)),"")</f>
        <v/>
      </c>
      <c r="P566" s="61" t="str">
        <f aca="false">IF(IsPro,IF($D566="","",K566+M566+N566+O566),"")</f>
        <v/>
      </c>
      <c r="Q566" s="60" t="str">
        <f aca="false">IF(IsPro,IF($D566="","",IFERROR(MATCH($D566,Items!$A$5:$A$504,0),"")),"")</f>
        <v/>
      </c>
      <c r="R566" s="60" t="str">
        <f aca="false">IF(IsPro,IF($C566="","",IFERROR(MATCH($C566,Parties!$A$5:$A$304,0),"")),"")</f>
        <v/>
      </c>
      <c r="S566" s="61" t="str">
        <f aca="false">IF(IsPro,IF($D566="","",IF(OR($H566="",$H566="Credit"),0,P566)),"")</f>
        <v/>
      </c>
    </row>
    <row r="567" customFormat="false" ht="15" hidden="false" customHeight="false" outlineLevel="0" collapsed="false">
      <c r="A567" s="55"/>
      <c r="B567" s="56"/>
      <c r="C567" s="56"/>
      <c r="D567" s="56"/>
      <c r="E567" s="57"/>
      <c r="F567" s="58"/>
      <c r="G567" s="59"/>
      <c r="H567" s="56"/>
      <c r="I567" s="60" t="str">
        <f aca="false">IF(IsPro,IF($D567="","",IFERROR(INDEX(Items!$D$5:$D$504,Q567),"")),IF($D567="","","PRO PLAN"))</f>
        <v/>
      </c>
      <c r="J567" s="61" t="str">
        <f aca="false">IF(IsPro,IF($D567="","",IF($F567="",IFERROR(INDEX(Items!$G$5:$G$504,Q567),0),$F567)),"")</f>
        <v/>
      </c>
      <c r="K567" s="61" t="str">
        <f aca="false">IF(IsPro,IF($D567="","",ROUND(N($E567)*J567*(1-N($G567)),2)),"")</f>
        <v/>
      </c>
      <c r="L567" s="62" t="str">
        <f aca="false">IF(IsPro,IF($D567="","",IFERROR(INDEX(Items!$F$5:$F$504,Q567),0)),"")</f>
        <v/>
      </c>
      <c r="M567" s="61" t="str">
        <f aca="false">IF(IsPro,IF($D567="","",IF(AND(R567&lt;&gt;"",INDEX(Parties!$E$5:$E$304,R567)&lt;&gt;"",INDEX(Parties!$E$5:$E$304,R567)&lt;&gt;HomeState),0,ROUND(K567*L567/2,2))),"")</f>
        <v/>
      </c>
      <c r="N567" s="61" t="str">
        <f aca="false">IF(IsPro,IF($D567="","",M567),"")</f>
        <v/>
      </c>
      <c r="O567" s="61" t="str">
        <f aca="false">IF(IsPro,IF($D567="","",IF(AND(R567&lt;&gt;"",INDEX(Parties!$E$5:$E$304,R567)&lt;&gt;"",INDEX(Parties!$E$5:$E$304,R567)&lt;&gt;HomeState),ROUND(K567*L567,2),0)),"")</f>
        <v/>
      </c>
      <c r="P567" s="61" t="str">
        <f aca="false">IF(IsPro,IF($D567="","",K567+M567+N567+O567),"")</f>
        <v/>
      </c>
      <c r="Q567" s="60" t="str">
        <f aca="false">IF(IsPro,IF($D567="","",IFERROR(MATCH($D567,Items!$A$5:$A$504,0),"")),"")</f>
        <v/>
      </c>
      <c r="R567" s="60" t="str">
        <f aca="false">IF(IsPro,IF($C567="","",IFERROR(MATCH($C567,Parties!$A$5:$A$304,0),"")),"")</f>
        <v/>
      </c>
      <c r="S567" s="61" t="str">
        <f aca="false">IF(IsPro,IF($D567="","",IF(OR($H567="",$H567="Credit"),0,P567)),"")</f>
        <v/>
      </c>
    </row>
    <row r="568" customFormat="false" ht="15" hidden="false" customHeight="false" outlineLevel="0" collapsed="false">
      <c r="A568" s="55"/>
      <c r="B568" s="56"/>
      <c r="C568" s="56"/>
      <c r="D568" s="56"/>
      <c r="E568" s="57"/>
      <c r="F568" s="58"/>
      <c r="G568" s="59"/>
      <c r="H568" s="56"/>
      <c r="I568" s="60" t="str">
        <f aca="false">IF(IsPro,IF($D568="","",IFERROR(INDEX(Items!$D$5:$D$504,Q568),"")),IF($D568="","","PRO PLAN"))</f>
        <v/>
      </c>
      <c r="J568" s="61" t="str">
        <f aca="false">IF(IsPro,IF($D568="","",IF($F568="",IFERROR(INDEX(Items!$G$5:$G$504,Q568),0),$F568)),"")</f>
        <v/>
      </c>
      <c r="K568" s="61" t="str">
        <f aca="false">IF(IsPro,IF($D568="","",ROUND(N($E568)*J568*(1-N($G568)),2)),"")</f>
        <v/>
      </c>
      <c r="L568" s="62" t="str">
        <f aca="false">IF(IsPro,IF($D568="","",IFERROR(INDEX(Items!$F$5:$F$504,Q568),0)),"")</f>
        <v/>
      </c>
      <c r="M568" s="61" t="str">
        <f aca="false">IF(IsPro,IF($D568="","",IF(AND(R568&lt;&gt;"",INDEX(Parties!$E$5:$E$304,R568)&lt;&gt;"",INDEX(Parties!$E$5:$E$304,R568)&lt;&gt;HomeState),0,ROUND(K568*L568/2,2))),"")</f>
        <v/>
      </c>
      <c r="N568" s="61" t="str">
        <f aca="false">IF(IsPro,IF($D568="","",M568),"")</f>
        <v/>
      </c>
      <c r="O568" s="61" t="str">
        <f aca="false">IF(IsPro,IF($D568="","",IF(AND(R568&lt;&gt;"",INDEX(Parties!$E$5:$E$304,R568)&lt;&gt;"",INDEX(Parties!$E$5:$E$304,R568)&lt;&gt;HomeState),ROUND(K568*L568,2),0)),"")</f>
        <v/>
      </c>
      <c r="P568" s="61" t="str">
        <f aca="false">IF(IsPro,IF($D568="","",K568+M568+N568+O568),"")</f>
        <v/>
      </c>
      <c r="Q568" s="60" t="str">
        <f aca="false">IF(IsPro,IF($D568="","",IFERROR(MATCH($D568,Items!$A$5:$A$504,0),"")),"")</f>
        <v/>
      </c>
      <c r="R568" s="60" t="str">
        <f aca="false">IF(IsPro,IF($C568="","",IFERROR(MATCH($C568,Parties!$A$5:$A$304,0),"")),"")</f>
        <v/>
      </c>
      <c r="S568" s="61" t="str">
        <f aca="false">IF(IsPro,IF($D568="","",IF(OR($H568="",$H568="Credit"),0,P568)),"")</f>
        <v/>
      </c>
    </row>
    <row r="569" customFormat="false" ht="15" hidden="false" customHeight="false" outlineLevel="0" collapsed="false">
      <c r="A569" s="55"/>
      <c r="B569" s="56"/>
      <c r="C569" s="56"/>
      <c r="D569" s="56"/>
      <c r="E569" s="57"/>
      <c r="F569" s="58"/>
      <c r="G569" s="59"/>
      <c r="H569" s="56"/>
      <c r="I569" s="60" t="str">
        <f aca="false">IF(IsPro,IF($D569="","",IFERROR(INDEX(Items!$D$5:$D$504,Q569),"")),IF($D569="","","PRO PLAN"))</f>
        <v/>
      </c>
      <c r="J569" s="61" t="str">
        <f aca="false">IF(IsPro,IF($D569="","",IF($F569="",IFERROR(INDEX(Items!$G$5:$G$504,Q569),0),$F569)),"")</f>
        <v/>
      </c>
      <c r="K569" s="61" t="str">
        <f aca="false">IF(IsPro,IF($D569="","",ROUND(N($E569)*J569*(1-N($G569)),2)),"")</f>
        <v/>
      </c>
      <c r="L569" s="62" t="str">
        <f aca="false">IF(IsPro,IF($D569="","",IFERROR(INDEX(Items!$F$5:$F$504,Q569),0)),"")</f>
        <v/>
      </c>
      <c r="M569" s="61" t="str">
        <f aca="false">IF(IsPro,IF($D569="","",IF(AND(R569&lt;&gt;"",INDEX(Parties!$E$5:$E$304,R569)&lt;&gt;"",INDEX(Parties!$E$5:$E$304,R569)&lt;&gt;HomeState),0,ROUND(K569*L569/2,2))),"")</f>
        <v/>
      </c>
      <c r="N569" s="61" t="str">
        <f aca="false">IF(IsPro,IF($D569="","",M569),"")</f>
        <v/>
      </c>
      <c r="O569" s="61" t="str">
        <f aca="false">IF(IsPro,IF($D569="","",IF(AND(R569&lt;&gt;"",INDEX(Parties!$E$5:$E$304,R569)&lt;&gt;"",INDEX(Parties!$E$5:$E$304,R569)&lt;&gt;HomeState),ROUND(K569*L569,2),0)),"")</f>
        <v/>
      </c>
      <c r="P569" s="61" t="str">
        <f aca="false">IF(IsPro,IF($D569="","",K569+M569+N569+O569),"")</f>
        <v/>
      </c>
      <c r="Q569" s="60" t="str">
        <f aca="false">IF(IsPro,IF($D569="","",IFERROR(MATCH($D569,Items!$A$5:$A$504,0),"")),"")</f>
        <v/>
      </c>
      <c r="R569" s="60" t="str">
        <f aca="false">IF(IsPro,IF($C569="","",IFERROR(MATCH($C569,Parties!$A$5:$A$304,0),"")),"")</f>
        <v/>
      </c>
      <c r="S569" s="61" t="str">
        <f aca="false">IF(IsPro,IF($D569="","",IF(OR($H569="",$H569="Credit"),0,P569)),"")</f>
        <v/>
      </c>
    </row>
    <row r="570" customFormat="false" ht="15" hidden="false" customHeight="false" outlineLevel="0" collapsed="false">
      <c r="A570" s="55"/>
      <c r="B570" s="56"/>
      <c r="C570" s="56"/>
      <c r="D570" s="56"/>
      <c r="E570" s="57"/>
      <c r="F570" s="58"/>
      <c r="G570" s="59"/>
      <c r="H570" s="56"/>
      <c r="I570" s="60" t="str">
        <f aca="false">IF(IsPro,IF($D570="","",IFERROR(INDEX(Items!$D$5:$D$504,Q570),"")),IF($D570="","","PRO PLAN"))</f>
        <v/>
      </c>
      <c r="J570" s="61" t="str">
        <f aca="false">IF(IsPro,IF($D570="","",IF($F570="",IFERROR(INDEX(Items!$G$5:$G$504,Q570),0),$F570)),"")</f>
        <v/>
      </c>
      <c r="K570" s="61" t="str">
        <f aca="false">IF(IsPro,IF($D570="","",ROUND(N($E570)*J570*(1-N($G570)),2)),"")</f>
        <v/>
      </c>
      <c r="L570" s="62" t="str">
        <f aca="false">IF(IsPro,IF($D570="","",IFERROR(INDEX(Items!$F$5:$F$504,Q570),0)),"")</f>
        <v/>
      </c>
      <c r="M570" s="61" t="str">
        <f aca="false">IF(IsPro,IF($D570="","",IF(AND(R570&lt;&gt;"",INDEX(Parties!$E$5:$E$304,R570)&lt;&gt;"",INDEX(Parties!$E$5:$E$304,R570)&lt;&gt;HomeState),0,ROUND(K570*L570/2,2))),"")</f>
        <v/>
      </c>
      <c r="N570" s="61" t="str">
        <f aca="false">IF(IsPro,IF($D570="","",M570),"")</f>
        <v/>
      </c>
      <c r="O570" s="61" t="str">
        <f aca="false">IF(IsPro,IF($D570="","",IF(AND(R570&lt;&gt;"",INDEX(Parties!$E$5:$E$304,R570)&lt;&gt;"",INDEX(Parties!$E$5:$E$304,R570)&lt;&gt;HomeState),ROUND(K570*L570,2),0)),"")</f>
        <v/>
      </c>
      <c r="P570" s="61" t="str">
        <f aca="false">IF(IsPro,IF($D570="","",K570+M570+N570+O570),"")</f>
        <v/>
      </c>
      <c r="Q570" s="60" t="str">
        <f aca="false">IF(IsPro,IF($D570="","",IFERROR(MATCH($D570,Items!$A$5:$A$504,0),"")),"")</f>
        <v/>
      </c>
      <c r="R570" s="60" t="str">
        <f aca="false">IF(IsPro,IF($C570="","",IFERROR(MATCH($C570,Parties!$A$5:$A$304,0),"")),"")</f>
        <v/>
      </c>
      <c r="S570" s="61" t="str">
        <f aca="false">IF(IsPro,IF($D570="","",IF(OR($H570="",$H570="Credit"),0,P570)),"")</f>
        <v/>
      </c>
    </row>
    <row r="571" customFormat="false" ht="15" hidden="false" customHeight="false" outlineLevel="0" collapsed="false">
      <c r="A571" s="55"/>
      <c r="B571" s="56"/>
      <c r="C571" s="56"/>
      <c r="D571" s="56"/>
      <c r="E571" s="57"/>
      <c r="F571" s="58"/>
      <c r="G571" s="59"/>
      <c r="H571" s="56"/>
      <c r="I571" s="60" t="str">
        <f aca="false">IF(IsPro,IF($D571="","",IFERROR(INDEX(Items!$D$5:$D$504,Q571),"")),IF($D571="","","PRO PLAN"))</f>
        <v/>
      </c>
      <c r="J571" s="61" t="str">
        <f aca="false">IF(IsPro,IF($D571="","",IF($F571="",IFERROR(INDEX(Items!$G$5:$G$504,Q571),0),$F571)),"")</f>
        <v/>
      </c>
      <c r="K571" s="61" t="str">
        <f aca="false">IF(IsPro,IF($D571="","",ROUND(N($E571)*J571*(1-N($G571)),2)),"")</f>
        <v/>
      </c>
      <c r="L571" s="62" t="str">
        <f aca="false">IF(IsPro,IF($D571="","",IFERROR(INDEX(Items!$F$5:$F$504,Q571),0)),"")</f>
        <v/>
      </c>
      <c r="M571" s="61" t="str">
        <f aca="false">IF(IsPro,IF($D571="","",IF(AND(R571&lt;&gt;"",INDEX(Parties!$E$5:$E$304,R571)&lt;&gt;"",INDEX(Parties!$E$5:$E$304,R571)&lt;&gt;HomeState),0,ROUND(K571*L571/2,2))),"")</f>
        <v/>
      </c>
      <c r="N571" s="61" t="str">
        <f aca="false">IF(IsPro,IF($D571="","",M571),"")</f>
        <v/>
      </c>
      <c r="O571" s="61" t="str">
        <f aca="false">IF(IsPro,IF($D571="","",IF(AND(R571&lt;&gt;"",INDEX(Parties!$E$5:$E$304,R571)&lt;&gt;"",INDEX(Parties!$E$5:$E$304,R571)&lt;&gt;HomeState),ROUND(K571*L571,2),0)),"")</f>
        <v/>
      </c>
      <c r="P571" s="61" t="str">
        <f aca="false">IF(IsPro,IF($D571="","",K571+M571+N571+O571),"")</f>
        <v/>
      </c>
      <c r="Q571" s="60" t="str">
        <f aca="false">IF(IsPro,IF($D571="","",IFERROR(MATCH($D571,Items!$A$5:$A$504,0),"")),"")</f>
        <v/>
      </c>
      <c r="R571" s="60" t="str">
        <f aca="false">IF(IsPro,IF($C571="","",IFERROR(MATCH($C571,Parties!$A$5:$A$304,0),"")),"")</f>
        <v/>
      </c>
      <c r="S571" s="61" t="str">
        <f aca="false">IF(IsPro,IF($D571="","",IF(OR($H571="",$H571="Credit"),0,P571)),"")</f>
        <v/>
      </c>
    </row>
    <row r="572" customFormat="false" ht="15" hidden="false" customHeight="false" outlineLevel="0" collapsed="false">
      <c r="A572" s="55"/>
      <c r="B572" s="56"/>
      <c r="C572" s="56"/>
      <c r="D572" s="56"/>
      <c r="E572" s="57"/>
      <c r="F572" s="58"/>
      <c r="G572" s="59"/>
      <c r="H572" s="56"/>
      <c r="I572" s="60" t="str">
        <f aca="false">IF(IsPro,IF($D572="","",IFERROR(INDEX(Items!$D$5:$D$504,Q572),"")),IF($D572="","","PRO PLAN"))</f>
        <v/>
      </c>
      <c r="J572" s="61" t="str">
        <f aca="false">IF(IsPro,IF($D572="","",IF($F572="",IFERROR(INDEX(Items!$G$5:$G$504,Q572),0),$F572)),"")</f>
        <v/>
      </c>
      <c r="K572" s="61" t="str">
        <f aca="false">IF(IsPro,IF($D572="","",ROUND(N($E572)*J572*(1-N($G572)),2)),"")</f>
        <v/>
      </c>
      <c r="L572" s="62" t="str">
        <f aca="false">IF(IsPro,IF($D572="","",IFERROR(INDEX(Items!$F$5:$F$504,Q572),0)),"")</f>
        <v/>
      </c>
      <c r="M572" s="61" t="str">
        <f aca="false">IF(IsPro,IF($D572="","",IF(AND(R572&lt;&gt;"",INDEX(Parties!$E$5:$E$304,R572)&lt;&gt;"",INDEX(Parties!$E$5:$E$304,R572)&lt;&gt;HomeState),0,ROUND(K572*L572/2,2))),"")</f>
        <v/>
      </c>
      <c r="N572" s="61" t="str">
        <f aca="false">IF(IsPro,IF($D572="","",M572),"")</f>
        <v/>
      </c>
      <c r="O572" s="61" t="str">
        <f aca="false">IF(IsPro,IF($D572="","",IF(AND(R572&lt;&gt;"",INDEX(Parties!$E$5:$E$304,R572)&lt;&gt;"",INDEX(Parties!$E$5:$E$304,R572)&lt;&gt;HomeState),ROUND(K572*L572,2),0)),"")</f>
        <v/>
      </c>
      <c r="P572" s="61" t="str">
        <f aca="false">IF(IsPro,IF($D572="","",K572+M572+N572+O572),"")</f>
        <v/>
      </c>
      <c r="Q572" s="60" t="str">
        <f aca="false">IF(IsPro,IF($D572="","",IFERROR(MATCH($D572,Items!$A$5:$A$504,0),"")),"")</f>
        <v/>
      </c>
      <c r="R572" s="60" t="str">
        <f aca="false">IF(IsPro,IF($C572="","",IFERROR(MATCH($C572,Parties!$A$5:$A$304,0),"")),"")</f>
        <v/>
      </c>
      <c r="S572" s="61" t="str">
        <f aca="false">IF(IsPro,IF($D572="","",IF(OR($H572="",$H572="Credit"),0,P572)),"")</f>
        <v/>
      </c>
    </row>
    <row r="573" customFormat="false" ht="15" hidden="false" customHeight="false" outlineLevel="0" collapsed="false">
      <c r="A573" s="55"/>
      <c r="B573" s="56"/>
      <c r="C573" s="56"/>
      <c r="D573" s="56"/>
      <c r="E573" s="57"/>
      <c r="F573" s="58"/>
      <c r="G573" s="59"/>
      <c r="H573" s="56"/>
      <c r="I573" s="60" t="str">
        <f aca="false">IF(IsPro,IF($D573="","",IFERROR(INDEX(Items!$D$5:$D$504,Q573),"")),IF($D573="","","PRO PLAN"))</f>
        <v/>
      </c>
      <c r="J573" s="61" t="str">
        <f aca="false">IF(IsPro,IF($D573="","",IF($F573="",IFERROR(INDEX(Items!$G$5:$G$504,Q573),0),$F573)),"")</f>
        <v/>
      </c>
      <c r="K573" s="61" t="str">
        <f aca="false">IF(IsPro,IF($D573="","",ROUND(N($E573)*J573*(1-N($G573)),2)),"")</f>
        <v/>
      </c>
      <c r="L573" s="62" t="str">
        <f aca="false">IF(IsPro,IF($D573="","",IFERROR(INDEX(Items!$F$5:$F$504,Q573),0)),"")</f>
        <v/>
      </c>
      <c r="M573" s="61" t="str">
        <f aca="false">IF(IsPro,IF($D573="","",IF(AND(R573&lt;&gt;"",INDEX(Parties!$E$5:$E$304,R573)&lt;&gt;"",INDEX(Parties!$E$5:$E$304,R573)&lt;&gt;HomeState),0,ROUND(K573*L573/2,2))),"")</f>
        <v/>
      </c>
      <c r="N573" s="61" t="str">
        <f aca="false">IF(IsPro,IF($D573="","",M573),"")</f>
        <v/>
      </c>
      <c r="O573" s="61" t="str">
        <f aca="false">IF(IsPro,IF($D573="","",IF(AND(R573&lt;&gt;"",INDEX(Parties!$E$5:$E$304,R573)&lt;&gt;"",INDEX(Parties!$E$5:$E$304,R573)&lt;&gt;HomeState),ROUND(K573*L573,2),0)),"")</f>
        <v/>
      </c>
      <c r="P573" s="61" t="str">
        <f aca="false">IF(IsPro,IF($D573="","",K573+M573+N573+O573),"")</f>
        <v/>
      </c>
      <c r="Q573" s="60" t="str">
        <f aca="false">IF(IsPro,IF($D573="","",IFERROR(MATCH($D573,Items!$A$5:$A$504,0),"")),"")</f>
        <v/>
      </c>
      <c r="R573" s="60" t="str">
        <f aca="false">IF(IsPro,IF($C573="","",IFERROR(MATCH($C573,Parties!$A$5:$A$304,0),"")),"")</f>
        <v/>
      </c>
      <c r="S573" s="61" t="str">
        <f aca="false">IF(IsPro,IF($D573="","",IF(OR($H573="",$H573="Credit"),0,P573)),"")</f>
        <v/>
      </c>
    </row>
    <row r="574" customFormat="false" ht="15" hidden="false" customHeight="false" outlineLevel="0" collapsed="false">
      <c r="A574" s="55"/>
      <c r="B574" s="56"/>
      <c r="C574" s="56"/>
      <c r="D574" s="56"/>
      <c r="E574" s="57"/>
      <c r="F574" s="58"/>
      <c r="G574" s="59"/>
      <c r="H574" s="56"/>
      <c r="I574" s="60" t="str">
        <f aca="false">IF(IsPro,IF($D574="","",IFERROR(INDEX(Items!$D$5:$D$504,Q574),"")),IF($D574="","","PRO PLAN"))</f>
        <v/>
      </c>
      <c r="J574" s="61" t="str">
        <f aca="false">IF(IsPro,IF($D574="","",IF($F574="",IFERROR(INDEX(Items!$G$5:$G$504,Q574),0),$F574)),"")</f>
        <v/>
      </c>
      <c r="K574" s="61" t="str">
        <f aca="false">IF(IsPro,IF($D574="","",ROUND(N($E574)*J574*(1-N($G574)),2)),"")</f>
        <v/>
      </c>
      <c r="L574" s="62" t="str">
        <f aca="false">IF(IsPro,IF($D574="","",IFERROR(INDEX(Items!$F$5:$F$504,Q574),0)),"")</f>
        <v/>
      </c>
      <c r="M574" s="61" t="str">
        <f aca="false">IF(IsPro,IF($D574="","",IF(AND(R574&lt;&gt;"",INDEX(Parties!$E$5:$E$304,R574)&lt;&gt;"",INDEX(Parties!$E$5:$E$304,R574)&lt;&gt;HomeState),0,ROUND(K574*L574/2,2))),"")</f>
        <v/>
      </c>
      <c r="N574" s="61" t="str">
        <f aca="false">IF(IsPro,IF($D574="","",M574),"")</f>
        <v/>
      </c>
      <c r="O574" s="61" t="str">
        <f aca="false">IF(IsPro,IF($D574="","",IF(AND(R574&lt;&gt;"",INDEX(Parties!$E$5:$E$304,R574)&lt;&gt;"",INDEX(Parties!$E$5:$E$304,R574)&lt;&gt;HomeState),ROUND(K574*L574,2),0)),"")</f>
        <v/>
      </c>
      <c r="P574" s="61" t="str">
        <f aca="false">IF(IsPro,IF($D574="","",K574+M574+N574+O574),"")</f>
        <v/>
      </c>
      <c r="Q574" s="60" t="str">
        <f aca="false">IF(IsPro,IF($D574="","",IFERROR(MATCH($D574,Items!$A$5:$A$504,0),"")),"")</f>
        <v/>
      </c>
      <c r="R574" s="60" t="str">
        <f aca="false">IF(IsPro,IF($C574="","",IFERROR(MATCH($C574,Parties!$A$5:$A$304,0),"")),"")</f>
        <v/>
      </c>
      <c r="S574" s="61" t="str">
        <f aca="false">IF(IsPro,IF($D574="","",IF(OR($H574="",$H574="Credit"),0,P574)),"")</f>
        <v/>
      </c>
    </row>
    <row r="575" customFormat="false" ht="15" hidden="false" customHeight="false" outlineLevel="0" collapsed="false">
      <c r="A575" s="55"/>
      <c r="B575" s="56"/>
      <c r="C575" s="56"/>
      <c r="D575" s="56"/>
      <c r="E575" s="57"/>
      <c r="F575" s="58"/>
      <c r="G575" s="59"/>
      <c r="H575" s="56"/>
      <c r="I575" s="60" t="str">
        <f aca="false">IF(IsPro,IF($D575="","",IFERROR(INDEX(Items!$D$5:$D$504,Q575),"")),IF($D575="","","PRO PLAN"))</f>
        <v/>
      </c>
      <c r="J575" s="61" t="str">
        <f aca="false">IF(IsPro,IF($D575="","",IF($F575="",IFERROR(INDEX(Items!$G$5:$G$504,Q575),0),$F575)),"")</f>
        <v/>
      </c>
      <c r="K575" s="61" t="str">
        <f aca="false">IF(IsPro,IF($D575="","",ROUND(N($E575)*J575*(1-N($G575)),2)),"")</f>
        <v/>
      </c>
      <c r="L575" s="62" t="str">
        <f aca="false">IF(IsPro,IF($D575="","",IFERROR(INDEX(Items!$F$5:$F$504,Q575),0)),"")</f>
        <v/>
      </c>
      <c r="M575" s="61" t="str">
        <f aca="false">IF(IsPro,IF($D575="","",IF(AND(R575&lt;&gt;"",INDEX(Parties!$E$5:$E$304,R575)&lt;&gt;"",INDEX(Parties!$E$5:$E$304,R575)&lt;&gt;HomeState),0,ROUND(K575*L575/2,2))),"")</f>
        <v/>
      </c>
      <c r="N575" s="61" t="str">
        <f aca="false">IF(IsPro,IF($D575="","",M575),"")</f>
        <v/>
      </c>
      <c r="O575" s="61" t="str">
        <f aca="false">IF(IsPro,IF($D575="","",IF(AND(R575&lt;&gt;"",INDEX(Parties!$E$5:$E$304,R575)&lt;&gt;"",INDEX(Parties!$E$5:$E$304,R575)&lt;&gt;HomeState),ROUND(K575*L575,2),0)),"")</f>
        <v/>
      </c>
      <c r="P575" s="61" t="str">
        <f aca="false">IF(IsPro,IF($D575="","",K575+M575+N575+O575),"")</f>
        <v/>
      </c>
      <c r="Q575" s="60" t="str">
        <f aca="false">IF(IsPro,IF($D575="","",IFERROR(MATCH($D575,Items!$A$5:$A$504,0),"")),"")</f>
        <v/>
      </c>
      <c r="R575" s="60" t="str">
        <f aca="false">IF(IsPro,IF($C575="","",IFERROR(MATCH($C575,Parties!$A$5:$A$304,0),"")),"")</f>
        <v/>
      </c>
      <c r="S575" s="61" t="str">
        <f aca="false">IF(IsPro,IF($D575="","",IF(OR($H575="",$H575="Credit"),0,P575)),"")</f>
        <v/>
      </c>
    </row>
    <row r="576" customFormat="false" ht="15" hidden="false" customHeight="false" outlineLevel="0" collapsed="false">
      <c r="A576" s="55"/>
      <c r="B576" s="56"/>
      <c r="C576" s="56"/>
      <c r="D576" s="56"/>
      <c r="E576" s="57"/>
      <c r="F576" s="58"/>
      <c r="G576" s="59"/>
      <c r="H576" s="56"/>
      <c r="I576" s="60" t="str">
        <f aca="false">IF(IsPro,IF($D576="","",IFERROR(INDEX(Items!$D$5:$D$504,Q576),"")),IF($D576="","","PRO PLAN"))</f>
        <v/>
      </c>
      <c r="J576" s="61" t="str">
        <f aca="false">IF(IsPro,IF($D576="","",IF($F576="",IFERROR(INDEX(Items!$G$5:$G$504,Q576),0),$F576)),"")</f>
        <v/>
      </c>
      <c r="K576" s="61" t="str">
        <f aca="false">IF(IsPro,IF($D576="","",ROUND(N($E576)*J576*(1-N($G576)),2)),"")</f>
        <v/>
      </c>
      <c r="L576" s="62" t="str">
        <f aca="false">IF(IsPro,IF($D576="","",IFERROR(INDEX(Items!$F$5:$F$504,Q576),0)),"")</f>
        <v/>
      </c>
      <c r="M576" s="61" t="str">
        <f aca="false">IF(IsPro,IF($D576="","",IF(AND(R576&lt;&gt;"",INDEX(Parties!$E$5:$E$304,R576)&lt;&gt;"",INDEX(Parties!$E$5:$E$304,R576)&lt;&gt;HomeState),0,ROUND(K576*L576/2,2))),"")</f>
        <v/>
      </c>
      <c r="N576" s="61" t="str">
        <f aca="false">IF(IsPro,IF($D576="","",M576),"")</f>
        <v/>
      </c>
      <c r="O576" s="61" t="str">
        <f aca="false">IF(IsPro,IF($D576="","",IF(AND(R576&lt;&gt;"",INDEX(Parties!$E$5:$E$304,R576)&lt;&gt;"",INDEX(Parties!$E$5:$E$304,R576)&lt;&gt;HomeState),ROUND(K576*L576,2),0)),"")</f>
        <v/>
      </c>
      <c r="P576" s="61" t="str">
        <f aca="false">IF(IsPro,IF($D576="","",K576+M576+N576+O576),"")</f>
        <v/>
      </c>
      <c r="Q576" s="60" t="str">
        <f aca="false">IF(IsPro,IF($D576="","",IFERROR(MATCH($D576,Items!$A$5:$A$504,0),"")),"")</f>
        <v/>
      </c>
      <c r="R576" s="60" t="str">
        <f aca="false">IF(IsPro,IF($C576="","",IFERROR(MATCH($C576,Parties!$A$5:$A$304,0),"")),"")</f>
        <v/>
      </c>
      <c r="S576" s="61" t="str">
        <f aca="false">IF(IsPro,IF($D576="","",IF(OR($H576="",$H576="Credit"),0,P576)),"")</f>
        <v/>
      </c>
    </row>
    <row r="577" customFormat="false" ht="15" hidden="false" customHeight="false" outlineLevel="0" collapsed="false">
      <c r="A577" s="55"/>
      <c r="B577" s="56"/>
      <c r="C577" s="56"/>
      <c r="D577" s="56"/>
      <c r="E577" s="57"/>
      <c r="F577" s="58"/>
      <c r="G577" s="59"/>
      <c r="H577" s="56"/>
      <c r="I577" s="60" t="str">
        <f aca="false">IF(IsPro,IF($D577="","",IFERROR(INDEX(Items!$D$5:$D$504,Q577),"")),IF($D577="","","PRO PLAN"))</f>
        <v/>
      </c>
      <c r="J577" s="61" t="str">
        <f aca="false">IF(IsPro,IF($D577="","",IF($F577="",IFERROR(INDEX(Items!$G$5:$G$504,Q577),0),$F577)),"")</f>
        <v/>
      </c>
      <c r="K577" s="61" t="str">
        <f aca="false">IF(IsPro,IF($D577="","",ROUND(N($E577)*J577*(1-N($G577)),2)),"")</f>
        <v/>
      </c>
      <c r="L577" s="62" t="str">
        <f aca="false">IF(IsPro,IF($D577="","",IFERROR(INDEX(Items!$F$5:$F$504,Q577),0)),"")</f>
        <v/>
      </c>
      <c r="M577" s="61" t="str">
        <f aca="false">IF(IsPro,IF($D577="","",IF(AND(R577&lt;&gt;"",INDEX(Parties!$E$5:$E$304,R577)&lt;&gt;"",INDEX(Parties!$E$5:$E$304,R577)&lt;&gt;HomeState),0,ROUND(K577*L577/2,2))),"")</f>
        <v/>
      </c>
      <c r="N577" s="61" t="str">
        <f aca="false">IF(IsPro,IF($D577="","",M577),"")</f>
        <v/>
      </c>
      <c r="O577" s="61" t="str">
        <f aca="false">IF(IsPro,IF($D577="","",IF(AND(R577&lt;&gt;"",INDEX(Parties!$E$5:$E$304,R577)&lt;&gt;"",INDEX(Parties!$E$5:$E$304,R577)&lt;&gt;HomeState),ROUND(K577*L577,2),0)),"")</f>
        <v/>
      </c>
      <c r="P577" s="61" t="str">
        <f aca="false">IF(IsPro,IF($D577="","",K577+M577+N577+O577),"")</f>
        <v/>
      </c>
      <c r="Q577" s="60" t="str">
        <f aca="false">IF(IsPro,IF($D577="","",IFERROR(MATCH($D577,Items!$A$5:$A$504,0),"")),"")</f>
        <v/>
      </c>
      <c r="R577" s="60" t="str">
        <f aca="false">IF(IsPro,IF($C577="","",IFERROR(MATCH($C577,Parties!$A$5:$A$304,0),"")),"")</f>
        <v/>
      </c>
      <c r="S577" s="61" t="str">
        <f aca="false">IF(IsPro,IF($D577="","",IF(OR($H577="",$H577="Credit"),0,P577)),"")</f>
        <v/>
      </c>
    </row>
    <row r="578" customFormat="false" ht="15" hidden="false" customHeight="false" outlineLevel="0" collapsed="false">
      <c r="A578" s="55"/>
      <c r="B578" s="56"/>
      <c r="C578" s="56"/>
      <c r="D578" s="56"/>
      <c r="E578" s="57"/>
      <c r="F578" s="58"/>
      <c r="G578" s="59"/>
      <c r="H578" s="56"/>
      <c r="I578" s="60" t="str">
        <f aca="false">IF(IsPro,IF($D578="","",IFERROR(INDEX(Items!$D$5:$D$504,Q578),"")),IF($D578="","","PRO PLAN"))</f>
        <v/>
      </c>
      <c r="J578" s="61" t="str">
        <f aca="false">IF(IsPro,IF($D578="","",IF($F578="",IFERROR(INDEX(Items!$G$5:$G$504,Q578),0),$F578)),"")</f>
        <v/>
      </c>
      <c r="K578" s="61" t="str">
        <f aca="false">IF(IsPro,IF($D578="","",ROUND(N($E578)*J578*(1-N($G578)),2)),"")</f>
        <v/>
      </c>
      <c r="L578" s="62" t="str">
        <f aca="false">IF(IsPro,IF($D578="","",IFERROR(INDEX(Items!$F$5:$F$504,Q578),0)),"")</f>
        <v/>
      </c>
      <c r="M578" s="61" t="str">
        <f aca="false">IF(IsPro,IF($D578="","",IF(AND(R578&lt;&gt;"",INDEX(Parties!$E$5:$E$304,R578)&lt;&gt;"",INDEX(Parties!$E$5:$E$304,R578)&lt;&gt;HomeState),0,ROUND(K578*L578/2,2))),"")</f>
        <v/>
      </c>
      <c r="N578" s="61" t="str">
        <f aca="false">IF(IsPro,IF($D578="","",M578),"")</f>
        <v/>
      </c>
      <c r="O578" s="61" t="str">
        <f aca="false">IF(IsPro,IF($D578="","",IF(AND(R578&lt;&gt;"",INDEX(Parties!$E$5:$E$304,R578)&lt;&gt;"",INDEX(Parties!$E$5:$E$304,R578)&lt;&gt;HomeState),ROUND(K578*L578,2),0)),"")</f>
        <v/>
      </c>
      <c r="P578" s="61" t="str">
        <f aca="false">IF(IsPro,IF($D578="","",K578+M578+N578+O578),"")</f>
        <v/>
      </c>
      <c r="Q578" s="60" t="str">
        <f aca="false">IF(IsPro,IF($D578="","",IFERROR(MATCH($D578,Items!$A$5:$A$504,0),"")),"")</f>
        <v/>
      </c>
      <c r="R578" s="60" t="str">
        <f aca="false">IF(IsPro,IF($C578="","",IFERROR(MATCH($C578,Parties!$A$5:$A$304,0),"")),"")</f>
        <v/>
      </c>
      <c r="S578" s="61" t="str">
        <f aca="false">IF(IsPro,IF($D578="","",IF(OR($H578="",$H578="Credit"),0,P578)),"")</f>
        <v/>
      </c>
    </row>
    <row r="579" customFormat="false" ht="15" hidden="false" customHeight="false" outlineLevel="0" collapsed="false">
      <c r="A579" s="55"/>
      <c r="B579" s="56"/>
      <c r="C579" s="56"/>
      <c r="D579" s="56"/>
      <c r="E579" s="57"/>
      <c r="F579" s="58"/>
      <c r="G579" s="59"/>
      <c r="H579" s="56"/>
      <c r="I579" s="60" t="str">
        <f aca="false">IF(IsPro,IF($D579="","",IFERROR(INDEX(Items!$D$5:$D$504,Q579),"")),IF($D579="","","PRO PLAN"))</f>
        <v/>
      </c>
      <c r="J579" s="61" t="str">
        <f aca="false">IF(IsPro,IF($D579="","",IF($F579="",IFERROR(INDEX(Items!$G$5:$G$504,Q579),0),$F579)),"")</f>
        <v/>
      </c>
      <c r="K579" s="61" t="str">
        <f aca="false">IF(IsPro,IF($D579="","",ROUND(N($E579)*J579*(1-N($G579)),2)),"")</f>
        <v/>
      </c>
      <c r="L579" s="62" t="str">
        <f aca="false">IF(IsPro,IF($D579="","",IFERROR(INDEX(Items!$F$5:$F$504,Q579),0)),"")</f>
        <v/>
      </c>
      <c r="M579" s="61" t="str">
        <f aca="false">IF(IsPro,IF($D579="","",IF(AND(R579&lt;&gt;"",INDEX(Parties!$E$5:$E$304,R579)&lt;&gt;"",INDEX(Parties!$E$5:$E$304,R579)&lt;&gt;HomeState),0,ROUND(K579*L579/2,2))),"")</f>
        <v/>
      </c>
      <c r="N579" s="61" t="str">
        <f aca="false">IF(IsPro,IF($D579="","",M579),"")</f>
        <v/>
      </c>
      <c r="O579" s="61" t="str">
        <f aca="false">IF(IsPro,IF($D579="","",IF(AND(R579&lt;&gt;"",INDEX(Parties!$E$5:$E$304,R579)&lt;&gt;"",INDEX(Parties!$E$5:$E$304,R579)&lt;&gt;HomeState),ROUND(K579*L579,2),0)),"")</f>
        <v/>
      </c>
      <c r="P579" s="61" t="str">
        <f aca="false">IF(IsPro,IF($D579="","",K579+M579+N579+O579),"")</f>
        <v/>
      </c>
      <c r="Q579" s="60" t="str">
        <f aca="false">IF(IsPro,IF($D579="","",IFERROR(MATCH($D579,Items!$A$5:$A$504,0),"")),"")</f>
        <v/>
      </c>
      <c r="R579" s="60" t="str">
        <f aca="false">IF(IsPro,IF($C579="","",IFERROR(MATCH($C579,Parties!$A$5:$A$304,0),"")),"")</f>
        <v/>
      </c>
      <c r="S579" s="61" t="str">
        <f aca="false">IF(IsPro,IF($D579="","",IF(OR($H579="",$H579="Credit"),0,P579)),"")</f>
        <v/>
      </c>
    </row>
    <row r="580" customFormat="false" ht="15" hidden="false" customHeight="false" outlineLevel="0" collapsed="false">
      <c r="A580" s="55"/>
      <c r="B580" s="56"/>
      <c r="C580" s="56"/>
      <c r="D580" s="56"/>
      <c r="E580" s="57"/>
      <c r="F580" s="58"/>
      <c r="G580" s="59"/>
      <c r="H580" s="56"/>
      <c r="I580" s="60" t="str">
        <f aca="false">IF(IsPro,IF($D580="","",IFERROR(INDEX(Items!$D$5:$D$504,Q580),"")),IF($D580="","","PRO PLAN"))</f>
        <v/>
      </c>
      <c r="J580" s="61" t="str">
        <f aca="false">IF(IsPro,IF($D580="","",IF($F580="",IFERROR(INDEX(Items!$G$5:$G$504,Q580),0),$F580)),"")</f>
        <v/>
      </c>
      <c r="K580" s="61" t="str">
        <f aca="false">IF(IsPro,IF($D580="","",ROUND(N($E580)*J580*(1-N($G580)),2)),"")</f>
        <v/>
      </c>
      <c r="L580" s="62" t="str">
        <f aca="false">IF(IsPro,IF($D580="","",IFERROR(INDEX(Items!$F$5:$F$504,Q580),0)),"")</f>
        <v/>
      </c>
      <c r="M580" s="61" t="str">
        <f aca="false">IF(IsPro,IF($D580="","",IF(AND(R580&lt;&gt;"",INDEX(Parties!$E$5:$E$304,R580)&lt;&gt;"",INDEX(Parties!$E$5:$E$304,R580)&lt;&gt;HomeState),0,ROUND(K580*L580/2,2))),"")</f>
        <v/>
      </c>
      <c r="N580" s="61" t="str">
        <f aca="false">IF(IsPro,IF($D580="","",M580),"")</f>
        <v/>
      </c>
      <c r="O580" s="61" t="str">
        <f aca="false">IF(IsPro,IF($D580="","",IF(AND(R580&lt;&gt;"",INDEX(Parties!$E$5:$E$304,R580)&lt;&gt;"",INDEX(Parties!$E$5:$E$304,R580)&lt;&gt;HomeState),ROUND(K580*L580,2),0)),"")</f>
        <v/>
      </c>
      <c r="P580" s="61" t="str">
        <f aca="false">IF(IsPro,IF($D580="","",K580+M580+N580+O580),"")</f>
        <v/>
      </c>
      <c r="Q580" s="60" t="str">
        <f aca="false">IF(IsPro,IF($D580="","",IFERROR(MATCH($D580,Items!$A$5:$A$504,0),"")),"")</f>
        <v/>
      </c>
      <c r="R580" s="60" t="str">
        <f aca="false">IF(IsPro,IF($C580="","",IFERROR(MATCH($C580,Parties!$A$5:$A$304,0),"")),"")</f>
        <v/>
      </c>
      <c r="S580" s="61" t="str">
        <f aca="false">IF(IsPro,IF($D580="","",IF(OR($H580="",$H580="Credit"),0,P580)),"")</f>
        <v/>
      </c>
    </row>
    <row r="581" customFormat="false" ht="15" hidden="false" customHeight="false" outlineLevel="0" collapsed="false">
      <c r="A581" s="55"/>
      <c r="B581" s="56"/>
      <c r="C581" s="56"/>
      <c r="D581" s="56"/>
      <c r="E581" s="57"/>
      <c r="F581" s="58"/>
      <c r="G581" s="59"/>
      <c r="H581" s="56"/>
      <c r="I581" s="60" t="str">
        <f aca="false">IF(IsPro,IF($D581="","",IFERROR(INDEX(Items!$D$5:$D$504,Q581),"")),IF($D581="","","PRO PLAN"))</f>
        <v/>
      </c>
      <c r="J581" s="61" t="str">
        <f aca="false">IF(IsPro,IF($D581="","",IF($F581="",IFERROR(INDEX(Items!$G$5:$G$504,Q581),0),$F581)),"")</f>
        <v/>
      </c>
      <c r="K581" s="61" t="str">
        <f aca="false">IF(IsPro,IF($D581="","",ROUND(N($E581)*J581*(1-N($G581)),2)),"")</f>
        <v/>
      </c>
      <c r="L581" s="62" t="str">
        <f aca="false">IF(IsPro,IF($D581="","",IFERROR(INDEX(Items!$F$5:$F$504,Q581),0)),"")</f>
        <v/>
      </c>
      <c r="M581" s="61" t="str">
        <f aca="false">IF(IsPro,IF($D581="","",IF(AND(R581&lt;&gt;"",INDEX(Parties!$E$5:$E$304,R581)&lt;&gt;"",INDEX(Parties!$E$5:$E$304,R581)&lt;&gt;HomeState),0,ROUND(K581*L581/2,2))),"")</f>
        <v/>
      </c>
      <c r="N581" s="61" t="str">
        <f aca="false">IF(IsPro,IF($D581="","",M581),"")</f>
        <v/>
      </c>
      <c r="O581" s="61" t="str">
        <f aca="false">IF(IsPro,IF($D581="","",IF(AND(R581&lt;&gt;"",INDEX(Parties!$E$5:$E$304,R581)&lt;&gt;"",INDEX(Parties!$E$5:$E$304,R581)&lt;&gt;HomeState),ROUND(K581*L581,2),0)),"")</f>
        <v/>
      </c>
      <c r="P581" s="61" t="str">
        <f aca="false">IF(IsPro,IF($D581="","",K581+M581+N581+O581),"")</f>
        <v/>
      </c>
      <c r="Q581" s="60" t="str">
        <f aca="false">IF(IsPro,IF($D581="","",IFERROR(MATCH($D581,Items!$A$5:$A$504,0),"")),"")</f>
        <v/>
      </c>
      <c r="R581" s="60" t="str">
        <f aca="false">IF(IsPro,IF($C581="","",IFERROR(MATCH($C581,Parties!$A$5:$A$304,0),"")),"")</f>
        <v/>
      </c>
      <c r="S581" s="61" t="str">
        <f aca="false">IF(IsPro,IF($D581="","",IF(OR($H581="",$H581="Credit"),0,P581)),"")</f>
        <v/>
      </c>
    </row>
    <row r="582" customFormat="false" ht="15" hidden="false" customHeight="false" outlineLevel="0" collapsed="false">
      <c r="A582" s="55"/>
      <c r="B582" s="56"/>
      <c r="C582" s="56"/>
      <c r="D582" s="56"/>
      <c r="E582" s="57"/>
      <c r="F582" s="58"/>
      <c r="G582" s="59"/>
      <c r="H582" s="56"/>
      <c r="I582" s="60" t="str">
        <f aca="false">IF(IsPro,IF($D582="","",IFERROR(INDEX(Items!$D$5:$D$504,Q582),"")),IF($D582="","","PRO PLAN"))</f>
        <v/>
      </c>
      <c r="J582" s="61" t="str">
        <f aca="false">IF(IsPro,IF($D582="","",IF($F582="",IFERROR(INDEX(Items!$G$5:$G$504,Q582),0),$F582)),"")</f>
        <v/>
      </c>
      <c r="K582" s="61" t="str">
        <f aca="false">IF(IsPro,IF($D582="","",ROUND(N($E582)*J582*(1-N($G582)),2)),"")</f>
        <v/>
      </c>
      <c r="L582" s="62" t="str">
        <f aca="false">IF(IsPro,IF($D582="","",IFERROR(INDEX(Items!$F$5:$F$504,Q582),0)),"")</f>
        <v/>
      </c>
      <c r="M582" s="61" t="str">
        <f aca="false">IF(IsPro,IF($D582="","",IF(AND(R582&lt;&gt;"",INDEX(Parties!$E$5:$E$304,R582)&lt;&gt;"",INDEX(Parties!$E$5:$E$304,R582)&lt;&gt;HomeState),0,ROUND(K582*L582/2,2))),"")</f>
        <v/>
      </c>
      <c r="N582" s="61" t="str">
        <f aca="false">IF(IsPro,IF($D582="","",M582),"")</f>
        <v/>
      </c>
      <c r="O582" s="61" t="str">
        <f aca="false">IF(IsPro,IF($D582="","",IF(AND(R582&lt;&gt;"",INDEX(Parties!$E$5:$E$304,R582)&lt;&gt;"",INDEX(Parties!$E$5:$E$304,R582)&lt;&gt;HomeState),ROUND(K582*L582,2),0)),"")</f>
        <v/>
      </c>
      <c r="P582" s="61" t="str">
        <f aca="false">IF(IsPro,IF($D582="","",K582+M582+N582+O582),"")</f>
        <v/>
      </c>
      <c r="Q582" s="60" t="str">
        <f aca="false">IF(IsPro,IF($D582="","",IFERROR(MATCH($D582,Items!$A$5:$A$504,0),"")),"")</f>
        <v/>
      </c>
      <c r="R582" s="60" t="str">
        <f aca="false">IF(IsPro,IF($C582="","",IFERROR(MATCH($C582,Parties!$A$5:$A$304,0),"")),"")</f>
        <v/>
      </c>
      <c r="S582" s="61" t="str">
        <f aca="false">IF(IsPro,IF($D582="","",IF(OR($H582="",$H582="Credit"),0,P582)),"")</f>
        <v/>
      </c>
    </row>
    <row r="583" customFormat="false" ht="15" hidden="false" customHeight="false" outlineLevel="0" collapsed="false">
      <c r="A583" s="55"/>
      <c r="B583" s="56"/>
      <c r="C583" s="56"/>
      <c r="D583" s="56"/>
      <c r="E583" s="57"/>
      <c r="F583" s="58"/>
      <c r="G583" s="59"/>
      <c r="H583" s="56"/>
      <c r="I583" s="60" t="str">
        <f aca="false">IF(IsPro,IF($D583="","",IFERROR(INDEX(Items!$D$5:$D$504,Q583),"")),IF($D583="","","PRO PLAN"))</f>
        <v/>
      </c>
      <c r="J583" s="61" t="str">
        <f aca="false">IF(IsPro,IF($D583="","",IF($F583="",IFERROR(INDEX(Items!$G$5:$G$504,Q583),0),$F583)),"")</f>
        <v/>
      </c>
      <c r="K583" s="61" t="str">
        <f aca="false">IF(IsPro,IF($D583="","",ROUND(N($E583)*J583*(1-N($G583)),2)),"")</f>
        <v/>
      </c>
      <c r="L583" s="62" t="str">
        <f aca="false">IF(IsPro,IF($D583="","",IFERROR(INDEX(Items!$F$5:$F$504,Q583),0)),"")</f>
        <v/>
      </c>
      <c r="M583" s="61" t="str">
        <f aca="false">IF(IsPro,IF($D583="","",IF(AND(R583&lt;&gt;"",INDEX(Parties!$E$5:$E$304,R583)&lt;&gt;"",INDEX(Parties!$E$5:$E$304,R583)&lt;&gt;HomeState),0,ROUND(K583*L583/2,2))),"")</f>
        <v/>
      </c>
      <c r="N583" s="61" t="str">
        <f aca="false">IF(IsPro,IF($D583="","",M583),"")</f>
        <v/>
      </c>
      <c r="O583" s="61" t="str">
        <f aca="false">IF(IsPro,IF($D583="","",IF(AND(R583&lt;&gt;"",INDEX(Parties!$E$5:$E$304,R583)&lt;&gt;"",INDEX(Parties!$E$5:$E$304,R583)&lt;&gt;HomeState),ROUND(K583*L583,2),0)),"")</f>
        <v/>
      </c>
      <c r="P583" s="61" t="str">
        <f aca="false">IF(IsPro,IF($D583="","",K583+M583+N583+O583),"")</f>
        <v/>
      </c>
      <c r="Q583" s="60" t="str">
        <f aca="false">IF(IsPro,IF($D583="","",IFERROR(MATCH($D583,Items!$A$5:$A$504,0),"")),"")</f>
        <v/>
      </c>
      <c r="R583" s="60" t="str">
        <f aca="false">IF(IsPro,IF($C583="","",IFERROR(MATCH($C583,Parties!$A$5:$A$304,0),"")),"")</f>
        <v/>
      </c>
      <c r="S583" s="61" t="str">
        <f aca="false">IF(IsPro,IF($D583="","",IF(OR($H583="",$H583="Credit"),0,P583)),"")</f>
        <v/>
      </c>
    </row>
    <row r="584" customFormat="false" ht="15" hidden="false" customHeight="false" outlineLevel="0" collapsed="false">
      <c r="A584" s="55"/>
      <c r="B584" s="56"/>
      <c r="C584" s="56"/>
      <c r="D584" s="56"/>
      <c r="E584" s="57"/>
      <c r="F584" s="58"/>
      <c r="G584" s="59"/>
      <c r="H584" s="56"/>
      <c r="I584" s="60" t="str">
        <f aca="false">IF(IsPro,IF($D584="","",IFERROR(INDEX(Items!$D$5:$D$504,Q584),"")),IF($D584="","","PRO PLAN"))</f>
        <v/>
      </c>
      <c r="J584" s="61" t="str">
        <f aca="false">IF(IsPro,IF($D584="","",IF($F584="",IFERROR(INDEX(Items!$G$5:$G$504,Q584),0),$F584)),"")</f>
        <v/>
      </c>
      <c r="K584" s="61" t="str">
        <f aca="false">IF(IsPro,IF($D584="","",ROUND(N($E584)*J584*(1-N($G584)),2)),"")</f>
        <v/>
      </c>
      <c r="L584" s="62" t="str">
        <f aca="false">IF(IsPro,IF($D584="","",IFERROR(INDEX(Items!$F$5:$F$504,Q584),0)),"")</f>
        <v/>
      </c>
      <c r="M584" s="61" t="str">
        <f aca="false">IF(IsPro,IF($D584="","",IF(AND(R584&lt;&gt;"",INDEX(Parties!$E$5:$E$304,R584)&lt;&gt;"",INDEX(Parties!$E$5:$E$304,R584)&lt;&gt;HomeState),0,ROUND(K584*L584/2,2))),"")</f>
        <v/>
      </c>
      <c r="N584" s="61" t="str">
        <f aca="false">IF(IsPro,IF($D584="","",M584),"")</f>
        <v/>
      </c>
      <c r="O584" s="61" t="str">
        <f aca="false">IF(IsPro,IF($D584="","",IF(AND(R584&lt;&gt;"",INDEX(Parties!$E$5:$E$304,R584)&lt;&gt;"",INDEX(Parties!$E$5:$E$304,R584)&lt;&gt;HomeState),ROUND(K584*L584,2),0)),"")</f>
        <v/>
      </c>
      <c r="P584" s="61" t="str">
        <f aca="false">IF(IsPro,IF($D584="","",K584+M584+N584+O584),"")</f>
        <v/>
      </c>
      <c r="Q584" s="60" t="str">
        <f aca="false">IF(IsPro,IF($D584="","",IFERROR(MATCH($D584,Items!$A$5:$A$504,0),"")),"")</f>
        <v/>
      </c>
      <c r="R584" s="60" t="str">
        <f aca="false">IF(IsPro,IF($C584="","",IFERROR(MATCH($C584,Parties!$A$5:$A$304,0),"")),"")</f>
        <v/>
      </c>
      <c r="S584" s="61" t="str">
        <f aca="false">IF(IsPro,IF($D584="","",IF(OR($H584="",$H584="Credit"),0,P584)),"")</f>
        <v/>
      </c>
    </row>
    <row r="585" customFormat="false" ht="15" hidden="false" customHeight="false" outlineLevel="0" collapsed="false">
      <c r="A585" s="55"/>
      <c r="B585" s="56"/>
      <c r="C585" s="56"/>
      <c r="D585" s="56"/>
      <c r="E585" s="57"/>
      <c r="F585" s="58"/>
      <c r="G585" s="59"/>
      <c r="H585" s="56"/>
      <c r="I585" s="60" t="str">
        <f aca="false">IF(IsPro,IF($D585="","",IFERROR(INDEX(Items!$D$5:$D$504,Q585),"")),IF($D585="","","PRO PLAN"))</f>
        <v/>
      </c>
      <c r="J585" s="61" t="str">
        <f aca="false">IF(IsPro,IF($D585="","",IF($F585="",IFERROR(INDEX(Items!$G$5:$G$504,Q585),0),$F585)),"")</f>
        <v/>
      </c>
      <c r="K585" s="61" t="str">
        <f aca="false">IF(IsPro,IF($D585="","",ROUND(N($E585)*J585*(1-N($G585)),2)),"")</f>
        <v/>
      </c>
      <c r="L585" s="62" t="str">
        <f aca="false">IF(IsPro,IF($D585="","",IFERROR(INDEX(Items!$F$5:$F$504,Q585),0)),"")</f>
        <v/>
      </c>
      <c r="M585" s="61" t="str">
        <f aca="false">IF(IsPro,IF($D585="","",IF(AND(R585&lt;&gt;"",INDEX(Parties!$E$5:$E$304,R585)&lt;&gt;"",INDEX(Parties!$E$5:$E$304,R585)&lt;&gt;HomeState),0,ROUND(K585*L585/2,2))),"")</f>
        <v/>
      </c>
      <c r="N585" s="61" t="str">
        <f aca="false">IF(IsPro,IF($D585="","",M585),"")</f>
        <v/>
      </c>
      <c r="O585" s="61" t="str">
        <f aca="false">IF(IsPro,IF($D585="","",IF(AND(R585&lt;&gt;"",INDEX(Parties!$E$5:$E$304,R585)&lt;&gt;"",INDEX(Parties!$E$5:$E$304,R585)&lt;&gt;HomeState),ROUND(K585*L585,2),0)),"")</f>
        <v/>
      </c>
      <c r="P585" s="61" t="str">
        <f aca="false">IF(IsPro,IF($D585="","",K585+M585+N585+O585),"")</f>
        <v/>
      </c>
      <c r="Q585" s="60" t="str">
        <f aca="false">IF(IsPro,IF($D585="","",IFERROR(MATCH($D585,Items!$A$5:$A$504,0),"")),"")</f>
        <v/>
      </c>
      <c r="R585" s="60" t="str">
        <f aca="false">IF(IsPro,IF($C585="","",IFERROR(MATCH($C585,Parties!$A$5:$A$304,0),"")),"")</f>
        <v/>
      </c>
      <c r="S585" s="61" t="str">
        <f aca="false">IF(IsPro,IF($D585="","",IF(OR($H585="",$H585="Credit"),0,P585)),"")</f>
        <v/>
      </c>
    </row>
    <row r="586" customFormat="false" ht="15" hidden="false" customHeight="false" outlineLevel="0" collapsed="false">
      <c r="A586" s="55"/>
      <c r="B586" s="56"/>
      <c r="C586" s="56"/>
      <c r="D586" s="56"/>
      <c r="E586" s="57"/>
      <c r="F586" s="58"/>
      <c r="G586" s="59"/>
      <c r="H586" s="56"/>
      <c r="I586" s="60" t="str">
        <f aca="false">IF(IsPro,IF($D586="","",IFERROR(INDEX(Items!$D$5:$D$504,Q586),"")),IF($D586="","","PRO PLAN"))</f>
        <v/>
      </c>
      <c r="J586" s="61" t="str">
        <f aca="false">IF(IsPro,IF($D586="","",IF($F586="",IFERROR(INDEX(Items!$G$5:$G$504,Q586),0),$F586)),"")</f>
        <v/>
      </c>
      <c r="K586" s="61" t="str">
        <f aca="false">IF(IsPro,IF($D586="","",ROUND(N($E586)*J586*(1-N($G586)),2)),"")</f>
        <v/>
      </c>
      <c r="L586" s="62" t="str">
        <f aca="false">IF(IsPro,IF($D586="","",IFERROR(INDEX(Items!$F$5:$F$504,Q586),0)),"")</f>
        <v/>
      </c>
      <c r="M586" s="61" t="str">
        <f aca="false">IF(IsPro,IF($D586="","",IF(AND(R586&lt;&gt;"",INDEX(Parties!$E$5:$E$304,R586)&lt;&gt;"",INDEX(Parties!$E$5:$E$304,R586)&lt;&gt;HomeState),0,ROUND(K586*L586/2,2))),"")</f>
        <v/>
      </c>
      <c r="N586" s="61" t="str">
        <f aca="false">IF(IsPro,IF($D586="","",M586),"")</f>
        <v/>
      </c>
      <c r="O586" s="61" t="str">
        <f aca="false">IF(IsPro,IF($D586="","",IF(AND(R586&lt;&gt;"",INDEX(Parties!$E$5:$E$304,R586)&lt;&gt;"",INDEX(Parties!$E$5:$E$304,R586)&lt;&gt;HomeState),ROUND(K586*L586,2),0)),"")</f>
        <v/>
      </c>
      <c r="P586" s="61" t="str">
        <f aca="false">IF(IsPro,IF($D586="","",K586+M586+N586+O586),"")</f>
        <v/>
      </c>
      <c r="Q586" s="60" t="str">
        <f aca="false">IF(IsPro,IF($D586="","",IFERROR(MATCH($D586,Items!$A$5:$A$504,0),"")),"")</f>
        <v/>
      </c>
      <c r="R586" s="60" t="str">
        <f aca="false">IF(IsPro,IF($C586="","",IFERROR(MATCH($C586,Parties!$A$5:$A$304,0),"")),"")</f>
        <v/>
      </c>
      <c r="S586" s="61" t="str">
        <f aca="false">IF(IsPro,IF($D586="","",IF(OR($H586="",$H586="Credit"),0,P586)),"")</f>
        <v/>
      </c>
    </row>
    <row r="587" customFormat="false" ht="15" hidden="false" customHeight="false" outlineLevel="0" collapsed="false">
      <c r="A587" s="55"/>
      <c r="B587" s="56"/>
      <c r="C587" s="56"/>
      <c r="D587" s="56"/>
      <c r="E587" s="57"/>
      <c r="F587" s="58"/>
      <c r="G587" s="59"/>
      <c r="H587" s="56"/>
      <c r="I587" s="60" t="str">
        <f aca="false">IF(IsPro,IF($D587="","",IFERROR(INDEX(Items!$D$5:$D$504,Q587),"")),IF($D587="","","PRO PLAN"))</f>
        <v/>
      </c>
      <c r="J587" s="61" t="str">
        <f aca="false">IF(IsPro,IF($D587="","",IF($F587="",IFERROR(INDEX(Items!$G$5:$G$504,Q587),0),$F587)),"")</f>
        <v/>
      </c>
      <c r="K587" s="61" t="str">
        <f aca="false">IF(IsPro,IF($D587="","",ROUND(N($E587)*J587*(1-N($G587)),2)),"")</f>
        <v/>
      </c>
      <c r="L587" s="62" t="str">
        <f aca="false">IF(IsPro,IF($D587="","",IFERROR(INDEX(Items!$F$5:$F$504,Q587),0)),"")</f>
        <v/>
      </c>
      <c r="M587" s="61" t="str">
        <f aca="false">IF(IsPro,IF($D587="","",IF(AND(R587&lt;&gt;"",INDEX(Parties!$E$5:$E$304,R587)&lt;&gt;"",INDEX(Parties!$E$5:$E$304,R587)&lt;&gt;HomeState),0,ROUND(K587*L587/2,2))),"")</f>
        <v/>
      </c>
      <c r="N587" s="61" t="str">
        <f aca="false">IF(IsPro,IF($D587="","",M587),"")</f>
        <v/>
      </c>
      <c r="O587" s="61" t="str">
        <f aca="false">IF(IsPro,IF($D587="","",IF(AND(R587&lt;&gt;"",INDEX(Parties!$E$5:$E$304,R587)&lt;&gt;"",INDEX(Parties!$E$5:$E$304,R587)&lt;&gt;HomeState),ROUND(K587*L587,2),0)),"")</f>
        <v/>
      </c>
      <c r="P587" s="61" t="str">
        <f aca="false">IF(IsPro,IF($D587="","",K587+M587+N587+O587),"")</f>
        <v/>
      </c>
      <c r="Q587" s="60" t="str">
        <f aca="false">IF(IsPro,IF($D587="","",IFERROR(MATCH($D587,Items!$A$5:$A$504,0),"")),"")</f>
        <v/>
      </c>
      <c r="R587" s="60" t="str">
        <f aca="false">IF(IsPro,IF($C587="","",IFERROR(MATCH($C587,Parties!$A$5:$A$304,0),"")),"")</f>
        <v/>
      </c>
      <c r="S587" s="61" t="str">
        <f aca="false">IF(IsPro,IF($D587="","",IF(OR($H587="",$H587="Credit"),0,P587)),"")</f>
        <v/>
      </c>
    </row>
    <row r="588" customFormat="false" ht="15" hidden="false" customHeight="false" outlineLevel="0" collapsed="false">
      <c r="A588" s="55"/>
      <c r="B588" s="56"/>
      <c r="C588" s="56"/>
      <c r="D588" s="56"/>
      <c r="E588" s="57"/>
      <c r="F588" s="58"/>
      <c r="G588" s="59"/>
      <c r="H588" s="56"/>
      <c r="I588" s="60" t="str">
        <f aca="false">IF(IsPro,IF($D588="","",IFERROR(INDEX(Items!$D$5:$D$504,Q588),"")),IF($D588="","","PRO PLAN"))</f>
        <v/>
      </c>
      <c r="J588" s="61" t="str">
        <f aca="false">IF(IsPro,IF($D588="","",IF($F588="",IFERROR(INDEX(Items!$G$5:$G$504,Q588),0),$F588)),"")</f>
        <v/>
      </c>
      <c r="K588" s="61" t="str">
        <f aca="false">IF(IsPro,IF($D588="","",ROUND(N($E588)*J588*(1-N($G588)),2)),"")</f>
        <v/>
      </c>
      <c r="L588" s="62" t="str">
        <f aca="false">IF(IsPro,IF($D588="","",IFERROR(INDEX(Items!$F$5:$F$504,Q588),0)),"")</f>
        <v/>
      </c>
      <c r="M588" s="61" t="str">
        <f aca="false">IF(IsPro,IF($D588="","",IF(AND(R588&lt;&gt;"",INDEX(Parties!$E$5:$E$304,R588)&lt;&gt;"",INDEX(Parties!$E$5:$E$304,R588)&lt;&gt;HomeState),0,ROUND(K588*L588/2,2))),"")</f>
        <v/>
      </c>
      <c r="N588" s="61" t="str">
        <f aca="false">IF(IsPro,IF($D588="","",M588),"")</f>
        <v/>
      </c>
      <c r="O588" s="61" t="str">
        <f aca="false">IF(IsPro,IF($D588="","",IF(AND(R588&lt;&gt;"",INDEX(Parties!$E$5:$E$304,R588)&lt;&gt;"",INDEX(Parties!$E$5:$E$304,R588)&lt;&gt;HomeState),ROUND(K588*L588,2),0)),"")</f>
        <v/>
      </c>
      <c r="P588" s="61" t="str">
        <f aca="false">IF(IsPro,IF($D588="","",K588+M588+N588+O588),"")</f>
        <v/>
      </c>
      <c r="Q588" s="60" t="str">
        <f aca="false">IF(IsPro,IF($D588="","",IFERROR(MATCH($D588,Items!$A$5:$A$504,0),"")),"")</f>
        <v/>
      </c>
      <c r="R588" s="60" t="str">
        <f aca="false">IF(IsPro,IF($C588="","",IFERROR(MATCH($C588,Parties!$A$5:$A$304,0),"")),"")</f>
        <v/>
      </c>
      <c r="S588" s="61" t="str">
        <f aca="false">IF(IsPro,IF($D588="","",IF(OR($H588="",$H588="Credit"),0,P588)),"")</f>
        <v/>
      </c>
    </row>
    <row r="589" customFormat="false" ht="15" hidden="false" customHeight="false" outlineLevel="0" collapsed="false">
      <c r="A589" s="55"/>
      <c r="B589" s="56"/>
      <c r="C589" s="56"/>
      <c r="D589" s="56"/>
      <c r="E589" s="57"/>
      <c r="F589" s="58"/>
      <c r="G589" s="59"/>
      <c r="H589" s="56"/>
      <c r="I589" s="60" t="str">
        <f aca="false">IF(IsPro,IF($D589="","",IFERROR(INDEX(Items!$D$5:$D$504,Q589),"")),IF($D589="","","PRO PLAN"))</f>
        <v/>
      </c>
      <c r="J589" s="61" t="str">
        <f aca="false">IF(IsPro,IF($D589="","",IF($F589="",IFERROR(INDEX(Items!$G$5:$G$504,Q589),0),$F589)),"")</f>
        <v/>
      </c>
      <c r="K589" s="61" t="str">
        <f aca="false">IF(IsPro,IF($D589="","",ROUND(N($E589)*J589*(1-N($G589)),2)),"")</f>
        <v/>
      </c>
      <c r="L589" s="62" t="str">
        <f aca="false">IF(IsPro,IF($D589="","",IFERROR(INDEX(Items!$F$5:$F$504,Q589),0)),"")</f>
        <v/>
      </c>
      <c r="M589" s="61" t="str">
        <f aca="false">IF(IsPro,IF($D589="","",IF(AND(R589&lt;&gt;"",INDEX(Parties!$E$5:$E$304,R589)&lt;&gt;"",INDEX(Parties!$E$5:$E$304,R589)&lt;&gt;HomeState),0,ROUND(K589*L589/2,2))),"")</f>
        <v/>
      </c>
      <c r="N589" s="61" t="str">
        <f aca="false">IF(IsPro,IF($D589="","",M589),"")</f>
        <v/>
      </c>
      <c r="O589" s="61" t="str">
        <f aca="false">IF(IsPro,IF($D589="","",IF(AND(R589&lt;&gt;"",INDEX(Parties!$E$5:$E$304,R589)&lt;&gt;"",INDEX(Parties!$E$5:$E$304,R589)&lt;&gt;HomeState),ROUND(K589*L589,2),0)),"")</f>
        <v/>
      </c>
      <c r="P589" s="61" t="str">
        <f aca="false">IF(IsPro,IF($D589="","",K589+M589+N589+O589),"")</f>
        <v/>
      </c>
      <c r="Q589" s="60" t="str">
        <f aca="false">IF(IsPro,IF($D589="","",IFERROR(MATCH($D589,Items!$A$5:$A$504,0),"")),"")</f>
        <v/>
      </c>
      <c r="R589" s="60" t="str">
        <f aca="false">IF(IsPro,IF($C589="","",IFERROR(MATCH($C589,Parties!$A$5:$A$304,0),"")),"")</f>
        <v/>
      </c>
      <c r="S589" s="61" t="str">
        <f aca="false">IF(IsPro,IF($D589="","",IF(OR($H589="",$H589="Credit"),0,P589)),"")</f>
        <v/>
      </c>
    </row>
    <row r="590" customFormat="false" ht="15" hidden="false" customHeight="false" outlineLevel="0" collapsed="false">
      <c r="A590" s="55"/>
      <c r="B590" s="56"/>
      <c r="C590" s="56"/>
      <c r="D590" s="56"/>
      <c r="E590" s="57"/>
      <c r="F590" s="58"/>
      <c r="G590" s="59"/>
      <c r="H590" s="56"/>
      <c r="I590" s="60" t="str">
        <f aca="false">IF(IsPro,IF($D590="","",IFERROR(INDEX(Items!$D$5:$D$504,Q590),"")),IF($D590="","","PRO PLAN"))</f>
        <v/>
      </c>
      <c r="J590" s="61" t="str">
        <f aca="false">IF(IsPro,IF($D590="","",IF($F590="",IFERROR(INDEX(Items!$G$5:$G$504,Q590),0),$F590)),"")</f>
        <v/>
      </c>
      <c r="K590" s="61" t="str">
        <f aca="false">IF(IsPro,IF($D590="","",ROUND(N($E590)*J590*(1-N($G590)),2)),"")</f>
        <v/>
      </c>
      <c r="L590" s="62" t="str">
        <f aca="false">IF(IsPro,IF($D590="","",IFERROR(INDEX(Items!$F$5:$F$504,Q590),0)),"")</f>
        <v/>
      </c>
      <c r="M590" s="61" t="str">
        <f aca="false">IF(IsPro,IF($D590="","",IF(AND(R590&lt;&gt;"",INDEX(Parties!$E$5:$E$304,R590)&lt;&gt;"",INDEX(Parties!$E$5:$E$304,R590)&lt;&gt;HomeState),0,ROUND(K590*L590/2,2))),"")</f>
        <v/>
      </c>
      <c r="N590" s="61" t="str">
        <f aca="false">IF(IsPro,IF($D590="","",M590),"")</f>
        <v/>
      </c>
      <c r="O590" s="61" t="str">
        <f aca="false">IF(IsPro,IF($D590="","",IF(AND(R590&lt;&gt;"",INDEX(Parties!$E$5:$E$304,R590)&lt;&gt;"",INDEX(Parties!$E$5:$E$304,R590)&lt;&gt;HomeState),ROUND(K590*L590,2),0)),"")</f>
        <v/>
      </c>
      <c r="P590" s="61" t="str">
        <f aca="false">IF(IsPro,IF($D590="","",K590+M590+N590+O590),"")</f>
        <v/>
      </c>
      <c r="Q590" s="60" t="str">
        <f aca="false">IF(IsPro,IF($D590="","",IFERROR(MATCH($D590,Items!$A$5:$A$504,0),"")),"")</f>
        <v/>
      </c>
      <c r="R590" s="60" t="str">
        <f aca="false">IF(IsPro,IF($C590="","",IFERROR(MATCH($C590,Parties!$A$5:$A$304,0),"")),"")</f>
        <v/>
      </c>
      <c r="S590" s="61" t="str">
        <f aca="false">IF(IsPro,IF($D590="","",IF(OR($H590="",$H590="Credit"),0,P590)),"")</f>
        <v/>
      </c>
    </row>
    <row r="591" customFormat="false" ht="15" hidden="false" customHeight="false" outlineLevel="0" collapsed="false">
      <c r="A591" s="55"/>
      <c r="B591" s="56"/>
      <c r="C591" s="56"/>
      <c r="D591" s="56"/>
      <c r="E591" s="57"/>
      <c r="F591" s="58"/>
      <c r="G591" s="59"/>
      <c r="H591" s="56"/>
      <c r="I591" s="60" t="str">
        <f aca="false">IF(IsPro,IF($D591="","",IFERROR(INDEX(Items!$D$5:$D$504,Q591),"")),IF($D591="","","PRO PLAN"))</f>
        <v/>
      </c>
      <c r="J591" s="61" t="str">
        <f aca="false">IF(IsPro,IF($D591="","",IF($F591="",IFERROR(INDEX(Items!$G$5:$G$504,Q591),0),$F591)),"")</f>
        <v/>
      </c>
      <c r="K591" s="61" t="str">
        <f aca="false">IF(IsPro,IF($D591="","",ROUND(N($E591)*J591*(1-N($G591)),2)),"")</f>
        <v/>
      </c>
      <c r="L591" s="62" t="str">
        <f aca="false">IF(IsPro,IF($D591="","",IFERROR(INDEX(Items!$F$5:$F$504,Q591),0)),"")</f>
        <v/>
      </c>
      <c r="M591" s="61" t="str">
        <f aca="false">IF(IsPro,IF($D591="","",IF(AND(R591&lt;&gt;"",INDEX(Parties!$E$5:$E$304,R591)&lt;&gt;"",INDEX(Parties!$E$5:$E$304,R591)&lt;&gt;HomeState),0,ROUND(K591*L591/2,2))),"")</f>
        <v/>
      </c>
      <c r="N591" s="61" t="str">
        <f aca="false">IF(IsPro,IF($D591="","",M591),"")</f>
        <v/>
      </c>
      <c r="O591" s="61" t="str">
        <f aca="false">IF(IsPro,IF($D591="","",IF(AND(R591&lt;&gt;"",INDEX(Parties!$E$5:$E$304,R591)&lt;&gt;"",INDEX(Parties!$E$5:$E$304,R591)&lt;&gt;HomeState),ROUND(K591*L591,2),0)),"")</f>
        <v/>
      </c>
      <c r="P591" s="61" t="str">
        <f aca="false">IF(IsPro,IF($D591="","",K591+M591+N591+O591),"")</f>
        <v/>
      </c>
      <c r="Q591" s="60" t="str">
        <f aca="false">IF(IsPro,IF($D591="","",IFERROR(MATCH($D591,Items!$A$5:$A$504,0),"")),"")</f>
        <v/>
      </c>
      <c r="R591" s="60" t="str">
        <f aca="false">IF(IsPro,IF($C591="","",IFERROR(MATCH($C591,Parties!$A$5:$A$304,0),"")),"")</f>
        <v/>
      </c>
      <c r="S591" s="61" t="str">
        <f aca="false">IF(IsPro,IF($D591="","",IF(OR($H591="",$H591="Credit"),0,P591)),"")</f>
        <v/>
      </c>
    </row>
    <row r="592" customFormat="false" ht="15" hidden="false" customHeight="false" outlineLevel="0" collapsed="false">
      <c r="A592" s="55"/>
      <c r="B592" s="56"/>
      <c r="C592" s="56"/>
      <c r="D592" s="56"/>
      <c r="E592" s="57"/>
      <c r="F592" s="58"/>
      <c r="G592" s="59"/>
      <c r="H592" s="56"/>
      <c r="I592" s="60" t="str">
        <f aca="false">IF(IsPro,IF($D592="","",IFERROR(INDEX(Items!$D$5:$D$504,Q592),"")),IF($D592="","","PRO PLAN"))</f>
        <v/>
      </c>
      <c r="J592" s="61" t="str">
        <f aca="false">IF(IsPro,IF($D592="","",IF($F592="",IFERROR(INDEX(Items!$G$5:$G$504,Q592),0),$F592)),"")</f>
        <v/>
      </c>
      <c r="K592" s="61" t="str">
        <f aca="false">IF(IsPro,IF($D592="","",ROUND(N($E592)*J592*(1-N($G592)),2)),"")</f>
        <v/>
      </c>
      <c r="L592" s="62" t="str">
        <f aca="false">IF(IsPro,IF($D592="","",IFERROR(INDEX(Items!$F$5:$F$504,Q592),0)),"")</f>
        <v/>
      </c>
      <c r="M592" s="61" t="str">
        <f aca="false">IF(IsPro,IF($D592="","",IF(AND(R592&lt;&gt;"",INDEX(Parties!$E$5:$E$304,R592)&lt;&gt;"",INDEX(Parties!$E$5:$E$304,R592)&lt;&gt;HomeState),0,ROUND(K592*L592/2,2))),"")</f>
        <v/>
      </c>
      <c r="N592" s="61" t="str">
        <f aca="false">IF(IsPro,IF($D592="","",M592),"")</f>
        <v/>
      </c>
      <c r="O592" s="61" t="str">
        <f aca="false">IF(IsPro,IF($D592="","",IF(AND(R592&lt;&gt;"",INDEX(Parties!$E$5:$E$304,R592)&lt;&gt;"",INDEX(Parties!$E$5:$E$304,R592)&lt;&gt;HomeState),ROUND(K592*L592,2),0)),"")</f>
        <v/>
      </c>
      <c r="P592" s="61" t="str">
        <f aca="false">IF(IsPro,IF($D592="","",K592+M592+N592+O592),"")</f>
        <v/>
      </c>
      <c r="Q592" s="60" t="str">
        <f aca="false">IF(IsPro,IF($D592="","",IFERROR(MATCH($D592,Items!$A$5:$A$504,0),"")),"")</f>
        <v/>
      </c>
      <c r="R592" s="60" t="str">
        <f aca="false">IF(IsPro,IF($C592="","",IFERROR(MATCH($C592,Parties!$A$5:$A$304,0),"")),"")</f>
        <v/>
      </c>
      <c r="S592" s="61" t="str">
        <f aca="false">IF(IsPro,IF($D592="","",IF(OR($H592="",$H592="Credit"),0,P592)),"")</f>
        <v/>
      </c>
    </row>
    <row r="593" customFormat="false" ht="15" hidden="false" customHeight="false" outlineLevel="0" collapsed="false">
      <c r="A593" s="55"/>
      <c r="B593" s="56"/>
      <c r="C593" s="56"/>
      <c r="D593" s="56"/>
      <c r="E593" s="57"/>
      <c r="F593" s="58"/>
      <c r="G593" s="59"/>
      <c r="H593" s="56"/>
      <c r="I593" s="60" t="str">
        <f aca="false">IF(IsPro,IF($D593="","",IFERROR(INDEX(Items!$D$5:$D$504,Q593),"")),IF($D593="","","PRO PLAN"))</f>
        <v/>
      </c>
      <c r="J593" s="61" t="str">
        <f aca="false">IF(IsPro,IF($D593="","",IF($F593="",IFERROR(INDEX(Items!$G$5:$G$504,Q593),0),$F593)),"")</f>
        <v/>
      </c>
      <c r="K593" s="61" t="str">
        <f aca="false">IF(IsPro,IF($D593="","",ROUND(N($E593)*J593*(1-N($G593)),2)),"")</f>
        <v/>
      </c>
      <c r="L593" s="62" t="str">
        <f aca="false">IF(IsPro,IF($D593="","",IFERROR(INDEX(Items!$F$5:$F$504,Q593),0)),"")</f>
        <v/>
      </c>
      <c r="M593" s="61" t="str">
        <f aca="false">IF(IsPro,IF($D593="","",IF(AND(R593&lt;&gt;"",INDEX(Parties!$E$5:$E$304,R593)&lt;&gt;"",INDEX(Parties!$E$5:$E$304,R593)&lt;&gt;HomeState),0,ROUND(K593*L593/2,2))),"")</f>
        <v/>
      </c>
      <c r="N593" s="61" t="str">
        <f aca="false">IF(IsPro,IF($D593="","",M593),"")</f>
        <v/>
      </c>
      <c r="O593" s="61" t="str">
        <f aca="false">IF(IsPro,IF($D593="","",IF(AND(R593&lt;&gt;"",INDEX(Parties!$E$5:$E$304,R593)&lt;&gt;"",INDEX(Parties!$E$5:$E$304,R593)&lt;&gt;HomeState),ROUND(K593*L593,2),0)),"")</f>
        <v/>
      </c>
      <c r="P593" s="61" t="str">
        <f aca="false">IF(IsPro,IF($D593="","",K593+M593+N593+O593),"")</f>
        <v/>
      </c>
      <c r="Q593" s="60" t="str">
        <f aca="false">IF(IsPro,IF($D593="","",IFERROR(MATCH($D593,Items!$A$5:$A$504,0),"")),"")</f>
        <v/>
      </c>
      <c r="R593" s="60" t="str">
        <f aca="false">IF(IsPro,IF($C593="","",IFERROR(MATCH($C593,Parties!$A$5:$A$304,0),"")),"")</f>
        <v/>
      </c>
      <c r="S593" s="61" t="str">
        <f aca="false">IF(IsPro,IF($D593="","",IF(OR($H593="",$H593="Credit"),0,P593)),"")</f>
        <v/>
      </c>
    </row>
    <row r="594" customFormat="false" ht="15" hidden="false" customHeight="false" outlineLevel="0" collapsed="false">
      <c r="A594" s="55"/>
      <c r="B594" s="56"/>
      <c r="C594" s="56"/>
      <c r="D594" s="56"/>
      <c r="E594" s="57"/>
      <c r="F594" s="58"/>
      <c r="G594" s="59"/>
      <c r="H594" s="56"/>
      <c r="I594" s="60" t="str">
        <f aca="false">IF(IsPro,IF($D594="","",IFERROR(INDEX(Items!$D$5:$D$504,Q594),"")),IF($D594="","","PRO PLAN"))</f>
        <v/>
      </c>
      <c r="J594" s="61" t="str">
        <f aca="false">IF(IsPro,IF($D594="","",IF($F594="",IFERROR(INDEX(Items!$G$5:$G$504,Q594),0),$F594)),"")</f>
        <v/>
      </c>
      <c r="K594" s="61" t="str">
        <f aca="false">IF(IsPro,IF($D594="","",ROUND(N($E594)*J594*(1-N($G594)),2)),"")</f>
        <v/>
      </c>
      <c r="L594" s="62" t="str">
        <f aca="false">IF(IsPro,IF($D594="","",IFERROR(INDEX(Items!$F$5:$F$504,Q594),0)),"")</f>
        <v/>
      </c>
      <c r="M594" s="61" t="str">
        <f aca="false">IF(IsPro,IF($D594="","",IF(AND(R594&lt;&gt;"",INDEX(Parties!$E$5:$E$304,R594)&lt;&gt;"",INDEX(Parties!$E$5:$E$304,R594)&lt;&gt;HomeState),0,ROUND(K594*L594/2,2))),"")</f>
        <v/>
      </c>
      <c r="N594" s="61" t="str">
        <f aca="false">IF(IsPro,IF($D594="","",M594),"")</f>
        <v/>
      </c>
      <c r="O594" s="61" t="str">
        <f aca="false">IF(IsPro,IF($D594="","",IF(AND(R594&lt;&gt;"",INDEX(Parties!$E$5:$E$304,R594)&lt;&gt;"",INDEX(Parties!$E$5:$E$304,R594)&lt;&gt;HomeState),ROUND(K594*L594,2),0)),"")</f>
        <v/>
      </c>
      <c r="P594" s="61" t="str">
        <f aca="false">IF(IsPro,IF($D594="","",K594+M594+N594+O594),"")</f>
        <v/>
      </c>
      <c r="Q594" s="60" t="str">
        <f aca="false">IF(IsPro,IF($D594="","",IFERROR(MATCH($D594,Items!$A$5:$A$504,0),"")),"")</f>
        <v/>
      </c>
      <c r="R594" s="60" t="str">
        <f aca="false">IF(IsPro,IF($C594="","",IFERROR(MATCH($C594,Parties!$A$5:$A$304,0),"")),"")</f>
        <v/>
      </c>
      <c r="S594" s="61" t="str">
        <f aca="false">IF(IsPro,IF($D594="","",IF(OR($H594="",$H594="Credit"),0,P594)),"")</f>
        <v/>
      </c>
    </row>
    <row r="595" customFormat="false" ht="15" hidden="false" customHeight="false" outlineLevel="0" collapsed="false">
      <c r="A595" s="55"/>
      <c r="B595" s="56"/>
      <c r="C595" s="56"/>
      <c r="D595" s="56"/>
      <c r="E595" s="57"/>
      <c r="F595" s="58"/>
      <c r="G595" s="59"/>
      <c r="H595" s="56"/>
      <c r="I595" s="60" t="str">
        <f aca="false">IF(IsPro,IF($D595="","",IFERROR(INDEX(Items!$D$5:$D$504,Q595),"")),IF($D595="","","PRO PLAN"))</f>
        <v/>
      </c>
      <c r="J595" s="61" t="str">
        <f aca="false">IF(IsPro,IF($D595="","",IF($F595="",IFERROR(INDEX(Items!$G$5:$G$504,Q595),0),$F595)),"")</f>
        <v/>
      </c>
      <c r="K595" s="61" t="str">
        <f aca="false">IF(IsPro,IF($D595="","",ROUND(N($E595)*J595*(1-N($G595)),2)),"")</f>
        <v/>
      </c>
      <c r="L595" s="62" t="str">
        <f aca="false">IF(IsPro,IF($D595="","",IFERROR(INDEX(Items!$F$5:$F$504,Q595),0)),"")</f>
        <v/>
      </c>
      <c r="M595" s="61" t="str">
        <f aca="false">IF(IsPro,IF($D595="","",IF(AND(R595&lt;&gt;"",INDEX(Parties!$E$5:$E$304,R595)&lt;&gt;"",INDEX(Parties!$E$5:$E$304,R595)&lt;&gt;HomeState),0,ROUND(K595*L595/2,2))),"")</f>
        <v/>
      </c>
      <c r="N595" s="61" t="str">
        <f aca="false">IF(IsPro,IF($D595="","",M595),"")</f>
        <v/>
      </c>
      <c r="O595" s="61" t="str">
        <f aca="false">IF(IsPro,IF($D595="","",IF(AND(R595&lt;&gt;"",INDEX(Parties!$E$5:$E$304,R595)&lt;&gt;"",INDEX(Parties!$E$5:$E$304,R595)&lt;&gt;HomeState),ROUND(K595*L595,2),0)),"")</f>
        <v/>
      </c>
      <c r="P595" s="61" t="str">
        <f aca="false">IF(IsPro,IF($D595="","",K595+M595+N595+O595),"")</f>
        <v/>
      </c>
      <c r="Q595" s="60" t="str">
        <f aca="false">IF(IsPro,IF($D595="","",IFERROR(MATCH($D595,Items!$A$5:$A$504,0),"")),"")</f>
        <v/>
      </c>
      <c r="R595" s="60" t="str">
        <f aca="false">IF(IsPro,IF($C595="","",IFERROR(MATCH($C595,Parties!$A$5:$A$304,0),"")),"")</f>
        <v/>
      </c>
      <c r="S595" s="61" t="str">
        <f aca="false">IF(IsPro,IF($D595="","",IF(OR($H595="",$H595="Credit"),0,P595)),"")</f>
        <v/>
      </c>
    </row>
    <row r="596" customFormat="false" ht="15" hidden="false" customHeight="false" outlineLevel="0" collapsed="false">
      <c r="A596" s="55"/>
      <c r="B596" s="56"/>
      <c r="C596" s="56"/>
      <c r="D596" s="56"/>
      <c r="E596" s="57"/>
      <c r="F596" s="58"/>
      <c r="G596" s="59"/>
      <c r="H596" s="56"/>
      <c r="I596" s="60" t="str">
        <f aca="false">IF(IsPro,IF($D596="","",IFERROR(INDEX(Items!$D$5:$D$504,Q596),"")),IF($D596="","","PRO PLAN"))</f>
        <v/>
      </c>
      <c r="J596" s="61" t="str">
        <f aca="false">IF(IsPro,IF($D596="","",IF($F596="",IFERROR(INDEX(Items!$G$5:$G$504,Q596),0),$F596)),"")</f>
        <v/>
      </c>
      <c r="K596" s="61" t="str">
        <f aca="false">IF(IsPro,IF($D596="","",ROUND(N($E596)*J596*(1-N($G596)),2)),"")</f>
        <v/>
      </c>
      <c r="L596" s="62" t="str">
        <f aca="false">IF(IsPro,IF($D596="","",IFERROR(INDEX(Items!$F$5:$F$504,Q596),0)),"")</f>
        <v/>
      </c>
      <c r="M596" s="61" t="str">
        <f aca="false">IF(IsPro,IF($D596="","",IF(AND(R596&lt;&gt;"",INDEX(Parties!$E$5:$E$304,R596)&lt;&gt;"",INDEX(Parties!$E$5:$E$304,R596)&lt;&gt;HomeState),0,ROUND(K596*L596/2,2))),"")</f>
        <v/>
      </c>
      <c r="N596" s="61" t="str">
        <f aca="false">IF(IsPro,IF($D596="","",M596),"")</f>
        <v/>
      </c>
      <c r="O596" s="61" t="str">
        <f aca="false">IF(IsPro,IF($D596="","",IF(AND(R596&lt;&gt;"",INDEX(Parties!$E$5:$E$304,R596)&lt;&gt;"",INDEX(Parties!$E$5:$E$304,R596)&lt;&gt;HomeState),ROUND(K596*L596,2),0)),"")</f>
        <v/>
      </c>
      <c r="P596" s="61" t="str">
        <f aca="false">IF(IsPro,IF($D596="","",K596+M596+N596+O596),"")</f>
        <v/>
      </c>
      <c r="Q596" s="60" t="str">
        <f aca="false">IF(IsPro,IF($D596="","",IFERROR(MATCH($D596,Items!$A$5:$A$504,0),"")),"")</f>
        <v/>
      </c>
      <c r="R596" s="60" t="str">
        <f aca="false">IF(IsPro,IF($C596="","",IFERROR(MATCH($C596,Parties!$A$5:$A$304,0),"")),"")</f>
        <v/>
      </c>
      <c r="S596" s="61" t="str">
        <f aca="false">IF(IsPro,IF($D596="","",IF(OR($H596="",$H596="Credit"),0,P596)),"")</f>
        <v/>
      </c>
    </row>
    <row r="597" customFormat="false" ht="15" hidden="false" customHeight="false" outlineLevel="0" collapsed="false">
      <c r="A597" s="55"/>
      <c r="B597" s="56"/>
      <c r="C597" s="56"/>
      <c r="D597" s="56"/>
      <c r="E597" s="57"/>
      <c r="F597" s="58"/>
      <c r="G597" s="59"/>
      <c r="H597" s="56"/>
      <c r="I597" s="60" t="str">
        <f aca="false">IF(IsPro,IF($D597="","",IFERROR(INDEX(Items!$D$5:$D$504,Q597),"")),IF($D597="","","PRO PLAN"))</f>
        <v/>
      </c>
      <c r="J597" s="61" t="str">
        <f aca="false">IF(IsPro,IF($D597="","",IF($F597="",IFERROR(INDEX(Items!$G$5:$G$504,Q597),0),$F597)),"")</f>
        <v/>
      </c>
      <c r="K597" s="61" t="str">
        <f aca="false">IF(IsPro,IF($D597="","",ROUND(N($E597)*J597*(1-N($G597)),2)),"")</f>
        <v/>
      </c>
      <c r="L597" s="62" t="str">
        <f aca="false">IF(IsPro,IF($D597="","",IFERROR(INDEX(Items!$F$5:$F$504,Q597),0)),"")</f>
        <v/>
      </c>
      <c r="M597" s="61" t="str">
        <f aca="false">IF(IsPro,IF($D597="","",IF(AND(R597&lt;&gt;"",INDEX(Parties!$E$5:$E$304,R597)&lt;&gt;"",INDEX(Parties!$E$5:$E$304,R597)&lt;&gt;HomeState),0,ROUND(K597*L597/2,2))),"")</f>
        <v/>
      </c>
      <c r="N597" s="61" t="str">
        <f aca="false">IF(IsPro,IF($D597="","",M597),"")</f>
        <v/>
      </c>
      <c r="O597" s="61" t="str">
        <f aca="false">IF(IsPro,IF($D597="","",IF(AND(R597&lt;&gt;"",INDEX(Parties!$E$5:$E$304,R597)&lt;&gt;"",INDEX(Parties!$E$5:$E$304,R597)&lt;&gt;HomeState),ROUND(K597*L597,2),0)),"")</f>
        <v/>
      </c>
      <c r="P597" s="61" t="str">
        <f aca="false">IF(IsPro,IF($D597="","",K597+M597+N597+O597),"")</f>
        <v/>
      </c>
      <c r="Q597" s="60" t="str">
        <f aca="false">IF(IsPro,IF($D597="","",IFERROR(MATCH($D597,Items!$A$5:$A$504,0),"")),"")</f>
        <v/>
      </c>
      <c r="R597" s="60" t="str">
        <f aca="false">IF(IsPro,IF($C597="","",IFERROR(MATCH($C597,Parties!$A$5:$A$304,0),"")),"")</f>
        <v/>
      </c>
      <c r="S597" s="61" t="str">
        <f aca="false">IF(IsPro,IF($D597="","",IF(OR($H597="",$H597="Credit"),0,P597)),"")</f>
        <v/>
      </c>
    </row>
    <row r="598" customFormat="false" ht="15" hidden="false" customHeight="false" outlineLevel="0" collapsed="false">
      <c r="A598" s="55"/>
      <c r="B598" s="56"/>
      <c r="C598" s="56"/>
      <c r="D598" s="56"/>
      <c r="E598" s="57"/>
      <c r="F598" s="58"/>
      <c r="G598" s="59"/>
      <c r="H598" s="56"/>
      <c r="I598" s="60" t="str">
        <f aca="false">IF(IsPro,IF($D598="","",IFERROR(INDEX(Items!$D$5:$D$504,Q598),"")),IF($D598="","","PRO PLAN"))</f>
        <v/>
      </c>
      <c r="J598" s="61" t="str">
        <f aca="false">IF(IsPro,IF($D598="","",IF($F598="",IFERROR(INDEX(Items!$G$5:$G$504,Q598),0),$F598)),"")</f>
        <v/>
      </c>
      <c r="K598" s="61" t="str">
        <f aca="false">IF(IsPro,IF($D598="","",ROUND(N($E598)*J598*(1-N($G598)),2)),"")</f>
        <v/>
      </c>
      <c r="L598" s="62" t="str">
        <f aca="false">IF(IsPro,IF($D598="","",IFERROR(INDEX(Items!$F$5:$F$504,Q598),0)),"")</f>
        <v/>
      </c>
      <c r="M598" s="61" t="str">
        <f aca="false">IF(IsPro,IF($D598="","",IF(AND(R598&lt;&gt;"",INDEX(Parties!$E$5:$E$304,R598)&lt;&gt;"",INDEX(Parties!$E$5:$E$304,R598)&lt;&gt;HomeState),0,ROUND(K598*L598/2,2))),"")</f>
        <v/>
      </c>
      <c r="N598" s="61" t="str">
        <f aca="false">IF(IsPro,IF($D598="","",M598),"")</f>
        <v/>
      </c>
      <c r="O598" s="61" t="str">
        <f aca="false">IF(IsPro,IF($D598="","",IF(AND(R598&lt;&gt;"",INDEX(Parties!$E$5:$E$304,R598)&lt;&gt;"",INDEX(Parties!$E$5:$E$304,R598)&lt;&gt;HomeState),ROUND(K598*L598,2),0)),"")</f>
        <v/>
      </c>
      <c r="P598" s="61" t="str">
        <f aca="false">IF(IsPro,IF($D598="","",K598+M598+N598+O598),"")</f>
        <v/>
      </c>
      <c r="Q598" s="60" t="str">
        <f aca="false">IF(IsPro,IF($D598="","",IFERROR(MATCH($D598,Items!$A$5:$A$504,0),"")),"")</f>
        <v/>
      </c>
      <c r="R598" s="60" t="str">
        <f aca="false">IF(IsPro,IF($C598="","",IFERROR(MATCH($C598,Parties!$A$5:$A$304,0),"")),"")</f>
        <v/>
      </c>
      <c r="S598" s="61" t="str">
        <f aca="false">IF(IsPro,IF($D598="","",IF(OR($H598="",$H598="Credit"),0,P598)),"")</f>
        <v/>
      </c>
    </row>
    <row r="599" customFormat="false" ht="15" hidden="false" customHeight="false" outlineLevel="0" collapsed="false">
      <c r="A599" s="55"/>
      <c r="B599" s="56"/>
      <c r="C599" s="56"/>
      <c r="D599" s="56"/>
      <c r="E599" s="57"/>
      <c r="F599" s="58"/>
      <c r="G599" s="59"/>
      <c r="H599" s="56"/>
      <c r="I599" s="60" t="str">
        <f aca="false">IF(IsPro,IF($D599="","",IFERROR(INDEX(Items!$D$5:$D$504,Q599),"")),IF($D599="","","PRO PLAN"))</f>
        <v/>
      </c>
      <c r="J599" s="61" t="str">
        <f aca="false">IF(IsPro,IF($D599="","",IF($F599="",IFERROR(INDEX(Items!$G$5:$G$504,Q599),0),$F599)),"")</f>
        <v/>
      </c>
      <c r="K599" s="61" t="str">
        <f aca="false">IF(IsPro,IF($D599="","",ROUND(N($E599)*J599*(1-N($G599)),2)),"")</f>
        <v/>
      </c>
      <c r="L599" s="62" t="str">
        <f aca="false">IF(IsPro,IF($D599="","",IFERROR(INDEX(Items!$F$5:$F$504,Q599),0)),"")</f>
        <v/>
      </c>
      <c r="M599" s="61" t="str">
        <f aca="false">IF(IsPro,IF($D599="","",IF(AND(R599&lt;&gt;"",INDEX(Parties!$E$5:$E$304,R599)&lt;&gt;"",INDEX(Parties!$E$5:$E$304,R599)&lt;&gt;HomeState),0,ROUND(K599*L599/2,2))),"")</f>
        <v/>
      </c>
      <c r="N599" s="61" t="str">
        <f aca="false">IF(IsPro,IF($D599="","",M599),"")</f>
        <v/>
      </c>
      <c r="O599" s="61" t="str">
        <f aca="false">IF(IsPro,IF($D599="","",IF(AND(R599&lt;&gt;"",INDEX(Parties!$E$5:$E$304,R599)&lt;&gt;"",INDEX(Parties!$E$5:$E$304,R599)&lt;&gt;HomeState),ROUND(K599*L599,2),0)),"")</f>
        <v/>
      </c>
      <c r="P599" s="61" t="str">
        <f aca="false">IF(IsPro,IF($D599="","",K599+M599+N599+O599),"")</f>
        <v/>
      </c>
      <c r="Q599" s="60" t="str">
        <f aca="false">IF(IsPro,IF($D599="","",IFERROR(MATCH($D599,Items!$A$5:$A$504,0),"")),"")</f>
        <v/>
      </c>
      <c r="R599" s="60" t="str">
        <f aca="false">IF(IsPro,IF($C599="","",IFERROR(MATCH($C599,Parties!$A$5:$A$304,0),"")),"")</f>
        <v/>
      </c>
      <c r="S599" s="61" t="str">
        <f aca="false">IF(IsPro,IF($D599="","",IF(OR($H599="",$H599="Credit"),0,P599)),"")</f>
        <v/>
      </c>
    </row>
    <row r="600" customFormat="false" ht="15" hidden="false" customHeight="false" outlineLevel="0" collapsed="false">
      <c r="A600" s="55"/>
      <c r="B600" s="56"/>
      <c r="C600" s="56"/>
      <c r="D600" s="56"/>
      <c r="E600" s="57"/>
      <c r="F600" s="58"/>
      <c r="G600" s="59"/>
      <c r="H600" s="56"/>
      <c r="I600" s="60" t="str">
        <f aca="false">IF(IsPro,IF($D600="","",IFERROR(INDEX(Items!$D$5:$D$504,Q600),"")),IF($D600="","","PRO PLAN"))</f>
        <v/>
      </c>
      <c r="J600" s="61" t="str">
        <f aca="false">IF(IsPro,IF($D600="","",IF($F600="",IFERROR(INDEX(Items!$G$5:$G$504,Q600),0),$F600)),"")</f>
        <v/>
      </c>
      <c r="K600" s="61" t="str">
        <f aca="false">IF(IsPro,IF($D600="","",ROUND(N($E600)*J600*(1-N($G600)),2)),"")</f>
        <v/>
      </c>
      <c r="L600" s="62" t="str">
        <f aca="false">IF(IsPro,IF($D600="","",IFERROR(INDEX(Items!$F$5:$F$504,Q600),0)),"")</f>
        <v/>
      </c>
      <c r="M600" s="61" t="str">
        <f aca="false">IF(IsPro,IF($D600="","",IF(AND(R600&lt;&gt;"",INDEX(Parties!$E$5:$E$304,R600)&lt;&gt;"",INDEX(Parties!$E$5:$E$304,R600)&lt;&gt;HomeState),0,ROUND(K600*L600/2,2))),"")</f>
        <v/>
      </c>
      <c r="N600" s="61" t="str">
        <f aca="false">IF(IsPro,IF($D600="","",M600),"")</f>
        <v/>
      </c>
      <c r="O600" s="61" t="str">
        <f aca="false">IF(IsPro,IF($D600="","",IF(AND(R600&lt;&gt;"",INDEX(Parties!$E$5:$E$304,R600)&lt;&gt;"",INDEX(Parties!$E$5:$E$304,R600)&lt;&gt;HomeState),ROUND(K600*L600,2),0)),"")</f>
        <v/>
      </c>
      <c r="P600" s="61" t="str">
        <f aca="false">IF(IsPro,IF($D600="","",K600+M600+N600+O600),"")</f>
        <v/>
      </c>
      <c r="Q600" s="60" t="str">
        <f aca="false">IF(IsPro,IF($D600="","",IFERROR(MATCH($D600,Items!$A$5:$A$504,0),"")),"")</f>
        <v/>
      </c>
      <c r="R600" s="60" t="str">
        <f aca="false">IF(IsPro,IF($C600="","",IFERROR(MATCH($C600,Parties!$A$5:$A$304,0),"")),"")</f>
        <v/>
      </c>
      <c r="S600" s="61" t="str">
        <f aca="false">IF(IsPro,IF($D600="","",IF(OR($H600="",$H600="Credit"),0,P600)),"")</f>
        <v/>
      </c>
    </row>
    <row r="601" customFormat="false" ht="15" hidden="false" customHeight="false" outlineLevel="0" collapsed="false">
      <c r="A601" s="55"/>
      <c r="B601" s="56"/>
      <c r="C601" s="56"/>
      <c r="D601" s="56"/>
      <c r="E601" s="57"/>
      <c r="F601" s="58"/>
      <c r="G601" s="59"/>
      <c r="H601" s="56"/>
      <c r="I601" s="60" t="str">
        <f aca="false">IF(IsPro,IF($D601="","",IFERROR(INDEX(Items!$D$5:$D$504,Q601),"")),IF($D601="","","PRO PLAN"))</f>
        <v/>
      </c>
      <c r="J601" s="61" t="str">
        <f aca="false">IF(IsPro,IF($D601="","",IF($F601="",IFERROR(INDEX(Items!$G$5:$G$504,Q601),0),$F601)),"")</f>
        <v/>
      </c>
      <c r="K601" s="61" t="str">
        <f aca="false">IF(IsPro,IF($D601="","",ROUND(N($E601)*J601*(1-N($G601)),2)),"")</f>
        <v/>
      </c>
      <c r="L601" s="62" t="str">
        <f aca="false">IF(IsPro,IF($D601="","",IFERROR(INDEX(Items!$F$5:$F$504,Q601),0)),"")</f>
        <v/>
      </c>
      <c r="M601" s="61" t="str">
        <f aca="false">IF(IsPro,IF($D601="","",IF(AND(R601&lt;&gt;"",INDEX(Parties!$E$5:$E$304,R601)&lt;&gt;"",INDEX(Parties!$E$5:$E$304,R601)&lt;&gt;HomeState),0,ROUND(K601*L601/2,2))),"")</f>
        <v/>
      </c>
      <c r="N601" s="61" t="str">
        <f aca="false">IF(IsPro,IF($D601="","",M601),"")</f>
        <v/>
      </c>
      <c r="O601" s="61" t="str">
        <f aca="false">IF(IsPro,IF($D601="","",IF(AND(R601&lt;&gt;"",INDEX(Parties!$E$5:$E$304,R601)&lt;&gt;"",INDEX(Parties!$E$5:$E$304,R601)&lt;&gt;HomeState),ROUND(K601*L601,2),0)),"")</f>
        <v/>
      </c>
      <c r="P601" s="61" t="str">
        <f aca="false">IF(IsPro,IF($D601="","",K601+M601+N601+O601),"")</f>
        <v/>
      </c>
      <c r="Q601" s="60" t="str">
        <f aca="false">IF(IsPro,IF($D601="","",IFERROR(MATCH($D601,Items!$A$5:$A$504,0),"")),"")</f>
        <v/>
      </c>
      <c r="R601" s="60" t="str">
        <f aca="false">IF(IsPro,IF($C601="","",IFERROR(MATCH($C601,Parties!$A$5:$A$304,0),"")),"")</f>
        <v/>
      </c>
      <c r="S601" s="61" t="str">
        <f aca="false">IF(IsPro,IF($D601="","",IF(OR($H601="",$H601="Credit"),0,P601)),"")</f>
        <v/>
      </c>
    </row>
    <row r="602" customFormat="false" ht="15" hidden="false" customHeight="false" outlineLevel="0" collapsed="false">
      <c r="A602" s="55"/>
      <c r="B602" s="56"/>
      <c r="C602" s="56"/>
      <c r="D602" s="56"/>
      <c r="E602" s="57"/>
      <c r="F602" s="58"/>
      <c r="G602" s="59"/>
      <c r="H602" s="56"/>
      <c r="I602" s="60" t="str">
        <f aca="false">IF(IsPro,IF($D602="","",IFERROR(INDEX(Items!$D$5:$D$504,Q602),"")),IF($D602="","","PRO PLAN"))</f>
        <v/>
      </c>
      <c r="J602" s="61" t="str">
        <f aca="false">IF(IsPro,IF($D602="","",IF($F602="",IFERROR(INDEX(Items!$G$5:$G$504,Q602),0),$F602)),"")</f>
        <v/>
      </c>
      <c r="K602" s="61" t="str">
        <f aca="false">IF(IsPro,IF($D602="","",ROUND(N($E602)*J602*(1-N($G602)),2)),"")</f>
        <v/>
      </c>
      <c r="L602" s="62" t="str">
        <f aca="false">IF(IsPro,IF($D602="","",IFERROR(INDEX(Items!$F$5:$F$504,Q602),0)),"")</f>
        <v/>
      </c>
      <c r="M602" s="61" t="str">
        <f aca="false">IF(IsPro,IF($D602="","",IF(AND(R602&lt;&gt;"",INDEX(Parties!$E$5:$E$304,R602)&lt;&gt;"",INDEX(Parties!$E$5:$E$304,R602)&lt;&gt;HomeState),0,ROUND(K602*L602/2,2))),"")</f>
        <v/>
      </c>
      <c r="N602" s="61" t="str">
        <f aca="false">IF(IsPro,IF($D602="","",M602),"")</f>
        <v/>
      </c>
      <c r="O602" s="61" t="str">
        <f aca="false">IF(IsPro,IF($D602="","",IF(AND(R602&lt;&gt;"",INDEX(Parties!$E$5:$E$304,R602)&lt;&gt;"",INDEX(Parties!$E$5:$E$304,R602)&lt;&gt;HomeState),ROUND(K602*L602,2),0)),"")</f>
        <v/>
      </c>
      <c r="P602" s="61" t="str">
        <f aca="false">IF(IsPro,IF($D602="","",K602+M602+N602+O602),"")</f>
        <v/>
      </c>
      <c r="Q602" s="60" t="str">
        <f aca="false">IF(IsPro,IF($D602="","",IFERROR(MATCH($D602,Items!$A$5:$A$504,0),"")),"")</f>
        <v/>
      </c>
      <c r="R602" s="60" t="str">
        <f aca="false">IF(IsPro,IF($C602="","",IFERROR(MATCH($C602,Parties!$A$5:$A$304,0),"")),"")</f>
        <v/>
      </c>
      <c r="S602" s="61" t="str">
        <f aca="false">IF(IsPro,IF($D602="","",IF(OR($H602="",$H602="Credit"),0,P602)),"")</f>
        <v/>
      </c>
    </row>
    <row r="603" customFormat="false" ht="15" hidden="false" customHeight="false" outlineLevel="0" collapsed="false">
      <c r="A603" s="55"/>
      <c r="B603" s="56"/>
      <c r="C603" s="56"/>
      <c r="D603" s="56"/>
      <c r="E603" s="57"/>
      <c r="F603" s="58"/>
      <c r="G603" s="59"/>
      <c r="H603" s="56"/>
      <c r="I603" s="60" t="str">
        <f aca="false">IF(IsPro,IF($D603="","",IFERROR(INDEX(Items!$D$5:$D$504,Q603),"")),IF($D603="","","PRO PLAN"))</f>
        <v/>
      </c>
      <c r="J603" s="61" t="str">
        <f aca="false">IF(IsPro,IF($D603="","",IF($F603="",IFERROR(INDEX(Items!$G$5:$G$504,Q603),0),$F603)),"")</f>
        <v/>
      </c>
      <c r="K603" s="61" t="str">
        <f aca="false">IF(IsPro,IF($D603="","",ROUND(N($E603)*J603*(1-N($G603)),2)),"")</f>
        <v/>
      </c>
      <c r="L603" s="62" t="str">
        <f aca="false">IF(IsPro,IF($D603="","",IFERROR(INDEX(Items!$F$5:$F$504,Q603),0)),"")</f>
        <v/>
      </c>
      <c r="M603" s="61" t="str">
        <f aca="false">IF(IsPro,IF($D603="","",IF(AND(R603&lt;&gt;"",INDEX(Parties!$E$5:$E$304,R603)&lt;&gt;"",INDEX(Parties!$E$5:$E$304,R603)&lt;&gt;HomeState),0,ROUND(K603*L603/2,2))),"")</f>
        <v/>
      </c>
      <c r="N603" s="61" t="str">
        <f aca="false">IF(IsPro,IF($D603="","",M603),"")</f>
        <v/>
      </c>
      <c r="O603" s="61" t="str">
        <f aca="false">IF(IsPro,IF($D603="","",IF(AND(R603&lt;&gt;"",INDEX(Parties!$E$5:$E$304,R603)&lt;&gt;"",INDEX(Parties!$E$5:$E$304,R603)&lt;&gt;HomeState),ROUND(K603*L603,2),0)),"")</f>
        <v/>
      </c>
      <c r="P603" s="61" t="str">
        <f aca="false">IF(IsPro,IF($D603="","",K603+M603+N603+O603),"")</f>
        <v/>
      </c>
      <c r="Q603" s="60" t="str">
        <f aca="false">IF(IsPro,IF($D603="","",IFERROR(MATCH($D603,Items!$A$5:$A$504,0),"")),"")</f>
        <v/>
      </c>
      <c r="R603" s="60" t="str">
        <f aca="false">IF(IsPro,IF($C603="","",IFERROR(MATCH($C603,Parties!$A$5:$A$304,0),"")),"")</f>
        <v/>
      </c>
      <c r="S603" s="61" t="str">
        <f aca="false">IF(IsPro,IF($D603="","",IF(OR($H603="",$H603="Credit"),0,P603)),"")</f>
        <v/>
      </c>
    </row>
    <row r="604" customFormat="false" ht="15" hidden="false" customHeight="false" outlineLevel="0" collapsed="false">
      <c r="A604" s="55"/>
      <c r="B604" s="56"/>
      <c r="C604" s="56"/>
      <c r="D604" s="56"/>
      <c r="E604" s="57"/>
      <c r="F604" s="58"/>
      <c r="G604" s="59"/>
      <c r="H604" s="56"/>
      <c r="I604" s="60" t="str">
        <f aca="false">IF(IsPro,IF($D604="","",IFERROR(INDEX(Items!$D$5:$D$504,Q604),"")),IF($D604="","","PRO PLAN"))</f>
        <v/>
      </c>
      <c r="J604" s="61" t="str">
        <f aca="false">IF(IsPro,IF($D604="","",IF($F604="",IFERROR(INDEX(Items!$G$5:$G$504,Q604),0),$F604)),"")</f>
        <v/>
      </c>
      <c r="K604" s="61" t="str">
        <f aca="false">IF(IsPro,IF($D604="","",ROUND(N($E604)*J604*(1-N($G604)),2)),"")</f>
        <v/>
      </c>
      <c r="L604" s="62" t="str">
        <f aca="false">IF(IsPro,IF($D604="","",IFERROR(INDEX(Items!$F$5:$F$504,Q604),0)),"")</f>
        <v/>
      </c>
      <c r="M604" s="61" t="str">
        <f aca="false">IF(IsPro,IF($D604="","",IF(AND(R604&lt;&gt;"",INDEX(Parties!$E$5:$E$304,R604)&lt;&gt;"",INDEX(Parties!$E$5:$E$304,R604)&lt;&gt;HomeState),0,ROUND(K604*L604/2,2))),"")</f>
        <v/>
      </c>
      <c r="N604" s="61" t="str">
        <f aca="false">IF(IsPro,IF($D604="","",M604),"")</f>
        <v/>
      </c>
      <c r="O604" s="61" t="str">
        <f aca="false">IF(IsPro,IF($D604="","",IF(AND(R604&lt;&gt;"",INDEX(Parties!$E$5:$E$304,R604)&lt;&gt;"",INDEX(Parties!$E$5:$E$304,R604)&lt;&gt;HomeState),ROUND(K604*L604,2),0)),"")</f>
        <v/>
      </c>
      <c r="P604" s="61" t="str">
        <f aca="false">IF(IsPro,IF($D604="","",K604+M604+N604+O604),"")</f>
        <v/>
      </c>
      <c r="Q604" s="60" t="str">
        <f aca="false">IF(IsPro,IF($D604="","",IFERROR(MATCH($D604,Items!$A$5:$A$504,0),"")),"")</f>
        <v/>
      </c>
      <c r="R604" s="60" t="str">
        <f aca="false">IF(IsPro,IF($C604="","",IFERROR(MATCH($C604,Parties!$A$5:$A$304,0),"")),"")</f>
        <v/>
      </c>
      <c r="S604" s="61" t="str">
        <f aca="false">IF(IsPro,IF($D604="","",IF(OR($H604="",$H604="Credit"),0,P604)),"")</f>
        <v/>
      </c>
    </row>
    <row r="605" customFormat="false" ht="15" hidden="false" customHeight="false" outlineLevel="0" collapsed="false">
      <c r="A605" s="55"/>
      <c r="B605" s="56"/>
      <c r="C605" s="56"/>
      <c r="D605" s="56"/>
      <c r="E605" s="57"/>
      <c r="F605" s="58"/>
      <c r="G605" s="59"/>
      <c r="H605" s="56"/>
      <c r="I605" s="60" t="str">
        <f aca="false">IF(IsPro,IF($D605="","",IFERROR(INDEX(Items!$D$5:$D$504,Q605),"")),IF($D605="","","PRO PLAN"))</f>
        <v/>
      </c>
      <c r="J605" s="61" t="str">
        <f aca="false">IF(IsPro,IF($D605="","",IF($F605="",IFERROR(INDEX(Items!$G$5:$G$504,Q605),0),$F605)),"")</f>
        <v/>
      </c>
      <c r="K605" s="61" t="str">
        <f aca="false">IF(IsPro,IF($D605="","",ROUND(N($E605)*J605*(1-N($G605)),2)),"")</f>
        <v/>
      </c>
      <c r="L605" s="62" t="str">
        <f aca="false">IF(IsPro,IF($D605="","",IFERROR(INDEX(Items!$F$5:$F$504,Q605),0)),"")</f>
        <v/>
      </c>
      <c r="M605" s="61" t="str">
        <f aca="false">IF(IsPro,IF($D605="","",IF(AND(R605&lt;&gt;"",INDEX(Parties!$E$5:$E$304,R605)&lt;&gt;"",INDEX(Parties!$E$5:$E$304,R605)&lt;&gt;HomeState),0,ROUND(K605*L605/2,2))),"")</f>
        <v/>
      </c>
      <c r="N605" s="61" t="str">
        <f aca="false">IF(IsPro,IF($D605="","",M605),"")</f>
        <v/>
      </c>
      <c r="O605" s="61" t="str">
        <f aca="false">IF(IsPro,IF($D605="","",IF(AND(R605&lt;&gt;"",INDEX(Parties!$E$5:$E$304,R605)&lt;&gt;"",INDEX(Parties!$E$5:$E$304,R605)&lt;&gt;HomeState),ROUND(K605*L605,2),0)),"")</f>
        <v/>
      </c>
      <c r="P605" s="61" t="str">
        <f aca="false">IF(IsPro,IF($D605="","",K605+M605+N605+O605),"")</f>
        <v/>
      </c>
      <c r="Q605" s="60" t="str">
        <f aca="false">IF(IsPro,IF($D605="","",IFERROR(MATCH($D605,Items!$A$5:$A$504,0),"")),"")</f>
        <v/>
      </c>
      <c r="R605" s="60" t="str">
        <f aca="false">IF(IsPro,IF($C605="","",IFERROR(MATCH($C605,Parties!$A$5:$A$304,0),"")),"")</f>
        <v/>
      </c>
      <c r="S605" s="61" t="str">
        <f aca="false">IF(IsPro,IF($D605="","",IF(OR($H605="",$H605="Credit"),0,P605)),"")</f>
        <v/>
      </c>
    </row>
    <row r="606" customFormat="false" ht="15" hidden="false" customHeight="false" outlineLevel="0" collapsed="false">
      <c r="A606" s="55"/>
      <c r="B606" s="56"/>
      <c r="C606" s="56"/>
      <c r="D606" s="56"/>
      <c r="E606" s="57"/>
      <c r="F606" s="58"/>
      <c r="G606" s="59"/>
      <c r="H606" s="56"/>
      <c r="I606" s="60" t="str">
        <f aca="false">IF(IsPro,IF($D606="","",IFERROR(INDEX(Items!$D$5:$D$504,Q606),"")),IF($D606="","","PRO PLAN"))</f>
        <v/>
      </c>
      <c r="J606" s="61" t="str">
        <f aca="false">IF(IsPro,IF($D606="","",IF($F606="",IFERROR(INDEX(Items!$G$5:$G$504,Q606),0),$F606)),"")</f>
        <v/>
      </c>
      <c r="K606" s="61" t="str">
        <f aca="false">IF(IsPro,IF($D606="","",ROUND(N($E606)*J606*(1-N($G606)),2)),"")</f>
        <v/>
      </c>
      <c r="L606" s="62" t="str">
        <f aca="false">IF(IsPro,IF($D606="","",IFERROR(INDEX(Items!$F$5:$F$504,Q606),0)),"")</f>
        <v/>
      </c>
      <c r="M606" s="61" t="str">
        <f aca="false">IF(IsPro,IF($D606="","",IF(AND(R606&lt;&gt;"",INDEX(Parties!$E$5:$E$304,R606)&lt;&gt;"",INDEX(Parties!$E$5:$E$304,R606)&lt;&gt;HomeState),0,ROUND(K606*L606/2,2))),"")</f>
        <v/>
      </c>
      <c r="N606" s="61" t="str">
        <f aca="false">IF(IsPro,IF($D606="","",M606),"")</f>
        <v/>
      </c>
      <c r="O606" s="61" t="str">
        <f aca="false">IF(IsPro,IF($D606="","",IF(AND(R606&lt;&gt;"",INDEX(Parties!$E$5:$E$304,R606)&lt;&gt;"",INDEX(Parties!$E$5:$E$304,R606)&lt;&gt;HomeState),ROUND(K606*L606,2),0)),"")</f>
        <v/>
      </c>
      <c r="P606" s="61" t="str">
        <f aca="false">IF(IsPro,IF($D606="","",K606+M606+N606+O606),"")</f>
        <v/>
      </c>
      <c r="Q606" s="60" t="str">
        <f aca="false">IF(IsPro,IF($D606="","",IFERROR(MATCH($D606,Items!$A$5:$A$504,0),"")),"")</f>
        <v/>
      </c>
      <c r="R606" s="60" t="str">
        <f aca="false">IF(IsPro,IF($C606="","",IFERROR(MATCH($C606,Parties!$A$5:$A$304,0),"")),"")</f>
        <v/>
      </c>
      <c r="S606" s="61" t="str">
        <f aca="false">IF(IsPro,IF($D606="","",IF(OR($H606="",$H606="Credit"),0,P606)),"")</f>
        <v/>
      </c>
    </row>
    <row r="607" customFormat="false" ht="15" hidden="false" customHeight="false" outlineLevel="0" collapsed="false">
      <c r="A607" s="55"/>
      <c r="B607" s="56"/>
      <c r="C607" s="56"/>
      <c r="D607" s="56"/>
      <c r="E607" s="57"/>
      <c r="F607" s="58"/>
      <c r="G607" s="59"/>
      <c r="H607" s="56"/>
      <c r="I607" s="60" t="str">
        <f aca="false">IF(IsPro,IF($D607="","",IFERROR(INDEX(Items!$D$5:$D$504,Q607),"")),IF($D607="","","PRO PLAN"))</f>
        <v/>
      </c>
      <c r="J607" s="61" t="str">
        <f aca="false">IF(IsPro,IF($D607="","",IF($F607="",IFERROR(INDEX(Items!$G$5:$G$504,Q607),0),$F607)),"")</f>
        <v/>
      </c>
      <c r="K607" s="61" t="str">
        <f aca="false">IF(IsPro,IF($D607="","",ROUND(N($E607)*J607*(1-N($G607)),2)),"")</f>
        <v/>
      </c>
      <c r="L607" s="62" t="str">
        <f aca="false">IF(IsPro,IF($D607="","",IFERROR(INDEX(Items!$F$5:$F$504,Q607),0)),"")</f>
        <v/>
      </c>
      <c r="M607" s="61" t="str">
        <f aca="false">IF(IsPro,IF($D607="","",IF(AND(R607&lt;&gt;"",INDEX(Parties!$E$5:$E$304,R607)&lt;&gt;"",INDEX(Parties!$E$5:$E$304,R607)&lt;&gt;HomeState),0,ROUND(K607*L607/2,2))),"")</f>
        <v/>
      </c>
      <c r="N607" s="61" t="str">
        <f aca="false">IF(IsPro,IF($D607="","",M607),"")</f>
        <v/>
      </c>
      <c r="O607" s="61" t="str">
        <f aca="false">IF(IsPro,IF($D607="","",IF(AND(R607&lt;&gt;"",INDEX(Parties!$E$5:$E$304,R607)&lt;&gt;"",INDEX(Parties!$E$5:$E$304,R607)&lt;&gt;HomeState),ROUND(K607*L607,2),0)),"")</f>
        <v/>
      </c>
      <c r="P607" s="61" t="str">
        <f aca="false">IF(IsPro,IF($D607="","",K607+M607+N607+O607),"")</f>
        <v/>
      </c>
      <c r="Q607" s="60" t="str">
        <f aca="false">IF(IsPro,IF($D607="","",IFERROR(MATCH($D607,Items!$A$5:$A$504,0),"")),"")</f>
        <v/>
      </c>
      <c r="R607" s="60" t="str">
        <f aca="false">IF(IsPro,IF($C607="","",IFERROR(MATCH($C607,Parties!$A$5:$A$304,0),"")),"")</f>
        <v/>
      </c>
      <c r="S607" s="61" t="str">
        <f aca="false">IF(IsPro,IF($D607="","",IF(OR($H607="",$H607="Credit"),0,P607)),"")</f>
        <v/>
      </c>
    </row>
    <row r="608" customFormat="false" ht="15" hidden="false" customHeight="false" outlineLevel="0" collapsed="false">
      <c r="A608" s="55"/>
      <c r="B608" s="56"/>
      <c r="C608" s="56"/>
      <c r="D608" s="56"/>
      <c r="E608" s="57"/>
      <c r="F608" s="58"/>
      <c r="G608" s="59"/>
      <c r="H608" s="56"/>
      <c r="I608" s="60" t="str">
        <f aca="false">IF(IsPro,IF($D608="","",IFERROR(INDEX(Items!$D$5:$D$504,Q608),"")),IF($D608="","","PRO PLAN"))</f>
        <v/>
      </c>
      <c r="J608" s="61" t="str">
        <f aca="false">IF(IsPro,IF($D608="","",IF($F608="",IFERROR(INDEX(Items!$G$5:$G$504,Q608),0),$F608)),"")</f>
        <v/>
      </c>
      <c r="K608" s="61" t="str">
        <f aca="false">IF(IsPro,IF($D608="","",ROUND(N($E608)*J608*(1-N($G608)),2)),"")</f>
        <v/>
      </c>
      <c r="L608" s="62" t="str">
        <f aca="false">IF(IsPro,IF($D608="","",IFERROR(INDEX(Items!$F$5:$F$504,Q608),0)),"")</f>
        <v/>
      </c>
      <c r="M608" s="61" t="str">
        <f aca="false">IF(IsPro,IF($D608="","",IF(AND(R608&lt;&gt;"",INDEX(Parties!$E$5:$E$304,R608)&lt;&gt;"",INDEX(Parties!$E$5:$E$304,R608)&lt;&gt;HomeState),0,ROUND(K608*L608/2,2))),"")</f>
        <v/>
      </c>
      <c r="N608" s="61" t="str">
        <f aca="false">IF(IsPro,IF($D608="","",M608),"")</f>
        <v/>
      </c>
      <c r="O608" s="61" t="str">
        <f aca="false">IF(IsPro,IF($D608="","",IF(AND(R608&lt;&gt;"",INDEX(Parties!$E$5:$E$304,R608)&lt;&gt;"",INDEX(Parties!$E$5:$E$304,R608)&lt;&gt;HomeState),ROUND(K608*L608,2),0)),"")</f>
        <v/>
      </c>
      <c r="P608" s="61" t="str">
        <f aca="false">IF(IsPro,IF($D608="","",K608+M608+N608+O608),"")</f>
        <v/>
      </c>
      <c r="Q608" s="60" t="str">
        <f aca="false">IF(IsPro,IF($D608="","",IFERROR(MATCH($D608,Items!$A$5:$A$504,0),"")),"")</f>
        <v/>
      </c>
      <c r="R608" s="60" t="str">
        <f aca="false">IF(IsPro,IF($C608="","",IFERROR(MATCH($C608,Parties!$A$5:$A$304,0),"")),"")</f>
        <v/>
      </c>
      <c r="S608" s="61" t="str">
        <f aca="false">IF(IsPro,IF($D608="","",IF(OR($H608="",$H608="Credit"),0,P608)),"")</f>
        <v/>
      </c>
    </row>
    <row r="609" customFormat="false" ht="15" hidden="false" customHeight="false" outlineLevel="0" collapsed="false">
      <c r="A609" s="55"/>
      <c r="B609" s="56"/>
      <c r="C609" s="56"/>
      <c r="D609" s="56"/>
      <c r="E609" s="57"/>
      <c r="F609" s="58"/>
      <c r="G609" s="59"/>
      <c r="H609" s="56"/>
      <c r="I609" s="60" t="str">
        <f aca="false">IF(IsPro,IF($D609="","",IFERROR(INDEX(Items!$D$5:$D$504,Q609),"")),IF($D609="","","PRO PLAN"))</f>
        <v/>
      </c>
      <c r="J609" s="61" t="str">
        <f aca="false">IF(IsPro,IF($D609="","",IF($F609="",IFERROR(INDEX(Items!$G$5:$G$504,Q609),0),$F609)),"")</f>
        <v/>
      </c>
      <c r="K609" s="61" t="str">
        <f aca="false">IF(IsPro,IF($D609="","",ROUND(N($E609)*J609*(1-N($G609)),2)),"")</f>
        <v/>
      </c>
      <c r="L609" s="62" t="str">
        <f aca="false">IF(IsPro,IF($D609="","",IFERROR(INDEX(Items!$F$5:$F$504,Q609),0)),"")</f>
        <v/>
      </c>
      <c r="M609" s="61" t="str">
        <f aca="false">IF(IsPro,IF($D609="","",IF(AND(R609&lt;&gt;"",INDEX(Parties!$E$5:$E$304,R609)&lt;&gt;"",INDEX(Parties!$E$5:$E$304,R609)&lt;&gt;HomeState),0,ROUND(K609*L609/2,2))),"")</f>
        <v/>
      </c>
      <c r="N609" s="61" t="str">
        <f aca="false">IF(IsPro,IF($D609="","",M609),"")</f>
        <v/>
      </c>
      <c r="O609" s="61" t="str">
        <f aca="false">IF(IsPro,IF($D609="","",IF(AND(R609&lt;&gt;"",INDEX(Parties!$E$5:$E$304,R609)&lt;&gt;"",INDEX(Parties!$E$5:$E$304,R609)&lt;&gt;HomeState),ROUND(K609*L609,2),0)),"")</f>
        <v/>
      </c>
      <c r="P609" s="61" t="str">
        <f aca="false">IF(IsPro,IF($D609="","",K609+M609+N609+O609),"")</f>
        <v/>
      </c>
      <c r="Q609" s="60" t="str">
        <f aca="false">IF(IsPro,IF($D609="","",IFERROR(MATCH($D609,Items!$A$5:$A$504,0),"")),"")</f>
        <v/>
      </c>
      <c r="R609" s="60" t="str">
        <f aca="false">IF(IsPro,IF($C609="","",IFERROR(MATCH($C609,Parties!$A$5:$A$304,0),"")),"")</f>
        <v/>
      </c>
      <c r="S609" s="61" t="str">
        <f aca="false">IF(IsPro,IF($D609="","",IF(OR($H609="",$H609="Credit"),0,P609)),"")</f>
        <v/>
      </c>
    </row>
    <row r="610" customFormat="false" ht="15" hidden="false" customHeight="false" outlineLevel="0" collapsed="false">
      <c r="A610" s="55"/>
      <c r="B610" s="56"/>
      <c r="C610" s="56"/>
      <c r="D610" s="56"/>
      <c r="E610" s="57"/>
      <c r="F610" s="58"/>
      <c r="G610" s="59"/>
      <c r="H610" s="56"/>
      <c r="I610" s="60" t="str">
        <f aca="false">IF(IsPro,IF($D610="","",IFERROR(INDEX(Items!$D$5:$D$504,Q610),"")),IF($D610="","","PRO PLAN"))</f>
        <v/>
      </c>
      <c r="J610" s="61" t="str">
        <f aca="false">IF(IsPro,IF($D610="","",IF($F610="",IFERROR(INDEX(Items!$G$5:$G$504,Q610),0),$F610)),"")</f>
        <v/>
      </c>
      <c r="K610" s="61" t="str">
        <f aca="false">IF(IsPro,IF($D610="","",ROUND(N($E610)*J610*(1-N($G610)),2)),"")</f>
        <v/>
      </c>
      <c r="L610" s="62" t="str">
        <f aca="false">IF(IsPro,IF($D610="","",IFERROR(INDEX(Items!$F$5:$F$504,Q610),0)),"")</f>
        <v/>
      </c>
      <c r="M610" s="61" t="str">
        <f aca="false">IF(IsPro,IF($D610="","",IF(AND(R610&lt;&gt;"",INDEX(Parties!$E$5:$E$304,R610)&lt;&gt;"",INDEX(Parties!$E$5:$E$304,R610)&lt;&gt;HomeState),0,ROUND(K610*L610/2,2))),"")</f>
        <v/>
      </c>
      <c r="N610" s="61" t="str">
        <f aca="false">IF(IsPro,IF($D610="","",M610),"")</f>
        <v/>
      </c>
      <c r="O610" s="61" t="str">
        <f aca="false">IF(IsPro,IF($D610="","",IF(AND(R610&lt;&gt;"",INDEX(Parties!$E$5:$E$304,R610)&lt;&gt;"",INDEX(Parties!$E$5:$E$304,R610)&lt;&gt;HomeState),ROUND(K610*L610,2),0)),"")</f>
        <v/>
      </c>
      <c r="P610" s="61" t="str">
        <f aca="false">IF(IsPro,IF($D610="","",K610+M610+N610+O610),"")</f>
        <v/>
      </c>
      <c r="Q610" s="60" t="str">
        <f aca="false">IF(IsPro,IF($D610="","",IFERROR(MATCH($D610,Items!$A$5:$A$504,0),"")),"")</f>
        <v/>
      </c>
      <c r="R610" s="60" t="str">
        <f aca="false">IF(IsPro,IF($C610="","",IFERROR(MATCH($C610,Parties!$A$5:$A$304,0),"")),"")</f>
        <v/>
      </c>
      <c r="S610" s="61" t="str">
        <f aca="false">IF(IsPro,IF($D610="","",IF(OR($H610="",$H610="Credit"),0,P610)),"")</f>
        <v/>
      </c>
    </row>
    <row r="611" customFormat="false" ht="15" hidden="false" customHeight="false" outlineLevel="0" collapsed="false">
      <c r="A611" s="55"/>
      <c r="B611" s="56"/>
      <c r="C611" s="56"/>
      <c r="D611" s="56"/>
      <c r="E611" s="57"/>
      <c r="F611" s="58"/>
      <c r="G611" s="59"/>
      <c r="H611" s="56"/>
      <c r="I611" s="60" t="str">
        <f aca="false">IF(IsPro,IF($D611="","",IFERROR(INDEX(Items!$D$5:$D$504,Q611),"")),IF($D611="","","PRO PLAN"))</f>
        <v/>
      </c>
      <c r="J611" s="61" t="str">
        <f aca="false">IF(IsPro,IF($D611="","",IF($F611="",IFERROR(INDEX(Items!$G$5:$G$504,Q611),0),$F611)),"")</f>
        <v/>
      </c>
      <c r="K611" s="61" t="str">
        <f aca="false">IF(IsPro,IF($D611="","",ROUND(N($E611)*J611*(1-N($G611)),2)),"")</f>
        <v/>
      </c>
      <c r="L611" s="62" t="str">
        <f aca="false">IF(IsPro,IF($D611="","",IFERROR(INDEX(Items!$F$5:$F$504,Q611),0)),"")</f>
        <v/>
      </c>
      <c r="M611" s="61" t="str">
        <f aca="false">IF(IsPro,IF($D611="","",IF(AND(R611&lt;&gt;"",INDEX(Parties!$E$5:$E$304,R611)&lt;&gt;"",INDEX(Parties!$E$5:$E$304,R611)&lt;&gt;HomeState),0,ROUND(K611*L611/2,2))),"")</f>
        <v/>
      </c>
      <c r="N611" s="61" t="str">
        <f aca="false">IF(IsPro,IF($D611="","",M611),"")</f>
        <v/>
      </c>
      <c r="O611" s="61" t="str">
        <f aca="false">IF(IsPro,IF($D611="","",IF(AND(R611&lt;&gt;"",INDEX(Parties!$E$5:$E$304,R611)&lt;&gt;"",INDEX(Parties!$E$5:$E$304,R611)&lt;&gt;HomeState),ROUND(K611*L611,2),0)),"")</f>
        <v/>
      </c>
      <c r="P611" s="61" t="str">
        <f aca="false">IF(IsPro,IF($D611="","",K611+M611+N611+O611),"")</f>
        <v/>
      </c>
      <c r="Q611" s="60" t="str">
        <f aca="false">IF(IsPro,IF($D611="","",IFERROR(MATCH($D611,Items!$A$5:$A$504,0),"")),"")</f>
        <v/>
      </c>
      <c r="R611" s="60" t="str">
        <f aca="false">IF(IsPro,IF($C611="","",IFERROR(MATCH($C611,Parties!$A$5:$A$304,0),"")),"")</f>
        <v/>
      </c>
      <c r="S611" s="61" t="str">
        <f aca="false">IF(IsPro,IF($D611="","",IF(OR($H611="",$H611="Credit"),0,P611)),"")</f>
        <v/>
      </c>
    </row>
    <row r="612" customFormat="false" ht="15" hidden="false" customHeight="false" outlineLevel="0" collapsed="false">
      <c r="A612" s="55"/>
      <c r="B612" s="56"/>
      <c r="C612" s="56"/>
      <c r="D612" s="56"/>
      <c r="E612" s="57"/>
      <c r="F612" s="58"/>
      <c r="G612" s="59"/>
      <c r="H612" s="56"/>
      <c r="I612" s="60" t="str">
        <f aca="false">IF(IsPro,IF($D612="","",IFERROR(INDEX(Items!$D$5:$D$504,Q612),"")),IF($D612="","","PRO PLAN"))</f>
        <v/>
      </c>
      <c r="J612" s="61" t="str">
        <f aca="false">IF(IsPro,IF($D612="","",IF($F612="",IFERROR(INDEX(Items!$G$5:$G$504,Q612),0),$F612)),"")</f>
        <v/>
      </c>
      <c r="K612" s="61" t="str">
        <f aca="false">IF(IsPro,IF($D612="","",ROUND(N($E612)*J612*(1-N($G612)),2)),"")</f>
        <v/>
      </c>
      <c r="L612" s="62" t="str">
        <f aca="false">IF(IsPro,IF($D612="","",IFERROR(INDEX(Items!$F$5:$F$504,Q612),0)),"")</f>
        <v/>
      </c>
      <c r="M612" s="61" t="str">
        <f aca="false">IF(IsPro,IF($D612="","",IF(AND(R612&lt;&gt;"",INDEX(Parties!$E$5:$E$304,R612)&lt;&gt;"",INDEX(Parties!$E$5:$E$304,R612)&lt;&gt;HomeState),0,ROUND(K612*L612/2,2))),"")</f>
        <v/>
      </c>
      <c r="N612" s="61" t="str">
        <f aca="false">IF(IsPro,IF($D612="","",M612),"")</f>
        <v/>
      </c>
      <c r="O612" s="61" t="str">
        <f aca="false">IF(IsPro,IF($D612="","",IF(AND(R612&lt;&gt;"",INDEX(Parties!$E$5:$E$304,R612)&lt;&gt;"",INDEX(Parties!$E$5:$E$304,R612)&lt;&gt;HomeState),ROUND(K612*L612,2),0)),"")</f>
        <v/>
      </c>
      <c r="P612" s="61" t="str">
        <f aca="false">IF(IsPro,IF($D612="","",K612+M612+N612+O612),"")</f>
        <v/>
      </c>
      <c r="Q612" s="60" t="str">
        <f aca="false">IF(IsPro,IF($D612="","",IFERROR(MATCH($D612,Items!$A$5:$A$504,0),"")),"")</f>
        <v/>
      </c>
      <c r="R612" s="60" t="str">
        <f aca="false">IF(IsPro,IF($C612="","",IFERROR(MATCH($C612,Parties!$A$5:$A$304,0),"")),"")</f>
        <v/>
      </c>
      <c r="S612" s="61" t="str">
        <f aca="false">IF(IsPro,IF($D612="","",IF(OR($H612="",$H612="Credit"),0,P612)),"")</f>
        <v/>
      </c>
    </row>
    <row r="613" customFormat="false" ht="15" hidden="false" customHeight="false" outlineLevel="0" collapsed="false">
      <c r="A613" s="55"/>
      <c r="B613" s="56"/>
      <c r="C613" s="56"/>
      <c r="D613" s="56"/>
      <c r="E613" s="57"/>
      <c r="F613" s="58"/>
      <c r="G613" s="59"/>
      <c r="H613" s="56"/>
      <c r="I613" s="60" t="str">
        <f aca="false">IF(IsPro,IF($D613="","",IFERROR(INDEX(Items!$D$5:$D$504,Q613),"")),IF($D613="","","PRO PLAN"))</f>
        <v/>
      </c>
      <c r="J613" s="61" t="str">
        <f aca="false">IF(IsPro,IF($D613="","",IF($F613="",IFERROR(INDEX(Items!$G$5:$G$504,Q613),0),$F613)),"")</f>
        <v/>
      </c>
      <c r="K613" s="61" t="str">
        <f aca="false">IF(IsPro,IF($D613="","",ROUND(N($E613)*J613*(1-N($G613)),2)),"")</f>
        <v/>
      </c>
      <c r="L613" s="62" t="str">
        <f aca="false">IF(IsPro,IF($D613="","",IFERROR(INDEX(Items!$F$5:$F$504,Q613),0)),"")</f>
        <v/>
      </c>
      <c r="M613" s="61" t="str">
        <f aca="false">IF(IsPro,IF($D613="","",IF(AND(R613&lt;&gt;"",INDEX(Parties!$E$5:$E$304,R613)&lt;&gt;"",INDEX(Parties!$E$5:$E$304,R613)&lt;&gt;HomeState),0,ROUND(K613*L613/2,2))),"")</f>
        <v/>
      </c>
      <c r="N613" s="61" t="str">
        <f aca="false">IF(IsPro,IF($D613="","",M613),"")</f>
        <v/>
      </c>
      <c r="O613" s="61" t="str">
        <f aca="false">IF(IsPro,IF($D613="","",IF(AND(R613&lt;&gt;"",INDEX(Parties!$E$5:$E$304,R613)&lt;&gt;"",INDEX(Parties!$E$5:$E$304,R613)&lt;&gt;HomeState),ROUND(K613*L613,2),0)),"")</f>
        <v/>
      </c>
      <c r="P613" s="61" t="str">
        <f aca="false">IF(IsPro,IF($D613="","",K613+M613+N613+O613),"")</f>
        <v/>
      </c>
      <c r="Q613" s="60" t="str">
        <f aca="false">IF(IsPro,IF($D613="","",IFERROR(MATCH($D613,Items!$A$5:$A$504,0),"")),"")</f>
        <v/>
      </c>
      <c r="R613" s="60" t="str">
        <f aca="false">IF(IsPro,IF($C613="","",IFERROR(MATCH($C613,Parties!$A$5:$A$304,0),"")),"")</f>
        <v/>
      </c>
      <c r="S613" s="61" t="str">
        <f aca="false">IF(IsPro,IF($D613="","",IF(OR($H613="",$H613="Credit"),0,P613)),"")</f>
        <v/>
      </c>
    </row>
    <row r="614" customFormat="false" ht="15" hidden="false" customHeight="false" outlineLevel="0" collapsed="false">
      <c r="A614" s="55"/>
      <c r="B614" s="56"/>
      <c r="C614" s="56"/>
      <c r="D614" s="56"/>
      <c r="E614" s="57"/>
      <c r="F614" s="58"/>
      <c r="G614" s="59"/>
      <c r="H614" s="56"/>
      <c r="I614" s="60" t="str">
        <f aca="false">IF(IsPro,IF($D614="","",IFERROR(INDEX(Items!$D$5:$D$504,Q614),"")),IF($D614="","","PRO PLAN"))</f>
        <v/>
      </c>
      <c r="J614" s="61" t="str">
        <f aca="false">IF(IsPro,IF($D614="","",IF($F614="",IFERROR(INDEX(Items!$G$5:$G$504,Q614),0),$F614)),"")</f>
        <v/>
      </c>
      <c r="K614" s="61" t="str">
        <f aca="false">IF(IsPro,IF($D614="","",ROUND(N($E614)*J614*(1-N($G614)),2)),"")</f>
        <v/>
      </c>
      <c r="L614" s="62" t="str">
        <f aca="false">IF(IsPro,IF($D614="","",IFERROR(INDEX(Items!$F$5:$F$504,Q614),0)),"")</f>
        <v/>
      </c>
      <c r="M614" s="61" t="str">
        <f aca="false">IF(IsPro,IF($D614="","",IF(AND(R614&lt;&gt;"",INDEX(Parties!$E$5:$E$304,R614)&lt;&gt;"",INDEX(Parties!$E$5:$E$304,R614)&lt;&gt;HomeState),0,ROUND(K614*L614/2,2))),"")</f>
        <v/>
      </c>
      <c r="N614" s="61" t="str">
        <f aca="false">IF(IsPro,IF($D614="","",M614),"")</f>
        <v/>
      </c>
      <c r="O614" s="61" t="str">
        <f aca="false">IF(IsPro,IF($D614="","",IF(AND(R614&lt;&gt;"",INDEX(Parties!$E$5:$E$304,R614)&lt;&gt;"",INDEX(Parties!$E$5:$E$304,R614)&lt;&gt;HomeState),ROUND(K614*L614,2),0)),"")</f>
        <v/>
      </c>
      <c r="P614" s="61" t="str">
        <f aca="false">IF(IsPro,IF($D614="","",K614+M614+N614+O614),"")</f>
        <v/>
      </c>
      <c r="Q614" s="60" t="str">
        <f aca="false">IF(IsPro,IF($D614="","",IFERROR(MATCH($D614,Items!$A$5:$A$504,0),"")),"")</f>
        <v/>
      </c>
      <c r="R614" s="60" t="str">
        <f aca="false">IF(IsPro,IF($C614="","",IFERROR(MATCH($C614,Parties!$A$5:$A$304,0),"")),"")</f>
        <v/>
      </c>
      <c r="S614" s="61" t="str">
        <f aca="false">IF(IsPro,IF($D614="","",IF(OR($H614="",$H614="Credit"),0,P614)),"")</f>
        <v/>
      </c>
    </row>
    <row r="615" customFormat="false" ht="15" hidden="false" customHeight="false" outlineLevel="0" collapsed="false">
      <c r="A615" s="55"/>
      <c r="B615" s="56"/>
      <c r="C615" s="56"/>
      <c r="D615" s="56"/>
      <c r="E615" s="57"/>
      <c r="F615" s="58"/>
      <c r="G615" s="59"/>
      <c r="H615" s="56"/>
      <c r="I615" s="60" t="str">
        <f aca="false">IF(IsPro,IF($D615="","",IFERROR(INDEX(Items!$D$5:$D$504,Q615),"")),IF($D615="","","PRO PLAN"))</f>
        <v/>
      </c>
      <c r="J615" s="61" t="str">
        <f aca="false">IF(IsPro,IF($D615="","",IF($F615="",IFERROR(INDEX(Items!$G$5:$G$504,Q615),0),$F615)),"")</f>
        <v/>
      </c>
      <c r="K615" s="61" t="str">
        <f aca="false">IF(IsPro,IF($D615="","",ROUND(N($E615)*J615*(1-N($G615)),2)),"")</f>
        <v/>
      </c>
      <c r="L615" s="62" t="str">
        <f aca="false">IF(IsPro,IF($D615="","",IFERROR(INDEX(Items!$F$5:$F$504,Q615),0)),"")</f>
        <v/>
      </c>
      <c r="M615" s="61" t="str">
        <f aca="false">IF(IsPro,IF($D615="","",IF(AND(R615&lt;&gt;"",INDEX(Parties!$E$5:$E$304,R615)&lt;&gt;"",INDEX(Parties!$E$5:$E$304,R615)&lt;&gt;HomeState),0,ROUND(K615*L615/2,2))),"")</f>
        <v/>
      </c>
      <c r="N615" s="61" t="str">
        <f aca="false">IF(IsPro,IF($D615="","",M615),"")</f>
        <v/>
      </c>
      <c r="O615" s="61" t="str">
        <f aca="false">IF(IsPro,IF($D615="","",IF(AND(R615&lt;&gt;"",INDEX(Parties!$E$5:$E$304,R615)&lt;&gt;"",INDEX(Parties!$E$5:$E$304,R615)&lt;&gt;HomeState),ROUND(K615*L615,2),0)),"")</f>
        <v/>
      </c>
      <c r="P615" s="61" t="str">
        <f aca="false">IF(IsPro,IF($D615="","",K615+M615+N615+O615),"")</f>
        <v/>
      </c>
      <c r="Q615" s="60" t="str">
        <f aca="false">IF(IsPro,IF($D615="","",IFERROR(MATCH($D615,Items!$A$5:$A$504,0),"")),"")</f>
        <v/>
      </c>
      <c r="R615" s="60" t="str">
        <f aca="false">IF(IsPro,IF($C615="","",IFERROR(MATCH($C615,Parties!$A$5:$A$304,0),"")),"")</f>
        <v/>
      </c>
      <c r="S615" s="61" t="str">
        <f aca="false">IF(IsPro,IF($D615="","",IF(OR($H615="",$H615="Credit"),0,P615)),"")</f>
        <v/>
      </c>
    </row>
    <row r="616" customFormat="false" ht="15" hidden="false" customHeight="false" outlineLevel="0" collapsed="false">
      <c r="A616" s="55"/>
      <c r="B616" s="56"/>
      <c r="C616" s="56"/>
      <c r="D616" s="56"/>
      <c r="E616" s="57"/>
      <c r="F616" s="58"/>
      <c r="G616" s="59"/>
      <c r="H616" s="56"/>
      <c r="I616" s="60" t="str">
        <f aca="false">IF(IsPro,IF($D616="","",IFERROR(INDEX(Items!$D$5:$D$504,Q616),"")),IF($D616="","","PRO PLAN"))</f>
        <v/>
      </c>
      <c r="J616" s="61" t="str">
        <f aca="false">IF(IsPro,IF($D616="","",IF($F616="",IFERROR(INDEX(Items!$G$5:$G$504,Q616),0),$F616)),"")</f>
        <v/>
      </c>
      <c r="K616" s="61" t="str">
        <f aca="false">IF(IsPro,IF($D616="","",ROUND(N($E616)*J616*(1-N($G616)),2)),"")</f>
        <v/>
      </c>
      <c r="L616" s="62" t="str">
        <f aca="false">IF(IsPro,IF($D616="","",IFERROR(INDEX(Items!$F$5:$F$504,Q616),0)),"")</f>
        <v/>
      </c>
      <c r="M616" s="61" t="str">
        <f aca="false">IF(IsPro,IF($D616="","",IF(AND(R616&lt;&gt;"",INDEX(Parties!$E$5:$E$304,R616)&lt;&gt;"",INDEX(Parties!$E$5:$E$304,R616)&lt;&gt;HomeState),0,ROUND(K616*L616/2,2))),"")</f>
        <v/>
      </c>
      <c r="N616" s="61" t="str">
        <f aca="false">IF(IsPro,IF($D616="","",M616),"")</f>
        <v/>
      </c>
      <c r="O616" s="61" t="str">
        <f aca="false">IF(IsPro,IF($D616="","",IF(AND(R616&lt;&gt;"",INDEX(Parties!$E$5:$E$304,R616)&lt;&gt;"",INDEX(Parties!$E$5:$E$304,R616)&lt;&gt;HomeState),ROUND(K616*L616,2),0)),"")</f>
        <v/>
      </c>
      <c r="P616" s="61" t="str">
        <f aca="false">IF(IsPro,IF($D616="","",K616+M616+N616+O616),"")</f>
        <v/>
      </c>
      <c r="Q616" s="60" t="str">
        <f aca="false">IF(IsPro,IF($D616="","",IFERROR(MATCH($D616,Items!$A$5:$A$504,0),"")),"")</f>
        <v/>
      </c>
      <c r="R616" s="60" t="str">
        <f aca="false">IF(IsPro,IF($C616="","",IFERROR(MATCH($C616,Parties!$A$5:$A$304,0),"")),"")</f>
        <v/>
      </c>
      <c r="S616" s="61" t="str">
        <f aca="false">IF(IsPro,IF($D616="","",IF(OR($H616="",$H616="Credit"),0,P616)),"")</f>
        <v/>
      </c>
    </row>
    <row r="617" customFormat="false" ht="15" hidden="false" customHeight="false" outlineLevel="0" collapsed="false">
      <c r="A617" s="55"/>
      <c r="B617" s="56"/>
      <c r="C617" s="56"/>
      <c r="D617" s="56"/>
      <c r="E617" s="57"/>
      <c r="F617" s="58"/>
      <c r="G617" s="59"/>
      <c r="H617" s="56"/>
      <c r="I617" s="60" t="str">
        <f aca="false">IF(IsPro,IF($D617="","",IFERROR(INDEX(Items!$D$5:$D$504,Q617),"")),IF($D617="","","PRO PLAN"))</f>
        <v/>
      </c>
      <c r="J617" s="61" t="str">
        <f aca="false">IF(IsPro,IF($D617="","",IF($F617="",IFERROR(INDEX(Items!$G$5:$G$504,Q617),0),$F617)),"")</f>
        <v/>
      </c>
      <c r="K617" s="61" t="str">
        <f aca="false">IF(IsPro,IF($D617="","",ROUND(N($E617)*J617*(1-N($G617)),2)),"")</f>
        <v/>
      </c>
      <c r="L617" s="62" t="str">
        <f aca="false">IF(IsPro,IF($D617="","",IFERROR(INDEX(Items!$F$5:$F$504,Q617),0)),"")</f>
        <v/>
      </c>
      <c r="M617" s="61" t="str">
        <f aca="false">IF(IsPro,IF($D617="","",IF(AND(R617&lt;&gt;"",INDEX(Parties!$E$5:$E$304,R617)&lt;&gt;"",INDEX(Parties!$E$5:$E$304,R617)&lt;&gt;HomeState),0,ROUND(K617*L617/2,2))),"")</f>
        <v/>
      </c>
      <c r="N617" s="61" t="str">
        <f aca="false">IF(IsPro,IF($D617="","",M617),"")</f>
        <v/>
      </c>
      <c r="O617" s="61" t="str">
        <f aca="false">IF(IsPro,IF($D617="","",IF(AND(R617&lt;&gt;"",INDEX(Parties!$E$5:$E$304,R617)&lt;&gt;"",INDEX(Parties!$E$5:$E$304,R617)&lt;&gt;HomeState),ROUND(K617*L617,2),0)),"")</f>
        <v/>
      </c>
      <c r="P617" s="61" t="str">
        <f aca="false">IF(IsPro,IF($D617="","",K617+M617+N617+O617),"")</f>
        <v/>
      </c>
      <c r="Q617" s="60" t="str">
        <f aca="false">IF(IsPro,IF($D617="","",IFERROR(MATCH($D617,Items!$A$5:$A$504,0),"")),"")</f>
        <v/>
      </c>
      <c r="R617" s="60" t="str">
        <f aca="false">IF(IsPro,IF($C617="","",IFERROR(MATCH($C617,Parties!$A$5:$A$304,0),"")),"")</f>
        <v/>
      </c>
      <c r="S617" s="61" t="str">
        <f aca="false">IF(IsPro,IF($D617="","",IF(OR($H617="",$H617="Credit"),0,P617)),"")</f>
        <v/>
      </c>
    </row>
    <row r="618" customFormat="false" ht="15" hidden="false" customHeight="false" outlineLevel="0" collapsed="false">
      <c r="A618" s="55"/>
      <c r="B618" s="56"/>
      <c r="C618" s="56"/>
      <c r="D618" s="56"/>
      <c r="E618" s="57"/>
      <c r="F618" s="58"/>
      <c r="G618" s="59"/>
      <c r="H618" s="56"/>
      <c r="I618" s="60" t="str">
        <f aca="false">IF(IsPro,IF($D618="","",IFERROR(INDEX(Items!$D$5:$D$504,Q618),"")),IF($D618="","","PRO PLAN"))</f>
        <v/>
      </c>
      <c r="J618" s="61" t="str">
        <f aca="false">IF(IsPro,IF($D618="","",IF($F618="",IFERROR(INDEX(Items!$G$5:$G$504,Q618),0),$F618)),"")</f>
        <v/>
      </c>
      <c r="K618" s="61" t="str">
        <f aca="false">IF(IsPro,IF($D618="","",ROUND(N($E618)*J618*(1-N($G618)),2)),"")</f>
        <v/>
      </c>
      <c r="L618" s="62" t="str">
        <f aca="false">IF(IsPro,IF($D618="","",IFERROR(INDEX(Items!$F$5:$F$504,Q618),0)),"")</f>
        <v/>
      </c>
      <c r="M618" s="61" t="str">
        <f aca="false">IF(IsPro,IF($D618="","",IF(AND(R618&lt;&gt;"",INDEX(Parties!$E$5:$E$304,R618)&lt;&gt;"",INDEX(Parties!$E$5:$E$304,R618)&lt;&gt;HomeState),0,ROUND(K618*L618/2,2))),"")</f>
        <v/>
      </c>
      <c r="N618" s="61" t="str">
        <f aca="false">IF(IsPro,IF($D618="","",M618),"")</f>
        <v/>
      </c>
      <c r="O618" s="61" t="str">
        <f aca="false">IF(IsPro,IF($D618="","",IF(AND(R618&lt;&gt;"",INDEX(Parties!$E$5:$E$304,R618)&lt;&gt;"",INDEX(Parties!$E$5:$E$304,R618)&lt;&gt;HomeState),ROUND(K618*L618,2),0)),"")</f>
        <v/>
      </c>
      <c r="P618" s="61" t="str">
        <f aca="false">IF(IsPro,IF($D618="","",K618+M618+N618+O618),"")</f>
        <v/>
      </c>
      <c r="Q618" s="60" t="str">
        <f aca="false">IF(IsPro,IF($D618="","",IFERROR(MATCH($D618,Items!$A$5:$A$504,0),"")),"")</f>
        <v/>
      </c>
      <c r="R618" s="60" t="str">
        <f aca="false">IF(IsPro,IF($C618="","",IFERROR(MATCH($C618,Parties!$A$5:$A$304,0),"")),"")</f>
        <v/>
      </c>
      <c r="S618" s="61" t="str">
        <f aca="false">IF(IsPro,IF($D618="","",IF(OR($H618="",$H618="Credit"),0,P618)),"")</f>
        <v/>
      </c>
    </row>
    <row r="619" customFormat="false" ht="15" hidden="false" customHeight="false" outlineLevel="0" collapsed="false">
      <c r="A619" s="55"/>
      <c r="B619" s="56"/>
      <c r="C619" s="56"/>
      <c r="D619" s="56"/>
      <c r="E619" s="57"/>
      <c r="F619" s="58"/>
      <c r="G619" s="59"/>
      <c r="H619" s="56"/>
      <c r="I619" s="60" t="str">
        <f aca="false">IF(IsPro,IF($D619="","",IFERROR(INDEX(Items!$D$5:$D$504,Q619),"")),IF($D619="","","PRO PLAN"))</f>
        <v/>
      </c>
      <c r="J619" s="61" t="str">
        <f aca="false">IF(IsPro,IF($D619="","",IF($F619="",IFERROR(INDEX(Items!$G$5:$G$504,Q619),0),$F619)),"")</f>
        <v/>
      </c>
      <c r="K619" s="61" t="str">
        <f aca="false">IF(IsPro,IF($D619="","",ROUND(N($E619)*J619*(1-N($G619)),2)),"")</f>
        <v/>
      </c>
      <c r="L619" s="62" t="str">
        <f aca="false">IF(IsPro,IF($D619="","",IFERROR(INDEX(Items!$F$5:$F$504,Q619),0)),"")</f>
        <v/>
      </c>
      <c r="M619" s="61" t="str">
        <f aca="false">IF(IsPro,IF($D619="","",IF(AND(R619&lt;&gt;"",INDEX(Parties!$E$5:$E$304,R619)&lt;&gt;"",INDEX(Parties!$E$5:$E$304,R619)&lt;&gt;HomeState),0,ROUND(K619*L619/2,2))),"")</f>
        <v/>
      </c>
      <c r="N619" s="61" t="str">
        <f aca="false">IF(IsPro,IF($D619="","",M619),"")</f>
        <v/>
      </c>
      <c r="O619" s="61" t="str">
        <f aca="false">IF(IsPro,IF($D619="","",IF(AND(R619&lt;&gt;"",INDEX(Parties!$E$5:$E$304,R619)&lt;&gt;"",INDEX(Parties!$E$5:$E$304,R619)&lt;&gt;HomeState),ROUND(K619*L619,2),0)),"")</f>
        <v/>
      </c>
      <c r="P619" s="61" t="str">
        <f aca="false">IF(IsPro,IF($D619="","",K619+M619+N619+O619),"")</f>
        <v/>
      </c>
      <c r="Q619" s="60" t="str">
        <f aca="false">IF(IsPro,IF($D619="","",IFERROR(MATCH($D619,Items!$A$5:$A$504,0),"")),"")</f>
        <v/>
      </c>
      <c r="R619" s="60" t="str">
        <f aca="false">IF(IsPro,IF($C619="","",IFERROR(MATCH($C619,Parties!$A$5:$A$304,0),"")),"")</f>
        <v/>
      </c>
      <c r="S619" s="61" t="str">
        <f aca="false">IF(IsPro,IF($D619="","",IF(OR($H619="",$H619="Credit"),0,P619)),"")</f>
        <v/>
      </c>
    </row>
    <row r="620" customFormat="false" ht="15" hidden="false" customHeight="false" outlineLevel="0" collapsed="false">
      <c r="A620" s="55"/>
      <c r="B620" s="56"/>
      <c r="C620" s="56"/>
      <c r="D620" s="56"/>
      <c r="E620" s="57"/>
      <c r="F620" s="58"/>
      <c r="G620" s="59"/>
      <c r="H620" s="56"/>
      <c r="I620" s="60" t="str">
        <f aca="false">IF(IsPro,IF($D620="","",IFERROR(INDEX(Items!$D$5:$D$504,Q620),"")),IF($D620="","","PRO PLAN"))</f>
        <v/>
      </c>
      <c r="J620" s="61" t="str">
        <f aca="false">IF(IsPro,IF($D620="","",IF($F620="",IFERROR(INDEX(Items!$G$5:$G$504,Q620),0),$F620)),"")</f>
        <v/>
      </c>
      <c r="K620" s="61" t="str">
        <f aca="false">IF(IsPro,IF($D620="","",ROUND(N($E620)*J620*(1-N($G620)),2)),"")</f>
        <v/>
      </c>
      <c r="L620" s="62" t="str">
        <f aca="false">IF(IsPro,IF($D620="","",IFERROR(INDEX(Items!$F$5:$F$504,Q620),0)),"")</f>
        <v/>
      </c>
      <c r="M620" s="61" t="str">
        <f aca="false">IF(IsPro,IF($D620="","",IF(AND(R620&lt;&gt;"",INDEX(Parties!$E$5:$E$304,R620)&lt;&gt;"",INDEX(Parties!$E$5:$E$304,R620)&lt;&gt;HomeState),0,ROUND(K620*L620/2,2))),"")</f>
        <v/>
      </c>
      <c r="N620" s="61" t="str">
        <f aca="false">IF(IsPro,IF($D620="","",M620),"")</f>
        <v/>
      </c>
      <c r="O620" s="61" t="str">
        <f aca="false">IF(IsPro,IF($D620="","",IF(AND(R620&lt;&gt;"",INDEX(Parties!$E$5:$E$304,R620)&lt;&gt;"",INDEX(Parties!$E$5:$E$304,R620)&lt;&gt;HomeState),ROUND(K620*L620,2),0)),"")</f>
        <v/>
      </c>
      <c r="P620" s="61" t="str">
        <f aca="false">IF(IsPro,IF($D620="","",K620+M620+N620+O620),"")</f>
        <v/>
      </c>
      <c r="Q620" s="60" t="str">
        <f aca="false">IF(IsPro,IF($D620="","",IFERROR(MATCH($D620,Items!$A$5:$A$504,0),"")),"")</f>
        <v/>
      </c>
      <c r="R620" s="60" t="str">
        <f aca="false">IF(IsPro,IF($C620="","",IFERROR(MATCH($C620,Parties!$A$5:$A$304,0),"")),"")</f>
        <v/>
      </c>
      <c r="S620" s="61" t="str">
        <f aca="false">IF(IsPro,IF($D620="","",IF(OR($H620="",$H620="Credit"),0,P620)),"")</f>
        <v/>
      </c>
    </row>
    <row r="621" customFormat="false" ht="15" hidden="false" customHeight="false" outlineLevel="0" collapsed="false">
      <c r="A621" s="55"/>
      <c r="B621" s="56"/>
      <c r="C621" s="56"/>
      <c r="D621" s="56"/>
      <c r="E621" s="57"/>
      <c r="F621" s="58"/>
      <c r="G621" s="59"/>
      <c r="H621" s="56"/>
      <c r="I621" s="60" t="str">
        <f aca="false">IF(IsPro,IF($D621="","",IFERROR(INDEX(Items!$D$5:$D$504,Q621),"")),IF($D621="","","PRO PLAN"))</f>
        <v/>
      </c>
      <c r="J621" s="61" t="str">
        <f aca="false">IF(IsPro,IF($D621="","",IF($F621="",IFERROR(INDEX(Items!$G$5:$G$504,Q621),0),$F621)),"")</f>
        <v/>
      </c>
      <c r="K621" s="61" t="str">
        <f aca="false">IF(IsPro,IF($D621="","",ROUND(N($E621)*J621*(1-N($G621)),2)),"")</f>
        <v/>
      </c>
      <c r="L621" s="62" t="str">
        <f aca="false">IF(IsPro,IF($D621="","",IFERROR(INDEX(Items!$F$5:$F$504,Q621),0)),"")</f>
        <v/>
      </c>
      <c r="M621" s="61" t="str">
        <f aca="false">IF(IsPro,IF($D621="","",IF(AND(R621&lt;&gt;"",INDEX(Parties!$E$5:$E$304,R621)&lt;&gt;"",INDEX(Parties!$E$5:$E$304,R621)&lt;&gt;HomeState),0,ROUND(K621*L621/2,2))),"")</f>
        <v/>
      </c>
      <c r="N621" s="61" t="str">
        <f aca="false">IF(IsPro,IF($D621="","",M621),"")</f>
        <v/>
      </c>
      <c r="O621" s="61" t="str">
        <f aca="false">IF(IsPro,IF($D621="","",IF(AND(R621&lt;&gt;"",INDEX(Parties!$E$5:$E$304,R621)&lt;&gt;"",INDEX(Parties!$E$5:$E$304,R621)&lt;&gt;HomeState),ROUND(K621*L621,2),0)),"")</f>
        <v/>
      </c>
      <c r="P621" s="61" t="str">
        <f aca="false">IF(IsPro,IF($D621="","",K621+M621+N621+O621),"")</f>
        <v/>
      </c>
      <c r="Q621" s="60" t="str">
        <f aca="false">IF(IsPro,IF($D621="","",IFERROR(MATCH($D621,Items!$A$5:$A$504,0),"")),"")</f>
        <v/>
      </c>
      <c r="R621" s="60" t="str">
        <f aca="false">IF(IsPro,IF($C621="","",IFERROR(MATCH($C621,Parties!$A$5:$A$304,0),"")),"")</f>
        <v/>
      </c>
      <c r="S621" s="61" t="str">
        <f aca="false">IF(IsPro,IF($D621="","",IF(OR($H621="",$H621="Credit"),0,P621)),"")</f>
        <v/>
      </c>
    </row>
    <row r="622" customFormat="false" ht="15" hidden="false" customHeight="false" outlineLevel="0" collapsed="false">
      <c r="A622" s="55"/>
      <c r="B622" s="56"/>
      <c r="C622" s="56"/>
      <c r="D622" s="56"/>
      <c r="E622" s="57"/>
      <c r="F622" s="58"/>
      <c r="G622" s="59"/>
      <c r="H622" s="56"/>
      <c r="I622" s="60" t="str">
        <f aca="false">IF(IsPro,IF($D622="","",IFERROR(INDEX(Items!$D$5:$D$504,Q622),"")),IF($D622="","","PRO PLAN"))</f>
        <v/>
      </c>
      <c r="J622" s="61" t="str">
        <f aca="false">IF(IsPro,IF($D622="","",IF($F622="",IFERROR(INDEX(Items!$G$5:$G$504,Q622),0),$F622)),"")</f>
        <v/>
      </c>
      <c r="K622" s="61" t="str">
        <f aca="false">IF(IsPro,IF($D622="","",ROUND(N($E622)*J622*(1-N($G622)),2)),"")</f>
        <v/>
      </c>
      <c r="L622" s="62" t="str">
        <f aca="false">IF(IsPro,IF($D622="","",IFERROR(INDEX(Items!$F$5:$F$504,Q622),0)),"")</f>
        <v/>
      </c>
      <c r="M622" s="61" t="str">
        <f aca="false">IF(IsPro,IF($D622="","",IF(AND(R622&lt;&gt;"",INDEX(Parties!$E$5:$E$304,R622)&lt;&gt;"",INDEX(Parties!$E$5:$E$304,R622)&lt;&gt;HomeState),0,ROUND(K622*L622/2,2))),"")</f>
        <v/>
      </c>
      <c r="N622" s="61" t="str">
        <f aca="false">IF(IsPro,IF($D622="","",M622),"")</f>
        <v/>
      </c>
      <c r="O622" s="61" t="str">
        <f aca="false">IF(IsPro,IF($D622="","",IF(AND(R622&lt;&gt;"",INDEX(Parties!$E$5:$E$304,R622)&lt;&gt;"",INDEX(Parties!$E$5:$E$304,R622)&lt;&gt;HomeState),ROUND(K622*L622,2),0)),"")</f>
        <v/>
      </c>
      <c r="P622" s="61" t="str">
        <f aca="false">IF(IsPro,IF($D622="","",K622+M622+N622+O622),"")</f>
        <v/>
      </c>
      <c r="Q622" s="60" t="str">
        <f aca="false">IF(IsPro,IF($D622="","",IFERROR(MATCH($D622,Items!$A$5:$A$504,0),"")),"")</f>
        <v/>
      </c>
      <c r="R622" s="60" t="str">
        <f aca="false">IF(IsPro,IF($C622="","",IFERROR(MATCH($C622,Parties!$A$5:$A$304,0),"")),"")</f>
        <v/>
      </c>
      <c r="S622" s="61" t="str">
        <f aca="false">IF(IsPro,IF($D622="","",IF(OR($H622="",$H622="Credit"),0,P622)),"")</f>
        <v/>
      </c>
    </row>
    <row r="623" customFormat="false" ht="15" hidden="false" customHeight="false" outlineLevel="0" collapsed="false">
      <c r="A623" s="55"/>
      <c r="B623" s="56"/>
      <c r="C623" s="56"/>
      <c r="D623" s="56"/>
      <c r="E623" s="57"/>
      <c r="F623" s="58"/>
      <c r="G623" s="59"/>
      <c r="H623" s="56"/>
      <c r="I623" s="60" t="str">
        <f aca="false">IF(IsPro,IF($D623="","",IFERROR(INDEX(Items!$D$5:$D$504,Q623),"")),IF($D623="","","PRO PLAN"))</f>
        <v/>
      </c>
      <c r="J623" s="61" t="str">
        <f aca="false">IF(IsPro,IF($D623="","",IF($F623="",IFERROR(INDEX(Items!$G$5:$G$504,Q623),0),$F623)),"")</f>
        <v/>
      </c>
      <c r="K623" s="61" t="str">
        <f aca="false">IF(IsPro,IF($D623="","",ROUND(N($E623)*J623*(1-N($G623)),2)),"")</f>
        <v/>
      </c>
      <c r="L623" s="62" t="str">
        <f aca="false">IF(IsPro,IF($D623="","",IFERROR(INDEX(Items!$F$5:$F$504,Q623),0)),"")</f>
        <v/>
      </c>
      <c r="M623" s="61" t="str">
        <f aca="false">IF(IsPro,IF($D623="","",IF(AND(R623&lt;&gt;"",INDEX(Parties!$E$5:$E$304,R623)&lt;&gt;"",INDEX(Parties!$E$5:$E$304,R623)&lt;&gt;HomeState),0,ROUND(K623*L623/2,2))),"")</f>
        <v/>
      </c>
      <c r="N623" s="61" t="str">
        <f aca="false">IF(IsPro,IF($D623="","",M623),"")</f>
        <v/>
      </c>
      <c r="O623" s="61" t="str">
        <f aca="false">IF(IsPro,IF($D623="","",IF(AND(R623&lt;&gt;"",INDEX(Parties!$E$5:$E$304,R623)&lt;&gt;"",INDEX(Parties!$E$5:$E$304,R623)&lt;&gt;HomeState),ROUND(K623*L623,2),0)),"")</f>
        <v/>
      </c>
      <c r="P623" s="61" t="str">
        <f aca="false">IF(IsPro,IF($D623="","",K623+M623+N623+O623),"")</f>
        <v/>
      </c>
      <c r="Q623" s="60" t="str">
        <f aca="false">IF(IsPro,IF($D623="","",IFERROR(MATCH($D623,Items!$A$5:$A$504,0),"")),"")</f>
        <v/>
      </c>
      <c r="R623" s="60" t="str">
        <f aca="false">IF(IsPro,IF($C623="","",IFERROR(MATCH($C623,Parties!$A$5:$A$304,0),"")),"")</f>
        <v/>
      </c>
      <c r="S623" s="61" t="str">
        <f aca="false">IF(IsPro,IF($D623="","",IF(OR($H623="",$H623="Credit"),0,P623)),"")</f>
        <v/>
      </c>
    </row>
    <row r="624" customFormat="false" ht="15" hidden="false" customHeight="false" outlineLevel="0" collapsed="false">
      <c r="A624" s="55"/>
      <c r="B624" s="56"/>
      <c r="C624" s="56"/>
      <c r="D624" s="56"/>
      <c r="E624" s="57"/>
      <c r="F624" s="58"/>
      <c r="G624" s="59"/>
      <c r="H624" s="56"/>
      <c r="I624" s="60" t="str">
        <f aca="false">IF(IsPro,IF($D624="","",IFERROR(INDEX(Items!$D$5:$D$504,Q624),"")),IF($D624="","","PRO PLAN"))</f>
        <v/>
      </c>
      <c r="J624" s="61" t="str">
        <f aca="false">IF(IsPro,IF($D624="","",IF($F624="",IFERROR(INDEX(Items!$G$5:$G$504,Q624),0),$F624)),"")</f>
        <v/>
      </c>
      <c r="K624" s="61" t="str">
        <f aca="false">IF(IsPro,IF($D624="","",ROUND(N($E624)*J624*(1-N($G624)),2)),"")</f>
        <v/>
      </c>
      <c r="L624" s="62" t="str">
        <f aca="false">IF(IsPro,IF($D624="","",IFERROR(INDEX(Items!$F$5:$F$504,Q624),0)),"")</f>
        <v/>
      </c>
      <c r="M624" s="61" t="str">
        <f aca="false">IF(IsPro,IF($D624="","",IF(AND(R624&lt;&gt;"",INDEX(Parties!$E$5:$E$304,R624)&lt;&gt;"",INDEX(Parties!$E$5:$E$304,R624)&lt;&gt;HomeState),0,ROUND(K624*L624/2,2))),"")</f>
        <v/>
      </c>
      <c r="N624" s="61" t="str">
        <f aca="false">IF(IsPro,IF($D624="","",M624),"")</f>
        <v/>
      </c>
      <c r="O624" s="61" t="str">
        <f aca="false">IF(IsPro,IF($D624="","",IF(AND(R624&lt;&gt;"",INDEX(Parties!$E$5:$E$304,R624)&lt;&gt;"",INDEX(Parties!$E$5:$E$304,R624)&lt;&gt;HomeState),ROUND(K624*L624,2),0)),"")</f>
        <v/>
      </c>
      <c r="P624" s="61" t="str">
        <f aca="false">IF(IsPro,IF($D624="","",K624+M624+N624+O624),"")</f>
        <v/>
      </c>
      <c r="Q624" s="60" t="str">
        <f aca="false">IF(IsPro,IF($D624="","",IFERROR(MATCH($D624,Items!$A$5:$A$504,0),"")),"")</f>
        <v/>
      </c>
      <c r="R624" s="60" t="str">
        <f aca="false">IF(IsPro,IF($C624="","",IFERROR(MATCH($C624,Parties!$A$5:$A$304,0),"")),"")</f>
        <v/>
      </c>
      <c r="S624" s="61" t="str">
        <f aca="false">IF(IsPro,IF($D624="","",IF(OR($H624="",$H624="Credit"),0,P624)),"")</f>
        <v/>
      </c>
    </row>
    <row r="625" customFormat="false" ht="15" hidden="false" customHeight="false" outlineLevel="0" collapsed="false">
      <c r="A625" s="55"/>
      <c r="B625" s="56"/>
      <c r="C625" s="56"/>
      <c r="D625" s="56"/>
      <c r="E625" s="57"/>
      <c r="F625" s="58"/>
      <c r="G625" s="59"/>
      <c r="H625" s="56"/>
      <c r="I625" s="60" t="str">
        <f aca="false">IF(IsPro,IF($D625="","",IFERROR(INDEX(Items!$D$5:$D$504,Q625),"")),IF($D625="","","PRO PLAN"))</f>
        <v/>
      </c>
      <c r="J625" s="61" t="str">
        <f aca="false">IF(IsPro,IF($D625="","",IF($F625="",IFERROR(INDEX(Items!$G$5:$G$504,Q625),0),$F625)),"")</f>
        <v/>
      </c>
      <c r="K625" s="61" t="str">
        <f aca="false">IF(IsPro,IF($D625="","",ROUND(N($E625)*J625*(1-N($G625)),2)),"")</f>
        <v/>
      </c>
      <c r="L625" s="62" t="str">
        <f aca="false">IF(IsPro,IF($D625="","",IFERROR(INDEX(Items!$F$5:$F$504,Q625),0)),"")</f>
        <v/>
      </c>
      <c r="M625" s="61" t="str">
        <f aca="false">IF(IsPro,IF($D625="","",IF(AND(R625&lt;&gt;"",INDEX(Parties!$E$5:$E$304,R625)&lt;&gt;"",INDEX(Parties!$E$5:$E$304,R625)&lt;&gt;HomeState),0,ROUND(K625*L625/2,2))),"")</f>
        <v/>
      </c>
      <c r="N625" s="61" t="str">
        <f aca="false">IF(IsPro,IF($D625="","",M625),"")</f>
        <v/>
      </c>
      <c r="O625" s="61" t="str">
        <f aca="false">IF(IsPro,IF($D625="","",IF(AND(R625&lt;&gt;"",INDEX(Parties!$E$5:$E$304,R625)&lt;&gt;"",INDEX(Parties!$E$5:$E$304,R625)&lt;&gt;HomeState),ROUND(K625*L625,2),0)),"")</f>
        <v/>
      </c>
      <c r="P625" s="61" t="str">
        <f aca="false">IF(IsPro,IF($D625="","",K625+M625+N625+O625),"")</f>
        <v/>
      </c>
      <c r="Q625" s="60" t="str">
        <f aca="false">IF(IsPro,IF($D625="","",IFERROR(MATCH($D625,Items!$A$5:$A$504,0),"")),"")</f>
        <v/>
      </c>
      <c r="R625" s="60" t="str">
        <f aca="false">IF(IsPro,IF($C625="","",IFERROR(MATCH($C625,Parties!$A$5:$A$304,0),"")),"")</f>
        <v/>
      </c>
      <c r="S625" s="61" t="str">
        <f aca="false">IF(IsPro,IF($D625="","",IF(OR($H625="",$H625="Credit"),0,P625)),"")</f>
        <v/>
      </c>
    </row>
    <row r="626" customFormat="false" ht="15" hidden="false" customHeight="false" outlineLevel="0" collapsed="false">
      <c r="A626" s="55"/>
      <c r="B626" s="56"/>
      <c r="C626" s="56"/>
      <c r="D626" s="56"/>
      <c r="E626" s="57"/>
      <c r="F626" s="58"/>
      <c r="G626" s="59"/>
      <c r="H626" s="56"/>
      <c r="I626" s="60" t="str">
        <f aca="false">IF(IsPro,IF($D626="","",IFERROR(INDEX(Items!$D$5:$D$504,Q626),"")),IF($D626="","","PRO PLAN"))</f>
        <v/>
      </c>
      <c r="J626" s="61" t="str">
        <f aca="false">IF(IsPro,IF($D626="","",IF($F626="",IFERROR(INDEX(Items!$G$5:$G$504,Q626),0),$F626)),"")</f>
        <v/>
      </c>
      <c r="K626" s="61" t="str">
        <f aca="false">IF(IsPro,IF($D626="","",ROUND(N($E626)*J626*(1-N($G626)),2)),"")</f>
        <v/>
      </c>
      <c r="L626" s="62" t="str">
        <f aca="false">IF(IsPro,IF($D626="","",IFERROR(INDEX(Items!$F$5:$F$504,Q626),0)),"")</f>
        <v/>
      </c>
      <c r="M626" s="61" t="str">
        <f aca="false">IF(IsPro,IF($D626="","",IF(AND(R626&lt;&gt;"",INDEX(Parties!$E$5:$E$304,R626)&lt;&gt;"",INDEX(Parties!$E$5:$E$304,R626)&lt;&gt;HomeState),0,ROUND(K626*L626/2,2))),"")</f>
        <v/>
      </c>
      <c r="N626" s="61" t="str">
        <f aca="false">IF(IsPro,IF($D626="","",M626),"")</f>
        <v/>
      </c>
      <c r="O626" s="61" t="str">
        <f aca="false">IF(IsPro,IF($D626="","",IF(AND(R626&lt;&gt;"",INDEX(Parties!$E$5:$E$304,R626)&lt;&gt;"",INDEX(Parties!$E$5:$E$304,R626)&lt;&gt;HomeState),ROUND(K626*L626,2),0)),"")</f>
        <v/>
      </c>
      <c r="P626" s="61" t="str">
        <f aca="false">IF(IsPro,IF($D626="","",K626+M626+N626+O626),"")</f>
        <v/>
      </c>
      <c r="Q626" s="60" t="str">
        <f aca="false">IF(IsPro,IF($D626="","",IFERROR(MATCH($D626,Items!$A$5:$A$504,0),"")),"")</f>
        <v/>
      </c>
      <c r="R626" s="60" t="str">
        <f aca="false">IF(IsPro,IF($C626="","",IFERROR(MATCH($C626,Parties!$A$5:$A$304,0),"")),"")</f>
        <v/>
      </c>
      <c r="S626" s="61" t="str">
        <f aca="false">IF(IsPro,IF($D626="","",IF(OR($H626="",$H626="Credit"),0,P626)),"")</f>
        <v/>
      </c>
    </row>
    <row r="627" customFormat="false" ht="15" hidden="false" customHeight="false" outlineLevel="0" collapsed="false">
      <c r="A627" s="55"/>
      <c r="B627" s="56"/>
      <c r="C627" s="56"/>
      <c r="D627" s="56"/>
      <c r="E627" s="57"/>
      <c r="F627" s="58"/>
      <c r="G627" s="59"/>
      <c r="H627" s="56"/>
      <c r="I627" s="60" t="str">
        <f aca="false">IF(IsPro,IF($D627="","",IFERROR(INDEX(Items!$D$5:$D$504,Q627),"")),IF($D627="","","PRO PLAN"))</f>
        <v/>
      </c>
      <c r="J627" s="61" t="str">
        <f aca="false">IF(IsPro,IF($D627="","",IF($F627="",IFERROR(INDEX(Items!$G$5:$G$504,Q627),0),$F627)),"")</f>
        <v/>
      </c>
      <c r="K627" s="61" t="str">
        <f aca="false">IF(IsPro,IF($D627="","",ROUND(N($E627)*J627*(1-N($G627)),2)),"")</f>
        <v/>
      </c>
      <c r="L627" s="62" t="str">
        <f aca="false">IF(IsPro,IF($D627="","",IFERROR(INDEX(Items!$F$5:$F$504,Q627),0)),"")</f>
        <v/>
      </c>
      <c r="M627" s="61" t="str">
        <f aca="false">IF(IsPro,IF($D627="","",IF(AND(R627&lt;&gt;"",INDEX(Parties!$E$5:$E$304,R627)&lt;&gt;"",INDEX(Parties!$E$5:$E$304,R627)&lt;&gt;HomeState),0,ROUND(K627*L627/2,2))),"")</f>
        <v/>
      </c>
      <c r="N627" s="61" t="str">
        <f aca="false">IF(IsPro,IF($D627="","",M627),"")</f>
        <v/>
      </c>
      <c r="O627" s="61" t="str">
        <f aca="false">IF(IsPro,IF($D627="","",IF(AND(R627&lt;&gt;"",INDEX(Parties!$E$5:$E$304,R627)&lt;&gt;"",INDEX(Parties!$E$5:$E$304,R627)&lt;&gt;HomeState),ROUND(K627*L627,2),0)),"")</f>
        <v/>
      </c>
      <c r="P627" s="61" t="str">
        <f aca="false">IF(IsPro,IF($D627="","",K627+M627+N627+O627),"")</f>
        <v/>
      </c>
      <c r="Q627" s="60" t="str">
        <f aca="false">IF(IsPro,IF($D627="","",IFERROR(MATCH($D627,Items!$A$5:$A$504,0),"")),"")</f>
        <v/>
      </c>
      <c r="R627" s="60" t="str">
        <f aca="false">IF(IsPro,IF($C627="","",IFERROR(MATCH($C627,Parties!$A$5:$A$304,0),"")),"")</f>
        <v/>
      </c>
      <c r="S627" s="61" t="str">
        <f aca="false">IF(IsPro,IF($D627="","",IF(OR($H627="",$H627="Credit"),0,P627)),"")</f>
        <v/>
      </c>
    </row>
    <row r="628" customFormat="false" ht="15" hidden="false" customHeight="false" outlineLevel="0" collapsed="false">
      <c r="A628" s="55"/>
      <c r="B628" s="56"/>
      <c r="C628" s="56"/>
      <c r="D628" s="56"/>
      <c r="E628" s="57"/>
      <c r="F628" s="58"/>
      <c r="G628" s="59"/>
      <c r="H628" s="56"/>
      <c r="I628" s="60" t="str">
        <f aca="false">IF(IsPro,IF($D628="","",IFERROR(INDEX(Items!$D$5:$D$504,Q628),"")),IF($D628="","","PRO PLAN"))</f>
        <v/>
      </c>
      <c r="J628" s="61" t="str">
        <f aca="false">IF(IsPro,IF($D628="","",IF($F628="",IFERROR(INDEX(Items!$G$5:$G$504,Q628),0),$F628)),"")</f>
        <v/>
      </c>
      <c r="K628" s="61" t="str">
        <f aca="false">IF(IsPro,IF($D628="","",ROUND(N($E628)*J628*(1-N($G628)),2)),"")</f>
        <v/>
      </c>
      <c r="L628" s="62" t="str">
        <f aca="false">IF(IsPro,IF($D628="","",IFERROR(INDEX(Items!$F$5:$F$504,Q628),0)),"")</f>
        <v/>
      </c>
      <c r="M628" s="61" t="str">
        <f aca="false">IF(IsPro,IF($D628="","",IF(AND(R628&lt;&gt;"",INDEX(Parties!$E$5:$E$304,R628)&lt;&gt;"",INDEX(Parties!$E$5:$E$304,R628)&lt;&gt;HomeState),0,ROUND(K628*L628/2,2))),"")</f>
        <v/>
      </c>
      <c r="N628" s="61" t="str">
        <f aca="false">IF(IsPro,IF($D628="","",M628),"")</f>
        <v/>
      </c>
      <c r="O628" s="61" t="str">
        <f aca="false">IF(IsPro,IF($D628="","",IF(AND(R628&lt;&gt;"",INDEX(Parties!$E$5:$E$304,R628)&lt;&gt;"",INDEX(Parties!$E$5:$E$304,R628)&lt;&gt;HomeState),ROUND(K628*L628,2),0)),"")</f>
        <v/>
      </c>
      <c r="P628" s="61" t="str">
        <f aca="false">IF(IsPro,IF($D628="","",K628+M628+N628+O628),"")</f>
        <v/>
      </c>
      <c r="Q628" s="60" t="str">
        <f aca="false">IF(IsPro,IF($D628="","",IFERROR(MATCH($D628,Items!$A$5:$A$504,0),"")),"")</f>
        <v/>
      </c>
      <c r="R628" s="60" t="str">
        <f aca="false">IF(IsPro,IF($C628="","",IFERROR(MATCH($C628,Parties!$A$5:$A$304,0),"")),"")</f>
        <v/>
      </c>
      <c r="S628" s="61" t="str">
        <f aca="false">IF(IsPro,IF($D628="","",IF(OR($H628="",$H628="Credit"),0,P628)),"")</f>
        <v/>
      </c>
    </row>
    <row r="629" customFormat="false" ht="15" hidden="false" customHeight="false" outlineLevel="0" collapsed="false">
      <c r="A629" s="55"/>
      <c r="B629" s="56"/>
      <c r="C629" s="56"/>
      <c r="D629" s="56"/>
      <c r="E629" s="57"/>
      <c r="F629" s="58"/>
      <c r="G629" s="59"/>
      <c r="H629" s="56"/>
      <c r="I629" s="60" t="str">
        <f aca="false">IF(IsPro,IF($D629="","",IFERROR(INDEX(Items!$D$5:$D$504,Q629),"")),IF($D629="","","PRO PLAN"))</f>
        <v/>
      </c>
      <c r="J629" s="61" t="str">
        <f aca="false">IF(IsPro,IF($D629="","",IF($F629="",IFERROR(INDEX(Items!$G$5:$G$504,Q629),0),$F629)),"")</f>
        <v/>
      </c>
      <c r="K629" s="61" t="str">
        <f aca="false">IF(IsPro,IF($D629="","",ROUND(N($E629)*J629*(1-N($G629)),2)),"")</f>
        <v/>
      </c>
      <c r="L629" s="62" t="str">
        <f aca="false">IF(IsPro,IF($D629="","",IFERROR(INDEX(Items!$F$5:$F$504,Q629),0)),"")</f>
        <v/>
      </c>
      <c r="M629" s="61" t="str">
        <f aca="false">IF(IsPro,IF($D629="","",IF(AND(R629&lt;&gt;"",INDEX(Parties!$E$5:$E$304,R629)&lt;&gt;"",INDEX(Parties!$E$5:$E$304,R629)&lt;&gt;HomeState),0,ROUND(K629*L629/2,2))),"")</f>
        <v/>
      </c>
      <c r="N629" s="61" t="str">
        <f aca="false">IF(IsPro,IF($D629="","",M629),"")</f>
        <v/>
      </c>
      <c r="O629" s="61" t="str">
        <f aca="false">IF(IsPro,IF($D629="","",IF(AND(R629&lt;&gt;"",INDEX(Parties!$E$5:$E$304,R629)&lt;&gt;"",INDEX(Parties!$E$5:$E$304,R629)&lt;&gt;HomeState),ROUND(K629*L629,2),0)),"")</f>
        <v/>
      </c>
      <c r="P629" s="61" t="str">
        <f aca="false">IF(IsPro,IF($D629="","",K629+M629+N629+O629),"")</f>
        <v/>
      </c>
      <c r="Q629" s="60" t="str">
        <f aca="false">IF(IsPro,IF($D629="","",IFERROR(MATCH($D629,Items!$A$5:$A$504,0),"")),"")</f>
        <v/>
      </c>
      <c r="R629" s="60" t="str">
        <f aca="false">IF(IsPro,IF($C629="","",IFERROR(MATCH($C629,Parties!$A$5:$A$304,0),"")),"")</f>
        <v/>
      </c>
      <c r="S629" s="61" t="str">
        <f aca="false">IF(IsPro,IF($D629="","",IF(OR($H629="",$H629="Credit"),0,P629)),"")</f>
        <v/>
      </c>
    </row>
    <row r="630" customFormat="false" ht="15" hidden="false" customHeight="false" outlineLevel="0" collapsed="false">
      <c r="A630" s="55"/>
      <c r="B630" s="56"/>
      <c r="C630" s="56"/>
      <c r="D630" s="56"/>
      <c r="E630" s="57"/>
      <c r="F630" s="58"/>
      <c r="G630" s="59"/>
      <c r="H630" s="56"/>
      <c r="I630" s="60" t="str">
        <f aca="false">IF(IsPro,IF($D630="","",IFERROR(INDEX(Items!$D$5:$D$504,Q630),"")),IF($D630="","","PRO PLAN"))</f>
        <v/>
      </c>
      <c r="J630" s="61" t="str">
        <f aca="false">IF(IsPro,IF($D630="","",IF($F630="",IFERROR(INDEX(Items!$G$5:$G$504,Q630),0),$F630)),"")</f>
        <v/>
      </c>
      <c r="K630" s="61" t="str">
        <f aca="false">IF(IsPro,IF($D630="","",ROUND(N($E630)*J630*(1-N($G630)),2)),"")</f>
        <v/>
      </c>
      <c r="L630" s="62" t="str">
        <f aca="false">IF(IsPro,IF($D630="","",IFERROR(INDEX(Items!$F$5:$F$504,Q630),0)),"")</f>
        <v/>
      </c>
      <c r="M630" s="61" t="str">
        <f aca="false">IF(IsPro,IF($D630="","",IF(AND(R630&lt;&gt;"",INDEX(Parties!$E$5:$E$304,R630)&lt;&gt;"",INDEX(Parties!$E$5:$E$304,R630)&lt;&gt;HomeState),0,ROUND(K630*L630/2,2))),"")</f>
        <v/>
      </c>
      <c r="N630" s="61" t="str">
        <f aca="false">IF(IsPro,IF($D630="","",M630),"")</f>
        <v/>
      </c>
      <c r="O630" s="61" t="str">
        <f aca="false">IF(IsPro,IF($D630="","",IF(AND(R630&lt;&gt;"",INDEX(Parties!$E$5:$E$304,R630)&lt;&gt;"",INDEX(Parties!$E$5:$E$304,R630)&lt;&gt;HomeState),ROUND(K630*L630,2),0)),"")</f>
        <v/>
      </c>
      <c r="P630" s="61" t="str">
        <f aca="false">IF(IsPro,IF($D630="","",K630+M630+N630+O630),"")</f>
        <v/>
      </c>
      <c r="Q630" s="60" t="str">
        <f aca="false">IF(IsPro,IF($D630="","",IFERROR(MATCH($D630,Items!$A$5:$A$504,0),"")),"")</f>
        <v/>
      </c>
      <c r="R630" s="60" t="str">
        <f aca="false">IF(IsPro,IF($C630="","",IFERROR(MATCH($C630,Parties!$A$5:$A$304,0),"")),"")</f>
        <v/>
      </c>
      <c r="S630" s="61" t="str">
        <f aca="false">IF(IsPro,IF($D630="","",IF(OR($H630="",$H630="Credit"),0,P630)),"")</f>
        <v/>
      </c>
    </row>
    <row r="631" customFormat="false" ht="15" hidden="false" customHeight="false" outlineLevel="0" collapsed="false">
      <c r="A631" s="55"/>
      <c r="B631" s="56"/>
      <c r="C631" s="56"/>
      <c r="D631" s="56"/>
      <c r="E631" s="57"/>
      <c r="F631" s="58"/>
      <c r="G631" s="59"/>
      <c r="H631" s="56"/>
      <c r="I631" s="60" t="str">
        <f aca="false">IF(IsPro,IF($D631="","",IFERROR(INDEX(Items!$D$5:$D$504,Q631),"")),IF($D631="","","PRO PLAN"))</f>
        <v/>
      </c>
      <c r="J631" s="61" t="str">
        <f aca="false">IF(IsPro,IF($D631="","",IF($F631="",IFERROR(INDEX(Items!$G$5:$G$504,Q631),0),$F631)),"")</f>
        <v/>
      </c>
      <c r="K631" s="61" t="str">
        <f aca="false">IF(IsPro,IF($D631="","",ROUND(N($E631)*J631*(1-N($G631)),2)),"")</f>
        <v/>
      </c>
      <c r="L631" s="62" t="str">
        <f aca="false">IF(IsPro,IF($D631="","",IFERROR(INDEX(Items!$F$5:$F$504,Q631),0)),"")</f>
        <v/>
      </c>
      <c r="M631" s="61" t="str">
        <f aca="false">IF(IsPro,IF($D631="","",IF(AND(R631&lt;&gt;"",INDEX(Parties!$E$5:$E$304,R631)&lt;&gt;"",INDEX(Parties!$E$5:$E$304,R631)&lt;&gt;HomeState),0,ROUND(K631*L631/2,2))),"")</f>
        <v/>
      </c>
      <c r="N631" s="61" t="str">
        <f aca="false">IF(IsPro,IF($D631="","",M631),"")</f>
        <v/>
      </c>
      <c r="O631" s="61" t="str">
        <f aca="false">IF(IsPro,IF($D631="","",IF(AND(R631&lt;&gt;"",INDEX(Parties!$E$5:$E$304,R631)&lt;&gt;"",INDEX(Parties!$E$5:$E$304,R631)&lt;&gt;HomeState),ROUND(K631*L631,2),0)),"")</f>
        <v/>
      </c>
      <c r="P631" s="61" t="str">
        <f aca="false">IF(IsPro,IF($D631="","",K631+M631+N631+O631),"")</f>
        <v/>
      </c>
      <c r="Q631" s="60" t="str">
        <f aca="false">IF(IsPro,IF($D631="","",IFERROR(MATCH($D631,Items!$A$5:$A$504,0),"")),"")</f>
        <v/>
      </c>
      <c r="R631" s="60" t="str">
        <f aca="false">IF(IsPro,IF($C631="","",IFERROR(MATCH($C631,Parties!$A$5:$A$304,0),"")),"")</f>
        <v/>
      </c>
      <c r="S631" s="61" t="str">
        <f aca="false">IF(IsPro,IF($D631="","",IF(OR($H631="",$H631="Credit"),0,P631)),"")</f>
        <v/>
      </c>
    </row>
    <row r="632" customFormat="false" ht="15" hidden="false" customHeight="false" outlineLevel="0" collapsed="false">
      <c r="A632" s="55"/>
      <c r="B632" s="56"/>
      <c r="C632" s="56"/>
      <c r="D632" s="56"/>
      <c r="E632" s="57"/>
      <c r="F632" s="58"/>
      <c r="G632" s="59"/>
      <c r="H632" s="56"/>
      <c r="I632" s="60" t="str">
        <f aca="false">IF(IsPro,IF($D632="","",IFERROR(INDEX(Items!$D$5:$D$504,Q632),"")),IF($D632="","","PRO PLAN"))</f>
        <v/>
      </c>
      <c r="J632" s="61" t="str">
        <f aca="false">IF(IsPro,IF($D632="","",IF($F632="",IFERROR(INDEX(Items!$G$5:$G$504,Q632),0),$F632)),"")</f>
        <v/>
      </c>
      <c r="K632" s="61" t="str">
        <f aca="false">IF(IsPro,IF($D632="","",ROUND(N($E632)*J632*(1-N($G632)),2)),"")</f>
        <v/>
      </c>
      <c r="L632" s="62" t="str">
        <f aca="false">IF(IsPro,IF($D632="","",IFERROR(INDEX(Items!$F$5:$F$504,Q632),0)),"")</f>
        <v/>
      </c>
      <c r="M632" s="61" t="str">
        <f aca="false">IF(IsPro,IF($D632="","",IF(AND(R632&lt;&gt;"",INDEX(Parties!$E$5:$E$304,R632)&lt;&gt;"",INDEX(Parties!$E$5:$E$304,R632)&lt;&gt;HomeState),0,ROUND(K632*L632/2,2))),"")</f>
        <v/>
      </c>
      <c r="N632" s="61" t="str">
        <f aca="false">IF(IsPro,IF($D632="","",M632),"")</f>
        <v/>
      </c>
      <c r="O632" s="61" t="str">
        <f aca="false">IF(IsPro,IF($D632="","",IF(AND(R632&lt;&gt;"",INDEX(Parties!$E$5:$E$304,R632)&lt;&gt;"",INDEX(Parties!$E$5:$E$304,R632)&lt;&gt;HomeState),ROUND(K632*L632,2),0)),"")</f>
        <v/>
      </c>
      <c r="P632" s="61" t="str">
        <f aca="false">IF(IsPro,IF($D632="","",K632+M632+N632+O632),"")</f>
        <v/>
      </c>
      <c r="Q632" s="60" t="str">
        <f aca="false">IF(IsPro,IF($D632="","",IFERROR(MATCH($D632,Items!$A$5:$A$504,0),"")),"")</f>
        <v/>
      </c>
      <c r="R632" s="60" t="str">
        <f aca="false">IF(IsPro,IF($C632="","",IFERROR(MATCH($C632,Parties!$A$5:$A$304,0),"")),"")</f>
        <v/>
      </c>
      <c r="S632" s="61" t="str">
        <f aca="false">IF(IsPro,IF($D632="","",IF(OR($H632="",$H632="Credit"),0,P632)),"")</f>
        <v/>
      </c>
    </row>
    <row r="633" customFormat="false" ht="15" hidden="false" customHeight="false" outlineLevel="0" collapsed="false">
      <c r="A633" s="55"/>
      <c r="B633" s="56"/>
      <c r="C633" s="56"/>
      <c r="D633" s="56"/>
      <c r="E633" s="57"/>
      <c r="F633" s="58"/>
      <c r="G633" s="59"/>
      <c r="H633" s="56"/>
      <c r="I633" s="60" t="str">
        <f aca="false">IF(IsPro,IF($D633="","",IFERROR(INDEX(Items!$D$5:$D$504,Q633),"")),IF($D633="","","PRO PLAN"))</f>
        <v/>
      </c>
      <c r="J633" s="61" t="str">
        <f aca="false">IF(IsPro,IF($D633="","",IF($F633="",IFERROR(INDEX(Items!$G$5:$G$504,Q633),0),$F633)),"")</f>
        <v/>
      </c>
      <c r="K633" s="61" t="str">
        <f aca="false">IF(IsPro,IF($D633="","",ROUND(N($E633)*J633*(1-N($G633)),2)),"")</f>
        <v/>
      </c>
      <c r="L633" s="62" t="str">
        <f aca="false">IF(IsPro,IF($D633="","",IFERROR(INDEX(Items!$F$5:$F$504,Q633),0)),"")</f>
        <v/>
      </c>
      <c r="M633" s="61" t="str">
        <f aca="false">IF(IsPro,IF($D633="","",IF(AND(R633&lt;&gt;"",INDEX(Parties!$E$5:$E$304,R633)&lt;&gt;"",INDEX(Parties!$E$5:$E$304,R633)&lt;&gt;HomeState),0,ROUND(K633*L633/2,2))),"")</f>
        <v/>
      </c>
      <c r="N633" s="61" t="str">
        <f aca="false">IF(IsPro,IF($D633="","",M633),"")</f>
        <v/>
      </c>
      <c r="O633" s="61" t="str">
        <f aca="false">IF(IsPro,IF($D633="","",IF(AND(R633&lt;&gt;"",INDEX(Parties!$E$5:$E$304,R633)&lt;&gt;"",INDEX(Parties!$E$5:$E$304,R633)&lt;&gt;HomeState),ROUND(K633*L633,2),0)),"")</f>
        <v/>
      </c>
      <c r="P633" s="61" t="str">
        <f aca="false">IF(IsPro,IF($D633="","",K633+M633+N633+O633),"")</f>
        <v/>
      </c>
      <c r="Q633" s="60" t="str">
        <f aca="false">IF(IsPro,IF($D633="","",IFERROR(MATCH($D633,Items!$A$5:$A$504,0),"")),"")</f>
        <v/>
      </c>
      <c r="R633" s="60" t="str">
        <f aca="false">IF(IsPro,IF($C633="","",IFERROR(MATCH($C633,Parties!$A$5:$A$304,0),"")),"")</f>
        <v/>
      </c>
      <c r="S633" s="61" t="str">
        <f aca="false">IF(IsPro,IF($D633="","",IF(OR($H633="",$H633="Credit"),0,P633)),"")</f>
        <v/>
      </c>
    </row>
    <row r="634" customFormat="false" ht="15" hidden="false" customHeight="false" outlineLevel="0" collapsed="false">
      <c r="A634" s="55"/>
      <c r="B634" s="56"/>
      <c r="C634" s="56"/>
      <c r="D634" s="56"/>
      <c r="E634" s="57"/>
      <c r="F634" s="58"/>
      <c r="G634" s="59"/>
      <c r="H634" s="56"/>
      <c r="I634" s="60" t="str">
        <f aca="false">IF(IsPro,IF($D634="","",IFERROR(INDEX(Items!$D$5:$D$504,Q634),"")),IF($D634="","","PRO PLAN"))</f>
        <v/>
      </c>
      <c r="J634" s="61" t="str">
        <f aca="false">IF(IsPro,IF($D634="","",IF($F634="",IFERROR(INDEX(Items!$G$5:$G$504,Q634),0),$F634)),"")</f>
        <v/>
      </c>
      <c r="K634" s="61" t="str">
        <f aca="false">IF(IsPro,IF($D634="","",ROUND(N($E634)*J634*(1-N($G634)),2)),"")</f>
        <v/>
      </c>
      <c r="L634" s="62" t="str">
        <f aca="false">IF(IsPro,IF($D634="","",IFERROR(INDEX(Items!$F$5:$F$504,Q634),0)),"")</f>
        <v/>
      </c>
      <c r="M634" s="61" t="str">
        <f aca="false">IF(IsPro,IF($D634="","",IF(AND(R634&lt;&gt;"",INDEX(Parties!$E$5:$E$304,R634)&lt;&gt;"",INDEX(Parties!$E$5:$E$304,R634)&lt;&gt;HomeState),0,ROUND(K634*L634/2,2))),"")</f>
        <v/>
      </c>
      <c r="N634" s="61" t="str">
        <f aca="false">IF(IsPro,IF($D634="","",M634),"")</f>
        <v/>
      </c>
      <c r="O634" s="61" t="str">
        <f aca="false">IF(IsPro,IF($D634="","",IF(AND(R634&lt;&gt;"",INDEX(Parties!$E$5:$E$304,R634)&lt;&gt;"",INDEX(Parties!$E$5:$E$304,R634)&lt;&gt;HomeState),ROUND(K634*L634,2),0)),"")</f>
        <v/>
      </c>
      <c r="P634" s="61" t="str">
        <f aca="false">IF(IsPro,IF($D634="","",K634+M634+N634+O634),"")</f>
        <v/>
      </c>
      <c r="Q634" s="60" t="str">
        <f aca="false">IF(IsPro,IF($D634="","",IFERROR(MATCH($D634,Items!$A$5:$A$504,0),"")),"")</f>
        <v/>
      </c>
      <c r="R634" s="60" t="str">
        <f aca="false">IF(IsPro,IF($C634="","",IFERROR(MATCH($C634,Parties!$A$5:$A$304,0),"")),"")</f>
        <v/>
      </c>
      <c r="S634" s="61" t="str">
        <f aca="false">IF(IsPro,IF($D634="","",IF(OR($H634="",$H634="Credit"),0,P634)),"")</f>
        <v/>
      </c>
    </row>
    <row r="635" customFormat="false" ht="15" hidden="false" customHeight="false" outlineLevel="0" collapsed="false">
      <c r="A635" s="55"/>
      <c r="B635" s="56"/>
      <c r="C635" s="56"/>
      <c r="D635" s="56"/>
      <c r="E635" s="57"/>
      <c r="F635" s="58"/>
      <c r="G635" s="59"/>
      <c r="H635" s="56"/>
      <c r="I635" s="60" t="str">
        <f aca="false">IF(IsPro,IF($D635="","",IFERROR(INDEX(Items!$D$5:$D$504,Q635),"")),IF($D635="","","PRO PLAN"))</f>
        <v/>
      </c>
      <c r="J635" s="61" t="str">
        <f aca="false">IF(IsPro,IF($D635="","",IF($F635="",IFERROR(INDEX(Items!$G$5:$G$504,Q635),0),$F635)),"")</f>
        <v/>
      </c>
      <c r="K635" s="61" t="str">
        <f aca="false">IF(IsPro,IF($D635="","",ROUND(N($E635)*J635*(1-N($G635)),2)),"")</f>
        <v/>
      </c>
      <c r="L635" s="62" t="str">
        <f aca="false">IF(IsPro,IF($D635="","",IFERROR(INDEX(Items!$F$5:$F$504,Q635),0)),"")</f>
        <v/>
      </c>
      <c r="M635" s="61" t="str">
        <f aca="false">IF(IsPro,IF($D635="","",IF(AND(R635&lt;&gt;"",INDEX(Parties!$E$5:$E$304,R635)&lt;&gt;"",INDEX(Parties!$E$5:$E$304,R635)&lt;&gt;HomeState),0,ROUND(K635*L635/2,2))),"")</f>
        <v/>
      </c>
      <c r="N635" s="61" t="str">
        <f aca="false">IF(IsPro,IF($D635="","",M635),"")</f>
        <v/>
      </c>
      <c r="O635" s="61" t="str">
        <f aca="false">IF(IsPro,IF($D635="","",IF(AND(R635&lt;&gt;"",INDEX(Parties!$E$5:$E$304,R635)&lt;&gt;"",INDEX(Parties!$E$5:$E$304,R635)&lt;&gt;HomeState),ROUND(K635*L635,2),0)),"")</f>
        <v/>
      </c>
      <c r="P635" s="61" t="str">
        <f aca="false">IF(IsPro,IF($D635="","",K635+M635+N635+O635),"")</f>
        <v/>
      </c>
      <c r="Q635" s="60" t="str">
        <f aca="false">IF(IsPro,IF($D635="","",IFERROR(MATCH($D635,Items!$A$5:$A$504,0),"")),"")</f>
        <v/>
      </c>
      <c r="R635" s="60" t="str">
        <f aca="false">IF(IsPro,IF($C635="","",IFERROR(MATCH($C635,Parties!$A$5:$A$304,0),"")),"")</f>
        <v/>
      </c>
      <c r="S635" s="61" t="str">
        <f aca="false">IF(IsPro,IF($D635="","",IF(OR($H635="",$H635="Credit"),0,P635)),"")</f>
        <v/>
      </c>
    </row>
    <row r="636" customFormat="false" ht="15" hidden="false" customHeight="false" outlineLevel="0" collapsed="false">
      <c r="A636" s="55"/>
      <c r="B636" s="56"/>
      <c r="C636" s="56"/>
      <c r="D636" s="56"/>
      <c r="E636" s="57"/>
      <c r="F636" s="58"/>
      <c r="G636" s="59"/>
      <c r="H636" s="56"/>
      <c r="I636" s="60" t="str">
        <f aca="false">IF(IsPro,IF($D636="","",IFERROR(INDEX(Items!$D$5:$D$504,Q636),"")),IF($D636="","","PRO PLAN"))</f>
        <v/>
      </c>
      <c r="J636" s="61" t="str">
        <f aca="false">IF(IsPro,IF($D636="","",IF($F636="",IFERROR(INDEX(Items!$G$5:$G$504,Q636),0),$F636)),"")</f>
        <v/>
      </c>
      <c r="K636" s="61" t="str">
        <f aca="false">IF(IsPro,IF($D636="","",ROUND(N($E636)*J636*(1-N($G636)),2)),"")</f>
        <v/>
      </c>
      <c r="L636" s="62" t="str">
        <f aca="false">IF(IsPro,IF($D636="","",IFERROR(INDEX(Items!$F$5:$F$504,Q636),0)),"")</f>
        <v/>
      </c>
      <c r="M636" s="61" t="str">
        <f aca="false">IF(IsPro,IF($D636="","",IF(AND(R636&lt;&gt;"",INDEX(Parties!$E$5:$E$304,R636)&lt;&gt;"",INDEX(Parties!$E$5:$E$304,R636)&lt;&gt;HomeState),0,ROUND(K636*L636/2,2))),"")</f>
        <v/>
      </c>
      <c r="N636" s="61" t="str">
        <f aca="false">IF(IsPro,IF($D636="","",M636),"")</f>
        <v/>
      </c>
      <c r="O636" s="61" t="str">
        <f aca="false">IF(IsPro,IF($D636="","",IF(AND(R636&lt;&gt;"",INDEX(Parties!$E$5:$E$304,R636)&lt;&gt;"",INDEX(Parties!$E$5:$E$304,R636)&lt;&gt;HomeState),ROUND(K636*L636,2),0)),"")</f>
        <v/>
      </c>
      <c r="P636" s="61" t="str">
        <f aca="false">IF(IsPro,IF($D636="","",K636+M636+N636+O636),"")</f>
        <v/>
      </c>
      <c r="Q636" s="60" t="str">
        <f aca="false">IF(IsPro,IF($D636="","",IFERROR(MATCH($D636,Items!$A$5:$A$504,0),"")),"")</f>
        <v/>
      </c>
      <c r="R636" s="60" t="str">
        <f aca="false">IF(IsPro,IF($C636="","",IFERROR(MATCH($C636,Parties!$A$5:$A$304,0),"")),"")</f>
        <v/>
      </c>
      <c r="S636" s="61" t="str">
        <f aca="false">IF(IsPro,IF($D636="","",IF(OR($H636="",$H636="Credit"),0,P636)),"")</f>
        <v/>
      </c>
    </row>
    <row r="637" customFormat="false" ht="15" hidden="false" customHeight="false" outlineLevel="0" collapsed="false">
      <c r="A637" s="55"/>
      <c r="B637" s="56"/>
      <c r="C637" s="56"/>
      <c r="D637" s="56"/>
      <c r="E637" s="57"/>
      <c r="F637" s="58"/>
      <c r="G637" s="59"/>
      <c r="H637" s="56"/>
      <c r="I637" s="60" t="str">
        <f aca="false">IF(IsPro,IF($D637="","",IFERROR(INDEX(Items!$D$5:$D$504,Q637),"")),IF($D637="","","PRO PLAN"))</f>
        <v/>
      </c>
      <c r="J637" s="61" t="str">
        <f aca="false">IF(IsPro,IF($D637="","",IF($F637="",IFERROR(INDEX(Items!$G$5:$G$504,Q637),0),$F637)),"")</f>
        <v/>
      </c>
      <c r="K637" s="61" t="str">
        <f aca="false">IF(IsPro,IF($D637="","",ROUND(N($E637)*J637*(1-N($G637)),2)),"")</f>
        <v/>
      </c>
      <c r="L637" s="62" t="str">
        <f aca="false">IF(IsPro,IF($D637="","",IFERROR(INDEX(Items!$F$5:$F$504,Q637),0)),"")</f>
        <v/>
      </c>
      <c r="M637" s="61" t="str">
        <f aca="false">IF(IsPro,IF($D637="","",IF(AND(R637&lt;&gt;"",INDEX(Parties!$E$5:$E$304,R637)&lt;&gt;"",INDEX(Parties!$E$5:$E$304,R637)&lt;&gt;HomeState),0,ROUND(K637*L637/2,2))),"")</f>
        <v/>
      </c>
      <c r="N637" s="61" t="str">
        <f aca="false">IF(IsPro,IF($D637="","",M637),"")</f>
        <v/>
      </c>
      <c r="O637" s="61" t="str">
        <f aca="false">IF(IsPro,IF($D637="","",IF(AND(R637&lt;&gt;"",INDEX(Parties!$E$5:$E$304,R637)&lt;&gt;"",INDEX(Parties!$E$5:$E$304,R637)&lt;&gt;HomeState),ROUND(K637*L637,2),0)),"")</f>
        <v/>
      </c>
      <c r="P637" s="61" t="str">
        <f aca="false">IF(IsPro,IF($D637="","",K637+M637+N637+O637),"")</f>
        <v/>
      </c>
      <c r="Q637" s="60" t="str">
        <f aca="false">IF(IsPro,IF($D637="","",IFERROR(MATCH($D637,Items!$A$5:$A$504,0),"")),"")</f>
        <v/>
      </c>
      <c r="R637" s="60" t="str">
        <f aca="false">IF(IsPro,IF($C637="","",IFERROR(MATCH($C637,Parties!$A$5:$A$304,0),"")),"")</f>
        <v/>
      </c>
      <c r="S637" s="61" t="str">
        <f aca="false">IF(IsPro,IF($D637="","",IF(OR($H637="",$H637="Credit"),0,P637)),"")</f>
        <v/>
      </c>
    </row>
    <row r="638" customFormat="false" ht="15" hidden="false" customHeight="false" outlineLevel="0" collapsed="false">
      <c r="A638" s="55"/>
      <c r="B638" s="56"/>
      <c r="C638" s="56"/>
      <c r="D638" s="56"/>
      <c r="E638" s="57"/>
      <c r="F638" s="58"/>
      <c r="G638" s="59"/>
      <c r="H638" s="56"/>
      <c r="I638" s="60" t="str">
        <f aca="false">IF(IsPro,IF($D638="","",IFERROR(INDEX(Items!$D$5:$D$504,Q638),"")),IF($D638="","","PRO PLAN"))</f>
        <v/>
      </c>
      <c r="J638" s="61" t="str">
        <f aca="false">IF(IsPro,IF($D638="","",IF($F638="",IFERROR(INDEX(Items!$G$5:$G$504,Q638),0),$F638)),"")</f>
        <v/>
      </c>
      <c r="K638" s="61" t="str">
        <f aca="false">IF(IsPro,IF($D638="","",ROUND(N($E638)*J638*(1-N($G638)),2)),"")</f>
        <v/>
      </c>
      <c r="L638" s="62" t="str">
        <f aca="false">IF(IsPro,IF($D638="","",IFERROR(INDEX(Items!$F$5:$F$504,Q638),0)),"")</f>
        <v/>
      </c>
      <c r="M638" s="61" t="str">
        <f aca="false">IF(IsPro,IF($D638="","",IF(AND(R638&lt;&gt;"",INDEX(Parties!$E$5:$E$304,R638)&lt;&gt;"",INDEX(Parties!$E$5:$E$304,R638)&lt;&gt;HomeState),0,ROUND(K638*L638/2,2))),"")</f>
        <v/>
      </c>
      <c r="N638" s="61" t="str">
        <f aca="false">IF(IsPro,IF($D638="","",M638),"")</f>
        <v/>
      </c>
      <c r="O638" s="61" t="str">
        <f aca="false">IF(IsPro,IF($D638="","",IF(AND(R638&lt;&gt;"",INDEX(Parties!$E$5:$E$304,R638)&lt;&gt;"",INDEX(Parties!$E$5:$E$304,R638)&lt;&gt;HomeState),ROUND(K638*L638,2),0)),"")</f>
        <v/>
      </c>
      <c r="P638" s="61" t="str">
        <f aca="false">IF(IsPro,IF($D638="","",K638+M638+N638+O638),"")</f>
        <v/>
      </c>
      <c r="Q638" s="60" t="str">
        <f aca="false">IF(IsPro,IF($D638="","",IFERROR(MATCH($D638,Items!$A$5:$A$504,0),"")),"")</f>
        <v/>
      </c>
      <c r="R638" s="60" t="str">
        <f aca="false">IF(IsPro,IF($C638="","",IFERROR(MATCH($C638,Parties!$A$5:$A$304,0),"")),"")</f>
        <v/>
      </c>
      <c r="S638" s="61" t="str">
        <f aca="false">IF(IsPro,IF($D638="","",IF(OR($H638="",$H638="Credit"),0,P638)),"")</f>
        <v/>
      </c>
    </row>
    <row r="639" customFormat="false" ht="15" hidden="false" customHeight="false" outlineLevel="0" collapsed="false">
      <c r="A639" s="55"/>
      <c r="B639" s="56"/>
      <c r="C639" s="56"/>
      <c r="D639" s="56"/>
      <c r="E639" s="57"/>
      <c r="F639" s="58"/>
      <c r="G639" s="59"/>
      <c r="H639" s="56"/>
      <c r="I639" s="60" t="str">
        <f aca="false">IF(IsPro,IF($D639="","",IFERROR(INDEX(Items!$D$5:$D$504,Q639),"")),IF($D639="","","PRO PLAN"))</f>
        <v/>
      </c>
      <c r="J639" s="61" t="str">
        <f aca="false">IF(IsPro,IF($D639="","",IF($F639="",IFERROR(INDEX(Items!$G$5:$G$504,Q639),0),$F639)),"")</f>
        <v/>
      </c>
      <c r="K639" s="61" t="str">
        <f aca="false">IF(IsPro,IF($D639="","",ROUND(N($E639)*J639*(1-N($G639)),2)),"")</f>
        <v/>
      </c>
      <c r="L639" s="62" t="str">
        <f aca="false">IF(IsPro,IF($D639="","",IFERROR(INDEX(Items!$F$5:$F$504,Q639),0)),"")</f>
        <v/>
      </c>
      <c r="M639" s="61" t="str">
        <f aca="false">IF(IsPro,IF($D639="","",IF(AND(R639&lt;&gt;"",INDEX(Parties!$E$5:$E$304,R639)&lt;&gt;"",INDEX(Parties!$E$5:$E$304,R639)&lt;&gt;HomeState),0,ROUND(K639*L639/2,2))),"")</f>
        <v/>
      </c>
      <c r="N639" s="61" t="str">
        <f aca="false">IF(IsPro,IF($D639="","",M639),"")</f>
        <v/>
      </c>
      <c r="O639" s="61" t="str">
        <f aca="false">IF(IsPro,IF($D639="","",IF(AND(R639&lt;&gt;"",INDEX(Parties!$E$5:$E$304,R639)&lt;&gt;"",INDEX(Parties!$E$5:$E$304,R639)&lt;&gt;HomeState),ROUND(K639*L639,2),0)),"")</f>
        <v/>
      </c>
      <c r="P639" s="61" t="str">
        <f aca="false">IF(IsPro,IF($D639="","",K639+M639+N639+O639),"")</f>
        <v/>
      </c>
      <c r="Q639" s="60" t="str">
        <f aca="false">IF(IsPro,IF($D639="","",IFERROR(MATCH($D639,Items!$A$5:$A$504,0),"")),"")</f>
        <v/>
      </c>
      <c r="R639" s="60" t="str">
        <f aca="false">IF(IsPro,IF($C639="","",IFERROR(MATCH($C639,Parties!$A$5:$A$304,0),"")),"")</f>
        <v/>
      </c>
      <c r="S639" s="61" t="str">
        <f aca="false">IF(IsPro,IF($D639="","",IF(OR($H639="",$H639="Credit"),0,P639)),"")</f>
        <v/>
      </c>
    </row>
    <row r="640" customFormat="false" ht="15" hidden="false" customHeight="false" outlineLevel="0" collapsed="false">
      <c r="A640" s="55"/>
      <c r="B640" s="56"/>
      <c r="C640" s="56"/>
      <c r="D640" s="56"/>
      <c r="E640" s="57"/>
      <c r="F640" s="58"/>
      <c r="G640" s="59"/>
      <c r="H640" s="56"/>
      <c r="I640" s="60" t="str">
        <f aca="false">IF(IsPro,IF($D640="","",IFERROR(INDEX(Items!$D$5:$D$504,Q640),"")),IF($D640="","","PRO PLAN"))</f>
        <v/>
      </c>
      <c r="J640" s="61" t="str">
        <f aca="false">IF(IsPro,IF($D640="","",IF($F640="",IFERROR(INDEX(Items!$G$5:$G$504,Q640),0),$F640)),"")</f>
        <v/>
      </c>
      <c r="K640" s="61" t="str">
        <f aca="false">IF(IsPro,IF($D640="","",ROUND(N($E640)*J640*(1-N($G640)),2)),"")</f>
        <v/>
      </c>
      <c r="L640" s="62" t="str">
        <f aca="false">IF(IsPro,IF($D640="","",IFERROR(INDEX(Items!$F$5:$F$504,Q640),0)),"")</f>
        <v/>
      </c>
      <c r="M640" s="61" t="str">
        <f aca="false">IF(IsPro,IF($D640="","",IF(AND(R640&lt;&gt;"",INDEX(Parties!$E$5:$E$304,R640)&lt;&gt;"",INDEX(Parties!$E$5:$E$304,R640)&lt;&gt;HomeState),0,ROUND(K640*L640/2,2))),"")</f>
        <v/>
      </c>
      <c r="N640" s="61" t="str">
        <f aca="false">IF(IsPro,IF($D640="","",M640),"")</f>
        <v/>
      </c>
      <c r="O640" s="61" t="str">
        <f aca="false">IF(IsPro,IF($D640="","",IF(AND(R640&lt;&gt;"",INDEX(Parties!$E$5:$E$304,R640)&lt;&gt;"",INDEX(Parties!$E$5:$E$304,R640)&lt;&gt;HomeState),ROUND(K640*L640,2),0)),"")</f>
        <v/>
      </c>
      <c r="P640" s="61" t="str">
        <f aca="false">IF(IsPro,IF($D640="","",K640+M640+N640+O640),"")</f>
        <v/>
      </c>
      <c r="Q640" s="60" t="str">
        <f aca="false">IF(IsPro,IF($D640="","",IFERROR(MATCH($D640,Items!$A$5:$A$504,0),"")),"")</f>
        <v/>
      </c>
      <c r="R640" s="60" t="str">
        <f aca="false">IF(IsPro,IF($C640="","",IFERROR(MATCH($C640,Parties!$A$5:$A$304,0),"")),"")</f>
        <v/>
      </c>
      <c r="S640" s="61" t="str">
        <f aca="false">IF(IsPro,IF($D640="","",IF(OR($H640="",$H640="Credit"),0,P640)),"")</f>
        <v/>
      </c>
    </row>
    <row r="641" customFormat="false" ht="15" hidden="false" customHeight="false" outlineLevel="0" collapsed="false">
      <c r="A641" s="55"/>
      <c r="B641" s="56"/>
      <c r="C641" s="56"/>
      <c r="D641" s="56"/>
      <c r="E641" s="57"/>
      <c r="F641" s="58"/>
      <c r="G641" s="59"/>
      <c r="H641" s="56"/>
      <c r="I641" s="60" t="str">
        <f aca="false">IF(IsPro,IF($D641="","",IFERROR(INDEX(Items!$D$5:$D$504,Q641),"")),IF($D641="","","PRO PLAN"))</f>
        <v/>
      </c>
      <c r="J641" s="61" t="str">
        <f aca="false">IF(IsPro,IF($D641="","",IF($F641="",IFERROR(INDEX(Items!$G$5:$G$504,Q641),0),$F641)),"")</f>
        <v/>
      </c>
      <c r="K641" s="61" t="str">
        <f aca="false">IF(IsPro,IF($D641="","",ROUND(N($E641)*J641*(1-N($G641)),2)),"")</f>
        <v/>
      </c>
      <c r="L641" s="62" t="str">
        <f aca="false">IF(IsPro,IF($D641="","",IFERROR(INDEX(Items!$F$5:$F$504,Q641),0)),"")</f>
        <v/>
      </c>
      <c r="M641" s="61" t="str">
        <f aca="false">IF(IsPro,IF($D641="","",IF(AND(R641&lt;&gt;"",INDEX(Parties!$E$5:$E$304,R641)&lt;&gt;"",INDEX(Parties!$E$5:$E$304,R641)&lt;&gt;HomeState),0,ROUND(K641*L641/2,2))),"")</f>
        <v/>
      </c>
      <c r="N641" s="61" t="str">
        <f aca="false">IF(IsPro,IF($D641="","",M641),"")</f>
        <v/>
      </c>
      <c r="O641" s="61" t="str">
        <f aca="false">IF(IsPro,IF($D641="","",IF(AND(R641&lt;&gt;"",INDEX(Parties!$E$5:$E$304,R641)&lt;&gt;"",INDEX(Parties!$E$5:$E$304,R641)&lt;&gt;HomeState),ROUND(K641*L641,2),0)),"")</f>
        <v/>
      </c>
      <c r="P641" s="61" t="str">
        <f aca="false">IF(IsPro,IF($D641="","",K641+M641+N641+O641),"")</f>
        <v/>
      </c>
      <c r="Q641" s="60" t="str">
        <f aca="false">IF(IsPro,IF($D641="","",IFERROR(MATCH($D641,Items!$A$5:$A$504,0),"")),"")</f>
        <v/>
      </c>
      <c r="R641" s="60" t="str">
        <f aca="false">IF(IsPro,IF($C641="","",IFERROR(MATCH($C641,Parties!$A$5:$A$304,0),"")),"")</f>
        <v/>
      </c>
      <c r="S641" s="61" t="str">
        <f aca="false">IF(IsPro,IF($D641="","",IF(OR($H641="",$H641="Credit"),0,P641)),"")</f>
        <v/>
      </c>
    </row>
    <row r="642" customFormat="false" ht="15" hidden="false" customHeight="false" outlineLevel="0" collapsed="false">
      <c r="A642" s="55"/>
      <c r="B642" s="56"/>
      <c r="C642" s="56"/>
      <c r="D642" s="56"/>
      <c r="E642" s="57"/>
      <c r="F642" s="58"/>
      <c r="G642" s="59"/>
      <c r="H642" s="56"/>
      <c r="I642" s="60" t="str">
        <f aca="false">IF(IsPro,IF($D642="","",IFERROR(INDEX(Items!$D$5:$D$504,Q642),"")),IF($D642="","","PRO PLAN"))</f>
        <v/>
      </c>
      <c r="J642" s="61" t="str">
        <f aca="false">IF(IsPro,IF($D642="","",IF($F642="",IFERROR(INDEX(Items!$G$5:$G$504,Q642),0),$F642)),"")</f>
        <v/>
      </c>
      <c r="K642" s="61" t="str">
        <f aca="false">IF(IsPro,IF($D642="","",ROUND(N($E642)*J642*(1-N($G642)),2)),"")</f>
        <v/>
      </c>
      <c r="L642" s="62" t="str">
        <f aca="false">IF(IsPro,IF($D642="","",IFERROR(INDEX(Items!$F$5:$F$504,Q642),0)),"")</f>
        <v/>
      </c>
      <c r="M642" s="61" t="str">
        <f aca="false">IF(IsPro,IF($D642="","",IF(AND(R642&lt;&gt;"",INDEX(Parties!$E$5:$E$304,R642)&lt;&gt;"",INDEX(Parties!$E$5:$E$304,R642)&lt;&gt;HomeState),0,ROUND(K642*L642/2,2))),"")</f>
        <v/>
      </c>
      <c r="N642" s="61" t="str">
        <f aca="false">IF(IsPro,IF($D642="","",M642),"")</f>
        <v/>
      </c>
      <c r="O642" s="61" t="str">
        <f aca="false">IF(IsPro,IF($D642="","",IF(AND(R642&lt;&gt;"",INDEX(Parties!$E$5:$E$304,R642)&lt;&gt;"",INDEX(Parties!$E$5:$E$304,R642)&lt;&gt;HomeState),ROUND(K642*L642,2),0)),"")</f>
        <v/>
      </c>
      <c r="P642" s="61" t="str">
        <f aca="false">IF(IsPro,IF($D642="","",K642+M642+N642+O642),"")</f>
        <v/>
      </c>
      <c r="Q642" s="60" t="str">
        <f aca="false">IF(IsPro,IF($D642="","",IFERROR(MATCH($D642,Items!$A$5:$A$504,0),"")),"")</f>
        <v/>
      </c>
      <c r="R642" s="60" t="str">
        <f aca="false">IF(IsPro,IF($C642="","",IFERROR(MATCH($C642,Parties!$A$5:$A$304,0),"")),"")</f>
        <v/>
      </c>
      <c r="S642" s="61" t="str">
        <f aca="false">IF(IsPro,IF($D642="","",IF(OR($H642="",$H642="Credit"),0,P642)),"")</f>
        <v/>
      </c>
    </row>
    <row r="643" customFormat="false" ht="15" hidden="false" customHeight="false" outlineLevel="0" collapsed="false">
      <c r="A643" s="55"/>
      <c r="B643" s="56"/>
      <c r="C643" s="56"/>
      <c r="D643" s="56"/>
      <c r="E643" s="57"/>
      <c r="F643" s="58"/>
      <c r="G643" s="59"/>
      <c r="H643" s="56"/>
      <c r="I643" s="60" t="str">
        <f aca="false">IF(IsPro,IF($D643="","",IFERROR(INDEX(Items!$D$5:$D$504,Q643),"")),IF($D643="","","PRO PLAN"))</f>
        <v/>
      </c>
      <c r="J643" s="61" t="str">
        <f aca="false">IF(IsPro,IF($D643="","",IF($F643="",IFERROR(INDEX(Items!$G$5:$G$504,Q643),0),$F643)),"")</f>
        <v/>
      </c>
      <c r="K643" s="61" t="str">
        <f aca="false">IF(IsPro,IF($D643="","",ROUND(N($E643)*J643*(1-N($G643)),2)),"")</f>
        <v/>
      </c>
      <c r="L643" s="62" t="str">
        <f aca="false">IF(IsPro,IF($D643="","",IFERROR(INDEX(Items!$F$5:$F$504,Q643),0)),"")</f>
        <v/>
      </c>
      <c r="M643" s="61" t="str">
        <f aca="false">IF(IsPro,IF($D643="","",IF(AND(R643&lt;&gt;"",INDEX(Parties!$E$5:$E$304,R643)&lt;&gt;"",INDEX(Parties!$E$5:$E$304,R643)&lt;&gt;HomeState),0,ROUND(K643*L643/2,2))),"")</f>
        <v/>
      </c>
      <c r="N643" s="61" t="str">
        <f aca="false">IF(IsPro,IF($D643="","",M643),"")</f>
        <v/>
      </c>
      <c r="O643" s="61" t="str">
        <f aca="false">IF(IsPro,IF($D643="","",IF(AND(R643&lt;&gt;"",INDEX(Parties!$E$5:$E$304,R643)&lt;&gt;"",INDEX(Parties!$E$5:$E$304,R643)&lt;&gt;HomeState),ROUND(K643*L643,2),0)),"")</f>
        <v/>
      </c>
      <c r="P643" s="61" t="str">
        <f aca="false">IF(IsPro,IF($D643="","",K643+M643+N643+O643),"")</f>
        <v/>
      </c>
      <c r="Q643" s="60" t="str">
        <f aca="false">IF(IsPro,IF($D643="","",IFERROR(MATCH($D643,Items!$A$5:$A$504,0),"")),"")</f>
        <v/>
      </c>
      <c r="R643" s="60" t="str">
        <f aca="false">IF(IsPro,IF($C643="","",IFERROR(MATCH($C643,Parties!$A$5:$A$304,0),"")),"")</f>
        <v/>
      </c>
      <c r="S643" s="61" t="str">
        <f aca="false">IF(IsPro,IF($D643="","",IF(OR($H643="",$H643="Credit"),0,P643)),"")</f>
        <v/>
      </c>
    </row>
    <row r="644" customFormat="false" ht="15" hidden="false" customHeight="false" outlineLevel="0" collapsed="false">
      <c r="A644" s="55"/>
      <c r="B644" s="56"/>
      <c r="C644" s="56"/>
      <c r="D644" s="56"/>
      <c r="E644" s="57"/>
      <c r="F644" s="58"/>
      <c r="G644" s="59"/>
      <c r="H644" s="56"/>
      <c r="I644" s="60" t="str">
        <f aca="false">IF(IsPro,IF($D644="","",IFERROR(INDEX(Items!$D$5:$D$504,Q644),"")),IF($D644="","","PRO PLAN"))</f>
        <v/>
      </c>
      <c r="J644" s="61" t="str">
        <f aca="false">IF(IsPro,IF($D644="","",IF($F644="",IFERROR(INDEX(Items!$G$5:$G$504,Q644),0),$F644)),"")</f>
        <v/>
      </c>
      <c r="K644" s="61" t="str">
        <f aca="false">IF(IsPro,IF($D644="","",ROUND(N($E644)*J644*(1-N($G644)),2)),"")</f>
        <v/>
      </c>
      <c r="L644" s="62" t="str">
        <f aca="false">IF(IsPro,IF($D644="","",IFERROR(INDEX(Items!$F$5:$F$504,Q644),0)),"")</f>
        <v/>
      </c>
      <c r="M644" s="61" t="str">
        <f aca="false">IF(IsPro,IF($D644="","",IF(AND(R644&lt;&gt;"",INDEX(Parties!$E$5:$E$304,R644)&lt;&gt;"",INDEX(Parties!$E$5:$E$304,R644)&lt;&gt;HomeState),0,ROUND(K644*L644/2,2))),"")</f>
        <v/>
      </c>
      <c r="N644" s="61" t="str">
        <f aca="false">IF(IsPro,IF($D644="","",M644),"")</f>
        <v/>
      </c>
      <c r="O644" s="61" t="str">
        <f aca="false">IF(IsPro,IF($D644="","",IF(AND(R644&lt;&gt;"",INDEX(Parties!$E$5:$E$304,R644)&lt;&gt;"",INDEX(Parties!$E$5:$E$304,R644)&lt;&gt;HomeState),ROUND(K644*L644,2),0)),"")</f>
        <v/>
      </c>
      <c r="P644" s="61" t="str">
        <f aca="false">IF(IsPro,IF($D644="","",K644+M644+N644+O644),"")</f>
        <v/>
      </c>
      <c r="Q644" s="60" t="str">
        <f aca="false">IF(IsPro,IF($D644="","",IFERROR(MATCH($D644,Items!$A$5:$A$504,0),"")),"")</f>
        <v/>
      </c>
      <c r="R644" s="60" t="str">
        <f aca="false">IF(IsPro,IF($C644="","",IFERROR(MATCH($C644,Parties!$A$5:$A$304,0),"")),"")</f>
        <v/>
      </c>
      <c r="S644" s="61" t="str">
        <f aca="false">IF(IsPro,IF($D644="","",IF(OR($H644="",$H644="Credit"),0,P644)),"")</f>
        <v/>
      </c>
    </row>
    <row r="645" customFormat="false" ht="15" hidden="false" customHeight="false" outlineLevel="0" collapsed="false">
      <c r="A645" s="55"/>
      <c r="B645" s="56"/>
      <c r="C645" s="56"/>
      <c r="D645" s="56"/>
      <c r="E645" s="57"/>
      <c r="F645" s="58"/>
      <c r="G645" s="59"/>
      <c r="H645" s="56"/>
      <c r="I645" s="60" t="str">
        <f aca="false">IF(IsPro,IF($D645="","",IFERROR(INDEX(Items!$D$5:$D$504,Q645),"")),IF($D645="","","PRO PLAN"))</f>
        <v/>
      </c>
      <c r="J645" s="61" t="str">
        <f aca="false">IF(IsPro,IF($D645="","",IF($F645="",IFERROR(INDEX(Items!$G$5:$G$504,Q645),0),$F645)),"")</f>
        <v/>
      </c>
      <c r="K645" s="61" t="str">
        <f aca="false">IF(IsPro,IF($D645="","",ROUND(N($E645)*J645*(1-N($G645)),2)),"")</f>
        <v/>
      </c>
      <c r="L645" s="62" t="str">
        <f aca="false">IF(IsPro,IF($D645="","",IFERROR(INDEX(Items!$F$5:$F$504,Q645),0)),"")</f>
        <v/>
      </c>
      <c r="M645" s="61" t="str">
        <f aca="false">IF(IsPro,IF($D645="","",IF(AND(R645&lt;&gt;"",INDEX(Parties!$E$5:$E$304,R645)&lt;&gt;"",INDEX(Parties!$E$5:$E$304,R645)&lt;&gt;HomeState),0,ROUND(K645*L645/2,2))),"")</f>
        <v/>
      </c>
      <c r="N645" s="61" t="str">
        <f aca="false">IF(IsPro,IF($D645="","",M645),"")</f>
        <v/>
      </c>
      <c r="O645" s="61" t="str">
        <f aca="false">IF(IsPro,IF($D645="","",IF(AND(R645&lt;&gt;"",INDEX(Parties!$E$5:$E$304,R645)&lt;&gt;"",INDEX(Parties!$E$5:$E$304,R645)&lt;&gt;HomeState),ROUND(K645*L645,2),0)),"")</f>
        <v/>
      </c>
      <c r="P645" s="61" t="str">
        <f aca="false">IF(IsPro,IF($D645="","",K645+M645+N645+O645),"")</f>
        <v/>
      </c>
      <c r="Q645" s="60" t="str">
        <f aca="false">IF(IsPro,IF($D645="","",IFERROR(MATCH($D645,Items!$A$5:$A$504,0),"")),"")</f>
        <v/>
      </c>
      <c r="R645" s="60" t="str">
        <f aca="false">IF(IsPro,IF($C645="","",IFERROR(MATCH($C645,Parties!$A$5:$A$304,0),"")),"")</f>
        <v/>
      </c>
      <c r="S645" s="61" t="str">
        <f aca="false">IF(IsPro,IF($D645="","",IF(OR($H645="",$H645="Credit"),0,P645)),"")</f>
        <v/>
      </c>
    </row>
    <row r="646" customFormat="false" ht="15" hidden="false" customHeight="false" outlineLevel="0" collapsed="false">
      <c r="A646" s="55"/>
      <c r="B646" s="56"/>
      <c r="C646" s="56"/>
      <c r="D646" s="56"/>
      <c r="E646" s="57"/>
      <c r="F646" s="58"/>
      <c r="G646" s="59"/>
      <c r="H646" s="56"/>
      <c r="I646" s="60" t="str">
        <f aca="false">IF(IsPro,IF($D646="","",IFERROR(INDEX(Items!$D$5:$D$504,Q646),"")),IF($D646="","","PRO PLAN"))</f>
        <v/>
      </c>
      <c r="J646" s="61" t="str">
        <f aca="false">IF(IsPro,IF($D646="","",IF($F646="",IFERROR(INDEX(Items!$G$5:$G$504,Q646),0),$F646)),"")</f>
        <v/>
      </c>
      <c r="K646" s="61" t="str">
        <f aca="false">IF(IsPro,IF($D646="","",ROUND(N($E646)*J646*(1-N($G646)),2)),"")</f>
        <v/>
      </c>
      <c r="L646" s="62" t="str">
        <f aca="false">IF(IsPro,IF($D646="","",IFERROR(INDEX(Items!$F$5:$F$504,Q646),0)),"")</f>
        <v/>
      </c>
      <c r="M646" s="61" t="str">
        <f aca="false">IF(IsPro,IF($D646="","",IF(AND(R646&lt;&gt;"",INDEX(Parties!$E$5:$E$304,R646)&lt;&gt;"",INDEX(Parties!$E$5:$E$304,R646)&lt;&gt;HomeState),0,ROUND(K646*L646/2,2))),"")</f>
        <v/>
      </c>
      <c r="N646" s="61" t="str">
        <f aca="false">IF(IsPro,IF($D646="","",M646),"")</f>
        <v/>
      </c>
      <c r="O646" s="61" t="str">
        <f aca="false">IF(IsPro,IF($D646="","",IF(AND(R646&lt;&gt;"",INDEX(Parties!$E$5:$E$304,R646)&lt;&gt;"",INDEX(Parties!$E$5:$E$304,R646)&lt;&gt;HomeState),ROUND(K646*L646,2),0)),"")</f>
        <v/>
      </c>
      <c r="P646" s="61" t="str">
        <f aca="false">IF(IsPro,IF($D646="","",K646+M646+N646+O646),"")</f>
        <v/>
      </c>
      <c r="Q646" s="60" t="str">
        <f aca="false">IF(IsPro,IF($D646="","",IFERROR(MATCH($D646,Items!$A$5:$A$504,0),"")),"")</f>
        <v/>
      </c>
      <c r="R646" s="60" t="str">
        <f aca="false">IF(IsPro,IF($C646="","",IFERROR(MATCH($C646,Parties!$A$5:$A$304,0),"")),"")</f>
        <v/>
      </c>
      <c r="S646" s="61" t="str">
        <f aca="false">IF(IsPro,IF($D646="","",IF(OR($H646="",$H646="Credit"),0,P646)),"")</f>
        <v/>
      </c>
    </row>
    <row r="647" customFormat="false" ht="15" hidden="false" customHeight="false" outlineLevel="0" collapsed="false">
      <c r="A647" s="55"/>
      <c r="B647" s="56"/>
      <c r="C647" s="56"/>
      <c r="D647" s="56"/>
      <c r="E647" s="57"/>
      <c r="F647" s="58"/>
      <c r="G647" s="59"/>
      <c r="H647" s="56"/>
      <c r="I647" s="60" t="str">
        <f aca="false">IF(IsPro,IF($D647="","",IFERROR(INDEX(Items!$D$5:$D$504,Q647),"")),IF($D647="","","PRO PLAN"))</f>
        <v/>
      </c>
      <c r="J647" s="61" t="str">
        <f aca="false">IF(IsPro,IF($D647="","",IF($F647="",IFERROR(INDEX(Items!$G$5:$G$504,Q647),0),$F647)),"")</f>
        <v/>
      </c>
      <c r="K647" s="61" t="str">
        <f aca="false">IF(IsPro,IF($D647="","",ROUND(N($E647)*J647*(1-N($G647)),2)),"")</f>
        <v/>
      </c>
      <c r="L647" s="62" t="str">
        <f aca="false">IF(IsPro,IF($D647="","",IFERROR(INDEX(Items!$F$5:$F$504,Q647),0)),"")</f>
        <v/>
      </c>
      <c r="M647" s="61" t="str">
        <f aca="false">IF(IsPro,IF($D647="","",IF(AND(R647&lt;&gt;"",INDEX(Parties!$E$5:$E$304,R647)&lt;&gt;"",INDEX(Parties!$E$5:$E$304,R647)&lt;&gt;HomeState),0,ROUND(K647*L647/2,2))),"")</f>
        <v/>
      </c>
      <c r="N647" s="61" t="str">
        <f aca="false">IF(IsPro,IF($D647="","",M647),"")</f>
        <v/>
      </c>
      <c r="O647" s="61" t="str">
        <f aca="false">IF(IsPro,IF($D647="","",IF(AND(R647&lt;&gt;"",INDEX(Parties!$E$5:$E$304,R647)&lt;&gt;"",INDEX(Parties!$E$5:$E$304,R647)&lt;&gt;HomeState),ROUND(K647*L647,2),0)),"")</f>
        <v/>
      </c>
      <c r="P647" s="61" t="str">
        <f aca="false">IF(IsPro,IF($D647="","",K647+M647+N647+O647),"")</f>
        <v/>
      </c>
      <c r="Q647" s="60" t="str">
        <f aca="false">IF(IsPro,IF($D647="","",IFERROR(MATCH($D647,Items!$A$5:$A$504,0),"")),"")</f>
        <v/>
      </c>
      <c r="R647" s="60" t="str">
        <f aca="false">IF(IsPro,IF($C647="","",IFERROR(MATCH($C647,Parties!$A$5:$A$304,0),"")),"")</f>
        <v/>
      </c>
      <c r="S647" s="61" t="str">
        <f aca="false">IF(IsPro,IF($D647="","",IF(OR($H647="",$H647="Credit"),0,P647)),"")</f>
        <v/>
      </c>
    </row>
    <row r="648" customFormat="false" ht="15" hidden="false" customHeight="false" outlineLevel="0" collapsed="false">
      <c r="A648" s="55"/>
      <c r="B648" s="56"/>
      <c r="C648" s="56"/>
      <c r="D648" s="56"/>
      <c r="E648" s="57"/>
      <c r="F648" s="58"/>
      <c r="G648" s="59"/>
      <c r="H648" s="56"/>
      <c r="I648" s="60" t="str">
        <f aca="false">IF(IsPro,IF($D648="","",IFERROR(INDEX(Items!$D$5:$D$504,Q648),"")),IF($D648="","","PRO PLAN"))</f>
        <v/>
      </c>
      <c r="J648" s="61" t="str">
        <f aca="false">IF(IsPro,IF($D648="","",IF($F648="",IFERROR(INDEX(Items!$G$5:$G$504,Q648),0),$F648)),"")</f>
        <v/>
      </c>
      <c r="K648" s="61" t="str">
        <f aca="false">IF(IsPro,IF($D648="","",ROUND(N($E648)*J648*(1-N($G648)),2)),"")</f>
        <v/>
      </c>
      <c r="L648" s="62" t="str">
        <f aca="false">IF(IsPro,IF($D648="","",IFERROR(INDEX(Items!$F$5:$F$504,Q648),0)),"")</f>
        <v/>
      </c>
      <c r="M648" s="61" t="str">
        <f aca="false">IF(IsPro,IF($D648="","",IF(AND(R648&lt;&gt;"",INDEX(Parties!$E$5:$E$304,R648)&lt;&gt;"",INDEX(Parties!$E$5:$E$304,R648)&lt;&gt;HomeState),0,ROUND(K648*L648/2,2))),"")</f>
        <v/>
      </c>
      <c r="N648" s="61" t="str">
        <f aca="false">IF(IsPro,IF($D648="","",M648),"")</f>
        <v/>
      </c>
      <c r="O648" s="61" t="str">
        <f aca="false">IF(IsPro,IF($D648="","",IF(AND(R648&lt;&gt;"",INDEX(Parties!$E$5:$E$304,R648)&lt;&gt;"",INDEX(Parties!$E$5:$E$304,R648)&lt;&gt;HomeState),ROUND(K648*L648,2),0)),"")</f>
        <v/>
      </c>
      <c r="P648" s="61" t="str">
        <f aca="false">IF(IsPro,IF($D648="","",K648+M648+N648+O648),"")</f>
        <v/>
      </c>
      <c r="Q648" s="60" t="str">
        <f aca="false">IF(IsPro,IF($D648="","",IFERROR(MATCH($D648,Items!$A$5:$A$504,0),"")),"")</f>
        <v/>
      </c>
      <c r="R648" s="60" t="str">
        <f aca="false">IF(IsPro,IF($C648="","",IFERROR(MATCH($C648,Parties!$A$5:$A$304,0),"")),"")</f>
        <v/>
      </c>
      <c r="S648" s="61" t="str">
        <f aca="false">IF(IsPro,IF($D648="","",IF(OR($H648="",$H648="Credit"),0,P648)),"")</f>
        <v/>
      </c>
    </row>
    <row r="649" customFormat="false" ht="15" hidden="false" customHeight="false" outlineLevel="0" collapsed="false">
      <c r="A649" s="55"/>
      <c r="B649" s="56"/>
      <c r="C649" s="56"/>
      <c r="D649" s="56"/>
      <c r="E649" s="57"/>
      <c r="F649" s="58"/>
      <c r="G649" s="59"/>
      <c r="H649" s="56"/>
      <c r="I649" s="60" t="str">
        <f aca="false">IF(IsPro,IF($D649="","",IFERROR(INDEX(Items!$D$5:$D$504,Q649),"")),IF($D649="","","PRO PLAN"))</f>
        <v/>
      </c>
      <c r="J649" s="61" t="str">
        <f aca="false">IF(IsPro,IF($D649="","",IF($F649="",IFERROR(INDEX(Items!$G$5:$G$504,Q649),0),$F649)),"")</f>
        <v/>
      </c>
      <c r="K649" s="61" t="str">
        <f aca="false">IF(IsPro,IF($D649="","",ROUND(N($E649)*J649*(1-N($G649)),2)),"")</f>
        <v/>
      </c>
      <c r="L649" s="62" t="str">
        <f aca="false">IF(IsPro,IF($D649="","",IFERROR(INDEX(Items!$F$5:$F$504,Q649),0)),"")</f>
        <v/>
      </c>
      <c r="M649" s="61" t="str">
        <f aca="false">IF(IsPro,IF($D649="","",IF(AND(R649&lt;&gt;"",INDEX(Parties!$E$5:$E$304,R649)&lt;&gt;"",INDEX(Parties!$E$5:$E$304,R649)&lt;&gt;HomeState),0,ROUND(K649*L649/2,2))),"")</f>
        <v/>
      </c>
      <c r="N649" s="61" t="str">
        <f aca="false">IF(IsPro,IF($D649="","",M649),"")</f>
        <v/>
      </c>
      <c r="O649" s="61" t="str">
        <f aca="false">IF(IsPro,IF($D649="","",IF(AND(R649&lt;&gt;"",INDEX(Parties!$E$5:$E$304,R649)&lt;&gt;"",INDEX(Parties!$E$5:$E$304,R649)&lt;&gt;HomeState),ROUND(K649*L649,2),0)),"")</f>
        <v/>
      </c>
      <c r="P649" s="61" t="str">
        <f aca="false">IF(IsPro,IF($D649="","",K649+M649+N649+O649),"")</f>
        <v/>
      </c>
      <c r="Q649" s="60" t="str">
        <f aca="false">IF(IsPro,IF($D649="","",IFERROR(MATCH($D649,Items!$A$5:$A$504,0),"")),"")</f>
        <v/>
      </c>
      <c r="R649" s="60" t="str">
        <f aca="false">IF(IsPro,IF($C649="","",IFERROR(MATCH($C649,Parties!$A$5:$A$304,0),"")),"")</f>
        <v/>
      </c>
      <c r="S649" s="61" t="str">
        <f aca="false">IF(IsPro,IF($D649="","",IF(OR($H649="",$H649="Credit"),0,P649)),"")</f>
        <v/>
      </c>
    </row>
    <row r="650" customFormat="false" ht="15" hidden="false" customHeight="false" outlineLevel="0" collapsed="false">
      <c r="A650" s="55"/>
      <c r="B650" s="56"/>
      <c r="C650" s="56"/>
      <c r="D650" s="56"/>
      <c r="E650" s="57"/>
      <c r="F650" s="58"/>
      <c r="G650" s="59"/>
      <c r="H650" s="56"/>
      <c r="I650" s="60" t="str">
        <f aca="false">IF(IsPro,IF($D650="","",IFERROR(INDEX(Items!$D$5:$D$504,Q650),"")),IF($D650="","","PRO PLAN"))</f>
        <v/>
      </c>
      <c r="J650" s="61" t="str">
        <f aca="false">IF(IsPro,IF($D650="","",IF($F650="",IFERROR(INDEX(Items!$G$5:$G$504,Q650),0),$F650)),"")</f>
        <v/>
      </c>
      <c r="K650" s="61" t="str">
        <f aca="false">IF(IsPro,IF($D650="","",ROUND(N($E650)*J650*(1-N($G650)),2)),"")</f>
        <v/>
      </c>
      <c r="L650" s="62" t="str">
        <f aca="false">IF(IsPro,IF($D650="","",IFERROR(INDEX(Items!$F$5:$F$504,Q650),0)),"")</f>
        <v/>
      </c>
      <c r="M650" s="61" t="str">
        <f aca="false">IF(IsPro,IF($D650="","",IF(AND(R650&lt;&gt;"",INDEX(Parties!$E$5:$E$304,R650)&lt;&gt;"",INDEX(Parties!$E$5:$E$304,R650)&lt;&gt;HomeState),0,ROUND(K650*L650/2,2))),"")</f>
        <v/>
      </c>
      <c r="N650" s="61" t="str">
        <f aca="false">IF(IsPro,IF($D650="","",M650),"")</f>
        <v/>
      </c>
      <c r="O650" s="61" t="str">
        <f aca="false">IF(IsPro,IF($D650="","",IF(AND(R650&lt;&gt;"",INDEX(Parties!$E$5:$E$304,R650)&lt;&gt;"",INDEX(Parties!$E$5:$E$304,R650)&lt;&gt;HomeState),ROUND(K650*L650,2),0)),"")</f>
        <v/>
      </c>
      <c r="P650" s="61" t="str">
        <f aca="false">IF(IsPro,IF($D650="","",K650+M650+N650+O650),"")</f>
        <v/>
      </c>
      <c r="Q650" s="60" t="str">
        <f aca="false">IF(IsPro,IF($D650="","",IFERROR(MATCH($D650,Items!$A$5:$A$504,0),"")),"")</f>
        <v/>
      </c>
      <c r="R650" s="60" t="str">
        <f aca="false">IF(IsPro,IF($C650="","",IFERROR(MATCH($C650,Parties!$A$5:$A$304,0),"")),"")</f>
        <v/>
      </c>
      <c r="S650" s="61" t="str">
        <f aca="false">IF(IsPro,IF($D650="","",IF(OR($H650="",$H650="Credit"),0,P650)),"")</f>
        <v/>
      </c>
    </row>
    <row r="651" customFormat="false" ht="15" hidden="false" customHeight="false" outlineLevel="0" collapsed="false">
      <c r="A651" s="55"/>
      <c r="B651" s="56"/>
      <c r="C651" s="56"/>
      <c r="D651" s="56"/>
      <c r="E651" s="57"/>
      <c r="F651" s="58"/>
      <c r="G651" s="59"/>
      <c r="H651" s="56"/>
      <c r="I651" s="60" t="str">
        <f aca="false">IF(IsPro,IF($D651="","",IFERROR(INDEX(Items!$D$5:$D$504,Q651),"")),IF($D651="","","PRO PLAN"))</f>
        <v/>
      </c>
      <c r="J651" s="61" t="str">
        <f aca="false">IF(IsPro,IF($D651="","",IF($F651="",IFERROR(INDEX(Items!$G$5:$G$504,Q651),0),$F651)),"")</f>
        <v/>
      </c>
      <c r="K651" s="61" t="str">
        <f aca="false">IF(IsPro,IF($D651="","",ROUND(N($E651)*J651*(1-N($G651)),2)),"")</f>
        <v/>
      </c>
      <c r="L651" s="62" t="str">
        <f aca="false">IF(IsPro,IF($D651="","",IFERROR(INDEX(Items!$F$5:$F$504,Q651),0)),"")</f>
        <v/>
      </c>
      <c r="M651" s="61" t="str">
        <f aca="false">IF(IsPro,IF($D651="","",IF(AND(R651&lt;&gt;"",INDEX(Parties!$E$5:$E$304,R651)&lt;&gt;"",INDEX(Parties!$E$5:$E$304,R651)&lt;&gt;HomeState),0,ROUND(K651*L651/2,2))),"")</f>
        <v/>
      </c>
      <c r="N651" s="61" t="str">
        <f aca="false">IF(IsPro,IF($D651="","",M651),"")</f>
        <v/>
      </c>
      <c r="O651" s="61" t="str">
        <f aca="false">IF(IsPro,IF($D651="","",IF(AND(R651&lt;&gt;"",INDEX(Parties!$E$5:$E$304,R651)&lt;&gt;"",INDEX(Parties!$E$5:$E$304,R651)&lt;&gt;HomeState),ROUND(K651*L651,2),0)),"")</f>
        <v/>
      </c>
      <c r="P651" s="61" t="str">
        <f aca="false">IF(IsPro,IF($D651="","",K651+M651+N651+O651),"")</f>
        <v/>
      </c>
      <c r="Q651" s="60" t="str">
        <f aca="false">IF(IsPro,IF($D651="","",IFERROR(MATCH($D651,Items!$A$5:$A$504,0),"")),"")</f>
        <v/>
      </c>
      <c r="R651" s="60" t="str">
        <f aca="false">IF(IsPro,IF($C651="","",IFERROR(MATCH($C651,Parties!$A$5:$A$304,0),"")),"")</f>
        <v/>
      </c>
      <c r="S651" s="61" t="str">
        <f aca="false">IF(IsPro,IF($D651="","",IF(OR($H651="",$H651="Credit"),0,P651)),"")</f>
        <v/>
      </c>
    </row>
    <row r="652" customFormat="false" ht="15" hidden="false" customHeight="false" outlineLevel="0" collapsed="false">
      <c r="A652" s="55"/>
      <c r="B652" s="56"/>
      <c r="C652" s="56"/>
      <c r="D652" s="56"/>
      <c r="E652" s="57"/>
      <c r="F652" s="58"/>
      <c r="G652" s="59"/>
      <c r="H652" s="56"/>
      <c r="I652" s="60" t="str">
        <f aca="false">IF(IsPro,IF($D652="","",IFERROR(INDEX(Items!$D$5:$D$504,Q652),"")),IF($D652="","","PRO PLAN"))</f>
        <v/>
      </c>
      <c r="J652" s="61" t="str">
        <f aca="false">IF(IsPro,IF($D652="","",IF($F652="",IFERROR(INDEX(Items!$G$5:$G$504,Q652),0),$F652)),"")</f>
        <v/>
      </c>
      <c r="K652" s="61" t="str">
        <f aca="false">IF(IsPro,IF($D652="","",ROUND(N($E652)*J652*(1-N($G652)),2)),"")</f>
        <v/>
      </c>
      <c r="L652" s="62" t="str">
        <f aca="false">IF(IsPro,IF($D652="","",IFERROR(INDEX(Items!$F$5:$F$504,Q652),0)),"")</f>
        <v/>
      </c>
      <c r="M652" s="61" t="str">
        <f aca="false">IF(IsPro,IF($D652="","",IF(AND(R652&lt;&gt;"",INDEX(Parties!$E$5:$E$304,R652)&lt;&gt;"",INDEX(Parties!$E$5:$E$304,R652)&lt;&gt;HomeState),0,ROUND(K652*L652/2,2))),"")</f>
        <v/>
      </c>
      <c r="N652" s="61" t="str">
        <f aca="false">IF(IsPro,IF($D652="","",M652),"")</f>
        <v/>
      </c>
      <c r="O652" s="61" t="str">
        <f aca="false">IF(IsPro,IF($D652="","",IF(AND(R652&lt;&gt;"",INDEX(Parties!$E$5:$E$304,R652)&lt;&gt;"",INDEX(Parties!$E$5:$E$304,R652)&lt;&gt;HomeState),ROUND(K652*L652,2),0)),"")</f>
        <v/>
      </c>
      <c r="P652" s="61" t="str">
        <f aca="false">IF(IsPro,IF($D652="","",K652+M652+N652+O652),"")</f>
        <v/>
      </c>
      <c r="Q652" s="60" t="str">
        <f aca="false">IF(IsPro,IF($D652="","",IFERROR(MATCH($D652,Items!$A$5:$A$504,0),"")),"")</f>
        <v/>
      </c>
      <c r="R652" s="60" t="str">
        <f aca="false">IF(IsPro,IF($C652="","",IFERROR(MATCH($C652,Parties!$A$5:$A$304,0),"")),"")</f>
        <v/>
      </c>
      <c r="S652" s="61" t="str">
        <f aca="false">IF(IsPro,IF($D652="","",IF(OR($H652="",$H652="Credit"),0,P652)),"")</f>
        <v/>
      </c>
    </row>
    <row r="653" customFormat="false" ht="15" hidden="false" customHeight="false" outlineLevel="0" collapsed="false">
      <c r="A653" s="55"/>
      <c r="B653" s="56"/>
      <c r="C653" s="56"/>
      <c r="D653" s="56"/>
      <c r="E653" s="57"/>
      <c r="F653" s="58"/>
      <c r="G653" s="59"/>
      <c r="H653" s="56"/>
      <c r="I653" s="60" t="str">
        <f aca="false">IF(IsPro,IF($D653="","",IFERROR(INDEX(Items!$D$5:$D$504,Q653),"")),IF($D653="","","PRO PLAN"))</f>
        <v/>
      </c>
      <c r="J653" s="61" t="str">
        <f aca="false">IF(IsPro,IF($D653="","",IF($F653="",IFERROR(INDEX(Items!$G$5:$G$504,Q653),0),$F653)),"")</f>
        <v/>
      </c>
      <c r="K653" s="61" t="str">
        <f aca="false">IF(IsPro,IF($D653="","",ROUND(N($E653)*J653*(1-N($G653)),2)),"")</f>
        <v/>
      </c>
      <c r="L653" s="62" t="str">
        <f aca="false">IF(IsPro,IF($D653="","",IFERROR(INDEX(Items!$F$5:$F$504,Q653),0)),"")</f>
        <v/>
      </c>
      <c r="M653" s="61" t="str">
        <f aca="false">IF(IsPro,IF($D653="","",IF(AND(R653&lt;&gt;"",INDEX(Parties!$E$5:$E$304,R653)&lt;&gt;"",INDEX(Parties!$E$5:$E$304,R653)&lt;&gt;HomeState),0,ROUND(K653*L653/2,2))),"")</f>
        <v/>
      </c>
      <c r="N653" s="61" t="str">
        <f aca="false">IF(IsPro,IF($D653="","",M653),"")</f>
        <v/>
      </c>
      <c r="O653" s="61" t="str">
        <f aca="false">IF(IsPro,IF($D653="","",IF(AND(R653&lt;&gt;"",INDEX(Parties!$E$5:$E$304,R653)&lt;&gt;"",INDEX(Parties!$E$5:$E$304,R653)&lt;&gt;HomeState),ROUND(K653*L653,2),0)),"")</f>
        <v/>
      </c>
      <c r="P653" s="61" t="str">
        <f aca="false">IF(IsPro,IF($D653="","",K653+M653+N653+O653),"")</f>
        <v/>
      </c>
      <c r="Q653" s="60" t="str">
        <f aca="false">IF(IsPro,IF($D653="","",IFERROR(MATCH($D653,Items!$A$5:$A$504,0),"")),"")</f>
        <v/>
      </c>
      <c r="R653" s="60" t="str">
        <f aca="false">IF(IsPro,IF($C653="","",IFERROR(MATCH($C653,Parties!$A$5:$A$304,0),"")),"")</f>
        <v/>
      </c>
      <c r="S653" s="61" t="str">
        <f aca="false">IF(IsPro,IF($D653="","",IF(OR($H653="",$H653="Credit"),0,P653)),"")</f>
        <v/>
      </c>
    </row>
    <row r="654" customFormat="false" ht="15" hidden="false" customHeight="false" outlineLevel="0" collapsed="false">
      <c r="A654" s="55"/>
      <c r="B654" s="56"/>
      <c r="C654" s="56"/>
      <c r="D654" s="56"/>
      <c r="E654" s="57"/>
      <c r="F654" s="58"/>
      <c r="G654" s="59"/>
      <c r="H654" s="56"/>
      <c r="I654" s="60" t="str">
        <f aca="false">IF(IsPro,IF($D654="","",IFERROR(INDEX(Items!$D$5:$D$504,Q654),"")),IF($D654="","","PRO PLAN"))</f>
        <v/>
      </c>
      <c r="J654" s="61" t="str">
        <f aca="false">IF(IsPro,IF($D654="","",IF($F654="",IFERROR(INDEX(Items!$G$5:$G$504,Q654),0),$F654)),"")</f>
        <v/>
      </c>
      <c r="K654" s="61" t="str">
        <f aca="false">IF(IsPro,IF($D654="","",ROUND(N($E654)*J654*(1-N($G654)),2)),"")</f>
        <v/>
      </c>
      <c r="L654" s="62" t="str">
        <f aca="false">IF(IsPro,IF($D654="","",IFERROR(INDEX(Items!$F$5:$F$504,Q654),0)),"")</f>
        <v/>
      </c>
      <c r="M654" s="61" t="str">
        <f aca="false">IF(IsPro,IF($D654="","",IF(AND(R654&lt;&gt;"",INDEX(Parties!$E$5:$E$304,R654)&lt;&gt;"",INDEX(Parties!$E$5:$E$304,R654)&lt;&gt;HomeState),0,ROUND(K654*L654/2,2))),"")</f>
        <v/>
      </c>
      <c r="N654" s="61" t="str">
        <f aca="false">IF(IsPro,IF($D654="","",M654),"")</f>
        <v/>
      </c>
      <c r="O654" s="61" t="str">
        <f aca="false">IF(IsPro,IF($D654="","",IF(AND(R654&lt;&gt;"",INDEX(Parties!$E$5:$E$304,R654)&lt;&gt;"",INDEX(Parties!$E$5:$E$304,R654)&lt;&gt;HomeState),ROUND(K654*L654,2),0)),"")</f>
        <v/>
      </c>
      <c r="P654" s="61" t="str">
        <f aca="false">IF(IsPro,IF($D654="","",K654+M654+N654+O654),"")</f>
        <v/>
      </c>
      <c r="Q654" s="60" t="str">
        <f aca="false">IF(IsPro,IF($D654="","",IFERROR(MATCH($D654,Items!$A$5:$A$504,0),"")),"")</f>
        <v/>
      </c>
      <c r="R654" s="60" t="str">
        <f aca="false">IF(IsPro,IF($C654="","",IFERROR(MATCH($C654,Parties!$A$5:$A$304,0),"")),"")</f>
        <v/>
      </c>
      <c r="S654" s="61" t="str">
        <f aca="false">IF(IsPro,IF($D654="","",IF(OR($H654="",$H654="Credit"),0,P654)),"")</f>
        <v/>
      </c>
    </row>
    <row r="655" customFormat="false" ht="15" hidden="false" customHeight="false" outlineLevel="0" collapsed="false">
      <c r="A655" s="55"/>
      <c r="B655" s="56"/>
      <c r="C655" s="56"/>
      <c r="D655" s="56"/>
      <c r="E655" s="57"/>
      <c r="F655" s="58"/>
      <c r="G655" s="59"/>
      <c r="H655" s="56"/>
      <c r="I655" s="60" t="str">
        <f aca="false">IF(IsPro,IF($D655="","",IFERROR(INDEX(Items!$D$5:$D$504,Q655),"")),IF($D655="","","PRO PLAN"))</f>
        <v/>
      </c>
      <c r="J655" s="61" t="str">
        <f aca="false">IF(IsPro,IF($D655="","",IF($F655="",IFERROR(INDEX(Items!$G$5:$G$504,Q655),0),$F655)),"")</f>
        <v/>
      </c>
      <c r="K655" s="61" t="str">
        <f aca="false">IF(IsPro,IF($D655="","",ROUND(N($E655)*J655*(1-N($G655)),2)),"")</f>
        <v/>
      </c>
      <c r="L655" s="62" t="str">
        <f aca="false">IF(IsPro,IF($D655="","",IFERROR(INDEX(Items!$F$5:$F$504,Q655),0)),"")</f>
        <v/>
      </c>
      <c r="M655" s="61" t="str">
        <f aca="false">IF(IsPro,IF($D655="","",IF(AND(R655&lt;&gt;"",INDEX(Parties!$E$5:$E$304,R655)&lt;&gt;"",INDEX(Parties!$E$5:$E$304,R655)&lt;&gt;HomeState),0,ROUND(K655*L655/2,2))),"")</f>
        <v/>
      </c>
      <c r="N655" s="61" t="str">
        <f aca="false">IF(IsPro,IF($D655="","",M655),"")</f>
        <v/>
      </c>
      <c r="O655" s="61" t="str">
        <f aca="false">IF(IsPro,IF($D655="","",IF(AND(R655&lt;&gt;"",INDEX(Parties!$E$5:$E$304,R655)&lt;&gt;"",INDEX(Parties!$E$5:$E$304,R655)&lt;&gt;HomeState),ROUND(K655*L655,2),0)),"")</f>
        <v/>
      </c>
      <c r="P655" s="61" t="str">
        <f aca="false">IF(IsPro,IF($D655="","",K655+M655+N655+O655),"")</f>
        <v/>
      </c>
      <c r="Q655" s="60" t="str">
        <f aca="false">IF(IsPro,IF($D655="","",IFERROR(MATCH($D655,Items!$A$5:$A$504,0),"")),"")</f>
        <v/>
      </c>
      <c r="R655" s="60" t="str">
        <f aca="false">IF(IsPro,IF($C655="","",IFERROR(MATCH($C655,Parties!$A$5:$A$304,0),"")),"")</f>
        <v/>
      </c>
      <c r="S655" s="61" t="str">
        <f aca="false">IF(IsPro,IF($D655="","",IF(OR($H655="",$H655="Credit"),0,P655)),"")</f>
        <v/>
      </c>
    </row>
    <row r="656" customFormat="false" ht="15" hidden="false" customHeight="false" outlineLevel="0" collapsed="false">
      <c r="A656" s="55"/>
      <c r="B656" s="56"/>
      <c r="C656" s="56"/>
      <c r="D656" s="56"/>
      <c r="E656" s="57"/>
      <c r="F656" s="58"/>
      <c r="G656" s="59"/>
      <c r="H656" s="56"/>
      <c r="I656" s="60" t="str">
        <f aca="false">IF(IsPro,IF($D656="","",IFERROR(INDEX(Items!$D$5:$D$504,Q656),"")),IF($D656="","","PRO PLAN"))</f>
        <v/>
      </c>
      <c r="J656" s="61" t="str">
        <f aca="false">IF(IsPro,IF($D656="","",IF($F656="",IFERROR(INDEX(Items!$G$5:$G$504,Q656),0),$F656)),"")</f>
        <v/>
      </c>
      <c r="K656" s="61" t="str">
        <f aca="false">IF(IsPro,IF($D656="","",ROUND(N($E656)*J656*(1-N($G656)),2)),"")</f>
        <v/>
      </c>
      <c r="L656" s="62" t="str">
        <f aca="false">IF(IsPro,IF($D656="","",IFERROR(INDEX(Items!$F$5:$F$504,Q656),0)),"")</f>
        <v/>
      </c>
      <c r="M656" s="61" t="str">
        <f aca="false">IF(IsPro,IF($D656="","",IF(AND(R656&lt;&gt;"",INDEX(Parties!$E$5:$E$304,R656)&lt;&gt;"",INDEX(Parties!$E$5:$E$304,R656)&lt;&gt;HomeState),0,ROUND(K656*L656/2,2))),"")</f>
        <v/>
      </c>
      <c r="N656" s="61" t="str">
        <f aca="false">IF(IsPro,IF($D656="","",M656),"")</f>
        <v/>
      </c>
      <c r="O656" s="61" t="str">
        <f aca="false">IF(IsPro,IF($D656="","",IF(AND(R656&lt;&gt;"",INDEX(Parties!$E$5:$E$304,R656)&lt;&gt;"",INDEX(Parties!$E$5:$E$304,R656)&lt;&gt;HomeState),ROUND(K656*L656,2),0)),"")</f>
        <v/>
      </c>
      <c r="P656" s="61" t="str">
        <f aca="false">IF(IsPro,IF($D656="","",K656+M656+N656+O656),"")</f>
        <v/>
      </c>
      <c r="Q656" s="60" t="str">
        <f aca="false">IF(IsPro,IF($D656="","",IFERROR(MATCH($D656,Items!$A$5:$A$504,0),"")),"")</f>
        <v/>
      </c>
      <c r="R656" s="60" t="str">
        <f aca="false">IF(IsPro,IF($C656="","",IFERROR(MATCH($C656,Parties!$A$5:$A$304,0),"")),"")</f>
        <v/>
      </c>
      <c r="S656" s="61" t="str">
        <f aca="false">IF(IsPro,IF($D656="","",IF(OR($H656="",$H656="Credit"),0,P656)),"")</f>
        <v/>
      </c>
    </row>
    <row r="657" customFormat="false" ht="15" hidden="false" customHeight="false" outlineLevel="0" collapsed="false">
      <c r="A657" s="55"/>
      <c r="B657" s="56"/>
      <c r="C657" s="56"/>
      <c r="D657" s="56"/>
      <c r="E657" s="57"/>
      <c r="F657" s="58"/>
      <c r="G657" s="59"/>
      <c r="H657" s="56"/>
      <c r="I657" s="60" t="str">
        <f aca="false">IF(IsPro,IF($D657="","",IFERROR(INDEX(Items!$D$5:$D$504,Q657),"")),IF($D657="","","PRO PLAN"))</f>
        <v/>
      </c>
      <c r="J657" s="61" t="str">
        <f aca="false">IF(IsPro,IF($D657="","",IF($F657="",IFERROR(INDEX(Items!$G$5:$G$504,Q657),0),$F657)),"")</f>
        <v/>
      </c>
      <c r="K657" s="61" t="str">
        <f aca="false">IF(IsPro,IF($D657="","",ROUND(N($E657)*J657*(1-N($G657)),2)),"")</f>
        <v/>
      </c>
      <c r="L657" s="62" t="str">
        <f aca="false">IF(IsPro,IF($D657="","",IFERROR(INDEX(Items!$F$5:$F$504,Q657),0)),"")</f>
        <v/>
      </c>
      <c r="M657" s="61" t="str">
        <f aca="false">IF(IsPro,IF($D657="","",IF(AND(R657&lt;&gt;"",INDEX(Parties!$E$5:$E$304,R657)&lt;&gt;"",INDEX(Parties!$E$5:$E$304,R657)&lt;&gt;HomeState),0,ROUND(K657*L657/2,2))),"")</f>
        <v/>
      </c>
      <c r="N657" s="61" t="str">
        <f aca="false">IF(IsPro,IF($D657="","",M657),"")</f>
        <v/>
      </c>
      <c r="O657" s="61" t="str">
        <f aca="false">IF(IsPro,IF($D657="","",IF(AND(R657&lt;&gt;"",INDEX(Parties!$E$5:$E$304,R657)&lt;&gt;"",INDEX(Parties!$E$5:$E$304,R657)&lt;&gt;HomeState),ROUND(K657*L657,2),0)),"")</f>
        <v/>
      </c>
      <c r="P657" s="61" t="str">
        <f aca="false">IF(IsPro,IF($D657="","",K657+M657+N657+O657),"")</f>
        <v/>
      </c>
      <c r="Q657" s="60" t="str">
        <f aca="false">IF(IsPro,IF($D657="","",IFERROR(MATCH($D657,Items!$A$5:$A$504,0),"")),"")</f>
        <v/>
      </c>
      <c r="R657" s="60" t="str">
        <f aca="false">IF(IsPro,IF($C657="","",IFERROR(MATCH($C657,Parties!$A$5:$A$304,0),"")),"")</f>
        <v/>
      </c>
      <c r="S657" s="61" t="str">
        <f aca="false">IF(IsPro,IF($D657="","",IF(OR($H657="",$H657="Credit"),0,P657)),"")</f>
        <v/>
      </c>
    </row>
    <row r="658" customFormat="false" ht="15" hidden="false" customHeight="false" outlineLevel="0" collapsed="false">
      <c r="A658" s="55"/>
      <c r="B658" s="56"/>
      <c r="C658" s="56"/>
      <c r="D658" s="56"/>
      <c r="E658" s="57"/>
      <c r="F658" s="58"/>
      <c r="G658" s="59"/>
      <c r="H658" s="56"/>
      <c r="I658" s="60" t="str">
        <f aca="false">IF(IsPro,IF($D658="","",IFERROR(INDEX(Items!$D$5:$D$504,Q658),"")),IF($D658="","","PRO PLAN"))</f>
        <v/>
      </c>
      <c r="J658" s="61" t="str">
        <f aca="false">IF(IsPro,IF($D658="","",IF($F658="",IFERROR(INDEX(Items!$G$5:$G$504,Q658),0),$F658)),"")</f>
        <v/>
      </c>
      <c r="K658" s="61" t="str">
        <f aca="false">IF(IsPro,IF($D658="","",ROUND(N($E658)*J658*(1-N($G658)),2)),"")</f>
        <v/>
      </c>
      <c r="L658" s="62" t="str">
        <f aca="false">IF(IsPro,IF($D658="","",IFERROR(INDEX(Items!$F$5:$F$504,Q658),0)),"")</f>
        <v/>
      </c>
      <c r="M658" s="61" t="str">
        <f aca="false">IF(IsPro,IF($D658="","",IF(AND(R658&lt;&gt;"",INDEX(Parties!$E$5:$E$304,R658)&lt;&gt;"",INDEX(Parties!$E$5:$E$304,R658)&lt;&gt;HomeState),0,ROUND(K658*L658/2,2))),"")</f>
        <v/>
      </c>
      <c r="N658" s="61" t="str">
        <f aca="false">IF(IsPro,IF($D658="","",M658),"")</f>
        <v/>
      </c>
      <c r="O658" s="61" t="str">
        <f aca="false">IF(IsPro,IF($D658="","",IF(AND(R658&lt;&gt;"",INDEX(Parties!$E$5:$E$304,R658)&lt;&gt;"",INDEX(Parties!$E$5:$E$304,R658)&lt;&gt;HomeState),ROUND(K658*L658,2),0)),"")</f>
        <v/>
      </c>
      <c r="P658" s="61" t="str">
        <f aca="false">IF(IsPro,IF($D658="","",K658+M658+N658+O658),"")</f>
        <v/>
      </c>
      <c r="Q658" s="60" t="str">
        <f aca="false">IF(IsPro,IF($D658="","",IFERROR(MATCH($D658,Items!$A$5:$A$504,0),"")),"")</f>
        <v/>
      </c>
      <c r="R658" s="60" t="str">
        <f aca="false">IF(IsPro,IF($C658="","",IFERROR(MATCH($C658,Parties!$A$5:$A$304,0),"")),"")</f>
        <v/>
      </c>
      <c r="S658" s="61" t="str">
        <f aca="false">IF(IsPro,IF($D658="","",IF(OR($H658="",$H658="Credit"),0,P658)),"")</f>
        <v/>
      </c>
    </row>
    <row r="659" customFormat="false" ht="15" hidden="false" customHeight="false" outlineLevel="0" collapsed="false">
      <c r="A659" s="55"/>
      <c r="B659" s="56"/>
      <c r="C659" s="56"/>
      <c r="D659" s="56"/>
      <c r="E659" s="57"/>
      <c r="F659" s="58"/>
      <c r="G659" s="59"/>
      <c r="H659" s="56"/>
      <c r="I659" s="60" t="str">
        <f aca="false">IF(IsPro,IF($D659="","",IFERROR(INDEX(Items!$D$5:$D$504,Q659),"")),IF($D659="","","PRO PLAN"))</f>
        <v/>
      </c>
      <c r="J659" s="61" t="str">
        <f aca="false">IF(IsPro,IF($D659="","",IF($F659="",IFERROR(INDEX(Items!$G$5:$G$504,Q659),0),$F659)),"")</f>
        <v/>
      </c>
      <c r="K659" s="61" t="str">
        <f aca="false">IF(IsPro,IF($D659="","",ROUND(N($E659)*J659*(1-N($G659)),2)),"")</f>
        <v/>
      </c>
      <c r="L659" s="62" t="str">
        <f aca="false">IF(IsPro,IF($D659="","",IFERROR(INDEX(Items!$F$5:$F$504,Q659),0)),"")</f>
        <v/>
      </c>
      <c r="M659" s="61" t="str">
        <f aca="false">IF(IsPro,IF($D659="","",IF(AND(R659&lt;&gt;"",INDEX(Parties!$E$5:$E$304,R659)&lt;&gt;"",INDEX(Parties!$E$5:$E$304,R659)&lt;&gt;HomeState),0,ROUND(K659*L659/2,2))),"")</f>
        <v/>
      </c>
      <c r="N659" s="61" t="str">
        <f aca="false">IF(IsPro,IF($D659="","",M659),"")</f>
        <v/>
      </c>
      <c r="O659" s="61" t="str">
        <f aca="false">IF(IsPro,IF($D659="","",IF(AND(R659&lt;&gt;"",INDEX(Parties!$E$5:$E$304,R659)&lt;&gt;"",INDEX(Parties!$E$5:$E$304,R659)&lt;&gt;HomeState),ROUND(K659*L659,2),0)),"")</f>
        <v/>
      </c>
      <c r="P659" s="61" t="str">
        <f aca="false">IF(IsPro,IF($D659="","",K659+M659+N659+O659),"")</f>
        <v/>
      </c>
      <c r="Q659" s="60" t="str">
        <f aca="false">IF(IsPro,IF($D659="","",IFERROR(MATCH($D659,Items!$A$5:$A$504,0),"")),"")</f>
        <v/>
      </c>
      <c r="R659" s="60" t="str">
        <f aca="false">IF(IsPro,IF($C659="","",IFERROR(MATCH($C659,Parties!$A$5:$A$304,0),"")),"")</f>
        <v/>
      </c>
      <c r="S659" s="61" t="str">
        <f aca="false">IF(IsPro,IF($D659="","",IF(OR($H659="",$H659="Credit"),0,P659)),"")</f>
        <v/>
      </c>
    </row>
    <row r="660" customFormat="false" ht="15" hidden="false" customHeight="false" outlineLevel="0" collapsed="false">
      <c r="A660" s="55"/>
      <c r="B660" s="56"/>
      <c r="C660" s="56"/>
      <c r="D660" s="56"/>
      <c r="E660" s="57"/>
      <c r="F660" s="58"/>
      <c r="G660" s="59"/>
      <c r="H660" s="56"/>
      <c r="I660" s="60" t="str">
        <f aca="false">IF(IsPro,IF($D660="","",IFERROR(INDEX(Items!$D$5:$D$504,Q660),"")),IF($D660="","","PRO PLAN"))</f>
        <v/>
      </c>
      <c r="J660" s="61" t="str">
        <f aca="false">IF(IsPro,IF($D660="","",IF($F660="",IFERROR(INDEX(Items!$G$5:$G$504,Q660),0),$F660)),"")</f>
        <v/>
      </c>
      <c r="K660" s="61" t="str">
        <f aca="false">IF(IsPro,IF($D660="","",ROUND(N($E660)*J660*(1-N($G660)),2)),"")</f>
        <v/>
      </c>
      <c r="L660" s="62" t="str">
        <f aca="false">IF(IsPro,IF($D660="","",IFERROR(INDEX(Items!$F$5:$F$504,Q660),0)),"")</f>
        <v/>
      </c>
      <c r="M660" s="61" t="str">
        <f aca="false">IF(IsPro,IF($D660="","",IF(AND(R660&lt;&gt;"",INDEX(Parties!$E$5:$E$304,R660)&lt;&gt;"",INDEX(Parties!$E$5:$E$304,R660)&lt;&gt;HomeState),0,ROUND(K660*L660/2,2))),"")</f>
        <v/>
      </c>
      <c r="N660" s="61" t="str">
        <f aca="false">IF(IsPro,IF($D660="","",M660),"")</f>
        <v/>
      </c>
      <c r="O660" s="61" t="str">
        <f aca="false">IF(IsPro,IF($D660="","",IF(AND(R660&lt;&gt;"",INDEX(Parties!$E$5:$E$304,R660)&lt;&gt;"",INDEX(Parties!$E$5:$E$304,R660)&lt;&gt;HomeState),ROUND(K660*L660,2),0)),"")</f>
        <v/>
      </c>
      <c r="P660" s="61" t="str">
        <f aca="false">IF(IsPro,IF($D660="","",K660+M660+N660+O660),"")</f>
        <v/>
      </c>
      <c r="Q660" s="60" t="str">
        <f aca="false">IF(IsPro,IF($D660="","",IFERROR(MATCH($D660,Items!$A$5:$A$504,0),"")),"")</f>
        <v/>
      </c>
      <c r="R660" s="60" t="str">
        <f aca="false">IF(IsPro,IF($C660="","",IFERROR(MATCH($C660,Parties!$A$5:$A$304,0),"")),"")</f>
        <v/>
      </c>
      <c r="S660" s="61" t="str">
        <f aca="false">IF(IsPro,IF($D660="","",IF(OR($H660="",$H660="Credit"),0,P660)),"")</f>
        <v/>
      </c>
    </row>
    <row r="661" customFormat="false" ht="15" hidden="false" customHeight="false" outlineLevel="0" collapsed="false">
      <c r="A661" s="55"/>
      <c r="B661" s="56"/>
      <c r="C661" s="56"/>
      <c r="D661" s="56"/>
      <c r="E661" s="57"/>
      <c r="F661" s="58"/>
      <c r="G661" s="59"/>
      <c r="H661" s="56"/>
      <c r="I661" s="60" t="str">
        <f aca="false">IF(IsPro,IF($D661="","",IFERROR(INDEX(Items!$D$5:$D$504,Q661),"")),IF($D661="","","PRO PLAN"))</f>
        <v/>
      </c>
      <c r="J661" s="61" t="str">
        <f aca="false">IF(IsPro,IF($D661="","",IF($F661="",IFERROR(INDEX(Items!$G$5:$G$504,Q661),0),$F661)),"")</f>
        <v/>
      </c>
      <c r="K661" s="61" t="str">
        <f aca="false">IF(IsPro,IF($D661="","",ROUND(N($E661)*J661*(1-N($G661)),2)),"")</f>
        <v/>
      </c>
      <c r="L661" s="62" t="str">
        <f aca="false">IF(IsPro,IF($D661="","",IFERROR(INDEX(Items!$F$5:$F$504,Q661),0)),"")</f>
        <v/>
      </c>
      <c r="M661" s="61" t="str">
        <f aca="false">IF(IsPro,IF($D661="","",IF(AND(R661&lt;&gt;"",INDEX(Parties!$E$5:$E$304,R661)&lt;&gt;"",INDEX(Parties!$E$5:$E$304,R661)&lt;&gt;HomeState),0,ROUND(K661*L661/2,2))),"")</f>
        <v/>
      </c>
      <c r="N661" s="61" t="str">
        <f aca="false">IF(IsPro,IF($D661="","",M661),"")</f>
        <v/>
      </c>
      <c r="O661" s="61" t="str">
        <f aca="false">IF(IsPro,IF($D661="","",IF(AND(R661&lt;&gt;"",INDEX(Parties!$E$5:$E$304,R661)&lt;&gt;"",INDEX(Parties!$E$5:$E$304,R661)&lt;&gt;HomeState),ROUND(K661*L661,2),0)),"")</f>
        <v/>
      </c>
      <c r="P661" s="61" t="str">
        <f aca="false">IF(IsPro,IF($D661="","",K661+M661+N661+O661),"")</f>
        <v/>
      </c>
      <c r="Q661" s="60" t="str">
        <f aca="false">IF(IsPro,IF($D661="","",IFERROR(MATCH($D661,Items!$A$5:$A$504,0),"")),"")</f>
        <v/>
      </c>
      <c r="R661" s="60" t="str">
        <f aca="false">IF(IsPro,IF($C661="","",IFERROR(MATCH($C661,Parties!$A$5:$A$304,0),"")),"")</f>
        <v/>
      </c>
      <c r="S661" s="61" t="str">
        <f aca="false">IF(IsPro,IF($D661="","",IF(OR($H661="",$H661="Credit"),0,P661)),"")</f>
        <v/>
      </c>
    </row>
    <row r="662" customFormat="false" ht="15" hidden="false" customHeight="false" outlineLevel="0" collapsed="false">
      <c r="A662" s="55"/>
      <c r="B662" s="56"/>
      <c r="C662" s="56"/>
      <c r="D662" s="56"/>
      <c r="E662" s="57"/>
      <c r="F662" s="58"/>
      <c r="G662" s="59"/>
      <c r="H662" s="56"/>
      <c r="I662" s="60" t="str">
        <f aca="false">IF(IsPro,IF($D662="","",IFERROR(INDEX(Items!$D$5:$D$504,Q662),"")),IF($D662="","","PRO PLAN"))</f>
        <v/>
      </c>
      <c r="J662" s="61" t="str">
        <f aca="false">IF(IsPro,IF($D662="","",IF($F662="",IFERROR(INDEX(Items!$G$5:$G$504,Q662),0),$F662)),"")</f>
        <v/>
      </c>
      <c r="K662" s="61" t="str">
        <f aca="false">IF(IsPro,IF($D662="","",ROUND(N($E662)*J662*(1-N($G662)),2)),"")</f>
        <v/>
      </c>
      <c r="L662" s="62" t="str">
        <f aca="false">IF(IsPro,IF($D662="","",IFERROR(INDEX(Items!$F$5:$F$504,Q662),0)),"")</f>
        <v/>
      </c>
      <c r="M662" s="61" t="str">
        <f aca="false">IF(IsPro,IF($D662="","",IF(AND(R662&lt;&gt;"",INDEX(Parties!$E$5:$E$304,R662)&lt;&gt;"",INDEX(Parties!$E$5:$E$304,R662)&lt;&gt;HomeState),0,ROUND(K662*L662/2,2))),"")</f>
        <v/>
      </c>
      <c r="N662" s="61" t="str">
        <f aca="false">IF(IsPro,IF($D662="","",M662),"")</f>
        <v/>
      </c>
      <c r="O662" s="61" t="str">
        <f aca="false">IF(IsPro,IF($D662="","",IF(AND(R662&lt;&gt;"",INDEX(Parties!$E$5:$E$304,R662)&lt;&gt;"",INDEX(Parties!$E$5:$E$304,R662)&lt;&gt;HomeState),ROUND(K662*L662,2),0)),"")</f>
        <v/>
      </c>
      <c r="P662" s="61" t="str">
        <f aca="false">IF(IsPro,IF($D662="","",K662+M662+N662+O662),"")</f>
        <v/>
      </c>
      <c r="Q662" s="60" t="str">
        <f aca="false">IF(IsPro,IF($D662="","",IFERROR(MATCH($D662,Items!$A$5:$A$504,0),"")),"")</f>
        <v/>
      </c>
      <c r="R662" s="60" t="str">
        <f aca="false">IF(IsPro,IF($C662="","",IFERROR(MATCH($C662,Parties!$A$5:$A$304,0),"")),"")</f>
        <v/>
      </c>
      <c r="S662" s="61" t="str">
        <f aca="false">IF(IsPro,IF($D662="","",IF(OR($H662="",$H662="Credit"),0,P662)),"")</f>
        <v/>
      </c>
    </row>
    <row r="663" customFormat="false" ht="15" hidden="false" customHeight="false" outlineLevel="0" collapsed="false">
      <c r="A663" s="55"/>
      <c r="B663" s="56"/>
      <c r="C663" s="56"/>
      <c r="D663" s="56"/>
      <c r="E663" s="57"/>
      <c r="F663" s="58"/>
      <c r="G663" s="59"/>
      <c r="H663" s="56"/>
      <c r="I663" s="60" t="str">
        <f aca="false">IF(IsPro,IF($D663="","",IFERROR(INDEX(Items!$D$5:$D$504,Q663),"")),IF($D663="","","PRO PLAN"))</f>
        <v/>
      </c>
      <c r="J663" s="61" t="str">
        <f aca="false">IF(IsPro,IF($D663="","",IF($F663="",IFERROR(INDEX(Items!$G$5:$G$504,Q663),0),$F663)),"")</f>
        <v/>
      </c>
      <c r="K663" s="61" t="str">
        <f aca="false">IF(IsPro,IF($D663="","",ROUND(N($E663)*J663*(1-N($G663)),2)),"")</f>
        <v/>
      </c>
      <c r="L663" s="62" t="str">
        <f aca="false">IF(IsPro,IF($D663="","",IFERROR(INDEX(Items!$F$5:$F$504,Q663),0)),"")</f>
        <v/>
      </c>
      <c r="M663" s="61" t="str">
        <f aca="false">IF(IsPro,IF($D663="","",IF(AND(R663&lt;&gt;"",INDEX(Parties!$E$5:$E$304,R663)&lt;&gt;"",INDEX(Parties!$E$5:$E$304,R663)&lt;&gt;HomeState),0,ROUND(K663*L663/2,2))),"")</f>
        <v/>
      </c>
      <c r="N663" s="61" t="str">
        <f aca="false">IF(IsPro,IF($D663="","",M663),"")</f>
        <v/>
      </c>
      <c r="O663" s="61" t="str">
        <f aca="false">IF(IsPro,IF($D663="","",IF(AND(R663&lt;&gt;"",INDEX(Parties!$E$5:$E$304,R663)&lt;&gt;"",INDEX(Parties!$E$5:$E$304,R663)&lt;&gt;HomeState),ROUND(K663*L663,2),0)),"")</f>
        <v/>
      </c>
      <c r="P663" s="61" t="str">
        <f aca="false">IF(IsPro,IF($D663="","",K663+M663+N663+O663),"")</f>
        <v/>
      </c>
      <c r="Q663" s="60" t="str">
        <f aca="false">IF(IsPro,IF($D663="","",IFERROR(MATCH($D663,Items!$A$5:$A$504,0),"")),"")</f>
        <v/>
      </c>
      <c r="R663" s="60" t="str">
        <f aca="false">IF(IsPro,IF($C663="","",IFERROR(MATCH($C663,Parties!$A$5:$A$304,0),"")),"")</f>
        <v/>
      </c>
      <c r="S663" s="61" t="str">
        <f aca="false">IF(IsPro,IF($D663="","",IF(OR($H663="",$H663="Credit"),0,P663)),"")</f>
        <v/>
      </c>
    </row>
    <row r="664" customFormat="false" ht="15" hidden="false" customHeight="false" outlineLevel="0" collapsed="false">
      <c r="A664" s="55"/>
      <c r="B664" s="56"/>
      <c r="C664" s="56"/>
      <c r="D664" s="56"/>
      <c r="E664" s="57"/>
      <c r="F664" s="58"/>
      <c r="G664" s="59"/>
      <c r="H664" s="56"/>
      <c r="I664" s="60" t="str">
        <f aca="false">IF(IsPro,IF($D664="","",IFERROR(INDEX(Items!$D$5:$D$504,Q664),"")),IF($D664="","","PRO PLAN"))</f>
        <v/>
      </c>
      <c r="J664" s="61" t="str">
        <f aca="false">IF(IsPro,IF($D664="","",IF($F664="",IFERROR(INDEX(Items!$G$5:$G$504,Q664),0),$F664)),"")</f>
        <v/>
      </c>
      <c r="K664" s="61" t="str">
        <f aca="false">IF(IsPro,IF($D664="","",ROUND(N($E664)*J664*(1-N($G664)),2)),"")</f>
        <v/>
      </c>
      <c r="L664" s="62" t="str">
        <f aca="false">IF(IsPro,IF($D664="","",IFERROR(INDEX(Items!$F$5:$F$504,Q664),0)),"")</f>
        <v/>
      </c>
      <c r="M664" s="61" t="str">
        <f aca="false">IF(IsPro,IF($D664="","",IF(AND(R664&lt;&gt;"",INDEX(Parties!$E$5:$E$304,R664)&lt;&gt;"",INDEX(Parties!$E$5:$E$304,R664)&lt;&gt;HomeState),0,ROUND(K664*L664/2,2))),"")</f>
        <v/>
      </c>
      <c r="N664" s="61" t="str">
        <f aca="false">IF(IsPro,IF($D664="","",M664),"")</f>
        <v/>
      </c>
      <c r="O664" s="61" t="str">
        <f aca="false">IF(IsPro,IF($D664="","",IF(AND(R664&lt;&gt;"",INDEX(Parties!$E$5:$E$304,R664)&lt;&gt;"",INDEX(Parties!$E$5:$E$304,R664)&lt;&gt;HomeState),ROUND(K664*L664,2),0)),"")</f>
        <v/>
      </c>
      <c r="P664" s="61" t="str">
        <f aca="false">IF(IsPro,IF($D664="","",K664+M664+N664+O664),"")</f>
        <v/>
      </c>
      <c r="Q664" s="60" t="str">
        <f aca="false">IF(IsPro,IF($D664="","",IFERROR(MATCH($D664,Items!$A$5:$A$504,0),"")),"")</f>
        <v/>
      </c>
      <c r="R664" s="60" t="str">
        <f aca="false">IF(IsPro,IF($C664="","",IFERROR(MATCH($C664,Parties!$A$5:$A$304,0),"")),"")</f>
        <v/>
      </c>
      <c r="S664" s="61" t="str">
        <f aca="false">IF(IsPro,IF($D664="","",IF(OR($H664="",$H664="Credit"),0,P664)),"")</f>
        <v/>
      </c>
    </row>
    <row r="665" customFormat="false" ht="15" hidden="false" customHeight="false" outlineLevel="0" collapsed="false">
      <c r="A665" s="55"/>
      <c r="B665" s="56"/>
      <c r="C665" s="56"/>
      <c r="D665" s="56"/>
      <c r="E665" s="57"/>
      <c r="F665" s="58"/>
      <c r="G665" s="59"/>
      <c r="H665" s="56"/>
      <c r="I665" s="60" t="str">
        <f aca="false">IF(IsPro,IF($D665="","",IFERROR(INDEX(Items!$D$5:$D$504,Q665),"")),IF($D665="","","PRO PLAN"))</f>
        <v/>
      </c>
      <c r="J665" s="61" t="str">
        <f aca="false">IF(IsPro,IF($D665="","",IF($F665="",IFERROR(INDEX(Items!$G$5:$G$504,Q665),0),$F665)),"")</f>
        <v/>
      </c>
      <c r="K665" s="61" t="str">
        <f aca="false">IF(IsPro,IF($D665="","",ROUND(N($E665)*J665*(1-N($G665)),2)),"")</f>
        <v/>
      </c>
      <c r="L665" s="62" t="str">
        <f aca="false">IF(IsPro,IF($D665="","",IFERROR(INDEX(Items!$F$5:$F$504,Q665),0)),"")</f>
        <v/>
      </c>
      <c r="M665" s="61" t="str">
        <f aca="false">IF(IsPro,IF($D665="","",IF(AND(R665&lt;&gt;"",INDEX(Parties!$E$5:$E$304,R665)&lt;&gt;"",INDEX(Parties!$E$5:$E$304,R665)&lt;&gt;HomeState),0,ROUND(K665*L665/2,2))),"")</f>
        <v/>
      </c>
      <c r="N665" s="61" t="str">
        <f aca="false">IF(IsPro,IF($D665="","",M665),"")</f>
        <v/>
      </c>
      <c r="O665" s="61" t="str">
        <f aca="false">IF(IsPro,IF($D665="","",IF(AND(R665&lt;&gt;"",INDEX(Parties!$E$5:$E$304,R665)&lt;&gt;"",INDEX(Parties!$E$5:$E$304,R665)&lt;&gt;HomeState),ROUND(K665*L665,2),0)),"")</f>
        <v/>
      </c>
      <c r="P665" s="61" t="str">
        <f aca="false">IF(IsPro,IF($D665="","",K665+M665+N665+O665),"")</f>
        <v/>
      </c>
      <c r="Q665" s="60" t="str">
        <f aca="false">IF(IsPro,IF($D665="","",IFERROR(MATCH($D665,Items!$A$5:$A$504,0),"")),"")</f>
        <v/>
      </c>
      <c r="R665" s="60" t="str">
        <f aca="false">IF(IsPro,IF($C665="","",IFERROR(MATCH($C665,Parties!$A$5:$A$304,0),"")),"")</f>
        <v/>
      </c>
      <c r="S665" s="61" t="str">
        <f aca="false">IF(IsPro,IF($D665="","",IF(OR($H665="",$H665="Credit"),0,P665)),"")</f>
        <v/>
      </c>
    </row>
    <row r="666" customFormat="false" ht="15" hidden="false" customHeight="false" outlineLevel="0" collapsed="false">
      <c r="A666" s="55"/>
      <c r="B666" s="56"/>
      <c r="C666" s="56"/>
      <c r="D666" s="56"/>
      <c r="E666" s="57"/>
      <c r="F666" s="58"/>
      <c r="G666" s="59"/>
      <c r="H666" s="56"/>
      <c r="I666" s="60" t="str">
        <f aca="false">IF(IsPro,IF($D666="","",IFERROR(INDEX(Items!$D$5:$D$504,Q666),"")),IF($D666="","","PRO PLAN"))</f>
        <v/>
      </c>
      <c r="J666" s="61" t="str">
        <f aca="false">IF(IsPro,IF($D666="","",IF($F666="",IFERROR(INDEX(Items!$G$5:$G$504,Q666),0),$F666)),"")</f>
        <v/>
      </c>
      <c r="K666" s="61" t="str">
        <f aca="false">IF(IsPro,IF($D666="","",ROUND(N($E666)*J666*(1-N($G666)),2)),"")</f>
        <v/>
      </c>
      <c r="L666" s="62" t="str">
        <f aca="false">IF(IsPro,IF($D666="","",IFERROR(INDEX(Items!$F$5:$F$504,Q666),0)),"")</f>
        <v/>
      </c>
      <c r="M666" s="61" t="str">
        <f aca="false">IF(IsPro,IF($D666="","",IF(AND(R666&lt;&gt;"",INDEX(Parties!$E$5:$E$304,R666)&lt;&gt;"",INDEX(Parties!$E$5:$E$304,R666)&lt;&gt;HomeState),0,ROUND(K666*L666/2,2))),"")</f>
        <v/>
      </c>
      <c r="N666" s="61" t="str">
        <f aca="false">IF(IsPro,IF($D666="","",M666),"")</f>
        <v/>
      </c>
      <c r="O666" s="61" t="str">
        <f aca="false">IF(IsPro,IF($D666="","",IF(AND(R666&lt;&gt;"",INDEX(Parties!$E$5:$E$304,R666)&lt;&gt;"",INDEX(Parties!$E$5:$E$304,R666)&lt;&gt;HomeState),ROUND(K666*L666,2),0)),"")</f>
        <v/>
      </c>
      <c r="P666" s="61" t="str">
        <f aca="false">IF(IsPro,IF($D666="","",K666+M666+N666+O666),"")</f>
        <v/>
      </c>
      <c r="Q666" s="60" t="str">
        <f aca="false">IF(IsPro,IF($D666="","",IFERROR(MATCH($D666,Items!$A$5:$A$504,0),"")),"")</f>
        <v/>
      </c>
      <c r="R666" s="60" t="str">
        <f aca="false">IF(IsPro,IF($C666="","",IFERROR(MATCH($C666,Parties!$A$5:$A$304,0),"")),"")</f>
        <v/>
      </c>
      <c r="S666" s="61" t="str">
        <f aca="false">IF(IsPro,IF($D666="","",IF(OR($H666="",$H666="Credit"),0,P666)),"")</f>
        <v/>
      </c>
    </row>
    <row r="667" customFormat="false" ht="15" hidden="false" customHeight="false" outlineLevel="0" collapsed="false">
      <c r="A667" s="55"/>
      <c r="B667" s="56"/>
      <c r="C667" s="56"/>
      <c r="D667" s="56"/>
      <c r="E667" s="57"/>
      <c r="F667" s="58"/>
      <c r="G667" s="59"/>
      <c r="H667" s="56"/>
      <c r="I667" s="60" t="str">
        <f aca="false">IF(IsPro,IF($D667="","",IFERROR(INDEX(Items!$D$5:$D$504,Q667),"")),IF($D667="","","PRO PLAN"))</f>
        <v/>
      </c>
      <c r="J667" s="61" t="str">
        <f aca="false">IF(IsPro,IF($D667="","",IF($F667="",IFERROR(INDEX(Items!$G$5:$G$504,Q667),0),$F667)),"")</f>
        <v/>
      </c>
      <c r="K667" s="61" t="str">
        <f aca="false">IF(IsPro,IF($D667="","",ROUND(N($E667)*J667*(1-N($G667)),2)),"")</f>
        <v/>
      </c>
      <c r="L667" s="62" t="str">
        <f aca="false">IF(IsPro,IF($D667="","",IFERROR(INDEX(Items!$F$5:$F$504,Q667),0)),"")</f>
        <v/>
      </c>
      <c r="M667" s="61" t="str">
        <f aca="false">IF(IsPro,IF($D667="","",IF(AND(R667&lt;&gt;"",INDEX(Parties!$E$5:$E$304,R667)&lt;&gt;"",INDEX(Parties!$E$5:$E$304,R667)&lt;&gt;HomeState),0,ROUND(K667*L667/2,2))),"")</f>
        <v/>
      </c>
      <c r="N667" s="61" t="str">
        <f aca="false">IF(IsPro,IF($D667="","",M667),"")</f>
        <v/>
      </c>
      <c r="O667" s="61" t="str">
        <f aca="false">IF(IsPro,IF($D667="","",IF(AND(R667&lt;&gt;"",INDEX(Parties!$E$5:$E$304,R667)&lt;&gt;"",INDEX(Parties!$E$5:$E$304,R667)&lt;&gt;HomeState),ROUND(K667*L667,2),0)),"")</f>
        <v/>
      </c>
      <c r="P667" s="61" t="str">
        <f aca="false">IF(IsPro,IF($D667="","",K667+M667+N667+O667),"")</f>
        <v/>
      </c>
      <c r="Q667" s="60" t="str">
        <f aca="false">IF(IsPro,IF($D667="","",IFERROR(MATCH($D667,Items!$A$5:$A$504,0),"")),"")</f>
        <v/>
      </c>
      <c r="R667" s="60" t="str">
        <f aca="false">IF(IsPro,IF($C667="","",IFERROR(MATCH($C667,Parties!$A$5:$A$304,0),"")),"")</f>
        <v/>
      </c>
      <c r="S667" s="61" t="str">
        <f aca="false">IF(IsPro,IF($D667="","",IF(OR($H667="",$H667="Credit"),0,P667)),"")</f>
        <v/>
      </c>
    </row>
    <row r="668" customFormat="false" ht="15" hidden="false" customHeight="false" outlineLevel="0" collapsed="false">
      <c r="A668" s="55"/>
      <c r="B668" s="56"/>
      <c r="C668" s="56"/>
      <c r="D668" s="56"/>
      <c r="E668" s="57"/>
      <c r="F668" s="58"/>
      <c r="G668" s="59"/>
      <c r="H668" s="56"/>
      <c r="I668" s="60" t="str">
        <f aca="false">IF(IsPro,IF($D668="","",IFERROR(INDEX(Items!$D$5:$D$504,Q668),"")),IF($D668="","","PRO PLAN"))</f>
        <v/>
      </c>
      <c r="J668" s="61" t="str">
        <f aca="false">IF(IsPro,IF($D668="","",IF($F668="",IFERROR(INDEX(Items!$G$5:$G$504,Q668),0),$F668)),"")</f>
        <v/>
      </c>
      <c r="K668" s="61" t="str">
        <f aca="false">IF(IsPro,IF($D668="","",ROUND(N($E668)*J668*(1-N($G668)),2)),"")</f>
        <v/>
      </c>
      <c r="L668" s="62" t="str">
        <f aca="false">IF(IsPro,IF($D668="","",IFERROR(INDEX(Items!$F$5:$F$504,Q668),0)),"")</f>
        <v/>
      </c>
      <c r="M668" s="61" t="str">
        <f aca="false">IF(IsPro,IF($D668="","",IF(AND(R668&lt;&gt;"",INDEX(Parties!$E$5:$E$304,R668)&lt;&gt;"",INDEX(Parties!$E$5:$E$304,R668)&lt;&gt;HomeState),0,ROUND(K668*L668/2,2))),"")</f>
        <v/>
      </c>
      <c r="N668" s="61" t="str">
        <f aca="false">IF(IsPro,IF($D668="","",M668),"")</f>
        <v/>
      </c>
      <c r="O668" s="61" t="str">
        <f aca="false">IF(IsPro,IF($D668="","",IF(AND(R668&lt;&gt;"",INDEX(Parties!$E$5:$E$304,R668)&lt;&gt;"",INDEX(Parties!$E$5:$E$304,R668)&lt;&gt;HomeState),ROUND(K668*L668,2),0)),"")</f>
        <v/>
      </c>
      <c r="P668" s="61" t="str">
        <f aca="false">IF(IsPro,IF($D668="","",K668+M668+N668+O668),"")</f>
        <v/>
      </c>
      <c r="Q668" s="60" t="str">
        <f aca="false">IF(IsPro,IF($D668="","",IFERROR(MATCH($D668,Items!$A$5:$A$504,0),"")),"")</f>
        <v/>
      </c>
      <c r="R668" s="60" t="str">
        <f aca="false">IF(IsPro,IF($C668="","",IFERROR(MATCH($C668,Parties!$A$5:$A$304,0),"")),"")</f>
        <v/>
      </c>
      <c r="S668" s="61" t="str">
        <f aca="false">IF(IsPro,IF($D668="","",IF(OR($H668="",$H668="Credit"),0,P668)),"")</f>
        <v/>
      </c>
    </row>
    <row r="669" customFormat="false" ht="15" hidden="false" customHeight="false" outlineLevel="0" collapsed="false">
      <c r="A669" s="55"/>
      <c r="B669" s="56"/>
      <c r="C669" s="56"/>
      <c r="D669" s="56"/>
      <c r="E669" s="57"/>
      <c r="F669" s="58"/>
      <c r="G669" s="59"/>
      <c r="H669" s="56"/>
      <c r="I669" s="60" t="str">
        <f aca="false">IF(IsPro,IF($D669="","",IFERROR(INDEX(Items!$D$5:$D$504,Q669),"")),IF($D669="","","PRO PLAN"))</f>
        <v/>
      </c>
      <c r="J669" s="61" t="str">
        <f aca="false">IF(IsPro,IF($D669="","",IF($F669="",IFERROR(INDEX(Items!$G$5:$G$504,Q669),0),$F669)),"")</f>
        <v/>
      </c>
      <c r="K669" s="61" t="str">
        <f aca="false">IF(IsPro,IF($D669="","",ROUND(N($E669)*J669*(1-N($G669)),2)),"")</f>
        <v/>
      </c>
      <c r="L669" s="62" t="str">
        <f aca="false">IF(IsPro,IF($D669="","",IFERROR(INDEX(Items!$F$5:$F$504,Q669),0)),"")</f>
        <v/>
      </c>
      <c r="M669" s="61" t="str">
        <f aca="false">IF(IsPro,IF($D669="","",IF(AND(R669&lt;&gt;"",INDEX(Parties!$E$5:$E$304,R669)&lt;&gt;"",INDEX(Parties!$E$5:$E$304,R669)&lt;&gt;HomeState),0,ROUND(K669*L669/2,2))),"")</f>
        <v/>
      </c>
      <c r="N669" s="61" t="str">
        <f aca="false">IF(IsPro,IF($D669="","",M669),"")</f>
        <v/>
      </c>
      <c r="O669" s="61" t="str">
        <f aca="false">IF(IsPro,IF($D669="","",IF(AND(R669&lt;&gt;"",INDEX(Parties!$E$5:$E$304,R669)&lt;&gt;"",INDEX(Parties!$E$5:$E$304,R669)&lt;&gt;HomeState),ROUND(K669*L669,2),0)),"")</f>
        <v/>
      </c>
      <c r="P669" s="61" t="str">
        <f aca="false">IF(IsPro,IF($D669="","",K669+M669+N669+O669),"")</f>
        <v/>
      </c>
      <c r="Q669" s="60" t="str">
        <f aca="false">IF(IsPro,IF($D669="","",IFERROR(MATCH($D669,Items!$A$5:$A$504,0),"")),"")</f>
        <v/>
      </c>
      <c r="R669" s="60" t="str">
        <f aca="false">IF(IsPro,IF($C669="","",IFERROR(MATCH($C669,Parties!$A$5:$A$304,0),"")),"")</f>
        <v/>
      </c>
      <c r="S669" s="61" t="str">
        <f aca="false">IF(IsPro,IF($D669="","",IF(OR($H669="",$H669="Credit"),0,P669)),"")</f>
        <v/>
      </c>
    </row>
    <row r="670" customFormat="false" ht="15" hidden="false" customHeight="false" outlineLevel="0" collapsed="false">
      <c r="A670" s="55"/>
      <c r="B670" s="56"/>
      <c r="C670" s="56"/>
      <c r="D670" s="56"/>
      <c r="E670" s="57"/>
      <c r="F670" s="58"/>
      <c r="G670" s="59"/>
      <c r="H670" s="56"/>
      <c r="I670" s="60" t="str">
        <f aca="false">IF(IsPro,IF($D670="","",IFERROR(INDEX(Items!$D$5:$D$504,Q670),"")),IF($D670="","","PRO PLAN"))</f>
        <v/>
      </c>
      <c r="J670" s="61" t="str">
        <f aca="false">IF(IsPro,IF($D670="","",IF($F670="",IFERROR(INDEX(Items!$G$5:$G$504,Q670),0),$F670)),"")</f>
        <v/>
      </c>
      <c r="K670" s="61" t="str">
        <f aca="false">IF(IsPro,IF($D670="","",ROUND(N($E670)*J670*(1-N($G670)),2)),"")</f>
        <v/>
      </c>
      <c r="L670" s="62" t="str">
        <f aca="false">IF(IsPro,IF($D670="","",IFERROR(INDEX(Items!$F$5:$F$504,Q670),0)),"")</f>
        <v/>
      </c>
      <c r="M670" s="61" t="str">
        <f aca="false">IF(IsPro,IF($D670="","",IF(AND(R670&lt;&gt;"",INDEX(Parties!$E$5:$E$304,R670)&lt;&gt;"",INDEX(Parties!$E$5:$E$304,R670)&lt;&gt;HomeState),0,ROUND(K670*L670/2,2))),"")</f>
        <v/>
      </c>
      <c r="N670" s="61" t="str">
        <f aca="false">IF(IsPro,IF($D670="","",M670),"")</f>
        <v/>
      </c>
      <c r="O670" s="61" t="str">
        <f aca="false">IF(IsPro,IF($D670="","",IF(AND(R670&lt;&gt;"",INDEX(Parties!$E$5:$E$304,R670)&lt;&gt;"",INDEX(Parties!$E$5:$E$304,R670)&lt;&gt;HomeState),ROUND(K670*L670,2),0)),"")</f>
        <v/>
      </c>
      <c r="P670" s="61" t="str">
        <f aca="false">IF(IsPro,IF($D670="","",K670+M670+N670+O670),"")</f>
        <v/>
      </c>
      <c r="Q670" s="60" t="str">
        <f aca="false">IF(IsPro,IF($D670="","",IFERROR(MATCH($D670,Items!$A$5:$A$504,0),"")),"")</f>
        <v/>
      </c>
      <c r="R670" s="60" t="str">
        <f aca="false">IF(IsPro,IF($C670="","",IFERROR(MATCH($C670,Parties!$A$5:$A$304,0),"")),"")</f>
        <v/>
      </c>
      <c r="S670" s="61" t="str">
        <f aca="false">IF(IsPro,IF($D670="","",IF(OR($H670="",$H670="Credit"),0,P670)),"")</f>
        <v/>
      </c>
    </row>
    <row r="671" customFormat="false" ht="15" hidden="false" customHeight="false" outlineLevel="0" collapsed="false">
      <c r="A671" s="55"/>
      <c r="B671" s="56"/>
      <c r="C671" s="56"/>
      <c r="D671" s="56"/>
      <c r="E671" s="57"/>
      <c r="F671" s="58"/>
      <c r="G671" s="59"/>
      <c r="H671" s="56"/>
      <c r="I671" s="60" t="str">
        <f aca="false">IF(IsPro,IF($D671="","",IFERROR(INDEX(Items!$D$5:$D$504,Q671),"")),IF($D671="","","PRO PLAN"))</f>
        <v/>
      </c>
      <c r="J671" s="61" t="str">
        <f aca="false">IF(IsPro,IF($D671="","",IF($F671="",IFERROR(INDEX(Items!$G$5:$G$504,Q671),0),$F671)),"")</f>
        <v/>
      </c>
      <c r="K671" s="61" t="str">
        <f aca="false">IF(IsPro,IF($D671="","",ROUND(N($E671)*J671*(1-N($G671)),2)),"")</f>
        <v/>
      </c>
      <c r="L671" s="62" t="str">
        <f aca="false">IF(IsPro,IF($D671="","",IFERROR(INDEX(Items!$F$5:$F$504,Q671),0)),"")</f>
        <v/>
      </c>
      <c r="M671" s="61" t="str">
        <f aca="false">IF(IsPro,IF($D671="","",IF(AND(R671&lt;&gt;"",INDEX(Parties!$E$5:$E$304,R671)&lt;&gt;"",INDEX(Parties!$E$5:$E$304,R671)&lt;&gt;HomeState),0,ROUND(K671*L671/2,2))),"")</f>
        <v/>
      </c>
      <c r="N671" s="61" t="str">
        <f aca="false">IF(IsPro,IF($D671="","",M671),"")</f>
        <v/>
      </c>
      <c r="O671" s="61" t="str">
        <f aca="false">IF(IsPro,IF($D671="","",IF(AND(R671&lt;&gt;"",INDEX(Parties!$E$5:$E$304,R671)&lt;&gt;"",INDEX(Parties!$E$5:$E$304,R671)&lt;&gt;HomeState),ROUND(K671*L671,2),0)),"")</f>
        <v/>
      </c>
      <c r="P671" s="61" t="str">
        <f aca="false">IF(IsPro,IF($D671="","",K671+M671+N671+O671),"")</f>
        <v/>
      </c>
      <c r="Q671" s="60" t="str">
        <f aca="false">IF(IsPro,IF($D671="","",IFERROR(MATCH($D671,Items!$A$5:$A$504,0),"")),"")</f>
        <v/>
      </c>
      <c r="R671" s="60" t="str">
        <f aca="false">IF(IsPro,IF($C671="","",IFERROR(MATCH($C671,Parties!$A$5:$A$304,0),"")),"")</f>
        <v/>
      </c>
      <c r="S671" s="61" t="str">
        <f aca="false">IF(IsPro,IF($D671="","",IF(OR($H671="",$H671="Credit"),0,P671)),"")</f>
        <v/>
      </c>
    </row>
    <row r="672" customFormat="false" ht="15" hidden="false" customHeight="false" outlineLevel="0" collapsed="false">
      <c r="A672" s="55"/>
      <c r="B672" s="56"/>
      <c r="C672" s="56"/>
      <c r="D672" s="56"/>
      <c r="E672" s="57"/>
      <c r="F672" s="58"/>
      <c r="G672" s="59"/>
      <c r="H672" s="56"/>
      <c r="I672" s="60" t="str">
        <f aca="false">IF(IsPro,IF($D672="","",IFERROR(INDEX(Items!$D$5:$D$504,Q672),"")),IF($D672="","","PRO PLAN"))</f>
        <v/>
      </c>
      <c r="J672" s="61" t="str">
        <f aca="false">IF(IsPro,IF($D672="","",IF($F672="",IFERROR(INDEX(Items!$G$5:$G$504,Q672),0),$F672)),"")</f>
        <v/>
      </c>
      <c r="K672" s="61" t="str">
        <f aca="false">IF(IsPro,IF($D672="","",ROUND(N($E672)*J672*(1-N($G672)),2)),"")</f>
        <v/>
      </c>
      <c r="L672" s="62" t="str">
        <f aca="false">IF(IsPro,IF($D672="","",IFERROR(INDEX(Items!$F$5:$F$504,Q672),0)),"")</f>
        <v/>
      </c>
      <c r="M672" s="61" t="str">
        <f aca="false">IF(IsPro,IF($D672="","",IF(AND(R672&lt;&gt;"",INDEX(Parties!$E$5:$E$304,R672)&lt;&gt;"",INDEX(Parties!$E$5:$E$304,R672)&lt;&gt;HomeState),0,ROUND(K672*L672/2,2))),"")</f>
        <v/>
      </c>
      <c r="N672" s="61" t="str">
        <f aca="false">IF(IsPro,IF($D672="","",M672),"")</f>
        <v/>
      </c>
      <c r="O672" s="61" t="str">
        <f aca="false">IF(IsPro,IF($D672="","",IF(AND(R672&lt;&gt;"",INDEX(Parties!$E$5:$E$304,R672)&lt;&gt;"",INDEX(Parties!$E$5:$E$304,R672)&lt;&gt;HomeState),ROUND(K672*L672,2),0)),"")</f>
        <v/>
      </c>
      <c r="P672" s="61" t="str">
        <f aca="false">IF(IsPro,IF($D672="","",K672+M672+N672+O672),"")</f>
        <v/>
      </c>
      <c r="Q672" s="60" t="str">
        <f aca="false">IF(IsPro,IF($D672="","",IFERROR(MATCH($D672,Items!$A$5:$A$504,0),"")),"")</f>
        <v/>
      </c>
      <c r="R672" s="60" t="str">
        <f aca="false">IF(IsPro,IF($C672="","",IFERROR(MATCH($C672,Parties!$A$5:$A$304,0),"")),"")</f>
        <v/>
      </c>
      <c r="S672" s="61" t="str">
        <f aca="false">IF(IsPro,IF($D672="","",IF(OR($H672="",$H672="Credit"),0,P672)),"")</f>
        <v/>
      </c>
    </row>
    <row r="673" customFormat="false" ht="15" hidden="false" customHeight="false" outlineLevel="0" collapsed="false">
      <c r="A673" s="55"/>
      <c r="B673" s="56"/>
      <c r="C673" s="56"/>
      <c r="D673" s="56"/>
      <c r="E673" s="57"/>
      <c r="F673" s="58"/>
      <c r="G673" s="59"/>
      <c r="H673" s="56"/>
      <c r="I673" s="60" t="str">
        <f aca="false">IF(IsPro,IF($D673="","",IFERROR(INDEX(Items!$D$5:$D$504,Q673),"")),IF($D673="","","PRO PLAN"))</f>
        <v/>
      </c>
      <c r="J673" s="61" t="str">
        <f aca="false">IF(IsPro,IF($D673="","",IF($F673="",IFERROR(INDEX(Items!$G$5:$G$504,Q673),0),$F673)),"")</f>
        <v/>
      </c>
      <c r="K673" s="61" t="str">
        <f aca="false">IF(IsPro,IF($D673="","",ROUND(N($E673)*J673*(1-N($G673)),2)),"")</f>
        <v/>
      </c>
      <c r="L673" s="62" t="str">
        <f aca="false">IF(IsPro,IF($D673="","",IFERROR(INDEX(Items!$F$5:$F$504,Q673),0)),"")</f>
        <v/>
      </c>
      <c r="M673" s="61" t="str">
        <f aca="false">IF(IsPro,IF($D673="","",IF(AND(R673&lt;&gt;"",INDEX(Parties!$E$5:$E$304,R673)&lt;&gt;"",INDEX(Parties!$E$5:$E$304,R673)&lt;&gt;HomeState),0,ROUND(K673*L673/2,2))),"")</f>
        <v/>
      </c>
      <c r="N673" s="61" t="str">
        <f aca="false">IF(IsPro,IF($D673="","",M673),"")</f>
        <v/>
      </c>
      <c r="O673" s="61" t="str">
        <f aca="false">IF(IsPro,IF($D673="","",IF(AND(R673&lt;&gt;"",INDEX(Parties!$E$5:$E$304,R673)&lt;&gt;"",INDEX(Parties!$E$5:$E$304,R673)&lt;&gt;HomeState),ROUND(K673*L673,2),0)),"")</f>
        <v/>
      </c>
      <c r="P673" s="61" t="str">
        <f aca="false">IF(IsPro,IF($D673="","",K673+M673+N673+O673),"")</f>
        <v/>
      </c>
      <c r="Q673" s="60" t="str">
        <f aca="false">IF(IsPro,IF($D673="","",IFERROR(MATCH($D673,Items!$A$5:$A$504,0),"")),"")</f>
        <v/>
      </c>
      <c r="R673" s="60" t="str">
        <f aca="false">IF(IsPro,IF($C673="","",IFERROR(MATCH($C673,Parties!$A$5:$A$304,0),"")),"")</f>
        <v/>
      </c>
      <c r="S673" s="61" t="str">
        <f aca="false">IF(IsPro,IF($D673="","",IF(OR($H673="",$H673="Credit"),0,P673)),"")</f>
        <v/>
      </c>
    </row>
    <row r="674" customFormat="false" ht="15" hidden="false" customHeight="false" outlineLevel="0" collapsed="false">
      <c r="A674" s="55"/>
      <c r="B674" s="56"/>
      <c r="C674" s="56"/>
      <c r="D674" s="56"/>
      <c r="E674" s="57"/>
      <c r="F674" s="58"/>
      <c r="G674" s="59"/>
      <c r="H674" s="56"/>
      <c r="I674" s="60" t="str">
        <f aca="false">IF(IsPro,IF($D674="","",IFERROR(INDEX(Items!$D$5:$D$504,Q674),"")),IF($D674="","","PRO PLAN"))</f>
        <v/>
      </c>
      <c r="J674" s="61" t="str">
        <f aca="false">IF(IsPro,IF($D674="","",IF($F674="",IFERROR(INDEX(Items!$G$5:$G$504,Q674),0),$F674)),"")</f>
        <v/>
      </c>
      <c r="K674" s="61" t="str">
        <f aca="false">IF(IsPro,IF($D674="","",ROUND(N($E674)*J674*(1-N($G674)),2)),"")</f>
        <v/>
      </c>
      <c r="L674" s="62" t="str">
        <f aca="false">IF(IsPro,IF($D674="","",IFERROR(INDEX(Items!$F$5:$F$504,Q674),0)),"")</f>
        <v/>
      </c>
      <c r="M674" s="61" t="str">
        <f aca="false">IF(IsPro,IF($D674="","",IF(AND(R674&lt;&gt;"",INDEX(Parties!$E$5:$E$304,R674)&lt;&gt;"",INDEX(Parties!$E$5:$E$304,R674)&lt;&gt;HomeState),0,ROUND(K674*L674/2,2))),"")</f>
        <v/>
      </c>
      <c r="N674" s="61" t="str">
        <f aca="false">IF(IsPro,IF($D674="","",M674),"")</f>
        <v/>
      </c>
      <c r="O674" s="61" t="str">
        <f aca="false">IF(IsPro,IF($D674="","",IF(AND(R674&lt;&gt;"",INDEX(Parties!$E$5:$E$304,R674)&lt;&gt;"",INDEX(Parties!$E$5:$E$304,R674)&lt;&gt;HomeState),ROUND(K674*L674,2),0)),"")</f>
        <v/>
      </c>
      <c r="P674" s="61" t="str">
        <f aca="false">IF(IsPro,IF($D674="","",K674+M674+N674+O674),"")</f>
        <v/>
      </c>
      <c r="Q674" s="60" t="str">
        <f aca="false">IF(IsPro,IF($D674="","",IFERROR(MATCH($D674,Items!$A$5:$A$504,0),"")),"")</f>
        <v/>
      </c>
      <c r="R674" s="60" t="str">
        <f aca="false">IF(IsPro,IF($C674="","",IFERROR(MATCH($C674,Parties!$A$5:$A$304,0),"")),"")</f>
        <v/>
      </c>
      <c r="S674" s="61" t="str">
        <f aca="false">IF(IsPro,IF($D674="","",IF(OR($H674="",$H674="Credit"),0,P674)),"")</f>
        <v/>
      </c>
    </row>
    <row r="675" customFormat="false" ht="15" hidden="false" customHeight="false" outlineLevel="0" collapsed="false">
      <c r="A675" s="55"/>
      <c r="B675" s="56"/>
      <c r="C675" s="56"/>
      <c r="D675" s="56"/>
      <c r="E675" s="57"/>
      <c r="F675" s="58"/>
      <c r="G675" s="59"/>
      <c r="H675" s="56"/>
      <c r="I675" s="60" t="str">
        <f aca="false">IF(IsPro,IF($D675="","",IFERROR(INDEX(Items!$D$5:$D$504,Q675),"")),IF($D675="","","PRO PLAN"))</f>
        <v/>
      </c>
      <c r="J675" s="61" t="str">
        <f aca="false">IF(IsPro,IF($D675="","",IF($F675="",IFERROR(INDEX(Items!$G$5:$G$504,Q675),0),$F675)),"")</f>
        <v/>
      </c>
      <c r="K675" s="61" t="str">
        <f aca="false">IF(IsPro,IF($D675="","",ROUND(N($E675)*J675*(1-N($G675)),2)),"")</f>
        <v/>
      </c>
      <c r="L675" s="62" t="str">
        <f aca="false">IF(IsPro,IF($D675="","",IFERROR(INDEX(Items!$F$5:$F$504,Q675),0)),"")</f>
        <v/>
      </c>
      <c r="M675" s="61" t="str">
        <f aca="false">IF(IsPro,IF($D675="","",IF(AND(R675&lt;&gt;"",INDEX(Parties!$E$5:$E$304,R675)&lt;&gt;"",INDEX(Parties!$E$5:$E$304,R675)&lt;&gt;HomeState),0,ROUND(K675*L675/2,2))),"")</f>
        <v/>
      </c>
      <c r="N675" s="61" t="str">
        <f aca="false">IF(IsPro,IF($D675="","",M675),"")</f>
        <v/>
      </c>
      <c r="O675" s="61" t="str">
        <f aca="false">IF(IsPro,IF($D675="","",IF(AND(R675&lt;&gt;"",INDEX(Parties!$E$5:$E$304,R675)&lt;&gt;"",INDEX(Parties!$E$5:$E$304,R675)&lt;&gt;HomeState),ROUND(K675*L675,2),0)),"")</f>
        <v/>
      </c>
      <c r="P675" s="61" t="str">
        <f aca="false">IF(IsPro,IF($D675="","",K675+M675+N675+O675),"")</f>
        <v/>
      </c>
      <c r="Q675" s="60" t="str">
        <f aca="false">IF(IsPro,IF($D675="","",IFERROR(MATCH($D675,Items!$A$5:$A$504,0),"")),"")</f>
        <v/>
      </c>
      <c r="R675" s="60" t="str">
        <f aca="false">IF(IsPro,IF($C675="","",IFERROR(MATCH($C675,Parties!$A$5:$A$304,0),"")),"")</f>
        <v/>
      </c>
      <c r="S675" s="61" t="str">
        <f aca="false">IF(IsPro,IF($D675="","",IF(OR($H675="",$H675="Credit"),0,P675)),"")</f>
        <v/>
      </c>
    </row>
    <row r="676" customFormat="false" ht="15" hidden="false" customHeight="false" outlineLevel="0" collapsed="false">
      <c r="A676" s="55"/>
      <c r="B676" s="56"/>
      <c r="C676" s="56"/>
      <c r="D676" s="56"/>
      <c r="E676" s="57"/>
      <c r="F676" s="58"/>
      <c r="G676" s="59"/>
      <c r="H676" s="56"/>
      <c r="I676" s="60" t="str">
        <f aca="false">IF(IsPro,IF($D676="","",IFERROR(INDEX(Items!$D$5:$D$504,Q676),"")),IF($D676="","","PRO PLAN"))</f>
        <v/>
      </c>
      <c r="J676" s="61" t="str">
        <f aca="false">IF(IsPro,IF($D676="","",IF($F676="",IFERROR(INDEX(Items!$G$5:$G$504,Q676),0),$F676)),"")</f>
        <v/>
      </c>
      <c r="K676" s="61" t="str">
        <f aca="false">IF(IsPro,IF($D676="","",ROUND(N($E676)*J676*(1-N($G676)),2)),"")</f>
        <v/>
      </c>
      <c r="L676" s="62" t="str">
        <f aca="false">IF(IsPro,IF($D676="","",IFERROR(INDEX(Items!$F$5:$F$504,Q676),0)),"")</f>
        <v/>
      </c>
      <c r="M676" s="61" t="str">
        <f aca="false">IF(IsPro,IF($D676="","",IF(AND(R676&lt;&gt;"",INDEX(Parties!$E$5:$E$304,R676)&lt;&gt;"",INDEX(Parties!$E$5:$E$304,R676)&lt;&gt;HomeState),0,ROUND(K676*L676/2,2))),"")</f>
        <v/>
      </c>
      <c r="N676" s="61" t="str">
        <f aca="false">IF(IsPro,IF($D676="","",M676),"")</f>
        <v/>
      </c>
      <c r="O676" s="61" t="str">
        <f aca="false">IF(IsPro,IF($D676="","",IF(AND(R676&lt;&gt;"",INDEX(Parties!$E$5:$E$304,R676)&lt;&gt;"",INDEX(Parties!$E$5:$E$304,R676)&lt;&gt;HomeState),ROUND(K676*L676,2),0)),"")</f>
        <v/>
      </c>
      <c r="P676" s="61" t="str">
        <f aca="false">IF(IsPro,IF($D676="","",K676+M676+N676+O676),"")</f>
        <v/>
      </c>
      <c r="Q676" s="60" t="str">
        <f aca="false">IF(IsPro,IF($D676="","",IFERROR(MATCH($D676,Items!$A$5:$A$504,0),"")),"")</f>
        <v/>
      </c>
      <c r="R676" s="60" t="str">
        <f aca="false">IF(IsPro,IF($C676="","",IFERROR(MATCH($C676,Parties!$A$5:$A$304,0),"")),"")</f>
        <v/>
      </c>
      <c r="S676" s="61" t="str">
        <f aca="false">IF(IsPro,IF($D676="","",IF(OR($H676="",$H676="Credit"),0,P676)),"")</f>
        <v/>
      </c>
    </row>
    <row r="677" customFormat="false" ht="15" hidden="false" customHeight="false" outlineLevel="0" collapsed="false">
      <c r="A677" s="55"/>
      <c r="B677" s="56"/>
      <c r="C677" s="56"/>
      <c r="D677" s="56"/>
      <c r="E677" s="57"/>
      <c r="F677" s="58"/>
      <c r="G677" s="59"/>
      <c r="H677" s="56"/>
      <c r="I677" s="60" t="str">
        <f aca="false">IF(IsPro,IF($D677="","",IFERROR(INDEX(Items!$D$5:$D$504,Q677),"")),IF($D677="","","PRO PLAN"))</f>
        <v/>
      </c>
      <c r="J677" s="61" t="str">
        <f aca="false">IF(IsPro,IF($D677="","",IF($F677="",IFERROR(INDEX(Items!$G$5:$G$504,Q677),0),$F677)),"")</f>
        <v/>
      </c>
      <c r="K677" s="61" t="str">
        <f aca="false">IF(IsPro,IF($D677="","",ROUND(N($E677)*J677*(1-N($G677)),2)),"")</f>
        <v/>
      </c>
      <c r="L677" s="62" t="str">
        <f aca="false">IF(IsPro,IF($D677="","",IFERROR(INDEX(Items!$F$5:$F$504,Q677),0)),"")</f>
        <v/>
      </c>
      <c r="M677" s="61" t="str">
        <f aca="false">IF(IsPro,IF($D677="","",IF(AND(R677&lt;&gt;"",INDEX(Parties!$E$5:$E$304,R677)&lt;&gt;"",INDEX(Parties!$E$5:$E$304,R677)&lt;&gt;HomeState),0,ROUND(K677*L677/2,2))),"")</f>
        <v/>
      </c>
      <c r="N677" s="61" t="str">
        <f aca="false">IF(IsPro,IF($D677="","",M677),"")</f>
        <v/>
      </c>
      <c r="O677" s="61" t="str">
        <f aca="false">IF(IsPro,IF($D677="","",IF(AND(R677&lt;&gt;"",INDEX(Parties!$E$5:$E$304,R677)&lt;&gt;"",INDEX(Parties!$E$5:$E$304,R677)&lt;&gt;HomeState),ROUND(K677*L677,2),0)),"")</f>
        <v/>
      </c>
      <c r="P677" s="61" t="str">
        <f aca="false">IF(IsPro,IF($D677="","",K677+M677+N677+O677),"")</f>
        <v/>
      </c>
      <c r="Q677" s="60" t="str">
        <f aca="false">IF(IsPro,IF($D677="","",IFERROR(MATCH($D677,Items!$A$5:$A$504,0),"")),"")</f>
        <v/>
      </c>
      <c r="R677" s="60" t="str">
        <f aca="false">IF(IsPro,IF($C677="","",IFERROR(MATCH($C677,Parties!$A$5:$A$304,0),"")),"")</f>
        <v/>
      </c>
      <c r="S677" s="61" t="str">
        <f aca="false">IF(IsPro,IF($D677="","",IF(OR($H677="",$H677="Credit"),0,P677)),"")</f>
        <v/>
      </c>
    </row>
    <row r="678" customFormat="false" ht="15" hidden="false" customHeight="false" outlineLevel="0" collapsed="false">
      <c r="A678" s="55"/>
      <c r="B678" s="56"/>
      <c r="C678" s="56"/>
      <c r="D678" s="56"/>
      <c r="E678" s="57"/>
      <c r="F678" s="58"/>
      <c r="G678" s="59"/>
      <c r="H678" s="56"/>
      <c r="I678" s="60" t="str">
        <f aca="false">IF(IsPro,IF($D678="","",IFERROR(INDEX(Items!$D$5:$D$504,Q678),"")),IF($D678="","","PRO PLAN"))</f>
        <v/>
      </c>
      <c r="J678" s="61" t="str">
        <f aca="false">IF(IsPro,IF($D678="","",IF($F678="",IFERROR(INDEX(Items!$G$5:$G$504,Q678),0),$F678)),"")</f>
        <v/>
      </c>
      <c r="K678" s="61" t="str">
        <f aca="false">IF(IsPro,IF($D678="","",ROUND(N($E678)*J678*(1-N($G678)),2)),"")</f>
        <v/>
      </c>
      <c r="L678" s="62" t="str">
        <f aca="false">IF(IsPro,IF($D678="","",IFERROR(INDEX(Items!$F$5:$F$504,Q678),0)),"")</f>
        <v/>
      </c>
      <c r="M678" s="61" t="str">
        <f aca="false">IF(IsPro,IF($D678="","",IF(AND(R678&lt;&gt;"",INDEX(Parties!$E$5:$E$304,R678)&lt;&gt;"",INDEX(Parties!$E$5:$E$304,R678)&lt;&gt;HomeState),0,ROUND(K678*L678/2,2))),"")</f>
        <v/>
      </c>
      <c r="N678" s="61" t="str">
        <f aca="false">IF(IsPro,IF($D678="","",M678),"")</f>
        <v/>
      </c>
      <c r="O678" s="61" t="str">
        <f aca="false">IF(IsPro,IF($D678="","",IF(AND(R678&lt;&gt;"",INDEX(Parties!$E$5:$E$304,R678)&lt;&gt;"",INDEX(Parties!$E$5:$E$304,R678)&lt;&gt;HomeState),ROUND(K678*L678,2),0)),"")</f>
        <v/>
      </c>
      <c r="P678" s="61" t="str">
        <f aca="false">IF(IsPro,IF($D678="","",K678+M678+N678+O678),"")</f>
        <v/>
      </c>
      <c r="Q678" s="60" t="str">
        <f aca="false">IF(IsPro,IF($D678="","",IFERROR(MATCH($D678,Items!$A$5:$A$504,0),"")),"")</f>
        <v/>
      </c>
      <c r="R678" s="60" t="str">
        <f aca="false">IF(IsPro,IF($C678="","",IFERROR(MATCH($C678,Parties!$A$5:$A$304,0),"")),"")</f>
        <v/>
      </c>
      <c r="S678" s="61" t="str">
        <f aca="false">IF(IsPro,IF($D678="","",IF(OR($H678="",$H678="Credit"),0,P678)),"")</f>
        <v/>
      </c>
    </row>
    <row r="679" customFormat="false" ht="15" hidden="false" customHeight="false" outlineLevel="0" collapsed="false">
      <c r="A679" s="55"/>
      <c r="B679" s="56"/>
      <c r="C679" s="56"/>
      <c r="D679" s="56"/>
      <c r="E679" s="57"/>
      <c r="F679" s="58"/>
      <c r="G679" s="59"/>
      <c r="H679" s="56"/>
      <c r="I679" s="60" t="str">
        <f aca="false">IF(IsPro,IF($D679="","",IFERROR(INDEX(Items!$D$5:$D$504,Q679),"")),IF($D679="","","PRO PLAN"))</f>
        <v/>
      </c>
      <c r="J679" s="61" t="str">
        <f aca="false">IF(IsPro,IF($D679="","",IF($F679="",IFERROR(INDEX(Items!$G$5:$G$504,Q679),0),$F679)),"")</f>
        <v/>
      </c>
      <c r="K679" s="61" t="str">
        <f aca="false">IF(IsPro,IF($D679="","",ROUND(N($E679)*J679*(1-N($G679)),2)),"")</f>
        <v/>
      </c>
      <c r="L679" s="62" t="str">
        <f aca="false">IF(IsPro,IF($D679="","",IFERROR(INDEX(Items!$F$5:$F$504,Q679),0)),"")</f>
        <v/>
      </c>
      <c r="M679" s="61" t="str">
        <f aca="false">IF(IsPro,IF($D679="","",IF(AND(R679&lt;&gt;"",INDEX(Parties!$E$5:$E$304,R679)&lt;&gt;"",INDEX(Parties!$E$5:$E$304,R679)&lt;&gt;HomeState),0,ROUND(K679*L679/2,2))),"")</f>
        <v/>
      </c>
      <c r="N679" s="61" t="str">
        <f aca="false">IF(IsPro,IF($D679="","",M679),"")</f>
        <v/>
      </c>
      <c r="O679" s="61" t="str">
        <f aca="false">IF(IsPro,IF($D679="","",IF(AND(R679&lt;&gt;"",INDEX(Parties!$E$5:$E$304,R679)&lt;&gt;"",INDEX(Parties!$E$5:$E$304,R679)&lt;&gt;HomeState),ROUND(K679*L679,2),0)),"")</f>
        <v/>
      </c>
      <c r="P679" s="61" t="str">
        <f aca="false">IF(IsPro,IF($D679="","",K679+M679+N679+O679),"")</f>
        <v/>
      </c>
      <c r="Q679" s="60" t="str">
        <f aca="false">IF(IsPro,IF($D679="","",IFERROR(MATCH($D679,Items!$A$5:$A$504,0),"")),"")</f>
        <v/>
      </c>
      <c r="R679" s="60" t="str">
        <f aca="false">IF(IsPro,IF($C679="","",IFERROR(MATCH($C679,Parties!$A$5:$A$304,0),"")),"")</f>
        <v/>
      </c>
      <c r="S679" s="61" t="str">
        <f aca="false">IF(IsPro,IF($D679="","",IF(OR($H679="",$H679="Credit"),0,P679)),"")</f>
        <v/>
      </c>
    </row>
    <row r="680" customFormat="false" ht="15" hidden="false" customHeight="false" outlineLevel="0" collapsed="false">
      <c r="A680" s="55"/>
      <c r="B680" s="56"/>
      <c r="C680" s="56"/>
      <c r="D680" s="56"/>
      <c r="E680" s="57"/>
      <c r="F680" s="58"/>
      <c r="G680" s="59"/>
      <c r="H680" s="56"/>
      <c r="I680" s="60" t="str">
        <f aca="false">IF(IsPro,IF($D680="","",IFERROR(INDEX(Items!$D$5:$D$504,Q680),"")),IF($D680="","","PRO PLAN"))</f>
        <v/>
      </c>
      <c r="J680" s="61" t="str">
        <f aca="false">IF(IsPro,IF($D680="","",IF($F680="",IFERROR(INDEX(Items!$G$5:$G$504,Q680),0),$F680)),"")</f>
        <v/>
      </c>
      <c r="K680" s="61" t="str">
        <f aca="false">IF(IsPro,IF($D680="","",ROUND(N($E680)*J680*(1-N($G680)),2)),"")</f>
        <v/>
      </c>
      <c r="L680" s="62" t="str">
        <f aca="false">IF(IsPro,IF($D680="","",IFERROR(INDEX(Items!$F$5:$F$504,Q680),0)),"")</f>
        <v/>
      </c>
      <c r="M680" s="61" t="str">
        <f aca="false">IF(IsPro,IF($D680="","",IF(AND(R680&lt;&gt;"",INDEX(Parties!$E$5:$E$304,R680)&lt;&gt;"",INDEX(Parties!$E$5:$E$304,R680)&lt;&gt;HomeState),0,ROUND(K680*L680/2,2))),"")</f>
        <v/>
      </c>
      <c r="N680" s="61" t="str">
        <f aca="false">IF(IsPro,IF($D680="","",M680),"")</f>
        <v/>
      </c>
      <c r="O680" s="61" t="str">
        <f aca="false">IF(IsPro,IF($D680="","",IF(AND(R680&lt;&gt;"",INDEX(Parties!$E$5:$E$304,R680)&lt;&gt;"",INDEX(Parties!$E$5:$E$304,R680)&lt;&gt;HomeState),ROUND(K680*L680,2),0)),"")</f>
        <v/>
      </c>
      <c r="P680" s="61" t="str">
        <f aca="false">IF(IsPro,IF($D680="","",K680+M680+N680+O680),"")</f>
        <v/>
      </c>
      <c r="Q680" s="60" t="str">
        <f aca="false">IF(IsPro,IF($D680="","",IFERROR(MATCH($D680,Items!$A$5:$A$504,0),"")),"")</f>
        <v/>
      </c>
      <c r="R680" s="60" t="str">
        <f aca="false">IF(IsPro,IF($C680="","",IFERROR(MATCH($C680,Parties!$A$5:$A$304,0),"")),"")</f>
        <v/>
      </c>
      <c r="S680" s="61" t="str">
        <f aca="false">IF(IsPro,IF($D680="","",IF(OR($H680="",$H680="Credit"),0,P680)),"")</f>
        <v/>
      </c>
    </row>
    <row r="681" customFormat="false" ht="15" hidden="false" customHeight="false" outlineLevel="0" collapsed="false">
      <c r="A681" s="55"/>
      <c r="B681" s="56"/>
      <c r="C681" s="56"/>
      <c r="D681" s="56"/>
      <c r="E681" s="57"/>
      <c r="F681" s="58"/>
      <c r="G681" s="59"/>
      <c r="H681" s="56"/>
      <c r="I681" s="60" t="str">
        <f aca="false">IF(IsPro,IF($D681="","",IFERROR(INDEX(Items!$D$5:$D$504,Q681),"")),IF($D681="","","PRO PLAN"))</f>
        <v/>
      </c>
      <c r="J681" s="61" t="str">
        <f aca="false">IF(IsPro,IF($D681="","",IF($F681="",IFERROR(INDEX(Items!$G$5:$G$504,Q681),0),$F681)),"")</f>
        <v/>
      </c>
      <c r="K681" s="61" t="str">
        <f aca="false">IF(IsPro,IF($D681="","",ROUND(N($E681)*J681*(1-N($G681)),2)),"")</f>
        <v/>
      </c>
      <c r="L681" s="62" t="str">
        <f aca="false">IF(IsPro,IF($D681="","",IFERROR(INDEX(Items!$F$5:$F$504,Q681),0)),"")</f>
        <v/>
      </c>
      <c r="M681" s="61" t="str">
        <f aca="false">IF(IsPro,IF($D681="","",IF(AND(R681&lt;&gt;"",INDEX(Parties!$E$5:$E$304,R681)&lt;&gt;"",INDEX(Parties!$E$5:$E$304,R681)&lt;&gt;HomeState),0,ROUND(K681*L681/2,2))),"")</f>
        <v/>
      </c>
      <c r="N681" s="61" t="str">
        <f aca="false">IF(IsPro,IF($D681="","",M681),"")</f>
        <v/>
      </c>
      <c r="O681" s="61" t="str">
        <f aca="false">IF(IsPro,IF($D681="","",IF(AND(R681&lt;&gt;"",INDEX(Parties!$E$5:$E$304,R681)&lt;&gt;"",INDEX(Parties!$E$5:$E$304,R681)&lt;&gt;HomeState),ROUND(K681*L681,2),0)),"")</f>
        <v/>
      </c>
      <c r="P681" s="61" t="str">
        <f aca="false">IF(IsPro,IF($D681="","",K681+M681+N681+O681),"")</f>
        <v/>
      </c>
      <c r="Q681" s="60" t="str">
        <f aca="false">IF(IsPro,IF($D681="","",IFERROR(MATCH($D681,Items!$A$5:$A$504,0),"")),"")</f>
        <v/>
      </c>
      <c r="R681" s="60" t="str">
        <f aca="false">IF(IsPro,IF($C681="","",IFERROR(MATCH($C681,Parties!$A$5:$A$304,0),"")),"")</f>
        <v/>
      </c>
      <c r="S681" s="61" t="str">
        <f aca="false">IF(IsPro,IF($D681="","",IF(OR($H681="",$H681="Credit"),0,P681)),"")</f>
        <v/>
      </c>
    </row>
    <row r="682" customFormat="false" ht="15" hidden="false" customHeight="false" outlineLevel="0" collapsed="false">
      <c r="A682" s="55"/>
      <c r="B682" s="56"/>
      <c r="C682" s="56"/>
      <c r="D682" s="56"/>
      <c r="E682" s="57"/>
      <c r="F682" s="58"/>
      <c r="G682" s="59"/>
      <c r="H682" s="56"/>
      <c r="I682" s="60" t="str">
        <f aca="false">IF(IsPro,IF($D682="","",IFERROR(INDEX(Items!$D$5:$D$504,Q682),"")),IF($D682="","","PRO PLAN"))</f>
        <v/>
      </c>
      <c r="J682" s="61" t="str">
        <f aca="false">IF(IsPro,IF($D682="","",IF($F682="",IFERROR(INDEX(Items!$G$5:$G$504,Q682),0),$F682)),"")</f>
        <v/>
      </c>
      <c r="K682" s="61" t="str">
        <f aca="false">IF(IsPro,IF($D682="","",ROUND(N($E682)*J682*(1-N($G682)),2)),"")</f>
        <v/>
      </c>
      <c r="L682" s="62" t="str">
        <f aca="false">IF(IsPro,IF($D682="","",IFERROR(INDEX(Items!$F$5:$F$504,Q682),0)),"")</f>
        <v/>
      </c>
      <c r="M682" s="61" t="str">
        <f aca="false">IF(IsPro,IF($D682="","",IF(AND(R682&lt;&gt;"",INDEX(Parties!$E$5:$E$304,R682)&lt;&gt;"",INDEX(Parties!$E$5:$E$304,R682)&lt;&gt;HomeState),0,ROUND(K682*L682/2,2))),"")</f>
        <v/>
      </c>
      <c r="N682" s="61" t="str">
        <f aca="false">IF(IsPro,IF($D682="","",M682),"")</f>
        <v/>
      </c>
      <c r="O682" s="61" t="str">
        <f aca="false">IF(IsPro,IF($D682="","",IF(AND(R682&lt;&gt;"",INDEX(Parties!$E$5:$E$304,R682)&lt;&gt;"",INDEX(Parties!$E$5:$E$304,R682)&lt;&gt;HomeState),ROUND(K682*L682,2),0)),"")</f>
        <v/>
      </c>
      <c r="P682" s="61" t="str">
        <f aca="false">IF(IsPro,IF($D682="","",K682+M682+N682+O682),"")</f>
        <v/>
      </c>
      <c r="Q682" s="60" t="str">
        <f aca="false">IF(IsPro,IF($D682="","",IFERROR(MATCH($D682,Items!$A$5:$A$504,0),"")),"")</f>
        <v/>
      </c>
      <c r="R682" s="60" t="str">
        <f aca="false">IF(IsPro,IF($C682="","",IFERROR(MATCH($C682,Parties!$A$5:$A$304,0),"")),"")</f>
        <v/>
      </c>
      <c r="S682" s="61" t="str">
        <f aca="false">IF(IsPro,IF($D682="","",IF(OR($H682="",$H682="Credit"),0,P682)),"")</f>
        <v/>
      </c>
    </row>
    <row r="683" customFormat="false" ht="15" hidden="false" customHeight="false" outlineLevel="0" collapsed="false">
      <c r="A683" s="55"/>
      <c r="B683" s="56"/>
      <c r="C683" s="56"/>
      <c r="D683" s="56"/>
      <c r="E683" s="57"/>
      <c r="F683" s="58"/>
      <c r="G683" s="59"/>
      <c r="H683" s="56"/>
      <c r="I683" s="60" t="str">
        <f aca="false">IF(IsPro,IF($D683="","",IFERROR(INDEX(Items!$D$5:$D$504,Q683),"")),IF($D683="","","PRO PLAN"))</f>
        <v/>
      </c>
      <c r="J683" s="61" t="str">
        <f aca="false">IF(IsPro,IF($D683="","",IF($F683="",IFERROR(INDEX(Items!$G$5:$G$504,Q683),0),$F683)),"")</f>
        <v/>
      </c>
      <c r="K683" s="61" t="str">
        <f aca="false">IF(IsPro,IF($D683="","",ROUND(N($E683)*J683*(1-N($G683)),2)),"")</f>
        <v/>
      </c>
      <c r="L683" s="62" t="str">
        <f aca="false">IF(IsPro,IF($D683="","",IFERROR(INDEX(Items!$F$5:$F$504,Q683),0)),"")</f>
        <v/>
      </c>
      <c r="M683" s="61" t="str">
        <f aca="false">IF(IsPro,IF($D683="","",IF(AND(R683&lt;&gt;"",INDEX(Parties!$E$5:$E$304,R683)&lt;&gt;"",INDEX(Parties!$E$5:$E$304,R683)&lt;&gt;HomeState),0,ROUND(K683*L683/2,2))),"")</f>
        <v/>
      </c>
      <c r="N683" s="61" t="str">
        <f aca="false">IF(IsPro,IF($D683="","",M683),"")</f>
        <v/>
      </c>
      <c r="O683" s="61" t="str">
        <f aca="false">IF(IsPro,IF($D683="","",IF(AND(R683&lt;&gt;"",INDEX(Parties!$E$5:$E$304,R683)&lt;&gt;"",INDEX(Parties!$E$5:$E$304,R683)&lt;&gt;HomeState),ROUND(K683*L683,2),0)),"")</f>
        <v/>
      </c>
      <c r="P683" s="61" t="str">
        <f aca="false">IF(IsPro,IF($D683="","",K683+M683+N683+O683),"")</f>
        <v/>
      </c>
      <c r="Q683" s="60" t="str">
        <f aca="false">IF(IsPro,IF($D683="","",IFERROR(MATCH($D683,Items!$A$5:$A$504,0),"")),"")</f>
        <v/>
      </c>
      <c r="R683" s="60" t="str">
        <f aca="false">IF(IsPro,IF($C683="","",IFERROR(MATCH($C683,Parties!$A$5:$A$304,0),"")),"")</f>
        <v/>
      </c>
      <c r="S683" s="61" t="str">
        <f aca="false">IF(IsPro,IF($D683="","",IF(OR($H683="",$H683="Credit"),0,P683)),"")</f>
        <v/>
      </c>
    </row>
    <row r="684" customFormat="false" ht="15" hidden="false" customHeight="false" outlineLevel="0" collapsed="false">
      <c r="A684" s="55"/>
      <c r="B684" s="56"/>
      <c r="C684" s="56"/>
      <c r="D684" s="56"/>
      <c r="E684" s="57"/>
      <c r="F684" s="58"/>
      <c r="G684" s="59"/>
      <c r="H684" s="56"/>
      <c r="I684" s="60" t="str">
        <f aca="false">IF(IsPro,IF($D684="","",IFERROR(INDEX(Items!$D$5:$D$504,Q684),"")),IF($D684="","","PRO PLAN"))</f>
        <v/>
      </c>
      <c r="J684" s="61" t="str">
        <f aca="false">IF(IsPro,IF($D684="","",IF($F684="",IFERROR(INDEX(Items!$G$5:$G$504,Q684),0),$F684)),"")</f>
        <v/>
      </c>
      <c r="K684" s="61" t="str">
        <f aca="false">IF(IsPro,IF($D684="","",ROUND(N($E684)*J684*(1-N($G684)),2)),"")</f>
        <v/>
      </c>
      <c r="L684" s="62" t="str">
        <f aca="false">IF(IsPro,IF($D684="","",IFERROR(INDEX(Items!$F$5:$F$504,Q684),0)),"")</f>
        <v/>
      </c>
      <c r="M684" s="61" t="str">
        <f aca="false">IF(IsPro,IF($D684="","",IF(AND(R684&lt;&gt;"",INDEX(Parties!$E$5:$E$304,R684)&lt;&gt;"",INDEX(Parties!$E$5:$E$304,R684)&lt;&gt;HomeState),0,ROUND(K684*L684/2,2))),"")</f>
        <v/>
      </c>
      <c r="N684" s="61" t="str">
        <f aca="false">IF(IsPro,IF($D684="","",M684),"")</f>
        <v/>
      </c>
      <c r="O684" s="61" t="str">
        <f aca="false">IF(IsPro,IF($D684="","",IF(AND(R684&lt;&gt;"",INDEX(Parties!$E$5:$E$304,R684)&lt;&gt;"",INDEX(Parties!$E$5:$E$304,R684)&lt;&gt;HomeState),ROUND(K684*L684,2),0)),"")</f>
        <v/>
      </c>
      <c r="P684" s="61" t="str">
        <f aca="false">IF(IsPro,IF($D684="","",K684+M684+N684+O684),"")</f>
        <v/>
      </c>
      <c r="Q684" s="60" t="str">
        <f aca="false">IF(IsPro,IF($D684="","",IFERROR(MATCH($D684,Items!$A$5:$A$504,0),"")),"")</f>
        <v/>
      </c>
      <c r="R684" s="60" t="str">
        <f aca="false">IF(IsPro,IF($C684="","",IFERROR(MATCH($C684,Parties!$A$5:$A$304,0),"")),"")</f>
        <v/>
      </c>
      <c r="S684" s="61" t="str">
        <f aca="false">IF(IsPro,IF($D684="","",IF(OR($H684="",$H684="Credit"),0,P684)),"")</f>
        <v/>
      </c>
    </row>
    <row r="685" customFormat="false" ht="15" hidden="false" customHeight="false" outlineLevel="0" collapsed="false">
      <c r="A685" s="55"/>
      <c r="B685" s="56"/>
      <c r="C685" s="56"/>
      <c r="D685" s="56"/>
      <c r="E685" s="57"/>
      <c r="F685" s="58"/>
      <c r="G685" s="59"/>
      <c r="H685" s="56"/>
      <c r="I685" s="60" t="str">
        <f aca="false">IF(IsPro,IF($D685="","",IFERROR(INDEX(Items!$D$5:$D$504,Q685),"")),IF($D685="","","PRO PLAN"))</f>
        <v/>
      </c>
      <c r="J685" s="61" t="str">
        <f aca="false">IF(IsPro,IF($D685="","",IF($F685="",IFERROR(INDEX(Items!$G$5:$G$504,Q685),0),$F685)),"")</f>
        <v/>
      </c>
      <c r="K685" s="61" t="str">
        <f aca="false">IF(IsPro,IF($D685="","",ROUND(N($E685)*J685*(1-N($G685)),2)),"")</f>
        <v/>
      </c>
      <c r="L685" s="62" t="str">
        <f aca="false">IF(IsPro,IF($D685="","",IFERROR(INDEX(Items!$F$5:$F$504,Q685),0)),"")</f>
        <v/>
      </c>
      <c r="M685" s="61" t="str">
        <f aca="false">IF(IsPro,IF($D685="","",IF(AND(R685&lt;&gt;"",INDEX(Parties!$E$5:$E$304,R685)&lt;&gt;"",INDEX(Parties!$E$5:$E$304,R685)&lt;&gt;HomeState),0,ROUND(K685*L685/2,2))),"")</f>
        <v/>
      </c>
      <c r="N685" s="61" t="str">
        <f aca="false">IF(IsPro,IF($D685="","",M685),"")</f>
        <v/>
      </c>
      <c r="O685" s="61" t="str">
        <f aca="false">IF(IsPro,IF($D685="","",IF(AND(R685&lt;&gt;"",INDEX(Parties!$E$5:$E$304,R685)&lt;&gt;"",INDEX(Parties!$E$5:$E$304,R685)&lt;&gt;HomeState),ROUND(K685*L685,2),0)),"")</f>
        <v/>
      </c>
      <c r="P685" s="61" t="str">
        <f aca="false">IF(IsPro,IF($D685="","",K685+M685+N685+O685),"")</f>
        <v/>
      </c>
      <c r="Q685" s="60" t="str">
        <f aca="false">IF(IsPro,IF($D685="","",IFERROR(MATCH($D685,Items!$A$5:$A$504,0),"")),"")</f>
        <v/>
      </c>
      <c r="R685" s="60" t="str">
        <f aca="false">IF(IsPro,IF($C685="","",IFERROR(MATCH($C685,Parties!$A$5:$A$304,0),"")),"")</f>
        <v/>
      </c>
      <c r="S685" s="61" t="str">
        <f aca="false">IF(IsPro,IF($D685="","",IF(OR($H685="",$H685="Credit"),0,P685)),"")</f>
        <v/>
      </c>
    </row>
    <row r="686" customFormat="false" ht="15" hidden="false" customHeight="false" outlineLevel="0" collapsed="false">
      <c r="A686" s="55"/>
      <c r="B686" s="56"/>
      <c r="C686" s="56"/>
      <c r="D686" s="56"/>
      <c r="E686" s="57"/>
      <c r="F686" s="58"/>
      <c r="G686" s="59"/>
      <c r="H686" s="56"/>
      <c r="I686" s="60" t="str">
        <f aca="false">IF(IsPro,IF($D686="","",IFERROR(INDEX(Items!$D$5:$D$504,Q686),"")),IF($D686="","","PRO PLAN"))</f>
        <v/>
      </c>
      <c r="J686" s="61" t="str">
        <f aca="false">IF(IsPro,IF($D686="","",IF($F686="",IFERROR(INDEX(Items!$G$5:$G$504,Q686),0),$F686)),"")</f>
        <v/>
      </c>
      <c r="K686" s="61" t="str">
        <f aca="false">IF(IsPro,IF($D686="","",ROUND(N($E686)*J686*(1-N($G686)),2)),"")</f>
        <v/>
      </c>
      <c r="L686" s="62" t="str">
        <f aca="false">IF(IsPro,IF($D686="","",IFERROR(INDEX(Items!$F$5:$F$504,Q686),0)),"")</f>
        <v/>
      </c>
      <c r="M686" s="61" t="str">
        <f aca="false">IF(IsPro,IF($D686="","",IF(AND(R686&lt;&gt;"",INDEX(Parties!$E$5:$E$304,R686)&lt;&gt;"",INDEX(Parties!$E$5:$E$304,R686)&lt;&gt;HomeState),0,ROUND(K686*L686/2,2))),"")</f>
        <v/>
      </c>
      <c r="N686" s="61" t="str">
        <f aca="false">IF(IsPro,IF($D686="","",M686),"")</f>
        <v/>
      </c>
      <c r="O686" s="61" t="str">
        <f aca="false">IF(IsPro,IF($D686="","",IF(AND(R686&lt;&gt;"",INDEX(Parties!$E$5:$E$304,R686)&lt;&gt;"",INDEX(Parties!$E$5:$E$304,R686)&lt;&gt;HomeState),ROUND(K686*L686,2),0)),"")</f>
        <v/>
      </c>
      <c r="P686" s="61" t="str">
        <f aca="false">IF(IsPro,IF($D686="","",K686+M686+N686+O686),"")</f>
        <v/>
      </c>
      <c r="Q686" s="60" t="str">
        <f aca="false">IF(IsPro,IF($D686="","",IFERROR(MATCH($D686,Items!$A$5:$A$504,0),"")),"")</f>
        <v/>
      </c>
      <c r="R686" s="60" t="str">
        <f aca="false">IF(IsPro,IF($C686="","",IFERROR(MATCH($C686,Parties!$A$5:$A$304,0),"")),"")</f>
        <v/>
      </c>
      <c r="S686" s="61" t="str">
        <f aca="false">IF(IsPro,IF($D686="","",IF(OR($H686="",$H686="Credit"),0,P686)),"")</f>
        <v/>
      </c>
    </row>
    <row r="687" customFormat="false" ht="15" hidden="false" customHeight="false" outlineLevel="0" collapsed="false">
      <c r="A687" s="55"/>
      <c r="B687" s="56"/>
      <c r="C687" s="56"/>
      <c r="D687" s="56"/>
      <c r="E687" s="57"/>
      <c r="F687" s="58"/>
      <c r="G687" s="59"/>
      <c r="H687" s="56"/>
      <c r="I687" s="60" t="str">
        <f aca="false">IF(IsPro,IF($D687="","",IFERROR(INDEX(Items!$D$5:$D$504,Q687),"")),IF($D687="","","PRO PLAN"))</f>
        <v/>
      </c>
      <c r="J687" s="61" t="str">
        <f aca="false">IF(IsPro,IF($D687="","",IF($F687="",IFERROR(INDEX(Items!$G$5:$G$504,Q687),0),$F687)),"")</f>
        <v/>
      </c>
      <c r="K687" s="61" t="str">
        <f aca="false">IF(IsPro,IF($D687="","",ROUND(N($E687)*J687*(1-N($G687)),2)),"")</f>
        <v/>
      </c>
      <c r="L687" s="62" t="str">
        <f aca="false">IF(IsPro,IF($D687="","",IFERROR(INDEX(Items!$F$5:$F$504,Q687),0)),"")</f>
        <v/>
      </c>
      <c r="M687" s="61" t="str">
        <f aca="false">IF(IsPro,IF($D687="","",IF(AND(R687&lt;&gt;"",INDEX(Parties!$E$5:$E$304,R687)&lt;&gt;"",INDEX(Parties!$E$5:$E$304,R687)&lt;&gt;HomeState),0,ROUND(K687*L687/2,2))),"")</f>
        <v/>
      </c>
      <c r="N687" s="61" t="str">
        <f aca="false">IF(IsPro,IF($D687="","",M687),"")</f>
        <v/>
      </c>
      <c r="O687" s="61" t="str">
        <f aca="false">IF(IsPro,IF($D687="","",IF(AND(R687&lt;&gt;"",INDEX(Parties!$E$5:$E$304,R687)&lt;&gt;"",INDEX(Parties!$E$5:$E$304,R687)&lt;&gt;HomeState),ROUND(K687*L687,2),0)),"")</f>
        <v/>
      </c>
      <c r="P687" s="61" t="str">
        <f aca="false">IF(IsPro,IF($D687="","",K687+M687+N687+O687),"")</f>
        <v/>
      </c>
      <c r="Q687" s="60" t="str">
        <f aca="false">IF(IsPro,IF($D687="","",IFERROR(MATCH($D687,Items!$A$5:$A$504,0),"")),"")</f>
        <v/>
      </c>
      <c r="R687" s="60" t="str">
        <f aca="false">IF(IsPro,IF($C687="","",IFERROR(MATCH($C687,Parties!$A$5:$A$304,0),"")),"")</f>
        <v/>
      </c>
      <c r="S687" s="61" t="str">
        <f aca="false">IF(IsPro,IF($D687="","",IF(OR($H687="",$H687="Credit"),0,P687)),"")</f>
        <v/>
      </c>
    </row>
    <row r="688" customFormat="false" ht="15" hidden="false" customHeight="false" outlineLevel="0" collapsed="false">
      <c r="A688" s="55"/>
      <c r="B688" s="56"/>
      <c r="C688" s="56"/>
      <c r="D688" s="56"/>
      <c r="E688" s="57"/>
      <c r="F688" s="58"/>
      <c r="G688" s="59"/>
      <c r="H688" s="56"/>
      <c r="I688" s="60" t="str">
        <f aca="false">IF(IsPro,IF($D688="","",IFERROR(INDEX(Items!$D$5:$D$504,Q688),"")),IF($D688="","","PRO PLAN"))</f>
        <v/>
      </c>
      <c r="J688" s="61" t="str">
        <f aca="false">IF(IsPro,IF($D688="","",IF($F688="",IFERROR(INDEX(Items!$G$5:$G$504,Q688),0),$F688)),"")</f>
        <v/>
      </c>
      <c r="K688" s="61" t="str">
        <f aca="false">IF(IsPro,IF($D688="","",ROUND(N($E688)*J688*(1-N($G688)),2)),"")</f>
        <v/>
      </c>
      <c r="L688" s="62" t="str">
        <f aca="false">IF(IsPro,IF($D688="","",IFERROR(INDEX(Items!$F$5:$F$504,Q688),0)),"")</f>
        <v/>
      </c>
      <c r="M688" s="61" t="str">
        <f aca="false">IF(IsPro,IF($D688="","",IF(AND(R688&lt;&gt;"",INDEX(Parties!$E$5:$E$304,R688)&lt;&gt;"",INDEX(Parties!$E$5:$E$304,R688)&lt;&gt;HomeState),0,ROUND(K688*L688/2,2))),"")</f>
        <v/>
      </c>
      <c r="N688" s="61" t="str">
        <f aca="false">IF(IsPro,IF($D688="","",M688),"")</f>
        <v/>
      </c>
      <c r="O688" s="61" t="str">
        <f aca="false">IF(IsPro,IF($D688="","",IF(AND(R688&lt;&gt;"",INDEX(Parties!$E$5:$E$304,R688)&lt;&gt;"",INDEX(Parties!$E$5:$E$304,R688)&lt;&gt;HomeState),ROUND(K688*L688,2),0)),"")</f>
        <v/>
      </c>
      <c r="P688" s="61" t="str">
        <f aca="false">IF(IsPro,IF($D688="","",K688+M688+N688+O688),"")</f>
        <v/>
      </c>
      <c r="Q688" s="60" t="str">
        <f aca="false">IF(IsPro,IF($D688="","",IFERROR(MATCH($D688,Items!$A$5:$A$504,0),"")),"")</f>
        <v/>
      </c>
      <c r="R688" s="60" t="str">
        <f aca="false">IF(IsPro,IF($C688="","",IFERROR(MATCH($C688,Parties!$A$5:$A$304,0),"")),"")</f>
        <v/>
      </c>
      <c r="S688" s="61" t="str">
        <f aca="false">IF(IsPro,IF($D688="","",IF(OR($H688="",$H688="Credit"),0,P688)),"")</f>
        <v/>
      </c>
    </row>
    <row r="689" customFormat="false" ht="15" hidden="false" customHeight="false" outlineLevel="0" collapsed="false">
      <c r="A689" s="55"/>
      <c r="B689" s="56"/>
      <c r="C689" s="56"/>
      <c r="D689" s="56"/>
      <c r="E689" s="57"/>
      <c r="F689" s="58"/>
      <c r="G689" s="59"/>
      <c r="H689" s="56"/>
      <c r="I689" s="60" t="str">
        <f aca="false">IF(IsPro,IF($D689="","",IFERROR(INDEX(Items!$D$5:$D$504,Q689),"")),IF($D689="","","PRO PLAN"))</f>
        <v/>
      </c>
      <c r="J689" s="61" t="str">
        <f aca="false">IF(IsPro,IF($D689="","",IF($F689="",IFERROR(INDEX(Items!$G$5:$G$504,Q689),0),$F689)),"")</f>
        <v/>
      </c>
      <c r="K689" s="61" t="str">
        <f aca="false">IF(IsPro,IF($D689="","",ROUND(N($E689)*J689*(1-N($G689)),2)),"")</f>
        <v/>
      </c>
      <c r="L689" s="62" t="str">
        <f aca="false">IF(IsPro,IF($D689="","",IFERROR(INDEX(Items!$F$5:$F$504,Q689),0)),"")</f>
        <v/>
      </c>
      <c r="M689" s="61" t="str">
        <f aca="false">IF(IsPro,IF($D689="","",IF(AND(R689&lt;&gt;"",INDEX(Parties!$E$5:$E$304,R689)&lt;&gt;"",INDEX(Parties!$E$5:$E$304,R689)&lt;&gt;HomeState),0,ROUND(K689*L689/2,2))),"")</f>
        <v/>
      </c>
      <c r="N689" s="61" t="str">
        <f aca="false">IF(IsPro,IF($D689="","",M689),"")</f>
        <v/>
      </c>
      <c r="O689" s="61" t="str">
        <f aca="false">IF(IsPro,IF($D689="","",IF(AND(R689&lt;&gt;"",INDEX(Parties!$E$5:$E$304,R689)&lt;&gt;"",INDEX(Parties!$E$5:$E$304,R689)&lt;&gt;HomeState),ROUND(K689*L689,2),0)),"")</f>
        <v/>
      </c>
      <c r="P689" s="61" t="str">
        <f aca="false">IF(IsPro,IF($D689="","",K689+M689+N689+O689),"")</f>
        <v/>
      </c>
      <c r="Q689" s="60" t="str">
        <f aca="false">IF(IsPro,IF($D689="","",IFERROR(MATCH($D689,Items!$A$5:$A$504,0),"")),"")</f>
        <v/>
      </c>
      <c r="R689" s="60" t="str">
        <f aca="false">IF(IsPro,IF($C689="","",IFERROR(MATCH($C689,Parties!$A$5:$A$304,0),"")),"")</f>
        <v/>
      </c>
      <c r="S689" s="61" t="str">
        <f aca="false">IF(IsPro,IF($D689="","",IF(OR($H689="",$H689="Credit"),0,P689)),"")</f>
        <v/>
      </c>
    </row>
    <row r="690" customFormat="false" ht="15" hidden="false" customHeight="false" outlineLevel="0" collapsed="false">
      <c r="A690" s="55"/>
      <c r="B690" s="56"/>
      <c r="C690" s="56"/>
      <c r="D690" s="56"/>
      <c r="E690" s="57"/>
      <c r="F690" s="58"/>
      <c r="G690" s="59"/>
      <c r="H690" s="56"/>
      <c r="I690" s="60" t="str">
        <f aca="false">IF(IsPro,IF($D690="","",IFERROR(INDEX(Items!$D$5:$D$504,Q690),"")),IF($D690="","","PRO PLAN"))</f>
        <v/>
      </c>
      <c r="J690" s="61" t="str">
        <f aca="false">IF(IsPro,IF($D690="","",IF($F690="",IFERROR(INDEX(Items!$G$5:$G$504,Q690),0),$F690)),"")</f>
        <v/>
      </c>
      <c r="K690" s="61" t="str">
        <f aca="false">IF(IsPro,IF($D690="","",ROUND(N($E690)*J690*(1-N($G690)),2)),"")</f>
        <v/>
      </c>
      <c r="L690" s="62" t="str">
        <f aca="false">IF(IsPro,IF($D690="","",IFERROR(INDEX(Items!$F$5:$F$504,Q690),0)),"")</f>
        <v/>
      </c>
      <c r="M690" s="61" t="str">
        <f aca="false">IF(IsPro,IF($D690="","",IF(AND(R690&lt;&gt;"",INDEX(Parties!$E$5:$E$304,R690)&lt;&gt;"",INDEX(Parties!$E$5:$E$304,R690)&lt;&gt;HomeState),0,ROUND(K690*L690/2,2))),"")</f>
        <v/>
      </c>
      <c r="N690" s="61" t="str">
        <f aca="false">IF(IsPro,IF($D690="","",M690),"")</f>
        <v/>
      </c>
      <c r="O690" s="61" t="str">
        <f aca="false">IF(IsPro,IF($D690="","",IF(AND(R690&lt;&gt;"",INDEX(Parties!$E$5:$E$304,R690)&lt;&gt;"",INDEX(Parties!$E$5:$E$304,R690)&lt;&gt;HomeState),ROUND(K690*L690,2),0)),"")</f>
        <v/>
      </c>
      <c r="P690" s="61" t="str">
        <f aca="false">IF(IsPro,IF($D690="","",K690+M690+N690+O690),"")</f>
        <v/>
      </c>
      <c r="Q690" s="60" t="str">
        <f aca="false">IF(IsPro,IF($D690="","",IFERROR(MATCH($D690,Items!$A$5:$A$504,0),"")),"")</f>
        <v/>
      </c>
      <c r="R690" s="60" t="str">
        <f aca="false">IF(IsPro,IF($C690="","",IFERROR(MATCH($C690,Parties!$A$5:$A$304,0),"")),"")</f>
        <v/>
      </c>
      <c r="S690" s="61" t="str">
        <f aca="false">IF(IsPro,IF($D690="","",IF(OR($H690="",$H690="Credit"),0,P690)),"")</f>
        <v/>
      </c>
    </row>
    <row r="691" customFormat="false" ht="15" hidden="false" customHeight="false" outlineLevel="0" collapsed="false">
      <c r="A691" s="55"/>
      <c r="B691" s="56"/>
      <c r="C691" s="56"/>
      <c r="D691" s="56"/>
      <c r="E691" s="57"/>
      <c r="F691" s="58"/>
      <c r="G691" s="59"/>
      <c r="H691" s="56"/>
      <c r="I691" s="60" t="str">
        <f aca="false">IF(IsPro,IF($D691="","",IFERROR(INDEX(Items!$D$5:$D$504,Q691),"")),IF($D691="","","PRO PLAN"))</f>
        <v/>
      </c>
      <c r="J691" s="61" t="str">
        <f aca="false">IF(IsPro,IF($D691="","",IF($F691="",IFERROR(INDEX(Items!$G$5:$G$504,Q691),0),$F691)),"")</f>
        <v/>
      </c>
      <c r="K691" s="61" t="str">
        <f aca="false">IF(IsPro,IF($D691="","",ROUND(N($E691)*J691*(1-N($G691)),2)),"")</f>
        <v/>
      </c>
      <c r="L691" s="62" t="str">
        <f aca="false">IF(IsPro,IF($D691="","",IFERROR(INDEX(Items!$F$5:$F$504,Q691),0)),"")</f>
        <v/>
      </c>
      <c r="M691" s="61" t="str">
        <f aca="false">IF(IsPro,IF($D691="","",IF(AND(R691&lt;&gt;"",INDEX(Parties!$E$5:$E$304,R691)&lt;&gt;"",INDEX(Parties!$E$5:$E$304,R691)&lt;&gt;HomeState),0,ROUND(K691*L691/2,2))),"")</f>
        <v/>
      </c>
      <c r="N691" s="61" t="str">
        <f aca="false">IF(IsPro,IF($D691="","",M691),"")</f>
        <v/>
      </c>
      <c r="O691" s="61" t="str">
        <f aca="false">IF(IsPro,IF($D691="","",IF(AND(R691&lt;&gt;"",INDEX(Parties!$E$5:$E$304,R691)&lt;&gt;"",INDEX(Parties!$E$5:$E$304,R691)&lt;&gt;HomeState),ROUND(K691*L691,2),0)),"")</f>
        <v/>
      </c>
      <c r="P691" s="61" t="str">
        <f aca="false">IF(IsPro,IF($D691="","",K691+M691+N691+O691),"")</f>
        <v/>
      </c>
      <c r="Q691" s="60" t="str">
        <f aca="false">IF(IsPro,IF($D691="","",IFERROR(MATCH($D691,Items!$A$5:$A$504,0),"")),"")</f>
        <v/>
      </c>
      <c r="R691" s="60" t="str">
        <f aca="false">IF(IsPro,IF($C691="","",IFERROR(MATCH($C691,Parties!$A$5:$A$304,0),"")),"")</f>
        <v/>
      </c>
      <c r="S691" s="61" t="str">
        <f aca="false">IF(IsPro,IF($D691="","",IF(OR($H691="",$H691="Credit"),0,P691)),"")</f>
        <v/>
      </c>
    </row>
    <row r="692" customFormat="false" ht="15" hidden="false" customHeight="false" outlineLevel="0" collapsed="false">
      <c r="A692" s="55"/>
      <c r="B692" s="56"/>
      <c r="C692" s="56"/>
      <c r="D692" s="56"/>
      <c r="E692" s="57"/>
      <c r="F692" s="58"/>
      <c r="G692" s="59"/>
      <c r="H692" s="56"/>
      <c r="I692" s="60" t="str">
        <f aca="false">IF(IsPro,IF($D692="","",IFERROR(INDEX(Items!$D$5:$D$504,Q692),"")),IF($D692="","","PRO PLAN"))</f>
        <v/>
      </c>
      <c r="J692" s="61" t="str">
        <f aca="false">IF(IsPro,IF($D692="","",IF($F692="",IFERROR(INDEX(Items!$G$5:$G$504,Q692),0),$F692)),"")</f>
        <v/>
      </c>
      <c r="K692" s="61" t="str">
        <f aca="false">IF(IsPro,IF($D692="","",ROUND(N($E692)*J692*(1-N($G692)),2)),"")</f>
        <v/>
      </c>
      <c r="L692" s="62" t="str">
        <f aca="false">IF(IsPro,IF($D692="","",IFERROR(INDEX(Items!$F$5:$F$504,Q692),0)),"")</f>
        <v/>
      </c>
      <c r="M692" s="61" t="str">
        <f aca="false">IF(IsPro,IF($D692="","",IF(AND(R692&lt;&gt;"",INDEX(Parties!$E$5:$E$304,R692)&lt;&gt;"",INDEX(Parties!$E$5:$E$304,R692)&lt;&gt;HomeState),0,ROUND(K692*L692/2,2))),"")</f>
        <v/>
      </c>
      <c r="N692" s="61" t="str">
        <f aca="false">IF(IsPro,IF($D692="","",M692),"")</f>
        <v/>
      </c>
      <c r="O692" s="61" t="str">
        <f aca="false">IF(IsPro,IF($D692="","",IF(AND(R692&lt;&gt;"",INDEX(Parties!$E$5:$E$304,R692)&lt;&gt;"",INDEX(Parties!$E$5:$E$304,R692)&lt;&gt;HomeState),ROUND(K692*L692,2),0)),"")</f>
        <v/>
      </c>
      <c r="P692" s="61" t="str">
        <f aca="false">IF(IsPro,IF($D692="","",K692+M692+N692+O692),"")</f>
        <v/>
      </c>
      <c r="Q692" s="60" t="str">
        <f aca="false">IF(IsPro,IF($D692="","",IFERROR(MATCH($D692,Items!$A$5:$A$504,0),"")),"")</f>
        <v/>
      </c>
      <c r="R692" s="60" t="str">
        <f aca="false">IF(IsPro,IF($C692="","",IFERROR(MATCH($C692,Parties!$A$5:$A$304,0),"")),"")</f>
        <v/>
      </c>
      <c r="S692" s="61" t="str">
        <f aca="false">IF(IsPro,IF($D692="","",IF(OR($H692="",$H692="Credit"),0,P692)),"")</f>
        <v/>
      </c>
    </row>
    <row r="693" customFormat="false" ht="15" hidden="false" customHeight="false" outlineLevel="0" collapsed="false">
      <c r="A693" s="55"/>
      <c r="B693" s="56"/>
      <c r="C693" s="56"/>
      <c r="D693" s="56"/>
      <c r="E693" s="57"/>
      <c r="F693" s="58"/>
      <c r="G693" s="59"/>
      <c r="H693" s="56"/>
      <c r="I693" s="60" t="str">
        <f aca="false">IF(IsPro,IF($D693="","",IFERROR(INDEX(Items!$D$5:$D$504,Q693),"")),IF($D693="","","PRO PLAN"))</f>
        <v/>
      </c>
      <c r="J693" s="61" t="str">
        <f aca="false">IF(IsPro,IF($D693="","",IF($F693="",IFERROR(INDEX(Items!$G$5:$G$504,Q693),0),$F693)),"")</f>
        <v/>
      </c>
      <c r="K693" s="61" t="str">
        <f aca="false">IF(IsPro,IF($D693="","",ROUND(N($E693)*J693*(1-N($G693)),2)),"")</f>
        <v/>
      </c>
      <c r="L693" s="62" t="str">
        <f aca="false">IF(IsPro,IF($D693="","",IFERROR(INDEX(Items!$F$5:$F$504,Q693),0)),"")</f>
        <v/>
      </c>
      <c r="M693" s="61" t="str">
        <f aca="false">IF(IsPro,IF($D693="","",IF(AND(R693&lt;&gt;"",INDEX(Parties!$E$5:$E$304,R693)&lt;&gt;"",INDEX(Parties!$E$5:$E$304,R693)&lt;&gt;HomeState),0,ROUND(K693*L693/2,2))),"")</f>
        <v/>
      </c>
      <c r="N693" s="61" t="str">
        <f aca="false">IF(IsPro,IF($D693="","",M693),"")</f>
        <v/>
      </c>
      <c r="O693" s="61" t="str">
        <f aca="false">IF(IsPro,IF($D693="","",IF(AND(R693&lt;&gt;"",INDEX(Parties!$E$5:$E$304,R693)&lt;&gt;"",INDEX(Parties!$E$5:$E$304,R693)&lt;&gt;HomeState),ROUND(K693*L693,2),0)),"")</f>
        <v/>
      </c>
      <c r="P693" s="61" t="str">
        <f aca="false">IF(IsPro,IF($D693="","",K693+M693+N693+O693),"")</f>
        <v/>
      </c>
      <c r="Q693" s="60" t="str">
        <f aca="false">IF(IsPro,IF($D693="","",IFERROR(MATCH($D693,Items!$A$5:$A$504,0),"")),"")</f>
        <v/>
      </c>
      <c r="R693" s="60" t="str">
        <f aca="false">IF(IsPro,IF($C693="","",IFERROR(MATCH($C693,Parties!$A$5:$A$304,0),"")),"")</f>
        <v/>
      </c>
      <c r="S693" s="61" t="str">
        <f aca="false">IF(IsPro,IF($D693="","",IF(OR($H693="",$H693="Credit"),0,P693)),"")</f>
        <v/>
      </c>
    </row>
    <row r="694" customFormat="false" ht="15" hidden="false" customHeight="false" outlineLevel="0" collapsed="false">
      <c r="A694" s="55"/>
      <c r="B694" s="56"/>
      <c r="C694" s="56"/>
      <c r="D694" s="56"/>
      <c r="E694" s="57"/>
      <c r="F694" s="58"/>
      <c r="G694" s="59"/>
      <c r="H694" s="56"/>
      <c r="I694" s="60" t="str">
        <f aca="false">IF(IsPro,IF($D694="","",IFERROR(INDEX(Items!$D$5:$D$504,Q694),"")),IF($D694="","","PRO PLAN"))</f>
        <v/>
      </c>
      <c r="J694" s="61" t="str">
        <f aca="false">IF(IsPro,IF($D694="","",IF($F694="",IFERROR(INDEX(Items!$G$5:$G$504,Q694),0),$F694)),"")</f>
        <v/>
      </c>
      <c r="K694" s="61" t="str">
        <f aca="false">IF(IsPro,IF($D694="","",ROUND(N($E694)*J694*(1-N($G694)),2)),"")</f>
        <v/>
      </c>
      <c r="L694" s="62" t="str">
        <f aca="false">IF(IsPro,IF($D694="","",IFERROR(INDEX(Items!$F$5:$F$504,Q694),0)),"")</f>
        <v/>
      </c>
      <c r="M694" s="61" t="str">
        <f aca="false">IF(IsPro,IF($D694="","",IF(AND(R694&lt;&gt;"",INDEX(Parties!$E$5:$E$304,R694)&lt;&gt;"",INDEX(Parties!$E$5:$E$304,R694)&lt;&gt;HomeState),0,ROUND(K694*L694/2,2))),"")</f>
        <v/>
      </c>
      <c r="N694" s="61" t="str">
        <f aca="false">IF(IsPro,IF($D694="","",M694),"")</f>
        <v/>
      </c>
      <c r="O694" s="61" t="str">
        <f aca="false">IF(IsPro,IF($D694="","",IF(AND(R694&lt;&gt;"",INDEX(Parties!$E$5:$E$304,R694)&lt;&gt;"",INDEX(Parties!$E$5:$E$304,R694)&lt;&gt;HomeState),ROUND(K694*L694,2),0)),"")</f>
        <v/>
      </c>
      <c r="P694" s="61" t="str">
        <f aca="false">IF(IsPro,IF($D694="","",K694+M694+N694+O694),"")</f>
        <v/>
      </c>
      <c r="Q694" s="60" t="str">
        <f aca="false">IF(IsPro,IF($D694="","",IFERROR(MATCH($D694,Items!$A$5:$A$504,0),"")),"")</f>
        <v/>
      </c>
      <c r="R694" s="60" t="str">
        <f aca="false">IF(IsPro,IF($C694="","",IFERROR(MATCH($C694,Parties!$A$5:$A$304,0),"")),"")</f>
        <v/>
      </c>
      <c r="S694" s="61" t="str">
        <f aca="false">IF(IsPro,IF($D694="","",IF(OR($H694="",$H694="Credit"),0,P694)),"")</f>
        <v/>
      </c>
    </row>
    <row r="695" customFormat="false" ht="15" hidden="false" customHeight="false" outlineLevel="0" collapsed="false">
      <c r="A695" s="55"/>
      <c r="B695" s="56"/>
      <c r="C695" s="56"/>
      <c r="D695" s="56"/>
      <c r="E695" s="57"/>
      <c r="F695" s="58"/>
      <c r="G695" s="59"/>
      <c r="H695" s="56"/>
      <c r="I695" s="60" t="str">
        <f aca="false">IF(IsPro,IF($D695="","",IFERROR(INDEX(Items!$D$5:$D$504,Q695),"")),IF($D695="","","PRO PLAN"))</f>
        <v/>
      </c>
      <c r="J695" s="61" t="str">
        <f aca="false">IF(IsPro,IF($D695="","",IF($F695="",IFERROR(INDEX(Items!$G$5:$G$504,Q695),0),$F695)),"")</f>
        <v/>
      </c>
      <c r="K695" s="61" t="str">
        <f aca="false">IF(IsPro,IF($D695="","",ROUND(N($E695)*J695*(1-N($G695)),2)),"")</f>
        <v/>
      </c>
      <c r="L695" s="62" t="str">
        <f aca="false">IF(IsPro,IF($D695="","",IFERROR(INDEX(Items!$F$5:$F$504,Q695),0)),"")</f>
        <v/>
      </c>
      <c r="M695" s="61" t="str">
        <f aca="false">IF(IsPro,IF($D695="","",IF(AND(R695&lt;&gt;"",INDEX(Parties!$E$5:$E$304,R695)&lt;&gt;"",INDEX(Parties!$E$5:$E$304,R695)&lt;&gt;HomeState),0,ROUND(K695*L695/2,2))),"")</f>
        <v/>
      </c>
      <c r="N695" s="61" t="str">
        <f aca="false">IF(IsPro,IF($D695="","",M695),"")</f>
        <v/>
      </c>
      <c r="O695" s="61" t="str">
        <f aca="false">IF(IsPro,IF($D695="","",IF(AND(R695&lt;&gt;"",INDEX(Parties!$E$5:$E$304,R695)&lt;&gt;"",INDEX(Parties!$E$5:$E$304,R695)&lt;&gt;HomeState),ROUND(K695*L695,2),0)),"")</f>
        <v/>
      </c>
      <c r="P695" s="61" t="str">
        <f aca="false">IF(IsPro,IF($D695="","",K695+M695+N695+O695),"")</f>
        <v/>
      </c>
      <c r="Q695" s="60" t="str">
        <f aca="false">IF(IsPro,IF($D695="","",IFERROR(MATCH($D695,Items!$A$5:$A$504,0),"")),"")</f>
        <v/>
      </c>
      <c r="R695" s="60" t="str">
        <f aca="false">IF(IsPro,IF($C695="","",IFERROR(MATCH($C695,Parties!$A$5:$A$304,0),"")),"")</f>
        <v/>
      </c>
      <c r="S695" s="61" t="str">
        <f aca="false">IF(IsPro,IF($D695="","",IF(OR($H695="",$H695="Credit"),0,P695)),"")</f>
        <v/>
      </c>
    </row>
    <row r="696" customFormat="false" ht="15" hidden="false" customHeight="false" outlineLevel="0" collapsed="false">
      <c r="A696" s="55"/>
      <c r="B696" s="56"/>
      <c r="C696" s="56"/>
      <c r="D696" s="56"/>
      <c r="E696" s="57"/>
      <c r="F696" s="58"/>
      <c r="G696" s="59"/>
      <c r="H696" s="56"/>
      <c r="I696" s="60" t="str">
        <f aca="false">IF(IsPro,IF($D696="","",IFERROR(INDEX(Items!$D$5:$D$504,Q696),"")),IF($D696="","","PRO PLAN"))</f>
        <v/>
      </c>
      <c r="J696" s="61" t="str">
        <f aca="false">IF(IsPro,IF($D696="","",IF($F696="",IFERROR(INDEX(Items!$G$5:$G$504,Q696),0),$F696)),"")</f>
        <v/>
      </c>
      <c r="K696" s="61" t="str">
        <f aca="false">IF(IsPro,IF($D696="","",ROUND(N($E696)*J696*(1-N($G696)),2)),"")</f>
        <v/>
      </c>
      <c r="L696" s="62" t="str">
        <f aca="false">IF(IsPro,IF($D696="","",IFERROR(INDEX(Items!$F$5:$F$504,Q696),0)),"")</f>
        <v/>
      </c>
      <c r="M696" s="61" t="str">
        <f aca="false">IF(IsPro,IF($D696="","",IF(AND(R696&lt;&gt;"",INDEX(Parties!$E$5:$E$304,R696)&lt;&gt;"",INDEX(Parties!$E$5:$E$304,R696)&lt;&gt;HomeState),0,ROUND(K696*L696/2,2))),"")</f>
        <v/>
      </c>
      <c r="N696" s="61" t="str">
        <f aca="false">IF(IsPro,IF($D696="","",M696),"")</f>
        <v/>
      </c>
      <c r="O696" s="61" t="str">
        <f aca="false">IF(IsPro,IF($D696="","",IF(AND(R696&lt;&gt;"",INDEX(Parties!$E$5:$E$304,R696)&lt;&gt;"",INDEX(Parties!$E$5:$E$304,R696)&lt;&gt;HomeState),ROUND(K696*L696,2),0)),"")</f>
        <v/>
      </c>
      <c r="P696" s="61" t="str">
        <f aca="false">IF(IsPro,IF($D696="","",K696+M696+N696+O696),"")</f>
        <v/>
      </c>
      <c r="Q696" s="60" t="str">
        <f aca="false">IF(IsPro,IF($D696="","",IFERROR(MATCH($D696,Items!$A$5:$A$504,0),"")),"")</f>
        <v/>
      </c>
      <c r="R696" s="60" t="str">
        <f aca="false">IF(IsPro,IF($C696="","",IFERROR(MATCH($C696,Parties!$A$5:$A$304,0),"")),"")</f>
        <v/>
      </c>
      <c r="S696" s="61" t="str">
        <f aca="false">IF(IsPro,IF($D696="","",IF(OR($H696="",$H696="Credit"),0,P696)),"")</f>
        <v/>
      </c>
    </row>
    <row r="697" customFormat="false" ht="15" hidden="false" customHeight="false" outlineLevel="0" collapsed="false">
      <c r="A697" s="55"/>
      <c r="B697" s="56"/>
      <c r="C697" s="56"/>
      <c r="D697" s="56"/>
      <c r="E697" s="57"/>
      <c r="F697" s="58"/>
      <c r="G697" s="59"/>
      <c r="H697" s="56"/>
      <c r="I697" s="60" t="str">
        <f aca="false">IF(IsPro,IF($D697="","",IFERROR(INDEX(Items!$D$5:$D$504,Q697),"")),IF($D697="","","PRO PLAN"))</f>
        <v/>
      </c>
      <c r="J697" s="61" t="str">
        <f aca="false">IF(IsPro,IF($D697="","",IF($F697="",IFERROR(INDEX(Items!$G$5:$G$504,Q697),0),$F697)),"")</f>
        <v/>
      </c>
      <c r="K697" s="61" t="str">
        <f aca="false">IF(IsPro,IF($D697="","",ROUND(N($E697)*J697*(1-N($G697)),2)),"")</f>
        <v/>
      </c>
      <c r="L697" s="62" t="str">
        <f aca="false">IF(IsPro,IF($D697="","",IFERROR(INDEX(Items!$F$5:$F$504,Q697),0)),"")</f>
        <v/>
      </c>
      <c r="M697" s="61" t="str">
        <f aca="false">IF(IsPro,IF($D697="","",IF(AND(R697&lt;&gt;"",INDEX(Parties!$E$5:$E$304,R697)&lt;&gt;"",INDEX(Parties!$E$5:$E$304,R697)&lt;&gt;HomeState),0,ROUND(K697*L697/2,2))),"")</f>
        <v/>
      </c>
      <c r="N697" s="61" t="str">
        <f aca="false">IF(IsPro,IF($D697="","",M697),"")</f>
        <v/>
      </c>
      <c r="O697" s="61" t="str">
        <f aca="false">IF(IsPro,IF($D697="","",IF(AND(R697&lt;&gt;"",INDEX(Parties!$E$5:$E$304,R697)&lt;&gt;"",INDEX(Parties!$E$5:$E$304,R697)&lt;&gt;HomeState),ROUND(K697*L697,2),0)),"")</f>
        <v/>
      </c>
      <c r="P697" s="61" t="str">
        <f aca="false">IF(IsPro,IF($D697="","",K697+M697+N697+O697),"")</f>
        <v/>
      </c>
      <c r="Q697" s="60" t="str">
        <f aca="false">IF(IsPro,IF($D697="","",IFERROR(MATCH($D697,Items!$A$5:$A$504,0),"")),"")</f>
        <v/>
      </c>
      <c r="R697" s="60" t="str">
        <f aca="false">IF(IsPro,IF($C697="","",IFERROR(MATCH($C697,Parties!$A$5:$A$304,0),"")),"")</f>
        <v/>
      </c>
      <c r="S697" s="61" t="str">
        <f aca="false">IF(IsPro,IF($D697="","",IF(OR($H697="",$H697="Credit"),0,P697)),"")</f>
        <v/>
      </c>
    </row>
    <row r="698" customFormat="false" ht="15" hidden="false" customHeight="false" outlineLevel="0" collapsed="false">
      <c r="A698" s="55"/>
      <c r="B698" s="56"/>
      <c r="C698" s="56"/>
      <c r="D698" s="56"/>
      <c r="E698" s="57"/>
      <c r="F698" s="58"/>
      <c r="G698" s="59"/>
      <c r="H698" s="56"/>
      <c r="I698" s="60" t="str">
        <f aca="false">IF(IsPro,IF($D698="","",IFERROR(INDEX(Items!$D$5:$D$504,Q698),"")),IF($D698="","","PRO PLAN"))</f>
        <v/>
      </c>
      <c r="J698" s="61" t="str">
        <f aca="false">IF(IsPro,IF($D698="","",IF($F698="",IFERROR(INDEX(Items!$G$5:$G$504,Q698),0),$F698)),"")</f>
        <v/>
      </c>
      <c r="K698" s="61" t="str">
        <f aca="false">IF(IsPro,IF($D698="","",ROUND(N($E698)*J698*(1-N($G698)),2)),"")</f>
        <v/>
      </c>
      <c r="L698" s="62" t="str">
        <f aca="false">IF(IsPro,IF($D698="","",IFERROR(INDEX(Items!$F$5:$F$504,Q698),0)),"")</f>
        <v/>
      </c>
      <c r="M698" s="61" t="str">
        <f aca="false">IF(IsPro,IF($D698="","",IF(AND(R698&lt;&gt;"",INDEX(Parties!$E$5:$E$304,R698)&lt;&gt;"",INDEX(Parties!$E$5:$E$304,R698)&lt;&gt;HomeState),0,ROUND(K698*L698/2,2))),"")</f>
        <v/>
      </c>
      <c r="N698" s="61" t="str">
        <f aca="false">IF(IsPro,IF($D698="","",M698),"")</f>
        <v/>
      </c>
      <c r="O698" s="61" t="str">
        <f aca="false">IF(IsPro,IF($D698="","",IF(AND(R698&lt;&gt;"",INDEX(Parties!$E$5:$E$304,R698)&lt;&gt;"",INDEX(Parties!$E$5:$E$304,R698)&lt;&gt;HomeState),ROUND(K698*L698,2),0)),"")</f>
        <v/>
      </c>
      <c r="P698" s="61" t="str">
        <f aca="false">IF(IsPro,IF($D698="","",K698+M698+N698+O698),"")</f>
        <v/>
      </c>
      <c r="Q698" s="60" t="str">
        <f aca="false">IF(IsPro,IF($D698="","",IFERROR(MATCH($D698,Items!$A$5:$A$504,0),"")),"")</f>
        <v/>
      </c>
      <c r="R698" s="60" t="str">
        <f aca="false">IF(IsPro,IF($C698="","",IFERROR(MATCH($C698,Parties!$A$5:$A$304,0),"")),"")</f>
        <v/>
      </c>
      <c r="S698" s="61" t="str">
        <f aca="false">IF(IsPro,IF($D698="","",IF(OR($H698="",$H698="Credit"),0,P698)),"")</f>
        <v/>
      </c>
    </row>
    <row r="699" customFormat="false" ht="15" hidden="false" customHeight="false" outlineLevel="0" collapsed="false">
      <c r="A699" s="55"/>
      <c r="B699" s="56"/>
      <c r="C699" s="56"/>
      <c r="D699" s="56"/>
      <c r="E699" s="57"/>
      <c r="F699" s="58"/>
      <c r="G699" s="59"/>
      <c r="H699" s="56"/>
      <c r="I699" s="60" t="str">
        <f aca="false">IF(IsPro,IF($D699="","",IFERROR(INDEX(Items!$D$5:$D$504,Q699),"")),IF($D699="","","PRO PLAN"))</f>
        <v/>
      </c>
      <c r="J699" s="61" t="str">
        <f aca="false">IF(IsPro,IF($D699="","",IF($F699="",IFERROR(INDEX(Items!$G$5:$G$504,Q699),0),$F699)),"")</f>
        <v/>
      </c>
      <c r="K699" s="61" t="str">
        <f aca="false">IF(IsPro,IF($D699="","",ROUND(N($E699)*J699*(1-N($G699)),2)),"")</f>
        <v/>
      </c>
      <c r="L699" s="62" t="str">
        <f aca="false">IF(IsPro,IF($D699="","",IFERROR(INDEX(Items!$F$5:$F$504,Q699),0)),"")</f>
        <v/>
      </c>
      <c r="M699" s="61" t="str">
        <f aca="false">IF(IsPro,IF($D699="","",IF(AND(R699&lt;&gt;"",INDEX(Parties!$E$5:$E$304,R699)&lt;&gt;"",INDEX(Parties!$E$5:$E$304,R699)&lt;&gt;HomeState),0,ROUND(K699*L699/2,2))),"")</f>
        <v/>
      </c>
      <c r="N699" s="61" t="str">
        <f aca="false">IF(IsPro,IF($D699="","",M699),"")</f>
        <v/>
      </c>
      <c r="O699" s="61" t="str">
        <f aca="false">IF(IsPro,IF($D699="","",IF(AND(R699&lt;&gt;"",INDEX(Parties!$E$5:$E$304,R699)&lt;&gt;"",INDEX(Parties!$E$5:$E$304,R699)&lt;&gt;HomeState),ROUND(K699*L699,2),0)),"")</f>
        <v/>
      </c>
      <c r="P699" s="61" t="str">
        <f aca="false">IF(IsPro,IF($D699="","",K699+M699+N699+O699),"")</f>
        <v/>
      </c>
      <c r="Q699" s="60" t="str">
        <f aca="false">IF(IsPro,IF($D699="","",IFERROR(MATCH($D699,Items!$A$5:$A$504,0),"")),"")</f>
        <v/>
      </c>
      <c r="R699" s="60" t="str">
        <f aca="false">IF(IsPro,IF($C699="","",IFERROR(MATCH($C699,Parties!$A$5:$A$304,0),"")),"")</f>
        <v/>
      </c>
      <c r="S699" s="61" t="str">
        <f aca="false">IF(IsPro,IF($D699="","",IF(OR($H699="",$H699="Credit"),0,P699)),"")</f>
        <v/>
      </c>
    </row>
    <row r="700" customFormat="false" ht="15" hidden="false" customHeight="false" outlineLevel="0" collapsed="false">
      <c r="A700" s="55"/>
      <c r="B700" s="56"/>
      <c r="C700" s="56"/>
      <c r="D700" s="56"/>
      <c r="E700" s="57"/>
      <c r="F700" s="58"/>
      <c r="G700" s="59"/>
      <c r="H700" s="56"/>
      <c r="I700" s="60" t="str">
        <f aca="false">IF(IsPro,IF($D700="","",IFERROR(INDEX(Items!$D$5:$D$504,Q700),"")),IF($D700="","","PRO PLAN"))</f>
        <v/>
      </c>
      <c r="J700" s="61" t="str">
        <f aca="false">IF(IsPro,IF($D700="","",IF($F700="",IFERROR(INDEX(Items!$G$5:$G$504,Q700),0),$F700)),"")</f>
        <v/>
      </c>
      <c r="K700" s="61" t="str">
        <f aca="false">IF(IsPro,IF($D700="","",ROUND(N($E700)*J700*(1-N($G700)),2)),"")</f>
        <v/>
      </c>
      <c r="L700" s="62" t="str">
        <f aca="false">IF(IsPro,IF($D700="","",IFERROR(INDEX(Items!$F$5:$F$504,Q700),0)),"")</f>
        <v/>
      </c>
      <c r="M700" s="61" t="str">
        <f aca="false">IF(IsPro,IF($D700="","",IF(AND(R700&lt;&gt;"",INDEX(Parties!$E$5:$E$304,R700)&lt;&gt;"",INDEX(Parties!$E$5:$E$304,R700)&lt;&gt;HomeState),0,ROUND(K700*L700/2,2))),"")</f>
        <v/>
      </c>
      <c r="N700" s="61" t="str">
        <f aca="false">IF(IsPro,IF($D700="","",M700),"")</f>
        <v/>
      </c>
      <c r="O700" s="61" t="str">
        <f aca="false">IF(IsPro,IF($D700="","",IF(AND(R700&lt;&gt;"",INDEX(Parties!$E$5:$E$304,R700)&lt;&gt;"",INDEX(Parties!$E$5:$E$304,R700)&lt;&gt;HomeState),ROUND(K700*L700,2),0)),"")</f>
        <v/>
      </c>
      <c r="P700" s="61" t="str">
        <f aca="false">IF(IsPro,IF($D700="","",K700+M700+N700+O700),"")</f>
        <v/>
      </c>
      <c r="Q700" s="60" t="str">
        <f aca="false">IF(IsPro,IF($D700="","",IFERROR(MATCH($D700,Items!$A$5:$A$504,0),"")),"")</f>
        <v/>
      </c>
      <c r="R700" s="60" t="str">
        <f aca="false">IF(IsPro,IF($C700="","",IFERROR(MATCH($C700,Parties!$A$5:$A$304,0),"")),"")</f>
        <v/>
      </c>
      <c r="S700" s="61" t="str">
        <f aca="false">IF(IsPro,IF($D700="","",IF(OR($H700="",$H700="Credit"),0,P700)),"")</f>
        <v/>
      </c>
    </row>
    <row r="701" customFormat="false" ht="15" hidden="false" customHeight="false" outlineLevel="0" collapsed="false">
      <c r="A701" s="55"/>
      <c r="B701" s="56"/>
      <c r="C701" s="56"/>
      <c r="D701" s="56"/>
      <c r="E701" s="57"/>
      <c r="F701" s="58"/>
      <c r="G701" s="59"/>
      <c r="H701" s="56"/>
      <c r="I701" s="60" t="str">
        <f aca="false">IF(IsPro,IF($D701="","",IFERROR(INDEX(Items!$D$5:$D$504,Q701),"")),IF($D701="","","PRO PLAN"))</f>
        <v/>
      </c>
      <c r="J701" s="61" t="str">
        <f aca="false">IF(IsPro,IF($D701="","",IF($F701="",IFERROR(INDEX(Items!$G$5:$G$504,Q701),0),$F701)),"")</f>
        <v/>
      </c>
      <c r="K701" s="61" t="str">
        <f aca="false">IF(IsPro,IF($D701="","",ROUND(N($E701)*J701*(1-N($G701)),2)),"")</f>
        <v/>
      </c>
      <c r="L701" s="62" t="str">
        <f aca="false">IF(IsPro,IF($D701="","",IFERROR(INDEX(Items!$F$5:$F$504,Q701),0)),"")</f>
        <v/>
      </c>
      <c r="M701" s="61" t="str">
        <f aca="false">IF(IsPro,IF($D701="","",IF(AND(R701&lt;&gt;"",INDEX(Parties!$E$5:$E$304,R701)&lt;&gt;"",INDEX(Parties!$E$5:$E$304,R701)&lt;&gt;HomeState),0,ROUND(K701*L701/2,2))),"")</f>
        <v/>
      </c>
      <c r="N701" s="61" t="str">
        <f aca="false">IF(IsPro,IF($D701="","",M701),"")</f>
        <v/>
      </c>
      <c r="O701" s="61" t="str">
        <f aca="false">IF(IsPro,IF($D701="","",IF(AND(R701&lt;&gt;"",INDEX(Parties!$E$5:$E$304,R701)&lt;&gt;"",INDEX(Parties!$E$5:$E$304,R701)&lt;&gt;HomeState),ROUND(K701*L701,2),0)),"")</f>
        <v/>
      </c>
      <c r="P701" s="61" t="str">
        <f aca="false">IF(IsPro,IF($D701="","",K701+M701+N701+O701),"")</f>
        <v/>
      </c>
      <c r="Q701" s="60" t="str">
        <f aca="false">IF(IsPro,IF($D701="","",IFERROR(MATCH($D701,Items!$A$5:$A$504,0),"")),"")</f>
        <v/>
      </c>
      <c r="R701" s="60" t="str">
        <f aca="false">IF(IsPro,IF($C701="","",IFERROR(MATCH($C701,Parties!$A$5:$A$304,0),"")),"")</f>
        <v/>
      </c>
      <c r="S701" s="61" t="str">
        <f aca="false">IF(IsPro,IF($D701="","",IF(OR($H701="",$H701="Credit"),0,P701)),"")</f>
        <v/>
      </c>
    </row>
    <row r="702" customFormat="false" ht="15" hidden="false" customHeight="false" outlineLevel="0" collapsed="false">
      <c r="A702" s="55"/>
      <c r="B702" s="56"/>
      <c r="C702" s="56"/>
      <c r="D702" s="56"/>
      <c r="E702" s="57"/>
      <c r="F702" s="58"/>
      <c r="G702" s="59"/>
      <c r="H702" s="56"/>
      <c r="I702" s="60" t="str">
        <f aca="false">IF(IsPro,IF($D702="","",IFERROR(INDEX(Items!$D$5:$D$504,Q702),"")),IF($D702="","","PRO PLAN"))</f>
        <v/>
      </c>
      <c r="J702" s="61" t="str">
        <f aca="false">IF(IsPro,IF($D702="","",IF($F702="",IFERROR(INDEX(Items!$G$5:$G$504,Q702),0),$F702)),"")</f>
        <v/>
      </c>
      <c r="K702" s="61" t="str">
        <f aca="false">IF(IsPro,IF($D702="","",ROUND(N($E702)*J702*(1-N($G702)),2)),"")</f>
        <v/>
      </c>
      <c r="L702" s="62" t="str">
        <f aca="false">IF(IsPro,IF($D702="","",IFERROR(INDEX(Items!$F$5:$F$504,Q702),0)),"")</f>
        <v/>
      </c>
      <c r="M702" s="61" t="str">
        <f aca="false">IF(IsPro,IF($D702="","",IF(AND(R702&lt;&gt;"",INDEX(Parties!$E$5:$E$304,R702)&lt;&gt;"",INDEX(Parties!$E$5:$E$304,R702)&lt;&gt;HomeState),0,ROUND(K702*L702/2,2))),"")</f>
        <v/>
      </c>
      <c r="N702" s="61" t="str">
        <f aca="false">IF(IsPro,IF($D702="","",M702),"")</f>
        <v/>
      </c>
      <c r="O702" s="61" t="str">
        <f aca="false">IF(IsPro,IF($D702="","",IF(AND(R702&lt;&gt;"",INDEX(Parties!$E$5:$E$304,R702)&lt;&gt;"",INDEX(Parties!$E$5:$E$304,R702)&lt;&gt;HomeState),ROUND(K702*L702,2),0)),"")</f>
        <v/>
      </c>
      <c r="P702" s="61" t="str">
        <f aca="false">IF(IsPro,IF($D702="","",K702+M702+N702+O702),"")</f>
        <v/>
      </c>
      <c r="Q702" s="60" t="str">
        <f aca="false">IF(IsPro,IF($D702="","",IFERROR(MATCH($D702,Items!$A$5:$A$504,0),"")),"")</f>
        <v/>
      </c>
      <c r="R702" s="60" t="str">
        <f aca="false">IF(IsPro,IF($C702="","",IFERROR(MATCH($C702,Parties!$A$5:$A$304,0),"")),"")</f>
        <v/>
      </c>
      <c r="S702" s="61" t="str">
        <f aca="false">IF(IsPro,IF($D702="","",IF(OR($H702="",$H702="Credit"),0,P702)),"")</f>
        <v/>
      </c>
    </row>
    <row r="703" customFormat="false" ht="15" hidden="false" customHeight="false" outlineLevel="0" collapsed="false">
      <c r="A703" s="55"/>
      <c r="B703" s="56"/>
      <c r="C703" s="56"/>
      <c r="D703" s="56"/>
      <c r="E703" s="57"/>
      <c r="F703" s="58"/>
      <c r="G703" s="59"/>
      <c r="H703" s="56"/>
      <c r="I703" s="60" t="str">
        <f aca="false">IF(IsPro,IF($D703="","",IFERROR(INDEX(Items!$D$5:$D$504,Q703),"")),IF($D703="","","PRO PLAN"))</f>
        <v/>
      </c>
      <c r="J703" s="61" t="str">
        <f aca="false">IF(IsPro,IF($D703="","",IF($F703="",IFERROR(INDEX(Items!$G$5:$G$504,Q703),0),$F703)),"")</f>
        <v/>
      </c>
      <c r="K703" s="61" t="str">
        <f aca="false">IF(IsPro,IF($D703="","",ROUND(N($E703)*J703*(1-N($G703)),2)),"")</f>
        <v/>
      </c>
      <c r="L703" s="62" t="str">
        <f aca="false">IF(IsPro,IF($D703="","",IFERROR(INDEX(Items!$F$5:$F$504,Q703),0)),"")</f>
        <v/>
      </c>
      <c r="M703" s="61" t="str">
        <f aca="false">IF(IsPro,IF($D703="","",IF(AND(R703&lt;&gt;"",INDEX(Parties!$E$5:$E$304,R703)&lt;&gt;"",INDEX(Parties!$E$5:$E$304,R703)&lt;&gt;HomeState),0,ROUND(K703*L703/2,2))),"")</f>
        <v/>
      </c>
      <c r="N703" s="61" t="str">
        <f aca="false">IF(IsPro,IF($D703="","",M703),"")</f>
        <v/>
      </c>
      <c r="O703" s="61" t="str">
        <f aca="false">IF(IsPro,IF($D703="","",IF(AND(R703&lt;&gt;"",INDEX(Parties!$E$5:$E$304,R703)&lt;&gt;"",INDEX(Parties!$E$5:$E$304,R703)&lt;&gt;HomeState),ROUND(K703*L703,2),0)),"")</f>
        <v/>
      </c>
      <c r="P703" s="61" t="str">
        <f aca="false">IF(IsPro,IF($D703="","",K703+M703+N703+O703),"")</f>
        <v/>
      </c>
      <c r="Q703" s="60" t="str">
        <f aca="false">IF(IsPro,IF($D703="","",IFERROR(MATCH($D703,Items!$A$5:$A$504,0),"")),"")</f>
        <v/>
      </c>
      <c r="R703" s="60" t="str">
        <f aca="false">IF(IsPro,IF($C703="","",IFERROR(MATCH($C703,Parties!$A$5:$A$304,0),"")),"")</f>
        <v/>
      </c>
      <c r="S703" s="61" t="str">
        <f aca="false">IF(IsPro,IF($D703="","",IF(OR($H703="",$H703="Credit"),0,P703)),"")</f>
        <v/>
      </c>
    </row>
    <row r="704" customFormat="false" ht="15" hidden="false" customHeight="false" outlineLevel="0" collapsed="false">
      <c r="A704" s="55"/>
      <c r="B704" s="56"/>
      <c r="C704" s="56"/>
      <c r="D704" s="56"/>
      <c r="E704" s="57"/>
      <c r="F704" s="58"/>
      <c r="G704" s="59"/>
      <c r="H704" s="56"/>
      <c r="I704" s="60" t="str">
        <f aca="false">IF(IsPro,IF($D704="","",IFERROR(INDEX(Items!$D$5:$D$504,Q704),"")),IF($D704="","","PRO PLAN"))</f>
        <v/>
      </c>
      <c r="J704" s="61" t="str">
        <f aca="false">IF(IsPro,IF($D704="","",IF($F704="",IFERROR(INDEX(Items!$G$5:$G$504,Q704),0),$F704)),"")</f>
        <v/>
      </c>
      <c r="K704" s="61" t="str">
        <f aca="false">IF(IsPro,IF($D704="","",ROUND(N($E704)*J704*(1-N($G704)),2)),"")</f>
        <v/>
      </c>
      <c r="L704" s="62" t="str">
        <f aca="false">IF(IsPro,IF($D704="","",IFERROR(INDEX(Items!$F$5:$F$504,Q704),0)),"")</f>
        <v/>
      </c>
      <c r="M704" s="61" t="str">
        <f aca="false">IF(IsPro,IF($D704="","",IF(AND(R704&lt;&gt;"",INDEX(Parties!$E$5:$E$304,R704)&lt;&gt;"",INDEX(Parties!$E$5:$E$304,R704)&lt;&gt;HomeState),0,ROUND(K704*L704/2,2))),"")</f>
        <v/>
      </c>
      <c r="N704" s="61" t="str">
        <f aca="false">IF(IsPro,IF($D704="","",M704),"")</f>
        <v/>
      </c>
      <c r="O704" s="61" t="str">
        <f aca="false">IF(IsPro,IF($D704="","",IF(AND(R704&lt;&gt;"",INDEX(Parties!$E$5:$E$304,R704)&lt;&gt;"",INDEX(Parties!$E$5:$E$304,R704)&lt;&gt;HomeState),ROUND(K704*L704,2),0)),"")</f>
        <v/>
      </c>
      <c r="P704" s="61" t="str">
        <f aca="false">IF(IsPro,IF($D704="","",K704+M704+N704+O704),"")</f>
        <v/>
      </c>
      <c r="Q704" s="60" t="str">
        <f aca="false">IF(IsPro,IF($D704="","",IFERROR(MATCH($D704,Items!$A$5:$A$504,0),"")),"")</f>
        <v/>
      </c>
      <c r="R704" s="60" t="str">
        <f aca="false">IF(IsPro,IF($C704="","",IFERROR(MATCH($C704,Parties!$A$5:$A$304,0),"")),"")</f>
        <v/>
      </c>
      <c r="S704" s="61" t="str">
        <f aca="false">IF(IsPro,IF($D704="","",IF(OR($H704="",$H704="Credit"),0,P704)),"")</f>
        <v/>
      </c>
    </row>
    <row r="705" customFormat="false" ht="15" hidden="false" customHeight="false" outlineLevel="0" collapsed="false">
      <c r="A705" s="55"/>
      <c r="B705" s="56"/>
      <c r="C705" s="56"/>
      <c r="D705" s="56"/>
      <c r="E705" s="57"/>
      <c r="F705" s="58"/>
      <c r="G705" s="59"/>
      <c r="H705" s="56"/>
      <c r="I705" s="60" t="str">
        <f aca="false">IF(IsPro,IF($D705="","",IFERROR(INDEX(Items!$D$5:$D$504,Q705),"")),IF($D705="","","PRO PLAN"))</f>
        <v/>
      </c>
      <c r="J705" s="61" t="str">
        <f aca="false">IF(IsPro,IF($D705="","",IF($F705="",IFERROR(INDEX(Items!$G$5:$G$504,Q705),0),$F705)),"")</f>
        <v/>
      </c>
      <c r="K705" s="61" t="str">
        <f aca="false">IF(IsPro,IF($D705="","",ROUND(N($E705)*J705*(1-N($G705)),2)),"")</f>
        <v/>
      </c>
      <c r="L705" s="62" t="str">
        <f aca="false">IF(IsPro,IF($D705="","",IFERROR(INDEX(Items!$F$5:$F$504,Q705),0)),"")</f>
        <v/>
      </c>
      <c r="M705" s="61" t="str">
        <f aca="false">IF(IsPro,IF($D705="","",IF(AND(R705&lt;&gt;"",INDEX(Parties!$E$5:$E$304,R705)&lt;&gt;"",INDEX(Parties!$E$5:$E$304,R705)&lt;&gt;HomeState),0,ROUND(K705*L705/2,2))),"")</f>
        <v/>
      </c>
      <c r="N705" s="61" t="str">
        <f aca="false">IF(IsPro,IF($D705="","",M705),"")</f>
        <v/>
      </c>
      <c r="O705" s="61" t="str">
        <f aca="false">IF(IsPro,IF($D705="","",IF(AND(R705&lt;&gt;"",INDEX(Parties!$E$5:$E$304,R705)&lt;&gt;"",INDEX(Parties!$E$5:$E$304,R705)&lt;&gt;HomeState),ROUND(K705*L705,2),0)),"")</f>
        <v/>
      </c>
      <c r="P705" s="61" t="str">
        <f aca="false">IF(IsPro,IF($D705="","",K705+M705+N705+O705),"")</f>
        <v/>
      </c>
      <c r="Q705" s="60" t="str">
        <f aca="false">IF(IsPro,IF($D705="","",IFERROR(MATCH($D705,Items!$A$5:$A$504,0),"")),"")</f>
        <v/>
      </c>
      <c r="R705" s="60" t="str">
        <f aca="false">IF(IsPro,IF($C705="","",IFERROR(MATCH($C705,Parties!$A$5:$A$304,0),"")),"")</f>
        <v/>
      </c>
      <c r="S705" s="61" t="str">
        <f aca="false">IF(IsPro,IF($D705="","",IF(OR($H705="",$H705="Credit"),0,P705)),"")</f>
        <v/>
      </c>
    </row>
    <row r="706" customFormat="false" ht="15" hidden="false" customHeight="false" outlineLevel="0" collapsed="false">
      <c r="A706" s="55"/>
      <c r="B706" s="56"/>
      <c r="C706" s="56"/>
      <c r="D706" s="56"/>
      <c r="E706" s="57"/>
      <c r="F706" s="58"/>
      <c r="G706" s="59"/>
      <c r="H706" s="56"/>
      <c r="I706" s="60" t="str">
        <f aca="false">IF(IsPro,IF($D706="","",IFERROR(INDEX(Items!$D$5:$D$504,Q706),"")),IF($D706="","","PRO PLAN"))</f>
        <v/>
      </c>
      <c r="J706" s="61" t="str">
        <f aca="false">IF(IsPro,IF($D706="","",IF($F706="",IFERROR(INDEX(Items!$G$5:$G$504,Q706),0),$F706)),"")</f>
        <v/>
      </c>
      <c r="K706" s="61" t="str">
        <f aca="false">IF(IsPro,IF($D706="","",ROUND(N($E706)*J706*(1-N($G706)),2)),"")</f>
        <v/>
      </c>
      <c r="L706" s="62" t="str">
        <f aca="false">IF(IsPro,IF($D706="","",IFERROR(INDEX(Items!$F$5:$F$504,Q706),0)),"")</f>
        <v/>
      </c>
      <c r="M706" s="61" t="str">
        <f aca="false">IF(IsPro,IF($D706="","",IF(AND(R706&lt;&gt;"",INDEX(Parties!$E$5:$E$304,R706)&lt;&gt;"",INDEX(Parties!$E$5:$E$304,R706)&lt;&gt;HomeState),0,ROUND(K706*L706/2,2))),"")</f>
        <v/>
      </c>
      <c r="N706" s="61" t="str">
        <f aca="false">IF(IsPro,IF($D706="","",M706),"")</f>
        <v/>
      </c>
      <c r="O706" s="61" t="str">
        <f aca="false">IF(IsPro,IF($D706="","",IF(AND(R706&lt;&gt;"",INDEX(Parties!$E$5:$E$304,R706)&lt;&gt;"",INDEX(Parties!$E$5:$E$304,R706)&lt;&gt;HomeState),ROUND(K706*L706,2),0)),"")</f>
        <v/>
      </c>
      <c r="P706" s="61" t="str">
        <f aca="false">IF(IsPro,IF($D706="","",K706+M706+N706+O706),"")</f>
        <v/>
      </c>
      <c r="Q706" s="60" t="str">
        <f aca="false">IF(IsPro,IF($D706="","",IFERROR(MATCH($D706,Items!$A$5:$A$504,0),"")),"")</f>
        <v/>
      </c>
      <c r="R706" s="60" t="str">
        <f aca="false">IF(IsPro,IF($C706="","",IFERROR(MATCH($C706,Parties!$A$5:$A$304,0),"")),"")</f>
        <v/>
      </c>
      <c r="S706" s="61" t="str">
        <f aca="false">IF(IsPro,IF($D706="","",IF(OR($H706="",$H706="Credit"),0,P706)),"")</f>
        <v/>
      </c>
    </row>
    <row r="707" customFormat="false" ht="15" hidden="false" customHeight="false" outlineLevel="0" collapsed="false">
      <c r="A707" s="55"/>
      <c r="B707" s="56"/>
      <c r="C707" s="56"/>
      <c r="D707" s="56"/>
      <c r="E707" s="57"/>
      <c r="F707" s="58"/>
      <c r="G707" s="59"/>
      <c r="H707" s="56"/>
      <c r="I707" s="60" t="str">
        <f aca="false">IF(IsPro,IF($D707="","",IFERROR(INDEX(Items!$D$5:$D$504,Q707),"")),IF($D707="","","PRO PLAN"))</f>
        <v/>
      </c>
      <c r="J707" s="61" t="str">
        <f aca="false">IF(IsPro,IF($D707="","",IF($F707="",IFERROR(INDEX(Items!$G$5:$G$504,Q707),0),$F707)),"")</f>
        <v/>
      </c>
      <c r="K707" s="61" t="str">
        <f aca="false">IF(IsPro,IF($D707="","",ROUND(N($E707)*J707*(1-N($G707)),2)),"")</f>
        <v/>
      </c>
      <c r="L707" s="62" t="str">
        <f aca="false">IF(IsPro,IF($D707="","",IFERROR(INDEX(Items!$F$5:$F$504,Q707),0)),"")</f>
        <v/>
      </c>
      <c r="M707" s="61" t="str">
        <f aca="false">IF(IsPro,IF($D707="","",IF(AND(R707&lt;&gt;"",INDEX(Parties!$E$5:$E$304,R707)&lt;&gt;"",INDEX(Parties!$E$5:$E$304,R707)&lt;&gt;HomeState),0,ROUND(K707*L707/2,2))),"")</f>
        <v/>
      </c>
      <c r="N707" s="61" t="str">
        <f aca="false">IF(IsPro,IF($D707="","",M707),"")</f>
        <v/>
      </c>
      <c r="O707" s="61" t="str">
        <f aca="false">IF(IsPro,IF($D707="","",IF(AND(R707&lt;&gt;"",INDEX(Parties!$E$5:$E$304,R707)&lt;&gt;"",INDEX(Parties!$E$5:$E$304,R707)&lt;&gt;HomeState),ROUND(K707*L707,2),0)),"")</f>
        <v/>
      </c>
      <c r="P707" s="61" t="str">
        <f aca="false">IF(IsPro,IF($D707="","",K707+M707+N707+O707),"")</f>
        <v/>
      </c>
      <c r="Q707" s="60" t="str">
        <f aca="false">IF(IsPro,IF($D707="","",IFERROR(MATCH($D707,Items!$A$5:$A$504,0),"")),"")</f>
        <v/>
      </c>
      <c r="R707" s="60" t="str">
        <f aca="false">IF(IsPro,IF($C707="","",IFERROR(MATCH($C707,Parties!$A$5:$A$304,0),"")),"")</f>
        <v/>
      </c>
      <c r="S707" s="61" t="str">
        <f aca="false">IF(IsPro,IF($D707="","",IF(OR($H707="",$H707="Credit"),0,P707)),"")</f>
        <v/>
      </c>
    </row>
    <row r="708" customFormat="false" ht="15" hidden="false" customHeight="false" outlineLevel="0" collapsed="false">
      <c r="A708" s="55"/>
      <c r="B708" s="56"/>
      <c r="C708" s="56"/>
      <c r="D708" s="56"/>
      <c r="E708" s="57"/>
      <c r="F708" s="58"/>
      <c r="G708" s="59"/>
      <c r="H708" s="56"/>
      <c r="I708" s="60" t="str">
        <f aca="false">IF(IsPro,IF($D708="","",IFERROR(INDEX(Items!$D$5:$D$504,Q708),"")),IF($D708="","","PRO PLAN"))</f>
        <v/>
      </c>
      <c r="J708" s="61" t="str">
        <f aca="false">IF(IsPro,IF($D708="","",IF($F708="",IFERROR(INDEX(Items!$G$5:$G$504,Q708),0),$F708)),"")</f>
        <v/>
      </c>
      <c r="K708" s="61" t="str">
        <f aca="false">IF(IsPro,IF($D708="","",ROUND(N($E708)*J708*(1-N($G708)),2)),"")</f>
        <v/>
      </c>
      <c r="L708" s="62" t="str">
        <f aca="false">IF(IsPro,IF($D708="","",IFERROR(INDEX(Items!$F$5:$F$504,Q708),0)),"")</f>
        <v/>
      </c>
      <c r="M708" s="61" t="str">
        <f aca="false">IF(IsPro,IF($D708="","",IF(AND(R708&lt;&gt;"",INDEX(Parties!$E$5:$E$304,R708)&lt;&gt;"",INDEX(Parties!$E$5:$E$304,R708)&lt;&gt;HomeState),0,ROUND(K708*L708/2,2))),"")</f>
        <v/>
      </c>
      <c r="N708" s="61" t="str">
        <f aca="false">IF(IsPro,IF($D708="","",M708),"")</f>
        <v/>
      </c>
      <c r="O708" s="61" t="str">
        <f aca="false">IF(IsPro,IF($D708="","",IF(AND(R708&lt;&gt;"",INDEX(Parties!$E$5:$E$304,R708)&lt;&gt;"",INDEX(Parties!$E$5:$E$304,R708)&lt;&gt;HomeState),ROUND(K708*L708,2),0)),"")</f>
        <v/>
      </c>
      <c r="P708" s="61" t="str">
        <f aca="false">IF(IsPro,IF($D708="","",K708+M708+N708+O708),"")</f>
        <v/>
      </c>
      <c r="Q708" s="60" t="str">
        <f aca="false">IF(IsPro,IF($D708="","",IFERROR(MATCH($D708,Items!$A$5:$A$504,0),"")),"")</f>
        <v/>
      </c>
      <c r="R708" s="60" t="str">
        <f aca="false">IF(IsPro,IF($C708="","",IFERROR(MATCH($C708,Parties!$A$5:$A$304,0),"")),"")</f>
        <v/>
      </c>
      <c r="S708" s="61" t="str">
        <f aca="false">IF(IsPro,IF($D708="","",IF(OR($H708="",$H708="Credit"),0,P708)),"")</f>
        <v/>
      </c>
    </row>
    <row r="709" customFormat="false" ht="15" hidden="false" customHeight="false" outlineLevel="0" collapsed="false">
      <c r="A709" s="55"/>
      <c r="B709" s="56"/>
      <c r="C709" s="56"/>
      <c r="D709" s="56"/>
      <c r="E709" s="57"/>
      <c r="F709" s="58"/>
      <c r="G709" s="59"/>
      <c r="H709" s="56"/>
      <c r="I709" s="60" t="str">
        <f aca="false">IF(IsPro,IF($D709="","",IFERROR(INDEX(Items!$D$5:$D$504,Q709),"")),IF($D709="","","PRO PLAN"))</f>
        <v/>
      </c>
      <c r="J709" s="61" t="str">
        <f aca="false">IF(IsPro,IF($D709="","",IF($F709="",IFERROR(INDEX(Items!$G$5:$G$504,Q709),0),$F709)),"")</f>
        <v/>
      </c>
      <c r="K709" s="61" t="str">
        <f aca="false">IF(IsPro,IF($D709="","",ROUND(N($E709)*J709*(1-N($G709)),2)),"")</f>
        <v/>
      </c>
      <c r="L709" s="62" t="str">
        <f aca="false">IF(IsPro,IF($D709="","",IFERROR(INDEX(Items!$F$5:$F$504,Q709),0)),"")</f>
        <v/>
      </c>
      <c r="M709" s="61" t="str">
        <f aca="false">IF(IsPro,IF($D709="","",IF(AND(R709&lt;&gt;"",INDEX(Parties!$E$5:$E$304,R709)&lt;&gt;"",INDEX(Parties!$E$5:$E$304,R709)&lt;&gt;HomeState),0,ROUND(K709*L709/2,2))),"")</f>
        <v/>
      </c>
      <c r="N709" s="61" t="str">
        <f aca="false">IF(IsPro,IF($D709="","",M709),"")</f>
        <v/>
      </c>
      <c r="O709" s="61" t="str">
        <f aca="false">IF(IsPro,IF($D709="","",IF(AND(R709&lt;&gt;"",INDEX(Parties!$E$5:$E$304,R709)&lt;&gt;"",INDEX(Parties!$E$5:$E$304,R709)&lt;&gt;HomeState),ROUND(K709*L709,2),0)),"")</f>
        <v/>
      </c>
      <c r="P709" s="61" t="str">
        <f aca="false">IF(IsPro,IF($D709="","",K709+M709+N709+O709),"")</f>
        <v/>
      </c>
      <c r="Q709" s="60" t="str">
        <f aca="false">IF(IsPro,IF($D709="","",IFERROR(MATCH($D709,Items!$A$5:$A$504,0),"")),"")</f>
        <v/>
      </c>
      <c r="R709" s="60" t="str">
        <f aca="false">IF(IsPro,IF($C709="","",IFERROR(MATCH($C709,Parties!$A$5:$A$304,0),"")),"")</f>
        <v/>
      </c>
      <c r="S709" s="61" t="str">
        <f aca="false">IF(IsPro,IF($D709="","",IF(OR($H709="",$H709="Credit"),0,P709)),"")</f>
        <v/>
      </c>
    </row>
    <row r="710" customFormat="false" ht="15" hidden="false" customHeight="false" outlineLevel="0" collapsed="false">
      <c r="A710" s="55"/>
      <c r="B710" s="56"/>
      <c r="C710" s="56"/>
      <c r="D710" s="56"/>
      <c r="E710" s="57"/>
      <c r="F710" s="58"/>
      <c r="G710" s="59"/>
      <c r="H710" s="56"/>
      <c r="I710" s="60" t="str">
        <f aca="false">IF(IsPro,IF($D710="","",IFERROR(INDEX(Items!$D$5:$D$504,Q710),"")),IF($D710="","","PRO PLAN"))</f>
        <v/>
      </c>
      <c r="J710" s="61" t="str">
        <f aca="false">IF(IsPro,IF($D710="","",IF($F710="",IFERROR(INDEX(Items!$G$5:$G$504,Q710),0),$F710)),"")</f>
        <v/>
      </c>
      <c r="K710" s="61" t="str">
        <f aca="false">IF(IsPro,IF($D710="","",ROUND(N($E710)*J710*(1-N($G710)),2)),"")</f>
        <v/>
      </c>
      <c r="L710" s="62" t="str">
        <f aca="false">IF(IsPro,IF($D710="","",IFERROR(INDEX(Items!$F$5:$F$504,Q710),0)),"")</f>
        <v/>
      </c>
      <c r="M710" s="61" t="str">
        <f aca="false">IF(IsPro,IF($D710="","",IF(AND(R710&lt;&gt;"",INDEX(Parties!$E$5:$E$304,R710)&lt;&gt;"",INDEX(Parties!$E$5:$E$304,R710)&lt;&gt;HomeState),0,ROUND(K710*L710/2,2))),"")</f>
        <v/>
      </c>
      <c r="N710" s="61" t="str">
        <f aca="false">IF(IsPro,IF($D710="","",M710),"")</f>
        <v/>
      </c>
      <c r="O710" s="61" t="str">
        <f aca="false">IF(IsPro,IF($D710="","",IF(AND(R710&lt;&gt;"",INDEX(Parties!$E$5:$E$304,R710)&lt;&gt;"",INDEX(Parties!$E$5:$E$304,R710)&lt;&gt;HomeState),ROUND(K710*L710,2),0)),"")</f>
        <v/>
      </c>
      <c r="P710" s="61" t="str">
        <f aca="false">IF(IsPro,IF($D710="","",K710+M710+N710+O710),"")</f>
        <v/>
      </c>
      <c r="Q710" s="60" t="str">
        <f aca="false">IF(IsPro,IF($D710="","",IFERROR(MATCH($D710,Items!$A$5:$A$504,0),"")),"")</f>
        <v/>
      </c>
      <c r="R710" s="60" t="str">
        <f aca="false">IF(IsPro,IF($C710="","",IFERROR(MATCH($C710,Parties!$A$5:$A$304,0),"")),"")</f>
        <v/>
      </c>
      <c r="S710" s="61" t="str">
        <f aca="false">IF(IsPro,IF($D710="","",IF(OR($H710="",$H710="Credit"),0,P710)),"")</f>
        <v/>
      </c>
    </row>
    <row r="711" customFormat="false" ht="15" hidden="false" customHeight="false" outlineLevel="0" collapsed="false">
      <c r="A711" s="55"/>
      <c r="B711" s="56"/>
      <c r="C711" s="56"/>
      <c r="D711" s="56"/>
      <c r="E711" s="57"/>
      <c r="F711" s="58"/>
      <c r="G711" s="59"/>
      <c r="H711" s="56"/>
      <c r="I711" s="60" t="str">
        <f aca="false">IF(IsPro,IF($D711="","",IFERROR(INDEX(Items!$D$5:$D$504,Q711),"")),IF($D711="","","PRO PLAN"))</f>
        <v/>
      </c>
      <c r="J711" s="61" t="str">
        <f aca="false">IF(IsPro,IF($D711="","",IF($F711="",IFERROR(INDEX(Items!$G$5:$G$504,Q711),0),$F711)),"")</f>
        <v/>
      </c>
      <c r="K711" s="61" t="str">
        <f aca="false">IF(IsPro,IF($D711="","",ROUND(N($E711)*J711*(1-N($G711)),2)),"")</f>
        <v/>
      </c>
      <c r="L711" s="62" t="str">
        <f aca="false">IF(IsPro,IF($D711="","",IFERROR(INDEX(Items!$F$5:$F$504,Q711),0)),"")</f>
        <v/>
      </c>
      <c r="M711" s="61" t="str">
        <f aca="false">IF(IsPro,IF($D711="","",IF(AND(R711&lt;&gt;"",INDEX(Parties!$E$5:$E$304,R711)&lt;&gt;"",INDEX(Parties!$E$5:$E$304,R711)&lt;&gt;HomeState),0,ROUND(K711*L711/2,2))),"")</f>
        <v/>
      </c>
      <c r="N711" s="61" t="str">
        <f aca="false">IF(IsPro,IF($D711="","",M711),"")</f>
        <v/>
      </c>
      <c r="O711" s="61" t="str">
        <f aca="false">IF(IsPro,IF($D711="","",IF(AND(R711&lt;&gt;"",INDEX(Parties!$E$5:$E$304,R711)&lt;&gt;"",INDEX(Parties!$E$5:$E$304,R711)&lt;&gt;HomeState),ROUND(K711*L711,2),0)),"")</f>
        <v/>
      </c>
      <c r="P711" s="61" t="str">
        <f aca="false">IF(IsPro,IF($D711="","",K711+M711+N711+O711),"")</f>
        <v/>
      </c>
      <c r="Q711" s="60" t="str">
        <f aca="false">IF(IsPro,IF($D711="","",IFERROR(MATCH($D711,Items!$A$5:$A$504,0),"")),"")</f>
        <v/>
      </c>
      <c r="R711" s="60" t="str">
        <f aca="false">IF(IsPro,IF($C711="","",IFERROR(MATCH($C711,Parties!$A$5:$A$304,0),"")),"")</f>
        <v/>
      </c>
      <c r="S711" s="61" t="str">
        <f aca="false">IF(IsPro,IF($D711="","",IF(OR($H711="",$H711="Credit"),0,P711)),"")</f>
        <v/>
      </c>
    </row>
    <row r="712" customFormat="false" ht="15" hidden="false" customHeight="false" outlineLevel="0" collapsed="false">
      <c r="A712" s="55"/>
      <c r="B712" s="56"/>
      <c r="C712" s="56"/>
      <c r="D712" s="56"/>
      <c r="E712" s="57"/>
      <c r="F712" s="58"/>
      <c r="G712" s="59"/>
      <c r="H712" s="56"/>
      <c r="I712" s="60" t="str">
        <f aca="false">IF(IsPro,IF($D712="","",IFERROR(INDEX(Items!$D$5:$D$504,Q712),"")),IF($D712="","","PRO PLAN"))</f>
        <v/>
      </c>
      <c r="J712" s="61" t="str">
        <f aca="false">IF(IsPro,IF($D712="","",IF($F712="",IFERROR(INDEX(Items!$G$5:$G$504,Q712),0),$F712)),"")</f>
        <v/>
      </c>
      <c r="K712" s="61" t="str">
        <f aca="false">IF(IsPro,IF($D712="","",ROUND(N($E712)*J712*(1-N($G712)),2)),"")</f>
        <v/>
      </c>
      <c r="L712" s="62" t="str">
        <f aca="false">IF(IsPro,IF($D712="","",IFERROR(INDEX(Items!$F$5:$F$504,Q712),0)),"")</f>
        <v/>
      </c>
      <c r="M712" s="61" t="str">
        <f aca="false">IF(IsPro,IF($D712="","",IF(AND(R712&lt;&gt;"",INDEX(Parties!$E$5:$E$304,R712)&lt;&gt;"",INDEX(Parties!$E$5:$E$304,R712)&lt;&gt;HomeState),0,ROUND(K712*L712/2,2))),"")</f>
        <v/>
      </c>
      <c r="N712" s="61" t="str">
        <f aca="false">IF(IsPro,IF($D712="","",M712),"")</f>
        <v/>
      </c>
      <c r="O712" s="61" t="str">
        <f aca="false">IF(IsPro,IF($D712="","",IF(AND(R712&lt;&gt;"",INDEX(Parties!$E$5:$E$304,R712)&lt;&gt;"",INDEX(Parties!$E$5:$E$304,R712)&lt;&gt;HomeState),ROUND(K712*L712,2),0)),"")</f>
        <v/>
      </c>
      <c r="P712" s="61" t="str">
        <f aca="false">IF(IsPro,IF($D712="","",K712+M712+N712+O712),"")</f>
        <v/>
      </c>
      <c r="Q712" s="60" t="str">
        <f aca="false">IF(IsPro,IF($D712="","",IFERROR(MATCH($D712,Items!$A$5:$A$504,0),"")),"")</f>
        <v/>
      </c>
      <c r="R712" s="60" t="str">
        <f aca="false">IF(IsPro,IF($C712="","",IFERROR(MATCH($C712,Parties!$A$5:$A$304,0),"")),"")</f>
        <v/>
      </c>
      <c r="S712" s="61" t="str">
        <f aca="false">IF(IsPro,IF($D712="","",IF(OR($H712="",$H712="Credit"),0,P712)),"")</f>
        <v/>
      </c>
    </row>
    <row r="713" customFormat="false" ht="15" hidden="false" customHeight="false" outlineLevel="0" collapsed="false">
      <c r="A713" s="55"/>
      <c r="B713" s="56"/>
      <c r="C713" s="56"/>
      <c r="D713" s="56"/>
      <c r="E713" s="57"/>
      <c r="F713" s="58"/>
      <c r="G713" s="59"/>
      <c r="H713" s="56"/>
      <c r="I713" s="60" t="str">
        <f aca="false">IF(IsPro,IF($D713="","",IFERROR(INDEX(Items!$D$5:$D$504,Q713),"")),IF($D713="","","PRO PLAN"))</f>
        <v/>
      </c>
      <c r="J713" s="61" t="str">
        <f aca="false">IF(IsPro,IF($D713="","",IF($F713="",IFERROR(INDEX(Items!$G$5:$G$504,Q713),0),$F713)),"")</f>
        <v/>
      </c>
      <c r="K713" s="61" t="str">
        <f aca="false">IF(IsPro,IF($D713="","",ROUND(N($E713)*J713*(1-N($G713)),2)),"")</f>
        <v/>
      </c>
      <c r="L713" s="62" t="str">
        <f aca="false">IF(IsPro,IF($D713="","",IFERROR(INDEX(Items!$F$5:$F$504,Q713),0)),"")</f>
        <v/>
      </c>
      <c r="M713" s="61" t="str">
        <f aca="false">IF(IsPro,IF($D713="","",IF(AND(R713&lt;&gt;"",INDEX(Parties!$E$5:$E$304,R713)&lt;&gt;"",INDEX(Parties!$E$5:$E$304,R713)&lt;&gt;HomeState),0,ROUND(K713*L713/2,2))),"")</f>
        <v/>
      </c>
      <c r="N713" s="61" t="str">
        <f aca="false">IF(IsPro,IF($D713="","",M713),"")</f>
        <v/>
      </c>
      <c r="O713" s="61" t="str">
        <f aca="false">IF(IsPro,IF($D713="","",IF(AND(R713&lt;&gt;"",INDEX(Parties!$E$5:$E$304,R713)&lt;&gt;"",INDEX(Parties!$E$5:$E$304,R713)&lt;&gt;HomeState),ROUND(K713*L713,2),0)),"")</f>
        <v/>
      </c>
      <c r="P713" s="61" t="str">
        <f aca="false">IF(IsPro,IF($D713="","",K713+M713+N713+O713),"")</f>
        <v/>
      </c>
      <c r="Q713" s="60" t="str">
        <f aca="false">IF(IsPro,IF($D713="","",IFERROR(MATCH($D713,Items!$A$5:$A$504,0),"")),"")</f>
        <v/>
      </c>
      <c r="R713" s="60" t="str">
        <f aca="false">IF(IsPro,IF($C713="","",IFERROR(MATCH($C713,Parties!$A$5:$A$304,0),"")),"")</f>
        <v/>
      </c>
      <c r="S713" s="61" t="str">
        <f aca="false">IF(IsPro,IF($D713="","",IF(OR($H713="",$H713="Credit"),0,P713)),"")</f>
        <v/>
      </c>
    </row>
    <row r="714" customFormat="false" ht="15" hidden="false" customHeight="false" outlineLevel="0" collapsed="false">
      <c r="A714" s="55"/>
      <c r="B714" s="56"/>
      <c r="C714" s="56"/>
      <c r="D714" s="56"/>
      <c r="E714" s="57"/>
      <c r="F714" s="58"/>
      <c r="G714" s="59"/>
      <c r="H714" s="56"/>
      <c r="I714" s="60" t="str">
        <f aca="false">IF(IsPro,IF($D714="","",IFERROR(INDEX(Items!$D$5:$D$504,Q714),"")),IF($D714="","","PRO PLAN"))</f>
        <v/>
      </c>
      <c r="J714" s="61" t="str">
        <f aca="false">IF(IsPro,IF($D714="","",IF($F714="",IFERROR(INDEX(Items!$G$5:$G$504,Q714),0),$F714)),"")</f>
        <v/>
      </c>
      <c r="K714" s="61" t="str">
        <f aca="false">IF(IsPro,IF($D714="","",ROUND(N($E714)*J714*(1-N($G714)),2)),"")</f>
        <v/>
      </c>
      <c r="L714" s="62" t="str">
        <f aca="false">IF(IsPro,IF($D714="","",IFERROR(INDEX(Items!$F$5:$F$504,Q714),0)),"")</f>
        <v/>
      </c>
      <c r="M714" s="61" t="str">
        <f aca="false">IF(IsPro,IF($D714="","",IF(AND(R714&lt;&gt;"",INDEX(Parties!$E$5:$E$304,R714)&lt;&gt;"",INDEX(Parties!$E$5:$E$304,R714)&lt;&gt;HomeState),0,ROUND(K714*L714/2,2))),"")</f>
        <v/>
      </c>
      <c r="N714" s="61" t="str">
        <f aca="false">IF(IsPro,IF($D714="","",M714),"")</f>
        <v/>
      </c>
      <c r="O714" s="61" t="str">
        <f aca="false">IF(IsPro,IF($D714="","",IF(AND(R714&lt;&gt;"",INDEX(Parties!$E$5:$E$304,R714)&lt;&gt;"",INDEX(Parties!$E$5:$E$304,R714)&lt;&gt;HomeState),ROUND(K714*L714,2),0)),"")</f>
        <v/>
      </c>
      <c r="P714" s="61" t="str">
        <f aca="false">IF(IsPro,IF($D714="","",K714+M714+N714+O714),"")</f>
        <v/>
      </c>
      <c r="Q714" s="60" t="str">
        <f aca="false">IF(IsPro,IF($D714="","",IFERROR(MATCH($D714,Items!$A$5:$A$504,0),"")),"")</f>
        <v/>
      </c>
      <c r="R714" s="60" t="str">
        <f aca="false">IF(IsPro,IF($C714="","",IFERROR(MATCH($C714,Parties!$A$5:$A$304,0),"")),"")</f>
        <v/>
      </c>
      <c r="S714" s="61" t="str">
        <f aca="false">IF(IsPro,IF($D714="","",IF(OR($H714="",$H714="Credit"),0,P714)),"")</f>
        <v/>
      </c>
    </row>
    <row r="715" customFormat="false" ht="15" hidden="false" customHeight="false" outlineLevel="0" collapsed="false">
      <c r="A715" s="55"/>
      <c r="B715" s="56"/>
      <c r="C715" s="56"/>
      <c r="D715" s="56"/>
      <c r="E715" s="57"/>
      <c r="F715" s="58"/>
      <c r="G715" s="59"/>
      <c r="H715" s="56"/>
      <c r="I715" s="60" t="str">
        <f aca="false">IF(IsPro,IF($D715="","",IFERROR(INDEX(Items!$D$5:$D$504,Q715),"")),IF($D715="","","PRO PLAN"))</f>
        <v/>
      </c>
      <c r="J715" s="61" t="str">
        <f aca="false">IF(IsPro,IF($D715="","",IF($F715="",IFERROR(INDEX(Items!$G$5:$G$504,Q715),0),$F715)),"")</f>
        <v/>
      </c>
      <c r="K715" s="61" t="str">
        <f aca="false">IF(IsPro,IF($D715="","",ROUND(N($E715)*J715*(1-N($G715)),2)),"")</f>
        <v/>
      </c>
      <c r="L715" s="62" t="str">
        <f aca="false">IF(IsPro,IF($D715="","",IFERROR(INDEX(Items!$F$5:$F$504,Q715),0)),"")</f>
        <v/>
      </c>
      <c r="M715" s="61" t="str">
        <f aca="false">IF(IsPro,IF($D715="","",IF(AND(R715&lt;&gt;"",INDEX(Parties!$E$5:$E$304,R715)&lt;&gt;"",INDEX(Parties!$E$5:$E$304,R715)&lt;&gt;HomeState),0,ROUND(K715*L715/2,2))),"")</f>
        <v/>
      </c>
      <c r="N715" s="61" t="str">
        <f aca="false">IF(IsPro,IF($D715="","",M715),"")</f>
        <v/>
      </c>
      <c r="O715" s="61" t="str">
        <f aca="false">IF(IsPro,IF($D715="","",IF(AND(R715&lt;&gt;"",INDEX(Parties!$E$5:$E$304,R715)&lt;&gt;"",INDEX(Parties!$E$5:$E$304,R715)&lt;&gt;HomeState),ROUND(K715*L715,2),0)),"")</f>
        <v/>
      </c>
      <c r="P715" s="61" t="str">
        <f aca="false">IF(IsPro,IF($D715="","",K715+M715+N715+O715),"")</f>
        <v/>
      </c>
      <c r="Q715" s="60" t="str">
        <f aca="false">IF(IsPro,IF($D715="","",IFERROR(MATCH($D715,Items!$A$5:$A$504,0),"")),"")</f>
        <v/>
      </c>
      <c r="R715" s="60" t="str">
        <f aca="false">IF(IsPro,IF($C715="","",IFERROR(MATCH($C715,Parties!$A$5:$A$304,0),"")),"")</f>
        <v/>
      </c>
      <c r="S715" s="61" t="str">
        <f aca="false">IF(IsPro,IF($D715="","",IF(OR($H715="",$H715="Credit"),0,P715)),"")</f>
        <v/>
      </c>
    </row>
    <row r="716" customFormat="false" ht="15" hidden="false" customHeight="false" outlineLevel="0" collapsed="false">
      <c r="A716" s="55"/>
      <c r="B716" s="56"/>
      <c r="C716" s="56"/>
      <c r="D716" s="56"/>
      <c r="E716" s="57"/>
      <c r="F716" s="58"/>
      <c r="G716" s="59"/>
      <c r="H716" s="56"/>
      <c r="I716" s="60" t="str">
        <f aca="false">IF(IsPro,IF($D716="","",IFERROR(INDEX(Items!$D$5:$D$504,Q716),"")),IF($D716="","","PRO PLAN"))</f>
        <v/>
      </c>
      <c r="J716" s="61" t="str">
        <f aca="false">IF(IsPro,IF($D716="","",IF($F716="",IFERROR(INDEX(Items!$G$5:$G$504,Q716),0),$F716)),"")</f>
        <v/>
      </c>
      <c r="K716" s="61" t="str">
        <f aca="false">IF(IsPro,IF($D716="","",ROUND(N($E716)*J716*(1-N($G716)),2)),"")</f>
        <v/>
      </c>
      <c r="L716" s="62" t="str">
        <f aca="false">IF(IsPro,IF($D716="","",IFERROR(INDEX(Items!$F$5:$F$504,Q716),0)),"")</f>
        <v/>
      </c>
      <c r="M716" s="61" t="str">
        <f aca="false">IF(IsPro,IF($D716="","",IF(AND(R716&lt;&gt;"",INDEX(Parties!$E$5:$E$304,R716)&lt;&gt;"",INDEX(Parties!$E$5:$E$304,R716)&lt;&gt;HomeState),0,ROUND(K716*L716/2,2))),"")</f>
        <v/>
      </c>
      <c r="N716" s="61" t="str">
        <f aca="false">IF(IsPro,IF($D716="","",M716),"")</f>
        <v/>
      </c>
      <c r="O716" s="61" t="str">
        <f aca="false">IF(IsPro,IF($D716="","",IF(AND(R716&lt;&gt;"",INDEX(Parties!$E$5:$E$304,R716)&lt;&gt;"",INDEX(Parties!$E$5:$E$304,R716)&lt;&gt;HomeState),ROUND(K716*L716,2),0)),"")</f>
        <v/>
      </c>
      <c r="P716" s="61" t="str">
        <f aca="false">IF(IsPro,IF($D716="","",K716+M716+N716+O716),"")</f>
        <v/>
      </c>
      <c r="Q716" s="60" t="str">
        <f aca="false">IF(IsPro,IF($D716="","",IFERROR(MATCH($D716,Items!$A$5:$A$504,0),"")),"")</f>
        <v/>
      </c>
      <c r="R716" s="60" t="str">
        <f aca="false">IF(IsPro,IF($C716="","",IFERROR(MATCH($C716,Parties!$A$5:$A$304,0),"")),"")</f>
        <v/>
      </c>
      <c r="S716" s="61" t="str">
        <f aca="false">IF(IsPro,IF($D716="","",IF(OR($H716="",$H716="Credit"),0,P716)),"")</f>
        <v/>
      </c>
    </row>
    <row r="717" customFormat="false" ht="15" hidden="false" customHeight="false" outlineLevel="0" collapsed="false">
      <c r="A717" s="55"/>
      <c r="B717" s="56"/>
      <c r="C717" s="56"/>
      <c r="D717" s="56"/>
      <c r="E717" s="57"/>
      <c r="F717" s="58"/>
      <c r="G717" s="59"/>
      <c r="H717" s="56"/>
      <c r="I717" s="60" t="str">
        <f aca="false">IF(IsPro,IF($D717="","",IFERROR(INDEX(Items!$D$5:$D$504,Q717),"")),IF($D717="","","PRO PLAN"))</f>
        <v/>
      </c>
      <c r="J717" s="61" t="str">
        <f aca="false">IF(IsPro,IF($D717="","",IF($F717="",IFERROR(INDEX(Items!$G$5:$G$504,Q717),0),$F717)),"")</f>
        <v/>
      </c>
      <c r="K717" s="61" t="str">
        <f aca="false">IF(IsPro,IF($D717="","",ROUND(N($E717)*J717*(1-N($G717)),2)),"")</f>
        <v/>
      </c>
      <c r="L717" s="62" t="str">
        <f aca="false">IF(IsPro,IF($D717="","",IFERROR(INDEX(Items!$F$5:$F$504,Q717),0)),"")</f>
        <v/>
      </c>
      <c r="M717" s="61" t="str">
        <f aca="false">IF(IsPro,IF($D717="","",IF(AND(R717&lt;&gt;"",INDEX(Parties!$E$5:$E$304,R717)&lt;&gt;"",INDEX(Parties!$E$5:$E$304,R717)&lt;&gt;HomeState),0,ROUND(K717*L717/2,2))),"")</f>
        <v/>
      </c>
      <c r="N717" s="61" t="str">
        <f aca="false">IF(IsPro,IF($D717="","",M717),"")</f>
        <v/>
      </c>
      <c r="O717" s="61" t="str">
        <f aca="false">IF(IsPro,IF($D717="","",IF(AND(R717&lt;&gt;"",INDEX(Parties!$E$5:$E$304,R717)&lt;&gt;"",INDEX(Parties!$E$5:$E$304,R717)&lt;&gt;HomeState),ROUND(K717*L717,2),0)),"")</f>
        <v/>
      </c>
      <c r="P717" s="61" t="str">
        <f aca="false">IF(IsPro,IF($D717="","",K717+M717+N717+O717),"")</f>
        <v/>
      </c>
      <c r="Q717" s="60" t="str">
        <f aca="false">IF(IsPro,IF($D717="","",IFERROR(MATCH($D717,Items!$A$5:$A$504,0),"")),"")</f>
        <v/>
      </c>
      <c r="R717" s="60" t="str">
        <f aca="false">IF(IsPro,IF($C717="","",IFERROR(MATCH($C717,Parties!$A$5:$A$304,0),"")),"")</f>
        <v/>
      </c>
      <c r="S717" s="61" t="str">
        <f aca="false">IF(IsPro,IF($D717="","",IF(OR($H717="",$H717="Credit"),0,P717)),"")</f>
        <v/>
      </c>
    </row>
    <row r="718" customFormat="false" ht="15" hidden="false" customHeight="false" outlineLevel="0" collapsed="false">
      <c r="A718" s="55"/>
      <c r="B718" s="56"/>
      <c r="C718" s="56"/>
      <c r="D718" s="56"/>
      <c r="E718" s="57"/>
      <c r="F718" s="58"/>
      <c r="G718" s="59"/>
      <c r="H718" s="56"/>
      <c r="I718" s="60" t="str">
        <f aca="false">IF(IsPro,IF($D718="","",IFERROR(INDEX(Items!$D$5:$D$504,Q718),"")),IF($D718="","","PRO PLAN"))</f>
        <v/>
      </c>
      <c r="J718" s="61" t="str">
        <f aca="false">IF(IsPro,IF($D718="","",IF($F718="",IFERROR(INDEX(Items!$G$5:$G$504,Q718),0),$F718)),"")</f>
        <v/>
      </c>
      <c r="K718" s="61" t="str">
        <f aca="false">IF(IsPro,IF($D718="","",ROUND(N($E718)*J718*(1-N($G718)),2)),"")</f>
        <v/>
      </c>
      <c r="L718" s="62" t="str">
        <f aca="false">IF(IsPro,IF($D718="","",IFERROR(INDEX(Items!$F$5:$F$504,Q718),0)),"")</f>
        <v/>
      </c>
      <c r="M718" s="61" t="str">
        <f aca="false">IF(IsPro,IF($D718="","",IF(AND(R718&lt;&gt;"",INDEX(Parties!$E$5:$E$304,R718)&lt;&gt;"",INDEX(Parties!$E$5:$E$304,R718)&lt;&gt;HomeState),0,ROUND(K718*L718/2,2))),"")</f>
        <v/>
      </c>
      <c r="N718" s="61" t="str">
        <f aca="false">IF(IsPro,IF($D718="","",M718),"")</f>
        <v/>
      </c>
      <c r="O718" s="61" t="str">
        <f aca="false">IF(IsPro,IF($D718="","",IF(AND(R718&lt;&gt;"",INDEX(Parties!$E$5:$E$304,R718)&lt;&gt;"",INDEX(Parties!$E$5:$E$304,R718)&lt;&gt;HomeState),ROUND(K718*L718,2),0)),"")</f>
        <v/>
      </c>
      <c r="P718" s="61" t="str">
        <f aca="false">IF(IsPro,IF($D718="","",K718+M718+N718+O718),"")</f>
        <v/>
      </c>
      <c r="Q718" s="60" t="str">
        <f aca="false">IF(IsPro,IF($D718="","",IFERROR(MATCH($D718,Items!$A$5:$A$504,0),"")),"")</f>
        <v/>
      </c>
      <c r="R718" s="60" t="str">
        <f aca="false">IF(IsPro,IF($C718="","",IFERROR(MATCH($C718,Parties!$A$5:$A$304,0),"")),"")</f>
        <v/>
      </c>
      <c r="S718" s="61" t="str">
        <f aca="false">IF(IsPro,IF($D718="","",IF(OR($H718="",$H718="Credit"),0,P718)),"")</f>
        <v/>
      </c>
    </row>
    <row r="719" customFormat="false" ht="15" hidden="false" customHeight="false" outlineLevel="0" collapsed="false">
      <c r="A719" s="55"/>
      <c r="B719" s="56"/>
      <c r="C719" s="56"/>
      <c r="D719" s="56"/>
      <c r="E719" s="57"/>
      <c r="F719" s="58"/>
      <c r="G719" s="59"/>
      <c r="H719" s="56"/>
      <c r="I719" s="60" t="str">
        <f aca="false">IF(IsPro,IF($D719="","",IFERROR(INDEX(Items!$D$5:$D$504,Q719),"")),IF($D719="","","PRO PLAN"))</f>
        <v/>
      </c>
      <c r="J719" s="61" t="str">
        <f aca="false">IF(IsPro,IF($D719="","",IF($F719="",IFERROR(INDEX(Items!$G$5:$G$504,Q719),0),$F719)),"")</f>
        <v/>
      </c>
      <c r="K719" s="61" t="str">
        <f aca="false">IF(IsPro,IF($D719="","",ROUND(N($E719)*J719*(1-N($G719)),2)),"")</f>
        <v/>
      </c>
      <c r="L719" s="62" t="str">
        <f aca="false">IF(IsPro,IF($D719="","",IFERROR(INDEX(Items!$F$5:$F$504,Q719),0)),"")</f>
        <v/>
      </c>
      <c r="M719" s="61" t="str">
        <f aca="false">IF(IsPro,IF($D719="","",IF(AND(R719&lt;&gt;"",INDEX(Parties!$E$5:$E$304,R719)&lt;&gt;"",INDEX(Parties!$E$5:$E$304,R719)&lt;&gt;HomeState),0,ROUND(K719*L719/2,2))),"")</f>
        <v/>
      </c>
      <c r="N719" s="61" t="str">
        <f aca="false">IF(IsPro,IF($D719="","",M719),"")</f>
        <v/>
      </c>
      <c r="O719" s="61" t="str">
        <f aca="false">IF(IsPro,IF($D719="","",IF(AND(R719&lt;&gt;"",INDEX(Parties!$E$5:$E$304,R719)&lt;&gt;"",INDEX(Parties!$E$5:$E$304,R719)&lt;&gt;HomeState),ROUND(K719*L719,2),0)),"")</f>
        <v/>
      </c>
      <c r="P719" s="61" t="str">
        <f aca="false">IF(IsPro,IF($D719="","",K719+M719+N719+O719),"")</f>
        <v/>
      </c>
      <c r="Q719" s="60" t="str">
        <f aca="false">IF(IsPro,IF($D719="","",IFERROR(MATCH($D719,Items!$A$5:$A$504,0),"")),"")</f>
        <v/>
      </c>
      <c r="R719" s="60" t="str">
        <f aca="false">IF(IsPro,IF($C719="","",IFERROR(MATCH($C719,Parties!$A$5:$A$304,0),"")),"")</f>
        <v/>
      </c>
      <c r="S719" s="61" t="str">
        <f aca="false">IF(IsPro,IF($D719="","",IF(OR($H719="",$H719="Credit"),0,P719)),"")</f>
        <v/>
      </c>
    </row>
    <row r="720" customFormat="false" ht="15" hidden="false" customHeight="false" outlineLevel="0" collapsed="false">
      <c r="A720" s="55"/>
      <c r="B720" s="56"/>
      <c r="C720" s="56"/>
      <c r="D720" s="56"/>
      <c r="E720" s="57"/>
      <c r="F720" s="58"/>
      <c r="G720" s="59"/>
      <c r="H720" s="56"/>
      <c r="I720" s="60" t="str">
        <f aca="false">IF(IsPro,IF($D720="","",IFERROR(INDEX(Items!$D$5:$D$504,Q720),"")),IF($D720="","","PRO PLAN"))</f>
        <v/>
      </c>
      <c r="J720" s="61" t="str">
        <f aca="false">IF(IsPro,IF($D720="","",IF($F720="",IFERROR(INDEX(Items!$G$5:$G$504,Q720),0),$F720)),"")</f>
        <v/>
      </c>
      <c r="K720" s="61" t="str">
        <f aca="false">IF(IsPro,IF($D720="","",ROUND(N($E720)*J720*(1-N($G720)),2)),"")</f>
        <v/>
      </c>
      <c r="L720" s="62" t="str">
        <f aca="false">IF(IsPro,IF($D720="","",IFERROR(INDEX(Items!$F$5:$F$504,Q720),0)),"")</f>
        <v/>
      </c>
      <c r="M720" s="61" t="str">
        <f aca="false">IF(IsPro,IF($D720="","",IF(AND(R720&lt;&gt;"",INDEX(Parties!$E$5:$E$304,R720)&lt;&gt;"",INDEX(Parties!$E$5:$E$304,R720)&lt;&gt;HomeState),0,ROUND(K720*L720/2,2))),"")</f>
        <v/>
      </c>
      <c r="N720" s="61" t="str">
        <f aca="false">IF(IsPro,IF($D720="","",M720),"")</f>
        <v/>
      </c>
      <c r="O720" s="61" t="str">
        <f aca="false">IF(IsPro,IF($D720="","",IF(AND(R720&lt;&gt;"",INDEX(Parties!$E$5:$E$304,R720)&lt;&gt;"",INDEX(Parties!$E$5:$E$304,R720)&lt;&gt;HomeState),ROUND(K720*L720,2),0)),"")</f>
        <v/>
      </c>
      <c r="P720" s="61" t="str">
        <f aca="false">IF(IsPro,IF($D720="","",K720+M720+N720+O720),"")</f>
        <v/>
      </c>
      <c r="Q720" s="60" t="str">
        <f aca="false">IF(IsPro,IF($D720="","",IFERROR(MATCH($D720,Items!$A$5:$A$504,0),"")),"")</f>
        <v/>
      </c>
      <c r="R720" s="60" t="str">
        <f aca="false">IF(IsPro,IF($C720="","",IFERROR(MATCH($C720,Parties!$A$5:$A$304,0),"")),"")</f>
        <v/>
      </c>
      <c r="S720" s="61" t="str">
        <f aca="false">IF(IsPro,IF($D720="","",IF(OR($H720="",$H720="Credit"),0,P720)),"")</f>
        <v/>
      </c>
    </row>
    <row r="721" customFormat="false" ht="15" hidden="false" customHeight="false" outlineLevel="0" collapsed="false">
      <c r="A721" s="55"/>
      <c r="B721" s="56"/>
      <c r="C721" s="56"/>
      <c r="D721" s="56"/>
      <c r="E721" s="57"/>
      <c r="F721" s="58"/>
      <c r="G721" s="59"/>
      <c r="H721" s="56"/>
      <c r="I721" s="60" t="str">
        <f aca="false">IF(IsPro,IF($D721="","",IFERROR(INDEX(Items!$D$5:$D$504,Q721),"")),IF($D721="","","PRO PLAN"))</f>
        <v/>
      </c>
      <c r="J721" s="61" t="str">
        <f aca="false">IF(IsPro,IF($D721="","",IF($F721="",IFERROR(INDEX(Items!$G$5:$G$504,Q721),0),$F721)),"")</f>
        <v/>
      </c>
      <c r="K721" s="61" t="str">
        <f aca="false">IF(IsPro,IF($D721="","",ROUND(N($E721)*J721*(1-N($G721)),2)),"")</f>
        <v/>
      </c>
      <c r="L721" s="62" t="str">
        <f aca="false">IF(IsPro,IF($D721="","",IFERROR(INDEX(Items!$F$5:$F$504,Q721),0)),"")</f>
        <v/>
      </c>
      <c r="M721" s="61" t="str">
        <f aca="false">IF(IsPro,IF($D721="","",IF(AND(R721&lt;&gt;"",INDEX(Parties!$E$5:$E$304,R721)&lt;&gt;"",INDEX(Parties!$E$5:$E$304,R721)&lt;&gt;HomeState),0,ROUND(K721*L721/2,2))),"")</f>
        <v/>
      </c>
      <c r="N721" s="61" t="str">
        <f aca="false">IF(IsPro,IF($D721="","",M721),"")</f>
        <v/>
      </c>
      <c r="O721" s="61" t="str">
        <f aca="false">IF(IsPro,IF($D721="","",IF(AND(R721&lt;&gt;"",INDEX(Parties!$E$5:$E$304,R721)&lt;&gt;"",INDEX(Parties!$E$5:$E$304,R721)&lt;&gt;HomeState),ROUND(K721*L721,2),0)),"")</f>
        <v/>
      </c>
      <c r="P721" s="61" t="str">
        <f aca="false">IF(IsPro,IF($D721="","",K721+M721+N721+O721),"")</f>
        <v/>
      </c>
      <c r="Q721" s="60" t="str">
        <f aca="false">IF(IsPro,IF($D721="","",IFERROR(MATCH($D721,Items!$A$5:$A$504,0),"")),"")</f>
        <v/>
      </c>
      <c r="R721" s="60" t="str">
        <f aca="false">IF(IsPro,IF($C721="","",IFERROR(MATCH($C721,Parties!$A$5:$A$304,0),"")),"")</f>
        <v/>
      </c>
      <c r="S721" s="61" t="str">
        <f aca="false">IF(IsPro,IF($D721="","",IF(OR($H721="",$H721="Credit"),0,P721)),"")</f>
        <v/>
      </c>
    </row>
    <row r="722" customFormat="false" ht="15" hidden="false" customHeight="false" outlineLevel="0" collapsed="false">
      <c r="A722" s="55"/>
      <c r="B722" s="56"/>
      <c r="C722" s="56"/>
      <c r="D722" s="56"/>
      <c r="E722" s="57"/>
      <c r="F722" s="58"/>
      <c r="G722" s="59"/>
      <c r="H722" s="56"/>
      <c r="I722" s="60" t="str">
        <f aca="false">IF(IsPro,IF($D722="","",IFERROR(INDEX(Items!$D$5:$D$504,Q722),"")),IF($D722="","","PRO PLAN"))</f>
        <v/>
      </c>
      <c r="J722" s="61" t="str">
        <f aca="false">IF(IsPro,IF($D722="","",IF($F722="",IFERROR(INDEX(Items!$G$5:$G$504,Q722),0),$F722)),"")</f>
        <v/>
      </c>
      <c r="K722" s="61" t="str">
        <f aca="false">IF(IsPro,IF($D722="","",ROUND(N($E722)*J722*(1-N($G722)),2)),"")</f>
        <v/>
      </c>
      <c r="L722" s="62" t="str">
        <f aca="false">IF(IsPro,IF($D722="","",IFERROR(INDEX(Items!$F$5:$F$504,Q722),0)),"")</f>
        <v/>
      </c>
      <c r="M722" s="61" t="str">
        <f aca="false">IF(IsPro,IF($D722="","",IF(AND(R722&lt;&gt;"",INDEX(Parties!$E$5:$E$304,R722)&lt;&gt;"",INDEX(Parties!$E$5:$E$304,R722)&lt;&gt;HomeState),0,ROUND(K722*L722/2,2))),"")</f>
        <v/>
      </c>
      <c r="N722" s="61" t="str">
        <f aca="false">IF(IsPro,IF($D722="","",M722),"")</f>
        <v/>
      </c>
      <c r="O722" s="61" t="str">
        <f aca="false">IF(IsPro,IF($D722="","",IF(AND(R722&lt;&gt;"",INDEX(Parties!$E$5:$E$304,R722)&lt;&gt;"",INDEX(Parties!$E$5:$E$304,R722)&lt;&gt;HomeState),ROUND(K722*L722,2),0)),"")</f>
        <v/>
      </c>
      <c r="P722" s="61" t="str">
        <f aca="false">IF(IsPro,IF($D722="","",K722+M722+N722+O722),"")</f>
        <v/>
      </c>
      <c r="Q722" s="60" t="str">
        <f aca="false">IF(IsPro,IF($D722="","",IFERROR(MATCH($D722,Items!$A$5:$A$504,0),"")),"")</f>
        <v/>
      </c>
      <c r="R722" s="60" t="str">
        <f aca="false">IF(IsPro,IF($C722="","",IFERROR(MATCH($C722,Parties!$A$5:$A$304,0),"")),"")</f>
        <v/>
      </c>
      <c r="S722" s="61" t="str">
        <f aca="false">IF(IsPro,IF($D722="","",IF(OR($H722="",$H722="Credit"),0,P722)),"")</f>
        <v/>
      </c>
    </row>
    <row r="723" customFormat="false" ht="15" hidden="false" customHeight="false" outlineLevel="0" collapsed="false">
      <c r="A723" s="55"/>
      <c r="B723" s="56"/>
      <c r="C723" s="56"/>
      <c r="D723" s="56"/>
      <c r="E723" s="57"/>
      <c r="F723" s="58"/>
      <c r="G723" s="59"/>
      <c r="H723" s="56"/>
      <c r="I723" s="60" t="str">
        <f aca="false">IF(IsPro,IF($D723="","",IFERROR(INDEX(Items!$D$5:$D$504,Q723),"")),IF($D723="","","PRO PLAN"))</f>
        <v/>
      </c>
      <c r="J723" s="61" t="str">
        <f aca="false">IF(IsPro,IF($D723="","",IF($F723="",IFERROR(INDEX(Items!$G$5:$G$504,Q723),0),$F723)),"")</f>
        <v/>
      </c>
      <c r="K723" s="61" t="str">
        <f aca="false">IF(IsPro,IF($D723="","",ROUND(N($E723)*J723*(1-N($G723)),2)),"")</f>
        <v/>
      </c>
      <c r="L723" s="62" t="str">
        <f aca="false">IF(IsPro,IF($D723="","",IFERROR(INDEX(Items!$F$5:$F$504,Q723),0)),"")</f>
        <v/>
      </c>
      <c r="M723" s="61" t="str">
        <f aca="false">IF(IsPro,IF($D723="","",IF(AND(R723&lt;&gt;"",INDEX(Parties!$E$5:$E$304,R723)&lt;&gt;"",INDEX(Parties!$E$5:$E$304,R723)&lt;&gt;HomeState),0,ROUND(K723*L723/2,2))),"")</f>
        <v/>
      </c>
      <c r="N723" s="61" t="str">
        <f aca="false">IF(IsPro,IF($D723="","",M723),"")</f>
        <v/>
      </c>
      <c r="O723" s="61" t="str">
        <f aca="false">IF(IsPro,IF($D723="","",IF(AND(R723&lt;&gt;"",INDEX(Parties!$E$5:$E$304,R723)&lt;&gt;"",INDEX(Parties!$E$5:$E$304,R723)&lt;&gt;HomeState),ROUND(K723*L723,2),0)),"")</f>
        <v/>
      </c>
      <c r="P723" s="61" t="str">
        <f aca="false">IF(IsPro,IF($D723="","",K723+M723+N723+O723),"")</f>
        <v/>
      </c>
      <c r="Q723" s="60" t="str">
        <f aca="false">IF(IsPro,IF($D723="","",IFERROR(MATCH($D723,Items!$A$5:$A$504,0),"")),"")</f>
        <v/>
      </c>
      <c r="R723" s="60" t="str">
        <f aca="false">IF(IsPro,IF($C723="","",IFERROR(MATCH($C723,Parties!$A$5:$A$304,0),"")),"")</f>
        <v/>
      </c>
      <c r="S723" s="61" t="str">
        <f aca="false">IF(IsPro,IF($D723="","",IF(OR($H723="",$H723="Credit"),0,P723)),"")</f>
        <v/>
      </c>
    </row>
    <row r="724" customFormat="false" ht="15" hidden="false" customHeight="false" outlineLevel="0" collapsed="false">
      <c r="A724" s="55"/>
      <c r="B724" s="56"/>
      <c r="C724" s="56"/>
      <c r="D724" s="56"/>
      <c r="E724" s="57"/>
      <c r="F724" s="58"/>
      <c r="G724" s="59"/>
      <c r="H724" s="56"/>
      <c r="I724" s="60" t="str">
        <f aca="false">IF(IsPro,IF($D724="","",IFERROR(INDEX(Items!$D$5:$D$504,Q724),"")),IF($D724="","","PRO PLAN"))</f>
        <v/>
      </c>
      <c r="J724" s="61" t="str">
        <f aca="false">IF(IsPro,IF($D724="","",IF($F724="",IFERROR(INDEX(Items!$G$5:$G$504,Q724),0),$F724)),"")</f>
        <v/>
      </c>
      <c r="K724" s="61" t="str">
        <f aca="false">IF(IsPro,IF($D724="","",ROUND(N($E724)*J724*(1-N($G724)),2)),"")</f>
        <v/>
      </c>
      <c r="L724" s="62" t="str">
        <f aca="false">IF(IsPro,IF($D724="","",IFERROR(INDEX(Items!$F$5:$F$504,Q724),0)),"")</f>
        <v/>
      </c>
      <c r="M724" s="61" t="str">
        <f aca="false">IF(IsPro,IF($D724="","",IF(AND(R724&lt;&gt;"",INDEX(Parties!$E$5:$E$304,R724)&lt;&gt;"",INDEX(Parties!$E$5:$E$304,R724)&lt;&gt;HomeState),0,ROUND(K724*L724/2,2))),"")</f>
        <v/>
      </c>
      <c r="N724" s="61" t="str">
        <f aca="false">IF(IsPro,IF($D724="","",M724),"")</f>
        <v/>
      </c>
      <c r="O724" s="61" t="str">
        <f aca="false">IF(IsPro,IF($D724="","",IF(AND(R724&lt;&gt;"",INDEX(Parties!$E$5:$E$304,R724)&lt;&gt;"",INDEX(Parties!$E$5:$E$304,R724)&lt;&gt;HomeState),ROUND(K724*L724,2),0)),"")</f>
        <v/>
      </c>
      <c r="P724" s="61" t="str">
        <f aca="false">IF(IsPro,IF($D724="","",K724+M724+N724+O724),"")</f>
        <v/>
      </c>
      <c r="Q724" s="60" t="str">
        <f aca="false">IF(IsPro,IF($D724="","",IFERROR(MATCH($D724,Items!$A$5:$A$504,0),"")),"")</f>
        <v/>
      </c>
      <c r="R724" s="60" t="str">
        <f aca="false">IF(IsPro,IF($C724="","",IFERROR(MATCH($C724,Parties!$A$5:$A$304,0),"")),"")</f>
        <v/>
      </c>
      <c r="S724" s="61" t="str">
        <f aca="false">IF(IsPro,IF($D724="","",IF(OR($H724="",$H724="Credit"),0,P724)),"")</f>
        <v/>
      </c>
    </row>
    <row r="725" customFormat="false" ht="15" hidden="false" customHeight="false" outlineLevel="0" collapsed="false">
      <c r="A725" s="55"/>
      <c r="B725" s="56"/>
      <c r="C725" s="56"/>
      <c r="D725" s="56"/>
      <c r="E725" s="57"/>
      <c r="F725" s="58"/>
      <c r="G725" s="59"/>
      <c r="H725" s="56"/>
      <c r="I725" s="60" t="str">
        <f aca="false">IF(IsPro,IF($D725="","",IFERROR(INDEX(Items!$D$5:$D$504,Q725),"")),IF($D725="","","PRO PLAN"))</f>
        <v/>
      </c>
      <c r="J725" s="61" t="str">
        <f aca="false">IF(IsPro,IF($D725="","",IF($F725="",IFERROR(INDEX(Items!$G$5:$G$504,Q725),0),$F725)),"")</f>
        <v/>
      </c>
      <c r="K725" s="61" t="str">
        <f aca="false">IF(IsPro,IF($D725="","",ROUND(N($E725)*J725*(1-N($G725)),2)),"")</f>
        <v/>
      </c>
      <c r="L725" s="62" t="str">
        <f aca="false">IF(IsPro,IF($D725="","",IFERROR(INDEX(Items!$F$5:$F$504,Q725),0)),"")</f>
        <v/>
      </c>
      <c r="M725" s="61" t="str">
        <f aca="false">IF(IsPro,IF($D725="","",IF(AND(R725&lt;&gt;"",INDEX(Parties!$E$5:$E$304,R725)&lt;&gt;"",INDEX(Parties!$E$5:$E$304,R725)&lt;&gt;HomeState),0,ROUND(K725*L725/2,2))),"")</f>
        <v/>
      </c>
      <c r="N725" s="61" t="str">
        <f aca="false">IF(IsPro,IF($D725="","",M725),"")</f>
        <v/>
      </c>
      <c r="O725" s="61" t="str">
        <f aca="false">IF(IsPro,IF($D725="","",IF(AND(R725&lt;&gt;"",INDEX(Parties!$E$5:$E$304,R725)&lt;&gt;"",INDEX(Parties!$E$5:$E$304,R725)&lt;&gt;HomeState),ROUND(K725*L725,2),0)),"")</f>
        <v/>
      </c>
      <c r="P725" s="61" t="str">
        <f aca="false">IF(IsPro,IF($D725="","",K725+M725+N725+O725),"")</f>
        <v/>
      </c>
      <c r="Q725" s="60" t="str">
        <f aca="false">IF(IsPro,IF($D725="","",IFERROR(MATCH($D725,Items!$A$5:$A$504,0),"")),"")</f>
        <v/>
      </c>
      <c r="R725" s="60" t="str">
        <f aca="false">IF(IsPro,IF($C725="","",IFERROR(MATCH($C725,Parties!$A$5:$A$304,0),"")),"")</f>
        <v/>
      </c>
      <c r="S725" s="61" t="str">
        <f aca="false">IF(IsPro,IF($D725="","",IF(OR($H725="",$H725="Credit"),0,P725)),"")</f>
        <v/>
      </c>
    </row>
    <row r="726" customFormat="false" ht="15" hidden="false" customHeight="false" outlineLevel="0" collapsed="false">
      <c r="A726" s="55"/>
      <c r="B726" s="56"/>
      <c r="C726" s="56"/>
      <c r="D726" s="56"/>
      <c r="E726" s="57"/>
      <c r="F726" s="58"/>
      <c r="G726" s="59"/>
      <c r="H726" s="56"/>
      <c r="I726" s="60" t="str">
        <f aca="false">IF(IsPro,IF($D726="","",IFERROR(INDEX(Items!$D$5:$D$504,Q726),"")),IF($D726="","","PRO PLAN"))</f>
        <v/>
      </c>
      <c r="J726" s="61" t="str">
        <f aca="false">IF(IsPro,IF($D726="","",IF($F726="",IFERROR(INDEX(Items!$G$5:$G$504,Q726),0),$F726)),"")</f>
        <v/>
      </c>
      <c r="K726" s="61" t="str">
        <f aca="false">IF(IsPro,IF($D726="","",ROUND(N($E726)*J726*(1-N($G726)),2)),"")</f>
        <v/>
      </c>
      <c r="L726" s="62" t="str">
        <f aca="false">IF(IsPro,IF($D726="","",IFERROR(INDEX(Items!$F$5:$F$504,Q726),0)),"")</f>
        <v/>
      </c>
      <c r="M726" s="61" t="str">
        <f aca="false">IF(IsPro,IF($D726="","",IF(AND(R726&lt;&gt;"",INDEX(Parties!$E$5:$E$304,R726)&lt;&gt;"",INDEX(Parties!$E$5:$E$304,R726)&lt;&gt;HomeState),0,ROUND(K726*L726/2,2))),"")</f>
        <v/>
      </c>
      <c r="N726" s="61" t="str">
        <f aca="false">IF(IsPro,IF($D726="","",M726),"")</f>
        <v/>
      </c>
      <c r="O726" s="61" t="str">
        <f aca="false">IF(IsPro,IF($D726="","",IF(AND(R726&lt;&gt;"",INDEX(Parties!$E$5:$E$304,R726)&lt;&gt;"",INDEX(Parties!$E$5:$E$304,R726)&lt;&gt;HomeState),ROUND(K726*L726,2),0)),"")</f>
        <v/>
      </c>
      <c r="P726" s="61" t="str">
        <f aca="false">IF(IsPro,IF($D726="","",K726+M726+N726+O726),"")</f>
        <v/>
      </c>
      <c r="Q726" s="60" t="str">
        <f aca="false">IF(IsPro,IF($D726="","",IFERROR(MATCH($D726,Items!$A$5:$A$504,0),"")),"")</f>
        <v/>
      </c>
      <c r="R726" s="60" t="str">
        <f aca="false">IF(IsPro,IF($C726="","",IFERROR(MATCH($C726,Parties!$A$5:$A$304,0),"")),"")</f>
        <v/>
      </c>
      <c r="S726" s="61" t="str">
        <f aca="false">IF(IsPro,IF($D726="","",IF(OR($H726="",$H726="Credit"),0,P726)),"")</f>
        <v/>
      </c>
    </row>
    <row r="727" customFormat="false" ht="15" hidden="false" customHeight="false" outlineLevel="0" collapsed="false">
      <c r="A727" s="55"/>
      <c r="B727" s="56"/>
      <c r="C727" s="56"/>
      <c r="D727" s="56"/>
      <c r="E727" s="57"/>
      <c r="F727" s="58"/>
      <c r="G727" s="59"/>
      <c r="H727" s="56"/>
      <c r="I727" s="60" t="str">
        <f aca="false">IF(IsPro,IF($D727="","",IFERROR(INDEX(Items!$D$5:$D$504,Q727),"")),IF($D727="","","PRO PLAN"))</f>
        <v/>
      </c>
      <c r="J727" s="61" t="str">
        <f aca="false">IF(IsPro,IF($D727="","",IF($F727="",IFERROR(INDEX(Items!$G$5:$G$504,Q727),0),$F727)),"")</f>
        <v/>
      </c>
      <c r="K727" s="61" t="str">
        <f aca="false">IF(IsPro,IF($D727="","",ROUND(N($E727)*J727*(1-N($G727)),2)),"")</f>
        <v/>
      </c>
      <c r="L727" s="62" t="str">
        <f aca="false">IF(IsPro,IF($D727="","",IFERROR(INDEX(Items!$F$5:$F$504,Q727),0)),"")</f>
        <v/>
      </c>
      <c r="M727" s="61" t="str">
        <f aca="false">IF(IsPro,IF($D727="","",IF(AND(R727&lt;&gt;"",INDEX(Parties!$E$5:$E$304,R727)&lt;&gt;"",INDEX(Parties!$E$5:$E$304,R727)&lt;&gt;HomeState),0,ROUND(K727*L727/2,2))),"")</f>
        <v/>
      </c>
      <c r="N727" s="61" t="str">
        <f aca="false">IF(IsPro,IF($D727="","",M727),"")</f>
        <v/>
      </c>
      <c r="O727" s="61" t="str">
        <f aca="false">IF(IsPro,IF($D727="","",IF(AND(R727&lt;&gt;"",INDEX(Parties!$E$5:$E$304,R727)&lt;&gt;"",INDEX(Parties!$E$5:$E$304,R727)&lt;&gt;HomeState),ROUND(K727*L727,2),0)),"")</f>
        <v/>
      </c>
      <c r="P727" s="61" t="str">
        <f aca="false">IF(IsPro,IF($D727="","",K727+M727+N727+O727),"")</f>
        <v/>
      </c>
      <c r="Q727" s="60" t="str">
        <f aca="false">IF(IsPro,IF($D727="","",IFERROR(MATCH($D727,Items!$A$5:$A$504,0),"")),"")</f>
        <v/>
      </c>
      <c r="R727" s="60" t="str">
        <f aca="false">IF(IsPro,IF($C727="","",IFERROR(MATCH($C727,Parties!$A$5:$A$304,0),"")),"")</f>
        <v/>
      </c>
      <c r="S727" s="61" t="str">
        <f aca="false">IF(IsPro,IF($D727="","",IF(OR($H727="",$H727="Credit"),0,P727)),"")</f>
        <v/>
      </c>
    </row>
    <row r="728" customFormat="false" ht="15" hidden="false" customHeight="false" outlineLevel="0" collapsed="false">
      <c r="A728" s="55"/>
      <c r="B728" s="56"/>
      <c r="C728" s="56"/>
      <c r="D728" s="56"/>
      <c r="E728" s="57"/>
      <c r="F728" s="58"/>
      <c r="G728" s="59"/>
      <c r="H728" s="56"/>
      <c r="I728" s="60" t="str">
        <f aca="false">IF(IsPro,IF($D728="","",IFERROR(INDEX(Items!$D$5:$D$504,Q728),"")),IF($D728="","","PRO PLAN"))</f>
        <v/>
      </c>
      <c r="J728" s="61" t="str">
        <f aca="false">IF(IsPro,IF($D728="","",IF($F728="",IFERROR(INDEX(Items!$G$5:$G$504,Q728),0),$F728)),"")</f>
        <v/>
      </c>
      <c r="K728" s="61" t="str">
        <f aca="false">IF(IsPro,IF($D728="","",ROUND(N($E728)*J728*(1-N($G728)),2)),"")</f>
        <v/>
      </c>
      <c r="L728" s="62" t="str">
        <f aca="false">IF(IsPro,IF($D728="","",IFERROR(INDEX(Items!$F$5:$F$504,Q728),0)),"")</f>
        <v/>
      </c>
      <c r="M728" s="61" t="str">
        <f aca="false">IF(IsPro,IF($D728="","",IF(AND(R728&lt;&gt;"",INDEX(Parties!$E$5:$E$304,R728)&lt;&gt;"",INDEX(Parties!$E$5:$E$304,R728)&lt;&gt;HomeState),0,ROUND(K728*L728/2,2))),"")</f>
        <v/>
      </c>
      <c r="N728" s="61" t="str">
        <f aca="false">IF(IsPro,IF($D728="","",M728),"")</f>
        <v/>
      </c>
      <c r="O728" s="61" t="str">
        <f aca="false">IF(IsPro,IF($D728="","",IF(AND(R728&lt;&gt;"",INDEX(Parties!$E$5:$E$304,R728)&lt;&gt;"",INDEX(Parties!$E$5:$E$304,R728)&lt;&gt;HomeState),ROUND(K728*L728,2),0)),"")</f>
        <v/>
      </c>
      <c r="P728" s="61" t="str">
        <f aca="false">IF(IsPro,IF($D728="","",K728+M728+N728+O728),"")</f>
        <v/>
      </c>
      <c r="Q728" s="60" t="str">
        <f aca="false">IF(IsPro,IF($D728="","",IFERROR(MATCH($D728,Items!$A$5:$A$504,0),"")),"")</f>
        <v/>
      </c>
      <c r="R728" s="60" t="str">
        <f aca="false">IF(IsPro,IF($C728="","",IFERROR(MATCH($C728,Parties!$A$5:$A$304,0),"")),"")</f>
        <v/>
      </c>
      <c r="S728" s="61" t="str">
        <f aca="false">IF(IsPro,IF($D728="","",IF(OR($H728="",$H728="Credit"),0,P728)),"")</f>
        <v/>
      </c>
    </row>
    <row r="729" customFormat="false" ht="15" hidden="false" customHeight="false" outlineLevel="0" collapsed="false">
      <c r="A729" s="55"/>
      <c r="B729" s="56"/>
      <c r="C729" s="56"/>
      <c r="D729" s="56"/>
      <c r="E729" s="57"/>
      <c r="F729" s="58"/>
      <c r="G729" s="59"/>
      <c r="H729" s="56"/>
      <c r="I729" s="60" t="str">
        <f aca="false">IF(IsPro,IF($D729="","",IFERROR(INDEX(Items!$D$5:$D$504,Q729),"")),IF($D729="","","PRO PLAN"))</f>
        <v/>
      </c>
      <c r="J729" s="61" t="str">
        <f aca="false">IF(IsPro,IF($D729="","",IF($F729="",IFERROR(INDEX(Items!$G$5:$G$504,Q729),0),$F729)),"")</f>
        <v/>
      </c>
      <c r="K729" s="61" t="str">
        <f aca="false">IF(IsPro,IF($D729="","",ROUND(N($E729)*J729*(1-N($G729)),2)),"")</f>
        <v/>
      </c>
      <c r="L729" s="62" t="str">
        <f aca="false">IF(IsPro,IF($D729="","",IFERROR(INDEX(Items!$F$5:$F$504,Q729),0)),"")</f>
        <v/>
      </c>
      <c r="M729" s="61" t="str">
        <f aca="false">IF(IsPro,IF($D729="","",IF(AND(R729&lt;&gt;"",INDEX(Parties!$E$5:$E$304,R729)&lt;&gt;"",INDEX(Parties!$E$5:$E$304,R729)&lt;&gt;HomeState),0,ROUND(K729*L729/2,2))),"")</f>
        <v/>
      </c>
      <c r="N729" s="61" t="str">
        <f aca="false">IF(IsPro,IF($D729="","",M729),"")</f>
        <v/>
      </c>
      <c r="O729" s="61" t="str">
        <f aca="false">IF(IsPro,IF($D729="","",IF(AND(R729&lt;&gt;"",INDEX(Parties!$E$5:$E$304,R729)&lt;&gt;"",INDEX(Parties!$E$5:$E$304,R729)&lt;&gt;HomeState),ROUND(K729*L729,2),0)),"")</f>
        <v/>
      </c>
      <c r="P729" s="61" t="str">
        <f aca="false">IF(IsPro,IF($D729="","",K729+M729+N729+O729),"")</f>
        <v/>
      </c>
      <c r="Q729" s="60" t="str">
        <f aca="false">IF(IsPro,IF($D729="","",IFERROR(MATCH($D729,Items!$A$5:$A$504,0),"")),"")</f>
        <v/>
      </c>
      <c r="R729" s="60" t="str">
        <f aca="false">IF(IsPro,IF($C729="","",IFERROR(MATCH($C729,Parties!$A$5:$A$304,0),"")),"")</f>
        <v/>
      </c>
      <c r="S729" s="61" t="str">
        <f aca="false">IF(IsPro,IF($D729="","",IF(OR($H729="",$H729="Credit"),0,P729)),"")</f>
        <v/>
      </c>
    </row>
    <row r="730" customFormat="false" ht="15" hidden="false" customHeight="false" outlineLevel="0" collapsed="false">
      <c r="A730" s="55"/>
      <c r="B730" s="56"/>
      <c r="C730" s="56"/>
      <c r="D730" s="56"/>
      <c r="E730" s="57"/>
      <c r="F730" s="58"/>
      <c r="G730" s="59"/>
      <c r="H730" s="56"/>
      <c r="I730" s="60" t="str">
        <f aca="false">IF(IsPro,IF($D730="","",IFERROR(INDEX(Items!$D$5:$D$504,Q730),"")),IF($D730="","","PRO PLAN"))</f>
        <v/>
      </c>
      <c r="J730" s="61" t="str">
        <f aca="false">IF(IsPro,IF($D730="","",IF($F730="",IFERROR(INDEX(Items!$G$5:$G$504,Q730),0),$F730)),"")</f>
        <v/>
      </c>
      <c r="K730" s="61" t="str">
        <f aca="false">IF(IsPro,IF($D730="","",ROUND(N($E730)*J730*(1-N($G730)),2)),"")</f>
        <v/>
      </c>
      <c r="L730" s="62" t="str">
        <f aca="false">IF(IsPro,IF($D730="","",IFERROR(INDEX(Items!$F$5:$F$504,Q730),0)),"")</f>
        <v/>
      </c>
      <c r="M730" s="61" t="str">
        <f aca="false">IF(IsPro,IF($D730="","",IF(AND(R730&lt;&gt;"",INDEX(Parties!$E$5:$E$304,R730)&lt;&gt;"",INDEX(Parties!$E$5:$E$304,R730)&lt;&gt;HomeState),0,ROUND(K730*L730/2,2))),"")</f>
        <v/>
      </c>
      <c r="N730" s="61" t="str">
        <f aca="false">IF(IsPro,IF($D730="","",M730),"")</f>
        <v/>
      </c>
      <c r="O730" s="61" t="str">
        <f aca="false">IF(IsPro,IF($D730="","",IF(AND(R730&lt;&gt;"",INDEX(Parties!$E$5:$E$304,R730)&lt;&gt;"",INDEX(Parties!$E$5:$E$304,R730)&lt;&gt;HomeState),ROUND(K730*L730,2),0)),"")</f>
        <v/>
      </c>
      <c r="P730" s="61" t="str">
        <f aca="false">IF(IsPro,IF($D730="","",K730+M730+N730+O730),"")</f>
        <v/>
      </c>
      <c r="Q730" s="60" t="str">
        <f aca="false">IF(IsPro,IF($D730="","",IFERROR(MATCH($D730,Items!$A$5:$A$504,0),"")),"")</f>
        <v/>
      </c>
      <c r="R730" s="60" t="str">
        <f aca="false">IF(IsPro,IF($C730="","",IFERROR(MATCH($C730,Parties!$A$5:$A$304,0),"")),"")</f>
        <v/>
      </c>
      <c r="S730" s="61" t="str">
        <f aca="false">IF(IsPro,IF($D730="","",IF(OR($H730="",$H730="Credit"),0,P730)),"")</f>
        <v/>
      </c>
    </row>
    <row r="731" customFormat="false" ht="15" hidden="false" customHeight="false" outlineLevel="0" collapsed="false">
      <c r="A731" s="55"/>
      <c r="B731" s="56"/>
      <c r="C731" s="56"/>
      <c r="D731" s="56"/>
      <c r="E731" s="57"/>
      <c r="F731" s="58"/>
      <c r="G731" s="59"/>
      <c r="H731" s="56"/>
      <c r="I731" s="60" t="str">
        <f aca="false">IF(IsPro,IF($D731="","",IFERROR(INDEX(Items!$D$5:$D$504,Q731),"")),IF($D731="","","PRO PLAN"))</f>
        <v/>
      </c>
      <c r="J731" s="61" t="str">
        <f aca="false">IF(IsPro,IF($D731="","",IF($F731="",IFERROR(INDEX(Items!$G$5:$G$504,Q731),0),$F731)),"")</f>
        <v/>
      </c>
      <c r="K731" s="61" t="str">
        <f aca="false">IF(IsPro,IF($D731="","",ROUND(N($E731)*J731*(1-N($G731)),2)),"")</f>
        <v/>
      </c>
      <c r="L731" s="62" t="str">
        <f aca="false">IF(IsPro,IF($D731="","",IFERROR(INDEX(Items!$F$5:$F$504,Q731),0)),"")</f>
        <v/>
      </c>
      <c r="M731" s="61" t="str">
        <f aca="false">IF(IsPro,IF($D731="","",IF(AND(R731&lt;&gt;"",INDEX(Parties!$E$5:$E$304,R731)&lt;&gt;"",INDEX(Parties!$E$5:$E$304,R731)&lt;&gt;HomeState),0,ROUND(K731*L731/2,2))),"")</f>
        <v/>
      </c>
      <c r="N731" s="61" t="str">
        <f aca="false">IF(IsPro,IF($D731="","",M731),"")</f>
        <v/>
      </c>
      <c r="O731" s="61" t="str">
        <f aca="false">IF(IsPro,IF($D731="","",IF(AND(R731&lt;&gt;"",INDEX(Parties!$E$5:$E$304,R731)&lt;&gt;"",INDEX(Parties!$E$5:$E$304,R731)&lt;&gt;HomeState),ROUND(K731*L731,2),0)),"")</f>
        <v/>
      </c>
      <c r="P731" s="61" t="str">
        <f aca="false">IF(IsPro,IF($D731="","",K731+M731+N731+O731),"")</f>
        <v/>
      </c>
      <c r="Q731" s="60" t="str">
        <f aca="false">IF(IsPro,IF($D731="","",IFERROR(MATCH($D731,Items!$A$5:$A$504,0),"")),"")</f>
        <v/>
      </c>
      <c r="R731" s="60" t="str">
        <f aca="false">IF(IsPro,IF($C731="","",IFERROR(MATCH($C731,Parties!$A$5:$A$304,0),"")),"")</f>
        <v/>
      </c>
      <c r="S731" s="61" t="str">
        <f aca="false">IF(IsPro,IF($D731="","",IF(OR($H731="",$H731="Credit"),0,P731)),"")</f>
        <v/>
      </c>
    </row>
    <row r="732" customFormat="false" ht="15" hidden="false" customHeight="false" outlineLevel="0" collapsed="false">
      <c r="A732" s="55"/>
      <c r="B732" s="56"/>
      <c r="C732" s="56"/>
      <c r="D732" s="56"/>
      <c r="E732" s="57"/>
      <c r="F732" s="58"/>
      <c r="G732" s="59"/>
      <c r="H732" s="56"/>
      <c r="I732" s="60" t="str">
        <f aca="false">IF(IsPro,IF($D732="","",IFERROR(INDEX(Items!$D$5:$D$504,Q732),"")),IF($D732="","","PRO PLAN"))</f>
        <v/>
      </c>
      <c r="J732" s="61" t="str">
        <f aca="false">IF(IsPro,IF($D732="","",IF($F732="",IFERROR(INDEX(Items!$G$5:$G$504,Q732),0),$F732)),"")</f>
        <v/>
      </c>
      <c r="K732" s="61" t="str">
        <f aca="false">IF(IsPro,IF($D732="","",ROUND(N($E732)*J732*(1-N($G732)),2)),"")</f>
        <v/>
      </c>
      <c r="L732" s="62" t="str">
        <f aca="false">IF(IsPro,IF($D732="","",IFERROR(INDEX(Items!$F$5:$F$504,Q732),0)),"")</f>
        <v/>
      </c>
      <c r="M732" s="61" t="str">
        <f aca="false">IF(IsPro,IF($D732="","",IF(AND(R732&lt;&gt;"",INDEX(Parties!$E$5:$E$304,R732)&lt;&gt;"",INDEX(Parties!$E$5:$E$304,R732)&lt;&gt;HomeState),0,ROUND(K732*L732/2,2))),"")</f>
        <v/>
      </c>
      <c r="N732" s="61" t="str">
        <f aca="false">IF(IsPro,IF($D732="","",M732),"")</f>
        <v/>
      </c>
      <c r="O732" s="61" t="str">
        <f aca="false">IF(IsPro,IF($D732="","",IF(AND(R732&lt;&gt;"",INDEX(Parties!$E$5:$E$304,R732)&lt;&gt;"",INDEX(Parties!$E$5:$E$304,R732)&lt;&gt;HomeState),ROUND(K732*L732,2),0)),"")</f>
        <v/>
      </c>
      <c r="P732" s="61" t="str">
        <f aca="false">IF(IsPro,IF($D732="","",K732+M732+N732+O732),"")</f>
        <v/>
      </c>
      <c r="Q732" s="60" t="str">
        <f aca="false">IF(IsPro,IF($D732="","",IFERROR(MATCH($D732,Items!$A$5:$A$504,0),"")),"")</f>
        <v/>
      </c>
      <c r="R732" s="60" t="str">
        <f aca="false">IF(IsPro,IF($C732="","",IFERROR(MATCH($C732,Parties!$A$5:$A$304,0),"")),"")</f>
        <v/>
      </c>
      <c r="S732" s="61" t="str">
        <f aca="false">IF(IsPro,IF($D732="","",IF(OR($H732="",$H732="Credit"),0,P732)),"")</f>
        <v/>
      </c>
    </row>
    <row r="733" customFormat="false" ht="15" hidden="false" customHeight="false" outlineLevel="0" collapsed="false">
      <c r="A733" s="55"/>
      <c r="B733" s="56"/>
      <c r="C733" s="56"/>
      <c r="D733" s="56"/>
      <c r="E733" s="57"/>
      <c r="F733" s="58"/>
      <c r="G733" s="59"/>
      <c r="H733" s="56"/>
      <c r="I733" s="60" t="str">
        <f aca="false">IF(IsPro,IF($D733="","",IFERROR(INDEX(Items!$D$5:$D$504,Q733),"")),IF($D733="","","PRO PLAN"))</f>
        <v/>
      </c>
      <c r="J733" s="61" t="str">
        <f aca="false">IF(IsPro,IF($D733="","",IF($F733="",IFERROR(INDEX(Items!$G$5:$G$504,Q733),0),$F733)),"")</f>
        <v/>
      </c>
      <c r="K733" s="61" t="str">
        <f aca="false">IF(IsPro,IF($D733="","",ROUND(N($E733)*J733*(1-N($G733)),2)),"")</f>
        <v/>
      </c>
      <c r="L733" s="62" t="str">
        <f aca="false">IF(IsPro,IF($D733="","",IFERROR(INDEX(Items!$F$5:$F$504,Q733),0)),"")</f>
        <v/>
      </c>
      <c r="M733" s="61" t="str">
        <f aca="false">IF(IsPro,IF($D733="","",IF(AND(R733&lt;&gt;"",INDEX(Parties!$E$5:$E$304,R733)&lt;&gt;"",INDEX(Parties!$E$5:$E$304,R733)&lt;&gt;HomeState),0,ROUND(K733*L733/2,2))),"")</f>
        <v/>
      </c>
      <c r="N733" s="61" t="str">
        <f aca="false">IF(IsPro,IF($D733="","",M733),"")</f>
        <v/>
      </c>
      <c r="O733" s="61" t="str">
        <f aca="false">IF(IsPro,IF($D733="","",IF(AND(R733&lt;&gt;"",INDEX(Parties!$E$5:$E$304,R733)&lt;&gt;"",INDEX(Parties!$E$5:$E$304,R733)&lt;&gt;HomeState),ROUND(K733*L733,2),0)),"")</f>
        <v/>
      </c>
      <c r="P733" s="61" t="str">
        <f aca="false">IF(IsPro,IF($D733="","",K733+M733+N733+O733),"")</f>
        <v/>
      </c>
      <c r="Q733" s="60" t="str">
        <f aca="false">IF(IsPro,IF($D733="","",IFERROR(MATCH($D733,Items!$A$5:$A$504,0),"")),"")</f>
        <v/>
      </c>
      <c r="R733" s="60" t="str">
        <f aca="false">IF(IsPro,IF($C733="","",IFERROR(MATCH($C733,Parties!$A$5:$A$304,0),"")),"")</f>
        <v/>
      </c>
      <c r="S733" s="61" t="str">
        <f aca="false">IF(IsPro,IF($D733="","",IF(OR($H733="",$H733="Credit"),0,P733)),"")</f>
        <v/>
      </c>
    </row>
    <row r="734" customFormat="false" ht="15" hidden="false" customHeight="false" outlineLevel="0" collapsed="false">
      <c r="A734" s="55"/>
      <c r="B734" s="56"/>
      <c r="C734" s="56"/>
      <c r="D734" s="56"/>
      <c r="E734" s="57"/>
      <c r="F734" s="58"/>
      <c r="G734" s="59"/>
      <c r="H734" s="56"/>
      <c r="I734" s="60" t="str">
        <f aca="false">IF(IsPro,IF($D734="","",IFERROR(INDEX(Items!$D$5:$D$504,Q734),"")),IF($D734="","","PRO PLAN"))</f>
        <v/>
      </c>
      <c r="J734" s="61" t="str">
        <f aca="false">IF(IsPro,IF($D734="","",IF($F734="",IFERROR(INDEX(Items!$G$5:$G$504,Q734),0),$F734)),"")</f>
        <v/>
      </c>
      <c r="K734" s="61" t="str">
        <f aca="false">IF(IsPro,IF($D734="","",ROUND(N($E734)*J734*(1-N($G734)),2)),"")</f>
        <v/>
      </c>
      <c r="L734" s="62" t="str">
        <f aca="false">IF(IsPro,IF($D734="","",IFERROR(INDEX(Items!$F$5:$F$504,Q734),0)),"")</f>
        <v/>
      </c>
      <c r="M734" s="61" t="str">
        <f aca="false">IF(IsPro,IF($D734="","",IF(AND(R734&lt;&gt;"",INDEX(Parties!$E$5:$E$304,R734)&lt;&gt;"",INDEX(Parties!$E$5:$E$304,R734)&lt;&gt;HomeState),0,ROUND(K734*L734/2,2))),"")</f>
        <v/>
      </c>
      <c r="N734" s="61" t="str">
        <f aca="false">IF(IsPro,IF($D734="","",M734),"")</f>
        <v/>
      </c>
      <c r="O734" s="61" t="str">
        <f aca="false">IF(IsPro,IF($D734="","",IF(AND(R734&lt;&gt;"",INDEX(Parties!$E$5:$E$304,R734)&lt;&gt;"",INDEX(Parties!$E$5:$E$304,R734)&lt;&gt;HomeState),ROUND(K734*L734,2),0)),"")</f>
        <v/>
      </c>
      <c r="P734" s="61" t="str">
        <f aca="false">IF(IsPro,IF($D734="","",K734+M734+N734+O734),"")</f>
        <v/>
      </c>
      <c r="Q734" s="60" t="str">
        <f aca="false">IF(IsPro,IF($D734="","",IFERROR(MATCH($D734,Items!$A$5:$A$504,0),"")),"")</f>
        <v/>
      </c>
      <c r="R734" s="60" t="str">
        <f aca="false">IF(IsPro,IF($C734="","",IFERROR(MATCH($C734,Parties!$A$5:$A$304,0),"")),"")</f>
        <v/>
      </c>
      <c r="S734" s="61" t="str">
        <f aca="false">IF(IsPro,IF($D734="","",IF(OR($H734="",$H734="Credit"),0,P734)),"")</f>
        <v/>
      </c>
    </row>
    <row r="735" customFormat="false" ht="15" hidden="false" customHeight="false" outlineLevel="0" collapsed="false">
      <c r="A735" s="55"/>
      <c r="B735" s="56"/>
      <c r="C735" s="56"/>
      <c r="D735" s="56"/>
      <c r="E735" s="57"/>
      <c r="F735" s="58"/>
      <c r="G735" s="59"/>
      <c r="H735" s="56"/>
      <c r="I735" s="60" t="str">
        <f aca="false">IF(IsPro,IF($D735="","",IFERROR(INDEX(Items!$D$5:$D$504,Q735),"")),IF($D735="","","PRO PLAN"))</f>
        <v/>
      </c>
      <c r="J735" s="61" t="str">
        <f aca="false">IF(IsPro,IF($D735="","",IF($F735="",IFERROR(INDEX(Items!$G$5:$G$504,Q735),0),$F735)),"")</f>
        <v/>
      </c>
      <c r="K735" s="61" t="str">
        <f aca="false">IF(IsPro,IF($D735="","",ROUND(N($E735)*J735*(1-N($G735)),2)),"")</f>
        <v/>
      </c>
      <c r="L735" s="62" t="str">
        <f aca="false">IF(IsPro,IF($D735="","",IFERROR(INDEX(Items!$F$5:$F$504,Q735),0)),"")</f>
        <v/>
      </c>
      <c r="M735" s="61" t="str">
        <f aca="false">IF(IsPro,IF($D735="","",IF(AND(R735&lt;&gt;"",INDEX(Parties!$E$5:$E$304,R735)&lt;&gt;"",INDEX(Parties!$E$5:$E$304,R735)&lt;&gt;HomeState),0,ROUND(K735*L735/2,2))),"")</f>
        <v/>
      </c>
      <c r="N735" s="61" t="str">
        <f aca="false">IF(IsPro,IF($D735="","",M735),"")</f>
        <v/>
      </c>
      <c r="O735" s="61" t="str">
        <f aca="false">IF(IsPro,IF($D735="","",IF(AND(R735&lt;&gt;"",INDEX(Parties!$E$5:$E$304,R735)&lt;&gt;"",INDEX(Parties!$E$5:$E$304,R735)&lt;&gt;HomeState),ROUND(K735*L735,2),0)),"")</f>
        <v/>
      </c>
      <c r="P735" s="61" t="str">
        <f aca="false">IF(IsPro,IF($D735="","",K735+M735+N735+O735),"")</f>
        <v/>
      </c>
      <c r="Q735" s="60" t="str">
        <f aca="false">IF(IsPro,IF($D735="","",IFERROR(MATCH($D735,Items!$A$5:$A$504,0),"")),"")</f>
        <v/>
      </c>
      <c r="R735" s="60" t="str">
        <f aca="false">IF(IsPro,IF($C735="","",IFERROR(MATCH($C735,Parties!$A$5:$A$304,0),"")),"")</f>
        <v/>
      </c>
      <c r="S735" s="61" t="str">
        <f aca="false">IF(IsPro,IF($D735="","",IF(OR($H735="",$H735="Credit"),0,P735)),"")</f>
        <v/>
      </c>
    </row>
    <row r="736" customFormat="false" ht="15" hidden="false" customHeight="false" outlineLevel="0" collapsed="false">
      <c r="A736" s="55"/>
      <c r="B736" s="56"/>
      <c r="C736" s="56"/>
      <c r="D736" s="56"/>
      <c r="E736" s="57"/>
      <c r="F736" s="58"/>
      <c r="G736" s="59"/>
      <c r="H736" s="56"/>
      <c r="I736" s="60" t="str">
        <f aca="false">IF(IsPro,IF($D736="","",IFERROR(INDEX(Items!$D$5:$D$504,Q736),"")),IF($D736="","","PRO PLAN"))</f>
        <v/>
      </c>
      <c r="J736" s="61" t="str">
        <f aca="false">IF(IsPro,IF($D736="","",IF($F736="",IFERROR(INDEX(Items!$G$5:$G$504,Q736),0),$F736)),"")</f>
        <v/>
      </c>
      <c r="K736" s="61" t="str">
        <f aca="false">IF(IsPro,IF($D736="","",ROUND(N($E736)*J736*(1-N($G736)),2)),"")</f>
        <v/>
      </c>
      <c r="L736" s="62" t="str">
        <f aca="false">IF(IsPro,IF($D736="","",IFERROR(INDEX(Items!$F$5:$F$504,Q736),0)),"")</f>
        <v/>
      </c>
      <c r="M736" s="61" t="str">
        <f aca="false">IF(IsPro,IF($D736="","",IF(AND(R736&lt;&gt;"",INDEX(Parties!$E$5:$E$304,R736)&lt;&gt;"",INDEX(Parties!$E$5:$E$304,R736)&lt;&gt;HomeState),0,ROUND(K736*L736/2,2))),"")</f>
        <v/>
      </c>
      <c r="N736" s="61" t="str">
        <f aca="false">IF(IsPro,IF($D736="","",M736),"")</f>
        <v/>
      </c>
      <c r="O736" s="61" t="str">
        <f aca="false">IF(IsPro,IF($D736="","",IF(AND(R736&lt;&gt;"",INDEX(Parties!$E$5:$E$304,R736)&lt;&gt;"",INDEX(Parties!$E$5:$E$304,R736)&lt;&gt;HomeState),ROUND(K736*L736,2),0)),"")</f>
        <v/>
      </c>
      <c r="P736" s="61" t="str">
        <f aca="false">IF(IsPro,IF($D736="","",K736+M736+N736+O736),"")</f>
        <v/>
      </c>
      <c r="Q736" s="60" t="str">
        <f aca="false">IF(IsPro,IF($D736="","",IFERROR(MATCH($D736,Items!$A$5:$A$504,0),"")),"")</f>
        <v/>
      </c>
      <c r="R736" s="60" t="str">
        <f aca="false">IF(IsPro,IF($C736="","",IFERROR(MATCH($C736,Parties!$A$5:$A$304,0),"")),"")</f>
        <v/>
      </c>
      <c r="S736" s="61" t="str">
        <f aca="false">IF(IsPro,IF($D736="","",IF(OR($H736="",$H736="Credit"),0,P736)),"")</f>
        <v/>
      </c>
    </row>
    <row r="737" customFormat="false" ht="15" hidden="false" customHeight="false" outlineLevel="0" collapsed="false">
      <c r="A737" s="55"/>
      <c r="B737" s="56"/>
      <c r="C737" s="56"/>
      <c r="D737" s="56"/>
      <c r="E737" s="57"/>
      <c r="F737" s="58"/>
      <c r="G737" s="59"/>
      <c r="H737" s="56"/>
      <c r="I737" s="60" t="str">
        <f aca="false">IF(IsPro,IF($D737="","",IFERROR(INDEX(Items!$D$5:$D$504,Q737),"")),IF($D737="","","PRO PLAN"))</f>
        <v/>
      </c>
      <c r="J737" s="61" t="str">
        <f aca="false">IF(IsPro,IF($D737="","",IF($F737="",IFERROR(INDEX(Items!$G$5:$G$504,Q737),0),$F737)),"")</f>
        <v/>
      </c>
      <c r="K737" s="61" t="str">
        <f aca="false">IF(IsPro,IF($D737="","",ROUND(N($E737)*J737*(1-N($G737)),2)),"")</f>
        <v/>
      </c>
      <c r="L737" s="62" t="str">
        <f aca="false">IF(IsPro,IF($D737="","",IFERROR(INDEX(Items!$F$5:$F$504,Q737),0)),"")</f>
        <v/>
      </c>
      <c r="M737" s="61" t="str">
        <f aca="false">IF(IsPro,IF($D737="","",IF(AND(R737&lt;&gt;"",INDEX(Parties!$E$5:$E$304,R737)&lt;&gt;"",INDEX(Parties!$E$5:$E$304,R737)&lt;&gt;HomeState),0,ROUND(K737*L737/2,2))),"")</f>
        <v/>
      </c>
      <c r="N737" s="61" t="str">
        <f aca="false">IF(IsPro,IF($D737="","",M737),"")</f>
        <v/>
      </c>
      <c r="O737" s="61" t="str">
        <f aca="false">IF(IsPro,IF($D737="","",IF(AND(R737&lt;&gt;"",INDEX(Parties!$E$5:$E$304,R737)&lt;&gt;"",INDEX(Parties!$E$5:$E$304,R737)&lt;&gt;HomeState),ROUND(K737*L737,2),0)),"")</f>
        <v/>
      </c>
      <c r="P737" s="61" t="str">
        <f aca="false">IF(IsPro,IF($D737="","",K737+M737+N737+O737),"")</f>
        <v/>
      </c>
      <c r="Q737" s="60" t="str">
        <f aca="false">IF(IsPro,IF($D737="","",IFERROR(MATCH($D737,Items!$A$5:$A$504,0),"")),"")</f>
        <v/>
      </c>
      <c r="R737" s="60" t="str">
        <f aca="false">IF(IsPro,IF($C737="","",IFERROR(MATCH($C737,Parties!$A$5:$A$304,0),"")),"")</f>
        <v/>
      </c>
      <c r="S737" s="61" t="str">
        <f aca="false">IF(IsPro,IF($D737="","",IF(OR($H737="",$H737="Credit"),0,P737)),"")</f>
        <v/>
      </c>
    </row>
    <row r="738" customFormat="false" ht="15" hidden="false" customHeight="false" outlineLevel="0" collapsed="false">
      <c r="A738" s="55"/>
      <c r="B738" s="56"/>
      <c r="C738" s="56"/>
      <c r="D738" s="56"/>
      <c r="E738" s="57"/>
      <c r="F738" s="58"/>
      <c r="G738" s="59"/>
      <c r="H738" s="56"/>
      <c r="I738" s="60" t="str">
        <f aca="false">IF(IsPro,IF($D738="","",IFERROR(INDEX(Items!$D$5:$D$504,Q738),"")),IF($D738="","","PRO PLAN"))</f>
        <v/>
      </c>
      <c r="J738" s="61" t="str">
        <f aca="false">IF(IsPro,IF($D738="","",IF($F738="",IFERROR(INDEX(Items!$G$5:$G$504,Q738),0),$F738)),"")</f>
        <v/>
      </c>
      <c r="K738" s="61" t="str">
        <f aca="false">IF(IsPro,IF($D738="","",ROUND(N($E738)*J738*(1-N($G738)),2)),"")</f>
        <v/>
      </c>
      <c r="L738" s="62" t="str">
        <f aca="false">IF(IsPro,IF($D738="","",IFERROR(INDEX(Items!$F$5:$F$504,Q738),0)),"")</f>
        <v/>
      </c>
      <c r="M738" s="61" t="str">
        <f aca="false">IF(IsPro,IF($D738="","",IF(AND(R738&lt;&gt;"",INDEX(Parties!$E$5:$E$304,R738)&lt;&gt;"",INDEX(Parties!$E$5:$E$304,R738)&lt;&gt;HomeState),0,ROUND(K738*L738/2,2))),"")</f>
        <v/>
      </c>
      <c r="N738" s="61" t="str">
        <f aca="false">IF(IsPro,IF($D738="","",M738),"")</f>
        <v/>
      </c>
      <c r="O738" s="61" t="str">
        <f aca="false">IF(IsPro,IF($D738="","",IF(AND(R738&lt;&gt;"",INDEX(Parties!$E$5:$E$304,R738)&lt;&gt;"",INDEX(Parties!$E$5:$E$304,R738)&lt;&gt;HomeState),ROUND(K738*L738,2),0)),"")</f>
        <v/>
      </c>
      <c r="P738" s="61" t="str">
        <f aca="false">IF(IsPro,IF($D738="","",K738+M738+N738+O738),"")</f>
        <v/>
      </c>
      <c r="Q738" s="60" t="str">
        <f aca="false">IF(IsPro,IF($D738="","",IFERROR(MATCH($D738,Items!$A$5:$A$504,0),"")),"")</f>
        <v/>
      </c>
      <c r="R738" s="60" t="str">
        <f aca="false">IF(IsPro,IF($C738="","",IFERROR(MATCH($C738,Parties!$A$5:$A$304,0),"")),"")</f>
        <v/>
      </c>
      <c r="S738" s="61" t="str">
        <f aca="false">IF(IsPro,IF($D738="","",IF(OR($H738="",$H738="Credit"),0,P738)),"")</f>
        <v/>
      </c>
    </row>
    <row r="739" customFormat="false" ht="15" hidden="false" customHeight="false" outlineLevel="0" collapsed="false">
      <c r="A739" s="55"/>
      <c r="B739" s="56"/>
      <c r="C739" s="56"/>
      <c r="D739" s="56"/>
      <c r="E739" s="57"/>
      <c r="F739" s="58"/>
      <c r="G739" s="59"/>
      <c r="H739" s="56"/>
      <c r="I739" s="60" t="str">
        <f aca="false">IF(IsPro,IF($D739="","",IFERROR(INDEX(Items!$D$5:$D$504,Q739),"")),IF($D739="","","PRO PLAN"))</f>
        <v/>
      </c>
      <c r="J739" s="61" t="str">
        <f aca="false">IF(IsPro,IF($D739="","",IF($F739="",IFERROR(INDEX(Items!$G$5:$G$504,Q739),0),$F739)),"")</f>
        <v/>
      </c>
      <c r="K739" s="61" t="str">
        <f aca="false">IF(IsPro,IF($D739="","",ROUND(N($E739)*J739*(1-N($G739)),2)),"")</f>
        <v/>
      </c>
      <c r="L739" s="62" t="str">
        <f aca="false">IF(IsPro,IF($D739="","",IFERROR(INDEX(Items!$F$5:$F$504,Q739),0)),"")</f>
        <v/>
      </c>
      <c r="M739" s="61" t="str">
        <f aca="false">IF(IsPro,IF($D739="","",IF(AND(R739&lt;&gt;"",INDEX(Parties!$E$5:$E$304,R739)&lt;&gt;"",INDEX(Parties!$E$5:$E$304,R739)&lt;&gt;HomeState),0,ROUND(K739*L739/2,2))),"")</f>
        <v/>
      </c>
      <c r="N739" s="61" t="str">
        <f aca="false">IF(IsPro,IF($D739="","",M739),"")</f>
        <v/>
      </c>
      <c r="O739" s="61" t="str">
        <f aca="false">IF(IsPro,IF($D739="","",IF(AND(R739&lt;&gt;"",INDEX(Parties!$E$5:$E$304,R739)&lt;&gt;"",INDEX(Parties!$E$5:$E$304,R739)&lt;&gt;HomeState),ROUND(K739*L739,2),0)),"")</f>
        <v/>
      </c>
      <c r="P739" s="61" t="str">
        <f aca="false">IF(IsPro,IF($D739="","",K739+M739+N739+O739),"")</f>
        <v/>
      </c>
      <c r="Q739" s="60" t="str">
        <f aca="false">IF(IsPro,IF($D739="","",IFERROR(MATCH($D739,Items!$A$5:$A$504,0),"")),"")</f>
        <v/>
      </c>
      <c r="R739" s="60" t="str">
        <f aca="false">IF(IsPro,IF($C739="","",IFERROR(MATCH($C739,Parties!$A$5:$A$304,0),"")),"")</f>
        <v/>
      </c>
      <c r="S739" s="61" t="str">
        <f aca="false">IF(IsPro,IF($D739="","",IF(OR($H739="",$H739="Credit"),0,P739)),"")</f>
        <v/>
      </c>
    </row>
    <row r="740" customFormat="false" ht="15" hidden="false" customHeight="false" outlineLevel="0" collapsed="false">
      <c r="A740" s="55"/>
      <c r="B740" s="56"/>
      <c r="C740" s="56"/>
      <c r="D740" s="56"/>
      <c r="E740" s="57"/>
      <c r="F740" s="58"/>
      <c r="G740" s="59"/>
      <c r="H740" s="56"/>
      <c r="I740" s="60" t="str">
        <f aca="false">IF(IsPro,IF($D740="","",IFERROR(INDEX(Items!$D$5:$D$504,Q740),"")),IF($D740="","","PRO PLAN"))</f>
        <v/>
      </c>
      <c r="J740" s="61" t="str">
        <f aca="false">IF(IsPro,IF($D740="","",IF($F740="",IFERROR(INDEX(Items!$G$5:$G$504,Q740),0),$F740)),"")</f>
        <v/>
      </c>
      <c r="K740" s="61" t="str">
        <f aca="false">IF(IsPro,IF($D740="","",ROUND(N($E740)*J740*(1-N($G740)),2)),"")</f>
        <v/>
      </c>
      <c r="L740" s="62" t="str">
        <f aca="false">IF(IsPro,IF($D740="","",IFERROR(INDEX(Items!$F$5:$F$504,Q740),0)),"")</f>
        <v/>
      </c>
      <c r="M740" s="61" t="str">
        <f aca="false">IF(IsPro,IF($D740="","",IF(AND(R740&lt;&gt;"",INDEX(Parties!$E$5:$E$304,R740)&lt;&gt;"",INDEX(Parties!$E$5:$E$304,R740)&lt;&gt;HomeState),0,ROUND(K740*L740/2,2))),"")</f>
        <v/>
      </c>
      <c r="N740" s="61" t="str">
        <f aca="false">IF(IsPro,IF($D740="","",M740),"")</f>
        <v/>
      </c>
      <c r="O740" s="61" t="str">
        <f aca="false">IF(IsPro,IF($D740="","",IF(AND(R740&lt;&gt;"",INDEX(Parties!$E$5:$E$304,R740)&lt;&gt;"",INDEX(Parties!$E$5:$E$304,R740)&lt;&gt;HomeState),ROUND(K740*L740,2),0)),"")</f>
        <v/>
      </c>
      <c r="P740" s="61" t="str">
        <f aca="false">IF(IsPro,IF($D740="","",K740+M740+N740+O740),"")</f>
        <v/>
      </c>
      <c r="Q740" s="60" t="str">
        <f aca="false">IF(IsPro,IF($D740="","",IFERROR(MATCH($D740,Items!$A$5:$A$504,0),"")),"")</f>
        <v/>
      </c>
      <c r="R740" s="60" t="str">
        <f aca="false">IF(IsPro,IF($C740="","",IFERROR(MATCH($C740,Parties!$A$5:$A$304,0),"")),"")</f>
        <v/>
      </c>
      <c r="S740" s="61" t="str">
        <f aca="false">IF(IsPro,IF($D740="","",IF(OR($H740="",$H740="Credit"),0,P740)),"")</f>
        <v/>
      </c>
    </row>
    <row r="741" customFormat="false" ht="15" hidden="false" customHeight="false" outlineLevel="0" collapsed="false">
      <c r="A741" s="55"/>
      <c r="B741" s="56"/>
      <c r="C741" s="56"/>
      <c r="D741" s="56"/>
      <c r="E741" s="57"/>
      <c r="F741" s="58"/>
      <c r="G741" s="59"/>
      <c r="H741" s="56"/>
      <c r="I741" s="60" t="str">
        <f aca="false">IF(IsPro,IF($D741="","",IFERROR(INDEX(Items!$D$5:$D$504,Q741),"")),IF($D741="","","PRO PLAN"))</f>
        <v/>
      </c>
      <c r="J741" s="61" t="str">
        <f aca="false">IF(IsPro,IF($D741="","",IF($F741="",IFERROR(INDEX(Items!$G$5:$G$504,Q741),0),$F741)),"")</f>
        <v/>
      </c>
      <c r="K741" s="61" t="str">
        <f aca="false">IF(IsPro,IF($D741="","",ROUND(N($E741)*J741*(1-N($G741)),2)),"")</f>
        <v/>
      </c>
      <c r="L741" s="62" t="str">
        <f aca="false">IF(IsPro,IF($D741="","",IFERROR(INDEX(Items!$F$5:$F$504,Q741),0)),"")</f>
        <v/>
      </c>
      <c r="M741" s="61" t="str">
        <f aca="false">IF(IsPro,IF($D741="","",IF(AND(R741&lt;&gt;"",INDEX(Parties!$E$5:$E$304,R741)&lt;&gt;"",INDEX(Parties!$E$5:$E$304,R741)&lt;&gt;HomeState),0,ROUND(K741*L741/2,2))),"")</f>
        <v/>
      </c>
      <c r="N741" s="61" t="str">
        <f aca="false">IF(IsPro,IF($D741="","",M741),"")</f>
        <v/>
      </c>
      <c r="O741" s="61" t="str">
        <f aca="false">IF(IsPro,IF($D741="","",IF(AND(R741&lt;&gt;"",INDEX(Parties!$E$5:$E$304,R741)&lt;&gt;"",INDEX(Parties!$E$5:$E$304,R741)&lt;&gt;HomeState),ROUND(K741*L741,2),0)),"")</f>
        <v/>
      </c>
      <c r="P741" s="61" t="str">
        <f aca="false">IF(IsPro,IF($D741="","",K741+M741+N741+O741),"")</f>
        <v/>
      </c>
      <c r="Q741" s="60" t="str">
        <f aca="false">IF(IsPro,IF($D741="","",IFERROR(MATCH($D741,Items!$A$5:$A$504,0),"")),"")</f>
        <v/>
      </c>
      <c r="R741" s="60" t="str">
        <f aca="false">IF(IsPro,IF($C741="","",IFERROR(MATCH($C741,Parties!$A$5:$A$304,0),"")),"")</f>
        <v/>
      </c>
      <c r="S741" s="61" t="str">
        <f aca="false">IF(IsPro,IF($D741="","",IF(OR($H741="",$H741="Credit"),0,P741)),"")</f>
        <v/>
      </c>
    </row>
    <row r="742" customFormat="false" ht="15" hidden="false" customHeight="false" outlineLevel="0" collapsed="false">
      <c r="A742" s="55"/>
      <c r="B742" s="56"/>
      <c r="C742" s="56"/>
      <c r="D742" s="56"/>
      <c r="E742" s="57"/>
      <c r="F742" s="58"/>
      <c r="G742" s="59"/>
      <c r="H742" s="56"/>
      <c r="I742" s="60" t="str">
        <f aca="false">IF(IsPro,IF($D742="","",IFERROR(INDEX(Items!$D$5:$D$504,Q742),"")),IF($D742="","","PRO PLAN"))</f>
        <v/>
      </c>
      <c r="J742" s="61" t="str">
        <f aca="false">IF(IsPro,IF($D742="","",IF($F742="",IFERROR(INDEX(Items!$G$5:$G$504,Q742),0),$F742)),"")</f>
        <v/>
      </c>
      <c r="K742" s="61" t="str">
        <f aca="false">IF(IsPro,IF($D742="","",ROUND(N($E742)*J742*(1-N($G742)),2)),"")</f>
        <v/>
      </c>
      <c r="L742" s="62" t="str">
        <f aca="false">IF(IsPro,IF($D742="","",IFERROR(INDEX(Items!$F$5:$F$504,Q742),0)),"")</f>
        <v/>
      </c>
      <c r="M742" s="61" t="str">
        <f aca="false">IF(IsPro,IF($D742="","",IF(AND(R742&lt;&gt;"",INDEX(Parties!$E$5:$E$304,R742)&lt;&gt;"",INDEX(Parties!$E$5:$E$304,R742)&lt;&gt;HomeState),0,ROUND(K742*L742/2,2))),"")</f>
        <v/>
      </c>
      <c r="N742" s="61" t="str">
        <f aca="false">IF(IsPro,IF($D742="","",M742),"")</f>
        <v/>
      </c>
      <c r="O742" s="61" t="str">
        <f aca="false">IF(IsPro,IF($D742="","",IF(AND(R742&lt;&gt;"",INDEX(Parties!$E$5:$E$304,R742)&lt;&gt;"",INDEX(Parties!$E$5:$E$304,R742)&lt;&gt;HomeState),ROUND(K742*L742,2),0)),"")</f>
        <v/>
      </c>
      <c r="P742" s="61" t="str">
        <f aca="false">IF(IsPro,IF($D742="","",K742+M742+N742+O742),"")</f>
        <v/>
      </c>
      <c r="Q742" s="60" t="str">
        <f aca="false">IF(IsPro,IF($D742="","",IFERROR(MATCH($D742,Items!$A$5:$A$504,0),"")),"")</f>
        <v/>
      </c>
      <c r="R742" s="60" t="str">
        <f aca="false">IF(IsPro,IF($C742="","",IFERROR(MATCH($C742,Parties!$A$5:$A$304,0),"")),"")</f>
        <v/>
      </c>
      <c r="S742" s="61" t="str">
        <f aca="false">IF(IsPro,IF($D742="","",IF(OR($H742="",$H742="Credit"),0,P742)),"")</f>
        <v/>
      </c>
    </row>
    <row r="743" customFormat="false" ht="15" hidden="false" customHeight="false" outlineLevel="0" collapsed="false">
      <c r="A743" s="55"/>
      <c r="B743" s="56"/>
      <c r="C743" s="56"/>
      <c r="D743" s="56"/>
      <c r="E743" s="57"/>
      <c r="F743" s="58"/>
      <c r="G743" s="59"/>
      <c r="H743" s="56"/>
      <c r="I743" s="60" t="str">
        <f aca="false">IF(IsPro,IF($D743="","",IFERROR(INDEX(Items!$D$5:$D$504,Q743),"")),IF($D743="","","PRO PLAN"))</f>
        <v/>
      </c>
      <c r="J743" s="61" t="str">
        <f aca="false">IF(IsPro,IF($D743="","",IF($F743="",IFERROR(INDEX(Items!$G$5:$G$504,Q743),0),$F743)),"")</f>
        <v/>
      </c>
      <c r="K743" s="61" t="str">
        <f aca="false">IF(IsPro,IF($D743="","",ROUND(N($E743)*J743*(1-N($G743)),2)),"")</f>
        <v/>
      </c>
      <c r="L743" s="62" t="str">
        <f aca="false">IF(IsPro,IF($D743="","",IFERROR(INDEX(Items!$F$5:$F$504,Q743),0)),"")</f>
        <v/>
      </c>
      <c r="M743" s="61" t="str">
        <f aca="false">IF(IsPro,IF($D743="","",IF(AND(R743&lt;&gt;"",INDEX(Parties!$E$5:$E$304,R743)&lt;&gt;"",INDEX(Parties!$E$5:$E$304,R743)&lt;&gt;HomeState),0,ROUND(K743*L743/2,2))),"")</f>
        <v/>
      </c>
      <c r="N743" s="61" t="str">
        <f aca="false">IF(IsPro,IF($D743="","",M743),"")</f>
        <v/>
      </c>
      <c r="O743" s="61" t="str">
        <f aca="false">IF(IsPro,IF($D743="","",IF(AND(R743&lt;&gt;"",INDEX(Parties!$E$5:$E$304,R743)&lt;&gt;"",INDEX(Parties!$E$5:$E$304,R743)&lt;&gt;HomeState),ROUND(K743*L743,2),0)),"")</f>
        <v/>
      </c>
      <c r="P743" s="61" t="str">
        <f aca="false">IF(IsPro,IF($D743="","",K743+M743+N743+O743),"")</f>
        <v/>
      </c>
      <c r="Q743" s="60" t="str">
        <f aca="false">IF(IsPro,IF($D743="","",IFERROR(MATCH($D743,Items!$A$5:$A$504,0),"")),"")</f>
        <v/>
      </c>
      <c r="R743" s="60" t="str">
        <f aca="false">IF(IsPro,IF($C743="","",IFERROR(MATCH($C743,Parties!$A$5:$A$304,0),"")),"")</f>
        <v/>
      </c>
      <c r="S743" s="61" t="str">
        <f aca="false">IF(IsPro,IF($D743="","",IF(OR($H743="",$H743="Credit"),0,P743)),"")</f>
        <v/>
      </c>
    </row>
    <row r="744" customFormat="false" ht="15" hidden="false" customHeight="false" outlineLevel="0" collapsed="false">
      <c r="A744" s="55"/>
      <c r="B744" s="56"/>
      <c r="C744" s="56"/>
      <c r="D744" s="56"/>
      <c r="E744" s="57"/>
      <c r="F744" s="58"/>
      <c r="G744" s="59"/>
      <c r="H744" s="56"/>
      <c r="I744" s="60" t="str">
        <f aca="false">IF(IsPro,IF($D744="","",IFERROR(INDEX(Items!$D$5:$D$504,Q744),"")),IF($D744="","","PRO PLAN"))</f>
        <v/>
      </c>
      <c r="J744" s="61" t="str">
        <f aca="false">IF(IsPro,IF($D744="","",IF($F744="",IFERROR(INDEX(Items!$G$5:$G$504,Q744),0),$F744)),"")</f>
        <v/>
      </c>
      <c r="K744" s="61" t="str">
        <f aca="false">IF(IsPro,IF($D744="","",ROUND(N($E744)*J744*(1-N($G744)),2)),"")</f>
        <v/>
      </c>
      <c r="L744" s="62" t="str">
        <f aca="false">IF(IsPro,IF($D744="","",IFERROR(INDEX(Items!$F$5:$F$504,Q744),0)),"")</f>
        <v/>
      </c>
      <c r="M744" s="61" t="str">
        <f aca="false">IF(IsPro,IF($D744="","",IF(AND(R744&lt;&gt;"",INDEX(Parties!$E$5:$E$304,R744)&lt;&gt;"",INDEX(Parties!$E$5:$E$304,R744)&lt;&gt;HomeState),0,ROUND(K744*L744/2,2))),"")</f>
        <v/>
      </c>
      <c r="N744" s="61" t="str">
        <f aca="false">IF(IsPro,IF($D744="","",M744),"")</f>
        <v/>
      </c>
      <c r="O744" s="61" t="str">
        <f aca="false">IF(IsPro,IF($D744="","",IF(AND(R744&lt;&gt;"",INDEX(Parties!$E$5:$E$304,R744)&lt;&gt;"",INDEX(Parties!$E$5:$E$304,R744)&lt;&gt;HomeState),ROUND(K744*L744,2),0)),"")</f>
        <v/>
      </c>
      <c r="P744" s="61" t="str">
        <f aca="false">IF(IsPro,IF($D744="","",K744+M744+N744+O744),"")</f>
        <v/>
      </c>
      <c r="Q744" s="60" t="str">
        <f aca="false">IF(IsPro,IF($D744="","",IFERROR(MATCH($D744,Items!$A$5:$A$504,0),"")),"")</f>
        <v/>
      </c>
      <c r="R744" s="60" t="str">
        <f aca="false">IF(IsPro,IF($C744="","",IFERROR(MATCH($C744,Parties!$A$5:$A$304,0),"")),"")</f>
        <v/>
      </c>
      <c r="S744" s="61" t="str">
        <f aca="false">IF(IsPro,IF($D744="","",IF(OR($H744="",$H744="Credit"),0,P744)),"")</f>
        <v/>
      </c>
    </row>
    <row r="745" customFormat="false" ht="15" hidden="false" customHeight="false" outlineLevel="0" collapsed="false">
      <c r="A745" s="55"/>
      <c r="B745" s="56"/>
      <c r="C745" s="56"/>
      <c r="D745" s="56"/>
      <c r="E745" s="57"/>
      <c r="F745" s="58"/>
      <c r="G745" s="59"/>
      <c r="H745" s="56"/>
      <c r="I745" s="60" t="str">
        <f aca="false">IF(IsPro,IF($D745="","",IFERROR(INDEX(Items!$D$5:$D$504,Q745),"")),IF($D745="","","PRO PLAN"))</f>
        <v/>
      </c>
      <c r="J745" s="61" t="str">
        <f aca="false">IF(IsPro,IF($D745="","",IF($F745="",IFERROR(INDEX(Items!$G$5:$G$504,Q745),0),$F745)),"")</f>
        <v/>
      </c>
      <c r="K745" s="61" t="str">
        <f aca="false">IF(IsPro,IF($D745="","",ROUND(N($E745)*J745*(1-N($G745)),2)),"")</f>
        <v/>
      </c>
      <c r="L745" s="62" t="str">
        <f aca="false">IF(IsPro,IF($D745="","",IFERROR(INDEX(Items!$F$5:$F$504,Q745),0)),"")</f>
        <v/>
      </c>
      <c r="M745" s="61" t="str">
        <f aca="false">IF(IsPro,IF($D745="","",IF(AND(R745&lt;&gt;"",INDEX(Parties!$E$5:$E$304,R745)&lt;&gt;"",INDEX(Parties!$E$5:$E$304,R745)&lt;&gt;HomeState),0,ROUND(K745*L745/2,2))),"")</f>
        <v/>
      </c>
      <c r="N745" s="61" t="str">
        <f aca="false">IF(IsPro,IF($D745="","",M745),"")</f>
        <v/>
      </c>
      <c r="O745" s="61" t="str">
        <f aca="false">IF(IsPro,IF($D745="","",IF(AND(R745&lt;&gt;"",INDEX(Parties!$E$5:$E$304,R745)&lt;&gt;"",INDEX(Parties!$E$5:$E$304,R745)&lt;&gt;HomeState),ROUND(K745*L745,2),0)),"")</f>
        <v/>
      </c>
      <c r="P745" s="61" t="str">
        <f aca="false">IF(IsPro,IF($D745="","",K745+M745+N745+O745),"")</f>
        <v/>
      </c>
      <c r="Q745" s="60" t="str">
        <f aca="false">IF(IsPro,IF($D745="","",IFERROR(MATCH($D745,Items!$A$5:$A$504,0),"")),"")</f>
        <v/>
      </c>
      <c r="R745" s="60" t="str">
        <f aca="false">IF(IsPro,IF($C745="","",IFERROR(MATCH($C745,Parties!$A$5:$A$304,0),"")),"")</f>
        <v/>
      </c>
      <c r="S745" s="61" t="str">
        <f aca="false">IF(IsPro,IF($D745="","",IF(OR($H745="",$H745="Credit"),0,P745)),"")</f>
        <v/>
      </c>
    </row>
    <row r="746" customFormat="false" ht="15" hidden="false" customHeight="false" outlineLevel="0" collapsed="false">
      <c r="A746" s="55"/>
      <c r="B746" s="56"/>
      <c r="C746" s="56"/>
      <c r="D746" s="56"/>
      <c r="E746" s="57"/>
      <c r="F746" s="58"/>
      <c r="G746" s="59"/>
      <c r="H746" s="56"/>
      <c r="I746" s="60" t="str">
        <f aca="false">IF(IsPro,IF($D746="","",IFERROR(INDEX(Items!$D$5:$D$504,Q746),"")),IF($D746="","","PRO PLAN"))</f>
        <v/>
      </c>
      <c r="J746" s="61" t="str">
        <f aca="false">IF(IsPro,IF($D746="","",IF($F746="",IFERROR(INDEX(Items!$G$5:$G$504,Q746),0),$F746)),"")</f>
        <v/>
      </c>
      <c r="K746" s="61" t="str">
        <f aca="false">IF(IsPro,IF($D746="","",ROUND(N($E746)*J746*(1-N($G746)),2)),"")</f>
        <v/>
      </c>
      <c r="L746" s="62" t="str">
        <f aca="false">IF(IsPro,IF($D746="","",IFERROR(INDEX(Items!$F$5:$F$504,Q746),0)),"")</f>
        <v/>
      </c>
      <c r="M746" s="61" t="str">
        <f aca="false">IF(IsPro,IF($D746="","",IF(AND(R746&lt;&gt;"",INDEX(Parties!$E$5:$E$304,R746)&lt;&gt;"",INDEX(Parties!$E$5:$E$304,R746)&lt;&gt;HomeState),0,ROUND(K746*L746/2,2))),"")</f>
        <v/>
      </c>
      <c r="N746" s="61" t="str">
        <f aca="false">IF(IsPro,IF($D746="","",M746),"")</f>
        <v/>
      </c>
      <c r="O746" s="61" t="str">
        <f aca="false">IF(IsPro,IF($D746="","",IF(AND(R746&lt;&gt;"",INDEX(Parties!$E$5:$E$304,R746)&lt;&gt;"",INDEX(Parties!$E$5:$E$304,R746)&lt;&gt;HomeState),ROUND(K746*L746,2),0)),"")</f>
        <v/>
      </c>
      <c r="P746" s="61" t="str">
        <f aca="false">IF(IsPro,IF($D746="","",K746+M746+N746+O746),"")</f>
        <v/>
      </c>
      <c r="Q746" s="60" t="str">
        <f aca="false">IF(IsPro,IF($D746="","",IFERROR(MATCH($D746,Items!$A$5:$A$504,0),"")),"")</f>
        <v/>
      </c>
      <c r="R746" s="60" t="str">
        <f aca="false">IF(IsPro,IF($C746="","",IFERROR(MATCH($C746,Parties!$A$5:$A$304,0),"")),"")</f>
        <v/>
      </c>
      <c r="S746" s="61" t="str">
        <f aca="false">IF(IsPro,IF($D746="","",IF(OR($H746="",$H746="Credit"),0,P746)),"")</f>
        <v/>
      </c>
    </row>
    <row r="747" customFormat="false" ht="15" hidden="false" customHeight="false" outlineLevel="0" collapsed="false">
      <c r="A747" s="55"/>
      <c r="B747" s="56"/>
      <c r="C747" s="56"/>
      <c r="D747" s="56"/>
      <c r="E747" s="57"/>
      <c r="F747" s="58"/>
      <c r="G747" s="59"/>
      <c r="H747" s="56"/>
      <c r="I747" s="60" t="str">
        <f aca="false">IF(IsPro,IF($D747="","",IFERROR(INDEX(Items!$D$5:$D$504,Q747),"")),IF($D747="","","PRO PLAN"))</f>
        <v/>
      </c>
      <c r="J747" s="61" t="str">
        <f aca="false">IF(IsPro,IF($D747="","",IF($F747="",IFERROR(INDEX(Items!$G$5:$G$504,Q747),0),$F747)),"")</f>
        <v/>
      </c>
      <c r="K747" s="61" t="str">
        <f aca="false">IF(IsPro,IF($D747="","",ROUND(N($E747)*J747*(1-N($G747)),2)),"")</f>
        <v/>
      </c>
      <c r="L747" s="62" t="str">
        <f aca="false">IF(IsPro,IF($D747="","",IFERROR(INDEX(Items!$F$5:$F$504,Q747),0)),"")</f>
        <v/>
      </c>
      <c r="M747" s="61" t="str">
        <f aca="false">IF(IsPro,IF($D747="","",IF(AND(R747&lt;&gt;"",INDEX(Parties!$E$5:$E$304,R747)&lt;&gt;"",INDEX(Parties!$E$5:$E$304,R747)&lt;&gt;HomeState),0,ROUND(K747*L747/2,2))),"")</f>
        <v/>
      </c>
      <c r="N747" s="61" t="str">
        <f aca="false">IF(IsPro,IF($D747="","",M747),"")</f>
        <v/>
      </c>
      <c r="O747" s="61" t="str">
        <f aca="false">IF(IsPro,IF($D747="","",IF(AND(R747&lt;&gt;"",INDEX(Parties!$E$5:$E$304,R747)&lt;&gt;"",INDEX(Parties!$E$5:$E$304,R747)&lt;&gt;HomeState),ROUND(K747*L747,2),0)),"")</f>
        <v/>
      </c>
      <c r="P747" s="61" t="str">
        <f aca="false">IF(IsPro,IF($D747="","",K747+M747+N747+O747),"")</f>
        <v/>
      </c>
      <c r="Q747" s="60" t="str">
        <f aca="false">IF(IsPro,IF($D747="","",IFERROR(MATCH($D747,Items!$A$5:$A$504,0),"")),"")</f>
        <v/>
      </c>
      <c r="R747" s="60" t="str">
        <f aca="false">IF(IsPro,IF($C747="","",IFERROR(MATCH($C747,Parties!$A$5:$A$304,0),"")),"")</f>
        <v/>
      </c>
      <c r="S747" s="61" t="str">
        <f aca="false">IF(IsPro,IF($D747="","",IF(OR($H747="",$H747="Credit"),0,P747)),"")</f>
        <v/>
      </c>
    </row>
    <row r="748" customFormat="false" ht="15" hidden="false" customHeight="false" outlineLevel="0" collapsed="false">
      <c r="A748" s="55"/>
      <c r="B748" s="56"/>
      <c r="C748" s="56"/>
      <c r="D748" s="56"/>
      <c r="E748" s="57"/>
      <c r="F748" s="58"/>
      <c r="G748" s="59"/>
      <c r="H748" s="56"/>
      <c r="I748" s="60" t="str">
        <f aca="false">IF(IsPro,IF($D748="","",IFERROR(INDEX(Items!$D$5:$D$504,Q748),"")),IF($D748="","","PRO PLAN"))</f>
        <v/>
      </c>
      <c r="J748" s="61" t="str">
        <f aca="false">IF(IsPro,IF($D748="","",IF($F748="",IFERROR(INDEX(Items!$G$5:$G$504,Q748),0),$F748)),"")</f>
        <v/>
      </c>
      <c r="K748" s="61" t="str">
        <f aca="false">IF(IsPro,IF($D748="","",ROUND(N($E748)*J748*(1-N($G748)),2)),"")</f>
        <v/>
      </c>
      <c r="L748" s="62" t="str">
        <f aca="false">IF(IsPro,IF($D748="","",IFERROR(INDEX(Items!$F$5:$F$504,Q748),0)),"")</f>
        <v/>
      </c>
      <c r="M748" s="61" t="str">
        <f aca="false">IF(IsPro,IF($D748="","",IF(AND(R748&lt;&gt;"",INDEX(Parties!$E$5:$E$304,R748)&lt;&gt;"",INDEX(Parties!$E$5:$E$304,R748)&lt;&gt;HomeState),0,ROUND(K748*L748/2,2))),"")</f>
        <v/>
      </c>
      <c r="N748" s="61" t="str">
        <f aca="false">IF(IsPro,IF($D748="","",M748),"")</f>
        <v/>
      </c>
      <c r="O748" s="61" t="str">
        <f aca="false">IF(IsPro,IF($D748="","",IF(AND(R748&lt;&gt;"",INDEX(Parties!$E$5:$E$304,R748)&lt;&gt;"",INDEX(Parties!$E$5:$E$304,R748)&lt;&gt;HomeState),ROUND(K748*L748,2),0)),"")</f>
        <v/>
      </c>
      <c r="P748" s="61" t="str">
        <f aca="false">IF(IsPro,IF($D748="","",K748+M748+N748+O748),"")</f>
        <v/>
      </c>
      <c r="Q748" s="60" t="str">
        <f aca="false">IF(IsPro,IF($D748="","",IFERROR(MATCH($D748,Items!$A$5:$A$504,0),"")),"")</f>
        <v/>
      </c>
      <c r="R748" s="60" t="str">
        <f aca="false">IF(IsPro,IF($C748="","",IFERROR(MATCH($C748,Parties!$A$5:$A$304,0),"")),"")</f>
        <v/>
      </c>
      <c r="S748" s="61" t="str">
        <f aca="false">IF(IsPro,IF($D748="","",IF(OR($H748="",$H748="Credit"),0,P748)),"")</f>
        <v/>
      </c>
    </row>
    <row r="749" customFormat="false" ht="15" hidden="false" customHeight="false" outlineLevel="0" collapsed="false">
      <c r="A749" s="55"/>
      <c r="B749" s="56"/>
      <c r="C749" s="56"/>
      <c r="D749" s="56"/>
      <c r="E749" s="57"/>
      <c r="F749" s="58"/>
      <c r="G749" s="59"/>
      <c r="H749" s="56"/>
      <c r="I749" s="60" t="str">
        <f aca="false">IF(IsPro,IF($D749="","",IFERROR(INDEX(Items!$D$5:$D$504,Q749),"")),IF($D749="","","PRO PLAN"))</f>
        <v/>
      </c>
      <c r="J749" s="61" t="str">
        <f aca="false">IF(IsPro,IF($D749="","",IF($F749="",IFERROR(INDEX(Items!$G$5:$G$504,Q749),0),$F749)),"")</f>
        <v/>
      </c>
      <c r="K749" s="61" t="str">
        <f aca="false">IF(IsPro,IF($D749="","",ROUND(N($E749)*J749*(1-N($G749)),2)),"")</f>
        <v/>
      </c>
      <c r="L749" s="62" t="str">
        <f aca="false">IF(IsPro,IF($D749="","",IFERROR(INDEX(Items!$F$5:$F$504,Q749),0)),"")</f>
        <v/>
      </c>
      <c r="M749" s="61" t="str">
        <f aca="false">IF(IsPro,IF($D749="","",IF(AND(R749&lt;&gt;"",INDEX(Parties!$E$5:$E$304,R749)&lt;&gt;"",INDEX(Parties!$E$5:$E$304,R749)&lt;&gt;HomeState),0,ROUND(K749*L749/2,2))),"")</f>
        <v/>
      </c>
      <c r="N749" s="61" t="str">
        <f aca="false">IF(IsPro,IF($D749="","",M749),"")</f>
        <v/>
      </c>
      <c r="O749" s="61" t="str">
        <f aca="false">IF(IsPro,IF($D749="","",IF(AND(R749&lt;&gt;"",INDEX(Parties!$E$5:$E$304,R749)&lt;&gt;"",INDEX(Parties!$E$5:$E$304,R749)&lt;&gt;HomeState),ROUND(K749*L749,2),0)),"")</f>
        <v/>
      </c>
      <c r="P749" s="61" t="str">
        <f aca="false">IF(IsPro,IF($D749="","",K749+M749+N749+O749),"")</f>
        <v/>
      </c>
      <c r="Q749" s="60" t="str">
        <f aca="false">IF(IsPro,IF($D749="","",IFERROR(MATCH($D749,Items!$A$5:$A$504,0),"")),"")</f>
        <v/>
      </c>
      <c r="R749" s="60" t="str">
        <f aca="false">IF(IsPro,IF($C749="","",IFERROR(MATCH($C749,Parties!$A$5:$A$304,0),"")),"")</f>
        <v/>
      </c>
      <c r="S749" s="61" t="str">
        <f aca="false">IF(IsPro,IF($D749="","",IF(OR($H749="",$H749="Credit"),0,P749)),"")</f>
        <v/>
      </c>
    </row>
    <row r="750" customFormat="false" ht="15" hidden="false" customHeight="false" outlineLevel="0" collapsed="false">
      <c r="A750" s="55"/>
      <c r="B750" s="56"/>
      <c r="C750" s="56"/>
      <c r="D750" s="56"/>
      <c r="E750" s="57"/>
      <c r="F750" s="58"/>
      <c r="G750" s="59"/>
      <c r="H750" s="56"/>
      <c r="I750" s="60" t="str">
        <f aca="false">IF(IsPro,IF($D750="","",IFERROR(INDEX(Items!$D$5:$D$504,Q750),"")),IF($D750="","","PRO PLAN"))</f>
        <v/>
      </c>
      <c r="J750" s="61" t="str">
        <f aca="false">IF(IsPro,IF($D750="","",IF($F750="",IFERROR(INDEX(Items!$G$5:$G$504,Q750),0),$F750)),"")</f>
        <v/>
      </c>
      <c r="K750" s="61" t="str">
        <f aca="false">IF(IsPro,IF($D750="","",ROUND(N($E750)*J750*(1-N($G750)),2)),"")</f>
        <v/>
      </c>
      <c r="L750" s="62" t="str">
        <f aca="false">IF(IsPro,IF($D750="","",IFERROR(INDEX(Items!$F$5:$F$504,Q750),0)),"")</f>
        <v/>
      </c>
      <c r="M750" s="61" t="str">
        <f aca="false">IF(IsPro,IF($D750="","",IF(AND(R750&lt;&gt;"",INDEX(Parties!$E$5:$E$304,R750)&lt;&gt;"",INDEX(Parties!$E$5:$E$304,R750)&lt;&gt;HomeState),0,ROUND(K750*L750/2,2))),"")</f>
        <v/>
      </c>
      <c r="N750" s="61" t="str">
        <f aca="false">IF(IsPro,IF($D750="","",M750),"")</f>
        <v/>
      </c>
      <c r="O750" s="61" t="str">
        <f aca="false">IF(IsPro,IF($D750="","",IF(AND(R750&lt;&gt;"",INDEX(Parties!$E$5:$E$304,R750)&lt;&gt;"",INDEX(Parties!$E$5:$E$304,R750)&lt;&gt;HomeState),ROUND(K750*L750,2),0)),"")</f>
        <v/>
      </c>
      <c r="P750" s="61" t="str">
        <f aca="false">IF(IsPro,IF($D750="","",K750+M750+N750+O750),"")</f>
        <v/>
      </c>
      <c r="Q750" s="60" t="str">
        <f aca="false">IF(IsPro,IF($D750="","",IFERROR(MATCH($D750,Items!$A$5:$A$504,0),"")),"")</f>
        <v/>
      </c>
      <c r="R750" s="60" t="str">
        <f aca="false">IF(IsPro,IF($C750="","",IFERROR(MATCH($C750,Parties!$A$5:$A$304,0),"")),"")</f>
        <v/>
      </c>
      <c r="S750" s="61" t="str">
        <f aca="false">IF(IsPro,IF($D750="","",IF(OR($H750="",$H750="Credit"),0,P750)),"")</f>
        <v/>
      </c>
    </row>
    <row r="751" customFormat="false" ht="15" hidden="false" customHeight="false" outlineLevel="0" collapsed="false">
      <c r="A751" s="55"/>
      <c r="B751" s="56"/>
      <c r="C751" s="56"/>
      <c r="D751" s="56"/>
      <c r="E751" s="57"/>
      <c r="F751" s="58"/>
      <c r="G751" s="59"/>
      <c r="H751" s="56"/>
      <c r="I751" s="60" t="str">
        <f aca="false">IF(IsPro,IF($D751="","",IFERROR(INDEX(Items!$D$5:$D$504,Q751),"")),IF($D751="","","PRO PLAN"))</f>
        <v/>
      </c>
      <c r="J751" s="61" t="str">
        <f aca="false">IF(IsPro,IF($D751="","",IF($F751="",IFERROR(INDEX(Items!$G$5:$G$504,Q751),0),$F751)),"")</f>
        <v/>
      </c>
      <c r="K751" s="61" t="str">
        <f aca="false">IF(IsPro,IF($D751="","",ROUND(N($E751)*J751*(1-N($G751)),2)),"")</f>
        <v/>
      </c>
      <c r="L751" s="62" t="str">
        <f aca="false">IF(IsPro,IF($D751="","",IFERROR(INDEX(Items!$F$5:$F$504,Q751),0)),"")</f>
        <v/>
      </c>
      <c r="M751" s="61" t="str">
        <f aca="false">IF(IsPro,IF($D751="","",IF(AND(R751&lt;&gt;"",INDEX(Parties!$E$5:$E$304,R751)&lt;&gt;"",INDEX(Parties!$E$5:$E$304,R751)&lt;&gt;HomeState),0,ROUND(K751*L751/2,2))),"")</f>
        <v/>
      </c>
      <c r="N751" s="61" t="str">
        <f aca="false">IF(IsPro,IF($D751="","",M751),"")</f>
        <v/>
      </c>
      <c r="O751" s="61" t="str">
        <f aca="false">IF(IsPro,IF($D751="","",IF(AND(R751&lt;&gt;"",INDEX(Parties!$E$5:$E$304,R751)&lt;&gt;"",INDEX(Parties!$E$5:$E$304,R751)&lt;&gt;HomeState),ROUND(K751*L751,2),0)),"")</f>
        <v/>
      </c>
      <c r="P751" s="61" t="str">
        <f aca="false">IF(IsPro,IF($D751="","",K751+M751+N751+O751),"")</f>
        <v/>
      </c>
      <c r="Q751" s="60" t="str">
        <f aca="false">IF(IsPro,IF($D751="","",IFERROR(MATCH($D751,Items!$A$5:$A$504,0),"")),"")</f>
        <v/>
      </c>
      <c r="R751" s="60" t="str">
        <f aca="false">IF(IsPro,IF($C751="","",IFERROR(MATCH($C751,Parties!$A$5:$A$304,0),"")),"")</f>
        <v/>
      </c>
      <c r="S751" s="61" t="str">
        <f aca="false">IF(IsPro,IF($D751="","",IF(OR($H751="",$H751="Credit"),0,P751)),"")</f>
        <v/>
      </c>
    </row>
    <row r="752" customFormat="false" ht="15" hidden="false" customHeight="false" outlineLevel="0" collapsed="false">
      <c r="A752" s="55"/>
      <c r="B752" s="56"/>
      <c r="C752" s="56"/>
      <c r="D752" s="56"/>
      <c r="E752" s="57"/>
      <c r="F752" s="58"/>
      <c r="G752" s="59"/>
      <c r="H752" s="56"/>
      <c r="I752" s="60" t="str">
        <f aca="false">IF(IsPro,IF($D752="","",IFERROR(INDEX(Items!$D$5:$D$504,Q752),"")),IF($D752="","","PRO PLAN"))</f>
        <v/>
      </c>
      <c r="J752" s="61" t="str">
        <f aca="false">IF(IsPro,IF($D752="","",IF($F752="",IFERROR(INDEX(Items!$G$5:$G$504,Q752),0),$F752)),"")</f>
        <v/>
      </c>
      <c r="K752" s="61" t="str">
        <f aca="false">IF(IsPro,IF($D752="","",ROUND(N($E752)*J752*(1-N($G752)),2)),"")</f>
        <v/>
      </c>
      <c r="L752" s="62" t="str">
        <f aca="false">IF(IsPro,IF($D752="","",IFERROR(INDEX(Items!$F$5:$F$504,Q752),0)),"")</f>
        <v/>
      </c>
      <c r="M752" s="61" t="str">
        <f aca="false">IF(IsPro,IF($D752="","",IF(AND(R752&lt;&gt;"",INDEX(Parties!$E$5:$E$304,R752)&lt;&gt;"",INDEX(Parties!$E$5:$E$304,R752)&lt;&gt;HomeState),0,ROUND(K752*L752/2,2))),"")</f>
        <v/>
      </c>
      <c r="N752" s="61" t="str">
        <f aca="false">IF(IsPro,IF($D752="","",M752),"")</f>
        <v/>
      </c>
      <c r="O752" s="61" t="str">
        <f aca="false">IF(IsPro,IF($D752="","",IF(AND(R752&lt;&gt;"",INDEX(Parties!$E$5:$E$304,R752)&lt;&gt;"",INDEX(Parties!$E$5:$E$304,R752)&lt;&gt;HomeState),ROUND(K752*L752,2),0)),"")</f>
        <v/>
      </c>
      <c r="P752" s="61" t="str">
        <f aca="false">IF(IsPro,IF($D752="","",K752+M752+N752+O752),"")</f>
        <v/>
      </c>
      <c r="Q752" s="60" t="str">
        <f aca="false">IF(IsPro,IF($D752="","",IFERROR(MATCH($D752,Items!$A$5:$A$504,0),"")),"")</f>
        <v/>
      </c>
      <c r="R752" s="60" t="str">
        <f aca="false">IF(IsPro,IF($C752="","",IFERROR(MATCH($C752,Parties!$A$5:$A$304,0),"")),"")</f>
        <v/>
      </c>
      <c r="S752" s="61" t="str">
        <f aca="false">IF(IsPro,IF($D752="","",IF(OR($H752="",$H752="Credit"),0,P752)),"")</f>
        <v/>
      </c>
    </row>
    <row r="753" customFormat="false" ht="15" hidden="false" customHeight="false" outlineLevel="0" collapsed="false">
      <c r="A753" s="55"/>
      <c r="B753" s="56"/>
      <c r="C753" s="56"/>
      <c r="D753" s="56"/>
      <c r="E753" s="57"/>
      <c r="F753" s="58"/>
      <c r="G753" s="59"/>
      <c r="H753" s="56"/>
      <c r="I753" s="60" t="str">
        <f aca="false">IF(IsPro,IF($D753="","",IFERROR(INDEX(Items!$D$5:$D$504,Q753),"")),IF($D753="","","PRO PLAN"))</f>
        <v/>
      </c>
      <c r="J753" s="61" t="str">
        <f aca="false">IF(IsPro,IF($D753="","",IF($F753="",IFERROR(INDEX(Items!$G$5:$G$504,Q753),0),$F753)),"")</f>
        <v/>
      </c>
      <c r="K753" s="61" t="str">
        <f aca="false">IF(IsPro,IF($D753="","",ROUND(N($E753)*J753*(1-N($G753)),2)),"")</f>
        <v/>
      </c>
      <c r="L753" s="62" t="str">
        <f aca="false">IF(IsPro,IF($D753="","",IFERROR(INDEX(Items!$F$5:$F$504,Q753),0)),"")</f>
        <v/>
      </c>
      <c r="M753" s="61" t="str">
        <f aca="false">IF(IsPro,IF($D753="","",IF(AND(R753&lt;&gt;"",INDEX(Parties!$E$5:$E$304,R753)&lt;&gt;"",INDEX(Parties!$E$5:$E$304,R753)&lt;&gt;HomeState),0,ROUND(K753*L753/2,2))),"")</f>
        <v/>
      </c>
      <c r="N753" s="61" t="str">
        <f aca="false">IF(IsPro,IF($D753="","",M753),"")</f>
        <v/>
      </c>
      <c r="O753" s="61" t="str">
        <f aca="false">IF(IsPro,IF($D753="","",IF(AND(R753&lt;&gt;"",INDEX(Parties!$E$5:$E$304,R753)&lt;&gt;"",INDEX(Parties!$E$5:$E$304,R753)&lt;&gt;HomeState),ROUND(K753*L753,2),0)),"")</f>
        <v/>
      </c>
      <c r="P753" s="61" t="str">
        <f aca="false">IF(IsPro,IF($D753="","",K753+M753+N753+O753),"")</f>
        <v/>
      </c>
      <c r="Q753" s="60" t="str">
        <f aca="false">IF(IsPro,IF($D753="","",IFERROR(MATCH($D753,Items!$A$5:$A$504,0),"")),"")</f>
        <v/>
      </c>
      <c r="R753" s="60" t="str">
        <f aca="false">IF(IsPro,IF($C753="","",IFERROR(MATCH($C753,Parties!$A$5:$A$304,0),"")),"")</f>
        <v/>
      </c>
      <c r="S753" s="61" t="str">
        <f aca="false">IF(IsPro,IF($D753="","",IF(OR($H753="",$H753="Credit"),0,P753)),"")</f>
        <v/>
      </c>
    </row>
    <row r="754" customFormat="false" ht="15" hidden="false" customHeight="false" outlineLevel="0" collapsed="false">
      <c r="A754" s="55"/>
      <c r="B754" s="56"/>
      <c r="C754" s="56"/>
      <c r="D754" s="56"/>
      <c r="E754" s="57"/>
      <c r="F754" s="58"/>
      <c r="G754" s="59"/>
      <c r="H754" s="56"/>
      <c r="I754" s="60" t="str">
        <f aca="false">IF(IsPro,IF($D754="","",IFERROR(INDEX(Items!$D$5:$D$504,Q754),"")),IF($D754="","","PRO PLAN"))</f>
        <v/>
      </c>
      <c r="J754" s="61" t="str">
        <f aca="false">IF(IsPro,IF($D754="","",IF($F754="",IFERROR(INDEX(Items!$G$5:$G$504,Q754),0),$F754)),"")</f>
        <v/>
      </c>
      <c r="K754" s="61" t="str">
        <f aca="false">IF(IsPro,IF($D754="","",ROUND(N($E754)*J754*(1-N($G754)),2)),"")</f>
        <v/>
      </c>
      <c r="L754" s="62" t="str">
        <f aca="false">IF(IsPro,IF($D754="","",IFERROR(INDEX(Items!$F$5:$F$504,Q754),0)),"")</f>
        <v/>
      </c>
      <c r="M754" s="61" t="str">
        <f aca="false">IF(IsPro,IF($D754="","",IF(AND(R754&lt;&gt;"",INDEX(Parties!$E$5:$E$304,R754)&lt;&gt;"",INDEX(Parties!$E$5:$E$304,R754)&lt;&gt;HomeState),0,ROUND(K754*L754/2,2))),"")</f>
        <v/>
      </c>
      <c r="N754" s="61" t="str">
        <f aca="false">IF(IsPro,IF($D754="","",M754),"")</f>
        <v/>
      </c>
      <c r="O754" s="61" t="str">
        <f aca="false">IF(IsPro,IF($D754="","",IF(AND(R754&lt;&gt;"",INDEX(Parties!$E$5:$E$304,R754)&lt;&gt;"",INDEX(Parties!$E$5:$E$304,R754)&lt;&gt;HomeState),ROUND(K754*L754,2),0)),"")</f>
        <v/>
      </c>
      <c r="P754" s="61" t="str">
        <f aca="false">IF(IsPro,IF($D754="","",K754+M754+N754+O754),"")</f>
        <v/>
      </c>
      <c r="Q754" s="60" t="str">
        <f aca="false">IF(IsPro,IF($D754="","",IFERROR(MATCH($D754,Items!$A$5:$A$504,0),"")),"")</f>
        <v/>
      </c>
      <c r="R754" s="60" t="str">
        <f aca="false">IF(IsPro,IF($C754="","",IFERROR(MATCH($C754,Parties!$A$5:$A$304,0),"")),"")</f>
        <v/>
      </c>
      <c r="S754" s="61" t="str">
        <f aca="false">IF(IsPro,IF($D754="","",IF(OR($H754="",$H754="Credit"),0,P754)),"")</f>
        <v/>
      </c>
    </row>
    <row r="755" customFormat="false" ht="15" hidden="false" customHeight="false" outlineLevel="0" collapsed="false">
      <c r="A755" s="55"/>
      <c r="B755" s="56"/>
      <c r="C755" s="56"/>
      <c r="D755" s="56"/>
      <c r="E755" s="57"/>
      <c r="F755" s="58"/>
      <c r="G755" s="59"/>
      <c r="H755" s="56"/>
      <c r="I755" s="60" t="str">
        <f aca="false">IF(IsPro,IF($D755="","",IFERROR(INDEX(Items!$D$5:$D$504,Q755),"")),IF($D755="","","PRO PLAN"))</f>
        <v/>
      </c>
      <c r="J755" s="61" t="str">
        <f aca="false">IF(IsPro,IF($D755="","",IF($F755="",IFERROR(INDEX(Items!$G$5:$G$504,Q755),0),$F755)),"")</f>
        <v/>
      </c>
      <c r="K755" s="61" t="str">
        <f aca="false">IF(IsPro,IF($D755="","",ROUND(N($E755)*J755*(1-N($G755)),2)),"")</f>
        <v/>
      </c>
      <c r="L755" s="62" t="str">
        <f aca="false">IF(IsPro,IF($D755="","",IFERROR(INDEX(Items!$F$5:$F$504,Q755),0)),"")</f>
        <v/>
      </c>
      <c r="M755" s="61" t="str">
        <f aca="false">IF(IsPro,IF($D755="","",IF(AND(R755&lt;&gt;"",INDEX(Parties!$E$5:$E$304,R755)&lt;&gt;"",INDEX(Parties!$E$5:$E$304,R755)&lt;&gt;HomeState),0,ROUND(K755*L755/2,2))),"")</f>
        <v/>
      </c>
      <c r="N755" s="61" t="str">
        <f aca="false">IF(IsPro,IF($D755="","",M755),"")</f>
        <v/>
      </c>
      <c r="O755" s="61" t="str">
        <f aca="false">IF(IsPro,IF($D755="","",IF(AND(R755&lt;&gt;"",INDEX(Parties!$E$5:$E$304,R755)&lt;&gt;"",INDEX(Parties!$E$5:$E$304,R755)&lt;&gt;HomeState),ROUND(K755*L755,2),0)),"")</f>
        <v/>
      </c>
      <c r="P755" s="61" t="str">
        <f aca="false">IF(IsPro,IF($D755="","",K755+M755+N755+O755),"")</f>
        <v/>
      </c>
      <c r="Q755" s="60" t="str">
        <f aca="false">IF(IsPro,IF($D755="","",IFERROR(MATCH($D755,Items!$A$5:$A$504,0),"")),"")</f>
        <v/>
      </c>
      <c r="R755" s="60" t="str">
        <f aca="false">IF(IsPro,IF($C755="","",IFERROR(MATCH($C755,Parties!$A$5:$A$304,0),"")),"")</f>
        <v/>
      </c>
      <c r="S755" s="61" t="str">
        <f aca="false">IF(IsPro,IF($D755="","",IF(OR($H755="",$H755="Credit"),0,P755)),"")</f>
        <v/>
      </c>
    </row>
    <row r="756" customFormat="false" ht="15" hidden="false" customHeight="false" outlineLevel="0" collapsed="false">
      <c r="A756" s="55"/>
      <c r="B756" s="56"/>
      <c r="C756" s="56"/>
      <c r="D756" s="56"/>
      <c r="E756" s="57"/>
      <c r="F756" s="58"/>
      <c r="G756" s="59"/>
      <c r="H756" s="56"/>
      <c r="I756" s="60" t="str">
        <f aca="false">IF(IsPro,IF($D756="","",IFERROR(INDEX(Items!$D$5:$D$504,Q756),"")),IF($D756="","","PRO PLAN"))</f>
        <v/>
      </c>
      <c r="J756" s="61" t="str">
        <f aca="false">IF(IsPro,IF($D756="","",IF($F756="",IFERROR(INDEX(Items!$G$5:$G$504,Q756),0),$F756)),"")</f>
        <v/>
      </c>
      <c r="K756" s="61" t="str">
        <f aca="false">IF(IsPro,IF($D756="","",ROUND(N($E756)*J756*(1-N($G756)),2)),"")</f>
        <v/>
      </c>
      <c r="L756" s="62" t="str">
        <f aca="false">IF(IsPro,IF($D756="","",IFERROR(INDEX(Items!$F$5:$F$504,Q756),0)),"")</f>
        <v/>
      </c>
      <c r="M756" s="61" t="str">
        <f aca="false">IF(IsPro,IF($D756="","",IF(AND(R756&lt;&gt;"",INDEX(Parties!$E$5:$E$304,R756)&lt;&gt;"",INDEX(Parties!$E$5:$E$304,R756)&lt;&gt;HomeState),0,ROUND(K756*L756/2,2))),"")</f>
        <v/>
      </c>
      <c r="N756" s="61" t="str">
        <f aca="false">IF(IsPro,IF($D756="","",M756),"")</f>
        <v/>
      </c>
      <c r="O756" s="61" t="str">
        <f aca="false">IF(IsPro,IF($D756="","",IF(AND(R756&lt;&gt;"",INDEX(Parties!$E$5:$E$304,R756)&lt;&gt;"",INDEX(Parties!$E$5:$E$304,R756)&lt;&gt;HomeState),ROUND(K756*L756,2),0)),"")</f>
        <v/>
      </c>
      <c r="P756" s="61" t="str">
        <f aca="false">IF(IsPro,IF($D756="","",K756+M756+N756+O756),"")</f>
        <v/>
      </c>
      <c r="Q756" s="60" t="str">
        <f aca="false">IF(IsPro,IF($D756="","",IFERROR(MATCH($D756,Items!$A$5:$A$504,0),"")),"")</f>
        <v/>
      </c>
      <c r="R756" s="60" t="str">
        <f aca="false">IF(IsPro,IF($C756="","",IFERROR(MATCH($C756,Parties!$A$5:$A$304,0),"")),"")</f>
        <v/>
      </c>
      <c r="S756" s="61" t="str">
        <f aca="false">IF(IsPro,IF($D756="","",IF(OR($H756="",$H756="Credit"),0,P756)),"")</f>
        <v/>
      </c>
    </row>
    <row r="757" customFormat="false" ht="15" hidden="false" customHeight="false" outlineLevel="0" collapsed="false">
      <c r="A757" s="55"/>
      <c r="B757" s="56"/>
      <c r="C757" s="56"/>
      <c r="D757" s="56"/>
      <c r="E757" s="57"/>
      <c r="F757" s="58"/>
      <c r="G757" s="59"/>
      <c r="H757" s="56"/>
      <c r="I757" s="60" t="str">
        <f aca="false">IF(IsPro,IF($D757="","",IFERROR(INDEX(Items!$D$5:$D$504,Q757),"")),IF($D757="","","PRO PLAN"))</f>
        <v/>
      </c>
      <c r="J757" s="61" t="str">
        <f aca="false">IF(IsPro,IF($D757="","",IF($F757="",IFERROR(INDEX(Items!$G$5:$G$504,Q757),0),$F757)),"")</f>
        <v/>
      </c>
      <c r="K757" s="61" t="str">
        <f aca="false">IF(IsPro,IF($D757="","",ROUND(N($E757)*J757*(1-N($G757)),2)),"")</f>
        <v/>
      </c>
      <c r="L757" s="62" t="str">
        <f aca="false">IF(IsPro,IF($D757="","",IFERROR(INDEX(Items!$F$5:$F$504,Q757),0)),"")</f>
        <v/>
      </c>
      <c r="M757" s="61" t="str">
        <f aca="false">IF(IsPro,IF($D757="","",IF(AND(R757&lt;&gt;"",INDEX(Parties!$E$5:$E$304,R757)&lt;&gt;"",INDEX(Parties!$E$5:$E$304,R757)&lt;&gt;HomeState),0,ROUND(K757*L757/2,2))),"")</f>
        <v/>
      </c>
      <c r="N757" s="61" t="str">
        <f aca="false">IF(IsPro,IF($D757="","",M757),"")</f>
        <v/>
      </c>
      <c r="O757" s="61" t="str">
        <f aca="false">IF(IsPro,IF($D757="","",IF(AND(R757&lt;&gt;"",INDEX(Parties!$E$5:$E$304,R757)&lt;&gt;"",INDEX(Parties!$E$5:$E$304,R757)&lt;&gt;HomeState),ROUND(K757*L757,2),0)),"")</f>
        <v/>
      </c>
      <c r="P757" s="61" t="str">
        <f aca="false">IF(IsPro,IF($D757="","",K757+M757+N757+O757),"")</f>
        <v/>
      </c>
      <c r="Q757" s="60" t="str">
        <f aca="false">IF(IsPro,IF($D757="","",IFERROR(MATCH($D757,Items!$A$5:$A$504,0),"")),"")</f>
        <v/>
      </c>
      <c r="R757" s="60" t="str">
        <f aca="false">IF(IsPro,IF($C757="","",IFERROR(MATCH($C757,Parties!$A$5:$A$304,0),"")),"")</f>
        <v/>
      </c>
      <c r="S757" s="61" t="str">
        <f aca="false">IF(IsPro,IF($D757="","",IF(OR($H757="",$H757="Credit"),0,P757)),"")</f>
        <v/>
      </c>
    </row>
    <row r="758" customFormat="false" ht="15" hidden="false" customHeight="false" outlineLevel="0" collapsed="false">
      <c r="A758" s="55"/>
      <c r="B758" s="56"/>
      <c r="C758" s="56"/>
      <c r="D758" s="56"/>
      <c r="E758" s="57"/>
      <c r="F758" s="58"/>
      <c r="G758" s="59"/>
      <c r="H758" s="56"/>
      <c r="I758" s="60" t="str">
        <f aca="false">IF(IsPro,IF($D758="","",IFERROR(INDEX(Items!$D$5:$D$504,Q758),"")),IF($D758="","","PRO PLAN"))</f>
        <v/>
      </c>
      <c r="J758" s="61" t="str">
        <f aca="false">IF(IsPro,IF($D758="","",IF($F758="",IFERROR(INDEX(Items!$G$5:$G$504,Q758),0),$F758)),"")</f>
        <v/>
      </c>
      <c r="K758" s="61" t="str">
        <f aca="false">IF(IsPro,IF($D758="","",ROUND(N($E758)*J758*(1-N($G758)),2)),"")</f>
        <v/>
      </c>
      <c r="L758" s="62" t="str">
        <f aca="false">IF(IsPro,IF($D758="","",IFERROR(INDEX(Items!$F$5:$F$504,Q758),0)),"")</f>
        <v/>
      </c>
      <c r="M758" s="61" t="str">
        <f aca="false">IF(IsPro,IF($D758="","",IF(AND(R758&lt;&gt;"",INDEX(Parties!$E$5:$E$304,R758)&lt;&gt;"",INDEX(Parties!$E$5:$E$304,R758)&lt;&gt;HomeState),0,ROUND(K758*L758/2,2))),"")</f>
        <v/>
      </c>
      <c r="N758" s="61" t="str">
        <f aca="false">IF(IsPro,IF($D758="","",M758),"")</f>
        <v/>
      </c>
      <c r="O758" s="61" t="str">
        <f aca="false">IF(IsPro,IF($D758="","",IF(AND(R758&lt;&gt;"",INDEX(Parties!$E$5:$E$304,R758)&lt;&gt;"",INDEX(Parties!$E$5:$E$304,R758)&lt;&gt;HomeState),ROUND(K758*L758,2),0)),"")</f>
        <v/>
      </c>
      <c r="P758" s="61" t="str">
        <f aca="false">IF(IsPro,IF($D758="","",K758+M758+N758+O758),"")</f>
        <v/>
      </c>
      <c r="Q758" s="60" t="str">
        <f aca="false">IF(IsPro,IF($D758="","",IFERROR(MATCH($D758,Items!$A$5:$A$504,0),"")),"")</f>
        <v/>
      </c>
      <c r="R758" s="60" t="str">
        <f aca="false">IF(IsPro,IF($C758="","",IFERROR(MATCH($C758,Parties!$A$5:$A$304,0),"")),"")</f>
        <v/>
      </c>
      <c r="S758" s="61" t="str">
        <f aca="false">IF(IsPro,IF($D758="","",IF(OR($H758="",$H758="Credit"),0,P758)),"")</f>
        <v/>
      </c>
    </row>
    <row r="759" customFormat="false" ht="15" hidden="false" customHeight="false" outlineLevel="0" collapsed="false">
      <c r="A759" s="55"/>
      <c r="B759" s="56"/>
      <c r="C759" s="56"/>
      <c r="D759" s="56"/>
      <c r="E759" s="57"/>
      <c r="F759" s="58"/>
      <c r="G759" s="59"/>
      <c r="H759" s="56"/>
      <c r="I759" s="60" t="str">
        <f aca="false">IF(IsPro,IF($D759="","",IFERROR(INDEX(Items!$D$5:$D$504,Q759),"")),IF($D759="","","PRO PLAN"))</f>
        <v/>
      </c>
      <c r="J759" s="61" t="str">
        <f aca="false">IF(IsPro,IF($D759="","",IF($F759="",IFERROR(INDEX(Items!$G$5:$G$504,Q759),0),$F759)),"")</f>
        <v/>
      </c>
      <c r="K759" s="61" t="str">
        <f aca="false">IF(IsPro,IF($D759="","",ROUND(N($E759)*J759*(1-N($G759)),2)),"")</f>
        <v/>
      </c>
      <c r="L759" s="62" t="str">
        <f aca="false">IF(IsPro,IF($D759="","",IFERROR(INDEX(Items!$F$5:$F$504,Q759),0)),"")</f>
        <v/>
      </c>
      <c r="M759" s="61" t="str">
        <f aca="false">IF(IsPro,IF($D759="","",IF(AND(R759&lt;&gt;"",INDEX(Parties!$E$5:$E$304,R759)&lt;&gt;"",INDEX(Parties!$E$5:$E$304,R759)&lt;&gt;HomeState),0,ROUND(K759*L759/2,2))),"")</f>
        <v/>
      </c>
      <c r="N759" s="61" t="str">
        <f aca="false">IF(IsPro,IF($D759="","",M759),"")</f>
        <v/>
      </c>
      <c r="O759" s="61" t="str">
        <f aca="false">IF(IsPro,IF($D759="","",IF(AND(R759&lt;&gt;"",INDEX(Parties!$E$5:$E$304,R759)&lt;&gt;"",INDEX(Parties!$E$5:$E$304,R759)&lt;&gt;HomeState),ROUND(K759*L759,2),0)),"")</f>
        <v/>
      </c>
      <c r="P759" s="61" t="str">
        <f aca="false">IF(IsPro,IF($D759="","",K759+M759+N759+O759),"")</f>
        <v/>
      </c>
      <c r="Q759" s="60" t="str">
        <f aca="false">IF(IsPro,IF($D759="","",IFERROR(MATCH($D759,Items!$A$5:$A$504,0),"")),"")</f>
        <v/>
      </c>
      <c r="R759" s="60" t="str">
        <f aca="false">IF(IsPro,IF($C759="","",IFERROR(MATCH($C759,Parties!$A$5:$A$304,0),"")),"")</f>
        <v/>
      </c>
      <c r="S759" s="61" t="str">
        <f aca="false">IF(IsPro,IF($D759="","",IF(OR($H759="",$H759="Credit"),0,P759)),"")</f>
        <v/>
      </c>
    </row>
    <row r="760" customFormat="false" ht="15" hidden="false" customHeight="false" outlineLevel="0" collapsed="false">
      <c r="A760" s="55"/>
      <c r="B760" s="56"/>
      <c r="C760" s="56"/>
      <c r="D760" s="56"/>
      <c r="E760" s="57"/>
      <c r="F760" s="58"/>
      <c r="G760" s="59"/>
      <c r="H760" s="56"/>
      <c r="I760" s="60" t="str">
        <f aca="false">IF(IsPro,IF($D760="","",IFERROR(INDEX(Items!$D$5:$D$504,Q760),"")),IF($D760="","","PRO PLAN"))</f>
        <v/>
      </c>
      <c r="J760" s="61" t="str">
        <f aca="false">IF(IsPro,IF($D760="","",IF($F760="",IFERROR(INDEX(Items!$G$5:$G$504,Q760),0),$F760)),"")</f>
        <v/>
      </c>
      <c r="K760" s="61" t="str">
        <f aca="false">IF(IsPro,IF($D760="","",ROUND(N($E760)*J760*(1-N($G760)),2)),"")</f>
        <v/>
      </c>
      <c r="L760" s="62" t="str">
        <f aca="false">IF(IsPro,IF($D760="","",IFERROR(INDEX(Items!$F$5:$F$504,Q760),0)),"")</f>
        <v/>
      </c>
      <c r="M760" s="61" t="str">
        <f aca="false">IF(IsPro,IF($D760="","",IF(AND(R760&lt;&gt;"",INDEX(Parties!$E$5:$E$304,R760)&lt;&gt;"",INDEX(Parties!$E$5:$E$304,R760)&lt;&gt;HomeState),0,ROUND(K760*L760/2,2))),"")</f>
        <v/>
      </c>
      <c r="N760" s="61" t="str">
        <f aca="false">IF(IsPro,IF($D760="","",M760),"")</f>
        <v/>
      </c>
      <c r="O760" s="61" t="str">
        <f aca="false">IF(IsPro,IF($D760="","",IF(AND(R760&lt;&gt;"",INDEX(Parties!$E$5:$E$304,R760)&lt;&gt;"",INDEX(Parties!$E$5:$E$304,R760)&lt;&gt;HomeState),ROUND(K760*L760,2),0)),"")</f>
        <v/>
      </c>
      <c r="P760" s="61" t="str">
        <f aca="false">IF(IsPro,IF($D760="","",K760+M760+N760+O760),"")</f>
        <v/>
      </c>
      <c r="Q760" s="60" t="str">
        <f aca="false">IF(IsPro,IF($D760="","",IFERROR(MATCH($D760,Items!$A$5:$A$504,0),"")),"")</f>
        <v/>
      </c>
      <c r="R760" s="60" t="str">
        <f aca="false">IF(IsPro,IF($C760="","",IFERROR(MATCH($C760,Parties!$A$5:$A$304,0),"")),"")</f>
        <v/>
      </c>
      <c r="S760" s="61" t="str">
        <f aca="false">IF(IsPro,IF($D760="","",IF(OR($H760="",$H760="Credit"),0,P760)),"")</f>
        <v/>
      </c>
    </row>
    <row r="761" customFormat="false" ht="15" hidden="false" customHeight="false" outlineLevel="0" collapsed="false">
      <c r="A761" s="55"/>
      <c r="B761" s="56"/>
      <c r="C761" s="56"/>
      <c r="D761" s="56"/>
      <c r="E761" s="57"/>
      <c r="F761" s="58"/>
      <c r="G761" s="59"/>
      <c r="H761" s="56"/>
      <c r="I761" s="60" t="str">
        <f aca="false">IF(IsPro,IF($D761="","",IFERROR(INDEX(Items!$D$5:$D$504,Q761),"")),IF($D761="","","PRO PLAN"))</f>
        <v/>
      </c>
      <c r="J761" s="61" t="str">
        <f aca="false">IF(IsPro,IF($D761="","",IF($F761="",IFERROR(INDEX(Items!$G$5:$G$504,Q761),0),$F761)),"")</f>
        <v/>
      </c>
      <c r="K761" s="61" t="str">
        <f aca="false">IF(IsPro,IF($D761="","",ROUND(N($E761)*J761*(1-N($G761)),2)),"")</f>
        <v/>
      </c>
      <c r="L761" s="62" t="str">
        <f aca="false">IF(IsPro,IF($D761="","",IFERROR(INDEX(Items!$F$5:$F$504,Q761),0)),"")</f>
        <v/>
      </c>
      <c r="M761" s="61" t="str">
        <f aca="false">IF(IsPro,IF($D761="","",IF(AND(R761&lt;&gt;"",INDEX(Parties!$E$5:$E$304,R761)&lt;&gt;"",INDEX(Parties!$E$5:$E$304,R761)&lt;&gt;HomeState),0,ROUND(K761*L761/2,2))),"")</f>
        <v/>
      </c>
      <c r="N761" s="61" t="str">
        <f aca="false">IF(IsPro,IF($D761="","",M761),"")</f>
        <v/>
      </c>
      <c r="O761" s="61" t="str">
        <f aca="false">IF(IsPro,IF($D761="","",IF(AND(R761&lt;&gt;"",INDEX(Parties!$E$5:$E$304,R761)&lt;&gt;"",INDEX(Parties!$E$5:$E$304,R761)&lt;&gt;HomeState),ROUND(K761*L761,2),0)),"")</f>
        <v/>
      </c>
      <c r="P761" s="61" t="str">
        <f aca="false">IF(IsPro,IF($D761="","",K761+M761+N761+O761),"")</f>
        <v/>
      </c>
      <c r="Q761" s="60" t="str">
        <f aca="false">IF(IsPro,IF($D761="","",IFERROR(MATCH($D761,Items!$A$5:$A$504,0),"")),"")</f>
        <v/>
      </c>
      <c r="R761" s="60" t="str">
        <f aca="false">IF(IsPro,IF($C761="","",IFERROR(MATCH($C761,Parties!$A$5:$A$304,0),"")),"")</f>
        <v/>
      </c>
      <c r="S761" s="61" t="str">
        <f aca="false">IF(IsPro,IF($D761="","",IF(OR($H761="",$H761="Credit"),0,P761)),"")</f>
        <v/>
      </c>
    </row>
    <row r="762" customFormat="false" ht="15" hidden="false" customHeight="false" outlineLevel="0" collapsed="false">
      <c r="A762" s="55"/>
      <c r="B762" s="56"/>
      <c r="C762" s="56"/>
      <c r="D762" s="56"/>
      <c r="E762" s="57"/>
      <c r="F762" s="58"/>
      <c r="G762" s="59"/>
      <c r="H762" s="56"/>
      <c r="I762" s="60" t="str">
        <f aca="false">IF(IsPro,IF($D762="","",IFERROR(INDEX(Items!$D$5:$D$504,Q762),"")),IF($D762="","","PRO PLAN"))</f>
        <v/>
      </c>
      <c r="J762" s="61" t="str">
        <f aca="false">IF(IsPro,IF($D762="","",IF($F762="",IFERROR(INDEX(Items!$G$5:$G$504,Q762),0),$F762)),"")</f>
        <v/>
      </c>
      <c r="K762" s="61" t="str">
        <f aca="false">IF(IsPro,IF($D762="","",ROUND(N($E762)*J762*(1-N($G762)),2)),"")</f>
        <v/>
      </c>
      <c r="L762" s="62" t="str">
        <f aca="false">IF(IsPro,IF($D762="","",IFERROR(INDEX(Items!$F$5:$F$504,Q762),0)),"")</f>
        <v/>
      </c>
      <c r="M762" s="61" t="str">
        <f aca="false">IF(IsPro,IF($D762="","",IF(AND(R762&lt;&gt;"",INDEX(Parties!$E$5:$E$304,R762)&lt;&gt;"",INDEX(Parties!$E$5:$E$304,R762)&lt;&gt;HomeState),0,ROUND(K762*L762/2,2))),"")</f>
        <v/>
      </c>
      <c r="N762" s="61" t="str">
        <f aca="false">IF(IsPro,IF($D762="","",M762),"")</f>
        <v/>
      </c>
      <c r="O762" s="61" t="str">
        <f aca="false">IF(IsPro,IF($D762="","",IF(AND(R762&lt;&gt;"",INDEX(Parties!$E$5:$E$304,R762)&lt;&gt;"",INDEX(Parties!$E$5:$E$304,R762)&lt;&gt;HomeState),ROUND(K762*L762,2),0)),"")</f>
        <v/>
      </c>
      <c r="P762" s="61" t="str">
        <f aca="false">IF(IsPro,IF($D762="","",K762+M762+N762+O762),"")</f>
        <v/>
      </c>
      <c r="Q762" s="60" t="str">
        <f aca="false">IF(IsPro,IF($D762="","",IFERROR(MATCH($D762,Items!$A$5:$A$504,0),"")),"")</f>
        <v/>
      </c>
      <c r="R762" s="60" t="str">
        <f aca="false">IF(IsPro,IF($C762="","",IFERROR(MATCH($C762,Parties!$A$5:$A$304,0),"")),"")</f>
        <v/>
      </c>
      <c r="S762" s="61" t="str">
        <f aca="false">IF(IsPro,IF($D762="","",IF(OR($H762="",$H762="Credit"),0,P762)),"")</f>
        <v/>
      </c>
    </row>
    <row r="763" customFormat="false" ht="15" hidden="false" customHeight="false" outlineLevel="0" collapsed="false">
      <c r="A763" s="55"/>
      <c r="B763" s="56"/>
      <c r="C763" s="56"/>
      <c r="D763" s="56"/>
      <c r="E763" s="57"/>
      <c r="F763" s="58"/>
      <c r="G763" s="59"/>
      <c r="H763" s="56"/>
      <c r="I763" s="60" t="str">
        <f aca="false">IF(IsPro,IF($D763="","",IFERROR(INDEX(Items!$D$5:$D$504,Q763),"")),IF($D763="","","PRO PLAN"))</f>
        <v/>
      </c>
      <c r="J763" s="61" t="str">
        <f aca="false">IF(IsPro,IF($D763="","",IF($F763="",IFERROR(INDEX(Items!$G$5:$G$504,Q763),0),$F763)),"")</f>
        <v/>
      </c>
      <c r="K763" s="61" t="str">
        <f aca="false">IF(IsPro,IF($D763="","",ROUND(N($E763)*J763*(1-N($G763)),2)),"")</f>
        <v/>
      </c>
      <c r="L763" s="62" t="str">
        <f aca="false">IF(IsPro,IF($D763="","",IFERROR(INDEX(Items!$F$5:$F$504,Q763),0)),"")</f>
        <v/>
      </c>
      <c r="M763" s="61" t="str">
        <f aca="false">IF(IsPro,IF($D763="","",IF(AND(R763&lt;&gt;"",INDEX(Parties!$E$5:$E$304,R763)&lt;&gt;"",INDEX(Parties!$E$5:$E$304,R763)&lt;&gt;HomeState),0,ROUND(K763*L763/2,2))),"")</f>
        <v/>
      </c>
      <c r="N763" s="61" t="str">
        <f aca="false">IF(IsPro,IF($D763="","",M763),"")</f>
        <v/>
      </c>
      <c r="O763" s="61" t="str">
        <f aca="false">IF(IsPro,IF($D763="","",IF(AND(R763&lt;&gt;"",INDEX(Parties!$E$5:$E$304,R763)&lt;&gt;"",INDEX(Parties!$E$5:$E$304,R763)&lt;&gt;HomeState),ROUND(K763*L763,2),0)),"")</f>
        <v/>
      </c>
      <c r="P763" s="61" t="str">
        <f aca="false">IF(IsPro,IF($D763="","",K763+M763+N763+O763),"")</f>
        <v/>
      </c>
      <c r="Q763" s="60" t="str">
        <f aca="false">IF(IsPro,IF($D763="","",IFERROR(MATCH($D763,Items!$A$5:$A$504,0),"")),"")</f>
        <v/>
      </c>
      <c r="R763" s="60" t="str">
        <f aca="false">IF(IsPro,IF($C763="","",IFERROR(MATCH($C763,Parties!$A$5:$A$304,0),"")),"")</f>
        <v/>
      </c>
      <c r="S763" s="61" t="str">
        <f aca="false">IF(IsPro,IF($D763="","",IF(OR($H763="",$H763="Credit"),0,P763)),"")</f>
        <v/>
      </c>
    </row>
    <row r="764" customFormat="false" ht="15" hidden="false" customHeight="false" outlineLevel="0" collapsed="false">
      <c r="A764" s="55"/>
      <c r="B764" s="56"/>
      <c r="C764" s="56"/>
      <c r="D764" s="56"/>
      <c r="E764" s="57"/>
      <c r="F764" s="58"/>
      <c r="G764" s="59"/>
      <c r="H764" s="56"/>
      <c r="I764" s="60" t="str">
        <f aca="false">IF(IsPro,IF($D764="","",IFERROR(INDEX(Items!$D$5:$D$504,Q764),"")),IF($D764="","","PRO PLAN"))</f>
        <v/>
      </c>
      <c r="J764" s="61" t="str">
        <f aca="false">IF(IsPro,IF($D764="","",IF($F764="",IFERROR(INDEX(Items!$G$5:$G$504,Q764),0),$F764)),"")</f>
        <v/>
      </c>
      <c r="K764" s="61" t="str">
        <f aca="false">IF(IsPro,IF($D764="","",ROUND(N($E764)*J764*(1-N($G764)),2)),"")</f>
        <v/>
      </c>
      <c r="L764" s="62" t="str">
        <f aca="false">IF(IsPro,IF($D764="","",IFERROR(INDEX(Items!$F$5:$F$504,Q764),0)),"")</f>
        <v/>
      </c>
      <c r="M764" s="61" t="str">
        <f aca="false">IF(IsPro,IF($D764="","",IF(AND(R764&lt;&gt;"",INDEX(Parties!$E$5:$E$304,R764)&lt;&gt;"",INDEX(Parties!$E$5:$E$304,R764)&lt;&gt;HomeState),0,ROUND(K764*L764/2,2))),"")</f>
        <v/>
      </c>
      <c r="N764" s="61" t="str">
        <f aca="false">IF(IsPro,IF($D764="","",M764),"")</f>
        <v/>
      </c>
      <c r="O764" s="61" t="str">
        <f aca="false">IF(IsPro,IF($D764="","",IF(AND(R764&lt;&gt;"",INDEX(Parties!$E$5:$E$304,R764)&lt;&gt;"",INDEX(Parties!$E$5:$E$304,R764)&lt;&gt;HomeState),ROUND(K764*L764,2),0)),"")</f>
        <v/>
      </c>
      <c r="P764" s="61" t="str">
        <f aca="false">IF(IsPro,IF($D764="","",K764+M764+N764+O764),"")</f>
        <v/>
      </c>
      <c r="Q764" s="60" t="str">
        <f aca="false">IF(IsPro,IF($D764="","",IFERROR(MATCH($D764,Items!$A$5:$A$504,0),"")),"")</f>
        <v/>
      </c>
      <c r="R764" s="60" t="str">
        <f aca="false">IF(IsPro,IF($C764="","",IFERROR(MATCH($C764,Parties!$A$5:$A$304,0),"")),"")</f>
        <v/>
      </c>
      <c r="S764" s="61" t="str">
        <f aca="false">IF(IsPro,IF($D764="","",IF(OR($H764="",$H764="Credit"),0,P764)),"")</f>
        <v/>
      </c>
    </row>
    <row r="765" customFormat="false" ht="15" hidden="false" customHeight="false" outlineLevel="0" collapsed="false">
      <c r="A765" s="55"/>
      <c r="B765" s="56"/>
      <c r="C765" s="56"/>
      <c r="D765" s="56"/>
      <c r="E765" s="57"/>
      <c r="F765" s="58"/>
      <c r="G765" s="59"/>
      <c r="H765" s="56"/>
      <c r="I765" s="60" t="str">
        <f aca="false">IF(IsPro,IF($D765="","",IFERROR(INDEX(Items!$D$5:$D$504,Q765),"")),IF($D765="","","PRO PLAN"))</f>
        <v/>
      </c>
      <c r="J765" s="61" t="str">
        <f aca="false">IF(IsPro,IF($D765="","",IF($F765="",IFERROR(INDEX(Items!$G$5:$G$504,Q765),0),$F765)),"")</f>
        <v/>
      </c>
      <c r="K765" s="61" t="str">
        <f aca="false">IF(IsPro,IF($D765="","",ROUND(N($E765)*J765*(1-N($G765)),2)),"")</f>
        <v/>
      </c>
      <c r="L765" s="62" t="str">
        <f aca="false">IF(IsPro,IF($D765="","",IFERROR(INDEX(Items!$F$5:$F$504,Q765),0)),"")</f>
        <v/>
      </c>
      <c r="M765" s="61" t="str">
        <f aca="false">IF(IsPro,IF($D765="","",IF(AND(R765&lt;&gt;"",INDEX(Parties!$E$5:$E$304,R765)&lt;&gt;"",INDEX(Parties!$E$5:$E$304,R765)&lt;&gt;HomeState),0,ROUND(K765*L765/2,2))),"")</f>
        <v/>
      </c>
      <c r="N765" s="61" t="str">
        <f aca="false">IF(IsPro,IF($D765="","",M765),"")</f>
        <v/>
      </c>
      <c r="O765" s="61" t="str">
        <f aca="false">IF(IsPro,IF($D765="","",IF(AND(R765&lt;&gt;"",INDEX(Parties!$E$5:$E$304,R765)&lt;&gt;"",INDEX(Parties!$E$5:$E$304,R765)&lt;&gt;HomeState),ROUND(K765*L765,2),0)),"")</f>
        <v/>
      </c>
      <c r="P765" s="61" t="str">
        <f aca="false">IF(IsPro,IF($D765="","",K765+M765+N765+O765),"")</f>
        <v/>
      </c>
      <c r="Q765" s="60" t="str">
        <f aca="false">IF(IsPro,IF($D765="","",IFERROR(MATCH($D765,Items!$A$5:$A$504,0),"")),"")</f>
        <v/>
      </c>
      <c r="R765" s="60" t="str">
        <f aca="false">IF(IsPro,IF($C765="","",IFERROR(MATCH($C765,Parties!$A$5:$A$304,0),"")),"")</f>
        <v/>
      </c>
      <c r="S765" s="61" t="str">
        <f aca="false">IF(IsPro,IF($D765="","",IF(OR($H765="",$H765="Credit"),0,P765)),"")</f>
        <v/>
      </c>
    </row>
    <row r="766" customFormat="false" ht="15" hidden="false" customHeight="false" outlineLevel="0" collapsed="false">
      <c r="A766" s="55"/>
      <c r="B766" s="56"/>
      <c r="C766" s="56"/>
      <c r="D766" s="56"/>
      <c r="E766" s="57"/>
      <c r="F766" s="58"/>
      <c r="G766" s="59"/>
      <c r="H766" s="56"/>
      <c r="I766" s="60" t="str">
        <f aca="false">IF(IsPro,IF($D766="","",IFERROR(INDEX(Items!$D$5:$D$504,Q766),"")),IF($D766="","","PRO PLAN"))</f>
        <v/>
      </c>
      <c r="J766" s="61" t="str">
        <f aca="false">IF(IsPro,IF($D766="","",IF($F766="",IFERROR(INDEX(Items!$G$5:$G$504,Q766),0),$F766)),"")</f>
        <v/>
      </c>
      <c r="K766" s="61" t="str">
        <f aca="false">IF(IsPro,IF($D766="","",ROUND(N($E766)*J766*(1-N($G766)),2)),"")</f>
        <v/>
      </c>
      <c r="L766" s="62" t="str">
        <f aca="false">IF(IsPro,IF($D766="","",IFERROR(INDEX(Items!$F$5:$F$504,Q766),0)),"")</f>
        <v/>
      </c>
      <c r="M766" s="61" t="str">
        <f aca="false">IF(IsPro,IF($D766="","",IF(AND(R766&lt;&gt;"",INDEX(Parties!$E$5:$E$304,R766)&lt;&gt;"",INDEX(Parties!$E$5:$E$304,R766)&lt;&gt;HomeState),0,ROUND(K766*L766/2,2))),"")</f>
        <v/>
      </c>
      <c r="N766" s="61" t="str">
        <f aca="false">IF(IsPro,IF($D766="","",M766),"")</f>
        <v/>
      </c>
      <c r="O766" s="61" t="str">
        <f aca="false">IF(IsPro,IF($D766="","",IF(AND(R766&lt;&gt;"",INDEX(Parties!$E$5:$E$304,R766)&lt;&gt;"",INDEX(Parties!$E$5:$E$304,R766)&lt;&gt;HomeState),ROUND(K766*L766,2),0)),"")</f>
        <v/>
      </c>
      <c r="P766" s="61" t="str">
        <f aca="false">IF(IsPro,IF($D766="","",K766+M766+N766+O766),"")</f>
        <v/>
      </c>
      <c r="Q766" s="60" t="str">
        <f aca="false">IF(IsPro,IF($D766="","",IFERROR(MATCH($D766,Items!$A$5:$A$504,0),"")),"")</f>
        <v/>
      </c>
      <c r="R766" s="60" t="str">
        <f aca="false">IF(IsPro,IF($C766="","",IFERROR(MATCH($C766,Parties!$A$5:$A$304,0),"")),"")</f>
        <v/>
      </c>
      <c r="S766" s="61" t="str">
        <f aca="false">IF(IsPro,IF($D766="","",IF(OR($H766="",$H766="Credit"),0,P766)),"")</f>
        <v/>
      </c>
    </row>
    <row r="767" customFormat="false" ht="15" hidden="false" customHeight="false" outlineLevel="0" collapsed="false">
      <c r="A767" s="55"/>
      <c r="B767" s="56"/>
      <c r="C767" s="56"/>
      <c r="D767" s="56"/>
      <c r="E767" s="57"/>
      <c r="F767" s="58"/>
      <c r="G767" s="59"/>
      <c r="H767" s="56"/>
      <c r="I767" s="60" t="str">
        <f aca="false">IF(IsPro,IF($D767="","",IFERROR(INDEX(Items!$D$5:$D$504,Q767),"")),IF($D767="","","PRO PLAN"))</f>
        <v/>
      </c>
      <c r="J767" s="61" t="str">
        <f aca="false">IF(IsPro,IF($D767="","",IF($F767="",IFERROR(INDEX(Items!$G$5:$G$504,Q767),0),$F767)),"")</f>
        <v/>
      </c>
      <c r="K767" s="61" t="str">
        <f aca="false">IF(IsPro,IF($D767="","",ROUND(N($E767)*J767*(1-N($G767)),2)),"")</f>
        <v/>
      </c>
      <c r="L767" s="62" t="str">
        <f aca="false">IF(IsPro,IF($D767="","",IFERROR(INDEX(Items!$F$5:$F$504,Q767),0)),"")</f>
        <v/>
      </c>
      <c r="M767" s="61" t="str">
        <f aca="false">IF(IsPro,IF($D767="","",IF(AND(R767&lt;&gt;"",INDEX(Parties!$E$5:$E$304,R767)&lt;&gt;"",INDEX(Parties!$E$5:$E$304,R767)&lt;&gt;HomeState),0,ROUND(K767*L767/2,2))),"")</f>
        <v/>
      </c>
      <c r="N767" s="61" t="str">
        <f aca="false">IF(IsPro,IF($D767="","",M767),"")</f>
        <v/>
      </c>
      <c r="O767" s="61" t="str">
        <f aca="false">IF(IsPro,IF($D767="","",IF(AND(R767&lt;&gt;"",INDEX(Parties!$E$5:$E$304,R767)&lt;&gt;"",INDEX(Parties!$E$5:$E$304,R767)&lt;&gt;HomeState),ROUND(K767*L767,2),0)),"")</f>
        <v/>
      </c>
      <c r="P767" s="61" t="str">
        <f aca="false">IF(IsPro,IF($D767="","",K767+M767+N767+O767),"")</f>
        <v/>
      </c>
      <c r="Q767" s="60" t="str">
        <f aca="false">IF(IsPro,IF($D767="","",IFERROR(MATCH($D767,Items!$A$5:$A$504,0),"")),"")</f>
        <v/>
      </c>
      <c r="R767" s="60" t="str">
        <f aca="false">IF(IsPro,IF($C767="","",IFERROR(MATCH($C767,Parties!$A$5:$A$304,0),"")),"")</f>
        <v/>
      </c>
      <c r="S767" s="61" t="str">
        <f aca="false">IF(IsPro,IF($D767="","",IF(OR($H767="",$H767="Credit"),0,P767)),"")</f>
        <v/>
      </c>
    </row>
    <row r="768" customFormat="false" ht="15" hidden="false" customHeight="false" outlineLevel="0" collapsed="false">
      <c r="A768" s="55"/>
      <c r="B768" s="56"/>
      <c r="C768" s="56"/>
      <c r="D768" s="56"/>
      <c r="E768" s="57"/>
      <c r="F768" s="58"/>
      <c r="G768" s="59"/>
      <c r="H768" s="56"/>
      <c r="I768" s="60" t="str">
        <f aca="false">IF(IsPro,IF($D768="","",IFERROR(INDEX(Items!$D$5:$D$504,Q768),"")),IF($D768="","","PRO PLAN"))</f>
        <v/>
      </c>
      <c r="J768" s="61" t="str">
        <f aca="false">IF(IsPro,IF($D768="","",IF($F768="",IFERROR(INDEX(Items!$G$5:$G$504,Q768),0),$F768)),"")</f>
        <v/>
      </c>
      <c r="K768" s="61" t="str">
        <f aca="false">IF(IsPro,IF($D768="","",ROUND(N($E768)*J768*(1-N($G768)),2)),"")</f>
        <v/>
      </c>
      <c r="L768" s="62" t="str">
        <f aca="false">IF(IsPro,IF($D768="","",IFERROR(INDEX(Items!$F$5:$F$504,Q768),0)),"")</f>
        <v/>
      </c>
      <c r="M768" s="61" t="str">
        <f aca="false">IF(IsPro,IF($D768="","",IF(AND(R768&lt;&gt;"",INDEX(Parties!$E$5:$E$304,R768)&lt;&gt;"",INDEX(Parties!$E$5:$E$304,R768)&lt;&gt;HomeState),0,ROUND(K768*L768/2,2))),"")</f>
        <v/>
      </c>
      <c r="N768" s="61" t="str">
        <f aca="false">IF(IsPro,IF($D768="","",M768),"")</f>
        <v/>
      </c>
      <c r="O768" s="61" t="str">
        <f aca="false">IF(IsPro,IF($D768="","",IF(AND(R768&lt;&gt;"",INDEX(Parties!$E$5:$E$304,R768)&lt;&gt;"",INDEX(Parties!$E$5:$E$304,R768)&lt;&gt;HomeState),ROUND(K768*L768,2),0)),"")</f>
        <v/>
      </c>
      <c r="P768" s="61" t="str">
        <f aca="false">IF(IsPro,IF($D768="","",K768+M768+N768+O768),"")</f>
        <v/>
      </c>
      <c r="Q768" s="60" t="str">
        <f aca="false">IF(IsPro,IF($D768="","",IFERROR(MATCH($D768,Items!$A$5:$A$504,0),"")),"")</f>
        <v/>
      </c>
      <c r="R768" s="60" t="str">
        <f aca="false">IF(IsPro,IF($C768="","",IFERROR(MATCH($C768,Parties!$A$5:$A$304,0),"")),"")</f>
        <v/>
      </c>
      <c r="S768" s="61" t="str">
        <f aca="false">IF(IsPro,IF($D768="","",IF(OR($H768="",$H768="Credit"),0,P768)),"")</f>
        <v/>
      </c>
    </row>
    <row r="769" customFormat="false" ht="15" hidden="false" customHeight="false" outlineLevel="0" collapsed="false">
      <c r="A769" s="55"/>
      <c r="B769" s="56"/>
      <c r="C769" s="56"/>
      <c r="D769" s="56"/>
      <c r="E769" s="57"/>
      <c r="F769" s="58"/>
      <c r="G769" s="59"/>
      <c r="H769" s="56"/>
      <c r="I769" s="60" t="str">
        <f aca="false">IF(IsPro,IF($D769="","",IFERROR(INDEX(Items!$D$5:$D$504,Q769),"")),IF($D769="","","PRO PLAN"))</f>
        <v/>
      </c>
      <c r="J769" s="61" t="str">
        <f aca="false">IF(IsPro,IF($D769="","",IF($F769="",IFERROR(INDEX(Items!$G$5:$G$504,Q769),0),$F769)),"")</f>
        <v/>
      </c>
      <c r="K769" s="61" t="str">
        <f aca="false">IF(IsPro,IF($D769="","",ROUND(N($E769)*J769*(1-N($G769)),2)),"")</f>
        <v/>
      </c>
      <c r="L769" s="62" t="str">
        <f aca="false">IF(IsPro,IF($D769="","",IFERROR(INDEX(Items!$F$5:$F$504,Q769),0)),"")</f>
        <v/>
      </c>
      <c r="M769" s="61" t="str">
        <f aca="false">IF(IsPro,IF($D769="","",IF(AND(R769&lt;&gt;"",INDEX(Parties!$E$5:$E$304,R769)&lt;&gt;"",INDEX(Parties!$E$5:$E$304,R769)&lt;&gt;HomeState),0,ROUND(K769*L769/2,2))),"")</f>
        <v/>
      </c>
      <c r="N769" s="61" t="str">
        <f aca="false">IF(IsPro,IF($D769="","",M769),"")</f>
        <v/>
      </c>
      <c r="O769" s="61" t="str">
        <f aca="false">IF(IsPro,IF($D769="","",IF(AND(R769&lt;&gt;"",INDEX(Parties!$E$5:$E$304,R769)&lt;&gt;"",INDEX(Parties!$E$5:$E$304,R769)&lt;&gt;HomeState),ROUND(K769*L769,2),0)),"")</f>
        <v/>
      </c>
      <c r="P769" s="61" t="str">
        <f aca="false">IF(IsPro,IF($D769="","",K769+M769+N769+O769),"")</f>
        <v/>
      </c>
      <c r="Q769" s="60" t="str">
        <f aca="false">IF(IsPro,IF($D769="","",IFERROR(MATCH($D769,Items!$A$5:$A$504,0),"")),"")</f>
        <v/>
      </c>
      <c r="R769" s="60" t="str">
        <f aca="false">IF(IsPro,IF($C769="","",IFERROR(MATCH($C769,Parties!$A$5:$A$304,0),"")),"")</f>
        <v/>
      </c>
      <c r="S769" s="61" t="str">
        <f aca="false">IF(IsPro,IF($D769="","",IF(OR($H769="",$H769="Credit"),0,P769)),"")</f>
        <v/>
      </c>
    </row>
    <row r="770" customFormat="false" ht="15" hidden="false" customHeight="false" outlineLevel="0" collapsed="false">
      <c r="A770" s="55"/>
      <c r="B770" s="56"/>
      <c r="C770" s="56"/>
      <c r="D770" s="56"/>
      <c r="E770" s="57"/>
      <c r="F770" s="58"/>
      <c r="G770" s="59"/>
      <c r="H770" s="56"/>
      <c r="I770" s="60" t="str">
        <f aca="false">IF(IsPro,IF($D770="","",IFERROR(INDEX(Items!$D$5:$D$504,Q770),"")),IF($D770="","","PRO PLAN"))</f>
        <v/>
      </c>
      <c r="J770" s="61" t="str">
        <f aca="false">IF(IsPro,IF($D770="","",IF($F770="",IFERROR(INDEX(Items!$G$5:$G$504,Q770),0),$F770)),"")</f>
        <v/>
      </c>
      <c r="K770" s="61" t="str">
        <f aca="false">IF(IsPro,IF($D770="","",ROUND(N($E770)*J770*(1-N($G770)),2)),"")</f>
        <v/>
      </c>
      <c r="L770" s="62" t="str">
        <f aca="false">IF(IsPro,IF($D770="","",IFERROR(INDEX(Items!$F$5:$F$504,Q770),0)),"")</f>
        <v/>
      </c>
      <c r="M770" s="61" t="str">
        <f aca="false">IF(IsPro,IF($D770="","",IF(AND(R770&lt;&gt;"",INDEX(Parties!$E$5:$E$304,R770)&lt;&gt;"",INDEX(Parties!$E$5:$E$304,R770)&lt;&gt;HomeState),0,ROUND(K770*L770/2,2))),"")</f>
        <v/>
      </c>
      <c r="N770" s="61" t="str">
        <f aca="false">IF(IsPro,IF($D770="","",M770),"")</f>
        <v/>
      </c>
      <c r="O770" s="61" t="str">
        <f aca="false">IF(IsPro,IF($D770="","",IF(AND(R770&lt;&gt;"",INDEX(Parties!$E$5:$E$304,R770)&lt;&gt;"",INDEX(Parties!$E$5:$E$304,R770)&lt;&gt;HomeState),ROUND(K770*L770,2),0)),"")</f>
        <v/>
      </c>
      <c r="P770" s="61" t="str">
        <f aca="false">IF(IsPro,IF($D770="","",K770+M770+N770+O770),"")</f>
        <v/>
      </c>
      <c r="Q770" s="60" t="str">
        <f aca="false">IF(IsPro,IF($D770="","",IFERROR(MATCH($D770,Items!$A$5:$A$504,0),"")),"")</f>
        <v/>
      </c>
      <c r="R770" s="60" t="str">
        <f aca="false">IF(IsPro,IF($C770="","",IFERROR(MATCH($C770,Parties!$A$5:$A$304,0),"")),"")</f>
        <v/>
      </c>
      <c r="S770" s="61" t="str">
        <f aca="false">IF(IsPro,IF($D770="","",IF(OR($H770="",$H770="Credit"),0,P770)),"")</f>
        <v/>
      </c>
    </row>
    <row r="771" customFormat="false" ht="15" hidden="false" customHeight="false" outlineLevel="0" collapsed="false">
      <c r="A771" s="55"/>
      <c r="B771" s="56"/>
      <c r="C771" s="56"/>
      <c r="D771" s="56"/>
      <c r="E771" s="57"/>
      <c r="F771" s="58"/>
      <c r="G771" s="59"/>
      <c r="H771" s="56"/>
      <c r="I771" s="60" t="str">
        <f aca="false">IF(IsPro,IF($D771="","",IFERROR(INDEX(Items!$D$5:$D$504,Q771),"")),IF($D771="","","PRO PLAN"))</f>
        <v/>
      </c>
      <c r="J771" s="61" t="str">
        <f aca="false">IF(IsPro,IF($D771="","",IF($F771="",IFERROR(INDEX(Items!$G$5:$G$504,Q771),0),$F771)),"")</f>
        <v/>
      </c>
      <c r="K771" s="61" t="str">
        <f aca="false">IF(IsPro,IF($D771="","",ROUND(N($E771)*J771*(1-N($G771)),2)),"")</f>
        <v/>
      </c>
      <c r="L771" s="62" t="str">
        <f aca="false">IF(IsPro,IF($D771="","",IFERROR(INDEX(Items!$F$5:$F$504,Q771),0)),"")</f>
        <v/>
      </c>
      <c r="M771" s="61" t="str">
        <f aca="false">IF(IsPro,IF($D771="","",IF(AND(R771&lt;&gt;"",INDEX(Parties!$E$5:$E$304,R771)&lt;&gt;"",INDEX(Parties!$E$5:$E$304,R771)&lt;&gt;HomeState),0,ROUND(K771*L771/2,2))),"")</f>
        <v/>
      </c>
      <c r="N771" s="61" t="str">
        <f aca="false">IF(IsPro,IF($D771="","",M771),"")</f>
        <v/>
      </c>
      <c r="O771" s="61" t="str">
        <f aca="false">IF(IsPro,IF($D771="","",IF(AND(R771&lt;&gt;"",INDEX(Parties!$E$5:$E$304,R771)&lt;&gt;"",INDEX(Parties!$E$5:$E$304,R771)&lt;&gt;HomeState),ROUND(K771*L771,2),0)),"")</f>
        <v/>
      </c>
      <c r="P771" s="61" t="str">
        <f aca="false">IF(IsPro,IF($D771="","",K771+M771+N771+O771),"")</f>
        <v/>
      </c>
      <c r="Q771" s="60" t="str">
        <f aca="false">IF(IsPro,IF($D771="","",IFERROR(MATCH($D771,Items!$A$5:$A$504,0),"")),"")</f>
        <v/>
      </c>
      <c r="R771" s="60" t="str">
        <f aca="false">IF(IsPro,IF($C771="","",IFERROR(MATCH($C771,Parties!$A$5:$A$304,0),"")),"")</f>
        <v/>
      </c>
      <c r="S771" s="61" t="str">
        <f aca="false">IF(IsPro,IF($D771="","",IF(OR($H771="",$H771="Credit"),0,P771)),"")</f>
        <v/>
      </c>
    </row>
    <row r="772" customFormat="false" ht="15" hidden="false" customHeight="false" outlineLevel="0" collapsed="false">
      <c r="A772" s="55"/>
      <c r="B772" s="56"/>
      <c r="C772" s="56"/>
      <c r="D772" s="56"/>
      <c r="E772" s="57"/>
      <c r="F772" s="58"/>
      <c r="G772" s="59"/>
      <c r="H772" s="56"/>
      <c r="I772" s="60" t="str">
        <f aca="false">IF(IsPro,IF($D772="","",IFERROR(INDEX(Items!$D$5:$D$504,Q772),"")),IF($D772="","","PRO PLAN"))</f>
        <v/>
      </c>
      <c r="J772" s="61" t="str">
        <f aca="false">IF(IsPro,IF($D772="","",IF($F772="",IFERROR(INDEX(Items!$G$5:$G$504,Q772),0),$F772)),"")</f>
        <v/>
      </c>
      <c r="K772" s="61" t="str">
        <f aca="false">IF(IsPro,IF($D772="","",ROUND(N($E772)*J772*(1-N($G772)),2)),"")</f>
        <v/>
      </c>
      <c r="L772" s="62" t="str">
        <f aca="false">IF(IsPro,IF($D772="","",IFERROR(INDEX(Items!$F$5:$F$504,Q772),0)),"")</f>
        <v/>
      </c>
      <c r="M772" s="61" t="str">
        <f aca="false">IF(IsPro,IF($D772="","",IF(AND(R772&lt;&gt;"",INDEX(Parties!$E$5:$E$304,R772)&lt;&gt;"",INDEX(Parties!$E$5:$E$304,R772)&lt;&gt;HomeState),0,ROUND(K772*L772/2,2))),"")</f>
        <v/>
      </c>
      <c r="N772" s="61" t="str">
        <f aca="false">IF(IsPro,IF($D772="","",M772),"")</f>
        <v/>
      </c>
      <c r="O772" s="61" t="str">
        <f aca="false">IF(IsPro,IF($D772="","",IF(AND(R772&lt;&gt;"",INDEX(Parties!$E$5:$E$304,R772)&lt;&gt;"",INDEX(Parties!$E$5:$E$304,R772)&lt;&gt;HomeState),ROUND(K772*L772,2),0)),"")</f>
        <v/>
      </c>
      <c r="P772" s="61" t="str">
        <f aca="false">IF(IsPro,IF($D772="","",K772+M772+N772+O772),"")</f>
        <v/>
      </c>
      <c r="Q772" s="60" t="str">
        <f aca="false">IF(IsPro,IF($D772="","",IFERROR(MATCH($D772,Items!$A$5:$A$504,0),"")),"")</f>
        <v/>
      </c>
      <c r="R772" s="60" t="str">
        <f aca="false">IF(IsPro,IF($C772="","",IFERROR(MATCH($C772,Parties!$A$5:$A$304,0),"")),"")</f>
        <v/>
      </c>
      <c r="S772" s="61" t="str">
        <f aca="false">IF(IsPro,IF($D772="","",IF(OR($H772="",$H772="Credit"),0,P772)),"")</f>
        <v/>
      </c>
    </row>
    <row r="773" customFormat="false" ht="15" hidden="false" customHeight="false" outlineLevel="0" collapsed="false">
      <c r="A773" s="55"/>
      <c r="B773" s="56"/>
      <c r="C773" s="56"/>
      <c r="D773" s="56"/>
      <c r="E773" s="57"/>
      <c r="F773" s="58"/>
      <c r="G773" s="59"/>
      <c r="H773" s="56"/>
      <c r="I773" s="60" t="str">
        <f aca="false">IF(IsPro,IF($D773="","",IFERROR(INDEX(Items!$D$5:$D$504,Q773),"")),IF($D773="","","PRO PLAN"))</f>
        <v/>
      </c>
      <c r="J773" s="61" t="str">
        <f aca="false">IF(IsPro,IF($D773="","",IF($F773="",IFERROR(INDEX(Items!$G$5:$G$504,Q773),0),$F773)),"")</f>
        <v/>
      </c>
      <c r="K773" s="61" t="str">
        <f aca="false">IF(IsPro,IF($D773="","",ROUND(N($E773)*J773*(1-N($G773)),2)),"")</f>
        <v/>
      </c>
      <c r="L773" s="62" t="str">
        <f aca="false">IF(IsPro,IF($D773="","",IFERROR(INDEX(Items!$F$5:$F$504,Q773),0)),"")</f>
        <v/>
      </c>
      <c r="M773" s="61" t="str">
        <f aca="false">IF(IsPro,IF($D773="","",IF(AND(R773&lt;&gt;"",INDEX(Parties!$E$5:$E$304,R773)&lt;&gt;"",INDEX(Parties!$E$5:$E$304,R773)&lt;&gt;HomeState),0,ROUND(K773*L773/2,2))),"")</f>
        <v/>
      </c>
      <c r="N773" s="61" t="str">
        <f aca="false">IF(IsPro,IF($D773="","",M773),"")</f>
        <v/>
      </c>
      <c r="O773" s="61" t="str">
        <f aca="false">IF(IsPro,IF($D773="","",IF(AND(R773&lt;&gt;"",INDEX(Parties!$E$5:$E$304,R773)&lt;&gt;"",INDEX(Parties!$E$5:$E$304,R773)&lt;&gt;HomeState),ROUND(K773*L773,2),0)),"")</f>
        <v/>
      </c>
      <c r="P773" s="61" t="str">
        <f aca="false">IF(IsPro,IF($D773="","",K773+M773+N773+O773),"")</f>
        <v/>
      </c>
      <c r="Q773" s="60" t="str">
        <f aca="false">IF(IsPro,IF($D773="","",IFERROR(MATCH($D773,Items!$A$5:$A$504,0),"")),"")</f>
        <v/>
      </c>
      <c r="R773" s="60" t="str">
        <f aca="false">IF(IsPro,IF($C773="","",IFERROR(MATCH($C773,Parties!$A$5:$A$304,0),"")),"")</f>
        <v/>
      </c>
      <c r="S773" s="61" t="str">
        <f aca="false">IF(IsPro,IF($D773="","",IF(OR($H773="",$H773="Credit"),0,P773)),"")</f>
        <v/>
      </c>
    </row>
    <row r="774" customFormat="false" ht="15" hidden="false" customHeight="false" outlineLevel="0" collapsed="false">
      <c r="A774" s="55"/>
      <c r="B774" s="56"/>
      <c r="C774" s="56"/>
      <c r="D774" s="56"/>
      <c r="E774" s="57"/>
      <c r="F774" s="58"/>
      <c r="G774" s="59"/>
      <c r="H774" s="56"/>
      <c r="I774" s="60" t="str">
        <f aca="false">IF(IsPro,IF($D774="","",IFERROR(INDEX(Items!$D$5:$D$504,Q774),"")),IF($D774="","","PRO PLAN"))</f>
        <v/>
      </c>
      <c r="J774" s="61" t="str">
        <f aca="false">IF(IsPro,IF($D774="","",IF($F774="",IFERROR(INDEX(Items!$G$5:$G$504,Q774),0),$F774)),"")</f>
        <v/>
      </c>
      <c r="K774" s="61" t="str">
        <f aca="false">IF(IsPro,IF($D774="","",ROUND(N($E774)*J774*(1-N($G774)),2)),"")</f>
        <v/>
      </c>
      <c r="L774" s="62" t="str">
        <f aca="false">IF(IsPro,IF($D774="","",IFERROR(INDEX(Items!$F$5:$F$504,Q774),0)),"")</f>
        <v/>
      </c>
      <c r="M774" s="61" t="str">
        <f aca="false">IF(IsPro,IF($D774="","",IF(AND(R774&lt;&gt;"",INDEX(Parties!$E$5:$E$304,R774)&lt;&gt;"",INDEX(Parties!$E$5:$E$304,R774)&lt;&gt;HomeState),0,ROUND(K774*L774/2,2))),"")</f>
        <v/>
      </c>
      <c r="N774" s="61" t="str">
        <f aca="false">IF(IsPro,IF($D774="","",M774),"")</f>
        <v/>
      </c>
      <c r="O774" s="61" t="str">
        <f aca="false">IF(IsPro,IF($D774="","",IF(AND(R774&lt;&gt;"",INDEX(Parties!$E$5:$E$304,R774)&lt;&gt;"",INDEX(Parties!$E$5:$E$304,R774)&lt;&gt;HomeState),ROUND(K774*L774,2),0)),"")</f>
        <v/>
      </c>
      <c r="P774" s="61" t="str">
        <f aca="false">IF(IsPro,IF($D774="","",K774+M774+N774+O774),"")</f>
        <v/>
      </c>
      <c r="Q774" s="60" t="str">
        <f aca="false">IF(IsPro,IF($D774="","",IFERROR(MATCH($D774,Items!$A$5:$A$504,0),"")),"")</f>
        <v/>
      </c>
      <c r="R774" s="60" t="str">
        <f aca="false">IF(IsPro,IF($C774="","",IFERROR(MATCH($C774,Parties!$A$5:$A$304,0),"")),"")</f>
        <v/>
      </c>
      <c r="S774" s="61" t="str">
        <f aca="false">IF(IsPro,IF($D774="","",IF(OR($H774="",$H774="Credit"),0,P774)),"")</f>
        <v/>
      </c>
    </row>
    <row r="775" customFormat="false" ht="15" hidden="false" customHeight="false" outlineLevel="0" collapsed="false">
      <c r="A775" s="55"/>
      <c r="B775" s="56"/>
      <c r="C775" s="56"/>
      <c r="D775" s="56"/>
      <c r="E775" s="57"/>
      <c r="F775" s="58"/>
      <c r="G775" s="59"/>
      <c r="H775" s="56"/>
      <c r="I775" s="60" t="str">
        <f aca="false">IF(IsPro,IF($D775="","",IFERROR(INDEX(Items!$D$5:$D$504,Q775),"")),IF($D775="","","PRO PLAN"))</f>
        <v/>
      </c>
      <c r="J775" s="61" t="str">
        <f aca="false">IF(IsPro,IF($D775="","",IF($F775="",IFERROR(INDEX(Items!$G$5:$G$504,Q775),0),$F775)),"")</f>
        <v/>
      </c>
      <c r="K775" s="61" t="str">
        <f aca="false">IF(IsPro,IF($D775="","",ROUND(N($E775)*J775*(1-N($G775)),2)),"")</f>
        <v/>
      </c>
      <c r="L775" s="62" t="str">
        <f aca="false">IF(IsPro,IF($D775="","",IFERROR(INDEX(Items!$F$5:$F$504,Q775),0)),"")</f>
        <v/>
      </c>
      <c r="M775" s="61" t="str">
        <f aca="false">IF(IsPro,IF($D775="","",IF(AND(R775&lt;&gt;"",INDEX(Parties!$E$5:$E$304,R775)&lt;&gt;"",INDEX(Parties!$E$5:$E$304,R775)&lt;&gt;HomeState),0,ROUND(K775*L775/2,2))),"")</f>
        <v/>
      </c>
      <c r="N775" s="61" t="str">
        <f aca="false">IF(IsPro,IF($D775="","",M775),"")</f>
        <v/>
      </c>
      <c r="O775" s="61" t="str">
        <f aca="false">IF(IsPro,IF($D775="","",IF(AND(R775&lt;&gt;"",INDEX(Parties!$E$5:$E$304,R775)&lt;&gt;"",INDEX(Parties!$E$5:$E$304,R775)&lt;&gt;HomeState),ROUND(K775*L775,2),0)),"")</f>
        <v/>
      </c>
      <c r="P775" s="61" t="str">
        <f aca="false">IF(IsPro,IF($D775="","",K775+M775+N775+O775),"")</f>
        <v/>
      </c>
      <c r="Q775" s="60" t="str">
        <f aca="false">IF(IsPro,IF($D775="","",IFERROR(MATCH($D775,Items!$A$5:$A$504,0),"")),"")</f>
        <v/>
      </c>
      <c r="R775" s="60" t="str">
        <f aca="false">IF(IsPro,IF($C775="","",IFERROR(MATCH($C775,Parties!$A$5:$A$304,0),"")),"")</f>
        <v/>
      </c>
      <c r="S775" s="61" t="str">
        <f aca="false">IF(IsPro,IF($D775="","",IF(OR($H775="",$H775="Credit"),0,P775)),"")</f>
        <v/>
      </c>
    </row>
    <row r="776" customFormat="false" ht="15" hidden="false" customHeight="false" outlineLevel="0" collapsed="false">
      <c r="A776" s="55"/>
      <c r="B776" s="56"/>
      <c r="C776" s="56"/>
      <c r="D776" s="56"/>
      <c r="E776" s="57"/>
      <c r="F776" s="58"/>
      <c r="G776" s="59"/>
      <c r="H776" s="56"/>
      <c r="I776" s="60" t="str">
        <f aca="false">IF(IsPro,IF($D776="","",IFERROR(INDEX(Items!$D$5:$D$504,Q776),"")),IF($D776="","","PRO PLAN"))</f>
        <v/>
      </c>
      <c r="J776" s="61" t="str">
        <f aca="false">IF(IsPro,IF($D776="","",IF($F776="",IFERROR(INDEX(Items!$G$5:$G$504,Q776),0),$F776)),"")</f>
        <v/>
      </c>
      <c r="K776" s="61" t="str">
        <f aca="false">IF(IsPro,IF($D776="","",ROUND(N($E776)*J776*(1-N($G776)),2)),"")</f>
        <v/>
      </c>
      <c r="L776" s="62" t="str">
        <f aca="false">IF(IsPro,IF($D776="","",IFERROR(INDEX(Items!$F$5:$F$504,Q776),0)),"")</f>
        <v/>
      </c>
      <c r="M776" s="61" t="str">
        <f aca="false">IF(IsPro,IF($D776="","",IF(AND(R776&lt;&gt;"",INDEX(Parties!$E$5:$E$304,R776)&lt;&gt;"",INDEX(Parties!$E$5:$E$304,R776)&lt;&gt;HomeState),0,ROUND(K776*L776/2,2))),"")</f>
        <v/>
      </c>
      <c r="N776" s="61" t="str">
        <f aca="false">IF(IsPro,IF($D776="","",M776),"")</f>
        <v/>
      </c>
      <c r="O776" s="61" t="str">
        <f aca="false">IF(IsPro,IF($D776="","",IF(AND(R776&lt;&gt;"",INDEX(Parties!$E$5:$E$304,R776)&lt;&gt;"",INDEX(Parties!$E$5:$E$304,R776)&lt;&gt;HomeState),ROUND(K776*L776,2),0)),"")</f>
        <v/>
      </c>
      <c r="P776" s="61" t="str">
        <f aca="false">IF(IsPro,IF($D776="","",K776+M776+N776+O776),"")</f>
        <v/>
      </c>
      <c r="Q776" s="60" t="str">
        <f aca="false">IF(IsPro,IF($D776="","",IFERROR(MATCH($D776,Items!$A$5:$A$504,0),"")),"")</f>
        <v/>
      </c>
      <c r="R776" s="60" t="str">
        <f aca="false">IF(IsPro,IF($C776="","",IFERROR(MATCH($C776,Parties!$A$5:$A$304,0),"")),"")</f>
        <v/>
      </c>
      <c r="S776" s="61" t="str">
        <f aca="false">IF(IsPro,IF($D776="","",IF(OR($H776="",$H776="Credit"),0,P776)),"")</f>
        <v/>
      </c>
    </row>
    <row r="777" customFormat="false" ht="15" hidden="false" customHeight="false" outlineLevel="0" collapsed="false">
      <c r="A777" s="55"/>
      <c r="B777" s="56"/>
      <c r="C777" s="56"/>
      <c r="D777" s="56"/>
      <c r="E777" s="57"/>
      <c r="F777" s="58"/>
      <c r="G777" s="59"/>
      <c r="H777" s="56"/>
      <c r="I777" s="60" t="str">
        <f aca="false">IF(IsPro,IF($D777="","",IFERROR(INDEX(Items!$D$5:$D$504,Q777),"")),IF($D777="","","PRO PLAN"))</f>
        <v/>
      </c>
      <c r="J777" s="61" t="str">
        <f aca="false">IF(IsPro,IF($D777="","",IF($F777="",IFERROR(INDEX(Items!$G$5:$G$504,Q777),0),$F777)),"")</f>
        <v/>
      </c>
      <c r="K777" s="61" t="str">
        <f aca="false">IF(IsPro,IF($D777="","",ROUND(N($E777)*J777*(1-N($G777)),2)),"")</f>
        <v/>
      </c>
      <c r="L777" s="62" t="str">
        <f aca="false">IF(IsPro,IF($D777="","",IFERROR(INDEX(Items!$F$5:$F$504,Q777),0)),"")</f>
        <v/>
      </c>
      <c r="M777" s="61" t="str">
        <f aca="false">IF(IsPro,IF($D777="","",IF(AND(R777&lt;&gt;"",INDEX(Parties!$E$5:$E$304,R777)&lt;&gt;"",INDEX(Parties!$E$5:$E$304,R777)&lt;&gt;HomeState),0,ROUND(K777*L777/2,2))),"")</f>
        <v/>
      </c>
      <c r="N777" s="61" t="str">
        <f aca="false">IF(IsPro,IF($D777="","",M777),"")</f>
        <v/>
      </c>
      <c r="O777" s="61" t="str">
        <f aca="false">IF(IsPro,IF($D777="","",IF(AND(R777&lt;&gt;"",INDEX(Parties!$E$5:$E$304,R777)&lt;&gt;"",INDEX(Parties!$E$5:$E$304,R777)&lt;&gt;HomeState),ROUND(K777*L777,2),0)),"")</f>
        <v/>
      </c>
      <c r="P777" s="61" t="str">
        <f aca="false">IF(IsPro,IF($D777="","",K777+M777+N777+O777),"")</f>
        <v/>
      </c>
      <c r="Q777" s="60" t="str">
        <f aca="false">IF(IsPro,IF($D777="","",IFERROR(MATCH($D777,Items!$A$5:$A$504,0),"")),"")</f>
        <v/>
      </c>
      <c r="R777" s="60" t="str">
        <f aca="false">IF(IsPro,IF($C777="","",IFERROR(MATCH($C777,Parties!$A$5:$A$304,0),"")),"")</f>
        <v/>
      </c>
      <c r="S777" s="61" t="str">
        <f aca="false">IF(IsPro,IF($D777="","",IF(OR($H777="",$H777="Credit"),0,P777)),"")</f>
        <v/>
      </c>
    </row>
    <row r="778" customFormat="false" ht="15" hidden="false" customHeight="false" outlineLevel="0" collapsed="false">
      <c r="A778" s="55"/>
      <c r="B778" s="56"/>
      <c r="C778" s="56"/>
      <c r="D778" s="56"/>
      <c r="E778" s="57"/>
      <c r="F778" s="58"/>
      <c r="G778" s="59"/>
      <c r="H778" s="56"/>
      <c r="I778" s="60" t="str">
        <f aca="false">IF(IsPro,IF($D778="","",IFERROR(INDEX(Items!$D$5:$D$504,Q778),"")),IF($D778="","","PRO PLAN"))</f>
        <v/>
      </c>
      <c r="J778" s="61" t="str">
        <f aca="false">IF(IsPro,IF($D778="","",IF($F778="",IFERROR(INDEX(Items!$G$5:$G$504,Q778),0),$F778)),"")</f>
        <v/>
      </c>
      <c r="K778" s="61" t="str">
        <f aca="false">IF(IsPro,IF($D778="","",ROUND(N($E778)*J778*(1-N($G778)),2)),"")</f>
        <v/>
      </c>
      <c r="L778" s="62" t="str">
        <f aca="false">IF(IsPro,IF($D778="","",IFERROR(INDEX(Items!$F$5:$F$504,Q778),0)),"")</f>
        <v/>
      </c>
      <c r="M778" s="61" t="str">
        <f aca="false">IF(IsPro,IF($D778="","",IF(AND(R778&lt;&gt;"",INDEX(Parties!$E$5:$E$304,R778)&lt;&gt;"",INDEX(Parties!$E$5:$E$304,R778)&lt;&gt;HomeState),0,ROUND(K778*L778/2,2))),"")</f>
        <v/>
      </c>
      <c r="N778" s="61" t="str">
        <f aca="false">IF(IsPro,IF($D778="","",M778),"")</f>
        <v/>
      </c>
      <c r="O778" s="61" t="str">
        <f aca="false">IF(IsPro,IF($D778="","",IF(AND(R778&lt;&gt;"",INDEX(Parties!$E$5:$E$304,R778)&lt;&gt;"",INDEX(Parties!$E$5:$E$304,R778)&lt;&gt;HomeState),ROUND(K778*L778,2),0)),"")</f>
        <v/>
      </c>
      <c r="P778" s="61" t="str">
        <f aca="false">IF(IsPro,IF($D778="","",K778+M778+N778+O778),"")</f>
        <v/>
      </c>
      <c r="Q778" s="60" t="str">
        <f aca="false">IF(IsPro,IF($D778="","",IFERROR(MATCH($D778,Items!$A$5:$A$504,0),"")),"")</f>
        <v/>
      </c>
      <c r="R778" s="60" t="str">
        <f aca="false">IF(IsPro,IF($C778="","",IFERROR(MATCH($C778,Parties!$A$5:$A$304,0),"")),"")</f>
        <v/>
      </c>
      <c r="S778" s="61" t="str">
        <f aca="false">IF(IsPro,IF($D778="","",IF(OR($H778="",$H778="Credit"),0,P778)),"")</f>
        <v/>
      </c>
    </row>
    <row r="779" customFormat="false" ht="15" hidden="false" customHeight="false" outlineLevel="0" collapsed="false">
      <c r="A779" s="55"/>
      <c r="B779" s="56"/>
      <c r="C779" s="56"/>
      <c r="D779" s="56"/>
      <c r="E779" s="57"/>
      <c r="F779" s="58"/>
      <c r="G779" s="59"/>
      <c r="H779" s="56"/>
      <c r="I779" s="60" t="str">
        <f aca="false">IF(IsPro,IF($D779="","",IFERROR(INDEX(Items!$D$5:$D$504,Q779),"")),IF($D779="","","PRO PLAN"))</f>
        <v/>
      </c>
      <c r="J779" s="61" t="str">
        <f aca="false">IF(IsPro,IF($D779="","",IF($F779="",IFERROR(INDEX(Items!$G$5:$G$504,Q779),0),$F779)),"")</f>
        <v/>
      </c>
      <c r="K779" s="61" t="str">
        <f aca="false">IF(IsPro,IF($D779="","",ROUND(N($E779)*J779*(1-N($G779)),2)),"")</f>
        <v/>
      </c>
      <c r="L779" s="62" t="str">
        <f aca="false">IF(IsPro,IF($D779="","",IFERROR(INDEX(Items!$F$5:$F$504,Q779),0)),"")</f>
        <v/>
      </c>
      <c r="M779" s="61" t="str">
        <f aca="false">IF(IsPro,IF($D779="","",IF(AND(R779&lt;&gt;"",INDEX(Parties!$E$5:$E$304,R779)&lt;&gt;"",INDEX(Parties!$E$5:$E$304,R779)&lt;&gt;HomeState),0,ROUND(K779*L779/2,2))),"")</f>
        <v/>
      </c>
      <c r="N779" s="61" t="str">
        <f aca="false">IF(IsPro,IF($D779="","",M779),"")</f>
        <v/>
      </c>
      <c r="O779" s="61" t="str">
        <f aca="false">IF(IsPro,IF($D779="","",IF(AND(R779&lt;&gt;"",INDEX(Parties!$E$5:$E$304,R779)&lt;&gt;"",INDEX(Parties!$E$5:$E$304,R779)&lt;&gt;HomeState),ROUND(K779*L779,2),0)),"")</f>
        <v/>
      </c>
      <c r="P779" s="61" t="str">
        <f aca="false">IF(IsPro,IF($D779="","",K779+M779+N779+O779),"")</f>
        <v/>
      </c>
      <c r="Q779" s="60" t="str">
        <f aca="false">IF(IsPro,IF($D779="","",IFERROR(MATCH($D779,Items!$A$5:$A$504,0),"")),"")</f>
        <v/>
      </c>
      <c r="R779" s="60" t="str">
        <f aca="false">IF(IsPro,IF($C779="","",IFERROR(MATCH($C779,Parties!$A$5:$A$304,0),"")),"")</f>
        <v/>
      </c>
      <c r="S779" s="61" t="str">
        <f aca="false">IF(IsPro,IF($D779="","",IF(OR($H779="",$H779="Credit"),0,P779)),"")</f>
        <v/>
      </c>
    </row>
    <row r="780" customFormat="false" ht="15" hidden="false" customHeight="false" outlineLevel="0" collapsed="false">
      <c r="A780" s="55"/>
      <c r="B780" s="56"/>
      <c r="C780" s="56"/>
      <c r="D780" s="56"/>
      <c r="E780" s="57"/>
      <c r="F780" s="58"/>
      <c r="G780" s="59"/>
      <c r="H780" s="56"/>
      <c r="I780" s="60" t="str">
        <f aca="false">IF(IsPro,IF($D780="","",IFERROR(INDEX(Items!$D$5:$D$504,Q780),"")),IF($D780="","","PRO PLAN"))</f>
        <v/>
      </c>
      <c r="J780" s="61" t="str">
        <f aca="false">IF(IsPro,IF($D780="","",IF($F780="",IFERROR(INDEX(Items!$G$5:$G$504,Q780),0),$F780)),"")</f>
        <v/>
      </c>
      <c r="K780" s="61" t="str">
        <f aca="false">IF(IsPro,IF($D780="","",ROUND(N($E780)*J780*(1-N($G780)),2)),"")</f>
        <v/>
      </c>
      <c r="L780" s="62" t="str">
        <f aca="false">IF(IsPro,IF($D780="","",IFERROR(INDEX(Items!$F$5:$F$504,Q780),0)),"")</f>
        <v/>
      </c>
      <c r="M780" s="61" t="str">
        <f aca="false">IF(IsPro,IF($D780="","",IF(AND(R780&lt;&gt;"",INDEX(Parties!$E$5:$E$304,R780)&lt;&gt;"",INDEX(Parties!$E$5:$E$304,R780)&lt;&gt;HomeState),0,ROUND(K780*L780/2,2))),"")</f>
        <v/>
      </c>
      <c r="N780" s="61" t="str">
        <f aca="false">IF(IsPro,IF($D780="","",M780),"")</f>
        <v/>
      </c>
      <c r="O780" s="61" t="str">
        <f aca="false">IF(IsPro,IF($D780="","",IF(AND(R780&lt;&gt;"",INDEX(Parties!$E$5:$E$304,R780)&lt;&gt;"",INDEX(Parties!$E$5:$E$304,R780)&lt;&gt;HomeState),ROUND(K780*L780,2),0)),"")</f>
        <v/>
      </c>
      <c r="P780" s="61" t="str">
        <f aca="false">IF(IsPro,IF($D780="","",K780+M780+N780+O780),"")</f>
        <v/>
      </c>
      <c r="Q780" s="60" t="str">
        <f aca="false">IF(IsPro,IF($D780="","",IFERROR(MATCH($D780,Items!$A$5:$A$504,0),"")),"")</f>
        <v/>
      </c>
      <c r="R780" s="60" t="str">
        <f aca="false">IF(IsPro,IF($C780="","",IFERROR(MATCH($C780,Parties!$A$5:$A$304,0),"")),"")</f>
        <v/>
      </c>
      <c r="S780" s="61" t="str">
        <f aca="false">IF(IsPro,IF($D780="","",IF(OR($H780="",$H780="Credit"),0,P780)),"")</f>
        <v/>
      </c>
    </row>
    <row r="781" customFormat="false" ht="15" hidden="false" customHeight="false" outlineLevel="0" collapsed="false">
      <c r="A781" s="55"/>
      <c r="B781" s="56"/>
      <c r="C781" s="56"/>
      <c r="D781" s="56"/>
      <c r="E781" s="57"/>
      <c r="F781" s="58"/>
      <c r="G781" s="59"/>
      <c r="H781" s="56"/>
      <c r="I781" s="60" t="str">
        <f aca="false">IF(IsPro,IF($D781="","",IFERROR(INDEX(Items!$D$5:$D$504,Q781),"")),IF($D781="","","PRO PLAN"))</f>
        <v/>
      </c>
      <c r="J781" s="61" t="str">
        <f aca="false">IF(IsPro,IF($D781="","",IF($F781="",IFERROR(INDEX(Items!$G$5:$G$504,Q781),0),$F781)),"")</f>
        <v/>
      </c>
      <c r="K781" s="61" t="str">
        <f aca="false">IF(IsPro,IF($D781="","",ROUND(N($E781)*J781*(1-N($G781)),2)),"")</f>
        <v/>
      </c>
      <c r="L781" s="62" t="str">
        <f aca="false">IF(IsPro,IF($D781="","",IFERROR(INDEX(Items!$F$5:$F$504,Q781),0)),"")</f>
        <v/>
      </c>
      <c r="M781" s="61" t="str">
        <f aca="false">IF(IsPro,IF($D781="","",IF(AND(R781&lt;&gt;"",INDEX(Parties!$E$5:$E$304,R781)&lt;&gt;"",INDEX(Parties!$E$5:$E$304,R781)&lt;&gt;HomeState),0,ROUND(K781*L781/2,2))),"")</f>
        <v/>
      </c>
      <c r="N781" s="61" t="str">
        <f aca="false">IF(IsPro,IF($D781="","",M781),"")</f>
        <v/>
      </c>
      <c r="O781" s="61" t="str">
        <f aca="false">IF(IsPro,IF($D781="","",IF(AND(R781&lt;&gt;"",INDEX(Parties!$E$5:$E$304,R781)&lt;&gt;"",INDEX(Parties!$E$5:$E$304,R781)&lt;&gt;HomeState),ROUND(K781*L781,2),0)),"")</f>
        <v/>
      </c>
      <c r="P781" s="61" t="str">
        <f aca="false">IF(IsPro,IF($D781="","",K781+M781+N781+O781),"")</f>
        <v/>
      </c>
      <c r="Q781" s="60" t="str">
        <f aca="false">IF(IsPro,IF($D781="","",IFERROR(MATCH($D781,Items!$A$5:$A$504,0),"")),"")</f>
        <v/>
      </c>
      <c r="R781" s="60" t="str">
        <f aca="false">IF(IsPro,IF($C781="","",IFERROR(MATCH($C781,Parties!$A$5:$A$304,0),"")),"")</f>
        <v/>
      </c>
      <c r="S781" s="61" t="str">
        <f aca="false">IF(IsPro,IF($D781="","",IF(OR($H781="",$H781="Credit"),0,P781)),"")</f>
        <v/>
      </c>
    </row>
    <row r="782" customFormat="false" ht="15" hidden="false" customHeight="false" outlineLevel="0" collapsed="false">
      <c r="A782" s="55"/>
      <c r="B782" s="56"/>
      <c r="C782" s="56"/>
      <c r="D782" s="56"/>
      <c r="E782" s="57"/>
      <c r="F782" s="58"/>
      <c r="G782" s="59"/>
      <c r="H782" s="56"/>
      <c r="I782" s="60" t="str">
        <f aca="false">IF(IsPro,IF($D782="","",IFERROR(INDEX(Items!$D$5:$D$504,Q782),"")),IF($D782="","","PRO PLAN"))</f>
        <v/>
      </c>
      <c r="J782" s="61" t="str">
        <f aca="false">IF(IsPro,IF($D782="","",IF($F782="",IFERROR(INDEX(Items!$G$5:$G$504,Q782),0),$F782)),"")</f>
        <v/>
      </c>
      <c r="K782" s="61" t="str">
        <f aca="false">IF(IsPro,IF($D782="","",ROUND(N($E782)*J782*(1-N($G782)),2)),"")</f>
        <v/>
      </c>
      <c r="L782" s="62" t="str">
        <f aca="false">IF(IsPro,IF($D782="","",IFERROR(INDEX(Items!$F$5:$F$504,Q782),0)),"")</f>
        <v/>
      </c>
      <c r="M782" s="61" t="str">
        <f aca="false">IF(IsPro,IF($D782="","",IF(AND(R782&lt;&gt;"",INDEX(Parties!$E$5:$E$304,R782)&lt;&gt;"",INDEX(Parties!$E$5:$E$304,R782)&lt;&gt;HomeState),0,ROUND(K782*L782/2,2))),"")</f>
        <v/>
      </c>
      <c r="N782" s="61" t="str">
        <f aca="false">IF(IsPro,IF($D782="","",M782),"")</f>
        <v/>
      </c>
      <c r="O782" s="61" t="str">
        <f aca="false">IF(IsPro,IF($D782="","",IF(AND(R782&lt;&gt;"",INDEX(Parties!$E$5:$E$304,R782)&lt;&gt;"",INDEX(Parties!$E$5:$E$304,R782)&lt;&gt;HomeState),ROUND(K782*L782,2),0)),"")</f>
        <v/>
      </c>
      <c r="P782" s="61" t="str">
        <f aca="false">IF(IsPro,IF($D782="","",K782+M782+N782+O782),"")</f>
        <v/>
      </c>
      <c r="Q782" s="60" t="str">
        <f aca="false">IF(IsPro,IF($D782="","",IFERROR(MATCH($D782,Items!$A$5:$A$504,0),"")),"")</f>
        <v/>
      </c>
      <c r="R782" s="60" t="str">
        <f aca="false">IF(IsPro,IF($C782="","",IFERROR(MATCH($C782,Parties!$A$5:$A$304,0),"")),"")</f>
        <v/>
      </c>
      <c r="S782" s="61" t="str">
        <f aca="false">IF(IsPro,IF($D782="","",IF(OR($H782="",$H782="Credit"),0,P782)),"")</f>
        <v/>
      </c>
    </row>
    <row r="783" customFormat="false" ht="15" hidden="false" customHeight="false" outlineLevel="0" collapsed="false">
      <c r="A783" s="55"/>
      <c r="B783" s="56"/>
      <c r="C783" s="56"/>
      <c r="D783" s="56"/>
      <c r="E783" s="57"/>
      <c r="F783" s="58"/>
      <c r="G783" s="59"/>
      <c r="H783" s="56"/>
      <c r="I783" s="60" t="str">
        <f aca="false">IF(IsPro,IF($D783="","",IFERROR(INDEX(Items!$D$5:$D$504,Q783),"")),IF($D783="","","PRO PLAN"))</f>
        <v/>
      </c>
      <c r="J783" s="61" t="str">
        <f aca="false">IF(IsPro,IF($D783="","",IF($F783="",IFERROR(INDEX(Items!$G$5:$G$504,Q783),0),$F783)),"")</f>
        <v/>
      </c>
      <c r="K783" s="61" t="str">
        <f aca="false">IF(IsPro,IF($D783="","",ROUND(N($E783)*J783*(1-N($G783)),2)),"")</f>
        <v/>
      </c>
      <c r="L783" s="62" t="str">
        <f aca="false">IF(IsPro,IF($D783="","",IFERROR(INDEX(Items!$F$5:$F$504,Q783),0)),"")</f>
        <v/>
      </c>
      <c r="M783" s="61" t="str">
        <f aca="false">IF(IsPro,IF($D783="","",IF(AND(R783&lt;&gt;"",INDEX(Parties!$E$5:$E$304,R783)&lt;&gt;"",INDEX(Parties!$E$5:$E$304,R783)&lt;&gt;HomeState),0,ROUND(K783*L783/2,2))),"")</f>
        <v/>
      </c>
      <c r="N783" s="61" t="str">
        <f aca="false">IF(IsPro,IF($D783="","",M783),"")</f>
        <v/>
      </c>
      <c r="O783" s="61" t="str">
        <f aca="false">IF(IsPro,IF($D783="","",IF(AND(R783&lt;&gt;"",INDEX(Parties!$E$5:$E$304,R783)&lt;&gt;"",INDEX(Parties!$E$5:$E$304,R783)&lt;&gt;HomeState),ROUND(K783*L783,2),0)),"")</f>
        <v/>
      </c>
      <c r="P783" s="61" t="str">
        <f aca="false">IF(IsPro,IF($D783="","",K783+M783+N783+O783),"")</f>
        <v/>
      </c>
      <c r="Q783" s="60" t="str">
        <f aca="false">IF(IsPro,IF($D783="","",IFERROR(MATCH($D783,Items!$A$5:$A$504,0),"")),"")</f>
        <v/>
      </c>
      <c r="R783" s="60" t="str">
        <f aca="false">IF(IsPro,IF($C783="","",IFERROR(MATCH($C783,Parties!$A$5:$A$304,0),"")),"")</f>
        <v/>
      </c>
      <c r="S783" s="61" t="str">
        <f aca="false">IF(IsPro,IF($D783="","",IF(OR($H783="",$H783="Credit"),0,P783)),"")</f>
        <v/>
      </c>
    </row>
    <row r="784" customFormat="false" ht="15" hidden="false" customHeight="false" outlineLevel="0" collapsed="false">
      <c r="A784" s="55"/>
      <c r="B784" s="56"/>
      <c r="C784" s="56"/>
      <c r="D784" s="56"/>
      <c r="E784" s="57"/>
      <c r="F784" s="58"/>
      <c r="G784" s="59"/>
      <c r="H784" s="56"/>
      <c r="I784" s="60" t="str">
        <f aca="false">IF(IsPro,IF($D784="","",IFERROR(INDEX(Items!$D$5:$D$504,Q784),"")),IF($D784="","","PRO PLAN"))</f>
        <v/>
      </c>
      <c r="J784" s="61" t="str">
        <f aca="false">IF(IsPro,IF($D784="","",IF($F784="",IFERROR(INDEX(Items!$G$5:$G$504,Q784),0),$F784)),"")</f>
        <v/>
      </c>
      <c r="K784" s="61" t="str">
        <f aca="false">IF(IsPro,IF($D784="","",ROUND(N($E784)*J784*(1-N($G784)),2)),"")</f>
        <v/>
      </c>
      <c r="L784" s="62" t="str">
        <f aca="false">IF(IsPro,IF($D784="","",IFERROR(INDEX(Items!$F$5:$F$504,Q784),0)),"")</f>
        <v/>
      </c>
      <c r="M784" s="61" t="str">
        <f aca="false">IF(IsPro,IF($D784="","",IF(AND(R784&lt;&gt;"",INDEX(Parties!$E$5:$E$304,R784)&lt;&gt;"",INDEX(Parties!$E$5:$E$304,R784)&lt;&gt;HomeState),0,ROUND(K784*L784/2,2))),"")</f>
        <v/>
      </c>
      <c r="N784" s="61" t="str">
        <f aca="false">IF(IsPro,IF($D784="","",M784),"")</f>
        <v/>
      </c>
      <c r="O784" s="61" t="str">
        <f aca="false">IF(IsPro,IF($D784="","",IF(AND(R784&lt;&gt;"",INDEX(Parties!$E$5:$E$304,R784)&lt;&gt;"",INDEX(Parties!$E$5:$E$304,R784)&lt;&gt;HomeState),ROUND(K784*L784,2),0)),"")</f>
        <v/>
      </c>
      <c r="P784" s="61" t="str">
        <f aca="false">IF(IsPro,IF($D784="","",K784+M784+N784+O784),"")</f>
        <v/>
      </c>
      <c r="Q784" s="60" t="str">
        <f aca="false">IF(IsPro,IF($D784="","",IFERROR(MATCH($D784,Items!$A$5:$A$504,0),"")),"")</f>
        <v/>
      </c>
      <c r="R784" s="60" t="str">
        <f aca="false">IF(IsPro,IF($C784="","",IFERROR(MATCH($C784,Parties!$A$5:$A$304,0),"")),"")</f>
        <v/>
      </c>
      <c r="S784" s="61" t="str">
        <f aca="false">IF(IsPro,IF($D784="","",IF(OR($H784="",$H784="Credit"),0,P784)),"")</f>
        <v/>
      </c>
    </row>
    <row r="785" customFormat="false" ht="15" hidden="false" customHeight="false" outlineLevel="0" collapsed="false">
      <c r="A785" s="55"/>
      <c r="B785" s="56"/>
      <c r="C785" s="56"/>
      <c r="D785" s="56"/>
      <c r="E785" s="57"/>
      <c r="F785" s="58"/>
      <c r="G785" s="59"/>
      <c r="H785" s="56"/>
      <c r="I785" s="60" t="str">
        <f aca="false">IF(IsPro,IF($D785="","",IFERROR(INDEX(Items!$D$5:$D$504,Q785),"")),IF($D785="","","PRO PLAN"))</f>
        <v/>
      </c>
      <c r="J785" s="61" t="str">
        <f aca="false">IF(IsPro,IF($D785="","",IF($F785="",IFERROR(INDEX(Items!$G$5:$G$504,Q785),0),$F785)),"")</f>
        <v/>
      </c>
      <c r="K785" s="61" t="str">
        <f aca="false">IF(IsPro,IF($D785="","",ROUND(N($E785)*J785*(1-N($G785)),2)),"")</f>
        <v/>
      </c>
      <c r="L785" s="62" t="str">
        <f aca="false">IF(IsPro,IF($D785="","",IFERROR(INDEX(Items!$F$5:$F$504,Q785),0)),"")</f>
        <v/>
      </c>
      <c r="M785" s="61" t="str">
        <f aca="false">IF(IsPro,IF($D785="","",IF(AND(R785&lt;&gt;"",INDEX(Parties!$E$5:$E$304,R785)&lt;&gt;"",INDEX(Parties!$E$5:$E$304,R785)&lt;&gt;HomeState),0,ROUND(K785*L785/2,2))),"")</f>
        <v/>
      </c>
      <c r="N785" s="61" t="str">
        <f aca="false">IF(IsPro,IF($D785="","",M785),"")</f>
        <v/>
      </c>
      <c r="O785" s="61" t="str">
        <f aca="false">IF(IsPro,IF($D785="","",IF(AND(R785&lt;&gt;"",INDEX(Parties!$E$5:$E$304,R785)&lt;&gt;"",INDEX(Parties!$E$5:$E$304,R785)&lt;&gt;HomeState),ROUND(K785*L785,2),0)),"")</f>
        <v/>
      </c>
      <c r="P785" s="61" t="str">
        <f aca="false">IF(IsPro,IF($D785="","",K785+M785+N785+O785),"")</f>
        <v/>
      </c>
      <c r="Q785" s="60" t="str">
        <f aca="false">IF(IsPro,IF($D785="","",IFERROR(MATCH($D785,Items!$A$5:$A$504,0),"")),"")</f>
        <v/>
      </c>
      <c r="R785" s="60" t="str">
        <f aca="false">IF(IsPro,IF($C785="","",IFERROR(MATCH($C785,Parties!$A$5:$A$304,0),"")),"")</f>
        <v/>
      </c>
      <c r="S785" s="61" t="str">
        <f aca="false">IF(IsPro,IF($D785="","",IF(OR($H785="",$H785="Credit"),0,P785)),"")</f>
        <v/>
      </c>
    </row>
    <row r="786" customFormat="false" ht="15" hidden="false" customHeight="false" outlineLevel="0" collapsed="false">
      <c r="A786" s="55"/>
      <c r="B786" s="56"/>
      <c r="C786" s="56"/>
      <c r="D786" s="56"/>
      <c r="E786" s="57"/>
      <c r="F786" s="58"/>
      <c r="G786" s="59"/>
      <c r="H786" s="56"/>
      <c r="I786" s="60" t="str">
        <f aca="false">IF(IsPro,IF($D786="","",IFERROR(INDEX(Items!$D$5:$D$504,Q786),"")),IF($D786="","","PRO PLAN"))</f>
        <v/>
      </c>
      <c r="J786" s="61" t="str">
        <f aca="false">IF(IsPro,IF($D786="","",IF($F786="",IFERROR(INDEX(Items!$G$5:$G$504,Q786),0),$F786)),"")</f>
        <v/>
      </c>
      <c r="K786" s="61" t="str">
        <f aca="false">IF(IsPro,IF($D786="","",ROUND(N($E786)*J786*(1-N($G786)),2)),"")</f>
        <v/>
      </c>
      <c r="L786" s="62" t="str">
        <f aca="false">IF(IsPro,IF($D786="","",IFERROR(INDEX(Items!$F$5:$F$504,Q786),0)),"")</f>
        <v/>
      </c>
      <c r="M786" s="61" t="str">
        <f aca="false">IF(IsPro,IF($D786="","",IF(AND(R786&lt;&gt;"",INDEX(Parties!$E$5:$E$304,R786)&lt;&gt;"",INDEX(Parties!$E$5:$E$304,R786)&lt;&gt;HomeState),0,ROUND(K786*L786/2,2))),"")</f>
        <v/>
      </c>
      <c r="N786" s="61" t="str">
        <f aca="false">IF(IsPro,IF($D786="","",M786),"")</f>
        <v/>
      </c>
      <c r="O786" s="61" t="str">
        <f aca="false">IF(IsPro,IF($D786="","",IF(AND(R786&lt;&gt;"",INDEX(Parties!$E$5:$E$304,R786)&lt;&gt;"",INDEX(Parties!$E$5:$E$304,R786)&lt;&gt;HomeState),ROUND(K786*L786,2),0)),"")</f>
        <v/>
      </c>
      <c r="P786" s="61" t="str">
        <f aca="false">IF(IsPro,IF($D786="","",K786+M786+N786+O786),"")</f>
        <v/>
      </c>
      <c r="Q786" s="60" t="str">
        <f aca="false">IF(IsPro,IF($D786="","",IFERROR(MATCH($D786,Items!$A$5:$A$504,0),"")),"")</f>
        <v/>
      </c>
      <c r="R786" s="60" t="str">
        <f aca="false">IF(IsPro,IF($C786="","",IFERROR(MATCH($C786,Parties!$A$5:$A$304,0),"")),"")</f>
        <v/>
      </c>
      <c r="S786" s="61" t="str">
        <f aca="false">IF(IsPro,IF($D786="","",IF(OR($H786="",$H786="Credit"),0,P786)),"")</f>
        <v/>
      </c>
    </row>
    <row r="787" customFormat="false" ht="15" hidden="false" customHeight="false" outlineLevel="0" collapsed="false">
      <c r="A787" s="55"/>
      <c r="B787" s="56"/>
      <c r="C787" s="56"/>
      <c r="D787" s="56"/>
      <c r="E787" s="57"/>
      <c r="F787" s="58"/>
      <c r="G787" s="59"/>
      <c r="H787" s="56"/>
      <c r="I787" s="60" t="str">
        <f aca="false">IF(IsPro,IF($D787="","",IFERROR(INDEX(Items!$D$5:$D$504,Q787),"")),IF($D787="","","PRO PLAN"))</f>
        <v/>
      </c>
      <c r="J787" s="61" t="str">
        <f aca="false">IF(IsPro,IF($D787="","",IF($F787="",IFERROR(INDEX(Items!$G$5:$G$504,Q787),0),$F787)),"")</f>
        <v/>
      </c>
      <c r="K787" s="61" t="str">
        <f aca="false">IF(IsPro,IF($D787="","",ROUND(N($E787)*J787*(1-N($G787)),2)),"")</f>
        <v/>
      </c>
      <c r="L787" s="62" t="str">
        <f aca="false">IF(IsPro,IF($D787="","",IFERROR(INDEX(Items!$F$5:$F$504,Q787),0)),"")</f>
        <v/>
      </c>
      <c r="M787" s="61" t="str">
        <f aca="false">IF(IsPro,IF($D787="","",IF(AND(R787&lt;&gt;"",INDEX(Parties!$E$5:$E$304,R787)&lt;&gt;"",INDEX(Parties!$E$5:$E$304,R787)&lt;&gt;HomeState),0,ROUND(K787*L787/2,2))),"")</f>
        <v/>
      </c>
      <c r="N787" s="61" t="str">
        <f aca="false">IF(IsPro,IF($D787="","",M787),"")</f>
        <v/>
      </c>
      <c r="O787" s="61" t="str">
        <f aca="false">IF(IsPro,IF($D787="","",IF(AND(R787&lt;&gt;"",INDEX(Parties!$E$5:$E$304,R787)&lt;&gt;"",INDEX(Parties!$E$5:$E$304,R787)&lt;&gt;HomeState),ROUND(K787*L787,2),0)),"")</f>
        <v/>
      </c>
      <c r="P787" s="61" t="str">
        <f aca="false">IF(IsPro,IF($D787="","",K787+M787+N787+O787),"")</f>
        <v/>
      </c>
      <c r="Q787" s="60" t="str">
        <f aca="false">IF(IsPro,IF($D787="","",IFERROR(MATCH($D787,Items!$A$5:$A$504,0),"")),"")</f>
        <v/>
      </c>
      <c r="R787" s="60" t="str">
        <f aca="false">IF(IsPro,IF($C787="","",IFERROR(MATCH($C787,Parties!$A$5:$A$304,0),"")),"")</f>
        <v/>
      </c>
      <c r="S787" s="61" t="str">
        <f aca="false">IF(IsPro,IF($D787="","",IF(OR($H787="",$H787="Credit"),0,P787)),"")</f>
        <v/>
      </c>
    </row>
    <row r="788" customFormat="false" ht="15" hidden="false" customHeight="false" outlineLevel="0" collapsed="false">
      <c r="A788" s="55"/>
      <c r="B788" s="56"/>
      <c r="C788" s="56"/>
      <c r="D788" s="56"/>
      <c r="E788" s="57"/>
      <c r="F788" s="58"/>
      <c r="G788" s="59"/>
      <c r="H788" s="56"/>
      <c r="I788" s="60" t="str">
        <f aca="false">IF(IsPro,IF($D788="","",IFERROR(INDEX(Items!$D$5:$D$504,Q788),"")),IF($D788="","","PRO PLAN"))</f>
        <v/>
      </c>
      <c r="J788" s="61" t="str">
        <f aca="false">IF(IsPro,IF($D788="","",IF($F788="",IFERROR(INDEX(Items!$G$5:$G$504,Q788),0),$F788)),"")</f>
        <v/>
      </c>
      <c r="K788" s="61" t="str">
        <f aca="false">IF(IsPro,IF($D788="","",ROUND(N($E788)*J788*(1-N($G788)),2)),"")</f>
        <v/>
      </c>
      <c r="L788" s="62" t="str">
        <f aca="false">IF(IsPro,IF($D788="","",IFERROR(INDEX(Items!$F$5:$F$504,Q788),0)),"")</f>
        <v/>
      </c>
      <c r="M788" s="61" t="str">
        <f aca="false">IF(IsPro,IF($D788="","",IF(AND(R788&lt;&gt;"",INDEX(Parties!$E$5:$E$304,R788)&lt;&gt;"",INDEX(Parties!$E$5:$E$304,R788)&lt;&gt;HomeState),0,ROUND(K788*L788/2,2))),"")</f>
        <v/>
      </c>
      <c r="N788" s="61" t="str">
        <f aca="false">IF(IsPro,IF($D788="","",M788),"")</f>
        <v/>
      </c>
      <c r="O788" s="61" t="str">
        <f aca="false">IF(IsPro,IF($D788="","",IF(AND(R788&lt;&gt;"",INDEX(Parties!$E$5:$E$304,R788)&lt;&gt;"",INDEX(Parties!$E$5:$E$304,R788)&lt;&gt;HomeState),ROUND(K788*L788,2),0)),"")</f>
        <v/>
      </c>
      <c r="P788" s="61" t="str">
        <f aca="false">IF(IsPro,IF($D788="","",K788+M788+N788+O788),"")</f>
        <v/>
      </c>
      <c r="Q788" s="60" t="str">
        <f aca="false">IF(IsPro,IF($D788="","",IFERROR(MATCH($D788,Items!$A$5:$A$504,0),"")),"")</f>
        <v/>
      </c>
      <c r="R788" s="60" t="str">
        <f aca="false">IF(IsPro,IF($C788="","",IFERROR(MATCH($C788,Parties!$A$5:$A$304,0),"")),"")</f>
        <v/>
      </c>
      <c r="S788" s="61" t="str">
        <f aca="false">IF(IsPro,IF($D788="","",IF(OR($H788="",$H788="Credit"),0,P788)),"")</f>
        <v/>
      </c>
    </row>
    <row r="789" customFormat="false" ht="15" hidden="false" customHeight="false" outlineLevel="0" collapsed="false">
      <c r="A789" s="55"/>
      <c r="B789" s="56"/>
      <c r="C789" s="56"/>
      <c r="D789" s="56"/>
      <c r="E789" s="57"/>
      <c r="F789" s="58"/>
      <c r="G789" s="59"/>
      <c r="H789" s="56"/>
      <c r="I789" s="60" t="str">
        <f aca="false">IF(IsPro,IF($D789="","",IFERROR(INDEX(Items!$D$5:$D$504,Q789),"")),IF($D789="","","PRO PLAN"))</f>
        <v/>
      </c>
      <c r="J789" s="61" t="str">
        <f aca="false">IF(IsPro,IF($D789="","",IF($F789="",IFERROR(INDEX(Items!$G$5:$G$504,Q789),0),$F789)),"")</f>
        <v/>
      </c>
      <c r="K789" s="61" t="str">
        <f aca="false">IF(IsPro,IF($D789="","",ROUND(N($E789)*J789*(1-N($G789)),2)),"")</f>
        <v/>
      </c>
      <c r="L789" s="62" t="str">
        <f aca="false">IF(IsPro,IF($D789="","",IFERROR(INDEX(Items!$F$5:$F$504,Q789),0)),"")</f>
        <v/>
      </c>
      <c r="M789" s="61" t="str">
        <f aca="false">IF(IsPro,IF($D789="","",IF(AND(R789&lt;&gt;"",INDEX(Parties!$E$5:$E$304,R789)&lt;&gt;"",INDEX(Parties!$E$5:$E$304,R789)&lt;&gt;HomeState),0,ROUND(K789*L789/2,2))),"")</f>
        <v/>
      </c>
      <c r="N789" s="61" t="str">
        <f aca="false">IF(IsPro,IF($D789="","",M789),"")</f>
        <v/>
      </c>
      <c r="O789" s="61" t="str">
        <f aca="false">IF(IsPro,IF($D789="","",IF(AND(R789&lt;&gt;"",INDEX(Parties!$E$5:$E$304,R789)&lt;&gt;"",INDEX(Parties!$E$5:$E$304,R789)&lt;&gt;HomeState),ROUND(K789*L789,2),0)),"")</f>
        <v/>
      </c>
      <c r="P789" s="61" t="str">
        <f aca="false">IF(IsPro,IF($D789="","",K789+M789+N789+O789),"")</f>
        <v/>
      </c>
      <c r="Q789" s="60" t="str">
        <f aca="false">IF(IsPro,IF($D789="","",IFERROR(MATCH($D789,Items!$A$5:$A$504,0),"")),"")</f>
        <v/>
      </c>
      <c r="R789" s="60" t="str">
        <f aca="false">IF(IsPro,IF($C789="","",IFERROR(MATCH($C789,Parties!$A$5:$A$304,0),"")),"")</f>
        <v/>
      </c>
      <c r="S789" s="61" t="str">
        <f aca="false">IF(IsPro,IF($D789="","",IF(OR($H789="",$H789="Credit"),0,P789)),"")</f>
        <v/>
      </c>
    </row>
    <row r="790" customFormat="false" ht="15" hidden="false" customHeight="false" outlineLevel="0" collapsed="false">
      <c r="A790" s="55"/>
      <c r="B790" s="56"/>
      <c r="C790" s="56"/>
      <c r="D790" s="56"/>
      <c r="E790" s="57"/>
      <c r="F790" s="58"/>
      <c r="G790" s="59"/>
      <c r="H790" s="56"/>
      <c r="I790" s="60" t="str">
        <f aca="false">IF(IsPro,IF($D790="","",IFERROR(INDEX(Items!$D$5:$D$504,Q790),"")),IF($D790="","","PRO PLAN"))</f>
        <v/>
      </c>
      <c r="J790" s="61" t="str">
        <f aca="false">IF(IsPro,IF($D790="","",IF($F790="",IFERROR(INDEX(Items!$G$5:$G$504,Q790),0),$F790)),"")</f>
        <v/>
      </c>
      <c r="K790" s="61" t="str">
        <f aca="false">IF(IsPro,IF($D790="","",ROUND(N($E790)*J790*(1-N($G790)),2)),"")</f>
        <v/>
      </c>
      <c r="L790" s="62" t="str">
        <f aca="false">IF(IsPro,IF($D790="","",IFERROR(INDEX(Items!$F$5:$F$504,Q790),0)),"")</f>
        <v/>
      </c>
      <c r="M790" s="61" t="str">
        <f aca="false">IF(IsPro,IF($D790="","",IF(AND(R790&lt;&gt;"",INDEX(Parties!$E$5:$E$304,R790)&lt;&gt;"",INDEX(Parties!$E$5:$E$304,R790)&lt;&gt;HomeState),0,ROUND(K790*L790/2,2))),"")</f>
        <v/>
      </c>
      <c r="N790" s="61" t="str">
        <f aca="false">IF(IsPro,IF($D790="","",M790),"")</f>
        <v/>
      </c>
      <c r="O790" s="61" t="str">
        <f aca="false">IF(IsPro,IF($D790="","",IF(AND(R790&lt;&gt;"",INDEX(Parties!$E$5:$E$304,R790)&lt;&gt;"",INDEX(Parties!$E$5:$E$304,R790)&lt;&gt;HomeState),ROUND(K790*L790,2),0)),"")</f>
        <v/>
      </c>
      <c r="P790" s="61" t="str">
        <f aca="false">IF(IsPro,IF($D790="","",K790+M790+N790+O790),"")</f>
        <v/>
      </c>
      <c r="Q790" s="60" t="str">
        <f aca="false">IF(IsPro,IF($D790="","",IFERROR(MATCH($D790,Items!$A$5:$A$504,0),"")),"")</f>
        <v/>
      </c>
      <c r="R790" s="60" t="str">
        <f aca="false">IF(IsPro,IF($C790="","",IFERROR(MATCH($C790,Parties!$A$5:$A$304,0),"")),"")</f>
        <v/>
      </c>
      <c r="S790" s="61" t="str">
        <f aca="false">IF(IsPro,IF($D790="","",IF(OR($H790="",$H790="Credit"),0,P790)),"")</f>
        <v/>
      </c>
    </row>
    <row r="791" customFormat="false" ht="15" hidden="false" customHeight="false" outlineLevel="0" collapsed="false">
      <c r="A791" s="55"/>
      <c r="B791" s="56"/>
      <c r="C791" s="56"/>
      <c r="D791" s="56"/>
      <c r="E791" s="57"/>
      <c r="F791" s="58"/>
      <c r="G791" s="59"/>
      <c r="H791" s="56"/>
      <c r="I791" s="60" t="str">
        <f aca="false">IF(IsPro,IF($D791="","",IFERROR(INDEX(Items!$D$5:$D$504,Q791),"")),IF($D791="","","PRO PLAN"))</f>
        <v/>
      </c>
      <c r="J791" s="61" t="str">
        <f aca="false">IF(IsPro,IF($D791="","",IF($F791="",IFERROR(INDEX(Items!$G$5:$G$504,Q791),0),$F791)),"")</f>
        <v/>
      </c>
      <c r="K791" s="61" t="str">
        <f aca="false">IF(IsPro,IF($D791="","",ROUND(N($E791)*J791*(1-N($G791)),2)),"")</f>
        <v/>
      </c>
      <c r="L791" s="62" t="str">
        <f aca="false">IF(IsPro,IF($D791="","",IFERROR(INDEX(Items!$F$5:$F$504,Q791),0)),"")</f>
        <v/>
      </c>
      <c r="M791" s="61" t="str">
        <f aca="false">IF(IsPro,IF($D791="","",IF(AND(R791&lt;&gt;"",INDEX(Parties!$E$5:$E$304,R791)&lt;&gt;"",INDEX(Parties!$E$5:$E$304,R791)&lt;&gt;HomeState),0,ROUND(K791*L791/2,2))),"")</f>
        <v/>
      </c>
      <c r="N791" s="61" t="str">
        <f aca="false">IF(IsPro,IF($D791="","",M791),"")</f>
        <v/>
      </c>
      <c r="O791" s="61" t="str">
        <f aca="false">IF(IsPro,IF($D791="","",IF(AND(R791&lt;&gt;"",INDEX(Parties!$E$5:$E$304,R791)&lt;&gt;"",INDEX(Parties!$E$5:$E$304,R791)&lt;&gt;HomeState),ROUND(K791*L791,2),0)),"")</f>
        <v/>
      </c>
      <c r="P791" s="61" t="str">
        <f aca="false">IF(IsPro,IF($D791="","",K791+M791+N791+O791),"")</f>
        <v/>
      </c>
      <c r="Q791" s="60" t="str">
        <f aca="false">IF(IsPro,IF($D791="","",IFERROR(MATCH($D791,Items!$A$5:$A$504,0),"")),"")</f>
        <v/>
      </c>
      <c r="R791" s="60" t="str">
        <f aca="false">IF(IsPro,IF($C791="","",IFERROR(MATCH($C791,Parties!$A$5:$A$304,0),"")),"")</f>
        <v/>
      </c>
      <c r="S791" s="61" t="str">
        <f aca="false">IF(IsPro,IF($D791="","",IF(OR($H791="",$H791="Credit"),0,P791)),"")</f>
        <v/>
      </c>
    </row>
    <row r="792" customFormat="false" ht="15" hidden="false" customHeight="false" outlineLevel="0" collapsed="false">
      <c r="A792" s="55"/>
      <c r="B792" s="56"/>
      <c r="C792" s="56"/>
      <c r="D792" s="56"/>
      <c r="E792" s="57"/>
      <c r="F792" s="58"/>
      <c r="G792" s="59"/>
      <c r="H792" s="56"/>
      <c r="I792" s="60" t="str">
        <f aca="false">IF(IsPro,IF($D792="","",IFERROR(INDEX(Items!$D$5:$D$504,Q792),"")),IF($D792="","","PRO PLAN"))</f>
        <v/>
      </c>
      <c r="J792" s="61" t="str">
        <f aca="false">IF(IsPro,IF($D792="","",IF($F792="",IFERROR(INDEX(Items!$G$5:$G$504,Q792),0),$F792)),"")</f>
        <v/>
      </c>
      <c r="K792" s="61" t="str">
        <f aca="false">IF(IsPro,IF($D792="","",ROUND(N($E792)*J792*(1-N($G792)),2)),"")</f>
        <v/>
      </c>
      <c r="L792" s="62" t="str">
        <f aca="false">IF(IsPro,IF($D792="","",IFERROR(INDEX(Items!$F$5:$F$504,Q792),0)),"")</f>
        <v/>
      </c>
      <c r="M792" s="61" t="str">
        <f aca="false">IF(IsPro,IF($D792="","",IF(AND(R792&lt;&gt;"",INDEX(Parties!$E$5:$E$304,R792)&lt;&gt;"",INDEX(Parties!$E$5:$E$304,R792)&lt;&gt;HomeState),0,ROUND(K792*L792/2,2))),"")</f>
        <v/>
      </c>
      <c r="N792" s="61" t="str">
        <f aca="false">IF(IsPro,IF($D792="","",M792),"")</f>
        <v/>
      </c>
      <c r="O792" s="61" t="str">
        <f aca="false">IF(IsPro,IF($D792="","",IF(AND(R792&lt;&gt;"",INDEX(Parties!$E$5:$E$304,R792)&lt;&gt;"",INDEX(Parties!$E$5:$E$304,R792)&lt;&gt;HomeState),ROUND(K792*L792,2),0)),"")</f>
        <v/>
      </c>
      <c r="P792" s="61" t="str">
        <f aca="false">IF(IsPro,IF($D792="","",K792+M792+N792+O792),"")</f>
        <v/>
      </c>
      <c r="Q792" s="60" t="str">
        <f aca="false">IF(IsPro,IF($D792="","",IFERROR(MATCH($D792,Items!$A$5:$A$504,0),"")),"")</f>
        <v/>
      </c>
      <c r="R792" s="60" t="str">
        <f aca="false">IF(IsPro,IF($C792="","",IFERROR(MATCH($C792,Parties!$A$5:$A$304,0),"")),"")</f>
        <v/>
      </c>
      <c r="S792" s="61" t="str">
        <f aca="false">IF(IsPro,IF($D792="","",IF(OR($H792="",$H792="Credit"),0,P792)),"")</f>
        <v/>
      </c>
    </row>
    <row r="793" customFormat="false" ht="15" hidden="false" customHeight="false" outlineLevel="0" collapsed="false">
      <c r="A793" s="55"/>
      <c r="B793" s="56"/>
      <c r="C793" s="56"/>
      <c r="D793" s="56"/>
      <c r="E793" s="57"/>
      <c r="F793" s="58"/>
      <c r="G793" s="59"/>
      <c r="H793" s="56"/>
      <c r="I793" s="60" t="str">
        <f aca="false">IF(IsPro,IF($D793="","",IFERROR(INDEX(Items!$D$5:$D$504,Q793),"")),IF($D793="","","PRO PLAN"))</f>
        <v/>
      </c>
      <c r="J793" s="61" t="str">
        <f aca="false">IF(IsPro,IF($D793="","",IF($F793="",IFERROR(INDEX(Items!$G$5:$G$504,Q793),0),$F793)),"")</f>
        <v/>
      </c>
      <c r="K793" s="61" t="str">
        <f aca="false">IF(IsPro,IF($D793="","",ROUND(N($E793)*J793*(1-N($G793)),2)),"")</f>
        <v/>
      </c>
      <c r="L793" s="62" t="str">
        <f aca="false">IF(IsPro,IF($D793="","",IFERROR(INDEX(Items!$F$5:$F$504,Q793),0)),"")</f>
        <v/>
      </c>
      <c r="M793" s="61" t="str">
        <f aca="false">IF(IsPro,IF($D793="","",IF(AND(R793&lt;&gt;"",INDEX(Parties!$E$5:$E$304,R793)&lt;&gt;"",INDEX(Parties!$E$5:$E$304,R793)&lt;&gt;HomeState),0,ROUND(K793*L793/2,2))),"")</f>
        <v/>
      </c>
      <c r="N793" s="61" t="str">
        <f aca="false">IF(IsPro,IF($D793="","",M793),"")</f>
        <v/>
      </c>
      <c r="O793" s="61" t="str">
        <f aca="false">IF(IsPro,IF($D793="","",IF(AND(R793&lt;&gt;"",INDEX(Parties!$E$5:$E$304,R793)&lt;&gt;"",INDEX(Parties!$E$5:$E$304,R793)&lt;&gt;HomeState),ROUND(K793*L793,2),0)),"")</f>
        <v/>
      </c>
      <c r="P793" s="61" t="str">
        <f aca="false">IF(IsPro,IF($D793="","",K793+M793+N793+O793),"")</f>
        <v/>
      </c>
      <c r="Q793" s="60" t="str">
        <f aca="false">IF(IsPro,IF($D793="","",IFERROR(MATCH($D793,Items!$A$5:$A$504,0),"")),"")</f>
        <v/>
      </c>
      <c r="R793" s="60" t="str">
        <f aca="false">IF(IsPro,IF($C793="","",IFERROR(MATCH($C793,Parties!$A$5:$A$304,0),"")),"")</f>
        <v/>
      </c>
      <c r="S793" s="61" t="str">
        <f aca="false">IF(IsPro,IF($D793="","",IF(OR($H793="",$H793="Credit"),0,P793)),"")</f>
        <v/>
      </c>
    </row>
    <row r="794" customFormat="false" ht="15" hidden="false" customHeight="false" outlineLevel="0" collapsed="false">
      <c r="A794" s="55"/>
      <c r="B794" s="56"/>
      <c r="C794" s="56"/>
      <c r="D794" s="56"/>
      <c r="E794" s="57"/>
      <c r="F794" s="58"/>
      <c r="G794" s="59"/>
      <c r="H794" s="56"/>
      <c r="I794" s="60" t="str">
        <f aca="false">IF(IsPro,IF($D794="","",IFERROR(INDEX(Items!$D$5:$D$504,Q794),"")),IF($D794="","","PRO PLAN"))</f>
        <v/>
      </c>
      <c r="J794" s="61" t="str">
        <f aca="false">IF(IsPro,IF($D794="","",IF($F794="",IFERROR(INDEX(Items!$G$5:$G$504,Q794),0),$F794)),"")</f>
        <v/>
      </c>
      <c r="K794" s="61" t="str">
        <f aca="false">IF(IsPro,IF($D794="","",ROUND(N($E794)*J794*(1-N($G794)),2)),"")</f>
        <v/>
      </c>
      <c r="L794" s="62" t="str">
        <f aca="false">IF(IsPro,IF($D794="","",IFERROR(INDEX(Items!$F$5:$F$504,Q794),0)),"")</f>
        <v/>
      </c>
      <c r="M794" s="61" t="str">
        <f aca="false">IF(IsPro,IF($D794="","",IF(AND(R794&lt;&gt;"",INDEX(Parties!$E$5:$E$304,R794)&lt;&gt;"",INDEX(Parties!$E$5:$E$304,R794)&lt;&gt;HomeState),0,ROUND(K794*L794/2,2))),"")</f>
        <v/>
      </c>
      <c r="N794" s="61" t="str">
        <f aca="false">IF(IsPro,IF($D794="","",M794),"")</f>
        <v/>
      </c>
      <c r="O794" s="61" t="str">
        <f aca="false">IF(IsPro,IF($D794="","",IF(AND(R794&lt;&gt;"",INDEX(Parties!$E$5:$E$304,R794)&lt;&gt;"",INDEX(Parties!$E$5:$E$304,R794)&lt;&gt;HomeState),ROUND(K794*L794,2),0)),"")</f>
        <v/>
      </c>
      <c r="P794" s="61" t="str">
        <f aca="false">IF(IsPro,IF($D794="","",K794+M794+N794+O794),"")</f>
        <v/>
      </c>
      <c r="Q794" s="60" t="str">
        <f aca="false">IF(IsPro,IF($D794="","",IFERROR(MATCH($D794,Items!$A$5:$A$504,0),"")),"")</f>
        <v/>
      </c>
      <c r="R794" s="60" t="str">
        <f aca="false">IF(IsPro,IF($C794="","",IFERROR(MATCH($C794,Parties!$A$5:$A$304,0),"")),"")</f>
        <v/>
      </c>
      <c r="S794" s="61" t="str">
        <f aca="false">IF(IsPro,IF($D794="","",IF(OR($H794="",$H794="Credit"),0,P794)),"")</f>
        <v/>
      </c>
    </row>
    <row r="795" customFormat="false" ht="15" hidden="false" customHeight="false" outlineLevel="0" collapsed="false">
      <c r="A795" s="55"/>
      <c r="B795" s="56"/>
      <c r="C795" s="56"/>
      <c r="D795" s="56"/>
      <c r="E795" s="57"/>
      <c r="F795" s="58"/>
      <c r="G795" s="59"/>
      <c r="H795" s="56"/>
      <c r="I795" s="60" t="str">
        <f aca="false">IF(IsPro,IF($D795="","",IFERROR(INDEX(Items!$D$5:$D$504,Q795),"")),IF($D795="","","PRO PLAN"))</f>
        <v/>
      </c>
      <c r="J795" s="61" t="str">
        <f aca="false">IF(IsPro,IF($D795="","",IF($F795="",IFERROR(INDEX(Items!$G$5:$G$504,Q795),0),$F795)),"")</f>
        <v/>
      </c>
      <c r="K795" s="61" t="str">
        <f aca="false">IF(IsPro,IF($D795="","",ROUND(N($E795)*J795*(1-N($G795)),2)),"")</f>
        <v/>
      </c>
      <c r="L795" s="62" t="str">
        <f aca="false">IF(IsPro,IF($D795="","",IFERROR(INDEX(Items!$F$5:$F$504,Q795),0)),"")</f>
        <v/>
      </c>
      <c r="M795" s="61" t="str">
        <f aca="false">IF(IsPro,IF($D795="","",IF(AND(R795&lt;&gt;"",INDEX(Parties!$E$5:$E$304,R795)&lt;&gt;"",INDEX(Parties!$E$5:$E$304,R795)&lt;&gt;HomeState),0,ROUND(K795*L795/2,2))),"")</f>
        <v/>
      </c>
      <c r="N795" s="61" t="str">
        <f aca="false">IF(IsPro,IF($D795="","",M795),"")</f>
        <v/>
      </c>
      <c r="O795" s="61" t="str">
        <f aca="false">IF(IsPro,IF($D795="","",IF(AND(R795&lt;&gt;"",INDEX(Parties!$E$5:$E$304,R795)&lt;&gt;"",INDEX(Parties!$E$5:$E$304,R795)&lt;&gt;HomeState),ROUND(K795*L795,2),0)),"")</f>
        <v/>
      </c>
      <c r="P795" s="61" t="str">
        <f aca="false">IF(IsPro,IF($D795="","",K795+M795+N795+O795),"")</f>
        <v/>
      </c>
      <c r="Q795" s="60" t="str">
        <f aca="false">IF(IsPro,IF($D795="","",IFERROR(MATCH($D795,Items!$A$5:$A$504,0),"")),"")</f>
        <v/>
      </c>
      <c r="R795" s="60" t="str">
        <f aca="false">IF(IsPro,IF($C795="","",IFERROR(MATCH($C795,Parties!$A$5:$A$304,0),"")),"")</f>
        <v/>
      </c>
      <c r="S795" s="61" t="str">
        <f aca="false">IF(IsPro,IF($D795="","",IF(OR($H795="",$H795="Credit"),0,P795)),"")</f>
        <v/>
      </c>
    </row>
    <row r="796" customFormat="false" ht="15" hidden="false" customHeight="false" outlineLevel="0" collapsed="false">
      <c r="A796" s="55"/>
      <c r="B796" s="56"/>
      <c r="C796" s="56"/>
      <c r="D796" s="56"/>
      <c r="E796" s="57"/>
      <c r="F796" s="58"/>
      <c r="G796" s="59"/>
      <c r="H796" s="56"/>
      <c r="I796" s="60" t="str">
        <f aca="false">IF(IsPro,IF($D796="","",IFERROR(INDEX(Items!$D$5:$D$504,Q796),"")),IF($D796="","","PRO PLAN"))</f>
        <v/>
      </c>
      <c r="J796" s="61" t="str">
        <f aca="false">IF(IsPro,IF($D796="","",IF($F796="",IFERROR(INDEX(Items!$G$5:$G$504,Q796),0),$F796)),"")</f>
        <v/>
      </c>
      <c r="K796" s="61" t="str">
        <f aca="false">IF(IsPro,IF($D796="","",ROUND(N($E796)*J796*(1-N($G796)),2)),"")</f>
        <v/>
      </c>
      <c r="L796" s="62" t="str">
        <f aca="false">IF(IsPro,IF($D796="","",IFERROR(INDEX(Items!$F$5:$F$504,Q796),0)),"")</f>
        <v/>
      </c>
      <c r="M796" s="61" t="str">
        <f aca="false">IF(IsPro,IF($D796="","",IF(AND(R796&lt;&gt;"",INDEX(Parties!$E$5:$E$304,R796)&lt;&gt;"",INDEX(Parties!$E$5:$E$304,R796)&lt;&gt;HomeState),0,ROUND(K796*L796/2,2))),"")</f>
        <v/>
      </c>
      <c r="N796" s="61" t="str">
        <f aca="false">IF(IsPro,IF($D796="","",M796),"")</f>
        <v/>
      </c>
      <c r="O796" s="61" t="str">
        <f aca="false">IF(IsPro,IF($D796="","",IF(AND(R796&lt;&gt;"",INDEX(Parties!$E$5:$E$304,R796)&lt;&gt;"",INDEX(Parties!$E$5:$E$304,R796)&lt;&gt;HomeState),ROUND(K796*L796,2),0)),"")</f>
        <v/>
      </c>
      <c r="P796" s="61" t="str">
        <f aca="false">IF(IsPro,IF($D796="","",K796+M796+N796+O796),"")</f>
        <v/>
      </c>
      <c r="Q796" s="60" t="str">
        <f aca="false">IF(IsPro,IF($D796="","",IFERROR(MATCH($D796,Items!$A$5:$A$504,0),"")),"")</f>
        <v/>
      </c>
      <c r="R796" s="60" t="str">
        <f aca="false">IF(IsPro,IF($C796="","",IFERROR(MATCH($C796,Parties!$A$5:$A$304,0),"")),"")</f>
        <v/>
      </c>
      <c r="S796" s="61" t="str">
        <f aca="false">IF(IsPro,IF($D796="","",IF(OR($H796="",$H796="Credit"),0,P796)),"")</f>
        <v/>
      </c>
    </row>
    <row r="797" customFormat="false" ht="15" hidden="false" customHeight="false" outlineLevel="0" collapsed="false">
      <c r="A797" s="55"/>
      <c r="B797" s="56"/>
      <c r="C797" s="56"/>
      <c r="D797" s="56"/>
      <c r="E797" s="57"/>
      <c r="F797" s="58"/>
      <c r="G797" s="59"/>
      <c r="H797" s="56"/>
      <c r="I797" s="60" t="str">
        <f aca="false">IF(IsPro,IF($D797="","",IFERROR(INDEX(Items!$D$5:$D$504,Q797),"")),IF($D797="","","PRO PLAN"))</f>
        <v/>
      </c>
      <c r="J797" s="61" t="str">
        <f aca="false">IF(IsPro,IF($D797="","",IF($F797="",IFERROR(INDEX(Items!$G$5:$G$504,Q797),0),$F797)),"")</f>
        <v/>
      </c>
      <c r="K797" s="61" t="str">
        <f aca="false">IF(IsPro,IF($D797="","",ROUND(N($E797)*J797*(1-N($G797)),2)),"")</f>
        <v/>
      </c>
      <c r="L797" s="62" t="str">
        <f aca="false">IF(IsPro,IF($D797="","",IFERROR(INDEX(Items!$F$5:$F$504,Q797),0)),"")</f>
        <v/>
      </c>
      <c r="M797" s="61" t="str">
        <f aca="false">IF(IsPro,IF($D797="","",IF(AND(R797&lt;&gt;"",INDEX(Parties!$E$5:$E$304,R797)&lt;&gt;"",INDEX(Parties!$E$5:$E$304,R797)&lt;&gt;HomeState),0,ROUND(K797*L797/2,2))),"")</f>
        <v/>
      </c>
      <c r="N797" s="61" t="str">
        <f aca="false">IF(IsPro,IF($D797="","",M797),"")</f>
        <v/>
      </c>
      <c r="O797" s="61" t="str">
        <f aca="false">IF(IsPro,IF($D797="","",IF(AND(R797&lt;&gt;"",INDEX(Parties!$E$5:$E$304,R797)&lt;&gt;"",INDEX(Parties!$E$5:$E$304,R797)&lt;&gt;HomeState),ROUND(K797*L797,2),0)),"")</f>
        <v/>
      </c>
      <c r="P797" s="61" t="str">
        <f aca="false">IF(IsPro,IF($D797="","",K797+M797+N797+O797),"")</f>
        <v/>
      </c>
      <c r="Q797" s="60" t="str">
        <f aca="false">IF(IsPro,IF($D797="","",IFERROR(MATCH($D797,Items!$A$5:$A$504,0),"")),"")</f>
        <v/>
      </c>
      <c r="R797" s="60" t="str">
        <f aca="false">IF(IsPro,IF($C797="","",IFERROR(MATCH($C797,Parties!$A$5:$A$304,0),"")),"")</f>
        <v/>
      </c>
      <c r="S797" s="61" t="str">
        <f aca="false">IF(IsPro,IF($D797="","",IF(OR($H797="",$H797="Credit"),0,P797)),"")</f>
        <v/>
      </c>
    </row>
    <row r="798" customFormat="false" ht="15" hidden="false" customHeight="false" outlineLevel="0" collapsed="false">
      <c r="A798" s="55"/>
      <c r="B798" s="56"/>
      <c r="C798" s="56"/>
      <c r="D798" s="56"/>
      <c r="E798" s="57"/>
      <c r="F798" s="58"/>
      <c r="G798" s="59"/>
      <c r="H798" s="56"/>
      <c r="I798" s="60" t="str">
        <f aca="false">IF(IsPro,IF($D798="","",IFERROR(INDEX(Items!$D$5:$D$504,Q798),"")),IF($D798="","","PRO PLAN"))</f>
        <v/>
      </c>
      <c r="J798" s="61" t="str">
        <f aca="false">IF(IsPro,IF($D798="","",IF($F798="",IFERROR(INDEX(Items!$G$5:$G$504,Q798),0),$F798)),"")</f>
        <v/>
      </c>
      <c r="K798" s="61" t="str">
        <f aca="false">IF(IsPro,IF($D798="","",ROUND(N($E798)*J798*(1-N($G798)),2)),"")</f>
        <v/>
      </c>
      <c r="L798" s="62" t="str">
        <f aca="false">IF(IsPro,IF($D798="","",IFERROR(INDEX(Items!$F$5:$F$504,Q798),0)),"")</f>
        <v/>
      </c>
      <c r="M798" s="61" t="str">
        <f aca="false">IF(IsPro,IF($D798="","",IF(AND(R798&lt;&gt;"",INDEX(Parties!$E$5:$E$304,R798)&lt;&gt;"",INDEX(Parties!$E$5:$E$304,R798)&lt;&gt;HomeState),0,ROUND(K798*L798/2,2))),"")</f>
        <v/>
      </c>
      <c r="N798" s="61" t="str">
        <f aca="false">IF(IsPro,IF($D798="","",M798),"")</f>
        <v/>
      </c>
      <c r="O798" s="61" t="str">
        <f aca="false">IF(IsPro,IF($D798="","",IF(AND(R798&lt;&gt;"",INDEX(Parties!$E$5:$E$304,R798)&lt;&gt;"",INDEX(Parties!$E$5:$E$304,R798)&lt;&gt;HomeState),ROUND(K798*L798,2),0)),"")</f>
        <v/>
      </c>
      <c r="P798" s="61" t="str">
        <f aca="false">IF(IsPro,IF($D798="","",K798+M798+N798+O798),"")</f>
        <v/>
      </c>
      <c r="Q798" s="60" t="str">
        <f aca="false">IF(IsPro,IF($D798="","",IFERROR(MATCH($D798,Items!$A$5:$A$504,0),"")),"")</f>
        <v/>
      </c>
      <c r="R798" s="60" t="str">
        <f aca="false">IF(IsPro,IF($C798="","",IFERROR(MATCH($C798,Parties!$A$5:$A$304,0),"")),"")</f>
        <v/>
      </c>
      <c r="S798" s="61" t="str">
        <f aca="false">IF(IsPro,IF($D798="","",IF(OR($H798="",$H798="Credit"),0,P798)),"")</f>
        <v/>
      </c>
    </row>
    <row r="799" customFormat="false" ht="15" hidden="false" customHeight="false" outlineLevel="0" collapsed="false">
      <c r="A799" s="55"/>
      <c r="B799" s="56"/>
      <c r="C799" s="56"/>
      <c r="D799" s="56"/>
      <c r="E799" s="57"/>
      <c r="F799" s="58"/>
      <c r="G799" s="59"/>
      <c r="H799" s="56"/>
      <c r="I799" s="60" t="str">
        <f aca="false">IF(IsPro,IF($D799="","",IFERROR(INDEX(Items!$D$5:$D$504,Q799),"")),IF($D799="","","PRO PLAN"))</f>
        <v/>
      </c>
      <c r="J799" s="61" t="str">
        <f aca="false">IF(IsPro,IF($D799="","",IF($F799="",IFERROR(INDEX(Items!$G$5:$G$504,Q799),0),$F799)),"")</f>
        <v/>
      </c>
      <c r="K799" s="61" t="str">
        <f aca="false">IF(IsPro,IF($D799="","",ROUND(N($E799)*J799*(1-N($G799)),2)),"")</f>
        <v/>
      </c>
      <c r="L799" s="62" t="str">
        <f aca="false">IF(IsPro,IF($D799="","",IFERROR(INDEX(Items!$F$5:$F$504,Q799),0)),"")</f>
        <v/>
      </c>
      <c r="M799" s="61" t="str">
        <f aca="false">IF(IsPro,IF($D799="","",IF(AND(R799&lt;&gt;"",INDEX(Parties!$E$5:$E$304,R799)&lt;&gt;"",INDEX(Parties!$E$5:$E$304,R799)&lt;&gt;HomeState),0,ROUND(K799*L799/2,2))),"")</f>
        <v/>
      </c>
      <c r="N799" s="61" t="str">
        <f aca="false">IF(IsPro,IF($D799="","",M799),"")</f>
        <v/>
      </c>
      <c r="O799" s="61" t="str">
        <f aca="false">IF(IsPro,IF($D799="","",IF(AND(R799&lt;&gt;"",INDEX(Parties!$E$5:$E$304,R799)&lt;&gt;"",INDEX(Parties!$E$5:$E$304,R799)&lt;&gt;HomeState),ROUND(K799*L799,2),0)),"")</f>
        <v/>
      </c>
      <c r="P799" s="61" t="str">
        <f aca="false">IF(IsPro,IF($D799="","",K799+M799+N799+O799),"")</f>
        <v/>
      </c>
      <c r="Q799" s="60" t="str">
        <f aca="false">IF(IsPro,IF($D799="","",IFERROR(MATCH($D799,Items!$A$5:$A$504,0),"")),"")</f>
        <v/>
      </c>
      <c r="R799" s="60" t="str">
        <f aca="false">IF(IsPro,IF($C799="","",IFERROR(MATCH($C799,Parties!$A$5:$A$304,0),"")),"")</f>
        <v/>
      </c>
      <c r="S799" s="61" t="str">
        <f aca="false">IF(IsPro,IF($D799="","",IF(OR($H799="",$H799="Credit"),0,P799)),"")</f>
        <v/>
      </c>
    </row>
    <row r="800" customFormat="false" ht="15" hidden="false" customHeight="false" outlineLevel="0" collapsed="false">
      <c r="A800" s="55"/>
      <c r="B800" s="56"/>
      <c r="C800" s="56"/>
      <c r="D800" s="56"/>
      <c r="E800" s="57"/>
      <c r="F800" s="58"/>
      <c r="G800" s="59"/>
      <c r="H800" s="56"/>
      <c r="I800" s="60" t="str">
        <f aca="false">IF(IsPro,IF($D800="","",IFERROR(INDEX(Items!$D$5:$D$504,Q800),"")),IF($D800="","","PRO PLAN"))</f>
        <v/>
      </c>
      <c r="J800" s="61" t="str">
        <f aca="false">IF(IsPro,IF($D800="","",IF($F800="",IFERROR(INDEX(Items!$G$5:$G$504,Q800),0),$F800)),"")</f>
        <v/>
      </c>
      <c r="K800" s="61" t="str">
        <f aca="false">IF(IsPro,IF($D800="","",ROUND(N($E800)*J800*(1-N($G800)),2)),"")</f>
        <v/>
      </c>
      <c r="L800" s="62" t="str">
        <f aca="false">IF(IsPro,IF($D800="","",IFERROR(INDEX(Items!$F$5:$F$504,Q800),0)),"")</f>
        <v/>
      </c>
      <c r="M800" s="61" t="str">
        <f aca="false">IF(IsPro,IF($D800="","",IF(AND(R800&lt;&gt;"",INDEX(Parties!$E$5:$E$304,R800)&lt;&gt;"",INDEX(Parties!$E$5:$E$304,R800)&lt;&gt;HomeState),0,ROUND(K800*L800/2,2))),"")</f>
        <v/>
      </c>
      <c r="N800" s="61" t="str">
        <f aca="false">IF(IsPro,IF($D800="","",M800),"")</f>
        <v/>
      </c>
      <c r="O800" s="61" t="str">
        <f aca="false">IF(IsPro,IF($D800="","",IF(AND(R800&lt;&gt;"",INDEX(Parties!$E$5:$E$304,R800)&lt;&gt;"",INDEX(Parties!$E$5:$E$304,R800)&lt;&gt;HomeState),ROUND(K800*L800,2),0)),"")</f>
        <v/>
      </c>
      <c r="P800" s="61" t="str">
        <f aca="false">IF(IsPro,IF($D800="","",K800+M800+N800+O800),"")</f>
        <v/>
      </c>
      <c r="Q800" s="60" t="str">
        <f aca="false">IF(IsPro,IF($D800="","",IFERROR(MATCH($D800,Items!$A$5:$A$504,0),"")),"")</f>
        <v/>
      </c>
      <c r="R800" s="60" t="str">
        <f aca="false">IF(IsPro,IF($C800="","",IFERROR(MATCH($C800,Parties!$A$5:$A$304,0),"")),"")</f>
        <v/>
      </c>
      <c r="S800" s="61" t="str">
        <f aca="false">IF(IsPro,IF($D800="","",IF(OR($H800="",$H800="Credit"),0,P800)),"")</f>
        <v/>
      </c>
    </row>
    <row r="801" customFormat="false" ht="15" hidden="false" customHeight="false" outlineLevel="0" collapsed="false">
      <c r="A801" s="55"/>
      <c r="B801" s="56"/>
      <c r="C801" s="56"/>
      <c r="D801" s="56"/>
      <c r="E801" s="57"/>
      <c r="F801" s="58"/>
      <c r="G801" s="59"/>
      <c r="H801" s="56"/>
      <c r="I801" s="60" t="str">
        <f aca="false">IF(IsPro,IF($D801="","",IFERROR(INDEX(Items!$D$5:$D$504,Q801),"")),IF($D801="","","PRO PLAN"))</f>
        <v/>
      </c>
      <c r="J801" s="61" t="str">
        <f aca="false">IF(IsPro,IF($D801="","",IF($F801="",IFERROR(INDEX(Items!$G$5:$G$504,Q801),0),$F801)),"")</f>
        <v/>
      </c>
      <c r="K801" s="61" t="str">
        <f aca="false">IF(IsPro,IF($D801="","",ROUND(N($E801)*J801*(1-N($G801)),2)),"")</f>
        <v/>
      </c>
      <c r="L801" s="62" t="str">
        <f aca="false">IF(IsPro,IF($D801="","",IFERROR(INDEX(Items!$F$5:$F$504,Q801),0)),"")</f>
        <v/>
      </c>
      <c r="M801" s="61" t="str">
        <f aca="false">IF(IsPro,IF($D801="","",IF(AND(R801&lt;&gt;"",INDEX(Parties!$E$5:$E$304,R801)&lt;&gt;"",INDEX(Parties!$E$5:$E$304,R801)&lt;&gt;HomeState),0,ROUND(K801*L801/2,2))),"")</f>
        <v/>
      </c>
      <c r="N801" s="61" t="str">
        <f aca="false">IF(IsPro,IF($D801="","",M801),"")</f>
        <v/>
      </c>
      <c r="O801" s="61" t="str">
        <f aca="false">IF(IsPro,IF($D801="","",IF(AND(R801&lt;&gt;"",INDEX(Parties!$E$5:$E$304,R801)&lt;&gt;"",INDEX(Parties!$E$5:$E$304,R801)&lt;&gt;HomeState),ROUND(K801*L801,2),0)),"")</f>
        <v/>
      </c>
      <c r="P801" s="61" t="str">
        <f aca="false">IF(IsPro,IF($D801="","",K801+M801+N801+O801),"")</f>
        <v/>
      </c>
      <c r="Q801" s="60" t="str">
        <f aca="false">IF(IsPro,IF($D801="","",IFERROR(MATCH($D801,Items!$A$5:$A$504,0),"")),"")</f>
        <v/>
      </c>
      <c r="R801" s="60" t="str">
        <f aca="false">IF(IsPro,IF($C801="","",IFERROR(MATCH($C801,Parties!$A$5:$A$304,0),"")),"")</f>
        <v/>
      </c>
      <c r="S801" s="61" t="str">
        <f aca="false">IF(IsPro,IF($D801="","",IF(OR($H801="",$H801="Credit"),0,P801)),"")</f>
        <v/>
      </c>
    </row>
    <row r="802" customFormat="false" ht="15" hidden="false" customHeight="false" outlineLevel="0" collapsed="false">
      <c r="A802" s="55"/>
      <c r="B802" s="56"/>
      <c r="C802" s="56"/>
      <c r="D802" s="56"/>
      <c r="E802" s="57"/>
      <c r="F802" s="58"/>
      <c r="G802" s="59"/>
      <c r="H802" s="56"/>
      <c r="I802" s="60" t="str">
        <f aca="false">IF(IsPro,IF($D802="","",IFERROR(INDEX(Items!$D$5:$D$504,Q802),"")),IF($D802="","","PRO PLAN"))</f>
        <v/>
      </c>
      <c r="J802" s="61" t="str">
        <f aca="false">IF(IsPro,IF($D802="","",IF($F802="",IFERROR(INDEX(Items!$G$5:$G$504,Q802),0),$F802)),"")</f>
        <v/>
      </c>
      <c r="K802" s="61" t="str">
        <f aca="false">IF(IsPro,IF($D802="","",ROUND(N($E802)*J802*(1-N($G802)),2)),"")</f>
        <v/>
      </c>
      <c r="L802" s="62" t="str">
        <f aca="false">IF(IsPro,IF($D802="","",IFERROR(INDEX(Items!$F$5:$F$504,Q802),0)),"")</f>
        <v/>
      </c>
      <c r="M802" s="61" t="str">
        <f aca="false">IF(IsPro,IF($D802="","",IF(AND(R802&lt;&gt;"",INDEX(Parties!$E$5:$E$304,R802)&lt;&gt;"",INDEX(Parties!$E$5:$E$304,R802)&lt;&gt;HomeState),0,ROUND(K802*L802/2,2))),"")</f>
        <v/>
      </c>
      <c r="N802" s="61" t="str">
        <f aca="false">IF(IsPro,IF($D802="","",M802),"")</f>
        <v/>
      </c>
      <c r="O802" s="61" t="str">
        <f aca="false">IF(IsPro,IF($D802="","",IF(AND(R802&lt;&gt;"",INDEX(Parties!$E$5:$E$304,R802)&lt;&gt;"",INDEX(Parties!$E$5:$E$304,R802)&lt;&gt;HomeState),ROUND(K802*L802,2),0)),"")</f>
        <v/>
      </c>
      <c r="P802" s="61" t="str">
        <f aca="false">IF(IsPro,IF($D802="","",K802+M802+N802+O802),"")</f>
        <v/>
      </c>
      <c r="Q802" s="60" t="str">
        <f aca="false">IF(IsPro,IF($D802="","",IFERROR(MATCH($D802,Items!$A$5:$A$504,0),"")),"")</f>
        <v/>
      </c>
      <c r="R802" s="60" t="str">
        <f aca="false">IF(IsPro,IF($C802="","",IFERROR(MATCH($C802,Parties!$A$5:$A$304,0),"")),"")</f>
        <v/>
      </c>
      <c r="S802" s="61" t="str">
        <f aca="false">IF(IsPro,IF($D802="","",IF(OR($H802="",$H802="Credit"),0,P802)),"")</f>
        <v/>
      </c>
    </row>
    <row r="803" customFormat="false" ht="15" hidden="false" customHeight="false" outlineLevel="0" collapsed="false">
      <c r="A803" s="55"/>
      <c r="B803" s="56"/>
      <c r="C803" s="56"/>
      <c r="D803" s="56"/>
      <c r="E803" s="57"/>
      <c r="F803" s="58"/>
      <c r="G803" s="59"/>
      <c r="H803" s="56"/>
      <c r="I803" s="60" t="str">
        <f aca="false">IF(IsPro,IF($D803="","",IFERROR(INDEX(Items!$D$5:$D$504,Q803),"")),IF($D803="","","PRO PLAN"))</f>
        <v/>
      </c>
      <c r="J803" s="61" t="str">
        <f aca="false">IF(IsPro,IF($D803="","",IF($F803="",IFERROR(INDEX(Items!$G$5:$G$504,Q803),0),$F803)),"")</f>
        <v/>
      </c>
      <c r="K803" s="61" t="str">
        <f aca="false">IF(IsPro,IF($D803="","",ROUND(N($E803)*J803*(1-N($G803)),2)),"")</f>
        <v/>
      </c>
      <c r="L803" s="62" t="str">
        <f aca="false">IF(IsPro,IF($D803="","",IFERROR(INDEX(Items!$F$5:$F$504,Q803),0)),"")</f>
        <v/>
      </c>
      <c r="M803" s="61" t="str">
        <f aca="false">IF(IsPro,IF($D803="","",IF(AND(R803&lt;&gt;"",INDEX(Parties!$E$5:$E$304,R803)&lt;&gt;"",INDEX(Parties!$E$5:$E$304,R803)&lt;&gt;HomeState),0,ROUND(K803*L803/2,2))),"")</f>
        <v/>
      </c>
      <c r="N803" s="61" t="str">
        <f aca="false">IF(IsPro,IF($D803="","",M803),"")</f>
        <v/>
      </c>
      <c r="O803" s="61" t="str">
        <f aca="false">IF(IsPro,IF($D803="","",IF(AND(R803&lt;&gt;"",INDEX(Parties!$E$5:$E$304,R803)&lt;&gt;"",INDEX(Parties!$E$5:$E$304,R803)&lt;&gt;HomeState),ROUND(K803*L803,2),0)),"")</f>
        <v/>
      </c>
      <c r="P803" s="61" t="str">
        <f aca="false">IF(IsPro,IF($D803="","",K803+M803+N803+O803),"")</f>
        <v/>
      </c>
      <c r="Q803" s="60" t="str">
        <f aca="false">IF(IsPro,IF($D803="","",IFERROR(MATCH($D803,Items!$A$5:$A$504,0),"")),"")</f>
        <v/>
      </c>
      <c r="R803" s="60" t="str">
        <f aca="false">IF(IsPro,IF($C803="","",IFERROR(MATCH($C803,Parties!$A$5:$A$304,0),"")),"")</f>
        <v/>
      </c>
      <c r="S803" s="61" t="str">
        <f aca="false">IF(IsPro,IF($D803="","",IF(OR($H803="",$H803="Credit"),0,P803)),"")</f>
        <v/>
      </c>
    </row>
    <row r="804" customFormat="false" ht="15" hidden="false" customHeight="false" outlineLevel="0" collapsed="false">
      <c r="A804" s="55"/>
      <c r="B804" s="56"/>
      <c r="C804" s="56"/>
      <c r="D804" s="56"/>
      <c r="E804" s="57"/>
      <c r="F804" s="58"/>
      <c r="G804" s="59"/>
      <c r="H804" s="56"/>
      <c r="I804" s="60" t="str">
        <f aca="false">IF(IsPro,IF($D804="","",IFERROR(INDEX(Items!$D$5:$D$504,Q804),"")),IF($D804="","","PRO PLAN"))</f>
        <v/>
      </c>
      <c r="J804" s="61" t="str">
        <f aca="false">IF(IsPro,IF($D804="","",IF($F804="",IFERROR(INDEX(Items!$G$5:$G$504,Q804),0),$F804)),"")</f>
        <v/>
      </c>
      <c r="K804" s="61" t="str">
        <f aca="false">IF(IsPro,IF($D804="","",ROUND(N($E804)*J804*(1-N($G804)),2)),"")</f>
        <v/>
      </c>
      <c r="L804" s="62" t="str">
        <f aca="false">IF(IsPro,IF($D804="","",IFERROR(INDEX(Items!$F$5:$F$504,Q804),0)),"")</f>
        <v/>
      </c>
      <c r="M804" s="61" t="str">
        <f aca="false">IF(IsPro,IF($D804="","",IF(AND(R804&lt;&gt;"",INDEX(Parties!$E$5:$E$304,R804)&lt;&gt;"",INDEX(Parties!$E$5:$E$304,R804)&lt;&gt;HomeState),0,ROUND(K804*L804/2,2))),"")</f>
        <v/>
      </c>
      <c r="N804" s="61" t="str">
        <f aca="false">IF(IsPro,IF($D804="","",M804),"")</f>
        <v/>
      </c>
      <c r="O804" s="61" t="str">
        <f aca="false">IF(IsPro,IF($D804="","",IF(AND(R804&lt;&gt;"",INDEX(Parties!$E$5:$E$304,R804)&lt;&gt;"",INDEX(Parties!$E$5:$E$304,R804)&lt;&gt;HomeState),ROUND(K804*L804,2),0)),"")</f>
        <v/>
      </c>
      <c r="P804" s="61" t="str">
        <f aca="false">IF(IsPro,IF($D804="","",K804+M804+N804+O804),"")</f>
        <v/>
      </c>
      <c r="Q804" s="60" t="str">
        <f aca="false">IF(IsPro,IF($D804="","",IFERROR(MATCH($D804,Items!$A$5:$A$504,0),"")),"")</f>
        <v/>
      </c>
      <c r="R804" s="60" t="str">
        <f aca="false">IF(IsPro,IF($C804="","",IFERROR(MATCH($C804,Parties!$A$5:$A$304,0),"")),"")</f>
        <v/>
      </c>
      <c r="S804" s="61" t="str">
        <f aca="false">IF(IsPro,IF($D804="","",IF(OR($H804="",$H804="Credit"),0,P804)),"")</f>
        <v/>
      </c>
    </row>
    <row r="805" customFormat="false" ht="15" hidden="false" customHeight="false" outlineLevel="0" collapsed="false">
      <c r="A805" s="55"/>
      <c r="B805" s="56"/>
      <c r="C805" s="56"/>
      <c r="D805" s="56"/>
      <c r="E805" s="57"/>
      <c r="F805" s="58"/>
      <c r="G805" s="59"/>
      <c r="H805" s="56"/>
      <c r="I805" s="60" t="str">
        <f aca="false">IF(IsPro,IF($D805="","",IFERROR(INDEX(Items!$D$5:$D$504,Q805),"")),IF($D805="","","PRO PLAN"))</f>
        <v/>
      </c>
      <c r="J805" s="61" t="str">
        <f aca="false">IF(IsPro,IF($D805="","",IF($F805="",IFERROR(INDEX(Items!$G$5:$G$504,Q805),0),$F805)),"")</f>
        <v/>
      </c>
      <c r="K805" s="61" t="str">
        <f aca="false">IF(IsPro,IF($D805="","",ROUND(N($E805)*J805*(1-N($G805)),2)),"")</f>
        <v/>
      </c>
      <c r="L805" s="62" t="str">
        <f aca="false">IF(IsPro,IF($D805="","",IFERROR(INDEX(Items!$F$5:$F$504,Q805),0)),"")</f>
        <v/>
      </c>
      <c r="M805" s="61" t="str">
        <f aca="false">IF(IsPro,IF($D805="","",IF(AND(R805&lt;&gt;"",INDEX(Parties!$E$5:$E$304,R805)&lt;&gt;"",INDEX(Parties!$E$5:$E$304,R805)&lt;&gt;HomeState),0,ROUND(K805*L805/2,2))),"")</f>
        <v/>
      </c>
      <c r="N805" s="61" t="str">
        <f aca="false">IF(IsPro,IF($D805="","",M805),"")</f>
        <v/>
      </c>
      <c r="O805" s="61" t="str">
        <f aca="false">IF(IsPro,IF($D805="","",IF(AND(R805&lt;&gt;"",INDEX(Parties!$E$5:$E$304,R805)&lt;&gt;"",INDEX(Parties!$E$5:$E$304,R805)&lt;&gt;HomeState),ROUND(K805*L805,2),0)),"")</f>
        <v/>
      </c>
      <c r="P805" s="61" t="str">
        <f aca="false">IF(IsPro,IF($D805="","",K805+M805+N805+O805),"")</f>
        <v/>
      </c>
      <c r="Q805" s="60" t="str">
        <f aca="false">IF(IsPro,IF($D805="","",IFERROR(MATCH($D805,Items!$A$5:$A$504,0),"")),"")</f>
        <v/>
      </c>
      <c r="R805" s="60" t="str">
        <f aca="false">IF(IsPro,IF($C805="","",IFERROR(MATCH($C805,Parties!$A$5:$A$304,0),"")),"")</f>
        <v/>
      </c>
      <c r="S805" s="61" t="str">
        <f aca="false">IF(IsPro,IF($D805="","",IF(OR($H805="",$H805="Credit"),0,P805)),"")</f>
        <v/>
      </c>
    </row>
    <row r="806" customFormat="false" ht="15" hidden="false" customHeight="false" outlineLevel="0" collapsed="false">
      <c r="A806" s="55"/>
      <c r="B806" s="56"/>
      <c r="C806" s="56"/>
      <c r="D806" s="56"/>
      <c r="E806" s="57"/>
      <c r="F806" s="58"/>
      <c r="G806" s="59"/>
      <c r="H806" s="56"/>
      <c r="I806" s="60" t="str">
        <f aca="false">IF(IsPro,IF($D806="","",IFERROR(INDEX(Items!$D$5:$D$504,Q806),"")),IF($D806="","","PRO PLAN"))</f>
        <v/>
      </c>
      <c r="J806" s="61" t="str">
        <f aca="false">IF(IsPro,IF($D806="","",IF($F806="",IFERROR(INDEX(Items!$G$5:$G$504,Q806),0),$F806)),"")</f>
        <v/>
      </c>
      <c r="K806" s="61" t="str">
        <f aca="false">IF(IsPro,IF($D806="","",ROUND(N($E806)*J806*(1-N($G806)),2)),"")</f>
        <v/>
      </c>
      <c r="L806" s="62" t="str">
        <f aca="false">IF(IsPro,IF($D806="","",IFERROR(INDEX(Items!$F$5:$F$504,Q806),0)),"")</f>
        <v/>
      </c>
      <c r="M806" s="61" t="str">
        <f aca="false">IF(IsPro,IF($D806="","",IF(AND(R806&lt;&gt;"",INDEX(Parties!$E$5:$E$304,R806)&lt;&gt;"",INDEX(Parties!$E$5:$E$304,R806)&lt;&gt;HomeState),0,ROUND(K806*L806/2,2))),"")</f>
        <v/>
      </c>
      <c r="N806" s="61" t="str">
        <f aca="false">IF(IsPro,IF($D806="","",M806),"")</f>
        <v/>
      </c>
      <c r="O806" s="61" t="str">
        <f aca="false">IF(IsPro,IF($D806="","",IF(AND(R806&lt;&gt;"",INDEX(Parties!$E$5:$E$304,R806)&lt;&gt;"",INDEX(Parties!$E$5:$E$304,R806)&lt;&gt;HomeState),ROUND(K806*L806,2),0)),"")</f>
        <v/>
      </c>
      <c r="P806" s="61" t="str">
        <f aca="false">IF(IsPro,IF($D806="","",K806+M806+N806+O806),"")</f>
        <v/>
      </c>
      <c r="Q806" s="60" t="str">
        <f aca="false">IF(IsPro,IF($D806="","",IFERROR(MATCH($D806,Items!$A$5:$A$504,0),"")),"")</f>
        <v/>
      </c>
      <c r="R806" s="60" t="str">
        <f aca="false">IF(IsPro,IF($C806="","",IFERROR(MATCH($C806,Parties!$A$5:$A$304,0),"")),"")</f>
        <v/>
      </c>
      <c r="S806" s="61" t="str">
        <f aca="false">IF(IsPro,IF($D806="","",IF(OR($H806="",$H806="Credit"),0,P806)),"")</f>
        <v/>
      </c>
    </row>
    <row r="807" customFormat="false" ht="15" hidden="false" customHeight="false" outlineLevel="0" collapsed="false">
      <c r="A807" s="55"/>
      <c r="B807" s="56"/>
      <c r="C807" s="56"/>
      <c r="D807" s="56"/>
      <c r="E807" s="57"/>
      <c r="F807" s="58"/>
      <c r="G807" s="59"/>
      <c r="H807" s="56"/>
      <c r="I807" s="60" t="str">
        <f aca="false">IF(IsPro,IF($D807="","",IFERROR(INDEX(Items!$D$5:$D$504,Q807),"")),IF($D807="","","PRO PLAN"))</f>
        <v/>
      </c>
      <c r="J807" s="61" t="str">
        <f aca="false">IF(IsPro,IF($D807="","",IF($F807="",IFERROR(INDEX(Items!$G$5:$G$504,Q807),0),$F807)),"")</f>
        <v/>
      </c>
      <c r="K807" s="61" t="str">
        <f aca="false">IF(IsPro,IF($D807="","",ROUND(N($E807)*J807*(1-N($G807)),2)),"")</f>
        <v/>
      </c>
      <c r="L807" s="62" t="str">
        <f aca="false">IF(IsPro,IF($D807="","",IFERROR(INDEX(Items!$F$5:$F$504,Q807),0)),"")</f>
        <v/>
      </c>
      <c r="M807" s="61" t="str">
        <f aca="false">IF(IsPro,IF($D807="","",IF(AND(R807&lt;&gt;"",INDEX(Parties!$E$5:$E$304,R807)&lt;&gt;"",INDEX(Parties!$E$5:$E$304,R807)&lt;&gt;HomeState),0,ROUND(K807*L807/2,2))),"")</f>
        <v/>
      </c>
      <c r="N807" s="61" t="str">
        <f aca="false">IF(IsPro,IF($D807="","",M807),"")</f>
        <v/>
      </c>
      <c r="O807" s="61" t="str">
        <f aca="false">IF(IsPro,IF($D807="","",IF(AND(R807&lt;&gt;"",INDEX(Parties!$E$5:$E$304,R807)&lt;&gt;"",INDEX(Parties!$E$5:$E$304,R807)&lt;&gt;HomeState),ROUND(K807*L807,2),0)),"")</f>
        <v/>
      </c>
      <c r="P807" s="61" t="str">
        <f aca="false">IF(IsPro,IF($D807="","",K807+M807+N807+O807),"")</f>
        <v/>
      </c>
      <c r="Q807" s="60" t="str">
        <f aca="false">IF(IsPro,IF($D807="","",IFERROR(MATCH($D807,Items!$A$5:$A$504,0),"")),"")</f>
        <v/>
      </c>
      <c r="R807" s="60" t="str">
        <f aca="false">IF(IsPro,IF($C807="","",IFERROR(MATCH($C807,Parties!$A$5:$A$304,0),"")),"")</f>
        <v/>
      </c>
      <c r="S807" s="61" t="str">
        <f aca="false">IF(IsPro,IF($D807="","",IF(OR($H807="",$H807="Credit"),0,P807)),"")</f>
        <v/>
      </c>
    </row>
    <row r="808" customFormat="false" ht="15" hidden="false" customHeight="false" outlineLevel="0" collapsed="false">
      <c r="A808" s="55"/>
      <c r="B808" s="56"/>
      <c r="C808" s="56"/>
      <c r="D808" s="56"/>
      <c r="E808" s="57"/>
      <c r="F808" s="58"/>
      <c r="G808" s="59"/>
      <c r="H808" s="56"/>
      <c r="I808" s="60" t="str">
        <f aca="false">IF(IsPro,IF($D808="","",IFERROR(INDEX(Items!$D$5:$D$504,Q808),"")),IF($D808="","","PRO PLAN"))</f>
        <v/>
      </c>
      <c r="J808" s="61" t="str">
        <f aca="false">IF(IsPro,IF($D808="","",IF($F808="",IFERROR(INDEX(Items!$G$5:$G$504,Q808),0),$F808)),"")</f>
        <v/>
      </c>
      <c r="K808" s="61" t="str">
        <f aca="false">IF(IsPro,IF($D808="","",ROUND(N($E808)*J808*(1-N($G808)),2)),"")</f>
        <v/>
      </c>
      <c r="L808" s="62" t="str">
        <f aca="false">IF(IsPro,IF($D808="","",IFERROR(INDEX(Items!$F$5:$F$504,Q808),0)),"")</f>
        <v/>
      </c>
      <c r="M808" s="61" t="str">
        <f aca="false">IF(IsPro,IF($D808="","",IF(AND(R808&lt;&gt;"",INDEX(Parties!$E$5:$E$304,R808)&lt;&gt;"",INDEX(Parties!$E$5:$E$304,R808)&lt;&gt;HomeState),0,ROUND(K808*L808/2,2))),"")</f>
        <v/>
      </c>
      <c r="N808" s="61" t="str">
        <f aca="false">IF(IsPro,IF($D808="","",M808),"")</f>
        <v/>
      </c>
      <c r="O808" s="61" t="str">
        <f aca="false">IF(IsPro,IF($D808="","",IF(AND(R808&lt;&gt;"",INDEX(Parties!$E$5:$E$304,R808)&lt;&gt;"",INDEX(Parties!$E$5:$E$304,R808)&lt;&gt;HomeState),ROUND(K808*L808,2),0)),"")</f>
        <v/>
      </c>
      <c r="P808" s="61" t="str">
        <f aca="false">IF(IsPro,IF($D808="","",K808+M808+N808+O808),"")</f>
        <v/>
      </c>
      <c r="Q808" s="60" t="str">
        <f aca="false">IF(IsPro,IF($D808="","",IFERROR(MATCH($D808,Items!$A$5:$A$504,0),"")),"")</f>
        <v/>
      </c>
      <c r="R808" s="60" t="str">
        <f aca="false">IF(IsPro,IF($C808="","",IFERROR(MATCH($C808,Parties!$A$5:$A$304,0),"")),"")</f>
        <v/>
      </c>
      <c r="S808" s="61" t="str">
        <f aca="false">IF(IsPro,IF($D808="","",IF(OR($H808="",$H808="Credit"),0,P808)),"")</f>
        <v/>
      </c>
    </row>
    <row r="809" customFormat="false" ht="15" hidden="false" customHeight="false" outlineLevel="0" collapsed="false">
      <c r="A809" s="55"/>
      <c r="B809" s="56"/>
      <c r="C809" s="56"/>
      <c r="D809" s="56"/>
      <c r="E809" s="57"/>
      <c r="F809" s="58"/>
      <c r="G809" s="59"/>
      <c r="H809" s="56"/>
      <c r="I809" s="60" t="str">
        <f aca="false">IF(IsPro,IF($D809="","",IFERROR(INDEX(Items!$D$5:$D$504,Q809),"")),IF($D809="","","PRO PLAN"))</f>
        <v/>
      </c>
      <c r="J809" s="61" t="str">
        <f aca="false">IF(IsPro,IF($D809="","",IF($F809="",IFERROR(INDEX(Items!$G$5:$G$504,Q809),0),$F809)),"")</f>
        <v/>
      </c>
      <c r="K809" s="61" t="str">
        <f aca="false">IF(IsPro,IF($D809="","",ROUND(N($E809)*J809*(1-N($G809)),2)),"")</f>
        <v/>
      </c>
      <c r="L809" s="62" t="str">
        <f aca="false">IF(IsPro,IF($D809="","",IFERROR(INDEX(Items!$F$5:$F$504,Q809),0)),"")</f>
        <v/>
      </c>
      <c r="M809" s="61" t="str">
        <f aca="false">IF(IsPro,IF($D809="","",IF(AND(R809&lt;&gt;"",INDEX(Parties!$E$5:$E$304,R809)&lt;&gt;"",INDEX(Parties!$E$5:$E$304,R809)&lt;&gt;HomeState),0,ROUND(K809*L809/2,2))),"")</f>
        <v/>
      </c>
      <c r="N809" s="61" t="str">
        <f aca="false">IF(IsPro,IF($D809="","",M809),"")</f>
        <v/>
      </c>
      <c r="O809" s="61" t="str">
        <f aca="false">IF(IsPro,IF($D809="","",IF(AND(R809&lt;&gt;"",INDEX(Parties!$E$5:$E$304,R809)&lt;&gt;"",INDEX(Parties!$E$5:$E$304,R809)&lt;&gt;HomeState),ROUND(K809*L809,2),0)),"")</f>
        <v/>
      </c>
      <c r="P809" s="61" t="str">
        <f aca="false">IF(IsPro,IF($D809="","",K809+M809+N809+O809),"")</f>
        <v/>
      </c>
      <c r="Q809" s="60" t="str">
        <f aca="false">IF(IsPro,IF($D809="","",IFERROR(MATCH($D809,Items!$A$5:$A$504,0),"")),"")</f>
        <v/>
      </c>
      <c r="R809" s="60" t="str">
        <f aca="false">IF(IsPro,IF($C809="","",IFERROR(MATCH($C809,Parties!$A$5:$A$304,0),"")),"")</f>
        <v/>
      </c>
      <c r="S809" s="61" t="str">
        <f aca="false">IF(IsPro,IF($D809="","",IF(OR($H809="",$H809="Credit"),0,P809)),"")</f>
        <v/>
      </c>
    </row>
    <row r="810" customFormat="false" ht="15" hidden="false" customHeight="false" outlineLevel="0" collapsed="false">
      <c r="A810" s="55"/>
      <c r="B810" s="56"/>
      <c r="C810" s="56"/>
      <c r="D810" s="56"/>
      <c r="E810" s="57"/>
      <c r="F810" s="58"/>
      <c r="G810" s="59"/>
      <c r="H810" s="56"/>
      <c r="I810" s="60" t="str">
        <f aca="false">IF(IsPro,IF($D810="","",IFERROR(INDEX(Items!$D$5:$D$504,Q810),"")),IF($D810="","","PRO PLAN"))</f>
        <v/>
      </c>
      <c r="J810" s="61" t="str">
        <f aca="false">IF(IsPro,IF($D810="","",IF($F810="",IFERROR(INDEX(Items!$G$5:$G$504,Q810),0),$F810)),"")</f>
        <v/>
      </c>
      <c r="K810" s="61" t="str">
        <f aca="false">IF(IsPro,IF($D810="","",ROUND(N($E810)*J810*(1-N($G810)),2)),"")</f>
        <v/>
      </c>
      <c r="L810" s="62" t="str">
        <f aca="false">IF(IsPro,IF($D810="","",IFERROR(INDEX(Items!$F$5:$F$504,Q810),0)),"")</f>
        <v/>
      </c>
      <c r="M810" s="61" t="str">
        <f aca="false">IF(IsPro,IF($D810="","",IF(AND(R810&lt;&gt;"",INDEX(Parties!$E$5:$E$304,R810)&lt;&gt;"",INDEX(Parties!$E$5:$E$304,R810)&lt;&gt;HomeState),0,ROUND(K810*L810/2,2))),"")</f>
        <v/>
      </c>
      <c r="N810" s="61" t="str">
        <f aca="false">IF(IsPro,IF($D810="","",M810),"")</f>
        <v/>
      </c>
      <c r="O810" s="61" t="str">
        <f aca="false">IF(IsPro,IF($D810="","",IF(AND(R810&lt;&gt;"",INDEX(Parties!$E$5:$E$304,R810)&lt;&gt;"",INDEX(Parties!$E$5:$E$304,R810)&lt;&gt;HomeState),ROUND(K810*L810,2),0)),"")</f>
        <v/>
      </c>
      <c r="P810" s="61" t="str">
        <f aca="false">IF(IsPro,IF($D810="","",K810+M810+N810+O810),"")</f>
        <v/>
      </c>
      <c r="Q810" s="60" t="str">
        <f aca="false">IF(IsPro,IF($D810="","",IFERROR(MATCH($D810,Items!$A$5:$A$504,0),"")),"")</f>
        <v/>
      </c>
      <c r="R810" s="60" t="str">
        <f aca="false">IF(IsPro,IF($C810="","",IFERROR(MATCH($C810,Parties!$A$5:$A$304,0),"")),"")</f>
        <v/>
      </c>
      <c r="S810" s="61" t="str">
        <f aca="false">IF(IsPro,IF($D810="","",IF(OR($H810="",$H810="Credit"),0,P810)),"")</f>
        <v/>
      </c>
    </row>
    <row r="811" customFormat="false" ht="15" hidden="false" customHeight="false" outlineLevel="0" collapsed="false">
      <c r="A811" s="55"/>
      <c r="B811" s="56"/>
      <c r="C811" s="56"/>
      <c r="D811" s="56"/>
      <c r="E811" s="57"/>
      <c r="F811" s="58"/>
      <c r="G811" s="59"/>
      <c r="H811" s="56"/>
      <c r="I811" s="60" t="str">
        <f aca="false">IF(IsPro,IF($D811="","",IFERROR(INDEX(Items!$D$5:$D$504,Q811),"")),IF($D811="","","PRO PLAN"))</f>
        <v/>
      </c>
      <c r="J811" s="61" t="str">
        <f aca="false">IF(IsPro,IF($D811="","",IF($F811="",IFERROR(INDEX(Items!$G$5:$G$504,Q811),0),$F811)),"")</f>
        <v/>
      </c>
      <c r="K811" s="61" t="str">
        <f aca="false">IF(IsPro,IF($D811="","",ROUND(N($E811)*J811*(1-N($G811)),2)),"")</f>
        <v/>
      </c>
      <c r="L811" s="62" t="str">
        <f aca="false">IF(IsPro,IF($D811="","",IFERROR(INDEX(Items!$F$5:$F$504,Q811),0)),"")</f>
        <v/>
      </c>
      <c r="M811" s="61" t="str">
        <f aca="false">IF(IsPro,IF($D811="","",IF(AND(R811&lt;&gt;"",INDEX(Parties!$E$5:$E$304,R811)&lt;&gt;"",INDEX(Parties!$E$5:$E$304,R811)&lt;&gt;HomeState),0,ROUND(K811*L811/2,2))),"")</f>
        <v/>
      </c>
      <c r="N811" s="61" t="str">
        <f aca="false">IF(IsPro,IF($D811="","",M811),"")</f>
        <v/>
      </c>
      <c r="O811" s="61" t="str">
        <f aca="false">IF(IsPro,IF($D811="","",IF(AND(R811&lt;&gt;"",INDEX(Parties!$E$5:$E$304,R811)&lt;&gt;"",INDEX(Parties!$E$5:$E$304,R811)&lt;&gt;HomeState),ROUND(K811*L811,2),0)),"")</f>
        <v/>
      </c>
      <c r="P811" s="61" t="str">
        <f aca="false">IF(IsPro,IF($D811="","",K811+M811+N811+O811),"")</f>
        <v/>
      </c>
      <c r="Q811" s="60" t="str">
        <f aca="false">IF(IsPro,IF($D811="","",IFERROR(MATCH($D811,Items!$A$5:$A$504,0),"")),"")</f>
        <v/>
      </c>
      <c r="R811" s="60" t="str">
        <f aca="false">IF(IsPro,IF($C811="","",IFERROR(MATCH($C811,Parties!$A$5:$A$304,0),"")),"")</f>
        <v/>
      </c>
      <c r="S811" s="61" t="str">
        <f aca="false">IF(IsPro,IF($D811="","",IF(OR($H811="",$H811="Credit"),0,P811)),"")</f>
        <v/>
      </c>
    </row>
    <row r="812" customFormat="false" ht="15" hidden="false" customHeight="false" outlineLevel="0" collapsed="false">
      <c r="A812" s="55"/>
      <c r="B812" s="56"/>
      <c r="C812" s="56"/>
      <c r="D812" s="56"/>
      <c r="E812" s="57"/>
      <c r="F812" s="58"/>
      <c r="G812" s="59"/>
      <c r="H812" s="56"/>
      <c r="I812" s="60" t="str">
        <f aca="false">IF(IsPro,IF($D812="","",IFERROR(INDEX(Items!$D$5:$D$504,Q812),"")),IF($D812="","","PRO PLAN"))</f>
        <v/>
      </c>
      <c r="J812" s="61" t="str">
        <f aca="false">IF(IsPro,IF($D812="","",IF($F812="",IFERROR(INDEX(Items!$G$5:$G$504,Q812),0),$F812)),"")</f>
        <v/>
      </c>
      <c r="K812" s="61" t="str">
        <f aca="false">IF(IsPro,IF($D812="","",ROUND(N($E812)*J812*(1-N($G812)),2)),"")</f>
        <v/>
      </c>
      <c r="L812" s="62" t="str">
        <f aca="false">IF(IsPro,IF($D812="","",IFERROR(INDEX(Items!$F$5:$F$504,Q812),0)),"")</f>
        <v/>
      </c>
      <c r="M812" s="61" t="str">
        <f aca="false">IF(IsPro,IF($D812="","",IF(AND(R812&lt;&gt;"",INDEX(Parties!$E$5:$E$304,R812)&lt;&gt;"",INDEX(Parties!$E$5:$E$304,R812)&lt;&gt;HomeState),0,ROUND(K812*L812/2,2))),"")</f>
        <v/>
      </c>
      <c r="N812" s="61" t="str">
        <f aca="false">IF(IsPro,IF($D812="","",M812),"")</f>
        <v/>
      </c>
      <c r="O812" s="61" t="str">
        <f aca="false">IF(IsPro,IF($D812="","",IF(AND(R812&lt;&gt;"",INDEX(Parties!$E$5:$E$304,R812)&lt;&gt;"",INDEX(Parties!$E$5:$E$304,R812)&lt;&gt;HomeState),ROUND(K812*L812,2),0)),"")</f>
        <v/>
      </c>
      <c r="P812" s="61" t="str">
        <f aca="false">IF(IsPro,IF($D812="","",K812+M812+N812+O812),"")</f>
        <v/>
      </c>
      <c r="Q812" s="60" t="str">
        <f aca="false">IF(IsPro,IF($D812="","",IFERROR(MATCH($D812,Items!$A$5:$A$504,0),"")),"")</f>
        <v/>
      </c>
      <c r="R812" s="60" t="str">
        <f aca="false">IF(IsPro,IF($C812="","",IFERROR(MATCH($C812,Parties!$A$5:$A$304,0),"")),"")</f>
        <v/>
      </c>
      <c r="S812" s="61" t="str">
        <f aca="false">IF(IsPro,IF($D812="","",IF(OR($H812="",$H812="Credit"),0,P812)),"")</f>
        <v/>
      </c>
    </row>
    <row r="813" customFormat="false" ht="15" hidden="false" customHeight="false" outlineLevel="0" collapsed="false">
      <c r="A813" s="55"/>
      <c r="B813" s="56"/>
      <c r="C813" s="56"/>
      <c r="D813" s="56"/>
      <c r="E813" s="57"/>
      <c r="F813" s="58"/>
      <c r="G813" s="59"/>
      <c r="H813" s="56"/>
      <c r="I813" s="60" t="str">
        <f aca="false">IF(IsPro,IF($D813="","",IFERROR(INDEX(Items!$D$5:$D$504,Q813),"")),IF($D813="","","PRO PLAN"))</f>
        <v/>
      </c>
      <c r="J813" s="61" t="str">
        <f aca="false">IF(IsPro,IF($D813="","",IF($F813="",IFERROR(INDEX(Items!$G$5:$G$504,Q813),0),$F813)),"")</f>
        <v/>
      </c>
      <c r="K813" s="61" t="str">
        <f aca="false">IF(IsPro,IF($D813="","",ROUND(N($E813)*J813*(1-N($G813)),2)),"")</f>
        <v/>
      </c>
      <c r="L813" s="62" t="str">
        <f aca="false">IF(IsPro,IF($D813="","",IFERROR(INDEX(Items!$F$5:$F$504,Q813),0)),"")</f>
        <v/>
      </c>
      <c r="M813" s="61" t="str">
        <f aca="false">IF(IsPro,IF($D813="","",IF(AND(R813&lt;&gt;"",INDEX(Parties!$E$5:$E$304,R813)&lt;&gt;"",INDEX(Parties!$E$5:$E$304,R813)&lt;&gt;HomeState),0,ROUND(K813*L813/2,2))),"")</f>
        <v/>
      </c>
      <c r="N813" s="61" t="str">
        <f aca="false">IF(IsPro,IF($D813="","",M813),"")</f>
        <v/>
      </c>
      <c r="O813" s="61" t="str">
        <f aca="false">IF(IsPro,IF($D813="","",IF(AND(R813&lt;&gt;"",INDEX(Parties!$E$5:$E$304,R813)&lt;&gt;"",INDEX(Parties!$E$5:$E$304,R813)&lt;&gt;HomeState),ROUND(K813*L813,2),0)),"")</f>
        <v/>
      </c>
      <c r="P813" s="61" t="str">
        <f aca="false">IF(IsPro,IF($D813="","",K813+M813+N813+O813),"")</f>
        <v/>
      </c>
      <c r="Q813" s="60" t="str">
        <f aca="false">IF(IsPro,IF($D813="","",IFERROR(MATCH($D813,Items!$A$5:$A$504,0),"")),"")</f>
        <v/>
      </c>
      <c r="R813" s="60" t="str">
        <f aca="false">IF(IsPro,IF($C813="","",IFERROR(MATCH($C813,Parties!$A$5:$A$304,0),"")),"")</f>
        <v/>
      </c>
      <c r="S813" s="61" t="str">
        <f aca="false">IF(IsPro,IF($D813="","",IF(OR($H813="",$H813="Credit"),0,P813)),"")</f>
        <v/>
      </c>
    </row>
    <row r="814" customFormat="false" ht="15" hidden="false" customHeight="false" outlineLevel="0" collapsed="false">
      <c r="A814" s="55"/>
      <c r="B814" s="56"/>
      <c r="C814" s="56"/>
      <c r="D814" s="56"/>
      <c r="E814" s="57"/>
      <c r="F814" s="58"/>
      <c r="G814" s="59"/>
      <c r="H814" s="56"/>
      <c r="I814" s="60" t="str">
        <f aca="false">IF(IsPro,IF($D814="","",IFERROR(INDEX(Items!$D$5:$D$504,Q814),"")),IF($D814="","","PRO PLAN"))</f>
        <v/>
      </c>
      <c r="J814" s="61" t="str">
        <f aca="false">IF(IsPro,IF($D814="","",IF($F814="",IFERROR(INDEX(Items!$G$5:$G$504,Q814),0),$F814)),"")</f>
        <v/>
      </c>
      <c r="K814" s="61" t="str">
        <f aca="false">IF(IsPro,IF($D814="","",ROUND(N($E814)*J814*(1-N($G814)),2)),"")</f>
        <v/>
      </c>
      <c r="L814" s="62" t="str">
        <f aca="false">IF(IsPro,IF($D814="","",IFERROR(INDEX(Items!$F$5:$F$504,Q814),0)),"")</f>
        <v/>
      </c>
      <c r="M814" s="61" t="str">
        <f aca="false">IF(IsPro,IF($D814="","",IF(AND(R814&lt;&gt;"",INDEX(Parties!$E$5:$E$304,R814)&lt;&gt;"",INDEX(Parties!$E$5:$E$304,R814)&lt;&gt;HomeState),0,ROUND(K814*L814/2,2))),"")</f>
        <v/>
      </c>
      <c r="N814" s="61" t="str">
        <f aca="false">IF(IsPro,IF($D814="","",M814),"")</f>
        <v/>
      </c>
      <c r="O814" s="61" t="str">
        <f aca="false">IF(IsPro,IF($D814="","",IF(AND(R814&lt;&gt;"",INDEX(Parties!$E$5:$E$304,R814)&lt;&gt;"",INDEX(Parties!$E$5:$E$304,R814)&lt;&gt;HomeState),ROUND(K814*L814,2),0)),"")</f>
        <v/>
      </c>
      <c r="P814" s="61" t="str">
        <f aca="false">IF(IsPro,IF($D814="","",K814+M814+N814+O814),"")</f>
        <v/>
      </c>
      <c r="Q814" s="60" t="str">
        <f aca="false">IF(IsPro,IF($D814="","",IFERROR(MATCH($D814,Items!$A$5:$A$504,0),"")),"")</f>
        <v/>
      </c>
      <c r="R814" s="60" t="str">
        <f aca="false">IF(IsPro,IF($C814="","",IFERROR(MATCH($C814,Parties!$A$5:$A$304,0),"")),"")</f>
        <v/>
      </c>
      <c r="S814" s="61" t="str">
        <f aca="false">IF(IsPro,IF($D814="","",IF(OR($H814="",$H814="Credit"),0,P814)),"")</f>
        <v/>
      </c>
    </row>
    <row r="815" customFormat="false" ht="15" hidden="false" customHeight="false" outlineLevel="0" collapsed="false">
      <c r="A815" s="55"/>
      <c r="B815" s="56"/>
      <c r="C815" s="56"/>
      <c r="D815" s="56"/>
      <c r="E815" s="57"/>
      <c r="F815" s="58"/>
      <c r="G815" s="59"/>
      <c r="H815" s="56"/>
      <c r="I815" s="60" t="str">
        <f aca="false">IF(IsPro,IF($D815="","",IFERROR(INDEX(Items!$D$5:$D$504,Q815),"")),IF($D815="","","PRO PLAN"))</f>
        <v/>
      </c>
      <c r="J815" s="61" t="str">
        <f aca="false">IF(IsPro,IF($D815="","",IF($F815="",IFERROR(INDEX(Items!$G$5:$G$504,Q815),0),$F815)),"")</f>
        <v/>
      </c>
      <c r="K815" s="61" t="str">
        <f aca="false">IF(IsPro,IF($D815="","",ROUND(N($E815)*J815*(1-N($G815)),2)),"")</f>
        <v/>
      </c>
      <c r="L815" s="62" t="str">
        <f aca="false">IF(IsPro,IF($D815="","",IFERROR(INDEX(Items!$F$5:$F$504,Q815),0)),"")</f>
        <v/>
      </c>
      <c r="M815" s="61" t="str">
        <f aca="false">IF(IsPro,IF($D815="","",IF(AND(R815&lt;&gt;"",INDEX(Parties!$E$5:$E$304,R815)&lt;&gt;"",INDEX(Parties!$E$5:$E$304,R815)&lt;&gt;HomeState),0,ROUND(K815*L815/2,2))),"")</f>
        <v/>
      </c>
      <c r="N815" s="61" t="str">
        <f aca="false">IF(IsPro,IF($D815="","",M815),"")</f>
        <v/>
      </c>
      <c r="O815" s="61" t="str">
        <f aca="false">IF(IsPro,IF($D815="","",IF(AND(R815&lt;&gt;"",INDEX(Parties!$E$5:$E$304,R815)&lt;&gt;"",INDEX(Parties!$E$5:$E$304,R815)&lt;&gt;HomeState),ROUND(K815*L815,2),0)),"")</f>
        <v/>
      </c>
      <c r="P815" s="61" t="str">
        <f aca="false">IF(IsPro,IF($D815="","",K815+M815+N815+O815),"")</f>
        <v/>
      </c>
      <c r="Q815" s="60" t="str">
        <f aca="false">IF(IsPro,IF($D815="","",IFERROR(MATCH($D815,Items!$A$5:$A$504,0),"")),"")</f>
        <v/>
      </c>
      <c r="R815" s="60" t="str">
        <f aca="false">IF(IsPro,IF($C815="","",IFERROR(MATCH($C815,Parties!$A$5:$A$304,0),"")),"")</f>
        <v/>
      </c>
      <c r="S815" s="61" t="str">
        <f aca="false">IF(IsPro,IF($D815="","",IF(OR($H815="",$H815="Credit"),0,P815)),"")</f>
        <v/>
      </c>
    </row>
    <row r="816" customFormat="false" ht="15" hidden="false" customHeight="false" outlineLevel="0" collapsed="false">
      <c r="A816" s="55"/>
      <c r="B816" s="56"/>
      <c r="C816" s="56"/>
      <c r="D816" s="56"/>
      <c r="E816" s="57"/>
      <c r="F816" s="58"/>
      <c r="G816" s="59"/>
      <c r="H816" s="56"/>
      <c r="I816" s="60" t="str">
        <f aca="false">IF(IsPro,IF($D816="","",IFERROR(INDEX(Items!$D$5:$D$504,Q816),"")),IF($D816="","","PRO PLAN"))</f>
        <v/>
      </c>
      <c r="J816" s="61" t="str">
        <f aca="false">IF(IsPro,IF($D816="","",IF($F816="",IFERROR(INDEX(Items!$G$5:$G$504,Q816),0),$F816)),"")</f>
        <v/>
      </c>
      <c r="K816" s="61" t="str">
        <f aca="false">IF(IsPro,IF($D816="","",ROUND(N($E816)*J816*(1-N($G816)),2)),"")</f>
        <v/>
      </c>
      <c r="L816" s="62" t="str">
        <f aca="false">IF(IsPro,IF($D816="","",IFERROR(INDEX(Items!$F$5:$F$504,Q816),0)),"")</f>
        <v/>
      </c>
      <c r="M816" s="61" t="str">
        <f aca="false">IF(IsPro,IF($D816="","",IF(AND(R816&lt;&gt;"",INDEX(Parties!$E$5:$E$304,R816)&lt;&gt;"",INDEX(Parties!$E$5:$E$304,R816)&lt;&gt;HomeState),0,ROUND(K816*L816/2,2))),"")</f>
        <v/>
      </c>
      <c r="N816" s="61" t="str">
        <f aca="false">IF(IsPro,IF($D816="","",M816),"")</f>
        <v/>
      </c>
      <c r="O816" s="61" t="str">
        <f aca="false">IF(IsPro,IF($D816="","",IF(AND(R816&lt;&gt;"",INDEX(Parties!$E$5:$E$304,R816)&lt;&gt;"",INDEX(Parties!$E$5:$E$304,R816)&lt;&gt;HomeState),ROUND(K816*L816,2),0)),"")</f>
        <v/>
      </c>
      <c r="P816" s="61" t="str">
        <f aca="false">IF(IsPro,IF($D816="","",K816+M816+N816+O816),"")</f>
        <v/>
      </c>
      <c r="Q816" s="60" t="str">
        <f aca="false">IF(IsPro,IF($D816="","",IFERROR(MATCH($D816,Items!$A$5:$A$504,0),"")),"")</f>
        <v/>
      </c>
      <c r="R816" s="60" t="str">
        <f aca="false">IF(IsPro,IF($C816="","",IFERROR(MATCH($C816,Parties!$A$5:$A$304,0),"")),"")</f>
        <v/>
      </c>
      <c r="S816" s="61" t="str">
        <f aca="false">IF(IsPro,IF($D816="","",IF(OR($H816="",$H816="Credit"),0,P816)),"")</f>
        <v/>
      </c>
    </row>
    <row r="817" customFormat="false" ht="15" hidden="false" customHeight="false" outlineLevel="0" collapsed="false">
      <c r="A817" s="55"/>
      <c r="B817" s="56"/>
      <c r="C817" s="56"/>
      <c r="D817" s="56"/>
      <c r="E817" s="57"/>
      <c r="F817" s="58"/>
      <c r="G817" s="59"/>
      <c r="H817" s="56"/>
      <c r="I817" s="60" t="str">
        <f aca="false">IF(IsPro,IF($D817="","",IFERROR(INDEX(Items!$D$5:$D$504,Q817),"")),IF($D817="","","PRO PLAN"))</f>
        <v/>
      </c>
      <c r="J817" s="61" t="str">
        <f aca="false">IF(IsPro,IF($D817="","",IF($F817="",IFERROR(INDEX(Items!$G$5:$G$504,Q817),0),$F817)),"")</f>
        <v/>
      </c>
      <c r="K817" s="61" t="str">
        <f aca="false">IF(IsPro,IF($D817="","",ROUND(N($E817)*J817*(1-N($G817)),2)),"")</f>
        <v/>
      </c>
      <c r="L817" s="62" t="str">
        <f aca="false">IF(IsPro,IF($D817="","",IFERROR(INDEX(Items!$F$5:$F$504,Q817),0)),"")</f>
        <v/>
      </c>
      <c r="M817" s="61" t="str">
        <f aca="false">IF(IsPro,IF($D817="","",IF(AND(R817&lt;&gt;"",INDEX(Parties!$E$5:$E$304,R817)&lt;&gt;"",INDEX(Parties!$E$5:$E$304,R817)&lt;&gt;HomeState),0,ROUND(K817*L817/2,2))),"")</f>
        <v/>
      </c>
      <c r="N817" s="61" t="str">
        <f aca="false">IF(IsPro,IF($D817="","",M817),"")</f>
        <v/>
      </c>
      <c r="O817" s="61" t="str">
        <f aca="false">IF(IsPro,IF($D817="","",IF(AND(R817&lt;&gt;"",INDEX(Parties!$E$5:$E$304,R817)&lt;&gt;"",INDEX(Parties!$E$5:$E$304,R817)&lt;&gt;HomeState),ROUND(K817*L817,2),0)),"")</f>
        <v/>
      </c>
      <c r="P817" s="61" t="str">
        <f aca="false">IF(IsPro,IF($D817="","",K817+M817+N817+O817),"")</f>
        <v/>
      </c>
      <c r="Q817" s="60" t="str">
        <f aca="false">IF(IsPro,IF($D817="","",IFERROR(MATCH($D817,Items!$A$5:$A$504,0),"")),"")</f>
        <v/>
      </c>
      <c r="R817" s="60" t="str">
        <f aca="false">IF(IsPro,IF($C817="","",IFERROR(MATCH($C817,Parties!$A$5:$A$304,0),"")),"")</f>
        <v/>
      </c>
      <c r="S817" s="61" t="str">
        <f aca="false">IF(IsPro,IF($D817="","",IF(OR($H817="",$H817="Credit"),0,P817)),"")</f>
        <v/>
      </c>
    </row>
    <row r="818" customFormat="false" ht="15" hidden="false" customHeight="false" outlineLevel="0" collapsed="false">
      <c r="A818" s="55"/>
      <c r="B818" s="56"/>
      <c r="C818" s="56"/>
      <c r="D818" s="56"/>
      <c r="E818" s="57"/>
      <c r="F818" s="58"/>
      <c r="G818" s="59"/>
      <c r="H818" s="56"/>
      <c r="I818" s="60" t="str">
        <f aca="false">IF(IsPro,IF($D818="","",IFERROR(INDEX(Items!$D$5:$D$504,Q818),"")),IF($D818="","","PRO PLAN"))</f>
        <v/>
      </c>
      <c r="J818" s="61" t="str">
        <f aca="false">IF(IsPro,IF($D818="","",IF($F818="",IFERROR(INDEX(Items!$G$5:$G$504,Q818),0),$F818)),"")</f>
        <v/>
      </c>
      <c r="K818" s="61" t="str">
        <f aca="false">IF(IsPro,IF($D818="","",ROUND(N($E818)*J818*(1-N($G818)),2)),"")</f>
        <v/>
      </c>
      <c r="L818" s="62" t="str">
        <f aca="false">IF(IsPro,IF($D818="","",IFERROR(INDEX(Items!$F$5:$F$504,Q818),0)),"")</f>
        <v/>
      </c>
      <c r="M818" s="61" t="str">
        <f aca="false">IF(IsPro,IF($D818="","",IF(AND(R818&lt;&gt;"",INDEX(Parties!$E$5:$E$304,R818)&lt;&gt;"",INDEX(Parties!$E$5:$E$304,R818)&lt;&gt;HomeState),0,ROUND(K818*L818/2,2))),"")</f>
        <v/>
      </c>
      <c r="N818" s="61" t="str">
        <f aca="false">IF(IsPro,IF($D818="","",M818),"")</f>
        <v/>
      </c>
      <c r="O818" s="61" t="str">
        <f aca="false">IF(IsPro,IF($D818="","",IF(AND(R818&lt;&gt;"",INDEX(Parties!$E$5:$E$304,R818)&lt;&gt;"",INDEX(Parties!$E$5:$E$304,R818)&lt;&gt;HomeState),ROUND(K818*L818,2),0)),"")</f>
        <v/>
      </c>
      <c r="P818" s="61" t="str">
        <f aca="false">IF(IsPro,IF($D818="","",K818+M818+N818+O818),"")</f>
        <v/>
      </c>
      <c r="Q818" s="60" t="str">
        <f aca="false">IF(IsPro,IF($D818="","",IFERROR(MATCH($D818,Items!$A$5:$A$504,0),"")),"")</f>
        <v/>
      </c>
      <c r="R818" s="60" t="str">
        <f aca="false">IF(IsPro,IF($C818="","",IFERROR(MATCH($C818,Parties!$A$5:$A$304,0),"")),"")</f>
        <v/>
      </c>
      <c r="S818" s="61" t="str">
        <f aca="false">IF(IsPro,IF($D818="","",IF(OR($H818="",$H818="Credit"),0,P818)),"")</f>
        <v/>
      </c>
    </row>
    <row r="819" customFormat="false" ht="15" hidden="false" customHeight="false" outlineLevel="0" collapsed="false">
      <c r="A819" s="55"/>
      <c r="B819" s="56"/>
      <c r="C819" s="56"/>
      <c r="D819" s="56"/>
      <c r="E819" s="57"/>
      <c r="F819" s="58"/>
      <c r="G819" s="59"/>
      <c r="H819" s="56"/>
      <c r="I819" s="60" t="str">
        <f aca="false">IF(IsPro,IF($D819="","",IFERROR(INDEX(Items!$D$5:$D$504,Q819),"")),IF($D819="","","PRO PLAN"))</f>
        <v/>
      </c>
      <c r="J819" s="61" t="str">
        <f aca="false">IF(IsPro,IF($D819="","",IF($F819="",IFERROR(INDEX(Items!$G$5:$G$504,Q819),0),$F819)),"")</f>
        <v/>
      </c>
      <c r="K819" s="61" t="str">
        <f aca="false">IF(IsPro,IF($D819="","",ROUND(N($E819)*J819*(1-N($G819)),2)),"")</f>
        <v/>
      </c>
      <c r="L819" s="62" t="str">
        <f aca="false">IF(IsPro,IF($D819="","",IFERROR(INDEX(Items!$F$5:$F$504,Q819),0)),"")</f>
        <v/>
      </c>
      <c r="M819" s="61" t="str">
        <f aca="false">IF(IsPro,IF($D819="","",IF(AND(R819&lt;&gt;"",INDEX(Parties!$E$5:$E$304,R819)&lt;&gt;"",INDEX(Parties!$E$5:$E$304,R819)&lt;&gt;HomeState),0,ROUND(K819*L819/2,2))),"")</f>
        <v/>
      </c>
      <c r="N819" s="61" t="str">
        <f aca="false">IF(IsPro,IF($D819="","",M819),"")</f>
        <v/>
      </c>
      <c r="O819" s="61" t="str">
        <f aca="false">IF(IsPro,IF($D819="","",IF(AND(R819&lt;&gt;"",INDEX(Parties!$E$5:$E$304,R819)&lt;&gt;"",INDEX(Parties!$E$5:$E$304,R819)&lt;&gt;HomeState),ROUND(K819*L819,2),0)),"")</f>
        <v/>
      </c>
      <c r="P819" s="61" t="str">
        <f aca="false">IF(IsPro,IF($D819="","",K819+M819+N819+O819),"")</f>
        <v/>
      </c>
      <c r="Q819" s="60" t="str">
        <f aca="false">IF(IsPro,IF($D819="","",IFERROR(MATCH($D819,Items!$A$5:$A$504,0),"")),"")</f>
        <v/>
      </c>
      <c r="R819" s="60" t="str">
        <f aca="false">IF(IsPro,IF($C819="","",IFERROR(MATCH($C819,Parties!$A$5:$A$304,0),"")),"")</f>
        <v/>
      </c>
      <c r="S819" s="61" t="str">
        <f aca="false">IF(IsPro,IF($D819="","",IF(OR($H819="",$H819="Credit"),0,P819)),"")</f>
        <v/>
      </c>
    </row>
    <row r="820" customFormat="false" ht="15" hidden="false" customHeight="false" outlineLevel="0" collapsed="false">
      <c r="A820" s="55"/>
      <c r="B820" s="56"/>
      <c r="C820" s="56"/>
      <c r="D820" s="56"/>
      <c r="E820" s="57"/>
      <c r="F820" s="58"/>
      <c r="G820" s="59"/>
      <c r="H820" s="56"/>
      <c r="I820" s="60" t="str">
        <f aca="false">IF(IsPro,IF($D820="","",IFERROR(INDEX(Items!$D$5:$D$504,Q820),"")),IF($D820="","","PRO PLAN"))</f>
        <v/>
      </c>
      <c r="J820" s="61" t="str">
        <f aca="false">IF(IsPro,IF($D820="","",IF($F820="",IFERROR(INDEX(Items!$G$5:$G$504,Q820),0),$F820)),"")</f>
        <v/>
      </c>
      <c r="K820" s="61" t="str">
        <f aca="false">IF(IsPro,IF($D820="","",ROUND(N($E820)*J820*(1-N($G820)),2)),"")</f>
        <v/>
      </c>
      <c r="L820" s="62" t="str">
        <f aca="false">IF(IsPro,IF($D820="","",IFERROR(INDEX(Items!$F$5:$F$504,Q820),0)),"")</f>
        <v/>
      </c>
      <c r="M820" s="61" t="str">
        <f aca="false">IF(IsPro,IF($D820="","",IF(AND(R820&lt;&gt;"",INDEX(Parties!$E$5:$E$304,R820)&lt;&gt;"",INDEX(Parties!$E$5:$E$304,R820)&lt;&gt;HomeState),0,ROUND(K820*L820/2,2))),"")</f>
        <v/>
      </c>
      <c r="N820" s="61" t="str">
        <f aca="false">IF(IsPro,IF($D820="","",M820),"")</f>
        <v/>
      </c>
      <c r="O820" s="61" t="str">
        <f aca="false">IF(IsPro,IF($D820="","",IF(AND(R820&lt;&gt;"",INDEX(Parties!$E$5:$E$304,R820)&lt;&gt;"",INDEX(Parties!$E$5:$E$304,R820)&lt;&gt;HomeState),ROUND(K820*L820,2),0)),"")</f>
        <v/>
      </c>
      <c r="P820" s="61" t="str">
        <f aca="false">IF(IsPro,IF($D820="","",K820+M820+N820+O820),"")</f>
        <v/>
      </c>
      <c r="Q820" s="60" t="str">
        <f aca="false">IF(IsPro,IF($D820="","",IFERROR(MATCH($D820,Items!$A$5:$A$504,0),"")),"")</f>
        <v/>
      </c>
      <c r="R820" s="60" t="str">
        <f aca="false">IF(IsPro,IF($C820="","",IFERROR(MATCH($C820,Parties!$A$5:$A$304,0),"")),"")</f>
        <v/>
      </c>
      <c r="S820" s="61" t="str">
        <f aca="false">IF(IsPro,IF($D820="","",IF(OR($H820="",$H820="Credit"),0,P820)),"")</f>
        <v/>
      </c>
    </row>
    <row r="821" customFormat="false" ht="15" hidden="false" customHeight="false" outlineLevel="0" collapsed="false">
      <c r="A821" s="55"/>
      <c r="B821" s="56"/>
      <c r="C821" s="56"/>
      <c r="D821" s="56"/>
      <c r="E821" s="57"/>
      <c r="F821" s="58"/>
      <c r="G821" s="59"/>
      <c r="H821" s="56"/>
      <c r="I821" s="60" t="str">
        <f aca="false">IF(IsPro,IF($D821="","",IFERROR(INDEX(Items!$D$5:$D$504,Q821),"")),IF($D821="","","PRO PLAN"))</f>
        <v/>
      </c>
      <c r="J821" s="61" t="str">
        <f aca="false">IF(IsPro,IF($D821="","",IF($F821="",IFERROR(INDEX(Items!$G$5:$G$504,Q821),0),$F821)),"")</f>
        <v/>
      </c>
      <c r="K821" s="61" t="str">
        <f aca="false">IF(IsPro,IF($D821="","",ROUND(N($E821)*J821*(1-N($G821)),2)),"")</f>
        <v/>
      </c>
      <c r="L821" s="62" t="str">
        <f aca="false">IF(IsPro,IF($D821="","",IFERROR(INDEX(Items!$F$5:$F$504,Q821),0)),"")</f>
        <v/>
      </c>
      <c r="M821" s="61" t="str">
        <f aca="false">IF(IsPro,IF($D821="","",IF(AND(R821&lt;&gt;"",INDEX(Parties!$E$5:$E$304,R821)&lt;&gt;"",INDEX(Parties!$E$5:$E$304,R821)&lt;&gt;HomeState),0,ROUND(K821*L821/2,2))),"")</f>
        <v/>
      </c>
      <c r="N821" s="61" t="str">
        <f aca="false">IF(IsPro,IF($D821="","",M821),"")</f>
        <v/>
      </c>
      <c r="O821" s="61" t="str">
        <f aca="false">IF(IsPro,IF($D821="","",IF(AND(R821&lt;&gt;"",INDEX(Parties!$E$5:$E$304,R821)&lt;&gt;"",INDEX(Parties!$E$5:$E$304,R821)&lt;&gt;HomeState),ROUND(K821*L821,2),0)),"")</f>
        <v/>
      </c>
      <c r="P821" s="61" t="str">
        <f aca="false">IF(IsPro,IF($D821="","",K821+M821+N821+O821),"")</f>
        <v/>
      </c>
      <c r="Q821" s="60" t="str">
        <f aca="false">IF(IsPro,IF($D821="","",IFERROR(MATCH($D821,Items!$A$5:$A$504,0),"")),"")</f>
        <v/>
      </c>
      <c r="R821" s="60" t="str">
        <f aca="false">IF(IsPro,IF($C821="","",IFERROR(MATCH($C821,Parties!$A$5:$A$304,0),"")),"")</f>
        <v/>
      </c>
      <c r="S821" s="61" t="str">
        <f aca="false">IF(IsPro,IF($D821="","",IF(OR($H821="",$H821="Credit"),0,P821)),"")</f>
        <v/>
      </c>
    </row>
    <row r="822" customFormat="false" ht="15" hidden="false" customHeight="false" outlineLevel="0" collapsed="false">
      <c r="A822" s="55"/>
      <c r="B822" s="56"/>
      <c r="C822" s="56"/>
      <c r="D822" s="56"/>
      <c r="E822" s="57"/>
      <c r="F822" s="58"/>
      <c r="G822" s="59"/>
      <c r="H822" s="56"/>
      <c r="I822" s="60" t="str">
        <f aca="false">IF(IsPro,IF($D822="","",IFERROR(INDEX(Items!$D$5:$D$504,Q822),"")),IF($D822="","","PRO PLAN"))</f>
        <v/>
      </c>
      <c r="J822" s="61" t="str">
        <f aca="false">IF(IsPro,IF($D822="","",IF($F822="",IFERROR(INDEX(Items!$G$5:$G$504,Q822),0),$F822)),"")</f>
        <v/>
      </c>
      <c r="K822" s="61" t="str">
        <f aca="false">IF(IsPro,IF($D822="","",ROUND(N($E822)*J822*(1-N($G822)),2)),"")</f>
        <v/>
      </c>
      <c r="L822" s="62" t="str">
        <f aca="false">IF(IsPro,IF($D822="","",IFERROR(INDEX(Items!$F$5:$F$504,Q822),0)),"")</f>
        <v/>
      </c>
      <c r="M822" s="61" t="str">
        <f aca="false">IF(IsPro,IF($D822="","",IF(AND(R822&lt;&gt;"",INDEX(Parties!$E$5:$E$304,R822)&lt;&gt;"",INDEX(Parties!$E$5:$E$304,R822)&lt;&gt;HomeState),0,ROUND(K822*L822/2,2))),"")</f>
        <v/>
      </c>
      <c r="N822" s="61" t="str">
        <f aca="false">IF(IsPro,IF($D822="","",M822),"")</f>
        <v/>
      </c>
      <c r="O822" s="61" t="str">
        <f aca="false">IF(IsPro,IF($D822="","",IF(AND(R822&lt;&gt;"",INDEX(Parties!$E$5:$E$304,R822)&lt;&gt;"",INDEX(Parties!$E$5:$E$304,R822)&lt;&gt;HomeState),ROUND(K822*L822,2),0)),"")</f>
        <v/>
      </c>
      <c r="P822" s="61" t="str">
        <f aca="false">IF(IsPro,IF($D822="","",K822+M822+N822+O822),"")</f>
        <v/>
      </c>
      <c r="Q822" s="60" t="str">
        <f aca="false">IF(IsPro,IF($D822="","",IFERROR(MATCH($D822,Items!$A$5:$A$504,0),"")),"")</f>
        <v/>
      </c>
      <c r="R822" s="60" t="str">
        <f aca="false">IF(IsPro,IF($C822="","",IFERROR(MATCH($C822,Parties!$A$5:$A$304,0),"")),"")</f>
        <v/>
      </c>
      <c r="S822" s="61" t="str">
        <f aca="false">IF(IsPro,IF($D822="","",IF(OR($H822="",$H822="Credit"),0,P822)),"")</f>
        <v/>
      </c>
    </row>
    <row r="823" customFormat="false" ht="15" hidden="false" customHeight="false" outlineLevel="0" collapsed="false">
      <c r="A823" s="55"/>
      <c r="B823" s="56"/>
      <c r="C823" s="56"/>
      <c r="D823" s="56"/>
      <c r="E823" s="57"/>
      <c r="F823" s="58"/>
      <c r="G823" s="59"/>
      <c r="H823" s="56"/>
      <c r="I823" s="60" t="str">
        <f aca="false">IF(IsPro,IF($D823="","",IFERROR(INDEX(Items!$D$5:$D$504,Q823),"")),IF($D823="","","PRO PLAN"))</f>
        <v/>
      </c>
      <c r="J823" s="61" t="str">
        <f aca="false">IF(IsPro,IF($D823="","",IF($F823="",IFERROR(INDEX(Items!$G$5:$G$504,Q823),0),$F823)),"")</f>
        <v/>
      </c>
      <c r="K823" s="61" t="str">
        <f aca="false">IF(IsPro,IF($D823="","",ROUND(N($E823)*J823*(1-N($G823)),2)),"")</f>
        <v/>
      </c>
      <c r="L823" s="62" t="str">
        <f aca="false">IF(IsPro,IF($D823="","",IFERROR(INDEX(Items!$F$5:$F$504,Q823),0)),"")</f>
        <v/>
      </c>
      <c r="M823" s="61" t="str">
        <f aca="false">IF(IsPro,IF($D823="","",IF(AND(R823&lt;&gt;"",INDEX(Parties!$E$5:$E$304,R823)&lt;&gt;"",INDEX(Parties!$E$5:$E$304,R823)&lt;&gt;HomeState),0,ROUND(K823*L823/2,2))),"")</f>
        <v/>
      </c>
      <c r="N823" s="61" t="str">
        <f aca="false">IF(IsPro,IF($D823="","",M823),"")</f>
        <v/>
      </c>
      <c r="O823" s="61" t="str">
        <f aca="false">IF(IsPro,IF($D823="","",IF(AND(R823&lt;&gt;"",INDEX(Parties!$E$5:$E$304,R823)&lt;&gt;"",INDEX(Parties!$E$5:$E$304,R823)&lt;&gt;HomeState),ROUND(K823*L823,2),0)),"")</f>
        <v/>
      </c>
      <c r="P823" s="61" t="str">
        <f aca="false">IF(IsPro,IF($D823="","",K823+M823+N823+O823),"")</f>
        <v/>
      </c>
      <c r="Q823" s="60" t="str">
        <f aca="false">IF(IsPro,IF($D823="","",IFERROR(MATCH($D823,Items!$A$5:$A$504,0),"")),"")</f>
        <v/>
      </c>
      <c r="R823" s="60" t="str">
        <f aca="false">IF(IsPro,IF($C823="","",IFERROR(MATCH($C823,Parties!$A$5:$A$304,0),"")),"")</f>
        <v/>
      </c>
      <c r="S823" s="61" t="str">
        <f aca="false">IF(IsPro,IF($D823="","",IF(OR($H823="",$H823="Credit"),0,P823)),"")</f>
        <v/>
      </c>
    </row>
    <row r="824" customFormat="false" ht="15" hidden="false" customHeight="false" outlineLevel="0" collapsed="false">
      <c r="A824" s="55"/>
      <c r="B824" s="56"/>
      <c r="C824" s="56"/>
      <c r="D824" s="56"/>
      <c r="E824" s="57"/>
      <c r="F824" s="58"/>
      <c r="G824" s="59"/>
      <c r="H824" s="56"/>
      <c r="I824" s="60" t="str">
        <f aca="false">IF(IsPro,IF($D824="","",IFERROR(INDEX(Items!$D$5:$D$504,Q824),"")),IF($D824="","","PRO PLAN"))</f>
        <v/>
      </c>
      <c r="J824" s="61" t="str">
        <f aca="false">IF(IsPro,IF($D824="","",IF($F824="",IFERROR(INDEX(Items!$G$5:$G$504,Q824),0),$F824)),"")</f>
        <v/>
      </c>
      <c r="K824" s="61" t="str">
        <f aca="false">IF(IsPro,IF($D824="","",ROUND(N($E824)*J824*(1-N($G824)),2)),"")</f>
        <v/>
      </c>
      <c r="L824" s="62" t="str">
        <f aca="false">IF(IsPro,IF($D824="","",IFERROR(INDEX(Items!$F$5:$F$504,Q824),0)),"")</f>
        <v/>
      </c>
      <c r="M824" s="61" t="str">
        <f aca="false">IF(IsPro,IF($D824="","",IF(AND(R824&lt;&gt;"",INDEX(Parties!$E$5:$E$304,R824)&lt;&gt;"",INDEX(Parties!$E$5:$E$304,R824)&lt;&gt;HomeState),0,ROUND(K824*L824/2,2))),"")</f>
        <v/>
      </c>
      <c r="N824" s="61" t="str">
        <f aca="false">IF(IsPro,IF($D824="","",M824),"")</f>
        <v/>
      </c>
      <c r="O824" s="61" t="str">
        <f aca="false">IF(IsPro,IF($D824="","",IF(AND(R824&lt;&gt;"",INDEX(Parties!$E$5:$E$304,R824)&lt;&gt;"",INDEX(Parties!$E$5:$E$304,R824)&lt;&gt;HomeState),ROUND(K824*L824,2),0)),"")</f>
        <v/>
      </c>
      <c r="P824" s="61" t="str">
        <f aca="false">IF(IsPro,IF($D824="","",K824+M824+N824+O824),"")</f>
        <v/>
      </c>
      <c r="Q824" s="60" t="str">
        <f aca="false">IF(IsPro,IF($D824="","",IFERROR(MATCH($D824,Items!$A$5:$A$504,0),"")),"")</f>
        <v/>
      </c>
      <c r="R824" s="60" t="str">
        <f aca="false">IF(IsPro,IF($C824="","",IFERROR(MATCH($C824,Parties!$A$5:$A$304,0),"")),"")</f>
        <v/>
      </c>
      <c r="S824" s="61" t="str">
        <f aca="false">IF(IsPro,IF($D824="","",IF(OR($H824="",$H824="Credit"),0,P824)),"")</f>
        <v/>
      </c>
    </row>
    <row r="825" customFormat="false" ht="15" hidden="false" customHeight="false" outlineLevel="0" collapsed="false">
      <c r="A825" s="55"/>
      <c r="B825" s="56"/>
      <c r="C825" s="56"/>
      <c r="D825" s="56"/>
      <c r="E825" s="57"/>
      <c r="F825" s="58"/>
      <c r="G825" s="59"/>
      <c r="H825" s="56"/>
      <c r="I825" s="60" t="str">
        <f aca="false">IF(IsPro,IF($D825="","",IFERROR(INDEX(Items!$D$5:$D$504,Q825),"")),IF($D825="","","PRO PLAN"))</f>
        <v/>
      </c>
      <c r="J825" s="61" t="str">
        <f aca="false">IF(IsPro,IF($D825="","",IF($F825="",IFERROR(INDEX(Items!$G$5:$G$504,Q825),0),$F825)),"")</f>
        <v/>
      </c>
      <c r="K825" s="61" t="str">
        <f aca="false">IF(IsPro,IF($D825="","",ROUND(N($E825)*J825*(1-N($G825)),2)),"")</f>
        <v/>
      </c>
      <c r="L825" s="62" t="str">
        <f aca="false">IF(IsPro,IF($D825="","",IFERROR(INDEX(Items!$F$5:$F$504,Q825),0)),"")</f>
        <v/>
      </c>
      <c r="M825" s="61" t="str">
        <f aca="false">IF(IsPro,IF($D825="","",IF(AND(R825&lt;&gt;"",INDEX(Parties!$E$5:$E$304,R825)&lt;&gt;"",INDEX(Parties!$E$5:$E$304,R825)&lt;&gt;HomeState),0,ROUND(K825*L825/2,2))),"")</f>
        <v/>
      </c>
      <c r="N825" s="61" t="str">
        <f aca="false">IF(IsPro,IF($D825="","",M825),"")</f>
        <v/>
      </c>
      <c r="O825" s="61" t="str">
        <f aca="false">IF(IsPro,IF($D825="","",IF(AND(R825&lt;&gt;"",INDEX(Parties!$E$5:$E$304,R825)&lt;&gt;"",INDEX(Parties!$E$5:$E$304,R825)&lt;&gt;HomeState),ROUND(K825*L825,2),0)),"")</f>
        <v/>
      </c>
      <c r="P825" s="61" t="str">
        <f aca="false">IF(IsPro,IF($D825="","",K825+M825+N825+O825),"")</f>
        <v/>
      </c>
      <c r="Q825" s="60" t="str">
        <f aca="false">IF(IsPro,IF($D825="","",IFERROR(MATCH($D825,Items!$A$5:$A$504,0),"")),"")</f>
        <v/>
      </c>
      <c r="R825" s="60" t="str">
        <f aca="false">IF(IsPro,IF($C825="","",IFERROR(MATCH($C825,Parties!$A$5:$A$304,0),"")),"")</f>
        <v/>
      </c>
      <c r="S825" s="61" t="str">
        <f aca="false">IF(IsPro,IF($D825="","",IF(OR($H825="",$H825="Credit"),0,P825)),"")</f>
        <v/>
      </c>
    </row>
    <row r="826" customFormat="false" ht="15" hidden="false" customHeight="false" outlineLevel="0" collapsed="false">
      <c r="A826" s="55"/>
      <c r="B826" s="56"/>
      <c r="C826" s="56"/>
      <c r="D826" s="56"/>
      <c r="E826" s="57"/>
      <c r="F826" s="58"/>
      <c r="G826" s="59"/>
      <c r="H826" s="56"/>
      <c r="I826" s="60" t="str">
        <f aca="false">IF(IsPro,IF($D826="","",IFERROR(INDEX(Items!$D$5:$D$504,Q826),"")),IF($D826="","","PRO PLAN"))</f>
        <v/>
      </c>
      <c r="J826" s="61" t="str">
        <f aca="false">IF(IsPro,IF($D826="","",IF($F826="",IFERROR(INDEX(Items!$G$5:$G$504,Q826),0),$F826)),"")</f>
        <v/>
      </c>
      <c r="K826" s="61" t="str">
        <f aca="false">IF(IsPro,IF($D826="","",ROUND(N($E826)*J826*(1-N($G826)),2)),"")</f>
        <v/>
      </c>
      <c r="L826" s="62" t="str">
        <f aca="false">IF(IsPro,IF($D826="","",IFERROR(INDEX(Items!$F$5:$F$504,Q826),0)),"")</f>
        <v/>
      </c>
      <c r="M826" s="61" t="str">
        <f aca="false">IF(IsPro,IF($D826="","",IF(AND(R826&lt;&gt;"",INDEX(Parties!$E$5:$E$304,R826)&lt;&gt;"",INDEX(Parties!$E$5:$E$304,R826)&lt;&gt;HomeState),0,ROUND(K826*L826/2,2))),"")</f>
        <v/>
      </c>
      <c r="N826" s="61" t="str">
        <f aca="false">IF(IsPro,IF($D826="","",M826),"")</f>
        <v/>
      </c>
      <c r="O826" s="61" t="str">
        <f aca="false">IF(IsPro,IF($D826="","",IF(AND(R826&lt;&gt;"",INDEX(Parties!$E$5:$E$304,R826)&lt;&gt;"",INDEX(Parties!$E$5:$E$304,R826)&lt;&gt;HomeState),ROUND(K826*L826,2),0)),"")</f>
        <v/>
      </c>
      <c r="P826" s="61" t="str">
        <f aca="false">IF(IsPro,IF($D826="","",K826+M826+N826+O826),"")</f>
        <v/>
      </c>
      <c r="Q826" s="60" t="str">
        <f aca="false">IF(IsPro,IF($D826="","",IFERROR(MATCH($D826,Items!$A$5:$A$504,0),"")),"")</f>
        <v/>
      </c>
      <c r="R826" s="60" t="str">
        <f aca="false">IF(IsPro,IF($C826="","",IFERROR(MATCH($C826,Parties!$A$5:$A$304,0),"")),"")</f>
        <v/>
      </c>
      <c r="S826" s="61" t="str">
        <f aca="false">IF(IsPro,IF($D826="","",IF(OR($H826="",$H826="Credit"),0,P826)),"")</f>
        <v/>
      </c>
    </row>
    <row r="827" customFormat="false" ht="15" hidden="false" customHeight="false" outlineLevel="0" collapsed="false">
      <c r="A827" s="55"/>
      <c r="B827" s="56"/>
      <c r="C827" s="56"/>
      <c r="D827" s="56"/>
      <c r="E827" s="57"/>
      <c r="F827" s="58"/>
      <c r="G827" s="59"/>
      <c r="H827" s="56"/>
      <c r="I827" s="60" t="str">
        <f aca="false">IF(IsPro,IF($D827="","",IFERROR(INDEX(Items!$D$5:$D$504,Q827),"")),IF($D827="","","PRO PLAN"))</f>
        <v/>
      </c>
      <c r="J827" s="61" t="str">
        <f aca="false">IF(IsPro,IF($D827="","",IF($F827="",IFERROR(INDEX(Items!$G$5:$G$504,Q827),0),$F827)),"")</f>
        <v/>
      </c>
      <c r="K827" s="61" t="str">
        <f aca="false">IF(IsPro,IF($D827="","",ROUND(N($E827)*J827*(1-N($G827)),2)),"")</f>
        <v/>
      </c>
      <c r="L827" s="62" t="str">
        <f aca="false">IF(IsPro,IF($D827="","",IFERROR(INDEX(Items!$F$5:$F$504,Q827),0)),"")</f>
        <v/>
      </c>
      <c r="M827" s="61" t="str">
        <f aca="false">IF(IsPro,IF($D827="","",IF(AND(R827&lt;&gt;"",INDEX(Parties!$E$5:$E$304,R827)&lt;&gt;"",INDEX(Parties!$E$5:$E$304,R827)&lt;&gt;HomeState),0,ROUND(K827*L827/2,2))),"")</f>
        <v/>
      </c>
      <c r="N827" s="61" t="str">
        <f aca="false">IF(IsPro,IF($D827="","",M827),"")</f>
        <v/>
      </c>
      <c r="O827" s="61" t="str">
        <f aca="false">IF(IsPro,IF($D827="","",IF(AND(R827&lt;&gt;"",INDEX(Parties!$E$5:$E$304,R827)&lt;&gt;"",INDEX(Parties!$E$5:$E$304,R827)&lt;&gt;HomeState),ROUND(K827*L827,2),0)),"")</f>
        <v/>
      </c>
      <c r="P827" s="61" t="str">
        <f aca="false">IF(IsPro,IF($D827="","",K827+M827+N827+O827),"")</f>
        <v/>
      </c>
      <c r="Q827" s="60" t="str">
        <f aca="false">IF(IsPro,IF($D827="","",IFERROR(MATCH($D827,Items!$A$5:$A$504,0),"")),"")</f>
        <v/>
      </c>
      <c r="R827" s="60" t="str">
        <f aca="false">IF(IsPro,IF($C827="","",IFERROR(MATCH($C827,Parties!$A$5:$A$304,0),"")),"")</f>
        <v/>
      </c>
      <c r="S827" s="61" t="str">
        <f aca="false">IF(IsPro,IF($D827="","",IF(OR($H827="",$H827="Credit"),0,P827)),"")</f>
        <v/>
      </c>
    </row>
    <row r="828" customFormat="false" ht="15" hidden="false" customHeight="false" outlineLevel="0" collapsed="false">
      <c r="A828" s="55"/>
      <c r="B828" s="56"/>
      <c r="C828" s="56"/>
      <c r="D828" s="56"/>
      <c r="E828" s="57"/>
      <c r="F828" s="58"/>
      <c r="G828" s="59"/>
      <c r="H828" s="56"/>
      <c r="I828" s="60" t="str">
        <f aca="false">IF(IsPro,IF($D828="","",IFERROR(INDEX(Items!$D$5:$D$504,Q828),"")),IF($D828="","","PRO PLAN"))</f>
        <v/>
      </c>
      <c r="J828" s="61" t="str">
        <f aca="false">IF(IsPro,IF($D828="","",IF($F828="",IFERROR(INDEX(Items!$G$5:$G$504,Q828),0),$F828)),"")</f>
        <v/>
      </c>
      <c r="K828" s="61" t="str">
        <f aca="false">IF(IsPro,IF($D828="","",ROUND(N($E828)*J828*(1-N($G828)),2)),"")</f>
        <v/>
      </c>
      <c r="L828" s="62" t="str">
        <f aca="false">IF(IsPro,IF($D828="","",IFERROR(INDEX(Items!$F$5:$F$504,Q828),0)),"")</f>
        <v/>
      </c>
      <c r="M828" s="61" t="str">
        <f aca="false">IF(IsPro,IF($D828="","",IF(AND(R828&lt;&gt;"",INDEX(Parties!$E$5:$E$304,R828)&lt;&gt;"",INDEX(Parties!$E$5:$E$304,R828)&lt;&gt;HomeState),0,ROUND(K828*L828/2,2))),"")</f>
        <v/>
      </c>
      <c r="N828" s="61" t="str">
        <f aca="false">IF(IsPro,IF($D828="","",M828),"")</f>
        <v/>
      </c>
      <c r="O828" s="61" t="str">
        <f aca="false">IF(IsPro,IF($D828="","",IF(AND(R828&lt;&gt;"",INDEX(Parties!$E$5:$E$304,R828)&lt;&gt;"",INDEX(Parties!$E$5:$E$304,R828)&lt;&gt;HomeState),ROUND(K828*L828,2),0)),"")</f>
        <v/>
      </c>
      <c r="P828" s="61" t="str">
        <f aca="false">IF(IsPro,IF($D828="","",K828+M828+N828+O828),"")</f>
        <v/>
      </c>
      <c r="Q828" s="60" t="str">
        <f aca="false">IF(IsPro,IF($D828="","",IFERROR(MATCH($D828,Items!$A$5:$A$504,0),"")),"")</f>
        <v/>
      </c>
      <c r="R828" s="60" t="str">
        <f aca="false">IF(IsPro,IF($C828="","",IFERROR(MATCH($C828,Parties!$A$5:$A$304,0),"")),"")</f>
        <v/>
      </c>
      <c r="S828" s="61" t="str">
        <f aca="false">IF(IsPro,IF($D828="","",IF(OR($H828="",$H828="Credit"),0,P828)),"")</f>
        <v/>
      </c>
    </row>
    <row r="829" customFormat="false" ht="15" hidden="false" customHeight="false" outlineLevel="0" collapsed="false">
      <c r="A829" s="55"/>
      <c r="B829" s="56"/>
      <c r="C829" s="56"/>
      <c r="D829" s="56"/>
      <c r="E829" s="57"/>
      <c r="F829" s="58"/>
      <c r="G829" s="59"/>
      <c r="H829" s="56"/>
      <c r="I829" s="60" t="str">
        <f aca="false">IF(IsPro,IF($D829="","",IFERROR(INDEX(Items!$D$5:$D$504,Q829),"")),IF($D829="","","PRO PLAN"))</f>
        <v/>
      </c>
      <c r="J829" s="61" t="str">
        <f aca="false">IF(IsPro,IF($D829="","",IF($F829="",IFERROR(INDEX(Items!$G$5:$G$504,Q829),0),$F829)),"")</f>
        <v/>
      </c>
      <c r="K829" s="61" t="str">
        <f aca="false">IF(IsPro,IF($D829="","",ROUND(N($E829)*J829*(1-N($G829)),2)),"")</f>
        <v/>
      </c>
      <c r="L829" s="62" t="str">
        <f aca="false">IF(IsPro,IF($D829="","",IFERROR(INDEX(Items!$F$5:$F$504,Q829),0)),"")</f>
        <v/>
      </c>
      <c r="M829" s="61" t="str">
        <f aca="false">IF(IsPro,IF($D829="","",IF(AND(R829&lt;&gt;"",INDEX(Parties!$E$5:$E$304,R829)&lt;&gt;"",INDEX(Parties!$E$5:$E$304,R829)&lt;&gt;HomeState),0,ROUND(K829*L829/2,2))),"")</f>
        <v/>
      </c>
      <c r="N829" s="61" t="str">
        <f aca="false">IF(IsPro,IF($D829="","",M829),"")</f>
        <v/>
      </c>
      <c r="O829" s="61" t="str">
        <f aca="false">IF(IsPro,IF($D829="","",IF(AND(R829&lt;&gt;"",INDEX(Parties!$E$5:$E$304,R829)&lt;&gt;"",INDEX(Parties!$E$5:$E$304,R829)&lt;&gt;HomeState),ROUND(K829*L829,2),0)),"")</f>
        <v/>
      </c>
      <c r="P829" s="61" t="str">
        <f aca="false">IF(IsPro,IF($D829="","",K829+M829+N829+O829),"")</f>
        <v/>
      </c>
      <c r="Q829" s="60" t="str">
        <f aca="false">IF(IsPro,IF($D829="","",IFERROR(MATCH($D829,Items!$A$5:$A$504,0),"")),"")</f>
        <v/>
      </c>
      <c r="R829" s="60" t="str">
        <f aca="false">IF(IsPro,IF($C829="","",IFERROR(MATCH($C829,Parties!$A$5:$A$304,0),"")),"")</f>
        <v/>
      </c>
      <c r="S829" s="61" t="str">
        <f aca="false">IF(IsPro,IF($D829="","",IF(OR($H829="",$H829="Credit"),0,P829)),"")</f>
        <v/>
      </c>
    </row>
    <row r="830" customFormat="false" ht="15" hidden="false" customHeight="false" outlineLevel="0" collapsed="false">
      <c r="A830" s="55"/>
      <c r="B830" s="56"/>
      <c r="C830" s="56"/>
      <c r="D830" s="56"/>
      <c r="E830" s="57"/>
      <c r="F830" s="58"/>
      <c r="G830" s="59"/>
      <c r="H830" s="56"/>
      <c r="I830" s="60" t="str">
        <f aca="false">IF(IsPro,IF($D830="","",IFERROR(INDEX(Items!$D$5:$D$504,Q830),"")),IF($D830="","","PRO PLAN"))</f>
        <v/>
      </c>
      <c r="J830" s="61" t="str">
        <f aca="false">IF(IsPro,IF($D830="","",IF($F830="",IFERROR(INDEX(Items!$G$5:$G$504,Q830),0),$F830)),"")</f>
        <v/>
      </c>
      <c r="K830" s="61" t="str">
        <f aca="false">IF(IsPro,IF($D830="","",ROUND(N($E830)*J830*(1-N($G830)),2)),"")</f>
        <v/>
      </c>
      <c r="L830" s="62" t="str">
        <f aca="false">IF(IsPro,IF($D830="","",IFERROR(INDEX(Items!$F$5:$F$504,Q830),0)),"")</f>
        <v/>
      </c>
      <c r="M830" s="61" t="str">
        <f aca="false">IF(IsPro,IF($D830="","",IF(AND(R830&lt;&gt;"",INDEX(Parties!$E$5:$E$304,R830)&lt;&gt;"",INDEX(Parties!$E$5:$E$304,R830)&lt;&gt;HomeState),0,ROUND(K830*L830/2,2))),"")</f>
        <v/>
      </c>
      <c r="N830" s="61" t="str">
        <f aca="false">IF(IsPro,IF($D830="","",M830),"")</f>
        <v/>
      </c>
      <c r="O830" s="61" t="str">
        <f aca="false">IF(IsPro,IF($D830="","",IF(AND(R830&lt;&gt;"",INDEX(Parties!$E$5:$E$304,R830)&lt;&gt;"",INDEX(Parties!$E$5:$E$304,R830)&lt;&gt;HomeState),ROUND(K830*L830,2),0)),"")</f>
        <v/>
      </c>
      <c r="P830" s="61" t="str">
        <f aca="false">IF(IsPro,IF($D830="","",K830+M830+N830+O830),"")</f>
        <v/>
      </c>
      <c r="Q830" s="60" t="str">
        <f aca="false">IF(IsPro,IF($D830="","",IFERROR(MATCH($D830,Items!$A$5:$A$504,0),"")),"")</f>
        <v/>
      </c>
      <c r="R830" s="60" t="str">
        <f aca="false">IF(IsPro,IF($C830="","",IFERROR(MATCH($C830,Parties!$A$5:$A$304,0),"")),"")</f>
        <v/>
      </c>
      <c r="S830" s="61" t="str">
        <f aca="false">IF(IsPro,IF($D830="","",IF(OR($H830="",$H830="Credit"),0,P830)),"")</f>
        <v/>
      </c>
    </row>
    <row r="831" customFormat="false" ht="15" hidden="false" customHeight="false" outlineLevel="0" collapsed="false">
      <c r="A831" s="55"/>
      <c r="B831" s="56"/>
      <c r="C831" s="56"/>
      <c r="D831" s="56"/>
      <c r="E831" s="57"/>
      <c r="F831" s="58"/>
      <c r="G831" s="59"/>
      <c r="H831" s="56"/>
      <c r="I831" s="60" t="str">
        <f aca="false">IF(IsPro,IF($D831="","",IFERROR(INDEX(Items!$D$5:$D$504,Q831),"")),IF($D831="","","PRO PLAN"))</f>
        <v/>
      </c>
      <c r="J831" s="61" t="str">
        <f aca="false">IF(IsPro,IF($D831="","",IF($F831="",IFERROR(INDEX(Items!$G$5:$G$504,Q831),0),$F831)),"")</f>
        <v/>
      </c>
      <c r="K831" s="61" t="str">
        <f aca="false">IF(IsPro,IF($D831="","",ROUND(N($E831)*J831*(1-N($G831)),2)),"")</f>
        <v/>
      </c>
      <c r="L831" s="62" t="str">
        <f aca="false">IF(IsPro,IF($D831="","",IFERROR(INDEX(Items!$F$5:$F$504,Q831),0)),"")</f>
        <v/>
      </c>
      <c r="M831" s="61" t="str">
        <f aca="false">IF(IsPro,IF($D831="","",IF(AND(R831&lt;&gt;"",INDEX(Parties!$E$5:$E$304,R831)&lt;&gt;"",INDEX(Parties!$E$5:$E$304,R831)&lt;&gt;HomeState),0,ROUND(K831*L831/2,2))),"")</f>
        <v/>
      </c>
      <c r="N831" s="61" t="str">
        <f aca="false">IF(IsPro,IF($D831="","",M831),"")</f>
        <v/>
      </c>
      <c r="O831" s="61" t="str">
        <f aca="false">IF(IsPro,IF($D831="","",IF(AND(R831&lt;&gt;"",INDEX(Parties!$E$5:$E$304,R831)&lt;&gt;"",INDEX(Parties!$E$5:$E$304,R831)&lt;&gt;HomeState),ROUND(K831*L831,2),0)),"")</f>
        <v/>
      </c>
      <c r="P831" s="61" t="str">
        <f aca="false">IF(IsPro,IF($D831="","",K831+M831+N831+O831),"")</f>
        <v/>
      </c>
      <c r="Q831" s="60" t="str">
        <f aca="false">IF(IsPro,IF($D831="","",IFERROR(MATCH($D831,Items!$A$5:$A$504,0),"")),"")</f>
        <v/>
      </c>
      <c r="R831" s="60" t="str">
        <f aca="false">IF(IsPro,IF($C831="","",IFERROR(MATCH($C831,Parties!$A$5:$A$304,0),"")),"")</f>
        <v/>
      </c>
      <c r="S831" s="61" t="str">
        <f aca="false">IF(IsPro,IF($D831="","",IF(OR($H831="",$H831="Credit"),0,P831)),"")</f>
        <v/>
      </c>
    </row>
    <row r="832" customFormat="false" ht="15" hidden="false" customHeight="false" outlineLevel="0" collapsed="false">
      <c r="A832" s="55"/>
      <c r="B832" s="56"/>
      <c r="C832" s="56"/>
      <c r="D832" s="56"/>
      <c r="E832" s="57"/>
      <c r="F832" s="58"/>
      <c r="G832" s="59"/>
      <c r="H832" s="56"/>
      <c r="I832" s="60" t="str">
        <f aca="false">IF(IsPro,IF($D832="","",IFERROR(INDEX(Items!$D$5:$D$504,Q832),"")),IF($D832="","","PRO PLAN"))</f>
        <v/>
      </c>
      <c r="J832" s="61" t="str">
        <f aca="false">IF(IsPro,IF($D832="","",IF($F832="",IFERROR(INDEX(Items!$G$5:$G$504,Q832),0),$F832)),"")</f>
        <v/>
      </c>
      <c r="K832" s="61" t="str">
        <f aca="false">IF(IsPro,IF($D832="","",ROUND(N($E832)*J832*(1-N($G832)),2)),"")</f>
        <v/>
      </c>
      <c r="L832" s="62" t="str">
        <f aca="false">IF(IsPro,IF($D832="","",IFERROR(INDEX(Items!$F$5:$F$504,Q832),0)),"")</f>
        <v/>
      </c>
      <c r="M832" s="61" t="str">
        <f aca="false">IF(IsPro,IF($D832="","",IF(AND(R832&lt;&gt;"",INDEX(Parties!$E$5:$E$304,R832)&lt;&gt;"",INDEX(Parties!$E$5:$E$304,R832)&lt;&gt;HomeState),0,ROUND(K832*L832/2,2))),"")</f>
        <v/>
      </c>
      <c r="N832" s="61" t="str">
        <f aca="false">IF(IsPro,IF($D832="","",M832),"")</f>
        <v/>
      </c>
      <c r="O832" s="61" t="str">
        <f aca="false">IF(IsPro,IF($D832="","",IF(AND(R832&lt;&gt;"",INDEX(Parties!$E$5:$E$304,R832)&lt;&gt;"",INDEX(Parties!$E$5:$E$304,R832)&lt;&gt;HomeState),ROUND(K832*L832,2),0)),"")</f>
        <v/>
      </c>
      <c r="P832" s="61" t="str">
        <f aca="false">IF(IsPro,IF($D832="","",K832+M832+N832+O832),"")</f>
        <v/>
      </c>
      <c r="Q832" s="60" t="str">
        <f aca="false">IF(IsPro,IF($D832="","",IFERROR(MATCH($D832,Items!$A$5:$A$504,0),"")),"")</f>
        <v/>
      </c>
      <c r="R832" s="60" t="str">
        <f aca="false">IF(IsPro,IF($C832="","",IFERROR(MATCH($C832,Parties!$A$5:$A$304,0),"")),"")</f>
        <v/>
      </c>
      <c r="S832" s="61" t="str">
        <f aca="false">IF(IsPro,IF($D832="","",IF(OR($H832="",$H832="Credit"),0,P832)),"")</f>
        <v/>
      </c>
    </row>
    <row r="833" customFormat="false" ht="15" hidden="false" customHeight="false" outlineLevel="0" collapsed="false">
      <c r="A833" s="55"/>
      <c r="B833" s="56"/>
      <c r="C833" s="56"/>
      <c r="D833" s="56"/>
      <c r="E833" s="57"/>
      <c r="F833" s="58"/>
      <c r="G833" s="59"/>
      <c r="H833" s="56"/>
      <c r="I833" s="60" t="str">
        <f aca="false">IF(IsPro,IF($D833="","",IFERROR(INDEX(Items!$D$5:$D$504,Q833),"")),IF($D833="","","PRO PLAN"))</f>
        <v/>
      </c>
      <c r="J833" s="61" t="str">
        <f aca="false">IF(IsPro,IF($D833="","",IF($F833="",IFERROR(INDEX(Items!$G$5:$G$504,Q833),0),$F833)),"")</f>
        <v/>
      </c>
      <c r="K833" s="61" t="str">
        <f aca="false">IF(IsPro,IF($D833="","",ROUND(N($E833)*J833*(1-N($G833)),2)),"")</f>
        <v/>
      </c>
      <c r="L833" s="62" t="str">
        <f aca="false">IF(IsPro,IF($D833="","",IFERROR(INDEX(Items!$F$5:$F$504,Q833),0)),"")</f>
        <v/>
      </c>
      <c r="M833" s="61" t="str">
        <f aca="false">IF(IsPro,IF($D833="","",IF(AND(R833&lt;&gt;"",INDEX(Parties!$E$5:$E$304,R833)&lt;&gt;"",INDEX(Parties!$E$5:$E$304,R833)&lt;&gt;HomeState),0,ROUND(K833*L833/2,2))),"")</f>
        <v/>
      </c>
      <c r="N833" s="61" t="str">
        <f aca="false">IF(IsPro,IF($D833="","",M833),"")</f>
        <v/>
      </c>
      <c r="O833" s="61" t="str">
        <f aca="false">IF(IsPro,IF($D833="","",IF(AND(R833&lt;&gt;"",INDEX(Parties!$E$5:$E$304,R833)&lt;&gt;"",INDEX(Parties!$E$5:$E$304,R833)&lt;&gt;HomeState),ROUND(K833*L833,2),0)),"")</f>
        <v/>
      </c>
      <c r="P833" s="61" t="str">
        <f aca="false">IF(IsPro,IF($D833="","",K833+M833+N833+O833),"")</f>
        <v/>
      </c>
      <c r="Q833" s="60" t="str">
        <f aca="false">IF(IsPro,IF($D833="","",IFERROR(MATCH($D833,Items!$A$5:$A$504,0),"")),"")</f>
        <v/>
      </c>
      <c r="R833" s="60" t="str">
        <f aca="false">IF(IsPro,IF($C833="","",IFERROR(MATCH($C833,Parties!$A$5:$A$304,0),"")),"")</f>
        <v/>
      </c>
      <c r="S833" s="61" t="str">
        <f aca="false">IF(IsPro,IF($D833="","",IF(OR($H833="",$H833="Credit"),0,P833)),"")</f>
        <v/>
      </c>
    </row>
    <row r="834" customFormat="false" ht="15" hidden="false" customHeight="false" outlineLevel="0" collapsed="false">
      <c r="A834" s="55"/>
      <c r="B834" s="56"/>
      <c r="C834" s="56"/>
      <c r="D834" s="56"/>
      <c r="E834" s="57"/>
      <c r="F834" s="58"/>
      <c r="G834" s="59"/>
      <c r="H834" s="56"/>
      <c r="I834" s="60" t="str">
        <f aca="false">IF(IsPro,IF($D834="","",IFERROR(INDEX(Items!$D$5:$D$504,Q834),"")),IF($D834="","","PRO PLAN"))</f>
        <v/>
      </c>
      <c r="J834" s="61" t="str">
        <f aca="false">IF(IsPro,IF($D834="","",IF($F834="",IFERROR(INDEX(Items!$G$5:$G$504,Q834),0),$F834)),"")</f>
        <v/>
      </c>
      <c r="K834" s="61" t="str">
        <f aca="false">IF(IsPro,IF($D834="","",ROUND(N($E834)*J834*(1-N($G834)),2)),"")</f>
        <v/>
      </c>
      <c r="L834" s="62" t="str">
        <f aca="false">IF(IsPro,IF($D834="","",IFERROR(INDEX(Items!$F$5:$F$504,Q834),0)),"")</f>
        <v/>
      </c>
      <c r="M834" s="61" t="str">
        <f aca="false">IF(IsPro,IF($D834="","",IF(AND(R834&lt;&gt;"",INDEX(Parties!$E$5:$E$304,R834)&lt;&gt;"",INDEX(Parties!$E$5:$E$304,R834)&lt;&gt;HomeState),0,ROUND(K834*L834/2,2))),"")</f>
        <v/>
      </c>
      <c r="N834" s="61" t="str">
        <f aca="false">IF(IsPro,IF($D834="","",M834),"")</f>
        <v/>
      </c>
      <c r="O834" s="61" t="str">
        <f aca="false">IF(IsPro,IF($D834="","",IF(AND(R834&lt;&gt;"",INDEX(Parties!$E$5:$E$304,R834)&lt;&gt;"",INDEX(Parties!$E$5:$E$304,R834)&lt;&gt;HomeState),ROUND(K834*L834,2),0)),"")</f>
        <v/>
      </c>
      <c r="P834" s="61" t="str">
        <f aca="false">IF(IsPro,IF($D834="","",K834+M834+N834+O834),"")</f>
        <v/>
      </c>
      <c r="Q834" s="60" t="str">
        <f aca="false">IF(IsPro,IF($D834="","",IFERROR(MATCH($D834,Items!$A$5:$A$504,0),"")),"")</f>
        <v/>
      </c>
      <c r="R834" s="60" t="str">
        <f aca="false">IF(IsPro,IF($C834="","",IFERROR(MATCH($C834,Parties!$A$5:$A$304,0),"")),"")</f>
        <v/>
      </c>
      <c r="S834" s="61" t="str">
        <f aca="false">IF(IsPro,IF($D834="","",IF(OR($H834="",$H834="Credit"),0,P834)),"")</f>
        <v/>
      </c>
    </row>
    <row r="835" customFormat="false" ht="15" hidden="false" customHeight="false" outlineLevel="0" collapsed="false">
      <c r="A835" s="55"/>
      <c r="B835" s="56"/>
      <c r="C835" s="56"/>
      <c r="D835" s="56"/>
      <c r="E835" s="57"/>
      <c r="F835" s="58"/>
      <c r="G835" s="59"/>
      <c r="H835" s="56"/>
      <c r="I835" s="60" t="str">
        <f aca="false">IF(IsPro,IF($D835="","",IFERROR(INDEX(Items!$D$5:$D$504,Q835),"")),IF($D835="","","PRO PLAN"))</f>
        <v/>
      </c>
      <c r="J835" s="61" t="str">
        <f aca="false">IF(IsPro,IF($D835="","",IF($F835="",IFERROR(INDEX(Items!$G$5:$G$504,Q835),0),$F835)),"")</f>
        <v/>
      </c>
      <c r="K835" s="61" t="str">
        <f aca="false">IF(IsPro,IF($D835="","",ROUND(N($E835)*J835*(1-N($G835)),2)),"")</f>
        <v/>
      </c>
      <c r="L835" s="62" t="str">
        <f aca="false">IF(IsPro,IF($D835="","",IFERROR(INDEX(Items!$F$5:$F$504,Q835),0)),"")</f>
        <v/>
      </c>
      <c r="M835" s="61" t="str">
        <f aca="false">IF(IsPro,IF($D835="","",IF(AND(R835&lt;&gt;"",INDEX(Parties!$E$5:$E$304,R835)&lt;&gt;"",INDEX(Parties!$E$5:$E$304,R835)&lt;&gt;HomeState),0,ROUND(K835*L835/2,2))),"")</f>
        <v/>
      </c>
      <c r="N835" s="61" t="str">
        <f aca="false">IF(IsPro,IF($D835="","",M835),"")</f>
        <v/>
      </c>
      <c r="O835" s="61" t="str">
        <f aca="false">IF(IsPro,IF($D835="","",IF(AND(R835&lt;&gt;"",INDEX(Parties!$E$5:$E$304,R835)&lt;&gt;"",INDEX(Parties!$E$5:$E$304,R835)&lt;&gt;HomeState),ROUND(K835*L835,2),0)),"")</f>
        <v/>
      </c>
      <c r="P835" s="61" t="str">
        <f aca="false">IF(IsPro,IF($D835="","",K835+M835+N835+O835),"")</f>
        <v/>
      </c>
      <c r="Q835" s="60" t="str">
        <f aca="false">IF(IsPro,IF($D835="","",IFERROR(MATCH($D835,Items!$A$5:$A$504,0),"")),"")</f>
        <v/>
      </c>
      <c r="R835" s="60" t="str">
        <f aca="false">IF(IsPro,IF($C835="","",IFERROR(MATCH($C835,Parties!$A$5:$A$304,0),"")),"")</f>
        <v/>
      </c>
      <c r="S835" s="61" t="str">
        <f aca="false">IF(IsPro,IF($D835="","",IF(OR($H835="",$H835="Credit"),0,P835)),"")</f>
        <v/>
      </c>
    </row>
    <row r="836" customFormat="false" ht="15" hidden="false" customHeight="false" outlineLevel="0" collapsed="false">
      <c r="A836" s="55"/>
      <c r="B836" s="56"/>
      <c r="C836" s="56"/>
      <c r="D836" s="56"/>
      <c r="E836" s="57"/>
      <c r="F836" s="58"/>
      <c r="G836" s="59"/>
      <c r="H836" s="56"/>
      <c r="I836" s="60" t="str">
        <f aca="false">IF(IsPro,IF($D836="","",IFERROR(INDEX(Items!$D$5:$D$504,Q836),"")),IF($D836="","","PRO PLAN"))</f>
        <v/>
      </c>
      <c r="J836" s="61" t="str">
        <f aca="false">IF(IsPro,IF($D836="","",IF($F836="",IFERROR(INDEX(Items!$G$5:$G$504,Q836),0),$F836)),"")</f>
        <v/>
      </c>
      <c r="K836" s="61" t="str">
        <f aca="false">IF(IsPro,IF($D836="","",ROUND(N($E836)*J836*(1-N($G836)),2)),"")</f>
        <v/>
      </c>
      <c r="L836" s="62" t="str">
        <f aca="false">IF(IsPro,IF($D836="","",IFERROR(INDEX(Items!$F$5:$F$504,Q836),0)),"")</f>
        <v/>
      </c>
      <c r="M836" s="61" t="str">
        <f aca="false">IF(IsPro,IF($D836="","",IF(AND(R836&lt;&gt;"",INDEX(Parties!$E$5:$E$304,R836)&lt;&gt;"",INDEX(Parties!$E$5:$E$304,R836)&lt;&gt;HomeState),0,ROUND(K836*L836/2,2))),"")</f>
        <v/>
      </c>
      <c r="N836" s="61" t="str">
        <f aca="false">IF(IsPro,IF($D836="","",M836),"")</f>
        <v/>
      </c>
      <c r="O836" s="61" t="str">
        <f aca="false">IF(IsPro,IF($D836="","",IF(AND(R836&lt;&gt;"",INDEX(Parties!$E$5:$E$304,R836)&lt;&gt;"",INDEX(Parties!$E$5:$E$304,R836)&lt;&gt;HomeState),ROUND(K836*L836,2),0)),"")</f>
        <v/>
      </c>
      <c r="P836" s="61" t="str">
        <f aca="false">IF(IsPro,IF($D836="","",K836+M836+N836+O836),"")</f>
        <v/>
      </c>
      <c r="Q836" s="60" t="str">
        <f aca="false">IF(IsPro,IF($D836="","",IFERROR(MATCH($D836,Items!$A$5:$A$504,0),"")),"")</f>
        <v/>
      </c>
      <c r="R836" s="60" t="str">
        <f aca="false">IF(IsPro,IF($C836="","",IFERROR(MATCH($C836,Parties!$A$5:$A$304,0),"")),"")</f>
        <v/>
      </c>
      <c r="S836" s="61" t="str">
        <f aca="false">IF(IsPro,IF($D836="","",IF(OR($H836="",$H836="Credit"),0,P836)),"")</f>
        <v/>
      </c>
    </row>
    <row r="837" customFormat="false" ht="15" hidden="false" customHeight="false" outlineLevel="0" collapsed="false">
      <c r="A837" s="55"/>
      <c r="B837" s="56"/>
      <c r="C837" s="56"/>
      <c r="D837" s="56"/>
      <c r="E837" s="57"/>
      <c r="F837" s="58"/>
      <c r="G837" s="59"/>
      <c r="H837" s="56"/>
      <c r="I837" s="60" t="str">
        <f aca="false">IF(IsPro,IF($D837="","",IFERROR(INDEX(Items!$D$5:$D$504,Q837),"")),IF($D837="","","PRO PLAN"))</f>
        <v/>
      </c>
      <c r="J837" s="61" t="str">
        <f aca="false">IF(IsPro,IF($D837="","",IF($F837="",IFERROR(INDEX(Items!$G$5:$G$504,Q837),0),$F837)),"")</f>
        <v/>
      </c>
      <c r="K837" s="61" t="str">
        <f aca="false">IF(IsPro,IF($D837="","",ROUND(N($E837)*J837*(1-N($G837)),2)),"")</f>
        <v/>
      </c>
      <c r="L837" s="62" t="str">
        <f aca="false">IF(IsPro,IF($D837="","",IFERROR(INDEX(Items!$F$5:$F$504,Q837),0)),"")</f>
        <v/>
      </c>
      <c r="M837" s="61" t="str">
        <f aca="false">IF(IsPro,IF($D837="","",IF(AND(R837&lt;&gt;"",INDEX(Parties!$E$5:$E$304,R837)&lt;&gt;"",INDEX(Parties!$E$5:$E$304,R837)&lt;&gt;HomeState),0,ROUND(K837*L837/2,2))),"")</f>
        <v/>
      </c>
      <c r="N837" s="61" t="str">
        <f aca="false">IF(IsPro,IF($D837="","",M837),"")</f>
        <v/>
      </c>
      <c r="O837" s="61" t="str">
        <f aca="false">IF(IsPro,IF($D837="","",IF(AND(R837&lt;&gt;"",INDEX(Parties!$E$5:$E$304,R837)&lt;&gt;"",INDEX(Parties!$E$5:$E$304,R837)&lt;&gt;HomeState),ROUND(K837*L837,2),0)),"")</f>
        <v/>
      </c>
      <c r="P837" s="61" t="str">
        <f aca="false">IF(IsPro,IF($D837="","",K837+M837+N837+O837),"")</f>
        <v/>
      </c>
      <c r="Q837" s="60" t="str">
        <f aca="false">IF(IsPro,IF($D837="","",IFERROR(MATCH($D837,Items!$A$5:$A$504,0),"")),"")</f>
        <v/>
      </c>
      <c r="R837" s="60" t="str">
        <f aca="false">IF(IsPro,IF($C837="","",IFERROR(MATCH($C837,Parties!$A$5:$A$304,0),"")),"")</f>
        <v/>
      </c>
      <c r="S837" s="61" t="str">
        <f aca="false">IF(IsPro,IF($D837="","",IF(OR($H837="",$H837="Credit"),0,P837)),"")</f>
        <v/>
      </c>
    </row>
    <row r="838" customFormat="false" ht="15" hidden="false" customHeight="false" outlineLevel="0" collapsed="false">
      <c r="A838" s="55"/>
      <c r="B838" s="56"/>
      <c r="C838" s="56"/>
      <c r="D838" s="56"/>
      <c r="E838" s="57"/>
      <c r="F838" s="58"/>
      <c r="G838" s="59"/>
      <c r="H838" s="56"/>
      <c r="I838" s="60" t="str">
        <f aca="false">IF(IsPro,IF($D838="","",IFERROR(INDEX(Items!$D$5:$D$504,Q838),"")),IF($D838="","","PRO PLAN"))</f>
        <v/>
      </c>
      <c r="J838" s="61" t="str">
        <f aca="false">IF(IsPro,IF($D838="","",IF($F838="",IFERROR(INDEX(Items!$G$5:$G$504,Q838),0),$F838)),"")</f>
        <v/>
      </c>
      <c r="K838" s="61" t="str">
        <f aca="false">IF(IsPro,IF($D838="","",ROUND(N($E838)*J838*(1-N($G838)),2)),"")</f>
        <v/>
      </c>
      <c r="L838" s="62" t="str">
        <f aca="false">IF(IsPro,IF($D838="","",IFERROR(INDEX(Items!$F$5:$F$504,Q838),0)),"")</f>
        <v/>
      </c>
      <c r="M838" s="61" t="str">
        <f aca="false">IF(IsPro,IF($D838="","",IF(AND(R838&lt;&gt;"",INDEX(Parties!$E$5:$E$304,R838)&lt;&gt;"",INDEX(Parties!$E$5:$E$304,R838)&lt;&gt;HomeState),0,ROUND(K838*L838/2,2))),"")</f>
        <v/>
      </c>
      <c r="N838" s="61" t="str">
        <f aca="false">IF(IsPro,IF($D838="","",M838),"")</f>
        <v/>
      </c>
      <c r="O838" s="61" t="str">
        <f aca="false">IF(IsPro,IF($D838="","",IF(AND(R838&lt;&gt;"",INDEX(Parties!$E$5:$E$304,R838)&lt;&gt;"",INDEX(Parties!$E$5:$E$304,R838)&lt;&gt;HomeState),ROUND(K838*L838,2),0)),"")</f>
        <v/>
      </c>
      <c r="P838" s="61" t="str">
        <f aca="false">IF(IsPro,IF($D838="","",K838+M838+N838+O838),"")</f>
        <v/>
      </c>
      <c r="Q838" s="60" t="str">
        <f aca="false">IF(IsPro,IF($D838="","",IFERROR(MATCH($D838,Items!$A$5:$A$504,0),"")),"")</f>
        <v/>
      </c>
      <c r="R838" s="60" t="str">
        <f aca="false">IF(IsPro,IF($C838="","",IFERROR(MATCH($C838,Parties!$A$5:$A$304,0),"")),"")</f>
        <v/>
      </c>
      <c r="S838" s="61" t="str">
        <f aca="false">IF(IsPro,IF($D838="","",IF(OR($H838="",$H838="Credit"),0,P838)),"")</f>
        <v/>
      </c>
    </row>
    <row r="839" customFormat="false" ht="15" hidden="false" customHeight="false" outlineLevel="0" collapsed="false">
      <c r="A839" s="55"/>
      <c r="B839" s="56"/>
      <c r="C839" s="56"/>
      <c r="D839" s="56"/>
      <c r="E839" s="57"/>
      <c r="F839" s="58"/>
      <c r="G839" s="59"/>
      <c r="H839" s="56"/>
      <c r="I839" s="60" t="str">
        <f aca="false">IF(IsPro,IF($D839="","",IFERROR(INDEX(Items!$D$5:$D$504,Q839),"")),IF($D839="","","PRO PLAN"))</f>
        <v/>
      </c>
      <c r="J839" s="61" t="str">
        <f aca="false">IF(IsPro,IF($D839="","",IF($F839="",IFERROR(INDEX(Items!$G$5:$G$504,Q839),0),$F839)),"")</f>
        <v/>
      </c>
      <c r="K839" s="61" t="str">
        <f aca="false">IF(IsPro,IF($D839="","",ROUND(N($E839)*J839*(1-N($G839)),2)),"")</f>
        <v/>
      </c>
      <c r="L839" s="62" t="str">
        <f aca="false">IF(IsPro,IF($D839="","",IFERROR(INDEX(Items!$F$5:$F$504,Q839),0)),"")</f>
        <v/>
      </c>
      <c r="M839" s="61" t="str">
        <f aca="false">IF(IsPro,IF($D839="","",IF(AND(R839&lt;&gt;"",INDEX(Parties!$E$5:$E$304,R839)&lt;&gt;"",INDEX(Parties!$E$5:$E$304,R839)&lt;&gt;HomeState),0,ROUND(K839*L839/2,2))),"")</f>
        <v/>
      </c>
      <c r="N839" s="61" t="str">
        <f aca="false">IF(IsPro,IF($D839="","",M839),"")</f>
        <v/>
      </c>
      <c r="O839" s="61" t="str">
        <f aca="false">IF(IsPro,IF($D839="","",IF(AND(R839&lt;&gt;"",INDEX(Parties!$E$5:$E$304,R839)&lt;&gt;"",INDEX(Parties!$E$5:$E$304,R839)&lt;&gt;HomeState),ROUND(K839*L839,2),0)),"")</f>
        <v/>
      </c>
      <c r="P839" s="61" t="str">
        <f aca="false">IF(IsPro,IF($D839="","",K839+M839+N839+O839),"")</f>
        <v/>
      </c>
      <c r="Q839" s="60" t="str">
        <f aca="false">IF(IsPro,IF($D839="","",IFERROR(MATCH($D839,Items!$A$5:$A$504,0),"")),"")</f>
        <v/>
      </c>
      <c r="R839" s="60" t="str">
        <f aca="false">IF(IsPro,IF($C839="","",IFERROR(MATCH($C839,Parties!$A$5:$A$304,0),"")),"")</f>
        <v/>
      </c>
      <c r="S839" s="61" t="str">
        <f aca="false">IF(IsPro,IF($D839="","",IF(OR($H839="",$H839="Credit"),0,P839)),"")</f>
        <v/>
      </c>
    </row>
    <row r="840" customFormat="false" ht="15" hidden="false" customHeight="false" outlineLevel="0" collapsed="false">
      <c r="A840" s="55"/>
      <c r="B840" s="56"/>
      <c r="C840" s="56"/>
      <c r="D840" s="56"/>
      <c r="E840" s="57"/>
      <c r="F840" s="58"/>
      <c r="G840" s="59"/>
      <c r="H840" s="56"/>
      <c r="I840" s="60" t="str">
        <f aca="false">IF(IsPro,IF($D840="","",IFERROR(INDEX(Items!$D$5:$D$504,Q840),"")),IF($D840="","","PRO PLAN"))</f>
        <v/>
      </c>
      <c r="J840" s="61" t="str">
        <f aca="false">IF(IsPro,IF($D840="","",IF($F840="",IFERROR(INDEX(Items!$G$5:$G$504,Q840),0),$F840)),"")</f>
        <v/>
      </c>
      <c r="K840" s="61" t="str">
        <f aca="false">IF(IsPro,IF($D840="","",ROUND(N($E840)*J840*(1-N($G840)),2)),"")</f>
        <v/>
      </c>
      <c r="L840" s="62" t="str">
        <f aca="false">IF(IsPro,IF($D840="","",IFERROR(INDEX(Items!$F$5:$F$504,Q840),0)),"")</f>
        <v/>
      </c>
      <c r="M840" s="61" t="str">
        <f aca="false">IF(IsPro,IF($D840="","",IF(AND(R840&lt;&gt;"",INDEX(Parties!$E$5:$E$304,R840)&lt;&gt;"",INDEX(Parties!$E$5:$E$304,R840)&lt;&gt;HomeState),0,ROUND(K840*L840/2,2))),"")</f>
        <v/>
      </c>
      <c r="N840" s="61" t="str">
        <f aca="false">IF(IsPro,IF($D840="","",M840),"")</f>
        <v/>
      </c>
      <c r="O840" s="61" t="str">
        <f aca="false">IF(IsPro,IF($D840="","",IF(AND(R840&lt;&gt;"",INDEX(Parties!$E$5:$E$304,R840)&lt;&gt;"",INDEX(Parties!$E$5:$E$304,R840)&lt;&gt;HomeState),ROUND(K840*L840,2),0)),"")</f>
        <v/>
      </c>
      <c r="P840" s="61" t="str">
        <f aca="false">IF(IsPro,IF($D840="","",K840+M840+N840+O840),"")</f>
        <v/>
      </c>
      <c r="Q840" s="60" t="str">
        <f aca="false">IF(IsPro,IF($D840="","",IFERROR(MATCH($D840,Items!$A$5:$A$504,0),"")),"")</f>
        <v/>
      </c>
      <c r="R840" s="60" t="str">
        <f aca="false">IF(IsPro,IF($C840="","",IFERROR(MATCH($C840,Parties!$A$5:$A$304,0),"")),"")</f>
        <v/>
      </c>
      <c r="S840" s="61" t="str">
        <f aca="false">IF(IsPro,IF($D840="","",IF(OR($H840="",$H840="Credit"),0,P840)),"")</f>
        <v/>
      </c>
    </row>
    <row r="841" customFormat="false" ht="15" hidden="false" customHeight="false" outlineLevel="0" collapsed="false">
      <c r="A841" s="55"/>
      <c r="B841" s="56"/>
      <c r="C841" s="56"/>
      <c r="D841" s="56"/>
      <c r="E841" s="57"/>
      <c r="F841" s="58"/>
      <c r="G841" s="59"/>
      <c r="H841" s="56"/>
      <c r="I841" s="60" t="str">
        <f aca="false">IF(IsPro,IF($D841="","",IFERROR(INDEX(Items!$D$5:$D$504,Q841),"")),IF($D841="","","PRO PLAN"))</f>
        <v/>
      </c>
      <c r="J841" s="61" t="str">
        <f aca="false">IF(IsPro,IF($D841="","",IF($F841="",IFERROR(INDEX(Items!$G$5:$G$504,Q841),0),$F841)),"")</f>
        <v/>
      </c>
      <c r="K841" s="61" t="str">
        <f aca="false">IF(IsPro,IF($D841="","",ROUND(N($E841)*J841*(1-N($G841)),2)),"")</f>
        <v/>
      </c>
      <c r="L841" s="62" t="str">
        <f aca="false">IF(IsPro,IF($D841="","",IFERROR(INDEX(Items!$F$5:$F$504,Q841),0)),"")</f>
        <v/>
      </c>
      <c r="M841" s="61" t="str">
        <f aca="false">IF(IsPro,IF($D841="","",IF(AND(R841&lt;&gt;"",INDEX(Parties!$E$5:$E$304,R841)&lt;&gt;"",INDEX(Parties!$E$5:$E$304,R841)&lt;&gt;HomeState),0,ROUND(K841*L841/2,2))),"")</f>
        <v/>
      </c>
      <c r="N841" s="61" t="str">
        <f aca="false">IF(IsPro,IF($D841="","",M841),"")</f>
        <v/>
      </c>
      <c r="O841" s="61" t="str">
        <f aca="false">IF(IsPro,IF($D841="","",IF(AND(R841&lt;&gt;"",INDEX(Parties!$E$5:$E$304,R841)&lt;&gt;"",INDEX(Parties!$E$5:$E$304,R841)&lt;&gt;HomeState),ROUND(K841*L841,2),0)),"")</f>
        <v/>
      </c>
      <c r="P841" s="61" t="str">
        <f aca="false">IF(IsPro,IF($D841="","",K841+M841+N841+O841),"")</f>
        <v/>
      </c>
      <c r="Q841" s="60" t="str">
        <f aca="false">IF(IsPro,IF($D841="","",IFERROR(MATCH($D841,Items!$A$5:$A$504,0),"")),"")</f>
        <v/>
      </c>
      <c r="R841" s="60" t="str">
        <f aca="false">IF(IsPro,IF($C841="","",IFERROR(MATCH($C841,Parties!$A$5:$A$304,0),"")),"")</f>
        <v/>
      </c>
      <c r="S841" s="61" t="str">
        <f aca="false">IF(IsPro,IF($D841="","",IF(OR($H841="",$H841="Credit"),0,P841)),"")</f>
        <v/>
      </c>
    </row>
    <row r="842" customFormat="false" ht="15" hidden="false" customHeight="false" outlineLevel="0" collapsed="false">
      <c r="A842" s="55"/>
      <c r="B842" s="56"/>
      <c r="C842" s="56"/>
      <c r="D842" s="56"/>
      <c r="E842" s="57"/>
      <c r="F842" s="58"/>
      <c r="G842" s="59"/>
      <c r="H842" s="56"/>
      <c r="I842" s="60" t="str">
        <f aca="false">IF(IsPro,IF($D842="","",IFERROR(INDEX(Items!$D$5:$D$504,Q842),"")),IF($D842="","","PRO PLAN"))</f>
        <v/>
      </c>
      <c r="J842" s="61" t="str">
        <f aca="false">IF(IsPro,IF($D842="","",IF($F842="",IFERROR(INDEX(Items!$G$5:$G$504,Q842),0),$F842)),"")</f>
        <v/>
      </c>
      <c r="K842" s="61" t="str">
        <f aca="false">IF(IsPro,IF($D842="","",ROUND(N($E842)*J842*(1-N($G842)),2)),"")</f>
        <v/>
      </c>
      <c r="L842" s="62" t="str">
        <f aca="false">IF(IsPro,IF($D842="","",IFERROR(INDEX(Items!$F$5:$F$504,Q842),0)),"")</f>
        <v/>
      </c>
      <c r="M842" s="61" t="str">
        <f aca="false">IF(IsPro,IF($D842="","",IF(AND(R842&lt;&gt;"",INDEX(Parties!$E$5:$E$304,R842)&lt;&gt;"",INDEX(Parties!$E$5:$E$304,R842)&lt;&gt;HomeState),0,ROUND(K842*L842/2,2))),"")</f>
        <v/>
      </c>
      <c r="N842" s="61" t="str">
        <f aca="false">IF(IsPro,IF($D842="","",M842),"")</f>
        <v/>
      </c>
      <c r="O842" s="61" t="str">
        <f aca="false">IF(IsPro,IF($D842="","",IF(AND(R842&lt;&gt;"",INDEX(Parties!$E$5:$E$304,R842)&lt;&gt;"",INDEX(Parties!$E$5:$E$304,R842)&lt;&gt;HomeState),ROUND(K842*L842,2),0)),"")</f>
        <v/>
      </c>
      <c r="P842" s="61" t="str">
        <f aca="false">IF(IsPro,IF($D842="","",K842+M842+N842+O842),"")</f>
        <v/>
      </c>
      <c r="Q842" s="60" t="str">
        <f aca="false">IF(IsPro,IF($D842="","",IFERROR(MATCH($D842,Items!$A$5:$A$504,0),"")),"")</f>
        <v/>
      </c>
      <c r="R842" s="60" t="str">
        <f aca="false">IF(IsPro,IF($C842="","",IFERROR(MATCH($C842,Parties!$A$5:$A$304,0),"")),"")</f>
        <v/>
      </c>
      <c r="S842" s="61" t="str">
        <f aca="false">IF(IsPro,IF($D842="","",IF(OR($H842="",$H842="Credit"),0,P842)),"")</f>
        <v/>
      </c>
    </row>
    <row r="843" customFormat="false" ht="15" hidden="false" customHeight="false" outlineLevel="0" collapsed="false">
      <c r="A843" s="55"/>
      <c r="B843" s="56"/>
      <c r="C843" s="56"/>
      <c r="D843" s="56"/>
      <c r="E843" s="57"/>
      <c r="F843" s="58"/>
      <c r="G843" s="59"/>
      <c r="H843" s="56"/>
      <c r="I843" s="60" t="str">
        <f aca="false">IF(IsPro,IF($D843="","",IFERROR(INDEX(Items!$D$5:$D$504,Q843),"")),IF($D843="","","PRO PLAN"))</f>
        <v/>
      </c>
      <c r="J843" s="61" t="str">
        <f aca="false">IF(IsPro,IF($D843="","",IF($F843="",IFERROR(INDEX(Items!$G$5:$G$504,Q843),0),$F843)),"")</f>
        <v/>
      </c>
      <c r="K843" s="61" t="str">
        <f aca="false">IF(IsPro,IF($D843="","",ROUND(N($E843)*J843*(1-N($G843)),2)),"")</f>
        <v/>
      </c>
      <c r="L843" s="62" t="str">
        <f aca="false">IF(IsPro,IF($D843="","",IFERROR(INDEX(Items!$F$5:$F$504,Q843),0)),"")</f>
        <v/>
      </c>
      <c r="M843" s="61" t="str">
        <f aca="false">IF(IsPro,IF($D843="","",IF(AND(R843&lt;&gt;"",INDEX(Parties!$E$5:$E$304,R843)&lt;&gt;"",INDEX(Parties!$E$5:$E$304,R843)&lt;&gt;HomeState),0,ROUND(K843*L843/2,2))),"")</f>
        <v/>
      </c>
      <c r="N843" s="61" t="str">
        <f aca="false">IF(IsPro,IF($D843="","",M843),"")</f>
        <v/>
      </c>
      <c r="O843" s="61" t="str">
        <f aca="false">IF(IsPro,IF($D843="","",IF(AND(R843&lt;&gt;"",INDEX(Parties!$E$5:$E$304,R843)&lt;&gt;"",INDEX(Parties!$E$5:$E$304,R843)&lt;&gt;HomeState),ROUND(K843*L843,2),0)),"")</f>
        <v/>
      </c>
      <c r="P843" s="61" t="str">
        <f aca="false">IF(IsPro,IF($D843="","",K843+M843+N843+O843),"")</f>
        <v/>
      </c>
      <c r="Q843" s="60" t="str">
        <f aca="false">IF(IsPro,IF($D843="","",IFERROR(MATCH($D843,Items!$A$5:$A$504,0),"")),"")</f>
        <v/>
      </c>
      <c r="R843" s="60" t="str">
        <f aca="false">IF(IsPro,IF($C843="","",IFERROR(MATCH($C843,Parties!$A$5:$A$304,0),"")),"")</f>
        <v/>
      </c>
      <c r="S843" s="61" t="str">
        <f aca="false">IF(IsPro,IF($D843="","",IF(OR($H843="",$H843="Credit"),0,P843)),"")</f>
        <v/>
      </c>
    </row>
    <row r="844" customFormat="false" ht="15" hidden="false" customHeight="false" outlineLevel="0" collapsed="false">
      <c r="A844" s="55"/>
      <c r="B844" s="56"/>
      <c r="C844" s="56"/>
      <c r="D844" s="56"/>
      <c r="E844" s="57"/>
      <c r="F844" s="58"/>
      <c r="G844" s="59"/>
      <c r="H844" s="56"/>
      <c r="I844" s="60" t="str">
        <f aca="false">IF(IsPro,IF($D844="","",IFERROR(INDEX(Items!$D$5:$D$504,Q844),"")),IF($D844="","","PRO PLAN"))</f>
        <v/>
      </c>
      <c r="J844" s="61" t="str">
        <f aca="false">IF(IsPro,IF($D844="","",IF($F844="",IFERROR(INDEX(Items!$G$5:$G$504,Q844),0),$F844)),"")</f>
        <v/>
      </c>
      <c r="K844" s="61" t="str">
        <f aca="false">IF(IsPro,IF($D844="","",ROUND(N($E844)*J844*(1-N($G844)),2)),"")</f>
        <v/>
      </c>
      <c r="L844" s="62" t="str">
        <f aca="false">IF(IsPro,IF($D844="","",IFERROR(INDEX(Items!$F$5:$F$504,Q844),0)),"")</f>
        <v/>
      </c>
      <c r="M844" s="61" t="str">
        <f aca="false">IF(IsPro,IF($D844="","",IF(AND(R844&lt;&gt;"",INDEX(Parties!$E$5:$E$304,R844)&lt;&gt;"",INDEX(Parties!$E$5:$E$304,R844)&lt;&gt;HomeState),0,ROUND(K844*L844/2,2))),"")</f>
        <v/>
      </c>
      <c r="N844" s="61" t="str">
        <f aca="false">IF(IsPro,IF($D844="","",M844),"")</f>
        <v/>
      </c>
      <c r="O844" s="61" t="str">
        <f aca="false">IF(IsPro,IF($D844="","",IF(AND(R844&lt;&gt;"",INDEX(Parties!$E$5:$E$304,R844)&lt;&gt;"",INDEX(Parties!$E$5:$E$304,R844)&lt;&gt;HomeState),ROUND(K844*L844,2),0)),"")</f>
        <v/>
      </c>
      <c r="P844" s="61" t="str">
        <f aca="false">IF(IsPro,IF($D844="","",K844+M844+N844+O844),"")</f>
        <v/>
      </c>
      <c r="Q844" s="60" t="str">
        <f aca="false">IF(IsPro,IF($D844="","",IFERROR(MATCH($D844,Items!$A$5:$A$504,0),"")),"")</f>
        <v/>
      </c>
      <c r="R844" s="60" t="str">
        <f aca="false">IF(IsPro,IF($C844="","",IFERROR(MATCH($C844,Parties!$A$5:$A$304,0),"")),"")</f>
        <v/>
      </c>
      <c r="S844" s="61" t="str">
        <f aca="false">IF(IsPro,IF($D844="","",IF(OR($H844="",$H844="Credit"),0,P844)),"")</f>
        <v/>
      </c>
    </row>
    <row r="845" customFormat="false" ht="15" hidden="false" customHeight="false" outlineLevel="0" collapsed="false">
      <c r="A845" s="55"/>
      <c r="B845" s="56"/>
      <c r="C845" s="56"/>
      <c r="D845" s="56"/>
      <c r="E845" s="57"/>
      <c r="F845" s="58"/>
      <c r="G845" s="59"/>
      <c r="H845" s="56"/>
      <c r="I845" s="60" t="str">
        <f aca="false">IF(IsPro,IF($D845="","",IFERROR(INDEX(Items!$D$5:$D$504,Q845),"")),IF($D845="","","PRO PLAN"))</f>
        <v/>
      </c>
      <c r="J845" s="61" t="str">
        <f aca="false">IF(IsPro,IF($D845="","",IF($F845="",IFERROR(INDEX(Items!$G$5:$G$504,Q845),0),$F845)),"")</f>
        <v/>
      </c>
      <c r="K845" s="61" t="str">
        <f aca="false">IF(IsPro,IF($D845="","",ROUND(N($E845)*J845*(1-N($G845)),2)),"")</f>
        <v/>
      </c>
      <c r="L845" s="62" t="str">
        <f aca="false">IF(IsPro,IF($D845="","",IFERROR(INDEX(Items!$F$5:$F$504,Q845),0)),"")</f>
        <v/>
      </c>
      <c r="M845" s="61" t="str">
        <f aca="false">IF(IsPro,IF($D845="","",IF(AND(R845&lt;&gt;"",INDEX(Parties!$E$5:$E$304,R845)&lt;&gt;"",INDEX(Parties!$E$5:$E$304,R845)&lt;&gt;HomeState),0,ROUND(K845*L845/2,2))),"")</f>
        <v/>
      </c>
      <c r="N845" s="61" t="str">
        <f aca="false">IF(IsPro,IF($D845="","",M845),"")</f>
        <v/>
      </c>
      <c r="O845" s="61" t="str">
        <f aca="false">IF(IsPro,IF($D845="","",IF(AND(R845&lt;&gt;"",INDEX(Parties!$E$5:$E$304,R845)&lt;&gt;"",INDEX(Parties!$E$5:$E$304,R845)&lt;&gt;HomeState),ROUND(K845*L845,2),0)),"")</f>
        <v/>
      </c>
      <c r="P845" s="61" t="str">
        <f aca="false">IF(IsPro,IF($D845="","",K845+M845+N845+O845),"")</f>
        <v/>
      </c>
      <c r="Q845" s="60" t="str">
        <f aca="false">IF(IsPro,IF($D845="","",IFERROR(MATCH($D845,Items!$A$5:$A$504,0),"")),"")</f>
        <v/>
      </c>
      <c r="R845" s="60" t="str">
        <f aca="false">IF(IsPro,IF($C845="","",IFERROR(MATCH($C845,Parties!$A$5:$A$304,0),"")),"")</f>
        <v/>
      </c>
      <c r="S845" s="61" t="str">
        <f aca="false">IF(IsPro,IF($D845="","",IF(OR($H845="",$H845="Credit"),0,P845)),"")</f>
        <v/>
      </c>
    </row>
    <row r="846" customFormat="false" ht="15" hidden="false" customHeight="false" outlineLevel="0" collapsed="false">
      <c r="A846" s="55"/>
      <c r="B846" s="56"/>
      <c r="C846" s="56"/>
      <c r="D846" s="56"/>
      <c r="E846" s="57"/>
      <c r="F846" s="58"/>
      <c r="G846" s="59"/>
      <c r="H846" s="56"/>
      <c r="I846" s="60" t="str">
        <f aca="false">IF(IsPro,IF($D846="","",IFERROR(INDEX(Items!$D$5:$D$504,Q846),"")),IF($D846="","","PRO PLAN"))</f>
        <v/>
      </c>
      <c r="J846" s="61" t="str">
        <f aca="false">IF(IsPro,IF($D846="","",IF($F846="",IFERROR(INDEX(Items!$G$5:$G$504,Q846),0),$F846)),"")</f>
        <v/>
      </c>
      <c r="K846" s="61" t="str">
        <f aca="false">IF(IsPro,IF($D846="","",ROUND(N($E846)*J846*(1-N($G846)),2)),"")</f>
        <v/>
      </c>
      <c r="L846" s="62" t="str">
        <f aca="false">IF(IsPro,IF($D846="","",IFERROR(INDEX(Items!$F$5:$F$504,Q846),0)),"")</f>
        <v/>
      </c>
      <c r="M846" s="61" t="str">
        <f aca="false">IF(IsPro,IF($D846="","",IF(AND(R846&lt;&gt;"",INDEX(Parties!$E$5:$E$304,R846)&lt;&gt;"",INDEX(Parties!$E$5:$E$304,R846)&lt;&gt;HomeState),0,ROUND(K846*L846/2,2))),"")</f>
        <v/>
      </c>
      <c r="N846" s="61" t="str">
        <f aca="false">IF(IsPro,IF($D846="","",M846),"")</f>
        <v/>
      </c>
      <c r="O846" s="61" t="str">
        <f aca="false">IF(IsPro,IF($D846="","",IF(AND(R846&lt;&gt;"",INDEX(Parties!$E$5:$E$304,R846)&lt;&gt;"",INDEX(Parties!$E$5:$E$304,R846)&lt;&gt;HomeState),ROUND(K846*L846,2),0)),"")</f>
        <v/>
      </c>
      <c r="P846" s="61" t="str">
        <f aca="false">IF(IsPro,IF($D846="","",K846+M846+N846+O846),"")</f>
        <v/>
      </c>
      <c r="Q846" s="60" t="str">
        <f aca="false">IF(IsPro,IF($D846="","",IFERROR(MATCH($D846,Items!$A$5:$A$504,0),"")),"")</f>
        <v/>
      </c>
      <c r="R846" s="60" t="str">
        <f aca="false">IF(IsPro,IF($C846="","",IFERROR(MATCH($C846,Parties!$A$5:$A$304,0),"")),"")</f>
        <v/>
      </c>
      <c r="S846" s="61" t="str">
        <f aca="false">IF(IsPro,IF($D846="","",IF(OR($H846="",$H846="Credit"),0,P846)),"")</f>
        <v/>
      </c>
    </row>
    <row r="847" customFormat="false" ht="15" hidden="false" customHeight="false" outlineLevel="0" collapsed="false">
      <c r="A847" s="55"/>
      <c r="B847" s="56"/>
      <c r="C847" s="56"/>
      <c r="D847" s="56"/>
      <c r="E847" s="57"/>
      <c r="F847" s="58"/>
      <c r="G847" s="59"/>
      <c r="H847" s="56"/>
      <c r="I847" s="60" t="str">
        <f aca="false">IF(IsPro,IF($D847="","",IFERROR(INDEX(Items!$D$5:$D$504,Q847),"")),IF($D847="","","PRO PLAN"))</f>
        <v/>
      </c>
      <c r="J847" s="61" t="str">
        <f aca="false">IF(IsPro,IF($D847="","",IF($F847="",IFERROR(INDEX(Items!$G$5:$G$504,Q847),0),$F847)),"")</f>
        <v/>
      </c>
      <c r="K847" s="61" t="str">
        <f aca="false">IF(IsPro,IF($D847="","",ROUND(N($E847)*J847*(1-N($G847)),2)),"")</f>
        <v/>
      </c>
      <c r="L847" s="62" t="str">
        <f aca="false">IF(IsPro,IF($D847="","",IFERROR(INDEX(Items!$F$5:$F$504,Q847),0)),"")</f>
        <v/>
      </c>
      <c r="M847" s="61" t="str">
        <f aca="false">IF(IsPro,IF($D847="","",IF(AND(R847&lt;&gt;"",INDEX(Parties!$E$5:$E$304,R847)&lt;&gt;"",INDEX(Parties!$E$5:$E$304,R847)&lt;&gt;HomeState),0,ROUND(K847*L847/2,2))),"")</f>
        <v/>
      </c>
      <c r="N847" s="61" t="str">
        <f aca="false">IF(IsPro,IF($D847="","",M847),"")</f>
        <v/>
      </c>
      <c r="O847" s="61" t="str">
        <f aca="false">IF(IsPro,IF($D847="","",IF(AND(R847&lt;&gt;"",INDEX(Parties!$E$5:$E$304,R847)&lt;&gt;"",INDEX(Parties!$E$5:$E$304,R847)&lt;&gt;HomeState),ROUND(K847*L847,2),0)),"")</f>
        <v/>
      </c>
      <c r="P847" s="61" t="str">
        <f aca="false">IF(IsPro,IF($D847="","",K847+M847+N847+O847),"")</f>
        <v/>
      </c>
      <c r="Q847" s="60" t="str">
        <f aca="false">IF(IsPro,IF($D847="","",IFERROR(MATCH($D847,Items!$A$5:$A$504,0),"")),"")</f>
        <v/>
      </c>
      <c r="R847" s="60" t="str">
        <f aca="false">IF(IsPro,IF($C847="","",IFERROR(MATCH($C847,Parties!$A$5:$A$304,0),"")),"")</f>
        <v/>
      </c>
      <c r="S847" s="61" t="str">
        <f aca="false">IF(IsPro,IF($D847="","",IF(OR($H847="",$H847="Credit"),0,P847)),"")</f>
        <v/>
      </c>
    </row>
    <row r="848" customFormat="false" ht="15" hidden="false" customHeight="false" outlineLevel="0" collapsed="false">
      <c r="A848" s="55"/>
      <c r="B848" s="56"/>
      <c r="C848" s="56"/>
      <c r="D848" s="56"/>
      <c r="E848" s="57"/>
      <c r="F848" s="58"/>
      <c r="G848" s="59"/>
      <c r="H848" s="56"/>
      <c r="I848" s="60" t="str">
        <f aca="false">IF(IsPro,IF($D848="","",IFERROR(INDEX(Items!$D$5:$D$504,Q848),"")),IF($D848="","","PRO PLAN"))</f>
        <v/>
      </c>
      <c r="J848" s="61" t="str">
        <f aca="false">IF(IsPro,IF($D848="","",IF($F848="",IFERROR(INDEX(Items!$G$5:$G$504,Q848),0),$F848)),"")</f>
        <v/>
      </c>
      <c r="K848" s="61" t="str">
        <f aca="false">IF(IsPro,IF($D848="","",ROUND(N($E848)*J848*(1-N($G848)),2)),"")</f>
        <v/>
      </c>
      <c r="L848" s="62" t="str">
        <f aca="false">IF(IsPro,IF($D848="","",IFERROR(INDEX(Items!$F$5:$F$504,Q848),0)),"")</f>
        <v/>
      </c>
      <c r="M848" s="61" t="str">
        <f aca="false">IF(IsPro,IF($D848="","",IF(AND(R848&lt;&gt;"",INDEX(Parties!$E$5:$E$304,R848)&lt;&gt;"",INDEX(Parties!$E$5:$E$304,R848)&lt;&gt;HomeState),0,ROUND(K848*L848/2,2))),"")</f>
        <v/>
      </c>
      <c r="N848" s="61" t="str">
        <f aca="false">IF(IsPro,IF($D848="","",M848),"")</f>
        <v/>
      </c>
      <c r="O848" s="61" t="str">
        <f aca="false">IF(IsPro,IF($D848="","",IF(AND(R848&lt;&gt;"",INDEX(Parties!$E$5:$E$304,R848)&lt;&gt;"",INDEX(Parties!$E$5:$E$304,R848)&lt;&gt;HomeState),ROUND(K848*L848,2),0)),"")</f>
        <v/>
      </c>
      <c r="P848" s="61" t="str">
        <f aca="false">IF(IsPro,IF($D848="","",K848+M848+N848+O848),"")</f>
        <v/>
      </c>
      <c r="Q848" s="60" t="str">
        <f aca="false">IF(IsPro,IF($D848="","",IFERROR(MATCH($D848,Items!$A$5:$A$504,0),"")),"")</f>
        <v/>
      </c>
      <c r="R848" s="60" t="str">
        <f aca="false">IF(IsPro,IF($C848="","",IFERROR(MATCH($C848,Parties!$A$5:$A$304,0),"")),"")</f>
        <v/>
      </c>
      <c r="S848" s="61" t="str">
        <f aca="false">IF(IsPro,IF($D848="","",IF(OR($H848="",$H848="Credit"),0,P848)),"")</f>
        <v/>
      </c>
    </row>
    <row r="849" customFormat="false" ht="15" hidden="false" customHeight="false" outlineLevel="0" collapsed="false">
      <c r="A849" s="55"/>
      <c r="B849" s="56"/>
      <c r="C849" s="56"/>
      <c r="D849" s="56"/>
      <c r="E849" s="57"/>
      <c r="F849" s="58"/>
      <c r="G849" s="59"/>
      <c r="H849" s="56"/>
      <c r="I849" s="60" t="str">
        <f aca="false">IF(IsPro,IF($D849="","",IFERROR(INDEX(Items!$D$5:$D$504,Q849),"")),IF($D849="","","PRO PLAN"))</f>
        <v/>
      </c>
      <c r="J849" s="61" t="str">
        <f aca="false">IF(IsPro,IF($D849="","",IF($F849="",IFERROR(INDEX(Items!$G$5:$G$504,Q849),0),$F849)),"")</f>
        <v/>
      </c>
      <c r="K849" s="61" t="str">
        <f aca="false">IF(IsPro,IF($D849="","",ROUND(N($E849)*J849*(1-N($G849)),2)),"")</f>
        <v/>
      </c>
      <c r="L849" s="62" t="str">
        <f aca="false">IF(IsPro,IF($D849="","",IFERROR(INDEX(Items!$F$5:$F$504,Q849),0)),"")</f>
        <v/>
      </c>
      <c r="M849" s="61" t="str">
        <f aca="false">IF(IsPro,IF($D849="","",IF(AND(R849&lt;&gt;"",INDEX(Parties!$E$5:$E$304,R849)&lt;&gt;"",INDEX(Parties!$E$5:$E$304,R849)&lt;&gt;HomeState),0,ROUND(K849*L849/2,2))),"")</f>
        <v/>
      </c>
      <c r="N849" s="61" t="str">
        <f aca="false">IF(IsPro,IF($D849="","",M849),"")</f>
        <v/>
      </c>
      <c r="O849" s="61" t="str">
        <f aca="false">IF(IsPro,IF($D849="","",IF(AND(R849&lt;&gt;"",INDEX(Parties!$E$5:$E$304,R849)&lt;&gt;"",INDEX(Parties!$E$5:$E$304,R849)&lt;&gt;HomeState),ROUND(K849*L849,2),0)),"")</f>
        <v/>
      </c>
      <c r="P849" s="61" t="str">
        <f aca="false">IF(IsPro,IF($D849="","",K849+M849+N849+O849),"")</f>
        <v/>
      </c>
      <c r="Q849" s="60" t="str">
        <f aca="false">IF(IsPro,IF($D849="","",IFERROR(MATCH($D849,Items!$A$5:$A$504,0),"")),"")</f>
        <v/>
      </c>
      <c r="R849" s="60" t="str">
        <f aca="false">IF(IsPro,IF($C849="","",IFERROR(MATCH($C849,Parties!$A$5:$A$304,0),"")),"")</f>
        <v/>
      </c>
      <c r="S849" s="61" t="str">
        <f aca="false">IF(IsPro,IF($D849="","",IF(OR($H849="",$H849="Credit"),0,P849)),"")</f>
        <v/>
      </c>
    </row>
    <row r="850" customFormat="false" ht="15" hidden="false" customHeight="false" outlineLevel="0" collapsed="false">
      <c r="A850" s="55"/>
      <c r="B850" s="56"/>
      <c r="C850" s="56"/>
      <c r="D850" s="56"/>
      <c r="E850" s="57"/>
      <c r="F850" s="58"/>
      <c r="G850" s="59"/>
      <c r="H850" s="56"/>
      <c r="I850" s="60" t="str">
        <f aca="false">IF(IsPro,IF($D850="","",IFERROR(INDEX(Items!$D$5:$D$504,Q850),"")),IF($D850="","","PRO PLAN"))</f>
        <v/>
      </c>
      <c r="J850" s="61" t="str">
        <f aca="false">IF(IsPro,IF($D850="","",IF($F850="",IFERROR(INDEX(Items!$G$5:$G$504,Q850),0),$F850)),"")</f>
        <v/>
      </c>
      <c r="K850" s="61" t="str">
        <f aca="false">IF(IsPro,IF($D850="","",ROUND(N($E850)*J850*(1-N($G850)),2)),"")</f>
        <v/>
      </c>
      <c r="L850" s="62" t="str">
        <f aca="false">IF(IsPro,IF($D850="","",IFERROR(INDEX(Items!$F$5:$F$504,Q850),0)),"")</f>
        <v/>
      </c>
      <c r="M850" s="61" t="str">
        <f aca="false">IF(IsPro,IF($D850="","",IF(AND(R850&lt;&gt;"",INDEX(Parties!$E$5:$E$304,R850)&lt;&gt;"",INDEX(Parties!$E$5:$E$304,R850)&lt;&gt;HomeState),0,ROUND(K850*L850/2,2))),"")</f>
        <v/>
      </c>
      <c r="N850" s="61" t="str">
        <f aca="false">IF(IsPro,IF($D850="","",M850),"")</f>
        <v/>
      </c>
      <c r="O850" s="61" t="str">
        <f aca="false">IF(IsPro,IF($D850="","",IF(AND(R850&lt;&gt;"",INDEX(Parties!$E$5:$E$304,R850)&lt;&gt;"",INDEX(Parties!$E$5:$E$304,R850)&lt;&gt;HomeState),ROUND(K850*L850,2),0)),"")</f>
        <v/>
      </c>
      <c r="P850" s="61" t="str">
        <f aca="false">IF(IsPro,IF($D850="","",K850+M850+N850+O850),"")</f>
        <v/>
      </c>
      <c r="Q850" s="60" t="str">
        <f aca="false">IF(IsPro,IF($D850="","",IFERROR(MATCH($D850,Items!$A$5:$A$504,0),"")),"")</f>
        <v/>
      </c>
      <c r="R850" s="60" t="str">
        <f aca="false">IF(IsPro,IF($C850="","",IFERROR(MATCH($C850,Parties!$A$5:$A$304,0),"")),"")</f>
        <v/>
      </c>
      <c r="S850" s="61" t="str">
        <f aca="false">IF(IsPro,IF($D850="","",IF(OR($H850="",$H850="Credit"),0,P850)),"")</f>
        <v/>
      </c>
    </row>
    <row r="851" customFormat="false" ht="15" hidden="false" customHeight="false" outlineLevel="0" collapsed="false">
      <c r="A851" s="55"/>
      <c r="B851" s="56"/>
      <c r="C851" s="56"/>
      <c r="D851" s="56"/>
      <c r="E851" s="57"/>
      <c r="F851" s="58"/>
      <c r="G851" s="59"/>
      <c r="H851" s="56"/>
      <c r="I851" s="60" t="str">
        <f aca="false">IF(IsPro,IF($D851="","",IFERROR(INDEX(Items!$D$5:$D$504,Q851),"")),IF($D851="","","PRO PLAN"))</f>
        <v/>
      </c>
      <c r="J851" s="61" t="str">
        <f aca="false">IF(IsPro,IF($D851="","",IF($F851="",IFERROR(INDEX(Items!$G$5:$G$504,Q851),0),$F851)),"")</f>
        <v/>
      </c>
      <c r="K851" s="61" t="str">
        <f aca="false">IF(IsPro,IF($D851="","",ROUND(N($E851)*J851*(1-N($G851)),2)),"")</f>
        <v/>
      </c>
      <c r="L851" s="62" t="str">
        <f aca="false">IF(IsPro,IF($D851="","",IFERROR(INDEX(Items!$F$5:$F$504,Q851),0)),"")</f>
        <v/>
      </c>
      <c r="M851" s="61" t="str">
        <f aca="false">IF(IsPro,IF($D851="","",IF(AND(R851&lt;&gt;"",INDEX(Parties!$E$5:$E$304,R851)&lt;&gt;"",INDEX(Parties!$E$5:$E$304,R851)&lt;&gt;HomeState),0,ROUND(K851*L851/2,2))),"")</f>
        <v/>
      </c>
      <c r="N851" s="61" t="str">
        <f aca="false">IF(IsPro,IF($D851="","",M851),"")</f>
        <v/>
      </c>
      <c r="O851" s="61" t="str">
        <f aca="false">IF(IsPro,IF($D851="","",IF(AND(R851&lt;&gt;"",INDEX(Parties!$E$5:$E$304,R851)&lt;&gt;"",INDEX(Parties!$E$5:$E$304,R851)&lt;&gt;HomeState),ROUND(K851*L851,2),0)),"")</f>
        <v/>
      </c>
      <c r="P851" s="61" t="str">
        <f aca="false">IF(IsPro,IF($D851="","",K851+M851+N851+O851),"")</f>
        <v/>
      </c>
      <c r="Q851" s="60" t="str">
        <f aca="false">IF(IsPro,IF($D851="","",IFERROR(MATCH($D851,Items!$A$5:$A$504,0),"")),"")</f>
        <v/>
      </c>
      <c r="R851" s="60" t="str">
        <f aca="false">IF(IsPro,IF($C851="","",IFERROR(MATCH($C851,Parties!$A$5:$A$304,0),"")),"")</f>
        <v/>
      </c>
      <c r="S851" s="61" t="str">
        <f aca="false">IF(IsPro,IF($D851="","",IF(OR($H851="",$H851="Credit"),0,P851)),"")</f>
        <v/>
      </c>
    </row>
    <row r="852" customFormat="false" ht="15" hidden="false" customHeight="false" outlineLevel="0" collapsed="false">
      <c r="A852" s="55"/>
      <c r="B852" s="56"/>
      <c r="C852" s="56"/>
      <c r="D852" s="56"/>
      <c r="E852" s="57"/>
      <c r="F852" s="58"/>
      <c r="G852" s="59"/>
      <c r="H852" s="56"/>
      <c r="I852" s="60" t="str">
        <f aca="false">IF(IsPro,IF($D852="","",IFERROR(INDEX(Items!$D$5:$D$504,Q852),"")),IF($D852="","","PRO PLAN"))</f>
        <v/>
      </c>
      <c r="J852" s="61" t="str">
        <f aca="false">IF(IsPro,IF($D852="","",IF($F852="",IFERROR(INDEX(Items!$G$5:$G$504,Q852),0),$F852)),"")</f>
        <v/>
      </c>
      <c r="K852" s="61" t="str">
        <f aca="false">IF(IsPro,IF($D852="","",ROUND(N($E852)*J852*(1-N($G852)),2)),"")</f>
        <v/>
      </c>
      <c r="L852" s="62" t="str">
        <f aca="false">IF(IsPro,IF($D852="","",IFERROR(INDEX(Items!$F$5:$F$504,Q852),0)),"")</f>
        <v/>
      </c>
      <c r="M852" s="61" t="str">
        <f aca="false">IF(IsPro,IF($D852="","",IF(AND(R852&lt;&gt;"",INDEX(Parties!$E$5:$E$304,R852)&lt;&gt;"",INDEX(Parties!$E$5:$E$304,R852)&lt;&gt;HomeState),0,ROUND(K852*L852/2,2))),"")</f>
        <v/>
      </c>
      <c r="N852" s="61" t="str">
        <f aca="false">IF(IsPro,IF($D852="","",M852),"")</f>
        <v/>
      </c>
      <c r="O852" s="61" t="str">
        <f aca="false">IF(IsPro,IF($D852="","",IF(AND(R852&lt;&gt;"",INDEX(Parties!$E$5:$E$304,R852)&lt;&gt;"",INDEX(Parties!$E$5:$E$304,R852)&lt;&gt;HomeState),ROUND(K852*L852,2),0)),"")</f>
        <v/>
      </c>
      <c r="P852" s="61" t="str">
        <f aca="false">IF(IsPro,IF($D852="","",K852+M852+N852+O852),"")</f>
        <v/>
      </c>
      <c r="Q852" s="60" t="str">
        <f aca="false">IF(IsPro,IF($D852="","",IFERROR(MATCH($D852,Items!$A$5:$A$504,0),"")),"")</f>
        <v/>
      </c>
      <c r="R852" s="60" t="str">
        <f aca="false">IF(IsPro,IF($C852="","",IFERROR(MATCH($C852,Parties!$A$5:$A$304,0),"")),"")</f>
        <v/>
      </c>
      <c r="S852" s="61" t="str">
        <f aca="false">IF(IsPro,IF($D852="","",IF(OR($H852="",$H852="Credit"),0,P852)),"")</f>
        <v/>
      </c>
    </row>
    <row r="853" customFormat="false" ht="15" hidden="false" customHeight="false" outlineLevel="0" collapsed="false">
      <c r="A853" s="55"/>
      <c r="B853" s="56"/>
      <c r="C853" s="56"/>
      <c r="D853" s="56"/>
      <c r="E853" s="57"/>
      <c r="F853" s="58"/>
      <c r="G853" s="59"/>
      <c r="H853" s="56"/>
      <c r="I853" s="60" t="str">
        <f aca="false">IF(IsPro,IF($D853="","",IFERROR(INDEX(Items!$D$5:$D$504,Q853),"")),IF($D853="","","PRO PLAN"))</f>
        <v/>
      </c>
      <c r="J853" s="61" t="str">
        <f aca="false">IF(IsPro,IF($D853="","",IF($F853="",IFERROR(INDEX(Items!$G$5:$G$504,Q853),0),$F853)),"")</f>
        <v/>
      </c>
      <c r="K853" s="61" t="str">
        <f aca="false">IF(IsPro,IF($D853="","",ROUND(N($E853)*J853*(1-N($G853)),2)),"")</f>
        <v/>
      </c>
      <c r="L853" s="62" t="str">
        <f aca="false">IF(IsPro,IF($D853="","",IFERROR(INDEX(Items!$F$5:$F$504,Q853),0)),"")</f>
        <v/>
      </c>
      <c r="M853" s="61" t="str">
        <f aca="false">IF(IsPro,IF($D853="","",IF(AND(R853&lt;&gt;"",INDEX(Parties!$E$5:$E$304,R853)&lt;&gt;"",INDEX(Parties!$E$5:$E$304,R853)&lt;&gt;HomeState),0,ROUND(K853*L853/2,2))),"")</f>
        <v/>
      </c>
      <c r="N853" s="61" t="str">
        <f aca="false">IF(IsPro,IF($D853="","",M853),"")</f>
        <v/>
      </c>
      <c r="O853" s="61" t="str">
        <f aca="false">IF(IsPro,IF($D853="","",IF(AND(R853&lt;&gt;"",INDEX(Parties!$E$5:$E$304,R853)&lt;&gt;"",INDEX(Parties!$E$5:$E$304,R853)&lt;&gt;HomeState),ROUND(K853*L853,2),0)),"")</f>
        <v/>
      </c>
      <c r="P853" s="61" t="str">
        <f aca="false">IF(IsPro,IF($D853="","",K853+M853+N853+O853),"")</f>
        <v/>
      </c>
      <c r="Q853" s="60" t="str">
        <f aca="false">IF(IsPro,IF($D853="","",IFERROR(MATCH($D853,Items!$A$5:$A$504,0),"")),"")</f>
        <v/>
      </c>
      <c r="R853" s="60" t="str">
        <f aca="false">IF(IsPro,IF($C853="","",IFERROR(MATCH($C853,Parties!$A$5:$A$304,0),"")),"")</f>
        <v/>
      </c>
      <c r="S853" s="61" t="str">
        <f aca="false">IF(IsPro,IF($D853="","",IF(OR($H853="",$H853="Credit"),0,P853)),"")</f>
        <v/>
      </c>
    </row>
    <row r="854" customFormat="false" ht="15" hidden="false" customHeight="false" outlineLevel="0" collapsed="false">
      <c r="A854" s="55"/>
      <c r="B854" s="56"/>
      <c r="C854" s="56"/>
      <c r="D854" s="56"/>
      <c r="E854" s="57"/>
      <c r="F854" s="58"/>
      <c r="G854" s="59"/>
      <c r="H854" s="56"/>
      <c r="I854" s="60" t="str">
        <f aca="false">IF(IsPro,IF($D854="","",IFERROR(INDEX(Items!$D$5:$D$504,Q854),"")),IF($D854="","","PRO PLAN"))</f>
        <v/>
      </c>
      <c r="J854" s="61" t="str">
        <f aca="false">IF(IsPro,IF($D854="","",IF($F854="",IFERROR(INDEX(Items!$G$5:$G$504,Q854),0),$F854)),"")</f>
        <v/>
      </c>
      <c r="K854" s="61" t="str">
        <f aca="false">IF(IsPro,IF($D854="","",ROUND(N($E854)*J854*(1-N($G854)),2)),"")</f>
        <v/>
      </c>
      <c r="L854" s="62" t="str">
        <f aca="false">IF(IsPro,IF($D854="","",IFERROR(INDEX(Items!$F$5:$F$504,Q854),0)),"")</f>
        <v/>
      </c>
      <c r="M854" s="61" t="str">
        <f aca="false">IF(IsPro,IF($D854="","",IF(AND(R854&lt;&gt;"",INDEX(Parties!$E$5:$E$304,R854)&lt;&gt;"",INDEX(Parties!$E$5:$E$304,R854)&lt;&gt;HomeState),0,ROUND(K854*L854/2,2))),"")</f>
        <v/>
      </c>
      <c r="N854" s="61" t="str">
        <f aca="false">IF(IsPro,IF($D854="","",M854),"")</f>
        <v/>
      </c>
      <c r="O854" s="61" t="str">
        <f aca="false">IF(IsPro,IF($D854="","",IF(AND(R854&lt;&gt;"",INDEX(Parties!$E$5:$E$304,R854)&lt;&gt;"",INDEX(Parties!$E$5:$E$304,R854)&lt;&gt;HomeState),ROUND(K854*L854,2),0)),"")</f>
        <v/>
      </c>
      <c r="P854" s="61" t="str">
        <f aca="false">IF(IsPro,IF($D854="","",K854+M854+N854+O854),"")</f>
        <v/>
      </c>
      <c r="Q854" s="60" t="str">
        <f aca="false">IF(IsPro,IF($D854="","",IFERROR(MATCH($D854,Items!$A$5:$A$504,0),"")),"")</f>
        <v/>
      </c>
      <c r="R854" s="60" t="str">
        <f aca="false">IF(IsPro,IF($C854="","",IFERROR(MATCH($C854,Parties!$A$5:$A$304,0),"")),"")</f>
        <v/>
      </c>
      <c r="S854" s="61" t="str">
        <f aca="false">IF(IsPro,IF($D854="","",IF(OR($H854="",$H854="Credit"),0,P854)),"")</f>
        <v/>
      </c>
    </row>
    <row r="855" customFormat="false" ht="15" hidden="false" customHeight="false" outlineLevel="0" collapsed="false">
      <c r="A855" s="55"/>
      <c r="B855" s="56"/>
      <c r="C855" s="56"/>
      <c r="D855" s="56"/>
      <c r="E855" s="57"/>
      <c r="F855" s="58"/>
      <c r="G855" s="59"/>
      <c r="H855" s="56"/>
      <c r="I855" s="60" t="str">
        <f aca="false">IF(IsPro,IF($D855="","",IFERROR(INDEX(Items!$D$5:$D$504,Q855),"")),IF($D855="","","PRO PLAN"))</f>
        <v/>
      </c>
      <c r="J855" s="61" t="str">
        <f aca="false">IF(IsPro,IF($D855="","",IF($F855="",IFERROR(INDEX(Items!$G$5:$G$504,Q855),0),$F855)),"")</f>
        <v/>
      </c>
      <c r="K855" s="61" t="str">
        <f aca="false">IF(IsPro,IF($D855="","",ROUND(N($E855)*J855*(1-N($G855)),2)),"")</f>
        <v/>
      </c>
      <c r="L855" s="62" t="str">
        <f aca="false">IF(IsPro,IF($D855="","",IFERROR(INDEX(Items!$F$5:$F$504,Q855),0)),"")</f>
        <v/>
      </c>
      <c r="M855" s="61" t="str">
        <f aca="false">IF(IsPro,IF($D855="","",IF(AND(R855&lt;&gt;"",INDEX(Parties!$E$5:$E$304,R855)&lt;&gt;"",INDEX(Parties!$E$5:$E$304,R855)&lt;&gt;HomeState),0,ROUND(K855*L855/2,2))),"")</f>
        <v/>
      </c>
      <c r="N855" s="61" t="str">
        <f aca="false">IF(IsPro,IF($D855="","",M855),"")</f>
        <v/>
      </c>
      <c r="O855" s="61" t="str">
        <f aca="false">IF(IsPro,IF($D855="","",IF(AND(R855&lt;&gt;"",INDEX(Parties!$E$5:$E$304,R855)&lt;&gt;"",INDEX(Parties!$E$5:$E$304,R855)&lt;&gt;HomeState),ROUND(K855*L855,2),0)),"")</f>
        <v/>
      </c>
      <c r="P855" s="61" t="str">
        <f aca="false">IF(IsPro,IF($D855="","",K855+M855+N855+O855),"")</f>
        <v/>
      </c>
      <c r="Q855" s="60" t="str">
        <f aca="false">IF(IsPro,IF($D855="","",IFERROR(MATCH($D855,Items!$A$5:$A$504,0),"")),"")</f>
        <v/>
      </c>
      <c r="R855" s="60" t="str">
        <f aca="false">IF(IsPro,IF($C855="","",IFERROR(MATCH($C855,Parties!$A$5:$A$304,0),"")),"")</f>
        <v/>
      </c>
      <c r="S855" s="61" t="str">
        <f aca="false">IF(IsPro,IF($D855="","",IF(OR($H855="",$H855="Credit"),0,P855)),"")</f>
        <v/>
      </c>
    </row>
    <row r="856" customFormat="false" ht="15" hidden="false" customHeight="false" outlineLevel="0" collapsed="false">
      <c r="A856" s="55"/>
      <c r="B856" s="56"/>
      <c r="C856" s="56"/>
      <c r="D856" s="56"/>
      <c r="E856" s="57"/>
      <c r="F856" s="58"/>
      <c r="G856" s="59"/>
      <c r="H856" s="56"/>
      <c r="I856" s="60" t="str">
        <f aca="false">IF(IsPro,IF($D856="","",IFERROR(INDEX(Items!$D$5:$D$504,Q856),"")),IF($D856="","","PRO PLAN"))</f>
        <v/>
      </c>
      <c r="J856" s="61" t="str">
        <f aca="false">IF(IsPro,IF($D856="","",IF($F856="",IFERROR(INDEX(Items!$G$5:$G$504,Q856),0),$F856)),"")</f>
        <v/>
      </c>
      <c r="K856" s="61" t="str">
        <f aca="false">IF(IsPro,IF($D856="","",ROUND(N($E856)*J856*(1-N($G856)),2)),"")</f>
        <v/>
      </c>
      <c r="L856" s="62" t="str">
        <f aca="false">IF(IsPro,IF($D856="","",IFERROR(INDEX(Items!$F$5:$F$504,Q856),0)),"")</f>
        <v/>
      </c>
      <c r="M856" s="61" t="str">
        <f aca="false">IF(IsPro,IF($D856="","",IF(AND(R856&lt;&gt;"",INDEX(Parties!$E$5:$E$304,R856)&lt;&gt;"",INDEX(Parties!$E$5:$E$304,R856)&lt;&gt;HomeState),0,ROUND(K856*L856/2,2))),"")</f>
        <v/>
      </c>
      <c r="N856" s="61" t="str">
        <f aca="false">IF(IsPro,IF($D856="","",M856),"")</f>
        <v/>
      </c>
      <c r="O856" s="61" t="str">
        <f aca="false">IF(IsPro,IF($D856="","",IF(AND(R856&lt;&gt;"",INDEX(Parties!$E$5:$E$304,R856)&lt;&gt;"",INDEX(Parties!$E$5:$E$304,R856)&lt;&gt;HomeState),ROUND(K856*L856,2),0)),"")</f>
        <v/>
      </c>
      <c r="P856" s="61" t="str">
        <f aca="false">IF(IsPro,IF($D856="","",K856+M856+N856+O856),"")</f>
        <v/>
      </c>
      <c r="Q856" s="60" t="str">
        <f aca="false">IF(IsPro,IF($D856="","",IFERROR(MATCH($D856,Items!$A$5:$A$504,0),"")),"")</f>
        <v/>
      </c>
      <c r="R856" s="60" t="str">
        <f aca="false">IF(IsPro,IF($C856="","",IFERROR(MATCH($C856,Parties!$A$5:$A$304,0),"")),"")</f>
        <v/>
      </c>
      <c r="S856" s="61" t="str">
        <f aca="false">IF(IsPro,IF($D856="","",IF(OR($H856="",$H856="Credit"),0,P856)),"")</f>
        <v/>
      </c>
    </row>
    <row r="857" customFormat="false" ht="15" hidden="false" customHeight="false" outlineLevel="0" collapsed="false">
      <c r="A857" s="55"/>
      <c r="B857" s="56"/>
      <c r="C857" s="56"/>
      <c r="D857" s="56"/>
      <c r="E857" s="57"/>
      <c r="F857" s="58"/>
      <c r="G857" s="59"/>
      <c r="H857" s="56"/>
      <c r="I857" s="60" t="str">
        <f aca="false">IF(IsPro,IF($D857="","",IFERROR(INDEX(Items!$D$5:$D$504,Q857),"")),IF($D857="","","PRO PLAN"))</f>
        <v/>
      </c>
      <c r="J857" s="61" t="str">
        <f aca="false">IF(IsPro,IF($D857="","",IF($F857="",IFERROR(INDEX(Items!$G$5:$G$504,Q857),0),$F857)),"")</f>
        <v/>
      </c>
      <c r="K857" s="61" t="str">
        <f aca="false">IF(IsPro,IF($D857="","",ROUND(N($E857)*J857*(1-N($G857)),2)),"")</f>
        <v/>
      </c>
      <c r="L857" s="62" t="str">
        <f aca="false">IF(IsPro,IF($D857="","",IFERROR(INDEX(Items!$F$5:$F$504,Q857),0)),"")</f>
        <v/>
      </c>
      <c r="M857" s="61" t="str">
        <f aca="false">IF(IsPro,IF($D857="","",IF(AND(R857&lt;&gt;"",INDEX(Parties!$E$5:$E$304,R857)&lt;&gt;"",INDEX(Parties!$E$5:$E$304,R857)&lt;&gt;HomeState),0,ROUND(K857*L857/2,2))),"")</f>
        <v/>
      </c>
      <c r="N857" s="61" t="str">
        <f aca="false">IF(IsPro,IF($D857="","",M857),"")</f>
        <v/>
      </c>
      <c r="O857" s="61" t="str">
        <f aca="false">IF(IsPro,IF($D857="","",IF(AND(R857&lt;&gt;"",INDEX(Parties!$E$5:$E$304,R857)&lt;&gt;"",INDEX(Parties!$E$5:$E$304,R857)&lt;&gt;HomeState),ROUND(K857*L857,2),0)),"")</f>
        <v/>
      </c>
      <c r="P857" s="61" t="str">
        <f aca="false">IF(IsPro,IF($D857="","",K857+M857+N857+O857),"")</f>
        <v/>
      </c>
      <c r="Q857" s="60" t="str">
        <f aca="false">IF(IsPro,IF($D857="","",IFERROR(MATCH($D857,Items!$A$5:$A$504,0),"")),"")</f>
        <v/>
      </c>
      <c r="R857" s="60" t="str">
        <f aca="false">IF(IsPro,IF($C857="","",IFERROR(MATCH($C857,Parties!$A$5:$A$304,0),"")),"")</f>
        <v/>
      </c>
      <c r="S857" s="61" t="str">
        <f aca="false">IF(IsPro,IF($D857="","",IF(OR($H857="",$H857="Credit"),0,P857)),"")</f>
        <v/>
      </c>
    </row>
    <row r="858" customFormat="false" ht="15" hidden="false" customHeight="false" outlineLevel="0" collapsed="false">
      <c r="A858" s="55"/>
      <c r="B858" s="56"/>
      <c r="C858" s="56"/>
      <c r="D858" s="56"/>
      <c r="E858" s="57"/>
      <c r="F858" s="58"/>
      <c r="G858" s="59"/>
      <c r="H858" s="56"/>
      <c r="I858" s="60" t="str">
        <f aca="false">IF(IsPro,IF($D858="","",IFERROR(INDEX(Items!$D$5:$D$504,Q858),"")),IF($D858="","","PRO PLAN"))</f>
        <v/>
      </c>
      <c r="J858" s="61" t="str">
        <f aca="false">IF(IsPro,IF($D858="","",IF($F858="",IFERROR(INDEX(Items!$G$5:$G$504,Q858),0),$F858)),"")</f>
        <v/>
      </c>
      <c r="K858" s="61" t="str">
        <f aca="false">IF(IsPro,IF($D858="","",ROUND(N($E858)*J858*(1-N($G858)),2)),"")</f>
        <v/>
      </c>
      <c r="L858" s="62" t="str">
        <f aca="false">IF(IsPro,IF($D858="","",IFERROR(INDEX(Items!$F$5:$F$504,Q858),0)),"")</f>
        <v/>
      </c>
      <c r="M858" s="61" t="str">
        <f aca="false">IF(IsPro,IF($D858="","",IF(AND(R858&lt;&gt;"",INDEX(Parties!$E$5:$E$304,R858)&lt;&gt;"",INDEX(Parties!$E$5:$E$304,R858)&lt;&gt;HomeState),0,ROUND(K858*L858/2,2))),"")</f>
        <v/>
      </c>
      <c r="N858" s="61" t="str">
        <f aca="false">IF(IsPro,IF($D858="","",M858),"")</f>
        <v/>
      </c>
      <c r="O858" s="61" t="str">
        <f aca="false">IF(IsPro,IF($D858="","",IF(AND(R858&lt;&gt;"",INDEX(Parties!$E$5:$E$304,R858)&lt;&gt;"",INDEX(Parties!$E$5:$E$304,R858)&lt;&gt;HomeState),ROUND(K858*L858,2),0)),"")</f>
        <v/>
      </c>
      <c r="P858" s="61" t="str">
        <f aca="false">IF(IsPro,IF($D858="","",K858+M858+N858+O858),"")</f>
        <v/>
      </c>
      <c r="Q858" s="60" t="str">
        <f aca="false">IF(IsPro,IF($D858="","",IFERROR(MATCH($D858,Items!$A$5:$A$504,0),"")),"")</f>
        <v/>
      </c>
      <c r="R858" s="60" t="str">
        <f aca="false">IF(IsPro,IF($C858="","",IFERROR(MATCH($C858,Parties!$A$5:$A$304,0),"")),"")</f>
        <v/>
      </c>
      <c r="S858" s="61" t="str">
        <f aca="false">IF(IsPro,IF($D858="","",IF(OR($H858="",$H858="Credit"),0,P858)),"")</f>
        <v/>
      </c>
    </row>
    <row r="859" customFormat="false" ht="15" hidden="false" customHeight="false" outlineLevel="0" collapsed="false">
      <c r="A859" s="55"/>
      <c r="B859" s="56"/>
      <c r="C859" s="56"/>
      <c r="D859" s="56"/>
      <c r="E859" s="57"/>
      <c r="F859" s="58"/>
      <c r="G859" s="59"/>
      <c r="H859" s="56"/>
      <c r="I859" s="60" t="str">
        <f aca="false">IF(IsPro,IF($D859="","",IFERROR(INDEX(Items!$D$5:$D$504,Q859),"")),IF($D859="","","PRO PLAN"))</f>
        <v/>
      </c>
      <c r="J859" s="61" t="str">
        <f aca="false">IF(IsPro,IF($D859="","",IF($F859="",IFERROR(INDEX(Items!$G$5:$G$504,Q859),0),$F859)),"")</f>
        <v/>
      </c>
      <c r="K859" s="61" t="str">
        <f aca="false">IF(IsPro,IF($D859="","",ROUND(N($E859)*J859*(1-N($G859)),2)),"")</f>
        <v/>
      </c>
      <c r="L859" s="62" t="str">
        <f aca="false">IF(IsPro,IF($D859="","",IFERROR(INDEX(Items!$F$5:$F$504,Q859),0)),"")</f>
        <v/>
      </c>
      <c r="M859" s="61" t="str">
        <f aca="false">IF(IsPro,IF($D859="","",IF(AND(R859&lt;&gt;"",INDEX(Parties!$E$5:$E$304,R859)&lt;&gt;"",INDEX(Parties!$E$5:$E$304,R859)&lt;&gt;HomeState),0,ROUND(K859*L859/2,2))),"")</f>
        <v/>
      </c>
      <c r="N859" s="61" t="str">
        <f aca="false">IF(IsPro,IF($D859="","",M859),"")</f>
        <v/>
      </c>
      <c r="O859" s="61" t="str">
        <f aca="false">IF(IsPro,IF($D859="","",IF(AND(R859&lt;&gt;"",INDEX(Parties!$E$5:$E$304,R859)&lt;&gt;"",INDEX(Parties!$E$5:$E$304,R859)&lt;&gt;HomeState),ROUND(K859*L859,2),0)),"")</f>
        <v/>
      </c>
      <c r="P859" s="61" t="str">
        <f aca="false">IF(IsPro,IF($D859="","",K859+M859+N859+O859),"")</f>
        <v/>
      </c>
      <c r="Q859" s="60" t="str">
        <f aca="false">IF(IsPro,IF($D859="","",IFERROR(MATCH($D859,Items!$A$5:$A$504,0),"")),"")</f>
        <v/>
      </c>
      <c r="R859" s="60" t="str">
        <f aca="false">IF(IsPro,IF($C859="","",IFERROR(MATCH($C859,Parties!$A$5:$A$304,0),"")),"")</f>
        <v/>
      </c>
      <c r="S859" s="61" t="str">
        <f aca="false">IF(IsPro,IF($D859="","",IF(OR($H859="",$H859="Credit"),0,P859)),"")</f>
        <v/>
      </c>
    </row>
    <row r="860" customFormat="false" ht="15" hidden="false" customHeight="false" outlineLevel="0" collapsed="false">
      <c r="A860" s="55"/>
      <c r="B860" s="56"/>
      <c r="C860" s="56"/>
      <c r="D860" s="56"/>
      <c r="E860" s="57"/>
      <c r="F860" s="58"/>
      <c r="G860" s="59"/>
      <c r="H860" s="56"/>
      <c r="I860" s="60" t="str">
        <f aca="false">IF(IsPro,IF($D860="","",IFERROR(INDEX(Items!$D$5:$D$504,Q860),"")),IF($D860="","","PRO PLAN"))</f>
        <v/>
      </c>
      <c r="J860" s="61" t="str">
        <f aca="false">IF(IsPro,IF($D860="","",IF($F860="",IFERROR(INDEX(Items!$G$5:$G$504,Q860),0),$F860)),"")</f>
        <v/>
      </c>
      <c r="K860" s="61" t="str">
        <f aca="false">IF(IsPro,IF($D860="","",ROUND(N($E860)*J860*(1-N($G860)),2)),"")</f>
        <v/>
      </c>
      <c r="L860" s="62" t="str">
        <f aca="false">IF(IsPro,IF($D860="","",IFERROR(INDEX(Items!$F$5:$F$504,Q860),0)),"")</f>
        <v/>
      </c>
      <c r="M860" s="61" t="str">
        <f aca="false">IF(IsPro,IF($D860="","",IF(AND(R860&lt;&gt;"",INDEX(Parties!$E$5:$E$304,R860)&lt;&gt;"",INDEX(Parties!$E$5:$E$304,R860)&lt;&gt;HomeState),0,ROUND(K860*L860/2,2))),"")</f>
        <v/>
      </c>
      <c r="N860" s="61" t="str">
        <f aca="false">IF(IsPro,IF($D860="","",M860),"")</f>
        <v/>
      </c>
      <c r="O860" s="61" t="str">
        <f aca="false">IF(IsPro,IF($D860="","",IF(AND(R860&lt;&gt;"",INDEX(Parties!$E$5:$E$304,R860)&lt;&gt;"",INDEX(Parties!$E$5:$E$304,R860)&lt;&gt;HomeState),ROUND(K860*L860,2),0)),"")</f>
        <v/>
      </c>
      <c r="P860" s="61" t="str">
        <f aca="false">IF(IsPro,IF($D860="","",K860+M860+N860+O860),"")</f>
        <v/>
      </c>
      <c r="Q860" s="60" t="str">
        <f aca="false">IF(IsPro,IF($D860="","",IFERROR(MATCH($D860,Items!$A$5:$A$504,0),"")),"")</f>
        <v/>
      </c>
      <c r="R860" s="60" t="str">
        <f aca="false">IF(IsPro,IF($C860="","",IFERROR(MATCH($C860,Parties!$A$5:$A$304,0),"")),"")</f>
        <v/>
      </c>
      <c r="S860" s="61" t="str">
        <f aca="false">IF(IsPro,IF($D860="","",IF(OR($H860="",$H860="Credit"),0,P860)),"")</f>
        <v/>
      </c>
    </row>
    <row r="861" customFormat="false" ht="15" hidden="false" customHeight="false" outlineLevel="0" collapsed="false">
      <c r="A861" s="55"/>
      <c r="B861" s="56"/>
      <c r="C861" s="56"/>
      <c r="D861" s="56"/>
      <c r="E861" s="57"/>
      <c r="F861" s="58"/>
      <c r="G861" s="59"/>
      <c r="H861" s="56"/>
      <c r="I861" s="60" t="str">
        <f aca="false">IF(IsPro,IF($D861="","",IFERROR(INDEX(Items!$D$5:$D$504,Q861),"")),IF($D861="","","PRO PLAN"))</f>
        <v/>
      </c>
      <c r="J861" s="61" t="str">
        <f aca="false">IF(IsPro,IF($D861="","",IF($F861="",IFERROR(INDEX(Items!$G$5:$G$504,Q861),0),$F861)),"")</f>
        <v/>
      </c>
      <c r="K861" s="61" t="str">
        <f aca="false">IF(IsPro,IF($D861="","",ROUND(N($E861)*J861*(1-N($G861)),2)),"")</f>
        <v/>
      </c>
      <c r="L861" s="62" t="str">
        <f aca="false">IF(IsPro,IF($D861="","",IFERROR(INDEX(Items!$F$5:$F$504,Q861),0)),"")</f>
        <v/>
      </c>
      <c r="M861" s="61" t="str">
        <f aca="false">IF(IsPro,IF($D861="","",IF(AND(R861&lt;&gt;"",INDEX(Parties!$E$5:$E$304,R861)&lt;&gt;"",INDEX(Parties!$E$5:$E$304,R861)&lt;&gt;HomeState),0,ROUND(K861*L861/2,2))),"")</f>
        <v/>
      </c>
      <c r="N861" s="61" t="str">
        <f aca="false">IF(IsPro,IF($D861="","",M861),"")</f>
        <v/>
      </c>
      <c r="O861" s="61" t="str">
        <f aca="false">IF(IsPro,IF($D861="","",IF(AND(R861&lt;&gt;"",INDEX(Parties!$E$5:$E$304,R861)&lt;&gt;"",INDEX(Parties!$E$5:$E$304,R861)&lt;&gt;HomeState),ROUND(K861*L861,2),0)),"")</f>
        <v/>
      </c>
      <c r="P861" s="61" t="str">
        <f aca="false">IF(IsPro,IF($D861="","",K861+M861+N861+O861),"")</f>
        <v/>
      </c>
      <c r="Q861" s="60" t="str">
        <f aca="false">IF(IsPro,IF($D861="","",IFERROR(MATCH($D861,Items!$A$5:$A$504,0),"")),"")</f>
        <v/>
      </c>
      <c r="R861" s="60" t="str">
        <f aca="false">IF(IsPro,IF($C861="","",IFERROR(MATCH($C861,Parties!$A$5:$A$304,0),"")),"")</f>
        <v/>
      </c>
      <c r="S861" s="61" t="str">
        <f aca="false">IF(IsPro,IF($D861="","",IF(OR($H861="",$H861="Credit"),0,P861)),"")</f>
        <v/>
      </c>
    </row>
    <row r="862" customFormat="false" ht="15" hidden="false" customHeight="false" outlineLevel="0" collapsed="false">
      <c r="A862" s="55"/>
      <c r="B862" s="56"/>
      <c r="C862" s="56"/>
      <c r="D862" s="56"/>
      <c r="E862" s="57"/>
      <c r="F862" s="58"/>
      <c r="G862" s="59"/>
      <c r="H862" s="56"/>
      <c r="I862" s="60" t="str">
        <f aca="false">IF(IsPro,IF($D862="","",IFERROR(INDEX(Items!$D$5:$D$504,Q862),"")),IF($D862="","","PRO PLAN"))</f>
        <v/>
      </c>
      <c r="J862" s="61" t="str">
        <f aca="false">IF(IsPro,IF($D862="","",IF($F862="",IFERROR(INDEX(Items!$G$5:$G$504,Q862),0),$F862)),"")</f>
        <v/>
      </c>
      <c r="K862" s="61" t="str">
        <f aca="false">IF(IsPro,IF($D862="","",ROUND(N($E862)*J862*(1-N($G862)),2)),"")</f>
        <v/>
      </c>
      <c r="L862" s="62" t="str">
        <f aca="false">IF(IsPro,IF($D862="","",IFERROR(INDEX(Items!$F$5:$F$504,Q862),0)),"")</f>
        <v/>
      </c>
      <c r="M862" s="61" t="str">
        <f aca="false">IF(IsPro,IF($D862="","",IF(AND(R862&lt;&gt;"",INDEX(Parties!$E$5:$E$304,R862)&lt;&gt;"",INDEX(Parties!$E$5:$E$304,R862)&lt;&gt;HomeState),0,ROUND(K862*L862/2,2))),"")</f>
        <v/>
      </c>
      <c r="N862" s="61" t="str">
        <f aca="false">IF(IsPro,IF($D862="","",M862),"")</f>
        <v/>
      </c>
      <c r="O862" s="61" t="str">
        <f aca="false">IF(IsPro,IF($D862="","",IF(AND(R862&lt;&gt;"",INDEX(Parties!$E$5:$E$304,R862)&lt;&gt;"",INDEX(Parties!$E$5:$E$304,R862)&lt;&gt;HomeState),ROUND(K862*L862,2),0)),"")</f>
        <v/>
      </c>
      <c r="P862" s="61" t="str">
        <f aca="false">IF(IsPro,IF($D862="","",K862+M862+N862+O862),"")</f>
        <v/>
      </c>
      <c r="Q862" s="60" t="str">
        <f aca="false">IF(IsPro,IF($D862="","",IFERROR(MATCH($D862,Items!$A$5:$A$504,0),"")),"")</f>
        <v/>
      </c>
      <c r="R862" s="60" t="str">
        <f aca="false">IF(IsPro,IF($C862="","",IFERROR(MATCH($C862,Parties!$A$5:$A$304,0),"")),"")</f>
        <v/>
      </c>
      <c r="S862" s="61" t="str">
        <f aca="false">IF(IsPro,IF($D862="","",IF(OR($H862="",$H862="Credit"),0,P862)),"")</f>
        <v/>
      </c>
    </row>
    <row r="863" customFormat="false" ht="15" hidden="false" customHeight="false" outlineLevel="0" collapsed="false">
      <c r="A863" s="55"/>
      <c r="B863" s="56"/>
      <c r="C863" s="56"/>
      <c r="D863" s="56"/>
      <c r="E863" s="57"/>
      <c r="F863" s="58"/>
      <c r="G863" s="59"/>
      <c r="H863" s="56"/>
      <c r="I863" s="60" t="str">
        <f aca="false">IF(IsPro,IF($D863="","",IFERROR(INDEX(Items!$D$5:$D$504,Q863),"")),IF($D863="","","PRO PLAN"))</f>
        <v/>
      </c>
      <c r="J863" s="61" t="str">
        <f aca="false">IF(IsPro,IF($D863="","",IF($F863="",IFERROR(INDEX(Items!$G$5:$G$504,Q863),0),$F863)),"")</f>
        <v/>
      </c>
      <c r="K863" s="61" t="str">
        <f aca="false">IF(IsPro,IF($D863="","",ROUND(N($E863)*J863*(1-N($G863)),2)),"")</f>
        <v/>
      </c>
      <c r="L863" s="62" t="str">
        <f aca="false">IF(IsPro,IF($D863="","",IFERROR(INDEX(Items!$F$5:$F$504,Q863),0)),"")</f>
        <v/>
      </c>
      <c r="M863" s="61" t="str">
        <f aca="false">IF(IsPro,IF($D863="","",IF(AND(R863&lt;&gt;"",INDEX(Parties!$E$5:$E$304,R863)&lt;&gt;"",INDEX(Parties!$E$5:$E$304,R863)&lt;&gt;HomeState),0,ROUND(K863*L863/2,2))),"")</f>
        <v/>
      </c>
      <c r="N863" s="61" t="str">
        <f aca="false">IF(IsPro,IF($D863="","",M863),"")</f>
        <v/>
      </c>
      <c r="O863" s="61" t="str">
        <f aca="false">IF(IsPro,IF($D863="","",IF(AND(R863&lt;&gt;"",INDEX(Parties!$E$5:$E$304,R863)&lt;&gt;"",INDEX(Parties!$E$5:$E$304,R863)&lt;&gt;HomeState),ROUND(K863*L863,2),0)),"")</f>
        <v/>
      </c>
      <c r="P863" s="61" t="str">
        <f aca="false">IF(IsPro,IF($D863="","",K863+M863+N863+O863),"")</f>
        <v/>
      </c>
      <c r="Q863" s="60" t="str">
        <f aca="false">IF(IsPro,IF($D863="","",IFERROR(MATCH($D863,Items!$A$5:$A$504,0),"")),"")</f>
        <v/>
      </c>
      <c r="R863" s="60" t="str">
        <f aca="false">IF(IsPro,IF($C863="","",IFERROR(MATCH($C863,Parties!$A$5:$A$304,0),"")),"")</f>
        <v/>
      </c>
      <c r="S863" s="61" t="str">
        <f aca="false">IF(IsPro,IF($D863="","",IF(OR($H863="",$H863="Credit"),0,P863)),"")</f>
        <v/>
      </c>
    </row>
    <row r="864" customFormat="false" ht="15" hidden="false" customHeight="false" outlineLevel="0" collapsed="false">
      <c r="A864" s="55"/>
      <c r="B864" s="56"/>
      <c r="C864" s="56"/>
      <c r="D864" s="56"/>
      <c r="E864" s="57"/>
      <c r="F864" s="58"/>
      <c r="G864" s="59"/>
      <c r="H864" s="56"/>
      <c r="I864" s="60" t="str">
        <f aca="false">IF(IsPro,IF($D864="","",IFERROR(INDEX(Items!$D$5:$D$504,Q864),"")),IF($D864="","","PRO PLAN"))</f>
        <v/>
      </c>
      <c r="J864" s="61" t="str">
        <f aca="false">IF(IsPro,IF($D864="","",IF($F864="",IFERROR(INDEX(Items!$G$5:$G$504,Q864),0),$F864)),"")</f>
        <v/>
      </c>
      <c r="K864" s="61" t="str">
        <f aca="false">IF(IsPro,IF($D864="","",ROUND(N($E864)*J864*(1-N($G864)),2)),"")</f>
        <v/>
      </c>
      <c r="L864" s="62" t="str">
        <f aca="false">IF(IsPro,IF($D864="","",IFERROR(INDEX(Items!$F$5:$F$504,Q864),0)),"")</f>
        <v/>
      </c>
      <c r="M864" s="61" t="str">
        <f aca="false">IF(IsPro,IF($D864="","",IF(AND(R864&lt;&gt;"",INDEX(Parties!$E$5:$E$304,R864)&lt;&gt;"",INDEX(Parties!$E$5:$E$304,R864)&lt;&gt;HomeState),0,ROUND(K864*L864/2,2))),"")</f>
        <v/>
      </c>
      <c r="N864" s="61" t="str">
        <f aca="false">IF(IsPro,IF($D864="","",M864),"")</f>
        <v/>
      </c>
      <c r="O864" s="61" t="str">
        <f aca="false">IF(IsPro,IF($D864="","",IF(AND(R864&lt;&gt;"",INDEX(Parties!$E$5:$E$304,R864)&lt;&gt;"",INDEX(Parties!$E$5:$E$304,R864)&lt;&gt;HomeState),ROUND(K864*L864,2),0)),"")</f>
        <v/>
      </c>
      <c r="P864" s="61" t="str">
        <f aca="false">IF(IsPro,IF($D864="","",K864+M864+N864+O864),"")</f>
        <v/>
      </c>
      <c r="Q864" s="60" t="str">
        <f aca="false">IF(IsPro,IF($D864="","",IFERROR(MATCH($D864,Items!$A$5:$A$504,0),"")),"")</f>
        <v/>
      </c>
      <c r="R864" s="60" t="str">
        <f aca="false">IF(IsPro,IF($C864="","",IFERROR(MATCH($C864,Parties!$A$5:$A$304,0),"")),"")</f>
        <v/>
      </c>
      <c r="S864" s="61" t="str">
        <f aca="false">IF(IsPro,IF($D864="","",IF(OR($H864="",$H864="Credit"),0,P864)),"")</f>
        <v/>
      </c>
    </row>
    <row r="865" customFormat="false" ht="15" hidden="false" customHeight="false" outlineLevel="0" collapsed="false">
      <c r="A865" s="55"/>
      <c r="B865" s="56"/>
      <c r="C865" s="56"/>
      <c r="D865" s="56"/>
      <c r="E865" s="57"/>
      <c r="F865" s="58"/>
      <c r="G865" s="59"/>
      <c r="H865" s="56"/>
      <c r="I865" s="60" t="str">
        <f aca="false">IF(IsPro,IF($D865="","",IFERROR(INDEX(Items!$D$5:$D$504,Q865),"")),IF($D865="","","PRO PLAN"))</f>
        <v/>
      </c>
      <c r="J865" s="61" t="str">
        <f aca="false">IF(IsPro,IF($D865="","",IF($F865="",IFERROR(INDEX(Items!$G$5:$G$504,Q865),0),$F865)),"")</f>
        <v/>
      </c>
      <c r="K865" s="61" t="str">
        <f aca="false">IF(IsPro,IF($D865="","",ROUND(N($E865)*J865*(1-N($G865)),2)),"")</f>
        <v/>
      </c>
      <c r="L865" s="62" t="str">
        <f aca="false">IF(IsPro,IF($D865="","",IFERROR(INDEX(Items!$F$5:$F$504,Q865),0)),"")</f>
        <v/>
      </c>
      <c r="M865" s="61" t="str">
        <f aca="false">IF(IsPro,IF($D865="","",IF(AND(R865&lt;&gt;"",INDEX(Parties!$E$5:$E$304,R865)&lt;&gt;"",INDEX(Parties!$E$5:$E$304,R865)&lt;&gt;HomeState),0,ROUND(K865*L865/2,2))),"")</f>
        <v/>
      </c>
      <c r="N865" s="61" t="str">
        <f aca="false">IF(IsPro,IF($D865="","",M865),"")</f>
        <v/>
      </c>
      <c r="O865" s="61" t="str">
        <f aca="false">IF(IsPro,IF($D865="","",IF(AND(R865&lt;&gt;"",INDEX(Parties!$E$5:$E$304,R865)&lt;&gt;"",INDEX(Parties!$E$5:$E$304,R865)&lt;&gt;HomeState),ROUND(K865*L865,2),0)),"")</f>
        <v/>
      </c>
      <c r="P865" s="61" t="str">
        <f aca="false">IF(IsPro,IF($D865="","",K865+M865+N865+O865),"")</f>
        <v/>
      </c>
      <c r="Q865" s="60" t="str">
        <f aca="false">IF(IsPro,IF($D865="","",IFERROR(MATCH($D865,Items!$A$5:$A$504,0),"")),"")</f>
        <v/>
      </c>
      <c r="R865" s="60" t="str">
        <f aca="false">IF(IsPro,IF($C865="","",IFERROR(MATCH($C865,Parties!$A$5:$A$304,0),"")),"")</f>
        <v/>
      </c>
      <c r="S865" s="61" t="str">
        <f aca="false">IF(IsPro,IF($D865="","",IF(OR($H865="",$H865="Credit"),0,P865)),"")</f>
        <v/>
      </c>
    </row>
    <row r="866" customFormat="false" ht="15" hidden="false" customHeight="false" outlineLevel="0" collapsed="false">
      <c r="A866" s="55"/>
      <c r="B866" s="56"/>
      <c r="C866" s="56"/>
      <c r="D866" s="56"/>
      <c r="E866" s="57"/>
      <c r="F866" s="58"/>
      <c r="G866" s="59"/>
      <c r="H866" s="56"/>
      <c r="I866" s="60" t="str">
        <f aca="false">IF(IsPro,IF($D866="","",IFERROR(INDEX(Items!$D$5:$D$504,Q866),"")),IF($D866="","","PRO PLAN"))</f>
        <v/>
      </c>
      <c r="J866" s="61" t="str">
        <f aca="false">IF(IsPro,IF($D866="","",IF($F866="",IFERROR(INDEX(Items!$G$5:$G$504,Q866),0),$F866)),"")</f>
        <v/>
      </c>
      <c r="K866" s="61" t="str">
        <f aca="false">IF(IsPro,IF($D866="","",ROUND(N($E866)*J866*(1-N($G866)),2)),"")</f>
        <v/>
      </c>
      <c r="L866" s="62" t="str">
        <f aca="false">IF(IsPro,IF($D866="","",IFERROR(INDEX(Items!$F$5:$F$504,Q866),0)),"")</f>
        <v/>
      </c>
      <c r="M866" s="61" t="str">
        <f aca="false">IF(IsPro,IF($D866="","",IF(AND(R866&lt;&gt;"",INDEX(Parties!$E$5:$E$304,R866)&lt;&gt;"",INDEX(Parties!$E$5:$E$304,R866)&lt;&gt;HomeState),0,ROUND(K866*L866/2,2))),"")</f>
        <v/>
      </c>
      <c r="N866" s="61" t="str">
        <f aca="false">IF(IsPro,IF($D866="","",M866),"")</f>
        <v/>
      </c>
      <c r="O866" s="61" t="str">
        <f aca="false">IF(IsPro,IF($D866="","",IF(AND(R866&lt;&gt;"",INDEX(Parties!$E$5:$E$304,R866)&lt;&gt;"",INDEX(Parties!$E$5:$E$304,R866)&lt;&gt;HomeState),ROUND(K866*L866,2),0)),"")</f>
        <v/>
      </c>
      <c r="P866" s="61" t="str">
        <f aca="false">IF(IsPro,IF($D866="","",K866+M866+N866+O866),"")</f>
        <v/>
      </c>
      <c r="Q866" s="60" t="str">
        <f aca="false">IF(IsPro,IF($D866="","",IFERROR(MATCH($D866,Items!$A$5:$A$504,0),"")),"")</f>
        <v/>
      </c>
      <c r="R866" s="60" t="str">
        <f aca="false">IF(IsPro,IF($C866="","",IFERROR(MATCH($C866,Parties!$A$5:$A$304,0),"")),"")</f>
        <v/>
      </c>
      <c r="S866" s="61" t="str">
        <f aca="false">IF(IsPro,IF($D866="","",IF(OR($H866="",$H866="Credit"),0,P866)),"")</f>
        <v/>
      </c>
    </row>
    <row r="867" customFormat="false" ht="15" hidden="false" customHeight="false" outlineLevel="0" collapsed="false">
      <c r="A867" s="55"/>
      <c r="B867" s="56"/>
      <c r="C867" s="56"/>
      <c r="D867" s="56"/>
      <c r="E867" s="57"/>
      <c r="F867" s="58"/>
      <c r="G867" s="59"/>
      <c r="H867" s="56"/>
      <c r="I867" s="60" t="str">
        <f aca="false">IF(IsPro,IF($D867="","",IFERROR(INDEX(Items!$D$5:$D$504,Q867),"")),IF($D867="","","PRO PLAN"))</f>
        <v/>
      </c>
      <c r="J867" s="61" t="str">
        <f aca="false">IF(IsPro,IF($D867="","",IF($F867="",IFERROR(INDEX(Items!$G$5:$G$504,Q867),0),$F867)),"")</f>
        <v/>
      </c>
      <c r="K867" s="61" t="str">
        <f aca="false">IF(IsPro,IF($D867="","",ROUND(N($E867)*J867*(1-N($G867)),2)),"")</f>
        <v/>
      </c>
      <c r="L867" s="62" t="str">
        <f aca="false">IF(IsPro,IF($D867="","",IFERROR(INDEX(Items!$F$5:$F$504,Q867),0)),"")</f>
        <v/>
      </c>
      <c r="M867" s="61" t="str">
        <f aca="false">IF(IsPro,IF($D867="","",IF(AND(R867&lt;&gt;"",INDEX(Parties!$E$5:$E$304,R867)&lt;&gt;"",INDEX(Parties!$E$5:$E$304,R867)&lt;&gt;HomeState),0,ROUND(K867*L867/2,2))),"")</f>
        <v/>
      </c>
      <c r="N867" s="61" t="str">
        <f aca="false">IF(IsPro,IF($D867="","",M867),"")</f>
        <v/>
      </c>
      <c r="O867" s="61" t="str">
        <f aca="false">IF(IsPro,IF($D867="","",IF(AND(R867&lt;&gt;"",INDEX(Parties!$E$5:$E$304,R867)&lt;&gt;"",INDEX(Parties!$E$5:$E$304,R867)&lt;&gt;HomeState),ROUND(K867*L867,2),0)),"")</f>
        <v/>
      </c>
      <c r="P867" s="61" t="str">
        <f aca="false">IF(IsPro,IF($D867="","",K867+M867+N867+O867),"")</f>
        <v/>
      </c>
      <c r="Q867" s="60" t="str">
        <f aca="false">IF(IsPro,IF($D867="","",IFERROR(MATCH($D867,Items!$A$5:$A$504,0),"")),"")</f>
        <v/>
      </c>
      <c r="R867" s="60" t="str">
        <f aca="false">IF(IsPro,IF($C867="","",IFERROR(MATCH($C867,Parties!$A$5:$A$304,0),"")),"")</f>
        <v/>
      </c>
      <c r="S867" s="61" t="str">
        <f aca="false">IF(IsPro,IF($D867="","",IF(OR($H867="",$H867="Credit"),0,P867)),"")</f>
        <v/>
      </c>
    </row>
    <row r="868" customFormat="false" ht="15" hidden="false" customHeight="false" outlineLevel="0" collapsed="false">
      <c r="A868" s="55"/>
      <c r="B868" s="56"/>
      <c r="C868" s="56"/>
      <c r="D868" s="56"/>
      <c r="E868" s="57"/>
      <c r="F868" s="58"/>
      <c r="G868" s="59"/>
      <c r="H868" s="56"/>
      <c r="I868" s="60" t="str">
        <f aca="false">IF(IsPro,IF($D868="","",IFERROR(INDEX(Items!$D$5:$D$504,Q868),"")),IF($D868="","","PRO PLAN"))</f>
        <v/>
      </c>
      <c r="J868" s="61" t="str">
        <f aca="false">IF(IsPro,IF($D868="","",IF($F868="",IFERROR(INDEX(Items!$G$5:$G$504,Q868),0),$F868)),"")</f>
        <v/>
      </c>
      <c r="K868" s="61" t="str">
        <f aca="false">IF(IsPro,IF($D868="","",ROUND(N($E868)*J868*(1-N($G868)),2)),"")</f>
        <v/>
      </c>
      <c r="L868" s="62" t="str">
        <f aca="false">IF(IsPro,IF($D868="","",IFERROR(INDEX(Items!$F$5:$F$504,Q868),0)),"")</f>
        <v/>
      </c>
      <c r="M868" s="61" t="str">
        <f aca="false">IF(IsPro,IF($D868="","",IF(AND(R868&lt;&gt;"",INDEX(Parties!$E$5:$E$304,R868)&lt;&gt;"",INDEX(Parties!$E$5:$E$304,R868)&lt;&gt;HomeState),0,ROUND(K868*L868/2,2))),"")</f>
        <v/>
      </c>
      <c r="N868" s="61" t="str">
        <f aca="false">IF(IsPro,IF($D868="","",M868),"")</f>
        <v/>
      </c>
      <c r="O868" s="61" t="str">
        <f aca="false">IF(IsPro,IF($D868="","",IF(AND(R868&lt;&gt;"",INDEX(Parties!$E$5:$E$304,R868)&lt;&gt;"",INDEX(Parties!$E$5:$E$304,R868)&lt;&gt;HomeState),ROUND(K868*L868,2),0)),"")</f>
        <v/>
      </c>
      <c r="P868" s="61" t="str">
        <f aca="false">IF(IsPro,IF($D868="","",K868+M868+N868+O868),"")</f>
        <v/>
      </c>
      <c r="Q868" s="60" t="str">
        <f aca="false">IF(IsPro,IF($D868="","",IFERROR(MATCH($D868,Items!$A$5:$A$504,0),"")),"")</f>
        <v/>
      </c>
      <c r="R868" s="60" t="str">
        <f aca="false">IF(IsPro,IF($C868="","",IFERROR(MATCH($C868,Parties!$A$5:$A$304,0),"")),"")</f>
        <v/>
      </c>
      <c r="S868" s="61" t="str">
        <f aca="false">IF(IsPro,IF($D868="","",IF(OR($H868="",$H868="Credit"),0,P868)),"")</f>
        <v/>
      </c>
    </row>
    <row r="869" customFormat="false" ht="15" hidden="false" customHeight="false" outlineLevel="0" collapsed="false">
      <c r="A869" s="55"/>
      <c r="B869" s="56"/>
      <c r="C869" s="56"/>
      <c r="D869" s="56"/>
      <c r="E869" s="57"/>
      <c r="F869" s="58"/>
      <c r="G869" s="59"/>
      <c r="H869" s="56"/>
      <c r="I869" s="60" t="str">
        <f aca="false">IF(IsPro,IF($D869="","",IFERROR(INDEX(Items!$D$5:$D$504,Q869),"")),IF($D869="","","PRO PLAN"))</f>
        <v/>
      </c>
      <c r="J869" s="61" t="str">
        <f aca="false">IF(IsPro,IF($D869="","",IF($F869="",IFERROR(INDEX(Items!$G$5:$G$504,Q869),0),$F869)),"")</f>
        <v/>
      </c>
      <c r="K869" s="61" t="str">
        <f aca="false">IF(IsPro,IF($D869="","",ROUND(N($E869)*J869*(1-N($G869)),2)),"")</f>
        <v/>
      </c>
      <c r="L869" s="62" t="str">
        <f aca="false">IF(IsPro,IF($D869="","",IFERROR(INDEX(Items!$F$5:$F$504,Q869),0)),"")</f>
        <v/>
      </c>
      <c r="M869" s="61" t="str">
        <f aca="false">IF(IsPro,IF($D869="","",IF(AND(R869&lt;&gt;"",INDEX(Parties!$E$5:$E$304,R869)&lt;&gt;"",INDEX(Parties!$E$5:$E$304,R869)&lt;&gt;HomeState),0,ROUND(K869*L869/2,2))),"")</f>
        <v/>
      </c>
      <c r="N869" s="61" t="str">
        <f aca="false">IF(IsPro,IF($D869="","",M869),"")</f>
        <v/>
      </c>
      <c r="O869" s="61" t="str">
        <f aca="false">IF(IsPro,IF($D869="","",IF(AND(R869&lt;&gt;"",INDEX(Parties!$E$5:$E$304,R869)&lt;&gt;"",INDEX(Parties!$E$5:$E$304,R869)&lt;&gt;HomeState),ROUND(K869*L869,2),0)),"")</f>
        <v/>
      </c>
      <c r="P869" s="61" t="str">
        <f aca="false">IF(IsPro,IF($D869="","",K869+M869+N869+O869),"")</f>
        <v/>
      </c>
      <c r="Q869" s="60" t="str">
        <f aca="false">IF(IsPro,IF($D869="","",IFERROR(MATCH($D869,Items!$A$5:$A$504,0),"")),"")</f>
        <v/>
      </c>
      <c r="R869" s="60" t="str">
        <f aca="false">IF(IsPro,IF($C869="","",IFERROR(MATCH($C869,Parties!$A$5:$A$304,0),"")),"")</f>
        <v/>
      </c>
      <c r="S869" s="61" t="str">
        <f aca="false">IF(IsPro,IF($D869="","",IF(OR($H869="",$H869="Credit"),0,P869)),"")</f>
        <v/>
      </c>
    </row>
    <row r="870" customFormat="false" ht="15" hidden="false" customHeight="false" outlineLevel="0" collapsed="false">
      <c r="A870" s="55"/>
      <c r="B870" s="56"/>
      <c r="C870" s="56"/>
      <c r="D870" s="56"/>
      <c r="E870" s="57"/>
      <c r="F870" s="58"/>
      <c r="G870" s="59"/>
      <c r="H870" s="56"/>
      <c r="I870" s="60" t="str">
        <f aca="false">IF(IsPro,IF($D870="","",IFERROR(INDEX(Items!$D$5:$D$504,Q870),"")),IF($D870="","","PRO PLAN"))</f>
        <v/>
      </c>
      <c r="J870" s="61" t="str">
        <f aca="false">IF(IsPro,IF($D870="","",IF($F870="",IFERROR(INDEX(Items!$G$5:$G$504,Q870),0),$F870)),"")</f>
        <v/>
      </c>
      <c r="K870" s="61" t="str">
        <f aca="false">IF(IsPro,IF($D870="","",ROUND(N($E870)*J870*(1-N($G870)),2)),"")</f>
        <v/>
      </c>
      <c r="L870" s="62" t="str">
        <f aca="false">IF(IsPro,IF($D870="","",IFERROR(INDEX(Items!$F$5:$F$504,Q870),0)),"")</f>
        <v/>
      </c>
      <c r="M870" s="61" t="str">
        <f aca="false">IF(IsPro,IF($D870="","",IF(AND(R870&lt;&gt;"",INDEX(Parties!$E$5:$E$304,R870)&lt;&gt;"",INDEX(Parties!$E$5:$E$304,R870)&lt;&gt;HomeState),0,ROUND(K870*L870/2,2))),"")</f>
        <v/>
      </c>
      <c r="N870" s="61" t="str">
        <f aca="false">IF(IsPro,IF($D870="","",M870),"")</f>
        <v/>
      </c>
      <c r="O870" s="61" t="str">
        <f aca="false">IF(IsPro,IF($D870="","",IF(AND(R870&lt;&gt;"",INDEX(Parties!$E$5:$E$304,R870)&lt;&gt;"",INDEX(Parties!$E$5:$E$304,R870)&lt;&gt;HomeState),ROUND(K870*L870,2),0)),"")</f>
        <v/>
      </c>
      <c r="P870" s="61" t="str">
        <f aca="false">IF(IsPro,IF($D870="","",K870+M870+N870+O870),"")</f>
        <v/>
      </c>
      <c r="Q870" s="60" t="str">
        <f aca="false">IF(IsPro,IF($D870="","",IFERROR(MATCH($D870,Items!$A$5:$A$504,0),"")),"")</f>
        <v/>
      </c>
      <c r="R870" s="60" t="str">
        <f aca="false">IF(IsPro,IF($C870="","",IFERROR(MATCH($C870,Parties!$A$5:$A$304,0),"")),"")</f>
        <v/>
      </c>
      <c r="S870" s="61" t="str">
        <f aca="false">IF(IsPro,IF($D870="","",IF(OR($H870="",$H870="Credit"),0,P870)),"")</f>
        <v/>
      </c>
    </row>
    <row r="871" customFormat="false" ht="15" hidden="false" customHeight="false" outlineLevel="0" collapsed="false">
      <c r="A871" s="55"/>
      <c r="B871" s="56"/>
      <c r="C871" s="56"/>
      <c r="D871" s="56"/>
      <c r="E871" s="57"/>
      <c r="F871" s="58"/>
      <c r="G871" s="59"/>
      <c r="H871" s="56"/>
      <c r="I871" s="60" t="str">
        <f aca="false">IF(IsPro,IF($D871="","",IFERROR(INDEX(Items!$D$5:$D$504,Q871),"")),IF($D871="","","PRO PLAN"))</f>
        <v/>
      </c>
      <c r="J871" s="61" t="str">
        <f aca="false">IF(IsPro,IF($D871="","",IF($F871="",IFERROR(INDEX(Items!$G$5:$G$504,Q871),0),$F871)),"")</f>
        <v/>
      </c>
      <c r="K871" s="61" t="str">
        <f aca="false">IF(IsPro,IF($D871="","",ROUND(N($E871)*J871*(1-N($G871)),2)),"")</f>
        <v/>
      </c>
      <c r="L871" s="62" t="str">
        <f aca="false">IF(IsPro,IF($D871="","",IFERROR(INDEX(Items!$F$5:$F$504,Q871),0)),"")</f>
        <v/>
      </c>
      <c r="M871" s="61" t="str">
        <f aca="false">IF(IsPro,IF($D871="","",IF(AND(R871&lt;&gt;"",INDEX(Parties!$E$5:$E$304,R871)&lt;&gt;"",INDEX(Parties!$E$5:$E$304,R871)&lt;&gt;HomeState),0,ROUND(K871*L871/2,2))),"")</f>
        <v/>
      </c>
      <c r="N871" s="61" t="str">
        <f aca="false">IF(IsPro,IF($D871="","",M871),"")</f>
        <v/>
      </c>
      <c r="O871" s="61" t="str">
        <f aca="false">IF(IsPro,IF($D871="","",IF(AND(R871&lt;&gt;"",INDEX(Parties!$E$5:$E$304,R871)&lt;&gt;"",INDEX(Parties!$E$5:$E$304,R871)&lt;&gt;HomeState),ROUND(K871*L871,2),0)),"")</f>
        <v/>
      </c>
      <c r="P871" s="61" t="str">
        <f aca="false">IF(IsPro,IF($D871="","",K871+M871+N871+O871),"")</f>
        <v/>
      </c>
      <c r="Q871" s="60" t="str">
        <f aca="false">IF(IsPro,IF($D871="","",IFERROR(MATCH($D871,Items!$A$5:$A$504,0),"")),"")</f>
        <v/>
      </c>
      <c r="R871" s="60" t="str">
        <f aca="false">IF(IsPro,IF($C871="","",IFERROR(MATCH($C871,Parties!$A$5:$A$304,0),"")),"")</f>
        <v/>
      </c>
      <c r="S871" s="61" t="str">
        <f aca="false">IF(IsPro,IF($D871="","",IF(OR($H871="",$H871="Credit"),0,P871)),"")</f>
        <v/>
      </c>
    </row>
    <row r="872" customFormat="false" ht="15" hidden="false" customHeight="false" outlineLevel="0" collapsed="false">
      <c r="A872" s="55"/>
      <c r="B872" s="56"/>
      <c r="C872" s="56"/>
      <c r="D872" s="56"/>
      <c r="E872" s="57"/>
      <c r="F872" s="58"/>
      <c r="G872" s="59"/>
      <c r="H872" s="56"/>
      <c r="I872" s="60" t="str">
        <f aca="false">IF(IsPro,IF($D872="","",IFERROR(INDEX(Items!$D$5:$D$504,Q872),"")),IF($D872="","","PRO PLAN"))</f>
        <v/>
      </c>
      <c r="J872" s="61" t="str">
        <f aca="false">IF(IsPro,IF($D872="","",IF($F872="",IFERROR(INDEX(Items!$G$5:$G$504,Q872),0),$F872)),"")</f>
        <v/>
      </c>
      <c r="K872" s="61" t="str">
        <f aca="false">IF(IsPro,IF($D872="","",ROUND(N($E872)*J872*(1-N($G872)),2)),"")</f>
        <v/>
      </c>
      <c r="L872" s="62" t="str">
        <f aca="false">IF(IsPro,IF($D872="","",IFERROR(INDEX(Items!$F$5:$F$504,Q872),0)),"")</f>
        <v/>
      </c>
      <c r="M872" s="61" t="str">
        <f aca="false">IF(IsPro,IF($D872="","",IF(AND(R872&lt;&gt;"",INDEX(Parties!$E$5:$E$304,R872)&lt;&gt;"",INDEX(Parties!$E$5:$E$304,R872)&lt;&gt;HomeState),0,ROUND(K872*L872/2,2))),"")</f>
        <v/>
      </c>
      <c r="N872" s="61" t="str">
        <f aca="false">IF(IsPro,IF($D872="","",M872),"")</f>
        <v/>
      </c>
      <c r="O872" s="61" t="str">
        <f aca="false">IF(IsPro,IF($D872="","",IF(AND(R872&lt;&gt;"",INDEX(Parties!$E$5:$E$304,R872)&lt;&gt;"",INDEX(Parties!$E$5:$E$304,R872)&lt;&gt;HomeState),ROUND(K872*L872,2),0)),"")</f>
        <v/>
      </c>
      <c r="P872" s="61" t="str">
        <f aca="false">IF(IsPro,IF($D872="","",K872+M872+N872+O872),"")</f>
        <v/>
      </c>
      <c r="Q872" s="60" t="str">
        <f aca="false">IF(IsPro,IF($D872="","",IFERROR(MATCH($D872,Items!$A$5:$A$504,0),"")),"")</f>
        <v/>
      </c>
      <c r="R872" s="60" t="str">
        <f aca="false">IF(IsPro,IF($C872="","",IFERROR(MATCH($C872,Parties!$A$5:$A$304,0),"")),"")</f>
        <v/>
      </c>
      <c r="S872" s="61" t="str">
        <f aca="false">IF(IsPro,IF($D872="","",IF(OR($H872="",$H872="Credit"),0,P872)),"")</f>
        <v/>
      </c>
    </row>
    <row r="873" customFormat="false" ht="15" hidden="false" customHeight="false" outlineLevel="0" collapsed="false">
      <c r="A873" s="55"/>
      <c r="B873" s="56"/>
      <c r="C873" s="56"/>
      <c r="D873" s="56"/>
      <c r="E873" s="57"/>
      <c r="F873" s="58"/>
      <c r="G873" s="59"/>
      <c r="H873" s="56"/>
      <c r="I873" s="60" t="str">
        <f aca="false">IF(IsPro,IF($D873="","",IFERROR(INDEX(Items!$D$5:$D$504,Q873),"")),IF($D873="","","PRO PLAN"))</f>
        <v/>
      </c>
      <c r="J873" s="61" t="str">
        <f aca="false">IF(IsPro,IF($D873="","",IF($F873="",IFERROR(INDEX(Items!$G$5:$G$504,Q873),0),$F873)),"")</f>
        <v/>
      </c>
      <c r="K873" s="61" t="str">
        <f aca="false">IF(IsPro,IF($D873="","",ROUND(N($E873)*J873*(1-N($G873)),2)),"")</f>
        <v/>
      </c>
      <c r="L873" s="62" t="str">
        <f aca="false">IF(IsPro,IF($D873="","",IFERROR(INDEX(Items!$F$5:$F$504,Q873),0)),"")</f>
        <v/>
      </c>
      <c r="M873" s="61" t="str">
        <f aca="false">IF(IsPro,IF($D873="","",IF(AND(R873&lt;&gt;"",INDEX(Parties!$E$5:$E$304,R873)&lt;&gt;"",INDEX(Parties!$E$5:$E$304,R873)&lt;&gt;HomeState),0,ROUND(K873*L873/2,2))),"")</f>
        <v/>
      </c>
      <c r="N873" s="61" t="str">
        <f aca="false">IF(IsPro,IF($D873="","",M873),"")</f>
        <v/>
      </c>
      <c r="O873" s="61" t="str">
        <f aca="false">IF(IsPro,IF($D873="","",IF(AND(R873&lt;&gt;"",INDEX(Parties!$E$5:$E$304,R873)&lt;&gt;"",INDEX(Parties!$E$5:$E$304,R873)&lt;&gt;HomeState),ROUND(K873*L873,2),0)),"")</f>
        <v/>
      </c>
      <c r="P873" s="61" t="str">
        <f aca="false">IF(IsPro,IF($D873="","",K873+M873+N873+O873),"")</f>
        <v/>
      </c>
      <c r="Q873" s="60" t="str">
        <f aca="false">IF(IsPro,IF($D873="","",IFERROR(MATCH($D873,Items!$A$5:$A$504,0),"")),"")</f>
        <v/>
      </c>
      <c r="R873" s="60" t="str">
        <f aca="false">IF(IsPro,IF($C873="","",IFERROR(MATCH($C873,Parties!$A$5:$A$304,0),"")),"")</f>
        <v/>
      </c>
      <c r="S873" s="61" t="str">
        <f aca="false">IF(IsPro,IF($D873="","",IF(OR($H873="",$H873="Credit"),0,P873)),"")</f>
        <v/>
      </c>
    </row>
    <row r="874" customFormat="false" ht="15" hidden="false" customHeight="false" outlineLevel="0" collapsed="false">
      <c r="A874" s="55"/>
      <c r="B874" s="56"/>
      <c r="C874" s="56"/>
      <c r="D874" s="56"/>
      <c r="E874" s="57"/>
      <c r="F874" s="58"/>
      <c r="G874" s="59"/>
      <c r="H874" s="56"/>
      <c r="I874" s="60" t="str">
        <f aca="false">IF(IsPro,IF($D874="","",IFERROR(INDEX(Items!$D$5:$D$504,Q874),"")),IF($D874="","","PRO PLAN"))</f>
        <v/>
      </c>
      <c r="J874" s="61" t="str">
        <f aca="false">IF(IsPro,IF($D874="","",IF($F874="",IFERROR(INDEX(Items!$G$5:$G$504,Q874),0),$F874)),"")</f>
        <v/>
      </c>
      <c r="K874" s="61" t="str">
        <f aca="false">IF(IsPro,IF($D874="","",ROUND(N($E874)*J874*(1-N($G874)),2)),"")</f>
        <v/>
      </c>
      <c r="L874" s="62" t="str">
        <f aca="false">IF(IsPro,IF($D874="","",IFERROR(INDEX(Items!$F$5:$F$504,Q874),0)),"")</f>
        <v/>
      </c>
      <c r="M874" s="61" t="str">
        <f aca="false">IF(IsPro,IF($D874="","",IF(AND(R874&lt;&gt;"",INDEX(Parties!$E$5:$E$304,R874)&lt;&gt;"",INDEX(Parties!$E$5:$E$304,R874)&lt;&gt;HomeState),0,ROUND(K874*L874/2,2))),"")</f>
        <v/>
      </c>
      <c r="N874" s="61" t="str">
        <f aca="false">IF(IsPro,IF($D874="","",M874),"")</f>
        <v/>
      </c>
      <c r="O874" s="61" t="str">
        <f aca="false">IF(IsPro,IF($D874="","",IF(AND(R874&lt;&gt;"",INDEX(Parties!$E$5:$E$304,R874)&lt;&gt;"",INDEX(Parties!$E$5:$E$304,R874)&lt;&gt;HomeState),ROUND(K874*L874,2),0)),"")</f>
        <v/>
      </c>
      <c r="P874" s="61" t="str">
        <f aca="false">IF(IsPro,IF($D874="","",K874+M874+N874+O874),"")</f>
        <v/>
      </c>
      <c r="Q874" s="60" t="str">
        <f aca="false">IF(IsPro,IF($D874="","",IFERROR(MATCH($D874,Items!$A$5:$A$504,0),"")),"")</f>
        <v/>
      </c>
      <c r="R874" s="60" t="str">
        <f aca="false">IF(IsPro,IF($C874="","",IFERROR(MATCH($C874,Parties!$A$5:$A$304,0),"")),"")</f>
        <v/>
      </c>
      <c r="S874" s="61" t="str">
        <f aca="false">IF(IsPro,IF($D874="","",IF(OR($H874="",$H874="Credit"),0,P874)),"")</f>
        <v/>
      </c>
    </row>
    <row r="875" customFormat="false" ht="15" hidden="false" customHeight="false" outlineLevel="0" collapsed="false">
      <c r="A875" s="55"/>
      <c r="B875" s="56"/>
      <c r="C875" s="56"/>
      <c r="D875" s="56"/>
      <c r="E875" s="57"/>
      <c r="F875" s="58"/>
      <c r="G875" s="59"/>
      <c r="H875" s="56"/>
      <c r="I875" s="60" t="str">
        <f aca="false">IF(IsPro,IF($D875="","",IFERROR(INDEX(Items!$D$5:$D$504,Q875),"")),IF($D875="","","PRO PLAN"))</f>
        <v/>
      </c>
      <c r="J875" s="61" t="str">
        <f aca="false">IF(IsPro,IF($D875="","",IF($F875="",IFERROR(INDEX(Items!$G$5:$G$504,Q875),0),$F875)),"")</f>
        <v/>
      </c>
      <c r="K875" s="61" t="str">
        <f aca="false">IF(IsPro,IF($D875="","",ROUND(N($E875)*J875*(1-N($G875)),2)),"")</f>
        <v/>
      </c>
      <c r="L875" s="62" t="str">
        <f aca="false">IF(IsPro,IF($D875="","",IFERROR(INDEX(Items!$F$5:$F$504,Q875),0)),"")</f>
        <v/>
      </c>
      <c r="M875" s="61" t="str">
        <f aca="false">IF(IsPro,IF($D875="","",IF(AND(R875&lt;&gt;"",INDEX(Parties!$E$5:$E$304,R875)&lt;&gt;"",INDEX(Parties!$E$5:$E$304,R875)&lt;&gt;HomeState),0,ROUND(K875*L875/2,2))),"")</f>
        <v/>
      </c>
      <c r="N875" s="61" t="str">
        <f aca="false">IF(IsPro,IF($D875="","",M875),"")</f>
        <v/>
      </c>
      <c r="O875" s="61" t="str">
        <f aca="false">IF(IsPro,IF($D875="","",IF(AND(R875&lt;&gt;"",INDEX(Parties!$E$5:$E$304,R875)&lt;&gt;"",INDEX(Parties!$E$5:$E$304,R875)&lt;&gt;HomeState),ROUND(K875*L875,2),0)),"")</f>
        <v/>
      </c>
      <c r="P875" s="61" t="str">
        <f aca="false">IF(IsPro,IF($D875="","",K875+M875+N875+O875),"")</f>
        <v/>
      </c>
      <c r="Q875" s="60" t="str">
        <f aca="false">IF(IsPro,IF($D875="","",IFERROR(MATCH($D875,Items!$A$5:$A$504,0),"")),"")</f>
        <v/>
      </c>
      <c r="R875" s="60" t="str">
        <f aca="false">IF(IsPro,IF($C875="","",IFERROR(MATCH($C875,Parties!$A$5:$A$304,0),"")),"")</f>
        <v/>
      </c>
      <c r="S875" s="61" t="str">
        <f aca="false">IF(IsPro,IF($D875="","",IF(OR($H875="",$H875="Credit"),0,P875)),"")</f>
        <v/>
      </c>
    </row>
    <row r="876" customFormat="false" ht="15" hidden="false" customHeight="false" outlineLevel="0" collapsed="false">
      <c r="A876" s="55"/>
      <c r="B876" s="56"/>
      <c r="C876" s="56"/>
      <c r="D876" s="56"/>
      <c r="E876" s="57"/>
      <c r="F876" s="58"/>
      <c r="G876" s="59"/>
      <c r="H876" s="56"/>
      <c r="I876" s="60" t="str">
        <f aca="false">IF(IsPro,IF($D876="","",IFERROR(INDEX(Items!$D$5:$D$504,Q876),"")),IF($D876="","","PRO PLAN"))</f>
        <v/>
      </c>
      <c r="J876" s="61" t="str">
        <f aca="false">IF(IsPro,IF($D876="","",IF($F876="",IFERROR(INDEX(Items!$G$5:$G$504,Q876),0),$F876)),"")</f>
        <v/>
      </c>
      <c r="K876" s="61" t="str">
        <f aca="false">IF(IsPro,IF($D876="","",ROUND(N($E876)*J876*(1-N($G876)),2)),"")</f>
        <v/>
      </c>
      <c r="L876" s="62" t="str">
        <f aca="false">IF(IsPro,IF($D876="","",IFERROR(INDEX(Items!$F$5:$F$504,Q876),0)),"")</f>
        <v/>
      </c>
      <c r="M876" s="61" t="str">
        <f aca="false">IF(IsPro,IF($D876="","",IF(AND(R876&lt;&gt;"",INDEX(Parties!$E$5:$E$304,R876)&lt;&gt;"",INDEX(Parties!$E$5:$E$304,R876)&lt;&gt;HomeState),0,ROUND(K876*L876/2,2))),"")</f>
        <v/>
      </c>
      <c r="N876" s="61" t="str">
        <f aca="false">IF(IsPro,IF($D876="","",M876),"")</f>
        <v/>
      </c>
      <c r="O876" s="61" t="str">
        <f aca="false">IF(IsPro,IF($D876="","",IF(AND(R876&lt;&gt;"",INDEX(Parties!$E$5:$E$304,R876)&lt;&gt;"",INDEX(Parties!$E$5:$E$304,R876)&lt;&gt;HomeState),ROUND(K876*L876,2),0)),"")</f>
        <v/>
      </c>
      <c r="P876" s="61" t="str">
        <f aca="false">IF(IsPro,IF($D876="","",K876+M876+N876+O876),"")</f>
        <v/>
      </c>
      <c r="Q876" s="60" t="str">
        <f aca="false">IF(IsPro,IF($D876="","",IFERROR(MATCH($D876,Items!$A$5:$A$504,0),"")),"")</f>
        <v/>
      </c>
      <c r="R876" s="60" t="str">
        <f aca="false">IF(IsPro,IF($C876="","",IFERROR(MATCH($C876,Parties!$A$5:$A$304,0),"")),"")</f>
        <v/>
      </c>
      <c r="S876" s="61" t="str">
        <f aca="false">IF(IsPro,IF($D876="","",IF(OR($H876="",$H876="Credit"),0,P876)),"")</f>
        <v/>
      </c>
    </row>
    <row r="877" customFormat="false" ht="15" hidden="false" customHeight="false" outlineLevel="0" collapsed="false">
      <c r="A877" s="55"/>
      <c r="B877" s="56"/>
      <c r="C877" s="56"/>
      <c r="D877" s="56"/>
      <c r="E877" s="57"/>
      <c r="F877" s="58"/>
      <c r="G877" s="59"/>
      <c r="H877" s="56"/>
      <c r="I877" s="60" t="str">
        <f aca="false">IF(IsPro,IF($D877="","",IFERROR(INDEX(Items!$D$5:$D$504,Q877),"")),IF($D877="","","PRO PLAN"))</f>
        <v/>
      </c>
      <c r="J877" s="61" t="str">
        <f aca="false">IF(IsPro,IF($D877="","",IF($F877="",IFERROR(INDEX(Items!$G$5:$G$504,Q877),0),$F877)),"")</f>
        <v/>
      </c>
      <c r="K877" s="61" t="str">
        <f aca="false">IF(IsPro,IF($D877="","",ROUND(N($E877)*J877*(1-N($G877)),2)),"")</f>
        <v/>
      </c>
      <c r="L877" s="62" t="str">
        <f aca="false">IF(IsPro,IF($D877="","",IFERROR(INDEX(Items!$F$5:$F$504,Q877),0)),"")</f>
        <v/>
      </c>
      <c r="M877" s="61" t="str">
        <f aca="false">IF(IsPro,IF($D877="","",IF(AND(R877&lt;&gt;"",INDEX(Parties!$E$5:$E$304,R877)&lt;&gt;"",INDEX(Parties!$E$5:$E$304,R877)&lt;&gt;HomeState),0,ROUND(K877*L877/2,2))),"")</f>
        <v/>
      </c>
      <c r="N877" s="61" t="str">
        <f aca="false">IF(IsPro,IF($D877="","",M877),"")</f>
        <v/>
      </c>
      <c r="O877" s="61" t="str">
        <f aca="false">IF(IsPro,IF($D877="","",IF(AND(R877&lt;&gt;"",INDEX(Parties!$E$5:$E$304,R877)&lt;&gt;"",INDEX(Parties!$E$5:$E$304,R877)&lt;&gt;HomeState),ROUND(K877*L877,2),0)),"")</f>
        <v/>
      </c>
      <c r="P877" s="61" t="str">
        <f aca="false">IF(IsPro,IF($D877="","",K877+M877+N877+O877),"")</f>
        <v/>
      </c>
      <c r="Q877" s="60" t="str">
        <f aca="false">IF(IsPro,IF($D877="","",IFERROR(MATCH($D877,Items!$A$5:$A$504,0),"")),"")</f>
        <v/>
      </c>
      <c r="R877" s="60" t="str">
        <f aca="false">IF(IsPro,IF($C877="","",IFERROR(MATCH($C877,Parties!$A$5:$A$304,0),"")),"")</f>
        <v/>
      </c>
      <c r="S877" s="61" t="str">
        <f aca="false">IF(IsPro,IF($D877="","",IF(OR($H877="",$H877="Credit"),0,P877)),"")</f>
        <v/>
      </c>
    </row>
    <row r="878" customFormat="false" ht="15" hidden="false" customHeight="false" outlineLevel="0" collapsed="false">
      <c r="A878" s="55"/>
      <c r="B878" s="56"/>
      <c r="C878" s="56"/>
      <c r="D878" s="56"/>
      <c r="E878" s="57"/>
      <c r="F878" s="58"/>
      <c r="G878" s="59"/>
      <c r="H878" s="56"/>
      <c r="I878" s="60" t="str">
        <f aca="false">IF(IsPro,IF($D878="","",IFERROR(INDEX(Items!$D$5:$D$504,Q878),"")),IF($D878="","","PRO PLAN"))</f>
        <v/>
      </c>
      <c r="J878" s="61" t="str">
        <f aca="false">IF(IsPro,IF($D878="","",IF($F878="",IFERROR(INDEX(Items!$G$5:$G$504,Q878),0),$F878)),"")</f>
        <v/>
      </c>
      <c r="K878" s="61" t="str">
        <f aca="false">IF(IsPro,IF($D878="","",ROUND(N($E878)*J878*(1-N($G878)),2)),"")</f>
        <v/>
      </c>
      <c r="L878" s="62" t="str">
        <f aca="false">IF(IsPro,IF($D878="","",IFERROR(INDEX(Items!$F$5:$F$504,Q878),0)),"")</f>
        <v/>
      </c>
      <c r="M878" s="61" t="str">
        <f aca="false">IF(IsPro,IF($D878="","",IF(AND(R878&lt;&gt;"",INDEX(Parties!$E$5:$E$304,R878)&lt;&gt;"",INDEX(Parties!$E$5:$E$304,R878)&lt;&gt;HomeState),0,ROUND(K878*L878/2,2))),"")</f>
        <v/>
      </c>
      <c r="N878" s="61" t="str">
        <f aca="false">IF(IsPro,IF($D878="","",M878),"")</f>
        <v/>
      </c>
      <c r="O878" s="61" t="str">
        <f aca="false">IF(IsPro,IF($D878="","",IF(AND(R878&lt;&gt;"",INDEX(Parties!$E$5:$E$304,R878)&lt;&gt;"",INDEX(Parties!$E$5:$E$304,R878)&lt;&gt;HomeState),ROUND(K878*L878,2),0)),"")</f>
        <v/>
      </c>
      <c r="P878" s="61" t="str">
        <f aca="false">IF(IsPro,IF($D878="","",K878+M878+N878+O878),"")</f>
        <v/>
      </c>
      <c r="Q878" s="60" t="str">
        <f aca="false">IF(IsPro,IF($D878="","",IFERROR(MATCH($D878,Items!$A$5:$A$504,0),"")),"")</f>
        <v/>
      </c>
      <c r="R878" s="60" t="str">
        <f aca="false">IF(IsPro,IF($C878="","",IFERROR(MATCH($C878,Parties!$A$5:$A$304,0),"")),"")</f>
        <v/>
      </c>
      <c r="S878" s="61" t="str">
        <f aca="false">IF(IsPro,IF($D878="","",IF(OR($H878="",$H878="Credit"),0,P878)),"")</f>
        <v/>
      </c>
    </row>
    <row r="879" customFormat="false" ht="15" hidden="false" customHeight="false" outlineLevel="0" collapsed="false">
      <c r="A879" s="55"/>
      <c r="B879" s="56"/>
      <c r="C879" s="56"/>
      <c r="D879" s="56"/>
      <c r="E879" s="57"/>
      <c r="F879" s="58"/>
      <c r="G879" s="59"/>
      <c r="H879" s="56"/>
      <c r="I879" s="60" t="str">
        <f aca="false">IF(IsPro,IF($D879="","",IFERROR(INDEX(Items!$D$5:$D$504,Q879),"")),IF($D879="","","PRO PLAN"))</f>
        <v/>
      </c>
      <c r="J879" s="61" t="str">
        <f aca="false">IF(IsPro,IF($D879="","",IF($F879="",IFERROR(INDEX(Items!$G$5:$G$504,Q879),0),$F879)),"")</f>
        <v/>
      </c>
      <c r="K879" s="61" t="str">
        <f aca="false">IF(IsPro,IF($D879="","",ROUND(N($E879)*J879*(1-N($G879)),2)),"")</f>
        <v/>
      </c>
      <c r="L879" s="62" t="str">
        <f aca="false">IF(IsPro,IF($D879="","",IFERROR(INDEX(Items!$F$5:$F$504,Q879),0)),"")</f>
        <v/>
      </c>
      <c r="M879" s="61" t="str">
        <f aca="false">IF(IsPro,IF($D879="","",IF(AND(R879&lt;&gt;"",INDEX(Parties!$E$5:$E$304,R879)&lt;&gt;"",INDEX(Parties!$E$5:$E$304,R879)&lt;&gt;HomeState),0,ROUND(K879*L879/2,2))),"")</f>
        <v/>
      </c>
      <c r="N879" s="61" t="str">
        <f aca="false">IF(IsPro,IF($D879="","",M879),"")</f>
        <v/>
      </c>
      <c r="O879" s="61" t="str">
        <f aca="false">IF(IsPro,IF($D879="","",IF(AND(R879&lt;&gt;"",INDEX(Parties!$E$5:$E$304,R879)&lt;&gt;"",INDEX(Parties!$E$5:$E$304,R879)&lt;&gt;HomeState),ROUND(K879*L879,2),0)),"")</f>
        <v/>
      </c>
      <c r="P879" s="61" t="str">
        <f aca="false">IF(IsPro,IF($D879="","",K879+M879+N879+O879),"")</f>
        <v/>
      </c>
      <c r="Q879" s="60" t="str">
        <f aca="false">IF(IsPro,IF($D879="","",IFERROR(MATCH($D879,Items!$A$5:$A$504,0),"")),"")</f>
        <v/>
      </c>
      <c r="R879" s="60" t="str">
        <f aca="false">IF(IsPro,IF($C879="","",IFERROR(MATCH($C879,Parties!$A$5:$A$304,0),"")),"")</f>
        <v/>
      </c>
      <c r="S879" s="61" t="str">
        <f aca="false">IF(IsPro,IF($D879="","",IF(OR($H879="",$H879="Credit"),0,P879)),"")</f>
        <v/>
      </c>
    </row>
    <row r="880" customFormat="false" ht="15" hidden="false" customHeight="false" outlineLevel="0" collapsed="false">
      <c r="A880" s="55"/>
      <c r="B880" s="56"/>
      <c r="C880" s="56"/>
      <c r="D880" s="56"/>
      <c r="E880" s="57"/>
      <c r="F880" s="58"/>
      <c r="G880" s="59"/>
      <c r="H880" s="56"/>
      <c r="I880" s="60" t="str">
        <f aca="false">IF(IsPro,IF($D880="","",IFERROR(INDEX(Items!$D$5:$D$504,Q880),"")),IF($D880="","","PRO PLAN"))</f>
        <v/>
      </c>
      <c r="J880" s="61" t="str">
        <f aca="false">IF(IsPro,IF($D880="","",IF($F880="",IFERROR(INDEX(Items!$G$5:$G$504,Q880),0),$F880)),"")</f>
        <v/>
      </c>
      <c r="K880" s="61" t="str">
        <f aca="false">IF(IsPro,IF($D880="","",ROUND(N($E880)*J880*(1-N($G880)),2)),"")</f>
        <v/>
      </c>
      <c r="L880" s="62" t="str">
        <f aca="false">IF(IsPro,IF($D880="","",IFERROR(INDEX(Items!$F$5:$F$504,Q880),0)),"")</f>
        <v/>
      </c>
      <c r="M880" s="61" t="str">
        <f aca="false">IF(IsPro,IF($D880="","",IF(AND(R880&lt;&gt;"",INDEX(Parties!$E$5:$E$304,R880)&lt;&gt;"",INDEX(Parties!$E$5:$E$304,R880)&lt;&gt;HomeState),0,ROUND(K880*L880/2,2))),"")</f>
        <v/>
      </c>
      <c r="N880" s="61" t="str">
        <f aca="false">IF(IsPro,IF($D880="","",M880),"")</f>
        <v/>
      </c>
      <c r="O880" s="61" t="str">
        <f aca="false">IF(IsPro,IF($D880="","",IF(AND(R880&lt;&gt;"",INDEX(Parties!$E$5:$E$304,R880)&lt;&gt;"",INDEX(Parties!$E$5:$E$304,R880)&lt;&gt;HomeState),ROUND(K880*L880,2),0)),"")</f>
        <v/>
      </c>
      <c r="P880" s="61" t="str">
        <f aca="false">IF(IsPro,IF($D880="","",K880+M880+N880+O880),"")</f>
        <v/>
      </c>
      <c r="Q880" s="60" t="str">
        <f aca="false">IF(IsPro,IF($D880="","",IFERROR(MATCH($D880,Items!$A$5:$A$504,0),"")),"")</f>
        <v/>
      </c>
      <c r="R880" s="60" t="str">
        <f aca="false">IF(IsPro,IF($C880="","",IFERROR(MATCH($C880,Parties!$A$5:$A$304,0),"")),"")</f>
        <v/>
      </c>
      <c r="S880" s="61" t="str">
        <f aca="false">IF(IsPro,IF($D880="","",IF(OR($H880="",$H880="Credit"),0,P880)),"")</f>
        <v/>
      </c>
    </row>
    <row r="881" customFormat="false" ht="15" hidden="false" customHeight="false" outlineLevel="0" collapsed="false">
      <c r="A881" s="55"/>
      <c r="B881" s="56"/>
      <c r="C881" s="56"/>
      <c r="D881" s="56"/>
      <c r="E881" s="57"/>
      <c r="F881" s="58"/>
      <c r="G881" s="59"/>
      <c r="H881" s="56"/>
      <c r="I881" s="60" t="str">
        <f aca="false">IF(IsPro,IF($D881="","",IFERROR(INDEX(Items!$D$5:$D$504,Q881),"")),IF($D881="","","PRO PLAN"))</f>
        <v/>
      </c>
      <c r="J881" s="61" t="str">
        <f aca="false">IF(IsPro,IF($D881="","",IF($F881="",IFERROR(INDEX(Items!$G$5:$G$504,Q881),0),$F881)),"")</f>
        <v/>
      </c>
      <c r="K881" s="61" t="str">
        <f aca="false">IF(IsPro,IF($D881="","",ROUND(N($E881)*J881*(1-N($G881)),2)),"")</f>
        <v/>
      </c>
      <c r="L881" s="62" t="str">
        <f aca="false">IF(IsPro,IF($D881="","",IFERROR(INDEX(Items!$F$5:$F$504,Q881),0)),"")</f>
        <v/>
      </c>
      <c r="M881" s="61" t="str">
        <f aca="false">IF(IsPro,IF($D881="","",IF(AND(R881&lt;&gt;"",INDEX(Parties!$E$5:$E$304,R881)&lt;&gt;"",INDEX(Parties!$E$5:$E$304,R881)&lt;&gt;HomeState),0,ROUND(K881*L881/2,2))),"")</f>
        <v/>
      </c>
      <c r="N881" s="61" t="str">
        <f aca="false">IF(IsPro,IF($D881="","",M881),"")</f>
        <v/>
      </c>
      <c r="O881" s="61" t="str">
        <f aca="false">IF(IsPro,IF($D881="","",IF(AND(R881&lt;&gt;"",INDEX(Parties!$E$5:$E$304,R881)&lt;&gt;"",INDEX(Parties!$E$5:$E$304,R881)&lt;&gt;HomeState),ROUND(K881*L881,2),0)),"")</f>
        <v/>
      </c>
      <c r="P881" s="61" t="str">
        <f aca="false">IF(IsPro,IF($D881="","",K881+M881+N881+O881),"")</f>
        <v/>
      </c>
      <c r="Q881" s="60" t="str">
        <f aca="false">IF(IsPro,IF($D881="","",IFERROR(MATCH($D881,Items!$A$5:$A$504,0),"")),"")</f>
        <v/>
      </c>
      <c r="R881" s="60" t="str">
        <f aca="false">IF(IsPro,IF($C881="","",IFERROR(MATCH($C881,Parties!$A$5:$A$304,0),"")),"")</f>
        <v/>
      </c>
      <c r="S881" s="61" t="str">
        <f aca="false">IF(IsPro,IF($D881="","",IF(OR($H881="",$H881="Credit"),0,P881)),"")</f>
        <v/>
      </c>
    </row>
    <row r="882" customFormat="false" ht="15" hidden="false" customHeight="false" outlineLevel="0" collapsed="false">
      <c r="A882" s="55"/>
      <c r="B882" s="56"/>
      <c r="C882" s="56"/>
      <c r="D882" s="56"/>
      <c r="E882" s="57"/>
      <c r="F882" s="58"/>
      <c r="G882" s="59"/>
      <c r="H882" s="56"/>
      <c r="I882" s="60" t="str">
        <f aca="false">IF(IsPro,IF($D882="","",IFERROR(INDEX(Items!$D$5:$D$504,Q882),"")),IF($D882="","","PRO PLAN"))</f>
        <v/>
      </c>
      <c r="J882" s="61" t="str">
        <f aca="false">IF(IsPro,IF($D882="","",IF($F882="",IFERROR(INDEX(Items!$G$5:$G$504,Q882),0),$F882)),"")</f>
        <v/>
      </c>
      <c r="K882" s="61" t="str">
        <f aca="false">IF(IsPro,IF($D882="","",ROUND(N($E882)*J882*(1-N($G882)),2)),"")</f>
        <v/>
      </c>
      <c r="L882" s="62" t="str">
        <f aca="false">IF(IsPro,IF($D882="","",IFERROR(INDEX(Items!$F$5:$F$504,Q882),0)),"")</f>
        <v/>
      </c>
      <c r="M882" s="61" t="str">
        <f aca="false">IF(IsPro,IF($D882="","",IF(AND(R882&lt;&gt;"",INDEX(Parties!$E$5:$E$304,R882)&lt;&gt;"",INDEX(Parties!$E$5:$E$304,R882)&lt;&gt;HomeState),0,ROUND(K882*L882/2,2))),"")</f>
        <v/>
      </c>
      <c r="N882" s="61" t="str">
        <f aca="false">IF(IsPro,IF($D882="","",M882),"")</f>
        <v/>
      </c>
      <c r="O882" s="61" t="str">
        <f aca="false">IF(IsPro,IF($D882="","",IF(AND(R882&lt;&gt;"",INDEX(Parties!$E$5:$E$304,R882)&lt;&gt;"",INDEX(Parties!$E$5:$E$304,R882)&lt;&gt;HomeState),ROUND(K882*L882,2),0)),"")</f>
        <v/>
      </c>
      <c r="P882" s="61" t="str">
        <f aca="false">IF(IsPro,IF($D882="","",K882+M882+N882+O882),"")</f>
        <v/>
      </c>
      <c r="Q882" s="60" t="str">
        <f aca="false">IF(IsPro,IF($D882="","",IFERROR(MATCH($D882,Items!$A$5:$A$504,0),"")),"")</f>
        <v/>
      </c>
      <c r="R882" s="60" t="str">
        <f aca="false">IF(IsPro,IF($C882="","",IFERROR(MATCH($C882,Parties!$A$5:$A$304,0),"")),"")</f>
        <v/>
      </c>
      <c r="S882" s="61" t="str">
        <f aca="false">IF(IsPro,IF($D882="","",IF(OR($H882="",$H882="Credit"),0,P882)),"")</f>
        <v/>
      </c>
    </row>
    <row r="883" customFormat="false" ht="15" hidden="false" customHeight="false" outlineLevel="0" collapsed="false">
      <c r="A883" s="55"/>
      <c r="B883" s="56"/>
      <c r="C883" s="56"/>
      <c r="D883" s="56"/>
      <c r="E883" s="57"/>
      <c r="F883" s="58"/>
      <c r="G883" s="59"/>
      <c r="H883" s="56"/>
      <c r="I883" s="60" t="str">
        <f aca="false">IF(IsPro,IF($D883="","",IFERROR(INDEX(Items!$D$5:$D$504,Q883),"")),IF($D883="","","PRO PLAN"))</f>
        <v/>
      </c>
      <c r="J883" s="61" t="str">
        <f aca="false">IF(IsPro,IF($D883="","",IF($F883="",IFERROR(INDEX(Items!$G$5:$G$504,Q883),0),$F883)),"")</f>
        <v/>
      </c>
      <c r="K883" s="61" t="str">
        <f aca="false">IF(IsPro,IF($D883="","",ROUND(N($E883)*J883*(1-N($G883)),2)),"")</f>
        <v/>
      </c>
      <c r="L883" s="62" t="str">
        <f aca="false">IF(IsPro,IF($D883="","",IFERROR(INDEX(Items!$F$5:$F$504,Q883),0)),"")</f>
        <v/>
      </c>
      <c r="M883" s="61" t="str">
        <f aca="false">IF(IsPro,IF($D883="","",IF(AND(R883&lt;&gt;"",INDEX(Parties!$E$5:$E$304,R883)&lt;&gt;"",INDEX(Parties!$E$5:$E$304,R883)&lt;&gt;HomeState),0,ROUND(K883*L883/2,2))),"")</f>
        <v/>
      </c>
      <c r="N883" s="61" t="str">
        <f aca="false">IF(IsPro,IF($D883="","",M883),"")</f>
        <v/>
      </c>
      <c r="O883" s="61" t="str">
        <f aca="false">IF(IsPro,IF($D883="","",IF(AND(R883&lt;&gt;"",INDEX(Parties!$E$5:$E$304,R883)&lt;&gt;"",INDEX(Parties!$E$5:$E$304,R883)&lt;&gt;HomeState),ROUND(K883*L883,2),0)),"")</f>
        <v/>
      </c>
      <c r="P883" s="61" t="str">
        <f aca="false">IF(IsPro,IF($D883="","",K883+M883+N883+O883),"")</f>
        <v/>
      </c>
      <c r="Q883" s="60" t="str">
        <f aca="false">IF(IsPro,IF($D883="","",IFERROR(MATCH($D883,Items!$A$5:$A$504,0),"")),"")</f>
        <v/>
      </c>
      <c r="R883" s="60" t="str">
        <f aca="false">IF(IsPro,IF($C883="","",IFERROR(MATCH($C883,Parties!$A$5:$A$304,0),"")),"")</f>
        <v/>
      </c>
      <c r="S883" s="61" t="str">
        <f aca="false">IF(IsPro,IF($D883="","",IF(OR($H883="",$H883="Credit"),0,P883)),"")</f>
        <v/>
      </c>
    </row>
    <row r="884" customFormat="false" ht="15" hidden="false" customHeight="false" outlineLevel="0" collapsed="false">
      <c r="A884" s="55"/>
      <c r="B884" s="56"/>
      <c r="C884" s="56"/>
      <c r="D884" s="56"/>
      <c r="E884" s="57"/>
      <c r="F884" s="58"/>
      <c r="G884" s="59"/>
      <c r="H884" s="56"/>
      <c r="I884" s="60" t="str">
        <f aca="false">IF(IsPro,IF($D884="","",IFERROR(INDEX(Items!$D$5:$D$504,Q884),"")),IF($D884="","","PRO PLAN"))</f>
        <v/>
      </c>
      <c r="J884" s="61" t="str">
        <f aca="false">IF(IsPro,IF($D884="","",IF($F884="",IFERROR(INDEX(Items!$G$5:$G$504,Q884),0),$F884)),"")</f>
        <v/>
      </c>
      <c r="K884" s="61" t="str">
        <f aca="false">IF(IsPro,IF($D884="","",ROUND(N($E884)*J884*(1-N($G884)),2)),"")</f>
        <v/>
      </c>
      <c r="L884" s="62" t="str">
        <f aca="false">IF(IsPro,IF($D884="","",IFERROR(INDEX(Items!$F$5:$F$504,Q884),0)),"")</f>
        <v/>
      </c>
      <c r="M884" s="61" t="str">
        <f aca="false">IF(IsPro,IF($D884="","",IF(AND(R884&lt;&gt;"",INDEX(Parties!$E$5:$E$304,R884)&lt;&gt;"",INDEX(Parties!$E$5:$E$304,R884)&lt;&gt;HomeState),0,ROUND(K884*L884/2,2))),"")</f>
        <v/>
      </c>
      <c r="N884" s="61" t="str">
        <f aca="false">IF(IsPro,IF($D884="","",M884),"")</f>
        <v/>
      </c>
      <c r="O884" s="61" t="str">
        <f aca="false">IF(IsPro,IF($D884="","",IF(AND(R884&lt;&gt;"",INDEX(Parties!$E$5:$E$304,R884)&lt;&gt;"",INDEX(Parties!$E$5:$E$304,R884)&lt;&gt;HomeState),ROUND(K884*L884,2),0)),"")</f>
        <v/>
      </c>
      <c r="P884" s="61" t="str">
        <f aca="false">IF(IsPro,IF($D884="","",K884+M884+N884+O884),"")</f>
        <v/>
      </c>
      <c r="Q884" s="60" t="str">
        <f aca="false">IF(IsPro,IF($D884="","",IFERROR(MATCH($D884,Items!$A$5:$A$504,0),"")),"")</f>
        <v/>
      </c>
      <c r="R884" s="60" t="str">
        <f aca="false">IF(IsPro,IF($C884="","",IFERROR(MATCH($C884,Parties!$A$5:$A$304,0),"")),"")</f>
        <v/>
      </c>
      <c r="S884" s="61" t="str">
        <f aca="false">IF(IsPro,IF($D884="","",IF(OR($H884="",$H884="Credit"),0,P884)),"")</f>
        <v/>
      </c>
    </row>
    <row r="885" customFormat="false" ht="15" hidden="false" customHeight="false" outlineLevel="0" collapsed="false">
      <c r="A885" s="55"/>
      <c r="B885" s="56"/>
      <c r="C885" s="56"/>
      <c r="D885" s="56"/>
      <c r="E885" s="57"/>
      <c r="F885" s="58"/>
      <c r="G885" s="59"/>
      <c r="H885" s="56"/>
      <c r="I885" s="60" t="str">
        <f aca="false">IF(IsPro,IF($D885="","",IFERROR(INDEX(Items!$D$5:$D$504,Q885),"")),IF($D885="","","PRO PLAN"))</f>
        <v/>
      </c>
      <c r="J885" s="61" t="str">
        <f aca="false">IF(IsPro,IF($D885="","",IF($F885="",IFERROR(INDEX(Items!$G$5:$G$504,Q885),0),$F885)),"")</f>
        <v/>
      </c>
      <c r="K885" s="61" t="str">
        <f aca="false">IF(IsPro,IF($D885="","",ROUND(N($E885)*J885*(1-N($G885)),2)),"")</f>
        <v/>
      </c>
      <c r="L885" s="62" t="str">
        <f aca="false">IF(IsPro,IF($D885="","",IFERROR(INDEX(Items!$F$5:$F$504,Q885),0)),"")</f>
        <v/>
      </c>
      <c r="M885" s="61" t="str">
        <f aca="false">IF(IsPro,IF($D885="","",IF(AND(R885&lt;&gt;"",INDEX(Parties!$E$5:$E$304,R885)&lt;&gt;"",INDEX(Parties!$E$5:$E$304,R885)&lt;&gt;HomeState),0,ROUND(K885*L885/2,2))),"")</f>
        <v/>
      </c>
      <c r="N885" s="61" t="str">
        <f aca="false">IF(IsPro,IF($D885="","",M885),"")</f>
        <v/>
      </c>
      <c r="O885" s="61" t="str">
        <f aca="false">IF(IsPro,IF($D885="","",IF(AND(R885&lt;&gt;"",INDEX(Parties!$E$5:$E$304,R885)&lt;&gt;"",INDEX(Parties!$E$5:$E$304,R885)&lt;&gt;HomeState),ROUND(K885*L885,2),0)),"")</f>
        <v/>
      </c>
      <c r="P885" s="61" t="str">
        <f aca="false">IF(IsPro,IF($D885="","",K885+M885+N885+O885),"")</f>
        <v/>
      </c>
      <c r="Q885" s="60" t="str">
        <f aca="false">IF(IsPro,IF($D885="","",IFERROR(MATCH($D885,Items!$A$5:$A$504,0),"")),"")</f>
        <v/>
      </c>
      <c r="R885" s="60" t="str">
        <f aca="false">IF(IsPro,IF($C885="","",IFERROR(MATCH($C885,Parties!$A$5:$A$304,0),"")),"")</f>
        <v/>
      </c>
      <c r="S885" s="61" t="str">
        <f aca="false">IF(IsPro,IF($D885="","",IF(OR($H885="",$H885="Credit"),0,P885)),"")</f>
        <v/>
      </c>
    </row>
    <row r="886" customFormat="false" ht="15" hidden="false" customHeight="false" outlineLevel="0" collapsed="false">
      <c r="A886" s="55"/>
      <c r="B886" s="56"/>
      <c r="C886" s="56"/>
      <c r="D886" s="56"/>
      <c r="E886" s="57"/>
      <c r="F886" s="58"/>
      <c r="G886" s="59"/>
      <c r="H886" s="56"/>
      <c r="I886" s="60" t="str">
        <f aca="false">IF(IsPro,IF($D886="","",IFERROR(INDEX(Items!$D$5:$D$504,Q886),"")),IF($D886="","","PRO PLAN"))</f>
        <v/>
      </c>
      <c r="J886" s="61" t="str">
        <f aca="false">IF(IsPro,IF($D886="","",IF($F886="",IFERROR(INDEX(Items!$G$5:$G$504,Q886),0),$F886)),"")</f>
        <v/>
      </c>
      <c r="K886" s="61" t="str">
        <f aca="false">IF(IsPro,IF($D886="","",ROUND(N($E886)*J886*(1-N($G886)),2)),"")</f>
        <v/>
      </c>
      <c r="L886" s="62" t="str">
        <f aca="false">IF(IsPro,IF($D886="","",IFERROR(INDEX(Items!$F$5:$F$504,Q886),0)),"")</f>
        <v/>
      </c>
      <c r="M886" s="61" t="str">
        <f aca="false">IF(IsPro,IF($D886="","",IF(AND(R886&lt;&gt;"",INDEX(Parties!$E$5:$E$304,R886)&lt;&gt;"",INDEX(Parties!$E$5:$E$304,R886)&lt;&gt;HomeState),0,ROUND(K886*L886/2,2))),"")</f>
        <v/>
      </c>
      <c r="N886" s="61" t="str">
        <f aca="false">IF(IsPro,IF($D886="","",M886),"")</f>
        <v/>
      </c>
      <c r="O886" s="61" t="str">
        <f aca="false">IF(IsPro,IF($D886="","",IF(AND(R886&lt;&gt;"",INDEX(Parties!$E$5:$E$304,R886)&lt;&gt;"",INDEX(Parties!$E$5:$E$304,R886)&lt;&gt;HomeState),ROUND(K886*L886,2),0)),"")</f>
        <v/>
      </c>
      <c r="P886" s="61" t="str">
        <f aca="false">IF(IsPro,IF($D886="","",K886+M886+N886+O886),"")</f>
        <v/>
      </c>
      <c r="Q886" s="60" t="str">
        <f aca="false">IF(IsPro,IF($D886="","",IFERROR(MATCH($D886,Items!$A$5:$A$504,0),"")),"")</f>
        <v/>
      </c>
      <c r="R886" s="60" t="str">
        <f aca="false">IF(IsPro,IF($C886="","",IFERROR(MATCH($C886,Parties!$A$5:$A$304,0),"")),"")</f>
        <v/>
      </c>
      <c r="S886" s="61" t="str">
        <f aca="false">IF(IsPro,IF($D886="","",IF(OR($H886="",$H886="Credit"),0,P886)),"")</f>
        <v/>
      </c>
    </row>
    <row r="887" customFormat="false" ht="15" hidden="false" customHeight="false" outlineLevel="0" collapsed="false">
      <c r="A887" s="55"/>
      <c r="B887" s="56"/>
      <c r="C887" s="56"/>
      <c r="D887" s="56"/>
      <c r="E887" s="57"/>
      <c r="F887" s="58"/>
      <c r="G887" s="59"/>
      <c r="H887" s="56"/>
      <c r="I887" s="60" t="str">
        <f aca="false">IF(IsPro,IF($D887="","",IFERROR(INDEX(Items!$D$5:$D$504,Q887),"")),IF($D887="","","PRO PLAN"))</f>
        <v/>
      </c>
      <c r="J887" s="61" t="str">
        <f aca="false">IF(IsPro,IF($D887="","",IF($F887="",IFERROR(INDEX(Items!$G$5:$G$504,Q887),0),$F887)),"")</f>
        <v/>
      </c>
      <c r="K887" s="61" t="str">
        <f aca="false">IF(IsPro,IF($D887="","",ROUND(N($E887)*J887*(1-N($G887)),2)),"")</f>
        <v/>
      </c>
      <c r="L887" s="62" t="str">
        <f aca="false">IF(IsPro,IF($D887="","",IFERROR(INDEX(Items!$F$5:$F$504,Q887),0)),"")</f>
        <v/>
      </c>
      <c r="M887" s="61" t="str">
        <f aca="false">IF(IsPro,IF($D887="","",IF(AND(R887&lt;&gt;"",INDEX(Parties!$E$5:$E$304,R887)&lt;&gt;"",INDEX(Parties!$E$5:$E$304,R887)&lt;&gt;HomeState),0,ROUND(K887*L887/2,2))),"")</f>
        <v/>
      </c>
      <c r="N887" s="61" t="str">
        <f aca="false">IF(IsPro,IF($D887="","",M887),"")</f>
        <v/>
      </c>
      <c r="O887" s="61" t="str">
        <f aca="false">IF(IsPro,IF($D887="","",IF(AND(R887&lt;&gt;"",INDEX(Parties!$E$5:$E$304,R887)&lt;&gt;"",INDEX(Parties!$E$5:$E$304,R887)&lt;&gt;HomeState),ROUND(K887*L887,2),0)),"")</f>
        <v/>
      </c>
      <c r="P887" s="61" t="str">
        <f aca="false">IF(IsPro,IF($D887="","",K887+M887+N887+O887),"")</f>
        <v/>
      </c>
      <c r="Q887" s="60" t="str">
        <f aca="false">IF(IsPro,IF($D887="","",IFERROR(MATCH($D887,Items!$A$5:$A$504,0),"")),"")</f>
        <v/>
      </c>
      <c r="R887" s="60" t="str">
        <f aca="false">IF(IsPro,IF($C887="","",IFERROR(MATCH($C887,Parties!$A$5:$A$304,0),"")),"")</f>
        <v/>
      </c>
      <c r="S887" s="61" t="str">
        <f aca="false">IF(IsPro,IF($D887="","",IF(OR($H887="",$H887="Credit"),0,P887)),"")</f>
        <v/>
      </c>
    </row>
    <row r="888" customFormat="false" ht="15" hidden="false" customHeight="false" outlineLevel="0" collapsed="false">
      <c r="A888" s="55"/>
      <c r="B888" s="56"/>
      <c r="C888" s="56"/>
      <c r="D888" s="56"/>
      <c r="E888" s="57"/>
      <c r="F888" s="58"/>
      <c r="G888" s="59"/>
      <c r="H888" s="56"/>
      <c r="I888" s="60" t="str">
        <f aca="false">IF(IsPro,IF($D888="","",IFERROR(INDEX(Items!$D$5:$D$504,Q888),"")),IF($D888="","","PRO PLAN"))</f>
        <v/>
      </c>
      <c r="J888" s="61" t="str">
        <f aca="false">IF(IsPro,IF($D888="","",IF($F888="",IFERROR(INDEX(Items!$G$5:$G$504,Q888),0),$F888)),"")</f>
        <v/>
      </c>
      <c r="K888" s="61" t="str">
        <f aca="false">IF(IsPro,IF($D888="","",ROUND(N($E888)*J888*(1-N($G888)),2)),"")</f>
        <v/>
      </c>
      <c r="L888" s="62" t="str">
        <f aca="false">IF(IsPro,IF($D888="","",IFERROR(INDEX(Items!$F$5:$F$504,Q888),0)),"")</f>
        <v/>
      </c>
      <c r="M888" s="61" t="str">
        <f aca="false">IF(IsPro,IF($D888="","",IF(AND(R888&lt;&gt;"",INDEX(Parties!$E$5:$E$304,R888)&lt;&gt;"",INDEX(Parties!$E$5:$E$304,R888)&lt;&gt;HomeState),0,ROUND(K888*L888/2,2))),"")</f>
        <v/>
      </c>
      <c r="N888" s="61" t="str">
        <f aca="false">IF(IsPro,IF($D888="","",M888),"")</f>
        <v/>
      </c>
      <c r="O888" s="61" t="str">
        <f aca="false">IF(IsPro,IF($D888="","",IF(AND(R888&lt;&gt;"",INDEX(Parties!$E$5:$E$304,R888)&lt;&gt;"",INDEX(Parties!$E$5:$E$304,R888)&lt;&gt;HomeState),ROUND(K888*L888,2),0)),"")</f>
        <v/>
      </c>
      <c r="P888" s="61" t="str">
        <f aca="false">IF(IsPro,IF($D888="","",K888+M888+N888+O888),"")</f>
        <v/>
      </c>
      <c r="Q888" s="60" t="str">
        <f aca="false">IF(IsPro,IF($D888="","",IFERROR(MATCH($D888,Items!$A$5:$A$504,0),"")),"")</f>
        <v/>
      </c>
      <c r="R888" s="60" t="str">
        <f aca="false">IF(IsPro,IF($C888="","",IFERROR(MATCH($C888,Parties!$A$5:$A$304,0),"")),"")</f>
        <v/>
      </c>
      <c r="S888" s="61" t="str">
        <f aca="false">IF(IsPro,IF($D888="","",IF(OR($H888="",$H888="Credit"),0,P888)),"")</f>
        <v/>
      </c>
    </row>
    <row r="889" customFormat="false" ht="15" hidden="false" customHeight="false" outlineLevel="0" collapsed="false">
      <c r="A889" s="55"/>
      <c r="B889" s="56"/>
      <c r="C889" s="56"/>
      <c r="D889" s="56"/>
      <c r="E889" s="57"/>
      <c r="F889" s="58"/>
      <c r="G889" s="59"/>
      <c r="H889" s="56"/>
      <c r="I889" s="60" t="str">
        <f aca="false">IF(IsPro,IF($D889="","",IFERROR(INDEX(Items!$D$5:$D$504,Q889),"")),IF($D889="","","PRO PLAN"))</f>
        <v/>
      </c>
      <c r="J889" s="61" t="str">
        <f aca="false">IF(IsPro,IF($D889="","",IF($F889="",IFERROR(INDEX(Items!$G$5:$G$504,Q889),0),$F889)),"")</f>
        <v/>
      </c>
      <c r="K889" s="61" t="str">
        <f aca="false">IF(IsPro,IF($D889="","",ROUND(N($E889)*J889*(1-N($G889)),2)),"")</f>
        <v/>
      </c>
      <c r="L889" s="62" t="str">
        <f aca="false">IF(IsPro,IF($D889="","",IFERROR(INDEX(Items!$F$5:$F$504,Q889),0)),"")</f>
        <v/>
      </c>
      <c r="M889" s="61" t="str">
        <f aca="false">IF(IsPro,IF($D889="","",IF(AND(R889&lt;&gt;"",INDEX(Parties!$E$5:$E$304,R889)&lt;&gt;"",INDEX(Parties!$E$5:$E$304,R889)&lt;&gt;HomeState),0,ROUND(K889*L889/2,2))),"")</f>
        <v/>
      </c>
      <c r="N889" s="61" t="str">
        <f aca="false">IF(IsPro,IF($D889="","",M889),"")</f>
        <v/>
      </c>
      <c r="O889" s="61" t="str">
        <f aca="false">IF(IsPro,IF($D889="","",IF(AND(R889&lt;&gt;"",INDEX(Parties!$E$5:$E$304,R889)&lt;&gt;"",INDEX(Parties!$E$5:$E$304,R889)&lt;&gt;HomeState),ROUND(K889*L889,2),0)),"")</f>
        <v/>
      </c>
      <c r="P889" s="61" t="str">
        <f aca="false">IF(IsPro,IF($D889="","",K889+M889+N889+O889),"")</f>
        <v/>
      </c>
      <c r="Q889" s="60" t="str">
        <f aca="false">IF(IsPro,IF($D889="","",IFERROR(MATCH($D889,Items!$A$5:$A$504,0),"")),"")</f>
        <v/>
      </c>
      <c r="R889" s="60" t="str">
        <f aca="false">IF(IsPro,IF($C889="","",IFERROR(MATCH($C889,Parties!$A$5:$A$304,0),"")),"")</f>
        <v/>
      </c>
      <c r="S889" s="61" t="str">
        <f aca="false">IF(IsPro,IF($D889="","",IF(OR($H889="",$H889="Credit"),0,P889)),"")</f>
        <v/>
      </c>
    </row>
    <row r="890" customFormat="false" ht="15" hidden="false" customHeight="false" outlineLevel="0" collapsed="false">
      <c r="A890" s="55"/>
      <c r="B890" s="56"/>
      <c r="C890" s="56"/>
      <c r="D890" s="56"/>
      <c r="E890" s="57"/>
      <c r="F890" s="58"/>
      <c r="G890" s="59"/>
      <c r="H890" s="56"/>
      <c r="I890" s="60" t="str">
        <f aca="false">IF(IsPro,IF($D890="","",IFERROR(INDEX(Items!$D$5:$D$504,Q890),"")),IF($D890="","","PRO PLAN"))</f>
        <v/>
      </c>
      <c r="J890" s="61" t="str">
        <f aca="false">IF(IsPro,IF($D890="","",IF($F890="",IFERROR(INDEX(Items!$G$5:$G$504,Q890),0),$F890)),"")</f>
        <v/>
      </c>
      <c r="K890" s="61" t="str">
        <f aca="false">IF(IsPro,IF($D890="","",ROUND(N($E890)*J890*(1-N($G890)),2)),"")</f>
        <v/>
      </c>
      <c r="L890" s="62" t="str">
        <f aca="false">IF(IsPro,IF($D890="","",IFERROR(INDEX(Items!$F$5:$F$504,Q890),0)),"")</f>
        <v/>
      </c>
      <c r="M890" s="61" t="str">
        <f aca="false">IF(IsPro,IF($D890="","",IF(AND(R890&lt;&gt;"",INDEX(Parties!$E$5:$E$304,R890)&lt;&gt;"",INDEX(Parties!$E$5:$E$304,R890)&lt;&gt;HomeState),0,ROUND(K890*L890/2,2))),"")</f>
        <v/>
      </c>
      <c r="N890" s="61" t="str">
        <f aca="false">IF(IsPro,IF($D890="","",M890),"")</f>
        <v/>
      </c>
      <c r="O890" s="61" t="str">
        <f aca="false">IF(IsPro,IF($D890="","",IF(AND(R890&lt;&gt;"",INDEX(Parties!$E$5:$E$304,R890)&lt;&gt;"",INDEX(Parties!$E$5:$E$304,R890)&lt;&gt;HomeState),ROUND(K890*L890,2),0)),"")</f>
        <v/>
      </c>
      <c r="P890" s="61" t="str">
        <f aca="false">IF(IsPro,IF($D890="","",K890+M890+N890+O890),"")</f>
        <v/>
      </c>
      <c r="Q890" s="60" t="str">
        <f aca="false">IF(IsPro,IF($D890="","",IFERROR(MATCH($D890,Items!$A$5:$A$504,0),"")),"")</f>
        <v/>
      </c>
      <c r="R890" s="60" t="str">
        <f aca="false">IF(IsPro,IF($C890="","",IFERROR(MATCH($C890,Parties!$A$5:$A$304,0),"")),"")</f>
        <v/>
      </c>
      <c r="S890" s="61" t="str">
        <f aca="false">IF(IsPro,IF($D890="","",IF(OR($H890="",$H890="Credit"),0,P890)),"")</f>
        <v/>
      </c>
    </row>
    <row r="891" customFormat="false" ht="15" hidden="false" customHeight="false" outlineLevel="0" collapsed="false">
      <c r="A891" s="55"/>
      <c r="B891" s="56"/>
      <c r="C891" s="56"/>
      <c r="D891" s="56"/>
      <c r="E891" s="57"/>
      <c r="F891" s="58"/>
      <c r="G891" s="59"/>
      <c r="H891" s="56"/>
      <c r="I891" s="60" t="str">
        <f aca="false">IF(IsPro,IF($D891="","",IFERROR(INDEX(Items!$D$5:$D$504,Q891),"")),IF($D891="","","PRO PLAN"))</f>
        <v/>
      </c>
      <c r="J891" s="61" t="str">
        <f aca="false">IF(IsPro,IF($D891="","",IF($F891="",IFERROR(INDEX(Items!$G$5:$G$504,Q891),0),$F891)),"")</f>
        <v/>
      </c>
      <c r="K891" s="61" t="str">
        <f aca="false">IF(IsPro,IF($D891="","",ROUND(N($E891)*J891*(1-N($G891)),2)),"")</f>
        <v/>
      </c>
      <c r="L891" s="62" t="str">
        <f aca="false">IF(IsPro,IF($D891="","",IFERROR(INDEX(Items!$F$5:$F$504,Q891),0)),"")</f>
        <v/>
      </c>
      <c r="M891" s="61" t="str">
        <f aca="false">IF(IsPro,IF($D891="","",IF(AND(R891&lt;&gt;"",INDEX(Parties!$E$5:$E$304,R891)&lt;&gt;"",INDEX(Parties!$E$5:$E$304,R891)&lt;&gt;HomeState),0,ROUND(K891*L891/2,2))),"")</f>
        <v/>
      </c>
      <c r="N891" s="61" t="str">
        <f aca="false">IF(IsPro,IF($D891="","",M891),"")</f>
        <v/>
      </c>
      <c r="O891" s="61" t="str">
        <f aca="false">IF(IsPro,IF($D891="","",IF(AND(R891&lt;&gt;"",INDEX(Parties!$E$5:$E$304,R891)&lt;&gt;"",INDEX(Parties!$E$5:$E$304,R891)&lt;&gt;HomeState),ROUND(K891*L891,2),0)),"")</f>
        <v/>
      </c>
      <c r="P891" s="61" t="str">
        <f aca="false">IF(IsPro,IF($D891="","",K891+M891+N891+O891),"")</f>
        <v/>
      </c>
      <c r="Q891" s="60" t="str">
        <f aca="false">IF(IsPro,IF($D891="","",IFERROR(MATCH($D891,Items!$A$5:$A$504,0),"")),"")</f>
        <v/>
      </c>
      <c r="R891" s="60" t="str">
        <f aca="false">IF(IsPro,IF($C891="","",IFERROR(MATCH($C891,Parties!$A$5:$A$304,0),"")),"")</f>
        <v/>
      </c>
      <c r="S891" s="61" t="str">
        <f aca="false">IF(IsPro,IF($D891="","",IF(OR($H891="",$H891="Credit"),0,P891)),"")</f>
        <v/>
      </c>
    </row>
    <row r="892" customFormat="false" ht="15" hidden="false" customHeight="false" outlineLevel="0" collapsed="false">
      <c r="A892" s="55"/>
      <c r="B892" s="56"/>
      <c r="C892" s="56"/>
      <c r="D892" s="56"/>
      <c r="E892" s="57"/>
      <c r="F892" s="58"/>
      <c r="G892" s="59"/>
      <c r="H892" s="56"/>
      <c r="I892" s="60" t="str">
        <f aca="false">IF(IsPro,IF($D892="","",IFERROR(INDEX(Items!$D$5:$D$504,Q892),"")),IF($D892="","","PRO PLAN"))</f>
        <v/>
      </c>
      <c r="J892" s="61" t="str">
        <f aca="false">IF(IsPro,IF($D892="","",IF($F892="",IFERROR(INDEX(Items!$G$5:$G$504,Q892),0),$F892)),"")</f>
        <v/>
      </c>
      <c r="K892" s="61" t="str">
        <f aca="false">IF(IsPro,IF($D892="","",ROUND(N($E892)*J892*(1-N($G892)),2)),"")</f>
        <v/>
      </c>
      <c r="L892" s="62" t="str">
        <f aca="false">IF(IsPro,IF($D892="","",IFERROR(INDEX(Items!$F$5:$F$504,Q892),0)),"")</f>
        <v/>
      </c>
      <c r="M892" s="61" t="str">
        <f aca="false">IF(IsPro,IF($D892="","",IF(AND(R892&lt;&gt;"",INDEX(Parties!$E$5:$E$304,R892)&lt;&gt;"",INDEX(Parties!$E$5:$E$304,R892)&lt;&gt;HomeState),0,ROUND(K892*L892/2,2))),"")</f>
        <v/>
      </c>
      <c r="N892" s="61" t="str">
        <f aca="false">IF(IsPro,IF($D892="","",M892),"")</f>
        <v/>
      </c>
      <c r="O892" s="61" t="str">
        <f aca="false">IF(IsPro,IF($D892="","",IF(AND(R892&lt;&gt;"",INDEX(Parties!$E$5:$E$304,R892)&lt;&gt;"",INDEX(Parties!$E$5:$E$304,R892)&lt;&gt;HomeState),ROUND(K892*L892,2),0)),"")</f>
        <v/>
      </c>
      <c r="P892" s="61" t="str">
        <f aca="false">IF(IsPro,IF($D892="","",K892+M892+N892+O892),"")</f>
        <v/>
      </c>
      <c r="Q892" s="60" t="str">
        <f aca="false">IF(IsPro,IF($D892="","",IFERROR(MATCH($D892,Items!$A$5:$A$504,0),"")),"")</f>
        <v/>
      </c>
      <c r="R892" s="60" t="str">
        <f aca="false">IF(IsPro,IF($C892="","",IFERROR(MATCH($C892,Parties!$A$5:$A$304,0),"")),"")</f>
        <v/>
      </c>
      <c r="S892" s="61" t="str">
        <f aca="false">IF(IsPro,IF($D892="","",IF(OR($H892="",$H892="Credit"),0,P892)),"")</f>
        <v/>
      </c>
    </row>
    <row r="893" customFormat="false" ht="15" hidden="false" customHeight="false" outlineLevel="0" collapsed="false">
      <c r="A893" s="55"/>
      <c r="B893" s="56"/>
      <c r="C893" s="56"/>
      <c r="D893" s="56"/>
      <c r="E893" s="57"/>
      <c r="F893" s="58"/>
      <c r="G893" s="59"/>
      <c r="H893" s="56"/>
      <c r="I893" s="60" t="str">
        <f aca="false">IF(IsPro,IF($D893="","",IFERROR(INDEX(Items!$D$5:$D$504,Q893),"")),IF($D893="","","PRO PLAN"))</f>
        <v/>
      </c>
      <c r="J893" s="61" t="str">
        <f aca="false">IF(IsPro,IF($D893="","",IF($F893="",IFERROR(INDEX(Items!$G$5:$G$504,Q893),0),$F893)),"")</f>
        <v/>
      </c>
      <c r="K893" s="61" t="str">
        <f aca="false">IF(IsPro,IF($D893="","",ROUND(N($E893)*J893*(1-N($G893)),2)),"")</f>
        <v/>
      </c>
      <c r="L893" s="62" t="str">
        <f aca="false">IF(IsPro,IF($D893="","",IFERROR(INDEX(Items!$F$5:$F$504,Q893),0)),"")</f>
        <v/>
      </c>
      <c r="M893" s="61" t="str">
        <f aca="false">IF(IsPro,IF($D893="","",IF(AND(R893&lt;&gt;"",INDEX(Parties!$E$5:$E$304,R893)&lt;&gt;"",INDEX(Parties!$E$5:$E$304,R893)&lt;&gt;HomeState),0,ROUND(K893*L893/2,2))),"")</f>
        <v/>
      </c>
      <c r="N893" s="61" t="str">
        <f aca="false">IF(IsPro,IF($D893="","",M893),"")</f>
        <v/>
      </c>
      <c r="O893" s="61" t="str">
        <f aca="false">IF(IsPro,IF($D893="","",IF(AND(R893&lt;&gt;"",INDEX(Parties!$E$5:$E$304,R893)&lt;&gt;"",INDEX(Parties!$E$5:$E$304,R893)&lt;&gt;HomeState),ROUND(K893*L893,2),0)),"")</f>
        <v/>
      </c>
      <c r="P893" s="61" t="str">
        <f aca="false">IF(IsPro,IF($D893="","",K893+M893+N893+O893),"")</f>
        <v/>
      </c>
      <c r="Q893" s="60" t="str">
        <f aca="false">IF(IsPro,IF($D893="","",IFERROR(MATCH($D893,Items!$A$5:$A$504,0),"")),"")</f>
        <v/>
      </c>
      <c r="R893" s="60" t="str">
        <f aca="false">IF(IsPro,IF($C893="","",IFERROR(MATCH($C893,Parties!$A$5:$A$304,0),"")),"")</f>
        <v/>
      </c>
      <c r="S893" s="61" t="str">
        <f aca="false">IF(IsPro,IF($D893="","",IF(OR($H893="",$H893="Credit"),0,P893)),"")</f>
        <v/>
      </c>
    </row>
    <row r="894" customFormat="false" ht="15" hidden="false" customHeight="false" outlineLevel="0" collapsed="false">
      <c r="A894" s="55"/>
      <c r="B894" s="56"/>
      <c r="C894" s="56"/>
      <c r="D894" s="56"/>
      <c r="E894" s="57"/>
      <c r="F894" s="58"/>
      <c r="G894" s="59"/>
      <c r="H894" s="56"/>
      <c r="I894" s="60" t="str">
        <f aca="false">IF(IsPro,IF($D894="","",IFERROR(INDEX(Items!$D$5:$D$504,Q894),"")),IF($D894="","","PRO PLAN"))</f>
        <v/>
      </c>
      <c r="J894" s="61" t="str">
        <f aca="false">IF(IsPro,IF($D894="","",IF($F894="",IFERROR(INDEX(Items!$G$5:$G$504,Q894),0),$F894)),"")</f>
        <v/>
      </c>
      <c r="K894" s="61" t="str">
        <f aca="false">IF(IsPro,IF($D894="","",ROUND(N($E894)*J894*(1-N($G894)),2)),"")</f>
        <v/>
      </c>
      <c r="L894" s="62" t="str">
        <f aca="false">IF(IsPro,IF($D894="","",IFERROR(INDEX(Items!$F$5:$F$504,Q894),0)),"")</f>
        <v/>
      </c>
      <c r="M894" s="61" t="str">
        <f aca="false">IF(IsPro,IF($D894="","",IF(AND(R894&lt;&gt;"",INDEX(Parties!$E$5:$E$304,R894)&lt;&gt;"",INDEX(Parties!$E$5:$E$304,R894)&lt;&gt;HomeState),0,ROUND(K894*L894/2,2))),"")</f>
        <v/>
      </c>
      <c r="N894" s="61" t="str">
        <f aca="false">IF(IsPro,IF($D894="","",M894),"")</f>
        <v/>
      </c>
      <c r="O894" s="61" t="str">
        <f aca="false">IF(IsPro,IF($D894="","",IF(AND(R894&lt;&gt;"",INDEX(Parties!$E$5:$E$304,R894)&lt;&gt;"",INDEX(Parties!$E$5:$E$304,R894)&lt;&gt;HomeState),ROUND(K894*L894,2),0)),"")</f>
        <v/>
      </c>
      <c r="P894" s="61" t="str">
        <f aca="false">IF(IsPro,IF($D894="","",K894+M894+N894+O894),"")</f>
        <v/>
      </c>
      <c r="Q894" s="60" t="str">
        <f aca="false">IF(IsPro,IF($D894="","",IFERROR(MATCH($D894,Items!$A$5:$A$504,0),"")),"")</f>
        <v/>
      </c>
      <c r="R894" s="60" t="str">
        <f aca="false">IF(IsPro,IF($C894="","",IFERROR(MATCH($C894,Parties!$A$5:$A$304,0),"")),"")</f>
        <v/>
      </c>
      <c r="S894" s="61" t="str">
        <f aca="false">IF(IsPro,IF($D894="","",IF(OR($H894="",$H894="Credit"),0,P894)),"")</f>
        <v/>
      </c>
    </row>
    <row r="895" customFormat="false" ht="15" hidden="false" customHeight="false" outlineLevel="0" collapsed="false">
      <c r="A895" s="55"/>
      <c r="B895" s="56"/>
      <c r="C895" s="56"/>
      <c r="D895" s="56"/>
      <c r="E895" s="57"/>
      <c r="F895" s="58"/>
      <c r="G895" s="59"/>
      <c r="H895" s="56"/>
      <c r="I895" s="60" t="str">
        <f aca="false">IF(IsPro,IF($D895="","",IFERROR(INDEX(Items!$D$5:$D$504,Q895),"")),IF($D895="","","PRO PLAN"))</f>
        <v/>
      </c>
      <c r="J895" s="61" t="str">
        <f aca="false">IF(IsPro,IF($D895="","",IF($F895="",IFERROR(INDEX(Items!$G$5:$G$504,Q895),0),$F895)),"")</f>
        <v/>
      </c>
      <c r="K895" s="61" t="str">
        <f aca="false">IF(IsPro,IF($D895="","",ROUND(N($E895)*J895*(1-N($G895)),2)),"")</f>
        <v/>
      </c>
      <c r="L895" s="62" t="str">
        <f aca="false">IF(IsPro,IF($D895="","",IFERROR(INDEX(Items!$F$5:$F$504,Q895),0)),"")</f>
        <v/>
      </c>
      <c r="M895" s="61" t="str">
        <f aca="false">IF(IsPro,IF($D895="","",IF(AND(R895&lt;&gt;"",INDEX(Parties!$E$5:$E$304,R895)&lt;&gt;"",INDEX(Parties!$E$5:$E$304,R895)&lt;&gt;HomeState),0,ROUND(K895*L895/2,2))),"")</f>
        <v/>
      </c>
      <c r="N895" s="61" t="str">
        <f aca="false">IF(IsPro,IF($D895="","",M895),"")</f>
        <v/>
      </c>
      <c r="O895" s="61" t="str">
        <f aca="false">IF(IsPro,IF($D895="","",IF(AND(R895&lt;&gt;"",INDEX(Parties!$E$5:$E$304,R895)&lt;&gt;"",INDEX(Parties!$E$5:$E$304,R895)&lt;&gt;HomeState),ROUND(K895*L895,2),0)),"")</f>
        <v/>
      </c>
      <c r="P895" s="61" t="str">
        <f aca="false">IF(IsPro,IF($D895="","",K895+M895+N895+O895),"")</f>
        <v/>
      </c>
      <c r="Q895" s="60" t="str">
        <f aca="false">IF(IsPro,IF($D895="","",IFERROR(MATCH($D895,Items!$A$5:$A$504,0),"")),"")</f>
        <v/>
      </c>
      <c r="R895" s="60" t="str">
        <f aca="false">IF(IsPro,IF($C895="","",IFERROR(MATCH($C895,Parties!$A$5:$A$304,0),"")),"")</f>
        <v/>
      </c>
      <c r="S895" s="61" t="str">
        <f aca="false">IF(IsPro,IF($D895="","",IF(OR($H895="",$H895="Credit"),0,P895)),"")</f>
        <v/>
      </c>
    </row>
    <row r="896" customFormat="false" ht="15" hidden="false" customHeight="false" outlineLevel="0" collapsed="false">
      <c r="A896" s="55"/>
      <c r="B896" s="56"/>
      <c r="C896" s="56"/>
      <c r="D896" s="56"/>
      <c r="E896" s="57"/>
      <c r="F896" s="58"/>
      <c r="G896" s="59"/>
      <c r="H896" s="56"/>
      <c r="I896" s="60" t="str">
        <f aca="false">IF(IsPro,IF($D896="","",IFERROR(INDEX(Items!$D$5:$D$504,Q896),"")),IF($D896="","","PRO PLAN"))</f>
        <v/>
      </c>
      <c r="J896" s="61" t="str">
        <f aca="false">IF(IsPro,IF($D896="","",IF($F896="",IFERROR(INDEX(Items!$G$5:$G$504,Q896),0),$F896)),"")</f>
        <v/>
      </c>
      <c r="K896" s="61" t="str">
        <f aca="false">IF(IsPro,IF($D896="","",ROUND(N($E896)*J896*(1-N($G896)),2)),"")</f>
        <v/>
      </c>
      <c r="L896" s="62" t="str">
        <f aca="false">IF(IsPro,IF($D896="","",IFERROR(INDEX(Items!$F$5:$F$504,Q896),0)),"")</f>
        <v/>
      </c>
      <c r="M896" s="61" t="str">
        <f aca="false">IF(IsPro,IF($D896="","",IF(AND(R896&lt;&gt;"",INDEX(Parties!$E$5:$E$304,R896)&lt;&gt;"",INDEX(Parties!$E$5:$E$304,R896)&lt;&gt;HomeState),0,ROUND(K896*L896/2,2))),"")</f>
        <v/>
      </c>
      <c r="N896" s="61" t="str">
        <f aca="false">IF(IsPro,IF($D896="","",M896),"")</f>
        <v/>
      </c>
      <c r="O896" s="61" t="str">
        <f aca="false">IF(IsPro,IF($D896="","",IF(AND(R896&lt;&gt;"",INDEX(Parties!$E$5:$E$304,R896)&lt;&gt;"",INDEX(Parties!$E$5:$E$304,R896)&lt;&gt;HomeState),ROUND(K896*L896,2),0)),"")</f>
        <v/>
      </c>
      <c r="P896" s="61" t="str">
        <f aca="false">IF(IsPro,IF($D896="","",K896+M896+N896+O896),"")</f>
        <v/>
      </c>
      <c r="Q896" s="60" t="str">
        <f aca="false">IF(IsPro,IF($D896="","",IFERROR(MATCH($D896,Items!$A$5:$A$504,0),"")),"")</f>
        <v/>
      </c>
      <c r="R896" s="60" t="str">
        <f aca="false">IF(IsPro,IF($C896="","",IFERROR(MATCH($C896,Parties!$A$5:$A$304,0),"")),"")</f>
        <v/>
      </c>
      <c r="S896" s="61" t="str">
        <f aca="false">IF(IsPro,IF($D896="","",IF(OR($H896="",$H896="Credit"),0,P896)),"")</f>
        <v/>
      </c>
    </row>
    <row r="897" customFormat="false" ht="15" hidden="false" customHeight="false" outlineLevel="0" collapsed="false">
      <c r="A897" s="55"/>
      <c r="B897" s="56"/>
      <c r="C897" s="56"/>
      <c r="D897" s="56"/>
      <c r="E897" s="57"/>
      <c r="F897" s="58"/>
      <c r="G897" s="59"/>
      <c r="H897" s="56"/>
      <c r="I897" s="60" t="str">
        <f aca="false">IF(IsPro,IF($D897="","",IFERROR(INDEX(Items!$D$5:$D$504,Q897),"")),IF($D897="","","PRO PLAN"))</f>
        <v/>
      </c>
      <c r="J897" s="61" t="str">
        <f aca="false">IF(IsPro,IF($D897="","",IF($F897="",IFERROR(INDEX(Items!$G$5:$G$504,Q897),0),$F897)),"")</f>
        <v/>
      </c>
      <c r="K897" s="61" t="str">
        <f aca="false">IF(IsPro,IF($D897="","",ROUND(N($E897)*J897*(1-N($G897)),2)),"")</f>
        <v/>
      </c>
      <c r="L897" s="62" t="str">
        <f aca="false">IF(IsPro,IF($D897="","",IFERROR(INDEX(Items!$F$5:$F$504,Q897),0)),"")</f>
        <v/>
      </c>
      <c r="M897" s="61" t="str">
        <f aca="false">IF(IsPro,IF($D897="","",IF(AND(R897&lt;&gt;"",INDEX(Parties!$E$5:$E$304,R897)&lt;&gt;"",INDEX(Parties!$E$5:$E$304,R897)&lt;&gt;HomeState),0,ROUND(K897*L897/2,2))),"")</f>
        <v/>
      </c>
      <c r="N897" s="61" t="str">
        <f aca="false">IF(IsPro,IF($D897="","",M897),"")</f>
        <v/>
      </c>
      <c r="O897" s="61" t="str">
        <f aca="false">IF(IsPro,IF($D897="","",IF(AND(R897&lt;&gt;"",INDEX(Parties!$E$5:$E$304,R897)&lt;&gt;"",INDEX(Parties!$E$5:$E$304,R897)&lt;&gt;HomeState),ROUND(K897*L897,2),0)),"")</f>
        <v/>
      </c>
      <c r="P897" s="61" t="str">
        <f aca="false">IF(IsPro,IF($D897="","",K897+M897+N897+O897),"")</f>
        <v/>
      </c>
      <c r="Q897" s="60" t="str">
        <f aca="false">IF(IsPro,IF($D897="","",IFERROR(MATCH($D897,Items!$A$5:$A$504,0),"")),"")</f>
        <v/>
      </c>
      <c r="R897" s="60" t="str">
        <f aca="false">IF(IsPro,IF($C897="","",IFERROR(MATCH($C897,Parties!$A$5:$A$304,0),"")),"")</f>
        <v/>
      </c>
      <c r="S897" s="61" t="str">
        <f aca="false">IF(IsPro,IF($D897="","",IF(OR($H897="",$H897="Credit"),0,P897)),"")</f>
        <v/>
      </c>
    </row>
    <row r="898" customFormat="false" ht="15" hidden="false" customHeight="false" outlineLevel="0" collapsed="false">
      <c r="A898" s="55"/>
      <c r="B898" s="56"/>
      <c r="C898" s="56"/>
      <c r="D898" s="56"/>
      <c r="E898" s="57"/>
      <c r="F898" s="58"/>
      <c r="G898" s="59"/>
      <c r="H898" s="56"/>
      <c r="I898" s="60" t="str">
        <f aca="false">IF(IsPro,IF($D898="","",IFERROR(INDEX(Items!$D$5:$D$504,Q898),"")),IF($D898="","","PRO PLAN"))</f>
        <v/>
      </c>
      <c r="J898" s="61" t="str">
        <f aca="false">IF(IsPro,IF($D898="","",IF($F898="",IFERROR(INDEX(Items!$G$5:$G$504,Q898),0),$F898)),"")</f>
        <v/>
      </c>
      <c r="K898" s="61" t="str">
        <f aca="false">IF(IsPro,IF($D898="","",ROUND(N($E898)*J898*(1-N($G898)),2)),"")</f>
        <v/>
      </c>
      <c r="L898" s="62" t="str">
        <f aca="false">IF(IsPro,IF($D898="","",IFERROR(INDEX(Items!$F$5:$F$504,Q898),0)),"")</f>
        <v/>
      </c>
      <c r="M898" s="61" t="str">
        <f aca="false">IF(IsPro,IF($D898="","",IF(AND(R898&lt;&gt;"",INDEX(Parties!$E$5:$E$304,R898)&lt;&gt;"",INDEX(Parties!$E$5:$E$304,R898)&lt;&gt;HomeState),0,ROUND(K898*L898/2,2))),"")</f>
        <v/>
      </c>
      <c r="N898" s="61" t="str">
        <f aca="false">IF(IsPro,IF($D898="","",M898),"")</f>
        <v/>
      </c>
      <c r="O898" s="61" t="str">
        <f aca="false">IF(IsPro,IF($D898="","",IF(AND(R898&lt;&gt;"",INDEX(Parties!$E$5:$E$304,R898)&lt;&gt;"",INDEX(Parties!$E$5:$E$304,R898)&lt;&gt;HomeState),ROUND(K898*L898,2),0)),"")</f>
        <v/>
      </c>
      <c r="P898" s="61" t="str">
        <f aca="false">IF(IsPro,IF($D898="","",K898+M898+N898+O898),"")</f>
        <v/>
      </c>
      <c r="Q898" s="60" t="str">
        <f aca="false">IF(IsPro,IF($D898="","",IFERROR(MATCH($D898,Items!$A$5:$A$504,0),"")),"")</f>
        <v/>
      </c>
      <c r="R898" s="60" t="str">
        <f aca="false">IF(IsPro,IF($C898="","",IFERROR(MATCH($C898,Parties!$A$5:$A$304,0),"")),"")</f>
        <v/>
      </c>
      <c r="S898" s="61" t="str">
        <f aca="false">IF(IsPro,IF($D898="","",IF(OR($H898="",$H898="Credit"),0,P898)),"")</f>
        <v/>
      </c>
    </row>
    <row r="899" customFormat="false" ht="15" hidden="false" customHeight="false" outlineLevel="0" collapsed="false">
      <c r="A899" s="55"/>
      <c r="B899" s="56"/>
      <c r="C899" s="56"/>
      <c r="D899" s="56"/>
      <c r="E899" s="57"/>
      <c r="F899" s="58"/>
      <c r="G899" s="59"/>
      <c r="H899" s="56"/>
      <c r="I899" s="60" t="str">
        <f aca="false">IF(IsPro,IF($D899="","",IFERROR(INDEX(Items!$D$5:$D$504,Q899),"")),IF($D899="","","PRO PLAN"))</f>
        <v/>
      </c>
      <c r="J899" s="61" t="str">
        <f aca="false">IF(IsPro,IF($D899="","",IF($F899="",IFERROR(INDEX(Items!$G$5:$G$504,Q899),0),$F899)),"")</f>
        <v/>
      </c>
      <c r="K899" s="61" t="str">
        <f aca="false">IF(IsPro,IF($D899="","",ROUND(N($E899)*J899*(1-N($G899)),2)),"")</f>
        <v/>
      </c>
      <c r="L899" s="62" t="str">
        <f aca="false">IF(IsPro,IF($D899="","",IFERROR(INDEX(Items!$F$5:$F$504,Q899),0)),"")</f>
        <v/>
      </c>
      <c r="M899" s="61" t="str">
        <f aca="false">IF(IsPro,IF($D899="","",IF(AND(R899&lt;&gt;"",INDEX(Parties!$E$5:$E$304,R899)&lt;&gt;"",INDEX(Parties!$E$5:$E$304,R899)&lt;&gt;HomeState),0,ROUND(K899*L899/2,2))),"")</f>
        <v/>
      </c>
      <c r="N899" s="61" t="str">
        <f aca="false">IF(IsPro,IF($D899="","",M899),"")</f>
        <v/>
      </c>
      <c r="O899" s="61" t="str">
        <f aca="false">IF(IsPro,IF($D899="","",IF(AND(R899&lt;&gt;"",INDEX(Parties!$E$5:$E$304,R899)&lt;&gt;"",INDEX(Parties!$E$5:$E$304,R899)&lt;&gt;HomeState),ROUND(K899*L899,2),0)),"")</f>
        <v/>
      </c>
      <c r="P899" s="61" t="str">
        <f aca="false">IF(IsPro,IF($D899="","",K899+M899+N899+O899),"")</f>
        <v/>
      </c>
      <c r="Q899" s="60" t="str">
        <f aca="false">IF(IsPro,IF($D899="","",IFERROR(MATCH($D899,Items!$A$5:$A$504,0),"")),"")</f>
        <v/>
      </c>
      <c r="R899" s="60" t="str">
        <f aca="false">IF(IsPro,IF($C899="","",IFERROR(MATCH($C899,Parties!$A$5:$A$304,0),"")),"")</f>
        <v/>
      </c>
      <c r="S899" s="61" t="str">
        <f aca="false">IF(IsPro,IF($D899="","",IF(OR($H899="",$H899="Credit"),0,P899)),"")</f>
        <v/>
      </c>
    </row>
    <row r="900" customFormat="false" ht="15" hidden="false" customHeight="false" outlineLevel="0" collapsed="false">
      <c r="A900" s="55"/>
      <c r="B900" s="56"/>
      <c r="C900" s="56"/>
      <c r="D900" s="56"/>
      <c r="E900" s="57"/>
      <c r="F900" s="58"/>
      <c r="G900" s="59"/>
      <c r="H900" s="56"/>
      <c r="I900" s="60" t="str">
        <f aca="false">IF(IsPro,IF($D900="","",IFERROR(INDEX(Items!$D$5:$D$504,Q900),"")),IF($D900="","","PRO PLAN"))</f>
        <v/>
      </c>
      <c r="J900" s="61" t="str">
        <f aca="false">IF(IsPro,IF($D900="","",IF($F900="",IFERROR(INDEX(Items!$G$5:$G$504,Q900),0),$F900)),"")</f>
        <v/>
      </c>
      <c r="K900" s="61" t="str">
        <f aca="false">IF(IsPro,IF($D900="","",ROUND(N($E900)*J900*(1-N($G900)),2)),"")</f>
        <v/>
      </c>
      <c r="L900" s="62" t="str">
        <f aca="false">IF(IsPro,IF($D900="","",IFERROR(INDEX(Items!$F$5:$F$504,Q900),0)),"")</f>
        <v/>
      </c>
      <c r="M900" s="61" t="str">
        <f aca="false">IF(IsPro,IF($D900="","",IF(AND(R900&lt;&gt;"",INDEX(Parties!$E$5:$E$304,R900)&lt;&gt;"",INDEX(Parties!$E$5:$E$304,R900)&lt;&gt;HomeState),0,ROUND(K900*L900/2,2))),"")</f>
        <v/>
      </c>
      <c r="N900" s="61" t="str">
        <f aca="false">IF(IsPro,IF($D900="","",M900),"")</f>
        <v/>
      </c>
      <c r="O900" s="61" t="str">
        <f aca="false">IF(IsPro,IF($D900="","",IF(AND(R900&lt;&gt;"",INDEX(Parties!$E$5:$E$304,R900)&lt;&gt;"",INDEX(Parties!$E$5:$E$304,R900)&lt;&gt;HomeState),ROUND(K900*L900,2),0)),"")</f>
        <v/>
      </c>
      <c r="P900" s="61" t="str">
        <f aca="false">IF(IsPro,IF($D900="","",K900+M900+N900+O900),"")</f>
        <v/>
      </c>
      <c r="Q900" s="60" t="str">
        <f aca="false">IF(IsPro,IF($D900="","",IFERROR(MATCH($D900,Items!$A$5:$A$504,0),"")),"")</f>
        <v/>
      </c>
      <c r="R900" s="60" t="str">
        <f aca="false">IF(IsPro,IF($C900="","",IFERROR(MATCH($C900,Parties!$A$5:$A$304,0),"")),"")</f>
        <v/>
      </c>
      <c r="S900" s="61" t="str">
        <f aca="false">IF(IsPro,IF($D900="","",IF(OR($H900="",$H900="Credit"),0,P900)),"")</f>
        <v/>
      </c>
    </row>
    <row r="901" customFormat="false" ht="15" hidden="false" customHeight="false" outlineLevel="0" collapsed="false">
      <c r="A901" s="55"/>
      <c r="B901" s="56"/>
      <c r="C901" s="56"/>
      <c r="D901" s="56"/>
      <c r="E901" s="57"/>
      <c r="F901" s="58"/>
      <c r="G901" s="59"/>
      <c r="H901" s="56"/>
      <c r="I901" s="60" t="str">
        <f aca="false">IF(IsPro,IF($D901="","",IFERROR(INDEX(Items!$D$5:$D$504,Q901),"")),IF($D901="","","PRO PLAN"))</f>
        <v/>
      </c>
      <c r="J901" s="61" t="str">
        <f aca="false">IF(IsPro,IF($D901="","",IF($F901="",IFERROR(INDEX(Items!$G$5:$G$504,Q901),0),$F901)),"")</f>
        <v/>
      </c>
      <c r="K901" s="61" t="str">
        <f aca="false">IF(IsPro,IF($D901="","",ROUND(N($E901)*J901*(1-N($G901)),2)),"")</f>
        <v/>
      </c>
      <c r="L901" s="62" t="str">
        <f aca="false">IF(IsPro,IF($D901="","",IFERROR(INDEX(Items!$F$5:$F$504,Q901),0)),"")</f>
        <v/>
      </c>
      <c r="M901" s="61" t="str">
        <f aca="false">IF(IsPro,IF($D901="","",IF(AND(R901&lt;&gt;"",INDEX(Parties!$E$5:$E$304,R901)&lt;&gt;"",INDEX(Parties!$E$5:$E$304,R901)&lt;&gt;HomeState),0,ROUND(K901*L901/2,2))),"")</f>
        <v/>
      </c>
      <c r="N901" s="61" t="str">
        <f aca="false">IF(IsPro,IF($D901="","",M901),"")</f>
        <v/>
      </c>
      <c r="O901" s="61" t="str">
        <f aca="false">IF(IsPro,IF($D901="","",IF(AND(R901&lt;&gt;"",INDEX(Parties!$E$5:$E$304,R901)&lt;&gt;"",INDEX(Parties!$E$5:$E$304,R901)&lt;&gt;HomeState),ROUND(K901*L901,2),0)),"")</f>
        <v/>
      </c>
      <c r="P901" s="61" t="str">
        <f aca="false">IF(IsPro,IF($D901="","",K901+M901+N901+O901),"")</f>
        <v/>
      </c>
      <c r="Q901" s="60" t="str">
        <f aca="false">IF(IsPro,IF($D901="","",IFERROR(MATCH($D901,Items!$A$5:$A$504,0),"")),"")</f>
        <v/>
      </c>
      <c r="R901" s="60" t="str">
        <f aca="false">IF(IsPro,IF($C901="","",IFERROR(MATCH($C901,Parties!$A$5:$A$304,0),"")),"")</f>
        <v/>
      </c>
      <c r="S901" s="61" t="str">
        <f aca="false">IF(IsPro,IF($D901="","",IF(OR($H901="",$H901="Credit"),0,P901)),"")</f>
        <v/>
      </c>
    </row>
    <row r="902" customFormat="false" ht="15" hidden="false" customHeight="false" outlineLevel="0" collapsed="false">
      <c r="A902" s="55"/>
      <c r="B902" s="56"/>
      <c r="C902" s="56"/>
      <c r="D902" s="56"/>
      <c r="E902" s="57"/>
      <c r="F902" s="58"/>
      <c r="G902" s="59"/>
      <c r="H902" s="56"/>
      <c r="I902" s="60" t="str">
        <f aca="false">IF(IsPro,IF($D902="","",IFERROR(INDEX(Items!$D$5:$D$504,Q902),"")),IF($D902="","","PRO PLAN"))</f>
        <v/>
      </c>
      <c r="J902" s="61" t="str">
        <f aca="false">IF(IsPro,IF($D902="","",IF($F902="",IFERROR(INDEX(Items!$G$5:$G$504,Q902),0),$F902)),"")</f>
        <v/>
      </c>
      <c r="K902" s="61" t="str">
        <f aca="false">IF(IsPro,IF($D902="","",ROUND(N($E902)*J902*(1-N($G902)),2)),"")</f>
        <v/>
      </c>
      <c r="L902" s="62" t="str">
        <f aca="false">IF(IsPro,IF($D902="","",IFERROR(INDEX(Items!$F$5:$F$504,Q902),0)),"")</f>
        <v/>
      </c>
      <c r="M902" s="61" t="str">
        <f aca="false">IF(IsPro,IF($D902="","",IF(AND(R902&lt;&gt;"",INDEX(Parties!$E$5:$E$304,R902)&lt;&gt;"",INDEX(Parties!$E$5:$E$304,R902)&lt;&gt;HomeState),0,ROUND(K902*L902/2,2))),"")</f>
        <v/>
      </c>
      <c r="N902" s="61" t="str">
        <f aca="false">IF(IsPro,IF($D902="","",M902),"")</f>
        <v/>
      </c>
      <c r="O902" s="61" t="str">
        <f aca="false">IF(IsPro,IF($D902="","",IF(AND(R902&lt;&gt;"",INDEX(Parties!$E$5:$E$304,R902)&lt;&gt;"",INDEX(Parties!$E$5:$E$304,R902)&lt;&gt;HomeState),ROUND(K902*L902,2),0)),"")</f>
        <v/>
      </c>
      <c r="P902" s="61" t="str">
        <f aca="false">IF(IsPro,IF($D902="","",K902+M902+N902+O902),"")</f>
        <v/>
      </c>
      <c r="Q902" s="60" t="str">
        <f aca="false">IF(IsPro,IF($D902="","",IFERROR(MATCH($D902,Items!$A$5:$A$504,0),"")),"")</f>
        <v/>
      </c>
      <c r="R902" s="60" t="str">
        <f aca="false">IF(IsPro,IF($C902="","",IFERROR(MATCH($C902,Parties!$A$5:$A$304,0),"")),"")</f>
        <v/>
      </c>
      <c r="S902" s="61" t="str">
        <f aca="false">IF(IsPro,IF($D902="","",IF(OR($H902="",$H902="Credit"),0,P902)),"")</f>
        <v/>
      </c>
    </row>
    <row r="903" customFormat="false" ht="15" hidden="false" customHeight="false" outlineLevel="0" collapsed="false">
      <c r="A903" s="55"/>
      <c r="B903" s="56"/>
      <c r="C903" s="56"/>
      <c r="D903" s="56"/>
      <c r="E903" s="57"/>
      <c r="F903" s="58"/>
      <c r="G903" s="59"/>
      <c r="H903" s="56"/>
      <c r="I903" s="60" t="str">
        <f aca="false">IF(IsPro,IF($D903="","",IFERROR(INDEX(Items!$D$5:$D$504,Q903),"")),IF($D903="","","PRO PLAN"))</f>
        <v/>
      </c>
      <c r="J903" s="61" t="str">
        <f aca="false">IF(IsPro,IF($D903="","",IF($F903="",IFERROR(INDEX(Items!$G$5:$G$504,Q903),0),$F903)),"")</f>
        <v/>
      </c>
      <c r="K903" s="61" t="str">
        <f aca="false">IF(IsPro,IF($D903="","",ROUND(N($E903)*J903*(1-N($G903)),2)),"")</f>
        <v/>
      </c>
      <c r="L903" s="62" t="str">
        <f aca="false">IF(IsPro,IF($D903="","",IFERROR(INDEX(Items!$F$5:$F$504,Q903),0)),"")</f>
        <v/>
      </c>
      <c r="M903" s="61" t="str">
        <f aca="false">IF(IsPro,IF($D903="","",IF(AND(R903&lt;&gt;"",INDEX(Parties!$E$5:$E$304,R903)&lt;&gt;"",INDEX(Parties!$E$5:$E$304,R903)&lt;&gt;HomeState),0,ROUND(K903*L903/2,2))),"")</f>
        <v/>
      </c>
      <c r="N903" s="61" t="str">
        <f aca="false">IF(IsPro,IF($D903="","",M903),"")</f>
        <v/>
      </c>
      <c r="O903" s="61" t="str">
        <f aca="false">IF(IsPro,IF($D903="","",IF(AND(R903&lt;&gt;"",INDEX(Parties!$E$5:$E$304,R903)&lt;&gt;"",INDEX(Parties!$E$5:$E$304,R903)&lt;&gt;HomeState),ROUND(K903*L903,2),0)),"")</f>
        <v/>
      </c>
      <c r="P903" s="61" t="str">
        <f aca="false">IF(IsPro,IF($D903="","",K903+M903+N903+O903),"")</f>
        <v/>
      </c>
      <c r="Q903" s="60" t="str">
        <f aca="false">IF(IsPro,IF($D903="","",IFERROR(MATCH($D903,Items!$A$5:$A$504,0),"")),"")</f>
        <v/>
      </c>
      <c r="R903" s="60" t="str">
        <f aca="false">IF(IsPro,IF($C903="","",IFERROR(MATCH($C903,Parties!$A$5:$A$304,0),"")),"")</f>
        <v/>
      </c>
      <c r="S903" s="61" t="str">
        <f aca="false">IF(IsPro,IF($D903="","",IF(OR($H903="",$H903="Credit"),0,P903)),"")</f>
        <v/>
      </c>
    </row>
    <row r="904" customFormat="false" ht="15" hidden="false" customHeight="false" outlineLevel="0" collapsed="false">
      <c r="A904" s="55"/>
      <c r="B904" s="56"/>
      <c r="C904" s="56"/>
      <c r="D904" s="56"/>
      <c r="E904" s="57"/>
      <c r="F904" s="58"/>
      <c r="G904" s="59"/>
      <c r="H904" s="56"/>
      <c r="I904" s="60" t="str">
        <f aca="false">IF(IsPro,IF($D904="","",IFERROR(INDEX(Items!$D$5:$D$504,Q904),"")),IF($D904="","","PRO PLAN"))</f>
        <v/>
      </c>
      <c r="J904" s="61" t="str">
        <f aca="false">IF(IsPro,IF($D904="","",IF($F904="",IFERROR(INDEX(Items!$G$5:$G$504,Q904),0),$F904)),"")</f>
        <v/>
      </c>
      <c r="K904" s="61" t="str">
        <f aca="false">IF(IsPro,IF($D904="","",ROUND(N($E904)*J904*(1-N($G904)),2)),"")</f>
        <v/>
      </c>
      <c r="L904" s="62" t="str">
        <f aca="false">IF(IsPro,IF($D904="","",IFERROR(INDEX(Items!$F$5:$F$504,Q904),0)),"")</f>
        <v/>
      </c>
      <c r="M904" s="61" t="str">
        <f aca="false">IF(IsPro,IF($D904="","",IF(AND(R904&lt;&gt;"",INDEX(Parties!$E$5:$E$304,R904)&lt;&gt;"",INDEX(Parties!$E$5:$E$304,R904)&lt;&gt;HomeState),0,ROUND(K904*L904/2,2))),"")</f>
        <v/>
      </c>
      <c r="N904" s="61" t="str">
        <f aca="false">IF(IsPro,IF($D904="","",M904),"")</f>
        <v/>
      </c>
      <c r="O904" s="61" t="str">
        <f aca="false">IF(IsPro,IF($D904="","",IF(AND(R904&lt;&gt;"",INDEX(Parties!$E$5:$E$304,R904)&lt;&gt;"",INDEX(Parties!$E$5:$E$304,R904)&lt;&gt;HomeState),ROUND(K904*L904,2),0)),"")</f>
        <v/>
      </c>
      <c r="P904" s="61" t="str">
        <f aca="false">IF(IsPro,IF($D904="","",K904+M904+N904+O904),"")</f>
        <v/>
      </c>
      <c r="Q904" s="60" t="str">
        <f aca="false">IF(IsPro,IF($D904="","",IFERROR(MATCH($D904,Items!$A$5:$A$504,0),"")),"")</f>
        <v/>
      </c>
      <c r="R904" s="60" t="str">
        <f aca="false">IF(IsPro,IF($C904="","",IFERROR(MATCH($C904,Parties!$A$5:$A$304,0),"")),"")</f>
        <v/>
      </c>
      <c r="S904" s="61" t="str">
        <f aca="false">IF(IsPro,IF($D904="","",IF(OR($H904="",$H904="Credit"),0,P904)),"")</f>
        <v/>
      </c>
    </row>
    <row r="905" customFormat="false" ht="15" hidden="false" customHeight="false" outlineLevel="0" collapsed="false">
      <c r="A905" s="55"/>
      <c r="B905" s="56"/>
      <c r="C905" s="56"/>
      <c r="D905" s="56"/>
      <c r="E905" s="57"/>
      <c r="F905" s="58"/>
      <c r="G905" s="59"/>
      <c r="H905" s="56"/>
      <c r="I905" s="60" t="str">
        <f aca="false">IF(IsPro,IF($D905="","",IFERROR(INDEX(Items!$D$5:$D$504,Q905),"")),IF($D905="","","PRO PLAN"))</f>
        <v/>
      </c>
      <c r="J905" s="61" t="str">
        <f aca="false">IF(IsPro,IF($D905="","",IF($F905="",IFERROR(INDEX(Items!$G$5:$G$504,Q905),0),$F905)),"")</f>
        <v/>
      </c>
      <c r="K905" s="61" t="str">
        <f aca="false">IF(IsPro,IF($D905="","",ROUND(N($E905)*J905*(1-N($G905)),2)),"")</f>
        <v/>
      </c>
      <c r="L905" s="62" t="str">
        <f aca="false">IF(IsPro,IF($D905="","",IFERROR(INDEX(Items!$F$5:$F$504,Q905),0)),"")</f>
        <v/>
      </c>
      <c r="M905" s="61" t="str">
        <f aca="false">IF(IsPro,IF($D905="","",IF(AND(R905&lt;&gt;"",INDEX(Parties!$E$5:$E$304,R905)&lt;&gt;"",INDEX(Parties!$E$5:$E$304,R905)&lt;&gt;HomeState),0,ROUND(K905*L905/2,2))),"")</f>
        <v/>
      </c>
      <c r="N905" s="61" t="str">
        <f aca="false">IF(IsPro,IF($D905="","",M905),"")</f>
        <v/>
      </c>
      <c r="O905" s="61" t="str">
        <f aca="false">IF(IsPro,IF($D905="","",IF(AND(R905&lt;&gt;"",INDEX(Parties!$E$5:$E$304,R905)&lt;&gt;"",INDEX(Parties!$E$5:$E$304,R905)&lt;&gt;HomeState),ROUND(K905*L905,2),0)),"")</f>
        <v/>
      </c>
      <c r="P905" s="61" t="str">
        <f aca="false">IF(IsPro,IF($D905="","",K905+M905+N905+O905),"")</f>
        <v/>
      </c>
      <c r="Q905" s="60" t="str">
        <f aca="false">IF(IsPro,IF($D905="","",IFERROR(MATCH($D905,Items!$A$5:$A$504,0),"")),"")</f>
        <v/>
      </c>
      <c r="R905" s="60" t="str">
        <f aca="false">IF(IsPro,IF($C905="","",IFERROR(MATCH($C905,Parties!$A$5:$A$304,0),"")),"")</f>
        <v/>
      </c>
      <c r="S905" s="61" t="str">
        <f aca="false">IF(IsPro,IF($D905="","",IF(OR($H905="",$H905="Credit"),0,P905)),"")</f>
        <v/>
      </c>
    </row>
    <row r="906" customFormat="false" ht="15" hidden="false" customHeight="false" outlineLevel="0" collapsed="false">
      <c r="A906" s="55"/>
      <c r="B906" s="56"/>
      <c r="C906" s="56"/>
      <c r="D906" s="56"/>
      <c r="E906" s="57"/>
      <c r="F906" s="58"/>
      <c r="G906" s="59"/>
      <c r="H906" s="56"/>
      <c r="I906" s="60" t="str">
        <f aca="false">IF(IsPro,IF($D906="","",IFERROR(INDEX(Items!$D$5:$D$504,Q906),"")),IF($D906="","","PRO PLAN"))</f>
        <v/>
      </c>
      <c r="J906" s="61" t="str">
        <f aca="false">IF(IsPro,IF($D906="","",IF($F906="",IFERROR(INDEX(Items!$G$5:$G$504,Q906),0),$F906)),"")</f>
        <v/>
      </c>
      <c r="K906" s="61" t="str">
        <f aca="false">IF(IsPro,IF($D906="","",ROUND(N($E906)*J906*(1-N($G906)),2)),"")</f>
        <v/>
      </c>
      <c r="L906" s="62" t="str">
        <f aca="false">IF(IsPro,IF($D906="","",IFERROR(INDEX(Items!$F$5:$F$504,Q906),0)),"")</f>
        <v/>
      </c>
      <c r="M906" s="61" t="str">
        <f aca="false">IF(IsPro,IF($D906="","",IF(AND(R906&lt;&gt;"",INDEX(Parties!$E$5:$E$304,R906)&lt;&gt;"",INDEX(Parties!$E$5:$E$304,R906)&lt;&gt;HomeState),0,ROUND(K906*L906/2,2))),"")</f>
        <v/>
      </c>
      <c r="N906" s="61" t="str">
        <f aca="false">IF(IsPro,IF($D906="","",M906),"")</f>
        <v/>
      </c>
      <c r="O906" s="61" t="str">
        <f aca="false">IF(IsPro,IF($D906="","",IF(AND(R906&lt;&gt;"",INDEX(Parties!$E$5:$E$304,R906)&lt;&gt;"",INDEX(Parties!$E$5:$E$304,R906)&lt;&gt;HomeState),ROUND(K906*L906,2),0)),"")</f>
        <v/>
      </c>
      <c r="P906" s="61" t="str">
        <f aca="false">IF(IsPro,IF($D906="","",K906+M906+N906+O906),"")</f>
        <v/>
      </c>
      <c r="Q906" s="60" t="str">
        <f aca="false">IF(IsPro,IF($D906="","",IFERROR(MATCH($D906,Items!$A$5:$A$504,0),"")),"")</f>
        <v/>
      </c>
      <c r="R906" s="60" t="str">
        <f aca="false">IF(IsPro,IF($C906="","",IFERROR(MATCH($C906,Parties!$A$5:$A$304,0),"")),"")</f>
        <v/>
      </c>
      <c r="S906" s="61" t="str">
        <f aca="false">IF(IsPro,IF($D906="","",IF(OR($H906="",$H906="Credit"),0,P906)),"")</f>
        <v/>
      </c>
    </row>
    <row r="907" customFormat="false" ht="15" hidden="false" customHeight="false" outlineLevel="0" collapsed="false">
      <c r="A907" s="55"/>
      <c r="B907" s="56"/>
      <c r="C907" s="56"/>
      <c r="D907" s="56"/>
      <c r="E907" s="57"/>
      <c r="F907" s="58"/>
      <c r="G907" s="59"/>
      <c r="H907" s="56"/>
      <c r="I907" s="60" t="str">
        <f aca="false">IF(IsPro,IF($D907="","",IFERROR(INDEX(Items!$D$5:$D$504,Q907),"")),IF($D907="","","PRO PLAN"))</f>
        <v/>
      </c>
      <c r="J907" s="61" t="str">
        <f aca="false">IF(IsPro,IF($D907="","",IF($F907="",IFERROR(INDEX(Items!$G$5:$G$504,Q907),0),$F907)),"")</f>
        <v/>
      </c>
      <c r="K907" s="61" t="str">
        <f aca="false">IF(IsPro,IF($D907="","",ROUND(N($E907)*J907*(1-N($G907)),2)),"")</f>
        <v/>
      </c>
      <c r="L907" s="62" t="str">
        <f aca="false">IF(IsPro,IF($D907="","",IFERROR(INDEX(Items!$F$5:$F$504,Q907),0)),"")</f>
        <v/>
      </c>
      <c r="M907" s="61" t="str">
        <f aca="false">IF(IsPro,IF($D907="","",IF(AND(R907&lt;&gt;"",INDEX(Parties!$E$5:$E$304,R907)&lt;&gt;"",INDEX(Parties!$E$5:$E$304,R907)&lt;&gt;HomeState),0,ROUND(K907*L907/2,2))),"")</f>
        <v/>
      </c>
      <c r="N907" s="61" t="str">
        <f aca="false">IF(IsPro,IF($D907="","",M907),"")</f>
        <v/>
      </c>
      <c r="O907" s="61" t="str">
        <f aca="false">IF(IsPro,IF($D907="","",IF(AND(R907&lt;&gt;"",INDEX(Parties!$E$5:$E$304,R907)&lt;&gt;"",INDEX(Parties!$E$5:$E$304,R907)&lt;&gt;HomeState),ROUND(K907*L907,2),0)),"")</f>
        <v/>
      </c>
      <c r="P907" s="61" t="str">
        <f aca="false">IF(IsPro,IF($D907="","",K907+M907+N907+O907),"")</f>
        <v/>
      </c>
      <c r="Q907" s="60" t="str">
        <f aca="false">IF(IsPro,IF($D907="","",IFERROR(MATCH($D907,Items!$A$5:$A$504,0),"")),"")</f>
        <v/>
      </c>
      <c r="R907" s="60" t="str">
        <f aca="false">IF(IsPro,IF($C907="","",IFERROR(MATCH($C907,Parties!$A$5:$A$304,0),"")),"")</f>
        <v/>
      </c>
      <c r="S907" s="61" t="str">
        <f aca="false">IF(IsPro,IF($D907="","",IF(OR($H907="",$H907="Credit"),0,P907)),"")</f>
        <v/>
      </c>
    </row>
    <row r="908" customFormat="false" ht="15" hidden="false" customHeight="false" outlineLevel="0" collapsed="false">
      <c r="A908" s="55"/>
      <c r="B908" s="56"/>
      <c r="C908" s="56"/>
      <c r="D908" s="56"/>
      <c r="E908" s="57"/>
      <c r="F908" s="58"/>
      <c r="G908" s="59"/>
      <c r="H908" s="56"/>
      <c r="I908" s="60" t="str">
        <f aca="false">IF(IsPro,IF($D908="","",IFERROR(INDEX(Items!$D$5:$D$504,Q908),"")),IF($D908="","","PRO PLAN"))</f>
        <v/>
      </c>
      <c r="J908" s="61" t="str">
        <f aca="false">IF(IsPro,IF($D908="","",IF($F908="",IFERROR(INDEX(Items!$G$5:$G$504,Q908),0),$F908)),"")</f>
        <v/>
      </c>
      <c r="K908" s="61" t="str">
        <f aca="false">IF(IsPro,IF($D908="","",ROUND(N($E908)*J908*(1-N($G908)),2)),"")</f>
        <v/>
      </c>
      <c r="L908" s="62" t="str">
        <f aca="false">IF(IsPro,IF($D908="","",IFERROR(INDEX(Items!$F$5:$F$504,Q908),0)),"")</f>
        <v/>
      </c>
      <c r="M908" s="61" t="str">
        <f aca="false">IF(IsPro,IF($D908="","",IF(AND(R908&lt;&gt;"",INDEX(Parties!$E$5:$E$304,R908)&lt;&gt;"",INDEX(Parties!$E$5:$E$304,R908)&lt;&gt;HomeState),0,ROUND(K908*L908/2,2))),"")</f>
        <v/>
      </c>
      <c r="N908" s="61" t="str">
        <f aca="false">IF(IsPro,IF($D908="","",M908),"")</f>
        <v/>
      </c>
      <c r="O908" s="61" t="str">
        <f aca="false">IF(IsPro,IF($D908="","",IF(AND(R908&lt;&gt;"",INDEX(Parties!$E$5:$E$304,R908)&lt;&gt;"",INDEX(Parties!$E$5:$E$304,R908)&lt;&gt;HomeState),ROUND(K908*L908,2),0)),"")</f>
        <v/>
      </c>
      <c r="P908" s="61" t="str">
        <f aca="false">IF(IsPro,IF($D908="","",K908+M908+N908+O908),"")</f>
        <v/>
      </c>
      <c r="Q908" s="60" t="str">
        <f aca="false">IF(IsPro,IF($D908="","",IFERROR(MATCH($D908,Items!$A$5:$A$504,0),"")),"")</f>
        <v/>
      </c>
      <c r="R908" s="60" t="str">
        <f aca="false">IF(IsPro,IF($C908="","",IFERROR(MATCH($C908,Parties!$A$5:$A$304,0),"")),"")</f>
        <v/>
      </c>
      <c r="S908" s="61" t="str">
        <f aca="false">IF(IsPro,IF($D908="","",IF(OR($H908="",$H908="Credit"),0,P908)),"")</f>
        <v/>
      </c>
    </row>
    <row r="909" customFormat="false" ht="15" hidden="false" customHeight="false" outlineLevel="0" collapsed="false">
      <c r="A909" s="55"/>
      <c r="B909" s="56"/>
      <c r="C909" s="56"/>
      <c r="D909" s="56"/>
      <c r="E909" s="57"/>
      <c r="F909" s="58"/>
      <c r="G909" s="59"/>
      <c r="H909" s="56"/>
      <c r="I909" s="60" t="str">
        <f aca="false">IF(IsPro,IF($D909="","",IFERROR(INDEX(Items!$D$5:$D$504,Q909),"")),IF($D909="","","PRO PLAN"))</f>
        <v/>
      </c>
      <c r="J909" s="61" t="str">
        <f aca="false">IF(IsPro,IF($D909="","",IF($F909="",IFERROR(INDEX(Items!$G$5:$G$504,Q909),0),$F909)),"")</f>
        <v/>
      </c>
      <c r="K909" s="61" t="str">
        <f aca="false">IF(IsPro,IF($D909="","",ROUND(N($E909)*J909*(1-N($G909)),2)),"")</f>
        <v/>
      </c>
      <c r="L909" s="62" t="str">
        <f aca="false">IF(IsPro,IF($D909="","",IFERROR(INDEX(Items!$F$5:$F$504,Q909),0)),"")</f>
        <v/>
      </c>
      <c r="M909" s="61" t="str">
        <f aca="false">IF(IsPro,IF($D909="","",IF(AND(R909&lt;&gt;"",INDEX(Parties!$E$5:$E$304,R909)&lt;&gt;"",INDEX(Parties!$E$5:$E$304,R909)&lt;&gt;HomeState),0,ROUND(K909*L909/2,2))),"")</f>
        <v/>
      </c>
      <c r="N909" s="61" t="str">
        <f aca="false">IF(IsPro,IF($D909="","",M909),"")</f>
        <v/>
      </c>
      <c r="O909" s="61" t="str">
        <f aca="false">IF(IsPro,IF($D909="","",IF(AND(R909&lt;&gt;"",INDEX(Parties!$E$5:$E$304,R909)&lt;&gt;"",INDEX(Parties!$E$5:$E$304,R909)&lt;&gt;HomeState),ROUND(K909*L909,2),0)),"")</f>
        <v/>
      </c>
      <c r="P909" s="61" t="str">
        <f aca="false">IF(IsPro,IF($D909="","",K909+M909+N909+O909),"")</f>
        <v/>
      </c>
      <c r="Q909" s="60" t="str">
        <f aca="false">IF(IsPro,IF($D909="","",IFERROR(MATCH($D909,Items!$A$5:$A$504,0),"")),"")</f>
        <v/>
      </c>
      <c r="R909" s="60" t="str">
        <f aca="false">IF(IsPro,IF($C909="","",IFERROR(MATCH($C909,Parties!$A$5:$A$304,0),"")),"")</f>
        <v/>
      </c>
      <c r="S909" s="61" t="str">
        <f aca="false">IF(IsPro,IF($D909="","",IF(OR($H909="",$H909="Credit"),0,P909)),"")</f>
        <v/>
      </c>
    </row>
    <row r="910" customFormat="false" ht="15" hidden="false" customHeight="false" outlineLevel="0" collapsed="false">
      <c r="A910" s="55"/>
      <c r="B910" s="56"/>
      <c r="C910" s="56"/>
      <c r="D910" s="56"/>
      <c r="E910" s="57"/>
      <c r="F910" s="58"/>
      <c r="G910" s="59"/>
      <c r="H910" s="56"/>
      <c r="I910" s="60" t="str">
        <f aca="false">IF(IsPro,IF($D910="","",IFERROR(INDEX(Items!$D$5:$D$504,Q910),"")),IF($D910="","","PRO PLAN"))</f>
        <v/>
      </c>
      <c r="J910" s="61" t="str">
        <f aca="false">IF(IsPro,IF($D910="","",IF($F910="",IFERROR(INDEX(Items!$G$5:$G$504,Q910),0),$F910)),"")</f>
        <v/>
      </c>
      <c r="K910" s="61" t="str">
        <f aca="false">IF(IsPro,IF($D910="","",ROUND(N($E910)*J910*(1-N($G910)),2)),"")</f>
        <v/>
      </c>
      <c r="L910" s="62" t="str">
        <f aca="false">IF(IsPro,IF($D910="","",IFERROR(INDEX(Items!$F$5:$F$504,Q910),0)),"")</f>
        <v/>
      </c>
      <c r="M910" s="61" t="str">
        <f aca="false">IF(IsPro,IF($D910="","",IF(AND(R910&lt;&gt;"",INDEX(Parties!$E$5:$E$304,R910)&lt;&gt;"",INDEX(Parties!$E$5:$E$304,R910)&lt;&gt;HomeState),0,ROUND(K910*L910/2,2))),"")</f>
        <v/>
      </c>
      <c r="N910" s="61" t="str">
        <f aca="false">IF(IsPro,IF($D910="","",M910),"")</f>
        <v/>
      </c>
      <c r="O910" s="61" t="str">
        <f aca="false">IF(IsPro,IF($D910="","",IF(AND(R910&lt;&gt;"",INDEX(Parties!$E$5:$E$304,R910)&lt;&gt;"",INDEX(Parties!$E$5:$E$304,R910)&lt;&gt;HomeState),ROUND(K910*L910,2),0)),"")</f>
        <v/>
      </c>
      <c r="P910" s="61" t="str">
        <f aca="false">IF(IsPro,IF($D910="","",K910+M910+N910+O910),"")</f>
        <v/>
      </c>
      <c r="Q910" s="60" t="str">
        <f aca="false">IF(IsPro,IF($D910="","",IFERROR(MATCH($D910,Items!$A$5:$A$504,0),"")),"")</f>
        <v/>
      </c>
      <c r="R910" s="60" t="str">
        <f aca="false">IF(IsPro,IF($C910="","",IFERROR(MATCH($C910,Parties!$A$5:$A$304,0),"")),"")</f>
        <v/>
      </c>
      <c r="S910" s="61" t="str">
        <f aca="false">IF(IsPro,IF($D910="","",IF(OR($H910="",$H910="Credit"),0,P910)),"")</f>
        <v/>
      </c>
    </row>
    <row r="911" customFormat="false" ht="15" hidden="false" customHeight="false" outlineLevel="0" collapsed="false">
      <c r="A911" s="55"/>
      <c r="B911" s="56"/>
      <c r="C911" s="56"/>
      <c r="D911" s="56"/>
      <c r="E911" s="57"/>
      <c r="F911" s="58"/>
      <c r="G911" s="59"/>
      <c r="H911" s="56"/>
      <c r="I911" s="60" t="str">
        <f aca="false">IF(IsPro,IF($D911="","",IFERROR(INDEX(Items!$D$5:$D$504,Q911),"")),IF($D911="","","PRO PLAN"))</f>
        <v/>
      </c>
      <c r="J911" s="61" t="str">
        <f aca="false">IF(IsPro,IF($D911="","",IF($F911="",IFERROR(INDEX(Items!$G$5:$G$504,Q911),0),$F911)),"")</f>
        <v/>
      </c>
      <c r="K911" s="61" t="str">
        <f aca="false">IF(IsPro,IF($D911="","",ROUND(N($E911)*J911*(1-N($G911)),2)),"")</f>
        <v/>
      </c>
      <c r="L911" s="62" t="str">
        <f aca="false">IF(IsPro,IF($D911="","",IFERROR(INDEX(Items!$F$5:$F$504,Q911),0)),"")</f>
        <v/>
      </c>
      <c r="M911" s="61" t="str">
        <f aca="false">IF(IsPro,IF($D911="","",IF(AND(R911&lt;&gt;"",INDEX(Parties!$E$5:$E$304,R911)&lt;&gt;"",INDEX(Parties!$E$5:$E$304,R911)&lt;&gt;HomeState),0,ROUND(K911*L911/2,2))),"")</f>
        <v/>
      </c>
      <c r="N911" s="61" t="str">
        <f aca="false">IF(IsPro,IF($D911="","",M911),"")</f>
        <v/>
      </c>
      <c r="O911" s="61" t="str">
        <f aca="false">IF(IsPro,IF($D911="","",IF(AND(R911&lt;&gt;"",INDEX(Parties!$E$5:$E$304,R911)&lt;&gt;"",INDEX(Parties!$E$5:$E$304,R911)&lt;&gt;HomeState),ROUND(K911*L911,2),0)),"")</f>
        <v/>
      </c>
      <c r="P911" s="61" t="str">
        <f aca="false">IF(IsPro,IF($D911="","",K911+M911+N911+O911),"")</f>
        <v/>
      </c>
      <c r="Q911" s="60" t="str">
        <f aca="false">IF(IsPro,IF($D911="","",IFERROR(MATCH($D911,Items!$A$5:$A$504,0),"")),"")</f>
        <v/>
      </c>
      <c r="R911" s="60" t="str">
        <f aca="false">IF(IsPro,IF($C911="","",IFERROR(MATCH($C911,Parties!$A$5:$A$304,0),"")),"")</f>
        <v/>
      </c>
      <c r="S911" s="61" t="str">
        <f aca="false">IF(IsPro,IF($D911="","",IF(OR($H911="",$H911="Credit"),0,P911)),"")</f>
        <v/>
      </c>
    </row>
    <row r="912" customFormat="false" ht="15" hidden="false" customHeight="false" outlineLevel="0" collapsed="false">
      <c r="A912" s="55"/>
      <c r="B912" s="56"/>
      <c r="C912" s="56"/>
      <c r="D912" s="56"/>
      <c r="E912" s="57"/>
      <c r="F912" s="58"/>
      <c r="G912" s="59"/>
      <c r="H912" s="56"/>
      <c r="I912" s="60" t="str">
        <f aca="false">IF(IsPro,IF($D912="","",IFERROR(INDEX(Items!$D$5:$D$504,Q912),"")),IF($D912="","","PRO PLAN"))</f>
        <v/>
      </c>
      <c r="J912" s="61" t="str">
        <f aca="false">IF(IsPro,IF($D912="","",IF($F912="",IFERROR(INDEX(Items!$G$5:$G$504,Q912),0),$F912)),"")</f>
        <v/>
      </c>
      <c r="K912" s="61" t="str">
        <f aca="false">IF(IsPro,IF($D912="","",ROUND(N($E912)*J912*(1-N($G912)),2)),"")</f>
        <v/>
      </c>
      <c r="L912" s="62" t="str">
        <f aca="false">IF(IsPro,IF($D912="","",IFERROR(INDEX(Items!$F$5:$F$504,Q912),0)),"")</f>
        <v/>
      </c>
      <c r="M912" s="61" t="str">
        <f aca="false">IF(IsPro,IF($D912="","",IF(AND(R912&lt;&gt;"",INDEX(Parties!$E$5:$E$304,R912)&lt;&gt;"",INDEX(Parties!$E$5:$E$304,R912)&lt;&gt;HomeState),0,ROUND(K912*L912/2,2))),"")</f>
        <v/>
      </c>
      <c r="N912" s="61" t="str">
        <f aca="false">IF(IsPro,IF($D912="","",M912),"")</f>
        <v/>
      </c>
      <c r="O912" s="61" t="str">
        <f aca="false">IF(IsPro,IF($D912="","",IF(AND(R912&lt;&gt;"",INDEX(Parties!$E$5:$E$304,R912)&lt;&gt;"",INDEX(Parties!$E$5:$E$304,R912)&lt;&gt;HomeState),ROUND(K912*L912,2),0)),"")</f>
        <v/>
      </c>
      <c r="P912" s="61" t="str">
        <f aca="false">IF(IsPro,IF($D912="","",K912+M912+N912+O912),"")</f>
        <v/>
      </c>
      <c r="Q912" s="60" t="str">
        <f aca="false">IF(IsPro,IF($D912="","",IFERROR(MATCH($D912,Items!$A$5:$A$504,0),"")),"")</f>
        <v/>
      </c>
      <c r="R912" s="60" t="str">
        <f aca="false">IF(IsPro,IF($C912="","",IFERROR(MATCH($C912,Parties!$A$5:$A$304,0),"")),"")</f>
        <v/>
      </c>
      <c r="S912" s="61" t="str">
        <f aca="false">IF(IsPro,IF($D912="","",IF(OR($H912="",$H912="Credit"),0,P912)),"")</f>
        <v/>
      </c>
    </row>
    <row r="913" customFormat="false" ht="15" hidden="false" customHeight="false" outlineLevel="0" collapsed="false">
      <c r="A913" s="55"/>
      <c r="B913" s="56"/>
      <c r="C913" s="56"/>
      <c r="D913" s="56"/>
      <c r="E913" s="57"/>
      <c r="F913" s="58"/>
      <c r="G913" s="59"/>
      <c r="H913" s="56"/>
      <c r="I913" s="60" t="str">
        <f aca="false">IF(IsPro,IF($D913="","",IFERROR(INDEX(Items!$D$5:$D$504,Q913),"")),IF($D913="","","PRO PLAN"))</f>
        <v/>
      </c>
      <c r="J913" s="61" t="str">
        <f aca="false">IF(IsPro,IF($D913="","",IF($F913="",IFERROR(INDEX(Items!$G$5:$G$504,Q913),0),$F913)),"")</f>
        <v/>
      </c>
      <c r="K913" s="61" t="str">
        <f aca="false">IF(IsPro,IF($D913="","",ROUND(N($E913)*J913*(1-N($G913)),2)),"")</f>
        <v/>
      </c>
      <c r="L913" s="62" t="str">
        <f aca="false">IF(IsPro,IF($D913="","",IFERROR(INDEX(Items!$F$5:$F$504,Q913),0)),"")</f>
        <v/>
      </c>
      <c r="M913" s="61" t="str">
        <f aca="false">IF(IsPro,IF($D913="","",IF(AND(R913&lt;&gt;"",INDEX(Parties!$E$5:$E$304,R913)&lt;&gt;"",INDEX(Parties!$E$5:$E$304,R913)&lt;&gt;HomeState),0,ROUND(K913*L913/2,2))),"")</f>
        <v/>
      </c>
      <c r="N913" s="61" t="str">
        <f aca="false">IF(IsPro,IF($D913="","",M913),"")</f>
        <v/>
      </c>
      <c r="O913" s="61" t="str">
        <f aca="false">IF(IsPro,IF($D913="","",IF(AND(R913&lt;&gt;"",INDEX(Parties!$E$5:$E$304,R913)&lt;&gt;"",INDEX(Parties!$E$5:$E$304,R913)&lt;&gt;HomeState),ROUND(K913*L913,2),0)),"")</f>
        <v/>
      </c>
      <c r="P913" s="61" t="str">
        <f aca="false">IF(IsPro,IF($D913="","",K913+M913+N913+O913),"")</f>
        <v/>
      </c>
      <c r="Q913" s="60" t="str">
        <f aca="false">IF(IsPro,IF($D913="","",IFERROR(MATCH($D913,Items!$A$5:$A$504,0),"")),"")</f>
        <v/>
      </c>
      <c r="R913" s="60" t="str">
        <f aca="false">IF(IsPro,IF($C913="","",IFERROR(MATCH($C913,Parties!$A$5:$A$304,0),"")),"")</f>
        <v/>
      </c>
      <c r="S913" s="61" t="str">
        <f aca="false">IF(IsPro,IF($D913="","",IF(OR($H913="",$H913="Credit"),0,P913)),"")</f>
        <v/>
      </c>
    </row>
    <row r="914" customFormat="false" ht="15" hidden="false" customHeight="false" outlineLevel="0" collapsed="false">
      <c r="A914" s="55"/>
      <c r="B914" s="56"/>
      <c r="C914" s="56"/>
      <c r="D914" s="56"/>
      <c r="E914" s="57"/>
      <c r="F914" s="58"/>
      <c r="G914" s="59"/>
      <c r="H914" s="56"/>
      <c r="I914" s="60" t="str">
        <f aca="false">IF(IsPro,IF($D914="","",IFERROR(INDEX(Items!$D$5:$D$504,Q914),"")),IF($D914="","","PRO PLAN"))</f>
        <v/>
      </c>
      <c r="J914" s="61" t="str">
        <f aca="false">IF(IsPro,IF($D914="","",IF($F914="",IFERROR(INDEX(Items!$G$5:$G$504,Q914),0),$F914)),"")</f>
        <v/>
      </c>
      <c r="K914" s="61" t="str">
        <f aca="false">IF(IsPro,IF($D914="","",ROUND(N($E914)*J914*(1-N($G914)),2)),"")</f>
        <v/>
      </c>
      <c r="L914" s="62" t="str">
        <f aca="false">IF(IsPro,IF($D914="","",IFERROR(INDEX(Items!$F$5:$F$504,Q914),0)),"")</f>
        <v/>
      </c>
      <c r="M914" s="61" t="str">
        <f aca="false">IF(IsPro,IF($D914="","",IF(AND(R914&lt;&gt;"",INDEX(Parties!$E$5:$E$304,R914)&lt;&gt;"",INDEX(Parties!$E$5:$E$304,R914)&lt;&gt;HomeState),0,ROUND(K914*L914/2,2))),"")</f>
        <v/>
      </c>
      <c r="N914" s="61" t="str">
        <f aca="false">IF(IsPro,IF($D914="","",M914),"")</f>
        <v/>
      </c>
      <c r="O914" s="61" t="str">
        <f aca="false">IF(IsPro,IF($D914="","",IF(AND(R914&lt;&gt;"",INDEX(Parties!$E$5:$E$304,R914)&lt;&gt;"",INDEX(Parties!$E$5:$E$304,R914)&lt;&gt;HomeState),ROUND(K914*L914,2),0)),"")</f>
        <v/>
      </c>
      <c r="P914" s="61" t="str">
        <f aca="false">IF(IsPro,IF($D914="","",K914+M914+N914+O914),"")</f>
        <v/>
      </c>
      <c r="Q914" s="60" t="str">
        <f aca="false">IF(IsPro,IF($D914="","",IFERROR(MATCH($D914,Items!$A$5:$A$504,0),"")),"")</f>
        <v/>
      </c>
      <c r="R914" s="60" t="str">
        <f aca="false">IF(IsPro,IF($C914="","",IFERROR(MATCH($C914,Parties!$A$5:$A$304,0),"")),"")</f>
        <v/>
      </c>
      <c r="S914" s="61" t="str">
        <f aca="false">IF(IsPro,IF($D914="","",IF(OR($H914="",$H914="Credit"),0,P914)),"")</f>
        <v/>
      </c>
    </row>
    <row r="915" customFormat="false" ht="15" hidden="false" customHeight="false" outlineLevel="0" collapsed="false">
      <c r="A915" s="55"/>
      <c r="B915" s="56"/>
      <c r="C915" s="56"/>
      <c r="D915" s="56"/>
      <c r="E915" s="57"/>
      <c r="F915" s="58"/>
      <c r="G915" s="59"/>
      <c r="H915" s="56"/>
      <c r="I915" s="60" t="str">
        <f aca="false">IF(IsPro,IF($D915="","",IFERROR(INDEX(Items!$D$5:$D$504,Q915),"")),IF($D915="","","PRO PLAN"))</f>
        <v/>
      </c>
      <c r="J915" s="61" t="str">
        <f aca="false">IF(IsPro,IF($D915="","",IF($F915="",IFERROR(INDEX(Items!$G$5:$G$504,Q915),0),$F915)),"")</f>
        <v/>
      </c>
      <c r="K915" s="61" t="str">
        <f aca="false">IF(IsPro,IF($D915="","",ROUND(N($E915)*J915*(1-N($G915)),2)),"")</f>
        <v/>
      </c>
      <c r="L915" s="62" t="str">
        <f aca="false">IF(IsPro,IF($D915="","",IFERROR(INDEX(Items!$F$5:$F$504,Q915),0)),"")</f>
        <v/>
      </c>
      <c r="M915" s="61" t="str">
        <f aca="false">IF(IsPro,IF($D915="","",IF(AND(R915&lt;&gt;"",INDEX(Parties!$E$5:$E$304,R915)&lt;&gt;"",INDEX(Parties!$E$5:$E$304,R915)&lt;&gt;HomeState),0,ROUND(K915*L915/2,2))),"")</f>
        <v/>
      </c>
      <c r="N915" s="61" t="str">
        <f aca="false">IF(IsPro,IF($D915="","",M915),"")</f>
        <v/>
      </c>
      <c r="O915" s="61" t="str">
        <f aca="false">IF(IsPro,IF($D915="","",IF(AND(R915&lt;&gt;"",INDEX(Parties!$E$5:$E$304,R915)&lt;&gt;"",INDEX(Parties!$E$5:$E$304,R915)&lt;&gt;HomeState),ROUND(K915*L915,2),0)),"")</f>
        <v/>
      </c>
      <c r="P915" s="61" t="str">
        <f aca="false">IF(IsPro,IF($D915="","",K915+M915+N915+O915),"")</f>
        <v/>
      </c>
      <c r="Q915" s="60" t="str">
        <f aca="false">IF(IsPro,IF($D915="","",IFERROR(MATCH($D915,Items!$A$5:$A$504,0),"")),"")</f>
        <v/>
      </c>
      <c r="R915" s="60" t="str">
        <f aca="false">IF(IsPro,IF($C915="","",IFERROR(MATCH($C915,Parties!$A$5:$A$304,0),"")),"")</f>
        <v/>
      </c>
      <c r="S915" s="61" t="str">
        <f aca="false">IF(IsPro,IF($D915="","",IF(OR($H915="",$H915="Credit"),0,P915)),"")</f>
        <v/>
      </c>
    </row>
    <row r="916" customFormat="false" ht="15" hidden="false" customHeight="false" outlineLevel="0" collapsed="false">
      <c r="A916" s="55"/>
      <c r="B916" s="56"/>
      <c r="C916" s="56"/>
      <c r="D916" s="56"/>
      <c r="E916" s="57"/>
      <c r="F916" s="58"/>
      <c r="G916" s="59"/>
      <c r="H916" s="56"/>
      <c r="I916" s="60" t="str">
        <f aca="false">IF(IsPro,IF($D916="","",IFERROR(INDEX(Items!$D$5:$D$504,Q916),"")),IF($D916="","","PRO PLAN"))</f>
        <v/>
      </c>
      <c r="J916" s="61" t="str">
        <f aca="false">IF(IsPro,IF($D916="","",IF($F916="",IFERROR(INDEX(Items!$G$5:$G$504,Q916),0),$F916)),"")</f>
        <v/>
      </c>
      <c r="K916" s="61" t="str">
        <f aca="false">IF(IsPro,IF($D916="","",ROUND(N($E916)*J916*(1-N($G916)),2)),"")</f>
        <v/>
      </c>
      <c r="L916" s="62" t="str">
        <f aca="false">IF(IsPro,IF($D916="","",IFERROR(INDEX(Items!$F$5:$F$504,Q916),0)),"")</f>
        <v/>
      </c>
      <c r="M916" s="61" t="str">
        <f aca="false">IF(IsPro,IF($D916="","",IF(AND(R916&lt;&gt;"",INDEX(Parties!$E$5:$E$304,R916)&lt;&gt;"",INDEX(Parties!$E$5:$E$304,R916)&lt;&gt;HomeState),0,ROUND(K916*L916/2,2))),"")</f>
        <v/>
      </c>
      <c r="N916" s="61" t="str">
        <f aca="false">IF(IsPro,IF($D916="","",M916),"")</f>
        <v/>
      </c>
      <c r="O916" s="61" t="str">
        <f aca="false">IF(IsPro,IF($D916="","",IF(AND(R916&lt;&gt;"",INDEX(Parties!$E$5:$E$304,R916)&lt;&gt;"",INDEX(Parties!$E$5:$E$304,R916)&lt;&gt;HomeState),ROUND(K916*L916,2),0)),"")</f>
        <v/>
      </c>
      <c r="P916" s="61" t="str">
        <f aca="false">IF(IsPro,IF($D916="","",K916+M916+N916+O916),"")</f>
        <v/>
      </c>
      <c r="Q916" s="60" t="str">
        <f aca="false">IF(IsPro,IF($D916="","",IFERROR(MATCH($D916,Items!$A$5:$A$504,0),"")),"")</f>
        <v/>
      </c>
      <c r="R916" s="60" t="str">
        <f aca="false">IF(IsPro,IF($C916="","",IFERROR(MATCH($C916,Parties!$A$5:$A$304,0),"")),"")</f>
        <v/>
      </c>
      <c r="S916" s="61" t="str">
        <f aca="false">IF(IsPro,IF($D916="","",IF(OR($H916="",$H916="Credit"),0,P916)),"")</f>
        <v/>
      </c>
    </row>
    <row r="917" customFormat="false" ht="15" hidden="false" customHeight="false" outlineLevel="0" collapsed="false">
      <c r="A917" s="55"/>
      <c r="B917" s="56"/>
      <c r="C917" s="56"/>
      <c r="D917" s="56"/>
      <c r="E917" s="57"/>
      <c r="F917" s="58"/>
      <c r="G917" s="59"/>
      <c r="H917" s="56"/>
      <c r="I917" s="60" t="str">
        <f aca="false">IF(IsPro,IF($D917="","",IFERROR(INDEX(Items!$D$5:$D$504,Q917),"")),IF($D917="","","PRO PLAN"))</f>
        <v/>
      </c>
      <c r="J917" s="61" t="str">
        <f aca="false">IF(IsPro,IF($D917="","",IF($F917="",IFERROR(INDEX(Items!$G$5:$G$504,Q917),0),$F917)),"")</f>
        <v/>
      </c>
      <c r="K917" s="61" t="str">
        <f aca="false">IF(IsPro,IF($D917="","",ROUND(N($E917)*J917*(1-N($G917)),2)),"")</f>
        <v/>
      </c>
      <c r="L917" s="62" t="str">
        <f aca="false">IF(IsPro,IF($D917="","",IFERROR(INDEX(Items!$F$5:$F$504,Q917),0)),"")</f>
        <v/>
      </c>
      <c r="M917" s="61" t="str">
        <f aca="false">IF(IsPro,IF($D917="","",IF(AND(R917&lt;&gt;"",INDEX(Parties!$E$5:$E$304,R917)&lt;&gt;"",INDEX(Parties!$E$5:$E$304,R917)&lt;&gt;HomeState),0,ROUND(K917*L917/2,2))),"")</f>
        <v/>
      </c>
      <c r="N917" s="61" t="str">
        <f aca="false">IF(IsPro,IF($D917="","",M917),"")</f>
        <v/>
      </c>
      <c r="O917" s="61" t="str">
        <f aca="false">IF(IsPro,IF($D917="","",IF(AND(R917&lt;&gt;"",INDEX(Parties!$E$5:$E$304,R917)&lt;&gt;"",INDEX(Parties!$E$5:$E$304,R917)&lt;&gt;HomeState),ROUND(K917*L917,2),0)),"")</f>
        <v/>
      </c>
      <c r="P917" s="61" t="str">
        <f aca="false">IF(IsPro,IF($D917="","",K917+M917+N917+O917),"")</f>
        <v/>
      </c>
      <c r="Q917" s="60" t="str">
        <f aca="false">IF(IsPro,IF($D917="","",IFERROR(MATCH($D917,Items!$A$5:$A$504,0),"")),"")</f>
        <v/>
      </c>
      <c r="R917" s="60" t="str">
        <f aca="false">IF(IsPro,IF($C917="","",IFERROR(MATCH($C917,Parties!$A$5:$A$304,0),"")),"")</f>
        <v/>
      </c>
      <c r="S917" s="61" t="str">
        <f aca="false">IF(IsPro,IF($D917="","",IF(OR($H917="",$H917="Credit"),0,P917)),"")</f>
        <v/>
      </c>
    </row>
    <row r="918" customFormat="false" ht="15" hidden="false" customHeight="false" outlineLevel="0" collapsed="false">
      <c r="A918" s="55"/>
      <c r="B918" s="56"/>
      <c r="C918" s="56"/>
      <c r="D918" s="56"/>
      <c r="E918" s="57"/>
      <c r="F918" s="58"/>
      <c r="G918" s="59"/>
      <c r="H918" s="56"/>
      <c r="I918" s="60" t="str">
        <f aca="false">IF(IsPro,IF($D918="","",IFERROR(INDEX(Items!$D$5:$D$504,Q918),"")),IF($D918="","","PRO PLAN"))</f>
        <v/>
      </c>
      <c r="J918" s="61" t="str">
        <f aca="false">IF(IsPro,IF($D918="","",IF($F918="",IFERROR(INDEX(Items!$G$5:$G$504,Q918),0),$F918)),"")</f>
        <v/>
      </c>
      <c r="K918" s="61" t="str">
        <f aca="false">IF(IsPro,IF($D918="","",ROUND(N($E918)*J918*(1-N($G918)),2)),"")</f>
        <v/>
      </c>
      <c r="L918" s="62" t="str">
        <f aca="false">IF(IsPro,IF($D918="","",IFERROR(INDEX(Items!$F$5:$F$504,Q918),0)),"")</f>
        <v/>
      </c>
      <c r="M918" s="61" t="str">
        <f aca="false">IF(IsPro,IF($D918="","",IF(AND(R918&lt;&gt;"",INDEX(Parties!$E$5:$E$304,R918)&lt;&gt;"",INDEX(Parties!$E$5:$E$304,R918)&lt;&gt;HomeState),0,ROUND(K918*L918/2,2))),"")</f>
        <v/>
      </c>
      <c r="N918" s="61" t="str">
        <f aca="false">IF(IsPro,IF($D918="","",M918),"")</f>
        <v/>
      </c>
      <c r="O918" s="61" t="str">
        <f aca="false">IF(IsPro,IF($D918="","",IF(AND(R918&lt;&gt;"",INDEX(Parties!$E$5:$E$304,R918)&lt;&gt;"",INDEX(Parties!$E$5:$E$304,R918)&lt;&gt;HomeState),ROUND(K918*L918,2),0)),"")</f>
        <v/>
      </c>
      <c r="P918" s="61" t="str">
        <f aca="false">IF(IsPro,IF($D918="","",K918+M918+N918+O918),"")</f>
        <v/>
      </c>
      <c r="Q918" s="60" t="str">
        <f aca="false">IF(IsPro,IF($D918="","",IFERROR(MATCH($D918,Items!$A$5:$A$504,0),"")),"")</f>
        <v/>
      </c>
      <c r="R918" s="60" t="str">
        <f aca="false">IF(IsPro,IF($C918="","",IFERROR(MATCH($C918,Parties!$A$5:$A$304,0),"")),"")</f>
        <v/>
      </c>
      <c r="S918" s="61" t="str">
        <f aca="false">IF(IsPro,IF($D918="","",IF(OR($H918="",$H918="Credit"),0,P918)),"")</f>
        <v/>
      </c>
    </row>
    <row r="919" customFormat="false" ht="15" hidden="false" customHeight="false" outlineLevel="0" collapsed="false">
      <c r="A919" s="55"/>
      <c r="B919" s="56"/>
      <c r="C919" s="56"/>
      <c r="D919" s="56"/>
      <c r="E919" s="57"/>
      <c r="F919" s="58"/>
      <c r="G919" s="59"/>
      <c r="H919" s="56"/>
      <c r="I919" s="60" t="str">
        <f aca="false">IF(IsPro,IF($D919="","",IFERROR(INDEX(Items!$D$5:$D$504,Q919),"")),IF($D919="","","PRO PLAN"))</f>
        <v/>
      </c>
      <c r="J919" s="61" t="str">
        <f aca="false">IF(IsPro,IF($D919="","",IF($F919="",IFERROR(INDEX(Items!$G$5:$G$504,Q919),0),$F919)),"")</f>
        <v/>
      </c>
      <c r="K919" s="61" t="str">
        <f aca="false">IF(IsPro,IF($D919="","",ROUND(N($E919)*J919*(1-N($G919)),2)),"")</f>
        <v/>
      </c>
      <c r="L919" s="62" t="str">
        <f aca="false">IF(IsPro,IF($D919="","",IFERROR(INDEX(Items!$F$5:$F$504,Q919),0)),"")</f>
        <v/>
      </c>
      <c r="M919" s="61" t="str">
        <f aca="false">IF(IsPro,IF($D919="","",IF(AND(R919&lt;&gt;"",INDEX(Parties!$E$5:$E$304,R919)&lt;&gt;"",INDEX(Parties!$E$5:$E$304,R919)&lt;&gt;HomeState),0,ROUND(K919*L919/2,2))),"")</f>
        <v/>
      </c>
      <c r="N919" s="61" t="str">
        <f aca="false">IF(IsPro,IF($D919="","",M919),"")</f>
        <v/>
      </c>
      <c r="O919" s="61" t="str">
        <f aca="false">IF(IsPro,IF($D919="","",IF(AND(R919&lt;&gt;"",INDEX(Parties!$E$5:$E$304,R919)&lt;&gt;"",INDEX(Parties!$E$5:$E$304,R919)&lt;&gt;HomeState),ROUND(K919*L919,2),0)),"")</f>
        <v/>
      </c>
      <c r="P919" s="61" t="str">
        <f aca="false">IF(IsPro,IF($D919="","",K919+M919+N919+O919),"")</f>
        <v/>
      </c>
      <c r="Q919" s="60" t="str">
        <f aca="false">IF(IsPro,IF($D919="","",IFERROR(MATCH($D919,Items!$A$5:$A$504,0),"")),"")</f>
        <v/>
      </c>
      <c r="R919" s="60" t="str">
        <f aca="false">IF(IsPro,IF($C919="","",IFERROR(MATCH($C919,Parties!$A$5:$A$304,0),"")),"")</f>
        <v/>
      </c>
      <c r="S919" s="61" t="str">
        <f aca="false">IF(IsPro,IF($D919="","",IF(OR($H919="",$H919="Credit"),0,P919)),"")</f>
        <v/>
      </c>
    </row>
    <row r="920" customFormat="false" ht="15" hidden="false" customHeight="false" outlineLevel="0" collapsed="false">
      <c r="A920" s="55"/>
      <c r="B920" s="56"/>
      <c r="C920" s="56"/>
      <c r="D920" s="56"/>
      <c r="E920" s="57"/>
      <c r="F920" s="58"/>
      <c r="G920" s="59"/>
      <c r="H920" s="56"/>
      <c r="I920" s="60" t="str">
        <f aca="false">IF(IsPro,IF($D920="","",IFERROR(INDEX(Items!$D$5:$D$504,Q920),"")),IF($D920="","","PRO PLAN"))</f>
        <v/>
      </c>
      <c r="J920" s="61" t="str">
        <f aca="false">IF(IsPro,IF($D920="","",IF($F920="",IFERROR(INDEX(Items!$G$5:$G$504,Q920),0),$F920)),"")</f>
        <v/>
      </c>
      <c r="K920" s="61" t="str">
        <f aca="false">IF(IsPro,IF($D920="","",ROUND(N($E920)*J920*(1-N($G920)),2)),"")</f>
        <v/>
      </c>
      <c r="L920" s="62" t="str">
        <f aca="false">IF(IsPro,IF($D920="","",IFERROR(INDEX(Items!$F$5:$F$504,Q920),0)),"")</f>
        <v/>
      </c>
      <c r="M920" s="61" t="str">
        <f aca="false">IF(IsPro,IF($D920="","",IF(AND(R920&lt;&gt;"",INDEX(Parties!$E$5:$E$304,R920)&lt;&gt;"",INDEX(Parties!$E$5:$E$304,R920)&lt;&gt;HomeState),0,ROUND(K920*L920/2,2))),"")</f>
        <v/>
      </c>
      <c r="N920" s="61" t="str">
        <f aca="false">IF(IsPro,IF($D920="","",M920),"")</f>
        <v/>
      </c>
      <c r="O920" s="61" t="str">
        <f aca="false">IF(IsPro,IF($D920="","",IF(AND(R920&lt;&gt;"",INDEX(Parties!$E$5:$E$304,R920)&lt;&gt;"",INDEX(Parties!$E$5:$E$304,R920)&lt;&gt;HomeState),ROUND(K920*L920,2),0)),"")</f>
        <v/>
      </c>
      <c r="P920" s="61" t="str">
        <f aca="false">IF(IsPro,IF($D920="","",K920+M920+N920+O920),"")</f>
        <v/>
      </c>
      <c r="Q920" s="60" t="str">
        <f aca="false">IF(IsPro,IF($D920="","",IFERROR(MATCH($D920,Items!$A$5:$A$504,0),"")),"")</f>
        <v/>
      </c>
      <c r="R920" s="60" t="str">
        <f aca="false">IF(IsPro,IF($C920="","",IFERROR(MATCH($C920,Parties!$A$5:$A$304,0),"")),"")</f>
        <v/>
      </c>
      <c r="S920" s="61" t="str">
        <f aca="false">IF(IsPro,IF($D920="","",IF(OR($H920="",$H920="Credit"),0,P920)),"")</f>
        <v/>
      </c>
    </row>
    <row r="921" customFormat="false" ht="15" hidden="false" customHeight="false" outlineLevel="0" collapsed="false">
      <c r="A921" s="55"/>
      <c r="B921" s="56"/>
      <c r="C921" s="56"/>
      <c r="D921" s="56"/>
      <c r="E921" s="57"/>
      <c r="F921" s="58"/>
      <c r="G921" s="59"/>
      <c r="H921" s="56"/>
      <c r="I921" s="60" t="str">
        <f aca="false">IF(IsPro,IF($D921="","",IFERROR(INDEX(Items!$D$5:$D$504,Q921),"")),IF($D921="","","PRO PLAN"))</f>
        <v/>
      </c>
      <c r="J921" s="61" t="str">
        <f aca="false">IF(IsPro,IF($D921="","",IF($F921="",IFERROR(INDEX(Items!$G$5:$G$504,Q921),0),$F921)),"")</f>
        <v/>
      </c>
      <c r="K921" s="61" t="str">
        <f aca="false">IF(IsPro,IF($D921="","",ROUND(N($E921)*J921*(1-N($G921)),2)),"")</f>
        <v/>
      </c>
      <c r="L921" s="62" t="str">
        <f aca="false">IF(IsPro,IF($D921="","",IFERROR(INDEX(Items!$F$5:$F$504,Q921),0)),"")</f>
        <v/>
      </c>
      <c r="M921" s="61" t="str">
        <f aca="false">IF(IsPro,IF($D921="","",IF(AND(R921&lt;&gt;"",INDEX(Parties!$E$5:$E$304,R921)&lt;&gt;"",INDEX(Parties!$E$5:$E$304,R921)&lt;&gt;HomeState),0,ROUND(K921*L921/2,2))),"")</f>
        <v/>
      </c>
      <c r="N921" s="61" t="str">
        <f aca="false">IF(IsPro,IF($D921="","",M921),"")</f>
        <v/>
      </c>
      <c r="O921" s="61" t="str">
        <f aca="false">IF(IsPro,IF($D921="","",IF(AND(R921&lt;&gt;"",INDEX(Parties!$E$5:$E$304,R921)&lt;&gt;"",INDEX(Parties!$E$5:$E$304,R921)&lt;&gt;HomeState),ROUND(K921*L921,2),0)),"")</f>
        <v/>
      </c>
      <c r="P921" s="61" t="str">
        <f aca="false">IF(IsPro,IF($D921="","",K921+M921+N921+O921),"")</f>
        <v/>
      </c>
      <c r="Q921" s="60" t="str">
        <f aca="false">IF(IsPro,IF($D921="","",IFERROR(MATCH($D921,Items!$A$5:$A$504,0),"")),"")</f>
        <v/>
      </c>
      <c r="R921" s="60" t="str">
        <f aca="false">IF(IsPro,IF($C921="","",IFERROR(MATCH($C921,Parties!$A$5:$A$304,0),"")),"")</f>
        <v/>
      </c>
      <c r="S921" s="61" t="str">
        <f aca="false">IF(IsPro,IF($D921="","",IF(OR($H921="",$H921="Credit"),0,P921)),"")</f>
        <v/>
      </c>
    </row>
    <row r="922" customFormat="false" ht="15" hidden="false" customHeight="false" outlineLevel="0" collapsed="false">
      <c r="A922" s="55"/>
      <c r="B922" s="56"/>
      <c r="C922" s="56"/>
      <c r="D922" s="56"/>
      <c r="E922" s="57"/>
      <c r="F922" s="58"/>
      <c r="G922" s="59"/>
      <c r="H922" s="56"/>
      <c r="I922" s="60" t="str">
        <f aca="false">IF(IsPro,IF($D922="","",IFERROR(INDEX(Items!$D$5:$D$504,Q922),"")),IF($D922="","","PRO PLAN"))</f>
        <v/>
      </c>
      <c r="J922" s="61" t="str">
        <f aca="false">IF(IsPro,IF($D922="","",IF($F922="",IFERROR(INDEX(Items!$G$5:$G$504,Q922),0),$F922)),"")</f>
        <v/>
      </c>
      <c r="K922" s="61" t="str">
        <f aca="false">IF(IsPro,IF($D922="","",ROUND(N($E922)*J922*(1-N($G922)),2)),"")</f>
        <v/>
      </c>
      <c r="L922" s="62" t="str">
        <f aca="false">IF(IsPro,IF($D922="","",IFERROR(INDEX(Items!$F$5:$F$504,Q922),0)),"")</f>
        <v/>
      </c>
      <c r="M922" s="61" t="str">
        <f aca="false">IF(IsPro,IF($D922="","",IF(AND(R922&lt;&gt;"",INDEX(Parties!$E$5:$E$304,R922)&lt;&gt;"",INDEX(Parties!$E$5:$E$304,R922)&lt;&gt;HomeState),0,ROUND(K922*L922/2,2))),"")</f>
        <v/>
      </c>
      <c r="N922" s="61" t="str">
        <f aca="false">IF(IsPro,IF($D922="","",M922),"")</f>
        <v/>
      </c>
      <c r="O922" s="61" t="str">
        <f aca="false">IF(IsPro,IF($D922="","",IF(AND(R922&lt;&gt;"",INDEX(Parties!$E$5:$E$304,R922)&lt;&gt;"",INDEX(Parties!$E$5:$E$304,R922)&lt;&gt;HomeState),ROUND(K922*L922,2),0)),"")</f>
        <v/>
      </c>
      <c r="P922" s="61" t="str">
        <f aca="false">IF(IsPro,IF($D922="","",K922+M922+N922+O922),"")</f>
        <v/>
      </c>
      <c r="Q922" s="60" t="str">
        <f aca="false">IF(IsPro,IF($D922="","",IFERROR(MATCH($D922,Items!$A$5:$A$504,0),"")),"")</f>
        <v/>
      </c>
      <c r="R922" s="60" t="str">
        <f aca="false">IF(IsPro,IF($C922="","",IFERROR(MATCH($C922,Parties!$A$5:$A$304,0),"")),"")</f>
        <v/>
      </c>
      <c r="S922" s="61" t="str">
        <f aca="false">IF(IsPro,IF($D922="","",IF(OR($H922="",$H922="Credit"),0,P922)),"")</f>
        <v/>
      </c>
    </row>
    <row r="923" customFormat="false" ht="15" hidden="false" customHeight="false" outlineLevel="0" collapsed="false">
      <c r="A923" s="55"/>
      <c r="B923" s="56"/>
      <c r="C923" s="56"/>
      <c r="D923" s="56"/>
      <c r="E923" s="57"/>
      <c r="F923" s="58"/>
      <c r="G923" s="59"/>
      <c r="H923" s="56"/>
      <c r="I923" s="60" t="str">
        <f aca="false">IF(IsPro,IF($D923="","",IFERROR(INDEX(Items!$D$5:$D$504,Q923),"")),IF($D923="","","PRO PLAN"))</f>
        <v/>
      </c>
      <c r="J923" s="61" t="str">
        <f aca="false">IF(IsPro,IF($D923="","",IF($F923="",IFERROR(INDEX(Items!$G$5:$G$504,Q923),0),$F923)),"")</f>
        <v/>
      </c>
      <c r="K923" s="61" t="str">
        <f aca="false">IF(IsPro,IF($D923="","",ROUND(N($E923)*J923*(1-N($G923)),2)),"")</f>
        <v/>
      </c>
      <c r="L923" s="62" t="str">
        <f aca="false">IF(IsPro,IF($D923="","",IFERROR(INDEX(Items!$F$5:$F$504,Q923),0)),"")</f>
        <v/>
      </c>
      <c r="M923" s="61" t="str">
        <f aca="false">IF(IsPro,IF($D923="","",IF(AND(R923&lt;&gt;"",INDEX(Parties!$E$5:$E$304,R923)&lt;&gt;"",INDEX(Parties!$E$5:$E$304,R923)&lt;&gt;HomeState),0,ROUND(K923*L923/2,2))),"")</f>
        <v/>
      </c>
      <c r="N923" s="61" t="str">
        <f aca="false">IF(IsPro,IF($D923="","",M923),"")</f>
        <v/>
      </c>
      <c r="O923" s="61" t="str">
        <f aca="false">IF(IsPro,IF($D923="","",IF(AND(R923&lt;&gt;"",INDEX(Parties!$E$5:$E$304,R923)&lt;&gt;"",INDEX(Parties!$E$5:$E$304,R923)&lt;&gt;HomeState),ROUND(K923*L923,2),0)),"")</f>
        <v/>
      </c>
      <c r="P923" s="61" t="str">
        <f aca="false">IF(IsPro,IF($D923="","",K923+M923+N923+O923),"")</f>
        <v/>
      </c>
      <c r="Q923" s="60" t="str">
        <f aca="false">IF(IsPro,IF($D923="","",IFERROR(MATCH($D923,Items!$A$5:$A$504,0),"")),"")</f>
        <v/>
      </c>
      <c r="R923" s="60" t="str">
        <f aca="false">IF(IsPro,IF($C923="","",IFERROR(MATCH($C923,Parties!$A$5:$A$304,0),"")),"")</f>
        <v/>
      </c>
      <c r="S923" s="61" t="str">
        <f aca="false">IF(IsPro,IF($D923="","",IF(OR($H923="",$H923="Credit"),0,P923)),"")</f>
        <v/>
      </c>
    </row>
    <row r="924" customFormat="false" ht="15" hidden="false" customHeight="false" outlineLevel="0" collapsed="false">
      <c r="A924" s="55"/>
      <c r="B924" s="56"/>
      <c r="C924" s="56"/>
      <c r="D924" s="56"/>
      <c r="E924" s="57"/>
      <c r="F924" s="58"/>
      <c r="G924" s="59"/>
      <c r="H924" s="56"/>
      <c r="I924" s="60" t="str">
        <f aca="false">IF(IsPro,IF($D924="","",IFERROR(INDEX(Items!$D$5:$D$504,Q924),"")),IF($D924="","","PRO PLAN"))</f>
        <v/>
      </c>
      <c r="J924" s="61" t="str">
        <f aca="false">IF(IsPro,IF($D924="","",IF($F924="",IFERROR(INDEX(Items!$G$5:$G$504,Q924),0),$F924)),"")</f>
        <v/>
      </c>
      <c r="K924" s="61" t="str">
        <f aca="false">IF(IsPro,IF($D924="","",ROUND(N($E924)*J924*(1-N($G924)),2)),"")</f>
        <v/>
      </c>
      <c r="L924" s="62" t="str">
        <f aca="false">IF(IsPro,IF($D924="","",IFERROR(INDEX(Items!$F$5:$F$504,Q924),0)),"")</f>
        <v/>
      </c>
      <c r="M924" s="61" t="str">
        <f aca="false">IF(IsPro,IF($D924="","",IF(AND(R924&lt;&gt;"",INDEX(Parties!$E$5:$E$304,R924)&lt;&gt;"",INDEX(Parties!$E$5:$E$304,R924)&lt;&gt;HomeState),0,ROUND(K924*L924/2,2))),"")</f>
        <v/>
      </c>
      <c r="N924" s="61" t="str">
        <f aca="false">IF(IsPro,IF($D924="","",M924),"")</f>
        <v/>
      </c>
      <c r="O924" s="61" t="str">
        <f aca="false">IF(IsPro,IF($D924="","",IF(AND(R924&lt;&gt;"",INDEX(Parties!$E$5:$E$304,R924)&lt;&gt;"",INDEX(Parties!$E$5:$E$304,R924)&lt;&gt;HomeState),ROUND(K924*L924,2),0)),"")</f>
        <v/>
      </c>
      <c r="P924" s="61" t="str">
        <f aca="false">IF(IsPro,IF($D924="","",K924+M924+N924+O924),"")</f>
        <v/>
      </c>
      <c r="Q924" s="60" t="str">
        <f aca="false">IF(IsPro,IF($D924="","",IFERROR(MATCH($D924,Items!$A$5:$A$504,0),"")),"")</f>
        <v/>
      </c>
      <c r="R924" s="60" t="str">
        <f aca="false">IF(IsPro,IF($C924="","",IFERROR(MATCH($C924,Parties!$A$5:$A$304,0),"")),"")</f>
        <v/>
      </c>
      <c r="S924" s="61" t="str">
        <f aca="false">IF(IsPro,IF($D924="","",IF(OR($H924="",$H924="Credit"),0,P924)),"")</f>
        <v/>
      </c>
    </row>
    <row r="925" customFormat="false" ht="15" hidden="false" customHeight="false" outlineLevel="0" collapsed="false">
      <c r="A925" s="55"/>
      <c r="B925" s="56"/>
      <c r="C925" s="56"/>
      <c r="D925" s="56"/>
      <c r="E925" s="57"/>
      <c r="F925" s="58"/>
      <c r="G925" s="59"/>
      <c r="H925" s="56"/>
      <c r="I925" s="60" t="str">
        <f aca="false">IF(IsPro,IF($D925="","",IFERROR(INDEX(Items!$D$5:$D$504,Q925),"")),IF($D925="","","PRO PLAN"))</f>
        <v/>
      </c>
      <c r="J925" s="61" t="str">
        <f aca="false">IF(IsPro,IF($D925="","",IF($F925="",IFERROR(INDEX(Items!$G$5:$G$504,Q925),0),$F925)),"")</f>
        <v/>
      </c>
      <c r="K925" s="61" t="str">
        <f aca="false">IF(IsPro,IF($D925="","",ROUND(N($E925)*J925*(1-N($G925)),2)),"")</f>
        <v/>
      </c>
      <c r="L925" s="62" t="str">
        <f aca="false">IF(IsPro,IF($D925="","",IFERROR(INDEX(Items!$F$5:$F$504,Q925),0)),"")</f>
        <v/>
      </c>
      <c r="M925" s="61" t="str">
        <f aca="false">IF(IsPro,IF($D925="","",IF(AND(R925&lt;&gt;"",INDEX(Parties!$E$5:$E$304,R925)&lt;&gt;"",INDEX(Parties!$E$5:$E$304,R925)&lt;&gt;HomeState),0,ROUND(K925*L925/2,2))),"")</f>
        <v/>
      </c>
      <c r="N925" s="61" t="str">
        <f aca="false">IF(IsPro,IF($D925="","",M925),"")</f>
        <v/>
      </c>
      <c r="O925" s="61" t="str">
        <f aca="false">IF(IsPro,IF($D925="","",IF(AND(R925&lt;&gt;"",INDEX(Parties!$E$5:$E$304,R925)&lt;&gt;"",INDEX(Parties!$E$5:$E$304,R925)&lt;&gt;HomeState),ROUND(K925*L925,2),0)),"")</f>
        <v/>
      </c>
      <c r="P925" s="61" t="str">
        <f aca="false">IF(IsPro,IF($D925="","",K925+M925+N925+O925),"")</f>
        <v/>
      </c>
      <c r="Q925" s="60" t="str">
        <f aca="false">IF(IsPro,IF($D925="","",IFERROR(MATCH($D925,Items!$A$5:$A$504,0),"")),"")</f>
        <v/>
      </c>
      <c r="R925" s="60" t="str">
        <f aca="false">IF(IsPro,IF($C925="","",IFERROR(MATCH($C925,Parties!$A$5:$A$304,0),"")),"")</f>
        <v/>
      </c>
      <c r="S925" s="61" t="str">
        <f aca="false">IF(IsPro,IF($D925="","",IF(OR($H925="",$H925="Credit"),0,P925)),"")</f>
        <v/>
      </c>
    </row>
    <row r="926" customFormat="false" ht="15" hidden="false" customHeight="false" outlineLevel="0" collapsed="false">
      <c r="A926" s="55"/>
      <c r="B926" s="56"/>
      <c r="C926" s="56"/>
      <c r="D926" s="56"/>
      <c r="E926" s="57"/>
      <c r="F926" s="58"/>
      <c r="G926" s="59"/>
      <c r="H926" s="56"/>
      <c r="I926" s="60" t="str">
        <f aca="false">IF(IsPro,IF($D926="","",IFERROR(INDEX(Items!$D$5:$D$504,Q926),"")),IF($D926="","","PRO PLAN"))</f>
        <v/>
      </c>
      <c r="J926" s="61" t="str">
        <f aca="false">IF(IsPro,IF($D926="","",IF($F926="",IFERROR(INDEX(Items!$G$5:$G$504,Q926),0),$F926)),"")</f>
        <v/>
      </c>
      <c r="K926" s="61" t="str">
        <f aca="false">IF(IsPro,IF($D926="","",ROUND(N($E926)*J926*(1-N($G926)),2)),"")</f>
        <v/>
      </c>
      <c r="L926" s="62" t="str">
        <f aca="false">IF(IsPro,IF($D926="","",IFERROR(INDEX(Items!$F$5:$F$504,Q926),0)),"")</f>
        <v/>
      </c>
      <c r="M926" s="61" t="str">
        <f aca="false">IF(IsPro,IF($D926="","",IF(AND(R926&lt;&gt;"",INDEX(Parties!$E$5:$E$304,R926)&lt;&gt;"",INDEX(Parties!$E$5:$E$304,R926)&lt;&gt;HomeState),0,ROUND(K926*L926/2,2))),"")</f>
        <v/>
      </c>
      <c r="N926" s="61" t="str">
        <f aca="false">IF(IsPro,IF($D926="","",M926),"")</f>
        <v/>
      </c>
      <c r="O926" s="61" t="str">
        <f aca="false">IF(IsPro,IF($D926="","",IF(AND(R926&lt;&gt;"",INDEX(Parties!$E$5:$E$304,R926)&lt;&gt;"",INDEX(Parties!$E$5:$E$304,R926)&lt;&gt;HomeState),ROUND(K926*L926,2),0)),"")</f>
        <v/>
      </c>
      <c r="P926" s="61" t="str">
        <f aca="false">IF(IsPro,IF($D926="","",K926+M926+N926+O926),"")</f>
        <v/>
      </c>
      <c r="Q926" s="60" t="str">
        <f aca="false">IF(IsPro,IF($D926="","",IFERROR(MATCH($D926,Items!$A$5:$A$504,0),"")),"")</f>
        <v/>
      </c>
      <c r="R926" s="60" t="str">
        <f aca="false">IF(IsPro,IF($C926="","",IFERROR(MATCH($C926,Parties!$A$5:$A$304,0),"")),"")</f>
        <v/>
      </c>
      <c r="S926" s="61" t="str">
        <f aca="false">IF(IsPro,IF($D926="","",IF(OR($H926="",$H926="Credit"),0,P926)),"")</f>
        <v/>
      </c>
    </row>
    <row r="927" customFormat="false" ht="15" hidden="false" customHeight="false" outlineLevel="0" collapsed="false">
      <c r="A927" s="55"/>
      <c r="B927" s="56"/>
      <c r="C927" s="56"/>
      <c r="D927" s="56"/>
      <c r="E927" s="57"/>
      <c r="F927" s="58"/>
      <c r="G927" s="59"/>
      <c r="H927" s="56"/>
      <c r="I927" s="60" t="str">
        <f aca="false">IF(IsPro,IF($D927="","",IFERROR(INDEX(Items!$D$5:$D$504,Q927),"")),IF($D927="","","PRO PLAN"))</f>
        <v/>
      </c>
      <c r="J927" s="61" t="str">
        <f aca="false">IF(IsPro,IF($D927="","",IF($F927="",IFERROR(INDEX(Items!$G$5:$G$504,Q927),0),$F927)),"")</f>
        <v/>
      </c>
      <c r="K927" s="61" t="str">
        <f aca="false">IF(IsPro,IF($D927="","",ROUND(N($E927)*J927*(1-N($G927)),2)),"")</f>
        <v/>
      </c>
      <c r="L927" s="62" t="str">
        <f aca="false">IF(IsPro,IF($D927="","",IFERROR(INDEX(Items!$F$5:$F$504,Q927),0)),"")</f>
        <v/>
      </c>
      <c r="M927" s="61" t="str">
        <f aca="false">IF(IsPro,IF($D927="","",IF(AND(R927&lt;&gt;"",INDEX(Parties!$E$5:$E$304,R927)&lt;&gt;"",INDEX(Parties!$E$5:$E$304,R927)&lt;&gt;HomeState),0,ROUND(K927*L927/2,2))),"")</f>
        <v/>
      </c>
      <c r="N927" s="61" t="str">
        <f aca="false">IF(IsPro,IF($D927="","",M927),"")</f>
        <v/>
      </c>
      <c r="O927" s="61" t="str">
        <f aca="false">IF(IsPro,IF($D927="","",IF(AND(R927&lt;&gt;"",INDEX(Parties!$E$5:$E$304,R927)&lt;&gt;"",INDEX(Parties!$E$5:$E$304,R927)&lt;&gt;HomeState),ROUND(K927*L927,2),0)),"")</f>
        <v/>
      </c>
      <c r="P927" s="61" t="str">
        <f aca="false">IF(IsPro,IF($D927="","",K927+M927+N927+O927),"")</f>
        <v/>
      </c>
      <c r="Q927" s="60" t="str">
        <f aca="false">IF(IsPro,IF($D927="","",IFERROR(MATCH($D927,Items!$A$5:$A$504,0),"")),"")</f>
        <v/>
      </c>
      <c r="R927" s="60" t="str">
        <f aca="false">IF(IsPro,IF($C927="","",IFERROR(MATCH($C927,Parties!$A$5:$A$304,0),"")),"")</f>
        <v/>
      </c>
      <c r="S927" s="61" t="str">
        <f aca="false">IF(IsPro,IF($D927="","",IF(OR($H927="",$H927="Credit"),0,P927)),"")</f>
        <v/>
      </c>
    </row>
    <row r="928" customFormat="false" ht="15" hidden="false" customHeight="false" outlineLevel="0" collapsed="false">
      <c r="A928" s="55"/>
      <c r="B928" s="56"/>
      <c r="C928" s="56"/>
      <c r="D928" s="56"/>
      <c r="E928" s="57"/>
      <c r="F928" s="58"/>
      <c r="G928" s="59"/>
      <c r="H928" s="56"/>
      <c r="I928" s="60" t="str">
        <f aca="false">IF(IsPro,IF($D928="","",IFERROR(INDEX(Items!$D$5:$D$504,Q928),"")),IF($D928="","","PRO PLAN"))</f>
        <v/>
      </c>
      <c r="J928" s="61" t="str">
        <f aca="false">IF(IsPro,IF($D928="","",IF($F928="",IFERROR(INDEX(Items!$G$5:$G$504,Q928),0),$F928)),"")</f>
        <v/>
      </c>
      <c r="K928" s="61" t="str">
        <f aca="false">IF(IsPro,IF($D928="","",ROUND(N($E928)*J928*(1-N($G928)),2)),"")</f>
        <v/>
      </c>
      <c r="L928" s="62" t="str">
        <f aca="false">IF(IsPro,IF($D928="","",IFERROR(INDEX(Items!$F$5:$F$504,Q928),0)),"")</f>
        <v/>
      </c>
      <c r="M928" s="61" t="str">
        <f aca="false">IF(IsPro,IF($D928="","",IF(AND(R928&lt;&gt;"",INDEX(Parties!$E$5:$E$304,R928)&lt;&gt;"",INDEX(Parties!$E$5:$E$304,R928)&lt;&gt;HomeState),0,ROUND(K928*L928/2,2))),"")</f>
        <v/>
      </c>
      <c r="N928" s="61" t="str">
        <f aca="false">IF(IsPro,IF($D928="","",M928),"")</f>
        <v/>
      </c>
      <c r="O928" s="61" t="str">
        <f aca="false">IF(IsPro,IF($D928="","",IF(AND(R928&lt;&gt;"",INDEX(Parties!$E$5:$E$304,R928)&lt;&gt;"",INDEX(Parties!$E$5:$E$304,R928)&lt;&gt;HomeState),ROUND(K928*L928,2),0)),"")</f>
        <v/>
      </c>
      <c r="P928" s="61" t="str">
        <f aca="false">IF(IsPro,IF($D928="","",K928+M928+N928+O928),"")</f>
        <v/>
      </c>
      <c r="Q928" s="60" t="str">
        <f aca="false">IF(IsPro,IF($D928="","",IFERROR(MATCH($D928,Items!$A$5:$A$504,0),"")),"")</f>
        <v/>
      </c>
      <c r="R928" s="60" t="str">
        <f aca="false">IF(IsPro,IF($C928="","",IFERROR(MATCH($C928,Parties!$A$5:$A$304,0),"")),"")</f>
        <v/>
      </c>
      <c r="S928" s="61" t="str">
        <f aca="false">IF(IsPro,IF($D928="","",IF(OR($H928="",$H928="Credit"),0,P928)),"")</f>
        <v/>
      </c>
    </row>
    <row r="929" customFormat="false" ht="15" hidden="false" customHeight="false" outlineLevel="0" collapsed="false">
      <c r="A929" s="55"/>
      <c r="B929" s="56"/>
      <c r="C929" s="56"/>
      <c r="D929" s="56"/>
      <c r="E929" s="57"/>
      <c r="F929" s="58"/>
      <c r="G929" s="59"/>
      <c r="H929" s="56"/>
      <c r="I929" s="60" t="str">
        <f aca="false">IF(IsPro,IF($D929="","",IFERROR(INDEX(Items!$D$5:$D$504,Q929),"")),IF($D929="","","PRO PLAN"))</f>
        <v/>
      </c>
      <c r="J929" s="61" t="str">
        <f aca="false">IF(IsPro,IF($D929="","",IF($F929="",IFERROR(INDEX(Items!$G$5:$G$504,Q929),0),$F929)),"")</f>
        <v/>
      </c>
      <c r="K929" s="61" t="str">
        <f aca="false">IF(IsPro,IF($D929="","",ROUND(N($E929)*J929*(1-N($G929)),2)),"")</f>
        <v/>
      </c>
      <c r="L929" s="62" t="str">
        <f aca="false">IF(IsPro,IF($D929="","",IFERROR(INDEX(Items!$F$5:$F$504,Q929),0)),"")</f>
        <v/>
      </c>
      <c r="M929" s="61" t="str">
        <f aca="false">IF(IsPro,IF($D929="","",IF(AND(R929&lt;&gt;"",INDEX(Parties!$E$5:$E$304,R929)&lt;&gt;"",INDEX(Parties!$E$5:$E$304,R929)&lt;&gt;HomeState),0,ROUND(K929*L929/2,2))),"")</f>
        <v/>
      </c>
      <c r="N929" s="61" t="str">
        <f aca="false">IF(IsPro,IF($D929="","",M929),"")</f>
        <v/>
      </c>
      <c r="O929" s="61" t="str">
        <f aca="false">IF(IsPro,IF($D929="","",IF(AND(R929&lt;&gt;"",INDEX(Parties!$E$5:$E$304,R929)&lt;&gt;"",INDEX(Parties!$E$5:$E$304,R929)&lt;&gt;HomeState),ROUND(K929*L929,2),0)),"")</f>
        <v/>
      </c>
      <c r="P929" s="61" t="str">
        <f aca="false">IF(IsPro,IF($D929="","",K929+M929+N929+O929),"")</f>
        <v/>
      </c>
      <c r="Q929" s="60" t="str">
        <f aca="false">IF(IsPro,IF($D929="","",IFERROR(MATCH($D929,Items!$A$5:$A$504,0),"")),"")</f>
        <v/>
      </c>
      <c r="R929" s="60" t="str">
        <f aca="false">IF(IsPro,IF($C929="","",IFERROR(MATCH($C929,Parties!$A$5:$A$304,0),"")),"")</f>
        <v/>
      </c>
      <c r="S929" s="61" t="str">
        <f aca="false">IF(IsPro,IF($D929="","",IF(OR($H929="",$H929="Credit"),0,P929)),"")</f>
        <v/>
      </c>
    </row>
    <row r="930" customFormat="false" ht="15" hidden="false" customHeight="false" outlineLevel="0" collapsed="false">
      <c r="A930" s="55"/>
      <c r="B930" s="56"/>
      <c r="C930" s="56"/>
      <c r="D930" s="56"/>
      <c r="E930" s="57"/>
      <c r="F930" s="58"/>
      <c r="G930" s="59"/>
      <c r="H930" s="56"/>
      <c r="I930" s="60" t="str">
        <f aca="false">IF(IsPro,IF($D930="","",IFERROR(INDEX(Items!$D$5:$D$504,Q930),"")),IF($D930="","","PRO PLAN"))</f>
        <v/>
      </c>
      <c r="J930" s="61" t="str">
        <f aca="false">IF(IsPro,IF($D930="","",IF($F930="",IFERROR(INDEX(Items!$G$5:$G$504,Q930),0),$F930)),"")</f>
        <v/>
      </c>
      <c r="K930" s="61" t="str">
        <f aca="false">IF(IsPro,IF($D930="","",ROUND(N($E930)*J930*(1-N($G930)),2)),"")</f>
        <v/>
      </c>
      <c r="L930" s="62" t="str">
        <f aca="false">IF(IsPro,IF($D930="","",IFERROR(INDEX(Items!$F$5:$F$504,Q930),0)),"")</f>
        <v/>
      </c>
      <c r="M930" s="61" t="str">
        <f aca="false">IF(IsPro,IF($D930="","",IF(AND(R930&lt;&gt;"",INDEX(Parties!$E$5:$E$304,R930)&lt;&gt;"",INDEX(Parties!$E$5:$E$304,R930)&lt;&gt;HomeState),0,ROUND(K930*L930/2,2))),"")</f>
        <v/>
      </c>
      <c r="N930" s="61" t="str">
        <f aca="false">IF(IsPro,IF($D930="","",M930),"")</f>
        <v/>
      </c>
      <c r="O930" s="61" t="str">
        <f aca="false">IF(IsPro,IF($D930="","",IF(AND(R930&lt;&gt;"",INDEX(Parties!$E$5:$E$304,R930)&lt;&gt;"",INDEX(Parties!$E$5:$E$304,R930)&lt;&gt;HomeState),ROUND(K930*L930,2),0)),"")</f>
        <v/>
      </c>
      <c r="P930" s="61" t="str">
        <f aca="false">IF(IsPro,IF($D930="","",K930+M930+N930+O930),"")</f>
        <v/>
      </c>
      <c r="Q930" s="60" t="str">
        <f aca="false">IF(IsPro,IF($D930="","",IFERROR(MATCH($D930,Items!$A$5:$A$504,0),"")),"")</f>
        <v/>
      </c>
      <c r="R930" s="60" t="str">
        <f aca="false">IF(IsPro,IF($C930="","",IFERROR(MATCH($C930,Parties!$A$5:$A$304,0),"")),"")</f>
        <v/>
      </c>
      <c r="S930" s="61" t="str">
        <f aca="false">IF(IsPro,IF($D930="","",IF(OR($H930="",$H930="Credit"),0,P930)),"")</f>
        <v/>
      </c>
    </row>
    <row r="931" customFormat="false" ht="15" hidden="false" customHeight="false" outlineLevel="0" collapsed="false">
      <c r="A931" s="55"/>
      <c r="B931" s="56"/>
      <c r="C931" s="56"/>
      <c r="D931" s="56"/>
      <c r="E931" s="57"/>
      <c r="F931" s="58"/>
      <c r="G931" s="59"/>
      <c r="H931" s="56"/>
      <c r="I931" s="60" t="str">
        <f aca="false">IF(IsPro,IF($D931="","",IFERROR(INDEX(Items!$D$5:$D$504,Q931),"")),IF($D931="","","PRO PLAN"))</f>
        <v/>
      </c>
      <c r="J931" s="61" t="str">
        <f aca="false">IF(IsPro,IF($D931="","",IF($F931="",IFERROR(INDEX(Items!$G$5:$G$504,Q931),0),$F931)),"")</f>
        <v/>
      </c>
      <c r="K931" s="61" t="str">
        <f aca="false">IF(IsPro,IF($D931="","",ROUND(N($E931)*J931*(1-N($G931)),2)),"")</f>
        <v/>
      </c>
      <c r="L931" s="62" t="str">
        <f aca="false">IF(IsPro,IF($D931="","",IFERROR(INDEX(Items!$F$5:$F$504,Q931),0)),"")</f>
        <v/>
      </c>
      <c r="M931" s="61" t="str">
        <f aca="false">IF(IsPro,IF($D931="","",IF(AND(R931&lt;&gt;"",INDEX(Parties!$E$5:$E$304,R931)&lt;&gt;"",INDEX(Parties!$E$5:$E$304,R931)&lt;&gt;HomeState),0,ROUND(K931*L931/2,2))),"")</f>
        <v/>
      </c>
      <c r="N931" s="61" t="str">
        <f aca="false">IF(IsPro,IF($D931="","",M931),"")</f>
        <v/>
      </c>
      <c r="O931" s="61" t="str">
        <f aca="false">IF(IsPro,IF($D931="","",IF(AND(R931&lt;&gt;"",INDEX(Parties!$E$5:$E$304,R931)&lt;&gt;"",INDEX(Parties!$E$5:$E$304,R931)&lt;&gt;HomeState),ROUND(K931*L931,2),0)),"")</f>
        <v/>
      </c>
      <c r="P931" s="61" t="str">
        <f aca="false">IF(IsPro,IF($D931="","",K931+M931+N931+O931),"")</f>
        <v/>
      </c>
      <c r="Q931" s="60" t="str">
        <f aca="false">IF(IsPro,IF($D931="","",IFERROR(MATCH($D931,Items!$A$5:$A$504,0),"")),"")</f>
        <v/>
      </c>
      <c r="R931" s="60" t="str">
        <f aca="false">IF(IsPro,IF($C931="","",IFERROR(MATCH($C931,Parties!$A$5:$A$304,0),"")),"")</f>
        <v/>
      </c>
      <c r="S931" s="61" t="str">
        <f aca="false">IF(IsPro,IF($D931="","",IF(OR($H931="",$H931="Credit"),0,P931)),"")</f>
        <v/>
      </c>
    </row>
    <row r="932" customFormat="false" ht="15" hidden="false" customHeight="false" outlineLevel="0" collapsed="false">
      <c r="A932" s="55"/>
      <c r="B932" s="56"/>
      <c r="C932" s="56"/>
      <c r="D932" s="56"/>
      <c r="E932" s="57"/>
      <c r="F932" s="58"/>
      <c r="G932" s="59"/>
      <c r="H932" s="56"/>
      <c r="I932" s="60" t="str">
        <f aca="false">IF(IsPro,IF($D932="","",IFERROR(INDEX(Items!$D$5:$D$504,Q932),"")),IF($D932="","","PRO PLAN"))</f>
        <v/>
      </c>
      <c r="J932" s="61" t="str">
        <f aca="false">IF(IsPro,IF($D932="","",IF($F932="",IFERROR(INDEX(Items!$G$5:$G$504,Q932),0),$F932)),"")</f>
        <v/>
      </c>
      <c r="K932" s="61" t="str">
        <f aca="false">IF(IsPro,IF($D932="","",ROUND(N($E932)*J932*(1-N($G932)),2)),"")</f>
        <v/>
      </c>
      <c r="L932" s="62" t="str">
        <f aca="false">IF(IsPro,IF($D932="","",IFERROR(INDEX(Items!$F$5:$F$504,Q932),0)),"")</f>
        <v/>
      </c>
      <c r="M932" s="61" t="str">
        <f aca="false">IF(IsPro,IF($D932="","",IF(AND(R932&lt;&gt;"",INDEX(Parties!$E$5:$E$304,R932)&lt;&gt;"",INDEX(Parties!$E$5:$E$304,R932)&lt;&gt;HomeState),0,ROUND(K932*L932/2,2))),"")</f>
        <v/>
      </c>
      <c r="N932" s="61" t="str">
        <f aca="false">IF(IsPro,IF($D932="","",M932),"")</f>
        <v/>
      </c>
      <c r="O932" s="61" t="str">
        <f aca="false">IF(IsPro,IF($D932="","",IF(AND(R932&lt;&gt;"",INDEX(Parties!$E$5:$E$304,R932)&lt;&gt;"",INDEX(Parties!$E$5:$E$304,R932)&lt;&gt;HomeState),ROUND(K932*L932,2),0)),"")</f>
        <v/>
      </c>
      <c r="P932" s="61" t="str">
        <f aca="false">IF(IsPro,IF($D932="","",K932+M932+N932+O932),"")</f>
        <v/>
      </c>
      <c r="Q932" s="60" t="str">
        <f aca="false">IF(IsPro,IF($D932="","",IFERROR(MATCH($D932,Items!$A$5:$A$504,0),"")),"")</f>
        <v/>
      </c>
      <c r="R932" s="60" t="str">
        <f aca="false">IF(IsPro,IF($C932="","",IFERROR(MATCH($C932,Parties!$A$5:$A$304,0),"")),"")</f>
        <v/>
      </c>
      <c r="S932" s="61" t="str">
        <f aca="false">IF(IsPro,IF($D932="","",IF(OR($H932="",$H932="Credit"),0,P932)),"")</f>
        <v/>
      </c>
    </row>
    <row r="933" customFormat="false" ht="15" hidden="false" customHeight="false" outlineLevel="0" collapsed="false">
      <c r="A933" s="55"/>
      <c r="B933" s="56"/>
      <c r="C933" s="56"/>
      <c r="D933" s="56"/>
      <c r="E933" s="57"/>
      <c r="F933" s="58"/>
      <c r="G933" s="59"/>
      <c r="H933" s="56"/>
      <c r="I933" s="60" t="str">
        <f aca="false">IF(IsPro,IF($D933="","",IFERROR(INDEX(Items!$D$5:$D$504,Q933),"")),IF($D933="","","PRO PLAN"))</f>
        <v/>
      </c>
      <c r="J933" s="61" t="str">
        <f aca="false">IF(IsPro,IF($D933="","",IF($F933="",IFERROR(INDEX(Items!$G$5:$G$504,Q933),0),$F933)),"")</f>
        <v/>
      </c>
      <c r="K933" s="61" t="str">
        <f aca="false">IF(IsPro,IF($D933="","",ROUND(N($E933)*J933*(1-N($G933)),2)),"")</f>
        <v/>
      </c>
      <c r="L933" s="62" t="str">
        <f aca="false">IF(IsPro,IF($D933="","",IFERROR(INDEX(Items!$F$5:$F$504,Q933),0)),"")</f>
        <v/>
      </c>
      <c r="M933" s="61" t="str">
        <f aca="false">IF(IsPro,IF($D933="","",IF(AND(R933&lt;&gt;"",INDEX(Parties!$E$5:$E$304,R933)&lt;&gt;"",INDEX(Parties!$E$5:$E$304,R933)&lt;&gt;HomeState),0,ROUND(K933*L933/2,2))),"")</f>
        <v/>
      </c>
      <c r="N933" s="61" t="str">
        <f aca="false">IF(IsPro,IF($D933="","",M933),"")</f>
        <v/>
      </c>
      <c r="O933" s="61" t="str">
        <f aca="false">IF(IsPro,IF($D933="","",IF(AND(R933&lt;&gt;"",INDEX(Parties!$E$5:$E$304,R933)&lt;&gt;"",INDEX(Parties!$E$5:$E$304,R933)&lt;&gt;HomeState),ROUND(K933*L933,2),0)),"")</f>
        <v/>
      </c>
      <c r="P933" s="61" t="str">
        <f aca="false">IF(IsPro,IF($D933="","",K933+M933+N933+O933),"")</f>
        <v/>
      </c>
      <c r="Q933" s="60" t="str">
        <f aca="false">IF(IsPro,IF($D933="","",IFERROR(MATCH($D933,Items!$A$5:$A$504,0),"")),"")</f>
        <v/>
      </c>
      <c r="R933" s="60" t="str">
        <f aca="false">IF(IsPro,IF($C933="","",IFERROR(MATCH($C933,Parties!$A$5:$A$304,0),"")),"")</f>
        <v/>
      </c>
      <c r="S933" s="61" t="str">
        <f aca="false">IF(IsPro,IF($D933="","",IF(OR($H933="",$H933="Credit"),0,P933)),"")</f>
        <v/>
      </c>
    </row>
    <row r="934" customFormat="false" ht="15" hidden="false" customHeight="false" outlineLevel="0" collapsed="false">
      <c r="A934" s="55"/>
      <c r="B934" s="56"/>
      <c r="C934" s="56"/>
      <c r="D934" s="56"/>
      <c r="E934" s="57"/>
      <c r="F934" s="58"/>
      <c r="G934" s="59"/>
      <c r="H934" s="56"/>
      <c r="I934" s="60" t="str">
        <f aca="false">IF(IsPro,IF($D934="","",IFERROR(INDEX(Items!$D$5:$D$504,Q934),"")),IF($D934="","","PRO PLAN"))</f>
        <v/>
      </c>
      <c r="J934" s="61" t="str">
        <f aca="false">IF(IsPro,IF($D934="","",IF($F934="",IFERROR(INDEX(Items!$G$5:$G$504,Q934),0),$F934)),"")</f>
        <v/>
      </c>
      <c r="K934" s="61" t="str">
        <f aca="false">IF(IsPro,IF($D934="","",ROUND(N($E934)*J934*(1-N($G934)),2)),"")</f>
        <v/>
      </c>
      <c r="L934" s="62" t="str">
        <f aca="false">IF(IsPro,IF($D934="","",IFERROR(INDEX(Items!$F$5:$F$504,Q934),0)),"")</f>
        <v/>
      </c>
      <c r="M934" s="61" t="str">
        <f aca="false">IF(IsPro,IF($D934="","",IF(AND(R934&lt;&gt;"",INDEX(Parties!$E$5:$E$304,R934)&lt;&gt;"",INDEX(Parties!$E$5:$E$304,R934)&lt;&gt;HomeState),0,ROUND(K934*L934/2,2))),"")</f>
        <v/>
      </c>
      <c r="N934" s="61" t="str">
        <f aca="false">IF(IsPro,IF($D934="","",M934),"")</f>
        <v/>
      </c>
      <c r="O934" s="61" t="str">
        <f aca="false">IF(IsPro,IF($D934="","",IF(AND(R934&lt;&gt;"",INDEX(Parties!$E$5:$E$304,R934)&lt;&gt;"",INDEX(Parties!$E$5:$E$304,R934)&lt;&gt;HomeState),ROUND(K934*L934,2),0)),"")</f>
        <v/>
      </c>
      <c r="P934" s="61" t="str">
        <f aca="false">IF(IsPro,IF($D934="","",K934+M934+N934+O934),"")</f>
        <v/>
      </c>
      <c r="Q934" s="60" t="str">
        <f aca="false">IF(IsPro,IF($D934="","",IFERROR(MATCH($D934,Items!$A$5:$A$504,0),"")),"")</f>
        <v/>
      </c>
      <c r="R934" s="60" t="str">
        <f aca="false">IF(IsPro,IF($C934="","",IFERROR(MATCH($C934,Parties!$A$5:$A$304,0),"")),"")</f>
        <v/>
      </c>
      <c r="S934" s="61" t="str">
        <f aca="false">IF(IsPro,IF($D934="","",IF(OR($H934="",$H934="Credit"),0,P934)),"")</f>
        <v/>
      </c>
    </row>
    <row r="935" customFormat="false" ht="15" hidden="false" customHeight="false" outlineLevel="0" collapsed="false">
      <c r="A935" s="55"/>
      <c r="B935" s="56"/>
      <c r="C935" s="56"/>
      <c r="D935" s="56"/>
      <c r="E935" s="57"/>
      <c r="F935" s="58"/>
      <c r="G935" s="59"/>
      <c r="H935" s="56"/>
      <c r="I935" s="60" t="str">
        <f aca="false">IF(IsPro,IF($D935="","",IFERROR(INDEX(Items!$D$5:$D$504,Q935),"")),IF($D935="","","PRO PLAN"))</f>
        <v/>
      </c>
      <c r="J935" s="61" t="str">
        <f aca="false">IF(IsPro,IF($D935="","",IF($F935="",IFERROR(INDEX(Items!$G$5:$G$504,Q935),0),$F935)),"")</f>
        <v/>
      </c>
      <c r="K935" s="61" t="str">
        <f aca="false">IF(IsPro,IF($D935="","",ROUND(N($E935)*J935*(1-N($G935)),2)),"")</f>
        <v/>
      </c>
      <c r="L935" s="62" t="str">
        <f aca="false">IF(IsPro,IF($D935="","",IFERROR(INDEX(Items!$F$5:$F$504,Q935),0)),"")</f>
        <v/>
      </c>
      <c r="M935" s="61" t="str">
        <f aca="false">IF(IsPro,IF($D935="","",IF(AND(R935&lt;&gt;"",INDEX(Parties!$E$5:$E$304,R935)&lt;&gt;"",INDEX(Parties!$E$5:$E$304,R935)&lt;&gt;HomeState),0,ROUND(K935*L935/2,2))),"")</f>
        <v/>
      </c>
      <c r="N935" s="61" t="str">
        <f aca="false">IF(IsPro,IF($D935="","",M935),"")</f>
        <v/>
      </c>
      <c r="O935" s="61" t="str">
        <f aca="false">IF(IsPro,IF($D935="","",IF(AND(R935&lt;&gt;"",INDEX(Parties!$E$5:$E$304,R935)&lt;&gt;"",INDEX(Parties!$E$5:$E$304,R935)&lt;&gt;HomeState),ROUND(K935*L935,2),0)),"")</f>
        <v/>
      </c>
      <c r="P935" s="61" t="str">
        <f aca="false">IF(IsPro,IF($D935="","",K935+M935+N935+O935),"")</f>
        <v/>
      </c>
      <c r="Q935" s="60" t="str">
        <f aca="false">IF(IsPro,IF($D935="","",IFERROR(MATCH($D935,Items!$A$5:$A$504,0),"")),"")</f>
        <v/>
      </c>
      <c r="R935" s="60" t="str">
        <f aca="false">IF(IsPro,IF($C935="","",IFERROR(MATCH($C935,Parties!$A$5:$A$304,0),"")),"")</f>
        <v/>
      </c>
      <c r="S935" s="61" t="str">
        <f aca="false">IF(IsPro,IF($D935="","",IF(OR($H935="",$H935="Credit"),0,P935)),"")</f>
        <v/>
      </c>
    </row>
    <row r="936" customFormat="false" ht="15" hidden="false" customHeight="false" outlineLevel="0" collapsed="false">
      <c r="A936" s="55"/>
      <c r="B936" s="56"/>
      <c r="C936" s="56"/>
      <c r="D936" s="56"/>
      <c r="E936" s="57"/>
      <c r="F936" s="58"/>
      <c r="G936" s="59"/>
      <c r="H936" s="56"/>
      <c r="I936" s="60" t="str">
        <f aca="false">IF(IsPro,IF($D936="","",IFERROR(INDEX(Items!$D$5:$D$504,Q936),"")),IF($D936="","","PRO PLAN"))</f>
        <v/>
      </c>
      <c r="J936" s="61" t="str">
        <f aca="false">IF(IsPro,IF($D936="","",IF($F936="",IFERROR(INDEX(Items!$G$5:$G$504,Q936),0),$F936)),"")</f>
        <v/>
      </c>
      <c r="K936" s="61" t="str">
        <f aca="false">IF(IsPro,IF($D936="","",ROUND(N($E936)*J936*(1-N($G936)),2)),"")</f>
        <v/>
      </c>
      <c r="L936" s="62" t="str">
        <f aca="false">IF(IsPro,IF($D936="","",IFERROR(INDEX(Items!$F$5:$F$504,Q936),0)),"")</f>
        <v/>
      </c>
      <c r="M936" s="61" t="str">
        <f aca="false">IF(IsPro,IF($D936="","",IF(AND(R936&lt;&gt;"",INDEX(Parties!$E$5:$E$304,R936)&lt;&gt;"",INDEX(Parties!$E$5:$E$304,R936)&lt;&gt;HomeState),0,ROUND(K936*L936/2,2))),"")</f>
        <v/>
      </c>
      <c r="N936" s="61" t="str">
        <f aca="false">IF(IsPro,IF($D936="","",M936),"")</f>
        <v/>
      </c>
      <c r="O936" s="61" t="str">
        <f aca="false">IF(IsPro,IF($D936="","",IF(AND(R936&lt;&gt;"",INDEX(Parties!$E$5:$E$304,R936)&lt;&gt;"",INDEX(Parties!$E$5:$E$304,R936)&lt;&gt;HomeState),ROUND(K936*L936,2),0)),"")</f>
        <v/>
      </c>
      <c r="P936" s="61" t="str">
        <f aca="false">IF(IsPro,IF($D936="","",K936+M936+N936+O936),"")</f>
        <v/>
      </c>
      <c r="Q936" s="60" t="str">
        <f aca="false">IF(IsPro,IF($D936="","",IFERROR(MATCH($D936,Items!$A$5:$A$504,0),"")),"")</f>
        <v/>
      </c>
      <c r="R936" s="60" t="str">
        <f aca="false">IF(IsPro,IF($C936="","",IFERROR(MATCH($C936,Parties!$A$5:$A$304,0),"")),"")</f>
        <v/>
      </c>
      <c r="S936" s="61" t="str">
        <f aca="false">IF(IsPro,IF($D936="","",IF(OR($H936="",$H936="Credit"),0,P936)),"")</f>
        <v/>
      </c>
    </row>
    <row r="937" customFormat="false" ht="15" hidden="false" customHeight="false" outlineLevel="0" collapsed="false">
      <c r="A937" s="55"/>
      <c r="B937" s="56"/>
      <c r="C937" s="56"/>
      <c r="D937" s="56"/>
      <c r="E937" s="57"/>
      <c r="F937" s="58"/>
      <c r="G937" s="59"/>
      <c r="H937" s="56"/>
      <c r="I937" s="60" t="str">
        <f aca="false">IF(IsPro,IF($D937="","",IFERROR(INDEX(Items!$D$5:$D$504,Q937),"")),IF($D937="","","PRO PLAN"))</f>
        <v/>
      </c>
      <c r="J937" s="61" t="str">
        <f aca="false">IF(IsPro,IF($D937="","",IF($F937="",IFERROR(INDEX(Items!$G$5:$G$504,Q937),0),$F937)),"")</f>
        <v/>
      </c>
      <c r="K937" s="61" t="str">
        <f aca="false">IF(IsPro,IF($D937="","",ROUND(N($E937)*J937*(1-N($G937)),2)),"")</f>
        <v/>
      </c>
      <c r="L937" s="62" t="str">
        <f aca="false">IF(IsPro,IF($D937="","",IFERROR(INDEX(Items!$F$5:$F$504,Q937),0)),"")</f>
        <v/>
      </c>
      <c r="M937" s="61" t="str">
        <f aca="false">IF(IsPro,IF($D937="","",IF(AND(R937&lt;&gt;"",INDEX(Parties!$E$5:$E$304,R937)&lt;&gt;"",INDEX(Parties!$E$5:$E$304,R937)&lt;&gt;HomeState),0,ROUND(K937*L937/2,2))),"")</f>
        <v/>
      </c>
      <c r="N937" s="61" t="str">
        <f aca="false">IF(IsPro,IF($D937="","",M937),"")</f>
        <v/>
      </c>
      <c r="O937" s="61" t="str">
        <f aca="false">IF(IsPro,IF($D937="","",IF(AND(R937&lt;&gt;"",INDEX(Parties!$E$5:$E$304,R937)&lt;&gt;"",INDEX(Parties!$E$5:$E$304,R937)&lt;&gt;HomeState),ROUND(K937*L937,2),0)),"")</f>
        <v/>
      </c>
      <c r="P937" s="61" t="str">
        <f aca="false">IF(IsPro,IF($D937="","",K937+M937+N937+O937),"")</f>
        <v/>
      </c>
      <c r="Q937" s="60" t="str">
        <f aca="false">IF(IsPro,IF($D937="","",IFERROR(MATCH($D937,Items!$A$5:$A$504,0),"")),"")</f>
        <v/>
      </c>
      <c r="R937" s="60" t="str">
        <f aca="false">IF(IsPro,IF($C937="","",IFERROR(MATCH($C937,Parties!$A$5:$A$304,0),"")),"")</f>
        <v/>
      </c>
      <c r="S937" s="61" t="str">
        <f aca="false">IF(IsPro,IF($D937="","",IF(OR($H937="",$H937="Credit"),0,P937)),"")</f>
        <v/>
      </c>
    </row>
    <row r="938" customFormat="false" ht="15" hidden="false" customHeight="false" outlineLevel="0" collapsed="false">
      <c r="A938" s="55"/>
      <c r="B938" s="56"/>
      <c r="C938" s="56"/>
      <c r="D938" s="56"/>
      <c r="E938" s="57"/>
      <c r="F938" s="58"/>
      <c r="G938" s="59"/>
      <c r="H938" s="56"/>
      <c r="I938" s="60" t="str">
        <f aca="false">IF(IsPro,IF($D938="","",IFERROR(INDEX(Items!$D$5:$D$504,Q938),"")),IF($D938="","","PRO PLAN"))</f>
        <v/>
      </c>
      <c r="J938" s="61" t="str">
        <f aca="false">IF(IsPro,IF($D938="","",IF($F938="",IFERROR(INDEX(Items!$G$5:$G$504,Q938),0),$F938)),"")</f>
        <v/>
      </c>
      <c r="K938" s="61" t="str">
        <f aca="false">IF(IsPro,IF($D938="","",ROUND(N($E938)*J938*(1-N($G938)),2)),"")</f>
        <v/>
      </c>
      <c r="L938" s="62" t="str">
        <f aca="false">IF(IsPro,IF($D938="","",IFERROR(INDEX(Items!$F$5:$F$504,Q938),0)),"")</f>
        <v/>
      </c>
      <c r="M938" s="61" t="str">
        <f aca="false">IF(IsPro,IF($D938="","",IF(AND(R938&lt;&gt;"",INDEX(Parties!$E$5:$E$304,R938)&lt;&gt;"",INDEX(Parties!$E$5:$E$304,R938)&lt;&gt;HomeState),0,ROUND(K938*L938/2,2))),"")</f>
        <v/>
      </c>
      <c r="N938" s="61" t="str">
        <f aca="false">IF(IsPro,IF($D938="","",M938),"")</f>
        <v/>
      </c>
      <c r="O938" s="61" t="str">
        <f aca="false">IF(IsPro,IF($D938="","",IF(AND(R938&lt;&gt;"",INDEX(Parties!$E$5:$E$304,R938)&lt;&gt;"",INDEX(Parties!$E$5:$E$304,R938)&lt;&gt;HomeState),ROUND(K938*L938,2),0)),"")</f>
        <v/>
      </c>
      <c r="P938" s="61" t="str">
        <f aca="false">IF(IsPro,IF($D938="","",K938+M938+N938+O938),"")</f>
        <v/>
      </c>
      <c r="Q938" s="60" t="str">
        <f aca="false">IF(IsPro,IF($D938="","",IFERROR(MATCH($D938,Items!$A$5:$A$504,0),"")),"")</f>
        <v/>
      </c>
      <c r="R938" s="60" t="str">
        <f aca="false">IF(IsPro,IF($C938="","",IFERROR(MATCH($C938,Parties!$A$5:$A$304,0),"")),"")</f>
        <v/>
      </c>
      <c r="S938" s="61" t="str">
        <f aca="false">IF(IsPro,IF($D938="","",IF(OR($H938="",$H938="Credit"),0,P938)),"")</f>
        <v/>
      </c>
    </row>
    <row r="939" customFormat="false" ht="15" hidden="false" customHeight="false" outlineLevel="0" collapsed="false">
      <c r="A939" s="55"/>
      <c r="B939" s="56"/>
      <c r="C939" s="56"/>
      <c r="D939" s="56"/>
      <c r="E939" s="57"/>
      <c r="F939" s="58"/>
      <c r="G939" s="59"/>
      <c r="H939" s="56"/>
      <c r="I939" s="60" t="str">
        <f aca="false">IF(IsPro,IF($D939="","",IFERROR(INDEX(Items!$D$5:$D$504,Q939),"")),IF($D939="","","PRO PLAN"))</f>
        <v/>
      </c>
      <c r="J939" s="61" t="str">
        <f aca="false">IF(IsPro,IF($D939="","",IF($F939="",IFERROR(INDEX(Items!$G$5:$G$504,Q939),0),$F939)),"")</f>
        <v/>
      </c>
      <c r="K939" s="61" t="str">
        <f aca="false">IF(IsPro,IF($D939="","",ROUND(N($E939)*J939*(1-N($G939)),2)),"")</f>
        <v/>
      </c>
      <c r="L939" s="62" t="str">
        <f aca="false">IF(IsPro,IF($D939="","",IFERROR(INDEX(Items!$F$5:$F$504,Q939),0)),"")</f>
        <v/>
      </c>
      <c r="M939" s="61" t="str">
        <f aca="false">IF(IsPro,IF($D939="","",IF(AND(R939&lt;&gt;"",INDEX(Parties!$E$5:$E$304,R939)&lt;&gt;"",INDEX(Parties!$E$5:$E$304,R939)&lt;&gt;HomeState),0,ROUND(K939*L939/2,2))),"")</f>
        <v/>
      </c>
      <c r="N939" s="61" t="str">
        <f aca="false">IF(IsPro,IF($D939="","",M939),"")</f>
        <v/>
      </c>
      <c r="O939" s="61" t="str">
        <f aca="false">IF(IsPro,IF($D939="","",IF(AND(R939&lt;&gt;"",INDEX(Parties!$E$5:$E$304,R939)&lt;&gt;"",INDEX(Parties!$E$5:$E$304,R939)&lt;&gt;HomeState),ROUND(K939*L939,2),0)),"")</f>
        <v/>
      </c>
      <c r="P939" s="61" t="str">
        <f aca="false">IF(IsPro,IF($D939="","",K939+M939+N939+O939),"")</f>
        <v/>
      </c>
      <c r="Q939" s="60" t="str">
        <f aca="false">IF(IsPro,IF($D939="","",IFERROR(MATCH($D939,Items!$A$5:$A$504,0),"")),"")</f>
        <v/>
      </c>
      <c r="R939" s="60" t="str">
        <f aca="false">IF(IsPro,IF($C939="","",IFERROR(MATCH($C939,Parties!$A$5:$A$304,0),"")),"")</f>
        <v/>
      </c>
      <c r="S939" s="61" t="str">
        <f aca="false">IF(IsPro,IF($D939="","",IF(OR($H939="",$H939="Credit"),0,P939)),"")</f>
        <v/>
      </c>
    </row>
    <row r="940" customFormat="false" ht="15" hidden="false" customHeight="false" outlineLevel="0" collapsed="false">
      <c r="A940" s="55"/>
      <c r="B940" s="56"/>
      <c r="C940" s="56"/>
      <c r="D940" s="56"/>
      <c r="E940" s="57"/>
      <c r="F940" s="58"/>
      <c r="G940" s="59"/>
      <c r="H940" s="56"/>
      <c r="I940" s="60" t="str">
        <f aca="false">IF(IsPro,IF($D940="","",IFERROR(INDEX(Items!$D$5:$D$504,Q940),"")),IF($D940="","","PRO PLAN"))</f>
        <v/>
      </c>
      <c r="J940" s="61" t="str">
        <f aca="false">IF(IsPro,IF($D940="","",IF($F940="",IFERROR(INDEX(Items!$G$5:$G$504,Q940),0),$F940)),"")</f>
        <v/>
      </c>
      <c r="K940" s="61" t="str">
        <f aca="false">IF(IsPro,IF($D940="","",ROUND(N($E940)*J940*(1-N($G940)),2)),"")</f>
        <v/>
      </c>
      <c r="L940" s="62" t="str">
        <f aca="false">IF(IsPro,IF($D940="","",IFERROR(INDEX(Items!$F$5:$F$504,Q940),0)),"")</f>
        <v/>
      </c>
      <c r="M940" s="61" t="str">
        <f aca="false">IF(IsPro,IF($D940="","",IF(AND(R940&lt;&gt;"",INDEX(Parties!$E$5:$E$304,R940)&lt;&gt;"",INDEX(Parties!$E$5:$E$304,R940)&lt;&gt;HomeState),0,ROUND(K940*L940/2,2))),"")</f>
        <v/>
      </c>
      <c r="N940" s="61" t="str">
        <f aca="false">IF(IsPro,IF($D940="","",M940),"")</f>
        <v/>
      </c>
      <c r="O940" s="61" t="str">
        <f aca="false">IF(IsPro,IF($D940="","",IF(AND(R940&lt;&gt;"",INDEX(Parties!$E$5:$E$304,R940)&lt;&gt;"",INDEX(Parties!$E$5:$E$304,R940)&lt;&gt;HomeState),ROUND(K940*L940,2),0)),"")</f>
        <v/>
      </c>
      <c r="P940" s="61" t="str">
        <f aca="false">IF(IsPro,IF($D940="","",K940+M940+N940+O940),"")</f>
        <v/>
      </c>
      <c r="Q940" s="60" t="str">
        <f aca="false">IF(IsPro,IF($D940="","",IFERROR(MATCH($D940,Items!$A$5:$A$504,0),"")),"")</f>
        <v/>
      </c>
      <c r="R940" s="60" t="str">
        <f aca="false">IF(IsPro,IF($C940="","",IFERROR(MATCH($C940,Parties!$A$5:$A$304,0),"")),"")</f>
        <v/>
      </c>
      <c r="S940" s="61" t="str">
        <f aca="false">IF(IsPro,IF($D940="","",IF(OR($H940="",$H940="Credit"),0,P940)),"")</f>
        <v/>
      </c>
    </row>
    <row r="941" customFormat="false" ht="15" hidden="false" customHeight="false" outlineLevel="0" collapsed="false">
      <c r="A941" s="55"/>
      <c r="B941" s="56"/>
      <c r="C941" s="56"/>
      <c r="D941" s="56"/>
      <c r="E941" s="57"/>
      <c r="F941" s="58"/>
      <c r="G941" s="59"/>
      <c r="H941" s="56"/>
      <c r="I941" s="60" t="str">
        <f aca="false">IF(IsPro,IF($D941="","",IFERROR(INDEX(Items!$D$5:$D$504,Q941),"")),IF($D941="","","PRO PLAN"))</f>
        <v/>
      </c>
      <c r="J941" s="61" t="str">
        <f aca="false">IF(IsPro,IF($D941="","",IF($F941="",IFERROR(INDEX(Items!$G$5:$G$504,Q941),0),$F941)),"")</f>
        <v/>
      </c>
      <c r="K941" s="61" t="str">
        <f aca="false">IF(IsPro,IF($D941="","",ROUND(N($E941)*J941*(1-N($G941)),2)),"")</f>
        <v/>
      </c>
      <c r="L941" s="62" t="str">
        <f aca="false">IF(IsPro,IF($D941="","",IFERROR(INDEX(Items!$F$5:$F$504,Q941),0)),"")</f>
        <v/>
      </c>
      <c r="M941" s="61" t="str">
        <f aca="false">IF(IsPro,IF($D941="","",IF(AND(R941&lt;&gt;"",INDEX(Parties!$E$5:$E$304,R941)&lt;&gt;"",INDEX(Parties!$E$5:$E$304,R941)&lt;&gt;HomeState),0,ROUND(K941*L941/2,2))),"")</f>
        <v/>
      </c>
      <c r="N941" s="61" t="str">
        <f aca="false">IF(IsPro,IF($D941="","",M941),"")</f>
        <v/>
      </c>
      <c r="O941" s="61" t="str">
        <f aca="false">IF(IsPro,IF($D941="","",IF(AND(R941&lt;&gt;"",INDEX(Parties!$E$5:$E$304,R941)&lt;&gt;"",INDEX(Parties!$E$5:$E$304,R941)&lt;&gt;HomeState),ROUND(K941*L941,2),0)),"")</f>
        <v/>
      </c>
      <c r="P941" s="61" t="str">
        <f aca="false">IF(IsPro,IF($D941="","",K941+M941+N941+O941),"")</f>
        <v/>
      </c>
      <c r="Q941" s="60" t="str">
        <f aca="false">IF(IsPro,IF($D941="","",IFERROR(MATCH($D941,Items!$A$5:$A$504,0),"")),"")</f>
        <v/>
      </c>
      <c r="R941" s="60" t="str">
        <f aca="false">IF(IsPro,IF($C941="","",IFERROR(MATCH($C941,Parties!$A$5:$A$304,0),"")),"")</f>
        <v/>
      </c>
      <c r="S941" s="61" t="str">
        <f aca="false">IF(IsPro,IF($D941="","",IF(OR($H941="",$H941="Credit"),0,P941)),"")</f>
        <v/>
      </c>
    </row>
    <row r="942" customFormat="false" ht="15" hidden="false" customHeight="false" outlineLevel="0" collapsed="false">
      <c r="A942" s="55"/>
      <c r="B942" s="56"/>
      <c r="C942" s="56"/>
      <c r="D942" s="56"/>
      <c r="E942" s="57"/>
      <c r="F942" s="58"/>
      <c r="G942" s="59"/>
      <c r="H942" s="56"/>
      <c r="I942" s="60" t="str">
        <f aca="false">IF(IsPro,IF($D942="","",IFERROR(INDEX(Items!$D$5:$D$504,Q942),"")),IF($D942="","","PRO PLAN"))</f>
        <v/>
      </c>
      <c r="J942" s="61" t="str">
        <f aca="false">IF(IsPro,IF($D942="","",IF($F942="",IFERROR(INDEX(Items!$G$5:$G$504,Q942),0),$F942)),"")</f>
        <v/>
      </c>
      <c r="K942" s="61" t="str">
        <f aca="false">IF(IsPro,IF($D942="","",ROUND(N($E942)*J942*(1-N($G942)),2)),"")</f>
        <v/>
      </c>
      <c r="L942" s="62" t="str">
        <f aca="false">IF(IsPro,IF($D942="","",IFERROR(INDEX(Items!$F$5:$F$504,Q942),0)),"")</f>
        <v/>
      </c>
      <c r="M942" s="61" t="str">
        <f aca="false">IF(IsPro,IF($D942="","",IF(AND(R942&lt;&gt;"",INDEX(Parties!$E$5:$E$304,R942)&lt;&gt;"",INDEX(Parties!$E$5:$E$304,R942)&lt;&gt;HomeState),0,ROUND(K942*L942/2,2))),"")</f>
        <v/>
      </c>
      <c r="N942" s="61" t="str">
        <f aca="false">IF(IsPro,IF($D942="","",M942),"")</f>
        <v/>
      </c>
      <c r="O942" s="61" t="str">
        <f aca="false">IF(IsPro,IF($D942="","",IF(AND(R942&lt;&gt;"",INDEX(Parties!$E$5:$E$304,R942)&lt;&gt;"",INDEX(Parties!$E$5:$E$304,R942)&lt;&gt;HomeState),ROUND(K942*L942,2),0)),"")</f>
        <v/>
      </c>
      <c r="P942" s="61" t="str">
        <f aca="false">IF(IsPro,IF($D942="","",K942+M942+N942+O942),"")</f>
        <v/>
      </c>
      <c r="Q942" s="60" t="str">
        <f aca="false">IF(IsPro,IF($D942="","",IFERROR(MATCH($D942,Items!$A$5:$A$504,0),"")),"")</f>
        <v/>
      </c>
      <c r="R942" s="60" t="str">
        <f aca="false">IF(IsPro,IF($C942="","",IFERROR(MATCH($C942,Parties!$A$5:$A$304,0),"")),"")</f>
        <v/>
      </c>
      <c r="S942" s="61" t="str">
        <f aca="false">IF(IsPro,IF($D942="","",IF(OR($H942="",$H942="Credit"),0,P942)),"")</f>
        <v/>
      </c>
    </row>
    <row r="943" customFormat="false" ht="15" hidden="false" customHeight="false" outlineLevel="0" collapsed="false">
      <c r="A943" s="55"/>
      <c r="B943" s="56"/>
      <c r="C943" s="56"/>
      <c r="D943" s="56"/>
      <c r="E943" s="57"/>
      <c r="F943" s="58"/>
      <c r="G943" s="59"/>
      <c r="H943" s="56"/>
      <c r="I943" s="60" t="str">
        <f aca="false">IF(IsPro,IF($D943="","",IFERROR(INDEX(Items!$D$5:$D$504,Q943),"")),IF($D943="","","PRO PLAN"))</f>
        <v/>
      </c>
      <c r="J943" s="61" t="str">
        <f aca="false">IF(IsPro,IF($D943="","",IF($F943="",IFERROR(INDEX(Items!$G$5:$G$504,Q943),0),$F943)),"")</f>
        <v/>
      </c>
      <c r="K943" s="61" t="str">
        <f aca="false">IF(IsPro,IF($D943="","",ROUND(N($E943)*J943*(1-N($G943)),2)),"")</f>
        <v/>
      </c>
      <c r="L943" s="62" t="str">
        <f aca="false">IF(IsPro,IF($D943="","",IFERROR(INDEX(Items!$F$5:$F$504,Q943),0)),"")</f>
        <v/>
      </c>
      <c r="M943" s="61" t="str">
        <f aca="false">IF(IsPro,IF($D943="","",IF(AND(R943&lt;&gt;"",INDEX(Parties!$E$5:$E$304,R943)&lt;&gt;"",INDEX(Parties!$E$5:$E$304,R943)&lt;&gt;HomeState),0,ROUND(K943*L943/2,2))),"")</f>
        <v/>
      </c>
      <c r="N943" s="61" t="str">
        <f aca="false">IF(IsPro,IF($D943="","",M943),"")</f>
        <v/>
      </c>
      <c r="O943" s="61" t="str">
        <f aca="false">IF(IsPro,IF($D943="","",IF(AND(R943&lt;&gt;"",INDEX(Parties!$E$5:$E$304,R943)&lt;&gt;"",INDEX(Parties!$E$5:$E$304,R943)&lt;&gt;HomeState),ROUND(K943*L943,2),0)),"")</f>
        <v/>
      </c>
      <c r="P943" s="61" t="str">
        <f aca="false">IF(IsPro,IF($D943="","",K943+M943+N943+O943),"")</f>
        <v/>
      </c>
      <c r="Q943" s="60" t="str">
        <f aca="false">IF(IsPro,IF($D943="","",IFERROR(MATCH($D943,Items!$A$5:$A$504,0),"")),"")</f>
        <v/>
      </c>
      <c r="R943" s="60" t="str">
        <f aca="false">IF(IsPro,IF($C943="","",IFERROR(MATCH($C943,Parties!$A$5:$A$304,0),"")),"")</f>
        <v/>
      </c>
      <c r="S943" s="61" t="str">
        <f aca="false">IF(IsPro,IF($D943="","",IF(OR($H943="",$H943="Credit"),0,P943)),"")</f>
        <v/>
      </c>
    </row>
    <row r="944" customFormat="false" ht="15" hidden="false" customHeight="false" outlineLevel="0" collapsed="false">
      <c r="A944" s="55"/>
      <c r="B944" s="56"/>
      <c r="C944" s="56"/>
      <c r="D944" s="56"/>
      <c r="E944" s="57"/>
      <c r="F944" s="58"/>
      <c r="G944" s="59"/>
      <c r="H944" s="56"/>
      <c r="I944" s="60" t="str">
        <f aca="false">IF(IsPro,IF($D944="","",IFERROR(INDEX(Items!$D$5:$D$504,Q944),"")),IF($D944="","","PRO PLAN"))</f>
        <v/>
      </c>
      <c r="J944" s="61" t="str">
        <f aca="false">IF(IsPro,IF($D944="","",IF($F944="",IFERROR(INDEX(Items!$G$5:$G$504,Q944),0),$F944)),"")</f>
        <v/>
      </c>
      <c r="K944" s="61" t="str">
        <f aca="false">IF(IsPro,IF($D944="","",ROUND(N($E944)*J944*(1-N($G944)),2)),"")</f>
        <v/>
      </c>
      <c r="L944" s="62" t="str">
        <f aca="false">IF(IsPro,IF($D944="","",IFERROR(INDEX(Items!$F$5:$F$504,Q944),0)),"")</f>
        <v/>
      </c>
      <c r="M944" s="61" t="str">
        <f aca="false">IF(IsPro,IF($D944="","",IF(AND(R944&lt;&gt;"",INDEX(Parties!$E$5:$E$304,R944)&lt;&gt;"",INDEX(Parties!$E$5:$E$304,R944)&lt;&gt;HomeState),0,ROUND(K944*L944/2,2))),"")</f>
        <v/>
      </c>
      <c r="N944" s="61" t="str">
        <f aca="false">IF(IsPro,IF($D944="","",M944),"")</f>
        <v/>
      </c>
      <c r="O944" s="61" t="str">
        <f aca="false">IF(IsPro,IF($D944="","",IF(AND(R944&lt;&gt;"",INDEX(Parties!$E$5:$E$304,R944)&lt;&gt;"",INDEX(Parties!$E$5:$E$304,R944)&lt;&gt;HomeState),ROUND(K944*L944,2),0)),"")</f>
        <v/>
      </c>
      <c r="P944" s="61" t="str">
        <f aca="false">IF(IsPro,IF($D944="","",K944+M944+N944+O944),"")</f>
        <v/>
      </c>
      <c r="Q944" s="60" t="str">
        <f aca="false">IF(IsPro,IF($D944="","",IFERROR(MATCH($D944,Items!$A$5:$A$504,0),"")),"")</f>
        <v/>
      </c>
      <c r="R944" s="60" t="str">
        <f aca="false">IF(IsPro,IF($C944="","",IFERROR(MATCH($C944,Parties!$A$5:$A$304,0),"")),"")</f>
        <v/>
      </c>
      <c r="S944" s="61" t="str">
        <f aca="false">IF(IsPro,IF($D944="","",IF(OR($H944="",$H944="Credit"),0,P944)),"")</f>
        <v/>
      </c>
    </row>
    <row r="945" customFormat="false" ht="15" hidden="false" customHeight="false" outlineLevel="0" collapsed="false">
      <c r="A945" s="55"/>
      <c r="B945" s="56"/>
      <c r="C945" s="56"/>
      <c r="D945" s="56"/>
      <c r="E945" s="57"/>
      <c r="F945" s="58"/>
      <c r="G945" s="59"/>
      <c r="H945" s="56"/>
      <c r="I945" s="60" t="str">
        <f aca="false">IF(IsPro,IF($D945="","",IFERROR(INDEX(Items!$D$5:$D$504,Q945),"")),IF($D945="","","PRO PLAN"))</f>
        <v/>
      </c>
      <c r="J945" s="61" t="str">
        <f aca="false">IF(IsPro,IF($D945="","",IF($F945="",IFERROR(INDEX(Items!$G$5:$G$504,Q945),0),$F945)),"")</f>
        <v/>
      </c>
      <c r="K945" s="61" t="str">
        <f aca="false">IF(IsPro,IF($D945="","",ROUND(N($E945)*J945*(1-N($G945)),2)),"")</f>
        <v/>
      </c>
      <c r="L945" s="62" t="str">
        <f aca="false">IF(IsPro,IF($D945="","",IFERROR(INDEX(Items!$F$5:$F$504,Q945),0)),"")</f>
        <v/>
      </c>
      <c r="M945" s="61" t="str">
        <f aca="false">IF(IsPro,IF($D945="","",IF(AND(R945&lt;&gt;"",INDEX(Parties!$E$5:$E$304,R945)&lt;&gt;"",INDEX(Parties!$E$5:$E$304,R945)&lt;&gt;HomeState),0,ROUND(K945*L945/2,2))),"")</f>
        <v/>
      </c>
      <c r="N945" s="61" t="str">
        <f aca="false">IF(IsPro,IF($D945="","",M945),"")</f>
        <v/>
      </c>
      <c r="O945" s="61" t="str">
        <f aca="false">IF(IsPro,IF($D945="","",IF(AND(R945&lt;&gt;"",INDEX(Parties!$E$5:$E$304,R945)&lt;&gt;"",INDEX(Parties!$E$5:$E$304,R945)&lt;&gt;HomeState),ROUND(K945*L945,2),0)),"")</f>
        <v/>
      </c>
      <c r="P945" s="61" t="str">
        <f aca="false">IF(IsPro,IF($D945="","",K945+M945+N945+O945),"")</f>
        <v/>
      </c>
      <c r="Q945" s="60" t="str">
        <f aca="false">IF(IsPro,IF($D945="","",IFERROR(MATCH($D945,Items!$A$5:$A$504,0),"")),"")</f>
        <v/>
      </c>
      <c r="R945" s="60" t="str">
        <f aca="false">IF(IsPro,IF($C945="","",IFERROR(MATCH($C945,Parties!$A$5:$A$304,0),"")),"")</f>
        <v/>
      </c>
      <c r="S945" s="61" t="str">
        <f aca="false">IF(IsPro,IF($D945="","",IF(OR($H945="",$H945="Credit"),0,P945)),"")</f>
        <v/>
      </c>
    </row>
    <row r="946" customFormat="false" ht="15" hidden="false" customHeight="false" outlineLevel="0" collapsed="false">
      <c r="A946" s="55"/>
      <c r="B946" s="56"/>
      <c r="C946" s="56"/>
      <c r="D946" s="56"/>
      <c r="E946" s="57"/>
      <c r="F946" s="58"/>
      <c r="G946" s="59"/>
      <c r="H946" s="56"/>
      <c r="I946" s="60" t="str">
        <f aca="false">IF(IsPro,IF($D946="","",IFERROR(INDEX(Items!$D$5:$D$504,Q946),"")),IF($D946="","","PRO PLAN"))</f>
        <v/>
      </c>
      <c r="J946" s="61" t="str">
        <f aca="false">IF(IsPro,IF($D946="","",IF($F946="",IFERROR(INDEX(Items!$G$5:$G$504,Q946),0),$F946)),"")</f>
        <v/>
      </c>
      <c r="K946" s="61" t="str">
        <f aca="false">IF(IsPro,IF($D946="","",ROUND(N($E946)*J946*(1-N($G946)),2)),"")</f>
        <v/>
      </c>
      <c r="L946" s="62" t="str">
        <f aca="false">IF(IsPro,IF($D946="","",IFERROR(INDEX(Items!$F$5:$F$504,Q946),0)),"")</f>
        <v/>
      </c>
      <c r="M946" s="61" t="str">
        <f aca="false">IF(IsPro,IF($D946="","",IF(AND(R946&lt;&gt;"",INDEX(Parties!$E$5:$E$304,R946)&lt;&gt;"",INDEX(Parties!$E$5:$E$304,R946)&lt;&gt;HomeState),0,ROUND(K946*L946/2,2))),"")</f>
        <v/>
      </c>
      <c r="N946" s="61" t="str">
        <f aca="false">IF(IsPro,IF($D946="","",M946),"")</f>
        <v/>
      </c>
      <c r="O946" s="61" t="str">
        <f aca="false">IF(IsPro,IF($D946="","",IF(AND(R946&lt;&gt;"",INDEX(Parties!$E$5:$E$304,R946)&lt;&gt;"",INDEX(Parties!$E$5:$E$304,R946)&lt;&gt;HomeState),ROUND(K946*L946,2),0)),"")</f>
        <v/>
      </c>
      <c r="P946" s="61" t="str">
        <f aca="false">IF(IsPro,IF($D946="","",K946+M946+N946+O946),"")</f>
        <v/>
      </c>
      <c r="Q946" s="60" t="str">
        <f aca="false">IF(IsPro,IF($D946="","",IFERROR(MATCH($D946,Items!$A$5:$A$504,0),"")),"")</f>
        <v/>
      </c>
      <c r="R946" s="60" t="str">
        <f aca="false">IF(IsPro,IF($C946="","",IFERROR(MATCH($C946,Parties!$A$5:$A$304,0),"")),"")</f>
        <v/>
      </c>
      <c r="S946" s="61" t="str">
        <f aca="false">IF(IsPro,IF($D946="","",IF(OR($H946="",$H946="Credit"),0,P946)),"")</f>
        <v/>
      </c>
    </row>
    <row r="947" customFormat="false" ht="15" hidden="false" customHeight="false" outlineLevel="0" collapsed="false">
      <c r="A947" s="55"/>
      <c r="B947" s="56"/>
      <c r="C947" s="56"/>
      <c r="D947" s="56"/>
      <c r="E947" s="57"/>
      <c r="F947" s="58"/>
      <c r="G947" s="59"/>
      <c r="H947" s="56"/>
      <c r="I947" s="60" t="str">
        <f aca="false">IF(IsPro,IF($D947="","",IFERROR(INDEX(Items!$D$5:$D$504,Q947),"")),IF($D947="","","PRO PLAN"))</f>
        <v/>
      </c>
      <c r="J947" s="61" t="str">
        <f aca="false">IF(IsPro,IF($D947="","",IF($F947="",IFERROR(INDEX(Items!$G$5:$G$504,Q947),0),$F947)),"")</f>
        <v/>
      </c>
      <c r="K947" s="61" t="str">
        <f aca="false">IF(IsPro,IF($D947="","",ROUND(N($E947)*J947*(1-N($G947)),2)),"")</f>
        <v/>
      </c>
      <c r="L947" s="62" t="str">
        <f aca="false">IF(IsPro,IF($D947="","",IFERROR(INDEX(Items!$F$5:$F$504,Q947),0)),"")</f>
        <v/>
      </c>
      <c r="M947" s="61" t="str">
        <f aca="false">IF(IsPro,IF($D947="","",IF(AND(R947&lt;&gt;"",INDEX(Parties!$E$5:$E$304,R947)&lt;&gt;"",INDEX(Parties!$E$5:$E$304,R947)&lt;&gt;HomeState),0,ROUND(K947*L947/2,2))),"")</f>
        <v/>
      </c>
      <c r="N947" s="61" t="str">
        <f aca="false">IF(IsPro,IF($D947="","",M947),"")</f>
        <v/>
      </c>
      <c r="O947" s="61" t="str">
        <f aca="false">IF(IsPro,IF($D947="","",IF(AND(R947&lt;&gt;"",INDEX(Parties!$E$5:$E$304,R947)&lt;&gt;"",INDEX(Parties!$E$5:$E$304,R947)&lt;&gt;HomeState),ROUND(K947*L947,2),0)),"")</f>
        <v/>
      </c>
      <c r="P947" s="61" t="str">
        <f aca="false">IF(IsPro,IF($D947="","",K947+M947+N947+O947),"")</f>
        <v/>
      </c>
      <c r="Q947" s="60" t="str">
        <f aca="false">IF(IsPro,IF($D947="","",IFERROR(MATCH($D947,Items!$A$5:$A$504,0),"")),"")</f>
        <v/>
      </c>
      <c r="R947" s="60" t="str">
        <f aca="false">IF(IsPro,IF($C947="","",IFERROR(MATCH($C947,Parties!$A$5:$A$304,0),"")),"")</f>
        <v/>
      </c>
      <c r="S947" s="61" t="str">
        <f aca="false">IF(IsPro,IF($D947="","",IF(OR($H947="",$H947="Credit"),0,P947)),"")</f>
        <v/>
      </c>
    </row>
    <row r="948" customFormat="false" ht="15" hidden="false" customHeight="false" outlineLevel="0" collapsed="false">
      <c r="A948" s="55"/>
      <c r="B948" s="56"/>
      <c r="C948" s="56"/>
      <c r="D948" s="56"/>
      <c r="E948" s="57"/>
      <c r="F948" s="58"/>
      <c r="G948" s="59"/>
      <c r="H948" s="56"/>
      <c r="I948" s="60" t="str">
        <f aca="false">IF(IsPro,IF($D948="","",IFERROR(INDEX(Items!$D$5:$D$504,Q948),"")),IF($D948="","","PRO PLAN"))</f>
        <v/>
      </c>
      <c r="J948" s="61" t="str">
        <f aca="false">IF(IsPro,IF($D948="","",IF($F948="",IFERROR(INDEX(Items!$G$5:$G$504,Q948),0),$F948)),"")</f>
        <v/>
      </c>
      <c r="K948" s="61" t="str">
        <f aca="false">IF(IsPro,IF($D948="","",ROUND(N($E948)*J948*(1-N($G948)),2)),"")</f>
        <v/>
      </c>
      <c r="L948" s="62" t="str">
        <f aca="false">IF(IsPro,IF($D948="","",IFERROR(INDEX(Items!$F$5:$F$504,Q948),0)),"")</f>
        <v/>
      </c>
      <c r="M948" s="61" t="str">
        <f aca="false">IF(IsPro,IF($D948="","",IF(AND(R948&lt;&gt;"",INDEX(Parties!$E$5:$E$304,R948)&lt;&gt;"",INDEX(Parties!$E$5:$E$304,R948)&lt;&gt;HomeState),0,ROUND(K948*L948/2,2))),"")</f>
        <v/>
      </c>
      <c r="N948" s="61" t="str">
        <f aca="false">IF(IsPro,IF($D948="","",M948),"")</f>
        <v/>
      </c>
      <c r="O948" s="61" t="str">
        <f aca="false">IF(IsPro,IF($D948="","",IF(AND(R948&lt;&gt;"",INDEX(Parties!$E$5:$E$304,R948)&lt;&gt;"",INDEX(Parties!$E$5:$E$304,R948)&lt;&gt;HomeState),ROUND(K948*L948,2),0)),"")</f>
        <v/>
      </c>
      <c r="P948" s="61" t="str">
        <f aca="false">IF(IsPro,IF($D948="","",K948+M948+N948+O948),"")</f>
        <v/>
      </c>
      <c r="Q948" s="60" t="str">
        <f aca="false">IF(IsPro,IF($D948="","",IFERROR(MATCH($D948,Items!$A$5:$A$504,0),"")),"")</f>
        <v/>
      </c>
      <c r="R948" s="60" t="str">
        <f aca="false">IF(IsPro,IF($C948="","",IFERROR(MATCH($C948,Parties!$A$5:$A$304,0),"")),"")</f>
        <v/>
      </c>
      <c r="S948" s="61" t="str">
        <f aca="false">IF(IsPro,IF($D948="","",IF(OR($H948="",$H948="Credit"),0,P948)),"")</f>
        <v/>
      </c>
    </row>
    <row r="949" customFormat="false" ht="15" hidden="false" customHeight="false" outlineLevel="0" collapsed="false">
      <c r="A949" s="55"/>
      <c r="B949" s="56"/>
      <c r="C949" s="56"/>
      <c r="D949" s="56"/>
      <c r="E949" s="57"/>
      <c r="F949" s="58"/>
      <c r="G949" s="59"/>
      <c r="H949" s="56"/>
      <c r="I949" s="60" t="str">
        <f aca="false">IF(IsPro,IF($D949="","",IFERROR(INDEX(Items!$D$5:$D$504,Q949),"")),IF($D949="","","PRO PLAN"))</f>
        <v/>
      </c>
      <c r="J949" s="61" t="str">
        <f aca="false">IF(IsPro,IF($D949="","",IF($F949="",IFERROR(INDEX(Items!$G$5:$G$504,Q949),0),$F949)),"")</f>
        <v/>
      </c>
      <c r="K949" s="61" t="str">
        <f aca="false">IF(IsPro,IF($D949="","",ROUND(N($E949)*J949*(1-N($G949)),2)),"")</f>
        <v/>
      </c>
      <c r="L949" s="62" t="str">
        <f aca="false">IF(IsPro,IF($D949="","",IFERROR(INDEX(Items!$F$5:$F$504,Q949),0)),"")</f>
        <v/>
      </c>
      <c r="M949" s="61" t="str">
        <f aca="false">IF(IsPro,IF($D949="","",IF(AND(R949&lt;&gt;"",INDEX(Parties!$E$5:$E$304,R949)&lt;&gt;"",INDEX(Parties!$E$5:$E$304,R949)&lt;&gt;HomeState),0,ROUND(K949*L949/2,2))),"")</f>
        <v/>
      </c>
      <c r="N949" s="61" t="str">
        <f aca="false">IF(IsPro,IF($D949="","",M949),"")</f>
        <v/>
      </c>
      <c r="O949" s="61" t="str">
        <f aca="false">IF(IsPro,IF($D949="","",IF(AND(R949&lt;&gt;"",INDEX(Parties!$E$5:$E$304,R949)&lt;&gt;"",INDEX(Parties!$E$5:$E$304,R949)&lt;&gt;HomeState),ROUND(K949*L949,2),0)),"")</f>
        <v/>
      </c>
      <c r="P949" s="61" t="str">
        <f aca="false">IF(IsPro,IF($D949="","",K949+M949+N949+O949),"")</f>
        <v/>
      </c>
      <c r="Q949" s="60" t="str">
        <f aca="false">IF(IsPro,IF($D949="","",IFERROR(MATCH($D949,Items!$A$5:$A$504,0),"")),"")</f>
        <v/>
      </c>
      <c r="R949" s="60" t="str">
        <f aca="false">IF(IsPro,IF($C949="","",IFERROR(MATCH($C949,Parties!$A$5:$A$304,0),"")),"")</f>
        <v/>
      </c>
      <c r="S949" s="61" t="str">
        <f aca="false">IF(IsPro,IF($D949="","",IF(OR($H949="",$H949="Credit"),0,P949)),"")</f>
        <v/>
      </c>
    </row>
    <row r="950" customFormat="false" ht="15" hidden="false" customHeight="false" outlineLevel="0" collapsed="false">
      <c r="A950" s="55"/>
      <c r="B950" s="56"/>
      <c r="C950" s="56"/>
      <c r="D950" s="56"/>
      <c r="E950" s="57"/>
      <c r="F950" s="58"/>
      <c r="G950" s="59"/>
      <c r="H950" s="56"/>
      <c r="I950" s="60" t="str">
        <f aca="false">IF(IsPro,IF($D950="","",IFERROR(INDEX(Items!$D$5:$D$504,Q950),"")),IF($D950="","","PRO PLAN"))</f>
        <v/>
      </c>
      <c r="J950" s="61" t="str">
        <f aca="false">IF(IsPro,IF($D950="","",IF($F950="",IFERROR(INDEX(Items!$G$5:$G$504,Q950),0),$F950)),"")</f>
        <v/>
      </c>
      <c r="K950" s="61" t="str">
        <f aca="false">IF(IsPro,IF($D950="","",ROUND(N($E950)*J950*(1-N($G950)),2)),"")</f>
        <v/>
      </c>
      <c r="L950" s="62" t="str">
        <f aca="false">IF(IsPro,IF($D950="","",IFERROR(INDEX(Items!$F$5:$F$504,Q950),0)),"")</f>
        <v/>
      </c>
      <c r="M950" s="61" t="str">
        <f aca="false">IF(IsPro,IF($D950="","",IF(AND(R950&lt;&gt;"",INDEX(Parties!$E$5:$E$304,R950)&lt;&gt;"",INDEX(Parties!$E$5:$E$304,R950)&lt;&gt;HomeState),0,ROUND(K950*L950/2,2))),"")</f>
        <v/>
      </c>
      <c r="N950" s="61" t="str">
        <f aca="false">IF(IsPro,IF($D950="","",M950),"")</f>
        <v/>
      </c>
      <c r="O950" s="61" t="str">
        <f aca="false">IF(IsPro,IF($D950="","",IF(AND(R950&lt;&gt;"",INDEX(Parties!$E$5:$E$304,R950)&lt;&gt;"",INDEX(Parties!$E$5:$E$304,R950)&lt;&gt;HomeState),ROUND(K950*L950,2),0)),"")</f>
        <v/>
      </c>
      <c r="P950" s="61" t="str">
        <f aca="false">IF(IsPro,IF($D950="","",K950+M950+N950+O950),"")</f>
        <v/>
      </c>
      <c r="Q950" s="60" t="str">
        <f aca="false">IF(IsPro,IF($D950="","",IFERROR(MATCH($D950,Items!$A$5:$A$504,0),"")),"")</f>
        <v/>
      </c>
      <c r="R950" s="60" t="str">
        <f aca="false">IF(IsPro,IF($C950="","",IFERROR(MATCH($C950,Parties!$A$5:$A$304,0),"")),"")</f>
        <v/>
      </c>
      <c r="S950" s="61" t="str">
        <f aca="false">IF(IsPro,IF($D950="","",IF(OR($H950="",$H950="Credit"),0,P950)),"")</f>
        <v/>
      </c>
    </row>
    <row r="951" customFormat="false" ht="15" hidden="false" customHeight="false" outlineLevel="0" collapsed="false">
      <c r="A951" s="55"/>
      <c r="B951" s="56"/>
      <c r="C951" s="56"/>
      <c r="D951" s="56"/>
      <c r="E951" s="57"/>
      <c r="F951" s="58"/>
      <c r="G951" s="59"/>
      <c r="H951" s="56"/>
      <c r="I951" s="60" t="str">
        <f aca="false">IF(IsPro,IF($D951="","",IFERROR(INDEX(Items!$D$5:$D$504,Q951),"")),IF($D951="","","PRO PLAN"))</f>
        <v/>
      </c>
      <c r="J951" s="61" t="str">
        <f aca="false">IF(IsPro,IF($D951="","",IF($F951="",IFERROR(INDEX(Items!$G$5:$G$504,Q951),0),$F951)),"")</f>
        <v/>
      </c>
      <c r="K951" s="61" t="str">
        <f aca="false">IF(IsPro,IF($D951="","",ROUND(N($E951)*J951*(1-N($G951)),2)),"")</f>
        <v/>
      </c>
      <c r="L951" s="62" t="str">
        <f aca="false">IF(IsPro,IF($D951="","",IFERROR(INDEX(Items!$F$5:$F$504,Q951),0)),"")</f>
        <v/>
      </c>
      <c r="M951" s="61" t="str">
        <f aca="false">IF(IsPro,IF($D951="","",IF(AND(R951&lt;&gt;"",INDEX(Parties!$E$5:$E$304,R951)&lt;&gt;"",INDEX(Parties!$E$5:$E$304,R951)&lt;&gt;HomeState),0,ROUND(K951*L951/2,2))),"")</f>
        <v/>
      </c>
      <c r="N951" s="61" t="str">
        <f aca="false">IF(IsPro,IF($D951="","",M951),"")</f>
        <v/>
      </c>
      <c r="O951" s="61" t="str">
        <f aca="false">IF(IsPro,IF($D951="","",IF(AND(R951&lt;&gt;"",INDEX(Parties!$E$5:$E$304,R951)&lt;&gt;"",INDEX(Parties!$E$5:$E$304,R951)&lt;&gt;HomeState),ROUND(K951*L951,2),0)),"")</f>
        <v/>
      </c>
      <c r="P951" s="61" t="str">
        <f aca="false">IF(IsPro,IF($D951="","",K951+M951+N951+O951),"")</f>
        <v/>
      </c>
      <c r="Q951" s="60" t="str">
        <f aca="false">IF(IsPro,IF($D951="","",IFERROR(MATCH($D951,Items!$A$5:$A$504,0),"")),"")</f>
        <v/>
      </c>
      <c r="R951" s="60" t="str">
        <f aca="false">IF(IsPro,IF($C951="","",IFERROR(MATCH($C951,Parties!$A$5:$A$304,0),"")),"")</f>
        <v/>
      </c>
      <c r="S951" s="61" t="str">
        <f aca="false">IF(IsPro,IF($D951="","",IF(OR($H951="",$H951="Credit"),0,P951)),"")</f>
        <v/>
      </c>
    </row>
    <row r="952" customFormat="false" ht="15" hidden="false" customHeight="false" outlineLevel="0" collapsed="false">
      <c r="A952" s="55"/>
      <c r="B952" s="56"/>
      <c r="C952" s="56"/>
      <c r="D952" s="56"/>
      <c r="E952" s="57"/>
      <c r="F952" s="58"/>
      <c r="G952" s="59"/>
      <c r="H952" s="56"/>
      <c r="I952" s="60" t="str">
        <f aca="false">IF(IsPro,IF($D952="","",IFERROR(INDEX(Items!$D$5:$D$504,Q952),"")),IF($D952="","","PRO PLAN"))</f>
        <v/>
      </c>
      <c r="J952" s="61" t="str">
        <f aca="false">IF(IsPro,IF($D952="","",IF($F952="",IFERROR(INDEX(Items!$G$5:$G$504,Q952),0),$F952)),"")</f>
        <v/>
      </c>
      <c r="K952" s="61" t="str">
        <f aca="false">IF(IsPro,IF($D952="","",ROUND(N($E952)*J952*(1-N($G952)),2)),"")</f>
        <v/>
      </c>
      <c r="L952" s="62" t="str">
        <f aca="false">IF(IsPro,IF($D952="","",IFERROR(INDEX(Items!$F$5:$F$504,Q952),0)),"")</f>
        <v/>
      </c>
      <c r="M952" s="61" t="str">
        <f aca="false">IF(IsPro,IF($D952="","",IF(AND(R952&lt;&gt;"",INDEX(Parties!$E$5:$E$304,R952)&lt;&gt;"",INDEX(Parties!$E$5:$E$304,R952)&lt;&gt;HomeState),0,ROUND(K952*L952/2,2))),"")</f>
        <v/>
      </c>
      <c r="N952" s="61" t="str">
        <f aca="false">IF(IsPro,IF($D952="","",M952),"")</f>
        <v/>
      </c>
      <c r="O952" s="61" t="str">
        <f aca="false">IF(IsPro,IF($D952="","",IF(AND(R952&lt;&gt;"",INDEX(Parties!$E$5:$E$304,R952)&lt;&gt;"",INDEX(Parties!$E$5:$E$304,R952)&lt;&gt;HomeState),ROUND(K952*L952,2),0)),"")</f>
        <v/>
      </c>
      <c r="P952" s="61" t="str">
        <f aca="false">IF(IsPro,IF($D952="","",K952+M952+N952+O952),"")</f>
        <v/>
      </c>
      <c r="Q952" s="60" t="str">
        <f aca="false">IF(IsPro,IF($D952="","",IFERROR(MATCH($D952,Items!$A$5:$A$504,0),"")),"")</f>
        <v/>
      </c>
      <c r="R952" s="60" t="str">
        <f aca="false">IF(IsPro,IF($C952="","",IFERROR(MATCH($C952,Parties!$A$5:$A$304,0),"")),"")</f>
        <v/>
      </c>
      <c r="S952" s="61" t="str">
        <f aca="false">IF(IsPro,IF($D952="","",IF(OR($H952="",$H952="Credit"),0,P952)),"")</f>
        <v/>
      </c>
    </row>
    <row r="953" customFormat="false" ht="15" hidden="false" customHeight="false" outlineLevel="0" collapsed="false">
      <c r="A953" s="55"/>
      <c r="B953" s="56"/>
      <c r="C953" s="56"/>
      <c r="D953" s="56"/>
      <c r="E953" s="57"/>
      <c r="F953" s="58"/>
      <c r="G953" s="59"/>
      <c r="H953" s="56"/>
      <c r="I953" s="60" t="str">
        <f aca="false">IF(IsPro,IF($D953="","",IFERROR(INDEX(Items!$D$5:$D$504,Q953),"")),IF($D953="","","PRO PLAN"))</f>
        <v/>
      </c>
      <c r="J953" s="61" t="str">
        <f aca="false">IF(IsPro,IF($D953="","",IF($F953="",IFERROR(INDEX(Items!$G$5:$G$504,Q953),0),$F953)),"")</f>
        <v/>
      </c>
      <c r="K953" s="61" t="str">
        <f aca="false">IF(IsPro,IF($D953="","",ROUND(N($E953)*J953*(1-N($G953)),2)),"")</f>
        <v/>
      </c>
      <c r="L953" s="62" t="str">
        <f aca="false">IF(IsPro,IF($D953="","",IFERROR(INDEX(Items!$F$5:$F$504,Q953),0)),"")</f>
        <v/>
      </c>
      <c r="M953" s="61" t="str">
        <f aca="false">IF(IsPro,IF($D953="","",IF(AND(R953&lt;&gt;"",INDEX(Parties!$E$5:$E$304,R953)&lt;&gt;"",INDEX(Parties!$E$5:$E$304,R953)&lt;&gt;HomeState),0,ROUND(K953*L953/2,2))),"")</f>
        <v/>
      </c>
      <c r="N953" s="61" t="str">
        <f aca="false">IF(IsPro,IF($D953="","",M953),"")</f>
        <v/>
      </c>
      <c r="O953" s="61" t="str">
        <f aca="false">IF(IsPro,IF($D953="","",IF(AND(R953&lt;&gt;"",INDEX(Parties!$E$5:$E$304,R953)&lt;&gt;"",INDEX(Parties!$E$5:$E$304,R953)&lt;&gt;HomeState),ROUND(K953*L953,2),0)),"")</f>
        <v/>
      </c>
      <c r="P953" s="61" t="str">
        <f aca="false">IF(IsPro,IF($D953="","",K953+M953+N953+O953),"")</f>
        <v/>
      </c>
      <c r="Q953" s="60" t="str">
        <f aca="false">IF(IsPro,IF($D953="","",IFERROR(MATCH($D953,Items!$A$5:$A$504,0),"")),"")</f>
        <v/>
      </c>
      <c r="R953" s="60" t="str">
        <f aca="false">IF(IsPro,IF($C953="","",IFERROR(MATCH($C953,Parties!$A$5:$A$304,0),"")),"")</f>
        <v/>
      </c>
      <c r="S953" s="61" t="str">
        <f aca="false">IF(IsPro,IF($D953="","",IF(OR($H953="",$H953="Credit"),0,P953)),"")</f>
        <v/>
      </c>
    </row>
    <row r="954" customFormat="false" ht="15" hidden="false" customHeight="false" outlineLevel="0" collapsed="false">
      <c r="A954" s="55"/>
      <c r="B954" s="56"/>
      <c r="C954" s="56"/>
      <c r="D954" s="56"/>
      <c r="E954" s="57"/>
      <c r="F954" s="58"/>
      <c r="G954" s="59"/>
      <c r="H954" s="56"/>
      <c r="I954" s="60" t="str">
        <f aca="false">IF(IsPro,IF($D954="","",IFERROR(INDEX(Items!$D$5:$D$504,Q954),"")),IF($D954="","","PRO PLAN"))</f>
        <v/>
      </c>
      <c r="J954" s="61" t="str">
        <f aca="false">IF(IsPro,IF($D954="","",IF($F954="",IFERROR(INDEX(Items!$G$5:$G$504,Q954),0),$F954)),"")</f>
        <v/>
      </c>
      <c r="K954" s="61" t="str">
        <f aca="false">IF(IsPro,IF($D954="","",ROUND(N($E954)*J954*(1-N($G954)),2)),"")</f>
        <v/>
      </c>
      <c r="L954" s="62" t="str">
        <f aca="false">IF(IsPro,IF($D954="","",IFERROR(INDEX(Items!$F$5:$F$504,Q954),0)),"")</f>
        <v/>
      </c>
      <c r="M954" s="61" t="str">
        <f aca="false">IF(IsPro,IF($D954="","",IF(AND(R954&lt;&gt;"",INDEX(Parties!$E$5:$E$304,R954)&lt;&gt;"",INDEX(Parties!$E$5:$E$304,R954)&lt;&gt;HomeState),0,ROUND(K954*L954/2,2))),"")</f>
        <v/>
      </c>
      <c r="N954" s="61" t="str">
        <f aca="false">IF(IsPro,IF($D954="","",M954),"")</f>
        <v/>
      </c>
      <c r="O954" s="61" t="str">
        <f aca="false">IF(IsPro,IF($D954="","",IF(AND(R954&lt;&gt;"",INDEX(Parties!$E$5:$E$304,R954)&lt;&gt;"",INDEX(Parties!$E$5:$E$304,R954)&lt;&gt;HomeState),ROUND(K954*L954,2),0)),"")</f>
        <v/>
      </c>
      <c r="P954" s="61" t="str">
        <f aca="false">IF(IsPro,IF($D954="","",K954+M954+N954+O954),"")</f>
        <v/>
      </c>
      <c r="Q954" s="60" t="str">
        <f aca="false">IF(IsPro,IF($D954="","",IFERROR(MATCH($D954,Items!$A$5:$A$504,0),"")),"")</f>
        <v/>
      </c>
      <c r="R954" s="60" t="str">
        <f aca="false">IF(IsPro,IF($C954="","",IFERROR(MATCH($C954,Parties!$A$5:$A$304,0),"")),"")</f>
        <v/>
      </c>
      <c r="S954" s="61" t="str">
        <f aca="false">IF(IsPro,IF($D954="","",IF(OR($H954="",$H954="Credit"),0,P954)),"")</f>
        <v/>
      </c>
    </row>
    <row r="955" customFormat="false" ht="15" hidden="false" customHeight="false" outlineLevel="0" collapsed="false">
      <c r="A955" s="55"/>
      <c r="B955" s="56"/>
      <c r="C955" s="56"/>
      <c r="D955" s="56"/>
      <c r="E955" s="57"/>
      <c r="F955" s="58"/>
      <c r="G955" s="59"/>
      <c r="H955" s="56"/>
      <c r="I955" s="60" t="str">
        <f aca="false">IF(IsPro,IF($D955="","",IFERROR(INDEX(Items!$D$5:$D$504,Q955),"")),IF($D955="","","PRO PLAN"))</f>
        <v/>
      </c>
      <c r="J955" s="61" t="str">
        <f aca="false">IF(IsPro,IF($D955="","",IF($F955="",IFERROR(INDEX(Items!$G$5:$G$504,Q955),0),$F955)),"")</f>
        <v/>
      </c>
      <c r="K955" s="61" t="str">
        <f aca="false">IF(IsPro,IF($D955="","",ROUND(N($E955)*J955*(1-N($G955)),2)),"")</f>
        <v/>
      </c>
      <c r="L955" s="62" t="str">
        <f aca="false">IF(IsPro,IF($D955="","",IFERROR(INDEX(Items!$F$5:$F$504,Q955),0)),"")</f>
        <v/>
      </c>
      <c r="M955" s="61" t="str">
        <f aca="false">IF(IsPro,IF($D955="","",IF(AND(R955&lt;&gt;"",INDEX(Parties!$E$5:$E$304,R955)&lt;&gt;"",INDEX(Parties!$E$5:$E$304,R955)&lt;&gt;HomeState),0,ROUND(K955*L955/2,2))),"")</f>
        <v/>
      </c>
      <c r="N955" s="61" t="str">
        <f aca="false">IF(IsPro,IF($D955="","",M955),"")</f>
        <v/>
      </c>
      <c r="O955" s="61" t="str">
        <f aca="false">IF(IsPro,IF($D955="","",IF(AND(R955&lt;&gt;"",INDEX(Parties!$E$5:$E$304,R955)&lt;&gt;"",INDEX(Parties!$E$5:$E$304,R955)&lt;&gt;HomeState),ROUND(K955*L955,2),0)),"")</f>
        <v/>
      </c>
      <c r="P955" s="61" t="str">
        <f aca="false">IF(IsPro,IF($D955="","",K955+M955+N955+O955),"")</f>
        <v/>
      </c>
      <c r="Q955" s="60" t="str">
        <f aca="false">IF(IsPro,IF($D955="","",IFERROR(MATCH($D955,Items!$A$5:$A$504,0),"")),"")</f>
        <v/>
      </c>
      <c r="R955" s="60" t="str">
        <f aca="false">IF(IsPro,IF($C955="","",IFERROR(MATCH($C955,Parties!$A$5:$A$304,0),"")),"")</f>
        <v/>
      </c>
      <c r="S955" s="61" t="str">
        <f aca="false">IF(IsPro,IF($D955="","",IF(OR($H955="",$H955="Credit"),0,P955)),"")</f>
        <v/>
      </c>
    </row>
    <row r="956" customFormat="false" ht="15" hidden="false" customHeight="false" outlineLevel="0" collapsed="false">
      <c r="A956" s="55"/>
      <c r="B956" s="56"/>
      <c r="C956" s="56"/>
      <c r="D956" s="56"/>
      <c r="E956" s="57"/>
      <c r="F956" s="58"/>
      <c r="G956" s="59"/>
      <c r="H956" s="56"/>
      <c r="I956" s="60" t="str">
        <f aca="false">IF(IsPro,IF($D956="","",IFERROR(INDEX(Items!$D$5:$D$504,Q956),"")),IF($D956="","","PRO PLAN"))</f>
        <v/>
      </c>
      <c r="J956" s="61" t="str">
        <f aca="false">IF(IsPro,IF($D956="","",IF($F956="",IFERROR(INDEX(Items!$G$5:$G$504,Q956),0),$F956)),"")</f>
        <v/>
      </c>
      <c r="K956" s="61" t="str">
        <f aca="false">IF(IsPro,IF($D956="","",ROUND(N($E956)*J956*(1-N($G956)),2)),"")</f>
        <v/>
      </c>
      <c r="L956" s="62" t="str">
        <f aca="false">IF(IsPro,IF($D956="","",IFERROR(INDEX(Items!$F$5:$F$504,Q956),0)),"")</f>
        <v/>
      </c>
      <c r="M956" s="61" t="str">
        <f aca="false">IF(IsPro,IF($D956="","",IF(AND(R956&lt;&gt;"",INDEX(Parties!$E$5:$E$304,R956)&lt;&gt;"",INDEX(Parties!$E$5:$E$304,R956)&lt;&gt;HomeState),0,ROUND(K956*L956/2,2))),"")</f>
        <v/>
      </c>
      <c r="N956" s="61" t="str">
        <f aca="false">IF(IsPro,IF($D956="","",M956),"")</f>
        <v/>
      </c>
      <c r="O956" s="61" t="str">
        <f aca="false">IF(IsPro,IF($D956="","",IF(AND(R956&lt;&gt;"",INDEX(Parties!$E$5:$E$304,R956)&lt;&gt;"",INDEX(Parties!$E$5:$E$304,R956)&lt;&gt;HomeState),ROUND(K956*L956,2),0)),"")</f>
        <v/>
      </c>
      <c r="P956" s="61" t="str">
        <f aca="false">IF(IsPro,IF($D956="","",K956+M956+N956+O956),"")</f>
        <v/>
      </c>
      <c r="Q956" s="60" t="str">
        <f aca="false">IF(IsPro,IF($D956="","",IFERROR(MATCH($D956,Items!$A$5:$A$504,0),"")),"")</f>
        <v/>
      </c>
      <c r="R956" s="60" t="str">
        <f aca="false">IF(IsPro,IF($C956="","",IFERROR(MATCH($C956,Parties!$A$5:$A$304,0),"")),"")</f>
        <v/>
      </c>
      <c r="S956" s="61" t="str">
        <f aca="false">IF(IsPro,IF($D956="","",IF(OR($H956="",$H956="Credit"),0,P956)),"")</f>
        <v/>
      </c>
    </row>
    <row r="957" customFormat="false" ht="15" hidden="false" customHeight="false" outlineLevel="0" collapsed="false">
      <c r="A957" s="55"/>
      <c r="B957" s="56"/>
      <c r="C957" s="56"/>
      <c r="D957" s="56"/>
      <c r="E957" s="57"/>
      <c r="F957" s="58"/>
      <c r="G957" s="59"/>
      <c r="H957" s="56"/>
      <c r="I957" s="60" t="str">
        <f aca="false">IF(IsPro,IF($D957="","",IFERROR(INDEX(Items!$D$5:$D$504,Q957),"")),IF($D957="","","PRO PLAN"))</f>
        <v/>
      </c>
      <c r="J957" s="61" t="str">
        <f aca="false">IF(IsPro,IF($D957="","",IF($F957="",IFERROR(INDEX(Items!$G$5:$G$504,Q957),0),$F957)),"")</f>
        <v/>
      </c>
      <c r="K957" s="61" t="str">
        <f aca="false">IF(IsPro,IF($D957="","",ROUND(N($E957)*J957*(1-N($G957)),2)),"")</f>
        <v/>
      </c>
      <c r="L957" s="62" t="str">
        <f aca="false">IF(IsPro,IF($D957="","",IFERROR(INDEX(Items!$F$5:$F$504,Q957),0)),"")</f>
        <v/>
      </c>
      <c r="M957" s="61" t="str">
        <f aca="false">IF(IsPro,IF($D957="","",IF(AND(R957&lt;&gt;"",INDEX(Parties!$E$5:$E$304,R957)&lt;&gt;"",INDEX(Parties!$E$5:$E$304,R957)&lt;&gt;HomeState),0,ROUND(K957*L957/2,2))),"")</f>
        <v/>
      </c>
      <c r="N957" s="61" t="str">
        <f aca="false">IF(IsPro,IF($D957="","",M957),"")</f>
        <v/>
      </c>
      <c r="O957" s="61" t="str">
        <f aca="false">IF(IsPro,IF($D957="","",IF(AND(R957&lt;&gt;"",INDEX(Parties!$E$5:$E$304,R957)&lt;&gt;"",INDEX(Parties!$E$5:$E$304,R957)&lt;&gt;HomeState),ROUND(K957*L957,2),0)),"")</f>
        <v/>
      </c>
      <c r="P957" s="61" t="str">
        <f aca="false">IF(IsPro,IF($D957="","",K957+M957+N957+O957),"")</f>
        <v/>
      </c>
      <c r="Q957" s="60" t="str">
        <f aca="false">IF(IsPro,IF($D957="","",IFERROR(MATCH($D957,Items!$A$5:$A$504,0),"")),"")</f>
        <v/>
      </c>
      <c r="R957" s="60" t="str">
        <f aca="false">IF(IsPro,IF($C957="","",IFERROR(MATCH($C957,Parties!$A$5:$A$304,0),"")),"")</f>
        <v/>
      </c>
      <c r="S957" s="61" t="str">
        <f aca="false">IF(IsPro,IF($D957="","",IF(OR($H957="",$H957="Credit"),0,P957)),"")</f>
        <v/>
      </c>
    </row>
    <row r="958" customFormat="false" ht="15" hidden="false" customHeight="false" outlineLevel="0" collapsed="false">
      <c r="A958" s="55"/>
      <c r="B958" s="56"/>
      <c r="C958" s="56"/>
      <c r="D958" s="56"/>
      <c r="E958" s="57"/>
      <c r="F958" s="58"/>
      <c r="G958" s="59"/>
      <c r="H958" s="56"/>
      <c r="I958" s="60" t="str">
        <f aca="false">IF(IsPro,IF($D958="","",IFERROR(INDEX(Items!$D$5:$D$504,Q958),"")),IF($D958="","","PRO PLAN"))</f>
        <v/>
      </c>
      <c r="J958" s="61" t="str">
        <f aca="false">IF(IsPro,IF($D958="","",IF($F958="",IFERROR(INDEX(Items!$G$5:$G$504,Q958),0),$F958)),"")</f>
        <v/>
      </c>
      <c r="K958" s="61" t="str">
        <f aca="false">IF(IsPro,IF($D958="","",ROUND(N($E958)*J958*(1-N($G958)),2)),"")</f>
        <v/>
      </c>
      <c r="L958" s="62" t="str">
        <f aca="false">IF(IsPro,IF($D958="","",IFERROR(INDEX(Items!$F$5:$F$504,Q958),0)),"")</f>
        <v/>
      </c>
      <c r="M958" s="61" t="str">
        <f aca="false">IF(IsPro,IF($D958="","",IF(AND(R958&lt;&gt;"",INDEX(Parties!$E$5:$E$304,R958)&lt;&gt;"",INDEX(Parties!$E$5:$E$304,R958)&lt;&gt;HomeState),0,ROUND(K958*L958/2,2))),"")</f>
        <v/>
      </c>
      <c r="N958" s="61" t="str">
        <f aca="false">IF(IsPro,IF($D958="","",M958),"")</f>
        <v/>
      </c>
      <c r="O958" s="61" t="str">
        <f aca="false">IF(IsPro,IF($D958="","",IF(AND(R958&lt;&gt;"",INDEX(Parties!$E$5:$E$304,R958)&lt;&gt;"",INDEX(Parties!$E$5:$E$304,R958)&lt;&gt;HomeState),ROUND(K958*L958,2),0)),"")</f>
        <v/>
      </c>
      <c r="P958" s="61" t="str">
        <f aca="false">IF(IsPro,IF($D958="","",K958+M958+N958+O958),"")</f>
        <v/>
      </c>
      <c r="Q958" s="60" t="str">
        <f aca="false">IF(IsPro,IF($D958="","",IFERROR(MATCH($D958,Items!$A$5:$A$504,0),"")),"")</f>
        <v/>
      </c>
      <c r="R958" s="60" t="str">
        <f aca="false">IF(IsPro,IF($C958="","",IFERROR(MATCH($C958,Parties!$A$5:$A$304,0),"")),"")</f>
        <v/>
      </c>
      <c r="S958" s="61" t="str">
        <f aca="false">IF(IsPro,IF($D958="","",IF(OR($H958="",$H958="Credit"),0,P958)),"")</f>
        <v/>
      </c>
    </row>
    <row r="959" customFormat="false" ht="15" hidden="false" customHeight="false" outlineLevel="0" collapsed="false">
      <c r="A959" s="55"/>
      <c r="B959" s="56"/>
      <c r="C959" s="56"/>
      <c r="D959" s="56"/>
      <c r="E959" s="57"/>
      <c r="F959" s="58"/>
      <c r="G959" s="59"/>
      <c r="H959" s="56"/>
      <c r="I959" s="60" t="str">
        <f aca="false">IF(IsPro,IF($D959="","",IFERROR(INDEX(Items!$D$5:$D$504,Q959),"")),IF($D959="","","PRO PLAN"))</f>
        <v/>
      </c>
      <c r="J959" s="61" t="str">
        <f aca="false">IF(IsPro,IF($D959="","",IF($F959="",IFERROR(INDEX(Items!$G$5:$G$504,Q959),0),$F959)),"")</f>
        <v/>
      </c>
      <c r="K959" s="61" t="str">
        <f aca="false">IF(IsPro,IF($D959="","",ROUND(N($E959)*J959*(1-N($G959)),2)),"")</f>
        <v/>
      </c>
      <c r="L959" s="62" t="str">
        <f aca="false">IF(IsPro,IF($D959="","",IFERROR(INDEX(Items!$F$5:$F$504,Q959),0)),"")</f>
        <v/>
      </c>
      <c r="M959" s="61" t="str">
        <f aca="false">IF(IsPro,IF($D959="","",IF(AND(R959&lt;&gt;"",INDEX(Parties!$E$5:$E$304,R959)&lt;&gt;"",INDEX(Parties!$E$5:$E$304,R959)&lt;&gt;HomeState),0,ROUND(K959*L959/2,2))),"")</f>
        <v/>
      </c>
      <c r="N959" s="61" t="str">
        <f aca="false">IF(IsPro,IF($D959="","",M959),"")</f>
        <v/>
      </c>
      <c r="O959" s="61" t="str">
        <f aca="false">IF(IsPro,IF($D959="","",IF(AND(R959&lt;&gt;"",INDEX(Parties!$E$5:$E$304,R959)&lt;&gt;"",INDEX(Parties!$E$5:$E$304,R959)&lt;&gt;HomeState),ROUND(K959*L959,2),0)),"")</f>
        <v/>
      </c>
      <c r="P959" s="61" t="str">
        <f aca="false">IF(IsPro,IF($D959="","",K959+M959+N959+O959),"")</f>
        <v/>
      </c>
      <c r="Q959" s="60" t="str">
        <f aca="false">IF(IsPro,IF($D959="","",IFERROR(MATCH($D959,Items!$A$5:$A$504,0),"")),"")</f>
        <v/>
      </c>
      <c r="R959" s="60" t="str">
        <f aca="false">IF(IsPro,IF($C959="","",IFERROR(MATCH($C959,Parties!$A$5:$A$304,0),"")),"")</f>
        <v/>
      </c>
      <c r="S959" s="61" t="str">
        <f aca="false">IF(IsPro,IF($D959="","",IF(OR($H959="",$H959="Credit"),0,P959)),"")</f>
        <v/>
      </c>
    </row>
    <row r="960" customFormat="false" ht="15" hidden="false" customHeight="false" outlineLevel="0" collapsed="false">
      <c r="A960" s="55"/>
      <c r="B960" s="56"/>
      <c r="C960" s="56"/>
      <c r="D960" s="56"/>
      <c r="E960" s="57"/>
      <c r="F960" s="58"/>
      <c r="G960" s="59"/>
      <c r="H960" s="56"/>
      <c r="I960" s="60" t="str">
        <f aca="false">IF(IsPro,IF($D960="","",IFERROR(INDEX(Items!$D$5:$D$504,Q960),"")),IF($D960="","","PRO PLAN"))</f>
        <v/>
      </c>
      <c r="J960" s="61" t="str">
        <f aca="false">IF(IsPro,IF($D960="","",IF($F960="",IFERROR(INDEX(Items!$G$5:$G$504,Q960),0),$F960)),"")</f>
        <v/>
      </c>
      <c r="K960" s="61" t="str">
        <f aca="false">IF(IsPro,IF($D960="","",ROUND(N($E960)*J960*(1-N($G960)),2)),"")</f>
        <v/>
      </c>
      <c r="L960" s="62" t="str">
        <f aca="false">IF(IsPro,IF($D960="","",IFERROR(INDEX(Items!$F$5:$F$504,Q960),0)),"")</f>
        <v/>
      </c>
      <c r="M960" s="61" t="str">
        <f aca="false">IF(IsPro,IF($D960="","",IF(AND(R960&lt;&gt;"",INDEX(Parties!$E$5:$E$304,R960)&lt;&gt;"",INDEX(Parties!$E$5:$E$304,R960)&lt;&gt;HomeState),0,ROUND(K960*L960/2,2))),"")</f>
        <v/>
      </c>
      <c r="N960" s="61" t="str">
        <f aca="false">IF(IsPro,IF($D960="","",M960),"")</f>
        <v/>
      </c>
      <c r="O960" s="61" t="str">
        <f aca="false">IF(IsPro,IF($D960="","",IF(AND(R960&lt;&gt;"",INDEX(Parties!$E$5:$E$304,R960)&lt;&gt;"",INDEX(Parties!$E$5:$E$304,R960)&lt;&gt;HomeState),ROUND(K960*L960,2),0)),"")</f>
        <v/>
      </c>
      <c r="P960" s="61" t="str">
        <f aca="false">IF(IsPro,IF($D960="","",K960+M960+N960+O960),"")</f>
        <v/>
      </c>
      <c r="Q960" s="60" t="str">
        <f aca="false">IF(IsPro,IF($D960="","",IFERROR(MATCH($D960,Items!$A$5:$A$504,0),"")),"")</f>
        <v/>
      </c>
      <c r="R960" s="60" t="str">
        <f aca="false">IF(IsPro,IF($C960="","",IFERROR(MATCH($C960,Parties!$A$5:$A$304,0),"")),"")</f>
        <v/>
      </c>
      <c r="S960" s="61" t="str">
        <f aca="false">IF(IsPro,IF($D960="","",IF(OR($H960="",$H960="Credit"),0,P960)),"")</f>
        <v/>
      </c>
    </row>
    <row r="961" customFormat="false" ht="15" hidden="false" customHeight="false" outlineLevel="0" collapsed="false">
      <c r="A961" s="55"/>
      <c r="B961" s="56"/>
      <c r="C961" s="56"/>
      <c r="D961" s="56"/>
      <c r="E961" s="57"/>
      <c r="F961" s="58"/>
      <c r="G961" s="59"/>
      <c r="H961" s="56"/>
      <c r="I961" s="60" t="str">
        <f aca="false">IF(IsPro,IF($D961="","",IFERROR(INDEX(Items!$D$5:$D$504,Q961),"")),IF($D961="","","PRO PLAN"))</f>
        <v/>
      </c>
      <c r="J961" s="61" t="str">
        <f aca="false">IF(IsPro,IF($D961="","",IF($F961="",IFERROR(INDEX(Items!$G$5:$G$504,Q961),0),$F961)),"")</f>
        <v/>
      </c>
      <c r="K961" s="61" t="str">
        <f aca="false">IF(IsPro,IF($D961="","",ROUND(N($E961)*J961*(1-N($G961)),2)),"")</f>
        <v/>
      </c>
      <c r="L961" s="62" t="str">
        <f aca="false">IF(IsPro,IF($D961="","",IFERROR(INDEX(Items!$F$5:$F$504,Q961),0)),"")</f>
        <v/>
      </c>
      <c r="M961" s="61" t="str">
        <f aca="false">IF(IsPro,IF($D961="","",IF(AND(R961&lt;&gt;"",INDEX(Parties!$E$5:$E$304,R961)&lt;&gt;"",INDEX(Parties!$E$5:$E$304,R961)&lt;&gt;HomeState),0,ROUND(K961*L961/2,2))),"")</f>
        <v/>
      </c>
      <c r="N961" s="61" t="str">
        <f aca="false">IF(IsPro,IF($D961="","",M961),"")</f>
        <v/>
      </c>
      <c r="O961" s="61" t="str">
        <f aca="false">IF(IsPro,IF($D961="","",IF(AND(R961&lt;&gt;"",INDEX(Parties!$E$5:$E$304,R961)&lt;&gt;"",INDEX(Parties!$E$5:$E$304,R961)&lt;&gt;HomeState),ROUND(K961*L961,2),0)),"")</f>
        <v/>
      </c>
      <c r="P961" s="61" t="str">
        <f aca="false">IF(IsPro,IF($D961="","",K961+M961+N961+O961),"")</f>
        <v/>
      </c>
      <c r="Q961" s="60" t="str">
        <f aca="false">IF(IsPro,IF($D961="","",IFERROR(MATCH($D961,Items!$A$5:$A$504,0),"")),"")</f>
        <v/>
      </c>
      <c r="R961" s="60" t="str">
        <f aca="false">IF(IsPro,IF($C961="","",IFERROR(MATCH($C961,Parties!$A$5:$A$304,0),"")),"")</f>
        <v/>
      </c>
      <c r="S961" s="61" t="str">
        <f aca="false">IF(IsPro,IF($D961="","",IF(OR($H961="",$H961="Credit"),0,P961)),"")</f>
        <v/>
      </c>
    </row>
    <row r="962" customFormat="false" ht="15" hidden="false" customHeight="false" outlineLevel="0" collapsed="false">
      <c r="A962" s="55"/>
      <c r="B962" s="56"/>
      <c r="C962" s="56"/>
      <c r="D962" s="56"/>
      <c r="E962" s="57"/>
      <c r="F962" s="58"/>
      <c r="G962" s="59"/>
      <c r="H962" s="56"/>
      <c r="I962" s="60" t="str">
        <f aca="false">IF(IsPro,IF($D962="","",IFERROR(INDEX(Items!$D$5:$D$504,Q962),"")),IF($D962="","","PRO PLAN"))</f>
        <v/>
      </c>
      <c r="J962" s="61" t="str">
        <f aca="false">IF(IsPro,IF($D962="","",IF($F962="",IFERROR(INDEX(Items!$G$5:$G$504,Q962),0),$F962)),"")</f>
        <v/>
      </c>
      <c r="K962" s="61" t="str">
        <f aca="false">IF(IsPro,IF($D962="","",ROUND(N($E962)*J962*(1-N($G962)),2)),"")</f>
        <v/>
      </c>
      <c r="L962" s="62" t="str">
        <f aca="false">IF(IsPro,IF($D962="","",IFERROR(INDEX(Items!$F$5:$F$504,Q962),0)),"")</f>
        <v/>
      </c>
      <c r="M962" s="61" t="str">
        <f aca="false">IF(IsPro,IF($D962="","",IF(AND(R962&lt;&gt;"",INDEX(Parties!$E$5:$E$304,R962)&lt;&gt;"",INDEX(Parties!$E$5:$E$304,R962)&lt;&gt;HomeState),0,ROUND(K962*L962/2,2))),"")</f>
        <v/>
      </c>
      <c r="N962" s="61" t="str">
        <f aca="false">IF(IsPro,IF($D962="","",M962),"")</f>
        <v/>
      </c>
      <c r="O962" s="61" t="str">
        <f aca="false">IF(IsPro,IF($D962="","",IF(AND(R962&lt;&gt;"",INDEX(Parties!$E$5:$E$304,R962)&lt;&gt;"",INDEX(Parties!$E$5:$E$304,R962)&lt;&gt;HomeState),ROUND(K962*L962,2),0)),"")</f>
        <v/>
      </c>
      <c r="P962" s="61" t="str">
        <f aca="false">IF(IsPro,IF($D962="","",K962+M962+N962+O962),"")</f>
        <v/>
      </c>
      <c r="Q962" s="60" t="str">
        <f aca="false">IF(IsPro,IF($D962="","",IFERROR(MATCH($D962,Items!$A$5:$A$504,0),"")),"")</f>
        <v/>
      </c>
      <c r="R962" s="60" t="str">
        <f aca="false">IF(IsPro,IF($C962="","",IFERROR(MATCH($C962,Parties!$A$5:$A$304,0),"")),"")</f>
        <v/>
      </c>
      <c r="S962" s="61" t="str">
        <f aca="false">IF(IsPro,IF($D962="","",IF(OR($H962="",$H962="Credit"),0,P962)),"")</f>
        <v/>
      </c>
    </row>
    <row r="963" customFormat="false" ht="15" hidden="false" customHeight="false" outlineLevel="0" collapsed="false">
      <c r="A963" s="55"/>
      <c r="B963" s="56"/>
      <c r="C963" s="56"/>
      <c r="D963" s="56"/>
      <c r="E963" s="57"/>
      <c r="F963" s="58"/>
      <c r="G963" s="59"/>
      <c r="H963" s="56"/>
      <c r="I963" s="60" t="str">
        <f aca="false">IF(IsPro,IF($D963="","",IFERROR(INDEX(Items!$D$5:$D$504,Q963),"")),IF($D963="","","PRO PLAN"))</f>
        <v/>
      </c>
      <c r="J963" s="61" t="str">
        <f aca="false">IF(IsPro,IF($D963="","",IF($F963="",IFERROR(INDEX(Items!$G$5:$G$504,Q963),0),$F963)),"")</f>
        <v/>
      </c>
      <c r="K963" s="61" t="str">
        <f aca="false">IF(IsPro,IF($D963="","",ROUND(N($E963)*J963*(1-N($G963)),2)),"")</f>
        <v/>
      </c>
      <c r="L963" s="62" t="str">
        <f aca="false">IF(IsPro,IF($D963="","",IFERROR(INDEX(Items!$F$5:$F$504,Q963),0)),"")</f>
        <v/>
      </c>
      <c r="M963" s="61" t="str">
        <f aca="false">IF(IsPro,IF($D963="","",IF(AND(R963&lt;&gt;"",INDEX(Parties!$E$5:$E$304,R963)&lt;&gt;"",INDEX(Parties!$E$5:$E$304,R963)&lt;&gt;HomeState),0,ROUND(K963*L963/2,2))),"")</f>
        <v/>
      </c>
      <c r="N963" s="61" t="str">
        <f aca="false">IF(IsPro,IF($D963="","",M963),"")</f>
        <v/>
      </c>
      <c r="O963" s="61" t="str">
        <f aca="false">IF(IsPro,IF($D963="","",IF(AND(R963&lt;&gt;"",INDEX(Parties!$E$5:$E$304,R963)&lt;&gt;"",INDEX(Parties!$E$5:$E$304,R963)&lt;&gt;HomeState),ROUND(K963*L963,2),0)),"")</f>
        <v/>
      </c>
      <c r="P963" s="61" t="str">
        <f aca="false">IF(IsPro,IF($D963="","",K963+M963+N963+O963),"")</f>
        <v/>
      </c>
      <c r="Q963" s="60" t="str">
        <f aca="false">IF(IsPro,IF($D963="","",IFERROR(MATCH($D963,Items!$A$5:$A$504,0),"")),"")</f>
        <v/>
      </c>
      <c r="R963" s="60" t="str">
        <f aca="false">IF(IsPro,IF($C963="","",IFERROR(MATCH($C963,Parties!$A$5:$A$304,0),"")),"")</f>
        <v/>
      </c>
      <c r="S963" s="61" t="str">
        <f aca="false">IF(IsPro,IF($D963="","",IF(OR($H963="",$H963="Credit"),0,P963)),"")</f>
        <v/>
      </c>
    </row>
    <row r="964" customFormat="false" ht="15" hidden="false" customHeight="false" outlineLevel="0" collapsed="false">
      <c r="A964" s="55"/>
      <c r="B964" s="56"/>
      <c r="C964" s="56"/>
      <c r="D964" s="56"/>
      <c r="E964" s="57"/>
      <c r="F964" s="58"/>
      <c r="G964" s="59"/>
      <c r="H964" s="56"/>
      <c r="I964" s="60" t="str">
        <f aca="false">IF(IsPro,IF($D964="","",IFERROR(INDEX(Items!$D$5:$D$504,Q964),"")),IF($D964="","","PRO PLAN"))</f>
        <v/>
      </c>
      <c r="J964" s="61" t="str">
        <f aca="false">IF(IsPro,IF($D964="","",IF($F964="",IFERROR(INDEX(Items!$G$5:$G$504,Q964),0),$F964)),"")</f>
        <v/>
      </c>
      <c r="K964" s="61" t="str">
        <f aca="false">IF(IsPro,IF($D964="","",ROUND(N($E964)*J964*(1-N($G964)),2)),"")</f>
        <v/>
      </c>
      <c r="L964" s="62" t="str">
        <f aca="false">IF(IsPro,IF($D964="","",IFERROR(INDEX(Items!$F$5:$F$504,Q964),0)),"")</f>
        <v/>
      </c>
      <c r="M964" s="61" t="str">
        <f aca="false">IF(IsPro,IF($D964="","",IF(AND(R964&lt;&gt;"",INDEX(Parties!$E$5:$E$304,R964)&lt;&gt;"",INDEX(Parties!$E$5:$E$304,R964)&lt;&gt;HomeState),0,ROUND(K964*L964/2,2))),"")</f>
        <v/>
      </c>
      <c r="N964" s="61" t="str">
        <f aca="false">IF(IsPro,IF($D964="","",M964),"")</f>
        <v/>
      </c>
      <c r="O964" s="61" t="str">
        <f aca="false">IF(IsPro,IF($D964="","",IF(AND(R964&lt;&gt;"",INDEX(Parties!$E$5:$E$304,R964)&lt;&gt;"",INDEX(Parties!$E$5:$E$304,R964)&lt;&gt;HomeState),ROUND(K964*L964,2),0)),"")</f>
        <v/>
      </c>
      <c r="P964" s="61" t="str">
        <f aca="false">IF(IsPro,IF($D964="","",K964+M964+N964+O964),"")</f>
        <v/>
      </c>
      <c r="Q964" s="60" t="str">
        <f aca="false">IF(IsPro,IF($D964="","",IFERROR(MATCH($D964,Items!$A$5:$A$504,0),"")),"")</f>
        <v/>
      </c>
      <c r="R964" s="60" t="str">
        <f aca="false">IF(IsPro,IF($C964="","",IFERROR(MATCH($C964,Parties!$A$5:$A$304,0),"")),"")</f>
        <v/>
      </c>
      <c r="S964" s="61" t="str">
        <f aca="false">IF(IsPro,IF($D964="","",IF(OR($H964="",$H964="Credit"),0,P964)),"")</f>
        <v/>
      </c>
    </row>
    <row r="965" customFormat="false" ht="15" hidden="false" customHeight="false" outlineLevel="0" collapsed="false">
      <c r="A965" s="55"/>
      <c r="B965" s="56"/>
      <c r="C965" s="56"/>
      <c r="D965" s="56"/>
      <c r="E965" s="57"/>
      <c r="F965" s="58"/>
      <c r="G965" s="59"/>
      <c r="H965" s="56"/>
      <c r="I965" s="60" t="str">
        <f aca="false">IF(IsPro,IF($D965="","",IFERROR(INDEX(Items!$D$5:$D$504,Q965),"")),IF($D965="","","PRO PLAN"))</f>
        <v/>
      </c>
      <c r="J965" s="61" t="str">
        <f aca="false">IF(IsPro,IF($D965="","",IF($F965="",IFERROR(INDEX(Items!$G$5:$G$504,Q965),0),$F965)),"")</f>
        <v/>
      </c>
      <c r="K965" s="61" t="str">
        <f aca="false">IF(IsPro,IF($D965="","",ROUND(N($E965)*J965*(1-N($G965)),2)),"")</f>
        <v/>
      </c>
      <c r="L965" s="62" t="str">
        <f aca="false">IF(IsPro,IF($D965="","",IFERROR(INDEX(Items!$F$5:$F$504,Q965),0)),"")</f>
        <v/>
      </c>
      <c r="M965" s="61" t="str">
        <f aca="false">IF(IsPro,IF($D965="","",IF(AND(R965&lt;&gt;"",INDEX(Parties!$E$5:$E$304,R965)&lt;&gt;"",INDEX(Parties!$E$5:$E$304,R965)&lt;&gt;HomeState),0,ROUND(K965*L965/2,2))),"")</f>
        <v/>
      </c>
      <c r="N965" s="61" t="str">
        <f aca="false">IF(IsPro,IF($D965="","",M965),"")</f>
        <v/>
      </c>
      <c r="O965" s="61" t="str">
        <f aca="false">IF(IsPro,IF($D965="","",IF(AND(R965&lt;&gt;"",INDEX(Parties!$E$5:$E$304,R965)&lt;&gt;"",INDEX(Parties!$E$5:$E$304,R965)&lt;&gt;HomeState),ROUND(K965*L965,2),0)),"")</f>
        <v/>
      </c>
      <c r="P965" s="61" t="str">
        <f aca="false">IF(IsPro,IF($D965="","",K965+M965+N965+O965),"")</f>
        <v/>
      </c>
      <c r="Q965" s="60" t="str">
        <f aca="false">IF(IsPro,IF($D965="","",IFERROR(MATCH($D965,Items!$A$5:$A$504,0),"")),"")</f>
        <v/>
      </c>
      <c r="R965" s="60" t="str">
        <f aca="false">IF(IsPro,IF($C965="","",IFERROR(MATCH($C965,Parties!$A$5:$A$304,0),"")),"")</f>
        <v/>
      </c>
      <c r="S965" s="61" t="str">
        <f aca="false">IF(IsPro,IF($D965="","",IF(OR($H965="",$H965="Credit"),0,P965)),"")</f>
        <v/>
      </c>
    </row>
    <row r="966" customFormat="false" ht="15" hidden="false" customHeight="false" outlineLevel="0" collapsed="false">
      <c r="A966" s="55"/>
      <c r="B966" s="56"/>
      <c r="C966" s="56"/>
      <c r="D966" s="56"/>
      <c r="E966" s="57"/>
      <c r="F966" s="58"/>
      <c r="G966" s="59"/>
      <c r="H966" s="56"/>
      <c r="I966" s="60" t="str">
        <f aca="false">IF(IsPro,IF($D966="","",IFERROR(INDEX(Items!$D$5:$D$504,Q966),"")),IF($D966="","","PRO PLAN"))</f>
        <v/>
      </c>
      <c r="J966" s="61" t="str">
        <f aca="false">IF(IsPro,IF($D966="","",IF($F966="",IFERROR(INDEX(Items!$G$5:$G$504,Q966),0),$F966)),"")</f>
        <v/>
      </c>
      <c r="K966" s="61" t="str">
        <f aca="false">IF(IsPro,IF($D966="","",ROUND(N($E966)*J966*(1-N($G966)),2)),"")</f>
        <v/>
      </c>
      <c r="L966" s="62" t="str">
        <f aca="false">IF(IsPro,IF($D966="","",IFERROR(INDEX(Items!$F$5:$F$504,Q966),0)),"")</f>
        <v/>
      </c>
      <c r="M966" s="61" t="str">
        <f aca="false">IF(IsPro,IF($D966="","",IF(AND(R966&lt;&gt;"",INDEX(Parties!$E$5:$E$304,R966)&lt;&gt;"",INDEX(Parties!$E$5:$E$304,R966)&lt;&gt;HomeState),0,ROUND(K966*L966/2,2))),"")</f>
        <v/>
      </c>
      <c r="N966" s="61" t="str">
        <f aca="false">IF(IsPro,IF($D966="","",M966),"")</f>
        <v/>
      </c>
      <c r="O966" s="61" t="str">
        <f aca="false">IF(IsPro,IF($D966="","",IF(AND(R966&lt;&gt;"",INDEX(Parties!$E$5:$E$304,R966)&lt;&gt;"",INDEX(Parties!$E$5:$E$304,R966)&lt;&gt;HomeState),ROUND(K966*L966,2),0)),"")</f>
        <v/>
      </c>
      <c r="P966" s="61" t="str">
        <f aca="false">IF(IsPro,IF($D966="","",K966+M966+N966+O966),"")</f>
        <v/>
      </c>
      <c r="Q966" s="60" t="str">
        <f aca="false">IF(IsPro,IF($D966="","",IFERROR(MATCH($D966,Items!$A$5:$A$504,0),"")),"")</f>
        <v/>
      </c>
      <c r="R966" s="60" t="str">
        <f aca="false">IF(IsPro,IF($C966="","",IFERROR(MATCH($C966,Parties!$A$5:$A$304,0),"")),"")</f>
        <v/>
      </c>
      <c r="S966" s="61" t="str">
        <f aca="false">IF(IsPro,IF($D966="","",IF(OR($H966="",$H966="Credit"),0,P966)),"")</f>
        <v/>
      </c>
    </row>
    <row r="967" customFormat="false" ht="15" hidden="false" customHeight="false" outlineLevel="0" collapsed="false">
      <c r="A967" s="55"/>
      <c r="B967" s="56"/>
      <c r="C967" s="56"/>
      <c r="D967" s="56"/>
      <c r="E967" s="57"/>
      <c r="F967" s="58"/>
      <c r="G967" s="59"/>
      <c r="H967" s="56"/>
      <c r="I967" s="60" t="str">
        <f aca="false">IF(IsPro,IF($D967="","",IFERROR(INDEX(Items!$D$5:$D$504,Q967),"")),IF($D967="","","PRO PLAN"))</f>
        <v/>
      </c>
      <c r="J967" s="61" t="str">
        <f aca="false">IF(IsPro,IF($D967="","",IF($F967="",IFERROR(INDEX(Items!$G$5:$G$504,Q967),0),$F967)),"")</f>
        <v/>
      </c>
      <c r="K967" s="61" t="str">
        <f aca="false">IF(IsPro,IF($D967="","",ROUND(N($E967)*J967*(1-N($G967)),2)),"")</f>
        <v/>
      </c>
      <c r="L967" s="62" t="str">
        <f aca="false">IF(IsPro,IF($D967="","",IFERROR(INDEX(Items!$F$5:$F$504,Q967),0)),"")</f>
        <v/>
      </c>
      <c r="M967" s="61" t="str">
        <f aca="false">IF(IsPro,IF($D967="","",IF(AND(R967&lt;&gt;"",INDEX(Parties!$E$5:$E$304,R967)&lt;&gt;"",INDEX(Parties!$E$5:$E$304,R967)&lt;&gt;HomeState),0,ROUND(K967*L967/2,2))),"")</f>
        <v/>
      </c>
      <c r="N967" s="61" t="str">
        <f aca="false">IF(IsPro,IF($D967="","",M967),"")</f>
        <v/>
      </c>
      <c r="O967" s="61" t="str">
        <f aca="false">IF(IsPro,IF($D967="","",IF(AND(R967&lt;&gt;"",INDEX(Parties!$E$5:$E$304,R967)&lt;&gt;"",INDEX(Parties!$E$5:$E$304,R967)&lt;&gt;HomeState),ROUND(K967*L967,2),0)),"")</f>
        <v/>
      </c>
      <c r="P967" s="61" t="str">
        <f aca="false">IF(IsPro,IF($D967="","",K967+M967+N967+O967),"")</f>
        <v/>
      </c>
      <c r="Q967" s="60" t="str">
        <f aca="false">IF(IsPro,IF($D967="","",IFERROR(MATCH($D967,Items!$A$5:$A$504,0),"")),"")</f>
        <v/>
      </c>
      <c r="R967" s="60" t="str">
        <f aca="false">IF(IsPro,IF($C967="","",IFERROR(MATCH($C967,Parties!$A$5:$A$304,0),"")),"")</f>
        <v/>
      </c>
      <c r="S967" s="61" t="str">
        <f aca="false">IF(IsPro,IF($D967="","",IF(OR($H967="",$H967="Credit"),0,P967)),"")</f>
        <v/>
      </c>
    </row>
    <row r="968" customFormat="false" ht="15" hidden="false" customHeight="false" outlineLevel="0" collapsed="false">
      <c r="A968" s="55"/>
      <c r="B968" s="56"/>
      <c r="C968" s="56"/>
      <c r="D968" s="56"/>
      <c r="E968" s="57"/>
      <c r="F968" s="58"/>
      <c r="G968" s="59"/>
      <c r="H968" s="56"/>
      <c r="I968" s="60" t="str">
        <f aca="false">IF(IsPro,IF($D968="","",IFERROR(INDEX(Items!$D$5:$D$504,Q968),"")),IF($D968="","","PRO PLAN"))</f>
        <v/>
      </c>
      <c r="J968" s="61" t="str">
        <f aca="false">IF(IsPro,IF($D968="","",IF($F968="",IFERROR(INDEX(Items!$G$5:$G$504,Q968),0),$F968)),"")</f>
        <v/>
      </c>
      <c r="K968" s="61" t="str">
        <f aca="false">IF(IsPro,IF($D968="","",ROUND(N($E968)*J968*(1-N($G968)),2)),"")</f>
        <v/>
      </c>
      <c r="L968" s="62" t="str">
        <f aca="false">IF(IsPro,IF($D968="","",IFERROR(INDEX(Items!$F$5:$F$504,Q968),0)),"")</f>
        <v/>
      </c>
      <c r="M968" s="61" t="str">
        <f aca="false">IF(IsPro,IF($D968="","",IF(AND(R968&lt;&gt;"",INDEX(Parties!$E$5:$E$304,R968)&lt;&gt;"",INDEX(Parties!$E$5:$E$304,R968)&lt;&gt;HomeState),0,ROUND(K968*L968/2,2))),"")</f>
        <v/>
      </c>
      <c r="N968" s="61" t="str">
        <f aca="false">IF(IsPro,IF($D968="","",M968),"")</f>
        <v/>
      </c>
      <c r="O968" s="61" t="str">
        <f aca="false">IF(IsPro,IF($D968="","",IF(AND(R968&lt;&gt;"",INDEX(Parties!$E$5:$E$304,R968)&lt;&gt;"",INDEX(Parties!$E$5:$E$304,R968)&lt;&gt;HomeState),ROUND(K968*L968,2),0)),"")</f>
        <v/>
      </c>
      <c r="P968" s="61" t="str">
        <f aca="false">IF(IsPro,IF($D968="","",K968+M968+N968+O968),"")</f>
        <v/>
      </c>
      <c r="Q968" s="60" t="str">
        <f aca="false">IF(IsPro,IF($D968="","",IFERROR(MATCH($D968,Items!$A$5:$A$504,0),"")),"")</f>
        <v/>
      </c>
      <c r="R968" s="60" t="str">
        <f aca="false">IF(IsPro,IF($C968="","",IFERROR(MATCH($C968,Parties!$A$5:$A$304,0),"")),"")</f>
        <v/>
      </c>
      <c r="S968" s="61" t="str">
        <f aca="false">IF(IsPro,IF($D968="","",IF(OR($H968="",$H968="Credit"),0,P968)),"")</f>
        <v/>
      </c>
    </row>
    <row r="969" customFormat="false" ht="15" hidden="false" customHeight="false" outlineLevel="0" collapsed="false">
      <c r="A969" s="55"/>
      <c r="B969" s="56"/>
      <c r="C969" s="56"/>
      <c r="D969" s="56"/>
      <c r="E969" s="57"/>
      <c r="F969" s="58"/>
      <c r="G969" s="59"/>
      <c r="H969" s="56"/>
      <c r="I969" s="60" t="str">
        <f aca="false">IF(IsPro,IF($D969="","",IFERROR(INDEX(Items!$D$5:$D$504,Q969),"")),IF($D969="","","PRO PLAN"))</f>
        <v/>
      </c>
      <c r="J969" s="61" t="str">
        <f aca="false">IF(IsPro,IF($D969="","",IF($F969="",IFERROR(INDEX(Items!$G$5:$G$504,Q969),0),$F969)),"")</f>
        <v/>
      </c>
      <c r="K969" s="61" t="str">
        <f aca="false">IF(IsPro,IF($D969="","",ROUND(N($E969)*J969*(1-N($G969)),2)),"")</f>
        <v/>
      </c>
      <c r="L969" s="62" t="str">
        <f aca="false">IF(IsPro,IF($D969="","",IFERROR(INDEX(Items!$F$5:$F$504,Q969),0)),"")</f>
        <v/>
      </c>
      <c r="M969" s="61" t="str">
        <f aca="false">IF(IsPro,IF($D969="","",IF(AND(R969&lt;&gt;"",INDEX(Parties!$E$5:$E$304,R969)&lt;&gt;"",INDEX(Parties!$E$5:$E$304,R969)&lt;&gt;HomeState),0,ROUND(K969*L969/2,2))),"")</f>
        <v/>
      </c>
      <c r="N969" s="61" t="str">
        <f aca="false">IF(IsPro,IF($D969="","",M969),"")</f>
        <v/>
      </c>
      <c r="O969" s="61" t="str">
        <f aca="false">IF(IsPro,IF($D969="","",IF(AND(R969&lt;&gt;"",INDEX(Parties!$E$5:$E$304,R969)&lt;&gt;"",INDEX(Parties!$E$5:$E$304,R969)&lt;&gt;HomeState),ROUND(K969*L969,2),0)),"")</f>
        <v/>
      </c>
      <c r="P969" s="61" t="str">
        <f aca="false">IF(IsPro,IF($D969="","",K969+M969+N969+O969),"")</f>
        <v/>
      </c>
      <c r="Q969" s="60" t="str">
        <f aca="false">IF(IsPro,IF($D969="","",IFERROR(MATCH($D969,Items!$A$5:$A$504,0),"")),"")</f>
        <v/>
      </c>
      <c r="R969" s="60" t="str">
        <f aca="false">IF(IsPro,IF($C969="","",IFERROR(MATCH($C969,Parties!$A$5:$A$304,0),"")),"")</f>
        <v/>
      </c>
      <c r="S969" s="61" t="str">
        <f aca="false">IF(IsPro,IF($D969="","",IF(OR($H969="",$H969="Credit"),0,P969)),"")</f>
        <v/>
      </c>
    </row>
    <row r="970" customFormat="false" ht="15" hidden="false" customHeight="false" outlineLevel="0" collapsed="false">
      <c r="A970" s="55"/>
      <c r="B970" s="56"/>
      <c r="C970" s="56"/>
      <c r="D970" s="56"/>
      <c r="E970" s="57"/>
      <c r="F970" s="58"/>
      <c r="G970" s="59"/>
      <c r="H970" s="56"/>
      <c r="I970" s="60" t="str">
        <f aca="false">IF(IsPro,IF($D970="","",IFERROR(INDEX(Items!$D$5:$D$504,Q970),"")),IF($D970="","","PRO PLAN"))</f>
        <v/>
      </c>
      <c r="J970" s="61" t="str">
        <f aca="false">IF(IsPro,IF($D970="","",IF($F970="",IFERROR(INDEX(Items!$G$5:$G$504,Q970),0),$F970)),"")</f>
        <v/>
      </c>
      <c r="K970" s="61" t="str">
        <f aca="false">IF(IsPro,IF($D970="","",ROUND(N($E970)*J970*(1-N($G970)),2)),"")</f>
        <v/>
      </c>
      <c r="L970" s="62" t="str">
        <f aca="false">IF(IsPro,IF($D970="","",IFERROR(INDEX(Items!$F$5:$F$504,Q970),0)),"")</f>
        <v/>
      </c>
      <c r="M970" s="61" t="str">
        <f aca="false">IF(IsPro,IF($D970="","",IF(AND(R970&lt;&gt;"",INDEX(Parties!$E$5:$E$304,R970)&lt;&gt;"",INDEX(Parties!$E$5:$E$304,R970)&lt;&gt;HomeState),0,ROUND(K970*L970/2,2))),"")</f>
        <v/>
      </c>
      <c r="N970" s="61" t="str">
        <f aca="false">IF(IsPro,IF($D970="","",M970),"")</f>
        <v/>
      </c>
      <c r="O970" s="61" t="str">
        <f aca="false">IF(IsPro,IF($D970="","",IF(AND(R970&lt;&gt;"",INDEX(Parties!$E$5:$E$304,R970)&lt;&gt;"",INDEX(Parties!$E$5:$E$304,R970)&lt;&gt;HomeState),ROUND(K970*L970,2),0)),"")</f>
        <v/>
      </c>
      <c r="P970" s="61" t="str">
        <f aca="false">IF(IsPro,IF($D970="","",K970+M970+N970+O970),"")</f>
        <v/>
      </c>
      <c r="Q970" s="60" t="str">
        <f aca="false">IF(IsPro,IF($D970="","",IFERROR(MATCH($D970,Items!$A$5:$A$504,0),"")),"")</f>
        <v/>
      </c>
      <c r="R970" s="60" t="str">
        <f aca="false">IF(IsPro,IF($C970="","",IFERROR(MATCH($C970,Parties!$A$5:$A$304,0),"")),"")</f>
        <v/>
      </c>
      <c r="S970" s="61" t="str">
        <f aca="false">IF(IsPro,IF($D970="","",IF(OR($H970="",$H970="Credit"),0,P970)),"")</f>
        <v/>
      </c>
    </row>
    <row r="971" customFormat="false" ht="15" hidden="false" customHeight="false" outlineLevel="0" collapsed="false">
      <c r="A971" s="55"/>
      <c r="B971" s="56"/>
      <c r="C971" s="56"/>
      <c r="D971" s="56"/>
      <c r="E971" s="57"/>
      <c r="F971" s="58"/>
      <c r="G971" s="59"/>
      <c r="H971" s="56"/>
      <c r="I971" s="60" t="str">
        <f aca="false">IF(IsPro,IF($D971="","",IFERROR(INDEX(Items!$D$5:$D$504,Q971),"")),IF($D971="","","PRO PLAN"))</f>
        <v/>
      </c>
      <c r="J971" s="61" t="str">
        <f aca="false">IF(IsPro,IF($D971="","",IF($F971="",IFERROR(INDEX(Items!$G$5:$G$504,Q971),0),$F971)),"")</f>
        <v/>
      </c>
      <c r="K971" s="61" t="str">
        <f aca="false">IF(IsPro,IF($D971="","",ROUND(N($E971)*J971*(1-N($G971)),2)),"")</f>
        <v/>
      </c>
      <c r="L971" s="62" t="str">
        <f aca="false">IF(IsPro,IF($D971="","",IFERROR(INDEX(Items!$F$5:$F$504,Q971),0)),"")</f>
        <v/>
      </c>
      <c r="M971" s="61" t="str">
        <f aca="false">IF(IsPro,IF($D971="","",IF(AND(R971&lt;&gt;"",INDEX(Parties!$E$5:$E$304,R971)&lt;&gt;"",INDEX(Parties!$E$5:$E$304,R971)&lt;&gt;HomeState),0,ROUND(K971*L971/2,2))),"")</f>
        <v/>
      </c>
      <c r="N971" s="61" t="str">
        <f aca="false">IF(IsPro,IF($D971="","",M971),"")</f>
        <v/>
      </c>
      <c r="O971" s="61" t="str">
        <f aca="false">IF(IsPro,IF($D971="","",IF(AND(R971&lt;&gt;"",INDEX(Parties!$E$5:$E$304,R971)&lt;&gt;"",INDEX(Parties!$E$5:$E$304,R971)&lt;&gt;HomeState),ROUND(K971*L971,2),0)),"")</f>
        <v/>
      </c>
      <c r="P971" s="61" t="str">
        <f aca="false">IF(IsPro,IF($D971="","",K971+M971+N971+O971),"")</f>
        <v/>
      </c>
      <c r="Q971" s="60" t="str">
        <f aca="false">IF(IsPro,IF($D971="","",IFERROR(MATCH($D971,Items!$A$5:$A$504,0),"")),"")</f>
        <v/>
      </c>
      <c r="R971" s="60" t="str">
        <f aca="false">IF(IsPro,IF($C971="","",IFERROR(MATCH($C971,Parties!$A$5:$A$304,0),"")),"")</f>
        <v/>
      </c>
      <c r="S971" s="61" t="str">
        <f aca="false">IF(IsPro,IF($D971="","",IF(OR($H971="",$H971="Credit"),0,P971)),"")</f>
        <v/>
      </c>
    </row>
    <row r="972" customFormat="false" ht="15" hidden="false" customHeight="false" outlineLevel="0" collapsed="false">
      <c r="A972" s="55"/>
      <c r="B972" s="56"/>
      <c r="C972" s="56"/>
      <c r="D972" s="56"/>
      <c r="E972" s="57"/>
      <c r="F972" s="58"/>
      <c r="G972" s="59"/>
      <c r="H972" s="56"/>
      <c r="I972" s="60" t="str">
        <f aca="false">IF(IsPro,IF($D972="","",IFERROR(INDEX(Items!$D$5:$D$504,Q972),"")),IF($D972="","","PRO PLAN"))</f>
        <v/>
      </c>
      <c r="J972" s="61" t="str">
        <f aca="false">IF(IsPro,IF($D972="","",IF($F972="",IFERROR(INDEX(Items!$G$5:$G$504,Q972),0),$F972)),"")</f>
        <v/>
      </c>
      <c r="K972" s="61" t="str">
        <f aca="false">IF(IsPro,IF($D972="","",ROUND(N($E972)*J972*(1-N($G972)),2)),"")</f>
        <v/>
      </c>
      <c r="L972" s="62" t="str">
        <f aca="false">IF(IsPro,IF($D972="","",IFERROR(INDEX(Items!$F$5:$F$504,Q972),0)),"")</f>
        <v/>
      </c>
      <c r="M972" s="61" t="str">
        <f aca="false">IF(IsPro,IF($D972="","",IF(AND(R972&lt;&gt;"",INDEX(Parties!$E$5:$E$304,R972)&lt;&gt;"",INDEX(Parties!$E$5:$E$304,R972)&lt;&gt;HomeState),0,ROUND(K972*L972/2,2))),"")</f>
        <v/>
      </c>
      <c r="N972" s="61" t="str">
        <f aca="false">IF(IsPro,IF($D972="","",M972),"")</f>
        <v/>
      </c>
      <c r="O972" s="61" t="str">
        <f aca="false">IF(IsPro,IF($D972="","",IF(AND(R972&lt;&gt;"",INDEX(Parties!$E$5:$E$304,R972)&lt;&gt;"",INDEX(Parties!$E$5:$E$304,R972)&lt;&gt;HomeState),ROUND(K972*L972,2),0)),"")</f>
        <v/>
      </c>
      <c r="P972" s="61" t="str">
        <f aca="false">IF(IsPro,IF($D972="","",K972+M972+N972+O972),"")</f>
        <v/>
      </c>
      <c r="Q972" s="60" t="str">
        <f aca="false">IF(IsPro,IF($D972="","",IFERROR(MATCH($D972,Items!$A$5:$A$504,0),"")),"")</f>
        <v/>
      </c>
      <c r="R972" s="60" t="str">
        <f aca="false">IF(IsPro,IF($C972="","",IFERROR(MATCH($C972,Parties!$A$5:$A$304,0),"")),"")</f>
        <v/>
      </c>
      <c r="S972" s="61" t="str">
        <f aca="false">IF(IsPro,IF($D972="","",IF(OR($H972="",$H972="Credit"),0,P972)),"")</f>
        <v/>
      </c>
    </row>
    <row r="973" customFormat="false" ht="15" hidden="false" customHeight="false" outlineLevel="0" collapsed="false">
      <c r="A973" s="55"/>
      <c r="B973" s="56"/>
      <c r="C973" s="56"/>
      <c r="D973" s="56"/>
      <c r="E973" s="57"/>
      <c r="F973" s="58"/>
      <c r="G973" s="59"/>
      <c r="H973" s="56"/>
      <c r="I973" s="60" t="str">
        <f aca="false">IF(IsPro,IF($D973="","",IFERROR(INDEX(Items!$D$5:$D$504,Q973),"")),IF($D973="","","PRO PLAN"))</f>
        <v/>
      </c>
      <c r="J973" s="61" t="str">
        <f aca="false">IF(IsPro,IF($D973="","",IF($F973="",IFERROR(INDEX(Items!$G$5:$G$504,Q973),0),$F973)),"")</f>
        <v/>
      </c>
      <c r="K973" s="61" t="str">
        <f aca="false">IF(IsPro,IF($D973="","",ROUND(N($E973)*J973*(1-N($G973)),2)),"")</f>
        <v/>
      </c>
      <c r="L973" s="62" t="str">
        <f aca="false">IF(IsPro,IF($D973="","",IFERROR(INDEX(Items!$F$5:$F$504,Q973),0)),"")</f>
        <v/>
      </c>
      <c r="M973" s="61" t="str">
        <f aca="false">IF(IsPro,IF($D973="","",IF(AND(R973&lt;&gt;"",INDEX(Parties!$E$5:$E$304,R973)&lt;&gt;"",INDEX(Parties!$E$5:$E$304,R973)&lt;&gt;HomeState),0,ROUND(K973*L973/2,2))),"")</f>
        <v/>
      </c>
      <c r="N973" s="61" t="str">
        <f aca="false">IF(IsPro,IF($D973="","",M973),"")</f>
        <v/>
      </c>
      <c r="O973" s="61" t="str">
        <f aca="false">IF(IsPro,IF($D973="","",IF(AND(R973&lt;&gt;"",INDEX(Parties!$E$5:$E$304,R973)&lt;&gt;"",INDEX(Parties!$E$5:$E$304,R973)&lt;&gt;HomeState),ROUND(K973*L973,2),0)),"")</f>
        <v/>
      </c>
      <c r="P973" s="61" t="str">
        <f aca="false">IF(IsPro,IF($D973="","",K973+M973+N973+O973),"")</f>
        <v/>
      </c>
      <c r="Q973" s="60" t="str">
        <f aca="false">IF(IsPro,IF($D973="","",IFERROR(MATCH($D973,Items!$A$5:$A$504,0),"")),"")</f>
        <v/>
      </c>
      <c r="R973" s="60" t="str">
        <f aca="false">IF(IsPro,IF($C973="","",IFERROR(MATCH($C973,Parties!$A$5:$A$304,0),"")),"")</f>
        <v/>
      </c>
      <c r="S973" s="61" t="str">
        <f aca="false">IF(IsPro,IF($D973="","",IF(OR($H973="",$H973="Credit"),0,P973)),"")</f>
        <v/>
      </c>
    </row>
    <row r="974" customFormat="false" ht="15" hidden="false" customHeight="false" outlineLevel="0" collapsed="false">
      <c r="A974" s="55"/>
      <c r="B974" s="56"/>
      <c r="C974" s="56"/>
      <c r="D974" s="56"/>
      <c r="E974" s="57"/>
      <c r="F974" s="58"/>
      <c r="G974" s="59"/>
      <c r="H974" s="56"/>
      <c r="I974" s="60" t="str">
        <f aca="false">IF(IsPro,IF($D974="","",IFERROR(INDEX(Items!$D$5:$D$504,Q974),"")),IF($D974="","","PRO PLAN"))</f>
        <v/>
      </c>
      <c r="J974" s="61" t="str">
        <f aca="false">IF(IsPro,IF($D974="","",IF($F974="",IFERROR(INDEX(Items!$G$5:$G$504,Q974),0),$F974)),"")</f>
        <v/>
      </c>
      <c r="K974" s="61" t="str">
        <f aca="false">IF(IsPro,IF($D974="","",ROUND(N($E974)*J974*(1-N($G974)),2)),"")</f>
        <v/>
      </c>
      <c r="L974" s="62" t="str">
        <f aca="false">IF(IsPro,IF($D974="","",IFERROR(INDEX(Items!$F$5:$F$504,Q974),0)),"")</f>
        <v/>
      </c>
      <c r="M974" s="61" t="str">
        <f aca="false">IF(IsPro,IF($D974="","",IF(AND(R974&lt;&gt;"",INDEX(Parties!$E$5:$E$304,R974)&lt;&gt;"",INDEX(Parties!$E$5:$E$304,R974)&lt;&gt;HomeState),0,ROUND(K974*L974/2,2))),"")</f>
        <v/>
      </c>
      <c r="N974" s="61" t="str">
        <f aca="false">IF(IsPro,IF($D974="","",M974),"")</f>
        <v/>
      </c>
      <c r="O974" s="61" t="str">
        <f aca="false">IF(IsPro,IF($D974="","",IF(AND(R974&lt;&gt;"",INDEX(Parties!$E$5:$E$304,R974)&lt;&gt;"",INDEX(Parties!$E$5:$E$304,R974)&lt;&gt;HomeState),ROUND(K974*L974,2),0)),"")</f>
        <v/>
      </c>
      <c r="P974" s="61" t="str">
        <f aca="false">IF(IsPro,IF($D974="","",K974+M974+N974+O974),"")</f>
        <v/>
      </c>
      <c r="Q974" s="60" t="str">
        <f aca="false">IF(IsPro,IF($D974="","",IFERROR(MATCH($D974,Items!$A$5:$A$504,0),"")),"")</f>
        <v/>
      </c>
      <c r="R974" s="60" t="str">
        <f aca="false">IF(IsPro,IF($C974="","",IFERROR(MATCH($C974,Parties!$A$5:$A$304,0),"")),"")</f>
        <v/>
      </c>
      <c r="S974" s="61" t="str">
        <f aca="false">IF(IsPro,IF($D974="","",IF(OR($H974="",$H974="Credit"),0,P974)),"")</f>
        <v/>
      </c>
    </row>
    <row r="975" customFormat="false" ht="15" hidden="false" customHeight="false" outlineLevel="0" collapsed="false">
      <c r="A975" s="55"/>
      <c r="B975" s="56"/>
      <c r="C975" s="56"/>
      <c r="D975" s="56"/>
      <c r="E975" s="57"/>
      <c r="F975" s="58"/>
      <c r="G975" s="59"/>
      <c r="H975" s="56"/>
      <c r="I975" s="60" t="str">
        <f aca="false">IF(IsPro,IF($D975="","",IFERROR(INDEX(Items!$D$5:$D$504,Q975),"")),IF($D975="","","PRO PLAN"))</f>
        <v/>
      </c>
      <c r="J975" s="61" t="str">
        <f aca="false">IF(IsPro,IF($D975="","",IF($F975="",IFERROR(INDEX(Items!$G$5:$G$504,Q975),0),$F975)),"")</f>
        <v/>
      </c>
      <c r="K975" s="61" t="str">
        <f aca="false">IF(IsPro,IF($D975="","",ROUND(N($E975)*J975*(1-N($G975)),2)),"")</f>
        <v/>
      </c>
      <c r="L975" s="62" t="str">
        <f aca="false">IF(IsPro,IF($D975="","",IFERROR(INDEX(Items!$F$5:$F$504,Q975),0)),"")</f>
        <v/>
      </c>
      <c r="M975" s="61" t="str">
        <f aca="false">IF(IsPro,IF($D975="","",IF(AND(R975&lt;&gt;"",INDEX(Parties!$E$5:$E$304,R975)&lt;&gt;"",INDEX(Parties!$E$5:$E$304,R975)&lt;&gt;HomeState),0,ROUND(K975*L975/2,2))),"")</f>
        <v/>
      </c>
      <c r="N975" s="61" t="str">
        <f aca="false">IF(IsPro,IF($D975="","",M975),"")</f>
        <v/>
      </c>
      <c r="O975" s="61" t="str">
        <f aca="false">IF(IsPro,IF($D975="","",IF(AND(R975&lt;&gt;"",INDEX(Parties!$E$5:$E$304,R975)&lt;&gt;"",INDEX(Parties!$E$5:$E$304,R975)&lt;&gt;HomeState),ROUND(K975*L975,2),0)),"")</f>
        <v/>
      </c>
      <c r="P975" s="61" t="str">
        <f aca="false">IF(IsPro,IF($D975="","",K975+M975+N975+O975),"")</f>
        <v/>
      </c>
      <c r="Q975" s="60" t="str">
        <f aca="false">IF(IsPro,IF($D975="","",IFERROR(MATCH($D975,Items!$A$5:$A$504,0),"")),"")</f>
        <v/>
      </c>
      <c r="R975" s="60" t="str">
        <f aca="false">IF(IsPro,IF($C975="","",IFERROR(MATCH($C975,Parties!$A$5:$A$304,0),"")),"")</f>
        <v/>
      </c>
      <c r="S975" s="61" t="str">
        <f aca="false">IF(IsPro,IF($D975="","",IF(OR($H975="",$H975="Credit"),0,P975)),"")</f>
        <v/>
      </c>
    </row>
    <row r="976" customFormat="false" ht="15" hidden="false" customHeight="false" outlineLevel="0" collapsed="false">
      <c r="A976" s="55"/>
      <c r="B976" s="56"/>
      <c r="C976" s="56"/>
      <c r="D976" s="56"/>
      <c r="E976" s="57"/>
      <c r="F976" s="58"/>
      <c r="G976" s="59"/>
      <c r="H976" s="56"/>
      <c r="I976" s="60" t="str">
        <f aca="false">IF(IsPro,IF($D976="","",IFERROR(INDEX(Items!$D$5:$D$504,Q976),"")),IF($D976="","","PRO PLAN"))</f>
        <v/>
      </c>
      <c r="J976" s="61" t="str">
        <f aca="false">IF(IsPro,IF($D976="","",IF($F976="",IFERROR(INDEX(Items!$G$5:$G$504,Q976),0),$F976)),"")</f>
        <v/>
      </c>
      <c r="K976" s="61" t="str">
        <f aca="false">IF(IsPro,IF($D976="","",ROUND(N($E976)*J976*(1-N($G976)),2)),"")</f>
        <v/>
      </c>
      <c r="L976" s="62" t="str">
        <f aca="false">IF(IsPro,IF($D976="","",IFERROR(INDEX(Items!$F$5:$F$504,Q976),0)),"")</f>
        <v/>
      </c>
      <c r="M976" s="61" t="str">
        <f aca="false">IF(IsPro,IF($D976="","",IF(AND(R976&lt;&gt;"",INDEX(Parties!$E$5:$E$304,R976)&lt;&gt;"",INDEX(Parties!$E$5:$E$304,R976)&lt;&gt;HomeState),0,ROUND(K976*L976/2,2))),"")</f>
        <v/>
      </c>
      <c r="N976" s="61" t="str">
        <f aca="false">IF(IsPro,IF($D976="","",M976),"")</f>
        <v/>
      </c>
      <c r="O976" s="61" t="str">
        <f aca="false">IF(IsPro,IF($D976="","",IF(AND(R976&lt;&gt;"",INDEX(Parties!$E$5:$E$304,R976)&lt;&gt;"",INDEX(Parties!$E$5:$E$304,R976)&lt;&gt;HomeState),ROUND(K976*L976,2),0)),"")</f>
        <v/>
      </c>
      <c r="P976" s="61" t="str">
        <f aca="false">IF(IsPro,IF($D976="","",K976+M976+N976+O976),"")</f>
        <v/>
      </c>
      <c r="Q976" s="60" t="str">
        <f aca="false">IF(IsPro,IF($D976="","",IFERROR(MATCH($D976,Items!$A$5:$A$504,0),"")),"")</f>
        <v/>
      </c>
      <c r="R976" s="60" t="str">
        <f aca="false">IF(IsPro,IF($C976="","",IFERROR(MATCH($C976,Parties!$A$5:$A$304,0),"")),"")</f>
        <v/>
      </c>
      <c r="S976" s="61" t="str">
        <f aca="false">IF(IsPro,IF($D976="","",IF(OR($H976="",$H976="Credit"),0,P976)),"")</f>
        <v/>
      </c>
    </row>
    <row r="977" customFormat="false" ht="15" hidden="false" customHeight="false" outlineLevel="0" collapsed="false">
      <c r="A977" s="55"/>
      <c r="B977" s="56"/>
      <c r="C977" s="56"/>
      <c r="D977" s="56"/>
      <c r="E977" s="57"/>
      <c r="F977" s="58"/>
      <c r="G977" s="59"/>
      <c r="H977" s="56"/>
      <c r="I977" s="60" t="str">
        <f aca="false">IF(IsPro,IF($D977="","",IFERROR(INDEX(Items!$D$5:$D$504,Q977),"")),IF($D977="","","PRO PLAN"))</f>
        <v/>
      </c>
      <c r="J977" s="61" t="str">
        <f aca="false">IF(IsPro,IF($D977="","",IF($F977="",IFERROR(INDEX(Items!$G$5:$G$504,Q977),0),$F977)),"")</f>
        <v/>
      </c>
      <c r="K977" s="61" t="str">
        <f aca="false">IF(IsPro,IF($D977="","",ROUND(N($E977)*J977*(1-N($G977)),2)),"")</f>
        <v/>
      </c>
      <c r="L977" s="62" t="str">
        <f aca="false">IF(IsPro,IF($D977="","",IFERROR(INDEX(Items!$F$5:$F$504,Q977),0)),"")</f>
        <v/>
      </c>
      <c r="M977" s="61" t="str">
        <f aca="false">IF(IsPro,IF($D977="","",IF(AND(R977&lt;&gt;"",INDEX(Parties!$E$5:$E$304,R977)&lt;&gt;"",INDEX(Parties!$E$5:$E$304,R977)&lt;&gt;HomeState),0,ROUND(K977*L977/2,2))),"")</f>
        <v/>
      </c>
      <c r="N977" s="61" t="str">
        <f aca="false">IF(IsPro,IF($D977="","",M977),"")</f>
        <v/>
      </c>
      <c r="O977" s="61" t="str">
        <f aca="false">IF(IsPro,IF($D977="","",IF(AND(R977&lt;&gt;"",INDEX(Parties!$E$5:$E$304,R977)&lt;&gt;"",INDEX(Parties!$E$5:$E$304,R977)&lt;&gt;HomeState),ROUND(K977*L977,2),0)),"")</f>
        <v/>
      </c>
      <c r="P977" s="61" t="str">
        <f aca="false">IF(IsPro,IF($D977="","",K977+M977+N977+O977),"")</f>
        <v/>
      </c>
      <c r="Q977" s="60" t="str">
        <f aca="false">IF(IsPro,IF($D977="","",IFERROR(MATCH($D977,Items!$A$5:$A$504,0),"")),"")</f>
        <v/>
      </c>
      <c r="R977" s="60" t="str">
        <f aca="false">IF(IsPro,IF($C977="","",IFERROR(MATCH($C977,Parties!$A$5:$A$304,0),"")),"")</f>
        <v/>
      </c>
      <c r="S977" s="61" t="str">
        <f aca="false">IF(IsPro,IF($D977="","",IF(OR($H977="",$H977="Credit"),0,P977)),"")</f>
        <v/>
      </c>
    </row>
    <row r="978" customFormat="false" ht="15" hidden="false" customHeight="false" outlineLevel="0" collapsed="false">
      <c r="A978" s="55"/>
      <c r="B978" s="56"/>
      <c r="C978" s="56"/>
      <c r="D978" s="56"/>
      <c r="E978" s="57"/>
      <c r="F978" s="58"/>
      <c r="G978" s="59"/>
      <c r="H978" s="56"/>
      <c r="I978" s="60" t="str">
        <f aca="false">IF(IsPro,IF($D978="","",IFERROR(INDEX(Items!$D$5:$D$504,Q978),"")),IF($D978="","","PRO PLAN"))</f>
        <v/>
      </c>
      <c r="J978" s="61" t="str">
        <f aca="false">IF(IsPro,IF($D978="","",IF($F978="",IFERROR(INDEX(Items!$G$5:$G$504,Q978),0),$F978)),"")</f>
        <v/>
      </c>
      <c r="K978" s="61" t="str">
        <f aca="false">IF(IsPro,IF($D978="","",ROUND(N($E978)*J978*(1-N($G978)),2)),"")</f>
        <v/>
      </c>
      <c r="L978" s="62" t="str">
        <f aca="false">IF(IsPro,IF($D978="","",IFERROR(INDEX(Items!$F$5:$F$504,Q978),0)),"")</f>
        <v/>
      </c>
      <c r="M978" s="61" t="str">
        <f aca="false">IF(IsPro,IF($D978="","",IF(AND(R978&lt;&gt;"",INDEX(Parties!$E$5:$E$304,R978)&lt;&gt;"",INDEX(Parties!$E$5:$E$304,R978)&lt;&gt;HomeState),0,ROUND(K978*L978/2,2))),"")</f>
        <v/>
      </c>
      <c r="N978" s="61" t="str">
        <f aca="false">IF(IsPro,IF($D978="","",M978),"")</f>
        <v/>
      </c>
      <c r="O978" s="61" t="str">
        <f aca="false">IF(IsPro,IF($D978="","",IF(AND(R978&lt;&gt;"",INDEX(Parties!$E$5:$E$304,R978)&lt;&gt;"",INDEX(Parties!$E$5:$E$304,R978)&lt;&gt;HomeState),ROUND(K978*L978,2),0)),"")</f>
        <v/>
      </c>
      <c r="P978" s="61" t="str">
        <f aca="false">IF(IsPro,IF($D978="","",K978+M978+N978+O978),"")</f>
        <v/>
      </c>
      <c r="Q978" s="60" t="str">
        <f aca="false">IF(IsPro,IF($D978="","",IFERROR(MATCH($D978,Items!$A$5:$A$504,0),"")),"")</f>
        <v/>
      </c>
      <c r="R978" s="60" t="str">
        <f aca="false">IF(IsPro,IF($C978="","",IFERROR(MATCH($C978,Parties!$A$5:$A$304,0),"")),"")</f>
        <v/>
      </c>
      <c r="S978" s="61" t="str">
        <f aca="false">IF(IsPro,IF($D978="","",IF(OR($H978="",$H978="Credit"),0,P978)),"")</f>
        <v/>
      </c>
    </row>
    <row r="979" customFormat="false" ht="15" hidden="false" customHeight="false" outlineLevel="0" collapsed="false">
      <c r="A979" s="55"/>
      <c r="B979" s="56"/>
      <c r="C979" s="56"/>
      <c r="D979" s="56"/>
      <c r="E979" s="57"/>
      <c r="F979" s="58"/>
      <c r="G979" s="59"/>
      <c r="H979" s="56"/>
      <c r="I979" s="60" t="str">
        <f aca="false">IF(IsPro,IF($D979="","",IFERROR(INDEX(Items!$D$5:$D$504,Q979),"")),IF($D979="","","PRO PLAN"))</f>
        <v/>
      </c>
      <c r="J979" s="61" t="str">
        <f aca="false">IF(IsPro,IF($D979="","",IF($F979="",IFERROR(INDEX(Items!$G$5:$G$504,Q979),0),$F979)),"")</f>
        <v/>
      </c>
      <c r="K979" s="61" t="str">
        <f aca="false">IF(IsPro,IF($D979="","",ROUND(N($E979)*J979*(1-N($G979)),2)),"")</f>
        <v/>
      </c>
      <c r="L979" s="62" t="str">
        <f aca="false">IF(IsPro,IF($D979="","",IFERROR(INDEX(Items!$F$5:$F$504,Q979),0)),"")</f>
        <v/>
      </c>
      <c r="M979" s="61" t="str">
        <f aca="false">IF(IsPro,IF($D979="","",IF(AND(R979&lt;&gt;"",INDEX(Parties!$E$5:$E$304,R979)&lt;&gt;"",INDEX(Parties!$E$5:$E$304,R979)&lt;&gt;HomeState),0,ROUND(K979*L979/2,2))),"")</f>
        <v/>
      </c>
      <c r="N979" s="61" t="str">
        <f aca="false">IF(IsPro,IF($D979="","",M979),"")</f>
        <v/>
      </c>
      <c r="O979" s="61" t="str">
        <f aca="false">IF(IsPro,IF($D979="","",IF(AND(R979&lt;&gt;"",INDEX(Parties!$E$5:$E$304,R979)&lt;&gt;"",INDEX(Parties!$E$5:$E$304,R979)&lt;&gt;HomeState),ROUND(K979*L979,2),0)),"")</f>
        <v/>
      </c>
      <c r="P979" s="61" t="str">
        <f aca="false">IF(IsPro,IF($D979="","",K979+M979+N979+O979),"")</f>
        <v/>
      </c>
      <c r="Q979" s="60" t="str">
        <f aca="false">IF(IsPro,IF($D979="","",IFERROR(MATCH($D979,Items!$A$5:$A$504,0),"")),"")</f>
        <v/>
      </c>
      <c r="R979" s="60" t="str">
        <f aca="false">IF(IsPro,IF($C979="","",IFERROR(MATCH($C979,Parties!$A$5:$A$304,0),"")),"")</f>
        <v/>
      </c>
      <c r="S979" s="61" t="str">
        <f aca="false">IF(IsPro,IF($D979="","",IF(OR($H979="",$H979="Credit"),0,P979)),"")</f>
        <v/>
      </c>
    </row>
    <row r="980" customFormat="false" ht="15" hidden="false" customHeight="false" outlineLevel="0" collapsed="false">
      <c r="A980" s="55"/>
      <c r="B980" s="56"/>
      <c r="C980" s="56"/>
      <c r="D980" s="56"/>
      <c r="E980" s="57"/>
      <c r="F980" s="58"/>
      <c r="G980" s="59"/>
      <c r="H980" s="56"/>
      <c r="I980" s="60" t="str">
        <f aca="false">IF(IsPro,IF($D980="","",IFERROR(INDEX(Items!$D$5:$D$504,Q980),"")),IF($D980="","","PRO PLAN"))</f>
        <v/>
      </c>
      <c r="J980" s="61" t="str">
        <f aca="false">IF(IsPro,IF($D980="","",IF($F980="",IFERROR(INDEX(Items!$G$5:$G$504,Q980),0),$F980)),"")</f>
        <v/>
      </c>
      <c r="K980" s="61" t="str">
        <f aca="false">IF(IsPro,IF($D980="","",ROUND(N($E980)*J980*(1-N($G980)),2)),"")</f>
        <v/>
      </c>
      <c r="L980" s="62" t="str">
        <f aca="false">IF(IsPro,IF($D980="","",IFERROR(INDEX(Items!$F$5:$F$504,Q980),0)),"")</f>
        <v/>
      </c>
      <c r="M980" s="61" t="str">
        <f aca="false">IF(IsPro,IF($D980="","",IF(AND(R980&lt;&gt;"",INDEX(Parties!$E$5:$E$304,R980)&lt;&gt;"",INDEX(Parties!$E$5:$E$304,R980)&lt;&gt;HomeState),0,ROUND(K980*L980/2,2))),"")</f>
        <v/>
      </c>
      <c r="N980" s="61" t="str">
        <f aca="false">IF(IsPro,IF($D980="","",M980),"")</f>
        <v/>
      </c>
      <c r="O980" s="61" t="str">
        <f aca="false">IF(IsPro,IF($D980="","",IF(AND(R980&lt;&gt;"",INDEX(Parties!$E$5:$E$304,R980)&lt;&gt;"",INDEX(Parties!$E$5:$E$304,R980)&lt;&gt;HomeState),ROUND(K980*L980,2),0)),"")</f>
        <v/>
      </c>
      <c r="P980" s="61" t="str">
        <f aca="false">IF(IsPro,IF($D980="","",K980+M980+N980+O980),"")</f>
        <v/>
      </c>
      <c r="Q980" s="60" t="str">
        <f aca="false">IF(IsPro,IF($D980="","",IFERROR(MATCH($D980,Items!$A$5:$A$504,0),"")),"")</f>
        <v/>
      </c>
      <c r="R980" s="60" t="str">
        <f aca="false">IF(IsPro,IF($C980="","",IFERROR(MATCH($C980,Parties!$A$5:$A$304,0),"")),"")</f>
        <v/>
      </c>
      <c r="S980" s="61" t="str">
        <f aca="false">IF(IsPro,IF($D980="","",IF(OR($H980="",$H980="Credit"),0,P980)),"")</f>
        <v/>
      </c>
    </row>
    <row r="981" customFormat="false" ht="15" hidden="false" customHeight="false" outlineLevel="0" collapsed="false">
      <c r="A981" s="55"/>
      <c r="B981" s="56"/>
      <c r="C981" s="56"/>
      <c r="D981" s="56"/>
      <c r="E981" s="57"/>
      <c r="F981" s="58"/>
      <c r="G981" s="59"/>
      <c r="H981" s="56"/>
      <c r="I981" s="60" t="str">
        <f aca="false">IF(IsPro,IF($D981="","",IFERROR(INDEX(Items!$D$5:$D$504,Q981),"")),IF($D981="","","PRO PLAN"))</f>
        <v/>
      </c>
      <c r="J981" s="61" t="str">
        <f aca="false">IF(IsPro,IF($D981="","",IF($F981="",IFERROR(INDEX(Items!$G$5:$G$504,Q981),0),$F981)),"")</f>
        <v/>
      </c>
      <c r="K981" s="61" t="str">
        <f aca="false">IF(IsPro,IF($D981="","",ROUND(N($E981)*J981*(1-N($G981)),2)),"")</f>
        <v/>
      </c>
      <c r="L981" s="62" t="str">
        <f aca="false">IF(IsPro,IF($D981="","",IFERROR(INDEX(Items!$F$5:$F$504,Q981),0)),"")</f>
        <v/>
      </c>
      <c r="M981" s="61" t="str">
        <f aca="false">IF(IsPro,IF($D981="","",IF(AND(R981&lt;&gt;"",INDEX(Parties!$E$5:$E$304,R981)&lt;&gt;"",INDEX(Parties!$E$5:$E$304,R981)&lt;&gt;HomeState),0,ROUND(K981*L981/2,2))),"")</f>
        <v/>
      </c>
      <c r="N981" s="61" t="str">
        <f aca="false">IF(IsPro,IF($D981="","",M981),"")</f>
        <v/>
      </c>
      <c r="O981" s="61" t="str">
        <f aca="false">IF(IsPro,IF($D981="","",IF(AND(R981&lt;&gt;"",INDEX(Parties!$E$5:$E$304,R981)&lt;&gt;"",INDEX(Parties!$E$5:$E$304,R981)&lt;&gt;HomeState),ROUND(K981*L981,2),0)),"")</f>
        <v/>
      </c>
      <c r="P981" s="61" t="str">
        <f aca="false">IF(IsPro,IF($D981="","",K981+M981+N981+O981),"")</f>
        <v/>
      </c>
      <c r="Q981" s="60" t="str">
        <f aca="false">IF(IsPro,IF($D981="","",IFERROR(MATCH($D981,Items!$A$5:$A$504,0),"")),"")</f>
        <v/>
      </c>
      <c r="R981" s="60" t="str">
        <f aca="false">IF(IsPro,IF($C981="","",IFERROR(MATCH($C981,Parties!$A$5:$A$304,0),"")),"")</f>
        <v/>
      </c>
      <c r="S981" s="61" t="str">
        <f aca="false">IF(IsPro,IF($D981="","",IF(OR($H981="",$H981="Credit"),0,P981)),"")</f>
        <v/>
      </c>
    </row>
    <row r="982" customFormat="false" ht="15" hidden="false" customHeight="false" outlineLevel="0" collapsed="false">
      <c r="A982" s="55"/>
      <c r="B982" s="56"/>
      <c r="C982" s="56"/>
      <c r="D982" s="56"/>
      <c r="E982" s="57"/>
      <c r="F982" s="58"/>
      <c r="G982" s="59"/>
      <c r="H982" s="56"/>
      <c r="I982" s="60" t="str">
        <f aca="false">IF(IsPro,IF($D982="","",IFERROR(INDEX(Items!$D$5:$D$504,Q982),"")),IF($D982="","","PRO PLAN"))</f>
        <v/>
      </c>
      <c r="J982" s="61" t="str">
        <f aca="false">IF(IsPro,IF($D982="","",IF($F982="",IFERROR(INDEX(Items!$G$5:$G$504,Q982),0),$F982)),"")</f>
        <v/>
      </c>
      <c r="K982" s="61" t="str">
        <f aca="false">IF(IsPro,IF($D982="","",ROUND(N($E982)*J982*(1-N($G982)),2)),"")</f>
        <v/>
      </c>
      <c r="L982" s="62" t="str">
        <f aca="false">IF(IsPro,IF($D982="","",IFERROR(INDEX(Items!$F$5:$F$504,Q982),0)),"")</f>
        <v/>
      </c>
      <c r="M982" s="61" t="str">
        <f aca="false">IF(IsPro,IF($D982="","",IF(AND(R982&lt;&gt;"",INDEX(Parties!$E$5:$E$304,R982)&lt;&gt;"",INDEX(Parties!$E$5:$E$304,R982)&lt;&gt;HomeState),0,ROUND(K982*L982/2,2))),"")</f>
        <v/>
      </c>
      <c r="N982" s="61" t="str">
        <f aca="false">IF(IsPro,IF($D982="","",M982),"")</f>
        <v/>
      </c>
      <c r="O982" s="61" t="str">
        <f aca="false">IF(IsPro,IF($D982="","",IF(AND(R982&lt;&gt;"",INDEX(Parties!$E$5:$E$304,R982)&lt;&gt;"",INDEX(Parties!$E$5:$E$304,R982)&lt;&gt;HomeState),ROUND(K982*L982,2),0)),"")</f>
        <v/>
      </c>
      <c r="P982" s="61" t="str">
        <f aca="false">IF(IsPro,IF($D982="","",K982+M982+N982+O982),"")</f>
        <v/>
      </c>
      <c r="Q982" s="60" t="str">
        <f aca="false">IF(IsPro,IF($D982="","",IFERROR(MATCH($D982,Items!$A$5:$A$504,0),"")),"")</f>
        <v/>
      </c>
      <c r="R982" s="60" t="str">
        <f aca="false">IF(IsPro,IF($C982="","",IFERROR(MATCH($C982,Parties!$A$5:$A$304,0),"")),"")</f>
        <v/>
      </c>
      <c r="S982" s="61" t="str">
        <f aca="false">IF(IsPro,IF($D982="","",IF(OR($H982="",$H982="Credit"),0,P982)),"")</f>
        <v/>
      </c>
    </row>
    <row r="983" customFormat="false" ht="15" hidden="false" customHeight="false" outlineLevel="0" collapsed="false">
      <c r="A983" s="55"/>
      <c r="B983" s="56"/>
      <c r="C983" s="56"/>
      <c r="D983" s="56"/>
      <c r="E983" s="57"/>
      <c r="F983" s="58"/>
      <c r="G983" s="59"/>
      <c r="H983" s="56"/>
      <c r="I983" s="60" t="str">
        <f aca="false">IF(IsPro,IF($D983="","",IFERROR(INDEX(Items!$D$5:$D$504,Q983),"")),IF($D983="","","PRO PLAN"))</f>
        <v/>
      </c>
      <c r="J983" s="61" t="str">
        <f aca="false">IF(IsPro,IF($D983="","",IF($F983="",IFERROR(INDEX(Items!$G$5:$G$504,Q983),0),$F983)),"")</f>
        <v/>
      </c>
      <c r="K983" s="61" t="str">
        <f aca="false">IF(IsPro,IF($D983="","",ROUND(N($E983)*J983*(1-N($G983)),2)),"")</f>
        <v/>
      </c>
      <c r="L983" s="62" t="str">
        <f aca="false">IF(IsPro,IF($D983="","",IFERROR(INDEX(Items!$F$5:$F$504,Q983),0)),"")</f>
        <v/>
      </c>
      <c r="M983" s="61" t="str">
        <f aca="false">IF(IsPro,IF($D983="","",IF(AND(R983&lt;&gt;"",INDEX(Parties!$E$5:$E$304,R983)&lt;&gt;"",INDEX(Parties!$E$5:$E$304,R983)&lt;&gt;HomeState),0,ROUND(K983*L983/2,2))),"")</f>
        <v/>
      </c>
      <c r="N983" s="61" t="str">
        <f aca="false">IF(IsPro,IF($D983="","",M983),"")</f>
        <v/>
      </c>
      <c r="O983" s="61" t="str">
        <f aca="false">IF(IsPro,IF($D983="","",IF(AND(R983&lt;&gt;"",INDEX(Parties!$E$5:$E$304,R983)&lt;&gt;"",INDEX(Parties!$E$5:$E$304,R983)&lt;&gt;HomeState),ROUND(K983*L983,2),0)),"")</f>
        <v/>
      </c>
      <c r="P983" s="61" t="str">
        <f aca="false">IF(IsPro,IF($D983="","",K983+M983+N983+O983),"")</f>
        <v/>
      </c>
      <c r="Q983" s="60" t="str">
        <f aca="false">IF(IsPro,IF($D983="","",IFERROR(MATCH($D983,Items!$A$5:$A$504,0),"")),"")</f>
        <v/>
      </c>
      <c r="R983" s="60" t="str">
        <f aca="false">IF(IsPro,IF($C983="","",IFERROR(MATCH($C983,Parties!$A$5:$A$304,0),"")),"")</f>
        <v/>
      </c>
      <c r="S983" s="61" t="str">
        <f aca="false">IF(IsPro,IF($D983="","",IF(OR($H983="",$H983="Credit"),0,P983)),"")</f>
        <v/>
      </c>
    </row>
    <row r="984" customFormat="false" ht="15" hidden="false" customHeight="false" outlineLevel="0" collapsed="false">
      <c r="A984" s="55"/>
      <c r="B984" s="56"/>
      <c r="C984" s="56"/>
      <c r="D984" s="56"/>
      <c r="E984" s="57"/>
      <c r="F984" s="58"/>
      <c r="G984" s="59"/>
      <c r="H984" s="56"/>
      <c r="I984" s="60" t="str">
        <f aca="false">IF(IsPro,IF($D984="","",IFERROR(INDEX(Items!$D$5:$D$504,Q984),"")),IF($D984="","","PRO PLAN"))</f>
        <v/>
      </c>
      <c r="J984" s="61" t="str">
        <f aca="false">IF(IsPro,IF($D984="","",IF($F984="",IFERROR(INDEX(Items!$G$5:$G$504,Q984),0),$F984)),"")</f>
        <v/>
      </c>
      <c r="K984" s="61" t="str">
        <f aca="false">IF(IsPro,IF($D984="","",ROUND(N($E984)*J984*(1-N($G984)),2)),"")</f>
        <v/>
      </c>
      <c r="L984" s="62" t="str">
        <f aca="false">IF(IsPro,IF($D984="","",IFERROR(INDEX(Items!$F$5:$F$504,Q984),0)),"")</f>
        <v/>
      </c>
      <c r="M984" s="61" t="str">
        <f aca="false">IF(IsPro,IF($D984="","",IF(AND(R984&lt;&gt;"",INDEX(Parties!$E$5:$E$304,R984)&lt;&gt;"",INDEX(Parties!$E$5:$E$304,R984)&lt;&gt;HomeState),0,ROUND(K984*L984/2,2))),"")</f>
        <v/>
      </c>
      <c r="N984" s="61" t="str">
        <f aca="false">IF(IsPro,IF($D984="","",M984),"")</f>
        <v/>
      </c>
      <c r="O984" s="61" t="str">
        <f aca="false">IF(IsPro,IF($D984="","",IF(AND(R984&lt;&gt;"",INDEX(Parties!$E$5:$E$304,R984)&lt;&gt;"",INDEX(Parties!$E$5:$E$304,R984)&lt;&gt;HomeState),ROUND(K984*L984,2),0)),"")</f>
        <v/>
      </c>
      <c r="P984" s="61" t="str">
        <f aca="false">IF(IsPro,IF($D984="","",K984+M984+N984+O984),"")</f>
        <v/>
      </c>
      <c r="Q984" s="60" t="str">
        <f aca="false">IF(IsPro,IF($D984="","",IFERROR(MATCH($D984,Items!$A$5:$A$504,0),"")),"")</f>
        <v/>
      </c>
      <c r="R984" s="60" t="str">
        <f aca="false">IF(IsPro,IF($C984="","",IFERROR(MATCH($C984,Parties!$A$5:$A$304,0),"")),"")</f>
        <v/>
      </c>
      <c r="S984" s="61" t="str">
        <f aca="false">IF(IsPro,IF($D984="","",IF(OR($H984="",$H984="Credit"),0,P984)),"")</f>
        <v/>
      </c>
    </row>
    <row r="985" customFormat="false" ht="15" hidden="false" customHeight="false" outlineLevel="0" collapsed="false">
      <c r="A985" s="55"/>
      <c r="B985" s="56"/>
      <c r="C985" s="56"/>
      <c r="D985" s="56"/>
      <c r="E985" s="57"/>
      <c r="F985" s="58"/>
      <c r="G985" s="59"/>
      <c r="H985" s="56"/>
      <c r="I985" s="60" t="str">
        <f aca="false">IF(IsPro,IF($D985="","",IFERROR(INDEX(Items!$D$5:$D$504,Q985),"")),IF($D985="","","PRO PLAN"))</f>
        <v/>
      </c>
      <c r="J985" s="61" t="str">
        <f aca="false">IF(IsPro,IF($D985="","",IF($F985="",IFERROR(INDEX(Items!$G$5:$G$504,Q985),0),$F985)),"")</f>
        <v/>
      </c>
      <c r="K985" s="61" t="str">
        <f aca="false">IF(IsPro,IF($D985="","",ROUND(N($E985)*J985*(1-N($G985)),2)),"")</f>
        <v/>
      </c>
      <c r="L985" s="62" t="str">
        <f aca="false">IF(IsPro,IF($D985="","",IFERROR(INDEX(Items!$F$5:$F$504,Q985),0)),"")</f>
        <v/>
      </c>
      <c r="M985" s="61" t="str">
        <f aca="false">IF(IsPro,IF($D985="","",IF(AND(R985&lt;&gt;"",INDEX(Parties!$E$5:$E$304,R985)&lt;&gt;"",INDEX(Parties!$E$5:$E$304,R985)&lt;&gt;HomeState),0,ROUND(K985*L985/2,2))),"")</f>
        <v/>
      </c>
      <c r="N985" s="61" t="str">
        <f aca="false">IF(IsPro,IF($D985="","",M985),"")</f>
        <v/>
      </c>
      <c r="O985" s="61" t="str">
        <f aca="false">IF(IsPro,IF($D985="","",IF(AND(R985&lt;&gt;"",INDEX(Parties!$E$5:$E$304,R985)&lt;&gt;"",INDEX(Parties!$E$5:$E$304,R985)&lt;&gt;HomeState),ROUND(K985*L985,2),0)),"")</f>
        <v/>
      </c>
      <c r="P985" s="61" t="str">
        <f aca="false">IF(IsPro,IF($D985="","",K985+M985+N985+O985),"")</f>
        <v/>
      </c>
      <c r="Q985" s="60" t="str">
        <f aca="false">IF(IsPro,IF($D985="","",IFERROR(MATCH($D985,Items!$A$5:$A$504,0),"")),"")</f>
        <v/>
      </c>
      <c r="R985" s="60" t="str">
        <f aca="false">IF(IsPro,IF($C985="","",IFERROR(MATCH($C985,Parties!$A$5:$A$304,0),"")),"")</f>
        <v/>
      </c>
      <c r="S985" s="61" t="str">
        <f aca="false">IF(IsPro,IF($D985="","",IF(OR($H985="",$H985="Credit"),0,P985)),"")</f>
        <v/>
      </c>
    </row>
    <row r="986" customFormat="false" ht="15" hidden="false" customHeight="false" outlineLevel="0" collapsed="false">
      <c r="A986" s="55"/>
      <c r="B986" s="56"/>
      <c r="C986" s="56"/>
      <c r="D986" s="56"/>
      <c r="E986" s="57"/>
      <c r="F986" s="58"/>
      <c r="G986" s="59"/>
      <c r="H986" s="56"/>
      <c r="I986" s="60" t="str">
        <f aca="false">IF(IsPro,IF($D986="","",IFERROR(INDEX(Items!$D$5:$D$504,Q986),"")),IF($D986="","","PRO PLAN"))</f>
        <v/>
      </c>
      <c r="J986" s="61" t="str">
        <f aca="false">IF(IsPro,IF($D986="","",IF($F986="",IFERROR(INDEX(Items!$G$5:$G$504,Q986),0),$F986)),"")</f>
        <v/>
      </c>
      <c r="K986" s="61" t="str">
        <f aca="false">IF(IsPro,IF($D986="","",ROUND(N($E986)*J986*(1-N($G986)),2)),"")</f>
        <v/>
      </c>
      <c r="L986" s="62" t="str">
        <f aca="false">IF(IsPro,IF($D986="","",IFERROR(INDEX(Items!$F$5:$F$504,Q986),0)),"")</f>
        <v/>
      </c>
      <c r="M986" s="61" t="str">
        <f aca="false">IF(IsPro,IF($D986="","",IF(AND(R986&lt;&gt;"",INDEX(Parties!$E$5:$E$304,R986)&lt;&gt;"",INDEX(Parties!$E$5:$E$304,R986)&lt;&gt;HomeState),0,ROUND(K986*L986/2,2))),"")</f>
        <v/>
      </c>
      <c r="N986" s="61" t="str">
        <f aca="false">IF(IsPro,IF($D986="","",M986),"")</f>
        <v/>
      </c>
      <c r="O986" s="61" t="str">
        <f aca="false">IF(IsPro,IF($D986="","",IF(AND(R986&lt;&gt;"",INDEX(Parties!$E$5:$E$304,R986)&lt;&gt;"",INDEX(Parties!$E$5:$E$304,R986)&lt;&gt;HomeState),ROUND(K986*L986,2),0)),"")</f>
        <v/>
      </c>
      <c r="P986" s="61" t="str">
        <f aca="false">IF(IsPro,IF($D986="","",K986+M986+N986+O986),"")</f>
        <v/>
      </c>
      <c r="Q986" s="60" t="str">
        <f aca="false">IF(IsPro,IF($D986="","",IFERROR(MATCH($D986,Items!$A$5:$A$504,0),"")),"")</f>
        <v/>
      </c>
      <c r="R986" s="60" t="str">
        <f aca="false">IF(IsPro,IF($C986="","",IFERROR(MATCH($C986,Parties!$A$5:$A$304,0),"")),"")</f>
        <v/>
      </c>
      <c r="S986" s="61" t="str">
        <f aca="false">IF(IsPro,IF($D986="","",IF(OR($H986="",$H986="Credit"),0,P986)),"")</f>
        <v/>
      </c>
    </row>
    <row r="987" customFormat="false" ht="15" hidden="false" customHeight="false" outlineLevel="0" collapsed="false">
      <c r="A987" s="55"/>
      <c r="B987" s="56"/>
      <c r="C987" s="56"/>
      <c r="D987" s="56"/>
      <c r="E987" s="57"/>
      <c r="F987" s="58"/>
      <c r="G987" s="59"/>
      <c r="H987" s="56"/>
      <c r="I987" s="60" t="str">
        <f aca="false">IF(IsPro,IF($D987="","",IFERROR(INDEX(Items!$D$5:$D$504,Q987),"")),IF($D987="","","PRO PLAN"))</f>
        <v/>
      </c>
      <c r="J987" s="61" t="str">
        <f aca="false">IF(IsPro,IF($D987="","",IF($F987="",IFERROR(INDEX(Items!$G$5:$G$504,Q987),0),$F987)),"")</f>
        <v/>
      </c>
      <c r="K987" s="61" t="str">
        <f aca="false">IF(IsPro,IF($D987="","",ROUND(N($E987)*J987*(1-N($G987)),2)),"")</f>
        <v/>
      </c>
      <c r="L987" s="62" t="str">
        <f aca="false">IF(IsPro,IF($D987="","",IFERROR(INDEX(Items!$F$5:$F$504,Q987),0)),"")</f>
        <v/>
      </c>
      <c r="M987" s="61" t="str">
        <f aca="false">IF(IsPro,IF($D987="","",IF(AND(R987&lt;&gt;"",INDEX(Parties!$E$5:$E$304,R987)&lt;&gt;"",INDEX(Parties!$E$5:$E$304,R987)&lt;&gt;HomeState),0,ROUND(K987*L987/2,2))),"")</f>
        <v/>
      </c>
      <c r="N987" s="61" t="str">
        <f aca="false">IF(IsPro,IF($D987="","",M987),"")</f>
        <v/>
      </c>
      <c r="O987" s="61" t="str">
        <f aca="false">IF(IsPro,IF($D987="","",IF(AND(R987&lt;&gt;"",INDEX(Parties!$E$5:$E$304,R987)&lt;&gt;"",INDEX(Parties!$E$5:$E$304,R987)&lt;&gt;HomeState),ROUND(K987*L987,2),0)),"")</f>
        <v/>
      </c>
      <c r="P987" s="61" t="str">
        <f aca="false">IF(IsPro,IF($D987="","",K987+M987+N987+O987),"")</f>
        <v/>
      </c>
      <c r="Q987" s="60" t="str">
        <f aca="false">IF(IsPro,IF($D987="","",IFERROR(MATCH($D987,Items!$A$5:$A$504,0),"")),"")</f>
        <v/>
      </c>
      <c r="R987" s="60" t="str">
        <f aca="false">IF(IsPro,IF($C987="","",IFERROR(MATCH($C987,Parties!$A$5:$A$304,0),"")),"")</f>
        <v/>
      </c>
      <c r="S987" s="61" t="str">
        <f aca="false">IF(IsPro,IF($D987="","",IF(OR($H987="",$H987="Credit"),0,P987)),"")</f>
        <v/>
      </c>
    </row>
    <row r="988" customFormat="false" ht="15" hidden="false" customHeight="false" outlineLevel="0" collapsed="false">
      <c r="A988" s="55"/>
      <c r="B988" s="56"/>
      <c r="C988" s="56"/>
      <c r="D988" s="56"/>
      <c r="E988" s="57"/>
      <c r="F988" s="58"/>
      <c r="G988" s="59"/>
      <c r="H988" s="56"/>
      <c r="I988" s="60" t="str">
        <f aca="false">IF(IsPro,IF($D988="","",IFERROR(INDEX(Items!$D$5:$D$504,Q988),"")),IF($D988="","","PRO PLAN"))</f>
        <v/>
      </c>
      <c r="J988" s="61" t="str">
        <f aca="false">IF(IsPro,IF($D988="","",IF($F988="",IFERROR(INDEX(Items!$G$5:$G$504,Q988),0),$F988)),"")</f>
        <v/>
      </c>
      <c r="K988" s="61" t="str">
        <f aca="false">IF(IsPro,IF($D988="","",ROUND(N($E988)*J988*(1-N($G988)),2)),"")</f>
        <v/>
      </c>
      <c r="L988" s="62" t="str">
        <f aca="false">IF(IsPro,IF($D988="","",IFERROR(INDEX(Items!$F$5:$F$504,Q988),0)),"")</f>
        <v/>
      </c>
      <c r="M988" s="61" t="str">
        <f aca="false">IF(IsPro,IF($D988="","",IF(AND(R988&lt;&gt;"",INDEX(Parties!$E$5:$E$304,R988)&lt;&gt;"",INDEX(Parties!$E$5:$E$304,R988)&lt;&gt;HomeState),0,ROUND(K988*L988/2,2))),"")</f>
        <v/>
      </c>
      <c r="N988" s="61" t="str">
        <f aca="false">IF(IsPro,IF($D988="","",M988),"")</f>
        <v/>
      </c>
      <c r="O988" s="61" t="str">
        <f aca="false">IF(IsPro,IF($D988="","",IF(AND(R988&lt;&gt;"",INDEX(Parties!$E$5:$E$304,R988)&lt;&gt;"",INDEX(Parties!$E$5:$E$304,R988)&lt;&gt;HomeState),ROUND(K988*L988,2),0)),"")</f>
        <v/>
      </c>
      <c r="P988" s="61" t="str">
        <f aca="false">IF(IsPro,IF($D988="","",K988+M988+N988+O988),"")</f>
        <v/>
      </c>
      <c r="Q988" s="60" t="str">
        <f aca="false">IF(IsPro,IF($D988="","",IFERROR(MATCH($D988,Items!$A$5:$A$504,0),"")),"")</f>
        <v/>
      </c>
      <c r="R988" s="60" t="str">
        <f aca="false">IF(IsPro,IF($C988="","",IFERROR(MATCH($C988,Parties!$A$5:$A$304,0),"")),"")</f>
        <v/>
      </c>
      <c r="S988" s="61" t="str">
        <f aca="false">IF(IsPro,IF($D988="","",IF(OR($H988="",$H988="Credit"),0,P988)),"")</f>
        <v/>
      </c>
    </row>
    <row r="989" customFormat="false" ht="15" hidden="false" customHeight="false" outlineLevel="0" collapsed="false">
      <c r="A989" s="55"/>
      <c r="B989" s="56"/>
      <c r="C989" s="56"/>
      <c r="D989" s="56"/>
      <c r="E989" s="57"/>
      <c r="F989" s="58"/>
      <c r="G989" s="59"/>
      <c r="H989" s="56"/>
      <c r="I989" s="60" t="str">
        <f aca="false">IF(IsPro,IF($D989="","",IFERROR(INDEX(Items!$D$5:$D$504,Q989),"")),IF($D989="","","PRO PLAN"))</f>
        <v/>
      </c>
      <c r="J989" s="61" t="str">
        <f aca="false">IF(IsPro,IF($D989="","",IF($F989="",IFERROR(INDEX(Items!$G$5:$G$504,Q989),0),$F989)),"")</f>
        <v/>
      </c>
      <c r="K989" s="61" t="str">
        <f aca="false">IF(IsPro,IF($D989="","",ROUND(N($E989)*J989*(1-N($G989)),2)),"")</f>
        <v/>
      </c>
      <c r="L989" s="62" t="str">
        <f aca="false">IF(IsPro,IF($D989="","",IFERROR(INDEX(Items!$F$5:$F$504,Q989),0)),"")</f>
        <v/>
      </c>
      <c r="M989" s="61" t="str">
        <f aca="false">IF(IsPro,IF($D989="","",IF(AND(R989&lt;&gt;"",INDEX(Parties!$E$5:$E$304,R989)&lt;&gt;"",INDEX(Parties!$E$5:$E$304,R989)&lt;&gt;HomeState),0,ROUND(K989*L989/2,2))),"")</f>
        <v/>
      </c>
      <c r="N989" s="61" t="str">
        <f aca="false">IF(IsPro,IF($D989="","",M989),"")</f>
        <v/>
      </c>
      <c r="O989" s="61" t="str">
        <f aca="false">IF(IsPro,IF($D989="","",IF(AND(R989&lt;&gt;"",INDEX(Parties!$E$5:$E$304,R989)&lt;&gt;"",INDEX(Parties!$E$5:$E$304,R989)&lt;&gt;HomeState),ROUND(K989*L989,2),0)),"")</f>
        <v/>
      </c>
      <c r="P989" s="61" t="str">
        <f aca="false">IF(IsPro,IF($D989="","",K989+M989+N989+O989),"")</f>
        <v/>
      </c>
      <c r="Q989" s="60" t="str">
        <f aca="false">IF(IsPro,IF($D989="","",IFERROR(MATCH($D989,Items!$A$5:$A$504,0),"")),"")</f>
        <v/>
      </c>
      <c r="R989" s="60" t="str">
        <f aca="false">IF(IsPro,IF($C989="","",IFERROR(MATCH($C989,Parties!$A$5:$A$304,0),"")),"")</f>
        <v/>
      </c>
      <c r="S989" s="61" t="str">
        <f aca="false">IF(IsPro,IF($D989="","",IF(OR($H989="",$H989="Credit"),0,P989)),"")</f>
        <v/>
      </c>
    </row>
    <row r="990" customFormat="false" ht="15" hidden="false" customHeight="false" outlineLevel="0" collapsed="false">
      <c r="A990" s="55"/>
      <c r="B990" s="56"/>
      <c r="C990" s="56"/>
      <c r="D990" s="56"/>
      <c r="E990" s="57"/>
      <c r="F990" s="58"/>
      <c r="G990" s="59"/>
      <c r="H990" s="56"/>
      <c r="I990" s="60" t="str">
        <f aca="false">IF(IsPro,IF($D990="","",IFERROR(INDEX(Items!$D$5:$D$504,Q990),"")),IF($D990="","","PRO PLAN"))</f>
        <v/>
      </c>
      <c r="J990" s="61" t="str">
        <f aca="false">IF(IsPro,IF($D990="","",IF($F990="",IFERROR(INDEX(Items!$G$5:$G$504,Q990),0),$F990)),"")</f>
        <v/>
      </c>
      <c r="K990" s="61" t="str">
        <f aca="false">IF(IsPro,IF($D990="","",ROUND(N($E990)*J990*(1-N($G990)),2)),"")</f>
        <v/>
      </c>
      <c r="L990" s="62" t="str">
        <f aca="false">IF(IsPro,IF($D990="","",IFERROR(INDEX(Items!$F$5:$F$504,Q990),0)),"")</f>
        <v/>
      </c>
      <c r="M990" s="61" t="str">
        <f aca="false">IF(IsPro,IF($D990="","",IF(AND(R990&lt;&gt;"",INDEX(Parties!$E$5:$E$304,R990)&lt;&gt;"",INDEX(Parties!$E$5:$E$304,R990)&lt;&gt;HomeState),0,ROUND(K990*L990/2,2))),"")</f>
        <v/>
      </c>
      <c r="N990" s="61" t="str">
        <f aca="false">IF(IsPro,IF($D990="","",M990),"")</f>
        <v/>
      </c>
      <c r="O990" s="61" t="str">
        <f aca="false">IF(IsPro,IF($D990="","",IF(AND(R990&lt;&gt;"",INDEX(Parties!$E$5:$E$304,R990)&lt;&gt;"",INDEX(Parties!$E$5:$E$304,R990)&lt;&gt;HomeState),ROUND(K990*L990,2),0)),"")</f>
        <v/>
      </c>
      <c r="P990" s="61" t="str">
        <f aca="false">IF(IsPro,IF($D990="","",K990+M990+N990+O990),"")</f>
        <v/>
      </c>
      <c r="Q990" s="60" t="str">
        <f aca="false">IF(IsPro,IF($D990="","",IFERROR(MATCH($D990,Items!$A$5:$A$504,0),"")),"")</f>
        <v/>
      </c>
      <c r="R990" s="60" t="str">
        <f aca="false">IF(IsPro,IF($C990="","",IFERROR(MATCH($C990,Parties!$A$5:$A$304,0),"")),"")</f>
        <v/>
      </c>
      <c r="S990" s="61" t="str">
        <f aca="false">IF(IsPro,IF($D990="","",IF(OR($H990="",$H990="Credit"),0,P990)),"")</f>
        <v/>
      </c>
    </row>
    <row r="991" customFormat="false" ht="15" hidden="false" customHeight="false" outlineLevel="0" collapsed="false">
      <c r="A991" s="55"/>
      <c r="B991" s="56"/>
      <c r="C991" s="56"/>
      <c r="D991" s="56"/>
      <c r="E991" s="57"/>
      <c r="F991" s="58"/>
      <c r="G991" s="59"/>
      <c r="H991" s="56"/>
      <c r="I991" s="60" t="str">
        <f aca="false">IF(IsPro,IF($D991="","",IFERROR(INDEX(Items!$D$5:$D$504,Q991),"")),IF($D991="","","PRO PLAN"))</f>
        <v/>
      </c>
      <c r="J991" s="61" t="str">
        <f aca="false">IF(IsPro,IF($D991="","",IF($F991="",IFERROR(INDEX(Items!$G$5:$G$504,Q991),0),$F991)),"")</f>
        <v/>
      </c>
      <c r="K991" s="61" t="str">
        <f aca="false">IF(IsPro,IF($D991="","",ROUND(N($E991)*J991*(1-N($G991)),2)),"")</f>
        <v/>
      </c>
      <c r="L991" s="62" t="str">
        <f aca="false">IF(IsPro,IF($D991="","",IFERROR(INDEX(Items!$F$5:$F$504,Q991),0)),"")</f>
        <v/>
      </c>
      <c r="M991" s="61" t="str">
        <f aca="false">IF(IsPro,IF($D991="","",IF(AND(R991&lt;&gt;"",INDEX(Parties!$E$5:$E$304,R991)&lt;&gt;"",INDEX(Parties!$E$5:$E$304,R991)&lt;&gt;HomeState),0,ROUND(K991*L991/2,2))),"")</f>
        <v/>
      </c>
      <c r="N991" s="61" t="str">
        <f aca="false">IF(IsPro,IF($D991="","",M991),"")</f>
        <v/>
      </c>
      <c r="O991" s="61" t="str">
        <f aca="false">IF(IsPro,IF($D991="","",IF(AND(R991&lt;&gt;"",INDEX(Parties!$E$5:$E$304,R991)&lt;&gt;"",INDEX(Parties!$E$5:$E$304,R991)&lt;&gt;HomeState),ROUND(K991*L991,2),0)),"")</f>
        <v/>
      </c>
      <c r="P991" s="61" t="str">
        <f aca="false">IF(IsPro,IF($D991="","",K991+M991+N991+O991),"")</f>
        <v/>
      </c>
      <c r="Q991" s="60" t="str">
        <f aca="false">IF(IsPro,IF($D991="","",IFERROR(MATCH($D991,Items!$A$5:$A$504,0),"")),"")</f>
        <v/>
      </c>
      <c r="R991" s="60" t="str">
        <f aca="false">IF(IsPro,IF($C991="","",IFERROR(MATCH($C991,Parties!$A$5:$A$304,0),"")),"")</f>
        <v/>
      </c>
      <c r="S991" s="61" t="str">
        <f aca="false">IF(IsPro,IF($D991="","",IF(OR($H991="",$H991="Credit"),0,P991)),"")</f>
        <v/>
      </c>
    </row>
    <row r="992" customFormat="false" ht="15" hidden="false" customHeight="false" outlineLevel="0" collapsed="false">
      <c r="A992" s="55"/>
      <c r="B992" s="56"/>
      <c r="C992" s="56"/>
      <c r="D992" s="56"/>
      <c r="E992" s="57"/>
      <c r="F992" s="58"/>
      <c r="G992" s="59"/>
      <c r="H992" s="56"/>
      <c r="I992" s="60" t="str">
        <f aca="false">IF(IsPro,IF($D992="","",IFERROR(INDEX(Items!$D$5:$D$504,Q992),"")),IF($D992="","","PRO PLAN"))</f>
        <v/>
      </c>
      <c r="J992" s="61" t="str">
        <f aca="false">IF(IsPro,IF($D992="","",IF($F992="",IFERROR(INDEX(Items!$G$5:$G$504,Q992),0),$F992)),"")</f>
        <v/>
      </c>
      <c r="K992" s="61" t="str">
        <f aca="false">IF(IsPro,IF($D992="","",ROUND(N($E992)*J992*(1-N($G992)),2)),"")</f>
        <v/>
      </c>
      <c r="L992" s="62" t="str">
        <f aca="false">IF(IsPro,IF($D992="","",IFERROR(INDEX(Items!$F$5:$F$504,Q992),0)),"")</f>
        <v/>
      </c>
      <c r="M992" s="61" t="str">
        <f aca="false">IF(IsPro,IF($D992="","",IF(AND(R992&lt;&gt;"",INDEX(Parties!$E$5:$E$304,R992)&lt;&gt;"",INDEX(Parties!$E$5:$E$304,R992)&lt;&gt;HomeState),0,ROUND(K992*L992/2,2))),"")</f>
        <v/>
      </c>
      <c r="N992" s="61" t="str">
        <f aca="false">IF(IsPro,IF($D992="","",M992),"")</f>
        <v/>
      </c>
      <c r="O992" s="61" t="str">
        <f aca="false">IF(IsPro,IF($D992="","",IF(AND(R992&lt;&gt;"",INDEX(Parties!$E$5:$E$304,R992)&lt;&gt;"",INDEX(Parties!$E$5:$E$304,R992)&lt;&gt;HomeState),ROUND(K992*L992,2),0)),"")</f>
        <v/>
      </c>
      <c r="P992" s="61" t="str">
        <f aca="false">IF(IsPro,IF($D992="","",K992+M992+N992+O992),"")</f>
        <v/>
      </c>
      <c r="Q992" s="60" t="str">
        <f aca="false">IF(IsPro,IF($D992="","",IFERROR(MATCH($D992,Items!$A$5:$A$504,0),"")),"")</f>
        <v/>
      </c>
      <c r="R992" s="60" t="str">
        <f aca="false">IF(IsPro,IF($C992="","",IFERROR(MATCH($C992,Parties!$A$5:$A$304,0),"")),"")</f>
        <v/>
      </c>
      <c r="S992" s="61" t="str">
        <f aca="false">IF(IsPro,IF($D992="","",IF(OR($H992="",$H992="Credit"),0,P992)),"")</f>
        <v/>
      </c>
    </row>
    <row r="993" customFormat="false" ht="15" hidden="false" customHeight="false" outlineLevel="0" collapsed="false">
      <c r="A993" s="55"/>
      <c r="B993" s="56"/>
      <c r="C993" s="56"/>
      <c r="D993" s="56"/>
      <c r="E993" s="57"/>
      <c r="F993" s="58"/>
      <c r="G993" s="59"/>
      <c r="H993" s="56"/>
      <c r="I993" s="60" t="str">
        <f aca="false">IF(IsPro,IF($D993="","",IFERROR(INDEX(Items!$D$5:$D$504,Q993),"")),IF($D993="","","PRO PLAN"))</f>
        <v/>
      </c>
      <c r="J993" s="61" t="str">
        <f aca="false">IF(IsPro,IF($D993="","",IF($F993="",IFERROR(INDEX(Items!$G$5:$G$504,Q993),0),$F993)),"")</f>
        <v/>
      </c>
      <c r="K993" s="61" t="str">
        <f aca="false">IF(IsPro,IF($D993="","",ROUND(N($E993)*J993*(1-N($G993)),2)),"")</f>
        <v/>
      </c>
      <c r="L993" s="62" t="str">
        <f aca="false">IF(IsPro,IF($D993="","",IFERROR(INDEX(Items!$F$5:$F$504,Q993),0)),"")</f>
        <v/>
      </c>
      <c r="M993" s="61" t="str">
        <f aca="false">IF(IsPro,IF($D993="","",IF(AND(R993&lt;&gt;"",INDEX(Parties!$E$5:$E$304,R993)&lt;&gt;"",INDEX(Parties!$E$5:$E$304,R993)&lt;&gt;HomeState),0,ROUND(K993*L993/2,2))),"")</f>
        <v/>
      </c>
      <c r="N993" s="61" t="str">
        <f aca="false">IF(IsPro,IF($D993="","",M993),"")</f>
        <v/>
      </c>
      <c r="O993" s="61" t="str">
        <f aca="false">IF(IsPro,IF($D993="","",IF(AND(R993&lt;&gt;"",INDEX(Parties!$E$5:$E$304,R993)&lt;&gt;"",INDEX(Parties!$E$5:$E$304,R993)&lt;&gt;HomeState),ROUND(K993*L993,2),0)),"")</f>
        <v/>
      </c>
      <c r="P993" s="61" t="str">
        <f aca="false">IF(IsPro,IF($D993="","",K993+M993+N993+O993),"")</f>
        <v/>
      </c>
      <c r="Q993" s="60" t="str">
        <f aca="false">IF(IsPro,IF($D993="","",IFERROR(MATCH($D993,Items!$A$5:$A$504,0),"")),"")</f>
        <v/>
      </c>
      <c r="R993" s="60" t="str">
        <f aca="false">IF(IsPro,IF($C993="","",IFERROR(MATCH($C993,Parties!$A$5:$A$304,0),"")),"")</f>
        <v/>
      </c>
      <c r="S993" s="61" t="str">
        <f aca="false">IF(IsPro,IF($D993="","",IF(OR($H993="",$H993="Credit"),0,P993)),"")</f>
        <v/>
      </c>
    </row>
    <row r="994" customFormat="false" ht="15" hidden="false" customHeight="false" outlineLevel="0" collapsed="false">
      <c r="A994" s="55"/>
      <c r="B994" s="56"/>
      <c r="C994" s="56"/>
      <c r="D994" s="56"/>
      <c r="E994" s="57"/>
      <c r="F994" s="58"/>
      <c r="G994" s="59"/>
      <c r="H994" s="56"/>
      <c r="I994" s="60" t="str">
        <f aca="false">IF(IsPro,IF($D994="","",IFERROR(INDEX(Items!$D$5:$D$504,Q994),"")),IF($D994="","","PRO PLAN"))</f>
        <v/>
      </c>
      <c r="J994" s="61" t="str">
        <f aca="false">IF(IsPro,IF($D994="","",IF($F994="",IFERROR(INDEX(Items!$G$5:$G$504,Q994),0),$F994)),"")</f>
        <v/>
      </c>
      <c r="K994" s="61" t="str">
        <f aca="false">IF(IsPro,IF($D994="","",ROUND(N($E994)*J994*(1-N($G994)),2)),"")</f>
        <v/>
      </c>
      <c r="L994" s="62" t="str">
        <f aca="false">IF(IsPro,IF($D994="","",IFERROR(INDEX(Items!$F$5:$F$504,Q994),0)),"")</f>
        <v/>
      </c>
      <c r="M994" s="61" t="str">
        <f aca="false">IF(IsPro,IF($D994="","",IF(AND(R994&lt;&gt;"",INDEX(Parties!$E$5:$E$304,R994)&lt;&gt;"",INDEX(Parties!$E$5:$E$304,R994)&lt;&gt;HomeState),0,ROUND(K994*L994/2,2))),"")</f>
        <v/>
      </c>
      <c r="N994" s="61" t="str">
        <f aca="false">IF(IsPro,IF($D994="","",M994),"")</f>
        <v/>
      </c>
      <c r="O994" s="61" t="str">
        <f aca="false">IF(IsPro,IF($D994="","",IF(AND(R994&lt;&gt;"",INDEX(Parties!$E$5:$E$304,R994)&lt;&gt;"",INDEX(Parties!$E$5:$E$304,R994)&lt;&gt;HomeState),ROUND(K994*L994,2),0)),"")</f>
        <v/>
      </c>
      <c r="P994" s="61" t="str">
        <f aca="false">IF(IsPro,IF($D994="","",K994+M994+N994+O994),"")</f>
        <v/>
      </c>
      <c r="Q994" s="60" t="str">
        <f aca="false">IF(IsPro,IF($D994="","",IFERROR(MATCH($D994,Items!$A$5:$A$504,0),"")),"")</f>
        <v/>
      </c>
      <c r="R994" s="60" t="str">
        <f aca="false">IF(IsPro,IF($C994="","",IFERROR(MATCH($C994,Parties!$A$5:$A$304,0),"")),"")</f>
        <v/>
      </c>
      <c r="S994" s="61" t="str">
        <f aca="false">IF(IsPro,IF($D994="","",IF(OR($H994="",$H994="Credit"),0,P994)),"")</f>
        <v/>
      </c>
    </row>
    <row r="995" customFormat="false" ht="15" hidden="false" customHeight="false" outlineLevel="0" collapsed="false">
      <c r="A995" s="55"/>
      <c r="B995" s="56"/>
      <c r="C995" s="56"/>
      <c r="D995" s="56"/>
      <c r="E995" s="57"/>
      <c r="F995" s="58"/>
      <c r="G995" s="59"/>
      <c r="H995" s="56"/>
      <c r="I995" s="60" t="str">
        <f aca="false">IF(IsPro,IF($D995="","",IFERROR(INDEX(Items!$D$5:$D$504,Q995),"")),IF($D995="","","PRO PLAN"))</f>
        <v/>
      </c>
      <c r="J995" s="61" t="str">
        <f aca="false">IF(IsPro,IF($D995="","",IF($F995="",IFERROR(INDEX(Items!$G$5:$G$504,Q995),0),$F995)),"")</f>
        <v/>
      </c>
      <c r="K995" s="61" t="str">
        <f aca="false">IF(IsPro,IF($D995="","",ROUND(N($E995)*J995*(1-N($G995)),2)),"")</f>
        <v/>
      </c>
      <c r="L995" s="62" t="str">
        <f aca="false">IF(IsPro,IF($D995="","",IFERROR(INDEX(Items!$F$5:$F$504,Q995),0)),"")</f>
        <v/>
      </c>
      <c r="M995" s="61" t="str">
        <f aca="false">IF(IsPro,IF($D995="","",IF(AND(R995&lt;&gt;"",INDEX(Parties!$E$5:$E$304,R995)&lt;&gt;"",INDEX(Parties!$E$5:$E$304,R995)&lt;&gt;HomeState),0,ROUND(K995*L995/2,2))),"")</f>
        <v/>
      </c>
      <c r="N995" s="61" t="str">
        <f aca="false">IF(IsPro,IF($D995="","",M995),"")</f>
        <v/>
      </c>
      <c r="O995" s="61" t="str">
        <f aca="false">IF(IsPro,IF($D995="","",IF(AND(R995&lt;&gt;"",INDEX(Parties!$E$5:$E$304,R995)&lt;&gt;"",INDEX(Parties!$E$5:$E$304,R995)&lt;&gt;HomeState),ROUND(K995*L995,2),0)),"")</f>
        <v/>
      </c>
      <c r="P995" s="61" t="str">
        <f aca="false">IF(IsPro,IF($D995="","",K995+M995+N995+O995),"")</f>
        <v/>
      </c>
      <c r="Q995" s="60" t="str">
        <f aca="false">IF(IsPro,IF($D995="","",IFERROR(MATCH($D995,Items!$A$5:$A$504,0),"")),"")</f>
        <v/>
      </c>
      <c r="R995" s="60" t="str">
        <f aca="false">IF(IsPro,IF($C995="","",IFERROR(MATCH($C995,Parties!$A$5:$A$304,0),"")),"")</f>
        <v/>
      </c>
      <c r="S995" s="61" t="str">
        <f aca="false">IF(IsPro,IF($D995="","",IF(OR($H995="",$H995="Credit"),0,P995)),"")</f>
        <v/>
      </c>
    </row>
    <row r="996" customFormat="false" ht="15" hidden="false" customHeight="false" outlineLevel="0" collapsed="false">
      <c r="A996" s="55"/>
      <c r="B996" s="56"/>
      <c r="C996" s="56"/>
      <c r="D996" s="56"/>
      <c r="E996" s="57"/>
      <c r="F996" s="58"/>
      <c r="G996" s="59"/>
      <c r="H996" s="56"/>
      <c r="I996" s="60" t="str">
        <f aca="false">IF(IsPro,IF($D996="","",IFERROR(INDEX(Items!$D$5:$D$504,Q996),"")),IF($D996="","","PRO PLAN"))</f>
        <v/>
      </c>
      <c r="J996" s="61" t="str">
        <f aca="false">IF(IsPro,IF($D996="","",IF($F996="",IFERROR(INDEX(Items!$G$5:$G$504,Q996),0),$F996)),"")</f>
        <v/>
      </c>
      <c r="K996" s="61" t="str">
        <f aca="false">IF(IsPro,IF($D996="","",ROUND(N($E996)*J996*(1-N($G996)),2)),"")</f>
        <v/>
      </c>
      <c r="L996" s="62" t="str">
        <f aca="false">IF(IsPro,IF($D996="","",IFERROR(INDEX(Items!$F$5:$F$504,Q996),0)),"")</f>
        <v/>
      </c>
      <c r="M996" s="61" t="str">
        <f aca="false">IF(IsPro,IF($D996="","",IF(AND(R996&lt;&gt;"",INDEX(Parties!$E$5:$E$304,R996)&lt;&gt;"",INDEX(Parties!$E$5:$E$304,R996)&lt;&gt;HomeState),0,ROUND(K996*L996/2,2))),"")</f>
        <v/>
      </c>
      <c r="N996" s="61" t="str">
        <f aca="false">IF(IsPro,IF($D996="","",M996),"")</f>
        <v/>
      </c>
      <c r="O996" s="61" t="str">
        <f aca="false">IF(IsPro,IF($D996="","",IF(AND(R996&lt;&gt;"",INDEX(Parties!$E$5:$E$304,R996)&lt;&gt;"",INDEX(Parties!$E$5:$E$304,R996)&lt;&gt;HomeState),ROUND(K996*L996,2),0)),"")</f>
        <v/>
      </c>
      <c r="P996" s="61" t="str">
        <f aca="false">IF(IsPro,IF($D996="","",K996+M996+N996+O996),"")</f>
        <v/>
      </c>
      <c r="Q996" s="60" t="str">
        <f aca="false">IF(IsPro,IF($D996="","",IFERROR(MATCH($D996,Items!$A$5:$A$504,0),"")),"")</f>
        <v/>
      </c>
      <c r="R996" s="60" t="str">
        <f aca="false">IF(IsPro,IF($C996="","",IFERROR(MATCH($C996,Parties!$A$5:$A$304,0),"")),"")</f>
        <v/>
      </c>
      <c r="S996" s="61" t="str">
        <f aca="false">IF(IsPro,IF($D996="","",IF(OR($H996="",$H996="Credit"),0,P996)),"")</f>
        <v/>
      </c>
    </row>
    <row r="997" customFormat="false" ht="15" hidden="false" customHeight="false" outlineLevel="0" collapsed="false">
      <c r="A997" s="55"/>
      <c r="B997" s="56"/>
      <c r="C997" s="56"/>
      <c r="D997" s="56"/>
      <c r="E997" s="57"/>
      <c r="F997" s="58"/>
      <c r="G997" s="59"/>
      <c r="H997" s="56"/>
      <c r="I997" s="60" t="str">
        <f aca="false">IF(IsPro,IF($D997="","",IFERROR(INDEX(Items!$D$5:$D$504,Q997),"")),IF($D997="","","PRO PLAN"))</f>
        <v/>
      </c>
      <c r="J997" s="61" t="str">
        <f aca="false">IF(IsPro,IF($D997="","",IF($F997="",IFERROR(INDEX(Items!$G$5:$G$504,Q997),0),$F997)),"")</f>
        <v/>
      </c>
      <c r="K997" s="61" t="str">
        <f aca="false">IF(IsPro,IF($D997="","",ROUND(N($E997)*J997*(1-N($G997)),2)),"")</f>
        <v/>
      </c>
      <c r="L997" s="62" t="str">
        <f aca="false">IF(IsPro,IF($D997="","",IFERROR(INDEX(Items!$F$5:$F$504,Q997),0)),"")</f>
        <v/>
      </c>
      <c r="M997" s="61" t="str">
        <f aca="false">IF(IsPro,IF($D997="","",IF(AND(R997&lt;&gt;"",INDEX(Parties!$E$5:$E$304,R997)&lt;&gt;"",INDEX(Parties!$E$5:$E$304,R997)&lt;&gt;HomeState),0,ROUND(K997*L997/2,2))),"")</f>
        <v/>
      </c>
      <c r="N997" s="61" t="str">
        <f aca="false">IF(IsPro,IF($D997="","",M997),"")</f>
        <v/>
      </c>
      <c r="O997" s="61" t="str">
        <f aca="false">IF(IsPro,IF($D997="","",IF(AND(R997&lt;&gt;"",INDEX(Parties!$E$5:$E$304,R997)&lt;&gt;"",INDEX(Parties!$E$5:$E$304,R997)&lt;&gt;HomeState),ROUND(K997*L997,2),0)),"")</f>
        <v/>
      </c>
      <c r="P997" s="61" t="str">
        <f aca="false">IF(IsPro,IF($D997="","",K997+M997+N997+O997),"")</f>
        <v/>
      </c>
      <c r="Q997" s="60" t="str">
        <f aca="false">IF(IsPro,IF($D997="","",IFERROR(MATCH($D997,Items!$A$5:$A$504,0),"")),"")</f>
        <v/>
      </c>
      <c r="R997" s="60" t="str">
        <f aca="false">IF(IsPro,IF($C997="","",IFERROR(MATCH($C997,Parties!$A$5:$A$304,0),"")),"")</f>
        <v/>
      </c>
      <c r="S997" s="61" t="str">
        <f aca="false">IF(IsPro,IF($D997="","",IF(OR($H997="",$H997="Credit"),0,P997)),"")</f>
        <v/>
      </c>
    </row>
    <row r="998" customFormat="false" ht="15" hidden="false" customHeight="false" outlineLevel="0" collapsed="false">
      <c r="A998" s="55"/>
      <c r="B998" s="56"/>
      <c r="C998" s="56"/>
      <c r="D998" s="56"/>
      <c r="E998" s="57"/>
      <c r="F998" s="58"/>
      <c r="G998" s="59"/>
      <c r="H998" s="56"/>
      <c r="I998" s="60" t="str">
        <f aca="false">IF(IsPro,IF($D998="","",IFERROR(INDEX(Items!$D$5:$D$504,Q998),"")),IF($D998="","","PRO PLAN"))</f>
        <v/>
      </c>
      <c r="J998" s="61" t="str">
        <f aca="false">IF(IsPro,IF($D998="","",IF($F998="",IFERROR(INDEX(Items!$G$5:$G$504,Q998),0),$F998)),"")</f>
        <v/>
      </c>
      <c r="K998" s="61" t="str">
        <f aca="false">IF(IsPro,IF($D998="","",ROUND(N($E998)*J998*(1-N($G998)),2)),"")</f>
        <v/>
      </c>
      <c r="L998" s="62" t="str">
        <f aca="false">IF(IsPro,IF($D998="","",IFERROR(INDEX(Items!$F$5:$F$504,Q998),0)),"")</f>
        <v/>
      </c>
      <c r="M998" s="61" t="str">
        <f aca="false">IF(IsPro,IF($D998="","",IF(AND(R998&lt;&gt;"",INDEX(Parties!$E$5:$E$304,R998)&lt;&gt;"",INDEX(Parties!$E$5:$E$304,R998)&lt;&gt;HomeState),0,ROUND(K998*L998/2,2))),"")</f>
        <v/>
      </c>
      <c r="N998" s="61" t="str">
        <f aca="false">IF(IsPro,IF($D998="","",M998),"")</f>
        <v/>
      </c>
      <c r="O998" s="61" t="str">
        <f aca="false">IF(IsPro,IF($D998="","",IF(AND(R998&lt;&gt;"",INDEX(Parties!$E$5:$E$304,R998)&lt;&gt;"",INDEX(Parties!$E$5:$E$304,R998)&lt;&gt;HomeState),ROUND(K998*L998,2),0)),"")</f>
        <v/>
      </c>
      <c r="P998" s="61" t="str">
        <f aca="false">IF(IsPro,IF($D998="","",K998+M998+N998+O998),"")</f>
        <v/>
      </c>
      <c r="Q998" s="60" t="str">
        <f aca="false">IF(IsPro,IF($D998="","",IFERROR(MATCH($D998,Items!$A$5:$A$504,0),"")),"")</f>
        <v/>
      </c>
      <c r="R998" s="60" t="str">
        <f aca="false">IF(IsPro,IF($C998="","",IFERROR(MATCH($C998,Parties!$A$5:$A$304,0),"")),"")</f>
        <v/>
      </c>
      <c r="S998" s="61" t="str">
        <f aca="false">IF(IsPro,IF($D998="","",IF(OR($H998="",$H998="Credit"),0,P998)),"")</f>
        <v/>
      </c>
    </row>
    <row r="999" customFormat="false" ht="15" hidden="false" customHeight="false" outlineLevel="0" collapsed="false">
      <c r="A999" s="55"/>
      <c r="B999" s="56"/>
      <c r="C999" s="56"/>
      <c r="D999" s="56"/>
      <c r="E999" s="57"/>
      <c r="F999" s="58"/>
      <c r="G999" s="59"/>
      <c r="H999" s="56"/>
      <c r="I999" s="60" t="str">
        <f aca="false">IF(IsPro,IF($D999="","",IFERROR(INDEX(Items!$D$5:$D$504,Q999),"")),IF($D999="","","PRO PLAN"))</f>
        <v/>
      </c>
      <c r="J999" s="61" t="str">
        <f aca="false">IF(IsPro,IF($D999="","",IF($F999="",IFERROR(INDEX(Items!$G$5:$G$504,Q999),0),$F999)),"")</f>
        <v/>
      </c>
      <c r="K999" s="61" t="str">
        <f aca="false">IF(IsPro,IF($D999="","",ROUND(N($E999)*J999*(1-N($G999)),2)),"")</f>
        <v/>
      </c>
      <c r="L999" s="62" t="str">
        <f aca="false">IF(IsPro,IF($D999="","",IFERROR(INDEX(Items!$F$5:$F$504,Q999),0)),"")</f>
        <v/>
      </c>
      <c r="M999" s="61" t="str">
        <f aca="false">IF(IsPro,IF($D999="","",IF(AND(R999&lt;&gt;"",INDEX(Parties!$E$5:$E$304,R999)&lt;&gt;"",INDEX(Parties!$E$5:$E$304,R999)&lt;&gt;HomeState),0,ROUND(K999*L999/2,2))),"")</f>
        <v/>
      </c>
      <c r="N999" s="61" t="str">
        <f aca="false">IF(IsPro,IF($D999="","",M999),"")</f>
        <v/>
      </c>
      <c r="O999" s="61" t="str">
        <f aca="false">IF(IsPro,IF($D999="","",IF(AND(R999&lt;&gt;"",INDEX(Parties!$E$5:$E$304,R999)&lt;&gt;"",INDEX(Parties!$E$5:$E$304,R999)&lt;&gt;HomeState),ROUND(K999*L999,2),0)),"")</f>
        <v/>
      </c>
      <c r="P999" s="61" t="str">
        <f aca="false">IF(IsPro,IF($D999="","",K999+M999+N999+O999),"")</f>
        <v/>
      </c>
      <c r="Q999" s="60" t="str">
        <f aca="false">IF(IsPro,IF($D999="","",IFERROR(MATCH($D999,Items!$A$5:$A$504,0),"")),"")</f>
        <v/>
      </c>
      <c r="R999" s="60" t="str">
        <f aca="false">IF(IsPro,IF($C999="","",IFERROR(MATCH($C999,Parties!$A$5:$A$304,0),"")),"")</f>
        <v/>
      </c>
      <c r="S999" s="61" t="str">
        <f aca="false">IF(IsPro,IF($D999="","",IF(OR($H999="",$H999="Credit"),0,P999)),"")</f>
        <v/>
      </c>
    </row>
    <row r="1000" customFormat="false" ht="15" hidden="false" customHeight="false" outlineLevel="0" collapsed="false">
      <c r="A1000" s="55"/>
      <c r="B1000" s="56"/>
      <c r="C1000" s="56"/>
      <c r="D1000" s="56"/>
      <c r="E1000" s="57"/>
      <c r="F1000" s="58"/>
      <c r="G1000" s="59"/>
      <c r="H1000" s="56"/>
      <c r="I1000" s="60" t="str">
        <f aca="false">IF(IsPro,IF($D1000="","",IFERROR(INDEX(Items!$D$5:$D$504,Q1000),"")),IF($D1000="","","PRO PLAN"))</f>
        <v/>
      </c>
      <c r="J1000" s="61" t="str">
        <f aca="false">IF(IsPro,IF($D1000="","",IF($F1000="",IFERROR(INDEX(Items!$G$5:$G$504,Q1000),0),$F1000)),"")</f>
        <v/>
      </c>
      <c r="K1000" s="61" t="str">
        <f aca="false">IF(IsPro,IF($D1000="","",ROUND(N($E1000)*J1000*(1-N($G1000)),2)),"")</f>
        <v/>
      </c>
      <c r="L1000" s="62" t="str">
        <f aca="false">IF(IsPro,IF($D1000="","",IFERROR(INDEX(Items!$F$5:$F$504,Q1000),0)),"")</f>
        <v/>
      </c>
      <c r="M1000" s="61" t="str">
        <f aca="false">IF(IsPro,IF($D1000="","",IF(AND(R1000&lt;&gt;"",INDEX(Parties!$E$5:$E$304,R1000)&lt;&gt;"",INDEX(Parties!$E$5:$E$304,R1000)&lt;&gt;HomeState),0,ROUND(K1000*L1000/2,2))),"")</f>
        <v/>
      </c>
      <c r="N1000" s="61" t="str">
        <f aca="false">IF(IsPro,IF($D1000="","",M1000),"")</f>
        <v/>
      </c>
      <c r="O1000" s="61" t="str">
        <f aca="false">IF(IsPro,IF($D1000="","",IF(AND(R1000&lt;&gt;"",INDEX(Parties!$E$5:$E$304,R1000)&lt;&gt;"",INDEX(Parties!$E$5:$E$304,R1000)&lt;&gt;HomeState),ROUND(K1000*L1000,2),0)),"")</f>
        <v/>
      </c>
      <c r="P1000" s="61" t="str">
        <f aca="false">IF(IsPro,IF($D1000="","",K1000+M1000+N1000+O1000),"")</f>
        <v/>
      </c>
      <c r="Q1000" s="60" t="str">
        <f aca="false">IF(IsPro,IF($D1000="","",IFERROR(MATCH($D1000,Items!$A$5:$A$504,0),"")),"")</f>
        <v/>
      </c>
      <c r="R1000" s="60" t="str">
        <f aca="false">IF(IsPro,IF($C1000="","",IFERROR(MATCH($C1000,Parties!$A$5:$A$304,0),"")),"")</f>
        <v/>
      </c>
      <c r="S1000" s="61" t="str">
        <f aca="false">IF(IsPro,IF($D1000="","",IF(OR($H1000="",$H1000="Credit"),0,P1000)),"")</f>
        <v/>
      </c>
    </row>
    <row r="1001" customFormat="false" ht="15" hidden="false" customHeight="false" outlineLevel="0" collapsed="false">
      <c r="A1001" s="55"/>
      <c r="B1001" s="56"/>
      <c r="C1001" s="56"/>
      <c r="D1001" s="56"/>
      <c r="E1001" s="57"/>
      <c r="F1001" s="58"/>
      <c r="G1001" s="59"/>
      <c r="H1001" s="56"/>
      <c r="I1001" s="60" t="str">
        <f aca="false">IF(IsPro,IF($D1001="","",IFERROR(INDEX(Items!$D$5:$D$504,Q1001),"")),IF($D1001="","","PRO PLAN"))</f>
        <v/>
      </c>
      <c r="J1001" s="61" t="str">
        <f aca="false">IF(IsPro,IF($D1001="","",IF($F1001="",IFERROR(INDEX(Items!$G$5:$G$504,Q1001),0),$F1001)),"")</f>
        <v/>
      </c>
      <c r="K1001" s="61" t="str">
        <f aca="false">IF(IsPro,IF($D1001="","",ROUND(N($E1001)*J1001*(1-N($G1001)),2)),"")</f>
        <v/>
      </c>
      <c r="L1001" s="62" t="str">
        <f aca="false">IF(IsPro,IF($D1001="","",IFERROR(INDEX(Items!$F$5:$F$504,Q1001),0)),"")</f>
        <v/>
      </c>
      <c r="M1001" s="61" t="str">
        <f aca="false">IF(IsPro,IF($D1001="","",IF(AND(R1001&lt;&gt;"",INDEX(Parties!$E$5:$E$304,R1001)&lt;&gt;"",INDEX(Parties!$E$5:$E$304,R1001)&lt;&gt;HomeState),0,ROUND(K1001*L1001/2,2))),"")</f>
        <v/>
      </c>
      <c r="N1001" s="61" t="str">
        <f aca="false">IF(IsPro,IF($D1001="","",M1001),"")</f>
        <v/>
      </c>
      <c r="O1001" s="61" t="str">
        <f aca="false">IF(IsPro,IF($D1001="","",IF(AND(R1001&lt;&gt;"",INDEX(Parties!$E$5:$E$304,R1001)&lt;&gt;"",INDEX(Parties!$E$5:$E$304,R1001)&lt;&gt;HomeState),ROUND(K1001*L1001,2),0)),"")</f>
        <v/>
      </c>
      <c r="P1001" s="61" t="str">
        <f aca="false">IF(IsPro,IF($D1001="","",K1001+M1001+N1001+O1001),"")</f>
        <v/>
      </c>
      <c r="Q1001" s="60" t="str">
        <f aca="false">IF(IsPro,IF($D1001="","",IFERROR(MATCH($D1001,Items!$A$5:$A$504,0),"")),"")</f>
        <v/>
      </c>
      <c r="R1001" s="60" t="str">
        <f aca="false">IF(IsPro,IF($C1001="","",IFERROR(MATCH($C1001,Parties!$A$5:$A$304,0),"")),"")</f>
        <v/>
      </c>
      <c r="S1001" s="61" t="str">
        <f aca="false">IF(IsPro,IF($D1001="","",IF(OR($H1001="",$H1001="Credit"),0,P1001)),"")</f>
        <v/>
      </c>
    </row>
    <row r="1002" customFormat="false" ht="15" hidden="false" customHeight="false" outlineLevel="0" collapsed="false">
      <c r="A1002" s="55"/>
      <c r="B1002" s="56"/>
      <c r="C1002" s="56"/>
      <c r="D1002" s="56"/>
      <c r="E1002" s="57"/>
      <c r="F1002" s="58"/>
      <c r="G1002" s="59"/>
      <c r="H1002" s="56"/>
      <c r="I1002" s="60" t="str">
        <f aca="false">IF(IsPro,IF($D1002="","",IFERROR(INDEX(Items!$D$5:$D$504,Q1002),"")),IF($D1002="","","PRO PLAN"))</f>
        <v/>
      </c>
      <c r="J1002" s="61" t="str">
        <f aca="false">IF(IsPro,IF($D1002="","",IF($F1002="",IFERROR(INDEX(Items!$G$5:$G$504,Q1002),0),$F1002)),"")</f>
        <v/>
      </c>
      <c r="K1002" s="61" t="str">
        <f aca="false">IF(IsPro,IF($D1002="","",ROUND(N($E1002)*J1002*(1-N($G1002)),2)),"")</f>
        <v/>
      </c>
      <c r="L1002" s="62" t="str">
        <f aca="false">IF(IsPro,IF($D1002="","",IFERROR(INDEX(Items!$F$5:$F$504,Q1002),0)),"")</f>
        <v/>
      </c>
      <c r="M1002" s="61" t="str">
        <f aca="false">IF(IsPro,IF($D1002="","",IF(AND(R1002&lt;&gt;"",INDEX(Parties!$E$5:$E$304,R1002)&lt;&gt;"",INDEX(Parties!$E$5:$E$304,R1002)&lt;&gt;HomeState),0,ROUND(K1002*L1002/2,2))),"")</f>
        <v/>
      </c>
      <c r="N1002" s="61" t="str">
        <f aca="false">IF(IsPro,IF($D1002="","",M1002),"")</f>
        <v/>
      </c>
      <c r="O1002" s="61" t="str">
        <f aca="false">IF(IsPro,IF($D1002="","",IF(AND(R1002&lt;&gt;"",INDEX(Parties!$E$5:$E$304,R1002)&lt;&gt;"",INDEX(Parties!$E$5:$E$304,R1002)&lt;&gt;HomeState),ROUND(K1002*L1002,2),0)),"")</f>
        <v/>
      </c>
      <c r="P1002" s="61" t="str">
        <f aca="false">IF(IsPro,IF($D1002="","",K1002+M1002+N1002+O1002),"")</f>
        <v/>
      </c>
      <c r="Q1002" s="60" t="str">
        <f aca="false">IF(IsPro,IF($D1002="","",IFERROR(MATCH($D1002,Items!$A$5:$A$504,0),"")),"")</f>
        <v/>
      </c>
      <c r="R1002" s="60" t="str">
        <f aca="false">IF(IsPro,IF($C1002="","",IFERROR(MATCH($C1002,Parties!$A$5:$A$304,0),"")),"")</f>
        <v/>
      </c>
      <c r="S1002" s="61" t="str">
        <f aca="false">IF(IsPro,IF($D1002="","",IF(OR($H1002="",$H1002="Credit"),0,P1002)),"")</f>
        <v/>
      </c>
    </row>
    <row r="1003" customFormat="false" ht="15" hidden="false" customHeight="false" outlineLevel="0" collapsed="false">
      <c r="A1003" s="55"/>
      <c r="B1003" s="56"/>
      <c r="C1003" s="56"/>
      <c r="D1003" s="56"/>
      <c r="E1003" s="57"/>
      <c r="F1003" s="58"/>
      <c r="G1003" s="59"/>
      <c r="H1003" s="56"/>
      <c r="I1003" s="60" t="str">
        <f aca="false">IF(IsPro,IF($D1003="","",IFERROR(INDEX(Items!$D$5:$D$504,Q1003),"")),IF($D1003="","","PRO PLAN"))</f>
        <v/>
      </c>
      <c r="J1003" s="61" t="str">
        <f aca="false">IF(IsPro,IF($D1003="","",IF($F1003="",IFERROR(INDEX(Items!$G$5:$G$504,Q1003),0),$F1003)),"")</f>
        <v/>
      </c>
      <c r="K1003" s="61" t="str">
        <f aca="false">IF(IsPro,IF($D1003="","",ROUND(N($E1003)*J1003*(1-N($G1003)),2)),"")</f>
        <v/>
      </c>
      <c r="L1003" s="62" t="str">
        <f aca="false">IF(IsPro,IF($D1003="","",IFERROR(INDEX(Items!$F$5:$F$504,Q1003),0)),"")</f>
        <v/>
      </c>
      <c r="M1003" s="61" t="str">
        <f aca="false">IF(IsPro,IF($D1003="","",IF(AND(R1003&lt;&gt;"",INDEX(Parties!$E$5:$E$304,R1003)&lt;&gt;"",INDEX(Parties!$E$5:$E$304,R1003)&lt;&gt;HomeState),0,ROUND(K1003*L1003/2,2))),"")</f>
        <v/>
      </c>
      <c r="N1003" s="61" t="str">
        <f aca="false">IF(IsPro,IF($D1003="","",M1003),"")</f>
        <v/>
      </c>
      <c r="O1003" s="61" t="str">
        <f aca="false">IF(IsPro,IF($D1003="","",IF(AND(R1003&lt;&gt;"",INDEX(Parties!$E$5:$E$304,R1003)&lt;&gt;"",INDEX(Parties!$E$5:$E$304,R1003)&lt;&gt;HomeState),ROUND(K1003*L1003,2),0)),"")</f>
        <v/>
      </c>
      <c r="P1003" s="61" t="str">
        <f aca="false">IF(IsPro,IF($D1003="","",K1003+M1003+N1003+O1003),"")</f>
        <v/>
      </c>
      <c r="Q1003" s="60" t="str">
        <f aca="false">IF(IsPro,IF($D1003="","",IFERROR(MATCH($D1003,Items!$A$5:$A$504,0),"")),"")</f>
        <v/>
      </c>
      <c r="R1003" s="60" t="str">
        <f aca="false">IF(IsPro,IF($C1003="","",IFERROR(MATCH($C1003,Parties!$A$5:$A$304,0),"")),"")</f>
        <v/>
      </c>
      <c r="S1003" s="61" t="str">
        <f aca="false">IF(IsPro,IF($D1003="","",IF(OR($H1003="",$H1003="Credit"),0,P1003)),"")</f>
        <v/>
      </c>
    </row>
    <row r="1004" customFormat="false" ht="15" hidden="false" customHeight="false" outlineLevel="0" collapsed="false">
      <c r="A1004" s="55"/>
      <c r="B1004" s="56"/>
      <c r="C1004" s="56"/>
      <c r="D1004" s="56"/>
      <c r="E1004" s="57"/>
      <c r="F1004" s="58"/>
      <c r="G1004" s="59"/>
      <c r="H1004" s="56"/>
      <c r="I1004" s="60" t="str">
        <f aca="false">IF(IsPro,IF($D1004="","",IFERROR(INDEX(Items!$D$5:$D$504,Q1004),"")),IF($D1004="","","PRO PLAN"))</f>
        <v/>
      </c>
      <c r="J1004" s="61" t="str">
        <f aca="false">IF(IsPro,IF($D1004="","",IF($F1004="",IFERROR(INDEX(Items!$G$5:$G$504,Q1004),0),$F1004)),"")</f>
        <v/>
      </c>
      <c r="K1004" s="61" t="str">
        <f aca="false">IF(IsPro,IF($D1004="","",ROUND(N($E1004)*J1004*(1-N($G1004)),2)),"")</f>
        <v/>
      </c>
      <c r="L1004" s="62" t="str">
        <f aca="false">IF(IsPro,IF($D1004="","",IFERROR(INDEX(Items!$F$5:$F$504,Q1004),0)),"")</f>
        <v/>
      </c>
      <c r="M1004" s="61" t="str">
        <f aca="false">IF(IsPro,IF($D1004="","",IF(AND(R1004&lt;&gt;"",INDEX(Parties!$E$5:$E$304,R1004)&lt;&gt;"",INDEX(Parties!$E$5:$E$304,R1004)&lt;&gt;HomeState),0,ROUND(K1004*L1004/2,2))),"")</f>
        <v/>
      </c>
      <c r="N1004" s="61" t="str">
        <f aca="false">IF(IsPro,IF($D1004="","",M1004),"")</f>
        <v/>
      </c>
      <c r="O1004" s="61" t="str">
        <f aca="false">IF(IsPro,IF($D1004="","",IF(AND(R1004&lt;&gt;"",INDEX(Parties!$E$5:$E$304,R1004)&lt;&gt;"",INDEX(Parties!$E$5:$E$304,R1004)&lt;&gt;HomeState),ROUND(K1004*L1004,2),0)),"")</f>
        <v/>
      </c>
      <c r="P1004" s="61" t="str">
        <f aca="false">IF(IsPro,IF($D1004="","",K1004+M1004+N1004+O1004),"")</f>
        <v/>
      </c>
      <c r="Q1004" s="60" t="str">
        <f aca="false">IF(IsPro,IF($D1004="","",IFERROR(MATCH($D1004,Items!$A$5:$A$504,0),"")),"")</f>
        <v/>
      </c>
      <c r="R1004" s="60" t="str">
        <f aca="false">IF(IsPro,IF($C1004="","",IFERROR(MATCH($C1004,Parties!$A$5:$A$304,0),"")),"")</f>
        <v/>
      </c>
      <c r="S1004" s="61" t="str">
        <f aca="false">IF(IsPro,IF($D1004="","",IF(OR($H1004="",$H1004="Credit"),0,P1004)),"")</f>
        <v/>
      </c>
    </row>
    <row r="1005" customFormat="false" ht="15" hidden="false" customHeight="false" outlineLevel="0" collapsed="false">
      <c r="A1005" s="55"/>
      <c r="B1005" s="56"/>
      <c r="C1005" s="56"/>
      <c r="D1005" s="56"/>
      <c r="E1005" s="57"/>
      <c r="F1005" s="58"/>
      <c r="G1005" s="59"/>
      <c r="H1005" s="56"/>
      <c r="I1005" s="60" t="str">
        <f aca="false">IF(IsPro,IF($D1005="","",IFERROR(INDEX(Items!$D$5:$D$504,Q1005),"")),IF($D1005="","","PRO PLAN"))</f>
        <v/>
      </c>
      <c r="J1005" s="61" t="str">
        <f aca="false">IF(IsPro,IF($D1005="","",IF($F1005="",IFERROR(INDEX(Items!$G$5:$G$504,Q1005),0),$F1005)),"")</f>
        <v/>
      </c>
      <c r="K1005" s="61" t="str">
        <f aca="false">IF(IsPro,IF($D1005="","",ROUND(N($E1005)*J1005*(1-N($G1005)),2)),"")</f>
        <v/>
      </c>
      <c r="L1005" s="62" t="str">
        <f aca="false">IF(IsPro,IF($D1005="","",IFERROR(INDEX(Items!$F$5:$F$504,Q1005),0)),"")</f>
        <v/>
      </c>
      <c r="M1005" s="61" t="str">
        <f aca="false">IF(IsPro,IF($D1005="","",IF(AND(R1005&lt;&gt;"",INDEX(Parties!$E$5:$E$304,R1005)&lt;&gt;"",INDEX(Parties!$E$5:$E$304,R1005)&lt;&gt;HomeState),0,ROUND(K1005*L1005/2,2))),"")</f>
        <v/>
      </c>
      <c r="N1005" s="61" t="str">
        <f aca="false">IF(IsPro,IF($D1005="","",M1005),"")</f>
        <v/>
      </c>
      <c r="O1005" s="61" t="str">
        <f aca="false">IF(IsPro,IF($D1005="","",IF(AND(R1005&lt;&gt;"",INDEX(Parties!$E$5:$E$304,R1005)&lt;&gt;"",INDEX(Parties!$E$5:$E$304,R1005)&lt;&gt;HomeState),ROUND(K1005*L1005,2),0)),"")</f>
        <v/>
      </c>
      <c r="P1005" s="61" t="str">
        <f aca="false">IF(IsPro,IF($D1005="","",K1005+M1005+N1005+O1005),"")</f>
        <v/>
      </c>
      <c r="Q1005" s="60" t="str">
        <f aca="false">IF(IsPro,IF($D1005="","",IFERROR(MATCH($D1005,Items!$A$5:$A$504,0),"")),"")</f>
        <v/>
      </c>
      <c r="R1005" s="60" t="str">
        <f aca="false">IF(IsPro,IF($C1005="","",IFERROR(MATCH($C1005,Parties!$A$5:$A$304,0),"")),"")</f>
        <v/>
      </c>
      <c r="S1005" s="61" t="str">
        <f aca="false">IF(IsPro,IF($D1005="","",IF(OR($H1005="",$H1005="Credit"),0,P1005)),"")</f>
        <v/>
      </c>
    </row>
    <row r="1006" customFormat="false" ht="15" hidden="false" customHeight="false" outlineLevel="0" collapsed="false">
      <c r="A1006" s="55"/>
      <c r="B1006" s="56"/>
      <c r="C1006" s="56"/>
      <c r="D1006" s="56"/>
      <c r="E1006" s="57"/>
      <c r="F1006" s="58"/>
      <c r="G1006" s="59"/>
      <c r="H1006" s="56"/>
      <c r="I1006" s="60" t="str">
        <f aca="false">IF(IsPro,IF($D1006="","",IFERROR(INDEX(Items!$D$5:$D$504,Q1006),"")),IF($D1006="","","PRO PLAN"))</f>
        <v/>
      </c>
      <c r="J1006" s="61" t="str">
        <f aca="false">IF(IsPro,IF($D1006="","",IF($F1006="",IFERROR(INDEX(Items!$G$5:$G$504,Q1006),0),$F1006)),"")</f>
        <v/>
      </c>
      <c r="K1006" s="61" t="str">
        <f aca="false">IF(IsPro,IF($D1006="","",ROUND(N($E1006)*J1006*(1-N($G1006)),2)),"")</f>
        <v/>
      </c>
      <c r="L1006" s="62" t="str">
        <f aca="false">IF(IsPro,IF($D1006="","",IFERROR(INDEX(Items!$F$5:$F$504,Q1006),0)),"")</f>
        <v/>
      </c>
      <c r="M1006" s="61" t="str">
        <f aca="false">IF(IsPro,IF($D1006="","",IF(AND(R1006&lt;&gt;"",INDEX(Parties!$E$5:$E$304,R1006)&lt;&gt;"",INDEX(Parties!$E$5:$E$304,R1006)&lt;&gt;HomeState),0,ROUND(K1006*L1006/2,2))),"")</f>
        <v/>
      </c>
      <c r="N1006" s="61" t="str">
        <f aca="false">IF(IsPro,IF($D1006="","",M1006),"")</f>
        <v/>
      </c>
      <c r="O1006" s="61" t="str">
        <f aca="false">IF(IsPro,IF($D1006="","",IF(AND(R1006&lt;&gt;"",INDEX(Parties!$E$5:$E$304,R1006)&lt;&gt;"",INDEX(Parties!$E$5:$E$304,R1006)&lt;&gt;HomeState),ROUND(K1006*L1006,2),0)),"")</f>
        <v/>
      </c>
      <c r="P1006" s="61" t="str">
        <f aca="false">IF(IsPro,IF($D1006="","",K1006+M1006+N1006+O1006),"")</f>
        <v/>
      </c>
      <c r="Q1006" s="60" t="str">
        <f aca="false">IF(IsPro,IF($D1006="","",IFERROR(MATCH($D1006,Items!$A$5:$A$504,0),"")),"")</f>
        <v/>
      </c>
      <c r="R1006" s="60" t="str">
        <f aca="false">IF(IsPro,IF($C1006="","",IFERROR(MATCH($C1006,Parties!$A$5:$A$304,0),"")),"")</f>
        <v/>
      </c>
      <c r="S1006" s="61" t="str">
        <f aca="false">IF(IsPro,IF($D1006="","",IF(OR($H1006="",$H1006="Credit"),0,P1006)),"")</f>
        <v/>
      </c>
    </row>
    <row r="1007" customFormat="false" ht="15" hidden="false" customHeight="false" outlineLevel="0" collapsed="false">
      <c r="A1007" s="55"/>
      <c r="B1007" s="56"/>
      <c r="C1007" s="56"/>
      <c r="D1007" s="56"/>
      <c r="E1007" s="57"/>
      <c r="F1007" s="58"/>
      <c r="G1007" s="59"/>
      <c r="H1007" s="56"/>
      <c r="I1007" s="60" t="str">
        <f aca="false">IF(IsPro,IF($D1007="","",IFERROR(INDEX(Items!$D$5:$D$504,Q1007),"")),IF($D1007="","","PRO PLAN"))</f>
        <v/>
      </c>
      <c r="J1007" s="61" t="str">
        <f aca="false">IF(IsPro,IF($D1007="","",IF($F1007="",IFERROR(INDEX(Items!$G$5:$G$504,Q1007),0),$F1007)),"")</f>
        <v/>
      </c>
      <c r="K1007" s="61" t="str">
        <f aca="false">IF(IsPro,IF($D1007="","",ROUND(N($E1007)*J1007*(1-N($G1007)),2)),"")</f>
        <v/>
      </c>
      <c r="L1007" s="62" t="str">
        <f aca="false">IF(IsPro,IF($D1007="","",IFERROR(INDEX(Items!$F$5:$F$504,Q1007),0)),"")</f>
        <v/>
      </c>
      <c r="M1007" s="61" t="str">
        <f aca="false">IF(IsPro,IF($D1007="","",IF(AND(R1007&lt;&gt;"",INDEX(Parties!$E$5:$E$304,R1007)&lt;&gt;"",INDEX(Parties!$E$5:$E$304,R1007)&lt;&gt;HomeState),0,ROUND(K1007*L1007/2,2))),"")</f>
        <v/>
      </c>
      <c r="N1007" s="61" t="str">
        <f aca="false">IF(IsPro,IF($D1007="","",M1007),"")</f>
        <v/>
      </c>
      <c r="O1007" s="61" t="str">
        <f aca="false">IF(IsPro,IF($D1007="","",IF(AND(R1007&lt;&gt;"",INDEX(Parties!$E$5:$E$304,R1007)&lt;&gt;"",INDEX(Parties!$E$5:$E$304,R1007)&lt;&gt;HomeState),ROUND(K1007*L1007,2),0)),"")</f>
        <v/>
      </c>
      <c r="P1007" s="61" t="str">
        <f aca="false">IF(IsPro,IF($D1007="","",K1007+M1007+N1007+O1007),"")</f>
        <v/>
      </c>
      <c r="Q1007" s="60" t="str">
        <f aca="false">IF(IsPro,IF($D1007="","",IFERROR(MATCH($D1007,Items!$A$5:$A$504,0),"")),"")</f>
        <v/>
      </c>
      <c r="R1007" s="60" t="str">
        <f aca="false">IF(IsPro,IF($C1007="","",IFERROR(MATCH($C1007,Parties!$A$5:$A$304,0),"")),"")</f>
        <v/>
      </c>
      <c r="S1007" s="61" t="str">
        <f aca="false">IF(IsPro,IF($D1007="","",IF(OR($H1007="",$H1007="Credit"),0,P1007)),"")</f>
        <v/>
      </c>
    </row>
    <row r="1008" customFormat="false" ht="15" hidden="false" customHeight="false" outlineLevel="0" collapsed="false">
      <c r="A1008" s="55"/>
      <c r="B1008" s="56"/>
      <c r="C1008" s="56"/>
      <c r="D1008" s="56"/>
      <c r="E1008" s="57"/>
      <c r="F1008" s="58"/>
      <c r="G1008" s="59"/>
      <c r="H1008" s="56"/>
      <c r="I1008" s="60" t="str">
        <f aca="false">IF(IsPro,IF($D1008="","",IFERROR(INDEX(Items!$D$5:$D$504,Q1008),"")),IF($D1008="","","PRO PLAN"))</f>
        <v/>
      </c>
      <c r="J1008" s="61" t="str">
        <f aca="false">IF(IsPro,IF($D1008="","",IF($F1008="",IFERROR(INDEX(Items!$G$5:$G$504,Q1008),0),$F1008)),"")</f>
        <v/>
      </c>
      <c r="K1008" s="61" t="str">
        <f aca="false">IF(IsPro,IF($D1008="","",ROUND(N($E1008)*J1008*(1-N($G1008)),2)),"")</f>
        <v/>
      </c>
      <c r="L1008" s="62" t="str">
        <f aca="false">IF(IsPro,IF($D1008="","",IFERROR(INDEX(Items!$F$5:$F$504,Q1008),0)),"")</f>
        <v/>
      </c>
      <c r="M1008" s="61" t="str">
        <f aca="false">IF(IsPro,IF($D1008="","",IF(AND(R1008&lt;&gt;"",INDEX(Parties!$E$5:$E$304,R1008)&lt;&gt;"",INDEX(Parties!$E$5:$E$304,R1008)&lt;&gt;HomeState),0,ROUND(K1008*L1008/2,2))),"")</f>
        <v/>
      </c>
      <c r="N1008" s="61" t="str">
        <f aca="false">IF(IsPro,IF($D1008="","",M1008),"")</f>
        <v/>
      </c>
      <c r="O1008" s="61" t="str">
        <f aca="false">IF(IsPro,IF($D1008="","",IF(AND(R1008&lt;&gt;"",INDEX(Parties!$E$5:$E$304,R1008)&lt;&gt;"",INDEX(Parties!$E$5:$E$304,R1008)&lt;&gt;HomeState),ROUND(K1008*L1008,2),0)),"")</f>
        <v/>
      </c>
      <c r="P1008" s="61" t="str">
        <f aca="false">IF(IsPro,IF($D1008="","",K1008+M1008+N1008+O1008),"")</f>
        <v/>
      </c>
      <c r="Q1008" s="60" t="str">
        <f aca="false">IF(IsPro,IF($D1008="","",IFERROR(MATCH($D1008,Items!$A$5:$A$504,0),"")),"")</f>
        <v/>
      </c>
      <c r="R1008" s="60" t="str">
        <f aca="false">IF(IsPro,IF($C1008="","",IFERROR(MATCH($C1008,Parties!$A$5:$A$304,0),"")),"")</f>
        <v/>
      </c>
      <c r="S1008" s="61" t="str">
        <f aca="false">IF(IsPro,IF($D1008="","",IF(OR($H1008="",$H1008="Credit"),0,P1008)),"")</f>
        <v/>
      </c>
    </row>
    <row r="1009" customFormat="false" ht="15" hidden="false" customHeight="false" outlineLevel="0" collapsed="false">
      <c r="A1009" s="55"/>
      <c r="B1009" s="56"/>
      <c r="C1009" s="56"/>
      <c r="D1009" s="56"/>
      <c r="E1009" s="57"/>
      <c r="F1009" s="58"/>
      <c r="G1009" s="59"/>
      <c r="H1009" s="56"/>
      <c r="I1009" s="60" t="str">
        <f aca="false">IF(IsPro,IF($D1009="","",IFERROR(INDEX(Items!$D$5:$D$504,Q1009),"")),IF($D1009="","","PRO PLAN"))</f>
        <v/>
      </c>
      <c r="J1009" s="61" t="str">
        <f aca="false">IF(IsPro,IF($D1009="","",IF($F1009="",IFERROR(INDEX(Items!$G$5:$G$504,Q1009),0),$F1009)),"")</f>
        <v/>
      </c>
      <c r="K1009" s="61" t="str">
        <f aca="false">IF(IsPro,IF($D1009="","",ROUND(N($E1009)*J1009*(1-N($G1009)),2)),"")</f>
        <v/>
      </c>
      <c r="L1009" s="62" t="str">
        <f aca="false">IF(IsPro,IF($D1009="","",IFERROR(INDEX(Items!$F$5:$F$504,Q1009),0)),"")</f>
        <v/>
      </c>
      <c r="M1009" s="61" t="str">
        <f aca="false">IF(IsPro,IF($D1009="","",IF(AND(R1009&lt;&gt;"",INDEX(Parties!$E$5:$E$304,R1009)&lt;&gt;"",INDEX(Parties!$E$5:$E$304,R1009)&lt;&gt;HomeState),0,ROUND(K1009*L1009/2,2))),"")</f>
        <v/>
      </c>
      <c r="N1009" s="61" t="str">
        <f aca="false">IF(IsPro,IF($D1009="","",M1009),"")</f>
        <v/>
      </c>
      <c r="O1009" s="61" t="str">
        <f aca="false">IF(IsPro,IF($D1009="","",IF(AND(R1009&lt;&gt;"",INDEX(Parties!$E$5:$E$304,R1009)&lt;&gt;"",INDEX(Parties!$E$5:$E$304,R1009)&lt;&gt;HomeState),ROUND(K1009*L1009,2),0)),"")</f>
        <v/>
      </c>
      <c r="P1009" s="61" t="str">
        <f aca="false">IF(IsPro,IF($D1009="","",K1009+M1009+N1009+O1009),"")</f>
        <v/>
      </c>
      <c r="Q1009" s="60" t="str">
        <f aca="false">IF(IsPro,IF($D1009="","",IFERROR(MATCH($D1009,Items!$A$5:$A$504,0),"")),"")</f>
        <v/>
      </c>
      <c r="R1009" s="60" t="str">
        <f aca="false">IF(IsPro,IF($C1009="","",IFERROR(MATCH($C1009,Parties!$A$5:$A$304,0),"")),"")</f>
        <v/>
      </c>
      <c r="S1009" s="61" t="str">
        <f aca="false">IF(IsPro,IF($D1009="","",IF(OR($H1009="",$H1009="Credit"),0,P1009)),"")</f>
        <v/>
      </c>
    </row>
    <row r="1010" customFormat="false" ht="15" hidden="false" customHeight="false" outlineLevel="0" collapsed="false">
      <c r="A1010" s="55"/>
      <c r="B1010" s="56"/>
      <c r="C1010" s="56"/>
      <c r="D1010" s="56"/>
      <c r="E1010" s="57"/>
      <c r="F1010" s="58"/>
      <c r="G1010" s="59"/>
      <c r="H1010" s="56"/>
      <c r="I1010" s="60" t="str">
        <f aca="false">IF(IsPro,IF($D1010="","",IFERROR(INDEX(Items!$D$5:$D$504,Q1010),"")),IF($D1010="","","PRO PLAN"))</f>
        <v/>
      </c>
      <c r="J1010" s="61" t="str">
        <f aca="false">IF(IsPro,IF($D1010="","",IF($F1010="",IFERROR(INDEX(Items!$G$5:$G$504,Q1010),0),$F1010)),"")</f>
        <v/>
      </c>
      <c r="K1010" s="61" t="str">
        <f aca="false">IF(IsPro,IF($D1010="","",ROUND(N($E1010)*J1010*(1-N($G1010)),2)),"")</f>
        <v/>
      </c>
      <c r="L1010" s="62" t="str">
        <f aca="false">IF(IsPro,IF($D1010="","",IFERROR(INDEX(Items!$F$5:$F$504,Q1010),0)),"")</f>
        <v/>
      </c>
      <c r="M1010" s="61" t="str">
        <f aca="false">IF(IsPro,IF($D1010="","",IF(AND(R1010&lt;&gt;"",INDEX(Parties!$E$5:$E$304,R1010)&lt;&gt;"",INDEX(Parties!$E$5:$E$304,R1010)&lt;&gt;HomeState),0,ROUND(K1010*L1010/2,2))),"")</f>
        <v/>
      </c>
      <c r="N1010" s="61" t="str">
        <f aca="false">IF(IsPro,IF($D1010="","",M1010),"")</f>
        <v/>
      </c>
      <c r="O1010" s="61" t="str">
        <f aca="false">IF(IsPro,IF($D1010="","",IF(AND(R1010&lt;&gt;"",INDEX(Parties!$E$5:$E$304,R1010)&lt;&gt;"",INDEX(Parties!$E$5:$E$304,R1010)&lt;&gt;HomeState),ROUND(K1010*L1010,2),0)),"")</f>
        <v/>
      </c>
      <c r="P1010" s="61" t="str">
        <f aca="false">IF(IsPro,IF($D1010="","",K1010+M1010+N1010+O1010),"")</f>
        <v/>
      </c>
      <c r="Q1010" s="60" t="str">
        <f aca="false">IF(IsPro,IF($D1010="","",IFERROR(MATCH($D1010,Items!$A$5:$A$504,0),"")),"")</f>
        <v/>
      </c>
      <c r="R1010" s="60" t="str">
        <f aca="false">IF(IsPro,IF($C1010="","",IFERROR(MATCH($C1010,Parties!$A$5:$A$304,0),"")),"")</f>
        <v/>
      </c>
      <c r="S1010" s="61" t="str">
        <f aca="false">IF(IsPro,IF($D1010="","",IF(OR($H1010="",$H1010="Credit"),0,P1010)),"")</f>
        <v/>
      </c>
    </row>
    <row r="1011" customFormat="false" ht="15" hidden="false" customHeight="false" outlineLevel="0" collapsed="false">
      <c r="A1011" s="55"/>
      <c r="B1011" s="56"/>
      <c r="C1011" s="56"/>
      <c r="D1011" s="56"/>
      <c r="E1011" s="57"/>
      <c r="F1011" s="58"/>
      <c r="G1011" s="59"/>
      <c r="H1011" s="56"/>
      <c r="I1011" s="60" t="str">
        <f aca="false">IF(IsPro,IF($D1011="","",IFERROR(INDEX(Items!$D$5:$D$504,Q1011),"")),IF($D1011="","","PRO PLAN"))</f>
        <v/>
      </c>
      <c r="J1011" s="61" t="str">
        <f aca="false">IF(IsPro,IF($D1011="","",IF($F1011="",IFERROR(INDEX(Items!$G$5:$G$504,Q1011),0),$F1011)),"")</f>
        <v/>
      </c>
      <c r="K1011" s="61" t="str">
        <f aca="false">IF(IsPro,IF($D1011="","",ROUND(N($E1011)*J1011*(1-N($G1011)),2)),"")</f>
        <v/>
      </c>
      <c r="L1011" s="62" t="str">
        <f aca="false">IF(IsPro,IF($D1011="","",IFERROR(INDEX(Items!$F$5:$F$504,Q1011),0)),"")</f>
        <v/>
      </c>
      <c r="M1011" s="61" t="str">
        <f aca="false">IF(IsPro,IF($D1011="","",IF(AND(R1011&lt;&gt;"",INDEX(Parties!$E$5:$E$304,R1011)&lt;&gt;"",INDEX(Parties!$E$5:$E$304,R1011)&lt;&gt;HomeState),0,ROUND(K1011*L1011/2,2))),"")</f>
        <v/>
      </c>
      <c r="N1011" s="61" t="str">
        <f aca="false">IF(IsPro,IF($D1011="","",M1011),"")</f>
        <v/>
      </c>
      <c r="O1011" s="61" t="str">
        <f aca="false">IF(IsPro,IF($D1011="","",IF(AND(R1011&lt;&gt;"",INDEX(Parties!$E$5:$E$304,R1011)&lt;&gt;"",INDEX(Parties!$E$5:$E$304,R1011)&lt;&gt;HomeState),ROUND(K1011*L1011,2),0)),"")</f>
        <v/>
      </c>
      <c r="P1011" s="61" t="str">
        <f aca="false">IF(IsPro,IF($D1011="","",K1011+M1011+N1011+O1011),"")</f>
        <v/>
      </c>
      <c r="Q1011" s="60" t="str">
        <f aca="false">IF(IsPro,IF($D1011="","",IFERROR(MATCH($D1011,Items!$A$5:$A$504,0),"")),"")</f>
        <v/>
      </c>
      <c r="R1011" s="60" t="str">
        <f aca="false">IF(IsPro,IF($C1011="","",IFERROR(MATCH($C1011,Parties!$A$5:$A$304,0),"")),"")</f>
        <v/>
      </c>
      <c r="S1011" s="61" t="str">
        <f aca="false">IF(IsPro,IF($D1011="","",IF(OR($H1011="",$H1011="Credit"),0,P1011)),"")</f>
        <v/>
      </c>
    </row>
    <row r="1012" customFormat="false" ht="15" hidden="false" customHeight="false" outlineLevel="0" collapsed="false">
      <c r="A1012" s="55"/>
      <c r="B1012" s="56"/>
      <c r="C1012" s="56"/>
      <c r="D1012" s="56"/>
      <c r="E1012" s="57"/>
      <c r="F1012" s="58"/>
      <c r="G1012" s="59"/>
      <c r="H1012" s="56"/>
      <c r="I1012" s="60" t="str">
        <f aca="false">IF(IsPro,IF($D1012="","",IFERROR(INDEX(Items!$D$5:$D$504,Q1012),"")),IF($D1012="","","PRO PLAN"))</f>
        <v/>
      </c>
      <c r="J1012" s="61" t="str">
        <f aca="false">IF(IsPro,IF($D1012="","",IF($F1012="",IFERROR(INDEX(Items!$G$5:$G$504,Q1012),0),$F1012)),"")</f>
        <v/>
      </c>
      <c r="K1012" s="61" t="str">
        <f aca="false">IF(IsPro,IF($D1012="","",ROUND(N($E1012)*J1012*(1-N($G1012)),2)),"")</f>
        <v/>
      </c>
      <c r="L1012" s="62" t="str">
        <f aca="false">IF(IsPro,IF($D1012="","",IFERROR(INDEX(Items!$F$5:$F$504,Q1012),0)),"")</f>
        <v/>
      </c>
      <c r="M1012" s="61" t="str">
        <f aca="false">IF(IsPro,IF($D1012="","",IF(AND(R1012&lt;&gt;"",INDEX(Parties!$E$5:$E$304,R1012)&lt;&gt;"",INDEX(Parties!$E$5:$E$304,R1012)&lt;&gt;HomeState),0,ROUND(K1012*L1012/2,2))),"")</f>
        <v/>
      </c>
      <c r="N1012" s="61" t="str">
        <f aca="false">IF(IsPro,IF($D1012="","",M1012),"")</f>
        <v/>
      </c>
      <c r="O1012" s="61" t="str">
        <f aca="false">IF(IsPro,IF($D1012="","",IF(AND(R1012&lt;&gt;"",INDEX(Parties!$E$5:$E$304,R1012)&lt;&gt;"",INDEX(Parties!$E$5:$E$304,R1012)&lt;&gt;HomeState),ROUND(K1012*L1012,2),0)),"")</f>
        <v/>
      </c>
      <c r="P1012" s="61" t="str">
        <f aca="false">IF(IsPro,IF($D1012="","",K1012+M1012+N1012+O1012),"")</f>
        <v/>
      </c>
      <c r="Q1012" s="60" t="str">
        <f aca="false">IF(IsPro,IF($D1012="","",IFERROR(MATCH($D1012,Items!$A$5:$A$504,0),"")),"")</f>
        <v/>
      </c>
      <c r="R1012" s="60" t="str">
        <f aca="false">IF(IsPro,IF($C1012="","",IFERROR(MATCH($C1012,Parties!$A$5:$A$304,0),"")),"")</f>
        <v/>
      </c>
      <c r="S1012" s="61" t="str">
        <f aca="false">IF(IsPro,IF($D1012="","",IF(OR($H1012="",$H1012="Credit"),0,P1012)),"")</f>
        <v/>
      </c>
    </row>
    <row r="1013" customFormat="false" ht="15" hidden="false" customHeight="false" outlineLevel="0" collapsed="false">
      <c r="A1013" s="55"/>
      <c r="B1013" s="56"/>
      <c r="C1013" s="56"/>
      <c r="D1013" s="56"/>
      <c r="E1013" s="57"/>
      <c r="F1013" s="58"/>
      <c r="G1013" s="59"/>
      <c r="H1013" s="56"/>
      <c r="I1013" s="60" t="str">
        <f aca="false">IF(IsPro,IF($D1013="","",IFERROR(INDEX(Items!$D$5:$D$504,Q1013),"")),IF($D1013="","","PRO PLAN"))</f>
        <v/>
      </c>
      <c r="J1013" s="61" t="str">
        <f aca="false">IF(IsPro,IF($D1013="","",IF($F1013="",IFERROR(INDEX(Items!$G$5:$G$504,Q1013),0),$F1013)),"")</f>
        <v/>
      </c>
      <c r="K1013" s="61" t="str">
        <f aca="false">IF(IsPro,IF($D1013="","",ROUND(N($E1013)*J1013*(1-N($G1013)),2)),"")</f>
        <v/>
      </c>
      <c r="L1013" s="62" t="str">
        <f aca="false">IF(IsPro,IF($D1013="","",IFERROR(INDEX(Items!$F$5:$F$504,Q1013),0)),"")</f>
        <v/>
      </c>
      <c r="M1013" s="61" t="str">
        <f aca="false">IF(IsPro,IF($D1013="","",IF(AND(R1013&lt;&gt;"",INDEX(Parties!$E$5:$E$304,R1013)&lt;&gt;"",INDEX(Parties!$E$5:$E$304,R1013)&lt;&gt;HomeState),0,ROUND(K1013*L1013/2,2))),"")</f>
        <v/>
      </c>
      <c r="N1013" s="61" t="str">
        <f aca="false">IF(IsPro,IF($D1013="","",M1013),"")</f>
        <v/>
      </c>
      <c r="O1013" s="61" t="str">
        <f aca="false">IF(IsPro,IF($D1013="","",IF(AND(R1013&lt;&gt;"",INDEX(Parties!$E$5:$E$304,R1013)&lt;&gt;"",INDEX(Parties!$E$5:$E$304,R1013)&lt;&gt;HomeState),ROUND(K1013*L1013,2),0)),"")</f>
        <v/>
      </c>
      <c r="P1013" s="61" t="str">
        <f aca="false">IF(IsPro,IF($D1013="","",K1013+M1013+N1013+O1013),"")</f>
        <v/>
      </c>
      <c r="Q1013" s="60" t="str">
        <f aca="false">IF(IsPro,IF($D1013="","",IFERROR(MATCH($D1013,Items!$A$5:$A$504,0),"")),"")</f>
        <v/>
      </c>
      <c r="R1013" s="60" t="str">
        <f aca="false">IF(IsPro,IF($C1013="","",IFERROR(MATCH($C1013,Parties!$A$5:$A$304,0),"")),"")</f>
        <v/>
      </c>
      <c r="S1013" s="61" t="str">
        <f aca="false">IF(IsPro,IF($D1013="","",IF(OR($H1013="",$H1013="Credit"),0,P1013)),"")</f>
        <v/>
      </c>
    </row>
    <row r="1014" customFormat="false" ht="15" hidden="false" customHeight="false" outlineLevel="0" collapsed="false">
      <c r="A1014" s="55"/>
      <c r="B1014" s="56"/>
      <c r="C1014" s="56"/>
      <c r="D1014" s="56"/>
      <c r="E1014" s="57"/>
      <c r="F1014" s="58"/>
      <c r="G1014" s="59"/>
      <c r="H1014" s="56"/>
      <c r="I1014" s="60" t="str">
        <f aca="false">IF(IsPro,IF($D1014="","",IFERROR(INDEX(Items!$D$5:$D$504,Q1014),"")),IF($D1014="","","PRO PLAN"))</f>
        <v/>
      </c>
      <c r="J1014" s="61" t="str">
        <f aca="false">IF(IsPro,IF($D1014="","",IF($F1014="",IFERROR(INDEX(Items!$G$5:$G$504,Q1014),0),$F1014)),"")</f>
        <v/>
      </c>
      <c r="K1014" s="61" t="str">
        <f aca="false">IF(IsPro,IF($D1014="","",ROUND(N($E1014)*J1014*(1-N($G1014)),2)),"")</f>
        <v/>
      </c>
      <c r="L1014" s="62" t="str">
        <f aca="false">IF(IsPro,IF($D1014="","",IFERROR(INDEX(Items!$F$5:$F$504,Q1014),0)),"")</f>
        <v/>
      </c>
      <c r="M1014" s="61" t="str">
        <f aca="false">IF(IsPro,IF($D1014="","",IF(AND(R1014&lt;&gt;"",INDEX(Parties!$E$5:$E$304,R1014)&lt;&gt;"",INDEX(Parties!$E$5:$E$304,R1014)&lt;&gt;HomeState),0,ROUND(K1014*L1014/2,2))),"")</f>
        <v/>
      </c>
      <c r="N1014" s="61" t="str">
        <f aca="false">IF(IsPro,IF($D1014="","",M1014),"")</f>
        <v/>
      </c>
      <c r="O1014" s="61" t="str">
        <f aca="false">IF(IsPro,IF($D1014="","",IF(AND(R1014&lt;&gt;"",INDEX(Parties!$E$5:$E$304,R1014)&lt;&gt;"",INDEX(Parties!$E$5:$E$304,R1014)&lt;&gt;HomeState),ROUND(K1014*L1014,2),0)),"")</f>
        <v/>
      </c>
      <c r="P1014" s="61" t="str">
        <f aca="false">IF(IsPro,IF($D1014="","",K1014+M1014+N1014+O1014),"")</f>
        <v/>
      </c>
      <c r="Q1014" s="60" t="str">
        <f aca="false">IF(IsPro,IF($D1014="","",IFERROR(MATCH($D1014,Items!$A$5:$A$504,0),"")),"")</f>
        <v/>
      </c>
      <c r="R1014" s="60" t="str">
        <f aca="false">IF(IsPro,IF($C1014="","",IFERROR(MATCH($C1014,Parties!$A$5:$A$304,0),"")),"")</f>
        <v/>
      </c>
      <c r="S1014" s="61" t="str">
        <f aca="false">IF(IsPro,IF($D1014="","",IF(OR($H1014="",$H1014="Credit"),0,P1014)),"")</f>
        <v/>
      </c>
    </row>
    <row r="1015" customFormat="false" ht="15" hidden="false" customHeight="false" outlineLevel="0" collapsed="false">
      <c r="A1015" s="55"/>
      <c r="B1015" s="56"/>
      <c r="C1015" s="56"/>
      <c r="D1015" s="56"/>
      <c r="E1015" s="57"/>
      <c r="F1015" s="58"/>
      <c r="G1015" s="59"/>
      <c r="H1015" s="56"/>
      <c r="I1015" s="60" t="str">
        <f aca="false">IF(IsPro,IF($D1015="","",IFERROR(INDEX(Items!$D$5:$D$504,Q1015),"")),IF($D1015="","","PRO PLAN"))</f>
        <v/>
      </c>
      <c r="J1015" s="61" t="str">
        <f aca="false">IF(IsPro,IF($D1015="","",IF($F1015="",IFERROR(INDEX(Items!$G$5:$G$504,Q1015),0),$F1015)),"")</f>
        <v/>
      </c>
      <c r="K1015" s="61" t="str">
        <f aca="false">IF(IsPro,IF($D1015="","",ROUND(N($E1015)*J1015*(1-N($G1015)),2)),"")</f>
        <v/>
      </c>
      <c r="L1015" s="62" t="str">
        <f aca="false">IF(IsPro,IF($D1015="","",IFERROR(INDEX(Items!$F$5:$F$504,Q1015),0)),"")</f>
        <v/>
      </c>
      <c r="M1015" s="61" t="str">
        <f aca="false">IF(IsPro,IF($D1015="","",IF(AND(R1015&lt;&gt;"",INDEX(Parties!$E$5:$E$304,R1015)&lt;&gt;"",INDEX(Parties!$E$5:$E$304,R1015)&lt;&gt;HomeState),0,ROUND(K1015*L1015/2,2))),"")</f>
        <v/>
      </c>
      <c r="N1015" s="61" t="str">
        <f aca="false">IF(IsPro,IF($D1015="","",M1015),"")</f>
        <v/>
      </c>
      <c r="O1015" s="61" t="str">
        <f aca="false">IF(IsPro,IF($D1015="","",IF(AND(R1015&lt;&gt;"",INDEX(Parties!$E$5:$E$304,R1015)&lt;&gt;"",INDEX(Parties!$E$5:$E$304,R1015)&lt;&gt;HomeState),ROUND(K1015*L1015,2),0)),"")</f>
        <v/>
      </c>
      <c r="P1015" s="61" t="str">
        <f aca="false">IF(IsPro,IF($D1015="","",K1015+M1015+N1015+O1015),"")</f>
        <v/>
      </c>
      <c r="Q1015" s="60" t="str">
        <f aca="false">IF(IsPro,IF($D1015="","",IFERROR(MATCH($D1015,Items!$A$5:$A$504,0),"")),"")</f>
        <v/>
      </c>
      <c r="R1015" s="60" t="str">
        <f aca="false">IF(IsPro,IF($C1015="","",IFERROR(MATCH($C1015,Parties!$A$5:$A$304,0),"")),"")</f>
        <v/>
      </c>
      <c r="S1015" s="61" t="str">
        <f aca="false">IF(IsPro,IF($D1015="","",IF(OR($H1015="",$H1015="Credit"),0,P1015)),"")</f>
        <v/>
      </c>
    </row>
    <row r="1016" customFormat="false" ht="15" hidden="false" customHeight="false" outlineLevel="0" collapsed="false">
      <c r="A1016" s="55"/>
      <c r="B1016" s="56"/>
      <c r="C1016" s="56"/>
      <c r="D1016" s="56"/>
      <c r="E1016" s="57"/>
      <c r="F1016" s="58"/>
      <c r="G1016" s="59"/>
      <c r="H1016" s="56"/>
      <c r="I1016" s="60" t="str">
        <f aca="false">IF(IsPro,IF($D1016="","",IFERROR(INDEX(Items!$D$5:$D$504,Q1016),"")),IF($D1016="","","PRO PLAN"))</f>
        <v/>
      </c>
      <c r="J1016" s="61" t="str">
        <f aca="false">IF(IsPro,IF($D1016="","",IF($F1016="",IFERROR(INDEX(Items!$G$5:$G$504,Q1016),0),$F1016)),"")</f>
        <v/>
      </c>
      <c r="K1016" s="61" t="str">
        <f aca="false">IF(IsPro,IF($D1016="","",ROUND(N($E1016)*J1016*(1-N($G1016)),2)),"")</f>
        <v/>
      </c>
      <c r="L1016" s="62" t="str">
        <f aca="false">IF(IsPro,IF($D1016="","",IFERROR(INDEX(Items!$F$5:$F$504,Q1016),0)),"")</f>
        <v/>
      </c>
      <c r="M1016" s="61" t="str">
        <f aca="false">IF(IsPro,IF($D1016="","",IF(AND(R1016&lt;&gt;"",INDEX(Parties!$E$5:$E$304,R1016)&lt;&gt;"",INDEX(Parties!$E$5:$E$304,R1016)&lt;&gt;HomeState),0,ROUND(K1016*L1016/2,2))),"")</f>
        <v/>
      </c>
      <c r="N1016" s="61" t="str">
        <f aca="false">IF(IsPro,IF($D1016="","",M1016),"")</f>
        <v/>
      </c>
      <c r="O1016" s="61" t="str">
        <f aca="false">IF(IsPro,IF($D1016="","",IF(AND(R1016&lt;&gt;"",INDEX(Parties!$E$5:$E$304,R1016)&lt;&gt;"",INDEX(Parties!$E$5:$E$304,R1016)&lt;&gt;HomeState),ROUND(K1016*L1016,2),0)),"")</f>
        <v/>
      </c>
      <c r="P1016" s="61" t="str">
        <f aca="false">IF(IsPro,IF($D1016="","",K1016+M1016+N1016+O1016),"")</f>
        <v/>
      </c>
      <c r="Q1016" s="60" t="str">
        <f aca="false">IF(IsPro,IF($D1016="","",IFERROR(MATCH($D1016,Items!$A$5:$A$504,0),"")),"")</f>
        <v/>
      </c>
      <c r="R1016" s="60" t="str">
        <f aca="false">IF(IsPro,IF($C1016="","",IFERROR(MATCH($C1016,Parties!$A$5:$A$304,0),"")),"")</f>
        <v/>
      </c>
      <c r="S1016" s="61" t="str">
        <f aca="false">IF(IsPro,IF($D1016="","",IF(OR($H1016="",$H1016="Credit"),0,P1016)),"")</f>
        <v/>
      </c>
    </row>
    <row r="1017" customFormat="false" ht="15" hidden="false" customHeight="false" outlineLevel="0" collapsed="false">
      <c r="A1017" s="55"/>
      <c r="B1017" s="56"/>
      <c r="C1017" s="56"/>
      <c r="D1017" s="56"/>
      <c r="E1017" s="57"/>
      <c r="F1017" s="58"/>
      <c r="G1017" s="59"/>
      <c r="H1017" s="56"/>
      <c r="I1017" s="60" t="str">
        <f aca="false">IF(IsPro,IF($D1017="","",IFERROR(INDEX(Items!$D$5:$D$504,Q1017),"")),IF($D1017="","","PRO PLAN"))</f>
        <v/>
      </c>
      <c r="J1017" s="61" t="str">
        <f aca="false">IF(IsPro,IF($D1017="","",IF($F1017="",IFERROR(INDEX(Items!$G$5:$G$504,Q1017),0),$F1017)),"")</f>
        <v/>
      </c>
      <c r="K1017" s="61" t="str">
        <f aca="false">IF(IsPro,IF($D1017="","",ROUND(N($E1017)*J1017*(1-N($G1017)),2)),"")</f>
        <v/>
      </c>
      <c r="L1017" s="62" t="str">
        <f aca="false">IF(IsPro,IF($D1017="","",IFERROR(INDEX(Items!$F$5:$F$504,Q1017),0)),"")</f>
        <v/>
      </c>
      <c r="M1017" s="61" t="str">
        <f aca="false">IF(IsPro,IF($D1017="","",IF(AND(R1017&lt;&gt;"",INDEX(Parties!$E$5:$E$304,R1017)&lt;&gt;"",INDEX(Parties!$E$5:$E$304,R1017)&lt;&gt;HomeState),0,ROUND(K1017*L1017/2,2))),"")</f>
        <v/>
      </c>
      <c r="N1017" s="61" t="str">
        <f aca="false">IF(IsPro,IF($D1017="","",M1017),"")</f>
        <v/>
      </c>
      <c r="O1017" s="61" t="str">
        <f aca="false">IF(IsPro,IF($D1017="","",IF(AND(R1017&lt;&gt;"",INDEX(Parties!$E$5:$E$304,R1017)&lt;&gt;"",INDEX(Parties!$E$5:$E$304,R1017)&lt;&gt;HomeState),ROUND(K1017*L1017,2),0)),"")</f>
        <v/>
      </c>
      <c r="P1017" s="61" t="str">
        <f aca="false">IF(IsPro,IF($D1017="","",K1017+M1017+N1017+O1017),"")</f>
        <v/>
      </c>
      <c r="Q1017" s="60" t="str">
        <f aca="false">IF(IsPro,IF($D1017="","",IFERROR(MATCH($D1017,Items!$A$5:$A$504,0),"")),"")</f>
        <v/>
      </c>
      <c r="R1017" s="60" t="str">
        <f aca="false">IF(IsPro,IF($C1017="","",IFERROR(MATCH($C1017,Parties!$A$5:$A$304,0),"")),"")</f>
        <v/>
      </c>
      <c r="S1017" s="61" t="str">
        <f aca="false">IF(IsPro,IF($D1017="","",IF(OR($H1017="",$H1017="Credit"),0,P1017)),"")</f>
        <v/>
      </c>
    </row>
    <row r="1018" customFormat="false" ht="15" hidden="false" customHeight="false" outlineLevel="0" collapsed="false">
      <c r="A1018" s="55"/>
      <c r="B1018" s="56"/>
      <c r="C1018" s="56"/>
      <c r="D1018" s="56"/>
      <c r="E1018" s="57"/>
      <c r="F1018" s="58"/>
      <c r="G1018" s="59"/>
      <c r="H1018" s="56"/>
      <c r="I1018" s="60" t="str">
        <f aca="false">IF(IsPro,IF($D1018="","",IFERROR(INDEX(Items!$D$5:$D$504,Q1018),"")),IF($D1018="","","PRO PLAN"))</f>
        <v/>
      </c>
      <c r="J1018" s="61" t="str">
        <f aca="false">IF(IsPro,IF($D1018="","",IF($F1018="",IFERROR(INDEX(Items!$G$5:$G$504,Q1018),0),$F1018)),"")</f>
        <v/>
      </c>
      <c r="K1018" s="61" t="str">
        <f aca="false">IF(IsPro,IF($D1018="","",ROUND(N($E1018)*J1018*(1-N($G1018)),2)),"")</f>
        <v/>
      </c>
      <c r="L1018" s="62" t="str">
        <f aca="false">IF(IsPro,IF($D1018="","",IFERROR(INDEX(Items!$F$5:$F$504,Q1018),0)),"")</f>
        <v/>
      </c>
      <c r="M1018" s="61" t="str">
        <f aca="false">IF(IsPro,IF($D1018="","",IF(AND(R1018&lt;&gt;"",INDEX(Parties!$E$5:$E$304,R1018)&lt;&gt;"",INDEX(Parties!$E$5:$E$304,R1018)&lt;&gt;HomeState),0,ROUND(K1018*L1018/2,2))),"")</f>
        <v/>
      </c>
      <c r="N1018" s="61" t="str">
        <f aca="false">IF(IsPro,IF($D1018="","",M1018),"")</f>
        <v/>
      </c>
      <c r="O1018" s="61" t="str">
        <f aca="false">IF(IsPro,IF($D1018="","",IF(AND(R1018&lt;&gt;"",INDEX(Parties!$E$5:$E$304,R1018)&lt;&gt;"",INDEX(Parties!$E$5:$E$304,R1018)&lt;&gt;HomeState),ROUND(K1018*L1018,2),0)),"")</f>
        <v/>
      </c>
      <c r="P1018" s="61" t="str">
        <f aca="false">IF(IsPro,IF($D1018="","",K1018+M1018+N1018+O1018),"")</f>
        <v/>
      </c>
      <c r="Q1018" s="60" t="str">
        <f aca="false">IF(IsPro,IF($D1018="","",IFERROR(MATCH($D1018,Items!$A$5:$A$504,0),"")),"")</f>
        <v/>
      </c>
      <c r="R1018" s="60" t="str">
        <f aca="false">IF(IsPro,IF($C1018="","",IFERROR(MATCH($C1018,Parties!$A$5:$A$304,0),"")),"")</f>
        <v/>
      </c>
      <c r="S1018" s="61" t="str">
        <f aca="false">IF(IsPro,IF($D1018="","",IF(OR($H1018="",$H1018="Credit"),0,P1018)),"")</f>
        <v/>
      </c>
    </row>
    <row r="1019" customFormat="false" ht="15" hidden="false" customHeight="false" outlineLevel="0" collapsed="false">
      <c r="A1019" s="55"/>
      <c r="B1019" s="56"/>
      <c r="C1019" s="56"/>
      <c r="D1019" s="56"/>
      <c r="E1019" s="57"/>
      <c r="F1019" s="58"/>
      <c r="G1019" s="59"/>
      <c r="H1019" s="56"/>
      <c r="I1019" s="60" t="str">
        <f aca="false">IF(IsPro,IF($D1019="","",IFERROR(INDEX(Items!$D$5:$D$504,Q1019),"")),IF($D1019="","","PRO PLAN"))</f>
        <v/>
      </c>
      <c r="J1019" s="61" t="str">
        <f aca="false">IF(IsPro,IF($D1019="","",IF($F1019="",IFERROR(INDEX(Items!$G$5:$G$504,Q1019),0),$F1019)),"")</f>
        <v/>
      </c>
      <c r="K1019" s="61" t="str">
        <f aca="false">IF(IsPro,IF($D1019="","",ROUND(N($E1019)*J1019*(1-N($G1019)),2)),"")</f>
        <v/>
      </c>
      <c r="L1019" s="62" t="str">
        <f aca="false">IF(IsPro,IF($D1019="","",IFERROR(INDEX(Items!$F$5:$F$504,Q1019),0)),"")</f>
        <v/>
      </c>
      <c r="M1019" s="61" t="str">
        <f aca="false">IF(IsPro,IF($D1019="","",IF(AND(R1019&lt;&gt;"",INDEX(Parties!$E$5:$E$304,R1019)&lt;&gt;"",INDEX(Parties!$E$5:$E$304,R1019)&lt;&gt;HomeState),0,ROUND(K1019*L1019/2,2))),"")</f>
        <v/>
      </c>
      <c r="N1019" s="61" t="str">
        <f aca="false">IF(IsPro,IF($D1019="","",M1019),"")</f>
        <v/>
      </c>
      <c r="O1019" s="61" t="str">
        <f aca="false">IF(IsPro,IF($D1019="","",IF(AND(R1019&lt;&gt;"",INDEX(Parties!$E$5:$E$304,R1019)&lt;&gt;"",INDEX(Parties!$E$5:$E$304,R1019)&lt;&gt;HomeState),ROUND(K1019*L1019,2),0)),"")</f>
        <v/>
      </c>
      <c r="P1019" s="61" t="str">
        <f aca="false">IF(IsPro,IF($D1019="","",K1019+M1019+N1019+O1019),"")</f>
        <v/>
      </c>
      <c r="Q1019" s="60" t="str">
        <f aca="false">IF(IsPro,IF($D1019="","",IFERROR(MATCH($D1019,Items!$A$5:$A$504,0),"")),"")</f>
        <v/>
      </c>
      <c r="R1019" s="60" t="str">
        <f aca="false">IF(IsPro,IF($C1019="","",IFERROR(MATCH($C1019,Parties!$A$5:$A$304,0),"")),"")</f>
        <v/>
      </c>
      <c r="S1019" s="61" t="str">
        <f aca="false">IF(IsPro,IF($D1019="","",IF(OR($H1019="",$H1019="Credit"),0,P1019)),"")</f>
        <v/>
      </c>
    </row>
    <row r="1020" customFormat="false" ht="15" hidden="false" customHeight="false" outlineLevel="0" collapsed="false">
      <c r="A1020" s="55"/>
      <c r="B1020" s="56"/>
      <c r="C1020" s="56"/>
      <c r="D1020" s="56"/>
      <c r="E1020" s="57"/>
      <c r="F1020" s="58"/>
      <c r="G1020" s="59"/>
      <c r="H1020" s="56"/>
      <c r="I1020" s="60" t="str">
        <f aca="false">IF(IsPro,IF($D1020="","",IFERROR(INDEX(Items!$D$5:$D$504,Q1020),"")),IF($D1020="","","PRO PLAN"))</f>
        <v/>
      </c>
      <c r="J1020" s="61" t="str">
        <f aca="false">IF(IsPro,IF($D1020="","",IF($F1020="",IFERROR(INDEX(Items!$G$5:$G$504,Q1020),0),$F1020)),"")</f>
        <v/>
      </c>
      <c r="K1020" s="61" t="str">
        <f aca="false">IF(IsPro,IF($D1020="","",ROUND(N($E1020)*J1020*(1-N($G1020)),2)),"")</f>
        <v/>
      </c>
      <c r="L1020" s="62" t="str">
        <f aca="false">IF(IsPro,IF($D1020="","",IFERROR(INDEX(Items!$F$5:$F$504,Q1020),0)),"")</f>
        <v/>
      </c>
      <c r="M1020" s="61" t="str">
        <f aca="false">IF(IsPro,IF($D1020="","",IF(AND(R1020&lt;&gt;"",INDEX(Parties!$E$5:$E$304,R1020)&lt;&gt;"",INDEX(Parties!$E$5:$E$304,R1020)&lt;&gt;HomeState),0,ROUND(K1020*L1020/2,2))),"")</f>
        <v/>
      </c>
      <c r="N1020" s="61" t="str">
        <f aca="false">IF(IsPro,IF($D1020="","",M1020),"")</f>
        <v/>
      </c>
      <c r="O1020" s="61" t="str">
        <f aca="false">IF(IsPro,IF($D1020="","",IF(AND(R1020&lt;&gt;"",INDEX(Parties!$E$5:$E$304,R1020)&lt;&gt;"",INDEX(Parties!$E$5:$E$304,R1020)&lt;&gt;HomeState),ROUND(K1020*L1020,2),0)),"")</f>
        <v/>
      </c>
      <c r="P1020" s="61" t="str">
        <f aca="false">IF(IsPro,IF($D1020="","",K1020+M1020+N1020+O1020),"")</f>
        <v/>
      </c>
      <c r="Q1020" s="60" t="str">
        <f aca="false">IF(IsPro,IF($D1020="","",IFERROR(MATCH($D1020,Items!$A$5:$A$504,0),"")),"")</f>
        <v/>
      </c>
      <c r="R1020" s="60" t="str">
        <f aca="false">IF(IsPro,IF($C1020="","",IFERROR(MATCH($C1020,Parties!$A$5:$A$304,0),"")),"")</f>
        <v/>
      </c>
      <c r="S1020" s="61" t="str">
        <f aca="false">IF(IsPro,IF($D1020="","",IF(OR($H1020="",$H1020="Credit"),0,P1020)),"")</f>
        <v/>
      </c>
    </row>
    <row r="1021" customFormat="false" ht="15" hidden="false" customHeight="false" outlineLevel="0" collapsed="false">
      <c r="A1021" s="55"/>
      <c r="B1021" s="56"/>
      <c r="C1021" s="56"/>
      <c r="D1021" s="56"/>
      <c r="E1021" s="57"/>
      <c r="F1021" s="58"/>
      <c r="G1021" s="59"/>
      <c r="H1021" s="56"/>
      <c r="I1021" s="60" t="str">
        <f aca="false">IF(IsPro,IF($D1021="","",IFERROR(INDEX(Items!$D$5:$D$504,Q1021),"")),IF($D1021="","","PRO PLAN"))</f>
        <v/>
      </c>
      <c r="J1021" s="61" t="str">
        <f aca="false">IF(IsPro,IF($D1021="","",IF($F1021="",IFERROR(INDEX(Items!$G$5:$G$504,Q1021),0),$F1021)),"")</f>
        <v/>
      </c>
      <c r="K1021" s="61" t="str">
        <f aca="false">IF(IsPro,IF($D1021="","",ROUND(N($E1021)*J1021*(1-N($G1021)),2)),"")</f>
        <v/>
      </c>
      <c r="L1021" s="62" t="str">
        <f aca="false">IF(IsPro,IF($D1021="","",IFERROR(INDEX(Items!$F$5:$F$504,Q1021),0)),"")</f>
        <v/>
      </c>
      <c r="M1021" s="61" t="str">
        <f aca="false">IF(IsPro,IF($D1021="","",IF(AND(R1021&lt;&gt;"",INDEX(Parties!$E$5:$E$304,R1021)&lt;&gt;"",INDEX(Parties!$E$5:$E$304,R1021)&lt;&gt;HomeState),0,ROUND(K1021*L1021/2,2))),"")</f>
        <v/>
      </c>
      <c r="N1021" s="61" t="str">
        <f aca="false">IF(IsPro,IF($D1021="","",M1021),"")</f>
        <v/>
      </c>
      <c r="O1021" s="61" t="str">
        <f aca="false">IF(IsPro,IF($D1021="","",IF(AND(R1021&lt;&gt;"",INDEX(Parties!$E$5:$E$304,R1021)&lt;&gt;"",INDEX(Parties!$E$5:$E$304,R1021)&lt;&gt;HomeState),ROUND(K1021*L1021,2),0)),"")</f>
        <v/>
      </c>
      <c r="P1021" s="61" t="str">
        <f aca="false">IF(IsPro,IF($D1021="","",K1021+M1021+N1021+O1021),"")</f>
        <v/>
      </c>
      <c r="Q1021" s="60" t="str">
        <f aca="false">IF(IsPro,IF($D1021="","",IFERROR(MATCH($D1021,Items!$A$5:$A$504,0),"")),"")</f>
        <v/>
      </c>
      <c r="R1021" s="60" t="str">
        <f aca="false">IF(IsPro,IF($C1021="","",IFERROR(MATCH($C1021,Parties!$A$5:$A$304,0),"")),"")</f>
        <v/>
      </c>
      <c r="S1021" s="61" t="str">
        <f aca="false">IF(IsPro,IF($D1021="","",IF(OR($H1021="",$H1021="Credit"),0,P1021)),"")</f>
        <v/>
      </c>
    </row>
    <row r="1022" customFormat="false" ht="15" hidden="false" customHeight="false" outlineLevel="0" collapsed="false">
      <c r="A1022" s="55"/>
      <c r="B1022" s="56"/>
      <c r="C1022" s="56"/>
      <c r="D1022" s="56"/>
      <c r="E1022" s="57"/>
      <c r="F1022" s="58"/>
      <c r="G1022" s="59"/>
      <c r="H1022" s="56"/>
      <c r="I1022" s="60" t="str">
        <f aca="false">IF(IsPro,IF($D1022="","",IFERROR(INDEX(Items!$D$5:$D$504,Q1022),"")),IF($D1022="","","PRO PLAN"))</f>
        <v/>
      </c>
      <c r="J1022" s="61" t="str">
        <f aca="false">IF(IsPro,IF($D1022="","",IF($F1022="",IFERROR(INDEX(Items!$G$5:$G$504,Q1022),0),$F1022)),"")</f>
        <v/>
      </c>
      <c r="K1022" s="61" t="str">
        <f aca="false">IF(IsPro,IF($D1022="","",ROUND(N($E1022)*J1022*(1-N($G1022)),2)),"")</f>
        <v/>
      </c>
      <c r="L1022" s="62" t="str">
        <f aca="false">IF(IsPro,IF($D1022="","",IFERROR(INDEX(Items!$F$5:$F$504,Q1022),0)),"")</f>
        <v/>
      </c>
      <c r="M1022" s="61" t="str">
        <f aca="false">IF(IsPro,IF($D1022="","",IF(AND(R1022&lt;&gt;"",INDEX(Parties!$E$5:$E$304,R1022)&lt;&gt;"",INDEX(Parties!$E$5:$E$304,R1022)&lt;&gt;HomeState),0,ROUND(K1022*L1022/2,2))),"")</f>
        <v/>
      </c>
      <c r="N1022" s="61" t="str">
        <f aca="false">IF(IsPro,IF($D1022="","",M1022),"")</f>
        <v/>
      </c>
      <c r="O1022" s="61" t="str">
        <f aca="false">IF(IsPro,IF($D1022="","",IF(AND(R1022&lt;&gt;"",INDEX(Parties!$E$5:$E$304,R1022)&lt;&gt;"",INDEX(Parties!$E$5:$E$304,R1022)&lt;&gt;HomeState),ROUND(K1022*L1022,2),0)),"")</f>
        <v/>
      </c>
      <c r="P1022" s="61" t="str">
        <f aca="false">IF(IsPro,IF($D1022="","",K1022+M1022+N1022+O1022),"")</f>
        <v/>
      </c>
      <c r="Q1022" s="60" t="str">
        <f aca="false">IF(IsPro,IF($D1022="","",IFERROR(MATCH($D1022,Items!$A$5:$A$504,0),"")),"")</f>
        <v/>
      </c>
      <c r="R1022" s="60" t="str">
        <f aca="false">IF(IsPro,IF($C1022="","",IFERROR(MATCH($C1022,Parties!$A$5:$A$304,0),"")),"")</f>
        <v/>
      </c>
      <c r="S1022" s="61" t="str">
        <f aca="false">IF(IsPro,IF($D1022="","",IF(OR($H1022="",$H1022="Credit"),0,P1022)),"")</f>
        <v/>
      </c>
    </row>
    <row r="1023" customFormat="false" ht="15" hidden="false" customHeight="false" outlineLevel="0" collapsed="false">
      <c r="A1023" s="55"/>
      <c r="B1023" s="56"/>
      <c r="C1023" s="56"/>
      <c r="D1023" s="56"/>
      <c r="E1023" s="57"/>
      <c r="F1023" s="58"/>
      <c r="G1023" s="59"/>
      <c r="H1023" s="56"/>
      <c r="I1023" s="60" t="str">
        <f aca="false">IF(IsPro,IF($D1023="","",IFERROR(INDEX(Items!$D$5:$D$504,Q1023),"")),IF($D1023="","","PRO PLAN"))</f>
        <v/>
      </c>
      <c r="J1023" s="61" t="str">
        <f aca="false">IF(IsPro,IF($D1023="","",IF($F1023="",IFERROR(INDEX(Items!$G$5:$G$504,Q1023),0),$F1023)),"")</f>
        <v/>
      </c>
      <c r="K1023" s="61" t="str">
        <f aca="false">IF(IsPro,IF($D1023="","",ROUND(N($E1023)*J1023*(1-N($G1023)),2)),"")</f>
        <v/>
      </c>
      <c r="L1023" s="62" t="str">
        <f aca="false">IF(IsPro,IF($D1023="","",IFERROR(INDEX(Items!$F$5:$F$504,Q1023),0)),"")</f>
        <v/>
      </c>
      <c r="M1023" s="61" t="str">
        <f aca="false">IF(IsPro,IF($D1023="","",IF(AND(R1023&lt;&gt;"",INDEX(Parties!$E$5:$E$304,R1023)&lt;&gt;"",INDEX(Parties!$E$5:$E$304,R1023)&lt;&gt;HomeState),0,ROUND(K1023*L1023/2,2))),"")</f>
        <v/>
      </c>
      <c r="N1023" s="61" t="str">
        <f aca="false">IF(IsPro,IF($D1023="","",M1023),"")</f>
        <v/>
      </c>
      <c r="O1023" s="61" t="str">
        <f aca="false">IF(IsPro,IF($D1023="","",IF(AND(R1023&lt;&gt;"",INDEX(Parties!$E$5:$E$304,R1023)&lt;&gt;"",INDEX(Parties!$E$5:$E$304,R1023)&lt;&gt;HomeState),ROUND(K1023*L1023,2),0)),"")</f>
        <v/>
      </c>
      <c r="P1023" s="61" t="str">
        <f aca="false">IF(IsPro,IF($D1023="","",K1023+M1023+N1023+O1023),"")</f>
        <v/>
      </c>
      <c r="Q1023" s="60" t="str">
        <f aca="false">IF(IsPro,IF($D1023="","",IFERROR(MATCH($D1023,Items!$A$5:$A$504,0),"")),"")</f>
        <v/>
      </c>
      <c r="R1023" s="60" t="str">
        <f aca="false">IF(IsPro,IF($C1023="","",IFERROR(MATCH($C1023,Parties!$A$5:$A$304,0),"")),"")</f>
        <v/>
      </c>
      <c r="S1023" s="61" t="str">
        <f aca="false">IF(IsPro,IF($D1023="","",IF(OR($H1023="",$H1023="Credit"),0,P1023)),"")</f>
        <v/>
      </c>
    </row>
    <row r="1024" customFormat="false" ht="15" hidden="false" customHeight="false" outlineLevel="0" collapsed="false">
      <c r="A1024" s="55"/>
      <c r="B1024" s="56"/>
      <c r="C1024" s="56"/>
      <c r="D1024" s="56"/>
      <c r="E1024" s="57"/>
      <c r="F1024" s="58"/>
      <c r="G1024" s="59"/>
      <c r="H1024" s="56"/>
      <c r="I1024" s="60" t="str">
        <f aca="false">IF(IsPro,IF($D1024="","",IFERROR(INDEX(Items!$D$5:$D$504,Q1024),"")),IF($D1024="","","PRO PLAN"))</f>
        <v/>
      </c>
      <c r="J1024" s="61" t="str">
        <f aca="false">IF(IsPro,IF($D1024="","",IF($F1024="",IFERROR(INDEX(Items!$G$5:$G$504,Q1024),0),$F1024)),"")</f>
        <v/>
      </c>
      <c r="K1024" s="61" t="str">
        <f aca="false">IF(IsPro,IF($D1024="","",ROUND(N($E1024)*J1024*(1-N($G1024)),2)),"")</f>
        <v/>
      </c>
      <c r="L1024" s="62" t="str">
        <f aca="false">IF(IsPro,IF($D1024="","",IFERROR(INDEX(Items!$F$5:$F$504,Q1024),0)),"")</f>
        <v/>
      </c>
      <c r="M1024" s="61" t="str">
        <f aca="false">IF(IsPro,IF($D1024="","",IF(AND(R1024&lt;&gt;"",INDEX(Parties!$E$5:$E$304,R1024)&lt;&gt;"",INDEX(Parties!$E$5:$E$304,R1024)&lt;&gt;HomeState),0,ROUND(K1024*L1024/2,2))),"")</f>
        <v/>
      </c>
      <c r="N1024" s="61" t="str">
        <f aca="false">IF(IsPro,IF($D1024="","",M1024),"")</f>
        <v/>
      </c>
      <c r="O1024" s="61" t="str">
        <f aca="false">IF(IsPro,IF($D1024="","",IF(AND(R1024&lt;&gt;"",INDEX(Parties!$E$5:$E$304,R1024)&lt;&gt;"",INDEX(Parties!$E$5:$E$304,R1024)&lt;&gt;HomeState),ROUND(K1024*L1024,2),0)),"")</f>
        <v/>
      </c>
      <c r="P1024" s="61" t="str">
        <f aca="false">IF(IsPro,IF($D1024="","",K1024+M1024+N1024+O1024),"")</f>
        <v/>
      </c>
      <c r="Q1024" s="60" t="str">
        <f aca="false">IF(IsPro,IF($D1024="","",IFERROR(MATCH($D1024,Items!$A$5:$A$504,0),"")),"")</f>
        <v/>
      </c>
      <c r="R1024" s="60" t="str">
        <f aca="false">IF(IsPro,IF($C1024="","",IFERROR(MATCH($C1024,Parties!$A$5:$A$304,0),"")),"")</f>
        <v/>
      </c>
      <c r="S1024" s="61" t="str">
        <f aca="false">IF(IsPro,IF($D1024="","",IF(OR($H1024="",$H1024="Credit"),0,P1024)),"")</f>
        <v/>
      </c>
    </row>
    <row r="1025" customFormat="false" ht="15" hidden="false" customHeight="false" outlineLevel="0" collapsed="false">
      <c r="A1025" s="55"/>
      <c r="B1025" s="56"/>
      <c r="C1025" s="56"/>
      <c r="D1025" s="56"/>
      <c r="E1025" s="57"/>
      <c r="F1025" s="58"/>
      <c r="G1025" s="59"/>
      <c r="H1025" s="56"/>
      <c r="I1025" s="60" t="str">
        <f aca="false">IF(IsPro,IF($D1025="","",IFERROR(INDEX(Items!$D$5:$D$504,Q1025),"")),IF($D1025="","","PRO PLAN"))</f>
        <v/>
      </c>
      <c r="J1025" s="61" t="str">
        <f aca="false">IF(IsPro,IF($D1025="","",IF($F1025="",IFERROR(INDEX(Items!$G$5:$G$504,Q1025),0),$F1025)),"")</f>
        <v/>
      </c>
      <c r="K1025" s="61" t="str">
        <f aca="false">IF(IsPro,IF($D1025="","",ROUND(N($E1025)*J1025*(1-N($G1025)),2)),"")</f>
        <v/>
      </c>
      <c r="L1025" s="62" t="str">
        <f aca="false">IF(IsPro,IF($D1025="","",IFERROR(INDEX(Items!$F$5:$F$504,Q1025),0)),"")</f>
        <v/>
      </c>
      <c r="M1025" s="61" t="str">
        <f aca="false">IF(IsPro,IF($D1025="","",IF(AND(R1025&lt;&gt;"",INDEX(Parties!$E$5:$E$304,R1025)&lt;&gt;"",INDEX(Parties!$E$5:$E$304,R1025)&lt;&gt;HomeState),0,ROUND(K1025*L1025/2,2))),"")</f>
        <v/>
      </c>
      <c r="N1025" s="61" t="str">
        <f aca="false">IF(IsPro,IF($D1025="","",M1025),"")</f>
        <v/>
      </c>
      <c r="O1025" s="61" t="str">
        <f aca="false">IF(IsPro,IF($D1025="","",IF(AND(R1025&lt;&gt;"",INDEX(Parties!$E$5:$E$304,R1025)&lt;&gt;"",INDEX(Parties!$E$5:$E$304,R1025)&lt;&gt;HomeState),ROUND(K1025*L1025,2),0)),"")</f>
        <v/>
      </c>
      <c r="P1025" s="61" t="str">
        <f aca="false">IF(IsPro,IF($D1025="","",K1025+M1025+N1025+O1025),"")</f>
        <v/>
      </c>
      <c r="Q1025" s="60" t="str">
        <f aca="false">IF(IsPro,IF($D1025="","",IFERROR(MATCH($D1025,Items!$A$5:$A$504,0),"")),"")</f>
        <v/>
      </c>
      <c r="R1025" s="60" t="str">
        <f aca="false">IF(IsPro,IF($C1025="","",IFERROR(MATCH($C1025,Parties!$A$5:$A$304,0),"")),"")</f>
        <v/>
      </c>
      <c r="S1025" s="61" t="str">
        <f aca="false">IF(IsPro,IF($D1025="","",IF(OR($H1025="",$H1025="Credit"),0,P1025)),"")</f>
        <v/>
      </c>
    </row>
    <row r="1026" customFormat="false" ht="15" hidden="false" customHeight="false" outlineLevel="0" collapsed="false">
      <c r="A1026" s="55"/>
      <c r="B1026" s="56"/>
      <c r="C1026" s="56"/>
      <c r="D1026" s="56"/>
      <c r="E1026" s="57"/>
      <c r="F1026" s="58"/>
      <c r="G1026" s="59"/>
      <c r="H1026" s="56"/>
      <c r="I1026" s="60" t="str">
        <f aca="false">IF(IsPro,IF($D1026="","",IFERROR(INDEX(Items!$D$5:$D$504,Q1026),"")),IF($D1026="","","PRO PLAN"))</f>
        <v/>
      </c>
      <c r="J1026" s="61" t="str">
        <f aca="false">IF(IsPro,IF($D1026="","",IF($F1026="",IFERROR(INDEX(Items!$G$5:$G$504,Q1026),0),$F1026)),"")</f>
        <v/>
      </c>
      <c r="K1026" s="61" t="str">
        <f aca="false">IF(IsPro,IF($D1026="","",ROUND(N($E1026)*J1026*(1-N($G1026)),2)),"")</f>
        <v/>
      </c>
      <c r="L1026" s="62" t="str">
        <f aca="false">IF(IsPro,IF($D1026="","",IFERROR(INDEX(Items!$F$5:$F$504,Q1026),0)),"")</f>
        <v/>
      </c>
      <c r="M1026" s="61" t="str">
        <f aca="false">IF(IsPro,IF($D1026="","",IF(AND(R1026&lt;&gt;"",INDEX(Parties!$E$5:$E$304,R1026)&lt;&gt;"",INDEX(Parties!$E$5:$E$304,R1026)&lt;&gt;HomeState),0,ROUND(K1026*L1026/2,2))),"")</f>
        <v/>
      </c>
      <c r="N1026" s="61" t="str">
        <f aca="false">IF(IsPro,IF($D1026="","",M1026),"")</f>
        <v/>
      </c>
      <c r="O1026" s="61" t="str">
        <f aca="false">IF(IsPro,IF($D1026="","",IF(AND(R1026&lt;&gt;"",INDEX(Parties!$E$5:$E$304,R1026)&lt;&gt;"",INDEX(Parties!$E$5:$E$304,R1026)&lt;&gt;HomeState),ROUND(K1026*L1026,2),0)),"")</f>
        <v/>
      </c>
      <c r="P1026" s="61" t="str">
        <f aca="false">IF(IsPro,IF($D1026="","",K1026+M1026+N1026+O1026),"")</f>
        <v/>
      </c>
      <c r="Q1026" s="60" t="str">
        <f aca="false">IF(IsPro,IF($D1026="","",IFERROR(MATCH($D1026,Items!$A$5:$A$504,0),"")),"")</f>
        <v/>
      </c>
      <c r="R1026" s="60" t="str">
        <f aca="false">IF(IsPro,IF($C1026="","",IFERROR(MATCH($C1026,Parties!$A$5:$A$304,0),"")),"")</f>
        <v/>
      </c>
      <c r="S1026" s="61" t="str">
        <f aca="false">IF(IsPro,IF($D1026="","",IF(OR($H1026="",$H1026="Credit"),0,P1026)),"")</f>
        <v/>
      </c>
    </row>
    <row r="1027" customFormat="false" ht="15" hidden="false" customHeight="false" outlineLevel="0" collapsed="false">
      <c r="A1027" s="55"/>
      <c r="B1027" s="56"/>
      <c r="C1027" s="56"/>
      <c r="D1027" s="56"/>
      <c r="E1027" s="57"/>
      <c r="F1027" s="58"/>
      <c r="G1027" s="59"/>
      <c r="H1027" s="56"/>
      <c r="I1027" s="60" t="str">
        <f aca="false">IF(IsPro,IF($D1027="","",IFERROR(INDEX(Items!$D$5:$D$504,Q1027),"")),IF($D1027="","","PRO PLAN"))</f>
        <v/>
      </c>
      <c r="J1027" s="61" t="str">
        <f aca="false">IF(IsPro,IF($D1027="","",IF($F1027="",IFERROR(INDEX(Items!$G$5:$G$504,Q1027),0),$F1027)),"")</f>
        <v/>
      </c>
      <c r="K1027" s="61" t="str">
        <f aca="false">IF(IsPro,IF($D1027="","",ROUND(N($E1027)*J1027*(1-N($G1027)),2)),"")</f>
        <v/>
      </c>
      <c r="L1027" s="62" t="str">
        <f aca="false">IF(IsPro,IF($D1027="","",IFERROR(INDEX(Items!$F$5:$F$504,Q1027),0)),"")</f>
        <v/>
      </c>
      <c r="M1027" s="61" t="str">
        <f aca="false">IF(IsPro,IF($D1027="","",IF(AND(R1027&lt;&gt;"",INDEX(Parties!$E$5:$E$304,R1027)&lt;&gt;"",INDEX(Parties!$E$5:$E$304,R1027)&lt;&gt;HomeState),0,ROUND(K1027*L1027/2,2))),"")</f>
        <v/>
      </c>
      <c r="N1027" s="61" t="str">
        <f aca="false">IF(IsPro,IF($D1027="","",M1027),"")</f>
        <v/>
      </c>
      <c r="O1027" s="61" t="str">
        <f aca="false">IF(IsPro,IF($D1027="","",IF(AND(R1027&lt;&gt;"",INDEX(Parties!$E$5:$E$304,R1027)&lt;&gt;"",INDEX(Parties!$E$5:$E$304,R1027)&lt;&gt;HomeState),ROUND(K1027*L1027,2),0)),"")</f>
        <v/>
      </c>
      <c r="P1027" s="61" t="str">
        <f aca="false">IF(IsPro,IF($D1027="","",K1027+M1027+N1027+O1027),"")</f>
        <v/>
      </c>
      <c r="Q1027" s="60" t="str">
        <f aca="false">IF(IsPro,IF($D1027="","",IFERROR(MATCH($D1027,Items!$A$5:$A$504,0),"")),"")</f>
        <v/>
      </c>
      <c r="R1027" s="60" t="str">
        <f aca="false">IF(IsPro,IF($C1027="","",IFERROR(MATCH($C1027,Parties!$A$5:$A$304,0),"")),"")</f>
        <v/>
      </c>
      <c r="S1027" s="61" t="str">
        <f aca="false">IF(IsPro,IF($D1027="","",IF(OR($H1027="",$H1027="Credit"),0,P1027)),"")</f>
        <v/>
      </c>
    </row>
    <row r="1028" customFormat="false" ht="15" hidden="false" customHeight="false" outlineLevel="0" collapsed="false">
      <c r="A1028" s="55"/>
      <c r="B1028" s="56"/>
      <c r="C1028" s="56"/>
      <c r="D1028" s="56"/>
      <c r="E1028" s="57"/>
      <c r="F1028" s="58"/>
      <c r="G1028" s="59"/>
      <c r="H1028" s="56"/>
      <c r="I1028" s="60" t="str">
        <f aca="false">IF(IsPro,IF($D1028="","",IFERROR(INDEX(Items!$D$5:$D$504,Q1028),"")),IF($D1028="","","PRO PLAN"))</f>
        <v/>
      </c>
      <c r="J1028" s="61" t="str">
        <f aca="false">IF(IsPro,IF($D1028="","",IF($F1028="",IFERROR(INDEX(Items!$G$5:$G$504,Q1028),0),$F1028)),"")</f>
        <v/>
      </c>
      <c r="K1028" s="61" t="str">
        <f aca="false">IF(IsPro,IF($D1028="","",ROUND(N($E1028)*J1028*(1-N($G1028)),2)),"")</f>
        <v/>
      </c>
      <c r="L1028" s="62" t="str">
        <f aca="false">IF(IsPro,IF($D1028="","",IFERROR(INDEX(Items!$F$5:$F$504,Q1028),0)),"")</f>
        <v/>
      </c>
      <c r="M1028" s="61" t="str">
        <f aca="false">IF(IsPro,IF($D1028="","",IF(AND(R1028&lt;&gt;"",INDEX(Parties!$E$5:$E$304,R1028)&lt;&gt;"",INDEX(Parties!$E$5:$E$304,R1028)&lt;&gt;HomeState),0,ROUND(K1028*L1028/2,2))),"")</f>
        <v/>
      </c>
      <c r="N1028" s="61" t="str">
        <f aca="false">IF(IsPro,IF($D1028="","",M1028),"")</f>
        <v/>
      </c>
      <c r="O1028" s="61" t="str">
        <f aca="false">IF(IsPro,IF($D1028="","",IF(AND(R1028&lt;&gt;"",INDEX(Parties!$E$5:$E$304,R1028)&lt;&gt;"",INDEX(Parties!$E$5:$E$304,R1028)&lt;&gt;HomeState),ROUND(K1028*L1028,2),0)),"")</f>
        <v/>
      </c>
      <c r="P1028" s="61" t="str">
        <f aca="false">IF(IsPro,IF($D1028="","",K1028+M1028+N1028+O1028),"")</f>
        <v/>
      </c>
      <c r="Q1028" s="60" t="str">
        <f aca="false">IF(IsPro,IF($D1028="","",IFERROR(MATCH($D1028,Items!$A$5:$A$504,0),"")),"")</f>
        <v/>
      </c>
      <c r="R1028" s="60" t="str">
        <f aca="false">IF(IsPro,IF($C1028="","",IFERROR(MATCH($C1028,Parties!$A$5:$A$304,0),"")),"")</f>
        <v/>
      </c>
      <c r="S1028" s="61" t="str">
        <f aca="false">IF(IsPro,IF($D1028="","",IF(OR($H1028="",$H1028="Credit"),0,P1028)),"")</f>
        <v/>
      </c>
    </row>
    <row r="1029" customFormat="false" ht="15" hidden="false" customHeight="false" outlineLevel="0" collapsed="false">
      <c r="A1029" s="55"/>
      <c r="B1029" s="56"/>
      <c r="C1029" s="56"/>
      <c r="D1029" s="56"/>
      <c r="E1029" s="57"/>
      <c r="F1029" s="58"/>
      <c r="G1029" s="59"/>
      <c r="H1029" s="56"/>
      <c r="I1029" s="60" t="str">
        <f aca="false">IF(IsPro,IF($D1029="","",IFERROR(INDEX(Items!$D$5:$D$504,Q1029),"")),IF($D1029="","","PRO PLAN"))</f>
        <v/>
      </c>
      <c r="J1029" s="61" t="str">
        <f aca="false">IF(IsPro,IF($D1029="","",IF($F1029="",IFERROR(INDEX(Items!$G$5:$G$504,Q1029),0),$F1029)),"")</f>
        <v/>
      </c>
      <c r="K1029" s="61" t="str">
        <f aca="false">IF(IsPro,IF($D1029="","",ROUND(N($E1029)*J1029*(1-N($G1029)),2)),"")</f>
        <v/>
      </c>
      <c r="L1029" s="62" t="str">
        <f aca="false">IF(IsPro,IF($D1029="","",IFERROR(INDEX(Items!$F$5:$F$504,Q1029),0)),"")</f>
        <v/>
      </c>
      <c r="M1029" s="61" t="str">
        <f aca="false">IF(IsPro,IF($D1029="","",IF(AND(R1029&lt;&gt;"",INDEX(Parties!$E$5:$E$304,R1029)&lt;&gt;"",INDEX(Parties!$E$5:$E$304,R1029)&lt;&gt;HomeState),0,ROUND(K1029*L1029/2,2))),"")</f>
        <v/>
      </c>
      <c r="N1029" s="61" t="str">
        <f aca="false">IF(IsPro,IF($D1029="","",M1029),"")</f>
        <v/>
      </c>
      <c r="O1029" s="61" t="str">
        <f aca="false">IF(IsPro,IF($D1029="","",IF(AND(R1029&lt;&gt;"",INDEX(Parties!$E$5:$E$304,R1029)&lt;&gt;"",INDEX(Parties!$E$5:$E$304,R1029)&lt;&gt;HomeState),ROUND(K1029*L1029,2),0)),"")</f>
        <v/>
      </c>
      <c r="P1029" s="61" t="str">
        <f aca="false">IF(IsPro,IF($D1029="","",K1029+M1029+N1029+O1029),"")</f>
        <v/>
      </c>
      <c r="Q1029" s="60" t="str">
        <f aca="false">IF(IsPro,IF($D1029="","",IFERROR(MATCH($D1029,Items!$A$5:$A$504,0),"")),"")</f>
        <v/>
      </c>
      <c r="R1029" s="60" t="str">
        <f aca="false">IF(IsPro,IF($C1029="","",IFERROR(MATCH($C1029,Parties!$A$5:$A$304,0),"")),"")</f>
        <v/>
      </c>
      <c r="S1029" s="61" t="str">
        <f aca="false">IF(IsPro,IF($D1029="","",IF(OR($H1029="",$H1029="Credit"),0,P1029)),"")</f>
        <v/>
      </c>
    </row>
    <row r="1030" customFormat="false" ht="15" hidden="false" customHeight="false" outlineLevel="0" collapsed="false">
      <c r="A1030" s="55"/>
      <c r="B1030" s="56"/>
      <c r="C1030" s="56"/>
      <c r="D1030" s="56"/>
      <c r="E1030" s="57"/>
      <c r="F1030" s="58"/>
      <c r="G1030" s="59"/>
      <c r="H1030" s="56"/>
      <c r="I1030" s="60" t="str">
        <f aca="false">IF(IsPro,IF($D1030="","",IFERROR(INDEX(Items!$D$5:$D$504,Q1030),"")),IF($D1030="","","PRO PLAN"))</f>
        <v/>
      </c>
      <c r="J1030" s="61" t="str">
        <f aca="false">IF(IsPro,IF($D1030="","",IF($F1030="",IFERROR(INDEX(Items!$G$5:$G$504,Q1030),0),$F1030)),"")</f>
        <v/>
      </c>
      <c r="K1030" s="61" t="str">
        <f aca="false">IF(IsPro,IF($D1030="","",ROUND(N($E1030)*J1030*(1-N($G1030)),2)),"")</f>
        <v/>
      </c>
      <c r="L1030" s="62" t="str">
        <f aca="false">IF(IsPro,IF($D1030="","",IFERROR(INDEX(Items!$F$5:$F$504,Q1030),0)),"")</f>
        <v/>
      </c>
      <c r="M1030" s="61" t="str">
        <f aca="false">IF(IsPro,IF($D1030="","",IF(AND(R1030&lt;&gt;"",INDEX(Parties!$E$5:$E$304,R1030)&lt;&gt;"",INDEX(Parties!$E$5:$E$304,R1030)&lt;&gt;HomeState),0,ROUND(K1030*L1030/2,2))),"")</f>
        <v/>
      </c>
      <c r="N1030" s="61" t="str">
        <f aca="false">IF(IsPro,IF($D1030="","",M1030),"")</f>
        <v/>
      </c>
      <c r="O1030" s="61" t="str">
        <f aca="false">IF(IsPro,IF($D1030="","",IF(AND(R1030&lt;&gt;"",INDEX(Parties!$E$5:$E$304,R1030)&lt;&gt;"",INDEX(Parties!$E$5:$E$304,R1030)&lt;&gt;HomeState),ROUND(K1030*L1030,2),0)),"")</f>
        <v/>
      </c>
      <c r="P1030" s="61" t="str">
        <f aca="false">IF(IsPro,IF($D1030="","",K1030+M1030+N1030+O1030),"")</f>
        <v/>
      </c>
      <c r="Q1030" s="60" t="str">
        <f aca="false">IF(IsPro,IF($D1030="","",IFERROR(MATCH($D1030,Items!$A$5:$A$504,0),"")),"")</f>
        <v/>
      </c>
      <c r="R1030" s="60" t="str">
        <f aca="false">IF(IsPro,IF($C1030="","",IFERROR(MATCH($C1030,Parties!$A$5:$A$304,0),"")),"")</f>
        <v/>
      </c>
      <c r="S1030" s="61" t="str">
        <f aca="false">IF(IsPro,IF($D1030="","",IF(OR($H1030="",$H1030="Credit"),0,P1030)),"")</f>
        <v/>
      </c>
    </row>
    <row r="1031" customFormat="false" ht="15" hidden="false" customHeight="false" outlineLevel="0" collapsed="false">
      <c r="A1031" s="55"/>
      <c r="B1031" s="56"/>
      <c r="C1031" s="56"/>
      <c r="D1031" s="56"/>
      <c r="E1031" s="57"/>
      <c r="F1031" s="58"/>
      <c r="G1031" s="59"/>
      <c r="H1031" s="56"/>
      <c r="I1031" s="60" t="str">
        <f aca="false">IF(IsPro,IF($D1031="","",IFERROR(INDEX(Items!$D$5:$D$504,Q1031),"")),IF($D1031="","","PRO PLAN"))</f>
        <v/>
      </c>
      <c r="J1031" s="61" t="str">
        <f aca="false">IF(IsPro,IF($D1031="","",IF($F1031="",IFERROR(INDEX(Items!$G$5:$G$504,Q1031),0),$F1031)),"")</f>
        <v/>
      </c>
      <c r="K1031" s="61" t="str">
        <f aca="false">IF(IsPro,IF($D1031="","",ROUND(N($E1031)*J1031*(1-N($G1031)),2)),"")</f>
        <v/>
      </c>
      <c r="L1031" s="62" t="str">
        <f aca="false">IF(IsPro,IF($D1031="","",IFERROR(INDEX(Items!$F$5:$F$504,Q1031),0)),"")</f>
        <v/>
      </c>
      <c r="M1031" s="61" t="str">
        <f aca="false">IF(IsPro,IF($D1031="","",IF(AND(R1031&lt;&gt;"",INDEX(Parties!$E$5:$E$304,R1031)&lt;&gt;"",INDEX(Parties!$E$5:$E$304,R1031)&lt;&gt;HomeState),0,ROUND(K1031*L1031/2,2))),"")</f>
        <v/>
      </c>
      <c r="N1031" s="61" t="str">
        <f aca="false">IF(IsPro,IF($D1031="","",M1031),"")</f>
        <v/>
      </c>
      <c r="O1031" s="61" t="str">
        <f aca="false">IF(IsPro,IF($D1031="","",IF(AND(R1031&lt;&gt;"",INDEX(Parties!$E$5:$E$304,R1031)&lt;&gt;"",INDEX(Parties!$E$5:$E$304,R1031)&lt;&gt;HomeState),ROUND(K1031*L1031,2),0)),"")</f>
        <v/>
      </c>
      <c r="P1031" s="61" t="str">
        <f aca="false">IF(IsPro,IF($D1031="","",K1031+M1031+N1031+O1031),"")</f>
        <v/>
      </c>
      <c r="Q1031" s="60" t="str">
        <f aca="false">IF(IsPro,IF($D1031="","",IFERROR(MATCH($D1031,Items!$A$5:$A$504,0),"")),"")</f>
        <v/>
      </c>
      <c r="R1031" s="60" t="str">
        <f aca="false">IF(IsPro,IF($C1031="","",IFERROR(MATCH($C1031,Parties!$A$5:$A$304,0),"")),"")</f>
        <v/>
      </c>
      <c r="S1031" s="61" t="str">
        <f aca="false">IF(IsPro,IF($D1031="","",IF(OR($H1031="",$H1031="Credit"),0,P1031)),"")</f>
        <v/>
      </c>
    </row>
    <row r="1032" customFormat="false" ht="15" hidden="false" customHeight="false" outlineLevel="0" collapsed="false">
      <c r="A1032" s="55"/>
      <c r="B1032" s="56"/>
      <c r="C1032" s="56"/>
      <c r="D1032" s="56"/>
      <c r="E1032" s="57"/>
      <c r="F1032" s="58"/>
      <c r="G1032" s="59"/>
      <c r="H1032" s="56"/>
      <c r="I1032" s="60" t="str">
        <f aca="false">IF(IsPro,IF($D1032="","",IFERROR(INDEX(Items!$D$5:$D$504,Q1032),"")),IF($D1032="","","PRO PLAN"))</f>
        <v/>
      </c>
      <c r="J1032" s="61" t="str">
        <f aca="false">IF(IsPro,IF($D1032="","",IF($F1032="",IFERROR(INDEX(Items!$G$5:$G$504,Q1032),0),$F1032)),"")</f>
        <v/>
      </c>
      <c r="K1032" s="61" t="str">
        <f aca="false">IF(IsPro,IF($D1032="","",ROUND(N($E1032)*J1032*(1-N($G1032)),2)),"")</f>
        <v/>
      </c>
      <c r="L1032" s="62" t="str">
        <f aca="false">IF(IsPro,IF($D1032="","",IFERROR(INDEX(Items!$F$5:$F$504,Q1032),0)),"")</f>
        <v/>
      </c>
      <c r="M1032" s="61" t="str">
        <f aca="false">IF(IsPro,IF($D1032="","",IF(AND(R1032&lt;&gt;"",INDEX(Parties!$E$5:$E$304,R1032)&lt;&gt;"",INDEX(Parties!$E$5:$E$304,R1032)&lt;&gt;HomeState),0,ROUND(K1032*L1032/2,2))),"")</f>
        <v/>
      </c>
      <c r="N1032" s="61" t="str">
        <f aca="false">IF(IsPro,IF($D1032="","",M1032),"")</f>
        <v/>
      </c>
      <c r="O1032" s="61" t="str">
        <f aca="false">IF(IsPro,IF($D1032="","",IF(AND(R1032&lt;&gt;"",INDEX(Parties!$E$5:$E$304,R1032)&lt;&gt;"",INDEX(Parties!$E$5:$E$304,R1032)&lt;&gt;HomeState),ROUND(K1032*L1032,2),0)),"")</f>
        <v/>
      </c>
      <c r="P1032" s="61" t="str">
        <f aca="false">IF(IsPro,IF($D1032="","",K1032+M1032+N1032+O1032),"")</f>
        <v/>
      </c>
      <c r="Q1032" s="60" t="str">
        <f aca="false">IF(IsPro,IF($D1032="","",IFERROR(MATCH($D1032,Items!$A$5:$A$504,0),"")),"")</f>
        <v/>
      </c>
      <c r="R1032" s="60" t="str">
        <f aca="false">IF(IsPro,IF($C1032="","",IFERROR(MATCH($C1032,Parties!$A$5:$A$304,0),"")),"")</f>
        <v/>
      </c>
      <c r="S1032" s="61" t="str">
        <f aca="false">IF(IsPro,IF($D1032="","",IF(OR($H1032="",$H1032="Credit"),0,P1032)),"")</f>
        <v/>
      </c>
    </row>
    <row r="1033" customFormat="false" ht="15" hidden="false" customHeight="false" outlineLevel="0" collapsed="false">
      <c r="A1033" s="55"/>
      <c r="B1033" s="56"/>
      <c r="C1033" s="56"/>
      <c r="D1033" s="56"/>
      <c r="E1033" s="57"/>
      <c r="F1033" s="58"/>
      <c r="G1033" s="59"/>
      <c r="H1033" s="56"/>
      <c r="I1033" s="60" t="str">
        <f aca="false">IF(IsPro,IF($D1033="","",IFERROR(INDEX(Items!$D$5:$D$504,Q1033),"")),IF($D1033="","","PRO PLAN"))</f>
        <v/>
      </c>
      <c r="J1033" s="61" t="str">
        <f aca="false">IF(IsPro,IF($D1033="","",IF($F1033="",IFERROR(INDEX(Items!$G$5:$G$504,Q1033),0),$F1033)),"")</f>
        <v/>
      </c>
      <c r="K1033" s="61" t="str">
        <f aca="false">IF(IsPro,IF($D1033="","",ROUND(N($E1033)*J1033*(1-N($G1033)),2)),"")</f>
        <v/>
      </c>
      <c r="L1033" s="62" t="str">
        <f aca="false">IF(IsPro,IF($D1033="","",IFERROR(INDEX(Items!$F$5:$F$504,Q1033),0)),"")</f>
        <v/>
      </c>
      <c r="M1033" s="61" t="str">
        <f aca="false">IF(IsPro,IF($D1033="","",IF(AND(R1033&lt;&gt;"",INDEX(Parties!$E$5:$E$304,R1033)&lt;&gt;"",INDEX(Parties!$E$5:$E$304,R1033)&lt;&gt;HomeState),0,ROUND(K1033*L1033/2,2))),"")</f>
        <v/>
      </c>
      <c r="N1033" s="61" t="str">
        <f aca="false">IF(IsPro,IF($D1033="","",M1033),"")</f>
        <v/>
      </c>
      <c r="O1033" s="61" t="str">
        <f aca="false">IF(IsPro,IF($D1033="","",IF(AND(R1033&lt;&gt;"",INDEX(Parties!$E$5:$E$304,R1033)&lt;&gt;"",INDEX(Parties!$E$5:$E$304,R1033)&lt;&gt;HomeState),ROUND(K1033*L1033,2),0)),"")</f>
        <v/>
      </c>
      <c r="P1033" s="61" t="str">
        <f aca="false">IF(IsPro,IF($D1033="","",K1033+M1033+N1033+O1033),"")</f>
        <v/>
      </c>
      <c r="Q1033" s="60" t="str">
        <f aca="false">IF(IsPro,IF($D1033="","",IFERROR(MATCH($D1033,Items!$A$5:$A$504,0),"")),"")</f>
        <v/>
      </c>
      <c r="R1033" s="60" t="str">
        <f aca="false">IF(IsPro,IF($C1033="","",IFERROR(MATCH($C1033,Parties!$A$5:$A$304,0),"")),"")</f>
        <v/>
      </c>
      <c r="S1033" s="61" t="str">
        <f aca="false">IF(IsPro,IF($D1033="","",IF(OR($H1033="",$H1033="Credit"),0,P1033)),"")</f>
        <v/>
      </c>
    </row>
    <row r="1034" customFormat="false" ht="15" hidden="false" customHeight="false" outlineLevel="0" collapsed="false">
      <c r="A1034" s="55"/>
      <c r="B1034" s="56"/>
      <c r="C1034" s="56"/>
      <c r="D1034" s="56"/>
      <c r="E1034" s="57"/>
      <c r="F1034" s="58"/>
      <c r="G1034" s="59"/>
      <c r="H1034" s="56"/>
      <c r="I1034" s="60" t="str">
        <f aca="false">IF(IsPro,IF($D1034="","",IFERROR(INDEX(Items!$D$5:$D$504,Q1034),"")),IF($D1034="","","PRO PLAN"))</f>
        <v/>
      </c>
      <c r="J1034" s="61" t="str">
        <f aca="false">IF(IsPro,IF($D1034="","",IF($F1034="",IFERROR(INDEX(Items!$G$5:$G$504,Q1034),0),$F1034)),"")</f>
        <v/>
      </c>
      <c r="K1034" s="61" t="str">
        <f aca="false">IF(IsPro,IF($D1034="","",ROUND(N($E1034)*J1034*(1-N($G1034)),2)),"")</f>
        <v/>
      </c>
      <c r="L1034" s="62" t="str">
        <f aca="false">IF(IsPro,IF($D1034="","",IFERROR(INDEX(Items!$F$5:$F$504,Q1034),0)),"")</f>
        <v/>
      </c>
      <c r="M1034" s="61" t="str">
        <f aca="false">IF(IsPro,IF($D1034="","",IF(AND(R1034&lt;&gt;"",INDEX(Parties!$E$5:$E$304,R1034)&lt;&gt;"",INDEX(Parties!$E$5:$E$304,R1034)&lt;&gt;HomeState),0,ROUND(K1034*L1034/2,2))),"")</f>
        <v/>
      </c>
      <c r="N1034" s="61" t="str">
        <f aca="false">IF(IsPro,IF($D1034="","",M1034),"")</f>
        <v/>
      </c>
      <c r="O1034" s="61" t="str">
        <f aca="false">IF(IsPro,IF($D1034="","",IF(AND(R1034&lt;&gt;"",INDEX(Parties!$E$5:$E$304,R1034)&lt;&gt;"",INDEX(Parties!$E$5:$E$304,R1034)&lt;&gt;HomeState),ROUND(K1034*L1034,2),0)),"")</f>
        <v/>
      </c>
      <c r="P1034" s="61" t="str">
        <f aca="false">IF(IsPro,IF($D1034="","",K1034+M1034+N1034+O1034),"")</f>
        <v/>
      </c>
      <c r="Q1034" s="60" t="str">
        <f aca="false">IF(IsPro,IF($D1034="","",IFERROR(MATCH($D1034,Items!$A$5:$A$504,0),"")),"")</f>
        <v/>
      </c>
      <c r="R1034" s="60" t="str">
        <f aca="false">IF(IsPro,IF($C1034="","",IFERROR(MATCH($C1034,Parties!$A$5:$A$304,0),"")),"")</f>
        <v/>
      </c>
      <c r="S1034" s="61" t="str">
        <f aca="false">IF(IsPro,IF($D1034="","",IF(OR($H1034="",$H1034="Credit"),0,P1034)),"")</f>
        <v/>
      </c>
    </row>
    <row r="1035" customFormat="false" ht="15" hidden="false" customHeight="false" outlineLevel="0" collapsed="false">
      <c r="A1035" s="55"/>
      <c r="B1035" s="56"/>
      <c r="C1035" s="56"/>
      <c r="D1035" s="56"/>
      <c r="E1035" s="57"/>
      <c r="F1035" s="58"/>
      <c r="G1035" s="59"/>
      <c r="H1035" s="56"/>
      <c r="I1035" s="60" t="str">
        <f aca="false">IF(IsPro,IF($D1035="","",IFERROR(INDEX(Items!$D$5:$D$504,Q1035),"")),IF($D1035="","","PRO PLAN"))</f>
        <v/>
      </c>
      <c r="J1035" s="61" t="str">
        <f aca="false">IF(IsPro,IF($D1035="","",IF($F1035="",IFERROR(INDEX(Items!$G$5:$G$504,Q1035),0),$F1035)),"")</f>
        <v/>
      </c>
      <c r="K1035" s="61" t="str">
        <f aca="false">IF(IsPro,IF($D1035="","",ROUND(N($E1035)*J1035*(1-N($G1035)),2)),"")</f>
        <v/>
      </c>
      <c r="L1035" s="62" t="str">
        <f aca="false">IF(IsPro,IF($D1035="","",IFERROR(INDEX(Items!$F$5:$F$504,Q1035),0)),"")</f>
        <v/>
      </c>
      <c r="M1035" s="61" t="str">
        <f aca="false">IF(IsPro,IF($D1035="","",IF(AND(R1035&lt;&gt;"",INDEX(Parties!$E$5:$E$304,R1035)&lt;&gt;"",INDEX(Parties!$E$5:$E$304,R1035)&lt;&gt;HomeState),0,ROUND(K1035*L1035/2,2))),"")</f>
        <v/>
      </c>
      <c r="N1035" s="61" t="str">
        <f aca="false">IF(IsPro,IF($D1035="","",M1035),"")</f>
        <v/>
      </c>
      <c r="O1035" s="61" t="str">
        <f aca="false">IF(IsPro,IF($D1035="","",IF(AND(R1035&lt;&gt;"",INDEX(Parties!$E$5:$E$304,R1035)&lt;&gt;"",INDEX(Parties!$E$5:$E$304,R1035)&lt;&gt;HomeState),ROUND(K1035*L1035,2),0)),"")</f>
        <v/>
      </c>
      <c r="P1035" s="61" t="str">
        <f aca="false">IF(IsPro,IF($D1035="","",K1035+M1035+N1035+O1035),"")</f>
        <v/>
      </c>
      <c r="Q1035" s="60" t="str">
        <f aca="false">IF(IsPro,IF($D1035="","",IFERROR(MATCH($D1035,Items!$A$5:$A$504,0),"")),"")</f>
        <v/>
      </c>
      <c r="R1035" s="60" t="str">
        <f aca="false">IF(IsPro,IF($C1035="","",IFERROR(MATCH($C1035,Parties!$A$5:$A$304,0),"")),"")</f>
        <v/>
      </c>
      <c r="S1035" s="61" t="str">
        <f aca="false">IF(IsPro,IF($D1035="","",IF(OR($H1035="",$H1035="Credit"),0,P1035)),"")</f>
        <v/>
      </c>
    </row>
    <row r="1036" customFormat="false" ht="15" hidden="false" customHeight="false" outlineLevel="0" collapsed="false">
      <c r="A1036" s="55"/>
      <c r="B1036" s="56"/>
      <c r="C1036" s="56"/>
      <c r="D1036" s="56"/>
      <c r="E1036" s="57"/>
      <c r="F1036" s="58"/>
      <c r="G1036" s="59"/>
      <c r="H1036" s="56"/>
      <c r="I1036" s="60" t="str">
        <f aca="false">IF(IsPro,IF($D1036="","",IFERROR(INDEX(Items!$D$5:$D$504,Q1036),"")),IF($D1036="","","PRO PLAN"))</f>
        <v/>
      </c>
      <c r="J1036" s="61" t="str">
        <f aca="false">IF(IsPro,IF($D1036="","",IF($F1036="",IFERROR(INDEX(Items!$G$5:$G$504,Q1036),0),$F1036)),"")</f>
        <v/>
      </c>
      <c r="K1036" s="61" t="str">
        <f aca="false">IF(IsPro,IF($D1036="","",ROUND(N($E1036)*J1036*(1-N($G1036)),2)),"")</f>
        <v/>
      </c>
      <c r="L1036" s="62" t="str">
        <f aca="false">IF(IsPro,IF($D1036="","",IFERROR(INDEX(Items!$F$5:$F$504,Q1036),0)),"")</f>
        <v/>
      </c>
      <c r="M1036" s="61" t="str">
        <f aca="false">IF(IsPro,IF($D1036="","",IF(AND(R1036&lt;&gt;"",INDEX(Parties!$E$5:$E$304,R1036)&lt;&gt;"",INDEX(Parties!$E$5:$E$304,R1036)&lt;&gt;HomeState),0,ROUND(K1036*L1036/2,2))),"")</f>
        <v/>
      </c>
      <c r="N1036" s="61" t="str">
        <f aca="false">IF(IsPro,IF($D1036="","",M1036),"")</f>
        <v/>
      </c>
      <c r="O1036" s="61" t="str">
        <f aca="false">IF(IsPro,IF($D1036="","",IF(AND(R1036&lt;&gt;"",INDEX(Parties!$E$5:$E$304,R1036)&lt;&gt;"",INDEX(Parties!$E$5:$E$304,R1036)&lt;&gt;HomeState),ROUND(K1036*L1036,2),0)),"")</f>
        <v/>
      </c>
      <c r="P1036" s="61" t="str">
        <f aca="false">IF(IsPro,IF($D1036="","",K1036+M1036+N1036+O1036),"")</f>
        <v/>
      </c>
      <c r="Q1036" s="60" t="str">
        <f aca="false">IF(IsPro,IF($D1036="","",IFERROR(MATCH($D1036,Items!$A$5:$A$504,0),"")),"")</f>
        <v/>
      </c>
      <c r="R1036" s="60" t="str">
        <f aca="false">IF(IsPro,IF($C1036="","",IFERROR(MATCH($C1036,Parties!$A$5:$A$304,0),"")),"")</f>
        <v/>
      </c>
      <c r="S1036" s="61" t="str">
        <f aca="false">IF(IsPro,IF($D1036="","",IF(OR($H1036="",$H1036="Credit"),0,P1036)),"")</f>
        <v/>
      </c>
    </row>
    <row r="1037" customFormat="false" ht="15" hidden="false" customHeight="false" outlineLevel="0" collapsed="false">
      <c r="A1037" s="55"/>
      <c r="B1037" s="56"/>
      <c r="C1037" s="56"/>
      <c r="D1037" s="56"/>
      <c r="E1037" s="57"/>
      <c r="F1037" s="58"/>
      <c r="G1037" s="59"/>
      <c r="H1037" s="56"/>
      <c r="I1037" s="60" t="str">
        <f aca="false">IF(IsPro,IF($D1037="","",IFERROR(INDEX(Items!$D$5:$D$504,Q1037),"")),IF($D1037="","","PRO PLAN"))</f>
        <v/>
      </c>
      <c r="J1037" s="61" t="str">
        <f aca="false">IF(IsPro,IF($D1037="","",IF($F1037="",IFERROR(INDEX(Items!$G$5:$G$504,Q1037),0),$F1037)),"")</f>
        <v/>
      </c>
      <c r="K1037" s="61" t="str">
        <f aca="false">IF(IsPro,IF($D1037="","",ROUND(N($E1037)*J1037*(1-N($G1037)),2)),"")</f>
        <v/>
      </c>
      <c r="L1037" s="62" t="str">
        <f aca="false">IF(IsPro,IF($D1037="","",IFERROR(INDEX(Items!$F$5:$F$504,Q1037),0)),"")</f>
        <v/>
      </c>
      <c r="M1037" s="61" t="str">
        <f aca="false">IF(IsPro,IF($D1037="","",IF(AND(R1037&lt;&gt;"",INDEX(Parties!$E$5:$E$304,R1037)&lt;&gt;"",INDEX(Parties!$E$5:$E$304,R1037)&lt;&gt;HomeState),0,ROUND(K1037*L1037/2,2))),"")</f>
        <v/>
      </c>
      <c r="N1037" s="61" t="str">
        <f aca="false">IF(IsPro,IF($D1037="","",M1037),"")</f>
        <v/>
      </c>
      <c r="O1037" s="61" t="str">
        <f aca="false">IF(IsPro,IF($D1037="","",IF(AND(R1037&lt;&gt;"",INDEX(Parties!$E$5:$E$304,R1037)&lt;&gt;"",INDEX(Parties!$E$5:$E$304,R1037)&lt;&gt;HomeState),ROUND(K1037*L1037,2),0)),"")</f>
        <v/>
      </c>
      <c r="P1037" s="61" t="str">
        <f aca="false">IF(IsPro,IF($D1037="","",K1037+M1037+N1037+O1037),"")</f>
        <v/>
      </c>
      <c r="Q1037" s="60" t="str">
        <f aca="false">IF(IsPro,IF($D1037="","",IFERROR(MATCH($D1037,Items!$A$5:$A$504,0),"")),"")</f>
        <v/>
      </c>
      <c r="R1037" s="60" t="str">
        <f aca="false">IF(IsPro,IF($C1037="","",IFERROR(MATCH($C1037,Parties!$A$5:$A$304,0),"")),"")</f>
        <v/>
      </c>
      <c r="S1037" s="61" t="str">
        <f aca="false">IF(IsPro,IF($D1037="","",IF(OR($H1037="",$H1037="Credit"),0,P1037)),"")</f>
        <v/>
      </c>
    </row>
    <row r="1038" customFormat="false" ht="15" hidden="false" customHeight="false" outlineLevel="0" collapsed="false">
      <c r="A1038" s="55"/>
      <c r="B1038" s="56"/>
      <c r="C1038" s="56"/>
      <c r="D1038" s="56"/>
      <c r="E1038" s="57"/>
      <c r="F1038" s="58"/>
      <c r="G1038" s="59"/>
      <c r="H1038" s="56"/>
      <c r="I1038" s="60" t="str">
        <f aca="false">IF(IsPro,IF($D1038="","",IFERROR(INDEX(Items!$D$5:$D$504,Q1038),"")),IF($D1038="","","PRO PLAN"))</f>
        <v/>
      </c>
      <c r="J1038" s="61" t="str">
        <f aca="false">IF(IsPro,IF($D1038="","",IF($F1038="",IFERROR(INDEX(Items!$G$5:$G$504,Q1038),0),$F1038)),"")</f>
        <v/>
      </c>
      <c r="K1038" s="61" t="str">
        <f aca="false">IF(IsPro,IF($D1038="","",ROUND(N($E1038)*J1038*(1-N($G1038)),2)),"")</f>
        <v/>
      </c>
      <c r="L1038" s="62" t="str">
        <f aca="false">IF(IsPro,IF($D1038="","",IFERROR(INDEX(Items!$F$5:$F$504,Q1038),0)),"")</f>
        <v/>
      </c>
      <c r="M1038" s="61" t="str">
        <f aca="false">IF(IsPro,IF($D1038="","",IF(AND(R1038&lt;&gt;"",INDEX(Parties!$E$5:$E$304,R1038)&lt;&gt;"",INDEX(Parties!$E$5:$E$304,R1038)&lt;&gt;HomeState),0,ROUND(K1038*L1038/2,2))),"")</f>
        <v/>
      </c>
      <c r="N1038" s="61" t="str">
        <f aca="false">IF(IsPro,IF($D1038="","",M1038),"")</f>
        <v/>
      </c>
      <c r="O1038" s="61" t="str">
        <f aca="false">IF(IsPro,IF($D1038="","",IF(AND(R1038&lt;&gt;"",INDEX(Parties!$E$5:$E$304,R1038)&lt;&gt;"",INDEX(Parties!$E$5:$E$304,R1038)&lt;&gt;HomeState),ROUND(K1038*L1038,2),0)),"")</f>
        <v/>
      </c>
      <c r="P1038" s="61" t="str">
        <f aca="false">IF(IsPro,IF($D1038="","",K1038+M1038+N1038+O1038),"")</f>
        <v/>
      </c>
      <c r="Q1038" s="60" t="str">
        <f aca="false">IF(IsPro,IF($D1038="","",IFERROR(MATCH($D1038,Items!$A$5:$A$504,0),"")),"")</f>
        <v/>
      </c>
      <c r="R1038" s="60" t="str">
        <f aca="false">IF(IsPro,IF($C1038="","",IFERROR(MATCH($C1038,Parties!$A$5:$A$304,0),"")),"")</f>
        <v/>
      </c>
      <c r="S1038" s="61" t="str">
        <f aca="false">IF(IsPro,IF($D1038="","",IF(OR($H1038="",$H1038="Credit"),0,P1038)),"")</f>
        <v/>
      </c>
    </row>
    <row r="1039" customFormat="false" ht="15" hidden="false" customHeight="false" outlineLevel="0" collapsed="false">
      <c r="A1039" s="55"/>
      <c r="B1039" s="56"/>
      <c r="C1039" s="56"/>
      <c r="D1039" s="56"/>
      <c r="E1039" s="57"/>
      <c r="F1039" s="58"/>
      <c r="G1039" s="59"/>
      <c r="H1039" s="56"/>
      <c r="I1039" s="60" t="str">
        <f aca="false">IF(IsPro,IF($D1039="","",IFERROR(INDEX(Items!$D$5:$D$504,Q1039),"")),IF($D1039="","","PRO PLAN"))</f>
        <v/>
      </c>
      <c r="J1039" s="61" t="str">
        <f aca="false">IF(IsPro,IF($D1039="","",IF($F1039="",IFERROR(INDEX(Items!$G$5:$G$504,Q1039),0),$F1039)),"")</f>
        <v/>
      </c>
      <c r="K1039" s="61" t="str">
        <f aca="false">IF(IsPro,IF($D1039="","",ROUND(N($E1039)*J1039*(1-N($G1039)),2)),"")</f>
        <v/>
      </c>
      <c r="L1039" s="62" t="str">
        <f aca="false">IF(IsPro,IF($D1039="","",IFERROR(INDEX(Items!$F$5:$F$504,Q1039),0)),"")</f>
        <v/>
      </c>
      <c r="M1039" s="61" t="str">
        <f aca="false">IF(IsPro,IF($D1039="","",IF(AND(R1039&lt;&gt;"",INDEX(Parties!$E$5:$E$304,R1039)&lt;&gt;"",INDEX(Parties!$E$5:$E$304,R1039)&lt;&gt;HomeState),0,ROUND(K1039*L1039/2,2))),"")</f>
        <v/>
      </c>
      <c r="N1039" s="61" t="str">
        <f aca="false">IF(IsPro,IF($D1039="","",M1039),"")</f>
        <v/>
      </c>
      <c r="O1039" s="61" t="str">
        <f aca="false">IF(IsPro,IF($D1039="","",IF(AND(R1039&lt;&gt;"",INDEX(Parties!$E$5:$E$304,R1039)&lt;&gt;"",INDEX(Parties!$E$5:$E$304,R1039)&lt;&gt;HomeState),ROUND(K1039*L1039,2),0)),"")</f>
        <v/>
      </c>
      <c r="P1039" s="61" t="str">
        <f aca="false">IF(IsPro,IF($D1039="","",K1039+M1039+N1039+O1039),"")</f>
        <v/>
      </c>
      <c r="Q1039" s="60" t="str">
        <f aca="false">IF(IsPro,IF($D1039="","",IFERROR(MATCH($D1039,Items!$A$5:$A$504,0),"")),"")</f>
        <v/>
      </c>
      <c r="R1039" s="60" t="str">
        <f aca="false">IF(IsPro,IF($C1039="","",IFERROR(MATCH($C1039,Parties!$A$5:$A$304,0),"")),"")</f>
        <v/>
      </c>
      <c r="S1039" s="61" t="str">
        <f aca="false">IF(IsPro,IF($D1039="","",IF(OR($H1039="",$H1039="Credit"),0,P1039)),"")</f>
        <v/>
      </c>
    </row>
    <row r="1040" customFormat="false" ht="15" hidden="false" customHeight="false" outlineLevel="0" collapsed="false">
      <c r="A1040" s="55"/>
      <c r="B1040" s="56"/>
      <c r="C1040" s="56"/>
      <c r="D1040" s="56"/>
      <c r="E1040" s="57"/>
      <c r="F1040" s="58"/>
      <c r="G1040" s="59"/>
      <c r="H1040" s="56"/>
      <c r="I1040" s="60" t="str">
        <f aca="false">IF(IsPro,IF($D1040="","",IFERROR(INDEX(Items!$D$5:$D$504,Q1040),"")),IF($D1040="","","PRO PLAN"))</f>
        <v/>
      </c>
      <c r="J1040" s="61" t="str">
        <f aca="false">IF(IsPro,IF($D1040="","",IF($F1040="",IFERROR(INDEX(Items!$G$5:$G$504,Q1040),0),$F1040)),"")</f>
        <v/>
      </c>
      <c r="K1040" s="61" t="str">
        <f aca="false">IF(IsPro,IF($D1040="","",ROUND(N($E1040)*J1040*(1-N($G1040)),2)),"")</f>
        <v/>
      </c>
      <c r="L1040" s="62" t="str">
        <f aca="false">IF(IsPro,IF($D1040="","",IFERROR(INDEX(Items!$F$5:$F$504,Q1040),0)),"")</f>
        <v/>
      </c>
      <c r="M1040" s="61" t="str">
        <f aca="false">IF(IsPro,IF($D1040="","",IF(AND(R1040&lt;&gt;"",INDEX(Parties!$E$5:$E$304,R1040)&lt;&gt;"",INDEX(Parties!$E$5:$E$304,R1040)&lt;&gt;HomeState),0,ROUND(K1040*L1040/2,2))),"")</f>
        <v/>
      </c>
      <c r="N1040" s="61" t="str">
        <f aca="false">IF(IsPro,IF($D1040="","",M1040),"")</f>
        <v/>
      </c>
      <c r="O1040" s="61" t="str">
        <f aca="false">IF(IsPro,IF($D1040="","",IF(AND(R1040&lt;&gt;"",INDEX(Parties!$E$5:$E$304,R1040)&lt;&gt;"",INDEX(Parties!$E$5:$E$304,R1040)&lt;&gt;HomeState),ROUND(K1040*L1040,2),0)),"")</f>
        <v/>
      </c>
      <c r="P1040" s="61" t="str">
        <f aca="false">IF(IsPro,IF($D1040="","",K1040+M1040+N1040+O1040),"")</f>
        <v/>
      </c>
      <c r="Q1040" s="60" t="str">
        <f aca="false">IF(IsPro,IF($D1040="","",IFERROR(MATCH($D1040,Items!$A$5:$A$504,0),"")),"")</f>
        <v/>
      </c>
      <c r="R1040" s="60" t="str">
        <f aca="false">IF(IsPro,IF($C1040="","",IFERROR(MATCH($C1040,Parties!$A$5:$A$304,0),"")),"")</f>
        <v/>
      </c>
      <c r="S1040" s="61" t="str">
        <f aca="false">IF(IsPro,IF($D1040="","",IF(OR($H1040="",$H1040="Credit"),0,P1040)),"")</f>
        <v/>
      </c>
    </row>
    <row r="1041" customFormat="false" ht="15" hidden="false" customHeight="false" outlineLevel="0" collapsed="false">
      <c r="A1041" s="55"/>
      <c r="B1041" s="56"/>
      <c r="C1041" s="56"/>
      <c r="D1041" s="56"/>
      <c r="E1041" s="57"/>
      <c r="F1041" s="58"/>
      <c r="G1041" s="59"/>
      <c r="H1041" s="56"/>
      <c r="I1041" s="60" t="str">
        <f aca="false">IF(IsPro,IF($D1041="","",IFERROR(INDEX(Items!$D$5:$D$504,Q1041),"")),IF($D1041="","","PRO PLAN"))</f>
        <v/>
      </c>
      <c r="J1041" s="61" t="str">
        <f aca="false">IF(IsPro,IF($D1041="","",IF($F1041="",IFERROR(INDEX(Items!$G$5:$G$504,Q1041),0),$F1041)),"")</f>
        <v/>
      </c>
      <c r="K1041" s="61" t="str">
        <f aca="false">IF(IsPro,IF($D1041="","",ROUND(N($E1041)*J1041*(1-N($G1041)),2)),"")</f>
        <v/>
      </c>
      <c r="L1041" s="62" t="str">
        <f aca="false">IF(IsPro,IF($D1041="","",IFERROR(INDEX(Items!$F$5:$F$504,Q1041),0)),"")</f>
        <v/>
      </c>
      <c r="M1041" s="61" t="str">
        <f aca="false">IF(IsPro,IF($D1041="","",IF(AND(R1041&lt;&gt;"",INDEX(Parties!$E$5:$E$304,R1041)&lt;&gt;"",INDEX(Parties!$E$5:$E$304,R1041)&lt;&gt;HomeState),0,ROUND(K1041*L1041/2,2))),"")</f>
        <v/>
      </c>
      <c r="N1041" s="61" t="str">
        <f aca="false">IF(IsPro,IF($D1041="","",M1041),"")</f>
        <v/>
      </c>
      <c r="O1041" s="61" t="str">
        <f aca="false">IF(IsPro,IF($D1041="","",IF(AND(R1041&lt;&gt;"",INDEX(Parties!$E$5:$E$304,R1041)&lt;&gt;"",INDEX(Parties!$E$5:$E$304,R1041)&lt;&gt;HomeState),ROUND(K1041*L1041,2),0)),"")</f>
        <v/>
      </c>
      <c r="P1041" s="61" t="str">
        <f aca="false">IF(IsPro,IF($D1041="","",K1041+M1041+N1041+O1041),"")</f>
        <v/>
      </c>
      <c r="Q1041" s="60" t="str">
        <f aca="false">IF(IsPro,IF($D1041="","",IFERROR(MATCH($D1041,Items!$A$5:$A$504,0),"")),"")</f>
        <v/>
      </c>
      <c r="R1041" s="60" t="str">
        <f aca="false">IF(IsPro,IF($C1041="","",IFERROR(MATCH($C1041,Parties!$A$5:$A$304,0),"")),"")</f>
        <v/>
      </c>
      <c r="S1041" s="61" t="str">
        <f aca="false">IF(IsPro,IF($D1041="","",IF(OR($H1041="",$H1041="Credit"),0,P1041)),"")</f>
        <v/>
      </c>
    </row>
    <row r="1042" customFormat="false" ht="15" hidden="false" customHeight="false" outlineLevel="0" collapsed="false">
      <c r="A1042" s="55"/>
      <c r="B1042" s="56"/>
      <c r="C1042" s="56"/>
      <c r="D1042" s="56"/>
      <c r="E1042" s="57"/>
      <c r="F1042" s="58"/>
      <c r="G1042" s="59"/>
      <c r="H1042" s="56"/>
      <c r="I1042" s="60" t="str">
        <f aca="false">IF(IsPro,IF($D1042="","",IFERROR(INDEX(Items!$D$5:$D$504,Q1042),"")),IF($D1042="","","PRO PLAN"))</f>
        <v/>
      </c>
      <c r="J1042" s="61" t="str">
        <f aca="false">IF(IsPro,IF($D1042="","",IF($F1042="",IFERROR(INDEX(Items!$G$5:$G$504,Q1042),0),$F1042)),"")</f>
        <v/>
      </c>
      <c r="K1042" s="61" t="str">
        <f aca="false">IF(IsPro,IF($D1042="","",ROUND(N($E1042)*J1042*(1-N($G1042)),2)),"")</f>
        <v/>
      </c>
      <c r="L1042" s="62" t="str">
        <f aca="false">IF(IsPro,IF($D1042="","",IFERROR(INDEX(Items!$F$5:$F$504,Q1042),0)),"")</f>
        <v/>
      </c>
      <c r="M1042" s="61" t="str">
        <f aca="false">IF(IsPro,IF($D1042="","",IF(AND(R1042&lt;&gt;"",INDEX(Parties!$E$5:$E$304,R1042)&lt;&gt;"",INDEX(Parties!$E$5:$E$304,R1042)&lt;&gt;HomeState),0,ROUND(K1042*L1042/2,2))),"")</f>
        <v/>
      </c>
      <c r="N1042" s="61" t="str">
        <f aca="false">IF(IsPro,IF($D1042="","",M1042),"")</f>
        <v/>
      </c>
      <c r="O1042" s="61" t="str">
        <f aca="false">IF(IsPro,IF($D1042="","",IF(AND(R1042&lt;&gt;"",INDEX(Parties!$E$5:$E$304,R1042)&lt;&gt;"",INDEX(Parties!$E$5:$E$304,R1042)&lt;&gt;HomeState),ROUND(K1042*L1042,2),0)),"")</f>
        <v/>
      </c>
      <c r="P1042" s="61" t="str">
        <f aca="false">IF(IsPro,IF($D1042="","",K1042+M1042+N1042+O1042),"")</f>
        <v/>
      </c>
      <c r="Q1042" s="60" t="str">
        <f aca="false">IF(IsPro,IF($D1042="","",IFERROR(MATCH($D1042,Items!$A$5:$A$504,0),"")),"")</f>
        <v/>
      </c>
      <c r="R1042" s="60" t="str">
        <f aca="false">IF(IsPro,IF($C1042="","",IFERROR(MATCH($C1042,Parties!$A$5:$A$304,0),"")),"")</f>
        <v/>
      </c>
      <c r="S1042" s="61" t="str">
        <f aca="false">IF(IsPro,IF($D1042="","",IF(OR($H1042="",$H1042="Credit"),0,P1042)),"")</f>
        <v/>
      </c>
    </row>
    <row r="1043" customFormat="false" ht="15" hidden="false" customHeight="false" outlineLevel="0" collapsed="false">
      <c r="A1043" s="55"/>
      <c r="B1043" s="56"/>
      <c r="C1043" s="56"/>
      <c r="D1043" s="56"/>
      <c r="E1043" s="57"/>
      <c r="F1043" s="58"/>
      <c r="G1043" s="59"/>
      <c r="H1043" s="56"/>
      <c r="I1043" s="60" t="str">
        <f aca="false">IF(IsPro,IF($D1043="","",IFERROR(INDEX(Items!$D$5:$D$504,Q1043),"")),IF($D1043="","","PRO PLAN"))</f>
        <v/>
      </c>
      <c r="J1043" s="61" t="str">
        <f aca="false">IF(IsPro,IF($D1043="","",IF($F1043="",IFERROR(INDEX(Items!$G$5:$G$504,Q1043),0),$F1043)),"")</f>
        <v/>
      </c>
      <c r="K1043" s="61" t="str">
        <f aca="false">IF(IsPro,IF($D1043="","",ROUND(N($E1043)*J1043*(1-N($G1043)),2)),"")</f>
        <v/>
      </c>
      <c r="L1043" s="62" t="str">
        <f aca="false">IF(IsPro,IF($D1043="","",IFERROR(INDEX(Items!$F$5:$F$504,Q1043),0)),"")</f>
        <v/>
      </c>
      <c r="M1043" s="61" t="str">
        <f aca="false">IF(IsPro,IF($D1043="","",IF(AND(R1043&lt;&gt;"",INDEX(Parties!$E$5:$E$304,R1043)&lt;&gt;"",INDEX(Parties!$E$5:$E$304,R1043)&lt;&gt;HomeState),0,ROUND(K1043*L1043/2,2))),"")</f>
        <v/>
      </c>
      <c r="N1043" s="61" t="str">
        <f aca="false">IF(IsPro,IF($D1043="","",M1043),"")</f>
        <v/>
      </c>
      <c r="O1043" s="61" t="str">
        <f aca="false">IF(IsPro,IF($D1043="","",IF(AND(R1043&lt;&gt;"",INDEX(Parties!$E$5:$E$304,R1043)&lt;&gt;"",INDEX(Parties!$E$5:$E$304,R1043)&lt;&gt;HomeState),ROUND(K1043*L1043,2),0)),"")</f>
        <v/>
      </c>
      <c r="P1043" s="61" t="str">
        <f aca="false">IF(IsPro,IF($D1043="","",K1043+M1043+N1043+O1043),"")</f>
        <v/>
      </c>
      <c r="Q1043" s="60" t="str">
        <f aca="false">IF(IsPro,IF($D1043="","",IFERROR(MATCH($D1043,Items!$A$5:$A$504,0),"")),"")</f>
        <v/>
      </c>
      <c r="R1043" s="60" t="str">
        <f aca="false">IF(IsPro,IF($C1043="","",IFERROR(MATCH($C1043,Parties!$A$5:$A$304,0),"")),"")</f>
        <v/>
      </c>
      <c r="S1043" s="61" t="str">
        <f aca="false">IF(IsPro,IF($D1043="","",IF(OR($H1043="",$H1043="Credit"),0,P1043)),"")</f>
        <v/>
      </c>
    </row>
    <row r="1044" customFormat="false" ht="15" hidden="false" customHeight="false" outlineLevel="0" collapsed="false">
      <c r="A1044" s="55"/>
      <c r="B1044" s="56"/>
      <c r="C1044" s="56"/>
      <c r="D1044" s="56"/>
      <c r="E1044" s="57"/>
      <c r="F1044" s="58"/>
      <c r="G1044" s="59"/>
      <c r="H1044" s="56"/>
      <c r="I1044" s="60" t="str">
        <f aca="false">IF(IsPro,IF($D1044="","",IFERROR(INDEX(Items!$D$5:$D$504,Q1044),"")),IF($D1044="","","PRO PLAN"))</f>
        <v/>
      </c>
      <c r="J1044" s="61" t="str">
        <f aca="false">IF(IsPro,IF($D1044="","",IF($F1044="",IFERROR(INDEX(Items!$G$5:$G$504,Q1044),0),$F1044)),"")</f>
        <v/>
      </c>
      <c r="K1044" s="61" t="str">
        <f aca="false">IF(IsPro,IF($D1044="","",ROUND(N($E1044)*J1044*(1-N($G1044)),2)),"")</f>
        <v/>
      </c>
      <c r="L1044" s="62" t="str">
        <f aca="false">IF(IsPro,IF($D1044="","",IFERROR(INDEX(Items!$F$5:$F$504,Q1044),0)),"")</f>
        <v/>
      </c>
      <c r="M1044" s="61" t="str">
        <f aca="false">IF(IsPro,IF($D1044="","",IF(AND(R1044&lt;&gt;"",INDEX(Parties!$E$5:$E$304,R1044)&lt;&gt;"",INDEX(Parties!$E$5:$E$304,R1044)&lt;&gt;HomeState),0,ROUND(K1044*L1044/2,2))),"")</f>
        <v/>
      </c>
      <c r="N1044" s="61" t="str">
        <f aca="false">IF(IsPro,IF($D1044="","",M1044),"")</f>
        <v/>
      </c>
      <c r="O1044" s="61" t="str">
        <f aca="false">IF(IsPro,IF($D1044="","",IF(AND(R1044&lt;&gt;"",INDEX(Parties!$E$5:$E$304,R1044)&lt;&gt;"",INDEX(Parties!$E$5:$E$304,R1044)&lt;&gt;HomeState),ROUND(K1044*L1044,2),0)),"")</f>
        <v/>
      </c>
      <c r="P1044" s="61" t="str">
        <f aca="false">IF(IsPro,IF($D1044="","",K1044+M1044+N1044+O1044),"")</f>
        <v/>
      </c>
      <c r="Q1044" s="60" t="str">
        <f aca="false">IF(IsPro,IF($D1044="","",IFERROR(MATCH($D1044,Items!$A$5:$A$504,0),"")),"")</f>
        <v/>
      </c>
      <c r="R1044" s="60" t="str">
        <f aca="false">IF(IsPro,IF($C1044="","",IFERROR(MATCH($C1044,Parties!$A$5:$A$304,0),"")),"")</f>
        <v/>
      </c>
      <c r="S1044" s="61" t="str">
        <f aca="false">IF(IsPro,IF($D1044="","",IF(OR($H1044="",$H1044="Credit"),0,P1044)),"")</f>
        <v/>
      </c>
    </row>
    <row r="1045" customFormat="false" ht="15" hidden="false" customHeight="false" outlineLevel="0" collapsed="false">
      <c r="A1045" s="55"/>
      <c r="B1045" s="56"/>
      <c r="C1045" s="56"/>
      <c r="D1045" s="56"/>
      <c r="E1045" s="57"/>
      <c r="F1045" s="58"/>
      <c r="G1045" s="59"/>
      <c r="H1045" s="56"/>
      <c r="I1045" s="60" t="str">
        <f aca="false">IF(IsPro,IF($D1045="","",IFERROR(INDEX(Items!$D$5:$D$504,Q1045),"")),IF($D1045="","","PRO PLAN"))</f>
        <v/>
      </c>
      <c r="J1045" s="61" t="str">
        <f aca="false">IF(IsPro,IF($D1045="","",IF($F1045="",IFERROR(INDEX(Items!$G$5:$G$504,Q1045),0),$F1045)),"")</f>
        <v/>
      </c>
      <c r="K1045" s="61" t="str">
        <f aca="false">IF(IsPro,IF($D1045="","",ROUND(N($E1045)*J1045*(1-N($G1045)),2)),"")</f>
        <v/>
      </c>
      <c r="L1045" s="62" t="str">
        <f aca="false">IF(IsPro,IF($D1045="","",IFERROR(INDEX(Items!$F$5:$F$504,Q1045),0)),"")</f>
        <v/>
      </c>
      <c r="M1045" s="61" t="str">
        <f aca="false">IF(IsPro,IF($D1045="","",IF(AND(R1045&lt;&gt;"",INDEX(Parties!$E$5:$E$304,R1045)&lt;&gt;"",INDEX(Parties!$E$5:$E$304,R1045)&lt;&gt;HomeState),0,ROUND(K1045*L1045/2,2))),"")</f>
        <v/>
      </c>
      <c r="N1045" s="61" t="str">
        <f aca="false">IF(IsPro,IF($D1045="","",M1045),"")</f>
        <v/>
      </c>
      <c r="O1045" s="61" t="str">
        <f aca="false">IF(IsPro,IF($D1045="","",IF(AND(R1045&lt;&gt;"",INDEX(Parties!$E$5:$E$304,R1045)&lt;&gt;"",INDEX(Parties!$E$5:$E$304,R1045)&lt;&gt;HomeState),ROUND(K1045*L1045,2),0)),"")</f>
        <v/>
      </c>
      <c r="P1045" s="61" t="str">
        <f aca="false">IF(IsPro,IF($D1045="","",K1045+M1045+N1045+O1045),"")</f>
        <v/>
      </c>
      <c r="Q1045" s="60" t="str">
        <f aca="false">IF(IsPro,IF($D1045="","",IFERROR(MATCH($D1045,Items!$A$5:$A$504,0),"")),"")</f>
        <v/>
      </c>
      <c r="R1045" s="60" t="str">
        <f aca="false">IF(IsPro,IF($C1045="","",IFERROR(MATCH($C1045,Parties!$A$5:$A$304,0),"")),"")</f>
        <v/>
      </c>
      <c r="S1045" s="61" t="str">
        <f aca="false">IF(IsPro,IF($D1045="","",IF(OR($H1045="",$H1045="Credit"),0,P1045)),"")</f>
        <v/>
      </c>
    </row>
    <row r="1046" customFormat="false" ht="15" hidden="false" customHeight="false" outlineLevel="0" collapsed="false">
      <c r="A1046" s="55"/>
      <c r="B1046" s="56"/>
      <c r="C1046" s="56"/>
      <c r="D1046" s="56"/>
      <c r="E1046" s="57"/>
      <c r="F1046" s="58"/>
      <c r="G1046" s="59"/>
      <c r="H1046" s="56"/>
      <c r="I1046" s="60" t="str">
        <f aca="false">IF(IsPro,IF($D1046="","",IFERROR(INDEX(Items!$D$5:$D$504,Q1046),"")),IF($D1046="","","PRO PLAN"))</f>
        <v/>
      </c>
      <c r="J1046" s="61" t="str">
        <f aca="false">IF(IsPro,IF($D1046="","",IF($F1046="",IFERROR(INDEX(Items!$G$5:$G$504,Q1046),0),$F1046)),"")</f>
        <v/>
      </c>
      <c r="K1046" s="61" t="str">
        <f aca="false">IF(IsPro,IF($D1046="","",ROUND(N($E1046)*J1046*(1-N($G1046)),2)),"")</f>
        <v/>
      </c>
      <c r="L1046" s="62" t="str">
        <f aca="false">IF(IsPro,IF($D1046="","",IFERROR(INDEX(Items!$F$5:$F$504,Q1046),0)),"")</f>
        <v/>
      </c>
      <c r="M1046" s="61" t="str">
        <f aca="false">IF(IsPro,IF($D1046="","",IF(AND(R1046&lt;&gt;"",INDEX(Parties!$E$5:$E$304,R1046)&lt;&gt;"",INDEX(Parties!$E$5:$E$304,R1046)&lt;&gt;HomeState),0,ROUND(K1046*L1046/2,2))),"")</f>
        <v/>
      </c>
      <c r="N1046" s="61" t="str">
        <f aca="false">IF(IsPro,IF($D1046="","",M1046),"")</f>
        <v/>
      </c>
      <c r="O1046" s="61" t="str">
        <f aca="false">IF(IsPro,IF($D1046="","",IF(AND(R1046&lt;&gt;"",INDEX(Parties!$E$5:$E$304,R1046)&lt;&gt;"",INDEX(Parties!$E$5:$E$304,R1046)&lt;&gt;HomeState),ROUND(K1046*L1046,2),0)),"")</f>
        <v/>
      </c>
      <c r="P1046" s="61" t="str">
        <f aca="false">IF(IsPro,IF($D1046="","",K1046+M1046+N1046+O1046),"")</f>
        <v/>
      </c>
      <c r="Q1046" s="60" t="str">
        <f aca="false">IF(IsPro,IF($D1046="","",IFERROR(MATCH($D1046,Items!$A$5:$A$504,0),"")),"")</f>
        <v/>
      </c>
      <c r="R1046" s="60" t="str">
        <f aca="false">IF(IsPro,IF($C1046="","",IFERROR(MATCH($C1046,Parties!$A$5:$A$304,0),"")),"")</f>
        <v/>
      </c>
      <c r="S1046" s="61" t="str">
        <f aca="false">IF(IsPro,IF($D1046="","",IF(OR($H1046="",$H1046="Credit"),0,P1046)),"")</f>
        <v/>
      </c>
    </row>
    <row r="1047" customFormat="false" ht="15" hidden="false" customHeight="false" outlineLevel="0" collapsed="false">
      <c r="A1047" s="55"/>
      <c r="B1047" s="56"/>
      <c r="C1047" s="56"/>
      <c r="D1047" s="56"/>
      <c r="E1047" s="57"/>
      <c r="F1047" s="58"/>
      <c r="G1047" s="59"/>
      <c r="H1047" s="56"/>
      <c r="I1047" s="60" t="str">
        <f aca="false">IF(IsPro,IF($D1047="","",IFERROR(INDEX(Items!$D$5:$D$504,Q1047),"")),IF($D1047="","","PRO PLAN"))</f>
        <v/>
      </c>
      <c r="J1047" s="61" t="str">
        <f aca="false">IF(IsPro,IF($D1047="","",IF($F1047="",IFERROR(INDEX(Items!$G$5:$G$504,Q1047),0),$F1047)),"")</f>
        <v/>
      </c>
      <c r="K1047" s="61" t="str">
        <f aca="false">IF(IsPro,IF($D1047="","",ROUND(N($E1047)*J1047*(1-N($G1047)),2)),"")</f>
        <v/>
      </c>
      <c r="L1047" s="62" t="str">
        <f aca="false">IF(IsPro,IF($D1047="","",IFERROR(INDEX(Items!$F$5:$F$504,Q1047),0)),"")</f>
        <v/>
      </c>
      <c r="M1047" s="61" t="str">
        <f aca="false">IF(IsPro,IF($D1047="","",IF(AND(R1047&lt;&gt;"",INDEX(Parties!$E$5:$E$304,R1047)&lt;&gt;"",INDEX(Parties!$E$5:$E$304,R1047)&lt;&gt;HomeState),0,ROUND(K1047*L1047/2,2))),"")</f>
        <v/>
      </c>
      <c r="N1047" s="61" t="str">
        <f aca="false">IF(IsPro,IF($D1047="","",M1047),"")</f>
        <v/>
      </c>
      <c r="O1047" s="61" t="str">
        <f aca="false">IF(IsPro,IF($D1047="","",IF(AND(R1047&lt;&gt;"",INDEX(Parties!$E$5:$E$304,R1047)&lt;&gt;"",INDEX(Parties!$E$5:$E$304,R1047)&lt;&gt;HomeState),ROUND(K1047*L1047,2),0)),"")</f>
        <v/>
      </c>
      <c r="P1047" s="61" t="str">
        <f aca="false">IF(IsPro,IF($D1047="","",K1047+M1047+N1047+O1047),"")</f>
        <v/>
      </c>
      <c r="Q1047" s="60" t="str">
        <f aca="false">IF(IsPro,IF($D1047="","",IFERROR(MATCH($D1047,Items!$A$5:$A$504,0),"")),"")</f>
        <v/>
      </c>
      <c r="R1047" s="60" t="str">
        <f aca="false">IF(IsPro,IF($C1047="","",IFERROR(MATCH($C1047,Parties!$A$5:$A$304,0),"")),"")</f>
        <v/>
      </c>
      <c r="S1047" s="61" t="str">
        <f aca="false">IF(IsPro,IF($D1047="","",IF(OR($H1047="",$H1047="Credit"),0,P1047)),"")</f>
        <v/>
      </c>
    </row>
    <row r="1048" customFormat="false" ht="15" hidden="false" customHeight="false" outlineLevel="0" collapsed="false">
      <c r="A1048" s="55"/>
      <c r="B1048" s="56"/>
      <c r="C1048" s="56"/>
      <c r="D1048" s="56"/>
      <c r="E1048" s="57"/>
      <c r="F1048" s="58"/>
      <c r="G1048" s="59"/>
      <c r="H1048" s="56"/>
      <c r="I1048" s="60" t="str">
        <f aca="false">IF(IsPro,IF($D1048="","",IFERROR(INDEX(Items!$D$5:$D$504,Q1048),"")),IF($D1048="","","PRO PLAN"))</f>
        <v/>
      </c>
      <c r="J1048" s="61" t="str">
        <f aca="false">IF(IsPro,IF($D1048="","",IF($F1048="",IFERROR(INDEX(Items!$G$5:$G$504,Q1048),0),$F1048)),"")</f>
        <v/>
      </c>
      <c r="K1048" s="61" t="str">
        <f aca="false">IF(IsPro,IF($D1048="","",ROUND(N($E1048)*J1048*(1-N($G1048)),2)),"")</f>
        <v/>
      </c>
      <c r="L1048" s="62" t="str">
        <f aca="false">IF(IsPro,IF($D1048="","",IFERROR(INDEX(Items!$F$5:$F$504,Q1048),0)),"")</f>
        <v/>
      </c>
      <c r="M1048" s="61" t="str">
        <f aca="false">IF(IsPro,IF($D1048="","",IF(AND(R1048&lt;&gt;"",INDEX(Parties!$E$5:$E$304,R1048)&lt;&gt;"",INDEX(Parties!$E$5:$E$304,R1048)&lt;&gt;HomeState),0,ROUND(K1048*L1048/2,2))),"")</f>
        <v/>
      </c>
      <c r="N1048" s="61" t="str">
        <f aca="false">IF(IsPro,IF($D1048="","",M1048),"")</f>
        <v/>
      </c>
      <c r="O1048" s="61" t="str">
        <f aca="false">IF(IsPro,IF($D1048="","",IF(AND(R1048&lt;&gt;"",INDEX(Parties!$E$5:$E$304,R1048)&lt;&gt;"",INDEX(Parties!$E$5:$E$304,R1048)&lt;&gt;HomeState),ROUND(K1048*L1048,2),0)),"")</f>
        <v/>
      </c>
      <c r="P1048" s="61" t="str">
        <f aca="false">IF(IsPro,IF($D1048="","",K1048+M1048+N1048+O1048),"")</f>
        <v/>
      </c>
      <c r="Q1048" s="60" t="str">
        <f aca="false">IF(IsPro,IF($D1048="","",IFERROR(MATCH($D1048,Items!$A$5:$A$504,0),"")),"")</f>
        <v/>
      </c>
      <c r="R1048" s="60" t="str">
        <f aca="false">IF(IsPro,IF($C1048="","",IFERROR(MATCH($C1048,Parties!$A$5:$A$304,0),"")),"")</f>
        <v/>
      </c>
      <c r="S1048" s="61" t="str">
        <f aca="false">IF(IsPro,IF($D1048="","",IF(OR($H1048="",$H1048="Credit"),0,P1048)),"")</f>
        <v/>
      </c>
    </row>
    <row r="1049" customFormat="false" ht="15" hidden="false" customHeight="false" outlineLevel="0" collapsed="false">
      <c r="A1049" s="55"/>
      <c r="B1049" s="56"/>
      <c r="C1049" s="56"/>
      <c r="D1049" s="56"/>
      <c r="E1049" s="57"/>
      <c r="F1049" s="58"/>
      <c r="G1049" s="59"/>
      <c r="H1049" s="56"/>
      <c r="I1049" s="60" t="str">
        <f aca="false">IF(IsPro,IF($D1049="","",IFERROR(INDEX(Items!$D$5:$D$504,Q1049),"")),IF($D1049="","","PRO PLAN"))</f>
        <v/>
      </c>
      <c r="J1049" s="61" t="str">
        <f aca="false">IF(IsPro,IF($D1049="","",IF($F1049="",IFERROR(INDEX(Items!$G$5:$G$504,Q1049),0),$F1049)),"")</f>
        <v/>
      </c>
      <c r="K1049" s="61" t="str">
        <f aca="false">IF(IsPro,IF($D1049="","",ROUND(N($E1049)*J1049*(1-N($G1049)),2)),"")</f>
        <v/>
      </c>
      <c r="L1049" s="62" t="str">
        <f aca="false">IF(IsPro,IF($D1049="","",IFERROR(INDEX(Items!$F$5:$F$504,Q1049),0)),"")</f>
        <v/>
      </c>
      <c r="M1049" s="61" t="str">
        <f aca="false">IF(IsPro,IF($D1049="","",IF(AND(R1049&lt;&gt;"",INDEX(Parties!$E$5:$E$304,R1049)&lt;&gt;"",INDEX(Parties!$E$5:$E$304,R1049)&lt;&gt;HomeState),0,ROUND(K1049*L1049/2,2))),"")</f>
        <v/>
      </c>
      <c r="N1049" s="61" t="str">
        <f aca="false">IF(IsPro,IF($D1049="","",M1049),"")</f>
        <v/>
      </c>
      <c r="O1049" s="61" t="str">
        <f aca="false">IF(IsPro,IF($D1049="","",IF(AND(R1049&lt;&gt;"",INDEX(Parties!$E$5:$E$304,R1049)&lt;&gt;"",INDEX(Parties!$E$5:$E$304,R1049)&lt;&gt;HomeState),ROUND(K1049*L1049,2),0)),"")</f>
        <v/>
      </c>
      <c r="P1049" s="61" t="str">
        <f aca="false">IF(IsPro,IF($D1049="","",K1049+M1049+N1049+O1049),"")</f>
        <v/>
      </c>
      <c r="Q1049" s="60" t="str">
        <f aca="false">IF(IsPro,IF($D1049="","",IFERROR(MATCH($D1049,Items!$A$5:$A$504,0),"")),"")</f>
        <v/>
      </c>
      <c r="R1049" s="60" t="str">
        <f aca="false">IF(IsPro,IF($C1049="","",IFERROR(MATCH($C1049,Parties!$A$5:$A$304,0),"")),"")</f>
        <v/>
      </c>
      <c r="S1049" s="61" t="str">
        <f aca="false">IF(IsPro,IF($D1049="","",IF(OR($H1049="",$H1049="Credit"),0,P1049)),"")</f>
        <v/>
      </c>
    </row>
    <row r="1050" customFormat="false" ht="15" hidden="false" customHeight="false" outlineLevel="0" collapsed="false">
      <c r="A1050" s="55"/>
      <c r="B1050" s="56"/>
      <c r="C1050" s="56"/>
      <c r="D1050" s="56"/>
      <c r="E1050" s="57"/>
      <c r="F1050" s="58"/>
      <c r="G1050" s="59"/>
      <c r="H1050" s="56"/>
      <c r="I1050" s="60" t="str">
        <f aca="false">IF(IsPro,IF($D1050="","",IFERROR(INDEX(Items!$D$5:$D$504,Q1050),"")),IF($D1050="","","PRO PLAN"))</f>
        <v/>
      </c>
      <c r="J1050" s="61" t="str">
        <f aca="false">IF(IsPro,IF($D1050="","",IF($F1050="",IFERROR(INDEX(Items!$G$5:$G$504,Q1050),0),$F1050)),"")</f>
        <v/>
      </c>
      <c r="K1050" s="61" t="str">
        <f aca="false">IF(IsPro,IF($D1050="","",ROUND(N($E1050)*J1050*(1-N($G1050)),2)),"")</f>
        <v/>
      </c>
      <c r="L1050" s="62" t="str">
        <f aca="false">IF(IsPro,IF($D1050="","",IFERROR(INDEX(Items!$F$5:$F$504,Q1050),0)),"")</f>
        <v/>
      </c>
      <c r="M1050" s="61" t="str">
        <f aca="false">IF(IsPro,IF($D1050="","",IF(AND(R1050&lt;&gt;"",INDEX(Parties!$E$5:$E$304,R1050)&lt;&gt;"",INDEX(Parties!$E$5:$E$304,R1050)&lt;&gt;HomeState),0,ROUND(K1050*L1050/2,2))),"")</f>
        <v/>
      </c>
      <c r="N1050" s="61" t="str">
        <f aca="false">IF(IsPro,IF($D1050="","",M1050),"")</f>
        <v/>
      </c>
      <c r="O1050" s="61" t="str">
        <f aca="false">IF(IsPro,IF($D1050="","",IF(AND(R1050&lt;&gt;"",INDEX(Parties!$E$5:$E$304,R1050)&lt;&gt;"",INDEX(Parties!$E$5:$E$304,R1050)&lt;&gt;HomeState),ROUND(K1050*L1050,2),0)),"")</f>
        <v/>
      </c>
      <c r="P1050" s="61" t="str">
        <f aca="false">IF(IsPro,IF($D1050="","",K1050+M1050+N1050+O1050),"")</f>
        <v/>
      </c>
      <c r="Q1050" s="60" t="str">
        <f aca="false">IF(IsPro,IF($D1050="","",IFERROR(MATCH($D1050,Items!$A$5:$A$504,0),"")),"")</f>
        <v/>
      </c>
      <c r="R1050" s="60" t="str">
        <f aca="false">IF(IsPro,IF($C1050="","",IFERROR(MATCH($C1050,Parties!$A$5:$A$304,0),"")),"")</f>
        <v/>
      </c>
      <c r="S1050" s="61" t="str">
        <f aca="false">IF(IsPro,IF($D1050="","",IF(OR($H1050="",$H1050="Credit"),0,P1050)),"")</f>
        <v/>
      </c>
    </row>
    <row r="1051" customFormat="false" ht="15" hidden="false" customHeight="false" outlineLevel="0" collapsed="false">
      <c r="A1051" s="55"/>
      <c r="B1051" s="56"/>
      <c r="C1051" s="56"/>
      <c r="D1051" s="56"/>
      <c r="E1051" s="57"/>
      <c r="F1051" s="58"/>
      <c r="G1051" s="59"/>
      <c r="H1051" s="56"/>
      <c r="I1051" s="60" t="str">
        <f aca="false">IF(IsPro,IF($D1051="","",IFERROR(INDEX(Items!$D$5:$D$504,Q1051),"")),IF($D1051="","","PRO PLAN"))</f>
        <v/>
      </c>
      <c r="J1051" s="61" t="str">
        <f aca="false">IF(IsPro,IF($D1051="","",IF($F1051="",IFERROR(INDEX(Items!$G$5:$G$504,Q1051),0),$F1051)),"")</f>
        <v/>
      </c>
      <c r="K1051" s="61" t="str">
        <f aca="false">IF(IsPro,IF($D1051="","",ROUND(N($E1051)*J1051*(1-N($G1051)),2)),"")</f>
        <v/>
      </c>
      <c r="L1051" s="62" t="str">
        <f aca="false">IF(IsPro,IF($D1051="","",IFERROR(INDEX(Items!$F$5:$F$504,Q1051),0)),"")</f>
        <v/>
      </c>
      <c r="M1051" s="61" t="str">
        <f aca="false">IF(IsPro,IF($D1051="","",IF(AND(R1051&lt;&gt;"",INDEX(Parties!$E$5:$E$304,R1051)&lt;&gt;"",INDEX(Parties!$E$5:$E$304,R1051)&lt;&gt;HomeState),0,ROUND(K1051*L1051/2,2))),"")</f>
        <v/>
      </c>
      <c r="N1051" s="61" t="str">
        <f aca="false">IF(IsPro,IF($D1051="","",M1051),"")</f>
        <v/>
      </c>
      <c r="O1051" s="61" t="str">
        <f aca="false">IF(IsPro,IF($D1051="","",IF(AND(R1051&lt;&gt;"",INDEX(Parties!$E$5:$E$304,R1051)&lt;&gt;"",INDEX(Parties!$E$5:$E$304,R1051)&lt;&gt;HomeState),ROUND(K1051*L1051,2),0)),"")</f>
        <v/>
      </c>
      <c r="P1051" s="61" t="str">
        <f aca="false">IF(IsPro,IF($D1051="","",K1051+M1051+N1051+O1051),"")</f>
        <v/>
      </c>
      <c r="Q1051" s="60" t="str">
        <f aca="false">IF(IsPro,IF($D1051="","",IFERROR(MATCH($D1051,Items!$A$5:$A$504,0),"")),"")</f>
        <v/>
      </c>
      <c r="R1051" s="60" t="str">
        <f aca="false">IF(IsPro,IF($C1051="","",IFERROR(MATCH($C1051,Parties!$A$5:$A$304,0),"")),"")</f>
        <v/>
      </c>
      <c r="S1051" s="61" t="str">
        <f aca="false">IF(IsPro,IF($D1051="","",IF(OR($H1051="",$H1051="Credit"),0,P1051)),"")</f>
        <v/>
      </c>
    </row>
    <row r="1052" customFormat="false" ht="15" hidden="false" customHeight="false" outlineLevel="0" collapsed="false">
      <c r="A1052" s="55"/>
      <c r="B1052" s="56"/>
      <c r="C1052" s="56"/>
      <c r="D1052" s="56"/>
      <c r="E1052" s="57"/>
      <c r="F1052" s="58"/>
      <c r="G1052" s="59"/>
      <c r="H1052" s="56"/>
      <c r="I1052" s="60" t="str">
        <f aca="false">IF(IsPro,IF($D1052="","",IFERROR(INDEX(Items!$D$5:$D$504,Q1052),"")),IF($D1052="","","PRO PLAN"))</f>
        <v/>
      </c>
      <c r="J1052" s="61" t="str">
        <f aca="false">IF(IsPro,IF($D1052="","",IF($F1052="",IFERROR(INDEX(Items!$G$5:$G$504,Q1052),0),$F1052)),"")</f>
        <v/>
      </c>
      <c r="K1052" s="61" t="str">
        <f aca="false">IF(IsPro,IF($D1052="","",ROUND(N($E1052)*J1052*(1-N($G1052)),2)),"")</f>
        <v/>
      </c>
      <c r="L1052" s="62" t="str">
        <f aca="false">IF(IsPro,IF($D1052="","",IFERROR(INDEX(Items!$F$5:$F$504,Q1052),0)),"")</f>
        <v/>
      </c>
      <c r="M1052" s="61" t="str">
        <f aca="false">IF(IsPro,IF($D1052="","",IF(AND(R1052&lt;&gt;"",INDEX(Parties!$E$5:$E$304,R1052)&lt;&gt;"",INDEX(Parties!$E$5:$E$304,R1052)&lt;&gt;HomeState),0,ROUND(K1052*L1052/2,2))),"")</f>
        <v/>
      </c>
      <c r="N1052" s="61" t="str">
        <f aca="false">IF(IsPro,IF($D1052="","",M1052),"")</f>
        <v/>
      </c>
      <c r="O1052" s="61" t="str">
        <f aca="false">IF(IsPro,IF($D1052="","",IF(AND(R1052&lt;&gt;"",INDEX(Parties!$E$5:$E$304,R1052)&lt;&gt;"",INDEX(Parties!$E$5:$E$304,R1052)&lt;&gt;HomeState),ROUND(K1052*L1052,2),0)),"")</f>
        <v/>
      </c>
      <c r="P1052" s="61" t="str">
        <f aca="false">IF(IsPro,IF($D1052="","",K1052+M1052+N1052+O1052),"")</f>
        <v/>
      </c>
      <c r="Q1052" s="60" t="str">
        <f aca="false">IF(IsPro,IF($D1052="","",IFERROR(MATCH($D1052,Items!$A$5:$A$504,0),"")),"")</f>
        <v/>
      </c>
      <c r="R1052" s="60" t="str">
        <f aca="false">IF(IsPro,IF($C1052="","",IFERROR(MATCH($C1052,Parties!$A$5:$A$304,0),"")),"")</f>
        <v/>
      </c>
      <c r="S1052" s="61" t="str">
        <f aca="false">IF(IsPro,IF($D1052="","",IF(OR($H1052="",$H1052="Credit"),0,P1052)),"")</f>
        <v/>
      </c>
    </row>
    <row r="1053" customFormat="false" ht="15" hidden="false" customHeight="false" outlineLevel="0" collapsed="false">
      <c r="A1053" s="55"/>
      <c r="B1053" s="56"/>
      <c r="C1053" s="56"/>
      <c r="D1053" s="56"/>
      <c r="E1053" s="57"/>
      <c r="F1053" s="58"/>
      <c r="G1053" s="59"/>
      <c r="H1053" s="56"/>
      <c r="I1053" s="60" t="str">
        <f aca="false">IF(IsPro,IF($D1053="","",IFERROR(INDEX(Items!$D$5:$D$504,Q1053),"")),IF($D1053="","","PRO PLAN"))</f>
        <v/>
      </c>
      <c r="J1053" s="61" t="str">
        <f aca="false">IF(IsPro,IF($D1053="","",IF($F1053="",IFERROR(INDEX(Items!$G$5:$G$504,Q1053),0),$F1053)),"")</f>
        <v/>
      </c>
      <c r="K1053" s="61" t="str">
        <f aca="false">IF(IsPro,IF($D1053="","",ROUND(N($E1053)*J1053*(1-N($G1053)),2)),"")</f>
        <v/>
      </c>
      <c r="L1053" s="62" t="str">
        <f aca="false">IF(IsPro,IF($D1053="","",IFERROR(INDEX(Items!$F$5:$F$504,Q1053),0)),"")</f>
        <v/>
      </c>
      <c r="M1053" s="61" t="str">
        <f aca="false">IF(IsPro,IF($D1053="","",IF(AND(R1053&lt;&gt;"",INDEX(Parties!$E$5:$E$304,R1053)&lt;&gt;"",INDEX(Parties!$E$5:$E$304,R1053)&lt;&gt;HomeState),0,ROUND(K1053*L1053/2,2))),"")</f>
        <v/>
      </c>
      <c r="N1053" s="61" t="str">
        <f aca="false">IF(IsPro,IF($D1053="","",M1053),"")</f>
        <v/>
      </c>
      <c r="O1053" s="61" t="str">
        <f aca="false">IF(IsPro,IF($D1053="","",IF(AND(R1053&lt;&gt;"",INDEX(Parties!$E$5:$E$304,R1053)&lt;&gt;"",INDEX(Parties!$E$5:$E$304,R1053)&lt;&gt;HomeState),ROUND(K1053*L1053,2),0)),"")</f>
        <v/>
      </c>
      <c r="P1053" s="61" t="str">
        <f aca="false">IF(IsPro,IF($D1053="","",K1053+M1053+N1053+O1053),"")</f>
        <v/>
      </c>
      <c r="Q1053" s="60" t="str">
        <f aca="false">IF(IsPro,IF($D1053="","",IFERROR(MATCH($D1053,Items!$A$5:$A$504,0),"")),"")</f>
        <v/>
      </c>
      <c r="R1053" s="60" t="str">
        <f aca="false">IF(IsPro,IF($C1053="","",IFERROR(MATCH($C1053,Parties!$A$5:$A$304,0),"")),"")</f>
        <v/>
      </c>
      <c r="S1053" s="61" t="str">
        <f aca="false">IF(IsPro,IF($D1053="","",IF(OR($H1053="",$H1053="Credit"),0,P1053)),"")</f>
        <v/>
      </c>
    </row>
    <row r="1054" customFormat="false" ht="15" hidden="false" customHeight="false" outlineLevel="0" collapsed="false">
      <c r="A1054" s="55"/>
      <c r="B1054" s="56"/>
      <c r="C1054" s="56"/>
      <c r="D1054" s="56"/>
      <c r="E1054" s="57"/>
      <c r="F1054" s="58"/>
      <c r="G1054" s="59"/>
      <c r="H1054" s="56"/>
      <c r="I1054" s="60" t="str">
        <f aca="false">IF(IsPro,IF($D1054="","",IFERROR(INDEX(Items!$D$5:$D$504,Q1054),"")),IF($D1054="","","PRO PLAN"))</f>
        <v/>
      </c>
      <c r="J1054" s="61" t="str">
        <f aca="false">IF(IsPro,IF($D1054="","",IF($F1054="",IFERROR(INDEX(Items!$G$5:$G$504,Q1054),0),$F1054)),"")</f>
        <v/>
      </c>
      <c r="K1054" s="61" t="str">
        <f aca="false">IF(IsPro,IF($D1054="","",ROUND(N($E1054)*J1054*(1-N($G1054)),2)),"")</f>
        <v/>
      </c>
      <c r="L1054" s="62" t="str">
        <f aca="false">IF(IsPro,IF($D1054="","",IFERROR(INDEX(Items!$F$5:$F$504,Q1054),0)),"")</f>
        <v/>
      </c>
      <c r="M1054" s="61" t="str">
        <f aca="false">IF(IsPro,IF($D1054="","",IF(AND(R1054&lt;&gt;"",INDEX(Parties!$E$5:$E$304,R1054)&lt;&gt;"",INDEX(Parties!$E$5:$E$304,R1054)&lt;&gt;HomeState),0,ROUND(K1054*L1054/2,2))),"")</f>
        <v/>
      </c>
      <c r="N1054" s="61" t="str">
        <f aca="false">IF(IsPro,IF($D1054="","",M1054),"")</f>
        <v/>
      </c>
      <c r="O1054" s="61" t="str">
        <f aca="false">IF(IsPro,IF($D1054="","",IF(AND(R1054&lt;&gt;"",INDEX(Parties!$E$5:$E$304,R1054)&lt;&gt;"",INDEX(Parties!$E$5:$E$304,R1054)&lt;&gt;HomeState),ROUND(K1054*L1054,2),0)),"")</f>
        <v/>
      </c>
      <c r="P1054" s="61" t="str">
        <f aca="false">IF(IsPro,IF($D1054="","",K1054+M1054+N1054+O1054),"")</f>
        <v/>
      </c>
      <c r="Q1054" s="60" t="str">
        <f aca="false">IF(IsPro,IF($D1054="","",IFERROR(MATCH($D1054,Items!$A$5:$A$504,0),"")),"")</f>
        <v/>
      </c>
      <c r="R1054" s="60" t="str">
        <f aca="false">IF(IsPro,IF($C1054="","",IFERROR(MATCH($C1054,Parties!$A$5:$A$304,0),"")),"")</f>
        <v/>
      </c>
      <c r="S1054" s="61" t="str">
        <f aca="false">IF(IsPro,IF($D1054="","",IF(OR($H1054="",$H1054="Credit"),0,P1054)),"")</f>
        <v/>
      </c>
    </row>
    <row r="1055" customFormat="false" ht="15" hidden="false" customHeight="false" outlineLevel="0" collapsed="false">
      <c r="A1055" s="55"/>
      <c r="B1055" s="56"/>
      <c r="C1055" s="56"/>
      <c r="D1055" s="56"/>
      <c r="E1055" s="57"/>
      <c r="F1055" s="58"/>
      <c r="G1055" s="59"/>
      <c r="H1055" s="56"/>
      <c r="I1055" s="60" t="str">
        <f aca="false">IF(IsPro,IF($D1055="","",IFERROR(INDEX(Items!$D$5:$D$504,Q1055),"")),IF($D1055="","","PRO PLAN"))</f>
        <v/>
      </c>
      <c r="J1055" s="61" t="str">
        <f aca="false">IF(IsPro,IF($D1055="","",IF($F1055="",IFERROR(INDEX(Items!$G$5:$G$504,Q1055),0),$F1055)),"")</f>
        <v/>
      </c>
      <c r="K1055" s="61" t="str">
        <f aca="false">IF(IsPro,IF($D1055="","",ROUND(N($E1055)*J1055*(1-N($G1055)),2)),"")</f>
        <v/>
      </c>
      <c r="L1055" s="62" t="str">
        <f aca="false">IF(IsPro,IF($D1055="","",IFERROR(INDEX(Items!$F$5:$F$504,Q1055),0)),"")</f>
        <v/>
      </c>
      <c r="M1055" s="61" t="str">
        <f aca="false">IF(IsPro,IF($D1055="","",IF(AND(R1055&lt;&gt;"",INDEX(Parties!$E$5:$E$304,R1055)&lt;&gt;"",INDEX(Parties!$E$5:$E$304,R1055)&lt;&gt;HomeState),0,ROUND(K1055*L1055/2,2))),"")</f>
        <v/>
      </c>
      <c r="N1055" s="61" t="str">
        <f aca="false">IF(IsPro,IF($D1055="","",M1055),"")</f>
        <v/>
      </c>
      <c r="O1055" s="61" t="str">
        <f aca="false">IF(IsPro,IF($D1055="","",IF(AND(R1055&lt;&gt;"",INDEX(Parties!$E$5:$E$304,R1055)&lt;&gt;"",INDEX(Parties!$E$5:$E$304,R1055)&lt;&gt;HomeState),ROUND(K1055*L1055,2),0)),"")</f>
        <v/>
      </c>
      <c r="P1055" s="61" t="str">
        <f aca="false">IF(IsPro,IF($D1055="","",K1055+M1055+N1055+O1055),"")</f>
        <v/>
      </c>
      <c r="Q1055" s="60" t="str">
        <f aca="false">IF(IsPro,IF($D1055="","",IFERROR(MATCH($D1055,Items!$A$5:$A$504,0),"")),"")</f>
        <v/>
      </c>
      <c r="R1055" s="60" t="str">
        <f aca="false">IF(IsPro,IF($C1055="","",IFERROR(MATCH($C1055,Parties!$A$5:$A$304,0),"")),"")</f>
        <v/>
      </c>
      <c r="S1055" s="61" t="str">
        <f aca="false">IF(IsPro,IF($D1055="","",IF(OR($H1055="",$H1055="Credit"),0,P1055)),"")</f>
        <v/>
      </c>
    </row>
    <row r="1056" customFormat="false" ht="15" hidden="false" customHeight="false" outlineLevel="0" collapsed="false">
      <c r="A1056" s="55"/>
      <c r="B1056" s="56"/>
      <c r="C1056" s="56"/>
      <c r="D1056" s="56"/>
      <c r="E1056" s="57"/>
      <c r="F1056" s="58"/>
      <c r="G1056" s="59"/>
      <c r="H1056" s="56"/>
      <c r="I1056" s="60" t="str">
        <f aca="false">IF(IsPro,IF($D1056="","",IFERROR(INDEX(Items!$D$5:$D$504,Q1056),"")),IF($D1056="","","PRO PLAN"))</f>
        <v/>
      </c>
      <c r="J1056" s="61" t="str">
        <f aca="false">IF(IsPro,IF($D1056="","",IF($F1056="",IFERROR(INDEX(Items!$G$5:$G$504,Q1056),0),$F1056)),"")</f>
        <v/>
      </c>
      <c r="K1056" s="61" t="str">
        <f aca="false">IF(IsPro,IF($D1056="","",ROUND(N($E1056)*J1056*(1-N($G1056)),2)),"")</f>
        <v/>
      </c>
      <c r="L1056" s="62" t="str">
        <f aca="false">IF(IsPro,IF($D1056="","",IFERROR(INDEX(Items!$F$5:$F$504,Q1056),0)),"")</f>
        <v/>
      </c>
      <c r="M1056" s="61" t="str">
        <f aca="false">IF(IsPro,IF($D1056="","",IF(AND(R1056&lt;&gt;"",INDEX(Parties!$E$5:$E$304,R1056)&lt;&gt;"",INDEX(Parties!$E$5:$E$304,R1056)&lt;&gt;HomeState),0,ROUND(K1056*L1056/2,2))),"")</f>
        <v/>
      </c>
      <c r="N1056" s="61" t="str">
        <f aca="false">IF(IsPro,IF($D1056="","",M1056),"")</f>
        <v/>
      </c>
      <c r="O1056" s="61" t="str">
        <f aca="false">IF(IsPro,IF($D1056="","",IF(AND(R1056&lt;&gt;"",INDEX(Parties!$E$5:$E$304,R1056)&lt;&gt;"",INDEX(Parties!$E$5:$E$304,R1056)&lt;&gt;HomeState),ROUND(K1056*L1056,2),0)),"")</f>
        <v/>
      </c>
      <c r="P1056" s="61" t="str">
        <f aca="false">IF(IsPro,IF($D1056="","",K1056+M1056+N1056+O1056),"")</f>
        <v/>
      </c>
      <c r="Q1056" s="60" t="str">
        <f aca="false">IF(IsPro,IF($D1056="","",IFERROR(MATCH($D1056,Items!$A$5:$A$504,0),"")),"")</f>
        <v/>
      </c>
      <c r="R1056" s="60" t="str">
        <f aca="false">IF(IsPro,IF($C1056="","",IFERROR(MATCH($C1056,Parties!$A$5:$A$304,0),"")),"")</f>
        <v/>
      </c>
      <c r="S1056" s="61" t="str">
        <f aca="false">IF(IsPro,IF($D1056="","",IF(OR($H1056="",$H1056="Credit"),0,P1056)),"")</f>
        <v/>
      </c>
    </row>
    <row r="1057" customFormat="false" ht="15" hidden="false" customHeight="false" outlineLevel="0" collapsed="false">
      <c r="A1057" s="55"/>
      <c r="B1057" s="56"/>
      <c r="C1057" s="56"/>
      <c r="D1057" s="56"/>
      <c r="E1057" s="57"/>
      <c r="F1057" s="58"/>
      <c r="G1057" s="59"/>
      <c r="H1057" s="56"/>
      <c r="I1057" s="60" t="str">
        <f aca="false">IF(IsPro,IF($D1057="","",IFERROR(INDEX(Items!$D$5:$D$504,Q1057),"")),IF($D1057="","","PRO PLAN"))</f>
        <v/>
      </c>
      <c r="J1057" s="61" t="str">
        <f aca="false">IF(IsPro,IF($D1057="","",IF($F1057="",IFERROR(INDEX(Items!$G$5:$G$504,Q1057),0),$F1057)),"")</f>
        <v/>
      </c>
      <c r="K1057" s="61" t="str">
        <f aca="false">IF(IsPro,IF($D1057="","",ROUND(N($E1057)*J1057*(1-N($G1057)),2)),"")</f>
        <v/>
      </c>
      <c r="L1057" s="62" t="str">
        <f aca="false">IF(IsPro,IF($D1057="","",IFERROR(INDEX(Items!$F$5:$F$504,Q1057),0)),"")</f>
        <v/>
      </c>
      <c r="M1057" s="61" t="str">
        <f aca="false">IF(IsPro,IF($D1057="","",IF(AND(R1057&lt;&gt;"",INDEX(Parties!$E$5:$E$304,R1057)&lt;&gt;"",INDEX(Parties!$E$5:$E$304,R1057)&lt;&gt;HomeState),0,ROUND(K1057*L1057/2,2))),"")</f>
        <v/>
      </c>
      <c r="N1057" s="61" t="str">
        <f aca="false">IF(IsPro,IF($D1057="","",M1057),"")</f>
        <v/>
      </c>
      <c r="O1057" s="61" t="str">
        <f aca="false">IF(IsPro,IF($D1057="","",IF(AND(R1057&lt;&gt;"",INDEX(Parties!$E$5:$E$304,R1057)&lt;&gt;"",INDEX(Parties!$E$5:$E$304,R1057)&lt;&gt;HomeState),ROUND(K1057*L1057,2),0)),"")</f>
        <v/>
      </c>
      <c r="P1057" s="61" t="str">
        <f aca="false">IF(IsPro,IF($D1057="","",K1057+M1057+N1057+O1057),"")</f>
        <v/>
      </c>
      <c r="Q1057" s="60" t="str">
        <f aca="false">IF(IsPro,IF($D1057="","",IFERROR(MATCH($D1057,Items!$A$5:$A$504,0),"")),"")</f>
        <v/>
      </c>
      <c r="R1057" s="60" t="str">
        <f aca="false">IF(IsPro,IF($C1057="","",IFERROR(MATCH($C1057,Parties!$A$5:$A$304,0),"")),"")</f>
        <v/>
      </c>
      <c r="S1057" s="61" t="str">
        <f aca="false">IF(IsPro,IF($D1057="","",IF(OR($H1057="",$H1057="Credit"),0,P1057)),"")</f>
        <v/>
      </c>
    </row>
    <row r="1058" customFormat="false" ht="15" hidden="false" customHeight="false" outlineLevel="0" collapsed="false">
      <c r="A1058" s="55"/>
      <c r="B1058" s="56"/>
      <c r="C1058" s="56"/>
      <c r="D1058" s="56"/>
      <c r="E1058" s="57"/>
      <c r="F1058" s="58"/>
      <c r="G1058" s="59"/>
      <c r="H1058" s="56"/>
      <c r="I1058" s="60" t="str">
        <f aca="false">IF(IsPro,IF($D1058="","",IFERROR(INDEX(Items!$D$5:$D$504,Q1058),"")),IF($D1058="","","PRO PLAN"))</f>
        <v/>
      </c>
      <c r="J1058" s="61" t="str">
        <f aca="false">IF(IsPro,IF($D1058="","",IF($F1058="",IFERROR(INDEX(Items!$G$5:$G$504,Q1058),0),$F1058)),"")</f>
        <v/>
      </c>
      <c r="K1058" s="61" t="str">
        <f aca="false">IF(IsPro,IF($D1058="","",ROUND(N($E1058)*J1058*(1-N($G1058)),2)),"")</f>
        <v/>
      </c>
      <c r="L1058" s="62" t="str">
        <f aca="false">IF(IsPro,IF($D1058="","",IFERROR(INDEX(Items!$F$5:$F$504,Q1058),0)),"")</f>
        <v/>
      </c>
      <c r="M1058" s="61" t="str">
        <f aca="false">IF(IsPro,IF($D1058="","",IF(AND(R1058&lt;&gt;"",INDEX(Parties!$E$5:$E$304,R1058)&lt;&gt;"",INDEX(Parties!$E$5:$E$304,R1058)&lt;&gt;HomeState),0,ROUND(K1058*L1058/2,2))),"")</f>
        <v/>
      </c>
      <c r="N1058" s="61" t="str">
        <f aca="false">IF(IsPro,IF($D1058="","",M1058),"")</f>
        <v/>
      </c>
      <c r="O1058" s="61" t="str">
        <f aca="false">IF(IsPro,IF($D1058="","",IF(AND(R1058&lt;&gt;"",INDEX(Parties!$E$5:$E$304,R1058)&lt;&gt;"",INDEX(Parties!$E$5:$E$304,R1058)&lt;&gt;HomeState),ROUND(K1058*L1058,2),0)),"")</f>
        <v/>
      </c>
      <c r="P1058" s="61" t="str">
        <f aca="false">IF(IsPro,IF($D1058="","",K1058+M1058+N1058+O1058),"")</f>
        <v/>
      </c>
      <c r="Q1058" s="60" t="str">
        <f aca="false">IF(IsPro,IF($D1058="","",IFERROR(MATCH($D1058,Items!$A$5:$A$504,0),"")),"")</f>
        <v/>
      </c>
      <c r="R1058" s="60" t="str">
        <f aca="false">IF(IsPro,IF($C1058="","",IFERROR(MATCH($C1058,Parties!$A$5:$A$304,0),"")),"")</f>
        <v/>
      </c>
      <c r="S1058" s="61" t="str">
        <f aca="false">IF(IsPro,IF($D1058="","",IF(OR($H1058="",$H1058="Credit"),0,P1058)),"")</f>
        <v/>
      </c>
    </row>
    <row r="1059" customFormat="false" ht="15" hidden="false" customHeight="false" outlineLevel="0" collapsed="false">
      <c r="A1059" s="55"/>
      <c r="B1059" s="56"/>
      <c r="C1059" s="56"/>
      <c r="D1059" s="56"/>
      <c r="E1059" s="57"/>
      <c r="F1059" s="58"/>
      <c r="G1059" s="59"/>
      <c r="H1059" s="56"/>
      <c r="I1059" s="60" t="str">
        <f aca="false">IF(IsPro,IF($D1059="","",IFERROR(INDEX(Items!$D$5:$D$504,Q1059),"")),IF($D1059="","","PRO PLAN"))</f>
        <v/>
      </c>
      <c r="J1059" s="61" t="str">
        <f aca="false">IF(IsPro,IF($D1059="","",IF($F1059="",IFERROR(INDEX(Items!$G$5:$G$504,Q1059),0),$F1059)),"")</f>
        <v/>
      </c>
      <c r="K1059" s="61" t="str">
        <f aca="false">IF(IsPro,IF($D1059="","",ROUND(N($E1059)*J1059*(1-N($G1059)),2)),"")</f>
        <v/>
      </c>
      <c r="L1059" s="62" t="str">
        <f aca="false">IF(IsPro,IF($D1059="","",IFERROR(INDEX(Items!$F$5:$F$504,Q1059),0)),"")</f>
        <v/>
      </c>
      <c r="M1059" s="61" t="str">
        <f aca="false">IF(IsPro,IF($D1059="","",IF(AND(R1059&lt;&gt;"",INDEX(Parties!$E$5:$E$304,R1059)&lt;&gt;"",INDEX(Parties!$E$5:$E$304,R1059)&lt;&gt;HomeState),0,ROUND(K1059*L1059/2,2))),"")</f>
        <v/>
      </c>
      <c r="N1059" s="61" t="str">
        <f aca="false">IF(IsPro,IF($D1059="","",M1059),"")</f>
        <v/>
      </c>
      <c r="O1059" s="61" t="str">
        <f aca="false">IF(IsPro,IF($D1059="","",IF(AND(R1059&lt;&gt;"",INDEX(Parties!$E$5:$E$304,R1059)&lt;&gt;"",INDEX(Parties!$E$5:$E$304,R1059)&lt;&gt;HomeState),ROUND(K1059*L1059,2),0)),"")</f>
        <v/>
      </c>
      <c r="P1059" s="61" t="str">
        <f aca="false">IF(IsPro,IF($D1059="","",K1059+M1059+N1059+O1059),"")</f>
        <v/>
      </c>
      <c r="Q1059" s="60" t="str">
        <f aca="false">IF(IsPro,IF($D1059="","",IFERROR(MATCH($D1059,Items!$A$5:$A$504,0),"")),"")</f>
        <v/>
      </c>
      <c r="R1059" s="60" t="str">
        <f aca="false">IF(IsPro,IF($C1059="","",IFERROR(MATCH($C1059,Parties!$A$5:$A$304,0),"")),"")</f>
        <v/>
      </c>
      <c r="S1059" s="61" t="str">
        <f aca="false">IF(IsPro,IF($D1059="","",IF(OR($H1059="",$H1059="Credit"),0,P1059)),"")</f>
        <v/>
      </c>
    </row>
    <row r="1060" customFormat="false" ht="15" hidden="false" customHeight="false" outlineLevel="0" collapsed="false">
      <c r="A1060" s="55"/>
      <c r="B1060" s="56"/>
      <c r="C1060" s="56"/>
      <c r="D1060" s="56"/>
      <c r="E1060" s="57"/>
      <c r="F1060" s="58"/>
      <c r="G1060" s="59"/>
      <c r="H1060" s="56"/>
      <c r="I1060" s="60" t="str">
        <f aca="false">IF(IsPro,IF($D1060="","",IFERROR(INDEX(Items!$D$5:$D$504,Q1060),"")),IF($D1060="","","PRO PLAN"))</f>
        <v/>
      </c>
      <c r="J1060" s="61" t="str">
        <f aca="false">IF(IsPro,IF($D1060="","",IF($F1060="",IFERROR(INDEX(Items!$G$5:$G$504,Q1060),0),$F1060)),"")</f>
        <v/>
      </c>
      <c r="K1060" s="61" t="str">
        <f aca="false">IF(IsPro,IF($D1060="","",ROUND(N($E1060)*J1060*(1-N($G1060)),2)),"")</f>
        <v/>
      </c>
      <c r="L1060" s="62" t="str">
        <f aca="false">IF(IsPro,IF($D1060="","",IFERROR(INDEX(Items!$F$5:$F$504,Q1060),0)),"")</f>
        <v/>
      </c>
      <c r="M1060" s="61" t="str">
        <f aca="false">IF(IsPro,IF($D1060="","",IF(AND(R1060&lt;&gt;"",INDEX(Parties!$E$5:$E$304,R1060)&lt;&gt;"",INDEX(Parties!$E$5:$E$304,R1060)&lt;&gt;HomeState),0,ROUND(K1060*L1060/2,2))),"")</f>
        <v/>
      </c>
      <c r="N1060" s="61" t="str">
        <f aca="false">IF(IsPro,IF($D1060="","",M1060),"")</f>
        <v/>
      </c>
      <c r="O1060" s="61" t="str">
        <f aca="false">IF(IsPro,IF($D1060="","",IF(AND(R1060&lt;&gt;"",INDEX(Parties!$E$5:$E$304,R1060)&lt;&gt;"",INDEX(Parties!$E$5:$E$304,R1060)&lt;&gt;HomeState),ROUND(K1060*L1060,2),0)),"")</f>
        <v/>
      </c>
      <c r="P1060" s="61" t="str">
        <f aca="false">IF(IsPro,IF($D1060="","",K1060+M1060+N1060+O1060),"")</f>
        <v/>
      </c>
      <c r="Q1060" s="60" t="str">
        <f aca="false">IF(IsPro,IF($D1060="","",IFERROR(MATCH($D1060,Items!$A$5:$A$504,0),"")),"")</f>
        <v/>
      </c>
      <c r="R1060" s="60" t="str">
        <f aca="false">IF(IsPro,IF($C1060="","",IFERROR(MATCH($C1060,Parties!$A$5:$A$304,0),"")),"")</f>
        <v/>
      </c>
      <c r="S1060" s="61" t="str">
        <f aca="false">IF(IsPro,IF($D1060="","",IF(OR($H1060="",$H1060="Credit"),0,P1060)),"")</f>
        <v/>
      </c>
    </row>
    <row r="1061" customFormat="false" ht="15" hidden="false" customHeight="false" outlineLevel="0" collapsed="false">
      <c r="A1061" s="55"/>
      <c r="B1061" s="56"/>
      <c r="C1061" s="56"/>
      <c r="D1061" s="56"/>
      <c r="E1061" s="57"/>
      <c r="F1061" s="58"/>
      <c r="G1061" s="59"/>
      <c r="H1061" s="56"/>
      <c r="I1061" s="60" t="str">
        <f aca="false">IF(IsPro,IF($D1061="","",IFERROR(INDEX(Items!$D$5:$D$504,Q1061),"")),IF($D1061="","","PRO PLAN"))</f>
        <v/>
      </c>
      <c r="J1061" s="61" t="str">
        <f aca="false">IF(IsPro,IF($D1061="","",IF($F1061="",IFERROR(INDEX(Items!$G$5:$G$504,Q1061),0),$F1061)),"")</f>
        <v/>
      </c>
      <c r="K1061" s="61" t="str">
        <f aca="false">IF(IsPro,IF($D1061="","",ROUND(N($E1061)*J1061*(1-N($G1061)),2)),"")</f>
        <v/>
      </c>
      <c r="L1061" s="62" t="str">
        <f aca="false">IF(IsPro,IF($D1061="","",IFERROR(INDEX(Items!$F$5:$F$504,Q1061),0)),"")</f>
        <v/>
      </c>
      <c r="M1061" s="61" t="str">
        <f aca="false">IF(IsPro,IF($D1061="","",IF(AND(R1061&lt;&gt;"",INDEX(Parties!$E$5:$E$304,R1061)&lt;&gt;"",INDEX(Parties!$E$5:$E$304,R1061)&lt;&gt;HomeState),0,ROUND(K1061*L1061/2,2))),"")</f>
        <v/>
      </c>
      <c r="N1061" s="61" t="str">
        <f aca="false">IF(IsPro,IF($D1061="","",M1061),"")</f>
        <v/>
      </c>
      <c r="O1061" s="61" t="str">
        <f aca="false">IF(IsPro,IF($D1061="","",IF(AND(R1061&lt;&gt;"",INDEX(Parties!$E$5:$E$304,R1061)&lt;&gt;"",INDEX(Parties!$E$5:$E$304,R1061)&lt;&gt;HomeState),ROUND(K1061*L1061,2),0)),"")</f>
        <v/>
      </c>
      <c r="P1061" s="61" t="str">
        <f aca="false">IF(IsPro,IF($D1061="","",K1061+M1061+N1061+O1061),"")</f>
        <v/>
      </c>
      <c r="Q1061" s="60" t="str">
        <f aca="false">IF(IsPro,IF($D1061="","",IFERROR(MATCH($D1061,Items!$A$5:$A$504,0),"")),"")</f>
        <v/>
      </c>
      <c r="R1061" s="60" t="str">
        <f aca="false">IF(IsPro,IF($C1061="","",IFERROR(MATCH($C1061,Parties!$A$5:$A$304,0),"")),"")</f>
        <v/>
      </c>
      <c r="S1061" s="61" t="str">
        <f aca="false">IF(IsPro,IF($D1061="","",IF(OR($H1061="",$H1061="Credit"),0,P1061)),"")</f>
        <v/>
      </c>
    </row>
    <row r="1062" customFormat="false" ht="15" hidden="false" customHeight="false" outlineLevel="0" collapsed="false">
      <c r="A1062" s="55"/>
      <c r="B1062" s="56"/>
      <c r="C1062" s="56"/>
      <c r="D1062" s="56"/>
      <c r="E1062" s="57"/>
      <c r="F1062" s="58"/>
      <c r="G1062" s="59"/>
      <c r="H1062" s="56"/>
      <c r="I1062" s="60" t="str">
        <f aca="false">IF(IsPro,IF($D1062="","",IFERROR(INDEX(Items!$D$5:$D$504,Q1062),"")),IF($D1062="","","PRO PLAN"))</f>
        <v/>
      </c>
      <c r="J1062" s="61" t="str">
        <f aca="false">IF(IsPro,IF($D1062="","",IF($F1062="",IFERROR(INDEX(Items!$G$5:$G$504,Q1062),0),$F1062)),"")</f>
        <v/>
      </c>
      <c r="K1062" s="61" t="str">
        <f aca="false">IF(IsPro,IF($D1062="","",ROUND(N($E1062)*J1062*(1-N($G1062)),2)),"")</f>
        <v/>
      </c>
      <c r="L1062" s="62" t="str">
        <f aca="false">IF(IsPro,IF($D1062="","",IFERROR(INDEX(Items!$F$5:$F$504,Q1062),0)),"")</f>
        <v/>
      </c>
      <c r="M1062" s="61" t="str">
        <f aca="false">IF(IsPro,IF($D1062="","",IF(AND(R1062&lt;&gt;"",INDEX(Parties!$E$5:$E$304,R1062)&lt;&gt;"",INDEX(Parties!$E$5:$E$304,R1062)&lt;&gt;HomeState),0,ROUND(K1062*L1062/2,2))),"")</f>
        <v/>
      </c>
      <c r="N1062" s="61" t="str">
        <f aca="false">IF(IsPro,IF($D1062="","",M1062),"")</f>
        <v/>
      </c>
      <c r="O1062" s="61" t="str">
        <f aca="false">IF(IsPro,IF($D1062="","",IF(AND(R1062&lt;&gt;"",INDEX(Parties!$E$5:$E$304,R1062)&lt;&gt;"",INDEX(Parties!$E$5:$E$304,R1062)&lt;&gt;HomeState),ROUND(K1062*L1062,2),0)),"")</f>
        <v/>
      </c>
      <c r="P1062" s="61" t="str">
        <f aca="false">IF(IsPro,IF($D1062="","",K1062+M1062+N1062+O1062),"")</f>
        <v/>
      </c>
      <c r="Q1062" s="60" t="str">
        <f aca="false">IF(IsPro,IF($D1062="","",IFERROR(MATCH($D1062,Items!$A$5:$A$504,0),"")),"")</f>
        <v/>
      </c>
      <c r="R1062" s="60" t="str">
        <f aca="false">IF(IsPro,IF($C1062="","",IFERROR(MATCH($C1062,Parties!$A$5:$A$304,0),"")),"")</f>
        <v/>
      </c>
      <c r="S1062" s="61" t="str">
        <f aca="false">IF(IsPro,IF($D1062="","",IF(OR($H1062="",$H1062="Credit"),0,P1062)),"")</f>
        <v/>
      </c>
    </row>
    <row r="1063" customFormat="false" ht="15" hidden="false" customHeight="false" outlineLevel="0" collapsed="false">
      <c r="A1063" s="55"/>
      <c r="B1063" s="56"/>
      <c r="C1063" s="56"/>
      <c r="D1063" s="56"/>
      <c r="E1063" s="57"/>
      <c r="F1063" s="58"/>
      <c r="G1063" s="59"/>
      <c r="H1063" s="56"/>
      <c r="I1063" s="60" t="str">
        <f aca="false">IF(IsPro,IF($D1063="","",IFERROR(INDEX(Items!$D$5:$D$504,Q1063),"")),IF($D1063="","","PRO PLAN"))</f>
        <v/>
      </c>
      <c r="J1063" s="61" t="str">
        <f aca="false">IF(IsPro,IF($D1063="","",IF($F1063="",IFERROR(INDEX(Items!$G$5:$G$504,Q1063),0),$F1063)),"")</f>
        <v/>
      </c>
      <c r="K1063" s="61" t="str">
        <f aca="false">IF(IsPro,IF($D1063="","",ROUND(N($E1063)*J1063*(1-N($G1063)),2)),"")</f>
        <v/>
      </c>
      <c r="L1063" s="62" t="str">
        <f aca="false">IF(IsPro,IF($D1063="","",IFERROR(INDEX(Items!$F$5:$F$504,Q1063),0)),"")</f>
        <v/>
      </c>
      <c r="M1063" s="61" t="str">
        <f aca="false">IF(IsPro,IF($D1063="","",IF(AND(R1063&lt;&gt;"",INDEX(Parties!$E$5:$E$304,R1063)&lt;&gt;"",INDEX(Parties!$E$5:$E$304,R1063)&lt;&gt;HomeState),0,ROUND(K1063*L1063/2,2))),"")</f>
        <v/>
      </c>
      <c r="N1063" s="61" t="str">
        <f aca="false">IF(IsPro,IF($D1063="","",M1063),"")</f>
        <v/>
      </c>
      <c r="O1063" s="61" t="str">
        <f aca="false">IF(IsPro,IF($D1063="","",IF(AND(R1063&lt;&gt;"",INDEX(Parties!$E$5:$E$304,R1063)&lt;&gt;"",INDEX(Parties!$E$5:$E$304,R1063)&lt;&gt;HomeState),ROUND(K1063*L1063,2),0)),"")</f>
        <v/>
      </c>
      <c r="P1063" s="61" t="str">
        <f aca="false">IF(IsPro,IF($D1063="","",K1063+M1063+N1063+O1063),"")</f>
        <v/>
      </c>
      <c r="Q1063" s="60" t="str">
        <f aca="false">IF(IsPro,IF($D1063="","",IFERROR(MATCH($D1063,Items!$A$5:$A$504,0),"")),"")</f>
        <v/>
      </c>
      <c r="R1063" s="60" t="str">
        <f aca="false">IF(IsPro,IF($C1063="","",IFERROR(MATCH($C1063,Parties!$A$5:$A$304,0),"")),"")</f>
        <v/>
      </c>
      <c r="S1063" s="61" t="str">
        <f aca="false">IF(IsPro,IF($D1063="","",IF(OR($H1063="",$H1063="Credit"),0,P1063)),"")</f>
        <v/>
      </c>
    </row>
    <row r="1064" customFormat="false" ht="15" hidden="false" customHeight="false" outlineLevel="0" collapsed="false">
      <c r="A1064" s="55"/>
      <c r="B1064" s="56"/>
      <c r="C1064" s="56"/>
      <c r="D1064" s="56"/>
      <c r="E1064" s="57"/>
      <c r="F1064" s="58"/>
      <c r="G1064" s="59"/>
      <c r="H1064" s="56"/>
      <c r="I1064" s="60" t="str">
        <f aca="false">IF(IsPro,IF($D1064="","",IFERROR(INDEX(Items!$D$5:$D$504,Q1064),"")),IF($D1064="","","PRO PLAN"))</f>
        <v/>
      </c>
      <c r="J1064" s="61" t="str">
        <f aca="false">IF(IsPro,IF($D1064="","",IF($F1064="",IFERROR(INDEX(Items!$G$5:$G$504,Q1064),0),$F1064)),"")</f>
        <v/>
      </c>
      <c r="K1064" s="61" t="str">
        <f aca="false">IF(IsPro,IF($D1064="","",ROUND(N($E1064)*J1064*(1-N($G1064)),2)),"")</f>
        <v/>
      </c>
      <c r="L1064" s="62" t="str">
        <f aca="false">IF(IsPro,IF($D1064="","",IFERROR(INDEX(Items!$F$5:$F$504,Q1064),0)),"")</f>
        <v/>
      </c>
      <c r="M1064" s="61" t="str">
        <f aca="false">IF(IsPro,IF($D1064="","",IF(AND(R1064&lt;&gt;"",INDEX(Parties!$E$5:$E$304,R1064)&lt;&gt;"",INDEX(Parties!$E$5:$E$304,R1064)&lt;&gt;HomeState),0,ROUND(K1064*L1064/2,2))),"")</f>
        <v/>
      </c>
      <c r="N1064" s="61" t="str">
        <f aca="false">IF(IsPro,IF($D1064="","",M1064),"")</f>
        <v/>
      </c>
      <c r="O1064" s="61" t="str">
        <f aca="false">IF(IsPro,IF($D1064="","",IF(AND(R1064&lt;&gt;"",INDEX(Parties!$E$5:$E$304,R1064)&lt;&gt;"",INDEX(Parties!$E$5:$E$304,R1064)&lt;&gt;HomeState),ROUND(K1064*L1064,2),0)),"")</f>
        <v/>
      </c>
      <c r="P1064" s="61" t="str">
        <f aca="false">IF(IsPro,IF($D1064="","",K1064+M1064+N1064+O1064),"")</f>
        <v/>
      </c>
      <c r="Q1064" s="60" t="str">
        <f aca="false">IF(IsPro,IF($D1064="","",IFERROR(MATCH($D1064,Items!$A$5:$A$504,0),"")),"")</f>
        <v/>
      </c>
      <c r="R1064" s="60" t="str">
        <f aca="false">IF(IsPro,IF($C1064="","",IFERROR(MATCH($C1064,Parties!$A$5:$A$304,0),"")),"")</f>
        <v/>
      </c>
      <c r="S1064" s="61" t="str">
        <f aca="false">IF(IsPro,IF($D1064="","",IF(OR($H1064="",$H1064="Credit"),0,P1064)),"")</f>
        <v/>
      </c>
    </row>
    <row r="1065" customFormat="false" ht="15" hidden="false" customHeight="false" outlineLevel="0" collapsed="false">
      <c r="A1065" s="55"/>
      <c r="B1065" s="56"/>
      <c r="C1065" s="56"/>
      <c r="D1065" s="56"/>
      <c r="E1065" s="57"/>
      <c r="F1065" s="58"/>
      <c r="G1065" s="59"/>
      <c r="H1065" s="56"/>
      <c r="I1065" s="60" t="str">
        <f aca="false">IF(IsPro,IF($D1065="","",IFERROR(INDEX(Items!$D$5:$D$504,Q1065),"")),IF($D1065="","","PRO PLAN"))</f>
        <v/>
      </c>
      <c r="J1065" s="61" t="str">
        <f aca="false">IF(IsPro,IF($D1065="","",IF($F1065="",IFERROR(INDEX(Items!$G$5:$G$504,Q1065),0),$F1065)),"")</f>
        <v/>
      </c>
      <c r="K1065" s="61" t="str">
        <f aca="false">IF(IsPro,IF($D1065="","",ROUND(N($E1065)*J1065*(1-N($G1065)),2)),"")</f>
        <v/>
      </c>
      <c r="L1065" s="62" t="str">
        <f aca="false">IF(IsPro,IF($D1065="","",IFERROR(INDEX(Items!$F$5:$F$504,Q1065),0)),"")</f>
        <v/>
      </c>
      <c r="M1065" s="61" t="str">
        <f aca="false">IF(IsPro,IF($D1065="","",IF(AND(R1065&lt;&gt;"",INDEX(Parties!$E$5:$E$304,R1065)&lt;&gt;"",INDEX(Parties!$E$5:$E$304,R1065)&lt;&gt;HomeState),0,ROUND(K1065*L1065/2,2))),"")</f>
        <v/>
      </c>
      <c r="N1065" s="61" t="str">
        <f aca="false">IF(IsPro,IF($D1065="","",M1065),"")</f>
        <v/>
      </c>
      <c r="O1065" s="61" t="str">
        <f aca="false">IF(IsPro,IF($D1065="","",IF(AND(R1065&lt;&gt;"",INDEX(Parties!$E$5:$E$304,R1065)&lt;&gt;"",INDEX(Parties!$E$5:$E$304,R1065)&lt;&gt;HomeState),ROUND(K1065*L1065,2),0)),"")</f>
        <v/>
      </c>
      <c r="P1065" s="61" t="str">
        <f aca="false">IF(IsPro,IF($D1065="","",K1065+M1065+N1065+O1065),"")</f>
        <v/>
      </c>
      <c r="Q1065" s="60" t="str">
        <f aca="false">IF(IsPro,IF($D1065="","",IFERROR(MATCH($D1065,Items!$A$5:$A$504,0),"")),"")</f>
        <v/>
      </c>
      <c r="R1065" s="60" t="str">
        <f aca="false">IF(IsPro,IF($C1065="","",IFERROR(MATCH($C1065,Parties!$A$5:$A$304,0),"")),"")</f>
        <v/>
      </c>
      <c r="S1065" s="61" t="str">
        <f aca="false">IF(IsPro,IF($D1065="","",IF(OR($H1065="",$H1065="Credit"),0,P1065)),"")</f>
        <v/>
      </c>
    </row>
    <row r="1066" customFormat="false" ht="15" hidden="false" customHeight="false" outlineLevel="0" collapsed="false">
      <c r="A1066" s="55"/>
      <c r="B1066" s="56"/>
      <c r="C1066" s="56"/>
      <c r="D1066" s="56"/>
      <c r="E1066" s="57"/>
      <c r="F1066" s="58"/>
      <c r="G1066" s="59"/>
      <c r="H1066" s="56"/>
      <c r="I1066" s="60" t="str">
        <f aca="false">IF(IsPro,IF($D1066="","",IFERROR(INDEX(Items!$D$5:$D$504,Q1066),"")),IF($D1066="","","PRO PLAN"))</f>
        <v/>
      </c>
      <c r="J1066" s="61" t="str">
        <f aca="false">IF(IsPro,IF($D1066="","",IF($F1066="",IFERROR(INDEX(Items!$G$5:$G$504,Q1066),0),$F1066)),"")</f>
        <v/>
      </c>
      <c r="K1066" s="61" t="str">
        <f aca="false">IF(IsPro,IF($D1066="","",ROUND(N($E1066)*J1066*(1-N($G1066)),2)),"")</f>
        <v/>
      </c>
      <c r="L1066" s="62" t="str">
        <f aca="false">IF(IsPro,IF($D1066="","",IFERROR(INDEX(Items!$F$5:$F$504,Q1066),0)),"")</f>
        <v/>
      </c>
      <c r="M1066" s="61" t="str">
        <f aca="false">IF(IsPro,IF($D1066="","",IF(AND(R1066&lt;&gt;"",INDEX(Parties!$E$5:$E$304,R1066)&lt;&gt;"",INDEX(Parties!$E$5:$E$304,R1066)&lt;&gt;HomeState),0,ROUND(K1066*L1066/2,2))),"")</f>
        <v/>
      </c>
      <c r="N1066" s="61" t="str">
        <f aca="false">IF(IsPro,IF($D1066="","",M1066),"")</f>
        <v/>
      </c>
      <c r="O1066" s="61" t="str">
        <f aca="false">IF(IsPro,IF($D1066="","",IF(AND(R1066&lt;&gt;"",INDEX(Parties!$E$5:$E$304,R1066)&lt;&gt;"",INDEX(Parties!$E$5:$E$304,R1066)&lt;&gt;HomeState),ROUND(K1066*L1066,2),0)),"")</f>
        <v/>
      </c>
      <c r="P1066" s="61" t="str">
        <f aca="false">IF(IsPro,IF($D1066="","",K1066+M1066+N1066+O1066),"")</f>
        <v/>
      </c>
      <c r="Q1066" s="60" t="str">
        <f aca="false">IF(IsPro,IF($D1066="","",IFERROR(MATCH($D1066,Items!$A$5:$A$504,0),"")),"")</f>
        <v/>
      </c>
      <c r="R1066" s="60" t="str">
        <f aca="false">IF(IsPro,IF($C1066="","",IFERROR(MATCH($C1066,Parties!$A$5:$A$304,0),"")),"")</f>
        <v/>
      </c>
      <c r="S1066" s="61" t="str">
        <f aca="false">IF(IsPro,IF($D1066="","",IF(OR($H1066="",$H1066="Credit"),0,P1066)),"")</f>
        <v/>
      </c>
    </row>
    <row r="1067" customFormat="false" ht="15" hidden="false" customHeight="false" outlineLevel="0" collapsed="false">
      <c r="A1067" s="55"/>
      <c r="B1067" s="56"/>
      <c r="C1067" s="56"/>
      <c r="D1067" s="56"/>
      <c r="E1067" s="57"/>
      <c r="F1067" s="58"/>
      <c r="G1067" s="59"/>
      <c r="H1067" s="56"/>
      <c r="I1067" s="60" t="str">
        <f aca="false">IF(IsPro,IF($D1067="","",IFERROR(INDEX(Items!$D$5:$D$504,Q1067),"")),IF($D1067="","","PRO PLAN"))</f>
        <v/>
      </c>
      <c r="J1067" s="61" t="str">
        <f aca="false">IF(IsPro,IF($D1067="","",IF($F1067="",IFERROR(INDEX(Items!$G$5:$G$504,Q1067),0),$F1067)),"")</f>
        <v/>
      </c>
      <c r="K1067" s="61" t="str">
        <f aca="false">IF(IsPro,IF($D1067="","",ROUND(N($E1067)*J1067*(1-N($G1067)),2)),"")</f>
        <v/>
      </c>
      <c r="L1067" s="62" t="str">
        <f aca="false">IF(IsPro,IF($D1067="","",IFERROR(INDEX(Items!$F$5:$F$504,Q1067),0)),"")</f>
        <v/>
      </c>
      <c r="M1067" s="61" t="str">
        <f aca="false">IF(IsPro,IF($D1067="","",IF(AND(R1067&lt;&gt;"",INDEX(Parties!$E$5:$E$304,R1067)&lt;&gt;"",INDEX(Parties!$E$5:$E$304,R1067)&lt;&gt;HomeState),0,ROUND(K1067*L1067/2,2))),"")</f>
        <v/>
      </c>
      <c r="N1067" s="61" t="str">
        <f aca="false">IF(IsPro,IF($D1067="","",M1067),"")</f>
        <v/>
      </c>
      <c r="O1067" s="61" t="str">
        <f aca="false">IF(IsPro,IF($D1067="","",IF(AND(R1067&lt;&gt;"",INDEX(Parties!$E$5:$E$304,R1067)&lt;&gt;"",INDEX(Parties!$E$5:$E$304,R1067)&lt;&gt;HomeState),ROUND(K1067*L1067,2),0)),"")</f>
        <v/>
      </c>
      <c r="P1067" s="61" t="str">
        <f aca="false">IF(IsPro,IF($D1067="","",K1067+M1067+N1067+O1067),"")</f>
        <v/>
      </c>
      <c r="Q1067" s="60" t="str">
        <f aca="false">IF(IsPro,IF($D1067="","",IFERROR(MATCH($D1067,Items!$A$5:$A$504,0),"")),"")</f>
        <v/>
      </c>
      <c r="R1067" s="60" t="str">
        <f aca="false">IF(IsPro,IF($C1067="","",IFERROR(MATCH($C1067,Parties!$A$5:$A$304,0),"")),"")</f>
        <v/>
      </c>
      <c r="S1067" s="61" t="str">
        <f aca="false">IF(IsPro,IF($D1067="","",IF(OR($H1067="",$H1067="Credit"),0,P1067)),"")</f>
        <v/>
      </c>
    </row>
    <row r="1068" customFormat="false" ht="15" hidden="false" customHeight="false" outlineLevel="0" collapsed="false">
      <c r="A1068" s="55"/>
      <c r="B1068" s="56"/>
      <c r="C1068" s="56"/>
      <c r="D1068" s="56"/>
      <c r="E1068" s="57"/>
      <c r="F1068" s="58"/>
      <c r="G1068" s="59"/>
      <c r="H1068" s="56"/>
      <c r="I1068" s="60" t="str">
        <f aca="false">IF(IsPro,IF($D1068="","",IFERROR(INDEX(Items!$D$5:$D$504,Q1068),"")),IF($D1068="","","PRO PLAN"))</f>
        <v/>
      </c>
      <c r="J1068" s="61" t="str">
        <f aca="false">IF(IsPro,IF($D1068="","",IF($F1068="",IFERROR(INDEX(Items!$G$5:$G$504,Q1068),0),$F1068)),"")</f>
        <v/>
      </c>
      <c r="K1068" s="61" t="str">
        <f aca="false">IF(IsPro,IF($D1068="","",ROUND(N($E1068)*J1068*(1-N($G1068)),2)),"")</f>
        <v/>
      </c>
      <c r="L1068" s="62" t="str">
        <f aca="false">IF(IsPro,IF($D1068="","",IFERROR(INDEX(Items!$F$5:$F$504,Q1068),0)),"")</f>
        <v/>
      </c>
      <c r="M1068" s="61" t="str">
        <f aca="false">IF(IsPro,IF($D1068="","",IF(AND(R1068&lt;&gt;"",INDEX(Parties!$E$5:$E$304,R1068)&lt;&gt;"",INDEX(Parties!$E$5:$E$304,R1068)&lt;&gt;HomeState),0,ROUND(K1068*L1068/2,2))),"")</f>
        <v/>
      </c>
      <c r="N1068" s="61" t="str">
        <f aca="false">IF(IsPro,IF($D1068="","",M1068),"")</f>
        <v/>
      </c>
      <c r="O1068" s="61" t="str">
        <f aca="false">IF(IsPro,IF($D1068="","",IF(AND(R1068&lt;&gt;"",INDEX(Parties!$E$5:$E$304,R1068)&lt;&gt;"",INDEX(Parties!$E$5:$E$304,R1068)&lt;&gt;HomeState),ROUND(K1068*L1068,2),0)),"")</f>
        <v/>
      </c>
      <c r="P1068" s="61" t="str">
        <f aca="false">IF(IsPro,IF($D1068="","",K1068+M1068+N1068+O1068),"")</f>
        <v/>
      </c>
      <c r="Q1068" s="60" t="str">
        <f aca="false">IF(IsPro,IF($D1068="","",IFERROR(MATCH($D1068,Items!$A$5:$A$504,0),"")),"")</f>
        <v/>
      </c>
      <c r="R1068" s="60" t="str">
        <f aca="false">IF(IsPro,IF($C1068="","",IFERROR(MATCH($C1068,Parties!$A$5:$A$304,0),"")),"")</f>
        <v/>
      </c>
      <c r="S1068" s="61" t="str">
        <f aca="false">IF(IsPro,IF($D1068="","",IF(OR($H1068="",$H1068="Credit"),0,P1068)),"")</f>
        <v/>
      </c>
    </row>
    <row r="1069" customFormat="false" ht="15" hidden="false" customHeight="false" outlineLevel="0" collapsed="false">
      <c r="A1069" s="55"/>
      <c r="B1069" s="56"/>
      <c r="C1069" s="56"/>
      <c r="D1069" s="56"/>
      <c r="E1069" s="57"/>
      <c r="F1069" s="58"/>
      <c r="G1069" s="59"/>
      <c r="H1069" s="56"/>
      <c r="I1069" s="60" t="str">
        <f aca="false">IF(IsPro,IF($D1069="","",IFERROR(INDEX(Items!$D$5:$D$504,Q1069),"")),IF($D1069="","","PRO PLAN"))</f>
        <v/>
      </c>
      <c r="J1069" s="61" t="str">
        <f aca="false">IF(IsPro,IF($D1069="","",IF($F1069="",IFERROR(INDEX(Items!$G$5:$G$504,Q1069),0),$F1069)),"")</f>
        <v/>
      </c>
      <c r="K1069" s="61" t="str">
        <f aca="false">IF(IsPro,IF($D1069="","",ROUND(N($E1069)*J1069*(1-N($G1069)),2)),"")</f>
        <v/>
      </c>
      <c r="L1069" s="62" t="str">
        <f aca="false">IF(IsPro,IF($D1069="","",IFERROR(INDEX(Items!$F$5:$F$504,Q1069),0)),"")</f>
        <v/>
      </c>
      <c r="M1069" s="61" t="str">
        <f aca="false">IF(IsPro,IF($D1069="","",IF(AND(R1069&lt;&gt;"",INDEX(Parties!$E$5:$E$304,R1069)&lt;&gt;"",INDEX(Parties!$E$5:$E$304,R1069)&lt;&gt;HomeState),0,ROUND(K1069*L1069/2,2))),"")</f>
        <v/>
      </c>
      <c r="N1069" s="61" t="str">
        <f aca="false">IF(IsPro,IF($D1069="","",M1069),"")</f>
        <v/>
      </c>
      <c r="O1069" s="61" t="str">
        <f aca="false">IF(IsPro,IF($D1069="","",IF(AND(R1069&lt;&gt;"",INDEX(Parties!$E$5:$E$304,R1069)&lt;&gt;"",INDEX(Parties!$E$5:$E$304,R1069)&lt;&gt;HomeState),ROUND(K1069*L1069,2),0)),"")</f>
        <v/>
      </c>
      <c r="P1069" s="61" t="str">
        <f aca="false">IF(IsPro,IF($D1069="","",K1069+M1069+N1069+O1069),"")</f>
        <v/>
      </c>
      <c r="Q1069" s="60" t="str">
        <f aca="false">IF(IsPro,IF($D1069="","",IFERROR(MATCH($D1069,Items!$A$5:$A$504,0),"")),"")</f>
        <v/>
      </c>
      <c r="R1069" s="60" t="str">
        <f aca="false">IF(IsPro,IF($C1069="","",IFERROR(MATCH($C1069,Parties!$A$5:$A$304,0),"")),"")</f>
        <v/>
      </c>
      <c r="S1069" s="61" t="str">
        <f aca="false">IF(IsPro,IF($D1069="","",IF(OR($H1069="",$H1069="Credit"),0,P1069)),"")</f>
        <v/>
      </c>
    </row>
    <row r="1070" customFormat="false" ht="15" hidden="false" customHeight="false" outlineLevel="0" collapsed="false">
      <c r="A1070" s="55"/>
      <c r="B1070" s="56"/>
      <c r="C1070" s="56"/>
      <c r="D1070" s="56"/>
      <c r="E1070" s="57"/>
      <c r="F1070" s="58"/>
      <c r="G1070" s="59"/>
      <c r="H1070" s="56"/>
      <c r="I1070" s="60" t="str">
        <f aca="false">IF(IsPro,IF($D1070="","",IFERROR(INDEX(Items!$D$5:$D$504,Q1070),"")),IF($D1070="","","PRO PLAN"))</f>
        <v/>
      </c>
      <c r="J1070" s="61" t="str">
        <f aca="false">IF(IsPro,IF($D1070="","",IF($F1070="",IFERROR(INDEX(Items!$G$5:$G$504,Q1070),0),$F1070)),"")</f>
        <v/>
      </c>
      <c r="K1070" s="61" t="str">
        <f aca="false">IF(IsPro,IF($D1070="","",ROUND(N($E1070)*J1070*(1-N($G1070)),2)),"")</f>
        <v/>
      </c>
      <c r="L1070" s="62" t="str">
        <f aca="false">IF(IsPro,IF($D1070="","",IFERROR(INDEX(Items!$F$5:$F$504,Q1070),0)),"")</f>
        <v/>
      </c>
      <c r="M1070" s="61" t="str">
        <f aca="false">IF(IsPro,IF($D1070="","",IF(AND(R1070&lt;&gt;"",INDEX(Parties!$E$5:$E$304,R1070)&lt;&gt;"",INDEX(Parties!$E$5:$E$304,R1070)&lt;&gt;HomeState),0,ROUND(K1070*L1070/2,2))),"")</f>
        <v/>
      </c>
      <c r="N1070" s="61" t="str">
        <f aca="false">IF(IsPro,IF($D1070="","",M1070),"")</f>
        <v/>
      </c>
      <c r="O1070" s="61" t="str">
        <f aca="false">IF(IsPro,IF($D1070="","",IF(AND(R1070&lt;&gt;"",INDEX(Parties!$E$5:$E$304,R1070)&lt;&gt;"",INDEX(Parties!$E$5:$E$304,R1070)&lt;&gt;HomeState),ROUND(K1070*L1070,2),0)),"")</f>
        <v/>
      </c>
      <c r="P1070" s="61" t="str">
        <f aca="false">IF(IsPro,IF($D1070="","",K1070+M1070+N1070+O1070),"")</f>
        <v/>
      </c>
      <c r="Q1070" s="60" t="str">
        <f aca="false">IF(IsPro,IF($D1070="","",IFERROR(MATCH($D1070,Items!$A$5:$A$504,0),"")),"")</f>
        <v/>
      </c>
      <c r="R1070" s="60" t="str">
        <f aca="false">IF(IsPro,IF($C1070="","",IFERROR(MATCH($C1070,Parties!$A$5:$A$304,0),"")),"")</f>
        <v/>
      </c>
      <c r="S1070" s="61" t="str">
        <f aca="false">IF(IsPro,IF($D1070="","",IF(OR($H1070="",$H1070="Credit"),0,P1070)),"")</f>
        <v/>
      </c>
    </row>
    <row r="1071" customFormat="false" ht="15" hidden="false" customHeight="false" outlineLevel="0" collapsed="false">
      <c r="A1071" s="55"/>
      <c r="B1071" s="56"/>
      <c r="C1071" s="56"/>
      <c r="D1071" s="56"/>
      <c r="E1071" s="57"/>
      <c r="F1071" s="58"/>
      <c r="G1071" s="59"/>
      <c r="H1071" s="56"/>
      <c r="I1071" s="60" t="str">
        <f aca="false">IF(IsPro,IF($D1071="","",IFERROR(INDEX(Items!$D$5:$D$504,Q1071),"")),IF($D1071="","","PRO PLAN"))</f>
        <v/>
      </c>
      <c r="J1071" s="61" t="str">
        <f aca="false">IF(IsPro,IF($D1071="","",IF($F1071="",IFERROR(INDEX(Items!$G$5:$G$504,Q1071),0),$F1071)),"")</f>
        <v/>
      </c>
      <c r="K1071" s="61" t="str">
        <f aca="false">IF(IsPro,IF($D1071="","",ROUND(N($E1071)*J1071*(1-N($G1071)),2)),"")</f>
        <v/>
      </c>
      <c r="L1071" s="62" t="str">
        <f aca="false">IF(IsPro,IF($D1071="","",IFERROR(INDEX(Items!$F$5:$F$504,Q1071),0)),"")</f>
        <v/>
      </c>
      <c r="M1071" s="61" t="str">
        <f aca="false">IF(IsPro,IF($D1071="","",IF(AND(R1071&lt;&gt;"",INDEX(Parties!$E$5:$E$304,R1071)&lt;&gt;"",INDEX(Parties!$E$5:$E$304,R1071)&lt;&gt;HomeState),0,ROUND(K1071*L1071/2,2))),"")</f>
        <v/>
      </c>
      <c r="N1071" s="61" t="str">
        <f aca="false">IF(IsPro,IF($D1071="","",M1071),"")</f>
        <v/>
      </c>
      <c r="O1071" s="61" t="str">
        <f aca="false">IF(IsPro,IF($D1071="","",IF(AND(R1071&lt;&gt;"",INDEX(Parties!$E$5:$E$304,R1071)&lt;&gt;"",INDEX(Parties!$E$5:$E$304,R1071)&lt;&gt;HomeState),ROUND(K1071*L1071,2),0)),"")</f>
        <v/>
      </c>
      <c r="P1071" s="61" t="str">
        <f aca="false">IF(IsPro,IF($D1071="","",K1071+M1071+N1071+O1071),"")</f>
        <v/>
      </c>
      <c r="Q1071" s="60" t="str">
        <f aca="false">IF(IsPro,IF($D1071="","",IFERROR(MATCH($D1071,Items!$A$5:$A$504,0),"")),"")</f>
        <v/>
      </c>
      <c r="R1071" s="60" t="str">
        <f aca="false">IF(IsPro,IF($C1071="","",IFERROR(MATCH($C1071,Parties!$A$5:$A$304,0),"")),"")</f>
        <v/>
      </c>
      <c r="S1071" s="61" t="str">
        <f aca="false">IF(IsPro,IF($D1071="","",IF(OR($H1071="",$H1071="Credit"),0,P1071)),"")</f>
        <v/>
      </c>
    </row>
    <row r="1072" customFormat="false" ht="15" hidden="false" customHeight="false" outlineLevel="0" collapsed="false">
      <c r="A1072" s="55"/>
      <c r="B1072" s="56"/>
      <c r="C1072" s="56"/>
      <c r="D1072" s="56"/>
      <c r="E1072" s="57"/>
      <c r="F1072" s="58"/>
      <c r="G1072" s="59"/>
      <c r="H1072" s="56"/>
      <c r="I1072" s="60" t="str">
        <f aca="false">IF(IsPro,IF($D1072="","",IFERROR(INDEX(Items!$D$5:$D$504,Q1072),"")),IF($D1072="","","PRO PLAN"))</f>
        <v/>
      </c>
      <c r="J1072" s="61" t="str">
        <f aca="false">IF(IsPro,IF($D1072="","",IF($F1072="",IFERROR(INDEX(Items!$G$5:$G$504,Q1072),0),$F1072)),"")</f>
        <v/>
      </c>
      <c r="K1072" s="61" t="str">
        <f aca="false">IF(IsPro,IF($D1072="","",ROUND(N($E1072)*J1072*(1-N($G1072)),2)),"")</f>
        <v/>
      </c>
      <c r="L1072" s="62" t="str">
        <f aca="false">IF(IsPro,IF($D1072="","",IFERROR(INDEX(Items!$F$5:$F$504,Q1072),0)),"")</f>
        <v/>
      </c>
      <c r="M1072" s="61" t="str">
        <f aca="false">IF(IsPro,IF($D1072="","",IF(AND(R1072&lt;&gt;"",INDEX(Parties!$E$5:$E$304,R1072)&lt;&gt;"",INDEX(Parties!$E$5:$E$304,R1072)&lt;&gt;HomeState),0,ROUND(K1072*L1072/2,2))),"")</f>
        <v/>
      </c>
      <c r="N1072" s="61" t="str">
        <f aca="false">IF(IsPro,IF($D1072="","",M1072),"")</f>
        <v/>
      </c>
      <c r="O1072" s="61" t="str">
        <f aca="false">IF(IsPro,IF($D1072="","",IF(AND(R1072&lt;&gt;"",INDEX(Parties!$E$5:$E$304,R1072)&lt;&gt;"",INDEX(Parties!$E$5:$E$304,R1072)&lt;&gt;HomeState),ROUND(K1072*L1072,2),0)),"")</f>
        <v/>
      </c>
      <c r="P1072" s="61" t="str">
        <f aca="false">IF(IsPro,IF($D1072="","",K1072+M1072+N1072+O1072),"")</f>
        <v/>
      </c>
      <c r="Q1072" s="60" t="str">
        <f aca="false">IF(IsPro,IF($D1072="","",IFERROR(MATCH($D1072,Items!$A$5:$A$504,0),"")),"")</f>
        <v/>
      </c>
      <c r="R1072" s="60" t="str">
        <f aca="false">IF(IsPro,IF($C1072="","",IFERROR(MATCH($C1072,Parties!$A$5:$A$304,0),"")),"")</f>
        <v/>
      </c>
      <c r="S1072" s="61" t="str">
        <f aca="false">IF(IsPro,IF($D1072="","",IF(OR($H1072="",$H1072="Credit"),0,P1072)),"")</f>
        <v/>
      </c>
    </row>
    <row r="1073" customFormat="false" ht="15" hidden="false" customHeight="false" outlineLevel="0" collapsed="false">
      <c r="A1073" s="55"/>
      <c r="B1073" s="56"/>
      <c r="C1073" s="56"/>
      <c r="D1073" s="56"/>
      <c r="E1073" s="57"/>
      <c r="F1073" s="58"/>
      <c r="G1073" s="59"/>
      <c r="H1073" s="56"/>
      <c r="I1073" s="60" t="str">
        <f aca="false">IF(IsPro,IF($D1073="","",IFERROR(INDEX(Items!$D$5:$D$504,Q1073),"")),IF($D1073="","","PRO PLAN"))</f>
        <v/>
      </c>
      <c r="J1073" s="61" t="str">
        <f aca="false">IF(IsPro,IF($D1073="","",IF($F1073="",IFERROR(INDEX(Items!$G$5:$G$504,Q1073),0),$F1073)),"")</f>
        <v/>
      </c>
      <c r="K1073" s="61" t="str">
        <f aca="false">IF(IsPro,IF($D1073="","",ROUND(N($E1073)*J1073*(1-N($G1073)),2)),"")</f>
        <v/>
      </c>
      <c r="L1073" s="62" t="str">
        <f aca="false">IF(IsPro,IF($D1073="","",IFERROR(INDEX(Items!$F$5:$F$504,Q1073),0)),"")</f>
        <v/>
      </c>
      <c r="M1073" s="61" t="str">
        <f aca="false">IF(IsPro,IF($D1073="","",IF(AND(R1073&lt;&gt;"",INDEX(Parties!$E$5:$E$304,R1073)&lt;&gt;"",INDEX(Parties!$E$5:$E$304,R1073)&lt;&gt;HomeState),0,ROUND(K1073*L1073/2,2))),"")</f>
        <v/>
      </c>
      <c r="N1073" s="61" t="str">
        <f aca="false">IF(IsPro,IF($D1073="","",M1073),"")</f>
        <v/>
      </c>
      <c r="O1073" s="61" t="str">
        <f aca="false">IF(IsPro,IF($D1073="","",IF(AND(R1073&lt;&gt;"",INDEX(Parties!$E$5:$E$304,R1073)&lt;&gt;"",INDEX(Parties!$E$5:$E$304,R1073)&lt;&gt;HomeState),ROUND(K1073*L1073,2),0)),"")</f>
        <v/>
      </c>
      <c r="P1073" s="61" t="str">
        <f aca="false">IF(IsPro,IF($D1073="","",K1073+M1073+N1073+O1073),"")</f>
        <v/>
      </c>
      <c r="Q1073" s="60" t="str">
        <f aca="false">IF(IsPro,IF($D1073="","",IFERROR(MATCH($D1073,Items!$A$5:$A$504,0),"")),"")</f>
        <v/>
      </c>
      <c r="R1073" s="60" t="str">
        <f aca="false">IF(IsPro,IF($C1073="","",IFERROR(MATCH($C1073,Parties!$A$5:$A$304,0),"")),"")</f>
        <v/>
      </c>
      <c r="S1073" s="61" t="str">
        <f aca="false">IF(IsPro,IF($D1073="","",IF(OR($H1073="",$H1073="Credit"),0,P1073)),"")</f>
        <v/>
      </c>
    </row>
    <row r="1074" customFormat="false" ht="15" hidden="false" customHeight="false" outlineLevel="0" collapsed="false">
      <c r="A1074" s="55"/>
      <c r="B1074" s="56"/>
      <c r="C1074" s="56"/>
      <c r="D1074" s="56"/>
      <c r="E1074" s="57"/>
      <c r="F1074" s="58"/>
      <c r="G1074" s="59"/>
      <c r="H1074" s="56"/>
      <c r="I1074" s="60" t="str">
        <f aca="false">IF(IsPro,IF($D1074="","",IFERROR(INDEX(Items!$D$5:$D$504,Q1074),"")),IF($D1074="","","PRO PLAN"))</f>
        <v/>
      </c>
      <c r="J1074" s="61" t="str">
        <f aca="false">IF(IsPro,IF($D1074="","",IF($F1074="",IFERROR(INDEX(Items!$G$5:$G$504,Q1074),0),$F1074)),"")</f>
        <v/>
      </c>
      <c r="K1074" s="61" t="str">
        <f aca="false">IF(IsPro,IF($D1074="","",ROUND(N($E1074)*J1074*(1-N($G1074)),2)),"")</f>
        <v/>
      </c>
      <c r="L1074" s="62" t="str">
        <f aca="false">IF(IsPro,IF($D1074="","",IFERROR(INDEX(Items!$F$5:$F$504,Q1074),0)),"")</f>
        <v/>
      </c>
      <c r="M1074" s="61" t="str">
        <f aca="false">IF(IsPro,IF($D1074="","",IF(AND(R1074&lt;&gt;"",INDEX(Parties!$E$5:$E$304,R1074)&lt;&gt;"",INDEX(Parties!$E$5:$E$304,R1074)&lt;&gt;HomeState),0,ROUND(K1074*L1074/2,2))),"")</f>
        <v/>
      </c>
      <c r="N1074" s="61" t="str">
        <f aca="false">IF(IsPro,IF($D1074="","",M1074),"")</f>
        <v/>
      </c>
      <c r="O1074" s="61" t="str">
        <f aca="false">IF(IsPro,IF($D1074="","",IF(AND(R1074&lt;&gt;"",INDEX(Parties!$E$5:$E$304,R1074)&lt;&gt;"",INDEX(Parties!$E$5:$E$304,R1074)&lt;&gt;HomeState),ROUND(K1074*L1074,2),0)),"")</f>
        <v/>
      </c>
      <c r="P1074" s="61" t="str">
        <f aca="false">IF(IsPro,IF($D1074="","",K1074+M1074+N1074+O1074),"")</f>
        <v/>
      </c>
      <c r="Q1074" s="60" t="str">
        <f aca="false">IF(IsPro,IF($D1074="","",IFERROR(MATCH($D1074,Items!$A$5:$A$504,0),"")),"")</f>
        <v/>
      </c>
      <c r="R1074" s="60" t="str">
        <f aca="false">IF(IsPro,IF($C1074="","",IFERROR(MATCH($C1074,Parties!$A$5:$A$304,0),"")),"")</f>
        <v/>
      </c>
      <c r="S1074" s="61" t="str">
        <f aca="false">IF(IsPro,IF($D1074="","",IF(OR($H1074="",$H1074="Credit"),0,P1074)),"")</f>
        <v/>
      </c>
    </row>
    <row r="1075" customFormat="false" ht="15" hidden="false" customHeight="false" outlineLevel="0" collapsed="false">
      <c r="A1075" s="55"/>
      <c r="B1075" s="56"/>
      <c r="C1075" s="56"/>
      <c r="D1075" s="56"/>
      <c r="E1075" s="57"/>
      <c r="F1075" s="58"/>
      <c r="G1075" s="59"/>
      <c r="H1075" s="56"/>
      <c r="I1075" s="60" t="str">
        <f aca="false">IF(IsPro,IF($D1075="","",IFERROR(INDEX(Items!$D$5:$D$504,Q1075),"")),IF($D1075="","","PRO PLAN"))</f>
        <v/>
      </c>
      <c r="J1075" s="61" t="str">
        <f aca="false">IF(IsPro,IF($D1075="","",IF($F1075="",IFERROR(INDEX(Items!$G$5:$G$504,Q1075),0),$F1075)),"")</f>
        <v/>
      </c>
      <c r="K1075" s="61" t="str">
        <f aca="false">IF(IsPro,IF($D1075="","",ROUND(N($E1075)*J1075*(1-N($G1075)),2)),"")</f>
        <v/>
      </c>
      <c r="L1075" s="62" t="str">
        <f aca="false">IF(IsPro,IF($D1075="","",IFERROR(INDEX(Items!$F$5:$F$504,Q1075),0)),"")</f>
        <v/>
      </c>
      <c r="M1075" s="61" t="str">
        <f aca="false">IF(IsPro,IF($D1075="","",IF(AND(R1075&lt;&gt;"",INDEX(Parties!$E$5:$E$304,R1075)&lt;&gt;"",INDEX(Parties!$E$5:$E$304,R1075)&lt;&gt;HomeState),0,ROUND(K1075*L1075/2,2))),"")</f>
        <v/>
      </c>
      <c r="N1075" s="61" t="str">
        <f aca="false">IF(IsPro,IF($D1075="","",M1075),"")</f>
        <v/>
      </c>
      <c r="O1075" s="61" t="str">
        <f aca="false">IF(IsPro,IF($D1075="","",IF(AND(R1075&lt;&gt;"",INDEX(Parties!$E$5:$E$304,R1075)&lt;&gt;"",INDEX(Parties!$E$5:$E$304,R1075)&lt;&gt;HomeState),ROUND(K1075*L1075,2),0)),"")</f>
        <v/>
      </c>
      <c r="P1075" s="61" t="str">
        <f aca="false">IF(IsPro,IF($D1075="","",K1075+M1075+N1075+O1075),"")</f>
        <v/>
      </c>
      <c r="Q1075" s="60" t="str">
        <f aca="false">IF(IsPro,IF($D1075="","",IFERROR(MATCH($D1075,Items!$A$5:$A$504,0),"")),"")</f>
        <v/>
      </c>
      <c r="R1075" s="60" t="str">
        <f aca="false">IF(IsPro,IF($C1075="","",IFERROR(MATCH($C1075,Parties!$A$5:$A$304,0),"")),"")</f>
        <v/>
      </c>
      <c r="S1075" s="61" t="str">
        <f aca="false">IF(IsPro,IF($D1075="","",IF(OR($H1075="",$H1075="Credit"),0,P1075)),"")</f>
        <v/>
      </c>
    </row>
    <row r="1076" customFormat="false" ht="15" hidden="false" customHeight="false" outlineLevel="0" collapsed="false">
      <c r="A1076" s="55"/>
      <c r="B1076" s="56"/>
      <c r="C1076" s="56"/>
      <c r="D1076" s="56"/>
      <c r="E1076" s="57"/>
      <c r="F1076" s="58"/>
      <c r="G1076" s="59"/>
      <c r="H1076" s="56"/>
      <c r="I1076" s="60" t="str">
        <f aca="false">IF(IsPro,IF($D1076="","",IFERROR(INDEX(Items!$D$5:$D$504,Q1076),"")),IF($D1076="","","PRO PLAN"))</f>
        <v/>
      </c>
      <c r="J1076" s="61" t="str">
        <f aca="false">IF(IsPro,IF($D1076="","",IF($F1076="",IFERROR(INDEX(Items!$G$5:$G$504,Q1076),0),$F1076)),"")</f>
        <v/>
      </c>
      <c r="K1076" s="61" t="str">
        <f aca="false">IF(IsPro,IF($D1076="","",ROUND(N($E1076)*J1076*(1-N($G1076)),2)),"")</f>
        <v/>
      </c>
      <c r="L1076" s="62" t="str">
        <f aca="false">IF(IsPro,IF($D1076="","",IFERROR(INDEX(Items!$F$5:$F$504,Q1076),0)),"")</f>
        <v/>
      </c>
      <c r="M1076" s="61" t="str">
        <f aca="false">IF(IsPro,IF($D1076="","",IF(AND(R1076&lt;&gt;"",INDEX(Parties!$E$5:$E$304,R1076)&lt;&gt;"",INDEX(Parties!$E$5:$E$304,R1076)&lt;&gt;HomeState),0,ROUND(K1076*L1076/2,2))),"")</f>
        <v/>
      </c>
      <c r="N1076" s="61" t="str">
        <f aca="false">IF(IsPro,IF($D1076="","",M1076),"")</f>
        <v/>
      </c>
      <c r="O1076" s="61" t="str">
        <f aca="false">IF(IsPro,IF($D1076="","",IF(AND(R1076&lt;&gt;"",INDEX(Parties!$E$5:$E$304,R1076)&lt;&gt;"",INDEX(Parties!$E$5:$E$304,R1076)&lt;&gt;HomeState),ROUND(K1076*L1076,2),0)),"")</f>
        <v/>
      </c>
      <c r="P1076" s="61" t="str">
        <f aca="false">IF(IsPro,IF($D1076="","",K1076+M1076+N1076+O1076),"")</f>
        <v/>
      </c>
      <c r="Q1076" s="60" t="str">
        <f aca="false">IF(IsPro,IF($D1076="","",IFERROR(MATCH($D1076,Items!$A$5:$A$504,0),"")),"")</f>
        <v/>
      </c>
      <c r="R1076" s="60" t="str">
        <f aca="false">IF(IsPro,IF($C1076="","",IFERROR(MATCH($C1076,Parties!$A$5:$A$304,0),"")),"")</f>
        <v/>
      </c>
      <c r="S1076" s="61" t="str">
        <f aca="false">IF(IsPro,IF($D1076="","",IF(OR($H1076="",$H1076="Credit"),0,P1076)),"")</f>
        <v/>
      </c>
    </row>
    <row r="1077" customFormat="false" ht="15" hidden="false" customHeight="false" outlineLevel="0" collapsed="false">
      <c r="A1077" s="55"/>
      <c r="B1077" s="56"/>
      <c r="C1077" s="56"/>
      <c r="D1077" s="56"/>
      <c r="E1077" s="57"/>
      <c r="F1077" s="58"/>
      <c r="G1077" s="59"/>
      <c r="H1077" s="56"/>
      <c r="I1077" s="60" t="str">
        <f aca="false">IF(IsPro,IF($D1077="","",IFERROR(INDEX(Items!$D$5:$D$504,Q1077),"")),IF($D1077="","","PRO PLAN"))</f>
        <v/>
      </c>
      <c r="J1077" s="61" t="str">
        <f aca="false">IF(IsPro,IF($D1077="","",IF($F1077="",IFERROR(INDEX(Items!$G$5:$G$504,Q1077),0),$F1077)),"")</f>
        <v/>
      </c>
      <c r="K1077" s="61" t="str">
        <f aca="false">IF(IsPro,IF($D1077="","",ROUND(N($E1077)*J1077*(1-N($G1077)),2)),"")</f>
        <v/>
      </c>
      <c r="L1077" s="62" t="str">
        <f aca="false">IF(IsPro,IF($D1077="","",IFERROR(INDEX(Items!$F$5:$F$504,Q1077),0)),"")</f>
        <v/>
      </c>
      <c r="M1077" s="61" t="str">
        <f aca="false">IF(IsPro,IF($D1077="","",IF(AND(R1077&lt;&gt;"",INDEX(Parties!$E$5:$E$304,R1077)&lt;&gt;"",INDEX(Parties!$E$5:$E$304,R1077)&lt;&gt;HomeState),0,ROUND(K1077*L1077/2,2))),"")</f>
        <v/>
      </c>
      <c r="N1077" s="61" t="str">
        <f aca="false">IF(IsPro,IF($D1077="","",M1077),"")</f>
        <v/>
      </c>
      <c r="O1077" s="61" t="str">
        <f aca="false">IF(IsPro,IF($D1077="","",IF(AND(R1077&lt;&gt;"",INDEX(Parties!$E$5:$E$304,R1077)&lt;&gt;"",INDEX(Parties!$E$5:$E$304,R1077)&lt;&gt;HomeState),ROUND(K1077*L1077,2),0)),"")</f>
        <v/>
      </c>
      <c r="P1077" s="61" t="str">
        <f aca="false">IF(IsPro,IF($D1077="","",K1077+M1077+N1077+O1077),"")</f>
        <v/>
      </c>
      <c r="Q1077" s="60" t="str">
        <f aca="false">IF(IsPro,IF($D1077="","",IFERROR(MATCH($D1077,Items!$A$5:$A$504,0),"")),"")</f>
        <v/>
      </c>
      <c r="R1077" s="60" t="str">
        <f aca="false">IF(IsPro,IF($C1077="","",IFERROR(MATCH($C1077,Parties!$A$5:$A$304,0),"")),"")</f>
        <v/>
      </c>
      <c r="S1077" s="61" t="str">
        <f aca="false">IF(IsPro,IF($D1077="","",IF(OR($H1077="",$H1077="Credit"),0,P1077)),"")</f>
        <v/>
      </c>
    </row>
    <row r="1078" customFormat="false" ht="15" hidden="false" customHeight="false" outlineLevel="0" collapsed="false">
      <c r="A1078" s="55"/>
      <c r="B1078" s="56"/>
      <c r="C1078" s="56"/>
      <c r="D1078" s="56"/>
      <c r="E1078" s="57"/>
      <c r="F1078" s="58"/>
      <c r="G1078" s="59"/>
      <c r="H1078" s="56"/>
      <c r="I1078" s="60" t="str">
        <f aca="false">IF(IsPro,IF($D1078="","",IFERROR(INDEX(Items!$D$5:$D$504,Q1078),"")),IF($D1078="","","PRO PLAN"))</f>
        <v/>
      </c>
      <c r="J1078" s="61" t="str">
        <f aca="false">IF(IsPro,IF($D1078="","",IF($F1078="",IFERROR(INDEX(Items!$G$5:$G$504,Q1078),0),$F1078)),"")</f>
        <v/>
      </c>
      <c r="K1078" s="61" t="str">
        <f aca="false">IF(IsPro,IF($D1078="","",ROUND(N($E1078)*J1078*(1-N($G1078)),2)),"")</f>
        <v/>
      </c>
      <c r="L1078" s="62" t="str">
        <f aca="false">IF(IsPro,IF($D1078="","",IFERROR(INDEX(Items!$F$5:$F$504,Q1078),0)),"")</f>
        <v/>
      </c>
      <c r="M1078" s="61" t="str">
        <f aca="false">IF(IsPro,IF($D1078="","",IF(AND(R1078&lt;&gt;"",INDEX(Parties!$E$5:$E$304,R1078)&lt;&gt;"",INDEX(Parties!$E$5:$E$304,R1078)&lt;&gt;HomeState),0,ROUND(K1078*L1078/2,2))),"")</f>
        <v/>
      </c>
      <c r="N1078" s="61" t="str">
        <f aca="false">IF(IsPro,IF($D1078="","",M1078),"")</f>
        <v/>
      </c>
      <c r="O1078" s="61" t="str">
        <f aca="false">IF(IsPro,IF($D1078="","",IF(AND(R1078&lt;&gt;"",INDEX(Parties!$E$5:$E$304,R1078)&lt;&gt;"",INDEX(Parties!$E$5:$E$304,R1078)&lt;&gt;HomeState),ROUND(K1078*L1078,2),0)),"")</f>
        <v/>
      </c>
      <c r="P1078" s="61" t="str">
        <f aca="false">IF(IsPro,IF($D1078="","",K1078+M1078+N1078+O1078),"")</f>
        <v/>
      </c>
      <c r="Q1078" s="60" t="str">
        <f aca="false">IF(IsPro,IF($D1078="","",IFERROR(MATCH($D1078,Items!$A$5:$A$504,0),"")),"")</f>
        <v/>
      </c>
      <c r="R1078" s="60" t="str">
        <f aca="false">IF(IsPro,IF($C1078="","",IFERROR(MATCH($C1078,Parties!$A$5:$A$304,0),"")),"")</f>
        <v/>
      </c>
      <c r="S1078" s="61" t="str">
        <f aca="false">IF(IsPro,IF($D1078="","",IF(OR($H1078="",$H1078="Credit"),0,P1078)),"")</f>
        <v/>
      </c>
    </row>
    <row r="1079" customFormat="false" ht="15" hidden="false" customHeight="false" outlineLevel="0" collapsed="false">
      <c r="A1079" s="55"/>
      <c r="B1079" s="56"/>
      <c r="C1079" s="56"/>
      <c r="D1079" s="56"/>
      <c r="E1079" s="57"/>
      <c r="F1079" s="58"/>
      <c r="G1079" s="59"/>
      <c r="H1079" s="56"/>
      <c r="I1079" s="60" t="str">
        <f aca="false">IF(IsPro,IF($D1079="","",IFERROR(INDEX(Items!$D$5:$D$504,Q1079),"")),IF($D1079="","","PRO PLAN"))</f>
        <v/>
      </c>
      <c r="J1079" s="61" t="str">
        <f aca="false">IF(IsPro,IF($D1079="","",IF($F1079="",IFERROR(INDEX(Items!$G$5:$G$504,Q1079),0),$F1079)),"")</f>
        <v/>
      </c>
      <c r="K1079" s="61" t="str">
        <f aca="false">IF(IsPro,IF($D1079="","",ROUND(N($E1079)*J1079*(1-N($G1079)),2)),"")</f>
        <v/>
      </c>
      <c r="L1079" s="62" t="str">
        <f aca="false">IF(IsPro,IF($D1079="","",IFERROR(INDEX(Items!$F$5:$F$504,Q1079),0)),"")</f>
        <v/>
      </c>
      <c r="M1079" s="61" t="str">
        <f aca="false">IF(IsPro,IF($D1079="","",IF(AND(R1079&lt;&gt;"",INDEX(Parties!$E$5:$E$304,R1079)&lt;&gt;"",INDEX(Parties!$E$5:$E$304,R1079)&lt;&gt;HomeState),0,ROUND(K1079*L1079/2,2))),"")</f>
        <v/>
      </c>
      <c r="N1079" s="61" t="str">
        <f aca="false">IF(IsPro,IF($D1079="","",M1079),"")</f>
        <v/>
      </c>
      <c r="O1079" s="61" t="str">
        <f aca="false">IF(IsPro,IF($D1079="","",IF(AND(R1079&lt;&gt;"",INDEX(Parties!$E$5:$E$304,R1079)&lt;&gt;"",INDEX(Parties!$E$5:$E$304,R1079)&lt;&gt;HomeState),ROUND(K1079*L1079,2),0)),"")</f>
        <v/>
      </c>
      <c r="P1079" s="61" t="str">
        <f aca="false">IF(IsPro,IF($D1079="","",K1079+M1079+N1079+O1079),"")</f>
        <v/>
      </c>
      <c r="Q1079" s="60" t="str">
        <f aca="false">IF(IsPro,IF($D1079="","",IFERROR(MATCH($D1079,Items!$A$5:$A$504,0),"")),"")</f>
        <v/>
      </c>
      <c r="R1079" s="60" t="str">
        <f aca="false">IF(IsPro,IF($C1079="","",IFERROR(MATCH($C1079,Parties!$A$5:$A$304,0),"")),"")</f>
        <v/>
      </c>
      <c r="S1079" s="61" t="str">
        <f aca="false">IF(IsPro,IF($D1079="","",IF(OR($H1079="",$H1079="Credit"),0,P1079)),"")</f>
        <v/>
      </c>
    </row>
    <row r="1080" customFormat="false" ht="15" hidden="false" customHeight="false" outlineLevel="0" collapsed="false">
      <c r="A1080" s="55"/>
      <c r="B1080" s="56"/>
      <c r="C1080" s="56"/>
      <c r="D1080" s="56"/>
      <c r="E1080" s="57"/>
      <c r="F1080" s="58"/>
      <c r="G1080" s="59"/>
      <c r="H1080" s="56"/>
      <c r="I1080" s="60" t="str">
        <f aca="false">IF(IsPro,IF($D1080="","",IFERROR(INDEX(Items!$D$5:$D$504,Q1080),"")),IF($D1080="","","PRO PLAN"))</f>
        <v/>
      </c>
      <c r="J1080" s="61" t="str">
        <f aca="false">IF(IsPro,IF($D1080="","",IF($F1080="",IFERROR(INDEX(Items!$G$5:$G$504,Q1080),0),$F1080)),"")</f>
        <v/>
      </c>
      <c r="K1080" s="61" t="str">
        <f aca="false">IF(IsPro,IF($D1080="","",ROUND(N($E1080)*J1080*(1-N($G1080)),2)),"")</f>
        <v/>
      </c>
      <c r="L1080" s="62" t="str">
        <f aca="false">IF(IsPro,IF($D1080="","",IFERROR(INDEX(Items!$F$5:$F$504,Q1080),0)),"")</f>
        <v/>
      </c>
      <c r="M1080" s="61" t="str">
        <f aca="false">IF(IsPro,IF($D1080="","",IF(AND(R1080&lt;&gt;"",INDEX(Parties!$E$5:$E$304,R1080)&lt;&gt;"",INDEX(Parties!$E$5:$E$304,R1080)&lt;&gt;HomeState),0,ROUND(K1080*L1080/2,2))),"")</f>
        <v/>
      </c>
      <c r="N1080" s="61" t="str">
        <f aca="false">IF(IsPro,IF($D1080="","",M1080),"")</f>
        <v/>
      </c>
      <c r="O1080" s="61" t="str">
        <f aca="false">IF(IsPro,IF($D1080="","",IF(AND(R1080&lt;&gt;"",INDEX(Parties!$E$5:$E$304,R1080)&lt;&gt;"",INDEX(Parties!$E$5:$E$304,R1080)&lt;&gt;HomeState),ROUND(K1080*L1080,2),0)),"")</f>
        <v/>
      </c>
      <c r="P1080" s="61" t="str">
        <f aca="false">IF(IsPro,IF($D1080="","",K1080+M1080+N1080+O1080),"")</f>
        <v/>
      </c>
      <c r="Q1080" s="60" t="str">
        <f aca="false">IF(IsPro,IF($D1080="","",IFERROR(MATCH($D1080,Items!$A$5:$A$504,0),"")),"")</f>
        <v/>
      </c>
      <c r="R1080" s="60" t="str">
        <f aca="false">IF(IsPro,IF($C1080="","",IFERROR(MATCH($C1080,Parties!$A$5:$A$304,0),"")),"")</f>
        <v/>
      </c>
      <c r="S1080" s="61" t="str">
        <f aca="false">IF(IsPro,IF($D1080="","",IF(OR($H1080="",$H1080="Credit"),0,P1080)),"")</f>
        <v/>
      </c>
    </row>
    <row r="1081" customFormat="false" ht="15" hidden="false" customHeight="false" outlineLevel="0" collapsed="false">
      <c r="A1081" s="55"/>
      <c r="B1081" s="56"/>
      <c r="C1081" s="56"/>
      <c r="D1081" s="56"/>
      <c r="E1081" s="57"/>
      <c r="F1081" s="58"/>
      <c r="G1081" s="59"/>
      <c r="H1081" s="56"/>
      <c r="I1081" s="60" t="str">
        <f aca="false">IF(IsPro,IF($D1081="","",IFERROR(INDEX(Items!$D$5:$D$504,Q1081),"")),IF($D1081="","","PRO PLAN"))</f>
        <v/>
      </c>
      <c r="J1081" s="61" t="str">
        <f aca="false">IF(IsPro,IF($D1081="","",IF($F1081="",IFERROR(INDEX(Items!$G$5:$G$504,Q1081),0),$F1081)),"")</f>
        <v/>
      </c>
      <c r="K1081" s="61" t="str">
        <f aca="false">IF(IsPro,IF($D1081="","",ROUND(N($E1081)*J1081*(1-N($G1081)),2)),"")</f>
        <v/>
      </c>
      <c r="L1081" s="62" t="str">
        <f aca="false">IF(IsPro,IF($D1081="","",IFERROR(INDEX(Items!$F$5:$F$504,Q1081),0)),"")</f>
        <v/>
      </c>
      <c r="M1081" s="61" t="str">
        <f aca="false">IF(IsPro,IF($D1081="","",IF(AND(R1081&lt;&gt;"",INDEX(Parties!$E$5:$E$304,R1081)&lt;&gt;"",INDEX(Parties!$E$5:$E$304,R1081)&lt;&gt;HomeState),0,ROUND(K1081*L1081/2,2))),"")</f>
        <v/>
      </c>
      <c r="N1081" s="61" t="str">
        <f aca="false">IF(IsPro,IF($D1081="","",M1081),"")</f>
        <v/>
      </c>
      <c r="O1081" s="61" t="str">
        <f aca="false">IF(IsPro,IF($D1081="","",IF(AND(R1081&lt;&gt;"",INDEX(Parties!$E$5:$E$304,R1081)&lt;&gt;"",INDEX(Parties!$E$5:$E$304,R1081)&lt;&gt;HomeState),ROUND(K1081*L1081,2),0)),"")</f>
        <v/>
      </c>
      <c r="P1081" s="61" t="str">
        <f aca="false">IF(IsPro,IF($D1081="","",K1081+M1081+N1081+O1081),"")</f>
        <v/>
      </c>
      <c r="Q1081" s="60" t="str">
        <f aca="false">IF(IsPro,IF($D1081="","",IFERROR(MATCH($D1081,Items!$A$5:$A$504,0),"")),"")</f>
        <v/>
      </c>
      <c r="R1081" s="60" t="str">
        <f aca="false">IF(IsPro,IF($C1081="","",IFERROR(MATCH($C1081,Parties!$A$5:$A$304,0),"")),"")</f>
        <v/>
      </c>
      <c r="S1081" s="61" t="str">
        <f aca="false">IF(IsPro,IF($D1081="","",IF(OR($H1081="",$H1081="Credit"),0,P1081)),"")</f>
        <v/>
      </c>
    </row>
    <row r="1082" customFormat="false" ht="15" hidden="false" customHeight="false" outlineLevel="0" collapsed="false">
      <c r="A1082" s="55"/>
      <c r="B1082" s="56"/>
      <c r="C1082" s="56"/>
      <c r="D1082" s="56"/>
      <c r="E1082" s="57"/>
      <c r="F1082" s="58"/>
      <c r="G1082" s="59"/>
      <c r="H1082" s="56"/>
      <c r="I1082" s="60" t="str">
        <f aca="false">IF(IsPro,IF($D1082="","",IFERROR(INDEX(Items!$D$5:$D$504,Q1082),"")),IF($D1082="","","PRO PLAN"))</f>
        <v/>
      </c>
      <c r="J1082" s="61" t="str">
        <f aca="false">IF(IsPro,IF($D1082="","",IF($F1082="",IFERROR(INDEX(Items!$G$5:$G$504,Q1082),0),$F1082)),"")</f>
        <v/>
      </c>
      <c r="K1082" s="61" t="str">
        <f aca="false">IF(IsPro,IF($D1082="","",ROUND(N($E1082)*J1082*(1-N($G1082)),2)),"")</f>
        <v/>
      </c>
      <c r="L1082" s="62" t="str">
        <f aca="false">IF(IsPro,IF($D1082="","",IFERROR(INDEX(Items!$F$5:$F$504,Q1082),0)),"")</f>
        <v/>
      </c>
      <c r="M1082" s="61" t="str">
        <f aca="false">IF(IsPro,IF($D1082="","",IF(AND(R1082&lt;&gt;"",INDEX(Parties!$E$5:$E$304,R1082)&lt;&gt;"",INDEX(Parties!$E$5:$E$304,R1082)&lt;&gt;HomeState),0,ROUND(K1082*L1082/2,2))),"")</f>
        <v/>
      </c>
      <c r="N1082" s="61" t="str">
        <f aca="false">IF(IsPro,IF($D1082="","",M1082),"")</f>
        <v/>
      </c>
      <c r="O1082" s="61" t="str">
        <f aca="false">IF(IsPro,IF($D1082="","",IF(AND(R1082&lt;&gt;"",INDEX(Parties!$E$5:$E$304,R1082)&lt;&gt;"",INDEX(Parties!$E$5:$E$304,R1082)&lt;&gt;HomeState),ROUND(K1082*L1082,2),0)),"")</f>
        <v/>
      </c>
      <c r="P1082" s="61" t="str">
        <f aca="false">IF(IsPro,IF($D1082="","",K1082+M1082+N1082+O1082),"")</f>
        <v/>
      </c>
      <c r="Q1082" s="60" t="str">
        <f aca="false">IF(IsPro,IF($D1082="","",IFERROR(MATCH($D1082,Items!$A$5:$A$504,0),"")),"")</f>
        <v/>
      </c>
      <c r="R1082" s="60" t="str">
        <f aca="false">IF(IsPro,IF($C1082="","",IFERROR(MATCH($C1082,Parties!$A$5:$A$304,0),"")),"")</f>
        <v/>
      </c>
      <c r="S1082" s="61" t="str">
        <f aca="false">IF(IsPro,IF($D1082="","",IF(OR($H1082="",$H1082="Credit"),0,P1082)),"")</f>
        <v/>
      </c>
    </row>
    <row r="1083" customFormat="false" ht="15" hidden="false" customHeight="false" outlineLevel="0" collapsed="false">
      <c r="A1083" s="55"/>
      <c r="B1083" s="56"/>
      <c r="C1083" s="56"/>
      <c r="D1083" s="56"/>
      <c r="E1083" s="57"/>
      <c r="F1083" s="58"/>
      <c r="G1083" s="59"/>
      <c r="H1083" s="56"/>
      <c r="I1083" s="60" t="str">
        <f aca="false">IF(IsPro,IF($D1083="","",IFERROR(INDEX(Items!$D$5:$D$504,Q1083),"")),IF($D1083="","","PRO PLAN"))</f>
        <v/>
      </c>
      <c r="J1083" s="61" t="str">
        <f aca="false">IF(IsPro,IF($D1083="","",IF($F1083="",IFERROR(INDEX(Items!$G$5:$G$504,Q1083),0),$F1083)),"")</f>
        <v/>
      </c>
      <c r="K1083" s="61" t="str">
        <f aca="false">IF(IsPro,IF($D1083="","",ROUND(N($E1083)*J1083*(1-N($G1083)),2)),"")</f>
        <v/>
      </c>
      <c r="L1083" s="62" t="str">
        <f aca="false">IF(IsPro,IF($D1083="","",IFERROR(INDEX(Items!$F$5:$F$504,Q1083),0)),"")</f>
        <v/>
      </c>
      <c r="M1083" s="61" t="str">
        <f aca="false">IF(IsPro,IF($D1083="","",IF(AND(R1083&lt;&gt;"",INDEX(Parties!$E$5:$E$304,R1083)&lt;&gt;"",INDEX(Parties!$E$5:$E$304,R1083)&lt;&gt;HomeState),0,ROUND(K1083*L1083/2,2))),"")</f>
        <v/>
      </c>
      <c r="N1083" s="61" t="str">
        <f aca="false">IF(IsPro,IF($D1083="","",M1083),"")</f>
        <v/>
      </c>
      <c r="O1083" s="61" t="str">
        <f aca="false">IF(IsPro,IF($D1083="","",IF(AND(R1083&lt;&gt;"",INDEX(Parties!$E$5:$E$304,R1083)&lt;&gt;"",INDEX(Parties!$E$5:$E$304,R1083)&lt;&gt;HomeState),ROUND(K1083*L1083,2),0)),"")</f>
        <v/>
      </c>
      <c r="P1083" s="61" t="str">
        <f aca="false">IF(IsPro,IF($D1083="","",K1083+M1083+N1083+O1083),"")</f>
        <v/>
      </c>
      <c r="Q1083" s="60" t="str">
        <f aca="false">IF(IsPro,IF($D1083="","",IFERROR(MATCH($D1083,Items!$A$5:$A$504,0),"")),"")</f>
        <v/>
      </c>
      <c r="R1083" s="60" t="str">
        <f aca="false">IF(IsPro,IF($C1083="","",IFERROR(MATCH($C1083,Parties!$A$5:$A$304,0),"")),"")</f>
        <v/>
      </c>
      <c r="S1083" s="61" t="str">
        <f aca="false">IF(IsPro,IF($D1083="","",IF(OR($H1083="",$H1083="Credit"),0,P1083)),"")</f>
        <v/>
      </c>
    </row>
    <row r="1084" customFormat="false" ht="15" hidden="false" customHeight="false" outlineLevel="0" collapsed="false">
      <c r="A1084" s="55"/>
      <c r="B1084" s="56"/>
      <c r="C1084" s="56"/>
      <c r="D1084" s="56"/>
      <c r="E1084" s="57"/>
      <c r="F1084" s="58"/>
      <c r="G1084" s="59"/>
      <c r="H1084" s="56"/>
      <c r="I1084" s="60" t="str">
        <f aca="false">IF(IsPro,IF($D1084="","",IFERROR(INDEX(Items!$D$5:$D$504,Q1084),"")),IF($D1084="","","PRO PLAN"))</f>
        <v/>
      </c>
      <c r="J1084" s="61" t="str">
        <f aca="false">IF(IsPro,IF($D1084="","",IF($F1084="",IFERROR(INDEX(Items!$G$5:$G$504,Q1084),0),$F1084)),"")</f>
        <v/>
      </c>
      <c r="K1084" s="61" t="str">
        <f aca="false">IF(IsPro,IF($D1084="","",ROUND(N($E1084)*J1084*(1-N($G1084)),2)),"")</f>
        <v/>
      </c>
      <c r="L1084" s="62" t="str">
        <f aca="false">IF(IsPro,IF($D1084="","",IFERROR(INDEX(Items!$F$5:$F$504,Q1084),0)),"")</f>
        <v/>
      </c>
      <c r="M1084" s="61" t="str">
        <f aca="false">IF(IsPro,IF($D1084="","",IF(AND(R1084&lt;&gt;"",INDEX(Parties!$E$5:$E$304,R1084)&lt;&gt;"",INDEX(Parties!$E$5:$E$304,R1084)&lt;&gt;HomeState),0,ROUND(K1084*L1084/2,2))),"")</f>
        <v/>
      </c>
      <c r="N1084" s="61" t="str">
        <f aca="false">IF(IsPro,IF($D1084="","",M1084),"")</f>
        <v/>
      </c>
      <c r="O1084" s="61" t="str">
        <f aca="false">IF(IsPro,IF($D1084="","",IF(AND(R1084&lt;&gt;"",INDEX(Parties!$E$5:$E$304,R1084)&lt;&gt;"",INDEX(Parties!$E$5:$E$304,R1084)&lt;&gt;HomeState),ROUND(K1084*L1084,2),0)),"")</f>
        <v/>
      </c>
      <c r="P1084" s="61" t="str">
        <f aca="false">IF(IsPro,IF($D1084="","",K1084+M1084+N1084+O1084),"")</f>
        <v/>
      </c>
      <c r="Q1084" s="60" t="str">
        <f aca="false">IF(IsPro,IF($D1084="","",IFERROR(MATCH($D1084,Items!$A$5:$A$504,0),"")),"")</f>
        <v/>
      </c>
      <c r="R1084" s="60" t="str">
        <f aca="false">IF(IsPro,IF($C1084="","",IFERROR(MATCH($C1084,Parties!$A$5:$A$304,0),"")),"")</f>
        <v/>
      </c>
      <c r="S1084" s="61" t="str">
        <f aca="false">IF(IsPro,IF($D1084="","",IF(OR($H1084="",$H1084="Credit"),0,P1084)),"")</f>
        <v/>
      </c>
    </row>
    <row r="1085" customFormat="false" ht="15" hidden="false" customHeight="false" outlineLevel="0" collapsed="false">
      <c r="A1085" s="55"/>
      <c r="B1085" s="56"/>
      <c r="C1085" s="56"/>
      <c r="D1085" s="56"/>
      <c r="E1085" s="57"/>
      <c r="F1085" s="58"/>
      <c r="G1085" s="59"/>
      <c r="H1085" s="56"/>
      <c r="I1085" s="60" t="str">
        <f aca="false">IF(IsPro,IF($D1085="","",IFERROR(INDEX(Items!$D$5:$D$504,Q1085),"")),IF($D1085="","","PRO PLAN"))</f>
        <v/>
      </c>
      <c r="J1085" s="61" t="str">
        <f aca="false">IF(IsPro,IF($D1085="","",IF($F1085="",IFERROR(INDEX(Items!$G$5:$G$504,Q1085),0),$F1085)),"")</f>
        <v/>
      </c>
      <c r="K1085" s="61" t="str">
        <f aca="false">IF(IsPro,IF($D1085="","",ROUND(N($E1085)*J1085*(1-N($G1085)),2)),"")</f>
        <v/>
      </c>
      <c r="L1085" s="62" t="str">
        <f aca="false">IF(IsPro,IF($D1085="","",IFERROR(INDEX(Items!$F$5:$F$504,Q1085),0)),"")</f>
        <v/>
      </c>
      <c r="M1085" s="61" t="str">
        <f aca="false">IF(IsPro,IF($D1085="","",IF(AND(R1085&lt;&gt;"",INDEX(Parties!$E$5:$E$304,R1085)&lt;&gt;"",INDEX(Parties!$E$5:$E$304,R1085)&lt;&gt;HomeState),0,ROUND(K1085*L1085/2,2))),"")</f>
        <v/>
      </c>
      <c r="N1085" s="61" t="str">
        <f aca="false">IF(IsPro,IF($D1085="","",M1085),"")</f>
        <v/>
      </c>
      <c r="O1085" s="61" t="str">
        <f aca="false">IF(IsPro,IF($D1085="","",IF(AND(R1085&lt;&gt;"",INDEX(Parties!$E$5:$E$304,R1085)&lt;&gt;"",INDEX(Parties!$E$5:$E$304,R1085)&lt;&gt;HomeState),ROUND(K1085*L1085,2),0)),"")</f>
        <v/>
      </c>
      <c r="P1085" s="61" t="str">
        <f aca="false">IF(IsPro,IF($D1085="","",K1085+M1085+N1085+O1085),"")</f>
        <v/>
      </c>
      <c r="Q1085" s="60" t="str">
        <f aca="false">IF(IsPro,IF($D1085="","",IFERROR(MATCH($D1085,Items!$A$5:$A$504,0),"")),"")</f>
        <v/>
      </c>
      <c r="R1085" s="60" t="str">
        <f aca="false">IF(IsPro,IF($C1085="","",IFERROR(MATCH($C1085,Parties!$A$5:$A$304,0),"")),"")</f>
        <v/>
      </c>
      <c r="S1085" s="61" t="str">
        <f aca="false">IF(IsPro,IF($D1085="","",IF(OR($H1085="",$H1085="Credit"),0,P1085)),"")</f>
        <v/>
      </c>
    </row>
    <row r="1086" customFormat="false" ht="15" hidden="false" customHeight="false" outlineLevel="0" collapsed="false">
      <c r="A1086" s="55"/>
      <c r="B1086" s="56"/>
      <c r="C1086" s="56"/>
      <c r="D1086" s="56"/>
      <c r="E1086" s="57"/>
      <c r="F1086" s="58"/>
      <c r="G1086" s="59"/>
      <c r="H1086" s="56"/>
      <c r="I1086" s="60" t="str">
        <f aca="false">IF(IsPro,IF($D1086="","",IFERROR(INDEX(Items!$D$5:$D$504,Q1086),"")),IF($D1086="","","PRO PLAN"))</f>
        <v/>
      </c>
      <c r="J1086" s="61" t="str">
        <f aca="false">IF(IsPro,IF($D1086="","",IF($F1086="",IFERROR(INDEX(Items!$G$5:$G$504,Q1086),0),$F1086)),"")</f>
        <v/>
      </c>
      <c r="K1086" s="61" t="str">
        <f aca="false">IF(IsPro,IF($D1086="","",ROUND(N($E1086)*J1086*(1-N($G1086)),2)),"")</f>
        <v/>
      </c>
      <c r="L1086" s="62" t="str">
        <f aca="false">IF(IsPro,IF($D1086="","",IFERROR(INDEX(Items!$F$5:$F$504,Q1086),0)),"")</f>
        <v/>
      </c>
      <c r="M1086" s="61" t="str">
        <f aca="false">IF(IsPro,IF($D1086="","",IF(AND(R1086&lt;&gt;"",INDEX(Parties!$E$5:$E$304,R1086)&lt;&gt;"",INDEX(Parties!$E$5:$E$304,R1086)&lt;&gt;HomeState),0,ROUND(K1086*L1086/2,2))),"")</f>
        <v/>
      </c>
      <c r="N1086" s="61" t="str">
        <f aca="false">IF(IsPro,IF($D1086="","",M1086),"")</f>
        <v/>
      </c>
      <c r="O1086" s="61" t="str">
        <f aca="false">IF(IsPro,IF($D1086="","",IF(AND(R1086&lt;&gt;"",INDEX(Parties!$E$5:$E$304,R1086)&lt;&gt;"",INDEX(Parties!$E$5:$E$304,R1086)&lt;&gt;HomeState),ROUND(K1086*L1086,2),0)),"")</f>
        <v/>
      </c>
      <c r="P1086" s="61" t="str">
        <f aca="false">IF(IsPro,IF($D1086="","",K1086+M1086+N1086+O1086),"")</f>
        <v/>
      </c>
      <c r="Q1086" s="60" t="str">
        <f aca="false">IF(IsPro,IF($D1086="","",IFERROR(MATCH($D1086,Items!$A$5:$A$504,0),"")),"")</f>
        <v/>
      </c>
      <c r="R1086" s="60" t="str">
        <f aca="false">IF(IsPro,IF($C1086="","",IFERROR(MATCH($C1086,Parties!$A$5:$A$304,0),"")),"")</f>
        <v/>
      </c>
      <c r="S1086" s="61" t="str">
        <f aca="false">IF(IsPro,IF($D1086="","",IF(OR($H1086="",$H1086="Credit"),0,P1086)),"")</f>
        <v/>
      </c>
    </row>
    <row r="1087" customFormat="false" ht="15" hidden="false" customHeight="false" outlineLevel="0" collapsed="false">
      <c r="A1087" s="55"/>
      <c r="B1087" s="56"/>
      <c r="C1087" s="56"/>
      <c r="D1087" s="56"/>
      <c r="E1087" s="57"/>
      <c r="F1087" s="58"/>
      <c r="G1087" s="59"/>
      <c r="H1087" s="56"/>
      <c r="I1087" s="60" t="str">
        <f aca="false">IF(IsPro,IF($D1087="","",IFERROR(INDEX(Items!$D$5:$D$504,Q1087),"")),IF($D1087="","","PRO PLAN"))</f>
        <v/>
      </c>
      <c r="J1087" s="61" t="str">
        <f aca="false">IF(IsPro,IF($D1087="","",IF($F1087="",IFERROR(INDEX(Items!$G$5:$G$504,Q1087),0),$F1087)),"")</f>
        <v/>
      </c>
      <c r="K1087" s="61" t="str">
        <f aca="false">IF(IsPro,IF($D1087="","",ROUND(N($E1087)*J1087*(1-N($G1087)),2)),"")</f>
        <v/>
      </c>
      <c r="L1087" s="62" t="str">
        <f aca="false">IF(IsPro,IF($D1087="","",IFERROR(INDEX(Items!$F$5:$F$504,Q1087),0)),"")</f>
        <v/>
      </c>
      <c r="M1087" s="61" t="str">
        <f aca="false">IF(IsPro,IF($D1087="","",IF(AND(R1087&lt;&gt;"",INDEX(Parties!$E$5:$E$304,R1087)&lt;&gt;"",INDEX(Parties!$E$5:$E$304,R1087)&lt;&gt;HomeState),0,ROUND(K1087*L1087/2,2))),"")</f>
        <v/>
      </c>
      <c r="N1087" s="61" t="str">
        <f aca="false">IF(IsPro,IF($D1087="","",M1087),"")</f>
        <v/>
      </c>
      <c r="O1087" s="61" t="str">
        <f aca="false">IF(IsPro,IF($D1087="","",IF(AND(R1087&lt;&gt;"",INDEX(Parties!$E$5:$E$304,R1087)&lt;&gt;"",INDEX(Parties!$E$5:$E$304,R1087)&lt;&gt;HomeState),ROUND(K1087*L1087,2),0)),"")</f>
        <v/>
      </c>
      <c r="P1087" s="61" t="str">
        <f aca="false">IF(IsPro,IF($D1087="","",K1087+M1087+N1087+O1087),"")</f>
        <v/>
      </c>
      <c r="Q1087" s="60" t="str">
        <f aca="false">IF(IsPro,IF($D1087="","",IFERROR(MATCH($D1087,Items!$A$5:$A$504,0),"")),"")</f>
        <v/>
      </c>
      <c r="R1087" s="60" t="str">
        <f aca="false">IF(IsPro,IF($C1087="","",IFERROR(MATCH($C1087,Parties!$A$5:$A$304,0),"")),"")</f>
        <v/>
      </c>
      <c r="S1087" s="61" t="str">
        <f aca="false">IF(IsPro,IF($D1087="","",IF(OR($H1087="",$H1087="Credit"),0,P1087)),"")</f>
        <v/>
      </c>
    </row>
    <row r="1088" customFormat="false" ht="15" hidden="false" customHeight="false" outlineLevel="0" collapsed="false">
      <c r="A1088" s="55"/>
      <c r="B1088" s="56"/>
      <c r="C1088" s="56"/>
      <c r="D1088" s="56"/>
      <c r="E1088" s="57"/>
      <c r="F1088" s="58"/>
      <c r="G1088" s="59"/>
      <c r="H1088" s="56"/>
      <c r="I1088" s="60" t="str">
        <f aca="false">IF(IsPro,IF($D1088="","",IFERROR(INDEX(Items!$D$5:$D$504,Q1088),"")),IF($D1088="","","PRO PLAN"))</f>
        <v/>
      </c>
      <c r="J1088" s="61" t="str">
        <f aca="false">IF(IsPro,IF($D1088="","",IF($F1088="",IFERROR(INDEX(Items!$G$5:$G$504,Q1088),0),$F1088)),"")</f>
        <v/>
      </c>
      <c r="K1088" s="61" t="str">
        <f aca="false">IF(IsPro,IF($D1088="","",ROUND(N($E1088)*J1088*(1-N($G1088)),2)),"")</f>
        <v/>
      </c>
      <c r="L1088" s="62" t="str">
        <f aca="false">IF(IsPro,IF($D1088="","",IFERROR(INDEX(Items!$F$5:$F$504,Q1088),0)),"")</f>
        <v/>
      </c>
      <c r="M1088" s="61" t="str">
        <f aca="false">IF(IsPro,IF($D1088="","",IF(AND(R1088&lt;&gt;"",INDEX(Parties!$E$5:$E$304,R1088)&lt;&gt;"",INDEX(Parties!$E$5:$E$304,R1088)&lt;&gt;HomeState),0,ROUND(K1088*L1088/2,2))),"")</f>
        <v/>
      </c>
      <c r="N1088" s="61" t="str">
        <f aca="false">IF(IsPro,IF($D1088="","",M1088),"")</f>
        <v/>
      </c>
      <c r="O1088" s="61" t="str">
        <f aca="false">IF(IsPro,IF($D1088="","",IF(AND(R1088&lt;&gt;"",INDEX(Parties!$E$5:$E$304,R1088)&lt;&gt;"",INDEX(Parties!$E$5:$E$304,R1088)&lt;&gt;HomeState),ROUND(K1088*L1088,2),0)),"")</f>
        <v/>
      </c>
      <c r="P1088" s="61" t="str">
        <f aca="false">IF(IsPro,IF($D1088="","",K1088+M1088+N1088+O1088),"")</f>
        <v/>
      </c>
      <c r="Q1088" s="60" t="str">
        <f aca="false">IF(IsPro,IF($D1088="","",IFERROR(MATCH($D1088,Items!$A$5:$A$504,0),"")),"")</f>
        <v/>
      </c>
      <c r="R1088" s="60" t="str">
        <f aca="false">IF(IsPro,IF($C1088="","",IFERROR(MATCH($C1088,Parties!$A$5:$A$304,0),"")),"")</f>
        <v/>
      </c>
      <c r="S1088" s="61" t="str">
        <f aca="false">IF(IsPro,IF($D1088="","",IF(OR($H1088="",$H1088="Credit"),0,P1088)),"")</f>
        <v/>
      </c>
    </row>
    <row r="1089" customFormat="false" ht="15" hidden="false" customHeight="false" outlineLevel="0" collapsed="false">
      <c r="A1089" s="55"/>
      <c r="B1089" s="56"/>
      <c r="C1089" s="56"/>
      <c r="D1089" s="56"/>
      <c r="E1089" s="57"/>
      <c r="F1089" s="58"/>
      <c r="G1089" s="59"/>
      <c r="H1089" s="56"/>
      <c r="I1089" s="60" t="str">
        <f aca="false">IF(IsPro,IF($D1089="","",IFERROR(INDEX(Items!$D$5:$D$504,Q1089),"")),IF($D1089="","","PRO PLAN"))</f>
        <v/>
      </c>
      <c r="J1089" s="61" t="str">
        <f aca="false">IF(IsPro,IF($D1089="","",IF($F1089="",IFERROR(INDEX(Items!$G$5:$G$504,Q1089),0),$F1089)),"")</f>
        <v/>
      </c>
      <c r="K1089" s="61" t="str">
        <f aca="false">IF(IsPro,IF($D1089="","",ROUND(N($E1089)*J1089*(1-N($G1089)),2)),"")</f>
        <v/>
      </c>
      <c r="L1089" s="62" t="str">
        <f aca="false">IF(IsPro,IF($D1089="","",IFERROR(INDEX(Items!$F$5:$F$504,Q1089),0)),"")</f>
        <v/>
      </c>
      <c r="M1089" s="61" t="str">
        <f aca="false">IF(IsPro,IF($D1089="","",IF(AND(R1089&lt;&gt;"",INDEX(Parties!$E$5:$E$304,R1089)&lt;&gt;"",INDEX(Parties!$E$5:$E$304,R1089)&lt;&gt;HomeState),0,ROUND(K1089*L1089/2,2))),"")</f>
        <v/>
      </c>
      <c r="N1089" s="61" t="str">
        <f aca="false">IF(IsPro,IF($D1089="","",M1089),"")</f>
        <v/>
      </c>
      <c r="O1089" s="61" t="str">
        <f aca="false">IF(IsPro,IF($D1089="","",IF(AND(R1089&lt;&gt;"",INDEX(Parties!$E$5:$E$304,R1089)&lt;&gt;"",INDEX(Parties!$E$5:$E$304,R1089)&lt;&gt;HomeState),ROUND(K1089*L1089,2),0)),"")</f>
        <v/>
      </c>
      <c r="P1089" s="61" t="str">
        <f aca="false">IF(IsPro,IF($D1089="","",K1089+M1089+N1089+O1089),"")</f>
        <v/>
      </c>
      <c r="Q1089" s="60" t="str">
        <f aca="false">IF(IsPro,IF($D1089="","",IFERROR(MATCH($D1089,Items!$A$5:$A$504,0),"")),"")</f>
        <v/>
      </c>
      <c r="R1089" s="60" t="str">
        <f aca="false">IF(IsPro,IF($C1089="","",IFERROR(MATCH($C1089,Parties!$A$5:$A$304,0),"")),"")</f>
        <v/>
      </c>
      <c r="S1089" s="61" t="str">
        <f aca="false">IF(IsPro,IF($D1089="","",IF(OR($H1089="",$H1089="Credit"),0,P1089)),"")</f>
        <v/>
      </c>
    </row>
    <row r="1090" customFormat="false" ht="15" hidden="false" customHeight="false" outlineLevel="0" collapsed="false">
      <c r="A1090" s="55"/>
      <c r="B1090" s="56"/>
      <c r="C1090" s="56"/>
      <c r="D1090" s="56"/>
      <c r="E1090" s="57"/>
      <c r="F1090" s="58"/>
      <c r="G1090" s="59"/>
      <c r="H1090" s="56"/>
      <c r="I1090" s="60" t="str">
        <f aca="false">IF(IsPro,IF($D1090="","",IFERROR(INDEX(Items!$D$5:$D$504,Q1090),"")),IF($D1090="","","PRO PLAN"))</f>
        <v/>
      </c>
      <c r="J1090" s="61" t="str">
        <f aca="false">IF(IsPro,IF($D1090="","",IF($F1090="",IFERROR(INDEX(Items!$G$5:$G$504,Q1090),0),$F1090)),"")</f>
        <v/>
      </c>
      <c r="K1090" s="61" t="str">
        <f aca="false">IF(IsPro,IF($D1090="","",ROUND(N($E1090)*J1090*(1-N($G1090)),2)),"")</f>
        <v/>
      </c>
      <c r="L1090" s="62" t="str">
        <f aca="false">IF(IsPro,IF($D1090="","",IFERROR(INDEX(Items!$F$5:$F$504,Q1090),0)),"")</f>
        <v/>
      </c>
      <c r="M1090" s="61" t="str">
        <f aca="false">IF(IsPro,IF($D1090="","",IF(AND(R1090&lt;&gt;"",INDEX(Parties!$E$5:$E$304,R1090)&lt;&gt;"",INDEX(Parties!$E$5:$E$304,R1090)&lt;&gt;HomeState),0,ROUND(K1090*L1090/2,2))),"")</f>
        <v/>
      </c>
      <c r="N1090" s="61" t="str">
        <f aca="false">IF(IsPro,IF($D1090="","",M1090),"")</f>
        <v/>
      </c>
      <c r="O1090" s="61" t="str">
        <f aca="false">IF(IsPro,IF($D1090="","",IF(AND(R1090&lt;&gt;"",INDEX(Parties!$E$5:$E$304,R1090)&lt;&gt;"",INDEX(Parties!$E$5:$E$304,R1090)&lt;&gt;HomeState),ROUND(K1090*L1090,2),0)),"")</f>
        <v/>
      </c>
      <c r="P1090" s="61" t="str">
        <f aca="false">IF(IsPro,IF($D1090="","",K1090+M1090+N1090+O1090),"")</f>
        <v/>
      </c>
      <c r="Q1090" s="60" t="str">
        <f aca="false">IF(IsPro,IF($D1090="","",IFERROR(MATCH($D1090,Items!$A$5:$A$504,0),"")),"")</f>
        <v/>
      </c>
      <c r="R1090" s="60" t="str">
        <f aca="false">IF(IsPro,IF($C1090="","",IFERROR(MATCH($C1090,Parties!$A$5:$A$304,0),"")),"")</f>
        <v/>
      </c>
      <c r="S1090" s="61" t="str">
        <f aca="false">IF(IsPro,IF($D1090="","",IF(OR($H1090="",$H1090="Credit"),0,P1090)),"")</f>
        <v/>
      </c>
    </row>
    <row r="1091" customFormat="false" ht="15" hidden="false" customHeight="false" outlineLevel="0" collapsed="false">
      <c r="A1091" s="55"/>
      <c r="B1091" s="56"/>
      <c r="C1091" s="56"/>
      <c r="D1091" s="56"/>
      <c r="E1091" s="57"/>
      <c r="F1091" s="58"/>
      <c r="G1091" s="59"/>
      <c r="H1091" s="56"/>
      <c r="I1091" s="60" t="str">
        <f aca="false">IF(IsPro,IF($D1091="","",IFERROR(INDEX(Items!$D$5:$D$504,Q1091),"")),IF($D1091="","","PRO PLAN"))</f>
        <v/>
      </c>
      <c r="J1091" s="61" t="str">
        <f aca="false">IF(IsPro,IF($D1091="","",IF($F1091="",IFERROR(INDEX(Items!$G$5:$G$504,Q1091),0),$F1091)),"")</f>
        <v/>
      </c>
      <c r="K1091" s="61" t="str">
        <f aca="false">IF(IsPro,IF($D1091="","",ROUND(N($E1091)*J1091*(1-N($G1091)),2)),"")</f>
        <v/>
      </c>
      <c r="L1091" s="62" t="str">
        <f aca="false">IF(IsPro,IF($D1091="","",IFERROR(INDEX(Items!$F$5:$F$504,Q1091),0)),"")</f>
        <v/>
      </c>
      <c r="M1091" s="61" t="str">
        <f aca="false">IF(IsPro,IF($D1091="","",IF(AND(R1091&lt;&gt;"",INDEX(Parties!$E$5:$E$304,R1091)&lt;&gt;"",INDEX(Parties!$E$5:$E$304,R1091)&lt;&gt;HomeState),0,ROUND(K1091*L1091/2,2))),"")</f>
        <v/>
      </c>
      <c r="N1091" s="61" t="str">
        <f aca="false">IF(IsPro,IF($D1091="","",M1091),"")</f>
        <v/>
      </c>
      <c r="O1091" s="61" t="str">
        <f aca="false">IF(IsPro,IF($D1091="","",IF(AND(R1091&lt;&gt;"",INDEX(Parties!$E$5:$E$304,R1091)&lt;&gt;"",INDEX(Parties!$E$5:$E$304,R1091)&lt;&gt;HomeState),ROUND(K1091*L1091,2),0)),"")</f>
        <v/>
      </c>
      <c r="P1091" s="61" t="str">
        <f aca="false">IF(IsPro,IF($D1091="","",K1091+M1091+N1091+O1091),"")</f>
        <v/>
      </c>
      <c r="Q1091" s="60" t="str">
        <f aca="false">IF(IsPro,IF($D1091="","",IFERROR(MATCH($D1091,Items!$A$5:$A$504,0),"")),"")</f>
        <v/>
      </c>
      <c r="R1091" s="60" t="str">
        <f aca="false">IF(IsPro,IF($C1091="","",IFERROR(MATCH($C1091,Parties!$A$5:$A$304,0),"")),"")</f>
        <v/>
      </c>
      <c r="S1091" s="61" t="str">
        <f aca="false">IF(IsPro,IF($D1091="","",IF(OR($H1091="",$H1091="Credit"),0,P1091)),"")</f>
        <v/>
      </c>
    </row>
    <row r="1092" customFormat="false" ht="15" hidden="false" customHeight="false" outlineLevel="0" collapsed="false">
      <c r="A1092" s="55"/>
      <c r="B1092" s="56"/>
      <c r="C1092" s="56"/>
      <c r="D1092" s="56"/>
      <c r="E1092" s="57"/>
      <c r="F1092" s="58"/>
      <c r="G1092" s="59"/>
      <c r="H1092" s="56"/>
      <c r="I1092" s="60" t="str">
        <f aca="false">IF(IsPro,IF($D1092="","",IFERROR(INDEX(Items!$D$5:$D$504,Q1092),"")),IF($D1092="","","PRO PLAN"))</f>
        <v/>
      </c>
      <c r="J1092" s="61" t="str">
        <f aca="false">IF(IsPro,IF($D1092="","",IF($F1092="",IFERROR(INDEX(Items!$G$5:$G$504,Q1092),0),$F1092)),"")</f>
        <v/>
      </c>
      <c r="K1092" s="61" t="str">
        <f aca="false">IF(IsPro,IF($D1092="","",ROUND(N($E1092)*J1092*(1-N($G1092)),2)),"")</f>
        <v/>
      </c>
      <c r="L1092" s="62" t="str">
        <f aca="false">IF(IsPro,IF($D1092="","",IFERROR(INDEX(Items!$F$5:$F$504,Q1092),0)),"")</f>
        <v/>
      </c>
      <c r="M1092" s="61" t="str">
        <f aca="false">IF(IsPro,IF($D1092="","",IF(AND(R1092&lt;&gt;"",INDEX(Parties!$E$5:$E$304,R1092)&lt;&gt;"",INDEX(Parties!$E$5:$E$304,R1092)&lt;&gt;HomeState),0,ROUND(K1092*L1092/2,2))),"")</f>
        <v/>
      </c>
      <c r="N1092" s="61" t="str">
        <f aca="false">IF(IsPro,IF($D1092="","",M1092),"")</f>
        <v/>
      </c>
      <c r="O1092" s="61" t="str">
        <f aca="false">IF(IsPro,IF($D1092="","",IF(AND(R1092&lt;&gt;"",INDEX(Parties!$E$5:$E$304,R1092)&lt;&gt;"",INDEX(Parties!$E$5:$E$304,R1092)&lt;&gt;HomeState),ROUND(K1092*L1092,2),0)),"")</f>
        <v/>
      </c>
      <c r="P1092" s="61" t="str">
        <f aca="false">IF(IsPro,IF($D1092="","",K1092+M1092+N1092+O1092),"")</f>
        <v/>
      </c>
      <c r="Q1092" s="60" t="str">
        <f aca="false">IF(IsPro,IF($D1092="","",IFERROR(MATCH($D1092,Items!$A$5:$A$504,0),"")),"")</f>
        <v/>
      </c>
      <c r="R1092" s="60" t="str">
        <f aca="false">IF(IsPro,IF($C1092="","",IFERROR(MATCH($C1092,Parties!$A$5:$A$304,0),"")),"")</f>
        <v/>
      </c>
      <c r="S1092" s="61" t="str">
        <f aca="false">IF(IsPro,IF($D1092="","",IF(OR($H1092="",$H1092="Credit"),0,P1092)),"")</f>
        <v/>
      </c>
    </row>
    <row r="1093" customFormat="false" ht="15" hidden="false" customHeight="false" outlineLevel="0" collapsed="false">
      <c r="A1093" s="55"/>
      <c r="B1093" s="56"/>
      <c r="C1093" s="56"/>
      <c r="D1093" s="56"/>
      <c r="E1093" s="57"/>
      <c r="F1093" s="58"/>
      <c r="G1093" s="59"/>
      <c r="H1093" s="56"/>
      <c r="I1093" s="60" t="str">
        <f aca="false">IF(IsPro,IF($D1093="","",IFERROR(INDEX(Items!$D$5:$D$504,Q1093),"")),IF($D1093="","","PRO PLAN"))</f>
        <v/>
      </c>
      <c r="J1093" s="61" t="str">
        <f aca="false">IF(IsPro,IF($D1093="","",IF($F1093="",IFERROR(INDEX(Items!$G$5:$G$504,Q1093),0),$F1093)),"")</f>
        <v/>
      </c>
      <c r="K1093" s="61" t="str">
        <f aca="false">IF(IsPro,IF($D1093="","",ROUND(N($E1093)*J1093*(1-N($G1093)),2)),"")</f>
        <v/>
      </c>
      <c r="L1093" s="62" t="str">
        <f aca="false">IF(IsPro,IF($D1093="","",IFERROR(INDEX(Items!$F$5:$F$504,Q1093),0)),"")</f>
        <v/>
      </c>
      <c r="M1093" s="61" t="str">
        <f aca="false">IF(IsPro,IF($D1093="","",IF(AND(R1093&lt;&gt;"",INDEX(Parties!$E$5:$E$304,R1093)&lt;&gt;"",INDEX(Parties!$E$5:$E$304,R1093)&lt;&gt;HomeState),0,ROUND(K1093*L1093/2,2))),"")</f>
        <v/>
      </c>
      <c r="N1093" s="61" t="str">
        <f aca="false">IF(IsPro,IF($D1093="","",M1093),"")</f>
        <v/>
      </c>
      <c r="O1093" s="61" t="str">
        <f aca="false">IF(IsPro,IF($D1093="","",IF(AND(R1093&lt;&gt;"",INDEX(Parties!$E$5:$E$304,R1093)&lt;&gt;"",INDEX(Parties!$E$5:$E$304,R1093)&lt;&gt;HomeState),ROUND(K1093*L1093,2),0)),"")</f>
        <v/>
      </c>
      <c r="P1093" s="61" t="str">
        <f aca="false">IF(IsPro,IF($D1093="","",K1093+M1093+N1093+O1093),"")</f>
        <v/>
      </c>
      <c r="Q1093" s="60" t="str">
        <f aca="false">IF(IsPro,IF($D1093="","",IFERROR(MATCH($D1093,Items!$A$5:$A$504,0),"")),"")</f>
        <v/>
      </c>
      <c r="R1093" s="60" t="str">
        <f aca="false">IF(IsPro,IF($C1093="","",IFERROR(MATCH($C1093,Parties!$A$5:$A$304,0),"")),"")</f>
        <v/>
      </c>
      <c r="S1093" s="61" t="str">
        <f aca="false">IF(IsPro,IF($D1093="","",IF(OR($H1093="",$H1093="Credit"),0,P1093)),"")</f>
        <v/>
      </c>
    </row>
    <row r="1094" customFormat="false" ht="15" hidden="false" customHeight="false" outlineLevel="0" collapsed="false">
      <c r="A1094" s="55"/>
      <c r="B1094" s="56"/>
      <c r="C1094" s="56"/>
      <c r="D1094" s="56"/>
      <c r="E1094" s="57"/>
      <c r="F1094" s="58"/>
      <c r="G1094" s="59"/>
      <c r="H1094" s="56"/>
      <c r="I1094" s="60" t="str">
        <f aca="false">IF(IsPro,IF($D1094="","",IFERROR(INDEX(Items!$D$5:$D$504,Q1094),"")),IF($D1094="","","PRO PLAN"))</f>
        <v/>
      </c>
      <c r="J1094" s="61" t="str">
        <f aca="false">IF(IsPro,IF($D1094="","",IF($F1094="",IFERROR(INDEX(Items!$G$5:$G$504,Q1094),0),$F1094)),"")</f>
        <v/>
      </c>
      <c r="K1094" s="61" t="str">
        <f aca="false">IF(IsPro,IF($D1094="","",ROUND(N($E1094)*J1094*(1-N($G1094)),2)),"")</f>
        <v/>
      </c>
      <c r="L1094" s="62" t="str">
        <f aca="false">IF(IsPro,IF($D1094="","",IFERROR(INDEX(Items!$F$5:$F$504,Q1094),0)),"")</f>
        <v/>
      </c>
      <c r="M1094" s="61" t="str">
        <f aca="false">IF(IsPro,IF($D1094="","",IF(AND(R1094&lt;&gt;"",INDEX(Parties!$E$5:$E$304,R1094)&lt;&gt;"",INDEX(Parties!$E$5:$E$304,R1094)&lt;&gt;HomeState),0,ROUND(K1094*L1094/2,2))),"")</f>
        <v/>
      </c>
      <c r="N1094" s="61" t="str">
        <f aca="false">IF(IsPro,IF($D1094="","",M1094),"")</f>
        <v/>
      </c>
      <c r="O1094" s="61" t="str">
        <f aca="false">IF(IsPro,IF($D1094="","",IF(AND(R1094&lt;&gt;"",INDEX(Parties!$E$5:$E$304,R1094)&lt;&gt;"",INDEX(Parties!$E$5:$E$304,R1094)&lt;&gt;HomeState),ROUND(K1094*L1094,2),0)),"")</f>
        <v/>
      </c>
      <c r="P1094" s="61" t="str">
        <f aca="false">IF(IsPro,IF($D1094="","",K1094+M1094+N1094+O1094),"")</f>
        <v/>
      </c>
      <c r="Q1094" s="60" t="str">
        <f aca="false">IF(IsPro,IF($D1094="","",IFERROR(MATCH($D1094,Items!$A$5:$A$504,0),"")),"")</f>
        <v/>
      </c>
      <c r="R1094" s="60" t="str">
        <f aca="false">IF(IsPro,IF($C1094="","",IFERROR(MATCH($C1094,Parties!$A$5:$A$304,0),"")),"")</f>
        <v/>
      </c>
      <c r="S1094" s="61" t="str">
        <f aca="false">IF(IsPro,IF($D1094="","",IF(OR($H1094="",$H1094="Credit"),0,P1094)),"")</f>
        <v/>
      </c>
    </row>
    <row r="1095" customFormat="false" ht="15" hidden="false" customHeight="false" outlineLevel="0" collapsed="false">
      <c r="A1095" s="55"/>
      <c r="B1095" s="56"/>
      <c r="C1095" s="56"/>
      <c r="D1095" s="56"/>
      <c r="E1095" s="57"/>
      <c r="F1095" s="58"/>
      <c r="G1095" s="59"/>
      <c r="H1095" s="56"/>
      <c r="I1095" s="60" t="str">
        <f aca="false">IF(IsPro,IF($D1095="","",IFERROR(INDEX(Items!$D$5:$D$504,Q1095),"")),IF($D1095="","","PRO PLAN"))</f>
        <v/>
      </c>
      <c r="J1095" s="61" t="str">
        <f aca="false">IF(IsPro,IF($D1095="","",IF($F1095="",IFERROR(INDEX(Items!$G$5:$G$504,Q1095),0),$F1095)),"")</f>
        <v/>
      </c>
      <c r="K1095" s="61" t="str">
        <f aca="false">IF(IsPro,IF($D1095="","",ROUND(N($E1095)*J1095*(1-N($G1095)),2)),"")</f>
        <v/>
      </c>
      <c r="L1095" s="62" t="str">
        <f aca="false">IF(IsPro,IF($D1095="","",IFERROR(INDEX(Items!$F$5:$F$504,Q1095),0)),"")</f>
        <v/>
      </c>
      <c r="M1095" s="61" t="str">
        <f aca="false">IF(IsPro,IF($D1095="","",IF(AND(R1095&lt;&gt;"",INDEX(Parties!$E$5:$E$304,R1095)&lt;&gt;"",INDEX(Parties!$E$5:$E$304,R1095)&lt;&gt;HomeState),0,ROUND(K1095*L1095/2,2))),"")</f>
        <v/>
      </c>
      <c r="N1095" s="61" t="str">
        <f aca="false">IF(IsPro,IF($D1095="","",M1095),"")</f>
        <v/>
      </c>
      <c r="O1095" s="61" t="str">
        <f aca="false">IF(IsPro,IF($D1095="","",IF(AND(R1095&lt;&gt;"",INDEX(Parties!$E$5:$E$304,R1095)&lt;&gt;"",INDEX(Parties!$E$5:$E$304,R1095)&lt;&gt;HomeState),ROUND(K1095*L1095,2),0)),"")</f>
        <v/>
      </c>
      <c r="P1095" s="61" t="str">
        <f aca="false">IF(IsPro,IF($D1095="","",K1095+M1095+N1095+O1095),"")</f>
        <v/>
      </c>
      <c r="Q1095" s="60" t="str">
        <f aca="false">IF(IsPro,IF($D1095="","",IFERROR(MATCH($D1095,Items!$A$5:$A$504,0),"")),"")</f>
        <v/>
      </c>
      <c r="R1095" s="60" t="str">
        <f aca="false">IF(IsPro,IF($C1095="","",IFERROR(MATCH($C1095,Parties!$A$5:$A$304,0),"")),"")</f>
        <v/>
      </c>
      <c r="S1095" s="61" t="str">
        <f aca="false">IF(IsPro,IF($D1095="","",IF(OR($H1095="",$H1095="Credit"),0,P1095)),"")</f>
        <v/>
      </c>
    </row>
    <row r="1096" customFormat="false" ht="15" hidden="false" customHeight="false" outlineLevel="0" collapsed="false">
      <c r="A1096" s="55"/>
      <c r="B1096" s="56"/>
      <c r="C1096" s="56"/>
      <c r="D1096" s="56"/>
      <c r="E1096" s="57"/>
      <c r="F1096" s="58"/>
      <c r="G1096" s="59"/>
      <c r="H1096" s="56"/>
      <c r="I1096" s="60" t="str">
        <f aca="false">IF(IsPro,IF($D1096="","",IFERROR(INDEX(Items!$D$5:$D$504,Q1096),"")),IF($D1096="","","PRO PLAN"))</f>
        <v/>
      </c>
      <c r="J1096" s="61" t="str">
        <f aca="false">IF(IsPro,IF($D1096="","",IF($F1096="",IFERROR(INDEX(Items!$G$5:$G$504,Q1096),0),$F1096)),"")</f>
        <v/>
      </c>
      <c r="K1096" s="61" t="str">
        <f aca="false">IF(IsPro,IF($D1096="","",ROUND(N($E1096)*J1096*(1-N($G1096)),2)),"")</f>
        <v/>
      </c>
      <c r="L1096" s="62" t="str">
        <f aca="false">IF(IsPro,IF($D1096="","",IFERROR(INDEX(Items!$F$5:$F$504,Q1096),0)),"")</f>
        <v/>
      </c>
      <c r="M1096" s="61" t="str">
        <f aca="false">IF(IsPro,IF($D1096="","",IF(AND(R1096&lt;&gt;"",INDEX(Parties!$E$5:$E$304,R1096)&lt;&gt;"",INDEX(Parties!$E$5:$E$304,R1096)&lt;&gt;HomeState),0,ROUND(K1096*L1096/2,2))),"")</f>
        <v/>
      </c>
      <c r="N1096" s="61" t="str">
        <f aca="false">IF(IsPro,IF($D1096="","",M1096),"")</f>
        <v/>
      </c>
      <c r="O1096" s="61" t="str">
        <f aca="false">IF(IsPro,IF($D1096="","",IF(AND(R1096&lt;&gt;"",INDEX(Parties!$E$5:$E$304,R1096)&lt;&gt;"",INDEX(Parties!$E$5:$E$304,R1096)&lt;&gt;HomeState),ROUND(K1096*L1096,2),0)),"")</f>
        <v/>
      </c>
      <c r="P1096" s="61" t="str">
        <f aca="false">IF(IsPro,IF($D1096="","",K1096+M1096+N1096+O1096),"")</f>
        <v/>
      </c>
      <c r="Q1096" s="60" t="str">
        <f aca="false">IF(IsPro,IF($D1096="","",IFERROR(MATCH($D1096,Items!$A$5:$A$504,0),"")),"")</f>
        <v/>
      </c>
      <c r="R1096" s="60" t="str">
        <f aca="false">IF(IsPro,IF($C1096="","",IFERROR(MATCH($C1096,Parties!$A$5:$A$304,0),"")),"")</f>
        <v/>
      </c>
      <c r="S1096" s="61" t="str">
        <f aca="false">IF(IsPro,IF($D1096="","",IF(OR($H1096="",$H1096="Credit"),0,P1096)),"")</f>
        <v/>
      </c>
    </row>
    <row r="1097" customFormat="false" ht="15" hidden="false" customHeight="false" outlineLevel="0" collapsed="false">
      <c r="A1097" s="55"/>
      <c r="B1097" s="56"/>
      <c r="C1097" s="56"/>
      <c r="D1097" s="56"/>
      <c r="E1097" s="57"/>
      <c r="F1097" s="58"/>
      <c r="G1097" s="59"/>
      <c r="H1097" s="56"/>
      <c r="I1097" s="60" t="str">
        <f aca="false">IF(IsPro,IF($D1097="","",IFERROR(INDEX(Items!$D$5:$D$504,Q1097),"")),IF($D1097="","","PRO PLAN"))</f>
        <v/>
      </c>
      <c r="J1097" s="61" t="str">
        <f aca="false">IF(IsPro,IF($D1097="","",IF($F1097="",IFERROR(INDEX(Items!$G$5:$G$504,Q1097),0),$F1097)),"")</f>
        <v/>
      </c>
      <c r="K1097" s="61" t="str">
        <f aca="false">IF(IsPro,IF($D1097="","",ROUND(N($E1097)*J1097*(1-N($G1097)),2)),"")</f>
        <v/>
      </c>
      <c r="L1097" s="62" t="str">
        <f aca="false">IF(IsPro,IF($D1097="","",IFERROR(INDEX(Items!$F$5:$F$504,Q1097),0)),"")</f>
        <v/>
      </c>
      <c r="M1097" s="61" t="str">
        <f aca="false">IF(IsPro,IF($D1097="","",IF(AND(R1097&lt;&gt;"",INDEX(Parties!$E$5:$E$304,R1097)&lt;&gt;"",INDEX(Parties!$E$5:$E$304,R1097)&lt;&gt;HomeState),0,ROUND(K1097*L1097/2,2))),"")</f>
        <v/>
      </c>
      <c r="N1097" s="61" t="str">
        <f aca="false">IF(IsPro,IF($D1097="","",M1097),"")</f>
        <v/>
      </c>
      <c r="O1097" s="61" t="str">
        <f aca="false">IF(IsPro,IF($D1097="","",IF(AND(R1097&lt;&gt;"",INDEX(Parties!$E$5:$E$304,R1097)&lt;&gt;"",INDEX(Parties!$E$5:$E$304,R1097)&lt;&gt;HomeState),ROUND(K1097*L1097,2),0)),"")</f>
        <v/>
      </c>
      <c r="P1097" s="61" t="str">
        <f aca="false">IF(IsPro,IF($D1097="","",K1097+M1097+N1097+O1097),"")</f>
        <v/>
      </c>
      <c r="Q1097" s="60" t="str">
        <f aca="false">IF(IsPro,IF($D1097="","",IFERROR(MATCH($D1097,Items!$A$5:$A$504,0),"")),"")</f>
        <v/>
      </c>
      <c r="R1097" s="60" t="str">
        <f aca="false">IF(IsPro,IF($C1097="","",IFERROR(MATCH($C1097,Parties!$A$5:$A$304,0),"")),"")</f>
        <v/>
      </c>
      <c r="S1097" s="61" t="str">
        <f aca="false">IF(IsPro,IF($D1097="","",IF(OR($H1097="",$H1097="Credit"),0,P1097)),"")</f>
        <v/>
      </c>
    </row>
    <row r="1098" customFormat="false" ht="15" hidden="false" customHeight="false" outlineLevel="0" collapsed="false">
      <c r="A1098" s="55"/>
      <c r="B1098" s="56"/>
      <c r="C1098" s="56"/>
      <c r="D1098" s="56"/>
      <c r="E1098" s="57"/>
      <c r="F1098" s="58"/>
      <c r="G1098" s="59"/>
      <c r="H1098" s="56"/>
      <c r="I1098" s="60" t="str">
        <f aca="false">IF(IsPro,IF($D1098="","",IFERROR(INDEX(Items!$D$5:$D$504,Q1098),"")),IF($D1098="","","PRO PLAN"))</f>
        <v/>
      </c>
      <c r="J1098" s="61" t="str">
        <f aca="false">IF(IsPro,IF($D1098="","",IF($F1098="",IFERROR(INDEX(Items!$G$5:$G$504,Q1098),0),$F1098)),"")</f>
        <v/>
      </c>
      <c r="K1098" s="61" t="str">
        <f aca="false">IF(IsPro,IF($D1098="","",ROUND(N($E1098)*J1098*(1-N($G1098)),2)),"")</f>
        <v/>
      </c>
      <c r="L1098" s="62" t="str">
        <f aca="false">IF(IsPro,IF($D1098="","",IFERROR(INDEX(Items!$F$5:$F$504,Q1098),0)),"")</f>
        <v/>
      </c>
      <c r="M1098" s="61" t="str">
        <f aca="false">IF(IsPro,IF($D1098="","",IF(AND(R1098&lt;&gt;"",INDEX(Parties!$E$5:$E$304,R1098)&lt;&gt;"",INDEX(Parties!$E$5:$E$304,R1098)&lt;&gt;HomeState),0,ROUND(K1098*L1098/2,2))),"")</f>
        <v/>
      </c>
      <c r="N1098" s="61" t="str">
        <f aca="false">IF(IsPro,IF($D1098="","",M1098),"")</f>
        <v/>
      </c>
      <c r="O1098" s="61" t="str">
        <f aca="false">IF(IsPro,IF($D1098="","",IF(AND(R1098&lt;&gt;"",INDEX(Parties!$E$5:$E$304,R1098)&lt;&gt;"",INDEX(Parties!$E$5:$E$304,R1098)&lt;&gt;HomeState),ROUND(K1098*L1098,2),0)),"")</f>
        <v/>
      </c>
      <c r="P1098" s="61" t="str">
        <f aca="false">IF(IsPro,IF($D1098="","",K1098+M1098+N1098+O1098),"")</f>
        <v/>
      </c>
      <c r="Q1098" s="60" t="str">
        <f aca="false">IF(IsPro,IF($D1098="","",IFERROR(MATCH($D1098,Items!$A$5:$A$504,0),"")),"")</f>
        <v/>
      </c>
      <c r="R1098" s="60" t="str">
        <f aca="false">IF(IsPro,IF($C1098="","",IFERROR(MATCH($C1098,Parties!$A$5:$A$304,0),"")),"")</f>
        <v/>
      </c>
      <c r="S1098" s="61" t="str">
        <f aca="false">IF(IsPro,IF($D1098="","",IF(OR($H1098="",$H1098="Credit"),0,P1098)),"")</f>
        <v/>
      </c>
    </row>
    <row r="1099" customFormat="false" ht="15" hidden="false" customHeight="false" outlineLevel="0" collapsed="false">
      <c r="A1099" s="55"/>
      <c r="B1099" s="56"/>
      <c r="C1099" s="56"/>
      <c r="D1099" s="56"/>
      <c r="E1099" s="57"/>
      <c r="F1099" s="58"/>
      <c r="G1099" s="59"/>
      <c r="H1099" s="56"/>
      <c r="I1099" s="60" t="str">
        <f aca="false">IF(IsPro,IF($D1099="","",IFERROR(INDEX(Items!$D$5:$D$504,Q1099),"")),IF($D1099="","","PRO PLAN"))</f>
        <v/>
      </c>
      <c r="J1099" s="61" t="str">
        <f aca="false">IF(IsPro,IF($D1099="","",IF($F1099="",IFERROR(INDEX(Items!$G$5:$G$504,Q1099),0),$F1099)),"")</f>
        <v/>
      </c>
      <c r="K1099" s="61" t="str">
        <f aca="false">IF(IsPro,IF($D1099="","",ROUND(N($E1099)*J1099*(1-N($G1099)),2)),"")</f>
        <v/>
      </c>
      <c r="L1099" s="62" t="str">
        <f aca="false">IF(IsPro,IF($D1099="","",IFERROR(INDEX(Items!$F$5:$F$504,Q1099),0)),"")</f>
        <v/>
      </c>
      <c r="M1099" s="61" t="str">
        <f aca="false">IF(IsPro,IF($D1099="","",IF(AND(R1099&lt;&gt;"",INDEX(Parties!$E$5:$E$304,R1099)&lt;&gt;"",INDEX(Parties!$E$5:$E$304,R1099)&lt;&gt;HomeState),0,ROUND(K1099*L1099/2,2))),"")</f>
        <v/>
      </c>
      <c r="N1099" s="61" t="str">
        <f aca="false">IF(IsPro,IF($D1099="","",M1099),"")</f>
        <v/>
      </c>
      <c r="O1099" s="61" t="str">
        <f aca="false">IF(IsPro,IF($D1099="","",IF(AND(R1099&lt;&gt;"",INDEX(Parties!$E$5:$E$304,R1099)&lt;&gt;"",INDEX(Parties!$E$5:$E$304,R1099)&lt;&gt;HomeState),ROUND(K1099*L1099,2),0)),"")</f>
        <v/>
      </c>
      <c r="P1099" s="61" t="str">
        <f aca="false">IF(IsPro,IF($D1099="","",K1099+M1099+N1099+O1099),"")</f>
        <v/>
      </c>
      <c r="Q1099" s="60" t="str">
        <f aca="false">IF(IsPro,IF($D1099="","",IFERROR(MATCH($D1099,Items!$A$5:$A$504,0),"")),"")</f>
        <v/>
      </c>
      <c r="R1099" s="60" t="str">
        <f aca="false">IF(IsPro,IF($C1099="","",IFERROR(MATCH($C1099,Parties!$A$5:$A$304,0),"")),"")</f>
        <v/>
      </c>
      <c r="S1099" s="61" t="str">
        <f aca="false">IF(IsPro,IF($D1099="","",IF(OR($H1099="",$H1099="Credit"),0,P1099)),"")</f>
        <v/>
      </c>
    </row>
    <row r="1100" customFormat="false" ht="15" hidden="false" customHeight="false" outlineLevel="0" collapsed="false">
      <c r="A1100" s="55"/>
      <c r="B1100" s="56"/>
      <c r="C1100" s="56"/>
      <c r="D1100" s="56"/>
      <c r="E1100" s="57"/>
      <c r="F1100" s="58"/>
      <c r="G1100" s="59"/>
      <c r="H1100" s="56"/>
      <c r="I1100" s="60" t="str">
        <f aca="false">IF(IsPro,IF($D1100="","",IFERROR(INDEX(Items!$D$5:$D$504,Q1100),"")),IF($D1100="","","PRO PLAN"))</f>
        <v/>
      </c>
      <c r="J1100" s="61" t="str">
        <f aca="false">IF(IsPro,IF($D1100="","",IF($F1100="",IFERROR(INDEX(Items!$G$5:$G$504,Q1100),0),$F1100)),"")</f>
        <v/>
      </c>
      <c r="K1100" s="61" t="str">
        <f aca="false">IF(IsPro,IF($D1100="","",ROUND(N($E1100)*J1100*(1-N($G1100)),2)),"")</f>
        <v/>
      </c>
      <c r="L1100" s="62" t="str">
        <f aca="false">IF(IsPro,IF($D1100="","",IFERROR(INDEX(Items!$F$5:$F$504,Q1100),0)),"")</f>
        <v/>
      </c>
      <c r="M1100" s="61" t="str">
        <f aca="false">IF(IsPro,IF($D1100="","",IF(AND(R1100&lt;&gt;"",INDEX(Parties!$E$5:$E$304,R1100)&lt;&gt;"",INDEX(Parties!$E$5:$E$304,R1100)&lt;&gt;HomeState),0,ROUND(K1100*L1100/2,2))),"")</f>
        <v/>
      </c>
      <c r="N1100" s="61" t="str">
        <f aca="false">IF(IsPro,IF($D1100="","",M1100),"")</f>
        <v/>
      </c>
      <c r="O1100" s="61" t="str">
        <f aca="false">IF(IsPro,IF($D1100="","",IF(AND(R1100&lt;&gt;"",INDEX(Parties!$E$5:$E$304,R1100)&lt;&gt;"",INDEX(Parties!$E$5:$E$304,R1100)&lt;&gt;HomeState),ROUND(K1100*L1100,2),0)),"")</f>
        <v/>
      </c>
      <c r="P1100" s="61" t="str">
        <f aca="false">IF(IsPro,IF($D1100="","",K1100+M1100+N1100+O1100),"")</f>
        <v/>
      </c>
      <c r="Q1100" s="60" t="str">
        <f aca="false">IF(IsPro,IF($D1100="","",IFERROR(MATCH($D1100,Items!$A$5:$A$504,0),"")),"")</f>
        <v/>
      </c>
      <c r="R1100" s="60" t="str">
        <f aca="false">IF(IsPro,IF($C1100="","",IFERROR(MATCH($C1100,Parties!$A$5:$A$304,0),"")),"")</f>
        <v/>
      </c>
      <c r="S1100" s="61" t="str">
        <f aca="false">IF(IsPro,IF($D1100="","",IF(OR($H1100="",$H1100="Credit"),0,P1100)),"")</f>
        <v/>
      </c>
    </row>
    <row r="1101" customFormat="false" ht="15" hidden="false" customHeight="false" outlineLevel="0" collapsed="false">
      <c r="A1101" s="55"/>
      <c r="B1101" s="56"/>
      <c r="C1101" s="56"/>
      <c r="D1101" s="56"/>
      <c r="E1101" s="57"/>
      <c r="F1101" s="58"/>
      <c r="G1101" s="59"/>
      <c r="H1101" s="56"/>
      <c r="I1101" s="60" t="str">
        <f aca="false">IF(IsPro,IF($D1101="","",IFERROR(INDEX(Items!$D$5:$D$504,Q1101),"")),IF($D1101="","","PRO PLAN"))</f>
        <v/>
      </c>
      <c r="J1101" s="61" t="str">
        <f aca="false">IF(IsPro,IF($D1101="","",IF($F1101="",IFERROR(INDEX(Items!$G$5:$G$504,Q1101),0),$F1101)),"")</f>
        <v/>
      </c>
      <c r="K1101" s="61" t="str">
        <f aca="false">IF(IsPro,IF($D1101="","",ROUND(N($E1101)*J1101*(1-N($G1101)),2)),"")</f>
        <v/>
      </c>
      <c r="L1101" s="62" t="str">
        <f aca="false">IF(IsPro,IF($D1101="","",IFERROR(INDEX(Items!$F$5:$F$504,Q1101),0)),"")</f>
        <v/>
      </c>
      <c r="M1101" s="61" t="str">
        <f aca="false">IF(IsPro,IF($D1101="","",IF(AND(R1101&lt;&gt;"",INDEX(Parties!$E$5:$E$304,R1101)&lt;&gt;"",INDEX(Parties!$E$5:$E$304,R1101)&lt;&gt;HomeState),0,ROUND(K1101*L1101/2,2))),"")</f>
        <v/>
      </c>
      <c r="N1101" s="61" t="str">
        <f aca="false">IF(IsPro,IF($D1101="","",M1101),"")</f>
        <v/>
      </c>
      <c r="O1101" s="61" t="str">
        <f aca="false">IF(IsPro,IF($D1101="","",IF(AND(R1101&lt;&gt;"",INDEX(Parties!$E$5:$E$304,R1101)&lt;&gt;"",INDEX(Parties!$E$5:$E$304,R1101)&lt;&gt;HomeState),ROUND(K1101*L1101,2),0)),"")</f>
        <v/>
      </c>
      <c r="P1101" s="61" t="str">
        <f aca="false">IF(IsPro,IF($D1101="","",K1101+M1101+N1101+O1101),"")</f>
        <v/>
      </c>
      <c r="Q1101" s="60" t="str">
        <f aca="false">IF(IsPro,IF($D1101="","",IFERROR(MATCH($D1101,Items!$A$5:$A$504,0),"")),"")</f>
        <v/>
      </c>
      <c r="R1101" s="60" t="str">
        <f aca="false">IF(IsPro,IF($C1101="","",IFERROR(MATCH($C1101,Parties!$A$5:$A$304,0),"")),"")</f>
        <v/>
      </c>
      <c r="S1101" s="61" t="str">
        <f aca="false">IF(IsPro,IF($D1101="","",IF(OR($H1101="",$H1101="Credit"),0,P1101)),"")</f>
        <v/>
      </c>
    </row>
    <row r="1102" customFormat="false" ht="15" hidden="false" customHeight="false" outlineLevel="0" collapsed="false">
      <c r="A1102" s="55"/>
      <c r="B1102" s="56"/>
      <c r="C1102" s="56"/>
      <c r="D1102" s="56"/>
      <c r="E1102" s="57"/>
      <c r="F1102" s="58"/>
      <c r="G1102" s="59"/>
      <c r="H1102" s="56"/>
      <c r="I1102" s="60" t="str">
        <f aca="false">IF(IsPro,IF($D1102="","",IFERROR(INDEX(Items!$D$5:$D$504,Q1102),"")),IF($D1102="","","PRO PLAN"))</f>
        <v/>
      </c>
      <c r="J1102" s="61" t="str">
        <f aca="false">IF(IsPro,IF($D1102="","",IF($F1102="",IFERROR(INDEX(Items!$G$5:$G$504,Q1102),0),$F1102)),"")</f>
        <v/>
      </c>
      <c r="K1102" s="61" t="str">
        <f aca="false">IF(IsPro,IF($D1102="","",ROUND(N($E1102)*J1102*(1-N($G1102)),2)),"")</f>
        <v/>
      </c>
      <c r="L1102" s="62" t="str">
        <f aca="false">IF(IsPro,IF($D1102="","",IFERROR(INDEX(Items!$F$5:$F$504,Q1102),0)),"")</f>
        <v/>
      </c>
      <c r="M1102" s="61" t="str">
        <f aca="false">IF(IsPro,IF($D1102="","",IF(AND(R1102&lt;&gt;"",INDEX(Parties!$E$5:$E$304,R1102)&lt;&gt;"",INDEX(Parties!$E$5:$E$304,R1102)&lt;&gt;HomeState),0,ROUND(K1102*L1102/2,2))),"")</f>
        <v/>
      </c>
      <c r="N1102" s="61" t="str">
        <f aca="false">IF(IsPro,IF($D1102="","",M1102),"")</f>
        <v/>
      </c>
      <c r="O1102" s="61" t="str">
        <f aca="false">IF(IsPro,IF($D1102="","",IF(AND(R1102&lt;&gt;"",INDEX(Parties!$E$5:$E$304,R1102)&lt;&gt;"",INDEX(Parties!$E$5:$E$304,R1102)&lt;&gt;HomeState),ROUND(K1102*L1102,2),0)),"")</f>
        <v/>
      </c>
      <c r="P1102" s="61" t="str">
        <f aca="false">IF(IsPro,IF($D1102="","",K1102+M1102+N1102+O1102),"")</f>
        <v/>
      </c>
      <c r="Q1102" s="60" t="str">
        <f aca="false">IF(IsPro,IF($D1102="","",IFERROR(MATCH($D1102,Items!$A$5:$A$504,0),"")),"")</f>
        <v/>
      </c>
      <c r="R1102" s="60" t="str">
        <f aca="false">IF(IsPro,IF($C1102="","",IFERROR(MATCH($C1102,Parties!$A$5:$A$304,0),"")),"")</f>
        <v/>
      </c>
      <c r="S1102" s="61" t="str">
        <f aca="false">IF(IsPro,IF($D1102="","",IF(OR($H1102="",$H1102="Credit"),0,P1102)),"")</f>
        <v/>
      </c>
    </row>
    <row r="1103" customFormat="false" ht="15" hidden="false" customHeight="false" outlineLevel="0" collapsed="false">
      <c r="A1103" s="55"/>
      <c r="B1103" s="56"/>
      <c r="C1103" s="56"/>
      <c r="D1103" s="56"/>
      <c r="E1103" s="57"/>
      <c r="F1103" s="58"/>
      <c r="G1103" s="59"/>
      <c r="H1103" s="56"/>
      <c r="I1103" s="60" t="str">
        <f aca="false">IF(IsPro,IF($D1103="","",IFERROR(INDEX(Items!$D$5:$D$504,Q1103),"")),IF($D1103="","","PRO PLAN"))</f>
        <v/>
      </c>
      <c r="J1103" s="61" t="str">
        <f aca="false">IF(IsPro,IF($D1103="","",IF($F1103="",IFERROR(INDEX(Items!$G$5:$G$504,Q1103),0),$F1103)),"")</f>
        <v/>
      </c>
      <c r="K1103" s="61" t="str">
        <f aca="false">IF(IsPro,IF($D1103="","",ROUND(N($E1103)*J1103*(1-N($G1103)),2)),"")</f>
        <v/>
      </c>
      <c r="L1103" s="62" t="str">
        <f aca="false">IF(IsPro,IF($D1103="","",IFERROR(INDEX(Items!$F$5:$F$504,Q1103),0)),"")</f>
        <v/>
      </c>
      <c r="M1103" s="61" t="str">
        <f aca="false">IF(IsPro,IF($D1103="","",IF(AND(R1103&lt;&gt;"",INDEX(Parties!$E$5:$E$304,R1103)&lt;&gt;"",INDEX(Parties!$E$5:$E$304,R1103)&lt;&gt;HomeState),0,ROUND(K1103*L1103/2,2))),"")</f>
        <v/>
      </c>
      <c r="N1103" s="61" t="str">
        <f aca="false">IF(IsPro,IF($D1103="","",M1103),"")</f>
        <v/>
      </c>
      <c r="O1103" s="61" t="str">
        <f aca="false">IF(IsPro,IF($D1103="","",IF(AND(R1103&lt;&gt;"",INDEX(Parties!$E$5:$E$304,R1103)&lt;&gt;"",INDEX(Parties!$E$5:$E$304,R1103)&lt;&gt;HomeState),ROUND(K1103*L1103,2),0)),"")</f>
        <v/>
      </c>
      <c r="P1103" s="61" t="str">
        <f aca="false">IF(IsPro,IF($D1103="","",K1103+M1103+N1103+O1103),"")</f>
        <v/>
      </c>
      <c r="Q1103" s="60" t="str">
        <f aca="false">IF(IsPro,IF($D1103="","",IFERROR(MATCH($D1103,Items!$A$5:$A$504,0),"")),"")</f>
        <v/>
      </c>
      <c r="R1103" s="60" t="str">
        <f aca="false">IF(IsPro,IF($C1103="","",IFERROR(MATCH($C1103,Parties!$A$5:$A$304,0),"")),"")</f>
        <v/>
      </c>
      <c r="S1103" s="61" t="str">
        <f aca="false">IF(IsPro,IF($D1103="","",IF(OR($H1103="",$H1103="Credit"),0,P1103)),"")</f>
        <v/>
      </c>
    </row>
    <row r="1104" customFormat="false" ht="15" hidden="false" customHeight="false" outlineLevel="0" collapsed="false">
      <c r="A1104" s="55"/>
      <c r="B1104" s="56"/>
      <c r="C1104" s="56"/>
      <c r="D1104" s="56"/>
      <c r="E1104" s="57"/>
      <c r="F1104" s="58"/>
      <c r="G1104" s="59"/>
      <c r="H1104" s="56"/>
      <c r="I1104" s="60" t="str">
        <f aca="false">IF(IsPro,IF($D1104="","",IFERROR(INDEX(Items!$D$5:$D$504,Q1104),"")),IF($D1104="","","PRO PLAN"))</f>
        <v/>
      </c>
      <c r="J1104" s="61" t="str">
        <f aca="false">IF(IsPro,IF($D1104="","",IF($F1104="",IFERROR(INDEX(Items!$G$5:$G$504,Q1104),0),$F1104)),"")</f>
        <v/>
      </c>
      <c r="K1104" s="61" t="str">
        <f aca="false">IF(IsPro,IF($D1104="","",ROUND(N($E1104)*J1104*(1-N($G1104)),2)),"")</f>
        <v/>
      </c>
      <c r="L1104" s="62" t="str">
        <f aca="false">IF(IsPro,IF($D1104="","",IFERROR(INDEX(Items!$F$5:$F$504,Q1104),0)),"")</f>
        <v/>
      </c>
      <c r="M1104" s="61" t="str">
        <f aca="false">IF(IsPro,IF($D1104="","",IF(AND(R1104&lt;&gt;"",INDEX(Parties!$E$5:$E$304,R1104)&lt;&gt;"",INDEX(Parties!$E$5:$E$304,R1104)&lt;&gt;HomeState),0,ROUND(K1104*L1104/2,2))),"")</f>
        <v/>
      </c>
      <c r="N1104" s="61" t="str">
        <f aca="false">IF(IsPro,IF($D1104="","",M1104),"")</f>
        <v/>
      </c>
      <c r="O1104" s="61" t="str">
        <f aca="false">IF(IsPro,IF($D1104="","",IF(AND(R1104&lt;&gt;"",INDEX(Parties!$E$5:$E$304,R1104)&lt;&gt;"",INDEX(Parties!$E$5:$E$304,R1104)&lt;&gt;HomeState),ROUND(K1104*L1104,2),0)),"")</f>
        <v/>
      </c>
      <c r="P1104" s="61" t="str">
        <f aca="false">IF(IsPro,IF($D1104="","",K1104+M1104+N1104+O1104),"")</f>
        <v/>
      </c>
      <c r="Q1104" s="60" t="str">
        <f aca="false">IF(IsPro,IF($D1104="","",IFERROR(MATCH($D1104,Items!$A$5:$A$504,0),"")),"")</f>
        <v/>
      </c>
      <c r="R1104" s="60" t="str">
        <f aca="false">IF(IsPro,IF($C1104="","",IFERROR(MATCH($C1104,Parties!$A$5:$A$304,0),"")),"")</f>
        <v/>
      </c>
      <c r="S1104" s="61" t="str">
        <f aca="false">IF(IsPro,IF($D1104="","",IF(OR($H1104="",$H1104="Credit"),0,P1104)),"")</f>
        <v/>
      </c>
    </row>
    <row r="1105" customFormat="false" ht="15" hidden="false" customHeight="false" outlineLevel="0" collapsed="false">
      <c r="A1105" s="55"/>
      <c r="B1105" s="56"/>
      <c r="C1105" s="56"/>
      <c r="D1105" s="56"/>
      <c r="E1105" s="57"/>
      <c r="F1105" s="58"/>
      <c r="G1105" s="59"/>
      <c r="H1105" s="56"/>
      <c r="I1105" s="60" t="str">
        <f aca="false">IF(IsPro,IF($D1105="","",IFERROR(INDEX(Items!$D$5:$D$504,Q1105),"")),IF($D1105="","","PRO PLAN"))</f>
        <v/>
      </c>
      <c r="J1105" s="61" t="str">
        <f aca="false">IF(IsPro,IF($D1105="","",IF($F1105="",IFERROR(INDEX(Items!$G$5:$G$504,Q1105),0),$F1105)),"")</f>
        <v/>
      </c>
      <c r="K1105" s="61" t="str">
        <f aca="false">IF(IsPro,IF($D1105="","",ROUND(N($E1105)*J1105*(1-N($G1105)),2)),"")</f>
        <v/>
      </c>
      <c r="L1105" s="62" t="str">
        <f aca="false">IF(IsPro,IF($D1105="","",IFERROR(INDEX(Items!$F$5:$F$504,Q1105),0)),"")</f>
        <v/>
      </c>
      <c r="M1105" s="61" t="str">
        <f aca="false">IF(IsPro,IF($D1105="","",IF(AND(R1105&lt;&gt;"",INDEX(Parties!$E$5:$E$304,R1105)&lt;&gt;"",INDEX(Parties!$E$5:$E$304,R1105)&lt;&gt;HomeState),0,ROUND(K1105*L1105/2,2))),"")</f>
        <v/>
      </c>
      <c r="N1105" s="61" t="str">
        <f aca="false">IF(IsPro,IF($D1105="","",M1105),"")</f>
        <v/>
      </c>
      <c r="O1105" s="61" t="str">
        <f aca="false">IF(IsPro,IF($D1105="","",IF(AND(R1105&lt;&gt;"",INDEX(Parties!$E$5:$E$304,R1105)&lt;&gt;"",INDEX(Parties!$E$5:$E$304,R1105)&lt;&gt;HomeState),ROUND(K1105*L1105,2),0)),"")</f>
        <v/>
      </c>
      <c r="P1105" s="61" t="str">
        <f aca="false">IF(IsPro,IF($D1105="","",K1105+M1105+N1105+O1105),"")</f>
        <v/>
      </c>
      <c r="Q1105" s="60" t="str">
        <f aca="false">IF(IsPro,IF($D1105="","",IFERROR(MATCH($D1105,Items!$A$5:$A$504,0),"")),"")</f>
        <v/>
      </c>
      <c r="R1105" s="60" t="str">
        <f aca="false">IF(IsPro,IF($C1105="","",IFERROR(MATCH($C1105,Parties!$A$5:$A$304,0),"")),"")</f>
        <v/>
      </c>
      <c r="S1105" s="61" t="str">
        <f aca="false">IF(IsPro,IF($D1105="","",IF(OR($H1105="",$H1105="Credit"),0,P1105)),"")</f>
        <v/>
      </c>
    </row>
    <row r="1106" customFormat="false" ht="15" hidden="false" customHeight="false" outlineLevel="0" collapsed="false">
      <c r="A1106" s="55"/>
      <c r="B1106" s="56"/>
      <c r="C1106" s="56"/>
      <c r="D1106" s="56"/>
      <c r="E1106" s="57"/>
      <c r="F1106" s="58"/>
      <c r="G1106" s="59"/>
      <c r="H1106" s="56"/>
      <c r="I1106" s="60" t="str">
        <f aca="false">IF(IsPro,IF($D1106="","",IFERROR(INDEX(Items!$D$5:$D$504,Q1106),"")),IF($D1106="","","PRO PLAN"))</f>
        <v/>
      </c>
      <c r="J1106" s="61" t="str">
        <f aca="false">IF(IsPro,IF($D1106="","",IF($F1106="",IFERROR(INDEX(Items!$G$5:$G$504,Q1106),0),$F1106)),"")</f>
        <v/>
      </c>
      <c r="K1106" s="61" t="str">
        <f aca="false">IF(IsPro,IF($D1106="","",ROUND(N($E1106)*J1106*(1-N($G1106)),2)),"")</f>
        <v/>
      </c>
      <c r="L1106" s="62" t="str">
        <f aca="false">IF(IsPro,IF($D1106="","",IFERROR(INDEX(Items!$F$5:$F$504,Q1106),0)),"")</f>
        <v/>
      </c>
      <c r="M1106" s="61" t="str">
        <f aca="false">IF(IsPro,IF($D1106="","",IF(AND(R1106&lt;&gt;"",INDEX(Parties!$E$5:$E$304,R1106)&lt;&gt;"",INDEX(Parties!$E$5:$E$304,R1106)&lt;&gt;HomeState),0,ROUND(K1106*L1106/2,2))),"")</f>
        <v/>
      </c>
      <c r="N1106" s="61" t="str">
        <f aca="false">IF(IsPro,IF($D1106="","",M1106),"")</f>
        <v/>
      </c>
      <c r="O1106" s="61" t="str">
        <f aca="false">IF(IsPro,IF($D1106="","",IF(AND(R1106&lt;&gt;"",INDEX(Parties!$E$5:$E$304,R1106)&lt;&gt;"",INDEX(Parties!$E$5:$E$304,R1106)&lt;&gt;HomeState),ROUND(K1106*L1106,2),0)),"")</f>
        <v/>
      </c>
      <c r="P1106" s="61" t="str">
        <f aca="false">IF(IsPro,IF($D1106="","",K1106+M1106+N1106+O1106),"")</f>
        <v/>
      </c>
      <c r="Q1106" s="60" t="str">
        <f aca="false">IF(IsPro,IF($D1106="","",IFERROR(MATCH($D1106,Items!$A$5:$A$504,0),"")),"")</f>
        <v/>
      </c>
      <c r="R1106" s="60" t="str">
        <f aca="false">IF(IsPro,IF($C1106="","",IFERROR(MATCH($C1106,Parties!$A$5:$A$304,0),"")),"")</f>
        <v/>
      </c>
      <c r="S1106" s="61" t="str">
        <f aca="false">IF(IsPro,IF($D1106="","",IF(OR($H1106="",$H1106="Credit"),0,P1106)),"")</f>
        <v/>
      </c>
    </row>
    <row r="1107" customFormat="false" ht="15" hidden="false" customHeight="false" outlineLevel="0" collapsed="false">
      <c r="A1107" s="55"/>
      <c r="B1107" s="56"/>
      <c r="C1107" s="56"/>
      <c r="D1107" s="56"/>
      <c r="E1107" s="57"/>
      <c r="F1107" s="58"/>
      <c r="G1107" s="59"/>
      <c r="H1107" s="56"/>
      <c r="I1107" s="60" t="str">
        <f aca="false">IF(IsPro,IF($D1107="","",IFERROR(INDEX(Items!$D$5:$D$504,Q1107),"")),IF($D1107="","","PRO PLAN"))</f>
        <v/>
      </c>
      <c r="J1107" s="61" t="str">
        <f aca="false">IF(IsPro,IF($D1107="","",IF($F1107="",IFERROR(INDEX(Items!$G$5:$G$504,Q1107),0),$F1107)),"")</f>
        <v/>
      </c>
      <c r="K1107" s="61" t="str">
        <f aca="false">IF(IsPro,IF($D1107="","",ROUND(N($E1107)*J1107*(1-N($G1107)),2)),"")</f>
        <v/>
      </c>
      <c r="L1107" s="62" t="str">
        <f aca="false">IF(IsPro,IF($D1107="","",IFERROR(INDEX(Items!$F$5:$F$504,Q1107),0)),"")</f>
        <v/>
      </c>
      <c r="M1107" s="61" t="str">
        <f aca="false">IF(IsPro,IF($D1107="","",IF(AND(R1107&lt;&gt;"",INDEX(Parties!$E$5:$E$304,R1107)&lt;&gt;"",INDEX(Parties!$E$5:$E$304,R1107)&lt;&gt;HomeState),0,ROUND(K1107*L1107/2,2))),"")</f>
        <v/>
      </c>
      <c r="N1107" s="61" t="str">
        <f aca="false">IF(IsPro,IF($D1107="","",M1107),"")</f>
        <v/>
      </c>
      <c r="O1107" s="61" t="str">
        <f aca="false">IF(IsPro,IF($D1107="","",IF(AND(R1107&lt;&gt;"",INDEX(Parties!$E$5:$E$304,R1107)&lt;&gt;"",INDEX(Parties!$E$5:$E$304,R1107)&lt;&gt;HomeState),ROUND(K1107*L1107,2),0)),"")</f>
        <v/>
      </c>
      <c r="P1107" s="61" t="str">
        <f aca="false">IF(IsPro,IF($D1107="","",K1107+M1107+N1107+O1107),"")</f>
        <v/>
      </c>
      <c r="Q1107" s="60" t="str">
        <f aca="false">IF(IsPro,IF($D1107="","",IFERROR(MATCH($D1107,Items!$A$5:$A$504,0),"")),"")</f>
        <v/>
      </c>
      <c r="R1107" s="60" t="str">
        <f aca="false">IF(IsPro,IF($C1107="","",IFERROR(MATCH($C1107,Parties!$A$5:$A$304,0),"")),"")</f>
        <v/>
      </c>
      <c r="S1107" s="61" t="str">
        <f aca="false">IF(IsPro,IF($D1107="","",IF(OR($H1107="",$H1107="Credit"),0,P1107)),"")</f>
        <v/>
      </c>
    </row>
    <row r="1108" customFormat="false" ht="15" hidden="false" customHeight="false" outlineLevel="0" collapsed="false">
      <c r="A1108" s="55"/>
      <c r="B1108" s="56"/>
      <c r="C1108" s="56"/>
      <c r="D1108" s="56"/>
      <c r="E1108" s="57"/>
      <c r="F1108" s="58"/>
      <c r="G1108" s="59"/>
      <c r="H1108" s="56"/>
      <c r="I1108" s="60" t="str">
        <f aca="false">IF(IsPro,IF($D1108="","",IFERROR(INDEX(Items!$D$5:$D$504,Q1108),"")),IF($D1108="","","PRO PLAN"))</f>
        <v/>
      </c>
      <c r="J1108" s="61" t="str">
        <f aca="false">IF(IsPro,IF($D1108="","",IF($F1108="",IFERROR(INDEX(Items!$G$5:$G$504,Q1108),0),$F1108)),"")</f>
        <v/>
      </c>
      <c r="K1108" s="61" t="str">
        <f aca="false">IF(IsPro,IF($D1108="","",ROUND(N($E1108)*J1108*(1-N($G1108)),2)),"")</f>
        <v/>
      </c>
      <c r="L1108" s="62" t="str">
        <f aca="false">IF(IsPro,IF($D1108="","",IFERROR(INDEX(Items!$F$5:$F$504,Q1108),0)),"")</f>
        <v/>
      </c>
      <c r="M1108" s="61" t="str">
        <f aca="false">IF(IsPro,IF($D1108="","",IF(AND(R1108&lt;&gt;"",INDEX(Parties!$E$5:$E$304,R1108)&lt;&gt;"",INDEX(Parties!$E$5:$E$304,R1108)&lt;&gt;HomeState),0,ROUND(K1108*L1108/2,2))),"")</f>
        <v/>
      </c>
      <c r="N1108" s="61" t="str">
        <f aca="false">IF(IsPro,IF($D1108="","",M1108),"")</f>
        <v/>
      </c>
      <c r="O1108" s="61" t="str">
        <f aca="false">IF(IsPro,IF($D1108="","",IF(AND(R1108&lt;&gt;"",INDEX(Parties!$E$5:$E$304,R1108)&lt;&gt;"",INDEX(Parties!$E$5:$E$304,R1108)&lt;&gt;HomeState),ROUND(K1108*L1108,2),0)),"")</f>
        <v/>
      </c>
      <c r="P1108" s="61" t="str">
        <f aca="false">IF(IsPro,IF($D1108="","",K1108+M1108+N1108+O1108),"")</f>
        <v/>
      </c>
      <c r="Q1108" s="60" t="str">
        <f aca="false">IF(IsPro,IF($D1108="","",IFERROR(MATCH($D1108,Items!$A$5:$A$504,0),"")),"")</f>
        <v/>
      </c>
      <c r="R1108" s="60" t="str">
        <f aca="false">IF(IsPro,IF($C1108="","",IFERROR(MATCH($C1108,Parties!$A$5:$A$304,0),"")),"")</f>
        <v/>
      </c>
      <c r="S1108" s="61" t="str">
        <f aca="false">IF(IsPro,IF($D1108="","",IF(OR($H1108="",$H1108="Credit"),0,P1108)),"")</f>
        <v/>
      </c>
    </row>
    <row r="1109" customFormat="false" ht="15" hidden="false" customHeight="false" outlineLevel="0" collapsed="false">
      <c r="A1109" s="55"/>
      <c r="B1109" s="56"/>
      <c r="C1109" s="56"/>
      <c r="D1109" s="56"/>
      <c r="E1109" s="57"/>
      <c r="F1109" s="58"/>
      <c r="G1109" s="59"/>
      <c r="H1109" s="56"/>
      <c r="I1109" s="60" t="str">
        <f aca="false">IF(IsPro,IF($D1109="","",IFERROR(INDEX(Items!$D$5:$D$504,Q1109),"")),IF($D1109="","","PRO PLAN"))</f>
        <v/>
      </c>
      <c r="J1109" s="61" t="str">
        <f aca="false">IF(IsPro,IF($D1109="","",IF($F1109="",IFERROR(INDEX(Items!$G$5:$G$504,Q1109),0),$F1109)),"")</f>
        <v/>
      </c>
      <c r="K1109" s="61" t="str">
        <f aca="false">IF(IsPro,IF($D1109="","",ROUND(N($E1109)*J1109*(1-N($G1109)),2)),"")</f>
        <v/>
      </c>
      <c r="L1109" s="62" t="str">
        <f aca="false">IF(IsPro,IF($D1109="","",IFERROR(INDEX(Items!$F$5:$F$504,Q1109),0)),"")</f>
        <v/>
      </c>
      <c r="M1109" s="61" t="str">
        <f aca="false">IF(IsPro,IF($D1109="","",IF(AND(R1109&lt;&gt;"",INDEX(Parties!$E$5:$E$304,R1109)&lt;&gt;"",INDEX(Parties!$E$5:$E$304,R1109)&lt;&gt;HomeState),0,ROUND(K1109*L1109/2,2))),"")</f>
        <v/>
      </c>
      <c r="N1109" s="61" t="str">
        <f aca="false">IF(IsPro,IF($D1109="","",M1109),"")</f>
        <v/>
      </c>
      <c r="O1109" s="61" t="str">
        <f aca="false">IF(IsPro,IF($D1109="","",IF(AND(R1109&lt;&gt;"",INDEX(Parties!$E$5:$E$304,R1109)&lt;&gt;"",INDEX(Parties!$E$5:$E$304,R1109)&lt;&gt;HomeState),ROUND(K1109*L1109,2),0)),"")</f>
        <v/>
      </c>
      <c r="P1109" s="61" t="str">
        <f aca="false">IF(IsPro,IF($D1109="","",K1109+M1109+N1109+O1109),"")</f>
        <v/>
      </c>
      <c r="Q1109" s="60" t="str">
        <f aca="false">IF(IsPro,IF($D1109="","",IFERROR(MATCH($D1109,Items!$A$5:$A$504,0),"")),"")</f>
        <v/>
      </c>
      <c r="R1109" s="60" t="str">
        <f aca="false">IF(IsPro,IF($C1109="","",IFERROR(MATCH($C1109,Parties!$A$5:$A$304,0),"")),"")</f>
        <v/>
      </c>
      <c r="S1109" s="61" t="str">
        <f aca="false">IF(IsPro,IF($D1109="","",IF(OR($H1109="",$H1109="Credit"),0,P1109)),"")</f>
        <v/>
      </c>
    </row>
    <row r="1110" customFormat="false" ht="15" hidden="false" customHeight="false" outlineLevel="0" collapsed="false">
      <c r="A1110" s="55"/>
      <c r="B1110" s="56"/>
      <c r="C1110" s="56"/>
      <c r="D1110" s="56"/>
      <c r="E1110" s="57"/>
      <c r="F1110" s="58"/>
      <c r="G1110" s="59"/>
      <c r="H1110" s="56"/>
      <c r="I1110" s="60" t="str">
        <f aca="false">IF(IsPro,IF($D1110="","",IFERROR(INDEX(Items!$D$5:$D$504,Q1110),"")),IF($D1110="","","PRO PLAN"))</f>
        <v/>
      </c>
      <c r="J1110" s="61" t="str">
        <f aca="false">IF(IsPro,IF($D1110="","",IF($F1110="",IFERROR(INDEX(Items!$G$5:$G$504,Q1110),0),$F1110)),"")</f>
        <v/>
      </c>
      <c r="K1110" s="61" t="str">
        <f aca="false">IF(IsPro,IF($D1110="","",ROUND(N($E1110)*J1110*(1-N($G1110)),2)),"")</f>
        <v/>
      </c>
      <c r="L1110" s="62" t="str">
        <f aca="false">IF(IsPro,IF($D1110="","",IFERROR(INDEX(Items!$F$5:$F$504,Q1110),0)),"")</f>
        <v/>
      </c>
      <c r="M1110" s="61" t="str">
        <f aca="false">IF(IsPro,IF($D1110="","",IF(AND(R1110&lt;&gt;"",INDEX(Parties!$E$5:$E$304,R1110)&lt;&gt;"",INDEX(Parties!$E$5:$E$304,R1110)&lt;&gt;HomeState),0,ROUND(K1110*L1110/2,2))),"")</f>
        <v/>
      </c>
      <c r="N1110" s="61" t="str">
        <f aca="false">IF(IsPro,IF($D1110="","",M1110),"")</f>
        <v/>
      </c>
      <c r="O1110" s="61" t="str">
        <f aca="false">IF(IsPro,IF($D1110="","",IF(AND(R1110&lt;&gt;"",INDEX(Parties!$E$5:$E$304,R1110)&lt;&gt;"",INDEX(Parties!$E$5:$E$304,R1110)&lt;&gt;HomeState),ROUND(K1110*L1110,2),0)),"")</f>
        <v/>
      </c>
      <c r="P1110" s="61" t="str">
        <f aca="false">IF(IsPro,IF($D1110="","",K1110+M1110+N1110+O1110),"")</f>
        <v/>
      </c>
      <c r="Q1110" s="60" t="str">
        <f aca="false">IF(IsPro,IF($D1110="","",IFERROR(MATCH($D1110,Items!$A$5:$A$504,0),"")),"")</f>
        <v/>
      </c>
      <c r="R1110" s="60" t="str">
        <f aca="false">IF(IsPro,IF($C1110="","",IFERROR(MATCH($C1110,Parties!$A$5:$A$304,0),"")),"")</f>
        <v/>
      </c>
      <c r="S1110" s="61" t="str">
        <f aca="false">IF(IsPro,IF($D1110="","",IF(OR($H1110="",$H1110="Credit"),0,P1110)),"")</f>
        <v/>
      </c>
    </row>
    <row r="1111" customFormat="false" ht="15" hidden="false" customHeight="false" outlineLevel="0" collapsed="false">
      <c r="A1111" s="55"/>
      <c r="B1111" s="56"/>
      <c r="C1111" s="56"/>
      <c r="D1111" s="56"/>
      <c r="E1111" s="57"/>
      <c r="F1111" s="58"/>
      <c r="G1111" s="59"/>
      <c r="H1111" s="56"/>
      <c r="I1111" s="60" t="str">
        <f aca="false">IF(IsPro,IF($D1111="","",IFERROR(INDEX(Items!$D$5:$D$504,Q1111),"")),IF($D1111="","","PRO PLAN"))</f>
        <v/>
      </c>
      <c r="J1111" s="61" t="str">
        <f aca="false">IF(IsPro,IF($D1111="","",IF($F1111="",IFERROR(INDEX(Items!$G$5:$G$504,Q1111),0),$F1111)),"")</f>
        <v/>
      </c>
      <c r="K1111" s="61" t="str">
        <f aca="false">IF(IsPro,IF($D1111="","",ROUND(N($E1111)*J1111*(1-N($G1111)),2)),"")</f>
        <v/>
      </c>
      <c r="L1111" s="62" t="str">
        <f aca="false">IF(IsPro,IF($D1111="","",IFERROR(INDEX(Items!$F$5:$F$504,Q1111),0)),"")</f>
        <v/>
      </c>
      <c r="M1111" s="61" t="str">
        <f aca="false">IF(IsPro,IF($D1111="","",IF(AND(R1111&lt;&gt;"",INDEX(Parties!$E$5:$E$304,R1111)&lt;&gt;"",INDEX(Parties!$E$5:$E$304,R1111)&lt;&gt;HomeState),0,ROUND(K1111*L1111/2,2))),"")</f>
        <v/>
      </c>
      <c r="N1111" s="61" t="str">
        <f aca="false">IF(IsPro,IF($D1111="","",M1111),"")</f>
        <v/>
      </c>
      <c r="O1111" s="61" t="str">
        <f aca="false">IF(IsPro,IF($D1111="","",IF(AND(R1111&lt;&gt;"",INDEX(Parties!$E$5:$E$304,R1111)&lt;&gt;"",INDEX(Parties!$E$5:$E$304,R1111)&lt;&gt;HomeState),ROUND(K1111*L1111,2),0)),"")</f>
        <v/>
      </c>
      <c r="P1111" s="61" t="str">
        <f aca="false">IF(IsPro,IF($D1111="","",K1111+M1111+N1111+O1111),"")</f>
        <v/>
      </c>
      <c r="Q1111" s="60" t="str">
        <f aca="false">IF(IsPro,IF($D1111="","",IFERROR(MATCH($D1111,Items!$A$5:$A$504,0),"")),"")</f>
        <v/>
      </c>
      <c r="R1111" s="60" t="str">
        <f aca="false">IF(IsPro,IF($C1111="","",IFERROR(MATCH($C1111,Parties!$A$5:$A$304,0),"")),"")</f>
        <v/>
      </c>
      <c r="S1111" s="61" t="str">
        <f aca="false">IF(IsPro,IF($D1111="","",IF(OR($H1111="",$H1111="Credit"),0,P1111)),"")</f>
        <v/>
      </c>
    </row>
    <row r="1112" customFormat="false" ht="15" hidden="false" customHeight="false" outlineLevel="0" collapsed="false">
      <c r="A1112" s="55"/>
      <c r="B1112" s="56"/>
      <c r="C1112" s="56"/>
      <c r="D1112" s="56"/>
      <c r="E1112" s="57"/>
      <c r="F1112" s="58"/>
      <c r="G1112" s="59"/>
      <c r="H1112" s="56"/>
      <c r="I1112" s="60" t="str">
        <f aca="false">IF(IsPro,IF($D1112="","",IFERROR(INDEX(Items!$D$5:$D$504,Q1112),"")),IF($D1112="","","PRO PLAN"))</f>
        <v/>
      </c>
      <c r="J1112" s="61" t="str">
        <f aca="false">IF(IsPro,IF($D1112="","",IF($F1112="",IFERROR(INDEX(Items!$G$5:$G$504,Q1112),0),$F1112)),"")</f>
        <v/>
      </c>
      <c r="K1112" s="61" t="str">
        <f aca="false">IF(IsPro,IF($D1112="","",ROUND(N($E1112)*J1112*(1-N($G1112)),2)),"")</f>
        <v/>
      </c>
      <c r="L1112" s="62" t="str">
        <f aca="false">IF(IsPro,IF($D1112="","",IFERROR(INDEX(Items!$F$5:$F$504,Q1112),0)),"")</f>
        <v/>
      </c>
      <c r="M1112" s="61" t="str">
        <f aca="false">IF(IsPro,IF($D1112="","",IF(AND(R1112&lt;&gt;"",INDEX(Parties!$E$5:$E$304,R1112)&lt;&gt;"",INDEX(Parties!$E$5:$E$304,R1112)&lt;&gt;HomeState),0,ROUND(K1112*L1112/2,2))),"")</f>
        <v/>
      </c>
      <c r="N1112" s="61" t="str">
        <f aca="false">IF(IsPro,IF($D1112="","",M1112),"")</f>
        <v/>
      </c>
      <c r="O1112" s="61" t="str">
        <f aca="false">IF(IsPro,IF($D1112="","",IF(AND(R1112&lt;&gt;"",INDEX(Parties!$E$5:$E$304,R1112)&lt;&gt;"",INDEX(Parties!$E$5:$E$304,R1112)&lt;&gt;HomeState),ROUND(K1112*L1112,2),0)),"")</f>
        <v/>
      </c>
      <c r="P1112" s="61" t="str">
        <f aca="false">IF(IsPro,IF($D1112="","",K1112+M1112+N1112+O1112),"")</f>
        <v/>
      </c>
      <c r="Q1112" s="60" t="str">
        <f aca="false">IF(IsPro,IF($D1112="","",IFERROR(MATCH($D1112,Items!$A$5:$A$504,0),"")),"")</f>
        <v/>
      </c>
      <c r="R1112" s="60" t="str">
        <f aca="false">IF(IsPro,IF($C1112="","",IFERROR(MATCH($C1112,Parties!$A$5:$A$304,0),"")),"")</f>
        <v/>
      </c>
      <c r="S1112" s="61" t="str">
        <f aca="false">IF(IsPro,IF($D1112="","",IF(OR($H1112="",$H1112="Credit"),0,P1112)),"")</f>
        <v/>
      </c>
    </row>
    <row r="1113" customFormat="false" ht="15" hidden="false" customHeight="false" outlineLevel="0" collapsed="false">
      <c r="A1113" s="55"/>
      <c r="B1113" s="56"/>
      <c r="C1113" s="56"/>
      <c r="D1113" s="56"/>
      <c r="E1113" s="57"/>
      <c r="F1113" s="58"/>
      <c r="G1113" s="59"/>
      <c r="H1113" s="56"/>
      <c r="I1113" s="60" t="str">
        <f aca="false">IF(IsPro,IF($D1113="","",IFERROR(INDEX(Items!$D$5:$D$504,Q1113),"")),IF($D1113="","","PRO PLAN"))</f>
        <v/>
      </c>
      <c r="J1113" s="61" t="str">
        <f aca="false">IF(IsPro,IF($D1113="","",IF($F1113="",IFERROR(INDEX(Items!$G$5:$G$504,Q1113),0),$F1113)),"")</f>
        <v/>
      </c>
      <c r="K1113" s="61" t="str">
        <f aca="false">IF(IsPro,IF($D1113="","",ROUND(N($E1113)*J1113*(1-N($G1113)),2)),"")</f>
        <v/>
      </c>
      <c r="L1113" s="62" t="str">
        <f aca="false">IF(IsPro,IF($D1113="","",IFERROR(INDEX(Items!$F$5:$F$504,Q1113),0)),"")</f>
        <v/>
      </c>
      <c r="M1113" s="61" t="str">
        <f aca="false">IF(IsPro,IF($D1113="","",IF(AND(R1113&lt;&gt;"",INDEX(Parties!$E$5:$E$304,R1113)&lt;&gt;"",INDEX(Parties!$E$5:$E$304,R1113)&lt;&gt;HomeState),0,ROUND(K1113*L1113/2,2))),"")</f>
        <v/>
      </c>
      <c r="N1113" s="61" t="str">
        <f aca="false">IF(IsPro,IF($D1113="","",M1113),"")</f>
        <v/>
      </c>
      <c r="O1113" s="61" t="str">
        <f aca="false">IF(IsPro,IF($D1113="","",IF(AND(R1113&lt;&gt;"",INDEX(Parties!$E$5:$E$304,R1113)&lt;&gt;"",INDEX(Parties!$E$5:$E$304,R1113)&lt;&gt;HomeState),ROUND(K1113*L1113,2),0)),"")</f>
        <v/>
      </c>
      <c r="P1113" s="61" t="str">
        <f aca="false">IF(IsPro,IF($D1113="","",K1113+M1113+N1113+O1113),"")</f>
        <v/>
      </c>
      <c r="Q1113" s="60" t="str">
        <f aca="false">IF(IsPro,IF($D1113="","",IFERROR(MATCH($D1113,Items!$A$5:$A$504,0),"")),"")</f>
        <v/>
      </c>
      <c r="R1113" s="60" t="str">
        <f aca="false">IF(IsPro,IF($C1113="","",IFERROR(MATCH($C1113,Parties!$A$5:$A$304,0),"")),"")</f>
        <v/>
      </c>
      <c r="S1113" s="61" t="str">
        <f aca="false">IF(IsPro,IF($D1113="","",IF(OR($H1113="",$H1113="Credit"),0,P1113)),"")</f>
        <v/>
      </c>
    </row>
    <row r="1114" customFormat="false" ht="15" hidden="false" customHeight="false" outlineLevel="0" collapsed="false">
      <c r="A1114" s="55"/>
      <c r="B1114" s="56"/>
      <c r="C1114" s="56"/>
      <c r="D1114" s="56"/>
      <c r="E1114" s="57"/>
      <c r="F1114" s="58"/>
      <c r="G1114" s="59"/>
      <c r="H1114" s="56"/>
      <c r="I1114" s="60" t="str">
        <f aca="false">IF(IsPro,IF($D1114="","",IFERROR(INDEX(Items!$D$5:$D$504,Q1114),"")),IF($D1114="","","PRO PLAN"))</f>
        <v/>
      </c>
      <c r="J1114" s="61" t="str">
        <f aca="false">IF(IsPro,IF($D1114="","",IF($F1114="",IFERROR(INDEX(Items!$G$5:$G$504,Q1114),0),$F1114)),"")</f>
        <v/>
      </c>
      <c r="K1114" s="61" t="str">
        <f aca="false">IF(IsPro,IF($D1114="","",ROUND(N($E1114)*J1114*(1-N($G1114)),2)),"")</f>
        <v/>
      </c>
      <c r="L1114" s="62" t="str">
        <f aca="false">IF(IsPro,IF($D1114="","",IFERROR(INDEX(Items!$F$5:$F$504,Q1114),0)),"")</f>
        <v/>
      </c>
      <c r="M1114" s="61" t="str">
        <f aca="false">IF(IsPro,IF($D1114="","",IF(AND(R1114&lt;&gt;"",INDEX(Parties!$E$5:$E$304,R1114)&lt;&gt;"",INDEX(Parties!$E$5:$E$304,R1114)&lt;&gt;HomeState),0,ROUND(K1114*L1114/2,2))),"")</f>
        <v/>
      </c>
      <c r="N1114" s="61" t="str">
        <f aca="false">IF(IsPro,IF($D1114="","",M1114),"")</f>
        <v/>
      </c>
      <c r="O1114" s="61" t="str">
        <f aca="false">IF(IsPro,IF($D1114="","",IF(AND(R1114&lt;&gt;"",INDEX(Parties!$E$5:$E$304,R1114)&lt;&gt;"",INDEX(Parties!$E$5:$E$304,R1114)&lt;&gt;HomeState),ROUND(K1114*L1114,2),0)),"")</f>
        <v/>
      </c>
      <c r="P1114" s="61" t="str">
        <f aca="false">IF(IsPro,IF($D1114="","",K1114+M1114+N1114+O1114),"")</f>
        <v/>
      </c>
      <c r="Q1114" s="60" t="str">
        <f aca="false">IF(IsPro,IF($D1114="","",IFERROR(MATCH($D1114,Items!$A$5:$A$504,0),"")),"")</f>
        <v/>
      </c>
      <c r="R1114" s="60" t="str">
        <f aca="false">IF(IsPro,IF($C1114="","",IFERROR(MATCH($C1114,Parties!$A$5:$A$304,0),"")),"")</f>
        <v/>
      </c>
      <c r="S1114" s="61" t="str">
        <f aca="false">IF(IsPro,IF($D1114="","",IF(OR($H1114="",$H1114="Credit"),0,P1114)),"")</f>
        <v/>
      </c>
    </row>
    <row r="1115" customFormat="false" ht="15" hidden="false" customHeight="false" outlineLevel="0" collapsed="false">
      <c r="A1115" s="55"/>
      <c r="B1115" s="56"/>
      <c r="C1115" s="56"/>
      <c r="D1115" s="56"/>
      <c r="E1115" s="57"/>
      <c r="F1115" s="58"/>
      <c r="G1115" s="59"/>
      <c r="H1115" s="56"/>
      <c r="I1115" s="60" t="str">
        <f aca="false">IF(IsPro,IF($D1115="","",IFERROR(INDEX(Items!$D$5:$D$504,Q1115),"")),IF($D1115="","","PRO PLAN"))</f>
        <v/>
      </c>
      <c r="J1115" s="61" t="str">
        <f aca="false">IF(IsPro,IF($D1115="","",IF($F1115="",IFERROR(INDEX(Items!$G$5:$G$504,Q1115),0),$F1115)),"")</f>
        <v/>
      </c>
      <c r="K1115" s="61" t="str">
        <f aca="false">IF(IsPro,IF($D1115="","",ROUND(N($E1115)*J1115*(1-N($G1115)),2)),"")</f>
        <v/>
      </c>
      <c r="L1115" s="62" t="str">
        <f aca="false">IF(IsPro,IF($D1115="","",IFERROR(INDEX(Items!$F$5:$F$504,Q1115),0)),"")</f>
        <v/>
      </c>
      <c r="M1115" s="61" t="str">
        <f aca="false">IF(IsPro,IF($D1115="","",IF(AND(R1115&lt;&gt;"",INDEX(Parties!$E$5:$E$304,R1115)&lt;&gt;"",INDEX(Parties!$E$5:$E$304,R1115)&lt;&gt;HomeState),0,ROUND(K1115*L1115/2,2))),"")</f>
        <v/>
      </c>
      <c r="N1115" s="61" t="str">
        <f aca="false">IF(IsPro,IF($D1115="","",M1115),"")</f>
        <v/>
      </c>
      <c r="O1115" s="61" t="str">
        <f aca="false">IF(IsPro,IF($D1115="","",IF(AND(R1115&lt;&gt;"",INDEX(Parties!$E$5:$E$304,R1115)&lt;&gt;"",INDEX(Parties!$E$5:$E$304,R1115)&lt;&gt;HomeState),ROUND(K1115*L1115,2),0)),"")</f>
        <v/>
      </c>
      <c r="P1115" s="61" t="str">
        <f aca="false">IF(IsPro,IF($D1115="","",K1115+M1115+N1115+O1115),"")</f>
        <v/>
      </c>
      <c r="Q1115" s="60" t="str">
        <f aca="false">IF(IsPro,IF($D1115="","",IFERROR(MATCH($D1115,Items!$A$5:$A$504,0),"")),"")</f>
        <v/>
      </c>
      <c r="R1115" s="60" t="str">
        <f aca="false">IF(IsPro,IF($C1115="","",IFERROR(MATCH($C1115,Parties!$A$5:$A$304,0),"")),"")</f>
        <v/>
      </c>
      <c r="S1115" s="61" t="str">
        <f aca="false">IF(IsPro,IF($D1115="","",IF(OR($H1115="",$H1115="Credit"),0,P1115)),"")</f>
        <v/>
      </c>
    </row>
    <row r="1116" customFormat="false" ht="15" hidden="false" customHeight="false" outlineLevel="0" collapsed="false">
      <c r="A1116" s="55"/>
      <c r="B1116" s="56"/>
      <c r="C1116" s="56"/>
      <c r="D1116" s="56"/>
      <c r="E1116" s="57"/>
      <c r="F1116" s="58"/>
      <c r="G1116" s="59"/>
      <c r="H1116" s="56"/>
      <c r="I1116" s="60" t="str">
        <f aca="false">IF(IsPro,IF($D1116="","",IFERROR(INDEX(Items!$D$5:$D$504,Q1116),"")),IF($D1116="","","PRO PLAN"))</f>
        <v/>
      </c>
      <c r="J1116" s="61" t="str">
        <f aca="false">IF(IsPro,IF($D1116="","",IF($F1116="",IFERROR(INDEX(Items!$G$5:$G$504,Q1116),0),$F1116)),"")</f>
        <v/>
      </c>
      <c r="K1116" s="61" t="str">
        <f aca="false">IF(IsPro,IF($D1116="","",ROUND(N($E1116)*J1116*(1-N($G1116)),2)),"")</f>
        <v/>
      </c>
      <c r="L1116" s="62" t="str">
        <f aca="false">IF(IsPro,IF($D1116="","",IFERROR(INDEX(Items!$F$5:$F$504,Q1116),0)),"")</f>
        <v/>
      </c>
      <c r="M1116" s="61" t="str">
        <f aca="false">IF(IsPro,IF($D1116="","",IF(AND(R1116&lt;&gt;"",INDEX(Parties!$E$5:$E$304,R1116)&lt;&gt;"",INDEX(Parties!$E$5:$E$304,R1116)&lt;&gt;HomeState),0,ROUND(K1116*L1116/2,2))),"")</f>
        <v/>
      </c>
      <c r="N1116" s="61" t="str">
        <f aca="false">IF(IsPro,IF($D1116="","",M1116),"")</f>
        <v/>
      </c>
      <c r="O1116" s="61" t="str">
        <f aca="false">IF(IsPro,IF($D1116="","",IF(AND(R1116&lt;&gt;"",INDEX(Parties!$E$5:$E$304,R1116)&lt;&gt;"",INDEX(Parties!$E$5:$E$304,R1116)&lt;&gt;HomeState),ROUND(K1116*L1116,2),0)),"")</f>
        <v/>
      </c>
      <c r="P1116" s="61" t="str">
        <f aca="false">IF(IsPro,IF($D1116="","",K1116+M1116+N1116+O1116),"")</f>
        <v/>
      </c>
      <c r="Q1116" s="60" t="str">
        <f aca="false">IF(IsPro,IF($D1116="","",IFERROR(MATCH($D1116,Items!$A$5:$A$504,0),"")),"")</f>
        <v/>
      </c>
      <c r="R1116" s="60" t="str">
        <f aca="false">IF(IsPro,IF($C1116="","",IFERROR(MATCH($C1116,Parties!$A$5:$A$304,0),"")),"")</f>
        <v/>
      </c>
      <c r="S1116" s="61" t="str">
        <f aca="false">IF(IsPro,IF($D1116="","",IF(OR($H1116="",$H1116="Credit"),0,P1116)),"")</f>
        <v/>
      </c>
    </row>
    <row r="1117" customFormat="false" ht="15" hidden="false" customHeight="false" outlineLevel="0" collapsed="false">
      <c r="A1117" s="55"/>
      <c r="B1117" s="56"/>
      <c r="C1117" s="56"/>
      <c r="D1117" s="56"/>
      <c r="E1117" s="57"/>
      <c r="F1117" s="58"/>
      <c r="G1117" s="59"/>
      <c r="H1117" s="56"/>
      <c r="I1117" s="60" t="str">
        <f aca="false">IF(IsPro,IF($D1117="","",IFERROR(INDEX(Items!$D$5:$D$504,Q1117),"")),IF($D1117="","","PRO PLAN"))</f>
        <v/>
      </c>
      <c r="J1117" s="61" t="str">
        <f aca="false">IF(IsPro,IF($D1117="","",IF($F1117="",IFERROR(INDEX(Items!$G$5:$G$504,Q1117),0),$F1117)),"")</f>
        <v/>
      </c>
      <c r="K1117" s="61" t="str">
        <f aca="false">IF(IsPro,IF($D1117="","",ROUND(N($E1117)*J1117*(1-N($G1117)),2)),"")</f>
        <v/>
      </c>
      <c r="L1117" s="62" t="str">
        <f aca="false">IF(IsPro,IF($D1117="","",IFERROR(INDEX(Items!$F$5:$F$504,Q1117),0)),"")</f>
        <v/>
      </c>
      <c r="M1117" s="61" t="str">
        <f aca="false">IF(IsPro,IF($D1117="","",IF(AND(R1117&lt;&gt;"",INDEX(Parties!$E$5:$E$304,R1117)&lt;&gt;"",INDEX(Parties!$E$5:$E$304,R1117)&lt;&gt;HomeState),0,ROUND(K1117*L1117/2,2))),"")</f>
        <v/>
      </c>
      <c r="N1117" s="61" t="str">
        <f aca="false">IF(IsPro,IF($D1117="","",M1117),"")</f>
        <v/>
      </c>
      <c r="O1117" s="61" t="str">
        <f aca="false">IF(IsPro,IF($D1117="","",IF(AND(R1117&lt;&gt;"",INDEX(Parties!$E$5:$E$304,R1117)&lt;&gt;"",INDEX(Parties!$E$5:$E$304,R1117)&lt;&gt;HomeState),ROUND(K1117*L1117,2),0)),"")</f>
        <v/>
      </c>
      <c r="P1117" s="61" t="str">
        <f aca="false">IF(IsPro,IF($D1117="","",K1117+M1117+N1117+O1117),"")</f>
        <v/>
      </c>
      <c r="Q1117" s="60" t="str">
        <f aca="false">IF(IsPro,IF($D1117="","",IFERROR(MATCH($D1117,Items!$A$5:$A$504,0),"")),"")</f>
        <v/>
      </c>
      <c r="R1117" s="60" t="str">
        <f aca="false">IF(IsPro,IF($C1117="","",IFERROR(MATCH($C1117,Parties!$A$5:$A$304,0),"")),"")</f>
        <v/>
      </c>
      <c r="S1117" s="61" t="str">
        <f aca="false">IF(IsPro,IF($D1117="","",IF(OR($H1117="",$H1117="Credit"),0,P1117)),"")</f>
        <v/>
      </c>
    </row>
    <row r="1118" customFormat="false" ht="15" hidden="false" customHeight="false" outlineLevel="0" collapsed="false">
      <c r="A1118" s="55"/>
      <c r="B1118" s="56"/>
      <c r="C1118" s="56"/>
      <c r="D1118" s="56"/>
      <c r="E1118" s="57"/>
      <c r="F1118" s="58"/>
      <c r="G1118" s="59"/>
      <c r="H1118" s="56"/>
      <c r="I1118" s="60" t="str">
        <f aca="false">IF(IsPro,IF($D1118="","",IFERROR(INDEX(Items!$D$5:$D$504,Q1118),"")),IF($D1118="","","PRO PLAN"))</f>
        <v/>
      </c>
      <c r="J1118" s="61" t="str">
        <f aca="false">IF(IsPro,IF($D1118="","",IF($F1118="",IFERROR(INDEX(Items!$G$5:$G$504,Q1118),0),$F1118)),"")</f>
        <v/>
      </c>
      <c r="K1118" s="61" t="str">
        <f aca="false">IF(IsPro,IF($D1118="","",ROUND(N($E1118)*J1118*(1-N($G1118)),2)),"")</f>
        <v/>
      </c>
      <c r="L1118" s="62" t="str">
        <f aca="false">IF(IsPro,IF($D1118="","",IFERROR(INDEX(Items!$F$5:$F$504,Q1118),0)),"")</f>
        <v/>
      </c>
      <c r="M1118" s="61" t="str">
        <f aca="false">IF(IsPro,IF($D1118="","",IF(AND(R1118&lt;&gt;"",INDEX(Parties!$E$5:$E$304,R1118)&lt;&gt;"",INDEX(Parties!$E$5:$E$304,R1118)&lt;&gt;HomeState),0,ROUND(K1118*L1118/2,2))),"")</f>
        <v/>
      </c>
      <c r="N1118" s="61" t="str">
        <f aca="false">IF(IsPro,IF($D1118="","",M1118),"")</f>
        <v/>
      </c>
      <c r="O1118" s="61" t="str">
        <f aca="false">IF(IsPro,IF($D1118="","",IF(AND(R1118&lt;&gt;"",INDEX(Parties!$E$5:$E$304,R1118)&lt;&gt;"",INDEX(Parties!$E$5:$E$304,R1118)&lt;&gt;HomeState),ROUND(K1118*L1118,2),0)),"")</f>
        <v/>
      </c>
      <c r="P1118" s="61" t="str">
        <f aca="false">IF(IsPro,IF($D1118="","",K1118+M1118+N1118+O1118),"")</f>
        <v/>
      </c>
      <c r="Q1118" s="60" t="str">
        <f aca="false">IF(IsPro,IF($D1118="","",IFERROR(MATCH($D1118,Items!$A$5:$A$504,0),"")),"")</f>
        <v/>
      </c>
      <c r="R1118" s="60" t="str">
        <f aca="false">IF(IsPro,IF($C1118="","",IFERROR(MATCH($C1118,Parties!$A$5:$A$304,0),"")),"")</f>
        <v/>
      </c>
      <c r="S1118" s="61" t="str">
        <f aca="false">IF(IsPro,IF($D1118="","",IF(OR($H1118="",$H1118="Credit"),0,P1118)),"")</f>
        <v/>
      </c>
    </row>
    <row r="1119" customFormat="false" ht="15" hidden="false" customHeight="false" outlineLevel="0" collapsed="false">
      <c r="A1119" s="55"/>
      <c r="B1119" s="56"/>
      <c r="C1119" s="56"/>
      <c r="D1119" s="56"/>
      <c r="E1119" s="57"/>
      <c r="F1119" s="58"/>
      <c r="G1119" s="59"/>
      <c r="H1119" s="56"/>
      <c r="I1119" s="60" t="str">
        <f aca="false">IF(IsPro,IF($D1119="","",IFERROR(INDEX(Items!$D$5:$D$504,Q1119),"")),IF($D1119="","","PRO PLAN"))</f>
        <v/>
      </c>
      <c r="J1119" s="61" t="str">
        <f aca="false">IF(IsPro,IF($D1119="","",IF($F1119="",IFERROR(INDEX(Items!$G$5:$G$504,Q1119),0),$F1119)),"")</f>
        <v/>
      </c>
      <c r="K1119" s="61" t="str">
        <f aca="false">IF(IsPro,IF($D1119="","",ROUND(N($E1119)*J1119*(1-N($G1119)),2)),"")</f>
        <v/>
      </c>
      <c r="L1119" s="62" t="str">
        <f aca="false">IF(IsPro,IF($D1119="","",IFERROR(INDEX(Items!$F$5:$F$504,Q1119),0)),"")</f>
        <v/>
      </c>
      <c r="M1119" s="61" t="str">
        <f aca="false">IF(IsPro,IF($D1119="","",IF(AND(R1119&lt;&gt;"",INDEX(Parties!$E$5:$E$304,R1119)&lt;&gt;"",INDEX(Parties!$E$5:$E$304,R1119)&lt;&gt;HomeState),0,ROUND(K1119*L1119/2,2))),"")</f>
        <v/>
      </c>
      <c r="N1119" s="61" t="str">
        <f aca="false">IF(IsPro,IF($D1119="","",M1119),"")</f>
        <v/>
      </c>
      <c r="O1119" s="61" t="str">
        <f aca="false">IF(IsPro,IF($D1119="","",IF(AND(R1119&lt;&gt;"",INDEX(Parties!$E$5:$E$304,R1119)&lt;&gt;"",INDEX(Parties!$E$5:$E$304,R1119)&lt;&gt;HomeState),ROUND(K1119*L1119,2),0)),"")</f>
        <v/>
      </c>
      <c r="P1119" s="61" t="str">
        <f aca="false">IF(IsPro,IF($D1119="","",K1119+M1119+N1119+O1119),"")</f>
        <v/>
      </c>
      <c r="Q1119" s="60" t="str">
        <f aca="false">IF(IsPro,IF($D1119="","",IFERROR(MATCH($D1119,Items!$A$5:$A$504,0),"")),"")</f>
        <v/>
      </c>
      <c r="R1119" s="60" t="str">
        <f aca="false">IF(IsPro,IF($C1119="","",IFERROR(MATCH($C1119,Parties!$A$5:$A$304,0),"")),"")</f>
        <v/>
      </c>
      <c r="S1119" s="61" t="str">
        <f aca="false">IF(IsPro,IF($D1119="","",IF(OR($H1119="",$H1119="Credit"),0,P1119)),"")</f>
        <v/>
      </c>
    </row>
    <row r="1120" customFormat="false" ht="15" hidden="false" customHeight="false" outlineLevel="0" collapsed="false">
      <c r="A1120" s="55"/>
      <c r="B1120" s="56"/>
      <c r="C1120" s="56"/>
      <c r="D1120" s="56"/>
      <c r="E1120" s="57"/>
      <c r="F1120" s="58"/>
      <c r="G1120" s="59"/>
      <c r="H1120" s="56"/>
      <c r="I1120" s="60" t="str">
        <f aca="false">IF(IsPro,IF($D1120="","",IFERROR(INDEX(Items!$D$5:$D$504,Q1120),"")),IF($D1120="","","PRO PLAN"))</f>
        <v/>
      </c>
      <c r="J1120" s="61" t="str">
        <f aca="false">IF(IsPro,IF($D1120="","",IF($F1120="",IFERROR(INDEX(Items!$G$5:$G$504,Q1120),0),$F1120)),"")</f>
        <v/>
      </c>
      <c r="K1120" s="61" t="str">
        <f aca="false">IF(IsPro,IF($D1120="","",ROUND(N($E1120)*J1120*(1-N($G1120)),2)),"")</f>
        <v/>
      </c>
      <c r="L1120" s="62" t="str">
        <f aca="false">IF(IsPro,IF($D1120="","",IFERROR(INDEX(Items!$F$5:$F$504,Q1120),0)),"")</f>
        <v/>
      </c>
      <c r="M1120" s="61" t="str">
        <f aca="false">IF(IsPro,IF($D1120="","",IF(AND(R1120&lt;&gt;"",INDEX(Parties!$E$5:$E$304,R1120)&lt;&gt;"",INDEX(Parties!$E$5:$E$304,R1120)&lt;&gt;HomeState),0,ROUND(K1120*L1120/2,2))),"")</f>
        <v/>
      </c>
      <c r="N1120" s="61" t="str">
        <f aca="false">IF(IsPro,IF($D1120="","",M1120),"")</f>
        <v/>
      </c>
      <c r="O1120" s="61" t="str">
        <f aca="false">IF(IsPro,IF($D1120="","",IF(AND(R1120&lt;&gt;"",INDEX(Parties!$E$5:$E$304,R1120)&lt;&gt;"",INDEX(Parties!$E$5:$E$304,R1120)&lt;&gt;HomeState),ROUND(K1120*L1120,2),0)),"")</f>
        <v/>
      </c>
      <c r="P1120" s="61" t="str">
        <f aca="false">IF(IsPro,IF($D1120="","",K1120+M1120+N1120+O1120),"")</f>
        <v/>
      </c>
      <c r="Q1120" s="60" t="str">
        <f aca="false">IF(IsPro,IF($D1120="","",IFERROR(MATCH($D1120,Items!$A$5:$A$504,0),"")),"")</f>
        <v/>
      </c>
      <c r="R1120" s="60" t="str">
        <f aca="false">IF(IsPro,IF($C1120="","",IFERROR(MATCH($C1120,Parties!$A$5:$A$304,0),"")),"")</f>
        <v/>
      </c>
      <c r="S1120" s="61" t="str">
        <f aca="false">IF(IsPro,IF($D1120="","",IF(OR($H1120="",$H1120="Credit"),0,P1120)),"")</f>
        <v/>
      </c>
    </row>
    <row r="1121" customFormat="false" ht="15" hidden="false" customHeight="false" outlineLevel="0" collapsed="false">
      <c r="A1121" s="55"/>
      <c r="B1121" s="56"/>
      <c r="C1121" s="56"/>
      <c r="D1121" s="56"/>
      <c r="E1121" s="57"/>
      <c r="F1121" s="58"/>
      <c r="G1121" s="59"/>
      <c r="H1121" s="56"/>
      <c r="I1121" s="60" t="str">
        <f aca="false">IF(IsPro,IF($D1121="","",IFERROR(INDEX(Items!$D$5:$D$504,Q1121),"")),IF($D1121="","","PRO PLAN"))</f>
        <v/>
      </c>
      <c r="J1121" s="61" t="str">
        <f aca="false">IF(IsPro,IF($D1121="","",IF($F1121="",IFERROR(INDEX(Items!$G$5:$G$504,Q1121),0),$F1121)),"")</f>
        <v/>
      </c>
      <c r="K1121" s="61" t="str">
        <f aca="false">IF(IsPro,IF($D1121="","",ROUND(N($E1121)*J1121*(1-N($G1121)),2)),"")</f>
        <v/>
      </c>
      <c r="L1121" s="62" t="str">
        <f aca="false">IF(IsPro,IF($D1121="","",IFERROR(INDEX(Items!$F$5:$F$504,Q1121),0)),"")</f>
        <v/>
      </c>
      <c r="M1121" s="61" t="str">
        <f aca="false">IF(IsPro,IF($D1121="","",IF(AND(R1121&lt;&gt;"",INDEX(Parties!$E$5:$E$304,R1121)&lt;&gt;"",INDEX(Parties!$E$5:$E$304,R1121)&lt;&gt;HomeState),0,ROUND(K1121*L1121/2,2))),"")</f>
        <v/>
      </c>
      <c r="N1121" s="61" t="str">
        <f aca="false">IF(IsPro,IF($D1121="","",M1121),"")</f>
        <v/>
      </c>
      <c r="O1121" s="61" t="str">
        <f aca="false">IF(IsPro,IF($D1121="","",IF(AND(R1121&lt;&gt;"",INDEX(Parties!$E$5:$E$304,R1121)&lt;&gt;"",INDEX(Parties!$E$5:$E$304,R1121)&lt;&gt;HomeState),ROUND(K1121*L1121,2),0)),"")</f>
        <v/>
      </c>
      <c r="P1121" s="61" t="str">
        <f aca="false">IF(IsPro,IF($D1121="","",K1121+M1121+N1121+O1121),"")</f>
        <v/>
      </c>
      <c r="Q1121" s="60" t="str">
        <f aca="false">IF(IsPro,IF($D1121="","",IFERROR(MATCH($D1121,Items!$A$5:$A$504,0),"")),"")</f>
        <v/>
      </c>
      <c r="R1121" s="60" t="str">
        <f aca="false">IF(IsPro,IF($C1121="","",IFERROR(MATCH($C1121,Parties!$A$5:$A$304,0),"")),"")</f>
        <v/>
      </c>
      <c r="S1121" s="61" t="str">
        <f aca="false">IF(IsPro,IF($D1121="","",IF(OR($H1121="",$H1121="Credit"),0,P1121)),"")</f>
        <v/>
      </c>
    </row>
    <row r="1122" customFormat="false" ht="15" hidden="false" customHeight="false" outlineLevel="0" collapsed="false">
      <c r="A1122" s="55"/>
      <c r="B1122" s="56"/>
      <c r="C1122" s="56"/>
      <c r="D1122" s="56"/>
      <c r="E1122" s="57"/>
      <c r="F1122" s="58"/>
      <c r="G1122" s="59"/>
      <c r="H1122" s="56"/>
      <c r="I1122" s="60" t="str">
        <f aca="false">IF(IsPro,IF($D1122="","",IFERROR(INDEX(Items!$D$5:$D$504,Q1122),"")),IF($D1122="","","PRO PLAN"))</f>
        <v/>
      </c>
      <c r="J1122" s="61" t="str">
        <f aca="false">IF(IsPro,IF($D1122="","",IF($F1122="",IFERROR(INDEX(Items!$G$5:$G$504,Q1122),0),$F1122)),"")</f>
        <v/>
      </c>
      <c r="K1122" s="61" t="str">
        <f aca="false">IF(IsPro,IF($D1122="","",ROUND(N($E1122)*J1122*(1-N($G1122)),2)),"")</f>
        <v/>
      </c>
      <c r="L1122" s="62" t="str">
        <f aca="false">IF(IsPro,IF($D1122="","",IFERROR(INDEX(Items!$F$5:$F$504,Q1122),0)),"")</f>
        <v/>
      </c>
      <c r="M1122" s="61" t="str">
        <f aca="false">IF(IsPro,IF($D1122="","",IF(AND(R1122&lt;&gt;"",INDEX(Parties!$E$5:$E$304,R1122)&lt;&gt;"",INDEX(Parties!$E$5:$E$304,R1122)&lt;&gt;HomeState),0,ROUND(K1122*L1122/2,2))),"")</f>
        <v/>
      </c>
      <c r="N1122" s="61" t="str">
        <f aca="false">IF(IsPro,IF($D1122="","",M1122),"")</f>
        <v/>
      </c>
      <c r="O1122" s="61" t="str">
        <f aca="false">IF(IsPro,IF($D1122="","",IF(AND(R1122&lt;&gt;"",INDEX(Parties!$E$5:$E$304,R1122)&lt;&gt;"",INDEX(Parties!$E$5:$E$304,R1122)&lt;&gt;HomeState),ROUND(K1122*L1122,2),0)),"")</f>
        <v/>
      </c>
      <c r="P1122" s="61" t="str">
        <f aca="false">IF(IsPro,IF($D1122="","",K1122+M1122+N1122+O1122),"")</f>
        <v/>
      </c>
      <c r="Q1122" s="60" t="str">
        <f aca="false">IF(IsPro,IF($D1122="","",IFERROR(MATCH($D1122,Items!$A$5:$A$504,0),"")),"")</f>
        <v/>
      </c>
      <c r="R1122" s="60" t="str">
        <f aca="false">IF(IsPro,IF($C1122="","",IFERROR(MATCH($C1122,Parties!$A$5:$A$304,0),"")),"")</f>
        <v/>
      </c>
      <c r="S1122" s="61" t="str">
        <f aca="false">IF(IsPro,IF($D1122="","",IF(OR($H1122="",$H1122="Credit"),0,P1122)),"")</f>
        <v/>
      </c>
    </row>
    <row r="1123" customFormat="false" ht="15" hidden="false" customHeight="false" outlineLevel="0" collapsed="false">
      <c r="A1123" s="55"/>
      <c r="B1123" s="56"/>
      <c r="C1123" s="56"/>
      <c r="D1123" s="56"/>
      <c r="E1123" s="57"/>
      <c r="F1123" s="58"/>
      <c r="G1123" s="59"/>
      <c r="H1123" s="56"/>
      <c r="I1123" s="60" t="str">
        <f aca="false">IF(IsPro,IF($D1123="","",IFERROR(INDEX(Items!$D$5:$D$504,Q1123),"")),IF($D1123="","","PRO PLAN"))</f>
        <v/>
      </c>
      <c r="J1123" s="61" t="str">
        <f aca="false">IF(IsPro,IF($D1123="","",IF($F1123="",IFERROR(INDEX(Items!$G$5:$G$504,Q1123),0),$F1123)),"")</f>
        <v/>
      </c>
      <c r="K1123" s="61" t="str">
        <f aca="false">IF(IsPro,IF($D1123="","",ROUND(N($E1123)*J1123*(1-N($G1123)),2)),"")</f>
        <v/>
      </c>
      <c r="L1123" s="62" t="str">
        <f aca="false">IF(IsPro,IF($D1123="","",IFERROR(INDEX(Items!$F$5:$F$504,Q1123),0)),"")</f>
        <v/>
      </c>
      <c r="M1123" s="61" t="str">
        <f aca="false">IF(IsPro,IF($D1123="","",IF(AND(R1123&lt;&gt;"",INDEX(Parties!$E$5:$E$304,R1123)&lt;&gt;"",INDEX(Parties!$E$5:$E$304,R1123)&lt;&gt;HomeState),0,ROUND(K1123*L1123/2,2))),"")</f>
        <v/>
      </c>
      <c r="N1123" s="61" t="str">
        <f aca="false">IF(IsPro,IF($D1123="","",M1123),"")</f>
        <v/>
      </c>
      <c r="O1123" s="61" t="str">
        <f aca="false">IF(IsPro,IF($D1123="","",IF(AND(R1123&lt;&gt;"",INDEX(Parties!$E$5:$E$304,R1123)&lt;&gt;"",INDEX(Parties!$E$5:$E$304,R1123)&lt;&gt;HomeState),ROUND(K1123*L1123,2),0)),"")</f>
        <v/>
      </c>
      <c r="P1123" s="61" t="str">
        <f aca="false">IF(IsPro,IF($D1123="","",K1123+M1123+N1123+O1123),"")</f>
        <v/>
      </c>
      <c r="Q1123" s="60" t="str">
        <f aca="false">IF(IsPro,IF($D1123="","",IFERROR(MATCH($D1123,Items!$A$5:$A$504,0),"")),"")</f>
        <v/>
      </c>
      <c r="R1123" s="60" t="str">
        <f aca="false">IF(IsPro,IF($C1123="","",IFERROR(MATCH($C1123,Parties!$A$5:$A$304,0),"")),"")</f>
        <v/>
      </c>
      <c r="S1123" s="61" t="str">
        <f aca="false">IF(IsPro,IF($D1123="","",IF(OR($H1123="",$H1123="Credit"),0,P1123)),"")</f>
        <v/>
      </c>
    </row>
    <row r="1124" customFormat="false" ht="15" hidden="false" customHeight="false" outlineLevel="0" collapsed="false">
      <c r="A1124" s="55"/>
      <c r="B1124" s="56"/>
      <c r="C1124" s="56"/>
      <c r="D1124" s="56"/>
      <c r="E1124" s="57"/>
      <c r="F1124" s="58"/>
      <c r="G1124" s="59"/>
      <c r="H1124" s="56"/>
      <c r="I1124" s="60" t="str">
        <f aca="false">IF(IsPro,IF($D1124="","",IFERROR(INDEX(Items!$D$5:$D$504,Q1124),"")),IF($D1124="","","PRO PLAN"))</f>
        <v/>
      </c>
      <c r="J1124" s="61" t="str">
        <f aca="false">IF(IsPro,IF($D1124="","",IF($F1124="",IFERROR(INDEX(Items!$G$5:$G$504,Q1124),0),$F1124)),"")</f>
        <v/>
      </c>
      <c r="K1124" s="61" t="str">
        <f aca="false">IF(IsPro,IF($D1124="","",ROUND(N($E1124)*J1124*(1-N($G1124)),2)),"")</f>
        <v/>
      </c>
      <c r="L1124" s="62" t="str">
        <f aca="false">IF(IsPro,IF($D1124="","",IFERROR(INDEX(Items!$F$5:$F$504,Q1124),0)),"")</f>
        <v/>
      </c>
      <c r="M1124" s="61" t="str">
        <f aca="false">IF(IsPro,IF($D1124="","",IF(AND(R1124&lt;&gt;"",INDEX(Parties!$E$5:$E$304,R1124)&lt;&gt;"",INDEX(Parties!$E$5:$E$304,R1124)&lt;&gt;HomeState),0,ROUND(K1124*L1124/2,2))),"")</f>
        <v/>
      </c>
      <c r="N1124" s="61" t="str">
        <f aca="false">IF(IsPro,IF($D1124="","",M1124),"")</f>
        <v/>
      </c>
      <c r="O1124" s="61" t="str">
        <f aca="false">IF(IsPro,IF($D1124="","",IF(AND(R1124&lt;&gt;"",INDEX(Parties!$E$5:$E$304,R1124)&lt;&gt;"",INDEX(Parties!$E$5:$E$304,R1124)&lt;&gt;HomeState),ROUND(K1124*L1124,2),0)),"")</f>
        <v/>
      </c>
      <c r="P1124" s="61" t="str">
        <f aca="false">IF(IsPro,IF($D1124="","",K1124+M1124+N1124+O1124),"")</f>
        <v/>
      </c>
      <c r="Q1124" s="60" t="str">
        <f aca="false">IF(IsPro,IF($D1124="","",IFERROR(MATCH($D1124,Items!$A$5:$A$504,0),"")),"")</f>
        <v/>
      </c>
      <c r="R1124" s="60" t="str">
        <f aca="false">IF(IsPro,IF($C1124="","",IFERROR(MATCH($C1124,Parties!$A$5:$A$304,0),"")),"")</f>
        <v/>
      </c>
      <c r="S1124" s="61" t="str">
        <f aca="false">IF(IsPro,IF($D1124="","",IF(OR($H1124="",$H1124="Credit"),0,P1124)),"")</f>
        <v/>
      </c>
    </row>
    <row r="1125" customFormat="false" ht="15" hidden="false" customHeight="false" outlineLevel="0" collapsed="false">
      <c r="A1125" s="55"/>
      <c r="B1125" s="56"/>
      <c r="C1125" s="56"/>
      <c r="D1125" s="56"/>
      <c r="E1125" s="57"/>
      <c r="F1125" s="58"/>
      <c r="G1125" s="59"/>
      <c r="H1125" s="56"/>
      <c r="I1125" s="60" t="str">
        <f aca="false">IF(IsPro,IF($D1125="","",IFERROR(INDEX(Items!$D$5:$D$504,Q1125),"")),IF($D1125="","","PRO PLAN"))</f>
        <v/>
      </c>
      <c r="J1125" s="61" t="str">
        <f aca="false">IF(IsPro,IF($D1125="","",IF($F1125="",IFERROR(INDEX(Items!$G$5:$G$504,Q1125),0),$F1125)),"")</f>
        <v/>
      </c>
      <c r="K1125" s="61" t="str">
        <f aca="false">IF(IsPro,IF($D1125="","",ROUND(N($E1125)*J1125*(1-N($G1125)),2)),"")</f>
        <v/>
      </c>
      <c r="L1125" s="62" t="str">
        <f aca="false">IF(IsPro,IF($D1125="","",IFERROR(INDEX(Items!$F$5:$F$504,Q1125),0)),"")</f>
        <v/>
      </c>
      <c r="M1125" s="61" t="str">
        <f aca="false">IF(IsPro,IF($D1125="","",IF(AND(R1125&lt;&gt;"",INDEX(Parties!$E$5:$E$304,R1125)&lt;&gt;"",INDEX(Parties!$E$5:$E$304,R1125)&lt;&gt;HomeState),0,ROUND(K1125*L1125/2,2))),"")</f>
        <v/>
      </c>
      <c r="N1125" s="61" t="str">
        <f aca="false">IF(IsPro,IF($D1125="","",M1125),"")</f>
        <v/>
      </c>
      <c r="O1125" s="61" t="str">
        <f aca="false">IF(IsPro,IF($D1125="","",IF(AND(R1125&lt;&gt;"",INDEX(Parties!$E$5:$E$304,R1125)&lt;&gt;"",INDEX(Parties!$E$5:$E$304,R1125)&lt;&gt;HomeState),ROUND(K1125*L1125,2),0)),"")</f>
        <v/>
      </c>
      <c r="P1125" s="61" t="str">
        <f aca="false">IF(IsPro,IF($D1125="","",K1125+M1125+N1125+O1125),"")</f>
        <v/>
      </c>
      <c r="Q1125" s="60" t="str">
        <f aca="false">IF(IsPro,IF($D1125="","",IFERROR(MATCH($D1125,Items!$A$5:$A$504,0),"")),"")</f>
        <v/>
      </c>
      <c r="R1125" s="60" t="str">
        <f aca="false">IF(IsPro,IF($C1125="","",IFERROR(MATCH($C1125,Parties!$A$5:$A$304,0),"")),"")</f>
        <v/>
      </c>
      <c r="S1125" s="61" t="str">
        <f aca="false">IF(IsPro,IF($D1125="","",IF(OR($H1125="",$H1125="Credit"),0,P1125)),"")</f>
        <v/>
      </c>
    </row>
    <row r="1126" customFormat="false" ht="15" hidden="false" customHeight="false" outlineLevel="0" collapsed="false">
      <c r="A1126" s="55"/>
      <c r="B1126" s="56"/>
      <c r="C1126" s="56"/>
      <c r="D1126" s="56"/>
      <c r="E1126" s="57"/>
      <c r="F1126" s="58"/>
      <c r="G1126" s="59"/>
      <c r="H1126" s="56"/>
      <c r="I1126" s="60" t="str">
        <f aca="false">IF(IsPro,IF($D1126="","",IFERROR(INDEX(Items!$D$5:$D$504,Q1126),"")),IF($D1126="","","PRO PLAN"))</f>
        <v/>
      </c>
      <c r="J1126" s="61" t="str">
        <f aca="false">IF(IsPro,IF($D1126="","",IF($F1126="",IFERROR(INDEX(Items!$G$5:$G$504,Q1126),0),$F1126)),"")</f>
        <v/>
      </c>
      <c r="K1126" s="61" t="str">
        <f aca="false">IF(IsPro,IF($D1126="","",ROUND(N($E1126)*J1126*(1-N($G1126)),2)),"")</f>
        <v/>
      </c>
      <c r="L1126" s="62" t="str">
        <f aca="false">IF(IsPro,IF($D1126="","",IFERROR(INDEX(Items!$F$5:$F$504,Q1126),0)),"")</f>
        <v/>
      </c>
      <c r="M1126" s="61" t="str">
        <f aca="false">IF(IsPro,IF($D1126="","",IF(AND(R1126&lt;&gt;"",INDEX(Parties!$E$5:$E$304,R1126)&lt;&gt;"",INDEX(Parties!$E$5:$E$304,R1126)&lt;&gt;HomeState),0,ROUND(K1126*L1126/2,2))),"")</f>
        <v/>
      </c>
      <c r="N1126" s="61" t="str">
        <f aca="false">IF(IsPro,IF($D1126="","",M1126),"")</f>
        <v/>
      </c>
      <c r="O1126" s="61" t="str">
        <f aca="false">IF(IsPro,IF($D1126="","",IF(AND(R1126&lt;&gt;"",INDEX(Parties!$E$5:$E$304,R1126)&lt;&gt;"",INDEX(Parties!$E$5:$E$304,R1126)&lt;&gt;HomeState),ROUND(K1126*L1126,2),0)),"")</f>
        <v/>
      </c>
      <c r="P1126" s="61" t="str">
        <f aca="false">IF(IsPro,IF($D1126="","",K1126+M1126+N1126+O1126),"")</f>
        <v/>
      </c>
      <c r="Q1126" s="60" t="str">
        <f aca="false">IF(IsPro,IF($D1126="","",IFERROR(MATCH($D1126,Items!$A$5:$A$504,0),"")),"")</f>
        <v/>
      </c>
      <c r="R1126" s="60" t="str">
        <f aca="false">IF(IsPro,IF($C1126="","",IFERROR(MATCH($C1126,Parties!$A$5:$A$304,0),"")),"")</f>
        <v/>
      </c>
      <c r="S1126" s="61" t="str">
        <f aca="false">IF(IsPro,IF($D1126="","",IF(OR($H1126="",$H1126="Credit"),0,P1126)),"")</f>
        <v/>
      </c>
    </row>
    <row r="1127" customFormat="false" ht="15" hidden="false" customHeight="false" outlineLevel="0" collapsed="false">
      <c r="A1127" s="55"/>
      <c r="B1127" s="56"/>
      <c r="C1127" s="56"/>
      <c r="D1127" s="56"/>
      <c r="E1127" s="57"/>
      <c r="F1127" s="58"/>
      <c r="G1127" s="59"/>
      <c r="H1127" s="56"/>
      <c r="I1127" s="60" t="str">
        <f aca="false">IF(IsPro,IF($D1127="","",IFERROR(INDEX(Items!$D$5:$D$504,Q1127),"")),IF($D1127="","","PRO PLAN"))</f>
        <v/>
      </c>
      <c r="J1127" s="61" t="str">
        <f aca="false">IF(IsPro,IF($D1127="","",IF($F1127="",IFERROR(INDEX(Items!$G$5:$G$504,Q1127),0),$F1127)),"")</f>
        <v/>
      </c>
      <c r="K1127" s="61" t="str">
        <f aca="false">IF(IsPro,IF($D1127="","",ROUND(N($E1127)*J1127*(1-N($G1127)),2)),"")</f>
        <v/>
      </c>
      <c r="L1127" s="62" t="str">
        <f aca="false">IF(IsPro,IF($D1127="","",IFERROR(INDEX(Items!$F$5:$F$504,Q1127),0)),"")</f>
        <v/>
      </c>
      <c r="M1127" s="61" t="str">
        <f aca="false">IF(IsPro,IF($D1127="","",IF(AND(R1127&lt;&gt;"",INDEX(Parties!$E$5:$E$304,R1127)&lt;&gt;"",INDEX(Parties!$E$5:$E$304,R1127)&lt;&gt;HomeState),0,ROUND(K1127*L1127/2,2))),"")</f>
        <v/>
      </c>
      <c r="N1127" s="61" t="str">
        <f aca="false">IF(IsPro,IF($D1127="","",M1127),"")</f>
        <v/>
      </c>
      <c r="O1127" s="61" t="str">
        <f aca="false">IF(IsPro,IF($D1127="","",IF(AND(R1127&lt;&gt;"",INDEX(Parties!$E$5:$E$304,R1127)&lt;&gt;"",INDEX(Parties!$E$5:$E$304,R1127)&lt;&gt;HomeState),ROUND(K1127*L1127,2),0)),"")</f>
        <v/>
      </c>
      <c r="P1127" s="61" t="str">
        <f aca="false">IF(IsPro,IF($D1127="","",K1127+M1127+N1127+O1127),"")</f>
        <v/>
      </c>
      <c r="Q1127" s="60" t="str">
        <f aca="false">IF(IsPro,IF($D1127="","",IFERROR(MATCH($D1127,Items!$A$5:$A$504,0),"")),"")</f>
        <v/>
      </c>
      <c r="R1127" s="60" t="str">
        <f aca="false">IF(IsPro,IF($C1127="","",IFERROR(MATCH($C1127,Parties!$A$5:$A$304,0),"")),"")</f>
        <v/>
      </c>
      <c r="S1127" s="61" t="str">
        <f aca="false">IF(IsPro,IF($D1127="","",IF(OR($H1127="",$H1127="Credit"),0,P1127)),"")</f>
        <v/>
      </c>
    </row>
    <row r="1128" customFormat="false" ht="15" hidden="false" customHeight="false" outlineLevel="0" collapsed="false">
      <c r="A1128" s="55"/>
      <c r="B1128" s="56"/>
      <c r="C1128" s="56"/>
      <c r="D1128" s="56"/>
      <c r="E1128" s="57"/>
      <c r="F1128" s="58"/>
      <c r="G1128" s="59"/>
      <c r="H1128" s="56"/>
      <c r="I1128" s="60" t="str">
        <f aca="false">IF(IsPro,IF($D1128="","",IFERROR(INDEX(Items!$D$5:$D$504,Q1128),"")),IF($D1128="","","PRO PLAN"))</f>
        <v/>
      </c>
      <c r="J1128" s="61" t="str">
        <f aca="false">IF(IsPro,IF($D1128="","",IF($F1128="",IFERROR(INDEX(Items!$G$5:$G$504,Q1128),0),$F1128)),"")</f>
        <v/>
      </c>
      <c r="K1128" s="61" t="str">
        <f aca="false">IF(IsPro,IF($D1128="","",ROUND(N($E1128)*J1128*(1-N($G1128)),2)),"")</f>
        <v/>
      </c>
      <c r="L1128" s="62" t="str">
        <f aca="false">IF(IsPro,IF($D1128="","",IFERROR(INDEX(Items!$F$5:$F$504,Q1128),0)),"")</f>
        <v/>
      </c>
      <c r="M1128" s="61" t="str">
        <f aca="false">IF(IsPro,IF($D1128="","",IF(AND(R1128&lt;&gt;"",INDEX(Parties!$E$5:$E$304,R1128)&lt;&gt;"",INDEX(Parties!$E$5:$E$304,R1128)&lt;&gt;HomeState),0,ROUND(K1128*L1128/2,2))),"")</f>
        <v/>
      </c>
      <c r="N1128" s="61" t="str">
        <f aca="false">IF(IsPro,IF($D1128="","",M1128),"")</f>
        <v/>
      </c>
      <c r="O1128" s="61" t="str">
        <f aca="false">IF(IsPro,IF($D1128="","",IF(AND(R1128&lt;&gt;"",INDEX(Parties!$E$5:$E$304,R1128)&lt;&gt;"",INDEX(Parties!$E$5:$E$304,R1128)&lt;&gt;HomeState),ROUND(K1128*L1128,2),0)),"")</f>
        <v/>
      </c>
      <c r="P1128" s="61" t="str">
        <f aca="false">IF(IsPro,IF($D1128="","",K1128+M1128+N1128+O1128),"")</f>
        <v/>
      </c>
      <c r="Q1128" s="60" t="str">
        <f aca="false">IF(IsPro,IF($D1128="","",IFERROR(MATCH($D1128,Items!$A$5:$A$504,0),"")),"")</f>
        <v/>
      </c>
      <c r="R1128" s="60" t="str">
        <f aca="false">IF(IsPro,IF($C1128="","",IFERROR(MATCH($C1128,Parties!$A$5:$A$304,0),"")),"")</f>
        <v/>
      </c>
      <c r="S1128" s="61" t="str">
        <f aca="false">IF(IsPro,IF($D1128="","",IF(OR($H1128="",$H1128="Credit"),0,P1128)),"")</f>
        <v/>
      </c>
    </row>
    <row r="1129" customFormat="false" ht="15" hidden="false" customHeight="false" outlineLevel="0" collapsed="false">
      <c r="A1129" s="55"/>
      <c r="B1129" s="56"/>
      <c r="C1129" s="56"/>
      <c r="D1129" s="56"/>
      <c r="E1129" s="57"/>
      <c r="F1129" s="58"/>
      <c r="G1129" s="59"/>
      <c r="H1129" s="56"/>
      <c r="I1129" s="60" t="str">
        <f aca="false">IF(IsPro,IF($D1129="","",IFERROR(INDEX(Items!$D$5:$D$504,Q1129),"")),IF($D1129="","","PRO PLAN"))</f>
        <v/>
      </c>
      <c r="J1129" s="61" t="str">
        <f aca="false">IF(IsPro,IF($D1129="","",IF($F1129="",IFERROR(INDEX(Items!$G$5:$G$504,Q1129),0),$F1129)),"")</f>
        <v/>
      </c>
      <c r="K1129" s="61" t="str">
        <f aca="false">IF(IsPro,IF($D1129="","",ROUND(N($E1129)*J1129*(1-N($G1129)),2)),"")</f>
        <v/>
      </c>
      <c r="L1129" s="62" t="str">
        <f aca="false">IF(IsPro,IF($D1129="","",IFERROR(INDEX(Items!$F$5:$F$504,Q1129),0)),"")</f>
        <v/>
      </c>
      <c r="M1129" s="61" t="str">
        <f aca="false">IF(IsPro,IF($D1129="","",IF(AND(R1129&lt;&gt;"",INDEX(Parties!$E$5:$E$304,R1129)&lt;&gt;"",INDEX(Parties!$E$5:$E$304,R1129)&lt;&gt;HomeState),0,ROUND(K1129*L1129/2,2))),"")</f>
        <v/>
      </c>
      <c r="N1129" s="61" t="str">
        <f aca="false">IF(IsPro,IF($D1129="","",M1129),"")</f>
        <v/>
      </c>
      <c r="O1129" s="61" t="str">
        <f aca="false">IF(IsPro,IF($D1129="","",IF(AND(R1129&lt;&gt;"",INDEX(Parties!$E$5:$E$304,R1129)&lt;&gt;"",INDEX(Parties!$E$5:$E$304,R1129)&lt;&gt;HomeState),ROUND(K1129*L1129,2),0)),"")</f>
        <v/>
      </c>
      <c r="P1129" s="61" t="str">
        <f aca="false">IF(IsPro,IF($D1129="","",K1129+M1129+N1129+O1129),"")</f>
        <v/>
      </c>
      <c r="Q1129" s="60" t="str">
        <f aca="false">IF(IsPro,IF($D1129="","",IFERROR(MATCH($D1129,Items!$A$5:$A$504,0),"")),"")</f>
        <v/>
      </c>
      <c r="R1129" s="60" t="str">
        <f aca="false">IF(IsPro,IF($C1129="","",IFERROR(MATCH($C1129,Parties!$A$5:$A$304,0),"")),"")</f>
        <v/>
      </c>
      <c r="S1129" s="61" t="str">
        <f aca="false">IF(IsPro,IF($D1129="","",IF(OR($H1129="",$H1129="Credit"),0,P1129)),"")</f>
        <v/>
      </c>
    </row>
    <row r="1130" customFormat="false" ht="15" hidden="false" customHeight="false" outlineLevel="0" collapsed="false">
      <c r="A1130" s="55"/>
      <c r="B1130" s="56"/>
      <c r="C1130" s="56"/>
      <c r="D1130" s="56"/>
      <c r="E1130" s="57"/>
      <c r="F1130" s="58"/>
      <c r="G1130" s="59"/>
      <c r="H1130" s="56"/>
      <c r="I1130" s="60" t="str">
        <f aca="false">IF(IsPro,IF($D1130="","",IFERROR(INDEX(Items!$D$5:$D$504,Q1130),"")),IF($D1130="","","PRO PLAN"))</f>
        <v/>
      </c>
      <c r="J1130" s="61" t="str">
        <f aca="false">IF(IsPro,IF($D1130="","",IF($F1130="",IFERROR(INDEX(Items!$G$5:$G$504,Q1130),0),$F1130)),"")</f>
        <v/>
      </c>
      <c r="K1130" s="61" t="str">
        <f aca="false">IF(IsPro,IF($D1130="","",ROUND(N($E1130)*J1130*(1-N($G1130)),2)),"")</f>
        <v/>
      </c>
      <c r="L1130" s="62" t="str">
        <f aca="false">IF(IsPro,IF($D1130="","",IFERROR(INDEX(Items!$F$5:$F$504,Q1130),0)),"")</f>
        <v/>
      </c>
      <c r="M1130" s="61" t="str">
        <f aca="false">IF(IsPro,IF($D1130="","",IF(AND(R1130&lt;&gt;"",INDEX(Parties!$E$5:$E$304,R1130)&lt;&gt;"",INDEX(Parties!$E$5:$E$304,R1130)&lt;&gt;HomeState),0,ROUND(K1130*L1130/2,2))),"")</f>
        <v/>
      </c>
      <c r="N1130" s="61" t="str">
        <f aca="false">IF(IsPro,IF($D1130="","",M1130),"")</f>
        <v/>
      </c>
      <c r="O1130" s="61" t="str">
        <f aca="false">IF(IsPro,IF($D1130="","",IF(AND(R1130&lt;&gt;"",INDEX(Parties!$E$5:$E$304,R1130)&lt;&gt;"",INDEX(Parties!$E$5:$E$304,R1130)&lt;&gt;HomeState),ROUND(K1130*L1130,2),0)),"")</f>
        <v/>
      </c>
      <c r="P1130" s="61" t="str">
        <f aca="false">IF(IsPro,IF($D1130="","",K1130+M1130+N1130+O1130),"")</f>
        <v/>
      </c>
      <c r="Q1130" s="60" t="str">
        <f aca="false">IF(IsPro,IF($D1130="","",IFERROR(MATCH($D1130,Items!$A$5:$A$504,0),"")),"")</f>
        <v/>
      </c>
      <c r="R1130" s="60" t="str">
        <f aca="false">IF(IsPro,IF($C1130="","",IFERROR(MATCH($C1130,Parties!$A$5:$A$304,0),"")),"")</f>
        <v/>
      </c>
      <c r="S1130" s="61" t="str">
        <f aca="false">IF(IsPro,IF($D1130="","",IF(OR($H1130="",$H1130="Credit"),0,P1130)),"")</f>
        <v/>
      </c>
    </row>
    <row r="1131" customFormat="false" ht="15" hidden="false" customHeight="false" outlineLevel="0" collapsed="false">
      <c r="A1131" s="55"/>
      <c r="B1131" s="56"/>
      <c r="C1131" s="56"/>
      <c r="D1131" s="56"/>
      <c r="E1131" s="57"/>
      <c r="F1131" s="58"/>
      <c r="G1131" s="59"/>
      <c r="H1131" s="56"/>
      <c r="I1131" s="60" t="str">
        <f aca="false">IF(IsPro,IF($D1131="","",IFERROR(INDEX(Items!$D$5:$D$504,Q1131),"")),IF($D1131="","","PRO PLAN"))</f>
        <v/>
      </c>
      <c r="J1131" s="61" t="str">
        <f aca="false">IF(IsPro,IF($D1131="","",IF($F1131="",IFERROR(INDEX(Items!$G$5:$G$504,Q1131),0),$F1131)),"")</f>
        <v/>
      </c>
      <c r="K1131" s="61" t="str">
        <f aca="false">IF(IsPro,IF($D1131="","",ROUND(N($E1131)*J1131*(1-N($G1131)),2)),"")</f>
        <v/>
      </c>
      <c r="L1131" s="62" t="str">
        <f aca="false">IF(IsPro,IF($D1131="","",IFERROR(INDEX(Items!$F$5:$F$504,Q1131),0)),"")</f>
        <v/>
      </c>
      <c r="M1131" s="61" t="str">
        <f aca="false">IF(IsPro,IF($D1131="","",IF(AND(R1131&lt;&gt;"",INDEX(Parties!$E$5:$E$304,R1131)&lt;&gt;"",INDEX(Parties!$E$5:$E$304,R1131)&lt;&gt;HomeState),0,ROUND(K1131*L1131/2,2))),"")</f>
        <v/>
      </c>
      <c r="N1131" s="61" t="str">
        <f aca="false">IF(IsPro,IF($D1131="","",M1131),"")</f>
        <v/>
      </c>
      <c r="O1131" s="61" t="str">
        <f aca="false">IF(IsPro,IF($D1131="","",IF(AND(R1131&lt;&gt;"",INDEX(Parties!$E$5:$E$304,R1131)&lt;&gt;"",INDEX(Parties!$E$5:$E$304,R1131)&lt;&gt;HomeState),ROUND(K1131*L1131,2),0)),"")</f>
        <v/>
      </c>
      <c r="P1131" s="61" t="str">
        <f aca="false">IF(IsPro,IF($D1131="","",K1131+M1131+N1131+O1131),"")</f>
        <v/>
      </c>
      <c r="Q1131" s="60" t="str">
        <f aca="false">IF(IsPro,IF($D1131="","",IFERROR(MATCH($D1131,Items!$A$5:$A$504,0),"")),"")</f>
        <v/>
      </c>
      <c r="R1131" s="60" t="str">
        <f aca="false">IF(IsPro,IF($C1131="","",IFERROR(MATCH($C1131,Parties!$A$5:$A$304,0),"")),"")</f>
        <v/>
      </c>
      <c r="S1131" s="61" t="str">
        <f aca="false">IF(IsPro,IF($D1131="","",IF(OR($H1131="",$H1131="Credit"),0,P1131)),"")</f>
        <v/>
      </c>
    </row>
    <row r="1132" customFormat="false" ht="15" hidden="false" customHeight="false" outlineLevel="0" collapsed="false">
      <c r="A1132" s="55"/>
      <c r="B1132" s="56"/>
      <c r="C1132" s="56"/>
      <c r="D1132" s="56"/>
      <c r="E1132" s="57"/>
      <c r="F1132" s="58"/>
      <c r="G1132" s="59"/>
      <c r="H1132" s="56"/>
      <c r="I1132" s="60" t="str">
        <f aca="false">IF(IsPro,IF($D1132="","",IFERROR(INDEX(Items!$D$5:$D$504,Q1132),"")),IF($D1132="","","PRO PLAN"))</f>
        <v/>
      </c>
      <c r="J1132" s="61" t="str">
        <f aca="false">IF(IsPro,IF($D1132="","",IF($F1132="",IFERROR(INDEX(Items!$G$5:$G$504,Q1132),0),$F1132)),"")</f>
        <v/>
      </c>
      <c r="K1132" s="61" t="str">
        <f aca="false">IF(IsPro,IF($D1132="","",ROUND(N($E1132)*J1132*(1-N($G1132)),2)),"")</f>
        <v/>
      </c>
      <c r="L1132" s="62" t="str">
        <f aca="false">IF(IsPro,IF($D1132="","",IFERROR(INDEX(Items!$F$5:$F$504,Q1132),0)),"")</f>
        <v/>
      </c>
      <c r="M1132" s="61" t="str">
        <f aca="false">IF(IsPro,IF($D1132="","",IF(AND(R1132&lt;&gt;"",INDEX(Parties!$E$5:$E$304,R1132)&lt;&gt;"",INDEX(Parties!$E$5:$E$304,R1132)&lt;&gt;HomeState),0,ROUND(K1132*L1132/2,2))),"")</f>
        <v/>
      </c>
      <c r="N1132" s="61" t="str">
        <f aca="false">IF(IsPro,IF($D1132="","",M1132),"")</f>
        <v/>
      </c>
      <c r="O1132" s="61" t="str">
        <f aca="false">IF(IsPro,IF($D1132="","",IF(AND(R1132&lt;&gt;"",INDEX(Parties!$E$5:$E$304,R1132)&lt;&gt;"",INDEX(Parties!$E$5:$E$304,R1132)&lt;&gt;HomeState),ROUND(K1132*L1132,2),0)),"")</f>
        <v/>
      </c>
      <c r="P1132" s="61" t="str">
        <f aca="false">IF(IsPro,IF($D1132="","",K1132+M1132+N1132+O1132),"")</f>
        <v/>
      </c>
      <c r="Q1132" s="60" t="str">
        <f aca="false">IF(IsPro,IF($D1132="","",IFERROR(MATCH($D1132,Items!$A$5:$A$504,0),"")),"")</f>
        <v/>
      </c>
      <c r="R1132" s="60" t="str">
        <f aca="false">IF(IsPro,IF($C1132="","",IFERROR(MATCH($C1132,Parties!$A$5:$A$304,0),"")),"")</f>
        <v/>
      </c>
      <c r="S1132" s="61" t="str">
        <f aca="false">IF(IsPro,IF($D1132="","",IF(OR($H1132="",$H1132="Credit"),0,P1132)),"")</f>
        <v/>
      </c>
    </row>
    <row r="1133" customFormat="false" ht="15" hidden="false" customHeight="false" outlineLevel="0" collapsed="false">
      <c r="A1133" s="55"/>
      <c r="B1133" s="56"/>
      <c r="C1133" s="56"/>
      <c r="D1133" s="56"/>
      <c r="E1133" s="57"/>
      <c r="F1133" s="58"/>
      <c r="G1133" s="59"/>
      <c r="H1133" s="56"/>
      <c r="I1133" s="60" t="str">
        <f aca="false">IF(IsPro,IF($D1133="","",IFERROR(INDEX(Items!$D$5:$D$504,Q1133),"")),IF($D1133="","","PRO PLAN"))</f>
        <v/>
      </c>
      <c r="J1133" s="61" t="str">
        <f aca="false">IF(IsPro,IF($D1133="","",IF($F1133="",IFERROR(INDEX(Items!$G$5:$G$504,Q1133),0),$F1133)),"")</f>
        <v/>
      </c>
      <c r="K1133" s="61" t="str">
        <f aca="false">IF(IsPro,IF($D1133="","",ROUND(N($E1133)*J1133*(1-N($G1133)),2)),"")</f>
        <v/>
      </c>
      <c r="L1133" s="62" t="str">
        <f aca="false">IF(IsPro,IF($D1133="","",IFERROR(INDEX(Items!$F$5:$F$504,Q1133),0)),"")</f>
        <v/>
      </c>
      <c r="M1133" s="61" t="str">
        <f aca="false">IF(IsPro,IF($D1133="","",IF(AND(R1133&lt;&gt;"",INDEX(Parties!$E$5:$E$304,R1133)&lt;&gt;"",INDEX(Parties!$E$5:$E$304,R1133)&lt;&gt;HomeState),0,ROUND(K1133*L1133/2,2))),"")</f>
        <v/>
      </c>
      <c r="N1133" s="61" t="str">
        <f aca="false">IF(IsPro,IF($D1133="","",M1133),"")</f>
        <v/>
      </c>
      <c r="O1133" s="61" t="str">
        <f aca="false">IF(IsPro,IF($D1133="","",IF(AND(R1133&lt;&gt;"",INDEX(Parties!$E$5:$E$304,R1133)&lt;&gt;"",INDEX(Parties!$E$5:$E$304,R1133)&lt;&gt;HomeState),ROUND(K1133*L1133,2),0)),"")</f>
        <v/>
      </c>
      <c r="P1133" s="61" t="str">
        <f aca="false">IF(IsPro,IF($D1133="","",K1133+M1133+N1133+O1133),"")</f>
        <v/>
      </c>
      <c r="Q1133" s="60" t="str">
        <f aca="false">IF(IsPro,IF($D1133="","",IFERROR(MATCH($D1133,Items!$A$5:$A$504,0),"")),"")</f>
        <v/>
      </c>
      <c r="R1133" s="60" t="str">
        <f aca="false">IF(IsPro,IF($C1133="","",IFERROR(MATCH($C1133,Parties!$A$5:$A$304,0),"")),"")</f>
        <v/>
      </c>
      <c r="S1133" s="61" t="str">
        <f aca="false">IF(IsPro,IF($D1133="","",IF(OR($H1133="",$H1133="Credit"),0,P1133)),"")</f>
        <v/>
      </c>
    </row>
    <row r="1134" customFormat="false" ht="15" hidden="false" customHeight="false" outlineLevel="0" collapsed="false">
      <c r="A1134" s="55"/>
      <c r="B1134" s="56"/>
      <c r="C1134" s="56"/>
      <c r="D1134" s="56"/>
      <c r="E1134" s="57"/>
      <c r="F1134" s="58"/>
      <c r="G1134" s="59"/>
      <c r="H1134" s="56"/>
      <c r="I1134" s="60" t="str">
        <f aca="false">IF(IsPro,IF($D1134="","",IFERROR(INDEX(Items!$D$5:$D$504,Q1134),"")),IF($D1134="","","PRO PLAN"))</f>
        <v/>
      </c>
      <c r="J1134" s="61" t="str">
        <f aca="false">IF(IsPro,IF($D1134="","",IF($F1134="",IFERROR(INDEX(Items!$G$5:$G$504,Q1134),0),$F1134)),"")</f>
        <v/>
      </c>
      <c r="K1134" s="61" t="str">
        <f aca="false">IF(IsPro,IF($D1134="","",ROUND(N($E1134)*J1134*(1-N($G1134)),2)),"")</f>
        <v/>
      </c>
      <c r="L1134" s="62" t="str">
        <f aca="false">IF(IsPro,IF($D1134="","",IFERROR(INDEX(Items!$F$5:$F$504,Q1134),0)),"")</f>
        <v/>
      </c>
      <c r="M1134" s="61" t="str">
        <f aca="false">IF(IsPro,IF($D1134="","",IF(AND(R1134&lt;&gt;"",INDEX(Parties!$E$5:$E$304,R1134)&lt;&gt;"",INDEX(Parties!$E$5:$E$304,R1134)&lt;&gt;HomeState),0,ROUND(K1134*L1134/2,2))),"")</f>
        <v/>
      </c>
      <c r="N1134" s="61" t="str">
        <f aca="false">IF(IsPro,IF($D1134="","",M1134),"")</f>
        <v/>
      </c>
      <c r="O1134" s="61" t="str">
        <f aca="false">IF(IsPro,IF($D1134="","",IF(AND(R1134&lt;&gt;"",INDEX(Parties!$E$5:$E$304,R1134)&lt;&gt;"",INDEX(Parties!$E$5:$E$304,R1134)&lt;&gt;HomeState),ROUND(K1134*L1134,2),0)),"")</f>
        <v/>
      </c>
      <c r="P1134" s="61" t="str">
        <f aca="false">IF(IsPro,IF($D1134="","",K1134+M1134+N1134+O1134),"")</f>
        <v/>
      </c>
      <c r="Q1134" s="60" t="str">
        <f aca="false">IF(IsPro,IF($D1134="","",IFERROR(MATCH($D1134,Items!$A$5:$A$504,0),"")),"")</f>
        <v/>
      </c>
      <c r="R1134" s="60" t="str">
        <f aca="false">IF(IsPro,IF($C1134="","",IFERROR(MATCH($C1134,Parties!$A$5:$A$304,0),"")),"")</f>
        <v/>
      </c>
      <c r="S1134" s="61" t="str">
        <f aca="false">IF(IsPro,IF($D1134="","",IF(OR($H1134="",$H1134="Credit"),0,P1134)),"")</f>
        <v/>
      </c>
    </row>
    <row r="1135" customFormat="false" ht="15" hidden="false" customHeight="false" outlineLevel="0" collapsed="false">
      <c r="A1135" s="55"/>
      <c r="B1135" s="56"/>
      <c r="C1135" s="56"/>
      <c r="D1135" s="56"/>
      <c r="E1135" s="57"/>
      <c r="F1135" s="58"/>
      <c r="G1135" s="59"/>
      <c r="H1135" s="56"/>
      <c r="I1135" s="60" t="str">
        <f aca="false">IF(IsPro,IF($D1135="","",IFERROR(INDEX(Items!$D$5:$D$504,Q1135),"")),IF($D1135="","","PRO PLAN"))</f>
        <v/>
      </c>
      <c r="J1135" s="61" t="str">
        <f aca="false">IF(IsPro,IF($D1135="","",IF($F1135="",IFERROR(INDEX(Items!$G$5:$G$504,Q1135),0),$F1135)),"")</f>
        <v/>
      </c>
      <c r="K1135" s="61" t="str">
        <f aca="false">IF(IsPro,IF($D1135="","",ROUND(N($E1135)*J1135*(1-N($G1135)),2)),"")</f>
        <v/>
      </c>
      <c r="L1135" s="62" t="str">
        <f aca="false">IF(IsPro,IF($D1135="","",IFERROR(INDEX(Items!$F$5:$F$504,Q1135),0)),"")</f>
        <v/>
      </c>
      <c r="M1135" s="61" t="str">
        <f aca="false">IF(IsPro,IF($D1135="","",IF(AND(R1135&lt;&gt;"",INDEX(Parties!$E$5:$E$304,R1135)&lt;&gt;"",INDEX(Parties!$E$5:$E$304,R1135)&lt;&gt;HomeState),0,ROUND(K1135*L1135/2,2))),"")</f>
        <v/>
      </c>
      <c r="N1135" s="61" t="str">
        <f aca="false">IF(IsPro,IF($D1135="","",M1135),"")</f>
        <v/>
      </c>
      <c r="O1135" s="61" t="str">
        <f aca="false">IF(IsPro,IF($D1135="","",IF(AND(R1135&lt;&gt;"",INDEX(Parties!$E$5:$E$304,R1135)&lt;&gt;"",INDEX(Parties!$E$5:$E$304,R1135)&lt;&gt;HomeState),ROUND(K1135*L1135,2),0)),"")</f>
        <v/>
      </c>
      <c r="P1135" s="61" t="str">
        <f aca="false">IF(IsPro,IF($D1135="","",K1135+M1135+N1135+O1135),"")</f>
        <v/>
      </c>
      <c r="Q1135" s="60" t="str">
        <f aca="false">IF(IsPro,IF($D1135="","",IFERROR(MATCH($D1135,Items!$A$5:$A$504,0),"")),"")</f>
        <v/>
      </c>
      <c r="R1135" s="60" t="str">
        <f aca="false">IF(IsPro,IF($C1135="","",IFERROR(MATCH($C1135,Parties!$A$5:$A$304,0),"")),"")</f>
        <v/>
      </c>
      <c r="S1135" s="61" t="str">
        <f aca="false">IF(IsPro,IF($D1135="","",IF(OR($H1135="",$H1135="Credit"),0,P1135)),"")</f>
        <v/>
      </c>
    </row>
    <row r="1136" customFormat="false" ht="15" hidden="false" customHeight="false" outlineLevel="0" collapsed="false">
      <c r="A1136" s="55"/>
      <c r="B1136" s="56"/>
      <c r="C1136" s="56"/>
      <c r="D1136" s="56"/>
      <c r="E1136" s="57"/>
      <c r="F1136" s="58"/>
      <c r="G1136" s="59"/>
      <c r="H1136" s="56"/>
      <c r="I1136" s="60" t="str">
        <f aca="false">IF(IsPro,IF($D1136="","",IFERROR(INDEX(Items!$D$5:$D$504,Q1136),"")),IF($D1136="","","PRO PLAN"))</f>
        <v/>
      </c>
      <c r="J1136" s="61" t="str">
        <f aca="false">IF(IsPro,IF($D1136="","",IF($F1136="",IFERROR(INDEX(Items!$G$5:$G$504,Q1136),0),$F1136)),"")</f>
        <v/>
      </c>
      <c r="K1136" s="61" t="str">
        <f aca="false">IF(IsPro,IF($D1136="","",ROUND(N($E1136)*J1136*(1-N($G1136)),2)),"")</f>
        <v/>
      </c>
      <c r="L1136" s="62" t="str">
        <f aca="false">IF(IsPro,IF($D1136="","",IFERROR(INDEX(Items!$F$5:$F$504,Q1136),0)),"")</f>
        <v/>
      </c>
      <c r="M1136" s="61" t="str">
        <f aca="false">IF(IsPro,IF($D1136="","",IF(AND(R1136&lt;&gt;"",INDEX(Parties!$E$5:$E$304,R1136)&lt;&gt;"",INDEX(Parties!$E$5:$E$304,R1136)&lt;&gt;HomeState),0,ROUND(K1136*L1136/2,2))),"")</f>
        <v/>
      </c>
      <c r="N1136" s="61" t="str">
        <f aca="false">IF(IsPro,IF($D1136="","",M1136),"")</f>
        <v/>
      </c>
      <c r="O1136" s="61" t="str">
        <f aca="false">IF(IsPro,IF($D1136="","",IF(AND(R1136&lt;&gt;"",INDEX(Parties!$E$5:$E$304,R1136)&lt;&gt;"",INDEX(Parties!$E$5:$E$304,R1136)&lt;&gt;HomeState),ROUND(K1136*L1136,2),0)),"")</f>
        <v/>
      </c>
      <c r="P1136" s="61" t="str">
        <f aca="false">IF(IsPro,IF($D1136="","",K1136+M1136+N1136+O1136),"")</f>
        <v/>
      </c>
      <c r="Q1136" s="60" t="str">
        <f aca="false">IF(IsPro,IF($D1136="","",IFERROR(MATCH($D1136,Items!$A$5:$A$504,0),"")),"")</f>
        <v/>
      </c>
      <c r="R1136" s="60" t="str">
        <f aca="false">IF(IsPro,IF($C1136="","",IFERROR(MATCH($C1136,Parties!$A$5:$A$304,0),"")),"")</f>
        <v/>
      </c>
      <c r="S1136" s="61" t="str">
        <f aca="false">IF(IsPro,IF($D1136="","",IF(OR($H1136="",$H1136="Credit"),0,P1136)),"")</f>
        <v/>
      </c>
    </row>
    <row r="1137" customFormat="false" ht="15" hidden="false" customHeight="false" outlineLevel="0" collapsed="false">
      <c r="A1137" s="55"/>
      <c r="B1137" s="56"/>
      <c r="C1137" s="56"/>
      <c r="D1137" s="56"/>
      <c r="E1137" s="57"/>
      <c r="F1137" s="58"/>
      <c r="G1137" s="59"/>
      <c r="H1137" s="56"/>
      <c r="I1137" s="60" t="str">
        <f aca="false">IF(IsPro,IF($D1137="","",IFERROR(INDEX(Items!$D$5:$D$504,Q1137),"")),IF($D1137="","","PRO PLAN"))</f>
        <v/>
      </c>
      <c r="J1137" s="61" t="str">
        <f aca="false">IF(IsPro,IF($D1137="","",IF($F1137="",IFERROR(INDEX(Items!$G$5:$G$504,Q1137),0),$F1137)),"")</f>
        <v/>
      </c>
      <c r="K1137" s="61" t="str">
        <f aca="false">IF(IsPro,IF($D1137="","",ROUND(N($E1137)*J1137*(1-N($G1137)),2)),"")</f>
        <v/>
      </c>
      <c r="L1137" s="62" t="str">
        <f aca="false">IF(IsPro,IF($D1137="","",IFERROR(INDEX(Items!$F$5:$F$504,Q1137),0)),"")</f>
        <v/>
      </c>
      <c r="M1137" s="61" t="str">
        <f aca="false">IF(IsPro,IF($D1137="","",IF(AND(R1137&lt;&gt;"",INDEX(Parties!$E$5:$E$304,R1137)&lt;&gt;"",INDEX(Parties!$E$5:$E$304,R1137)&lt;&gt;HomeState),0,ROUND(K1137*L1137/2,2))),"")</f>
        <v/>
      </c>
      <c r="N1137" s="61" t="str">
        <f aca="false">IF(IsPro,IF($D1137="","",M1137),"")</f>
        <v/>
      </c>
      <c r="O1137" s="61" t="str">
        <f aca="false">IF(IsPro,IF($D1137="","",IF(AND(R1137&lt;&gt;"",INDEX(Parties!$E$5:$E$304,R1137)&lt;&gt;"",INDEX(Parties!$E$5:$E$304,R1137)&lt;&gt;HomeState),ROUND(K1137*L1137,2),0)),"")</f>
        <v/>
      </c>
      <c r="P1137" s="61" t="str">
        <f aca="false">IF(IsPro,IF($D1137="","",K1137+M1137+N1137+O1137),"")</f>
        <v/>
      </c>
      <c r="Q1137" s="60" t="str">
        <f aca="false">IF(IsPro,IF($D1137="","",IFERROR(MATCH($D1137,Items!$A$5:$A$504,0),"")),"")</f>
        <v/>
      </c>
      <c r="R1137" s="60" t="str">
        <f aca="false">IF(IsPro,IF($C1137="","",IFERROR(MATCH($C1137,Parties!$A$5:$A$304,0),"")),"")</f>
        <v/>
      </c>
      <c r="S1137" s="61" t="str">
        <f aca="false">IF(IsPro,IF($D1137="","",IF(OR($H1137="",$H1137="Credit"),0,P1137)),"")</f>
        <v/>
      </c>
    </row>
    <row r="1138" customFormat="false" ht="15" hidden="false" customHeight="false" outlineLevel="0" collapsed="false">
      <c r="A1138" s="55"/>
      <c r="B1138" s="56"/>
      <c r="C1138" s="56"/>
      <c r="D1138" s="56"/>
      <c r="E1138" s="57"/>
      <c r="F1138" s="58"/>
      <c r="G1138" s="59"/>
      <c r="H1138" s="56"/>
      <c r="I1138" s="60" t="str">
        <f aca="false">IF(IsPro,IF($D1138="","",IFERROR(INDEX(Items!$D$5:$D$504,Q1138),"")),IF($D1138="","","PRO PLAN"))</f>
        <v/>
      </c>
      <c r="J1138" s="61" t="str">
        <f aca="false">IF(IsPro,IF($D1138="","",IF($F1138="",IFERROR(INDEX(Items!$G$5:$G$504,Q1138),0),$F1138)),"")</f>
        <v/>
      </c>
      <c r="K1138" s="61" t="str">
        <f aca="false">IF(IsPro,IF($D1138="","",ROUND(N($E1138)*J1138*(1-N($G1138)),2)),"")</f>
        <v/>
      </c>
      <c r="L1138" s="62" t="str">
        <f aca="false">IF(IsPro,IF($D1138="","",IFERROR(INDEX(Items!$F$5:$F$504,Q1138),0)),"")</f>
        <v/>
      </c>
      <c r="M1138" s="61" t="str">
        <f aca="false">IF(IsPro,IF($D1138="","",IF(AND(R1138&lt;&gt;"",INDEX(Parties!$E$5:$E$304,R1138)&lt;&gt;"",INDEX(Parties!$E$5:$E$304,R1138)&lt;&gt;HomeState),0,ROUND(K1138*L1138/2,2))),"")</f>
        <v/>
      </c>
      <c r="N1138" s="61" t="str">
        <f aca="false">IF(IsPro,IF($D1138="","",M1138),"")</f>
        <v/>
      </c>
      <c r="O1138" s="61" t="str">
        <f aca="false">IF(IsPro,IF($D1138="","",IF(AND(R1138&lt;&gt;"",INDEX(Parties!$E$5:$E$304,R1138)&lt;&gt;"",INDEX(Parties!$E$5:$E$304,R1138)&lt;&gt;HomeState),ROUND(K1138*L1138,2),0)),"")</f>
        <v/>
      </c>
      <c r="P1138" s="61" t="str">
        <f aca="false">IF(IsPro,IF($D1138="","",K1138+M1138+N1138+O1138),"")</f>
        <v/>
      </c>
      <c r="Q1138" s="60" t="str">
        <f aca="false">IF(IsPro,IF($D1138="","",IFERROR(MATCH($D1138,Items!$A$5:$A$504,0),"")),"")</f>
        <v/>
      </c>
      <c r="R1138" s="60" t="str">
        <f aca="false">IF(IsPro,IF($C1138="","",IFERROR(MATCH($C1138,Parties!$A$5:$A$304,0),"")),"")</f>
        <v/>
      </c>
      <c r="S1138" s="61" t="str">
        <f aca="false">IF(IsPro,IF($D1138="","",IF(OR($H1138="",$H1138="Credit"),0,P1138)),"")</f>
        <v/>
      </c>
    </row>
    <row r="1139" customFormat="false" ht="15" hidden="false" customHeight="false" outlineLevel="0" collapsed="false">
      <c r="A1139" s="55"/>
      <c r="B1139" s="56"/>
      <c r="C1139" s="56"/>
      <c r="D1139" s="56"/>
      <c r="E1139" s="57"/>
      <c r="F1139" s="58"/>
      <c r="G1139" s="59"/>
      <c r="H1139" s="56"/>
      <c r="I1139" s="60" t="str">
        <f aca="false">IF(IsPro,IF($D1139="","",IFERROR(INDEX(Items!$D$5:$D$504,Q1139),"")),IF($D1139="","","PRO PLAN"))</f>
        <v/>
      </c>
      <c r="J1139" s="61" t="str">
        <f aca="false">IF(IsPro,IF($D1139="","",IF($F1139="",IFERROR(INDEX(Items!$G$5:$G$504,Q1139),0),$F1139)),"")</f>
        <v/>
      </c>
      <c r="K1139" s="61" t="str">
        <f aca="false">IF(IsPro,IF($D1139="","",ROUND(N($E1139)*J1139*(1-N($G1139)),2)),"")</f>
        <v/>
      </c>
      <c r="L1139" s="62" t="str">
        <f aca="false">IF(IsPro,IF($D1139="","",IFERROR(INDEX(Items!$F$5:$F$504,Q1139),0)),"")</f>
        <v/>
      </c>
      <c r="M1139" s="61" t="str">
        <f aca="false">IF(IsPro,IF($D1139="","",IF(AND(R1139&lt;&gt;"",INDEX(Parties!$E$5:$E$304,R1139)&lt;&gt;"",INDEX(Parties!$E$5:$E$304,R1139)&lt;&gt;HomeState),0,ROUND(K1139*L1139/2,2))),"")</f>
        <v/>
      </c>
      <c r="N1139" s="61" t="str">
        <f aca="false">IF(IsPro,IF($D1139="","",M1139),"")</f>
        <v/>
      </c>
      <c r="O1139" s="61" t="str">
        <f aca="false">IF(IsPro,IF($D1139="","",IF(AND(R1139&lt;&gt;"",INDEX(Parties!$E$5:$E$304,R1139)&lt;&gt;"",INDEX(Parties!$E$5:$E$304,R1139)&lt;&gt;HomeState),ROUND(K1139*L1139,2),0)),"")</f>
        <v/>
      </c>
      <c r="P1139" s="61" t="str">
        <f aca="false">IF(IsPro,IF($D1139="","",K1139+M1139+N1139+O1139),"")</f>
        <v/>
      </c>
      <c r="Q1139" s="60" t="str">
        <f aca="false">IF(IsPro,IF($D1139="","",IFERROR(MATCH($D1139,Items!$A$5:$A$504,0),"")),"")</f>
        <v/>
      </c>
      <c r="R1139" s="60" t="str">
        <f aca="false">IF(IsPro,IF($C1139="","",IFERROR(MATCH($C1139,Parties!$A$5:$A$304,0),"")),"")</f>
        <v/>
      </c>
      <c r="S1139" s="61" t="str">
        <f aca="false">IF(IsPro,IF($D1139="","",IF(OR($H1139="",$H1139="Credit"),0,P1139)),"")</f>
        <v/>
      </c>
    </row>
    <row r="1140" customFormat="false" ht="15" hidden="false" customHeight="false" outlineLevel="0" collapsed="false">
      <c r="A1140" s="55"/>
      <c r="B1140" s="56"/>
      <c r="C1140" s="56"/>
      <c r="D1140" s="56"/>
      <c r="E1140" s="57"/>
      <c r="F1140" s="58"/>
      <c r="G1140" s="59"/>
      <c r="H1140" s="56"/>
      <c r="I1140" s="60" t="str">
        <f aca="false">IF(IsPro,IF($D1140="","",IFERROR(INDEX(Items!$D$5:$D$504,Q1140),"")),IF($D1140="","","PRO PLAN"))</f>
        <v/>
      </c>
      <c r="J1140" s="61" t="str">
        <f aca="false">IF(IsPro,IF($D1140="","",IF($F1140="",IFERROR(INDEX(Items!$G$5:$G$504,Q1140),0),$F1140)),"")</f>
        <v/>
      </c>
      <c r="K1140" s="61" t="str">
        <f aca="false">IF(IsPro,IF($D1140="","",ROUND(N($E1140)*J1140*(1-N($G1140)),2)),"")</f>
        <v/>
      </c>
      <c r="L1140" s="62" t="str">
        <f aca="false">IF(IsPro,IF($D1140="","",IFERROR(INDEX(Items!$F$5:$F$504,Q1140),0)),"")</f>
        <v/>
      </c>
      <c r="M1140" s="61" t="str">
        <f aca="false">IF(IsPro,IF($D1140="","",IF(AND(R1140&lt;&gt;"",INDEX(Parties!$E$5:$E$304,R1140)&lt;&gt;"",INDEX(Parties!$E$5:$E$304,R1140)&lt;&gt;HomeState),0,ROUND(K1140*L1140/2,2))),"")</f>
        <v/>
      </c>
      <c r="N1140" s="61" t="str">
        <f aca="false">IF(IsPro,IF($D1140="","",M1140),"")</f>
        <v/>
      </c>
      <c r="O1140" s="61" t="str">
        <f aca="false">IF(IsPro,IF($D1140="","",IF(AND(R1140&lt;&gt;"",INDEX(Parties!$E$5:$E$304,R1140)&lt;&gt;"",INDEX(Parties!$E$5:$E$304,R1140)&lt;&gt;HomeState),ROUND(K1140*L1140,2),0)),"")</f>
        <v/>
      </c>
      <c r="P1140" s="61" t="str">
        <f aca="false">IF(IsPro,IF($D1140="","",K1140+M1140+N1140+O1140),"")</f>
        <v/>
      </c>
      <c r="Q1140" s="60" t="str">
        <f aca="false">IF(IsPro,IF($D1140="","",IFERROR(MATCH($D1140,Items!$A$5:$A$504,0),"")),"")</f>
        <v/>
      </c>
      <c r="R1140" s="60" t="str">
        <f aca="false">IF(IsPro,IF($C1140="","",IFERROR(MATCH($C1140,Parties!$A$5:$A$304,0),"")),"")</f>
        <v/>
      </c>
      <c r="S1140" s="61" t="str">
        <f aca="false">IF(IsPro,IF($D1140="","",IF(OR($H1140="",$H1140="Credit"),0,P1140)),"")</f>
        <v/>
      </c>
    </row>
    <row r="1141" customFormat="false" ht="15" hidden="false" customHeight="false" outlineLevel="0" collapsed="false">
      <c r="A1141" s="55"/>
      <c r="B1141" s="56"/>
      <c r="C1141" s="56"/>
      <c r="D1141" s="56"/>
      <c r="E1141" s="57"/>
      <c r="F1141" s="58"/>
      <c r="G1141" s="59"/>
      <c r="H1141" s="56"/>
      <c r="I1141" s="60" t="str">
        <f aca="false">IF(IsPro,IF($D1141="","",IFERROR(INDEX(Items!$D$5:$D$504,Q1141),"")),IF($D1141="","","PRO PLAN"))</f>
        <v/>
      </c>
      <c r="J1141" s="61" t="str">
        <f aca="false">IF(IsPro,IF($D1141="","",IF($F1141="",IFERROR(INDEX(Items!$G$5:$G$504,Q1141),0),$F1141)),"")</f>
        <v/>
      </c>
      <c r="K1141" s="61" t="str">
        <f aca="false">IF(IsPro,IF($D1141="","",ROUND(N($E1141)*J1141*(1-N($G1141)),2)),"")</f>
        <v/>
      </c>
      <c r="L1141" s="62" t="str">
        <f aca="false">IF(IsPro,IF($D1141="","",IFERROR(INDEX(Items!$F$5:$F$504,Q1141),0)),"")</f>
        <v/>
      </c>
      <c r="M1141" s="61" t="str">
        <f aca="false">IF(IsPro,IF($D1141="","",IF(AND(R1141&lt;&gt;"",INDEX(Parties!$E$5:$E$304,R1141)&lt;&gt;"",INDEX(Parties!$E$5:$E$304,R1141)&lt;&gt;HomeState),0,ROUND(K1141*L1141/2,2))),"")</f>
        <v/>
      </c>
      <c r="N1141" s="61" t="str">
        <f aca="false">IF(IsPro,IF($D1141="","",M1141),"")</f>
        <v/>
      </c>
      <c r="O1141" s="61" t="str">
        <f aca="false">IF(IsPro,IF($D1141="","",IF(AND(R1141&lt;&gt;"",INDEX(Parties!$E$5:$E$304,R1141)&lt;&gt;"",INDEX(Parties!$E$5:$E$304,R1141)&lt;&gt;HomeState),ROUND(K1141*L1141,2),0)),"")</f>
        <v/>
      </c>
      <c r="P1141" s="61" t="str">
        <f aca="false">IF(IsPro,IF($D1141="","",K1141+M1141+N1141+O1141),"")</f>
        <v/>
      </c>
      <c r="Q1141" s="60" t="str">
        <f aca="false">IF(IsPro,IF($D1141="","",IFERROR(MATCH($D1141,Items!$A$5:$A$504,0),"")),"")</f>
        <v/>
      </c>
      <c r="R1141" s="60" t="str">
        <f aca="false">IF(IsPro,IF($C1141="","",IFERROR(MATCH($C1141,Parties!$A$5:$A$304,0),"")),"")</f>
        <v/>
      </c>
      <c r="S1141" s="61" t="str">
        <f aca="false">IF(IsPro,IF($D1141="","",IF(OR($H1141="",$H1141="Credit"),0,P1141)),"")</f>
        <v/>
      </c>
    </row>
    <row r="1142" customFormat="false" ht="15" hidden="false" customHeight="false" outlineLevel="0" collapsed="false">
      <c r="A1142" s="55"/>
      <c r="B1142" s="56"/>
      <c r="C1142" s="56"/>
      <c r="D1142" s="56"/>
      <c r="E1142" s="57"/>
      <c r="F1142" s="58"/>
      <c r="G1142" s="59"/>
      <c r="H1142" s="56"/>
      <c r="I1142" s="60" t="str">
        <f aca="false">IF(IsPro,IF($D1142="","",IFERROR(INDEX(Items!$D$5:$D$504,Q1142),"")),IF($D1142="","","PRO PLAN"))</f>
        <v/>
      </c>
      <c r="J1142" s="61" t="str">
        <f aca="false">IF(IsPro,IF($D1142="","",IF($F1142="",IFERROR(INDEX(Items!$G$5:$G$504,Q1142),0),$F1142)),"")</f>
        <v/>
      </c>
      <c r="K1142" s="61" t="str">
        <f aca="false">IF(IsPro,IF($D1142="","",ROUND(N($E1142)*J1142*(1-N($G1142)),2)),"")</f>
        <v/>
      </c>
      <c r="L1142" s="62" t="str">
        <f aca="false">IF(IsPro,IF($D1142="","",IFERROR(INDEX(Items!$F$5:$F$504,Q1142),0)),"")</f>
        <v/>
      </c>
      <c r="M1142" s="61" t="str">
        <f aca="false">IF(IsPro,IF($D1142="","",IF(AND(R1142&lt;&gt;"",INDEX(Parties!$E$5:$E$304,R1142)&lt;&gt;"",INDEX(Parties!$E$5:$E$304,R1142)&lt;&gt;HomeState),0,ROUND(K1142*L1142/2,2))),"")</f>
        <v/>
      </c>
      <c r="N1142" s="61" t="str">
        <f aca="false">IF(IsPro,IF($D1142="","",M1142),"")</f>
        <v/>
      </c>
      <c r="O1142" s="61" t="str">
        <f aca="false">IF(IsPro,IF($D1142="","",IF(AND(R1142&lt;&gt;"",INDEX(Parties!$E$5:$E$304,R1142)&lt;&gt;"",INDEX(Parties!$E$5:$E$304,R1142)&lt;&gt;HomeState),ROUND(K1142*L1142,2),0)),"")</f>
        <v/>
      </c>
      <c r="P1142" s="61" t="str">
        <f aca="false">IF(IsPro,IF($D1142="","",K1142+M1142+N1142+O1142),"")</f>
        <v/>
      </c>
      <c r="Q1142" s="60" t="str">
        <f aca="false">IF(IsPro,IF($D1142="","",IFERROR(MATCH($D1142,Items!$A$5:$A$504,0),"")),"")</f>
        <v/>
      </c>
      <c r="R1142" s="60" t="str">
        <f aca="false">IF(IsPro,IF($C1142="","",IFERROR(MATCH($C1142,Parties!$A$5:$A$304,0),"")),"")</f>
        <v/>
      </c>
      <c r="S1142" s="61" t="str">
        <f aca="false">IF(IsPro,IF($D1142="","",IF(OR($H1142="",$H1142="Credit"),0,P1142)),"")</f>
        <v/>
      </c>
    </row>
    <row r="1143" customFormat="false" ht="15" hidden="false" customHeight="false" outlineLevel="0" collapsed="false">
      <c r="A1143" s="55"/>
      <c r="B1143" s="56"/>
      <c r="C1143" s="56"/>
      <c r="D1143" s="56"/>
      <c r="E1143" s="57"/>
      <c r="F1143" s="58"/>
      <c r="G1143" s="59"/>
      <c r="H1143" s="56"/>
      <c r="I1143" s="60" t="str">
        <f aca="false">IF(IsPro,IF($D1143="","",IFERROR(INDEX(Items!$D$5:$D$504,Q1143),"")),IF($D1143="","","PRO PLAN"))</f>
        <v/>
      </c>
      <c r="J1143" s="61" t="str">
        <f aca="false">IF(IsPro,IF($D1143="","",IF($F1143="",IFERROR(INDEX(Items!$G$5:$G$504,Q1143),0),$F1143)),"")</f>
        <v/>
      </c>
      <c r="K1143" s="61" t="str">
        <f aca="false">IF(IsPro,IF($D1143="","",ROUND(N($E1143)*J1143*(1-N($G1143)),2)),"")</f>
        <v/>
      </c>
      <c r="L1143" s="62" t="str">
        <f aca="false">IF(IsPro,IF($D1143="","",IFERROR(INDEX(Items!$F$5:$F$504,Q1143),0)),"")</f>
        <v/>
      </c>
      <c r="M1143" s="61" t="str">
        <f aca="false">IF(IsPro,IF($D1143="","",IF(AND(R1143&lt;&gt;"",INDEX(Parties!$E$5:$E$304,R1143)&lt;&gt;"",INDEX(Parties!$E$5:$E$304,R1143)&lt;&gt;HomeState),0,ROUND(K1143*L1143/2,2))),"")</f>
        <v/>
      </c>
      <c r="N1143" s="61" t="str">
        <f aca="false">IF(IsPro,IF($D1143="","",M1143),"")</f>
        <v/>
      </c>
      <c r="O1143" s="61" t="str">
        <f aca="false">IF(IsPro,IF($D1143="","",IF(AND(R1143&lt;&gt;"",INDEX(Parties!$E$5:$E$304,R1143)&lt;&gt;"",INDEX(Parties!$E$5:$E$304,R1143)&lt;&gt;HomeState),ROUND(K1143*L1143,2),0)),"")</f>
        <v/>
      </c>
      <c r="P1143" s="61" t="str">
        <f aca="false">IF(IsPro,IF($D1143="","",K1143+M1143+N1143+O1143),"")</f>
        <v/>
      </c>
      <c r="Q1143" s="60" t="str">
        <f aca="false">IF(IsPro,IF($D1143="","",IFERROR(MATCH($D1143,Items!$A$5:$A$504,0),"")),"")</f>
        <v/>
      </c>
      <c r="R1143" s="60" t="str">
        <f aca="false">IF(IsPro,IF($C1143="","",IFERROR(MATCH($C1143,Parties!$A$5:$A$304,0),"")),"")</f>
        <v/>
      </c>
      <c r="S1143" s="61" t="str">
        <f aca="false">IF(IsPro,IF($D1143="","",IF(OR($H1143="",$H1143="Credit"),0,P1143)),"")</f>
        <v/>
      </c>
    </row>
    <row r="1144" customFormat="false" ht="15" hidden="false" customHeight="false" outlineLevel="0" collapsed="false">
      <c r="A1144" s="55"/>
      <c r="B1144" s="56"/>
      <c r="C1144" s="56"/>
      <c r="D1144" s="56"/>
      <c r="E1144" s="57"/>
      <c r="F1144" s="58"/>
      <c r="G1144" s="59"/>
      <c r="H1144" s="56"/>
      <c r="I1144" s="60" t="str">
        <f aca="false">IF(IsPro,IF($D1144="","",IFERROR(INDEX(Items!$D$5:$D$504,Q1144),"")),IF($D1144="","","PRO PLAN"))</f>
        <v/>
      </c>
      <c r="J1144" s="61" t="str">
        <f aca="false">IF(IsPro,IF($D1144="","",IF($F1144="",IFERROR(INDEX(Items!$G$5:$G$504,Q1144),0),$F1144)),"")</f>
        <v/>
      </c>
      <c r="K1144" s="61" t="str">
        <f aca="false">IF(IsPro,IF($D1144="","",ROUND(N($E1144)*J1144*(1-N($G1144)),2)),"")</f>
        <v/>
      </c>
      <c r="L1144" s="62" t="str">
        <f aca="false">IF(IsPro,IF($D1144="","",IFERROR(INDEX(Items!$F$5:$F$504,Q1144),0)),"")</f>
        <v/>
      </c>
      <c r="M1144" s="61" t="str">
        <f aca="false">IF(IsPro,IF($D1144="","",IF(AND(R1144&lt;&gt;"",INDEX(Parties!$E$5:$E$304,R1144)&lt;&gt;"",INDEX(Parties!$E$5:$E$304,R1144)&lt;&gt;HomeState),0,ROUND(K1144*L1144/2,2))),"")</f>
        <v/>
      </c>
      <c r="N1144" s="61" t="str">
        <f aca="false">IF(IsPro,IF($D1144="","",M1144),"")</f>
        <v/>
      </c>
      <c r="O1144" s="61" t="str">
        <f aca="false">IF(IsPro,IF($D1144="","",IF(AND(R1144&lt;&gt;"",INDEX(Parties!$E$5:$E$304,R1144)&lt;&gt;"",INDEX(Parties!$E$5:$E$304,R1144)&lt;&gt;HomeState),ROUND(K1144*L1144,2),0)),"")</f>
        <v/>
      </c>
      <c r="P1144" s="61" t="str">
        <f aca="false">IF(IsPro,IF($D1144="","",K1144+M1144+N1144+O1144),"")</f>
        <v/>
      </c>
      <c r="Q1144" s="60" t="str">
        <f aca="false">IF(IsPro,IF($D1144="","",IFERROR(MATCH($D1144,Items!$A$5:$A$504,0),"")),"")</f>
        <v/>
      </c>
      <c r="R1144" s="60" t="str">
        <f aca="false">IF(IsPro,IF($C1144="","",IFERROR(MATCH($C1144,Parties!$A$5:$A$304,0),"")),"")</f>
        <v/>
      </c>
      <c r="S1144" s="61" t="str">
        <f aca="false">IF(IsPro,IF($D1144="","",IF(OR($H1144="",$H1144="Credit"),0,P1144)),"")</f>
        <v/>
      </c>
    </row>
    <row r="1145" customFormat="false" ht="15" hidden="false" customHeight="false" outlineLevel="0" collapsed="false">
      <c r="A1145" s="55"/>
      <c r="B1145" s="56"/>
      <c r="C1145" s="56"/>
      <c r="D1145" s="56"/>
      <c r="E1145" s="57"/>
      <c r="F1145" s="58"/>
      <c r="G1145" s="59"/>
      <c r="H1145" s="56"/>
      <c r="I1145" s="60" t="str">
        <f aca="false">IF(IsPro,IF($D1145="","",IFERROR(INDEX(Items!$D$5:$D$504,Q1145),"")),IF($D1145="","","PRO PLAN"))</f>
        <v/>
      </c>
      <c r="J1145" s="61" t="str">
        <f aca="false">IF(IsPro,IF($D1145="","",IF($F1145="",IFERROR(INDEX(Items!$G$5:$G$504,Q1145),0),$F1145)),"")</f>
        <v/>
      </c>
      <c r="K1145" s="61" t="str">
        <f aca="false">IF(IsPro,IF($D1145="","",ROUND(N($E1145)*J1145*(1-N($G1145)),2)),"")</f>
        <v/>
      </c>
      <c r="L1145" s="62" t="str">
        <f aca="false">IF(IsPro,IF($D1145="","",IFERROR(INDEX(Items!$F$5:$F$504,Q1145),0)),"")</f>
        <v/>
      </c>
      <c r="M1145" s="61" t="str">
        <f aca="false">IF(IsPro,IF($D1145="","",IF(AND(R1145&lt;&gt;"",INDEX(Parties!$E$5:$E$304,R1145)&lt;&gt;"",INDEX(Parties!$E$5:$E$304,R1145)&lt;&gt;HomeState),0,ROUND(K1145*L1145/2,2))),"")</f>
        <v/>
      </c>
      <c r="N1145" s="61" t="str">
        <f aca="false">IF(IsPro,IF($D1145="","",M1145),"")</f>
        <v/>
      </c>
      <c r="O1145" s="61" t="str">
        <f aca="false">IF(IsPro,IF($D1145="","",IF(AND(R1145&lt;&gt;"",INDEX(Parties!$E$5:$E$304,R1145)&lt;&gt;"",INDEX(Parties!$E$5:$E$304,R1145)&lt;&gt;HomeState),ROUND(K1145*L1145,2),0)),"")</f>
        <v/>
      </c>
      <c r="P1145" s="61" t="str">
        <f aca="false">IF(IsPro,IF($D1145="","",K1145+M1145+N1145+O1145),"")</f>
        <v/>
      </c>
      <c r="Q1145" s="60" t="str">
        <f aca="false">IF(IsPro,IF($D1145="","",IFERROR(MATCH($D1145,Items!$A$5:$A$504,0),"")),"")</f>
        <v/>
      </c>
      <c r="R1145" s="60" t="str">
        <f aca="false">IF(IsPro,IF($C1145="","",IFERROR(MATCH($C1145,Parties!$A$5:$A$304,0),"")),"")</f>
        <v/>
      </c>
      <c r="S1145" s="61" t="str">
        <f aca="false">IF(IsPro,IF($D1145="","",IF(OR($H1145="",$H1145="Credit"),0,P1145)),"")</f>
        <v/>
      </c>
    </row>
    <row r="1146" customFormat="false" ht="15" hidden="false" customHeight="false" outlineLevel="0" collapsed="false">
      <c r="A1146" s="55"/>
      <c r="B1146" s="56"/>
      <c r="C1146" s="56"/>
      <c r="D1146" s="56"/>
      <c r="E1146" s="57"/>
      <c r="F1146" s="58"/>
      <c r="G1146" s="59"/>
      <c r="H1146" s="56"/>
      <c r="I1146" s="60" t="str">
        <f aca="false">IF(IsPro,IF($D1146="","",IFERROR(INDEX(Items!$D$5:$D$504,Q1146),"")),IF($D1146="","","PRO PLAN"))</f>
        <v/>
      </c>
      <c r="J1146" s="61" t="str">
        <f aca="false">IF(IsPro,IF($D1146="","",IF($F1146="",IFERROR(INDEX(Items!$G$5:$G$504,Q1146),0),$F1146)),"")</f>
        <v/>
      </c>
      <c r="K1146" s="61" t="str">
        <f aca="false">IF(IsPro,IF($D1146="","",ROUND(N($E1146)*J1146*(1-N($G1146)),2)),"")</f>
        <v/>
      </c>
      <c r="L1146" s="62" t="str">
        <f aca="false">IF(IsPro,IF($D1146="","",IFERROR(INDEX(Items!$F$5:$F$504,Q1146),0)),"")</f>
        <v/>
      </c>
      <c r="M1146" s="61" t="str">
        <f aca="false">IF(IsPro,IF($D1146="","",IF(AND(R1146&lt;&gt;"",INDEX(Parties!$E$5:$E$304,R1146)&lt;&gt;"",INDEX(Parties!$E$5:$E$304,R1146)&lt;&gt;HomeState),0,ROUND(K1146*L1146/2,2))),"")</f>
        <v/>
      </c>
      <c r="N1146" s="61" t="str">
        <f aca="false">IF(IsPro,IF($D1146="","",M1146),"")</f>
        <v/>
      </c>
      <c r="O1146" s="61" t="str">
        <f aca="false">IF(IsPro,IF($D1146="","",IF(AND(R1146&lt;&gt;"",INDEX(Parties!$E$5:$E$304,R1146)&lt;&gt;"",INDEX(Parties!$E$5:$E$304,R1146)&lt;&gt;HomeState),ROUND(K1146*L1146,2),0)),"")</f>
        <v/>
      </c>
      <c r="P1146" s="61" t="str">
        <f aca="false">IF(IsPro,IF($D1146="","",K1146+M1146+N1146+O1146),"")</f>
        <v/>
      </c>
      <c r="Q1146" s="60" t="str">
        <f aca="false">IF(IsPro,IF($D1146="","",IFERROR(MATCH($D1146,Items!$A$5:$A$504,0),"")),"")</f>
        <v/>
      </c>
      <c r="R1146" s="60" t="str">
        <f aca="false">IF(IsPro,IF($C1146="","",IFERROR(MATCH($C1146,Parties!$A$5:$A$304,0),"")),"")</f>
        <v/>
      </c>
      <c r="S1146" s="61" t="str">
        <f aca="false">IF(IsPro,IF($D1146="","",IF(OR($H1146="",$H1146="Credit"),0,P1146)),"")</f>
        <v/>
      </c>
    </row>
    <row r="1147" customFormat="false" ht="15" hidden="false" customHeight="false" outlineLevel="0" collapsed="false">
      <c r="A1147" s="55"/>
      <c r="B1147" s="56"/>
      <c r="C1147" s="56"/>
      <c r="D1147" s="56"/>
      <c r="E1147" s="57"/>
      <c r="F1147" s="58"/>
      <c r="G1147" s="59"/>
      <c r="H1147" s="56"/>
      <c r="I1147" s="60" t="str">
        <f aca="false">IF(IsPro,IF($D1147="","",IFERROR(INDEX(Items!$D$5:$D$504,Q1147),"")),IF($D1147="","","PRO PLAN"))</f>
        <v/>
      </c>
      <c r="J1147" s="61" t="str">
        <f aca="false">IF(IsPro,IF($D1147="","",IF($F1147="",IFERROR(INDEX(Items!$G$5:$G$504,Q1147),0),$F1147)),"")</f>
        <v/>
      </c>
      <c r="K1147" s="61" t="str">
        <f aca="false">IF(IsPro,IF($D1147="","",ROUND(N($E1147)*J1147*(1-N($G1147)),2)),"")</f>
        <v/>
      </c>
      <c r="L1147" s="62" t="str">
        <f aca="false">IF(IsPro,IF($D1147="","",IFERROR(INDEX(Items!$F$5:$F$504,Q1147),0)),"")</f>
        <v/>
      </c>
      <c r="M1147" s="61" t="str">
        <f aca="false">IF(IsPro,IF($D1147="","",IF(AND(R1147&lt;&gt;"",INDEX(Parties!$E$5:$E$304,R1147)&lt;&gt;"",INDEX(Parties!$E$5:$E$304,R1147)&lt;&gt;HomeState),0,ROUND(K1147*L1147/2,2))),"")</f>
        <v/>
      </c>
      <c r="N1147" s="61" t="str">
        <f aca="false">IF(IsPro,IF($D1147="","",M1147),"")</f>
        <v/>
      </c>
      <c r="O1147" s="61" t="str">
        <f aca="false">IF(IsPro,IF($D1147="","",IF(AND(R1147&lt;&gt;"",INDEX(Parties!$E$5:$E$304,R1147)&lt;&gt;"",INDEX(Parties!$E$5:$E$304,R1147)&lt;&gt;HomeState),ROUND(K1147*L1147,2),0)),"")</f>
        <v/>
      </c>
      <c r="P1147" s="61" t="str">
        <f aca="false">IF(IsPro,IF($D1147="","",K1147+M1147+N1147+O1147),"")</f>
        <v/>
      </c>
      <c r="Q1147" s="60" t="str">
        <f aca="false">IF(IsPro,IF($D1147="","",IFERROR(MATCH($D1147,Items!$A$5:$A$504,0),"")),"")</f>
        <v/>
      </c>
      <c r="R1147" s="60" t="str">
        <f aca="false">IF(IsPro,IF($C1147="","",IFERROR(MATCH($C1147,Parties!$A$5:$A$304,0),"")),"")</f>
        <v/>
      </c>
      <c r="S1147" s="61" t="str">
        <f aca="false">IF(IsPro,IF($D1147="","",IF(OR($H1147="",$H1147="Credit"),0,P1147)),"")</f>
        <v/>
      </c>
    </row>
    <row r="1148" customFormat="false" ht="15" hidden="false" customHeight="false" outlineLevel="0" collapsed="false">
      <c r="A1148" s="55"/>
      <c r="B1148" s="56"/>
      <c r="C1148" s="56"/>
      <c r="D1148" s="56"/>
      <c r="E1148" s="57"/>
      <c r="F1148" s="58"/>
      <c r="G1148" s="59"/>
      <c r="H1148" s="56"/>
      <c r="I1148" s="60" t="str">
        <f aca="false">IF(IsPro,IF($D1148="","",IFERROR(INDEX(Items!$D$5:$D$504,Q1148),"")),IF($D1148="","","PRO PLAN"))</f>
        <v/>
      </c>
      <c r="J1148" s="61" t="str">
        <f aca="false">IF(IsPro,IF($D1148="","",IF($F1148="",IFERROR(INDEX(Items!$G$5:$G$504,Q1148),0),$F1148)),"")</f>
        <v/>
      </c>
      <c r="K1148" s="61" t="str">
        <f aca="false">IF(IsPro,IF($D1148="","",ROUND(N($E1148)*J1148*(1-N($G1148)),2)),"")</f>
        <v/>
      </c>
      <c r="L1148" s="62" t="str">
        <f aca="false">IF(IsPro,IF($D1148="","",IFERROR(INDEX(Items!$F$5:$F$504,Q1148),0)),"")</f>
        <v/>
      </c>
      <c r="M1148" s="61" t="str">
        <f aca="false">IF(IsPro,IF($D1148="","",IF(AND(R1148&lt;&gt;"",INDEX(Parties!$E$5:$E$304,R1148)&lt;&gt;"",INDEX(Parties!$E$5:$E$304,R1148)&lt;&gt;HomeState),0,ROUND(K1148*L1148/2,2))),"")</f>
        <v/>
      </c>
      <c r="N1148" s="61" t="str">
        <f aca="false">IF(IsPro,IF($D1148="","",M1148),"")</f>
        <v/>
      </c>
      <c r="O1148" s="61" t="str">
        <f aca="false">IF(IsPro,IF($D1148="","",IF(AND(R1148&lt;&gt;"",INDEX(Parties!$E$5:$E$304,R1148)&lt;&gt;"",INDEX(Parties!$E$5:$E$304,R1148)&lt;&gt;HomeState),ROUND(K1148*L1148,2),0)),"")</f>
        <v/>
      </c>
      <c r="P1148" s="61" t="str">
        <f aca="false">IF(IsPro,IF($D1148="","",K1148+M1148+N1148+O1148),"")</f>
        <v/>
      </c>
      <c r="Q1148" s="60" t="str">
        <f aca="false">IF(IsPro,IF($D1148="","",IFERROR(MATCH($D1148,Items!$A$5:$A$504,0),"")),"")</f>
        <v/>
      </c>
      <c r="R1148" s="60" t="str">
        <f aca="false">IF(IsPro,IF($C1148="","",IFERROR(MATCH($C1148,Parties!$A$5:$A$304,0),"")),"")</f>
        <v/>
      </c>
      <c r="S1148" s="61" t="str">
        <f aca="false">IF(IsPro,IF($D1148="","",IF(OR($H1148="",$H1148="Credit"),0,P1148)),"")</f>
        <v/>
      </c>
    </row>
    <row r="1149" customFormat="false" ht="15" hidden="false" customHeight="false" outlineLevel="0" collapsed="false">
      <c r="A1149" s="55"/>
      <c r="B1149" s="56"/>
      <c r="C1149" s="56"/>
      <c r="D1149" s="56"/>
      <c r="E1149" s="57"/>
      <c r="F1149" s="58"/>
      <c r="G1149" s="59"/>
      <c r="H1149" s="56"/>
      <c r="I1149" s="60" t="str">
        <f aca="false">IF(IsPro,IF($D1149="","",IFERROR(INDEX(Items!$D$5:$D$504,Q1149),"")),IF($D1149="","","PRO PLAN"))</f>
        <v/>
      </c>
      <c r="J1149" s="61" t="str">
        <f aca="false">IF(IsPro,IF($D1149="","",IF($F1149="",IFERROR(INDEX(Items!$G$5:$G$504,Q1149),0),$F1149)),"")</f>
        <v/>
      </c>
      <c r="K1149" s="61" t="str">
        <f aca="false">IF(IsPro,IF($D1149="","",ROUND(N($E1149)*J1149*(1-N($G1149)),2)),"")</f>
        <v/>
      </c>
      <c r="L1149" s="62" t="str">
        <f aca="false">IF(IsPro,IF($D1149="","",IFERROR(INDEX(Items!$F$5:$F$504,Q1149),0)),"")</f>
        <v/>
      </c>
      <c r="M1149" s="61" t="str">
        <f aca="false">IF(IsPro,IF($D1149="","",IF(AND(R1149&lt;&gt;"",INDEX(Parties!$E$5:$E$304,R1149)&lt;&gt;"",INDEX(Parties!$E$5:$E$304,R1149)&lt;&gt;HomeState),0,ROUND(K1149*L1149/2,2))),"")</f>
        <v/>
      </c>
      <c r="N1149" s="61" t="str">
        <f aca="false">IF(IsPro,IF($D1149="","",M1149),"")</f>
        <v/>
      </c>
      <c r="O1149" s="61" t="str">
        <f aca="false">IF(IsPro,IF($D1149="","",IF(AND(R1149&lt;&gt;"",INDEX(Parties!$E$5:$E$304,R1149)&lt;&gt;"",INDEX(Parties!$E$5:$E$304,R1149)&lt;&gt;HomeState),ROUND(K1149*L1149,2),0)),"")</f>
        <v/>
      </c>
      <c r="P1149" s="61" t="str">
        <f aca="false">IF(IsPro,IF($D1149="","",K1149+M1149+N1149+O1149),"")</f>
        <v/>
      </c>
      <c r="Q1149" s="60" t="str">
        <f aca="false">IF(IsPro,IF($D1149="","",IFERROR(MATCH($D1149,Items!$A$5:$A$504,0),"")),"")</f>
        <v/>
      </c>
      <c r="R1149" s="60" t="str">
        <f aca="false">IF(IsPro,IF($C1149="","",IFERROR(MATCH($C1149,Parties!$A$5:$A$304,0),"")),"")</f>
        <v/>
      </c>
      <c r="S1149" s="61" t="str">
        <f aca="false">IF(IsPro,IF($D1149="","",IF(OR($H1149="",$H1149="Credit"),0,P1149)),"")</f>
        <v/>
      </c>
    </row>
    <row r="1150" customFormat="false" ht="15" hidden="false" customHeight="false" outlineLevel="0" collapsed="false">
      <c r="A1150" s="55"/>
      <c r="B1150" s="56"/>
      <c r="C1150" s="56"/>
      <c r="D1150" s="56"/>
      <c r="E1150" s="57"/>
      <c r="F1150" s="58"/>
      <c r="G1150" s="59"/>
      <c r="H1150" s="56"/>
      <c r="I1150" s="60" t="str">
        <f aca="false">IF(IsPro,IF($D1150="","",IFERROR(INDEX(Items!$D$5:$D$504,Q1150),"")),IF($D1150="","","PRO PLAN"))</f>
        <v/>
      </c>
      <c r="J1150" s="61" t="str">
        <f aca="false">IF(IsPro,IF($D1150="","",IF($F1150="",IFERROR(INDEX(Items!$G$5:$G$504,Q1150),0),$F1150)),"")</f>
        <v/>
      </c>
      <c r="K1150" s="61" t="str">
        <f aca="false">IF(IsPro,IF($D1150="","",ROUND(N($E1150)*J1150*(1-N($G1150)),2)),"")</f>
        <v/>
      </c>
      <c r="L1150" s="62" t="str">
        <f aca="false">IF(IsPro,IF($D1150="","",IFERROR(INDEX(Items!$F$5:$F$504,Q1150),0)),"")</f>
        <v/>
      </c>
      <c r="M1150" s="61" t="str">
        <f aca="false">IF(IsPro,IF($D1150="","",IF(AND(R1150&lt;&gt;"",INDEX(Parties!$E$5:$E$304,R1150)&lt;&gt;"",INDEX(Parties!$E$5:$E$304,R1150)&lt;&gt;HomeState),0,ROUND(K1150*L1150/2,2))),"")</f>
        <v/>
      </c>
      <c r="N1150" s="61" t="str">
        <f aca="false">IF(IsPro,IF($D1150="","",M1150),"")</f>
        <v/>
      </c>
      <c r="O1150" s="61" t="str">
        <f aca="false">IF(IsPro,IF($D1150="","",IF(AND(R1150&lt;&gt;"",INDEX(Parties!$E$5:$E$304,R1150)&lt;&gt;"",INDEX(Parties!$E$5:$E$304,R1150)&lt;&gt;HomeState),ROUND(K1150*L1150,2),0)),"")</f>
        <v/>
      </c>
      <c r="P1150" s="61" t="str">
        <f aca="false">IF(IsPro,IF($D1150="","",K1150+M1150+N1150+O1150),"")</f>
        <v/>
      </c>
      <c r="Q1150" s="60" t="str">
        <f aca="false">IF(IsPro,IF($D1150="","",IFERROR(MATCH($D1150,Items!$A$5:$A$504,0),"")),"")</f>
        <v/>
      </c>
      <c r="R1150" s="60" t="str">
        <f aca="false">IF(IsPro,IF($C1150="","",IFERROR(MATCH($C1150,Parties!$A$5:$A$304,0),"")),"")</f>
        <v/>
      </c>
      <c r="S1150" s="61" t="str">
        <f aca="false">IF(IsPro,IF($D1150="","",IF(OR($H1150="",$H1150="Credit"),0,P1150)),"")</f>
        <v/>
      </c>
    </row>
    <row r="1151" customFormat="false" ht="15" hidden="false" customHeight="false" outlineLevel="0" collapsed="false">
      <c r="A1151" s="55"/>
      <c r="B1151" s="56"/>
      <c r="C1151" s="56"/>
      <c r="D1151" s="56"/>
      <c r="E1151" s="57"/>
      <c r="F1151" s="58"/>
      <c r="G1151" s="59"/>
      <c r="H1151" s="56"/>
      <c r="I1151" s="60" t="str">
        <f aca="false">IF(IsPro,IF($D1151="","",IFERROR(INDEX(Items!$D$5:$D$504,Q1151),"")),IF($D1151="","","PRO PLAN"))</f>
        <v/>
      </c>
      <c r="J1151" s="61" t="str">
        <f aca="false">IF(IsPro,IF($D1151="","",IF($F1151="",IFERROR(INDEX(Items!$G$5:$G$504,Q1151),0),$F1151)),"")</f>
        <v/>
      </c>
      <c r="K1151" s="61" t="str">
        <f aca="false">IF(IsPro,IF($D1151="","",ROUND(N($E1151)*J1151*(1-N($G1151)),2)),"")</f>
        <v/>
      </c>
      <c r="L1151" s="62" t="str">
        <f aca="false">IF(IsPro,IF($D1151="","",IFERROR(INDEX(Items!$F$5:$F$504,Q1151),0)),"")</f>
        <v/>
      </c>
      <c r="M1151" s="61" t="str">
        <f aca="false">IF(IsPro,IF($D1151="","",IF(AND(R1151&lt;&gt;"",INDEX(Parties!$E$5:$E$304,R1151)&lt;&gt;"",INDEX(Parties!$E$5:$E$304,R1151)&lt;&gt;HomeState),0,ROUND(K1151*L1151/2,2))),"")</f>
        <v/>
      </c>
      <c r="N1151" s="61" t="str">
        <f aca="false">IF(IsPro,IF($D1151="","",M1151),"")</f>
        <v/>
      </c>
      <c r="O1151" s="61" t="str">
        <f aca="false">IF(IsPro,IF($D1151="","",IF(AND(R1151&lt;&gt;"",INDEX(Parties!$E$5:$E$304,R1151)&lt;&gt;"",INDEX(Parties!$E$5:$E$304,R1151)&lt;&gt;HomeState),ROUND(K1151*L1151,2),0)),"")</f>
        <v/>
      </c>
      <c r="P1151" s="61" t="str">
        <f aca="false">IF(IsPro,IF($D1151="","",K1151+M1151+N1151+O1151),"")</f>
        <v/>
      </c>
      <c r="Q1151" s="60" t="str">
        <f aca="false">IF(IsPro,IF($D1151="","",IFERROR(MATCH($D1151,Items!$A$5:$A$504,0),"")),"")</f>
        <v/>
      </c>
      <c r="R1151" s="60" t="str">
        <f aca="false">IF(IsPro,IF($C1151="","",IFERROR(MATCH($C1151,Parties!$A$5:$A$304,0),"")),"")</f>
        <v/>
      </c>
      <c r="S1151" s="61" t="str">
        <f aca="false">IF(IsPro,IF($D1151="","",IF(OR($H1151="",$H1151="Credit"),0,P1151)),"")</f>
        <v/>
      </c>
    </row>
    <row r="1152" customFormat="false" ht="15" hidden="false" customHeight="false" outlineLevel="0" collapsed="false">
      <c r="A1152" s="55"/>
      <c r="B1152" s="56"/>
      <c r="C1152" s="56"/>
      <c r="D1152" s="56"/>
      <c r="E1152" s="57"/>
      <c r="F1152" s="58"/>
      <c r="G1152" s="59"/>
      <c r="H1152" s="56"/>
      <c r="I1152" s="60" t="str">
        <f aca="false">IF(IsPro,IF($D1152="","",IFERROR(INDEX(Items!$D$5:$D$504,Q1152),"")),IF($D1152="","","PRO PLAN"))</f>
        <v/>
      </c>
      <c r="J1152" s="61" t="str">
        <f aca="false">IF(IsPro,IF($D1152="","",IF($F1152="",IFERROR(INDEX(Items!$G$5:$G$504,Q1152),0),$F1152)),"")</f>
        <v/>
      </c>
      <c r="K1152" s="61" t="str">
        <f aca="false">IF(IsPro,IF($D1152="","",ROUND(N($E1152)*J1152*(1-N($G1152)),2)),"")</f>
        <v/>
      </c>
      <c r="L1152" s="62" t="str">
        <f aca="false">IF(IsPro,IF($D1152="","",IFERROR(INDEX(Items!$F$5:$F$504,Q1152),0)),"")</f>
        <v/>
      </c>
      <c r="M1152" s="61" t="str">
        <f aca="false">IF(IsPro,IF($D1152="","",IF(AND(R1152&lt;&gt;"",INDEX(Parties!$E$5:$E$304,R1152)&lt;&gt;"",INDEX(Parties!$E$5:$E$304,R1152)&lt;&gt;HomeState),0,ROUND(K1152*L1152/2,2))),"")</f>
        <v/>
      </c>
      <c r="N1152" s="61" t="str">
        <f aca="false">IF(IsPro,IF($D1152="","",M1152),"")</f>
        <v/>
      </c>
      <c r="O1152" s="61" t="str">
        <f aca="false">IF(IsPro,IF($D1152="","",IF(AND(R1152&lt;&gt;"",INDEX(Parties!$E$5:$E$304,R1152)&lt;&gt;"",INDEX(Parties!$E$5:$E$304,R1152)&lt;&gt;HomeState),ROUND(K1152*L1152,2),0)),"")</f>
        <v/>
      </c>
      <c r="P1152" s="61" t="str">
        <f aca="false">IF(IsPro,IF($D1152="","",K1152+M1152+N1152+O1152),"")</f>
        <v/>
      </c>
      <c r="Q1152" s="60" t="str">
        <f aca="false">IF(IsPro,IF($D1152="","",IFERROR(MATCH($D1152,Items!$A$5:$A$504,0),"")),"")</f>
        <v/>
      </c>
      <c r="R1152" s="60" t="str">
        <f aca="false">IF(IsPro,IF($C1152="","",IFERROR(MATCH($C1152,Parties!$A$5:$A$304,0),"")),"")</f>
        <v/>
      </c>
      <c r="S1152" s="61" t="str">
        <f aca="false">IF(IsPro,IF($D1152="","",IF(OR($H1152="",$H1152="Credit"),0,P1152)),"")</f>
        <v/>
      </c>
    </row>
    <row r="1153" customFormat="false" ht="15" hidden="false" customHeight="false" outlineLevel="0" collapsed="false">
      <c r="A1153" s="55"/>
      <c r="B1153" s="56"/>
      <c r="C1153" s="56"/>
      <c r="D1153" s="56"/>
      <c r="E1153" s="57"/>
      <c r="F1153" s="58"/>
      <c r="G1153" s="59"/>
      <c r="H1153" s="56"/>
      <c r="I1153" s="60" t="str">
        <f aca="false">IF(IsPro,IF($D1153="","",IFERROR(INDEX(Items!$D$5:$D$504,Q1153),"")),IF($D1153="","","PRO PLAN"))</f>
        <v/>
      </c>
      <c r="J1153" s="61" t="str">
        <f aca="false">IF(IsPro,IF($D1153="","",IF($F1153="",IFERROR(INDEX(Items!$G$5:$G$504,Q1153),0),$F1153)),"")</f>
        <v/>
      </c>
      <c r="K1153" s="61" t="str">
        <f aca="false">IF(IsPro,IF($D1153="","",ROUND(N($E1153)*J1153*(1-N($G1153)),2)),"")</f>
        <v/>
      </c>
      <c r="L1153" s="62" t="str">
        <f aca="false">IF(IsPro,IF($D1153="","",IFERROR(INDEX(Items!$F$5:$F$504,Q1153),0)),"")</f>
        <v/>
      </c>
      <c r="M1153" s="61" t="str">
        <f aca="false">IF(IsPro,IF($D1153="","",IF(AND(R1153&lt;&gt;"",INDEX(Parties!$E$5:$E$304,R1153)&lt;&gt;"",INDEX(Parties!$E$5:$E$304,R1153)&lt;&gt;HomeState),0,ROUND(K1153*L1153/2,2))),"")</f>
        <v/>
      </c>
      <c r="N1153" s="61" t="str">
        <f aca="false">IF(IsPro,IF($D1153="","",M1153),"")</f>
        <v/>
      </c>
      <c r="O1153" s="61" t="str">
        <f aca="false">IF(IsPro,IF($D1153="","",IF(AND(R1153&lt;&gt;"",INDEX(Parties!$E$5:$E$304,R1153)&lt;&gt;"",INDEX(Parties!$E$5:$E$304,R1153)&lt;&gt;HomeState),ROUND(K1153*L1153,2),0)),"")</f>
        <v/>
      </c>
      <c r="P1153" s="61" t="str">
        <f aca="false">IF(IsPro,IF($D1153="","",K1153+M1153+N1153+O1153),"")</f>
        <v/>
      </c>
      <c r="Q1153" s="60" t="str">
        <f aca="false">IF(IsPro,IF($D1153="","",IFERROR(MATCH($D1153,Items!$A$5:$A$504,0),"")),"")</f>
        <v/>
      </c>
      <c r="R1153" s="60" t="str">
        <f aca="false">IF(IsPro,IF($C1153="","",IFERROR(MATCH($C1153,Parties!$A$5:$A$304,0),"")),"")</f>
        <v/>
      </c>
      <c r="S1153" s="61" t="str">
        <f aca="false">IF(IsPro,IF($D1153="","",IF(OR($H1153="",$H1153="Credit"),0,P1153)),"")</f>
        <v/>
      </c>
    </row>
    <row r="1154" customFormat="false" ht="15" hidden="false" customHeight="false" outlineLevel="0" collapsed="false">
      <c r="A1154" s="55"/>
      <c r="B1154" s="56"/>
      <c r="C1154" s="56"/>
      <c r="D1154" s="56"/>
      <c r="E1154" s="57"/>
      <c r="F1154" s="58"/>
      <c r="G1154" s="59"/>
      <c r="H1154" s="56"/>
      <c r="I1154" s="60" t="str">
        <f aca="false">IF(IsPro,IF($D1154="","",IFERROR(INDEX(Items!$D$5:$D$504,Q1154),"")),IF($D1154="","","PRO PLAN"))</f>
        <v/>
      </c>
      <c r="J1154" s="61" t="str">
        <f aca="false">IF(IsPro,IF($D1154="","",IF($F1154="",IFERROR(INDEX(Items!$G$5:$G$504,Q1154),0),$F1154)),"")</f>
        <v/>
      </c>
      <c r="K1154" s="61" t="str">
        <f aca="false">IF(IsPro,IF($D1154="","",ROUND(N($E1154)*J1154*(1-N($G1154)),2)),"")</f>
        <v/>
      </c>
      <c r="L1154" s="62" t="str">
        <f aca="false">IF(IsPro,IF($D1154="","",IFERROR(INDEX(Items!$F$5:$F$504,Q1154),0)),"")</f>
        <v/>
      </c>
      <c r="M1154" s="61" t="str">
        <f aca="false">IF(IsPro,IF($D1154="","",IF(AND(R1154&lt;&gt;"",INDEX(Parties!$E$5:$E$304,R1154)&lt;&gt;"",INDEX(Parties!$E$5:$E$304,R1154)&lt;&gt;HomeState),0,ROUND(K1154*L1154/2,2))),"")</f>
        <v/>
      </c>
      <c r="N1154" s="61" t="str">
        <f aca="false">IF(IsPro,IF($D1154="","",M1154),"")</f>
        <v/>
      </c>
      <c r="O1154" s="61" t="str">
        <f aca="false">IF(IsPro,IF($D1154="","",IF(AND(R1154&lt;&gt;"",INDEX(Parties!$E$5:$E$304,R1154)&lt;&gt;"",INDEX(Parties!$E$5:$E$304,R1154)&lt;&gt;HomeState),ROUND(K1154*L1154,2),0)),"")</f>
        <v/>
      </c>
      <c r="P1154" s="61" t="str">
        <f aca="false">IF(IsPro,IF($D1154="","",K1154+M1154+N1154+O1154),"")</f>
        <v/>
      </c>
      <c r="Q1154" s="60" t="str">
        <f aca="false">IF(IsPro,IF($D1154="","",IFERROR(MATCH($D1154,Items!$A$5:$A$504,0),"")),"")</f>
        <v/>
      </c>
      <c r="R1154" s="60" t="str">
        <f aca="false">IF(IsPro,IF($C1154="","",IFERROR(MATCH($C1154,Parties!$A$5:$A$304,0),"")),"")</f>
        <v/>
      </c>
      <c r="S1154" s="61" t="str">
        <f aca="false">IF(IsPro,IF($D1154="","",IF(OR($H1154="",$H1154="Credit"),0,P1154)),"")</f>
        <v/>
      </c>
    </row>
    <row r="1155" customFormat="false" ht="15" hidden="false" customHeight="false" outlineLevel="0" collapsed="false">
      <c r="A1155" s="55"/>
      <c r="B1155" s="56"/>
      <c r="C1155" s="56"/>
      <c r="D1155" s="56"/>
      <c r="E1155" s="57"/>
      <c r="F1155" s="58"/>
      <c r="G1155" s="59"/>
      <c r="H1155" s="56"/>
      <c r="I1155" s="60" t="str">
        <f aca="false">IF(IsPro,IF($D1155="","",IFERROR(INDEX(Items!$D$5:$D$504,Q1155),"")),IF($D1155="","","PRO PLAN"))</f>
        <v/>
      </c>
      <c r="J1155" s="61" t="str">
        <f aca="false">IF(IsPro,IF($D1155="","",IF($F1155="",IFERROR(INDEX(Items!$G$5:$G$504,Q1155),0),$F1155)),"")</f>
        <v/>
      </c>
      <c r="K1155" s="61" t="str">
        <f aca="false">IF(IsPro,IF($D1155="","",ROUND(N($E1155)*J1155*(1-N($G1155)),2)),"")</f>
        <v/>
      </c>
      <c r="L1155" s="62" t="str">
        <f aca="false">IF(IsPro,IF($D1155="","",IFERROR(INDEX(Items!$F$5:$F$504,Q1155),0)),"")</f>
        <v/>
      </c>
      <c r="M1155" s="61" t="str">
        <f aca="false">IF(IsPro,IF($D1155="","",IF(AND(R1155&lt;&gt;"",INDEX(Parties!$E$5:$E$304,R1155)&lt;&gt;"",INDEX(Parties!$E$5:$E$304,R1155)&lt;&gt;HomeState),0,ROUND(K1155*L1155/2,2))),"")</f>
        <v/>
      </c>
      <c r="N1155" s="61" t="str">
        <f aca="false">IF(IsPro,IF($D1155="","",M1155),"")</f>
        <v/>
      </c>
      <c r="O1155" s="61" t="str">
        <f aca="false">IF(IsPro,IF($D1155="","",IF(AND(R1155&lt;&gt;"",INDEX(Parties!$E$5:$E$304,R1155)&lt;&gt;"",INDEX(Parties!$E$5:$E$304,R1155)&lt;&gt;HomeState),ROUND(K1155*L1155,2),0)),"")</f>
        <v/>
      </c>
      <c r="P1155" s="61" t="str">
        <f aca="false">IF(IsPro,IF($D1155="","",K1155+M1155+N1155+O1155),"")</f>
        <v/>
      </c>
      <c r="Q1155" s="60" t="str">
        <f aca="false">IF(IsPro,IF($D1155="","",IFERROR(MATCH($D1155,Items!$A$5:$A$504,0),"")),"")</f>
        <v/>
      </c>
      <c r="R1155" s="60" t="str">
        <f aca="false">IF(IsPro,IF($C1155="","",IFERROR(MATCH($C1155,Parties!$A$5:$A$304,0),"")),"")</f>
        <v/>
      </c>
      <c r="S1155" s="61" t="str">
        <f aca="false">IF(IsPro,IF($D1155="","",IF(OR($H1155="",$H1155="Credit"),0,P1155)),"")</f>
        <v/>
      </c>
    </row>
    <row r="1156" customFormat="false" ht="15" hidden="false" customHeight="false" outlineLevel="0" collapsed="false">
      <c r="A1156" s="55"/>
      <c r="B1156" s="56"/>
      <c r="C1156" s="56"/>
      <c r="D1156" s="56"/>
      <c r="E1156" s="57"/>
      <c r="F1156" s="58"/>
      <c r="G1156" s="59"/>
      <c r="H1156" s="56"/>
      <c r="I1156" s="60" t="str">
        <f aca="false">IF(IsPro,IF($D1156="","",IFERROR(INDEX(Items!$D$5:$D$504,Q1156),"")),IF($D1156="","","PRO PLAN"))</f>
        <v/>
      </c>
      <c r="J1156" s="61" t="str">
        <f aca="false">IF(IsPro,IF($D1156="","",IF($F1156="",IFERROR(INDEX(Items!$G$5:$G$504,Q1156),0),$F1156)),"")</f>
        <v/>
      </c>
      <c r="K1156" s="61" t="str">
        <f aca="false">IF(IsPro,IF($D1156="","",ROUND(N($E1156)*J1156*(1-N($G1156)),2)),"")</f>
        <v/>
      </c>
      <c r="L1156" s="62" t="str">
        <f aca="false">IF(IsPro,IF($D1156="","",IFERROR(INDEX(Items!$F$5:$F$504,Q1156),0)),"")</f>
        <v/>
      </c>
      <c r="M1156" s="61" t="str">
        <f aca="false">IF(IsPro,IF($D1156="","",IF(AND(R1156&lt;&gt;"",INDEX(Parties!$E$5:$E$304,R1156)&lt;&gt;"",INDEX(Parties!$E$5:$E$304,R1156)&lt;&gt;HomeState),0,ROUND(K1156*L1156/2,2))),"")</f>
        <v/>
      </c>
      <c r="N1156" s="61" t="str">
        <f aca="false">IF(IsPro,IF($D1156="","",M1156),"")</f>
        <v/>
      </c>
      <c r="O1156" s="61" t="str">
        <f aca="false">IF(IsPro,IF($D1156="","",IF(AND(R1156&lt;&gt;"",INDEX(Parties!$E$5:$E$304,R1156)&lt;&gt;"",INDEX(Parties!$E$5:$E$304,R1156)&lt;&gt;HomeState),ROUND(K1156*L1156,2),0)),"")</f>
        <v/>
      </c>
      <c r="P1156" s="61" t="str">
        <f aca="false">IF(IsPro,IF($D1156="","",K1156+M1156+N1156+O1156),"")</f>
        <v/>
      </c>
      <c r="Q1156" s="60" t="str">
        <f aca="false">IF(IsPro,IF($D1156="","",IFERROR(MATCH($D1156,Items!$A$5:$A$504,0),"")),"")</f>
        <v/>
      </c>
      <c r="R1156" s="60" t="str">
        <f aca="false">IF(IsPro,IF($C1156="","",IFERROR(MATCH($C1156,Parties!$A$5:$A$304,0),"")),"")</f>
        <v/>
      </c>
      <c r="S1156" s="61" t="str">
        <f aca="false">IF(IsPro,IF($D1156="","",IF(OR($H1156="",$H1156="Credit"),0,P1156)),"")</f>
        <v/>
      </c>
    </row>
    <row r="1157" customFormat="false" ht="15" hidden="false" customHeight="false" outlineLevel="0" collapsed="false">
      <c r="A1157" s="55"/>
      <c r="B1157" s="56"/>
      <c r="C1157" s="56"/>
      <c r="D1157" s="56"/>
      <c r="E1157" s="57"/>
      <c r="F1157" s="58"/>
      <c r="G1157" s="59"/>
      <c r="H1157" s="56"/>
      <c r="I1157" s="60" t="str">
        <f aca="false">IF(IsPro,IF($D1157="","",IFERROR(INDEX(Items!$D$5:$D$504,Q1157),"")),IF($D1157="","","PRO PLAN"))</f>
        <v/>
      </c>
      <c r="J1157" s="61" t="str">
        <f aca="false">IF(IsPro,IF($D1157="","",IF($F1157="",IFERROR(INDEX(Items!$G$5:$G$504,Q1157),0),$F1157)),"")</f>
        <v/>
      </c>
      <c r="K1157" s="61" t="str">
        <f aca="false">IF(IsPro,IF($D1157="","",ROUND(N($E1157)*J1157*(1-N($G1157)),2)),"")</f>
        <v/>
      </c>
      <c r="L1157" s="62" t="str">
        <f aca="false">IF(IsPro,IF($D1157="","",IFERROR(INDEX(Items!$F$5:$F$504,Q1157),0)),"")</f>
        <v/>
      </c>
      <c r="M1157" s="61" t="str">
        <f aca="false">IF(IsPro,IF($D1157="","",IF(AND(R1157&lt;&gt;"",INDEX(Parties!$E$5:$E$304,R1157)&lt;&gt;"",INDEX(Parties!$E$5:$E$304,R1157)&lt;&gt;HomeState),0,ROUND(K1157*L1157/2,2))),"")</f>
        <v/>
      </c>
      <c r="N1157" s="61" t="str">
        <f aca="false">IF(IsPro,IF($D1157="","",M1157),"")</f>
        <v/>
      </c>
      <c r="O1157" s="61" t="str">
        <f aca="false">IF(IsPro,IF($D1157="","",IF(AND(R1157&lt;&gt;"",INDEX(Parties!$E$5:$E$304,R1157)&lt;&gt;"",INDEX(Parties!$E$5:$E$304,R1157)&lt;&gt;HomeState),ROUND(K1157*L1157,2),0)),"")</f>
        <v/>
      </c>
      <c r="P1157" s="61" t="str">
        <f aca="false">IF(IsPro,IF($D1157="","",K1157+M1157+N1157+O1157),"")</f>
        <v/>
      </c>
      <c r="Q1157" s="60" t="str">
        <f aca="false">IF(IsPro,IF($D1157="","",IFERROR(MATCH($D1157,Items!$A$5:$A$504,0),"")),"")</f>
        <v/>
      </c>
      <c r="R1157" s="60" t="str">
        <f aca="false">IF(IsPro,IF($C1157="","",IFERROR(MATCH($C1157,Parties!$A$5:$A$304,0),"")),"")</f>
        <v/>
      </c>
      <c r="S1157" s="61" t="str">
        <f aca="false">IF(IsPro,IF($D1157="","",IF(OR($H1157="",$H1157="Credit"),0,P1157)),"")</f>
        <v/>
      </c>
    </row>
    <row r="1158" customFormat="false" ht="15" hidden="false" customHeight="false" outlineLevel="0" collapsed="false">
      <c r="A1158" s="55"/>
      <c r="B1158" s="56"/>
      <c r="C1158" s="56"/>
      <c r="D1158" s="56"/>
      <c r="E1158" s="57"/>
      <c r="F1158" s="58"/>
      <c r="G1158" s="59"/>
      <c r="H1158" s="56"/>
      <c r="I1158" s="60" t="str">
        <f aca="false">IF(IsPro,IF($D1158="","",IFERROR(INDEX(Items!$D$5:$D$504,Q1158),"")),IF($D1158="","","PRO PLAN"))</f>
        <v/>
      </c>
      <c r="J1158" s="61" t="str">
        <f aca="false">IF(IsPro,IF($D1158="","",IF($F1158="",IFERROR(INDEX(Items!$G$5:$G$504,Q1158),0),$F1158)),"")</f>
        <v/>
      </c>
      <c r="K1158" s="61" t="str">
        <f aca="false">IF(IsPro,IF($D1158="","",ROUND(N($E1158)*J1158*(1-N($G1158)),2)),"")</f>
        <v/>
      </c>
      <c r="L1158" s="62" t="str">
        <f aca="false">IF(IsPro,IF($D1158="","",IFERROR(INDEX(Items!$F$5:$F$504,Q1158),0)),"")</f>
        <v/>
      </c>
      <c r="M1158" s="61" t="str">
        <f aca="false">IF(IsPro,IF($D1158="","",IF(AND(R1158&lt;&gt;"",INDEX(Parties!$E$5:$E$304,R1158)&lt;&gt;"",INDEX(Parties!$E$5:$E$304,R1158)&lt;&gt;HomeState),0,ROUND(K1158*L1158/2,2))),"")</f>
        <v/>
      </c>
      <c r="N1158" s="61" t="str">
        <f aca="false">IF(IsPro,IF($D1158="","",M1158),"")</f>
        <v/>
      </c>
      <c r="O1158" s="61" t="str">
        <f aca="false">IF(IsPro,IF($D1158="","",IF(AND(R1158&lt;&gt;"",INDEX(Parties!$E$5:$E$304,R1158)&lt;&gt;"",INDEX(Parties!$E$5:$E$304,R1158)&lt;&gt;HomeState),ROUND(K1158*L1158,2),0)),"")</f>
        <v/>
      </c>
      <c r="P1158" s="61" t="str">
        <f aca="false">IF(IsPro,IF($D1158="","",K1158+M1158+N1158+O1158),"")</f>
        <v/>
      </c>
      <c r="Q1158" s="60" t="str">
        <f aca="false">IF(IsPro,IF($D1158="","",IFERROR(MATCH($D1158,Items!$A$5:$A$504,0),"")),"")</f>
        <v/>
      </c>
      <c r="R1158" s="60" t="str">
        <f aca="false">IF(IsPro,IF($C1158="","",IFERROR(MATCH($C1158,Parties!$A$5:$A$304,0),"")),"")</f>
        <v/>
      </c>
      <c r="S1158" s="61" t="str">
        <f aca="false">IF(IsPro,IF($D1158="","",IF(OR($H1158="",$H1158="Credit"),0,P1158)),"")</f>
        <v/>
      </c>
    </row>
    <row r="1159" customFormat="false" ht="15" hidden="false" customHeight="false" outlineLevel="0" collapsed="false">
      <c r="A1159" s="55"/>
      <c r="B1159" s="56"/>
      <c r="C1159" s="56"/>
      <c r="D1159" s="56"/>
      <c r="E1159" s="57"/>
      <c r="F1159" s="58"/>
      <c r="G1159" s="59"/>
      <c r="H1159" s="56"/>
      <c r="I1159" s="60" t="str">
        <f aca="false">IF(IsPro,IF($D1159="","",IFERROR(INDEX(Items!$D$5:$D$504,Q1159),"")),IF($D1159="","","PRO PLAN"))</f>
        <v/>
      </c>
      <c r="J1159" s="61" t="str">
        <f aca="false">IF(IsPro,IF($D1159="","",IF($F1159="",IFERROR(INDEX(Items!$G$5:$G$504,Q1159),0),$F1159)),"")</f>
        <v/>
      </c>
      <c r="K1159" s="61" t="str">
        <f aca="false">IF(IsPro,IF($D1159="","",ROUND(N($E1159)*J1159*(1-N($G1159)),2)),"")</f>
        <v/>
      </c>
      <c r="L1159" s="62" t="str">
        <f aca="false">IF(IsPro,IF($D1159="","",IFERROR(INDEX(Items!$F$5:$F$504,Q1159),0)),"")</f>
        <v/>
      </c>
      <c r="M1159" s="61" t="str">
        <f aca="false">IF(IsPro,IF($D1159="","",IF(AND(R1159&lt;&gt;"",INDEX(Parties!$E$5:$E$304,R1159)&lt;&gt;"",INDEX(Parties!$E$5:$E$304,R1159)&lt;&gt;HomeState),0,ROUND(K1159*L1159/2,2))),"")</f>
        <v/>
      </c>
      <c r="N1159" s="61" t="str">
        <f aca="false">IF(IsPro,IF($D1159="","",M1159),"")</f>
        <v/>
      </c>
      <c r="O1159" s="61" t="str">
        <f aca="false">IF(IsPro,IF($D1159="","",IF(AND(R1159&lt;&gt;"",INDEX(Parties!$E$5:$E$304,R1159)&lt;&gt;"",INDEX(Parties!$E$5:$E$304,R1159)&lt;&gt;HomeState),ROUND(K1159*L1159,2),0)),"")</f>
        <v/>
      </c>
      <c r="P1159" s="61" t="str">
        <f aca="false">IF(IsPro,IF($D1159="","",K1159+M1159+N1159+O1159),"")</f>
        <v/>
      </c>
      <c r="Q1159" s="60" t="str">
        <f aca="false">IF(IsPro,IF($D1159="","",IFERROR(MATCH($D1159,Items!$A$5:$A$504,0),"")),"")</f>
        <v/>
      </c>
      <c r="R1159" s="60" t="str">
        <f aca="false">IF(IsPro,IF($C1159="","",IFERROR(MATCH($C1159,Parties!$A$5:$A$304,0),"")),"")</f>
        <v/>
      </c>
      <c r="S1159" s="61" t="str">
        <f aca="false">IF(IsPro,IF($D1159="","",IF(OR($H1159="",$H1159="Credit"),0,P1159)),"")</f>
        <v/>
      </c>
    </row>
    <row r="1160" customFormat="false" ht="15" hidden="false" customHeight="false" outlineLevel="0" collapsed="false">
      <c r="A1160" s="55"/>
      <c r="B1160" s="56"/>
      <c r="C1160" s="56"/>
      <c r="D1160" s="56"/>
      <c r="E1160" s="57"/>
      <c r="F1160" s="58"/>
      <c r="G1160" s="59"/>
      <c r="H1160" s="56"/>
      <c r="I1160" s="60" t="str">
        <f aca="false">IF(IsPro,IF($D1160="","",IFERROR(INDEX(Items!$D$5:$D$504,Q1160),"")),IF($D1160="","","PRO PLAN"))</f>
        <v/>
      </c>
      <c r="J1160" s="61" t="str">
        <f aca="false">IF(IsPro,IF($D1160="","",IF($F1160="",IFERROR(INDEX(Items!$G$5:$G$504,Q1160),0),$F1160)),"")</f>
        <v/>
      </c>
      <c r="K1160" s="61" t="str">
        <f aca="false">IF(IsPro,IF($D1160="","",ROUND(N($E1160)*J1160*(1-N($G1160)),2)),"")</f>
        <v/>
      </c>
      <c r="L1160" s="62" t="str">
        <f aca="false">IF(IsPro,IF($D1160="","",IFERROR(INDEX(Items!$F$5:$F$504,Q1160),0)),"")</f>
        <v/>
      </c>
      <c r="M1160" s="61" t="str">
        <f aca="false">IF(IsPro,IF($D1160="","",IF(AND(R1160&lt;&gt;"",INDEX(Parties!$E$5:$E$304,R1160)&lt;&gt;"",INDEX(Parties!$E$5:$E$304,R1160)&lt;&gt;HomeState),0,ROUND(K1160*L1160/2,2))),"")</f>
        <v/>
      </c>
      <c r="N1160" s="61" t="str">
        <f aca="false">IF(IsPro,IF($D1160="","",M1160),"")</f>
        <v/>
      </c>
      <c r="O1160" s="61" t="str">
        <f aca="false">IF(IsPro,IF($D1160="","",IF(AND(R1160&lt;&gt;"",INDEX(Parties!$E$5:$E$304,R1160)&lt;&gt;"",INDEX(Parties!$E$5:$E$304,R1160)&lt;&gt;HomeState),ROUND(K1160*L1160,2),0)),"")</f>
        <v/>
      </c>
      <c r="P1160" s="61" t="str">
        <f aca="false">IF(IsPro,IF($D1160="","",K1160+M1160+N1160+O1160),"")</f>
        <v/>
      </c>
      <c r="Q1160" s="60" t="str">
        <f aca="false">IF(IsPro,IF($D1160="","",IFERROR(MATCH($D1160,Items!$A$5:$A$504,0),"")),"")</f>
        <v/>
      </c>
      <c r="R1160" s="60" t="str">
        <f aca="false">IF(IsPro,IF($C1160="","",IFERROR(MATCH($C1160,Parties!$A$5:$A$304,0),"")),"")</f>
        <v/>
      </c>
      <c r="S1160" s="61" t="str">
        <f aca="false">IF(IsPro,IF($D1160="","",IF(OR($H1160="",$H1160="Credit"),0,P1160)),"")</f>
        <v/>
      </c>
    </row>
    <row r="1161" customFormat="false" ht="15" hidden="false" customHeight="false" outlineLevel="0" collapsed="false">
      <c r="A1161" s="55"/>
      <c r="B1161" s="56"/>
      <c r="C1161" s="56"/>
      <c r="D1161" s="56"/>
      <c r="E1161" s="57"/>
      <c r="F1161" s="58"/>
      <c r="G1161" s="59"/>
      <c r="H1161" s="56"/>
      <c r="I1161" s="60" t="str">
        <f aca="false">IF(IsPro,IF($D1161="","",IFERROR(INDEX(Items!$D$5:$D$504,Q1161),"")),IF($D1161="","","PRO PLAN"))</f>
        <v/>
      </c>
      <c r="J1161" s="61" t="str">
        <f aca="false">IF(IsPro,IF($D1161="","",IF($F1161="",IFERROR(INDEX(Items!$G$5:$G$504,Q1161),0),$F1161)),"")</f>
        <v/>
      </c>
      <c r="K1161" s="61" t="str">
        <f aca="false">IF(IsPro,IF($D1161="","",ROUND(N($E1161)*J1161*(1-N($G1161)),2)),"")</f>
        <v/>
      </c>
      <c r="L1161" s="62" t="str">
        <f aca="false">IF(IsPro,IF($D1161="","",IFERROR(INDEX(Items!$F$5:$F$504,Q1161),0)),"")</f>
        <v/>
      </c>
      <c r="M1161" s="61" t="str">
        <f aca="false">IF(IsPro,IF($D1161="","",IF(AND(R1161&lt;&gt;"",INDEX(Parties!$E$5:$E$304,R1161)&lt;&gt;"",INDEX(Parties!$E$5:$E$304,R1161)&lt;&gt;HomeState),0,ROUND(K1161*L1161/2,2))),"")</f>
        <v/>
      </c>
      <c r="N1161" s="61" t="str">
        <f aca="false">IF(IsPro,IF($D1161="","",M1161),"")</f>
        <v/>
      </c>
      <c r="O1161" s="61" t="str">
        <f aca="false">IF(IsPro,IF($D1161="","",IF(AND(R1161&lt;&gt;"",INDEX(Parties!$E$5:$E$304,R1161)&lt;&gt;"",INDEX(Parties!$E$5:$E$304,R1161)&lt;&gt;HomeState),ROUND(K1161*L1161,2),0)),"")</f>
        <v/>
      </c>
      <c r="P1161" s="61" t="str">
        <f aca="false">IF(IsPro,IF($D1161="","",K1161+M1161+N1161+O1161),"")</f>
        <v/>
      </c>
      <c r="Q1161" s="60" t="str">
        <f aca="false">IF(IsPro,IF($D1161="","",IFERROR(MATCH($D1161,Items!$A$5:$A$504,0),"")),"")</f>
        <v/>
      </c>
      <c r="R1161" s="60" t="str">
        <f aca="false">IF(IsPro,IF($C1161="","",IFERROR(MATCH($C1161,Parties!$A$5:$A$304,0),"")),"")</f>
        <v/>
      </c>
      <c r="S1161" s="61" t="str">
        <f aca="false">IF(IsPro,IF($D1161="","",IF(OR($H1161="",$H1161="Credit"),0,P1161)),"")</f>
        <v/>
      </c>
    </row>
    <row r="1162" customFormat="false" ht="15" hidden="false" customHeight="false" outlineLevel="0" collapsed="false">
      <c r="A1162" s="55"/>
      <c r="B1162" s="56"/>
      <c r="C1162" s="56"/>
      <c r="D1162" s="56"/>
      <c r="E1162" s="57"/>
      <c r="F1162" s="58"/>
      <c r="G1162" s="59"/>
      <c r="H1162" s="56"/>
      <c r="I1162" s="60" t="str">
        <f aca="false">IF(IsPro,IF($D1162="","",IFERROR(INDEX(Items!$D$5:$D$504,Q1162),"")),IF($D1162="","","PRO PLAN"))</f>
        <v/>
      </c>
      <c r="J1162" s="61" t="str">
        <f aca="false">IF(IsPro,IF($D1162="","",IF($F1162="",IFERROR(INDEX(Items!$G$5:$G$504,Q1162),0),$F1162)),"")</f>
        <v/>
      </c>
      <c r="K1162" s="61" t="str">
        <f aca="false">IF(IsPro,IF($D1162="","",ROUND(N($E1162)*J1162*(1-N($G1162)),2)),"")</f>
        <v/>
      </c>
      <c r="L1162" s="62" t="str">
        <f aca="false">IF(IsPro,IF($D1162="","",IFERROR(INDEX(Items!$F$5:$F$504,Q1162),0)),"")</f>
        <v/>
      </c>
      <c r="M1162" s="61" t="str">
        <f aca="false">IF(IsPro,IF($D1162="","",IF(AND(R1162&lt;&gt;"",INDEX(Parties!$E$5:$E$304,R1162)&lt;&gt;"",INDEX(Parties!$E$5:$E$304,R1162)&lt;&gt;HomeState),0,ROUND(K1162*L1162/2,2))),"")</f>
        <v/>
      </c>
      <c r="N1162" s="61" t="str">
        <f aca="false">IF(IsPro,IF($D1162="","",M1162),"")</f>
        <v/>
      </c>
      <c r="O1162" s="61" t="str">
        <f aca="false">IF(IsPro,IF($D1162="","",IF(AND(R1162&lt;&gt;"",INDEX(Parties!$E$5:$E$304,R1162)&lt;&gt;"",INDEX(Parties!$E$5:$E$304,R1162)&lt;&gt;HomeState),ROUND(K1162*L1162,2),0)),"")</f>
        <v/>
      </c>
      <c r="P1162" s="61" t="str">
        <f aca="false">IF(IsPro,IF($D1162="","",K1162+M1162+N1162+O1162),"")</f>
        <v/>
      </c>
      <c r="Q1162" s="60" t="str">
        <f aca="false">IF(IsPro,IF($D1162="","",IFERROR(MATCH($D1162,Items!$A$5:$A$504,0),"")),"")</f>
        <v/>
      </c>
      <c r="R1162" s="60" t="str">
        <f aca="false">IF(IsPro,IF($C1162="","",IFERROR(MATCH($C1162,Parties!$A$5:$A$304,0),"")),"")</f>
        <v/>
      </c>
      <c r="S1162" s="61" t="str">
        <f aca="false">IF(IsPro,IF($D1162="","",IF(OR($H1162="",$H1162="Credit"),0,P1162)),"")</f>
        <v/>
      </c>
    </row>
    <row r="1163" customFormat="false" ht="15" hidden="false" customHeight="false" outlineLevel="0" collapsed="false">
      <c r="A1163" s="55"/>
      <c r="B1163" s="56"/>
      <c r="C1163" s="56"/>
      <c r="D1163" s="56"/>
      <c r="E1163" s="57"/>
      <c r="F1163" s="58"/>
      <c r="G1163" s="59"/>
      <c r="H1163" s="56"/>
      <c r="I1163" s="60" t="str">
        <f aca="false">IF(IsPro,IF($D1163="","",IFERROR(INDEX(Items!$D$5:$D$504,Q1163),"")),IF($D1163="","","PRO PLAN"))</f>
        <v/>
      </c>
      <c r="J1163" s="61" t="str">
        <f aca="false">IF(IsPro,IF($D1163="","",IF($F1163="",IFERROR(INDEX(Items!$G$5:$G$504,Q1163),0),$F1163)),"")</f>
        <v/>
      </c>
      <c r="K1163" s="61" t="str">
        <f aca="false">IF(IsPro,IF($D1163="","",ROUND(N($E1163)*J1163*(1-N($G1163)),2)),"")</f>
        <v/>
      </c>
      <c r="L1163" s="62" t="str">
        <f aca="false">IF(IsPro,IF($D1163="","",IFERROR(INDEX(Items!$F$5:$F$504,Q1163),0)),"")</f>
        <v/>
      </c>
      <c r="M1163" s="61" t="str">
        <f aca="false">IF(IsPro,IF($D1163="","",IF(AND(R1163&lt;&gt;"",INDEX(Parties!$E$5:$E$304,R1163)&lt;&gt;"",INDEX(Parties!$E$5:$E$304,R1163)&lt;&gt;HomeState),0,ROUND(K1163*L1163/2,2))),"")</f>
        <v/>
      </c>
      <c r="N1163" s="61" t="str">
        <f aca="false">IF(IsPro,IF($D1163="","",M1163),"")</f>
        <v/>
      </c>
      <c r="O1163" s="61" t="str">
        <f aca="false">IF(IsPro,IF($D1163="","",IF(AND(R1163&lt;&gt;"",INDEX(Parties!$E$5:$E$304,R1163)&lt;&gt;"",INDEX(Parties!$E$5:$E$304,R1163)&lt;&gt;HomeState),ROUND(K1163*L1163,2),0)),"")</f>
        <v/>
      </c>
      <c r="P1163" s="61" t="str">
        <f aca="false">IF(IsPro,IF($D1163="","",K1163+M1163+N1163+O1163),"")</f>
        <v/>
      </c>
      <c r="Q1163" s="60" t="str">
        <f aca="false">IF(IsPro,IF($D1163="","",IFERROR(MATCH($D1163,Items!$A$5:$A$504,0),"")),"")</f>
        <v/>
      </c>
      <c r="R1163" s="60" t="str">
        <f aca="false">IF(IsPro,IF($C1163="","",IFERROR(MATCH($C1163,Parties!$A$5:$A$304,0),"")),"")</f>
        <v/>
      </c>
      <c r="S1163" s="61" t="str">
        <f aca="false">IF(IsPro,IF($D1163="","",IF(OR($H1163="",$H1163="Credit"),0,P1163)),"")</f>
        <v/>
      </c>
    </row>
    <row r="1164" customFormat="false" ht="15" hidden="false" customHeight="false" outlineLevel="0" collapsed="false">
      <c r="A1164" s="55"/>
      <c r="B1164" s="56"/>
      <c r="C1164" s="56"/>
      <c r="D1164" s="56"/>
      <c r="E1164" s="57"/>
      <c r="F1164" s="58"/>
      <c r="G1164" s="59"/>
      <c r="H1164" s="56"/>
      <c r="I1164" s="60" t="str">
        <f aca="false">IF(IsPro,IF($D1164="","",IFERROR(INDEX(Items!$D$5:$D$504,Q1164),"")),IF($D1164="","","PRO PLAN"))</f>
        <v/>
      </c>
      <c r="J1164" s="61" t="str">
        <f aca="false">IF(IsPro,IF($D1164="","",IF($F1164="",IFERROR(INDEX(Items!$G$5:$G$504,Q1164),0),$F1164)),"")</f>
        <v/>
      </c>
      <c r="K1164" s="61" t="str">
        <f aca="false">IF(IsPro,IF($D1164="","",ROUND(N($E1164)*J1164*(1-N($G1164)),2)),"")</f>
        <v/>
      </c>
      <c r="L1164" s="62" t="str">
        <f aca="false">IF(IsPro,IF($D1164="","",IFERROR(INDEX(Items!$F$5:$F$504,Q1164),0)),"")</f>
        <v/>
      </c>
      <c r="M1164" s="61" t="str">
        <f aca="false">IF(IsPro,IF($D1164="","",IF(AND(R1164&lt;&gt;"",INDEX(Parties!$E$5:$E$304,R1164)&lt;&gt;"",INDEX(Parties!$E$5:$E$304,R1164)&lt;&gt;HomeState),0,ROUND(K1164*L1164/2,2))),"")</f>
        <v/>
      </c>
      <c r="N1164" s="61" t="str">
        <f aca="false">IF(IsPro,IF($D1164="","",M1164),"")</f>
        <v/>
      </c>
      <c r="O1164" s="61" t="str">
        <f aca="false">IF(IsPro,IF($D1164="","",IF(AND(R1164&lt;&gt;"",INDEX(Parties!$E$5:$E$304,R1164)&lt;&gt;"",INDEX(Parties!$E$5:$E$304,R1164)&lt;&gt;HomeState),ROUND(K1164*L1164,2),0)),"")</f>
        <v/>
      </c>
      <c r="P1164" s="61" t="str">
        <f aca="false">IF(IsPro,IF($D1164="","",K1164+M1164+N1164+O1164),"")</f>
        <v/>
      </c>
      <c r="Q1164" s="60" t="str">
        <f aca="false">IF(IsPro,IF($D1164="","",IFERROR(MATCH($D1164,Items!$A$5:$A$504,0),"")),"")</f>
        <v/>
      </c>
      <c r="R1164" s="60" t="str">
        <f aca="false">IF(IsPro,IF($C1164="","",IFERROR(MATCH($C1164,Parties!$A$5:$A$304,0),"")),"")</f>
        <v/>
      </c>
      <c r="S1164" s="61" t="str">
        <f aca="false">IF(IsPro,IF($D1164="","",IF(OR($H1164="",$H1164="Credit"),0,P1164)),"")</f>
        <v/>
      </c>
    </row>
    <row r="1165" customFormat="false" ht="15" hidden="false" customHeight="false" outlineLevel="0" collapsed="false">
      <c r="A1165" s="55"/>
      <c r="B1165" s="56"/>
      <c r="C1165" s="56"/>
      <c r="D1165" s="56"/>
      <c r="E1165" s="57"/>
      <c r="F1165" s="58"/>
      <c r="G1165" s="59"/>
      <c r="H1165" s="56"/>
      <c r="I1165" s="60" t="str">
        <f aca="false">IF(IsPro,IF($D1165="","",IFERROR(INDEX(Items!$D$5:$D$504,Q1165),"")),IF($D1165="","","PRO PLAN"))</f>
        <v/>
      </c>
      <c r="J1165" s="61" t="str">
        <f aca="false">IF(IsPro,IF($D1165="","",IF($F1165="",IFERROR(INDEX(Items!$G$5:$G$504,Q1165),0),$F1165)),"")</f>
        <v/>
      </c>
      <c r="K1165" s="61" t="str">
        <f aca="false">IF(IsPro,IF($D1165="","",ROUND(N($E1165)*J1165*(1-N($G1165)),2)),"")</f>
        <v/>
      </c>
      <c r="L1165" s="62" t="str">
        <f aca="false">IF(IsPro,IF($D1165="","",IFERROR(INDEX(Items!$F$5:$F$504,Q1165),0)),"")</f>
        <v/>
      </c>
      <c r="M1165" s="61" t="str">
        <f aca="false">IF(IsPro,IF($D1165="","",IF(AND(R1165&lt;&gt;"",INDEX(Parties!$E$5:$E$304,R1165)&lt;&gt;"",INDEX(Parties!$E$5:$E$304,R1165)&lt;&gt;HomeState),0,ROUND(K1165*L1165/2,2))),"")</f>
        <v/>
      </c>
      <c r="N1165" s="61" t="str">
        <f aca="false">IF(IsPro,IF($D1165="","",M1165),"")</f>
        <v/>
      </c>
      <c r="O1165" s="61" t="str">
        <f aca="false">IF(IsPro,IF($D1165="","",IF(AND(R1165&lt;&gt;"",INDEX(Parties!$E$5:$E$304,R1165)&lt;&gt;"",INDEX(Parties!$E$5:$E$304,R1165)&lt;&gt;HomeState),ROUND(K1165*L1165,2),0)),"")</f>
        <v/>
      </c>
      <c r="P1165" s="61" t="str">
        <f aca="false">IF(IsPro,IF($D1165="","",K1165+M1165+N1165+O1165),"")</f>
        <v/>
      </c>
      <c r="Q1165" s="60" t="str">
        <f aca="false">IF(IsPro,IF($D1165="","",IFERROR(MATCH($D1165,Items!$A$5:$A$504,0),"")),"")</f>
        <v/>
      </c>
      <c r="R1165" s="60" t="str">
        <f aca="false">IF(IsPro,IF($C1165="","",IFERROR(MATCH($C1165,Parties!$A$5:$A$304,0),"")),"")</f>
        <v/>
      </c>
      <c r="S1165" s="61" t="str">
        <f aca="false">IF(IsPro,IF($D1165="","",IF(OR($H1165="",$H1165="Credit"),0,P1165)),"")</f>
        <v/>
      </c>
    </row>
    <row r="1166" customFormat="false" ht="15" hidden="false" customHeight="false" outlineLevel="0" collapsed="false">
      <c r="A1166" s="55"/>
      <c r="B1166" s="56"/>
      <c r="C1166" s="56"/>
      <c r="D1166" s="56"/>
      <c r="E1166" s="57"/>
      <c r="F1166" s="58"/>
      <c r="G1166" s="59"/>
      <c r="H1166" s="56"/>
      <c r="I1166" s="60" t="str">
        <f aca="false">IF(IsPro,IF($D1166="","",IFERROR(INDEX(Items!$D$5:$D$504,Q1166),"")),IF($D1166="","","PRO PLAN"))</f>
        <v/>
      </c>
      <c r="J1166" s="61" t="str">
        <f aca="false">IF(IsPro,IF($D1166="","",IF($F1166="",IFERROR(INDEX(Items!$G$5:$G$504,Q1166),0),$F1166)),"")</f>
        <v/>
      </c>
      <c r="K1166" s="61" t="str">
        <f aca="false">IF(IsPro,IF($D1166="","",ROUND(N($E1166)*J1166*(1-N($G1166)),2)),"")</f>
        <v/>
      </c>
      <c r="L1166" s="62" t="str">
        <f aca="false">IF(IsPro,IF($D1166="","",IFERROR(INDEX(Items!$F$5:$F$504,Q1166),0)),"")</f>
        <v/>
      </c>
      <c r="M1166" s="61" t="str">
        <f aca="false">IF(IsPro,IF($D1166="","",IF(AND(R1166&lt;&gt;"",INDEX(Parties!$E$5:$E$304,R1166)&lt;&gt;"",INDEX(Parties!$E$5:$E$304,R1166)&lt;&gt;HomeState),0,ROUND(K1166*L1166/2,2))),"")</f>
        <v/>
      </c>
      <c r="N1166" s="61" t="str">
        <f aca="false">IF(IsPro,IF($D1166="","",M1166),"")</f>
        <v/>
      </c>
      <c r="O1166" s="61" t="str">
        <f aca="false">IF(IsPro,IF($D1166="","",IF(AND(R1166&lt;&gt;"",INDEX(Parties!$E$5:$E$304,R1166)&lt;&gt;"",INDEX(Parties!$E$5:$E$304,R1166)&lt;&gt;HomeState),ROUND(K1166*L1166,2),0)),"")</f>
        <v/>
      </c>
      <c r="P1166" s="61" t="str">
        <f aca="false">IF(IsPro,IF($D1166="","",K1166+M1166+N1166+O1166),"")</f>
        <v/>
      </c>
      <c r="Q1166" s="60" t="str">
        <f aca="false">IF(IsPro,IF($D1166="","",IFERROR(MATCH($D1166,Items!$A$5:$A$504,0),"")),"")</f>
        <v/>
      </c>
      <c r="R1166" s="60" t="str">
        <f aca="false">IF(IsPro,IF($C1166="","",IFERROR(MATCH($C1166,Parties!$A$5:$A$304,0),"")),"")</f>
        <v/>
      </c>
      <c r="S1166" s="61" t="str">
        <f aca="false">IF(IsPro,IF($D1166="","",IF(OR($H1166="",$H1166="Credit"),0,P1166)),"")</f>
        <v/>
      </c>
    </row>
    <row r="1167" customFormat="false" ht="15" hidden="false" customHeight="false" outlineLevel="0" collapsed="false">
      <c r="A1167" s="55"/>
      <c r="B1167" s="56"/>
      <c r="C1167" s="56"/>
      <c r="D1167" s="56"/>
      <c r="E1167" s="57"/>
      <c r="F1167" s="58"/>
      <c r="G1167" s="59"/>
      <c r="H1167" s="56"/>
      <c r="I1167" s="60" t="str">
        <f aca="false">IF(IsPro,IF($D1167="","",IFERROR(INDEX(Items!$D$5:$D$504,Q1167),"")),IF($D1167="","","PRO PLAN"))</f>
        <v/>
      </c>
      <c r="J1167" s="61" t="str">
        <f aca="false">IF(IsPro,IF($D1167="","",IF($F1167="",IFERROR(INDEX(Items!$G$5:$G$504,Q1167),0),$F1167)),"")</f>
        <v/>
      </c>
      <c r="K1167" s="61" t="str">
        <f aca="false">IF(IsPro,IF($D1167="","",ROUND(N($E1167)*J1167*(1-N($G1167)),2)),"")</f>
        <v/>
      </c>
      <c r="L1167" s="62" t="str">
        <f aca="false">IF(IsPro,IF($D1167="","",IFERROR(INDEX(Items!$F$5:$F$504,Q1167),0)),"")</f>
        <v/>
      </c>
      <c r="M1167" s="61" t="str">
        <f aca="false">IF(IsPro,IF($D1167="","",IF(AND(R1167&lt;&gt;"",INDEX(Parties!$E$5:$E$304,R1167)&lt;&gt;"",INDEX(Parties!$E$5:$E$304,R1167)&lt;&gt;HomeState),0,ROUND(K1167*L1167/2,2))),"")</f>
        <v/>
      </c>
      <c r="N1167" s="61" t="str">
        <f aca="false">IF(IsPro,IF($D1167="","",M1167),"")</f>
        <v/>
      </c>
      <c r="O1167" s="61" t="str">
        <f aca="false">IF(IsPro,IF($D1167="","",IF(AND(R1167&lt;&gt;"",INDEX(Parties!$E$5:$E$304,R1167)&lt;&gt;"",INDEX(Parties!$E$5:$E$304,R1167)&lt;&gt;HomeState),ROUND(K1167*L1167,2),0)),"")</f>
        <v/>
      </c>
      <c r="P1167" s="61" t="str">
        <f aca="false">IF(IsPro,IF($D1167="","",K1167+M1167+N1167+O1167),"")</f>
        <v/>
      </c>
      <c r="Q1167" s="60" t="str">
        <f aca="false">IF(IsPro,IF($D1167="","",IFERROR(MATCH($D1167,Items!$A$5:$A$504,0),"")),"")</f>
        <v/>
      </c>
      <c r="R1167" s="60" t="str">
        <f aca="false">IF(IsPro,IF($C1167="","",IFERROR(MATCH($C1167,Parties!$A$5:$A$304,0),"")),"")</f>
        <v/>
      </c>
      <c r="S1167" s="61" t="str">
        <f aca="false">IF(IsPro,IF($D1167="","",IF(OR($H1167="",$H1167="Credit"),0,P1167)),"")</f>
        <v/>
      </c>
    </row>
    <row r="1168" customFormat="false" ht="15" hidden="false" customHeight="false" outlineLevel="0" collapsed="false">
      <c r="A1168" s="55"/>
      <c r="B1168" s="56"/>
      <c r="C1168" s="56"/>
      <c r="D1168" s="56"/>
      <c r="E1168" s="57"/>
      <c r="F1168" s="58"/>
      <c r="G1168" s="59"/>
      <c r="H1168" s="56"/>
      <c r="I1168" s="60" t="str">
        <f aca="false">IF(IsPro,IF($D1168="","",IFERROR(INDEX(Items!$D$5:$D$504,Q1168),"")),IF($D1168="","","PRO PLAN"))</f>
        <v/>
      </c>
      <c r="J1168" s="61" t="str">
        <f aca="false">IF(IsPro,IF($D1168="","",IF($F1168="",IFERROR(INDEX(Items!$G$5:$G$504,Q1168),0),$F1168)),"")</f>
        <v/>
      </c>
      <c r="K1168" s="61" t="str">
        <f aca="false">IF(IsPro,IF($D1168="","",ROUND(N($E1168)*J1168*(1-N($G1168)),2)),"")</f>
        <v/>
      </c>
      <c r="L1168" s="62" t="str">
        <f aca="false">IF(IsPro,IF($D1168="","",IFERROR(INDEX(Items!$F$5:$F$504,Q1168),0)),"")</f>
        <v/>
      </c>
      <c r="M1168" s="61" t="str">
        <f aca="false">IF(IsPro,IF($D1168="","",IF(AND(R1168&lt;&gt;"",INDEX(Parties!$E$5:$E$304,R1168)&lt;&gt;"",INDEX(Parties!$E$5:$E$304,R1168)&lt;&gt;HomeState),0,ROUND(K1168*L1168/2,2))),"")</f>
        <v/>
      </c>
      <c r="N1168" s="61" t="str">
        <f aca="false">IF(IsPro,IF($D1168="","",M1168),"")</f>
        <v/>
      </c>
      <c r="O1168" s="61" t="str">
        <f aca="false">IF(IsPro,IF($D1168="","",IF(AND(R1168&lt;&gt;"",INDEX(Parties!$E$5:$E$304,R1168)&lt;&gt;"",INDEX(Parties!$E$5:$E$304,R1168)&lt;&gt;HomeState),ROUND(K1168*L1168,2),0)),"")</f>
        <v/>
      </c>
      <c r="P1168" s="61" t="str">
        <f aca="false">IF(IsPro,IF($D1168="","",K1168+M1168+N1168+O1168),"")</f>
        <v/>
      </c>
      <c r="Q1168" s="60" t="str">
        <f aca="false">IF(IsPro,IF($D1168="","",IFERROR(MATCH($D1168,Items!$A$5:$A$504,0),"")),"")</f>
        <v/>
      </c>
      <c r="R1168" s="60" t="str">
        <f aca="false">IF(IsPro,IF($C1168="","",IFERROR(MATCH($C1168,Parties!$A$5:$A$304,0),"")),"")</f>
        <v/>
      </c>
      <c r="S1168" s="61" t="str">
        <f aca="false">IF(IsPro,IF($D1168="","",IF(OR($H1168="",$H1168="Credit"),0,P1168)),"")</f>
        <v/>
      </c>
    </row>
    <row r="1169" customFormat="false" ht="15" hidden="false" customHeight="false" outlineLevel="0" collapsed="false">
      <c r="A1169" s="55"/>
      <c r="B1169" s="56"/>
      <c r="C1169" s="56"/>
      <c r="D1169" s="56"/>
      <c r="E1169" s="57"/>
      <c r="F1169" s="58"/>
      <c r="G1169" s="59"/>
      <c r="H1169" s="56"/>
      <c r="I1169" s="60" t="str">
        <f aca="false">IF(IsPro,IF($D1169="","",IFERROR(INDEX(Items!$D$5:$D$504,Q1169),"")),IF($D1169="","","PRO PLAN"))</f>
        <v/>
      </c>
      <c r="J1169" s="61" t="str">
        <f aca="false">IF(IsPro,IF($D1169="","",IF($F1169="",IFERROR(INDEX(Items!$G$5:$G$504,Q1169),0),$F1169)),"")</f>
        <v/>
      </c>
      <c r="K1169" s="61" t="str">
        <f aca="false">IF(IsPro,IF($D1169="","",ROUND(N($E1169)*J1169*(1-N($G1169)),2)),"")</f>
        <v/>
      </c>
      <c r="L1169" s="62" t="str">
        <f aca="false">IF(IsPro,IF($D1169="","",IFERROR(INDEX(Items!$F$5:$F$504,Q1169),0)),"")</f>
        <v/>
      </c>
      <c r="M1169" s="61" t="str">
        <f aca="false">IF(IsPro,IF($D1169="","",IF(AND(R1169&lt;&gt;"",INDEX(Parties!$E$5:$E$304,R1169)&lt;&gt;"",INDEX(Parties!$E$5:$E$304,R1169)&lt;&gt;HomeState),0,ROUND(K1169*L1169/2,2))),"")</f>
        <v/>
      </c>
      <c r="N1169" s="61" t="str">
        <f aca="false">IF(IsPro,IF($D1169="","",M1169),"")</f>
        <v/>
      </c>
      <c r="O1169" s="61" t="str">
        <f aca="false">IF(IsPro,IF($D1169="","",IF(AND(R1169&lt;&gt;"",INDEX(Parties!$E$5:$E$304,R1169)&lt;&gt;"",INDEX(Parties!$E$5:$E$304,R1169)&lt;&gt;HomeState),ROUND(K1169*L1169,2),0)),"")</f>
        <v/>
      </c>
      <c r="P1169" s="61" t="str">
        <f aca="false">IF(IsPro,IF($D1169="","",K1169+M1169+N1169+O1169),"")</f>
        <v/>
      </c>
      <c r="Q1169" s="60" t="str">
        <f aca="false">IF(IsPro,IF($D1169="","",IFERROR(MATCH($D1169,Items!$A$5:$A$504,0),"")),"")</f>
        <v/>
      </c>
      <c r="R1169" s="60" t="str">
        <f aca="false">IF(IsPro,IF($C1169="","",IFERROR(MATCH($C1169,Parties!$A$5:$A$304,0),"")),"")</f>
        <v/>
      </c>
      <c r="S1169" s="61" t="str">
        <f aca="false">IF(IsPro,IF($D1169="","",IF(OR($H1169="",$H1169="Credit"),0,P1169)),"")</f>
        <v/>
      </c>
    </row>
    <row r="1170" customFormat="false" ht="15" hidden="false" customHeight="false" outlineLevel="0" collapsed="false">
      <c r="A1170" s="55"/>
      <c r="B1170" s="56"/>
      <c r="C1170" s="56"/>
      <c r="D1170" s="56"/>
      <c r="E1170" s="57"/>
      <c r="F1170" s="58"/>
      <c r="G1170" s="59"/>
      <c r="H1170" s="56"/>
      <c r="I1170" s="60" t="str">
        <f aca="false">IF(IsPro,IF($D1170="","",IFERROR(INDEX(Items!$D$5:$D$504,Q1170),"")),IF($D1170="","","PRO PLAN"))</f>
        <v/>
      </c>
      <c r="J1170" s="61" t="str">
        <f aca="false">IF(IsPro,IF($D1170="","",IF($F1170="",IFERROR(INDEX(Items!$G$5:$G$504,Q1170),0),$F1170)),"")</f>
        <v/>
      </c>
      <c r="K1170" s="61" t="str">
        <f aca="false">IF(IsPro,IF($D1170="","",ROUND(N($E1170)*J1170*(1-N($G1170)),2)),"")</f>
        <v/>
      </c>
      <c r="L1170" s="62" t="str">
        <f aca="false">IF(IsPro,IF($D1170="","",IFERROR(INDEX(Items!$F$5:$F$504,Q1170),0)),"")</f>
        <v/>
      </c>
      <c r="M1170" s="61" t="str">
        <f aca="false">IF(IsPro,IF($D1170="","",IF(AND(R1170&lt;&gt;"",INDEX(Parties!$E$5:$E$304,R1170)&lt;&gt;"",INDEX(Parties!$E$5:$E$304,R1170)&lt;&gt;HomeState),0,ROUND(K1170*L1170/2,2))),"")</f>
        <v/>
      </c>
      <c r="N1170" s="61" t="str">
        <f aca="false">IF(IsPro,IF($D1170="","",M1170),"")</f>
        <v/>
      </c>
      <c r="O1170" s="61" t="str">
        <f aca="false">IF(IsPro,IF($D1170="","",IF(AND(R1170&lt;&gt;"",INDEX(Parties!$E$5:$E$304,R1170)&lt;&gt;"",INDEX(Parties!$E$5:$E$304,R1170)&lt;&gt;HomeState),ROUND(K1170*L1170,2),0)),"")</f>
        <v/>
      </c>
      <c r="P1170" s="61" t="str">
        <f aca="false">IF(IsPro,IF($D1170="","",K1170+M1170+N1170+O1170),"")</f>
        <v/>
      </c>
      <c r="Q1170" s="60" t="str">
        <f aca="false">IF(IsPro,IF($D1170="","",IFERROR(MATCH($D1170,Items!$A$5:$A$504,0),"")),"")</f>
        <v/>
      </c>
      <c r="R1170" s="60" t="str">
        <f aca="false">IF(IsPro,IF($C1170="","",IFERROR(MATCH($C1170,Parties!$A$5:$A$304,0),"")),"")</f>
        <v/>
      </c>
      <c r="S1170" s="61" t="str">
        <f aca="false">IF(IsPro,IF($D1170="","",IF(OR($H1170="",$H1170="Credit"),0,P1170)),"")</f>
        <v/>
      </c>
    </row>
    <row r="1171" customFormat="false" ht="15" hidden="false" customHeight="false" outlineLevel="0" collapsed="false">
      <c r="A1171" s="55"/>
      <c r="B1171" s="56"/>
      <c r="C1171" s="56"/>
      <c r="D1171" s="56"/>
      <c r="E1171" s="57"/>
      <c r="F1171" s="58"/>
      <c r="G1171" s="59"/>
      <c r="H1171" s="56"/>
      <c r="I1171" s="60" t="str">
        <f aca="false">IF(IsPro,IF($D1171="","",IFERROR(INDEX(Items!$D$5:$D$504,Q1171),"")),IF($D1171="","","PRO PLAN"))</f>
        <v/>
      </c>
      <c r="J1171" s="61" t="str">
        <f aca="false">IF(IsPro,IF($D1171="","",IF($F1171="",IFERROR(INDEX(Items!$G$5:$G$504,Q1171),0),$F1171)),"")</f>
        <v/>
      </c>
      <c r="K1171" s="61" t="str">
        <f aca="false">IF(IsPro,IF($D1171="","",ROUND(N($E1171)*J1171*(1-N($G1171)),2)),"")</f>
        <v/>
      </c>
      <c r="L1171" s="62" t="str">
        <f aca="false">IF(IsPro,IF($D1171="","",IFERROR(INDEX(Items!$F$5:$F$504,Q1171),0)),"")</f>
        <v/>
      </c>
      <c r="M1171" s="61" t="str">
        <f aca="false">IF(IsPro,IF($D1171="","",IF(AND(R1171&lt;&gt;"",INDEX(Parties!$E$5:$E$304,R1171)&lt;&gt;"",INDEX(Parties!$E$5:$E$304,R1171)&lt;&gt;HomeState),0,ROUND(K1171*L1171/2,2))),"")</f>
        <v/>
      </c>
      <c r="N1171" s="61" t="str">
        <f aca="false">IF(IsPro,IF($D1171="","",M1171),"")</f>
        <v/>
      </c>
      <c r="O1171" s="61" t="str">
        <f aca="false">IF(IsPro,IF($D1171="","",IF(AND(R1171&lt;&gt;"",INDEX(Parties!$E$5:$E$304,R1171)&lt;&gt;"",INDEX(Parties!$E$5:$E$304,R1171)&lt;&gt;HomeState),ROUND(K1171*L1171,2),0)),"")</f>
        <v/>
      </c>
      <c r="P1171" s="61" t="str">
        <f aca="false">IF(IsPro,IF($D1171="","",K1171+M1171+N1171+O1171),"")</f>
        <v/>
      </c>
      <c r="Q1171" s="60" t="str">
        <f aca="false">IF(IsPro,IF($D1171="","",IFERROR(MATCH($D1171,Items!$A$5:$A$504,0),"")),"")</f>
        <v/>
      </c>
      <c r="R1171" s="60" t="str">
        <f aca="false">IF(IsPro,IF($C1171="","",IFERROR(MATCH($C1171,Parties!$A$5:$A$304,0),"")),"")</f>
        <v/>
      </c>
      <c r="S1171" s="61" t="str">
        <f aca="false">IF(IsPro,IF($D1171="","",IF(OR($H1171="",$H1171="Credit"),0,P1171)),"")</f>
        <v/>
      </c>
    </row>
    <row r="1172" customFormat="false" ht="15" hidden="false" customHeight="false" outlineLevel="0" collapsed="false">
      <c r="A1172" s="55"/>
      <c r="B1172" s="56"/>
      <c r="C1172" s="56"/>
      <c r="D1172" s="56"/>
      <c r="E1172" s="57"/>
      <c r="F1172" s="58"/>
      <c r="G1172" s="59"/>
      <c r="H1172" s="56"/>
      <c r="I1172" s="60" t="str">
        <f aca="false">IF(IsPro,IF($D1172="","",IFERROR(INDEX(Items!$D$5:$D$504,Q1172),"")),IF($D1172="","","PRO PLAN"))</f>
        <v/>
      </c>
      <c r="J1172" s="61" t="str">
        <f aca="false">IF(IsPro,IF($D1172="","",IF($F1172="",IFERROR(INDEX(Items!$G$5:$G$504,Q1172),0),$F1172)),"")</f>
        <v/>
      </c>
      <c r="K1172" s="61" t="str">
        <f aca="false">IF(IsPro,IF($D1172="","",ROUND(N($E1172)*J1172*(1-N($G1172)),2)),"")</f>
        <v/>
      </c>
      <c r="L1172" s="62" t="str">
        <f aca="false">IF(IsPro,IF($D1172="","",IFERROR(INDEX(Items!$F$5:$F$504,Q1172),0)),"")</f>
        <v/>
      </c>
      <c r="M1172" s="61" t="str">
        <f aca="false">IF(IsPro,IF($D1172="","",IF(AND(R1172&lt;&gt;"",INDEX(Parties!$E$5:$E$304,R1172)&lt;&gt;"",INDEX(Parties!$E$5:$E$304,R1172)&lt;&gt;HomeState),0,ROUND(K1172*L1172/2,2))),"")</f>
        <v/>
      </c>
      <c r="N1172" s="61" t="str">
        <f aca="false">IF(IsPro,IF($D1172="","",M1172),"")</f>
        <v/>
      </c>
      <c r="O1172" s="61" t="str">
        <f aca="false">IF(IsPro,IF($D1172="","",IF(AND(R1172&lt;&gt;"",INDEX(Parties!$E$5:$E$304,R1172)&lt;&gt;"",INDEX(Parties!$E$5:$E$304,R1172)&lt;&gt;HomeState),ROUND(K1172*L1172,2),0)),"")</f>
        <v/>
      </c>
      <c r="P1172" s="61" t="str">
        <f aca="false">IF(IsPro,IF($D1172="","",K1172+M1172+N1172+O1172),"")</f>
        <v/>
      </c>
      <c r="Q1172" s="60" t="str">
        <f aca="false">IF(IsPro,IF($D1172="","",IFERROR(MATCH($D1172,Items!$A$5:$A$504,0),"")),"")</f>
        <v/>
      </c>
      <c r="R1172" s="60" t="str">
        <f aca="false">IF(IsPro,IF($C1172="","",IFERROR(MATCH($C1172,Parties!$A$5:$A$304,0),"")),"")</f>
        <v/>
      </c>
      <c r="S1172" s="61" t="str">
        <f aca="false">IF(IsPro,IF($D1172="","",IF(OR($H1172="",$H1172="Credit"),0,P1172)),"")</f>
        <v/>
      </c>
    </row>
    <row r="1173" customFormat="false" ht="15" hidden="false" customHeight="false" outlineLevel="0" collapsed="false">
      <c r="A1173" s="55"/>
      <c r="B1173" s="56"/>
      <c r="C1173" s="56"/>
      <c r="D1173" s="56"/>
      <c r="E1173" s="57"/>
      <c r="F1173" s="58"/>
      <c r="G1173" s="59"/>
      <c r="H1173" s="56"/>
      <c r="I1173" s="60" t="str">
        <f aca="false">IF(IsPro,IF($D1173="","",IFERROR(INDEX(Items!$D$5:$D$504,Q1173),"")),IF($D1173="","","PRO PLAN"))</f>
        <v/>
      </c>
      <c r="J1173" s="61" t="str">
        <f aca="false">IF(IsPro,IF($D1173="","",IF($F1173="",IFERROR(INDEX(Items!$G$5:$G$504,Q1173),0),$F1173)),"")</f>
        <v/>
      </c>
      <c r="K1173" s="61" t="str">
        <f aca="false">IF(IsPro,IF($D1173="","",ROUND(N($E1173)*J1173*(1-N($G1173)),2)),"")</f>
        <v/>
      </c>
      <c r="L1173" s="62" t="str">
        <f aca="false">IF(IsPro,IF($D1173="","",IFERROR(INDEX(Items!$F$5:$F$504,Q1173),0)),"")</f>
        <v/>
      </c>
      <c r="M1173" s="61" t="str">
        <f aca="false">IF(IsPro,IF($D1173="","",IF(AND(R1173&lt;&gt;"",INDEX(Parties!$E$5:$E$304,R1173)&lt;&gt;"",INDEX(Parties!$E$5:$E$304,R1173)&lt;&gt;HomeState),0,ROUND(K1173*L1173/2,2))),"")</f>
        <v/>
      </c>
      <c r="N1173" s="61" t="str">
        <f aca="false">IF(IsPro,IF($D1173="","",M1173),"")</f>
        <v/>
      </c>
      <c r="O1173" s="61" t="str">
        <f aca="false">IF(IsPro,IF($D1173="","",IF(AND(R1173&lt;&gt;"",INDEX(Parties!$E$5:$E$304,R1173)&lt;&gt;"",INDEX(Parties!$E$5:$E$304,R1173)&lt;&gt;HomeState),ROUND(K1173*L1173,2),0)),"")</f>
        <v/>
      </c>
      <c r="P1173" s="61" t="str">
        <f aca="false">IF(IsPro,IF($D1173="","",K1173+M1173+N1173+O1173),"")</f>
        <v/>
      </c>
      <c r="Q1173" s="60" t="str">
        <f aca="false">IF(IsPro,IF($D1173="","",IFERROR(MATCH($D1173,Items!$A$5:$A$504,0),"")),"")</f>
        <v/>
      </c>
      <c r="R1173" s="60" t="str">
        <f aca="false">IF(IsPro,IF($C1173="","",IFERROR(MATCH($C1173,Parties!$A$5:$A$304,0),"")),"")</f>
        <v/>
      </c>
      <c r="S1173" s="61" t="str">
        <f aca="false">IF(IsPro,IF($D1173="","",IF(OR($H1173="",$H1173="Credit"),0,P1173)),"")</f>
        <v/>
      </c>
    </row>
    <row r="1174" customFormat="false" ht="15" hidden="false" customHeight="false" outlineLevel="0" collapsed="false">
      <c r="A1174" s="55"/>
      <c r="B1174" s="56"/>
      <c r="C1174" s="56"/>
      <c r="D1174" s="56"/>
      <c r="E1174" s="57"/>
      <c r="F1174" s="58"/>
      <c r="G1174" s="59"/>
      <c r="H1174" s="56"/>
      <c r="I1174" s="60" t="str">
        <f aca="false">IF(IsPro,IF($D1174="","",IFERROR(INDEX(Items!$D$5:$D$504,Q1174),"")),IF($D1174="","","PRO PLAN"))</f>
        <v/>
      </c>
      <c r="J1174" s="61" t="str">
        <f aca="false">IF(IsPro,IF($D1174="","",IF($F1174="",IFERROR(INDEX(Items!$G$5:$G$504,Q1174),0),$F1174)),"")</f>
        <v/>
      </c>
      <c r="K1174" s="61" t="str">
        <f aca="false">IF(IsPro,IF($D1174="","",ROUND(N($E1174)*J1174*(1-N($G1174)),2)),"")</f>
        <v/>
      </c>
      <c r="L1174" s="62" t="str">
        <f aca="false">IF(IsPro,IF($D1174="","",IFERROR(INDEX(Items!$F$5:$F$504,Q1174),0)),"")</f>
        <v/>
      </c>
      <c r="M1174" s="61" t="str">
        <f aca="false">IF(IsPro,IF($D1174="","",IF(AND(R1174&lt;&gt;"",INDEX(Parties!$E$5:$E$304,R1174)&lt;&gt;"",INDEX(Parties!$E$5:$E$304,R1174)&lt;&gt;HomeState),0,ROUND(K1174*L1174/2,2))),"")</f>
        <v/>
      </c>
      <c r="N1174" s="61" t="str">
        <f aca="false">IF(IsPro,IF($D1174="","",M1174),"")</f>
        <v/>
      </c>
      <c r="O1174" s="61" t="str">
        <f aca="false">IF(IsPro,IF($D1174="","",IF(AND(R1174&lt;&gt;"",INDEX(Parties!$E$5:$E$304,R1174)&lt;&gt;"",INDEX(Parties!$E$5:$E$304,R1174)&lt;&gt;HomeState),ROUND(K1174*L1174,2),0)),"")</f>
        <v/>
      </c>
      <c r="P1174" s="61" t="str">
        <f aca="false">IF(IsPro,IF($D1174="","",K1174+M1174+N1174+O1174),"")</f>
        <v/>
      </c>
      <c r="Q1174" s="60" t="str">
        <f aca="false">IF(IsPro,IF($D1174="","",IFERROR(MATCH($D1174,Items!$A$5:$A$504,0),"")),"")</f>
        <v/>
      </c>
      <c r="R1174" s="60" t="str">
        <f aca="false">IF(IsPro,IF($C1174="","",IFERROR(MATCH($C1174,Parties!$A$5:$A$304,0),"")),"")</f>
        <v/>
      </c>
      <c r="S1174" s="61" t="str">
        <f aca="false">IF(IsPro,IF($D1174="","",IF(OR($H1174="",$H1174="Credit"),0,P1174)),"")</f>
        <v/>
      </c>
    </row>
    <row r="1175" customFormat="false" ht="15" hidden="false" customHeight="false" outlineLevel="0" collapsed="false">
      <c r="A1175" s="55"/>
      <c r="B1175" s="56"/>
      <c r="C1175" s="56"/>
      <c r="D1175" s="56"/>
      <c r="E1175" s="57"/>
      <c r="F1175" s="58"/>
      <c r="G1175" s="59"/>
      <c r="H1175" s="56"/>
      <c r="I1175" s="60" t="str">
        <f aca="false">IF(IsPro,IF($D1175="","",IFERROR(INDEX(Items!$D$5:$D$504,Q1175),"")),IF($D1175="","","PRO PLAN"))</f>
        <v/>
      </c>
      <c r="J1175" s="61" t="str">
        <f aca="false">IF(IsPro,IF($D1175="","",IF($F1175="",IFERROR(INDEX(Items!$G$5:$G$504,Q1175),0),$F1175)),"")</f>
        <v/>
      </c>
      <c r="K1175" s="61" t="str">
        <f aca="false">IF(IsPro,IF($D1175="","",ROUND(N($E1175)*J1175*(1-N($G1175)),2)),"")</f>
        <v/>
      </c>
      <c r="L1175" s="62" t="str">
        <f aca="false">IF(IsPro,IF($D1175="","",IFERROR(INDEX(Items!$F$5:$F$504,Q1175),0)),"")</f>
        <v/>
      </c>
      <c r="M1175" s="61" t="str">
        <f aca="false">IF(IsPro,IF($D1175="","",IF(AND(R1175&lt;&gt;"",INDEX(Parties!$E$5:$E$304,R1175)&lt;&gt;"",INDEX(Parties!$E$5:$E$304,R1175)&lt;&gt;HomeState),0,ROUND(K1175*L1175/2,2))),"")</f>
        <v/>
      </c>
      <c r="N1175" s="61" t="str">
        <f aca="false">IF(IsPro,IF($D1175="","",M1175),"")</f>
        <v/>
      </c>
      <c r="O1175" s="61" t="str">
        <f aca="false">IF(IsPro,IF($D1175="","",IF(AND(R1175&lt;&gt;"",INDEX(Parties!$E$5:$E$304,R1175)&lt;&gt;"",INDEX(Parties!$E$5:$E$304,R1175)&lt;&gt;HomeState),ROUND(K1175*L1175,2),0)),"")</f>
        <v/>
      </c>
      <c r="P1175" s="61" t="str">
        <f aca="false">IF(IsPro,IF($D1175="","",K1175+M1175+N1175+O1175),"")</f>
        <v/>
      </c>
      <c r="Q1175" s="60" t="str">
        <f aca="false">IF(IsPro,IF($D1175="","",IFERROR(MATCH($D1175,Items!$A$5:$A$504,0),"")),"")</f>
        <v/>
      </c>
      <c r="R1175" s="60" t="str">
        <f aca="false">IF(IsPro,IF($C1175="","",IFERROR(MATCH($C1175,Parties!$A$5:$A$304,0),"")),"")</f>
        <v/>
      </c>
      <c r="S1175" s="61" t="str">
        <f aca="false">IF(IsPro,IF($D1175="","",IF(OR($H1175="",$H1175="Credit"),0,P1175)),"")</f>
        <v/>
      </c>
    </row>
    <row r="1176" customFormat="false" ht="15" hidden="false" customHeight="false" outlineLevel="0" collapsed="false">
      <c r="A1176" s="55"/>
      <c r="B1176" s="56"/>
      <c r="C1176" s="56"/>
      <c r="D1176" s="56"/>
      <c r="E1176" s="57"/>
      <c r="F1176" s="58"/>
      <c r="G1176" s="59"/>
      <c r="H1176" s="56"/>
      <c r="I1176" s="60" t="str">
        <f aca="false">IF(IsPro,IF($D1176="","",IFERROR(INDEX(Items!$D$5:$D$504,Q1176),"")),IF($D1176="","","PRO PLAN"))</f>
        <v/>
      </c>
      <c r="J1176" s="61" t="str">
        <f aca="false">IF(IsPro,IF($D1176="","",IF($F1176="",IFERROR(INDEX(Items!$G$5:$G$504,Q1176),0),$F1176)),"")</f>
        <v/>
      </c>
      <c r="K1176" s="61" t="str">
        <f aca="false">IF(IsPro,IF($D1176="","",ROUND(N($E1176)*J1176*(1-N($G1176)),2)),"")</f>
        <v/>
      </c>
      <c r="L1176" s="62" t="str">
        <f aca="false">IF(IsPro,IF($D1176="","",IFERROR(INDEX(Items!$F$5:$F$504,Q1176),0)),"")</f>
        <v/>
      </c>
      <c r="M1176" s="61" t="str">
        <f aca="false">IF(IsPro,IF($D1176="","",IF(AND(R1176&lt;&gt;"",INDEX(Parties!$E$5:$E$304,R1176)&lt;&gt;"",INDEX(Parties!$E$5:$E$304,R1176)&lt;&gt;HomeState),0,ROUND(K1176*L1176/2,2))),"")</f>
        <v/>
      </c>
      <c r="N1176" s="61" t="str">
        <f aca="false">IF(IsPro,IF($D1176="","",M1176),"")</f>
        <v/>
      </c>
      <c r="O1176" s="61" t="str">
        <f aca="false">IF(IsPro,IF($D1176="","",IF(AND(R1176&lt;&gt;"",INDEX(Parties!$E$5:$E$304,R1176)&lt;&gt;"",INDEX(Parties!$E$5:$E$304,R1176)&lt;&gt;HomeState),ROUND(K1176*L1176,2),0)),"")</f>
        <v/>
      </c>
      <c r="P1176" s="61" t="str">
        <f aca="false">IF(IsPro,IF($D1176="","",K1176+M1176+N1176+O1176),"")</f>
        <v/>
      </c>
      <c r="Q1176" s="60" t="str">
        <f aca="false">IF(IsPro,IF($D1176="","",IFERROR(MATCH($D1176,Items!$A$5:$A$504,0),"")),"")</f>
        <v/>
      </c>
      <c r="R1176" s="60" t="str">
        <f aca="false">IF(IsPro,IF($C1176="","",IFERROR(MATCH($C1176,Parties!$A$5:$A$304,0),"")),"")</f>
        <v/>
      </c>
      <c r="S1176" s="61" t="str">
        <f aca="false">IF(IsPro,IF($D1176="","",IF(OR($H1176="",$H1176="Credit"),0,P1176)),"")</f>
        <v/>
      </c>
    </row>
    <row r="1177" customFormat="false" ht="15" hidden="false" customHeight="false" outlineLevel="0" collapsed="false">
      <c r="A1177" s="55"/>
      <c r="B1177" s="56"/>
      <c r="C1177" s="56"/>
      <c r="D1177" s="56"/>
      <c r="E1177" s="57"/>
      <c r="F1177" s="58"/>
      <c r="G1177" s="59"/>
      <c r="H1177" s="56"/>
      <c r="I1177" s="60" t="str">
        <f aca="false">IF(IsPro,IF($D1177="","",IFERROR(INDEX(Items!$D$5:$D$504,Q1177),"")),IF($D1177="","","PRO PLAN"))</f>
        <v/>
      </c>
      <c r="J1177" s="61" t="str">
        <f aca="false">IF(IsPro,IF($D1177="","",IF($F1177="",IFERROR(INDEX(Items!$G$5:$G$504,Q1177),0),$F1177)),"")</f>
        <v/>
      </c>
      <c r="K1177" s="61" t="str">
        <f aca="false">IF(IsPro,IF($D1177="","",ROUND(N($E1177)*J1177*(1-N($G1177)),2)),"")</f>
        <v/>
      </c>
      <c r="L1177" s="62" t="str">
        <f aca="false">IF(IsPro,IF($D1177="","",IFERROR(INDEX(Items!$F$5:$F$504,Q1177),0)),"")</f>
        <v/>
      </c>
      <c r="M1177" s="61" t="str">
        <f aca="false">IF(IsPro,IF($D1177="","",IF(AND(R1177&lt;&gt;"",INDEX(Parties!$E$5:$E$304,R1177)&lt;&gt;"",INDEX(Parties!$E$5:$E$304,R1177)&lt;&gt;HomeState),0,ROUND(K1177*L1177/2,2))),"")</f>
        <v/>
      </c>
      <c r="N1177" s="61" t="str">
        <f aca="false">IF(IsPro,IF($D1177="","",M1177),"")</f>
        <v/>
      </c>
      <c r="O1177" s="61" t="str">
        <f aca="false">IF(IsPro,IF($D1177="","",IF(AND(R1177&lt;&gt;"",INDEX(Parties!$E$5:$E$304,R1177)&lt;&gt;"",INDEX(Parties!$E$5:$E$304,R1177)&lt;&gt;HomeState),ROUND(K1177*L1177,2),0)),"")</f>
        <v/>
      </c>
      <c r="P1177" s="61" t="str">
        <f aca="false">IF(IsPro,IF($D1177="","",K1177+M1177+N1177+O1177),"")</f>
        <v/>
      </c>
      <c r="Q1177" s="60" t="str">
        <f aca="false">IF(IsPro,IF($D1177="","",IFERROR(MATCH($D1177,Items!$A$5:$A$504,0),"")),"")</f>
        <v/>
      </c>
      <c r="R1177" s="60" t="str">
        <f aca="false">IF(IsPro,IF($C1177="","",IFERROR(MATCH($C1177,Parties!$A$5:$A$304,0),"")),"")</f>
        <v/>
      </c>
      <c r="S1177" s="61" t="str">
        <f aca="false">IF(IsPro,IF($D1177="","",IF(OR($H1177="",$H1177="Credit"),0,P1177)),"")</f>
        <v/>
      </c>
    </row>
    <row r="1178" customFormat="false" ht="15" hidden="false" customHeight="false" outlineLevel="0" collapsed="false">
      <c r="A1178" s="55"/>
      <c r="B1178" s="56"/>
      <c r="C1178" s="56"/>
      <c r="D1178" s="56"/>
      <c r="E1178" s="57"/>
      <c r="F1178" s="58"/>
      <c r="G1178" s="59"/>
      <c r="H1178" s="56"/>
      <c r="I1178" s="60" t="str">
        <f aca="false">IF(IsPro,IF($D1178="","",IFERROR(INDEX(Items!$D$5:$D$504,Q1178),"")),IF($D1178="","","PRO PLAN"))</f>
        <v/>
      </c>
      <c r="J1178" s="61" t="str">
        <f aca="false">IF(IsPro,IF($D1178="","",IF($F1178="",IFERROR(INDEX(Items!$G$5:$G$504,Q1178),0),$F1178)),"")</f>
        <v/>
      </c>
      <c r="K1178" s="61" t="str">
        <f aca="false">IF(IsPro,IF($D1178="","",ROUND(N($E1178)*J1178*(1-N($G1178)),2)),"")</f>
        <v/>
      </c>
      <c r="L1178" s="62" t="str">
        <f aca="false">IF(IsPro,IF($D1178="","",IFERROR(INDEX(Items!$F$5:$F$504,Q1178),0)),"")</f>
        <v/>
      </c>
      <c r="M1178" s="61" t="str">
        <f aca="false">IF(IsPro,IF($D1178="","",IF(AND(R1178&lt;&gt;"",INDEX(Parties!$E$5:$E$304,R1178)&lt;&gt;"",INDEX(Parties!$E$5:$E$304,R1178)&lt;&gt;HomeState),0,ROUND(K1178*L1178/2,2))),"")</f>
        <v/>
      </c>
      <c r="N1178" s="61" t="str">
        <f aca="false">IF(IsPro,IF($D1178="","",M1178),"")</f>
        <v/>
      </c>
      <c r="O1178" s="61" t="str">
        <f aca="false">IF(IsPro,IF($D1178="","",IF(AND(R1178&lt;&gt;"",INDEX(Parties!$E$5:$E$304,R1178)&lt;&gt;"",INDEX(Parties!$E$5:$E$304,R1178)&lt;&gt;HomeState),ROUND(K1178*L1178,2),0)),"")</f>
        <v/>
      </c>
      <c r="P1178" s="61" t="str">
        <f aca="false">IF(IsPro,IF($D1178="","",K1178+M1178+N1178+O1178),"")</f>
        <v/>
      </c>
      <c r="Q1178" s="60" t="str">
        <f aca="false">IF(IsPro,IF($D1178="","",IFERROR(MATCH($D1178,Items!$A$5:$A$504,0),"")),"")</f>
        <v/>
      </c>
      <c r="R1178" s="60" t="str">
        <f aca="false">IF(IsPro,IF($C1178="","",IFERROR(MATCH($C1178,Parties!$A$5:$A$304,0),"")),"")</f>
        <v/>
      </c>
      <c r="S1178" s="61" t="str">
        <f aca="false">IF(IsPro,IF($D1178="","",IF(OR($H1178="",$H1178="Credit"),0,P1178)),"")</f>
        <v/>
      </c>
    </row>
    <row r="1179" customFormat="false" ht="15" hidden="false" customHeight="false" outlineLevel="0" collapsed="false">
      <c r="A1179" s="55"/>
      <c r="B1179" s="56"/>
      <c r="C1179" s="56"/>
      <c r="D1179" s="56"/>
      <c r="E1179" s="57"/>
      <c r="F1179" s="58"/>
      <c r="G1179" s="59"/>
      <c r="H1179" s="56"/>
      <c r="I1179" s="60" t="str">
        <f aca="false">IF(IsPro,IF($D1179="","",IFERROR(INDEX(Items!$D$5:$D$504,Q1179),"")),IF($D1179="","","PRO PLAN"))</f>
        <v/>
      </c>
      <c r="J1179" s="61" t="str">
        <f aca="false">IF(IsPro,IF($D1179="","",IF($F1179="",IFERROR(INDEX(Items!$G$5:$G$504,Q1179),0),$F1179)),"")</f>
        <v/>
      </c>
      <c r="K1179" s="61" t="str">
        <f aca="false">IF(IsPro,IF($D1179="","",ROUND(N($E1179)*J1179*(1-N($G1179)),2)),"")</f>
        <v/>
      </c>
      <c r="L1179" s="62" t="str">
        <f aca="false">IF(IsPro,IF($D1179="","",IFERROR(INDEX(Items!$F$5:$F$504,Q1179),0)),"")</f>
        <v/>
      </c>
      <c r="M1179" s="61" t="str">
        <f aca="false">IF(IsPro,IF($D1179="","",IF(AND(R1179&lt;&gt;"",INDEX(Parties!$E$5:$E$304,R1179)&lt;&gt;"",INDEX(Parties!$E$5:$E$304,R1179)&lt;&gt;HomeState),0,ROUND(K1179*L1179/2,2))),"")</f>
        <v/>
      </c>
      <c r="N1179" s="61" t="str">
        <f aca="false">IF(IsPro,IF($D1179="","",M1179),"")</f>
        <v/>
      </c>
      <c r="O1179" s="61" t="str">
        <f aca="false">IF(IsPro,IF($D1179="","",IF(AND(R1179&lt;&gt;"",INDEX(Parties!$E$5:$E$304,R1179)&lt;&gt;"",INDEX(Parties!$E$5:$E$304,R1179)&lt;&gt;HomeState),ROUND(K1179*L1179,2),0)),"")</f>
        <v/>
      </c>
      <c r="P1179" s="61" t="str">
        <f aca="false">IF(IsPro,IF($D1179="","",K1179+M1179+N1179+O1179),"")</f>
        <v/>
      </c>
      <c r="Q1179" s="60" t="str">
        <f aca="false">IF(IsPro,IF($D1179="","",IFERROR(MATCH($D1179,Items!$A$5:$A$504,0),"")),"")</f>
        <v/>
      </c>
      <c r="R1179" s="60" t="str">
        <f aca="false">IF(IsPro,IF($C1179="","",IFERROR(MATCH($C1179,Parties!$A$5:$A$304,0),"")),"")</f>
        <v/>
      </c>
      <c r="S1179" s="61" t="str">
        <f aca="false">IF(IsPro,IF($D1179="","",IF(OR($H1179="",$H1179="Credit"),0,P1179)),"")</f>
        <v/>
      </c>
    </row>
    <row r="1180" customFormat="false" ht="15" hidden="false" customHeight="false" outlineLevel="0" collapsed="false">
      <c r="A1180" s="55"/>
      <c r="B1180" s="56"/>
      <c r="C1180" s="56"/>
      <c r="D1180" s="56"/>
      <c r="E1180" s="57"/>
      <c r="F1180" s="58"/>
      <c r="G1180" s="59"/>
      <c r="H1180" s="56"/>
      <c r="I1180" s="60" t="str">
        <f aca="false">IF(IsPro,IF($D1180="","",IFERROR(INDEX(Items!$D$5:$D$504,Q1180),"")),IF($D1180="","","PRO PLAN"))</f>
        <v/>
      </c>
      <c r="J1180" s="61" t="str">
        <f aca="false">IF(IsPro,IF($D1180="","",IF($F1180="",IFERROR(INDEX(Items!$G$5:$G$504,Q1180),0),$F1180)),"")</f>
        <v/>
      </c>
      <c r="K1180" s="61" t="str">
        <f aca="false">IF(IsPro,IF($D1180="","",ROUND(N($E1180)*J1180*(1-N($G1180)),2)),"")</f>
        <v/>
      </c>
      <c r="L1180" s="62" t="str">
        <f aca="false">IF(IsPro,IF($D1180="","",IFERROR(INDEX(Items!$F$5:$F$504,Q1180),0)),"")</f>
        <v/>
      </c>
      <c r="M1180" s="61" t="str">
        <f aca="false">IF(IsPro,IF($D1180="","",IF(AND(R1180&lt;&gt;"",INDEX(Parties!$E$5:$E$304,R1180)&lt;&gt;"",INDEX(Parties!$E$5:$E$304,R1180)&lt;&gt;HomeState),0,ROUND(K1180*L1180/2,2))),"")</f>
        <v/>
      </c>
      <c r="N1180" s="61" t="str">
        <f aca="false">IF(IsPro,IF($D1180="","",M1180),"")</f>
        <v/>
      </c>
      <c r="O1180" s="61" t="str">
        <f aca="false">IF(IsPro,IF($D1180="","",IF(AND(R1180&lt;&gt;"",INDEX(Parties!$E$5:$E$304,R1180)&lt;&gt;"",INDEX(Parties!$E$5:$E$304,R1180)&lt;&gt;HomeState),ROUND(K1180*L1180,2),0)),"")</f>
        <v/>
      </c>
      <c r="P1180" s="61" t="str">
        <f aca="false">IF(IsPro,IF($D1180="","",K1180+M1180+N1180+O1180),"")</f>
        <v/>
      </c>
      <c r="Q1180" s="60" t="str">
        <f aca="false">IF(IsPro,IF($D1180="","",IFERROR(MATCH($D1180,Items!$A$5:$A$504,0),"")),"")</f>
        <v/>
      </c>
      <c r="R1180" s="60" t="str">
        <f aca="false">IF(IsPro,IF($C1180="","",IFERROR(MATCH($C1180,Parties!$A$5:$A$304,0),"")),"")</f>
        <v/>
      </c>
      <c r="S1180" s="61" t="str">
        <f aca="false">IF(IsPro,IF($D1180="","",IF(OR($H1180="",$H1180="Credit"),0,P1180)),"")</f>
        <v/>
      </c>
    </row>
    <row r="1181" customFormat="false" ht="15" hidden="false" customHeight="false" outlineLevel="0" collapsed="false">
      <c r="A1181" s="55"/>
      <c r="B1181" s="56"/>
      <c r="C1181" s="56"/>
      <c r="D1181" s="56"/>
      <c r="E1181" s="57"/>
      <c r="F1181" s="58"/>
      <c r="G1181" s="59"/>
      <c r="H1181" s="56"/>
      <c r="I1181" s="60" t="str">
        <f aca="false">IF(IsPro,IF($D1181="","",IFERROR(INDEX(Items!$D$5:$D$504,Q1181),"")),IF($D1181="","","PRO PLAN"))</f>
        <v/>
      </c>
      <c r="J1181" s="61" t="str">
        <f aca="false">IF(IsPro,IF($D1181="","",IF($F1181="",IFERROR(INDEX(Items!$G$5:$G$504,Q1181),0),$F1181)),"")</f>
        <v/>
      </c>
      <c r="K1181" s="61" t="str">
        <f aca="false">IF(IsPro,IF($D1181="","",ROUND(N($E1181)*J1181*(1-N($G1181)),2)),"")</f>
        <v/>
      </c>
      <c r="L1181" s="62" t="str">
        <f aca="false">IF(IsPro,IF($D1181="","",IFERROR(INDEX(Items!$F$5:$F$504,Q1181),0)),"")</f>
        <v/>
      </c>
      <c r="M1181" s="61" t="str">
        <f aca="false">IF(IsPro,IF($D1181="","",IF(AND(R1181&lt;&gt;"",INDEX(Parties!$E$5:$E$304,R1181)&lt;&gt;"",INDEX(Parties!$E$5:$E$304,R1181)&lt;&gt;HomeState),0,ROUND(K1181*L1181/2,2))),"")</f>
        <v/>
      </c>
      <c r="N1181" s="61" t="str">
        <f aca="false">IF(IsPro,IF($D1181="","",M1181),"")</f>
        <v/>
      </c>
      <c r="O1181" s="61" t="str">
        <f aca="false">IF(IsPro,IF($D1181="","",IF(AND(R1181&lt;&gt;"",INDEX(Parties!$E$5:$E$304,R1181)&lt;&gt;"",INDEX(Parties!$E$5:$E$304,R1181)&lt;&gt;HomeState),ROUND(K1181*L1181,2),0)),"")</f>
        <v/>
      </c>
      <c r="P1181" s="61" t="str">
        <f aca="false">IF(IsPro,IF($D1181="","",K1181+M1181+N1181+O1181),"")</f>
        <v/>
      </c>
      <c r="Q1181" s="60" t="str">
        <f aca="false">IF(IsPro,IF($D1181="","",IFERROR(MATCH($D1181,Items!$A$5:$A$504,0),"")),"")</f>
        <v/>
      </c>
      <c r="R1181" s="60" t="str">
        <f aca="false">IF(IsPro,IF($C1181="","",IFERROR(MATCH($C1181,Parties!$A$5:$A$304,0),"")),"")</f>
        <v/>
      </c>
      <c r="S1181" s="61" t="str">
        <f aca="false">IF(IsPro,IF($D1181="","",IF(OR($H1181="",$H1181="Credit"),0,P1181)),"")</f>
        <v/>
      </c>
    </row>
    <row r="1182" customFormat="false" ht="15" hidden="false" customHeight="false" outlineLevel="0" collapsed="false">
      <c r="A1182" s="55"/>
      <c r="B1182" s="56"/>
      <c r="C1182" s="56"/>
      <c r="D1182" s="56"/>
      <c r="E1182" s="57"/>
      <c r="F1182" s="58"/>
      <c r="G1182" s="59"/>
      <c r="H1182" s="56"/>
      <c r="I1182" s="60" t="str">
        <f aca="false">IF(IsPro,IF($D1182="","",IFERROR(INDEX(Items!$D$5:$D$504,Q1182),"")),IF($D1182="","","PRO PLAN"))</f>
        <v/>
      </c>
      <c r="J1182" s="61" t="str">
        <f aca="false">IF(IsPro,IF($D1182="","",IF($F1182="",IFERROR(INDEX(Items!$G$5:$G$504,Q1182),0),$F1182)),"")</f>
        <v/>
      </c>
      <c r="K1182" s="61" t="str">
        <f aca="false">IF(IsPro,IF($D1182="","",ROUND(N($E1182)*J1182*(1-N($G1182)),2)),"")</f>
        <v/>
      </c>
      <c r="L1182" s="62" t="str">
        <f aca="false">IF(IsPro,IF($D1182="","",IFERROR(INDEX(Items!$F$5:$F$504,Q1182),0)),"")</f>
        <v/>
      </c>
      <c r="M1182" s="61" t="str">
        <f aca="false">IF(IsPro,IF($D1182="","",IF(AND(R1182&lt;&gt;"",INDEX(Parties!$E$5:$E$304,R1182)&lt;&gt;"",INDEX(Parties!$E$5:$E$304,R1182)&lt;&gt;HomeState),0,ROUND(K1182*L1182/2,2))),"")</f>
        <v/>
      </c>
      <c r="N1182" s="61" t="str">
        <f aca="false">IF(IsPro,IF($D1182="","",M1182),"")</f>
        <v/>
      </c>
      <c r="O1182" s="61" t="str">
        <f aca="false">IF(IsPro,IF($D1182="","",IF(AND(R1182&lt;&gt;"",INDEX(Parties!$E$5:$E$304,R1182)&lt;&gt;"",INDEX(Parties!$E$5:$E$304,R1182)&lt;&gt;HomeState),ROUND(K1182*L1182,2),0)),"")</f>
        <v/>
      </c>
      <c r="P1182" s="61" t="str">
        <f aca="false">IF(IsPro,IF($D1182="","",K1182+M1182+N1182+O1182),"")</f>
        <v/>
      </c>
      <c r="Q1182" s="60" t="str">
        <f aca="false">IF(IsPro,IF($D1182="","",IFERROR(MATCH($D1182,Items!$A$5:$A$504,0),"")),"")</f>
        <v/>
      </c>
      <c r="R1182" s="60" t="str">
        <f aca="false">IF(IsPro,IF($C1182="","",IFERROR(MATCH($C1182,Parties!$A$5:$A$304,0),"")),"")</f>
        <v/>
      </c>
      <c r="S1182" s="61" t="str">
        <f aca="false">IF(IsPro,IF($D1182="","",IF(OR($H1182="",$H1182="Credit"),0,P1182)),"")</f>
        <v/>
      </c>
    </row>
    <row r="1183" customFormat="false" ht="15" hidden="false" customHeight="false" outlineLevel="0" collapsed="false">
      <c r="A1183" s="55"/>
      <c r="B1183" s="56"/>
      <c r="C1183" s="56"/>
      <c r="D1183" s="56"/>
      <c r="E1183" s="57"/>
      <c r="F1183" s="58"/>
      <c r="G1183" s="59"/>
      <c r="H1183" s="56"/>
      <c r="I1183" s="60" t="str">
        <f aca="false">IF(IsPro,IF($D1183="","",IFERROR(INDEX(Items!$D$5:$D$504,Q1183),"")),IF($D1183="","","PRO PLAN"))</f>
        <v/>
      </c>
      <c r="J1183" s="61" t="str">
        <f aca="false">IF(IsPro,IF($D1183="","",IF($F1183="",IFERROR(INDEX(Items!$G$5:$G$504,Q1183),0),$F1183)),"")</f>
        <v/>
      </c>
      <c r="K1183" s="61" t="str">
        <f aca="false">IF(IsPro,IF($D1183="","",ROUND(N($E1183)*J1183*(1-N($G1183)),2)),"")</f>
        <v/>
      </c>
      <c r="L1183" s="62" t="str">
        <f aca="false">IF(IsPro,IF($D1183="","",IFERROR(INDEX(Items!$F$5:$F$504,Q1183),0)),"")</f>
        <v/>
      </c>
      <c r="M1183" s="61" t="str">
        <f aca="false">IF(IsPro,IF($D1183="","",IF(AND(R1183&lt;&gt;"",INDEX(Parties!$E$5:$E$304,R1183)&lt;&gt;"",INDEX(Parties!$E$5:$E$304,R1183)&lt;&gt;HomeState),0,ROUND(K1183*L1183/2,2))),"")</f>
        <v/>
      </c>
      <c r="N1183" s="61" t="str">
        <f aca="false">IF(IsPro,IF($D1183="","",M1183),"")</f>
        <v/>
      </c>
      <c r="O1183" s="61" t="str">
        <f aca="false">IF(IsPro,IF($D1183="","",IF(AND(R1183&lt;&gt;"",INDEX(Parties!$E$5:$E$304,R1183)&lt;&gt;"",INDEX(Parties!$E$5:$E$304,R1183)&lt;&gt;HomeState),ROUND(K1183*L1183,2),0)),"")</f>
        <v/>
      </c>
      <c r="P1183" s="61" t="str">
        <f aca="false">IF(IsPro,IF($D1183="","",K1183+M1183+N1183+O1183),"")</f>
        <v/>
      </c>
      <c r="Q1183" s="60" t="str">
        <f aca="false">IF(IsPro,IF($D1183="","",IFERROR(MATCH($D1183,Items!$A$5:$A$504,0),"")),"")</f>
        <v/>
      </c>
      <c r="R1183" s="60" t="str">
        <f aca="false">IF(IsPro,IF($C1183="","",IFERROR(MATCH($C1183,Parties!$A$5:$A$304,0),"")),"")</f>
        <v/>
      </c>
      <c r="S1183" s="61" t="str">
        <f aca="false">IF(IsPro,IF($D1183="","",IF(OR($H1183="",$H1183="Credit"),0,P1183)),"")</f>
        <v/>
      </c>
    </row>
    <row r="1184" customFormat="false" ht="15" hidden="false" customHeight="false" outlineLevel="0" collapsed="false">
      <c r="A1184" s="55"/>
      <c r="B1184" s="56"/>
      <c r="C1184" s="56"/>
      <c r="D1184" s="56"/>
      <c r="E1184" s="57"/>
      <c r="F1184" s="58"/>
      <c r="G1184" s="59"/>
      <c r="H1184" s="56"/>
      <c r="I1184" s="60" t="str">
        <f aca="false">IF(IsPro,IF($D1184="","",IFERROR(INDEX(Items!$D$5:$D$504,Q1184),"")),IF($D1184="","","PRO PLAN"))</f>
        <v/>
      </c>
      <c r="J1184" s="61" t="str">
        <f aca="false">IF(IsPro,IF($D1184="","",IF($F1184="",IFERROR(INDEX(Items!$G$5:$G$504,Q1184),0),$F1184)),"")</f>
        <v/>
      </c>
      <c r="K1184" s="61" t="str">
        <f aca="false">IF(IsPro,IF($D1184="","",ROUND(N($E1184)*J1184*(1-N($G1184)),2)),"")</f>
        <v/>
      </c>
      <c r="L1184" s="62" t="str">
        <f aca="false">IF(IsPro,IF($D1184="","",IFERROR(INDEX(Items!$F$5:$F$504,Q1184),0)),"")</f>
        <v/>
      </c>
      <c r="M1184" s="61" t="str">
        <f aca="false">IF(IsPro,IF($D1184="","",IF(AND(R1184&lt;&gt;"",INDEX(Parties!$E$5:$E$304,R1184)&lt;&gt;"",INDEX(Parties!$E$5:$E$304,R1184)&lt;&gt;HomeState),0,ROUND(K1184*L1184/2,2))),"")</f>
        <v/>
      </c>
      <c r="N1184" s="61" t="str">
        <f aca="false">IF(IsPro,IF($D1184="","",M1184),"")</f>
        <v/>
      </c>
      <c r="O1184" s="61" t="str">
        <f aca="false">IF(IsPro,IF($D1184="","",IF(AND(R1184&lt;&gt;"",INDEX(Parties!$E$5:$E$304,R1184)&lt;&gt;"",INDEX(Parties!$E$5:$E$304,R1184)&lt;&gt;HomeState),ROUND(K1184*L1184,2),0)),"")</f>
        <v/>
      </c>
      <c r="P1184" s="61" t="str">
        <f aca="false">IF(IsPro,IF($D1184="","",K1184+M1184+N1184+O1184),"")</f>
        <v/>
      </c>
      <c r="Q1184" s="60" t="str">
        <f aca="false">IF(IsPro,IF($D1184="","",IFERROR(MATCH($D1184,Items!$A$5:$A$504,0),"")),"")</f>
        <v/>
      </c>
      <c r="R1184" s="60" t="str">
        <f aca="false">IF(IsPro,IF($C1184="","",IFERROR(MATCH($C1184,Parties!$A$5:$A$304,0),"")),"")</f>
        <v/>
      </c>
      <c r="S1184" s="61" t="str">
        <f aca="false">IF(IsPro,IF($D1184="","",IF(OR($H1184="",$H1184="Credit"),0,P1184)),"")</f>
        <v/>
      </c>
    </row>
    <row r="1185" customFormat="false" ht="15" hidden="false" customHeight="false" outlineLevel="0" collapsed="false">
      <c r="A1185" s="55"/>
      <c r="B1185" s="56"/>
      <c r="C1185" s="56"/>
      <c r="D1185" s="56"/>
      <c r="E1185" s="57"/>
      <c r="F1185" s="58"/>
      <c r="G1185" s="59"/>
      <c r="H1185" s="56"/>
      <c r="I1185" s="60" t="str">
        <f aca="false">IF(IsPro,IF($D1185="","",IFERROR(INDEX(Items!$D$5:$D$504,Q1185),"")),IF($D1185="","","PRO PLAN"))</f>
        <v/>
      </c>
      <c r="J1185" s="61" t="str">
        <f aca="false">IF(IsPro,IF($D1185="","",IF($F1185="",IFERROR(INDEX(Items!$G$5:$G$504,Q1185),0),$F1185)),"")</f>
        <v/>
      </c>
      <c r="K1185" s="61" t="str">
        <f aca="false">IF(IsPro,IF($D1185="","",ROUND(N($E1185)*J1185*(1-N($G1185)),2)),"")</f>
        <v/>
      </c>
      <c r="L1185" s="62" t="str">
        <f aca="false">IF(IsPro,IF($D1185="","",IFERROR(INDEX(Items!$F$5:$F$504,Q1185),0)),"")</f>
        <v/>
      </c>
      <c r="M1185" s="61" t="str">
        <f aca="false">IF(IsPro,IF($D1185="","",IF(AND(R1185&lt;&gt;"",INDEX(Parties!$E$5:$E$304,R1185)&lt;&gt;"",INDEX(Parties!$E$5:$E$304,R1185)&lt;&gt;HomeState),0,ROUND(K1185*L1185/2,2))),"")</f>
        <v/>
      </c>
      <c r="N1185" s="61" t="str">
        <f aca="false">IF(IsPro,IF($D1185="","",M1185),"")</f>
        <v/>
      </c>
      <c r="O1185" s="61" t="str">
        <f aca="false">IF(IsPro,IF($D1185="","",IF(AND(R1185&lt;&gt;"",INDEX(Parties!$E$5:$E$304,R1185)&lt;&gt;"",INDEX(Parties!$E$5:$E$304,R1185)&lt;&gt;HomeState),ROUND(K1185*L1185,2),0)),"")</f>
        <v/>
      </c>
      <c r="P1185" s="61" t="str">
        <f aca="false">IF(IsPro,IF($D1185="","",K1185+M1185+N1185+O1185),"")</f>
        <v/>
      </c>
      <c r="Q1185" s="60" t="str">
        <f aca="false">IF(IsPro,IF($D1185="","",IFERROR(MATCH($D1185,Items!$A$5:$A$504,0),"")),"")</f>
        <v/>
      </c>
      <c r="R1185" s="60" t="str">
        <f aca="false">IF(IsPro,IF($C1185="","",IFERROR(MATCH($C1185,Parties!$A$5:$A$304,0),"")),"")</f>
        <v/>
      </c>
      <c r="S1185" s="61" t="str">
        <f aca="false">IF(IsPro,IF($D1185="","",IF(OR($H1185="",$H1185="Credit"),0,P1185)),"")</f>
        <v/>
      </c>
    </row>
    <row r="1186" customFormat="false" ht="15" hidden="false" customHeight="false" outlineLevel="0" collapsed="false">
      <c r="A1186" s="55"/>
      <c r="B1186" s="56"/>
      <c r="C1186" s="56"/>
      <c r="D1186" s="56"/>
      <c r="E1186" s="57"/>
      <c r="F1186" s="58"/>
      <c r="G1186" s="59"/>
      <c r="H1186" s="56"/>
      <c r="I1186" s="60" t="str">
        <f aca="false">IF(IsPro,IF($D1186="","",IFERROR(INDEX(Items!$D$5:$D$504,Q1186),"")),IF($D1186="","","PRO PLAN"))</f>
        <v/>
      </c>
      <c r="J1186" s="61" t="str">
        <f aca="false">IF(IsPro,IF($D1186="","",IF($F1186="",IFERROR(INDEX(Items!$G$5:$G$504,Q1186),0),$F1186)),"")</f>
        <v/>
      </c>
      <c r="K1186" s="61" t="str">
        <f aca="false">IF(IsPro,IF($D1186="","",ROUND(N($E1186)*J1186*(1-N($G1186)),2)),"")</f>
        <v/>
      </c>
      <c r="L1186" s="62" t="str">
        <f aca="false">IF(IsPro,IF($D1186="","",IFERROR(INDEX(Items!$F$5:$F$504,Q1186),0)),"")</f>
        <v/>
      </c>
      <c r="M1186" s="61" t="str">
        <f aca="false">IF(IsPro,IF($D1186="","",IF(AND(R1186&lt;&gt;"",INDEX(Parties!$E$5:$E$304,R1186)&lt;&gt;"",INDEX(Parties!$E$5:$E$304,R1186)&lt;&gt;HomeState),0,ROUND(K1186*L1186/2,2))),"")</f>
        <v/>
      </c>
      <c r="N1186" s="61" t="str">
        <f aca="false">IF(IsPro,IF($D1186="","",M1186),"")</f>
        <v/>
      </c>
      <c r="O1186" s="61" t="str">
        <f aca="false">IF(IsPro,IF($D1186="","",IF(AND(R1186&lt;&gt;"",INDEX(Parties!$E$5:$E$304,R1186)&lt;&gt;"",INDEX(Parties!$E$5:$E$304,R1186)&lt;&gt;HomeState),ROUND(K1186*L1186,2),0)),"")</f>
        <v/>
      </c>
      <c r="P1186" s="61" t="str">
        <f aca="false">IF(IsPro,IF($D1186="","",K1186+M1186+N1186+O1186),"")</f>
        <v/>
      </c>
      <c r="Q1186" s="60" t="str">
        <f aca="false">IF(IsPro,IF($D1186="","",IFERROR(MATCH($D1186,Items!$A$5:$A$504,0),"")),"")</f>
        <v/>
      </c>
      <c r="R1186" s="60" t="str">
        <f aca="false">IF(IsPro,IF($C1186="","",IFERROR(MATCH($C1186,Parties!$A$5:$A$304,0),"")),"")</f>
        <v/>
      </c>
      <c r="S1186" s="61" t="str">
        <f aca="false">IF(IsPro,IF($D1186="","",IF(OR($H1186="",$H1186="Credit"),0,P1186)),"")</f>
        <v/>
      </c>
    </row>
    <row r="1187" customFormat="false" ht="15" hidden="false" customHeight="false" outlineLevel="0" collapsed="false">
      <c r="A1187" s="55"/>
      <c r="B1187" s="56"/>
      <c r="C1187" s="56"/>
      <c r="D1187" s="56"/>
      <c r="E1187" s="57"/>
      <c r="F1187" s="58"/>
      <c r="G1187" s="59"/>
      <c r="H1187" s="56"/>
      <c r="I1187" s="60" t="str">
        <f aca="false">IF(IsPro,IF($D1187="","",IFERROR(INDEX(Items!$D$5:$D$504,Q1187),"")),IF($D1187="","","PRO PLAN"))</f>
        <v/>
      </c>
      <c r="J1187" s="61" t="str">
        <f aca="false">IF(IsPro,IF($D1187="","",IF($F1187="",IFERROR(INDEX(Items!$G$5:$G$504,Q1187),0),$F1187)),"")</f>
        <v/>
      </c>
      <c r="K1187" s="61" t="str">
        <f aca="false">IF(IsPro,IF($D1187="","",ROUND(N($E1187)*J1187*(1-N($G1187)),2)),"")</f>
        <v/>
      </c>
      <c r="L1187" s="62" t="str">
        <f aca="false">IF(IsPro,IF($D1187="","",IFERROR(INDEX(Items!$F$5:$F$504,Q1187),0)),"")</f>
        <v/>
      </c>
      <c r="M1187" s="61" t="str">
        <f aca="false">IF(IsPro,IF($D1187="","",IF(AND(R1187&lt;&gt;"",INDEX(Parties!$E$5:$E$304,R1187)&lt;&gt;"",INDEX(Parties!$E$5:$E$304,R1187)&lt;&gt;HomeState),0,ROUND(K1187*L1187/2,2))),"")</f>
        <v/>
      </c>
      <c r="N1187" s="61" t="str">
        <f aca="false">IF(IsPro,IF($D1187="","",M1187),"")</f>
        <v/>
      </c>
      <c r="O1187" s="61" t="str">
        <f aca="false">IF(IsPro,IF($D1187="","",IF(AND(R1187&lt;&gt;"",INDEX(Parties!$E$5:$E$304,R1187)&lt;&gt;"",INDEX(Parties!$E$5:$E$304,R1187)&lt;&gt;HomeState),ROUND(K1187*L1187,2),0)),"")</f>
        <v/>
      </c>
      <c r="P1187" s="61" t="str">
        <f aca="false">IF(IsPro,IF($D1187="","",K1187+M1187+N1187+O1187),"")</f>
        <v/>
      </c>
      <c r="Q1187" s="60" t="str">
        <f aca="false">IF(IsPro,IF($D1187="","",IFERROR(MATCH($D1187,Items!$A$5:$A$504,0),"")),"")</f>
        <v/>
      </c>
      <c r="R1187" s="60" t="str">
        <f aca="false">IF(IsPro,IF($C1187="","",IFERROR(MATCH($C1187,Parties!$A$5:$A$304,0),"")),"")</f>
        <v/>
      </c>
      <c r="S1187" s="61" t="str">
        <f aca="false">IF(IsPro,IF($D1187="","",IF(OR($H1187="",$H1187="Credit"),0,P1187)),"")</f>
        <v/>
      </c>
    </row>
    <row r="1188" customFormat="false" ht="15" hidden="false" customHeight="false" outlineLevel="0" collapsed="false">
      <c r="A1188" s="55"/>
      <c r="B1188" s="56"/>
      <c r="C1188" s="56"/>
      <c r="D1188" s="56"/>
      <c r="E1188" s="57"/>
      <c r="F1188" s="58"/>
      <c r="G1188" s="59"/>
      <c r="H1188" s="56"/>
      <c r="I1188" s="60" t="str">
        <f aca="false">IF(IsPro,IF($D1188="","",IFERROR(INDEX(Items!$D$5:$D$504,Q1188),"")),IF($D1188="","","PRO PLAN"))</f>
        <v/>
      </c>
      <c r="J1188" s="61" t="str">
        <f aca="false">IF(IsPro,IF($D1188="","",IF($F1188="",IFERROR(INDEX(Items!$G$5:$G$504,Q1188),0),$F1188)),"")</f>
        <v/>
      </c>
      <c r="K1188" s="61" t="str">
        <f aca="false">IF(IsPro,IF($D1188="","",ROUND(N($E1188)*J1188*(1-N($G1188)),2)),"")</f>
        <v/>
      </c>
      <c r="L1188" s="62" t="str">
        <f aca="false">IF(IsPro,IF($D1188="","",IFERROR(INDEX(Items!$F$5:$F$504,Q1188),0)),"")</f>
        <v/>
      </c>
      <c r="M1188" s="61" t="str">
        <f aca="false">IF(IsPro,IF($D1188="","",IF(AND(R1188&lt;&gt;"",INDEX(Parties!$E$5:$E$304,R1188)&lt;&gt;"",INDEX(Parties!$E$5:$E$304,R1188)&lt;&gt;HomeState),0,ROUND(K1188*L1188/2,2))),"")</f>
        <v/>
      </c>
      <c r="N1188" s="61" t="str">
        <f aca="false">IF(IsPro,IF($D1188="","",M1188),"")</f>
        <v/>
      </c>
      <c r="O1188" s="61" t="str">
        <f aca="false">IF(IsPro,IF($D1188="","",IF(AND(R1188&lt;&gt;"",INDEX(Parties!$E$5:$E$304,R1188)&lt;&gt;"",INDEX(Parties!$E$5:$E$304,R1188)&lt;&gt;HomeState),ROUND(K1188*L1188,2),0)),"")</f>
        <v/>
      </c>
      <c r="P1188" s="61" t="str">
        <f aca="false">IF(IsPro,IF($D1188="","",K1188+M1188+N1188+O1188),"")</f>
        <v/>
      </c>
      <c r="Q1188" s="60" t="str">
        <f aca="false">IF(IsPro,IF($D1188="","",IFERROR(MATCH($D1188,Items!$A$5:$A$504,0),"")),"")</f>
        <v/>
      </c>
      <c r="R1188" s="60" t="str">
        <f aca="false">IF(IsPro,IF($C1188="","",IFERROR(MATCH($C1188,Parties!$A$5:$A$304,0),"")),"")</f>
        <v/>
      </c>
      <c r="S1188" s="61" t="str">
        <f aca="false">IF(IsPro,IF($D1188="","",IF(OR($H1188="",$H1188="Credit"),0,P1188)),"")</f>
        <v/>
      </c>
    </row>
    <row r="1189" customFormat="false" ht="15" hidden="false" customHeight="false" outlineLevel="0" collapsed="false">
      <c r="A1189" s="55"/>
      <c r="B1189" s="56"/>
      <c r="C1189" s="56"/>
      <c r="D1189" s="56"/>
      <c r="E1189" s="57"/>
      <c r="F1189" s="58"/>
      <c r="G1189" s="59"/>
      <c r="H1189" s="56"/>
      <c r="I1189" s="60" t="str">
        <f aca="false">IF(IsPro,IF($D1189="","",IFERROR(INDEX(Items!$D$5:$D$504,Q1189),"")),IF($D1189="","","PRO PLAN"))</f>
        <v/>
      </c>
      <c r="J1189" s="61" t="str">
        <f aca="false">IF(IsPro,IF($D1189="","",IF($F1189="",IFERROR(INDEX(Items!$G$5:$G$504,Q1189),0),$F1189)),"")</f>
        <v/>
      </c>
      <c r="K1189" s="61" t="str">
        <f aca="false">IF(IsPro,IF($D1189="","",ROUND(N($E1189)*J1189*(1-N($G1189)),2)),"")</f>
        <v/>
      </c>
      <c r="L1189" s="62" t="str">
        <f aca="false">IF(IsPro,IF($D1189="","",IFERROR(INDEX(Items!$F$5:$F$504,Q1189),0)),"")</f>
        <v/>
      </c>
      <c r="M1189" s="61" t="str">
        <f aca="false">IF(IsPro,IF($D1189="","",IF(AND(R1189&lt;&gt;"",INDEX(Parties!$E$5:$E$304,R1189)&lt;&gt;"",INDEX(Parties!$E$5:$E$304,R1189)&lt;&gt;HomeState),0,ROUND(K1189*L1189/2,2))),"")</f>
        <v/>
      </c>
      <c r="N1189" s="61" t="str">
        <f aca="false">IF(IsPro,IF($D1189="","",M1189),"")</f>
        <v/>
      </c>
      <c r="O1189" s="61" t="str">
        <f aca="false">IF(IsPro,IF($D1189="","",IF(AND(R1189&lt;&gt;"",INDEX(Parties!$E$5:$E$304,R1189)&lt;&gt;"",INDEX(Parties!$E$5:$E$304,R1189)&lt;&gt;HomeState),ROUND(K1189*L1189,2),0)),"")</f>
        <v/>
      </c>
      <c r="P1189" s="61" t="str">
        <f aca="false">IF(IsPro,IF($D1189="","",K1189+M1189+N1189+O1189),"")</f>
        <v/>
      </c>
      <c r="Q1189" s="60" t="str">
        <f aca="false">IF(IsPro,IF($D1189="","",IFERROR(MATCH($D1189,Items!$A$5:$A$504,0),"")),"")</f>
        <v/>
      </c>
      <c r="R1189" s="60" t="str">
        <f aca="false">IF(IsPro,IF($C1189="","",IFERROR(MATCH($C1189,Parties!$A$5:$A$304,0),"")),"")</f>
        <v/>
      </c>
      <c r="S1189" s="61" t="str">
        <f aca="false">IF(IsPro,IF($D1189="","",IF(OR($H1189="",$H1189="Credit"),0,P1189)),"")</f>
        <v/>
      </c>
    </row>
    <row r="1190" customFormat="false" ht="15" hidden="false" customHeight="false" outlineLevel="0" collapsed="false">
      <c r="A1190" s="55"/>
      <c r="B1190" s="56"/>
      <c r="C1190" s="56"/>
      <c r="D1190" s="56"/>
      <c r="E1190" s="57"/>
      <c r="F1190" s="58"/>
      <c r="G1190" s="59"/>
      <c r="H1190" s="56"/>
      <c r="I1190" s="60" t="str">
        <f aca="false">IF(IsPro,IF($D1190="","",IFERROR(INDEX(Items!$D$5:$D$504,Q1190),"")),IF($D1190="","","PRO PLAN"))</f>
        <v/>
      </c>
      <c r="J1190" s="61" t="str">
        <f aca="false">IF(IsPro,IF($D1190="","",IF($F1190="",IFERROR(INDEX(Items!$G$5:$G$504,Q1190),0),$F1190)),"")</f>
        <v/>
      </c>
      <c r="K1190" s="61" t="str">
        <f aca="false">IF(IsPro,IF($D1190="","",ROUND(N($E1190)*J1190*(1-N($G1190)),2)),"")</f>
        <v/>
      </c>
      <c r="L1190" s="62" t="str">
        <f aca="false">IF(IsPro,IF($D1190="","",IFERROR(INDEX(Items!$F$5:$F$504,Q1190),0)),"")</f>
        <v/>
      </c>
      <c r="M1190" s="61" t="str">
        <f aca="false">IF(IsPro,IF($D1190="","",IF(AND(R1190&lt;&gt;"",INDEX(Parties!$E$5:$E$304,R1190)&lt;&gt;"",INDEX(Parties!$E$5:$E$304,R1190)&lt;&gt;HomeState),0,ROUND(K1190*L1190/2,2))),"")</f>
        <v/>
      </c>
      <c r="N1190" s="61" t="str">
        <f aca="false">IF(IsPro,IF($D1190="","",M1190),"")</f>
        <v/>
      </c>
      <c r="O1190" s="61" t="str">
        <f aca="false">IF(IsPro,IF($D1190="","",IF(AND(R1190&lt;&gt;"",INDEX(Parties!$E$5:$E$304,R1190)&lt;&gt;"",INDEX(Parties!$E$5:$E$304,R1190)&lt;&gt;HomeState),ROUND(K1190*L1190,2),0)),"")</f>
        <v/>
      </c>
      <c r="P1190" s="61" t="str">
        <f aca="false">IF(IsPro,IF($D1190="","",K1190+M1190+N1190+O1190),"")</f>
        <v/>
      </c>
      <c r="Q1190" s="60" t="str">
        <f aca="false">IF(IsPro,IF($D1190="","",IFERROR(MATCH($D1190,Items!$A$5:$A$504,0),"")),"")</f>
        <v/>
      </c>
      <c r="R1190" s="60" t="str">
        <f aca="false">IF(IsPro,IF($C1190="","",IFERROR(MATCH($C1190,Parties!$A$5:$A$304,0),"")),"")</f>
        <v/>
      </c>
      <c r="S1190" s="61" t="str">
        <f aca="false">IF(IsPro,IF($D1190="","",IF(OR($H1190="",$H1190="Credit"),0,P1190)),"")</f>
        <v/>
      </c>
    </row>
    <row r="1191" customFormat="false" ht="15" hidden="false" customHeight="false" outlineLevel="0" collapsed="false">
      <c r="A1191" s="55"/>
      <c r="B1191" s="56"/>
      <c r="C1191" s="56"/>
      <c r="D1191" s="56"/>
      <c r="E1191" s="57"/>
      <c r="F1191" s="58"/>
      <c r="G1191" s="59"/>
      <c r="H1191" s="56"/>
      <c r="I1191" s="60" t="str">
        <f aca="false">IF(IsPro,IF($D1191="","",IFERROR(INDEX(Items!$D$5:$D$504,Q1191),"")),IF($D1191="","","PRO PLAN"))</f>
        <v/>
      </c>
      <c r="J1191" s="61" t="str">
        <f aca="false">IF(IsPro,IF($D1191="","",IF($F1191="",IFERROR(INDEX(Items!$G$5:$G$504,Q1191),0),$F1191)),"")</f>
        <v/>
      </c>
      <c r="K1191" s="61" t="str">
        <f aca="false">IF(IsPro,IF($D1191="","",ROUND(N($E1191)*J1191*(1-N($G1191)),2)),"")</f>
        <v/>
      </c>
      <c r="L1191" s="62" t="str">
        <f aca="false">IF(IsPro,IF($D1191="","",IFERROR(INDEX(Items!$F$5:$F$504,Q1191),0)),"")</f>
        <v/>
      </c>
      <c r="M1191" s="61" t="str">
        <f aca="false">IF(IsPro,IF($D1191="","",IF(AND(R1191&lt;&gt;"",INDEX(Parties!$E$5:$E$304,R1191)&lt;&gt;"",INDEX(Parties!$E$5:$E$304,R1191)&lt;&gt;HomeState),0,ROUND(K1191*L1191/2,2))),"")</f>
        <v/>
      </c>
      <c r="N1191" s="61" t="str">
        <f aca="false">IF(IsPro,IF($D1191="","",M1191),"")</f>
        <v/>
      </c>
      <c r="O1191" s="61" t="str">
        <f aca="false">IF(IsPro,IF($D1191="","",IF(AND(R1191&lt;&gt;"",INDEX(Parties!$E$5:$E$304,R1191)&lt;&gt;"",INDEX(Parties!$E$5:$E$304,R1191)&lt;&gt;HomeState),ROUND(K1191*L1191,2),0)),"")</f>
        <v/>
      </c>
      <c r="P1191" s="61" t="str">
        <f aca="false">IF(IsPro,IF($D1191="","",K1191+M1191+N1191+O1191),"")</f>
        <v/>
      </c>
      <c r="Q1191" s="60" t="str">
        <f aca="false">IF(IsPro,IF($D1191="","",IFERROR(MATCH($D1191,Items!$A$5:$A$504,0),"")),"")</f>
        <v/>
      </c>
      <c r="R1191" s="60" t="str">
        <f aca="false">IF(IsPro,IF($C1191="","",IFERROR(MATCH($C1191,Parties!$A$5:$A$304,0),"")),"")</f>
        <v/>
      </c>
      <c r="S1191" s="61" t="str">
        <f aca="false">IF(IsPro,IF($D1191="","",IF(OR($H1191="",$H1191="Credit"),0,P1191)),"")</f>
        <v/>
      </c>
    </row>
    <row r="1192" customFormat="false" ht="15" hidden="false" customHeight="false" outlineLevel="0" collapsed="false">
      <c r="A1192" s="55"/>
      <c r="B1192" s="56"/>
      <c r="C1192" s="56"/>
      <c r="D1192" s="56"/>
      <c r="E1192" s="57"/>
      <c r="F1192" s="58"/>
      <c r="G1192" s="59"/>
      <c r="H1192" s="56"/>
      <c r="I1192" s="60" t="str">
        <f aca="false">IF(IsPro,IF($D1192="","",IFERROR(INDEX(Items!$D$5:$D$504,Q1192),"")),IF($D1192="","","PRO PLAN"))</f>
        <v/>
      </c>
      <c r="J1192" s="61" t="str">
        <f aca="false">IF(IsPro,IF($D1192="","",IF($F1192="",IFERROR(INDEX(Items!$G$5:$G$504,Q1192),0),$F1192)),"")</f>
        <v/>
      </c>
      <c r="K1192" s="61" t="str">
        <f aca="false">IF(IsPro,IF($D1192="","",ROUND(N($E1192)*J1192*(1-N($G1192)),2)),"")</f>
        <v/>
      </c>
      <c r="L1192" s="62" t="str">
        <f aca="false">IF(IsPro,IF($D1192="","",IFERROR(INDEX(Items!$F$5:$F$504,Q1192),0)),"")</f>
        <v/>
      </c>
      <c r="M1192" s="61" t="str">
        <f aca="false">IF(IsPro,IF($D1192="","",IF(AND(R1192&lt;&gt;"",INDEX(Parties!$E$5:$E$304,R1192)&lt;&gt;"",INDEX(Parties!$E$5:$E$304,R1192)&lt;&gt;HomeState),0,ROUND(K1192*L1192/2,2))),"")</f>
        <v/>
      </c>
      <c r="N1192" s="61" t="str">
        <f aca="false">IF(IsPro,IF($D1192="","",M1192),"")</f>
        <v/>
      </c>
      <c r="O1192" s="61" t="str">
        <f aca="false">IF(IsPro,IF($D1192="","",IF(AND(R1192&lt;&gt;"",INDEX(Parties!$E$5:$E$304,R1192)&lt;&gt;"",INDEX(Parties!$E$5:$E$304,R1192)&lt;&gt;HomeState),ROUND(K1192*L1192,2),0)),"")</f>
        <v/>
      </c>
      <c r="P1192" s="61" t="str">
        <f aca="false">IF(IsPro,IF($D1192="","",K1192+M1192+N1192+O1192),"")</f>
        <v/>
      </c>
      <c r="Q1192" s="60" t="str">
        <f aca="false">IF(IsPro,IF($D1192="","",IFERROR(MATCH($D1192,Items!$A$5:$A$504,0),"")),"")</f>
        <v/>
      </c>
      <c r="R1192" s="60" t="str">
        <f aca="false">IF(IsPro,IF($C1192="","",IFERROR(MATCH($C1192,Parties!$A$5:$A$304,0),"")),"")</f>
        <v/>
      </c>
      <c r="S1192" s="61" t="str">
        <f aca="false">IF(IsPro,IF($D1192="","",IF(OR($H1192="",$H1192="Credit"),0,P1192)),"")</f>
        <v/>
      </c>
    </row>
    <row r="1193" customFormat="false" ht="15" hidden="false" customHeight="false" outlineLevel="0" collapsed="false">
      <c r="A1193" s="55"/>
      <c r="B1193" s="56"/>
      <c r="C1193" s="56"/>
      <c r="D1193" s="56"/>
      <c r="E1193" s="57"/>
      <c r="F1193" s="58"/>
      <c r="G1193" s="59"/>
      <c r="H1193" s="56"/>
      <c r="I1193" s="60" t="str">
        <f aca="false">IF(IsPro,IF($D1193="","",IFERROR(INDEX(Items!$D$5:$D$504,Q1193),"")),IF($D1193="","","PRO PLAN"))</f>
        <v/>
      </c>
      <c r="J1193" s="61" t="str">
        <f aca="false">IF(IsPro,IF($D1193="","",IF($F1193="",IFERROR(INDEX(Items!$G$5:$G$504,Q1193),0),$F1193)),"")</f>
        <v/>
      </c>
      <c r="K1193" s="61" t="str">
        <f aca="false">IF(IsPro,IF($D1193="","",ROUND(N($E1193)*J1193*(1-N($G1193)),2)),"")</f>
        <v/>
      </c>
      <c r="L1193" s="62" t="str">
        <f aca="false">IF(IsPro,IF($D1193="","",IFERROR(INDEX(Items!$F$5:$F$504,Q1193),0)),"")</f>
        <v/>
      </c>
      <c r="M1193" s="61" t="str">
        <f aca="false">IF(IsPro,IF($D1193="","",IF(AND(R1193&lt;&gt;"",INDEX(Parties!$E$5:$E$304,R1193)&lt;&gt;"",INDEX(Parties!$E$5:$E$304,R1193)&lt;&gt;HomeState),0,ROUND(K1193*L1193/2,2))),"")</f>
        <v/>
      </c>
      <c r="N1193" s="61" t="str">
        <f aca="false">IF(IsPro,IF($D1193="","",M1193),"")</f>
        <v/>
      </c>
      <c r="O1193" s="61" t="str">
        <f aca="false">IF(IsPro,IF($D1193="","",IF(AND(R1193&lt;&gt;"",INDEX(Parties!$E$5:$E$304,R1193)&lt;&gt;"",INDEX(Parties!$E$5:$E$304,R1193)&lt;&gt;HomeState),ROUND(K1193*L1193,2),0)),"")</f>
        <v/>
      </c>
      <c r="P1193" s="61" t="str">
        <f aca="false">IF(IsPro,IF($D1193="","",K1193+M1193+N1193+O1193),"")</f>
        <v/>
      </c>
      <c r="Q1193" s="60" t="str">
        <f aca="false">IF(IsPro,IF($D1193="","",IFERROR(MATCH($D1193,Items!$A$5:$A$504,0),"")),"")</f>
        <v/>
      </c>
      <c r="R1193" s="60" t="str">
        <f aca="false">IF(IsPro,IF($C1193="","",IFERROR(MATCH($C1193,Parties!$A$5:$A$304,0),"")),"")</f>
        <v/>
      </c>
      <c r="S1193" s="61" t="str">
        <f aca="false">IF(IsPro,IF($D1193="","",IF(OR($H1193="",$H1193="Credit"),0,P1193)),"")</f>
        <v/>
      </c>
    </row>
    <row r="1194" customFormat="false" ht="15" hidden="false" customHeight="false" outlineLevel="0" collapsed="false">
      <c r="A1194" s="55"/>
      <c r="B1194" s="56"/>
      <c r="C1194" s="56"/>
      <c r="D1194" s="56"/>
      <c r="E1194" s="57"/>
      <c r="F1194" s="58"/>
      <c r="G1194" s="59"/>
      <c r="H1194" s="56"/>
      <c r="I1194" s="60" t="str">
        <f aca="false">IF(IsPro,IF($D1194="","",IFERROR(INDEX(Items!$D$5:$D$504,Q1194),"")),IF($D1194="","","PRO PLAN"))</f>
        <v/>
      </c>
      <c r="J1194" s="61" t="str">
        <f aca="false">IF(IsPro,IF($D1194="","",IF($F1194="",IFERROR(INDEX(Items!$G$5:$G$504,Q1194),0),$F1194)),"")</f>
        <v/>
      </c>
      <c r="K1194" s="61" t="str">
        <f aca="false">IF(IsPro,IF($D1194="","",ROUND(N($E1194)*J1194*(1-N($G1194)),2)),"")</f>
        <v/>
      </c>
      <c r="L1194" s="62" t="str">
        <f aca="false">IF(IsPro,IF($D1194="","",IFERROR(INDEX(Items!$F$5:$F$504,Q1194),0)),"")</f>
        <v/>
      </c>
      <c r="M1194" s="61" t="str">
        <f aca="false">IF(IsPro,IF($D1194="","",IF(AND(R1194&lt;&gt;"",INDEX(Parties!$E$5:$E$304,R1194)&lt;&gt;"",INDEX(Parties!$E$5:$E$304,R1194)&lt;&gt;HomeState),0,ROUND(K1194*L1194/2,2))),"")</f>
        <v/>
      </c>
      <c r="N1194" s="61" t="str">
        <f aca="false">IF(IsPro,IF($D1194="","",M1194),"")</f>
        <v/>
      </c>
      <c r="O1194" s="61" t="str">
        <f aca="false">IF(IsPro,IF($D1194="","",IF(AND(R1194&lt;&gt;"",INDEX(Parties!$E$5:$E$304,R1194)&lt;&gt;"",INDEX(Parties!$E$5:$E$304,R1194)&lt;&gt;HomeState),ROUND(K1194*L1194,2),0)),"")</f>
        <v/>
      </c>
      <c r="P1194" s="61" t="str">
        <f aca="false">IF(IsPro,IF($D1194="","",K1194+M1194+N1194+O1194),"")</f>
        <v/>
      </c>
      <c r="Q1194" s="60" t="str">
        <f aca="false">IF(IsPro,IF($D1194="","",IFERROR(MATCH($D1194,Items!$A$5:$A$504,0),"")),"")</f>
        <v/>
      </c>
      <c r="R1194" s="60" t="str">
        <f aca="false">IF(IsPro,IF($C1194="","",IFERROR(MATCH($C1194,Parties!$A$5:$A$304,0),"")),"")</f>
        <v/>
      </c>
      <c r="S1194" s="61" t="str">
        <f aca="false">IF(IsPro,IF($D1194="","",IF(OR($H1194="",$H1194="Credit"),0,P1194)),"")</f>
        <v/>
      </c>
    </row>
    <row r="1195" customFormat="false" ht="15" hidden="false" customHeight="false" outlineLevel="0" collapsed="false">
      <c r="A1195" s="55"/>
      <c r="B1195" s="56"/>
      <c r="C1195" s="56"/>
      <c r="D1195" s="56"/>
      <c r="E1195" s="57"/>
      <c r="F1195" s="58"/>
      <c r="G1195" s="59"/>
      <c r="H1195" s="56"/>
      <c r="I1195" s="60" t="str">
        <f aca="false">IF(IsPro,IF($D1195="","",IFERROR(INDEX(Items!$D$5:$D$504,Q1195),"")),IF($D1195="","","PRO PLAN"))</f>
        <v/>
      </c>
      <c r="J1195" s="61" t="str">
        <f aca="false">IF(IsPro,IF($D1195="","",IF($F1195="",IFERROR(INDEX(Items!$G$5:$G$504,Q1195),0),$F1195)),"")</f>
        <v/>
      </c>
      <c r="K1195" s="61" t="str">
        <f aca="false">IF(IsPro,IF($D1195="","",ROUND(N($E1195)*J1195*(1-N($G1195)),2)),"")</f>
        <v/>
      </c>
      <c r="L1195" s="62" t="str">
        <f aca="false">IF(IsPro,IF($D1195="","",IFERROR(INDEX(Items!$F$5:$F$504,Q1195),0)),"")</f>
        <v/>
      </c>
      <c r="M1195" s="61" t="str">
        <f aca="false">IF(IsPro,IF($D1195="","",IF(AND(R1195&lt;&gt;"",INDEX(Parties!$E$5:$E$304,R1195)&lt;&gt;"",INDEX(Parties!$E$5:$E$304,R1195)&lt;&gt;HomeState),0,ROUND(K1195*L1195/2,2))),"")</f>
        <v/>
      </c>
      <c r="N1195" s="61" t="str">
        <f aca="false">IF(IsPro,IF($D1195="","",M1195),"")</f>
        <v/>
      </c>
      <c r="O1195" s="61" t="str">
        <f aca="false">IF(IsPro,IF($D1195="","",IF(AND(R1195&lt;&gt;"",INDEX(Parties!$E$5:$E$304,R1195)&lt;&gt;"",INDEX(Parties!$E$5:$E$304,R1195)&lt;&gt;HomeState),ROUND(K1195*L1195,2),0)),"")</f>
        <v/>
      </c>
      <c r="P1195" s="61" t="str">
        <f aca="false">IF(IsPro,IF($D1195="","",K1195+M1195+N1195+O1195),"")</f>
        <v/>
      </c>
      <c r="Q1195" s="60" t="str">
        <f aca="false">IF(IsPro,IF($D1195="","",IFERROR(MATCH($D1195,Items!$A$5:$A$504,0),"")),"")</f>
        <v/>
      </c>
      <c r="R1195" s="60" t="str">
        <f aca="false">IF(IsPro,IF($C1195="","",IFERROR(MATCH($C1195,Parties!$A$5:$A$304,0),"")),"")</f>
        <v/>
      </c>
      <c r="S1195" s="61" t="str">
        <f aca="false">IF(IsPro,IF($D1195="","",IF(OR($H1195="",$H1195="Credit"),0,P1195)),"")</f>
        <v/>
      </c>
    </row>
    <row r="1196" customFormat="false" ht="15" hidden="false" customHeight="false" outlineLevel="0" collapsed="false">
      <c r="A1196" s="55"/>
      <c r="B1196" s="56"/>
      <c r="C1196" s="56"/>
      <c r="D1196" s="56"/>
      <c r="E1196" s="57"/>
      <c r="F1196" s="58"/>
      <c r="G1196" s="59"/>
      <c r="H1196" s="56"/>
      <c r="I1196" s="60" t="str">
        <f aca="false">IF(IsPro,IF($D1196="","",IFERROR(INDEX(Items!$D$5:$D$504,Q1196),"")),IF($D1196="","","PRO PLAN"))</f>
        <v/>
      </c>
      <c r="J1196" s="61" t="str">
        <f aca="false">IF(IsPro,IF($D1196="","",IF($F1196="",IFERROR(INDEX(Items!$G$5:$G$504,Q1196),0),$F1196)),"")</f>
        <v/>
      </c>
      <c r="K1196" s="61" t="str">
        <f aca="false">IF(IsPro,IF($D1196="","",ROUND(N($E1196)*J1196*(1-N($G1196)),2)),"")</f>
        <v/>
      </c>
      <c r="L1196" s="62" t="str">
        <f aca="false">IF(IsPro,IF($D1196="","",IFERROR(INDEX(Items!$F$5:$F$504,Q1196),0)),"")</f>
        <v/>
      </c>
      <c r="M1196" s="61" t="str">
        <f aca="false">IF(IsPro,IF($D1196="","",IF(AND(R1196&lt;&gt;"",INDEX(Parties!$E$5:$E$304,R1196)&lt;&gt;"",INDEX(Parties!$E$5:$E$304,R1196)&lt;&gt;HomeState),0,ROUND(K1196*L1196/2,2))),"")</f>
        <v/>
      </c>
      <c r="N1196" s="61" t="str">
        <f aca="false">IF(IsPro,IF($D1196="","",M1196),"")</f>
        <v/>
      </c>
      <c r="O1196" s="61" t="str">
        <f aca="false">IF(IsPro,IF($D1196="","",IF(AND(R1196&lt;&gt;"",INDEX(Parties!$E$5:$E$304,R1196)&lt;&gt;"",INDEX(Parties!$E$5:$E$304,R1196)&lt;&gt;HomeState),ROUND(K1196*L1196,2),0)),"")</f>
        <v/>
      </c>
      <c r="P1196" s="61" t="str">
        <f aca="false">IF(IsPro,IF($D1196="","",K1196+M1196+N1196+O1196),"")</f>
        <v/>
      </c>
      <c r="Q1196" s="60" t="str">
        <f aca="false">IF(IsPro,IF($D1196="","",IFERROR(MATCH($D1196,Items!$A$5:$A$504,0),"")),"")</f>
        <v/>
      </c>
      <c r="R1196" s="60" t="str">
        <f aca="false">IF(IsPro,IF($C1196="","",IFERROR(MATCH($C1196,Parties!$A$5:$A$304,0),"")),"")</f>
        <v/>
      </c>
      <c r="S1196" s="61" t="str">
        <f aca="false">IF(IsPro,IF($D1196="","",IF(OR($H1196="",$H1196="Credit"),0,P1196)),"")</f>
        <v/>
      </c>
    </row>
    <row r="1197" customFormat="false" ht="15" hidden="false" customHeight="false" outlineLevel="0" collapsed="false">
      <c r="A1197" s="55"/>
      <c r="B1197" s="56"/>
      <c r="C1197" s="56"/>
      <c r="D1197" s="56"/>
      <c r="E1197" s="57"/>
      <c r="F1197" s="58"/>
      <c r="G1197" s="59"/>
      <c r="H1197" s="56"/>
      <c r="I1197" s="60" t="str">
        <f aca="false">IF(IsPro,IF($D1197="","",IFERROR(INDEX(Items!$D$5:$D$504,Q1197),"")),IF($D1197="","","PRO PLAN"))</f>
        <v/>
      </c>
      <c r="J1197" s="61" t="str">
        <f aca="false">IF(IsPro,IF($D1197="","",IF($F1197="",IFERROR(INDEX(Items!$G$5:$G$504,Q1197),0),$F1197)),"")</f>
        <v/>
      </c>
      <c r="K1197" s="61" t="str">
        <f aca="false">IF(IsPro,IF($D1197="","",ROUND(N($E1197)*J1197*(1-N($G1197)),2)),"")</f>
        <v/>
      </c>
      <c r="L1197" s="62" t="str">
        <f aca="false">IF(IsPro,IF($D1197="","",IFERROR(INDEX(Items!$F$5:$F$504,Q1197),0)),"")</f>
        <v/>
      </c>
      <c r="M1197" s="61" t="str">
        <f aca="false">IF(IsPro,IF($D1197="","",IF(AND(R1197&lt;&gt;"",INDEX(Parties!$E$5:$E$304,R1197)&lt;&gt;"",INDEX(Parties!$E$5:$E$304,R1197)&lt;&gt;HomeState),0,ROUND(K1197*L1197/2,2))),"")</f>
        <v/>
      </c>
      <c r="N1197" s="61" t="str">
        <f aca="false">IF(IsPro,IF($D1197="","",M1197),"")</f>
        <v/>
      </c>
      <c r="O1197" s="61" t="str">
        <f aca="false">IF(IsPro,IF($D1197="","",IF(AND(R1197&lt;&gt;"",INDEX(Parties!$E$5:$E$304,R1197)&lt;&gt;"",INDEX(Parties!$E$5:$E$304,R1197)&lt;&gt;HomeState),ROUND(K1197*L1197,2),0)),"")</f>
        <v/>
      </c>
      <c r="P1197" s="61" t="str">
        <f aca="false">IF(IsPro,IF($D1197="","",K1197+M1197+N1197+O1197),"")</f>
        <v/>
      </c>
      <c r="Q1197" s="60" t="str">
        <f aca="false">IF(IsPro,IF($D1197="","",IFERROR(MATCH($D1197,Items!$A$5:$A$504,0),"")),"")</f>
        <v/>
      </c>
      <c r="R1197" s="60" t="str">
        <f aca="false">IF(IsPro,IF($C1197="","",IFERROR(MATCH($C1197,Parties!$A$5:$A$304,0),"")),"")</f>
        <v/>
      </c>
      <c r="S1197" s="61" t="str">
        <f aca="false">IF(IsPro,IF($D1197="","",IF(OR($H1197="",$H1197="Credit"),0,P1197)),"")</f>
        <v/>
      </c>
    </row>
    <row r="1198" customFormat="false" ht="15" hidden="false" customHeight="false" outlineLevel="0" collapsed="false">
      <c r="A1198" s="55"/>
      <c r="B1198" s="56"/>
      <c r="C1198" s="56"/>
      <c r="D1198" s="56"/>
      <c r="E1198" s="57"/>
      <c r="F1198" s="58"/>
      <c r="G1198" s="59"/>
      <c r="H1198" s="56"/>
      <c r="I1198" s="60" t="str">
        <f aca="false">IF(IsPro,IF($D1198="","",IFERROR(INDEX(Items!$D$5:$D$504,Q1198),"")),IF($D1198="","","PRO PLAN"))</f>
        <v/>
      </c>
      <c r="J1198" s="61" t="str">
        <f aca="false">IF(IsPro,IF($D1198="","",IF($F1198="",IFERROR(INDEX(Items!$G$5:$G$504,Q1198),0),$F1198)),"")</f>
        <v/>
      </c>
      <c r="K1198" s="61" t="str">
        <f aca="false">IF(IsPro,IF($D1198="","",ROUND(N($E1198)*J1198*(1-N($G1198)),2)),"")</f>
        <v/>
      </c>
      <c r="L1198" s="62" t="str">
        <f aca="false">IF(IsPro,IF($D1198="","",IFERROR(INDEX(Items!$F$5:$F$504,Q1198),0)),"")</f>
        <v/>
      </c>
      <c r="M1198" s="61" t="str">
        <f aca="false">IF(IsPro,IF($D1198="","",IF(AND(R1198&lt;&gt;"",INDEX(Parties!$E$5:$E$304,R1198)&lt;&gt;"",INDEX(Parties!$E$5:$E$304,R1198)&lt;&gt;HomeState),0,ROUND(K1198*L1198/2,2))),"")</f>
        <v/>
      </c>
      <c r="N1198" s="61" t="str">
        <f aca="false">IF(IsPro,IF($D1198="","",M1198),"")</f>
        <v/>
      </c>
      <c r="O1198" s="61" t="str">
        <f aca="false">IF(IsPro,IF($D1198="","",IF(AND(R1198&lt;&gt;"",INDEX(Parties!$E$5:$E$304,R1198)&lt;&gt;"",INDEX(Parties!$E$5:$E$304,R1198)&lt;&gt;HomeState),ROUND(K1198*L1198,2),0)),"")</f>
        <v/>
      </c>
      <c r="P1198" s="61" t="str">
        <f aca="false">IF(IsPro,IF($D1198="","",K1198+M1198+N1198+O1198),"")</f>
        <v/>
      </c>
      <c r="Q1198" s="60" t="str">
        <f aca="false">IF(IsPro,IF($D1198="","",IFERROR(MATCH($D1198,Items!$A$5:$A$504,0),"")),"")</f>
        <v/>
      </c>
      <c r="R1198" s="60" t="str">
        <f aca="false">IF(IsPro,IF($C1198="","",IFERROR(MATCH($C1198,Parties!$A$5:$A$304,0),"")),"")</f>
        <v/>
      </c>
      <c r="S1198" s="61" t="str">
        <f aca="false">IF(IsPro,IF($D1198="","",IF(OR($H1198="",$H1198="Credit"),0,P1198)),"")</f>
        <v/>
      </c>
    </row>
    <row r="1199" customFormat="false" ht="15" hidden="false" customHeight="false" outlineLevel="0" collapsed="false">
      <c r="A1199" s="55"/>
      <c r="B1199" s="56"/>
      <c r="C1199" s="56"/>
      <c r="D1199" s="56"/>
      <c r="E1199" s="57"/>
      <c r="F1199" s="58"/>
      <c r="G1199" s="59"/>
      <c r="H1199" s="56"/>
      <c r="I1199" s="60" t="str">
        <f aca="false">IF(IsPro,IF($D1199="","",IFERROR(INDEX(Items!$D$5:$D$504,Q1199),"")),IF($D1199="","","PRO PLAN"))</f>
        <v/>
      </c>
      <c r="J1199" s="61" t="str">
        <f aca="false">IF(IsPro,IF($D1199="","",IF($F1199="",IFERROR(INDEX(Items!$G$5:$G$504,Q1199),0),$F1199)),"")</f>
        <v/>
      </c>
      <c r="K1199" s="61" t="str">
        <f aca="false">IF(IsPro,IF($D1199="","",ROUND(N($E1199)*J1199*(1-N($G1199)),2)),"")</f>
        <v/>
      </c>
      <c r="L1199" s="62" t="str">
        <f aca="false">IF(IsPro,IF($D1199="","",IFERROR(INDEX(Items!$F$5:$F$504,Q1199),0)),"")</f>
        <v/>
      </c>
      <c r="M1199" s="61" t="str">
        <f aca="false">IF(IsPro,IF($D1199="","",IF(AND(R1199&lt;&gt;"",INDEX(Parties!$E$5:$E$304,R1199)&lt;&gt;"",INDEX(Parties!$E$5:$E$304,R1199)&lt;&gt;HomeState),0,ROUND(K1199*L1199/2,2))),"")</f>
        <v/>
      </c>
      <c r="N1199" s="61" t="str">
        <f aca="false">IF(IsPro,IF($D1199="","",M1199),"")</f>
        <v/>
      </c>
      <c r="O1199" s="61" t="str">
        <f aca="false">IF(IsPro,IF($D1199="","",IF(AND(R1199&lt;&gt;"",INDEX(Parties!$E$5:$E$304,R1199)&lt;&gt;"",INDEX(Parties!$E$5:$E$304,R1199)&lt;&gt;HomeState),ROUND(K1199*L1199,2),0)),"")</f>
        <v/>
      </c>
      <c r="P1199" s="61" t="str">
        <f aca="false">IF(IsPro,IF($D1199="","",K1199+M1199+N1199+O1199),"")</f>
        <v/>
      </c>
      <c r="Q1199" s="60" t="str">
        <f aca="false">IF(IsPro,IF($D1199="","",IFERROR(MATCH($D1199,Items!$A$5:$A$504,0),"")),"")</f>
        <v/>
      </c>
      <c r="R1199" s="60" t="str">
        <f aca="false">IF(IsPro,IF($C1199="","",IFERROR(MATCH($C1199,Parties!$A$5:$A$304,0),"")),"")</f>
        <v/>
      </c>
      <c r="S1199" s="61" t="str">
        <f aca="false">IF(IsPro,IF($D1199="","",IF(OR($H1199="",$H1199="Credit"),0,P1199)),"")</f>
        <v/>
      </c>
    </row>
    <row r="1200" customFormat="false" ht="15" hidden="false" customHeight="false" outlineLevel="0" collapsed="false">
      <c r="A1200" s="55"/>
      <c r="B1200" s="56"/>
      <c r="C1200" s="56"/>
      <c r="D1200" s="56"/>
      <c r="E1200" s="57"/>
      <c r="F1200" s="58"/>
      <c r="G1200" s="59"/>
      <c r="H1200" s="56"/>
      <c r="I1200" s="60" t="str">
        <f aca="false">IF(IsPro,IF($D1200="","",IFERROR(INDEX(Items!$D$5:$D$504,Q1200),"")),IF($D1200="","","PRO PLAN"))</f>
        <v/>
      </c>
      <c r="J1200" s="61" t="str">
        <f aca="false">IF(IsPro,IF($D1200="","",IF($F1200="",IFERROR(INDEX(Items!$G$5:$G$504,Q1200),0),$F1200)),"")</f>
        <v/>
      </c>
      <c r="K1200" s="61" t="str">
        <f aca="false">IF(IsPro,IF($D1200="","",ROUND(N($E1200)*J1200*(1-N($G1200)),2)),"")</f>
        <v/>
      </c>
      <c r="L1200" s="62" t="str">
        <f aca="false">IF(IsPro,IF($D1200="","",IFERROR(INDEX(Items!$F$5:$F$504,Q1200),0)),"")</f>
        <v/>
      </c>
      <c r="M1200" s="61" t="str">
        <f aca="false">IF(IsPro,IF($D1200="","",IF(AND(R1200&lt;&gt;"",INDEX(Parties!$E$5:$E$304,R1200)&lt;&gt;"",INDEX(Parties!$E$5:$E$304,R1200)&lt;&gt;HomeState),0,ROUND(K1200*L1200/2,2))),"")</f>
        <v/>
      </c>
      <c r="N1200" s="61" t="str">
        <f aca="false">IF(IsPro,IF($D1200="","",M1200),"")</f>
        <v/>
      </c>
      <c r="O1200" s="61" t="str">
        <f aca="false">IF(IsPro,IF($D1200="","",IF(AND(R1200&lt;&gt;"",INDEX(Parties!$E$5:$E$304,R1200)&lt;&gt;"",INDEX(Parties!$E$5:$E$304,R1200)&lt;&gt;HomeState),ROUND(K1200*L1200,2),0)),"")</f>
        <v/>
      </c>
      <c r="P1200" s="61" t="str">
        <f aca="false">IF(IsPro,IF($D1200="","",K1200+M1200+N1200+O1200),"")</f>
        <v/>
      </c>
      <c r="Q1200" s="60" t="str">
        <f aca="false">IF(IsPro,IF($D1200="","",IFERROR(MATCH($D1200,Items!$A$5:$A$504,0),"")),"")</f>
        <v/>
      </c>
      <c r="R1200" s="60" t="str">
        <f aca="false">IF(IsPro,IF($C1200="","",IFERROR(MATCH($C1200,Parties!$A$5:$A$304,0),"")),"")</f>
        <v/>
      </c>
      <c r="S1200" s="61" t="str">
        <f aca="false">IF(IsPro,IF($D1200="","",IF(OR($H1200="",$H1200="Credit"),0,P1200)),"")</f>
        <v/>
      </c>
    </row>
    <row r="1201" customFormat="false" ht="15" hidden="false" customHeight="false" outlineLevel="0" collapsed="false">
      <c r="A1201" s="55"/>
      <c r="B1201" s="56"/>
      <c r="C1201" s="56"/>
      <c r="D1201" s="56"/>
      <c r="E1201" s="57"/>
      <c r="F1201" s="58"/>
      <c r="G1201" s="59"/>
      <c r="H1201" s="56"/>
      <c r="I1201" s="60" t="str">
        <f aca="false">IF(IsPro,IF($D1201="","",IFERROR(INDEX(Items!$D$5:$D$504,Q1201),"")),IF($D1201="","","PRO PLAN"))</f>
        <v/>
      </c>
      <c r="J1201" s="61" t="str">
        <f aca="false">IF(IsPro,IF($D1201="","",IF($F1201="",IFERROR(INDEX(Items!$G$5:$G$504,Q1201),0),$F1201)),"")</f>
        <v/>
      </c>
      <c r="K1201" s="61" t="str">
        <f aca="false">IF(IsPro,IF($D1201="","",ROUND(N($E1201)*J1201*(1-N($G1201)),2)),"")</f>
        <v/>
      </c>
      <c r="L1201" s="62" t="str">
        <f aca="false">IF(IsPro,IF($D1201="","",IFERROR(INDEX(Items!$F$5:$F$504,Q1201),0)),"")</f>
        <v/>
      </c>
      <c r="M1201" s="61" t="str">
        <f aca="false">IF(IsPro,IF($D1201="","",IF(AND(R1201&lt;&gt;"",INDEX(Parties!$E$5:$E$304,R1201)&lt;&gt;"",INDEX(Parties!$E$5:$E$304,R1201)&lt;&gt;HomeState),0,ROUND(K1201*L1201/2,2))),"")</f>
        <v/>
      </c>
      <c r="N1201" s="61" t="str">
        <f aca="false">IF(IsPro,IF($D1201="","",M1201),"")</f>
        <v/>
      </c>
      <c r="O1201" s="61" t="str">
        <f aca="false">IF(IsPro,IF($D1201="","",IF(AND(R1201&lt;&gt;"",INDEX(Parties!$E$5:$E$304,R1201)&lt;&gt;"",INDEX(Parties!$E$5:$E$304,R1201)&lt;&gt;HomeState),ROUND(K1201*L1201,2),0)),"")</f>
        <v/>
      </c>
      <c r="P1201" s="61" t="str">
        <f aca="false">IF(IsPro,IF($D1201="","",K1201+M1201+N1201+O1201),"")</f>
        <v/>
      </c>
      <c r="Q1201" s="60" t="str">
        <f aca="false">IF(IsPro,IF($D1201="","",IFERROR(MATCH($D1201,Items!$A$5:$A$504,0),"")),"")</f>
        <v/>
      </c>
      <c r="R1201" s="60" t="str">
        <f aca="false">IF(IsPro,IF($C1201="","",IFERROR(MATCH($C1201,Parties!$A$5:$A$304,0),"")),"")</f>
        <v/>
      </c>
      <c r="S1201" s="61" t="str">
        <f aca="false">IF(IsPro,IF($D1201="","",IF(OR($H1201="",$H1201="Credit"),0,P1201)),"")</f>
        <v/>
      </c>
    </row>
    <row r="1202" customFormat="false" ht="15" hidden="false" customHeight="false" outlineLevel="0" collapsed="false">
      <c r="A1202" s="55"/>
      <c r="B1202" s="56"/>
      <c r="C1202" s="56"/>
      <c r="D1202" s="56"/>
      <c r="E1202" s="57"/>
      <c r="F1202" s="58"/>
      <c r="G1202" s="59"/>
      <c r="H1202" s="56"/>
      <c r="I1202" s="60" t="str">
        <f aca="false">IF(IsPro,IF($D1202="","",IFERROR(INDEX(Items!$D$5:$D$504,Q1202),"")),IF($D1202="","","PRO PLAN"))</f>
        <v/>
      </c>
      <c r="J1202" s="61" t="str">
        <f aca="false">IF(IsPro,IF($D1202="","",IF($F1202="",IFERROR(INDEX(Items!$G$5:$G$504,Q1202),0),$F1202)),"")</f>
        <v/>
      </c>
      <c r="K1202" s="61" t="str">
        <f aca="false">IF(IsPro,IF($D1202="","",ROUND(N($E1202)*J1202*(1-N($G1202)),2)),"")</f>
        <v/>
      </c>
      <c r="L1202" s="62" t="str">
        <f aca="false">IF(IsPro,IF($D1202="","",IFERROR(INDEX(Items!$F$5:$F$504,Q1202),0)),"")</f>
        <v/>
      </c>
      <c r="M1202" s="61" t="str">
        <f aca="false">IF(IsPro,IF($D1202="","",IF(AND(R1202&lt;&gt;"",INDEX(Parties!$E$5:$E$304,R1202)&lt;&gt;"",INDEX(Parties!$E$5:$E$304,R1202)&lt;&gt;HomeState),0,ROUND(K1202*L1202/2,2))),"")</f>
        <v/>
      </c>
      <c r="N1202" s="61" t="str">
        <f aca="false">IF(IsPro,IF($D1202="","",M1202),"")</f>
        <v/>
      </c>
      <c r="O1202" s="61" t="str">
        <f aca="false">IF(IsPro,IF($D1202="","",IF(AND(R1202&lt;&gt;"",INDEX(Parties!$E$5:$E$304,R1202)&lt;&gt;"",INDEX(Parties!$E$5:$E$304,R1202)&lt;&gt;HomeState),ROUND(K1202*L1202,2),0)),"")</f>
        <v/>
      </c>
      <c r="P1202" s="61" t="str">
        <f aca="false">IF(IsPro,IF($D1202="","",K1202+M1202+N1202+O1202),"")</f>
        <v/>
      </c>
      <c r="Q1202" s="60" t="str">
        <f aca="false">IF(IsPro,IF($D1202="","",IFERROR(MATCH($D1202,Items!$A$5:$A$504,0),"")),"")</f>
        <v/>
      </c>
      <c r="R1202" s="60" t="str">
        <f aca="false">IF(IsPro,IF($C1202="","",IFERROR(MATCH($C1202,Parties!$A$5:$A$304,0),"")),"")</f>
        <v/>
      </c>
      <c r="S1202" s="61" t="str">
        <f aca="false">IF(IsPro,IF($D1202="","",IF(OR($H1202="",$H1202="Credit"),0,P1202)),"")</f>
        <v/>
      </c>
    </row>
    <row r="1203" customFormat="false" ht="15" hidden="false" customHeight="false" outlineLevel="0" collapsed="false">
      <c r="A1203" s="55"/>
      <c r="B1203" s="56"/>
      <c r="C1203" s="56"/>
      <c r="D1203" s="56"/>
      <c r="E1203" s="57"/>
      <c r="F1203" s="58"/>
      <c r="G1203" s="59"/>
      <c r="H1203" s="56"/>
      <c r="I1203" s="60" t="str">
        <f aca="false">IF(IsPro,IF($D1203="","",IFERROR(INDEX(Items!$D$5:$D$504,Q1203),"")),IF($D1203="","","PRO PLAN"))</f>
        <v/>
      </c>
      <c r="J1203" s="61" t="str">
        <f aca="false">IF(IsPro,IF($D1203="","",IF($F1203="",IFERROR(INDEX(Items!$G$5:$G$504,Q1203),0),$F1203)),"")</f>
        <v/>
      </c>
      <c r="K1203" s="61" t="str">
        <f aca="false">IF(IsPro,IF($D1203="","",ROUND(N($E1203)*J1203*(1-N($G1203)),2)),"")</f>
        <v/>
      </c>
      <c r="L1203" s="62" t="str">
        <f aca="false">IF(IsPro,IF($D1203="","",IFERROR(INDEX(Items!$F$5:$F$504,Q1203),0)),"")</f>
        <v/>
      </c>
      <c r="M1203" s="61" t="str">
        <f aca="false">IF(IsPro,IF($D1203="","",IF(AND(R1203&lt;&gt;"",INDEX(Parties!$E$5:$E$304,R1203)&lt;&gt;"",INDEX(Parties!$E$5:$E$304,R1203)&lt;&gt;HomeState),0,ROUND(K1203*L1203/2,2))),"")</f>
        <v/>
      </c>
      <c r="N1203" s="61" t="str">
        <f aca="false">IF(IsPro,IF($D1203="","",M1203),"")</f>
        <v/>
      </c>
      <c r="O1203" s="61" t="str">
        <f aca="false">IF(IsPro,IF($D1203="","",IF(AND(R1203&lt;&gt;"",INDEX(Parties!$E$5:$E$304,R1203)&lt;&gt;"",INDEX(Parties!$E$5:$E$304,R1203)&lt;&gt;HomeState),ROUND(K1203*L1203,2),0)),"")</f>
        <v/>
      </c>
      <c r="P1203" s="61" t="str">
        <f aca="false">IF(IsPro,IF($D1203="","",K1203+M1203+N1203+O1203),"")</f>
        <v/>
      </c>
      <c r="Q1203" s="60" t="str">
        <f aca="false">IF(IsPro,IF($D1203="","",IFERROR(MATCH($D1203,Items!$A$5:$A$504,0),"")),"")</f>
        <v/>
      </c>
      <c r="R1203" s="60" t="str">
        <f aca="false">IF(IsPro,IF($C1203="","",IFERROR(MATCH($C1203,Parties!$A$5:$A$304,0),"")),"")</f>
        <v/>
      </c>
      <c r="S1203" s="61" t="str">
        <f aca="false">IF(IsPro,IF($D1203="","",IF(OR($H1203="",$H1203="Credit"),0,P1203)),"")</f>
        <v/>
      </c>
    </row>
    <row r="1204" customFormat="false" ht="15" hidden="false" customHeight="false" outlineLevel="0" collapsed="false">
      <c r="A1204" s="55"/>
      <c r="B1204" s="56"/>
      <c r="C1204" s="56"/>
      <c r="D1204" s="56"/>
      <c r="E1204" s="57"/>
      <c r="F1204" s="58"/>
      <c r="G1204" s="59"/>
      <c r="H1204" s="56"/>
      <c r="I1204" s="60" t="str">
        <f aca="false">IF(IsPro,IF($D1204="","",IFERROR(INDEX(Items!$D$5:$D$504,Q1204),"")),IF($D1204="","","PRO PLAN"))</f>
        <v/>
      </c>
      <c r="J1204" s="61" t="str">
        <f aca="false">IF(IsPro,IF($D1204="","",IF($F1204="",IFERROR(INDEX(Items!$G$5:$G$504,Q1204),0),$F1204)),"")</f>
        <v/>
      </c>
      <c r="K1204" s="61" t="str">
        <f aca="false">IF(IsPro,IF($D1204="","",ROUND(N($E1204)*J1204*(1-N($G1204)),2)),"")</f>
        <v/>
      </c>
      <c r="L1204" s="62" t="str">
        <f aca="false">IF(IsPro,IF($D1204="","",IFERROR(INDEX(Items!$F$5:$F$504,Q1204),0)),"")</f>
        <v/>
      </c>
      <c r="M1204" s="61" t="str">
        <f aca="false">IF(IsPro,IF($D1204="","",IF(AND(R1204&lt;&gt;"",INDEX(Parties!$E$5:$E$304,R1204)&lt;&gt;"",INDEX(Parties!$E$5:$E$304,R1204)&lt;&gt;HomeState),0,ROUND(K1204*L1204/2,2))),"")</f>
        <v/>
      </c>
      <c r="N1204" s="61" t="str">
        <f aca="false">IF(IsPro,IF($D1204="","",M1204),"")</f>
        <v/>
      </c>
      <c r="O1204" s="61" t="str">
        <f aca="false">IF(IsPro,IF($D1204="","",IF(AND(R1204&lt;&gt;"",INDEX(Parties!$E$5:$E$304,R1204)&lt;&gt;"",INDEX(Parties!$E$5:$E$304,R1204)&lt;&gt;HomeState),ROUND(K1204*L1204,2),0)),"")</f>
        <v/>
      </c>
      <c r="P1204" s="61" t="str">
        <f aca="false">IF(IsPro,IF($D1204="","",K1204+M1204+N1204+O1204),"")</f>
        <v/>
      </c>
      <c r="Q1204" s="60" t="str">
        <f aca="false">IF(IsPro,IF($D1204="","",IFERROR(MATCH($D1204,Items!$A$5:$A$504,0),"")),"")</f>
        <v/>
      </c>
      <c r="R1204" s="60" t="str">
        <f aca="false">IF(IsPro,IF($C1204="","",IFERROR(MATCH($C1204,Parties!$A$5:$A$304,0),"")),"")</f>
        <v/>
      </c>
      <c r="S1204" s="61" t="str">
        <f aca="false">IF(IsPro,IF($D1204="","",IF(OR($H1204="",$H1204="Credit"),0,P1204)),"")</f>
        <v/>
      </c>
    </row>
    <row r="1205" customFormat="false" ht="15" hidden="false" customHeight="false" outlineLevel="0" collapsed="false">
      <c r="A1205" s="55"/>
      <c r="B1205" s="56"/>
      <c r="C1205" s="56"/>
      <c r="D1205" s="56"/>
      <c r="E1205" s="57"/>
      <c r="F1205" s="58"/>
      <c r="G1205" s="59"/>
      <c r="H1205" s="56"/>
      <c r="I1205" s="60" t="str">
        <f aca="false">IF(IsPro,IF($D1205="","",IFERROR(INDEX(Items!$D$5:$D$504,Q1205),"")),IF($D1205="","","PRO PLAN"))</f>
        <v/>
      </c>
      <c r="J1205" s="61" t="str">
        <f aca="false">IF(IsPro,IF($D1205="","",IF($F1205="",IFERROR(INDEX(Items!$G$5:$G$504,Q1205),0),$F1205)),"")</f>
        <v/>
      </c>
      <c r="K1205" s="61" t="str">
        <f aca="false">IF(IsPro,IF($D1205="","",ROUND(N($E1205)*J1205*(1-N($G1205)),2)),"")</f>
        <v/>
      </c>
      <c r="L1205" s="62" t="str">
        <f aca="false">IF(IsPro,IF($D1205="","",IFERROR(INDEX(Items!$F$5:$F$504,Q1205),0)),"")</f>
        <v/>
      </c>
      <c r="M1205" s="61" t="str">
        <f aca="false">IF(IsPro,IF($D1205="","",IF(AND(R1205&lt;&gt;"",INDEX(Parties!$E$5:$E$304,R1205)&lt;&gt;"",INDEX(Parties!$E$5:$E$304,R1205)&lt;&gt;HomeState),0,ROUND(K1205*L1205/2,2))),"")</f>
        <v/>
      </c>
      <c r="N1205" s="61" t="str">
        <f aca="false">IF(IsPro,IF($D1205="","",M1205),"")</f>
        <v/>
      </c>
      <c r="O1205" s="61" t="str">
        <f aca="false">IF(IsPro,IF($D1205="","",IF(AND(R1205&lt;&gt;"",INDEX(Parties!$E$5:$E$304,R1205)&lt;&gt;"",INDEX(Parties!$E$5:$E$304,R1205)&lt;&gt;HomeState),ROUND(K1205*L1205,2),0)),"")</f>
        <v/>
      </c>
      <c r="P1205" s="61" t="str">
        <f aca="false">IF(IsPro,IF($D1205="","",K1205+M1205+N1205+O1205),"")</f>
        <v/>
      </c>
      <c r="Q1205" s="60" t="str">
        <f aca="false">IF(IsPro,IF($D1205="","",IFERROR(MATCH($D1205,Items!$A$5:$A$504,0),"")),"")</f>
        <v/>
      </c>
      <c r="R1205" s="60" t="str">
        <f aca="false">IF(IsPro,IF($C1205="","",IFERROR(MATCH($C1205,Parties!$A$5:$A$304,0),"")),"")</f>
        <v/>
      </c>
      <c r="S1205" s="61" t="str">
        <f aca="false">IF(IsPro,IF($D1205="","",IF(OR($H1205="",$H1205="Credit"),0,P1205)),"")</f>
        <v/>
      </c>
    </row>
    <row r="1206" customFormat="false" ht="15" hidden="false" customHeight="false" outlineLevel="0" collapsed="false">
      <c r="A1206" s="55"/>
      <c r="B1206" s="56"/>
      <c r="C1206" s="56"/>
      <c r="D1206" s="56"/>
      <c r="E1206" s="57"/>
      <c r="F1206" s="58"/>
      <c r="G1206" s="59"/>
      <c r="H1206" s="56"/>
      <c r="I1206" s="60" t="str">
        <f aca="false">IF(IsPro,IF($D1206="","",IFERROR(INDEX(Items!$D$5:$D$504,Q1206),"")),IF($D1206="","","PRO PLAN"))</f>
        <v/>
      </c>
      <c r="J1206" s="61" t="str">
        <f aca="false">IF(IsPro,IF($D1206="","",IF($F1206="",IFERROR(INDEX(Items!$G$5:$G$504,Q1206),0),$F1206)),"")</f>
        <v/>
      </c>
      <c r="K1206" s="61" t="str">
        <f aca="false">IF(IsPro,IF($D1206="","",ROUND(N($E1206)*J1206*(1-N($G1206)),2)),"")</f>
        <v/>
      </c>
      <c r="L1206" s="62" t="str">
        <f aca="false">IF(IsPro,IF($D1206="","",IFERROR(INDEX(Items!$F$5:$F$504,Q1206),0)),"")</f>
        <v/>
      </c>
      <c r="M1206" s="61" t="str">
        <f aca="false">IF(IsPro,IF($D1206="","",IF(AND(R1206&lt;&gt;"",INDEX(Parties!$E$5:$E$304,R1206)&lt;&gt;"",INDEX(Parties!$E$5:$E$304,R1206)&lt;&gt;HomeState),0,ROUND(K1206*L1206/2,2))),"")</f>
        <v/>
      </c>
      <c r="N1206" s="61" t="str">
        <f aca="false">IF(IsPro,IF($D1206="","",M1206),"")</f>
        <v/>
      </c>
      <c r="O1206" s="61" t="str">
        <f aca="false">IF(IsPro,IF($D1206="","",IF(AND(R1206&lt;&gt;"",INDEX(Parties!$E$5:$E$304,R1206)&lt;&gt;"",INDEX(Parties!$E$5:$E$304,R1206)&lt;&gt;HomeState),ROUND(K1206*L1206,2),0)),"")</f>
        <v/>
      </c>
      <c r="P1206" s="61" t="str">
        <f aca="false">IF(IsPro,IF($D1206="","",K1206+M1206+N1206+O1206),"")</f>
        <v/>
      </c>
      <c r="Q1206" s="60" t="str">
        <f aca="false">IF(IsPro,IF($D1206="","",IFERROR(MATCH($D1206,Items!$A$5:$A$504,0),"")),"")</f>
        <v/>
      </c>
      <c r="R1206" s="60" t="str">
        <f aca="false">IF(IsPro,IF($C1206="","",IFERROR(MATCH($C1206,Parties!$A$5:$A$304,0),"")),"")</f>
        <v/>
      </c>
      <c r="S1206" s="61" t="str">
        <f aca="false">IF(IsPro,IF($D1206="","",IF(OR($H1206="",$H1206="Credit"),0,P1206)),"")</f>
        <v/>
      </c>
    </row>
    <row r="1207" customFormat="false" ht="15" hidden="false" customHeight="false" outlineLevel="0" collapsed="false">
      <c r="A1207" s="55"/>
      <c r="B1207" s="56"/>
      <c r="C1207" s="56"/>
      <c r="D1207" s="56"/>
      <c r="E1207" s="57"/>
      <c r="F1207" s="58"/>
      <c r="G1207" s="59"/>
      <c r="H1207" s="56"/>
      <c r="I1207" s="60" t="str">
        <f aca="false">IF(IsPro,IF($D1207="","",IFERROR(INDEX(Items!$D$5:$D$504,Q1207),"")),IF($D1207="","","PRO PLAN"))</f>
        <v/>
      </c>
      <c r="J1207" s="61" t="str">
        <f aca="false">IF(IsPro,IF($D1207="","",IF($F1207="",IFERROR(INDEX(Items!$G$5:$G$504,Q1207),0),$F1207)),"")</f>
        <v/>
      </c>
      <c r="K1207" s="61" t="str">
        <f aca="false">IF(IsPro,IF($D1207="","",ROUND(N($E1207)*J1207*(1-N($G1207)),2)),"")</f>
        <v/>
      </c>
      <c r="L1207" s="62" t="str">
        <f aca="false">IF(IsPro,IF($D1207="","",IFERROR(INDEX(Items!$F$5:$F$504,Q1207),0)),"")</f>
        <v/>
      </c>
      <c r="M1207" s="61" t="str">
        <f aca="false">IF(IsPro,IF($D1207="","",IF(AND(R1207&lt;&gt;"",INDEX(Parties!$E$5:$E$304,R1207)&lt;&gt;"",INDEX(Parties!$E$5:$E$304,R1207)&lt;&gt;HomeState),0,ROUND(K1207*L1207/2,2))),"")</f>
        <v/>
      </c>
      <c r="N1207" s="61" t="str">
        <f aca="false">IF(IsPro,IF($D1207="","",M1207),"")</f>
        <v/>
      </c>
      <c r="O1207" s="61" t="str">
        <f aca="false">IF(IsPro,IF($D1207="","",IF(AND(R1207&lt;&gt;"",INDEX(Parties!$E$5:$E$304,R1207)&lt;&gt;"",INDEX(Parties!$E$5:$E$304,R1207)&lt;&gt;HomeState),ROUND(K1207*L1207,2),0)),"")</f>
        <v/>
      </c>
      <c r="P1207" s="61" t="str">
        <f aca="false">IF(IsPro,IF($D1207="","",K1207+M1207+N1207+O1207),"")</f>
        <v/>
      </c>
      <c r="Q1207" s="60" t="str">
        <f aca="false">IF(IsPro,IF($D1207="","",IFERROR(MATCH($D1207,Items!$A$5:$A$504,0),"")),"")</f>
        <v/>
      </c>
      <c r="R1207" s="60" t="str">
        <f aca="false">IF(IsPro,IF($C1207="","",IFERROR(MATCH($C1207,Parties!$A$5:$A$304,0),"")),"")</f>
        <v/>
      </c>
      <c r="S1207" s="61" t="str">
        <f aca="false">IF(IsPro,IF($D1207="","",IF(OR($H1207="",$H1207="Credit"),0,P1207)),"")</f>
        <v/>
      </c>
    </row>
    <row r="1208" customFormat="false" ht="15" hidden="false" customHeight="false" outlineLevel="0" collapsed="false">
      <c r="A1208" s="55"/>
      <c r="B1208" s="56"/>
      <c r="C1208" s="56"/>
      <c r="D1208" s="56"/>
      <c r="E1208" s="57"/>
      <c r="F1208" s="58"/>
      <c r="G1208" s="59"/>
      <c r="H1208" s="56"/>
      <c r="I1208" s="60" t="str">
        <f aca="false">IF(IsPro,IF($D1208="","",IFERROR(INDEX(Items!$D$5:$D$504,Q1208),"")),IF($D1208="","","PRO PLAN"))</f>
        <v/>
      </c>
      <c r="J1208" s="61" t="str">
        <f aca="false">IF(IsPro,IF($D1208="","",IF($F1208="",IFERROR(INDEX(Items!$G$5:$G$504,Q1208),0),$F1208)),"")</f>
        <v/>
      </c>
      <c r="K1208" s="61" t="str">
        <f aca="false">IF(IsPro,IF($D1208="","",ROUND(N($E1208)*J1208*(1-N($G1208)),2)),"")</f>
        <v/>
      </c>
      <c r="L1208" s="62" t="str">
        <f aca="false">IF(IsPro,IF($D1208="","",IFERROR(INDEX(Items!$F$5:$F$504,Q1208),0)),"")</f>
        <v/>
      </c>
      <c r="M1208" s="61" t="str">
        <f aca="false">IF(IsPro,IF($D1208="","",IF(AND(R1208&lt;&gt;"",INDEX(Parties!$E$5:$E$304,R1208)&lt;&gt;"",INDEX(Parties!$E$5:$E$304,R1208)&lt;&gt;HomeState),0,ROUND(K1208*L1208/2,2))),"")</f>
        <v/>
      </c>
      <c r="N1208" s="61" t="str">
        <f aca="false">IF(IsPro,IF($D1208="","",M1208),"")</f>
        <v/>
      </c>
      <c r="O1208" s="61" t="str">
        <f aca="false">IF(IsPro,IF($D1208="","",IF(AND(R1208&lt;&gt;"",INDEX(Parties!$E$5:$E$304,R1208)&lt;&gt;"",INDEX(Parties!$E$5:$E$304,R1208)&lt;&gt;HomeState),ROUND(K1208*L1208,2),0)),"")</f>
        <v/>
      </c>
      <c r="P1208" s="61" t="str">
        <f aca="false">IF(IsPro,IF($D1208="","",K1208+M1208+N1208+O1208),"")</f>
        <v/>
      </c>
      <c r="Q1208" s="60" t="str">
        <f aca="false">IF(IsPro,IF($D1208="","",IFERROR(MATCH($D1208,Items!$A$5:$A$504,0),"")),"")</f>
        <v/>
      </c>
      <c r="R1208" s="60" t="str">
        <f aca="false">IF(IsPro,IF($C1208="","",IFERROR(MATCH($C1208,Parties!$A$5:$A$304,0),"")),"")</f>
        <v/>
      </c>
      <c r="S1208" s="61" t="str">
        <f aca="false">IF(IsPro,IF($D1208="","",IF(OR($H1208="",$H1208="Credit"),0,P1208)),"")</f>
        <v/>
      </c>
    </row>
    <row r="1209" customFormat="false" ht="15" hidden="false" customHeight="false" outlineLevel="0" collapsed="false">
      <c r="A1209" s="55"/>
      <c r="B1209" s="56"/>
      <c r="C1209" s="56"/>
      <c r="D1209" s="56"/>
      <c r="E1209" s="57"/>
      <c r="F1209" s="58"/>
      <c r="G1209" s="59"/>
      <c r="H1209" s="56"/>
      <c r="I1209" s="60" t="str">
        <f aca="false">IF(IsPro,IF($D1209="","",IFERROR(INDEX(Items!$D$5:$D$504,Q1209),"")),IF($D1209="","","PRO PLAN"))</f>
        <v/>
      </c>
      <c r="J1209" s="61" t="str">
        <f aca="false">IF(IsPro,IF($D1209="","",IF($F1209="",IFERROR(INDEX(Items!$G$5:$G$504,Q1209),0),$F1209)),"")</f>
        <v/>
      </c>
      <c r="K1209" s="61" t="str">
        <f aca="false">IF(IsPro,IF($D1209="","",ROUND(N($E1209)*J1209*(1-N($G1209)),2)),"")</f>
        <v/>
      </c>
      <c r="L1209" s="62" t="str">
        <f aca="false">IF(IsPro,IF($D1209="","",IFERROR(INDEX(Items!$F$5:$F$504,Q1209),0)),"")</f>
        <v/>
      </c>
      <c r="M1209" s="61" t="str">
        <f aca="false">IF(IsPro,IF($D1209="","",IF(AND(R1209&lt;&gt;"",INDEX(Parties!$E$5:$E$304,R1209)&lt;&gt;"",INDEX(Parties!$E$5:$E$304,R1209)&lt;&gt;HomeState),0,ROUND(K1209*L1209/2,2))),"")</f>
        <v/>
      </c>
      <c r="N1209" s="61" t="str">
        <f aca="false">IF(IsPro,IF($D1209="","",M1209),"")</f>
        <v/>
      </c>
      <c r="O1209" s="61" t="str">
        <f aca="false">IF(IsPro,IF($D1209="","",IF(AND(R1209&lt;&gt;"",INDEX(Parties!$E$5:$E$304,R1209)&lt;&gt;"",INDEX(Parties!$E$5:$E$304,R1209)&lt;&gt;HomeState),ROUND(K1209*L1209,2),0)),"")</f>
        <v/>
      </c>
      <c r="P1209" s="61" t="str">
        <f aca="false">IF(IsPro,IF($D1209="","",K1209+M1209+N1209+O1209),"")</f>
        <v/>
      </c>
      <c r="Q1209" s="60" t="str">
        <f aca="false">IF(IsPro,IF($D1209="","",IFERROR(MATCH($D1209,Items!$A$5:$A$504,0),"")),"")</f>
        <v/>
      </c>
      <c r="R1209" s="60" t="str">
        <f aca="false">IF(IsPro,IF($C1209="","",IFERROR(MATCH($C1209,Parties!$A$5:$A$304,0),"")),"")</f>
        <v/>
      </c>
      <c r="S1209" s="61" t="str">
        <f aca="false">IF(IsPro,IF($D1209="","",IF(OR($H1209="",$H1209="Credit"),0,P1209)),"")</f>
        <v/>
      </c>
    </row>
    <row r="1210" customFormat="false" ht="15" hidden="false" customHeight="false" outlineLevel="0" collapsed="false">
      <c r="A1210" s="55"/>
      <c r="B1210" s="56"/>
      <c r="C1210" s="56"/>
      <c r="D1210" s="56"/>
      <c r="E1210" s="57"/>
      <c r="F1210" s="58"/>
      <c r="G1210" s="59"/>
      <c r="H1210" s="56"/>
      <c r="I1210" s="60" t="str">
        <f aca="false">IF(IsPro,IF($D1210="","",IFERROR(INDEX(Items!$D$5:$D$504,Q1210),"")),IF($D1210="","","PRO PLAN"))</f>
        <v/>
      </c>
      <c r="J1210" s="61" t="str">
        <f aca="false">IF(IsPro,IF($D1210="","",IF($F1210="",IFERROR(INDEX(Items!$G$5:$G$504,Q1210),0),$F1210)),"")</f>
        <v/>
      </c>
      <c r="K1210" s="61" t="str">
        <f aca="false">IF(IsPro,IF($D1210="","",ROUND(N($E1210)*J1210*(1-N($G1210)),2)),"")</f>
        <v/>
      </c>
      <c r="L1210" s="62" t="str">
        <f aca="false">IF(IsPro,IF($D1210="","",IFERROR(INDEX(Items!$F$5:$F$504,Q1210),0)),"")</f>
        <v/>
      </c>
      <c r="M1210" s="61" t="str">
        <f aca="false">IF(IsPro,IF($D1210="","",IF(AND(R1210&lt;&gt;"",INDEX(Parties!$E$5:$E$304,R1210)&lt;&gt;"",INDEX(Parties!$E$5:$E$304,R1210)&lt;&gt;HomeState),0,ROUND(K1210*L1210/2,2))),"")</f>
        <v/>
      </c>
      <c r="N1210" s="61" t="str">
        <f aca="false">IF(IsPro,IF($D1210="","",M1210),"")</f>
        <v/>
      </c>
      <c r="O1210" s="61" t="str">
        <f aca="false">IF(IsPro,IF($D1210="","",IF(AND(R1210&lt;&gt;"",INDEX(Parties!$E$5:$E$304,R1210)&lt;&gt;"",INDEX(Parties!$E$5:$E$304,R1210)&lt;&gt;HomeState),ROUND(K1210*L1210,2),0)),"")</f>
        <v/>
      </c>
      <c r="P1210" s="61" t="str">
        <f aca="false">IF(IsPro,IF($D1210="","",K1210+M1210+N1210+O1210),"")</f>
        <v/>
      </c>
      <c r="Q1210" s="60" t="str">
        <f aca="false">IF(IsPro,IF($D1210="","",IFERROR(MATCH($D1210,Items!$A$5:$A$504,0),"")),"")</f>
        <v/>
      </c>
      <c r="R1210" s="60" t="str">
        <f aca="false">IF(IsPro,IF($C1210="","",IFERROR(MATCH($C1210,Parties!$A$5:$A$304,0),"")),"")</f>
        <v/>
      </c>
      <c r="S1210" s="61" t="str">
        <f aca="false">IF(IsPro,IF($D1210="","",IF(OR($H1210="",$H1210="Credit"),0,P1210)),"")</f>
        <v/>
      </c>
    </row>
    <row r="1211" customFormat="false" ht="15" hidden="false" customHeight="false" outlineLevel="0" collapsed="false">
      <c r="A1211" s="55"/>
      <c r="B1211" s="56"/>
      <c r="C1211" s="56"/>
      <c r="D1211" s="56"/>
      <c r="E1211" s="57"/>
      <c r="F1211" s="58"/>
      <c r="G1211" s="59"/>
      <c r="H1211" s="56"/>
      <c r="I1211" s="60" t="str">
        <f aca="false">IF(IsPro,IF($D1211="","",IFERROR(INDEX(Items!$D$5:$D$504,Q1211),"")),IF($D1211="","","PRO PLAN"))</f>
        <v/>
      </c>
      <c r="J1211" s="61" t="str">
        <f aca="false">IF(IsPro,IF($D1211="","",IF($F1211="",IFERROR(INDEX(Items!$G$5:$G$504,Q1211),0),$F1211)),"")</f>
        <v/>
      </c>
      <c r="K1211" s="61" t="str">
        <f aca="false">IF(IsPro,IF($D1211="","",ROUND(N($E1211)*J1211*(1-N($G1211)),2)),"")</f>
        <v/>
      </c>
      <c r="L1211" s="62" t="str">
        <f aca="false">IF(IsPro,IF($D1211="","",IFERROR(INDEX(Items!$F$5:$F$504,Q1211),0)),"")</f>
        <v/>
      </c>
      <c r="M1211" s="61" t="str">
        <f aca="false">IF(IsPro,IF($D1211="","",IF(AND(R1211&lt;&gt;"",INDEX(Parties!$E$5:$E$304,R1211)&lt;&gt;"",INDEX(Parties!$E$5:$E$304,R1211)&lt;&gt;HomeState),0,ROUND(K1211*L1211/2,2))),"")</f>
        <v/>
      </c>
      <c r="N1211" s="61" t="str">
        <f aca="false">IF(IsPro,IF($D1211="","",M1211),"")</f>
        <v/>
      </c>
      <c r="O1211" s="61" t="str">
        <f aca="false">IF(IsPro,IF($D1211="","",IF(AND(R1211&lt;&gt;"",INDEX(Parties!$E$5:$E$304,R1211)&lt;&gt;"",INDEX(Parties!$E$5:$E$304,R1211)&lt;&gt;HomeState),ROUND(K1211*L1211,2),0)),"")</f>
        <v/>
      </c>
      <c r="P1211" s="61" t="str">
        <f aca="false">IF(IsPro,IF($D1211="","",K1211+M1211+N1211+O1211),"")</f>
        <v/>
      </c>
      <c r="Q1211" s="60" t="str">
        <f aca="false">IF(IsPro,IF($D1211="","",IFERROR(MATCH($D1211,Items!$A$5:$A$504,0),"")),"")</f>
        <v/>
      </c>
      <c r="R1211" s="60" t="str">
        <f aca="false">IF(IsPro,IF($C1211="","",IFERROR(MATCH($C1211,Parties!$A$5:$A$304,0),"")),"")</f>
        <v/>
      </c>
      <c r="S1211" s="61" t="str">
        <f aca="false">IF(IsPro,IF($D1211="","",IF(OR($H1211="",$H1211="Credit"),0,P1211)),"")</f>
        <v/>
      </c>
    </row>
    <row r="1212" customFormat="false" ht="15" hidden="false" customHeight="false" outlineLevel="0" collapsed="false">
      <c r="A1212" s="55"/>
      <c r="B1212" s="56"/>
      <c r="C1212" s="56"/>
      <c r="D1212" s="56"/>
      <c r="E1212" s="57"/>
      <c r="F1212" s="58"/>
      <c r="G1212" s="59"/>
      <c r="H1212" s="56"/>
      <c r="I1212" s="60" t="str">
        <f aca="false">IF(IsPro,IF($D1212="","",IFERROR(INDEX(Items!$D$5:$D$504,Q1212),"")),IF($D1212="","","PRO PLAN"))</f>
        <v/>
      </c>
      <c r="J1212" s="61" t="str">
        <f aca="false">IF(IsPro,IF($D1212="","",IF($F1212="",IFERROR(INDEX(Items!$G$5:$G$504,Q1212),0),$F1212)),"")</f>
        <v/>
      </c>
      <c r="K1212" s="61" t="str">
        <f aca="false">IF(IsPro,IF($D1212="","",ROUND(N($E1212)*J1212*(1-N($G1212)),2)),"")</f>
        <v/>
      </c>
      <c r="L1212" s="62" t="str">
        <f aca="false">IF(IsPro,IF($D1212="","",IFERROR(INDEX(Items!$F$5:$F$504,Q1212),0)),"")</f>
        <v/>
      </c>
      <c r="M1212" s="61" t="str">
        <f aca="false">IF(IsPro,IF($D1212="","",IF(AND(R1212&lt;&gt;"",INDEX(Parties!$E$5:$E$304,R1212)&lt;&gt;"",INDEX(Parties!$E$5:$E$304,R1212)&lt;&gt;HomeState),0,ROUND(K1212*L1212/2,2))),"")</f>
        <v/>
      </c>
      <c r="N1212" s="61" t="str">
        <f aca="false">IF(IsPro,IF($D1212="","",M1212),"")</f>
        <v/>
      </c>
      <c r="O1212" s="61" t="str">
        <f aca="false">IF(IsPro,IF($D1212="","",IF(AND(R1212&lt;&gt;"",INDEX(Parties!$E$5:$E$304,R1212)&lt;&gt;"",INDEX(Parties!$E$5:$E$304,R1212)&lt;&gt;HomeState),ROUND(K1212*L1212,2),0)),"")</f>
        <v/>
      </c>
      <c r="P1212" s="61" t="str">
        <f aca="false">IF(IsPro,IF($D1212="","",K1212+M1212+N1212+O1212),"")</f>
        <v/>
      </c>
      <c r="Q1212" s="60" t="str">
        <f aca="false">IF(IsPro,IF($D1212="","",IFERROR(MATCH($D1212,Items!$A$5:$A$504,0),"")),"")</f>
        <v/>
      </c>
      <c r="R1212" s="60" t="str">
        <f aca="false">IF(IsPro,IF($C1212="","",IFERROR(MATCH($C1212,Parties!$A$5:$A$304,0),"")),"")</f>
        <v/>
      </c>
      <c r="S1212" s="61" t="str">
        <f aca="false">IF(IsPro,IF($D1212="","",IF(OR($H1212="",$H1212="Credit"),0,P1212)),"")</f>
        <v/>
      </c>
    </row>
    <row r="1213" customFormat="false" ht="15" hidden="false" customHeight="false" outlineLevel="0" collapsed="false">
      <c r="A1213" s="55"/>
      <c r="B1213" s="56"/>
      <c r="C1213" s="56"/>
      <c r="D1213" s="56"/>
      <c r="E1213" s="57"/>
      <c r="F1213" s="58"/>
      <c r="G1213" s="59"/>
      <c r="H1213" s="56"/>
      <c r="I1213" s="60" t="str">
        <f aca="false">IF(IsPro,IF($D1213="","",IFERROR(INDEX(Items!$D$5:$D$504,Q1213),"")),IF($D1213="","","PRO PLAN"))</f>
        <v/>
      </c>
      <c r="J1213" s="61" t="str">
        <f aca="false">IF(IsPro,IF($D1213="","",IF($F1213="",IFERROR(INDEX(Items!$G$5:$G$504,Q1213),0),$F1213)),"")</f>
        <v/>
      </c>
      <c r="K1213" s="61" t="str">
        <f aca="false">IF(IsPro,IF($D1213="","",ROUND(N($E1213)*J1213*(1-N($G1213)),2)),"")</f>
        <v/>
      </c>
      <c r="L1213" s="62" t="str">
        <f aca="false">IF(IsPro,IF($D1213="","",IFERROR(INDEX(Items!$F$5:$F$504,Q1213),0)),"")</f>
        <v/>
      </c>
      <c r="M1213" s="61" t="str">
        <f aca="false">IF(IsPro,IF($D1213="","",IF(AND(R1213&lt;&gt;"",INDEX(Parties!$E$5:$E$304,R1213)&lt;&gt;"",INDEX(Parties!$E$5:$E$304,R1213)&lt;&gt;HomeState),0,ROUND(K1213*L1213/2,2))),"")</f>
        <v/>
      </c>
      <c r="N1213" s="61" t="str">
        <f aca="false">IF(IsPro,IF($D1213="","",M1213),"")</f>
        <v/>
      </c>
      <c r="O1213" s="61" t="str">
        <f aca="false">IF(IsPro,IF($D1213="","",IF(AND(R1213&lt;&gt;"",INDEX(Parties!$E$5:$E$304,R1213)&lt;&gt;"",INDEX(Parties!$E$5:$E$304,R1213)&lt;&gt;HomeState),ROUND(K1213*L1213,2),0)),"")</f>
        <v/>
      </c>
      <c r="P1213" s="61" t="str">
        <f aca="false">IF(IsPro,IF($D1213="","",K1213+M1213+N1213+O1213),"")</f>
        <v/>
      </c>
      <c r="Q1213" s="60" t="str">
        <f aca="false">IF(IsPro,IF($D1213="","",IFERROR(MATCH($D1213,Items!$A$5:$A$504,0),"")),"")</f>
        <v/>
      </c>
      <c r="R1213" s="60" t="str">
        <f aca="false">IF(IsPro,IF($C1213="","",IFERROR(MATCH($C1213,Parties!$A$5:$A$304,0),"")),"")</f>
        <v/>
      </c>
      <c r="S1213" s="61" t="str">
        <f aca="false">IF(IsPro,IF($D1213="","",IF(OR($H1213="",$H1213="Credit"),0,P1213)),"")</f>
        <v/>
      </c>
    </row>
    <row r="1214" customFormat="false" ht="15" hidden="false" customHeight="false" outlineLevel="0" collapsed="false">
      <c r="A1214" s="55"/>
      <c r="B1214" s="56"/>
      <c r="C1214" s="56"/>
      <c r="D1214" s="56"/>
      <c r="E1214" s="57"/>
      <c r="F1214" s="58"/>
      <c r="G1214" s="59"/>
      <c r="H1214" s="56"/>
      <c r="I1214" s="60" t="str">
        <f aca="false">IF(IsPro,IF($D1214="","",IFERROR(INDEX(Items!$D$5:$D$504,Q1214),"")),IF($D1214="","","PRO PLAN"))</f>
        <v/>
      </c>
      <c r="J1214" s="61" t="str">
        <f aca="false">IF(IsPro,IF($D1214="","",IF($F1214="",IFERROR(INDEX(Items!$G$5:$G$504,Q1214),0),$F1214)),"")</f>
        <v/>
      </c>
      <c r="K1214" s="61" t="str">
        <f aca="false">IF(IsPro,IF($D1214="","",ROUND(N($E1214)*J1214*(1-N($G1214)),2)),"")</f>
        <v/>
      </c>
      <c r="L1214" s="62" t="str">
        <f aca="false">IF(IsPro,IF($D1214="","",IFERROR(INDEX(Items!$F$5:$F$504,Q1214),0)),"")</f>
        <v/>
      </c>
      <c r="M1214" s="61" t="str">
        <f aca="false">IF(IsPro,IF($D1214="","",IF(AND(R1214&lt;&gt;"",INDEX(Parties!$E$5:$E$304,R1214)&lt;&gt;"",INDEX(Parties!$E$5:$E$304,R1214)&lt;&gt;HomeState),0,ROUND(K1214*L1214/2,2))),"")</f>
        <v/>
      </c>
      <c r="N1214" s="61" t="str">
        <f aca="false">IF(IsPro,IF($D1214="","",M1214),"")</f>
        <v/>
      </c>
      <c r="O1214" s="61" t="str">
        <f aca="false">IF(IsPro,IF($D1214="","",IF(AND(R1214&lt;&gt;"",INDEX(Parties!$E$5:$E$304,R1214)&lt;&gt;"",INDEX(Parties!$E$5:$E$304,R1214)&lt;&gt;HomeState),ROUND(K1214*L1214,2),0)),"")</f>
        <v/>
      </c>
      <c r="P1214" s="61" t="str">
        <f aca="false">IF(IsPro,IF($D1214="","",K1214+M1214+N1214+O1214),"")</f>
        <v/>
      </c>
      <c r="Q1214" s="60" t="str">
        <f aca="false">IF(IsPro,IF($D1214="","",IFERROR(MATCH($D1214,Items!$A$5:$A$504,0),"")),"")</f>
        <v/>
      </c>
      <c r="R1214" s="60" t="str">
        <f aca="false">IF(IsPro,IF($C1214="","",IFERROR(MATCH($C1214,Parties!$A$5:$A$304,0),"")),"")</f>
        <v/>
      </c>
      <c r="S1214" s="61" t="str">
        <f aca="false">IF(IsPro,IF($D1214="","",IF(OR($H1214="",$H1214="Credit"),0,P1214)),"")</f>
        <v/>
      </c>
    </row>
    <row r="1215" customFormat="false" ht="15" hidden="false" customHeight="false" outlineLevel="0" collapsed="false">
      <c r="A1215" s="55"/>
      <c r="B1215" s="56"/>
      <c r="C1215" s="56"/>
      <c r="D1215" s="56"/>
      <c r="E1215" s="57"/>
      <c r="F1215" s="58"/>
      <c r="G1215" s="59"/>
      <c r="H1215" s="56"/>
      <c r="I1215" s="60" t="str">
        <f aca="false">IF(IsPro,IF($D1215="","",IFERROR(INDEX(Items!$D$5:$D$504,Q1215),"")),IF($D1215="","","PRO PLAN"))</f>
        <v/>
      </c>
      <c r="J1215" s="61" t="str">
        <f aca="false">IF(IsPro,IF($D1215="","",IF($F1215="",IFERROR(INDEX(Items!$G$5:$G$504,Q1215),0),$F1215)),"")</f>
        <v/>
      </c>
      <c r="K1215" s="61" t="str">
        <f aca="false">IF(IsPro,IF($D1215="","",ROUND(N($E1215)*J1215*(1-N($G1215)),2)),"")</f>
        <v/>
      </c>
      <c r="L1215" s="62" t="str">
        <f aca="false">IF(IsPro,IF($D1215="","",IFERROR(INDEX(Items!$F$5:$F$504,Q1215),0)),"")</f>
        <v/>
      </c>
      <c r="M1215" s="61" t="str">
        <f aca="false">IF(IsPro,IF($D1215="","",IF(AND(R1215&lt;&gt;"",INDEX(Parties!$E$5:$E$304,R1215)&lt;&gt;"",INDEX(Parties!$E$5:$E$304,R1215)&lt;&gt;HomeState),0,ROUND(K1215*L1215/2,2))),"")</f>
        <v/>
      </c>
      <c r="N1215" s="61" t="str">
        <f aca="false">IF(IsPro,IF($D1215="","",M1215),"")</f>
        <v/>
      </c>
      <c r="O1215" s="61" t="str">
        <f aca="false">IF(IsPro,IF($D1215="","",IF(AND(R1215&lt;&gt;"",INDEX(Parties!$E$5:$E$304,R1215)&lt;&gt;"",INDEX(Parties!$E$5:$E$304,R1215)&lt;&gt;HomeState),ROUND(K1215*L1215,2),0)),"")</f>
        <v/>
      </c>
      <c r="P1215" s="61" t="str">
        <f aca="false">IF(IsPro,IF($D1215="","",K1215+M1215+N1215+O1215),"")</f>
        <v/>
      </c>
      <c r="Q1215" s="60" t="str">
        <f aca="false">IF(IsPro,IF($D1215="","",IFERROR(MATCH($D1215,Items!$A$5:$A$504,0),"")),"")</f>
        <v/>
      </c>
      <c r="R1215" s="60" t="str">
        <f aca="false">IF(IsPro,IF($C1215="","",IFERROR(MATCH($C1215,Parties!$A$5:$A$304,0),"")),"")</f>
        <v/>
      </c>
      <c r="S1215" s="61" t="str">
        <f aca="false">IF(IsPro,IF($D1215="","",IF(OR($H1215="",$H1215="Credit"),0,P1215)),"")</f>
        <v/>
      </c>
    </row>
    <row r="1216" customFormat="false" ht="15" hidden="false" customHeight="false" outlineLevel="0" collapsed="false">
      <c r="A1216" s="55"/>
      <c r="B1216" s="56"/>
      <c r="C1216" s="56"/>
      <c r="D1216" s="56"/>
      <c r="E1216" s="57"/>
      <c r="F1216" s="58"/>
      <c r="G1216" s="59"/>
      <c r="H1216" s="56"/>
      <c r="I1216" s="60" t="str">
        <f aca="false">IF(IsPro,IF($D1216="","",IFERROR(INDEX(Items!$D$5:$D$504,Q1216),"")),IF($D1216="","","PRO PLAN"))</f>
        <v/>
      </c>
      <c r="J1216" s="61" t="str">
        <f aca="false">IF(IsPro,IF($D1216="","",IF($F1216="",IFERROR(INDEX(Items!$G$5:$G$504,Q1216),0),$F1216)),"")</f>
        <v/>
      </c>
      <c r="K1216" s="61" t="str">
        <f aca="false">IF(IsPro,IF($D1216="","",ROUND(N($E1216)*J1216*(1-N($G1216)),2)),"")</f>
        <v/>
      </c>
      <c r="L1216" s="62" t="str">
        <f aca="false">IF(IsPro,IF($D1216="","",IFERROR(INDEX(Items!$F$5:$F$504,Q1216),0)),"")</f>
        <v/>
      </c>
      <c r="M1216" s="61" t="str">
        <f aca="false">IF(IsPro,IF($D1216="","",IF(AND(R1216&lt;&gt;"",INDEX(Parties!$E$5:$E$304,R1216)&lt;&gt;"",INDEX(Parties!$E$5:$E$304,R1216)&lt;&gt;HomeState),0,ROUND(K1216*L1216/2,2))),"")</f>
        <v/>
      </c>
      <c r="N1216" s="61" t="str">
        <f aca="false">IF(IsPro,IF($D1216="","",M1216),"")</f>
        <v/>
      </c>
      <c r="O1216" s="61" t="str">
        <f aca="false">IF(IsPro,IF($D1216="","",IF(AND(R1216&lt;&gt;"",INDEX(Parties!$E$5:$E$304,R1216)&lt;&gt;"",INDEX(Parties!$E$5:$E$304,R1216)&lt;&gt;HomeState),ROUND(K1216*L1216,2),0)),"")</f>
        <v/>
      </c>
      <c r="P1216" s="61" t="str">
        <f aca="false">IF(IsPro,IF($D1216="","",K1216+M1216+N1216+O1216),"")</f>
        <v/>
      </c>
      <c r="Q1216" s="60" t="str">
        <f aca="false">IF(IsPro,IF($D1216="","",IFERROR(MATCH($D1216,Items!$A$5:$A$504,0),"")),"")</f>
        <v/>
      </c>
      <c r="R1216" s="60" t="str">
        <f aca="false">IF(IsPro,IF($C1216="","",IFERROR(MATCH($C1216,Parties!$A$5:$A$304,0),"")),"")</f>
        <v/>
      </c>
      <c r="S1216" s="61" t="str">
        <f aca="false">IF(IsPro,IF($D1216="","",IF(OR($H1216="",$H1216="Credit"),0,P1216)),"")</f>
        <v/>
      </c>
    </row>
    <row r="1217" customFormat="false" ht="15" hidden="false" customHeight="false" outlineLevel="0" collapsed="false">
      <c r="A1217" s="55"/>
      <c r="B1217" s="56"/>
      <c r="C1217" s="56"/>
      <c r="D1217" s="56"/>
      <c r="E1217" s="57"/>
      <c r="F1217" s="58"/>
      <c r="G1217" s="59"/>
      <c r="H1217" s="56"/>
      <c r="I1217" s="60" t="str">
        <f aca="false">IF(IsPro,IF($D1217="","",IFERROR(INDEX(Items!$D$5:$D$504,Q1217),"")),IF($D1217="","","PRO PLAN"))</f>
        <v/>
      </c>
      <c r="J1217" s="61" t="str">
        <f aca="false">IF(IsPro,IF($D1217="","",IF($F1217="",IFERROR(INDEX(Items!$G$5:$G$504,Q1217),0),$F1217)),"")</f>
        <v/>
      </c>
      <c r="K1217" s="61" t="str">
        <f aca="false">IF(IsPro,IF($D1217="","",ROUND(N($E1217)*J1217*(1-N($G1217)),2)),"")</f>
        <v/>
      </c>
      <c r="L1217" s="62" t="str">
        <f aca="false">IF(IsPro,IF($D1217="","",IFERROR(INDEX(Items!$F$5:$F$504,Q1217),0)),"")</f>
        <v/>
      </c>
      <c r="M1217" s="61" t="str">
        <f aca="false">IF(IsPro,IF($D1217="","",IF(AND(R1217&lt;&gt;"",INDEX(Parties!$E$5:$E$304,R1217)&lt;&gt;"",INDEX(Parties!$E$5:$E$304,R1217)&lt;&gt;HomeState),0,ROUND(K1217*L1217/2,2))),"")</f>
        <v/>
      </c>
      <c r="N1217" s="61" t="str">
        <f aca="false">IF(IsPro,IF($D1217="","",M1217),"")</f>
        <v/>
      </c>
      <c r="O1217" s="61" t="str">
        <f aca="false">IF(IsPro,IF($D1217="","",IF(AND(R1217&lt;&gt;"",INDEX(Parties!$E$5:$E$304,R1217)&lt;&gt;"",INDEX(Parties!$E$5:$E$304,R1217)&lt;&gt;HomeState),ROUND(K1217*L1217,2),0)),"")</f>
        <v/>
      </c>
      <c r="P1217" s="61" t="str">
        <f aca="false">IF(IsPro,IF($D1217="","",K1217+M1217+N1217+O1217),"")</f>
        <v/>
      </c>
      <c r="Q1217" s="60" t="str">
        <f aca="false">IF(IsPro,IF($D1217="","",IFERROR(MATCH($D1217,Items!$A$5:$A$504,0),"")),"")</f>
        <v/>
      </c>
      <c r="R1217" s="60" t="str">
        <f aca="false">IF(IsPro,IF($C1217="","",IFERROR(MATCH($C1217,Parties!$A$5:$A$304,0),"")),"")</f>
        <v/>
      </c>
      <c r="S1217" s="61" t="str">
        <f aca="false">IF(IsPro,IF($D1217="","",IF(OR($H1217="",$H1217="Credit"),0,P1217)),"")</f>
        <v/>
      </c>
    </row>
    <row r="1218" customFormat="false" ht="15" hidden="false" customHeight="false" outlineLevel="0" collapsed="false">
      <c r="A1218" s="55"/>
      <c r="B1218" s="56"/>
      <c r="C1218" s="56"/>
      <c r="D1218" s="56"/>
      <c r="E1218" s="57"/>
      <c r="F1218" s="58"/>
      <c r="G1218" s="59"/>
      <c r="H1218" s="56"/>
      <c r="I1218" s="60" t="str">
        <f aca="false">IF(IsPro,IF($D1218="","",IFERROR(INDEX(Items!$D$5:$D$504,Q1218),"")),IF($D1218="","","PRO PLAN"))</f>
        <v/>
      </c>
      <c r="J1218" s="61" t="str">
        <f aca="false">IF(IsPro,IF($D1218="","",IF($F1218="",IFERROR(INDEX(Items!$G$5:$G$504,Q1218),0),$F1218)),"")</f>
        <v/>
      </c>
      <c r="K1218" s="61" t="str">
        <f aca="false">IF(IsPro,IF($D1218="","",ROUND(N($E1218)*J1218*(1-N($G1218)),2)),"")</f>
        <v/>
      </c>
      <c r="L1218" s="62" t="str">
        <f aca="false">IF(IsPro,IF($D1218="","",IFERROR(INDEX(Items!$F$5:$F$504,Q1218),0)),"")</f>
        <v/>
      </c>
      <c r="M1218" s="61" t="str">
        <f aca="false">IF(IsPro,IF($D1218="","",IF(AND(R1218&lt;&gt;"",INDEX(Parties!$E$5:$E$304,R1218)&lt;&gt;"",INDEX(Parties!$E$5:$E$304,R1218)&lt;&gt;HomeState),0,ROUND(K1218*L1218/2,2))),"")</f>
        <v/>
      </c>
      <c r="N1218" s="61" t="str">
        <f aca="false">IF(IsPro,IF($D1218="","",M1218),"")</f>
        <v/>
      </c>
      <c r="O1218" s="61" t="str">
        <f aca="false">IF(IsPro,IF($D1218="","",IF(AND(R1218&lt;&gt;"",INDEX(Parties!$E$5:$E$304,R1218)&lt;&gt;"",INDEX(Parties!$E$5:$E$304,R1218)&lt;&gt;HomeState),ROUND(K1218*L1218,2),0)),"")</f>
        <v/>
      </c>
      <c r="P1218" s="61" t="str">
        <f aca="false">IF(IsPro,IF($D1218="","",K1218+M1218+N1218+O1218),"")</f>
        <v/>
      </c>
      <c r="Q1218" s="60" t="str">
        <f aca="false">IF(IsPro,IF($D1218="","",IFERROR(MATCH($D1218,Items!$A$5:$A$504,0),"")),"")</f>
        <v/>
      </c>
      <c r="R1218" s="60" t="str">
        <f aca="false">IF(IsPro,IF($C1218="","",IFERROR(MATCH($C1218,Parties!$A$5:$A$304,0),"")),"")</f>
        <v/>
      </c>
      <c r="S1218" s="61" t="str">
        <f aca="false">IF(IsPro,IF($D1218="","",IF(OR($H1218="",$H1218="Credit"),0,P1218)),"")</f>
        <v/>
      </c>
    </row>
    <row r="1219" customFormat="false" ht="15" hidden="false" customHeight="false" outlineLevel="0" collapsed="false">
      <c r="A1219" s="55"/>
      <c r="B1219" s="56"/>
      <c r="C1219" s="56"/>
      <c r="D1219" s="56"/>
      <c r="E1219" s="57"/>
      <c r="F1219" s="58"/>
      <c r="G1219" s="59"/>
      <c r="H1219" s="56"/>
      <c r="I1219" s="60" t="str">
        <f aca="false">IF(IsPro,IF($D1219="","",IFERROR(INDEX(Items!$D$5:$D$504,Q1219),"")),IF($D1219="","","PRO PLAN"))</f>
        <v/>
      </c>
      <c r="J1219" s="61" t="str">
        <f aca="false">IF(IsPro,IF($D1219="","",IF($F1219="",IFERROR(INDEX(Items!$G$5:$G$504,Q1219),0),$F1219)),"")</f>
        <v/>
      </c>
      <c r="K1219" s="61" t="str">
        <f aca="false">IF(IsPro,IF($D1219="","",ROUND(N($E1219)*J1219*(1-N($G1219)),2)),"")</f>
        <v/>
      </c>
      <c r="L1219" s="62" t="str">
        <f aca="false">IF(IsPro,IF($D1219="","",IFERROR(INDEX(Items!$F$5:$F$504,Q1219),0)),"")</f>
        <v/>
      </c>
      <c r="M1219" s="61" t="str">
        <f aca="false">IF(IsPro,IF($D1219="","",IF(AND(R1219&lt;&gt;"",INDEX(Parties!$E$5:$E$304,R1219)&lt;&gt;"",INDEX(Parties!$E$5:$E$304,R1219)&lt;&gt;HomeState),0,ROUND(K1219*L1219/2,2))),"")</f>
        <v/>
      </c>
      <c r="N1219" s="61" t="str">
        <f aca="false">IF(IsPro,IF($D1219="","",M1219),"")</f>
        <v/>
      </c>
      <c r="O1219" s="61" t="str">
        <f aca="false">IF(IsPro,IF($D1219="","",IF(AND(R1219&lt;&gt;"",INDEX(Parties!$E$5:$E$304,R1219)&lt;&gt;"",INDEX(Parties!$E$5:$E$304,R1219)&lt;&gt;HomeState),ROUND(K1219*L1219,2),0)),"")</f>
        <v/>
      </c>
      <c r="P1219" s="61" t="str">
        <f aca="false">IF(IsPro,IF($D1219="","",K1219+M1219+N1219+O1219),"")</f>
        <v/>
      </c>
      <c r="Q1219" s="60" t="str">
        <f aca="false">IF(IsPro,IF($D1219="","",IFERROR(MATCH($D1219,Items!$A$5:$A$504,0),"")),"")</f>
        <v/>
      </c>
      <c r="R1219" s="60" t="str">
        <f aca="false">IF(IsPro,IF($C1219="","",IFERROR(MATCH($C1219,Parties!$A$5:$A$304,0),"")),"")</f>
        <v/>
      </c>
      <c r="S1219" s="61" t="str">
        <f aca="false">IF(IsPro,IF($D1219="","",IF(OR($H1219="",$H1219="Credit"),0,P1219)),"")</f>
        <v/>
      </c>
    </row>
    <row r="1220" customFormat="false" ht="15" hidden="false" customHeight="false" outlineLevel="0" collapsed="false">
      <c r="A1220" s="55"/>
      <c r="B1220" s="56"/>
      <c r="C1220" s="56"/>
      <c r="D1220" s="56"/>
      <c r="E1220" s="57"/>
      <c r="F1220" s="58"/>
      <c r="G1220" s="59"/>
      <c r="H1220" s="56"/>
      <c r="I1220" s="60" t="str">
        <f aca="false">IF(IsPro,IF($D1220="","",IFERROR(INDEX(Items!$D$5:$D$504,Q1220),"")),IF($D1220="","","PRO PLAN"))</f>
        <v/>
      </c>
      <c r="J1220" s="61" t="str">
        <f aca="false">IF(IsPro,IF($D1220="","",IF($F1220="",IFERROR(INDEX(Items!$G$5:$G$504,Q1220),0),$F1220)),"")</f>
        <v/>
      </c>
      <c r="K1220" s="61" t="str">
        <f aca="false">IF(IsPro,IF($D1220="","",ROUND(N($E1220)*J1220*(1-N($G1220)),2)),"")</f>
        <v/>
      </c>
      <c r="L1220" s="62" t="str">
        <f aca="false">IF(IsPro,IF($D1220="","",IFERROR(INDEX(Items!$F$5:$F$504,Q1220),0)),"")</f>
        <v/>
      </c>
      <c r="M1220" s="61" t="str">
        <f aca="false">IF(IsPro,IF($D1220="","",IF(AND(R1220&lt;&gt;"",INDEX(Parties!$E$5:$E$304,R1220)&lt;&gt;"",INDEX(Parties!$E$5:$E$304,R1220)&lt;&gt;HomeState),0,ROUND(K1220*L1220/2,2))),"")</f>
        <v/>
      </c>
      <c r="N1220" s="61" t="str">
        <f aca="false">IF(IsPro,IF($D1220="","",M1220),"")</f>
        <v/>
      </c>
      <c r="O1220" s="61" t="str">
        <f aca="false">IF(IsPro,IF($D1220="","",IF(AND(R1220&lt;&gt;"",INDEX(Parties!$E$5:$E$304,R1220)&lt;&gt;"",INDEX(Parties!$E$5:$E$304,R1220)&lt;&gt;HomeState),ROUND(K1220*L1220,2),0)),"")</f>
        <v/>
      </c>
      <c r="P1220" s="61" t="str">
        <f aca="false">IF(IsPro,IF($D1220="","",K1220+M1220+N1220+O1220),"")</f>
        <v/>
      </c>
      <c r="Q1220" s="60" t="str">
        <f aca="false">IF(IsPro,IF($D1220="","",IFERROR(MATCH($D1220,Items!$A$5:$A$504,0),"")),"")</f>
        <v/>
      </c>
      <c r="R1220" s="60" t="str">
        <f aca="false">IF(IsPro,IF($C1220="","",IFERROR(MATCH($C1220,Parties!$A$5:$A$304,0),"")),"")</f>
        <v/>
      </c>
      <c r="S1220" s="61" t="str">
        <f aca="false">IF(IsPro,IF($D1220="","",IF(OR($H1220="",$H1220="Credit"),0,P1220)),"")</f>
        <v/>
      </c>
    </row>
    <row r="1221" customFormat="false" ht="15" hidden="false" customHeight="false" outlineLevel="0" collapsed="false">
      <c r="A1221" s="55"/>
      <c r="B1221" s="56"/>
      <c r="C1221" s="56"/>
      <c r="D1221" s="56"/>
      <c r="E1221" s="57"/>
      <c r="F1221" s="58"/>
      <c r="G1221" s="59"/>
      <c r="H1221" s="56"/>
      <c r="I1221" s="60" t="str">
        <f aca="false">IF(IsPro,IF($D1221="","",IFERROR(INDEX(Items!$D$5:$D$504,Q1221),"")),IF($D1221="","","PRO PLAN"))</f>
        <v/>
      </c>
      <c r="J1221" s="61" t="str">
        <f aca="false">IF(IsPro,IF($D1221="","",IF($F1221="",IFERROR(INDEX(Items!$G$5:$G$504,Q1221),0),$F1221)),"")</f>
        <v/>
      </c>
      <c r="K1221" s="61" t="str">
        <f aca="false">IF(IsPro,IF($D1221="","",ROUND(N($E1221)*J1221*(1-N($G1221)),2)),"")</f>
        <v/>
      </c>
      <c r="L1221" s="62" t="str">
        <f aca="false">IF(IsPro,IF($D1221="","",IFERROR(INDEX(Items!$F$5:$F$504,Q1221),0)),"")</f>
        <v/>
      </c>
      <c r="M1221" s="61" t="str">
        <f aca="false">IF(IsPro,IF($D1221="","",IF(AND(R1221&lt;&gt;"",INDEX(Parties!$E$5:$E$304,R1221)&lt;&gt;"",INDEX(Parties!$E$5:$E$304,R1221)&lt;&gt;HomeState),0,ROUND(K1221*L1221/2,2))),"")</f>
        <v/>
      </c>
      <c r="N1221" s="61" t="str">
        <f aca="false">IF(IsPro,IF($D1221="","",M1221),"")</f>
        <v/>
      </c>
      <c r="O1221" s="61" t="str">
        <f aca="false">IF(IsPro,IF($D1221="","",IF(AND(R1221&lt;&gt;"",INDEX(Parties!$E$5:$E$304,R1221)&lt;&gt;"",INDEX(Parties!$E$5:$E$304,R1221)&lt;&gt;HomeState),ROUND(K1221*L1221,2),0)),"")</f>
        <v/>
      </c>
      <c r="P1221" s="61" t="str">
        <f aca="false">IF(IsPro,IF($D1221="","",K1221+M1221+N1221+O1221),"")</f>
        <v/>
      </c>
      <c r="Q1221" s="60" t="str">
        <f aca="false">IF(IsPro,IF($D1221="","",IFERROR(MATCH($D1221,Items!$A$5:$A$504,0),"")),"")</f>
        <v/>
      </c>
      <c r="R1221" s="60" t="str">
        <f aca="false">IF(IsPro,IF($C1221="","",IFERROR(MATCH($C1221,Parties!$A$5:$A$304,0),"")),"")</f>
        <v/>
      </c>
      <c r="S1221" s="61" t="str">
        <f aca="false">IF(IsPro,IF($D1221="","",IF(OR($H1221="",$H1221="Credit"),0,P1221)),"")</f>
        <v/>
      </c>
    </row>
    <row r="1222" customFormat="false" ht="15" hidden="false" customHeight="false" outlineLevel="0" collapsed="false">
      <c r="A1222" s="55"/>
      <c r="B1222" s="56"/>
      <c r="C1222" s="56"/>
      <c r="D1222" s="56"/>
      <c r="E1222" s="57"/>
      <c r="F1222" s="58"/>
      <c r="G1222" s="59"/>
      <c r="H1222" s="56"/>
      <c r="I1222" s="60" t="str">
        <f aca="false">IF(IsPro,IF($D1222="","",IFERROR(INDEX(Items!$D$5:$D$504,Q1222),"")),IF($D1222="","","PRO PLAN"))</f>
        <v/>
      </c>
      <c r="J1222" s="61" t="str">
        <f aca="false">IF(IsPro,IF($D1222="","",IF($F1222="",IFERROR(INDEX(Items!$G$5:$G$504,Q1222),0),$F1222)),"")</f>
        <v/>
      </c>
      <c r="K1222" s="61" t="str">
        <f aca="false">IF(IsPro,IF($D1222="","",ROUND(N($E1222)*J1222*(1-N($G1222)),2)),"")</f>
        <v/>
      </c>
      <c r="L1222" s="62" t="str">
        <f aca="false">IF(IsPro,IF($D1222="","",IFERROR(INDEX(Items!$F$5:$F$504,Q1222),0)),"")</f>
        <v/>
      </c>
      <c r="M1222" s="61" t="str">
        <f aca="false">IF(IsPro,IF($D1222="","",IF(AND(R1222&lt;&gt;"",INDEX(Parties!$E$5:$E$304,R1222)&lt;&gt;"",INDEX(Parties!$E$5:$E$304,R1222)&lt;&gt;HomeState),0,ROUND(K1222*L1222/2,2))),"")</f>
        <v/>
      </c>
      <c r="N1222" s="61" t="str">
        <f aca="false">IF(IsPro,IF($D1222="","",M1222),"")</f>
        <v/>
      </c>
      <c r="O1222" s="61" t="str">
        <f aca="false">IF(IsPro,IF($D1222="","",IF(AND(R1222&lt;&gt;"",INDEX(Parties!$E$5:$E$304,R1222)&lt;&gt;"",INDEX(Parties!$E$5:$E$304,R1222)&lt;&gt;HomeState),ROUND(K1222*L1222,2),0)),"")</f>
        <v/>
      </c>
      <c r="P1222" s="61" t="str">
        <f aca="false">IF(IsPro,IF($D1222="","",K1222+M1222+N1222+O1222),"")</f>
        <v/>
      </c>
      <c r="Q1222" s="60" t="str">
        <f aca="false">IF(IsPro,IF($D1222="","",IFERROR(MATCH($D1222,Items!$A$5:$A$504,0),"")),"")</f>
        <v/>
      </c>
      <c r="R1222" s="60" t="str">
        <f aca="false">IF(IsPro,IF($C1222="","",IFERROR(MATCH($C1222,Parties!$A$5:$A$304,0),"")),"")</f>
        <v/>
      </c>
      <c r="S1222" s="61" t="str">
        <f aca="false">IF(IsPro,IF($D1222="","",IF(OR($H1222="",$H1222="Credit"),0,P1222)),"")</f>
        <v/>
      </c>
    </row>
    <row r="1223" customFormat="false" ht="15" hidden="false" customHeight="false" outlineLevel="0" collapsed="false">
      <c r="A1223" s="55"/>
      <c r="B1223" s="56"/>
      <c r="C1223" s="56"/>
      <c r="D1223" s="56"/>
      <c r="E1223" s="57"/>
      <c r="F1223" s="58"/>
      <c r="G1223" s="59"/>
      <c r="H1223" s="56"/>
      <c r="I1223" s="60" t="str">
        <f aca="false">IF(IsPro,IF($D1223="","",IFERROR(INDEX(Items!$D$5:$D$504,Q1223),"")),IF($D1223="","","PRO PLAN"))</f>
        <v/>
      </c>
      <c r="J1223" s="61" t="str">
        <f aca="false">IF(IsPro,IF($D1223="","",IF($F1223="",IFERROR(INDEX(Items!$G$5:$G$504,Q1223),0),$F1223)),"")</f>
        <v/>
      </c>
      <c r="K1223" s="61" t="str">
        <f aca="false">IF(IsPro,IF($D1223="","",ROUND(N($E1223)*J1223*(1-N($G1223)),2)),"")</f>
        <v/>
      </c>
      <c r="L1223" s="62" t="str">
        <f aca="false">IF(IsPro,IF($D1223="","",IFERROR(INDEX(Items!$F$5:$F$504,Q1223),0)),"")</f>
        <v/>
      </c>
      <c r="M1223" s="61" t="str">
        <f aca="false">IF(IsPro,IF($D1223="","",IF(AND(R1223&lt;&gt;"",INDEX(Parties!$E$5:$E$304,R1223)&lt;&gt;"",INDEX(Parties!$E$5:$E$304,R1223)&lt;&gt;HomeState),0,ROUND(K1223*L1223/2,2))),"")</f>
        <v/>
      </c>
      <c r="N1223" s="61" t="str">
        <f aca="false">IF(IsPro,IF($D1223="","",M1223),"")</f>
        <v/>
      </c>
      <c r="O1223" s="61" t="str">
        <f aca="false">IF(IsPro,IF($D1223="","",IF(AND(R1223&lt;&gt;"",INDEX(Parties!$E$5:$E$304,R1223)&lt;&gt;"",INDEX(Parties!$E$5:$E$304,R1223)&lt;&gt;HomeState),ROUND(K1223*L1223,2),0)),"")</f>
        <v/>
      </c>
      <c r="P1223" s="61" t="str">
        <f aca="false">IF(IsPro,IF($D1223="","",K1223+M1223+N1223+O1223),"")</f>
        <v/>
      </c>
      <c r="Q1223" s="60" t="str">
        <f aca="false">IF(IsPro,IF($D1223="","",IFERROR(MATCH($D1223,Items!$A$5:$A$504,0),"")),"")</f>
        <v/>
      </c>
      <c r="R1223" s="60" t="str">
        <f aca="false">IF(IsPro,IF($C1223="","",IFERROR(MATCH($C1223,Parties!$A$5:$A$304,0),"")),"")</f>
        <v/>
      </c>
      <c r="S1223" s="61" t="str">
        <f aca="false">IF(IsPro,IF($D1223="","",IF(OR($H1223="",$H1223="Credit"),0,P1223)),"")</f>
        <v/>
      </c>
    </row>
    <row r="1224" customFormat="false" ht="15" hidden="false" customHeight="false" outlineLevel="0" collapsed="false">
      <c r="A1224" s="55"/>
      <c r="B1224" s="56"/>
      <c r="C1224" s="56"/>
      <c r="D1224" s="56"/>
      <c r="E1224" s="57"/>
      <c r="F1224" s="58"/>
      <c r="G1224" s="59"/>
      <c r="H1224" s="56"/>
      <c r="I1224" s="60" t="str">
        <f aca="false">IF(IsPro,IF($D1224="","",IFERROR(INDEX(Items!$D$5:$D$504,Q1224),"")),IF($D1224="","","PRO PLAN"))</f>
        <v/>
      </c>
      <c r="J1224" s="61" t="str">
        <f aca="false">IF(IsPro,IF($D1224="","",IF($F1224="",IFERROR(INDEX(Items!$G$5:$G$504,Q1224),0),$F1224)),"")</f>
        <v/>
      </c>
      <c r="K1224" s="61" t="str">
        <f aca="false">IF(IsPro,IF($D1224="","",ROUND(N($E1224)*J1224*(1-N($G1224)),2)),"")</f>
        <v/>
      </c>
      <c r="L1224" s="62" t="str">
        <f aca="false">IF(IsPro,IF($D1224="","",IFERROR(INDEX(Items!$F$5:$F$504,Q1224),0)),"")</f>
        <v/>
      </c>
      <c r="M1224" s="61" t="str">
        <f aca="false">IF(IsPro,IF($D1224="","",IF(AND(R1224&lt;&gt;"",INDEX(Parties!$E$5:$E$304,R1224)&lt;&gt;"",INDEX(Parties!$E$5:$E$304,R1224)&lt;&gt;HomeState),0,ROUND(K1224*L1224/2,2))),"")</f>
        <v/>
      </c>
      <c r="N1224" s="61" t="str">
        <f aca="false">IF(IsPro,IF($D1224="","",M1224),"")</f>
        <v/>
      </c>
      <c r="O1224" s="61" t="str">
        <f aca="false">IF(IsPro,IF($D1224="","",IF(AND(R1224&lt;&gt;"",INDEX(Parties!$E$5:$E$304,R1224)&lt;&gt;"",INDEX(Parties!$E$5:$E$304,R1224)&lt;&gt;HomeState),ROUND(K1224*L1224,2),0)),"")</f>
        <v/>
      </c>
      <c r="P1224" s="61" t="str">
        <f aca="false">IF(IsPro,IF($D1224="","",K1224+M1224+N1224+O1224),"")</f>
        <v/>
      </c>
      <c r="Q1224" s="60" t="str">
        <f aca="false">IF(IsPro,IF($D1224="","",IFERROR(MATCH($D1224,Items!$A$5:$A$504,0),"")),"")</f>
        <v/>
      </c>
      <c r="R1224" s="60" t="str">
        <f aca="false">IF(IsPro,IF($C1224="","",IFERROR(MATCH($C1224,Parties!$A$5:$A$304,0),"")),"")</f>
        <v/>
      </c>
      <c r="S1224" s="61" t="str">
        <f aca="false">IF(IsPro,IF($D1224="","",IF(OR($H1224="",$H1224="Credit"),0,P1224)),"")</f>
        <v/>
      </c>
    </row>
    <row r="1225" customFormat="false" ht="15" hidden="false" customHeight="false" outlineLevel="0" collapsed="false">
      <c r="A1225" s="55"/>
      <c r="B1225" s="56"/>
      <c r="C1225" s="56"/>
      <c r="D1225" s="56"/>
      <c r="E1225" s="57"/>
      <c r="F1225" s="58"/>
      <c r="G1225" s="59"/>
      <c r="H1225" s="56"/>
      <c r="I1225" s="60" t="str">
        <f aca="false">IF(IsPro,IF($D1225="","",IFERROR(INDEX(Items!$D$5:$D$504,Q1225),"")),IF($D1225="","","PRO PLAN"))</f>
        <v/>
      </c>
      <c r="J1225" s="61" t="str">
        <f aca="false">IF(IsPro,IF($D1225="","",IF($F1225="",IFERROR(INDEX(Items!$G$5:$G$504,Q1225),0),$F1225)),"")</f>
        <v/>
      </c>
      <c r="K1225" s="61" t="str">
        <f aca="false">IF(IsPro,IF($D1225="","",ROUND(N($E1225)*J1225*(1-N($G1225)),2)),"")</f>
        <v/>
      </c>
      <c r="L1225" s="62" t="str">
        <f aca="false">IF(IsPro,IF($D1225="","",IFERROR(INDEX(Items!$F$5:$F$504,Q1225),0)),"")</f>
        <v/>
      </c>
      <c r="M1225" s="61" t="str">
        <f aca="false">IF(IsPro,IF($D1225="","",IF(AND(R1225&lt;&gt;"",INDEX(Parties!$E$5:$E$304,R1225)&lt;&gt;"",INDEX(Parties!$E$5:$E$304,R1225)&lt;&gt;HomeState),0,ROUND(K1225*L1225/2,2))),"")</f>
        <v/>
      </c>
      <c r="N1225" s="61" t="str">
        <f aca="false">IF(IsPro,IF($D1225="","",M1225),"")</f>
        <v/>
      </c>
      <c r="O1225" s="61" t="str">
        <f aca="false">IF(IsPro,IF($D1225="","",IF(AND(R1225&lt;&gt;"",INDEX(Parties!$E$5:$E$304,R1225)&lt;&gt;"",INDEX(Parties!$E$5:$E$304,R1225)&lt;&gt;HomeState),ROUND(K1225*L1225,2),0)),"")</f>
        <v/>
      </c>
      <c r="P1225" s="61" t="str">
        <f aca="false">IF(IsPro,IF($D1225="","",K1225+M1225+N1225+O1225),"")</f>
        <v/>
      </c>
      <c r="Q1225" s="60" t="str">
        <f aca="false">IF(IsPro,IF($D1225="","",IFERROR(MATCH($D1225,Items!$A$5:$A$504,0),"")),"")</f>
        <v/>
      </c>
      <c r="R1225" s="60" t="str">
        <f aca="false">IF(IsPro,IF($C1225="","",IFERROR(MATCH($C1225,Parties!$A$5:$A$304,0),"")),"")</f>
        <v/>
      </c>
      <c r="S1225" s="61" t="str">
        <f aca="false">IF(IsPro,IF($D1225="","",IF(OR($H1225="",$H1225="Credit"),0,P1225)),"")</f>
        <v/>
      </c>
    </row>
    <row r="1226" customFormat="false" ht="15" hidden="false" customHeight="false" outlineLevel="0" collapsed="false">
      <c r="A1226" s="55"/>
      <c r="B1226" s="56"/>
      <c r="C1226" s="56"/>
      <c r="D1226" s="56"/>
      <c r="E1226" s="57"/>
      <c r="F1226" s="58"/>
      <c r="G1226" s="59"/>
      <c r="H1226" s="56"/>
      <c r="I1226" s="60" t="str">
        <f aca="false">IF(IsPro,IF($D1226="","",IFERROR(INDEX(Items!$D$5:$D$504,Q1226),"")),IF($D1226="","","PRO PLAN"))</f>
        <v/>
      </c>
      <c r="J1226" s="61" t="str">
        <f aca="false">IF(IsPro,IF($D1226="","",IF($F1226="",IFERROR(INDEX(Items!$G$5:$G$504,Q1226),0),$F1226)),"")</f>
        <v/>
      </c>
      <c r="K1226" s="61" t="str">
        <f aca="false">IF(IsPro,IF($D1226="","",ROUND(N($E1226)*J1226*(1-N($G1226)),2)),"")</f>
        <v/>
      </c>
      <c r="L1226" s="62" t="str">
        <f aca="false">IF(IsPro,IF($D1226="","",IFERROR(INDEX(Items!$F$5:$F$504,Q1226),0)),"")</f>
        <v/>
      </c>
      <c r="M1226" s="61" t="str">
        <f aca="false">IF(IsPro,IF($D1226="","",IF(AND(R1226&lt;&gt;"",INDEX(Parties!$E$5:$E$304,R1226)&lt;&gt;"",INDEX(Parties!$E$5:$E$304,R1226)&lt;&gt;HomeState),0,ROUND(K1226*L1226/2,2))),"")</f>
        <v/>
      </c>
      <c r="N1226" s="61" t="str">
        <f aca="false">IF(IsPro,IF($D1226="","",M1226),"")</f>
        <v/>
      </c>
      <c r="O1226" s="61" t="str">
        <f aca="false">IF(IsPro,IF($D1226="","",IF(AND(R1226&lt;&gt;"",INDEX(Parties!$E$5:$E$304,R1226)&lt;&gt;"",INDEX(Parties!$E$5:$E$304,R1226)&lt;&gt;HomeState),ROUND(K1226*L1226,2),0)),"")</f>
        <v/>
      </c>
      <c r="P1226" s="61" t="str">
        <f aca="false">IF(IsPro,IF($D1226="","",K1226+M1226+N1226+O1226),"")</f>
        <v/>
      </c>
      <c r="Q1226" s="60" t="str">
        <f aca="false">IF(IsPro,IF($D1226="","",IFERROR(MATCH($D1226,Items!$A$5:$A$504,0),"")),"")</f>
        <v/>
      </c>
      <c r="R1226" s="60" t="str">
        <f aca="false">IF(IsPro,IF($C1226="","",IFERROR(MATCH($C1226,Parties!$A$5:$A$304,0),"")),"")</f>
        <v/>
      </c>
      <c r="S1226" s="61" t="str">
        <f aca="false">IF(IsPro,IF($D1226="","",IF(OR($H1226="",$H1226="Credit"),0,P1226)),"")</f>
        <v/>
      </c>
    </row>
    <row r="1227" customFormat="false" ht="15" hidden="false" customHeight="false" outlineLevel="0" collapsed="false">
      <c r="A1227" s="55"/>
      <c r="B1227" s="56"/>
      <c r="C1227" s="56"/>
      <c r="D1227" s="56"/>
      <c r="E1227" s="57"/>
      <c r="F1227" s="58"/>
      <c r="G1227" s="59"/>
      <c r="H1227" s="56"/>
      <c r="I1227" s="60" t="str">
        <f aca="false">IF(IsPro,IF($D1227="","",IFERROR(INDEX(Items!$D$5:$D$504,Q1227),"")),IF($D1227="","","PRO PLAN"))</f>
        <v/>
      </c>
      <c r="J1227" s="61" t="str">
        <f aca="false">IF(IsPro,IF($D1227="","",IF($F1227="",IFERROR(INDEX(Items!$G$5:$G$504,Q1227),0),$F1227)),"")</f>
        <v/>
      </c>
      <c r="K1227" s="61" t="str">
        <f aca="false">IF(IsPro,IF($D1227="","",ROUND(N($E1227)*J1227*(1-N($G1227)),2)),"")</f>
        <v/>
      </c>
      <c r="L1227" s="62" t="str">
        <f aca="false">IF(IsPro,IF($D1227="","",IFERROR(INDEX(Items!$F$5:$F$504,Q1227),0)),"")</f>
        <v/>
      </c>
      <c r="M1227" s="61" t="str">
        <f aca="false">IF(IsPro,IF($D1227="","",IF(AND(R1227&lt;&gt;"",INDEX(Parties!$E$5:$E$304,R1227)&lt;&gt;"",INDEX(Parties!$E$5:$E$304,R1227)&lt;&gt;HomeState),0,ROUND(K1227*L1227/2,2))),"")</f>
        <v/>
      </c>
      <c r="N1227" s="61" t="str">
        <f aca="false">IF(IsPro,IF($D1227="","",M1227),"")</f>
        <v/>
      </c>
      <c r="O1227" s="61" t="str">
        <f aca="false">IF(IsPro,IF($D1227="","",IF(AND(R1227&lt;&gt;"",INDEX(Parties!$E$5:$E$304,R1227)&lt;&gt;"",INDEX(Parties!$E$5:$E$304,R1227)&lt;&gt;HomeState),ROUND(K1227*L1227,2),0)),"")</f>
        <v/>
      </c>
      <c r="P1227" s="61" t="str">
        <f aca="false">IF(IsPro,IF($D1227="","",K1227+M1227+N1227+O1227),"")</f>
        <v/>
      </c>
      <c r="Q1227" s="60" t="str">
        <f aca="false">IF(IsPro,IF($D1227="","",IFERROR(MATCH($D1227,Items!$A$5:$A$504,0),"")),"")</f>
        <v/>
      </c>
      <c r="R1227" s="60" t="str">
        <f aca="false">IF(IsPro,IF($C1227="","",IFERROR(MATCH($C1227,Parties!$A$5:$A$304,0),"")),"")</f>
        <v/>
      </c>
      <c r="S1227" s="61" t="str">
        <f aca="false">IF(IsPro,IF($D1227="","",IF(OR($H1227="",$H1227="Credit"),0,P1227)),"")</f>
        <v/>
      </c>
    </row>
    <row r="1228" customFormat="false" ht="15" hidden="false" customHeight="false" outlineLevel="0" collapsed="false">
      <c r="A1228" s="55"/>
      <c r="B1228" s="56"/>
      <c r="C1228" s="56"/>
      <c r="D1228" s="56"/>
      <c r="E1228" s="57"/>
      <c r="F1228" s="58"/>
      <c r="G1228" s="59"/>
      <c r="H1228" s="56"/>
      <c r="I1228" s="60" t="str">
        <f aca="false">IF(IsPro,IF($D1228="","",IFERROR(INDEX(Items!$D$5:$D$504,Q1228),"")),IF($D1228="","","PRO PLAN"))</f>
        <v/>
      </c>
      <c r="J1228" s="61" t="str">
        <f aca="false">IF(IsPro,IF($D1228="","",IF($F1228="",IFERROR(INDEX(Items!$G$5:$G$504,Q1228),0),$F1228)),"")</f>
        <v/>
      </c>
      <c r="K1228" s="61" t="str">
        <f aca="false">IF(IsPro,IF($D1228="","",ROUND(N($E1228)*J1228*(1-N($G1228)),2)),"")</f>
        <v/>
      </c>
      <c r="L1228" s="62" t="str">
        <f aca="false">IF(IsPro,IF($D1228="","",IFERROR(INDEX(Items!$F$5:$F$504,Q1228),0)),"")</f>
        <v/>
      </c>
      <c r="M1228" s="61" t="str">
        <f aca="false">IF(IsPro,IF($D1228="","",IF(AND(R1228&lt;&gt;"",INDEX(Parties!$E$5:$E$304,R1228)&lt;&gt;"",INDEX(Parties!$E$5:$E$304,R1228)&lt;&gt;HomeState),0,ROUND(K1228*L1228/2,2))),"")</f>
        <v/>
      </c>
      <c r="N1228" s="61" t="str">
        <f aca="false">IF(IsPro,IF($D1228="","",M1228),"")</f>
        <v/>
      </c>
      <c r="O1228" s="61" t="str">
        <f aca="false">IF(IsPro,IF($D1228="","",IF(AND(R1228&lt;&gt;"",INDEX(Parties!$E$5:$E$304,R1228)&lt;&gt;"",INDEX(Parties!$E$5:$E$304,R1228)&lt;&gt;HomeState),ROUND(K1228*L1228,2),0)),"")</f>
        <v/>
      </c>
      <c r="P1228" s="61" t="str">
        <f aca="false">IF(IsPro,IF($D1228="","",K1228+M1228+N1228+O1228),"")</f>
        <v/>
      </c>
      <c r="Q1228" s="60" t="str">
        <f aca="false">IF(IsPro,IF($D1228="","",IFERROR(MATCH($D1228,Items!$A$5:$A$504,0),"")),"")</f>
        <v/>
      </c>
      <c r="R1228" s="60" t="str">
        <f aca="false">IF(IsPro,IF($C1228="","",IFERROR(MATCH($C1228,Parties!$A$5:$A$304,0),"")),"")</f>
        <v/>
      </c>
      <c r="S1228" s="61" t="str">
        <f aca="false">IF(IsPro,IF($D1228="","",IF(OR($H1228="",$H1228="Credit"),0,P1228)),"")</f>
        <v/>
      </c>
    </row>
    <row r="1229" customFormat="false" ht="15" hidden="false" customHeight="false" outlineLevel="0" collapsed="false">
      <c r="A1229" s="55"/>
      <c r="B1229" s="56"/>
      <c r="C1229" s="56"/>
      <c r="D1229" s="56"/>
      <c r="E1229" s="57"/>
      <c r="F1229" s="58"/>
      <c r="G1229" s="59"/>
      <c r="H1229" s="56"/>
      <c r="I1229" s="60" t="str">
        <f aca="false">IF(IsPro,IF($D1229="","",IFERROR(INDEX(Items!$D$5:$D$504,Q1229),"")),IF($D1229="","","PRO PLAN"))</f>
        <v/>
      </c>
      <c r="J1229" s="61" t="str">
        <f aca="false">IF(IsPro,IF($D1229="","",IF($F1229="",IFERROR(INDEX(Items!$G$5:$G$504,Q1229),0),$F1229)),"")</f>
        <v/>
      </c>
      <c r="K1229" s="61" t="str">
        <f aca="false">IF(IsPro,IF($D1229="","",ROUND(N($E1229)*J1229*(1-N($G1229)),2)),"")</f>
        <v/>
      </c>
      <c r="L1229" s="62" t="str">
        <f aca="false">IF(IsPro,IF($D1229="","",IFERROR(INDEX(Items!$F$5:$F$504,Q1229),0)),"")</f>
        <v/>
      </c>
      <c r="M1229" s="61" t="str">
        <f aca="false">IF(IsPro,IF($D1229="","",IF(AND(R1229&lt;&gt;"",INDEX(Parties!$E$5:$E$304,R1229)&lt;&gt;"",INDEX(Parties!$E$5:$E$304,R1229)&lt;&gt;HomeState),0,ROUND(K1229*L1229/2,2))),"")</f>
        <v/>
      </c>
      <c r="N1229" s="61" t="str">
        <f aca="false">IF(IsPro,IF($D1229="","",M1229),"")</f>
        <v/>
      </c>
      <c r="O1229" s="61" t="str">
        <f aca="false">IF(IsPro,IF($D1229="","",IF(AND(R1229&lt;&gt;"",INDEX(Parties!$E$5:$E$304,R1229)&lt;&gt;"",INDEX(Parties!$E$5:$E$304,R1229)&lt;&gt;HomeState),ROUND(K1229*L1229,2),0)),"")</f>
        <v/>
      </c>
      <c r="P1229" s="61" t="str">
        <f aca="false">IF(IsPro,IF($D1229="","",K1229+M1229+N1229+O1229),"")</f>
        <v/>
      </c>
      <c r="Q1229" s="60" t="str">
        <f aca="false">IF(IsPro,IF($D1229="","",IFERROR(MATCH($D1229,Items!$A$5:$A$504,0),"")),"")</f>
        <v/>
      </c>
      <c r="R1229" s="60" t="str">
        <f aca="false">IF(IsPro,IF($C1229="","",IFERROR(MATCH($C1229,Parties!$A$5:$A$304,0),"")),"")</f>
        <v/>
      </c>
      <c r="S1229" s="61" t="str">
        <f aca="false">IF(IsPro,IF($D1229="","",IF(OR($H1229="",$H1229="Credit"),0,P1229)),"")</f>
        <v/>
      </c>
    </row>
    <row r="1230" customFormat="false" ht="15" hidden="false" customHeight="false" outlineLevel="0" collapsed="false">
      <c r="A1230" s="55"/>
      <c r="B1230" s="56"/>
      <c r="C1230" s="56"/>
      <c r="D1230" s="56"/>
      <c r="E1230" s="57"/>
      <c r="F1230" s="58"/>
      <c r="G1230" s="59"/>
      <c r="H1230" s="56"/>
      <c r="I1230" s="60" t="str">
        <f aca="false">IF(IsPro,IF($D1230="","",IFERROR(INDEX(Items!$D$5:$D$504,Q1230),"")),IF($D1230="","","PRO PLAN"))</f>
        <v/>
      </c>
      <c r="J1230" s="61" t="str">
        <f aca="false">IF(IsPro,IF($D1230="","",IF($F1230="",IFERROR(INDEX(Items!$G$5:$G$504,Q1230),0),$F1230)),"")</f>
        <v/>
      </c>
      <c r="K1230" s="61" t="str">
        <f aca="false">IF(IsPro,IF($D1230="","",ROUND(N($E1230)*J1230*(1-N($G1230)),2)),"")</f>
        <v/>
      </c>
      <c r="L1230" s="62" t="str">
        <f aca="false">IF(IsPro,IF($D1230="","",IFERROR(INDEX(Items!$F$5:$F$504,Q1230),0)),"")</f>
        <v/>
      </c>
      <c r="M1230" s="61" t="str">
        <f aca="false">IF(IsPro,IF($D1230="","",IF(AND(R1230&lt;&gt;"",INDEX(Parties!$E$5:$E$304,R1230)&lt;&gt;"",INDEX(Parties!$E$5:$E$304,R1230)&lt;&gt;HomeState),0,ROUND(K1230*L1230/2,2))),"")</f>
        <v/>
      </c>
      <c r="N1230" s="61" t="str">
        <f aca="false">IF(IsPro,IF($D1230="","",M1230),"")</f>
        <v/>
      </c>
      <c r="O1230" s="61" t="str">
        <f aca="false">IF(IsPro,IF($D1230="","",IF(AND(R1230&lt;&gt;"",INDEX(Parties!$E$5:$E$304,R1230)&lt;&gt;"",INDEX(Parties!$E$5:$E$304,R1230)&lt;&gt;HomeState),ROUND(K1230*L1230,2),0)),"")</f>
        <v/>
      </c>
      <c r="P1230" s="61" t="str">
        <f aca="false">IF(IsPro,IF($D1230="","",K1230+M1230+N1230+O1230),"")</f>
        <v/>
      </c>
      <c r="Q1230" s="60" t="str">
        <f aca="false">IF(IsPro,IF($D1230="","",IFERROR(MATCH($D1230,Items!$A$5:$A$504,0),"")),"")</f>
        <v/>
      </c>
      <c r="R1230" s="60" t="str">
        <f aca="false">IF(IsPro,IF($C1230="","",IFERROR(MATCH($C1230,Parties!$A$5:$A$304,0),"")),"")</f>
        <v/>
      </c>
      <c r="S1230" s="61" t="str">
        <f aca="false">IF(IsPro,IF($D1230="","",IF(OR($H1230="",$H1230="Credit"),0,P1230)),"")</f>
        <v/>
      </c>
    </row>
    <row r="1231" customFormat="false" ht="15" hidden="false" customHeight="false" outlineLevel="0" collapsed="false">
      <c r="A1231" s="55"/>
      <c r="B1231" s="56"/>
      <c r="C1231" s="56"/>
      <c r="D1231" s="56"/>
      <c r="E1231" s="57"/>
      <c r="F1231" s="58"/>
      <c r="G1231" s="59"/>
      <c r="H1231" s="56"/>
      <c r="I1231" s="60" t="str">
        <f aca="false">IF(IsPro,IF($D1231="","",IFERROR(INDEX(Items!$D$5:$D$504,Q1231),"")),IF($D1231="","","PRO PLAN"))</f>
        <v/>
      </c>
      <c r="J1231" s="61" t="str">
        <f aca="false">IF(IsPro,IF($D1231="","",IF($F1231="",IFERROR(INDEX(Items!$G$5:$G$504,Q1231),0),$F1231)),"")</f>
        <v/>
      </c>
      <c r="K1231" s="61" t="str">
        <f aca="false">IF(IsPro,IF($D1231="","",ROUND(N($E1231)*J1231*(1-N($G1231)),2)),"")</f>
        <v/>
      </c>
      <c r="L1231" s="62" t="str">
        <f aca="false">IF(IsPro,IF($D1231="","",IFERROR(INDEX(Items!$F$5:$F$504,Q1231),0)),"")</f>
        <v/>
      </c>
      <c r="M1231" s="61" t="str">
        <f aca="false">IF(IsPro,IF($D1231="","",IF(AND(R1231&lt;&gt;"",INDEX(Parties!$E$5:$E$304,R1231)&lt;&gt;"",INDEX(Parties!$E$5:$E$304,R1231)&lt;&gt;HomeState),0,ROUND(K1231*L1231/2,2))),"")</f>
        <v/>
      </c>
      <c r="N1231" s="61" t="str">
        <f aca="false">IF(IsPro,IF($D1231="","",M1231),"")</f>
        <v/>
      </c>
      <c r="O1231" s="61" t="str">
        <f aca="false">IF(IsPro,IF($D1231="","",IF(AND(R1231&lt;&gt;"",INDEX(Parties!$E$5:$E$304,R1231)&lt;&gt;"",INDEX(Parties!$E$5:$E$304,R1231)&lt;&gt;HomeState),ROUND(K1231*L1231,2),0)),"")</f>
        <v/>
      </c>
      <c r="P1231" s="61" t="str">
        <f aca="false">IF(IsPro,IF($D1231="","",K1231+M1231+N1231+O1231),"")</f>
        <v/>
      </c>
      <c r="Q1231" s="60" t="str">
        <f aca="false">IF(IsPro,IF($D1231="","",IFERROR(MATCH($D1231,Items!$A$5:$A$504,0),"")),"")</f>
        <v/>
      </c>
      <c r="R1231" s="60" t="str">
        <f aca="false">IF(IsPro,IF($C1231="","",IFERROR(MATCH($C1231,Parties!$A$5:$A$304,0),"")),"")</f>
        <v/>
      </c>
      <c r="S1231" s="61" t="str">
        <f aca="false">IF(IsPro,IF($D1231="","",IF(OR($H1231="",$H1231="Credit"),0,P1231)),"")</f>
        <v/>
      </c>
    </row>
    <row r="1232" customFormat="false" ht="15" hidden="false" customHeight="false" outlineLevel="0" collapsed="false">
      <c r="A1232" s="55"/>
      <c r="B1232" s="56"/>
      <c r="C1232" s="56"/>
      <c r="D1232" s="56"/>
      <c r="E1232" s="57"/>
      <c r="F1232" s="58"/>
      <c r="G1232" s="59"/>
      <c r="H1232" s="56"/>
      <c r="I1232" s="60" t="str">
        <f aca="false">IF(IsPro,IF($D1232="","",IFERROR(INDEX(Items!$D$5:$D$504,Q1232),"")),IF($D1232="","","PRO PLAN"))</f>
        <v/>
      </c>
      <c r="J1232" s="61" t="str">
        <f aca="false">IF(IsPro,IF($D1232="","",IF($F1232="",IFERROR(INDEX(Items!$G$5:$G$504,Q1232),0),$F1232)),"")</f>
        <v/>
      </c>
      <c r="K1232" s="61" t="str">
        <f aca="false">IF(IsPro,IF($D1232="","",ROUND(N($E1232)*J1232*(1-N($G1232)),2)),"")</f>
        <v/>
      </c>
      <c r="L1232" s="62" t="str">
        <f aca="false">IF(IsPro,IF($D1232="","",IFERROR(INDEX(Items!$F$5:$F$504,Q1232),0)),"")</f>
        <v/>
      </c>
      <c r="M1232" s="61" t="str">
        <f aca="false">IF(IsPro,IF($D1232="","",IF(AND(R1232&lt;&gt;"",INDEX(Parties!$E$5:$E$304,R1232)&lt;&gt;"",INDEX(Parties!$E$5:$E$304,R1232)&lt;&gt;HomeState),0,ROUND(K1232*L1232/2,2))),"")</f>
        <v/>
      </c>
      <c r="N1232" s="61" t="str">
        <f aca="false">IF(IsPro,IF($D1232="","",M1232),"")</f>
        <v/>
      </c>
      <c r="O1232" s="61" t="str">
        <f aca="false">IF(IsPro,IF($D1232="","",IF(AND(R1232&lt;&gt;"",INDEX(Parties!$E$5:$E$304,R1232)&lt;&gt;"",INDEX(Parties!$E$5:$E$304,R1232)&lt;&gt;HomeState),ROUND(K1232*L1232,2),0)),"")</f>
        <v/>
      </c>
      <c r="P1232" s="61" t="str">
        <f aca="false">IF(IsPro,IF($D1232="","",K1232+M1232+N1232+O1232),"")</f>
        <v/>
      </c>
      <c r="Q1232" s="60" t="str">
        <f aca="false">IF(IsPro,IF($D1232="","",IFERROR(MATCH($D1232,Items!$A$5:$A$504,0),"")),"")</f>
        <v/>
      </c>
      <c r="R1232" s="60" t="str">
        <f aca="false">IF(IsPro,IF($C1232="","",IFERROR(MATCH($C1232,Parties!$A$5:$A$304,0),"")),"")</f>
        <v/>
      </c>
      <c r="S1232" s="61" t="str">
        <f aca="false">IF(IsPro,IF($D1232="","",IF(OR($H1232="",$H1232="Credit"),0,P1232)),"")</f>
        <v/>
      </c>
    </row>
    <row r="1233" customFormat="false" ht="15" hidden="false" customHeight="false" outlineLevel="0" collapsed="false">
      <c r="A1233" s="55"/>
      <c r="B1233" s="56"/>
      <c r="C1233" s="56"/>
      <c r="D1233" s="56"/>
      <c r="E1233" s="57"/>
      <c r="F1233" s="58"/>
      <c r="G1233" s="59"/>
      <c r="H1233" s="56"/>
      <c r="I1233" s="60" t="str">
        <f aca="false">IF(IsPro,IF($D1233="","",IFERROR(INDEX(Items!$D$5:$D$504,Q1233),"")),IF($D1233="","","PRO PLAN"))</f>
        <v/>
      </c>
      <c r="J1233" s="61" t="str">
        <f aca="false">IF(IsPro,IF($D1233="","",IF($F1233="",IFERROR(INDEX(Items!$G$5:$G$504,Q1233),0),$F1233)),"")</f>
        <v/>
      </c>
      <c r="K1233" s="61" t="str">
        <f aca="false">IF(IsPro,IF($D1233="","",ROUND(N($E1233)*J1233*(1-N($G1233)),2)),"")</f>
        <v/>
      </c>
      <c r="L1233" s="62" t="str">
        <f aca="false">IF(IsPro,IF($D1233="","",IFERROR(INDEX(Items!$F$5:$F$504,Q1233),0)),"")</f>
        <v/>
      </c>
      <c r="M1233" s="61" t="str">
        <f aca="false">IF(IsPro,IF($D1233="","",IF(AND(R1233&lt;&gt;"",INDEX(Parties!$E$5:$E$304,R1233)&lt;&gt;"",INDEX(Parties!$E$5:$E$304,R1233)&lt;&gt;HomeState),0,ROUND(K1233*L1233/2,2))),"")</f>
        <v/>
      </c>
      <c r="N1233" s="61" t="str">
        <f aca="false">IF(IsPro,IF($D1233="","",M1233),"")</f>
        <v/>
      </c>
      <c r="O1233" s="61" t="str">
        <f aca="false">IF(IsPro,IF($D1233="","",IF(AND(R1233&lt;&gt;"",INDEX(Parties!$E$5:$E$304,R1233)&lt;&gt;"",INDEX(Parties!$E$5:$E$304,R1233)&lt;&gt;HomeState),ROUND(K1233*L1233,2),0)),"")</f>
        <v/>
      </c>
      <c r="P1233" s="61" t="str">
        <f aca="false">IF(IsPro,IF($D1233="","",K1233+M1233+N1233+O1233),"")</f>
        <v/>
      </c>
      <c r="Q1233" s="60" t="str">
        <f aca="false">IF(IsPro,IF($D1233="","",IFERROR(MATCH($D1233,Items!$A$5:$A$504,0),"")),"")</f>
        <v/>
      </c>
      <c r="R1233" s="60" t="str">
        <f aca="false">IF(IsPro,IF($C1233="","",IFERROR(MATCH($C1233,Parties!$A$5:$A$304,0),"")),"")</f>
        <v/>
      </c>
      <c r="S1233" s="61" t="str">
        <f aca="false">IF(IsPro,IF($D1233="","",IF(OR($H1233="",$H1233="Credit"),0,P1233)),"")</f>
        <v/>
      </c>
    </row>
    <row r="1234" customFormat="false" ht="15" hidden="false" customHeight="false" outlineLevel="0" collapsed="false">
      <c r="A1234" s="55"/>
      <c r="B1234" s="56"/>
      <c r="C1234" s="56"/>
      <c r="D1234" s="56"/>
      <c r="E1234" s="57"/>
      <c r="F1234" s="58"/>
      <c r="G1234" s="59"/>
      <c r="H1234" s="56"/>
      <c r="I1234" s="60" t="str">
        <f aca="false">IF(IsPro,IF($D1234="","",IFERROR(INDEX(Items!$D$5:$D$504,Q1234),"")),IF($D1234="","","PRO PLAN"))</f>
        <v/>
      </c>
      <c r="J1234" s="61" t="str">
        <f aca="false">IF(IsPro,IF($D1234="","",IF($F1234="",IFERROR(INDEX(Items!$G$5:$G$504,Q1234),0),$F1234)),"")</f>
        <v/>
      </c>
      <c r="K1234" s="61" t="str">
        <f aca="false">IF(IsPro,IF($D1234="","",ROUND(N($E1234)*J1234*(1-N($G1234)),2)),"")</f>
        <v/>
      </c>
      <c r="L1234" s="62" t="str">
        <f aca="false">IF(IsPro,IF($D1234="","",IFERROR(INDEX(Items!$F$5:$F$504,Q1234),0)),"")</f>
        <v/>
      </c>
      <c r="M1234" s="61" t="str">
        <f aca="false">IF(IsPro,IF($D1234="","",IF(AND(R1234&lt;&gt;"",INDEX(Parties!$E$5:$E$304,R1234)&lt;&gt;"",INDEX(Parties!$E$5:$E$304,R1234)&lt;&gt;HomeState),0,ROUND(K1234*L1234/2,2))),"")</f>
        <v/>
      </c>
      <c r="N1234" s="61" t="str">
        <f aca="false">IF(IsPro,IF($D1234="","",M1234),"")</f>
        <v/>
      </c>
      <c r="O1234" s="61" t="str">
        <f aca="false">IF(IsPro,IF($D1234="","",IF(AND(R1234&lt;&gt;"",INDEX(Parties!$E$5:$E$304,R1234)&lt;&gt;"",INDEX(Parties!$E$5:$E$304,R1234)&lt;&gt;HomeState),ROUND(K1234*L1234,2),0)),"")</f>
        <v/>
      </c>
      <c r="P1234" s="61" t="str">
        <f aca="false">IF(IsPro,IF($D1234="","",K1234+M1234+N1234+O1234),"")</f>
        <v/>
      </c>
      <c r="Q1234" s="60" t="str">
        <f aca="false">IF(IsPro,IF($D1234="","",IFERROR(MATCH($D1234,Items!$A$5:$A$504,0),"")),"")</f>
        <v/>
      </c>
      <c r="R1234" s="60" t="str">
        <f aca="false">IF(IsPro,IF($C1234="","",IFERROR(MATCH($C1234,Parties!$A$5:$A$304,0),"")),"")</f>
        <v/>
      </c>
      <c r="S1234" s="61" t="str">
        <f aca="false">IF(IsPro,IF($D1234="","",IF(OR($H1234="",$H1234="Credit"),0,P1234)),"")</f>
        <v/>
      </c>
    </row>
    <row r="1235" customFormat="false" ht="15" hidden="false" customHeight="false" outlineLevel="0" collapsed="false">
      <c r="A1235" s="55"/>
      <c r="B1235" s="56"/>
      <c r="C1235" s="56"/>
      <c r="D1235" s="56"/>
      <c r="E1235" s="57"/>
      <c r="F1235" s="58"/>
      <c r="G1235" s="59"/>
      <c r="H1235" s="56"/>
      <c r="I1235" s="60" t="str">
        <f aca="false">IF(IsPro,IF($D1235="","",IFERROR(INDEX(Items!$D$5:$D$504,Q1235),"")),IF($D1235="","","PRO PLAN"))</f>
        <v/>
      </c>
      <c r="J1235" s="61" t="str">
        <f aca="false">IF(IsPro,IF($D1235="","",IF($F1235="",IFERROR(INDEX(Items!$G$5:$G$504,Q1235),0),$F1235)),"")</f>
        <v/>
      </c>
      <c r="K1235" s="61" t="str">
        <f aca="false">IF(IsPro,IF($D1235="","",ROUND(N($E1235)*J1235*(1-N($G1235)),2)),"")</f>
        <v/>
      </c>
      <c r="L1235" s="62" t="str">
        <f aca="false">IF(IsPro,IF($D1235="","",IFERROR(INDEX(Items!$F$5:$F$504,Q1235),0)),"")</f>
        <v/>
      </c>
      <c r="M1235" s="61" t="str">
        <f aca="false">IF(IsPro,IF($D1235="","",IF(AND(R1235&lt;&gt;"",INDEX(Parties!$E$5:$E$304,R1235)&lt;&gt;"",INDEX(Parties!$E$5:$E$304,R1235)&lt;&gt;HomeState),0,ROUND(K1235*L1235/2,2))),"")</f>
        <v/>
      </c>
      <c r="N1235" s="61" t="str">
        <f aca="false">IF(IsPro,IF($D1235="","",M1235),"")</f>
        <v/>
      </c>
      <c r="O1235" s="61" t="str">
        <f aca="false">IF(IsPro,IF($D1235="","",IF(AND(R1235&lt;&gt;"",INDEX(Parties!$E$5:$E$304,R1235)&lt;&gt;"",INDEX(Parties!$E$5:$E$304,R1235)&lt;&gt;HomeState),ROUND(K1235*L1235,2),0)),"")</f>
        <v/>
      </c>
      <c r="P1235" s="61" t="str">
        <f aca="false">IF(IsPro,IF($D1235="","",K1235+M1235+N1235+O1235),"")</f>
        <v/>
      </c>
      <c r="Q1235" s="60" t="str">
        <f aca="false">IF(IsPro,IF($D1235="","",IFERROR(MATCH($D1235,Items!$A$5:$A$504,0),"")),"")</f>
        <v/>
      </c>
      <c r="R1235" s="60" t="str">
        <f aca="false">IF(IsPro,IF($C1235="","",IFERROR(MATCH($C1235,Parties!$A$5:$A$304,0),"")),"")</f>
        <v/>
      </c>
      <c r="S1235" s="61" t="str">
        <f aca="false">IF(IsPro,IF($D1235="","",IF(OR($H1235="",$H1235="Credit"),0,P1235)),"")</f>
        <v/>
      </c>
    </row>
    <row r="1236" customFormat="false" ht="15" hidden="false" customHeight="false" outlineLevel="0" collapsed="false">
      <c r="A1236" s="55"/>
      <c r="B1236" s="56"/>
      <c r="C1236" s="56"/>
      <c r="D1236" s="56"/>
      <c r="E1236" s="57"/>
      <c r="F1236" s="58"/>
      <c r="G1236" s="59"/>
      <c r="H1236" s="56"/>
      <c r="I1236" s="60" t="str">
        <f aca="false">IF(IsPro,IF($D1236="","",IFERROR(INDEX(Items!$D$5:$D$504,Q1236),"")),IF($D1236="","","PRO PLAN"))</f>
        <v/>
      </c>
      <c r="J1236" s="61" t="str">
        <f aca="false">IF(IsPro,IF($D1236="","",IF($F1236="",IFERROR(INDEX(Items!$G$5:$G$504,Q1236),0),$F1236)),"")</f>
        <v/>
      </c>
      <c r="K1236" s="61" t="str">
        <f aca="false">IF(IsPro,IF($D1236="","",ROUND(N($E1236)*J1236*(1-N($G1236)),2)),"")</f>
        <v/>
      </c>
      <c r="L1236" s="62" t="str">
        <f aca="false">IF(IsPro,IF($D1236="","",IFERROR(INDEX(Items!$F$5:$F$504,Q1236),0)),"")</f>
        <v/>
      </c>
      <c r="M1236" s="61" t="str">
        <f aca="false">IF(IsPro,IF($D1236="","",IF(AND(R1236&lt;&gt;"",INDEX(Parties!$E$5:$E$304,R1236)&lt;&gt;"",INDEX(Parties!$E$5:$E$304,R1236)&lt;&gt;HomeState),0,ROUND(K1236*L1236/2,2))),"")</f>
        <v/>
      </c>
      <c r="N1236" s="61" t="str">
        <f aca="false">IF(IsPro,IF($D1236="","",M1236),"")</f>
        <v/>
      </c>
      <c r="O1236" s="61" t="str">
        <f aca="false">IF(IsPro,IF($D1236="","",IF(AND(R1236&lt;&gt;"",INDEX(Parties!$E$5:$E$304,R1236)&lt;&gt;"",INDEX(Parties!$E$5:$E$304,R1236)&lt;&gt;HomeState),ROUND(K1236*L1236,2),0)),"")</f>
        <v/>
      </c>
      <c r="P1236" s="61" t="str">
        <f aca="false">IF(IsPro,IF($D1236="","",K1236+M1236+N1236+O1236),"")</f>
        <v/>
      </c>
      <c r="Q1236" s="60" t="str">
        <f aca="false">IF(IsPro,IF($D1236="","",IFERROR(MATCH($D1236,Items!$A$5:$A$504,0),"")),"")</f>
        <v/>
      </c>
      <c r="R1236" s="60" t="str">
        <f aca="false">IF(IsPro,IF($C1236="","",IFERROR(MATCH($C1236,Parties!$A$5:$A$304,0),"")),"")</f>
        <v/>
      </c>
      <c r="S1236" s="61" t="str">
        <f aca="false">IF(IsPro,IF($D1236="","",IF(OR($H1236="",$H1236="Credit"),0,P1236)),"")</f>
        <v/>
      </c>
    </row>
    <row r="1237" customFormat="false" ht="15" hidden="false" customHeight="false" outlineLevel="0" collapsed="false">
      <c r="A1237" s="55"/>
      <c r="B1237" s="56"/>
      <c r="C1237" s="56"/>
      <c r="D1237" s="56"/>
      <c r="E1237" s="57"/>
      <c r="F1237" s="58"/>
      <c r="G1237" s="59"/>
      <c r="H1237" s="56"/>
      <c r="I1237" s="60" t="str">
        <f aca="false">IF(IsPro,IF($D1237="","",IFERROR(INDEX(Items!$D$5:$D$504,Q1237),"")),IF($D1237="","","PRO PLAN"))</f>
        <v/>
      </c>
      <c r="J1237" s="61" t="str">
        <f aca="false">IF(IsPro,IF($D1237="","",IF($F1237="",IFERROR(INDEX(Items!$G$5:$G$504,Q1237),0),$F1237)),"")</f>
        <v/>
      </c>
      <c r="K1237" s="61" t="str">
        <f aca="false">IF(IsPro,IF($D1237="","",ROUND(N($E1237)*J1237*(1-N($G1237)),2)),"")</f>
        <v/>
      </c>
      <c r="L1237" s="62" t="str">
        <f aca="false">IF(IsPro,IF($D1237="","",IFERROR(INDEX(Items!$F$5:$F$504,Q1237),0)),"")</f>
        <v/>
      </c>
      <c r="M1237" s="61" t="str">
        <f aca="false">IF(IsPro,IF($D1237="","",IF(AND(R1237&lt;&gt;"",INDEX(Parties!$E$5:$E$304,R1237)&lt;&gt;"",INDEX(Parties!$E$5:$E$304,R1237)&lt;&gt;HomeState),0,ROUND(K1237*L1237/2,2))),"")</f>
        <v/>
      </c>
      <c r="N1237" s="61" t="str">
        <f aca="false">IF(IsPro,IF($D1237="","",M1237),"")</f>
        <v/>
      </c>
      <c r="O1237" s="61" t="str">
        <f aca="false">IF(IsPro,IF($D1237="","",IF(AND(R1237&lt;&gt;"",INDEX(Parties!$E$5:$E$304,R1237)&lt;&gt;"",INDEX(Parties!$E$5:$E$304,R1237)&lt;&gt;HomeState),ROUND(K1237*L1237,2),0)),"")</f>
        <v/>
      </c>
      <c r="P1237" s="61" t="str">
        <f aca="false">IF(IsPro,IF($D1237="","",K1237+M1237+N1237+O1237),"")</f>
        <v/>
      </c>
      <c r="Q1237" s="60" t="str">
        <f aca="false">IF(IsPro,IF($D1237="","",IFERROR(MATCH($D1237,Items!$A$5:$A$504,0),"")),"")</f>
        <v/>
      </c>
      <c r="R1237" s="60" t="str">
        <f aca="false">IF(IsPro,IF($C1237="","",IFERROR(MATCH($C1237,Parties!$A$5:$A$304,0),"")),"")</f>
        <v/>
      </c>
      <c r="S1237" s="61" t="str">
        <f aca="false">IF(IsPro,IF($D1237="","",IF(OR($H1237="",$H1237="Credit"),0,P1237)),"")</f>
        <v/>
      </c>
    </row>
    <row r="1238" customFormat="false" ht="15" hidden="false" customHeight="false" outlineLevel="0" collapsed="false">
      <c r="A1238" s="55"/>
      <c r="B1238" s="56"/>
      <c r="C1238" s="56"/>
      <c r="D1238" s="56"/>
      <c r="E1238" s="57"/>
      <c r="F1238" s="58"/>
      <c r="G1238" s="59"/>
      <c r="H1238" s="56"/>
      <c r="I1238" s="60" t="str">
        <f aca="false">IF(IsPro,IF($D1238="","",IFERROR(INDEX(Items!$D$5:$D$504,Q1238),"")),IF($D1238="","","PRO PLAN"))</f>
        <v/>
      </c>
      <c r="J1238" s="61" t="str">
        <f aca="false">IF(IsPro,IF($D1238="","",IF($F1238="",IFERROR(INDEX(Items!$G$5:$G$504,Q1238),0),$F1238)),"")</f>
        <v/>
      </c>
      <c r="K1238" s="61" t="str">
        <f aca="false">IF(IsPro,IF($D1238="","",ROUND(N($E1238)*J1238*(1-N($G1238)),2)),"")</f>
        <v/>
      </c>
      <c r="L1238" s="62" t="str">
        <f aca="false">IF(IsPro,IF($D1238="","",IFERROR(INDEX(Items!$F$5:$F$504,Q1238),0)),"")</f>
        <v/>
      </c>
      <c r="M1238" s="61" t="str">
        <f aca="false">IF(IsPro,IF($D1238="","",IF(AND(R1238&lt;&gt;"",INDEX(Parties!$E$5:$E$304,R1238)&lt;&gt;"",INDEX(Parties!$E$5:$E$304,R1238)&lt;&gt;HomeState),0,ROUND(K1238*L1238/2,2))),"")</f>
        <v/>
      </c>
      <c r="N1238" s="61" t="str">
        <f aca="false">IF(IsPro,IF($D1238="","",M1238),"")</f>
        <v/>
      </c>
      <c r="O1238" s="61" t="str">
        <f aca="false">IF(IsPro,IF($D1238="","",IF(AND(R1238&lt;&gt;"",INDEX(Parties!$E$5:$E$304,R1238)&lt;&gt;"",INDEX(Parties!$E$5:$E$304,R1238)&lt;&gt;HomeState),ROUND(K1238*L1238,2),0)),"")</f>
        <v/>
      </c>
      <c r="P1238" s="61" t="str">
        <f aca="false">IF(IsPro,IF($D1238="","",K1238+M1238+N1238+O1238),"")</f>
        <v/>
      </c>
      <c r="Q1238" s="60" t="str">
        <f aca="false">IF(IsPro,IF($D1238="","",IFERROR(MATCH($D1238,Items!$A$5:$A$504,0),"")),"")</f>
        <v/>
      </c>
      <c r="R1238" s="60" t="str">
        <f aca="false">IF(IsPro,IF($C1238="","",IFERROR(MATCH($C1238,Parties!$A$5:$A$304,0),"")),"")</f>
        <v/>
      </c>
      <c r="S1238" s="61" t="str">
        <f aca="false">IF(IsPro,IF($D1238="","",IF(OR($H1238="",$H1238="Credit"),0,P1238)),"")</f>
        <v/>
      </c>
    </row>
    <row r="1239" customFormat="false" ht="15" hidden="false" customHeight="false" outlineLevel="0" collapsed="false">
      <c r="A1239" s="55"/>
      <c r="B1239" s="56"/>
      <c r="C1239" s="56"/>
      <c r="D1239" s="56"/>
      <c r="E1239" s="57"/>
      <c r="F1239" s="58"/>
      <c r="G1239" s="59"/>
      <c r="H1239" s="56"/>
      <c r="I1239" s="60" t="str">
        <f aca="false">IF(IsPro,IF($D1239="","",IFERROR(INDEX(Items!$D$5:$D$504,Q1239),"")),IF($D1239="","","PRO PLAN"))</f>
        <v/>
      </c>
      <c r="J1239" s="61" t="str">
        <f aca="false">IF(IsPro,IF($D1239="","",IF($F1239="",IFERROR(INDEX(Items!$G$5:$G$504,Q1239),0),$F1239)),"")</f>
        <v/>
      </c>
      <c r="K1239" s="61" t="str">
        <f aca="false">IF(IsPro,IF($D1239="","",ROUND(N($E1239)*J1239*(1-N($G1239)),2)),"")</f>
        <v/>
      </c>
      <c r="L1239" s="62" t="str">
        <f aca="false">IF(IsPro,IF($D1239="","",IFERROR(INDEX(Items!$F$5:$F$504,Q1239),0)),"")</f>
        <v/>
      </c>
      <c r="M1239" s="61" t="str">
        <f aca="false">IF(IsPro,IF($D1239="","",IF(AND(R1239&lt;&gt;"",INDEX(Parties!$E$5:$E$304,R1239)&lt;&gt;"",INDEX(Parties!$E$5:$E$304,R1239)&lt;&gt;HomeState),0,ROUND(K1239*L1239/2,2))),"")</f>
        <v/>
      </c>
      <c r="N1239" s="61" t="str">
        <f aca="false">IF(IsPro,IF($D1239="","",M1239),"")</f>
        <v/>
      </c>
      <c r="O1239" s="61" t="str">
        <f aca="false">IF(IsPro,IF($D1239="","",IF(AND(R1239&lt;&gt;"",INDEX(Parties!$E$5:$E$304,R1239)&lt;&gt;"",INDEX(Parties!$E$5:$E$304,R1239)&lt;&gt;HomeState),ROUND(K1239*L1239,2),0)),"")</f>
        <v/>
      </c>
      <c r="P1239" s="61" t="str">
        <f aca="false">IF(IsPro,IF($D1239="","",K1239+M1239+N1239+O1239),"")</f>
        <v/>
      </c>
      <c r="Q1239" s="60" t="str">
        <f aca="false">IF(IsPro,IF($D1239="","",IFERROR(MATCH($D1239,Items!$A$5:$A$504,0),"")),"")</f>
        <v/>
      </c>
      <c r="R1239" s="60" t="str">
        <f aca="false">IF(IsPro,IF($C1239="","",IFERROR(MATCH($C1239,Parties!$A$5:$A$304,0),"")),"")</f>
        <v/>
      </c>
      <c r="S1239" s="61" t="str">
        <f aca="false">IF(IsPro,IF($D1239="","",IF(OR($H1239="",$H1239="Credit"),0,P1239)),"")</f>
        <v/>
      </c>
    </row>
    <row r="1240" customFormat="false" ht="15" hidden="false" customHeight="false" outlineLevel="0" collapsed="false">
      <c r="A1240" s="55"/>
      <c r="B1240" s="56"/>
      <c r="C1240" s="56"/>
      <c r="D1240" s="56"/>
      <c r="E1240" s="57"/>
      <c r="F1240" s="58"/>
      <c r="G1240" s="59"/>
      <c r="H1240" s="56"/>
      <c r="I1240" s="60" t="str">
        <f aca="false">IF(IsPro,IF($D1240="","",IFERROR(INDEX(Items!$D$5:$D$504,Q1240),"")),IF($D1240="","","PRO PLAN"))</f>
        <v/>
      </c>
      <c r="J1240" s="61" t="str">
        <f aca="false">IF(IsPro,IF($D1240="","",IF($F1240="",IFERROR(INDEX(Items!$G$5:$G$504,Q1240),0),$F1240)),"")</f>
        <v/>
      </c>
      <c r="K1240" s="61" t="str">
        <f aca="false">IF(IsPro,IF($D1240="","",ROUND(N($E1240)*J1240*(1-N($G1240)),2)),"")</f>
        <v/>
      </c>
      <c r="L1240" s="62" t="str">
        <f aca="false">IF(IsPro,IF($D1240="","",IFERROR(INDEX(Items!$F$5:$F$504,Q1240),0)),"")</f>
        <v/>
      </c>
      <c r="M1240" s="61" t="str">
        <f aca="false">IF(IsPro,IF($D1240="","",IF(AND(R1240&lt;&gt;"",INDEX(Parties!$E$5:$E$304,R1240)&lt;&gt;"",INDEX(Parties!$E$5:$E$304,R1240)&lt;&gt;HomeState),0,ROUND(K1240*L1240/2,2))),"")</f>
        <v/>
      </c>
      <c r="N1240" s="61" t="str">
        <f aca="false">IF(IsPro,IF($D1240="","",M1240),"")</f>
        <v/>
      </c>
      <c r="O1240" s="61" t="str">
        <f aca="false">IF(IsPro,IF($D1240="","",IF(AND(R1240&lt;&gt;"",INDEX(Parties!$E$5:$E$304,R1240)&lt;&gt;"",INDEX(Parties!$E$5:$E$304,R1240)&lt;&gt;HomeState),ROUND(K1240*L1240,2),0)),"")</f>
        <v/>
      </c>
      <c r="P1240" s="61" t="str">
        <f aca="false">IF(IsPro,IF($D1240="","",K1240+M1240+N1240+O1240),"")</f>
        <v/>
      </c>
      <c r="Q1240" s="60" t="str">
        <f aca="false">IF(IsPro,IF($D1240="","",IFERROR(MATCH($D1240,Items!$A$5:$A$504,0),"")),"")</f>
        <v/>
      </c>
      <c r="R1240" s="60" t="str">
        <f aca="false">IF(IsPro,IF($C1240="","",IFERROR(MATCH($C1240,Parties!$A$5:$A$304,0),"")),"")</f>
        <v/>
      </c>
      <c r="S1240" s="61" t="str">
        <f aca="false">IF(IsPro,IF($D1240="","",IF(OR($H1240="",$H1240="Credit"),0,P1240)),"")</f>
        <v/>
      </c>
    </row>
    <row r="1241" customFormat="false" ht="15" hidden="false" customHeight="false" outlineLevel="0" collapsed="false">
      <c r="A1241" s="55"/>
      <c r="B1241" s="56"/>
      <c r="C1241" s="56"/>
      <c r="D1241" s="56"/>
      <c r="E1241" s="57"/>
      <c r="F1241" s="58"/>
      <c r="G1241" s="59"/>
      <c r="H1241" s="56"/>
      <c r="I1241" s="60" t="str">
        <f aca="false">IF(IsPro,IF($D1241="","",IFERROR(INDEX(Items!$D$5:$D$504,Q1241),"")),IF($D1241="","","PRO PLAN"))</f>
        <v/>
      </c>
      <c r="J1241" s="61" t="str">
        <f aca="false">IF(IsPro,IF($D1241="","",IF($F1241="",IFERROR(INDEX(Items!$G$5:$G$504,Q1241),0),$F1241)),"")</f>
        <v/>
      </c>
      <c r="K1241" s="61" t="str">
        <f aca="false">IF(IsPro,IF($D1241="","",ROUND(N($E1241)*J1241*(1-N($G1241)),2)),"")</f>
        <v/>
      </c>
      <c r="L1241" s="62" t="str">
        <f aca="false">IF(IsPro,IF($D1241="","",IFERROR(INDEX(Items!$F$5:$F$504,Q1241),0)),"")</f>
        <v/>
      </c>
      <c r="M1241" s="61" t="str">
        <f aca="false">IF(IsPro,IF($D1241="","",IF(AND(R1241&lt;&gt;"",INDEX(Parties!$E$5:$E$304,R1241)&lt;&gt;"",INDEX(Parties!$E$5:$E$304,R1241)&lt;&gt;HomeState),0,ROUND(K1241*L1241/2,2))),"")</f>
        <v/>
      </c>
      <c r="N1241" s="61" t="str">
        <f aca="false">IF(IsPro,IF($D1241="","",M1241),"")</f>
        <v/>
      </c>
      <c r="O1241" s="61" t="str">
        <f aca="false">IF(IsPro,IF($D1241="","",IF(AND(R1241&lt;&gt;"",INDEX(Parties!$E$5:$E$304,R1241)&lt;&gt;"",INDEX(Parties!$E$5:$E$304,R1241)&lt;&gt;HomeState),ROUND(K1241*L1241,2),0)),"")</f>
        <v/>
      </c>
      <c r="P1241" s="61" t="str">
        <f aca="false">IF(IsPro,IF($D1241="","",K1241+M1241+N1241+O1241),"")</f>
        <v/>
      </c>
      <c r="Q1241" s="60" t="str">
        <f aca="false">IF(IsPro,IF($D1241="","",IFERROR(MATCH($D1241,Items!$A$5:$A$504,0),"")),"")</f>
        <v/>
      </c>
      <c r="R1241" s="60" t="str">
        <f aca="false">IF(IsPro,IF($C1241="","",IFERROR(MATCH($C1241,Parties!$A$5:$A$304,0),"")),"")</f>
        <v/>
      </c>
      <c r="S1241" s="61" t="str">
        <f aca="false">IF(IsPro,IF($D1241="","",IF(OR($H1241="",$H1241="Credit"),0,P1241)),"")</f>
        <v/>
      </c>
    </row>
    <row r="1242" customFormat="false" ht="15" hidden="false" customHeight="false" outlineLevel="0" collapsed="false">
      <c r="A1242" s="55"/>
      <c r="B1242" s="56"/>
      <c r="C1242" s="56"/>
      <c r="D1242" s="56"/>
      <c r="E1242" s="57"/>
      <c r="F1242" s="58"/>
      <c r="G1242" s="59"/>
      <c r="H1242" s="56"/>
      <c r="I1242" s="60" t="str">
        <f aca="false">IF(IsPro,IF($D1242="","",IFERROR(INDEX(Items!$D$5:$D$504,Q1242),"")),IF($D1242="","","PRO PLAN"))</f>
        <v/>
      </c>
      <c r="J1242" s="61" t="str">
        <f aca="false">IF(IsPro,IF($D1242="","",IF($F1242="",IFERROR(INDEX(Items!$G$5:$G$504,Q1242),0),$F1242)),"")</f>
        <v/>
      </c>
      <c r="K1242" s="61" t="str">
        <f aca="false">IF(IsPro,IF($D1242="","",ROUND(N($E1242)*J1242*(1-N($G1242)),2)),"")</f>
        <v/>
      </c>
      <c r="L1242" s="62" t="str">
        <f aca="false">IF(IsPro,IF($D1242="","",IFERROR(INDEX(Items!$F$5:$F$504,Q1242),0)),"")</f>
        <v/>
      </c>
      <c r="M1242" s="61" t="str">
        <f aca="false">IF(IsPro,IF($D1242="","",IF(AND(R1242&lt;&gt;"",INDEX(Parties!$E$5:$E$304,R1242)&lt;&gt;"",INDEX(Parties!$E$5:$E$304,R1242)&lt;&gt;HomeState),0,ROUND(K1242*L1242/2,2))),"")</f>
        <v/>
      </c>
      <c r="N1242" s="61" t="str">
        <f aca="false">IF(IsPro,IF($D1242="","",M1242),"")</f>
        <v/>
      </c>
      <c r="O1242" s="61" t="str">
        <f aca="false">IF(IsPro,IF($D1242="","",IF(AND(R1242&lt;&gt;"",INDEX(Parties!$E$5:$E$304,R1242)&lt;&gt;"",INDEX(Parties!$E$5:$E$304,R1242)&lt;&gt;HomeState),ROUND(K1242*L1242,2),0)),"")</f>
        <v/>
      </c>
      <c r="P1242" s="61" t="str">
        <f aca="false">IF(IsPro,IF($D1242="","",K1242+M1242+N1242+O1242),"")</f>
        <v/>
      </c>
      <c r="Q1242" s="60" t="str">
        <f aca="false">IF(IsPro,IF($D1242="","",IFERROR(MATCH($D1242,Items!$A$5:$A$504,0),"")),"")</f>
        <v/>
      </c>
      <c r="R1242" s="60" t="str">
        <f aca="false">IF(IsPro,IF($C1242="","",IFERROR(MATCH($C1242,Parties!$A$5:$A$304,0),"")),"")</f>
        <v/>
      </c>
      <c r="S1242" s="61" t="str">
        <f aca="false">IF(IsPro,IF($D1242="","",IF(OR($H1242="",$H1242="Credit"),0,P1242)),"")</f>
        <v/>
      </c>
    </row>
    <row r="1243" customFormat="false" ht="15" hidden="false" customHeight="false" outlineLevel="0" collapsed="false">
      <c r="A1243" s="55"/>
      <c r="B1243" s="56"/>
      <c r="C1243" s="56"/>
      <c r="D1243" s="56"/>
      <c r="E1243" s="57"/>
      <c r="F1243" s="58"/>
      <c r="G1243" s="59"/>
      <c r="H1243" s="56"/>
      <c r="I1243" s="60" t="str">
        <f aca="false">IF(IsPro,IF($D1243="","",IFERROR(INDEX(Items!$D$5:$D$504,Q1243),"")),IF($D1243="","","PRO PLAN"))</f>
        <v/>
      </c>
      <c r="J1243" s="61" t="str">
        <f aca="false">IF(IsPro,IF($D1243="","",IF($F1243="",IFERROR(INDEX(Items!$G$5:$G$504,Q1243),0),$F1243)),"")</f>
        <v/>
      </c>
      <c r="K1243" s="61" t="str">
        <f aca="false">IF(IsPro,IF($D1243="","",ROUND(N($E1243)*J1243*(1-N($G1243)),2)),"")</f>
        <v/>
      </c>
      <c r="L1243" s="62" t="str">
        <f aca="false">IF(IsPro,IF($D1243="","",IFERROR(INDEX(Items!$F$5:$F$504,Q1243),0)),"")</f>
        <v/>
      </c>
      <c r="M1243" s="61" t="str">
        <f aca="false">IF(IsPro,IF($D1243="","",IF(AND(R1243&lt;&gt;"",INDEX(Parties!$E$5:$E$304,R1243)&lt;&gt;"",INDEX(Parties!$E$5:$E$304,R1243)&lt;&gt;HomeState),0,ROUND(K1243*L1243/2,2))),"")</f>
        <v/>
      </c>
      <c r="N1243" s="61" t="str">
        <f aca="false">IF(IsPro,IF($D1243="","",M1243),"")</f>
        <v/>
      </c>
      <c r="O1243" s="61" t="str">
        <f aca="false">IF(IsPro,IF($D1243="","",IF(AND(R1243&lt;&gt;"",INDEX(Parties!$E$5:$E$304,R1243)&lt;&gt;"",INDEX(Parties!$E$5:$E$304,R1243)&lt;&gt;HomeState),ROUND(K1243*L1243,2),0)),"")</f>
        <v/>
      </c>
      <c r="P1243" s="61" t="str">
        <f aca="false">IF(IsPro,IF($D1243="","",K1243+M1243+N1243+O1243),"")</f>
        <v/>
      </c>
      <c r="Q1243" s="60" t="str">
        <f aca="false">IF(IsPro,IF($D1243="","",IFERROR(MATCH($D1243,Items!$A$5:$A$504,0),"")),"")</f>
        <v/>
      </c>
      <c r="R1243" s="60" t="str">
        <f aca="false">IF(IsPro,IF($C1243="","",IFERROR(MATCH($C1243,Parties!$A$5:$A$304,0),"")),"")</f>
        <v/>
      </c>
      <c r="S1243" s="61" t="str">
        <f aca="false">IF(IsPro,IF($D1243="","",IF(OR($H1243="",$H1243="Credit"),0,P1243)),"")</f>
        <v/>
      </c>
    </row>
    <row r="1244" customFormat="false" ht="15" hidden="false" customHeight="false" outlineLevel="0" collapsed="false">
      <c r="A1244" s="55"/>
      <c r="B1244" s="56"/>
      <c r="C1244" s="56"/>
      <c r="D1244" s="56"/>
      <c r="E1244" s="57"/>
      <c r="F1244" s="58"/>
      <c r="G1244" s="59"/>
      <c r="H1244" s="56"/>
      <c r="I1244" s="60" t="str">
        <f aca="false">IF(IsPro,IF($D1244="","",IFERROR(INDEX(Items!$D$5:$D$504,Q1244),"")),IF($D1244="","","PRO PLAN"))</f>
        <v/>
      </c>
      <c r="J1244" s="61" t="str">
        <f aca="false">IF(IsPro,IF($D1244="","",IF($F1244="",IFERROR(INDEX(Items!$G$5:$G$504,Q1244),0),$F1244)),"")</f>
        <v/>
      </c>
      <c r="K1244" s="61" t="str">
        <f aca="false">IF(IsPro,IF($D1244="","",ROUND(N($E1244)*J1244*(1-N($G1244)),2)),"")</f>
        <v/>
      </c>
      <c r="L1244" s="62" t="str">
        <f aca="false">IF(IsPro,IF($D1244="","",IFERROR(INDEX(Items!$F$5:$F$504,Q1244),0)),"")</f>
        <v/>
      </c>
      <c r="M1244" s="61" t="str">
        <f aca="false">IF(IsPro,IF($D1244="","",IF(AND(R1244&lt;&gt;"",INDEX(Parties!$E$5:$E$304,R1244)&lt;&gt;"",INDEX(Parties!$E$5:$E$304,R1244)&lt;&gt;HomeState),0,ROUND(K1244*L1244/2,2))),"")</f>
        <v/>
      </c>
      <c r="N1244" s="61" t="str">
        <f aca="false">IF(IsPro,IF($D1244="","",M1244),"")</f>
        <v/>
      </c>
      <c r="O1244" s="61" t="str">
        <f aca="false">IF(IsPro,IF($D1244="","",IF(AND(R1244&lt;&gt;"",INDEX(Parties!$E$5:$E$304,R1244)&lt;&gt;"",INDEX(Parties!$E$5:$E$304,R1244)&lt;&gt;HomeState),ROUND(K1244*L1244,2),0)),"")</f>
        <v/>
      </c>
      <c r="P1244" s="61" t="str">
        <f aca="false">IF(IsPro,IF($D1244="","",K1244+M1244+N1244+O1244),"")</f>
        <v/>
      </c>
      <c r="Q1244" s="60" t="str">
        <f aca="false">IF(IsPro,IF($D1244="","",IFERROR(MATCH($D1244,Items!$A$5:$A$504,0),"")),"")</f>
        <v/>
      </c>
      <c r="R1244" s="60" t="str">
        <f aca="false">IF(IsPro,IF($C1244="","",IFERROR(MATCH($C1244,Parties!$A$5:$A$304,0),"")),"")</f>
        <v/>
      </c>
      <c r="S1244" s="61" t="str">
        <f aca="false">IF(IsPro,IF($D1244="","",IF(OR($H1244="",$H1244="Credit"),0,P1244)),"")</f>
        <v/>
      </c>
    </row>
    <row r="1245" customFormat="false" ht="15" hidden="false" customHeight="false" outlineLevel="0" collapsed="false">
      <c r="A1245" s="55"/>
      <c r="B1245" s="56"/>
      <c r="C1245" s="56"/>
      <c r="D1245" s="56"/>
      <c r="E1245" s="57"/>
      <c r="F1245" s="58"/>
      <c r="G1245" s="59"/>
      <c r="H1245" s="56"/>
      <c r="I1245" s="60" t="str">
        <f aca="false">IF(IsPro,IF($D1245="","",IFERROR(INDEX(Items!$D$5:$D$504,Q1245),"")),IF($D1245="","","PRO PLAN"))</f>
        <v/>
      </c>
      <c r="J1245" s="61" t="str">
        <f aca="false">IF(IsPro,IF($D1245="","",IF($F1245="",IFERROR(INDEX(Items!$G$5:$G$504,Q1245),0),$F1245)),"")</f>
        <v/>
      </c>
      <c r="K1245" s="61" t="str">
        <f aca="false">IF(IsPro,IF($D1245="","",ROUND(N($E1245)*J1245*(1-N($G1245)),2)),"")</f>
        <v/>
      </c>
      <c r="L1245" s="62" t="str">
        <f aca="false">IF(IsPro,IF($D1245="","",IFERROR(INDEX(Items!$F$5:$F$504,Q1245),0)),"")</f>
        <v/>
      </c>
      <c r="M1245" s="61" t="str">
        <f aca="false">IF(IsPro,IF($D1245="","",IF(AND(R1245&lt;&gt;"",INDEX(Parties!$E$5:$E$304,R1245)&lt;&gt;"",INDEX(Parties!$E$5:$E$304,R1245)&lt;&gt;HomeState),0,ROUND(K1245*L1245/2,2))),"")</f>
        <v/>
      </c>
      <c r="N1245" s="61" t="str">
        <f aca="false">IF(IsPro,IF($D1245="","",M1245),"")</f>
        <v/>
      </c>
      <c r="O1245" s="61" t="str">
        <f aca="false">IF(IsPro,IF($D1245="","",IF(AND(R1245&lt;&gt;"",INDEX(Parties!$E$5:$E$304,R1245)&lt;&gt;"",INDEX(Parties!$E$5:$E$304,R1245)&lt;&gt;HomeState),ROUND(K1245*L1245,2),0)),"")</f>
        <v/>
      </c>
      <c r="P1245" s="61" t="str">
        <f aca="false">IF(IsPro,IF($D1245="","",K1245+M1245+N1245+O1245),"")</f>
        <v/>
      </c>
      <c r="Q1245" s="60" t="str">
        <f aca="false">IF(IsPro,IF($D1245="","",IFERROR(MATCH($D1245,Items!$A$5:$A$504,0),"")),"")</f>
        <v/>
      </c>
      <c r="R1245" s="60" t="str">
        <f aca="false">IF(IsPro,IF($C1245="","",IFERROR(MATCH($C1245,Parties!$A$5:$A$304,0),"")),"")</f>
        <v/>
      </c>
      <c r="S1245" s="61" t="str">
        <f aca="false">IF(IsPro,IF($D1245="","",IF(OR($H1245="",$H1245="Credit"),0,P1245)),"")</f>
        <v/>
      </c>
    </row>
    <row r="1246" customFormat="false" ht="15" hidden="false" customHeight="false" outlineLevel="0" collapsed="false">
      <c r="A1246" s="55"/>
      <c r="B1246" s="56"/>
      <c r="C1246" s="56"/>
      <c r="D1246" s="56"/>
      <c r="E1246" s="57"/>
      <c r="F1246" s="58"/>
      <c r="G1246" s="59"/>
      <c r="H1246" s="56"/>
      <c r="I1246" s="60" t="str">
        <f aca="false">IF(IsPro,IF($D1246="","",IFERROR(INDEX(Items!$D$5:$D$504,Q1246),"")),IF($D1246="","","PRO PLAN"))</f>
        <v/>
      </c>
      <c r="J1246" s="61" t="str">
        <f aca="false">IF(IsPro,IF($D1246="","",IF($F1246="",IFERROR(INDEX(Items!$G$5:$G$504,Q1246),0),$F1246)),"")</f>
        <v/>
      </c>
      <c r="K1246" s="61" t="str">
        <f aca="false">IF(IsPro,IF($D1246="","",ROUND(N($E1246)*J1246*(1-N($G1246)),2)),"")</f>
        <v/>
      </c>
      <c r="L1246" s="62" t="str">
        <f aca="false">IF(IsPro,IF($D1246="","",IFERROR(INDEX(Items!$F$5:$F$504,Q1246),0)),"")</f>
        <v/>
      </c>
      <c r="M1246" s="61" t="str">
        <f aca="false">IF(IsPro,IF($D1246="","",IF(AND(R1246&lt;&gt;"",INDEX(Parties!$E$5:$E$304,R1246)&lt;&gt;"",INDEX(Parties!$E$5:$E$304,R1246)&lt;&gt;HomeState),0,ROUND(K1246*L1246/2,2))),"")</f>
        <v/>
      </c>
      <c r="N1246" s="61" t="str">
        <f aca="false">IF(IsPro,IF($D1246="","",M1246),"")</f>
        <v/>
      </c>
      <c r="O1246" s="61" t="str">
        <f aca="false">IF(IsPro,IF($D1246="","",IF(AND(R1246&lt;&gt;"",INDEX(Parties!$E$5:$E$304,R1246)&lt;&gt;"",INDEX(Parties!$E$5:$E$304,R1246)&lt;&gt;HomeState),ROUND(K1246*L1246,2),0)),"")</f>
        <v/>
      </c>
      <c r="P1246" s="61" t="str">
        <f aca="false">IF(IsPro,IF($D1246="","",K1246+M1246+N1246+O1246),"")</f>
        <v/>
      </c>
      <c r="Q1246" s="60" t="str">
        <f aca="false">IF(IsPro,IF($D1246="","",IFERROR(MATCH($D1246,Items!$A$5:$A$504,0),"")),"")</f>
        <v/>
      </c>
      <c r="R1246" s="60" t="str">
        <f aca="false">IF(IsPro,IF($C1246="","",IFERROR(MATCH($C1246,Parties!$A$5:$A$304,0),"")),"")</f>
        <v/>
      </c>
      <c r="S1246" s="61" t="str">
        <f aca="false">IF(IsPro,IF($D1246="","",IF(OR($H1246="",$H1246="Credit"),0,P1246)),"")</f>
        <v/>
      </c>
    </row>
    <row r="1247" customFormat="false" ht="15" hidden="false" customHeight="false" outlineLevel="0" collapsed="false">
      <c r="A1247" s="55"/>
      <c r="B1247" s="56"/>
      <c r="C1247" s="56"/>
      <c r="D1247" s="56"/>
      <c r="E1247" s="57"/>
      <c r="F1247" s="58"/>
      <c r="G1247" s="59"/>
      <c r="H1247" s="56"/>
      <c r="I1247" s="60" t="str">
        <f aca="false">IF(IsPro,IF($D1247="","",IFERROR(INDEX(Items!$D$5:$D$504,Q1247),"")),IF($D1247="","","PRO PLAN"))</f>
        <v/>
      </c>
      <c r="J1247" s="61" t="str">
        <f aca="false">IF(IsPro,IF($D1247="","",IF($F1247="",IFERROR(INDEX(Items!$G$5:$G$504,Q1247),0),$F1247)),"")</f>
        <v/>
      </c>
      <c r="K1247" s="61" t="str">
        <f aca="false">IF(IsPro,IF($D1247="","",ROUND(N($E1247)*J1247*(1-N($G1247)),2)),"")</f>
        <v/>
      </c>
      <c r="L1247" s="62" t="str">
        <f aca="false">IF(IsPro,IF($D1247="","",IFERROR(INDEX(Items!$F$5:$F$504,Q1247),0)),"")</f>
        <v/>
      </c>
      <c r="M1247" s="61" t="str">
        <f aca="false">IF(IsPro,IF($D1247="","",IF(AND(R1247&lt;&gt;"",INDEX(Parties!$E$5:$E$304,R1247)&lt;&gt;"",INDEX(Parties!$E$5:$E$304,R1247)&lt;&gt;HomeState),0,ROUND(K1247*L1247/2,2))),"")</f>
        <v/>
      </c>
      <c r="N1247" s="61" t="str">
        <f aca="false">IF(IsPro,IF($D1247="","",M1247),"")</f>
        <v/>
      </c>
      <c r="O1247" s="61" t="str">
        <f aca="false">IF(IsPro,IF($D1247="","",IF(AND(R1247&lt;&gt;"",INDEX(Parties!$E$5:$E$304,R1247)&lt;&gt;"",INDEX(Parties!$E$5:$E$304,R1247)&lt;&gt;HomeState),ROUND(K1247*L1247,2),0)),"")</f>
        <v/>
      </c>
      <c r="P1247" s="61" t="str">
        <f aca="false">IF(IsPro,IF($D1247="","",K1247+M1247+N1247+O1247),"")</f>
        <v/>
      </c>
      <c r="Q1247" s="60" t="str">
        <f aca="false">IF(IsPro,IF($D1247="","",IFERROR(MATCH($D1247,Items!$A$5:$A$504,0),"")),"")</f>
        <v/>
      </c>
      <c r="R1247" s="60" t="str">
        <f aca="false">IF(IsPro,IF($C1247="","",IFERROR(MATCH($C1247,Parties!$A$5:$A$304,0),"")),"")</f>
        <v/>
      </c>
      <c r="S1247" s="61" t="str">
        <f aca="false">IF(IsPro,IF($D1247="","",IF(OR($H1247="",$H1247="Credit"),0,P1247)),"")</f>
        <v/>
      </c>
    </row>
    <row r="1248" customFormat="false" ht="15" hidden="false" customHeight="false" outlineLevel="0" collapsed="false">
      <c r="A1248" s="55"/>
      <c r="B1248" s="56"/>
      <c r="C1248" s="56"/>
      <c r="D1248" s="56"/>
      <c r="E1248" s="57"/>
      <c r="F1248" s="58"/>
      <c r="G1248" s="59"/>
      <c r="H1248" s="56"/>
      <c r="I1248" s="60" t="str">
        <f aca="false">IF(IsPro,IF($D1248="","",IFERROR(INDEX(Items!$D$5:$D$504,Q1248),"")),IF($D1248="","","PRO PLAN"))</f>
        <v/>
      </c>
      <c r="J1248" s="61" t="str">
        <f aca="false">IF(IsPro,IF($D1248="","",IF($F1248="",IFERROR(INDEX(Items!$G$5:$G$504,Q1248),0),$F1248)),"")</f>
        <v/>
      </c>
      <c r="K1248" s="61" t="str">
        <f aca="false">IF(IsPro,IF($D1248="","",ROUND(N($E1248)*J1248*(1-N($G1248)),2)),"")</f>
        <v/>
      </c>
      <c r="L1248" s="62" t="str">
        <f aca="false">IF(IsPro,IF($D1248="","",IFERROR(INDEX(Items!$F$5:$F$504,Q1248),0)),"")</f>
        <v/>
      </c>
      <c r="M1248" s="61" t="str">
        <f aca="false">IF(IsPro,IF($D1248="","",IF(AND(R1248&lt;&gt;"",INDEX(Parties!$E$5:$E$304,R1248)&lt;&gt;"",INDEX(Parties!$E$5:$E$304,R1248)&lt;&gt;HomeState),0,ROUND(K1248*L1248/2,2))),"")</f>
        <v/>
      </c>
      <c r="N1248" s="61" t="str">
        <f aca="false">IF(IsPro,IF($D1248="","",M1248),"")</f>
        <v/>
      </c>
      <c r="O1248" s="61" t="str">
        <f aca="false">IF(IsPro,IF($D1248="","",IF(AND(R1248&lt;&gt;"",INDEX(Parties!$E$5:$E$304,R1248)&lt;&gt;"",INDEX(Parties!$E$5:$E$304,R1248)&lt;&gt;HomeState),ROUND(K1248*L1248,2),0)),"")</f>
        <v/>
      </c>
      <c r="P1248" s="61" t="str">
        <f aca="false">IF(IsPro,IF($D1248="","",K1248+M1248+N1248+O1248),"")</f>
        <v/>
      </c>
      <c r="Q1248" s="60" t="str">
        <f aca="false">IF(IsPro,IF($D1248="","",IFERROR(MATCH($D1248,Items!$A$5:$A$504,0),"")),"")</f>
        <v/>
      </c>
      <c r="R1248" s="60" t="str">
        <f aca="false">IF(IsPro,IF($C1248="","",IFERROR(MATCH($C1248,Parties!$A$5:$A$304,0),"")),"")</f>
        <v/>
      </c>
      <c r="S1248" s="61" t="str">
        <f aca="false">IF(IsPro,IF($D1248="","",IF(OR($H1248="",$H1248="Credit"),0,P1248)),"")</f>
        <v/>
      </c>
    </row>
    <row r="1249" customFormat="false" ht="15" hidden="false" customHeight="false" outlineLevel="0" collapsed="false">
      <c r="A1249" s="55"/>
      <c r="B1249" s="56"/>
      <c r="C1249" s="56"/>
      <c r="D1249" s="56"/>
      <c r="E1249" s="57"/>
      <c r="F1249" s="58"/>
      <c r="G1249" s="59"/>
      <c r="H1249" s="56"/>
      <c r="I1249" s="60" t="str">
        <f aca="false">IF(IsPro,IF($D1249="","",IFERROR(INDEX(Items!$D$5:$D$504,Q1249),"")),IF($D1249="","","PRO PLAN"))</f>
        <v/>
      </c>
      <c r="J1249" s="61" t="str">
        <f aca="false">IF(IsPro,IF($D1249="","",IF($F1249="",IFERROR(INDEX(Items!$G$5:$G$504,Q1249),0),$F1249)),"")</f>
        <v/>
      </c>
      <c r="K1249" s="61" t="str">
        <f aca="false">IF(IsPro,IF($D1249="","",ROUND(N($E1249)*J1249*(1-N($G1249)),2)),"")</f>
        <v/>
      </c>
      <c r="L1249" s="62" t="str">
        <f aca="false">IF(IsPro,IF($D1249="","",IFERROR(INDEX(Items!$F$5:$F$504,Q1249),0)),"")</f>
        <v/>
      </c>
      <c r="M1249" s="61" t="str">
        <f aca="false">IF(IsPro,IF($D1249="","",IF(AND(R1249&lt;&gt;"",INDEX(Parties!$E$5:$E$304,R1249)&lt;&gt;"",INDEX(Parties!$E$5:$E$304,R1249)&lt;&gt;HomeState),0,ROUND(K1249*L1249/2,2))),"")</f>
        <v/>
      </c>
      <c r="N1249" s="61" t="str">
        <f aca="false">IF(IsPro,IF($D1249="","",M1249),"")</f>
        <v/>
      </c>
      <c r="O1249" s="61" t="str">
        <f aca="false">IF(IsPro,IF($D1249="","",IF(AND(R1249&lt;&gt;"",INDEX(Parties!$E$5:$E$304,R1249)&lt;&gt;"",INDEX(Parties!$E$5:$E$304,R1249)&lt;&gt;HomeState),ROUND(K1249*L1249,2),0)),"")</f>
        <v/>
      </c>
      <c r="P1249" s="61" t="str">
        <f aca="false">IF(IsPro,IF($D1249="","",K1249+M1249+N1249+O1249),"")</f>
        <v/>
      </c>
      <c r="Q1249" s="60" t="str">
        <f aca="false">IF(IsPro,IF($D1249="","",IFERROR(MATCH($D1249,Items!$A$5:$A$504,0),"")),"")</f>
        <v/>
      </c>
      <c r="R1249" s="60" t="str">
        <f aca="false">IF(IsPro,IF($C1249="","",IFERROR(MATCH($C1249,Parties!$A$5:$A$304,0),"")),"")</f>
        <v/>
      </c>
      <c r="S1249" s="61" t="str">
        <f aca="false">IF(IsPro,IF($D1249="","",IF(OR($H1249="",$H1249="Credit"),0,P1249)),"")</f>
        <v/>
      </c>
    </row>
    <row r="1250" customFormat="false" ht="15" hidden="false" customHeight="false" outlineLevel="0" collapsed="false">
      <c r="A1250" s="55"/>
      <c r="B1250" s="56"/>
      <c r="C1250" s="56"/>
      <c r="D1250" s="56"/>
      <c r="E1250" s="57"/>
      <c r="F1250" s="58"/>
      <c r="G1250" s="59"/>
      <c r="H1250" s="56"/>
      <c r="I1250" s="60" t="str">
        <f aca="false">IF(IsPro,IF($D1250="","",IFERROR(INDEX(Items!$D$5:$D$504,Q1250),"")),IF($D1250="","","PRO PLAN"))</f>
        <v/>
      </c>
      <c r="J1250" s="61" t="str">
        <f aca="false">IF(IsPro,IF($D1250="","",IF($F1250="",IFERROR(INDEX(Items!$G$5:$G$504,Q1250),0),$F1250)),"")</f>
        <v/>
      </c>
      <c r="K1250" s="61" t="str">
        <f aca="false">IF(IsPro,IF($D1250="","",ROUND(N($E1250)*J1250*(1-N($G1250)),2)),"")</f>
        <v/>
      </c>
      <c r="L1250" s="62" t="str">
        <f aca="false">IF(IsPro,IF($D1250="","",IFERROR(INDEX(Items!$F$5:$F$504,Q1250),0)),"")</f>
        <v/>
      </c>
      <c r="M1250" s="61" t="str">
        <f aca="false">IF(IsPro,IF($D1250="","",IF(AND(R1250&lt;&gt;"",INDEX(Parties!$E$5:$E$304,R1250)&lt;&gt;"",INDEX(Parties!$E$5:$E$304,R1250)&lt;&gt;HomeState),0,ROUND(K1250*L1250/2,2))),"")</f>
        <v/>
      </c>
      <c r="N1250" s="61" t="str">
        <f aca="false">IF(IsPro,IF($D1250="","",M1250),"")</f>
        <v/>
      </c>
      <c r="O1250" s="61" t="str">
        <f aca="false">IF(IsPro,IF($D1250="","",IF(AND(R1250&lt;&gt;"",INDEX(Parties!$E$5:$E$304,R1250)&lt;&gt;"",INDEX(Parties!$E$5:$E$304,R1250)&lt;&gt;HomeState),ROUND(K1250*L1250,2),0)),"")</f>
        <v/>
      </c>
      <c r="P1250" s="61" t="str">
        <f aca="false">IF(IsPro,IF($D1250="","",K1250+M1250+N1250+O1250),"")</f>
        <v/>
      </c>
      <c r="Q1250" s="60" t="str">
        <f aca="false">IF(IsPro,IF($D1250="","",IFERROR(MATCH($D1250,Items!$A$5:$A$504,0),"")),"")</f>
        <v/>
      </c>
      <c r="R1250" s="60" t="str">
        <f aca="false">IF(IsPro,IF($C1250="","",IFERROR(MATCH($C1250,Parties!$A$5:$A$304,0),"")),"")</f>
        <v/>
      </c>
      <c r="S1250" s="61" t="str">
        <f aca="false">IF(IsPro,IF($D1250="","",IF(OR($H1250="",$H1250="Credit"),0,P1250)),"")</f>
        <v/>
      </c>
    </row>
    <row r="1251" customFormat="false" ht="15" hidden="false" customHeight="false" outlineLevel="0" collapsed="false">
      <c r="A1251" s="55"/>
      <c r="B1251" s="56"/>
      <c r="C1251" s="56"/>
      <c r="D1251" s="56"/>
      <c r="E1251" s="57"/>
      <c r="F1251" s="58"/>
      <c r="G1251" s="59"/>
      <c r="H1251" s="56"/>
      <c r="I1251" s="60" t="str">
        <f aca="false">IF(IsPro,IF($D1251="","",IFERROR(INDEX(Items!$D$5:$D$504,Q1251),"")),IF($D1251="","","PRO PLAN"))</f>
        <v/>
      </c>
      <c r="J1251" s="61" t="str">
        <f aca="false">IF(IsPro,IF($D1251="","",IF($F1251="",IFERROR(INDEX(Items!$G$5:$G$504,Q1251),0),$F1251)),"")</f>
        <v/>
      </c>
      <c r="K1251" s="61" t="str">
        <f aca="false">IF(IsPro,IF($D1251="","",ROUND(N($E1251)*J1251*(1-N($G1251)),2)),"")</f>
        <v/>
      </c>
      <c r="L1251" s="62" t="str">
        <f aca="false">IF(IsPro,IF($D1251="","",IFERROR(INDEX(Items!$F$5:$F$504,Q1251),0)),"")</f>
        <v/>
      </c>
      <c r="M1251" s="61" t="str">
        <f aca="false">IF(IsPro,IF($D1251="","",IF(AND(R1251&lt;&gt;"",INDEX(Parties!$E$5:$E$304,R1251)&lt;&gt;"",INDEX(Parties!$E$5:$E$304,R1251)&lt;&gt;HomeState),0,ROUND(K1251*L1251/2,2))),"")</f>
        <v/>
      </c>
      <c r="N1251" s="61" t="str">
        <f aca="false">IF(IsPro,IF($D1251="","",M1251),"")</f>
        <v/>
      </c>
      <c r="O1251" s="61" t="str">
        <f aca="false">IF(IsPro,IF($D1251="","",IF(AND(R1251&lt;&gt;"",INDEX(Parties!$E$5:$E$304,R1251)&lt;&gt;"",INDEX(Parties!$E$5:$E$304,R1251)&lt;&gt;HomeState),ROUND(K1251*L1251,2),0)),"")</f>
        <v/>
      </c>
      <c r="P1251" s="61" t="str">
        <f aca="false">IF(IsPro,IF($D1251="","",K1251+M1251+N1251+O1251),"")</f>
        <v/>
      </c>
      <c r="Q1251" s="60" t="str">
        <f aca="false">IF(IsPro,IF($D1251="","",IFERROR(MATCH($D1251,Items!$A$5:$A$504,0),"")),"")</f>
        <v/>
      </c>
      <c r="R1251" s="60" t="str">
        <f aca="false">IF(IsPro,IF($C1251="","",IFERROR(MATCH($C1251,Parties!$A$5:$A$304,0),"")),"")</f>
        <v/>
      </c>
      <c r="S1251" s="61" t="str">
        <f aca="false">IF(IsPro,IF($D1251="","",IF(OR($H1251="",$H1251="Credit"),0,P1251)),"")</f>
        <v/>
      </c>
    </row>
    <row r="1252" customFormat="false" ht="15" hidden="false" customHeight="false" outlineLevel="0" collapsed="false">
      <c r="A1252" s="55"/>
      <c r="B1252" s="56"/>
      <c r="C1252" s="56"/>
      <c r="D1252" s="56"/>
      <c r="E1252" s="57"/>
      <c r="F1252" s="58"/>
      <c r="G1252" s="59"/>
      <c r="H1252" s="56"/>
      <c r="I1252" s="60" t="str">
        <f aca="false">IF(IsPro,IF($D1252="","",IFERROR(INDEX(Items!$D$5:$D$504,Q1252),"")),IF($D1252="","","PRO PLAN"))</f>
        <v/>
      </c>
      <c r="J1252" s="61" t="str">
        <f aca="false">IF(IsPro,IF($D1252="","",IF($F1252="",IFERROR(INDEX(Items!$G$5:$G$504,Q1252),0),$F1252)),"")</f>
        <v/>
      </c>
      <c r="K1252" s="61" t="str">
        <f aca="false">IF(IsPro,IF($D1252="","",ROUND(N($E1252)*J1252*(1-N($G1252)),2)),"")</f>
        <v/>
      </c>
      <c r="L1252" s="62" t="str">
        <f aca="false">IF(IsPro,IF($D1252="","",IFERROR(INDEX(Items!$F$5:$F$504,Q1252),0)),"")</f>
        <v/>
      </c>
      <c r="M1252" s="61" t="str">
        <f aca="false">IF(IsPro,IF($D1252="","",IF(AND(R1252&lt;&gt;"",INDEX(Parties!$E$5:$E$304,R1252)&lt;&gt;"",INDEX(Parties!$E$5:$E$304,R1252)&lt;&gt;HomeState),0,ROUND(K1252*L1252/2,2))),"")</f>
        <v/>
      </c>
      <c r="N1252" s="61" t="str">
        <f aca="false">IF(IsPro,IF($D1252="","",M1252),"")</f>
        <v/>
      </c>
      <c r="O1252" s="61" t="str">
        <f aca="false">IF(IsPro,IF($D1252="","",IF(AND(R1252&lt;&gt;"",INDEX(Parties!$E$5:$E$304,R1252)&lt;&gt;"",INDEX(Parties!$E$5:$E$304,R1252)&lt;&gt;HomeState),ROUND(K1252*L1252,2),0)),"")</f>
        <v/>
      </c>
      <c r="P1252" s="61" t="str">
        <f aca="false">IF(IsPro,IF($D1252="","",K1252+M1252+N1252+O1252),"")</f>
        <v/>
      </c>
      <c r="Q1252" s="60" t="str">
        <f aca="false">IF(IsPro,IF($D1252="","",IFERROR(MATCH($D1252,Items!$A$5:$A$504,0),"")),"")</f>
        <v/>
      </c>
      <c r="R1252" s="60" t="str">
        <f aca="false">IF(IsPro,IF($C1252="","",IFERROR(MATCH($C1252,Parties!$A$5:$A$304,0),"")),"")</f>
        <v/>
      </c>
      <c r="S1252" s="61" t="str">
        <f aca="false">IF(IsPro,IF($D1252="","",IF(OR($H1252="",$H1252="Credit"),0,P1252)),"")</f>
        <v/>
      </c>
    </row>
    <row r="1253" customFormat="false" ht="15" hidden="false" customHeight="false" outlineLevel="0" collapsed="false">
      <c r="A1253" s="55"/>
      <c r="B1253" s="56"/>
      <c r="C1253" s="56"/>
      <c r="D1253" s="56"/>
      <c r="E1253" s="57"/>
      <c r="F1253" s="58"/>
      <c r="G1253" s="59"/>
      <c r="H1253" s="56"/>
      <c r="I1253" s="60" t="str">
        <f aca="false">IF(IsPro,IF($D1253="","",IFERROR(INDEX(Items!$D$5:$D$504,Q1253),"")),IF($D1253="","","PRO PLAN"))</f>
        <v/>
      </c>
      <c r="J1253" s="61" t="str">
        <f aca="false">IF(IsPro,IF($D1253="","",IF($F1253="",IFERROR(INDEX(Items!$G$5:$G$504,Q1253),0),$F1253)),"")</f>
        <v/>
      </c>
      <c r="K1253" s="61" t="str">
        <f aca="false">IF(IsPro,IF($D1253="","",ROUND(N($E1253)*J1253*(1-N($G1253)),2)),"")</f>
        <v/>
      </c>
      <c r="L1253" s="62" t="str">
        <f aca="false">IF(IsPro,IF($D1253="","",IFERROR(INDEX(Items!$F$5:$F$504,Q1253),0)),"")</f>
        <v/>
      </c>
      <c r="M1253" s="61" t="str">
        <f aca="false">IF(IsPro,IF($D1253="","",IF(AND(R1253&lt;&gt;"",INDEX(Parties!$E$5:$E$304,R1253)&lt;&gt;"",INDEX(Parties!$E$5:$E$304,R1253)&lt;&gt;HomeState),0,ROUND(K1253*L1253/2,2))),"")</f>
        <v/>
      </c>
      <c r="N1253" s="61" t="str">
        <f aca="false">IF(IsPro,IF($D1253="","",M1253),"")</f>
        <v/>
      </c>
      <c r="O1253" s="61" t="str">
        <f aca="false">IF(IsPro,IF($D1253="","",IF(AND(R1253&lt;&gt;"",INDEX(Parties!$E$5:$E$304,R1253)&lt;&gt;"",INDEX(Parties!$E$5:$E$304,R1253)&lt;&gt;HomeState),ROUND(K1253*L1253,2),0)),"")</f>
        <v/>
      </c>
      <c r="P1253" s="61" t="str">
        <f aca="false">IF(IsPro,IF($D1253="","",K1253+M1253+N1253+O1253),"")</f>
        <v/>
      </c>
      <c r="Q1253" s="60" t="str">
        <f aca="false">IF(IsPro,IF($D1253="","",IFERROR(MATCH($D1253,Items!$A$5:$A$504,0),"")),"")</f>
        <v/>
      </c>
      <c r="R1253" s="60" t="str">
        <f aca="false">IF(IsPro,IF($C1253="","",IFERROR(MATCH($C1253,Parties!$A$5:$A$304,0),"")),"")</f>
        <v/>
      </c>
      <c r="S1253" s="61" t="str">
        <f aca="false">IF(IsPro,IF($D1253="","",IF(OR($H1253="",$H1253="Credit"),0,P1253)),"")</f>
        <v/>
      </c>
    </row>
    <row r="1254" customFormat="false" ht="15" hidden="false" customHeight="false" outlineLevel="0" collapsed="false">
      <c r="A1254" s="55"/>
      <c r="B1254" s="56"/>
      <c r="C1254" s="56"/>
      <c r="D1254" s="56"/>
      <c r="E1254" s="57"/>
      <c r="F1254" s="58"/>
      <c r="G1254" s="59"/>
      <c r="H1254" s="56"/>
      <c r="I1254" s="60" t="str">
        <f aca="false">IF(IsPro,IF($D1254="","",IFERROR(INDEX(Items!$D$5:$D$504,Q1254),"")),IF($D1254="","","PRO PLAN"))</f>
        <v/>
      </c>
      <c r="J1254" s="61" t="str">
        <f aca="false">IF(IsPro,IF($D1254="","",IF($F1254="",IFERROR(INDEX(Items!$G$5:$G$504,Q1254),0),$F1254)),"")</f>
        <v/>
      </c>
      <c r="K1254" s="61" t="str">
        <f aca="false">IF(IsPro,IF($D1254="","",ROUND(N($E1254)*J1254*(1-N($G1254)),2)),"")</f>
        <v/>
      </c>
      <c r="L1254" s="62" t="str">
        <f aca="false">IF(IsPro,IF($D1254="","",IFERROR(INDEX(Items!$F$5:$F$504,Q1254),0)),"")</f>
        <v/>
      </c>
      <c r="M1254" s="61" t="str">
        <f aca="false">IF(IsPro,IF($D1254="","",IF(AND(R1254&lt;&gt;"",INDEX(Parties!$E$5:$E$304,R1254)&lt;&gt;"",INDEX(Parties!$E$5:$E$304,R1254)&lt;&gt;HomeState),0,ROUND(K1254*L1254/2,2))),"")</f>
        <v/>
      </c>
      <c r="N1254" s="61" t="str">
        <f aca="false">IF(IsPro,IF($D1254="","",M1254),"")</f>
        <v/>
      </c>
      <c r="O1254" s="61" t="str">
        <f aca="false">IF(IsPro,IF($D1254="","",IF(AND(R1254&lt;&gt;"",INDEX(Parties!$E$5:$E$304,R1254)&lt;&gt;"",INDEX(Parties!$E$5:$E$304,R1254)&lt;&gt;HomeState),ROUND(K1254*L1254,2),0)),"")</f>
        <v/>
      </c>
      <c r="P1254" s="61" t="str">
        <f aca="false">IF(IsPro,IF($D1254="","",K1254+M1254+N1254+O1254),"")</f>
        <v/>
      </c>
      <c r="Q1254" s="60" t="str">
        <f aca="false">IF(IsPro,IF($D1254="","",IFERROR(MATCH($D1254,Items!$A$5:$A$504,0),"")),"")</f>
        <v/>
      </c>
      <c r="R1254" s="60" t="str">
        <f aca="false">IF(IsPro,IF($C1254="","",IFERROR(MATCH($C1254,Parties!$A$5:$A$304,0),"")),"")</f>
        <v/>
      </c>
      <c r="S1254" s="61" t="str">
        <f aca="false">IF(IsPro,IF($D1254="","",IF(OR($H1254="",$H1254="Credit"),0,P1254)),"")</f>
        <v/>
      </c>
    </row>
    <row r="1255" customFormat="false" ht="15" hidden="false" customHeight="false" outlineLevel="0" collapsed="false">
      <c r="A1255" s="55"/>
      <c r="B1255" s="56"/>
      <c r="C1255" s="56"/>
      <c r="D1255" s="56"/>
      <c r="E1255" s="57"/>
      <c r="F1255" s="58"/>
      <c r="G1255" s="59"/>
      <c r="H1255" s="56"/>
      <c r="I1255" s="60" t="str">
        <f aca="false">IF(IsPro,IF($D1255="","",IFERROR(INDEX(Items!$D$5:$D$504,Q1255),"")),IF($D1255="","","PRO PLAN"))</f>
        <v/>
      </c>
      <c r="J1255" s="61" t="str">
        <f aca="false">IF(IsPro,IF($D1255="","",IF($F1255="",IFERROR(INDEX(Items!$G$5:$G$504,Q1255),0),$F1255)),"")</f>
        <v/>
      </c>
      <c r="K1255" s="61" t="str">
        <f aca="false">IF(IsPro,IF($D1255="","",ROUND(N($E1255)*J1255*(1-N($G1255)),2)),"")</f>
        <v/>
      </c>
      <c r="L1255" s="62" t="str">
        <f aca="false">IF(IsPro,IF($D1255="","",IFERROR(INDEX(Items!$F$5:$F$504,Q1255),0)),"")</f>
        <v/>
      </c>
      <c r="M1255" s="61" t="str">
        <f aca="false">IF(IsPro,IF($D1255="","",IF(AND(R1255&lt;&gt;"",INDEX(Parties!$E$5:$E$304,R1255)&lt;&gt;"",INDEX(Parties!$E$5:$E$304,R1255)&lt;&gt;HomeState),0,ROUND(K1255*L1255/2,2))),"")</f>
        <v/>
      </c>
      <c r="N1255" s="61" t="str">
        <f aca="false">IF(IsPro,IF($D1255="","",M1255),"")</f>
        <v/>
      </c>
      <c r="O1255" s="61" t="str">
        <f aca="false">IF(IsPro,IF($D1255="","",IF(AND(R1255&lt;&gt;"",INDEX(Parties!$E$5:$E$304,R1255)&lt;&gt;"",INDEX(Parties!$E$5:$E$304,R1255)&lt;&gt;HomeState),ROUND(K1255*L1255,2),0)),"")</f>
        <v/>
      </c>
      <c r="P1255" s="61" t="str">
        <f aca="false">IF(IsPro,IF($D1255="","",K1255+M1255+N1255+O1255),"")</f>
        <v/>
      </c>
      <c r="Q1255" s="60" t="str">
        <f aca="false">IF(IsPro,IF($D1255="","",IFERROR(MATCH($D1255,Items!$A$5:$A$504,0),"")),"")</f>
        <v/>
      </c>
      <c r="R1255" s="60" t="str">
        <f aca="false">IF(IsPro,IF($C1255="","",IFERROR(MATCH($C1255,Parties!$A$5:$A$304,0),"")),"")</f>
        <v/>
      </c>
      <c r="S1255" s="61" t="str">
        <f aca="false">IF(IsPro,IF($D1255="","",IF(OR($H1255="",$H1255="Credit"),0,P1255)),"")</f>
        <v/>
      </c>
    </row>
    <row r="1256" customFormat="false" ht="15" hidden="false" customHeight="false" outlineLevel="0" collapsed="false">
      <c r="A1256" s="55"/>
      <c r="B1256" s="56"/>
      <c r="C1256" s="56"/>
      <c r="D1256" s="56"/>
      <c r="E1256" s="57"/>
      <c r="F1256" s="58"/>
      <c r="G1256" s="59"/>
      <c r="H1256" s="56"/>
      <c r="I1256" s="60" t="str">
        <f aca="false">IF(IsPro,IF($D1256="","",IFERROR(INDEX(Items!$D$5:$D$504,Q1256),"")),IF($D1256="","","PRO PLAN"))</f>
        <v/>
      </c>
      <c r="J1256" s="61" t="str">
        <f aca="false">IF(IsPro,IF($D1256="","",IF($F1256="",IFERROR(INDEX(Items!$G$5:$G$504,Q1256),0),$F1256)),"")</f>
        <v/>
      </c>
      <c r="K1256" s="61" t="str">
        <f aca="false">IF(IsPro,IF($D1256="","",ROUND(N($E1256)*J1256*(1-N($G1256)),2)),"")</f>
        <v/>
      </c>
      <c r="L1256" s="62" t="str">
        <f aca="false">IF(IsPro,IF($D1256="","",IFERROR(INDEX(Items!$F$5:$F$504,Q1256),0)),"")</f>
        <v/>
      </c>
      <c r="M1256" s="61" t="str">
        <f aca="false">IF(IsPro,IF($D1256="","",IF(AND(R1256&lt;&gt;"",INDEX(Parties!$E$5:$E$304,R1256)&lt;&gt;"",INDEX(Parties!$E$5:$E$304,R1256)&lt;&gt;HomeState),0,ROUND(K1256*L1256/2,2))),"")</f>
        <v/>
      </c>
      <c r="N1256" s="61" t="str">
        <f aca="false">IF(IsPro,IF($D1256="","",M1256),"")</f>
        <v/>
      </c>
      <c r="O1256" s="61" t="str">
        <f aca="false">IF(IsPro,IF($D1256="","",IF(AND(R1256&lt;&gt;"",INDEX(Parties!$E$5:$E$304,R1256)&lt;&gt;"",INDEX(Parties!$E$5:$E$304,R1256)&lt;&gt;HomeState),ROUND(K1256*L1256,2),0)),"")</f>
        <v/>
      </c>
      <c r="P1256" s="61" t="str">
        <f aca="false">IF(IsPro,IF($D1256="","",K1256+M1256+N1256+O1256),"")</f>
        <v/>
      </c>
      <c r="Q1256" s="60" t="str">
        <f aca="false">IF(IsPro,IF($D1256="","",IFERROR(MATCH($D1256,Items!$A$5:$A$504,0),"")),"")</f>
        <v/>
      </c>
      <c r="R1256" s="60" t="str">
        <f aca="false">IF(IsPro,IF($C1256="","",IFERROR(MATCH($C1256,Parties!$A$5:$A$304,0),"")),"")</f>
        <v/>
      </c>
      <c r="S1256" s="61" t="str">
        <f aca="false">IF(IsPro,IF($D1256="","",IF(OR($H1256="",$H1256="Credit"),0,P1256)),"")</f>
        <v/>
      </c>
    </row>
    <row r="1257" customFormat="false" ht="15" hidden="false" customHeight="false" outlineLevel="0" collapsed="false">
      <c r="A1257" s="55"/>
      <c r="B1257" s="56"/>
      <c r="C1257" s="56"/>
      <c r="D1257" s="56"/>
      <c r="E1257" s="57"/>
      <c r="F1257" s="58"/>
      <c r="G1257" s="59"/>
      <c r="H1257" s="56"/>
      <c r="I1257" s="60" t="str">
        <f aca="false">IF(IsPro,IF($D1257="","",IFERROR(INDEX(Items!$D$5:$D$504,Q1257),"")),IF($D1257="","","PRO PLAN"))</f>
        <v/>
      </c>
      <c r="J1257" s="61" t="str">
        <f aca="false">IF(IsPro,IF($D1257="","",IF($F1257="",IFERROR(INDEX(Items!$G$5:$G$504,Q1257),0),$F1257)),"")</f>
        <v/>
      </c>
      <c r="K1257" s="61" t="str">
        <f aca="false">IF(IsPro,IF($D1257="","",ROUND(N($E1257)*J1257*(1-N($G1257)),2)),"")</f>
        <v/>
      </c>
      <c r="L1257" s="62" t="str">
        <f aca="false">IF(IsPro,IF($D1257="","",IFERROR(INDEX(Items!$F$5:$F$504,Q1257),0)),"")</f>
        <v/>
      </c>
      <c r="M1257" s="61" t="str">
        <f aca="false">IF(IsPro,IF($D1257="","",IF(AND(R1257&lt;&gt;"",INDEX(Parties!$E$5:$E$304,R1257)&lt;&gt;"",INDEX(Parties!$E$5:$E$304,R1257)&lt;&gt;HomeState),0,ROUND(K1257*L1257/2,2))),"")</f>
        <v/>
      </c>
      <c r="N1257" s="61" t="str">
        <f aca="false">IF(IsPro,IF($D1257="","",M1257),"")</f>
        <v/>
      </c>
      <c r="O1257" s="61" t="str">
        <f aca="false">IF(IsPro,IF($D1257="","",IF(AND(R1257&lt;&gt;"",INDEX(Parties!$E$5:$E$304,R1257)&lt;&gt;"",INDEX(Parties!$E$5:$E$304,R1257)&lt;&gt;HomeState),ROUND(K1257*L1257,2),0)),"")</f>
        <v/>
      </c>
      <c r="P1257" s="61" t="str">
        <f aca="false">IF(IsPro,IF($D1257="","",K1257+M1257+N1257+O1257),"")</f>
        <v/>
      </c>
      <c r="Q1257" s="60" t="str">
        <f aca="false">IF(IsPro,IF($D1257="","",IFERROR(MATCH($D1257,Items!$A$5:$A$504,0),"")),"")</f>
        <v/>
      </c>
      <c r="R1257" s="60" t="str">
        <f aca="false">IF(IsPro,IF($C1257="","",IFERROR(MATCH($C1257,Parties!$A$5:$A$304,0),"")),"")</f>
        <v/>
      </c>
      <c r="S1257" s="61" t="str">
        <f aca="false">IF(IsPro,IF($D1257="","",IF(OR($H1257="",$H1257="Credit"),0,P1257)),"")</f>
        <v/>
      </c>
    </row>
    <row r="1258" customFormat="false" ht="15" hidden="false" customHeight="false" outlineLevel="0" collapsed="false">
      <c r="A1258" s="55"/>
      <c r="B1258" s="56"/>
      <c r="C1258" s="56"/>
      <c r="D1258" s="56"/>
      <c r="E1258" s="57"/>
      <c r="F1258" s="58"/>
      <c r="G1258" s="59"/>
      <c r="H1258" s="56"/>
      <c r="I1258" s="60" t="str">
        <f aca="false">IF(IsPro,IF($D1258="","",IFERROR(INDEX(Items!$D$5:$D$504,Q1258),"")),IF($D1258="","","PRO PLAN"))</f>
        <v/>
      </c>
      <c r="J1258" s="61" t="str">
        <f aca="false">IF(IsPro,IF($D1258="","",IF($F1258="",IFERROR(INDEX(Items!$G$5:$G$504,Q1258),0),$F1258)),"")</f>
        <v/>
      </c>
      <c r="K1258" s="61" t="str">
        <f aca="false">IF(IsPro,IF($D1258="","",ROUND(N($E1258)*J1258*(1-N($G1258)),2)),"")</f>
        <v/>
      </c>
      <c r="L1258" s="62" t="str">
        <f aca="false">IF(IsPro,IF($D1258="","",IFERROR(INDEX(Items!$F$5:$F$504,Q1258),0)),"")</f>
        <v/>
      </c>
      <c r="M1258" s="61" t="str">
        <f aca="false">IF(IsPro,IF($D1258="","",IF(AND(R1258&lt;&gt;"",INDEX(Parties!$E$5:$E$304,R1258)&lt;&gt;"",INDEX(Parties!$E$5:$E$304,R1258)&lt;&gt;HomeState),0,ROUND(K1258*L1258/2,2))),"")</f>
        <v/>
      </c>
      <c r="N1258" s="61" t="str">
        <f aca="false">IF(IsPro,IF($D1258="","",M1258),"")</f>
        <v/>
      </c>
      <c r="O1258" s="61" t="str">
        <f aca="false">IF(IsPro,IF($D1258="","",IF(AND(R1258&lt;&gt;"",INDEX(Parties!$E$5:$E$304,R1258)&lt;&gt;"",INDEX(Parties!$E$5:$E$304,R1258)&lt;&gt;HomeState),ROUND(K1258*L1258,2),0)),"")</f>
        <v/>
      </c>
      <c r="P1258" s="61" t="str">
        <f aca="false">IF(IsPro,IF($D1258="","",K1258+M1258+N1258+O1258),"")</f>
        <v/>
      </c>
      <c r="Q1258" s="60" t="str">
        <f aca="false">IF(IsPro,IF($D1258="","",IFERROR(MATCH($D1258,Items!$A$5:$A$504,0),"")),"")</f>
        <v/>
      </c>
      <c r="R1258" s="60" t="str">
        <f aca="false">IF(IsPro,IF($C1258="","",IFERROR(MATCH($C1258,Parties!$A$5:$A$304,0),"")),"")</f>
        <v/>
      </c>
      <c r="S1258" s="61" t="str">
        <f aca="false">IF(IsPro,IF($D1258="","",IF(OR($H1258="",$H1258="Credit"),0,P1258)),"")</f>
        <v/>
      </c>
    </row>
    <row r="1259" customFormat="false" ht="15" hidden="false" customHeight="false" outlineLevel="0" collapsed="false">
      <c r="A1259" s="55"/>
      <c r="B1259" s="56"/>
      <c r="C1259" s="56"/>
      <c r="D1259" s="56"/>
      <c r="E1259" s="57"/>
      <c r="F1259" s="58"/>
      <c r="G1259" s="59"/>
      <c r="H1259" s="56"/>
      <c r="I1259" s="60" t="str">
        <f aca="false">IF(IsPro,IF($D1259="","",IFERROR(INDEX(Items!$D$5:$D$504,Q1259),"")),IF($D1259="","","PRO PLAN"))</f>
        <v/>
      </c>
      <c r="J1259" s="61" t="str">
        <f aca="false">IF(IsPro,IF($D1259="","",IF($F1259="",IFERROR(INDEX(Items!$G$5:$G$504,Q1259),0),$F1259)),"")</f>
        <v/>
      </c>
      <c r="K1259" s="61" t="str">
        <f aca="false">IF(IsPro,IF($D1259="","",ROUND(N($E1259)*J1259*(1-N($G1259)),2)),"")</f>
        <v/>
      </c>
      <c r="L1259" s="62" t="str">
        <f aca="false">IF(IsPro,IF($D1259="","",IFERROR(INDEX(Items!$F$5:$F$504,Q1259),0)),"")</f>
        <v/>
      </c>
      <c r="M1259" s="61" t="str">
        <f aca="false">IF(IsPro,IF($D1259="","",IF(AND(R1259&lt;&gt;"",INDEX(Parties!$E$5:$E$304,R1259)&lt;&gt;"",INDEX(Parties!$E$5:$E$304,R1259)&lt;&gt;HomeState),0,ROUND(K1259*L1259/2,2))),"")</f>
        <v/>
      </c>
      <c r="N1259" s="61" t="str">
        <f aca="false">IF(IsPro,IF($D1259="","",M1259),"")</f>
        <v/>
      </c>
      <c r="O1259" s="61" t="str">
        <f aca="false">IF(IsPro,IF($D1259="","",IF(AND(R1259&lt;&gt;"",INDEX(Parties!$E$5:$E$304,R1259)&lt;&gt;"",INDEX(Parties!$E$5:$E$304,R1259)&lt;&gt;HomeState),ROUND(K1259*L1259,2),0)),"")</f>
        <v/>
      </c>
      <c r="P1259" s="61" t="str">
        <f aca="false">IF(IsPro,IF($D1259="","",K1259+M1259+N1259+O1259),"")</f>
        <v/>
      </c>
      <c r="Q1259" s="60" t="str">
        <f aca="false">IF(IsPro,IF($D1259="","",IFERROR(MATCH($D1259,Items!$A$5:$A$504,0),"")),"")</f>
        <v/>
      </c>
      <c r="R1259" s="60" t="str">
        <f aca="false">IF(IsPro,IF($C1259="","",IFERROR(MATCH($C1259,Parties!$A$5:$A$304,0),"")),"")</f>
        <v/>
      </c>
      <c r="S1259" s="61" t="str">
        <f aca="false">IF(IsPro,IF($D1259="","",IF(OR($H1259="",$H1259="Credit"),0,P1259)),"")</f>
        <v/>
      </c>
    </row>
    <row r="1260" customFormat="false" ht="15" hidden="false" customHeight="false" outlineLevel="0" collapsed="false">
      <c r="A1260" s="55"/>
      <c r="B1260" s="56"/>
      <c r="C1260" s="56"/>
      <c r="D1260" s="56"/>
      <c r="E1260" s="57"/>
      <c r="F1260" s="58"/>
      <c r="G1260" s="59"/>
      <c r="H1260" s="56"/>
      <c r="I1260" s="60" t="str">
        <f aca="false">IF(IsPro,IF($D1260="","",IFERROR(INDEX(Items!$D$5:$D$504,Q1260),"")),IF($D1260="","","PRO PLAN"))</f>
        <v/>
      </c>
      <c r="J1260" s="61" t="str">
        <f aca="false">IF(IsPro,IF($D1260="","",IF($F1260="",IFERROR(INDEX(Items!$G$5:$G$504,Q1260),0),$F1260)),"")</f>
        <v/>
      </c>
      <c r="K1260" s="61" t="str">
        <f aca="false">IF(IsPro,IF($D1260="","",ROUND(N($E1260)*J1260*(1-N($G1260)),2)),"")</f>
        <v/>
      </c>
      <c r="L1260" s="62" t="str">
        <f aca="false">IF(IsPro,IF($D1260="","",IFERROR(INDEX(Items!$F$5:$F$504,Q1260),0)),"")</f>
        <v/>
      </c>
      <c r="M1260" s="61" t="str">
        <f aca="false">IF(IsPro,IF($D1260="","",IF(AND(R1260&lt;&gt;"",INDEX(Parties!$E$5:$E$304,R1260)&lt;&gt;"",INDEX(Parties!$E$5:$E$304,R1260)&lt;&gt;HomeState),0,ROUND(K1260*L1260/2,2))),"")</f>
        <v/>
      </c>
      <c r="N1260" s="61" t="str">
        <f aca="false">IF(IsPro,IF($D1260="","",M1260),"")</f>
        <v/>
      </c>
      <c r="O1260" s="61" t="str">
        <f aca="false">IF(IsPro,IF($D1260="","",IF(AND(R1260&lt;&gt;"",INDEX(Parties!$E$5:$E$304,R1260)&lt;&gt;"",INDEX(Parties!$E$5:$E$304,R1260)&lt;&gt;HomeState),ROUND(K1260*L1260,2),0)),"")</f>
        <v/>
      </c>
      <c r="P1260" s="61" t="str">
        <f aca="false">IF(IsPro,IF($D1260="","",K1260+M1260+N1260+O1260),"")</f>
        <v/>
      </c>
      <c r="Q1260" s="60" t="str">
        <f aca="false">IF(IsPro,IF($D1260="","",IFERROR(MATCH($D1260,Items!$A$5:$A$504,0),"")),"")</f>
        <v/>
      </c>
      <c r="R1260" s="60" t="str">
        <f aca="false">IF(IsPro,IF($C1260="","",IFERROR(MATCH($C1260,Parties!$A$5:$A$304,0),"")),"")</f>
        <v/>
      </c>
      <c r="S1260" s="61" t="str">
        <f aca="false">IF(IsPro,IF($D1260="","",IF(OR($H1260="",$H1260="Credit"),0,P1260)),"")</f>
        <v/>
      </c>
    </row>
    <row r="1261" customFormat="false" ht="15" hidden="false" customHeight="false" outlineLevel="0" collapsed="false">
      <c r="A1261" s="55"/>
      <c r="B1261" s="56"/>
      <c r="C1261" s="56"/>
      <c r="D1261" s="56"/>
      <c r="E1261" s="57"/>
      <c r="F1261" s="58"/>
      <c r="G1261" s="59"/>
      <c r="H1261" s="56"/>
      <c r="I1261" s="60" t="str">
        <f aca="false">IF(IsPro,IF($D1261="","",IFERROR(INDEX(Items!$D$5:$D$504,Q1261),"")),IF($D1261="","","PRO PLAN"))</f>
        <v/>
      </c>
      <c r="J1261" s="61" t="str">
        <f aca="false">IF(IsPro,IF($D1261="","",IF($F1261="",IFERROR(INDEX(Items!$G$5:$G$504,Q1261),0),$F1261)),"")</f>
        <v/>
      </c>
      <c r="K1261" s="61" t="str">
        <f aca="false">IF(IsPro,IF($D1261="","",ROUND(N($E1261)*J1261*(1-N($G1261)),2)),"")</f>
        <v/>
      </c>
      <c r="L1261" s="62" t="str">
        <f aca="false">IF(IsPro,IF($D1261="","",IFERROR(INDEX(Items!$F$5:$F$504,Q1261),0)),"")</f>
        <v/>
      </c>
      <c r="M1261" s="61" t="str">
        <f aca="false">IF(IsPro,IF($D1261="","",IF(AND(R1261&lt;&gt;"",INDEX(Parties!$E$5:$E$304,R1261)&lt;&gt;"",INDEX(Parties!$E$5:$E$304,R1261)&lt;&gt;HomeState),0,ROUND(K1261*L1261/2,2))),"")</f>
        <v/>
      </c>
      <c r="N1261" s="61" t="str">
        <f aca="false">IF(IsPro,IF($D1261="","",M1261),"")</f>
        <v/>
      </c>
      <c r="O1261" s="61" t="str">
        <f aca="false">IF(IsPro,IF($D1261="","",IF(AND(R1261&lt;&gt;"",INDEX(Parties!$E$5:$E$304,R1261)&lt;&gt;"",INDEX(Parties!$E$5:$E$304,R1261)&lt;&gt;HomeState),ROUND(K1261*L1261,2),0)),"")</f>
        <v/>
      </c>
      <c r="P1261" s="61" t="str">
        <f aca="false">IF(IsPro,IF($D1261="","",K1261+M1261+N1261+O1261),"")</f>
        <v/>
      </c>
      <c r="Q1261" s="60" t="str">
        <f aca="false">IF(IsPro,IF($D1261="","",IFERROR(MATCH($D1261,Items!$A$5:$A$504,0),"")),"")</f>
        <v/>
      </c>
      <c r="R1261" s="60" t="str">
        <f aca="false">IF(IsPro,IF($C1261="","",IFERROR(MATCH($C1261,Parties!$A$5:$A$304,0),"")),"")</f>
        <v/>
      </c>
      <c r="S1261" s="61" t="str">
        <f aca="false">IF(IsPro,IF($D1261="","",IF(OR($H1261="",$H1261="Credit"),0,P1261)),"")</f>
        <v/>
      </c>
    </row>
    <row r="1262" customFormat="false" ht="15" hidden="false" customHeight="false" outlineLevel="0" collapsed="false">
      <c r="A1262" s="55"/>
      <c r="B1262" s="56"/>
      <c r="C1262" s="56"/>
      <c r="D1262" s="56"/>
      <c r="E1262" s="57"/>
      <c r="F1262" s="58"/>
      <c r="G1262" s="59"/>
      <c r="H1262" s="56"/>
      <c r="I1262" s="60" t="str">
        <f aca="false">IF(IsPro,IF($D1262="","",IFERROR(INDEX(Items!$D$5:$D$504,Q1262),"")),IF($D1262="","","PRO PLAN"))</f>
        <v/>
      </c>
      <c r="J1262" s="61" t="str">
        <f aca="false">IF(IsPro,IF($D1262="","",IF($F1262="",IFERROR(INDEX(Items!$G$5:$G$504,Q1262),0),$F1262)),"")</f>
        <v/>
      </c>
      <c r="K1262" s="61" t="str">
        <f aca="false">IF(IsPro,IF($D1262="","",ROUND(N($E1262)*J1262*(1-N($G1262)),2)),"")</f>
        <v/>
      </c>
      <c r="L1262" s="62" t="str">
        <f aca="false">IF(IsPro,IF($D1262="","",IFERROR(INDEX(Items!$F$5:$F$504,Q1262),0)),"")</f>
        <v/>
      </c>
      <c r="M1262" s="61" t="str">
        <f aca="false">IF(IsPro,IF($D1262="","",IF(AND(R1262&lt;&gt;"",INDEX(Parties!$E$5:$E$304,R1262)&lt;&gt;"",INDEX(Parties!$E$5:$E$304,R1262)&lt;&gt;HomeState),0,ROUND(K1262*L1262/2,2))),"")</f>
        <v/>
      </c>
      <c r="N1262" s="61" t="str">
        <f aca="false">IF(IsPro,IF($D1262="","",M1262),"")</f>
        <v/>
      </c>
      <c r="O1262" s="61" t="str">
        <f aca="false">IF(IsPro,IF($D1262="","",IF(AND(R1262&lt;&gt;"",INDEX(Parties!$E$5:$E$304,R1262)&lt;&gt;"",INDEX(Parties!$E$5:$E$304,R1262)&lt;&gt;HomeState),ROUND(K1262*L1262,2),0)),"")</f>
        <v/>
      </c>
      <c r="P1262" s="61" t="str">
        <f aca="false">IF(IsPro,IF($D1262="","",K1262+M1262+N1262+O1262),"")</f>
        <v/>
      </c>
      <c r="Q1262" s="60" t="str">
        <f aca="false">IF(IsPro,IF($D1262="","",IFERROR(MATCH($D1262,Items!$A$5:$A$504,0),"")),"")</f>
        <v/>
      </c>
      <c r="R1262" s="60" t="str">
        <f aca="false">IF(IsPro,IF($C1262="","",IFERROR(MATCH($C1262,Parties!$A$5:$A$304,0),"")),"")</f>
        <v/>
      </c>
      <c r="S1262" s="61" t="str">
        <f aca="false">IF(IsPro,IF($D1262="","",IF(OR($H1262="",$H1262="Credit"),0,P1262)),"")</f>
        <v/>
      </c>
    </row>
    <row r="1263" customFormat="false" ht="15" hidden="false" customHeight="false" outlineLevel="0" collapsed="false">
      <c r="A1263" s="55"/>
      <c r="B1263" s="56"/>
      <c r="C1263" s="56"/>
      <c r="D1263" s="56"/>
      <c r="E1263" s="57"/>
      <c r="F1263" s="58"/>
      <c r="G1263" s="59"/>
      <c r="H1263" s="56"/>
      <c r="I1263" s="60" t="str">
        <f aca="false">IF(IsPro,IF($D1263="","",IFERROR(INDEX(Items!$D$5:$D$504,Q1263),"")),IF($D1263="","","PRO PLAN"))</f>
        <v/>
      </c>
      <c r="J1263" s="61" t="str">
        <f aca="false">IF(IsPro,IF($D1263="","",IF($F1263="",IFERROR(INDEX(Items!$G$5:$G$504,Q1263),0),$F1263)),"")</f>
        <v/>
      </c>
      <c r="K1263" s="61" t="str">
        <f aca="false">IF(IsPro,IF($D1263="","",ROUND(N($E1263)*J1263*(1-N($G1263)),2)),"")</f>
        <v/>
      </c>
      <c r="L1263" s="62" t="str">
        <f aca="false">IF(IsPro,IF($D1263="","",IFERROR(INDEX(Items!$F$5:$F$504,Q1263),0)),"")</f>
        <v/>
      </c>
      <c r="M1263" s="61" t="str">
        <f aca="false">IF(IsPro,IF($D1263="","",IF(AND(R1263&lt;&gt;"",INDEX(Parties!$E$5:$E$304,R1263)&lt;&gt;"",INDEX(Parties!$E$5:$E$304,R1263)&lt;&gt;HomeState),0,ROUND(K1263*L1263/2,2))),"")</f>
        <v/>
      </c>
      <c r="N1263" s="61" t="str">
        <f aca="false">IF(IsPro,IF($D1263="","",M1263),"")</f>
        <v/>
      </c>
      <c r="O1263" s="61" t="str">
        <f aca="false">IF(IsPro,IF($D1263="","",IF(AND(R1263&lt;&gt;"",INDEX(Parties!$E$5:$E$304,R1263)&lt;&gt;"",INDEX(Parties!$E$5:$E$304,R1263)&lt;&gt;HomeState),ROUND(K1263*L1263,2),0)),"")</f>
        <v/>
      </c>
      <c r="P1263" s="61" t="str">
        <f aca="false">IF(IsPro,IF($D1263="","",K1263+M1263+N1263+O1263),"")</f>
        <v/>
      </c>
      <c r="Q1263" s="60" t="str">
        <f aca="false">IF(IsPro,IF($D1263="","",IFERROR(MATCH($D1263,Items!$A$5:$A$504,0),"")),"")</f>
        <v/>
      </c>
      <c r="R1263" s="60" t="str">
        <f aca="false">IF(IsPro,IF($C1263="","",IFERROR(MATCH($C1263,Parties!$A$5:$A$304,0),"")),"")</f>
        <v/>
      </c>
      <c r="S1263" s="61" t="str">
        <f aca="false">IF(IsPro,IF($D1263="","",IF(OR($H1263="",$H1263="Credit"),0,P1263)),"")</f>
        <v/>
      </c>
    </row>
    <row r="1264" customFormat="false" ht="15" hidden="false" customHeight="false" outlineLevel="0" collapsed="false">
      <c r="A1264" s="55"/>
      <c r="B1264" s="56"/>
      <c r="C1264" s="56"/>
      <c r="D1264" s="56"/>
      <c r="E1264" s="57"/>
      <c r="F1264" s="58"/>
      <c r="G1264" s="59"/>
      <c r="H1264" s="56"/>
      <c r="I1264" s="60" t="str">
        <f aca="false">IF(IsPro,IF($D1264="","",IFERROR(INDEX(Items!$D$5:$D$504,Q1264),"")),IF($D1264="","","PRO PLAN"))</f>
        <v/>
      </c>
      <c r="J1264" s="61" t="str">
        <f aca="false">IF(IsPro,IF($D1264="","",IF($F1264="",IFERROR(INDEX(Items!$G$5:$G$504,Q1264),0),$F1264)),"")</f>
        <v/>
      </c>
      <c r="K1264" s="61" t="str">
        <f aca="false">IF(IsPro,IF($D1264="","",ROUND(N($E1264)*J1264*(1-N($G1264)),2)),"")</f>
        <v/>
      </c>
      <c r="L1264" s="62" t="str">
        <f aca="false">IF(IsPro,IF($D1264="","",IFERROR(INDEX(Items!$F$5:$F$504,Q1264),0)),"")</f>
        <v/>
      </c>
      <c r="M1264" s="61" t="str">
        <f aca="false">IF(IsPro,IF($D1264="","",IF(AND(R1264&lt;&gt;"",INDEX(Parties!$E$5:$E$304,R1264)&lt;&gt;"",INDEX(Parties!$E$5:$E$304,R1264)&lt;&gt;HomeState),0,ROUND(K1264*L1264/2,2))),"")</f>
        <v/>
      </c>
      <c r="N1264" s="61" t="str">
        <f aca="false">IF(IsPro,IF($D1264="","",M1264),"")</f>
        <v/>
      </c>
      <c r="O1264" s="61" t="str">
        <f aca="false">IF(IsPro,IF($D1264="","",IF(AND(R1264&lt;&gt;"",INDEX(Parties!$E$5:$E$304,R1264)&lt;&gt;"",INDEX(Parties!$E$5:$E$304,R1264)&lt;&gt;HomeState),ROUND(K1264*L1264,2),0)),"")</f>
        <v/>
      </c>
      <c r="P1264" s="61" t="str">
        <f aca="false">IF(IsPro,IF($D1264="","",K1264+M1264+N1264+O1264),"")</f>
        <v/>
      </c>
      <c r="Q1264" s="60" t="str">
        <f aca="false">IF(IsPro,IF($D1264="","",IFERROR(MATCH($D1264,Items!$A$5:$A$504,0),"")),"")</f>
        <v/>
      </c>
      <c r="R1264" s="60" t="str">
        <f aca="false">IF(IsPro,IF($C1264="","",IFERROR(MATCH($C1264,Parties!$A$5:$A$304,0),"")),"")</f>
        <v/>
      </c>
      <c r="S1264" s="61" t="str">
        <f aca="false">IF(IsPro,IF($D1264="","",IF(OR($H1264="",$H1264="Credit"),0,P1264)),"")</f>
        <v/>
      </c>
    </row>
    <row r="1265" customFormat="false" ht="15" hidden="false" customHeight="false" outlineLevel="0" collapsed="false">
      <c r="A1265" s="55"/>
      <c r="B1265" s="56"/>
      <c r="C1265" s="56"/>
      <c r="D1265" s="56"/>
      <c r="E1265" s="57"/>
      <c r="F1265" s="58"/>
      <c r="G1265" s="59"/>
      <c r="H1265" s="56"/>
      <c r="I1265" s="60" t="str">
        <f aca="false">IF(IsPro,IF($D1265="","",IFERROR(INDEX(Items!$D$5:$D$504,Q1265),"")),IF($D1265="","","PRO PLAN"))</f>
        <v/>
      </c>
      <c r="J1265" s="61" t="str">
        <f aca="false">IF(IsPro,IF($D1265="","",IF($F1265="",IFERROR(INDEX(Items!$G$5:$G$504,Q1265),0),$F1265)),"")</f>
        <v/>
      </c>
      <c r="K1265" s="61" t="str">
        <f aca="false">IF(IsPro,IF($D1265="","",ROUND(N($E1265)*J1265*(1-N($G1265)),2)),"")</f>
        <v/>
      </c>
      <c r="L1265" s="62" t="str">
        <f aca="false">IF(IsPro,IF($D1265="","",IFERROR(INDEX(Items!$F$5:$F$504,Q1265),0)),"")</f>
        <v/>
      </c>
      <c r="M1265" s="61" t="str">
        <f aca="false">IF(IsPro,IF($D1265="","",IF(AND(R1265&lt;&gt;"",INDEX(Parties!$E$5:$E$304,R1265)&lt;&gt;"",INDEX(Parties!$E$5:$E$304,R1265)&lt;&gt;HomeState),0,ROUND(K1265*L1265/2,2))),"")</f>
        <v/>
      </c>
      <c r="N1265" s="61" t="str">
        <f aca="false">IF(IsPro,IF($D1265="","",M1265),"")</f>
        <v/>
      </c>
      <c r="O1265" s="61" t="str">
        <f aca="false">IF(IsPro,IF($D1265="","",IF(AND(R1265&lt;&gt;"",INDEX(Parties!$E$5:$E$304,R1265)&lt;&gt;"",INDEX(Parties!$E$5:$E$304,R1265)&lt;&gt;HomeState),ROUND(K1265*L1265,2),0)),"")</f>
        <v/>
      </c>
      <c r="P1265" s="61" t="str">
        <f aca="false">IF(IsPro,IF($D1265="","",K1265+M1265+N1265+O1265),"")</f>
        <v/>
      </c>
      <c r="Q1265" s="60" t="str">
        <f aca="false">IF(IsPro,IF($D1265="","",IFERROR(MATCH($D1265,Items!$A$5:$A$504,0),"")),"")</f>
        <v/>
      </c>
      <c r="R1265" s="60" t="str">
        <f aca="false">IF(IsPro,IF($C1265="","",IFERROR(MATCH($C1265,Parties!$A$5:$A$304,0),"")),"")</f>
        <v/>
      </c>
      <c r="S1265" s="61" t="str">
        <f aca="false">IF(IsPro,IF($D1265="","",IF(OR($H1265="",$H1265="Credit"),0,P1265)),"")</f>
        <v/>
      </c>
    </row>
    <row r="1266" customFormat="false" ht="15" hidden="false" customHeight="false" outlineLevel="0" collapsed="false">
      <c r="A1266" s="55"/>
      <c r="B1266" s="56"/>
      <c r="C1266" s="56"/>
      <c r="D1266" s="56"/>
      <c r="E1266" s="57"/>
      <c r="F1266" s="58"/>
      <c r="G1266" s="59"/>
      <c r="H1266" s="56"/>
      <c r="I1266" s="60" t="str">
        <f aca="false">IF(IsPro,IF($D1266="","",IFERROR(INDEX(Items!$D$5:$D$504,Q1266),"")),IF($D1266="","","PRO PLAN"))</f>
        <v/>
      </c>
      <c r="J1266" s="61" t="str">
        <f aca="false">IF(IsPro,IF($D1266="","",IF($F1266="",IFERROR(INDEX(Items!$G$5:$G$504,Q1266),0),$F1266)),"")</f>
        <v/>
      </c>
      <c r="K1266" s="61" t="str">
        <f aca="false">IF(IsPro,IF($D1266="","",ROUND(N($E1266)*J1266*(1-N($G1266)),2)),"")</f>
        <v/>
      </c>
      <c r="L1266" s="62" t="str">
        <f aca="false">IF(IsPro,IF($D1266="","",IFERROR(INDEX(Items!$F$5:$F$504,Q1266),0)),"")</f>
        <v/>
      </c>
      <c r="M1266" s="61" t="str">
        <f aca="false">IF(IsPro,IF($D1266="","",IF(AND(R1266&lt;&gt;"",INDEX(Parties!$E$5:$E$304,R1266)&lt;&gt;"",INDEX(Parties!$E$5:$E$304,R1266)&lt;&gt;HomeState),0,ROUND(K1266*L1266/2,2))),"")</f>
        <v/>
      </c>
      <c r="N1266" s="61" t="str">
        <f aca="false">IF(IsPro,IF($D1266="","",M1266),"")</f>
        <v/>
      </c>
      <c r="O1266" s="61" t="str">
        <f aca="false">IF(IsPro,IF($D1266="","",IF(AND(R1266&lt;&gt;"",INDEX(Parties!$E$5:$E$304,R1266)&lt;&gt;"",INDEX(Parties!$E$5:$E$304,R1266)&lt;&gt;HomeState),ROUND(K1266*L1266,2),0)),"")</f>
        <v/>
      </c>
      <c r="P1266" s="61" t="str">
        <f aca="false">IF(IsPro,IF($D1266="","",K1266+M1266+N1266+O1266),"")</f>
        <v/>
      </c>
      <c r="Q1266" s="60" t="str">
        <f aca="false">IF(IsPro,IF($D1266="","",IFERROR(MATCH($D1266,Items!$A$5:$A$504,0),"")),"")</f>
        <v/>
      </c>
      <c r="R1266" s="60" t="str">
        <f aca="false">IF(IsPro,IF($C1266="","",IFERROR(MATCH($C1266,Parties!$A$5:$A$304,0),"")),"")</f>
        <v/>
      </c>
      <c r="S1266" s="61" t="str">
        <f aca="false">IF(IsPro,IF($D1266="","",IF(OR($H1266="",$H1266="Credit"),0,P1266)),"")</f>
        <v/>
      </c>
    </row>
    <row r="1267" customFormat="false" ht="15" hidden="false" customHeight="false" outlineLevel="0" collapsed="false">
      <c r="A1267" s="55"/>
      <c r="B1267" s="56"/>
      <c r="C1267" s="56"/>
      <c r="D1267" s="56"/>
      <c r="E1267" s="57"/>
      <c r="F1267" s="58"/>
      <c r="G1267" s="59"/>
      <c r="H1267" s="56"/>
      <c r="I1267" s="60" t="str">
        <f aca="false">IF(IsPro,IF($D1267="","",IFERROR(INDEX(Items!$D$5:$D$504,Q1267),"")),IF($D1267="","","PRO PLAN"))</f>
        <v/>
      </c>
      <c r="J1267" s="61" t="str">
        <f aca="false">IF(IsPro,IF($D1267="","",IF($F1267="",IFERROR(INDEX(Items!$G$5:$G$504,Q1267),0),$F1267)),"")</f>
        <v/>
      </c>
      <c r="K1267" s="61" t="str">
        <f aca="false">IF(IsPro,IF($D1267="","",ROUND(N($E1267)*J1267*(1-N($G1267)),2)),"")</f>
        <v/>
      </c>
      <c r="L1267" s="62" t="str">
        <f aca="false">IF(IsPro,IF($D1267="","",IFERROR(INDEX(Items!$F$5:$F$504,Q1267),0)),"")</f>
        <v/>
      </c>
      <c r="M1267" s="61" t="str">
        <f aca="false">IF(IsPro,IF($D1267="","",IF(AND(R1267&lt;&gt;"",INDEX(Parties!$E$5:$E$304,R1267)&lt;&gt;"",INDEX(Parties!$E$5:$E$304,R1267)&lt;&gt;HomeState),0,ROUND(K1267*L1267/2,2))),"")</f>
        <v/>
      </c>
      <c r="N1267" s="61" t="str">
        <f aca="false">IF(IsPro,IF($D1267="","",M1267),"")</f>
        <v/>
      </c>
      <c r="O1267" s="61" t="str">
        <f aca="false">IF(IsPro,IF($D1267="","",IF(AND(R1267&lt;&gt;"",INDEX(Parties!$E$5:$E$304,R1267)&lt;&gt;"",INDEX(Parties!$E$5:$E$304,R1267)&lt;&gt;HomeState),ROUND(K1267*L1267,2),0)),"")</f>
        <v/>
      </c>
      <c r="P1267" s="61" t="str">
        <f aca="false">IF(IsPro,IF($D1267="","",K1267+M1267+N1267+O1267),"")</f>
        <v/>
      </c>
      <c r="Q1267" s="60" t="str">
        <f aca="false">IF(IsPro,IF($D1267="","",IFERROR(MATCH($D1267,Items!$A$5:$A$504,0),"")),"")</f>
        <v/>
      </c>
      <c r="R1267" s="60" t="str">
        <f aca="false">IF(IsPro,IF($C1267="","",IFERROR(MATCH($C1267,Parties!$A$5:$A$304,0),"")),"")</f>
        <v/>
      </c>
      <c r="S1267" s="61" t="str">
        <f aca="false">IF(IsPro,IF($D1267="","",IF(OR($H1267="",$H1267="Credit"),0,P1267)),"")</f>
        <v/>
      </c>
    </row>
    <row r="1268" customFormat="false" ht="15" hidden="false" customHeight="false" outlineLevel="0" collapsed="false">
      <c r="A1268" s="55"/>
      <c r="B1268" s="56"/>
      <c r="C1268" s="56"/>
      <c r="D1268" s="56"/>
      <c r="E1268" s="57"/>
      <c r="F1268" s="58"/>
      <c r="G1268" s="59"/>
      <c r="H1268" s="56"/>
      <c r="I1268" s="60" t="str">
        <f aca="false">IF(IsPro,IF($D1268="","",IFERROR(INDEX(Items!$D$5:$D$504,Q1268),"")),IF($D1268="","","PRO PLAN"))</f>
        <v/>
      </c>
      <c r="J1268" s="61" t="str">
        <f aca="false">IF(IsPro,IF($D1268="","",IF($F1268="",IFERROR(INDEX(Items!$G$5:$G$504,Q1268),0),$F1268)),"")</f>
        <v/>
      </c>
      <c r="K1268" s="61" t="str">
        <f aca="false">IF(IsPro,IF($D1268="","",ROUND(N($E1268)*J1268*(1-N($G1268)),2)),"")</f>
        <v/>
      </c>
      <c r="L1268" s="62" t="str">
        <f aca="false">IF(IsPro,IF($D1268="","",IFERROR(INDEX(Items!$F$5:$F$504,Q1268),0)),"")</f>
        <v/>
      </c>
      <c r="M1268" s="61" t="str">
        <f aca="false">IF(IsPro,IF($D1268="","",IF(AND(R1268&lt;&gt;"",INDEX(Parties!$E$5:$E$304,R1268)&lt;&gt;"",INDEX(Parties!$E$5:$E$304,R1268)&lt;&gt;HomeState),0,ROUND(K1268*L1268/2,2))),"")</f>
        <v/>
      </c>
      <c r="N1268" s="61" t="str">
        <f aca="false">IF(IsPro,IF($D1268="","",M1268),"")</f>
        <v/>
      </c>
      <c r="O1268" s="61" t="str">
        <f aca="false">IF(IsPro,IF($D1268="","",IF(AND(R1268&lt;&gt;"",INDEX(Parties!$E$5:$E$304,R1268)&lt;&gt;"",INDEX(Parties!$E$5:$E$304,R1268)&lt;&gt;HomeState),ROUND(K1268*L1268,2),0)),"")</f>
        <v/>
      </c>
      <c r="P1268" s="61" t="str">
        <f aca="false">IF(IsPro,IF($D1268="","",K1268+M1268+N1268+O1268),"")</f>
        <v/>
      </c>
      <c r="Q1268" s="60" t="str">
        <f aca="false">IF(IsPro,IF($D1268="","",IFERROR(MATCH($D1268,Items!$A$5:$A$504,0),"")),"")</f>
        <v/>
      </c>
      <c r="R1268" s="60" t="str">
        <f aca="false">IF(IsPro,IF($C1268="","",IFERROR(MATCH($C1268,Parties!$A$5:$A$304,0),"")),"")</f>
        <v/>
      </c>
      <c r="S1268" s="61" t="str">
        <f aca="false">IF(IsPro,IF($D1268="","",IF(OR($H1268="",$H1268="Credit"),0,P1268)),"")</f>
        <v/>
      </c>
    </row>
    <row r="1269" customFormat="false" ht="15" hidden="false" customHeight="false" outlineLevel="0" collapsed="false">
      <c r="A1269" s="55"/>
      <c r="B1269" s="56"/>
      <c r="C1269" s="56"/>
      <c r="D1269" s="56"/>
      <c r="E1269" s="57"/>
      <c r="F1269" s="58"/>
      <c r="G1269" s="59"/>
      <c r="H1269" s="56"/>
      <c r="I1269" s="60" t="str">
        <f aca="false">IF(IsPro,IF($D1269="","",IFERROR(INDEX(Items!$D$5:$D$504,Q1269),"")),IF($D1269="","","PRO PLAN"))</f>
        <v/>
      </c>
      <c r="J1269" s="61" t="str">
        <f aca="false">IF(IsPro,IF($D1269="","",IF($F1269="",IFERROR(INDEX(Items!$G$5:$G$504,Q1269),0),$F1269)),"")</f>
        <v/>
      </c>
      <c r="K1269" s="61" t="str">
        <f aca="false">IF(IsPro,IF($D1269="","",ROUND(N($E1269)*J1269*(1-N($G1269)),2)),"")</f>
        <v/>
      </c>
      <c r="L1269" s="62" t="str">
        <f aca="false">IF(IsPro,IF($D1269="","",IFERROR(INDEX(Items!$F$5:$F$504,Q1269),0)),"")</f>
        <v/>
      </c>
      <c r="M1269" s="61" t="str">
        <f aca="false">IF(IsPro,IF($D1269="","",IF(AND(R1269&lt;&gt;"",INDEX(Parties!$E$5:$E$304,R1269)&lt;&gt;"",INDEX(Parties!$E$5:$E$304,R1269)&lt;&gt;HomeState),0,ROUND(K1269*L1269/2,2))),"")</f>
        <v/>
      </c>
      <c r="N1269" s="61" t="str">
        <f aca="false">IF(IsPro,IF($D1269="","",M1269),"")</f>
        <v/>
      </c>
      <c r="O1269" s="61" t="str">
        <f aca="false">IF(IsPro,IF($D1269="","",IF(AND(R1269&lt;&gt;"",INDEX(Parties!$E$5:$E$304,R1269)&lt;&gt;"",INDEX(Parties!$E$5:$E$304,R1269)&lt;&gt;HomeState),ROUND(K1269*L1269,2),0)),"")</f>
        <v/>
      </c>
      <c r="P1269" s="61" t="str">
        <f aca="false">IF(IsPro,IF($D1269="","",K1269+M1269+N1269+O1269),"")</f>
        <v/>
      </c>
      <c r="Q1269" s="60" t="str">
        <f aca="false">IF(IsPro,IF($D1269="","",IFERROR(MATCH($D1269,Items!$A$5:$A$504,0),"")),"")</f>
        <v/>
      </c>
      <c r="R1269" s="60" t="str">
        <f aca="false">IF(IsPro,IF($C1269="","",IFERROR(MATCH($C1269,Parties!$A$5:$A$304,0),"")),"")</f>
        <v/>
      </c>
      <c r="S1269" s="61" t="str">
        <f aca="false">IF(IsPro,IF($D1269="","",IF(OR($H1269="",$H1269="Credit"),0,P1269)),"")</f>
        <v/>
      </c>
    </row>
    <row r="1270" customFormat="false" ht="15" hidden="false" customHeight="false" outlineLevel="0" collapsed="false">
      <c r="A1270" s="55"/>
      <c r="B1270" s="56"/>
      <c r="C1270" s="56"/>
      <c r="D1270" s="56"/>
      <c r="E1270" s="57"/>
      <c r="F1270" s="58"/>
      <c r="G1270" s="59"/>
      <c r="H1270" s="56"/>
      <c r="I1270" s="60" t="str">
        <f aca="false">IF(IsPro,IF($D1270="","",IFERROR(INDEX(Items!$D$5:$D$504,Q1270),"")),IF($D1270="","","PRO PLAN"))</f>
        <v/>
      </c>
      <c r="J1270" s="61" t="str">
        <f aca="false">IF(IsPro,IF($D1270="","",IF($F1270="",IFERROR(INDEX(Items!$G$5:$G$504,Q1270),0),$F1270)),"")</f>
        <v/>
      </c>
      <c r="K1270" s="61" t="str">
        <f aca="false">IF(IsPro,IF($D1270="","",ROUND(N($E1270)*J1270*(1-N($G1270)),2)),"")</f>
        <v/>
      </c>
      <c r="L1270" s="62" t="str">
        <f aca="false">IF(IsPro,IF($D1270="","",IFERROR(INDEX(Items!$F$5:$F$504,Q1270),0)),"")</f>
        <v/>
      </c>
      <c r="M1270" s="61" t="str">
        <f aca="false">IF(IsPro,IF($D1270="","",IF(AND(R1270&lt;&gt;"",INDEX(Parties!$E$5:$E$304,R1270)&lt;&gt;"",INDEX(Parties!$E$5:$E$304,R1270)&lt;&gt;HomeState),0,ROUND(K1270*L1270/2,2))),"")</f>
        <v/>
      </c>
      <c r="N1270" s="61" t="str">
        <f aca="false">IF(IsPro,IF($D1270="","",M1270),"")</f>
        <v/>
      </c>
      <c r="O1270" s="61" t="str">
        <f aca="false">IF(IsPro,IF($D1270="","",IF(AND(R1270&lt;&gt;"",INDEX(Parties!$E$5:$E$304,R1270)&lt;&gt;"",INDEX(Parties!$E$5:$E$304,R1270)&lt;&gt;HomeState),ROUND(K1270*L1270,2),0)),"")</f>
        <v/>
      </c>
      <c r="P1270" s="61" t="str">
        <f aca="false">IF(IsPro,IF($D1270="","",K1270+M1270+N1270+O1270),"")</f>
        <v/>
      </c>
      <c r="Q1270" s="60" t="str">
        <f aca="false">IF(IsPro,IF($D1270="","",IFERROR(MATCH($D1270,Items!$A$5:$A$504,0),"")),"")</f>
        <v/>
      </c>
      <c r="R1270" s="60" t="str">
        <f aca="false">IF(IsPro,IF($C1270="","",IFERROR(MATCH($C1270,Parties!$A$5:$A$304,0),"")),"")</f>
        <v/>
      </c>
      <c r="S1270" s="61" t="str">
        <f aca="false">IF(IsPro,IF($D1270="","",IF(OR($H1270="",$H1270="Credit"),0,P1270)),"")</f>
        <v/>
      </c>
    </row>
    <row r="1271" customFormat="false" ht="15" hidden="false" customHeight="false" outlineLevel="0" collapsed="false">
      <c r="A1271" s="55"/>
      <c r="B1271" s="56"/>
      <c r="C1271" s="56"/>
      <c r="D1271" s="56"/>
      <c r="E1271" s="57"/>
      <c r="F1271" s="58"/>
      <c r="G1271" s="59"/>
      <c r="H1271" s="56"/>
      <c r="I1271" s="60" t="str">
        <f aca="false">IF(IsPro,IF($D1271="","",IFERROR(INDEX(Items!$D$5:$D$504,Q1271),"")),IF($D1271="","","PRO PLAN"))</f>
        <v/>
      </c>
      <c r="J1271" s="61" t="str">
        <f aca="false">IF(IsPro,IF($D1271="","",IF($F1271="",IFERROR(INDEX(Items!$G$5:$G$504,Q1271),0),$F1271)),"")</f>
        <v/>
      </c>
      <c r="K1271" s="61" t="str">
        <f aca="false">IF(IsPro,IF($D1271="","",ROUND(N($E1271)*J1271*(1-N($G1271)),2)),"")</f>
        <v/>
      </c>
      <c r="L1271" s="62" t="str">
        <f aca="false">IF(IsPro,IF($D1271="","",IFERROR(INDEX(Items!$F$5:$F$504,Q1271),0)),"")</f>
        <v/>
      </c>
      <c r="M1271" s="61" t="str">
        <f aca="false">IF(IsPro,IF($D1271="","",IF(AND(R1271&lt;&gt;"",INDEX(Parties!$E$5:$E$304,R1271)&lt;&gt;"",INDEX(Parties!$E$5:$E$304,R1271)&lt;&gt;HomeState),0,ROUND(K1271*L1271/2,2))),"")</f>
        <v/>
      </c>
      <c r="N1271" s="61" t="str">
        <f aca="false">IF(IsPro,IF($D1271="","",M1271),"")</f>
        <v/>
      </c>
      <c r="O1271" s="61" t="str">
        <f aca="false">IF(IsPro,IF($D1271="","",IF(AND(R1271&lt;&gt;"",INDEX(Parties!$E$5:$E$304,R1271)&lt;&gt;"",INDEX(Parties!$E$5:$E$304,R1271)&lt;&gt;HomeState),ROUND(K1271*L1271,2),0)),"")</f>
        <v/>
      </c>
      <c r="P1271" s="61" t="str">
        <f aca="false">IF(IsPro,IF($D1271="","",K1271+M1271+N1271+O1271),"")</f>
        <v/>
      </c>
      <c r="Q1271" s="60" t="str">
        <f aca="false">IF(IsPro,IF($D1271="","",IFERROR(MATCH($D1271,Items!$A$5:$A$504,0),"")),"")</f>
        <v/>
      </c>
      <c r="R1271" s="60" t="str">
        <f aca="false">IF(IsPro,IF($C1271="","",IFERROR(MATCH($C1271,Parties!$A$5:$A$304,0),"")),"")</f>
        <v/>
      </c>
      <c r="S1271" s="61" t="str">
        <f aca="false">IF(IsPro,IF($D1271="","",IF(OR($H1271="",$H1271="Credit"),0,P1271)),"")</f>
        <v/>
      </c>
    </row>
    <row r="1272" customFormat="false" ht="15" hidden="false" customHeight="false" outlineLevel="0" collapsed="false">
      <c r="A1272" s="55"/>
      <c r="B1272" s="56"/>
      <c r="C1272" s="56"/>
      <c r="D1272" s="56"/>
      <c r="E1272" s="57"/>
      <c r="F1272" s="58"/>
      <c r="G1272" s="59"/>
      <c r="H1272" s="56"/>
      <c r="I1272" s="60" t="str">
        <f aca="false">IF(IsPro,IF($D1272="","",IFERROR(INDEX(Items!$D$5:$D$504,Q1272),"")),IF($D1272="","","PRO PLAN"))</f>
        <v/>
      </c>
      <c r="J1272" s="61" t="str">
        <f aca="false">IF(IsPro,IF($D1272="","",IF($F1272="",IFERROR(INDEX(Items!$G$5:$G$504,Q1272),0),$F1272)),"")</f>
        <v/>
      </c>
      <c r="K1272" s="61" t="str">
        <f aca="false">IF(IsPro,IF($D1272="","",ROUND(N($E1272)*J1272*(1-N($G1272)),2)),"")</f>
        <v/>
      </c>
      <c r="L1272" s="62" t="str">
        <f aca="false">IF(IsPro,IF($D1272="","",IFERROR(INDEX(Items!$F$5:$F$504,Q1272),0)),"")</f>
        <v/>
      </c>
      <c r="M1272" s="61" t="str">
        <f aca="false">IF(IsPro,IF($D1272="","",IF(AND(R1272&lt;&gt;"",INDEX(Parties!$E$5:$E$304,R1272)&lt;&gt;"",INDEX(Parties!$E$5:$E$304,R1272)&lt;&gt;HomeState),0,ROUND(K1272*L1272/2,2))),"")</f>
        <v/>
      </c>
      <c r="N1272" s="61" t="str">
        <f aca="false">IF(IsPro,IF($D1272="","",M1272),"")</f>
        <v/>
      </c>
      <c r="O1272" s="61" t="str">
        <f aca="false">IF(IsPro,IF($D1272="","",IF(AND(R1272&lt;&gt;"",INDEX(Parties!$E$5:$E$304,R1272)&lt;&gt;"",INDEX(Parties!$E$5:$E$304,R1272)&lt;&gt;HomeState),ROUND(K1272*L1272,2),0)),"")</f>
        <v/>
      </c>
      <c r="P1272" s="61" t="str">
        <f aca="false">IF(IsPro,IF($D1272="","",K1272+M1272+N1272+O1272),"")</f>
        <v/>
      </c>
      <c r="Q1272" s="60" t="str">
        <f aca="false">IF(IsPro,IF($D1272="","",IFERROR(MATCH($D1272,Items!$A$5:$A$504,0),"")),"")</f>
        <v/>
      </c>
      <c r="R1272" s="60" t="str">
        <f aca="false">IF(IsPro,IF($C1272="","",IFERROR(MATCH($C1272,Parties!$A$5:$A$304,0),"")),"")</f>
        <v/>
      </c>
      <c r="S1272" s="61" t="str">
        <f aca="false">IF(IsPro,IF($D1272="","",IF(OR($H1272="",$H1272="Credit"),0,P1272)),"")</f>
        <v/>
      </c>
    </row>
    <row r="1273" customFormat="false" ht="15" hidden="false" customHeight="false" outlineLevel="0" collapsed="false">
      <c r="A1273" s="55"/>
      <c r="B1273" s="56"/>
      <c r="C1273" s="56"/>
      <c r="D1273" s="56"/>
      <c r="E1273" s="57"/>
      <c r="F1273" s="58"/>
      <c r="G1273" s="59"/>
      <c r="H1273" s="56"/>
      <c r="I1273" s="60" t="str">
        <f aca="false">IF(IsPro,IF($D1273="","",IFERROR(INDEX(Items!$D$5:$D$504,Q1273),"")),IF($D1273="","","PRO PLAN"))</f>
        <v/>
      </c>
      <c r="J1273" s="61" t="str">
        <f aca="false">IF(IsPro,IF($D1273="","",IF($F1273="",IFERROR(INDEX(Items!$G$5:$G$504,Q1273),0),$F1273)),"")</f>
        <v/>
      </c>
      <c r="K1273" s="61" t="str">
        <f aca="false">IF(IsPro,IF($D1273="","",ROUND(N($E1273)*J1273*(1-N($G1273)),2)),"")</f>
        <v/>
      </c>
      <c r="L1273" s="62" t="str">
        <f aca="false">IF(IsPro,IF($D1273="","",IFERROR(INDEX(Items!$F$5:$F$504,Q1273),0)),"")</f>
        <v/>
      </c>
      <c r="M1273" s="61" t="str">
        <f aca="false">IF(IsPro,IF($D1273="","",IF(AND(R1273&lt;&gt;"",INDEX(Parties!$E$5:$E$304,R1273)&lt;&gt;"",INDEX(Parties!$E$5:$E$304,R1273)&lt;&gt;HomeState),0,ROUND(K1273*L1273/2,2))),"")</f>
        <v/>
      </c>
      <c r="N1273" s="61" t="str">
        <f aca="false">IF(IsPro,IF($D1273="","",M1273),"")</f>
        <v/>
      </c>
      <c r="O1273" s="61" t="str">
        <f aca="false">IF(IsPro,IF($D1273="","",IF(AND(R1273&lt;&gt;"",INDEX(Parties!$E$5:$E$304,R1273)&lt;&gt;"",INDEX(Parties!$E$5:$E$304,R1273)&lt;&gt;HomeState),ROUND(K1273*L1273,2),0)),"")</f>
        <v/>
      </c>
      <c r="P1273" s="61" t="str">
        <f aca="false">IF(IsPro,IF($D1273="","",K1273+M1273+N1273+O1273),"")</f>
        <v/>
      </c>
      <c r="Q1273" s="60" t="str">
        <f aca="false">IF(IsPro,IF($D1273="","",IFERROR(MATCH($D1273,Items!$A$5:$A$504,0),"")),"")</f>
        <v/>
      </c>
      <c r="R1273" s="60" t="str">
        <f aca="false">IF(IsPro,IF($C1273="","",IFERROR(MATCH($C1273,Parties!$A$5:$A$304,0),"")),"")</f>
        <v/>
      </c>
      <c r="S1273" s="61" t="str">
        <f aca="false">IF(IsPro,IF($D1273="","",IF(OR($H1273="",$H1273="Credit"),0,P1273)),"")</f>
        <v/>
      </c>
    </row>
    <row r="1274" customFormat="false" ht="15" hidden="false" customHeight="false" outlineLevel="0" collapsed="false">
      <c r="A1274" s="55"/>
      <c r="B1274" s="56"/>
      <c r="C1274" s="56"/>
      <c r="D1274" s="56"/>
      <c r="E1274" s="57"/>
      <c r="F1274" s="58"/>
      <c r="G1274" s="59"/>
      <c r="H1274" s="56"/>
      <c r="I1274" s="60" t="str">
        <f aca="false">IF(IsPro,IF($D1274="","",IFERROR(INDEX(Items!$D$5:$D$504,Q1274),"")),IF($D1274="","","PRO PLAN"))</f>
        <v/>
      </c>
      <c r="J1274" s="61" t="str">
        <f aca="false">IF(IsPro,IF($D1274="","",IF($F1274="",IFERROR(INDEX(Items!$G$5:$G$504,Q1274),0),$F1274)),"")</f>
        <v/>
      </c>
      <c r="K1274" s="61" t="str">
        <f aca="false">IF(IsPro,IF($D1274="","",ROUND(N($E1274)*J1274*(1-N($G1274)),2)),"")</f>
        <v/>
      </c>
      <c r="L1274" s="62" t="str">
        <f aca="false">IF(IsPro,IF($D1274="","",IFERROR(INDEX(Items!$F$5:$F$504,Q1274),0)),"")</f>
        <v/>
      </c>
      <c r="M1274" s="61" t="str">
        <f aca="false">IF(IsPro,IF($D1274="","",IF(AND(R1274&lt;&gt;"",INDEX(Parties!$E$5:$E$304,R1274)&lt;&gt;"",INDEX(Parties!$E$5:$E$304,R1274)&lt;&gt;HomeState),0,ROUND(K1274*L1274/2,2))),"")</f>
        <v/>
      </c>
      <c r="N1274" s="61" t="str">
        <f aca="false">IF(IsPro,IF($D1274="","",M1274),"")</f>
        <v/>
      </c>
      <c r="O1274" s="61" t="str">
        <f aca="false">IF(IsPro,IF($D1274="","",IF(AND(R1274&lt;&gt;"",INDEX(Parties!$E$5:$E$304,R1274)&lt;&gt;"",INDEX(Parties!$E$5:$E$304,R1274)&lt;&gt;HomeState),ROUND(K1274*L1274,2),0)),"")</f>
        <v/>
      </c>
      <c r="P1274" s="61" t="str">
        <f aca="false">IF(IsPro,IF($D1274="","",K1274+M1274+N1274+O1274),"")</f>
        <v/>
      </c>
      <c r="Q1274" s="60" t="str">
        <f aca="false">IF(IsPro,IF($D1274="","",IFERROR(MATCH($D1274,Items!$A$5:$A$504,0),"")),"")</f>
        <v/>
      </c>
      <c r="R1274" s="60" t="str">
        <f aca="false">IF(IsPro,IF($C1274="","",IFERROR(MATCH($C1274,Parties!$A$5:$A$304,0),"")),"")</f>
        <v/>
      </c>
      <c r="S1274" s="61" t="str">
        <f aca="false">IF(IsPro,IF($D1274="","",IF(OR($H1274="",$H1274="Credit"),0,P1274)),"")</f>
        <v/>
      </c>
    </row>
    <row r="1275" customFormat="false" ht="15" hidden="false" customHeight="false" outlineLevel="0" collapsed="false">
      <c r="A1275" s="55"/>
      <c r="B1275" s="56"/>
      <c r="C1275" s="56"/>
      <c r="D1275" s="56"/>
      <c r="E1275" s="57"/>
      <c r="F1275" s="58"/>
      <c r="G1275" s="59"/>
      <c r="H1275" s="56"/>
      <c r="I1275" s="60" t="str">
        <f aca="false">IF(IsPro,IF($D1275="","",IFERROR(INDEX(Items!$D$5:$D$504,Q1275),"")),IF($D1275="","","PRO PLAN"))</f>
        <v/>
      </c>
      <c r="J1275" s="61" t="str">
        <f aca="false">IF(IsPro,IF($D1275="","",IF($F1275="",IFERROR(INDEX(Items!$G$5:$G$504,Q1275),0),$F1275)),"")</f>
        <v/>
      </c>
      <c r="K1275" s="61" t="str">
        <f aca="false">IF(IsPro,IF($D1275="","",ROUND(N($E1275)*J1275*(1-N($G1275)),2)),"")</f>
        <v/>
      </c>
      <c r="L1275" s="62" t="str">
        <f aca="false">IF(IsPro,IF($D1275="","",IFERROR(INDEX(Items!$F$5:$F$504,Q1275),0)),"")</f>
        <v/>
      </c>
      <c r="M1275" s="61" t="str">
        <f aca="false">IF(IsPro,IF($D1275="","",IF(AND(R1275&lt;&gt;"",INDEX(Parties!$E$5:$E$304,R1275)&lt;&gt;"",INDEX(Parties!$E$5:$E$304,R1275)&lt;&gt;HomeState),0,ROUND(K1275*L1275/2,2))),"")</f>
        <v/>
      </c>
      <c r="N1275" s="61" t="str">
        <f aca="false">IF(IsPro,IF($D1275="","",M1275),"")</f>
        <v/>
      </c>
      <c r="O1275" s="61" t="str">
        <f aca="false">IF(IsPro,IF($D1275="","",IF(AND(R1275&lt;&gt;"",INDEX(Parties!$E$5:$E$304,R1275)&lt;&gt;"",INDEX(Parties!$E$5:$E$304,R1275)&lt;&gt;HomeState),ROUND(K1275*L1275,2),0)),"")</f>
        <v/>
      </c>
      <c r="P1275" s="61" t="str">
        <f aca="false">IF(IsPro,IF($D1275="","",K1275+M1275+N1275+O1275),"")</f>
        <v/>
      </c>
      <c r="Q1275" s="60" t="str">
        <f aca="false">IF(IsPro,IF($D1275="","",IFERROR(MATCH($D1275,Items!$A$5:$A$504,0),"")),"")</f>
        <v/>
      </c>
      <c r="R1275" s="60" t="str">
        <f aca="false">IF(IsPro,IF($C1275="","",IFERROR(MATCH($C1275,Parties!$A$5:$A$304,0),"")),"")</f>
        <v/>
      </c>
      <c r="S1275" s="61" t="str">
        <f aca="false">IF(IsPro,IF($D1275="","",IF(OR($H1275="",$H1275="Credit"),0,P1275)),"")</f>
        <v/>
      </c>
    </row>
    <row r="1276" customFormat="false" ht="15" hidden="false" customHeight="false" outlineLevel="0" collapsed="false">
      <c r="A1276" s="55"/>
      <c r="B1276" s="56"/>
      <c r="C1276" s="56"/>
      <c r="D1276" s="56"/>
      <c r="E1276" s="57"/>
      <c r="F1276" s="58"/>
      <c r="G1276" s="59"/>
      <c r="H1276" s="56"/>
      <c r="I1276" s="60" t="str">
        <f aca="false">IF(IsPro,IF($D1276="","",IFERROR(INDEX(Items!$D$5:$D$504,Q1276),"")),IF($D1276="","","PRO PLAN"))</f>
        <v/>
      </c>
      <c r="J1276" s="61" t="str">
        <f aca="false">IF(IsPro,IF($D1276="","",IF($F1276="",IFERROR(INDEX(Items!$G$5:$G$504,Q1276),0),$F1276)),"")</f>
        <v/>
      </c>
      <c r="K1276" s="61" t="str">
        <f aca="false">IF(IsPro,IF($D1276="","",ROUND(N($E1276)*J1276*(1-N($G1276)),2)),"")</f>
        <v/>
      </c>
      <c r="L1276" s="62" t="str">
        <f aca="false">IF(IsPro,IF($D1276="","",IFERROR(INDEX(Items!$F$5:$F$504,Q1276),0)),"")</f>
        <v/>
      </c>
      <c r="M1276" s="61" t="str">
        <f aca="false">IF(IsPro,IF($D1276="","",IF(AND(R1276&lt;&gt;"",INDEX(Parties!$E$5:$E$304,R1276)&lt;&gt;"",INDEX(Parties!$E$5:$E$304,R1276)&lt;&gt;HomeState),0,ROUND(K1276*L1276/2,2))),"")</f>
        <v/>
      </c>
      <c r="N1276" s="61" t="str">
        <f aca="false">IF(IsPro,IF($D1276="","",M1276),"")</f>
        <v/>
      </c>
      <c r="O1276" s="61" t="str">
        <f aca="false">IF(IsPro,IF($D1276="","",IF(AND(R1276&lt;&gt;"",INDEX(Parties!$E$5:$E$304,R1276)&lt;&gt;"",INDEX(Parties!$E$5:$E$304,R1276)&lt;&gt;HomeState),ROUND(K1276*L1276,2),0)),"")</f>
        <v/>
      </c>
      <c r="P1276" s="61" t="str">
        <f aca="false">IF(IsPro,IF($D1276="","",K1276+M1276+N1276+O1276),"")</f>
        <v/>
      </c>
      <c r="Q1276" s="60" t="str">
        <f aca="false">IF(IsPro,IF($D1276="","",IFERROR(MATCH($D1276,Items!$A$5:$A$504,0),"")),"")</f>
        <v/>
      </c>
      <c r="R1276" s="60" t="str">
        <f aca="false">IF(IsPro,IF($C1276="","",IFERROR(MATCH($C1276,Parties!$A$5:$A$304,0),"")),"")</f>
        <v/>
      </c>
      <c r="S1276" s="61" t="str">
        <f aca="false">IF(IsPro,IF($D1276="","",IF(OR($H1276="",$H1276="Credit"),0,P1276)),"")</f>
        <v/>
      </c>
    </row>
    <row r="1277" customFormat="false" ht="15" hidden="false" customHeight="false" outlineLevel="0" collapsed="false">
      <c r="A1277" s="55"/>
      <c r="B1277" s="56"/>
      <c r="C1277" s="56"/>
      <c r="D1277" s="56"/>
      <c r="E1277" s="57"/>
      <c r="F1277" s="58"/>
      <c r="G1277" s="59"/>
      <c r="H1277" s="56"/>
      <c r="I1277" s="60" t="str">
        <f aca="false">IF(IsPro,IF($D1277="","",IFERROR(INDEX(Items!$D$5:$D$504,Q1277),"")),IF($D1277="","","PRO PLAN"))</f>
        <v/>
      </c>
      <c r="J1277" s="61" t="str">
        <f aca="false">IF(IsPro,IF($D1277="","",IF($F1277="",IFERROR(INDEX(Items!$G$5:$G$504,Q1277),0),$F1277)),"")</f>
        <v/>
      </c>
      <c r="K1277" s="61" t="str">
        <f aca="false">IF(IsPro,IF($D1277="","",ROUND(N($E1277)*J1277*(1-N($G1277)),2)),"")</f>
        <v/>
      </c>
      <c r="L1277" s="62" t="str">
        <f aca="false">IF(IsPro,IF($D1277="","",IFERROR(INDEX(Items!$F$5:$F$504,Q1277),0)),"")</f>
        <v/>
      </c>
      <c r="M1277" s="61" t="str">
        <f aca="false">IF(IsPro,IF($D1277="","",IF(AND(R1277&lt;&gt;"",INDEX(Parties!$E$5:$E$304,R1277)&lt;&gt;"",INDEX(Parties!$E$5:$E$304,R1277)&lt;&gt;HomeState),0,ROUND(K1277*L1277/2,2))),"")</f>
        <v/>
      </c>
      <c r="N1277" s="61" t="str">
        <f aca="false">IF(IsPro,IF($D1277="","",M1277),"")</f>
        <v/>
      </c>
      <c r="O1277" s="61" t="str">
        <f aca="false">IF(IsPro,IF($D1277="","",IF(AND(R1277&lt;&gt;"",INDEX(Parties!$E$5:$E$304,R1277)&lt;&gt;"",INDEX(Parties!$E$5:$E$304,R1277)&lt;&gt;HomeState),ROUND(K1277*L1277,2),0)),"")</f>
        <v/>
      </c>
      <c r="P1277" s="61" t="str">
        <f aca="false">IF(IsPro,IF($D1277="","",K1277+M1277+N1277+O1277),"")</f>
        <v/>
      </c>
      <c r="Q1277" s="60" t="str">
        <f aca="false">IF(IsPro,IF($D1277="","",IFERROR(MATCH($D1277,Items!$A$5:$A$504,0),"")),"")</f>
        <v/>
      </c>
      <c r="R1277" s="60" t="str">
        <f aca="false">IF(IsPro,IF($C1277="","",IFERROR(MATCH($C1277,Parties!$A$5:$A$304,0),"")),"")</f>
        <v/>
      </c>
      <c r="S1277" s="61" t="str">
        <f aca="false">IF(IsPro,IF($D1277="","",IF(OR($H1277="",$H1277="Credit"),0,P1277)),"")</f>
        <v/>
      </c>
    </row>
    <row r="1278" customFormat="false" ht="15" hidden="false" customHeight="false" outlineLevel="0" collapsed="false">
      <c r="A1278" s="55"/>
      <c r="B1278" s="56"/>
      <c r="C1278" s="56"/>
      <c r="D1278" s="56"/>
      <c r="E1278" s="57"/>
      <c r="F1278" s="58"/>
      <c r="G1278" s="59"/>
      <c r="H1278" s="56"/>
      <c r="I1278" s="60" t="str">
        <f aca="false">IF(IsPro,IF($D1278="","",IFERROR(INDEX(Items!$D$5:$D$504,Q1278),"")),IF($D1278="","","PRO PLAN"))</f>
        <v/>
      </c>
      <c r="J1278" s="61" t="str">
        <f aca="false">IF(IsPro,IF($D1278="","",IF($F1278="",IFERROR(INDEX(Items!$G$5:$G$504,Q1278),0),$F1278)),"")</f>
        <v/>
      </c>
      <c r="K1278" s="61" t="str">
        <f aca="false">IF(IsPro,IF($D1278="","",ROUND(N($E1278)*J1278*(1-N($G1278)),2)),"")</f>
        <v/>
      </c>
      <c r="L1278" s="62" t="str">
        <f aca="false">IF(IsPro,IF($D1278="","",IFERROR(INDEX(Items!$F$5:$F$504,Q1278),0)),"")</f>
        <v/>
      </c>
      <c r="M1278" s="61" t="str">
        <f aca="false">IF(IsPro,IF($D1278="","",IF(AND(R1278&lt;&gt;"",INDEX(Parties!$E$5:$E$304,R1278)&lt;&gt;"",INDEX(Parties!$E$5:$E$304,R1278)&lt;&gt;HomeState),0,ROUND(K1278*L1278/2,2))),"")</f>
        <v/>
      </c>
      <c r="N1278" s="61" t="str">
        <f aca="false">IF(IsPro,IF($D1278="","",M1278),"")</f>
        <v/>
      </c>
      <c r="O1278" s="61" t="str">
        <f aca="false">IF(IsPro,IF($D1278="","",IF(AND(R1278&lt;&gt;"",INDEX(Parties!$E$5:$E$304,R1278)&lt;&gt;"",INDEX(Parties!$E$5:$E$304,R1278)&lt;&gt;HomeState),ROUND(K1278*L1278,2),0)),"")</f>
        <v/>
      </c>
      <c r="P1278" s="61" t="str">
        <f aca="false">IF(IsPro,IF($D1278="","",K1278+M1278+N1278+O1278),"")</f>
        <v/>
      </c>
      <c r="Q1278" s="60" t="str">
        <f aca="false">IF(IsPro,IF($D1278="","",IFERROR(MATCH($D1278,Items!$A$5:$A$504,0),"")),"")</f>
        <v/>
      </c>
      <c r="R1278" s="60" t="str">
        <f aca="false">IF(IsPro,IF($C1278="","",IFERROR(MATCH($C1278,Parties!$A$5:$A$304,0),"")),"")</f>
        <v/>
      </c>
      <c r="S1278" s="61" t="str">
        <f aca="false">IF(IsPro,IF($D1278="","",IF(OR($H1278="",$H1278="Credit"),0,P1278)),"")</f>
        <v/>
      </c>
    </row>
    <row r="1279" customFormat="false" ht="15" hidden="false" customHeight="false" outlineLevel="0" collapsed="false">
      <c r="A1279" s="55"/>
      <c r="B1279" s="56"/>
      <c r="C1279" s="56"/>
      <c r="D1279" s="56"/>
      <c r="E1279" s="57"/>
      <c r="F1279" s="58"/>
      <c r="G1279" s="59"/>
      <c r="H1279" s="56"/>
      <c r="I1279" s="60" t="str">
        <f aca="false">IF(IsPro,IF($D1279="","",IFERROR(INDEX(Items!$D$5:$D$504,Q1279),"")),IF($D1279="","","PRO PLAN"))</f>
        <v/>
      </c>
      <c r="J1279" s="61" t="str">
        <f aca="false">IF(IsPro,IF($D1279="","",IF($F1279="",IFERROR(INDEX(Items!$G$5:$G$504,Q1279),0),$F1279)),"")</f>
        <v/>
      </c>
      <c r="K1279" s="61" t="str">
        <f aca="false">IF(IsPro,IF($D1279="","",ROUND(N($E1279)*J1279*(1-N($G1279)),2)),"")</f>
        <v/>
      </c>
      <c r="L1279" s="62" t="str">
        <f aca="false">IF(IsPro,IF($D1279="","",IFERROR(INDEX(Items!$F$5:$F$504,Q1279),0)),"")</f>
        <v/>
      </c>
      <c r="M1279" s="61" t="str">
        <f aca="false">IF(IsPro,IF($D1279="","",IF(AND(R1279&lt;&gt;"",INDEX(Parties!$E$5:$E$304,R1279)&lt;&gt;"",INDEX(Parties!$E$5:$E$304,R1279)&lt;&gt;HomeState),0,ROUND(K1279*L1279/2,2))),"")</f>
        <v/>
      </c>
      <c r="N1279" s="61" t="str">
        <f aca="false">IF(IsPro,IF($D1279="","",M1279),"")</f>
        <v/>
      </c>
      <c r="O1279" s="61" t="str">
        <f aca="false">IF(IsPro,IF($D1279="","",IF(AND(R1279&lt;&gt;"",INDEX(Parties!$E$5:$E$304,R1279)&lt;&gt;"",INDEX(Parties!$E$5:$E$304,R1279)&lt;&gt;HomeState),ROUND(K1279*L1279,2),0)),"")</f>
        <v/>
      </c>
      <c r="P1279" s="61" t="str">
        <f aca="false">IF(IsPro,IF($D1279="","",K1279+M1279+N1279+O1279),"")</f>
        <v/>
      </c>
      <c r="Q1279" s="60" t="str">
        <f aca="false">IF(IsPro,IF($D1279="","",IFERROR(MATCH($D1279,Items!$A$5:$A$504,0),"")),"")</f>
        <v/>
      </c>
      <c r="R1279" s="60" t="str">
        <f aca="false">IF(IsPro,IF($C1279="","",IFERROR(MATCH($C1279,Parties!$A$5:$A$304,0),"")),"")</f>
        <v/>
      </c>
      <c r="S1279" s="61" t="str">
        <f aca="false">IF(IsPro,IF($D1279="","",IF(OR($H1279="",$H1279="Credit"),0,P1279)),"")</f>
        <v/>
      </c>
    </row>
    <row r="1280" customFormat="false" ht="15" hidden="false" customHeight="false" outlineLevel="0" collapsed="false">
      <c r="A1280" s="55"/>
      <c r="B1280" s="56"/>
      <c r="C1280" s="56"/>
      <c r="D1280" s="56"/>
      <c r="E1280" s="57"/>
      <c r="F1280" s="58"/>
      <c r="G1280" s="59"/>
      <c r="H1280" s="56"/>
      <c r="I1280" s="60" t="str">
        <f aca="false">IF(IsPro,IF($D1280="","",IFERROR(INDEX(Items!$D$5:$D$504,Q1280),"")),IF($D1280="","","PRO PLAN"))</f>
        <v/>
      </c>
      <c r="J1280" s="61" t="str">
        <f aca="false">IF(IsPro,IF($D1280="","",IF($F1280="",IFERROR(INDEX(Items!$G$5:$G$504,Q1280),0),$F1280)),"")</f>
        <v/>
      </c>
      <c r="K1280" s="61" t="str">
        <f aca="false">IF(IsPro,IF($D1280="","",ROUND(N($E1280)*J1280*(1-N($G1280)),2)),"")</f>
        <v/>
      </c>
      <c r="L1280" s="62" t="str">
        <f aca="false">IF(IsPro,IF($D1280="","",IFERROR(INDEX(Items!$F$5:$F$504,Q1280),0)),"")</f>
        <v/>
      </c>
      <c r="M1280" s="61" t="str">
        <f aca="false">IF(IsPro,IF($D1280="","",IF(AND(R1280&lt;&gt;"",INDEX(Parties!$E$5:$E$304,R1280)&lt;&gt;"",INDEX(Parties!$E$5:$E$304,R1280)&lt;&gt;HomeState),0,ROUND(K1280*L1280/2,2))),"")</f>
        <v/>
      </c>
      <c r="N1280" s="61" t="str">
        <f aca="false">IF(IsPro,IF($D1280="","",M1280),"")</f>
        <v/>
      </c>
      <c r="O1280" s="61" t="str">
        <f aca="false">IF(IsPro,IF($D1280="","",IF(AND(R1280&lt;&gt;"",INDEX(Parties!$E$5:$E$304,R1280)&lt;&gt;"",INDEX(Parties!$E$5:$E$304,R1280)&lt;&gt;HomeState),ROUND(K1280*L1280,2),0)),"")</f>
        <v/>
      </c>
      <c r="P1280" s="61" t="str">
        <f aca="false">IF(IsPro,IF($D1280="","",K1280+M1280+N1280+O1280),"")</f>
        <v/>
      </c>
      <c r="Q1280" s="60" t="str">
        <f aca="false">IF(IsPro,IF($D1280="","",IFERROR(MATCH($D1280,Items!$A$5:$A$504,0),"")),"")</f>
        <v/>
      </c>
      <c r="R1280" s="60" t="str">
        <f aca="false">IF(IsPro,IF($C1280="","",IFERROR(MATCH($C1280,Parties!$A$5:$A$304,0),"")),"")</f>
        <v/>
      </c>
      <c r="S1280" s="61" t="str">
        <f aca="false">IF(IsPro,IF($D1280="","",IF(OR($H1280="",$H1280="Credit"),0,P1280)),"")</f>
        <v/>
      </c>
    </row>
    <row r="1281" customFormat="false" ht="15" hidden="false" customHeight="false" outlineLevel="0" collapsed="false">
      <c r="A1281" s="55"/>
      <c r="B1281" s="56"/>
      <c r="C1281" s="56"/>
      <c r="D1281" s="56"/>
      <c r="E1281" s="57"/>
      <c r="F1281" s="58"/>
      <c r="G1281" s="59"/>
      <c r="H1281" s="56"/>
      <c r="I1281" s="60" t="str">
        <f aca="false">IF(IsPro,IF($D1281="","",IFERROR(INDEX(Items!$D$5:$D$504,Q1281),"")),IF($D1281="","","PRO PLAN"))</f>
        <v/>
      </c>
      <c r="J1281" s="61" t="str">
        <f aca="false">IF(IsPro,IF($D1281="","",IF($F1281="",IFERROR(INDEX(Items!$G$5:$G$504,Q1281),0),$F1281)),"")</f>
        <v/>
      </c>
      <c r="K1281" s="61" t="str">
        <f aca="false">IF(IsPro,IF($D1281="","",ROUND(N($E1281)*J1281*(1-N($G1281)),2)),"")</f>
        <v/>
      </c>
      <c r="L1281" s="62" t="str">
        <f aca="false">IF(IsPro,IF($D1281="","",IFERROR(INDEX(Items!$F$5:$F$504,Q1281),0)),"")</f>
        <v/>
      </c>
      <c r="M1281" s="61" t="str">
        <f aca="false">IF(IsPro,IF($D1281="","",IF(AND(R1281&lt;&gt;"",INDEX(Parties!$E$5:$E$304,R1281)&lt;&gt;"",INDEX(Parties!$E$5:$E$304,R1281)&lt;&gt;HomeState),0,ROUND(K1281*L1281/2,2))),"")</f>
        <v/>
      </c>
      <c r="N1281" s="61" t="str">
        <f aca="false">IF(IsPro,IF($D1281="","",M1281),"")</f>
        <v/>
      </c>
      <c r="O1281" s="61" t="str">
        <f aca="false">IF(IsPro,IF($D1281="","",IF(AND(R1281&lt;&gt;"",INDEX(Parties!$E$5:$E$304,R1281)&lt;&gt;"",INDEX(Parties!$E$5:$E$304,R1281)&lt;&gt;HomeState),ROUND(K1281*L1281,2),0)),"")</f>
        <v/>
      </c>
      <c r="P1281" s="61" t="str">
        <f aca="false">IF(IsPro,IF($D1281="","",K1281+M1281+N1281+O1281),"")</f>
        <v/>
      </c>
      <c r="Q1281" s="60" t="str">
        <f aca="false">IF(IsPro,IF($D1281="","",IFERROR(MATCH($D1281,Items!$A$5:$A$504,0),"")),"")</f>
        <v/>
      </c>
      <c r="R1281" s="60" t="str">
        <f aca="false">IF(IsPro,IF($C1281="","",IFERROR(MATCH($C1281,Parties!$A$5:$A$304,0),"")),"")</f>
        <v/>
      </c>
      <c r="S1281" s="61" t="str">
        <f aca="false">IF(IsPro,IF($D1281="","",IF(OR($H1281="",$H1281="Credit"),0,P1281)),"")</f>
        <v/>
      </c>
    </row>
    <row r="1282" customFormat="false" ht="15" hidden="false" customHeight="false" outlineLevel="0" collapsed="false">
      <c r="A1282" s="55"/>
      <c r="B1282" s="56"/>
      <c r="C1282" s="56"/>
      <c r="D1282" s="56"/>
      <c r="E1282" s="57"/>
      <c r="F1282" s="58"/>
      <c r="G1282" s="59"/>
      <c r="H1282" s="56"/>
      <c r="I1282" s="60" t="str">
        <f aca="false">IF(IsPro,IF($D1282="","",IFERROR(INDEX(Items!$D$5:$D$504,Q1282),"")),IF($D1282="","","PRO PLAN"))</f>
        <v/>
      </c>
      <c r="J1282" s="61" t="str">
        <f aca="false">IF(IsPro,IF($D1282="","",IF($F1282="",IFERROR(INDEX(Items!$G$5:$G$504,Q1282),0),$F1282)),"")</f>
        <v/>
      </c>
      <c r="K1282" s="61" t="str">
        <f aca="false">IF(IsPro,IF($D1282="","",ROUND(N($E1282)*J1282*(1-N($G1282)),2)),"")</f>
        <v/>
      </c>
      <c r="L1282" s="62" t="str">
        <f aca="false">IF(IsPro,IF($D1282="","",IFERROR(INDEX(Items!$F$5:$F$504,Q1282),0)),"")</f>
        <v/>
      </c>
      <c r="M1282" s="61" t="str">
        <f aca="false">IF(IsPro,IF($D1282="","",IF(AND(R1282&lt;&gt;"",INDEX(Parties!$E$5:$E$304,R1282)&lt;&gt;"",INDEX(Parties!$E$5:$E$304,R1282)&lt;&gt;HomeState),0,ROUND(K1282*L1282/2,2))),"")</f>
        <v/>
      </c>
      <c r="N1282" s="61" t="str">
        <f aca="false">IF(IsPro,IF($D1282="","",M1282),"")</f>
        <v/>
      </c>
      <c r="O1282" s="61" t="str">
        <f aca="false">IF(IsPro,IF($D1282="","",IF(AND(R1282&lt;&gt;"",INDEX(Parties!$E$5:$E$304,R1282)&lt;&gt;"",INDEX(Parties!$E$5:$E$304,R1282)&lt;&gt;HomeState),ROUND(K1282*L1282,2),0)),"")</f>
        <v/>
      </c>
      <c r="P1282" s="61" t="str">
        <f aca="false">IF(IsPro,IF($D1282="","",K1282+M1282+N1282+O1282),"")</f>
        <v/>
      </c>
      <c r="Q1282" s="60" t="str">
        <f aca="false">IF(IsPro,IF($D1282="","",IFERROR(MATCH($D1282,Items!$A$5:$A$504,0),"")),"")</f>
        <v/>
      </c>
      <c r="R1282" s="60" t="str">
        <f aca="false">IF(IsPro,IF($C1282="","",IFERROR(MATCH($C1282,Parties!$A$5:$A$304,0),"")),"")</f>
        <v/>
      </c>
      <c r="S1282" s="61" t="str">
        <f aca="false">IF(IsPro,IF($D1282="","",IF(OR($H1282="",$H1282="Credit"),0,P1282)),"")</f>
        <v/>
      </c>
    </row>
    <row r="1283" customFormat="false" ht="15" hidden="false" customHeight="false" outlineLevel="0" collapsed="false">
      <c r="A1283" s="55"/>
      <c r="B1283" s="56"/>
      <c r="C1283" s="56"/>
      <c r="D1283" s="56"/>
      <c r="E1283" s="57"/>
      <c r="F1283" s="58"/>
      <c r="G1283" s="59"/>
      <c r="H1283" s="56"/>
      <c r="I1283" s="60" t="str">
        <f aca="false">IF(IsPro,IF($D1283="","",IFERROR(INDEX(Items!$D$5:$D$504,Q1283),"")),IF($D1283="","","PRO PLAN"))</f>
        <v/>
      </c>
      <c r="J1283" s="61" t="str">
        <f aca="false">IF(IsPro,IF($D1283="","",IF($F1283="",IFERROR(INDEX(Items!$G$5:$G$504,Q1283),0),$F1283)),"")</f>
        <v/>
      </c>
      <c r="K1283" s="61" t="str">
        <f aca="false">IF(IsPro,IF($D1283="","",ROUND(N($E1283)*J1283*(1-N($G1283)),2)),"")</f>
        <v/>
      </c>
      <c r="L1283" s="62" t="str">
        <f aca="false">IF(IsPro,IF($D1283="","",IFERROR(INDEX(Items!$F$5:$F$504,Q1283),0)),"")</f>
        <v/>
      </c>
      <c r="M1283" s="61" t="str">
        <f aca="false">IF(IsPro,IF($D1283="","",IF(AND(R1283&lt;&gt;"",INDEX(Parties!$E$5:$E$304,R1283)&lt;&gt;"",INDEX(Parties!$E$5:$E$304,R1283)&lt;&gt;HomeState),0,ROUND(K1283*L1283/2,2))),"")</f>
        <v/>
      </c>
      <c r="N1283" s="61" t="str">
        <f aca="false">IF(IsPro,IF($D1283="","",M1283),"")</f>
        <v/>
      </c>
      <c r="O1283" s="61" t="str">
        <f aca="false">IF(IsPro,IF($D1283="","",IF(AND(R1283&lt;&gt;"",INDEX(Parties!$E$5:$E$304,R1283)&lt;&gt;"",INDEX(Parties!$E$5:$E$304,R1283)&lt;&gt;HomeState),ROUND(K1283*L1283,2),0)),"")</f>
        <v/>
      </c>
      <c r="P1283" s="61" t="str">
        <f aca="false">IF(IsPro,IF($D1283="","",K1283+M1283+N1283+O1283),"")</f>
        <v/>
      </c>
      <c r="Q1283" s="60" t="str">
        <f aca="false">IF(IsPro,IF($D1283="","",IFERROR(MATCH($D1283,Items!$A$5:$A$504,0),"")),"")</f>
        <v/>
      </c>
      <c r="R1283" s="60" t="str">
        <f aca="false">IF(IsPro,IF($C1283="","",IFERROR(MATCH($C1283,Parties!$A$5:$A$304,0),"")),"")</f>
        <v/>
      </c>
      <c r="S1283" s="61" t="str">
        <f aca="false">IF(IsPro,IF($D1283="","",IF(OR($H1283="",$H1283="Credit"),0,P1283)),"")</f>
        <v/>
      </c>
    </row>
    <row r="1284" customFormat="false" ht="15" hidden="false" customHeight="false" outlineLevel="0" collapsed="false">
      <c r="A1284" s="55"/>
      <c r="B1284" s="56"/>
      <c r="C1284" s="56"/>
      <c r="D1284" s="56"/>
      <c r="E1284" s="57"/>
      <c r="F1284" s="58"/>
      <c r="G1284" s="59"/>
      <c r="H1284" s="56"/>
      <c r="I1284" s="60" t="str">
        <f aca="false">IF(IsPro,IF($D1284="","",IFERROR(INDEX(Items!$D$5:$D$504,Q1284),"")),IF($D1284="","","PRO PLAN"))</f>
        <v/>
      </c>
      <c r="J1284" s="61" t="str">
        <f aca="false">IF(IsPro,IF($D1284="","",IF($F1284="",IFERROR(INDEX(Items!$G$5:$G$504,Q1284),0),$F1284)),"")</f>
        <v/>
      </c>
      <c r="K1284" s="61" t="str">
        <f aca="false">IF(IsPro,IF($D1284="","",ROUND(N($E1284)*J1284*(1-N($G1284)),2)),"")</f>
        <v/>
      </c>
      <c r="L1284" s="62" t="str">
        <f aca="false">IF(IsPro,IF($D1284="","",IFERROR(INDEX(Items!$F$5:$F$504,Q1284),0)),"")</f>
        <v/>
      </c>
      <c r="M1284" s="61" t="str">
        <f aca="false">IF(IsPro,IF($D1284="","",IF(AND(R1284&lt;&gt;"",INDEX(Parties!$E$5:$E$304,R1284)&lt;&gt;"",INDEX(Parties!$E$5:$E$304,R1284)&lt;&gt;HomeState),0,ROUND(K1284*L1284/2,2))),"")</f>
        <v/>
      </c>
      <c r="N1284" s="61" t="str">
        <f aca="false">IF(IsPro,IF($D1284="","",M1284),"")</f>
        <v/>
      </c>
      <c r="O1284" s="61" t="str">
        <f aca="false">IF(IsPro,IF($D1284="","",IF(AND(R1284&lt;&gt;"",INDEX(Parties!$E$5:$E$304,R1284)&lt;&gt;"",INDEX(Parties!$E$5:$E$304,R1284)&lt;&gt;HomeState),ROUND(K1284*L1284,2),0)),"")</f>
        <v/>
      </c>
      <c r="P1284" s="61" t="str">
        <f aca="false">IF(IsPro,IF($D1284="","",K1284+M1284+N1284+O1284),"")</f>
        <v/>
      </c>
      <c r="Q1284" s="60" t="str">
        <f aca="false">IF(IsPro,IF($D1284="","",IFERROR(MATCH($D1284,Items!$A$5:$A$504,0),"")),"")</f>
        <v/>
      </c>
      <c r="R1284" s="60" t="str">
        <f aca="false">IF(IsPro,IF($C1284="","",IFERROR(MATCH($C1284,Parties!$A$5:$A$304,0),"")),"")</f>
        <v/>
      </c>
      <c r="S1284" s="61" t="str">
        <f aca="false">IF(IsPro,IF($D1284="","",IF(OR($H1284="",$H1284="Credit"),0,P1284)),"")</f>
        <v/>
      </c>
    </row>
    <row r="1285" customFormat="false" ht="15" hidden="false" customHeight="false" outlineLevel="0" collapsed="false">
      <c r="A1285" s="55"/>
      <c r="B1285" s="56"/>
      <c r="C1285" s="56"/>
      <c r="D1285" s="56"/>
      <c r="E1285" s="57"/>
      <c r="F1285" s="58"/>
      <c r="G1285" s="59"/>
      <c r="H1285" s="56"/>
      <c r="I1285" s="60" t="str">
        <f aca="false">IF(IsPro,IF($D1285="","",IFERROR(INDEX(Items!$D$5:$D$504,Q1285),"")),IF($D1285="","","PRO PLAN"))</f>
        <v/>
      </c>
      <c r="J1285" s="61" t="str">
        <f aca="false">IF(IsPro,IF($D1285="","",IF($F1285="",IFERROR(INDEX(Items!$G$5:$G$504,Q1285),0),$F1285)),"")</f>
        <v/>
      </c>
      <c r="K1285" s="61" t="str">
        <f aca="false">IF(IsPro,IF($D1285="","",ROUND(N($E1285)*J1285*(1-N($G1285)),2)),"")</f>
        <v/>
      </c>
      <c r="L1285" s="62" t="str">
        <f aca="false">IF(IsPro,IF($D1285="","",IFERROR(INDEX(Items!$F$5:$F$504,Q1285),0)),"")</f>
        <v/>
      </c>
      <c r="M1285" s="61" t="str">
        <f aca="false">IF(IsPro,IF($D1285="","",IF(AND(R1285&lt;&gt;"",INDEX(Parties!$E$5:$E$304,R1285)&lt;&gt;"",INDEX(Parties!$E$5:$E$304,R1285)&lt;&gt;HomeState),0,ROUND(K1285*L1285/2,2))),"")</f>
        <v/>
      </c>
      <c r="N1285" s="61" t="str">
        <f aca="false">IF(IsPro,IF($D1285="","",M1285),"")</f>
        <v/>
      </c>
      <c r="O1285" s="61" t="str">
        <f aca="false">IF(IsPro,IF($D1285="","",IF(AND(R1285&lt;&gt;"",INDEX(Parties!$E$5:$E$304,R1285)&lt;&gt;"",INDEX(Parties!$E$5:$E$304,R1285)&lt;&gt;HomeState),ROUND(K1285*L1285,2),0)),"")</f>
        <v/>
      </c>
      <c r="P1285" s="61" t="str">
        <f aca="false">IF(IsPro,IF($D1285="","",K1285+M1285+N1285+O1285),"")</f>
        <v/>
      </c>
      <c r="Q1285" s="60" t="str">
        <f aca="false">IF(IsPro,IF($D1285="","",IFERROR(MATCH($D1285,Items!$A$5:$A$504,0),"")),"")</f>
        <v/>
      </c>
      <c r="R1285" s="60" t="str">
        <f aca="false">IF(IsPro,IF($C1285="","",IFERROR(MATCH($C1285,Parties!$A$5:$A$304,0),"")),"")</f>
        <v/>
      </c>
      <c r="S1285" s="61" t="str">
        <f aca="false">IF(IsPro,IF($D1285="","",IF(OR($H1285="",$H1285="Credit"),0,P1285)),"")</f>
        <v/>
      </c>
    </row>
    <row r="1286" customFormat="false" ht="15" hidden="false" customHeight="false" outlineLevel="0" collapsed="false">
      <c r="A1286" s="55"/>
      <c r="B1286" s="56"/>
      <c r="C1286" s="56"/>
      <c r="D1286" s="56"/>
      <c r="E1286" s="57"/>
      <c r="F1286" s="58"/>
      <c r="G1286" s="59"/>
      <c r="H1286" s="56"/>
      <c r="I1286" s="60" t="str">
        <f aca="false">IF(IsPro,IF($D1286="","",IFERROR(INDEX(Items!$D$5:$D$504,Q1286),"")),IF($D1286="","","PRO PLAN"))</f>
        <v/>
      </c>
      <c r="J1286" s="61" t="str">
        <f aca="false">IF(IsPro,IF($D1286="","",IF($F1286="",IFERROR(INDEX(Items!$G$5:$G$504,Q1286),0),$F1286)),"")</f>
        <v/>
      </c>
      <c r="K1286" s="61" t="str">
        <f aca="false">IF(IsPro,IF($D1286="","",ROUND(N($E1286)*J1286*(1-N($G1286)),2)),"")</f>
        <v/>
      </c>
      <c r="L1286" s="62" t="str">
        <f aca="false">IF(IsPro,IF($D1286="","",IFERROR(INDEX(Items!$F$5:$F$504,Q1286),0)),"")</f>
        <v/>
      </c>
      <c r="M1286" s="61" t="str">
        <f aca="false">IF(IsPro,IF($D1286="","",IF(AND(R1286&lt;&gt;"",INDEX(Parties!$E$5:$E$304,R1286)&lt;&gt;"",INDEX(Parties!$E$5:$E$304,R1286)&lt;&gt;HomeState),0,ROUND(K1286*L1286/2,2))),"")</f>
        <v/>
      </c>
      <c r="N1286" s="61" t="str">
        <f aca="false">IF(IsPro,IF($D1286="","",M1286),"")</f>
        <v/>
      </c>
      <c r="O1286" s="61" t="str">
        <f aca="false">IF(IsPro,IF($D1286="","",IF(AND(R1286&lt;&gt;"",INDEX(Parties!$E$5:$E$304,R1286)&lt;&gt;"",INDEX(Parties!$E$5:$E$304,R1286)&lt;&gt;HomeState),ROUND(K1286*L1286,2),0)),"")</f>
        <v/>
      </c>
      <c r="P1286" s="61" t="str">
        <f aca="false">IF(IsPro,IF($D1286="","",K1286+M1286+N1286+O1286),"")</f>
        <v/>
      </c>
      <c r="Q1286" s="60" t="str">
        <f aca="false">IF(IsPro,IF($D1286="","",IFERROR(MATCH($D1286,Items!$A$5:$A$504,0),"")),"")</f>
        <v/>
      </c>
      <c r="R1286" s="60" t="str">
        <f aca="false">IF(IsPro,IF($C1286="","",IFERROR(MATCH($C1286,Parties!$A$5:$A$304,0),"")),"")</f>
        <v/>
      </c>
      <c r="S1286" s="61" t="str">
        <f aca="false">IF(IsPro,IF($D1286="","",IF(OR($H1286="",$H1286="Credit"),0,P1286)),"")</f>
        <v/>
      </c>
    </row>
    <row r="1287" customFormat="false" ht="15" hidden="false" customHeight="false" outlineLevel="0" collapsed="false">
      <c r="A1287" s="55"/>
      <c r="B1287" s="56"/>
      <c r="C1287" s="56"/>
      <c r="D1287" s="56"/>
      <c r="E1287" s="57"/>
      <c r="F1287" s="58"/>
      <c r="G1287" s="59"/>
      <c r="H1287" s="56"/>
      <c r="I1287" s="60" t="str">
        <f aca="false">IF(IsPro,IF($D1287="","",IFERROR(INDEX(Items!$D$5:$D$504,Q1287),"")),IF($D1287="","","PRO PLAN"))</f>
        <v/>
      </c>
      <c r="J1287" s="61" t="str">
        <f aca="false">IF(IsPro,IF($D1287="","",IF($F1287="",IFERROR(INDEX(Items!$G$5:$G$504,Q1287),0),$F1287)),"")</f>
        <v/>
      </c>
      <c r="K1287" s="61" t="str">
        <f aca="false">IF(IsPro,IF($D1287="","",ROUND(N($E1287)*J1287*(1-N($G1287)),2)),"")</f>
        <v/>
      </c>
      <c r="L1287" s="62" t="str">
        <f aca="false">IF(IsPro,IF($D1287="","",IFERROR(INDEX(Items!$F$5:$F$504,Q1287),0)),"")</f>
        <v/>
      </c>
      <c r="M1287" s="61" t="str">
        <f aca="false">IF(IsPro,IF($D1287="","",IF(AND(R1287&lt;&gt;"",INDEX(Parties!$E$5:$E$304,R1287)&lt;&gt;"",INDEX(Parties!$E$5:$E$304,R1287)&lt;&gt;HomeState),0,ROUND(K1287*L1287/2,2))),"")</f>
        <v/>
      </c>
      <c r="N1287" s="61" t="str">
        <f aca="false">IF(IsPro,IF($D1287="","",M1287),"")</f>
        <v/>
      </c>
      <c r="O1287" s="61" t="str">
        <f aca="false">IF(IsPro,IF($D1287="","",IF(AND(R1287&lt;&gt;"",INDEX(Parties!$E$5:$E$304,R1287)&lt;&gt;"",INDEX(Parties!$E$5:$E$304,R1287)&lt;&gt;HomeState),ROUND(K1287*L1287,2),0)),"")</f>
        <v/>
      </c>
      <c r="P1287" s="61" t="str">
        <f aca="false">IF(IsPro,IF($D1287="","",K1287+M1287+N1287+O1287),"")</f>
        <v/>
      </c>
      <c r="Q1287" s="60" t="str">
        <f aca="false">IF(IsPro,IF($D1287="","",IFERROR(MATCH($D1287,Items!$A$5:$A$504,0),"")),"")</f>
        <v/>
      </c>
      <c r="R1287" s="60" t="str">
        <f aca="false">IF(IsPro,IF($C1287="","",IFERROR(MATCH($C1287,Parties!$A$5:$A$304,0),"")),"")</f>
        <v/>
      </c>
      <c r="S1287" s="61" t="str">
        <f aca="false">IF(IsPro,IF($D1287="","",IF(OR($H1287="",$H1287="Credit"),0,P1287)),"")</f>
        <v/>
      </c>
    </row>
    <row r="1288" customFormat="false" ht="15" hidden="false" customHeight="false" outlineLevel="0" collapsed="false">
      <c r="A1288" s="55"/>
      <c r="B1288" s="56"/>
      <c r="C1288" s="56"/>
      <c r="D1288" s="56"/>
      <c r="E1288" s="57"/>
      <c r="F1288" s="58"/>
      <c r="G1288" s="59"/>
      <c r="H1288" s="56"/>
      <c r="I1288" s="60" t="str">
        <f aca="false">IF(IsPro,IF($D1288="","",IFERROR(INDEX(Items!$D$5:$D$504,Q1288),"")),IF($D1288="","","PRO PLAN"))</f>
        <v/>
      </c>
      <c r="J1288" s="61" t="str">
        <f aca="false">IF(IsPro,IF($D1288="","",IF($F1288="",IFERROR(INDEX(Items!$G$5:$G$504,Q1288),0),$F1288)),"")</f>
        <v/>
      </c>
      <c r="K1288" s="61" t="str">
        <f aca="false">IF(IsPro,IF($D1288="","",ROUND(N($E1288)*J1288*(1-N($G1288)),2)),"")</f>
        <v/>
      </c>
      <c r="L1288" s="62" t="str">
        <f aca="false">IF(IsPro,IF($D1288="","",IFERROR(INDEX(Items!$F$5:$F$504,Q1288),0)),"")</f>
        <v/>
      </c>
      <c r="M1288" s="61" t="str">
        <f aca="false">IF(IsPro,IF($D1288="","",IF(AND(R1288&lt;&gt;"",INDEX(Parties!$E$5:$E$304,R1288)&lt;&gt;"",INDEX(Parties!$E$5:$E$304,R1288)&lt;&gt;HomeState),0,ROUND(K1288*L1288/2,2))),"")</f>
        <v/>
      </c>
      <c r="N1288" s="61" t="str">
        <f aca="false">IF(IsPro,IF($D1288="","",M1288),"")</f>
        <v/>
      </c>
      <c r="O1288" s="61" t="str">
        <f aca="false">IF(IsPro,IF($D1288="","",IF(AND(R1288&lt;&gt;"",INDEX(Parties!$E$5:$E$304,R1288)&lt;&gt;"",INDEX(Parties!$E$5:$E$304,R1288)&lt;&gt;HomeState),ROUND(K1288*L1288,2),0)),"")</f>
        <v/>
      </c>
      <c r="P1288" s="61" t="str">
        <f aca="false">IF(IsPro,IF($D1288="","",K1288+M1288+N1288+O1288),"")</f>
        <v/>
      </c>
      <c r="Q1288" s="60" t="str">
        <f aca="false">IF(IsPro,IF($D1288="","",IFERROR(MATCH($D1288,Items!$A$5:$A$504,0),"")),"")</f>
        <v/>
      </c>
      <c r="R1288" s="60" t="str">
        <f aca="false">IF(IsPro,IF($C1288="","",IFERROR(MATCH($C1288,Parties!$A$5:$A$304,0),"")),"")</f>
        <v/>
      </c>
      <c r="S1288" s="61" t="str">
        <f aca="false">IF(IsPro,IF($D1288="","",IF(OR($H1288="",$H1288="Credit"),0,P1288)),"")</f>
        <v/>
      </c>
    </row>
    <row r="1289" customFormat="false" ht="15" hidden="false" customHeight="false" outlineLevel="0" collapsed="false">
      <c r="A1289" s="55"/>
      <c r="B1289" s="56"/>
      <c r="C1289" s="56"/>
      <c r="D1289" s="56"/>
      <c r="E1289" s="57"/>
      <c r="F1289" s="58"/>
      <c r="G1289" s="59"/>
      <c r="H1289" s="56"/>
      <c r="I1289" s="60" t="str">
        <f aca="false">IF(IsPro,IF($D1289="","",IFERROR(INDEX(Items!$D$5:$D$504,Q1289),"")),IF($D1289="","","PRO PLAN"))</f>
        <v/>
      </c>
      <c r="J1289" s="61" t="str">
        <f aca="false">IF(IsPro,IF($D1289="","",IF($F1289="",IFERROR(INDEX(Items!$G$5:$G$504,Q1289),0),$F1289)),"")</f>
        <v/>
      </c>
      <c r="K1289" s="61" t="str">
        <f aca="false">IF(IsPro,IF($D1289="","",ROUND(N($E1289)*J1289*(1-N($G1289)),2)),"")</f>
        <v/>
      </c>
      <c r="L1289" s="62" t="str">
        <f aca="false">IF(IsPro,IF($D1289="","",IFERROR(INDEX(Items!$F$5:$F$504,Q1289),0)),"")</f>
        <v/>
      </c>
      <c r="M1289" s="61" t="str">
        <f aca="false">IF(IsPro,IF($D1289="","",IF(AND(R1289&lt;&gt;"",INDEX(Parties!$E$5:$E$304,R1289)&lt;&gt;"",INDEX(Parties!$E$5:$E$304,R1289)&lt;&gt;HomeState),0,ROUND(K1289*L1289/2,2))),"")</f>
        <v/>
      </c>
      <c r="N1289" s="61" t="str">
        <f aca="false">IF(IsPro,IF($D1289="","",M1289),"")</f>
        <v/>
      </c>
      <c r="O1289" s="61" t="str">
        <f aca="false">IF(IsPro,IF($D1289="","",IF(AND(R1289&lt;&gt;"",INDEX(Parties!$E$5:$E$304,R1289)&lt;&gt;"",INDEX(Parties!$E$5:$E$304,R1289)&lt;&gt;HomeState),ROUND(K1289*L1289,2),0)),"")</f>
        <v/>
      </c>
      <c r="P1289" s="61" t="str">
        <f aca="false">IF(IsPro,IF($D1289="","",K1289+M1289+N1289+O1289),"")</f>
        <v/>
      </c>
      <c r="Q1289" s="60" t="str">
        <f aca="false">IF(IsPro,IF($D1289="","",IFERROR(MATCH($D1289,Items!$A$5:$A$504,0),"")),"")</f>
        <v/>
      </c>
      <c r="R1289" s="60" t="str">
        <f aca="false">IF(IsPro,IF($C1289="","",IFERROR(MATCH($C1289,Parties!$A$5:$A$304,0),"")),"")</f>
        <v/>
      </c>
      <c r="S1289" s="61" t="str">
        <f aca="false">IF(IsPro,IF($D1289="","",IF(OR($H1289="",$H1289="Credit"),0,P1289)),"")</f>
        <v/>
      </c>
    </row>
    <row r="1290" customFormat="false" ht="15" hidden="false" customHeight="false" outlineLevel="0" collapsed="false">
      <c r="A1290" s="55"/>
      <c r="B1290" s="56"/>
      <c r="C1290" s="56"/>
      <c r="D1290" s="56"/>
      <c r="E1290" s="57"/>
      <c r="F1290" s="58"/>
      <c r="G1290" s="59"/>
      <c r="H1290" s="56"/>
      <c r="I1290" s="60" t="str">
        <f aca="false">IF(IsPro,IF($D1290="","",IFERROR(INDEX(Items!$D$5:$D$504,Q1290),"")),IF($D1290="","","PRO PLAN"))</f>
        <v/>
      </c>
      <c r="J1290" s="61" t="str">
        <f aca="false">IF(IsPro,IF($D1290="","",IF($F1290="",IFERROR(INDEX(Items!$G$5:$G$504,Q1290),0),$F1290)),"")</f>
        <v/>
      </c>
      <c r="K1290" s="61" t="str">
        <f aca="false">IF(IsPro,IF($D1290="","",ROUND(N($E1290)*J1290*(1-N($G1290)),2)),"")</f>
        <v/>
      </c>
      <c r="L1290" s="62" t="str">
        <f aca="false">IF(IsPro,IF($D1290="","",IFERROR(INDEX(Items!$F$5:$F$504,Q1290),0)),"")</f>
        <v/>
      </c>
      <c r="M1290" s="61" t="str">
        <f aca="false">IF(IsPro,IF($D1290="","",IF(AND(R1290&lt;&gt;"",INDEX(Parties!$E$5:$E$304,R1290)&lt;&gt;"",INDEX(Parties!$E$5:$E$304,R1290)&lt;&gt;HomeState),0,ROUND(K1290*L1290/2,2))),"")</f>
        <v/>
      </c>
      <c r="N1290" s="61" t="str">
        <f aca="false">IF(IsPro,IF($D1290="","",M1290),"")</f>
        <v/>
      </c>
      <c r="O1290" s="61" t="str">
        <f aca="false">IF(IsPro,IF($D1290="","",IF(AND(R1290&lt;&gt;"",INDEX(Parties!$E$5:$E$304,R1290)&lt;&gt;"",INDEX(Parties!$E$5:$E$304,R1290)&lt;&gt;HomeState),ROUND(K1290*L1290,2),0)),"")</f>
        <v/>
      </c>
      <c r="P1290" s="61" t="str">
        <f aca="false">IF(IsPro,IF($D1290="","",K1290+M1290+N1290+O1290),"")</f>
        <v/>
      </c>
      <c r="Q1290" s="60" t="str">
        <f aca="false">IF(IsPro,IF($D1290="","",IFERROR(MATCH($D1290,Items!$A$5:$A$504,0),"")),"")</f>
        <v/>
      </c>
      <c r="R1290" s="60" t="str">
        <f aca="false">IF(IsPro,IF($C1290="","",IFERROR(MATCH($C1290,Parties!$A$5:$A$304,0),"")),"")</f>
        <v/>
      </c>
      <c r="S1290" s="61" t="str">
        <f aca="false">IF(IsPro,IF($D1290="","",IF(OR($H1290="",$H1290="Credit"),0,P1290)),"")</f>
        <v/>
      </c>
    </row>
    <row r="1291" customFormat="false" ht="15" hidden="false" customHeight="false" outlineLevel="0" collapsed="false">
      <c r="A1291" s="55"/>
      <c r="B1291" s="56"/>
      <c r="C1291" s="56"/>
      <c r="D1291" s="56"/>
      <c r="E1291" s="57"/>
      <c r="F1291" s="58"/>
      <c r="G1291" s="59"/>
      <c r="H1291" s="56"/>
      <c r="I1291" s="60" t="str">
        <f aca="false">IF(IsPro,IF($D1291="","",IFERROR(INDEX(Items!$D$5:$D$504,Q1291),"")),IF($D1291="","","PRO PLAN"))</f>
        <v/>
      </c>
      <c r="J1291" s="61" t="str">
        <f aca="false">IF(IsPro,IF($D1291="","",IF($F1291="",IFERROR(INDEX(Items!$G$5:$G$504,Q1291),0),$F1291)),"")</f>
        <v/>
      </c>
      <c r="K1291" s="61" t="str">
        <f aca="false">IF(IsPro,IF($D1291="","",ROUND(N($E1291)*J1291*(1-N($G1291)),2)),"")</f>
        <v/>
      </c>
      <c r="L1291" s="62" t="str">
        <f aca="false">IF(IsPro,IF($D1291="","",IFERROR(INDEX(Items!$F$5:$F$504,Q1291),0)),"")</f>
        <v/>
      </c>
      <c r="M1291" s="61" t="str">
        <f aca="false">IF(IsPro,IF($D1291="","",IF(AND(R1291&lt;&gt;"",INDEX(Parties!$E$5:$E$304,R1291)&lt;&gt;"",INDEX(Parties!$E$5:$E$304,R1291)&lt;&gt;HomeState),0,ROUND(K1291*L1291/2,2))),"")</f>
        <v/>
      </c>
      <c r="N1291" s="61" t="str">
        <f aca="false">IF(IsPro,IF($D1291="","",M1291),"")</f>
        <v/>
      </c>
      <c r="O1291" s="61" t="str">
        <f aca="false">IF(IsPro,IF($D1291="","",IF(AND(R1291&lt;&gt;"",INDEX(Parties!$E$5:$E$304,R1291)&lt;&gt;"",INDEX(Parties!$E$5:$E$304,R1291)&lt;&gt;HomeState),ROUND(K1291*L1291,2),0)),"")</f>
        <v/>
      </c>
      <c r="P1291" s="61" t="str">
        <f aca="false">IF(IsPro,IF($D1291="","",K1291+M1291+N1291+O1291),"")</f>
        <v/>
      </c>
      <c r="Q1291" s="60" t="str">
        <f aca="false">IF(IsPro,IF($D1291="","",IFERROR(MATCH($D1291,Items!$A$5:$A$504,0),"")),"")</f>
        <v/>
      </c>
      <c r="R1291" s="60" t="str">
        <f aca="false">IF(IsPro,IF($C1291="","",IFERROR(MATCH($C1291,Parties!$A$5:$A$304,0),"")),"")</f>
        <v/>
      </c>
      <c r="S1291" s="61" t="str">
        <f aca="false">IF(IsPro,IF($D1291="","",IF(OR($H1291="",$H1291="Credit"),0,P1291)),"")</f>
        <v/>
      </c>
    </row>
    <row r="1292" customFormat="false" ht="15" hidden="false" customHeight="false" outlineLevel="0" collapsed="false">
      <c r="A1292" s="55"/>
      <c r="B1292" s="56"/>
      <c r="C1292" s="56"/>
      <c r="D1292" s="56"/>
      <c r="E1292" s="57"/>
      <c r="F1292" s="58"/>
      <c r="G1292" s="59"/>
      <c r="H1292" s="56"/>
      <c r="I1292" s="60" t="str">
        <f aca="false">IF(IsPro,IF($D1292="","",IFERROR(INDEX(Items!$D$5:$D$504,Q1292),"")),IF($D1292="","","PRO PLAN"))</f>
        <v/>
      </c>
      <c r="J1292" s="61" t="str">
        <f aca="false">IF(IsPro,IF($D1292="","",IF($F1292="",IFERROR(INDEX(Items!$G$5:$G$504,Q1292),0),$F1292)),"")</f>
        <v/>
      </c>
      <c r="K1292" s="61" t="str">
        <f aca="false">IF(IsPro,IF($D1292="","",ROUND(N($E1292)*J1292*(1-N($G1292)),2)),"")</f>
        <v/>
      </c>
      <c r="L1292" s="62" t="str">
        <f aca="false">IF(IsPro,IF($D1292="","",IFERROR(INDEX(Items!$F$5:$F$504,Q1292),0)),"")</f>
        <v/>
      </c>
      <c r="M1292" s="61" t="str">
        <f aca="false">IF(IsPro,IF($D1292="","",IF(AND(R1292&lt;&gt;"",INDEX(Parties!$E$5:$E$304,R1292)&lt;&gt;"",INDEX(Parties!$E$5:$E$304,R1292)&lt;&gt;HomeState),0,ROUND(K1292*L1292/2,2))),"")</f>
        <v/>
      </c>
      <c r="N1292" s="61" t="str">
        <f aca="false">IF(IsPro,IF($D1292="","",M1292),"")</f>
        <v/>
      </c>
      <c r="O1292" s="61" t="str">
        <f aca="false">IF(IsPro,IF($D1292="","",IF(AND(R1292&lt;&gt;"",INDEX(Parties!$E$5:$E$304,R1292)&lt;&gt;"",INDEX(Parties!$E$5:$E$304,R1292)&lt;&gt;HomeState),ROUND(K1292*L1292,2),0)),"")</f>
        <v/>
      </c>
      <c r="P1292" s="61" t="str">
        <f aca="false">IF(IsPro,IF($D1292="","",K1292+M1292+N1292+O1292),"")</f>
        <v/>
      </c>
      <c r="Q1292" s="60" t="str">
        <f aca="false">IF(IsPro,IF($D1292="","",IFERROR(MATCH($D1292,Items!$A$5:$A$504,0),"")),"")</f>
        <v/>
      </c>
      <c r="R1292" s="60" t="str">
        <f aca="false">IF(IsPro,IF($C1292="","",IFERROR(MATCH($C1292,Parties!$A$5:$A$304,0),"")),"")</f>
        <v/>
      </c>
      <c r="S1292" s="61" t="str">
        <f aca="false">IF(IsPro,IF($D1292="","",IF(OR($H1292="",$H1292="Credit"),0,P1292)),"")</f>
        <v/>
      </c>
    </row>
    <row r="1293" customFormat="false" ht="15" hidden="false" customHeight="false" outlineLevel="0" collapsed="false">
      <c r="A1293" s="55"/>
      <c r="B1293" s="56"/>
      <c r="C1293" s="56"/>
      <c r="D1293" s="56"/>
      <c r="E1293" s="57"/>
      <c r="F1293" s="58"/>
      <c r="G1293" s="59"/>
      <c r="H1293" s="56"/>
      <c r="I1293" s="60" t="str">
        <f aca="false">IF(IsPro,IF($D1293="","",IFERROR(INDEX(Items!$D$5:$D$504,Q1293),"")),IF($D1293="","","PRO PLAN"))</f>
        <v/>
      </c>
      <c r="J1293" s="61" t="str">
        <f aca="false">IF(IsPro,IF($D1293="","",IF($F1293="",IFERROR(INDEX(Items!$G$5:$G$504,Q1293),0),$F1293)),"")</f>
        <v/>
      </c>
      <c r="K1293" s="61" t="str">
        <f aca="false">IF(IsPro,IF($D1293="","",ROUND(N($E1293)*J1293*(1-N($G1293)),2)),"")</f>
        <v/>
      </c>
      <c r="L1293" s="62" t="str">
        <f aca="false">IF(IsPro,IF($D1293="","",IFERROR(INDEX(Items!$F$5:$F$504,Q1293),0)),"")</f>
        <v/>
      </c>
      <c r="M1293" s="61" t="str">
        <f aca="false">IF(IsPro,IF($D1293="","",IF(AND(R1293&lt;&gt;"",INDEX(Parties!$E$5:$E$304,R1293)&lt;&gt;"",INDEX(Parties!$E$5:$E$304,R1293)&lt;&gt;HomeState),0,ROUND(K1293*L1293/2,2))),"")</f>
        <v/>
      </c>
      <c r="N1293" s="61" t="str">
        <f aca="false">IF(IsPro,IF($D1293="","",M1293),"")</f>
        <v/>
      </c>
      <c r="O1293" s="61" t="str">
        <f aca="false">IF(IsPro,IF($D1293="","",IF(AND(R1293&lt;&gt;"",INDEX(Parties!$E$5:$E$304,R1293)&lt;&gt;"",INDEX(Parties!$E$5:$E$304,R1293)&lt;&gt;HomeState),ROUND(K1293*L1293,2),0)),"")</f>
        <v/>
      </c>
      <c r="P1293" s="61" t="str">
        <f aca="false">IF(IsPro,IF($D1293="","",K1293+M1293+N1293+O1293),"")</f>
        <v/>
      </c>
      <c r="Q1293" s="60" t="str">
        <f aca="false">IF(IsPro,IF($D1293="","",IFERROR(MATCH($D1293,Items!$A$5:$A$504,0),"")),"")</f>
        <v/>
      </c>
      <c r="R1293" s="60" t="str">
        <f aca="false">IF(IsPro,IF($C1293="","",IFERROR(MATCH($C1293,Parties!$A$5:$A$304,0),"")),"")</f>
        <v/>
      </c>
      <c r="S1293" s="61" t="str">
        <f aca="false">IF(IsPro,IF($D1293="","",IF(OR($H1293="",$H1293="Credit"),0,P1293)),"")</f>
        <v/>
      </c>
    </row>
    <row r="1294" customFormat="false" ht="15" hidden="false" customHeight="false" outlineLevel="0" collapsed="false">
      <c r="A1294" s="55"/>
      <c r="B1294" s="56"/>
      <c r="C1294" s="56"/>
      <c r="D1294" s="56"/>
      <c r="E1294" s="57"/>
      <c r="F1294" s="58"/>
      <c r="G1294" s="59"/>
      <c r="H1294" s="56"/>
      <c r="I1294" s="60" t="str">
        <f aca="false">IF(IsPro,IF($D1294="","",IFERROR(INDEX(Items!$D$5:$D$504,Q1294),"")),IF($D1294="","","PRO PLAN"))</f>
        <v/>
      </c>
      <c r="J1294" s="61" t="str">
        <f aca="false">IF(IsPro,IF($D1294="","",IF($F1294="",IFERROR(INDEX(Items!$G$5:$G$504,Q1294),0),$F1294)),"")</f>
        <v/>
      </c>
      <c r="K1294" s="61" t="str">
        <f aca="false">IF(IsPro,IF($D1294="","",ROUND(N($E1294)*J1294*(1-N($G1294)),2)),"")</f>
        <v/>
      </c>
      <c r="L1294" s="62" t="str">
        <f aca="false">IF(IsPro,IF($D1294="","",IFERROR(INDEX(Items!$F$5:$F$504,Q1294),0)),"")</f>
        <v/>
      </c>
      <c r="M1294" s="61" t="str">
        <f aca="false">IF(IsPro,IF($D1294="","",IF(AND(R1294&lt;&gt;"",INDEX(Parties!$E$5:$E$304,R1294)&lt;&gt;"",INDEX(Parties!$E$5:$E$304,R1294)&lt;&gt;HomeState),0,ROUND(K1294*L1294/2,2))),"")</f>
        <v/>
      </c>
      <c r="N1294" s="61" t="str">
        <f aca="false">IF(IsPro,IF($D1294="","",M1294),"")</f>
        <v/>
      </c>
      <c r="O1294" s="61" t="str">
        <f aca="false">IF(IsPro,IF($D1294="","",IF(AND(R1294&lt;&gt;"",INDEX(Parties!$E$5:$E$304,R1294)&lt;&gt;"",INDEX(Parties!$E$5:$E$304,R1294)&lt;&gt;HomeState),ROUND(K1294*L1294,2),0)),"")</f>
        <v/>
      </c>
      <c r="P1294" s="61" t="str">
        <f aca="false">IF(IsPro,IF($D1294="","",K1294+M1294+N1294+O1294),"")</f>
        <v/>
      </c>
      <c r="Q1294" s="60" t="str">
        <f aca="false">IF(IsPro,IF($D1294="","",IFERROR(MATCH($D1294,Items!$A$5:$A$504,0),"")),"")</f>
        <v/>
      </c>
      <c r="R1294" s="60" t="str">
        <f aca="false">IF(IsPro,IF($C1294="","",IFERROR(MATCH($C1294,Parties!$A$5:$A$304,0),"")),"")</f>
        <v/>
      </c>
      <c r="S1294" s="61" t="str">
        <f aca="false">IF(IsPro,IF($D1294="","",IF(OR($H1294="",$H1294="Credit"),0,P1294)),"")</f>
        <v/>
      </c>
    </row>
    <row r="1295" customFormat="false" ht="15" hidden="false" customHeight="false" outlineLevel="0" collapsed="false">
      <c r="A1295" s="55"/>
      <c r="B1295" s="56"/>
      <c r="C1295" s="56"/>
      <c r="D1295" s="56"/>
      <c r="E1295" s="57"/>
      <c r="F1295" s="58"/>
      <c r="G1295" s="59"/>
      <c r="H1295" s="56"/>
      <c r="I1295" s="60" t="str">
        <f aca="false">IF(IsPro,IF($D1295="","",IFERROR(INDEX(Items!$D$5:$D$504,Q1295),"")),IF($D1295="","","PRO PLAN"))</f>
        <v/>
      </c>
      <c r="J1295" s="61" t="str">
        <f aca="false">IF(IsPro,IF($D1295="","",IF($F1295="",IFERROR(INDEX(Items!$G$5:$G$504,Q1295),0),$F1295)),"")</f>
        <v/>
      </c>
      <c r="K1295" s="61" t="str">
        <f aca="false">IF(IsPro,IF($D1295="","",ROUND(N($E1295)*J1295*(1-N($G1295)),2)),"")</f>
        <v/>
      </c>
      <c r="L1295" s="62" t="str">
        <f aca="false">IF(IsPro,IF($D1295="","",IFERROR(INDEX(Items!$F$5:$F$504,Q1295),0)),"")</f>
        <v/>
      </c>
      <c r="M1295" s="61" t="str">
        <f aca="false">IF(IsPro,IF($D1295="","",IF(AND(R1295&lt;&gt;"",INDEX(Parties!$E$5:$E$304,R1295)&lt;&gt;"",INDEX(Parties!$E$5:$E$304,R1295)&lt;&gt;HomeState),0,ROUND(K1295*L1295/2,2))),"")</f>
        <v/>
      </c>
      <c r="N1295" s="61" t="str">
        <f aca="false">IF(IsPro,IF($D1295="","",M1295),"")</f>
        <v/>
      </c>
      <c r="O1295" s="61" t="str">
        <f aca="false">IF(IsPro,IF($D1295="","",IF(AND(R1295&lt;&gt;"",INDEX(Parties!$E$5:$E$304,R1295)&lt;&gt;"",INDEX(Parties!$E$5:$E$304,R1295)&lt;&gt;HomeState),ROUND(K1295*L1295,2),0)),"")</f>
        <v/>
      </c>
      <c r="P1295" s="61" t="str">
        <f aca="false">IF(IsPro,IF($D1295="","",K1295+M1295+N1295+O1295),"")</f>
        <v/>
      </c>
      <c r="Q1295" s="60" t="str">
        <f aca="false">IF(IsPro,IF($D1295="","",IFERROR(MATCH($D1295,Items!$A$5:$A$504,0),"")),"")</f>
        <v/>
      </c>
      <c r="R1295" s="60" t="str">
        <f aca="false">IF(IsPro,IF($C1295="","",IFERROR(MATCH($C1295,Parties!$A$5:$A$304,0),"")),"")</f>
        <v/>
      </c>
      <c r="S1295" s="61" t="str">
        <f aca="false">IF(IsPro,IF($D1295="","",IF(OR($H1295="",$H1295="Credit"),0,P1295)),"")</f>
        <v/>
      </c>
    </row>
    <row r="1296" customFormat="false" ht="15" hidden="false" customHeight="false" outlineLevel="0" collapsed="false">
      <c r="A1296" s="55"/>
      <c r="B1296" s="56"/>
      <c r="C1296" s="56"/>
      <c r="D1296" s="56"/>
      <c r="E1296" s="57"/>
      <c r="F1296" s="58"/>
      <c r="G1296" s="59"/>
      <c r="H1296" s="56"/>
      <c r="I1296" s="60" t="str">
        <f aca="false">IF(IsPro,IF($D1296="","",IFERROR(INDEX(Items!$D$5:$D$504,Q1296),"")),IF($D1296="","","PRO PLAN"))</f>
        <v/>
      </c>
      <c r="J1296" s="61" t="str">
        <f aca="false">IF(IsPro,IF($D1296="","",IF($F1296="",IFERROR(INDEX(Items!$G$5:$G$504,Q1296),0),$F1296)),"")</f>
        <v/>
      </c>
      <c r="K1296" s="61" t="str">
        <f aca="false">IF(IsPro,IF($D1296="","",ROUND(N($E1296)*J1296*(1-N($G1296)),2)),"")</f>
        <v/>
      </c>
      <c r="L1296" s="62" t="str">
        <f aca="false">IF(IsPro,IF($D1296="","",IFERROR(INDEX(Items!$F$5:$F$504,Q1296),0)),"")</f>
        <v/>
      </c>
      <c r="M1296" s="61" t="str">
        <f aca="false">IF(IsPro,IF($D1296="","",IF(AND(R1296&lt;&gt;"",INDEX(Parties!$E$5:$E$304,R1296)&lt;&gt;"",INDEX(Parties!$E$5:$E$304,R1296)&lt;&gt;HomeState),0,ROUND(K1296*L1296/2,2))),"")</f>
        <v/>
      </c>
      <c r="N1296" s="61" t="str">
        <f aca="false">IF(IsPro,IF($D1296="","",M1296),"")</f>
        <v/>
      </c>
      <c r="O1296" s="61" t="str">
        <f aca="false">IF(IsPro,IF($D1296="","",IF(AND(R1296&lt;&gt;"",INDEX(Parties!$E$5:$E$304,R1296)&lt;&gt;"",INDEX(Parties!$E$5:$E$304,R1296)&lt;&gt;HomeState),ROUND(K1296*L1296,2),0)),"")</f>
        <v/>
      </c>
      <c r="P1296" s="61" t="str">
        <f aca="false">IF(IsPro,IF($D1296="","",K1296+M1296+N1296+O1296),"")</f>
        <v/>
      </c>
      <c r="Q1296" s="60" t="str">
        <f aca="false">IF(IsPro,IF($D1296="","",IFERROR(MATCH($D1296,Items!$A$5:$A$504,0),"")),"")</f>
        <v/>
      </c>
      <c r="R1296" s="60" t="str">
        <f aca="false">IF(IsPro,IF($C1296="","",IFERROR(MATCH($C1296,Parties!$A$5:$A$304,0),"")),"")</f>
        <v/>
      </c>
      <c r="S1296" s="61" t="str">
        <f aca="false">IF(IsPro,IF($D1296="","",IF(OR($H1296="",$H1296="Credit"),0,P1296)),"")</f>
        <v/>
      </c>
    </row>
    <row r="1297" customFormat="false" ht="15" hidden="false" customHeight="false" outlineLevel="0" collapsed="false">
      <c r="A1297" s="55"/>
      <c r="B1297" s="56"/>
      <c r="C1297" s="56"/>
      <c r="D1297" s="56"/>
      <c r="E1297" s="57"/>
      <c r="F1297" s="58"/>
      <c r="G1297" s="59"/>
      <c r="H1297" s="56"/>
      <c r="I1297" s="60" t="str">
        <f aca="false">IF(IsPro,IF($D1297="","",IFERROR(INDEX(Items!$D$5:$D$504,Q1297),"")),IF($D1297="","","PRO PLAN"))</f>
        <v/>
      </c>
      <c r="J1297" s="61" t="str">
        <f aca="false">IF(IsPro,IF($D1297="","",IF($F1297="",IFERROR(INDEX(Items!$G$5:$G$504,Q1297),0),$F1297)),"")</f>
        <v/>
      </c>
      <c r="K1297" s="61" t="str">
        <f aca="false">IF(IsPro,IF($D1297="","",ROUND(N($E1297)*J1297*(1-N($G1297)),2)),"")</f>
        <v/>
      </c>
      <c r="L1297" s="62" t="str">
        <f aca="false">IF(IsPro,IF($D1297="","",IFERROR(INDEX(Items!$F$5:$F$504,Q1297),0)),"")</f>
        <v/>
      </c>
      <c r="M1297" s="61" t="str">
        <f aca="false">IF(IsPro,IF($D1297="","",IF(AND(R1297&lt;&gt;"",INDEX(Parties!$E$5:$E$304,R1297)&lt;&gt;"",INDEX(Parties!$E$5:$E$304,R1297)&lt;&gt;HomeState),0,ROUND(K1297*L1297/2,2))),"")</f>
        <v/>
      </c>
      <c r="N1297" s="61" t="str">
        <f aca="false">IF(IsPro,IF($D1297="","",M1297),"")</f>
        <v/>
      </c>
      <c r="O1297" s="61" t="str">
        <f aca="false">IF(IsPro,IF($D1297="","",IF(AND(R1297&lt;&gt;"",INDEX(Parties!$E$5:$E$304,R1297)&lt;&gt;"",INDEX(Parties!$E$5:$E$304,R1297)&lt;&gt;HomeState),ROUND(K1297*L1297,2),0)),"")</f>
        <v/>
      </c>
      <c r="P1297" s="61" t="str">
        <f aca="false">IF(IsPro,IF($D1297="","",K1297+M1297+N1297+O1297),"")</f>
        <v/>
      </c>
      <c r="Q1297" s="60" t="str">
        <f aca="false">IF(IsPro,IF($D1297="","",IFERROR(MATCH($D1297,Items!$A$5:$A$504,0),"")),"")</f>
        <v/>
      </c>
      <c r="R1297" s="60" t="str">
        <f aca="false">IF(IsPro,IF($C1297="","",IFERROR(MATCH($C1297,Parties!$A$5:$A$304,0),"")),"")</f>
        <v/>
      </c>
      <c r="S1297" s="61" t="str">
        <f aca="false">IF(IsPro,IF($D1297="","",IF(OR($H1297="",$H1297="Credit"),0,P1297)),"")</f>
        <v/>
      </c>
    </row>
    <row r="1298" customFormat="false" ht="15" hidden="false" customHeight="false" outlineLevel="0" collapsed="false">
      <c r="A1298" s="55"/>
      <c r="B1298" s="56"/>
      <c r="C1298" s="56"/>
      <c r="D1298" s="56"/>
      <c r="E1298" s="57"/>
      <c r="F1298" s="58"/>
      <c r="G1298" s="59"/>
      <c r="H1298" s="56"/>
      <c r="I1298" s="60" t="str">
        <f aca="false">IF(IsPro,IF($D1298="","",IFERROR(INDEX(Items!$D$5:$D$504,Q1298),"")),IF($D1298="","","PRO PLAN"))</f>
        <v/>
      </c>
      <c r="J1298" s="61" t="str">
        <f aca="false">IF(IsPro,IF($D1298="","",IF($F1298="",IFERROR(INDEX(Items!$G$5:$G$504,Q1298),0),$F1298)),"")</f>
        <v/>
      </c>
      <c r="K1298" s="61" t="str">
        <f aca="false">IF(IsPro,IF($D1298="","",ROUND(N($E1298)*J1298*(1-N($G1298)),2)),"")</f>
        <v/>
      </c>
      <c r="L1298" s="62" t="str">
        <f aca="false">IF(IsPro,IF($D1298="","",IFERROR(INDEX(Items!$F$5:$F$504,Q1298),0)),"")</f>
        <v/>
      </c>
      <c r="M1298" s="61" t="str">
        <f aca="false">IF(IsPro,IF($D1298="","",IF(AND(R1298&lt;&gt;"",INDEX(Parties!$E$5:$E$304,R1298)&lt;&gt;"",INDEX(Parties!$E$5:$E$304,R1298)&lt;&gt;HomeState),0,ROUND(K1298*L1298/2,2))),"")</f>
        <v/>
      </c>
      <c r="N1298" s="61" t="str">
        <f aca="false">IF(IsPro,IF($D1298="","",M1298),"")</f>
        <v/>
      </c>
      <c r="O1298" s="61" t="str">
        <f aca="false">IF(IsPro,IF($D1298="","",IF(AND(R1298&lt;&gt;"",INDEX(Parties!$E$5:$E$304,R1298)&lt;&gt;"",INDEX(Parties!$E$5:$E$304,R1298)&lt;&gt;HomeState),ROUND(K1298*L1298,2),0)),"")</f>
        <v/>
      </c>
      <c r="P1298" s="61" t="str">
        <f aca="false">IF(IsPro,IF($D1298="","",K1298+M1298+N1298+O1298),"")</f>
        <v/>
      </c>
      <c r="Q1298" s="60" t="str">
        <f aca="false">IF(IsPro,IF($D1298="","",IFERROR(MATCH($D1298,Items!$A$5:$A$504,0),"")),"")</f>
        <v/>
      </c>
      <c r="R1298" s="60" t="str">
        <f aca="false">IF(IsPro,IF($C1298="","",IFERROR(MATCH($C1298,Parties!$A$5:$A$304,0),"")),"")</f>
        <v/>
      </c>
      <c r="S1298" s="61" t="str">
        <f aca="false">IF(IsPro,IF($D1298="","",IF(OR($H1298="",$H1298="Credit"),0,P1298)),"")</f>
        <v/>
      </c>
    </row>
    <row r="1299" customFormat="false" ht="15" hidden="false" customHeight="false" outlineLevel="0" collapsed="false">
      <c r="A1299" s="55"/>
      <c r="B1299" s="56"/>
      <c r="C1299" s="56"/>
      <c r="D1299" s="56"/>
      <c r="E1299" s="57"/>
      <c r="F1299" s="58"/>
      <c r="G1299" s="59"/>
      <c r="H1299" s="56"/>
      <c r="I1299" s="60" t="str">
        <f aca="false">IF(IsPro,IF($D1299="","",IFERROR(INDEX(Items!$D$5:$D$504,Q1299),"")),IF($D1299="","","PRO PLAN"))</f>
        <v/>
      </c>
      <c r="J1299" s="61" t="str">
        <f aca="false">IF(IsPro,IF($D1299="","",IF($F1299="",IFERROR(INDEX(Items!$G$5:$G$504,Q1299),0),$F1299)),"")</f>
        <v/>
      </c>
      <c r="K1299" s="61" t="str">
        <f aca="false">IF(IsPro,IF($D1299="","",ROUND(N($E1299)*J1299*(1-N($G1299)),2)),"")</f>
        <v/>
      </c>
      <c r="L1299" s="62" t="str">
        <f aca="false">IF(IsPro,IF($D1299="","",IFERROR(INDEX(Items!$F$5:$F$504,Q1299),0)),"")</f>
        <v/>
      </c>
      <c r="M1299" s="61" t="str">
        <f aca="false">IF(IsPro,IF($D1299="","",IF(AND(R1299&lt;&gt;"",INDEX(Parties!$E$5:$E$304,R1299)&lt;&gt;"",INDEX(Parties!$E$5:$E$304,R1299)&lt;&gt;HomeState),0,ROUND(K1299*L1299/2,2))),"")</f>
        <v/>
      </c>
      <c r="N1299" s="61" t="str">
        <f aca="false">IF(IsPro,IF($D1299="","",M1299),"")</f>
        <v/>
      </c>
      <c r="O1299" s="61" t="str">
        <f aca="false">IF(IsPro,IF($D1299="","",IF(AND(R1299&lt;&gt;"",INDEX(Parties!$E$5:$E$304,R1299)&lt;&gt;"",INDEX(Parties!$E$5:$E$304,R1299)&lt;&gt;HomeState),ROUND(K1299*L1299,2),0)),"")</f>
        <v/>
      </c>
      <c r="P1299" s="61" t="str">
        <f aca="false">IF(IsPro,IF($D1299="","",K1299+M1299+N1299+O1299),"")</f>
        <v/>
      </c>
      <c r="Q1299" s="60" t="str">
        <f aca="false">IF(IsPro,IF($D1299="","",IFERROR(MATCH($D1299,Items!$A$5:$A$504,0),"")),"")</f>
        <v/>
      </c>
      <c r="R1299" s="60" t="str">
        <f aca="false">IF(IsPro,IF($C1299="","",IFERROR(MATCH($C1299,Parties!$A$5:$A$304,0),"")),"")</f>
        <v/>
      </c>
      <c r="S1299" s="61" t="str">
        <f aca="false">IF(IsPro,IF($D1299="","",IF(OR($H1299="",$H1299="Credit"),0,P1299)),"")</f>
        <v/>
      </c>
    </row>
    <row r="1300" customFormat="false" ht="15" hidden="false" customHeight="false" outlineLevel="0" collapsed="false">
      <c r="A1300" s="55"/>
      <c r="B1300" s="56"/>
      <c r="C1300" s="56"/>
      <c r="D1300" s="56"/>
      <c r="E1300" s="57"/>
      <c r="F1300" s="58"/>
      <c r="G1300" s="59"/>
      <c r="H1300" s="56"/>
      <c r="I1300" s="60" t="str">
        <f aca="false">IF(IsPro,IF($D1300="","",IFERROR(INDEX(Items!$D$5:$D$504,Q1300),"")),IF($D1300="","","PRO PLAN"))</f>
        <v/>
      </c>
      <c r="J1300" s="61" t="str">
        <f aca="false">IF(IsPro,IF($D1300="","",IF($F1300="",IFERROR(INDEX(Items!$G$5:$G$504,Q1300),0),$F1300)),"")</f>
        <v/>
      </c>
      <c r="K1300" s="61" t="str">
        <f aca="false">IF(IsPro,IF($D1300="","",ROUND(N($E1300)*J1300*(1-N($G1300)),2)),"")</f>
        <v/>
      </c>
      <c r="L1300" s="62" t="str">
        <f aca="false">IF(IsPro,IF($D1300="","",IFERROR(INDEX(Items!$F$5:$F$504,Q1300),0)),"")</f>
        <v/>
      </c>
      <c r="M1300" s="61" t="str">
        <f aca="false">IF(IsPro,IF($D1300="","",IF(AND(R1300&lt;&gt;"",INDEX(Parties!$E$5:$E$304,R1300)&lt;&gt;"",INDEX(Parties!$E$5:$E$304,R1300)&lt;&gt;HomeState),0,ROUND(K1300*L1300/2,2))),"")</f>
        <v/>
      </c>
      <c r="N1300" s="61" t="str">
        <f aca="false">IF(IsPro,IF($D1300="","",M1300),"")</f>
        <v/>
      </c>
      <c r="O1300" s="61" t="str">
        <f aca="false">IF(IsPro,IF($D1300="","",IF(AND(R1300&lt;&gt;"",INDEX(Parties!$E$5:$E$304,R1300)&lt;&gt;"",INDEX(Parties!$E$5:$E$304,R1300)&lt;&gt;HomeState),ROUND(K1300*L1300,2),0)),"")</f>
        <v/>
      </c>
      <c r="P1300" s="61" t="str">
        <f aca="false">IF(IsPro,IF($D1300="","",K1300+M1300+N1300+O1300),"")</f>
        <v/>
      </c>
      <c r="Q1300" s="60" t="str">
        <f aca="false">IF(IsPro,IF($D1300="","",IFERROR(MATCH($D1300,Items!$A$5:$A$504,0),"")),"")</f>
        <v/>
      </c>
      <c r="R1300" s="60" t="str">
        <f aca="false">IF(IsPro,IF($C1300="","",IFERROR(MATCH($C1300,Parties!$A$5:$A$304,0),"")),"")</f>
        <v/>
      </c>
      <c r="S1300" s="61" t="str">
        <f aca="false">IF(IsPro,IF($D1300="","",IF(OR($H1300="",$H1300="Credit"),0,P1300)),"")</f>
        <v/>
      </c>
    </row>
    <row r="1301" customFormat="false" ht="15" hidden="false" customHeight="false" outlineLevel="0" collapsed="false">
      <c r="A1301" s="55"/>
      <c r="B1301" s="56"/>
      <c r="C1301" s="56"/>
      <c r="D1301" s="56"/>
      <c r="E1301" s="57"/>
      <c r="F1301" s="58"/>
      <c r="G1301" s="59"/>
      <c r="H1301" s="56"/>
      <c r="I1301" s="60" t="str">
        <f aca="false">IF(IsPro,IF($D1301="","",IFERROR(INDEX(Items!$D$5:$D$504,Q1301),"")),IF($D1301="","","PRO PLAN"))</f>
        <v/>
      </c>
      <c r="J1301" s="61" t="str">
        <f aca="false">IF(IsPro,IF($D1301="","",IF($F1301="",IFERROR(INDEX(Items!$G$5:$G$504,Q1301),0),$F1301)),"")</f>
        <v/>
      </c>
      <c r="K1301" s="61" t="str">
        <f aca="false">IF(IsPro,IF($D1301="","",ROUND(N($E1301)*J1301*(1-N($G1301)),2)),"")</f>
        <v/>
      </c>
      <c r="L1301" s="62" t="str">
        <f aca="false">IF(IsPro,IF($D1301="","",IFERROR(INDEX(Items!$F$5:$F$504,Q1301),0)),"")</f>
        <v/>
      </c>
      <c r="M1301" s="61" t="str">
        <f aca="false">IF(IsPro,IF($D1301="","",IF(AND(R1301&lt;&gt;"",INDEX(Parties!$E$5:$E$304,R1301)&lt;&gt;"",INDEX(Parties!$E$5:$E$304,R1301)&lt;&gt;HomeState),0,ROUND(K1301*L1301/2,2))),"")</f>
        <v/>
      </c>
      <c r="N1301" s="61" t="str">
        <f aca="false">IF(IsPro,IF($D1301="","",M1301),"")</f>
        <v/>
      </c>
      <c r="O1301" s="61" t="str">
        <f aca="false">IF(IsPro,IF($D1301="","",IF(AND(R1301&lt;&gt;"",INDEX(Parties!$E$5:$E$304,R1301)&lt;&gt;"",INDEX(Parties!$E$5:$E$304,R1301)&lt;&gt;HomeState),ROUND(K1301*L1301,2),0)),"")</f>
        <v/>
      </c>
      <c r="P1301" s="61" t="str">
        <f aca="false">IF(IsPro,IF($D1301="","",K1301+M1301+N1301+O1301),"")</f>
        <v/>
      </c>
      <c r="Q1301" s="60" t="str">
        <f aca="false">IF(IsPro,IF($D1301="","",IFERROR(MATCH($D1301,Items!$A$5:$A$504,0),"")),"")</f>
        <v/>
      </c>
      <c r="R1301" s="60" t="str">
        <f aca="false">IF(IsPro,IF($C1301="","",IFERROR(MATCH($C1301,Parties!$A$5:$A$304,0),"")),"")</f>
        <v/>
      </c>
      <c r="S1301" s="61" t="str">
        <f aca="false">IF(IsPro,IF($D1301="","",IF(OR($H1301="",$H1301="Credit"),0,P1301)),"")</f>
        <v/>
      </c>
    </row>
    <row r="1302" customFormat="false" ht="15" hidden="false" customHeight="false" outlineLevel="0" collapsed="false">
      <c r="A1302" s="55"/>
      <c r="B1302" s="56"/>
      <c r="C1302" s="56"/>
      <c r="D1302" s="56"/>
      <c r="E1302" s="57"/>
      <c r="F1302" s="58"/>
      <c r="G1302" s="59"/>
      <c r="H1302" s="56"/>
      <c r="I1302" s="60" t="str">
        <f aca="false">IF(IsPro,IF($D1302="","",IFERROR(INDEX(Items!$D$5:$D$504,Q1302),"")),IF($D1302="","","PRO PLAN"))</f>
        <v/>
      </c>
      <c r="J1302" s="61" t="str">
        <f aca="false">IF(IsPro,IF($D1302="","",IF($F1302="",IFERROR(INDEX(Items!$G$5:$G$504,Q1302),0),$F1302)),"")</f>
        <v/>
      </c>
      <c r="K1302" s="61" t="str">
        <f aca="false">IF(IsPro,IF($D1302="","",ROUND(N($E1302)*J1302*(1-N($G1302)),2)),"")</f>
        <v/>
      </c>
      <c r="L1302" s="62" t="str">
        <f aca="false">IF(IsPro,IF($D1302="","",IFERROR(INDEX(Items!$F$5:$F$504,Q1302),0)),"")</f>
        <v/>
      </c>
      <c r="M1302" s="61" t="str">
        <f aca="false">IF(IsPro,IF($D1302="","",IF(AND(R1302&lt;&gt;"",INDEX(Parties!$E$5:$E$304,R1302)&lt;&gt;"",INDEX(Parties!$E$5:$E$304,R1302)&lt;&gt;HomeState),0,ROUND(K1302*L1302/2,2))),"")</f>
        <v/>
      </c>
      <c r="N1302" s="61" t="str">
        <f aca="false">IF(IsPro,IF($D1302="","",M1302),"")</f>
        <v/>
      </c>
      <c r="O1302" s="61" t="str">
        <f aca="false">IF(IsPro,IF($D1302="","",IF(AND(R1302&lt;&gt;"",INDEX(Parties!$E$5:$E$304,R1302)&lt;&gt;"",INDEX(Parties!$E$5:$E$304,R1302)&lt;&gt;HomeState),ROUND(K1302*L1302,2),0)),"")</f>
        <v/>
      </c>
      <c r="P1302" s="61" t="str">
        <f aca="false">IF(IsPro,IF($D1302="","",K1302+M1302+N1302+O1302),"")</f>
        <v/>
      </c>
      <c r="Q1302" s="60" t="str">
        <f aca="false">IF(IsPro,IF($D1302="","",IFERROR(MATCH($D1302,Items!$A$5:$A$504,0),"")),"")</f>
        <v/>
      </c>
      <c r="R1302" s="60" t="str">
        <f aca="false">IF(IsPro,IF($C1302="","",IFERROR(MATCH($C1302,Parties!$A$5:$A$304,0),"")),"")</f>
        <v/>
      </c>
      <c r="S1302" s="61" t="str">
        <f aca="false">IF(IsPro,IF($D1302="","",IF(OR($H1302="",$H1302="Credit"),0,P1302)),"")</f>
        <v/>
      </c>
    </row>
    <row r="1303" customFormat="false" ht="15" hidden="false" customHeight="false" outlineLevel="0" collapsed="false">
      <c r="A1303" s="55"/>
      <c r="B1303" s="56"/>
      <c r="C1303" s="56"/>
      <c r="D1303" s="56"/>
      <c r="E1303" s="57"/>
      <c r="F1303" s="58"/>
      <c r="G1303" s="59"/>
      <c r="H1303" s="56"/>
      <c r="I1303" s="60" t="str">
        <f aca="false">IF(IsPro,IF($D1303="","",IFERROR(INDEX(Items!$D$5:$D$504,Q1303),"")),IF($D1303="","","PRO PLAN"))</f>
        <v/>
      </c>
      <c r="J1303" s="61" t="str">
        <f aca="false">IF(IsPro,IF($D1303="","",IF($F1303="",IFERROR(INDEX(Items!$G$5:$G$504,Q1303),0),$F1303)),"")</f>
        <v/>
      </c>
      <c r="K1303" s="61" t="str">
        <f aca="false">IF(IsPro,IF($D1303="","",ROUND(N($E1303)*J1303*(1-N($G1303)),2)),"")</f>
        <v/>
      </c>
      <c r="L1303" s="62" t="str">
        <f aca="false">IF(IsPro,IF($D1303="","",IFERROR(INDEX(Items!$F$5:$F$504,Q1303),0)),"")</f>
        <v/>
      </c>
      <c r="M1303" s="61" t="str">
        <f aca="false">IF(IsPro,IF($D1303="","",IF(AND(R1303&lt;&gt;"",INDEX(Parties!$E$5:$E$304,R1303)&lt;&gt;"",INDEX(Parties!$E$5:$E$304,R1303)&lt;&gt;HomeState),0,ROUND(K1303*L1303/2,2))),"")</f>
        <v/>
      </c>
      <c r="N1303" s="61" t="str">
        <f aca="false">IF(IsPro,IF($D1303="","",M1303),"")</f>
        <v/>
      </c>
      <c r="O1303" s="61" t="str">
        <f aca="false">IF(IsPro,IF($D1303="","",IF(AND(R1303&lt;&gt;"",INDEX(Parties!$E$5:$E$304,R1303)&lt;&gt;"",INDEX(Parties!$E$5:$E$304,R1303)&lt;&gt;HomeState),ROUND(K1303*L1303,2),0)),"")</f>
        <v/>
      </c>
      <c r="P1303" s="61" t="str">
        <f aca="false">IF(IsPro,IF($D1303="","",K1303+M1303+N1303+O1303),"")</f>
        <v/>
      </c>
      <c r="Q1303" s="60" t="str">
        <f aca="false">IF(IsPro,IF($D1303="","",IFERROR(MATCH($D1303,Items!$A$5:$A$504,0),"")),"")</f>
        <v/>
      </c>
      <c r="R1303" s="60" t="str">
        <f aca="false">IF(IsPro,IF($C1303="","",IFERROR(MATCH($C1303,Parties!$A$5:$A$304,0),"")),"")</f>
        <v/>
      </c>
      <c r="S1303" s="61" t="str">
        <f aca="false">IF(IsPro,IF($D1303="","",IF(OR($H1303="",$H1303="Credit"),0,P1303)),"")</f>
        <v/>
      </c>
    </row>
    <row r="1304" customFormat="false" ht="15" hidden="false" customHeight="false" outlineLevel="0" collapsed="false">
      <c r="A1304" s="55"/>
      <c r="B1304" s="56"/>
      <c r="C1304" s="56"/>
      <c r="D1304" s="56"/>
      <c r="E1304" s="57"/>
      <c r="F1304" s="58"/>
      <c r="G1304" s="59"/>
      <c r="H1304" s="56"/>
      <c r="I1304" s="60" t="str">
        <f aca="false">IF(IsPro,IF($D1304="","",IFERROR(INDEX(Items!$D$5:$D$504,Q1304),"")),IF($D1304="","","PRO PLAN"))</f>
        <v/>
      </c>
      <c r="J1304" s="61" t="str">
        <f aca="false">IF(IsPro,IF($D1304="","",IF($F1304="",IFERROR(INDEX(Items!$G$5:$G$504,Q1304),0),$F1304)),"")</f>
        <v/>
      </c>
      <c r="K1304" s="61" t="str">
        <f aca="false">IF(IsPro,IF($D1304="","",ROUND(N($E1304)*J1304*(1-N($G1304)),2)),"")</f>
        <v/>
      </c>
      <c r="L1304" s="62" t="str">
        <f aca="false">IF(IsPro,IF($D1304="","",IFERROR(INDEX(Items!$F$5:$F$504,Q1304),0)),"")</f>
        <v/>
      </c>
      <c r="M1304" s="61" t="str">
        <f aca="false">IF(IsPro,IF($D1304="","",IF(AND(R1304&lt;&gt;"",INDEX(Parties!$E$5:$E$304,R1304)&lt;&gt;"",INDEX(Parties!$E$5:$E$304,R1304)&lt;&gt;HomeState),0,ROUND(K1304*L1304/2,2))),"")</f>
        <v/>
      </c>
      <c r="N1304" s="61" t="str">
        <f aca="false">IF(IsPro,IF($D1304="","",M1304),"")</f>
        <v/>
      </c>
      <c r="O1304" s="61" t="str">
        <f aca="false">IF(IsPro,IF($D1304="","",IF(AND(R1304&lt;&gt;"",INDEX(Parties!$E$5:$E$304,R1304)&lt;&gt;"",INDEX(Parties!$E$5:$E$304,R1304)&lt;&gt;HomeState),ROUND(K1304*L1304,2),0)),"")</f>
        <v/>
      </c>
      <c r="P1304" s="61" t="str">
        <f aca="false">IF(IsPro,IF($D1304="","",K1304+M1304+N1304+O1304),"")</f>
        <v/>
      </c>
      <c r="Q1304" s="60" t="str">
        <f aca="false">IF(IsPro,IF($D1304="","",IFERROR(MATCH($D1304,Items!$A$5:$A$504,0),"")),"")</f>
        <v/>
      </c>
      <c r="R1304" s="60" t="str">
        <f aca="false">IF(IsPro,IF($C1304="","",IFERROR(MATCH($C1304,Parties!$A$5:$A$304,0),"")),"")</f>
        <v/>
      </c>
      <c r="S1304" s="61" t="str">
        <f aca="false">IF(IsPro,IF($D1304="","",IF(OR($H1304="",$H1304="Credit"),0,P1304)),"")</f>
        <v/>
      </c>
    </row>
    <row r="1305" customFormat="false" ht="15" hidden="false" customHeight="false" outlineLevel="0" collapsed="false">
      <c r="A1305" s="55"/>
      <c r="B1305" s="56"/>
      <c r="C1305" s="56"/>
      <c r="D1305" s="56"/>
      <c r="E1305" s="57"/>
      <c r="F1305" s="58"/>
      <c r="G1305" s="59"/>
      <c r="H1305" s="56"/>
      <c r="I1305" s="60" t="str">
        <f aca="false">IF(IsPro,IF($D1305="","",IFERROR(INDEX(Items!$D$5:$D$504,Q1305),"")),IF($D1305="","","PRO PLAN"))</f>
        <v/>
      </c>
      <c r="J1305" s="61" t="str">
        <f aca="false">IF(IsPro,IF($D1305="","",IF($F1305="",IFERROR(INDEX(Items!$G$5:$G$504,Q1305),0),$F1305)),"")</f>
        <v/>
      </c>
      <c r="K1305" s="61" t="str">
        <f aca="false">IF(IsPro,IF($D1305="","",ROUND(N($E1305)*J1305*(1-N($G1305)),2)),"")</f>
        <v/>
      </c>
      <c r="L1305" s="62" t="str">
        <f aca="false">IF(IsPro,IF($D1305="","",IFERROR(INDEX(Items!$F$5:$F$504,Q1305),0)),"")</f>
        <v/>
      </c>
      <c r="M1305" s="61" t="str">
        <f aca="false">IF(IsPro,IF($D1305="","",IF(AND(R1305&lt;&gt;"",INDEX(Parties!$E$5:$E$304,R1305)&lt;&gt;"",INDEX(Parties!$E$5:$E$304,R1305)&lt;&gt;HomeState),0,ROUND(K1305*L1305/2,2))),"")</f>
        <v/>
      </c>
      <c r="N1305" s="61" t="str">
        <f aca="false">IF(IsPro,IF($D1305="","",M1305),"")</f>
        <v/>
      </c>
      <c r="O1305" s="61" t="str">
        <f aca="false">IF(IsPro,IF($D1305="","",IF(AND(R1305&lt;&gt;"",INDEX(Parties!$E$5:$E$304,R1305)&lt;&gt;"",INDEX(Parties!$E$5:$E$304,R1305)&lt;&gt;HomeState),ROUND(K1305*L1305,2),0)),"")</f>
        <v/>
      </c>
      <c r="P1305" s="61" t="str">
        <f aca="false">IF(IsPro,IF($D1305="","",K1305+M1305+N1305+O1305),"")</f>
        <v/>
      </c>
      <c r="Q1305" s="60" t="str">
        <f aca="false">IF(IsPro,IF($D1305="","",IFERROR(MATCH($D1305,Items!$A$5:$A$504,0),"")),"")</f>
        <v/>
      </c>
      <c r="R1305" s="60" t="str">
        <f aca="false">IF(IsPro,IF($C1305="","",IFERROR(MATCH($C1305,Parties!$A$5:$A$304,0),"")),"")</f>
        <v/>
      </c>
      <c r="S1305" s="61" t="str">
        <f aca="false">IF(IsPro,IF($D1305="","",IF(OR($H1305="",$H1305="Credit"),0,P1305)),"")</f>
        <v/>
      </c>
    </row>
    <row r="1306" customFormat="false" ht="15" hidden="false" customHeight="false" outlineLevel="0" collapsed="false">
      <c r="A1306" s="55"/>
      <c r="B1306" s="56"/>
      <c r="C1306" s="56"/>
      <c r="D1306" s="56"/>
      <c r="E1306" s="57"/>
      <c r="F1306" s="58"/>
      <c r="G1306" s="59"/>
      <c r="H1306" s="56"/>
      <c r="I1306" s="60" t="str">
        <f aca="false">IF(IsPro,IF($D1306="","",IFERROR(INDEX(Items!$D$5:$D$504,Q1306),"")),IF($D1306="","","PRO PLAN"))</f>
        <v/>
      </c>
      <c r="J1306" s="61" t="str">
        <f aca="false">IF(IsPro,IF($D1306="","",IF($F1306="",IFERROR(INDEX(Items!$G$5:$G$504,Q1306),0),$F1306)),"")</f>
        <v/>
      </c>
      <c r="K1306" s="61" t="str">
        <f aca="false">IF(IsPro,IF($D1306="","",ROUND(N($E1306)*J1306*(1-N($G1306)),2)),"")</f>
        <v/>
      </c>
      <c r="L1306" s="62" t="str">
        <f aca="false">IF(IsPro,IF($D1306="","",IFERROR(INDEX(Items!$F$5:$F$504,Q1306),0)),"")</f>
        <v/>
      </c>
      <c r="M1306" s="61" t="str">
        <f aca="false">IF(IsPro,IF($D1306="","",IF(AND(R1306&lt;&gt;"",INDEX(Parties!$E$5:$E$304,R1306)&lt;&gt;"",INDEX(Parties!$E$5:$E$304,R1306)&lt;&gt;HomeState),0,ROUND(K1306*L1306/2,2))),"")</f>
        <v/>
      </c>
      <c r="N1306" s="61" t="str">
        <f aca="false">IF(IsPro,IF($D1306="","",M1306),"")</f>
        <v/>
      </c>
      <c r="O1306" s="61" t="str">
        <f aca="false">IF(IsPro,IF($D1306="","",IF(AND(R1306&lt;&gt;"",INDEX(Parties!$E$5:$E$304,R1306)&lt;&gt;"",INDEX(Parties!$E$5:$E$304,R1306)&lt;&gt;HomeState),ROUND(K1306*L1306,2),0)),"")</f>
        <v/>
      </c>
      <c r="P1306" s="61" t="str">
        <f aca="false">IF(IsPro,IF($D1306="","",K1306+M1306+N1306+O1306),"")</f>
        <v/>
      </c>
      <c r="Q1306" s="60" t="str">
        <f aca="false">IF(IsPro,IF($D1306="","",IFERROR(MATCH($D1306,Items!$A$5:$A$504,0),"")),"")</f>
        <v/>
      </c>
      <c r="R1306" s="60" t="str">
        <f aca="false">IF(IsPro,IF($C1306="","",IFERROR(MATCH($C1306,Parties!$A$5:$A$304,0),"")),"")</f>
        <v/>
      </c>
      <c r="S1306" s="61" t="str">
        <f aca="false">IF(IsPro,IF($D1306="","",IF(OR($H1306="",$H1306="Credit"),0,P1306)),"")</f>
        <v/>
      </c>
    </row>
    <row r="1307" customFormat="false" ht="15" hidden="false" customHeight="false" outlineLevel="0" collapsed="false">
      <c r="A1307" s="55"/>
      <c r="B1307" s="56"/>
      <c r="C1307" s="56"/>
      <c r="D1307" s="56"/>
      <c r="E1307" s="57"/>
      <c r="F1307" s="58"/>
      <c r="G1307" s="59"/>
      <c r="H1307" s="56"/>
      <c r="I1307" s="60" t="str">
        <f aca="false">IF(IsPro,IF($D1307="","",IFERROR(INDEX(Items!$D$5:$D$504,Q1307),"")),IF($D1307="","","PRO PLAN"))</f>
        <v/>
      </c>
      <c r="J1307" s="61" t="str">
        <f aca="false">IF(IsPro,IF($D1307="","",IF($F1307="",IFERROR(INDEX(Items!$G$5:$G$504,Q1307),0),$F1307)),"")</f>
        <v/>
      </c>
      <c r="K1307" s="61" t="str">
        <f aca="false">IF(IsPro,IF($D1307="","",ROUND(N($E1307)*J1307*(1-N($G1307)),2)),"")</f>
        <v/>
      </c>
      <c r="L1307" s="62" t="str">
        <f aca="false">IF(IsPro,IF($D1307="","",IFERROR(INDEX(Items!$F$5:$F$504,Q1307),0)),"")</f>
        <v/>
      </c>
      <c r="M1307" s="61" t="str">
        <f aca="false">IF(IsPro,IF($D1307="","",IF(AND(R1307&lt;&gt;"",INDEX(Parties!$E$5:$E$304,R1307)&lt;&gt;"",INDEX(Parties!$E$5:$E$304,R1307)&lt;&gt;HomeState),0,ROUND(K1307*L1307/2,2))),"")</f>
        <v/>
      </c>
      <c r="N1307" s="61" t="str">
        <f aca="false">IF(IsPro,IF($D1307="","",M1307),"")</f>
        <v/>
      </c>
      <c r="O1307" s="61" t="str">
        <f aca="false">IF(IsPro,IF($D1307="","",IF(AND(R1307&lt;&gt;"",INDEX(Parties!$E$5:$E$304,R1307)&lt;&gt;"",INDEX(Parties!$E$5:$E$304,R1307)&lt;&gt;HomeState),ROUND(K1307*L1307,2),0)),"")</f>
        <v/>
      </c>
      <c r="P1307" s="61" t="str">
        <f aca="false">IF(IsPro,IF($D1307="","",K1307+M1307+N1307+O1307),"")</f>
        <v/>
      </c>
      <c r="Q1307" s="60" t="str">
        <f aca="false">IF(IsPro,IF($D1307="","",IFERROR(MATCH($D1307,Items!$A$5:$A$504,0),"")),"")</f>
        <v/>
      </c>
      <c r="R1307" s="60" t="str">
        <f aca="false">IF(IsPro,IF($C1307="","",IFERROR(MATCH($C1307,Parties!$A$5:$A$304,0),"")),"")</f>
        <v/>
      </c>
      <c r="S1307" s="61" t="str">
        <f aca="false">IF(IsPro,IF($D1307="","",IF(OR($H1307="",$H1307="Credit"),0,P1307)),"")</f>
        <v/>
      </c>
    </row>
    <row r="1308" customFormat="false" ht="15" hidden="false" customHeight="false" outlineLevel="0" collapsed="false">
      <c r="A1308" s="55"/>
      <c r="B1308" s="56"/>
      <c r="C1308" s="56"/>
      <c r="D1308" s="56"/>
      <c r="E1308" s="57"/>
      <c r="F1308" s="58"/>
      <c r="G1308" s="59"/>
      <c r="H1308" s="56"/>
      <c r="I1308" s="60" t="str">
        <f aca="false">IF(IsPro,IF($D1308="","",IFERROR(INDEX(Items!$D$5:$D$504,Q1308),"")),IF($D1308="","","PRO PLAN"))</f>
        <v/>
      </c>
      <c r="J1308" s="61" t="str">
        <f aca="false">IF(IsPro,IF($D1308="","",IF($F1308="",IFERROR(INDEX(Items!$G$5:$G$504,Q1308),0),$F1308)),"")</f>
        <v/>
      </c>
      <c r="K1308" s="61" t="str">
        <f aca="false">IF(IsPro,IF($D1308="","",ROUND(N($E1308)*J1308*(1-N($G1308)),2)),"")</f>
        <v/>
      </c>
      <c r="L1308" s="62" t="str">
        <f aca="false">IF(IsPro,IF($D1308="","",IFERROR(INDEX(Items!$F$5:$F$504,Q1308),0)),"")</f>
        <v/>
      </c>
      <c r="M1308" s="61" t="str">
        <f aca="false">IF(IsPro,IF($D1308="","",IF(AND(R1308&lt;&gt;"",INDEX(Parties!$E$5:$E$304,R1308)&lt;&gt;"",INDEX(Parties!$E$5:$E$304,R1308)&lt;&gt;HomeState),0,ROUND(K1308*L1308/2,2))),"")</f>
        <v/>
      </c>
      <c r="N1308" s="61" t="str">
        <f aca="false">IF(IsPro,IF($D1308="","",M1308),"")</f>
        <v/>
      </c>
      <c r="O1308" s="61" t="str">
        <f aca="false">IF(IsPro,IF($D1308="","",IF(AND(R1308&lt;&gt;"",INDEX(Parties!$E$5:$E$304,R1308)&lt;&gt;"",INDEX(Parties!$E$5:$E$304,R1308)&lt;&gt;HomeState),ROUND(K1308*L1308,2),0)),"")</f>
        <v/>
      </c>
      <c r="P1308" s="61" t="str">
        <f aca="false">IF(IsPro,IF($D1308="","",K1308+M1308+N1308+O1308),"")</f>
        <v/>
      </c>
      <c r="Q1308" s="60" t="str">
        <f aca="false">IF(IsPro,IF($D1308="","",IFERROR(MATCH($D1308,Items!$A$5:$A$504,0),"")),"")</f>
        <v/>
      </c>
      <c r="R1308" s="60" t="str">
        <f aca="false">IF(IsPro,IF($C1308="","",IFERROR(MATCH($C1308,Parties!$A$5:$A$304,0),"")),"")</f>
        <v/>
      </c>
      <c r="S1308" s="61" t="str">
        <f aca="false">IF(IsPro,IF($D1308="","",IF(OR($H1308="",$H1308="Credit"),0,P1308)),"")</f>
        <v/>
      </c>
    </row>
    <row r="1309" customFormat="false" ht="15" hidden="false" customHeight="false" outlineLevel="0" collapsed="false">
      <c r="A1309" s="55"/>
      <c r="B1309" s="56"/>
      <c r="C1309" s="56"/>
      <c r="D1309" s="56"/>
      <c r="E1309" s="57"/>
      <c r="F1309" s="58"/>
      <c r="G1309" s="59"/>
      <c r="H1309" s="56"/>
      <c r="I1309" s="60" t="str">
        <f aca="false">IF(IsPro,IF($D1309="","",IFERROR(INDEX(Items!$D$5:$D$504,Q1309),"")),IF($D1309="","","PRO PLAN"))</f>
        <v/>
      </c>
      <c r="J1309" s="61" t="str">
        <f aca="false">IF(IsPro,IF($D1309="","",IF($F1309="",IFERROR(INDEX(Items!$G$5:$G$504,Q1309),0),$F1309)),"")</f>
        <v/>
      </c>
      <c r="K1309" s="61" t="str">
        <f aca="false">IF(IsPro,IF($D1309="","",ROUND(N($E1309)*J1309*(1-N($G1309)),2)),"")</f>
        <v/>
      </c>
      <c r="L1309" s="62" t="str">
        <f aca="false">IF(IsPro,IF($D1309="","",IFERROR(INDEX(Items!$F$5:$F$504,Q1309),0)),"")</f>
        <v/>
      </c>
      <c r="M1309" s="61" t="str">
        <f aca="false">IF(IsPro,IF($D1309="","",IF(AND(R1309&lt;&gt;"",INDEX(Parties!$E$5:$E$304,R1309)&lt;&gt;"",INDEX(Parties!$E$5:$E$304,R1309)&lt;&gt;HomeState),0,ROUND(K1309*L1309/2,2))),"")</f>
        <v/>
      </c>
      <c r="N1309" s="61" t="str">
        <f aca="false">IF(IsPro,IF($D1309="","",M1309),"")</f>
        <v/>
      </c>
      <c r="O1309" s="61" t="str">
        <f aca="false">IF(IsPro,IF($D1309="","",IF(AND(R1309&lt;&gt;"",INDEX(Parties!$E$5:$E$304,R1309)&lt;&gt;"",INDEX(Parties!$E$5:$E$304,R1309)&lt;&gt;HomeState),ROUND(K1309*L1309,2),0)),"")</f>
        <v/>
      </c>
      <c r="P1309" s="61" t="str">
        <f aca="false">IF(IsPro,IF($D1309="","",K1309+M1309+N1309+O1309),"")</f>
        <v/>
      </c>
      <c r="Q1309" s="60" t="str">
        <f aca="false">IF(IsPro,IF($D1309="","",IFERROR(MATCH($D1309,Items!$A$5:$A$504,0),"")),"")</f>
        <v/>
      </c>
      <c r="R1309" s="60" t="str">
        <f aca="false">IF(IsPro,IF($C1309="","",IFERROR(MATCH($C1309,Parties!$A$5:$A$304,0),"")),"")</f>
        <v/>
      </c>
      <c r="S1309" s="61" t="str">
        <f aca="false">IF(IsPro,IF($D1309="","",IF(OR($H1309="",$H1309="Credit"),0,P1309)),"")</f>
        <v/>
      </c>
    </row>
    <row r="1310" customFormat="false" ht="15" hidden="false" customHeight="false" outlineLevel="0" collapsed="false">
      <c r="A1310" s="55"/>
      <c r="B1310" s="56"/>
      <c r="C1310" s="56"/>
      <c r="D1310" s="56"/>
      <c r="E1310" s="57"/>
      <c r="F1310" s="58"/>
      <c r="G1310" s="59"/>
      <c r="H1310" s="56"/>
      <c r="I1310" s="60" t="str">
        <f aca="false">IF(IsPro,IF($D1310="","",IFERROR(INDEX(Items!$D$5:$D$504,Q1310),"")),IF($D1310="","","PRO PLAN"))</f>
        <v/>
      </c>
      <c r="J1310" s="61" t="str">
        <f aca="false">IF(IsPro,IF($D1310="","",IF($F1310="",IFERROR(INDEX(Items!$G$5:$G$504,Q1310),0),$F1310)),"")</f>
        <v/>
      </c>
      <c r="K1310" s="61" t="str">
        <f aca="false">IF(IsPro,IF($D1310="","",ROUND(N($E1310)*J1310*(1-N($G1310)),2)),"")</f>
        <v/>
      </c>
      <c r="L1310" s="62" t="str">
        <f aca="false">IF(IsPro,IF($D1310="","",IFERROR(INDEX(Items!$F$5:$F$504,Q1310),0)),"")</f>
        <v/>
      </c>
      <c r="M1310" s="61" t="str">
        <f aca="false">IF(IsPro,IF($D1310="","",IF(AND(R1310&lt;&gt;"",INDEX(Parties!$E$5:$E$304,R1310)&lt;&gt;"",INDEX(Parties!$E$5:$E$304,R1310)&lt;&gt;HomeState),0,ROUND(K1310*L1310/2,2))),"")</f>
        <v/>
      </c>
      <c r="N1310" s="61" t="str">
        <f aca="false">IF(IsPro,IF($D1310="","",M1310),"")</f>
        <v/>
      </c>
      <c r="O1310" s="61" t="str">
        <f aca="false">IF(IsPro,IF($D1310="","",IF(AND(R1310&lt;&gt;"",INDEX(Parties!$E$5:$E$304,R1310)&lt;&gt;"",INDEX(Parties!$E$5:$E$304,R1310)&lt;&gt;HomeState),ROUND(K1310*L1310,2),0)),"")</f>
        <v/>
      </c>
      <c r="P1310" s="61" t="str">
        <f aca="false">IF(IsPro,IF($D1310="","",K1310+M1310+N1310+O1310),"")</f>
        <v/>
      </c>
      <c r="Q1310" s="60" t="str">
        <f aca="false">IF(IsPro,IF($D1310="","",IFERROR(MATCH($D1310,Items!$A$5:$A$504,0),"")),"")</f>
        <v/>
      </c>
      <c r="R1310" s="60" t="str">
        <f aca="false">IF(IsPro,IF($C1310="","",IFERROR(MATCH($C1310,Parties!$A$5:$A$304,0),"")),"")</f>
        <v/>
      </c>
      <c r="S1310" s="61" t="str">
        <f aca="false">IF(IsPro,IF($D1310="","",IF(OR($H1310="",$H1310="Credit"),0,P1310)),"")</f>
        <v/>
      </c>
    </row>
    <row r="1311" customFormat="false" ht="15" hidden="false" customHeight="false" outlineLevel="0" collapsed="false">
      <c r="A1311" s="55"/>
      <c r="B1311" s="56"/>
      <c r="C1311" s="56"/>
      <c r="D1311" s="56"/>
      <c r="E1311" s="57"/>
      <c r="F1311" s="58"/>
      <c r="G1311" s="59"/>
      <c r="H1311" s="56"/>
      <c r="I1311" s="60" t="str">
        <f aca="false">IF(IsPro,IF($D1311="","",IFERROR(INDEX(Items!$D$5:$D$504,Q1311),"")),IF($D1311="","","PRO PLAN"))</f>
        <v/>
      </c>
      <c r="J1311" s="61" t="str">
        <f aca="false">IF(IsPro,IF($D1311="","",IF($F1311="",IFERROR(INDEX(Items!$G$5:$G$504,Q1311),0),$F1311)),"")</f>
        <v/>
      </c>
      <c r="K1311" s="61" t="str">
        <f aca="false">IF(IsPro,IF($D1311="","",ROUND(N($E1311)*J1311*(1-N($G1311)),2)),"")</f>
        <v/>
      </c>
      <c r="L1311" s="62" t="str">
        <f aca="false">IF(IsPro,IF($D1311="","",IFERROR(INDEX(Items!$F$5:$F$504,Q1311),0)),"")</f>
        <v/>
      </c>
      <c r="M1311" s="61" t="str">
        <f aca="false">IF(IsPro,IF($D1311="","",IF(AND(R1311&lt;&gt;"",INDEX(Parties!$E$5:$E$304,R1311)&lt;&gt;"",INDEX(Parties!$E$5:$E$304,R1311)&lt;&gt;HomeState),0,ROUND(K1311*L1311/2,2))),"")</f>
        <v/>
      </c>
      <c r="N1311" s="61" t="str">
        <f aca="false">IF(IsPro,IF($D1311="","",M1311),"")</f>
        <v/>
      </c>
      <c r="O1311" s="61" t="str">
        <f aca="false">IF(IsPro,IF($D1311="","",IF(AND(R1311&lt;&gt;"",INDEX(Parties!$E$5:$E$304,R1311)&lt;&gt;"",INDEX(Parties!$E$5:$E$304,R1311)&lt;&gt;HomeState),ROUND(K1311*L1311,2),0)),"")</f>
        <v/>
      </c>
      <c r="P1311" s="61" t="str">
        <f aca="false">IF(IsPro,IF($D1311="","",K1311+M1311+N1311+O1311),"")</f>
        <v/>
      </c>
      <c r="Q1311" s="60" t="str">
        <f aca="false">IF(IsPro,IF($D1311="","",IFERROR(MATCH($D1311,Items!$A$5:$A$504,0),"")),"")</f>
        <v/>
      </c>
      <c r="R1311" s="60" t="str">
        <f aca="false">IF(IsPro,IF($C1311="","",IFERROR(MATCH($C1311,Parties!$A$5:$A$304,0),"")),"")</f>
        <v/>
      </c>
      <c r="S1311" s="61" t="str">
        <f aca="false">IF(IsPro,IF($D1311="","",IF(OR($H1311="",$H1311="Credit"),0,P1311)),"")</f>
        <v/>
      </c>
    </row>
    <row r="1312" customFormat="false" ht="15" hidden="false" customHeight="false" outlineLevel="0" collapsed="false">
      <c r="A1312" s="55"/>
      <c r="B1312" s="56"/>
      <c r="C1312" s="56"/>
      <c r="D1312" s="56"/>
      <c r="E1312" s="57"/>
      <c r="F1312" s="58"/>
      <c r="G1312" s="59"/>
      <c r="H1312" s="56"/>
      <c r="I1312" s="60" t="str">
        <f aca="false">IF(IsPro,IF($D1312="","",IFERROR(INDEX(Items!$D$5:$D$504,Q1312),"")),IF($D1312="","","PRO PLAN"))</f>
        <v/>
      </c>
      <c r="J1312" s="61" t="str">
        <f aca="false">IF(IsPro,IF($D1312="","",IF($F1312="",IFERROR(INDEX(Items!$G$5:$G$504,Q1312),0),$F1312)),"")</f>
        <v/>
      </c>
      <c r="K1312" s="61" t="str">
        <f aca="false">IF(IsPro,IF($D1312="","",ROUND(N($E1312)*J1312*(1-N($G1312)),2)),"")</f>
        <v/>
      </c>
      <c r="L1312" s="62" t="str">
        <f aca="false">IF(IsPro,IF($D1312="","",IFERROR(INDEX(Items!$F$5:$F$504,Q1312),0)),"")</f>
        <v/>
      </c>
      <c r="M1312" s="61" t="str">
        <f aca="false">IF(IsPro,IF($D1312="","",IF(AND(R1312&lt;&gt;"",INDEX(Parties!$E$5:$E$304,R1312)&lt;&gt;"",INDEX(Parties!$E$5:$E$304,R1312)&lt;&gt;HomeState),0,ROUND(K1312*L1312/2,2))),"")</f>
        <v/>
      </c>
      <c r="N1312" s="61" t="str">
        <f aca="false">IF(IsPro,IF($D1312="","",M1312),"")</f>
        <v/>
      </c>
      <c r="O1312" s="61" t="str">
        <f aca="false">IF(IsPro,IF($D1312="","",IF(AND(R1312&lt;&gt;"",INDEX(Parties!$E$5:$E$304,R1312)&lt;&gt;"",INDEX(Parties!$E$5:$E$304,R1312)&lt;&gt;HomeState),ROUND(K1312*L1312,2),0)),"")</f>
        <v/>
      </c>
      <c r="P1312" s="61" t="str">
        <f aca="false">IF(IsPro,IF($D1312="","",K1312+M1312+N1312+O1312),"")</f>
        <v/>
      </c>
      <c r="Q1312" s="60" t="str">
        <f aca="false">IF(IsPro,IF($D1312="","",IFERROR(MATCH($D1312,Items!$A$5:$A$504,0),"")),"")</f>
        <v/>
      </c>
      <c r="R1312" s="60" t="str">
        <f aca="false">IF(IsPro,IF($C1312="","",IFERROR(MATCH($C1312,Parties!$A$5:$A$304,0),"")),"")</f>
        <v/>
      </c>
      <c r="S1312" s="61" t="str">
        <f aca="false">IF(IsPro,IF($D1312="","",IF(OR($H1312="",$H1312="Credit"),0,P1312)),"")</f>
        <v/>
      </c>
    </row>
    <row r="1313" customFormat="false" ht="15" hidden="false" customHeight="false" outlineLevel="0" collapsed="false">
      <c r="A1313" s="55"/>
      <c r="B1313" s="56"/>
      <c r="C1313" s="56"/>
      <c r="D1313" s="56"/>
      <c r="E1313" s="57"/>
      <c r="F1313" s="58"/>
      <c r="G1313" s="59"/>
      <c r="H1313" s="56"/>
      <c r="I1313" s="60" t="str">
        <f aca="false">IF(IsPro,IF($D1313="","",IFERROR(INDEX(Items!$D$5:$D$504,Q1313),"")),IF($D1313="","","PRO PLAN"))</f>
        <v/>
      </c>
      <c r="J1313" s="61" t="str">
        <f aca="false">IF(IsPro,IF($D1313="","",IF($F1313="",IFERROR(INDEX(Items!$G$5:$G$504,Q1313),0),$F1313)),"")</f>
        <v/>
      </c>
      <c r="K1313" s="61" t="str">
        <f aca="false">IF(IsPro,IF($D1313="","",ROUND(N($E1313)*J1313*(1-N($G1313)),2)),"")</f>
        <v/>
      </c>
      <c r="L1313" s="62" t="str">
        <f aca="false">IF(IsPro,IF($D1313="","",IFERROR(INDEX(Items!$F$5:$F$504,Q1313),0)),"")</f>
        <v/>
      </c>
      <c r="M1313" s="61" t="str">
        <f aca="false">IF(IsPro,IF($D1313="","",IF(AND(R1313&lt;&gt;"",INDEX(Parties!$E$5:$E$304,R1313)&lt;&gt;"",INDEX(Parties!$E$5:$E$304,R1313)&lt;&gt;HomeState),0,ROUND(K1313*L1313/2,2))),"")</f>
        <v/>
      </c>
      <c r="N1313" s="61" t="str">
        <f aca="false">IF(IsPro,IF($D1313="","",M1313),"")</f>
        <v/>
      </c>
      <c r="O1313" s="61" t="str">
        <f aca="false">IF(IsPro,IF($D1313="","",IF(AND(R1313&lt;&gt;"",INDEX(Parties!$E$5:$E$304,R1313)&lt;&gt;"",INDEX(Parties!$E$5:$E$304,R1313)&lt;&gt;HomeState),ROUND(K1313*L1313,2),0)),"")</f>
        <v/>
      </c>
      <c r="P1313" s="61" t="str">
        <f aca="false">IF(IsPro,IF($D1313="","",K1313+M1313+N1313+O1313),"")</f>
        <v/>
      </c>
      <c r="Q1313" s="60" t="str">
        <f aca="false">IF(IsPro,IF($D1313="","",IFERROR(MATCH($D1313,Items!$A$5:$A$504,0),"")),"")</f>
        <v/>
      </c>
      <c r="R1313" s="60" t="str">
        <f aca="false">IF(IsPro,IF($C1313="","",IFERROR(MATCH($C1313,Parties!$A$5:$A$304,0),"")),"")</f>
        <v/>
      </c>
      <c r="S1313" s="61" t="str">
        <f aca="false">IF(IsPro,IF($D1313="","",IF(OR($H1313="",$H1313="Credit"),0,P1313)),"")</f>
        <v/>
      </c>
    </row>
    <row r="1314" customFormat="false" ht="15" hidden="false" customHeight="false" outlineLevel="0" collapsed="false">
      <c r="A1314" s="55"/>
      <c r="B1314" s="56"/>
      <c r="C1314" s="56"/>
      <c r="D1314" s="56"/>
      <c r="E1314" s="57"/>
      <c r="F1314" s="58"/>
      <c r="G1314" s="59"/>
      <c r="H1314" s="56"/>
      <c r="I1314" s="60" t="str">
        <f aca="false">IF(IsPro,IF($D1314="","",IFERROR(INDEX(Items!$D$5:$D$504,Q1314),"")),IF($D1314="","","PRO PLAN"))</f>
        <v/>
      </c>
      <c r="J1314" s="61" t="str">
        <f aca="false">IF(IsPro,IF($D1314="","",IF($F1314="",IFERROR(INDEX(Items!$G$5:$G$504,Q1314),0),$F1314)),"")</f>
        <v/>
      </c>
      <c r="K1314" s="61" t="str">
        <f aca="false">IF(IsPro,IF($D1314="","",ROUND(N($E1314)*J1314*(1-N($G1314)),2)),"")</f>
        <v/>
      </c>
      <c r="L1314" s="62" t="str">
        <f aca="false">IF(IsPro,IF($D1314="","",IFERROR(INDEX(Items!$F$5:$F$504,Q1314),0)),"")</f>
        <v/>
      </c>
      <c r="M1314" s="61" t="str">
        <f aca="false">IF(IsPro,IF($D1314="","",IF(AND(R1314&lt;&gt;"",INDEX(Parties!$E$5:$E$304,R1314)&lt;&gt;"",INDEX(Parties!$E$5:$E$304,R1314)&lt;&gt;HomeState),0,ROUND(K1314*L1314/2,2))),"")</f>
        <v/>
      </c>
      <c r="N1314" s="61" t="str">
        <f aca="false">IF(IsPro,IF($D1314="","",M1314),"")</f>
        <v/>
      </c>
      <c r="O1314" s="61" t="str">
        <f aca="false">IF(IsPro,IF($D1314="","",IF(AND(R1314&lt;&gt;"",INDEX(Parties!$E$5:$E$304,R1314)&lt;&gt;"",INDEX(Parties!$E$5:$E$304,R1314)&lt;&gt;HomeState),ROUND(K1314*L1314,2),0)),"")</f>
        <v/>
      </c>
      <c r="P1314" s="61" t="str">
        <f aca="false">IF(IsPro,IF($D1314="","",K1314+M1314+N1314+O1314),"")</f>
        <v/>
      </c>
      <c r="Q1314" s="60" t="str">
        <f aca="false">IF(IsPro,IF($D1314="","",IFERROR(MATCH($D1314,Items!$A$5:$A$504,0),"")),"")</f>
        <v/>
      </c>
      <c r="R1314" s="60" t="str">
        <f aca="false">IF(IsPro,IF($C1314="","",IFERROR(MATCH($C1314,Parties!$A$5:$A$304,0),"")),"")</f>
        <v/>
      </c>
      <c r="S1314" s="61" t="str">
        <f aca="false">IF(IsPro,IF($D1314="","",IF(OR($H1314="",$H1314="Credit"),0,P1314)),"")</f>
        <v/>
      </c>
    </row>
    <row r="1315" customFormat="false" ht="15" hidden="false" customHeight="false" outlineLevel="0" collapsed="false">
      <c r="A1315" s="55"/>
      <c r="B1315" s="56"/>
      <c r="C1315" s="56"/>
      <c r="D1315" s="56"/>
      <c r="E1315" s="57"/>
      <c r="F1315" s="58"/>
      <c r="G1315" s="59"/>
      <c r="H1315" s="56"/>
      <c r="I1315" s="60" t="str">
        <f aca="false">IF(IsPro,IF($D1315="","",IFERROR(INDEX(Items!$D$5:$D$504,Q1315),"")),IF($D1315="","","PRO PLAN"))</f>
        <v/>
      </c>
      <c r="J1315" s="61" t="str">
        <f aca="false">IF(IsPro,IF($D1315="","",IF($F1315="",IFERROR(INDEX(Items!$G$5:$G$504,Q1315),0),$F1315)),"")</f>
        <v/>
      </c>
      <c r="K1315" s="61" t="str">
        <f aca="false">IF(IsPro,IF($D1315="","",ROUND(N($E1315)*J1315*(1-N($G1315)),2)),"")</f>
        <v/>
      </c>
      <c r="L1315" s="62" t="str">
        <f aca="false">IF(IsPro,IF($D1315="","",IFERROR(INDEX(Items!$F$5:$F$504,Q1315),0)),"")</f>
        <v/>
      </c>
      <c r="M1315" s="61" t="str">
        <f aca="false">IF(IsPro,IF($D1315="","",IF(AND(R1315&lt;&gt;"",INDEX(Parties!$E$5:$E$304,R1315)&lt;&gt;"",INDEX(Parties!$E$5:$E$304,R1315)&lt;&gt;HomeState),0,ROUND(K1315*L1315/2,2))),"")</f>
        <v/>
      </c>
      <c r="N1315" s="61" t="str">
        <f aca="false">IF(IsPro,IF($D1315="","",M1315),"")</f>
        <v/>
      </c>
      <c r="O1315" s="61" t="str">
        <f aca="false">IF(IsPro,IF($D1315="","",IF(AND(R1315&lt;&gt;"",INDEX(Parties!$E$5:$E$304,R1315)&lt;&gt;"",INDEX(Parties!$E$5:$E$304,R1315)&lt;&gt;HomeState),ROUND(K1315*L1315,2),0)),"")</f>
        <v/>
      </c>
      <c r="P1315" s="61" t="str">
        <f aca="false">IF(IsPro,IF($D1315="","",K1315+M1315+N1315+O1315),"")</f>
        <v/>
      </c>
      <c r="Q1315" s="60" t="str">
        <f aca="false">IF(IsPro,IF($D1315="","",IFERROR(MATCH($D1315,Items!$A$5:$A$504,0),"")),"")</f>
        <v/>
      </c>
      <c r="R1315" s="60" t="str">
        <f aca="false">IF(IsPro,IF($C1315="","",IFERROR(MATCH($C1315,Parties!$A$5:$A$304,0),"")),"")</f>
        <v/>
      </c>
      <c r="S1315" s="61" t="str">
        <f aca="false">IF(IsPro,IF($D1315="","",IF(OR($H1315="",$H1315="Credit"),0,P1315)),"")</f>
        <v/>
      </c>
    </row>
    <row r="1316" customFormat="false" ht="15" hidden="false" customHeight="false" outlineLevel="0" collapsed="false">
      <c r="A1316" s="55"/>
      <c r="B1316" s="56"/>
      <c r="C1316" s="56"/>
      <c r="D1316" s="56"/>
      <c r="E1316" s="57"/>
      <c r="F1316" s="58"/>
      <c r="G1316" s="59"/>
      <c r="H1316" s="56"/>
      <c r="I1316" s="60" t="str">
        <f aca="false">IF(IsPro,IF($D1316="","",IFERROR(INDEX(Items!$D$5:$D$504,Q1316),"")),IF($D1316="","","PRO PLAN"))</f>
        <v/>
      </c>
      <c r="J1316" s="61" t="str">
        <f aca="false">IF(IsPro,IF($D1316="","",IF($F1316="",IFERROR(INDEX(Items!$G$5:$G$504,Q1316),0),$F1316)),"")</f>
        <v/>
      </c>
      <c r="K1316" s="61" t="str">
        <f aca="false">IF(IsPro,IF($D1316="","",ROUND(N($E1316)*J1316*(1-N($G1316)),2)),"")</f>
        <v/>
      </c>
      <c r="L1316" s="62" t="str">
        <f aca="false">IF(IsPro,IF($D1316="","",IFERROR(INDEX(Items!$F$5:$F$504,Q1316),0)),"")</f>
        <v/>
      </c>
      <c r="M1316" s="61" t="str">
        <f aca="false">IF(IsPro,IF($D1316="","",IF(AND(R1316&lt;&gt;"",INDEX(Parties!$E$5:$E$304,R1316)&lt;&gt;"",INDEX(Parties!$E$5:$E$304,R1316)&lt;&gt;HomeState),0,ROUND(K1316*L1316/2,2))),"")</f>
        <v/>
      </c>
      <c r="N1316" s="61" t="str">
        <f aca="false">IF(IsPro,IF($D1316="","",M1316),"")</f>
        <v/>
      </c>
      <c r="O1316" s="61" t="str">
        <f aca="false">IF(IsPro,IF($D1316="","",IF(AND(R1316&lt;&gt;"",INDEX(Parties!$E$5:$E$304,R1316)&lt;&gt;"",INDEX(Parties!$E$5:$E$304,R1316)&lt;&gt;HomeState),ROUND(K1316*L1316,2),0)),"")</f>
        <v/>
      </c>
      <c r="P1316" s="61" t="str">
        <f aca="false">IF(IsPro,IF($D1316="","",K1316+M1316+N1316+O1316),"")</f>
        <v/>
      </c>
      <c r="Q1316" s="60" t="str">
        <f aca="false">IF(IsPro,IF($D1316="","",IFERROR(MATCH($D1316,Items!$A$5:$A$504,0),"")),"")</f>
        <v/>
      </c>
      <c r="R1316" s="60" t="str">
        <f aca="false">IF(IsPro,IF($C1316="","",IFERROR(MATCH($C1316,Parties!$A$5:$A$304,0),"")),"")</f>
        <v/>
      </c>
      <c r="S1316" s="61" t="str">
        <f aca="false">IF(IsPro,IF($D1316="","",IF(OR($H1316="",$H1316="Credit"),0,P1316)),"")</f>
        <v/>
      </c>
    </row>
    <row r="1317" customFormat="false" ht="15" hidden="false" customHeight="false" outlineLevel="0" collapsed="false">
      <c r="A1317" s="55"/>
      <c r="B1317" s="56"/>
      <c r="C1317" s="56"/>
      <c r="D1317" s="56"/>
      <c r="E1317" s="57"/>
      <c r="F1317" s="58"/>
      <c r="G1317" s="59"/>
      <c r="H1317" s="56"/>
      <c r="I1317" s="60" t="str">
        <f aca="false">IF(IsPro,IF($D1317="","",IFERROR(INDEX(Items!$D$5:$D$504,Q1317),"")),IF($D1317="","","PRO PLAN"))</f>
        <v/>
      </c>
      <c r="J1317" s="61" t="str">
        <f aca="false">IF(IsPro,IF($D1317="","",IF($F1317="",IFERROR(INDEX(Items!$G$5:$G$504,Q1317),0),$F1317)),"")</f>
        <v/>
      </c>
      <c r="K1317" s="61" t="str">
        <f aca="false">IF(IsPro,IF($D1317="","",ROUND(N($E1317)*J1317*(1-N($G1317)),2)),"")</f>
        <v/>
      </c>
      <c r="L1317" s="62" t="str">
        <f aca="false">IF(IsPro,IF($D1317="","",IFERROR(INDEX(Items!$F$5:$F$504,Q1317),0)),"")</f>
        <v/>
      </c>
      <c r="M1317" s="61" t="str">
        <f aca="false">IF(IsPro,IF($D1317="","",IF(AND(R1317&lt;&gt;"",INDEX(Parties!$E$5:$E$304,R1317)&lt;&gt;"",INDEX(Parties!$E$5:$E$304,R1317)&lt;&gt;HomeState),0,ROUND(K1317*L1317/2,2))),"")</f>
        <v/>
      </c>
      <c r="N1317" s="61" t="str">
        <f aca="false">IF(IsPro,IF($D1317="","",M1317),"")</f>
        <v/>
      </c>
      <c r="O1317" s="61" t="str">
        <f aca="false">IF(IsPro,IF($D1317="","",IF(AND(R1317&lt;&gt;"",INDEX(Parties!$E$5:$E$304,R1317)&lt;&gt;"",INDEX(Parties!$E$5:$E$304,R1317)&lt;&gt;HomeState),ROUND(K1317*L1317,2),0)),"")</f>
        <v/>
      </c>
      <c r="P1317" s="61" t="str">
        <f aca="false">IF(IsPro,IF($D1317="","",K1317+M1317+N1317+O1317),"")</f>
        <v/>
      </c>
      <c r="Q1317" s="60" t="str">
        <f aca="false">IF(IsPro,IF($D1317="","",IFERROR(MATCH($D1317,Items!$A$5:$A$504,0),"")),"")</f>
        <v/>
      </c>
      <c r="R1317" s="60" t="str">
        <f aca="false">IF(IsPro,IF($C1317="","",IFERROR(MATCH($C1317,Parties!$A$5:$A$304,0),"")),"")</f>
        <v/>
      </c>
      <c r="S1317" s="61" t="str">
        <f aca="false">IF(IsPro,IF($D1317="","",IF(OR($H1317="",$H1317="Credit"),0,P1317)),"")</f>
        <v/>
      </c>
    </row>
    <row r="1318" customFormat="false" ht="15" hidden="false" customHeight="false" outlineLevel="0" collapsed="false">
      <c r="A1318" s="55"/>
      <c r="B1318" s="56"/>
      <c r="C1318" s="56"/>
      <c r="D1318" s="56"/>
      <c r="E1318" s="57"/>
      <c r="F1318" s="58"/>
      <c r="G1318" s="59"/>
      <c r="H1318" s="56"/>
      <c r="I1318" s="60" t="str">
        <f aca="false">IF(IsPro,IF($D1318="","",IFERROR(INDEX(Items!$D$5:$D$504,Q1318),"")),IF($D1318="","","PRO PLAN"))</f>
        <v/>
      </c>
      <c r="J1318" s="61" t="str">
        <f aca="false">IF(IsPro,IF($D1318="","",IF($F1318="",IFERROR(INDEX(Items!$G$5:$G$504,Q1318),0),$F1318)),"")</f>
        <v/>
      </c>
      <c r="K1318" s="61" t="str">
        <f aca="false">IF(IsPro,IF($D1318="","",ROUND(N($E1318)*J1318*(1-N($G1318)),2)),"")</f>
        <v/>
      </c>
      <c r="L1318" s="62" t="str">
        <f aca="false">IF(IsPro,IF($D1318="","",IFERROR(INDEX(Items!$F$5:$F$504,Q1318),0)),"")</f>
        <v/>
      </c>
      <c r="M1318" s="61" t="str">
        <f aca="false">IF(IsPro,IF($D1318="","",IF(AND(R1318&lt;&gt;"",INDEX(Parties!$E$5:$E$304,R1318)&lt;&gt;"",INDEX(Parties!$E$5:$E$304,R1318)&lt;&gt;HomeState),0,ROUND(K1318*L1318/2,2))),"")</f>
        <v/>
      </c>
      <c r="N1318" s="61" t="str">
        <f aca="false">IF(IsPro,IF($D1318="","",M1318),"")</f>
        <v/>
      </c>
      <c r="O1318" s="61" t="str">
        <f aca="false">IF(IsPro,IF($D1318="","",IF(AND(R1318&lt;&gt;"",INDEX(Parties!$E$5:$E$304,R1318)&lt;&gt;"",INDEX(Parties!$E$5:$E$304,R1318)&lt;&gt;HomeState),ROUND(K1318*L1318,2),0)),"")</f>
        <v/>
      </c>
      <c r="P1318" s="61" t="str">
        <f aca="false">IF(IsPro,IF($D1318="","",K1318+M1318+N1318+O1318),"")</f>
        <v/>
      </c>
      <c r="Q1318" s="60" t="str">
        <f aca="false">IF(IsPro,IF($D1318="","",IFERROR(MATCH($D1318,Items!$A$5:$A$504,0),"")),"")</f>
        <v/>
      </c>
      <c r="R1318" s="60" t="str">
        <f aca="false">IF(IsPro,IF($C1318="","",IFERROR(MATCH($C1318,Parties!$A$5:$A$304,0),"")),"")</f>
        <v/>
      </c>
      <c r="S1318" s="61" t="str">
        <f aca="false">IF(IsPro,IF($D1318="","",IF(OR($H1318="",$H1318="Credit"),0,P1318)),"")</f>
        <v/>
      </c>
    </row>
    <row r="1319" customFormat="false" ht="15" hidden="false" customHeight="false" outlineLevel="0" collapsed="false">
      <c r="A1319" s="55"/>
      <c r="B1319" s="56"/>
      <c r="C1319" s="56"/>
      <c r="D1319" s="56"/>
      <c r="E1319" s="57"/>
      <c r="F1319" s="58"/>
      <c r="G1319" s="59"/>
      <c r="H1319" s="56"/>
      <c r="I1319" s="60" t="str">
        <f aca="false">IF(IsPro,IF($D1319="","",IFERROR(INDEX(Items!$D$5:$D$504,Q1319),"")),IF($D1319="","","PRO PLAN"))</f>
        <v/>
      </c>
      <c r="J1319" s="61" t="str">
        <f aca="false">IF(IsPro,IF($D1319="","",IF($F1319="",IFERROR(INDEX(Items!$G$5:$G$504,Q1319),0),$F1319)),"")</f>
        <v/>
      </c>
      <c r="K1319" s="61" t="str">
        <f aca="false">IF(IsPro,IF($D1319="","",ROUND(N($E1319)*J1319*(1-N($G1319)),2)),"")</f>
        <v/>
      </c>
      <c r="L1319" s="62" t="str">
        <f aca="false">IF(IsPro,IF($D1319="","",IFERROR(INDEX(Items!$F$5:$F$504,Q1319),0)),"")</f>
        <v/>
      </c>
      <c r="M1319" s="61" t="str">
        <f aca="false">IF(IsPro,IF($D1319="","",IF(AND(R1319&lt;&gt;"",INDEX(Parties!$E$5:$E$304,R1319)&lt;&gt;"",INDEX(Parties!$E$5:$E$304,R1319)&lt;&gt;HomeState),0,ROUND(K1319*L1319/2,2))),"")</f>
        <v/>
      </c>
      <c r="N1319" s="61" t="str">
        <f aca="false">IF(IsPro,IF($D1319="","",M1319),"")</f>
        <v/>
      </c>
      <c r="O1319" s="61" t="str">
        <f aca="false">IF(IsPro,IF($D1319="","",IF(AND(R1319&lt;&gt;"",INDEX(Parties!$E$5:$E$304,R1319)&lt;&gt;"",INDEX(Parties!$E$5:$E$304,R1319)&lt;&gt;HomeState),ROUND(K1319*L1319,2),0)),"")</f>
        <v/>
      </c>
      <c r="P1319" s="61" t="str">
        <f aca="false">IF(IsPro,IF($D1319="","",K1319+M1319+N1319+O1319),"")</f>
        <v/>
      </c>
      <c r="Q1319" s="60" t="str">
        <f aca="false">IF(IsPro,IF($D1319="","",IFERROR(MATCH($D1319,Items!$A$5:$A$504,0),"")),"")</f>
        <v/>
      </c>
      <c r="R1319" s="60" t="str">
        <f aca="false">IF(IsPro,IF($C1319="","",IFERROR(MATCH($C1319,Parties!$A$5:$A$304,0),"")),"")</f>
        <v/>
      </c>
      <c r="S1319" s="61" t="str">
        <f aca="false">IF(IsPro,IF($D1319="","",IF(OR($H1319="",$H1319="Credit"),0,P1319)),"")</f>
        <v/>
      </c>
    </row>
    <row r="1320" customFormat="false" ht="15" hidden="false" customHeight="false" outlineLevel="0" collapsed="false">
      <c r="A1320" s="55"/>
      <c r="B1320" s="56"/>
      <c r="C1320" s="56"/>
      <c r="D1320" s="56"/>
      <c r="E1320" s="57"/>
      <c r="F1320" s="58"/>
      <c r="G1320" s="59"/>
      <c r="H1320" s="56"/>
      <c r="I1320" s="60" t="str">
        <f aca="false">IF(IsPro,IF($D1320="","",IFERROR(INDEX(Items!$D$5:$D$504,Q1320),"")),IF($D1320="","","PRO PLAN"))</f>
        <v/>
      </c>
      <c r="J1320" s="61" t="str">
        <f aca="false">IF(IsPro,IF($D1320="","",IF($F1320="",IFERROR(INDEX(Items!$G$5:$G$504,Q1320),0),$F1320)),"")</f>
        <v/>
      </c>
      <c r="K1320" s="61" t="str">
        <f aca="false">IF(IsPro,IF($D1320="","",ROUND(N($E1320)*J1320*(1-N($G1320)),2)),"")</f>
        <v/>
      </c>
      <c r="L1320" s="62" t="str">
        <f aca="false">IF(IsPro,IF($D1320="","",IFERROR(INDEX(Items!$F$5:$F$504,Q1320),0)),"")</f>
        <v/>
      </c>
      <c r="M1320" s="61" t="str">
        <f aca="false">IF(IsPro,IF($D1320="","",IF(AND(R1320&lt;&gt;"",INDEX(Parties!$E$5:$E$304,R1320)&lt;&gt;"",INDEX(Parties!$E$5:$E$304,R1320)&lt;&gt;HomeState),0,ROUND(K1320*L1320/2,2))),"")</f>
        <v/>
      </c>
      <c r="N1320" s="61" t="str">
        <f aca="false">IF(IsPro,IF($D1320="","",M1320),"")</f>
        <v/>
      </c>
      <c r="O1320" s="61" t="str">
        <f aca="false">IF(IsPro,IF($D1320="","",IF(AND(R1320&lt;&gt;"",INDEX(Parties!$E$5:$E$304,R1320)&lt;&gt;"",INDEX(Parties!$E$5:$E$304,R1320)&lt;&gt;HomeState),ROUND(K1320*L1320,2),0)),"")</f>
        <v/>
      </c>
      <c r="P1320" s="61" t="str">
        <f aca="false">IF(IsPro,IF($D1320="","",K1320+M1320+N1320+O1320),"")</f>
        <v/>
      </c>
      <c r="Q1320" s="60" t="str">
        <f aca="false">IF(IsPro,IF($D1320="","",IFERROR(MATCH($D1320,Items!$A$5:$A$504,0),"")),"")</f>
        <v/>
      </c>
      <c r="R1320" s="60" t="str">
        <f aca="false">IF(IsPro,IF($C1320="","",IFERROR(MATCH($C1320,Parties!$A$5:$A$304,0),"")),"")</f>
        <v/>
      </c>
      <c r="S1320" s="61" t="str">
        <f aca="false">IF(IsPro,IF($D1320="","",IF(OR($H1320="",$H1320="Credit"),0,P1320)),"")</f>
        <v/>
      </c>
    </row>
    <row r="1321" customFormat="false" ht="15" hidden="false" customHeight="false" outlineLevel="0" collapsed="false">
      <c r="A1321" s="55"/>
      <c r="B1321" s="56"/>
      <c r="C1321" s="56"/>
      <c r="D1321" s="56"/>
      <c r="E1321" s="57"/>
      <c r="F1321" s="58"/>
      <c r="G1321" s="59"/>
      <c r="H1321" s="56"/>
      <c r="I1321" s="60" t="str">
        <f aca="false">IF(IsPro,IF($D1321="","",IFERROR(INDEX(Items!$D$5:$D$504,Q1321),"")),IF($D1321="","","PRO PLAN"))</f>
        <v/>
      </c>
      <c r="J1321" s="61" t="str">
        <f aca="false">IF(IsPro,IF($D1321="","",IF($F1321="",IFERROR(INDEX(Items!$G$5:$G$504,Q1321),0),$F1321)),"")</f>
        <v/>
      </c>
      <c r="K1321" s="61" t="str">
        <f aca="false">IF(IsPro,IF($D1321="","",ROUND(N($E1321)*J1321*(1-N($G1321)),2)),"")</f>
        <v/>
      </c>
      <c r="L1321" s="62" t="str">
        <f aca="false">IF(IsPro,IF($D1321="","",IFERROR(INDEX(Items!$F$5:$F$504,Q1321),0)),"")</f>
        <v/>
      </c>
      <c r="M1321" s="61" t="str">
        <f aca="false">IF(IsPro,IF($D1321="","",IF(AND(R1321&lt;&gt;"",INDEX(Parties!$E$5:$E$304,R1321)&lt;&gt;"",INDEX(Parties!$E$5:$E$304,R1321)&lt;&gt;HomeState),0,ROUND(K1321*L1321/2,2))),"")</f>
        <v/>
      </c>
      <c r="N1321" s="61" t="str">
        <f aca="false">IF(IsPro,IF($D1321="","",M1321),"")</f>
        <v/>
      </c>
      <c r="O1321" s="61" t="str">
        <f aca="false">IF(IsPro,IF($D1321="","",IF(AND(R1321&lt;&gt;"",INDEX(Parties!$E$5:$E$304,R1321)&lt;&gt;"",INDEX(Parties!$E$5:$E$304,R1321)&lt;&gt;HomeState),ROUND(K1321*L1321,2),0)),"")</f>
        <v/>
      </c>
      <c r="P1321" s="61" t="str">
        <f aca="false">IF(IsPro,IF($D1321="","",K1321+M1321+N1321+O1321),"")</f>
        <v/>
      </c>
      <c r="Q1321" s="60" t="str">
        <f aca="false">IF(IsPro,IF($D1321="","",IFERROR(MATCH($D1321,Items!$A$5:$A$504,0),"")),"")</f>
        <v/>
      </c>
      <c r="R1321" s="60" t="str">
        <f aca="false">IF(IsPro,IF($C1321="","",IFERROR(MATCH($C1321,Parties!$A$5:$A$304,0),"")),"")</f>
        <v/>
      </c>
      <c r="S1321" s="61" t="str">
        <f aca="false">IF(IsPro,IF($D1321="","",IF(OR($H1321="",$H1321="Credit"),0,P1321)),"")</f>
        <v/>
      </c>
    </row>
    <row r="1322" customFormat="false" ht="15" hidden="false" customHeight="false" outlineLevel="0" collapsed="false">
      <c r="A1322" s="55"/>
      <c r="B1322" s="56"/>
      <c r="C1322" s="56"/>
      <c r="D1322" s="56"/>
      <c r="E1322" s="57"/>
      <c r="F1322" s="58"/>
      <c r="G1322" s="59"/>
      <c r="H1322" s="56"/>
      <c r="I1322" s="60" t="str">
        <f aca="false">IF(IsPro,IF($D1322="","",IFERROR(INDEX(Items!$D$5:$D$504,Q1322),"")),IF($D1322="","","PRO PLAN"))</f>
        <v/>
      </c>
      <c r="J1322" s="61" t="str">
        <f aca="false">IF(IsPro,IF($D1322="","",IF($F1322="",IFERROR(INDEX(Items!$G$5:$G$504,Q1322),0),$F1322)),"")</f>
        <v/>
      </c>
      <c r="K1322" s="61" t="str">
        <f aca="false">IF(IsPro,IF($D1322="","",ROUND(N($E1322)*J1322*(1-N($G1322)),2)),"")</f>
        <v/>
      </c>
      <c r="L1322" s="62" t="str">
        <f aca="false">IF(IsPro,IF($D1322="","",IFERROR(INDEX(Items!$F$5:$F$504,Q1322),0)),"")</f>
        <v/>
      </c>
      <c r="M1322" s="61" t="str">
        <f aca="false">IF(IsPro,IF($D1322="","",IF(AND(R1322&lt;&gt;"",INDEX(Parties!$E$5:$E$304,R1322)&lt;&gt;"",INDEX(Parties!$E$5:$E$304,R1322)&lt;&gt;HomeState),0,ROUND(K1322*L1322/2,2))),"")</f>
        <v/>
      </c>
      <c r="N1322" s="61" t="str">
        <f aca="false">IF(IsPro,IF($D1322="","",M1322),"")</f>
        <v/>
      </c>
      <c r="O1322" s="61" t="str">
        <f aca="false">IF(IsPro,IF($D1322="","",IF(AND(R1322&lt;&gt;"",INDEX(Parties!$E$5:$E$304,R1322)&lt;&gt;"",INDEX(Parties!$E$5:$E$304,R1322)&lt;&gt;HomeState),ROUND(K1322*L1322,2),0)),"")</f>
        <v/>
      </c>
      <c r="P1322" s="61" t="str">
        <f aca="false">IF(IsPro,IF($D1322="","",K1322+M1322+N1322+O1322),"")</f>
        <v/>
      </c>
      <c r="Q1322" s="60" t="str">
        <f aca="false">IF(IsPro,IF($D1322="","",IFERROR(MATCH($D1322,Items!$A$5:$A$504,0),"")),"")</f>
        <v/>
      </c>
      <c r="R1322" s="60" t="str">
        <f aca="false">IF(IsPro,IF($C1322="","",IFERROR(MATCH($C1322,Parties!$A$5:$A$304,0),"")),"")</f>
        <v/>
      </c>
      <c r="S1322" s="61" t="str">
        <f aca="false">IF(IsPro,IF($D1322="","",IF(OR($H1322="",$H1322="Credit"),0,P1322)),"")</f>
        <v/>
      </c>
    </row>
    <row r="1323" customFormat="false" ht="15" hidden="false" customHeight="false" outlineLevel="0" collapsed="false">
      <c r="A1323" s="55"/>
      <c r="B1323" s="56"/>
      <c r="C1323" s="56"/>
      <c r="D1323" s="56"/>
      <c r="E1323" s="57"/>
      <c r="F1323" s="58"/>
      <c r="G1323" s="59"/>
      <c r="H1323" s="56"/>
      <c r="I1323" s="60" t="str">
        <f aca="false">IF(IsPro,IF($D1323="","",IFERROR(INDEX(Items!$D$5:$D$504,Q1323),"")),IF($D1323="","","PRO PLAN"))</f>
        <v/>
      </c>
      <c r="J1323" s="61" t="str">
        <f aca="false">IF(IsPro,IF($D1323="","",IF($F1323="",IFERROR(INDEX(Items!$G$5:$G$504,Q1323),0),$F1323)),"")</f>
        <v/>
      </c>
      <c r="K1323" s="61" t="str">
        <f aca="false">IF(IsPro,IF($D1323="","",ROUND(N($E1323)*J1323*(1-N($G1323)),2)),"")</f>
        <v/>
      </c>
      <c r="L1323" s="62" t="str">
        <f aca="false">IF(IsPro,IF($D1323="","",IFERROR(INDEX(Items!$F$5:$F$504,Q1323),0)),"")</f>
        <v/>
      </c>
      <c r="M1323" s="61" t="str">
        <f aca="false">IF(IsPro,IF($D1323="","",IF(AND(R1323&lt;&gt;"",INDEX(Parties!$E$5:$E$304,R1323)&lt;&gt;"",INDEX(Parties!$E$5:$E$304,R1323)&lt;&gt;HomeState),0,ROUND(K1323*L1323/2,2))),"")</f>
        <v/>
      </c>
      <c r="N1323" s="61" t="str">
        <f aca="false">IF(IsPro,IF($D1323="","",M1323),"")</f>
        <v/>
      </c>
      <c r="O1323" s="61" t="str">
        <f aca="false">IF(IsPro,IF($D1323="","",IF(AND(R1323&lt;&gt;"",INDEX(Parties!$E$5:$E$304,R1323)&lt;&gt;"",INDEX(Parties!$E$5:$E$304,R1323)&lt;&gt;HomeState),ROUND(K1323*L1323,2),0)),"")</f>
        <v/>
      </c>
      <c r="P1323" s="61" t="str">
        <f aca="false">IF(IsPro,IF($D1323="","",K1323+M1323+N1323+O1323),"")</f>
        <v/>
      </c>
      <c r="Q1323" s="60" t="str">
        <f aca="false">IF(IsPro,IF($D1323="","",IFERROR(MATCH($D1323,Items!$A$5:$A$504,0),"")),"")</f>
        <v/>
      </c>
      <c r="R1323" s="60" t="str">
        <f aca="false">IF(IsPro,IF($C1323="","",IFERROR(MATCH($C1323,Parties!$A$5:$A$304,0),"")),"")</f>
        <v/>
      </c>
      <c r="S1323" s="61" t="str">
        <f aca="false">IF(IsPro,IF($D1323="","",IF(OR($H1323="",$H1323="Credit"),0,P1323)),"")</f>
        <v/>
      </c>
    </row>
    <row r="1324" customFormat="false" ht="15" hidden="false" customHeight="false" outlineLevel="0" collapsed="false">
      <c r="A1324" s="55"/>
      <c r="B1324" s="56"/>
      <c r="C1324" s="56"/>
      <c r="D1324" s="56"/>
      <c r="E1324" s="57"/>
      <c r="F1324" s="58"/>
      <c r="G1324" s="59"/>
      <c r="H1324" s="56"/>
      <c r="I1324" s="60" t="str">
        <f aca="false">IF(IsPro,IF($D1324="","",IFERROR(INDEX(Items!$D$5:$D$504,Q1324),"")),IF($D1324="","","PRO PLAN"))</f>
        <v/>
      </c>
      <c r="J1324" s="61" t="str">
        <f aca="false">IF(IsPro,IF($D1324="","",IF($F1324="",IFERROR(INDEX(Items!$G$5:$G$504,Q1324),0),$F1324)),"")</f>
        <v/>
      </c>
      <c r="K1324" s="61" t="str">
        <f aca="false">IF(IsPro,IF($D1324="","",ROUND(N($E1324)*J1324*(1-N($G1324)),2)),"")</f>
        <v/>
      </c>
      <c r="L1324" s="62" t="str">
        <f aca="false">IF(IsPro,IF($D1324="","",IFERROR(INDEX(Items!$F$5:$F$504,Q1324),0)),"")</f>
        <v/>
      </c>
      <c r="M1324" s="61" t="str">
        <f aca="false">IF(IsPro,IF($D1324="","",IF(AND(R1324&lt;&gt;"",INDEX(Parties!$E$5:$E$304,R1324)&lt;&gt;"",INDEX(Parties!$E$5:$E$304,R1324)&lt;&gt;HomeState),0,ROUND(K1324*L1324/2,2))),"")</f>
        <v/>
      </c>
      <c r="N1324" s="61" t="str">
        <f aca="false">IF(IsPro,IF($D1324="","",M1324),"")</f>
        <v/>
      </c>
      <c r="O1324" s="61" t="str">
        <f aca="false">IF(IsPro,IF($D1324="","",IF(AND(R1324&lt;&gt;"",INDEX(Parties!$E$5:$E$304,R1324)&lt;&gt;"",INDEX(Parties!$E$5:$E$304,R1324)&lt;&gt;HomeState),ROUND(K1324*L1324,2),0)),"")</f>
        <v/>
      </c>
      <c r="P1324" s="61" t="str">
        <f aca="false">IF(IsPro,IF($D1324="","",K1324+M1324+N1324+O1324),"")</f>
        <v/>
      </c>
      <c r="Q1324" s="60" t="str">
        <f aca="false">IF(IsPro,IF($D1324="","",IFERROR(MATCH($D1324,Items!$A$5:$A$504,0),"")),"")</f>
        <v/>
      </c>
      <c r="R1324" s="60" t="str">
        <f aca="false">IF(IsPro,IF($C1324="","",IFERROR(MATCH($C1324,Parties!$A$5:$A$304,0),"")),"")</f>
        <v/>
      </c>
      <c r="S1324" s="61" t="str">
        <f aca="false">IF(IsPro,IF($D1324="","",IF(OR($H1324="",$H1324="Credit"),0,P1324)),"")</f>
        <v/>
      </c>
    </row>
    <row r="1325" customFormat="false" ht="15" hidden="false" customHeight="false" outlineLevel="0" collapsed="false">
      <c r="A1325" s="55"/>
      <c r="B1325" s="56"/>
      <c r="C1325" s="56"/>
      <c r="D1325" s="56"/>
      <c r="E1325" s="57"/>
      <c r="F1325" s="58"/>
      <c r="G1325" s="59"/>
      <c r="H1325" s="56"/>
      <c r="I1325" s="60" t="str">
        <f aca="false">IF(IsPro,IF($D1325="","",IFERROR(INDEX(Items!$D$5:$D$504,Q1325),"")),IF($D1325="","","PRO PLAN"))</f>
        <v/>
      </c>
      <c r="J1325" s="61" t="str">
        <f aca="false">IF(IsPro,IF($D1325="","",IF($F1325="",IFERROR(INDEX(Items!$G$5:$G$504,Q1325),0),$F1325)),"")</f>
        <v/>
      </c>
      <c r="K1325" s="61" t="str">
        <f aca="false">IF(IsPro,IF($D1325="","",ROUND(N($E1325)*J1325*(1-N($G1325)),2)),"")</f>
        <v/>
      </c>
      <c r="L1325" s="62" t="str">
        <f aca="false">IF(IsPro,IF($D1325="","",IFERROR(INDEX(Items!$F$5:$F$504,Q1325),0)),"")</f>
        <v/>
      </c>
      <c r="M1325" s="61" t="str">
        <f aca="false">IF(IsPro,IF($D1325="","",IF(AND(R1325&lt;&gt;"",INDEX(Parties!$E$5:$E$304,R1325)&lt;&gt;"",INDEX(Parties!$E$5:$E$304,R1325)&lt;&gt;HomeState),0,ROUND(K1325*L1325/2,2))),"")</f>
        <v/>
      </c>
      <c r="N1325" s="61" t="str">
        <f aca="false">IF(IsPro,IF($D1325="","",M1325),"")</f>
        <v/>
      </c>
      <c r="O1325" s="61" t="str">
        <f aca="false">IF(IsPro,IF($D1325="","",IF(AND(R1325&lt;&gt;"",INDEX(Parties!$E$5:$E$304,R1325)&lt;&gt;"",INDEX(Parties!$E$5:$E$304,R1325)&lt;&gt;HomeState),ROUND(K1325*L1325,2),0)),"")</f>
        <v/>
      </c>
      <c r="P1325" s="61" t="str">
        <f aca="false">IF(IsPro,IF($D1325="","",K1325+M1325+N1325+O1325),"")</f>
        <v/>
      </c>
      <c r="Q1325" s="60" t="str">
        <f aca="false">IF(IsPro,IF($D1325="","",IFERROR(MATCH($D1325,Items!$A$5:$A$504,0),"")),"")</f>
        <v/>
      </c>
      <c r="R1325" s="60" t="str">
        <f aca="false">IF(IsPro,IF($C1325="","",IFERROR(MATCH($C1325,Parties!$A$5:$A$304,0),"")),"")</f>
        <v/>
      </c>
      <c r="S1325" s="61" t="str">
        <f aca="false">IF(IsPro,IF($D1325="","",IF(OR($H1325="",$H1325="Credit"),0,P1325)),"")</f>
        <v/>
      </c>
    </row>
    <row r="1326" customFormat="false" ht="15" hidden="false" customHeight="false" outlineLevel="0" collapsed="false">
      <c r="A1326" s="55"/>
      <c r="B1326" s="56"/>
      <c r="C1326" s="56"/>
      <c r="D1326" s="56"/>
      <c r="E1326" s="57"/>
      <c r="F1326" s="58"/>
      <c r="G1326" s="59"/>
      <c r="H1326" s="56"/>
      <c r="I1326" s="60" t="str">
        <f aca="false">IF(IsPro,IF($D1326="","",IFERROR(INDEX(Items!$D$5:$D$504,Q1326),"")),IF($D1326="","","PRO PLAN"))</f>
        <v/>
      </c>
      <c r="J1326" s="61" t="str">
        <f aca="false">IF(IsPro,IF($D1326="","",IF($F1326="",IFERROR(INDEX(Items!$G$5:$G$504,Q1326),0),$F1326)),"")</f>
        <v/>
      </c>
      <c r="K1326" s="61" t="str">
        <f aca="false">IF(IsPro,IF($D1326="","",ROUND(N($E1326)*J1326*(1-N($G1326)),2)),"")</f>
        <v/>
      </c>
      <c r="L1326" s="62" t="str">
        <f aca="false">IF(IsPro,IF($D1326="","",IFERROR(INDEX(Items!$F$5:$F$504,Q1326),0)),"")</f>
        <v/>
      </c>
      <c r="M1326" s="61" t="str">
        <f aca="false">IF(IsPro,IF($D1326="","",IF(AND(R1326&lt;&gt;"",INDEX(Parties!$E$5:$E$304,R1326)&lt;&gt;"",INDEX(Parties!$E$5:$E$304,R1326)&lt;&gt;HomeState),0,ROUND(K1326*L1326/2,2))),"")</f>
        <v/>
      </c>
      <c r="N1326" s="61" t="str">
        <f aca="false">IF(IsPro,IF($D1326="","",M1326),"")</f>
        <v/>
      </c>
      <c r="O1326" s="61" t="str">
        <f aca="false">IF(IsPro,IF($D1326="","",IF(AND(R1326&lt;&gt;"",INDEX(Parties!$E$5:$E$304,R1326)&lt;&gt;"",INDEX(Parties!$E$5:$E$304,R1326)&lt;&gt;HomeState),ROUND(K1326*L1326,2),0)),"")</f>
        <v/>
      </c>
      <c r="P1326" s="61" t="str">
        <f aca="false">IF(IsPro,IF($D1326="","",K1326+M1326+N1326+O1326),"")</f>
        <v/>
      </c>
      <c r="Q1326" s="60" t="str">
        <f aca="false">IF(IsPro,IF($D1326="","",IFERROR(MATCH($D1326,Items!$A$5:$A$504,0),"")),"")</f>
        <v/>
      </c>
      <c r="R1326" s="60" t="str">
        <f aca="false">IF(IsPro,IF($C1326="","",IFERROR(MATCH($C1326,Parties!$A$5:$A$304,0),"")),"")</f>
        <v/>
      </c>
      <c r="S1326" s="61" t="str">
        <f aca="false">IF(IsPro,IF($D1326="","",IF(OR($H1326="",$H1326="Credit"),0,P1326)),"")</f>
        <v/>
      </c>
    </row>
    <row r="1327" customFormat="false" ht="15" hidden="false" customHeight="false" outlineLevel="0" collapsed="false">
      <c r="A1327" s="55"/>
      <c r="B1327" s="56"/>
      <c r="C1327" s="56"/>
      <c r="D1327" s="56"/>
      <c r="E1327" s="57"/>
      <c r="F1327" s="58"/>
      <c r="G1327" s="59"/>
      <c r="H1327" s="56"/>
      <c r="I1327" s="60" t="str">
        <f aca="false">IF(IsPro,IF($D1327="","",IFERROR(INDEX(Items!$D$5:$D$504,Q1327),"")),IF($D1327="","","PRO PLAN"))</f>
        <v/>
      </c>
      <c r="J1327" s="61" t="str">
        <f aca="false">IF(IsPro,IF($D1327="","",IF($F1327="",IFERROR(INDEX(Items!$G$5:$G$504,Q1327),0),$F1327)),"")</f>
        <v/>
      </c>
      <c r="K1327" s="61" t="str">
        <f aca="false">IF(IsPro,IF($D1327="","",ROUND(N($E1327)*J1327*(1-N($G1327)),2)),"")</f>
        <v/>
      </c>
      <c r="L1327" s="62" t="str">
        <f aca="false">IF(IsPro,IF($D1327="","",IFERROR(INDEX(Items!$F$5:$F$504,Q1327),0)),"")</f>
        <v/>
      </c>
      <c r="M1327" s="61" t="str">
        <f aca="false">IF(IsPro,IF($D1327="","",IF(AND(R1327&lt;&gt;"",INDEX(Parties!$E$5:$E$304,R1327)&lt;&gt;"",INDEX(Parties!$E$5:$E$304,R1327)&lt;&gt;HomeState),0,ROUND(K1327*L1327/2,2))),"")</f>
        <v/>
      </c>
      <c r="N1327" s="61" t="str">
        <f aca="false">IF(IsPro,IF($D1327="","",M1327),"")</f>
        <v/>
      </c>
      <c r="O1327" s="61" t="str">
        <f aca="false">IF(IsPro,IF($D1327="","",IF(AND(R1327&lt;&gt;"",INDEX(Parties!$E$5:$E$304,R1327)&lt;&gt;"",INDEX(Parties!$E$5:$E$304,R1327)&lt;&gt;HomeState),ROUND(K1327*L1327,2),0)),"")</f>
        <v/>
      </c>
      <c r="P1327" s="61" t="str">
        <f aca="false">IF(IsPro,IF($D1327="","",K1327+M1327+N1327+O1327),"")</f>
        <v/>
      </c>
      <c r="Q1327" s="60" t="str">
        <f aca="false">IF(IsPro,IF($D1327="","",IFERROR(MATCH($D1327,Items!$A$5:$A$504,0),"")),"")</f>
        <v/>
      </c>
      <c r="R1327" s="60" t="str">
        <f aca="false">IF(IsPro,IF($C1327="","",IFERROR(MATCH($C1327,Parties!$A$5:$A$304,0),"")),"")</f>
        <v/>
      </c>
      <c r="S1327" s="61" t="str">
        <f aca="false">IF(IsPro,IF($D1327="","",IF(OR($H1327="",$H1327="Credit"),0,P1327)),"")</f>
        <v/>
      </c>
    </row>
    <row r="1328" customFormat="false" ht="15" hidden="false" customHeight="false" outlineLevel="0" collapsed="false">
      <c r="A1328" s="55"/>
      <c r="B1328" s="56"/>
      <c r="C1328" s="56"/>
      <c r="D1328" s="56"/>
      <c r="E1328" s="57"/>
      <c r="F1328" s="58"/>
      <c r="G1328" s="59"/>
      <c r="H1328" s="56"/>
      <c r="I1328" s="60" t="str">
        <f aca="false">IF(IsPro,IF($D1328="","",IFERROR(INDEX(Items!$D$5:$D$504,Q1328),"")),IF($D1328="","","PRO PLAN"))</f>
        <v/>
      </c>
      <c r="J1328" s="61" t="str">
        <f aca="false">IF(IsPro,IF($D1328="","",IF($F1328="",IFERROR(INDEX(Items!$G$5:$G$504,Q1328),0),$F1328)),"")</f>
        <v/>
      </c>
      <c r="K1328" s="61" t="str">
        <f aca="false">IF(IsPro,IF($D1328="","",ROUND(N($E1328)*J1328*(1-N($G1328)),2)),"")</f>
        <v/>
      </c>
      <c r="L1328" s="62" t="str">
        <f aca="false">IF(IsPro,IF($D1328="","",IFERROR(INDEX(Items!$F$5:$F$504,Q1328),0)),"")</f>
        <v/>
      </c>
      <c r="M1328" s="61" t="str">
        <f aca="false">IF(IsPro,IF($D1328="","",IF(AND(R1328&lt;&gt;"",INDEX(Parties!$E$5:$E$304,R1328)&lt;&gt;"",INDEX(Parties!$E$5:$E$304,R1328)&lt;&gt;HomeState),0,ROUND(K1328*L1328/2,2))),"")</f>
        <v/>
      </c>
      <c r="N1328" s="61" t="str">
        <f aca="false">IF(IsPro,IF($D1328="","",M1328),"")</f>
        <v/>
      </c>
      <c r="O1328" s="61" t="str">
        <f aca="false">IF(IsPro,IF($D1328="","",IF(AND(R1328&lt;&gt;"",INDEX(Parties!$E$5:$E$304,R1328)&lt;&gt;"",INDEX(Parties!$E$5:$E$304,R1328)&lt;&gt;HomeState),ROUND(K1328*L1328,2),0)),"")</f>
        <v/>
      </c>
      <c r="P1328" s="61" t="str">
        <f aca="false">IF(IsPro,IF($D1328="","",K1328+M1328+N1328+O1328),"")</f>
        <v/>
      </c>
      <c r="Q1328" s="60" t="str">
        <f aca="false">IF(IsPro,IF($D1328="","",IFERROR(MATCH($D1328,Items!$A$5:$A$504,0),"")),"")</f>
        <v/>
      </c>
      <c r="R1328" s="60" t="str">
        <f aca="false">IF(IsPro,IF($C1328="","",IFERROR(MATCH($C1328,Parties!$A$5:$A$304,0),"")),"")</f>
        <v/>
      </c>
      <c r="S1328" s="61" t="str">
        <f aca="false">IF(IsPro,IF($D1328="","",IF(OR($H1328="",$H1328="Credit"),0,P1328)),"")</f>
        <v/>
      </c>
    </row>
    <row r="1329" customFormat="false" ht="15" hidden="false" customHeight="false" outlineLevel="0" collapsed="false">
      <c r="A1329" s="55"/>
      <c r="B1329" s="56"/>
      <c r="C1329" s="56"/>
      <c r="D1329" s="56"/>
      <c r="E1329" s="57"/>
      <c r="F1329" s="58"/>
      <c r="G1329" s="59"/>
      <c r="H1329" s="56"/>
      <c r="I1329" s="60" t="str">
        <f aca="false">IF(IsPro,IF($D1329="","",IFERROR(INDEX(Items!$D$5:$D$504,Q1329),"")),IF($D1329="","","PRO PLAN"))</f>
        <v/>
      </c>
      <c r="J1329" s="61" t="str">
        <f aca="false">IF(IsPro,IF($D1329="","",IF($F1329="",IFERROR(INDEX(Items!$G$5:$G$504,Q1329),0),$F1329)),"")</f>
        <v/>
      </c>
      <c r="K1329" s="61" t="str">
        <f aca="false">IF(IsPro,IF($D1329="","",ROUND(N($E1329)*J1329*(1-N($G1329)),2)),"")</f>
        <v/>
      </c>
      <c r="L1329" s="62" t="str">
        <f aca="false">IF(IsPro,IF($D1329="","",IFERROR(INDEX(Items!$F$5:$F$504,Q1329),0)),"")</f>
        <v/>
      </c>
      <c r="M1329" s="61" t="str">
        <f aca="false">IF(IsPro,IF($D1329="","",IF(AND(R1329&lt;&gt;"",INDEX(Parties!$E$5:$E$304,R1329)&lt;&gt;"",INDEX(Parties!$E$5:$E$304,R1329)&lt;&gt;HomeState),0,ROUND(K1329*L1329/2,2))),"")</f>
        <v/>
      </c>
      <c r="N1329" s="61" t="str">
        <f aca="false">IF(IsPro,IF($D1329="","",M1329),"")</f>
        <v/>
      </c>
      <c r="O1329" s="61" t="str">
        <f aca="false">IF(IsPro,IF($D1329="","",IF(AND(R1329&lt;&gt;"",INDEX(Parties!$E$5:$E$304,R1329)&lt;&gt;"",INDEX(Parties!$E$5:$E$304,R1329)&lt;&gt;HomeState),ROUND(K1329*L1329,2),0)),"")</f>
        <v/>
      </c>
      <c r="P1329" s="61" t="str">
        <f aca="false">IF(IsPro,IF($D1329="","",K1329+M1329+N1329+O1329),"")</f>
        <v/>
      </c>
      <c r="Q1329" s="60" t="str">
        <f aca="false">IF(IsPro,IF($D1329="","",IFERROR(MATCH($D1329,Items!$A$5:$A$504,0),"")),"")</f>
        <v/>
      </c>
      <c r="R1329" s="60" t="str">
        <f aca="false">IF(IsPro,IF($C1329="","",IFERROR(MATCH($C1329,Parties!$A$5:$A$304,0),"")),"")</f>
        <v/>
      </c>
      <c r="S1329" s="61" t="str">
        <f aca="false">IF(IsPro,IF($D1329="","",IF(OR($H1329="",$H1329="Credit"),0,P1329)),"")</f>
        <v/>
      </c>
    </row>
    <row r="1330" customFormat="false" ht="15" hidden="false" customHeight="false" outlineLevel="0" collapsed="false">
      <c r="A1330" s="55"/>
      <c r="B1330" s="56"/>
      <c r="C1330" s="56"/>
      <c r="D1330" s="56"/>
      <c r="E1330" s="57"/>
      <c r="F1330" s="58"/>
      <c r="G1330" s="59"/>
      <c r="H1330" s="56"/>
      <c r="I1330" s="60" t="str">
        <f aca="false">IF(IsPro,IF($D1330="","",IFERROR(INDEX(Items!$D$5:$D$504,Q1330),"")),IF($D1330="","","PRO PLAN"))</f>
        <v/>
      </c>
      <c r="J1330" s="61" t="str">
        <f aca="false">IF(IsPro,IF($D1330="","",IF($F1330="",IFERROR(INDEX(Items!$G$5:$G$504,Q1330),0),$F1330)),"")</f>
        <v/>
      </c>
      <c r="K1330" s="61" t="str">
        <f aca="false">IF(IsPro,IF($D1330="","",ROUND(N($E1330)*J1330*(1-N($G1330)),2)),"")</f>
        <v/>
      </c>
      <c r="L1330" s="62" t="str">
        <f aca="false">IF(IsPro,IF($D1330="","",IFERROR(INDEX(Items!$F$5:$F$504,Q1330),0)),"")</f>
        <v/>
      </c>
      <c r="M1330" s="61" t="str">
        <f aca="false">IF(IsPro,IF($D1330="","",IF(AND(R1330&lt;&gt;"",INDEX(Parties!$E$5:$E$304,R1330)&lt;&gt;"",INDEX(Parties!$E$5:$E$304,R1330)&lt;&gt;HomeState),0,ROUND(K1330*L1330/2,2))),"")</f>
        <v/>
      </c>
      <c r="N1330" s="61" t="str">
        <f aca="false">IF(IsPro,IF($D1330="","",M1330),"")</f>
        <v/>
      </c>
      <c r="O1330" s="61" t="str">
        <f aca="false">IF(IsPro,IF($D1330="","",IF(AND(R1330&lt;&gt;"",INDEX(Parties!$E$5:$E$304,R1330)&lt;&gt;"",INDEX(Parties!$E$5:$E$304,R1330)&lt;&gt;HomeState),ROUND(K1330*L1330,2),0)),"")</f>
        <v/>
      </c>
      <c r="P1330" s="61" t="str">
        <f aca="false">IF(IsPro,IF($D1330="","",K1330+M1330+N1330+O1330),"")</f>
        <v/>
      </c>
      <c r="Q1330" s="60" t="str">
        <f aca="false">IF(IsPro,IF($D1330="","",IFERROR(MATCH($D1330,Items!$A$5:$A$504,0),"")),"")</f>
        <v/>
      </c>
      <c r="R1330" s="60" t="str">
        <f aca="false">IF(IsPro,IF($C1330="","",IFERROR(MATCH($C1330,Parties!$A$5:$A$304,0),"")),"")</f>
        <v/>
      </c>
      <c r="S1330" s="61" t="str">
        <f aca="false">IF(IsPro,IF($D1330="","",IF(OR($H1330="",$H1330="Credit"),0,P1330)),"")</f>
        <v/>
      </c>
    </row>
    <row r="1331" customFormat="false" ht="15" hidden="false" customHeight="false" outlineLevel="0" collapsed="false">
      <c r="A1331" s="55"/>
      <c r="B1331" s="56"/>
      <c r="C1331" s="56"/>
      <c r="D1331" s="56"/>
      <c r="E1331" s="57"/>
      <c r="F1331" s="58"/>
      <c r="G1331" s="59"/>
      <c r="H1331" s="56"/>
      <c r="I1331" s="60" t="str">
        <f aca="false">IF(IsPro,IF($D1331="","",IFERROR(INDEX(Items!$D$5:$D$504,Q1331),"")),IF($D1331="","","PRO PLAN"))</f>
        <v/>
      </c>
      <c r="J1331" s="61" t="str">
        <f aca="false">IF(IsPro,IF($D1331="","",IF($F1331="",IFERROR(INDEX(Items!$G$5:$G$504,Q1331),0),$F1331)),"")</f>
        <v/>
      </c>
      <c r="K1331" s="61" t="str">
        <f aca="false">IF(IsPro,IF($D1331="","",ROUND(N($E1331)*J1331*(1-N($G1331)),2)),"")</f>
        <v/>
      </c>
      <c r="L1331" s="62" t="str">
        <f aca="false">IF(IsPro,IF($D1331="","",IFERROR(INDEX(Items!$F$5:$F$504,Q1331),0)),"")</f>
        <v/>
      </c>
      <c r="M1331" s="61" t="str">
        <f aca="false">IF(IsPro,IF($D1331="","",IF(AND(R1331&lt;&gt;"",INDEX(Parties!$E$5:$E$304,R1331)&lt;&gt;"",INDEX(Parties!$E$5:$E$304,R1331)&lt;&gt;HomeState),0,ROUND(K1331*L1331/2,2))),"")</f>
        <v/>
      </c>
      <c r="N1331" s="61" t="str">
        <f aca="false">IF(IsPro,IF($D1331="","",M1331),"")</f>
        <v/>
      </c>
      <c r="O1331" s="61" t="str">
        <f aca="false">IF(IsPro,IF($D1331="","",IF(AND(R1331&lt;&gt;"",INDEX(Parties!$E$5:$E$304,R1331)&lt;&gt;"",INDEX(Parties!$E$5:$E$304,R1331)&lt;&gt;HomeState),ROUND(K1331*L1331,2),0)),"")</f>
        <v/>
      </c>
      <c r="P1331" s="61" t="str">
        <f aca="false">IF(IsPro,IF($D1331="","",K1331+M1331+N1331+O1331),"")</f>
        <v/>
      </c>
      <c r="Q1331" s="60" t="str">
        <f aca="false">IF(IsPro,IF($D1331="","",IFERROR(MATCH($D1331,Items!$A$5:$A$504,0),"")),"")</f>
        <v/>
      </c>
      <c r="R1331" s="60" t="str">
        <f aca="false">IF(IsPro,IF($C1331="","",IFERROR(MATCH($C1331,Parties!$A$5:$A$304,0),"")),"")</f>
        <v/>
      </c>
      <c r="S1331" s="61" t="str">
        <f aca="false">IF(IsPro,IF($D1331="","",IF(OR($H1331="",$H1331="Credit"),0,P1331)),"")</f>
        <v/>
      </c>
    </row>
    <row r="1332" customFormat="false" ht="15" hidden="false" customHeight="false" outlineLevel="0" collapsed="false">
      <c r="A1332" s="55"/>
      <c r="B1332" s="56"/>
      <c r="C1332" s="56"/>
      <c r="D1332" s="56"/>
      <c r="E1332" s="57"/>
      <c r="F1332" s="58"/>
      <c r="G1332" s="59"/>
      <c r="H1332" s="56"/>
      <c r="I1332" s="60" t="str">
        <f aca="false">IF(IsPro,IF($D1332="","",IFERROR(INDEX(Items!$D$5:$D$504,Q1332),"")),IF($D1332="","","PRO PLAN"))</f>
        <v/>
      </c>
      <c r="J1332" s="61" t="str">
        <f aca="false">IF(IsPro,IF($D1332="","",IF($F1332="",IFERROR(INDEX(Items!$G$5:$G$504,Q1332),0),$F1332)),"")</f>
        <v/>
      </c>
      <c r="K1332" s="61" t="str">
        <f aca="false">IF(IsPro,IF($D1332="","",ROUND(N($E1332)*J1332*(1-N($G1332)),2)),"")</f>
        <v/>
      </c>
      <c r="L1332" s="62" t="str">
        <f aca="false">IF(IsPro,IF($D1332="","",IFERROR(INDEX(Items!$F$5:$F$504,Q1332),0)),"")</f>
        <v/>
      </c>
      <c r="M1332" s="61" t="str">
        <f aca="false">IF(IsPro,IF($D1332="","",IF(AND(R1332&lt;&gt;"",INDEX(Parties!$E$5:$E$304,R1332)&lt;&gt;"",INDEX(Parties!$E$5:$E$304,R1332)&lt;&gt;HomeState),0,ROUND(K1332*L1332/2,2))),"")</f>
        <v/>
      </c>
      <c r="N1332" s="61" t="str">
        <f aca="false">IF(IsPro,IF($D1332="","",M1332),"")</f>
        <v/>
      </c>
      <c r="O1332" s="61" t="str">
        <f aca="false">IF(IsPro,IF($D1332="","",IF(AND(R1332&lt;&gt;"",INDEX(Parties!$E$5:$E$304,R1332)&lt;&gt;"",INDEX(Parties!$E$5:$E$304,R1332)&lt;&gt;HomeState),ROUND(K1332*L1332,2),0)),"")</f>
        <v/>
      </c>
      <c r="P1332" s="61" t="str">
        <f aca="false">IF(IsPro,IF($D1332="","",K1332+M1332+N1332+O1332),"")</f>
        <v/>
      </c>
      <c r="Q1332" s="60" t="str">
        <f aca="false">IF(IsPro,IF($D1332="","",IFERROR(MATCH($D1332,Items!$A$5:$A$504,0),"")),"")</f>
        <v/>
      </c>
      <c r="R1332" s="60" t="str">
        <f aca="false">IF(IsPro,IF($C1332="","",IFERROR(MATCH($C1332,Parties!$A$5:$A$304,0),"")),"")</f>
        <v/>
      </c>
      <c r="S1332" s="61" t="str">
        <f aca="false">IF(IsPro,IF($D1332="","",IF(OR($H1332="",$H1332="Credit"),0,P1332)),"")</f>
        <v/>
      </c>
    </row>
    <row r="1333" customFormat="false" ht="15" hidden="false" customHeight="false" outlineLevel="0" collapsed="false">
      <c r="A1333" s="55"/>
      <c r="B1333" s="56"/>
      <c r="C1333" s="56"/>
      <c r="D1333" s="56"/>
      <c r="E1333" s="57"/>
      <c r="F1333" s="58"/>
      <c r="G1333" s="59"/>
      <c r="H1333" s="56"/>
      <c r="I1333" s="60" t="str">
        <f aca="false">IF(IsPro,IF($D1333="","",IFERROR(INDEX(Items!$D$5:$D$504,Q1333),"")),IF($D1333="","","PRO PLAN"))</f>
        <v/>
      </c>
      <c r="J1333" s="61" t="str">
        <f aca="false">IF(IsPro,IF($D1333="","",IF($F1333="",IFERROR(INDEX(Items!$G$5:$G$504,Q1333),0),$F1333)),"")</f>
        <v/>
      </c>
      <c r="K1333" s="61" t="str">
        <f aca="false">IF(IsPro,IF($D1333="","",ROUND(N($E1333)*J1333*(1-N($G1333)),2)),"")</f>
        <v/>
      </c>
      <c r="L1333" s="62" t="str">
        <f aca="false">IF(IsPro,IF($D1333="","",IFERROR(INDEX(Items!$F$5:$F$504,Q1333),0)),"")</f>
        <v/>
      </c>
      <c r="M1333" s="61" t="str">
        <f aca="false">IF(IsPro,IF($D1333="","",IF(AND(R1333&lt;&gt;"",INDEX(Parties!$E$5:$E$304,R1333)&lt;&gt;"",INDEX(Parties!$E$5:$E$304,R1333)&lt;&gt;HomeState),0,ROUND(K1333*L1333/2,2))),"")</f>
        <v/>
      </c>
      <c r="N1333" s="61" t="str">
        <f aca="false">IF(IsPro,IF($D1333="","",M1333),"")</f>
        <v/>
      </c>
      <c r="O1333" s="61" t="str">
        <f aca="false">IF(IsPro,IF($D1333="","",IF(AND(R1333&lt;&gt;"",INDEX(Parties!$E$5:$E$304,R1333)&lt;&gt;"",INDEX(Parties!$E$5:$E$304,R1333)&lt;&gt;HomeState),ROUND(K1333*L1333,2),0)),"")</f>
        <v/>
      </c>
      <c r="P1333" s="61" t="str">
        <f aca="false">IF(IsPro,IF($D1333="","",K1333+M1333+N1333+O1333),"")</f>
        <v/>
      </c>
      <c r="Q1333" s="60" t="str">
        <f aca="false">IF(IsPro,IF($D1333="","",IFERROR(MATCH($D1333,Items!$A$5:$A$504,0),"")),"")</f>
        <v/>
      </c>
      <c r="R1333" s="60" t="str">
        <f aca="false">IF(IsPro,IF($C1333="","",IFERROR(MATCH($C1333,Parties!$A$5:$A$304,0),"")),"")</f>
        <v/>
      </c>
      <c r="S1333" s="61" t="str">
        <f aca="false">IF(IsPro,IF($D1333="","",IF(OR($H1333="",$H1333="Credit"),0,P1333)),"")</f>
        <v/>
      </c>
    </row>
    <row r="1334" customFormat="false" ht="15" hidden="false" customHeight="false" outlineLevel="0" collapsed="false">
      <c r="A1334" s="55"/>
      <c r="B1334" s="56"/>
      <c r="C1334" s="56"/>
      <c r="D1334" s="56"/>
      <c r="E1334" s="57"/>
      <c r="F1334" s="58"/>
      <c r="G1334" s="59"/>
      <c r="H1334" s="56"/>
      <c r="I1334" s="60" t="str">
        <f aca="false">IF(IsPro,IF($D1334="","",IFERROR(INDEX(Items!$D$5:$D$504,Q1334),"")),IF($D1334="","","PRO PLAN"))</f>
        <v/>
      </c>
      <c r="J1334" s="61" t="str">
        <f aca="false">IF(IsPro,IF($D1334="","",IF($F1334="",IFERROR(INDEX(Items!$G$5:$G$504,Q1334),0),$F1334)),"")</f>
        <v/>
      </c>
      <c r="K1334" s="61" t="str">
        <f aca="false">IF(IsPro,IF($D1334="","",ROUND(N($E1334)*J1334*(1-N($G1334)),2)),"")</f>
        <v/>
      </c>
      <c r="L1334" s="62" t="str">
        <f aca="false">IF(IsPro,IF($D1334="","",IFERROR(INDEX(Items!$F$5:$F$504,Q1334),0)),"")</f>
        <v/>
      </c>
      <c r="M1334" s="61" t="str">
        <f aca="false">IF(IsPro,IF($D1334="","",IF(AND(R1334&lt;&gt;"",INDEX(Parties!$E$5:$E$304,R1334)&lt;&gt;"",INDEX(Parties!$E$5:$E$304,R1334)&lt;&gt;HomeState),0,ROUND(K1334*L1334/2,2))),"")</f>
        <v/>
      </c>
      <c r="N1334" s="61" t="str">
        <f aca="false">IF(IsPro,IF($D1334="","",M1334),"")</f>
        <v/>
      </c>
      <c r="O1334" s="61" t="str">
        <f aca="false">IF(IsPro,IF($D1334="","",IF(AND(R1334&lt;&gt;"",INDEX(Parties!$E$5:$E$304,R1334)&lt;&gt;"",INDEX(Parties!$E$5:$E$304,R1334)&lt;&gt;HomeState),ROUND(K1334*L1334,2),0)),"")</f>
        <v/>
      </c>
      <c r="P1334" s="61" t="str">
        <f aca="false">IF(IsPro,IF($D1334="","",K1334+M1334+N1334+O1334),"")</f>
        <v/>
      </c>
      <c r="Q1334" s="60" t="str">
        <f aca="false">IF(IsPro,IF($D1334="","",IFERROR(MATCH($D1334,Items!$A$5:$A$504,0),"")),"")</f>
        <v/>
      </c>
      <c r="R1334" s="60" t="str">
        <f aca="false">IF(IsPro,IF($C1334="","",IFERROR(MATCH($C1334,Parties!$A$5:$A$304,0),"")),"")</f>
        <v/>
      </c>
      <c r="S1334" s="61" t="str">
        <f aca="false">IF(IsPro,IF($D1334="","",IF(OR($H1334="",$H1334="Credit"),0,P1334)),"")</f>
        <v/>
      </c>
    </row>
    <row r="1335" customFormat="false" ht="15" hidden="false" customHeight="false" outlineLevel="0" collapsed="false">
      <c r="A1335" s="55"/>
      <c r="B1335" s="56"/>
      <c r="C1335" s="56"/>
      <c r="D1335" s="56"/>
      <c r="E1335" s="57"/>
      <c r="F1335" s="58"/>
      <c r="G1335" s="59"/>
      <c r="H1335" s="56"/>
      <c r="I1335" s="60" t="str">
        <f aca="false">IF(IsPro,IF($D1335="","",IFERROR(INDEX(Items!$D$5:$D$504,Q1335),"")),IF($D1335="","","PRO PLAN"))</f>
        <v/>
      </c>
      <c r="J1335" s="61" t="str">
        <f aca="false">IF(IsPro,IF($D1335="","",IF($F1335="",IFERROR(INDEX(Items!$G$5:$G$504,Q1335),0),$F1335)),"")</f>
        <v/>
      </c>
      <c r="K1335" s="61" t="str">
        <f aca="false">IF(IsPro,IF($D1335="","",ROUND(N($E1335)*J1335*(1-N($G1335)),2)),"")</f>
        <v/>
      </c>
      <c r="L1335" s="62" t="str">
        <f aca="false">IF(IsPro,IF($D1335="","",IFERROR(INDEX(Items!$F$5:$F$504,Q1335),0)),"")</f>
        <v/>
      </c>
      <c r="M1335" s="61" t="str">
        <f aca="false">IF(IsPro,IF($D1335="","",IF(AND(R1335&lt;&gt;"",INDEX(Parties!$E$5:$E$304,R1335)&lt;&gt;"",INDEX(Parties!$E$5:$E$304,R1335)&lt;&gt;HomeState),0,ROUND(K1335*L1335/2,2))),"")</f>
        <v/>
      </c>
      <c r="N1335" s="61" t="str">
        <f aca="false">IF(IsPro,IF($D1335="","",M1335),"")</f>
        <v/>
      </c>
      <c r="O1335" s="61" t="str">
        <f aca="false">IF(IsPro,IF($D1335="","",IF(AND(R1335&lt;&gt;"",INDEX(Parties!$E$5:$E$304,R1335)&lt;&gt;"",INDEX(Parties!$E$5:$E$304,R1335)&lt;&gt;HomeState),ROUND(K1335*L1335,2),0)),"")</f>
        <v/>
      </c>
      <c r="P1335" s="61" t="str">
        <f aca="false">IF(IsPro,IF($D1335="","",K1335+M1335+N1335+O1335),"")</f>
        <v/>
      </c>
      <c r="Q1335" s="60" t="str">
        <f aca="false">IF(IsPro,IF($D1335="","",IFERROR(MATCH($D1335,Items!$A$5:$A$504,0),"")),"")</f>
        <v/>
      </c>
      <c r="R1335" s="60" t="str">
        <f aca="false">IF(IsPro,IF($C1335="","",IFERROR(MATCH($C1335,Parties!$A$5:$A$304,0),"")),"")</f>
        <v/>
      </c>
      <c r="S1335" s="61" t="str">
        <f aca="false">IF(IsPro,IF($D1335="","",IF(OR($H1335="",$H1335="Credit"),0,P1335)),"")</f>
        <v/>
      </c>
    </row>
    <row r="1336" customFormat="false" ht="15" hidden="false" customHeight="false" outlineLevel="0" collapsed="false">
      <c r="A1336" s="55"/>
      <c r="B1336" s="56"/>
      <c r="C1336" s="56"/>
      <c r="D1336" s="56"/>
      <c r="E1336" s="57"/>
      <c r="F1336" s="58"/>
      <c r="G1336" s="59"/>
      <c r="H1336" s="56"/>
      <c r="I1336" s="60" t="str">
        <f aca="false">IF(IsPro,IF($D1336="","",IFERROR(INDEX(Items!$D$5:$D$504,Q1336),"")),IF($D1336="","","PRO PLAN"))</f>
        <v/>
      </c>
      <c r="J1336" s="61" t="str">
        <f aca="false">IF(IsPro,IF($D1336="","",IF($F1336="",IFERROR(INDEX(Items!$G$5:$G$504,Q1336),0),$F1336)),"")</f>
        <v/>
      </c>
      <c r="K1336" s="61" t="str">
        <f aca="false">IF(IsPro,IF($D1336="","",ROUND(N($E1336)*J1336*(1-N($G1336)),2)),"")</f>
        <v/>
      </c>
      <c r="L1336" s="62" t="str">
        <f aca="false">IF(IsPro,IF($D1336="","",IFERROR(INDEX(Items!$F$5:$F$504,Q1336),0)),"")</f>
        <v/>
      </c>
      <c r="M1336" s="61" t="str">
        <f aca="false">IF(IsPro,IF($D1336="","",IF(AND(R1336&lt;&gt;"",INDEX(Parties!$E$5:$E$304,R1336)&lt;&gt;"",INDEX(Parties!$E$5:$E$304,R1336)&lt;&gt;HomeState),0,ROUND(K1336*L1336/2,2))),"")</f>
        <v/>
      </c>
      <c r="N1336" s="61" t="str">
        <f aca="false">IF(IsPro,IF($D1336="","",M1336),"")</f>
        <v/>
      </c>
      <c r="O1336" s="61" t="str">
        <f aca="false">IF(IsPro,IF($D1336="","",IF(AND(R1336&lt;&gt;"",INDEX(Parties!$E$5:$E$304,R1336)&lt;&gt;"",INDEX(Parties!$E$5:$E$304,R1336)&lt;&gt;HomeState),ROUND(K1336*L1336,2),0)),"")</f>
        <v/>
      </c>
      <c r="P1336" s="61" t="str">
        <f aca="false">IF(IsPro,IF($D1336="","",K1336+M1336+N1336+O1336),"")</f>
        <v/>
      </c>
      <c r="Q1336" s="60" t="str">
        <f aca="false">IF(IsPro,IF($D1336="","",IFERROR(MATCH($D1336,Items!$A$5:$A$504,0),"")),"")</f>
        <v/>
      </c>
      <c r="R1336" s="60" t="str">
        <f aca="false">IF(IsPro,IF($C1336="","",IFERROR(MATCH($C1336,Parties!$A$5:$A$304,0),"")),"")</f>
        <v/>
      </c>
      <c r="S1336" s="61" t="str">
        <f aca="false">IF(IsPro,IF($D1336="","",IF(OR($H1336="",$H1336="Credit"),0,P1336)),"")</f>
        <v/>
      </c>
    </row>
    <row r="1337" customFormat="false" ht="15" hidden="false" customHeight="false" outlineLevel="0" collapsed="false">
      <c r="A1337" s="55"/>
      <c r="B1337" s="56"/>
      <c r="C1337" s="56"/>
      <c r="D1337" s="56"/>
      <c r="E1337" s="57"/>
      <c r="F1337" s="58"/>
      <c r="G1337" s="59"/>
      <c r="H1337" s="56"/>
      <c r="I1337" s="60" t="str">
        <f aca="false">IF(IsPro,IF($D1337="","",IFERROR(INDEX(Items!$D$5:$D$504,Q1337),"")),IF($D1337="","","PRO PLAN"))</f>
        <v/>
      </c>
      <c r="J1337" s="61" t="str">
        <f aca="false">IF(IsPro,IF($D1337="","",IF($F1337="",IFERROR(INDEX(Items!$G$5:$G$504,Q1337),0),$F1337)),"")</f>
        <v/>
      </c>
      <c r="K1337" s="61" t="str">
        <f aca="false">IF(IsPro,IF($D1337="","",ROUND(N($E1337)*J1337*(1-N($G1337)),2)),"")</f>
        <v/>
      </c>
      <c r="L1337" s="62" t="str">
        <f aca="false">IF(IsPro,IF($D1337="","",IFERROR(INDEX(Items!$F$5:$F$504,Q1337),0)),"")</f>
        <v/>
      </c>
      <c r="M1337" s="61" t="str">
        <f aca="false">IF(IsPro,IF($D1337="","",IF(AND(R1337&lt;&gt;"",INDEX(Parties!$E$5:$E$304,R1337)&lt;&gt;"",INDEX(Parties!$E$5:$E$304,R1337)&lt;&gt;HomeState),0,ROUND(K1337*L1337/2,2))),"")</f>
        <v/>
      </c>
      <c r="N1337" s="61" t="str">
        <f aca="false">IF(IsPro,IF($D1337="","",M1337),"")</f>
        <v/>
      </c>
      <c r="O1337" s="61" t="str">
        <f aca="false">IF(IsPro,IF($D1337="","",IF(AND(R1337&lt;&gt;"",INDEX(Parties!$E$5:$E$304,R1337)&lt;&gt;"",INDEX(Parties!$E$5:$E$304,R1337)&lt;&gt;HomeState),ROUND(K1337*L1337,2),0)),"")</f>
        <v/>
      </c>
      <c r="P1337" s="61" t="str">
        <f aca="false">IF(IsPro,IF($D1337="","",K1337+M1337+N1337+O1337),"")</f>
        <v/>
      </c>
      <c r="Q1337" s="60" t="str">
        <f aca="false">IF(IsPro,IF($D1337="","",IFERROR(MATCH($D1337,Items!$A$5:$A$504,0),"")),"")</f>
        <v/>
      </c>
      <c r="R1337" s="60" t="str">
        <f aca="false">IF(IsPro,IF($C1337="","",IFERROR(MATCH($C1337,Parties!$A$5:$A$304,0),"")),"")</f>
        <v/>
      </c>
      <c r="S1337" s="61" t="str">
        <f aca="false">IF(IsPro,IF($D1337="","",IF(OR($H1337="",$H1337="Credit"),0,P1337)),"")</f>
        <v/>
      </c>
    </row>
    <row r="1338" customFormat="false" ht="15" hidden="false" customHeight="false" outlineLevel="0" collapsed="false">
      <c r="A1338" s="55"/>
      <c r="B1338" s="56"/>
      <c r="C1338" s="56"/>
      <c r="D1338" s="56"/>
      <c r="E1338" s="57"/>
      <c r="F1338" s="58"/>
      <c r="G1338" s="59"/>
      <c r="H1338" s="56"/>
      <c r="I1338" s="60" t="str">
        <f aca="false">IF(IsPro,IF($D1338="","",IFERROR(INDEX(Items!$D$5:$D$504,Q1338),"")),IF($D1338="","","PRO PLAN"))</f>
        <v/>
      </c>
      <c r="J1338" s="61" t="str">
        <f aca="false">IF(IsPro,IF($D1338="","",IF($F1338="",IFERROR(INDEX(Items!$G$5:$G$504,Q1338),0),$F1338)),"")</f>
        <v/>
      </c>
      <c r="K1338" s="61" t="str">
        <f aca="false">IF(IsPro,IF($D1338="","",ROUND(N($E1338)*J1338*(1-N($G1338)),2)),"")</f>
        <v/>
      </c>
      <c r="L1338" s="62" t="str">
        <f aca="false">IF(IsPro,IF($D1338="","",IFERROR(INDEX(Items!$F$5:$F$504,Q1338),0)),"")</f>
        <v/>
      </c>
      <c r="M1338" s="61" t="str">
        <f aca="false">IF(IsPro,IF($D1338="","",IF(AND(R1338&lt;&gt;"",INDEX(Parties!$E$5:$E$304,R1338)&lt;&gt;"",INDEX(Parties!$E$5:$E$304,R1338)&lt;&gt;HomeState),0,ROUND(K1338*L1338/2,2))),"")</f>
        <v/>
      </c>
      <c r="N1338" s="61" t="str">
        <f aca="false">IF(IsPro,IF($D1338="","",M1338),"")</f>
        <v/>
      </c>
      <c r="O1338" s="61" t="str">
        <f aca="false">IF(IsPro,IF($D1338="","",IF(AND(R1338&lt;&gt;"",INDEX(Parties!$E$5:$E$304,R1338)&lt;&gt;"",INDEX(Parties!$E$5:$E$304,R1338)&lt;&gt;HomeState),ROUND(K1338*L1338,2),0)),"")</f>
        <v/>
      </c>
      <c r="P1338" s="61" t="str">
        <f aca="false">IF(IsPro,IF($D1338="","",K1338+M1338+N1338+O1338),"")</f>
        <v/>
      </c>
      <c r="Q1338" s="60" t="str">
        <f aca="false">IF(IsPro,IF($D1338="","",IFERROR(MATCH($D1338,Items!$A$5:$A$504,0),"")),"")</f>
        <v/>
      </c>
      <c r="R1338" s="60" t="str">
        <f aca="false">IF(IsPro,IF($C1338="","",IFERROR(MATCH($C1338,Parties!$A$5:$A$304,0),"")),"")</f>
        <v/>
      </c>
      <c r="S1338" s="61" t="str">
        <f aca="false">IF(IsPro,IF($D1338="","",IF(OR($H1338="",$H1338="Credit"),0,P1338)),"")</f>
        <v/>
      </c>
    </row>
    <row r="1339" customFormat="false" ht="15" hidden="false" customHeight="false" outlineLevel="0" collapsed="false">
      <c r="A1339" s="55"/>
      <c r="B1339" s="56"/>
      <c r="C1339" s="56"/>
      <c r="D1339" s="56"/>
      <c r="E1339" s="57"/>
      <c r="F1339" s="58"/>
      <c r="G1339" s="59"/>
      <c r="H1339" s="56"/>
      <c r="I1339" s="60" t="str">
        <f aca="false">IF(IsPro,IF($D1339="","",IFERROR(INDEX(Items!$D$5:$D$504,Q1339),"")),IF($D1339="","","PRO PLAN"))</f>
        <v/>
      </c>
      <c r="J1339" s="61" t="str">
        <f aca="false">IF(IsPro,IF($D1339="","",IF($F1339="",IFERROR(INDEX(Items!$G$5:$G$504,Q1339),0),$F1339)),"")</f>
        <v/>
      </c>
      <c r="K1339" s="61" t="str">
        <f aca="false">IF(IsPro,IF($D1339="","",ROUND(N($E1339)*J1339*(1-N($G1339)),2)),"")</f>
        <v/>
      </c>
      <c r="L1339" s="62" t="str">
        <f aca="false">IF(IsPro,IF($D1339="","",IFERROR(INDEX(Items!$F$5:$F$504,Q1339),0)),"")</f>
        <v/>
      </c>
      <c r="M1339" s="61" t="str">
        <f aca="false">IF(IsPro,IF($D1339="","",IF(AND(R1339&lt;&gt;"",INDEX(Parties!$E$5:$E$304,R1339)&lt;&gt;"",INDEX(Parties!$E$5:$E$304,R1339)&lt;&gt;HomeState),0,ROUND(K1339*L1339/2,2))),"")</f>
        <v/>
      </c>
      <c r="N1339" s="61" t="str">
        <f aca="false">IF(IsPro,IF($D1339="","",M1339),"")</f>
        <v/>
      </c>
      <c r="O1339" s="61" t="str">
        <f aca="false">IF(IsPro,IF($D1339="","",IF(AND(R1339&lt;&gt;"",INDEX(Parties!$E$5:$E$304,R1339)&lt;&gt;"",INDEX(Parties!$E$5:$E$304,R1339)&lt;&gt;HomeState),ROUND(K1339*L1339,2),0)),"")</f>
        <v/>
      </c>
      <c r="P1339" s="61" t="str">
        <f aca="false">IF(IsPro,IF($D1339="","",K1339+M1339+N1339+O1339),"")</f>
        <v/>
      </c>
      <c r="Q1339" s="60" t="str">
        <f aca="false">IF(IsPro,IF($D1339="","",IFERROR(MATCH($D1339,Items!$A$5:$A$504,0),"")),"")</f>
        <v/>
      </c>
      <c r="R1339" s="60" t="str">
        <f aca="false">IF(IsPro,IF($C1339="","",IFERROR(MATCH($C1339,Parties!$A$5:$A$304,0),"")),"")</f>
        <v/>
      </c>
      <c r="S1339" s="61" t="str">
        <f aca="false">IF(IsPro,IF($D1339="","",IF(OR($H1339="",$H1339="Credit"),0,P1339)),"")</f>
        <v/>
      </c>
    </row>
    <row r="1340" customFormat="false" ht="15" hidden="false" customHeight="false" outlineLevel="0" collapsed="false">
      <c r="A1340" s="55"/>
      <c r="B1340" s="56"/>
      <c r="C1340" s="56"/>
      <c r="D1340" s="56"/>
      <c r="E1340" s="57"/>
      <c r="F1340" s="58"/>
      <c r="G1340" s="59"/>
      <c r="H1340" s="56"/>
      <c r="I1340" s="60" t="str">
        <f aca="false">IF(IsPro,IF($D1340="","",IFERROR(INDEX(Items!$D$5:$D$504,Q1340),"")),IF($D1340="","","PRO PLAN"))</f>
        <v/>
      </c>
      <c r="J1340" s="61" t="str">
        <f aca="false">IF(IsPro,IF($D1340="","",IF($F1340="",IFERROR(INDEX(Items!$G$5:$G$504,Q1340),0),$F1340)),"")</f>
        <v/>
      </c>
      <c r="K1340" s="61" t="str">
        <f aca="false">IF(IsPro,IF($D1340="","",ROUND(N($E1340)*J1340*(1-N($G1340)),2)),"")</f>
        <v/>
      </c>
      <c r="L1340" s="62" t="str">
        <f aca="false">IF(IsPro,IF($D1340="","",IFERROR(INDEX(Items!$F$5:$F$504,Q1340),0)),"")</f>
        <v/>
      </c>
      <c r="M1340" s="61" t="str">
        <f aca="false">IF(IsPro,IF($D1340="","",IF(AND(R1340&lt;&gt;"",INDEX(Parties!$E$5:$E$304,R1340)&lt;&gt;"",INDEX(Parties!$E$5:$E$304,R1340)&lt;&gt;HomeState),0,ROUND(K1340*L1340/2,2))),"")</f>
        <v/>
      </c>
      <c r="N1340" s="61" t="str">
        <f aca="false">IF(IsPro,IF($D1340="","",M1340),"")</f>
        <v/>
      </c>
      <c r="O1340" s="61" t="str">
        <f aca="false">IF(IsPro,IF($D1340="","",IF(AND(R1340&lt;&gt;"",INDEX(Parties!$E$5:$E$304,R1340)&lt;&gt;"",INDEX(Parties!$E$5:$E$304,R1340)&lt;&gt;HomeState),ROUND(K1340*L1340,2),0)),"")</f>
        <v/>
      </c>
      <c r="P1340" s="61" t="str">
        <f aca="false">IF(IsPro,IF($D1340="","",K1340+M1340+N1340+O1340),"")</f>
        <v/>
      </c>
      <c r="Q1340" s="60" t="str">
        <f aca="false">IF(IsPro,IF($D1340="","",IFERROR(MATCH($D1340,Items!$A$5:$A$504,0),"")),"")</f>
        <v/>
      </c>
      <c r="R1340" s="60" t="str">
        <f aca="false">IF(IsPro,IF($C1340="","",IFERROR(MATCH($C1340,Parties!$A$5:$A$304,0),"")),"")</f>
        <v/>
      </c>
      <c r="S1340" s="61" t="str">
        <f aca="false">IF(IsPro,IF($D1340="","",IF(OR($H1340="",$H1340="Credit"),0,P1340)),"")</f>
        <v/>
      </c>
    </row>
    <row r="1341" customFormat="false" ht="15" hidden="false" customHeight="false" outlineLevel="0" collapsed="false">
      <c r="A1341" s="55"/>
      <c r="B1341" s="56"/>
      <c r="C1341" s="56"/>
      <c r="D1341" s="56"/>
      <c r="E1341" s="57"/>
      <c r="F1341" s="58"/>
      <c r="G1341" s="59"/>
      <c r="H1341" s="56"/>
      <c r="I1341" s="60" t="str">
        <f aca="false">IF(IsPro,IF($D1341="","",IFERROR(INDEX(Items!$D$5:$D$504,Q1341),"")),IF($D1341="","","PRO PLAN"))</f>
        <v/>
      </c>
      <c r="J1341" s="61" t="str">
        <f aca="false">IF(IsPro,IF($D1341="","",IF($F1341="",IFERROR(INDEX(Items!$G$5:$G$504,Q1341),0),$F1341)),"")</f>
        <v/>
      </c>
      <c r="K1341" s="61" t="str">
        <f aca="false">IF(IsPro,IF($D1341="","",ROUND(N($E1341)*J1341*(1-N($G1341)),2)),"")</f>
        <v/>
      </c>
      <c r="L1341" s="62" t="str">
        <f aca="false">IF(IsPro,IF($D1341="","",IFERROR(INDEX(Items!$F$5:$F$504,Q1341),0)),"")</f>
        <v/>
      </c>
      <c r="M1341" s="61" t="str">
        <f aca="false">IF(IsPro,IF($D1341="","",IF(AND(R1341&lt;&gt;"",INDEX(Parties!$E$5:$E$304,R1341)&lt;&gt;"",INDEX(Parties!$E$5:$E$304,R1341)&lt;&gt;HomeState),0,ROUND(K1341*L1341/2,2))),"")</f>
        <v/>
      </c>
      <c r="N1341" s="61" t="str">
        <f aca="false">IF(IsPro,IF($D1341="","",M1341),"")</f>
        <v/>
      </c>
      <c r="O1341" s="61" t="str">
        <f aca="false">IF(IsPro,IF($D1341="","",IF(AND(R1341&lt;&gt;"",INDEX(Parties!$E$5:$E$304,R1341)&lt;&gt;"",INDEX(Parties!$E$5:$E$304,R1341)&lt;&gt;HomeState),ROUND(K1341*L1341,2),0)),"")</f>
        <v/>
      </c>
      <c r="P1341" s="61" t="str">
        <f aca="false">IF(IsPro,IF($D1341="","",K1341+M1341+N1341+O1341),"")</f>
        <v/>
      </c>
      <c r="Q1341" s="60" t="str">
        <f aca="false">IF(IsPro,IF($D1341="","",IFERROR(MATCH($D1341,Items!$A$5:$A$504,0),"")),"")</f>
        <v/>
      </c>
      <c r="R1341" s="60" t="str">
        <f aca="false">IF(IsPro,IF($C1341="","",IFERROR(MATCH($C1341,Parties!$A$5:$A$304,0),"")),"")</f>
        <v/>
      </c>
      <c r="S1341" s="61" t="str">
        <f aca="false">IF(IsPro,IF($D1341="","",IF(OR($H1341="",$H1341="Credit"),0,P1341)),"")</f>
        <v/>
      </c>
    </row>
    <row r="1342" customFormat="false" ht="15" hidden="false" customHeight="false" outlineLevel="0" collapsed="false">
      <c r="A1342" s="55"/>
      <c r="B1342" s="56"/>
      <c r="C1342" s="56"/>
      <c r="D1342" s="56"/>
      <c r="E1342" s="57"/>
      <c r="F1342" s="58"/>
      <c r="G1342" s="59"/>
      <c r="H1342" s="56"/>
      <c r="I1342" s="60" t="str">
        <f aca="false">IF(IsPro,IF($D1342="","",IFERROR(INDEX(Items!$D$5:$D$504,Q1342),"")),IF($D1342="","","PRO PLAN"))</f>
        <v/>
      </c>
      <c r="J1342" s="61" t="str">
        <f aca="false">IF(IsPro,IF($D1342="","",IF($F1342="",IFERROR(INDEX(Items!$G$5:$G$504,Q1342),0),$F1342)),"")</f>
        <v/>
      </c>
      <c r="K1342" s="61" t="str">
        <f aca="false">IF(IsPro,IF($D1342="","",ROUND(N($E1342)*J1342*(1-N($G1342)),2)),"")</f>
        <v/>
      </c>
      <c r="L1342" s="62" t="str">
        <f aca="false">IF(IsPro,IF($D1342="","",IFERROR(INDEX(Items!$F$5:$F$504,Q1342),0)),"")</f>
        <v/>
      </c>
      <c r="M1342" s="61" t="str">
        <f aca="false">IF(IsPro,IF($D1342="","",IF(AND(R1342&lt;&gt;"",INDEX(Parties!$E$5:$E$304,R1342)&lt;&gt;"",INDEX(Parties!$E$5:$E$304,R1342)&lt;&gt;HomeState),0,ROUND(K1342*L1342/2,2))),"")</f>
        <v/>
      </c>
      <c r="N1342" s="61" t="str">
        <f aca="false">IF(IsPro,IF($D1342="","",M1342),"")</f>
        <v/>
      </c>
      <c r="O1342" s="61" t="str">
        <f aca="false">IF(IsPro,IF($D1342="","",IF(AND(R1342&lt;&gt;"",INDEX(Parties!$E$5:$E$304,R1342)&lt;&gt;"",INDEX(Parties!$E$5:$E$304,R1342)&lt;&gt;HomeState),ROUND(K1342*L1342,2),0)),"")</f>
        <v/>
      </c>
      <c r="P1342" s="61" t="str">
        <f aca="false">IF(IsPro,IF($D1342="","",K1342+M1342+N1342+O1342),"")</f>
        <v/>
      </c>
      <c r="Q1342" s="60" t="str">
        <f aca="false">IF(IsPro,IF($D1342="","",IFERROR(MATCH($D1342,Items!$A$5:$A$504,0),"")),"")</f>
        <v/>
      </c>
      <c r="R1342" s="60" t="str">
        <f aca="false">IF(IsPro,IF($C1342="","",IFERROR(MATCH($C1342,Parties!$A$5:$A$304,0),"")),"")</f>
        <v/>
      </c>
      <c r="S1342" s="61" t="str">
        <f aca="false">IF(IsPro,IF($D1342="","",IF(OR($H1342="",$H1342="Credit"),0,P1342)),"")</f>
        <v/>
      </c>
    </row>
    <row r="1343" customFormat="false" ht="15" hidden="false" customHeight="false" outlineLevel="0" collapsed="false">
      <c r="A1343" s="55"/>
      <c r="B1343" s="56"/>
      <c r="C1343" s="56"/>
      <c r="D1343" s="56"/>
      <c r="E1343" s="57"/>
      <c r="F1343" s="58"/>
      <c r="G1343" s="59"/>
      <c r="H1343" s="56"/>
      <c r="I1343" s="60" t="str">
        <f aca="false">IF(IsPro,IF($D1343="","",IFERROR(INDEX(Items!$D$5:$D$504,Q1343),"")),IF($D1343="","","PRO PLAN"))</f>
        <v/>
      </c>
      <c r="J1343" s="61" t="str">
        <f aca="false">IF(IsPro,IF($D1343="","",IF($F1343="",IFERROR(INDEX(Items!$G$5:$G$504,Q1343),0),$F1343)),"")</f>
        <v/>
      </c>
      <c r="K1343" s="61" t="str">
        <f aca="false">IF(IsPro,IF($D1343="","",ROUND(N($E1343)*J1343*(1-N($G1343)),2)),"")</f>
        <v/>
      </c>
      <c r="L1343" s="62" t="str">
        <f aca="false">IF(IsPro,IF($D1343="","",IFERROR(INDEX(Items!$F$5:$F$504,Q1343),0)),"")</f>
        <v/>
      </c>
      <c r="M1343" s="61" t="str">
        <f aca="false">IF(IsPro,IF($D1343="","",IF(AND(R1343&lt;&gt;"",INDEX(Parties!$E$5:$E$304,R1343)&lt;&gt;"",INDEX(Parties!$E$5:$E$304,R1343)&lt;&gt;HomeState),0,ROUND(K1343*L1343/2,2))),"")</f>
        <v/>
      </c>
      <c r="N1343" s="61" t="str">
        <f aca="false">IF(IsPro,IF($D1343="","",M1343),"")</f>
        <v/>
      </c>
      <c r="O1343" s="61" t="str">
        <f aca="false">IF(IsPro,IF($D1343="","",IF(AND(R1343&lt;&gt;"",INDEX(Parties!$E$5:$E$304,R1343)&lt;&gt;"",INDEX(Parties!$E$5:$E$304,R1343)&lt;&gt;HomeState),ROUND(K1343*L1343,2),0)),"")</f>
        <v/>
      </c>
      <c r="P1343" s="61" t="str">
        <f aca="false">IF(IsPro,IF($D1343="","",K1343+M1343+N1343+O1343),"")</f>
        <v/>
      </c>
      <c r="Q1343" s="60" t="str">
        <f aca="false">IF(IsPro,IF($D1343="","",IFERROR(MATCH($D1343,Items!$A$5:$A$504,0),"")),"")</f>
        <v/>
      </c>
      <c r="R1343" s="60" t="str">
        <f aca="false">IF(IsPro,IF($C1343="","",IFERROR(MATCH($C1343,Parties!$A$5:$A$304,0),"")),"")</f>
        <v/>
      </c>
      <c r="S1343" s="61" t="str">
        <f aca="false">IF(IsPro,IF($D1343="","",IF(OR($H1343="",$H1343="Credit"),0,P1343)),"")</f>
        <v/>
      </c>
    </row>
    <row r="1344" customFormat="false" ht="15" hidden="false" customHeight="false" outlineLevel="0" collapsed="false">
      <c r="A1344" s="55"/>
      <c r="B1344" s="56"/>
      <c r="C1344" s="56"/>
      <c r="D1344" s="56"/>
      <c r="E1344" s="57"/>
      <c r="F1344" s="58"/>
      <c r="G1344" s="59"/>
      <c r="H1344" s="56"/>
      <c r="I1344" s="60" t="str">
        <f aca="false">IF(IsPro,IF($D1344="","",IFERROR(INDEX(Items!$D$5:$D$504,Q1344),"")),IF($D1344="","","PRO PLAN"))</f>
        <v/>
      </c>
      <c r="J1344" s="61" t="str">
        <f aca="false">IF(IsPro,IF($D1344="","",IF($F1344="",IFERROR(INDEX(Items!$G$5:$G$504,Q1344),0),$F1344)),"")</f>
        <v/>
      </c>
      <c r="K1344" s="61" t="str">
        <f aca="false">IF(IsPro,IF($D1344="","",ROUND(N($E1344)*J1344*(1-N($G1344)),2)),"")</f>
        <v/>
      </c>
      <c r="L1344" s="62" t="str">
        <f aca="false">IF(IsPro,IF($D1344="","",IFERROR(INDEX(Items!$F$5:$F$504,Q1344),0)),"")</f>
        <v/>
      </c>
      <c r="M1344" s="61" t="str">
        <f aca="false">IF(IsPro,IF($D1344="","",IF(AND(R1344&lt;&gt;"",INDEX(Parties!$E$5:$E$304,R1344)&lt;&gt;"",INDEX(Parties!$E$5:$E$304,R1344)&lt;&gt;HomeState),0,ROUND(K1344*L1344/2,2))),"")</f>
        <v/>
      </c>
      <c r="N1344" s="61" t="str">
        <f aca="false">IF(IsPro,IF($D1344="","",M1344),"")</f>
        <v/>
      </c>
      <c r="O1344" s="61" t="str">
        <f aca="false">IF(IsPro,IF($D1344="","",IF(AND(R1344&lt;&gt;"",INDEX(Parties!$E$5:$E$304,R1344)&lt;&gt;"",INDEX(Parties!$E$5:$E$304,R1344)&lt;&gt;HomeState),ROUND(K1344*L1344,2),0)),"")</f>
        <v/>
      </c>
      <c r="P1344" s="61" t="str">
        <f aca="false">IF(IsPro,IF($D1344="","",K1344+M1344+N1344+O1344),"")</f>
        <v/>
      </c>
      <c r="Q1344" s="60" t="str">
        <f aca="false">IF(IsPro,IF($D1344="","",IFERROR(MATCH($D1344,Items!$A$5:$A$504,0),"")),"")</f>
        <v/>
      </c>
      <c r="R1344" s="60" t="str">
        <f aca="false">IF(IsPro,IF($C1344="","",IFERROR(MATCH($C1344,Parties!$A$5:$A$304,0),"")),"")</f>
        <v/>
      </c>
      <c r="S1344" s="61" t="str">
        <f aca="false">IF(IsPro,IF($D1344="","",IF(OR($H1344="",$H1344="Credit"),0,P1344)),"")</f>
        <v/>
      </c>
    </row>
    <row r="1345" customFormat="false" ht="15" hidden="false" customHeight="false" outlineLevel="0" collapsed="false">
      <c r="A1345" s="55"/>
      <c r="B1345" s="56"/>
      <c r="C1345" s="56"/>
      <c r="D1345" s="56"/>
      <c r="E1345" s="57"/>
      <c r="F1345" s="58"/>
      <c r="G1345" s="59"/>
      <c r="H1345" s="56"/>
      <c r="I1345" s="60" t="str">
        <f aca="false">IF(IsPro,IF($D1345="","",IFERROR(INDEX(Items!$D$5:$D$504,Q1345),"")),IF($D1345="","","PRO PLAN"))</f>
        <v/>
      </c>
      <c r="J1345" s="61" t="str">
        <f aca="false">IF(IsPro,IF($D1345="","",IF($F1345="",IFERROR(INDEX(Items!$G$5:$G$504,Q1345),0),$F1345)),"")</f>
        <v/>
      </c>
      <c r="K1345" s="61" t="str">
        <f aca="false">IF(IsPro,IF($D1345="","",ROUND(N($E1345)*J1345*(1-N($G1345)),2)),"")</f>
        <v/>
      </c>
      <c r="L1345" s="62" t="str">
        <f aca="false">IF(IsPro,IF($D1345="","",IFERROR(INDEX(Items!$F$5:$F$504,Q1345),0)),"")</f>
        <v/>
      </c>
      <c r="M1345" s="61" t="str">
        <f aca="false">IF(IsPro,IF($D1345="","",IF(AND(R1345&lt;&gt;"",INDEX(Parties!$E$5:$E$304,R1345)&lt;&gt;"",INDEX(Parties!$E$5:$E$304,R1345)&lt;&gt;HomeState),0,ROUND(K1345*L1345/2,2))),"")</f>
        <v/>
      </c>
      <c r="N1345" s="61" t="str">
        <f aca="false">IF(IsPro,IF($D1345="","",M1345),"")</f>
        <v/>
      </c>
      <c r="O1345" s="61" t="str">
        <f aca="false">IF(IsPro,IF($D1345="","",IF(AND(R1345&lt;&gt;"",INDEX(Parties!$E$5:$E$304,R1345)&lt;&gt;"",INDEX(Parties!$E$5:$E$304,R1345)&lt;&gt;HomeState),ROUND(K1345*L1345,2),0)),"")</f>
        <v/>
      </c>
      <c r="P1345" s="61" t="str">
        <f aca="false">IF(IsPro,IF($D1345="","",K1345+M1345+N1345+O1345),"")</f>
        <v/>
      </c>
      <c r="Q1345" s="60" t="str">
        <f aca="false">IF(IsPro,IF($D1345="","",IFERROR(MATCH($D1345,Items!$A$5:$A$504,0),"")),"")</f>
        <v/>
      </c>
      <c r="R1345" s="60" t="str">
        <f aca="false">IF(IsPro,IF($C1345="","",IFERROR(MATCH($C1345,Parties!$A$5:$A$304,0),"")),"")</f>
        <v/>
      </c>
      <c r="S1345" s="61" t="str">
        <f aca="false">IF(IsPro,IF($D1345="","",IF(OR($H1345="",$H1345="Credit"),0,P1345)),"")</f>
        <v/>
      </c>
    </row>
    <row r="1346" customFormat="false" ht="15" hidden="false" customHeight="false" outlineLevel="0" collapsed="false">
      <c r="A1346" s="55"/>
      <c r="B1346" s="56"/>
      <c r="C1346" s="56"/>
      <c r="D1346" s="56"/>
      <c r="E1346" s="57"/>
      <c r="F1346" s="58"/>
      <c r="G1346" s="59"/>
      <c r="H1346" s="56"/>
      <c r="I1346" s="60" t="str">
        <f aca="false">IF(IsPro,IF($D1346="","",IFERROR(INDEX(Items!$D$5:$D$504,Q1346),"")),IF($D1346="","","PRO PLAN"))</f>
        <v/>
      </c>
      <c r="J1346" s="61" t="str">
        <f aca="false">IF(IsPro,IF($D1346="","",IF($F1346="",IFERROR(INDEX(Items!$G$5:$G$504,Q1346),0),$F1346)),"")</f>
        <v/>
      </c>
      <c r="K1346" s="61" t="str">
        <f aca="false">IF(IsPro,IF($D1346="","",ROUND(N($E1346)*J1346*(1-N($G1346)),2)),"")</f>
        <v/>
      </c>
      <c r="L1346" s="62" t="str">
        <f aca="false">IF(IsPro,IF($D1346="","",IFERROR(INDEX(Items!$F$5:$F$504,Q1346),0)),"")</f>
        <v/>
      </c>
      <c r="M1346" s="61" t="str">
        <f aca="false">IF(IsPro,IF($D1346="","",IF(AND(R1346&lt;&gt;"",INDEX(Parties!$E$5:$E$304,R1346)&lt;&gt;"",INDEX(Parties!$E$5:$E$304,R1346)&lt;&gt;HomeState),0,ROUND(K1346*L1346/2,2))),"")</f>
        <v/>
      </c>
      <c r="N1346" s="61" t="str">
        <f aca="false">IF(IsPro,IF($D1346="","",M1346),"")</f>
        <v/>
      </c>
      <c r="O1346" s="61" t="str">
        <f aca="false">IF(IsPro,IF($D1346="","",IF(AND(R1346&lt;&gt;"",INDEX(Parties!$E$5:$E$304,R1346)&lt;&gt;"",INDEX(Parties!$E$5:$E$304,R1346)&lt;&gt;HomeState),ROUND(K1346*L1346,2),0)),"")</f>
        <v/>
      </c>
      <c r="P1346" s="61" t="str">
        <f aca="false">IF(IsPro,IF($D1346="","",K1346+M1346+N1346+O1346),"")</f>
        <v/>
      </c>
      <c r="Q1346" s="60" t="str">
        <f aca="false">IF(IsPro,IF($D1346="","",IFERROR(MATCH($D1346,Items!$A$5:$A$504,0),"")),"")</f>
        <v/>
      </c>
      <c r="R1346" s="60" t="str">
        <f aca="false">IF(IsPro,IF($C1346="","",IFERROR(MATCH($C1346,Parties!$A$5:$A$304,0),"")),"")</f>
        <v/>
      </c>
      <c r="S1346" s="61" t="str">
        <f aca="false">IF(IsPro,IF($D1346="","",IF(OR($H1346="",$H1346="Credit"),0,P1346)),"")</f>
        <v/>
      </c>
    </row>
    <row r="1347" customFormat="false" ht="15" hidden="false" customHeight="false" outlineLevel="0" collapsed="false">
      <c r="A1347" s="55"/>
      <c r="B1347" s="56"/>
      <c r="C1347" s="56"/>
      <c r="D1347" s="56"/>
      <c r="E1347" s="57"/>
      <c r="F1347" s="58"/>
      <c r="G1347" s="59"/>
      <c r="H1347" s="56"/>
      <c r="I1347" s="60" t="str">
        <f aca="false">IF(IsPro,IF($D1347="","",IFERROR(INDEX(Items!$D$5:$D$504,Q1347),"")),IF($D1347="","","PRO PLAN"))</f>
        <v/>
      </c>
      <c r="J1347" s="61" t="str">
        <f aca="false">IF(IsPro,IF($D1347="","",IF($F1347="",IFERROR(INDEX(Items!$G$5:$G$504,Q1347),0),$F1347)),"")</f>
        <v/>
      </c>
      <c r="K1347" s="61" t="str">
        <f aca="false">IF(IsPro,IF($D1347="","",ROUND(N($E1347)*J1347*(1-N($G1347)),2)),"")</f>
        <v/>
      </c>
      <c r="L1347" s="62" t="str">
        <f aca="false">IF(IsPro,IF($D1347="","",IFERROR(INDEX(Items!$F$5:$F$504,Q1347),0)),"")</f>
        <v/>
      </c>
      <c r="M1347" s="61" t="str">
        <f aca="false">IF(IsPro,IF($D1347="","",IF(AND(R1347&lt;&gt;"",INDEX(Parties!$E$5:$E$304,R1347)&lt;&gt;"",INDEX(Parties!$E$5:$E$304,R1347)&lt;&gt;HomeState),0,ROUND(K1347*L1347/2,2))),"")</f>
        <v/>
      </c>
      <c r="N1347" s="61" t="str">
        <f aca="false">IF(IsPro,IF($D1347="","",M1347),"")</f>
        <v/>
      </c>
      <c r="O1347" s="61" t="str">
        <f aca="false">IF(IsPro,IF($D1347="","",IF(AND(R1347&lt;&gt;"",INDEX(Parties!$E$5:$E$304,R1347)&lt;&gt;"",INDEX(Parties!$E$5:$E$304,R1347)&lt;&gt;HomeState),ROUND(K1347*L1347,2),0)),"")</f>
        <v/>
      </c>
      <c r="P1347" s="61" t="str">
        <f aca="false">IF(IsPro,IF($D1347="","",K1347+M1347+N1347+O1347),"")</f>
        <v/>
      </c>
      <c r="Q1347" s="60" t="str">
        <f aca="false">IF(IsPro,IF($D1347="","",IFERROR(MATCH($D1347,Items!$A$5:$A$504,0),"")),"")</f>
        <v/>
      </c>
      <c r="R1347" s="60" t="str">
        <f aca="false">IF(IsPro,IF($C1347="","",IFERROR(MATCH($C1347,Parties!$A$5:$A$304,0),"")),"")</f>
        <v/>
      </c>
      <c r="S1347" s="61" t="str">
        <f aca="false">IF(IsPro,IF($D1347="","",IF(OR($H1347="",$H1347="Credit"),0,P1347)),"")</f>
        <v/>
      </c>
    </row>
    <row r="1348" customFormat="false" ht="15" hidden="false" customHeight="false" outlineLevel="0" collapsed="false">
      <c r="A1348" s="55"/>
      <c r="B1348" s="56"/>
      <c r="C1348" s="56"/>
      <c r="D1348" s="56"/>
      <c r="E1348" s="57"/>
      <c r="F1348" s="58"/>
      <c r="G1348" s="59"/>
      <c r="H1348" s="56"/>
      <c r="I1348" s="60" t="str">
        <f aca="false">IF(IsPro,IF($D1348="","",IFERROR(INDEX(Items!$D$5:$D$504,Q1348),"")),IF($D1348="","","PRO PLAN"))</f>
        <v/>
      </c>
      <c r="J1348" s="61" t="str">
        <f aca="false">IF(IsPro,IF($D1348="","",IF($F1348="",IFERROR(INDEX(Items!$G$5:$G$504,Q1348),0),$F1348)),"")</f>
        <v/>
      </c>
      <c r="K1348" s="61" t="str">
        <f aca="false">IF(IsPro,IF($D1348="","",ROUND(N($E1348)*J1348*(1-N($G1348)),2)),"")</f>
        <v/>
      </c>
      <c r="L1348" s="62" t="str">
        <f aca="false">IF(IsPro,IF($D1348="","",IFERROR(INDEX(Items!$F$5:$F$504,Q1348),0)),"")</f>
        <v/>
      </c>
      <c r="M1348" s="61" t="str">
        <f aca="false">IF(IsPro,IF($D1348="","",IF(AND(R1348&lt;&gt;"",INDEX(Parties!$E$5:$E$304,R1348)&lt;&gt;"",INDEX(Parties!$E$5:$E$304,R1348)&lt;&gt;HomeState),0,ROUND(K1348*L1348/2,2))),"")</f>
        <v/>
      </c>
      <c r="N1348" s="61" t="str">
        <f aca="false">IF(IsPro,IF($D1348="","",M1348),"")</f>
        <v/>
      </c>
      <c r="O1348" s="61" t="str">
        <f aca="false">IF(IsPro,IF($D1348="","",IF(AND(R1348&lt;&gt;"",INDEX(Parties!$E$5:$E$304,R1348)&lt;&gt;"",INDEX(Parties!$E$5:$E$304,R1348)&lt;&gt;HomeState),ROUND(K1348*L1348,2),0)),"")</f>
        <v/>
      </c>
      <c r="P1348" s="61" t="str">
        <f aca="false">IF(IsPro,IF($D1348="","",K1348+M1348+N1348+O1348),"")</f>
        <v/>
      </c>
      <c r="Q1348" s="60" t="str">
        <f aca="false">IF(IsPro,IF($D1348="","",IFERROR(MATCH($D1348,Items!$A$5:$A$504,0),"")),"")</f>
        <v/>
      </c>
      <c r="R1348" s="60" t="str">
        <f aca="false">IF(IsPro,IF($C1348="","",IFERROR(MATCH($C1348,Parties!$A$5:$A$304,0),"")),"")</f>
        <v/>
      </c>
      <c r="S1348" s="61" t="str">
        <f aca="false">IF(IsPro,IF($D1348="","",IF(OR($H1348="",$H1348="Credit"),0,P1348)),"")</f>
        <v/>
      </c>
    </row>
    <row r="1349" customFormat="false" ht="15" hidden="false" customHeight="false" outlineLevel="0" collapsed="false">
      <c r="A1349" s="55"/>
      <c r="B1349" s="56"/>
      <c r="C1349" s="56"/>
      <c r="D1349" s="56"/>
      <c r="E1349" s="57"/>
      <c r="F1349" s="58"/>
      <c r="G1349" s="59"/>
      <c r="H1349" s="56"/>
      <c r="I1349" s="60" t="str">
        <f aca="false">IF(IsPro,IF($D1349="","",IFERROR(INDEX(Items!$D$5:$D$504,Q1349),"")),IF($D1349="","","PRO PLAN"))</f>
        <v/>
      </c>
      <c r="J1349" s="61" t="str">
        <f aca="false">IF(IsPro,IF($D1349="","",IF($F1349="",IFERROR(INDEX(Items!$G$5:$G$504,Q1349),0),$F1349)),"")</f>
        <v/>
      </c>
      <c r="K1349" s="61" t="str">
        <f aca="false">IF(IsPro,IF($D1349="","",ROUND(N($E1349)*J1349*(1-N($G1349)),2)),"")</f>
        <v/>
      </c>
      <c r="L1349" s="62" t="str">
        <f aca="false">IF(IsPro,IF($D1349="","",IFERROR(INDEX(Items!$F$5:$F$504,Q1349),0)),"")</f>
        <v/>
      </c>
      <c r="M1349" s="61" t="str">
        <f aca="false">IF(IsPro,IF($D1349="","",IF(AND(R1349&lt;&gt;"",INDEX(Parties!$E$5:$E$304,R1349)&lt;&gt;"",INDEX(Parties!$E$5:$E$304,R1349)&lt;&gt;HomeState),0,ROUND(K1349*L1349/2,2))),"")</f>
        <v/>
      </c>
      <c r="N1349" s="61" t="str">
        <f aca="false">IF(IsPro,IF($D1349="","",M1349),"")</f>
        <v/>
      </c>
      <c r="O1349" s="61" t="str">
        <f aca="false">IF(IsPro,IF($D1349="","",IF(AND(R1349&lt;&gt;"",INDEX(Parties!$E$5:$E$304,R1349)&lt;&gt;"",INDEX(Parties!$E$5:$E$304,R1349)&lt;&gt;HomeState),ROUND(K1349*L1349,2),0)),"")</f>
        <v/>
      </c>
      <c r="P1349" s="61" t="str">
        <f aca="false">IF(IsPro,IF($D1349="","",K1349+M1349+N1349+O1349),"")</f>
        <v/>
      </c>
      <c r="Q1349" s="60" t="str">
        <f aca="false">IF(IsPro,IF($D1349="","",IFERROR(MATCH($D1349,Items!$A$5:$A$504,0),"")),"")</f>
        <v/>
      </c>
      <c r="R1349" s="60" t="str">
        <f aca="false">IF(IsPro,IF($C1349="","",IFERROR(MATCH($C1349,Parties!$A$5:$A$304,0),"")),"")</f>
        <v/>
      </c>
      <c r="S1349" s="61" t="str">
        <f aca="false">IF(IsPro,IF($D1349="","",IF(OR($H1349="",$H1349="Credit"),0,P1349)),"")</f>
        <v/>
      </c>
    </row>
    <row r="1350" customFormat="false" ht="15" hidden="false" customHeight="false" outlineLevel="0" collapsed="false">
      <c r="A1350" s="55"/>
      <c r="B1350" s="56"/>
      <c r="C1350" s="56"/>
      <c r="D1350" s="56"/>
      <c r="E1350" s="57"/>
      <c r="F1350" s="58"/>
      <c r="G1350" s="59"/>
      <c r="H1350" s="56"/>
      <c r="I1350" s="60" t="str">
        <f aca="false">IF(IsPro,IF($D1350="","",IFERROR(INDEX(Items!$D$5:$D$504,Q1350),"")),IF($D1350="","","PRO PLAN"))</f>
        <v/>
      </c>
      <c r="J1350" s="61" t="str">
        <f aca="false">IF(IsPro,IF($D1350="","",IF($F1350="",IFERROR(INDEX(Items!$G$5:$G$504,Q1350),0),$F1350)),"")</f>
        <v/>
      </c>
      <c r="K1350" s="61" t="str">
        <f aca="false">IF(IsPro,IF($D1350="","",ROUND(N($E1350)*J1350*(1-N($G1350)),2)),"")</f>
        <v/>
      </c>
      <c r="L1350" s="62" t="str">
        <f aca="false">IF(IsPro,IF($D1350="","",IFERROR(INDEX(Items!$F$5:$F$504,Q1350),0)),"")</f>
        <v/>
      </c>
      <c r="M1350" s="61" t="str">
        <f aca="false">IF(IsPro,IF($D1350="","",IF(AND(R1350&lt;&gt;"",INDEX(Parties!$E$5:$E$304,R1350)&lt;&gt;"",INDEX(Parties!$E$5:$E$304,R1350)&lt;&gt;HomeState),0,ROUND(K1350*L1350/2,2))),"")</f>
        <v/>
      </c>
      <c r="N1350" s="61" t="str">
        <f aca="false">IF(IsPro,IF($D1350="","",M1350),"")</f>
        <v/>
      </c>
      <c r="O1350" s="61" t="str">
        <f aca="false">IF(IsPro,IF($D1350="","",IF(AND(R1350&lt;&gt;"",INDEX(Parties!$E$5:$E$304,R1350)&lt;&gt;"",INDEX(Parties!$E$5:$E$304,R1350)&lt;&gt;HomeState),ROUND(K1350*L1350,2),0)),"")</f>
        <v/>
      </c>
      <c r="P1350" s="61" t="str">
        <f aca="false">IF(IsPro,IF($D1350="","",K1350+M1350+N1350+O1350),"")</f>
        <v/>
      </c>
      <c r="Q1350" s="60" t="str">
        <f aca="false">IF(IsPro,IF($D1350="","",IFERROR(MATCH($D1350,Items!$A$5:$A$504,0),"")),"")</f>
        <v/>
      </c>
      <c r="R1350" s="60" t="str">
        <f aca="false">IF(IsPro,IF($C1350="","",IFERROR(MATCH($C1350,Parties!$A$5:$A$304,0),"")),"")</f>
        <v/>
      </c>
      <c r="S1350" s="61" t="str">
        <f aca="false">IF(IsPro,IF($D1350="","",IF(OR($H1350="",$H1350="Credit"),0,P1350)),"")</f>
        <v/>
      </c>
    </row>
    <row r="1351" customFormat="false" ht="15" hidden="false" customHeight="false" outlineLevel="0" collapsed="false">
      <c r="A1351" s="55"/>
      <c r="B1351" s="56"/>
      <c r="C1351" s="56"/>
      <c r="D1351" s="56"/>
      <c r="E1351" s="57"/>
      <c r="F1351" s="58"/>
      <c r="G1351" s="59"/>
      <c r="H1351" s="56"/>
      <c r="I1351" s="60" t="str">
        <f aca="false">IF(IsPro,IF($D1351="","",IFERROR(INDEX(Items!$D$5:$D$504,Q1351),"")),IF($D1351="","","PRO PLAN"))</f>
        <v/>
      </c>
      <c r="J1351" s="61" t="str">
        <f aca="false">IF(IsPro,IF($D1351="","",IF($F1351="",IFERROR(INDEX(Items!$G$5:$G$504,Q1351),0),$F1351)),"")</f>
        <v/>
      </c>
      <c r="K1351" s="61" t="str">
        <f aca="false">IF(IsPro,IF($D1351="","",ROUND(N($E1351)*J1351*(1-N($G1351)),2)),"")</f>
        <v/>
      </c>
      <c r="L1351" s="62" t="str">
        <f aca="false">IF(IsPro,IF($D1351="","",IFERROR(INDEX(Items!$F$5:$F$504,Q1351),0)),"")</f>
        <v/>
      </c>
      <c r="M1351" s="61" t="str">
        <f aca="false">IF(IsPro,IF($D1351="","",IF(AND(R1351&lt;&gt;"",INDEX(Parties!$E$5:$E$304,R1351)&lt;&gt;"",INDEX(Parties!$E$5:$E$304,R1351)&lt;&gt;HomeState),0,ROUND(K1351*L1351/2,2))),"")</f>
        <v/>
      </c>
      <c r="N1351" s="61" t="str">
        <f aca="false">IF(IsPro,IF($D1351="","",M1351),"")</f>
        <v/>
      </c>
      <c r="O1351" s="61" t="str">
        <f aca="false">IF(IsPro,IF($D1351="","",IF(AND(R1351&lt;&gt;"",INDEX(Parties!$E$5:$E$304,R1351)&lt;&gt;"",INDEX(Parties!$E$5:$E$304,R1351)&lt;&gt;HomeState),ROUND(K1351*L1351,2),0)),"")</f>
        <v/>
      </c>
      <c r="P1351" s="61" t="str">
        <f aca="false">IF(IsPro,IF($D1351="","",K1351+M1351+N1351+O1351),"")</f>
        <v/>
      </c>
      <c r="Q1351" s="60" t="str">
        <f aca="false">IF(IsPro,IF($D1351="","",IFERROR(MATCH($D1351,Items!$A$5:$A$504,0),"")),"")</f>
        <v/>
      </c>
      <c r="R1351" s="60" t="str">
        <f aca="false">IF(IsPro,IF($C1351="","",IFERROR(MATCH($C1351,Parties!$A$5:$A$304,0),"")),"")</f>
        <v/>
      </c>
      <c r="S1351" s="61" t="str">
        <f aca="false">IF(IsPro,IF($D1351="","",IF(OR($H1351="",$H1351="Credit"),0,P1351)),"")</f>
        <v/>
      </c>
    </row>
    <row r="1352" customFormat="false" ht="15" hidden="false" customHeight="false" outlineLevel="0" collapsed="false">
      <c r="A1352" s="55"/>
      <c r="B1352" s="56"/>
      <c r="C1352" s="56"/>
      <c r="D1352" s="56"/>
      <c r="E1352" s="57"/>
      <c r="F1352" s="58"/>
      <c r="G1352" s="59"/>
      <c r="H1352" s="56"/>
      <c r="I1352" s="60" t="str">
        <f aca="false">IF(IsPro,IF($D1352="","",IFERROR(INDEX(Items!$D$5:$D$504,Q1352),"")),IF($D1352="","","PRO PLAN"))</f>
        <v/>
      </c>
      <c r="J1352" s="61" t="str">
        <f aca="false">IF(IsPro,IF($D1352="","",IF($F1352="",IFERROR(INDEX(Items!$G$5:$G$504,Q1352),0),$F1352)),"")</f>
        <v/>
      </c>
      <c r="K1352" s="61" t="str">
        <f aca="false">IF(IsPro,IF($D1352="","",ROUND(N($E1352)*J1352*(1-N($G1352)),2)),"")</f>
        <v/>
      </c>
      <c r="L1352" s="62" t="str">
        <f aca="false">IF(IsPro,IF($D1352="","",IFERROR(INDEX(Items!$F$5:$F$504,Q1352),0)),"")</f>
        <v/>
      </c>
      <c r="M1352" s="61" t="str">
        <f aca="false">IF(IsPro,IF($D1352="","",IF(AND(R1352&lt;&gt;"",INDEX(Parties!$E$5:$E$304,R1352)&lt;&gt;"",INDEX(Parties!$E$5:$E$304,R1352)&lt;&gt;HomeState),0,ROUND(K1352*L1352/2,2))),"")</f>
        <v/>
      </c>
      <c r="N1352" s="61" t="str">
        <f aca="false">IF(IsPro,IF($D1352="","",M1352),"")</f>
        <v/>
      </c>
      <c r="O1352" s="61" t="str">
        <f aca="false">IF(IsPro,IF($D1352="","",IF(AND(R1352&lt;&gt;"",INDEX(Parties!$E$5:$E$304,R1352)&lt;&gt;"",INDEX(Parties!$E$5:$E$304,R1352)&lt;&gt;HomeState),ROUND(K1352*L1352,2),0)),"")</f>
        <v/>
      </c>
      <c r="P1352" s="61" t="str">
        <f aca="false">IF(IsPro,IF($D1352="","",K1352+M1352+N1352+O1352),"")</f>
        <v/>
      </c>
      <c r="Q1352" s="60" t="str">
        <f aca="false">IF(IsPro,IF($D1352="","",IFERROR(MATCH($D1352,Items!$A$5:$A$504,0),"")),"")</f>
        <v/>
      </c>
      <c r="R1352" s="60" t="str">
        <f aca="false">IF(IsPro,IF($C1352="","",IFERROR(MATCH($C1352,Parties!$A$5:$A$304,0),"")),"")</f>
        <v/>
      </c>
      <c r="S1352" s="61" t="str">
        <f aca="false">IF(IsPro,IF($D1352="","",IF(OR($H1352="",$H1352="Credit"),0,P1352)),"")</f>
        <v/>
      </c>
    </row>
    <row r="1353" customFormat="false" ht="15" hidden="false" customHeight="false" outlineLevel="0" collapsed="false">
      <c r="A1353" s="55"/>
      <c r="B1353" s="56"/>
      <c r="C1353" s="56"/>
      <c r="D1353" s="56"/>
      <c r="E1353" s="57"/>
      <c r="F1353" s="58"/>
      <c r="G1353" s="59"/>
      <c r="H1353" s="56"/>
      <c r="I1353" s="60" t="str">
        <f aca="false">IF(IsPro,IF($D1353="","",IFERROR(INDEX(Items!$D$5:$D$504,Q1353),"")),IF($D1353="","","PRO PLAN"))</f>
        <v/>
      </c>
      <c r="J1353" s="61" t="str">
        <f aca="false">IF(IsPro,IF($D1353="","",IF($F1353="",IFERROR(INDEX(Items!$G$5:$G$504,Q1353),0),$F1353)),"")</f>
        <v/>
      </c>
      <c r="K1353" s="61" t="str">
        <f aca="false">IF(IsPro,IF($D1353="","",ROUND(N($E1353)*J1353*(1-N($G1353)),2)),"")</f>
        <v/>
      </c>
      <c r="L1353" s="62" t="str">
        <f aca="false">IF(IsPro,IF($D1353="","",IFERROR(INDEX(Items!$F$5:$F$504,Q1353),0)),"")</f>
        <v/>
      </c>
      <c r="M1353" s="61" t="str">
        <f aca="false">IF(IsPro,IF($D1353="","",IF(AND(R1353&lt;&gt;"",INDEX(Parties!$E$5:$E$304,R1353)&lt;&gt;"",INDEX(Parties!$E$5:$E$304,R1353)&lt;&gt;HomeState),0,ROUND(K1353*L1353/2,2))),"")</f>
        <v/>
      </c>
      <c r="N1353" s="61" t="str">
        <f aca="false">IF(IsPro,IF($D1353="","",M1353),"")</f>
        <v/>
      </c>
      <c r="O1353" s="61" t="str">
        <f aca="false">IF(IsPro,IF($D1353="","",IF(AND(R1353&lt;&gt;"",INDEX(Parties!$E$5:$E$304,R1353)&lt;&gt;"",INDEX(Parties!$E$5:$E$304,R1353)&lt;&gt;HomeState),ROUND(K1353*L1353,2),0)),"")</f>
        <v/>
      </c>
      <c r="P1353" s="61" t="str">
        <f aca="false">IF(IsPro,IF($D1353="","",K1353+M1353+N1353+O1353),"")</f>
        <v/>
      </c>
      <c r="Q1353" s="60" t="str">
        <f aca="false">IF(IsPro,IF($D1353="","",IFERROR(MATCH($D1353,Items!$A$5:$A$504,0),"")),"")</f>
        <v/>
      </c>
      <c r="R1353" s="60" t="str">
        <f aca="false">IF(IsPro,IF($C1353="","",IFERROR(MATCH($C1353,Parties!$A$5:$A$304,0),"")),"")</f>
        <v/>
      </c>
      <c r="S1353" s="61" t="str">
        <f aca="false">IF(IsPro,IF($D1353="","",IF(OR($H1353="",$H1353="Credit"),0,P1353)),"")</f>
        <v/>
      </c>
    </row>
    <row r="1354" customFormat="false" ht="15" hidden="false" customHeight="false" outlineLevel="0" collapsed="false">
      <c r="A1354" s="55"/>
      <c r="B1354" s="56"/>
      <c r="C1354" s="56"/>
      <c r="D1354" s="56"/>
      <c r="E1354" s="57"/>
      <c r="F1354" s="58"/>
      <c r="G1354" s="59"/>
      <c r="H1354" s="56"/>
      <c r="I1354" s="60" t="str">
        <f aca="false">IF(IsPro,IF($D1354="","",IFERROR(INDEX(Items!$D$5:$D$504,Q1354),"")),IF($D1354="","","PRO PLAN"))</f>
        <v/>
      </c>
      <c r="J1354" s="61" t="str">
        <f aca="false">IF(IsPro,IF($D1354="","",IF($F1354="",IFERROR(INDEX(Items!$G$5:$G$504,Q1354),0),$F1354)),"")</f>
        <v/>
      </c>
      <c r="K1354" s="61" t="str">
        <f aca="false">IF(IsPro,IF($D1354="","",ROUND(N($E1354)*J1354*(1-N($G1354)),2)),"")</f>
        <v/>
      </c>
      <c r="L1354" s="62" t="str">
        <f aca="false">IF(IsPro,IF($D1354="","",IFERROR(INDEX(Items!$F$5:$F$504,Q1354),0)),"")</f>
        <v/>
      </c>
      <c r="M1354" s="61" t="str">
        <f aca="false">IF(IsPro,IF($D1354="","",IF(AND(R1354&lt;&gt;"",INDEX(Parties!$E$5:$E$304,R1354)&lt;&gt;"",INDEX(Parties!$E$5:$E$304,R1354)&lt;&gt;HomeState),0,ROUND(K1354*L1354/2,2))),"")</f>
        <v/>
      </c>
      <c r="N1354" s="61" t="str">
        <f aca="false">IF(IsPro,IF($D1354="","",M1354),"")</f>
        <v/>
      </c>
      <c r="O1354" s="61" t="str">
        <f aca="false">IF(IsPro,IF($D1354="","",IF(AND(R1354&lt;&gt;"",INDEX(Parties!$E$5:$E$304,R1354)&lt;&gt;"",INDEX(Parties!$E$5:$E$304,R1354)&lt;&gt;HomeState),ROUND(K1354*L1354,2),0)),"")</f>
        <v/>
      </c>
      <c r="P1354" s="61" t="str">
        <f aca="false">IF(IsPro,IF($D1354="","",K1354+M1354+N1354+O1354),"")</f>
        <v/>
      </c>
      <c r="Q1354" s="60" t="str">
        <f aca="false">IF(IsPro,IF($D1354="","",IFERROR(MATCH($D1354,Items!$A$5:$A$504,0),"")),"")</f>
        <v/>
      </c>
      <c r="R1354" s="60" t="str">
        <f aca="false">IF(IsPro,IF($C1354="","",IFERROR(MATCH($C1354,Parties!$A$5:$A$304,0),"")),"")</f>
        <v/>
      </c>
      <c r="S1354" s="61" t="str">
        <f aca="false">IF(IsPro,IF($D1354="","",IF(OR($H1354="",$H1354="Credit"),0,P1354)),"")</f>
        <v/>
      </c>
    </row>
    <row r="1355" customFormat="false" ht="15" hidden="false" customHeight="false" outlineLevel="0" collapsed="false">
      <c r="A1355" s="55"/>
      <c r="B1355" s="56"/>
      <c r="C1355" s="56"/>
      <c r="D1355" s="56"/>
      <c r="E1355" s="57"/>
      <c r="F1355" s="58"/>
      <c r="G1355" s="59"/>
      <c r="H1355" s="56"/>
      <c r="I1355" s="60" t="str">
        <f aca="false">IF(IsPro,IF($D1355="","",IFERROR(INDEX(Items!$D$5:$D$504,Q1355),"")),IF($D1355="","","PRO PLAN"))</f>
        <v/>
      </c>
      <c r="J1355" s="61" t="str">
        <f aca="false">IF(IsPro,IF($D1355="","",IF($F1355="",IFERROR(INDEX(Items!$G$5:$G$504,Q1355),0),$F1355)),"")</f>
        <v/>
      </c>
      <c r="K1355" s="61" t="str">
        <f aca="false">IF(IsPro,IF($D1355="","",ROUND(N($E1355)*J1355*(1-N($G1355)),2)),"")</f>
        <v/>
      </c>
      <c r="L1355" s="62" t="str">
        <f aca="false">IF(IsPro,IF($D1355="","",IFERROR(INDEX(Items!$F$5:$F$504,Q1355),0)),"")</f>
        <v/>
      </c>
      <c r="M1355" s="61" t="str">
        <f aca="false">IF(IsPro,IF($D1355="","",IF(AND(R1355&lt;&gt;"",INDEX(Parties!$E$5:$E$304,R1355)&lt;&gt;"",INDEX(Parties!$E$5:$E$304,R1355)&lt;&gt;HomeState),0,ROUND(K1355*L1355/2,2))),"")</f>
        <v/>
      </c>
      <c r="N1355" s="61" t="str">
        <f aca="false">IF(IsPro,IF($D1355="","",M1355),"")</f>
        <v/>
      </c>
      <c r="O1355" s="61" t="str">
        <f aca="false">IF(IsPro,IF($D1355="","",IF(AND(R1355&lt;&gt;"",INDEX(Parties!$E$5:$E$304,R1355)&lt;&gt;"",INDEX(Parties!$E$5:$E$304,R1355)&lt;&gt;HomeState),ROUND(K1355*L1355,2),0)),"")</f>
        <v/>
      </c>
      <c r="P1355" s="61" t="str">
        <f aca="false">IF(IsPro,IF($D1355="","",K1355+M1355+N1355+O1355),"")</f>
        <v/>
      </c>
      <c r="Q1355" s="60" t="str">
        <f aca="false">IF(IsPro,IF($D1355="","",IFERROR(MATCH($D1355,Items!$A$5:$A$504,0),"")),"")</f>
        <v/>
      </c>
      <c r="R1355" s="60" t="str">
        <f aca="false">IF(IsPro,IF($C1355="","",IFERROR(MATCH($C1355,Parties!$A$5:$A$304,0),"")),"")</f>
        <v/>
      </c>
      <c r="S1355" s="61" t="str">
        <f aca="false">IF(IsPro,IF($D1355="","",IF(OR($H1355="",$H1355="Credit"),0,P1355)),"")</f>
        <v/>
      </c>
    </row>
    <row r="1356" customFormat="false" ht="15" hidden="false" customHeight="false" outlineLevel="0" collapsed="false">
      <c r="A1356" s="55"/>
      <c r="B1356" s="56"/>
      <c r="C1356" s="56"/>
      <c r="D1356" s="56"/>
      <c r="E1356" s="57"/>
      <c r="F1356" s="58"/>
      <c r="G1356" s="59"/>
      <c r="H1356" s="56"/>
      <c r="I1356" s="60" t="str">
        <f aca="false">IF(IsPro,IF($D1356="","",IFERROR(INDEX(Items!$D$5:$D$504,Q1356),"")),IF($D1356="","","PRO PLAN"))</f>
        <v/>
      </c>
      <c r="J1356" s="61" t="str">
        <f aca="false">IF(IsPro,IF($D1356="","",IF($F1356="",IFERROR(INDEX(Items!$G$5:$G$504,Q1356),0),$F1356)),"")</f>
        <v/>
      </c>
      <c r="K1356" s="61" t="str">
        <f aca="false">IF(IsPro,IF($D1356="","",ROUND(N($E1356)*J1356*(1-N($G1356)),2)),"")</f>
        <v/>
      </c>
      <c r="L1356" s="62" t="str">
        <f aca="false">IF(IsPro,IF($D1356="","",IFERROR(INDEX(Items!$F$5:$F$504,Q1356),0)),"")</f>
        <v/>
      </c>
      <c r="M1356" s="61" t="str">
        <f aca="false">IF(IsPro,IF($D1356="","",IF(AND(R1356&lt;&gt;"",INDEX(Parties!$E$5:$E$304,R1356)&lt;&gt;"",INDEX(Parties!$E$5:$E$304,R1356)&lt;&gt;HomeState),0,ROUND(K1356*L1356/2,2))),"")</f>
        <v/>
      </c>
      <c r="N1356" s="61" t="str">
        <f aca="false">IF(IsPro,IF($D1356="","",M1356),"")</f>
        <v/>
      </c>
      <c r="O1356" s="61" t="str">
        <f aca="false">IF(IsPro,IF($D1356="","",IF(AND(R1356&lt;&gt;"",INDEX(Parties!$E$5:$E$304,R1356)&lt;&gt;"",INDEX(Parties!$E$5:$E$304,R1356)&lt;&gt;HomeState),ROUND(K1356*L1356,2),0)),"")</f>
        <v/>
      </c>
      <c r="P1356" s="61" t="str">
        <f aca="false">IF(IsPro,IF($D1356="","",K1356+M1356+N1356+O1356),"")</f>
        <v/>
      </c>
      <c r="Q1356" s="60" t="str">
        <f aca="false">IF(IsPro,IF($D1356="","",IFERROR(MATCH($D1356,Items!$A$5:$A$504,0),"")),"")</f>
        <v/>
      </c>
      <c r="R1356" s="60" t="str">
        <f aca="false">IF(IsPro,IF($C1356="","",IFERROR(MATCH($C1356,Parties!$A$5:$A$304,0),"")),"")</f>
        <v/>
      </c>
      <c r="S1356" s="61" t="str">
        <f aca="false">IF(IsPro,IF($D1356="","",IF(OR($H1356="",$H1356="Credit"),0,P1356)),"")</f>
        <v/>
      </c>
    </row>
    <row r="1357" customFormat="false" ht="15" hidden="false" customHeight="false" outlineLevel="0" collapsed="false">
      <c r="A1357" s="55"/>
      <c r="B1357" s="56"/>
      <c r="C1357" s="56"/>
      <c r="D1357" s="56"/>
      <c r="E1357" s="57"/>
      <c r="F1357" s="58"/>
      <c r="G1357" s="59"/>
      <c r="H1357" s="56"/>
      <c r="I1357" s="60" t="str">
        <f aca="false">IF(IsPro,IF($D1357="","",IFERROR(INDEX(Items!$D$5:$D$504,Q1357),"")),IF($D1357="","","PRO PLAN"))</f>
        <v/>
      </c>
      <c r="J1357" s="61" t="str">
        <f aca="false">IF(IsPro,IF($D1357="","",IF($F1357="",IFERROR(INDEX(Items!$G$5:$G$504,Q1357),0),$F1357)),"")</f>
        <v/>
      </c>
      <c r="K1357" s="61" t="str">
        <f aca="false">IF(IsPro,IF($D1357="","",ROUND(N($E1357)*J1357*(1-N($G1357)),2)),"")</f>
        <v/>
      </c>
      <c r="L1357" s="62" t="str">
        <f aca="false">IF(IsPro,IF($D1357="","",IFERROR(INDEX(Items!$F$5:$F$504,Q1357),0)),"")</f>
        <v/>
      </c>
      <c r="M1357" s="61" t="str">
        <f aca="false">IF(IsPro,IF($D1357="","",IF(AND(R1357&lt;&gt;"",INDEX(Parties!$E$5:$E$304,R1357)&lt;&gt;"",INDEX(Parties!$E$5:$E$304,R1357)&lt;&gt;HomeState),0,ROUND(K1357*L1357/2,2))),"")</f>
        <v/>
      </c>
      <c r="N1357" s="61" t="str">
        <f aca="false">IF(IsPro,IF($D1357="","",M1357),"")</f>
        <v/>
      </c>
      <c r="O1357" s="61" t="str">
        <f aca="false">IF(IsPro,IF($D1357="","",IF(AND(R1357&lt;&gt;"",INDEX(Parties!$E$5:$E$304,R1357)&lt;&gt;"",INDEX(Parties!$E$5:$E$304,R1357)&lt;&gt;HomeState),ROUND(K1357*L1357,2),0)),"")</f>
        <v/>
      </c>
      <c r="P1357" s="61" t="str">
        <f aca="false">IF(IsPro,IF($D1357="","",K1357+M1357+N1357+O1357),"")</f>
        <v/>
      </c>
      <c r="Q1357" s="60" t="str">
        <f aca="false">IF(IsPro,IF($D1357="","",IFERROR(MATCH($D1357,Items!$A$5:$A$504,0),"")),"")</f>
        <v/>
      </c>
      <c r="R1357" s="60" t="str">
        <f aca="false">IF(IsPro,IF($C1357="","",IFERROR(MATCH($C1357,Parties!$A$5:$A$304,0),"")),"")</f>
        <v/>
      </c>
      <c r="S1357" s="61" t="str">
        <f aca="false">IF(IsPro,IF($D1357="","",IF(OR($H1357="",$H1357="Credit"),0,P1357)),"")</f>
        <v/>
      </c>
    </row>
    <row r="1358" customFormat="false" ht="15" hidden="false" customHeight="false" outlineLevel="0" collapsed="false">
      <c r="A1358" s="55"/>
      <c r="B1358" s="56"/>
      <c r="C1358" s="56"/>
      <c r="D1358" s="56"/>
      <c r="E1358" s="57"/>
      <c r="F1358" s="58"/>
      <c r="G1358" s="59"/>
      <c r="H1358" s="56"/>
      <c r="I1358" s="60" t="str">
        <f aca="false">IF(IsPro,IF($D1358="","",IFERROR(INDEX(Items!$D$5:$D$504,Q1358),"")),IF($D1358="","","PRO PLAN"))</f>
        <v/>
      </c>
      <c r="J1358" s="61" t="str">
        <f aca="false">IF(IsPro,IF($D1358="","",IF($F1358="",IFERROR(INDEX(Items!$G$5:$G$504,Q1358),0),$F1358)),"")</f>
        <v/>
      </c>
      <c r="K1358" s="61" t="str">
        <f aca="false">IF(IsPro,IF($D1358="","",ROUND(N($E1358)*J1358*(1-N($G1358)),2)),"")</f>
        <v/>
      </c>
      <c r="L1358" s="62" t="str">
        <f aca="false">IF(IsPro,IF($D1358="","",IFERROR(INDEX(Items!$F$5:$F$504,Q1358),0)),"")</f>
        <v/>
      </c>
      <c r="M1358" s="61" t="str">
        <f aca="false">IF(IsPro,IF($D1358="","",IF(AND(R1358&lt;&gt;"",INDEX(Parties!$E$5:$E$304,R1358)&lt;&gt;"",INDEX(Parties!$E$5:$E$304,R1358)&lt;&gt;HomeState),0,ROUND(K1358*L1358/2,2))),"")</f>
        <v/>
      </c>
      <c r="N1358" s="61" t="str">
        <f aca="false">IF(IsPro,IF($D1358="","",M1358),"")</f>
        <v/>
      </c>
      <c r="O1358" s="61" t="str">
        <f aca="false">IF(IsPro,IF($D1358="","",IF(AND(R1358&lt;&gt;"",INDEX(Parties!$E$5:$E$304,R1358)&lt;&gt;"",INDEX(Parties!$E$5:$E$304,R1358)&lt;&gt;HomeState),ROUND(K1358*L1358,2),0)),"")</f>
        <v/>
      </c>
      <c r="P1358" s="61" t="str">
        <f aca="false">IF(IsPro,IF($D1358="","",K1358+M1358+N1358+O1358),"")</f>
        <v/>
      </c>
      <c r="Q1358" s="60" t="str">
        <f aca="false">IF(IsPro,IF($D1358="","",IFERROR(MATCH($D1358,Items!$A$5:$A$504,0),"")),"")</f>
        <v/>
      </c>
      <c r="R1358" s="60" t="str">
        <f aca="false">IF(IsPro,IF($C1358="","",IFERROR(MATCH($C1358,Parties!$A$5:$A$304,0),"")),"")</f>
        <v/>
      </c>
      <c r="S1358" s="61" t="str">
        <f aca="false">IF(IsPro,IF($D1358="","",IF(OR($H1358="",$H1358="Credit"),0,P1358)),"")</f>
        <v/>
      </c>
    </row>
    <row r="1359" customFormat="false" ht="15" hidden="false" customHeight="false" outlineLevel="0" collapsed="false">
      <c r="A1359" s="55"/>
      <c r="B1359" s="56"/>
      <c r="C1359" s="56"/>
      <c r="D1359" s="56"/>
      <c r="E1359" s="57"/>
      <c r="F1359" s="58"/>
      <c r="G1359" s="59"/>
      <c r="H1359" s="56"/>
      <c r="I1359" s="60" t="str">
        <f aca="false">IF(IsPro,IF($D1359="","",IFERROR(INDEX(Items!$D$5:$D$504,Q1359),"")),IF($D1359="","","PRO PLAN"))</f>
        <v/>
      </c>
      <c r="J1359" s="61" t="str">
        <f aca="false">IF(IsPro,IF($D1359="","",IF($F1359="",IFERROR(INDEX(Items!$G$5:$G$504,Q1359),0),$F1359)),"")</f>
        <v/>
      </c>
      <c r="K1359" s="61" t="str">
        <f aca="false">IF(IsPro,IF($D1359="","",ROUND(N($E1359)*J1359*(1-N($G1359)),2)),"")</f>
        <v/>
      </c>
      <c r="L1359" s="62" t="str">
        <f aca="false">IF(IsPro,IF($D1359="","",IFERROR(INDEX(Items!$F$5:$F$504,Q1359),0)),"")</f>
        <v/>
      </c>
      <c r="M1359" s="61" t="str">
        <f aca="false">IF(IsPro,IF($D1359="","",IF(AND(R1359&lt;&gt;"",INDEX(Parties!$E$5:$E$304,R1359)&lt;&gt;"",INDEX(Parties!$E$5:$E$304,R1359)&lt;&gt;HomeState),0,ROUND(K1359*L1359/2,2))),"")</f>
        <v/>
      </c>
      <c r="N1359" s="61" t="str">
        <f aca="false">IF(IsPro,IF($D1359="","",M1359),"")</f>
        <v/>
      </c>
      <c r="O1359" s="61" t="str">
        <f aca="false">IF(IsPro,IF($D1359="","",IF(AND(R1359&lt;&gt;"",INDEX(Parties!$E$5:$E$304,R1359)&lt;&gt;"",INDEX(Parties!$E$5:$E$304,R1359)&lt;&gt;HomeState),ROUND(K1359*L1359,2),0)),"")</f>
        <v/>
      </c>
      <c r="P1359" s="61" t="str">
        <f aca="false">IF(IsPro,IF($D1359="","",K1359+M1359+N1359+O1359),"")</f>
        <v/>
      </c>
      <c r="Q1359" s="60" t="str">
        <f aca="false">IF(IsPro,IF($D1359="","",IFERROR(MATCH($D1359,Items!$A$5:$A$504,0),"")),"")</f>
        <v/>
      </c>
      <c r="R1359" s="60" t="str">
        <f aca="false">IF(IsPro,IF($C1359="","",IFERROR(MATCH($C1359,Parties!$A$5:$A$304,0),"")),"")</f>
        <v/>
      </c>
      <c r="S1359" s="61" t="str">
        <f aca="false">IF(IsPro,IF($D1359="","",IF(OR($H1359="",$H1359="Credit"),0,P1359)),"")</f>
        <v/>
      </c>
    </row>
    <row r="1360" customFormat="false" ht="15" hidden="false" customHeight="false" outlineLevel="0" collapsed="false">
      <c r="A1360" s="55"/>
      <c r="B1360" s="56"/>
      <c r="C1360" s="56"/>
      <c r="D1360" s="56"/>
      <c r="E1360" s="57"/>
      <c r="F1360" s="58"/>
      <c r="G1360" s="59"/>
      <c r="H1360" s="56"/>
      <c r="I1360" s="60" t="str">
        <f aca="false">IF(IsPro,IF($D1360="","",IFERROR(INDEX(Items!$D$5:$D$504,Q1360),"")),IF($D1360="","","PRO PLAN"))</f>
        <v/>
      </c>
      <c r="J1360" s="61" t="str">
        <f aca="false">IF(IsPro,IF($D1360="","",IF($F1360="",IFERROR(INDEX(Items!$G$5:$G$504,Q1360),0),$F1360)),"")</f>
        <v/>
      </c>
      <c r="K1360" s="61" t="str">
        <f aca="false">IF(IsPro,IF($D1360="","",ROUND(N($E1360)*J1360*(1-N($G1360)),2)),"")</f>
        <v/>
      </c>
      <c r="L1360" s="62" t="str">
        <f aca="false">IF(IsPro,IF($D1360="","",IFERROR(INDEX(Items!$F$5:$F$504,Q1360),0)),"")</f>
        <v/>
      </c>
      <c r="M1360" s="61" t="str">
        <f aca="false">IF(IsPro,IF($D1360="","",IF(AND(R1360&lt;&gt;"",INDEX(Parties!$E$5:$E$304,R1360)&lt;&gt;"",INDEX(Parties!$E$5:$E$304,R1360)&lt;&gt;HomeState),0,ROUND(K1360*L1360/2,2))),"")</f>
        <v/>
      </c>
      <c r="N1360" s="61" t="str">
        <f aca="false">IF(IsPro,IF($D1360="","",M1360),"")</f>
        <v/>
      </c>
      <c r="O1360" s="61" t="str">
        <f aca="false">IF(IsPro,IF($D1360="","",IF(AND(R1360&lt;&gt;"",INDEX(Parties!$E$5:$E$304,R1360)&lt;&gt;"",INDEX(Parties!$E$5:$E$304,R1360)&lt;&gt;HomeState),ROUND(K1360*L1360,2),0)),"")</f>
        <v/>
      </c>
      <c r="P1360" s="61" t="str">
        <f aca="false">IF(IsPro,IF($D1360="","",K1360+M1360+N1360+O1360),"")</f>
        <v/>
      </c>
      <c r="Q1360" s="60" t="str">
        <f aca="false">IF(IsPro,IF($D1360="","",IFERROR(MATCH($D1360,Items!$A$5:$A$504,0),"")),"")</f>
        <v/>
      </c>
      <c r="R1360" s="60" t="str">
        <f aca="false">IF(IsPro,IF($C1360="","",IFERROR(MATCH($C1360,Parties!$A$5:$A$304,0),"")),"")</f>
        <v/>
      </c>
      <c r="S1360" s="61" t="str">
        <f aca="false">IF(IsPro,IF($D1360="","",IF(OR($H1360="",$H1360="Credit"),0,P1360)),"")</f>
        <v/>
      </c>
    </row>
    <row r="1361" customFormat="false" ht="15" hidden="false" customHeight="false" outlineLevel="0" collapsed="false">
      <c r="A1361" s="55"/>
      <c r="B1361" s="56"/>
      <c r="C1361" s="56"/>
      <c r="D1361" s="56"/>
      <c r="E1361" s="57"/>
      <c r="F1361" s="58"/>
      <c r="G1361" s="59"/>
      <c r="H1361" s="56"/>
      <c r="I1361" s="60" t="str">
        <f aca="false">IF(IsPro,IF($D1361="","",IFERROR(INDEX(Items!$D$5:$D$504,Q1361),"")),IF($D1361="","","PRO PLAN"))</f>
        <v/>
      </c>
      <c r="J1361" s="61" t="str">
        <f aca="false">IF(IsPro,IF($D1361="","",IF($F1361="",IFERROR(INDEX(Items!$G$5:$G$504,Q1361),0),$F1361)),"")</f>
        <v/>
      </c>
      <c r="K1361" s="61" t="str">
        <f aca="false">IF(IsPro,IF($D1361="","",ROUND(N($E1361)*J1361*(1-N($G1361)),2)),"")</f>
        <v/>
      </c>
      <c r="L1361" s="62" t="str">
        <f aca="false">IF(IsPro,IF($D1361="","",IFERROR(INDEX(Items!$F$5:$F$504,Q1361),0)),"")</f>
        <v/>
      </c>
      <c r="M1361" s="61" t="str">
        <f aca="false">IF(IsPro,IF($D1361="","",IF(AND(R1361&lt;&gt;"",INDEX(Parties!$E$5:$E$304,R1361)&lt;&gt;"",INDEX(Parties!$E$5:$E$304,R1361)&lt;&gt;HomeState),0,ROUND(K1361*L1361/2,2))),"")</f>
        <v/>
      </c>
      <c r="N1361" s="61" t="str">
        <f aca="false">IF(IsPro,IF($D1361="","",M1361),"")</f>
        <v/>
      </c>
      <c r="O1361" s="61" t="str">
        <f aca="false">IF(IsPro,IF($D1361="","",IF(AND(R1361&lt;&gt;"",INDEX(Parties!$E$5:$E$304,R1361)&lt;&gt;"",INDEX(Parties!$E$5:$E$304,R1361)&lt;&gt;HomeState),ROUND(K1361*L1361,2),0)),"")</f>
        <v/>
      </c>
      <c r="P1361" s="61" t="str">
        <f aca="false">IF(IsPro,IF($D1361="","",K1361+M1361+N1361+O1361),"")</f>
        <v/>
      </c>
      <c r="Q1361" s="60" t="str">
        <f aca="false">IF(IsPro,IF($D1361="","",IFERROR(MATCH($D1361,Items!$A$5:$A$504,0),"")),"")</f>
        <v/>
      </c>
      <c r="R1361" s="60" t="str">
        <f aca="false">IF(IsPro,IF($C1361="","",IFERROR(MATCH($C1361,Parties!$A$5:$A$304,0),"")),"")</f>
        <v/>
      </c>
      <c r="S1361" s="61" t="str">
        <f aca="false">IF(IsPro,IF($D1361="","",IF(OR($H1361="",$H1361="Credit"),0,P1361)),"")</f>
        <v/>
      </c>
    </row>
    <row r="1362" customFormat="false" ht="15" hidden="false" customHeight="false" outlineLevel="0" collapsed="false">
      <c r="A1362" s="55"/>
      <c r="B1362" s="56"/>
      <c r="C1362" s="56"/>
      <c r="D1362" s="56"/>
      <c r="E1362" s="57"/>
      <c r="F1362" s="58"/>
      <c r="G1362" s="59"/>
      <c r="H1362" s="56"/>
      <c r="I1362" s="60" t="str">
        <f aca="false">IF(IsPro,IF($D1362="","",IFERROR(INDEX(Items!$D$5:$D$504,Q1362),"")),IF($D1362="","","PRO PLAN"))</f>
        <v/>
      </c>
      <c r="J1362" s="61" t="str">
        <f aca="false">IF(IsPro,IF($D1362="","",IF($F1362="",IFERROR(INDEX(Items!$G$5:$G$504,Q1362),0),$F1362)),"")</f>
        <v/>
      </c>
      <c r="K1362" s="61" t="str">
        <f aca="false">IF(IsPro,IF($D1362="","",ROUND(N($E1362)*J1362*(1-N($G1362)),2)),"")</f>
        <v/>
      </c>
      <c r="L1362" s="62" t="str">
        <f aca="false">IF(IsPro,IF($D1362="","",IFERROR(INDEX(Items!$F$5:$F$504,Q1362),0)),"")</f>
        <v/>
      </c>
      <c r="M1362" s="61" t="str">
        <f aca="false">IF(IsPro,IF($D1362="","",IF(AND(R1362&lt;&gt;"",INDEX(Parties!$E$5:$E$304,R1362)&lt;&gt;"",INDEX(Parties!$E$5:$E$304,R1362)&lt;&gt;HomeState),0,ROUND(K1362*L1362/2,2))),"")</f>
        <v/>
      </c>
      <c r="N1362" s="61" t="str">
        <f aca="false">IF(IsPro,IF($D1362="","",M1362),"")</f>
        <v/>
      </c>
      <c r="O1362" s="61" t="str">
        <f aca="false">IF(IsPro,IF($D1362="","",IF(AND(R1362&lt;&gt;"",INDEX(Parties!$E$5:$E$304,R1362)&lt;&gt;"",INDEX(Parties!$E$5:$E$304,R1362)&lt;&gt;HomeState),ROUND(K1362*L1362,2),0)),"")</f>
        <v/>
      </c>
      <c r="P1362" s="61" t="str">
        <f aca="false">IF(IsPro,IF($D1362="","",K1362+M1362+N1362+O1362),"")</f>
        <v/>
      </c>
      <c r="Q1362" s="60" t="str">
        <f aca="false">IF(IsPro,IF($D1362="","",IFERROR(MATCH($D1362,Items!$A$5:$A$504,0),"")),"")</f>
        <v/>
      </c>
      <c r="R1362" s="60" t="str">
        <f aca="false">IF(IsPro,IF($C1362="","",IFERROR(MATCH($C1362,Parties!$A$5:$A$304,0),"")),"")</f>
        <v/>
      </c>
      <c r="S1362" s="61" t="str">
        <f aca="false">IF(IsPro,IF($D1362="","",IF(OR($H1362="",$H1362="Credit"),0,P1362)),"")</f>
        <v/>
      </c>
    </row>
    <row r="1363" customFormat="false" ht="15" hidden="false" customHeight="false" outlineLevel="0" collapsed="false">
      <c r="A1363" s="55"/>
      <c r="B1363" s="56"/>
      <c r="C1363" s="56"/>
      <c r="D1363" s="56"/>
      <c r="E1363" s="57"/>
      <c r="F1363" s="58"/>
      <c r="G1363" s="59"/>
      <c r="H1363" s="56"/>
      <c r="I1363" s="60" t="str">
        <f aca="false">IF(IsPro,IF($D1363="","",IFERROR(INDEX(Items!$D$5:$D$504,Q1363),"")),IF($D1363="","","PRO PLAN"))</f>
        <v/>
      </c>
      <c r="J1363" s="61" t="str">
        <f aca="false">IF(IsPro,IF($D1363="","",IF($F1363="",IFERROR(INDEX(Items!$G$5:$G$504,Q1363),0),$F1363)),"")</f>
        <v/>
      </c>
      <c r="K1363" s="61" t="str">
        <f aca="false">IF(IsPro,IF($D1363="","",ROUND(N($E1363)*J1363*(1-N($G1363)),2)),"")</f>
        <v/>
      </c>
      <c r="L1363" s="62" t="str">
        <f aca="false">IF(IsPro,IF($D1363="","",IFERROR(INDEX(Items!$F$5:$F$504,Q1363),0)),"")</f>
        <v/>
      </c>
      <c r="M1363" s="61" t="str">
        <f aca="false">IF(IsPro,IF($D1363="","",IF(AND(R1363&lt;&gt;"",INDEX(Parties!$E$5:$E$304,R1363)&lt;&gt;"",INDEX(Parties!$E$5:$E$304,R1363)&lt;&gt;HomeState),0,ROUND(K1363*L1363/2,2))),"")</f>
        <v/>
      </c>
      <c r="N1363" s="61" t="str">
        <f aca="false">IF(IsPro,IF($D1363="","",M1363),"")</f>
        <v/>
      </c>
      <c r="O1363" s="61" t="str">
        <f aca="false">IF(IsPro,IF($D1363="","",IF(AND(R1363&lt;&gt;"",INDEX(Parties!$E$5:$E$304,R1363)&lt;&gt;"",INDEX(Parties!$E$5:$E$304,R1363)&lt;&gt;HomeState),ROUND(K1363*L1363,2),0)),"")</f>
        <v/>
      </c>
      <c r="P1363" s="61" t="str">
        <f aca="false">IF(IsPro,IF($D1363="","",K1363+M1363+N1363+O1363),"")</f>
        <v/>
      </c>
      <c r="Q1363" s="60" t="str">
        <f aca="false">IF(IsPro,IF($D1363="","",IFERROR(MATCH($D1363,Items!$A$5:$A$504,0),"")),"")</f>
        <v/>
      </c>
      <c r="R1363" s="60" t="str">
        <f aca="false">IF(IsPro,IF($C1363="","",IFERROR(MATCH($C1363,Parties!$A$5:$A$304,0),"")),"")</f>
        <v/>
      </c>
      <c r="S1363" s="61" t="str">
        <f aca="false">IF(IsPro,IF($D1363="","",IF(OR($H1363="",$H1363="Credit"),0,P1363)),"")</f>
        <v/>
      </c>
    </row>
    <row r="1364" customFormat="false" ht="15" hidden="false" customHeight="false" outlineLevel="0" collapsed="false">
      <c r="A1364" s="55"/>
      <c r="B1364" s="56"/>
      <c r="C1364" s="56"/>
      <c r="D1364" s="56"/>
      <c r="E1364" s="57"/>
      <c r="F1364" s="58"/>
      <c r="G1364" s="59"/>
      <c r="H1364" s="56"/>
      <c r="I1364" s="60" t="str">
        <f aca="false">IF(IsPro,IF($D1364="","",IFERROR(INDEX(Items!$D$5:$D$504,Q1364),"")),IF($D1364="","","PRO PLAN"))</f>
        <v/>
      </c>
      <c r="J1364" s="61" t="str">
        <f aca="false">IF(IsPro,IF($D1364="","",IF($F1364="",IFERROR(INDEX(Items!$G$5:$G$504,Q1364),0),$F1364)),"")</f>
        <v/>
      </c>
      <c r="K1364" s="61" t="str">
        <f aca="false">IF(IsPro,IF($D1364="","",ROUND(N($E1364)*J1364*(1-N($G1364)),2)),"")</f>
        <v/>
      </c>
      <c r="L1364" s="62" t="str">
        <f aca="false">IF(IsPro,IF($D1364="","",IFERROR(INDEX(Items!$F$5:$F$504,Q1364),0)),"")</f>
        <v/>
      </c>
      <c r="M1364" s="61" t="str">
        <f aca="false">IF(IsPro,IF($D1364="","",IF(AND(R1364&lt;&gt;"",INDEX(Parties!$E$5:$E$304,R1364)&lt;&gt;"",INDEX(Parties!$E$5:$E$304,R1364)&lt;&gt;HomeState),0,ROUND(K1364*L1364/2,2))),"")</f>
        <v/>
      </c>
      <c r="N1364" s="61" t="str">
        <f aca="false">IF(IsPro,IF($D1364="","",M1364),"")</f>
        <v/>
      </c>
      <c r="O1364" s="61" t="str">
        <f aca="false">IF(IsPro,IF($D1364="","",IF(AND(R1364&lt;&gt;"",INDEX(Parties!$E$5:$E$304,R1364)&lt;&gt;"",INDEX(Parties!$E$5:$E$304,R1364)&lt;&gt;HomeState),ROUND(K1364*L1364,2),0)),"")</f>
        <v/>
      </c>
      <c r="P1364" s="61" t="str">
        <f aca="false">IF(IsPro,IF($D1364="","",K1364+M1364+N1364+O1364),"")</f>
        <v/>
      </c>
      <c r="Q1364" s="60" t="str">
        <f aca="false">IF(IsPro,IF($D1364="","",IFERROR(MATCH($D1364,Items!$A$5:$A$504,0),"")),"")</f>
        <v/>
      </c>
      <c r="R1364" s="60" t="str">
        <f aca="false">IF(IsPro,IF($C1364="","",IFERROR(MATCH($C1364,Parties!$A$5:$A$304,0),"")),"")</f>
        <v/>
      </c>
      <c r="S1364" s="61" t="str">
        <f aca="false">IF(IsPro,IF($D1364="","",IF(OR($H1364="",$H1364="Credit"),0,P1364)),"")</f>
        <v/>
      </c>
    </row>
    <row r="1365" customFormat="false" ht="15" hidden="false" customHeight="false" outlineLevel="0" collapsed="false">
      <c r="A1365" s="55"/>
      <c r="B1365" s="56"/>
      <c r="C1365" s="56"/>
      <c r="D1365" s="56"/>
      <c r="E1365" s="57"/>
      <c r="F1365" s="58"/>
      <c r="G1365" s="59"/>
      <c r="H1365" s="56"/>
      <c r="I1365" s="60" t="str">
        <f aca="false">IF(IsPro,IF($D1365="","",IFERROR(INDEX(Items!$D$5:$D$504,Q1365),"")),IF($D1365="","","PRO PLAN"))</f>
        <v/>
      </c>
      <c r="J1365" s="61" t="str">
        <f aca="false">IF(IsPro,IF($D1365="","",IF($F1365="",IFERROR(INDEX(Items!$G$5:$G$504,Q1365),0),$F1365)),"")</f>
        <v/>
      </c>
      <c r="K1365" s="61" t="str">
        <f aca="false">IF(IsPro,IF($D1365="","",ROUND(N($E1365)*J1365*(1-N($G1365)),2)),"")</f>
        <v/>
      </c>
      <c r="L1365" s="62" t="str">
        <f aca="false">IF(IsPro,IF($D1365="","",IFERROR(INDEX(Items!$F$5:$F$504,Q1365),0)),"")</f>
        <v/>
      </c>
      <c r="M1365" s="61" t="str">
        <f aca="false">IF(IsPro,IF($D1365="","",IF(AND(R1365&lt;&gt;"",INDEX(Parties!$E$5:$E$304,R1365)&lt;&gt;"",INDEX(Parties!$E$5:$E$304,R1365)&lt;&gt;HomeState),0,ROUND(K1365*L1365/2,2))),"")</f>
        <v/>
      </c>
      <c r="N1365" s="61" t="str">
        <f aca="false">IF(IsPro,IF($D1365="","",M1365),"")</f>
        <v/>
      </c>
      <c r="O1365" s="61" t="str">
        <f aca="false">IF(IsPro,IF($D1365="","",IF(AND(R1365&lt;&gt;"",INDEX(Parties!$E$5:$E$304,R1365)&lt;&gt;"",INDEX(Parties!$E$5:$E$304,R1365)&lt;&gt;HomeState),ROUND(K1365*L1365,2),0)),"")</f>
        <v/>
      </c>
      <c r="P1365" s="61" t="str">
        <f aca="false">IF(IsPro,IF($D1365="","",K1365+M1365+N1365+O1365),"")</f>
        <v/>
      </c>
      <c r="Q1365" s="60" t="str">
        <f aca="false">IF(IsPro,IF($D1365="","",IFERROR(MATCH($D1365,Items!$A$5:$A$504,0),"")),"")</f>
        <v/>
      </c>
      <c r="R1365" s="60" t="str">
        <f aca="false">IF(IsPro,IF($C1365="","",IFERROR(MATCH($C1365,Parties!$A$5:$A$304,0),"")),"")</f>
        <v/>
      </c>
      <c r="S1365" s="61" t="str">
        <f aca="false">IF(IsPro,IF($D1365="","",IF(OR($H1365="",$H1365="Credit"),0,P1365)),"")</f>
        <v/>
      </c>
    </row>
    <row r="1366" customFormat="false" ht="15" hidden="false" customHeight="false" outlineLevel="0" collapsed="false">
      <c r="A1366" s="55"/>
      <c r="B1366" s="56"/>
      <c r="C1366" s="56"/>
      <c r="D1366" s="56"/>
      <c r="E1366" s="57"/>
      <c r="F1366" s="58"/>
      <c r="G1366" s="59"/>
      <c r="H1366" s="56"/>
      <c r="I1366" s="60" t="str">
        <f aca="false">IF(IsPro,IF($D1366="","",IFERROR(INDEX(Items!$D$5:$D$504,Q1366),"")),IF($D1366="","","PRO PLAN"))</f>
        <v/>
      </c>
      <c r="J1366" s="61" t="str">
        <f aca="false">IF(IsPro,IF($D1366="","",IF($F1366="",IFERROR(INDEX(Items!$G$5:$G$504,Q1366),0),$F1366)),"")</f>
        <v/>
      </c>
      <c r="K1366" s="61" t="str">
        <f aca="false">IF(IsPro,IF($D1366="","",ROUND(N($E1366)*J1366*(1-N($G1366)),2)),"")</f>
        <v/>
      </c>
      <c r="L1366" s="62" t="str">
        <f aca="false">IF(IsPro,IF($D1366="","",IFERROR(INDEX(Items!$F$5:$F$504,Q1366),0)),"")</f>
        <v/>
      </c>
      <c r="M1366" s="61" t="str">
        <f aca="false">IF(IsPro,IF($D1366="","",IF(AND(R1366&lt;&gt;"",INDEX(Parties!$E$5:$E$304,R1366)&lt;&gt;"",INDEX(Parties!$E$5:$E$304,R1366)&lt;&gt;HomeState),0,ROUND(K1366*L1366/2,2))),"")</f>
        <v/>
      </c>
      <c r="N1366" s="61" t="str">
        <f aca="false">IF(IsPro,IF($D1366="","",M1366),"")</f>
        <v/>
      </c>
      <c r="O1366" s="61" t="str">
        <f aca="false">IF(IsPro,IF($D1366="","",IF(AND(R1366&lt;&gt;"",INDEX(Parties!$E$5:$E$304,R1366)&lt;&gt;"",INDEX(Parties!$E$5:$E$304,R1366)&lt;&gt;HomeState),ROUND(K1366*L1366,2),0)),"")</f>
        <v/>
      </c>
      <c r="P1366" s="61" t="str">
        <f aca="false">IF(IsPro,IF($D1366="","",K1366+M1366+N1366+O1366),"")</f>
        <v/>
      </c>
      <c r="Q1366" s="60" t="str">
        <f aca="false">IF(IsPro,IF($D1366="","",IFERROR(MATCH($D1366,Items!$A$5:$A$504,0),"")),"")</f>
        <v/>
      </c>
      <c r="R1366" s="60" t="str">
        <f aca="false">IF(IsPro,IF($C1366="","",IFERROR(MATCH($C1366,Parties!$A$5:$A$304,0),"")),"")</f>
        <v/>
      </c>
      <c r="S1366" s="61" t="str">
        <f aca="false">IF(IsPro,IF($D1366="","",IF(OR($H1366="",$H1366="Credit"),0,P1366)),"")</f>
        <v/>
      </c>
    </row>
    <row r="1367" customFormat="false" ht="15" hidden="false" customHeight="false" outlineLevel="0" collapsed="false">
      <c r="A1367" s="55"/>
      <c r="B1367" s="56"/>
      <c r="C1367" s="56"/>
      <c r="D1367" s="56"/>
      <c r="E1367" s="57"/>
      <c r="F1367" s="58"/>
      <c r="G1367" s="59"/>
      <c r="H1367" s="56"/>
      <c r="I1367" s="60" t="str">
        <f aca="false">IF(IsPro,IF($D1367="","",IFERROR(INDEX(Items!$D$5:$D$504,Q1367),"")),IF($D1367="","","PRO PLAN"))</f>
        <v/>
      </c>
      <c r="J1367" s="61" t="str">
        <f aca="false">IF(IsPro,IF($D1367="","",IF($F1367="",IFERROR(INDEX(Items!$G$5:$G$504,Q1367),0),$F1367)),"")</f>
        <v/>
      </c>
      <c r="K1367" s="61" t="str">
        <f aca="false">IF(IsPro,IF($D1367="","",ROUND(N($E1367)*J1367*(1-N($G1367)),2)),"")</f>
        <v/>
      </c>
      <c r="L1367" s="62" t="str">
        <f aca="false">IF(IsPro,IF($D1367="","",IFERROR(INDEX(Items!$F$5:$F$504,Q1367),0)),"")</f>
        <v/>
      </c>
      <c r="M1367" s="61" t="str">
        <f aca="false">IF(IsPro,IF($D1367="","",IF(AND(R1367&lt;&gt;"",INDEX(Parties!$E$5:$E$304,R1367)&lt;&gt;"",INDEX(Parties!$E$5:$E$304,R1367)&lt;&gt;HomeState),0,ROUND(K1367*L1367/2,2))),"")</f>
        <v/>
      </c>
      <c r="N1367" s="61" t="str">
        <f aca="false">IF(IsPro,IF($D1367="","",M1367),"")</f>
        <v/>
      </c>
      <c r="O1367" s="61" t="str">
        <f aca="false">IF(IsPro,IF($D1367="","",IF(AND(R1367&lt;&gt;"",INDEX(Parties!$E$5:$E$304,R1367)&lt;&gt;"",INDEX(Parties!$E$5:$E$304,R1367)&lt;&gt;HomeState),ROUND(K1367*L1367,2),0)),"")</f>
        <v/>
      </c>
      <c r="P1367" s="61" t="str">
        <f aca="false">IF(IsPro,IF($D1367="","",K1367+M1367+N1367+O1367),"")</f>
        <v/>
      </c>
      <c r="Q1367" s="60" t="str">
        <f aca="false">IF(IsPro,IF($D1367="","",IFERROR(MATCH($D1367,Items!$A$5:$A$504,0),"")),"")</f>
        <v/>
      </c>
      <c r="R1367" s="60" t="str">
        <f aca="false">IF(IsPro,IF($C1367="","",IFERROR(MATCH($C1367,Parties!$A$5:$A$304,0),"")),"")</f>
        <v/>
      </c>
      <c r="S1367" s="61" t="str">
        <f aca="false">IF(IsPro,IF($D1367="","",IF(OR($H1367="",$H1367="Credit"),0,P1367)),"")</f>
        <v/>
      </c>
    </row>
    <row r="1368" customFormat="false" ht="15" hidden="false" customHeight="false" outlineLevel="0" collapsed="false">
      <c r="A1368" s="55"/>
      <c r="B1368" s="56"/>
      <c r="C1368" s="56"/>
      <c r="D1368" s="56"/>
      <c r="E1368" s="57"/>
      <c r="F1368" s="58"/>
      <c r="G1368" s="59"/>
      <c r="H1368" s="56"/>
      <c r="I1368" s="60" t="str">
        <f aca="false">IF(IsPro,IF($D1368="","",IFERROR(INDEX(Items!$D$5:$D$504,Q1368),"")),IF($D1368="","","PRO PLAN"))</f>
        <v/>
      </c>
      <c r="J1368" s="61" t="str">
        <f aca="false">IF(IsPro,IF($D1368="","",IF($F1368="",IFERROR(INDEX(Items!$G$5:$G$504,Q1368),0),$F1368)),"")</f>
        <v/>
      </c>
      <c r="K1368" s="61" t="str">
        <f aca="false">IF(IsPro,IF($D1368="","",ROUND(N($E1368)*J1368*(1-N($G1368)),2)),"")</f>
        <v/>
      </c>
      <c r="L1368" s="62" t="str">
        <f aca="false">IF(IsPro,IF($D1368="","",IFERROR(INDEX(Items!$F$5:$F$504,Q1368),0)),"")</f>
        <v/>
      </c>
      <c r="M1368" s="61" t="str">
        <f aca="false">IF(IsPro,IF($D1368="","",IF(AND(R1368&lt;&gt;"",INDEX(Parties!$E$5:$E$304,R1368)&lt;&gt;"",INDEX(Parties!$E$5:$E$304,R1368)&lt;&gt;HomeState),0,ROUND(K1368*L1368/2,2))),"")</f>
        <v/>
      </c>
      <c r="N1368" s="61" t="str">
        <f aca="false">IF(IsPro,IF($D1368="","",M1368),"")</f>
        <v/>
      </c>
      <c r="O1368" s="61" t="str">
        <f aca="false">IF(IsPro,IF($D1368="","",IF(AND(R1368&lt;&gt;"",INDEX(Parties!$E$5:$E$304,R1368)&lt;&gt;"",INDEX(Parties!$E$5:$E$304,R1368)&lt;&gt;HomeState),ROUND(K1368*L1368,2),0)),"")</f>
        <v/>
      </c>
      <c r="P1368" s="61" t="str">
        <f aca="false">IF(IsPro,IF($D1368="","",K1368+M1368+N1368+O1368),"")</f>
        <v/>
      </c>
      <c r="Q1368" s="60" t="str">
        <f aca="false">IF(IsPro,IF($D1368="","",IFERROR(MATCH($D1368,Items!$A$5:$A$504,0),"")),"")</f>
        <v/>
      </c>
      <c r="R1368" s="60" t="str">
        <f aca="false">IF(IsPro,IF($C1368="","",IFERROR(MATCH($C1368,Parties!$A$5:$A$304,0),"")),"")</f>
        <v/>
      </c>
      <c r="S1368" s="61" t="str">
        <f aca="false">IF(IsPro,IF($D1368="","",IF(OR($H1368="",$H1368="Credit"),0,P1368)),"")</f>
        <v/>
      </c>
    </row>
    <row r="1369" customFormat="false" ht="15" hidden="false" customHeight="false" outlineLevel="0" collapsed="false">
      <c r="A1369" s="55"/>
      <c r="B1369" s="56"/>
      <c r="C1369" s="56"/>
      <c r="D1369" s="56"/>
      <c r="E1369" s="57"/>
      <c r="F1369" s="58"/>
      <c r="G1369" s="59"/>
      <c r="H1369" s="56"/>
      <c r="I1369" s="60" t="str">
        <f aca="false">IF(IsPro,IF($D1369="","",IFERROR(INDEX(Items!$D$5:$D$504,Q1369),"")),IF($D1369="","","PRO PLAN"))</f>
        <v/>
      </c>
      <c r="J1369" s="61" t="str">
        <f aca="false">IF(IsPro,IF($D1369="","",IF($F1369="",IFERROR(INDEX(Items!$G$5:$G$504,Q1369),0),$F1369)),"")</f>
        <v/>
      </c>
      <c r="K1369" s="61" t="str">
        <f aca="false">IF(IsPro,IF($D1369="","",ROUND(N($E1369)*J1369*(1-N($G1369)),2)),"")</f>
        <v/>
      </c>
      <c r="L1369" s="62" t="str">
        <f aca="false">IF(IsPro,IF($D1369="","",IFERROR(INDEX(Items!$F$5:$F$504,Q1369),0)),"")</f>
        <v/>
      </c>
      <c r="M1369" s="61" t="str">
        <f aca="false">IF(IsPro,IF($D1369="","",IF(AND(R1369&lt;&gt;"",INDEX(Parties!$E$5:$E$304,R1369)&lt;&gt;"",INDEX(Parties!$E$5:$E$304,R1369)&lt;&gt;HomeState),0,ROUND(K1369*L1369/2,2))),"")</f>
        <v/>
      </c>
      <c r="N1369" s="61" t="str">
        <f aca="false">IF(IsPro,IF($D1369="","",M1369),"")</f>
        <v/>
      </c>
      <c r="O1369" s="61" t="str">
        <f aca="false">IF(IsPro,IF($D1369="","",IF(AND(R1369&lt;&gt;"",INDEX(Parties!$E$5:$E$304,R1369)&lt;&gt;"",INDEX(Parties!$E$5:$E$304,R1369)&lt;&gt;HomeState),ROUND(K1369*L1369,2),0)),"")</f>
        <v/>
      </c>
      <c r="P1369" s="61" t="str">
        <f aca="false">IF(IsPro,IF($D1369="","",K1369+M1369+N1369+O1369),"")</f>
        <v/>
      </c>
      <c r="Q1369" s="60" t="str">
        <f aca="false">IF(IsPro,IF($D1369="","",IFERROR(MATCH($D1369,Items!$A$5:$A$504,0),"")),"")</f>
        <v/>
      </c>
      <c r="R1369" s="60" t="str">
        <f aca="false">IF(IsPro,IF($C1369="","",IFERROR(MATCH($C1369,Parties!$A$5:$A$304,0),"")),"")</f>
        <v/>
      </c>
      <c r="S1369" s="61" t="str">
        <f aca="false">IF(IsPro,IF($D1369="","",IF(OR($H1369="",$H1369="Credit"),0,P1369)),"")</f>
        <v/>
      </c>
    </row>
    <row r="1370" customFormat="false" ht="15" hidden="false" customHeight="false" outlineLevel="0" collapsed="false">
      <c r="A1370" s="55"/>
      <c r="B1370" s="56"/>
      <c r="C1370" s="56"/>
      <c r="D1370" s="56"/>
      <c r="E1370" s="57"/>
      <c r="F1370" s="58"/>
      <c r="G1370" s="59"/>
      <c r="H1370" s="56"/>
      <c r="I1370" s="60" t="str">
        <f aca="false">IF(IsPro,IF($D1370="","",IFERROR(INDEX(Items!$D$5:$D$504,Q1370),"")),IF($D1370="","","PRO PLAN"))</f>
        <v/>
      </c>
      <c r="J1370" s="61" t="str">
        <f aca="false">IF(IsPro,IF($D1370="","",IF($F1370="",IFERROR(INDEX(Items!$G$5:$G$504,Q1370),0),$F1370)),"")</f>
        <v/>
      </c>
      <c r="K1370" s="61" t="str">
        <f aca="false">IF(IsPro,IF($D1370="","",ROUND(N($E1370)*J1370*(1-N($G1370)),2)),"")</f>
        <v/>
      </c>
      <c r="L1370" s="62" t="str">
        <f aca="false">IF(IsPro,IF($D1370="","",IFERROR(INDEX(Items!$F$5:$F$504,Q1370),0)),"")</f>
        <v/>
      </c>
      <c r="M1370" s="61" t="str">
        <f aca="false">IF(IsPro,IF($D1370="","",IF(AND(R1370&lt;&gt;"",INDEX(Parties!$E$5:$E$304,R1370)&lt;&gt;"",INDEX(Parties!$E$5:$E$304,R1370)&lt;&gt;HomeState),0,ROUND(K1370*L1370/2,2))),"")</f>
        <v/>
      </c>
      <c r="N1370" s="61" t="str">
        <f aca="false">IF(IsPro,IF($D1370="","",M1370),"")</f>
        <v/>
      </c>
      <c r="O1370" s="61" t="str">
        <f aca="false">IF(IsPro,IF($D1370="","",IF(AND(R1370&lt;&gt;"",INDEX(Parties!$E$5:$E$304,R1370)&lt;&gt;"",INDEX(Parties!$E$5:$E$304,R1370)&lt;&gt;HomeState),ROUND(K1370*L1370,2),0)),"")</f>
        <v/>
      </c>
      <c r="P1370" s="61" t="str">
        <f aca="false">IF(IsPro,IF($D1370="","",K1370+M1370+N1370+O1370),"")</f>
        <v/>
      </c>
      <c r="Q1370" s="60" t="str">
        <f aca="false">IF(IsPro,IF($D1370="","",IFERROR(MATCH($D1370,Items!$A$5:$A$504,0),"")),"")</f>
        <v/>
      </c>
      <c r="R1370" s="60" t="str">
        <f aca="false">IF(IsPro,IF($C1370="","",IFERROR(MATCH($C1370,Parties!$A$5:$A$304,0),"")),"")</f>
        <v/>
      </c>
      <c r="S1370" s="61" t="str">
        <f aca="false">IF(IsPro,IF($D1370="","",IF(OR($H1370="",$H1370="Credit"),0,P1370)),"")</f>
        <v/>
      </c>
    </row>
    <row r="1371" customFormat="false" ht="15" hidden="false" customHeight="false" outlineLevel="0" collapsed="false">
      <c r="A1371" s="55"/>
      <c r="B1371" s="56"/>
      <c r="C1371" s="56"/>
      <c r="D1371" s="56"/>
      <c r="E1371" s="57"/>
      <c r="F1371" s="58"/>
      <c r="G1371" s="59"/>
      <c r="H1371" s="56"/>
      <c r="I1371" s="60" t="str">
        <f aca="false">IF(IsPro,IF($D1371="","",IFERROR(INDEX(Items!$D$5:$D$504,Q1371),"")),IF($D1371="","","PRO PLAN"))</f>
        <v/>
      </c>
      <c r="J1371" s="61" t="str">
        <f aca="false">IF(IsPro,IF($D1371="","",IF($F1371="",IFERROR(INDEX(Items!$G$5:$G$504,Q1371),0),$F1371)),"")</f>
        <v/>
      </c>
      <c r="K1371" s="61" t="str">
        <f aca="false">IF(IsPro,IF($D1371="","",ROUND(N($E1371)*J1371*(1-N($G1371)),2)),"")</f>
        <v/>
      </c>
      <c r="L1371" s="62" t="str">
        <f aca="false">IF(IsPro,IF($D1371="","",IFERROR(INDEX(Items!$F$5:$F$504,Q1371),0)),"")</f>
        <v/>
      </c>
      <c r="M1371" s="61" t="str">
        <f aca="false">IF(IsPro,IF($D1371="","",IF(AND(R1371&lt;&gt;"",INDEX(Parties!$E$5:$E$304,R1371)&lt;&gt;"",INDEX(Parties!$E$5:$E$304,R1371)&lt;&gt;HomeState),0,ROUND(K1371*L1371/2,2))),"")</f>
        <v/>
      </c>
      <c r="N1371" s="61" t="str">
        <f aca="false">IF(IsPro,IF($D1371="","",M1371),"")</f>
        <v/>
      </c>
      <c r="O1371" s="61" t="str">
        <f aca="false">IF(IsPro,IF($D1371="","",IF(AND(R1371&lt;&gt;"",INDEX(Parties!$E$5:$E$304,R1371)&lt;&gt;"",INDEX(Parties!$E$5:$E$304,R1371)&lt;&gt;HomeState),ROUND(K1371*L1371,2),0)),"")</f>
        <v/>
      </c>
      <c r="P1371" s="61" t="str">
        <f aca="false">IF(IsPro,IF($D1371="","",K1371+M1371+N1371+O1371),"")</f>
        <v/>
      </c>
      <c r="Q1371" s="60" t="str">
        <f aca="false">IF(IsPro,IF($D1371="","",IFERROR(MATCH($D1371,Items!$A$5:$A$504,0),"")),"")</f>
        <v/>
      </c>
      <c r="R1371" s="60" t="str">
        <f aca="false">IF(IsPro,IF($C1371="","",IFERROR(MATCH($C1371,Parties!$A$5:$A$304,0),"")),"")</f>
        <v/>
      </c>
      <c r="S1371" s="61" t="str">
        <f aca="false">IF(IsPro,IF($D1371="","",IF(OR($H1371="",$H1371="Credit"),0,P1371)),"")</f>
        <v/>
      </c>
    </row>
    <row r="1372" customFormat="false" ht="15" hidden="false" customHeight="false" outlineLevel="0" collapsed="false">
      <c r="A1372" s="55"/>
      <c r="B1372" s="56"/>
      <c r="C1372" s="56"/>
      <c r="D1372" s="56"/>
      <c r="E1372" s="57"/>
      <c r="F1372" s="58"/>
      <c r="G1372" s="59"/>
      <c r="H1372" s="56"/>
      <c r="I1372" s="60" t="str">
        <f aca="false">IF(IsPro,IF($D1372="","",IFERROR(INDEX(Items!$D$5:$D$504,Q1372),"")),IF($D1372="","","PRO PLAN"))</f>
        <v/>
      </c>
      <c r="J1372" s="61" t="str">
        <f aca="false">IF(IsPro,IF($D1372="","",IF($F1372="",IFERROR(INDEX(Items!$G$5:$G$504,Q1372),0),$F1372)),"")</f>
        <v/>
      </c>
      <c r="K1372" s="61" t="str">
        <f aca="false">IF(IsPro,IF($D1372="","",ROUND(N($E1372)*J1372*(1-N($G1372)),2)),"")</f>
        <v/>
      </c>
      <c r="L1372" s="62" t="str">
        <f aca="false">IF(IsPro,IF($D1372="","",IFERROR(INDEX(Items!$F$5:$F$504,Q1372),0)),"")</f>
        <v/>
      </c>
      <c r="M1372" s="61" t="str">
        <f aca="false">IF(IsPro,IF($D1372="","",IF(AND(R1372&lt;&gt;"",INDEX(Parties!$E$5:$E$304,R1372)&lt;&gt;"",INDEX(Parties!$E$5:$E$304,R1372)&lt;&gt;HomeState),0,ROUND(K1372*L1372/2,2))),"")</f>
        <v/>
      </c>
      <c r="N1372" s="61" t="str">
        <f aca="false">IF(IsPro,IF($D1372="","",M1372),"")</f>
        <v/>
      </c>
      <c r="O1372" s="61" t="str">
        <f aca="false">IF(IsPro,IF($D1372="","",IF(AND(R1372&lt;&gt;"",INDEX(Parties!$E$5:$E$304,R1372)&lt;&gt;"",INDEX(Parties!$E$5:$E$304,R1372)&lt;&gt;HomeState),ROUND(K1372*L1372,2),0)),"")</f>
        <v/>
      </c>
      <c r="P1372" s="61" t="str">
        <f aca="false">IF(IsPro,IF($D1372="","",K1372+M1372+N1372+O1372),"")</f>
        <v/>
      </c>
      <c r="Q1372" s="60" t="str">
        <f aca="false">IF(IsPro,IF($D1372="","",IFERROR(MATCH($D1372,Items!$A$5:$A$504,0),"")),"")</f>
        <v/>
      </c>
      <c r="R1372" s="60" t="str">
        <f aca="false">IF(IsPro,IF($C1372="","",IFERROR(MATCH($C1372,Parties!$A$5:$A$304,0),"")),"")</f>
        <v/>
      </c>
      <c r="S1372" s="61" t="str">
        <f aca="false">IF(IsPro,IF($D1372="","",IF(OR($H1372="",$H1372="Credit"),0,P1372)),"")</f>
        <v/>
      </c>
    </row>
    <row r="1373" customFormat="false" ht="15" hidden="false" customHeight="false" outlineLevel="0" collapsed="false">
      <c r="A1373" s="55"/>
      <c r="B1373" s="56"/>
      <c r="C1373" s="56"/>
      <c r="D1373" s="56"/>
      <c r="E1373" s="57"/>
      <c r="F1373" s="58"/>
      <c r="G1373" s="59"/>
      <c r="H1373" s="56"/>
      <c r="I1373" s="60" t="str">
        <f aca="false">IF(IsPro,IF($D1373="","",IFERROR(INDEX(Items!$D$5:$D$504,Q1373),"")),IF($D1373="","","PRO PLAN"))</f>
        <v/>
      </c>
      <c r="J1373" s="61" t="str">
        <f aca="false">IF(IsPro,IF($D1373="","",IF($F1373="",IFERROR(INDEX(Items!$G$5:$G$504,Q1373),0),$F1373)),"")</f>
        <v/>
      </c>
      <c r="K1373" s="61" t="str">
        <f aca="false">IF(IsPro,IF($D1373="","",ROUND(N($E1373)*J1373*(1-N($G1373)),2)),"")</f>
        <v/>
      </c>
      <c r="L1373" s="62" t="str">
        <f aca="false">IF(IsPro,IF($D1373="","",IFERROR(INDEX(Items!$F$5:$F$504,Q1373),0)),"")</f>
        <v/>
      </c>
      <c r="M1373" s="61" t="str">
        <f aca="false">IF(IsPro,IF($D1373="","",IF(AND(R1373&lt;&gt;"",INDEX(Parties!$E$5:$E$304,R1373)&lt;&gt;"",INDEX(Parties!$E$5:$E$304,R1373)&lt;&gt;HomeState),0,ROUND(K1373*L1373/2,2))),"")</f>
        <v/>
      </c>
      <c r="N1373" s="61" t="str">
        <f aca="false">IF(IsPro,IF($D1373="","",M1373),"")</f>
        <v/>
      </c>
      <c r="O1373" s="61" t="str">
        <f aca="false">IF(IsPro,IF($D1373="","",IF(AND(R1373&lt;&gt;"",INDEX(Parties!$E$5:$E$304,R1373)&lt;&gt;"",INDEX(Parties!$E$5:$E$304,R1373)&lt;&gt;HomeState),ROUND(K1373*L1373,2),0)),"")</f>
        <v/>
      </c>
      <c r="P1373" s="61" t="str">
        <f aca="false">IF(IsPro,IF($D1373="","",K1373+M1373+N1373+O1373),"")</f>
        <v/>
      </c>
      <c r="Q1373" s="60" t="str">
        <f aca="false">IF(IsPro,IF($D1373="","",IFERROR(MATCH($D1373,Items!$A$5:$A$504,0),"")),"")</f>
        <v/>
      </c>
      <c r="R1373" s="60" t="str">
        <f aca="false">IF(IsPro,IF($C1373="","",IFERROR(MATCH($C1373,Parties!$A$5:$A$304,0),"")),"")</f>
        <v/>
      </c>
      <c r="S1373" s="61" t="str">
        <f aca="false">IF(IsPro,IF($D1373="","",IF(OR($H1373="",$H1373="Credit"),0,P1373)),"")</f>
        <v/>
      </c>
    </row>
    <row r="1374" customFormat="false" ht="15" hidden="false" customHeight="false" outlineLevel="0" collapsed="false">
      <c r="A1374" s="55"/>
      <c r="B1374" s="56"/>
      <c r="C1374" s="56"/>
      <c r="D1374" s="56"/>
      <c r="E1374" s="57"/>
      <c r="F1374" s="58"/>
      <c r="G1374" s="59"/>
      <c r="H1374" s="56"/>
      <c r="I1374" s="60" t="str">
        <f aca="false">IF(IsPro,IF($D1374="","",IFERROR(INDEX(Items!$D$5:$D$504,Q1374),"")),IF($D1374="","","PRO PLAN"))</f>
        <v/>
      </c>
      <c r="J1374" s="61" t="str">
        <f aca="false">IF(IsPro,IF($D1374="","",IF($F1374="",IFERROR(INDEX(Items!$G$5:$G$504,Q1374),0),$F1374)),"")</f>
        <v/>
      </c>
      <c r="K1374" s="61" t="str">
        <f aca="false">IF(IsPro,IF($D1374="","",ROUND(N($E1374)*J1374*(1-N($G1374)),2)),"")</f>
        <v/>
      </c>
      <c r="L1374" s="62" t="str">
        <f aca="false">IF(IsPro,IF($D1374="","",IFERROR(INDEX(Items!$F$5:$F$504,Q1374),0)),"")</f>
        <v/>
      </c>
      <c r="M1374" s="61" t="str">
        <f aca="false">IF(IsPro,IF($D1374="","",IF(AND(R1374&lt;&gt;"",INDEX(Parties!$E$5:$E$304,R1374)&lt;&gt;"",INDEX(Parties!$E$5:$E$304,R1374)&lt;&gt;HomeState),0,ROUND(K1374*L1374/2,2))),"")</f>
        <v/>
      </c>
      <c r="N1374" s="61" t="str">
        <f aca="false">IF(IsPro,IF($D1374="","",M1374),"")</f>
        <v/>
      </c>
      <c r="O1374" s="61" t="str">
        <f aca="false">IF(IsPro,IF($D1374="","",IF(AND(R1374&lt;&gt;"",INDEX(Parties!$E$5:$E$304,R1374)&lt;&gt;"",INDEX(Parties!$E$5:$E$304,R1374)&lt;&gt;HomeState),ROUND(K1374*L1374,2),0)),"")</f>
        <v/>
      </c>
      <c r="P1374" s="61" t="str">
        <f aca="false">IF(IsPro,IF($D1374="","",K1374+M1374+N1374+O1374),"")</f>
        <v/>
      </c>
      <c r="Q1374" s="60" t="str">
        <f aca="false">IF(IsPro,IF($D1374="","",IFERROR(MATCH($D1374,Items!$A$5:$A$504,0),"")),"")</f>
        <v/>
      </c>
      <c r="R1374" s="60" t="str">
        <f aca="false">IF(IsPro,IF($C1374="","",IFERROR(MATCH($C1374,Parties!$A$5:$A$304,0),"")),"")</f>
        <v/>
      </c>
      <c r="S1374" s="61" t="str">
        <f aca="false">IF(IsPro,IF($D1374="","",IF(OR($H1374="",$H1374="Credit"),0,P1374)),"")</f>
        <v/>
      </c>
    </row>
    <row r="1375" customFormat="false" ht="15" hidden="false" customHeight="false" outlineLevel="0" collapsed="false">
      <c r="A1375" s="55"/>
      <c r="B1375" s="56"/>
      <c r="C1375" s="56"/>
      <c r="D1375" s="56"/>
      <c r="E1375" s="57"/>
      <c r="F1375" s="58"/>
      <c r="G1375" s="59"/>
      <c r="H1375" s="56"/>
      <c r="I1375" s="60" t="str">
        <f aca="false">IF(IsPro,IF($D1375="","",IFERROR(INDEX(Items!$D$5:$D$504,Q1375),"")),IF($D1375="","","PRO PLAN"))</f>
        <v/>
      </c>
      <c r="J1375" s="61" t="str">
        <f aca="false">IF(IsPro,IF($D1375="","",IF($F1375="",IFERROR(INDEX(Items!$G$5:$G$504,Q1375),0),$F1375)),"")</f>
        <v/>
      </c>
      <c r="K1375" s="61" t="str">
        <f aca="false">IF(IsPro,IF($D1375="","",ROUND(N($E1375)*J1375*(1-N($G1375)),2)),"")</f>
        <v/>
      </c>
      <c r="L1375" s="62" t="str">
        <f aca="false">IF(IsPro,IF($D1375="","",IFERROR(INDEX(Items!$F$5:$F$504,Q1375),0)),"")</f>
        <v/>
      </c>
      <c r="M1375" s="61" t="str">
        <f aca="false">IF(IsPro,IF($D1375="","",IF(AND(R1375&lt;&gt;"",INDEX(Parties!$E$5:$E$304,R1375)&lt;&gt;"",INDEX(Parties!$E$5:$E$304,R1375)&lt;&gt;HomeState),0,ROUND(K1375*L1375/2,2))),"")</f>
        <v/>
      </c>
      <c r="N1375" s="61" t="str">
        <f aca="false">IF(IsPro,IF($D1375="","",M1375),"")</f>
        <v/>
      </c>
      <c r="O1375" s="61" t="str">
        <f aca="false">IF(IsPro,IF($D1375="","",IF(AND(R1375&lt;&gt;"",INDEX(Parties!$E$5:$E$304,R1375)&lt;&gt;"",INDEX(Parties!$E$5:$E$304,R1375)&lt;&gt;HomeState),ROUND(K1375*L1375,2),0)),"")</f>
        <v/>
      </c>
      <c r="P1375" s="61" t="str">
        <f aca="false">IF(IsPro,IF($D1375="","",K1375+M1375+N1375+O1375),"")</f>
        <v/>
      </c>
      <c r="Q1375" s="60" t="str">
        <f aca="false">IF(IsPro,IF($D1375="","",IFERROR(MATCH($D1375,Items!$A$5:$A$504,0),"")),"")</f>
        <v/>
      </c>
      <c r="R1375" s="60" t="str">
        <f aca="false">IF(IsPro,IF($C1375="","",IFERROR(MATCH($C1375,Parties!$A$5:$A$304,0),"")),"")</f>
        <v/>
      </c>
      <c r="S1375" s="61" t="str">
        <f aca="false">IF(IsPro,IF($D1375="","",IF(OR($H1375="",$H1375="Credit"),0,P1375)),"")</f>
        <v/>
      </c>
    </row>
    <row r="1376" customFormat="false" ht="15" hidden="false" customHeight="false" outlineLevel="0" collapsed="false">
      <c r="A1376" s="55"/>
      <c r="B1376" s="56"/>
      <c r="C1376" s="56"/>
      <c r="D1376" s="56"/>
      <c r="E1376" s="57"/>
      <c r="F1376" s="58"/>
      <c r="G1376" s="59"/>
      <c r="H1376" s="56"/>
      <c r="I1376" s="60" t="str">
        <f aca="false">IF(IsPro,IF($D1376="","",IFERROR(INDEX(Items!$D$5:$D$504,Q1376),"")),IF($D1376="","","PRO PLAN"))</f>
        <v/>
      </c>
      <c r="J1376" s="61" t="str">
        <f aca="false">IF(IsPro,IF($D1376="","",IF($F1376="",IFERROR(INDEX(Items!$G$5:$G$504,Q1376),0),$F1376)),"")</f>
        <v/>
      </c>
      <c r="K1376" s="61" t="str">
        <f aca="false">IF(IsPro,IF($D1376="","",ROUND(N($E1376)*J1376*(1-N($G1376)),2)),"")</f>
        <v/>
      </c>
      <c r="L1376" s="62" t="str">
        <f aca="false">IF(IsPro,IF($D1376="","",IFERROR(INDEX(Items!$F$5:$F$504,Q1376),0)),"")</f>
        <v/>
      </c>
      <c r="M1376" s="61" t="str">
        <f aca="false">IF(IsPro,IF($D1376="","",IF(AND(R1376&lt;&gt;"",INDEX(Parties!$E$5:$E$304,R1376)&lt;&gt;"",INDEX(Parties!$E$5:$E$304,R1376)&lt;&gt;HomeState),0,ROUND(K1376*L1376/2,2))),"")</f>
        <v/>
      </c>
      <c r="N1376" s="61" t="str">
        <f aca="false">IF(IsPro,IF($D1376="","",M1376),"")</f>
        <v/>
      </c>
      <c r="O1376" s="61" t="str">
        <f aca="false">IF(IsPro,IF($D1376="","",IF(AND(R1376&lt;&gt;"",INDEX(Parties!$E$5:$E$304,R1376)&lt;&gt;"",INDEX(Parties!$E$5:$E$304,R1376)&lt;&gt;HomeState),ROUND(K1376*L1376,2),0)),"")</f>
        <v/>
      </c>
      <c r="P1376" s="61" t="str">
        <f aca="false">IF(IsPro,IF($D1376="","",K1376+M1376+N1376+O1376),"")</f>
        <v/>
      </c>
      <c r="Q1376" s="60" t="str">
        <f aca="false">IF(IsPro,IF($D1376="","",IFERROR(MATCH($D1376,Items!$A$5:$A$504,0),"")),"")</f>
        <v/>
      </c>
      <c r="R1376" s="60" t="str">
        <f aca="false">IF(IsPro,IF($C1376="","",IFERROR(MATCH($C1376,Parties!$A$5:$A$304,0),"")),"")</f>
        <v/>
      </c>
      <c r="S1376" s="61" t="str">
        <f aca="false">IF(IsPro,IF($D1376="","",IF(OR($H1376="",$H1376="Credit"),0,P1376)),"")</f>
        <v/>
      </c>
    </row>
    <row r="1377" customFormat="false" ht="15" hidden="false" customHeight="false" outlineLevel="0" collapsed="false">
      <c r="A1377" s="55"/>
      <c r="B1377" s="56"/>
      <c r="C1377" s="56"/>
      <c r="D1377" s="56"/>
      <c r="E1377" s="57"/>
      <c r="F1377" s="58"/>
      <c r="G1377" s="59"/>
      <c r="H1377" s="56"/>
      <c r="I1377" s="60" t="str">
        <f aca="false">IF(IsPro,IF($D1377="","",IFERROR(INDEX(Items!$D$5:$D$504,Q1377),"")),IF($D1377="","","PRO PLAN"))</f>
        <v/>
      </c>
      <c r="J1377" s="61" t="str">
        <f aca="false">IF(IsPro,IF($D1377="","",IF($F1377="",IFERROR(INDEX(Items!$G$5:$G$504,Q1377),0),$F1377)),"")</f>
        <v/>
      </c>
      <c r="K1377" s="61" t="str">
        <f aca="false">IF(IsPro,IF($D1377="","",ROUND(N($E1377)*J1377*(1-N($G1377)),2)),"")</f>
        <v/>
      </c>
      <c r="L1377" s="62" t="str">
        <f aca="false">IF(IsPro,IF($D1377="","",IFERROR(INDEX(Items!$F$5:$F$504,Q1377),0)),"")</f>
        <v/>
      </c>
      <c r="M1377" s="61" t="str">
        <f aca="false">IF(IsPro,IF($D1377="","",IF(AND(R1377&lt;&gt;"",INDEX(Parties!$E$5:$E$304,R1377)&lt;&gt;"",INDEX(Parties!$E$5:$E$304,R1377)&lt;&gt;HomeState),0,ROUND(K1377*L1377/2,2))),"")</f>
        <v/>
      </c>
      <c r="N1377" s="61" t="str">
        <f aca="false">IF(IsPro,IF($D1377="","",M1377),"")</f>
        <v/>
      </c>
      <c r="O1377" s="61" t="str">
        <f aca="false">IF(IsPro,IF($D1377="","",IF(AND(R1377&lt;&gt;"",INDEX(Parties!$E$5:$E$304,R1377)&lt;&gt;"",INDEX(Parties!$E$5:$E$304,R1377)&lt;&gt;HomeState),ROUND(K1377*L1377,2),0)),"")</f>
        <v/>
      </c>
      <c r="P1377" s="61" t="str">
        <f aca="false">IF(IsPro,IF($D1377="","",K1377+M1377+N1377+O1377),"")</f>
        <v/>
      </c>
      <c r="Q1377" s="60" t="str">
        <f aca="false">IF(IsPro,IF($D1377="","",IFERROR(MATCH($D1377,Items!$A$5:$A$504,0),"")),"")</f>
        <v/>
      </c>
      <c r="R1377" s="60" t="str">
        <f aca="false">IF(IsPro,IF($C1377="","",IFERROR(MATCH($C1377,Parties!$A$5:$A$304,0),"")),"")</f>
        <v/>
      </c>
      <c r="S1377" s="61" t="str">
        <f aca="false">IF(IsPro,IF($D1377="","",IF(OR($H1377="",$H1377="Credit"),0,P1377)),"")</f>
        <v/>
      </c>
    </row>
    <row r="1378" customFormat="false" ht="15" hidden="false" customHeight="false" outlineLevel="0" collapsed="false">
      <c r="A1378" s="55"/>
      <c r="B1378" s="56"/>
      <c r="C1378" s="56"/>
      <c r="D1378" s="56"/>
      <c r="E1378" s="57"/>
      <c r="F1378" s="58"/>
      <c r="G1378" s="59"/>
      <c r="H1378" s="56"/>
      <c r="I1378" s="60" t="str">
        <f aca="false">IF(IsPro,IF($D1378="","",IFERROR(INDEX(Items!$D$5:$D$504,Q1378),"")),IF($D1378="","","PRO PLAN"))</f>
        <v/>
      </c>
      <c r="J1378" s="61" t="str">
        <f aca="false">IF(IsPro,IF($D1378="","",IF($F1378="",IFERROR(INDEX(Items!$G$5:$G$504,Q1378),0),$F1378)),"")</f>
        <v/>
      </c>
      <c r="K1378" s="61" t="str">
        <f aca="false">IF(IsPro,IF($D1378="","",ROUND(N($E1378)*J1378*(1-N($G1378)),2)),"")</f>
        <v/>
      </c>
      <c r="L1378" s="62" t="str">
        <f aca="false">IF(IsPro,IF($D1378="","",IFERROR(INDEX(Items!$F$5:$F$504,Q1378),0)),"")</f>
        <v/>
      </c>
      <c r="M1378" s="61" t="str">
        <f aca="false">IF(IsPro,IF($D1378="","",IF(AND(R1378&lt;&gt;"",INDEX(Parties!$E$5:$E$304,R1378)&lt;&gt;"",INDEX(Parties!$E$5:$E$304,R1378)&lt;&gt;HomeState),0,ROUND(K1378*L1378/2,2))),"")</f>
        <v/>
      </c>
      <c r="N1378" s="61" t="str">
        <f aca="false">IF(IsPro,IF($D1378="","",M1378),"")</f>
        <v/>
      </c>
      <c r="O1378" s="61" t="str">
        <f aca="false">IF(IsPro,IF($D1378="","",IF(AND(R1378&lt;&gt;"",INDEX(Parties!$E$5:$E$304,R1378)&lt;&gt;"",INDEX(Parties!$E$5:$E$304,R1378)&lt;&gt;HomeState),ROUND(K1378*L1378,2),0)),"")</f>
        <v/>
      </c>
      <c r="P1378" s="61" t="str">
        <f aca="false">IF(IsPro,IF($D1378="","",K1378+M1378+N1378+O1378),"")</f>
        <v/>
      </c>
      <c r="Q1378" s="60" t="str">
        <f aca="false">IF(IsPro,IF($D1378="","",IFERROR(MATCH($D1378,Items!$A$5:$A$504,0),"")),"")</f>
        <v/>
      </c>
      <c r="R1378" s="60" t="str">
        <f aca="false">IF(IsPro,IF($C1378="","",IFERROR(MATCH($C1378,Parties!$A$5:$A$304,0),"")),"")</f>
        <v/>
      </c>
      <c r="S1378" s="61" t="str">
        <f aca="false">IF(IsPro,IF($D1378="","",IF(OR($H1378="",$H1378="Credit"),0,P1378)),"")</f>
        <v/>
      </c>
    </row>
    <row r="1379" customFormat="false" ht="15" hidden="false" customHeight="false" outlineLevel="0" collapsed="false">
      <c r="A1379" s="55"/>
      <c r="B1379" s="56"/>
      <c r="C1379" s="56"/>
      <c r="D1379" s="56"/>
      <c r="E1379" s="57"/>
      <c r="F1379" s="58"/>
      <c r="G1379" s="59"/>
      <c r="H1379" s="56"/>
      <c r="I1379" s="60" t="str">
        <f aca="false">IF(IsPro,IF($D1379="","",IFERROR(INDEX(Items!$D$5:$D$504,Q1379),"")),IF($D1379="","","PRO PLAN"))</f>
        <v/>
      </c>
      <c r="J1379" s="61" t="str">
        <f aca="false">IF(IsPro,IF($D1379="","",IF($F1379="",IFERROR(INDEX(Items!$G$5:$G$504,Q1379),0),$F1379)),"")</f>
        <v/>
      </c>
      <c r="K1379" s="61" t="str">
        <f aca="false">IF(IsPro,IF($D1379="","",ROUND(N($E1379)*J1379*(1-N($G1379)),2)),"")</f>
        <v/>
      </c>
      <c r="L1379" s="62" t="str">
        <f aca="false">IF(IsPro,IF($D1379="","",IFERROR(INDEX(Items!$F$5:$F$504,Q1379),0)),"")</f>
        <v/>
      </c>
      <c r="M1379" s="61" t="str">
        <f aca="false">IF(IsPro,IF($D1379="","",IF(AND(R1379&lt;&gt;"",INDEX(Parties!$E$5:$E$304,R1379)&lt;&gt;"",INDEX(Parties!$E$5:$E$304,R1379)&lt;&gt;HomeState),0,ROUND(K1379*L1379/2,2))),"")</f>
        <v/>
      </c>
      <c r="N1379" s="61" t="str">
        <f aca="false">IF(IsPro,IF($D1379="","",M1379),"")</f>
        <v/>
      </c>
      <c r="O1379" s="61" t="str">
        <f aca="false">IF(IsPro,IF($D1379="","",IF(AND(R1379&lt;&gt;"",INDEX(Parties!$E$5:$E$304,R1379)&lt;&gt;"",INDEX(Parties!$E$5:$E$304,R1379)&lt;&gt;HomeState),ROUND(K1379*L1379,2),0)),"")</f>
        <v/>
      </c>
      <c r="P1379" s="61" t="str">
        <f aca="false">IF(IsPro,IF($D1379="","",K1379+M1379+N1379+O1379),"")</f>
        <v/>
      </c>
      <c r="Q1379" s="60" t="str">
        <f aca="false">IF(IsPro,IF($D1379="","",IFERROR(MATCH($D1379,Items!$A$5:$A$504,0),"")),"")</f>
        <v/>
      </c>
      <c r="R1379" s="60" t="str">
        <f aca="false">IF(IsPro,IF($C1379="","",IFERROR(MATCH($C1379,Parties!$A$5:$A$304,0),"")),"")</f>
        <v/>
      </c>
      <c r="S1379" s="61" t="str">
        <f aca="false">IF(IsPro,IF($D1379="","",IF(OR($H1379="",$H1379="Credit"),0,P1379)),"")</f>
        <v/>
      </c>
    </row>
    <row r="1380" customFormat="false" ht="15" hidden="false" customHeight="false" outlineLevel="0" collapsed="false">
      <c r="A1380" s="55"/>
      <c r="B1380" s="56"/>
      <c r="C1380" s="56"/>
      <c r="D1380" s="56"/>
      <c r="E1380" s="57"/>
      <c r="F1380" s="58"/>
      <c r="G1380" s="59"/>
      <c r="H1380" s="56"/>
      <c r="I1380" s="60" t="str">
        <f aca="false">IF(IsPro,IF($D1380="","",IFERROR(INDEX(Items!$D$5:$D$504,Q1380),"")),IF($D1380="","","PRO PLAN"))</f>
        <v/>
      </c>
      <c r="J1380" s="61" t="str">
        <f aca="false">IF(IsPro,IF($D1380="","",IF($F1380="",IFERROR(INDEX(Items!$G$5:$G$504,Q1380),0),$F1380)),"")</f>
        <v/>
      </c>
      <c r="K1380" s="61" t="str">
        <f aca="false">IF(IsPro,IF($D1380="","",ROUND(N($E1380)*J1380*(1-N($G1380)),2)),"")</f>
        <v/>
      </c>
      <c r="L1380" s="62" t="str">
        <f aca="false">IF(IsPro,IF($D1380="","",IFERROR(INDEX(Items!$F$5:$F$504,Q1380),0)),"")</f>
        <v/>
      </c>
      <c r="M1380" s="61" t="str">
        <f aca="false">IF(IsPro,IF($D1380="","",IF(AND(R1380&lt;&gt;"",INDEX(Parties!$E$5:$E$304,R1380)&lt;&gt;"",INDEX(Parties!$E$5:$E$304,R1380)&lt;&gt;HomeState),0,ROUND(K1380*L1380/2,2))),"")</f>
        <v/>
      </c>
      <c r="N1380" s="61" t="str">
        <f aca="false">IF(IsPro,IF($D1380="","",M1380),"")</f>
        <v/>
      </c>
      <c r="O1380" s="61" t="str">
        <f aca="false">IF(IsPro,IF($D1380="","",IF(AND(R1380&lt;&gt;"",INDEX(Parties!$E$5:$E$304,R1380)&lt;&gt;"",INDEX(Parties!$E$5:$E$304,R1380)&lt;&gt;HomeState),ROUND(K1380*L1380,2),0)),"")</f>
        <v/>
      </c>
      <c r="P1380" s="61" t="str">
        <f aca="false">IF(IsPro,IF($D1380="","",K1380+M1380+N1380+O1380),"")</f>
        <v/>
      </c>
      <c r="Q1380" s="60" t="str">
        <f aca="false">IF(IsPro,IF($D1380="","",IFERROR(MATCH($D1380,Items!$A$5:$A$504,0),"")),"")</f>
        <v/>
      </c>
      <c r="R1380" s="60" t="str">
        <f aca="false">IF(IsPro,IF($C1380="","",IFERROR(MATCH($C1380,Parties!$A$5:$A$304,0),"")),"")</f>
        <v/>
      </c>
      <c r="S1380" s="61" t="str">
        <f aca="false">IF(IsPro,IF($D1380="","",IF(OR($H1380="",$H1380="Credit"),0,P1380)),"")</f>
        <v/>
      </c>
    </row>
    <row r="1381" customFormat="false" ht="15" hidden="false" customHeight="false" outlineLevel="0" collapsed="false">
      <c r="A1381" s="55"/>
      <c r="B1381" s="56"/>
      <c r="C1381" s="56"/>
      <c r="D1381" s="56"/>
      <c r="E1381" s="57"/>
      <c r="F1381" s="58"/>
      <c r="G1381" s="59"/>
      <c r="H1381" s="56"/>
      <c r="I1381" s="60" t="str">
        <f aca="false">IF(IsPro,IF($D1381="","",IFERROR(INDEX(Items!$D$5:$D$504,Q1381),"")),IF($D1381="","","PRO PLAN"))</f>
        <v/>
      </c>
      <c r="J1381" s="61" t="str">
        <f aca="false">IF(IsPro,IF($D1381="","",IF($F1381="",IFERROR(INDEX(Items!$G$5:$G$504,Q1381),0),$F1381)),"")</f>
        <v/>
      </c>
      <c r="K1381" s="61" t="str">
        <f aca="false">IF(IsPro,IF($D1381="","",ROUND(N($E1381)*J1381*(1-N($G1381)),2)),"")</f>
        <v/>
      </c>
      <c r="L1381" s="62" t="str">
        <f aca="false">IF(IsPro,IF($D1381="","",IFERROR(INDEX(Items!$F$5:$F$504,Q1381),0)),"")</f>
        <v/>
      </c>
      <c r="M1381" s="61" t="str">
        <f aca="false">IF(IsPro,IF($D1381="","",IF(AND(R1381&lt;&gt;"",INDEX(Parties!$E$5:$E$304,R1381)&lt;&gt;"",INDEX(Parties!$E$5:$E$304,R1381)&lt;&gt;HomeState),0,ROUND(K1381*L1381/2,2))),"")</f>
        <v/>
      </c>
      <c r="N1381" s="61" t="str">
        <f aca="false">IF(IsPro,IF($D1381="","",M1381),"")</f>
        <v/>
      </c>
      <c r="O1381" s="61" t="str">
        <f aca="false">IF(IsPro,IF($D1381="","",IF(AND(R1381&lt;&gt;"",INDEX(Parties!$E$5:$E$304,R1381)&lt;&gt;"",INDEX(Parties!$E$5:$E$304,R1381)&lt;&gt;HomeState),ROUND(K1381*L1381,2),0)),"")</f>
        <v/>
      </c>
      <c r="P1381" s="61" t="str">
        <f aca="false">IF(IsPro,IF($D1381="","",K1381+M1381+N1381+O1381),"")</f>
        <v/>
      </c>
      <c r="Q1381" s="60" t="str">
        <f aca="false">IF(IsPro,IF($D1381="","",IFERROR(MATCH($D1381,Items!$A$5:$A$504,0),"")),"")</f>
        <v/>
      </c>
      <c r="R1381" s="60" t="str">
        <f aca="false">IF(IsPro,IF($C1381="","",IFERROR(MATCH($C1381,Parties!$A$5:$A$304,0),"")),"")</f>
        <v/>
      </c>
      <c r="S1381" s="61" t="str">
        <f aca="false">IF(IsPro,IF($D1381="","",IF(OR($H1381="",$H1381="Credit"),0,P1381)),"")</f>
        <v/>
      </c>
    </row>
    <row r="1382" customFormat="false" ht="15" hidden="false" customHeight="false" outlineLevel="0" collapsed="false">
      <c r="A1382" s="55"/>
      <c r="B1382" s="56"/>
      <c r="C1382" s="56"/>
      <c r="D1382" s="56"/>
      <c r="E1382" s="57"/>
      <c r="F1382" s="58"/>
      <c r="G1382" s="59"/>
      <c r="H1382" s="56"/>
      <c r="I1382" s="60" t="str">
        <f aca="false">IF(IsPro,IF($D1382="","",IFERROR(INDEX(Items!$D$5:$D$504,Q1382),"")),IF($D1382="","","PRO PLAN"))</f>
        <v/>
      </c>
      <c r="J1382" s="61" t="str">
        <f aca="false">IF(IsPro,IF($D1382="","",IF($F1382="",IFERROR(INDEX(Items!$G$5:$G$504,Q1382),0),$F1382)),"")</f>
        <v/>
      </c>
      <c r="K1382" s="61" t="str">
        <f aca="false">IF(IsPro,IF($D1382="","",ROUND(N($E1382)*J1382*(1-N($G1382)),2)),"")</f>
        <v/>
      </c>
      <c r="L1382" s="62" t="str">
        <f aca="false">IF(IsPro,IF($D1382="","",IFERROR(INDEX(Items!$F$5:$F$504,Q1382),0)),"")</f>
        <v/>
      </c>
      <c r="M1382" s="61" t="str">
        <f aca="false">IF(IsPro,IF($D1382="","",IF(AND(R1382&lt;&gt;"",INDEX(Parties!$E$5:$E$304,R1382)&lt;&gt;"",INDEX(Parties!$E$5:$E$304,R1382)&lt;&gt;HomeState),0,ROUND(K1382*L1382/2,2))),"")</f>
        <v/>
      </c>
      <c r="N1382" s="61" t="str">
        <f aca="false">IF(IsPro,IF($D1382="","",M1382),"")</f>
        <v/>
      </c>
      <c r="O1382" s="61" t="str">
        <f aca="false">IF(IsPro,IF($D1382="","",IF(AND(R1382&lt;&gt;"",INDEX(Parties!$E$5:$E$304,R1382)&lt;&gt;"",INDEX(Parties!$E$5:$E$304,R1382)&lt;&gt;HomeState),ROUND(K1382*L1382,2),0)),"")</f>
        <v/>
      </c>
      <c r="P1382" s="61" t="str">
        <f aca="false">IF(IsPro,IF($D1382="","",K1382+M1382+N1382+O1382),"")</f>
        <v/>
      </c>
      <c r="Q1382" s="60" t="str">
        <f aca="false">IF(IsPro,IF($D1382="","",IFERROR(MATCH($D1382,Items!$A$5:$A$504,0),"")),"")</f>
        <v/>
      </c>
      <c r="R1382" s="60" t="str">
        <f aca="false">IF(IsPro,IF($C1382="","",IFERROR(MATCH($C1382,Parties!$A$5:$A$304,0),"")),"")</f>
        <v/>
      </c>
      <c r="S1382" s="61" t="str">
        <f aca="false">IF(IsPro,IF($D1382="","",IF(OR($H1382="",$H1382="Credit"),0,P1382)),"")</f>
        <v/>
      </c>
    </row>
    <row r="1383" customFormat="false" ht="15" hidden="false" customHeight="false" outlineLevel="0" collapsed="false">
      <c r="A1383" s="55"/>
      <c r="B1383" s="56"/>
      <c r="C1383" s="56"/>
      <c r="D1383" s="56"/>
      <c r="E1383" s="57"/>
      <c r="F1383" s="58"/>
      <c r="G1383" s="59"/>
      <c r="H1383" s="56"/>
      <c r="I1383" s="60" t="str">
        <f aca="false">IF(IsPro,IF($D1383="","",IFERROR(INDEX(Items!$D$5:$D$504,Q1383),"")),IF($D1383="","","PRO PLAN"))</f>
        <v/>
      </c>
      <c r="J1383" s="61" t="str">
        <f aca="false">IF(IsPro,IF($D1383="","",IF($F1383="",IFERROR(INDEX(Items!$G$5:$G$504,Q1383),0),$F1383)),"")</f>
        <v/>
      </c>
      <c r="K1383" s="61" t="str">
        <f aca="false">IF(IsPro,IF($D1383="","",ROUND(N($E1383)*J1383*(1-N($G1383)),2)),"")</f>
        <v/>
      </c>
      <c r="L1383" s="62" t="str">
        <f aca="false">IF(IsPro,IF($D1383="","",IFERROR(INDEX(Items!$F$5:$F$504,Q1383),0)),"")</f>
        <v/>
      </c>
      <c r="M1383" s="61" t="str">
        <f aca="false">IF(IsPro,IF($D1383="","",IF(AND(R1383&lt;&gt;"",INDEX(Parties!$E$5:$E$304,R1383)&lt;&gt;"",INDEX(Parties!$E$5:$E$304,R1383)&lt;&gt;HomeState),0,ROUND(K1383*L1383/2,2))),"")</f>
        <v/>
      </c>
      <c r="N1383" s="61" t="str">
        <f aca="false">IF(IsPro,IF($D1383="","",M1383),"")</f>
        <v/>
      </c>
      <c r="O1383" s="61" t="str">
        <f aca="false">IF(IsPro,IF($D1383="","",IF(AND(R1383&lt;&gt;"",INDEX(Parties!$E$5:$E$304,R1383)&lt;&gt;"",INDEX(Parties!$E$5:$E$304,R1383)&lt;&gt;HomeState),ROUND(K1383*L1383,2),0)),"")</f>
        <v/>
      </c>
      <c r="P1383" s="61" t="str">
        <f aca="false">IF(IsPro,IF($D1383="","",K1383+M1383+N1383+O1383),"")</f>
        <v/>
      </c>
      <c r="Q1383" s="60" t="str">
        <f aca="false">IF(IsPro,IF($D1383="","",IFERROR(MATCH($D1383,Items!$A$5:$A$504,0),"")),"")</f>
        <v/>
      </c>
      <c r="R1383" s="60" t="str">
        <f aca="false">IF(IsPro,IF($C1383="","",IFERROR(MATCH($C1383,Parties!$A$5:$A$304,0),"")),"")</f>
        <v/>
      </c>
      <c r="S1383" s="61" t="str">
        <f aca="false">IF(IsPro,IF($D1383="","",IF(OR($H1383="",$H1383="Credit"),0,P1383)),"")</f>
        <v/>
      </c>
    </row>
    <row r="1384" customFormat="false" ht="15" hidden="false" customHeight="false" outlineLevel="0" collapsed="false">
      <c r="A1384" s="55"/>
      <c r="B1384" s="56"/>
      <c r="C1384" s="56"/>
      <c r="D1384" s="56"/>
      <c r="E1384" s="57"/>
      <c r="F1384" s="58"/>
      <c r="G1384" s="59"/>
      <c r="H1384" s="56"/>
      <c r="I1384" s="60" t="str">
        <f aca="false">IF(IsPro,IF($D1384="","",IFERROR(INDEX(Items!$D$5:$D$504,Q1384),"")),IF($D1384="","","PRO PLAN"))</f>
        <v/>
      </c>
      <c r="J1384" s="61" t="str">
        <f aca="false">IF(IsPro,IF($D1384="","",IF($F1384="",IFERROR(INDEX(Items!$G$5:$G$504,Q1384),0),$F1384)),"")</f>
        <v/>
      </c>
      <c r="K1384" s="61" t="str">
        <f aca="false">IF(IsPro,IF($D1384="","",ROUND(N($E1384)*J1384*(1-N($G1384)),2)),"")</f>
        <v/>
      </c>
      <c r="L1384" s="62" t="str">
        <f aca="false">IF(IsPro,IF($D1384="","",IFERROR(INDEX(Items!$F$5:$F$504,Q1384),0)),"")</f>
        <v/>
      </c>
      <c r="M1384" s="61" t="str">
        <f aca="false">IF(IsPro,IF($D1384="","",IF(AND(R1384&lt;&gt;"",INDEX(Parties!$E$5:$E$304,R1384)&lt;&gt;"",INDEX(Parties!$E$5:$E$304,R1384)&lt;&gt;HomeState),0,ROUND(K1384*L1384/2,2))),"")</f>
        <v/>
      </c>
      <c r="N1384" s="61" t="str">
        <f aca="false">IF(IsPro,IF($D1384="","",M1384),"")</f>
        <v/>
      </c>
      <c r="O1384" s="61" t="str">
        <f aca="false">IF(IsPro,IF($D1384="","",IF(AND(R1384&lt;&gt;"",INDEX(Parties!$E$5:$E$304,R1384)&lt;&gt;"",INDEX(Parties!$E$5:$E$304,R1384)&lt;&gt;HomeState),ROUND(K1384*L1384,2),0)),"")</f>
        <v/>
      </c>
      <c r="P1384" s="61" t="str">
        <f aca="false">IF(IsPro,IF($D1384="","",K1384+M1384+N1384+O1384),"")</f>
        <v/>
      </c>
      <c r="Q1384" s="60" t="str">
        <f aca="false">IF(IsPro,IF($D1384="","",IFERROR(MATCH($D1384,Items!$A$5:$A$504,0),"")),"")</f>
        <v/>
      </c>
      <c r="R1384" s="60" t="str">
        <f aca="false">IF(IsPro,IF($C1384="","",IFERROR(MATCH($C1384,Parties!$A$5:$A$304,0),"")),"")</f>
        <v/>
      </c>
      <c r="S1384" s="61" t="str">
        <f aca="false">IF(IsPro,IF($D1384="","",IF(OR($H1384="",$H1384="Credit"),0,P1384)),"")</f>
        <v/>
      </c>
    </row>
    <row r="1385" customFormat="false" ht="15" hidden="false" customHeight="false" outlineLevel="0" collapsed="false">
      <c r="A1385" s="55"/>
      <c r="B1385" s="56"/>
      <c r="C1385" s="56"/>
      <c r="D1385" s="56"/>
      <c r="E1385" s="57"/>
      <c r="F1385" s="58"/>
      <c r="G1385" s="59"/>
      <c r="H1385" s="56"/>
      <c r="I1385" s="60" t="str">
        <f aca="false">IF(IsPro,IF($D1385="","",IFERROR(INDEX(Items!$D$5:$D$504,Q1385),"")),IF($D1385="","","PRO PLAN"))</f>
        <v/>
      </c>
      <c r="J1385" s="61" t="str">
        <f aca="false">IF(IsPro,IF($D1385="","",IF($F1385="",IFERROR(INDEX(Items!$G$5:$G$504,Q1385),0),$F1385)),"")</f>
        <v/>
      </c>
      <c r="K1385" s="61" t="str">
        <f aca="false">IF(IsPro,IF($D1385="","",ROUND(N($E1385)*J1385*(1-N($G1385)),2)),"")</f>
        <v/>
      </c>
      <c r="L1385" s="62" t="str">
        <f aca="false">IF(IsPro,IF($D1385="","",IFERROR(INDEX(Items!$F$5:$F$504,Q1385),0)),"")</f>
        <v/>
      </c>
      <c r="M1385" s="61" t="str">
        <f aca="false">IF(IsPro,IF($D1385="","",IF(AND(R1385&lt;&gt;"",INDEX(Parties!$E$5:$E$304,R1385)&lt;&gt;"",INDEX(Parties!$E$5:$E$304,R1385)&lt;&gt;HomeState),0,ROUND(K1385*L1385/2,2))),"")</f>
        <v/>
      </c>
      <c r="N1385" s="61" t="str">
        <f aca="false">IF(IsPro,IF($D1385="","",M1385),"")</f>
        <v/>
      </c>
      <c r="O1385" s="61" t="str">
        <f aca="false">IF(IsPro,IF($D1385="","",IF(AND(R1385&lt;&gt;"",INDEX(Parties!$E$5:$E$304,R1385)&lt;&gt;"",INDEX(Parties!$E$5:$E$304,R1385)&lt;&gt;HomeState),ROUND(K1385*L1385,2),0)),"")</f>
        <v/>
      </c>
      <c r="P1385" s="61" t="str">
        <f aca="false">IF(IsPro,IF($D1385="","",K1385+M1385+N1385+O1385),"")</f>
        <v/>
      </c>
      <c r="Q1385" s="60" t="str">
        <f aca="false">IF(IsPro,IF($D1385="","",IFERROR(MATCH($D1385,Items!$A$5:$A$504,0),"")),"")</f>
        <v/>
      </c>
      <c r="R1385" s="60" t="str">
        <f aca="false">IF(IsPro,IF($C1385="","",IFERROR(MATCH($C1385,Parties!$A$5:$A$304,0),"")),"")</f>
        <v/>
      </c>
      <c r="S1385" s="61" t="str">
        <f aca="false">IF(IsPro,IF($D1385="","",IF(OR($H1385="",$H1385="Credit"),0,P1385)),"")</f>
        <v/>
      </c>
    </row>
    <row r="1386" customFormat="false" ht="15" hidden="false" customHeight="false" outlineLevel="0" collapsed="false">
      <c r="A1386" s="55"/>
      <c r="B1386" s="56"/>
      <c r="C1386" s="56"/>
      <c r="D1386" s="56"/>
      <c r="E1386" s="57"/>
      <c r="F1386" s="58"/>
      <c r="G1386" s="59"/>
      <c r="H1386" s="56"/>
      <c r="I1386" s="60" t="str">
        <f aca="false">IF(IsPro,IF($D1386="","",IFERROR(INDEX(Items!$D$5:$D$504,Q1386),"")),IF($D1386="","","PRO PLAN"))</f>
        <v/>
      </c>
      <c r="J1386" s="61" t="str">
        <f aca="false">IF(IsPro,IF($D1386="","",IF($F1386="",IFERROR(INDEX(Items!$G$5:$G$504,Q1386),0),$F1386)),"")</f>
        <v/>
      </c>
      <c r="K1386" s="61" t="str">
        <f aca="false">IF(IsPro,IF($D1386="","",ROUND(N($E1386)*J1386*(1-N($G1386)),2)),"")</f>
        <v/>
      </c>
      <c r="L1386" s="62" t="str">
        <f aca="false">IF(IsPro,IF($D1386="","",IFERROR(INDEX(Items!$F$5:$F$504,Q1386),0)),"")</f>
        <v/>
      </c>
      <c r="M1386" s="61" t="str">
        <f aca="false">IF(IsPro,IF($D1386="","",IF(AND(R1386&lt;&gt;"",INDEX(Parties!$E$5:$E$304,R1386)&lt;&gt;"",INDEX(Parties!$E$5:$E$304,R1386)&lt;&gt;HomeState),0,ROUND(K1386*L1386/2,2))),"")</f>
        <v/>
      </c>
      <c r="N1386" s="61" t="str">
        <f aca="false">IF(IsPro,IF($D1386="","",M1386),"")</f>
        <v/>
      </c>
      <c r="O1386" s="61" t="str">
        <f aca="false">IF(IsPro,IF($D1386="","",IF(AND(R1386&lt;&gt;"",INDEX(Parties!$E$5:$E$304,R1386)&lt;&gt;"",INDEX(Parties!$E$5:$E$304,R1386)&lt;&gt;HomeState),ROUND(K1386*L1386,2),0)),"")</f>
        <v/>
      </c>
      <c r="P1386" s="61" t="str">
        <f aca="false">IF(IsPro,IF($D1386="","",K1386+M1386+N1386+O1386),"")</f>
        <v/>
      </c>
      <c r="Q1386" s="60" t="str">
        <f aca="false">IF(IsPro,IF($D1386="","",IFERROR(MATCH($D1386,Items!$A$5:$A$504,0),"")),"")</f>
        <v/>
      </c>
      <c r="R1386" s="60" t="str">
        <f aca="false">IF(IsPro,IF($C1386="","",IFERROR(MATCH($C1386,Parties!$A$5:$A$304,0),"")),"")</f>
        <v/>
      </c>
      <c r="S1386" s="61" t="str">
        <f aca="false">IF(IsPro,IF($D1386="","",IF(OR($H1386="",$H1386="Credit"),0,P1386)),"")</f>
        <v/>
      </c>
    </row>
    <row r="1387" customFormat="false" ht="15" hidden="false" customHeight="false" outlineLevel="0" collapsed="false">
      <c r="A1387" s="55"/>
      <c r="B1387" s="56"/>
      <c r="C1387" s="56"/>
      <c r="D1387" s="56"/>
      <c r="E1387" s="57"/>
      <c r="F1387" s="58"/>
      <c r="G1387" s="59"/>
      <c r="H1387" s="56"/>
      <c r="I1387" s="60" t="str">
        <f aca="false">IF(IsPro,IF($D1387="","",IFERROR(INDEX(Items!$D$5:$D$504,Q1387),"")),IF($D1387="","","PRO PLAN"))</f>
        <v/>
      </c>
      <c r="J1387" s="61" t="str">
        <f aca="false">IF(IsPro,IF($D1387="","",IF($F1387="",IFERROR(INDEX(Items!$G$5:$G$504,Q1387),0),$F1387)),"")</f>
        <v/>
      </c>
      <c r="K1387" s="61" t="str">
        <f aca="false">IF(IsPro,IF($D1387="","",ROUND(N($E1387)*J1387*(1-N($G1387)),2)),"")</f>
        <v/>
      </c>
      <c r="L1387" s="62" t="str">
        <f aca="false">IF(IsPro,IF($D1387="","",IFERROR(INDEX(Items!$F$5:$F$504,Q1387),0)),"")</f>
        <v/>
      </c>
      <c r="M1387" s="61" t="str">
        <f aca="false">IF(IsPro,IF($D1387="","",IF(AND(R1387&lt;&gt;"",INDEX(Parties!$E$5:$E$304,R1387)&lt;&gt;"",INDEX(Parties!$E$5:$E$304,R1387)&lt;&gt;HomeState),0,ROUND(K1387*L1387/2,2))),"")</f>
        <v/>
      </c>
      <c r="N1387" s="61" t="str">
        <f aca="false">IF(IsPro,IF($D1387="","",M1387),"")</f>
        <v/>
      </c>
      <c r="O1387" s="61" t="str">
        <f aca="false">IF(IsPro,IF($D1387="","",IF(AND(R1387&lt;&gt;"",INDEX(Parties!$E$5:$E$304,R1387)&lt;&gt;"",INDEX(Parties!$E$5:$E$304,R1387)&lt;&gt;HomeState),ROUND(K1387*L1387,2),0)),"")</f>
        <v/>
      </c>
      <c r="P1387" s="61" t="str">
        <f aca="false">IF(IsPro,IF($D1387="","",K1387+M1387+N1387+O1387),"")</f>
        <v/>
      </c>
      <c r="Q1387" s="60" t="str">
        <f aca="false">IF(IsPro,IF($D1387="","",IFERROR(MATCH($D1387,Items!$A$5:$A$504,0),"")),"")</f>
        <v/>
      </c>
      <c r="R1387" s="60" t="str">
        <f aca="false">IF(IsPro,IF($C1387="","",IFERROR(MATCH($C1387,Parties!$A$5:$A$304,0),"")),"")</f>
        <v/>
      </c>
      <c r="S1387" s="61" t="str">
        <f aca="false">IF(IsPro,IF($D1387="","",IF(OR($H1387="",$H1387="Credit"),0,P1387)),"")</f>
        <v/>
      </c>
    </row>
    <row r="1388" customFormat="false" ht="15" hidden="false" customHeight="false" outlineLevel="0" collapsed="false">
      <c r="A1388" s="55"/>
      <c r="B1388" s="56"/>
      <c r="C1388" s="56"/>
      <c r="D1388" s="56"/>
      <c r="E1388" s="57"/>
      <c r="F1388" s="58"/>
      <c r="G1388" s="59"/>
      <c r="H1388" s="56"/>
      <c r="I1388" s="60" t="str">
        <f aca="false">IF(IsPro,IF($D1388="","",IFERROR(INDEX(Items!$D$5:$D$504,Q1388),"")),IF($D1388="","","PRO PLAN"))</f>
        <v/>
      </c>
      <c r="J1388" s="61" t="str">
        <f aca="false">IF(IsPro,IF($D1388="","",IF($F1388="",IFERROR(INDEX(Items!$G$5:$G$504,Q1388),0),$F1388)),"")</f>
        <v/>
      </c>
      <c r="K1388" s="61" t="str">
        <f aca="false">IF(IsPro,IF($D1388="","",ROUND(N($E1388)*J1388*(1-N($G1388)),2)),"")</f>
        <v/>
      </c>
      <c r="L1388" s="62" t="str">
        <f aca="false">IF(IsPro,IF($D1388="","",IFERROR(INDEX(Items!$F$5:$F$504,Q1388),0)),"")</f>
        <v/>
      </c>
      <c r="M1388" s="61" t="str">
        <f aca="false">IF(IsPro,IF($D1388="","",IF(AND(R1388&lt;&gt;"",INDEX(Parties!$E$5:$E$304,R1388)&lt;&gt;"",INDEX(Parties!$E$5:$E$304,R1388)&lt;&gt;HomeState),0,ROUND(K1388*L1388/2,2))),"")</f>
        <v/>
      </c>
      <c r="N1388" s="61" t="str">
        <f aca="false">IF(IsPro,IF($D1388="","",M1388),"")</f>
        <v/>
      </c>
      <c r="O1388" s="61" t="str">
        <f aca="false">IF(IsPro,IF($D1388="","",IF(AND(R1388&lt;&gt;"",INDEX(Parties!$E$5:$E$304,R1388)&lt;&gt;"",INDEX(Parties!$E$5:$E$304,R1388)&lt;&gt;HomeState),ROUND(K1388*L1388,2),0)),"")</f>
        <v/>
      </c>
      <c r="P1388" s="61" t="str">
        <f aca="false">IF(IsPro,IF($D1388="","",K1388+M1388+N1388+O1388),"")</f>
        <v/>
      </c>
      <c r="Q1388" s="60" t="str">
        <f aca="false">IF(IsPro,IF($D1388="","",IFERROR(MATCH($D1388,Items!$A$5:$A$504,0),"")),"")</f>
        <v/>
      </c>
      <c r="R1388" s="60" t="str">
        <f aca="false">IF(IsPro,IF($C1388="","",IFERROR(MATCH($C1388,Parties!$A$5:$A$304,0),"")),"")</f>
        <v/>
      </c>
      <c r="S1388" s="61" t="str">
        <f aca="false">IF(IsPro,IF($D1388="","",IF(OR($H1388="",$H1388="Credit"),0,P1388)),"")</f>
        <v/>
      </c>
    </row>
    <row r="1389" customFormat="false" ht="15" hidden="false" customHeight="false" outlineLevel="0" collapsed="false">
      <c r="A1389" s="55"/>
      <c r="B1389" s="56"/>
      <c r="C1389" s="56"/>
      <c r="D1389" s="56"/>
      <c r="E1389" s="57"/>
      <c r="F1389" s="58"/>
      <c r="G1389" s="59"/>
      <c r="H1389" s="56"/>
      <c r="I1389" s="60" t="str">
        <f aca="false">IF(IsPro,IF($D1389="","",IFERROR(INDEX(Items!$D$5:$D$504,Q1389),"")),IF($D1389="","","PRO PLAN"))</f>
        <v/>
      </c>
      <c r="J1389" s="61" t="str">
        <f aca="false">IF(IsPro,IF($D1389="","",IF($F1389="",IFERROR(INDEX(Items!$G$5:$G$504,Q1389),0),$F1389)),"")</f>
        <v/>
      </c>
      <c r="K1389" s="61" t="str">
        <f aca="false">IF(IsPro,IF($D1389="","",ROUND(N($E1389)*J1389*(1-N($G1389)),2)),"")</f>
        <v/>
      </c>
      <c r="L1389" s="62" t="str">
        <f aca="false">IF(IsPro,IF($D1389="","",IFERROR(INDEX(Items!$F$5:$F$504,Q1389),0)),"")</f>
        <v/>
      </c>
      <c r="M1389" s="61" t="str">
        <f aca="false">IF(IsPro,IF($D1389="","",IF(AND(R1389&lt;&gt;"",INDEX(Parties!$E$5:$E$304,R1389)&lt;&gt;"",INDEX(Parties!$E$5:$E$304,R1389)&lt;&gt;HomeState),0,ROUND(K1389*L1389/2,2))),"")</f>
        <v/>
      </c>
      <c r="N1389" s="61" t="str">
        <f aca="false">IF(IsPro,IF($D1389="","",M1389),"")</f>
        <v/>
      </c>
      <c r="O1389" s="61" t="str">
        <f aca="false">IF(IsPro,IF($D1389="","",IF(AND(R1389&lt;&gt;"",INDEX(Parties!$E$5:$E$304,R1389)&lt;&gt;"",INDEX(Parties!$E$5:$E$304,R1389)&lt;&gt;HomeState),ROUND(K1389*L1389,2),0)),"")</f>
        <v/>
      </c>
      <c r="P1389" s="61" t="str">
        <f aca="false">IF(IsPro,IF($D1389="","",K1389+M1389+N1389+O1389),"")</f>
        <v/>
      </c>
      <c r="Q1389" s="60" t="str">
        <f aca="false">IF(IsPro,IF($D1389="","",IFERROR(MATCH($D1389,Items!$A$5:$A$504,0),"")),"")</f>
        <v/>
      </c>
      <c r="R1389" s="60" t="str">
        <f aca="false">IF(IsPro,IF($C1389="","",IFERROR(MATCH($C1389,Parties!$A$5:$A$304,0),"")),"")</f>
        <v/>
      </c>
      <c r="S1389" s="61" t="str">
        <f aca="false">IF(IsPro,IF($D1389="","",IF(OR($H1389="",$H1389="Credit"),0,P1389)),"")</f>
        <v/>
      </c>
    </row>
    <row r="1390" customFormat="false" ht="15" hidden="false" customHeight="false" outlineLevel="0" collapsed="false">
      <c r="A1390" s="55"/>
      <c r="B1390" s="56"/>
      <c r="C1390" s="56"/>
      <c r="D1390" s="56"/>
      <c r="E1390" s="57"/>
      <c r="F1390" s="58"/>
      <c r="G1390" s="59"/>
      <c r="H1390" s="56"/>
      <c r="I1390" s="60" t="str">
        <f aca="false">IF(IsPro,IF($D1390="","",IFERROR(INDEX(Items!$D$5:$D$504,Q1390),"")),IF($D1390="","","PRO PLAN"))</f>
        <v/>
      </c>
      <c r="J1390" s="61" t="str">
        <f aca="false">IF(IsPro,IF($D1390="","",IF($F1390="",IFERROR(INDEX(Items!$G$5:$G$504,Q1390),0),$F1390)),"")</f>
        <v/>
      </c>
      <c r="K1390" s="61" t="str">
        <f aca="false">IF(IsPro,IF($D1390="","",ROUND(N($E1390)*J1390*(1-N($G1390)),2)),"")</f>
        <v/>
      </c>
      <c r="L1390" s="62" t="str">
        <f aca="false">IF(IsPro,IF($D1390="","",IFERROR(INDEX(Items!$F$5:$F$504,Q1390),0)),"")</f>
        <v/>
      </c>
      <c r="M1390" s="61" t="str">
        <f aca="false">IF(IsPro,IF($D1390="","",IF(AND(R1390&lt;&gt;"",INDEX(Parties!$E$5:$E$304,R1390)&lt;&gt;"",INDEX(Parties!$E$5:$E$304,R1390)&lt;&gt;HomeState),0,ROUND(K1390*L1390/2,2))),"")</f>
        <v/>
      </c>
      <c r="N1390" s="61" t="str">
        <f aca="false">IF(IsPro,IF($D1390="","",M1390),"")</f>
        <v/>
      </c>
      <c r="O1390" s="61" t="str">
        <f aca="false">IF(IsPro,IF($D1390="","",IF(AND(R1390&lt;&gt;"",INDEX(Parties!$E$5:$E$304,R1390)&lt;&gt;"",INDEX(Parties!$E$5:$E$304,R1390)&lt;&gt;HomeState),ROUND(K1390*L1390,2),0)),"")</f>
        <v/>
      </c>
      <c r="P1390" s="61" t="str">
        <f aca="false">IF(IsPro,IF($D1390="","",K1390+M1390+N1390+O1390),"")</f>
        <v/>
      </c>
      <c r="Q1390" s="60" t="str">
        <f aca="false">IF(IsPro,IF($D1390="","",IFERROR(MATCH($D1390,Items!$A$5:$A$504,0),"")),"")</f>
        <v/>
      </c>
      <c r="R1390" s="60" t="str">
        <f aca="false">IF(IsPro,IF($C1390="","",IFERROR(MATCH($C1390,Parties!$A$5:$A$304,0),"")),"")</f>
        <v/>
      </c>
      <c r="S1390" s="61" t="str">
        <f aca="false">IF(IsPro,IF($D1390="","",IF(OR($H1390="",$H1390="Credit"),0,P1390)),"")</f>
        <v/>
      </c>
    </row>
    <row r="1391" customFormat="false" ht="15" hidden="false" customHeight="false" outlineLevel="0" collapsed="false">
      <c r="A1391" s="55"/>
      <c r="B1391" s="56"/>
      <c r="C1391" s="56"/>
      <c r="D1391" s="56"/>
      <c r="E1391" s="57"/>
      <c r="F1391" s="58"/>
      <c r="G1391" s="59"/>
      <c r="H1391" s="56"/>
      <c r="I1391" s="60" t="str">
        <f aca="false">IF(IsPro,IF($D1391="","",IFERROR(INDEX(Items!$D$5:$D$504,Q1391),"")),IF($D1391="","","PRO PLAN"))</f>
        <v/>
      </c>
      <c r="J1391" s="61" t="str">
        <f aca="false">IF(IsPro,IF($D1391="","",IF($F1391="",IFERROR(INDEX(Items!$G$5:$G$504,Q1391),0),$F1391)),"")</f>
        <v/>
      </c>
      <c r="K1391" s="61" t="str">
        <f aca="false">IF(IsPro,IF($D1391="","",ROUND(N($E1391)*J1391*(1-N($G1391)),2)),"")</f>
        <v/>
      </c>
      <c r="L1391" s="62" t="str">
        <f aca="false">IF(IsPro,IF($D1391="","",IFERROR(INDEX(Items!$F$5:$F$504,Q1391),0)),"")</f>
        <v/>
      </c>
      <c r="M1391" s="61" t="str">
        <f aca="false">IF(IsPro,IF($D1391="","",IF(AND(R1391&lt;&gt;"",INDEX(Parties!$E$5:$E$304,R1391)&lt;&gt;"",INDEX(Parties!$E$5:$E$304,R1391)&lt;&gt;HomeState),0,ROUND(K1391*L1391/2,2))),"")</f>
        <v/>
      </c>
      <c r="N1391" s="61" t="str">
        <f aca="false">IF(IsPro,IF($D1391="","",M1391),"")</f>
        <v/>
      </c>
      <c r="O1391" s="61" t="str">
        <f aca="false">IF(IsPro,IF($D1391="","",IF(AND(R1391&lt;&gt;"",INDEX(Parties!$E$5:$E$304,R1391)&lt;&gt;"",INDEX(Parties!$E$5:$E$304,R1391)&lt;&gt;HomeState),ROUND(K1391*L1391,2),0)),"")</f>
        <v/>
      </c>
      <c r="P1391" s="61" t="str">
        <f aca="false">IF(IsPro,IF($D1391="","",K1391+M1391+N1391+O1391),"")</f>
        <v/>
      </c>
      <c r="Q1391" s="60" t="str">
        <f aca="false">IF(IsPro,IF($D1391="","",IFERROR(MATCH($D1391,Items!$A$5:$A$504,0),"")),"")</f>
        <v/>
      </c>
      <c r="R1391" s="60" t="str">
        <f aca="false">IF(IsPro,IF($C1391="","",IFERROR(MATCH($C1391,Parties!$A$5:$A$304,0),"")),"")</f>
        <v/>
      </c>
      <c r="S1391" s="61" t="str">
        <f aca="false">IF(IsPro,IF($D1391="","",IF(OR($H1391="",$H1391="Credit"),0,P1391)),"")</f>
        <v/>
      </c>
    </row>
    <row r="1392" customFormat="false" ht="15" hidden="false" customHeight="false" outlineLevel="0" collapsed="false">
      <c r="A1392" s="55"/>
      <c r="B1392" s="56"/>
      <c r="C1392" s="56"/>
      <c r="D1392" s="56"/>
      <c r="E1392" s="57"/>
      <c r="F1392" s="58"/>
      <c r="G1392" s="59"/>
      <c r="H1392" s="56"/>
      <c r="I1392" s="60" t="str">
        <f aca="false">IF(IsPro,IF($D1392="","",IFERROR(INDEX(Items!$D$5:$D$504,Q1392),"")),IF($D1392="","","PRO PLAN"))</f>
        <v/>
      </c>
      <c r="J1392" s="61" t="str">
        <f aca="false">IF(IsPro,IF($D1392="","",IF($F1392="",IFERROR(INDEX(Items!$G$5:$G$504,Q1392),0),$F1392)),"")</f>
        <v/>
      </c>
      <c r="K1392" s="61" t="str">
        <f aca="false">IF(IsPro,IF($D1392="","",ROUND(N($E1392)*J1392*(1-N($G1392)),2)),"")</f>
        <v/>
      </c>
      <c r="L1392" s="62" t="str">
        <f aca="false">IF(IsPro,IF($D1392="","",IFERROR(INDEX(Items!$F$5:$F$504,Q1392),0)),"")</f>
        <v/>
      </c>
      <c r="M1392" s="61" t="str">
        <f aca="false">IF(IsPro,IF($D1392="","",IF(AND(R1392&lt;&gt;"",INDEX(Parties!$E$5:$E$304,R1392)&lt;&gt;"",INDEX(Parties!$E$5:$E$304,R1392)&lt;&gt;HomeState),0,ROUND(K1392*L1392/2,2))),"")</f>
        <v/>
      </c>
      <c r="N1392" s="61" t="str">
        <f aca="false">IF(IsPro,IF($D1392="","",M1392),"")</f>
        <v/>
      </c>
      <c r="O1392" s="61" t="str">
        <f aca="false">IF(IsPro,IF($D1392="","",IF(AND(R1392&lt;&gt;"",INDEX(Parties!$E$5:$E$304,R1392)&lt;&gt;"",INDEX(Parties!$E$5:$E$304,R1392)&lt;&gt;HomeState),ROUND(K1392*L1392,2),0)),"")</f>
        <v/>
      </c>
      <c r="P1392" s="61" t="str">
        <f aca="false">IF(IsPro,IF($D1392="","",K1392+M1392+N1392+O1392),"")</f>
        <v/>
      </c>
      <c r="Q1392" s="60" t="str">
        <f aca="false">IF(IsPro,IF($D1392="","",IFERROR(MATCH($D1392,Items!$A$5:$A$504,0),"")),"")</f>
        <v/>
      </c>
      <c r="R1392" s="60" t="str">
        <f aca="false">IF(IsPro,IF($C1392="","",IFERROR(MATCH($C1392,Parties!$A$5:$A$304,0),"")),"")</f>
        <v/>
      </c>
      <c r="S1392" s="61" t="str">
        <f aca="false">IF(IsPro,IF($D1392="","",IF(OR($H1392="",$H1392="Credit"),0,P1392)),"")</f>
        <v/>
      </c>
    </row>
    <row r="1393" customFormat="false" ht="15" hidden="false" customHeight="false" outlineLevel="0" collapsed="false">
      <c r="A1393" s="55"/>
      <c r="B1393" s="56"/>
      <c r="C1393" s="56"/>
      <c r="D1393" s="56"/>
      <c r="E1393" s="57"/>
      <c r="F1393" s="58"/>
      <c r="G1393" s="59"/>
      <c r="H1393" s="56"/>
      <c r="I1393" s="60" t="str">
        <f aca="false">IF(IsPro,IF($D1393="","",IFERROR(INDEX(Items!$D$5:$D$504,Q1393),"")),IF($D1393="","","PRO PLAN"))</f>
        <v/>
      </c>
      <c r="J1393" s="61" t="str">
        <f aca="false">IF(IsPro,IF($D1393="","",IF($F1393="",IFERROR(INDEX(Items!$G$5:$G$504,Q1393),0),$F1393)),"")</f>
        <v/>
      </c>
      <c r="K1393" s="61" t="str">
        <f aca="false">IF(IsPro,IF($D1393="","",ROUND(N($E1393)*J1393*(1-N($G1393)),2)),"")</f>
        <v/>
      </c>
      <c r="L1393" s="62" t="str">
        <f aca="false">IF(IsPro,IF($D1393="","",IFERROR(INDEX(Items!$F$5:$F$504,Q1393),0)),"")</f>
        <v/>
      </c>
      <c r="M1393" s="61" t="str">
        <f aca="false">IF(IsPro,IF($D1393="","",IF(AND(R1393&lt;&gt;"",INDEX(Parties!$E$5:$E$304,R1393)&lt;&gt;"",INDEX(Parties!$E$5:$E$304,R1393)&lt;&gt;HomeState),0,ROUND(K1393*L1393/2,2))),"")</f>
        <v/>
      </c>
      <c r="N1393" s="61" t="str">
        <f aca="false">IF(IsPro,IF($D1393="","",M1393),"")</f>
        <v/>
      </c>
      <c r="O1393" s="61" t="str">
        <f aca="false">IF(IsPro,IF($D1393="","",IF(AND(R1393&lt;&gt;"",INDEX(Parties!$E$5:$E$304,R1393)&lt;&gt;"",INDEX(Parties!$E$5:$E$304,R1393)&lt;&gt;HomeState),ROUND(K1393*L1393,2),0)),"")</f>
        <v/>
      </c>
      <c r="P1393" s="61" t="str">
        <f aca="false">IF(IsPro,IF($D1393="","",K1393+M1393+N1393+O1393),"")</f>
        <v/>
      </c>
      <c r="Q1393" s="60" t="str">
        <f aca="false">IF(IsPro,IF($D1393="","",IFERROR(MATCH($D1393,Items!$A$5:$A$504,0),"")),"")</f>
        <v/>
      </c>
      <c r="R1393" s="60" t="str">
        <f aca="false">IF(IsPro,IF($C1393="","",IFERROR(MATCH($C1393,Parties!$A$5:$A$304,0),"")),"")</f>
        <v/>
      </c>
      <c r="S1393" s="61" t="str">
        <f aca="false">IF(IsPro,IF($D1393="","",IF(OR($H1393="",$H1393="Credit"),0,P1393)),"")</f>
        <v/>
      </c>
    </row>
    <row r="1394" customFormat="false" ht="15" hidden="false" customHeight="false" outlineLevel="0" collapsed="false">
      <c r="A1394" s="55"/>
      <c r="B1394" s="56"/>
      <c r="C1394" s="56"/>
      <c r="D1394" s="56"/>
      <c r="E1394" s="57"/>
      <c r="F1394" s="58"/>
      <c r="G1394" s="59"/>
      <c r="H1394" s="56"/>
      <c r="I1394" s="60" t="str">
        <f aca="false">IF(IsPro,IF($D1394="","",IFERROR(INDEX(Items!$D$5:$D$504,Q1394),"")),IF($D1394="","","PRO PLAN"))</f>
        <v/>
      </c>
      <c r="J1394" s="61" t="str">
        <f aca="false">IF(IsPro,IF($D1394="","",IF($F1394="",IFERROR(INDEX(Items!$G$5:$G$504,Q1394),0),$F1394)),"")</f>
        <v/>
      </c>
      <c r="K1394" s="61" t="str">
        <f aca="false">IF(IsPro,IF($D1394="","",ROUND(N($E1394)*J1394*(1-N($G1394)),2)),"")</f>
        <v/>
      </c>
      <c r="L1394" s="62" t="str">
        <f aca="false">IF(IsPro,IF($D1394="","",IFERROR(INDEX(Items!$F$5:$F$504,Q1394),0)),"")</f>
        <v/>
      </c>
      <c r="M1394" s="61" t="str">
        <f aca="false">IF(IsPro,IF($D1394="","",IF(AND(R1394&lt;&gt;"",INDEX(Parties!$E$5:$E$304,R1394)&lt;&gt;"",INDEX(Parties!$E$5:$E$304,R1394)&lt;&gt;HomeState),0,ROUND(K1394*L1394/2,2))),"")</f>
        <v/>
      </c>
      <c r="N1394" s="61" t="str">
        <f aca="false">IF(IsPro,IF($D1394="","",M1394),"")</f>
        <v/>
      </c>
      <c r="O1394" s="61" t="str">
        <f aca="false">IF(IsPro,IF($D1394="","",IF(AND(R1394&lt;&gt;"",INDEX(Parties!$E$5:$E$304,R1394)&lt;&gt;"",INDEX(Parties!$E$5:$E$304,R1394)&lt;&gt;HomeState),ROUND(K1394*L1394,2),0)),"")</f>
        <v/>
      </c>
      <c r="P1394" s="61" t="str">
        <f aca="false">IF(IsPro,IF($D1394="","",K1394+M1394+N1394+O1394),"")</f>
        <v/>
      </c>
      <c r="Q1394" s="60" t="str">
        <f aca="false">IF(IsPro,IF($D1394="","",IFERROR(MATCH($D1394,Items!$A$5:$A$504,0),"")),"")</f>
        <v/>
      </c>
      <c r="R1394" s="60" t="str">
        <f aca="false">IF(IsPro,IF($C1394="","",IFERROR(MATCH($C1394,Parties!$A$5:$A$304,0),"")),"")</f>
        <v/>
      </c>
      <c r="S1394" s="61" t="str">
        <f aca="false">IF(IsPro,IF($D1394="","",IF(OR($H1394="",$H1394="Credit"),0,P1394)),"")</f>
        <v/>
      </c>
    </row>
    <row r="1395" customFormat="false" ht="15" hidden="false" customHeight="false" outlineLevel="0" collapsed="false">
      <c r="A1395" s="55"/>
      <c r="B1395" s="56"/>
      <c r="C1395" s="56"/>
      <c r="D1395" s="56"/>
      <c r="E1395" s="57"/>
      <c r="F1395" s="58"/>
      <c r="G1395" s="59"/>
      <c r="H1395" s="56"/>
      <c r="I1395" s="60" t="str">
        <f aca="false">IF(IsPro,IF($D1395="","",IFERROR(INDEX(Items!$D$5:$D$504,Q1395),"")),IF($D1395="","","PRO PLAN"))</f>
        <v/>
      </c>
      <c r="J1395" s="61" t="str">
        <f aca="false">IF(IsPro,IF($D1395="","",IF($F1395="",IFERROR(INDEX(Items!$G$5:$G$504,Q1395),0),$F1395)),"")</f>
        <v/>
      </c>
      <c r="K1395" s="61" t="str">
        <f aca="false">IF(IsPro,IF($D1395="","",ROUND(N($E1395)*J1395*(1-N($G1395)),2)),"")</f>
        <v/>
      </c>
      <c r="L1395" s="62" t="str">
        <f aca="false">IF(IsPro,IF($D1395="","",IFERROR(INDEX(Items!$F$5:$F$504,Q1395),0)),"")</f>
        <v/>
      </c>
      <c r="M1395" s="61" t="str">
        <f aca="false">IF(IsPro,IF($D1395="","",IF(AND(R1395&lt;&gt;"",INDEX(Parties!$E$5:$E$304,R1395)&lt;&gt;"",INDEX(Parties!$E$5:$E$304,R1395)&lt;&gt;HomeState),0,ROUND(K1395*L1395/2,2))),"")</f>
        <v/>
      </c>
      <c r="N1395" s="61" t="str">
        <f aca="false">IF(IsPro,IF($D1395="","",M1395),"")</f>
        <v/>
      </c>
      <c r="O1395" s="61" t="str">
        <f aca="false">IF(IsPro,IF($D1395="","",IF(AND(R1395&lt;&gt;"",INDEX(Parties!$E$5:$E$304,R1395)&lt;&gt;"",INDEX(Parties!$E$5:$E$304,R1395)&lt;&gt;HomeState),ROUND(K1395*L1395,2),0)),"")</f>
        <v/>
      </c>
      <c r="P1395" s="61" t="str">
        <f aca="false">IF(IsPro,IF($D1395="","",K1395+M1395+N1395+O1395),"")</f>
        <v/>
      </c>
      <c r="Q1395" s="60" t="str">
        <f aca="false">IF(IsPro,IF($D1395="","",IFERROR(MATCH($D1395,Items!$A$5:$A$504,0),"")),"")</f>
        <v/>
      </c>
      <c r="R1395" s="60" t="str">
        <f aca="false">IF(IsPro,IF($C1395="","",IFERROR(MATCH($C1395,Parties!$A$5:$A$304,0),"")),"")</f>
        <v/>
      </c>
      <c r="S1395" s="61" t="str">
        <f aca="false">IF(IsPro,IF($D1395="","",IF(OR($H1395="",$H1395="Credit"),0,P1395)),"")</f>
        <v/>
      </c>
    </row>
    <row r="1396" customFormat="false" ht="15" hidden="false" customHeight="false" outlineLevel="0" collapsed="false">
      <c r="A1396" s="55"/>
      <c r="B1396" s="56"/>
      <c r="C1396" s="56"/>
      <c r="D1396" s="56"/>
      <c r="E1396" s="57"/>
      <c r="F1396" s="58"/>
      <c r="G1396" s="59"/>
      <c r="H1396" s="56"/>
      <c r="I1396" s="60" t="str">
        <f aca="false">IF(IsPro,IF($D1396="","",IFERROR(INDEX(Items!$D$5:$D$504,Q1396),"")),IF($D1396="","","PRO PLAN"))</f>
        <v/>
      </c>
      <c r="J1396" s="61" t="str">
        <f aca="false">IF(IsPro,IF($D1396="","",IF($F1396="",IFERROR(INDEX(Items!$G$5:$G$504,Q1396),0),$F1396)),"")</f>
        <v/>
      </c>
      <c r="K1396" s="61" t="str">
        <f aca="false">IF(IsPro,IF($D1396="","",ROUND(N($E1396)*J1396*(1-N($G1396)),2)),"")</f>
        <v/>
      </c>
      <c r="L1396" s="62" t="str">
        <f aca="false">IF(IsPro,IF($D1396="","",IFERROR(INDEX(Items!$F$5:$F$504,Q1396),0)),"")</f>
        <v/>
      </c>
      <c r="M1396" s="61" t="str">
        <f aca="false">IF(IsPro,IF($D1396="","",IF(AND(R1396&lt;&gt;"",INDEX(Parties!$E$5:$E$304,R1396)&lt;&gt;"",INDEX(Parties!$E$5:$E$304,R1396)&lt;&gt;HomeState),0,ROUND(K1396*L1396/2,2))),"")</f>
        <v/>
      </c>
      <c r="N1396" s="61" t="str">
        <f aca="false">IF(IsPro,IF($D1396="","",M1396),"")</f>
        <v/>
      </c>
      <c r="O1396" s="61" t="str">
        <f aca="false">IF(IsPro,IF($D1396="","",IF(AND(R1396&lt;&gt;"",INDEX(Parties!$E$5:$E$304,R1396)&lt;&gt;"",INDEX(Parties!$E$5:$E$304,R1396)&lt;&gt;HomeState),ROUND(K1396*L1396,2),0)),"")</f>
        <v/>
      </c>
      <c r="P1396" s="61" t="str">
        <f aca="false">IF(IsPro,IF($D1396="","",K1396+M1396+N1396+O1396),"")</f>
        <v/>
      </c>
      <c r="Q1396" s="60" t="str">
        <f aca="false">IF(IsPro,IF($D1396="","",IFERROR(MATCH($D1396,Items!$A$5:$A$504,0),"")),"")</f>
        <v/>
      </c>
      <c r="R1396" s="60" t="str">
        <f aca="false">IF(IsPro,IF($C1396="","",IFERROR(MATCH($C1396,Parties!$A$5:$A$304,0),"")),"")</f>
        <v/>
      </c>
      <c r="S1396" s="61" t="str">
        <f aca="false">IF(IsPro,IF($D1396="","",IF(OR($H1396="",$H1396="Credit"),0,P1396)),"")</f>
        <v/>
      </c>
    </row>
    <row r="1397" customFormat="false" ht="15" hidden="false" customHeight="false" outlineLevel="0" collapsed="false">
      <c r="A1397" s="55"/>
      <c r="B1397" s="56"/>
      <c r="C1397" s="56"/>
      <c r="D1397" s="56"/>
      <c r="E1397" s="57"/>
      <c r="F1397" s="58"/>
      <c r="G1397" s="59"/>
      <c r="H1397" s="56"/>
      <c r="I1397" s="60" t="str">
        <f aca="false">IF(IsPro,IF($D1397="","",IFERROR(INDEX(Items!$D$5:$D$504,Q1397),"")),IF($D1397="","","PRO PLAN"))</f>
        <v/>
      </c>
      <c r="J1397" s="61" t="str">
        <f aca="false">IF(IsPro,IF($D1397="","",IF($F1397="",IFERROR(INDEX(Items!$G$5:$G$504,Q1397),0),$F1397)),"")</f>
        <v/>
      </c>
      <c r="K1397" s="61" t="str">
        <f aca="false">IF(IsPro,IF($D1397="","",ROUND(N($E1397)*J1397*(1-N($G1397)),2)),"")</f>
        <v/>
      </c>
      <c r="L1397" s="62" t="str">
        <f aca="false">IF(IsPro,IF($D1397="","",IFERROR(INDEX(Items!$F$5:$F$504,Q1397),0)),"")</f>
        <v/>
      </c>
      <c r="M1397" s="61" t="str">
        <f aca="false">IF(IsPro,IF($D1397="","",IF(AND(R1397&lt;&gt;"",INDEX(Parties!$E$5:$E$304,R1397)&lt;&gt;"",INDEX(Parties!$E$5:$E$304,R1397)&lt;&gt;HomeState),0,ROUND(K1397*L1397/2,2))),"")</f>
        <v/>
      </c>
      <c r="N1397" s="61" t="str">
        <f aca="false">IF(IsPro,IF($D1397="","",M1397),"")</f>
        <v/>
      </c>
      <c r="O1397" s="61" t="str">
        <f aca="false">IF(IsPro,IF($D1397="","",IF(AND(R1397&lt;&gt;"",INDEX(Parties!$E$5:$E$304,R1397)&lt;&gt;"",INDEX(Parties!$E$5:$E$304,R1397)&lt;&gt;HomeState),ROUND(K1397*L1397,2),0)),"")</f>
        <v/>
      </c>
      <c r="P1397" s="61" t="str">
        <f aca="false">IF(IsPro,IF($D1397="","",K1397+M1397+N1397+O1397),"")</f>
        <v/>
      </c>
      <c r="Q1397" s="60" t="str">
        <f aca="false">IF(IsPro,IF($D1397="","",IFERROR(MATCH($D1397,Items!$A$5:$A$504,0),"")),"")</f>
        <v/>
      </c>
      <c r="R1397" s="60" t="str">
        <f aca="false">IF(IsPro,IF($C1397="","",IFERROR(MATCH($C1397,Parties!$A$5:$A$304,0),"")),"")</f>
        <v/>
      </c>
      <c r="S1397" s="61" t="str">
        <f aca="false">IF(IsPro,IF($D1397="","",IF(OR($H1397="",$H1397="Credit"),0,P1397)),"")</f>
        <v/>
      </c>
    </row>
    <row r="1398" customFormat="false" ht="15" hidden="false" customHeight="false" outlineLevel="0" collapsed="false">
      <c r="A1398" s="55"/>
      <c r="B1398" s="56"/>
      <c r="C1398" s="56"/>
      <c r="D1398" s="56"/>
      <c r="E1398" s="57"/>
      <c r="F1398" s="58"/>
      <c r="G1398" s="59"/>
      <c r="H1398" s="56"/>
      <c r="I1398" s="60" t="str">
        <f aca="false">IF(IsPro,IF($D1398="","",IFERROR(INDEX(Items!$D$5:$D$504,Q1398),"")),IF($D1398="","","PRO PLAN"))</f>
        <v/>
      </c>
      <c r="J1398" s="61" t="str">
        <f aca="false">IF(IsPro,IF($D1398="","",IF($F1398="",IFERROR(INDEX(Items!$G$5:$G$504,Q1398),0),$F1398)),"")</f>
        <v/>
      </c>
      <c r="K1398" s="61" t="str">
        <f aca="false">IF(IsPro,IF($D1398="","",ROUND(N($E1398)*J1398*(1-N($G1398)),2)),"")</f>
        <v/>
      </c>
      <c r="L1398" s="62" t="str">
        <f aca="false">IF(IsPro,IF($D1398="","",IFERROR(INDEX(Items!$F$5:$F$504,Q1398),0)),"")</f>
        <v/>
      </c>
      <c r="M1398" s="61" t="str">
        <f aca="false">IF(IsPro,IF($D1398="","",IF(AND(R1398&lt;&gt;"",INDEX(Parties!$E$5:$E$304,R1398)&lt;&gt;"",INDEX(Parties!$E$5:$E$304,R1398)&lt;&gt;HomeState),0,ROUND(K1398*L1398/2,2))),"")</f>
        <v/>
      </c>
      <c r="N1398" s="61" t="str">
        <f aca="false">IF(IsPro,IF($D1398="","",M1398),"")</f>
        <v/>
      </c>
      <c r="O1398" s="61" t="str">
        <f aca="false">IF(IsPro,IF($D1398="","",IF(AND(R1398&lt;&gt;"",INDEX(Parties!$E$5:$E$304,R1398)&lt;&gt;"",INDEX(Parties!$E$5:$E$304,R1398)&lt;&gt;HomeState),ROUND(K1398*L1398,2),0)),"")</f>
        <v/>
      </c>
      <c r="P1398" s="61" t="str">
        <f aca="false">IF(IsPro,IF($D1398="","",K1398+M1398+N1398+O1398),"")</f>
        <v/>
      </c>
      <c r="Q1398" s="60" t="str">
        <f aca="false">IF(IsPro,IF($D1398="","",IFERROR(MATCH($D1398,Items!$A$5:$A$504,0),"")),"")</f>
        <v/>
      </c>
      <c r="R1398" s="60" t="str">
        <f aca="false">IF(IsPro,IF($C1398="","",IFERROR(MATCH($C1398,Parties!$A$5:$A$304,0),"")),"")</f>
        <v/>
      </c>
      <c r="S1398" s="61" t="str">
        <f aca="false">IF(IsPro,IF($D1398="","",IF(OR($H1398="",$H1398="Credit"),0,P1398)),"")</f>
        <v/>
      </c>
    </row>
    <row r="1399" customFormat="false" ht="15" hidden="false" customHeight="false" outlineLevel="0" collapsed="false">
      <c r="A1399" s="55"/>
      <c r="B1399" s="56"/>
      <c r="C1399" s="56"/>
      <c r="D1399" s="56"/>
      <c r="E1399" s="57"/>
      <c r="F1399" s="58"/>
      <c r="G1399" s="59"/>
      <c r="H1399" s="56"/>
      <c r="I1399" s="60" t="str">
        <f aca="false">IF(IsPro,IF($D1399="","",IFERROR(INDEX(Items!$D$5:$D$504,Q1399),"")),IF($D1399="","","PRO PLAN"))</f>
        <v/>
      </c>
      <c r="J1399" s="61" t="str">
        <f aca="false">IF(IsPro,IF($D1399="","",IF($F1399="",IFERROR(INDEX(Items!$G$5:$G$504,Q1399),0),$F1399)),"")</f>
        <v/>
      </c>
      <c r="K1399" s="61" t="str">
        <f aca="false">IF(IsPro,IF($D1399="","",ROUND(N($E1399)*J1399*(1-N($G1399)),2)),"")</f>
        <v/>
      </c>
      <c r="L1399" s="62" t="str">
        <f aca="false">IF(IsPro,IF($D1399="","",IFERROR(INDEX(Items!$F$5:$F$504,Q1399),0)),"")</f>
        <v/>
      </c>
      <c r="M1399" s="61" t="str">
        <f aca="false">IF(IsPro,IF($D1399="","",IF(AND(R1399&lt;&gt;"",INDEX(Parties!$E$5:$E$304,R1399)&lt;&gt;"",INDEX(Parties!$E$5:$E$304,R1399)&lt;&gt;HomeState),0,ROUND(K1399*L1399/2,2))),"")</f>
        <v/>
      </c>
      <c r="N1399" s="61" t="str">
        <f aca="false">IF(IsPro,IF($D1399="","",M1399),"")</f>
        <v/>
      </c>
      <c r="O1399" s="61" t="str">
        <f aca="false">IF(IsPro,IF($D1399="","",IF(AND(R1399&lt;&gt;"",INDEX(Parties!$E$5:$E$304,R1399)&lt;&gt;"",INDEX(Parties!$E$5:$E$304,R1399)&lt;&gt;HomeState),ROUND(K1399*L1399,2),0)),"")</f>
        <v/>
      </c>
      <c r="P1399" s="61" t="str">
        <f aca="false">IF(IsPro,IF($D1399="","",K1399+M1399+N1399+O1399),"")</f>
        <v/>
      </c>
      <c r="Q1399" s="60" t="str">
        <f aca="false">IF(IsPro,IF($D1399="","",IFERROR(MATCH($D1399,Items!$A$5:$A$504,0),"")),"")</f>
        <v/>
      </c>
      <c r="R1399" s="60" t="str">
        <f aca="false">IF(IsPro,IF($C1399="","",IFERROR(MATCH($C1399,Parties!$A$5:$A$304,0),"")),"")</f>
        <v/>
      </c>
      <c r="S1399" s="61" t="str">
        <f aca="false">IF(IsPro,IF($D1399="","",IF(OR($H1399="",$H1399="Credit"),0,P1399)),"")</f>
        <v/>
      </c>
    </row>
    <row r="1400" customFormat="false" ht="15" hidden="false" customHeight="false" outlineLevel="0" collapsed="false">
      <c r="A1400" s="55"/>
      <c r="B1400" s="56"/>
      <c r="C1400" s="56"/>
      <c r="D1400" s="56"/>
      <c r="E1400" s="57"/>
      <c r="F1400" s="58"/>
      <c r="G1400" s="59"/>
      <c r="H1400" s="56"/>
      <c r="I1400" s="60" t="str">
        <f aca="false">IF(IsPro,IF($D1400="","",IFERROR(INDEX(Items!$D$5:$D$504,Q1400),"")),IF($D1400="","","PRO PLAN"))</f>
        <v/>
      </c>
      <c r="J1400" s="61" t="str">
        <f aca="false">IF(IsPro,IF($D1400="","",IF($F1400="",IFERROR(INDEX(Items!$G$5:$G$504,Q1400),0),$F1400)),"")</f>
        <v/>
      </c>
      <c r="K1400" s="61" t="str">
        <f aca="false">IF(IsPro,IF($D1400="","",ROUND(N($E1400)*J1400*(1-N($G1400)),2)),"")</f>
        <v/>
      </c>
      <c r="L1400" s="62" t="str">
        <f aca="false">IF(IsPro,IF($D1400="","",IFERROR(INDEX(Items!$F$5:$F$504,Q1400),0)),"")</f>
        <v/>
      </c>
      <c r="M1400" s="61" t="str">
        <f aca="false">IF(IsPro,IF($D1400="","",IF(AND(R1400&lt;&gt;"",INDEX(Parties!$E$5:$E$304,R1400)&lt;&gt;"",INDEX(Parties!$E$5:$E$304,R1400)&lt;&gt;HomeState),0,ROUND(K1400*L1400/2,2))),"")</f>
        <v/>
      </c>
      <c r="N1400" s="61" t="str">
        <f aca="false">IF(IsPro,IF($D1400="","",M1400),"")</f>
        <v/>
      </c>
      <c r="O1400" s="61" t="str">
        <f aca="false">IF(IsPro,IF($D1400="","",IF(AND(R1400&lt;&gt;"",INDEX(Parties!$E$5:$E$304,R1400)&lt;&gt;"",INDEX(Parties!$E$5:$E$304,R1400)&lt;&gt;HomeState),ROUND(K1400*L1400,2),0)),"")</f>
        <v/>
      </c>
      <c r="P1400" s="61" t="str">
        <f aca="false">IF(IsPro,IF($D1400="","",K1400+M1400+N1400+O1400),"")</f>
        <v/>
      </c>
      <c r="Q1400" s="60" t="str">
        <f aca="false">IF(IsPro,IF($D1400="","",IFERROR(MATCH($D1400,Items!$A$5:$A$504,0),"")),"")</f>
        <v/>
      </c>
      <c r="R1400" s="60" t="str">
        <f aca="false">IF(IsPro,IF($C1400="","",IFERROR(MATCH($C1400,Parties!$A$5:$A$304,0),"")),"")</f>
        <v/>
      </c>
      <c r="S1400" s="61" t="str">
        <f aca="false">IF(IsPro,IF($D1400="","",IF(OR($H1400="",$H1400="Credit"),0,P1400)),"")</f>
        <v/>
      </c>
    </row>
    <row r="1401" customFormat="false" ht="15" hidden="false" customHeight="false" outlineLevel="0" collapsed="false">
      <c r="A1401" s="55"/>
      <c r="B1401" s="56"/>
      <c r="C1401" s="56"/>
      <c r="D1401" s="56"/>
      <c r="E1401" s="57"/>
      <c r="F1401" s="58"/>
      <c r="G1401" s="59"/>
      <c r="H1401" s="56"/>
      <c r="I1401" s="60" t="str">
        <f aca="false">IF(IsPro,IF($D1401="","",IFERROR(INDEX(Items!$D$5:$D$504,Q1401),"")),IF($D1401="","","PRO PLAN"))</f>
        <v/>
      </c>
      <c r="J1401" s="61" t="str">
        <f aca="false">IF(IsPro,IF($D1401="","",IF($F1401="",IFERROR(INDEX(Items!$G$5:$G$504,Q1401),0),$F1401)),"")</f>
        <v/>
      </c>
      <c r="K1401" s="61" t="str">
        <f aca="false">IF(IsPro,IF($D1401="","",ROUND(N($E1401)*J1401*(1-N($G1401)),2)),"")</f>
        <v/>
      </c>
      <c r="L1401" s="62" t="str">
        <f aca="false">IF(IsPro,IF($D1401="","",IFERROR(INDEX(Items!$F$5:$F$504,Q1401),0)),"")</f>
        <v/>
      </c>
      <c r="M1401" s="61" t="str">
        <f aca="false">IF(IsPro,IF($D1401="","",IF(AND(R1401&lt;&gt;"",INDEX(Parties!$E$5:$E$304,R1401)&lt;&gt;"",INDEX(Parties!$E$5:$E$304,R1401)&lt;&gt;HomeState),0,ROUND(K1401*L1401/2,2))),"")</f>
        <v/>
      </c>
      <c r="N1401" s="61" t="str">
        <f aca="false">IF(IsPro,IF($D1401="","",M1401),"")</f>
        <v/>
      </c>
      <c r="O1401" s="61" t="str">
        <f aca="false">IF(IsPro,IF($D1401="","",IF(AND(R1401&lt;&gt;"",INDEX(Parties!$E$5:$E$304,R1401)&lt;&gt;"",INDEX(Parties!$E$5:$E$304,R1401)&lt;&gt;HomeState),ROUND(K1401*L1401,2),0)),"")</f>
        <v/>
      </c>
      <c r="P1401" s="61" t="str">
        <f aca="false">IF(IsPro,IF($D1401="","",K1401+M1401+N1401+O1401),"")</f>
        <v/>
      </c>
      <c r="Q1401" s="60" t="str">
        <f aca="false">IF(IsPro,IF($D1401="","",IFERROR(MATCH($D1401,Items!$A$5:$A$504,0),"")),"")</f>
        <v/>
      </c>
      <c r="R1401" s="60" t="str">
        <f aca="false">IF(IsPro,IF($C1401="","",IFERROR(MATCH($C1401,Parties!$A$5:$A$304,0),"")),"")</f>
        <v/>
      </c>
      <c r="S1401" s="61" t="str">
        <f aca="false">IF(IsPro,IF($D1401="","",IF(OR($H1401="",$H1401="Credit"),0,P1401)),"")</f>
        <v/>
      </c>
    </row>
    <row r="1402" customFormat="false" ht="15" hidden="false" customHeight="false" outlineLevel="0" collapsed="false">
      <c r="A1402" s="55"/>
      <c r="B1402" s="56"/>
      <c r="C1402" s="56"/>
      <c r="D1402" s="56"/>
      <c r="E1402" s="57"/>
      <c r="F1402" s="58"/>
      <c r="G1402" s="59"/>
      <c r="H1402" s="56"/>
      <c r="I1402" s="60" t="str">
        <f aca="false">IF(IsPro,IF($D1402="","",IFERROR(INDEX(Items!$D$5:$D$504,Q1402),"")),IF($D1402="","","PRO PLAN"))</f>
        <v/>
      </c>
      <c r="J1402" s="61" t="str">
        <f aca="false">IF(IsPro,IF($D1402="","",IF($F1402="",IFERROR(INDEX(Items!$G$5:$G$504,Q1402),0),$F1402)),"")</f>
        <v/>
      </c>
      <c r="K1402" s="61" t="str">
        <f aca="false">IF(IsPro,IF($D1402="","",ROUND(N($E1402)*J1402*(1-N($G1402)),2)),"")</f>
        <v/>
      </c>
      <c r="L1402" s="62" t="str">
        <f aca="false">IF(IsPro,IF($D1402="","",IFERROR(INDEX(Items!$F$5:$F$504,Q1402),0)),"")</f>
        <v/>
      </c>
      <c r="M1402" s="61" t="str">
        <f aca="false">IF(IsPro,IF($D1402="","",IF(AND(R1402&lt;&gt;"",INDEX(Parties!$E$5:$E$304,R1402)&lt;&gt;"",INDEX(Parties!$E$5:$E$304,R1402)&lt;&gt;HomeState),0,ROUND(K1402*L1402/2,2))),"")</f>
        <v/>
      </c>
      <c r="N1402" s="61" t="str">
        <f aca="false">IF(IsPro,IF($D1402="","",M1402),"")</f>
        <v/>
      </c>
      <c r="O1402" s="61" t="str">
        <f aca="false">IF(IsPro,IF($D1402="","",IF(AND(R1402&lt;&gt;"",INDEX(Parties!$E$5:$E$304,R1402)&lt;&gt;"",INDEX(Parties!$E$5:$E$304,R1402)&lt;&gt;HomeState),ROUND(K1402*L1402,2),0)),"")</f>
        <v/>
      </c>
      <c r="P1402" s="61" t="str">
        <f aca="false">IF(IsPro,IF($D1402="","",K1402+M1402+N1402+O1402),"")</f>
        <v/>
      </c>
      <c r="Q1402" s="60" t="str">
        <f aca="false">IF(IsPro,IF($D1402="","",IFERROR(MATCH($D1402,Items!$A$5:$A$504,0),"")),"")</f>
        <v/>
      </c>
      <c r="R1402" s="60" t="str">
        <f aca="false">IF(IsPro,IF($C1402="","",IFERROR(MATCH($C1402,Parties!$A$5:$A$304,0),"")),"")</f>
        <v/>
      </c>
      <c r="S1402" s="61" t="str">
        <f aca="false">IF(IsPro,IF($D1402="","",IF(OR($H1402="",$H1402="Credit"),0,P1402)),"")</f>
        <v/>
      </c>
    </row>
    <row r="1403" customFormat="false" ht="15" hidden="false" customHeight="false" outlineLevel="0" collapsed="false">
      <c r="A1403" s="55"/>
      <c r="B1403" s="56"/>
      <c r="C1403" s="56"/>
      <c r="D1403" s="56"/>
      <c r="E1403" s="57"/>
      <c r="F1403" s="58"/>
      <c r="G1403" s="59"/>
      <c r="H1403" s="56"/>
      <c r="I1403" s="60" t="str">
        <f aca="false">IF(IsPro,IF($D1403="","",IFERROR(INDEX(Items!$D$5:$D$504,Q1403),"")),IF($D1403="","","PRO PLAN"))</f>
        <v/>
      </c>
      <c r="J1403" s="61" t="str">
        <f aca="false">IF(IsPro,IF($D1403="","",IF($F1403="",IFERROR(INDEX(Items!$G$5:$G$504,Q1403),0),$F1403)),"")</f>
        <v/>
      </c>
      <c r="K1403" s="61" t="str">
        <f aca="false">IF(IsPro,IF($D1403="","",ROUND(N($E1403)*J1403*(1-N($G1403)),2)),"")</f>
        <v/>
      </c>
      <c r="L1403" s="62" t="str">
        <f aca="false">IF(IsPro,IF($D1403="","",IFERROR(INDEX(Items!$F$5:$F$504,Q1403),0)),"")</f>
        <v/>
      </c>
      <c r="M1403" s="61" t="str">
        <f aca="false">IF(IsPro,IF($D1403="","",IF(AND(R1403&lt;&gt;"",INDEX(Parties!$E$5:$E$304,R1403)&lt;&gt;"",INDEX(Parties!$E$5:$E$304,R1403)&lt;&gt;HomeState),0,ROUND(K1403*L1403/2,2))),"")</f>
        <v/>
      </c>
      <c r="N1403" s="61" t="str">
        <f aca="false">IF(IsPro,IF($D1403="","",M1403),"")</f>
        <v/>
      </c>
      <c r="O1403" s="61" t="str">
        <f aca="false">IF(IsPro,IF($D1403="","",IF(AND(R1403&lt;&gt;"",INDEX(Parties!$E$5:$E$304,R1403)&lt;&gt;"",INDEX(Parties!$E$5:$E$304,R1403)&lt;&gt;HomeState),ROUND(K1403*L1403,2),0)),"")</f>
        <v/>
      </c>
      <c r="P1403" s="61" t="str">
        <f aca="false">IF(IsPro,IF($D1403="","",K1403+M1403+N1403+O1403),"")</f>
        <v/>
      </c>
      <c r="Q1403" s="60" t="str">
        <f aca="false">IF(IsPro,IF($D1403="","",IFERROR(MATCH($D1403,Items!$A$5:$A$504,0),"")),"")</f>
        <v/>
      </c>
      <c r="R1403" s="60" t="str">
        <f aca="false">IF(IsPro,IF($C1403="","",IFERROR(MATCH($C1403,Parties!$A$5:$A$304,0),"")),"")</f>
        <v/>
      </c>
      <c r="S1403" s="61" t="str">
        <f aca="false">IF(IsPro,IF($D1403="","",IF(OR($H1403="",$H1403="Credit"),0,P1403)),"")</f>
        <v/>
      </c>
    </row>
    <row r="1404" customFormat="false" ht="15" hidden="false" customHeight="false" outlineLevel="0" collapsed="false">
      <c r="A1404" s="55"/>
      <c r="B1404" s="56"/>
      <c r="C1404" s="56"/>
      <c r="D1404" s="56"/>
      <c r="E1404" s="57"/>
      <c r="F1404" s="58"/>
      <c r="G1404" s="59"/>
      <c r="H1404" s="56"/>
      <c r="I1404" s="60" t="str">
        <f aca="false">IF(IsPro,IF($D1404="","",IFERROR(INDEX(Items!$D$5:$D$504,Q1404),"")),IF($D1404="","","PRO PLAN"))</f>
        <v/>
      </c>
      <c r="J1404" s="61" t="str">
        <f aca="false">IF(IsPro,IF($D1404="","",IF($F1404="",IFERROR(INDEX(Items!$G$5:$G$504,Q1404),0),$F1404)),"")</f>
        <v/>
      </c>
      <c r="K1404" s="61" t="str">
        <f aca="false">IF(IsPro,IF($D1404="","",ROUND(N($E1404)*J1404*(1-N($G1404)),2)),"")</f>
        <v/>
      </c>
      <c r="L1404" s="62" t="str">
        <f aca="false">IF(IsPro,IF($D1404="","",IFERROR(INDEX(Items!$F$5:$F$504,Q1404),0)),"")</f>
        <v/>
      </c>
      <c r="M1404" s="61" t="str">
        <f aca="false">IF(IsPro,IF($D1404="","",IF(AND(R1404&lt;&gt;"",INDEX(Parties!$E$5:$E$304,R1404)&lt;&gt;"",INDEX(Parties!$E$5:$E$304,R1404)&lt;&gt;HomeState),0,ROUND(K1404*L1404/2,2))),"")</f>
        <v/>
      </c>
      <c r="N1404" s="61" t="str">
        <f aca="false">IF(IsPro,IF($D1404="","",M1404),"")</f>
        <v/>
      </c>
      <c r="O1404" s="61" t="str">
        <f aca="false">IF(IsPro,IF($D1404="","",IF(AND(R1404&lt;&gt;"",INDEX(Parties!$E$5:$E$304,R1404)&lt;&gt;"",INDEX(Parties!$E$5:$E$304,R1404)&lt;&gt;HomeState),ROUND(K1404*L1404,2),0)),"")</f>
        <v/>
      </c>
      <c r="P1404" s="61" t="str">
        <f aca="false">IF(IsPro,IF($D1404="","",K1404+M1404+N1404+O1404),"")</f>
        <v/>
      </c>
      <c r="Q1404" s="60" t="str">
        <f aca="false">IF(IsPro,IF($D1404="","",IFERROR(MATCH($D1404,Items!$A$5:$A$504,0),"")),"")</f>
        <v/>
      </c>
      <c r="R1404" s="60" t="str">
        <f aca="false">IF(IsPro,IF($C1404="","",IFERROR(MATCH($C1404,Parties!$A$5:$A$304,0),"")),"")</f>
        <v/>
      </c>
      <c r="S1404" s="61" t="str">
        <f aca="false">IF(IsPro,IF($D1404="","",IF(OR($H1404="",$H1404="Credit"),0,P1404)),"")</f>
        <v/>
      </c>
    </row>
    <row r="1405" customFormat="false" ht="15" hidden="false" customHeight="false" outlineLevel="0" collapsed="false">
      <c r="A1405" s="55"/>
      <c r="B1405" s="56"/>
      <c r="C1405" s="56"/>
      <c r="D1405" s="56"/>
      <c r="E1405" s="57"/>
      <c r="F1405" s="58"/>
      <c r="G1405" s="59"/>
      <c r="H1405" s="56"/>
      <c r="I1405" s="60" t="str">
        <f aca="false">IF(IsPro,IF($D1405="","",IFERROR(INDEX(Items!$D$5:$D$504,Q1405),"")),IF($D1405="","","PRO PLAN"))</f>
        <v/>
      </c>
      <c r="J1405" s="61" t="str">
        <f aca="false">IF(IsPro,IF($D1405="","",IF($F1405="",IFERROR(INDEX(Items!$G$5:$G$504,Q1405),0),$F1405)),"")</f>
        <v/>
      </c>
      <c r="K1405" s="61" t="str">
        <f aca="false">IF(IsPro,IF($D1405="","",ROUND(N($E1405)*J1405*(1-N($G1405)),2)),"")</f>
        <v/>
      </c>
      <c r="L1405" s="62" t="str">
        <f aca="false">IF(IsPro,IF($D1405="","",IFERROR(INDEX(Items!$F$5:$F$504,Q1405),0)),"")</f>
        <v/>
      </c>
      <c r="M1405" s="61" t="str">
        <f aca="false">IF(IsPro,IF($D1405="","",IF(AND(R1405&lt;&gt;"",INDEX(Parties!$E$5:$E$304,R1405)&lt;&gt;"",INDEX(Parties!$E$5:$E$304,R1405)&lt;&gt;HomeState),0,ROUND(K1405*L1405/2,2))),"")</f>
        <v/>
      </c>
      <c r="N1405" s="61" t="str">
        <f aca="false">IF(IsPro,IF($D1405="","",M1405),"")</f>
        <v/>
      </c>
      <c r="O1405" s="61" t="str">
        <f aca="false">IF(IsPro,IF($D1405="","",IF(AND(R1405&lt;&gt;"",INDEX(Parties!$E$5:$E$304,R1405)&lt;&gt;"",INDEX(Parties!$E$5:$E$304,R1405)&lt;&gt;HomeState),ROUND(K1405*L1405,2),0)),"")</f>
        <v/>
      </c>
      <c r="P1405" s="61" t="str">
        <f aca="false">IF(IsPro,IF($D1405="","",K1405+M1405+N1405+O1405),"")</f>
        <v/>
      </c>
      <c r="Q1405" s="60" t="str">
        <f aca="false">IF(IsPro,IF($D1405="","",IFERROR(MATCH($D1405,Items!$A$5:$A$504,0),"")),"")</f>
        <v/>
      </c>
      <c r="R1405" s="60" t="str">
        <f aca="false">IF(IsPro,IF($C1405="","",IFERROR(MATCH($C1405,Parties!$A$5:$A$304,0),"")),"")</f>
        <v/>
      </c>
      <c r="S1405" s="61" t="str">
        <f aca="false">IF(IsPro,IF($D1405="","",IF(OR($H1405="",$H1405="Credit"),0,P1405)),"")</f>
        <v/>
      </c>
    </row>
    <row r="1406" customFormat="false" ht="15" hidden="false" customHeight="false" outlineLevel="0" collapsed="false">
      <c r="A1406" s="55"/>
      <c r="B1406" s="56"/>
      <c r="C1406" s="56"/>
      <c r="D1406" s="56"/>
      <c r="E1406" s="57"/>
      <c r="F1406" s="58"/>
      <c r="G1406" s="59"/>
      <c r="H1406" s="56"/>
      <c r="I1406" s="60" t="str">
        <f aca="false">IF(IsPro,IF($D1406="","",IFERROR(INDEX(Items!$D$5:$D$504,Q1406),"")),IF($D1406="","","PRO PLAN"))</f>
        <v/>
      </c>
      <c r="J1406" s="61" t="str">
        <f aca="false">IF(IsPro,IF($D1406="","",IF($F1406="",IFERROR(INDEX(Items!$G$5:$G$504,Q1406),0),$F1406)),"")</f>
        <v/>
      </c>
      <c r="K1406" s="61" t="str">
        <f aca="false">IF(IsPro,IF($D1406="","",ROUND(N($E1406)*J1406*(1-N($G1406)),2)),"")</f>
        <v/>
      </c>
      <c r="L1406" s="62" t="str">
        <f aca="false">IF(IsPro,IF($D1406="","",IFERROR(INDEX(Items!$F$5:$F$504,Q1406),0)),"")</f>
        <v/>
      </c>
      <c r="M1406" s="61" t="str">
        <f aca="false">IF(IsPro,IF($D1406="","",IF(AND(R1406&lt;&gt;"",INDEX(Parties!$E$5:$E$304,R1406)&lt;&gt;"",INDEX(Parties!$E$5:$E$304,R1406)&lt;&gt;HomeState),0,ROUND(K1406*L1406/2,2))),"")</f>
        <v/>
      </c>
      <c r="N1406" s="61" t="str">
        <f aca="false">IF(IsPro,IF($D1406="","",M1406),"")</f>
        <v/>
      </c>
      <c r="O1406" s="61" t="str">
        <f aca="false">IF(IsPro,IF($D1406="","",IF(AND(R1406&lt;&gt;"",INDEX(Parties!$E$5:$E$304,R1406)&lt;&gt;"",INDEX(Parties!$E$5:$E$304,R1406)&lt;&gt;HomeState),ROUND(K1406*L1406,2),0)),"")</f>
        <v/>
      </c>
      <c r="P1406" s="61" t="str">
        <f aca="false">IF(IsPro,IF($D1406="","",K1406+M1406+N1406+O1406),"")</f>
        <v/>
      </c>
      <c r="Q1406" s="60" t="str">
        <f aca="false">IF(IsPro,IF($D1406="","",IFERROR(MATCH($D1406,Items!$A$5:$A$504,0),"")),"")</f>
        <v/>
      </c>
      <c r="R1406" s="60" t="str">
        <f aca="false">IF(IsPro,IF($C1406="","",IFERROR(MATCH($C1406,Parties!$A$5:$A$304,0),"")),"")</f>
        <v/>
      </c>
      <c r="S1406" s="61" t="str">
        <f aca="false">IF(IsPro,IF($D1406="","",IF(OR($H1406="",$H1406="Credit"),0,P1406)),"")</f>
        <v/>
      </c>
    </row>
    <row r="1407" customFormat="false" ht="15" hidden="false" customHeight="false" outlineLevel="0" collapsed="false">
      <c r="A1407" s="55"/>
      <c r="B1407" s="56"/>
      <c r="C1407" s="56"/>
      <c r="D1407" s="56"/>
      <c r="E1407" s="57"/>
      <c r="F1407" s="58"/>
      <c r="G1407" s="59"/>
      <c r="H1407" s="56"/>
      <c r="I1407" s="60" t="str">
        <f aca="false">IF(IsPro,IF($D1407="","",IFERROR(INDEX(Items!$D$5:$D$504,Q1407),"")),IF($D1407="","","PRO PLAN"))</f>
        <v/>
      </c>
      <c r="J1407" s="61" t="str">
        <f aca="false">IF(IsPro,IF($D1407="","",IF($F1407="",IFERROR(INDEX(Items!$G$5:$G$504,Q1407),0),$F1407)),"")</f>
        <v/>
      </c>
      <c r="K1407" s="61" t="str">
        <f aca="false">IF(IsPro,IF($D1407="","",ROUND(N($E1407)*J1407*(1-N($G1407)),2)),"")</f>
        <v/>
      </c>
      <c r="L1407" s="62" t="str">
        <f aca="false">IF(IsPro,IF($D1407="","",IFERROR(INDEX(Items!$F$5:$F$504,Q1407),0)),"")</f>
        <v/>
      </c>
      <c r="M1407" s="61" t="str">
        <f aca="false">IF(IsPro,IF($D1407="","",IF(AND(R1407&lt;&gt;"",INDEX(Parties!$E$5:$E$304,R1407)&lt;&gt;"",INDEX(Parties!$E$5:$E$304,R1407)&lt;&gt;HomeState),0,ROUND(K1407*L1407/2,2))),"")</f>
        <v/>
      </c>
      <c r="N1407" s="61" t="str">
        <f aca="false">IF(IsPro,IF($D1407="","",M1407),"")</f>
        <v/>
      </c>
      <c r="O1407" s="61" t="str">
        <f aca="false">IF(IsPro,IF($D1407="","",IF(AND(R1407&lt;&gt;"",INDEX(Parties!$E$5:$E$304,R1407)&lt;&gt;"",INDEX(Parties!$E$5:$E$304,R1407)&lt;&gt;HomeState),ROUND(K1407*L1407,2),0)),"")</f>
        <v/>
      </c>
      <c r="P1407" s="61" t="str">
        <f aca="false">IF(IsPro,IF($D1407="","",K1407+M1407+N1407+O1407),"")</f>
        <v/>
      </c>
      <c r="Q1407" s="60" t="str">
        <f aca="false">IF(IsPro,IF($D1407="","",IFERROR(MATCH($D1407,Items!$A$5:$A$504,0),"")),"")</f>
        <v/>
      </c>
      <c r="R1407" s="60" t="str">
        <f aca="false">IF(IsPro,IF($C1407="","",IFERROR(MATCH($C1407,Parties!$A$5:$A$304,0),"")),"")</f>
        <v/>
      </c>
      <c r="S1407" s="61" t="str">
        <f aca="false">IF(IsPro,IF($D1407="","",IF(OR($H1407="",$H1407="Credit"),0,P1407)),"")</f>
        <v/>
      </c>
    </row>
    <row r="1408" customFormat="false" ht="15" hidden="false" customHeight="false" outlineLevel="0" collapsed="false">
      <c r="A1408" s="55"/>
      <c r="B1408" s="56"/>
      <c r="C1408" s="56"/>
      <c r="D1408" s="56"/>
      <c r="E1408" s="57"/>
      <c r="F1408" s="58"/>
      <c r="G1408" s="59"/>
      <c r="H1408" s="56"/>
      <c r="I1408" s="60" t="str">
        <f aca="false">IF(IsPro,IF($D1408="","",IFERROR(INDEX(Items!$D$5:$D$504,Q1408),"")),IF($D1408="","","PRO PLAN"))</f>
        <v/>
      </c>
      <c r="J1408" s="61" t="str">
        <f aca="false">IF(IsPro,IF($D1408="","",IF($F1408="",IFERROR(INDEX(Items!$G$5:$G$504,Q1408),0),$F1408)),"")</f>
        <v/>
      </c>
      <c r="K1408" s="61" t="str">
        <f aca="false">IF(IsPro,IF($D1408="","",ROUND(N($E1408)*J1408*(1-N($G1408)),2)),"")</f>
        <v/>
      </c>
      <c r="L1408" s="62" t="str">
        <f aca="false">IF(IsPro,IF($D1408="","",IFERROR(INDEX(Items!$F$5:$F$504,Q1408),0)),"")</f>
        <v/>
      </c>
      <c r="M1408" s="61" t="str">
        <f aca="false">IF(IsPro,IF($D1408="","",IF(AND(R1408&lt;&gt;"",INDEX(Parties!$E$5:$E$304,R1408)&lt;&gt;"",INDEX(Parties!$E$5:$E$304,R1408)&lt;&gt;HomeState),0,ROUND(K1408*L1408/2,2))),"")</f>
        <v/>
      </c>
      <c r="N1408" s="61" t="str">
        <f aca="false">IF(IsPro,IF($D1408="","",M1408),"")</f>
        <v/>
      </c>
      <c r="O1408" s="61" t="str">
        <f aca="false">IF(IsPro,IF($D1408="","",IF(AND(R1408&lt;&gt;"",INDEX(Parties!$E$5:$E$304,R1408)&lt;&gt;"",INDEX(Parties!$E$5:$E$304,R1408)&lt;&gt;HomeState),ROUND(K1408*L1408,2),0)),"")</f>
        <v/>
      </c>
      <c r="P1408" s="61" t="str">
        <f aca="false">IF(IsPro,IF($D1408="","",K1408+M1408+N1408+O1408),"")</f>
        <v/>
      </c>
      <c r="Q1408" s="60" t="str">
        <f aca="false">IF(IsPro,IF($D1408="","",IFERROR(MATCH($D1408,Items!$A$5:$A$504,0),"")),"")</f>
        <v/>
      </c>
      <c r="R1408" s="60" t="str">
        <f aca="false">IF(IsPro,IF($C1408="","",IFERROR(MATCH($C1408,Parties!$A$5:$A$304,0),"")),"")</f>
        <v/>
      </c>
      <c r="S1408" s="61" t="str">
        <f aca="false">IF(IsPro,IF($D1408="","",IF(OR($H1408="",$H1408="Credit"),0,P1408)),"")</f>
        <v/>
      </c>
    </row>
    <row r="1409" customFormat="false" ht="15" hidden="false" customHeight="false" outlineLevel="0" collapsed="false">
      <c r="A1409" s="55"/>
      <c r="B1409" s="56"/>
      <c r="C1409" s="56"/>
      <c r="D1409" s="56"/>
      <c r="E1409" s="57"/>
      <c r="F1409" s="58"/>
      <c r="G1409" s="59"/>
      <c r="H1409" s="56"/>
      <c r="I1409" s="60" t="str">
        <f aca="false">IF(IsPro,IF($D1409="","",IFERROR(INDEX(Items!$D$5:$D$504,Q1409),"")),IF($D1409="","","PRO PLAN"))</f>
        <v/>
      </c>
      <c r="J1409" s="61" t="str">
        <f aca="false">IF(IsPro,IF($D1409="","",IF($F1409="",IFERROR(INDEX(Items!$G$5:$G$504,Q1409),0),$F1409)),"")</f>
        <v/>
      </c>
      <c r="K1409" s="61" t="str">
        <f aca="false">IF(IsPro,IF($D1409="","",ROUND(N($E1409)*J1409*(1-N($G1409)),2)),"")</f>
        <v/>
      </c>
      <c r="L1409" s="62" t="str">
        <f aca="false">IF(IsPro,IF($D1409="","",IFERROR(INDEX(Items!$F$5:$F$504,Q1409),0)),"")</f>
        <v/>
      </c>
      <c r="M1409" s="61" t="str">
        <f aca="false">IF(IsPro,IF($D1409="","",IF(AND(R1409&lt;&gt;"",INDEX(Parties!$E$5:$E$304,R1409)&lt;&gt;"",INDEX(Parties!$E$5:$E$304,R1409)&lt;&gt;HomeState),0,ROUND(K1409*L1409/2,2))),"")</f>
        <v/>
      </c>
      <c r="N1409" s="61" t="str">
        <f aca="false">IF(IsPro,IF($D1409="","",M1409),"")</f>
        <v/>
      </c>
      <c r="O1409" s="61" t="str">
        <f aca="false">IF(IsPro,IF($D1409="","",IF(AND(R1409&lt;&gt;"",INDEX(Parties!$E$5:$E$304,R1409)&lt;&gt;"",INDEX(Parties!$E$5:$E$304,R1409)&lt;&gt;HomeState),ROUND(K1409*L1409,2),0)),"")</f>
        <v/>
      </c>
      <c r="P1409" s="61" t="str">
        <f aca="false">IF(IsPro,IF($D1409="","",K1409+M1409+N1409+O1409),"")</f>
        <v/>
      </c>
      <c r="Q1409" s="60" t="str">
        <f aca="false">IF(IsPro,IF($D1409="","",IFERROR(MATCH($D1409,Items!$A$5:$A$504,0),"")),"")</f>
        <v/>
      </c>
      <c r="R1409" s="60" t="str">
        <f aca="false">IF(IsPro,IF($C1409="","",IFERROR(MATCH($C1409,Parties!$A$5:$A$304,0),"")),"")</f>
        <v/>
      </c>
      <c r="S1409" s="61" t="str">
        <f aca="false">IF(IsPro,IF($D1409="","",IF(OR($H1409="",$H1409="Credit"),0,P1409)),"")</f>
        <v/>
      </c>
    </row>
    <row r="1410" customFormat="false" ht="15" hidden="false" customHeight="false" outlineLevel="0" collapsed="false">
      <c r="A1410" s="55"/>
      <c r="B1410" s="56"/>
      <c r="C1410" s="56"/>
      <c r="D1410" s="56"/>
      <c r="E1410" s="57"/>
      <c r="F1410" s="58"/>
      <c r="G1410" s="59"/>
      <c r="H1410" s="56"/>
      <c r="I1410" s="60" t="str">
        <f aca="false">IF(IsPro,IF($D1410="","",IFERROR(INDEX(Items!$D$5:$D$504,Q1410),"")),IF($D1410="","","PRO PLAN"))</f>
        <v/>
      </c>
      <c r="J1410" s="61" t="str">
        <f aca="false">IF(IsPro,IF($D1410="","",IF($F1410="",IFERROR(INDEX(Items!$G$5:$G$504,Q1410),0),$F1410)),"")</f>
        <v/>
      </c>
      <c r="K1410" s="61" t="str">
        <f aca="false">IF(IsPro,IF($D1410="","",ROUND(N($E1410)*J1410*(1-N($G1410)),2)),"")</f>
        <v/>
      </c>
      <c r="L1410" s="62" t="str">
        <f aca="false">IF(IsPro,IF($D1410="","",IFERROR(INDEX(Items!$F$5:$F$504,Q1410),0)),"")</f>
        <v/>
      </c>
      <c r="M1410" s="61" t="str">
        <f aca="false">IF(IsPro,IF($D1410="","",IF(AND(R1410&lt;&gt;"",INDEX(Parties!$E$5:$E$304,R1410)&lt;&gt;"",INDEX(Parties!$E$5:$E$304,R1410)&lt;&gt;HomeState),0,ROUND(K1410*L1410/2,2))),"")</f>
        <v/>
      </c>
      <c r="N1410" s="61" t="str">
        <f aca="false">IF(IsPro,IF($D1410="","",M1410),"")</f>
        <v/>
      </c>
      <c r="O1410" s="61" t="str">
        <f aca="false">IF(IsPro,IF($D1410="","",IF(AND(R1410&lt;&gt;"",INDEX(Parties!$E$5:$E$304,R1410)&lt;&gt;"",INDEX(Parties!$E$5:$E$304,R1410)&lt;&gt;HomeState),ROUND(K1410*L1410,2),0)),"")</f>
        <v/>
      </c>
      <c r="P1410" s="61" t="str">
        <f aca="false">IF(IsPro,IF($D1410="","",K1410+M1410+N1410+O1410),"")</f>
        <v/>
      </c>
      <c r="Q1410" s="60" t="str">
        <f aca="false">IF(IsPro,IF($D1410="","",IFERROR(MATCH($D1410,Items!$A$5:$A$504,0),"")),"")</f>
        <v/>
      </c>
      <c r="R1410" s="60" t="str">
        <f aca="false">IF(IsPro,IF($C1410="","",IFERROR(MATCH($C1410,Parties!$A$5:$A$304,0),"")),"")</f>
        <v/>
      </c>
      <c r="S1410" s="61" t="str">
        <f aca="false">IF(IsPro,IF($D1410="","",IF(OR($H1410="",$H1410="Credit"),0,P1410)),"")</f>
        <v/>
      </c>
    </row>
    <row r="1411" customFormat="false" ht="15" hidden="false" customHeight="false" outlineLevel="0" collapsed="false">
      <c r="A1411" s="55"/>
      <c r="B1411" s="56"/>
      <c r="C1411" s="56"/>
      <c r="D1411" s="56"/>
      <c r="E1411" s="57"/>
      <c r="F1411" s="58"/>
      <c r="G1411" s="59"/>
      <c r="H1411" s="56"/>
      <c r="I1411" s="60" t="str">
        <f aca="false">IF(IsPro,IF($D1411="","",IFERROR(INDEX(Items!$D$5:$D$504,Q1411),"")),IF($D1411="","","PRO PLAN"))</f>
        <v/>
      </c>
      <c r="J1411" s="61" t="str">
        <f aca="false">IF(IsPro,IF($D1411="","",IF($F1411="",IFERROR(INDEX(Items!$G$5:$G$504,Q1411),0),$F1411)),"")</f>
        <v/>
      </c>
      <c r="K1411" s="61" t="str">
        <f aca="false">IF(IsPro,IF($D1411="","",ROUND(N($E1411)*J1411*(1-N($G1411)),2)),"")</f>
        <v/>
      </c>
      <c r="L1411" s="62" t="str">
        <f aca="false">IF(IsPro,IF($D1411="","",IFERROR(INDEX(Items!$F$5:$F$504,Q1411),0)),"")</f>
        <v/>
      </c>
      <c r="M1411" s="61" t="str">
        <f aca="false">IF(IsPro,IF($D1411="","",IF(AND(R1411&lt;&gt;"",INDEX(Parties!$E$5:$E$304,R1411)&lt;&gt;"",INDEX(Parties!$E$5:$E$304,R1411)&lt;&gt;HomeState),0,ROUND(K1411*L1411/2,2))),"")</f>
        <v/>
      </c>
      <c r="N1411" s="61" t="str">
        <f aca="false">IF(IsPro,IF($D1411="","",M1411),"")</f>
        <v/>
      </c>
      <c r="O1411" s="61" t="str">
        <f aca="false">IF(IsPro,IF($D1411="","",IF(AND(R1411&lt;&gt;"",INDEX(Parties!$E$5:$E$304,R1411)&lt;&gt;"",INDEX(Parties!$E$5:$E$304,R1411)&lt;&gt;HomeState),ROUND(K1411*L1411,2),0)),"")</f>
        <v/>
      </c>
      <c r="P1411" s="61" t="str">
        <f aca="false">IF(IsPro,IF($D1411="","",K1411+M1411+N1411+O1411),"")</f>
        <v/>
      </c>
      <c r="Q1411" s="60" t="str">
        <f aca="false">IF(IsPro,IF($D1411="","",IFERROR(MATCH($D1411,Items!$A$5:$A$504,0),"")),"")</f>
        <v/>
      </c>
      <c r="R1411" s="60" t="str">
        <f aca="false">IF(IsPro,IF($C1411="","",IFERROR(MATCH($C1411,Parties!$A$5:$A$304,0),"")),"")</f>
        <v/>
      </c>
      <c r="S1411" s="61" t="str">
        <f aca="false">IF(IsPro,IF($D1411="","",IF(OR($H1411="",$H1411="Credit"),0,P1411)),"")</f>
        <v/>
      </c>
    </row>
    <row r="1412" customFormat="false" ht="15" hidden="false" customHeight="false" outlineLevel="0" collapsed="false">
      <c r="A1412" s="55"/>
      <c r="B1412" s="56"/>
      <c r="C1412" s="56"/>
      <c r="D1412" s="56"/>
      <c r="E1412" s="57"/>
      <c r="F1412" s="58"/>
      <c r="G1412" s="59"/>
      <c r="H1412" s="56"/>
      <c r="I1412" s="60" t="str">
        <f aca="false">IF(IsPro,IF($D1412="","",IFERROR(INDEX(Items!$D$5:$D$504,Q1412),"")),IF($D1412="","","PRO PLAN"))</f>
        <v/>
      </c>
      <c r="J1412" s="61" t="str">
        <f aca="false">IF(IsPro,IF($D1412="","",IF($F1412="",IFERROR(INDEX(Items!$G$5:$G$504,Q1412),0),$F1412)),"")</f>
        <v/>
      </c>
      <c r="K1412" s="61" t="str">
        <f aca="false">IF(IsPro,IF($D1412="","",ROUND(N($E1412)*J1412*(1-N($G1412)),2)),"")</f>
        <v/>
      </c>
      <c r="L1412" s="62" t="str">
        <f aca="false">IF(IsPro,IF($D1412="","",IFERROR(INDEX(Items!$F$5:$F$504,Q1412),0)),"")</f>
        <v/>
      </c>
      <c r="M1412" s="61" t="str">
        <f aca="false">IF(IsPro,IF($D1412="","",IF(AND(R1412&lt;&gt;"",INDEX(Parties!$E$5:$E$304,R1412)&lt;&gt;"",INDEX(Parties!$E$5:$E$304,R1412)&lt;&gt;HomeState),0,ROUND(K1412*L1412/2,2))),"")</f>
        <v/>
      </c>
      <c r="N1412" s="61" t="str">
        <f aca="false">IF(IsPro,IF($D1412="","",M1412),"")</f>
        <v/>
      </c>
      <c r="O1412" s="61" t="str">
        <f aca="false">IF(IsPro,IF($D1412="","",IF(AND(R1412&lt;&gt;"",INDEX(Parties!$E$5:$E$304,R1412)&lt;&gt;"",INDEX(Parties!$E$5:$E$304,R1412)&lt;&gt;HomeState),ROUND(K1412*L1412,2),0)),"")</f>
        <v/>
      </c>
      <c r="P1412" s="61" t="str">
        <f aca="false">IF(IsPro,IF($D1412="","",K1412+M1412+N1412+O1412),"")</f>
        <v/>
      </c>
      <c r="Q1412" s="60" t="str">
        <f aca="false">IF(IsPro,IF($D1412="","",IFERROR(MATCH($D1412,Items!$A$5:$A$504,0),"")),"")</f>
        <v/>
      </c>
      <c r="R1412" s="60" t="str">
        <f aca="false">IF(IsPro,IF($C1412="","",IFERROR(MATCH($C1412,Parties!$A$5:$A$304,0),"")),"")</f>
        <v/>
      </c>
      <c r="S1412" s="61" t="str">
        <f aca="false">IF(IsPro,IF($D1412="","",IF(OR($H1412="",$H1412="Credit"),0,P1412)),"")</f>
        <v/>
      </c>
    </row>
    <row r="1413" customFormat="false" ht="15" hidden="false" customHeight="false" outlineLevel="0" collapsed="false">
      <c r="A1413" s="55"/>
      <c r="B1413" s="56"/>
      <c r="C1413" s="56"/>
      <c r="D1413" s="56"/>
      <c r="E1413" s="57"/>
      <c r="F1413" s="58"/>
      <c r="G1413" s="59"/>
      <c r="H1413" s="56"/>
      <c r="I1413" s="60" t="str">
        <f aca="false">IF(IsPro,IF($D1413="","",IFERROR(INDEX(Items!$D$5:$D$504,Q1413),"")),IF($D1413="","","PRO PLAN"))</f>
        <v/>
      </c>
      <c r="J1413" s="61" t="str">
        <f aca="false">IF(IsPro,IF($D1413="","",IF($F1413="",IFERROR(INDEX(Items!$G$5:$G$504,Q1413),0),$F1413)),"")</f>
        <v/>
      </c>
      <c r="K1413" s="61" t="str">
        <f aca="false">IF(IsPro,IF($D1413="","",ROUND(N($E1413)*J1413*(1-N($G1413)),2)),"")</f>
        <v/>
      </c>
      <c r="L1413" s="62" t="str">
        <f aca="false">IF(IsPro,IF($D1413="","",IFERROR(INDEX(Items!$F$5:$F$504,Q1413),0)),"")</f>
        <v/>
      </c>
      <c r="M1413" s="61" t="str">
        <f aca="false">IF(IsPro,IF($D1413="","",IF(AND(R1413&lt;&gt;"",INDEX(Parties!$E$5:$E$304,R1413)&lt;&gt;"",INDEX(Parties!$E$5:$E$304,R1413)&lt;&gt;HomeState),0,ROUND(K1413*L1413/2,2))),"")</f>
        <v/>
      </c>
      <c r="N1413" s="61" t="str">
        <f aca="false">IF(IsPro,IF($D1413="","",M1413),"")</f>
        <v/>
      </c>
      <c r="O1413" s="61" t="str">
        <f aca="false">IF(IsPro,IF($D1413="","",IF(AND(R1413&lt;&gt;"",INDEX(Parties!$E$5:$E$304,R1413)&lt;&gt;"",INDEX(Parties!$E$5:$E$304,R1413)&lt;&gt;HomeState),ROUND(K1413*L1413,2),0)),"")</f>
        <v/>
      </c>
      <c r="P1413" s="61" t="str">
        <f aca="false">IF(IsPro,IF($D1413="","",K1413+M1413+N1413+O1413),"")</f>
        <v/>
      </c>
      <c r="Q1413" s="60" t="str">
        <f aca="false">IF(IsPro,IF($D1413="","",IFERROR(MATCH($D1413,Items!$A$5:$A$504,0),"")),"")</f>
        <v/>
      </c>
      <c r="R1413" s="60" t="str">
        <f aca="false">IF(IsPro,IF($C1413="","",IFERROR(MATCH($C1413,Parties!$A$5:$A$304,0),"")),"")</f>
        <v/>
      </c>
      <c r="S1413" s="61" t="str">
        <f aca="false">IF(IsPro,IF($D1413="","",IF(OR($H1413="",$H1413="Credit"),0,P1413)),"")</f>
        <v/>
      </c>
    </row>
    <row r="1414" customFormat="false" ht="15" hidden="false" customHeight="false" outlineLevel="0" collapsed="false">
      <c r="A1414" s="55"/>
      <c r="B1414" s="56"/>
      <c r="C1414" s="56"/>
      <c r="D1414" s="56"/>
      <c r="E1414" s="57"/>
      <c r="F1414" s="58"/>
      <c r="G1414" s="59"/>
      <c r="H1414" s="56"/>
      <c r="I1414" s="60" t="str">
        <f aca="false">IF(IsPro,IF($D1414="","",IFERROR(INDEX(Items!$D$5:$D$504,Q1414),"")),IF($D1414="","","PRO PLAN"))</f>
        <v/>
      </c>
      <c r="J1414" s="61" t="str">
        <f aca="false">IF(IsPro,IF($D1414="","",IF($F1414="",IFERROR(INDEX(Items!$G$5:$G$504,Q1414),0),$F1414)),"")</f>
        <v/>
      </c>
      <c r="K1414" s="61" t="str">
        <f aca="false">IF(IsPro,IF($D1414="","",ROUND(N($E1414)*J1414*(1-N($G1414)),2)),"")</f>
        <v/>
      </c>
      <c r="L1414" s="62" t="str">
        <f aca="false">IF(IsPro,IF($D1414="","",IFERROR(INDEX(Items!$F$5:$F$504,Q1414),0)),"")</f>
        <v/>
      </c>
      <c r="M1414" s="61" t="str">
        <f aca="false">IF(IsPro,IF($D1414="","",IF(AND(R1414&lt;&gt;"",INDEX(Parties!$E$5:$E$304,R1414)&lt;&gt;"",INDEX(Parties!$E$5:$E$304,R1414)&lt;&gt;HomeState),0,ROUND(K1414*L1414/2,2))),"")</f>
        <v/>
      </c>
      <c r="N1414" s="61" t="str">
        <f aca="false">IF(IsPro,IF($D1414="","",M1414),"")</f>
        <v/>
      </c>
      <c r="O1414" s="61" t="str">
        <f aca="false">IF(IsPro,IF($D1414="","",IF(AND(R1414&lt;&gt;"",INDEX(Parties!$E$5:$E$304,R1414)&lt;&gt;"",INDEX(Parties!$E$5:$E$304,R1414)&lt;&gt;HomeState),ROUND(K1414*L1414,2),0)),"")</f>
        <v/>
      </c>
      <c r="P1414" s="61" t="str">
        <f aca="false">IF(IsPro,IF($D1414="","",K1414+M1414+N1414+O1414),"")</f>
        <v/>
      </c>
      <c r="Q1414" s="60" t="str">
        <f aca="false">IF(IsPro,IF($D1414="","",IFERROR(MATCH($D1414,Items!$A$5:$A$504,0),"")),"")</f>
        <v/>
      </c>
      <c r="R1414" s="60" t="str">
        <f aca="false">IF(IsPro,IF($C1414="","",IFERROR(MATCH($C1414,Parties!$A$5:$A$304,0),"")),"")</f>
        <v/>
      </c>
      <c r="S1414" s="61" t="str">
        <f aca="false">IF(IsPro,IF($D1414="","",IF(OR($H1414="",$H1414="Credit"),0,P1414)),"")</f>
        <v/>
      </c>
    </row>
    <row r="1415" customFormat="false" ht="15" hidden="false" customHeight="false" outlineLevel="0" collapsed="false">
      <c r="A1415" s="55"/>
      <c r="B1415" s="56"/>
      <c r="C1415" s="56"/>
      <c r="D1415" s="56"/>
      <c r="E1415" s="57"/>
      <c r="F1415" s="58"/>
      <c r="G1415" s="59"/>
      <c r="H1415" s="56"/>
      <c r="I1415" s="60" t="str">
        <f aca="false">IF(IsPro,IF($D1415="","",IFERROR(INDEX(Items!$D$5:$D$504,Q1415),"")),IF($D1415="","","PRO PLAN"))</f>
        <v/>
      </c>
      <c r="J1415" s="61" t="str">
        <f aca="false">IF(IsPro,IF($D1415="","",IF($F1415="",IFERROR(INDEX(Items!$G$5:$G$504,Q1415),0),$F1415)),"")</f>
        <v/>
      </c>
      <c r="K1415" s="61" t="str">
        <f aca="false">IF(IsPro,IF($D1415="","",ROUND(N($E1415)*J1415*(1-N($G1415)),2)),"")</f>
        <v/>
      </c>
      <c r="L1415" s="62" t="str">
        <f aca="false">IF(IsPro,IF($D1415="","",IFERROR(INDEX(Items!$F$5:$F$504,Q1415),0)),"")</f>
        <v/>
      </c>
      <c r="M1415" s="61" t="str">
        <f aca="false">IF(IsPro,IF($D1415="","",IF(AND(R1415&lt;&gt;"",INDEX(Parties!$E$5:$E$304,R1415)&lt;&gt;"",INDEX(Parties!$E$5:$E$304,R1415)&lt;&gt;HomeState),0,ROUND(K1415*L1415/2,2))),"")</f>
        <v/>
      </c>
      <c r="N1415" s="61" t="str">
        <f aca="false">IF(IsPro,IF($D1415="","",M1415),"")</f>
        <v/>
      </c>
      <c r="O1415" s="61" t="str">
        <f aca="false">IF(IsPro,IF($D1415="","",IF(AND(R1415&lt;&gt;"",INDEX(Parties!$E$5:$E$304,R1415)&lt;&gt;"",INDEX(Parties!$E$5:$E$304,R1415)&lt;&gt;HomeState),ROUND(K1415*L1415,2),0)),"")</f>
        <v/>
      </c>
      <c r="P1415" s="61" t="str">
        <f aca="false">IF(IsPro,IF($D1415="","",K1415+M1415+N1415+O1415),"")</f>
        <v/>
      </c>
      <c r="Q1415" s="60" t="str">
        <f aca="false">IF(IsPro,IF($D1415="","",IFERROR(MATCH($D1415,Items!$A$5:$A$504,0),"")),"")</f>
        <v/>
      </c>
      <c r="R1415" s="60" t="str">
        <f aca="false">IF(IsPro,IF($C1415="","",IFERROR(MATCH($C1415,Parties!$A$5:$A$304,0),"")),"")</f>
        <v/>
      </c>
      <c r="S1415" s="61" t="str">
        <f aca="false">IF(IsPro,IF($D1415="","",IF(OR($H1415="",$H1415="Credit"),0,P1415)),"")</f>
        <v/>
      </c>
    </row>
    <row r="1416" customFormat="false" ht="15" hidden="false" customHeight="false" outlineLevel="0" collapsed="false">
      <c r="A1416" s="55"/>
      <c r="B1416" s="56"/>
      <c r="C1416" s="56"/>
      <c r="D1416" s="56"/>
      <c r="E1416" s="57"/>
      <c r="F1416" s="58"/>
      <c r="G1416" s="59"/>
      <c r="H1416" s="56"/>
      <c r="I1416" s="60" t="str">
        <f aca="false">IF(IsPro,IF($D1416="","",IFERROR(INDEX(Items!$D$5:$D$504,Q1416),"")),IF($D1416="","","PRO PLAN"))</f>
        <v/>
      </c>
      <c r="J1416" s="61" t="str">
        <f aca="false">IF(IsPro,IF($D1416="","",IF($F1416="",IFERROR(INDEX(Items!$G$5:$G$504,Q1416),0),$F1416)),"")</f>
        <v/>
      </c>
      <c r="K1416" s="61" t="str">
        <f aca="false">IF(IsPro,IF($D1416="","",ROUND(N($E1416)*J1416*(1-N($G1416)),2)),"")</f>
        <v/>
      </c>
      <c r="L1416" s="62" t="str">
        <f aca="false">IF(IsPro,IF($D1416="","",IFERROR(INDEX(Items!$F$5:$F$504,Q1416),0)),"")</f>
        <v/>
      </c>
      <c r="M1416" s="61" t="str">
        <f aca="false">IF(IsPro,IF($D1416="","",IF(AND(R1416&lt;&gt;"",INDEX(Parties!$E$5:$E$304,R1416)&lt;&gt;"",INDEX(Parties!$E$5:$E$304,R1416)&lt;&gt;HomeState),0,ROUND(K1416*L1416/2,2))),"")</f>
        <v/>
      </c>
      <c r="N1416" s="61" t="str">
        <f aca="false">IF(IsPro,IF($D1416="","",M1416),"")</f>
        <v/>
      </c>
      <c r="O1416" s="61" t="str">
        <f aca="false">IF(IsPro,IF($D1416="","",IF(AND(R1416&lt;&gt;"",INDEX(Parties!$E$5:$E$304,R1416)&lt;&gt;"",INDEX(Parties!$E$5:$E$304,R1416)&lt;&gt;HomeState),ROUND(K1416*L1416,2),0)),"")</f>
        <v/>
      </c>
      <c r="P1416" s="61" t="str">
        <f aca="false">IF(IsPro,IF($D1416="","",K1416+M1416+N1416+O1416),"")</f>
        <v/>
      </c>
      <c r="Q1416" s="60" t="str">
        <f aca="false">IF(IsPro,IF($D1416="","",IFERROR(MATCH($D1416,Items!$A$5:$A$504,0),"")),"")</f>
        <v/>
      </c>
      <c r="R1416" s="60" t="str">
        <f aca="false">IF(IsPro,IF($C1416="","",IFERROR(MATCH($C1416,Parties!$A$5:$A$304,0),"")),"")</f>
        <v/>
      </c>
      <c r="S1416" s="61" t="str">
        <f aca="false">IF(IsPro,IF($D1416="","",IF(OR($H1416="",$H1416="Credit"),0,P1416)),"")</f>
        <v/>
      </c>
    </row>
    <row r="1417" customFormat="false" ht="15" hidden="false" customHeight="false" outlineLevel="0" collapsed="false">
      <c r="A1417" s="55"/>
      <c r="B1417" s="56"/>
      <c r="C1417" s="56"/>
      <c r="D1417" s="56"/>
      <c r="E1417" s="57"/>
      <c r="F1417" s="58"/>
      <c r="G1417" s="59"/>
      <c r="H1417" s="56"/>
      <c r="I1417" s="60" t="str">
        <f aca="false">IF(IsPro,IF($D1417="","",IFERROR(INDEX(Items!$D$5:$D$504,Q1417),"")),IF($D1417="","","PRO PLAN"))</f>
        <v/>
      </c>
      <c r="J1417" s="61" t="str">
        <f aca="false">IF(IsPro,IF($D1417="","",IF($F1417="",IFERROR(INDEX(Items!$G$5:$G$504,Q1417),0),$F1417)),"")</f>
        <v/>
      </c>
      <c r="K1417" s="61" t="str">
        <f aca="false">IF(IsPro,IF($D1417="","",ROUND(N($E1417)*J1417*(1-N($G1417)),2)),"")</f>
        <v/>
      </c>
      <c r="L1417" s="62" t="str">
        <f aca="false">IF(IsPro,IF($D1417="","",IFERROR(INDEX(Items!$F$5:$F$504,Q1417),0)),"")</f>
        <v/>
      </c>
      <c r="M1417" s="61" t="str">
        <f aca="false">IF(IsPro,IF($D1417="","",IF(AND(R1417&lt;&gt;"",INDEX(Parties!$E$5:$E$304,R1417)&lt;&gt;"",INDEX(Parties!$E$5:$E$304,R1417)&lt;&gt;HomeState),0,ROUND(K1417*L1417/2,2))),"")</f>
        <v/>
      </c>
      <c r="N1417" s="61" t="str">
        <f aca="false">IF(IsPro,IF($D1417="","",M1417),"")</f>
        <v/>
      </c>
      <c r="O1417" s="61" t="str">
        <f aca="false">IF(IsPro,IF($D1417="","",IF(AND(R1417&lt;&gt;"",INDEX(Parties!$E$5:$E$304,R1417)&lt;&gt;"",INDEX(Parties!$E$5:$E$304,R1417)&lt;&gt;HomeState),ROUND(K1417*L1417,2),0)),"")</f>
        <v/>
      </c>
      <c r="P1417" s="61" t="str">
        <f aca="false">IF(IsPro,IF($D1417="","",K1417+M1417+N1417+O1417),"")</f>
        <v/>
      </c>
      <c r="Q1417" s="60" t="str">
        <f aca="false">IF(IsPro,IF($D1417="","",IFERROR(MATCH($D1417,Items!$A$5:$A$504,0),"")),"")</f>
        <v/>
      </c>
      <c r="R1417" s="60" t="str">
        <f aca="false">IF(IsPro,IF($C1417="","",IFERROR(MATCH($C1417,Parties!$A$5:$A$304,0),"")),"")</f>
        <v/>
      </c>
      <c r="S1417" s="61" t="str">
        <f aca="false">IF(IsPro,IF($D1417="","",IF(OR($H1417="",$H1417="Credit"),0,P1417)),"")</f>
        <v/>
      </c>
    </row>
    <row r="1418" customFormat="false" ht="15" hidden="false" customHeight="false" outlineLevel="0" collapsed="false">
      <c r="A1418" s="55"/>
      <c r="B1418" s="56"/>
      <c r="C1418" s="56"/>
      <c r="D1418" s="56"/>
      <c r="E1418" s="57"/>
      <c r="F1418" s="58"/>
      <c r="G1418" s="59"/>
      <c r="H1418" s="56"/>
      <c r="I1418" s="60" t="str">
        <f aca="false">IF(IsPro,IF($D1418="","",IFERROR(INDEX(Items!$D$5:$D$504,Q1418),"")),IF($D1418="","","PRO PLAN"))</f>
        <v/>
      </c>
      <c r="J1418" s="61" t="str">
        <f aca="false">IF(IsPro,IF($D1418="","",IF($F1418="",IFERROR(INDEX(Items!$G$5:$G$504,Q1418),0),$F1418)),"")</f>
        <v/>
      </c>
      <c r="K1418" s="61" t="str">
        <f aca="false">IF(IsPro,IF($D1418="","",ROUND(N($E1418)*J1418*(1-N($G1418)),2)),"")</f>
        <v/>
      </c>
      <c r="L1418" s="62" t="str">
        <f aca="false">IF(IsPro,IF($D1418="","",IFERROR(INDEX(Items!$F$5:$F$504,Q1418),0)),"")</f>
        <v/>
      </c>
      <c r="M1418" s="61" t="str">
        <f aca="false">IF(IsPro,IF($D1418="","",IF(AND(R1418&lt;&gt;"",INDEX(Parties!$E$5:$E$304,R1418)&lt;&gt;"",INDEX(Parties!$E$5:$E$304,R1418)&lt;&gt;HomeState),0,ROUND(K1418*L1418/2,2))),"")</f>
        <v/>
      </c>
      <c r="N1418" s="61" t="str">
        <f aca="false">IF(IsPro,IF($D1418="","",M1418),"")</f>
        <v/>
      </c>
      <c r="O1418" s="61" t="str">
        <f aca="false">IF(IsPro,IF($D1418="","",IF(AND(R1418&lt;&gt;"",INDEX(Parties!$E$5:$E$304,R1418)&lt;&gt;"",INDEX(Parties!$E$5:$E$304,R1418)&lt;&gt;HomeState),ROUND(K1418*L1418,2),0)),"")</f>
        <v/>
      </c>
      <c r="P1418" s="61" t="str">
        <f aca="false">IF(IsPro,IF($D1418="","",K1418+M1418+N1418+O1418),"")</f>
        <v/>
      </c>
      <c r="Q1418" s="60" t="str">
        <f aca="false">IF(IsPro,IF($D1418="","",IFERROR(MATCH($D1418,Items!$A$5:$A$504,0),"")),"")</f>
        <v/>
      </c>
      <c r="R1418" s="60" t="str">
        <f aca="false">IF(IsPro,IF($C1418="","",IFERROR(MATCH($C1418,Parties!$A$5:$A$304,0),"")),"")</f>
        <v/>
      </c>
      <c r="S1418" s="61" t="str">
        <f aca="false">IF(IsPro,IF($D1418="","",IF(OR($H1418="",$H1418="Credit"),0,P1418)),"")</f>
        <v/>
      </c>
    </row>
    <row r="1419" customFormat="false" ht="15" hidden="false" customHeight="false" outlineLevel="0" collapsed="false">
      <c r="A1419" s="55"/>
      <c r="B1419" s="56"/>
      <c r="C1419" s="56"/>
      <c r="D1419" s="56"/>
      <c r="E1419" s="57"/>
      <c r="F1419" s="58"/>
      <c r="G1419" s="59"/>
      <c r="H1419" s="56"/>
      <c r="I1419" s="60" t="str">
        <f aca="false">IF(IsPro,IF($D1419="","",IFERROR(INDEX(Items!$D$5:$D$504,Q1419),"")),IF($D1419="","","PRO PLAN"))</f>
        <v/>
      </c>
      <c r="J1419" s="61" t="str">
        <f aca="false">IF(IsPro,IF($D1419="","",IF($F1419="",IFERROR(INDEX(Items!$G$5:$G$504,Q1419),0),$F1419)),"")</f>
        <v/>
      </c>
      <c r="K1419" s="61" t="str">
        <f aca="false">IF(IsPro,IF($D1419="","",ROUND(N($E1419)*J1419*(1-N($G1419)),2)),"")</f>
        <v/>
      </c>
      <c r="L1419" s="62" t="str">
        <f aca="false">IF(IsPro,IF($D1419="","",IFERROR(INDEX(Items!$F$5:$F$504,Q1419),0)),"")</f>
        <v/>
      </c>
      <c r="M1419" s="61" t="str">
        <f aca="false">IF(IsPro,IF($D1419="","",IF(AND(R1419&lt;&gt;"",INDEX(Parties!$E$5:$E$304,R1419)&lt;&gt;"",INDEX(Parties!$E$5:$E$304,R1419)&lt;&gt;HomeState),0,ROUND(K1419*L1419/2,2))),"")</f>
        <v/>
      </c>
      <c r="N1419" s="61" t="str">
        <f aca="false">IF(IsPro,IF($D1419="","",M1419),"")</f>
        <v/>
      </c>
      <c r="O1419" s="61" t="str">
        <f aca="false">IF(IsPro,IF($D1419="","",IF(AND(R1419&lt;&gt;"",INDEX(Parties!$E$5:$E$304,R1419)&lt;&gt;"",INDEX(Parties!$E$5:$E$304,R1419)&lt;&gt;HomeState),ROUND(K1419*L1419,2),0)),"")</f>
        <v/>
      </c>
      <c r="P1419" s="61" t="str">
        <f aca="false">IF(IsPro,IF($D1419="","",K1419+M1419+N1419+O1419),"")</f>
        <v/>
      </c>
      <c r="Q1419" s="60" t="str">
        <f aca="false">IF(IsPro,IF($D1419="","",IFERROR(MATCH($D1419,Items!$A$5:$A$504,0),"")),"")</f>
        <v/>
      </c>
      <c r="R1419" s="60" t="str">
        <f aca="false">IF(IsPro,IF($C1419="","",IFERROR(MATCH($C1419,Parties!$A$5:$A$304,0),"")),"")</f>
        <v/>
      </c>
      <c r="S1419" s="61" t="str">
        <f aca="false">IF(IsPro,IF($D1419="","",IF(OR($H1419="",$H1419="Credit"),0,P1419)),"")</f>
        <v/>
      </c>
    </row>
    <row r="1420" customFormat="false" ht="15" hidden="false" customHeight="false" outlineLevel="0" collapsed="false">
      <c r="A1420" s="55"/>
      <c r="B1420" s="56"/>
      <c r="C1420" s="56"/>
      <c r="D1420" s="56"/>
      <c r="E1420" s="57"/>
      <c r="F1420" s="58"/>
      <c r="G1420" s="59"/>
      <c r="H1420" s="56"/>
      <c r="I1420" s="60" t="str">
        <f aca="false">IF(IsPro,IF($D1420="","",IFERROR(INDEX(Items!$D$5:$D$504,Q1420),"")),IF($D1420="","","PRO PLAN"))</f>
        <v/>
      </c>
      <c r="J1420" s="61" t="str">
        <f aca="false">IF(IsPro,IF($D1420="","",IF($F1420="",IFERROR(INDEX(Items!$G$5:$G$504,Q1420),0),$F1420)),"")</f>
        <v/>
      </c>
      <c r="K1420" s="61" t="str">
        <f aca="false">IF(IsPro,IF($D1420="","",ROUND(N($E1420)*J1420*(1-N($G1420)),2)),"")</f>
        <v/>
      </c>
      <c r="L1420" s="62" t="str">
        <f aca="false">IF(IsPro,IF($D1420="","",IFERROR(INDEX(Items!$F$5:$F$504,Q1420),0)),"")</f>
        <v/>
      </c>
      <c r="M1420" s="61" t="str">
        <f aca="false">IF(IsPro,IF($D1420="","",IF(AND(R1420&lt;&gt;"",INDEX(Parties!$E$5:$E$304,R1420)&lt;&gt;"",INDEX(Parties!$E$5:$E$304,R1420)&lt;&gt;HomeState),0,ROUND(K1420*L1420/2,2))),"")</f>
        <v/>
      </c>
      <c r="N1420" s="61" t="str">
        <f aca="false">IF(IsPro,IF($D1420="","",M1420),"")</f>
        <v/>
      </c>
      <c r="O1420" s="61" t="str">
        <f aca="false">IF(IsPro,IF($D1420="","",IF(AND(R1420&lt;&gt;"",INDEX(Parties!$E$5:$E$304,R1420)&lt;&gt;"",INDEX(Parties!$E$5:$E$304,R1420)&lt;&gt;HomeState),ROUND(K1420*L1420,2),0)),"")</f>
        <v/>
      </c>
      <c r="P1420" s="61" t="str">
        <f aca="false">IF(IsPro,IF($D1420="","",K1420+M1420+N1420+O1420),"")</f>
        <v/>
      </c>
      <c r="Q1420" s="60" t="str">
        <f aca="false">IF(IsPro,IF($D1420="","",IFERROR(MATCH($D1420,Items!$A$5:$A$504,0),"")),"")</f>
        <v/>
      </c>
      <c r="R1420" s="60" t="str">
        <f aca="false">IF(IsPro,IF($C1420="","",IFERROR(MATCH($C1420,Parties!$A$5:$A$304,0),"")),"")</f>
        <v/>
      </c>
      <c r="S1420" s="61" t="str">
        <f aca="false">IF(IsPro,IF($D1420="","",IF(OR($H1420="",$H1420="Credit"),0,P1420)),"")</f>
        <v/>
      </c>
    </row>
    <row r="1421" customFormat="false" ht="15" hidden="false" customHeight="false" outlineLevel="0" collapsed="false">
      <c r="A1421" s="55"/>
      <c r="B1421" s="56"/>
      <c r="C1421" s="56"/>
      <c r="D1421" s="56"/>
      <c r="E1421" s="57"/>
      <c r="F1421" s="58"/>
      <c r="G1421" s="59"/>
      <c r="H1421" s="56"/>
      <c r="I1421" s="60" t="str">
        <f aca="false">IF(IsPro,IF($D1421="","",IFERROR(INDEX(Items!$D$5:$D$504,Q1421),"")),IF($D1421="","","PRO PLAN"))</f>
        <v/>
      </c>
      <c r="J1421" s="61" t="str">
        <f aca="false">IF(IsPro,IF($D1421="","",IF($F1421="",IFERROR(INDEX(Items!$G$5:$G$504,Q1421),0),$F1421)),"")</f>
        <v/>
      </c>
      <c r="K1421" s="61" t="str">
        <f aca="false">IF(IsPro,IF($D1421="","",ROUND(N($E1421)*J1421*(1-N($G1421)),2)),"")</f>
        <v/>
      </c>
      <c r="L1421" s="62" t="str">
        <f aca="false">IF(IsPro,IF($D1421="","",IFERROR(INDEX(Items!$F$5:$F$504,Q1421),0)),"")</f>
        <v/>
      </c>
      <c r="M1421" s="61" t="str">
        <f aca="false">IF(IsPro,IF($D1421="","",IF(AND(R1421&lt;&gt;"",INDEX(Parties!$E$5:$E$304,R1421)&lt;&gt;"",INDEX(Parties!$E$5:$E$304,R1421)&lt;&gt;HomeState),0,ROUND(K1421*L1421/2,2))),"")</f>
        <v/>
      </c>
      <c r="N1421" s="61" t="str">
        <f aca="false">IF(IsPro,IF($D1421="","",M1421),"")</f>
        <v/>
      </c>
      <c r="O1421" s="61" t="str">
        <f aca="false">IF(IsPro,IF($D1421="","",IF(AND(R1421&lt;&gt;"",INDEX(Parties!$E$5:$E$304,R1421)&lt;&gt;"",INDEX(Parties!$E$5:$E$304,R1421)&lt;&gt;HomeState),ROUND(K1421*L1421,2),0)),"")</f>
        <v/>
      </c>
      <c r="P1421" s="61" t="str">
        <f aca="false">IF(IsPro,IF($D1421="","",K1421+M1421+N1421+O1421),"")</f>
        <v/>
      </c>
      <c r="Q1421" s="60" t="str">
        <f aca="false">IF(IsPro,IF($D1421="","",IFERROR(MATCH($D1421,Items!$A$5:$A$504,0),"")),"")</f>
        <v/>
      </c>
      <c r="R1421" s="60" t="str">
        <f aca="false">IF(IsPro,IF($C1421="","",IFERROR(MATCH($C1421,Parties!$A$5:$A$304,0),"")),"")</f>
        <v/>
      </c>
      <c r="S1421" s="61" t="str">
        <f aca="false">IF(IsPro,IF($D1421="","",IF(OR($H1421="",$H1421="Credit"),0,P1421)),"")</f>
        <v/>
      </c>
    </row>
    <row r="1422" customFormat="false" ht="15" hidden="false" customHeight="false" outlineLevel="0" collapsed="false">
      <c r="A1422" s="55"/>
      <c r="B1422" s="56"/>
      <c r="C1422" s="56"/>
      <c r="D1422" s="56"/>
      <c r="E1422" s="57"/>
      <c r="F1422" s="58"/>
      <c r="G1422" s="59"/>
      <c r="H1422" s="56"/>
      <c r="I1422" s="60" t="str">
        <f aca="false">IF(IsPro,IF($D1422="","",IFERROR(INDEX(Items!$D$5:$D$504,Q1422),"")),IF($D1422="","","PRO PLAN"))</f>
        <v/>
      </c>
      <c r="J1422" s="61" t="str">
        <f aca="false">IF(IsPro,IF($D1422="","",IF($F1422="",IFERROR(INDEX(Items!$G$5:$G$504,Q1422),0),$F1422)),"")</f>
        <v/>
      </c>
      <c r="K1422" s="61" t="str">
        <f aca="false">IF(IsPro,IF($D1422="","",ROUND(N($E1422)*J1422*(1-N($G1422)),2)),"")</f>
        <v/>
      </c>
      <c r="L1422" s="62" t="str">
        <f aca="false">IF(IsPro,IF($D1422="","",IFERROR(INDEX(Items!$F$5:$F$504,Q1422),0)),"")</f>
        <v/>
      </c>
      <c r="M1422" s="61" t="str">
        <f aca="false">IF(IsPro,IF($D1422="","",IF(AND(R1422&lt;&gt;"",INDEX(Parties!$E$5:$E$304,R1422)&lt;&gt;"",INDEX(Parties!$E$5:$E$304,R1422)&lt;&gt;HomeState),0,ROUND(K1422*L1422/2,2))),"")</f>
        <v/>
      </c>
      <c r="N1422" s="61" t="str">
        <f aca="false">IF(IsPro,IF($D1422="","",M1422),"")</f>
        <v/>
      </c>
      <c r="O1422" s="61" t="str">
        <f aca="false">IF(IsPro,IF($D1422="","",IF(AND(R1422&lt;&gt;"",INDEX(Parties!$E$5:$E$304,R1422)&lt;&gt;"",INDEX(Parties!$E$5:$E$304,R1422)&lt;&gt;HomeState),ROUND(K1422*L1422,2),0)),"")</f>
        <v/>
      </c>
      <c r="P1422" s="61" t="str">
        <f aca="false">IF(IsPro,IF($D1422="","",K1422+M1422+N1422+O1422),"")</f>
        <v/>
      </c>
      <c r="Q1422" s="60" t="str">
        <f aca="false">IF(IsPro,IF($D1422="","",IFERROR(MATCH($D1422,Items!$A$5:$A$504,0),"")),"")</f>
        <v/>
      </c>
      <c r="R1422" s="60" t="str">
        <f aca="false">IF(IsPro,IF($C1422="","",IFERROR(MATCH($C1422,Parties!$A$5:$A$304,0),"")),"")</f>
        <v/>
      </c>
      <c r="S1422" s="61" t="str">
        <f aca="false">IF(IsPro,IF($D1422="","",IF(OR($H1422="",$H1422="Credit"),0,P1422)),"")</f>
        <v/>
      </c>
    </row>
    <row r="1423" customFormat="false" ht="15" hidden="false" customHeight="false" outlineLevel="0" collapsed="false">
      <c r="A1423" s="55"/>
      <c r="B1423" s="56"/>
      <c r="C1423" s="56"/>
      <c r="D1423" s="56"/>
      <c r="E1423" s="57"/>
      <c r="F1423" s="58"/>
      <c r="G1423" s="59"/>
      <c r="H1423" s="56"/>
      <c r="I1423" s="60" t="str">
        <f aca="false">IF(IsPro,IF($D1423="","",IFERROR(INDEX(Items!$D$5:$D$504,Q1423),"")),IF($D1423="","","PRO PLAN"))</f>
        <v/>
      </c>
      <c r="J1423" s="61" t="str">
        <f aca="false">IF(IsPro,IF($D1423="","",IF($F1423="",IFERROR(INDEX(Items!$G$5:$G$504,Q1423),0),$F1423)),"")</f>
        <v/>
      </c>
      <c r="K1423" s="61" t="str">
        <f aca="false">IF(IsPro,IF($D1423="","",ROUND(N($E1423)*J1423*(1-N($G1423)),2)),"")</f>
        <v/>
      </c>
      <c r="L1423" s="62" t="str">
        <f aca="false">IF(IsPro,IF($D1423="","",IFERROR(INDEX(Items!$F$5:$F$504,Q1423),0)),"")</f>
        <v/>
      </c>
      <c r="M1423" s="61" t="str">
        <f aca="false">IF(IsPro,IF($D1423="","",IF(AND(R1423&lt;&gt;"",INDEX(Parties!$E$5:$E$304,R1423)&lt;&gt;"",INDEX(Parties!$E$5:$E$304,R1423)&lt;&gt;HomeState),0,ROUND(K1423*L1423/2,2))),"")</f>
        <v/>
      </c>
      <c r="N1423" s="61" t="str">
        <f aca="false">IF(IsPro,IF($D1423="","",M1423),"")</f>
        <v/>
      </c>
      <c r="O1423" s="61" t="str">
        <f aca="false">IF(IsPro,IF($D1423="","",IF(AND(R1423&lt;&gt;"",INDEX(Parties!$E$5:$E$304,R1423)&lt;&gt;"",INDEX(Parties!$E$5:$E$304,R1423)&lt;&gt;HomeState),ROUND(K1423*L1423,2),0)),"")</f>
        <v/>
      </c>
      <c r="P1423" s="61" t="str">
        <f aca="false">IF(IsPro,IF($D1423="","",K1423+M1423+N1423+O1423),"")</f>
        <v/>
      </c>
      <c r="Q1423" s="60" t="str">
        <f aca="false">IF(IsPro,IF($D1423="","",IFERROR(MATCH($D1423,Items!$A$5:$A$504,0),"")),"")</f>
        <v/>
      </c>
      <c r="R1423" s="60" t="str">
        <f aca="false">IF(IsPro,IF($C1423="","",IFERROR(MATCH($C1423,Parties!$A$5:$A$304,0),"")),"")</f>
        <v/>
      </c>
      <c r="S1423" s="61" t="str">
        <f aca="false">IF(IsPro,IF($D1423="","",IF(OR($H1423="",$H1423="Credit"),0,P1423)),"")</f>
        <v/>
      </c>
    </row>
    <row r="1424" customFormat="false" ht="15" hidden="false" customHeight="false" outlineLevel="0" collapsed="false">
      <c r="A1424" s="55"/>
      <c r="B1424" s="56"/>
      <c r="C1424" s="56"/>
      <c r="D1424" s="56"/>
      <c r="E1424" s="57"/>
      <c r="F1424" s="58"/>
      <c r="G1424" s="59"/>
      <c r="H1424" s="56"/>
      <c r="I1424" s="60" t="str">
        <f aca="false">IF(IsPro,IF($D1424="","",IFERROR(INDEX(Items!$D$5:$D$504,Q1424),"")),IF($D1424="","","PRO PLAN"))</f>
        <v/>
      </c>
      <c r="J1424" s="61" t="str">
        <f aca="false">IF(IsPro,IF($D1424="","",IF($F1424="",IFERROR(INDEX(Items!$G$5:$G$504,Q1424),0),$F1424)),"")</f>
        <v/>
      </c>
      <c r="K1424" s="61" t="str">
        <f aca="false">IF(IsPro,IF($D1424="","",ROUND(N($E1424)*J1424*(1-N($G1424)),2)),"")</f>
        <v/>
      </c>
      <c r="L1424" s="62" t="str">
        <f aca="false">IF(IsPro,IF($D1424="","",IFERROR(INDEX(Items!$F$5:$F$504,Q1424),0)),"")</f>
        <v/>
      </c>
      <c r="M1424" s="61" t="str">
        <f aca="false">IF(IsPro,IF($D1424="","",IF(AND(R1424&lt;&gt;"",INDEX(Parties!$E$5:$E$304,R1424)&lt;&gt;"",INDEX(Parties!$E$5:$E$304,R1424)&lt;&gt;HomeState),0,ROUND(K1424*L1424/2,2))),"")</f>
        <v/>
      </c>
      <c r="N1424" s="61" t="str">
        <f aca="false">IF(IsPro,IF($D1424="","",M1424),"")</f>
        <v/>
      </c>
      <c r="O1424" s="61" t="str">
        <f aca="false">IF(IsPro,IF($D1424="","",IF(AND(R1424&lt;&gt;"",INDEX(Parties!$E$5:$E$304,R1424)&lt;&gt;"",INDEX(Parties!$E$5:$E$304,R1424)&lt;&gt;HomeState),ROUND(K1424*L1424,2),0)),"")</f>
        <v/>
      </c>
      <c r="P1424" s="61" t="str">
        <f aca="false">IF(IsPro,IF($D1424="","",K1424+M1424+N1424+O1424),"")</f>
        <v/>
      </c>
      <c r="Q1424" s="60" t="str">
        <f aca="false">IF(IsPro,IF($D1424="","",IFERROR(MATCH($D1424,Items!$A$5:$A$504,0),"")),"")</f>
        <v/>
      </c>
      <c r="R1424" s="60" t="str">
        <f aca="false">IF(IsPro,IF($C1424="","",IFERROR(MATCH($C1424,Parties!$A$5:$A$304,0),"")),"")</f>
        <v/>
      </c>
      <c r="S1424" s="61" t="str">
        <f aca="false">IF(IsPro,IF($D1424="","",IF(OR($H1424="",$H1424="Credit"),0,P1424)),"")</f>
        <v/>
      </c>
    </row>
    <row r="1425" customFormat="false" ht="15" hidden="false" customHeight="false" outlineLevel="0" collapsed="false">
      <c r="A1425" s="55"/>
      <c r="B1425" s="56"/>
      <c r="C1425" s="56"/>
      <c r="D1425" s="56"/>
      <c r="E1425" s="57"/>
      <c r="F1425" s="58"/>
      <c r="G1425" s="59"/>
      <c r="H1425" s="56"/>
      <c r="I1425" s="60" t="str">
        <f aca="false">IF(IsPro,IF($D1425="","",IFERROR(INDEX(Items!$D$5:$D$504,Q1425),"")),IF($D1425="","","PRO PLAN"))</f>
        <v/>
      </c>
      <c r="J1425" s="61" t="str">
        <f aca="false">IF(IsPro,IF($D1425="","",IF($F1425="",IFERROR(INDEX(Items!$G$5:$G$504,Q1425),0),$F1425)),"")</f>
        <v/>
      </c>
      <c r="K1425" s="61" t="str">
        <f aca="false">IF(IsPro,IF($D1425="","",ROUND(N($E1425)*J1425*(1-N($G1425)),2)),"")</f>
        <v/>
      </c>
      <c r="L1425" s="62" t="str">
        <f aca="false">IF(IsPro,IF($D1425="","",IFERROR(INDEX(Items!$F$5:$F$504,Q1425),0)),"")</f>
        <v/>
      </c>
      <c r="M1425" s="61" t="str">
        <f aca="false">IF(IsPro,IF($D1425="","",IF(AND(R1425&lt;&gt;"",INDEX(Parties!$E$5:$E$304,R1425)&lt;&gt;"",INDEX(Parties!$E$5:$E$304,R1425)&lt;&gt;HomeState),0,ROUND(K1425*L1425/2,2))),"")</f>
        <v/>
      </c>
      <c r="N1425" s="61" t="str">
        <f aca="false">IF(IsPro,IF($D1425="","",M1425),"")</f>
        <v/>
      </c>
      <c r="O1425" s="61" t="str">
        <f aca="false">IF(IsPro,IF($D1425="","",IF(AND(R1425&lt;&gt;"",INDEX(Parties!$E$5:$E$304,R1425)&lt;&gt;"",INDEX(Parties!$E$5:$E$304,R1425)&lt;&gt;HomeState),ROUND(K1425*L1425,2),0)),"")</f>
        <v/>
      </c>
      <c r="P1425" s="61" t="str">
        <f aca="false">IF(IsPro,IF($D1425="","",K1425+M1425+N1425+O1425),"")</f>
        <v/>
      </c>
      <c r="Q1425" s="60" t="str">
        <f aca="false">IF(IsPro,IF($D1425="","",IFERROR(MATCH($D1425,Items!$A$5:$A$504,0),"")),"")</f>
        <v/>
      </c>
      <c r="R1425" s="60" t="str">
        <f aca="false">IF(IsPro,IF($C1425="","",IFERROR(MATCH($C1425,Parties!$A$5:$A$304,0),"")),"")</f>
        <v/>
      </c>
      <c r="S1425" s="61" t="str">
        <f aca="false">IF(IsPro,IF($D1425="","",IF(OR($H1425="",$H1425="Credit"),0,P1425)),"")</f>
        <v/>
      </c>
    </row>
    <row r="1426" customFormat="false" ht="15" hidden="false" customHeight="false" outlineLevel="0" collapsed="false">
      <c r="A1426" s="55"/>
      <c r="B1426" s="56"/>
      <c r="C1426" s="56"/>
      <c r="D1426" s="56"/>
      <c r="E1426" s="57"/>
      <c r="F1426" s="58"/>
      <c r="G1426" s="59"/>
      <c r="H1426" s="56"/>
      <c r="I1426" s="60" t="str">
        <f aca="false">IF(IsPro,IF($D1426="","",IFERROR(INDEX(Items!$D$5:$D$504,Q1426),"")),IF($D1426="","","PRO PLAN"))</f>
        <v/>
      </c>
      <c r="J1426" s="61" t="str">
        <f aca="false">IF(IsPro,IF($D1426="","",IF($F1426="",IFERROR(INDEX(Items!$G$5:$G$504,Q1426),0),$F1426)),"")</f>
        <v/>
      </c>
      <c r="K1426" s="61" t="str">
        <f aca="false">IF(IsPro,IF($D1426="","",ROUND(N($E1426)*J1426*(1-N($G1426)),2)),"")</f>
        <v/>
      </c>
      <c r="L1426" s="62" t="str">
        <f aca="false">IF(IsPro,IF($D1426="","",IFERROR(INDEX(Items!$F$5:$F$504,Q1426),0)),"")</f>
        <v/>
      </c>
      <c r="M1426" s="61" t="str">
        <f aca="false">IF(IsPro,IF($D1426="","",IF(AND(R1426&lt;&gt;"",INDEX(Parties!$E$5:$E$304,R1426)&lt;&gt;"",INDEX(Parties!$E$5:$E$304,R1426)&lt;&gt;HomeState),0,ROUND(K1426*L1426/2,2))),"")</f>
        <v/>
      </c>
      <c r="N1426" s="61" t="str">
        <f aca="false">IF(IsPro,IF($D1426="","",M1426),"")</f>
        <v/>
      </c>
      <c r="O1426" s="61" t="str">
        <f aca="false">IF(IsPro,IF($D1426="","",IF(AND(R1426&lt;&gt;"",INDEX(Parties!$E$5:$E$304,R1426)&lt;&gt;"",INDEX(Parties!$E$5:$E$304,R1426)&lt;&gt;HomeState),ROUND(K1426*L1426,2),0)),"")</f>
        <v/>
      </c>
      <c r="P1426" s="61" t="str">
        <f aca="false">IF(IsPro,IF($D1426="","",K1426+M1426+N1426+O1426),"")</f>
        <v/>
      </c>
      <c r="Q1426" s="60" t="str">
        <f aca="false">IF(IsPro,IF($D1426="","",IFERROR(MATCH($D1426,Items!$A$5:$A$504,0),"")),"")</f>
        <v/>
      </c>
      <c r="R1426" s="60" t="str">
        <f aca="false">IF(IsPro,IF($C1426="","",IFERROR(MATCH($C1426,Parties!$A$5:$A$304,0),"")),"")</f>
        <v/>
      </c>
      <c r="S1426" s="61" t="str">
        <f aca="false">IF(IsPro,IF($D1426="","",IF(OR($H1426="",$H1426="Credit"),0,P1426)),"")</f>
        <v/>
      </c>
    </row>
    <row r="1427" customFormat="false" ht="15" hidden="false" customHeight="false" outlineLevel="0" collapsed="false">
      <c r="A1427" s="55"/>
      <c r="B1427" s="56"/>
      <c r="C1427" s="56"/>
      <c r="D1427" s="56"/>
      <c r="E1427" s="57"/>
      <c r="F1427" s="58"/>
      <c r="G1427" s="59"/>
      <c r="H1427" s="56"/>
      <c r="I1427" s="60" t="str">
        <f aca="false">IF(IsPro,IF($D1427="","",IFERROR(INDEX(Items!$D$5:$D$504,Q1427),"")),IF($D1427="","","PRO PLAN"))</f>
        <v/>
      </c>
      <c r="J1427" s="61" t="str">
        <f aca="false">IF(IsPro,IF($D1427="","",IF($F1427="",IFERROR(INDEX(Items!$G$5:$G$504,Q1427),0),$F1427)),"")</f>
        <v/>
      </c>
      <c r="K1427" s="61" t="str">
        <f aca="false">IF(IsPro,IF($D1427="","",ROUND(N($E1427)*J1427*(1-N($G1427)),2)),"")</f>
        <v/>
      </c>
      <c r="L1427" s="62" t="str">
        <f aca="false">IF(IsPro,IF($D1427="","",IFERROR(INDEX(Items!$F$5:$F$504,Q1427),0)),"")</f>
        <v/>
      </c>
      <c r="M1427" s="61" t="str">
        <f aca="false">IF(IsPro,IF($D1427="","",IF(AND(R1427&lt;&gt;"",INDEX(Parties!$E$5:$E$304,R1427)&lt;&gt;"",INDEX(Parties!$E$5:$E$304,R1427)&lt;&gt;HomeState),0,ROUND(K1427*L1427/2,2))),"")</f>
        <v/>
      </c>
      <c r="N1427" s="61" t="str">
        <f aca="false">IF(IsPro,IF($D1427="","",M1427),"")</f>
        <v/>
      </c>
      <c r="O1427" s="61" t="str">
        <f aca="false">IF(IsPro,IF($D1427="","",IF(AND(R1427&lt;&gt;"",INDEX(Parties!$E$5:$E$304,R1427)&lt;&gt;"",INDEX(Parties!$E$5:$E$304,R1427)&lt;&gt;HomeState),ROUND(K1427*L1427,2),0)),"")</f>
        <v/>
      </c>
      <c r="P1427" s="61" t="str">
        <f aca="false">IF(IsPro,IF($D1427="","",K1427+M1427+N1427+O1427),"")</f>
        <v/>
      </c>
      <c r="Q1427" s="60" t="str">
        <f aca="false">IF(IsPro,IF($D1427="","",IFERROR(MATCH($D1427,Items!$A$5:$A$504,0),"")),"")</f>
        <v/>
      </c>
      <c r="R1427" s="60" t="str">
        <f aca="false">IF(IsPro,IF($C1427="","",IFERROR(MATCH($C1427,Parties!$A$5:$A$304,0),"")),"")</f>
        <v/>
      </c>
      <c r="S1427" s="61" t="str">
        <f aca="false">IF(IsPro,IF($D1427="","",IF(OR($H1427="",$H1427="Credit"),0,P1427)),"")</f>
        <v/>
      </c>
    </row>
    <row r="1428" customFormat="false" ht="15" hidden="false" customHeight="false" outlineLevel="0" collapsed="false">
      <c r="A1428" s="55"/>
      <c r="B1428" s="56"/>
      <c r="C1428" s="56"/>
      <c r="D1428" s="56"/>
      <c r="E1428" s="57"/>
      <c r="F1428" s="58"/>
      <c r="G1428" s="59"/>
      <c r="H1428" s="56"/>
      <c r="I1428" s="60" t="str">
        <f aca="false">IF(IsPro,IF($D1428="","",IFERROR(INDEX(Items!$D$5:$D$504,Q1428),"")),IF($D1428="","","PRO PLAN"))</f>
        <v/>
      </c>
      <c r="J1428" s="61" t="str">
        <f aca="false">IF(IsPro,IF($D1428="","",IF($F1428="",IFERROR(INDEX(Items!$G$5:$G$504,Q1428),0),$F1428)),"")</f>
        <v/>
      </c>
      <c r="K1428" s="61" t="str">
        <f aca="false">IF(IsPro,IF($D1428="","",ROUND(N($E1428)*J1428*(1-N($G1428)),2)),"")</f>
        <v/>
      </c>
      <c r="L1428" s="62" t="str">
        <f aca="false">IF(IsPro,IF($D1428="","",IFERROR(INDEX(Items!$F$5:$F$504,Q1428),0)),"")</f>
        <v/>
      </c>
      <c r="M1428" s="61" t="str">
        <f aca="false">IF(IsPro,IF($D1428="","",IF(AND(R1428&lt;&gt;"",INDEX(Parties!$E$5:$E$304,R1428)&lt;&gt;"",INDEX(Parties!$E$5:$E$304,R1428)&lt;&gt;HomeState),0,ROUND(K1428*L1428/2,2))),"")</f>
        <v/>
      </c>
      <c r="N1428" s="61" t="str">
        <f aca="false">IF(IsPro,IF($D1428="","",M1428),"")</f>
        <v/>
      </c>
      <c r="O1428" s="61" t="str">
        <f aca="false">IF(IsPro,IF($D1428="","",IF(AND(R1428&lt;&gt;"",INDEX(Parties!$E$5:$E$304,R1428)&lt;&gt;"",INDEX(Parties!$E$5:$E$304,R1428)&lt;&gt;HomeState),ROUND(K1428*L1428,2),0)),"")</f>
        <v/>
      </c>
      <c r="P1428" s="61" t="str">
        <f aca="false">IF(IsPro,IF($D1428="","",K1428+M1428+N1428+O1428),"")</f>
        <v/>
      </c>
      <c r="Q1428" s="60" t="str">
        <f aca="false">IF(IsPro,IF($D1428="","",IFERROR(MATCH($D1428,Items!$A$5:$A$504,0),"")),"")</f>
        <v/>
      </c>
      <c r="R1428" s="60" t="str">
        <f aca="false">IF(IsPro,IF($C1428="","",IFERROR(MATCH($C1428,Parties!$A$5:$A$304,0),"")),"")</f>
        <v/>
      </c>
      <c r="S1428" s="61" t="str">
        <f aca="false">IF(IsPro,IF($D1428="","",IF(OR($H1428="",$H1428="Credit"),0,P1428)),"")</f>
        <v/>
      </c>
    </row>
    <row r="1429" customFormat="false" ht="15" hidden="false" customHeight="false" outlineLevel="0" collapsed="false">
      <c r="A1429" s="55"/>
      <c r="B1429" s="56"/>
      <c r="C1429" s="56"/>
      <c r="D1429" s="56"/>
      <c r="E1429" s="57"/>
      <c r="F1429" s="58"/>
      <c r="G1429" s="59"/>
      <c r="H1429" s="56"/>
      <c r="I1429" s="60" t="str">
        <f aca="false">IF(IsPro,IF($D1429="","",IFERROR(INDEX(Items!$D$5:$D$504,Q1429),"")),IF($D1429="","","PRO PLAN"))</f>
        <v/>
      </c>
      <c r="J1429" s="61" t="str">
        <f aca="false">IF(IsPro,IF($D1429="","",IF($F1429="",IFERROR(INDEX(Items!$G$5:$G$504,Q1429),0),$F1429)),"")</f>
        <v/>
      </c>
      <c r="K1429" s="61" t="str">
        <f aca="false">IF(IsPro,IF($D1429="","",ROUND(N($E1429)*J1429*(1-N($G1429)),2)),"")</f>
        <v/>
      </c>
      <c r="L1429" s="62" t="str">
        <f aca="false">IF(IsPro,IF($D1429="","",IFERROR(INDEX(Items!$F$5:$F$504,Q1429),0)),"")</f>
        <v/>
      </c>
      <c r="M1429" s="61" t="str">
        <f aca="false">IF(IsPro,IF($D1429="","",IF(AND(R1429&lt;&gt;"",INDEX(Parties!$E$5:$E$304,R1429)&lt;&gt;"",INDEX(Parties!$E$5:$E$304,R1429)&lt;&gt;HomeState),0,ROUND(K1429*L1429/2,2))),"")</f>
        <v/>
      </c>
      <c r="N1429" s="61" t="str">
        <f aca="false">IF(IsPro,IF($D1429="","",M1429),"")</f>
        <v/>
      </c>
      <c r="O1429" s="61" t="str">
        <f aca="false">IF(IsPro,IF($D1429="","",IF(AND(R1429&lt;&gt;"",INDEX(Parties!$E$5:$E$304,R1429)&lt;&gt;"",INDEX(Parties!$E$5:$E$304,R1429)&lt;&gt;HomeState),ROUND(K1429*L1429,2),0)),"")</f>
        <v/>
      </c>
      <c r="P1429" s="61" t="str">
        <f aca="false">IF(IsPro,IF($D1429="","",K1429+M1429+N1429+O1429),"")</f>
        <v/>
      </c>
      <c r="Q1429" s="60" t="str">
        <f aca="false">IF(IsPro,IF($D1429="","",IFERROR(MATCH($D1429,Items!$A$5:$A$504,0),"")),"")</f>
        <v/>
      </c>
      <c r="R1429" s="60" t="str">
        <f aca="false">IF(IsPro,IF($C1429="","",IFERROR(MATCH($C1429,Parties!$A$5:$A$304,0),"")),"")</f>
        <v/>
      </c>
      <c r="S1429" s="61" t="str">
        <f aca="false">IF(IsPro,IF($D1429="","",IF(OR($H1429="",$H1429="Credit"),0,P1429)),"")</f>
        <v/>
      </c>
    </row>
    <row r="1430" customFormat="false" ht="15" hidden="false" customHeight="false" outlineLevel="0" collapsed="false">
      <c r="A1430" s="55"/>
      <c r="B1430" s="56"/>
      <c r="C1430" s="56"/>
      <c r="D1430" s="56"/>
      <c r="E1430" s="57"/>
      <c r="F1430" s="58"/>
      <c r="G1430" s="59"/>
      <c r="H1430" s="56"/>
      <c r="I1430" s="60" t="str">
        <f aca="false">IF(IsPro,IF($D1430="","",IFERROR(INDEX(Items!$D$5:$D$504,Q1430),"")),IF($D1430="","","PRO PLAN"))</f>
        <v/>
      </c>
      <c r="J1430" s="61" t="str">
        <f aca="false">IF(IsPro,IF($D1430="","",IF($F1430="",IFERROR(INDEX(Items!$G$5:$G$504,Q1430),0),$F1430)),"")</f>
        <v/>
      </c>
      <c r="K1430" s="61" t="str">
        <f aca="false">IF(IsPro,IF($D1430="","",ROUND(N($E1430)*J1430*(1-N($G1430)),2)),"")</f>
        <v/>
      </c>
      <c r="L1430" s="62" t="str">
        <f aca="false">IF(IsPro,IF($D1430="","",IFERROR(INDEX(Items!$F$5:$F$504,Q1430),0)),"")</f>
        <v/>
      </c>
      <c r="M1430" s="61" t="str">
        <f aca="false">IF(IsPro,IF($D1430="","",IF(AND(R1430&lt;&gt;"",INDEX(Parties!$E$5:$E$304,R1430)&lt;&gt;"",INDEX(Parties!$E$5:$E$304,R1430)&lt;&gt;HomeState),0,ROUND(K1430*L1430/2,2))),"")</f>
        <v/>
      </c>
      <c r="N1430" s="61" t="str">
        <f aca="false">IF(IsPro,IF($D1430="","",M1430),"")</f>
        <v/>
      </c>
      <c r="O1430" s="61" t="str">
        <f aca="false">IF(IsPro,IF($D1430="","",IF(AND(R1430&lt;&gt;"",INDEX(Parties!$E$5:$E$304,R1430)&lt;&gt;"",INDEX(Parties!$E$5:$E$304,R1430)&lt;&gt;HomeState),ROUND(K1430*L1430,2),0)),"")</f>
        <v/>
      </c>
      <c r="P1430" s="61" t="str">
        <f aca="false">IF(IsPro,IF($D1430="","",K1430+M1430+N1430+O1430),"")</f>
        <v/>
      </c>
      <c r="Q1430" s="60" t="str">
        <f aca="false">IF(IsPro,IF($D1430="","",IFERROR(MATCH($D1430,Items!$A$5:$A$504,0),"")),"")</f>
        <v/>
      </c>
      <c r="R1430" s="60" t="str">
        <f aca="false">IF(IsPro,IF($C1430="","",IFERROR(MATCH($C1430,Parties!$A$5:$A$304,0),"")),"")</f>
        <v/>
      </c>
      <c r="S1430" s="61" t="str">
        <f aca="false">IF(IsPro,IF($D1430="","",IF(OR($H1430="",$H1430="Credit"),0,P1430)),"")</f>
        <v/>
      </c>
    </row>
    <row r="1431" customFormat="false" ht="15" hidden="false" customHeight="false" outlineLevel="0" collapsed="false">
      <c r="A1431" s="55"/>
      <c r="B1431" s="56"/>
      <c r="C1431" s="56"/>
      <c r="D1431" s="56"/>
      <c r="E1431" s="57"/>
      <c r="F1431" s="58"/>
      <c r="G1431" s="59"/>
      <c r="H1431" s="56"/>
      <c r="I1431" s="60" t="str">
        <f aca="false">IF(IsPro,IF($D1431="","",IFERROR(INDEX(Items!$D$5:$D$504,Q1431),"")),IF($D1431="","","PRO PLAN"))</f>
        <v/>
      </c>
      <c r="J1431" s="61" t="str">
        <f aca="false">IF(IsPro,IF($D1431="","",IF($F1431="",IFERROR(INDEX(Items!$G$5:$G$504,Q1431),0),$F1431)),"")</f>
        <v/>
      </c>
      <c r="K1431" s="61" t="str">
        <f aca="false">IF(IsPro,IF($D1431="","",ROUND(N($E1431)*J1431*(1-N($G1431)),2)),"")</f>
        <v/>
      </c>
      <c r="L1431" s="62" t="str">
        <f aca="false">IF(IsPro,IF($D1431="","",IFERROR(INDEX(Items!$F$5:$F$504,Q1431),0)),"")</f>
        <v/>
      </c>
      <c r="M1431" s="61" t="str">
        <f aca="false">IF(IsPro,IF($D1431="","",IF(AND(R1431&lt;&gt;"",INDEX(Parties!$E$5:$E$304,R1431)&lt;&gt;"",INDEX(Parties!$E$5:$E$304,R1431)&lt;&gt;HomeState),0,ROUND(K1431*L1431/2,2))),"")</f>
        <v/>
      </c>
      <c r="N1431" s="61" t="str">
        <f aca="false">IF(IsPro,IF($D1431="","",M1431),"")</f>
        <v/>
      </c>
      <c r="O1431" s="61" t="str">
        <f aca="false">IF(IsPro,IF($D1431="","",IF(AND(R1431&lt;&gt;"",INDEX(Parties!$E$5:$E$304,R1431)&lt;&gt;"",INDEX(Parties!$E$5:$E$304,R1431)&lt;&gt;HomeState),ROUND(K1431*L1431,2),0)),"")</f>
        <v/>
      </c>
      <c r="P1431" s="61" t="str">
        <f aca="false">IF(IsPro,IF($D1431="","",K1431+M1431+N1431+O1431),"")</f>
        <v/>
      </c>
      <c r="Q1431" s="60" t="str">
        <f aca="false">IF(IsPro,IF($D1431="","",IFERROR(MATCH($D1431,Items!$A$5:$A$504,0),"")),"")</f>
        <v/>
      </c>
      <c r="R1431" s="60" t="str">
        <f aca="false">IF(IsPro,IF($C1431="","",IFERROR(MATCH($C1431,Parties!$A$5:$A$304,0),"")),"")</f>
        <v/>
      </c>
      <c r="S1431" s="61" t="str">
        <f aca="false">IF(IsPro,IF($D1431="","",IF(OR($H1431="",$H1431="Credit"),0,P1431)),"")</f>
        <v/>
      </c>
    </row>
    <row r="1432" customFormat="false" ht="15" hidden="false" customHeight="false" outlineLevel="0" collapsed="false">
      <c r="A1432" s="55"/>
      <c r="B1432" s="56"/>
      <c r="C1432" s="56"/>
      <c r="D1432" s="56"/>
      <c r="E1432" s="57"/>
      <c r="F1432" s="58"/>
      <c r="G1432" s="59"/>
      <c r="H1432" s="56"/>
      <c r="I1432" s="60" t="str">
        <f aca="false">IF(IsPro,IF($D1432="","",IFERROR(INDEX(Items!$D$5:$D$504,Q1432),"")),IF($D1432="","","PRO PLAN"))</f>
        <v/>
      </c>
      <c r="J1432" s="61" t="str">
        <f aca="false">IF(IsPro,IF($D1432="","",IF($F1432="",IFERROR(INDEX(Items!$G$5:$G$504,Q1432),0),$F1432)),"")</f>
        <v/>
      </c>
      <c r="K1432" s="61" t="str">
        <f aca="false">IF(IsPro,IF($D1432="","",ROUND(N($E1432)*J1432*(1-N($G1432)),2)),"")</f>
        <v/>
      </c>
      <c r="L1432" s="62" t="str">
        <f aca="false">IF(IsPro,IF($D1432="","",IFERROR(INDEX(Items!$F$5:$F$504,Q1432),0)),"")</f>
        <v/>
      </c>
      <c r="M1432" s="61" t="str">
        <f aca="false">IF(IsPro,IF($D1432="","",IF(AND(R1432&lt;&gt;"",INDEX(Parties!$E$5:$E$304,R1432)&lt;&gt;"",INDEX(Parties!$E$5:$E$304,R1432)&lt;&gt;HomeState),0,ROUND(K1432*L1432/2,2))),"")</f>
        <v/>
      </c>
      <c r="N1432" s="61" t="str">
        <f aca="false">IF(IsPro,IF($D1432="","",M1432),"")</f>
        <v/>
      </c>
      <c r="O1432" s="61" t="str">
        <f aca="false">IF(IsPro,IF($D1432="","",IF(AND(R1432&lt;&gt;"",INDEX(Parties!$E$5:$E$304,R1432)&lt;&gt;"",INDEX(Parties!$E$5:$E$304,R1432)&lt;&gt;HomeState),ROUND(K1432*L1432,2),0)),"")</f>
        <v/>
      </c>
      <c r="P1432" s="61" t="str">
        <f aca="false">IF(IsPro,IF($D1432="","",K1432+M1432+N1432+O1432),"")</f>
        <v/>
      </c>
      <c r="Q1432" s="60" t="str">
        <f aca="false">IF(IsPro,IF($D1432="","",IFERROR(MATCH($D1432,Items!$A$5:$A$504,0),"")),"")</f>
        <v/>
      </c>
      <c r="R1432" s="60" t="str">
        <f aca="false">IF(IsPro,IF($C1432="","",IFERROR(MATCH($C1432,Parties!$A$5:$A$304,0),"")),"")</f>
        <v/>
      </c>
      <c r="S1432" s="61" t="str">
        <f aca="false">IF(IsPro,IF($D1432="","",IF(OR($H1432="",$H1432="Credit"),0,P1432)),"")</f>
        <v/>
      </c>
    </row>
    <row r="1433" customFormat="false" ht="15" hidden="false" customHeight="false" outlineLevel="0" collapsed="false">
      <c r="A1433" s="55"/>
      <c r="B1433" s="56"/>
      <c r="C1433" s="56"/>
      <c r="D1433" s="56"/>
      <c r="E1433" s="57"/>
      <c r="F1433" s="58"/>
      <c r="G1433" s="59"/>
      <c r="H1433" s="56"/>
      <c r="I1433" s="60" t="str">
        <f aca="false">IF(IsPro,IF($D1433="","",IFERROR(INDEX(Items!$D$5:$D$504,Q1433),"")),IF($D1433="","","PRO PLAN"))</f>
        <v/>
      </c>
      <c r="J1433" s="61" t="str">
        <f aca="false">IF(IsPro,IF($D1433="","",IF($F1433="",IFERROR(INDEX(Items!$G$5:$G$504,Q1433),0),$F1433)),"")</f>
        <v/>
      </c>
      <c r="K1433" s="61" t="str">
        <f aca="false">IF(IsPro,IF($D1433="","",ROUND(N($E1433)*J1433*(1-N($G1433)),2)),"")</f>
        <v/>
      </c>
      <c r="L1433" s="62" t="str">
        <f aca="false">IF(IsPro,IF($D1433="","",IFERROR(INDEX(Items!$F$5:$F$504,Q1433),0)),"")</f>
        <v/>
      </c>
      <c r="M1433" s="61" t="str">
        <f aca="false">IF(IsPro,IF($D1433="","",IF(AND(R1433&lt;&gt;"",INDEX(Parties!$E$5:$E$304,R1433)&lt;&gt;"",INDEX(Parties!$E$5:$E$304,R1433)&lt;&gt;HomeState),0,ROUND(K1433*L1433/2,2))),"")</f>
        <v/>
      </c>
      <c r="N1433" s="61" t="str">
        <f aca="false">IF(IsPro,IF($D1433="","",M1433),"")</f>
        <v/>
      </c>
      <c r="O1433" s="61" t="str">
        <f aca="false">IF(IsPro,IF($D1433="","",IF(AND(R1433&lt;&gt;"",INDEX(Parties!$E$5:$E$304,R1433)&lt;&gt;"",INDEX(Parties!$E$5:$E$304,R1433)&lt;&gt;HomeState),ROUND(K1433*L1433,2),0)),"")</f>
        <v/>
      </c>
      <c r="P1433" s="61" t="str">
        <f aca="false">IF(IsPro,IF($D1433="","",K1433+M1433+N1433+O1433),"")</f>
        <v/>
      </c>
      <c r="Q1433" s="60" t="str">
        <f aca="false">IF(IsPro,IF($D1433="","",IFERROR(MATCH($D1433,Items!$A$5:$A$504,0),"")),"")</f>
        <v/>
      </c>
      <c r="R1433" s="60" t="str">
        <f aca="false">IF(IsPro,IF($C1433="","",IFERROR(MATCH($C1433,Parties!$A$5:$A$304,0),"")),"")</f>
        <v/>
      </c>
      <c r="S1433" s="61" t="str">
        <f aca="false">IF(IsPro,IF($D1433="","",IF(OR($H1433="",$H1433="Credit"),0,P1433)),"")</f>
        <v/>
      </c>
    </row>
    <row r="1434" customFormat="false" ht="15" hidden="false" customHeight="false" outlineLevel="0" collapsed="false">
      <c r="A1434" s="55"/>
      <c r="B1434" s="56"/>
      <c r="C1434" s="56"/>
      <c r="D1434" s="56"/>
      <c r="E1434" s="57"/>
      <c r="F1434" s="58"/>
      <c r="G1434" s="59"/>
      <c r="H1434" s="56"/>
      <c r="I1434" s="60" t="str">
        <f aca="false">IF(IsPro,IF($D1434="","",IFERROR(INDEX(Items!$D$5:$D$504,Q1434),"")),IF($D1434="","","PRO PLAN"))</f>
        <v/>
      </c>
      <c r="J1434" s="61" t="str">
        <f aca="false">IF(IsPro,IF($D1434="","",IF($F1434="",IFERROR(INDEX(Items!$G$5:$G$504,Q1434),0),$F1434)),"")</f>
        <v/>
      </c>
      <c r="K1434" s="61" t="str">
        <f aca="false">IF(IsPro,IF($D1434="","",ROUND(N($E1434)*J1434*(1-N($G1434)),2)),"")</f>
        <v/>
      </c>
      <c r="L1434" s="62" t="str">
        <f aca="false">IF(IsPro,IF($D1434="","",IFERROR(INDEX(Items!$F$5:$F$504,Q1434),0)),"")</f>
        <v/>
      </c>
      <c r="M1434" s="61" t="str">
        <f aca="false">IF(IsPro,IF($D1434="","",IF(AND(R1434&lt;&gt;"",INDEX(Parties!$E$5:$E$304,R1434)&lt;&gt;"",INDEX(Parties!$E$5:$E$304,R1434)&lt;&gt;HomeState),0,ROUND(K1434*L1434/2,2))),"")</f>
        <v/>
      </c>
      <c r="N1434" s="61" t="str">
        <f aca="false">IF(IsPro,IF($D1434="","",M1434),"")</f>
        <v/>
      </c>
      <c r="O1434" s="61" t="str">
        <f aca="false">IF(IsPro,IF($D1434="","",IF(AND(R1434&lt;&gt;"",INDEX(Parties!$E$5:$E$304,R1434)&lt;&gt;"",INDEX(Parties!$E$5:$E$304,R1434)&lt;&gt;HomeState),ROUND(K1434*L1434,2),0)),"")</f>
        <v/>
      </c>
      <c r="P1434" s="61" t="str">
        <f aca="false">IF(IsPro,IF($D1434="","",K1434+M1434+N1434+O1434),"")</f>
        <v/>
      </c>
      <c r="Q1434" s="60" t="str">
        <f aca="false">IF(IsPro,IF($D1434="","",IFERROR(MATCH($D1434,Items!$A$5:$A$504,0),"")),"")</f>
        <v/>
      </c>
      <c r="R1434" s="60" t="str">
        <f aca="false">IF(IsPro,IF($C1434="","",IFERROR(MATCH($C1434,Parties!$A$5:$A$304,0),"")),"")</f>
        <v/>
      </c>
      <c r="S1434" s="61" t="str">
        <f aca="false">IF(IsPro,IF($D1434="","",IF(OR($H1434="",$H1434="Credit"),0,P1434)),"")</f>
        <v/>
      </c>
    </row>
    <row r="1435" customFormat="false" ht="15" hidden="false" customHeight="false" outlineLevel="0" collapsed="false">
      <c r="A1435" s="55"/>
      <c r="B1435" s="56"/>
      <c r="C1435" s="56"/>
      <c r="D1435" s="56"/>
      <c r="E1435" s="57"/>
      <c r="F1435" s="58"/>
      <c r="G1435" s="59"/>
      <c r="H1435" s="56"/>
      <c r="I1435" s="60" t="str">
        <f aca="false">IF(IsPro,IF($D1435="","",IFERROR(INDEX(Items!$D$5:$D$504,Q1435),"")),IF($D1435="","","PRO PLAN"))</f>
        <v/>
      </c>
      <c r="J1435" s="61" t="str">
        <f aca="false">IF(IsPro,IF($D1435="","",IF($F1435="",IFERROR(INDEX(Items!$G$5:$G$504,Q1435),0),$F1435)),"")</f>
        <v/>
      </c>
      <c r="K1435" s="61" t="str">
        <f aca="false">IF(IsPro,IF($D1435="","",ROUND(N($E1435)*J1435*(1-N($G1435)),2)),"")</f>
        <v/>
      </c>
      <c r="L1435" s="62" t="str">
        <f aca="false">IF(IsPro,IF($D1435="","",IFERROR(INDEX(Items!$F$5:$F$504,Q1435),0)),"")</f>
        <v/>
      </c>
      <c r="M1435" s="61" t="str">
        <f aca="false">IF(IsPro,IF($D1435="","",IF(AND(R1435&lt;&gt;"",INDEX(Parties!$E$5:$E$304,R1435)&lt;&gt;"",INDEX(Parties!$E$5:$E$304,R1435)&lt;&gt;HomeState),0,ROUND(K1435*L1435/2,2))),"")</f>
        <v/>
      </c>
      <c r="N1435" s="61" t="str">
        <f aca="false">IF(IsPro,IF($D1435="","",M1435),"")</f>
        <v/>
      </c>
      <c r="O1435" s="61" t="str">
        <f aca="false">IF(IsPro,IF($D1435="","",IF(AND(R1435&lt;&gt;"",INDEX(Parties!$E$5:$E$304,R1435)&lt;&gt;"",INDEX(Parties!$E$5:$E$304,R1435)&lt;&gt;HomeState),ROUND(K1435*L1435,2),0)),"")</f>
        <v/>
      </c>
      <c r="P1435" s="61" t="str">
        <f aca="false">IF(IsPro,IF($D1435="","",K1435+M1435+N1435+O1435),"")</f>
        <v/>
      </c>
      <c r="Q1435" s="60" t="str">
        <f aca="false">IF(IsPro,IF($D1435="","",IFERROR(MATCH($D1435,Items!$A$5:$A$504,0),"")),"")</f>
        <v/>
      </c>
      <c r="R1435" s="60" t="str">
        <f aca="false">IF(IsPro,IF($C1435="","",IFERROR(MATCH($C1435,Parties!$A$5:$A$304,0),"")),"")</f>
        <v/>
      </c>
      <c r="S1435" s="61" t="str">
        <f aca="false">IF(IsPro,IF($D1435="","",IF(OR($H1435="",$H1435="Credit"),0,P1435)),"")</f>
        <v/>
      </c>
    </row>
    <row r="1436" customFormat="false" ht="15" hidden="false" customHeight="false" outlineLevel="0" collapsed="false">
      <c r="A1436" s="55"/>
      <c r="B1436" s="56"/>
      <c r="C1436" s="56"/>
      <c r="D1436" s="56"/>
      <c r="E1436" s="57"/>
      <c r="F1436" s="58"/>
      <c r="G1436" s="59"/>
      <c r="H1436" s="56"/>
      <c r="I1436" s="60" t="str">
        <f aca="false">IF(IsPro,IF($D1436="","",IFERROR(INDEX(Items!$D$5:$D$504,Q1436),"")),IF($D1436="","","PRO PLAN"))</f>
        <v/>
      </c>
      <c r="J1436" s="61" t="str">
        <f aca="false">IF(IsPro,IF($D1436="","",IF($F1436="",IFERROR(INDEX(Items!$G$5:$G$504,Q1436),0),$F1436)),"")</f>
        <v/>
      </c>
      <c r="K1436" s="61" t="str">
        <f aca="false">IF(IsPro,IF($D1436="","",ROUND(N($E1436)*J1436*(1-N($G1436)),2)),"")</f>
        <v/>
      </c>
      <c r="L1436" s="62" t="str">
        <f aca="false">IF(IsPro,IF($D1436="","",IFERROR(INDEX(Items!$F$5:$F$504,Q1436),0)),"")</f>
        <v/>
      </c>
      <c r="M1436" s="61" t="str">
        <f aca="false">IF(IsPro,IF($D1436="","",IF(AND(R1436&lt;&gt;"",INDEX(Parties!$E$5:$E$304,R1436)&lt;&gt;"",INDEX(Parties!$E$5:$E$304,R1436)&lt;&gt;HomeState),0,ROUND(K1436*L1436/2,2))),"")</f>
        <v/>
      </c>
      <c r="N1436" s="61" t="str">
        <f aca="false">IF(IsPro,IF($D1436="","",M1436),"")</f>
        <v/>
      </c>
      <c r="O1436" s="61" t="str">
        <f aca="false">IF(IsPro,IF($D1436="","",IF(AND(R1436&lt;&gt;"",INDEX(Parties!$E$5:$E$304,R1436)&lt;&gt;"",INDEX(Parties!$E$5:$E$304,R1436)&lt;&gt;HomeState),ROUND(K1436*L1436,2),0)),"")</f>
        <v/>
      </c>
      <c r="P1436" s="61" t="str">
        <f aca="false">IF(IsPro,IF($D1436="","",K1436+M1436+N1436+O1436),"")</f>
        <v/>
      </c>
      <c r="Q1436" s="60" t="str">
        <f aca="false">IF(IsPro,IF($D1436="","",IFERROR(MATCH($D1436,Items!$A$5:$A$504,0),"")),"")</f>
        <v/>
      </c>
      <c r="R1436" s="60" t="str">
        <f aca="false">IF(IsPro,IF($C1436="","",IFERROR(MATCH($C1436,Parties!$A$5:$A$304,0),"")),"")</f>
        <v/>
      </c>
      <c r="S1436" s="61" t="str">
        <f aca="false">IF(IsPro,IF($D1436="","",IF(OR($H1436="",$H1436="Credit"),0,P1436)),"")</f>
        <v/>
      </c>
    </row>
    <row r="1437" customFormat="false" ht="15" hidden="false" customHeight="false" outlineLevel="0" collapsed="false">
      <c r="A1437" s="55"/>
      <c r="B1437" s="56"/>
      <c r="C1437" s="56"/>
      <c r="D1437" s="56"/>
      <c r="E1437" s="57"/>
      <c r="F1437" s="58"/>
      <c r="G1437" s="59"/>
      <c r="H1437" s="56"/>
      <c r="I1437" s="60" t="str">
        <f aca="false">IF(IsPro,IF($D1437="","",IFERROR(INDEX(Items!$D$5:$D$504,Q1437),"")),IF($D1437="","","PRO PLAN"))</f>
        <v/>
      </c>
      <c r="J1437" s="61" t="str">
        <f aca="false">IF(IsPro,IF($D1437="","",IF($F1437="",IFERROR(INDEX(Items!$G$5:$G$504,Q1437),0),$F1437)),"")</f>
        <v/>
      </c>
      <c r="K1437" s="61" t="str">
        <f aca="false">IF(IsPro,IF($D1437="","",ROUND(N($E1437)*J1437*(1-N($G1437)),2)),"")</f>
        <v/>
      </c>
      <c r="L1437" s="62" t="str">
        <f aca="false">IF(IsPro,IF($D1437="","",IFERROR(INDEX(Items!$F$5:$F$504,Q1437),0)),"")</f>
        <v/>
      </c>
      <c r="M1437" s="61" t="str">
        <f aca="false">IF(IsPro,IF($D1437="","",IF(AND(R1437&lt;&gt;"",INDEX(Parties!$E$5:$E$304,R1437)&lt;&gt;"",INDEX(Parties!$E$5:$E$304,R1437)&lt;&gt;HomeState),0,ROUND(K1437*L1437/2,2))),"")</f>
        <v/>
      </c>
      <c r="N1437" s="61" t="str">
        <f aca="false">IF(IsPro,IF($D1437="","",M1437),"")</f>
        <v/>
      </c>
      <c r="O1437" s="61" t="str">
        <f aca="false">IF(IsPro,IF($D1437="","",IF(AND(R1437&lt;&gt;"",INDEX(Parties!$E$5:$E$304,R1437)&lt;&gt;"",INDEX(Parties!$E$5:$E$304,R1437)&lt;&gt;HomeState),ROUND(K1437*L1437,2),0)),"")</f>
        <v/>
      </c>
      <c r="P1437" s="61" t="str">
        <f aca="false">IF(IsPro,IF($D1437="","",K1437+M1437+N1437+O1437),"")</f>
        <v/>
      </c>
      <c r="Q1437" s="60" t="str">
        <f aca="false">IF(IsPro,IF($D1437="","",IFERROR(MATCH($D1437,Items!$A$5:$A$504,0),"")),"")</f>
        <v/>
      </c>
      <c r="R1437" s="60" t="str">
        <f aca="false">IF(IsPro,IF($C1437="","",IFERROR(MATCH($C1437,Parties!$A$5:$A$304,0),"")),"")</f>
        <v/>
      </c>
      <c r="S1437" s="61" t="str">
        <f aca="false">IF(IsPro,IF($D1437="","",IF(OR($H1437="",$H1437="Credit"),0,P1437)),"")</f>
        <v/>
      </c>
    </row>
    <row r="1438" customFormat="false" ht="15" hidden="false" customHeight="false" outlineLevel="0" collapsed="false">
      <c r="A1438" s="55"/>
      <c r="B1438" s="56"/>
      <c r="C1438" s="56"/>
      <c r="D1438" s="56"/>
      <c r="E1438" s="57"/>
      <c r="F1438" s="58"/>
      <c r="G1438" s="59"/>
      <c r="H1438" s="56"/>
      <c r="I1438" s="60" t="str">
        <f aca="false">IF(IsPro,IF($D1438="","",IFERROR(INDEX(Items!$D$5:$D$504,Q1438),"")),IF($D1438="","","PRO PLAN"))</f>
        <v/>
      </c>
      <c r="J1438" s="61" t="str">
        <f aca="false">IF(IsPro,IF($D1438="","",IF($F1438="",IFERROR(INDEX(Items!$G$5:$G$504,Q1438),0),$F1438)),"")</f>
        <v/>
      </c>
      <c r="K1438" s="61" t="str">
        <f aca="false">IF(IsPro,IF($D1438="","",ROUND(N($E1438)*J1438*(1-N($G1438)),2)),"")</f>
        <v/>
      </c>
      <c r="L1438" s="62" t="str">
        <f aca="false">IF(IsPro,IF($D1438="","",IFERROR(INDEX(Items!$F$5:$F$504,Q1438),0)),"")</f>
        <v/>
      </c>
      <c r="M1438" s="61" t="str">
        <f aca="false">IF(IsPro,IF($D1438="","",IF(AND(R1438&lt;&gt;"",INDEX(Parties!$E$5:$E$304,R1438)&lt;&gt;"",INDEX(Parties!$E$5:$E$304,R1438)&lt;&gt;HomeState),0,ROUND(K1438*L1438/2,2))),"")</f>
        <v/>
      </c>
      <c r="N1438" s="61" t="str">
        <f aca="false">IF(IsPro,IF($D1438="","",M1438),"")</f>
        <v/>
      </c>
      <c r="O1438" s="61" t="str">
        <f aca="false">IF(IsPro,IF($D1438="","",IF(AND(R1438&lt;&gt;"",INDEX(Parties!$E$5:$E$304,R1438)&lt;&gt;"",INDEX(Parties!$E$5:$E$304,R1438)&lt;&gt;HomeState),ROUND(K1438*L1438,2),0)),"")</f>
        <v/>
      </c>
      <c r="P1438" s="61" t="str">
        <f aca="false">IF(IsPro,IF($D1438="","",K1438+M1438+N1438+O1438),"")</f>
        <v/>
      </c>
      <c r="Q1438" s="60" t="str">
        <f aca="false">IF(IsPro,IF($D1438="","",IFERROR(MATCH($D1438,Items!$A$5:$A$504,0),"")),"")</f>
        <v/>
      </c>
      <c r="R1438" s="60" t="str">
        <f aca="false">IF(IsPro,IF($C1438="","",IFERROR(MATCH($C1438,Parties!$A$5:$A$304,0),"")),"")</f>
        <v/>
      </c>
      <c r="S1438" s="61" t="str">
        <f aca="false">IF(IsPro,IF($D1438="","",IF(OR($H1438="",$H1438="Credit"),0,P1438)),"")</f>
        <v/>
      </c>
    </row>
    <row r="1439" customFormat="false" ht="15" hidden="false" customHeight="false" outlineLevel="0" collapsed="false">
      <c r="A1439" s="55"/>
      <c r="B1439" s="56"/>
      <c r="C1439" s="56"/>
      <c r="D1439" s="56"/>
      <c r="E1439" s="57"/>
      <c r="F1439" s="58"/>
      <c r="G1439" s="59"/>
      <c r="H1439" s="56"/>
      <c r="I1439" s="60" t="str">
        <f aca="false">IF(IsPro,IF($D1439="","",IFERROR(INDEX(Items!$D$5:$D$504,Q1439),"")),IF($D1439="","","PRO PLAN"))</f>
        <v/>
      </c>
      <c r="J1439" s="61" t="str">
        <f aca="false">IF(IsPro,IF($D1439="","",IF($F1439="",IFERROR(INDEX(Items!$G$5:$G$504,Q1439),0),$F1439)),"")</f>
        <v/>
      </c>
      <c r="K1439" s="61" t="str">
        <f aca="false">IF(IsPro,IF($D1439="","",ROUND(N($E1439)*J1439*(1-N($G1439)),2)),"")</f>
        <v/>
      </c>
      <c r="L1439" s="62" t="str">
        <f aca="false">IF(IsPro,IF($D1439="","",IFERROR(INDEX(Items!$F$5:$F$504,Q1439),0)),"")</f>
        <v/>
      </c>
      <c r="M1439" s="61" t="str">
        <f aca="false">IF(IsPro,IF($D1439="","",IF(AND(R1439&lt;&gt;"",INDEX(Parties!$E$5:$E$304,R1439)&lt;&gt;"",INDEX(Parties!$E$5:$E$304,R1439)&lt;&gt;HomeState),0,ROUND(K1439*L1439/2,2))),"")</f>
        <v/>
      </c>
      <c r="N1439" s="61" t="str">
        <f aca="false">IF(IsPro,IF($D1439="","",M1439),"")</f>
        <v/>
      </c>
      <c r="O1439" s="61" t="str">
        <f aca="false">IF(IsPro,IF($D1439="","",IF(AND(R1439&lt;&gt;"",INDEX(Parties!$E$5:$E$304,R1439)&lt;&gt;"",INDEX(Parties!$E$5:$E$304,R1439)&lt;&gt;HomeState),ROUND(K1439*L1439,2),0)),"")</f>
        <v/>
      </c>
      <c r="P1439" s="61" t="str">
        <f aca="false">IF(IsPro,IF($D1439="","",K1439+M1439+N1439+O1439),"")</f>
        <v/>
      </c>
      <c r="Q1439" s="60" t="str">
        <f aca="false">IF(IsPro,IF($D1439="","",IFERROR(MATCH($D1439,Items!$A$5:$A$504,0),"")),"")</f>
        <v/>
      </c>
      <c r="R1439" s="60" t="str">
        <f aca="false">IF(IsPro,IF($C1439="","",IFERROR(MATCH($C1439,Parties!$A$5:$A$304,0),"")),"")</f>
        <v/>
      </c>
      <c r="S1439" s="61" t="str">
        <f aca="false">IF(IsPro,IF($D1439="","",IF(OR($H1439="",$H1439="Credit"),0,P1439)),"")</f>
        <v/>
      </c>
    </row>
    <row r="1440" customFormat="false" ht="15" hidden="false" customHeight="false" outlineLevel="0" collapsed="false">
      <c r="A1440" s="55"/>
      <c r="B1440" s="56"/>
      <c r="C1440" s="56"/>
      <c r="D1440" s="56"/>
      <c r="E1440" s="57"/>
      <c r="F1440" s="58"/>
      <c r="G1440" s="59"/>
      <c r="H1440" s="56"/>
      <c r="I1440" s="60" t="str">
        <f aca="false">IF(IsPro,IF($D1440="","",IFERROR(INDEX(Items!$D$5:$D$504,Q1440),"")),IF($D1440="","","PRO PLAN"))</f>
        <v/>
      </c>
      <c r="J1440" s="61" t="str">
        <f aca="false">IF(IsPro,IF($D1440="","",IF($F1440="",IFERROR(INDEX(Items!$G$5:$G$504,Q1440),0),$F1440)),"")</f>
        <v/>
      </c>
      <c r="K1440" s="61" t="str">
        <f aca="false">IF(IsPro,IF($D1440="","",ROUND(N($E1440)*J1440*(1-N($G1440)),2)),"")</f>
        <v/>
      </c>
      <c r="L1440" s="62" t="str">
        <f aca="false">IF(IsPro,IF($D1440="","",IFERROR(INDEX(Items!$F$5:$F$504,Q1440),0)),"")</f>
        <v/>
      </c>
      <c r="M1440" s="61" t="str">
        <f aca="false">IF(IsPro,IF($D1440="","",IF(AND(R1440&lt;&gt;"",INDEX(Parties!$E$5:$E$304,R1440)&lt;&gt;"",INDEX(Parties!$E$5:$E$304,R1440)&lt;&gt;HomeState),0,ROUND(K1440*L1440/2,2))),"")</f>
        <v/>
      </c>
      <c r="N1440" s="61" t="str">
        <f aca="false">IF(IsPro,IF($D1440="","",M1440),"")</f>
        <v/>
      </c>
      <c r="O1440" s="61" t="str">
        <f aca="false">IF(IsPro,IF($D1440="","",IF(AND(R1440&lt;&gt;"",INDEX(Parties!$E$5:$E$304,R1440)&lt;&gt;"",INDEX(Parties!$E$5:$E$304,R1440)&lt;&gt;HomeState),ROUND(K1440*L1440,2),0)),"")</f>
        <v/>
      </c>
      <c r="P1440" s="61" t="str">
        <f aca="false">IF(IsPro,IF($D1440="","",K1440+M1440+N1440+O1440),"")</f>
        <v/>
      </c>
      <c r="Q1440" s="60" t="str">
        <f aca="false">IF(IsPro,IF($D1440="","",IFERROR(MATCH($D1440,Items!$A$5:$A$504,0),"")),"")</f>
        <v/>
      </c>
      <c r="R1440" s="60" t="str">
        <f aca="false">IF(IsPro,IF($C1440="","",IFERROR(MATCH($C1440,Parties!$A$5:$A$304,0),"")),"")</f>
        <v/>
      </c>
      <c r="S1440" s="61" t="str">
        <f aca="false">IF(IsPro,IF($D1440="","",IF(OR($H1440="",$H1440="Credit"),0,P1440)),"")</f>
        <v/>
      </c>
    </row>
    <row r="1441" customFormat="false" ht="15" hidden="false" customHeight="false" outlineLevel="0" collapsed="false">
      <c r="A1441" s="55"/>
      <c r="B1441" s="56"/>
      <c r="C1441" s="56"/>
      <c r="D1441" s="56"/>
      <c r="E1441" s="57"/>
      <c r="F1441" s="58"/>
      <c r="G1441" s="59"/>
      <c r="H1441" s="56"/>
      <c r="I1441" s="60" t="str">
        <f aca="false">IF(IsPro,IF($D1441="","",IFERROR(INDEX(Items!$D$5:$D$504,Q1441),"")),IF($D1441="","","PRO PLAN"))</f>
        <v/>
      </c>
      <c r="J1441" s="61" t="str">
        <f aca="false">IF(IsPro,IF($D1441="","",IF($F1441="",IFERROR(INDEX(Items!$G$5:$G$504,Q1441),0),$F1441)),"")</f>
        <v/>
      </c>
      <c r="K1441" s="61" t="str">
        <f aca="false">IF(IsPro,IF($D1441="","",ROUND(N($E1441)*J1441*(1-N($G1441)),2)),"")</f>
        <v/>
      </c>
      <c r="L1441" s="62" t="str">
        <f aca="false">IF(IsPro,IF($D1441="","",IFERROR(INDEX(Items!$F$5:$F$504,Q1441),0)),"")</f>
        <v/>
      </c>
      <c r="M1441" s="61" t="str">
        <f aca="false">IF(IsPro,IF($D1441="","",IF(AND(R1441&lt;&gt;"",INDEX(Parties!$E$5:$E$304,R1441)&lt;&gt;"",INDEX(Parties!$E$5:$E$304,R1441)&lt;&gt;HomeState),0,ROUND(K1441*L1441/2,2))),"")</f>
        <v/>
      </c>
      <c r="N1441" s="61" t="str">
        <f aca="false">IF(IsPro,IF($D1441="","",M1441),"")</f>
        <v/>
      </c>
      <c r="O1441" s="61" t="str">
        <f aca="false">IF(IsPro,IF($D1441="","",IF(AND(R1441&lt;&gt;"",INDEX(Parties!$E$5:$E$304,R1441)&lt;&gt;"",INDEX(Parties!$E$5:$E$304,R1441)&lt;&gt;HomeState),ROUND(K1441*L1441,2),0)),"")</f>
        <v/>
      </c>
      <c r="P1441" s="61" t="str">
        <f aca="false">IF(IsPro,IF($D1441="","",K1441+M1441+N1441+O1441),"")</f>
        <v/>
      </c>
      <c r="Q1441" s="60" t="str">
        <f aca="false">IF(IsPro,IF($D1441="","",IFERROR(MATCH($D1441,Items!$A$5:$A$504,0),"")),"")</f>
        <v/>
      </c>
      <c r="R1441" s="60" t="str">
        <f aca="false">IF(IsPro,IF($C1441="","",IFERROR(MATCH($C1441,Parties!$A$5:$A$304,0),"")),"")</f>
        <v/>
      </c>
      <c r="S1441" s="61" t="str">
        <f aca="false">IF(IsPro,IF($D1441="","",IF(OR($H1441="",$H1441="Credit"),0,P1441)),"")</f>
        <v/>
      </c>
    </row>
    <row r="1442" customFormat="false" ht="15" hidden="false" customHeight="false" outlineLevel="0" collapsed="false">
      <c r="A1442" s="55"/>
      <c r="B1442" s="56"/>
      <c r="C1442" s="56"/>
      <c r="D1442" s="56"/>
      <c r="E1442" s="57"/>
      <c r="F1442" s="58"/>
      <c r="G1442" s="59"/>
      <c r="H1442" s="56"/>
      <c r="I1442" s="60" t="str">
        <f aca="false">IF(IsPro,IF($D1442="","",IFERROR(INDEX(Items!$D$5:$D$504,Q1442),"")),IF($D1442="","","PRO PLAN"))</f>
        <v/>
      </c>
      <c r="J1442" s="61" t="str">
        <f aca="false">IF(IsPro,IF($D1442="","",IF($F1442="",IFERROR(INDEX(Items!$G$5:$G$504,Q1442),0),$F1442)),"")</f>
        <v/>
      </c>
      <c r="K1442" s="61" t="str">
        <f aca="false">IF(IsPro,IF($D1442="","",ROUND(N($E1442)*J1442*(1-N($G1442)),2)),"")</f>
        <v/>
      </c>
      <c r="L1442" s="62" t="str">
        <f aca="false">IF(IsPro,IF($D1442="","",IFERROR(INDEX(Items!$F$5:$F$504,Q1442),0)),"")</f>
        <v/>
      </c>
      <c r="M1442" s="61" t="str">
        <f aca="false">IF(IsPro,IF($D1442="","",IF(AND(R1442&lt;&gt;"",INDEX(Parties!$E$5:$E$304,R1442)&lt;&gt;"",INDEX(Parties!$E$5:$E$304,R1442)&lt;&gt;HomeState),0,ROUND(K1442*L1442/2,2))),"")</f>
        <v/>
      </c>
      <c r="N1442" s="61" t="str">
        <f aca="false">IF(IsPro,IF($D1442="","",M1442),"")</f>
        <v/>
      </c>
      <c r="O1442" s="61" t="str">
        <f aca="false">IF(IsPro,IF($D1442="","",IF(AND(R1442&lt;&gt;"",INDEX(Parties!$E$5:$E$304,R1442)&lt;&gt;"",INDEX(Parties!$E$5:$E$304,R1442)&lt;&gt;HomeState),ROUND(K1442*L1442,2),0)),"")</f>
        <v/>
      </c>
      <c r="P1442" s="61" t="str">
        <f aca="false">IF(IsPro,IF($D1442="","",K1442+M1442+N1442+O1442),"")</f>
        <v/>
      </c>
      <c r="Q1442" s="60" t="str">
        <f aca="false">IF(IsPro,IF($D1442="","",IFERROR(MATCH($D1442,Items!$A$5:$A$504,0),"")),"")</f>
        <v/>
      </c>
      <c r="R1442" s="60" t="str">
        <f aca="false">IF(IsPro,IF($C1442="","",IFERROR(MATCH($C1442,Parties!$A$5:$A$304,0),"")),"")</f>
        <v/>
      </c>
      <c r="S1442" s="61" t="str">
        <f aca="false">IF(IsPro,IF($D1442="","",IF(OR($H1442="",$H1442="Credit"),0,P1442)),"")</f>
        <v/>
      </c>
    </row>
    <row r="1443" customFormat="false" ht="15" hidden="false" customHeight="false" outlineLevel="0" collapsed="false">
      <c r="A1443" s="55"/>
      <c r="B1443" s="56"/>
      <c r="C1443" s="56"/>
      <c r="D1443" s="56"/>
      <c r="E1443" s="57"/>
      <c r="F1443" s="58"/>
      <c r="G1443" s="59"/>
      <c r="H1443" s="56"/>
      <c r="I1443" s="60" t="str">
        <f aca="false">IF(IsPro,IF($D1443="","",IFERROR(INDEX(Items!$D$5:$D$504,Q1443),"")),IF($D1443="","","PRO PLAN"))</f>
        <v/>
      </c>
      <c r="J1443" s="61" t="str">
        <f aca="false">IF(IsPro,IF($D1443="","",IF($F1443="",IFERROR(INDEX(Items!$G$5:$G$504,Q1443),0),$F1443)),"")</f>
        <v/>
      </c>
      <c r="K1443" s="61" t="str">
        <f aca="false">IF(IsPro,IF($D1443="","",ROUND(N($E1443)*J1443*(1-N($G1443)),2)),"")</f>
        <v/>
      </c>
      <c r="L1443" s="62" t="str">
        <f aca="false">IF(IsPro,IF($D1443="","",IFERROR(INDEX(Items!$F$5:$F$504,Q1443),0)),"")</f>
        <v/>
      </c>
      <c r="M1443" s="61" t="str">
        <f aca="false">IF(IsPro,IF($D1443="","",IF(AND(R1443&lt;&gt;"",INDEX(Parties!$E$5:$E$304,R1443)&lt;&gt;"",INDEX(Parties!$E$5:$E$304,R1443)&lt;&gt;HomeState),0,ROUND(K1443*L1443/2,2))),"")</f>
        <v/>
      </c>
      <c r="N1443" s="61" t="str">
        <f aca="false">IF(IsPro,IF($D1443="","",M1443),"")</f>
        <v/>
      </c>
      <c r="O1443" s="61" t="str">
        <f aca="false">IF(IsPro,IF($D1443="","",IF(AND(R1443&lt;&gt;"",INDEX(Parties!$E$5:$E$304,R1443)&lt;&gt;"",INDEX(Parties!$E$5:$E$304,R1443)&lt;&gt;HomeState),ROUND(K1443*L1443,2),0)),"")</f>
        <v/>
      </c>
      <c r="P1443" s="61" t="str">
        <f aca="false">IF(IsPro,IF($D1443="","",K1443+M1443+N1443+O1443),"")</f>
        <v/>
      </c>
      <c r="Q1443" s="60" t="str">
        <f aca="false">IF(IsPro,IF($D1443="","",IFERROR(MATCH($D1443,Items!$A$5:$A$504,0),"")),"")</f>
        <v/>
      </c>
      <c r="R1443" s="60" t="str">
        <f aca="false">IF(IsPro,IF($C1443="","",IFERROR(MATCH($C1443,Parties!$A$5:$A$304,0),"")),"")</f>
        <v/>
      </c>
      <c r="S1443" s="61" t="str">
        <f aca="false">IF(IsPro,IF($D1443="","",IF(OR($H1443="",$H1443="Credit"),0,P1443)),"")</f>
        <v/>
      </c>
    </row>
    <row r="1444" customFormat="false" ht="15" hidden="false" customHeight="false" outlineLevel="0" collapsed="false">
      <c r="A1444" s="55"/>
      <c r="B1444" s="56"/>
      <c r="C1444" s="56"/>
      <c r="D1444" s="56"/>
      <c r="E1444" s="57"/>
      <c r="F1444" s="58"/>
      <c r="G1444" s="59"/>
      <c r="H1444" s="56"/>
      <c r="I1444" s="60" t="str">
        <f aca="false">IF(IsPro,IF($D1444="","",IFERROR(INDEX(Items!$D$5:$D$504,Q1444),"")),IF($D1444="","","PRO PLAN"))</f>
        <v/>
      </c>
      <c r="J1444" s="61" t="str">
        <f aca="false">IF(IsPro,IF($D1444="","",IF($F1444="",IFERROR(INDEX(Items!$G$5:$G$504,Q1444),0),$F1444)),"")</f>
        <v/>
      </c>
      <c r="K1444" s="61" t="str">
        <f aca="false">IF(IsPro,IF($D1444="","",ROUND(N($E1444)*J1444*(1-N($G1444)),2)),"")</f>
        <v/>
      </c>
      <c r="L1444" s="62" t="str">
        <f aca="false">IF(IsPro,IF($D1444="","",IFERROR(INDEX(Items!$F$5:$F$504,Q1444),0)),"")</f>
        <v/>
      </c>
      <c r="M1444" s="61" t="str">
        <f aca="false">IF(IsPro,IF($D1444="","",IF(AND(R1444&lt;&gt;"",INDEX(Parties!$E$5:$E$304,R1444)&lt;&gt;"",INDEX(Parties!$E$5:$E$304,R1444)&lt;&gt;HomeState),0,ROUND(K1444*L1444/2,2))),"")</f>
        <v/>
      </c>
      <c r="N1444" s="61" t="str">
        <f aca="false">IF(IsPro,IF($D1444="","",M1444),"")</f>
        <v/>
      </c>
      <c r="O1444" s="61" t="str">
        <f aca="false">IF(IsPro,IF($D1444="","",IF(AND(R1444&lt;&gt;"",INDEX(Parties!$E$5:$E$304,R1444)&lt;&gt;"",INDEX(Parties!$E$5:$E$304,R1444)&lt;&gt;HomeState),ROUND(K1444*L1444,2),0)),"")</f>
        <v/>
      </c>
      <c r="P1444" s="61" t="str">
        <f aca="false">IF(IsPro,IF($D1444="","",K1444+M1444+N1444+O1444),"")</f>
        <v/>
      </c>
      <c r="Q1444" s="60" t="str">
        <f aca="false">IF(IsPro,IF($D1444="","",IFERROR(MATCH($D1444,Items!$A$5:$A$504,0),"")),"")</f>
        <v/>
      </c>
      <c r="R1444" s="60" t="str">
        <f aca="false">IF(IsPro,IF($C1444="","",IFERROR(MATCH($C1444,Parties!$A$5:$A$304,0),"")),"")</f>
        <v/>
      </c>
      <c r="S1444" s="61" t="str">
        <f aca="false">IF(IsPro,IF($D1444="","",IF(OR($H1444="",$H1444="Credit"),0,P1444)),"")</f>
        <v/>
      </c>
    </row>
    <row r="1445" customFormat="false" ht="15" hidden="false" customHeight="false" outlineLevel="0" collapsed="false">
      <c r="A1445" s="55"/>
      <c r="B1445" s="56"/>
      <c r="C1445" s="56"/>
      <c r="D1445" s="56"/>
      <c r="E1445" s="57"/>
      <c r="F1445" s="58"/>
      <c r="G1445" s="59"/>
      <c r="H1445" s="56"/>
      <c r="I1445" s="60" t="str">
        <f aca="false">IF(IsPro,IF($D1445="","",IFERROR(INDEX(Items!$D$5:$D$504,Q1445),"")),IF($D1445="","","PRO PLAN"))</f>
        <v/>
      </c>
      <c r="J1445" s="61" t="str">
        <f aca="false">IF(IsPro,IF($D1445="","",IF($F1445="",IFERROR(INDEX(Items!$G$5:$G$504,Q1445),0),$F1445)),"")</f>
        <v/>
      </c>
      <c r="K1445" s="61" t="str">
        <f aca="false">IF(IsPro,IF($D1445="","",ROUND(N($E1445)*J1445*(1-N($G1445)),2)),"")</f>
        <v/>
      </c>
      <c r="L1445" s="62" t="str">
        <f aca="false">IF(IsPro,IF($D1445="","",IFERROR(INDEX(Items!$F$5:$F$504,Q1445),0)),"")</f>
        <v/>
      </c>
      <c r="M1445" s="61" t="str">
        <f aca="false">IF(IsPro,IF($D1445="","",IF(AND(R1445&lt;&gt;"",INDEX(Parties!$E$5:$E$304,R1445)&lt;&gt;"",INDEX(Parties!$E$5:$E$304,R1445)&lt;&gt;HomeState),0,ROUND(K1445*L1445/2,2))),"")</f>
        <v/>
      </c>
      <c r="N1445" s="61" t="str">
        <f aca="false">IF(IsPro,IF($D1445="","",M1445),"")</f>
        <v/>
      </c>
      <c r="O1445" s="61" t="str">
        <f aca="false">IF(IsPro,IF($D1445="","",IF(AND(R1445&lt;&gt;"",INDEX(Parties!$E$5:$E$304,R1445)&lt;&gt;"",INDEX(Parties!$E$5:$E$304,R1445)&lt;&gt;HomeState),ROUND(K1445*L1445,2),0)),"")</f>
        <v/>
      </c>
      <c r="P1445" s="61" t="str">
        <f aca="false">IF(IsPro,IF($D1445="","",K1445+M1445+N1445+O1445),"")</f>
        <v/>
      </c>
      <c r="Q1445" s="60" t="str">
        <f aca="false">IF(IsPro,IF($D1445="","",IFERROR(MATCH($D1445,Items!$A$5:$A$504,0),"")),"")</f>
        <v/>
      </c>
      <c r="R1445" s="60" t="str">
        <f aca="false">IF(IsPro,IF($C1445="","",IFERROR(MATCH($C1445,Parties!$A$5:$A$304,0),"")),"")</f>
        <v/>
      </c>
      <c r="S1445" s="61" t="str">
        <f aca="false">IF(IsPro,IF($D1445="","",IF(OR($H1445="",$H1445="Credit"),0,P1445)),"")</f>
        <v/>
      </c>
    </row>
    <row r="1446" customFormat="false" ht="15" hidden="false" customHeight="false" outlineLevel="0" collapsed="false">
      <c r="A1446" s="55"/>
      <c r="B1446" s="56"/>
      <c r="C1446" s="56"/>
      <c r="D1446" s="56"/>
      <c r="E1446" s="57"/>
      <c r="F1446" s="58"/>
      <c r="G1446" s="59"/>
      <c r="H1446" s="56"/>
      <c r="I1446" s="60" t="str">
        <f aca="false">IF(IsPro,IF($D1446="","",IFERROR(INDEX(Items!$D$5:$D$504,Q1446),"")),IF($D1446="","","PRO PLAN"))</f>
        <v/>
      </c>
      <c r="J1446" s="61" t="str">
        <f aca="false">IF(IsPro,IF($D1446="","",IF($F1446="",IFERROR(INDEX(Items!$G$5:$G$504,Q1446),0),$F1446)),"")</f>
        <v/>
      </c>
      <c r="K1446" s="61" t="str">
        <f aca="false">IF(IsPro,IF($D1446="","",ROUND(N($E1446)*J1446*(1-N($G1446)),2)),"")</f>
        <v/>
      </c>
      <c r="L1446" s="62" t="str">
        <f aca="false">IF(IsPro,IF($D1446="","",IFERROR(INDEX(Items!$F$5:$F$504,Q1446),0)),"")</f>
        <v/>
      </c>
      <c r="M1446" s="61" t="str">
        <f aca="false">IF(IsPro,IF($D1446="","",IF(AND(R1446&lt;&gt;"",INDEX(Parties!$E$5:$E$304,R1446)&lt;&gt;"",INDEX(Parties!$E$5:$E$304,R1446)&lt;&gt;HomeState),0,ROUND(K1446*L1446/2,2))),"")</f>
        <v/>
      </c>
      <c r="N1446" s="61" t="str">
        <f aca="false">IF(IsPro,IF($D1446="","",M1446),"")</f>
        <v/>
      </c>
      <c r="O1446" s="61" t="str">
        <f aca="false">IF(IsPro,IF($D1446="","",IF(AND(R1446&lt;&gt;"",INDEX(Parties!$E$5:$E$304,R1446)&lt;&gt;"",INDEX(Parties!$E$5:$E$304,R1446)&lt;&gt;HomeState),ROUND(K1446*L1446,2),0)),"")</f>
        <v/>
      </c>
      <c r="P1446" s="61" t="str">
        <f aca="false">IF(IsPro,IF($D1446="","",K1446+M1446+N1446+O1446),"")</f>
        <v/>
      </c>
      <c r="Q1446" s="60" t="str">
        <f aca="false">IF(IsPro,IF($D1446="","",IFERROR(MATCH($D1446,Items!$A$5:$A$504,0),"")),"")</f>
        <v/>
      </c>
      <c r="R1446" s="60" t="str">
        <f aca="false">IF(IsPro,IF($C1446="","",IFERROR(MATCH($C1446,Parties!$A$5:$A$304,0),"")),"")</f>
        <v/>
      </c>
      <c r="S1446" s="61" t="str">
        <f aca="false">IF(IsPro,IF($D1446="","",IF(OR($H1446="",$H1446="Credit"),0,P1446)),"")</f>
        <v/>
      </c>
    </row>
    <row r="1447" customFormat="false" ht="15" hidden="false" customHeight="false" outlineLevel="0" collapsed="false">
      <c r="A1447" s="55"/>
      <c r="B1447" s="56"/>
      <c r="C1447" s="56"/>
      <c r="D1447" s="56"/>
      <c r="E1447" s="57"/>
      <c r="F1447" s="58"/>
      <c r="G1447" s="59"/>
      <c r="H1447" s="56"/>
      <c r="I1447" s="60" t="str">
        <f aca="false">IF(IsPro,IF($D1447="","",IFERROR(INDEX(Items!$D$5:$D$504,Q1447),"")),IF($D1447="","","PRO PLAN"))</f>
        <v/>
      </c>
      <c r="J1447" s="61" t="str">
        <f aca="false">IF(IsPro,IF($D1447="","",IF($F1447="",IFERROR(INDEX(Items!$G$5:$G$504,Q1447),0),$F1447)),"")</f>
        <v/>
      </c>
      <c r="K1447" s="61" t="str">
        <f aca="false">IF(IsPro,IF($D1447="","",ROUND(N($E1447)*J1447*(1-N($G1447)),2)),"")</f>
        <v/>
      </c>
      <c r="L1447" s="62" t="str">
        <f aca="false">IF(IsPro,IF($D1447="","",IFERROR(INDEX(Items!$F$5:$F$504,Q1447),0)),"")</f>
        <v/>
      </c>
      <c r="M1447" s="61" t="str">
        <f aca="false">IF(IsPro,IF($D1447="","",IF(AND(R1447&lt;&gt;"",INDEX(Parties!$E$5:$E$304,R1447)&lt;&gt;"",INDEX(Parties!$E$5:$E$304,R1447)&lt;&gt;HomeState),0,ROUND(K1447*L1447/2,2))),"")</f>
        <v/>
      </c>
      <c r="N1447" s="61" t="str">
        <f aca="false">IF(IsPro,IF($D1447="","",M1447),"")</f>
        <v/>
      </c>
      <c r="O1447" s="61" t="str">
        <f aca="false">IF(IsPro,IF($D1447="","",IF(AND(R1447&lt;&gt;"",INDEX(Parties!$E$5:$E$304,R1447)&lt;&gt;"",INDEX(Parties!$E$5:$E$304,R1447)&lt;&gt;HomeState),ROUND(K1447*L1447,2),0)),"")</f>
        <v/>
      </c>
      <c r="P1447" s="61" t="str">
        <f aca="false">IF(IsPro,IF($D1447="","",K1447+M1447+N1447+O1447),"")</f>
        <v/>
      </c>
      <c r="Q1447" s="60" t="str">
        <f aca="false">IF(IsPro,IF($D1447="","",IFERROR(MATCH($D1447,Items!$A$5:$A$504,0),"")),"")</f>
        <v/>
      </c>
      <c r="R1447" s="60" t="str">
        <f aca="false">IF(IsPro,IF($C1447="","",IFERROR(MATCH($C1447,Parties!$A$5:$A$304,0),"")),"")</f>
        <v/>
      </c>
      <c r="S1447" s="61" t="str">
        <f aca="false">IF(IsPro,IF($D1447="","",IF(OR($H1447="",$H1447="Credit"),0,P1447)),"")</f>
        <v/>
      </c>
    </row>
    <row r="1448" customFormat="false" ht="15" hidden="false" customHeight="false" outlineLevel="0" collapsed="false">
      <c r="A1448" s="55"/>
      <c r="B1448" s="56"/>
      <c r="C1448" s="56"/>
      <c r="D1448" s="56"/>
      <c r="E1448" s="57"/>
      <c r="F1448" s="58"/>
      <c r="G1448" s="59"/>
      <c r="H1448" s="56"/>
      <c r="I1448" s="60" t="str">
        <f aca="false">IF(IsPro,IF($D1448="","",IFERROR(INDEX(Items!$D$5:$D$504,Q1448),"")),IF($D1448="","","PRO PLAN"))</f>
        <v/>
      </c>
      <c r="J1448" s="61" t="str">
        <f aca="false">IF(IsPro,IF($D1448="","",IF($F1448="",IFERROR(INDEX(Items!$G$5:$G$504,Q1448),0),$F1448)),"")</f>
        <v/>
      </c>
      <c r="K1448" s="61" t="str">
        <f aca="false">IF(IsPro,IF($D1448="","",ROUND(N($E1448)*J1448*(1-N($G1448)),2)),"")</f>
        <v/>
      </c>
      <c r="L1448" s="62" t="str">
        <f aca="false">IF(IsPro,IF($D1448="","",IFERROR(INDEX(Items!$F$5:$F$504,Q1448),0)),"")</f>
        <v/>
      </c>
      <c r="M1448" s="61" t="str">
        <f aca="false">IF(IsPro,IF($D1448="","",IF(AND(R1448&lt;&gt;"",INDEX(Parties!$E$5:$E$304,R1448)&lt;&gt;"",INDEX(Parties!$E$5:$E$304,R1448)&lt;&gt;HomeState),0,ROUND(K1448*L1448/2,2))),"")</f>
        <v/>
      </c>
      <c r="N1448" s="61" t="str">
        <f aca="false">IF(IsPro,IF($D1448="","",M1448),"")</f>
        <v/>
      </c>
      <c r="O1448" s="61" t="str">
        <f aca="false">IF(IsPro,IF($D1448="","",IF(AND(R1448&lt;&gt;"",INDEX(Parties!$E$5:$E$304,R1448)&lt;&gt;"",INDEX(Parties!$E$5:$E$304,R1448)&lt;&gt;HomeState),ROUND(K1448*L1448,2),0)),"")</f>
        <v/>
      </c>
      <c r="P1448" s="61" t="str">
        <f aca="false">IF(IsPro,IF($D1448="","",K1448+M1448+N1448+O1448),"")</f>
        <v/>
      </c>
      <c r="Q1448" s="60" t="str">
        <f aca="false">IF(IsPro,IF($D1448="","",IFERROR(MATCH($D1448,Items!$A$5:$A$504,0),"")),"")</f>
        <v/>
      </c>
      <c r="R1448" s="60" t="str">
        <f aca="false">IF(IsPro,IF($C1448="","",IFERROR(MATCH($C1448,Parties!$A$5:$A$304,0),"")),"")</f>
        <v/>
      </c>
      <c r="S1448" s="61" t="str">
        <f aca="false">IF(IsPro,IF($D1448="","",IF(OR($H1448="",$H1448="Credit"),0,P1448)),"")</f>
        <v/>
      </c>
    </row>
    <row r="1449" customFormat="false" ht="15" hidden="false" customHeight="false" outlineLevel="0" collapsed="false">
      <c r="A1449" s="55"/>
      <c r="B1449" s="56"/>
      <c r="C1449" s="56"/>
      <c r="D1449" s="56"/>
      <c r="E1449" s="57"/>
      <c r="F1449" s="58"/>
      <c r="G1449" s="59"/>
      <c r="H1449" s="56"/>
      <c r="I1449" s="60" t="str">
        <f aca="false">IF(IsPro,IF($D1449="","",IFERROR(INDEX(Items!$D$5:$D$504,Q1449),"")),IF($D1449="","","PRO PLAN"))</f>
        <v/>
      </c>
      <c r="J1449" s="61" t="str">
        <f aca="false">IF(IsPro,IF($D1449="","",IF($F1449="",IFERROR(INDEX(Items!$G$5:$G$504,Q1449),0),$F1449)),"")</f>
        <v/>
      </c>
      <c r="K1449" s="61" t="str">
        <f aca="false">IF(IsPro,IF($D1449="","",ROUND(N($E1449)*J1449*(1-N($G1449)),2)),"")</f>
        <v/>
      </c>
      <c r="L1449" s="62" t="str">
        <f aca="false">IF(IsPro,IF($D1449="","",IFERROR(INDEX(Items!$F$5:$F$504,Q1449),0)),"")</f>
        <v/>
      </c>
      <c r="M1449" s="61" t="str">
        <f aca="false">IF(IsPro,IF($D1449="","",IF(AND(R1449&lt;&gt;"",INDEX(Parties!$E$5:$E$304,R1449)&lt;&gt;"",INDEX(Parties!$E$5:$E$304,R1449)&lt;&gt;HomeState),0,ROUND(K1449*L1449/2,2))),"")</f>
        <v/>
      </c>
      <c r="N1449" s="61" t="str">
        <f aca="false">IF(IsPro,IF($D1449="","",M1449),"")</f>
        <v/>
      </c>
      <c r="O1449" s="61" t="str">
        <f aca="false">IF(IsPro,IF($D1449="","",IF(AND(R1449&lt;&gt;"",INDEX(Parties!$E$5:$E$304,R1449)&lt;&gt;"",INDEX(Parties!$E$5:$E$304,R1449)&lt;&gt;HomeState),ROUND(K1449*L1449,2),0)),"")</f>
        <v/>
      </c>
      <c r="P1449" s="61" t="str">
        <f aca="false">IF(IsPro,IF($D1449="","",K1449+M1449+N1449+O1449),"")</f>
        <v/>
      </c>
      <c r="Q1449" s="60" t="str">
        <f aca="false">IF(IsPro,IF($D1449="","",IFERROR(MATCH($D1449,Items!$A$5:$A$504,0),"")),"")</f>
        <v/>
      </c>
      <c r="R1449" s="60" t="str">
        <f aca="false">IF(IsPro,IF($C1449="","",IFERROR(MATCH($C1449,Parties!$A$5:$A$304,0),"")),"")</f>
        <v/>
      </c>
      <c r="S1449" s="61" t="str">
        <f aca="false">IF(IsPro,IF($D1449="","",IF(OR($H1449="",$H1449="Credit"),0,P1449)),"")</f>
        <v/>
      </c>
    </row>
    <row r="1450" customFormat="false" ht="15" hidden="false" customHeight="false" outlineLevel="0" collapsed="false">
      <c r="A1450" s="55"/>
      <c r="B1450" s="56"/>
      <c r="C1450" s="56"/>
      <c r="D1450" s="56"/>
      <c r="E1450" s="57"/>
      <c r="F1450" s="58"/>
      <c r="G1450" s="59"/>
      <c r="H1450" s="56"/>
      <c r="I1450" s="60" t="str">
        <f aca="false">IF(IsPro,IF($D1450="","",IFERROR(INDEX(Items!$D$5:$D$504,Q1450),"")),IF($D1450="","","PRO PLAN"))</f>
        <v/>
      </c>
      <c r="J1450" s="61" t="str">
        <f aca="false">IF(IsPro,IF($D1450="","",IF($F1450="",IFERROR(INDEX(Items!$G$5:$G$504,Q1450),0),$F1450)),"")</f>
        <v/>
      </c>
      <c r="K1450" s="61" t="str">
        <f aca="false">IF(IsPro,IF($D1450="","",ROUND(N($E1450)*J1450*(1-N($G1450)),2)),"")</f>
        <v/>
      </c>
      <c r="L1450" s="62" t="str">
        <f aca="false">IF(IsPro,IF($D1450="","",IFERROR(INDEX(Items!$F$5:$F$504,Q1450),0)),"")</f>
        <v/>
      </c>
      <c r="M1450" s="61" t="str">
        <f aca="false">IF(IsPro,IF($D1450="","",IF(AND(R1450&lt;&gt;"",INDEX(Parties!$E$5:$E$304,R1450)&lt;&gt;"",INDEX(Parties!$E$5:$E$304,R1450)&lt;&gt;HomeState),0,ROUND(K1450*L1450/2,2))),"")</f>
        <v/>
      </c>
      <c r="N1450" s="61" t="str">
        <f aca="false">IF(IsPro,IF($D1450="","",M1450),"")</f>
        <v/>
      </c>
      <c r="O1450" s="61" t="str">
        <f aca="false">IF(IsPro,IF($D1450="","",IF(AND(R1450&lt;&gt;"",INDEX(Parties!$E$5:$E$304,R1450)&lt;&gt;"",INDEX(Parties!$E$5:$E$304,R1450)&lt;&gt;HomeState),ROUND(K1450*L1450,2),0)),"")</f>
        <v/>
      </c>
      <c r="P1450" s="61" t="str">
        <f aca="false">IF(IsPro,IF($D1450="","",K1450+M1450+N1450+O1450),"")</f>
        <v/>
      </c>
      <c r="Q1450" s="60" t="str">
        <f aca="false">IF(IsPro,IF($D1450="","",IFERROR(MATCH($D1450,Items!$A$5:$A$504,0),"")),"")</f>
        <v/>
      </c>
      <c r="R1450" s="60" t="str">
        <f aca="false">IF(IsPro,IF($C1450="","",IFERROR(MATCH($C1450,Parties!$A$5:$A$304,0),"")),"")</f>
        <v/>
      </c>
      <c r="S1450" s="61" t="str">
        <f aca="false">IF(IsPro,IF($D1450="","",IF(OR($H1450="",$H1450="Credit"),0,P1450)),"")</f>
        <v/>
      </c>
    </row>
    <row r="1451" customFormat="false" ht="15" hidden="false" customHeight="false" outlineLevel="0" collapsed="false">
      <c r="A1451" s="55"/>
      <c r="B1451" s="56"/>
      <c r="C1451" s="56"/>
      <c r="D1451" s="56"/>
      <c r="E1451" s="57"/>
      <c r="F1451" s="58"/>
      <c r="G1451" s="59"/>
      <c r="H1451" s="56"/>
      <c r="I1451" s="60" t="str">
        <f aca="false">IF(IsPro,IF($D1451="","",IFERROR(INDEX(Items!$D$5:$D$504,Q1451),"")),IF($D1451="","","PRO PLAN"))</f>
        <v/>
      </c>
      <c r="J1451" s="61" t="str">
        <f aca="false">IF(IsPro,IF($D1451="","",IF($F1451="",IFERROR(INDEX(Items!$G$5:$G$504,Q1451),0),$F1451)),"")</f>
        <v/>
      </c>
      <c r="K1451" s="61" t="str">
        <f aca="false">IF(IsPro,IF($D1451="","",ROUND(N($E1451)*J1451*(1-N($G1451)),2)),"")</f>
        <v/>
      </c>
      <c r="L1451" s="62" t="str">
        <f aca="false">IF(IsPro,IF($D1451="","",IFERROR(INDEX(Items!$F$5:$F$504,Q1451),0)),"")</f>
        <v/>
      </c>
      <c r="M1451" s="61" t="str">
        <f aca="false">IF(IsPro,IF($D1451="","",IF(AND(R1451&lt;&gt;"",INDEX(Parties!$E$5:$E$304,R1451)&lt;&gt;"",INDEX(Parties!$E$5:$E$304,R1451)&lt;&gt;HomeState),0,ROUND(K1451*L1451/2,2))),"")</f>
        <v/>
      </c>
      <c r="N1451" s="61" t="str">
        <f aca="false">IF(IsPro,IF($D1451="","",M1451),"")</f>
        <v/>
      </c>
      <c r="O1451" s="61" t="str">
        <f aca="false">IF(IsPro,IF($D1451="","",IF(AND(R1451&lt;&gt;"",INDEX(Parties!$E$5:$E$304,R1451)&lt;&gt;"",INDEX(Parties!$E$5:$E$304,R1451)&lt;&gt;HomeState),ROUND(K1451*L1451,2),0)),"")</f>
        <v/>
      </c>
      <c r="P1451" s="61" t="str">
        <f aca="false">IF(IsPro,IF($D1451="","",K1451+M1451+N1451+O1451),"")</f>
        <v/>
      </c>
      <c r="Q1451" s="60" t="str">
        <f aca="false">IF(IsPro,IF($D1451="","",IFERROR(MATCH($D1451,Items!$A$5:$A$504,0),"")),"")</f>
        <v/>
      </c>
      <c r="R1451" s="60" t="str">
        <f aca="false">IF(IsPro,IF($C1451="","",IFERROR(MATCH($C1451,Parties!$A$5:$A$304,0),"")),"")</f>
        <v/>
      </c>
      <c r="S1451" s="61" t="str">
        <f aca="false">IF(IsPro,IF($D1451="","",IF(OR($H1451="",$H1451="Credit"),0,P1451)),"")</f>
        <v/>
      </c>
    </row>
    <row r="1452" customFormat="false" ht="15" hidden="false" customHeight="false" outlineLevel="0" collapsed="false">
      <c r="A1452" s="55"/>
      <c r="B1452" s="56"/>
      <c r="C1452" s="56"/>
      <c r="D1452" s="56"/>
      <c r="E1452" s="57"/>
      <c r="F1452" s="58"/>
      <c r="G1452" s="59"/>
      <c r="H1452" s="56"/>
      <c r="I1452" s="60" t="str">
        <f aca="false">IF(IsPro,IF($D1452="","",IFERROR(INDEX(Items!$D$5:$D$504,Q1452),"")),IF($D1452="","","PRO PLAN"))</f>
        <v/>
      </c>
      <c r="J1452" s="61" t="str">
        <f aca="false">IF(IsPro,IF($D1452="","",IF($F1452="",IFERROR(INDEX(Items!$G$5:$G$504,Q1452),0),$F1452)),"")</f>
        <v/>
      </c>
      <c r="K1452" s="61" t="str">
        <f aca="false">IF(IsPro,IF($D1452="","",ROUND(N($E1452)*J1452*(1-N($G1452)),2)),"")</f>
        <v/>
      </c>
      <c r="L1452" s="62" t="str">
        <f aca="false">IF(IsPro,IF($D1452="","",IFERROR(INDEX(Items!$F$5:$F$504,Q1452),0)),"")</f>
        <v/>
      </c>
      <c r="M1452" s="61" t="str">
        <f aca="false">IF(IsPro,IF($D1452="","",IF(AND(R1452&lt;&gt;"",INDEX(Parties!$E$5:$E$304,R1452)&lt;&gt;"",INDEX(Parties!$E$5:$E$304,R1452)&lt;&gt;HomeState),0,ROUND(K1452*L1452/2,2))),"")</f>
        <v/>
      </c>
      <c r="N1452" s="61" t="str">
        <f aca="false">IF(IsPro,IF($D1452="","",M1452),"")</f>
        <v/>
      </c>
      <c r="O1452" s="61" t="str">
        <f aca="false">IF(IsPro,IF($D1452="","",IF(AND(R1452&lt;&gt;"",INDEX(Parties!$E$5:$E$304,R1452)&lt;&gt;"",INDEX(Parties!$E$5:$E$304,R1452)&lt;&gt;HomeState),ROUND(K1452*L1452,2),0)),"")</f>
        <v/>
      </c>
      <c r="P1452" s="61" t="str">
        <f aca="false">IF(IsPro,IF($D1452="","",K1452+M1452+N1452+O1452),"")</f>
        <v/>
      </c>
      <c r="Q1452" s="60" t="str">
        <f aca="false">IF(IsPro,IF($D1452="","",IFERROR(MATCH($D1452,Items!$A$5:$A$504,0),"")),"")</f>
        <v/>
      </c>
      <c r="R1452" s="60" t="str">
        <f aca="false">IF(IsPro,IF($C1452="","",IFERROR(MATCH($C1452,Parties!$A$5:$A$304,0),"")),"")</f>
        <v/>
      </c>
      <c r="S1452" s="61" t="str">
        <f aca="false">IF(IsPro,IF($D1452="","",IF(OR($H1452="",$H1452="Credit"),0,P1452)),"")</f>
        <v/>
      </c>
    </row>
    <row r="1453" customFormat="false" ht="15" hidden="false" customHeight="false" outlineLevel="0" collapsed="false">
      <c r="A1453" s="55"/>
      <c r="B1453" s="56"/>
      <c r="C1453" s="56"/>
      <c r="D1453" s="56"/>
      <c r="E1453" s="57"/>
      <c r="F1453" s="58"/>
      <c r="G1453" s="59"/>
      <c r="H1453" s="56"/>
      <c r="I1453" s="60" t="str">
        <f aca="false">IF(IsPro,IF($D1453="","",IFERROR(INDEX(Items!$D$5:$D$504,Q1453),"")),IF($D1453="","","PRO PLAN"))</f>
        <v/>
      </c>
      <c r="J1453" s="61" t="str">
        <f aca="false">IF(IsPro,IF($D1453="","",IF($F1453="",IFERROR(INDEX(Items!$G$5:$G$504,Q1453),0),$F1453)),"")</f>
        <v/>
      </c>
      <c r="K1453" s="61" t="str">
        <f aca="false">IF(IsPro,IF($D1453="","",ROUND(N($E1453)*J1453*(1-N($G1453)),2)),"")</f>
        <v/>
      </c>
      <c r="L1453" s="62" t="str">
        <f aca="false">IF(IsPro,IF($D1453="","",IFERROR(INDEX(Items!$F$5:$F$504,Q1453),0)),"")</f>
        <v/>
      </c>
      <c r="M1453" s="61" t="str">
        <f aca="false">IF(IsPro,IF($D1453="","",IF(AND(R1453&lt;&gt;"",INDEX(Parties!$E$5:$E$304,R1453)&lt;&gt;"",INDEX(Parties!$E$5:$E$304,R1453)&lt;&gt;HomeState),0,ROUND(K1453*L1453/2,2))),"")</f>
        <v/>
      </c>
      <c r="N1453" s="61" t="str">
        <f aca="false">IF(IsPro,IF($D1453="","",M1453),"")</f>
        <v/>
      </c>
      <c r="O1453" s="61" t="str">
        <f aca="false">IF(IsPro,IF($D1453="","",IF(AND(R1453&lt;&gt;"",INDEX(Parties!$E$5:$E$304,R1453)&lt;&gt;"",INDEX(Parties!$E$5:$E$304,R1453)&lt;&gt;HomeState),ROUND(K1453*L1453,2),0)),"")</f>
        <v/>
      </c>
      <c r="P1453" s="61" t="str">
        <f aca="false">IF(IsPro,IF($D1453="","",K1453+M1453+N1453+O1453),"")</f>
        <v/>
      </c>
      <c r="Q1453" s="60" t="str">
        <f aca="false">IF(IsPro,IF($D1453="","",IFERROR(MATCH($D1453,Items!$A$5:$A$504,0),"")),"")</f>
        <v/>
      </c>
      <c r="R1453" s="60" t="str">
        <f aca="false">IF(IsPro,IF($C1453="","",IFERROR(MATCH($C1453,Parties!$A$5:$A$304,0),"")),"")</f>
        <v/>
      </c>
      <c r="S1453" s="61" t="str">
        <f aca="false">IF(IsPro,IF($D1453="","",IF(OR($H1453="",$H1453="Credit"),0,P1453)),"")</f>
        <v/>
      </c>
    </row>
    <row r="1454" customFormat="false" ht="15" hidden="false" customHeight="false" outlineLevel="0" collapsed="false">
      <c r="A1454" s="55"/>
      <c r="B1454" s="56"/>
      <c r="C1454" s="56"/>
      <c r="D1454" s="56"/>
      <c r="E1454" s="57"/>
      <c r="F1454" s="58"/>
      <c r="G1454" s="59"/>
      <c r="H1454" s="56"/>
      <c r="I1454" s="60" t="str">
        <f aca="false">IF(IsPro,IF($D1454="","",IFERROR(INDEX(Items!$D$5:$D$504,Q1454),"")),IF($D1454="","","PRO PLAN"))</f>
        <v/>
      </c>
      <c r="J1454" s="61" t="str">
        <f aca="false">IF(IsPro,IF($D1454="","",IF($F1454="",IFERROR(INDEX(Items!$G$5:$G$504,Q1454),0),$F1454)),"")</f>
        <v/>
      </c>
      <c r="K1454" s="61" t="str">
        <f aca="false">IF(IsPro,IF($D1454="","",ROUND(N($E1454)*J1454*(1-N($G1454)),2)),"")</f>
        <v/>
      </c>
      <c r="L1454" s="62" t="str">
        <f aca="false">IF(IsPro,IF($D1454="","",IFERROR(INDEX(Items!$F$5:$F$504,Q1454),0)),"")</f>
        <v/>
      </c>
      <c r="M1454" s="61" t="str">
        <f aca="false">IF(IsPro,IF($D1454="","",IF(AND(R1454&lt;&gt;"",INDEX(Parties!$E$5:$E$304,R1454)&lt;&gt;"",INDEX(Parties!$E$5:$E$304,R1454)&lt;&gt;HomeState),0,ROUND(K1454*L1454/2,2))),"")</f>
        <v/>
      </c>
      <c r="N1454" s="61" t="str">
        <f aca="false">IF(IsPro,IF($D1454="","",M1454),"")</f>
        <v/>
      </c>
      <c r="O1454" s="61" t="str">
        <f aca="false">IF(IsPro,IF($D1454="","",IF(AND(R1454&lt;&gt;"",INDEX(Parties!$E$5:$E$304,R1454)&lt;&gt;"",INDEX(Parties!$E$5:$E$304,R1454)&lt;&gt;HomeState),ROUND(K1454*L1454,2),0)),"")</f>
        <v/>
      </c>
      <c r="P1454" s="61" t="str">
        <f aca="false">IF(IsPro,IF($D1454="","",K1454+M1454+N1454+O1454),"")</f>
        <v/>
      </c>
      <c r="Q1454" s="60" t="str">
        <f aca="false">IF(IsPro,IF($D1454="","",IFERROR(MATCH($D1454,Items!$A$5:$A$504,0),"")),"")</f>
        <v/>
      </c>
      <c r="R1454" s="60" t="str">
        <f aca="false">IF(IsPro,IF($C1454="","",IFERROR(MATCH($C1454,Parties!$A$5:$A$304,0),"")),"")</f>
        <v/>
      </c>
      <c r="S1454" s="61" t="str">
        <f aca="false">IF(IsPro,IF($D1454="","",IF(OR($H1454="",$H1454="Credit"),0,P1454)),"")</f>
        <v/>
      </c>
    </row>
    <row r="1455" customFormat="false" ht="15" hidden="false" customHeight="false" outlineLevel="0" collapsed="false">
      <c r="A1455" s="55"/>
      <c r="B1455" s="56"/>
      <c r="C1455" s="56"/>
      <c r="D1455" s="56"/>
      <c r="E1455" s="57"/>
      <c r="F1455" s="58"/>
      <c r="G1455" s="59"/>
      <c r="H1455" s="56"/>
      <c r="I1455" s="60" t="str">
        <f aca="false">IF(IsPro,IF($D1455="","",IFERROR(INDEX(Items!$D$5:$D$504,Q1455),"")),IF($D1455="","","PRO PLAN"))</f>
        <v/>
      </c>
      <c r="J1455" s="61" t="str">
        <f aca="false">IF(IsPro,IF($D1455="","",IF($F1455="",IFERROR(INDEX(Items!$G$5:$G$504,Q1455),0),$F1455)),"")</f>
        <v/>
      </c>
      <c r="K1455" s="61" t="str">
        <f aca="false">IF(IsPro,IF($D1455="","",ROUND(N($E1455)*J1455*(1-N($G1455)),2)),"")</f>
        <v/>
      </c>
      <c r="L1455" s="62" t="str">
        <f aca="false">IF(IsPro,IF($D1455="","",IFERROR(INDEX(Items!$F$5:$F$504,Q1455),0)),"")</f>
        <v/>
      </c>
      <c r="M1455" s="61" t="str">
        <f aca="false">IF(IsPro,IF($D1455="","",IF(AND(R1455&lt;&gt;"",INDEX(Parties!$E$5:$E$304,R1455)&lt;&gt;"",INDEX(Parties!$E$5:$E$304,R1455)&lt;&gt;HomeState),0,ROUND(K1455*L1455/2,2))),"")</f>
        <v/>
      </c>
      <c r="N1455" s="61" t="str">
        <f aca="false">IF(IsPro,IF($D1455="","",M1455),"")</f>
        <v/>
      </c>
      <c r="O1455" s="61" t="str">
        <f aca="false">IF(IsPro,IF($D1455="","",IF(AND(R1455&lt;&gt;"",INDEX(Parties!$E$5:$E$304,R1455)&lt;&gt;"",INDEX(Parties!$E$5:$E$304,R1455)&lt;&gt;HomeState),ROUND(K1455*L1455,2),0)),"")</f>
        <v/>
      </c>
      <c r="P1455" s="61" t="str">
        <f aca="false">IF(IsPro,IF($D1455="","",K1455+M1455+N1455+O1455),"")</f>
        <v/>
      </c>
      <c r="Q1455" s="60" t="str">
        <f aca="false">IF(IsPro,IF($D1455="","",IFERROR(MATCH($D1455,Items!$A$5:$A$504,0),"")),"")</f>
        <v/>
      </c>
      <c r="R1455" s="60" t="str">
        <f aca="false">IF(IsPro,IF($C1455="","",IFERROR(MATCH($C1455,Parties!$A$5:$A$304,0),"")),"")</f>
        <v/>
      </c>
      <c r="S1455" s="61" t="str">
        <f aca="false">IF(IsPro,IF($D1455="","",IF(OR($H1455="",$H1455="Credit"),0,P1455)),"")</f>
        <v/>
      </c>
    </row>
    <row r="1456" customFormat="false" ht="15" hidden="false" customHeight="false" outlineLevel="0" collapsed="false">
      <c r="A1456" s="55"/>
      <c r="B1456" s="56"/>
      <c r="C1456" s="56"/>
      <c r="D1456" s="56"/>
      <c r="E1456" s="57"/>
      <c r="F1456" s="58"/>
      <c r="G1456" s="59"/>
      <c r="H1456" s="56"/>
      <c r="I1456" s="60" t="str">
        <f aca="false">IF(IsPro,IF($D1456="","",IFERROR(INDEX(Items!$D$5:$D$504,Q1456),"")),IF($D1456="","","PRO PLAN"))</f>
        <v/>
      </c>
      <c r="J1456" s="61" t="str">
        <f aca="false">IF(IsPro,IF($D1456="","",IF($F1456="",IFERROR(INDEX(Items!$G$5:$G$504,Q1456),0),$F1456)),"")</f>
        <v/>
      </c>
      <c r="K1456" s="61" t="str">
        <f aca="false">IF(IsPro,IF($D1456="","",ROUND(N($E1456)*J1456*(1-N($G1456)),2)),"")</f>
        <v/>
      </c>
      <c r="L1456" s="62" t="str">
        <f aca="false">IF(IsPro,IF($D1456="","",IFERROR(INDEX(Items!$F$5:$F$504,Q1456),0)),"")</f>
        <v/>
      </c>
      <c r="M1456" s="61" t="str">
        <f aca="false">IF(IsPro,IF($D1456="","",IF(AND(R1456&lt;&gt;"",INDEX(Parties!$E$5:$E$304,R1456)&lt;&gt;"",INDEX(Parties!$E$5:$E$304,R1456)&lt;&gt;HomeState),0,ROUND(K1456*L1456/2,2))),"")</f>
        <v/>
      </c>
      <c r="N1456" s="61" t="str">
        <f aca="false">IF(IsPro,IF($D1456="","",M1456),"")</f>
        <v/>
      </c>
      <c r="O1456" s="61" t="str">
        <f aca="false">IF(IsPro,IF($D1456="","",IF(AND(R1456&lt;&gt;"",INDEX(Parties!$E$5:$E$304,R1456)&lt;&gt;"",INDEX(Parties!$E$5:$E$304,R1456)&lt;&gt;HomeState),ROUND(K1456*L1456,2),0)),"")</f>
        <v/>
      </c>
      <c r="P1456" s="61" t="str">
        <f aca="false">IF(IsPro,IF($D1456="","",K1456+M1456+N1456+O1456),"")</f>
        <v/>
      </c>
      <c r="Q1456" s="60" t="str">
        <f aca="false">IF(IsPro,IF($D1456="","",IFERROR(MATCH($D1456,Items!$A$5:$A$504,0),"")),"")</f>
        <v/>
      </c>
      <c r="R1456" s="60" t="str">
        <f aca="false">IF(IsPro,IF($C1456="","",IFERROR(MATCH($C1456,Parties!$A$5:$A$304,0),"")),"")</f>
        <v/>
      </c>
      <c r="S1456" s="61" t="str">
        <f aca="false">IF(IsPro,IF($D1456="","",IF(OR($H1456="",$H1456="Credit"),0,P1456)),"")</f>
        <v/>
      </c>
    </row>
    <row r="1457" customFormat="false" ht="15" hidden="false" customHeight="false" outlineLevel="0" collapsed="false">
      <c r="A1457" s="55"/>
      <c r="B1457" s="56"/>
      <c r="C1457" s="56"/>
      <c r="D1457" s="56"/>
      <c r="E1457" s="57"/>
      <c r="F1457" s="58"/>
      <c r="G1457" s="59"/>
      <c r="H1457" s="56"/>
      <c r="I1457" s="60" t="str">
        <f aca="false">IF(IsPro,IF($D1457="","",IFERROR(INDEX(Items!$D$5:$D$504,Q1457),"")),IF($D1457="","","PRO PLAN"))</f>
        <v/>
      </c>
      <c r="J1457" s="61" t="str">
        <f aca="false">IF(IsPro,IF($D1457="","",IF($F1457="",IFERROR(INDEX(Items!$G$5:$G$504,Q1457),0),$F1457)),"")</f>
        <v/>
      </c>
      <c r="K1457" s="61" t="str">
        <f aca="false">IF(IsPro,IF($D1457="","",ROUND(N($E1457)*J1457*(1-N($G1457)),2)),"")</f>
        <v/>
      </c>
      <c r="L1457" s="62" t="str">
        <f aca="false">IF(IsPro,IF($D1457="","",IFERROR(INDEX(Items!$F$5:$F$504,Q1457),0)),"")</f>
        <v/>
      </c>
      <c r="M1457" s="61" t="str">
        <f aca="false">IF(IsPro,IF($D1457="","",IF(AND(R1457&lt;&gt;"",INDEX(Parties!$E$5:$E$304,R1457)&lt;&gt;"",INDEX(Parties!$E$5:$E$304,R1457)&lt;&gt;HomeState),0,ROUND(K1457*L1457/2,2))),"")</f>
        <v/>
      </c>
      <c r="N1457" s="61" t="str">
        <f aca="false">IF(IsPro,IF($D1457="","",M1457),"")</f>
        <v/>
      </c>
      <c r="O1457" s="61" t="str">
        <f aca="false">IF(IsPro,IF($D1457="","",IF(AND(R1457&lt;&gt;"",INDEX(Parties!$E$5:$E$304,R1457)&lt;&gt;"",INDEX(Parties!$E$5:$E$304,R1457)&lt;&gt;HomeState),ROUND(K1457*L1457,2),0)),"")</f>
        <v/>
      </c>
      <c r="P1457" s="61" t="str">
        <f aca="false">IF(IsPro,IF($D1457="","",K1457+M1457+N1457+O1457),"")</f>
        <v/>
      </c>
      <c r="Q1457" s="60" t="str">
        <f aca="false">IF(IsPro,IF($D1457="","",IFERROR(MATCH($D1457,Items!$A$5:$A$504,0),"")),"")</f>
        <v/>
      </c>
      <c r="R1457" s="60" t="str">
        <f aca="false">IF(IsPro,IF($C1457="","",IFERROR(MATCH($C1457,Parties!$A$5:$A$304,0),"")),"")</f>
        <v/>
      </c>
      <c r="S1457" s="61" t="str">
        <f aca="false">IF(IsPro,IF($D1457="","",IF(OR($H1457="",$H1457="Credit"),0,P1457)),"")</f>
        <v/>
      </c>
    </row>
    <row r="1458" customFormat="false" ht="15" hidden="false" customHeight="false" outlineLevel="0" collapsed="false">
      <c r="A1458" s="55"/>
      <c r="B1458" s="56"/>
      <c r="C1458" s="56"/>
      <c r="D1458" s="56"/>
      <c r="E1458" s="57"/>
      <c r="F1458" s="58"/>
      <c r="G1458" s="59"/>
      <c r="H1458" s="56"/>
      <c r="I1458" s="60" t="str">
        <f aca="false">IF(IsPro,IF($D1458="","",IFERROR(INDEX(Items!$D$5:$D$504,Q1458),"")),IF($D1458="","","PRO PLAN"))</f>
        <v/>
      </c>
      <c r="J1458" s="61" t="str">
        <f aca="false">IF(IsPro,IF($D1458="","",IF($F1458="",IFERROR(INDEX(Items!$G$5:$G$504,Q1458),0),$F1458)),"")</f>
        <v/>
      </c>
      <c r="K1458" s="61" t="str">
        <f aca="false">IF(IsPro,IF($D1458="","",ROUND(N($E1458)*J1458*(1-N($G1458)),2)),"")</f>
        <v/>
      </c>
      <c r="L1458" s="62" t="str">
        <f aca="false">IF(IsPro,IF($D1458="","",IFERROR(INDEX(Items!$F$5:$F$504,Q1458),0)),"")</f>
        <v/>
      </c>
      <c r="M1458" s="61" t="str">
        <f aca="false">IF(IsPro,IF($D1458="","",IF(AND(R1458&lt;&gt;"",INDEX(Parties!$E$5:$E$304,R1458)&lt;&gt;"",INDEX(Parties!$E$5:$E$304,R1458)&lt;&gt;HomeState),0,ROUND(K1458*L1458/2,2))),"")</f>
        <v/>
      </c>
      <c r="N1458" s="61" t="str">
        <f aca="false">IF(IsPro,IF($D1458="","",M1458),"")</f>
        <v/>
      </c>
      <c r="O1458" s="61" t="str">
        <f aca="false">IF(IsPro,IF($D1458="","",IF(AND(R1458&lt;&gt;"",INDEX(Parties!$E$5:$E$304,R1458)&lt;&gt;"",INDEX(Parties!$E$5:$E$304,R1458)&lt;&gt;HomeState),ROUND(K1458*L1458,2),0)),"")</f>
        <v/>
      </c>
      <c r="P1458" s="61" t="str">
        <f aca="false">IF(IsPro,IF($D1458="","",K1458+M1458+N1458+O1458),"")</f>
        <v/>
      </c>
      <c r="Q1458" s="60" t="str">
        <f aca="false">IF(IsPro,IF($D1458="","",IFERROR(MATCH($D1458,Items!$A$5:$A$504,0),"")),"")</f>
        <v/>
      </c>
      <c r="R1458" s="60" t="str">
        <f aca="false">IF(IsPro,IF($C1458="","",IFERROR(MATCH($C1458,Parties!$A$5:$A$304,0),"")),"")</f>
        <v/>
      </c>
      <c r="S1458" s="61" t="str">
        <f aca="false">IF(IsPro,IF($D1458="","",IF(OR($H1458="",$H1458="Credit"),0,P1458)),"")</f>
        <v/>
      </c>
    </row>
    <row r="1459" customFormat="false" ht="15" hidden="false" customHeight="false" outlineLevel="0" collapsed="false">
      <c r="A1459" s="55"/>
      <c r="B1459" s="56"/>
      <c r="C1459" s="56"/>
      <c r="D1459" s="56"/>
      <c r="E1459" s="57"/>
      <c r="F1459" s="58"/>
      <c r="G1459" s="59"/>
      <c r="H1459" s="56"/>
      <c r="I1459" s="60" t="str">
        <f aca="false">IF(IsPro,IF($D1459="","",IFERROR(INDEX(Items!$D$5:$D$504,Q1459),"")),IF($D1459="","","PRO PLAN"))</f>
        <v/>
      </c>
      <c r="J1459" s="61" t="str">
        <f aca="false">IF(IsPro,IF($D1459="","",IF($F1459="",IFERROR(INDEX(Items!$G$5:$G$504,Q1459),0),$F1459)),"")</f>
        <v/>
      </c>
      <c r="K1459" s="61" t="str">
        <f aca="false">IF(IsPro,IF($D1459="","",ROUND(N($E1459)*J1459*(1-N($G1459)),2)),"")</f>
        <v/>
      </c>
      <c r="L1459" s="62" t="str">
        <f aca="false">IF(IsPro,IF($D1459="","",IFERROR(INDEX(Items!$F$5:$F$504,Q1459),0)),"")</f>
        <v/>
      </c>
      <c r="M1459" s="61" t="str">
        <f aca="false">IF(IsPro,IF($D1459="","",IF(AND(R1459&lt;&gt;"",INDEX(Parties!$E$5:$E$304,R1459)&lt;&gt;"",INDEX(Parties!$E$5:$E$304,R1459)&lt;&gt;HomeState),0,ROUND(K1459*L1459/2,2))),"")</f>
        <v/>
      </c>
      <c r="N1459" s="61" t="str">
        <f aca="false">IF(IsPro,IF($D1459="","",M1459),"")</f>
        <v/>
      </c>
      <c r="O1459" s="61" t="str">
        <f aca="false">IF(IsPro,IF($D1459="","",IF(AND(R1459&lt;&gt;"",INDEX(Parties!$E$5:$E$304,R1459)&lt;&gt;"",INDEX(Parties!$E$5:$E$304,R1459)&lt;&gt;HomeState),ROUND(K1459*L1459,2),0)),"")</f>
        <v/>
      </c>
      <c r="P1459" s="61" t="str">
        <f aca="false">IF(IsPro,IF($D1459="","",K1459+M1459+N1459+O1459),"")</f>
        <v/>
      </c>
      <c r="Q1459" s="60" t="str">
        <f aca="false">IF(IsPro,IF($D1459="","",IFERROR(MATCH($D1459,Items!$A$5:$A$504,0),"")),"")</f>
        <v/>
      </c>
      <c r="R1459" s="60" t="str">
        <f aca="false">IF(IsPro,IF($C1459="","",IFERROR(MATCH($C1459,Parties!$A$5:$A$304,0),"")),"")</f>
        <v/>
      </c>
      <c r="S1459" s="61" t="str">
        <f aca="false">IF(IsPro,IF($D1459="","",IF(OR($H1459="",$H1459="Credit"),0,P1459)),"")</f>
        <v/>
      </c>
    </row>
    <row r="1460" customFormat="false" ht="15" hidden="false" customHeight="false" outlineLevel="0" collapsed="false">
      <c r="A1460" s="55"/>
      <c r="B1460" s="56"/>
      <c r="C1460" s="56"/>
      <c r="D1460" s="56"/>
      <c r="E1460" s="57"/>
      <c r="F1460" s="58"/>
      <c r="G1460" s="59"/>
      <c r="H1460" s="56"/>
      <c r="I1460" s="60" t="str">
        <f aca="false">IF(IsPro,IF($D1460="","",IFERROR(INDEX(Items!$D$5:$D$504,Q1460),"")),IF($D1460="","","PRO PLAN"))</f>
        <v/>
      </c>
      <c r="J1460" s="61" t="str">
        <f aca="false">IF(IsPro,IF($D1460="","",IF($F1460="",IFERROR(INDEX(Items!$G$5:$G$504,Q1460),0),$F1460)),"")</f>
        <v/>
      </c>
      <c r="K1460" s="61" t="str">
        <f aca="false">IF(IsPro,IF($D1460="","",ROUND(N($E1460)*J1460*(1-N($G1460)),2)),"")</f>
        <v/>
      </c>
      <c r="L1460" s="62" t="str">
        <f aca="false">IF(IsPro,IF($D1460="","",IFERROR(INDEX(Items!$F$5:$F$504,Q1460),0)),"")</f>
        <v/>
      </c>
      <c r="M1460" s="61" t="str">
        <f aca="false">IF(IsPro,IF($D1460="","",IF(AND(R1460&lt;&gt;"",INDEX(Parties!$E$5:$E$304,R1460)&lt;&gt;"",INDEX(Parties!$E$5:$E$304,R1460)&lt;&gt;HomeState),0,ROUND(K1460*L1460/2,2))),"")</f>
        <v/>
      </c>
      <c r="N1460" s="61" t="str">
        <f aca="false">IF(IsPro,IF($D1460="","",M1460),"")</f>
        <v/>
      </c>
      <c r="O1460" s="61" t="str">
        <f aca="false">IF(IsPro,IF($D1460="","",IF(AND(R1460&lt;&gt;"",INDEX(Parties!$E$5:$E$304,R1460)&lt;&gt;"",INDEX(Parties!$E$5:$E$304,R1460)&lt;&gt;HomeState),ROUND(K1460*L1460,2),0)),"")</f>
        <v/>
      </c>
      <c r="P1460" s="61" t="str">
        <f aca="false">IF(IsPro,IF($D1460="","",K1460+M1460+N1460+O1460),"")</f>
        <v/>
      </c>
      <c r="Q1460" s="60" t="str">
        <f aca="false">IF(IsPro,IF($D1460="","",IFERROR(MATCH($D1460,Items!$A$5:$A$504,0),"")),"")</f>
        <v/>
      </c>
      <c r="R1460" s="60" t="str">
        <f aca="false">IF(IsPro,IF($C1460="","",IFERROR(MATCH($C1460,Parties!$A$5:$A$304,0),"")),"")</f>
        <v/>
      </c>
      <c r="S1460" s="61" t="str">
        <f aca="false">IF(IsPro,IF($D1460="","",IF(OR($H1460="",$H1460="Credit"),0,P1460)),"")</f>
        <v/>
      </c>
    </row>
    <row r="1461" customFormat="false" ht="15" hidden="false" customHeight="false" outlineLevel="0" collapsed="false">
      <c r="A1461" s="55"/>
      <c r="B1461" s="56"/>
      <c r="C1461" s="56"/>
      <c r="D1461" s="56"/>
      <c r="E1461" s="57"/>
      <c r="F1461" s="58"/>
      <c r="G1461" s="59"/>
      <c r="H1461" s="56"/>
      <c r="I1461" s="60" t="str">
        <f aca="false">IF(IsPro,IF($D1461="","",IFERROR(INDEX(Items!$D$5:$D$504,Q1461),"")),IF($D1461="","","PRO PLAN"))</f>
        <v/>
      </c>
      <c r="J1461" s="61" t="str">
        <f aca="false">IF(IsPro,IF($D1461="","",IF($F1461="",IFERROR(INDEX(Items!$G$5:$G$504,Q1461),0),$F1461)),"")</f>
        <v/>
      </c>
      <c r="K1461" s="61" t="str">
        <f aca="false">IF(IsPro,IF($D1461="","",ROUND(N($E1461)*J1461*(1-N($G1461)),2)),"")</f>
        <v/>
      </c>
      <c r="L1461" s="62" t="str">
        <f aca="false">IF(IsPro,IF($D1461="","",IFERROR(INDEX(Items!$F$5:$F$504,Q1461),0)),"")</f>
        <v/>
      </c>
      <c r="M1461" s="61" t="str">
        <f aca="false">IF(IsPro,IF($D1461="","",IF(AND(R1461&lt;&gt;"",INDEX(Parties!$E$5:$E$304,R1461)&lt;&gt;"",INDEX(Parties!$E$5:$E$304,R1461)&lt;&gt;HomeState),0,ROUND(K1461*L1461/2,2))),"")</f>
        <v/>
      </c>
      <c r="N1461" s="61" t="str">
        <f aca="false">IF(IsPro,IF($D1461="","",M1461),"")</f>
        <v/>
      </c>
      <c r="O1461" s="61" t="str">
        <f aca="false">IF(IsPro,IF($D1461="","",IF(AND(R1461&lt;&gt;"",INDEX(Parties!$E$5:$E$304,R1461)&lt;&gt;"",INDEX(Parties!$E$5:$E$304,R1461)&lt;&gt;HomeState),ROUND(K1461*L1461,2),0)),"")</f>
        <v/>
      </c>
      <c r="P1461" s="61" t="str">
        <f aca="false">IF(IsPro,IF($D1461="","",K1461+M1461+N1461+O1461),"")</f>
        <v/>
      </c>
      <c r="Q1461" s="60" t="str">
        <f aca="false">IF(IsPro,IF($D1461="","",IFERROR(MATCH($D1461,Items!$A$5:$A$504,0),"")),"")</f>
        <v/>
      </c>
      <c r="R1461" s="60" t="str">
        <f aca="false">IF(IsPro,IF($C1461="","",IFERROR(MATCH($C1461,Parties!$A$5:$A$304,0),"")),"")</f>
        <v/>
      </c>
      <c r="S1461" s="61" t="str">
        <f aca="false">IF(IsPro,IF($D1461="","",IF(OR($H1461="",$H1461="Credit"),0,P1461)),"")</f>
        <v/>
      </c>
    </row>
    <row r="1462" customFormat="false" ht="15" hidden="false" customHeight="false" outlineLevel="0" collapsed="false">
      <c r="A1462" s="55"/>
      <c r="B1462" s="56"/>
      <c r="C1462" s="56"/>
      <c r="D1462" s="56"/>
      <c r="E1462" s="57"/>
      <c r="F1462" s="58"/>
      <c r="G1462" s="59"/>
      <c r="H1462" s="56"/>
      <c r="I1462" s="60" t="str">
        <f aca="false">IF(IsPro,IF($D1462="","",IFERROR(INDEX(Items!$D$5:$D$504,Q1462),"")),IF($D1462="","","PRO PLAN"))</f>
        <v/>
      </c>
      <c r="J1462" s="61" t="str">
        <f aca="false">IF(IsPro,IF($D1462="","",IF($F1462="",IFERROR(INDEX(Items!$G$5:$G$504,Q1462),0),$F1462)),"")</f>
        <v/>
      </c>
      <c r="K1462" s="61" t="str">
        <f aca="false">IF(IsPro,IF($D1462="","",ROUND(N($E1462)*J1462*(1-N($G1462)),2)),"")</f>
        <v/>
      </c>
      <c r="L1462" s="62" t="str">
        <f aca="false">IF(IsPro,IF($D1462="","",IFERROR(INDEX(Items!$F$5:$F$504,Q1462),0)),"")</f>
        <v/>
      </c>
      <c r="M1462" s="61" t="str">
        <f aca="false">IF(IsPro,IF($D1462="","",IF(AND(R1462&lt;&gt;"",INDEX(Parties!$E$5:$E$304,R1462)&lt;&gt;"",INDEX(Parties!$E$5:$E$304,R1462)&lt;&gt;HomeState),0,ROUND(K1462*L1462/2,2))),"")</f>
        <v/>
      </c>
      <c r="N1462" s="61" t="str">
        <f aca="false">IF(IsPro,IF($D1462="","",M1462),"")</f>
        <v/>
      </c>
      <c r="O1462" s="61" t="str">
        <f aca="false">IF(IsPro,IF($D1462="","",IF(AND(R1462&lt;&gt;"",INDEX(Parties!$E$5:$E$304,R1462)&lt;&gt;"",INDEX(Parties!$E$5:$E$304,R1462)&lt;&gt;HomeState),ROUND(K1462*L1462,2),0)),"")</f>
        <v/>
      </c>
      <c r="P1462" s="61" t="str">
        <f aca="false">IF(IsPro,IF($D1462="","",K1462+M1462+N1462+O1462),"")</f>
        <v/>
      </c>
      <c r="Q1462" s="60" t="str">
        <f aca="false">IF(IsPro,IF($D1462="","",IFERROR(MATCH($D1462,Items!$A$5:$A$504,0),"")),"")</f>
        <v/>
      </c>
      <c r="R1462" s="60" t="str">
        <f aca="false">IF(IsPro,IF($C1462="","",IFERROR(MATCH($C1462,Parties!$A$5:$A$304,0),"")),"")</f>
        <v/>
      </c>
      <c r="S1462" s="61" t="str">
        <f aca="false">IF(IsPro,IF($D1462="","",IF(OR($H1462="",$H1462="Credit"),0,P1462)),"")</f>
        <v/>
      </c>
    </row>
    <row r="1463" customFormat="false" ht="15" hidden="false" customHeight="false" outlineLevel="0" collapsed="false">
      <c r="A1463" s="55"/>
      <c r="B1463" s="56"/>
      <c r="C1463" s="56"/>
      <c r="D1463" s="56"/>
      <c r="E1463" s="57"/>
      <c r="F1463" s="58"/>
      <c r="G1463" s="59"/>
      <c r="H1463" s="56"/>
      <c r="I1463" s="60" t="str">
        <f aca="false">IF(IsPro,IF($D1463="","",IFERROR(INDEX(Items!$D$5:$D$504,Q1463),"")),IF($D1463="","","PRO PLAN"))</f>
        <v/>
      </c>
      <c r="J1463" s="61" t="str">
        <f aca="false">IF(IsPro,IF($D1463="","",IF($F1463="",IFERROR(INDEX(Items!$G$5:$G$504,Q1463),0),$F1463)),"")</f>
        <v/>
      </c>
      <c r="K1463" s="61" t="str">
        <f aca="false">IF(IsPro,IF($D1463="","",ROUND(N($E1463)*J1463*(1-N($G1463)),2)),"")</f>
        <v/>
      </c>
      <c r="L1463" s="62" t="str">
        <f aca="false">IF(IsPro,IF($D1463="","",IFERROR(INDEX(Items!$F$5:$F$504,Q1463),0)),"")</f>
        <v/>
      </c>
      <c r="M1463" s="61" t="str">
        <f aca="false">IF(IsPro,IF($D1463="","",IF(AND(R1463&lt;&gt;"",INDEX(Parties!$E$5:$E$304,R1463)&lt;&gt;"",INDEX(Parties!$E$5:$E$304,R1463)&lt;&gt;HomeState),0,ROUND(K1463*L1463/2,2))),"")</f>
        <v/>
      </c>
      <c r="N1463" s="61" t="str">
        <f aca="false">IF(IsPro,IF($D1463="","",M1463),"")</f>
        <v/>
      </c>
      <c r="O1463" s="61" t="str">
        <f aca="false">IF(IsPro,IF($D1463="","",IF(AND(R1463&lt;&gt;"",INDEX(Parties!$E$5:$E$304,R1463)&lt;&gt;"",INDEX(Parties!$E$5:$E$304,R1463)&lt;&gt;HomeState),ROUND(K1463*L1463,2),0)),"")</f>
        <v/>
      </c>
      <c r="P1463" s="61" t="str">
        <f aca="false">IF(IsPro,IF($D1463="","",K1463+M1463+N1463+O1463),"")</f>
        <v/>
      </c>
      <c r="Q1463" s="60" t="str">
        <f aca="false">IF(IsPro,IF($D1463="","",IFERROR(MATCH($D1463,Items!$A$5:$A$504,0),"")),"")</f>
        <v/>
      </c>
      <c r="R1463" s="60" t="str">
        <f aca="false">IF(IsPro,IF($C1463="","",IFERROR(MATCH($C1463,Parties!$A$5:$A$304,0),"")),"")</f>
        <v/>
      </c>
      <c r="S1463" s="61" t="str">
        <f aca="false">IF(IsPro,IF($D1463="","",IF(OR($H1463="",$H1463="Credit"),0,P1463)),"")</f>
        <v/>
      </c>
    </row>
    <row r="1464" customFormat="false" ht="15" hidden="false" customHeight="false" outlineLevel="0" collapsed="false">
      <c r="A1464" s="55"/>
      <c r="B1464" s="56"/>
      <c r="C1464" s="56"/>
      <c r="D1464" s="56"/>
      <c r="E1464" s="57"/>
      <c r="F1464" s="58"/>
      <c r="G1464" s="59"/>
      <c r="H1464" s="56"/>
      <c r="I1464" s="60" t="str">
        <f aca="false">IF(IsPro,IF($D1464="","",IFERROR(INDEX(Items!$D$5:$D$504,Q1464),"")),IF($D1464="","","PRO PLAN"))</f>
        <v/>
      </c>
      <c r="J1464" s="61" t="str">
        <f aca="false">IF(IsPro,IF($D1464="","",IF($F1464="",IFERROR(INDEX(Items!$G$5:$G$504,Q1464),0),$F1464)),"")</f>
        <v/>
      </c>
      <c r="K1464" s="61" t="str">
        <f aca="false">IF(IsPro,IF($D1464="","",ROUND(N($E1464)*J1464*(1-N($G1464)),2)),"")</f>
        <v/>
      </c>
      <c r="L1464" s="62" t="str">
        <f aca="false">IF(IsPro,IF($D1464="","",IFERROR(INDEX(Items!$F$5:$F$504,Q1464),0)),"")</f>
        <v/>
      </c>
      <c r="M1464" s="61" t="str">
        <f aca="false">IF(IsPro,IF($D1464="","",IF(AND(R1464&lt;&gt;"",INDEX(Parties!$E$5:$E$304,R1464)&lt;&gt;"",INDEX(Parties!$E$5:$E$304,R1464)&lt;&gt;HomeState),0,ROUND(K1464*L1464/2,2))),"")</f>
        <v/>
      </c>
      <c r="N1464" s="61" t="str">
        <f aca="false">IF(IsPro,IF($D1464="","",M1464),"")</f>
        <v/>
      </c>
      <c r="O1464" s="61" t="str">
        <f aca="false">IF(IsPro,IF($D1464="","",IF(AND(R1464&lt;&gt;"",INDEX(Parties!$E$5:$E$304,R1464)&lt;&gt;"",INDEX(Parties!$E$5:$E$304,R1464)&lt;&gt;HomeState),ROUND(K1464*L1464,2),0)),"")</f>
        <v/>
      </c>
      <c r="P1464" s="61" t="str">
        <f aca="false">IF(IsPro,IF($D1464="","",K1464+M1464+N1464+O1464),"")</f>
        <v/>
      </c>
      <c r="Q1464" s="60" t="str">
        <f aca="false">IF(IsPro,IF($D1464="","",IFERROR(MATCH($D1464,Items!$A$5:$A$504,0),"")),"")</f>
        <v/>
      </c>
      <c r="R1464" s="60" t="str">
        <f aca="false">IF(IsPro,IF($C1464="","",IFERROR(MATCH($C1464,Parties!$A$5:$A$304,0),"")),"")</f>
        <v/>
      </c>
      <c r="S1464" s="61" t="str">
        <f aca="false">IF(IsPro,IF($D1464="","",IF(OR($H1464="",$H1464="Credit"),0,P1464)),"")</f>
        <v/>
      </c>
    </row>
    <row r="1465" customFormat="false" ht="15" hidden="false" customHeight="false" outlineLevel="0" collapsed="false">
      <c r="A1465" s="55"/>
      <c r="B1465" s="56"/>
      <c r="C1465" s="56"/>
      <c r="D1465" s="56"/>
      <c r="E1465" s="57"/>
      <c r="F1465" s="58"/>
      <c r="G1465" s="59"/>
      <c r="H1465" s="56"/>
      <c r="I1465" s="60" t="str">
        <f aca="false">IF(IsPro,IF($D1465="","",IFERROR(INDEX(Items!$D$5:$D$504,Q1465),"")),IF($D1465="","","PRO PLAN"))</f>
        <v/>
      </c>
      <c r="J1465" s="61" t="str">
        <f aca="false">IF(IsPro,IF($D1465="","",IF($F1465="",IFERROR(INDEX(Items!$G$5:$G$504,Q1465),0),$F1465)),"")</f>
        <v/>
      </c>
      <c r="K1465" s="61" t="str">
        <f aca="false">IF(IsPro,IF($D1465="","",ROUND(N($E1465)*J1465*(1-N($G1465)),2)),"")</f>
        <v/>
      </c>
      <c r="L1465" s="62" t="str">
        <f aca="false">IF(IsPro,IF($D1465="","",IFERROR(INDEX(Items!$F$5:$F$504,Q1465),0)),"")</f>
        <v/>
      </c>
      <c r="M1465" s="61" t="str">
        <f aca="false">IF(IsPro,IF($D1465="","",IF(AND(R1465&lt;&gt;"",INDEX(Parties!$E$5:$E$304,R1465)&lt;&gt;"",INDEX(Parties!$E$5:$E$304,R1465)&lt;&gt;HomeState),0,ROUND(K1465*L1465/2,2))),"")</f>
        <v/>
      </c>
      <c r="N1465" s="61" t="str">
        <f aca="false">IF(IsPro,IF($D1465="","",M1465),"")</f>
        <v/>
      </c>
      <c r="O1465" s="61" t="str">
        <f aca="false">IF(IsPro,IF($D1465="","",IF(AND(R1465&lt;&gt;"",INDEX(Parties!$E$5:$E$304,R1465)&lt;&gt;"",INDEX(Parties!$E$5:$E$304,R1465)&lt;&gt;HomeState),ROUND(K1465*L1465,2),0)),"")</f>
        <v/>
      </c>
      <c r="P1465" s="61" t="str">
        <f aca="false">IF(IsPro,IF($D1465="","",K1465+M1465+N1465+O1465),"")</f>
        <v/>
      </c>
      <c r="Q1465" s="60" t="str">
        <f aca="false">IF(IsPro,IF($D1465="","",IFERROR(MATCH($D1465,Items!$A$5:$A$504,0),"")),"")</f>
        <v/>
      </c>
      <c r="R1465" s="60" t="str">
        <f aca="false">IF(IsPro,IF($C1465="","",IFERROR(MATCH($C1465,Parties!$A$5:$A$304,0),"")),"")</f>
        <v/>
      </c>
      <c r="S1465" s="61" t="str">
        <f aca="false">IF(IsPro,IF($D1465="","",IF(OR($H1465="",$H1465="Credit"),0,P1465)),"")</f>
        <v/>
      </c>
    </row>
    <row r="1466" customFormat="false" ht="15" hidden="false" customHeight="false" outlineLevel="0" collapsed="false">
      <c r="A1466" s="55"/>
      <c r="B1466" s="56"/>
      <c r="C1466" s="56"/>
      <c r="D1466" s="56"/>
      <c r="E1466" s="57"/>
      <c r="F1466" s="58"/>
      <c r="G1466" s="59"/>
      <c r="H1466" s="56"/>
      <c r="I1466" s="60" t="str">
        <f aca="false">IF(IsPro,IF($D1466="","",IFERROR(INDEX(Items!$D$5:$D$504,Q1466),"")),IF($D1466="","","PRO PLAN"))</f>
        <v/>
      </c>
      <c r="J1466" s="61" t="str">
        <f aca="false">IF(IsPro,IF($D1466="","",IF($F1466="",IFERROR(INDEX(Items!$G$5:$G$504,Q1466),0),$F1466)),"")</f>
        <v/>
      </c>
      <c r="K1466" s="61" t="str">
        <f aca="false">IF(IsPro,IF($D1466="","",ROUND(N($E1466)*J1466*(1-N($G1466)),2)),"")</f>
        <v/>
      </c>
      <c r="L1466" s="62" t="str">
        <f aca="false">IF(IsPro,IF($D1466="","",IFERROR(INDEX(Items!$F$5:$F$504,Q1466),0)),"")</f>
        <v/>
      </c>
      <c r="M1466" s="61" t="str">
        <f aca="false">IF(IsPro,IF($D1466="","",IF(AND(R1466&lt;&gt;"",INDEX(Parties!$E$5:$E$304,R1466)&lt;&gt;"",INDEX(Parties!$E$5:$E$304,R1466)&lt;&gt;HomeState),0,ROUND(K1466*L1466/2,2))),"")</f>
        <v/>
      </c>
      <c r="N1466" s="61" t="str">
        <f aca="false">IF(IsPro,IF($D1466="","",M1466),"")</f>
        <v/>
      </c>
      <c r="O1466" s="61" t="str">
        <f aca="false">IF(IsPro,IF($D1466="","",IF(AND(R1466&lt;&gt;"",INDEX(Parties!$E$5:$E$304,R1466)&lt;&gt;"",INDEX(Parties!$E$5:$E$304,R1466)&lt;&gt;HomeState),ROUND(K1466*L1466,2),0)),"")</f>
        <v/>
      </c>
      <c r="P1466" s="61" t="str">
        <f aca="false">IF(IsPro,IF($D1466="","",K1466+M1466+N1466+O1466),"")</f>
        <v/>
      </c>
      <c r="Q1466" s="60" t="str">
        <f aca="false">IF(IsPro,IF($D1466="","",IFERROR(MATCH($D1466,Items!$A$5:$A$504,0),"")),"")</f>
        <v/>
      </c>
      <c r="R1466" s="60" t="str">
        <f aca="false">IF(IsPro,IF($C1466="","",IFERROR(MATCH($C1466,Parties!$A$5:$A$304,0),"")),"")</f>
        <v/>
      </c>
      <c r="S1466" s="61" t="str">
        <f aca="false">IF(IsPro,IF($D1466="","",IF(OR($H1466="",$H1466="Credit"),0,P1466)),"")</f>
        <v/>
      </c>
    </row>
    <row r="1467" customFormat="false" ht="15" hidden="false" customHeight="false" outlineLevel="0" collapsed="false">
      <c r="A1467" s="55"/>
      <c r="B1467" s="56"/>
      <c r="C1467" s="56"/>
      <c r="D1467" s="56"/>
      <c r="E1467" s="57"/>
      <c r="F1467" s="58"/>
      <c r="G1467" s="59"/>
      <c r="H1467" s="56"/>
      <c r="I1467" s="60" t="str">
        <f aca="false">IF(IsPro,IF($D1467="","",IFERROR(INDEX(Items!$D$5:$D$504,Q1467),"")),IF($D1467="","","PRO PLAN"))</f>
        <v/>
      </c>
      <c r="J1467" s="61" t="str">
        <f aca="false">IF(IsPro,IF($D1467="","",IF($F1467="",IFERROR(INDEX(Items!$G$5:$G$504,Q1467),0),$F1467)),"")</f>
        <v/>
      </c>
      <c r="K1467" s="61" t="str">
        <f aca="false">IF(IsPro,IF($D1467="","",ROUND(N($E1467)*J1467*(1-N($G1467)),2)),"")</f>
        <v/>
      </c>
      <c r="L1467" s="62" t="str">
        <f aca="false">IF(IsPro,IF($D1467="","",IFERROR(INDEX(Items!$F$5:$F$504,Q1467),0)),"")</f>
        <v/>
      </c>
      <c r="M1467" s="61" t="str">
        <f aca="false">IF(IsPro,IF($D1467="","",IF(AND(R1467&lt;&gt;"",INDEX(Parties!$E$5:$E$304,R1467)&lt;&gt;"",INDEX(Parties!$E$5:$E$304,R1467)&lt;&gt;HomeState),0,ROUND(K1467*L1467/2,2))),"")</f>
        <v/>
      </c>
      <c r="N1467" s="61" t="str">
        <f aca="false">IF(IsPro,IF($D1467="","",M1467),"")</f>
        <v/>
      </c>
      <c r="O1467" s="61" t="str">
        <f aca="false">IF(IsPro,IF($D1467="","",IF(AND(R1467&lt;&gt;"",INDEX(Parties!$E$5:$E$304,R1467)&lt;&gt;"",INDEX(Parties!$E$5:$E$304,R1467)&lt;&gt;HomeState),ROUND(K1467*L1467,2),0)),"")</f>
        <v/>
      </c>
      <c r="P1467" s="61" t="str">
        <f aca="false">IF(IsPro,IF($D1467="","",K1467+M1467+N1467+O1467),"")</f>
        <v/>
      </c>
      <c r="Q1467" s="60" t="str">
        <f aca="false">IF(IsPro,IF($D1467="","",IFERROR(MATCH($D1467,Items!$A$5:$A$504,0),"")),"")</f>
        <v/>
      </c>
      <c r="R1467" s="60" t="str">
        <f aca="false">IF(IsPro,IF($C1467="","",IFERROR(MATCH($C1467,Parties!$A$5:$A$304,0),"")),"")</f>
        <v/>
      </c>
      <c r="S1467" s="61" t="str">
        <f aca="false">IF(IsPro,IF($D1467="","",IF(OR($H1467="",$H1467="Credit"),0,P1467)),"")</f>
        <v/>
      </c>
    </row>
    <row r="1468" customFormat="false" ht="15" hidden="false" customHeight="false" outlineLevel="0" collapsed="false">
      <c r="A1468" s="55"/>
      <c r="B1468" s="56"/>
      <c r="C1468" s="56"/>
      <c r="D1468" s="56"/>
      <c r="E1468" s="57"/>
      <c r="F1468" s="58"/>
      <c r="G1468" s="59"/>
      <c r="H1468" s="56"/>
      <c r="I1468" s="60" t="str">
        <f aca="false">IF(IsPro,IF($D1468="","",IFERROR(INDEX(Items!$D$5:$D$504,Q1468),"")),IF($D1468="","","PRO PLAN"))</f>
        <v/>
      </c>
      <c r="J1468" s="61" t="str">
        <f aca="false">IF(IsPro,IF($D1468="","",IF($F1468="",IFERROR(INDEX(Items!$G$5:$G$504,Q1468),0),$F1468)),"")</f>
        <v/>
      </c>
      <c r="K1468" s="61" t="str">
        <f aca="false">IF(IsPro,IF($D1468="","",ROUND(N($E1468)*J1468*(1-N($G1468)),2)),"")</f>
        <v/>
      </c>
      <c r="L1468" s="62" t="str">
        <f aca="false">IF(IsPro,IF($D1468="","",IFERROR(INDEX(Items!$F$5:$F$504,Q1468),0)),"")</f>
        <v/>
      </c>
      <c r="M1468" s="61" t="str">
        <f aca="false">IF(IsPro,IF($D1468="","",IF(AND(R1468&lt;&gt;"",INDEX(Parties!$E$5:$E$304,R1468)&lt;&gt;"",INDEX(Parties!$E$5:$E$304,R1468)&lt;&gt;HomeState),0,ROUND(K1468*L1468/2,2))),"")</f>
        <v/>
      </c>
      <c r="N1468" s="61" t="str">
        <f aca="false">IF(IsPro,IF($D1468="","",M1468),"")</f>
        <v/>
      </c>
      <c r="O1468" s="61" t="str">
        <f aca="false">IF(IsPro,IF($D1468="","",IF(AND(R1468&lt;&gt;"",INDEX(Parties!$E$5:$E$304,R1468)&lt;&gt;"",INDEX(Parties!$E$5:$E$304,R1468)&lt;&gt;HomeState),ROUND(K1468*L1468,2),0)),"")</f>
        <v/>
      </c>
      <c r="P1468" s="61" t="str">
        <f aca="false">IF(IsPro,IF($D1468="","",K1468+M1468+N1468+O1468),"")</f>
        <v/>
      </c>
      <c r="Q1468" s="60" t="str">
        <f aca="false">IF(IsPro,IF($D1468="","",IFERROR(MATCH($D1468,Items!$A$5:$A$504,0),"")),"")</f>
        <v/>
      </c>
      <c r="R1468" s="60" t="str">
        <f aca="false">IF(IsPro,IF($C1468="","",IFERROR(MATCH($C1468,Parties!$A$5:$A$304,0),"")),"")</f>
        <v/>
      </c>
      <c r="S1468" s="61" t="str">
        <f aca="false">IF(IsPro,IF($D1468="","",IF(OR($H1468="",$H1468="Credit"),0,P1468)),"")</f>
        <v/>
      </c>
    </row>
    <row r="1469" customFormat="false" ht="15" hidden="false" customHeight="false" outlineLevel="0" collapsed="false">
      <c r="A1469" s="55"/>
      <c r="B1469" s="56"/>
      <c r="C1469" s="56"/>
      <c r="D1469" s="56"/>
      <c r="E1469" s="57"/>
      <c r="F1469" s="58"/>
      <c r="G1469" s="59"/>
      <c r="H1469" s="56"/>
      <c r="I1469" s="60" t="str">
        <f aca="false">IF(IsPro,IF($D1469="","",IFERROR(INDEX(Items!$D$5:$D$504,Q1469),"")),IF($D1469="","","PRO PLAN"))</f>
        <v/>
      </c>
      <c r="J1469" s="61" t="str">
        <f aca="false">IF(IsPro,IF($D1469="","",IF($F1469="",IFERROR(INDEX(Items!$G$5:$G$504,Q1469),0),$F1469)),"")</f>
        <v/>
      </c>
      <c r="K1469" s="61" t="str">
        <f aca="false">IF(IsPro,IF($D1469="","",ROUND(N($E1469)*J1469*(1-N($G1469)),2)),"")</f>
        <v/>
      </c>
      <c r="L1469" s="62" t="str">
        <f aca="false">IF(IsPro,IF($D1469="","",IFERROR(INDEX(Items!$F$5:$F$504,Q1469),0)),"")</f>
        <v/>
      </c>
      <c r="M1469" s="61" t="str">
        <f aca="false">IF(IsPro,IF($D1469="","",IF(AND(R1469&lt;&gt;"",INDEX(Parties!$E$5:$E$304,R1469)&lt;&gt;"",INDEX(Parties!$E$5:$E$304,R1469)&lt;&gt;HomeState),0,ROUND(K1469*L1469/2,2))),"")</f>
        <v/>
      </c>
      <c r="N1469" s="61" t="str">
        <f aca="false">IF(IsPro,IF($D1469="","",M1469),"")</f>
        <v/>
      </c>
      <c r="O1469" s="61" t="str">
        <f aca="false">IF(IsPro,IF($D1469="","",IF(AND(R1469&lt;&gt;"",INDEX(Parties!$E$5:$E$304,R1469)&lt;&gt;"",INDEX(Parties!$E$5:$E$304,R1469)&lt;&gt;HomeState),ROUND(K1469*L1469,2),0)),"")</f>
        <v/>
      </c>
      <c r="P1469" s="61" t="str">
        <f aca="false">IF(IsPro,IF($D1469="","",K1469+M1469+N1469+O1469),"")</f>
        <v/>
      </c>
      <c r="Q1469" s="60" t="str">
        <f aca="false">IF(IsPro,IF($D1469="","",IFERROR(MATCH($D1469,Items!$A$5:$A$504,0),"")),"")</f>
        <v/>
      </c>
      <c r="R1469" s="60" t="str">
        <f aca="false">IF(IsPro,IF($C1469="","",IFERROR(MATCH($C1469,Parties!$A$5:$A$304,0),"")),"")</f>
        <v/>
      </c>
      <c r="S1469" s="61" t="str">
        <f aca="false">IF(IsPro,IF($D1469="","",IF(OR($H1469="",$H1469="Credit"),0,P1469)),"")</f>
        <v/>
      </c>
    </row>
    <row r="1470" customFormat="false" ht="15" hidden="false" customHeight="false" outlineLevel="0" collapsed="false">
      <c r="A1470" s="55"/>
      <c r="B1470" s="56"/>
      <c r="C1470" s="56"/>
      <c r="D1470" s="56"/>
      <c r="E1470" s="57"/>
      <c r="F1470" s="58"/>
      <c r="G1470" s="59"/>
      <c r="H1470" s="56"/>
      <c r="I1470" s="60" t="str">
        <f aca="false">IF(IsPro,IF($D1470="","",IFERROR(INDEX(Items!$D$5:$D$504,Q1470),"")),IF($D1470="","","PRO PLAN"))</f>
        <v/>
      </c>
      <c r="J1470" s="61" t="str">
        <f aca="false">IF(IsPro,IF($D1470="","",IF($F1470="",IFERROR(INDEX(Items!$G$5:$G$504,Q1470),0),$F1470)),"")</f>
        <v/>
      </c>
      <c r="K1470" s="61" t="str">
        <f aca="false">IF(IsPro,IF($D1470="","",ROUND(N($E1470)*J1470*(1-N($G1470)),2)),"")</f>
        <v/>
      </c>
      <c r="L1470" s="62" t="str">
        <f aca="false">IF(IsPro,IF($D1470="","",IFERROR(INDEX(Items!$F$5:$F$504,Q1470),0)),"")</f>
        <v/>
      </c>
      <c r="M1470" s="61" t="str">
        <f aca="false">IF(IsPro,IF($D1470="","",IF(AND(R1470&lt;&gt;"",INDEX(Parties!$E$5:$E$304,R1470)&lt;&gt;"",INDEX(Parties!$E$5:$E$304,R1470)&lt;&gt;HomeState),0,ROUND(K1470*L1470/2,2))),"")</f>
        <v/>
      </c>
      <c r="N1470" s="61" t="str">
        <f aca="false">IF(IsPro,IF($D1470="","",M1470),"")</f>
        <v/>
      </c>
      <c r="O1470" s="61" t="str">
        <f aca="false">IF(IsPro,IF($D1470="","",IF(AND(R1470&lt;&gt;"",INDEX(Parties!$E$5:$E$304,R1470)&lt;&gt;"",INDEX(Parties!$E$5:$E$304,R1470)&lt;&gt;HomeState),ROUND(K1470*L1470,2),0)),"")</f>
        <v/>
      </c>
      <c r="P1470" s="61" t="str">
        <f aca="false">IF(IsPro,IF($D1470="","",K1470+M1470+N1470+O1470),"")</f>
        <v/>
      </c>
      <c r="Q1470" s="60" t="str">
        <f aca="false">IF(IsPro,IF($D1470="","",IFERROR(MATCH($D1470,Items!$A$5:$A$504,0),"")),"")</f>
        <v/>
      </c>
      <c r="R1470" s="60" t="str">
        <f aca="false">IF(IsPro,IF($C1470="","",IFERROR(MATCH($C1470,Parties!$A$5:$A$304,0),"")),"")</f>
        <v/>
      </c>
      <c r="S1470" s="61" t="str">
        <f aca="false">IF(IsPro,IF($D1470="","",IF(OR($H1470="",$H1470="Credit"),0,P1470)),"")</f>
        <v/>
      </c>
    </row>
    <row r="1471" customFormat="false" ht="15" hidden="false" customHeight="false" outlineLevel="0" collapsed="false">
      <c r="A1471" s="55"/>
      <c r="B1471" s="56"/>
      <c r="C1471" s="56"/>
      <c r="D1471" s="56"/>
      <c r="E1471" s="57"/>
      <c r="F1471" s="58"/>
      <c r="G1471" s="59"/>
      <c r="H1471" s="56"/>
      <c r="I1471" s="60" t="str">
        <f aca="false">IF(IsPro,IF($D1471="","",IFERROR(INDEX(Items!$D$5:$D$504,Q1471),"")),IF($D1471="","","PRO PLAN"))</f>
        <v/>
      </c>
      <c r="J1471" s="61" t="str">
        <f aca="false">IF(IsPro,IF($D1471="","",IF($F1471="",IFERROR(INDEX(Items!$G$5:$G$504,Q1471),0),$F1471)),"")</f>
        <v/>
      </c>
      <c r="K1471" s="61" t="str">
        <f aca="false">IF(IsPro,IF($D1471="","",ROUND(N($E1471)*J1471*(1-N($G1471)),2)),"")</f>
        <v/>
      </c>
      <c r="L1471" s="62" t="str">
        <f aca="false">IF(IsPro,IF($D1471="","",IFERROR(INDEX(Items!$F$5:$F$504,Q1471),0)),"")</f>
        <v/>
      </c>
      <c r="M1471" s="61" t="str">
        <f aca="false">IF(IsPro,IF($D1471="","",IF(AND(R1471&lt;&gt;"",INDEX(Parties!$E$5:$E$304,R1471)&lt;&gt;"",INDEX(Parties!$E$5:$E$304,R1471)&lt;&gt;HomeState),0,ROUND(K1471*L1471/2,2))),"")</f>
        <v/>
      </c>
      <c r="N1471" s="61" t="str">
        <f aca="false">IF(IsPro,IF($D1471="","",M1471),"")</f>
        <v/>
      </c>
      <c r="O1471" s="61" t="str">
        <f aca="false">IF(IsPro,IF($D1471="","",IF(AND(R1471&lt;&gt;"",INDEX(Parties!$E$5:$E$304,R1471)&lt;&gt;"",INDEX(Parties!$E$5:$E$304,R1471)&lt;&gt;HomeState),ROUND(K1471*L1471,2),0)),"")</f>
        <v/>
      </c>
      <c r="P1471" s="61" t="str">
        <f aca="false">IF(IsPro,IF($D1471="","",K1471+M1471+N1471+O1471),"")</f>
        <v/>
      </c>
      <c r="Q1471" s="60" t="str">
        <f aca="false">IF(IsPro,IF($D1471="","",IFERROR(MATCH($D1471,Items!$A$5:$A$504,0),"")),"")</f>
        <v/>
      </c>
      <c r="R1471" s="60" t="str">
        <f aca="false">IF(IsPro,IF($C1471="","",IFERROR(MATCH($C1471,Parties!$A$5:$A$304,0),"")),"")</f>
        <v/>
      </c>
      <c r="S1471" s="61" t="str">
        <f aca="false">IF(IsPro,IF($D1471="","",IF(OR($H1471="",$H1471="Credit"),0,P1471)),"")</f>
        <v/>
      </c>
    </row>
    <row r="1472" customFormat="false" ht="15" hidden="false" customHeight="false" outlineLevel="0" collapsed="false">
      <c r="A1472" s="55"/>
      <c r="B1472" s="56"/>
      <c r="C1472" s="56"/>
      <c r="D1472" s="56"/>
      <c r="E1472" s="57"/>
      <c r="F1472" s="58"/>
      <c r="G1472" s="59"/>
      <c r="H1472" s="56"/>
      <c r="I1472" s="60" t="str">
        <f aca="false">IF(IsPro,IF($D1472="","",IFERROR(INDEX(Items!$D$5:$D$504,Q1472),"")),IF($D1472="","","PRO PLAN"))</f>
        <v/>
      </c>
      <c r="J1472" s="61" t="str">
        <f aca="false">IF(IsPro,IF($D1472="","",IF($F1472="",IFERROR(INDEX(Items!$G$5:$G$504,Q1472),0),$F1472)),"")</f>
        <v/>
      </c>
      <c r="K1472" s="61" t="str">
        <f aca="false">IF(IsPro,IF($D1472="","",ROUND(N($E1472)*J1472*(1-N($G1472)),2)),"")</f>
        <v/>
      </c>
      <c r="L1472" s="62" t="str">
        <f aca="false">IF(IsPro,IF($D1472="","",IFERROR(INDEX(Items!$F$5:$F$504,Q1472),0)),"")</f>
        <v/>
      </c>
      <c r="M1472" s="61" t="str">
        <f aca="false">IF(IsPro,IF($D1472="","",IF(AND(R1472&lt;&gt;"",INDEX(Parties!$E$5:$E$304,R1472)&lt;&gt;"",INDEX(Parties!$E$5:$E$304,R1472)&lt;&gt;HomeState),0,ROUND(K1472*L1472/2,2))),"")</f>
        <v/>
      </c>
      <c r="N1472" s="61" t="str">
        <f aca="false">IF(IsPro,IF($D1472="","",M1472),"")</f>
        <v/>
      </c>
      <c r="O1472" s="61" t="str">
        <f aca="false">IF(IsPro,IF($D1472="","",IF(AND(R1472&lt;&gt;"",INDEX(Parties!$E$5:$E$304,R1472)&lt;&gt;"",INDEX(Parties!$E$5:$E$304,R1472)&lt;&gt;HomeState),ROUND(K1472*L1472,2),0)),"")</f>
        <v/>
      </c>
      <c r="P1472" s="61" t="str">
        <f aca="false">IF(IsPro,IF($D1472="","",K1472+M1472+N1472+O1472),"")</f>
        <v/>
      </c>
      <c r="Q1472" s="60" t="str">
        <f aca="false">IF(IsPro,IF($D1472="","",IFERROR(MATCH($D1472,Items!$A$5:$A$504,0),"")),"")</f>
        <v/>
      </c>
      <c r="R1472" s="60" t="str">
        <f aca="false">IF(IsPro,IF($C1472="","",IFERROR(MATCH($C1472,Parties!$A$5:$A$304,0),"")),"")</f>
        <v/>
      </c>
      <c r="S1472" s="61" t="str">
        <f aca="false">IF(IsPro,IF($D1472="","",IF(OR($H1472="",$H1472="Credit"),0,P1472)),"")</f>
        <v/>
      </c>
    </row>
    <row r="1473" customFormat="false" ht="15" hidden="false" customHeight="false" outlineLevel="0" collapsed="false">
      <c r="A1473" s="55"/>
      <c r="B1473" s="56"/>
      <c r="C1473" s="56"/>
      <c r="D1473" s="56"/>
      <c r="E1473" s="57"/>
      <c r="F1473" s="58"/>
      <c r="G1473" s="59"/>
      <c r="H1473" s="56"/>
      <c r="I1473" s="60" t="str">
        <f aca="false">IF(IsPro,IF($D1473="","",IFERROR(INDEX(Items!$D$5:$D$504,Q1473),"")),IF($D1473="","","PRO PLAN"))</f>
        <v/>
      </c>
      <c r="J1473" s="61" t="str">
        <f aca="false">IF(IsPro,IF($D1473="","",IF($F1473="",IFERROR(INDEX(Items!$G$5:$G$504,Q1473),0),$F1473)),"")</f>
        <v/>
      </c>
      <c r="K1473" s="61" t="str">
        <f aca="false">IF(IsPro,IF($D1473="","",ROUND(N($E1473)*J1473*(1-N($G1473)),2)),"")</f>
        <v/>
      </c>
      <c r="L1473" s="62" t="str">
        <f aca="false">IF(IsPro,IF($D1473="","",IFERROR(INDEX(Items!$F$5:$F$504,Q1473),0)),"")</f>
        <v/>
      </c>
      <c r="M1473" s="61" t="str">
        <f aca="false">IF(IsPro,IF($D1473="","",IF(AND(R1473&lt;&gt;"",INDEX(Parties!$E$5:$E$304,R1473)&lt;&gt;"",INDEX(Parties!$E$5:$E$304,R1473)&lt;&gt;HomeState),0,ROUND(K1473*L1473/2,2))),"")</f>
        <v/>
      </c>
      <c r="N1473" s="61" t="str">
        <f aca="false">IF(IsPro,IF($D1473="","",M1473),"")</f>
        <v/>
      </c>
      <c r="O1473" s="61" t="str">
        <f aca="false">IF(IsPro,IF($D1473="","",IF(AND(R1473&lt;&gt;"",INDEX(Parties!$E$5:$E$304,R1473)&lt;&gt;"",INDEX(Parties!$E$5:$E$304,R1473)&lt;&gt;HomeState),ROUND(K1473*L1473,2),0)),"")</f>
        <v/>
      </c>
      <c r="P1473" s="61" t="str">
        <f aca="false">IF(IsPro,IF($D1473="","",K1473+M1473+N1473+O1473),"")</f>
        <v/>
      </c>
      <c r="Q1473" s="60" t="str">
        <f aca="false">IF(IsPro,IF($D1473="","",IFERROR(MATCH($D1473,Items!$A$5:$A$504,0),"")),"")</f>
        <v/>
      </c>
      <c r="R1473" s="60" t="str">
        <f aca="false">IF(IsPro,IF($C1473="","",IFERROR(MATCH($C1473,Parties!$A$5:$A$304,0),"")),"")</f>
        <v/>
      </c>
      <c r="S1473" s="61" t="str">
        <f aca="false">IF(IsPro,IF($D1473="","",IF(OR($H1473="",$H1473="Credit"),0,P1473)),"")</f>
        <v/>
      </c>
    </row>
    <row r="1474" customFormat="false" ht="15" hidden="false" customHeight="false" outlineLevel="0" collapsed="false">
      <c r="A1474" s="55"/>
      <c r="B1474" s="56"/>
      <c r="C1474" s="56"/>
      <c r="D1474" s="56"/>
      <c r="E1474" s="57"/>
      <c r="F1474" s="58"/>
      <c r="G1474" s="59"/>
      <c r="H1474" s="56"/>
      <c r="I1474" s="60" t="str">
        <f aca="false">IF(IsPro,IF($D1474="","",IFERROR(INDEX(Items!$D$5:$D$504,Q1474),"")),IF($D1474="","","PRO PLAN"))</f>
        <v/>
      </c>
      <c r="J1474" s="61" t="str">
        <f aca="false">IF(IsPro,IF($D1474="","",IF($F1474="",IFERROR(INDEX(Items!$G$5:$G$504,Q1474),0),$F1474)),"")</f>
        <v/>
      </c>
      <c r="K1474" s="61" t="str">
        <f aca="false">IF(IsPro,IF($D1474="","",ROUND(N($E1474)*J1474*(1-N($G1474)),2)),"")</f>
        <v/>
      </c>
      <c r="L1474" s="62" t="str">
        <f aca="false">IF(IsPro,IF($D1474="","",IFERROR(INDEX(Items!$F$5:$F$504,Q1474),0)),"")</f>
        <v/>
      </c>
      <c r="M1474" s="61" t="str">
        <f aca="false">IF(IsPro,IF($D1474="","",IF(AND(R1474&lt;&gt;"",INDEX(Parties!$E$5:$E$304,R1474)&lt;&gt;"",INDEX(Parties!$E$5:$E$304,R1474)&lt;&gt;HomeState),0,ROUND(K1474*L1474/2,2))),"")</f>
        <v/>
      </c>
      <c r="N1474" s="61" t="str">
        <f aca="false">IF(IsPro,IF($D1474="","",M1474),"")</f>
        <v/>
      </c>
      <c r="O1474" s="61" t="str">
        <f aca="false">IF(IsPro,IF($D1474="","",IF(AND(R1474&lt;&gt;"",INDEX(Parties!$E$5:$E$304,R1474)&lt;&gt;"",INDEX(Parties!$E$5:$E$304,R1474)&lt;&gt;HomeState),ROUND(K1474*L1474,2),0)),"")</f>
        <v/>
      </c>
      <c r="P1474" s="61" t="str">
        <f aca="false">IF(IsPro,IF($D1474="","",K1474+M1474+N1474+O1474),"")</f>
        <v/>
      </c>
      <c r="Q1474" s="60" t="str">
        <f aca="false">IF(IsPro,IF($D1474="","",IFERROR(MATCH($D1474,Items!$A$5:$A$504,0),"")),"")</f>
        <v/>
      </c>
      <c r="R1474" s="60" t="str">
        <f aca="false">IF(IsPro,IF($C1474="","",IFERROR(MATCH($C1474,Parties!$A$5:$A$304,0),"")),"")</f>
        <v/>
      </c>
      <c r="S1474" s="61" t="str">
        <f aca="false">IF(IsPro,IF($D1474="","",IF(OR($H1474="",$H1474="Credit"),0,P1474)),"")</f>
        <v/>
      </c>
    </row>
    <row r="1475" customFormat="false" ht="15" hidden="false" customHeight="false" outlineLevel="0" collapsed="false">
      <c r="A1475" s="55"/>
      <c r="B1475" s="56"/>
      <c r="C1475" s="56"/>
      <c r="D1475" s="56"/>
      <c r="E1475" s="57"/>
      <c r="F1475" s="58"/>
      <c r="G1475" s="59"/>
      <c r="H1475" s="56"/>
      <c r="I1475" s="60" t="str">
        <f aca="false">IF(IsPro,IF($D1475="","",IFERROR(INDEX(Items!$D$5:$D$504,Q1475),"")),IF($D1475="","","PRO PLAN"))</f>
        <v/>
      </c>
      <c r="J1475" s="61" t="str">
        <f aca="false">IF(IsPro,IF($D1475="","",IF($F1475="",IFERROR(INDEX(Items!$G$5:$G$504,Q1475),0),$F1475)),"")</f>
        <v/>
      </c>
      <c r="K1475" s="61" t="str">
        <f aca="false">IF(IsPro,IF($D1475="","",ROUND(N($E1475)*J1475*(1-N($G1475)),2)),"")</f>
        <v/>
      </c>
      <c r="L1475" s="62" t="str">
        <f aca="false">IF(IsPro,IF($D1475="","",IFERROR(INDEX(Items!$F$5:$F$504,Q1475),0)),"")</f>
        <v/>
      </c>
      <c r="M1475" s="61" t="str">
        <f aca="false">IF(IsPro,IF($D1475="","",IF(AND(R1475&lt;&gt;"",INDEX(Parties!$E$5:$E$304,R1475)&lt;&gt;"",INDEX(Parties!$E$5:$E$304,R1475)&lt;&gt;HomeState),0,ROUND(K1475*L1475/2,2))),"")</f>
        <v/>
      </c>
      <c r="N1475" s="61" t="str">
        <f aca="false">IF(IsPro,IF($D1475="","",M1475),"")</f>
        <v/>
      </c>
      <c r="O1475" s="61" t="str">
        <f aca="false">IF(IsPro,IF($D1475="","",IF(AND(R1475&lt;&gt;"",INDEX(Parties!$E$5:$E$304,R1475)&lt;&gt;"",INDEX(Parties!$E$5:$E$304,R1475)&lt;&gt;HomeState),ROUND(K1475*L1475,2),0)),"")</f>
        <v/>
      </c>
      <c r="P1475" s="61" t="str">
        <f aca="false">IF(IsPro,IF($D1475="","",K1475+M1475+N1475+O1475),"")</f>
        <v/>
      </c>
      <c r="Q1475" s="60" t="str">
        <f aca="false">IF(IsPro,IF($D1475="","",IFERROR(MATCH($D1475,Items!$A$5:$A$504,0),"")),"")</f>
        <v/>
      </c>
      <c r="R1475" s="60" t="str">
        <f aca="false">IF(IsPro,IF($C1475="","",IFERROR(MATCH($C1475,Parties!$A$5:$A$304,0),"")),"")</f>
        <v/>
      </c>
      <c r="S1475" s="61" t="str">
        <f aca="false">IF(IsPro,IF($D1475="","",IF(OR($H1475="",$H1475="Credit"),0,P1475)),"")</f>
        <v/>
      </c>
    </row>
    <row r="1476" customFormat="false" ht="15" hidden="false" customHeight="false" outlineLevel="0" collapsed="false">
      <c r="A1476" s="55"/>
      <c r="B1476" s="56"/>
      <c r="C1476" s="56"/>
      <c r="D1476" s="56"/>
      <c r="E1476" s="57"/>
      <c r="F1476" s="58"/>
      <c r="G1476" s="59"/>
      <c r="H1476" s="56"/>
      <c r="I1476" s="60" t="str">
        <f aca="false">IF(IsPro,IF($D1476="","",IFERROR(INDEX(Items!$D$5:$D$504,Q1476),"")),IF($D1476="","","PRO PLAN"))</f>
        <v/>
      </c>
      <c r="J1476" s="61" t="str">
        <f aca="false">IF(IsPro,IF($D1476="","",IF($F1476="",IFERROR(INDEX(Items!$G$5:$G$504,Q1476),0),$F1476)),"")</f>
        <v/>
      </c>
      <c r="K1476" s="61" t="str">
        <f aca="false">IF(IsPro,IF($D1476="","",ROUND(N($E1476)*J1476*(1-N($G1476)),2)),"")</f>
        <v/>
      </c>
      <c r="L1476" s="62" t="str">
        <f aca="false">IF(IsPro,IF($D1476="","",IFERROR(INDEX(Items!$F$5:$F$504,Q1476),0)),"")</f>
        <v/>
      </c>
      <c r="M1476" s="61" t="str">
        <f aca="false">IF(IsPro,IF($D1476="","",IF(AND(R1476&lt;&gt;"",INDEX(Parties!$E$5:$E$304,R1476)&lt;&gt;"",INDEX(Parties!$E$5:$E$304,R1476)&lt;&gt;HomeState),0,ROUND(K1476*L1476/2,2))),"")</f>
        <v/>
      </c>
      <c r="N1476" s="61" t="str">
        <f aca="false">IF(IsPro,IF($D1476="","",M1476),"")</f>
        <v/>
      </c>
      <c r="O1476" s="61" t="str">
        <f aca="false">IF(IsPro,IF($D1476="","",IF(AND(R1476&lt;&gt;"",INDEX(Parties!$E$5:$E$304,R1476)&lt;&gt;"",INDEX(Parties!$E$5:$E$304,R1476)&lt;&gt;HomeState),ROUND(K1476*L1476,2),0)),"")</f>
        <v/>
      </c>
      <c r="P1476" s="61" t="str">
        <f aca="false">IF(IsPro,IF($D1476="","",K1476+M1476+N1476+O1476),"")</f>
        <v/>
      </c>
      <c r="Q1476" s="60" t="str">
        <f aca="false">IF(IsPro,IF($D1476="","",IFERROR(MATCH($D1476,Items!$A$5:$A$504,0),"")),"")</f>
        <v/>
      </c>
      <c r="R1476" s="60" t="str">
        <f aca="false">IF(IsPro,IF($C1476="","",IFERROR(MATCH($C1476,Parties!$A$5:$A$304,0),"")),"")</f>
        <v/>
      </c>
      <c r="S1476" s="61" t="str">
        <f aca="false">IF(IsPro,IF($D1476="","",IF(OR($H1476="",$H1476="Credit"),0,P1476)),"")</f>
        <v/>
      </c>
    </row>
    <row r="1477" customFormat="false" ht="15" hidden="false" customHeight="false" outlineLevel="0" collapsed="false">
      <c r="A1477" s="55"/>
      <c r="B1477" s="56"/>
      <c r="C1477" s="56"/>
      <c r="D1477" s="56"/>
      <c r="E1477" s="57"/>
      <c r="F1477" s="58"/>
      <c r="G1477" s="59"/>
      <c r="H1477" s="56"/>
      <c r="I1477" s="60" t="str">
        <f aca="false">IF(IsPro,IF($D1477="","",IFERROR(INDEX(Items!$D$5:$D$504,Q1477),"")),IF($D1477="","","PRO PLAN"))</f>
        <v/>
      </c>
      <c r="J1477" s="61" t="str">
        <f aca="false">IF(IsPro,IF($D1477="","",IF($F1477="",IFERROR(INDEX(Items!$G$5:$G$504,Q1477),0),$F1477)),"")</f>
        <v/>
      </c>
      <c r="K1477" s="61" t="str">
        <f aca="false">IF(IsPro,IF($D1477="","",ROUND(N($E1477)*J1477*(1-N($G1477)),2)),"")</f>
        <v/>
      </c>
      <c r="L1477" s="62" t="str">
        <f aca="false">IF(IsPro,IF($D1477="","",IFERROR(INDEX(Items!$F$5:$F$504,Q1477),0)),"")</f>
        <v/>
      </c>
      <c r="M1477" s="61" t="str">
        <f aca="false">IF(IsPro,IF($D1477="","",IF(AND(R1477&lt;&gt;"",INDEX(Parties!$E$5:$E$304,R1477)&lt;&gt;"",INDEX(Parties!$E$5:$E$304,R1477)&lt;&gt;HomeState),0,ROUND(K1477*L1477/2,2))),"")</f>
        <v/>
      </c>
      <c r="N1477" s="61" t="str">
        <f aca="false">IF(IsPro,IF($D1477="","",M1477),"")</f>
        <v/>
      </c>
      <c r="O1477" s="61" t="str">
        <f aca="false">IF(IsPro,IF($D1477="","",IF(AND(R1477&lt;&gt;"",INDEX(Parties!$E$5:$E$304,R1477)&lt;&gt;"",INDEX(Parties!$E$5:$E$304,R1477)&lt;&gt;HomeState),ROUND(K1477*L1477,2),0)),"")</f>
        <v/>
      </c>
      <c r="P1477" s="61" t="str">
        <f aca="false">IF(IsPro,IF($D1477="","",K1477+M1477+N1477+O1477),"")</f>
        <v/>
      </c>
      <c r="Q1477" s="60" t="str">
        <f aca="false">IF(IsPro,IF($D1477="","",IFERROR(MATCH($D1477,Items!$A$5:$A$504,0),"")),"")</f>
        <v/>
      </c>
      <c r="R1477" s="60" t="str">
        <f aca="false">IF(IsPro,IF($C1477="","",IFERROR(MATCH($C1477,Parties!$A$5:$A$304,0),"")),"")</f>
        <v/>
      </c>
      <c r="S1477" s="61" t="str">
        <f aca="false">IF(IsPro,IF($D1477="","",IF(OR($H1477="",$H1477="Credit"),0,P1477)),"")</f>
        <v/>
      </c>
    </row>
    <row r="1478" customFormat="false" ht="15" hidden="false" customHeight="false" outlineLevel="0" collapsed="false">
      <c r="A1478" s="55"/>
      <c r="B1478" s="56"/>
      <c r="C1478" s="56"/>
      <c r="D1478" s="56"/>
      <c r="E1478" s="57"/>
      <c r="F1478" s="58"/>
      <c r="G1478" s="59"/>
      <c r="H1478" s="56"/>
      <c r="I1478" s="60" t="str">
        <f aca="false">IF(IsPro,IF($D1478="","",IFERROR(INDEX(Items!$D$5:$D$504,Q1478),"")),IF($D1478="","","PRO PLAN"))</f>
        <v/>
      </c>
      <c r="J1478" s="61" t="str">
        <f aca="false">IF(IsPro,IF($D1478="","",IF($F1478="",IFERROR(INDEX(Items!$G$5:$G$504,Q1478),0),$F1478)),"")</f>
        <v/>
      </c>
      <c r="K1478" s="61" t="str">
        <f aca="false">IF(IsPro,IF($D1478="","",ROUND(N($E1478)*J1478*(1-N($G1478)),2)),"")</f>
        <v/>
      </c>
      <c r="L1478" s="62" t="str">
        <f aca="false">IF(IsPro,IF($D1478="","",IFERROR(INDEX(Items!$F$5:$F$504,Q1478),0)),"")</f>
        <v/>
      </c>
      <c r="M1478" s="61" t="str">
        <f aca="false">IF(IsPro,IF($D1478="","",IF(AND(R1478&lt;&gt;"",INDEX(Parties!$E$5:$E$304,R1478)&lt;&gt;"",INDEX(Parties!$E$5:$E$304,R1478)&lt;&gt;HomeState),0,ROUND(K1478*L1478/2,2))),"")</f>
        <v/>
      </c>
      <c r="N1478" s="61" t="str">
        <f aca="false">IF(IsPro,IF($D1478="","",M1478),"")</f>
        <v/>
      </c>
      <c r="O1478" s="61" t="str">
        <f aca="false">IF(IsPro,IF($D1478="","",IF(AND(R1478&lt;&gt;"",INDEX(Parties!$E$5:$E$304,R1478)&lt;&gt;"",INDEX(Parties!$E$5:$E$304,R1478)&lt;&gt;HomeState),ROUND(K1478*L1478,2),0)),"")</f>
        <v/>
      </c>
      <c r="P1478" s="61" t="str">
        <f aca="false">IF(IsPro,IF($D1478="","",K1478+M1478+N1478+O1478),"")</f>
        <v/>
      </c>
      <c r="Q1478" s="60" t="str">
        <f aca="false">IF(IsPro,IF($D1478="","",IFERROR(MATCH($D1478,Items!$A$5:$A$504,0),"")),"")</f>
        <v/>
      </c>
      <c r="R1478" s="60" t="str">
        <f aca="false">IF(IsPro,IF($C1478="","",IFERROR(MATCH($C1478,Parties!$A$5:$A$304,0),"")),"")</f>
        <v/>
      </c>
      <c r="S1478" s="61" t="str">
        <f aca="false">IF(IsPro,IF($D1478="","",IF(OR($H1478="",$H1478="Credit"),0,P1478)),"")</f>
        <v/>
      </c>
    </row>
    <row r="1479" customFormat="false" ht="15" hidden="false" customHeight="false" outlineLevel="0" collapsed="false">
      <c r="A1479" s="55"/>
      <c r="B1479" s="56"/>
      <c r="C1479" s="56"/>
      <c r="D1479" s="56"/>
      <c r="E1479" s="57"/>
      <c r="F1479" s="58"/>
      <c r="G1479" s="59"/>
      <c r="H1479" s="56"/>
      <c r="I1479" s="60" t="str">
        <f aca="false">IF(IsPro,IF($D1479="","",IFERROR(INDEX(Items!$D$5:$D$504,Q1479),"")),IF($D1479="","","PRO PLAN"))</f>
        <v/>
      </c>
      <c r="J1479" s="61" t="str">
        <f aca="false">IF(IsPro,IF($D1479="","",IF($F1479="",IFERROR(INDEX(Items!$G$5:$G$504,Q1479),0),$F1479)),"")</f>
        <v/>
      </c>
      <c r="K1479" s="61" t="str">
        <f aca="false">IF(IsPro,IF($D1479="","",ROUND(N($E1479)*J1479*(1-N($G1479)),2)),"")</f>
        <v/>
      </c>
      <c r="L1479" s="62" t="str">
        <f aca="false">IF(IsPro,IF($D1479="","",IFERROR(INDEX(Items!$F$5:$F$504,Q1479),0)),"")</f>
        <v/>
      </c>
      <c r="M1479" s="61" t="str">
        <f aca="false">IF(IsPro,IF($D1479="","",IF(AND(R1479&lt;&gt;"",INDEX(Parties!$E$5:$E$304,R1479)&lt;&gt;"",INDEX(Parties!$E$5:$E$304,R1479)&lt;&gt;HomeState),0,ROUND(K1479*L1479/2,2))),"")</f>
        <v/>
      </c>
      <c r="N1479" s="61" t="str">
        <f aca="false">IF(IsPro,IF($D1479="","",M1479),"")</f>
        <v/>
      </c>
      <c r="O1479" s="61" t="str">
        <f aca="false">IF(IsPro,IF($D1479="","",IF(AND(R1479&lt;&gt;"",INDEX(Parties!$E$5:$E$304,R1479)&lt;&gt;"",INDEX(Parties!$E$5:$E$304,R1479)&lt;&gt;HomeState),ROUND(K1479*L1479,2),0)),"")</f>
        <v/>
      </c>
      <c r="P1479" s="61" t="str">
        <f aca="false">IF(IsPro,IF($D1479="","",K1479+M1479+N1479+O1479),"")</f>
        <v/>
      </c>
      <c r="Q1479" s="60" t="str">
        <f aca="false">IF(IsPro,IF($D1479="","",IFERROR(MATCH($D1479,Items!$A$5:$A$504,0),"")),"")</f>
        <v/>
      </c>
      <c r="R1479" s="60" t="str">
        <f aca="false">IF(IsPro,IF($C1479="","",IFERROR(MATCH($C1479,Parties!$A$5:$A$304,0),"")),"")</f>
        <v/>
      </c>
      <c r="S1479" s="61" t="str">
        <f aca="false">IF(IsPro,IF($D1479="","",IF(OR($H1479="",$H1479="Credit"),0,P1479)),"")</f>
        <v/>
      </c>
    </row>
    <row r="1480" customFormat="false" ht="15" hidden="false" customHeight="false" outlineLevel="0" collapsed="false">
      <c r="A1480" s="55"/>
      <c r="B1480" s="56"/>
      <c r="C1480" s="56"/>
      <c r="D1480" s="56"/>
      <c r="E1480" s="57"/>
      <c r="F1480" s="58"/>
      <c r="G1480" s="59"/>
      <c r="H1480" s="56"/>
      <c r="I1480" s="60" t="str">
        <f aca="false">IF(IsPro,IF($D1480="","",IFERROR(INDEX(Items!$D$5:$D$504,Q1480),"")),IF($D1480="","","PRO PLAN"))</f>
        <v/>
      </c>
      <c r="J1480" s="61" t="str">
        <f aca="false">IF(IsPro,IF($D1480="","",IF($F1480="",IFERROR(INDEX(Items!$G$5:$G$504,Q1480),0),$F1480)),"")</f>
        <v/>
      </c>
      <c r="K1480" s="61" t="str">
        <f aca="false">IF(IsPro,IF($D1480="","",ROUND(N($E1480)*J1480*(1-N($G1480)),2)),"")</f>
        <v/>
      </c>
      <c r="L1480" s="62" t="str">
        <f aca="false">IF(IsPro,IF($D1480="","",IFERROR(INDEX(Items!$F$5:$F$504,Q1480),0)),"")</f>
        <v/>
      </c>
      <c r="M1480" s="61" t="str">
        <f aca="false">IF(IsPro,IF($D1480="","",IF(AND(R1480&lt;&gt;"",INDEX(Parties!$E$5:$E$304,R1480)&lt;&gt;"",INDEX(Parties!$E$5:$E$304,R1480)&lt;&gt;HomeState),0,ROUND(K1480*L1480/2,2))),"")</f>
        <v/>
      </c>
      <c r="N1480" s="61" t="str">
        <f aca="false">IF(IsPro,IF($D1480="","",M1480),"")</f>
        <v/>
      </c>
      <c r="O1480" s="61" t="str">
        <f aca="false">IF(IsPro,IF($D1480="","",IF(AND(R1480&lt;&gt;"",INDEX(Parties!$E$5:$E$304,R1480)&lt;&gt;"",INDEX(Parties!$E$5:$E$304,R1480)&lt;&gt;HomeState),ROUND(K1480*L1480,2),0)),"")</f>
        <v/>
      </c>
      <c r="P1480" s="61" t="str">
        <f aca="false">IF(IsPro,IF($D1480="","",K1480+M1480+N1480+O1480),"")</f>
        <v/>
      </c>
      <c r="Q1480" s="60" t="str">
        <f aca="false">IF(IsPro,IF($D1480="","",IFERROR(MATCH($D1480,Items!$A$5:$A$504,0),"")),"")</f>
        <v/>
      </c>
      <c r="R1480" s="60" t="str">
        <f aca="false">IF(IsPro,IF($C1480="","",IFERROR(MATCH($C1480,Parties!$A$5:$A$304,0),"")),"")</f>
        <v/>
      </c>
      <c r="S1480" s="61" t="str">
        <f aca="false">IF(IsPro,IF($D1480="","",IF(OR($H1480="",$H1480="Credit"),0,P1480)),"")</f>
        <v/>
      </c>
    </row>
    <row r="1481" customFormat="false" ht="15" hidden="false" customHeight="false" outlineLevel="0" collapsed="false">
      <c r="A1481" s="55"/>
      <c r="B1481" s="56"/>
      <c r="C1481" s="56"/>
      <c r="D1481" s="56"/>
      <c r="E1481" s="57"/>
      <c r="F1481" s="58"/>
      <c r="G1481" s="59"/>
      <c r="H1481" s="56"/>
      <c r="I1481" s="60" t="str">
        <f aca="false">IF(IsPro,IF($D1481="","",IFERROR(INDEX(Items!$D$5:$D$504,Q1481),"")),IF($D1481="","","PRO PLAN"))</f>
        <v/>
      </c>
      <c r="J1481" s="61" t="str">
        <f aca="false">IF(IsPro,IF($D1481="","",IF($F1481="",IFERROR(INDEX(Items!$G$5:$G$504,Q1481),0),$F1481)),"")</f>
        <v/>
      </c>
      <c r="K1481" s="61" t="str">
        <f aca="false">IF(IsPro,IF($D1481="","",ROUND(N($E1481)*J1481*(1-N($G1481)),2)),"")</f>
        <v/>
      </c>
      <c r="L1481" s="62" t="str">
        <f aca="false">IF(IsPro,IF($D1481="","",IFERROR(INDEX(Items!$F$5:$F$504,Q1481),0)),"")</f>
        <v/>
      </c>
      <c r="M1481" s="61" t="str">
        <f aca="false">IF(IsPro,IF($D1481="","",IF(AND(R1481&lt;&gt;"",INDEX(Parties!$E$5:$E$304,R1481)&lt;&gt;"",INDEX(Parties!$E$5:$E$304,R1481)&lt;&gt;HomeState),0,ROUND(K1481*L1481/2,2))),"")</f>
        <v/>
      </c>
      <c r="N1481" s="61" t="str">
        <f aca="false">IF(IsPro,IF($D1481="","",M1481),"")</f>
        <v/>
      </c>
      <c r="O1481" s="61" t="str">
        <f aca="false">IF(IsPro,IF($D1481="","",IF(AND(R1481&lt;&gt;"",INDEX(Parties!$E$5:$E$304,R1481)&lt;&gt;"",INDEX(Parties!$E$5:$E$304,R1481)&lt;&gt;HomeState),ROUND(K1481*L1481,2),0)),"")</f>
        <v/>
      </c>
      <c r="P1481" s="61" t="str">
        <f aca="false">IF(IsPro,IF($D1481="","",K1481+M1481+N1481+O1481),"")</f>
        <v/>
      </c>
      <c r="Q1481" s="60" t="str">
        <f aca="false">IF(IsPro,IF($D1481="","",IFERROR(MATCH($D1481,Items!$A$5:$A$504,0),"")),"")</f>
        <v/>
      </c>
      <c r="R1481" s="60" t="str">
        <f aca="false">IF(IsPro,IF($C1481="","",IFERROR(MATCH($C1481,Parties!$A$5:$A$304,0),"")),"")</f>
        <v/>
      </c>
      <c r="S1481" s="61" t="str">
        <f aca="false">IF(IsPro,IF($D1481="","",IF(OR($H1481="",$H1481="Credit"),0,P1481)),"")</f>
        <v/>
      </c>
    </row>
    <row r="1482" customFormat="false" ht="15" hidden="false" customHeight="false" outlineLevel="0" collapsed="false">
      <c r="A1482" s="55"/>
      <c r="B1482" s="56"/>
      <c r="C1482" s="56"/>
      <c r="D1482" s="56"/>
      <c r="E1482" s="57"/>
      <c r="F1482" s="58"/>
      <c r="G1482" s="59"/>
      <c r="H1482" s="56"/>
      <c r="I1482" s="60" t="str">
        <f aca="false">IF(IsPro,IF($D1482="","",IFERROR(INDEX(Items!$D$5:$D$504,Q1482),"")),IF($D1482="","","PRO PLAN"))</f>
        <v/>
      </c>
      <c r="J1482" s="61" t="str">
        <f aca="false">IF(IsPro,IF($D1482="","",IF($F1482="",IFERROR(INDEX(Items!$G$5:$G$504,Q1482),0),$F1482)),"")</f>
        <v/>
      </c>
      <c r="K1482" s="61" t="str">
        <f aca="false">IF(IsPro,IF($D1482="","",ROUND(N($E1482)*J1482*(1-N($G1482)),2)),"")</f>
        <v/>
      </c>
      <c r="L1482" s="62" t="str">
        <f aca="false">IF(IsPro,IF($D1482="","",IFERROR(INDEX(Items!$F$5:$F$504,Q1482),0)),"")</f>
        <v/>
      </c>
      <c r="M1482" s="61" t="str">
        <f aca="false">IF(IsPro,IF($D1482="","",IF(AND(R1482&lt;&gt;"",INDEX(Parties!$E$5:$E$304,R1482)&lt;&gt;"",INDEX(Parties!$E$5:$E$304,R1482)&lt;&gt;HomeState),0,ROUND(K1482*L1482/2,2))),"")</f>
        <v/>
      </c>
      <c r="N1482" s="61" t="str">
        <f aca="false">IF(IsPro,IF($D1482="","",M1482),"")</f>
        <v/>
      </c>
      <c r="O1482" s="61" t="str">
        <f aca="false">IF(IsPro,IF($D1482="","",IF(AND(R1482&lt;&gt;"",INDEX(Parties!$E$5:$E$304,R1482)&lt;&gt;"",INDEX(Parties!$E$5:$E$304,R1482)&lt;&gt;HomeState),ROUND(K1482*L1482,2),0)),"")</f>
        <v/>
      </c>
      <c r="P1482" s="61" t="str">
        <f aca="false">IF(IsPro,IF($D1482="","",K1482+M1482+N1482+O1482),"")</f>
        <v/>
      </c>
      <c r="Q1482" s="60" t="str">
        <f aca="false">IF(IsPro,IF($D1482="","",IFERROR(MATCH($D1482,Items!$A$5:$A$504,0),"")),"")</f>
        <v/>
      </c>
      <c r="R1482" s="60" t="str">
        <f aca="false">IF(IsPro,IF($C1482="","",IFERROR(MATCH($C1482,Parties!$A$5:$A$304,0),"")),"")</f>
        <v/>
      </c>
      <c r="S1482" s="61" t="str">
        <f aca="false">IF(IsPro,IF($D1482="","",IF(OR($H1482="",$H1482="Credit"),0,P1482)),"")</f>
        <v/>
      </c>
    </row>
    <row r="1483" customFormat="false" ht="15" hidden="false" customHeight="false" outlineLevel="0" collapsed="false">
      <c r="A1483" s="55"/>
      <c r="B1483" s="56"/>
      <c r="C1483" s="56"/>
      <c r="D1483" s="56"/>
      <c r="E1483" s="57"/>
      <c r="F1483" s="58"/>
      <c r="G1483" s="59"/>
      <c r="H1483" s="56"/>
      <c r="I1483" s="60" t="str">
        <f aca="false">IF(IsPro,IF($D1483="","",IFERROR(INDEX(Items!$D$5:$D$504,Q1483),"")),IF($D1483="","","PRO PLAN"))</f>
        <v/>
      </c>
      <c r="J1483" s="61" t="str">
        <f aca="false">IF(IsPro,IF($D1483="","",IF($F1483="",IFERROR(INDEX(Items!$G$5:$G$504,Q1483),0),$F1483)),"")</f>
        <v/>
      </c>
      <c r="K1483" s="61" t="str">
        <f aca="false">IF(IsPro,IF($D1483="","",ROUND(N($E1483)*J1483*(1-N($G1483)),2)),"")</f>
        <v/>
      </c>
      <c r="L1483" s="62" t="str">
        <f aca="false">IF(IsPro,IF($D1483="","",IFERROR(INDEX(Items!$F$5:$F$504,Q1483),0)),"")</f>
        <v/>
      </c>
      <c r="M1483" s="61" t="str">
        <f aca="false">IF(IsPro,IF($D1483="","",IF(AND(R1483&lt;&gt;"",INDEX(Parties!$E$5:$E$304,R1483)&lt;&gt;"",INDEX(Parties!$E$5:$E$304,R1483)&lt;&gt;HomeState),0,ROUND(K1483*L1483/2,2))),"")</f>
        <v/>
      </c>
      <c r="N1483" s="61" t="str">
        <f aca="false">IF(IsPro,IF($D1483="","",M1483),"")</f>
        <v/>
      </c>
      <c r="O1483" s="61" t="str">
        <f aca="false">IF(IsPro,IF($D1483="","",IF(AND(R1483&lt;&gt;"",INDEX(Parties!$E$5:$E$304,R1483)&lt;&gt;"",INDEX(Parties!$E$5:$E$304,R1483)&lt;&gt;HomeState),ROUND(K1483*L1483,2),0)),"")</f>
        <v/>
      </c>
      <c r="P1483" s="61" t="str">
        <f aca="false">IF(IsPro,IF($D1483="","",K1483+M1483+N1483+O1483),"")</f>
        <v/>
      </c>
      <c r="Q1483" s="60" t="str">
        <f aca="false">IF(IsPro,IF($D1483="","",IFERROR(MATCH($D1483,Items!$A$5:$A$504,0),"")),"")</f>
        <v/>
      </c>
      <c r="R1483" s="60" t="str">
        <f aca="false">IF(IsPro,IF($C1483="","",IFERROR(MATCH($C1483,Parties!$A$5:$A$304,0),"")),"")</f>
        <v/>
      </c>
      <c r="S1483" s="61" t="str">
        <f aca="false">IF(IsPro,IF($D1483="","",IF(OR($H1483="",$H1483="Credit"),0,P1483)),"")</f>
        <v/>
      </c>
    </row>
    <row r="1484" customFormat="false" ht="15" hidden="false" customHeight="false" outlineLevel="0" collapsed="false">
      <c r="A1484" s="55"/>
      <c r="B1484" s="56"/>
      <c r="C1484" s="56"/>
      <c r="D1484" s="56"/>
      <c r="E1484" s="57"/>
      <c r="F1484" s="58"/>
      <c r="G1484" s="59"/>
      <c r="H1484" s="56"/>
      <c r="I1484" s="60" t="str">
        <f aca="false">IF(IsPro,IF($D1484="","",IFERROR(INDEX(Items!$D$5:$D$504,Q1484),"")),IF($D1484="","","PRO PLAN"))</f>
        <v/>
      </c>
      <c r="J1484" s="61" t="str">
        <f aca="false">IF(IsPro,IF($D1484="","",IF($F1484="",IFERROR(INDEX(Items!$G$5:$G$504,Q1484),0),$F1484)),"")</f>
        <v/>
      </c>
      <c r="K1484" s="61" t="str">
        <f aca="false">IF(IsPro,IF($D1484="","",ROUND(N($E1484)*J1484*(1-N($G1484)),2)),"")</f>
        <v/>
      </c>
      <c r="L1484" s="62" t="str">
        <f aca="false">IF(IsPro,IF($D1484="","",IFERROR(INDEX(Items!$F$5:$F$504,Q1484),0)),"")</f>
        <v/>
      </c>
      <c r="M1484" s="61" t="str">
        <f aca="false">IF(IsPro,IF($D1484="","",IF(AND(R1484&lt;&gt;"",INDEX(Parties!$E$5:$E$304,R1484)&lt;&gt;"",INDEX(Parties!$E$5:$E$304,R1484)&lt;&gt;HomeState),0,ROUND(K1484*L1484/2,2))),"")</f>
        <v/>
      </c>
      <c r="N1484" s="61" t="str">
        <f aca="false">IF(IsPro,IF($D1484="","",M1484),"")</f>
        <v/>
      </c>
      <c r="O1484" s="61" t="str">
        <f aca="false">IF(IsPro,IF($D1484="","",IF(AND(R1484&lt;&gt;"",INDEX(Parties!$E$5:$E$304,R1484)&lt;&gt;"",INDEX(Parties!$E$5:$E$304,R1484)&lt;&gt;HomeState),ROUND(K1484*L1484,2),0)),"")</f>
        <v/>
      </c>
      <c r="P1484" s="61" t="str">
        <f aca="false">IF(IsPro,IF($D1484="","",K1484+M1484+N1484+O1484),"")</f>
        <v/>
      </c>
      <c r="Q1484" s="60" t="str">
        <f aca="false">IF(IsPro,IF($D1484="","",IFERROR(MATCH($D1484,Items!$A$5:$A$504,0),"")),"")</f>
        <v/>
      </c>
      <c r="R1484" s="60" t="str">
        <f aca="false">IF(IsPro,IF($C1484="","",IFERROR(MATCH($C1484,Parties!$A$5:$A$304,0),"")),"")</f>
        <v/>
      </c>
      <c r="S1484" s="61" t="str">
        <f aca="false">IF(IsPro,IF($D1484="","",IF(OR($H1484="",$H1484="Credit"),0,P1484)),"")</f>
        <v/>
      </c>
    </row>
    <row r="1485" customFormat="false" ht="15" hidden="false" customHeight="false" outlineLevel="0" collapsed="false">
      <c r="A1485" s="55"/>
      <c r="B1485" s="56"/>
      <c r="C1485" s="56"/>
      <c r="D1485" s="56"/>
      <c r="E1485" s="57"/>
      <c r="F1485" s="58"/>
      <c r="G1485" s="59"/>
      <c r="H1485" s="56"/>
      <c r="I1485" s="60" t="str">
        <f aca="false">IF(IsPro,IF($D1485="","",IFERROR(INDEX(Items!$D$5:$D$504,Q1485),"")),IF($D1485="","","PRO PLAN"))</f>
        <v/>
      </c>
      <c r="J1485" s="61" t="str">
        <f aca="false">IF(IsPro,IF($D1485="","",IF($F1485="",IFERROR(INDEX(Items!$G$5:$G$504,Q1485),0),$F1485)),"")</f>
        <v/>
      </c>
      <c r="K1485" s="61" t="str">
        <f aca="false">IF(IsPro,IF($D1485="","",ROUND(N($E1485)*J1485*(1-N($G1485)),2)),"")</f>
        <v/>
      </c>
      <c r="L1485" s="62" t="str">
        <f aca="false">IF(IsPro,IF($D1485="","",IFERROR(INDEX(Items!$F$5:$F$504,Q1485),0)),"")</f>
        <v/>
      </c>
      <c r="M1485" s="61" t="str">
        <f aca="false">IF(IsPro,IF($D1485="","",IF(AND(R1485&lt;&gt;"",INDEX(Parties!$E$5:$E$304,R1485)&lt;&gt;"",INDEX(Parties!$E$5:$E$304,R1485)&lt;&gt;HomeState),0,ROUND(K1485*L1485/2,2))),"")</f>
        <v/>
      </c>
      <c r="N1485" s="61" t="str">
        <f aca="false">IF(IsPro,IF($D1485="","",M1485),"")</f>
        <v/>
      </c>
      <c r="O1485" s="61" t="str">
        <f aca="false">IF(IsPro,IF($D1485="","",IF(AND(R1485&lt;&gt;"",INDEX(Parties!$E$5:$E$304,R1485)&lt;&gt;"",INDEX(Parties!$E$5:$E$304,R1485)&lt;&gt;HomeState),ROUND(K1485*L1485,2),0)),"")</f>
        <v/>
      </c>
      <c r="P1485" s="61" t="str">
        <f aca="false">IF(IsPro,IF($D1485="","",K1485+M1485+N1485+O1485),"")</f>
        <v/>
      </c>
      <c r="Q1485" s="60" t="str">
        <f aca="false">IF(IsPro,IF($D1485="","",IFERROR(MATCH($D1485,Items!$A$5:$A$504,0),"")),"")</f>
        <v/>
      </c>
      <c r="R1485" s="60" t="str">
        <f aca="false">IF(IsPro,IF($C1485="","",IFERROR(MATCH($C1485,Parties!$A$5:$A$304,0),"")),"")</f>
        <v/>
      </c>
      <c r="S1485" s="61" t="str">
        <f aca="false">IF(IsPro,IF($D1485="","",IF(OR($H1485="",$H1485="Credit"),0,P1485)),"")</f>
        <v/>
      </c>
    </row>
    <row r="1486" customFormat="false" ht="15" hidden="false" customHeight="false" outlineLevel="0" collapsed="false">
      <c r="A1486" s="55"/>
      <c r="B1486" s="56"/>
      <c r="C1486" s="56"/>
      <c r="D1486" s="56"/>
      <c r="E1486" s="57"/>
      <c r="F1486" s="58"/>
      <c r="G1486" s="59"/>
      <c r="H1486" s="56"/>
      <c r="I1486" s="60" t="str">
        <f aca="false">IF(IsPro,IF($D1486="","",IFERROR(INDEX(Items!$D$5:$D$504,Q1486),"")),IF($D1486="","","PRO PLAN"))</f>
        <v/>
      </c>
      <c r="J1486" s="61" t="str">
        <f aca="false">IF(IsPro,IF($D1486="","",IF($F1486="",IFERROR(INDEX(Items!$G$5:$G$504,Q1486),0),$F1486)),"")</f>
        <v/>
      </c>
      <c r="K1486" s="61" t="str">
        <f aca="false">IF(IsPro,IF($D1486="","",ROUND(N($E1486)*J1486*(1-N($G1486)),2)),"")</f>
        <v/>
      </c>
      <c r="L1486" s="62" t="str">
        <f aca="false">IF(IsPro,IF($D1486="","",IFERROR(INDEX(Items!$F$5:$F$504,Q1486),0)),"")</f>
        <v/>
      </c>
      <c r="M1486" s="61" t="str">
        <f aca="false">IF(IsPro,IF($D1486="","",IF(AND(R1486&lt;&gt;"",INDEX(Parties!$E$5:$E$304,R1486)&lt;&gt;"",INDEX(Parties!$E$5:$E$304,R1486)&lt;&gt;HomeState),0,ROUND(K1486*L1486/2,2))),"")</f>
        <v/>
      </c>
      <c r="N1486" s="61" t="str">
        <f aca="false">IF(IsPro,IF($D1486="","",M1486),"")</f>
        <v/>
      </c>
      <c r="O1486" s="61" t="str">
        <f aca="false">IF(IsPro,IF($D1486="","",IF(AND(R1486&lt;&gt;"",INDEX(Parties!$E$5:$E$304,R1486)&lt;&gt;"",INDEX(Parties!$E$5:$E$304,R1486)&lt;&gt;HomeState),ROUND(K1486*L1486,2),0)),"")</f>
        <v/>
      </c>
      <c r="P1486" s="61" t="str">
        <f aca="false">IF(IsPro,IF($D1486="","",K1486+M1486+N1486+O1486),"")</f>
        <v/>
      </c>
      <c r="Q1486" s="60" t="str">
        <f aca="false">IF(IsPro,IF($D1486="","",IFERROR(MATCH($D1486,Items!$A$5:$A$504,0),"")),"")</f>
        <v/>
      </c>
      <c r="R1486" s="60" t="str">
        <f aca="false">IF(IsPro,IF($C1486="","",IFERROR(MATCH($C1486,Parties!$A$5:$A$304,0),"")),"")</f>
        <v/>
      </c>
      <c r="S1486" s="61" t="str">
        <f aca="false">IF(IsPro,IF($D1486="","",IF(OR($H1486="",$H1486="Credit"),0,P1486)),"")</f>
        <v/>
      </c>
    </row>
    <row r="1487" customFormat="false" ht="15" hidden="false" customHeight="false" outlineLevel="0" collapsed="false">
      <c r="A1487" s="55"/>
      <c r="B1487" s="56"/>
      <c r="C1487" s="56"/>
      <c r="D1487" s="56"/>
      <c r="E1487" s="57"/>
      <c r="F1487" s="58"/>
      <c r="G1487" s="59"/>
      <c r="H1487" s="56"/>
      <c r="I1487" s="60" t="str">
        <f aca="false">IF(IsPro,IF($D1487="","",IFERROR(INDEX(Items!$D$5:$D$504,Q1487),"")),IF($D1487="","","PRO PLAN"))</f>
        <v/>
      </c>
      <c r="J1487" s="61" t="str">
        <f aca="false">IF(IsPro,IF($D1487="","",IF($F1487="",IFERROR(INDEX(Items!$G$5:$G$504,Q1487),0),$F1487)),"")</f>
        <v/>
      </c>
      <c r="K1487" s="61" t="str">
        <f aca="false">IF(IsPro,IF($D1487="","",ROUND(N($E1487)*J1487*(1-N($G1487)),2)),"")</f>
        <v/>
      </c>
      <c r="L1487" s="62" t="str">
        <f aca="false">IF(IsPro,IF($D1487="","",IFERROR(INDEX(Items!$F$5:$F$504,Q1487),0)),"")</f>
        <v/>
      </c>
      <c r="M1487" s="61" t="str">
        <f aca="false">IF(IsPro,IF($D1487="","",IF(AND(R1487&lt;&gt;"",INDEX(Parties!$E$5:$E$304,R1487)&lt;&gt;"",INDEX(Parties!$E$5:$E$304,R1487)&lt;&gt;HomeState),0,ROUND(K1487*L1487/2,2))),"")</f>
        <v/>
      </c>
      <c r="N1487" s="61" t="str">
        <f aca="false">IF(IsPro,IF($D1487="","",M1487),"")</f>
        <v/>
      </c>
      <c r="O1487" s="61" t="str">
        <f aca="false">IF(IsPro,IF($D1487="","",IF(AND(R1487&lt;&gt;"",INDEX(Parties!$E$5:$E$304,R1487)&lt;&gt;"",INDEX(Parties!$E$5:$E$304,R1487)&lt;&gt;HomeState),ROUND(K1487*L1487,2),0)),"")</f>
        <v/>
      </c>
      <c r="P1487" s="61" t="str">
        <f aca="false">IF(IsPro,IF($D1487="","",K1487+M1487+N1487+O1487),"")</f>
        <v/>
      </c>
      <c r="Q1487" s="60" t="str">
        <f aca="false">IF(IsPro,IF($D1487="","",IFERROR(MATCH($D1487,Items!$A$5:$A$504,0),"")),"")</f>
        <v/>
      </c>
      <c r="R1487" s="60" t="str">
        <f aca="false">IF(IsPro,IF($C1487="","",IFERROR(MATCH($C1487,Parties!$A$5:$A$304,0),"")),"")</f>
        <v/>
      </c>
      <c r="S1487" s="61" t="str">
        <f aca="false">IF(IsPro,IF($D1487="","",IF(OR($H1487="",$H1487="Credit"),0,P1487)),"")</f>
        <v/>
      </c>
    </row>
    <row r="1488" customFormat="false" ht="15" hidden="false" customHeight="false" outlineLevel="0" collapsed="false">
      <c r="A1488" s="55"/>
      <c r="B1488" s="56"/>
      <c r="C1488" s="56"/>
      <c r="D1488" s="56"/>
      <c r="E1488" s="57"/>
      <c r="F1488" s="58"/>
      <c r="G1488" s="59"/>
      <c r="H1488" s="56"/>
      <c r="I1488" s="60" t="str">
        <f aca="false">IF(IsPro,IF($D1488="","",IFERROR(INDEX(Items!$D$5:$D$504,Q1488),"")),IF($D1488="","","PRO PLAN"))</f>
        <v/>
      </c>
      <c r="J1488" s="61" t="str">
        <f aca="false">IF(IsPro,IF($D1488="","",IF($F1488="",IFERROR(INDEX(Items!$G$5:$G$504,Q1488),0),$F1488)),"")</f>
        <v/>
      </c>
      <c r="K1488" s="61" t="str">
        <f aca="false">IF(IsPro,IF($D1488="","",ROUND(N($E1488)*J1488*(1-N($G1488)),2)),"")</f>
        <v/>
      </c>
      <c r="L1488" s="62" t="str">
        <f aca="false">IF(IsPro,IF($D1488="","",IFERROR(INDEX(Items!$F$5:$F$504,Q1488),0)),"")</f>
        <v/>
      </c>
      <c r="M1488" s="61" t="str">
        <f aca="false">IF(IsPro,IF($D1488="","",IF(AND(R1488&lt;&gt;"",INDEX(Parties!$E$5:$E$304,R1488)&lt;&gt;"",INDEX(Parties!$E$5:$E$304,R1488)&lt;&gt;HomeState),0,ROUND(K1488*L1488/2,2))),"")</f>
        <v/>
      </c>
      <c r="N1488" s="61" t="str">
        <f aca="false">IF(IsPro,IF($D1488="","",M1488),"")</f>
        <v/>
      </c>
      <c r="O1488" s="61" t="str">
        <f aca="false">IF(IsPro,IF($D1488="","",IF(AND(R1488&lt;&gt;"",INDEX(Parties!$E$5:$E$304,R1488)&lt;&gt;"",INDEX(Parties!$E$5:$E$304,R1488)&lt;&gt;HomeState),ROUND(K1488*L1488,2),0)),"")</f>
        <v/>
      </c>
      <c r="P1488" s="61" t="str">
        <f aca="false">IF(IsPro,IF($D1488="","",K1488+M1488+N1488+O1488),"")</f>
        <v/>
      </c>
      <c r="Q1488" s="60" t="str">
        <f aca="false">IF(IsPro,IF($D1488="","",IFERROR(MATCH($D1488,Items!$A$5:$A$504,0),"")),"")</f>
        <v/>
      </c>
      <c r="R1488" s="60" t="str">
        <f aca="false">IF(IsPro,IF($C1488="","",IFERROR(MATCH($C1488,Parties!$A$5:$A$304,0),"")),"")</f>
        <v/>
      </c>
      <c r="S1488" s="61" t="str">
        <f aca="false">IF(IsPro,IF($D1488="","",IF(OR($H1488="",$H1488="Credit"),0,P1488)),"")</f>
        <v/>
      </c>
    </row>
    <row r="1489" customFormat="false" ht="15" hidden="false" customHeight="false" outlineLevel="0" collapsed="false">
      <c r="A1489" s="55"/>
      <c r="B1489" s="56"/>
      <c r="C1489" s="56"/>
      <c r="D1489" s="56"/>
      <c r="E1489" s="57"/>
      <c r="F1489" s="58"/>
      <c r="G1489" s="59"/>
      <c r="H1489" s="56"/>
      <c r="I1489" s="60" t="str">
        <f aca="false">IF(IsPro,IF($D1489="","",IFERROR(INDEX(Items!$D$5:$D$504,Q1489),"")),IF($D1489="","","PRO PLAN"))</f>
        <v/>
      </c>
      <c r="J1489" s="61" t="str">
        <f aca="false">IF(IsPro,IF($D1489="","",IF($F1489="",IFERROR(INDEX(Items!$G$5:$G$504,Q1489),0),$F1489)),"")</f>
        <v/>
      </c>
      <c r="K1489" s="61" t="str">
        <f aca="false">IF(IsPro,IF($D1489="","",ROUND(N($E1489)*J1489*(1-N($G1489)),2)),"")</f>
        <v/>
      </c>
      <c r="L1489" s="62" t="str">
        <f aca="false">IF(IsPro,IF($D1489="","",IFERROR(INDEX(Items!$F$5:$F$504,Q1489),0)),"")</f>
        <v/>
      </c>
      <c r="M1489" s="61" t="str">
        <f aca="false">IF(IsPro,IF($D1489="","",IF(AND(R1489&lt;&gt;"",INDEX(Parties!$E$5:$E$304,R1489)&lt;&gt;"",INDEX(Parties!$E$5:$E$304,R1489)&lt;&gt;HomeState),0,ROUND(K1489*L1489/2,2))),"")</f>
        <v/>
      </c>
      <c r="N1489" s="61" t="str">
        <f aca="false">IF(IsPro,IF($D1489="","",M1489),"")</f>
        <v/>
      </c>
      <c r="O1489" s="61" t="str">
        <f aca="false">IF(IsPro,IF($D1489="","",IF(AND(R1489&lt;&gt;"",INDEX(Parties!$E$5:$E$304,R1489)&lt;&gt;"",INDEX(Parties!$E$5:$E$304,R1489)&lt;&gt;HomeState),ROUND(K1489*L1489,2),0)),"")</f>
        <v/>
      </c>
      <c r="P1489" s="61" t="str">
        <f aca="false">IF(IsPro,IF($D1489="","",K1489+M1489+N1489+O1489),"")</f>
        <v/>
      </c>
      <c r="Q1489" s="60" t="str">
        <f aca="false">IF(IsPro,IF($D1489="","",IFERROR(MATCH($D1489,Items!$A$5:$A$504,0),"")),"")</f>
        <v/>
      </c>
      <c r="R1489" s="60" t="str">
        <f aca="false">IF(IsPro,IF($C1489="","",IFERROR(MATCH($C1489,Parties!$A$5:$A$304,0),"")),"")</f>
        <v/>
      </c>
      <c r="S1489" s="61" t="str">
        <f aca="false">IF(IsPro,IF($D1489="","",IF(OR($H1489="",$H1489="Credit"),0,P1489)),"")</f>
        <v/>
      </c>
    </row>
    <row r="1490" customFormat="false" ht="15" hidden="false" customHeight="false" outlineLevel="0" collapsed="false">
      <c r="A1490" s="55"/>
      <c r="B1490" s="56"/>
      <c r="C1490" s="56"/>
      <c r="D1490" s="56"/>
      <c r="E1490" s="57"/>
      <c r="F1490" s="58"/>
      <c r="G1490" s="59"/>
      <c r="H1490" s="56"/>
      <c r="I1490" s="60" t="str">
        <f aca="false">IF(IsPro,IF($D1490="","",IFERROR(INDEX(Items!$D$5:$D$504,Q1490),"")),IF($D1490="","","PRO PLAN"))</f>
        <v/>
      </c>
      <c r="J1490" s="61" t="str">
        <f aca="false">IF(IsPro,IF($D1490="","",IF($F1490="",IFERROR(INDEX(Items!$G$5:$G$504,Q1490),0),$F1490)),"")</f>
        <v/>
      </c>
      <c r="K1490" s="61" t="str">
        <f aca="false">IF(IsPro,IF($D1490="","",ROUND(N($E1490)*J1490*(1-N($G1490)),2)),"")</f>
        <v/>
      </c>
      <c r="L1490" s="62" t="str">
        <f aca="false">IF(IsPro,IF($D1490="","",IFERROR(INDEX(Items!$F$5:$F$504,Q1490),0)),"")</f>
        <v/>
      </c>
      <c r="M1490" s="61" t="str">
        <f aca="false">IF(IsPro,IF($D1490="","",IF(AND(R1490&lt;&gt;"",INDEX(Parties!$E$5:$E$304,R1490)&lt;&gt;"",INDEX(Parties!$E$5:$E$304,R1490)&lt;&gt;HomeState),0,ROUND(K1490*L1490/2,2))),"")</f>
        <v/>
      </c>
      <c r="N1490" s="61" t="str">
        <f aca="false">IF(IsPro,IF($D1490="","",M1490),"")</f>
        <v/>
      </c>
      <c r="O1490" s="61" t="str">
        <f aca="false">IF(IsPro,IF($D1490="","",IF(AND(R1490&lt;&gt;"",INDEX(Parties!$E$5:$E$304,R1490)&lt;&gt;"",INDEX(Parties!$E$5:$E$304,R1490)&lt;&gt;HomeState),ROUND(K1490*L1490,2),0)),"")</f>
        <v/>
      </c>
      <c r="P1490" s="61" t="str">
        <f aca="false">IF(IsPro,IF($D1490="","",K1490+M1490+N1490+O1490),"")</f>
        <v/>
      </c>
      <c r="Q1490" s="60" t="str">
        <f aca="false">IF(IsPro,IF($D1490="","",IFERROR(MATCH($D1490,Items!$A$5:$A$504,0),"")),"")</f>
        <v/>
      </c>
      <c r="R1490" s="60" t="str">
        <f aca="false">IF(IsPro,IF($C1490="","",IFERROR(MATCH($C1490,Parties!$A$5:$A$304,0),"")),"")</f>
        <v/>
      </c>
      <c r="S1490" s="61" t="str">
        <f aca="false">IF(IsPro,IF($D1490="","",IF(OR($H1490="",$H1490="Credit"),0,P1490)),"")</f>
        <v/>
      </c>
    </row>
    <row r="1491" customFormat="false" ht="15" hidden="false" customHeight="false" outlineLevel="0" collapsed="false">
      <c r="A1491" s="55"/>
      <c r="B1491" s="56"/>
      <c r="C1491" s="56"/>
      <c r="D1491" s="56"/>
      <c r="E1491" s="57"/>
      <c r="F1491" s="58"/>
      <c r="G1491" s="59"/>
      <c r="H1491" s="56"/>
      <c r="I1491" s="60" t="str">
        <f aca="false">IF(IsPro,IF($D1491="","",IFERROR(INDEX(Items!$D$5:$D$504,Q1491),"")),IF($D1491="","","PRO PLAN"))</f>
        <v/>
      </c>
      <c r="J1491" s="61" t="str">
        <f aca="false">IF(IsPro,IF($D1491="","",IF($F1491="",IFERROR(INDEX(Items!$G$5:$G$504,Q1491),0),$F1491)),"")</f>
        <v/>
      </c>
      <c r="K1491" s="61" t="str">
        <f aca="false">IF(IsPro,IF($D1491="","",ROUND(N($E1491)*J1491*(1-N($G1491)),2)),"")</f>
        <v/>
      </c>
      <c r="L1491" s="62" t="str">
        <f aca="false">IF(IsPro,IF($D1491="","",IFERROR(INDEX(Items!$F$5:$F$504,Q1491),0)),"")</f>
        <v/>
      </c>
      <c r="M1491" s="61" t="str">
        <f aca="false">IF(IsPro,IF($D1491="","",IF(AND(R1491&lt;&gt;"",INDEX(Parties!$E$5:$E$304,R1491)&lt;&gt;"",INDEX(Parties!$E$5:$E$304,R1491)&lt;&gt;HomeState),0,ROUND(K1491*L1491/2,2))),"")</f>
        <v/>
      </c>
      <c r="N1491" s="61" t="str">
        <f aca="false">IF(IsPro,IF($D1491="","",M1491),"")</f>
        <v/>
      </c>
      <c r="O1491" s="61" t="str">
        <f aca="false">IF(IsPro,IF($D1491="","",IF(AND(R1491&lt;&gt;"",INDEX(Parties!$E$5:$E$304,R1491)&lt;&gt;"",INDEX(Parties!$E$5:$E$304,R1491)&lt;&gt;HomeState),ROUND(K1491*L1491,2),0)),"")</f>
        <v/>
      </c>
      <c r="P1491" s="61" t="str">
        <f aca="false">IF(IsPro,IF($D1491="","",K1491+M1491+N1491+O1491),"")</f>
        <v/>
      </c>
      <c r="Q1491" s="60" t="str">
        <f aca="false">IF(IsPro,IF($D1491="","",IFERROR(MATCH($D1491,Items!$A$5:$A$504,0),"")),"")</f>
        <v/>
      </c>
      <c r="R1491" s="60" t="str">
        <f aca="false">IF(IsPro,IF($C1491="","",IFERROR(MATCH($C1491,Parties!$A$5:$A$304,0),"")),"")</f>
        <v/>
      </c>
      <c r="S1491" s="61" t="str">
        <f aca="false">IF(IsPro,IF($D1491="","",IF(OR($H1491="",$H1491="Credit"),0,P1491)),"")</f>
        <v/>
      </c>
    </row>
    <row r="1492" customFormat="false" ht="15" hidden="false" customHeight="false" outlineLevel="0" collapsed="false">
      <c r="A1492" s="55"/>
      <c r="B1492" s="56"/>
      <c r="C1492" s="56"/>
      <c r="D1492" s="56"/>
      <c r="E1492" s="57"/>
      <c r="F1492" s="58"/>
      <c r="G1492" s="59"/>
      <c r="H1492" s="56"/>
      <c r="I1492" s="60" t="str">
        <f aca="false">IF(IsPro,IF($D1492="","",IFERROR(INDEX(Items!$D$5:$D$504,Q1492),"")),IF($D1492="","","PRO PLAN"))</f>
        <v/>
      </c>
      <c r="J1492" s="61" t="str">
        <f aca="false">IF(IsPro,IF($D1492="","",IF($F1492="",IFERROR(INDEX(Items!$G$5:$G$504,Q1492),0),$F1492)),"")</f>
        <v/>
      </c>
      <c r="K1492" s="61" t="str">
        <f aca="false">IF(IsPro,IF($D1492="","",ROUND(N($E1492)*J1492*(1-N($G1492)),2)),"")</f>
        <v/>
      </c>
      <c r="L1492" s="62" t="str">
        <f aca="false">IF(IsPro,IF($D1492="","",IFERROR(INDEX(Items!$F$5:$F$504,Q1492),0)),"")</f>
        <v/>
      </c>
      <c r="M1492" s="61" t="str">
        <f aca="false">IF(IsPro,IF($D1492="","",IF(AND(R1492&lt;&gt;"",INDEX(Parties!$E$5:$E$304,R1492)&lt;&gt;"",INDEX(Parties!$E$5:$E$304,R1492)&lt;&gt;HomeState),0,ROUND(K1492*L1492/2,2))),"")</f>
        <v/>
      </c>
      <c r="N1492" s="61" t="str">
        <f aca="false">IF(IsPro,IF($D1492="","",M1492),"")</f>
        <v/>
      </c>
      <c r="O1492" s="61" t="str">
        <f aca="false">IF(IsPro,IF($D1492="","",IF(AND(R1492&lt;&gt;"",INDEX(Parties!$E$5:$E$304,R1492)&lt;&gt;"",INDEX(Parties!$E$5:$E$304,R1492)&lt;&gt;HomeState),ROUND(K1492*L1492,2),0)),"")</f>
        <v/>
      </c>
      <c r="P1492" s="61" t="str">
        <f aca="false">IF(IsPro,IF($D1492="","",K1492+M1492+N1492+O1492),"")</f>
        <v/>
      </c>
      <c r="Q1492" s="60" t="str">
        <f aca="false">IF(IsPro,IF($D1492="","",IFERROR(MATCH($D1492,Items!$A$5:$A$504,0),"")),"")</f>
        <v/>
      </c>
      <c r="R1492" s="60" t="str">
        <f aca="false">IF(IsPro,IF($C1492="","",IFERROR(MATCH($C1492,Parties!$A$5:$A$304,0),"")),"")</f>
        <v/>
      </c>
      <c r="S1492" s="61" t="str">
        <f aca="false">IF(IsPro,IF($D1492="","",IF(OR($H1492="",$H1492="Credit"),0,P1492)),"")</f>
        <v/>
      </c>
    </row>
    <row r="1493" customFormat="false" ht="15" hidden="false" customHeight="false" outlineLevel="0" collapsed="false">
      <c r="A1493" s="55"/>
      <c r="B1493" s="56"/>
      <c r="C1493" s="56"/>
      <c r="D1493" s="56"/>
      <c r="E1493" s="57"/>
      <c r="F1493" s="58"/>
      <c r="G1493" s="59"/>
      <c r="H1493" s="56"/>
      <c r="I1493" s="60" t="str">
        <f aca="false">IF(IsPro,IF($D1493="","",IFERROR(INDEX(Items!$D$5:$D$504,Q1493),"")),IF($D1493="","","PRO PLAN"))</f>
        <v/>
      </c>
      <c r="J1493" s="61" t="str">
        <f aca="false">IF(IsPro,IF($D1493="","",IF($F1493="",IFERROR(INDEX(Items!$G$5:$G$504,Q1493),0),$F1493)),"")</f>
        <v/>
      </c>
      <c r="K1493" s="61" t="str">
        <f aca="false">IF(IsPro,IF($D1493="","",ROUND(N($E1493)*J1493*(1-N($G1493)),2)),"")</f>
        <v/>
      </c>
      <c r="L1493" s="62" t="str">
        <f aca="false">IF(IsPro,IF($D1493="","",IFERROR(INDEX(Items!$F$5:$F$504,Q1493),0)),"")</f>
        <v/>
      </c>
      <c r="M1493" s="61" t="str">
        <f aca="false">IF(IsPro,IF($D1493="","",IF(AND(R1493&lt;&gt;"",INDEX(Parties!$E$5:$E$304,R1493)&lt;&gt;"",INDEX(Parties!$E$5:$E$304,R1493)&lt;&gt;HomeState),0,ROUND(K1493*L1493/2,2))),"")</f>
        <v/>
      </c>
      <c r="N1493" s="61" t="str">
        <f aca="false">IF(IsPro,IF($D1493="","",M1493),"")</f>
        <v/>
      </c>
      <c r="O1493" s="61" t="str">
        <f aca="false">IF(IsPro,IF($D1493="","",IF(AND(R1493&lt;&gt;"",INDEX(Parties!$E$5:$E$304,R1493)&lt;&gt;"",INDEX(Parties!$E$5:$E$304,R1493)&lt;&gt;HomeState),ROUND(K1493*L1493,2),0)),"")</f>
        <v/>
      </c>
      <c r="P1493" s="61" t="str">
        <f aca="false">IF(IsPro,IF($D1493="","",K1493+M1493+N1493+O1493),"")</f>
        <v/>
      </c>
      <c r="Q1493" s="60" t="str">
        <f aca="false">IF(IsPro,IF($D1493="","",IFERROR(MATCH($D1493,Items!$A$5:$A$504,0),"")),"")</f>
        <v/>
      </c>
      <c r="R1493" s="60" t="str">
        <f aca="false">IF(IsPro,IF($C1493="","",IFERROR(MATCH($C1493,Parties!$A$5:$A$304,0),"")),"")</f>
        <v/>
      </c>
      <c r="S1493" s="61" t="str">
        <f aca="false">IF(IsPro,IF($D1493="","",IF(OR($H1493="",$H1493="Credit"),0,P1493)),"")</f>
        <v/>
      </c>
    </row>
    <row r="1494" customFormat="false" ht="15" hidden="false" customHeight="false" outlineLevel="0" collapsed="false">
      <c r="A1494" s="55"/>
      <c r="B1494" s="56"/>
      <c r="C1494" s="56"/>
      <c r="D1494" s="56"/>
      <c r="E1494" s="57"/>
      <c r="F1494" s="58"/>
      <c r="G1494" s="59"/>
      <c r="H1494" s="56"/>
      <c r="I1494" s="60" t="str">
        <f aca="false">IF(IsPro,IF($D1494="","",IFERROR(INDEX(Items!$D$5:$D$504,Q1494),"")),IF($D1494="","","PRO PLAN"))</f>
        <v/>
      </c>
      <c r="J1494" s="61" t="str">
        <f aca="false">IF(IsPro,IF($D1494="","",IF($F1494="",IFERROR(INDEX(Items!$G$5:$G$504,Q1494),0),$F1494)),"")</f>
        <v/>
      </c>
      <c r="K1494" s="61" t="str">
        <f aca="false">IF(IsPro,IF($D1494="","",ROUND(N($E1494)*J1494*(1-N($G1494)),2)),"")</f>
        <v/>
      </c>
      <c r="L1494" s="62" t="str">
        <f aca="false">IF(IsPro,IF($D1494="","",IFERROR(INDEX(Items!$F$5:$F$504,Q1494),0)),"")</f>
        <v/>
      </c>
      <c r="M1494" s="61" t="str">
        <f aca="false">IF(IsPro,IF($D1494="","",IF(AND(R1494&lt;&gt;"",INDEX(Parties!$E$5:$E$304,R1494)&lt;&gt;"",INDEX(Parties!$E$5:$E$304,R1494)&lt;&gt;HomeState),0,ROUND(K1494*L1494/2,2))),"")</f>
        <v/>
      </c>
      <c r="N1494" s="61" t="str">
        <f aca="false">IF(IsPro,IF($D1494="","",M1494),"")</f>
        <v/>
      </c>
      <c r="O1494" s="61" t="str">
        <f aca="false">IF(IsPro,IF($D1494="","",IF(AND(R1494&lt;&gt;"",INDEX(Parties!$E$5:$E$304,R1494)&lt;&gt;"",INDEX(Parties!$E$5:$E$304,R1494)&lt;&gt;HomeState),ROUND(K1494*L1494,2),0)),"")</f>
        <v/>
      </c>
      <c r="P1494" s="61" t="str">
        <f aca="false">IF(IsPro,IF($D1494="","",K1494+M1494+N1494+O1494),"")</f>
        <v/>
      </c>
      <c r="Q1494" s="60" t="str">
        <f aca="false">IF(IsPro,IF($D1494="","",IFERROR(MATCH($D1494,Items!$A$5:$A$504,0),"")),"")</f>
        <v/>
      </c>
      <c r="R1494" s="60" t="str">
        <f aca="false">IF(IsPro,IF($C1494="","",IFERROR(MATCH($C1494,Parties!$A$5:$A$304,0),"")),"")</f>
        <v/>
      </c>
      <c r="S1494" s="61" t="str">
        <f aca="false">IF(IsPro,IF($D1494="","",IF(OR($H1494="",$H1494="Credit"),0,P1494)),"")</f>
        <v/>
      </c>
    </row>
    <row r="1495" customFormat="false" ht="15" hidden="false" customHeight="false" outlineLevel="0" collapsed="false">
      <c r="A1495" s="55"/>
      <c r="B1495" s="56"/>
      <c r="C1495" s="56"/>
      <c r="D1495" s="56"/>
      <c r="E1495" s="57"/>
      <c r="F1495" s="58"/>
      <c r="G1495" s="59"/>
      <c r="H1495" s="56"/>
      <c r="I1495" s="60" t="str">
        <f aca="false">IF(IsPro,IF($D1495="","",IFERROR(INDEX(Items!$D$5:$D$504,Q1495),"")),IF($D1495="","","PRO PLAN"))</f>
        <v/>
      </c>
      <c r="J1495" s="61" t="str">
        <f aca="false">IF(IsPro,IF($D1495="","",IF($F1495="",IFERROR(INDEX(Items!$G$5:$G$504,Q1495),0),$F1495)),"")</f>
        <v/>
      </c>
      <c r="K1495" s="61" t="str">
        <f aca="false">IF(IsPro,IF($D1495="","",ROUND(N($E1495)*J1495*(1-N($G1495)),2)),"")</f>
        <v/>
      </c>
      <c r="L1495" s="62" t="str">
        <f aca="false">IF(IsPro,IF($D1495="","",IFERROR(INDEX(Items!$F$5:$F$504,Q1495),0)),"")</f>
        <v/>
      </c>
      <c r="M1495" s="61" t="str">
        <f aca="false">IF(IsPro,IF($D1495="","",IF(AND(R1495&lt;&gt;"",INDEX(Parties!$E$5:$E$304,R1495)&lt;&gt;"",INDEX(Parties!$E$5:$E$304,R1495)&lt;&gt;HomeState),0,ROUND(K1495*L1495/2,2))),"")</f>
        <v/>
      </c>
      <c r="N1495" s="61" t="str">
        <f aca="false">IF(IsPro,IF($D1495="","",M1495),"")</f>
        <v/>
      </c>
      <c r="O1495" s="61" t="str">
        <f aca="false">IF(IsPro,IF($D1495="","",IF(AND(R1495&lt;&gt;"",INDEX(Parties!$E$5:$E$304,R1495)&lt;&gt;"",INDEX(Parties!$E$5:$E$304,R1495)&lt;&gt;HomeState),ROUND(K1495*L1495,2),0)),"")</f>
        <v/>
      </c>
      <c r="P1495" s="61" t="str">
        <f aca="false">IF(IsPro,IF($D1495="","",K1495+M1495+N1495+O1495),"")</f>
        <v/>
      </c>
      <c r="Q1495" s="60" t="str">
        <f aca="false">IF(IsPro,IF($D1495="","",IFERROR(MATCH($D1495,Items!$A$5:$A$504,0),"")),"")</f>
        <v/>
      </c>
      <c r="R1495" s="60" t="str">
        <f aca="false">IF(IsPro,IF($C1495="","",IFERROR(MATCH($C1495,Parties!$A$5:$A$304,0),"")),"")</f>
        <v/>
      </c>
      <c r="S1495" s="61" t="str">
        <f aca="false">IF(IsPro,IF($D1495="","",IF(OR($H1495="",$H1495="Credit"),0,P1495)),"")</f>
        <v/>
      </c>
    </row>
    <row r="1496" customFormat="false" ht="15" hidden="false" customHeight="false" outlineLevel="0" collapsed="false">
      <c r="A1496" s="55"/>
      <c r="B1496" s="56"/>
      <c r="C1496" s="56"/>
      <c r="D1496" s="56"/>
      <c r="E1496" s="57"/>
      <c r="F1496" s="58"/>
      <c r="G1496" s="59"/>
      <c r="H1496" s="56"/>
      <c r="I1496" s="60" t="str">
        <f aca="false">IF(IsPro,IF($D1496="","",IFERROR(INDEX(Items!$D$5:$D$504,Q1496),"")),IF($D1496="","","PRO PLAN"))</f>
        <v/>
      </c>
      <c r="J1496" s="61" t="str">
        <f aca="false">IF(IsPro,IF($D1496="","",IF($F1496="",IFERROR(INDEX(Items!$G$5:$G$504,Q1496),0),$F1496)),"")</f>
        <v/>
      </c>
      <c r="K1496" s="61" t="str">
        <f aca="false">IF(IsPro,IF($D1496="","",ROUND(N($E1496)*J1496*(1-N($G1496)),2)),"")</f>
        <v/>
      </c>
      <c r="L1496" s="62" t="str">
        <f aca="false">IF(IsPro,IF($D1496="","",IFERROR(INDEX(Items!$F$5:$F$504,Q1496),0)),"")</f>
        <v/>
      </c>
      <c r="M1496" s="61" t="str">
        <f aca="false">IF(IsPro,IF($D1496="","",IF(AND(R1496&lt;&gt;"",INDEX(Parties!$E$5:$E$304,R1496)&lt;&gt;"",INDEX(Parties!$E$5:$E$304,R1496)&lt;&gt;HomeState),0,ROUND(K1496*L1496/2,2))),"")</f>
        <v/>
      </c>
      <c r="N1496" s="61" t="str">
        <f aca="false">IF(IsPro,IF($D1496="","",M1496),"")</f>
        <v/>
      </c>
      <c r="O1496" s="61" t="str">
        <f aca="false">IF(IsPro,IF($D1496="","",IF(AND(R1496&lt;&gt;"",INDEX(Parties!$E$5:$E$304,R1496)&lt;&gt;"",INDEX(Parties!$E$5:$E$304,R1496)&lt;&gt;HomeState),ROUND(K1496*L1496,2),0)),"")</f>
        <v/>
      </c>
      <c r="P1496" s="61" t="str">
        <f aca="false">IF(IsPro,IF($D1496="","",K1496+M1496+N1496+O1496),"")</f>
        <v/>
      </c>
      <c r="Q1496" s="60" t="str">
        <f aca="false">IF(IsPro,IF($D1496="","",IFERROR(MATCH($D1496,Items!$A$5:$A$504,0),"")),"")</f>
        <v/>
      </c>
      <c r="R1496" s="60" t="str">
        <f aca="false">IF(IsPro,IF($C1496="","",IFERROR(MATCH($C1496,Parties!$A$5:$A$304,0),"")),"")</f>
        <v/>
      </c>
      <c r="S1496" s="61" t="str">
        <f aca="false">IF(IsPro,IF($D1496="","",IF(OR($H1496="",$H1496="Credit"),0,P1496)),"")</f>
        <v/>
      </c>
    </row>
    <row r="1497" customFormat="false" ht="15" hidden="false" customHeight="false" outlineLevel="0" collapsed="false">
      <c r="A1497" s="55"/>
      <c r="B1497" s="56"/>
      <c r="C1497" s="56"/>
      <c r="D1497" s="56"/>
      <c r="E1497" s="57"/>
      <c r="F1497" s="58"/>
      <c r="G1497" s="59"/>
      <c r="H1497" s="56"/>
      <c r="I1497" s="60" t="str">
        <f aca="false">IF(IsPro,IF($D1497="","",IFERROR(INDEX(Items!$D$5:$D$504,Q1497),"")),IF($D1497="","","PRO PLAN"))</f>
        <v/>
      </c>
      <c r="J1497" s="61" t="str">
        <f aca="false">IF(IsPro,IF($D1497="","",IF($F1497="",IFERROR(INDEX(Items!$G$5:$G$504,Q1497),0),$F1497)),"")</f>
        <v/>
      </c>
      <c r="K1497" s="61" t="str">
        <f aca="false">IF(IsPro,IF($D1497="","",ROUND(N($E1497)*J1497*(1-N($G1497)),2)),"")</f>
        <v/>
      </c>
      <c r="L1497" s="62" t="str">
        <f aca="false">IF(IsPro,IF($D1497="","",IFERROR(INDEX(Items!$F$5:$F$504,Q1497),0)),"")</f>
        <v/>
      </c>
      <c r="M1497" s="61" t="str">
        <f aca="false">IF(IsPro,IF($D1497="","",IF(AND(R1497&lt;&gt;"",INDEX(Parties!$E$5:$E$304,R1497)&lt;&gt;"",INDEX(Parties!$E$5:$E$304,R1497)&lt;&gt;HomeState),0,ROUND(K1497*L1497/2,2))),"")</f>
        <v/>
      </c>
      <c r="N1497" s="61" t="str">
        <f aca="false">IF(IsPro,IF($D1497="","",M1497),"")</f>
        <v/>
      </c>
      <c r="O1497" s="61" t="str">
        <f aca="false">IF(IsPro,IF($D1497="","",IF(AND(R1497&lt;&gt;"",INDEX(Parties!$E$5:$E$304,R1497)&lt;&gt;"",INDEX(Parties!$E$5:$E$304,R1497)&lt;&gt;HomeState),ROUND(K1497*L1497,2),0)),"")</f>
        <v/>
      </c>
      <c r="P1497" s="61" t="str">
        <f aca="false">IF(IsPro,IF($D1497="","",K1497+M1497+N1497+O1497),"")</f>
        <v/>
      </c>
      <c r="Q1497" s="60" t="str">
        <f aca="false">IF(IsPro,IF($D1497="","",IFERROR(MATCH($D1497,Items!$A$5:$A$504,0),"")),"")</f>
        <v/>
      </c>
      <c r="R1497" s="60" t="str">
        <f aca="false">IF(IsPro,IF($C1497="","",IFERROR(MATCH($C1497,Parties!$A$5:$A$304,0),"")),"")</f>
        <v/>
      </c>
      <c r="S1497" s="61" t="str">
        <f aca="false">IF(IsPro,IF($D1497="","",IF(OR($H1497="",$H1497="Credit"),0,P1497)),"")</f>
        <v/>
      </c>
    </row>
    <row r="1498" customFormat="false" ht="15" hidden="false" customHeight="false" outlineLevel="0" collapsed="false">
      <c r="A1498" s="55"/>
      <c r="B1498" s="56"/>
      <c r="C1498" s="56"/>
      <c r="D1498" s="56"/>
      <c r="E1498" s="57"/>
      <c r="F1498" s="58"/>
      <c r="G1498" s="59"/>
      <c r="H1498" s="56"/>
      <c r="I1498" s="60" t="str">
        <f aca="false">IF(IsPro,IF($D1498="","",IFERROR(INDEX(Items!$D$5:$D$504,Q1498),"")),IF($D1498="","","PRO PLAN"))</f>
        <v/>
      </c>
      <c r="J1498" s="61" t="str">
        <f aca="false">IF(IsPro,IF($D1498="","",IF($F1498="",IFERROR(INDEX(Items!$G$5:$G$504,Q1498),0),$F1498)),"")</f>
        <v/>
      </c>
      <c r="K1498" s="61" t="str">
        <f aca="false">IF(IsPro,IF($D1498="","",ROUND(N($E1498)*J1498*(1-N($G1498)),2)),"")</f>
        <v/>
      </c>
      <c r="L1498" s="62" t="str">
        <f aca="false">IF(IsPro,IF($D1498="","",IFERROR(INDEX(Items!$F$5:$F$504,Q1498),0)),"")</f>
        <v/>
      </c>
      <c r="M1498" s="61" t="str">
        <f aca="false">IF(IsPro,IF($D1498="","",IF(AND(R1498&lt;&gt;"",INDEX(Parties!$E$5:$E$304,R1498)&lt;&gt;"",INDEX(Parties!$E$5:$E$304,R1498)&lt;&gt;HomeState),0,ROUND(K1498*L1498/2,2))),"")</f>
        <v/>
      </c>
      <c r="N1498" s="61" t="str">
        <f aca="false">IF(IsPro,IF($D1498="","",M1498),"")</f>
        <v/>
      </c>
      <c r="O1498" s="61" t="str">
        <f aca="false">IF(IsPro,IF($D1498="","",IF(AND(R1498&lt;&gt;"",INDEX(Parties!$E$5:$E$304,R1498)&lt;&gt;"",INDEX(Parties!$E$5:$E$304,R1498)&lt;&gt;HomeState),ROUND(K1498*L1498,2),0)),"")</f>
        <v/>
      </c>
      <c r="P1498" s="61" t="str">
        <f aca="false">IF(IsPro,IF($D1498="","",K1498+M1498+N1498+O1498),"")</f>
        <v/>
      </c>
      <c r="Q1498" s="60" t="str">
        <f aca="false">IF(IsPro,IF($D1498="","",IFERROR(MATCH($D1498,Items!$A$5:$A$504,0),"")),"")</f>
        <v/>
      </c>
      <c r="R1498" s="60" t="str">
        <f aca="false">IF(IsPro,IF($C1498="","",IFERROR(MATCH($C1498,Parties!$A$5:$A$304,0),"")),"")</f>
        <v/>
      </c>
      <c r="S1498" s="61" t="str">
        <f aca="false">IF(IsPro,IF($D1498="","",IF(OR($H1498="",$H1498="Credit"),0,P1498)),"")</f>
        <v/>
      </c>
    </row>
    <row r="1499" customFormat="false" ht="15" hidden="false" customHeight="false" outlineLevel="0" collapsed="false">
      <c r="A1499" s="55"/>
      <c r="B1499" s="56"/>
      <c r="C1499" s="56"/>
      <c r="D1499" s="56"/>
      <c r="E1499" s="57"/>
      <c r="F1499" s="58"/>
      <c r="G1499" s="59"/>
      <c r="H1499" s="56"/>
      <c r="I1499" s="60" t="str">
        <f aca="false">IF(IsPro,IF($D1499="","",IFERROR(INDEX(Items!$D$5:$D$504,Q1499),"")),IF($D1499="","","PRO PLAN"))</f>
        <v/>
      </c>
      <c r="J1499" s="61" t="str">
        <f aca="false">IF(IsPro,IF($D1499="","",IF($F1499="",IFERROR(INDEX(Items!$G$5:$G$504,Q1499),0),$F1499)),"")</f>
        <v/>
      </c>
      <c r="K1499" s="61" t="str">
        <f aca="false">IF(IsPro,IF($D1499="","",ROUND(N($E1499)*J1499*(1-N($G1499)),2)),"")</f>
        <v/>
      </c>
      <c r="L1499" s="62" t="str">
        <f aca="false">IF(IsPro,IF($D1499="","",IFERROR(INDEX(Items!$F$5:$F$504,Q1499),0)),"")</f>
        <v/>
      </c>
      <c r="M1499" s="61" t="str">
        <f aca="false">IF(IsPro,IF($D1499="","",IF(AND(R1499&lt;&gt;"",INDEX(Parties!$E$5:$E$304,R1499)&lt;&gt;"",INDEX(Parties!$E$5:$E$304,R1499)&lt;&gt;HomeState),0,ROUND(K1499*L1499/2,2))),"")</f>
        <v/>
      </c>
      <c r="N1499" s="61" t="str">
        <f aca="false">IF(IsPro,IF($D1499="","",M1499),"")</f>
        <v/>
      </c>
      <c r="O1499" s="61" t="str">
        <f aca="false">IF(IsPro,IF($D1499="","",IF(AND(R1499&lt;&gt;"",INDEX(Parties!$E$5:$E$304,R1499)&lt;&gt;"",INDEX(Parties!$E$5:$E$304,R1499)&lt;&gt;HomeState),ROUND(K1499*L1499,2),0)),"")</f>
        <v/>
      </c>
      <c r="P1499" s="61" t="str">
        <f aca="false">IF(IsPro,IF($D1499="","",K1499+M1499+N1499+O1499),"")</f>
        <v/>
      </c>
      <c r="Q1499" s="60" t="str">
        <f aca="false">IF(IsPro,IF($D1499="","",IFERROR(MATCH($D1499,Items!$A$5:$A$504,0),"")),"")</f>
        <v/>
      </c>
      <c r="R1499" s="60" t="str">
        <f aca="false">IF(IsPro,IF($C1499="","",IFERROR(MATCH($C1499,Parties!$A$5:$A$304,0),"")),"")</f>
        <v/>
      </c>
      <c r="S1499" s="61" t="str">
        <f aca="false">IF(IsPro,IF($D1499="","",IF(OR($H1499="",$H1499="Credit"),0,P1499)),"")</f>
        <v/>
      </c>
    </row>
    <row r="1500" customFormat="false" ht="15" hidden="false" customHeight="false" outlineLevel="0" collapsed="false">
      <c r="A1500" s="55"/>
      <c r="B1500" s="56"/>
      <c r="C1500" s="56"/>
      <c r="D1500" s="56"/>
      <c r="E1500" s="57"/>
      <c r="F1500" s="58"/>
      <c r="G1500" s="59"/>
      <c r="H1500" s="56"/>
      <c r="I1500" s="60" t="str">
        <f aca="false">IF(IsPro,IF($D1500="","",IFERROR(INDEX(Items!$D$5:$D$504,Q1500),"")),IF($D1500="","","PRO PLAN"))</f>
        <v/>
      </c>
      <c r="J1500" s="61" t="str">
        <f aca="false">IF(IsPro,IF($D1500="","",IF($F1500="",IFERROR(INDEX(Items!$G$5:$G$504,Q1500),0),$F1500)),"")</f>
        <v/>
      </c>
      <c r="K1500" s="61" t="str">
        <f aca="false">IF(IsPro,IF($D1500="","",ROUND(N($E1500)*J1500*(1-N($G1500)),2)),"")</f>
        <v/>
      </c>
      <c r="L1500" s="62" t="str">
        <f aca="false">IF(IsPro,IF($D1500="","",IFERROR(INDEX(Items!$F$5:$F$504,Q1500),0)),"")</f>
        <v/>
      </c>
      <c r="M1500" s="61" t="str">
        <f aca="false">IF(IsPro,IF($D1500="","",IF(AND(R1500&lt;&gt;"",INDEX(Parties!$E$5:$E$304,R1500)&lt;&gt;"",INDEX(Parties!$E$5:$E$304,R1500)&lt;&gt;HomeState),0,ROUND(K1500*L1500/2,2))),"")</f>
        <v/>
      </c>
      <c r="N1500" s="61" t="str">
        <f aca="false">IF(IsPro,IF($D1500="","",M1500),"")</f>
        <v/>
      </c>
      <c r="O1500" s="61" t="str">
        <f aca="false">IF(IsPro,IF($D1500="","",IF(AND(R1500&lt;&gt;"",INDEX(Parties!$E$5:$E$304,R1500)&lt;&gt;"",INDEX(Parties!$E$5:$E$304,R1500)&lt;&gt;HomeState),ROUND(K1500*L1500,2),0)),"")</f>
        <v/>
      </c>
      <c r="P1500" s="61" t="str">
        <f aca="false">IF(IsPro,IF($D1500="","",K1500+M1500+N1500+O1500),"")</f>
        <v/>
      </c>
      <c r="Q1500" s="60" t="str">
        <f aca="false">IF(IsPro,IF($D1500="","",IFERROR(MATCH($D1500,Items!$A$5:$A$504,0),"")),"")</f>
        <v/>
      </c>
      <c r="R1500" s="60" t="str">
        <f aca="false">IF(IsPro,IF($C1500="","",IFERROR(MATCH($C1500,Parties!$A$5:$A$304,0),"")),"")</f>
        <v/>
      </c>
      <c r="S1500" s="61" t="str">
        <f aca="false">IF(IsPro,IF($D1500="","",IF(OR($H1500="",$H1500="Credit"),0,P1500)),"")</f>
        <v/>
      </c>
    </row>
    <row r="1501" customFormat="false" ht="15" hidden="false" customHeight="false" outlineLevel="0" collapsed="false">
      <c r="A1501" s="55"/>
      <c r="B1501" s="56"/>
      <c r="C1501" s="56"/>
      <c r="D1501" s="56"/>
      <c r="E1501" s="57"/>
      <c r="F1501" s="58"/>
      <c r="G1501" s="59"/>
      <c r="H1501" s="56"/>
      <c r="I1501" s="60" t="str">
        <f aca="false">IF(IsPro,IF($D1501="","",IFERROR(INDEX(Items!$D$5:$D$504,Q1501),"")),IF($D1501="","","PRO PLAN"))</f>
        <v/>
      </c>
      <c r="J1501" s="61" t="str">
        <f aca="false">IF(IsPro,IF($D1501="","",IF($F1501="",IFERROR(INDEX(Items!$G$5:$G$504,Q1501),0),$F1501)),"")</f>
        <v/>
      </c>
      <c r="K1501" s="61" t="str">
        <f aca="false">IF(IsPro,IF($D1501="","",ROUND(N($E1501)*J1501*(1-N($G1501)),2)),"")</f>
        <v/>
      </c>
      <c r="L1501" s="62" t="str">
        <f aca="false">IF(IsPro,IF($D1501="","",IFERROR(INDEX(Items!$F$5:$F$504,Q1501),0)),"")</f>
        <v/>
      </c>
      <c r="M1501" s="61" t="str">
        <f aca="false">IF(IsPro,IF($D1501="","",IF(AND(R1501&lt;&gt;"",INDEX(Parties!$E$5:$E$304,R1501)&lt;&gt;"",INDEX(Parties!$E$5:$E$304,R1501)&lt;&gt;HomeState),0,ROUND(K1501*L1501/2,2))),"")</f>
        <v/>
      </c>
      <c r="N1501" s="61" t="str">
        <f aca="false">IF(IsPro,IF($D1501="","",M1501),"")</f>
        <v/>
      </c>
      <c r="O1501" s="61" t="str">
        <f aca="false">IF(IsPro,IF($D1501="","",IF(AND(R1501&lt;&gt;"",INDEX(Parties!$E$5:$E$304,R1501)&lt;&gt;"",INDEX(Parties!$E$5:$E$304,R1501)&lt;&gt;HomeState),ROUND(K1501*L1501,2),0)),"")</f>
        <v/>
      </c>
      <c r="P1501" s="61" t="str">
        <f aca="false">IF(IsPro,IF($D1501="","",K1501+M1501+N1501+O1501),"")</f>
        <v/>
      </c>
      <c r="Q1501" s="60" t="str">
        <f aca="false">IF(IsPro,IF($D1501="","",IFERROR(MATCH($D1501,Items!$A$5:$A$504,0),"")),"")</f>
        <v/>
      </c>
      <c r="R1501" s="60" t="str">
        <f aca="false">IF(IsPro,IF($C1501="","",IFERROR(MATCH($C1501,Parties!$A$5:$A$304,0),"")),"")</f>
        <v/>
      </c>
      <c r="S1501" s="61" t="str">
        <f aca="false">IF(IsPro,IF($D1501="","",IF(OR($H1501="",$H1501="Credit"),0,P1501)),"")</f>
        <v/>
      </c>
    </row>
    <row r="1502" customFormat="false" ht="15" hidden="false" customHeight="false" outlineLevel="0" collapsed="false">
      <c r="A1502" s="55"/>
      <c r="B1502" s="56"/>
      <c r="C1502" s="56"/>
      <c r="D1502" s="56"/>
      <c r="E1502" s="57"/>
      <c r="F1502" s="58"/>
      <c r="G1502" s="59"/>
      <c r="H1502" s="56"/>
      <c r="I1502" s="60" t="str">
        <f aca="false">IF(IsPro,IF($D1502="","",IFERROR(INDEX(Items!$D$5:$D$504,Q1502),"")),IF($D1502="","","PRO PLAN"))</f>
        <v/>
      </c>
      <c r="J1502" s="61" t="str">
        <f aca="false">IF(IsPro,IF($D1502="","",IF($F1502="",IFERROR(INDEX(Items!$G$5:$G$504,Q1502),0),$F1502)),"")</f>
        <v/>
      </c>
      <c r="K1502" s="61" t="str">
        <f aca="false">IF(IsPro,IF($D1502="","",ROUND(N($E1502)*J1502*(1-N($G1502)),2)),"")</f>
        <v/>
      </c>
      <c r="L1502" s="62" t="str">
        <f aca="false">IF(IsPro,IF($D1502="","",IFERROR(INDEX(Items!$F$5:$F$504,Q1502),0)),"")</f>
        <v/>
      </c>
      <c r="M1502" s="61" t="str">
        <f aca="false">IF(IsPro,IF($D1502="","",IF(AND(R1502&lt;&gt;"",INDEX(Parties!$E$5:$E$304,R1502)&lt;&gt;"",INDEX(Parties!$E$5:$E$304,R1502)&lt;&gt;HomeState),0,ROUND(K1502*L1502/2,2))),"")</f>
        <v/>
      </c>
      <c r="N1502" s="61" t="str">
        <f aca="false">IF(IsPro,IF($D1502="","",M1502),"")</f>
        <v/>
      </c>
      <c r="O1502" s="61" t="str">
        <f aca="false">IF(IsPro,IF($D1502="","",IF(AND(R1502&lt;&gt;"",INDEX(Parties!$E$5:$E$304,R1502)&lt;&gt;"",INDEX(Parties!$E$5:$E$304,R1502)&lt;&gt;HomeState),ROUND(K1502*L1502,2),0)),"")</f>
        <v/>
      </c>
      <c r="P1502" s="61" t="str">
        <f aca="false">IF(IsPro,IF($D1502="","",K1502+M1502+N1502+O1502),"")</f>
        <v/>
      </c>
      <c r="Q1502" s="60" t="str">
        <f aca="false">IF(IsPro,IF($D1502="","",IFERROR(MATCH($D1502,Items!$A$5:$A$504,0),"")),"")</f>
        <v/>
      </c>
      <c r="R1502" s="60" t="str">
        <f aca="false">IF(IsPro,IF($C1502="","",IFERROR(MATCH($C1502,Parties!$A$5:$A$304,0),"")),"")</f>
        <v/>
      </c>
      <c r="S1502" s="61" t="str">
        <f aca="false">IF(IsPro,IF($D1502="","",IF(OR($H1502="",$H1502="Credit"),0,P1502)),"")</f>
        <v/>
      </c>
    </row>
    <row r="1503" customFormat="false" ht="15" hidden="false" customHeight="false" outlineLevel="0" collapsed="false">
      <c r="A1503" s="55"/>
      <c r="B1503" s="56"/>
      <c r="C1503" s="56"/>
      <c r="D1503" s="56"/>
      <c r="E1503" s="57"/>
      <c r="F1503" s="58"/>
      <c r="G1503" s="59"/>
      <c r="H1503" s="56"/>
      <c r="I1503" s="60" t="str">
        <f aca="false">IF(IsPro,IF($D1503="","",IFERROR(INDEX(Items!$D$5:$D$504,Q1503),"")),IF($D1503="","","PRO PLAN"))</f>
        <v/>
      </c>
      <c r="J1503" s="61" t="str">
        <f aca="false">IF(IsPro,IF($D1503="","",IF($F1503="",IFERROR(INDEX(Items!$G$5:$G$504,Q1503),0),$F1503)),"")</f>
        <v/>
      </c>
      <c r="K1503" s="61" t="str">
        <f aca="false">IF(IsPro,IF($D1503="","",ROUND(N($E1503)*J1503*(1-N($G1503)),2)),"")</f>
        <v/>
      </c>
      <c r="L1503" s="62" t="str">
        <f aca="false">IF(IsPro,IF($D1503="","",IFERROR(INDEX(Items!$F$5:$F$504,Q1503),0)),"")</f>
        <v/>
      </c>
      <c r="M1503" s="61" t="str">
        <f aca="false">IF(IsPro,IF($D1503="","",IF(AND(R1503&lt;&gt;"",INDEX(Parties!$E$5:$E$304,R1503)&lt;&gt;"",INDEX(Parties!$E$5:$E$304,R1503)&lt;&gt;HomeState),0,ROUND(K1503*L1503/2,2))),"")</f>
        <v/>
      </c>
      <c r="N1503" s="61" t="str">
        <f aca="false">IF(IsPro,IF($D1503="","",M1503),"")</f>
        <v/>
      </c>
      <c r="O1503" s="61" t="str">
        <f aca="false">IF(IsPro,IF($D1503="","",IF(AND(R1503&lt;&gt;"",INDEX(Parties!$E$5:$E$304,R1503)&lt;&gt;"",INDEX(Parties!$E$5:$E$304,R1503)&lt;&gt;HomeState),ROUND(K1503*L1503,2),0)),"")</f>
        <v/>
      </c>
      <c r="P1503" s="61" t="str">
        <f aca="false">IF(IsPro,IF($D1503="","",K1503+M1503+N1503+O1503),"")</f>
        <v/>
      </c>
      <c r="Q1503" s="60" t="str">
        <f aca="false">IF(IsPro,IF($D1503="","",IFERROR(MATCH($D1503,Items!$A$5:$A$504,0),"")),"")</f>
        <v/>
      </c>
      <c r="R1503" s="60" t="str">
        <f aca="false">IF(IsPro,IF($C1503="","",IFERROR(MATCH($C1503,Parties!$A$5:$A$304,0),"")),"")</f>
        <v/>
      </c>
      <c r="S1503" s="61" t="str">
        <f aca="false">IF(IsPro,IF($D1503="","",IF(OR($H1503="",$H1503="Credit"),0,P1503)),"")</f>
        <v/>
      </c>
    </row>
    <row r="1504" customFormat="false" ht="15" hidden="false" customHeight="false" outlineLevel="0" collapsed="false">
      <c r="A1504" s="55"/>
      <c r="B1504" s="56"/>
      <c r="C1504" s="56"/>
      <c r="D1504" s="56"/>
      <c r="E1504" s="57"/>
      <c r="F1504" s="58"/>
      <c r="G1504" s="59"/>
      <c r="H1504" s="56"/>
      <c r="I1504" s="60" t="str">
        <f aca="false">IF(IsPro,IF($D1504="","",IFERROR(INDEX(Items!$D$5:$D$504,Q1504),"")),IF($D1504="","","PRO PLAN"))</f>
        <v/>
      </c>
      <c r="J1504" s="61" t="str">
        <f aca="false">IF(IsPro,IF($D1504="","",IF($F1504="",IFERROR(INDEX(Items!$G$5:$G$504,Q1504),0),$F1504)),"")</f>
        <v/>
      </c>
      <c r="K1504" s="61" t="str">
        <f aca="false">IF(IsPro,IF($D1504="","",ROUND(N($E1504)*J1504*(1-N($G1504)),2)),"")</f>
        <v/>
      </c>
      <c r="L1504" s="62" t="str">
        <f aca="false">IF(IsPro,IF($D1504="","",IFERROR(INDEX(Items!$F$5:$F$504,Q1504),0)),"")</f>
        <v/>
      </c>
      <c r="M1504" s="61" t="str">
        <f aca="false">IF(IsPro,IF($D1504="","",IF(AND(R1504&lt;&gt;"",INDEX(Parties!$E$5:$E$304,R1504)&lt;&gt;"",INDEX(Parties!$E$5:$E$304,R1504)&lt;&gt;HomeState),0,ROUND(K1504*L1504/2,2))),"")</f>
        <v/>
      </c>
      <c r="N1504" s="61" t="str">
        <f aca="false">IF(IsPro,IF($D1504="","",M1504),"")</f>
        <v/>
      </c>
      <c r="O1504" s="61" t="str">
        <f aca="false">IF(IsPro,IF($D1504="","",IF(AND(R1504&lt;&gt;"",INDEX(Parties!$E$5:$E$304,R1504)&lt;&gt;"",INDEX(Parties!$E$5:$E$304,R1504)&lt;&gt;HomeState),ROUND(K1504*L1504,2),0)),"")</f>
        <v/>
      </c>
      <c r="P1504" s="61" t="str">
        <f aca="false">IF(IsPro,IF($D1504="","",K1504+M1504+N1504+O1504),"")</f>
        <v/>
      </c>
      <c r="Q1504" s="60" t="str">
        <f aca="false">IF(IsPro,IF($D1504="","",IFERROR(MATCH($D1504,Items!$A$5:$A$504,0),"")),"")</f>
        <v/>
      </c>
      <c r="R1504" s="60" t="str">
        <f aca="false">IF(IsPro,IF($C1504="","",IFERROR(MATCH($C1504,Parties!$A$5:$A$304,0),"")),"")</f>
        <v/>
      </c>
      <c r="S1504" s="61" t="str">
        <f aca="false">IF(IsPro,IF($D1504="","",IF(OR($H1504="",$H1504="Credit"),0,P1504)),"")</f>
        <v/>
      </c>
    </row>
    <row r="1505" customFormat="false" ht="15" hidden="false" customHeight="false" outlineLevel="0" collapsed="false">
      <c r="A1505" s="55"/>
      <c r="B1505" s="56"/>
      <c r="C1505" s="56"/>
      <c r="D1505" s="56"/>
      <c r="E1505" s="57"/>
      <c r="F1505" s="58"/>
      <c r="G1505" s="59"/>
      <c r="H1505" s="56"/>
      <c r="I1505" s="60" t="str">
        <f aca="false">IF(IsPro,IF($D1505="","",IFERROR(INDEX(Items!$D$5:$D$504,Q1505),"")),IF($D1505="","","PRO PLAN"))</f>
        <v/>
      </c>
      <c r="J1505" s="61" t="str">
        <f aca="false">IF(IsPro,IF($D1505="","",IF($F1505="",IFERROR(INDEX(Items!$G$5:$G$504,Q1505),0),$F1505)),"")</f>
        <v/>
      </c>
      <c r="K1505" s="61" t="str">
        <f aca="false">IF(IsPro,IF($D1505="","",ROUND(N($E1505)*J1505*(1-N($G1505)),2)),"")</f>
        <v/>
      </c>
      <c r="L1505" s="62" t="str">
        <f aca="false">IF(IsPro,IF($D1505="","",IFERROR(INDEX(Items!$F$5:$F$504,Q1505),0)),"")</f>
        <v/>
      </c>
      <c r="M1505" s="61" t="str">
        <f aca="false">IF(IsPro,IF($D1505="","",IF(AND(R1505&lt;&gt;"",INDEX(Parties!$E$5:$E$304,R1505)&lt;&gt;"",INDEX(Parties!$E$5:$E$304,R1505)&lt;&gt;HomeState),0,ROUND(K1505*L1505/2,2))),"")</f>
        <v/>
      </c>
      <c r="N1505" s="61" t="str">
        <f aca="false">IF(IsPro,IF($D1505="","",M1505),"")</f>
        <v/>
      </c>
      <c r="O1505" s="61" t="str">
        <f aca="false">IF(IsPro,IF($D1505="","",IF(AND(R1505&lt;&gt;"",INDEX(Parties!$E$5:$E$304,R1505)&lt;&gt;"",INDEX(Parties!$E$5:$E$304,R1505)&lt;&gt;HomeState),ROUND(K1505*L1505,2),0)),"")</f>
        <v/>
      </c>
      <c r="P1505" s="61" t="str">
        <f aca="false">IF(IsPro,IF($D1505="","",K1505+M1505+N1505+O1505),"")</f>
        <v/>
      </c>
      <c r="Q1505" s="60" t="str">
        <f aca="false">IF(IsPro,IF($D1505="","",IFERROR(MATCH($D1505,Items!$A$5:$A$504,0),"")),"")</f>
        <v/>
      </c>
      <c r="R1505" s="60" t="str">
        <f aca="false">IF(IsPro,IF($C1505="","",IFERROR(MATCH($C1505,Parties!$A$5:$A$304,0),"")),"")</f>
        <v/>
      </c>
      <c r="S1505" s="61" t="str">
        <f aca="false">IF(IsPro,IF($D1505="","",IF(OR($H1505="",$H1505="Credit"),0,P1505)),"")</f>
        <v/>
      </c>
    </row>
    <row r="1506" customFormat="false" ht="15" hidden="false" customHeight="false" outlineLevel="0" collapsed="false">
      <c r="A1506" s="55"/>
      <c r="B1506" s="56"/>
      <c r="C1506" s="56"/>
      <c r="D1506" s="56"/>
      <c r="E1506" s="57"/>
      <c r="F1506" s="58"/>
      <c r="G1506" s="59"/>
      <c r="H1506" s="56"/>
      <c r="I1506" s="60" t="str">
        <f aca="false">IF(IsPro,IF($D1506="","",IFERROR(INDEX(Items!$D$5:$D$504,Q1506),"")),IF($D1506="","","PRO PLAN"))</f>
        <v/>
      </c>
      <c r="J1506" s="61" t="str">
        <f aca="false">IF(IsPro,IF($D1506="","",IF($F1506="",IFERROR(INDEX(Items!$G$5:$G$504,Q1506),0),$F1506)),"")</f>
        <v/>
      </c>
      <c r="K1506" s="61" t="str">
        <f aca="false">IF(IsPro,IF($D1506="","",ROUND(N($E1506)*J1506*(1-N($G1506)),2)),"")</f>
        <v/>
      </c>
      <c r="L1506" s="62" t="str">
        <f aca="false">IF(IsPro,IF($D1506="","",IFERROR(INDEX(Items!$F$5:$F$504,Q1506),0)),"")</f>
        <v/>
      </c>
      <c r="M1506" s="61" t="str">
        <f aca="false">IF(IsPro,IF($D1506="","",IF(AND(R1506&lt;&gt;"",INDEX(Parties!$E$5:$E$304,R1506)&lt;&gt;"",INDEX(Parties!$E$5:$E$304,R1506)&lt;&gt;HomeState),0,ROUND(K1506*L1506/2,2))),"")</f>
        <v/>
      </c>
      <c r="N1506" s="61" t="str">
        <f aca="false">IF(IsPro,IF($D1506="","",M1506),"")</f>
        <v/>
      </c>
      <c r="O1506" s="61" t="str">
        <f aca="false">IF(IsPro,IF($D1506="","",IF(AND(R1506&lt;&gt;"",INDEX(Parties!$E$5:$E$304,R1506)&lt;&gt;"",INDEX(Parties!$E$5:$E$304,R1506)&lt;&gt;HomeState),ROUND(K1506*L1506,2),0)),"")</f>
        <v/>
      </c>
      <c r="P1506" s="61" t="str">
        <f aca="false">IF(IsPro,IF($D1506="","",K1506+M1506+N1506+O1506),"")</f>
        <v/>
      </c>
      <c r="Q1506" s="60" t="str">
        <f aca="false">IF(IsPro,IF($D1506="","",IFERROR(MATCH($D1506,Items!$A$5:$A$504,0),"")),"")</f>
        <v/>
      </c>
      <c r="R1506" s="60" t="str">
        <f aca="false">IF(IsPro,IF($C1506="","",IFERROR(MATCH($C1506,Parties!$A$5:$A$304,0),"")),"")</f>
        <v/>
      </c>
      <c r="S1506" s="61" t="str">
        <f aca="false">IF(IsPro,IF($D1506="","",IF(OR($H1506="",$H1506="Credit"),0,P1506)),"")</f>
        <v/>
      </c>
    </row>
    <row r="1507" customFormat="false" ht="15" hidden="false" customHeight="false" outlineLevel="0" collapsed="false">
      <c r="A1507" s="55"/>
      <c r="B1507" s="56"/>
      <c r="C1507" s="56"/>
      <c r="D1507" s="56"/>
      <c r="E1507" s="57"/>
      <c r="F1507" s="58"/>
      <c r="G1507" s="59"/>
      <c r="H1507" s="56"/>
      <c r="I1507" s="60" t="str">
        <f aca="false">IF(IsPro,IF($D1507="","",IFERROR(INDEX(Items!$D$5:$D$504,Q1507),"")),IF($D1507="","","PRO PLAN"))</f>
        <v/>
      </c>
      <c r="J1507" s="61" t="str">
        <f aca="false">IF(IsPro,IF($D1507="","",IF($F1507="",IFERROR(INDEX(Items!$G$5:$G$504,Q1507),0),$F1507)),"")</f>
        <v/>
      </c>
      <c r="K1507" s="61" t="str">
        <f aca="false">IF(IsPro,IF($D1507="","",ROUND(N($E1507)*J1507*(1-N($G1507)),2)),"")</f>
        <v/>
      </c>
      <c r="L1507" s="62" t="str">
        <f aca="false">IF(IsPro,IF($D1507="","",IFERROR(INDEX(Items!$F$5:$F$504,Q1507),0)),"")</f>
        <v/>
      </c>
      <c r="M1507" s="61" t="str">
        <f aca="false">IF(IsPro,IF($D1507="","",IF(AND(R1507&lt;&gt;"",INDEX(Parties!$E$5:$E$304,R1507)&lt;&gt;"",INDEX(Parties!$E$5:$E$304,R1507)&lt;&gt;HomeState),0,ROUND(K1507*L1507/2,2))),"")</f>
        <v/>
      </c>
      <c r="N1507" s="61" t="str">
        <f aca="false">IF(IsPro,IF($D1507="","",M1507),"")</f>
        <v/>
      </c>
      <c r="O1507" s="61" t="str">
        <f aca="false">IF(IsPro,IF($D1507="","",IF(AND(R1507&lt;&gt;"",INDEX(Parties!$E$5:$E$304,R1507)&lt;&gt;"",INDEX(Parties!$E$5:$E$304,R1507)&lt;&gt;HomeState),ROUND(K1507*L1507,2),0)),"")</f>
        <v/>
      </c>
      <c r="P1507" s="61" t="str">
        <f aca="false">IF(IsPro,IF($D1507="","",K1507+M1507+N1507+O1507),"")</f>
        <v/>
      </c>
      <c r="Q1507" s="60" t="str">
        <f aca="false">IF(IsPro,IF($D1507="","",IFERROR(MATCH($D1507,Items!$A$5:$A$504,0),"")),"")</f>
        <v/>
      </c>
      <c r="R1507" s="60" t="str">
        <f aca="false">IF(IsPro,IF($C1507="","",IFERROR(MATCH($C1507,Parties!$A$5:$A$304,0),"")),"")</f>
        <v/>
      </c>
      <c r="S1507" s="61" t="str">
        <f aca="false">IF(IsPro,IF($D1507="","",IF(OR($H1507="",$H1507="Credit"),0,P1507)),"")</f>
        <v/>
      </c>
    </row>
    <row r="1508" customFormat="false" ht="15" hidden="false" customHeight="false" outlineLevel="0" collapsed="false">
      <c r="A1508" s="55"/>
      <c r="B1508" s="56"/>
      <c r="C1508" s="56"/>
      <c r="D1508" s="56"/>
      <c r="E1508" s="57"/>
      <c r="F1508" s="58"/>
      <c r="G1508" s="59"/>
      <c r="H1508" s="56"/>
      <c r="I1508" s="60" t="str">
        <f aca="false">IF(IsPro,IF($D1508="","",IFERROR(INDEX(Items!$D$5:$D$504,Q1508),"")),IF($D1508="","","PRO PLAN"))</f>
        <v/>
      </c>
      <c r="J1508" s="61" t="str">
        <f aca="false">IF(IsPro,IF($D1508="","",IF($F1508="",IFERROR(INDEX(Items!$G$5:$G$504,Q1508),0),$F1508)),"")</f>
        <v/>
      </c>
      <c r="K1508" s="61" t="str">
        <f aca="false">IF(IsPro,IF($D1508="","",ROUND(N($E1508)*J1508*(1-N($G1508)),2)),"")</f>
        <v/>
      </c>
      <c r="L1508" s="62" t="str">
        <f aca="false">IF(IsPro,IF($D1508="","",IFERROR(INDEX(Items!$F$5:$F$504,Q1508),0)),"")</f>
        <v/>
      </c>
      <c r="M1508" s="61" t="str">
        <f aca="false">IF(IsPro,IF($D1508="","",IF(AND(R1508&lt;&gt;"",INDEX(Parties!$E$5:$E$304,R1508)&lt;&gt;"",INDEX(Parties!$E$5:$E$304,R1508)&lt;&gt;HomeState),0,ROUND(K1508*L1508/2,2))),"")</f>
        <v/>
      </c>
      <c r="N1508" s="61" t="str">
        <f aca="false">IF(IsPro,IF($D1508="","",M1508),"")</f>
        <v/>
      </c>
      <c r="O1508" s="61" t="str">
        <f aca="false">IF(IsPro,IF($D1508="","",IF(AND(R1508&lt;&gt;"",INDEX(Parties!$E$5:$E$304,R1508)&lt;&gt;"",INDEX(Parties!$E$5:$E$304,R1508)&lt;&gt;HomeState),ROUND(K1508*L1508,2),0)),"")</f>
        <v/>
      </c>
      <c r="P1508" s="61" t="str">
        <f aca="false">IF(IsPro,IF($D1508="","",K1508+M1508+N1508+O1508),"")</f>
        <v/>
      </c>
      <c r="Q1508" s="60" t="str">
        <f aca="false">IF(IsPro,IF($D1508="","",IFERROR(MATCH($D1508,Items!$A$5:$A$504,0),"")),"")</f>
        <v/>
      </c>
      <c r="R1508" s="60" t="str">
        <f aca="false">IF(IsPro,IF($C1508="","",IFERROR(MATCH($C1508,Parties!$A$5:$A$304,0),"")),"")</f>
        <v/>
      </c>
      <c r="S1508" s="61" t="str">
        <f aca="false">IF(IsPro,IF($D1508="","",IF(OR($H1508="",$H1508="Credit"),0,P1508)),"")</f>
        <v/>
      </c>
    </row>
    <row r="1509" customFormat="false" ht="15" hidden="false" customHeight="false" outlineLevel="0" collapsed="false">
      <c r="A1509" s="55"/>
      <c r="B1509" s="56"/>
      <c r="C1509" s="56"/>
      <c r="D1509" s="56"/>
      <c r="E1509" s="57"/>
      <c r="F1509" s="58"/>
      <c r="G1509" s="59"/>
      <c r="H1509" s="56"/>
      <c r="I1509" s="60" t="str">
        <f aca="false">IF(IsPro,IF($D1509="","",IFERROR(INDEX(Items!$D$5:$D$504,Q1509),"")),IF($D1509="","","PRO PLAN"))</f>
        <v/>
      </c>
      <c r="J1509" s="61" t="str">
        <f aca="false">IF(IsPro,IF($D1509="","",IF($F1509="",IFERROR(INDEX(Items!$G$5:$G$504,Q1509),0),$F1509)),"")</f>
        <v/>
      </c>
      <c r="K1509" s="61" t="str">
        <f aca="false">IF(IsPro,IF($D1509="","",ROUND(N($E1509)*J1509*(1-N($G1509)),2)),"")</f>
        <v/>
      </c>
      <c r="L1509" s="62" t="str">
        <f aca="false">IF(IsPro,IF($D1509="","",IFERROR(INDEX(Items!$F$5:$F$504,Q1509),0)),"")</f>
        <v/>
      </c>
      <c r="M1509" s="61" t="str">
        <f aca="false">IF(IsPro,IF($D1509="","",IF(AND(R1509&lt;&gt;"",INDEX(Parties!$E$5:$E$304,R1509)&lt;&gt;"",INDEX(Parties!$E$5:$E$304,R1509)&lt;&gt;HomeState),0,ROUND(K1509*L1509/2,2))),"")</f>
        <v/>
      </c>
      <c r="N1509" s="61" t="str">
        <f aca="false">IF(IsPro,IF($D1509="","",M1509),"")</f>
        <v/>
      </c>
      <c r="O1509" s="61" t="str">
        <f aca="false">IF(IsPro,IF($D1509="","",IF(AND(R1509&lt;&gt;"",INDEX(Parties!$E$5:$E$304,R1509)&lt;&gt;"",INDEX(Parties!$E$5:$E$304,R1509)&lt;&gt;HomeState),ROUND(K1509*L1509,2),0)),"")</f>
        <v/>
      </c>
      <c r="P1509" s="61" t="str">
        <f aca="false">IF(IsPro,IF($D1509="","",K1509+M1509+N1509+O1509),"")</f>
        <v/>
      </c>
      <c r="Q1509" s="60" t="str">
        <f aca="false">IF(IsPro,IF($D1509="","",IFERROR(MATCH($D1509,Items!$A$5:$A$504,0),"")),"")</f>
        <v/>
      </c>
      <c r="R1509" s="60" t="str">
        <f aca="false">IF(IsPro,IF($C1509="","",IFERROR(MATCH($C1509,Parties!$A$5:$A$304,0),"")),"")</f>
        <v/>
      </c>
      <c r="S1509" s="61" t="str">
        <f aca="false">IF(IsPro,IF($D1509="","",IF(OR($H1509="",$H1509="Credit"),0,P1509)),"")</f>
        <v/>
      </c>
    </row>
    <row r="1510" customFormat="false" ht="15" hidden="false" customHeight="false" outlineLevel="0" collapsed="false">
      <c r="A1510" s="55"/>
      <c r="B1510" s="56"/>
      <c r="C1510" s="56"/>
      <c r="D1510" s="56"/>
      <c r="E1510" s="57"/>
      <c r="F1510" s="58"/>
      <c r="G1510" s="59"/>
      <c r="H1510" s="56"/>
      <c r="I1510" s="60" t="str">
        <f aca="false">IF(IsPro,IF($D1510="","",IFERROR(INDEX(Items!$D$5:$D$504,Q1510),"")),IF($D1510="","","PRO PLAN"))</f>
        <v/>
      </c>
      <c r="J1510" s="61" t="str">
        <f aca="false">IF(IsPro,IF($D1510="","",IF($F1510="",IFERROR(INDEX(Items!$G$5:$G$504,Q1510),0),$F1510)),"")</f>
        <v/>
      </c>
      <c r="K1510" s="61" t="str">
        <f aca="false">IF(IsPro,IF($D1510="","",ROUND(N($E1510)*J1510*(1-N($G1510)),2)),"")</f>
        <v/>
      </c>
      <c r="L1510" s="62" t="str">
        <f aca="false">IF(IsPro,IF($D1510="","",IFERROR(INDEX(Items!$F$5:$F$504,Q1510),0)),"")</f>
        <v/>
      </c>
      <c r="M1510" s="61" t="str">
        <f aca="false">IF(IsPro,IF($D1510="","",IF(AND(R1510&lt;&gt;"",INDEX(Parties!$E$5:$E$304,R1510)&lt;&gt;"",INDEX(Parties!$E$5:$E$304,R1510)&lt;&gt;HomeState),0,ROUND(K1510*L1510/2,2))),"")</f>
        <v/>
      </c>
      <c r="N1510" s="61" t="str">
        <f aca="false">IF(IsPro,IF($D1510="","",M1510),"")</f>
        <v/>
      </c>
      <c r="O1510" s="61" t="str">
        <f aca="false">IF(IsPro,IF($D1510="","",IF(AND(R1510&lt;&gt;"",INDEX(Parties!$E$5:$E$304,R1510)&lt;&gt;"",INDEX(Parties!$E$5:$E$304,R1510)&lt;&gt;HomeState),ROUND(K1510*L1510,2),0)),"")</f>
        <v/>
      </c>
      <c r="P1510" s="61" t="str">
        <f aca="false">IF(IsPro,IF($D1510="","",K1510+M1510+N1510+O1510),"")</f>
        <v/>
      </c>
      <c r="Q1510" s="60" t="str">
        <f aca="false">IF(IsPro,IF($D1510="","",IFERROR(MATCH($D1510,Items!$A$5:$A$504,0),"")),"")</f>
        <v/>
      </c>
      <c r="R1510" s="60" t="str">
        <f aca="false">IF(IsPro,IF($C1510="","",IFERROR(MATCH($C1510,Parties!$A$5:$A$304,0),"")),"")</f>
        <v/>
      </c>
      <c r="S1510" s="61" t="str">
        <f aca="false">IF(IsPro,IF($D1510="","",IF(OR($H1510="",$H1510="Credit"),0,P1510)),"")</f>
        <v/>
      </c>
    </row>
    <row r="1511" customFormat="false" ht="15" hidden="false" customHeight="false" outlineLevel="0" collapsed="false">
      <c r="A1511" s="55"/>
      <c r="B1511" s="56"/>
      <c r="C1511" s="56"/>
      <c r="D1511" s="56"/>
      <c r="E1511" s="57"/>
      <c r="F1511" s="58"/>
      <c r="G1511" s="59"/>
      <c r="H1511" s="56"/>
      <c r="I1511" s="60" t="str">
        <f aca="false">IF(IsPro,IF($D1511="","",IFERROR(INDEX(Items!$D$5:$D$504,Q1511),"")),IF($D1511="","","PRO PLAN"))</f>
        <v/>
      </c>
      <c r="J1511" s="61" t="str">
        <f aca="false">IF(IsPro,IF($D1511="","",IF($F1511="",IFERROR(INDEX(Items!$G$5:$G$504,Q1511),0),$F1511)),"")</f>
        <v/>
      </c>
      <c r="K1511" s="61" t="str">
        <f aca="false">IF(IsPro,IF($D1511="","",ROUND(N($E1511)*J1511*(1-N($G1511)),2)),"")</f>
        <v/>
      </c>
      <c r="L1511" s="62" t="str">
        <f aca="false">IF(IsPro,IF($D1511="","",IFERROR(INDEX(Items!$F$5:$F$504,Q1511),0)),"")</f>
        <v/>
      </c>
      <c r="M1511" s="61" t="str">
        <f aca="false">IF(IsPro,IF($D1511="","",IF(AND(R1511&lt;&gt;"",INDEX(Parties!$E$5:$E$304,R1511)&lt;&gt;"",INDEX(Parties!$E$5:$E$304,R1511)&lt;&gt;HomeState),0,ROUND(K1511*L1511/2,2))),"")</f>
        <v/>
      </c>
      <c r="N1511" s="61" t="str">
        <f aca="false">IF(IsPro,IF($D1511="","",M1511),"")</f>
        <v/>
      </c>
      <c r="O1511" s="61" t="str">
        <f aca="false">IF(IsPro,IF($D1511="","",IF(AND(R1511&lt;&gt;"",INDEX(Parties!$E$5:$E$304,R1511)&lt;&gt;"",INDEX(Parties!$E$5:$E$304,R1511)&lt;&gt;HomeState),ROUND(K1511*L1511,2),0)),"")</f>
        <v/>
      </c>
      <c r="P1511" s="61" t="str">
        <f aca="false">IF(IsPro,IF($D1511="","",K1511+M1511+N1511+O1511),"")</f>
        <v/>
      </c>
      <c r="Q1511" s="60" t="str">
        <f aca="false">IF(IsPro,IF($D1511="","",IFERROR(MATCH($D1511,Items!$A$5:$A$504,0),"")),"")</f>
        <v/>
      </c>
      <c r="R1511" s="60" t="str">
        <f aca="false">IF(IsPro,IF($C1511="","",IFERROR(MATCH($C1511,Parties!$A$5:$A$304,0),"")),"")</f>
        <v/>
      </c>
      <c r="S1511" s="61" t="str">
        <f aca="false">IF(IsPro,IF($D1511="","",IF(OR($H1511="",$H1511="Credit"),0,P1511)),"")</f>
        <v/>
      </c>
    </row>
    <row r="1512" customFormat="false" ht="15" hidden="false" customHeight="false" outlineLevel="0" collapsed="false">
      <c r="A1512" s="55"/>
      <c r="B1512" s="56"/>
      <c r="C1512" s="56"/>
      <c r="D1512" s="56"/>
      <c r="E1512" s="57"/>
      <c r="F1512" s="58"/>
      <c r="G1512" s="59"/>
      <c r="H1512" s="56"/>
      <c r="I1512" s="60" t="str">
        <f aca="false">IF(IsPro,IF($D1512="","",IFERROR(INDEX(Items!$D$5:$D$504,Q1512),"")),IF($D1512="","","PRO PLAN"))</f>
        <v/>
      </c>
      <c r="J1512" s="61" t="str">
        <f aca="false">IF(IsPro,IF($D1512="","",IF($F1512="",IFERROR(INDEX(Items!$G$5:$G$504,Q1512),0),$F1512)),"")</f>
        <v/>
      </c>
      <c r="K1512" s="61" t="str">
        <f aca="false">IF(IsPro,IF($D1512="","",ROUND(N($E1512)*J1512*(1-N($G1512)),2)),"")</f>
        <v/>
      </c>
      <c r="L1512" s="62" t="str">
        <f aca="false">IF(IsPro,IF($D1512="","",IFERROR(INDEX(Items!$F$5:$F$504,Q1512),0)),"")</f>
        <v/>
      </c>
      <c r="M1512" s="61" t="str">
        <f aca="false">IF(IsPro,IF($D1512="","",IF(AND(R1512&lt;&gt;"",INDEX(Parties!$E$5:$E$304,R1512)&lt;&gt;"",INDEX(Parties!$E$5:$E$304,R1512)&lt;&gt;HomeState),0,ROUND(K1512*L1512/2,2))),"")</f>
        <v/>
      </c>
      <c r="N1512" s="61" t="str">
        <f aca="false">IF(IsPro,IF($D1512="","",M1512),"")</f>
        <v/>
      </c>
      <c r="O1512" s="61" t="str">
        <f aca="false">IF(IsPro,IF($D1512="","",IF(AND(R1512&lt;&gt;"",INDEX(Parties!$E$5:$E$304,R1512)&lt;&gt;"",INDEX(Parties!$E$5:$E$304,R1512)&lt;&gt;HomeState),ROUND(K1512*L1512,2),0)),"")</f>
        <v/>
      </c>
      <c r="P1512" s="61" t="str">
        <f aca="false">IF(IsPro,IF($D1512="","",K1512+M1512+N1512+O1512),"")</f>
        <v/>
      </c>
      <c r="Q1512" s="60" t="str">
        <f aca="false">IF(IsPro,IF($D1512="","",IFERROR(MATCH($D1512,Items!$A$5:$A$504,0),"")),"")</f>
        <v/>
      </c>
      <c r="R1512" s="60" t="str">
        <f aca="false">IF(IsPro,IF($C1512="","",IFERROR(MATCH($C1512,Parties!$A$5:$A$304,0),"")),"")</f>
        <v/>
      </c>
      <c r="S1512" s="61" t="str">
        <f aca="false">IF(IsPro,IF($D1512="","",IF(OR($H1512="",$H1512="Credit"),0,P1512)),"")</f>
        <v/>
      </c>
    </row>
    <row r="1513" customFormat="false" ht="15" hidden="false" customHeight="false" outlineLevel="0" collapsed="false">
      <c r="A1513" s="55"/>
      <c r="B1513" s="56"/>
      <c r="C1513" s="56"/>
      <c r="D1513" s="56"/>
      <c r="E1513" s="57"/>
      <c r="F1513" s="58"/>
      <c r="G1513" s="59"/>
      <c r="H1513" s="56"/>
      <c r="I1513" s="60" t="str">
        <f aca="false">IF(IsPro,IF($D1513="","",IFERROR(INDEX(Items!$D$5:$D$504,Q1513),"")),IF($D1513="","","PRO PLAN"))</f>
        <v/>
      </c>
      <c r="J1513" s="61" t="str">
        <f aca="false">IF(IsPro,IF($D1513="","",IF($F1513="",IFERROR(INDEX(Items!$G$5:$G$504,Q1513),0),$F1513)),"")</f>
        <v/>
      </c>
      <c r="K1513" s="61" t="str">
        <f aca="false">IF(IsPro,IF($D1513="","",ROUND(N($E1513)*J1513*(1-N($G1513)),2)),"")</f>
        <v/>
      </c>
      <c r="L1513" s="62" t="str">
        <f aca="false">IF(IsPro,IF($D1513="","",IFERROR(INDEX(Items!$F$5:$F$504,Q1513),0)),"")</f>
        <v/>
      </c>
      <c r="M1513" s="61" t="str">
        <f aca="false">IF(IsPro,IF($D1513="","",IF(AND(R1513&lt;&gt;"",INDEX(Parties!$E$5:$E$304,R1513)&lt;&gt;"",INDEX(Parties!$E$5:$E$304,R1513)&lt;&gt;HomeState),0,ROUND(K1513*L1513/2,2))),"")</f>
        <v/>
      </c>
      <c r="N1513" s="61" t="str">
        <f aca="false">IF(IsPro,IF($D1513="","",M1513),"")</f>
        <v/>
      </c>
      <c r="O1513" s="61" t="str">
        <f aca="false">IF(IsPro,IF($D1513="","",IF(AND(R1513&lt;&gt;"",INDEX(Parties!$E$5:$E$304,R1513)&lt;&gt;"",INDEX(Parties!$E$5:$E$304,R1513)&lt;&gt;HomeState),ROUND(K1513*L1513,2),0)),"")</f>
        <v/>
      </c>
      <c r="P1513" s="61" t="str">
        <f aca="false">IF(IsPro,IF($D1513="","",K1513+M1513+N1513+O1513),"")</f>
        <v/>
      </c>
      <c r="Q1513" s="60" t="str">
        <f aca="false">IF(IsPro,IF($D1513="","",IFERROR(MATCH($D1513,Items!$A$5:$A$504,0),"")),"")</f>
        <v/>
      </c>
      <c r="R1513" s="60" t="str">
        <f aca="false">IF(IsPro,IF($C1513="","",IFERROR(MATCH($C1513,Parties!$A$5:$A$304,0),"")),"")</f>
        <v/>
      </c>
      <c r="S1513" s="61" t="str">
        <f aca="false">IF(IsPro,IF($D1513="","",IF(OR($H1513="",$H1513="Credit"),0,P1513)),"")</f>
        <v/>
      </c>
    </row>
    <row r="1514" customFormat="false" ht="15" hidden="false" customHeight="false" outlineLevel="0" collapsed="false">
      <c r="A1514" s="55"/>
      <c r="B1514" s="56"/>
      <c r="C1514" s="56"/>
      <c r="D1514" s="56"/>
      <c r="E1514" s="57"/>
      <c r="F1514" s="58"/>
      <c r="G1514" s="59"/>
      <c r="H1514" s="56"/>
      <c r="I1514" s="60" t="str">
        <f aca="false">IF(IsPro,IF($D1514="","",IFERROR(INDEX(Items!$D$5:$D$504,Q1514),"")),IF($D1514="","","PRO PLAN"))</f>
        <v/>
      </c>
      <c r="J1514" s="61" t="str">
        <f aca="false">IF(IsPro,IF($D1514="","",IF($F1514="",IFERROR(INDEX(Items!$G$5:$G$504,Q1514),0),$F1514)),"")</f>
        <v/>
      </c>
      <c r="K1514" s="61" t="str">
        <f aca="false">IF(IsPro,IF($D1514="","",ROUND(N($E1514)*J1514*(1-N($G1514)),2)),"")</f>
        <v/>
      </c>
      <c r="L1514" s="62" t="str">
        <f aca="false">IF(IsPro,IF($D1514="","",IFERROR(INDEX(Items!$F$5:$F$504,Q1514),0)),"")</f>
        <v/>
      </c>
      <c r="M1514" s="61" t="str">
        <f aca="false">IF(IsPro,IF($D1514="","",IF(AND(R1514&lt;&gt;"",INDEX(Parties!$E$5:$E$304,R1514)&lt;&gt;"",INDEX(Parties!$E$5:$E$304,R1514)&lt;&gt;HomeState),0,ROUND(K1514*L1514/2,2))),"")</f>
        <v/>
      </c>
      <c r="N1514" s="61" t="str">
        <f aca="false">IF(IsPro,IF($D1514="","",M1514),"")</f>
        <v/>
      </c>
      <c r="O1514" s="61" t="str">
        <f aca="false">IF(IsPro,IF($D1514="","",IF(AND(R1514&lt;&gt;"",INDEX(Parties!$E$5:$E$304,R1514)&lt;&gt;"",INDEX(Parties!$E$5:$E$304,R1514)&lt;&gt;HomeState),ROUND(K1514*L1514,2),0)),"")</f>
        <v/>
      </c>
      <c r="P1514" s="61" t="str">
        <f aca="false">IF(IsPro,IF($D1514="","",K1514+M1514+N1514+O1514),"")</f>
        <v/>
      </c>
      <c r="Q1514" s="60" t="str">
        <f aca="false">IF(IsPro,IF($D1514="","",IFERROR(MATCH($D1514,Items!$A$5:$A$504,0),"")),"")</f>
        <v/>
      </c>
      <c r="R1514" s="60" t="str">
        <f aca="false">IF(IsPro,IF($C1514="","",IFERROR(MATCH($C1514,Parties!$A$5:$A$304,0),"")),"")</f>
        <v/>
      </c>
      <c r="S1514" s="61" t="str">
        <f aca="false">IF(IsPro,IF($D1514="","",IF(OR($H1514="",$H1514="Credit"),0,P1514)),"")</f>
        <v/>
      </c>
    </row>
    <row r="1515" customFormat="false" ht="15" hidden="false" customHeight="false" outlineLevel="0" collapsed="false">
      <c r="A1515" s="55"/>
      <c r="B1515" s="56"/>
      <c r="C1515" s="56"/>
      <c r="D1515" s="56"/>
      <c r="E1515" s="57"/>
      <c r="F1515" s="58"/>
      <c r="G1515" s="59"/>
      <c r="H1515" s="56"/>
      <c r="I1515" s="60" t="str">
        <f aca="false">IF(IsPro,IF($D1515="","",IFERROR(INDEX(Items!$D$5:$D$504,Q1515),"")),IF($D1515="","","PRO PLAN"))</f>
        <v/>
      </c>
      <c r="J1515" s="61" t="str">
        <f aca="false">IF(IsPro,IF($D1515="","",IF($F1515="",IFERROR(INDEX(Items!$G$5:$G$504,Q1515),0),$F1515)),"")</f>
        <v/>
      </c>
      <c r="K1515" s="61" t="str">
        <f aca="false">IF(IsPro,IF($D1515="","",ROUND(N($E1515)*J1515*(1-N($G1515)),2)),"")</f>
        <v/>
      </c>
      <c r="L1515" s="62" t="str">
        <f aca="false">IF(IsPro,IF($D1515="","",IFERROR(INDEX(Items!$F$5:$F$504,Q1515),0)),"")</f>
        <v/>
      </c>
      <c r="M1515" s="61" t="str">
        <f aca="false">IF(IsPro,IF($D1515="","",IF(AND(R1515&lt;&gt;"",INDEX(Parties!$E$5:$E$304,R1515)&lt;&gt;"",INDEX(Parties!$E$5:$E$304,R1515)&lt;&gt;HomeState),0,ROUND(K1515*L1515/2,2))),"")</f>
        <v/>
      </c>
      <c r="N1515" s="61" t="str">
        <f aca="false">IF(IsPro,IF($D1515="","",M1515),"")</f>
        <v/>
      </c>
      <c r="O1515" s="61" t="str">
        <f aca="false">IF(IsPro,IF($D1515="","",IF(AND(R1515&lt;&gt;"",INDEX(Parties!$E$5:$E$304,R1515)&lt;&gt;"",INDEX(Parties!$E$5:$E$304,R1515)&lt;&gt;HomeState),ROUND(K1515*L1515,2),0)),"")</f>
        <v/>
      </c>
      <c r="P1515" s="61" t="str">
        <f aca="false">IF(IsPro,IF($D1515="","",K1515+M1515+N1515+O1515),"")</f>
        <v/>
      </c>
      <c r="Q1515" s="60" t="str">
        <f aca="false">IF(IsPro,IF($D1515="","",IFERROR(MATCH($D1515,Items!$A$5:$A$504,0),"")),"")</f>
        <v/>
      </c>
      <c r="R1515" s="60" t="str">
        <f aca="false">IF(IsPro,IF($C1515="","",IFERROR(MATCH($C1515,Parties!$A$5:$A$304,0),"")),"")</f>
        <v/>
      </c>
      <c r="S1515" s="61" t="str">
        <f aca="false">IF(IsPro,IF($D1515="","",IF(OR($H1515="",$H1515="Credit"),0,P1515)),"")</f>
        <v/>
      </c>
    </row>
    <row r="1516" customFormat="false" ht="15" hidden="false" customHeight="false" outlineLevel="0" collapsed="false">
      <c r="A1516" s="55"/>
      <c r="B1516" s="56"/>
      <c r="C1516" s="56"/>
      <c r="D1516" s="56"/>
      <c r="E1516" s="57"/>
      <c r="F1516" s="58"/>
      <c r="G1516" s="59"/>
      <c r="H1516" s="56"/>
      <c r="I1516" s="60" t="str">
        <f aca="false">IF(IsPro,IF($D1516="","",IFERROR(INDEX(Items!$D$5:$D$504,Q1516),"")),IF($D1516="","","PRO PLAN"))</f>
        <v/>
      </c>
      <c r="J1516" s="61" t="str">
        <f aca="false">IF(IsPro,IF($D1516="","",IF($F1516="",IFERROR(INDEX(Items!$G$5:$G$504,Q1516),0),$F1516)),"")</f>
        <v/>
      </c>
      <c r="K1516" s="61" t="str">
        <f aca="false">IF(IsPro,IF($D1516="","",ROUND(N($E1516)*J1516*(1-N($G1516)),2)),"")</f>
        <v/>
      </c>
      <c r="L1516" s="62" t="str">
        <f aca="false">IF(IsPro,IF($D1516="","",IFERROR(INDEX(Items!$F$5:$F$504,Q1516),0)),"")</f>
        <v/>
      </c>
      <c r="M1516" s="61" t="str">
        <f aca="false">IF(IsPro,IF($D1516="","",IF(AND(R1516&lt;&gt;"",INDEX(Parties!$E$5:$E$304,R1516)&lt;&gt;"",INDEX(Parties!$E$5:$E$304,R1516)&lt;&gt;HomeState),0,ROUND(K1516*L1516/2,2))),"")</f>
        <v/>
      </c>
      <c r="N1516" s="61" t="str">
        <f aca="false">IF(IsPro,IF($D1516="","",M1516),"")</f>
        <v/>
      </c>
      <c r="O1516" s="61" t="str">
        <f aca="false">IF(IsPro,IF($D1516="","",IF(AND(R1516&lt;&gt;"",INDEX(Parties!$E$5:$E$304,R1516)&lt;&gt;"",INDEX(Parties!$E$5:$E$304,R1516)&lt;&gt;HomeState),ROUND(K1516*L1516,2),0)),"")</f>
        <v/>
      </c>
      <c r="P1516" s="61" t="str">
        <f aca="false">IF(IsPro,IF($D1516="","",K1516+M1516+N1516+O1516),"")</f>
        <v/>
      </c>
      <c r="Q1516" s="60" t="str">
        <f aca="false">IF(IsPro,IF($D1516="","",IFERROR(MATCH($D1516,Items!$A$5:$A$504,0),"")),"")</f>
        <v/>
      </c>
      <c r="R1516" s="60" t="str">
        <f aca="false">IF(IsPro,IF($C1516="","",IFERROR(MATCH($C1516,Parties!$A$5:$A$304,0),"")),"")</f>
        <v/>
      </c>
      <c r="S1516" s="61" t="str">
        <f aca="false">IF(IsPro,IF($D1516="","",IF(OR($H1516="",$H1516="Credit"),0,P1516)),"")</f>
        <v/>
      </c>
    </row>
    <row r="1517" customFormat="false" ht="15" hidden="false" customHeight="false" outlineLevel="0" collapsed="false">
      <c r="A1517" s="55"/>
      <c r="B1517" s="56"/>
      <c r="C1517" s="56"/>
      <c r="D1517" s="56"/>
      <c r="E1517" s="57"/>
      <c r="F1517" s="58"/>
      <c r="G1517" s="59"/>
      <c r="H1517" s="56"/>
      <c r="I1517" s="60" t="str">
        <f aca="false">IF(IsPro,IF($D1517="","",IFERROR(INDEX(Items!$D$5:$D$504,Q1517),"")),IF($D1517="","","PRO PLAN"))</f>
        <v/>
      </c>
      <c r="J1517" s="61" t="str">
        <f aca="false">IF(IsPro,IF($D1517="","",IF($F1517="",IFERROR(INDEX(Items!$G$5:$G$504,Q1517),0),$F1517)),"")</f>
        <v/>
      </c>
      <c r="K1517" s="61" t="str">
        <f aca="false">IF(IsPro,IF($D1517="","",ROUND(N($E1517)*J1517*(1-N($G1517)),2)),"")</f>
        <v/>
      </c>
      <c r="L1517" s="62" t="str">
        <f aca="false">IF(IsPro,IF($D1517="","",IFERROR(INDEX(Items!$F$5:$F$504,Q1517),0)),"")</f>
        <v/>
      </c>
      <c r="M1517" s="61" t="str">
        <f aca="false">IF(IsPro,IF($D1517="","",IF(AND(R1517&lt;&gt;"",INDEX(Parties!$E$5:$E$304,R1517)&lt;&gt;"",INDEX(Parties!$E$5:$E$304,R1517)&lt;&gt;HomeState),0,ROUND(K1517*L1517/2,2))),"")</f>
        <v/>
      </c>
      <c r="N1517" s="61" t="str">
        <f aca="false">IF(IsPro,IF($D1517="","",M1517),"")</f>
        <v/>
      </c>
      <c r="O1517" s="61" t="str">
        <f aca="false">IF(IsPro,IF($D1517="","",IF(AND(R1517&lt;&gt;"",INDEX(Parties!$E$5:$E$304,R1517)&lt;&gt;"",INDEX(Parties!$E$5:$E$304,R1517)&lt;&gt;HomeState),ROUND(K1517*L1517,2),0)),"")</f>
        <v/>
      </c>
      <c r="P1517" s="61" t="str">
        <f aca="false">IF(IsPro,IF($D1517="","",K1517+M1517+N1517+O1517),"")</f>
        <v/>
      </c>
      <c r="Q1517" s="60" t="str">
        <f aca="false">IF(IsPro,IF($D1517="","",IFERROR(MATCH($D1517,Items!$A$5:$A$504,0),"")),"")</f>
        <v/>
      </c>
      <c r="R1517" s="60" t="str">
        <f aca="false">IF(IsPro,IF($C1517="","",IFERROR(MATCH($C1517,Parties!$A$5:$A$304,0),"")),"")</f>
        <v/>
      </c>
      <c r="S1517" s="61" t="str">
        <f aca="false">IF(IsPro,IF($D1517="","",IF(OR($H1517="",$H1517="Credit"),0,P1517)),"")</f>
        <v/>
      </c>
    </row>
    <row r="1518" customFormat="false" ht="15" hidden="false" customHeight="false" outlineLevel="0" collapsed="false">
      <c r="A1518" s="55"/>
      <c r="B1518" s="56"/>
      <c r="C1518" s="56"/>
      <c r="D1518" s="56"/>
      <c r="E1518" s="57"/>
      <c r="F1518" s="58"/>
      <c r="G1518" s="59"/>
      <c r="H1518" s="56"/>
      <c r="I1518" s="60" t="str">
        <f aca="false">IF(IsPro,IF($D1518="","",IFERROR(INDEX(Items!$D$5:$D$504,Q1518),"")),IF($D1518="","","PRO PLAN"))</f>
        <v/>
      </c>
      <c r="J1518" s="61" t="str">
        <f aca="false">IF(IsPro,IF($D1518="","",IF($F1518="",IFERROR(INDEX(Items!$G$5:$G$504,Q1518),0),$F1518)),"")</f>
        <v/>
      </c>
      <c r="K1518" s="61" t="str">
        <f aca="false">IF(IsPro,IF($D1518="","",ROUND(N($E1518)*J1518*(1-N($G1518)),2)),"")</f>
        <v/>
      </c>
      <c r="L1518" s="62" t="str">
        <f aca="false">IF(IsPro,IF($D1518="","",IFERROR(INDEX(Items!$F$5:$F$504,Q1518),0)),"")</f>
        <v/>
      </c>
      <c r="M1518" s="61" t="str">
        <f aca="false">IF(IsPro,IF($D1518="","",IF(AND(R1518&lt;&gt;"",INDEX(Parties!$E$5:$E$304,R1518)&lt;&gt;"",INDEX(Parties!$E$5:$E$304,R1518)&lt;&gt;HomeState),0,ROUND(K1518*L1518/2,2))),"")</f>
        <v/>
      </c>
      <c r="N1518" s="61" t="str">
        <f aca="false">IF(IsPro,IF($D1518="","",M1518),"")</f>
        <v/>
      </c>
      <c r="O1518" s="61" t="str">
        <f aca="false">IF(IsPro,IF($D1518="","",IF(AND(R1518&lt;&gt;"",INDEX(Parties!$E$5:$E$304,R1518)&lt;&gt;"",INDEX(Parties!$E$5:$E$304,R1518)&lt;&gt;HomeState),ROUND(K1518*L1518,2),0)),"")</f>
        <v/>
      </c>
      <c r="P1518" s="61" t="str">
        <f aca="false">IF(IsPro,IF($D1518="","",K1518+M1518+N1518+O1518),"")</f>
        <v/>
      </c>
      <c r="Q1518" s="60" t="str">
        <f aca="false">IF(IsPro,IF($D1518="","",IFERROR(MATCH($D1518,Items!$A$5:$A$504,0),"")),"")</f>
        <v/>
      </c>
      <c r="R1518" s="60" t="str">
        <f aca="false">IF(IsPro,IF($C1518="","",IFERROR(MATCH($C1518,Parties!$A$5:$A$304,0),"")),"")</f>
        <v/>
      </c>
      <c r="S1518" s="61" t="str">
        <f aca="false">IF(IsPro,IF($D1518="","",IF(OR($H1518="",$H1518="Credit"),0,P1518)),"")</f>
        <v/>
      </c>
    </row>
    <row r="1519" customFormat="false" ht="15" hidden="false" customHeight="false" outlineLevel="0" collapsed="false">
      <c r="A1519" s="55"/>
      <c r="B1519" s="56"/>
      <c r="C1519" s="56"/>
      <c r="D1519" s="56"/>
      <c r="E1519" s="57"/>
      <c r="F1519" s="58"/>
      <c r="G1519" s="59"/>
      <c r="H1519" s="56"/>
      <c r="I1519" s="60" t="str">
        <f aca="false">IF(IsPro,IF($D1519="","",IFERROR(INDEX(Items!$D$5:$D$504,Q1519),"")),IF($D1519="","","PRO PLAN"))</f>
        <v/>
      </c>
      <c r="J1519" s="61" t="str">
        <f aca="false">IF(IsPro,IF($D1519="","",IF($F1519="",IFERROR(INDEX(Items!$G$5:$G$504,Q1519),0),$F1519)),"")</f>
        <v/>
      </c>
      <c r="K1519" s="61" t="str">
        <f aca="false">IF(IsPro,IF($D1519="","",ROUND(N($E1519)*J1519*(1-N($G1519)),2)),"")</f>
        <v/>
      </c>
      <c r="L1519" s="62" t="str">
        <f aca="false">IF(IsPro,IF($D1519="","",IFERROR(INDEX(Items!$F$5:$F$504,Q1519),0)),"")</f>
        <v/>
      </c>
      <c r="M1519" s="61" t="str">
        <f aca="false">IF(IsPro,IF($D1519="","",IF(AND(R1519&lt;&gt;"",INDEX(Parties!$E$5:$E$304,R1519)&lt;&gt;"",INDEX(Parties!$E$5:$E$304,R1519)&lt;&gt;HomeState),0,ROUND(K1519*L1519/2,2))),"")</f>
        <v/>
      </c>
      <c r="N1519" s="61" t="str">
        <f aca="false">IF(IsPro,IF($D1519="","",M1519),"")</f>
        <v/>
      </c>
      <c r="O1519" s="61" t="str">
        <f aca="false">IF(IsPro,IF($D1519="","",IF(AND(R1519&lt;&gt;"",INDEX(Parties!$E$5:$E$304,R1519)&lt;&gt;"",INDEX(Parties!$E$5:$E$304,R1519)&lt;&gt;HomeState),ROUND(K1519*L1519,2),0)),"")</f>
        <v/>
      </c>
      <c r="P1519" s="61" t="str">
        <f aca="false">IF(IsPro,IF($D1519="","",K1519+M1519+N1519+O1519),"")</f>
        <v/>
      </c>
      <c r="Q1519" s="60" t="str">
        <f aca="false">IF(IsPro,IF($D1519="","",IFERROR(MATCH($D1519,Items!$A$5:$A$504,0),"")),"")</f>
        <v/>
      </c>
      <c r="R1519" s="60" t="str">
        <f aca="false">IF(IsPro,IF($C1519="","",IFERROR(MATCH($C1519,Parties!$A$5:$A$304,0),"")),"")</f>
        <v/>
      </c>
      <c r="S1519" s="61" t="str">
        <f aca="false">IF(IsPro,IF($D1519="","",IF(OR($H1519="",$H1519="Credit"),0,P1519)),"")</f>
        <v/>
      </c>
    </row>
    <row r="1520" customFormat="false" ht="15" hidden="false" customHeight="false" outlineLevel="0" collapsed="false">
      <c r="A1520" s="55"/>
      <c r="B1520" s="56"/>
      <c r="C1520" s="56"/>
      <c r="D1520" s="56"/>
      <c r="E1520" s="57"/>
      <c r="F1520" s="58"/>
      <c r="G1520" s="59"/>
      <c r="H1520" s="56"/>
      <c r="I1520" s="60" t="str">
        <f aca="false">IF(IsPro,IF($D1520="","",IFERROR(INDEX(Items!$D$5:$D$504,Q1520),"")),IF($D1520="","","PRO PLAN"))</f>
        <v/>
      </c>
      <c r="J1520" s="61" t="str">
        <f aca="false">IF(IsPro,IF($D1520="","",IF($F1520="",IFERROR(INDEX(Items!$G$5:$G$504,Q1520),0),$F1520)),"")</f>
        <v/>
      </c>
      <c r="K1520" s="61" t="str">
        <f aca="false">IF(IsPro,IF($D1520="","",ROUND(N($E1520)*J1520*(1-N($G1520)),2)),"")</f>
        <v/>
      </c>
      <c r="L1520" s="62" t="str">
        <f aca="false">IF(IsPro,IF($D1520="","",IFERROR(INDEX(Items!$F$5:$F$504,Q1520),0)),"")</f>
        <v/>
      </c>
      <c r="M1520" s="61" t="str">
        <f aca="false">IF(IsPro,IF($D1520="","",IF(AND(R1520&lt;&gt;"",INDEX(Parties!$E$5:$E$304,R1520)&lt;&gt;"",INDEX(Parties!$E$5:$E$304,R1520)&lt;&gt;HomeState),0,ROUND(K1520*L1520/2,2))),"")</f>
        <v/>
      </c>
      <c r="N1520" s="61" t="str">
        <f aca="false">IF(IsPro,IF($D1520="","",M1520),"")</f>
        <v/>
      </c>
      <c r="O1520" s="61" t="str">
        <f aca="false">IF(IsPro,IF($D1520="","",IF(AND(R1520&lt;&gt;"",INDEX(Parties!$E$5:$E$304,R1520)&lt;&gt;"",INDEX(Parties!$E$5:$E$304,R1520)&lt;&gt;HomeState),ROUND(K1520*L1520,2),0)),"")</f>
        <v/>
      </c>
      <c r="P1520" s="61" t="str">
        <f aca="false">IF(IsPro,IF($D1520="","",K1520+M1520+N1520+O1520),"")</f>
        <v/>
      </c>
      <c r="Q1520" s="60" t="str">
        <f aca="false">IF(IsPro,IF($D1520="","",IFERROR(MATCH($D1520,Items!$A$5:$A$504,0),"")),"")</f>
        <v/>
      </c>
      <c r="R1520" s="60" t="str">
        <f aca="false">IF(IsPro,IF($C1520="","",IFERROR(MATCH($C1520,Parties!$A$5:$A$304,0),"")),"")</f>
        <v/>
      </c>
      <c r="S1520" s="61" t="str">
        <f aca="false">IF(IsPro,IF($D1520="","",IF(OR($H1520="",$H1520="Credit"),0,P1520)),"")</f>
        <v/>
      </c>
    </row>
    <row r="1521" customFormat="false" ht="15" hidden="false" customHeight="false" outlineLevel="0" collapsed="false">
      <c r="A1521" s="55"/>
      <c r="B1521" s="56"/>
      <c r="C1521" s="56"/>
      <c r="D1521" s="56"/>
      <c r="E1521" s="57"/>
      <c r="F1521" s="58"/>
      <c r="G1521" s="59"/>
      <c r="H1521" s="56"/>
      <c r="I1521" s="60" t="str">
        <f aca="false">IF(IsPro,IF($D1521="","",IFERROR(INDEX(Items!$D$5:$D$504,Q1521),"")),IF($D1521="","","PRO PLAN"))</f>
        <v/>
      </c>
      <c r="J1521" s="61" t="str">
        <f aca="false">IF(IsPro,IF($D1521="","",IF($F1521="",IFERROR(INDEX(Items!$G$5:$G$504,Q1521),0),$F1521)),"")</f>
        <v/>
      </c>
      <c r="K1521" s="61" t="str">
        <f aca="false">IF(IsPro,IF($D1521="","",ROUND(N($E1521)*J1521*(1-N($G1521)),2)),"")</f>
        <v/>
      </c>
      <c r="L1521" s="62" t="str">
        <f aca="false">IF(IsPro,IF($D1521="","",IFERROR(INDEX(Items!$F$5:$F$504,Q1521),0)),"")</f>
        <v/>
      </c>
      <c r="M1521" s="61" t="str">
        <f aca="false">IF(IsPro,IF($D1521="","",IF(AND(R1521&lt;&gt;"",INDEX(Parties!$E$5:$E$304,R1521)&lt;&gt;"",INDEX(Parties!$E$5:$E$304,R1521)&lt;&gt;HomeState),0,ROUND(K1521*L1521/2,2))),"")</f>
        <v/>
      </c>
      <c r="N1521" s="61" t="str">
        <f aca="false">IF(IsPro,IF($D1521="","",M1521),"")</f>
        <v/>
      </c>
      <c r="O1521" s="61" t="str">
        <f aca="false">IF(IsPro,IF($D1521="","",IF(AND(R1521&lt;&gt;"",INDEX(Parties!$E$5:$E$304,R1521)&lt;&gt;"",INDEX(Parties!$E$5:$E$304,R1521)&lt;&gt;HomeState),ROUND(K1521*L1521,2),0)),"")</f>
        <v/>
      </c>
      <c r="P1521" s="61" t="str">
        <f aca="false">IF(IsPro,IF($D1521="","",K1521+M1521+N1521+O1521),"")</f>
        <v/>
      </c>
      <c r="Q1521" s="60" t="str">
        <f aca="false">IF(IsPro,IF($D1521="","",IFERROR(MATCH($D1521,Items!$A$5:$A$504,0),"")),"")</f>
        <v/>
      </c>
      <c r="R1521" s="60" t="str">
        <f aca="false">IF(IsPro,IF($C1521="","",IFERROR(MATCH($C1521,Parties!$A$5:$A$304,0),"")),"")</f>
        <v/>
      </c>
      <c r="S1521" s="61" t="str">
        <f aca="false">IF(IsPro,IF($D1521="","",IF(OR($H1521="",$H1521="Credit"),0,P1521)),"")</f>
        <v/>
      </c>
    </row>
    <row r="1522" customFormat="false" ht="15" hidden="false" customHeight="false" outlineLevel="0" collapsed="false">
      <c r="A1522" s="55"/>
      <c r="B1522" s="56"/>
      <c r="C1522" s="56"/>
      <c r="D1522" s="56"/>
      <c r="E1522" s="57"/>
      <c r="F1522" s="58"/>
      <c r="G1522" s="59"/>
      <c r="H1522" s="56"/>
      <c r="I1522" s="60" t="str">
        <f aca="false">IF(IsPro,IF($D1522="","",IFERROR(INDEX(Items!$D$5:$D$504,Q1522),"")),IF($D1522="","","PRO PLAN"))</f>
        <v/>
      </c>
      <c r="J1522" s="61" t="str">
        <f aca="false">IF(IsPro,IF($D1522="","",IF($F1522="",IFERROR(INDEX(Items!$G$5:$G$504,Q1522),0),$F1522)),"")</f>
        <v/>
      </c>
      <c r="K1522" s="61" t="str">
        <f aca="false">IF(IsPro,IF($D1522="","",ROUND(N($E1522)*J1522*(1-N($G1522)),2)),"")</f>
        <v/>
      </c>
      <c r="L1522" s="62" t="str">
        <f aca="false">IF(IsPro,IF($D1522="","",IFERROR(INDEX(Items!$F$5:$F$504,Q1522),0)),"")</f>
        <v/>
      </c>
      <c r="M1522" s="61" t="str">
        <f aca="false">IF(IsPro,IF($D1522="","",IF(AND(R1522&lt;&gt;"",INDEX(Parties!$E$5:$E$304,R1522)&lt;&gt;"",INDEX(Parties!$E$5:$E$304,R1522)&lt;&gt;HomeState),0,ROUND(K1522*L1522/2,2))),"")</f>
        <v/>
      </c>
      <c r="N1522" s="61" t="str">
        <f aca="false">IF(IsPro,IF($D1522="","",M1522),"")</f>
        <v/>
      </c>
      <c r="O1522" s="61" t="str">
        <f aca="false">IF(IsPro,IF($D1522="","",IF(AND(R1522&lt;&gt;"",INDEX(Parties!$E$5:$E$304,R1522)&lt;&gt;"",INDEX(Parties!$E$5:$E$304,R1522)&lt;&gt;HomeState),ROUND(K1522*L1522,2),0)),"")</f>
        <v/>
      </c>
      <c r="P1522" s="61" t="str">
        <f aca="false">IF(IsPro,IF($D1522="","",K1522+M1522+N1522+O1522),"")</f>
        <v/>
      </c>
      <c r="Q1522" s="60" t="str">
        <f aca="false">IF(IsPro,IF($D1522="","",IFERROR(MATCH($D1522,Items!$A$5:$A$504,0),"")),"")</f>
        <v/>
      </c>
      <c r="R1522" s="60" t="str">
        <f aca="false">IF(IsPro,IF($C1522="","",IFERROR(MATCH($C1522,Parties!$A$5:$A$304,0),"")),"")</f>
        <v/>
      </c>
      <c r="S1522" s="61" t="str">
        <f aca="false">IF(IsPro,IF($D1522="","",IF(OR($H1522="",$H1522="Credit"),0,P1522)),"")</f>
        <v/>
      </c>
    </row>
    <row r="1523" customFormat="false" ht="15" hidden="false" customHeight="false" outlineLevel="0" collapsed="false">
      <c r="A1523" s="55"/>
      <c r="B1523" s="56"/>
      <c r="C1523" s="56"/>
      <c r="D1523" s="56"/>
      <c r="E1523" s="57"/>
      <c r="F1523" s="58"/>
      <c r="G1523" s="59"/>
      <c r="H1523" s="56"/>
      <c r="I1523" s="60" t="str">
        <f aca="false">IF(IsPro,IF($D1523="","",IFERROR(INDEX(Items!$D$5:$D$504,Q1523),"")),IF($D1523="","","PRO PLAN"))</f>
        <v/>
      </c>
      <c r="J1523" s="61" t="str">
        <f aca="false">IF(IsPro,IF($D1523="","",IF($F1523="",IFERROR(INDEX(Items!$G$5:$G$504,Q1523),0),$F1523)),"")</f>
        <v/>
      </c>
      <c r="K1523" s="61" t="str">
        <f aca="false">IF(IsPro,IF($D1523="","",ROUND(N($E1523)*J1523*(1-N($G1523)),2)),"")</f>
        <v/>
      </c>
      <c r="L1523" s="62" t="str">
        <f aca="false">IF(IsPro,IF($D1523="","",IFERROR(INDEX(Items!$F$5:$F$504,Q1523),0)),"")</f>
        <v/>
      </c>
      <c r="M1523" s="61" t="str">
        <f aca="false">IF(IsPro,IF($D1523="","",IF(AND(R1523&lt;&gt;"",INDEX(Parties!$E$5:$E$304,R1523)&lt;&gt;"",INDEX(Parties!$E$5:$E$304,R1523)&lt;&gt;HomeState),0,ROUND(K1523*L1523/2,2))),"")</f>
        <v/>
      </c>
      <c r="N1523" s="61" t="str">
        <f aca="false">IF(IsPro,IF($D1523="","",M1523),"")</f>
        <v/>
      </c>
      <c r="O1523" s="61" t="str">
        <f aca="false">IF(IsPro,IF($D1523="","",IF(AND(R1523&lt;&gt;"",INDEX(Parties!$E$5:$E$304,R1523)&lt;&gt;"",INDEX(Parties!$E$5:$E$304,R1523)&lt;&gt;HomeState),ROUND(K1523*L1523,2),0)),"")</f>
        <v/>
      </c>
      <c r="P1523" s="61" t="str">
        <f aca="false">IF(IsPro,IF($D1523="","",K1523+M1523+N1523+O1523),"")</f>
        <v/>
      </c>
      <c r="Q1523" s="60" t="str">
        <f aca="false">IF(IsPro,IF($D1523="","",IFERROR(MATCH($D1523,Items!$A$5:$A$504,0),"")),"")</f>
        <v/>
      </c>
      <c r="R1523" s="60" t="str">
        <f aca="false">IF(IsPro,IF($C1523="","",IFERROR(MATCH($C1523,Parties!$A$5:$A$304,0),"")),"")</f>
        <v/>
      </c>
      <c r="S1523" s="61" t="str">
        <f aca="false">IF(IsPro,IF($D1523="","",IF(OR($H1523="",$H1523="Credit"),0,P1523)),"")</f>
        <v/>
      </c>
    </row>
    <row r="1524" customFormat="false" ht="15" hidden="false" customHeight="false" outlineLevel="0" collapsed="false">
      <c r="A1524" s="55"/>
      <c r="B1524" s="56"/>
      <c r="C1524" s="56"/>
      <c r="D1524" s="56"/>
      <c r="E1524" s="57"/>
      <c r="F1524" s="58"/>
      <c r="G1524" s="59"/>
      <c r="H1524" s="56"/>
      <c r="I1524" s="60" t="str">
        <f aca="false">IF(IsPro,IF($D1524="","",IFERROR(INDEX(Items!$D$5:$D$504,Q1524),"")),IF($D1524="","","PRO PLAN"))</f>
        <v/>
      </c>
      <c r="J1524" s="61" t="str">
        <f aca="false">IF(IsPro,IF($D1524="","",IF($F1524="",IFERROR(INDEX(Items!$G$5:$G$504,Q1524),0),$F1524)),"")</f>
        <v/>
      </c>
      <c r="K1524" s="61" t="str">
        <f aca="false">IF(IsPro,IF($D1524="","",ROUND(N($E1524)*J1524*(1-N($G1524)),2)),"")</f>
        <v/>
      </c>
      <c r="L1524" s="62" t="str">
        <f aca="false">IF(IsPro,IF($D1524="","",IFERROR(INDEX(Items!$F$5:$F$504,Q1524),0)),"")</f>
        <v/>
      </c>
      <c r="M1524" s="61" t="str">
        <f aca="false">IF(IsPro,IF($D1524="","",IF(AND(R1524&lt;&gt;"",INDEX(Parties!$E$5:$E$304,R1524)&lt;&gt;"",INDEX(Parties!$E$5:$E$304,R1524)&lt;&gt;HomeState),0,ROUND(K1524*L1524/2,2))),"")</f>
        <v/>
      </c>
      <c r="N1524" s="61" t="str">
        <f aca="false">IF(IsPro,IF($D1524="","",M1524),"")</f>
        <v/>
      </c>
      <c r="O1524" s="61" t="str">
        <f aca="false">IF(IsPro,IF($D1524="","",IF(AND(R1524&lt;&gt;"",INDEX(Parties!$E$5:$E$304,R1524)&lt;&gt;"",INDEX(Parties!$E$5:$E$304,R1524)&lt;&gt;HomeState),ROUND(K1524*L1524,2),0)),"")</f>
        <v/>
      </c>
      <c r="P1524" s="61" t="str">
        <f aca="false">IF(IsPro,IF($D1524="","",K1524+M1524+N1524+O1524),"")</f>
        <v/>
      </c>
      <c r="Q1524" s="60" t="str">
        <f aca="false">IF(IsPro,IF($D1524="","",IFERROR(MATCH($D1524,Items!$A$5:$A$504,0),"")),"")</f>
        <v/>
      </c>
      <c r="R1524" s="60" t="str">
        <f aca="false">IF(IsPro,IF($C1524="","",IFERROR(MATCH($C1524,Parties!$A$5:$A$304,0),"")),"")</f>
        <v/>
      </c>
      <c r="S1524" s="61" t="str">
        <f aca="false">IF(IsPro,IF($D1524="","",IF(OR($H1524="",$H1524="Credit"),0,P1524)),"")</f>
        <v/>
      </c>
    </row>
    <row r="1525" customFormat="false" ht="15" hidden="false" customHeight="false" outlineLevel="0" collapsed="false">
      <c r="A1525" s="55"/>
      <c r="B1525" s="56"/>
      <c r="C1525" s="56"/>
      <c r="D1525" s="56"/>
      <c r="E1525" s="57"/>
      <c r="F1525" s="58"/>
      <c r="G1525" s="59"/>
      <c r="H1525" s="56"/>
      <c r="I1525" s="60" t="str">
        <f aca="false">IF(IsPro,IF($D1525="","",IFERROR(INDEX(Items!$D$5:$D$504,Q1525),"")),IF($D1525="","","PRO PLAN"))</f>
        <v/>
      </c>
      <c r="J1525" s="61" t="str">
        <f aca="false">IF(IsPro,IF($D1525="","",IF($F1525="",IFERROR(INDEX(Items!$G$5:$G$504,Q1525),0),$F1525)),"")</f>
        <v/>
      </c>
      <c r="K1525" s="61" t="str">
        <f aca="false">IF(IsPro,IF($D1525="","",ROUND(N($E1525)*J1525*(1-N($G1525)),2)),"")</f>
        <v/>
      </c>
      <c r="L1525" s="62" t="str">
        <f aca="false">IF(IsPro,IF($D1525="","",IFERROR(INDEX(Items!$F$5:$F$504,Q1525),0)),"")</f>
        <v/>
      </c>
      <c r="M1525" s="61" t="str">
        <f aca="false">IF(IsPro,IF($D1525="","",IF(AND(R1525&lt;&gt;"",INDEX(Parties!$E$5:$E$304,R1525)&lt;&gt;"",INDEX(Parties!$E$5:$E$304,R1525)&lt;&gt;HomeState),0,ROUND(K1525*L1525/2,2))),"")</f>
        <v/>
      </c>
      <c r="N1525" s="61" t="str">
        <f aca="false">IF(IsPro,IF($D1525="","",M1525),"")</f>
        <v/>
      </c>
      <c r="O1525" s="61" t="str">
        <f aca="false">IF(IsPro,IF($D1525="","",IF(AND(R1525&lt;&gt;"",INDEX(Parties!$E$5:$E$304,R1525)&lt;&gt;"",INDEX(Parties!$E$5:$E$304,R1525)&lt;&gt;HomeState),ROUND(K1525*L1525,2),0)),"")</f>
        <v/>
      </c>
      <c r="P1525" s="61" t="str">
        <f aca="false">IF(IsPro,IF($D1525="","",K1525+M1525+N1525+O1525),"")</f>
        <v/>
      </c>
      <c r="Q1525" s="60" t="str">
        <f aca="false">IF(IsPro,IF($D1525="","",IFERROR(MATCH($D1525,Items!$A$5:$A$504,0),"")),"")</f>
        <v/>
      </c>
      <c r="R1525" s="60" t="str">
        <f aca="false">IF(IsPro,IF($C1525="","",IFERROR(MATCH($C1525,Parties!$A$5:$A$304,0),"")),"")</f>
        <v/>
      </c>
      <c r="S1525" s="61" t="str">
        <f aca="false">IF(IsPro,IF($D1525="","",IF(OR($H1525="",$H1525="Credit"),0,P1525)),"")</f>
        <v/>
      </c>
    </row>
    <row r="1526" customFormat="false" ht="15" hidden="false" customHeight="false" outlineLevel="0" collapsed="false">
      <c r="A1526" s="55"/>
      <c r="B1526" s="56"/>
      <c r="C1526" s="56"/>
      <c r="D1526" s="56"/>
      <c r="E1526" s="57"/>
      <c r="F1526" s="58"/>
      <c r="G1526" s="59"/>
      <c r="H1526" s="56"/>
      <c r="I1526" s="60" t="str">
        <f aca="false">IF(IsPro,IF($D1526="","",IFERROR(INDEX(Items!$D$5:$D$504,Q1526),"")),IF($D1526="","","PRO PLAN"))</f>
        <v/>
      </c>
      <c r="J1526" s="61" t="str">
        <f aca="false">IF(IsPro,IF($D1526="","",IF($F1526="",IFERROR(INDEX(Items!$G$5:$G$504,Q1526),0),$F1526)),"")</f>
        <v/>
      </c>
      <c r="K1526" s="61" t="str">
        <f aca="false">IF(IsPro,IF($D1526="","",ROUND(N($E1526)*J1526*(1-N($G1526)),2)),"")</f>
        <v/>
      </c>
      <c r="L1526" s="62" t="str">
        <f aca="false">IF(IsPro,IF($D1526="","",IFERROR(INDEX(Items!$F$5:$F$504,Q1526),0)),"")</f>
        <v/>
      </c>
      <c r="M1526" s="61" t="str">
        <f aca="false">IF(IsPro,IF($D1526="","",IF(AND(R1526&lt;&gt;"",INDEX(Parties!$E$5:$E$304,R1526)&lt;&gt;"",INDEX(Parties!$E$5:$E$304,R1526)&lt;&gt;HomeState),0,ROUND(K1526*L1526/2,2))),"")</f>
        <v/>
      </c>
      <c r="N1526" s="61" t="str">
        <f aca="false">IF(IsPro,IF($D1526="","",M1526),"")</f>
        <v/>
      </c>
      <c r="O1526" s="61" t="str">
        <f aca="false">IF(IsPro,IF($D1526="","",IF(AND(R1526&lt;&gt;"",INDEX(Parties!$E$5:$E$304,R1526)&lt;&gt;"",INDEX(Parties!$E$5:$E$304,R1526)&lt;&gt;HomeState),ROUND(K1526*L1526,2),0)),"")</f>
        <v/>
      </c>
      <c r="P1526" s="61" t="str">
        <f aca="false">IF(IsPro,IF($D1526="","",K1526+M1526+N1526+O1526),"")</f>
        <v/>
      </c>
      <c r="Q1526" s="60" t="str">
        <f aca="false">IF(IsPro,IF($D1526="","",IFERROR(MATCH($D1526,Items!$A$5:$A$504,0),"")),"")</f>
        <v/>
      </c>
      <c r="R1526" s="60" t="str">
        <f aca="false">IF(IsPro,IF($C1526="","",IFERROR(MATCH($C1526,Parties!$A$5:$A$304,0),"")),"")</f>
        <v/>
      </c>
      <c r="S1526" s="61" t="str">
        <f aca="false">IF(IsPro,IF($D1526="","",IF(OR($H1526="",$H1526="Credit"),0,P1526)),"")</f>
        <v/>
      </c>
    </row>
    <row r="1527" customFormat="false" ht="15" hidden="false" customHeight="false" outlineLevel="0" collapsed="false">
      <c r="A1527" s="55"/>
      <c r="B1527" s="56"/>
      <c r="C1527" s="56"/>
      <c r="D1527" s="56"/>
      <c r="E1527" s="57"/>
      <c r="F1527" s="58"/>
      <c r="G1527" s="59"/>
      <c r="H1527" s="56"/>
      <c r="I1527" s="60" t="str">
        <f aca="false">IF(IsPro,IF($D1527="","",IFERROR(INDEX(Items!$D$5:$D$504,Q1527),"")),IF($D1527="","","PRO PLAN"))</f>
        <v/>
      </c>
      <c r="J1527" s="61" t="str">
        <f aca="false">IF(IsPro,IF($D1527="","",IF($F1527="",IFERROR(INDEX(Items!$G$5:$G$504,Q1527),0),$F1527)),"")</f>
        <v/>
      </c>
      <c r="K1527" s="61" t="str">
        <f aca="false">IF(IsPro,IF($D1527="","",ROUND(N($E1527)*J1527*(1-N($G1527)),2)),"")</f>
        <v/>
      </c>
      <c r="L1527" s="62" t="str">
        <f aca="false">IF(IsPro,IF($D1527="","",IFERROR(INDEX(Items!$F$5:$F$504,Q1527),0)),"")</f>
        <v/>
      </c>
      <c r="M1527" s="61" t="str">
        <f aca="false">IF(IsPro,IF($D1527="","",IF(AND(R1527&lt;&gt;"",INDEX(Parties!$E$5:$E$304,R1527)&lt;&gt;"",INDEX(Parties!$E$5:$E$304,R1527)&lt;&gt;HomeState),0,ROUND(K1527*L1527/2,2))),"")</f>
        <v/>
      </c>
      <c r="N1527" s="61" t="str">
        <f aca="false">IF(IsPro,IF($D1527="","",M1527),"")</f>
        <v/>
      </c>
      <c r="O1527" s="61" t="str">
        <f aca="false">IF(IsPro,IF($D1527="","",IF(AND(R1527&lt;&gt;"",INDEX(Parties!$E$5:$E$304,R1527)&lt;&gt;"",INDEX(Parties!$E$5:$E$304,R1527)&lt;&gt;HomeState),ROUND(K1527*L1527,2),0)),"")</f>
        <v/>
      </c>
      <c r="P1527" s="61" t="str">
        <f aca="false">IF(IsPro,IF($D1527="","",K1527+M1527+N1527+O1527),"")</f>
        <v/>
      </c>
      <c r="Q1527" s="60" t="str">
        <f aca="false">IF(IsPro,IF($D1527="","",IFERROR(MATCH($D1527,Items!$A$5:$A$504,0),"")),"")</f>
        <v/>
      </c>
      <c r="R1527" s="60" t="str">
        <f aca="false">IF(IsPro,IF($C1527="","",IFERROR(MATCH($C1527,Parties!$A$5:$A$304,0),"")),"")</f>
        <v/>
      </c>
      <c r="S1527" s="61" t="str">
        <f aca="false">IF(IsPro,IF($D1527="","",IF(OR($H1527="",$H1527="Credit"),0,P1527)),"")</f>
        <v/>
      </c>
    </row>
    <row r="1528" customFormat="false" ht="15" hidden="false" customHeight="false" outlineLevel="0" collapsed="false">
      <c r="A1528" s="55"/>
      <c r="B1528" s="56"/>
      <c r="C1528" s="56"/>
      <c r="D1528" s="56"/>
      <c r="E1528" s="57"/>
      <c r="F1528" s="58"/>
      <c r="G1528" s="59"/>
      <c r="H1528" s="56"/>
      <c r="I1528" s="60" t="str">
        <f aca="false">IF(IsPro,IF($D1528="","",IFERROR(INDEX(Items!$D$5:$D$504,Q1528),"")),IF($D1528="","","PRO PLAN"))</f>
        <v/>
      </c>
      <c r="J1528" s="61" t="str">
        <f aca="false">IF(IsPro,IF($D1528="","",IF($F1528="",IFERROR(INDEX(Items!$G$5:$G$504,Q1528),0),$F1528)),"")</f>
        <v/>
      </c>
      <c r="K1528" s="61" t="str">
        <f aca="false">IF(IsPro,IF($D1528="","",ROUND(N($E1528)*J1528*(1-N($G1528)),2)),"")</f>
        <v/>
      </c>
      <c r="L1528" s="62" t="str">
        <f aca="false">IF(IsPro,IF($D1528="","",IFERROR(INDEX(Items!$F$5:$F$504,Q1528),0)),"")</f>
        <v/>
      </c>
      <c r="M1528" s="61" t="str">
        <f aca="false">IF(IsPro,IF($D1528="","",IF(AND(R1528&lt;&gt;"",INDEX(Parties!$E$5:$E$304,R1528)&lt;&gt;"",INDEX(Parties!$E$5:$E$304,R1528)&lt;&gt;HomeState),0,ROUND(K1528*L1528/2,2))),"")</f>
        <v/>
      </c>
      <c r="N1528" s="61" t="str">
        <f aca="false">IF(IsPro,IF($D1528="","",M1528),"")</f>
        <v/>
      </c>
      <c r="O1528" s="61" t="str">
        <f aca="false">IF(IsPro,IF($D1528="","",IF(AND(R1528&lt;&gt;"",INDEX(Parties!$E$5:$E$304,R1528)&lt;&gt;"",INDEX(Parties!$E$5:$E$304,R1528)&lt;&gt;HomeState),ROUND(K1528*L1528,2),0)),"")</f>
        <v/>
      </c>
      <c r="P1528" s="61" t="str">
        <f aca="false">IF(IsPro,IF($D1528="","",K1528+M1528+N1528+O1528),"")</f>
        <v/>
      </c>
      <c r="Q1528" s="60" t="str">
        <f aca="false">IF(IsPro,IF($D1528="","",IFERROR(MATCH($D1528,Items!$A$5:$A$504,0),"")),"")</f>
        <v/>
      </c>
      <c r="R1528" s="60" t="str">
        <f aca="false">IF(IsPro,IF($C1528="","",IFERROR(MATCH($C1528,Parties!$A$5:$A$304,0),"")),"")</f>
        <v/>
      </c>
      <c r="S1528" s="61" t="str">
        <f aca="false">IF(IsPro,IF($D1528="","",IF(OR($H1528="",$H1528="Credit"),0,P1528)),"")</f>
        <v/>
      </c>
    </row>
    <row r="1529" customFormat="false" ht="15" hidden="false" customHeight="false" outlineLevel="0" collapsed="false">
      <c r="A1529" s="55"/>
      <c r="B1529" s="56"/>
      <c r="C1529" s="56"/>
      <c r="D1529" s="56"/>
      <c r="E1529" s="57"/>
      <c r="F1529" s="58"/>
      <c r="G1529" s="59"/>
      <c r="H1529" s="56"/>
      <c r="I1529" s="60" t="str">
        <f aca="false">IF(IsPro,IF($D1529="","",IFERROR(INDEX(Items!$D$5:$D$504,Q1529),"")),IF($D1529="","","PRO PLAN"))</f>
        <v/>
      </c>
      <c r="J1529" s="61" t="str">
        <f aca="false">IF(IsPro,IF($D1529="","",IF($F1529="",IFERROR(INDEX(Items!$G$5:$G$504,Q1529),0),$F1529)),"")</f>
        <v/>
      </c>
      <c r="K1529" s="61" t="str">
        <f aca="false">IF(IsPro,IF($D1529="","",ROUND(N($E1529)*J1529*(1-N($G1529)),2)),"")</f>
        <v/>
      </c>
      <c r="L1529" s="62" t="str">
        <f aca="false">IF(IsPro,IF($D1529="","",IFERROR(INDEX(Items!$F$5:$F$504,Q1529),0)),"")</f>
        <v/>
      </c>
      <c r="M1529" s="61" t="str">
        <f aca="false">IF(IsPro,IF($D1529="","",IF(AND(R1529&lt;&gt;"",INDEX(Parties!$E$5:$E$304,R1529)&lt;&gt;"",INDEX(Parties!$E$5:$E$304,R1529)&lt;&gt;HomeState),0,ROUND(K1529*L1529/2,2))),"")</f>
        <v/>
      </c>
      <c r="N1529" s="61" t="str">
        <f aca="false">IF(IsPro,IF($D1529="","",M1529),"")</f>
        <v/>
      </c>
      <c r="O1529" s="61" t="str">
        <f aca="false">IF(IsPro,IF($D1529="","",IF(AND(R1529&lt;&gt;"",INDEX(Parties!$E$5:$E$304,R1529)&lt;&gt;"",INDEX(Parties!$E$5:$E$304,R1529)&lt;&gt;HomeState),ROUND(K1529*L1529,2),0)),"")</f>
        <v/>
      </c>
      <c r="P1529" s="61" t="str">
        <f aca="false">IF(IsPro,IF($D1529="","",K1529+M1529+N1529+O1529),"")</f>
        <v/>
      </c>
      <c r="Q1529" s="60" t="str">
        <f aca="false">IF(IsPro,IF($D1529="","",IFERROR(MATCH($D1529,Items!$A$5:$A$504,0),"")),"")</f>
        <v/>
      </c>
      <c r="R1529" s="60" t="str">
        <f aca="false">IF(IsPro,IF($C1529="","",IFERROR(MATCH($C1529,Parties!$A$5:$A$304,0),"")),"")</f>
        <v/>
      </c>
      <c r="S1529" s="61" t="str">
        <f aca="false">IF(IsPro,IF($D1529="","",IF(OR($H1529="",$H1529="Credit"),0,P1529)),"")</f>
        <v/>
      </c>
    </row>
    <row r="1530" customFormat="false" ht="15" hidden="false" customHeight="false" outlineLevel="0" collapsed="false">
      <c r="A1530" s="55"/>
      <c r="B1530" s="56"/>
      <c r="C1530" s="56"/>
      <c r="D1530" s="56"/>
      <c r="E1530" s="57"/>
      <c r="F1530" s="58"/>
      <c r="G1530" s="59"/>
      <c r="H1530" s="56"/>
      <c r="I1530" s="60" t="str">
        <f aca="false">IF(IsPro,IF($D1530="","",IFERROR(INDEX(Items!$D$5:$D$504,Q1530),"")),IF($D1530="","","PRO PLAN"))</f>
        <v/>
      </c>
      <c r="J1530" s="61" t="str">
        <f aca="false">IF(IsPro,IF($D1530="","",IF($F1530="",IFERROR(INDEX(Items!$G$5:$G$504,Q1530),0),$F1530)),"")</f>
        <v/>
      </c>
      <c r="K1530" s="61" t="str">
        <f aca="false">IF(IsPro,IF($D1530="","",ROUND(N($E1530)*J1530*(1-N($G1530)),2)),"")</f>
        <v/>
      </c>
      <c r="L1530" s="62" t="str">
        <f aca="false">IF(IsPro,IF($D1530="","",IFERROR(INDEX(Items!$F$5:$F$504,Q1530),0)),"")</f>
        <v/>
      </c>
      <c r="M1530" s="61" t="str">
        <f aca="false">IF(IsPro,IF($D1530="","",IF(AND(R1530&lt;&gt;"",INDEX(Parties!$E$5:$E$304,R1530)&lt;&gt;"",INDEX(Parties!$E$5:$E$304,R1530)&lt;&gt;HomeState),0,ROUND(K1530*L1530/2,2))),"")</f>
        <v/>
      </c>
      <c r="N1530" s="61" t="str">
        <f aca="false">IF(IsPro,IF($D1530="","",M1530),"")</f>
        <v/>
      </c>
      <c r="O1530" s="61" t="str">
        <f aca="false">IF(IsPro,IF($D1530="","",IF(AND(R1530&lt;&gt;"",INDEX(Parties!$E$5:$E$304,R1530)&lt;&gt;"",INDEX(Parties!$E$5:$E$304,R1530)&lt;&gt;HomeState),ROUND(K1530*L1530,2),0)),"")</f>
        <v/>
      </c>
      <c r="P1530" s="61" t="str">
        <f aca="false">IF(IsPro,IF($D1530="","",K1530+M1530+N1530+O1530),"")</f>
        <v/>
      </c>
      <c r="Q1530" s="60" t="str">
        <f aca="false">IF(IsPro,IF($D1530="","",IFERROR(MATCH($D1530,Items!$A$5:$A$504,0),"")),"")</f>
        <v/>
      </c>
      <c r="R1530" s="60" t="str">
        <f aca="false">IF(IsPro,IF($C1530="","",IFERROR(MATCH($C1530,Parties!$A$5:$A$304,0),"")),"")</f>
        <v/>
      </c>
      <c r="S1530" s="61" t="str">
        <f aca="false">IF(IsPro,IF($D1530="","",IF(OR($H1530="",$H1530="Credit"),0,P1530)),"")</f>
        <v/>
      </c>
    </row>
    <row r="1531" customFormat="false" ht="15" hidden="false" customHeight="false" outlineLevel="0" collapsed="false">
      <c r="A1531" s="55"/>
      <c r="B1531" s="56"/>
      <c r="C1531" s="56"/>
      <c r="D1531" s="56"/>
      <c r="E1531" s="57"/>
      <c r="F1531" s="58"/>
      <c r="G1531" s="59"/>
      <c r="H1531" s="56"/>
      <c r="I1531" s="60" t="str">
        <f aca="false">IF(IsPro,IF($D1531="","",IFERROR(INDEX(Items!$D$5:$D$504,Q1531),"")),IF($D1531="","","PRO PLAN"))</f>
        <v/>
      </c>
      <c r="J1531" s="61" t="str">
        <f aca="false">IF(IsPro,IF($D1531="","",IF($F1531="",IFERROR(INDEX(Items!$G$5:$G$504,Q1531),0),$F1531)),"")</f>
        <v/>
      </c>
      <c r="K1531" s="61" t="str">
        <f aca="false">IF(IsPro,IF($D1531="","",ROUND(N($E1531)*J1531*(1-N($G1531)),2)),"")</f>
        <v/>
      </c>
      <c r="L1531" s="62" t="str">
        <f aca="false">IF(IsPro,IF($D1531="","",IFERROR(INDEX(Items!$F$5:$F$504,Q1531),0)),"")</f>
        <v/>
      </c>
      <c r="M1531" s="61" t="str">
        <f aca="false">IF(IsPro,IF($D1531="","",IF(AND(R1531&lt;&gt;"",INDEX(Parties!$E$5:$E$304,R1531)&lt;&gt;"",INDEX(Parties!$E$5:$E$304,R1531)&lt;&gt;HomeState),0,ROUND(K1531*L1531/2,2))),"")</f>
        <v/>
      </c>
      <c r="N1531" s="61" t="str">
        <f aca="false">IF(IsPro,IF($D1531="","",M1531),"")</f>
        <v/>
      </c>
      <c r="O1531" s="61" t="str">
        <f aca="false">IF(IsPro,IF($D1531="","",IF(AND(R1531&lt;&gt;"",INDEX(Parties!$E$5:$E$304,R1531)&lt;&gt;"",INDEX(Parties!$E$5:$E$304,R1531)&lt;&gt;HomeState),ROUND(K1531*L1531,2),0)),"")</f>
        <v/>
      </c>
      <c r="P1531" s="61" t="str">
        <f aca="false">IF(IsPro,IF($D1531="","",K1531+M1531+N1531+O1531),"")</f>
        <v/>
      </c>
      <c r="Q1531" s="60" t="str">
        <f aca="false">IF(IsPro,IF($D1531="","",IFERROR(MATCH($D1531,Items!$A$5:$A$504,0),"")),"")</f>
        <v/>
      </c>
      <c r="R1531" s="60" t="str">
        <f aca="false">IF(IsPro,IF($C1531="","",IFERROR(MATCH($C1531,Parties!$A$5:$A$304,0),"")),"")</f>
        <v/>
      </c>
      <c r="S1531" s="61" t="str">
        <f aca="false">IF(IsPro,IF($D1531="","",IF(OR($H1531="",$H1531="Credit"),0,P1531)),"")</f>
        <v/>
      </c>
    </row>
    <row r="1532" customFormat="false" ht="15" hidden="false" customHeight="false" outlineLevel="0" collapsed="false">
      <c r="A1532" s="55"/>
      <c r="B1532" s="56"/>
      <c r="C1532" s="56"/>
      <c r="D1532" s="56"/>
      <c r="E1532" s="57"/>
      <c r="F1532" s="58"/>
      <c r="G1532" s="59"/>
      <c r="H1532" s="56"/>
      <c r="I1532" s="60" t="str">
        <f aca="false">IF(IsPro,IF($D1532="","",IFERROR(INDEX(Items!$D$5:$D$504,Q1532),"")),IF($D1532="","","PRO PLAN"))</f>
        <v/>
      </c>
      <c r="J1532" s="61" t="str">
        <f aca="false">IF(IsPro,IF($D1532="","",IF($F1532="",IFERROR(INDEX(Items!$G$5:$G$504,Q1532),0),$F1532)),"")</f>
        <v/>
      </c>
      <c r="K1532" s="61" t="str">
        <f aca="false">IF(IsPro,IF($D1532="","",ROUND(N($E1532)*J1532*(1-N($G1532)),2)),"")</f>
        <v/>
      </c>
      <c r="L1532" s="62" t="str">
        <f aca="false">IF(IsPro,IF($D1532="","",IFERROR(INDEX(Items!$F$5:$F$504,Q1532),0)),"")</f>
        <v/>
      </c>
      <c r="M1532" s="61" t="str">
        <f aca="false">IF(IsPro,IF($D1532="","",IF(AND(R1532&lt;&gt;"",INDEX(Parties!$E$5:$E$304,R1532)&lt;&gt;"",INDEX(Parties!$E$5:$E$304,R1532)&lt;&gt;HomeState),0,ROUND(K1532*L1532/2,2))),"")</f>
        <v/>
      </c>
      <c r="N1532" s="61" t="str">
        <f aca="false">IF(IsPro,IF($D1532="","",M1532),"")</f>
        <v/>
      </c>
      <c r="O1532" s="61" t="str">
        <f aca="false">IF(IsPro,IF($D1532="","",IF(AND(R1532&lt;&gt;"",INDEX(Parties!$E$5:$E$304,R1532)&lt;&gt;"",INDEX(Parties!$E$5:$E$304,R1532)&lt;&gt;HomeState),ROUND(K1532*L1532,2),0)),"")</f>
        <v/>
      </c>
      <c r="P1532" s="61" t="str">
        <f aca="false">IF(IsPro,IF($D1532="","",K1532+M1532+N1532+O1532),"")</f>
        <v/>
      </c>
      <c r="Q1532" s="60" t="str">
        <f aca="false">IF(IsPro,IF($D1532="","",IFERROR(MATCH($D1532,Items!$A$5:$A$504,0),"")),"")</f>
        <v/>
      </c>
      <c r="R1532" s="60" t="str">
        <f aca="false">IF(IsPro,IF($C1532="","",IFERROR(MATCH($C1532,Parties!$A$5:$A$304,0),"")),"")</f>
        <v/>
      </c>
      <c r="S1532" s="61" t="str">
        <f aca="false">IF(IsPro,IF($D1532="","",IF(OR($H1532="",$H1532="Credit"),0,P1532)),"")</f>
        <v/>
      </c>
    </row>
    <row r="1533" customFormat="false" ht="15" hidden="false" customHeight="false" outlineLevel="0" collapsed="false">
      <c r="A1533" s="55"/>
      <c r="B1533" s="56"/>
      <c r="C1533" s="56"/>
      <c r="D1533" s="56"/>
      <c r="E1533" s="57"/>
      <c r="F1533" s="58"/>
      <c r="G1533" s="59"/>
      <c r="H1533" s="56"/>
      <c r="I1533" s="60" t="str">
        <f aca="false">IF(IsPro,IF($D1533="","",IFERROR(INDEX(Items!$D$5:$D$504,Q1533),"")),IF($D1533="","","PRO PLAN"))</f>
        <v/>
      </c>
      <c r="J1533" s="61" t="str">
        <f aca="false">IF(IsPro,IF($D1533="","",IF($F1533="",IFERROR(INDEX(Items!$G$5:$G$504,Q1533),0),$F1533)),"")</f>
        <v/>
      </c>
      <c r="K1533" s="61" t="str">
        <f aca="false">IF(IsPro,IF($D1533="","",ROUND(N($E1533)*J1533*(1-N($G1533)),2)),"")</f>
        <v/>
      </c>
      <c r="L1533" s="62" t="str">
        <f aca="false">IF(IsPro,IF($D1533="","",IFERROR(INDEX(Items!$F$5:$F$504,Q1533),0)),"")</f>
        <v/>
      </c>
      <c r="M1533" s="61" t="str">
        <f aca="false">IF(IsPro,IF($D1533="","",IF(AND(R1533&lt;&gt;"",INDEX(Parties!$E$5:$E$304,R1533)&lt;&gt;"",INDEX(Parties!$E$5:$E$304,R1533)&lt;&gt;HomeState),0,ROUND(K1533*L1533/2,2))),"")</f>
        <v/>
      </c>
      <c r="N1533" s="61" t="str">
        <f aca="false">IF(IsPro,IF($D1533="","",M1533),"")</f>
        <v/>
      </c>
      <c r="O1533" s="61" t="str">
        <f aca="false">IF(IsPro,IF($D1533="","",IF(AND(R1533&lt;&gt;"",INDEX(Parties!$E$5:$E$304,R1533)&lt;&gt;"",INDEX(Parties!$E$5:$E$304,R1533)&lt;&gt;HomeState),ROUND(K1533*L1533,2),0)),"")</f>
        <v/>
      </c>
      <c r="P1533" s="61" t="str">
        <f aca="false">IF(IsPro,IF($D1533="","",K1533+M1533+N1533+O1533),"")</f>
        <v/>
      </c>
      <c r="Q1533" s="60" t="str">
        <f aca="false">IF(IsPro,IF($D1533="","",IFERROR(MATCH($D1533,Items!$A$5:$A$504,0),"")),"")</f>
        <v/>
      </c>
      <c r="R1533" s="60" t="str">
        <f aca="false">IF(IsPro,IF($C1533="","",IFERROR(MATCH($C1533,Parties!$A$5:$A$304,0),"")),"")</f>
        <v/>
      </c>
      <c r="S1533" s="61" t="str">
        <f aca="false">IF(IsPro,IF($D1533="","",IF(OR($H1533="",$H1533="Credit"),0,P1533)),"")</f>
        <v/>
      </c>
    </row>
    <row r="1534" customFormat="false" ht="15" hidden="false" customHeight="false" outlineLevel="0" collapsed="false">
      <c r="A1534" s="55"/>
      <c r="B1534" s="56"/>
      <c r="C1534" s="56"/>
      <c r="D1534" s="56"/>
      <c r="E1534" s="57"/>
      <c r="F1534" s="58"/>
      <c r="G1534" s="59"/>
      <c r="H1534" s="56"/>
      <c r="I1534" s="60" t="str">
        <f aca="false">IF(IsPro,IF($D1534="","",IFERROR(INDEX(Items!$D$5:$D$504,Q1534),"")),IF($D1534="","","PRO PLAN"))</f>
        <v/>
      </c>
      <c r="J1534" s="61" t="str">
        <f aca="false">IF(IsPro,IF($D1534="","",IF($F1534="",IFERROR(INDEX(Items!$G$5:$G$504,Q1534),0),$F1534)),"")</f>
        <v/>
      </c>
      <c r="K1534" s="61" t="str">
        <f aca="false">IF(IsPro,IF($D1534="","",ROUND(N($E1534)*J1534*(1-N($G1534)),2)),"")</f>
        <v/>
      </c>
      <c r="L1534" s="62" t="str">
        <f aca="false">IF(IsPro,IF($D1534="","",IFERROR(INDEX(Items!$F$5:$F$504,Q1534),0)),"")</f>
        <v/>
      </c>
      <c r="M1534" s="61" t="str">
        <f aca="false">IF(IsPro,IF($D1534="","",IF(AND(R1534&lt;&gt;"",INDEX(Parties!$E$5:$E$304,R1534)&lt;&gt;"",INDEX(Parties!$E$5:$E$304,R1534)&lt;&gt;HomeState),0,ROUND(K1534*L1534/2,2))),"")</f>
        <v/>
      </c>
      <c r="N1534" s="61" t="str">
        <f aca="false">IF(IsPro,IF($D1534="","",M1534),"")</f>
        <v/>
      </c>
      <c r="O1534" s="61" t="str">
        <f aca="false">IF(IsPro,IF($D1534="","",IF(AND(R1534&lt;&gt;"",INDEX(Parties!$E$5:$E$304,R1534)&lt;&gt;"",INDEX(Parties!$E$5:$E$304,R1534)&lt;&gt;HomeState),ROUND(K1534*L1534,2),0)),"")</f>
        <v/>
      </c>
      <c r="P1534" s="61" t="str">
        <f aca="false">IF(IsPro,IF($D1534="","",K1534+M1534+N1534+O1534),"")</f>
        <v/>
      </c>
      <c r="Q1534" s="60" t="str">
        <f aca="false">IF(IsPro,IF($D1534="","",IFERROR(MATCH($D1534,Items!$A$5:$A$504,0),"")),"")</f>
        <v/>
      </c>
      <c r="R1534" s="60" t="str">
        <f aca="false">IF(IsPro,IF($C1534="","",IFERROR(MATCH($C1534,Parties!$A$5:$A$304,0),"")),"")</f>
        <v/>
      </c>
      <c r="S1534" s="61" t="str">
        <f aca="false">IF(IsPro,IF($D1534="","",IF(OR($H1534="",$H1534="Credit"),0,P1534)),"")</f>
        <v/>
      </c>
    </row>
    <row r="1535" customFormat="false" ht="15" hidden="false" customHeight="false" outlineLevel="0" collapsed="false">
      <c r="A1535" s="55"/>
      <c r="B1535" s="56"/>
      <c r="C1535" s="56"/>
      <c r="D1535" s="56"/>
      <c r="E1535" s="57"/>
      <c r="F1535" s="58"/>
      <c r="G1535" s="59"/>
      <c r="H1535" s="56"/>
      <c r="I1535" s="60" t="str">
        <f aca="false">IF(IsPro,IF($D1535="","",IFERROR(INDEX(Items!$D$5:$D$504,Q1535),"")),IF($D1535="","","PRO PLAN"))</f>
        <v/>
      </c>
      <c r="J1535" s="61" t="str">
        <f aca="false">IF(IsPro,IF($D1535="","",IF($F1535="",IFERROR(INDEX(Items!$G$5:$G$504,Q1535),0),$F1535)),"")</f>
        <v/>
      </c>
      <c r="K1535" s="61" t="str">
        <f aca="false">IF(IsPro,IF($D1535="","",ROUND(N($E1535)*J1535*(1-N($G1535)),2)),"")</f>
        <v/>
      </c>
      <c r="L1535" s="62" t="str">
        <f aca="false">IF(IsPro,IF($D1535="","",IFERROR(INDEX(Items!$F$5:$F$504,Q1535),0)),"")</f>
        <v/>
      </c>
      <c r="M1535" s="61" t="str">
        <f aca="false">IF(IsPro,IF($D1535="","",IF(AND(R1535&lt;&gt;"",INDEX(Parties!$E$5:$E$304,R1535)&lt;&gt;"",INDEX(Parties!$E$5:$E$304,R1535)&lt;&gt;HomeState),0,ROUND(K1535*L1535/2,2))),"")</f>
        <v/>
      </c>
      <c r="N1535" s="61" t="str">
        <f aca="false">IF(IsPro,IF($D1535="","",M1535),"")</f>
        <v/>
      </c>
      <c r="O1535" s="61" t="str">
        <f aca="false">IF(IsPro,IF($D1535="","",IF(AND(R1535&lt;&gt;"",INDEX(Parties!$E$5:$E$304,R1535)&lt;&gt;"",INDEX(Parties!$E$5:$E$304,R1535)&lt;&gt;HomeState),ROUND(K1535*L1535,2),0)),"")</f>
        <v/>
      </c>
      <c r="P1535" s="61" t="str">
        <f aca="false">IF(IsPro,IF($D1535="","",K1535+M1535+N1535+O1535),"")</f>
        <v/>
      </c>
      <c r="Q1535" s="60" t="str">
        <f aca="false">IF(IsPro,IF($D1535="","",IFERROR(MATCH($D1535,Items!$A$5:$A$504,0),"")),"")</f>
        <v/>
      </c>
      <c r="R1535" s="60" t="str">
        <f aca="false">IF(IsPro,IF($C1535="","",IFERROR(MATCH($C1535,Parties!$A$5:$A$304,0),"")),"")</f>
        <v/>
      </c>
      <c r="S1535" s="61" t="str">
        <f aca="false">IF(IsPro,IF($D1535="","",IF(OR($H1535="",$H1535="Credit"),0,P1535)),"")</f>
        <v/>
      </c>
    </row>
    <row r="1536" customFormat="false" ht="15" hidden="false" customHeight="false" outlineLevel="0" collapsed="false">
      <c r="A1536" s="55"/>
      <c r="B1536" s="56"/>
      <c r="C1536" s="56"/>
      <c r="D1536" s="56"/>
      <c r="E1536" s="57"/>
      <c r="F1536" s="58"/>
      <c r="G1536" s="59"/>
      <c r="H1536" s="56"/>
      <c r="I1536" s="60" t="str">
        <f aca="false">IF(IsPro,IF($D1536="","",IFERROR(INDEX(Items!$D$5:$D$504,Q1536),"")),IF($D1536="","","PRO PLAN"))</f>
        <v/>
      </c>
      <c r="J1536" s="61" t="str">
        <f aca="false">IF(IsPro,IF($D1536="","",IF($F1536="",IFERROR(INDEX(Items!$G$5:$G$504,Q1536),0),$F1536)),"")</f>
        <v/>
      </c>
      <c r="K1536" s="61" t="str">
        <f aca="false">IF(IsPro,IF($D1536="","",ROUND(N($E1536)*J1536*(1-N($G1536)),2)),"")</f>
        <v/>
      </c>
      <c r="L1536" s="62" t="str">
        <f aca="false">IF(IsPro,IF($D1536="","",IFERROR(INDEX(Items!$F$5:$F$504,Q1536),0)),"")</f>
        <v/>
      </c>
      <c r="M1536" s="61" t="str">
        <f aca="false">IF(IsPro,IF($D1536="","",IF(AND(R1536&lt;&gt;"",INDEX(Parties!$E$5:$E$304,R1536)&lt;&gt;"",INDEX(Parties!$E$5:$E$304,R1536)&lt;&gt;HomeState),0,ROUND(K1536*L1536/2,2))),"")</f>
        <v/>
      </c>
      <c r="N1536" s="61" t="str">
        <f aca="false">IF(IsPro,IF($D1536="","",M1536),"")</f>
        <v/>
      </c>
      <c r="O1536" s="61" t="str">
        <f aca="false">IF(IsPro,IF($D1536="","",IF(AND(R1536&lt;&gt;"",INDEX(Parties!$E$5:$E$304,R1536)&lt;&gt;"",INDEX(Parties!$E$5:$E$304,R1536)&lt;&gt;HomeState),ROUND(K1536*L1536,2),0)),"")</f>
        <v/>
      </c>
      <c r="P1536" s="61" t="str">
        <f aca="false">IF(IsPro,IF($D1536="","",K1536+M1536+N1536+O1536),"")</f>
        <v/>
      </c>
      <c r="Q1536" s="60" t="str">
        <f aca="false">IF(IsPro,IF($D1536="","",IFERROR(MATCH($D1536,Items!$A$5:$A$504,0),"")),"")</f>
        <v/>
      </c>
      <c r="R1536" s="60" t="str">
        <f aca="false">IF(IsPro,IF($C1536="","",IFERROR(MATCH($C1536,Parties!$A$5:$A$304,0),"")),"")</f>
        <v/>
      </c>
      <c r="S1536" s="61" t="str">
        <f aca="false">IF(IsPro,IF($D1536="","",IF(OR($H1536="",$H1536="Credit"),0,P1536)),"")</f>
        <v/>
      </c>
    </row>
    <row r="1537" customFormat="false" ht="15" hidden="false" customHeight="false" outlineLevel="0" collapsed="false">
      <c r="A1537" s="55"/>
      <c r="B1537" s="56"/>
      <c r="C1537" s="56"/>
      <c r="D1537" s="56"/>
      <c r="E1537" s="57"/>
      <c r="F1537" s="58"/>
      <c r="G1537" s="59"/>
      <c r="H1537" s="56"/>
      <c r="I1537" s="60" t="str">
        <f aca="false">IF(IsPro,IF($D1537="","",IFERROR(INDEX(Items!$D$5:$D$504,Q1537),"")),IF($D1537="","","PRO PLAN"))</f>
        <v/>
      </c>
      <c r="J1537" s="61" t="str">
        <f aca="false">IF(IsPro,IF($D1537="","",IF($F1537="",IFERROR(INDEX(Items!$G$5:$G$504,Q1537),0),$F1537)),"")</f>
        <v/>
      </c>
      <c r="K1537" s="61" t="str">
        <f aca="false">IF(IsPro,IF($D1537="","",ROUND(N($E1537)*J1537*(1-N($G1537)),2)),"")</f>
        <v/>
      </c>
      <c r="L1537" s="62" t="str">
        <f aca="false">IF(IsPro,IF($D1537="","",IFERROR(INDEX(Items!$F$5:$F$504,Q1537),0)),"")</f>
        <v/>
      </c>
      <c r="M1537" s="61" t="str">
        <f aca="false">IF(IsPro,IF($D1537="","",IF(AND(R1537&lt;&gt;"",INDEX(Parties!$E$5:$E$304,R1537)&lt;&gt;"",INDEX(Parties!$E$5:$E$304,R1537)&lt;&gt;HomeState),0,ROUND(K1537*L1537/2,2))),"")</f>
        <v/>
      </c>
      <c r="N1537" s="61" t="str">
        <f aca="false">IF(IsPro,IF($D1537="","",M1537),"")</f>
        <v/>
      </c>
      <c r="O1537" s="61" t="str">
        <f aca="false">IF(IsPro,IF($D1537="","",IF(AND(R1537&lt;&gt;"",INDEX(Parties!$E$5:$E$304,R1537)&lt;&gt;"",INDEX(Parties!$E$5:$E$304,R1537)&lt;&gt;HomeState),ROUND(K1537*L1537,2),0)),"")</f>
        <v/>
      </c>
      <c r="P1537" s="61" t="str">
        <f aca="false">IF(IsPro,IF($D1537="","",K1537+M1537+N1537+O1537),"")</f>
        <v/>
      </c>
      <c r="Q1537" s="60" t="str">
        <f aca="false">IF(IsPro,IF($D1537="","",IFERROR(MATCH($D1537,Items!$A$5:$A$504,0),"")),"")</f>
        <v/>
      </c>
      <c r="R1537" s="60" t="str">
        <f aca="false">IF(IsPro,IF($C1537="","",IFERROR(MATCH($C1537,Parties!$A$5:$A$304,0),"")),"")</f>
        <v/>
      </c>
      <c r="S1537" s="61" t="str">
        <f aca="false">IF(IsPro,IF($D1537="","",IF(OR($H1537="",$H1537="Credit"),0,P1537)),"")</f>
        <v/>
      </c>
    </row>
    <row r="1538" customFormat="false" ht="15" hidden="false" customHeight="false" outlineLevel="0" collapsed="false">
      <c r="A1538" s="55"/>
      <c r="B1538" s="56"/>
      <c r="C1538" s="56"/>
      <c r="D1538" s="56"/>
      <c r="E1538" s="57"/>
      <c r="F1538" s="58"/>
      <c r="G1538" s="59"/>
      <c r="H1538" s="56"/>
      <c r="I1538" s="60" t="str">
        <f aca="false">IF(IsPro,IF($D1538="","",IFERROR(INDEX(Items!$D$5:$D$504,Q1538),"")),IF($D1538="","","PRO PLAN"))</f>
        <v/>
      </c>
      <c r="J1538" s="61" t="str">
        <f aca="false">IF(IsPro,IF($D1538="","",IF($F1538="",IFERROR(INDEX(Items!$G$5:$G$504,Q1538),0),$F1538)),"")</f>
        <v/>
      </c>
      <c r="K1538" s="61" t="str">
        <f aca="false">IF(IsPro,IF($D1538="","",ROUND(N($E1538)*J1538*(1-N($G1538)),2)),"")</f>
        <v/>
      </c>
      <c r="L1538" s="62" t="str">
        <f aca="false">IF(IsPro,IF($D1538="","",IFERROR(INDEX(Items!$F$5:$F$504,Q1538),0)),"")</f>
        <v/>
      </c>
      <c r="M1538" s="61" t="str">
        <f aca="false">IF(IsPro,IF($D1538="","",IF(AND(R1538&lt;&gt;"",INDEX(Parties!$E$5:$E$304,R1538)&lt;&gt;"",INDEX(Parties!$E$5:$E$304,R1538)&lt;&gt;HomeState),0,ROUND(K1538*L1538/2,2))),"")</f>
        <v/>
      </c>
      <c r="N1538" s="61" t="str">
        <f aca="false">IF(IsPro,IF($D1538="","",M1538),"")</f>
        <v/>
      </c>
      <c r="O1538" s="61" t="str">
        <f aca="false">IF(IsPro,IF($D1538="","",IF(AND(R1538&lt;&gt;"",INDEX(Parties!$E$5:$E$304,R1538)&lt;&gt;"",INDEX(Parties!$E$5:$E$304,R1538)&lt;&gt;HomeState),ROUND(K1538*L1538,2),0)),"")</f>
        <v/>
      </c>
      <c r="P1538" s="61" t="str">
        <f aca="false">IF(IsPro,IF($D1538="","",K1538+M1538+N1538+O1538),"")</f>
        <v/>
      </c>
      <c r="Q1538" s="60" t="str">
        <f aca="false">IF(IsPro,IF($D1538="","",IFERROR(MATCH($D1538,Items!$A$5:$A$504,0),"")),"")</f>
        <v/>
      </c>
      <c r="R1538" s="60" t="str">
        <f aca="false">IF(IsPro,IF($C1538="","",IFERROR(MATCH($C1538,Parties!$A$5:$A$304,0),"")),"")</f>
        <v/>
      </c>
      <c r="S1538" s="61" t="str">
        <f aca="false">IF(IsPro,IF($D1538="","",IF(OR($H1538="",$H1538="Credit"),0,P1538)),"")</f>
        <v/>
      </c>
    </row>
    <row r="1539" customFormat="false" ht="15" hidden="false" customHeight="false" outlineLevel="0" collapsed="false">
      <c r="A1539" s="55"/>
      <c r="B1539" s="56"/>
      <c r="C1539" s="56"/>
      <c r="D1539" s="56"/>
      <c r="E1539" s="57"/>
      <c r="F1539" s="58"/>
      <c r="G1539" s="59"/>
      <c r="H1539" s="56"/>
      <c r="I1539" s="60" t="str">
        <f aca="false">IF(IsPro,IF($D1539="","",IFERROR(INDEX(Items!$D$5:$D$504,Q1539),"")),IF($D1539="","","PRO PLAN"))</f>
        <v/>
      </c>
      <c r="J1539" s="61" t="str">
        <f aca="false">IF(IsPro,IF($D1539="","",IF($F1539="",IFERROR(INDEX(Items!$G$5:$G$504,Q1539),0),$F1539)),"")</f>
        <v/>
      </c>
      <c r="K1539" s="61" t="str">
        <f aca="false">IF(IsPro,IF($D1539="","",ROUND(N($E1539)*J1539*(1-N($G1539)),2)),"")</f>
        <v/>
      </c>
      <c r="L1539" s="62" t="str">
        <f aca="false">IF(IsPro,IF($D1539="","",IFERROR(INDEX(Items!$F$5:$F$504,Q1539),0)),"")</f>
        <v/>
      </c>
      <c r="M1539" s="61" t="str">
        <f aca="false">IF(IsPro,IF($D1539="","",IF(AND(R1539&lt;&gt;"",INDEX(Parties!$E$5:$E$304,R1539)&lt;&gt;"",INDEX(Parties!$E$5:$E$304,R1539)&lt;&gt;HomeState),0,ROUND(K1539*L1539/2,2))),"")</f>
        <v/>
      </c>
      <c r="N1539" s="61" t="str">
        <f aca="false">IF(IsPro,IF($D1539="","",M1539),"")</f>
        <v/>
      </c>
      <c r="O1539" s="61" t="str">
        <f aca="false">IF(IsPro,IF($D1539="","",IF(AND(R1539&lt;&gt;"",INDEX(Parties!$E$5:$E$304,R1539)&lt;&gt;"",INDEX(Parties!$E$5:$E$304,R1539)&lt;&gt;HomeState),ROUND(K1539*L1539,2),0)),"")</f>
        <v/>
      </c>
      <c r="P1539" s="61" t="str">
        <f aca="false">IF(IsPro,IF($D1539="","",K1539+M1539+N1539+O1539),"")</f>
        <v/>
      </c>
      <c r="Q1539" s="60" t="str">
        <f aca="false">IF(IsPro,IF($D1539="","",IFERROR(MATCH($D1539,Items!$A$5:$A$504,0),"")),"")</f>
        <v/>
      </c>
      <c r="R1539" s="60" t="str">
        <f aca="false">IF(IsPro,IF($C1539="","",IFERROR(MATCH($C1539,Parties!$A$5:$A$304,0),"")),"")</f>
        <v/>
      </c>
      <c r="S1539" s="61" t="str">
        <f aca="false">IF(IsPro,IF($D1539="","",IF(OR($H1539="",$H1539="Credit"),0,P1539)),"")</f>
        <v/>
      </c>
    </row>
    <row r="1540" customFormat="false" ht="15" hidden="false" customHeight="false" outlineLevel="0" collapsed="false">
      <c r="A1540" s="55"/>
      <c r="B1540" s="56"/>
      <c r="C1540" s="56"/>
      <c r="D1540" s="56"/>
      <c r="E1540" s="57"/>
      <c r="F1540" s="58"/>
      <c r="G1540" s="59"/>
      <c r="H1540" s="56"/>
      <c r="I1540" s="60" t="str">
        <f aca="false">IF(IsPro,IF($D1540="","",IFERROR(INDEX(Items!$D$5:$D$504,Q1540),"")),IF($D1540="","","PRO PLAN"))</f>
        <v/>
      </c>
      <c r="J1540" s="61" t="str">
        <f aca="false">IF(IsPro,IF($D1540="","",IF($F1540="",IFERROR(INDEX(Items!$G$5:$G$504,Q1540),0),$F1540)),"")</f>
        <v/>
      </c>
      <c r="K1540" s="61" t="str">
        <f aca="false">IF(IsPro,IF($D1540="","",ROUND(N($E1540)*J1540*(1-N($G1540)),2)),"")</f>
        <v/>
      </c>
      <c r="L1540" s="62" t="str">
        <f aca="false">IF(IsPro,IF($D1540="","",IFERROR(INDEX(Items!$F$5:$F$504,Q1540),0)),"")</f>
        <v/>
      </c>
      <c r="M1540" s="61" t="str">
        <f aca="false">IF(IsPro,IF($D1540="","",IF(AND(R1540&lt;&gt;"",INDEX(Parties!$E$5:$E$304,R1540)&lt;&gt;"",INDEX(Parties!$E$5:$E$304,R1540)&lt;&gt;HomeState),0,ROUND(K1540*L1540/2,2))),"")</f>
        <v/>
      </c>
      <c r="N1540" s="61" t="str">
        <f aca="false">IF(IsPro,IF($D1540="","",M1540),"")</f>
        <v/>
      </c>
      <c r="O1540" s="61" t="str">
        <f aca="false">IF(IsPro,IF($D1540="","",IF(AND(R1540&lt;&gt;"",INDEX(Parties!$E$5:$E$304,R1540)&lt;&gt;"",INDEX(Parties!$E$5:$E$304,R1540)&lt;&gt;HomeState),ROUND(K1540*L1540,2),0)),"")</f>
        <v/>
      </c>
      <c r="P1540" s="61" t="str">
        <f aca="false">IF(IsPro,IF($D1540="","",K1540+M1540+N1540+O1540),"")</f>
        <v/>
      </c>
      <c r="Q1540" s="60" t="str">
        <f aca="false">IF(IsPro,IF($D1540="","",IFERROR(MATCH($D1540,Items!$A$5:$A$504,0),"")),"")</f>
        <v/>
      </c>
      <c r="R1540" s="60" t="str">
        <f aca="false">IF(IsPro,IF($C1540="","",IFERROR(MATCH($C1540,Parties!$A$5:$A$304,0),"")),"")</f>
        <v/>
      </c>
      <c r="S1540" s="61" t="str">
        <f aca="false">IF(IsPro,IF($D1540="","",IF(OR($H1540="",$H1540="Credit"),0,P1540)),"")</f>
        <v/>
      </c>
    </row>
    <row r="1541" customFormat="false" ht="15" hidden="false" customHeight="false" outlineLevel="0" collapsed="false">
      <c r="A1541" s="55"/>
      <c r="B1541" s="56"/>
      <c r="C1541" s="56"/>
      <c r="D1541" s="56"/>
      <c r="E1541" s="57"/>
      <c r="F1541" s="58"/>
      <c r="G1541" s="59"/>
      <c r="H1541" s="56"/>
      <c r="I1541" s="60" t="str">
        <f aca="false">IF(IsPro,IF($D1541="","",IFERROR(INDEX(Items!$D$5:$D$504,Q1541),"")),IF($D1541="","","PRO PLAN"))</f>
        <v/>
      </c>
      <c r="J1541" s="61" t="str">
        <f aca="false">IF(IsPro,IF($D1541="","",IF($F1541="",IFERROR(INDEX(Items!$G$5:$G$504,Q1541),0),$F1541)),"")</f>
        <v/>
      </c>
      <c r="K1541" s="61" t="str">
        <f aca="false">IF(IsPro,IF($D1541="","",ROUND(N($E1541)*J1541*(1-N($G1541)),2)),"")</f>
        <v/>
      </c>
      <c r="L1541" s="62" t="str">
        <f aca="false">IF(IsPro,IF($D1541="","",IFERROR(INDEX(Items!$F$5:$F$504,Q1541),0)),"")</f>
        <v/>
      </c>
      <c r="M1541" s="61" t="str">
        <f aca="false">IF(IsPro,IF($D1541="","",IF(AND(R1541&lt;&gt;"",INDEX(Parties!$E$5:$E$304,R1541)&lt;&gt;"",INDEX(Parties!$E$5:$E$304,R1541)&lt;&gt;HomeState),0,ROUND(K1541*L1541/2,2))),"")</f>
        <v/>
      </c>
      <c r="N1541" s="61" t="str">
        <f aca="false">IF(IsPro,IF($D1541="","",M1541),"")</f>
        <v/>
      </c>
      <c r="O1541" s="61" t="str">
        <f aca="false">IF(IsPro,IF($D1541="","",IF(AND(R1541&lt;&gt;"",INDEX(Parties!$E$5:$E$304,R1541)&lt;&gt;"",INDEX(Parties!$E$5:$E$304,R1541)&lt;&gt;HomeState),ROUND(K1541*L1541,2),0)),"")</f>
        <v/>
      </c>
      <c r="P1541" s="61" t="str">
        <f aca="false">IF(IsPro,IF($D1541="","",K1541+M1541+N1541+O1541),"")</f>
        <v/>
      </c>
      <c r="Q1541" s="60" t="str">
        <f aca="false">IF(IsPro,IF($D1541="","",IFERROR(MATCH($D1541,Items!$A$5:$A$504,0),"")),"")</f>
        <v/>
      </c>
      <c r="R1541" s="60" t="str">
        <f aca="false">IF(IsPro,IF($C1541="","",IFERROR(MATCH($C1541,Parties!$A$5:$A$304,0),"")),"")</f>
        <v/>
      </c>
      <c r="S1541" s="61" t="str">
        <f aca="false">IF(IsPro,IF($D1541="","",IF(OR($H1541="",$H1541="Credit"),0,P1541)),"")</f>
        <v/>
      </c>
    </row>
    <row r="1542" customFormat="false" ht="15" hidden="false" customHeight="false" outlineLevel="0" collapsed="false">
      <c r="A1542" s="55"/>
      <c r="B1542" s="56"/>
      <c r="C1542" s="56"/>
      <c r="D1542" s="56"/>
      <c r="E1542" s="57"/>
      <c r="F1542" s="58"/>
      <c r="G1542" s="59"/>
      <c r="H1542" s="56"/>
      <c r="I1542" s="60" t="str">
        <f aca="false">IF(IsPro,IF($D1542="","",IFERROR(INDEX(Items!$D$5:$D$504,Q1542),"")),IF($D1542="","","PRO PLAN"))</f>
        <v/>
      </c>
      <c r="J1542" s="61" t="str">
        <f aca="false">IF(IsPro,IF($D1542="","",IF($F1542="",IFERROR(INDEX(Items!$G$5:$G$504,Q1542),0),$F1542)),"")</f>
        <v/>
      </c>
      <c r="K1542" s="61" t="str">
        <f aca="false">IF(IsPro,IF($D1542="","",ROUND(N($E1542)*J1542*(1-N($G1542)),2)),"")</f>
        <v/>
      </c>
      <c r="L1542" s="62" t="str">
        <f aca="false">IF(IsPro,IF($D1542="","",IFERROR(INDEX(Items!$F$5:$F$504,Q1542),0)),"")</f>
        <v/>
      </c>
      <c r="M1542" s="61" t="str">
        <f aca="false">IF(IsPro,IF($D1542="","",IF(AND(R1542&lt;&gt;"",INDEX(Parties!$E$5:$E$304,R1542)&lt;&gt;"",INDEX(Parties!$E$5:$E$304,R1542)&lt;&gt;HomeState),0,ROUND(K1542*L1542/2,2))),"")</f>
        <v/>
      </c>
      <c r="N1542" s="61" t="str">
        <f aca="false">IF(IsPro,IF($D1542="","",M1542),"")</f>
        <v/>
      </c>
      <c r="O1542" s="61" t="str">
        <f aca="false">IF(IsPro,IF($D1542="","",IF(AND(R1542&lt;&gt;"",INDEX(Parties!$E$5:$E$304,R1542)&lt;&gt;"",INDEX(Parties!$E$5:$E$304,R1542)&lt;&gt;HomeState),ROUND(K1542*L1542,2),0)),"")</f>
        <v/>
      </c>
      <c r="P1542" s="61" t="str">
        <f aca="false">IF(IsPro,IF($D1542="","",K1542+M1542+N1542+O1542),"")</f>
        <v/>
      </c>
      <c r="Q1542" s="60" t="str">
        <f aca="false">IF(IsPro,IF($D1542="","",IFERROR(MATCH($D1542,Items!$A$5:$A$504,0),"")),"")</f>
        <v/>
      </c>
      <c r="R1542" s="60" t="str">
        <f aca="false">IF(IsPro,IF($C1542="","",IFERROR(MATCH($C1542,Parties!$A$5:$A$304,0),"")),"")</f>
        <v/>
      </c>
      <c r="S1542" s="61" t="str">
        <f aca="false">IF(IsPro,IF($D1542="","",IF(OR($H1542="",$H1542="Credit"),0,P1542)),"")</f>
        <v/>
      </c>
    </row>
    <row r="1543" customFormat="false" ht="15" hidden="false" customHeight="false" outlineLevel="0" collapsed="false">
      <c r="A1543" s="55"/>
      <c r="B1543" s="56"/>
      <c r="C1543" s="56"/>
      <c r="D1543" s="56"/>
      <c r="E1543" s="57"/>
      <c r="F1543" s="58"/>
      <c r="G1543" s="59"/>
      <c r="H1543" s="56"/>
      <c r="I1543" s="60" t="str">
        <f aca="false">IF(IsPro,IF($D1543="","",IFERROR(INDEX(Items!$D$5:$D$504,Q1543),"")),IF($D1543="","","PRO PLAN"))</f>
        <v/>
      </c>
      <c r="J1543" s="61" t="str">
        <f aca="false">IF(IsPro,IF($D1543="","",IF($F1543="",IFERROR(INDEX(Items!$G$5:$G$504,Q1543),0),$F1543)),"")</f>
        <v/>
      </c>
      <c r="K1543" s="61" t="str">
        <f aca="false">IF(IsPro,IF($D1543="","",ROUND(N($E1543)*J1543*(1-N($G1543)),2)),"")</f>
        <v/>
      </c>
      <c r="L1543" s="62" t="str">
        <f aca="false">IF(IsPro,IF($D1543="","",IFERROR(INDEX(Items!$F$5:$F$504,Q1543),0)),"")</f>
        <v/>
      </c>
      <c r="M1543" s="61" t="str">
        <f aca="false">IF(IsPro,IF($D1543="","",IF(AND(R1543&lt;&gt;"",INDEX(Parties!$E$5:$E$304,R1543)&lt;&gt;"",INDEX(Parties!$E$5:$E$304,R1543)&lt;&gt;HomeState),0,ROUND(K1543*L1543/2,2))),"")</f>
        <v/>
      </c>
      <c r="N1543" s="61" t="str">
        <f aca="false">IF(IsPro,IF($D1543="","",M1543),"")</f>
        <v/>
      </c>
      <c r="O1543" s="61" t="str">
        <f aca="false">IF(IsPro,IF($D1543="","",IF(AND(R1543&lt;&gt;"",INDEX(Parties!$E$5:$E$304,R1543)&lt;&gt;"",INDEX(Parties!$E$5:$E$304,R1543)&lt;&gt;HomeState),ROUND(K1543*L1543,2),0)),"")</f>
        <v/>
      </c>
      <c r="P1543" s="61" t="str">
        <f aca="false">IF(IsPro,IF($D1543="","",K1543+M1543+N1543+O1543),"")</f>
        <v/>
      </c>
      <c r="Q1543" s="60" t="str">
        <f aca="false">IF(IsPro,IF($D1543="","",IFERROR(MATCH($D1543,Items!$A$5:$A$504,0),"")),"")</f>
        <v/>
      </c>
      <c r="R1543" s="60" t="str">
        <f aca="false">IF(IsPro,IF($C1543="","",IFERROR(MATCH($C1543,Parties!$A$5:$A$304,0),"")),"")</f>
        <v/>
      </c>
      <c r="S1543" s="61" t="str">
        <f aca="false">IF(IsPro,IF($D1543="","",IF(OR($H1543="",$H1543="Credit"),0,P1543)),"")</f>
        <v/>
      </c>
    </row>
    <row r="1544" customFormat="false" ht="15" hidden="false" customHeight="false" outlineLevel="0" collapsed="false">
      <c r="A1544" s="55"/>
      <c r="B1544" s="56"/>
      <c r="C1544" s="56"/>
      <c r="D1544" s="56"/>
      <c r="E1544" s="57"/>
      <c r="F1544" s="58"/>
      <c r="G1544" s="59"/>
      <c r="H1544" s="56"/>
      <c r="I1544" s="60" t="str">
        <f aca="false">IF(IsPro,IF($D1544="","",IFERROR(INDEX(Items!$D$5:$D$504,Q1544),"")),IF($D1544="","","PRO PLAN"))</f>
        <v/>
      </c>
      <c r="J1544" s="61" t="str">
        <f aca="false">IF(IsPro,IF($D1544="","",IF($F1544="",IFERROR(INDEX(Items!$G$5:$G$504,Q1544),0),$F1544)),"")</f>
        <v/>
      </c>
      <c r="K1544" s="61" t="str">
        <f aca="false">IF(IsPro,IF($D1544="","",ROUND(N($E1544)*J1544*(1-N($G1544)),2)),"")</f>
        <v/>
      </c>
      <c r="L1544" s="62" t="str">
        <f aca="false">IF(IsPro,IF($D1544="","",IFERROR(INDEX(Items!$F$5:$F$504,Q1544),0)),"")</f>
        <v/>
      </c>
      <c r="M1544" s="61" t="str">
        <f aca="false">IF(IsPro,IF($D1544="","",IF(AND(R1544&lt;&gt;"",INDEX(Parties!$E$5:$E$304,R1544)&lt;&gt;"",INDEX(Parties!$E$5:$E$304,R1544)&lt;&gt;HomeState),0,ROUND(K1544*L1544/2,2))),"")</f>
        <v/>
      </c>
      <c r="N1544" s="61" t="str">
        <f aca="false">IF(IsPro,IF($D1544="","",M1544),"")</f>
        <v/>
      </c>
      <c r="O1544" s="61" t="str">
        <f aca="false">IF(IsPro,IF($D1544="","",IF(AND(R1544&lt;&gt;"",INDEX(Parties!$E$5:$E$304,R1544)&lt;&gt;"",INDEX(Parties!$E$5:$E$304,R1544)&lt;&gt;HomeState),ROUND(K1544*L1544,2),0)),"")</f>
        <v/>
      </c>
      <c r="P1544" s="61" t="str">
        <f aca="false">IF(IsPro,IF($D1544="","",K1544+M1544+N1544+O1544),"")</f>
        <v/>
      </c>
      <c r="Q1544" s="60" t="str">
        <f aca="false">IF(IsPro,IF($D1544="","",IFERROR(MATCH($D1544,Items!$A$5:$A$504,0),"")),"")</f>
        <v/>
      </c>
      <c r="R1544" s="60" t="str">
        <f aca="false">IF(IsPro,IF($C1544="","",IFERROR(MATCH($C1544,Parties!$A$5:$A$304,0),"")),"")</f>
        <v/>
      </c>
      <c r="S1544" s="61" t="str">
        <f aca="false">IF(IsPro,IF($D1544="","",IF(OR($H1544="",$H1544="Credit"),0,P1544)),"")</f>
        <v/>
      </c>
    </row>
    <row r="1545" customFormat="false" ht="15" hidden="false" customHeight="false" outlineLevel="0" collapsed="false">
      <c r="A1545" s="55"/>
      <c r="B1545" s="56"/>
      <c r="C1545" s="56"/>
      <c r="D1545" s="56"/>
      <c r="E1545" s="57"/>
      <c r="F1545" s="58"/>
      <c r="G1545" s="59"/>
      <c r="H1545" s="56"/>
      <c r="I1545" s="60" t="str">
        <f aca="false">IF(IsPro,IF($D1545="","",IFERROR(INDEX(Items!$D$5:$D$504,Q1545),"")),IF($D1545="","","PRO PLAN"))</f>
        <v/>
      </c>
      <c r="J1545" s="61" t="str">
        <f aca="false">IF(IsPro,IF($D1545="","",IF($F1545="",IFERROR(INDEX(Items!$G$5:$G$504,Q1545),0),$F1545)),"")</f>
        <v/>
      </c>
      <c r="K1545" s="61" t="str">
        <f aca="false">IF(IsPro,IF($D1545="","",ROUND(N($E1545)*J1545*(1-N($G1545)),2)),"")</f>
        <v/>
      </c>
      <c r="L1545" s="62" t="str">
        <f aca="false">IF(IsPro,IF($D1545="","",IFERROR(INDEX(Items!$F$5:$F$504,Q1545),0)),"")</f>
        <v/>
      </c>
      <c r="M1545" s="61" t="str">
        <f aca="false">IF(IsPro,IF($D1545="","",IF(AND(R1545&lt;&gt;"",INDEX(Parties!$E$5:$E$304,R1545)&lt;&gt;"",INDEX(Parties!$E$5:$E$304,R1545)&lt;&gt;HomeState),0,ROUND(K1545*L1545/2,2))),"")</f>
        <v/>
      </c>
      <c r="N1545" s="61" t="str">
        <f aca="false">IF(IsPro,IF($D1545="","",M1545),"")</f>
        <v/>
      </c>
      <c r="O1545" s="61" t="str">
        <f aca="false">IF(IsPro,IF($D1545="","",IF(AND(R1545&lt;&gt;"",INDEX(Parties!$E$5:$E$304,R1545)&lt;&gt;"",INDEX(Parties!$E$5:$E$304,R1545)&lt;&gt;HomeState),ROUND(K1545*L1545,2),0)),"")</f>
        <v/>
      </c>
      <c r="P1545" s="61" t="str">
        <f aca="false">IF(IsPro,IF($D1545="","",K1545+M1545+N1545+O1545),"")</f>
        <v/>
      </c>
      <c r="Q1545" s="60" t="str">
        <f aca="false">IF(IsPro,IF($D1545="","",IFERROR(MATCH($D1545,Items!$A$5:$A$504,0),"")),"")</f>
        <v/>
      </c>
      <c r="R1545" s="60" t="str">
        <f aca="false">IF(IsPro,IF($C1545="","",IFERROR(MATCH($C1545,Parties!$A$5:$A$304,0),"")),"")</f>
        <v/>
      </c>
      <c r="S1545" s="61" t="str">
        <f aca="false">IF(IsPro,IF($D1545="","",IF(OR($H1545="",$H1545="Credit"),0,P1545)),"")</f>
        <v/>
      </c>
    </row>
    <row r="1546" customFormat="false" ht="15" hidden="false" customHeight="false" outlineLevel="0" collapsed="false">
      <c r="A1546" s="55"/>
      <c r="B1546" s="56"/>
      <c r="C1546" s="56"/>
      <c r="D1546" s="56"/>
      <c r="E1546" s="57"/>
      <c r="F1546" s="58"/>
      <c r="G1546" s="59"/>
      <c r="H1546" s="56"/>
      <c r="I1546" s="60" t="str">
        <f aca="false">IF(IsPro,IF($D1546="","",IFERROR(INDEX(Items!$D$5:$D$504,Q1546),"")),IF($D1546="","","PRO PLAN"))</f>
        <v/>
      </c>
      <c r="J1546" s="61" t="str">
        <f aca="false">IF(IsPro,IF($D1546="","",IF($F1546="",IFERROR(INDEX(Items!$G$5:$G$504,Q1546),0),$F1546)),"")</f>
        <v/>
      </c>
      <c r="K1546" s="61" t="str">
        <f aca="false">IF(IsPro,IF($D1546="","",ROUND(N($E1546)*J1546*(1-N($G1546)),2)),"")</f>
        <v/>
      </c>
      <c r="L1546" s="62" t="str">
        <f aca="false">IF(IsPro,IF($D1546="","",IFERROR(INDEX(Items!$F$5:$F$504,Q1546),0)),"")</f>
        <v/>
      </c>
      <c r="M1546" s="61" t="str">
        <f aca="false">IF(IsPro,IF($D1546="","",IF(AND(R1546&lt;&gt;"",INDEX(Parties!$E$5:$E$304,R1546)&lt;&gt;"",INDEX(Parties!$E$5:$E$304,R1546)&lt;&gt;HomeState),0,ROUND(K1546*L1546/2,2))),"")</f>
        <v/>
      </c>
      <c r="N1546" s="61" t="str">
        <f aca="false">IF(IsPro,IF($D1546="","",M1546),"")</f>
        <v/>
      </c>
      <c r="O1546" s="61" t="str">
        <f aca="false">IF(IsPro,IF($D1546="","",IF(AND(R1546&lt;&gt;"",INDEX(Parties!$E$5:$E$304,R1546)&lt;&gt;"",INDEX(Parties!$E$5:$E$304,R1546)&lt;&gt;HomeState),ROUND(K1546*L1546,2),0)),"")</f>
        <v/>
      </c>
      <c r="P1546" s="61" t="str">
        <f aca="false">IF(IsPro,IF($D1546="","",K1546+M1546+N1546+O1546),"")</f>
        <v/>
      </c>
      <c r="Q1546" s="60" t="str">
        <f aca="false">IF(IsPro,IF($D1546="","",IFERROR(MATCH($D1546,Items!$A$5:$A$504,0),"")),"")</f>
        <v/>
      </c>
      <c r="R1546" s="60" t="str">
        <f aca="false">IF(IsPro,IF($C1546="","",IFERROR(MATCH($C1546,Parties!$A$5:$A$304,0),"")),"")</f>
        <v/>
      </c>
      <c r="S1546" s="61" t="str">
        <f aca="false">IF(IsPro,IF($D1546="","",IF(OR($H1546="",$H1546="Credit"),0,P1546)),"")</f>
        <v/>
      </c>
    </row>
    <row r="1547" customFormat="false" ht="15" hidden="false" customHeight="false" outlineLevel="0" collapsed="false">
      <c r="A1547" s="55"/>
      <c r="B1547" s="56"/>
      <c r="C1547" s="56"/>
      <c r="D1547" s="56"/>
      <c r="E1547" s="57"/>
      <c r="F1547" s="58"/>
      <c r="G1547" s="59"/>
      <c r="H1547" s="56"/>
      <c r="I1547" s="60" t="str">
        <f aca="false">IF(IsPro,IF($D1547="","",IFERROR(INDEX(Items!$D$5:$D$504,Q1547),"")),IF($D1547="","","PRO PLAN"))</f>
        <v/>
      </c>
      <c r="J1547" s="61" t="str">
        <f aca="false">IF(IsPro,IF($D1547="","",IF($F1547="",IFERROR(INDEX(Items!$G$5:$G$504,Q1547),0),$F1547)),"")</f>
        <v/>
      </c>
      <c r="K1547" s="61" t="str">
        <f aca="false">IF(IsPro,IF($D1547="","",ROUND(N($E1547)*J1547*(1-N($G1547)),2)),"")</f>
        <v/>
      </c>
      <c r="L1547" s="62" t="str">
        <f aca="false">IF(IsPro,IF($D1547="","",IFERROR(INDEX(Items!$F$5:$F$504,Q1547),0)),"")</f>
        <v/>
      </c>
      <c r="M1547" s="61" t="str">
        <f aca="false">IF(IsPro,IF($D1547="","",IF(AND(R1547&lt;&gt;"",INDEX(Parties!$E$5:$E$304,R1547)&lt;&gt;"",INDEX(Parties!$E$5:$E$304,R1547)&lt;&gt;HomeState),0,ROUND(K1547*L1547/2,2))),"")</f>
        <v/>
      </c>
      <c r="N1547" s="61" t="str">
        <f aca="false">IF(IsPro,IF($D1547="","",M1547),"")</f>
        <v/>
      </c>
      <c r="O1547" s="61" t="str">
        <f aca="false">IF(IsPro,IF($D1547="","",IF(AND(R1547&lt;&gt;"",INDEX(Parties!$E$5:$E$304,R1547)&lt;&gt;"",INDEX(Parties!$E$5:$E$304,R1547)&lt;&gt;HomeState),ROUND(K1547*L1547,2),0)),"")</f>
        <v/>
      </c>
      <c r="P1547" s="61" t="str">
        <f aca="false">IF(IsPro,IF($D1547="","",K1547+M1547+N1547+O1547),"")</f>
        <v/>
      </c>
      <c r="Q1547" s="60" t="str">
        <f aca="false">IF(IsPro,IF($D1547="","",IFERROR(MATCH($D1547,Items!$A$5:$A$504,0),"")),"")</f>
        <v/>
      </c>
      <c r="R1547" s="60" t="str">
        <f aca="false">IF(IsPro,IF($C1547="","",IFERROR(MATCH($C1547,Parties!$A$5:$A$304,0),"")),"")</f>
        <v/>
      </c>
      <c r="S1547" s="61" t="str">
        <f aca="false">IF(IsPro,IF($D1547="","",IF(OR($H1547="",$H1547="Credit"),0,P1547)),"")</f>
        <v/>
      </c>
    </row>
    <row r="1548" customFormat="false" ht="15" hidden="false" customHeight="false" outlineLevel="0" collapsed="false">
      <c r="A1548" s="55"/>
      <c r="B1548" s="56"/>
      <c r="C1548" s="56"/>
      <c r="D1548" s="56"/>
      <c r="E1548" s="57"/>
      <c r="F1548" s="58"/>
      <c r="G1548" s="59"/>
      <c r="H1548" s="56"/>
      <c r="I1548" s="60" t="str">
        <f aca="false">IF(IsPro,IF($D1548="","",IFERROR(INDEX(Items!$D$5:$D$504,Q1548),"")),IF($D1548="","","PRO PLAN"))</f>
        <v/>
      </c>
      <c r="J1548" s="61" t="str">
        <f aca="false">IF(IsPro,IF($D1548="","",IF($F1548="",IFERROR(INDEX(Items!$G$5:$G$504,Q1548),0),$F1548)),"")</f>
        <v/>
      </c>
      <c r="K1548" s="61" t="str">
        <f aca="false">IF(IsPro,IF($D1548="","",ROUND(N($E1548)*J1548*(1-N($G1548)),2)),"")</f>
        <v/>
      </c>
      <c r="L1548" s="62" t="str">
        <f aca="false">IF(IsPro,IF($D1548="","",IFERROR(INDEX(Items!$F$5:$F$504,Q1548),0)),"")</f>
        <v/>
      </c>
      <c r="M1548" s="61" t="str">
        <f aca="false">IF(IsPro,IF($D1548="","",IF(AND(R1548&lt;&gt;"",INDEX(Parties!$E$5:$E$304,R1548)&lt;&gt;"",INDEX(Parties!$E$5:$E$304,R1548)&lt;&gt;HomeState),0,ROUND(K1548*L1548/2,2))),"")</f>
        <v/>
      </c>
      <c r="N1548" s="61" t="str">
        <f aca="false">IF(IsPro,IF($D1548="","",M1548),"")</f>
        <v/>
      </c>
      <c r="O1548" s="61" t="str">
        <f aca="false">IF(IsPro,IF($D1548="","",IF(AND(R1548&lt;&gt;"",INDEX(Parties!$E$5:$E$304,R1548)&lt;&gt;"",INDEX(Parties!$E$5:$E$304,R1548)&lt;&gt;HomeState),ROUND(K1548*L1548,2),0)),"")</f>
        <v/>
      </c>
      <c r="P1548" s="61" t="str">
        <f aca="false">IF(IsPro,IF($D1548="","",K1548+M1548+N1548+O1548),"")</f>
        <v/>
      </c>
      <c r="Q1548" s="60" t="str">
        <f aca="false">IF(IsPro,IF($D1548="","",IFERROR(MATCH($D1548,Items!$A$5:$A$504,0),"")),"")</f>
        <v/>
      </c>
      <c r="R1548" s="60" t="str">
        <f aca="false">IF(IsPro,IF($C1548="","",IFERROR(MATCH($C1548,Parties!$A$5:$A$304,0),"")),"")</f>
        <v/>
      </c>
      <c r="S1548" s="61" t="str">
        <f aca="false">IF(IsPro,IF($D1548="","",IF(OR($H1548="",$H1548="Credit"),0,P1548)),"")</f>
        <v/>
      </c>
    </row>
    <row r="1549" customFormat="false" ht="15" hidden="false" customHeight="false" outlineLevel="0" collapsed="false">
      <c r="A1549" s="55"/>
      <c r="B1549" s="56"/>
      <c r="C1549" s="56"/>
      <c r="D1549" s="56"/>
      <c r="E1549" s="57"/>
      <c r="F1549" s="58"/>
      <c r="G1549" s="59"/>
      <c r="H1549" s="56"/>
      <c r="I1549" s="60" t="str">
        <f aca="false">IF(IsPro,IF($D1549="","",IFERROR(INDEX(Items!$D$5:$D$504,Q1549),"")),IF($D1549="","","PRO PLAN"))</f>
        <v/>
      </c>
      <c r="J1549" s="61" t="str">
        <f aca="false">IF(IsPro,IF($D1549="","",IF($F1549="",IFERROR(INDEX(Items!$G$5:$G$504,Q1549),0),$F1549)),"")</f>
        <v/>
      </c>
      <c r="K1549" s="61" t="str">
        <f aca="false">IF(IsPro,IF($D1549="","",ROUND(N($E1549)*J1549*(1-N($G1549)),2)),"")</f>
        <v/>
      </c>
      <c r="L1549" s="62" t="str">
        <f aca="false">IF(IsPro,IF($D1549="","",IFERROR(INDEX(Items!$F$5:$F$504,Q1549),0)),"")</f>
        <v/>
      </c>
      <c r="M1549" s="61" t="str">
        <f aca="false">IF(IsPro,IF($D1549="","",IF(AND(R1549&lt;&gt;"",INDEX(Parties!$E$5:$E$304,R1549)&lt;&gt;"",INDEX(Parties!$E$5:$E$304,R1549)&lt;&gt;HomeState),0,ROUND(K1549*L1549/2,2))),"")</f>
        <v/>
      </c>
      <c r="N1549" s="61" t="str">
        <f aca="false">IF(IsPro,IF($D1549="","",M1549),"")</f>
        <v/>
      </c>
      <c r="O1549" s="61" t="str">
        <f aca="false">IF(IsPro,IF($D1549="","",IF(AND(R1549&lt;&gt;"",INDEX(Parties!$E$5:$E$304,R1549)&lt;&gt;"",INDEX(Parties!$E$5:$E$304,R1549)&lt;&gt;HomeState),ROUND(K1549*L1549,2),0)),"")</f>
        <v/>
      </c>
      <c r="P1549" s="61" t="str">
        <f aca="false">IF(IsPro,IF($D1549="","",K1549+M1549+N1549+O1549),"")</f>
        <v/>
      </c>
      <c r="Q1549" s="60" t="str">
        <f aca="false">IF(IsPro,IF($D1549="","",IFERROR(MATCH($D1549,Items!$A$5:$A$504,0),"")),"")</f>
        <v/>
      </c>
      <c r="R1549" s="60" t="str">
        <f aca="false">IF(IsPro,IF($C1549="","",IFERROR(MATCH($C1549,Parties!$A$5:$A$304,0),"")),"")</f>
        <v/>
      </c>
      <c r="S1549" s="61" t="str">
        <f aca="false">IF(IsPro,IF($D1549="","",IF(OR($H1549="",$H1549="Credit"),0,P1549)),"")</f>
        <v/>
      </c>
    </row>
    <row r="1550" customFormat="false" ht="15" hidden="false" customHeight="false" outlineLevel="0" collapsed="false">
      <c r="A1550" s="55"/>
      <c r="B1550" s="56"/>
      <c r="C1550" s="56"/>
      <c r="D1550" s="56"/>
      <c r="E1550" s="57"/>
      <c r="F1550" s="58"/>
      <c r="G1550" s="59"/>
      <c r="H1550" s="56"/>
      <c r="I1550" s="60" t="str">
        <f aca="false">IF(IsPro,IF($D1550="","",IFERROR(INDEX(Items!$D$5:$D$504,Q1550),"")),IF($D1550="","","PRO PLAN"))</f>
        <v/>
      </c>
      <c r="J1550" s="61" t="str">
        <f aca="false">IF(IsPro,IF($D1550="","",IF($F1550="",IFERROR(INDEX(Items!$G$5:$G$504,Q1550),0),$F1550)),"")</f>
        <v/>
      </c>
      <c r="K1550" s="61" t="str">
        <f aca="false">IF(IsPro,IF($D1550="","",ROUND(N($E1550)*J1550*(1-N($G1550)),2)),"")</f>
        <v/>
      </c>
      <c r="L1550" s="62" t="str">
        <f aca="false">IF(IsPro,IF($D1550="","",IFERROR(INDEX(Items!$F$5:$F$504,Q1550),0)),"")</f>
        <v/>
      </c>
      <c r="M1550" s="61" t="str">
        <f aca="false">IF(IsPro,IF($D1550="","",IF(AND(R1550&lt;&gt;"",INDEX(Parties!$E$5:$E$304,R1550)&lt;&gt;"",INDEX(Parties!$E$5:$E$304,R1550)&lt;&gt;HomeState),0,ROUND(K1550*L1550/2,2))),"")</f>
        <v/>
      </c>
      <c r="N1550" s="61" t="str">
        <f aca="false">IF(IsPro,IF($D1550="","",M1550),"")</f>
        <v/>
      </c>
      <c r="O1550" s="61" t="str">
        <f aca="false">IF(IsPro,IF($D1550="","",IF(AND(R1550&lt;&gt;"",INDEX(Parties!$E$5:$E$304,R1550)&lt;&gt;"",INDEX(Parties!$E$5:$E$304,R1550)&lt;&gt;HomeState),ROUND(K1550*L1550,2),0)),"")</f>
        <v/>
      </c>
      <c r="P1550" s="61" t="str">
        <f aca="false">IF(IsPro,IF($D1550="","",K1550+M1550+N1550+O1550),"")</f>
        <v/>
      </c>
      <c r="Q1550" s="60" t="str">
        <f aca="false">IF(IsPro,IF($D1550="","",IFERROR(MATCH($D1550,Items!$A$5:$A$504,0),"")),"")</f>
        <v/>
      </c>
      <c r="R1550" s="60" t="str">
        <f aca="false">IF(IsPro,IF($C1550="","",IFERROR(MATCH($C1550,Parties!$A$5:$A$304,0),"")),"")</f>
        <v/>
      </c>
      <c r="S1550" s="61" t="str">
        <f aca="false">IF(IsPro,IF($D1550="","",IF(OR($H1550="",$H1550="Credit"),0,P1550)),"")</f>
        <v/>
      </c>
    </row>
    <row r="1551" customFormat="false" ht="15" hidden="false" customHeight="false" outlineLevel="0" collapsed="false">
      <c r="A1551" s="55"/>
      <c r="B1551" s="56"/>
      <c r="C1551" s="56"/>
      <c r="D1551" s="56"/>
      <c r="E1551" s="57"/>
      <c r="F1551" s="58"/>
      <c r="G1551" s="59"/>
      <c r="H1551" s="56"/>
      <c r="I1551" s="60" t="str">
        <f aca="false">IF(IsPro,IF($D1551="","",IFERROR(INDEX(Items!$D$5:$D$504,Q1551),"")),IF($D1551="","","PRO PLAN"))</f>
        <v/>
      </c>
      <c r="J1551" s="61" t="str">
        <f aca="false">IF(IsPro,IF($D1551="","",IF($F1551="",IFERROR(INDEX(Items!$G$5:$G$504,Q1551),0),$F1551)),"")</f>
        <v/>
      </c>
      <c r="K1551" s="61" t="str">
        <f aca="false">IF(IsPro,IF($D1551="","",ROUND(N($E1551)*J1551*(1-N($G1551)),2)),"")</f>
        <v/>
      </c>
      <c r="L1551" s="62" t="str">
        <f aca="false">IF(IsPro,IF($D1551="","",IFERROR(INDEX(Items!$F$5:$F$504,Q1551),0)),"")</f>
        <v/>
      </c>
      <c r="M1551" s="61" t="str">
        <f aca="false">IF(IsPro,IF($D1551="","",IF(AND(R1551&lt;&gt;"",INDEX(Parties!$E$5:$E$304,R1551)&lt;&gt;"",INDEX(Parties!$E$5:$E$304,R1551)&lt;&gt;HomeState),0,ROUND(K1551*L1551/2,2))),"")</f>
        <v/>
      </c>
      <c r="N1551" s="61" t="str">
        <f aca="false">IF(IsPro,IF($D1551="","",M1551),"")</f>
        <v/>
      </c>
      <c r="O1551" s="61" t="str">
        <f aca="false">IF(IsPro,IF($D1551="","",IF(AND(R1551&lt;&gt;"",INDEX(Parties!$E$5:$E$304,R1551)&lt;&gt;"",INDEX(Parties!$E$5:$E$304,R1551)&lt;&gt;HomeState),ROUND(K1551*L1551,2),0)),"")</f>
        <v/>
      </c>
      <c r="P1551" s="61" t="str">
        <f aca="false">IF(IsPro,IF($D1551="","",K1551+M1551+N1551+O1551),"")</f>
        <v/>
      </c>
      <c r="Q1551" s="60" t="str">
        <f aca="false">IF(IsPro,IF($D1551="","",IFERROR(MATCH($D1551,Items!$A$5:$A$504,0),"")),"")</f>
        <v/>
      </c>
      <c r="R1551" s="60" t="str">
        <f aca="false">IF(IsPro,IF($C1551="","",IFERROR(MATCH($C1551,Parties!$A$5:$A$304,0),"")),"")</f>
        <v/>
      </c>
      <c r="S1551" s="61" t="str">
        <f aca="false">IF(IsPro,IF($D1551="","",IF(OR($H1551="",$H1551="Credit"),0,P1551)),"")</f>
        <v/>
      </c>
    </row>
    <row r="1552" customFormat="false" ht="15" hidden="false" customHeight="false" outlineLevel="0" collapsed="false">
      <c r="A1552" s="55"/>
      <c r="B1552" s="56"/>
      <c r="C1552" s="56"/>
      <c r="D1552" s="56"/>
      <c r="E1552" s="57"/>
      <c r="F1552" s="58"/>
      <c r="G1552" s="59"/>
      <c r="H1552" s="56"/>
      <c r="I1552" s="60" t="str">
        <f aca="false">IF(IsPro,IF($D1552="","",IFERROR(INDEX(Items!$D$5:$D$504,Q1552),"")),IF($D1552="","","PRO PLAN"))</f>
        <v/>
      </c>
      <c r="J1552" s="61" t="str">
        <f aca="false">IF(IsPro,IF($D1552="","",IF($F1552="",IFERROR(INDEX(Items!$G$5:$G$504,Q1552),0),$F1552)),"")</f>
        <v/>
      </c>
      <c r="K1552" s="61" t="str">
        <f aca="false">IF(IsPro,IF($D1552="","",ROUND(N($E1552)*J1552*(1-N($G1552)),2)),"")</f>
        <v/>
      </c>
      <c r="L1552" s="62" t="str">
        <f aca="false">IF(IsPro,IF($D1552="","",IFERROR(INDEX(Items!$F$5:$F$504,Q1552),0)),"")</f>
        <v/>
      </c>
      <c r="M1552" s="61" t="str">
        <f aca="false">IF(IsPro,IF($D1552="","",IF(AND(R1552&lt;&gt;"",INDEX(Parties!$E$5:$E$304,R1552)&lt;&gt;"",INDEX(Parties!$E$5:$E$304,R1552)&lt;&gt;HomeState),0,ROUND(K1552*L1552/2,2))),"")</f>
        <v/>
      </c>
      <c r="N1552" s="61" t="str">
        <f aca="false">IF(IsPro,IF($D1552="","",M1552),"")</f>
        <v/>
      </c>
      <c r="O1552" s="61" t="str">
        <f aca="false">IF(IsPro,IF($D1552="","",IF(AND(R1552&lt;&gt;"",INDEX(Parties!$E$5:$E$304,R1552)&lt;&gt;"",INDEX(Parties!$E$5:$E$304,R1552)&lt;&gt;HomeState),ROUND(K1552*L1552,2),0)),"")</f>
        <v/>
      </c>
      <c r="P1552" s="61" t="str">
        <f aca="false">IF(IsPro,IF($D1552="","",K1552+M1552+N1552+O1552),"")</f>
        <v/>
      </c>
      <c r="Q1552" s="60" t="str">
        <f aca="false">IF(IsPro,IF($D1552="","",IFERROR(MATCH($D1552,Items!$A$5:$A$504,0),"")),"")</f>
        <v/>
      </c>
      <c r="R1552" s="60" t="str">
        <f aca="false">IF(IsPro,IF($C1552="","",IFERROR(MATCH($C1552,Parties!$A$5:$A$304,0),"")),"")</f>
        <v/>
      </c>
      <c r="S1552" s="61" t="str">
        <f aca="false">IF(IsPro,IF($D1552="","",IF(OR($H1552="",$H1552="Credit"),0,P1552)),"")</f>
        <v/>
      </c>
    </row>
    <row r="1553" customFormat="false" ht="15" hidden="false" customHeight="false" outlineLevel="0" collapsed="false">
      <c r="A1553" s="55"/>
      <c r="B1553" s="56"/>
      <c r="C1553" s="56"/>
      <c r="D1553" s="56"/>
      <c r="E1553" s="57"/>
      <c r="F1553" s="58"/>
      <c r="G1553" s="59"/>
      <c r="H1553" s="56"/>
      <c r="I1553" s="60" t="str">
        <f aca="false">IF(IsPro,IF($D1553="","",IFERROR(INDEX(Items!$D$5:$D$504,Q1553),"")),IF($D1553="","","PRO PLAN"))</f>
        <v/>
      </c>
      <c r="J1553" s="61" t="str">
        <f aca="false">IF(IsPro,IF($D1553="","",IF($F1553="",IFERROR(INDEX(Items!$G$5:$G$504,Q1553),0),$F1553)),"")</f>
        <v/>
      </c>
      <c r="K1553" s="61" t="str">
        <f aca="false">IF(IsPro,IF($D1553="","",ROUND(N($E1553)*J1553*(1-N($G1553)),2)),"")</f>
        <v/>
      </c>
      <c r="L1553" s="62" t="str">
        <f aca="false">IF(IsPro,IF($D1553="","",IFERROR(INDEX(Items!$F$5:$F$504,Q1553),0)),"")</f>
        <v/>
      </c>
      <c r="M1553" s="61" t="str">
        <f aca="false">IF(IsPro,IF($D1553="","",IF(AND(R1553&lt;&gt;"",INDEX(Parties!$E$5:$E$304,R1553)&lt;&gt;"",INDEX(Parties!$E$5:$E$304,R1553)&lt;&gt;HomeState),0,ROUND(K1553*L1553/2,2))),"")</f>
        <v/>
      </c>
      <c r="N1553" s="61" t="str">
        <f aca="false">IF(IsPro,IF($D1553="","",M1553),"")</f>
        <v/>
      </c>
      <c r="O1553" s="61" t="str">
        <f aca="false">IF(IsPro,IF($D1553="","",IF(AND(R1553&lt;&gt;"",INDEX(Parties!$E$5:$E$304,R1553)&lt;&gt;"",INDEX(Parties!$E$5:$E$304,R1553)&lt;&gt;HomeState),ROUND(K1553*L1553,2),0)),"")</f>
        <v/>
      </c>
      <c r="P1553" s="61" t="str">
        <f aca="false">IF(IsPro,IF($D1553="","",K1553+M1553+N1553+O1553),"")</f>
        <v/>
      </c>
      <c r="Q1553" s="60" t="str">
        <f aca="false">IF(IsPro,IF($D1553="","",IFERROR(MATCH($D1553,Items!$A$5:$A$504,0),"")),"")</f>
        <v/>
      </c>
      <c r="R1553" s="60" t="str">
        <f aca="false">IF(IsPro,IF($C1553="","",IFERROR(MATCH($C1553,Parties!$A$5:$A$304,0),"")),"")</f>
        <v/>
      </c>
      <c r="S1553" s="61" t="str">
        <f aca="false">IF(IsPro,IF($D1553="","",IF(OR($H1553="",$H1553="Credit"),0,P1553)),"")</f>
        <v/>
      </c>
    </row>
    <row r="1554" customFormat="false" ht="15" hidden="false" customHeight="false" outlineLevel="0" collapsed="false">
      <c r="A1554" s="55"/>
      <c r="B1554" s="56"/>
      <c r="C1554" s="56"/>
      <c r="D1554" s="56"/>
      <c r="E1554" s="57"/>
      <c r="F1554" s="58"/>
      <c r="G1554" s="59"/>
      <c r="H1554" s="56"/>
      <c r="I1554" s="60" t="str">
        <f aca="false">IF(IsPro,IF($D1554="","",IFERROR(INDEX(Items!$D$5:$D$504,Q1554),"")),IF($D1554="","","PRO PLAN"))</f>
        <v/>
      </c>
      <c r="J1554" s="61" t="str">
        <f aca="false">IF(IsPro,IF($D1554="","",IF($F1554="",IFERROR(INDEX(Items!$G$5:$G$504,Q1554),0),$F1554)),"")</f>
        <v/>
      </c>
      <c r="K1554" s="61" t="str">
        <f aca="false">IF(IsPro,IF($D1554="","",ROUND(N($E1554)*J1554*(1-N($G1554)),2)),"")</f>
        <v/>
      </c>
      <c r="L1554" s="62" t="str">
        <f aca="false">IF(IsPro,IF($D1554="","",IFERROR(INDEX(Items!$F$5:$F$504,Q1554),0)),"")</f>
        <v/>
      </c>
      <c r="M1554" s="61" t="str">
        <f aca="false">IF(IsPro,IF($D1554="","",IF(AND(R1554&lt;&gt;"",INDEX(Parties!$E$5:$E$304,R1554)&lt;&gt;"",INDEX(Parties!$E$5:$E$304,R1554)&lt;&gt;HomeState),0,ROUND(K1554*L1554/2,2))),"")</f>
        <v/>
      </c>
      <c r="N1554" s="61" t="str">
        <f aca="false">IF(IsPro,IF($D1554="","",M1554),"")</f>
        <v/>
      </c>
      <c r="O1554" s="61" t="str">
        <f aca="false">IF(IsPro,IF($D1554="","",IF(AND(R1554&lt;&gt;"",INDEX(Parties!$E$5:$E$304,R1554)&lt;&gt;"",INDEX(Parties!$E$5:$E$304,R1554)&lt;&gt;HomeState),ROUND(K1554*L1554,2),0)),"")</f>
        <v/>
      </c>
      <c r="P1554" s="61" t="str">
        <f aca="false">IF(IsPro,IF($D1554="","",K1554+M1554+N1554+O1554),"")</f>
        <v/>
      </c>
      <c r="Q1554" s="60" t="str">
        <f aca="false">IF(IsPro,IF($D1554="","",IFERROR(MATCH($D1554,Items!$A$5:$A$504,0),"")),"")</f>
        <v/>
      </c>
      <c r="R1554" s="60" t="str">
        <f aca="false">IF(IsPro,IF($C1554="","",IFERROR(MATCH($C1554,Parties!$A$5:$A$304,0),"")),"")</f>
        <v/>
      </c>
      <c r="S1554" s="61" t="str">
        <f aca="false">IF(IsPro,IF($D1554="","",IF(OR($H1554="",$H1554="Credit"),0,P1554)),"")</f>
        <v/>
      </c>
    </row>
    <row r="1555" customFormat="false" ht="15" hidden="false" customHeight="false" outlineLevel="0" collapsed="false">
      <c r="A1555" s="55"/>
      <c r="B1555" s="56"/>
      <c r="C1555" s="56"/>
      <c r="D1555" s="56"/>
      <c r="E1555" s="57"/>
      <c r="F1555" s="58"/>
      <c r="G1555" s="59"/>
      <c r="H1555" s="56"/>
      <c r="I1555" s="60" t="str">
        <f aca="false">IF(IsPro,IF($D1555="","",IFERROR(INDEX(Items!$D$5:$D$504,Q1555),"")),IF($D1555="","","PRO PLAN"))</f>
        <v/>
      </c>
      <c r="J1555" s="61" t="str">
        <f aca="false">IF(IsPro,IF($D1555="","",IF($F1555="",IFERROR(INDEX(Items!$G$5:$G$504,Q1555),0),$F1555)),"")</f>
        <v/>
      </c>
      <c r="K1555" s="61" t="str">
        <f aca="false">IF(IsPro,IF($D1555="","",ROUND(N($E1555)*J1555*(1-N($G1555)),2)),"")</f>
        <v/>
      </c>
      <c r="L1555" s="62" t="str">
        <f aca="false">IF(IsPro,IF($D1555="","",IFERROR(INDEX(Items!$F$5:$F$504,Q1555),0)),"")</f>
        <v/>
      </c>
      <c r="M1555" s="61" t="str">
        <f aca="false">IF(IsPro,IF($D1555="","",IF(AND(R1555&lt;&gt;"",INDEX(Parties!$E$5:$E$304,R1555)&lt;&gt;"",INDEX(Parties!$E$5:$E$304,R1555)&lt;&gt;HomeState),0,ROUND(K1555*L1555/2,2))),"")</f>
        <v/>
      </c>
      <c r="N1555" s="61" t="str">
        <f aca="false">IF(IsPro,IF($D1555="","",M1555),"")</f>
        <v/>
      </c>
      <c r="O1555" s="61" t="str">
        <f aca="false">IF(IsPro,IF($D1555="","",IF(AND(R1555&lt;&gt;"",INDEX(Parties!$E$5:$E$304,R1555)&lt;&gt;"",INDEX(Parties!$E$5:$E$304,R1555)&lt;&gt;HomeState),ROUND(K1555*L1555,2),0)),"")</f>
        <v/>
      </c>
      <c r="P1555" s="61" t="str">
        <f aca="false">IF(IsPro,IF($D1555="","",K1555+M1555+N1555+O1555),"")</f>
        <v/>
      </c>
      <c r="Q1555" s="60" t="str">
        <f aca="false">IF(IsPro,IF($D1555="","",IFERROR(MATCH($D1555,Items!$A$5:$A$504,0),"")),"")</f>
        <v/>
      </c>
      <c r="R1555" s="60" t="str">
        <f aca="false">IF(IsPro,IF($C1555="","",IFERROR(MATCH($C1555,Parties!$A$5:$A$304,0),"")),"")</f>
        <v/>
      </c>
      <c r="S1555" s="61" t="str">
        <f aca="false">IF(IsPro,IF($D1555="","",IF(OR($H1555="",$H1555="Credit"),0,P1555)),"")</f>
        <v/>
      </c>
    </row>
    <row r="1556" customFormat="false" ht="15" hidden="false" customHeight="false" outlineLevel="0" collapsed="false">
      <c r="A1556" s="55"/>
      <c r="B1556" s="56"/>
      <c r="C1556" s="56"/>
      <c r="D1556" s="56"/>
      <c r="E1556" s="57"/>
      <c r="F1556" s="58"/>
      <c r="G1556" s="59"/>
      <c r="H1556" s="56"/>
      <c r="I1556" s="60" t="str">
        <f aca="false">IF(IsPro,IF($D1556="","",IFERROR(INDEX(Items!$D$5:$D$504,Q1556),"")),IF($D1556="","","PRO PLAN"))</f>
        <v/>
      </c>
      <c r="J1556" s="61" t="str">
        <f aca="false">IF(IsPro,IF($D1556="","",IF($F1556="",IFERROR(INDEX(Items!$G$5:$G$504,Q1556),0),$F1556)),"")</f>
        <v/>
      </c>
      <c r="K1556" s="61" t="str">
        <f aca="false">IF(IsPro,IF($D1556="","",ROUND(N($E1556)*J1556*(1-N($G1556)),2)),"")</f>
        <v/>
      </c>
      <c r="L1556" s="62" t="str">
        <f aca="false">IF(IsPro,IF($D1556="","",IFERROR(INDEX(Items!$F$5:$F$504,Q1556),0)),"")</f>
        <v/>
      </c>
      <c r="M1556" s="61" t="str">
        <f aca="false">IF(IsPro,IF($D1556="","",IF(AND(R1556&lt;&gt;"",INDEX(Parties!$E$5:$E$304,R1556)&lt;&gt;"",INDEX(Parties!$E$5:$E$304,R1556)&lt;&gt;HomeState),0,ROUND(K1556*L1556/2,2))),"")</f>
        <v/>
      </c>
      <c r="N1556" s="61" t="str">
        <f aca="false">IF(IsPro,IF($D1556="","",M1556),"")</f>
        <v/>
      </c>
      <c r="O1556" s="61" t="str">
        <f aca="false">IF(IsPro,IF($D1556="","",IF(AND(R1556&lt;&gt;"",INDEX(Parties!$E$5:$E$304,R1556)&lt;&gt;"",INDEX(Parties!$E$5:$E$304,R1556)&lt;&gt;HomeState),ROUND(K1556*L1556,2),0)),"")</f>
        <v/>
      </c>
      <c r="P1556" s="61" t="str">
        <f aca="false">IF(IsPro,IF($D1556="","",K1556+M1556+N1556+O1556),"")</f>
        <v/>
      </c>
      <c r="Q1556" s="60" t="str">
        <f aca="false">IF(IsPro,IF($D1556="","",IFERROR(MATCH($D1556,Items!$A$5:$A$504,0),"")),"")</f>
        <v/>
      </c>
      <c r="R1556" s="60" t="str">
        <f aca="false">IF(IsPro,IF($C1556="","",IFERROR(MATCH($C1556,Parties!$A$5:$A$304,0),"")),"")</f>
        <v/>
      </c>
      <c r="S1556" s="61" t="str">
        <f aca="false">IF(IsPro,IF($D1556="","",IF(OR($H1556="",$H1556="Credit"),0,P1556)),"")</f>
        <v/>
      </c>
    </row>
    <row r="1557" customFormat="false" ht="15" hidden="false" customHeight="false" outlineLevel="0" collapsed="false">
      <c r="A1557" s="55"/>
      <c r="B1557" s="56"/>
      <c r="C1557" s="56"/>
      <c r="D1557" s="56"/>
      <c r="E1557" s="57"/>
      <c r="F1557" s="58"/>
      <c r="G1557" s="59"/>
      <c r="H1557" s="56"/>
      <c r="I1557" s="60" t="str">
        <f aca="false">IF(IsPro,IF($D1557="","",IFERROR(INDEX(Items!$D$5:$D$504,Q1557),"")),IF($D1557="","","PRO PLAN"))</f>
        <v/>
      </c>
      <c r="J1557" s="61" t="str">
        <f aca="false">IF(IsPro,IF($D1557="","",IF($F1557="",IFERROR(INDEX(Items!$G$5:$G$504,Q1557),0),$F1557)),"")</f>
        <v/>
      </c>
      <c r="K1557" s="61" t="str">
        <f aca="false">IF(IsPro,IF($D1557="","",ROUND(N($E1557)*J1557*(1-N($G1557)),2)),"")</f>
        <v/>
      </c>
      <c r="L1557" s="62" t="str">
        <f aca="false">IF(IsPro,IF($D1557="","",IFERROR(INDEX(Items!$F$5:$F$504,Q1557),0)),"")</f>
        <v/>
      </c>
      <c r="M1557" s="61" t="str">
        <f aca="false">IF(IsPro,IF($D1557="","",IF(AND(R1557&lt;&gt;"",INDEX(Parties!$E$5:$E$304,R1557)&lt;&gt;"",INDEX(Parties!$E$5:$E$304,R1557)&lt;&gt;HomeState),0,ROUND(K1557*L1557/2,2))),"")</f>
        <v/>
      </c>
      <c r="N1557" s="61" t="str">
        <f aca="false">IF(IsPro,IF($D1557="","",M1557),"")</f>
        <v/>
      </c>
      <c r="O1557" s="61" t="str">
        <f aca="false">IF(IsPro,IF($D1557="","",IF(AND(R1557&lt;&gt;"",INDEX(Parties!$E$5:$E$304,R1557)&lt;&gt;"",INDEX(Parties!$E$5:$E$304,R1557)&lt;&gt;HomeState),ROUND(K1557*L1557,2),0)),"")</f>
        <v/>
      </c>
      <c r="P1557" s="61" t="str">
        <f aca="false">IF(IsPro,IF($D1557="","",K1557+M1557+N1557+O1557),"")</f>
        <v/>
      </c>
      <c r="Q1557" s="60" t="str">
        <f aca="false">IF(IsPro,IF($D1557="","",IFERROR(MATCH($D1557,Items!$A$5:$A$504,0),"")),"")</f>
        <v/>
      </c>
      <c r="R1557" s="60" t="str">
        <f aca="false">IF(IsPro,IF($C1557="","",IFERROR(MATCH($C1557,Parties!$A$5:$A$304,0),"")),"")</f>
        <v/>
      </c>
      <c r="S1557" s="61" t="str">
        <f aca="false">IF(IsPro,IF($D1557="","",IF(OR($H1557="",$H1557="Credit"),0,P1557)),"")</f>
        <v/>
      </c>
    </row>
    <row r="1558" customFormat="false" ht="15" hidden="false" customHeight="false" outlineLevel="0" collapsed="false">
      <c r="A1558" s="55"/>
      <c r="B1558" s="56"/>
      <c r="C1558" s="56"/>
      <c r="D1558" s="56"/>
      <c r="E1558" s="57"/>
      <c r="F1558" s="58"/>
      <c r="G1558" s="59"/>
      <c r="H1558" s="56"/>
      <c r="I1558" s="60" t="str">
        <f aca="false">IF(IsPro,IF($D1558="","",IFERROR(INDEX(Items!$D$5:$D$504,Q1558),"")),IF($D1558="","","PRO PLAN"))</f>
        <v/>
      </c>
      <c r="J1558" s="61" t="str">
        <f aca="false">IF(IsPro,IF($D1558="","",IF($F1558="",IFERROR(INDEX(Items!$G$5:$G$504,Q1558),0),$F1558)),"")</f>
        <v/>
      </c>
      <c r="K1558" s="61" t="str">
        <f aca="false">IF(IsPro,IF($D1558="","",ROUND(N($E1558)*J1558*(1-N($G1558)),2)),"")</f>
        <v/>
      </c>
      <c r="L1558" s="62" t="str">
        <f aca="false">IF(IsPro,IF($D1558="","",IFERROR(INDEX(Items!$F$5:$F$504,Q1558),0)),"")</f>
        <v/>
      </c>
      <c r="M1558" s="61" t="str">
        <f aca="false">IF(IsPro,IF($D1558="","",IF(AND(R1558&lt;&gt;"",INDEX(Parties!$E$5:$E$304,R1558)&lt;&gt;"",INDEX(Parties!$E$5:$E$304,R1558)&lt;&gt;HomeState),0,ROUND(K1558*L1558/2,2))),"")</f>
        <v/>
      </c>
      <c r="N1558" s="61" t="str">
        <f aca="false">IF(IsPro,IF($D1558="","",M1558),"")</f>
        <v/>
      </c>
      <c r="O1558" s="61" t="str">
        <f aca="false">IF(IsPro,IF($D1558="","",IF(AND(R1558&lt;&gt;"",INDEX(Parties!$E$5:$E$304,R1558)&lt;&gt;"",INDEX(Parties!$E$5:$E$304,R1558)&lt;&gt;HomeState),ROUND(K1558*L1558,2),0)),"")</f>
        <v/>
      </c>
      <c r="P1558" s="61" t="str">
        <f aca="false">IF(IsPro,IF($D1558="","",K1558+M1558+N1558+O1558),"")</f>
        <v/>
      </c>
      <c r="Q1558" s="60" t="str">
        <f aca="false">IF(IsPro,IF($D1558="","",IFERROR(MATCH($D1558,Items!$A$5:$A$504,0),"")),"")</f>
        <v/>
      </c>
      <c r="R1558" s="60" t="str">
        <f aca="false">IF(IsPro,IF($C1558="","",IFERROR(MATCH($C1558,Parties!$A$5:$A$304,0),"")),"")</f>
        <v/>
      </c>
      <c r="S1558" s="61" t="str">
        <f aca="false">IF(IsPro,IF($D1558="","",IF(OR($H1558="",$H1558="Credit"),0,P1558)),"")</f>
        <v/>
      </c>
    </row>
    <row r="1559" customFormat="false" ht="15" hidden="false" customHeight="false" outlineLevel="0" collapsed="false">
      <c r="A1559" s="55"/>
      <c r="B1559" s="56"/>
      <c r="C1559" s="56"/>
      <c r="D1559" s="56"/>
      <c r="E1559" s="57"/>
      <c r="F1559" s="58"/>
      <c r="G1559" s="59"/>
      <c r="H1559" s="56"/>
      <c r="I1559" s="60" t="str">
        <f aca="false">IF(IsPro,IF($D1559="","",IFERROR(INDEX(Items!$D$5:$D$504,Q1559),"")),IF($D1559="","","PRO PLAN"))</f>
        <v/>
      </c>
      <c r="J1559" s="61" t="str">
        <f aca="false">IF(IsPro,IF($D1559="","",IF($F1559="",IFERROR(INDEX(Items!$G$5:$G$504,Q1559),0),$F1559)),"")</f>
        <v/>
      </c>
      <c r="K1559" s="61" t="str">
        <f aca="false">IF(IsPro,IF($D1559="","",ROUND(N($E1559)*J1559*(1-N($G1559)),2)),"")</f>
        <v/>
      </c>
      <c r="L1559" s="62" t="str">
        <f aca="false">IF(IsPro,IF($D1559="","",IFERROR(INDEX(Items!$F$5:$F$504,Q1559),0)),"")</f>
        <v/>
      </c>
      <c r="M1559" s="61" t="str">
        <f aca="false">IF(IsPro,IF($D1559="","",IF(AND(R1559&lt;&gt;"",INDEX(Parties!$E$5:$E$304,R1559)&lt;&gt;"",INDEX(Parties!$E$5:$E$304,R1559)&lt;&gt;HomeState),0,ROUND(K1559*L1559/2,2))),"")</f>
        <v/>
      </c>
      <c r="N1559" s="61" t="str">
        <f aca="false">IF(IsPro,IF($D1559="","",M1559),"")</f>
        <v/>
      </c>
      <c r="O1559" s="61" t="str">
        <f aca="false">IF(IsPro,IF($D1559="","",IF(AND(R1559&lt;&gt;"",INDEX(Parties!$E$5:$E$304,R1559)&lt;&gt;"",INDEX(Parties!$E$5:$E$304,R1559)&lt;&gt;HomeState),ROUND(K1559*L1559,2),0)),"")</f>
        <v/>
      </c>
      <c r="P1559" s="61" t="str">
        <f aca="false">IF(IsPro,IF($D1559="","",K1559+M1559+N1559+O1559),"")</f>
        <v/>
      </c>
      <c r="Q1559" s="60" t="str">
        <f aca="false">IF(IsPro,IF($D1559="","",IFERROR(MATCH($D1559,Items!$A$5:$A$504,0),"")),"")</f>
        <v/>
      </c>
      <c r="R1559" s="60" t="str">
        <f aca="false">IF(IsPro,IF($C1559="","",IFERROR(MATCH($C1559,Parties!$A$5:$A$304,0),"")),"")</f>
        <v/>
      </c>
      <c r="S1559" s="61" t="str">
        <f aca="false">IF(IsPro,IF($D1559="","",IF(OR($H1559="",$H1559="Credit"),0,P1559)),"")</f>
        <v/>
      </c>
    </row>
    <row r="1560" customFormat="false" ht="15" hidden="false" customHeight="false" outlineLevel="0" collapsed="false">
      <c r="A1560" s="55"/>
      <c r="B1560" s="56"/>
      <c r="C1560" s="56"/>
      <c r="D1560" s="56"/>
      <c r="E1560" s="57"/>
      <c r="F1560" s="58"/>
      <c r="G1560" s="59"/>
      <c r="H1560" s="56"/>
      <c r="I1560" s="60" t="str">
        <f aca="false">IF(IsPro,IF($D1560="","",IFERROR(INDEX(Items!$D$5:$D$504,Q1560),"")),IF($D1560="","","PRO PLAN"))</f>
        <v/>
      </c>
      <c r="J1560" s="61" t="str">
        <f aca="false">IF(IsPro,IF($D1560="","",IF($F1560="",IFERROR(INDEX(Items!$G$5:$G$504,Q1560),0),$F1560)),"")</f>
        <v/>
      </c>
      <c r="K1560" s="61" t="str">
        <f aca="false">IF(IsPro,IF($D1560="","",ROUND(N($E1560)*J1560*(1-N($G1560)),2)),"")</f>
        <v/>
      </c>
      <c r="L1560" s="62" t="str">
        <f aca="false">IF(IsPro,IF($D1560="","",IFERROR(INDEX(Items!$F$5:$F$504,Q1560),0)),"")</f>
        <v/>
      </c>
      <c r="M1560" s="61" t="str">
        <f aca="false">IF(IsPro,IF($D1560="","",IF(AND(R1560&lt;&gt;"",INDEX(Parties!$E$5:$E$304,R1560)&lt;&gt;"",INDEX(Parties!$E$5:$E$304,R1560)&lt;&gt;HomeState),0,ROUND(K1560*L1560/2,2))),"")</f>
        <v/>
      </c>
      <c r="N1560" s="61" t="str">
        <f aca="false">IF(IsPro,IF($D1560="","",M1560),"")</f>
        <v/>
      </c>
      <c r="O1560" s="61" t="str">
        <f aca="false">IF(IsPro,IF($D1560="","",IF(AND(R1560&lt;&gt;"",INDEX(Parties!$E$5:$E$304,R1560)&lt;&gt;"",INDEX(Parties!$E$5:$E$304,R1560)&lt;&gt;HomeState),ROUND(K1560*L1560,2),0)),"")</f>
        <v/>
      </c>
      <c r="P1560" s="61" t="str">
        <f aca="false">IF(IsPro,IF($D1560="","",K1560+M1560+N1560+O1560),"")</f>
        <v/>
      </c>
      <c r="Q1560" s="60" t="str">
        <f aca="false">IF(IsPro,IF($D1560="","",IFERROR(MATCH($D1560,Items!$A$5:$A$504,0),"")),"")</f>
        <v/>
      </c>
      <c r="R1560" s="60" t="str">
        <f aca="false">IF(IsPro,IF($C1560="","",IFERROR(MATCH($C1560,Parties!$A$5:$A$304,0),"")),"")</f>
        <v/>
      </c>
      <c r="S1560" s="61" t="str">
        <f aca="false">IF(IsPro,IF($D1560="","",IF(OR($H1560="",$H1560="Credit"),0,P1560)),"")</f>
        <v/>
      </c>
    </row>
    <row r="1561" customFormat="false" ht="15" hidden="false" customHeight="false" outlineLevel="0" collapsed="false">
      <c r="A1561" s="55"/>
      <c r="B1561" s="56"/>
      <c r="C1561" s="56"/>
      <c r="D1561" s="56"/>
      <c r="E1561" s="57"/>
      <c r="F1561" s="58"/>
      <c r="G1561" s="59"/>
      <c r="H1561" s="56"/>
      <c r="I1561" s="60" t="str">
        <f aca="false">IF(IsPro,IF($D1561="","",IFERROR(INDEX(Items!$D$5:$D$504,Q1561),"")),IF($D1561="","","PRO PLAN"))</f>
        <v/>
      </c>
      <c r="J1561" s="61" t="str">
        <f aca="false">IF(IsPro,IF($D1561="","",IF($F1561="",IFERROR(INDEX(Items!$G$5:$G$504,Q1561),0),$F1561)),"")</f>
        <v/>
      </c>
      <c r="K1561" s="61" t="str">
        <f aca="false">IF(IsPro,IF($D1561="","",ROUND(N($E1561)*J1561*(1-N($G1561)),2)),"")</f>
        <v/>
      </c>
      <c r="L1561" s="62" t="str">
        <f aca="false">IF(IsPro,IF($D1561="","",IFERROR(INDEX(Items!$F$5:$F$504,Q1561),0)),"")</f>
        <v/>
      </c>
      <c r="M1561" s="61" t="str">
        <f aca="false">IF(IsPro,IF($D1561="","",IF(AND(R1561&lt;&gt;"",INDEX(Parties!$E$5:$E$304,R1561)&lt;&gt;"",INDEX(Parties!$E$5:$E$304,R1561)&lt;&gt;HomeState),0,ROUND(K1561*L1561/2,2))),"")</f>
        <v/>
      </c>
      <c r="N1561" s="61" t="str">
        <f aca="false">IF(IsPro,IF($D1561="","",M1561),"")</f>
        <v/>
      </c>
      <c r="O1561" s="61" t="str">
        <f aca="false">IF(IsPro,IF($D1561="","",IF(AND(R1561&lt;&gt;"",INDEX(Parties!$E$5:$E$304,R1561)&lt;&gt;"",INDEX(Parties!$E$5:$E$304,R1561)&lt;&gt;HomeState),ROUND(K1561*L1561,2),0)),"")</f>
        <v/>
      </c>
      <c r="P1561" s="61" t="str">
        <f aca="false">IF(IsPro,IF($D1561="","",K1561+M1561+N1561+O1561),"")</f>
        <v/>
      </c>
      <c r="Q1561" s="60" t="str">
        <f aca="false">IF(IsPro,IF($D1561="","",IFERROR(MATCH($D1561,Items!$A$5:$A$504,0),"")),"")</f>
        <v/>
      </c>
      <c r="R1561" s="60" t="str">
        <f aca="false">IF(IsPro,IF($C1561="","",IFERROR(MATCH($C1561,Parties!$A$5:$A$304,0),"")),"")</f>
        <v/>
      </c>
      <c r="S1561" s="61" t="str">
        <f aca="false">IF(IsPro,IF($D1561="","",IF(OR($H1561="",$H1561="Credit"),0,P1561)),"")</f>
        <v/>
      </c>
    </row>
    <row r="1562" customFormat="false" ht="15" hidden="false" customHeight="false" outlineLevel="0" collapsed="false">
      <c r="A1562" s="55"/>
      <c r="B1562" s="56"/>
      <c r="C1562" s="56"/>
      <c r="D1562" s="56"/>
      <c r="E1562" s="57"/>
      <c r="F1562" s="58"/>
      <c r="G1562" s="59"/>
      <c r="H1562" s="56"/>
      <c r="I1562" s="60" t="str">
        <f aca="false">IF(IsPro,IF($D1562="","",IFERROR(INDEX(Items!$D$5:$D$504,Q1562),"")),IF($D1562="","","PRO PLAN"))</f>
        <v/>
      </c>
      <c r="J1562" s="61" t="str">
        <f aca="false">IF(IsPro,IF($D1562="","",IF($F1562="",IFERROR(INDEX(Items!$G$5:$G$504,Q1562),0),$F1562)),"")</f>
        <v/>
      </c>
      <c r="K1562" s="61" t="str">
        <f aca="false">IF(IsPro,IF($D1562="","",ROUND(N($E1562)*J1562*(1-N($G1562)),2)),"")</f>
        <v/>
      </c>
      <c r="L1562" s="62" t="str">
        <f aca="false">IF(IsPro,IF($D1562="","",IFERROR(INDEX(Items!$F$5:$F$504,Q1562),0)),"")</f>
        <v/>
      </c>
      <c r="M1562" s="61" t="str">
        <f aca="false">IF(IsPro,IF($D1562="","",IF(AND(R1562&lt;&gt;"",INDEX(Parties!$E$5:$E$304,R1562)&lt;&gt;"",INDEX(Parties!$E$5:$E$304,R1562)&lt;&gt;HomeState),0,ROUND(K1562*L1562/2,2))),"")</f>
        <v/>
      </c>
      <c r="N1562" s="61" t="str">
        <f aca="false">IF(IsPro,IF($D1562="","",M1562),"")</f>
        <v/>
      </c>
      <c r="O1562" s="61" t="str">
        <f aca="false">IF(IsPro,IF($D1562="","",IF(AND(R1562&lt;&gt;"",INDEX(Parties!$E$5:$E$304,R1562)&lt;&gt;"",INDEX(Parties!$E$5:$E$304,R1562)&lt;&gt;HomeState),ROUND(K1562*L1562,2),0)),"")</f>
        <v/>
      </c>
      <c r="P1562" s="61" t="str">
        <f aca="false">IF(IsPro,IF($D1562="","",K1562+M1562+N1562+O1562),"")</f>
        <v/>
      </c>
      <c r="Q1562" s="60" t="str">
        <f aca="false">IF(IsPro,IF($D1562="","",IFERROR(MATCH($D1562,Items!$A$5:$A$504,0),"")),"")</f>
        <v/>
      </c>
      <c r="R1562" s="60" t="str">
        <f aca="false">IF(IsPro,IF($C1562="","",IFERROR(MATCH($C1562,Parties!$A$5:$A$304,0),"")),"")</f>
        <v/>
      </c>
      <c r="S1562" s="61" t="str">
        <f aca="false">IF(IsPro,IF($D1562="","",IF(OR($H1562="",$H1562="Credit"),0,P1562)),"")</f>
        <v/>
      </c>
    </row>
    <row r="1563" customFormat="false" ht="15" hidden="false" customHeight="false" outlineLevel="0" collapsed="false">
      <c r="A1563" s="55"/>
      <c r="B1563" s="56"/>
      <c r="C1563" s="56"/>
      <c r="D1563" s="56"/>
      <c r="E1563" s="57"/>
      <c r="F1563" s="58"/>
      <c r="G1563" s="59"/>
      <c r="H1563" s="56"/>
      <c r="I1563" s="60" t="str">
        <f aca="false">IF(IsPro,IF($D1563="","",IFERROR(INDEX(Items!$D$5:$D$504,Q1563),"")),IF($D1563="","","PRO PLAN"))</f>
        <v/>
      </c>
      <c r="J1563" s="61" t="str">
        <f aca="false">IF(IsPro,IF($D1563="","",IF($F1563="",IFERROR(INDEX(Items!$G$5:$G$504,Q1563),0),$F1563)),"")</f>
        <v/>
      </c>
      <c r="K1563" s="61" t="str">
        <f aca="false">IF(IsPro,IF($D1563="","",ROUND(N($E1563)*J1563*(1-N($G1563)),2)),"")</f>
        <v/>
      </c>
      <c r="L1563" s="62" t="str">
        <f aca="false">IF(IsPro,IF($D1563="","",IFERROR(INDEX(Items!$F$5:$F$504,Q1563),0)),"")</f>
        <v/>
      </c>
      <c r="M1563" s="61" t="str">
        <f aca="false">IF(IsPro,IF($D1563="","",IF(AND(R1563&lt;&gt;"",INDEX(Parties!$E$5:$E$304,R1563)&lt;&gt;"",INDEX(Parties!$E$5:$E$304,R1563)&lt;&gt;HomeState),0,ROUND(K1563*L1563/2,2))),"")</f>
        <v/>
      </c>
      <c r="N1563" s="61" t="str">
        <f aca="false">IF(IsPro,IF($D1563="","",M1563),"")</f>
        <v/>
      </c>
      <c r="O1563" s="61" t="str">
        <f aca="false">IF(IsPro,IF($D1563="","",IF(AND(R1563&lt;&gt;"",INDEX(Parties!$E$5:$E$304,R1563)&lt;&gt;"",INDEX(Parties!$E$5:$E$304,R1563)&lt;&gt;HomeState),ROUND(K1563*L1563,2),0)),"")</f>
        <v/>
      </c>
      <c r="P1563" s="61" t="str">
        <f aca="false">IF(IsPro,IF($D1563="","",K1563+M1563+N1563+O1563),"")</f>
        <v/>
      </c>
      <c r="Q1563" s="60" t="str">
        <f aca="false">IF(IsPro,IF($D1563="","",IFERROR(MATCH($D1563,Items!$A$5:$A$504,0),"")),"")</f>
        <v/>
      </c>
      <c r="R1563" s="60" t="str">
        <f aca="false">IF(IsPro,IF($C1563="","",IFERROR(MATCH($C1563,Parties!$A$5:$A$304,0),"")),"")</f>
        <v/>
      </c>
      <c r="S1563" s="61" t="str">
        <f aca="false">IF(IsPro,IF($D1563="","",IF(OR($H1563="",$H1563="Credit"),0,P1563)),"")</f>
        <v/>
      </c>
    </row>
    <row r="1564" customFormat="false" ht="15" hidden="false" customHeight="false" outlineLevel="0" collapsed="false">
      <c r="A1564" s="55"/>
      <c r="B1564" s="56"/>
      <c r="C1564" s="56"/>
      <c r="D1564" s="56"/>
      <c r="E1564" s="57"/>
      <c r="F1564" s="58"/>
      <c r="G1564" s="59"/>
      <c r="H1564" s="56"/>
      <c r="I1564" s="60" t="str">
        <f aca="false">IF(IsPro,IF($D1564="","",IFERROR(INDEX(Items!$D$5:$D$504,Q1564),"")),IF($D1564="","","PRO PLAN"))</f>
        <v/>
      </c>
      <c r="J1564" s="61" t="str">
        <f aca="false">IF(IsPro,IF($D1564="","",IF($F1564="",IFERROR(INDEX(Items!$G$5:$G$504,Q1564),0),$F1564)),"")</f>
        <v/>
      </c>
      <c r="K1564" s="61" t="str">
        <f aca="false">IF(IsPro,IF($D1564="","",ROUND(N($E1564)*J1564*(1-N($G1564)),2)),"")</f>
        <v/>
      </c>
      <c r="L1564" s="62" t="str">
        <f aca="false">IF(IsPro,IF($D1564="","",IFERROR(INDEX(Items!$F$5:$F$504,Q1564),0)),"")</f>
        <v/>
      </c>
      <c r="M1564" s="61" t="str">
        <f aca="false">IF(IsPro,IF($D1564="","",IF(AND(R1564&lt;&gt;"",INDEX(Parties!$E$5:$E$304,R1564)&lt;&gt;"",INDEX(Parties!$E$5:$E$304,R1564)&lt;&gt;HomeState),0,ROUND(K1564*L1564/2,2))),"")</f>
        <v/>
      </c>
      <c r="N1564" s="61" t="str">
        <f aca="false">IF(IsPro,IF($D1564="","",M1564),"")</f>
        <v/>
      </c>
      <c r="O1564" s="61" t="str">
        <f aca="false">IF(IsPro,IF($D1564="","",IF(AND(R1564&lt;&gt;"",INDEX(Parties!$E$5:$E$304,R1564)&lt;&gt;"",INDEX(Parties!$E$5:$E$304,R1564)&lt;&gt;HomeState),ROUND(K1564*L1564,2),0)),"")</f>
        <v/>
      </c>
      <c r="P1564" s="61" t="str">
        <f aca="false">IF(IsPro,IF($D1564="","",K1564+M1564+N1564+O1564),"")</f>
        <v/>
      </c>
      <c r="Q1564" s="60" t="str">
        <f aca="false">IF(IsPro,IF($D1564="","",IFERROR(MATCH($D1564,Items!$A$5:$A$504,0),"")),"")</f>
        <v/>
      </c>
      <c r="R1564" s="60" t="str">
        <f aca="false">IF(IsPro,IF($C1564="","",IFERROR(MATCH($C1564,Parties!$A$5:$A$304,0),"")),"")</f>
        <v/>
      </c>
      <c r="S1564" s="61" t="str">
        <f aca="false">IF(IsPro,IF($D1564="","",IF(OR($H1564="",$H1564="Credit"),0,P1564)),"")</f>
        <v/>
      </c>
    </row>
    <row r="1565" customFormat="false" ht="15" hidden="false" customHeight="false" outlineLevel="0" collapsed="false">
      <c r="A1565" s="55"/>
      <c r="B1565" s="56"/>
      <c r="C1565" s="56"/>
      <c r="D1565" s="56"/>
      <c r="E1565" s="57"/>
      <c r="F1565" s="58"/>
      <c r="G1565" s="59"/>
      <c r="H1565" s="56"/>
      <c r="I1565" s="60" t="str">
        <f aca="false">IF(IsPro,IF($D1565="","",IFERROR(INDEX(Items!$D$5:$D$504,Q1565),"")),IF($D1565="","","PRO PLAN"))</f>
        <v/>
      </c>
      <c r="J1565" s="61" t="str">
        <f aca="false">IF(IsPro,IF($D1565="","",IF($F1565="",IFERROR(INDEX(Items!$G$5:$G$504,Q1565),0),$F1565)),"")</f>
        <v/>
      </c>
      <c r="K1565" s="61" t="str">
        <f aca="false">IF(IsPro,IF($D1565="","",ROUND(N($E1565)*J1565*(1-N($G1565)),2)),"")</f>
        <v/>
      </c>
      <c r="L1565" s="62" t="str">
        <f aca="false">IF(IsPro,IF($D1565="","",IFERROR(INDEX(Items!$F$5:$F$504,Q1565),0)),"")</f>
        <v/>
      </c>
      <c r="M1565" s="61" t="str">
        <f aca="false">IF(IsPro,IF($D1565="","",IF(AND(R1565&lt;&gt;"",INDEX(Parties!$E$5:$E$304,R1565)&lt;&gt;"",INDEX(Parties!$E$5:$E$304,R1565)&lt;&gt;HomeState),0,ROUND(K1565*L1565/2,2))),"")</f>
        <v/>
      </c>
      <c r="N1565" s="61" t="str">
        <f aca="false">IF(IsPro,IF($D1565="","",M1565),"")</f>
        <v/>
      </c>
      <c r="O1565" s="61" t="str">
        <f aca="false">IF(IsPro,IF($D1565="","",IF(AND(R1565&lt;&gt;"",INDEX(Parties!$E$5:$E$304,R1565)&lt;&gt;"",INDEX(Parties!$E$5:$E$304,R1565)&lt;&gt;HomeState),ROUND(K1565*L1565,2),0)),"")</f>
        <v/>
      </c>
      <c r="P1565" s="61" t="str">
        <f aca="false">IF(IsPro,IF($D1565="","",K1565+M1565+N1565+O1565),"")</f>
        <v/>
      </c>
      <c r="Q1565" s="60" t="str">
        <f aca="false">IF(IsPro,IF($D1565="","",IFERROR(MATCH($D1565,Items!$A$5:$A$504,0),"")),"")</f>
        <v/>
      </c>
      <c r="R1565" s="60" t="str">
        <f aca="false">IF(IsPro,IF($C1565="","",IFERROR(MATCH($C1565,Parties!$A$5:$A$304,0),"")),"")</f>
        <v/>
      </c>
      <c r="S1565" s="61" t="str">
        <f aca="false">IF(IsPro,IF($D1565="","",IF(OR($H1565="",$H1565="Credit"),0,P1565)),"")</f>
        <v/>
      </c>
    </row>
    <row r="1566" customFormat="false" ht="15" hidden="false" customHeight="false" outlineLevel="0" collapsed="false">
      <c r="A1566" s="55"/>
      <c r="B1566" s="56"/>
      <c r="C1566" s="56"/>
      <c r="D1566" s="56"/>
      <c r="E1566" s="57"/>
      <c r="F1566" s="58"/>
      <c r="G1566" s="59"/>
      <c r="H1566" s="56"/>
      <c r="I1566" s="60" t="str">
        <f aca="false">IF(IsPro,IF($D1566="","",IFERROR(INDEX(Items!$D$5:$D$504,Q1566),"")),IF($D1566="","","PRO PLAN"))</f>
        <v/>
      </c>
      <c r="J1566" s="61" t="str">
        <f aca="false">IF(IsPro,IF($D1566="","",IF($F1566="",IFERROR(INDEX(Items!$G$5:$G$504,Q1566),0),$F1566)),"")</f>
        <v/>
      </c>
      <c r="K1566" s="61" t="str">
        <f aca="false">IF(IsPro,IF($D1566="","",ROUND(N($E1566)*J1566*(1-N($G1566)),2)),"")</f>
        <v/>
      </c>
      <c r="L1566" s="62" t="str">
        <f aca="false">IF(IsPro,IF($D1566="","",IFERROR(INDEX(Items!$F$5:$F$504,Q1566),0)),"")</f>
        <v/>
      </c>
      <c r="M1566" s="61" t="str">
        <f aca="false">IF(IsPro,IF($D1566="","",IF(AND(R1566&lt;&gt;"",INDEX(Parties!$E$5:$E$304,R1566)&lt;&gt;"",INDEX(Parties!$E$5:$E$304,R1566)&lt;&gt;HomeState),0,ROUND(K1566*L1566/2,2))),"")</f>
        <v/>
      </c>
      <c r="N1566" s="61" t="str">
        <f aca="false">IF(IsPro,IF($D1566="","",M1566),"")</f>
        <v/>
      </c>
      <c r="O1566" s="61" t="str">
        <f aca="false">IF(IsPro,IF($D1566="","",IF(AND(R1566&lt;&gt;"",INDEX(Parties!$E$5:$E$304,R1566)&lt;&gt;"",INDEX(Parties!$E$5:$E$304,R1566)&lt;&gt;HomeState),ROUND(K1566*L1566,2),0)),"")</f>
        <v/>
      </c>
      <c r="P1566" s="61" t="str">
        <f aca="false">IF(IsPro,IF($D1566="","",K1566+M1566+N1566+O1566),"")</f>
        <v/>
      </c>
      <c r="Q1566" s="60" t="str">
        <f aca="false">IF(IsPro,IF($D1566="","",IFERROR(MATCH($D1566,Items!$A$5:$A$504,0),"")),"")</f>
        <v/>
      </c>
      <c r="R1566" s="60" t="str">
        <f aca="false">IF(IsPro,IF($C1566="","",IFERROR(MATCH($C1566,Parties!$A$5:$A$304,0),"")),"")</f>
        <v/>
      </c>
      <c r="S1566" s="61" t="str">
        <f aca="false">IF(IsPro,IF($D1566="","",IF(OR($H1566="",$H1566="Credit"),0,P1566)),"")</f>
        <v/>
      </c>
    </row>
    <row r="1567" customFormat="false" ht="15" hidden="false" customHeight="false" outlineLevel="0" collapsed="false">
      <c r="A1567" s="55"/>
      <c r="B1567" s="56"/>
      <c r="C1567" s="56"/>
      <c r="D1567" s="56"/>
      <c r="E1567" s="57"/>
      <c r="F1567" s="58"/>
      <c r="G1567" s="59"/>
      <c r="H1567" s="56"/>
      <c r="I1567" s="60" t="str">
        <f aca="false">IF(IsPro,IF($D1567="","",IFERROR(INDEX(Items!$D$5:$D$504,Q1567),"")),IF($D1567="","","PRO PLAN"))</f>
        <v/>
      </c>
      <c r="J1567" s="61" t="str">
        <f aca="false">IF(IsPro,IF($D1567="","",IF($F1567="",IFERROR(INDEX(Items!$G$5:$G$504,Q1567),0),$F1567)),"")</f>
        <v/>
      </c>
      <c r="K1567" s="61" t="str">
        <f aca="false">IF(IsPro,IF($D1567="","",ROUND(N($E1567)*J1567*(1-N($G1567)),2)),"")</f>
        <v/>
      </c>
      <c r="L1567" s="62" t="str">
        <f aca="false">IF(IsPro,IF($D1567="","",IFERROR(INDEX(Items!$F$5:$F$504,Q1567),0)),"")</f>
        <v/>
      </c>
      <c r="M1567" s="61" t="str">
        <f aca="false">IF(IsPro,IF($D1567="","",IF(AND(R1567&lt;&gt;"",INDEX(Parties!$E$5:$E$304,R1567)&lt;&gt;"",INDEX(Parties!$E$5:$E$304,R1567)&lt;&gt;HomeState),0,ROUND(K1567*L1567/2,2))),"")</f>
        <v/>
      </c>
      <c r="N1567" s="61" t="str">
        <f aca="false">IF(IsPro,IF($D1567="","",M1567),"")</f>
        <v/>
      </c>
      <c r="O1567" s="61" t="str">
        <f aca="false">IF(IsPro,IF($D1567="","",IF(AND(R1567&lt;&gt;"",INDEX(Parties!$E$5:$E$304,R1567)&lt;&gt;"",INDEX(Parties!$E$5:$E$304,R1567)&lt;&gt;HomeState),ROUND(K1567*L1567,2),0)),"")</f>
        <v/>
      </c>
      <c r="P1567" s="61" t="str">
        <f aca="false">IF(IsPro,IF($D1567="","",K1567+M1567+N1567+O1567),"")</f>
        <v/>
      </c>
      <c r="Q1567" s="60" t="str">
        <f aca="false">IF(IsPro,IF($D1567="","",IFERROR(MATCH($D1567,Items!$A$5:$A$504,0),"")),"")</f>
        <v/>
      </c>
      <c r="R1567" s="60" t="str">
        <f aca="false">IF(IsPro,IF($C1567="","",IFERROR(MATCH($C1567,Parties!$A$5:$A$304,0),"")),"")</f>
        <v/>
      </c>
      <c r="S1567" s="61" t="str">
        <f aca="false">IF(IsPro,IF($D1567="","",IF(OR($H1567="",$H1567="Credit"),0,P1567)),"")</f>
        <v/>
      </c>
    </row>
    <row r="1568" customFormat="false" ht="15" hidden="false" customHeight="false" outlineLevel="0" collapsed="false">
      <c r="A1568" s="55"/>
      <c r="B1568" s="56"/>
      <c r="C1568" s="56"/>
      <c r="D1568" s="56"/>
      <c r="E1568" s="57"/>
      <c r="F1568" s="58"/>
      <c r="G1568" s="59"/>
      <c r="H1568" s="56"/>
      <c r="I1568" s="60" t="str">
        <f aca="false">IF(IsPro,IF($D1568="","",IFERROR(INDEX(Items!$D$5:$D$504,Q1568),"")),IF($D1568="","","PRO PLAN"))</f>
        <v/>
      </c>
      <c r="J1568" s="61" t="str">
        <f aca="false">IF(IsPro,IF($D1568="","",IF($F1568="",IFERROR(INDEX(Items!$G$5:$G$504,Q1568),0),$F1568)),"")</f>
        <v/>
      </c>
      <c r="K1568" s="61" t="str">
        <f aca="false">IF(IsPro,IF($D1568="","",ROUND(N($E1568)*J1568*(1-N($G1568)),2)),"")</f>
        <v/>
      </c>
      <c r="L1568" s="62" t="str">
        <f aca="false">IF(IsPro,IF($D1568="","",IFERROR(INDEX(Items!$F$5:$F$504,Q1568),0)),"")</f>
        <v/>
      </c>
      <c r="M1568" s="61" t="str">
        <f aca="false">IF(IsPro,IF($D1568="","",IF(AND(R1568&lt;&gt;"",INDEX(Parties!$E$5:$E$304,R1568)&lt;&gt;"",INDEX(Parties!$E$5:$E$304,R1568)&lt;&gt;HomeState),0,ROUND(K1568*L1568/2,2))),"")</f>
        <v/>
      </c>
      <c r="N1568" s="61" t="str">
        <f aca="false">IF(IsPro,IF($D1568="","",M1568),"")</f>
        <v/>
      </c>
      <c r="O1568" s="61" t="str">
        <f aca="false">IF(IsPro,IF($D1568="","",IF(AND(R1568&lt;&gt;"",INDEX(Parties!$E$5:$E$304,R1568)&lt;&gt;"",INDEX(Parties!$E$5:$E$304,R1568)&lt;&gt;HomeState),ROUND(K1568*L1568,2),0)),"")</f>
        <v/>
      </c>
      <c r="P1568" s="61" t="str">
        <f aca="false">IF(IsPro,IF($D1568="","",K1568+M1568+N1568+O1568),"")</f>
        <v/>
      </c>
      <c r="Q1568" s="60" t="str">
        <f aca="false">IF(IsPro,IF($D1568="","",IFERROR(MATCH($D1568,Items!$A$5:$A$504,0),"")),"")</f>
        <v/>
      </c>
      <c r="R1568" s="60" t="str">
        <f aca="false">IF(IsPro,IF($C1568="","",IFERROR(MATCH($C1568,Parties!$A$5:$A$304,0),"")),"")</f>
        <v/>
      </c>
      <c r="S1568" s="61" t="str">
        <f aca="false">IF(IsPro,IF($D1568="","",IF(OR($H1568="",$H1568="Credit"),0,P1568)),"")</f>
        <v/>
      </c>
    </row>
    <row r="1569" customFormat="false" ht="15" hidden="false" customHeight="false" outlineLevel="0" collapsed="false">
      <c r="A1569" s="55"/>
      <c r="B1569" s="56"/>
      <c r="C1569" s="56"/>
      <c r="D1569" s="56"/>
      <c r="E1569" s="57"/>
      <c r="F1569" s="58"/>
      <c r="G1569" s="59"/>
      <c r="H1569" s="56"/>
      <c r="I1569" s="60" t="str">
        <f aca="false">IF(IsPro,IF($D1569="","",IFERROR(INDEX(Items!$D$5:$D$504,Q1569),"")),IF($D1569="","","PRO PLAN"))</f>
        <v/>
      </c>
      <c r="J1569" s="61" t="str">
        <f aca="false">IF(IsPro,IF($D1569="","",IF($F1569="",IFERROR(INDEX(Items!$G$5:$G$504,Q1569),0),$F1569)),"")</f>
        <v/>
      </c>
      <c r="K1569" s="61" t="str">
        <f aca="false">IF(IsPro,IF($D1569="","",ROUND(N($E1569)*J1569*(1-N($G1569)),2)),"")</f>
        <v/>
      </c>
      <c r="L1569" s="62" t="str">
        <f aca="false">IF(IsPro,IF($D1569="","",IFERROR(INDEX(Items!$F$5:$F$504,Q1569),0)),"")</f>
        <v/>
      </c>
      <c r="M1569" s="61" t="str">
        <f aca="false">IF(IsPro,IF($D1569="","",IF(AND(R1569&lt;&gt;"",INDEX(Parties!$E$5:$E$304,R1569)&lt;&gt;"",INDEX(Parties!$E$5:$E$304,R1569)&lt;&gt;HomeState),0,ROUND(K1569*L1569/2,2))),"")</f>
        <v/>
      </c>
      <c r="N1569" s="61" t="str">
        <f aca="false">IF(IsPro,IF($D1569="","",M1569),"")</f>
        <v/>
      </c>
      <c r="O1569" s="61" t="str">
        <f aca="false">IF(IsPro,IF($D1569="","",IF(AND(R1569&lt;&gt;"",INDEX(Parties!$E$5:$E$304,R1569)&lt;&gt;"",INDEX(Parties!$E$5:$E$304,R1569)&lt;&gt;HomeState),ROUND(K1569*L1569,2),0)),"")</f>
        <v/>
      </c>
      <c r="P1569" s="61" t="str">
        <f aca="false">IF(IsPro,IF($D1569="","",K1569+M1569+N1569+O1569),"")</f>
        <v/>
      </c>
      <c r="Q1569" s="60" t="str">
        <f aca="false">IF(IsPro,IF($D1569="","",IFERROR(MATCH($D1569,Items!$A$5:$A$504,0),"")),"")</f>
        <v/>
      </c>
      <c r="R1569" s="60" t="str">
        <f aca="false">IF(IsPro,IF($C1569="","",IFERROR(MATCH($C1569,Parties!$A$5:$A$304,0),"")),"")</f>
        <v/>
      </c>
      <c r="S1569" s="61" t="str">
        <f aca="false">IF(IsPro,IF($D1569="","",IF(OR($H1569="",$H1569="Credit"),0,P1569)),"")</f>
        <v/>
      </c>
    </row>
    <row r="1570" customFormat="false" ht="15" hidden="false" customHeight="false" outlineLevel="0" collapsed="false">
      <c r="A1570" s="55"/>
      <c r="B1570" s="56"/>
      <c r="C1570" s="56"/>
      <c r="D1570" s="56"/>
      <c r="E1570" s="57"/>
      <c r="F1570" s="58"/>
      <c r="G1570" s="59"/>
      <c r="H1570" s="56"/>
      <c r="I1570" s="60" t="str">
        <f aca="false">IF(IsPro,IF($D1570="","",IFERROR(INDEX(Items!$D$5:$D$504,Q1570),"")),IF($D1570="","","PRO PLAN"))</f>
        <v/>
      </c>
      <c r="J1570" s="61" t="str">
        <f aca="false">IF(IsPro,IF($D1570="","",IF($F1570="",IFERROR(INDEX(Items!$G$5:$G$504,Q1570),0),$F1570)),"")</f>
        <v/>
      </c>
      <c r="K1570" s="61" t="str">
        <f aca="false">IF(IsPro,IF($D1570="","",ROUND(N($E1570)*J1570*(1-N($G1570)),2)),"")</f>
        <v/>
      </c>
      <c r="L1570" s="62" t="str">
        <f aca="false">IF(IsPro,IF($D1570="","",IFERROR(INDEX(Items!$F$5:$F$504,Q1570),0)),"")</f>
        <v/>
      </c>
      <c r="M1570" s="61" t="str">
        <f aca="false">IF(IsPro,IF($D1570="","",IF(AND(R1570&lt;&gt;"",INDEX(Parties!$E$5:$E$304,R1570)&lt;&gt;"",INDEX(Parties!$E$5:$E$304,R1570)&lt;&gt;HomeState),0,ROUND(K1570*L1570/2,2))),"")</f>
        <v/>
      </c>
      <c r="N1570" s="61" t="str">
        <f aca="false">IF(IsPro,IF($D1570="","",M1570),"")</f>
        <v/>
      </c>
      <c r="O1570" s="61" t="str">
        <f aca="false">IF(IsPro,IF($D1570="","",IF(AND(R1570&lt;&gt;"",INDEX(Parties!$E$5:$E$304,R1570)&lt;&gt;"",INDEX(Parties!$E$5:$E$304,R1570)&lt;&gt;HomeState),ROUND(K1570*L1570,2),0)),"")</f>
        <v/>
      </c>
      <c r="P1570" s="61" t="str">
        <f aca="false">IF(IsPro,IF($D1570="","",K1570+M1570+N1570+O1570),"")</f>
        <v/>
      </c>
      <c r="Q1570" s="60" t="str">
        <f aca="false">IF(IsPro,IF($D1570="","",IFERROR(MATCH($D1570,Items!$A$5:$A$504,0),"")),"")</f>
        <v/>
      </c>
      <c r="R1570" s="60" t="str">
        <f aca="false">IF(IsPro,IF($C1570="","",IFERROR(MATCH($C1570,Parties!$A$5:$A$304,0),"")),"")</f>
        <v/>
      </c>
      <c r="S1570" s="61" t="str">
        <f aca="false">IF(IsPro,IF($D1570="","",IF(OR($H1570="",$H1570="Credit"),0,P1570)),"")</f>
        <v/>
      </c>
    </row>
    <row r="1571" customFormat="false" ht="15" hidden="false" customHeight="false" outlineLevel="0" collapsed="false">
      <c r="A1571" s="55"/>
      <c r="B1571" s="56"/>
      <c r="C1571" s="56"/>
      <c r="D1571" s="56"/>
      <c r="E1571" s="57"/>
      <c r="F1571" s="58"/>
      <c r="G1571" s="59"/>
      <c r="H1571" s="56"/>
      <c r="I1571" s="60" t="str">
        <f aca="false">IF(IsPro,IF($D1571="","",IFERROR(INDEX(Items!$D$5:$D$504,Q1571),"")),IF($D1571="","","PRO PLAN"))</f>
        <v/>
      </c>
      <c r="J1571" s="61" t="str">
        <f aca="false">IF(IsPro,IF($D1571="","",IF($F1571="",IFERROR(INDEX(Items!$G$5:$G$504,Q1571),0),$F1571)),"")</f>
        <v/>
      </c>
      <c r="K1571" s="61" t="str">
        <f aca="false">IF(IsPro,IF($D1571="","",ROUND(N($E1571)*J1571*(1-N($G1571)),2)),"")</f>
        <v/>
      </c>
      <c r="L1571" s="62" t="str">
        <f aca="false">IF(IsPro,IF($D1571="","",IFERROR(INDEX(Items!$F$5:$F$504,Q1571),0)),"")</f>
        <v/>
      </c>
      <c r="M1571" s="61" t="str">
        <f aca="false">IF(IsPro,IF($D1571="","",IF(AND(R1571&lt;&gt;"",INDEX(Parties!$E$5:$E$304,R1571)&lt;&gt;"",INDEX(Parties!$E$5:$E$304,R1571)&lt;&gt;HomeState),0,ROUND(K1571*L1571/2,2))),"")</f>
        <v/>
      </c>
      <c r="N1571" s="61" t="str">
        <f aca="false">IF(IsPro,IF($D1571="","",M1571),"")</f>
        <v/>
      </c>
      <c r="O1571" s="61" t="str">
        <f aca="false">IF(IsPro,IF($D1571="","",IF(AND(R1571&lt;&gt;"",INDEX(Parties!$E$5:$E$304,R1571)&lt;&gt;"",INDEX(Parties!$E$5:$E$304,R1571)&lt;&gt;HomeState),ROUND(K1571*L1571,2),0)),"")</f>
        <v/>
      </c>
      <c r="P1571" s="61" t="str">
        <f aca="false">IF(IsPro,IF($D1571="","",K1571+M1571+N1571+O1571),"")</f>
        <v/>
      </c>
      <c r="Q1571" s="60" t="str">
        <f aca="false">IF(IsPro,IF($D1571="","",IFERROR(MATCH($D1571,Items!$A$5:$A$504,0),"")),"")</f>
        <v/>
      </c>
      <c r="R1571" s="60" t="str">
        <f aca="false">IF(IsPro,IF($C1571="","",IFERROR(MATCH($C1571,Parties!$A$5:$A$304,0),"")),"")</f>
        <v/>
      </c>
      <c r="S1571" s="61" t="str">
        <f aca="false">IF(IsPro,IF($D1571="","",IF(OR($H1571="",$H1571="Credit"),0,P1571)),"")</f>
        <v/>
      </c>
    </row>
    <row r="1572" customFormat="false" ht="15" hidden="false" customHeight="false" outlineLevel="0" collapsed="false">
      <c r="A1572" s="55"/>
      <c r="B1572" s="56"/>
      <c r="C1572" s="56"/>
      <c r="D1572" s="56"/>
      <c r="E1572" s="57"/>
      <c r="F1572" s="58"/>
      <c r="G1572" s="59"/>
      <c r="H1572" s="56"/>
      <c r="I1572" s="60" t="str">
        <f aca="false">IF(IsPro,IF($D1572="","",IFERROR(INDEX(Items!$D$5:$D$504,Q1572),"")),IF($D1572="","","PRO PLAN"))</f>
        <v/>
      </c>
      <c r="J1572" s="61" t="str">
        <f aca="false">IF(IsPro,IF($D1572="","",IF($F1572="",IFERROR(INDEX(Items!$G$5:$G$504,Q1572),0),$F1572)),"")</f>
        <v/>
      </c>
      <c r="K1572" s="61" t="str">
        <f aca="false">IF(IsPro,IF($D1572="","",ROUND(N($E1572)*J1572*(1-N($G1572)),2)),"")</f>
        <v/>
      </c>
      <c r="L1572" s="62" t="str">
        <f aca="false">IF(IsPro,IF($D1572="","",IFERROR(INDEX(Items!$F$5:$F$504,Q1572),0)),"")</f>
        <v/>
      </c>
      <c r="M1572" s="61" t="str">
        <f aca="false">IF(IsPro,IF($D1572="","",IF(AND(R1572&lt;&gt;"",INDEX(Parties!$E$5:$E$304,R1572)&lt;&gt;"",INDEX(Parties!$E$5:$E$304,R1572)&lt;&gt;HomeState),0,ROUND(K1572*L1572/2,2))),"")</f>
        <v/>
      </c>
      <c r="N1572" s="61" t="str">
        <f aca="false">IF(IsPro,IF($D1572="","",M1572),"")</f>
        <v/>
      </c>
      <c r="O1572" s="61" t="str">
        <f aca="false">IF(IsPro,IF($D1572="","",IF(AND(R1572&lt;&gt;"",INDEX(Parties!$E$5:$E$304,R1572)&lt;&gt;"",INDEX(Parties!$E$5:$E$304,R1572)&lt;&gt;HomeState),ROUND(K1572*L1572,2),0)),"")</f>
        <v/>
      </c>
      <c r="P1572" s="61" t="str">
        <f aca="false">IF(IsPro,IF($D1572="","",K1572+M1572+N1572+O1572),"")</f>
        <v/>
      </c>
      <c r="Q1572" s="60" t="str">
        <f aca="false">IF(IsPro,IF($D1572="","",IFERROR(MATCH($D1572,Items!$A$5:$A$504,0),"")),"")</f>
        <v/>
      </c>
      <c r="R1572" s="60" t="str">
        <f aca="false">IF(IsPro,IF($C1572="","",IFERROR(MATCH($C1572,Parties!$A$5:$A$304,0),"")),"")</f>
        <v/>
      </c>
      <c r="S1572" s="61" t="str">
        <f aca="false">IF(IsPro,IF($D1572="","",IF(OR($H1572="",$H1572="Credit"),0,P1572)),"")</f>
        <v/>
      </c>
    </row>
    <row r="1573" customFormat="false" ht="15" hidden="false" customHeight="false" outlineLevel="0" collapsed="false">
      <c r="A1573" s="55"/>
      <c r="B1573" s="56"/>
      <c r="C1573" s="56"/>
      <c r="D1573" s="56"/>
      <c r="E1573" s="57"/>
      <c r="F1573" s="58"/>
      <c r="G1573" s="59"/>
      <c r="H1573" s="56"/>
      <c r="I1573" s="60" t="str">
        <f aca="false">IF(IsPro,IF($D1573="","",IFERROR(INDEX(Items!$D$5:$D$504,Q1573),"")),IF($D1573="","","PRO PLAN"))</f>
        <v/>
      </c>
      <c r="J1573" s="61" t="str">
        <f aca="false">IF(IsPro,IF($D1573="","",IF($F1573="",IFERROR(INDEX(Items!$G$5:$G$504,Q1573),0),$F1573)),"")</f>
        <v/>
      </c>
      <c r="K1573" s="61" t="str">
        <f aca="false">IF(IsPro,IF($D1573="","",ROUND(N($E1573)*J1573*(1-N($G1573)),2)),"")</f>
        <v/>
      </c>
      <c r="L1573" s="62" t="str">
        <f aca="false">IF(IsPro,IF($D1573="","",IFERROR(INDEX(Items!$F$5:$F$504,Q1573),0)),"")</f>
        <v/>
      </c>
      <c r="M1573" s="61" t="str">
        <f aca="false">IF(IsPro,IF($D1573="","",IF(AND(R1573&lt;&gt;"",INDEX(Parties!$E$5:$E$304,R1573)&lt;&gt;"",INDEX(Parties!$E$5:$E$304,R1573)&lt;&gt;HomeState),0,ROUND(K1573*L1573/2,2))),"")</f>
        <v/>
      </c>
      <c r="N1573" s="61" t="str">
        <f aca="false">IF(IsPro,IF($D1573="","",M1573),"")</f>
        <v/>
      </c>
      <c r="O1573" s="61" t="str">
        <f aca="false">IF(IsPro,IF($D1573="","",IF(AND(R1573&lt;&gt;"",INDEX(Parties!$E$5:$E$304,R1573)&lt;&gt;"",INDEX(Parties!$E$5:$E$304,R1573)&lt;&gt;HomeState),ROUND(K1573*L1573,2),0)),"")</f>
        <v/>
      </c>
      <c r="P1573" s="61" t="str">
        <f aca="false">IF(IsPro,IF($D1573="","",K1573+M1573+N1573+O1573),"")</f>
        <v/>
      </c>
      <c r="Q1573" s="60" t="str">
        <f aca="false">IF(IsPro,IF($D1573="","",IFERROR(MATCH($D1573,Items!$A$5:$A$504,0),"")),"")</f>
        <v/>
      </c>
      <c r="R1573" s="60" t="str">
        <f aca="false">IF(IsPro,IF($C1573="","",IFERROR(MATCH($C1573,Parties!$A$5:$A$304,0),"")),"")</f>
        <v/>
      </c>
      <c r="S1573" s="61" t="str">
        <f aca="false">IF(IsPro,IF($D1573="","",IF(OR($H1573="",$H1573="Credit"),0,P1573)),"")</f>
        <v/>
      </c>
    </row>
    <row r="1574" customFormat="false" ht="15" hidden="false" customHeight="false" outlineLevel="0" collapsed="false">
      <c r="A1574" s="55"/>
      <c r="B1574" s="56"/>
      <c r="C1574" s="56"/>
      <c r="D1574" s="56"/>
      <c r="E1574" s="57"/>
      <c r="F1574" s="58"/>
      <c r="G1574" s="59"/>
      <c r="H1574" s="56"/>
      <c r="I1574" s="60" t="str">
        <f aca="false">IF(IsPro,IF($D1574="","",IFERROR(INDEX(Items!$D$5:$D$504,Q1574),"")),IF($D1574="","","PRO PLAN"))</f>
        <v/>
      </c>
      <c r="J1574" s="61" t="str">
        <f aca="false">IF(IsPro,IF($D1574="","",IF($F1574="",IFERROR(INDEX(Items!$G$5:$G$504,Q1574),0),$F1574)),"")</f>
        <v/>
      </c>
      <c r="K1574" s="61" t="str">
        <f aca="false">IF(IsPro,IF($D1574="","",ROUND(N($E1574)*J1574*(1-N($G1574)),2)),"")</f>
        <v/>
      </c>
      <c r="L1574" s="62" t="str">
        <f aca="false">IF(IsPro,IF($D1574="","",IFERROR(INDEX(Items!$F$5:$F$504,Q1574),0)),"")</f>
        <v/>
      </c>
      <c r="M1574" s="61" t="str">
        <f aca="false">IF(IsPro,IF($D1574="","",IF(AND(R1574&lt;&gt;"",INDEX(Parties!$E$5:$E$304,R1574)&lt;&gt;"",INDEX(Parties!$E$5:$E$304,R1574)&lt;&gt;HomeState),0,ROUND(K1574*L1574/2,2))),"")</f>
        <v/>
      </c>
      <c r="N1574" s="61" t="str">
        <f aca="false">IF(IsPro,IF($D1574="","",M1574),"")</f>
        <v/>
      </c>
      <c r="O1574" s="61" t="str">
        <f aca="false">IF(IsPro,IF($D1574="","",IF(AND(R1574&lt;&gt;"",INDEX(Parties!$E$5:$E$304,R1574)&lt;&gt;"",INDEX(Parties!$E$5:$E$304,R1574)&lt;&gt;HomeState),ROUND(K1574*L1574,2),0)),"")</f>
        <v/>
      </c>
      <c r="P1574" s="61" t="str">
        <f aca="false">IF(IsPro,IF($D1574="","",K1574+M1574+N1574+O1574),"")</f>
        <v/>
      </c>
      <c r="Q1574" s="60" t="str">
        <f aca="false">IF(IsPro,IF($D1574="","",IFERROR(MATCH($D1574,Items!$A$5:$A$504,0),"")),"")</f>
        <v/>
      </c>
      <c r="R1574" s="60" t="str">
        <f aca="false">IF(IsPro,IF($C1574="","",IFERROR(MATCH($C1574,Parties!$A$5:$A$304,0),"")),"")</f>
        <v/>
      </c>
      <c r="S1574" s="61" t="str">
        <f aca="false">IF(IsPro,IF($D1574="","",IF(OR($H1574="",$H1574="Credit"),0,P1574)),"")</f>
        <v/>
      </c>
    </row>
    <row r="1575" customFormat="false" ht="15" hidden="false" customHeight="false" outlineLevel="0" collapsed="false">
      <c r="A1575" s="55"/>
      <c r="B1575" s="56"/>
      <c r="C1575" s="56"/>
      <c r="D1575" s="56"/>
      <c r="E1575" s="57"/>
      <c r="F1575" s="58"/>
      <c r="G1575" s="59"/>
      <c r="H1575" s="56"/>
      <c r="I1575" s="60" t="str">
        <f aca="false">IF(IsPro,IF($D1575="","",IFERROR(INDEX(Items!$D$5:$D$504,Q1575),"")),IF($D1575="","","PRO PLAN"))</f>
        <v/>
      </c>
      <c r="J1575" s="61" t="str">
        <f aca="false">IF(IsPro,IF($D1575="","",IF($F1575="",IFERROR(INDEX(Items!$G$5:$G$504,Q1575),0),$F1575)),"")</f>
        <v/>
      </c>
      <c r="K1575" s="61" t="str">
        <f aca="false">IF(IsPro,IF($D1575="","",ROUND(N($E1575)*J1575*(1-N($G1575)),2)),"")</f>
        <v/>
      </c>
      <c r="L1575" s="62" t="str">
        <f aca="false">IF(IsPro,IF($D1575="","",IFERROR(INDEX(Items!$F$5:$F$504,Q1575),0)),"")</f>
        <v/>
      </c>
      <c r="M1575" s="61" t="str">
        <f aca="false">IF(IsPro,IF($D1575="","",IF(AND(R1575&lt;&gt;"",INDEX(Parties!$E$5:$E$304,R1575)&lt;&gt;"",INDEX(Parties!$E$5:$E$304,R1575)&lt;&gt;HomeState),0,ROUND(K1575*L1575/2,2))),"")</f>
        <v/>
      </c>
      <c r="N1575" s="61" t="str">
        <f aca="false">IF(IsPro,IF($D1575="","",M1575),"")</f>
        <v/>
      </c>
      <c r="O1575" s="61" t="str">
        <f aca="false">IF(IsPro,IF($D1575="","",IF(AND(R1575&lt;&gt;"",INDEX(Parties!$E$5:$E$304,R1575)&lt;&gt;"",INDEX(Parties!$E$5:$E$304,R1575)&lt;&gt;HomeState),ROUND(K1575*L1575,2),0)),"")</f>
        <v/>
      </c>
      <c r="P1575" s="61" t="str">
        <f aca="false">IF(IsPro,IF($D1575="","",K1575+M1575+N1575+O1575),"")</f>
        <v/>
      </c>
      <c r="Q1575" s="60" t="str">
        <f aca="false">IF(IsPro,IF($D1575="","",IFERROR(MATCH($D1575,Items!$A$5:$A$504,0),"")),"")</f>
        <v/>
      </c>
      <c r="R1575" s="60" t="str">
        <f aca="false">IF(IsPro,IF($C1575="","",IFERROR(MATCH($C1575,Parties!$A$5:$A$304,0),"")),"")</f>
        <v/>
      </c>
      <c r="S1575" s="61" t="str">
        <f aca="false">IF(IsPro,IF($D1575="","",IF(OR($H1575="",$H1575="Credit"),0,P1575)),"")</f>
        <v/>
      </c>
    </row>
    <row r="1576" customFormat="false" ht="15" hidden="false" customHeight="false" outlineLevel="0" collapsed="false">
      <c r="A1576" s="55"/>
      <c r="B1576" s="56"/>
      <c r="C1576" s="56"/>
      <c r="D1576" s="56"/>
      <c r="E1576" s="57"/>
      <c r="F1576" s="58"/>
      <c r="G1576" s="59"/>
      <c r="H1576" s="56"/>
      <c r="I1576" s="60" t="str">
        <f aca="false">IF(IsPro,IF($D1576="","",IFERROR(INDEX(Items!$D$5:$D$504,Q1576),"")),IF($D1576="","","PRO PLAN"))</f>
        <v/>
      </c>
      <c r="J1576" s="61" t="str">
        <f aca="false">IF(IsPro,IF($D1576="","",IF($F1576="",IFERROR(INDEX(Items!$G$5:$G$504,Q1576),0),$F1576)),"")</f>
        <v/>
      </c>
      <c r="K1576" s="61" t="str">
        <f aca="false">IF(IsPro,IF($D1576="","",ROUND(N($E1576)*J1576*(1-N($G1576)),2)),"")</f>
        <v/>
      </c>
      <c r="L1576" s="62" t="str">
        <f aca="false">IF(IsPro,IF($D1576="","",IFERROR(INDEX(Items!$F$5:$F$504,Q1576),0)),"")</f>
        <v/>
      </c>
      <c r="M1576" s="61" t="str">
        <f aca="false">IF(IsPro,IF($D1576="","",IF(AND(R1576&lt;&gt;"",INDEX(Parties!$E$5:$E$304,R1576)&lt;&gt;"",INDEX(Parties!$E$5:$E$304,R1576)&lt;&gt;HomeState),0,ROUND(K1576*L1576/2,2))),"")</f>
        <v/>
      </c>
      <c r="N1576" s="61" t="str">
        <f aca="false">IF(IsPro,IF($D1576="","",M1576),"")</f>
        <v/>
      </c>
      <c r="O1576" s="61" t="str">
        <f aca="false">IF(IsPro,IF($D1576="","",IF(AND(R1576&lt;&gt;"",INDEX(Parties!$E$5:$E$304,R1576)&lt;&gt;"",INDEX(Parties!$E$5:$E$304,R1576)&lt;&gt;HomeState),ROUND(K1576*L1576,2),0)),"")</f>
        <v/>
      </c>
      <c r="P1576" s="61" t="str">
        <f aca="false">IF(IsPro,IF($D1576="","",K1576+M1576+N1576+O1576),"")</f>
        <v/>
      </c>
      <c r="Q1576" s="60" t="str">
        <f aca="false">IF(IsPro,IF($D1576="","",IFERROR(MATCH($D1576,Items!$A$5:$A$504,0),"")),"")</f>
        <v/>
      </c>
      <c r="R1576" s="60" t="str">
        <f aca="false">IF(IsPro,IF($C1576="","",IFERROR(MATCH($C1576,Parties!$A$5:$A$304,0),"")),"")</f>
        <v/>
      </c>
      <c r="S1576" s="61" t="str">
        <f aca="false">IF(IsPro,IF($D1576="","",IF(OR($H1576="",$H1576="Credit"),0,P1576)),"")</f>
        <v/>
      </c>
    </row>
    <row r="1577" customFormat="false" ht="15" hidden="false" customHeight="false" outlineLevel="0" collapsed="false">
      <c r="A1577" s="55"/>
      <c r="B1577" s="56"/>
      <c r="C1577" s="56"/>
      <c r="D1577" s="56"/>
      <c r="E1577" s="57"/>
      <c r="F1577" s="58"/>
      <c r="G1577" s="59"/>
      <c r="H1577" s="56"/>
      <c r="I1577" s="60" t="str">
        <f aca="false">IF(IsPro,IF($D1577="","",IFERROR(INDEX(Items!$D$5:$D$504,Q1577),"")),IF($D1577="","","PRO PLAN"))</f>
        <v/>
      </c>
      <c r="J1577" s="61" t="str">
        <f aca="false">IF(IsPro,IF($D1577="","",IF($F1577="",IFERROR(INDEX(Items!$G$5:$G$504,Q1577),0),$F1577)),"")</f>
        <v/>
      </c>
      <c r="K1577" s="61" t="str">
        <f aca="false">IF(IsPro,IF($D1577="","",ROUND(N($E1577)*J1577*(1-N($G1577)),2)),"")</f>
        <v/>
      </c>
      <c r="L1577" s="62" t="str">
        <f aca="false">IF(IsPro,IF($D1577="","",IFERROR(INDEX(Items!$F$5:$F$504,Q1577),0)),"")</f>
        <v/>
      </c>
      <c r="M1577" s="61" t="str">
        <f aca="false">IF(IsPro,IF($D1577="","",IF(AND(R1577&lt;&gt;"",INDEX(Parties!$E$5:$E$304,R1577)&lt;&gt;"",INDEX(Parties!$E$5:$E$304,R1577)&lt;&gt;HomeState),0,ROUND(K1577*L1577/2,2))),"")</f>
        <v/>
      </c>
      <c r="N1577" s="61" t="str">
        <f aca="false">IF(IsPro,IF($D1577="","",M1577),"")</f>
        <v/>
      </c>
      <c r="O1577" s="61" t="str">
        <f aca="false">IF(IsPro,IF($D1577="","",IF(AND(R1577&lt;&gt;"",INDEX(Parties!$E$5:$E$304,R1577)&lt;&gt;"",INDEX(Parties!$E$5:$E$304,R1577)&lt;&gt;HomeState),ROUND(K1577*L1577,2),0)),"")</f>
        <v/>
      </c>
      <c r="P1577" s="61" t="str">
        <f aca="false">IF(IsPro,IF($D1577="","",K1577+M1577+N1577+O1577),"")</f>
        <v/>
      </c>
      <c r="Q1577" s="60" t="str">
        <f aca="false">IF(IsPro,IF($D1577="","",IFERROR(MATCH($D1577,Items!$A$5:$A$504,0),"")),"")</f>
        <v/>
      </c>
      <c r="R1577" s="60" t="str">
        <f aca="false">IF(IsPro,IF($C1577="","",IFERROR(MATCH($C1577,Parties!$A$5:$A$304,0),"")),"")</f>
        <v/>
      </c>
      <c r="S1577" s="61" t="str">
        <f aca="false">IF(IsPro,IF($D1577="","",IF(OR($H1577="",$H1577="Credit"),0,P1577)),"")</f>
        <v/>
      </c>
    </row>
    <row r="1578" customFormat="false" ht="15" hidden="false" customHeight="false" outlineLevel="0" collapsed="false">
      <c r="A1578" s="55"/>
      <c r="B1578" s="56"/>
      <c r="C1578" s="56"/>
      <c r="D1578" s="56"/>
      <c r="E1578" s="57"/>
      <c r="F1578" s="58"/>
      <c r="G1578" s="59"/>
      <c r="H1578" s="56"/>
      <c r="I1578" s="60" t="str">
        <f aca="false">IF(IsPro,IF($D1578="","",IFERROR(INDEX(Items!$D$5:$D$504,Q1578),"")),IF($D1578="","","PRO PLAN"))</f>
        <v/>
      </c>
      <c r="J1578" s="61" t="str">
        <f aca="false">IF(IsPro,IF($D1578="","",IF($F1578="",IFERROR(INDEX(Items!$G$5:$G$504,Q1578),0),$F1578)),"")</f>
        <v/>
      </c>
      <c r="K1578" s="61" t="str">
        <f aca="false">IF(IsPro,IF($D1578="","",ROUND(N($E1578)*J1578*(1-N($G1578)),2)),"")</f>
        <v/>
      </c>
      <c r="L1578" s="62" t="str">
        <f aca="false">IF(IsPro,IF($D1578="","",IFERROR(INDEX(Items!$F$5:$F$504,Q1578),0)),"")</f>
        <v/>
      </c>
      <c r="M1578" s="61" t="str">
        <f aca="false">IF(IsPro,IF($D1578="","",IF(AND(R1578&lt;&gt;"",INDEX(Parties!$E$5:$E$304,R1578)&lt;&gt;"",INDEX(Parties!$E$5:$E$304,R1578)&lt;&gt;HomeState),0,ROUND(K1578*L1578/2,2))),"")</f>
        <v/>
      </c>
      <c r="N1578" s="61" t="str">
        <f aca="false">IF(IsPro,IF($D1578="","",M1578),"")</f>
        <v/>
      </c>
      <c r="O1578" s="61" t="str">
        <f aca="false">IF(IsPro,IF($D1578="","",IF(AND(R1578&lt;&gt;"",INDEX(Parties!$E$5:$E$304,R1578)&lt;&gt;"",INDEX(Parties!$E$5:$E$304,R1578)&lt;&gt;HomeState),ROUND(K1578*L1578,2),0)),"")</f>
        <v/>
      </c>
      <c r="P1578" s="61" t="str">
        <f aca="false">IF(IsPro,IF($D1578="","",K1578+M1578+N1578+O1578),"")</f>
        <v/>
      </c>
      <c r="Q1578" s="60" t="str">
        <f aca="false">IF(IsPro,IF($D1578="","",IFERROR(MATCH($D1578,Items!$A$5:$A$504,0),"")),"")</f>
        <v/>
      </c>
      <c r="R1578" s="60" t="str">
        <f aca="false">IF(IsPro,IF($C1578="","",IFERROR(MATCH($C1578,Parties!$A$5:$A$304,0),"")),"")</f>
        <v/>
      </c>
      <c r="S1578" s="61" t="str">
        <f aca="false">IF(IsPro,IF($D1578="","",IF(OR($H1578="",$H1578="Credit"),0,P1578)),"")</f>
        <v/>
      </c>
    </row>
    <row r="1579" customFormat="false" ht="15" hidden="false" customHeight="false" outlineLevel="0" collapsed="false">
      <c r="A1579" s="55"/>
      <c r="B1579" s="56"/>
      <c r="C1579" s="56"/>
      <c r="D1579" s="56"/>
      <c r="E1579" s="57"/>
      <c r="F1579" s="58"/>
      <c r="G1579" s="59"/>
      <c r="H1579" s="56"/>
      <c r="I1579" s="60" t="str">
        <f aca="false">IF(IsPro,IF($D1579="","",IFERROR(INDEX(Items!$D$5:$D$504,Q1579),"")),IF($D1579="","","PRO PLAN"))</f>
        <v/>
      </c>
      <c r="J1579" s="61" t="str">
        <f aca="false">IF(IsPro,IF($D1579="","",IF($F1579="",IFERROR(INDEX(Items!$G$5:$G$504,Q1579),0),$F1579)),"")</f>
        <v/>
      </c>
      <c r="K1579" s="61" t="str">
        <f aca="false">IF(IsPro,IF($D1579="","",ROUND(N($E1579)*J1579*(1-N($G1579)),2)),"")</f>
        <v/>
      </c>
      <c r="L1579" s="62" t="str">
        <f aca="false">IF(IsPro,IF($D1579="","",IFERROR(INDEX(Items!$F$5:$F$504,Q1579),0)),"")</f>
        <v/>
      </c>
      <c r="M1579" s="61" t="str">
        <f aca="false">IF(IsPro,IF($D1579="","",IF(AND(R1579&lt;&gt;"",INDEX(Parties!$E$5:$E$304,R1579)&lt;&gt;"",INDEX(Parties!$E$5:$E$304,R1579)&lt;&gt;HomeState),0,ROUND(K1579*L1579/2,2))),"")</f>
        <v/>
      </c>
      <c r="N1579" s="61" t="str">
        <f aca="false">IF(IsPro,IF($D1579="","",M1579),"")</f>
        <v/>
      </c>
      <c r="O1579" s="61" t="str">
        <f aca="false">IF(IsPro,IF($D1579="","",IF(AND(R1579&lt;&gt;"",INDEX(Parties!$E$5:$E$304,R1579)&lt;&gt;"",INDEX(Parties!$E$5:$E$304,R1579)&lt;&gt;HomeState),ROUND(K1579*L1579,2),0)),"")</f>
        <v/>
      </c>
      <c r="P1579" s="61" t="str">
        <f aca="false">IF(IsPro,IF($D1579="","",K1579+M1579+N1579+O1579),"")</f>
        <v/>
      </c>
      <c r="Q1579" s="60" t="str">
        <f aca="false">IF(IsPro,IF($D1579="","",IFERROR(MATCH($D1579,Items!$A$5:$A$504,0),"")),"")</f>
        <v/>
      </c>
      <c r="R1579" s="60" t="str">
        <f aca="false">IF(IsPro,IF($C1579="","",IFERROR(MATCH($C1579,Parties!$A$5:$A$304,0),"")),"")</f>
        <v/>
      </c>
      <c r="S1579" s="61" t="str">
        <f aca="false">IF(IsPro,IF($D1579="","",IF(OR($H1579="",$H1579="Credit"),0,P1579)),"")</f>
        <v/>
      </c>
    </row>
    <row r="1580" customFormat="false" ht="15" hidden="false" customHeight="false" outlineLevel="0" collapsed="false">
      <c r="A1580" s="55"/>
      <c r="B1580" s="56"/>
      <c r="C1580" s="56"/>
      <c r="D1580" s="56"/>
      <c r="E1580" s="57"/>
      <c r="F1580" s="58"/>
      <c r="G1580" s="59"/>
      <c r="H1580" s="56"/>
      <c r="I1580" s="60" t="str">
        <f aca="false">IF(IsPro,IF($D1580="","",IFERROR(INDEX(Items!$D$5:$D$504,Q1580),"")),IF($D1580="","","PRO PLAN"))</f>
        <v/>
      </c>
      <c r="J1580" s="61" t="str">
        <f aca="false">IF(IsPro,IF($D1580="","",IF($F1580="",IFERROR(INDEX(Items!$G$5:$G$504,Q1580),0),$F1580)),"")</f>
        <v/>
      </c>
      <c r="K1580" s="61" t="str">
        <f aca="false">IF(IsPro,IF($D1580="","",ROUND(N($E1580)*J1580*(1-N($G1580)),2)),"")</f>
        <v/>
      </c>
      <c r="L1580" s="62" t="str">
        <f aca="false">IF(IsPro,IF($D1580="","",IFERROR(INDEX(Items!$F$5:$F$504,Q1580),0)),"")</f>
        <v/>
      </c>
      <c r="M1580" s="61" t="str">
        <f aca="false">IF(IsPro,IF($D1580="","",IF(AND(R1580&lt;&gt;"",INDEX(Parties!$E$5:$E$304,R1580)&lt;&gt;"",INDEX(Parties!$E$5:$E$304,R1580)&lt;&gt;HomeState),0,ROUND(K1580*L1580/2,2))),"")</f>
        <v/>
      </c>
      <c r="N1580" s="61" t="str">
        <f aca="false">IF(IsPro,IF($D1580="","",M1580),"")</f>
        <v/>
      </c>
      <c r="O1580" s="61" t="str">
        <f aca="false">IF(IsPro,IF($D1580="","",IF(AND(R1580&lt;&gt;"",INDEX(Parties!$E$5:$E$304,R1580)&lt;&gt;"",INDEX(Parties!$E$5:$E$304,R1580)&lt;&gt;HomeState),ROUND(K1580*L1580,2),0)),"")</f>
        <v/>
      </c>
      <c r="P1580" s="61" t="str">
        <f aca="false">IF(IsPro,IF($D1580="","",K1580+M1580+N1580+O1580),"")</f>
        <v/>
      </c>
      <c r="Q1580" s="60" t="str">
        <f aca="false">IF(IsPro,IF($D1580="","",IFERROR(MATCH($D1580,Items!$A$5:$A$504,0),"")),"")</f>
        <v/>
      </c>
      <c r="R1580" s="60" t="str">
        <f aca="false">IF(IsPro,IF($C1580="","",IFERROR(MATCH($C1580,Parties!$A$5:$A$304,0),"")),"")</f>
        <v/>
      </c>
      <c r="S1580" s="61" t="str">
        <f aca="false">IF(IsPro,IF($D1580="","",IF(OR($H1580="",$H1580="Credit"),0,P1580)),"")</f>
        <v/>
      </c>
    </row>
    <row r="1581" customFormat="false" ht="15" hidden="false" customHeight="false" outlineLevel="0" collapsed="false">
      <c r="A1581" s="55"/>
      <c r="B1581" s="56"/>
      <c r="C1581" s="56"/>
      <c r="D1581" s="56"/>
      <c r="E1581" s="57"/>
      <c r="F1581" s="58"/>
      <c r="G1581" s="59"/>
      <c r="H1581" s="56"/>
      <c r="I1581" s="60" t="str">
        <f aca="false">IF(IsPro,IF($D1581="","",IFERROR(INDEX(Items!$D$5:$D$504,Q1581),"")),IF($D1581="","","PRO PLAN"))</f>
        <v/>
      </c>
      <c r="J1581" s="61" t="str">
        <f aca="false">IF(IsPro,IF($D1581="","",IF($F1581="",IFERROR(INDEX(Items!$G$5:$G$504,Q1581),0),$F1581)),"")</f>
        <v/>
      </c>
      <c r="K1581" s="61" t="str">
        <f aca="false">IF(IsPro,IF($D1581="","",ROUND(N($E1581)*J1581*(1-N($G1581)),2)),"")</f>
        <v/>
      </c>
      <c r="L1581" s="62" t="str">
        <f aca="false">IF(IsPro,IF($D1581="","",IFERROR(INDEX(Items!$F$5:$F$504,Q1581),0)),"")</f>
        <v/>
      </c>
      <c r="M1581" s="61" t="str">
        <f aca="false">IF(IsPro,IF($D1581="","",IF(AND(R1581&lt;&gt;"",INDEX(Parties!$E$5:$E$304,R1581)&lt;&gt;"",INDEX(Parties!$E$5:$E$304,R1581)&lt;&gt;HomeState),0,ROUND(K1581*L1581/2,2))),"")</f>
        <v/>
      </c>
      <c r="N1581" s="61" t="str">
        <f aca="false">IF(IsPro,IF($D1581="","",M1581),"")</f>
        <v/>
      </c>
      <c r="O1581" s="61" t="str">
        <f aca="false">IF(IsPro,IF($D1581="","",IF(AND(R1581&lt;&gt;"",INDEX(Parties!$E$5:$E$304,R1581)&lt;&gt;"",INDEX(Parties!$E$5:$E$304,R1581)&lt;&gt;HomeState),ROUND(K1581*L1581,2),0)),"")</f>
        <v/>
      </c>
      <c r="P1581" s="61" t="str">
        <f aca="false">IF(IsPro,IF($D1581="","",K1581+M1581+N1581+O1581),"")</f>
        <v/>
      </c>
      <c r="Q1581" s="60" t="str">
        <f aca="false">IF(IsPro,IF($D1581="","",IFERROR(MATCH($D1581,Items!$A$5:$A$504,0),"")),"")</f>
        <v/>
      </c>
      <c r="R1581" s="60" t="str">
        <f aca="false">IF(IsPro,IF($C1581="","",IFERROR(MATCH($C1581,Parties!$A$5:$A$304,0),"")),"")</f>
        <v/>
      </c>
      <c r="S1581" s="61" t="str">
        <f aca="false">IF(IsPro,IF($D1581="","",IF(OR($H1581="",$H1581="Credit"),0,P1581)),"")</f>
        <v/>
      </c>
    </row>
    <row r="1582" customFormat="false" ht="15" hidden="false" customHeight="false" outlineLevel="0" collapsed="false">
      <c r="A1582" s="55"/>
      <c r="B1582" s="56"/>
      <c r="C1582" s="56"/>
      <c r="D1582" s="56"/>
      <c r="E1582" s="57"/>
      <c r="F1582" s="58"/>
      <c r="G1582" s="59"/>
      <c r="H1582" s="56"/>
      <c r="I1582" s="60" t="str">
        <f aca="false">IF(IsPro,IF($D1582="","",IFERROR(INDEX(Items!$D$5:$D$504,Q1582),"")),IF($D1582="","","PRO PLAN"))</f>
        <v/>
      </c>
      <c r="J1582" s="61" t="str">
        <f aca="false">IF(IsPro,IF($D1582="","",IF($F1582="",IFERROR(INDEX(Items!$G$5:$G$504,Q1582),0),$F1582)),"")</f>
        <v/>
      </c>
      <c r="K1582" s="61" t="str">
        <f aca="false">IF(IsPro,IF($D1582="","",ROUND(N($E1582)*J1582*(1-N($G1582)),2)),"")</f>
        <v/>
      </c>
      <c r="L1582" s="62" t="str">
        <f aca="false">IF(IsPro,IF($D1582="","",IFERROR(INDEX(Items!$F$5:$F$504,Q1582),0)),"")</f>
        <v/>
      </c>
      <c r="M1582" s="61" t="str">
        <f aca="false">IF(IsPro,IF($D1582="","",IF(AND(R1582&lt;&gt;"",INDEX(Parties!$E$5:$E$304,R1582)&lt;&gt;"",INDEX(Parties!$E$5:$E$304,R1582)&lt;&gt;HomeState),0,ROUND(K1582*L1582/2,2))),"")</f>
        <v/>
      </c>
      <c r="N1582" s="61" t="str">
        <f aca="false">IF(IsPro,IF($D1582="","",M1582),"")</f>
        <v/>
      </c>
      <c r="O1582" s="61" t="str">
        <f aca="false">IF(IsPro,IF($D1582="","",IF(AND(R1582&lt;&gt;"",INDEX(Parties!$E$5:$E$304,R1582)&lt;&gt;"",INDEX(Parties!$E$5:$E$304,R1582)&lt;&gt;HomeState),ROUND(K1582*L1582,2),0)),"")</f>
        <v/>
      </c>
      <c r="P1582" s="61" t="str">
        <f aca="false">IF(IsPro,IF($D1582="","",K1582+M1582+N1582+O1582),"")</f>
        <v/>
      </c>
      <c r="Q1582" s="60" t="str">
        <f aca="false">IF(IsPro,IF($D1582="","",IFERROR(MATCH($D1582,Items!$A$5:$A$504,0),"")),"")</f>
        <v/>
      </c>
      <c r="R1582" s="60" t="str">
        <f aca="false">IF(IsPro,IF($C1582="","",IFERROR(MATCH($C1582,Parties!$A$5:$A$304,0),"")),"")</f>
        <v/>
      </c>
      <c r="S1582" s="61" t="str">
        <f aca="false">IF(IsPro,IF($D1582="","",IF(OR($H1582="",$H1582="Credit"),0,P1582)),"")</f>
        <v/>
      </c>
    </row>
    <row r="1583" customFormat="false" ht="15" hidden="false" customHeight="false" outlineLevel="0" collapsed="false">
      <c r="A1583" s="55"/>
      <c r="B1583" s="56"/>
      <c r="C1583" s="56"/>
      <c r="D1583" s="56"/>
      <c r="E1583" s="57"/>
      <c r="F1583" s="58"/>
      <c r="G1583" s="59"/>
      <c r="H1583" s="56"/>
      <c r="I1583" s="60" t="str">
        <f aca="false">IF(IsPro,IF($D1583="","",IFERROR(INDEX(Items!$D$5:$D$504,Q1583),"")),IF($D1583="","","PRO PLAN"))</f>
        <v/>
      </c>
      <c r="J1583" s="61" t="str">
        <f aca="false">IF(IsPro,IF($D1583="","",IF($F1583="",IFERROR(INDEX(Items!$G$5:$G$504,Q1583),0),$F1583)),"")</f>
        <v/>
      </c>
      <c r="K1583" s="61" t="str">
        <f aca="false">IF(IsPro,IF($D1583="","",ROUND(N($E1583)*J1583*(1-N($G1583)),2)),"")</f>
        <v/>
      </c>
      <c r="L1583" s="62" t="str">
        <f aca="false">IF(IsPro,IF($D1583="","",IFERROR(INDEX(Items!$F$5:$F$504,Q1583),0)),"")</f>
        <v/>
      </c>
      <c r="M1583" s="61" t="str">
        <f aca="false">IF(IsPro,IF($D1583="","",IF(AND(R1583&lt;&gt;"",INDEX(Parties!$E$5:$E$304,R1583)&lt;&gt;"",INDEX(Parties!$E$5:$E$304,R1583)&lt;&gt;HomeState),0,ROUND(K1583*L1583/2,2))),"")</f>
        <v/>
      </c>
      <c r="N1583" s="61" t="str">
        <f aca="false">IF(IsPro,IF($D1583="","",M1583),"")</f>
        <v/>
      </c>
      <c r="O1583" s="61" t="str">
        <f aca="false">IF(IsPro,IF($D1583="","",IF(AND(R1583&lt;&gt;"",INDEX(Parties!$E$5:$E$304,R1583)&lt;&gt;"",INDEX(Parties!$E$5:$E$304,R1583)&lt;&gt;HomeState),ROUND(K1583*L1583,2),0)),"")</f>
        <v/>
      </c>
      <c r="P1583" s="61" t="str">
        <f aca="false">IF(IsPro,IF($D1583="","",K1583+M1583+N1583+O1583),"")</f>
        <v/>
      </c>
      <c r="Q1583" s="60" t="str">
        <f aca="false">IF(IsPro,IF($D1583="","",IFERROR(MATCH($D1583,Items!$A$5:$A$504,0),"")),"")</f>
        <v/>
      </c>
      <c r="R1583" s="60" t="str">
        <f aca="false">IF(IsPro,IF($C1583="","",IFERROR(MATCH($C1583,Parties!$A$5:$A$304,0),"")),"")</f>
        <v/>
      </c>
      <c r="S1583" s="61" t="str">
        <f aca="false">IF(IsPro,IF($D1583="","",IF(OR($H1583="",$H1583="Credit"),0,P1583)),"")</f>
        <v/>
      </c>
    </row>
    <row r="1584" customFormat="false" ht="15" hidden="false" customHeight="false" outlineLevel="0" collapsed="false">
      <c r="A1584" s="55"/>
      <c r="B1584" s="56"/>
      <c r="C1584" s="56"/>
      <c r="D1584" s="56"/>
      <c r="E1584" s="57"/>
      <c r="F1584" s="58"/>
      <c r="G1584" s="59"/>
      <c r="H1584" s="56"/>
      <c r="I1584" s="60" t="str">
        <f aca="false">IF(IsPro,IF($D1584="","",IFERROR(INDEX(Items!$D$5:$D$504,Q1584),"")),IF($D1584="","","PRO PLAN"))</f>
        <v/>
      </c>
      <c r="J1584" s="61" t="str">
        <f aca="false">IF(IsPro,IF($D1584="","",IF($F1584="",IFERROR(INDEX(Items!$G$5:$G$504,Q1584),0),$F1584)),"")</f>
        <v/>
      </c>
      <c r="K1584" s="61" t="str">
        <f aca="false">IF(IsPro,IF($D1584="","",ROUND(N($E1584)*J1584*(1-N($G1584)),2)),"")</f>
        <v/>
      </c>
      <c r="L1584" s="62" t="str">
        <f aca="false">IF(IsPro,IF($D1584="","",IFERROR(INDEX(Items!$F$5:$F$504,Q1584),0)),"")</f>
        <v/>
      </c>
      <c r="M1584" s="61" t="str">
        <f aca="false">IF(IsPro,IF($D1584="","",IF(AND(R1584&lt;&gt;"",INDEX(Parties!$E$5:$E$304,R1584)&lt;&gt;"",INDEX(Parties!$E$5:$E$304,R1584)&lt;&gt;HomeState),0,ROUND(K1584*L1584/2,2))),"")</f>
        <v/>
      </c>
      <c r="N1584" s="61" t="str">
        <f aca="false">IF(IsPro,IF($D1584="","",M1584),"")</f>
        <v/>
      </c>
      <c r="O1584" s="61" t="str">
        <f aca="false">IF(IsPro,IF($D1584="","",IF(AND(R1584&lt;&gt;"",INDEX(Parties!$E$5:$E$304,R1584)&lt;&gt;"",INDEX(Parties!$E$5:$E$304,R1584)&lt;&gt;HomeState),ROUND(K1584*L1584,2),0)),"")</f>
        <v/>
      </c>
      <c r="P1584" s="61" t="str">
        <f aca="false">IF(IsPro,IF($D1584="","",K1584+M1584+N1584+O1584),"")</f>
        <v/>
      </c>
      <c r="Q1584" s="60" t="str">
        <f aca="false">IF(IsPro,IF($D1584="","",IFERROR(MATCH($D1584,Items!$A$5:$A$504,0),"")),"")</f>
        <v/>
      </c>
      <c r="R1584" s="60" t="str">
        <f aca="false">IF(IsPro,IF($C1584="","",IFERROR(MATCH($C1584,Parties!$A$5:$A$304,0),"")),"")</f>
        <v/>
      </c>
      <c r="S1584" s="61" t="str">
        <f aca="false">IF(IsPro,IF($D1584="","",IF(OR($H1584="",$H1584="Credit"),0,P1584)),"")</f>
        <v/>
      </c>
    </row>
    <row r="1585" customFormat="false" ht="15" hidden="false" customHeight="false" outlineLevel="0" collapsed="false">
      <c r="A1585" s="55"/>
      <c r="B1585" s="56"/>
      <c r="C1585" s="56"/>
      <c r="D1585" s="56"/>
      <c r="E1585" s="57"/>
      <c r="F1585" s="58"/>
      <c r="G1585" s="59"/>
      <c r="H1585" s="56"/>
      <c r="I1585" s="60" t="str">
        <f aca="false">IF(IsPro,IF($D1585="","",IFERROR(INDEX(Items!$D$5:$D$504,Q1585),"")),IF($D1585="","","PRO PLAN"))</f>
        <v/>
      </c>
      <c r="J1585" s="61" t="str">
        <f aca="false">IF(IsPro,IF($D1585="","",IF($F1585="",IFERROR(INDEX(Items!$G$5:$G$504,Q1585),0),$F1585)),"")</f>
        <v/>
      </c>
      <c r="K1585" s="61" t="str">
        <f aca="false">IF(IsPro,IF($D1585="","",ROUND(N($E1585)*J1585*(1-N($G1585)),2)),"")</f>
        <v/>
      </c>
      <c r="L1585" s="62" t="str">
        <f aca="false">IF(IsPro,IF($D1585="","",IFERROR(INDEX(Items!$F$5:$F$504,Q1585),0)),"")</f>
        <v/>
      </c>
      <c r="M1585" s="61" t="str">
        <f aca="false">IF(IsPro,IF($D1585="","",IF(AND(R1585&lt;&gt;"",INDEX(Parties!$E$5:$E$304,R1585)&lt;&gt;"",INDEX(Parties!$E$5:$E$304,R1585)&lt;&gt;HomeState),0,ROUND(K1585*L1585/2,2))),"")</f>
        <v/>
      </c>
      <c r="N1585" s="61" t="str">
        <f aca="false">IF(IsPro,IF($D1585="","",M1585),"")</f>
        <v/>
      </c>
      <c r="O1585" s="61" t="str">
        <f aca="false">IF(IsPro,IF($D1585="","",IF(AND(R1585&lt;&gt;"",INDEX(Parties!$E$5:$E$304,R1585)&lt;&gt;"",INDEX(Parties!$E$5:$E$304,R1585)&lt;&gt;HomeState),ROUND(K1585*L1585,2),0)),"")</f>
        <v/>
      </c>
      <c r="P1585" s="61" t="str">
        <f aca="false">IF(IsPro,IF($D1585="","",K1585+M1585+N1585+O1585),"")</f>
        <v/>
      </c>
      <c r="Q1585" s="60" t="str">
        <f aca="false">IF(IsPro,IF($D1585="","",IFERROR(MATCH($D1585,Items!$A$5:$A$504,0),"")),"")</f>
        <v/>
      </c>
      <c r="R1585" s="60" t="str">
        <f aca="false">IF(IsPro,IF($C1585="","",IFERROR(MATCH($C1585,Parties!$A$5:$A$304,0),"")),"")</f>
        <v/>
      </c>
      <c r="S1585" s="61" t="str">
        <f aca="false">IF(IsPro,IF($D1585="","",IF(OR($H1585="",$H1585="Credit"),0,P1585)),"")</f>
        <v/>
      </c>
    </row>
    <row r="1586" customFormat="false" ht="15" hidden="false" customHeight="false" outlineLevel="0" collapsed="false">
      <c r="A1586" s="55"/>
      <c r="B1586" s="56"/>
      <c r="C1586" s="56"/>
      <c r="D1586" s="56"/>
      <c r="E1586" s="57"/>
      <c r="F1586" s="58"/>
      <c r="G1586" s="59"/>
      <c r="H1586" s="56"/>
      <c r="I1586" s="60" t="str">
        <f aca="false">IF(IsPro,IF($D1586="","",IFERROR(INDEX(Items!$D$5:$D$504,Q1586),"")),IF($D1586="","","PRO PLAN"))</f>
        <v/>
      </c>
      <c r="J1586" s="61" t="str">
        <f aca="false">IF(IsPro,IF($D1586="","",IF($F1586="",IFERROR(INDEX(Items!$G$5:$G$504,Q1586),0),$F1586)),"")</f>
        <v/>
      </c>
      <c r="K1586" s="61" t="str">
        <f aca="false">IF(IsPro,IF($D1586="","",ROUND(N($E1586)*J1586*(1-N($G1586)),2)),"")</f>
        <v/>
      </c>
      <c r="L1586" s="62" t="str">
        <f aca="false">IF(IsPro,IF($D1586="","",IFERROR(INDEX(Items!$F$5:$F$504,Q1586),0)),"")</f>
        <v/>
      </c>
      <c r="M1586" s="61" t="str">
        <f aca="false">IF(IsPro,IF($D1586="","",IF(AND(R1586&lt;&gt;"",INDEX(Parties!$E$5:$E$304,R1586)&lt;&gt;"",INDEX(Parties!$E$5:$E$304,R1586)&lt;&gt;HomeState),0,ROUND(K1586*L1586/2,2))),"")</f>
        <v/>
      </c>
      <c r="N1586" s="61" t="str">
        <f aca="false">IF(IsPro,IF($D1586="","",M1586),"")</f>
        <v/>
      </c>
      <c r="O1586" s="61" t="str">
        <f aca="false">IF(IsPro,IF($D1586="","",IF(AND(R1586&lt;&gt;"",INDEX(Parties!$E$5:$E$304,R1586)&lt;&gt;"",INDEX(Parties!$E$5:$E$304,R1586)&lt;&gt;HomeState),ROUND(K1586*L1586,2),0)),"")</f>
        <v/>
      </c>
      <c r="P1586" s="61" t="str">
        <f aca="false">IF(IsPro,IF($D1586="","",K1586+M1586+N1586+O1586),"")</f>
        <v/>
      </c>
      <c r="Q1586" s="60" t="str">
        <f aca="false">IF(IsPro,IF($D1586="","",IFERROR(MATCH($D1586,Items!$A$5:$A$504,0),"")),"")</f>
        <v/>
      </c>
      <c r="R1586" s="60" t="str">
        <f aca="false">IF(IsPro,IF($C1586="","",IFERROR(MATCH($C1586,Parties!$A$5:$A$304,0),"")),"")</f>
        <v/>
      </c>
      <c r="S1586" s="61" t="str">
        <f aca="false">IF(IsPro,IF($D1586="","",IF(OR($H1586="",$H1586="Credit"),0,P1586)),"")</f>
        <v/>
      </c>
    </row>
    <row r="1587" customFormat="false" ht="15" hidden="false" customHeight="false" outlineLevel="0" collapsed="false">
      <c r="A1587" s="55"/>
      <c r="B1587" s="56"/>
      <c r="C1587" s="56"/>
      <c r="D1587" s="56"/>
      <c r="E1587" s="57"/>
      <c r="F1587" s="58"/>
      <c r="G1587" s="59"/>
      <c r="H1587" s="56"/>
      <c r="I1587" s="60" t="str">
        <f aca="false">IF(IsPro,IF($D1587="","",IFERROR(INDEX(Items!$D$5:$D$504,Q1587),"")),IF($D1587="","","PRO PLAN"))</f>
        <v/>
      </c>
      <c r="J1587" s="61" t="str">
        <f aca="false">IF(IsPro,IF($D1587="","",IF($F1587="",IFERROR(INDEX(Items!$G$5:$G$504,Q1587),0),$F1587)),"")</f>
        <v/>
      </c>
      <c r="K1587" s="61" t="str">
        <f aca="false">IF(IsPro,IF($D1587="","",ROUND(N($E1587)*J1587*(1-N($G1587)),2)),"")</f>
        <v/>
      </c>
      <c r="L1587" s="62" t="str">
        <f aca="false">IF(IsPro,IF($D1587="","",IFERROR(INDEX(Items!$F$5:$F$504,Q1587),0)),"")</f>
        <v/>
      </c>
      <c r="M1587" s="61" t="str">
        <f aca="false">IF(IsPro,IF($D1587="","",IF(AND(R1587&lt;&gt;"",INDEX(Parties!$E$5:$E$304,R1587)&lt;&gt;"",INDEX(Parties!$E$5:$E$304,R1587)&lt;&gt;HomeState),0,ROUND(K1587*L1587/2,2))),"")</f>
        <v/>
      </c>
      <c r="N1587" s="61" t="str">
        <f aca="false">IF(IsPro,IF($D1587="","",M1587),"")</f>
        <v/>
      </c>
      <c r="O1587" s="61" t="str">
        <f aca="false">IF(IsPro,IF($D1587="","",IF(AND(R1587&lt;&gt;"",INDEX(Parties!$E$5:$E$304,R1587)&lt;&gt;"",INDEX(Parties!$E$5:$E$304,R1587)&lt;&gt;HomeState),ROUND(K1587*L1587,2),0)),"")</f>
        <v/>
      </c>
      <c r="P1587" s="61" t="str">
        <f aca="false">IF(IsPro,IF($D1587="","",K1587+M1587+N1587+O1587),"")</f>
        <v/>
      </c>
      <c r="Q1587" s="60" t="str">
        <f aca="false">IF(IsPro,IF($D1587="","",IFERROR(MATCH($D1587,Items!$A$5:$A$504,0),"")),"")</f>
        <v/>
      </c>
      <c r="R1587" s="60" t="str">
        <f aca="false">IF(IsPro,IF($C1587="","",IFERROR(MATCH($C1587,Parties!$A$5:$A$304,0),"")),"")</f>
        <v/>
      </c>
      <c r="S1587" s="61" t="str">
        <f aca="false">IF(IsPro,IF($D1587="","",IF(OR($H1587="",$H1587="Credit"),0,P1587)),"")</f>
        <v/>
      </c>
    </row>
    <row r="1588" customFormat="false" ht="15" hidden="false" customHeight="false" outlineLevel="0" collapsed="false">
      <c r="A1588" s="55"/>
      <c r="B1588" s="56"/>
      <c r="C1588" s="56"/>
      <c r="D1588" s="56"/>
      <c r="E1588" s="57"/>
      <c r="F1588" s="58"/>
      <c r="G1588" s="59"/>
      <c r="H1588" s="56"/>
      <c r="I1588" s="60" t="str">
        <f aca="false">IF(IsPro,IF($D1588="","",IFERROR(INDEX(Items!$D$5:$D$504,Q1588),"")),IF($D1588="","","PRO PLAN"))</f>
        <v/>
      </c>
      <c r="J1588" s="61" t="str">
        <f aca="false">IF(IsPro,IF($D1588="","",IF($F1588="",IFERROR(INDEX(Items!$G$5:$G$504,Q1588),0),$F1588)),"")</f>
        <v/>
      </c>
      <c r="K1588" s="61" t="str">
        <f aca="false">IF(IsPro,IF($D1588="","",ROUND(N($E1588)*J1588*(1-N($G1588)),2)),"")</f>
        <v/>
      </c>
      <c r="L1588" s="62" t="str">
        <f aca="false">IF(IsPro,IF($D1588="","",IFERROR(INDEX(Items!$F$5:$F$504,Q1588),0)),"")</f>
        <v/>
      </c>
      <c r="M1588" s="61" t="str">
        <f aca="false">IF(IsPro,IF($D1588="","",IF(AND(R1588&lt;&gt;"",INDEX(Parties!$E$5:$E$304,R1588)&lt;&gt;"",INDEX(Parties!$E$5:$E$304,R1588)&lt;&gt;HomeState),0,ROUND(K1588*L1588/2,2))),"")</f>
        <v/>
      </c>
      <c r="N1588" s="61" t="str">
        <f aca="false">IF(IsPro,IF($D1588="","",M1588),"")</f>
        <v/>
      </c>
      <c r="O1588" s="61" t="str">
        <f aca="false">IF(IsPro,IF($D1588="","",IF(AND(R1588&lt;&gt;"",INDEX(Parties!$E$5:$E$304,R1588)&lt;&gt;"",INDEX(Parties!$E$5:$E$304,R1588)&lt;&gt;HomeState),ROUND(K1588*L1588,2),0)),"")</f>
        <v/>
      </c>
      <c r="P1588" s="61" t="str">
        <f aca="false">IF(IsPro,IF($D1588="","",K1588+M1588+N1588+O1588),"")</f>
        <v/>
      </c>
      <c r="Q1588" s="60" t="str">
        <f aca="false">IF(IsPro,IF($D1588="","",IFERROR(MATCH($D1588,Items!$A$5:$A$504,0),"")),"")</f>
        <v/>
      </c>
      <c r="R1588" s="60" t="str">
        <f aca="false">IF(IsPro,IF($C1588="","",IFERROR(MATCH($C1588,Parties!$A$5:$A$304,0),"")),"")</f>
        <v/>
      </c>
      <c r="S1588" s="61" t="str">
        <f aca="false">IF(IsPro,IF($D1588="","",IF(OR($H1588="",$H1588="Credit"),0,P1588)),"")</f>
        <v/>
      </c>
    </row>
    <row r="1589" customFormat="false" ht="15" hidden="false" customHeight="false" outlineLevel="0" collapsed="false">
      <c r="A1589" s="55"/>
      <c r="B1589" s="56"/>
      <c r="C1589" s="56"/>
      <c r="D1589" s="56"/>
      <c r="E1589" s="57"/>
      <c r="F1589" s="58"/>
      <c r="G1589" s="59"/>
      <c r="H1589" s="56"/>
      <c r="I1589" s="60" t="str">
        <f aca="false">IF(IsPro,IF($D1589="","",IFERROR(INDEX(Items!$D$5:$D$504,Q1589),"")),IF($D1589="","","PRO PLAN"))</f>
        <v/>
      </c>
      <c r="J1589" s="61" t="str">
        <f aca="false">IF(IsPro,IF($D1589="","",IF($F1589="",IFERROR(INDEX(Items!$G$5:$G$504,Q1589),0),$F1589)),"")</f>
        <v/>
      </c>
      <c r="K1589" s="61" t="str">
        <f aca="false">IF(IsPro,IF($D1589="","",ROUND(N($E1589)*J1589*(1-N($G1589)),2)),"")</f>
        <v/>
      </c>
      <c r="L1589" s="62" t="str">
        <f aca="false">IF(IsPro,IF($D1589="","",IFERROR(INDEX(Items!$F$5:$F$504,Q1589),0)),"")</f>
        <v/>
      </c>
      <c r="M1589" s="61" t="str">
        <f aca="false">IF(IsPro,IF($D1589="","",IF(AND(R1589&lt;&gt;"",INDEX(Parties!$E$5:$E$304,R1589)&lt;&gt;"",INDEX(Parties!$E$5:$E$304,R1589)&lt;&gt;HomeState),0,ROUND(K1589*L1589/2,2))),"")</f>
        <v/>
      </c>
      <c r="N1589" s="61" t="str">
        <f aca="false">IF(IsPro,IF($D1589="","",M1589),"")</f>
        <v/>
      </c>
      <c r="O1589" s="61" t="str">
        <f aca="false">IF(IsPro,IF($D1589="","",IF(AND(R1589&lt;&gt;"",INDEX(Parties!$E$5:$E$304,R1589)&lt;&gt;"",INDEX(Parties!$E$5:$E$304,R1589)&lt;&gt;HomeState),ROUND(K1589*L1589,2),0)),"")</f>
        <v/>
      </c>
      <c r="P1589" s="61" t="str">
        <f aca="false">IF(IsPro,IF($D1589="","",K1589+M1589+N1589+O1589),"")</f>
        <v/>
      </c>
      <c r="Q1589" s="60" t="str">
        <f aca="false">IF(IsPro,IF($D1589="","",IFERROR(MATCH($D1589,Items!$A$5:$A$504,0),"")),"")</f>
        <v/>
      </c>
      <c r="R1589" s="60" t="str">
        <f aca="false">IF(IsPro,IF($C1589="","",IFERROR(MATCH($C1589,Parties!$A$5:$A$304,0),"")),"")</f>
        <v/>
      </c>
      <c r="S1589" s="61" t="str">
        <f aca="false">IF(IsPro,IF($D1589="","",IF(OR($H1589="",$H1589="Credit"),0,P1589)),"")</f>
        <v/>
      </c>
    </row>
    <row r="1590" customFormat="false" ht="15" hidden="false" customHeight="false" outlineLevel="0" collapsed="false">
      <c r="A1590" s="55"/>
      <c r="B1590" s="56"/>
      <c r="C1590" s="56"/>
      <c r="D1590" s="56"/>
      <c r="E1590" s="57"/>
      <c r="F1590" s="58"/>
      <c r="G1590" s="59"/>
      <c r="H1590" s="56"/>
      <c r="I1590" s="60" t="str">
        <f aca="false">IF(IsPro,IF($D1590="","",IFERROR(INDEX(Items!$D$5:$D$504,Q1590),"")),IF($D1590="","","PRO PLAN"))</f>
        <v/>
      </c>
      <c r="J1590" s="61" t="str">
        <f aca="false">IF(IsPro,IF($D1590="","",IF($F1590="",IFERROR(INDEX(Items!$G$5:$G$504,Q1590),0),$F1590)),"")</f>
        <v/>
      </c>
      <c r="K1590" s="61" t="str">
        <f aca="false">IF(IsPro,IF($D1590="","",ROUND(N($E1590)*J1590*(1-N($G1590)),2)),"")</f>
        <v/>
      </c>
      <c r="L1590" s="62" t="str">
        <f aca="false">IF(IsPro,IF($D1590="","",IFERROR(INDEX(Items!$F$5:$F$504,Q1590),0)),"")</f>
        <v/>
      </c>
      <c r="M1590" s="61" t="str">
        <f aca="false">IF(IsPro,IF($D1590="","",IF(AND(R1590&lt;&gt;"",INDEX(Parties!$E$5:$E$304,R1590)&lt;&gt;"",INDEX(Parties!$E$5:$E$304,R1590)&lt;&gt;HomeState),0,ROUND(K1590*L1590/2,2))),"")</f>
        <v/>
      </c>
      <c r="N1590" s="61" t="str">
        <f aca="false">IF(IsPro,IF($D1590="","",M1590),"")</f>
        <v/>
      </c>
      <c r="O1590" s="61" t="str">
        <f aca="false">IF(IsPro,IF($D1590="","",IF(AND(R1590&lt;&gt;"",INDEX(Parties!$E$5:$E$304,R1590)&lt;&gt;"",INDEX(Parties!$E$5:$E$304,R1590)&lt;&gt;HomeState),ROUND(K1590*L1590,2),0)),"")</f>
        <v/>
      </c>
      <c r="P1590" s="61" t="str">
        <f aca="false">IF(IsPro,IF($D1590="","",K1590+M1590+N1590+O1590),"")</f>
        <v/>
      </c>
      <c r="Q1590" s="60" t="str">
        <f aca="false">IF(IsPro,IF($D1590="","",IFERROR(MATCH($D1590,Items!$A$5:$A$504,0),"")),"")</f>
        <v/>
      </c>
      <c r="R1590" s="60" t="str">
        <f aca="false">IF(IsPro,IF($C1590="","",IFERROR(MATCH($C1590,Parties!$A$5:$A$304,0),"")),"")</f>
        <v/>
      </c>
      <c r="S1590" s="61" t="str">
        <f aca="false">IF(IsPro,IF($D1590="","",IF(OR($H1590="",$H1590="Credit"),0,P1590)),"")</f>
        <v/>
      </c>
    </row>
    <row r="1591" customFormat="false" ht="15" hidden="false" customHeight="false" outlineLevel="0" collapsed="false">
      <c r="A1591" s="55"/>
      <c r="B1591" s="56"/>
      <c r="C1591" s="56"/>
      <c r="D1591" s="56"/>
      <c r="E1591" s="57"/>
      <c r="F1591" s="58"/>
      <c r="G1591" s="59"/>
      <c r="H1591" s="56"/>
      <c r="I1591" s="60" t="str">
        <f aca="false">IF(IsPro,IF($D1591="","",IFERROR(INDEX(Items!$D$5:$D$504,Q1591),"")),IF($D1591="","","PRO PLAN"))</f>
        <v/>
      </c>
      <c r="J1591" s="61" t="str">
        <f aca="false">IF(IsPro,IF($D1591="","",IF($F1591="",IFERROR(INDEX(Items!$G$5:$G$504,Q1591),0),$F1591)),"")</f>
        <v/>
      </c>
      <c r="K1591" s="61" t="str">
        <f aca="false">IF(IsPro,IF($D1591="","",ROUND(N($E1591)*J1591*(1-N($G1591)),2)),"")</f>
        <v/>
      </c>
      <c r="L1591" s="62" t="str">
        <f aca="false">IF(IsPro,IF($D1591="","",IFERROR(INDEX(Items!$F$5:$F$504,Q1591),0)),"")</f>
        <v/>
      </c>
      <c r="M1591" s="61" t="str">
        <f aca="false">IF(IsPro,IF($D1591="","",IF(AND(R1591&lt;&gt;"",INDEX(Parties!$E$5:$E$304,R1591)&lt;&gt;"",INDEX(Parties!$E$5:$E$304,R1591)&lt;&gt;HomeState),0,ROUND(K1591*L1591/2,2))),"")</f>
        <v/>
      </c>
      <c r="N1591" s="61" t="str">
        <f aca="false">IF(IsPro,IF($D1591="","",M1591),"")</f>
        <v/>
      </c>
      <c r="O1591" s="61" t="str">
        <f aca="false">IF(IsPro,IF($D1591="","",IF(AND(R1591&lt;&gt;"",INDEX(Parties!$E$5:$E$304,R1591)&lt;&gt;"",INDEX(Parties!$E$5:$E$304,R1591)&lt;&gt;HomeState),ROUND(K1591*L1591,2),0)),"")</f>
        <v/>
      </c>
      <c r="P1591" s="61" t="str">
        <f aca="false">IF(IsPro,IF($D1591="","",K1591+M1591+N1591+O1591),"")</f>
        <v/>
      </c>
      <c r="Q1591" s="60" t="str">
        <f aca="false">IF(IsPro,IF($D1591="","",IFERROR(MATCH($D1591,Items!$A$5:$A$504,0),"")),"")</f>
        <v/>
      </c>
      <c r="R1591" s="60" t="str">
        <f aca="false">IF(IsPro,IF($C1591="","",IFERROR(MATCH($C1591,Parties!$A$5:$A$304,0),"")),"")</f>
        <v/>
      </c>
      <c r="S1591" s="61" t="str">
        <f aca="false">IF(IsPro,IF($D1591="","",IF(OR($H1591="",$H1591="Credit"),0,P1591)),"")</f>
        <v/>
      </c>
    </row>
    <row r="1592" customFormat="false" ht="15" hidden="false" customHeight="false" outlineLevel="0" collapsed="false">
      <c r="A1592" s="55"/>
      <c r="B1592" s="56"/>
      <c r="C1592" s="56"/>
      <c r="D1592" s="56"/>
      <c r="E1592" s="57"/>
      <c r="F1592" s="58"/>
      <c r="G1592" s="59"/>
      <c r="H1592" s="56"/>
      <c r="I1592" s="60" t="str">
        <f aca="false">IF(IsPro,IF($D1592="","",IFERROR(INDEX(Items!$D$5:$D$504,Q1592),"")),IF($D1592="","","PRO PLAN"))</f>
        <v/>
      </c>
      <c r="J1592" s="61" t="str">
        <f aca="false">IF(IsPro,IF($D1592="","",IF($F1592="",IFERROR(INDEX(Items!$G$5:$G$504,Q1592),0),$F1592)),"")</f>
        <v/>
      </c>
      <c r="K1592" s="61" t="str">
        <f aca="false">IF(IsPro,IF($D1592="","",ROUND(N($E1592)*J1592*(1-N($G1592)),2)),"")</f>
        <v/>
      </c>
      <c r="L1592" s="62" t="str">
        <f aca="false">IF(IsPro,IF($D1592="","",IFERROR(INDEX(Items!$F$5:$F$504,Q1592),0)),"")</f>
        <v/>
      </c>
      <c r="M1592" s="61" t="str">
        <f aca="false">IF(IsPro,IF($D1592="","",IF(AND(R1592&lt;&gt;"",INDEX(Parties!$E$5:$E$304,R1592)&lt;&gt;"",INDEX(Parties!$E$5:$E$304,R1592)&lt;&gt;HomeState),0,ROUND(K1592*L1592/2,2))),"")</f>
        <v/>
      </c>
      <c r="N1592" s="61" t="str">
        <f aca="false">IF(IsPro,IF($D1592="","",M1592),"")</f>
        <v/>
      </c>
      <c r="O1592" s="61" t="str">
        <f aca="false">IF(IsPro,IF($D1592="","",IF(AND(R1592&lt;&gt;"",INDEX(Parties!$E$5:$E$304,R1592)&lt;&gt;"",INDEX(Parties!$E$5:$E$304,R1592)&lt;&gt;HomeState),ROUND(K1592*L1592,2),0)),"")</f>
        <v/>
      </c>
      <c r="P1592" s="61" t="str">
        <f aca="false">IF(IsPro,IF($D1592="","",K1592+M1592+N1592+O1592),"")</f>
        <v/>
      </c>
      <c r="Q1592" s="60" t="str">
        <f aca="false">IF(IsPro,IF($D1592="","",IFERROR(MATCH($D1592,Items!$A$5:$A$504,0),"")),"")</f>
        <v/>
      </c>
      <c r="R1592" s="60" t="str">
        <f aca="false">IF(IsPro,IF($C1592="","",IFERROR(MATCH($C1592,Parties!$A$5:$A$304,0),"")),"")</f>
        <v/>
      </c>
      <c r="S1592" s="61" t="str">
        <f aca="false">IF(IsPro,IF($D1592="","",IF(OR($H1592="",$H1592="Credit"),0,P1592)),"")</f>
        <v/>
      </c>
    </row>
    <row r="1593" customFormat="false" ht="15" hidden="false" customHeight="false" outlineLevel="0" collapsed="false">
      <c r="A1593" s="55"/>
      <c r="B1593" s="56"/>
      <c r="C1593" s="56"/>
      <c r="D1593" s="56"/>
      <c r="E1593" s="57"/>
      <c r="F1593" s="58"/>
      <c r="G1593" s="59"/>
      <c r="H1593" s="56"/>
      <c r="I1593" s="60" t="str">
        <f aca="false">IF(IsPro,IF($D1593="","",IFERROR(INDEX(Items!$D$5:$D$504,Q1593),"")),IF($D1593="","","PRO PLAN"))</f>
        <v/>
      </c>
      <c r="J1593" s="61" t="str">
        <f aca="false">IF(IsPro,IF($D1593="","",IF($F1593="",IFERROR(INDEX(Items!$G$5:$G$504,Q1593),0),$F1593)),"")</f>
        <v/>
      </c>
      <c r="K1593" s="61" t="str">
        <f aca="false">IF(IsPro,IF($D1593="","",ROUND(N($E1593)*J1593*(1-N($G1593)),2)),"")</f>
        <v/>
      </c>
      <c r="L1593" s="62" t="str">
        <f aca="false">IF(IsPro,IF($D1593="","",IFERROR(INDEX(Items!$F$5:$F$504,Q1593),0)),"")</f>
        <v/>
      </c>
      <c r="M1593" s="61" t="str">
        <f aca="false">IF(IsPro,IF($D1593="","",IF(AND(R1593&lt;&gt;"",INDEX(Parties!$E$5:$E$304,R1593)&lt;&gt;"",INDEX(Parties!$E$5:$E$304,R1593)&lt;&gt;HomeState),0,ROUND(K1593*L1593/2,2))),"")</f>
        <v/>
      </c>
      <c r="N1593" s="61" t="str">
        <f aca="false">IF(IsPro,IF($D1593="","",M1593),"")</f>
        <v/>
      </c>
      <c r="O1593" s="61" t="str">
        <f aca="false">IF(IsPro,IF($D1593="","",IF(AND(R1593&lt;&gt;"",INDEX(Parties!$E$5:$E$304,R1593)&lt;&gt;"",INDEX(Parties!$E$5:$E$304,R1593)&lt;&gt;HomeState),ROUND(K1593*L1593,2),0)),"")</f>
        <v/>
      </c>
      <c r="P1593" s="61" t="str">
        <f aca="false">IF(IsPro,IF($D1593="","",K1593+M1593+N1593+O1593),"")</f>
        <v/>
      </c>
      <c r="Q1593" s="60" t="str">
        <f aca="false">IF(IsPro,IF($D1593="","",IFERROR(MATCH($D1593,Items!$A$5:$A$504,0),"")),"")</f>
        <v/>
      </c>
      <c r="R1593" s="60" t="str">
        <f aca="false">IF(IsPro,IF($C1593="","",IFERROR(MATCH($C1593,Parties!$A$5:$A$304,0),"")),"")</f>
        <v/>
      </c>
      <c r="S1593" s="61" t="str">
        <f aca="false">IF(IsPro,IF($D1593="","",IF(OR($H1593="",$H1593="Credit"),0,P1593)),"")</f>
        <v/>
      </c>
    </row>
    <row r="1594" customFormat="false" ht="15" hidden="false" customHeight="false" outlineLevel="0" collapsed="false">
      <c r="A1594" s="55"/>
      <c r="B1594" s="56"/>
      <c r="C1594" s="56"/>
      <c r="D1594" s="56"/>
      <c r="E1594" s="57"/>
      <c r="F1594" s="58"/>
      <c r="G1594" s="59"/>
      <c r="H1594" s="56"/>
      <c r="I1594" s="60" t="str">
        <f aca="false">IF(IsPro,IF($D1594="","",IFERROR(INDEX(Items!$D$5:$D$504,Q1594),"")),IF($D1594="","","PRO PLAN"))</f>
        <v/>
      </c>
      <c r="J1594" s="61" t="str">
        <f aca="false">IF(IsPro,IF($D1594="","",IF($F1594="",IFERROR(INDEX(Items!$G$5:$G$504,Q1594),0),$F1594)),"")</f>
        <v/>
      </c>
      <c r="K1594" s="61" t="str">
        <f aca="false">IF(IsPro,IF($D1594="","",ROUND(N($E1594)*J1594*(1-N($G1594)),2)),"")</f>
        <v/>
      </c>
      <c r="L1594" s="62" t="str">
        <f aca="false">IF(IsPro,IF($D1594="","",IFERROR(INDEX(Items!$F$5:$F$504,Q1594),0)),"")</f>
        <v/>
      </c>
      <c r="M1594" s="61" t="str">
        <f aca="false">IF(IsPro,IF($D1594="","",IF(AND(R1594&lt;&gt;"",INDEX(Parties!$E$5:$E$304,R1594)&lt;&gt;"",INDEX(Parties!$E$5:$E$304,R1594)&lt;&gt;HomeState),0,ROUND(K1594*L1594/2,2))),"")</f>
        <v/>
      </c>
      <c r="N1594" s="61" t="str">
        <f aca="false">IF(IsPro,IF($D1594="","",M1594),"")</f>
        <v/>
      </c>
      <c r="O1594" s="61" t="str">
        <f aca="false">IF(IsPro,IF($D1594="","",IF(AND(R1594&lt;&gt;"",INDEX(Parties!$E$5:$E$304,R1594)&lt;&gt;"",INDEX(Parties!$E$5:$E$304,R1594)&lt;&gt;HomeState),ROUND(K1594*L1594,2),0)),"")</f>
        <v/>
      </c>
      <c r="P1594" s="61" t="str">
        <f aca="false">IF(IsPro,IF($D1594="","",K1594+M1594+N1594+O1594),"")</f>
        <v/>
      </c>
      <c r="Q1594" s="60" t="str">
        <f aca="false">IF(IsPro,IF($D1594="","",IFERROR(MATCH($D1594,Items!$A$5:$A$504,0),"")),"")</f>
        <v/>
      </c>
      <c r="R1594" s="60" t="str">
        <f aca="false">IF(IsPro,IF($C1594="","",IFERROR(MATCH($C1594,Parties!$A$5:$A$304,0),"")),"")</f>
        <v/>
      </c>
      <c r="S1594" s="61" t="str">
        <f aca="false">IF(IsPro,IF($D1594="","",IF(OR($H1594="",$H1594="Credit"),0,P1594)),"")</f>
        <v/>
      </c>
    </row>
    <row r="1595" customFormat="false" ht="15" hidden="false" customHeight="false" outlineLevel="0" collapsed="false">
      <c r="A1595" s="55"/>
      <c r="B1595" s="56"/>
      <c r="C1595" s="56"/>
      <c r="D1595" s="56"/>
      <c r="E1595" s="57"/>
      <c r="F1595" s="58"/>
      <c r="G1595" s="59"/>
      <c r="H1595" s="56"/>
      <c r="I1595" s="60" t="str">
        <f aca="false">IF(IsPro,IF($D1595="","",IFERROR(INDEX(Items!$D$5:$D$504,Q1595),"")),IF($D1595="","","PRO PLAN"))</f>
        <v/>
      </c>
      <c r="J1595" s="61" t="str">
        <f aca="false">IF(IsPro,IF($D1595="","",IF($F1595="",IFERROR(INDEX(Items!$G$5:$G$504,Q1595),0),$F1595)),"")</f>
        <v/>
      </c>
      <c r="K1595" s="61" t="str">
        <f aca="false">IF(IsPro,IF($D1595="","",ROUND(N($E1595)*J1595*(1-N($G1595)),2)),"")</f>
        <v/>
      </c>
      <c r="L1595" s="62" t="str">
        <f aca="false">IF(IsPro,IF($D1595="","",IFERROR(INDEX(Items!$F$5:$F$504,Q1595),0)),"")</f>
        <v/>
      </c>
      <c r="M1595" s="61" t="str">
        <f aca="false">IF(IsPro,IF($D1595="","",IF(AND(R1595&lt;&gt;"",INDEX(Parties!$E$5:$E$304,R1595)&lt;&gt;"",INDEX(Parties!$E$5:$E$304,R1595)&lt;&gt;HomeState),0,ROUND(K1595*L1595/2,2))),"")</f>
        <v/>
      </c>
      <c r="N1595" s="61" t="str">
        <f aca="false">IF(IsPro,IF($D1595="","",M1595),"")</f>
        <v/>
      </c>
      <c r="O1595" s="61" t="str">
        <f aca="false">IF(IsPro,IF($D1595="","",IF(AND(R1595&lt;&gt;"",INDEX(Parties!$E$5:$E$304,R1595)&lt;&gt;"",INDEX(Parties!$E$5:$E$304,R1595)&lt;&gt;HomeState),ROUND(K1595*L1595,2),0)),"")</f>
        <v/>
      </c>
      <c r="P1595" s="61" t="str">
        <f aca="false">IF(IsPro,IF($D1595="","",K1595+M1595+N1595+O1595),"")</f>
        <v/>
      </c>
      <c r="Q1595" s="60" t="str">
        <f aca="false">IF(IsPro,IF($D1595="","",IFERROR(MATCH($D1595,Items!$A$5:$A$504,0),"")),"")</f>
        <v/>
      </c>
      <c r="R1595" s="60" t="str">
        <f aca="false">IF(IsPro,IF($C1595="","",IFERROR(MATCH($C1595,Parties!$A$5:$A$304,0),"")),"")</f>
        <v/>
      </c>
      <c r="S1595" s="61" t="str">
        <f aca="false">IF(IsPro,IF($D1595="","",IF(OR($H1595="",$H1595="Credit"),0,P1595)),"")</f>
        <v/>
      </c>
    </row>
    <row r="1596" customFormat="false" ht="15" hidden="false" customHeight="false" outlineLevel="0" collapsed="false">
      <c r="A1596" s="55"/>
      <c r="B1596" s="56"/>
      <c r="C1596" s="56"/>
      <c r="D1596" s="56"/>
      <c r="E1596" s="57"/>
      <c r="F1596" s="58"/>
      <c r="G1596" s="59"/>
      <c r="H1596" s="56"/>
      <c r="I1596" s="60" t="str">
        <f aca="false">IF(IsPro,IF($D1596="","",IFERROR(INDEX(Items!$D$5:$D$504,Q1596),"")),IF($D1596="","","PRO PLAN"))</f>
        <v/>
      </c>
      <c r="J1596" s="61" t="str">
        <f aca="false">IF(IsPro,IF($D1596="","",IF($F1596="",IFERROR(INDEX(Items!$G$5:$G$504,Q1596),0),$F1596)),"")</f>
        <v/>
      </c>
      <c r="K1596" s="61" t="str">
        <f aca="false">IF(IsPro,IF($D1596="","",ROUND(N($E1596)*J1596*(1-N($G1596)),2)),"")</f>
        <v/>
      </c>
      <c r="L1596" s="62" t="str">
        <f aca="false">IF(IsPro,IF($D1596="","",IFERROR(INDEX(Items!$F$5:$F$504,Q1596),0)),"")</f>
        <v/>
      </c>
      <c r="M1596" s="61" t="str">
        <f aca="false">IF(IsPro,IF($D1596="","",IF(AND(R1596&lt;&gt;"",INDEX(Parties!$E$5:$E$304,R1596)&lt;&gt;"",INDEX(Parties!$E$5:$E$304,R1596)&lt;&gt;HomeState),0,ROUND(K1596*L1596/2,2))),"")</f>
        <v/>
      </c>
      <c r="N1596" s="61" t="str">
        <f aca="false">IF(IsPro,IF($D1596="","",M1596),"")</f>
        <v/>
      </c>
      <c r="O1596" s="61" t="str">
        <f aca="false">IF(IsPro,IF($D1596="","",IF(AND(R1596&lt;&gt;"",INDEX(Parties!$E$5:$E$304,R1596)&lt;&gt;"",INDEX(Parties!$E$5:$E$304,R1596)&lt;&gt;HomeState),ROUND(K1596*L1596,2),0)),"")</f>
        <v/>
      </c>
      <c r="P1596" s="61" t="str">
        <f aca="false">IF(IsPro,IF($D1596="","",K1596+M1596+N1596+O1596),"")</f>
        <v/>
      </c>
      <c r="Q1596" s="60" t="str">
        <f aca="false">IF(IsPro,IF($D1596="","",IFERROR(MATCH($D1596,Items!$A$5:$A$504,0),"")),"")</f>
        <v/>
      </c>
      <c r="R1596" s="60" t="str">
        <f aca="false">IF(IsPro,IF($C1596="","",IFERROR(MATCH($C1596,Parties!$A$5:$A$304,0),"")),"")</f>
        <v/>
      </c>
      <c r="S1596" s="61" t="str">
        <f aca="false">IF(IsPro,IF($D1596="","",IF(OR($H1596="",$H1596="Credit"),0,P1596)),"")</f>
        <v/>
      </c>
    </row>
    <row r="1597" customFormat="false" ht="15" hidden="false" customHeight="false" outlineLevel="0" collapsed="false">
      <c r="A1597" s="55"/>
      <c r="B1597" s="56"/>
      <c r="C1597" s="56"/>
      <c r="D1597" s="56"/>
      <c r="E1597" s="57"/>
      <c r="F1597" s="58"/>
      <c r="G1597" s="59"/>
      <c r="H1597" s="56"/>
      <c r="I1597" s="60" t="str">
        <f aca="false">IF(IsPro,IF($D1597="","",IFERROR(INDEX(Items!$D$5:$D$504,Q1597),"")),IF($D1597="","","PRO PLAN"))</f>
        <v/>
      </c>
      <c r="J1597" s="61" t="str">
        <f aca="false">IF(IsPro,IF($D1597="","",IF($F1597="",IFERROR(INDEX(Items!$G$5:$G$504,Q1597),0),$F1597)),"")</f>
        <v/>
      </c>
      <c r="K1597" s="61" t="str">
        <f aca="false">IF(IsPro,IF($D1597="","",ROUND(N($E1597)*J1597*(1-N($G1597)),2)),"")</f>
        <v/>
      </c>
      <c r="L1597" s="62" t="str">
        <f aca="false">IF(IsPro,IF($D1597="","",IFERROR(INDEX(Items!$F$5:$F$504,Q1597),0)),"")</f>
        <v/>
      </c>
      <c r="M1597" s="61" t="str">
        <f aca="false">IF(IsPro,IF($D1597="","",IF(AND(R1597&lt;&gt;"",INDEX(Parties!$E$5:$E$304,R1597)&lt;&gt;"",INDEX(Parties!$E$5:$E$304,R1597)&lt;&gt;HomeState),0,ROUND(K1597*L1597/2,2))),"")</f>
        <v/>
      </c>
      <c r="N1597" s="61" t="str">
        <f aca="false">IF(IsPro,IF($D1597="","",M1597),"")</f>
        <v/>
      </c>
      <c r="O1597" s="61" t="str">
        <f aca="false">IF(IsPro,IF($D1597="","",IF(AND(R1597&lt;&gt;"",INDEX(Parties!$E$5:$E$304,R1597)&lt;&gt;"",INDEX(Parties!$E$5:$E$304,R1597)&lt;&gt;HomeState),ROUND(K1597*L1597,2),0)),"")</f>
        <v/>
      </c>
      <c r="P1597" s="61" t="str">
        <f aca="false">IF(IsPro,IF($D1597="","",K1597+M1597+N1597+O1597),"")</f>
        <v/>
      </c>
      <c r="Q1597" s="60" t="str">
        <f aca="false">IF(IsPro,IF($D1597="","",IFERROR(MATCH($D1597,Items!$A$5:$A$504,0),"")),"")</f>
        <v/>
      </c>
      <c r="R1597" s="60" t="str">
        <f aca="false">IF(IsPro,IF($C1597="","",IFERROR(MATCH($C1597,Parties!$A$5:$A$304,0),"")),"")</f>
        <v/>
      </c>
      <c r="S1597" s="61" t="str">
        <f aca="false">IF(IsPro,IF($D1597="","",IF(OR($H1597="",$H1597="Credit"),0,P1597)),"")</f>
        <v/>
      </c>
    </row>
    <row r="1598" customFormat="false" ht="15" hidden="false" customHeight="false" outlineLevel="0" collapsed="false">
      <c r="A1598" s="55"/>
      <c r="B1598" s="56"/>
      <c r="C1598" s="56"/>
      <c r="D1598" s="56"/>
      <c r="E1598" s="57"/>
      <c r="F1598" s="58"/>
      <c r="G1598" s="59"/>
      <c r="H1598" s="56"/>
      <c r="I1598" s="60" t="str">
        <f aca="false">IF(IsPro,IF($D1598="","",IFERROR(INDEX(Items!$D$5:$D$504,Q1598),"")),IF($D1598="","","PRO PLAN"))</f>
        <v/>
      </c>
      <c r="J1598" s="61" t="str">
        <f aca="false">IF(IsPro,IF($D1598="","",IF($F1598="",IFERROR(INDEX(Items!$G$5:$G$504,Q1598),0),$F1598)),"")</f>
        <v/>
      </c>
      <c r="K1598" s="61" t="str">
        <f aca="false">IF(IsPro,IF($D1598="","",ROUND(N($E1598)*J1598*(1-N($G1598)),2)),"")</f>
        <v/>
      </c>
      <c r="L1598" s="62" t="str">
        <f aca="false">IF(IsPro,IF($D1598="","",IFERROR(INDEX(Items!$F$5:$F$504,Q1598),0)),"")</f>
        <v/>
      </c>
      <c r="M1598" s="61" t="str">
        <f aca="false">IF(IsPro,IF($D1598="","",IF(AND(R1598&lt;&gt;"",INDEX(Parties!$E$5:$E$304,R1598)&lt;&gt;"",INDEX(Parties!$E$5:$E$304,R1598)&lt;&gt;HomeState),0,ROUND(K1598*L1598/2,2))),"")</f>
        <v/>
      </c>
      <c r="N1598" s="61" t="str">
        <f aca="false">IF(IsPro,IF($D1598="","",M1598),"")</f>
        <v/>
      </c>
      <c r="O1598" s="61" t="str">
        <f aca="false">IF(IsPro,IF($D1598="","",IF(AND(R1598&lt;&gt;"",INDEX(Parties!$E$5:$E$304,R1598)&lt;&gt;"",INDEX(Parties!$E$5:$E$304,R1598)&lt;&gt;HomeState),ROUND(K1598*L1598,2),0)),"")</f>
        <v/>
      </c>
      <c r="P1598" s="61" t="str">
        <f aca="false">IF(IsPro,IF($D1598="","",K1598+M1598+N1598+O1598),"")</f>
        <v/>
      </c>
      <c r="Q1598" s="60" t="str">
        <f aca="false">IF(IsPro,IF($D1598="","",IFERROR(MATCH($D1598,Items!$A$5:$A$504,0),"")),"")</f>
        <v/>
      </c>
      <c r="R1598" s="60" t="str">
        <f aca="false">IF(IsPro,IF($C1598="","",IFERROR(MATCH($C1598,Parties!$A$5:$A$304,0),"")),"")</f>
        <v/>
      </c>
      <c r="S1598" s="61" t="str">
        <f aca="false">IF(IsPro,IF($D1598="","",IF(OR($H1598="",$H1598="Credit"),0,P1598)),"")</f>
        <v/>
      </c>
    </row>
    <row r="1599" customFormat="false" ht="15" hidden="false" customHeight="false" outlineLevel="0" collapsed="false">
      <c r="A1599" s="55"/>
      <c r="B1599" s="56"/>
      <c r="C1599" s="56"/>
      <c r="D1599" s="56"/>
      <c r="E1599" s="57"/>
      <c r="F1599" s="58"/>
      <c r="G1599" s="59"/>
      <c r="H1599" s="56"/>
      <c r="I1599" s="60" t="str">
        <f aca="false">IF(IsPro,IF($D1599="","",IFERROR(INDEX(Items!$D$5:$D$504,Q1599),"")),IF($D1599="","","PRO PLAN"))</f>
        <v/>
      </c>
      <c r="J1599" s="61" t="str">
        <f aca="false">IF(IsPro,IF($D1599="","",IF($F1599="",IFERROR(INDEX(Items!$G$5:$G$504,Q1599),0),$F1599)),"")</f>
        <v/>
      </c>
      <c r="K1599" s="61" t="str">
        <f aca="false">IF(IsPro,IF($D1599="","",ROUND(N($E1599)*J1599*(1-N($G1599)),2)),"")</f>
        <v/>
      </c>
      <c r="L1599" s="62" t="str">
        <f aca="false">IF(IsPro,IF($D1599="","",IFERROR(INDEX(Items!$F$5:$F$504,Q1599),0)),"")</f>
        <v/>
      </c>
      <c r="M1599" s="61" t="str">
        <f aca="false">IF(IsPro,IF($D1599="","",IF(AND(R1599&lt;&gt;"",INDEX(Parties!$E$5:$E$304,R1599)&lt;&gt;"",INDEX(Parties!$E$5:$E$304,R1599)&lt;&gt;HomeState),0,ROUND(K1599*L1599/2,2))),"")</f>
        <v/>
      </c>
      <c r="N1599" s="61" t="str">
        <f aca="false">IF(IsPro,IF($D1599="","",M1599),"")</f>
        <v/>
      </c>
      <c r="O1599" s="61" t="str">
        <f aca="false">IF(IsPro,IF($D1599="","",IF(AND(R1599&lt;&gt;"",INDEX(Parties!$E$5:$E$304,R1599)&lt;&gt;"",INDEX(Parties!$E$5:$E$304,R1599)&lt;&gt;HomeState),ROUND(K1599*L1599,2),0)),"")</f>
        <v/>
      </c>
      <c r="P1599" s="61" t="str">
        <f aca="false">IF(IsPro,IF($D1599="","",K1599+M1599+N1599+O1599),"")</f>
        <v/>
      </c>
      <c r="Q1599" s="60" t="str">
        <f aca="false">IF(IsPro,IF($D1599="","",IFERROR(MATCH($D1599,Items!$A$5:$A$504,0),"")),"")</f>
        <v/>
      </c>
      <c r="R1599" s="60" t="str">
        <f aca="false">IF(IsPro,IF($C1599="","",IFERROR(MATCH($C1599,Parties!$A$5:$A$304,0),"")),"")</f>
        <v/>
      </c>
      <c r="S1599" s="61" t="str">
        <f aca="false">IF(IsPro,IF($D1599="","",IF(OR($H1599="",$H1599="Credit"),0,P1599)),"")</f>
        <v/>
      </c>
    </row>
    <row r="1600" customFormat="false" ht="15" hidden="false" customHeight="false" outlineLevel="0" collapsed="false">
      <c r="A1600" s="55"/>
      <c r="B1600" s="56"/>
      <c r="C1600" s="56"/>
      <c r="D1600" s="56"/>
      <c r="E1600" s="57"/>
      <c r="F1600" s="58"/>
      <c r="G1600" s="59"/>
      <c r="H1600" s="56"/>
      <c r="I1600" s="60" t="str">
        <f aca="false">IF(IsPro,IF($D1600="","",IFERROR(INDEX(Items!$D$5:$D$504,Q1600),"")),IF($D1600="","","PRO PLAN"))</f>
        <v/>
      </c>
      <c r="J1600" s="61" t="str">
        <f aca="false">IF(IsPro,IF($D1600="","",IF($F1600="",IFERROR(INDEX(Items!$G$5:$G$504,Q1600),0),$F1600)),"")</f>
        <v/>
      </c>
      <c r="K1600" s="61" t="str">
        <f aca="false">IF(IsPro,IF($D1600="","",ROUND(N($E1600)*J1600*(1-N($G1600)),2)),"")</f>
        <v/>
      </c>
      <c r="L1600" s="62" t="str">
        <f aca="false">IF(IsPro,IF($D1600="","",IFERROR(INDEX(Items!$F$5:$F$504,Q1600),0)),"")</f>
        <v/>
      </c>
      <c r="M1600" s="61" t="str">
        <f aca="false">IF(IsPro,IF($D1600="","",IF(AND(R1600&lt;&gt;"",INDEX(Parties!$E$5:$E$304,R1600)&lt;&gt;"",INDEX(Parties!$E$5:$E$304,R1600)&lt;&gt;HomeState),0,ROUND(K1600*L1600/2,2))),"")</f>
        <v/>
      </c>
      <c r="N1600" s="61" t="str">
        <f aca="false">IF(IsPro,IF($D1600="","",M1600),"")</f>
        <v/>
      </c>
      <c r="O1600" s="61" t="str">
        <f aca="false">IF(IsPro,IF($D1600="","",IF(AND(R1600&lt;&gt;"",INDEX(Parties!$E$5:$E$304,R1600)&lt;&gt;"",INDEX(Parties!$E$5:$E$304,R1600)&lt;&gt;HomeState),ROUND(K1600*L1600,2),0)),"")</f>
        <v/>
      </c>
      <c r="P1600" s="61" t="str">
        <f aca="false">IF(IsPro,IF($D1600="","",K1600+M1600+N1600+O1600),"")</f>
        <v/>
      </c>
      <c r="Q1600" s="60" t="str">
        <f aca="false">IF(IsPro,IF($D1600="","",IFERROR(MATCH($D1600,Items!$A$5:$A$504,0),"")),"")</f>
        <v/>
      </c>
      <c r="R1600" s="60" t="str">
        <f aca="false">IF(IsPro,IF($C1600="","",IFERROR(MATCH($C1600,Parties!$A$5:$A$304,0),"")),"")</f>
        <v/>
      </c>
      <c r="S1600" s="61" t="str">
        <f aca="false">IF(IsPro,IF($D1600="","",IF(OR($H1600="",$H1600="Credit"),0,P1600)),"")</f>
        <v/>
      </c>
    </row>
    <row r="1601" customFormat="false" ht="15" hidden="false" customHeight="false" outlineLevel="0" collapsed="false">
      <c r="A1601" s="55"/>
      <c r="B1601" s="56"/>
      <c r="C1601" s="56"/>
      <c r="D1601" s="56"/>
      <c r="E1601" s="57"/>
      <c r="F1601" s="58"/>
      <c r="G1601" s="59"/>
      <c r="H1601" s="56"/>
      <c r="I1601" s="60" t="str">
        <f aca="false">IF(IsPro,IF($D1601="","",IFERROR(INDEX(Items!$D$5:$D$504,Q1601),"")),IF($D1601="","","PRO PLAN"))</f>
        <v/>
      </c>
      <c r="J1601" s="61" t="str">
        <f aca="false">IF(IsPro,IF($D1601="","",IF($F1601="",IFERROR(INDEX(Items!$G$5:$G$504,Q1601),0),$F1601)),"")</f>
        <v/>
      </c>
      <c r="K1601" s="61" t="str">
        <f aca="false">IF(IsPro,IF($D1601="","",ROUND(N($E1601)*J1601*(1-N($G1601)),2)),"")</f>
        <v/>
      </c>
      <c r="L1601" s="62" t="str">
        <f aca="false">IF(IsPro,IF($D1601="","",IFERROR(INDEX(Items!$F$5:$F$504,Q1601),0)),"")</f>
        <v/>
      </c>
      <c r="M1601" s="61" t="str">
        <f aca="false">IF(IsPro,IF($D1601="","",IF(AND(R1601&lt;&gt;"",INDEX(Parties!$E$5:$E$304,R1601)&lt;&gt;"",INDEX(Parties!$E$5:$E$304,R1601)&lt;&gt;HomeState),0,ROUND(K1601*L1601/2,2))),"")</f>
        <v/>
      </c>
      <c r="N1601" s="61" t="str">
        <f aca="false">IF(IsPro,IF($D1601="","",M1601),"")</f>
        <v/>
      </c>
      <c r="O1601" s="61" t="str">
        <f aca="false">IF(IsPro,IF($D1601="","",IF(AND(R1601&lt;&gt;"",INDEX(Parties!$E$5:$E$304,R1601)&lt;&gt;"",INDEX(Parties!$E$5:$E$304,R1601)&lt;&gt;HomeState),ROUND(K1601*L1601,2),0)),"")</f>
        <v/>
      </c>
      <c r="P1601" s="61" t="str">
        <f aca="false">IF(IsPro,IF($D1601="","",K1601+M1601+N1601+O1601),"")</f>
        <v/>
      </c>
      <c r="Q1601" s="60" t="str">
        <f aca="false">IF(IsPro,IF($D1601="","",IFERROR(MATCH($D1601,Items!$A$5:$A$504,0),"")),"")</f>
        <v/>
      </c>
      <c r="R1601" s="60" t="str">
        <f aca="false">IF(IsPro,IF($C1601="","",IFERROR(MATCH($C1601,Parties!$A$5:$A$304,0),"")),"")</f>
        <v/>
      </c>
      <c r="S1601" s="61" t="str">
        <f aca="false">IF(IsPro,IF($D1601="","",IF(OR($H1601="",$H1601="Credit"),0,P1601)),"")</f>
        <v/>
      </c>
    </row>
    <row r="1602" customFormat="false" ht="15" hidden="false" customHeight="false" outlineLevel="0" collapsed="false">
      <c r="A1602" s="55"/>
      <c r="B1602" s="56"/>
      <c r="C1602" s="56"/>
      <c r="D1602" s="56"/>
      <c r="E1602" s="57"/>
      <c r="F1602" s="58"/>
      <c r="G1602" s="59"/>
      <c r="H1602" s="56"/>
      <c r="I1602" s="60" t="str">
        <f aca="false">IF(IsPro,IF($D1602="","",IFERROR(INDEX(Items!$D$5:$D$504,Q1602),"")),IF($D1602="","","PRO PLAN"))</f>
        <v/>
      </c>
      <c r="J1602" s="61" t="str">
        <f aca="false">IF(IsPro,IF($D1602="","",IF($F1602="",IFERROR(INDEX(Items!$G$5:$G$504,Q1602),0),$F1602)),"")</f>
        <v/>
      </c>
      <c r="K1602" s="61" t="str">
        <f aca="false">IF(IsPro,IF($D1602="","",ROUND(N($E1602)*J1602*(1-N($G1602)),2)),"")</f>
        <v/>
      </c>
      <c r="L1602" s="62" t="str">
        <f aca="false">IF(IsPro,IF($D1602="","",IFERROR(INDEX(Items!$F$5:$F$504,Q1602),0)),"")</f>
        <v/>
      </c>
      <c r="M1602" s="61" t="str">
        <f aca="false">IF(IsPro,IF($D1602="","",IF(AND(R1602&lt;&gt;"",INDEX(Parties!$E$5:$E$304,R1602)&lt;&gt;"",INDEX(Parties!$E$5:$E$304,R1602)&lt;&gt;HomeState),0,ROUND(K1602*L1602/2,2))),"")</f>
        <v/>
      </c>
      <c r="N1602" s="61" t="str">
        <f aca="false">IF(IsPro,IF($D1602="","",M1602),"")</f>
        <v/>
      </c>
      <c r="O1602" s="61" t="str">
        <f aca="false">IF(IsPro,IF($D1602="","",IF(AND(R1602&lt;&gt;"",INDEX(Parties!$E$5:$E$304,R1602)&lt;&gt;"",INDEX(Parties!$E$5:$E$304,R1602)&lt;&gt;HomeState),ROUND(K1602*L1602,2),0)),"")</f>
        <v/>
      </c>
      <c r="P1602" s="61" t="str">
        <f aca="false">IF(IsPro,IF($D1602="","",K1602+M1602+N1602+O1602),"")</f>
        <v/>
      </c>
      <c r="Q1602" s="60" t="str">
        <f aca="false">IF(IsPro,IF($D1602="","",IFERROR(MATCH($D1602,Items!$A$5:$A$504,0),"")),"")</f>
        <v/>
      </c>
      <c r="R1602" s="60" t="str">
        <f aca="false">IF(IsPro,IF($C1602="","",IFERROR(MATCH($C1602,Parties!$A$5:$A$304,0),"")),"")</f>
        <v/>
      </c>
      <c r="S1602" s="61" t="str">
        <f aca="false">IF(IsPro,IF($D1602="","",IF(OR($H1602="",$H1602="Credit"),0,P1602)),"")</f>
        <v/>
      </c>
    </row>
    <row r="1603" customFormat="false" ht="15" hidden="false" customHeight="false" outlineLevel="0" collapsed="false">
      <c r="A1603" s="55"/>
      <c r="B1603" s="56"/>
      <c r="C1603" s="56"/>
      <c r="D1603" s="56"/>
      <c r="E1603" s="57"/>
      <c r="F1603" s="58"/>
      <c r="G1603" s="59"/>
      <c r="H1603" s="56"/>
      <c r="I1603" s="60" t="str">
        <f aca="false">IF(IsPro,IF($D1603="","",IFERROR(INDEX(Items!$D$5:$D$504,Q1603),"")),IF($D1603="","","PRO PLAN"))</f>
        <v/>
      </c>
      <c r="J1603" s="61" t="str">
        <f aca="false">IF(IsPro,IF($D1603="","",IF($F1603="",IFERROR(INDEX(Items!$G$5:$G$504,Q1603),0),$F1603)),"")</f>
        <v/>
      </c>
      <c r="K1603" s="61" t="str">
        <f aca="false">IF(IsPro,IF($D1603="","",ROUND(N($E1603)*J1603*(1-N($G1603)),2)),"")</f>
        <v/>
      </c>
      <c r="L1603" s="62" t="str">
        <f aca="false">IF(IsPro,IF($D1603="","",IFERROR(INDEX(Items!$F$5:$F$504,Q1603),0)),"")</f>
        <v/>
      </c>
      <c r="M1603" s="61" t="str">
        <f aca="false">IF(IsPro,IF($D1603="","",IF(AND(R1603&lt;&gt;"",INDEX(Parties!$E$5:$E$304,R1603)&lt;&gt;"",INDEX(Parties!$E$5:$E$304,R1603)&lt;&gt;HomeState),0,ROUND(K1603*L1603/2,2))),"")</f>
        <v/>
      </c>
      <c r="N1603" s="61" t="str">
        <f aca="false">IF(IsPro,IF($D1603="","",M1603),"")</f>
        <v/>
      </c>
      <c r="O1603" s="61" t="str">
        <f aca="false">IF(IsPro,IF($D1603="","",IF(AND(R1603&lt;&gt;"",INDEX(Parties!$E$5:$E$304,R1603)&lt;&gt;"",INDEX(Parties!$E$5:$E$304,R1603)&lt;&gt;HomeState),ROUND(K1603*L1603,2),0)),"")</f>
        <v/>
      </c>
      <c r="P1603" s="61" t="str">
        <f aca="false">IF(IsPro,IF($D1603="","",K1603+M1603+N1603+O1603),"")</f>
        <v/>
      </c>
      <c r="Q1603" s="60" t="str">
        <f aca="false">IF(IsPro,IF($D1603="","",IFERROR(MATCH($D1603,Items!$A$5:$A$504,0),"")),"")</f>
        <v/>
      </c>
      <c r="R1603" s="60" t="str">
        <f aca="false">IF(IsPro,IF($C1603="","",IFERROR(MATCH($C1603,Parties!$A$5:$A$304,0),"")),"")</f>
        <v/>
      </c>
      <c r="S1603" s="61" t="str">
        <f aca="false">IF(IsPro,IF($D1603="","",IF(OR($H1603="",$H1603="Credit"),0,P1603)),"")</f>
        <v/>
      </c>
    </row>
    <row r="1604" customFormat="false" ht="15" hidden="false" customHeight="false" outlineLevel="0" collapsed="false">
      <c r="A1604" s="55"/>
      <c r="B1604" s="56"/>
      <c r="C1604" s="56"/>
      <c r="D1604" s="56"/>
      <c r="E1604" s="57"/>
      <c r="F1604" s="58"/>
      <c r="G1604" s="59"/>
      <c r="H1604" s="56"/>
      <c r="I1604" s="60" t="str">
        <f aca="false">IF(IsPro,IF($D1604="","",IFERROR(INDEX(Items!$D$5:$D$504,Q1604),"")),IF($D1604="","","PRO PLAN"))</f>
        <v/>
      </c>
      <c r="J1604" s="61" t="str">
        <f aca="false">IF(IsPro,IF($D1604="","",IF($F1604="",IFERROR(INDEX(Items!$G$5:$G$504,Q1604),0),$F1604)),"")</f>
        <v/>
      </c>
      <c r="K1604" s="61" t="str">
        <f aca="false">IF(IsPro,IF($D1604="","",ROUND(N($E1604)*J1604*(1-N($G1604)),2)),"")</f>
        <v/>
      </c>
      <c r="L1604" s="62" t="str">
        <f aca="false">IF(IsPro,IF($D1604="","",IFERROR(INDEX(Items!$F$5:$F$504,Q1604),0)),"")</f>
        <v/>
      </c>
      <c r="M1604" s="61" t="str">
        <f aca="false">IF(IsPro,IF($D1604="","",IF(AND(R1604&lt;&gt;"",INDEX(Parties!$E$5:$E$304,R1604)&lt;&gt;"",INDEX(Parties!$E$5:$E$304,R1604)&lt;&gt;HomeState),0,ROUND(K1604*L1604/2,2))),"")</f>
        <v/>
      </c>
      <c r="N1604" s="61" t="str">
        <f aca="false">IF(IsPro,IF($D1604="","",M1604),"")</f>
        <v/>
      </c>
      <c r="O1604" s="61" t="str">
        <f aca="false">IF(IsPro,IF($D1604="","",IF(AND(R1604&lt;&gt;"",INDEX(Parties!$E$5:$E$304,R1604)&lt;&gt;"",INDEX(Parties!$E$5:$E$304,R1604)&lt;&gt;HomeState),ROUND(K1604*L1604,2),0)),"")</f>
        <v/>
      </c>
      <c r="P1604" s="61" t="str">
        <f aca="false">IF(IsPro,IF($D1604="","",K1604+M1604+N1604+O1604),"")</f>
        <v/>
      </c>
      <c r="Q1604" s="60" t="str">
        <f aca="false">IF(IsPro,IF($D1604="","",IFERROR(MATCH($D1604,Items!$A$5:$A$504,0),"")),"")</f>
        <v/>
      </c>
      <c r="R1604" s="60" t="str">
        <f aca="false">IF(IsPro,IF($C1604="","",IFERROR(MATCH($C1604,Parties!$A$5:$A$304,0),"")),"")</f>
        <v/>
      </c>
      <c r="S1604" s="61" t="str">
        <f aca="false">IF(IsPro,IF($D1604="","",IF(OR($H1604="",$H1604="Credit"),0,P1604)),"")</f>
        <v/>
      </c>
    </row>
    <row r="1605" customFormat="false" ht="15" hidden="false" customHeight="false" outlineLevel="0" collapsed="false">
      <c r="A1605" s="55"/>
      <c r="B1605" s="56"/>
      <c r="C1605" s="56"/>
      <c r="D1605" s="56"/>
      <c r="E1605" s="57"/>
      <c r="F1605" s="58"/>
      <c r="G1605" s="59"/>
      <c r="H1605" s="56"/>
      <c r="I1605" s="60" t="str">
        <f aca="false">IF(IsPro,IF($D1605="","",IFERROR(INDEX(Items!$D$5:$D$504,Q1605),"")),IF($D1605="","","PRO PLAN"))</f>
        <v/>
      </c>
      <c r="J1605" s="61" t="str">
        <f aca="false">IF(IsPro,IF($D1605="","",IF($F1605="",IFERROR(INDEX(Items!$G$5:$G$504,Q1605),0),$F1605)),"")</f>
        <v/>
      </c>
      <c r="K1605" s="61" t="str">
        <f aca="false">IF(IsPro,IF($D1605="","",ROUND(N($E1605)*J1605*(1-N($G1605)),2)),"")</f>
        <v/>
      </c>
      <c r="L1605" s="62" t="str">
        <f aca="false">IF(IsPro,IF($D1605="","",IFERROR(INDEX(Items!$F$5:$F$504,Q1605),0)),"")</f>
        <v/>
      </c>
      <c r="M1605" s="61" t="str">
        <f aca="false">IF(IsPro,IF($D1605="","",IF(AND(R1605&lt;&gt;"",INDEX(Parties!$E$5:$E$304,R1605)&lt;&gt;"",INDEX(Parties!$E$5:$E$304,R1605)&lt;&gt;HomeState),0,ROUND(K1605*L1605/2,2))),"")</f>
        <v/>
      </c>
      <c r="N1605" s="61" t="str">
        <f aca="false">IF(IsPro,IF($D1605="","",M1605),"")</f>
        <v/>
      </c>
      <c r="O1605" s="61" t="str">
        <f aca="false">IF(IsPro,IF($D1605="","",IF(AND(R1605&lt;&gt;"",INDEX(Parties!$E$5:$E$304,R1605)&lt;&gt;"",INDEX(Parties!$E$5:$E$304,R1605)&lt;&gt;HomeState),ROUND(K1605*L1605,2),0)),"")</f>
        <v/>
      </c>
      <c r="P1605" s="61" t="str">
        <f aca="false">IF(IsPro,IF($D1605="","",K1605+M1605+N1605+O1605),"")</f>
        <v/>
      </c>
      <c r="Q1605" s="60" t="str">
        <f aca="false">IF(IsPro,IF($D1605="","",IFERROR(MATCH($D1605,Items!$A$5:$A$504,0),"")),"")</f>
        <v/>
      </c>
      <c r="R1605" s="60" t="str">
        <f aca="false">IF(IsPro,IF($C1605="","",IFERROR(MATCH($C1605,Parties!$A$5:$A$304,0),"")),"")</f>
        <v/>
      </c>
      <c r="S1605" s="61" t="str">
        <f aca="false">IF(IsPro,IF($D1605="","",IF(OR($H1605="",$H1605="Credit"),0,P1605)),"")</f>
        <v/>
      </c>
    </row>
    <row r="1606" customFormat="false" ht="15" hidden="false" customHeight="false" outlineLevel="0" collapsed="false">
      <c r="A1606" s="55"/>
      <c r="B1606" s="56"/>
      <c r="C1606" s="56"/>
      <c r="D1606" s="56"/>
      <c r="E1606" s="57"/>
      <c r="F1606" s="58"/>
      <c r="G1606" s="59"/>
      <c r="H1606" s="56"/>
      <c r="I1606" s="60" t="str">
        <f aca="false">IF(IsPro,IF($D1606="","",IFERROR(INDEX(Items!$D$5:$D$504,Q1606),"")),IF($D1606="","","PRO PLAN"))</f>
        <v/>
      </c>
      <c r="J1606" s="61" t="str">
        <f aca="false">IF(IsPro,IF($D1606="","",IF($F1606="",IFERROR(INDEX(Items!$G$5:$G$504,Q1606),0),$F1606)),"")</f>
        <v/>
      </c>
      <c r="K1606" s="61" t="str">
        <f aca="false">IF(IsPro,IF($D1606="","",ROUND(N($E1606)*J1606*(1-N($G1606)),2)),"")</f>
        <v/>
      </c>
      <c r="L1606" s="62" t="str">
        <f aca="false">IF(IsPro,IF($D1606="","",IFERROR(INDEX(Items!$F$5:$F$504,Q1606),0)),"")</f>
        <v/>
      </c>
      <c r="M1606" s="61" t="str">
        <f aca="false">IF(IsPro,IF($D1606="","",IF(AND(R1606&lt;&gt;"",INDEX(Parties!$E$5:$E$304,R1606)&lt;&gt;"",INDEX(Parties!$E$5:$E$304,R1606)&lt;&gt;HomeState),0,ROUND(K1606*L1606/2,2))),"")</f>
        <v/>
      </c>
      <c r="N1606" s="61" t="str">
        <f aca="false">IF(IsPro,IF($D1606="","",M1606),"")</f>
        <v/>
      </c>
      <c r="O1606" s="61" t="str">
        <f aca="false">IF(IsPro,IF($D1606="","",IF(AND(R1606&lt;&gt;"",INDEX(Parties!$E$5:$E$304,R1606)&lt;&gt;"",INDEX(Parties!$E$5:$E$304,R1606)&lt;&gt;HomeState),ROUND(K1606*L1606,2),0)),"")</f>
        <v/>
      </c>
      <c r="P1606" s="61" t="str">
        <f aca="false">IF(IsPro,IF($D1606="","",K1606+M1606+N1606+O1606),"")</f>
        <v/>
      </c>
      <c r="Q1606" s="60" t="str">
        <f aca="false">IF(IsPro,IF($D1606="","",IFERROR(MATCH($D1606,Items!$A$5:$A$504,0),"")),"")</f>
        <v/>
      </c>
      <c r="R1606" s="60" t="str">
        <f aca="false">IF(IsPro,IF($C1606="","",IFERROR(MATCH($C1606,Parties!$A$5:$A$304,0),"")),"")</f>
        <v/>
      </c>
      <c r="S1606" s="61" t="str">
        <f aca="false">IF(IsPro,IF($D1606="","",IF(OR($H1606="",$H1606="Credit"),0,P1606)),"")</f>
        <v/>
      </c>
    </row>
    <row r="1607" customFormat="false" ht="15" hidden="false" customHeight="false" outlineLevel="0" collapsed="false">
      <c r="A1607" s="55"/>
      <c r="B1607" s="56"/>
      <c r="C1607" s="56"/>
      <c r="D1607" s="56"/>
      <c r="E1607" s="57"/>
      <c r="F1607" s="58"/>
      <c r="G1607" s="59"/>
      <c r="H1607" s="56"/>
      <c r="I1607" s="60" t="str">
        <f aca="false">IF(IsPro,IF($D1607="","",IFERROR(INDEX(Items!$D$5:$D$504,Q1607),"")),IF($D1607="","","PRO PLAN"))</f>
        <v/>
      </c>
      <c r="J1607" s="61" t="str">
        <f aca="false">IF(IsPro,IF($D1607="","",IF($F1607="",IFERROR(INDEX(Items!$G$5:$G$504,Q1607),0),$F1607)),"")</f>
        <v/>
      </c>
      <c r="K1607" s="61" t="str">
        <f aca="false">IF(IsPro,IF($D1607="","",ROUND(N($E1607)*J1607*(1-N($G1607)),2)),"")</f>
        <v/>
      </c>
      <c r="L1607" s="62" t="str">
        <f aca="false">IF(IsPro,IF($D1607="","",IFERROR(INDEX(Items!$F$5:$F$504,Q1607),0)),"")</f>
        <v/>
      </c>
      <c r="M1607" s="61" t="str">
        <f aca="false">IF(IsPro,IF($D1607="","",IF(AND(R1607&lt;&gt;"",INDEX(Parties!$E$5:$E$304,R1607)&lt;&gt;"",INDEX(Parties!$E$5:$E$304,R1607)&lt;&gt;HomeState),0,ROUND(K1607*L1607/2,2))),"")</f>
        <v/>
      </c>
      <c r="N1607" s="61" t="str">
        <f aca="false">IF(IsPro,IF($D1607="","",M1607),"")</f>
        <v/>
      </c>
      <c r="O1607" s="61" t="str">
        <f aca="false">IF(IsPro,IF($D1607="","",IF(AND(R1607&lt;&gt;"",INDEX(Parties!$E$5:$E$304,R1607)&lt;&gt;"",INDEX(Parties!$E$5:$E$304,R1607)&lt;&gt;HomeState),ROUND(K1607*L1607,2),0)),"")</f>
        <v/>
      </c>
      <c r="P1607" s="61" t="str">
        <f aca="false">IF(IsPro,IF($D1607="","",K1607+M1607+N1607+O1607),"")</f>
        <v/>
      </c>
      <c r="Q1607" s="60" t="str">
        <f aca="false">IF(IsPro,IF($D1607="","",IFERROR(MATCH($D1607,Items!$A$5:$A$504,0),"")),"")</f>
        <v/>
      </c>
      <c r="R1607" s="60" t="str">
        <f aca="false">IF(IsPro,IF($C1607="","",IFERROR(MATCH($C1607,Parties!$A$5:$A$304,0),"")),"")</f>
        <v/>
      </c>
      <c r="S1607" s="61" t="str">
        <f aca="false">IF(IsPro,IF($D1607="","",IF(OR($H1607="",$H1607="Credit"),0,P1607)),"")</f>
        <v/>
      </c>
    </row>
    <row r="1608" customFormat="false" ht="15" hidden="false" customHeight="false" outlineLevel="0" collapsed="false">
      <c r="A1608" s="55"/>
      <c r="B1608" s="56"/>
      <c r="C1608" s="56"/>
      <c r="D1608" s="56"/>
      <c r="E1608" s="57"/>
      <c r="F1608" s="58"/>
      <c r="G1608" s="59"/>
      <c r="H1608" s="56"/>
      <c r="I1608" s="60" t="str">
        <f aca="false">IF(IsPro,IF($D1608="","",IFERROR(INDEX(Items!$D$5:$D$504,Q1608),"")),IF($D1608="","","PRO PLAN"))</f>
        <v/>
      </c>
      <c r="J1608" s="61" t="str">
        <f aca="false">IF(IsPro,IF($D1608="","",IF($F1608="",IFERROR(INDEX(Items!$G$5:$G$504,Q1608),0),$F1608)),"")</f>
        <v/>
      </c>
      <c r="K1608" s="61" t="str">
        <f aca="false">IF(IsPro,IF($D1608="","",ROUND(N($E1608)*J1608*(1-N($G1608)),2)),"")</f>
        <v/>
      </c>
      <c r="L1608" s="62" t="str">
        <f aca="false">IF(IsPro,IF($D1608="","",IFERROR(INDEX(Items!$F$5:$F$504,Q1608),0)),"")</f>
        <v/>
      </c>
      <c r="M1608" s="61" t="str">
        <f aca="false">IF(IsPro,IF($D1608="","",IF(AND(R1608&lt;&gt;"",INDEX(Parties!$E$5:$E$304,R1608)&lt;&gt;"",INDEX(Parties!$E$5:$E$304,R1608)&lt;&gt;HomeState),0,ROUND(K1608*L1608/2,2))),"")</f>
        <v/>
      </c>
      <c r="N1608" s="61" t="str">
        <f aca="false">IF(IsPro,IF($D1608="","",M1608),"")</f>
        <v/>
      </c>
      <c r="O1608" s="61" t="str">
        <f aca="false">IF(IsPro,IF($D1608="","",IF(AND(R1608&lt;&gt;"",INDEX(Parties!$E$5:$E$304,R1608)&lt;&gt;"",INDEX(Parties!$E$5:$E$304,R1608)&lt;&gt;HomeState),ROUND(K1608*L1608,2),0)),"")</f>
        <v/>
      </c>
      <c r="P1608" s="61" t="str">
        <f aca="false">IF(IsPro,IF($D1608="","",K1608+M1608+N1608+O1608),"")</f>
        <v/>
      </c>
      <c r="Q1608" s="60" t="str">
        <f aca="false">IF(IsPro,IF($D1608="","",IFERROR(MATCH($D1608,Items!$A$5:$A$504,0),"")),"")</f>
        <v/>
      </c>
      <c r="R1608" s="60" t="str">
        <f aca="false">IF(IsPro,IF($C1608="","",IFERROR(MATCH($C1608,Parties!$A$5:$A$304,0),"")),"")</f>
        <v/>
      </c>
      <c r="S1608" s="61" t="str">
        <f aca="false">IF(IsPro,IF($D1608="","",IF(OR($H1608="",$H1608="Credit"),0,P1608)),"")</f>
        <v/>
      </c>
    </row>
    <row r="1609" customFormat="false" ht="15" hidden="false" customHeight="false" outlineLevel="0" collapsed="false">
      <c r="A1609" s="55"/>
      <c r="B1609" s="56"/>
      <c r="C1609" s="56"/>
      <c r="D1609" s="56"/>
      <c r="E1609" s="57"/>
      <c r="F1609" s="58"/>
      <c r="G1609" s="59"/>
      <c r="H1609" s="56"/>
      <c r="I1609" s="60" t="str">
        <f aca="false">IF(IsPro,IF($D1609="","",IFERROR(INDEX(Items!$D$5:$D$504,Q1609),"")),IF($D1609="","","PRO PLAN"))</f>
        <v/>
      </c>
      <c r="J1609" s="61" t="str">
        <f aca="false">IF(IsPro,IF($D1609="","",IF($F1609="",IFERROR(INDEX(Items!$G$5:$G$504,Q1609),0),$F1609)),"")</f>
        <v/>
      </c>
      <c r="K1609" s="61" t="str">
        <f aca="false">IF(IsPro,IF($D1609="","",ROUND(N($E1609)*J1609*(1-N($G1609)),2)),"")</f>
        <v/>
      </c>
      <c r="L1609" s="62" t="str">
        <f aca="false">IF(IsPro,IF($D1609="","",IFERROR(INDEX(Items!$F$5:$F$504,Q1609),0)),"")</f>
        <v/>
      </c>
      <c r="M1609" s="61" t="str">
        <f aca="false">IF(IsPro,IF($D1609="","",IF(AND(R1609&lt;&gt;"",INDEX(Parties!$E$5:$E$304,R1609)&lt;&gt;"",INDEX(Parties!$E$5:$E$304,R1609)&lt;&gt;HomeState),0,ROUND(K1609*L1609/2,2))),"")</f>
        <v/>
      </c>
      <c r="N1609" s="61" t="str">
        <f aca="false">IF(IsPro,IF($D1609="","",M1609),"")</f>
        <v/>
      </c>
      <c r="O1609" s="61" t="str">
        <f aca="false">IF(IsPro,IF($D1609="","",IF(AND(R1609&lt;&gt;"",INDEX(Parties!$E$5:$E$304,R1609)&lt;&gt;"",INDEX(Parties!$E$5:$E$304,R1609)&lt;&gt;HomeState),ROUND(K1609*L1609,2),0)),"")</f>
        <v/>
      </c>
      <c r="P1609" s="61" t="str">
        <f aca="false">IF(IsPro,IF($D1609="","",K1609+M1609+N1609+O1609),"")</f>
        <v/>
      </c>
      <c r="Q1609" s="60" t="str">
        <f aca="false">IF(IsPro,IF($D1609="","",IFERROR(MATCH($D1609,Items!$A$5:$A$504,0),"")),"")</f>
        <v/>
      </c>
      <c r="R1609" s="60" t="str">
        <f aca="false">IF(IsPro,IF($C1609="","",IFERROR(MATCH($C1609,Parties!$A$5:$A$304,0),"")),"")</f>
        <v/>
      </c>
      <c r="S1609" s="61" t="str">
        <f aca="false">IF(IsPro,IF($D1609="","",IF(OR($H1609="",$H1609="Credit"),0,P1609)),"")</f>
        <v/>
      </c>
    </row>
    <row r="1610" customFormat="false" ht="15" hidden="false" customHeight="false" outlineLevel="0" collapsed="false">
      <c r="A1610" s="55"/>
      <c r="B1610" s="56"/>
      <c r="C1610" s="56"/>
      <c r="D1610" s="56"/>
      <c r="E1610" s="57"/>
      <c r="F1610" s="58"/>
      <c r="G1610" s="59"/>
      <c r="H1610" s="56"/>
      <c r="I1610" s="60" t="str">
        <f aca="false">IF(IsPro,IF($D1610="","",IFERROR(INDEX(Items!$D$5:$D$504,Q1610),"")),IF($D1610="","","PRO PLAN"))</f>
        <v/>
      </c>
      <c r="J1610" s="61" t="str">
        <f aca="false">IF(IsPro,IF($D1610="","",IF($F1610="",IFERROR(INDEX(Items!$G$5:$G$504,Q1610),0),$F1610)),"")</f>
        <v/>
      </c>
      <c r="K1610" s="61" t="str">
        <f aca="false">IF(IsPro,IF($D1610="","",ROUND(N($E1610)*J1610*(1-N($G1610)),2)),"")</f>
        <v/>
      </c>
      <c r="L1610" s="62" t="str">
        <f aca="false">IF(IsPro,IF($D1610="","",IFERROR(INDEX(Items!$F$5:$F$504,Q1610),0)),"")</f>
        <v/>
      </c>
      <c r="M1610" s="61" t="str">
        <f aca="false">IF(IsPro,IF($D1610="","",IF(AND(R1610&lt;&gt;"",INDEX(Parties!$E$5:$E$304,R1610)&lt;&gt;"",INDEX(Parties!$E$5:$E$304,R1610)&lt;&gt;HomeState),0,ROUND(K1610*L1610/2,2))),"")</f>
        <v/>
      </c>
      <c r="N1610" s="61" t="str">
        <f aca="false">IF(IsPro,IF($D1610="","",M1610),"")</f>
        <v/>
      </c>
      <c r="O1610" s="61" t="str">
        <f aca="false">IF(IsPro,IF($D1610="","",IF(AND(R1610&lt;&gt;"",INDEX(Parties!$E$5:$E$304,R1610)&lt;&gt;"",INDEX(Parties!$E$5:$E$304,R1610)&lt;&gt;HomeState),ROUND(K1610*L1610,2),0)),"")</f>
        <v/>
      </c>
      <c r="P1610" s="61" t="str">
        <f aca="false">IF(IsPro,IF($D1610="","",K1610+M1610+N1610+O1610),"")</f>
        <v/>
      </c>
      <c r="Q1610" s="60" t="str">
        <f aca="false">IF(IsPro,IF($D1610="","",IFERROR(MATCH($D1610,Items!$A$5:$A$504,0),"")),"")</f>
        <v/>
      </c>
      <c r="R1610" s="60" t="str">
        <f aca="false">IF(IsPro,IF($C1610="","",IFERROR(MATCH($C1610,Parties!$A$5:$A$304,0),"")),"")</f>
        <v/>
      </c>
      <c r="S1610" s="61" t="str">
        <f aca="false">IF(IsPro,IF($D1610="","",IF(OR($H1610="",$H1610="Credit"),0,P1610)),"")</f>
        <v/>
      </c>
    </row>
    <row r="1611" customFormat="false" ht="15" hidden="false" customHeight="false" outlineLevel="0" collapsed="false">
      <c r="A1611" s="55"/>
      <c r="B1611" s="56"/>
      <c r="C1611" s="56"/>
      <c r="D1611" s="56"/>
      <c r="E1611" s="57"/>
      <c r="F1611" s="58"/>
      <c r="G1611" s="59"/>
      <c r="H1611" s="56"/>
      <c r="I1611" s="60" t="str">
        <f aca="false">IF(IsPro,IF($D1611="","",IFERROR(INDEX(Items!$D$5:$D$504,Q1611),"")),IF($D1611="","","PRO PLAN"))</f>
        <v/>
      </c>
      <c r="J1611" s="61" t="str">
        <f aca="false">IF(IsPro,IF($D1611="","",IF($F1611="",IFERROR(INDEX(Items!$G$5:$G$504,Q1611),0),$F1611)),"")</f>
        <v/>
      </c>
      <c r="K1611" s="61" t="str">
        <f aca="false">IF(IsPro,IF($D1611="","",ROUND(N($E1611)*J1611*(1-N($G1611)),2)),"")</f>
        <v/>
      </c>
      <c r="L1611" s="62" t="str">
        <f aca="false">IF(IsPro,IF($D1611="","",IFERROR(INDEX(Items!$F$5:$F$504,Q1611),0)),"")</f>
        <v/>
      </c>
      <c r="M1611" s="61" t="str">
        <f aca="false">IF(IsPro,IF($D1611="","",IF(AND(R1611&lt;&gt;"",INDEX(Parties!$E$5:$E$304,R1611)&lt;&gt;"",INDEX(Parties!$E$5:$E$304,R1611)&lt;&gt;HomeState),0,ROUND(K1611*L1611/2,2))),"")</f>
        <v/>
      </c>
      <c r="N1611" s="61" t="str">
        <f aca="false">IF(IsPro,IF($D1611="","",M1611),"")</f>
        <v/>
      </c>
      <c r="O1611" s="61" t="str">
        <f aca="false">IF(IsPro,IF($D1611="","",IF(AND(R1611&lt;&gt;"",INDEX(Parties!$E$5:$E$304,R1611)&lt;&gt;"",INDEX(Parties!$E$5:$E$304,R1611)&lt;&gt;HomeState),ROUND(K1611*L1611,2),0)),"")</f>
        <v/>
      </c>
      <c r="P1611" s="61" t="str">
        <f aca="false">IF(IsPro,IF($D1611="","",K1611+M1611+N1611+O1611),"")</f>
        <v/>
      </c>
      <c r="Q1611" s="60" t="str">
        <f aca="false">IF(IsPro,IF($D1611="","",IFERROR(MATCH($D1611,Items!$A$5:$A$504,0),"")),"")</f>
        <v/>
      </c>
      <c r="R1611" s="60" t="str">
        <f aca="false">IF(IsPro,IF($C1611="","",IFERROR(MATCH($C1611,Parties!$A$5:$A$304,0),"")),"")</f>
        <v/>
      </c>
      <c r="S1611" s="61" t="str">
        <f aca="false">IF(IsPro,IF($D1611="","",IF(OR($H1611="",$H1611="Credit"),0,P1611)),"")</f>
        <v/>
      </c>
    </row>
    <row r="1612" customFormat="false" ht="15" hidden="false" customHeight="false" outlineLevel="0" collapsed="false">
      <c r="A1612" s="55"/>
      <c r="B1612" s="56"/>
      <c r="C1612" s="56"/>
      <c r="D1612" s="56"/>
      <c r="E1612" s="57"/>
      <c r="F1612" s="58"/>
      <c r="G1612" s="59"/>
      <c r="H1612" s="56"/>
      <c r="I1612" s="60" t="str">
        <f aca="false">IF(IsPro,IF($D1612="","",IFERROR(INDEX(Items!$D$5:$D$504,Q1612),"")),IF($D1612="","","PRO PLAN"))</f>
        <v/>
      </c>
      <c r="J1612" s="61" t="str">
        <f aca="false">IF(IsPro,IF($D1612="","",IF($F1612="",IFERROR(INDEX(Items!$G$5:$G$504,Q1612),0),$F1612)),"")</f>
        <v/>
      </c>
      <c r="K1612" s="61" t="str">
        <f aca="false">IF(IsPro,IF($D1612="","",ROUND(N($E1612)*J1612*(1-N($G1612)),2)),"")</f>
        <v/>
      </c>
      <c r="L1612" s="62" t="str">
        <f aca="false">IF(IsPro,IF($D1612="","",IFERROR(INDEX(Items!$F$5:$F$504,Q1612),0)),"")</f>
        <v/>
      </c>
      <c r="M1612" s="61" t="str">
        <f aca="false">IF(IsPro,IF($D1612="","",IF(AND(R1612&lt;&gt;"",INDEX(Parties!$E$5:$E$304,R1612)&lt;&gt;"",INDEX(Parties!$E$5:$E$304,R1612)&lt;&gt;HomeState),0,ROUND(K1612*L1612/2,2))),"")</f>
        <v/>
      </c>
      <c r="N1612" s="61" t="str">
        <f aca="false">IF(IsPro,IF($D1612="","",M1612),"")</f>
        <v/>
      </c>
      <c r="O1612" s="61" t="str">
        <f aca="false">IF(IsPro,IF($D1612="","",IF(AND(R1612&lt;&gt;"",INDEX(Parties!$E$5:$E$304,R1612)&lt;&gt;"",INDEX(Parties!$E$5:$E$304,R1612)&lt;&gt;HomeState),ROUND(K1612*L1612,2),0)),"")</f>
        <v/>
      </c>
      <c r="P1612" s="61" t="str">
        <f aca="false">IF(IsPro,IF($D1612="","",K1612+M1612+N1612+O1612),"")</f>
        <v/>
      </c>
      <c r="Q1612" s="60" t="str">
        <f aca="false">IF(IsPro,IF($D1612="","",IFERROR(MATCH($D1612,Items!$A$5:$A$504,0),"")),"")</f>
        <v/>
      </c>
      <c r="R1612" s="60" t="str">
        <f aca="false">IF(IsPro,IF($C1612="","",IFERROR(MATCH($C1612,Parties!$A$5:$A$304,0),"")),"")</f>
        <v/>
      </c>
      <c r="S1612" s="61" t="str">
        <f aca="false">IF(IsPro,IF($D1612="","",IF(OR($H1612="",$H1612="Credit"),0,P1612)),"")</f>
        <v/>
      </c>
    </row>
    <row r="1613" customFormat="false" ht="15" hidden="false" customHeight="false" outlineLevel="0" collapsed="false">
      <c r="A1613" s="55"/>
      <c r="B1613" s="56"/>
      <c r="C1613" s="56"/>
      <c r="D1613" s="56"/>
      <c r="E1613" s="57"/>
      <c r="F1613" s="58"/>
      <c r="G1613" s="59"/>
      <c r="H1613" s="56"/>
      <c r="I1613" s="60" t="str">
        <f aca="false">IF(IsPro,IF($D1613="","",IFERROR(INDEX(Items!$D$5:$D$504,Q1613),"")),IF($D1613="","","PRO PLAN"))</f>
        <v/>
      </c>
      <c r="J1613" s="61" t="str">
        <f aca="false">IF(IsPro,IF($D1613="","",IF($F1613="",IFERROR(INDEX(Items!$G$5:$G$504,Q1613),0),$F1613)),"")</f>
        <v/>
      </c>
      <c r="K1613" s="61" t="str">
        <f aca="false">IF(IsPro,IF($D1613="","",ROUND(N($E1613)*J1613*(1-N($G1613)),2)),"")</f>
        <v/>
      </c>
      <c r="L1613" s="62" t="str">
        <f aca="false">IF(IsPro,IF($D1613="","",IFERROR(INDEX(Items!$F$5:$F$504,Q1613),0)),"")</f>
        <v/>
      </c>
      <c r="M1613" s="61" t="str">
        <f aca="false">IF(IsPro,IF($D1613="","",IF(AND(R1613&lt;&gt;"",INDEX(Parties!$E$5:$E$304,R1613)&lt;&gt;"",INDEX(Parties!$E$5:$E$304,R1613)&lt;&gt;HomeState),0,ROUND(K1613*L1613/2,2))),"")</f>
        <v/>
      </c>
      <c r="N1613" s="61" t="str">
        <f aca="false">IF(IsPro,IF($D1613="","",M1613),"")</f>
        <v/>
      </c>
      <c r="O1613" s="61" t="str">
        <f aca="false">IF(IsPro,IF($D1613="","",IF(AND(R1613&lt;&gt;"",INDEX(Parties!$E$5:$E$304,R1613)&lt;&gt;"",INDEX(Parties!$E$5:$E$304,R1613)&lt;&gt;HomeState),ROUND(K1613*L1613,2),0)),"")</f>
        <v/>
      </c>
      <c r="P1613" s="61" t="str">
        <f aca="false">IF(IsPro,IF($D1613="","",K1613+M1613+N1613+O1613),"")</f>
        <v/>
      </c>
      <c r="Q1613" s="60" t="str">
        <f aca="false">IF(IsPro,IF($D1613="","",IFERROR(MATCH($D1613,Items!$A$5:$A$504,0),"")),"")</f>
        <v/>
      </c>
      <c r="R1613" s="60" t="str">
        <f aca="false">IF(IsPro,IF($C1613="","",IFERROR(MATCH($C1613,Parties!$A$5:$A$304,0),"")),"")</f>
        <v/>
      </c>
      <c r="S1613" s="61" t="str">
        <f aca="false">IF(IsPro,IF($D1613="","",IF(OR($H1613="",$H1613="Credit"),0,P1613)),"")</f>
        <v/>
      </c>
    </row>
    <row r="1614" customFormat="false" ht="15" hidden="false" customHeight="false" outlineLevel="0" collapsed="false">
      <c r="A1614" s="55"/>
      <c r="B1614" s="56"/>
      <c r="C1614" s="56"/>
      <c r="D1614" s="56"/>
      <c r="E1614" s="57"/>
      <c r="F1614" s="58"/>
      <c r="G1614" s="59"/>
      <c r="H1614" s="56"/>
      <c r="I1614" s="60" t="str">
        <f aca="false">IF(IsPro,IF($D1614="","",IFERROR(INDEX(Items!$D$5:$D$504,Q1614),"")),IF($D1614="","","PRO PLAN"))</f>
        <v/>
      </c>
      <c r="J1614" s="61" t="str">
        <f aca="false">IF(IsPro,IF($D1614="","",IF($F1614="",IFERROR(INDEX(Items!$G$5:$G$504,Q1614),0),$F1614)),"")</f>
        <v/>
      </c>
      <c r="K1614" s="61" t="str">
        <f aca="false">IF(IsPro,IF($D1614="","",ROUND(N($E1614)*J1614*(1-N($G1614)),2)),"")</f>
        <v/>
      </c>
      <c r="L1614" s="62" t="str">
        <f aca="false">IF(IsPro,IF($D1614="","",IFERROR(INDEX(Items!$F$5:$F$504,Q1614),0)),"")</f>
        <v/>
      </c>
      <c r="M1614" s="61" t="str">
        <f aca="false">IF(IsPro,IF($D1614="","",IF(AND(R1614&lt;&gt;"",INDEX(Parties!$E$5:$E$304,R1614)&lt;&gt;"",INDEX(Parties!$E$5:$E$304,R1614)&lt;&gt;HomeState),0,ROUND(K1614*L1614/2,2))),"")</f>
        <v/>
      </c>
      <c r="N1614" s="61" t="str">
        <f aca="false">IF(IsPro,IF($D1614="","",M1614),"")</f>
        <v/>
      </c>
      <c r="O1614" s="61" t="str">
        <f aca="false">IF(IsPro,IF($D1614="","",IF(AND(R1614&lt;&gt;"",INDEX(Parties!$E$5:$E$304,R1614)&lt;&gt;"",INDEX(Parties!$E$5:$E$304,R1614)&lt;&gt;HomeState),ROUND(K1614*L1614,2),0)),"")</f>
        <v/>
      </c>
      <c r="P1614" s="61" t="str">
        <f aca="false">IF(IsPro,IF($D1614="","",K1614+M1614+N1614+O1614),"")</f>
        <v/>
      </c>
      <c r="Q1614" s="60" t="str">
        <f aca="false">IF(IsPro,IF($D1614="","",IFERROR(MATCH($D1614,Items!$A$5:$A$504,0),"")),"")</f>
        <v/>
      </c>
      <c r="R1614" s="60" t="str">
        <f aca="false">IF(IsPro,IF($C1614="","",IFERROR(MATCH($C1614,Parties!$A$5:$A$304,0),"")),"")</f>
        <v/>
      </c>
      <c r="S1614" s="61" t="str">
        <f aca="false">IF(IsPro,IF($D1614="","",IF(OR($H1614="",$H1614="Credit"),0,P1614)),"")</f>
        <v/>
      </c>
    </row>
    <row r="1615" customFormat="false" ht="15" hidden="false" customHeight="false" outlineLevel="0" collapsed="false">
      <c r="A1615" s="55"/>
      <c r="B1615" s="56"/>
      <c r="C1615" s="56"/>
      <c r="D1615" s="56"/>
      <c r="E1615" s="57"/>
      <c r="F1615" s="58"/>
      <c r="G1615" s="59"/>
      <c r="H1615" s="56"/>
      <c r="I1615" s="60" t="str">
        <f aca="false">IF(IsPro,IF($D1615="","",IFERROR(INDEX(Items!$D$5:$D$504,Q1615),"")),IF($D1615="","","PRO PLAN"))</f>
        <v/>
      </c>
      <c r="J1615" s="61" t="str">
        <f aca="false">IF(IsPro,IF($D1615="","",IF($F1615="",IFERROR(INDEX(Items!$G$5:$G$504,Q1615),0),$F1615)),"")</f>
        <v/>
      </c>
      <c r="K1615" s="61" t="str">
        <f aca="false">IF(IsPro,IF($D1615="","",ROUND(N($E1615)*J1615*(1-N($G1615)),2)),"")</f>
        <v/>
      </c>
      <c r="L1615" s="62" t="str">
        <f aca="false">IF(IsPro,IF($D1615="","",IFERROR(INDEX(Items!$F$5:$F$504,Q1615),0)),"")</f>
        <v/>
      </c>
      <c r="M1615" s="61" t="str">
        <f aca="false">IF(IsPro,IF($D1615="","",IF(AND(R1615&lt;&gt;"",INDEX(Parties!$E$5:$E$304,R1615)&lt;&gt;"",INDEX(Parties!$E$5:$E$304,R1615)&lt;&gt;HomeState),0,ROUND(K1615*L1615/2,2))),"")</f>
        <v/>
      </c>
      <c r="N1615" s="61" t="str">
        <f aca="false">IF(IsPro,IF($D1615="","",M1615),"")</f>
        <v/>
      </c>
      <c r="O1615" s="61" t="str">
        <f aca="false">IF(IsPro,IF($D1615="","",IF(AND(R1615&lt;&gt;"",INDEX(Parties!$E$5:$E$304,R1615)&lt;&gt;"",INDEX(Parties!$E$5:$E$304,R1615)&lt;&gt;HomeState),ROUND(K1615*L1615,2),0)),"")</f>
        <v/>
      </c>
      <c r="P1615" s="61" t="str">
        <f aca="false">IF(IsPro,IF($D1615="","",K1615+M1615+N1615+O1615),"")</f>
        <v/>
      </c>
      <c r="Q1615" s="60" t="str">
        <f aca="false">IF(IsPro,IF($D1615="","",IFERROR(MATCH($D1615,Items!$A$5:$A$504,0),"")),"")</f>
        <v/>
      </c>
      <c r="R1615" s="60" t="str">
        <f aca="false">IF(IsPro,IF($C1615="","",IFERROR(MATCH($C1615,Parties!$A$5:$A$304,0),"")),"")</f>
        <v/>
      </c>
      <c r="S1615" s="61" t="str">
        <f aca="false">IF(IsPro,IF($D1615="","",IF(OR($H1615="",$H1615="Credit"),0,P1615)),"")</f>
        <v/>
      </c>
    </row>
    <row r="1616" customFormat="false" ht="15" hidden="false" customHeight="false" outlineLevel="0" collapsed="false">
      <c r="A1616" s="55"/>
      <c r="B1616" s="56"/>
      <c r="C1616" s="56"/>
      <c r="D1616" s="56"/>
      <c r="E1616" s="57"/>
      <c r="F1616" s="58"/>
      <c r="G1616" s="59"/>
      <c r="H1616" s="56"/>
      <c r="I1616" s="60" t="str">
        <f aca="false">IF(IsPro,IF($D1616="","",IFERROR(INDEX(Items!$D$5:$D$504,Q1616),"")),IF($D1616="","","PRO PLAN"))</f>
        <v/>
      </c>
      <c r="J1616" s="61" t="str">
        <f aca="false">IF(IsPro,IF($D1616="","",IF($F1616="",IFERROR(INDEX(Items!$G$5:$G$504,Q1616),0),$F1616)),"")</f>
        <v/>
      </c>
      <c r="K1616" s="61" t="str">
        <f aca="false">IF(IsPro,IF($D1616="","",ROUND(N($E1616)*J1616*(1-N($G1616)),2)),"")</f>
        <v/>
      </c>
      <c r="L1616" s="62" t="str">
        <f aca="false">IF(IsPro,IF($D1616="","",IFERROR(INDEX(Items!$F$5:$F$504,Q1616),0)),"")</f>
        <v/>
      </c>
      <c r="M1616" s="61" t="str">
        <f aca="false">IF(IsPro,IF($D1616="","",IF(AND(R1616&lt;&gt;"",INDEX(Parties!$E$5:$E$304,R1616)&lt;&gt;"",INDEX(Parties!$E$5:$E$304,R1616)&lt;&gt;HomeState),0,ROUND(K1616*L1616/2,2))),"")</f>
        <v/>
      </c>
      <c r="N1616" s="61" t="str">
        <f aca="false">IF(IsPro,IF($D1616="","",M1616),"")</f>
        <v/>
      </c>
      <c r="O1616" s="61" t="str">
        <f aca="false">IF(IsPro,IF($D1616="","",IF(AND(R1616&lt;&gt;"",INDEX(Parties!$E$5:$E$304,R1616)&lt;&gt;"",INDEX(Parties!$E$5:$E$304,R1616)&lt;&gt;HomeState),ROUND(K1616*L1616,2),0)),"")</f>
        <v/>
      </c>
      <c r="P1616" s="61" t="str">
        <f aca="false">IF(IsPro,IF($D1616="","",K1616+M1616+N1616+O1616),"")</f>
        <v/>
      </c>
      <c r="Q1616" s="60" t="str">
        <f aca="false">IF(IsPro,IF($D1616="","",IFERROR(MATCH($D1616,Items!$A$5:$A$504,0),"")),"")</f>
        <v/>
      </c>
      <c r="R1616" s="60" t="str">
        <f aca="false">IF(IsPro,IF($C1616="","",IFERROR(MATCH($C1616,Parties!$A$5:$A$304,0),"")),"")</f>
        <v/>
      </c>
      <c r="S1616" s="61" t="str">
        <f aca="false">IF(IsPro,IF($D1616="","",IF(OR($H1616="",$H1616="Credit"),0,P1616)),"")</f>
        <v/>
      </c>
    </row>
    <row r="1617" customFormat="false" ht="15" hidden="false" customHeight="false" outlineLevel="0" collapsed="false">
      <c r="A1617" s="55"/>
      <c r="B1617" s="56"/>
      <c r="C1617" s="56"/>
      <c r="D1617" s="56"/>
      <c r="E1617" s="57"/>
      <c r="F1617" s="58"/>
      <c r="G1617" s="59"/>
      <c r="H1617" s="56"/>
      <c r="I1617" s="60" t="str">
        <f aca="false">IF(IsPro,IF($D1617="","",IFERROR(INDEX(Items!$D$5:$D$504,Q1617),"")),IF($D1617="","","PRO PLAN"))</f>
        <v/>
      </c>
      <c r="J1617" s="61" t="str">
        <f aca="false">IF(IsPro,IF($D1617="","",IF($F1617="",IFERROR(INDEX(Items!$G$5:$G$504,Q1617),0),$F1617)),"")</f>
        <v/>
      </c>
      <c r="K1617" s="61" t="str">
        <f aca="false">IF(IsPro,IF($D1617="","",ROUND(N($E1617)*J1617*(1-N($G1617)),2)),"")</f>
        <v/>
      </c>
      <c r="L1617" s="62" t="str">
        <f aca="false">IF(IsPro,IF($D1617="","",IFERROR(INDEX(Items!$F$5:$F$504,Q1617),0)),"")</f>
        <v/>
      </c>
      <c r="M1617" s="61" t="str">
        <f aca="false">IF(IsPro,IF($D1617="","",IF(AND(R1617&lt;&gt;"",INDEX(Parties!$E$5:$E$304,R1617)&lt;&gt;"",INDEX(Parties!$E$5:$E$304,R1617)&lt;&gt;HomeState),0,ROUND(K1617*L1617/2,2))),"")</f>
        <v/>
      </c>
      <c r="N1617" s="61" t="str">
        <f aca="false">IF(IsPro,IF($D1617="","",M1617),"")</f>
        <v/>
      </c>
      <c r="O1617" s="61" t="str">
        <f aca="false">IF(IsPro,IF($D1617="","",IF(AND(R1617&lt;&gt;"",INDEX(Parties!$E$5:$E$304,R1617)&lt;&gt;"",INDEX(Parties!$E$5:$E$304,R1617)&lt;&gt;HomeState),ROUND(K1617*L1617,2),0)),"")</f>
        <v/>
      </c>
      <c r="P1617" s="61" t="str">
        <f aca="false">IF(IsPro,IF($D1617="","",K1617+M1617+N1617+O1617),"")</f>
        <v/>
      </c>
      <c r="Q1617" s="60" t="str">
        <f aca="false">IF(IsPro,IF($D1617="","",IFERROR(MATCH($D1617,Items!$A$5:$A$504,0),"")),"")</f>
        <v/>
      </c>
      <c r="R1617" s="60" t="str">
        <f aca="false">IF(IsPro,IF($C1617="","",IFERROR(MATCH($C1617,Parties!$A$5:$A$304,0),"")),"")</f>
        <v/>
      </c>
      <c r="S1617" s="61" t="str">
        <f aca="false">IF(IsPro,IF($D1617="","",IF(OR($H1617="",$H1617="Credit"),0,P1617)),"")</f>
        <v/>
      </c>
    </row>
    <row r="1618" customFormat="false" ht="15" hidden="false" customHeight="false" outlineLevel="0" collapsed="false">
      <c r="A1618" s="55"/>
      <c r="B1618" s="56"/>
      <c r="C1618" s="56"/>
      <c r="D1618" s="56"/>
      <c r="E1618" s="57"/>
      <c r="F1618" s="58"/>
      <c r="G1618" s="59"/>
      <c r="H1618" s="56"/>
      <c r="I1618" s="60" t="str">
        <f aca="false">IF(IsPro,IF($D1618="","",IFERROR(INDEX(Items!$D$5:$D$504,Q1618),"")),IF($D1618="","","PRO PLAN"))</f>
        <v/>
      </c>
      <c r="J1618" s="61" t="str">
        <f aca="false">IF(IsPro,IF($D1618="","",IF($F1618="",IFERROR(INDEX(Items!$G$5:$G$504,Q1618),0),$F1618)),"")</f>
        <v/>
      </c>
      <c r="K1618" s="61" t="str">
        <f aca="false">IF(IsPro,IF($D1618="","",ROUND(N($E1618)*J1618*(1-N($G1618)),2)),"")</f>
        <v/>
      </c>
      <c r="L1618" s="62" t="str">
        <f aca="false">IF(IsPro,IF($D1618="","",IFERROR(INDEX(Items!$F$5:$F$504,Q1618),0)),"")</f>
        <v/>
      </c>
      <c r="M1618" s="61" t="str">
        <f aca="false">IF(IsPro,IF($D1618="","",IF(AND(R1618&lt;&gt;"",INDEX(Parties!$E$5:$E$304,R1618)&lt;&gt;"",INDEX(Parties!$E$5:$E$304,R1618)&lt;&gt;HomeState),0,ROUND(K1618*L1618/2,2))),"")</f>
        <v/>
      </c>
      <c r="N1618" s="61" t="str">
        <f aca="false">IF(IsPro,IF($D1618="","",M1618),"")</f>
        <v/>
      </c>
      <c r="O1618" s="61" t="str">
        <f aca="false">IF(IsPro,IF($D1618="","",IF(AND(R1618&lt;&gt;"",INDEX(Parties!$E$5:$E$304,R1618)&lt;&gt;"",INDEX(Parties!$E$5:$E$304,R1618)&lt;&gt;HomeState),ROUND(K1618*L1618,2),0)),"")</f>
        <v/>
      </c>
      <c r="P1618" s="61" t="str">
        <f aca="false">IF(IsPro,IF($D1618="","",K1618+M1618+N1618+O1618),"")</f>
        <v/>
      </c>
      <c r="Q1618" s="60" t="str">
        <f aca="false">IF(IsPro,IF($D1618="","",IFERROR(MATCH($D1618,Items!$A$5:$A$504,0),"")),"")</f>
        <v/>
      </c>
      <c r="R1618" s="60" t="str">
        <f aca="false">IF(IsPro,IF($C1618="","",IFERROR(MATCH($C1618,Parties!$A$5:$A$304,0),"")),"")</f>
        <v/>
      </c>
      <c r="S1618" s="61" t="str">
        <f aca="false">IF(IsPro,IF($D1618="","",IF(OR($H1618="",$H1618="Credit"),0,P1618)),"")</f>
        <v/>
      </c>
    </row>
    <row r="1619" customFormat="false" ht="15" hidden="false" customHeight="false" outlineLevel="0" collapsed="false">
      <c r="A1619" s="55"/>
      <c r="B1619" s="56"/>
      <c r="C1619" s="56"/>
      <c r="D1619" s="56"/>
      <c r="E1619" s="57"/>
      <c r="F1619" s="58"/>
      <c r="G1619" s="59"/>
      <c r="H1619" s="56"/>
      <c r="I1619" s="60" t="str">
        <f aca="false">IF(IsPro,IF($D1619="","",IFERROR(INDEX(Items!$D$5:$D$504,Q1619),"")),IF($D1619="","","PRO PLAN"))</f>
        <v/>
      </c>
      <c r="J1619" s="61" t="str">
        <f aca="false">IF(IsPro,IF($D1619="","",IF($F1619="",IFERROR(INDEX(Items!$G$5:$G$504,Q1619),0),$F1619)),"")</f>
        <v/>
      </c>
      <c r="K1619" s="61" t="str">
        <f aca="false">IF(IsPro,IF($D1619="","",ROUND(N($E1619)*J1619*(1-N($G1619)),2)),"")</f>
        <v/>
      </c>
      <c r="L1619" s="62" t="str">
        <f aca="false">IF(IsPro,IF($D1619="","",IFERROR(INDEX(Items!$F$5:$F$504,Q1619),0)),"")</f>
        <v/>
      </c>
      <c r="M1619" s="61" t="str">
        <f aca="false">IF(IsPro,IF($D1619="","",IF(AND(R1619&lt;&gt;"",INDEX(Parties!$E$5:$E$304,R1619)&lt;&gt;"",INDEX(Parties!$E$5:$E$304,R1619)&lt;&gt;HomeState),0,ROUND(K1619*L1619/2,2))),"")</f>
        <v/>
      </c>
      <c r="N1619" s="61" t="str">
        <f aca="false">IF(IsPro,IF($D1619="","",M1619),"")</f>
        <v/>
      </c>
      <c r="O1619" s="61" t="str">
        <f aca="false">IF(IsPro,IF($D1619="","",IF(AND(R1619&lt;&gt;"",INDEX(Parties!$E$5:$E$304,R1619)&lt;&gt;"",INDEX(Parties!$E$5:$E$304,R1619)&lt;&gt;HomeState),ROUND(K1619*L1619,2),0)),"")</f>
        <v/>
      </c>
      <c r="P1619" s="61" t="str">
        <f aca="false">IF(IsPro,IF($D1619="","",K1619+M1619+N1619+O1619),"")</f>
        <v/>
      </c>
      <c r="Q1619" s="60" t="str">
        <f aca="false">IF(IsPro,IF($D1619="","",IFERROR(MATCH($D1619,Items!$A$5:$A$504,0),"")),"")</f>
        <v/>
      </c>
      <c r="R1619" s="60" t="str">
        <f aca="false">IF(IsPro,IF($C1619="","",IFERROR(MATCH($C1619,Parties!$A$5:$A$304,0),"")),"")</f>
        <v/>
      </c>
      <c r="S1619" s="61" t="str">
        <f aca="false">IF(IsPro,IF($D1619="","",IF(OR($H1619="",$H1619="Credit"),0,P1619)),"")</f>
        <v/>
      </c>
    </row>
    <row r="1620" customFormat="false" ht="15" hidden="false" customHeight="false" outlineLevel="0" collapsed="false">
      <c r="A1620" s="55"/>
      <c r="B1620" s="56"/>
      <c r="C1620" s="56"/>
      <c r="D1620" s="56"/>
      <c r="E1620" s="57"/>
      <c r="F1620" s="58"/>
      <c r="G1620" s="59"/>
      <c r="H1620" s="56"/>
      <c r="I1620" s="60" t="str">
        <f aca="false">IF(IsPro,IF($D1620="","",IFERROR(INDEX(Items!$D$5:$D$504,Q1620),"")),IF($D1620="","","PRO PLAN"))</f>
        <v/>
      </c>
      <c r="J1620" s="61" t="str">
        <f aca="false">IF(IsPro,IF($D1620="","",IF($F1620="",IFERROR(INDEX(Items!$G$5:$G$504,Q1620),0),$F1620)),"")</f>
        <v/>
      </c>
      <c r="K1620" s="61" t="str">
        <f aca="false">IF(IsPro,IF($D1620="","",ROUND(N($E1620)*J1620*(1-N($G1620)),2)),"")</f>
        <v/>
      </c>
      <c r="L1620" s="62" t="str">
        <f aca="false">IF(IsPro,IF($D1620="","",IFERROR(INDEX(Items!$F$5:$F$504,Q1620),0)),"")</f>
        <v/>
      </c>
      <c r="M1620" s="61" t="str">
        <f aca="false">IF(IsPro,IF($D1620="","",IF(AND(R1620&lt;&gt;"",INDEX(Parties!$E$5:$E$304,R1620)&lt;&gt;"",INDEX(Parties!$E$5:$E$304,R1620)&lt;&gt;HomeState),0,ROUND(K1620*L1620/2,2))),"")</f>
        <v/>
      </c>
      <c r="N1620" s="61" t="str">
        <f aca="false">IF(IsPro,IF($D1620="","",M1620),"")</f>
        <v/>
      </c>
      <c r="O1620" s="61" t="str">
        <f aca="false">IF(IsPro,IF($D1620="","",IF(AND(R1620&lt;&gt;"",INDEX(Parties!$E$5:$E$304,R1620)&lt;&gt;"",INDEX(Parties!$E$5:$E$304,R1620)&lt;&gt;HomeState),ROUND(K1620*L1620,2),0)),"")</f>
        <v/>
      </c>
      <c r="P1620" s="61" t="str">
        <f aca="false">IF(IsPro,IF($D1620="","",K1620+M1620+N1620+O1620),"")</f>
        <v/>
      </c>
      <c r="Q1620" s="60" t="str">
        <f aca="false">IF(IsPro,IF($D1620="","",IFERROR(MATCH($D1620,Items!$A$5:$A$504,0),"")),"")</f>
        <v/>
      </c>
      <c r="R1620" s="60" t="str">
        <f aca="false">IF(IsPro,IF($C1620="","",IFERROR(MATCH($C1620,Parties!$A$5:$A$304,0),"")),"")</f>
        <v/>
      </c>
      <c r="S1620" s="61" t="str">
        <f aca="false">IF(IsPro,IF($D1620="","",IF(OR($H1620="",$H1620="Credit"),0,P1620)),"")</f>
        <v/>
      </c>
    </row>
    <row r="1621" customFormat="false" ht="15" hidden="false" customHeight="false" outlineLevel="0" collapsed="false">
      <c r="A1621" s="55"/>
      <c r="B1621" s="56"/>
      <c r="C1621" s="56"/>
      <c r="D1621" s="56"/>
      <c r="E1621" s="57"/>
      <c r="F1621" s="58"/>
      <c r="G1621" s="59"/>
      <c r="H1621" s="56"/>
      <c r="I1621" s="60" t="str">
        <f aca="false">IF(IsPro,IF($D1621="","",IFERROR(INDEX(Items!$D$5:$D$504,Q1621),"")),IF($D1621="","","PRO PLAN"))</f>
        <v/>
      </c>
      <c r="J1621" s="61" t="str">
        <f aca="false">IF(IsPro,IF($D1621="","",IF($F1621="",IFERROR(INDEX(Items!$G$5:$G$504,Q1621),0),$F1621)),"")</f>
        <v/>
      </c>
      <c r="K1621" s="61" t="str">
        <f aca="false">IF(IsPro,IF($D1621="","",ROUND(N($E1621)*J1621*(1-N($G1621)),2)),"")</f>
        <v/>
      </c>
      <c r="L1621" s="62" t="str">
        <f aca="false">IF(IsPro,IF($D1621="","",IFERROR(INDEX(Items!$F$5:$F$504,Q1621),0)),"")</f>
        <v/>
      </c>
      <c r="M1621" s="61" t="str">
        <f aca="false">IF(IsPro,IF($D1621="","",IF(AND(R1621&lt;&gt;"",INDEX(Parties!$E$5:$E$304,R1621)&lt;&gt;"",INDEX(Parties!$E$5:$E$304,R1621)&lt;&gt;HomeState),0,ROUND(K1621*L1621/2,2))),"")</f>
        <v/>
      </c>
      <c r="N1621" s="61" t="str">
        <f aca="false">IF(IsPro,IF($D1621="","",M1621),"")</f>
        <v/>
      </c>
      <c r="O1621" s="61" t="str">
        <f aca="false">IF(IsPro,IF($D1621="","",IF(AND(R1621&lt;&gt;"",INDEX(Parties!$E$5:$E$304,R1621)&lt;&gt;"",INDEX(Parties!$E$5:$E$304,R1621)&lt;&gt;HomeState),ROUND(K1621*L1621,2),0)),"")</f>
        <v/>
      </c>
      <c r="P1621" s="61" t="str">
        <f aca="false">IF(IsPro,IF($D1621="","",K1621+M1621+N1621+O1621),"")</f>
        <v/>
      </c>
      <c r="Q1621" s="60" t="str">
        <f aca="false">IF(IsPro,IF($D1621="","",IFERROR(MATCH($D1621,Items!$A$5:$A$504,0),"")),"")</f>
        <v/>
      </c>
      <c r="R1621" s="60" t="str">
        <f aca="false">IF(IsPro,IF($C1621="","",IFERROR(MATCH($C1621,Parties!$A$5:$A$304,0),"")),"")</f>
        <v/>
      </c>
      <c r="S1621" s="61" t="str">
        <f aca="false">IF(IsPro,IF($D1621="","",IF(OR($H1621="",$H1621="Credit"),0,P1621)),"")</f>
        <v/>
      </c>
    </row>
    <row r="1622" customFormat="false" ht="15" hidden="false" customHeight="false" outlineLevel="0" collapsed="false">
      <c r="A1622" s="55"/>
      <c r="B1622" s="56"/>
      <c r="C1622" s="56"/>
      <c r="D1622" s="56"/>
      <c r="E1622" s="57"/>
      <c r="F1622" s="58"/>
      <c r="G1622" s="59"/>
      <c r="H1622" s="56"/>
      <c r="I1622" s="60" t="str">
        <f aca="false">IF(IsPro,IF($D1622="","",IFERROR(INDEX(Items!$D$5:$D$504,Q1622),"")),IF($D1622="","","PRO PLAN"))</f>
        <v/>
      </c>
      <c r="J1622" s="61" t="str">
        <f aca="false">IF(IsPro,IF($D1622="","",IF($F1622="",IFERROR(INDEX(Items!$G$5:$G$504,Q1622),0),$F1622)),"")</f>
        <v/>
      </c>
      <c r="K1622" s="61" t="str">
        <f aca="false">IF(IsPro,IF($D1622="","",ROUND(N($E1622)*J1622*(1-N($G1622)),2)),"")</f>
        <v/>
      </c>
      <c r="L1622" s="62" t="str">
        <f aca="false">IF(IsPro,IF($D1622="","",IFERROR(INDEX(Items!$F$5:$F$504,Q1622),0)),"")</f>
        <v/>
      </c>
      <c r="M1622" s="61" t="str">
        <f aca="false">IF(IsPro,IF($D1622="","",IF(AND(R1622&lt;&gt;"",INDEX(Parties!$E$5:$E$304,R1622)&lt;&gt;"",INDEX(Parties!$E$5:$E$304,R1622)&lt;&gt;HomeState),0,ROUND(K1622*L1622/2,2))),"")</f>
        <v/>
      </c>
      <c r="N1622" s="61" t="str">
        <f aca="false">IF(IsPro,IF($D1622="","",M1622),"")</f>
        <v/>
      </c>
      <c r="O1622" s="61" t="str">
        <f aca="false">IF(IsPro,IF($D1622="","",IF(AND(R1622&lt;&gt;"",INDEX(Parties!$E$5:$E$304,R1622)&lt;&gt;"",INDEX(Parties!$E$5:$E$304,R1622)&lt;&gt;HomeState),ROUND(K1622*L1622,2),0)),"")</f>
        <v/>
      </c>
      <c r="P1622" s="61" t="str">
        <f aca="false">IF(IsPro,IF($D1622="","",K1622+M1622+N1622+O1622),"")</f>
        <v/>
      </c>
      <c r="Q1622" s="60" t="str">
        <f aca="false">IF(IsPro,IF($D1622="","",IFERROR(MATCH($D1622,Items!$A$5:$A$504,0),"")),"")</f>
        <v/>
      </c>
      <c r="R1622" s="60" t="str">
        <f aca="false">IF(IsPro,IF($C1622="","",IFERROR(MATCH($C1622,Parties!$A$5:$A$304,0),"")),"")</f>
        <v/>
      </c>
      <c r="S1622" s="61" t="str">
        <f aca="false">IF(IsPro,IF($D1622="","",IF(OR($H1622="",$H1622="Credit"),0,P1622)),"")</f>
        <v/>
      </c>
    </row>
    <row r="1623" customFormat="false" ht="15" hidden="false" customHeight="false" outlineLevel="0" collapsed="false">
      <c r="A1623" s="55"/>
      <c r="B1623" s="56"/>
      <c r="C1623" s="56"/>
      <c r="D1623" s="56"/>
      <c r="E1623" s="57"/>
      <c r="F1623" s="58"/>
      <c r="G1623" s="59"/>
      <c r="H1623" s="56"/>
      <c r="I1623" s="60" t="str">
        <f aca="false">IF(IsPro,IF($D1623="","",IFERROR(INDEX(Items!$D$5:$D$504,Q1623),"")),IF($D1623="","","PRO PLAN"))</f>
        <v/>
      </c>
      <c r="J1623" s="61" t="str">
        <f aca="false">IF(IsPro,IF($D1623="","",IF($F1623="",IFERROR(INDEX(Items!$G$5:$G$504,Q1623),0),$F1623)),"")</f>
        <v/>
      </c>
      <c r="K1623" s="61" t="str">
        <f aca="false">IF(IsPro,IF($D1623="","",ROUND(N($E1623)*J1623*(1-N($G1623)),2)),"")</f>
        <v/>
      </c>
      <c r="L1623" s="62" t="str">
        <f aca="false">IF(IsPro,IF($D1623="","",IFERROR(INDEX(Items!$F$5:$F$504,Q1623),0)),"")</f>
        <v/>
      </c>
      <c r="M1623" s="61" t="str">
        <f aca="false">IF(IsPro,IF($D1623="","",IF(AND(R1623&lt;&gt;"",INDEX(Parties!$E$5:$E$304,R1623)&lt;&gt;"",INDEX(Parties!$E$5:$E$304,R1623)&lt;&gt;HomeState),0,ROUND(K1623*L1623/2,2))),"")</f>
        <v/>
      </c>
      <c r="N1623" s="61" t="str">
        <f aca="false">IF(IsPro,IF($D1623="","",M1623),"")</f>
        <v/>
      </c>
      <c r="O1623" s="61" t="str">
        <f aca="false">IF(IsPro,IF($D1623="","",IF(AND(R1623&lt;&gt;"",INDEX(Parties!$E$5:$E$304,R1623)&lt;&gt;"",INDEX(Parties!$E$5:$E$304,R1623)&lt;&gt;HomeState),ROUND(K1623*L1623,2),0)),"")</f>
        <v/>
      </c>
      <c r="P1623" s="61" t="str">
        <f aca="false">IF(IsPro,IF($D1623="","",K1623+M1623+N1623+O1623),"")</f>
        <v/>
      </c>
      <c r="Q1623" s="60" t="str">
        <f aca="false">IF(IsPro,IF($D1623="","",IFERROR(MATCH($D1623,Items!$A$5:$A$504,0),"")),"")</f>
        <v/>
      </c>
      <c r="R1623" s="60" t="str">
        <f aca="false">IF(IsPro,IF($C1623="","",IFERROR(MATCH($C1623,Parties!$A$5:$A$304,0),"")),"")</f>
        <v/>
      </c>
      <c r="S1623" s="61" t="str">
        <f aca="false">IF(IsPro,IF($D1623="","",IF(OR($H1623="",$H1623="Credit"),0,P1623)),"")</f>
        <v/>
      </c>
    </row>
    <row r="1624" customFormat="false" ht="15" hidden="false" customHeight="false" outlineLevel="0" collapsed="false">
      <c r="A1624" s="55"/>
      <c r="B1624" s="56"/>
      <c r="C1624" s="56"/>
      <c r="D1624" s="56"/>
      <c r="E1624" s="57"/>
      <c r="F1624" s="58"/>
      <c r="G1624" s="59"/>
      <c r="H1624" s="56"/>
      <c r="I1624" s="60" t="str">
        <f aca="false">IF(IsPro,IF($D1624="","",IFERROR(INDEX(Items!$D$5:$D$504,Q1624),"")),IF($D1624="","","PRO PLAN"))</f>
        <v/>
      </c>
      <c r="J1624" s="61" t="str">
        <f aca="false">IF(IsPro,IF($D1624="","",IF($F1624="",IFERROR(INDEX(Items!$G$5:$G$504,Q1624),0),$F1624)),"")</f>
        <v/>
      </c>
      <c r="K1624" s="61" t="str">
        <f aca="false">IF(IsPro,IF($D1624="","",ROUND(N($E1624)*J1624*(1-N($G1624)),2)),"")</f>
        <v/>
      </c>
      <c r="L1624" s="62" t="str">
        <f aca="false">IF(IsPro,IF($D1624="","",IFERROR(INDEX(Items!$F$5:$F$504,Q1624),0)),"")</f>
        <v/>
      </c>
      <c r="M1624" s="61" t="str">
        <f aca="false">IF(IsPro,IF($D1624="","",IF(AND(R1624&lt;&gt;"",INDEX(Parties!$E$5:$E$304,R1624)&lt;&gt;"",INDEX(Parties!$E$5:$E$304,R1624)&lt;&gt;HomeState),0,ROUND(K1624*L1624/2,2))),"")</f>
        <v/>
      </c>
      <c r="N1624" s="61" t="str">
        <f aca="false">IF(IsPro,IF($D1624="","",M1624),"")</f>
        <v/>
      </c>
      <c r="O1624" s="61" t="str">
        <f aca="false">IF(IsPro,IF($D1624="","",IF(AND(R1624&lt;&gt;"",INDEX(Parties!$E$5:$E$304,R1624)&lt;&gt;"",INDEX(Parties!$E$5:$E$304,R1624)&lt;&gt;HomeState),ROUND(K1624*L1624,2),0)),"")</f>
        <v/>
      </c>
      <c r="P1624" s="61" t="str">
        <f aca="false">IF(IsPro,IF($D1624="","",K1624+M1624+N1624+O1624),"")</f>
        <v/>
      </c>
      <c r="Q1624" s="60" t="str">
        <f aca="false">IF(IsPro,IF($D1624="","",IFERROR(MATCH($D1624,Items!$A$5:$A$504,0),"")),"")</f>
        <v/>
      </c>
      <c r="R1624" s="60" t="str">
        <f aca="false">IF(IsPro,IF($C1624="","",IFERROR(MATCH($C1624,Parties!$A$5:$A$304,0),"")),"")</f>
        <v/>
      </c>
      <c r="S1624" s="61" t="str">
        <f aca="false">IF(IsPro,IF($D1624="","",IF(OR($H1624="",$H1624="Credit"),0,P1624)),"")</f>
        <v/>
      </c>
    </row>
    <row r="1625" customFormat="false" ht="15" hidden="false" customHeight="false" outlineLevel="0" collapsed="false">
      <c r="A1625" s="55"/>
      <c r="B1625" s="56"/>
      <c r="C1625" s="56"/>
      <c r="D1625" s="56"/>
      <c r="E1625" s="57"/>
      <c r="F1625" s="58"/>
      <c r="G1625" s="59"/>
      <c r="H1625" s="56"/>
      <c r="I1625" s="60" t="str">
        <f aca="false">IF(IsPro,IF($D1625="","",IFERROR(INDEX(Items!$D$5:$D$504,Q1625),"")),IF($D1625="","","PRO PLAN"))</f>
        <v/>
      </c>
      <c r="J1625" s="61" t="str">
        <f aca="false">IF(IsPro,IF($D1625="","",IF($F1625="",IFERROR(INDEX(Items!$G$5:$G$504,Q1625),0),$F1625)),"")</f>
        <v/>
      </c>
      <c r="K1625" s="61" t="str">
        <f aca="false">IF(IsPro,IF($D1625="","",ROUND(N($E1625)*J1625*(1-N($G1625)),2)),"")</f>
        <v/>
      </c>
      <c r="L1625" s="62" t="str">
        <f aca="false">IF(IsPro,IF($D1625="","",IFERROR(INDEX(Items!$F$5:$F$504,Q1625),0)),"")</f>
        <v/>
      </c>
      <c r="M1625" s="61" t="str">
        <f aca="false">IF(IsPro,IF($D1625="","",IF(AND(R1625&lt;&gt;"",INDEX(Parties!$E$5:$E$304,R1625)&lt;&gt;"",INDEX(Parties!$E$5:$E$304,R1625)&lt;&gt;HomeState),0,ROUND(K1625*L1625/2,2))),"")</f>
        <v/>
      </c>
      <c r="N1625" s="61" t="str">
        <f aca="false">IF(IsPro,IF($D1625="","",M1625),"")</f>
        <v/>
      </c>
      <c r="O1625" s="61" t="str">
        <f aca="false">IF(IsPro,IF($D1625="","",IF(AND(R1625&lt;&gt;"",INDEX(Parties!$E$5:$E$304,R1625)&lt;&gt;"",INDEX(Parties!$E$5:$E$304,R1625)&lt;&gt;HomeState),ROUND(K1625*L1625,2),0)),"")</f>
        <v/>
      </c>
      <c r="P1625" s="61" t="str">
        <f aca="false">IF(IsPro,IF($D1625="","",K1625+M1625+N1625+O1625),"")</f>
        <v/>
      </c>
      <c r="Q1625" s="60" t="str">
        <f aca="false">IF(IsPro,IF($D1625="","",IFERROR(MATCH($D1625,Items!$A$5:$A$504,0),"")),"")</f>
        <v/>
      </c>
      <c r="R1625" s="60" t="str">
        <f aca="false">IF(IsPro,IF($C1625="","",IFERROR(MATCH($C1625,Parties!$A$5:$A$304,0),"")),"")</f>
        <v/>
      </c>
      <c r="S1625" s="61" t="str">
        <f aca="false">IF(IsPro,IF($D1625="","",IF(OR($H1625="",$H1625="Credit"),0,P1625)),"")</f>
        <v/>
      </c>
    </row>
    <row r="1626" customFormat="false" ht="15" hidden="false" customHeight="false" outlineLevel="0" collapsed="false">
      <c r="A1626" s="55"/>
      <c r="B1626" s="56"/>
      <c r="C1626" s="56"/>
      <c r="D1626" s="56"/>
      <c r="E1626" s="57"/>
      <c r="F1626" s="58"/>
      <c r="G1626" s="59"/>
      <c r="H1626" s="56"/>
      <c r="I1626" s="60" t="str">
        <f aca="false">IF(IsPro,IF($D1626="","",IFERROR(INDEX(Items!$D$5:$D$504,Q1626),"")),IF($D1626="","","PRO PLAN"))</f>
        <v/>
      </c>
      <c r="J1626" s="61" t="str">
        <f aca="false">IF(IsPro,IF($D1626="","",IF($F1626="",IFERROR(INDEX(Items!$G$5:$G$504,Q1626),0),$F1626)),"")</f>
        <v/>
      </c>
      <c r="K1626" s="61" t="str">
        <f aca="false">IF(IsPro,IF($D1626="","",ROUND(N($E1626)*J1626*(1-N($G1626)),2)),"")</f>
        <v/>
      </c>
      <c r="L1626" s="62" t="str">
        <f aca="false">IF(IsPro,IF($D1626="","",IFERROR(INDEX(Items!$F$5:$F$504,Q1626),0)),"")</f>
        <v/>
      </c>
      <c r="M1626" s="61" t="str">
        <f aca="false">IF(IsPro,IF($D1626="","",IF(AND(R1626&lt;&gt;"",INDEX(Parties!$E$5:$E$304,R1626)&lt;&gt;"",INDEX(Parties!$E$5:$E$304,R1626)&lt;&gt;HomeState),0,ROUND(K1626*L1626/2,2))),"")</f>
        <v/>
      </c>
      <c r="N1626" s="61" t="str">
        <f aca="false">IF(IsPro,IF($D1626="","",M1626),"")</f>
        <v/>
      </c>
      <c r="O1626" s="61" t="str">
        <f aca="false">IF(IsPro,IF($D1626="","",IF(AND(R1626&lt;&gt;"",INDEX(Parties!$E$5:$E$304,R1626)&lt;&gt;"",INDEX(Parties!$E$5:$E$304,R1626)&lt;&gt;HomeState),ROUND(K1626*L1626,2),0)),"")</f>
        <v/>
      </c>
      <c r="P1626" s="61" t="str">
        <f aca="false">IF(IsPro,IF($D1626="","",K1626+M1626+N1626+O1626),"")</f>
        <v/>
      </c>
      <c r="Q1626" s="60" t="str">
        <f aca="false">IF(IsPro,IF($D1626="","",IFERROR(MATCH($D1626,Items!$A$5:$A$504,0),"")),"")</f>
        <v/>
      </c>
      <c r="R1626" s="60" t="str">
        <f aca="false">IF(IsPro,IF($C1626="","",IFERROR(MATCH($C1626,Parties!$A$5:$A$304,0),"")),"")</f>
        <v/>
      </c>
      <c r="S1626" s="61" t="str">
        <f aca="false">IF(IsPro,IF($D1626="","",IF(OR($H1626="",$H1626="Credit"),0,P1626)),"")</f>
        <v/>
      </c>
    </row>
    <row r="1627" customFormat="false" ht="15" hidden="false" customHeight="false" outlineLevel="0" collapsed="false">
      <c r="A1627" s="55"/>
      <c r="B1627" s="56"/>
      <c r="C1627" s="56"/>
      <c r="D1627" s="56"/>
      <c r="E1627" s="57"/>
      <c r="F1627" s="58"/>
      <c r="G1627" s="59"/>
      <c r="H1627" s="56"/>
      <c r="I1627" s="60" t="str">
        <f aca="false">IF(IsPro,IF($D1627="","",IFERROR(INDEX(Items!$D$5:$D$504,Q1627),"")),IF($D1627="","","PRO PLAN"))</f>
        <v/>
      </c>
      <c r="J1627" s="61" t="str">
        <f aca="false">IF(IsPro,IF($D1627="","",IF($F1627="",IFERROR(INDEX(Items!$G$5:$G$504,Q1627),0),$F1627)),"")</f>
        <v/>
      </c>
      <c r="K1627" s="61" t="str">
        <f aca="false">IF(IsPro,IF($D1627="","",ROUND(N($E1627)*J1627*(1-N($G1627)),2)),"")</f>
        <v/>
      </c>
      <c r="L1627" s="62" t="str">
        <f aca="false">IF(IsPro,IF($D1627="","",IFERROR(INDEX(Items!$F$5:$F$504,Q1627),0)),"")</f>
        <v/>
      </c>
      <c r="M1627" s="61" t="str">
        <f aca="false">IF(IsPro,IF($D1627="","",IF(AND(R1627&lt;&gt;"",INDEX(Parties!$E$5:$E$304,R1627)&lt;&gt;"",INDEX(Parties!$E$5:$E$304,R1627)&lt;&gt;HomeState),0,ROUND(K1627*L1627/2,2))),"")</f>
        <v/>
      </c>
      <c r="N1627" s="61" t="str">
        <f aca="false">IF(IsPro,IF($D1627="","",M1627),"")</f>
        <v/>
      </c>
      <c r="O1627" s="61" t="str">
        <f aca="false">IF(IsPro,IF($D1627="","",IF(AND(R1627&lt;&gt;"",INDEX(Parties!$E$5:$E$304,R1627)&lt;&gt;"",INDEX(Parties!$E$5:$E$304,R1627)&lt;&gt;HomeState),ROUND(K1627*L1627,2),0)),"")</f>
        <v/>
      </c>
      <c r="P1627" s="61" t="str">
        <f aca="false">IF(IsPro,IF($D1627="","",K1627+M1627+N1627+O1627),"")</f>
        <v/>
      </c>
      <c r="Q1627" s="60" t="str">
        <f aca="false">IF(IsPro,IF($D1627="","",IFERROR(MATCH($D1627,Items!$A$5:$A$504,0),"")),"")</f>
        <v/>
      </c>
      <c r="R1627" s="60" t="str">
        <f aca="false">IF(IsPro,IF($C1627="","",IFERROR(MATCH($C1627,Parties!$A$5:$A$304,0),"")),"")</f>
        <v/>
      </c>
      <c r="S1627" s="61" t="str">
        <f aca="false">IF(IsPro,IF($D1627="","",IF(OR($H1627="",$H1627="Credit"),0,P1627)),"")</f>
        <v/>
      </c>
    </row>
    <row r="1628" customFormat="false" ht="15" hidden="false" customHeight="false" outlineLevel="0" collapsed="false">
      <c r="A1628" s="55"/>
      <c r="B1628" s="56"/>
      <c r="C1628" s="56"/>
      <c r="D1628" s="56"/>
      <c r="E1628" s="57"/>
      <c r="F1628" s="58"/>
      <c r="G1628" s="59"/>
      <c r="H1628" s="56"/>
      <c r="I1628" s="60" t="str">
        <f aca="false">IF(IsPro,IF($D1628="","",IFERROR(INDEX(Items!$D$5:$D$504,Q1628),"")),IF($D1628="","","PRO PLAN"))</f>
        <v/>
      </c>
      <c r="J1628" s="61" t="str">
        <f aca="false">IF(IsPro,IF($D1628="","",IF($F1628="",IFERROR(INDEX(Items!$G$5:$G$504,Q1628),0),$F1628)),"")</f>
        <v/>
      </c>
      <c r="K1628" s="61" t="str">
        <f aca="false">IF(IsPro,IF($D1628="","",ROUND(N($E1628)*J1628*(1-N($G1628)),2)),"")</f>
        <v/>
      </c>
      <c r="L1628" s="62" t="str">
        <f aca="false">IF(IsPro,IF($D1628="","",IFERROR(INDEX(Items!$F$5:$F$504,Q1628),0)),"")</f>
        <v/>
      </c>
      <c r="M1628" s="61" t="str">
        <f aca="false">IF(IsPro,IF($D1628="","",IF(AND(R1628&lt;&gt;"",INDEX(Parties!$E$5:$E$304,R1628)&lt;&gt;"",INDEX(Parties!$E$5:$E$304,R1628)&lt;&gt;HomeState),0,ROUND(K1628*L1628/2,2))),"")</f>
        <v/>
      </c>
      <c r="N1628" s="61" t="str">
        <f aca="false">IF(IsPro,IF($D1628="","",M1628),"")</f>
        <v/>
      </c>
      <c r="O1628" s="61" t="str">
        <f aca="false">IF(IsPro,IF($D1628="","",IF(AND(R1628&lt;&gt;"",INDEX(Parties!$E$5:$E$304,R1628)&lt;&gt;"",INDEX(Parties!$E$5:$E$304,R1628)&lt;&gt;HomeState),ROUND(K1628*L1628,2),0)),"")</f>
        <v/>
      </c>
      <c r="P1628" s="61" t="str">
        <f aca="false">IF(IsPro,IF($D1628="","",K1628+M1628+N1628+O1628),"")</f>
        <v/>
      </c>
      <c r="Q1628" s="60" t="str">
        <f aca="false">IF(IsPro,IF($D1628="","",IFERROR(MATCH($D1628,Items!$A$5:$A$504,0),"")),"")</f>
        <v/>
      </c>
      <c r="R1628" s="60" t="str">
        <f aca="false">IF(IsPro,IF($C1628="","",IFERROR(MATCH($C1628,Parties!$A$5:$A$304,0),"")),"")</f>
        <v/>
      </c>
      <c r="S1628" s="61" t="str">
        <f aca="false">IF(IsPro,IF($D1628="","",IF(OR($H1628="",$H1628="Credit"),0,P1628)),"")</f>
        <v/>
      </c>
    </row>
    <row r="1629" customFormat="false" ht="15" hidden="false" customHeight="false" outlineLevel="0" collapsed="false">
      <c r="A1629" s="55"/>
      <c r="B1629" s="56"/>
      <c r="C1629" s="56"/>
      <c r="D1629" s="56"/>
      <c r="E1629" s="57"/>
      <c r="F1629" s="58"/>
      <c r="G1629" s="59"/>
      <c r="H1629" s="56"/>
      <c r="I1629" s="60" t="str">
        <f aca="false">IF(IsPro,IF($D1629="","",IFERROR(INDEX(Items!$D$5:$D$504,Q1629),"")),IF($D1629="","","PRO PLAN"))</f>
        <v/>
      </c>
      <c r="J1629" s="61" t="str">
        <f aca="false">IF(IsPro,IF($D1629="","",IF($F1629="",IFERROR(INDEX(Items!$G$5:$G$504,Q1629),0),$F1629)),"")</f>
        <v/>
      </c>
      <c r="K1629" s="61" t="str">
        <f aca="false">IF(IsPro,IF($D1629="","",ROUND(N($E1629)*J1629*(1-N($G1629)),2)),"")</f>
        <v/>
      </c>
      <c r="L1629" s="62" t="str">
        <f aca="false">IF(IsPro,IF($D1629="","",IFERROR(INDEX(Items!$F$5:$F$504,Q1629),0)),"")</f>
        <v/>
      </c>
      <c r="M1629" s="61" t="str">
        <f aca="false">IF(IsPro,IF($D1629="","",IF(AND(R1629&lt;&gt;"",INDEX(Parties!$E$5:$E$304,R1629)&lt;&gt;"",INDEX(Parties!$E$5:$E$304,R1629)&lt;&gt;HomeState),0,ROUND(K1629*L1629/2,2))),"")</f>
        <v/>
      </c>
      <c r="N1629" s="61" t="str">
        <f aca="false">IF(IsPro,IF($D1629="","",M1629),"")</f>
        <v/>
      </c>
      <c r="O1629" s="61" t="str">
        <f aca="false">IF(IsPro,IF($D1629="","",IF(AND(R1629&lt;&gt;"",INDEX(Parties!$E$5:$E$304,R1629)&lt;&gt;"",INDEX(Parties!$E$5:$E$304,R1629)&lt;&gt;HomeState),ROUND(K1629*L1629,2),0)),"")</f>
        <v/>
      </c>
      <c r="P1629" s="61" t="str">
        <f aca="false">IF(IsPro,IF($D1629="","",K1629+M1629+N1629+O1629),"")</f>
        <v/>
      </c>
      <c r="Q1629" s="60" t="str">
        <f aca="false">IF(IsPro,IF($D1629="","",IFERROR(MATCH($D1629,Items!$A$5:$A$504,0),"")),"")</f>
        <v/>
      </c>
      <c r="R1629" s="60" t="str">
        <f aca="false">IF(IsPro,IF($C1629="","",IFERROR(MATCH($C1629,Parties!$A$5:$A$304,0),"")),"")</f>
        <v/>
      </c>
      <c r="S1629" s="61" t="str">
        <f aca="false">IF(IsPro,IF($D1629="","",IF(OR($H1629="",$H1629="Credit"),0,P1629)),"")</f>
        <v/>
      </c>
    </row>
    <row r="1630" customFormat="false" ht="15" hidden="false" customHeight="false" outlineLevel="0" collapsed="false">
      <c r="A1630" s="55"/>
      <c r="B1630" s="56"/>
      <c r="C1630" s="56"/>
      <c r="D1630" s="56"/>
      <c r="E1630" s="57"/>
      <c r="F1630" s="58"/>
      <c r="G1630" s="59"/>
      <c r="H1630" s="56"/>
      <c r="I1630" s="60" t="str">
        <f aca="false">IF(IsPro,IF($D1630="","",IFERROR(INDEX(Items!$D$5:$D$504,Q1630),"")),IF($D1630="","","PRO PLAN"))</f>
        <v/>
      </c>
      <c r="J1630" s="61" t="str">
        <f aca="false">IF(IsPro,IF($D1630="","",IF($F1630="",IFERROR(INDEX(Items!$G$5:$G$504,Q1630),0),$F1630)),"")</f>
        <v/>
      </c>
      <c r="K1630" s="61" t="str">
        <f aca="false">IF(IsPro,IF($D1630="","",ROUND(N($E1630)*J1630*(1-N($G1630)),2)),"")</f>
        <v/>
      </c>
      <c r="L1630" s="62" t="str">
        <f aca="false">IF(IsPro,IF($D1630="","",IFERROR(INDEX(Items!$F$5:$F$504,Q1630),0)),"")</f>
        <v/>
      </c>
      <c r="M1630" s="61" t="str">
        <f aca="false">IF(IsPro,IF($D1630="","",IF(AND(R1630&lt;&gt;"",INDEX(Parties!$E$5:$E$304,R1630)&lt;&gt;"",INDEX(Parties!$E$5:$E$304,R1630)&lt;&gt;HomeState),0,ROUND(K1630*L1630/2,2))),"")</f>
        <v/>
      </c>
      <c r="N1630" s="61" t="str">
        <f aca="false">IF(IsPro,IF($D1630="","",M1630),"")</f>
        <v/>
      </c>
      <c r="O1630" s="61" t="str">
        <f aca="false">IF(IsPro,IF($D1630="","",IF(AND(R1630&lt;&gt;"",INDEX(Parties!$E$5:$E$304,R1630)&lt;&gt;"",INDEX(Parties!$E$5:$E$304,R1630)&lt;&gt;HomeState),ROUND(K1630*L1630,2),0)),"")</f>
        <v/>
      </c>
      <c r="P1630" s="61" t="str">
        <f aca="false">IF(IsPro,IF($D1630="","",K1630+M1630+N1630+O1630),"")</f>
        <v/>
      </c>
      <c r="Q1630" s="60" t="str">
        <f aca="false">IF(IsPro,IF($D1630="","",IFERROR(MATCH($D1630,Items!$A$5:$A$504,0),"")),"")</f>
        <v/>
      </c>
      <c r="R1630" s="60" t="str">
        <f aca="false">IF(IsPro,IF($C1630="","",IFERROR(MATCH($C1630,Parties!$A$5:$A$304,0),"")),"")</f>
        <v/>
      </c>
      <c r="S1630" s="61" t="str">
        <f aca="false">IF(IsPro,IF($D1630="","",IF(OR($H1630="",$H1630="Credit"),0,P1630)),"")</f>
        <v/>
      </c>
    </row>
    <row r="1631" customFormat="false" ht="15" hidden="false" customHeight="false" outlineLevel="0" collapsed="false">
      <c r="A1631" s="55"/>
      <c r="B1631" s="56"/>
      <c r="C1631" s="56"/>
      <c r="D1631" s="56"/>
      <c r="E1631" s="57"/>
      <c r="F1631" s="58"/>
      <c r="G1631" s="59"/>
      <c r="H1631" s="56"/>
      <c r="I1631" s="60" t="str">
        <f aca="false">IF(IsPro,IF($D1631="","",IFERROR(INDEX(Items!$D$5:$D$504,Q1631),"")),IF($D1631="","","PRO PLAN"))</f>
        <v/>
      </c>
      <c r="J1631" s="61" t="str">
        <f aca="false">IF(IsPro,IF($D1631="","",IF($F1631="",IFERROR(INDEX(Items!$G$5:$G$504,Q1631),0),$F1631)),"")</f>
        <v/>
      </c>
      <c r="K1631" s="61" t="str">
        <f aca="false">IF(IsPro,IF($D1631="","",ROUND(N($E1631)*J1631*(1-N($G1631)),2)),"")</f>
        <v/>
      </c>
      <c r="L1631" s="62" t="str">
        <f aca="false">IF(IsPro,IF($D1631="","",IFERROR(INDEX(Items!$F$5:$F$504,Q1631),0)),"")</f>
        <v/>
      </c>
      <c r="M1631" s="61" t="str">
        <f aca="false">IF(IsPro,IF($D1631="","",IF(AND(R1631&lt;&gt;"",INDEX(Parties!$E$5:$E$304,R1631)&lt;&gt;"",INDEX(Parties!$E$5:$E$304,R1631)&lt;&gt;HomeState),0,ROUND(K1631*L1631/2,2))),"")</f>
        <v/>
      </c>
      <c r="N1631" s="61" t="str">
        <f aca="false">IF(IsPro,IF($D1631="","",M1631),"")</f>
        <v/>
      </c>
      <c r="O1631" s="61" t="str">
        <f aca="false">IF(IsPro,IF($D1631="","",IF(AND(R1631&lt;&gt;"",INDEX(Parties!$E$5:$E$304,R1631)&lt;&gt;"",INDEX(Parties!$E$5:$E$304,R1631)&lt;&gt;HomeState),ROUND(K1631*L1631,2),0)),"")</f>
        <v/>
      </c>
      <c r="P1631" s="61" t="str">
        <f aca="false">IF(IsPro,IF($D1631="","",K1631+M1631+N1631+O1631),"")</f>
        <v/>
      </c>
      <c r="Q1631" s="60" t="str">
        <f aca="false">IF(IsPro,IF($D1631="","",IFERROR(MATCH($D1631,Items!$A$5:$A$504,0),"")),"")</f>
        <v/>
      </c>
      <c r="R1631" s="60" t="str">
        <f aca="false">IF(IsPro,IF($C1631="","",IFERROR(MATCH($C1631,Parties!$A$5:$A$304,0),"")),"")</f>
        <v/>
      </c>
      <c r="S1631" s="61" t="str">
        <f aca="false">IF(IsPro,IF($D1631="","",IF(OR($H1631="",$H1631="Credit"),0,P1631)),"")</f>
        <v/>
      </c>
    </row>
    <row r="1632" customFormat="false" ht="15" hidden="false" customHeight="false" outlineLevel="0" collapsed="false">
      <c r="A1632" s="55"/>
      <c r="B1632" s="56"/>
      <c r="C1632" s="56"/>
      <c r="D1632" s="56"/>
      <c r="E1632" s="57"/>
      <c r="F1632" s="58"/>
      <c r="G1632" s="59"/>
      <c r="H1632" s="56"/>
      <c r="I1632" s="60" t="str">
        <f aca="false">IF(IsPro,IF($D1632="","",IFERROR(INDEX(Items!$D$5:$D$504,Q1632),"")),IF($D1632="","","PRO PLAN"))</f>
        <v/>
      </c>
      <c r="J1632" s="61" t="str">
        <f aca="false">IF(IsPro,IF($D1632="","",IF($F1632="",IFERROR(INDEX(Items!$G$5:$G$504,Q1632),0),$F1632)),"")</f>
        <v/>
      </c>
      <c r="K1632" s="61" t="str">
        <f aca="false">IF(IsPro,IF($D1632="","",ROUND(N($E1632)*J1632*(1-N($G1632)),2)),"")</f>
        <v/>
      </c>
      <c r="L1632" s="62" t="str">
        <f aca="false">IF(IsPro,IF($D1632="","",IFERROR(INDEX(Items!$F$5:$F$504,Q1632),0)),"")</f>
        <v/>
      </c>
      <c r="M1632" s="61" t="str">
        <f aca="false">IF(IsPro,IF($D1632="","",IF(AND(R1632&lt;&gt;"",INDEX(Parties!$E$5:$E$304,R1632)&lt;&gt;"",INDEX(Parties!$E$5:$E$304,R1632)&lt;&gt;HomeState),0,ROUND(K1632*L1632/2,2))),"")</f>
        <v/>
      </c>
      <c r="N1632" s="61" t="str">
        <f aca="false">IF(IsPro,IF($D1632="","",M1632),"")</f>
        <v/>
      </c>
      <c r="O1632" s="61" t="str">
        <f aca="false">IF(IsPro,IF($D1632="","",IF(AND(R1632&lt;&gt;"",INDEX(Parties!$E$5:$E$304,R1632)&lt;&gt;"",INDEX(Parties!$E$5:$E$304,R1632)&lt;&gt;HomeState),ROUND(K1632*L1632,2),0)),"")</f>
        <v/>
      </c>
      <c r="P1632" s="61" t="str">
        <f aca="false">IF(IsPro,IF($D1632="","",K1632+M1632+N1632+O1632),"")</f>
        <v/>
      </c>
      <c r="Q1632" s="60" t="str">
        <f aca="false">IF(IsPro,IF($D1632="","",IFERROR(MATCH($D1632,Items!$A$5:$A$504,0),"")),"")</f>
        <v/>
      </c>
      <c r="R1632" s="60" t="str">
        <f aca="false">IF(IsPro,IF($C1632="","",IFERROR(MATCH($C1632,Parties!$A$5:$A$304,0),"")),"")</f>
        <v/>
      </c>
      <c r="S1632" s="61" t="str">
        <f aca="false">IF(IsPro,IF($D1632="","",IF(OR($H1632="",$H1632="Credit"),0,P1632)),"")</f>
        <v/>
      </c>
    </row>
    <row r="1633" customFormat="false" ht="15" hidden="false" customHeight="false" outlineLevel="0" collapsed="false">
      <c r="A1633" s="55"/>
      <c r="B1633" s="56"/>
      <c r="C1633" s="56"/>
      <c r="D1633" s="56"/>
      <c r="E1633" s="57"/>
      <c r="F1633" s="58"/>
      <c r="G1633" s="59"/>
      <c r="H1633" s="56"/>
      <c r="I1633" s="60" t="str">
        <f aca="false">IF(IsPro,IF($D1633="","",IFERROR(INDEX(Items!$D$5:$D$504,Q1633),"")),IF($D1633="","","PRO PLAN"))</f>
        <v/>
      </c>
      <c r="J1633" s="61" t="str">
        <f aca="false">IF(IsPro,IF($D1633="","",IF($F1633="",IFERROR(INDEX(Items!$G$5:$G$504,Q1633),0),$F1633)),"")</f>
        <v/>
      </c>
      <c r="K1633" s="61" t="str">
        <f aca="false">IF(IsPro,IF($D1633="","",ROUND(N($E1633)*J1633*(1-N($G1633)),2)),"")</f>
        <v/>
      </c>
      <c r="L1633" s="62" t="str">
        <f aca="false">IF(IsPro,IF($D1633="","",IFERROR(INDEX(Items!$F$5:$F$504,Q1633),0)),"")</f>
        <v/>
      </c>
      <c r="M1633" s="61" t="str">
        <f aca="false">IF(IsPro,IF($D1633="","",IF(AND(R1633&lt;&gt;"",INDEX(Parties!$E$5:$E$304,R1633)&lt;&gt;"",INDEX(Parties!$E$5:$E$304,R1633)&lt;&gt;HomeState),0,ROUND(K1633*L1633/2,2))),"")</f>
        <v/>
      </c>
      <c r="N1633" s="61" t="str">
        <f aca="false">IF(IsPro,IF($D1633="","",M1633),"")</f>
        <v/>
      </c>
      <c r="O1633" s="61" t="str">
        <f aca="false">IF(IsPro,IF($D1633="","",IF(AND(R1633&lt;&gt;"",INDEX(Parties!$E$5:$E$304,R1633)&lt;&gt;"",INDEX(Parties!$E$5:$E$304,R1633)&lt;&gt;HomeState),ROUND(K1633*L1633,2),0)),"")</f>
        <v/>
      </c>
      <c r="P1633" s="61" t="str">
        <f aca="false">IF(IsPro,IF($D1633="","",K1633+M1633+N1633+O1633),"")</f>
        <v/>
      </c>
      <c r="Q1633" s="60" t="str">
        <f aca="false">IF(IsPro,IF($D1633="","",IFERROR(MATCH($D1633,Items!$A$5:$A$504,0),"")),"")</f>
        <v/>
      </c>
      <c r="R1633" s="60" t="str">
        <f aca="false">IF(IsPro,IF($C1633="","",IFERROR(MATCH($C1633,Parties!$A$5:$A$304,0),"")),"")</f>
        <v/>
      </c>
      <c r="S1633" s="61" t="str">
        <f aca="false">IF(IsPro,IF($D1633="","",IF(OR($H1633="",$H1633="Credit"),0,P1633)),"")</f>
        <v/>
      </c>
    </row>
    <row r="1634" customFormat="false" ht="15" hidden="false" customHeight="false" outlineLevel="0" collapsed="false">
      <c r="A1634" s="55"/>
      <c r="B1634" s="56"/>
      <c r="C1634" s="56"/>
      <c r="D1634" s="56"/>
      <c r="E1634" s="57"/>
      <c r="F1634" s="58"/>
      <c r="G1634" s="59"/>
      <c r="H1634" s="56"/>
      <c r="I1634" s="60" t="str">
        <f aca="false">IF(IsPro,IF($D1634="","",IFERROR(INDEX(Items!$D$5:$D$504,Q1634),"")),IF($D1634="","","PRO PLAN"))</f>
        <v/>
      </c>
      <c r="J1634" s="61" t="str">
        <f aca="false">IF(IsPro,IF($D1634="","",IF($F1634="",IFERROR(INDEX(Items!$G$5:$G$504,Q1634),0),$F1634)),"")</f>
        <v/>
      </c>
      <c r="K1634" s="61" t="str">
        <f aca="false">IF(IsPro,IF($D1634="","",ROUND(N($E1634)*J1634*(1-N($G1634)),2)),"")</f>
        <v/>
      </c>
      <c r="L1634" s="62" t="str">
        <f aca="false">IF(IsPro,IF($D1634="","",IFERROR(INDEX(Items!$F$5:$F$504,Q1634),0)),"")</f>
        <v/>
      </c>
      <c r="M1634" s="61" t="str">
        <f aca="false">IF(IsPro,IF($D1634="","",IF(AND(R1634&lt;&gt;"",INDEX(Parties!$E$5:$E$304,R1634)&lt;&gt;"",INDEX(Parties!$E$5:$E$304,R1634)&lt;&gt;HomeState),0,ROUND(K1634*L1634/2,2))),"")</f>
        <v/>
      </c>
      <c r="N1634" s="61" t="str">
        <f aca="false">IF(IsPro,IF($D1634="","",M1634),"")</f>
        <v/>
      </c>
      <c r="O1634" s="61" t="str">
        <f aca="false">IF(IsPro,IF($D1634="","",IF(AND(R1634&lt;&gt;"",INDEX(Parties!$E$5:$E$304,R1634)&lt;&gt;"",INDEX(Parties!$E$5:$E$304,R1634)&lt;&gt;HomeState),ROUND(K1634*L1634,2),0)),"")</f>
        <v/>
      </c>
      <c r="P1634" s="61" t="str">
        <f aca="false">IF(IsPro,IF($D1634="","",K1634+M1634+N1634+O1634),"")</f>
        <v/>
      </c>
      <c r="Q1634" s="60" t="str">
        <f aca="false">IF(IsPro,IF($D1634="","",IFERROR(MATCH($D1634,Items!$A$5:$A$504,0),"")),"")</f>
        <v/>
      </c>
      <c r="R1634" s="60" t="str">
        <f aca="false">IF(IsPro,IF($C1634="","",IFERROR(MATCH($C1634,Parties!$A$5:$A$304,0),"")),"")</f>
        <v/>
      </c>
      <c r="S1634" s="61" t="str">
        <f aca="false">IF(IsPro,IF($D1634="","",IF(OR($H1634="",$H1634="Credit"),0,P1634)),"")</f>
        <v/>
      </c>
    </row>
    <row r="1635" customFormat="false" ht="15" hidden="false" customHeight="false" outlineLevel="0" collapsed="false">
      <c r="A1635" s="55"/>
      <c r="B1635" s="56"/>
      <c r="C1635" s="56"/>
      <c r="D1635" s="56"/>
      <c r="E1635" s="57"/>
      <c r="F1635" s="58"/>
      <c r="G1635" s="59"/>
      <c r="H1635" s="56"/>
      <c r="I1635" s="60" t="str">
        <f aca="false">IF(IsPro,IF($D1635="","",IFERROR(INDEX(Items!$D$5:$D$504,Q1635),"")),IF($D1635="","","PRO PLAN"))</f>
        <v/>
      </c>
      <c r="J1635" s="61" t="str">
        <f aca="false">IF(IsPro,IF($D1635="","",IF($F1635="",IFERROR(INDEX(Items!$G$5:$G$504,Q1635),0),$F1635)),"")</f>
        <v/>
      </c>
      <c r="K1635" s="61" t="str">
        <f aca="false">IF(IsPro,IF($D1635="","",ROUND(N($E1635)*J1635*(1-N($G1635)),2)),"")</f>
        <v/>
      </c>
      <c r="L1635" s="62" t="str">
        <f aca="false">IF(IsPro,IF($D1635="","",IFERROR(INDEX(Items!$F$5:$F$504,Q1635),0)),"")</f>
        <v/>
      </c>
      <c r="M1635" s="61" t="str">
        <f aca="false">IF(IsPro,IF($D1635="","",IF(AND(R1635&lt;&gt;"",INDEX(Parties!$E$5:$E$304,R1635)&lt;&gt;"",INDEX(Parties!$E$5:$E$304,R1635)&lt;&gt;HomeState),0,ROUND(K1635*L1635/2,2))),"")</f>
        <v/>
      </c>
      <c r="N1635" s="61" t="str">
        <f aca="false">IF(IsPro,IF($D1635="","",M1635),"")</f>
        <v/>
      </c>
      <c r="O1635" s="61" t="str">
        <f aca="false">IF(IsPro,IF($D1635="","",IF(AND(R1635&lt;&gt;"",INDEX(Parties!$E$5:$E$304,R1635)&lt;&gt;"",INDEX(Parties!$E$5:$E$304,R1635)&lt;&gt;HomeState),ROUND(K1635*L1635,2),0)),"")</f>
        <v/>
      </c>
      <c r="P1635" s="61" t="str">
        <f aca="false">IF(IsPro,IF($D1635="","",K1635+M1635+N1635+O1635),"")</f>
        <v/>
      </c>
      <c r="Q1635" s="60" t="str">
        <f aca="false">IF(IsPro,IF($D1635="","",IFERROR(MATCH($D1635,Items!$A$5:$A$504,0),"")),"")</f>
        <v/>
      </c>
      <c r="R1635" s="60" t="str">
        <f aca="false">IF(IsPro,IF($C1635="","",IFERROR(MATCH($C1635,Parties!$A$5:$A$304,0),"")),"")</f>
        <v/>
      </c>
      <c r="S1635" s="61" t="str">
        <f aca="false">IF(IsPro,IF($D1635="","",IF(OR($H1635="",$H1635="Credit"),0,P1635)),"")</f>
        <v/>
      </c>
    </row>
    <row r="1636" customFormat="false" ht="15" hidden="false" customHeight="false" outlineLevel="0" collapsed="false">
      <c r="A1636" s="55"/>
      <c r="B1636" s="56"/>
      <c r="C1636" s="56"/>
      <c r="D1636" s="56"/>
      <c r="E1636" s="57"/>
      <c r="F1636" s="58"/>
      <c r="G1636" s="59"/>
      <c r="H1636" s="56"/>
      <c r="I1636" s="60" t="str">
        <f aca="false">IF(IsPro,IF($D1636="","",IFERROR(INDEX(Items!$D$5:$D$504,Q1636),"")),IF($D1636="","","PRO PLAN"))</f>
        <v/>
      </c>
      <c r="J1636" s="61" t="str">
        <f aca="false">IF(IsPro,IF($D1636="","",IF($F1636="",IFERROR(INDEX(Items!$G$5:$G$504,Q1636),0),$F1636)),"")</f>
        <v/>
      </c>
      <c r="K1636" s="61" t="str">
        <f aca="false">IF(IsPro,IF($D1636="","",ROUND(N($E1636)*J1636*(1-N($G1636)),2)),"")</f>
        <v/>
      </c>
      <c r="L1636" s="62" t="str">
        <f aca="false">IF(IsPro,IF($D1636="","",IFERROR(INDEX(Items!$F$5:$F$504,Q1636),0)),"")</f>
        <v/>
      </c>
      <c r="M1636" s="61" t="str">
        <f aca="false">IF(IsPro,IF($D1636="","",IF(AND(R1636&lt;&gt;"",INDEX(Parties!$E$5:$E$304,R1636)&lt;&gt;"",INDEX(Parties!$E$5:$E$304,R1636)&lt;&gt;HomeState),0,ROUND(K1636*L1636/2,2))),"")</f>
        <v/>
      </c>
      <c r="N1636" s="61" t="str">
        <f aca="false">IF(IsPro,IF($D1636="","",M1636),"")</f>
        <v/>
      </c>
      <c r="O1636" s="61" t="str">
        <f aca="false">IF(IsPro,IF($D1636="","",IF(AND(R1636&lt;&gt;"",INDEX(Parties!$E$5:$E$304,R1636)&lt;&gt;"",INDEX(Parties!$E$5:$E$304,R1636)&lt;&gt;HomeState),ROUND(K1636*L1636,2),0)),"")</f>
        <v/>
      </c>
      <c r="P1636" s="61" t="str">
        <f aca="false">IF(IsPro,IF($D1636="","",K1636+M1636+N1636+O1636),"")</f>
        <v/>
      </c>
      <c r="Q1636" s="60" t="str">
        <f aca="false">IF(IsPro,IF($D1636="","",IFERROR(MATCH($D1636,Items!$A$5:$A$504,0),"")),"")</f>
        <v/>
      </c>
      <c r="R1636" s="60" t="str">
        <f aca="false">IF(IsPro,IF($C1636="","",IFERROR(MATCH($C1636,Parties!$A$5:$A$304,0),"")),"")</f>
        <v/>
      </c>
      <c r="S1636" s="61" t="str">
        <f aca="false">IF(IsPro,IF($D1636="","",IF(OR($H1636="",$H1636="Credit"),0,P1636)),"")</f>
        <v/>
      </c>
    </row>
    <row r="1637" customFormat="false" ht="15" hidden="false" customHeight="false" outlineLevel="0" collapsed="false">
      <c r="A1637" s="55"/>
      <c r="B1637" s="56"/>
      <c r="C1637" s="56"/>
      <c r="D1637" s="56"/>
      <c r="E1637" s="57"/>
      <c r="F1637" s="58"/>
      <c r="G1637" s="59"/>
      <c r="H1637" s="56"/>
      <c r="I1637" s="60" t="str">
        <f aca="false">IF(IsPro,IF($D1637="","",IFERROR(INDEX(Items!$D$5:$D$504,Q1637),"")),IF($D1637="","","PRO PLAN"))</f>
        <v/>
      </c>
      <c r="J1637" s="61" t="str">
        <f aca="false">IF(IsPro,IF($D1637="","",IF($F1637="",IFERROR(INDEX(Items!$G$5:$G$504,Q1637),0),$F1637)),"")</f>
        <v/>
      </c>
      <c r="K1637" s="61" t="str">
        <f aca="false">IF(IsPro,IF($D1637="","",ROUND(N($E1637)*J1637*(1-N($G1637)),2)),"")</f>
        <v/>
      </c>
      <c r="L1637" s="62" t="str">
        <f aca="false">IF(IsPro,IF($D1637="","",IFERROR(INDEX(Items!$F$5:$F$504,Q1637),0)),"")</f>
        <v/>
      </c>
      <c r="M1637" s="61" t="str">
        <f aca="false">IF(IsPro,IF($D1637="","",IF(AND(R1637&lt;&gt;"",INDEX(Parties!$E$5:$E$304,R1637)&lt;&gt;"",INDEX(Parties!$E$5:$E$304,R1637)&lt;&gt;HomeState),0,ROUND(K1637*L1637/2,2))),"")</f>
        <v/>
      </c>
      <c r="N1637" s="61" t="str">
        <f aca="false">IF(IsPro,IF($D1637="","",M1637),"")</f>
        <v/>
      </c>
      <c r="O1637" s="61" t="str">
        <f aca="false">IF(IsPro,IF($D1637="","",IF(AND(R1637&lt;&gt;"",INDEX(Parties!$E$5:$E$304,R1637)&lt;&gt;"",INDEX(Parties!$E$5:$E$304,R1637)&lt;&gt;HomeState),ROUND(K1637*L1637,2),0)),"")</f>
        <v/>
      </c>
      <c r="P1637" s="61" t="str">
        <f aca="false">IF(IsPro,IF($D1637="","",K1637+M1637+N1637+O1637),"")</f>
        <v/>
      </c>
      <c r="Q1637" s="60" t="str">
        <f aca="false">IF(IsPro,IF($D1637="","",IFERROR(MATCH($D1637,Items!$A$5:$A$504,0),"")),"")</f>
        <v/>
      </c>
      <c r="R1637" s="60" t="str">
        <f aca="false">IF(IsPro,IF($C1637="","",IFERROR(MATCH($C1637,Parties!$A$5:$A$304,0),"")),"")</f>
        <v/>
      </c>
      <c r="S1637" s="61" t="str">
        <f aca="false">IF(IsPro,IF($D1637="","",IF(OR($H1637="",$H1637="Credit"),0,P1637)),"")</f>
        <v/>
      </c>
    </row>
    <row r="1638" customFormat="false" ht="15" hidden="false" customHeight="false" outlineLevel="0" collapsed="false">
      <c r="A1638" s="55"/>
      <c r="B1638" s="56"/>
      <c r="C1638" s="56"/>
      <c r="D1638" s="56"/>
      <c r="E1638" s="57"/>
      <c r="F1638" s="58"/>
      <c r="G1638" s="59"/>
      <c r="H1638" s="56"/>
      <c r="I1638" s="60" t="str">
        <f aca="false">IF(IsPro,IF($D1638="","",IFERROR(INDEX(Items!$D$5:$D$504,Q1638),"")),IF($D1638="","","PRO PLAN"))</f>
        <v/>
      </c>
      <c r="J1638" s="61" t="str">
        <f aca="false">IF(IsPro,IF($D1638="","",IF($F1638="",IFERROR(INDEX(Items!$G$5:$G$504,Q1638),0),$F1638)),"")</f>
        <v/>
      </c>
      <c r="K1638" s="61" t="str">
        <f aca="false">IF(IsPro,IF($D1638="","",ROUND(N($E1638)*J1638*(1-N($G1638)),2)),"")</f>
        <v/>
      </c>
      <c r="L1638" s="62" t="str">
        <f aca="false">IF(IsPro,IF($D1638="","",IFERROR(INDEX(Items!$F$5:$F$504,Q1638),0)),"")</f>
        <v/>
      </c>
      <c r="M1638" s="61" t="str">
        <f aca="false">IF(IsPro,IF($D1638="","",IF(AND(R1638&lt;&gt;"",INDEX(Parties!$E$5:$E$304,R1638)&lt;&gt;"",INDEX(Parties!$E$5:$E$304,R1638)&lt;&gt;HomeState),0,ROUND(K1638*L1638/2,2))),"")</f>
        <v/>
      </c>
      <c r="N1638" s="61" t="str">
        <f aca="false">IF(IsPro,IF($D1638="","",M1638),"")</f>
        <v/>
      </c>
      <c r="O1638" s="61" t="str">
        <f aca="false">IF(IsPro,IF($D1638="","",IF(AND(R1638&lt;&gt;"",INDEX(Parties!$E$5:$E$304,R1638)&lt;&gt;"",INDEX(Parties!$E$5:$E$304,R1638)&lt;&gt;HomeState),ROUND(K1638*L1638,2),0)),"")</f>
        <v/>
      </c>
      <c r="P1638" s="61" t="str">
        <f aca="false">IF(IsPro,IF($D1638="","",K1638+M1638+N1638+O1638),"")</f>
        <v/>
      </c>
      <c r="Q1638" s="60" t="str">
        <f aca="false">IF(IsPro,IF($D1638="","",IFERROR(MATCH($D1638,Items!$A$5:$A$504,0),"")),"")</f>
        <v/>
      </c>
      <c r="R1638" s="60" t="str">
        <f aca="false">IF(IsPro,IF($C1638="","",IFERROR(MATCH($C1638,Parties!$A$5:$A$304,0),"")),"")</f>
        <v/>
      </c>
      <c r="S1638" s="61" t="str">
        <f aca="false">IF(IsPro,IF($D1638="","",IF(OR($H1638="",$H1638="Credit"),0,P1638)),"")</f>
        <v/>
      </c>
    </row>
    <row r="1639" customFormat="false" ht="15" hidden="false" customHeight="false" outlineLevel="0" collapsed="false">
      <c r="A1639" s="55"/>
      <c r="B1639" s="56"/>
      <c r="C1639" s="56"/>
      <c r="D1639" s="56"/>
      <c r="E1639" s="57"/>
      <c r="F1639" s="58"/>
      <c r="G1639" s="59"/>
      <c r="H1639" s="56"/>
      <c r="I1639" s="60" t="str">
        <f aca="false">IF(IsPro,IF($D1639="","",IFERROR(INDEX(Items!$D$5:$D$504,Q1639),"")),IF($D1639="","","PRO PLAN"))</f>
        <v/>
      </c>
      <c r="J1639" s="61" t="str">
        <f aca="false">IF(IsPro,IF($D1639="","",IF($F1639="",IFERROR(INDEX(Items!$G$5:$G$504,Q1639),0),$F1639)),"")</f>
        <v/>
      </c>
      <c r="K1639" s="61" t="str">
        <f aca="false">IF(IsPro,IF($D1639="","",ROUND(N($E1639)*J1639*(1-N($G1639)),2)),"")</f>
        <v/>
      </c>
      <c r="L1639" s="62" t="str">
        <f aca="false">IF(IsPro,IF($D1639="","",IFERROR(INDEX(Items!$F$5:$F$504,Q1639),0)),"")</f>
        <v/>
      </c>
      <c r="M1639" s="61" t="str">
        <f aca="false">IF(IsPro,IF($D1639="","",IF(AND(R1639&lt;&gt;"",INDEX(Parties!$E$5:$E$304,R1639)&lt;&gt;"",INDEX(Parties!$E$5:$E$304,R1639)&lt;&gt;HomeState),0,ROUND(K1639*L1639/2,2))),"")</f>
        <v/>
      </c>
      <c r="N1639" s="61" t="str">
        <f aca="false">IF(IsPro,IF($D1639="","",M1639),"")</f>
        <v/>
      </c>
      <c r="O1639" s="61" t="str">
        <f aca="false">IF(IsPro,IF($D1639="","",IF(AND(R1639&lt;&gt;"",INDEX(Parties!$E$5:$E$304,R1639)&lt;&gt;"",INDEX(Parties!$E$5:$E$304,R1639)&lt;&gt;HomeState),ROUND(K1639*L1639,2),0)),"")</f>
        <v/>
      </c>
      <c r="P1639" s="61" t="str">
        <f aca="false">IF(IsPro,IF($D1639="","",K1639+M1639+N1639+O1639),"")</f>
        <v/>
      </c>
      <c r="Q1639" s="60" t="str">
        <f aca="false">IF(IsPro,IF($D1639="","",IFERROR(MATCH($D1639,Items!$A$5:$A$504,0),"")),"")</f>
        <v/>
      </c>
      <c r="R1639" s="60" t="str">
        <f aca="false">IF(IsPro,IF($C1639="","",IFERROR(MATCH($C1639,Parties!$A$5:$A$304,0),"")),"")</f>
        <v/>
      </c>
      <c r="S1639" s="61" t="str">
        <f aca="false">IF(IsPro,IF($D1639="","",IF(OR($H1639="",$H1639="Credit"),0,P1639)),"")</f>
        <v/>
      </c>
    </row>
    <row r="1640" customFormat="false" ht="15" hidden="false" customHeight="false" outlineLevel="0" collapsed="false">
      <c r="A1640" s="55"/>
      <c r="B1640" s="56"/>
      <c r="C1640" s="56"/>
      <c r="D1640" s="56"/>
      <c r="E1640" s="57"/>
      <c r="F1640" s="58"/>
      <c r="G1640" s="59"/>
      <c r="H1640" s="56"/>
      <c r="I1640" s="60" t="str">
        <f aca="false">IF(IsPro,IF($D1640="","",IFERROR(INDEX(Items!$D$5:$D$504,Q1640),"")),IF($D1640="","","PRO PLAN"))</f>
        <v/>
      </c>
      <c r="J1640" s="61" t="str">
        <f aca="false">IF(IsPro,IF($D1640="","",IF($F1640="",IFERROR(INDEX(Items!$G$5:$G$504,Q1640),0),$F1640)),"")</f>
        <v/>
      </c>
      <c r="K1640" s="61" t="str">
        <f aca="false">IF(IsPro,IF($D1640="","",ROUND(N($E1640)*J1640*(1-N($G1640)),2)),"")</f>
        <v/>
      </c>
      <c r="L1640" s="62" t="str">
        <f aca="false">IF(IsPro,IF($D1640="","",IFERROR(INDEX(Items!$F$5:$F$504,Q1640),0)),"")</f>
        <v/>
      </c>
      <c r="M1640" s="61" t="str">
        <f aca="false">IF(IsPro,IF($D1640="","",IF(AND(R1640&lt;&gt;"",INDEX(Parties!$E$5:$E$304,R1640)&lt;&gt;"",INDEX(Parties!$E$5:$E$304,R1640)&lt;&gt;HomeState),0,ROUND(K1640*L1640/2,2))),"")</f>
        <v/>
      </c>
      <c r="N1640" s="61" t="str">
        <f aca="false">IF(IsPro,IF($D1640="","",M1640),"")</f>
        <v/>
      </c>
      <c r="O1640" s="61" t="str">
        <f aca="false">IF(IsPro,IF($D1640="","",IF(AND(R1640&lt;&gt;"",INDEX(Parties!$E$5:$E$304,R1640)&lt;&gt;"",INDEX(Parties!$E$5:$E$304,R1640)&lt;&gt;HomeState),ROUND(K1640*L1640,2),0)),"")</f>
        <v/>
      </c>
      <c r="P1640" s="61" t="str">
        <f aca="false">IF(IsPro,IF($D1640="","",K1640+M1640+N1640+O1640),"")</f>
        <v/>
      </c>
      <c r="Q1640" s="60" t="str">
        <f aca="false">IF(IsPro,IF($D1640="","",IFERROR(MATCH($D1640,Items!$A$5:$A$504,0),"")),"")</f>
        <v/>
      </c>
      <c r="R1640" s="60" t="str">
        <f aca="false">IF(IsPro,IF($C1640="","",IFERROR(MATCH($C1640,Parties!$A$5:$A$304,0),"")),"")</f>
        <v/>
      </c>
      <c r="S1640" s="61" t="str">
        <f aca="false">IF(IsPro,IF($D1640="","",IF(OR($H1640="",$H1640="Credit"),0,P1640)),"")</f>
        <v/>
      </c>
    </row>
    <row r="1641" customFormat="false" ht="15" hidden="false" customHeight="false" outlineLevel="0" collapsed="false">
      <c r="A1641" s="55"/>
      <c r="B1641" s="56"/>
      <c r="C1641" s="56"/>
      <c r="D1641" s="56"/>
      <c r="E1641" s="57"/>
      <c r="F1641" s="58"/>
      <c r="G1641" s="59"/>
      <c r="H1641" s="56"/>
      <c r="I1641" s="60" t="str">
        <f aca="false">IF(IsPro,IF($D1641="","",IFERROR(INDEX(Items!$D$5:$D$504,Q1641),"")),IF($D1641="","","PRO PLAN"))</f>
        <v/>
      </c>
      <c r="J1641" s="61" t="str">
        <f aca="false">IF(IsPro,IF($D1641="","",IF($F1641="",IFERROR(INDEX(Items!$G$5:$G$504,Q1641),0),$F1641)),"")</f>
        <v/>
      </c>
      <c r="K1641" s="61" t="str">
        <f aca="false">IF(IsPro,IF($D1641="","",ROUND(N($E1641)*J1641*(1-N($G1641)),2)),"")</f>
        <v/>
      </c>
      <c r="L1641" s="62" t="str">
        <f aca="false">IF(IsPro,IF($D1641="","",IFERROR(INDEX(Items!$F$5:$F$504,Q1641),0)),"")</f>
        <v/>
      </c>
      <c r="M1641" s="61" t="str">
        <f aca="false">IF(IsPro,IF($D1641="","",IF(AND(R1641&lt;&gt;"",INDEX(Parties!$E$5:$E$304,R1641)&lt;&gt;"",INDEX(Parties!$E$5:$E$304,R1641)&lt;&gt;HomeState),0,ROUND(K1641*L1641/2,2))),"")</f>
        <v/>
      </c>
      <c r="N1641" s="61" t="str">
        <f aca="false">IF(IsPro,IF($D1641="","",M1641),"")</f>
        <v/>
      </c>
      <c r="O1641" s="61" t="str">
        <f aca="false">IF(IsPro,IF($D1641="","",IF(AND(R1641&lt;&gt;"",INDEX(Parties!$E$5:$E$304,R1641)&lt;&gt;"",INDEX(Parties!$E$5:$E$304,R1641)&lt;&gt;HomeState),ROUND(K1641*L1641,2),0)),"")</f>
        <v/>
      </c>
      <c r="P1641" s="61" t="str">
        <f aca="false">IF(IsPro,IF($D1641="","",K1641+M1641+N1641+O1641),"")</f>
        <v/>
      </c>
      <c r="Q1641" s="60" t="str">
        <f aca="false">IF(IsPro,IF($D1641="","",IFERROR(MATCH($D1641,Items!$A$5:$A$504,0),"")),"")</f>
        <v/>
      </c>
      <c r="R1641" s="60" t="str">
        <f aca="false">IF(IsPro,IF($C1641="","",IFERROR(MATCH($C1641,Parties!$A$5:$A$304,0),"")),"")</f>
        <v/>
      </c>
      <c r="S1641" s="61" t="str">
        <f aca="false">IF(IsPro,IF($D1641="","",IF(OR($H1641="",$H1641="Credit"),0,P1641)),"")</f>
        <v/>
      </c>
    </row>
    <row r="1642" customFormat="false" ht="15" hidden="false" customHeight="false" outlineLevel="0" collapsed="false">
      <c r="A1642" s="55"/>
      <c r="B1642" s="56"/>
      <c r="C1642" s="56"/>
      <c r="D1642" s="56"/>
      <c r="E1642" s="57"/>
      <c r="F1642" s="58"/>
      <c r="G1642" s="59"/>
      <c r="H1642" s="56"/>
      <c r="I1642" s="60" t="str">
        <f aca="false">IF(IsPro,IF($D1642="","",IFERROR(INDEX(Items!$D$5:$D$504,Q1642),"")),IF($D1642="","","PRO PLAN"))</f>
        <v/>
      </c>
      <c r="J1642" s="61" t="str">
        <f aca="false">IF(IsPro,IF($D1642="","",IF($F1642="",IFERROR(INDEX(Items!$G$5:$G$504,Q1642),0),$F1642)),"")</f>
        <v/>
      </c>
      <c r="K1642" s="61" t="str">
        <f aca="false">IF(IsPro,IF($D1642="","",ROUND(N($E1642)*J1642*(1-N($G1642)),2)),"")</f>
        <v/>
      </c>
      <c r="L1642" s="62" t="str">
        <f aca="false">IF(IsPro,IF($D1642="","",IFERROR(INDEX(Items!$F$5:$F$504,Q1642),0)),"")</f>
        <v/>
      </c>
      <c r="M1642" s="61" t="str">
        <f aca="false">IF(IsPro,IF($D1642="","",IF(AND(R1642&lt;&gt;"",INDEX(Parties!$E$5:$E$304,R1642)&lt;&gt;"",INDEX(Parties!$E$5:$E$304,R1642)&lt;&gt;HomeState),0,ROUND(K1642*L1642/2,2))),"")</f>
        <v/>
      </c>
      <c r="N1642" s="61" t="str">
        <f aca="false">IF(IsPro,IF($D1642="","",M1642),"")</f>
        <v/>
      </c>
      <c r="O1642" s="61" t="str">
        <f aca="false">IF(IsPro,IF($D1642="","",IF(AND(R1642&lt;&gt;"",INDEX(Parties!$E$5:$E$304,R1642)&lt;&gt;"",INDEX(Parties!$E$5:$E$304,R1642)&lt;&gt;HomeState),ROUND(K1642*L1642,2),0)),"")</f>
        <v/>
      </c>
      <c r="P1642" s="61" t="str">
        <f aca="false">IF(IsPro,IF($D1642="","",K1642+M1642+N1642+O1642),"")</f>
        <v/>
      </c>
      <c r="Q1642" s="60" t="str">
        <f aca="false">IF(IsPro,IF($D1642="","",IFERROR(MATCH($D1642,Items!$A$5:$A$504,0),"")),"")</f>
        <v/>
      </c>
      <c r="R1642" s="60" t="str">
        <f aca="false">IF(IsPro,IF($C1642="","",IFERROR(MATCH($C1642,Parties!$A$5:$A$304,0),"")),"")</f>
        <v/>
      </c>
      <c r="S1642" s="61" t="str">
        <f aca="false">IF(IsPro,IF($D1642="","",IF(OR($H1642="",$H1642="Credit"),0,P1642)),"")</f>
        <v/>
      </c>
    </row>
    <row r="1643" customFormat="false" ht="15" hidden="false" customHeight="false" outlineLevel="0" collapsed="false">
      <c r="A1643" s="55"/>
      <c r="B1643" s="56"/>
      <c r="C1643" s="56"/>
      <c r="D1643" s="56"/>
      <c r="E1643" s="57"/>
      <c r="F1643" s="58"/>
      <c r="G1643" s="59"/>
      <c r="H1643" s="56"/>
      <c r="I1643" s="60" t="str">
        <f aca="false">IF(IsPro,IF($D1643="","",IFERROR(INDEX(Items!$D$5:$D$504,Q1643),"")),IF($D1643="","","PRO PLAN"))</f>
        <v/>
      </c>
      <c r="J1643" s="61" t="str">
        <f aca="false">IF(IsPro,IF($D1643="","",IF($F1643="",IFERROR(INDEX(Items!$G$5:$G$504,Q1643),0),$F1643)),"")</f>
        <v/>
      </c>
      <c r="K1643" s="61" t="str">
        <f aca="false">IF(IsPro,IF($D1643="","",ROUND(N($E1643)*J1643*(1-N($G1643)),2)),"")</f>
        <v/>
      </c>
      <c r="L1643" s="62" t="str">
        <f aca="false">IF(IsPro,IF($D1643="","",IFERROR(INDEX(Items!$F$5:$F$504,Q1643),0)),"")</f>
        <v/>
      </c>
      <c r="M1643" s="61" t="str">
        <f aca="false">IF(IsPro,IF($D1643="","",IF(AND(R1643&lt;&gt;"",INDEX(Parties!$E$5:$E$304,R1643)&lt;&gt;"",INDEX(Parties!$E$5:$E$304,R1643)&lt;&gt;HomeState),0,ROUND(K1643*L1643/2,2))),"")</f>
        <v/>
      </c>
      <c r="N1643" s="61" t="str">
        <f aca="false">IF(IsPro,IF($D1643="","",M1643),"")</f>
        <v/>
      </c>
      <c r="O1643" s="61" t="str">
        <f aca="false">IF(IsPro,IF($D1643="","",IF(AND(R1643&lt;&gt;"",INDEX(Parties!$E$5:$E$304,R1643)&lt;&gt;"",INDEX(Parties!$E$5:$E$304,R1643)&lt;&gt;HomeState),ROUND(K1643*L1643,2),0)),"")</f>
        <v/>
      </c>
      <c r="P1643" s="61" t="str">
        <f aca="false">IF(IsPro,IF($D1643="","",K1643+M1643+N1643+O1643),"")</f>
        <v/>
      </c>
      <c r="Q1643" s="60" t="str">
        <f aca="false">IF(IsPro,IF($D1643="","",IFERROR(MATCH($D1643,Items!$A$5:$A$504,0),"")),"")</f>
        <v/>
      </c>
      <c r="R1643" s="60" t="str">
        <f aca="false">IF(IsPro,IF($C1643="","",IFERROR(MATCH($C1643,Parties!$A$5:$A$304,0),"")),"")</f>
        <v/>
      </c>
      <c r="S1643" s="61" t="str">
        <f aca="false">IF(IsPro,IF($D1643="","",IF(OR($H1643="",$H1643="Credit"),0,P1643)),"")</f>
        <v/>
      </c>
    </row>
    <row r="1644" customFormat="false" ht="15" hidden="false" customHeight="false" outlineLevel="0" collapsed="false">
      <c r="A1644" s="55"/>
      <c r="B1644" s="56"/>
      <c r="C1644" s="56"/>
      <c r="D1644" s="56"/>
      <c r="E1644" s="57"/>
      <c r="F1644" s="58"/>
      <c r="G1644" s="59"/>
      <c r="H1644" s="56"/>
      <c r="I1644" s="60" t="str">
        <f aca="false">IF(IsPro,IF($D1644="","",IFERROR(INDEX(Items!$D$5:$D$504,Q1644),"")),IF($D1644="","","PRO PLAN"))</f>
        <v/>
      </c>
      <c r="J1644" s="61" t="str">
        <f aca="false">IF(IsPro,IF($D1644="","",IF($F1644="",IFERROR(INDEX(Items!$G$5:$G$504,Q1644),0),$F1644)),"")</f>
        <v/>
      </c>
      <c r="K1644" s="61" t="str">
        <f aca="false">IF(IsPro,IF($D1644="","",ROUND(N($E1644)*J1644*(1-N($G1644)),2)),"")</f>
        <v/>
      </c>
      <c r="L1644" s="62" t="str">
        <f aca="false">IF(IsPro,IF($D1644="","",IFERROR(INDEX(Items!$F$5:$F$504,Q1644),0)),"")</f>
        <v/>
      </c>
      <c r="M1644" s="61" t="str">
        <f aca="false">IF(IsPro,IF($D1644="","",IF(AND(R1644&lt;&gt;"",INDEX(Parties!$E$5:$E$304,R1644)&lt;&gt;"",INDEX(Parties!$E$5:$E$304,R1644)&lt;&gt;HomeState),0,ROUND(K1644*L1644/2,2))),"")</f>
        <v/>
      </c>
      <c r="N1644" s="61" t="str">
        <f aca="false">IF(IsPro,IF($D1644="","",M1644),"")</f>
        <v/>
      </c>
      <c r="O1644" s="61" t="str">
        <f aca="false">IF(IsPro,IF($D1644="","",IF(AND(R1644&lt;&gt;"",INDEX(Parties!$E$5:$E$304,R1644)&lt;&gt;"",INDEX(Parties!$E$5:$E$304,R1644)&lt;&gt;HomeState),ROUND(K1644*L1644,2),0)),"")</f>
        <v/>
      </c>
      <c r="P1644" s="61" t="str">
        <f aca="false">IF(IsPro,IF($D1644="","",K1644+M1644+N1644+O1644),"")</f>
        <v/>
      </c>
      <c r="Q1644" s="60" t="str">
        <f aca="false">IF(IsPro,IF($D1644="","",IFERROR(MATCH($D1644,Items!$A$5:$A$504,0),"")),"")</f>
        <v/>
      </c>
      <c r="R1644" s="60" t="str">
        <f aca="false">IF(IsPro,IF($C1644="","",IFERROR(MATCH($C1644,Parties!$A$5:$A$304,0),"")),"")</f>
        <v/>
      </c>
      <c r="S1644" s="61" t="str">
        <f aca="false">IF(IsPro,IF($D1644="","",IF(OR($H1644="",$H1644="Credit"),0,P1644)),"")</f>
        <v/>
      </c>
    </row>
    <row r="1645" customFormat="false" ht="15" hidden="false" customHeight="false" outlineLevel="0" collapsed="false">
      <c r="A1645" s="55"/>
      <c r="B1645" s="56"/>
      <c r="C1645" s="56"/>
      <c r="D1645" s="56"/>
      <c r="E1645" s="57"/>
      <c r="F1645" s="58"/>
      <c r="G1645" s="59"/>
      <c r="H1645" s="56"/>
      <c r="I1645" s="60" t="str">
        <f aca="false">IF(IsPro,IF($D1645="","",IFERROR(INDEX(Items!$D$5:$D$504,Q1645),"")),IF($D1645="","","PRO PLAN"))</f>
        <v/>
      </c>
      <c r="J1645" s="61" t="str">
        <f aca="false">IF(IsPro,IF($D1645="","",IF($F1645="",IFERROR(INDEX(Items!$G$5:$G$504,Q1645),0),$F1645)),"")</f>
        <v/>
      </c>
      <c r="K1645" s="61" t="str">
        <f aca="false">IF(IsPro,IF($D1645="","",ROUND(N($E1645)*J1645*(1-N($G1645)),2)),"")</f>
        <v/>
      </c>
      <c r="L1645" s="62" t="str">
        <f aca="false">IF(IsPro,IF($D1645="","",IFERROR(INDEX(Items!$F$5:$F$504,Q1645),0)),"")</f>
        <v/>
      </c>
      <c r="M1645" s="61" t="str">
        <f aca="false">IF(IsPro,IF($D1645="","",IF(AND(R1645&lt;&gt;"",INDEX(Parties!$E$5:$E$304,R1645)&lt;&gt;"",INDEX(Parties!$E$5:$E$304,R1645)&lt;&gt;HomeState),0,ROUND(K1645*L1645/2,2))),"")</f>
        <v/>
      </c>
      <c r="N1645" s="61" t="str">
        <f aca="false">IF(IsPro,IF($D1645="","",M1645),"")</f>
        <v/>
      </c>
      <c r="O1645" s="61" t="str">
        <f aca="false">IF(IsPro,IF($D1645="","",IF(AND(R1645&lt;&gt;"",INDEX(Parties!$E$5:$E$304,R1645)&lt;&gt;"",INDEX(Parties!$E$5:$E$304,R1645)&lt;&gt;HomeState),ROUND(K1645*L1645,2),0)),"")</f>
        <v/>
      </c>
      <c r="P1645" s="61" t="str">
        <f aca="false">IF(IsPro,IF($D1645="","",K1645+M1645+N1645+O1645),"")</f>
        <v/>
      </c>
      <c r="Q1645" s="60" t="str">
        <f aca="false">IF(IsPro,IF($D1645="","",IFERROR(MATCH($D1645,Items!$A$5:$A$504,0),"")),"")</f>
        <v/>
      </c>
      <c r="R1645" s="60" t="str">
        <f aca="false">IF(IsPro,IF($C1645="","",IFERROR(MATCH($C1645,Parties!$A$5:$A$304,0),"")),"")</f>
        <v/>
      </c>
      <c r="S1645" s="61" t="str">
        <f aca="false">IF(IsPro,IF($D1645="","",IF(OR($H1645="",$H1645="Credit"),0,P1645)),"")</f>
        <v/>
      </c>
    </row>
    <row r="1646" customFormat="false" ht="15" hidden="false" customHeight="false" outlineLevel="0" collapsed="false">
      <c r="A1646" s="55"/>
      <c r="B1646" s="56"/>
      <c r="C1646" s="56"/>
      <c r="D1646" s="56"/>
      <c r="E1646" s="57"/>
      <c r="F1646" s="58"/>
      <c r="G1646" s="59"/>
      <c r="H1646" s="56"/>
      <c r="I1646" s="60" t="str">
        <f aca="false">IF(IsPro,IF($D1646="","",IFERROR(INDEX(Items!$D$5:$D$504,Q1646),"")),IF($D1646="","","PRO PLAN"))</f>
        <v/>
      </c>
      <c r="J1646" s="61" t="str">
        <f aca="false">IF(IsPro,IF($D1646="","",IF($F1646="",IFERROR(INDEX(Items!$G$5:$G$504,Q1646),0),$F1646)),"")</f>
        <v/>
      </c>
      <c r="K1646" s="61" t="str">
        <f aca="false">IF(IsPro,IF($D1646="","",ROUND(N($E1646)*J1646*(1-N($G1646)),2)),"")</f>
        <v/>
      </c>
      <c r="L1646" s="62" t="str">
        <f aca="false">IF(IsPro,IF($D1646="","",IFERROR(INDEX(Items!$F$5:$F$504,Q1646),0)),"")</f>
        <v/>
      </c>
      <c r="M1646" s="61" t="str">
        <f aca="false">IF(IsPro,IF($D1646="","",IF(AND(R1646&lt;&gt;"",INDEX(Parties!$E$5:$E$304,R1646)&lt;&gt;"",INDEX(Parties!$E$5:$E$304,R1646)&lt;&gt;HomeState),0,ROUND(K1646*L1646/2,2))),"")</f>
        <v/>
      </c>
      <c r="N1646" s="61" t="str">
        <f aca="false">IF(IsPro,IF($D1646="","",M1646),"")</f>
        <v/>
      </c>
      <c r="O1646" s="61" t="str">
        <f aca="false">IF(IsPro,IF($D1646="","",IF(AND(R1646&lt;&gt;"",INDEX(Parties!$E$5:$E$304,R1646)&lt;&gt;"",INDEX(Parties!$E$5:$E$304,R1646)&lt;&gt;HomeState),ROUND(K1646*L1646,2),0)),"")</f>
        <v/>
      </c>
      <c r="P1646" s="61" t="str">
        <f aca="false">IF(IsPro,IF($D1646="","",K1646+M1646+N1646+O1646),"")</f>
        <v/>
      </c>
      <c r="Q1646" s="60" t="str">
        <f aca="false">IF(IsPro,IF($D1646="","",IFERROR(MATCH($D1646,Items!$A$5:$A$504,0),"")),"")</f>
        <v/>
      </c>
      <c r="R1646" s="60" t="str">
        <f aca="false">IF(IsPro,IF($C1646="","",IFERROR(MATCH($C1646,Parties!$A$5:$A$304,0),"")),"")</f>
        <v/>
      </c>
      <c r="S1646" s="61" t="str">
        <f aca="false">IF(IsPro,IF($D1646="","",IF(OR($H1646="",$H1646="Credit"),0,P1646)),"")</f>
        <v/>
      </c>
    </row>
    <row r="1647" customFormat="false" ht="15" hidden="false" customHeight="false" outlineLevel="0" collapsed="false">
      <c r="A1647" s="55"/>
      <c r="B1647" s="56"/>
      <c r="C1647" s="56"/>
      <c r="D1647" s="56"/>
      <c r="E1647" s="57"/>
      <c r="F1647" s="58"/>
      <c r="G1647" s="59"/>
      <c r="H1647" s="56"/>
      <c r="I1647" s="60" t="str">
        <f aca="false">IF(IsPro,IF($D1647="","",IFERROR(INDEX(Items!$D$5:$D$504,Q1647),"")),IF($D1647="","","PRO PLAN"))</f>
        <v/>
      </c>
      <c r="J1647" s="61" t="str">
        <f aca="false">IF(IsPro,IF($D1647="","",IF($F1647="",IFERROR(INDEX(Items!$G$5:$G$504,Q1647),0),$F1647)),"")</f>
        <v/>
      </c>
      <c r="K1647" s="61" t="str">
        <f aca="false">IF(IsPro,IF($D1647="","",ROUND(N($E1647)*J1647*(1-N($G1647)),2)),"")</f>
        <v/>
      </c>
      <c r="L1647" s="62" t="str">
        <f aca="false">IF(IsPro,IF($D1647="","",IFERROR(INDEX(Items!$F$5:$F$504,Q1647),0)),"")</f>
        <v/>
      </c>
      <c r="M1647" s="61" t="str">
        <f aca="false">IF(IsPro,IF($D1647="","",IF(AND(R1647&lt;&gt;"",INDEX(Parties!$E$5:$E$304,R1647)&lt;&gt;"",INDEX(Parties!$E$5:$E$304,R1647)&lt;&gt;HomeState),0,ROUND(K1647*L1647/2,2))),"")</f>
        <v/>
      </c>
      <c r="N1647" s="61" t="str">
        <f aca="false">IF(IsPro,IF($D1647="","",M1647),"")</f>
        <v/>
      </c>
      <c r="O1647" s="61" t="str">
        <f aca="false">IF(IsPro,IF($D1647="","",IF(AND(R1647&lt;&gt;"",INDEX(Parties!$E$5:$E$304,R1647)&lt;&gt;"",INDEX(Parties!$E$5:$E$304,R1647)&lt;&gt;HomeState),ROUND(K1647*L1647,2),0)),"")</f>
        <v/>
      </c>
      <c r="P1647" s="61" t="str">
        <f aca="false">IF(IsPro,IF($D1647="","",K1647+M1647+N1647+O1647),"")</f>
        <v/>
      </c>
      <c r="Q1647" s="60" t="str">
        <f aca="false">IF(IsPro,IF($D1647="","",IFERROR(MATCH($D1647,Items!$A$5:$A$504,0),"")),"")</f>
        <v/>
      </c>
      <c r="R1647" s="60" t="str">
        <f aca="false">IF(IsPro,IF($C1647="","",IFERROR(MATCH($C1647,Parties!$A$5:$A$304,0),"")),"")</f>
        <v/>
      </c>
      <c r="S1647" s="61" t="str">
        <f aca="false">IF(IsPro,IF($D1647="","",IF(OR($H1647="",$H1647="Credit"),0,P1647)),"")</f>
        <v/>
      </c>
    </row>
    <row r="1648" customFormat="false" ht="15" hidden="false" customHeight="false" outlineLevel="0" collapsed="false">
      <c r="A1648" s="55"/>
      <c r="B1648" s="56"/>
      <c r="C1648" s="56"/>
      <c r="D1648" s="56"/>
      <c r="E1648" s="57"/>
      <c r="F1648" s="58"/>
      <c r="G1648" s="59"/>
      <c r="H1648" s="56"/>
      <c r="I1648" s="60" t="str">
        <f aca="false">IF(IsPro,IF($D1648="","",IFERROR(INDEX(Items!$D$5:$D$504,Q1648),"")),IF($D1648="","","PRO PLAN"))</f>
        <v/>
      </c>
      <c r="J1648" s="61" t="str">
        <f aca="false">IF(IsPro,IF($D1648="","",IF($F1648="",IFERROR(INDEX(Items!$G$5:$G$504,Q1648),0),$F1648)),"")</f>
        <v/>
      </c>
      <c r="K1648" s="61" t="str">
        <f aca="false">IF(IsPro,IF($D1648="","",ROUND(N($E1648)*J1648*(1-N($G1648)),2)),"")</f>
        <v/>
      </c>
      <c r="L1648" s="62" t="str">
        <f aca="false">IF(IsPro,IF($D1648="","",IFERROR(INDEX(Items!$F$5:$F$504,Q1648),0)),"")</f>
        <v/>
      </c>
      <c r="M1648" s="61" t="str">
        <f aca="false">IF(IsPro,IF($D1648="","",IF(AND(R1648&lt;&gt;"",INDEX(Parties!$E$5:$E$304,R1648)&lt;&gt;"",INDEX(Parties!$E$5:$E$304,R1648)&lt;&gt;HomeState),0,ROUND(K1648*L1648/2,2))),"")</f>
        <v/>
      </c>
      <c r="N1648" s="61" t="str">
        <f aca="false">IF(IsPro,IF($D1648="","",M1648),"")</f>
        <v/>
      </c>
      <c r="O1648" s="61" t="str">
        <f aca="false">IF(IsPro,IF($D1648="","",IF(AND(R1648&lt;&gt;"",INDEX(Parties!$E$5:$E$304,R1648)&lt;&gt;"",INDEX(Parties!$E$5:$E$304,R1648)&lt;&gt;HomeState),ROUND(K1648*L1648,2),0)),"")</f>
        <v/>
      </c>
      <c r="P1648" s="61" t="str">
        <f aca="false">IF(IsPro,IF($D1648="","",K1648+M1648+N1648+O1648),"")</f>
        <v/>
      </c>
      <c r="Q1648" s="60" t="str">
        <f aca="false">IF(IsPro,IF($D1648="","",IFERROR(MATCH($D1648,Items!$A$5:$A$504,0),"")),"")</f>
        <v/>
      </c>
      <c r="R1648" s="60" t="str">
        <f aca="false">IF(IsPro,IF($C1648="","",IFERROR(MATCH($C1648,Parties!$A$5:$A$304,0),"")),"")</f>
        <v/>
      </c>
      <c r="S1648" s="61" t="str">
        <f aca="false">IF(IsPro,IF($D1648="","",IF(OR($H1648="",$H1648="Credit"),0,P1648)),"")</f>
        <v/>
      </c>
    </row>
    <row r="1649" customFormat="false" ht="15" hidden="false" customHeight="false" outlineLevel="0" collapsed="false">
      <c r="A1649" s="55"/>
      <c r="B1649" s="56"/>
      <c r="C1649" s="56"/>
      <c r="D1649" s="56"/>
      <c r="E1649" s="57"/>
      <c r="F1649" s="58"/>
      <c r="G1649" s="59"/>
      <c r="H1649" s="56"/>
      <c r="I1649" s="60" t="str">
        <f aca="false">IF(IsPro,IF($D1649="","",IFERROR(INDEX(Items!$D$5:$D$504,Q1649),"")),IF($D1649="","","PRO PLAN"))</f>
        <v/>
      </c>
      <c r="J1649" s="61" t="str">
        <f aca="false">IF(IsPro,IF($D1649="","",IF($F1649="",IFERROR(INDEX(Items!$G$5:$G$504,Q1649),0),$F1649)),"")</f>
        <v/>
      </c>
      <c r="K1649" s="61" t="str">
        <f aca="false">IF(IsPro,IF($D1649="","",ROUND(N($E1649)*J1649*(1-N($G1649)),2)),"")</f>
        <v/>
      </c>
      <c r="L1649" s="62" t="str">
        <f aca="false">IF(IsPro,IF($D1649="","",IFERROR(INDEX(Items!$F$5:$F$504,Q1649),0)),"")</f>
        <v/>
      </c>
      <c r="M1649" s="61" t="str">
        <f aca="false">IF(IsPro,IF($D1649="","",IF(AND(R1649&lt;&gt;"",INDEX(Parties!$E$5:$E$304,R1649)&lt;&gt;"",INDEX(Parties!$E$5:$E$304,R1649)&lt;&gt;HomeState),0,ROUND(K1649*L1649/2,2))),"")</f>
        <v/>
      </c>
      <c r="N1649" s="61" t="str">
        <f aca="false">IF(IsPro,IF($D1649="","",M1649),"")</f>
        <v/>
      </c>
      <c r="O1649" s="61" t="str">
        <f aca="false">IF(IsPro,IF($D1649="","",IF(AND(R1649&lt;&gt;"",INDEX(Parties!$E$5:$E$304,R1649)&lt;&gt;"",INDEX(Parties!$E$5:$E$304,R1649)&lt;&gt;HomeState),ROUND(K1649*L1649,2),0)),"")</f>
        <v/>
      </c>
      <c r="P1649" s="61" t="str">
        <f aca="false">IF(IsPro,IF($D1649="","",K1649+M1649+N1649+O1649),"")</f>
        <v/>
      </c>
      <c r="Q1649" s="60" t="str">
        <f aca="false">IF(IsPro,IF($D1649="","",IFERROR(MATCH($D1649,Items!$A$5:$A$504,0),"")),"")</f>
        <v/>
      </c>
      <c r="R1649" s="60" t="str">
        <f aca="false">IF(IsPro,IF($C1649="","",IFERROR(MATCH($C1649,Parties!$A$5:$A$304,0),"")),"")</f>
        <v/>
      </c>
      <c r="S1649" s="61" t="str">
        <f aca="false">IF(IsPro,IF($D1649="","",IF(OR($H1649="",$H1649="Credit"),0,P1649)),"")</f>
        <v/>
      </c>
    </row>
    <row r="1650" customFormat="false" ht="15" hidden="false" customHeight="false" outlineLevel="0" collapsed="false">
      <c r="A1650" s="55"/>
      <c r="B1650" s="56"/>
      <c r="C1650" s="56"/>
      <c r="D1650" s="56"/>
      <c r="E1650" s="57"/>
      <c r="F1650" s="58"/>
      <c r="G1650" s="59"/>
      <c r="H1650" s="56"/>
      <c r="I1650" s="60" t="str">
        <f aca="false">IF(IsPro,IF($D1650="","",IFERROR(INDEX(Items!$D$5:$D$504,Q1650),"")),IF($D1650="","","PRO PLAN"))</f>
        <v/>
      </c>
      <c r="J1650" s="61" t="str">
        <f aca="false">IF(IsPro,IF($D1650="","",IF($F1650="",IFERROR(INDEX(Items!$G$5:$G$504,Q1650),0),$F1650)),"")</f>
        <v/>
      </c>
      <c r="K1650" s="61" t="str">
        <f aca="false">IF(IsPro,IF($D1650="","",ROUND(N($E1650)*J1650*(1-N($G1650)),2)),"")</f>
        <v/>
      </c>
      <c r="L1650" s="62" t="str">
        <f aca="false">IF(IsPro,IF($D1650="","",IFERROR(INDEX(Items!$F$5:$F$504,Q1650),0)),"")</f>
        <v/>
      </c>
      <c r="M1650" s="61" t="str">
        <f aca="false">IF(IsPro,IF($D1650="","",IF(AND(R1650&lt;&gt;"",INDEX(Parties!$E$5:$E$304,R1650)&lt;&gt;"",INDEX(Parties!$E$5:$E$304,R1650)&lt;&gt;HomeState),0,ROUND(K1650*L1650/2,2))),"")</f>
        <v/>
      </c>
      <c r="N1650" s="61" t="str">
        <f aca="false">IF(IsPro,IF($D1650="","",M1650),"")</f>
        <v/>
      </c>
      <c r="O1650" s="61" t="str">
        <f aca="false">IF(IsPro,IF($D1650="","",IF(AND(R1650&lt;&gt;"",INDEX(Parties!$E$5:$E$304,R1650)&lt;&gt;"",INDEX(Parties!$E$5:$E$304,R1650)&lt;&gt;HomeState),ROUND(K1650*L1650,2),0)),"")</f>
        <v/>
      </c>
      <c r="P1650" s="61" t="str">
        <f aca="false">IF(IsPro,IF($D1650="","",K1650+M1650+N1650+O1650),"")</f>
        <v/>
      </c>
      <c r="Q1650" s="60" t="str">
        <f aca="false">IF(IsPro,IF($D1650="","",IFERROR(MATCH($D1650,Items!$A$5:$A$504,0),"")),"")</f>
        <v/>
      </c>
      <c r="R1650" s="60" t="str">
        <f aca="false">IF(IsPro,IF($C1650="","",IFERROR(MATCH($C1650,Parties!$A$5:$A$304,0),"")),"")</f>
        <v/>
      </c>
      <c r="S1650" s="61" t="str">
        <f aca="false">IF(IsPro,IF($D1650="","",IF(OR($H1650="",$H1650="Credit"),0,P1650)),"")</f>
        <v/>
      </c>
    </row>
    <row r="1651" customFormat="false" ht="15" hidden="false" customHeight="false" outlineLevel="0" collapsed="false">
      <c r="A1651" s="55"/>
      <c r="B1651" s="56"/>
      <c r="C1651" s="56"/>
      <c r="D1651" s="56"/>
      <c r="E1651" s="57"/>
      <c r="F1651" s="58"/>
      <c r="G1651" s="59"/>
      <c r="H1651" s="56"/>
      <c r="I1651" s="60" t="str">
        <f aca="false">IF(IsPro,IF($D1651="","",IFERROR(INDEX(Items!$D$5:$D$504,Q1651),"")),IF($D1651="","","PRO PLAN"))</f>
        <v/>
      </c>
      <c r="J1651" s="61" t="str">
        <f aca="false">IF(IsPro,IF($D1651="","",IF($F1651="",IFERROR(INDEX(Items!$G$5:$G$504,Q1651),0),$F1651)),"")</f>
        <v/>
      </c>
      <c r="K1651" s="61" t="str">
        <f aca="false">IF(IsPro,IF($D1651="","",ROUND(N($E1651)*J1651*(1-N($G1651)),2)),"")</f>
        <v/>
      </c>
      <c r="L1651" s="62" t="str">
        <f aca="false">IF(IsPro,IF($D1651="","",IFERROR(INDEX(Items!$F$5:$F$504,Q1651),0)),"")</f>
        <v/>
      </c>
      <c r="M1651" s="61" t="str">
        <f aca="false">IF(IsPro,IF($D1651="","",IF(AND(R1651&lt;&gt;"",INDEX(Parties!$E$5:$E$304,R1651)&lt;&gt;"",INDEX(Parties!$E$5:$E$304,R1651)&lt;&gt;HomeState),0,ROUND(K1651*L1651/2,2))),"")</f>
        <v/>
      </c>
      <c r="N1651" s="61" t="str">
        <f aca="false">IF(IsPro,IF($D1651="","",M1651),"")</f>
        <v/>
      </c>
      <c r="O1651" s="61" t="str">
        <f aca="false">IF(IsPro,IF($D1651="","",IF(AND(R1651&lt;&gt;"",INDEX(Parties!$E$5:$E$304,R1651)&lt;&gt;"",INDEX(Parties!$E$5:$E$304,R1651)&lt;&gt;HomeState),ROUND(K1651*L1651,2),0)),"")</f>
        <v/>
      </c>
      <c r="P1651" s="61" t="str">
        <f aca="false">IF(IsPro,IF($D1651="","",K1651+M1651+N1651+O1651),"")</f>
        <v/>
      </c>
      <c r="Q1651" s="60" t="str">
        <f aca="false">IF(IsPro,IF($D1651="","",IFERROR(MATCH($D1651,Items!$A$5:$A$504,0),"")),"")</f>
        <v/>
      </c>
      <c r="R1651" s="60" t="str">
        <f aca="false">IF(IsPro,IF($C1651="","",IFERROR(MATCH($C1651,Parties!$A$5:$A$304,0),"")),"")</f>
        <v/>
      </c>
      <c r="S1651" s="61" t="str">
        <f aca="false">IF(IsPro,IF($D1651="","",IF(OR($H1651="",$H1651="Credit"),0,P1651)),"")</f>
        <v/>
      </c>
    </row>
    <row r="1652" customFormat="false" ht="15" hidden="false" customHeight="false" outlineLevel="0" collapsed="false">
      <c r="A1652" s="55"/>
      <c r="B1652" s="56"/>
      <c r="C1652" s="56"/>
      <c r="D1652" s="56"/>
      <c r="E1652" s="57"/>
      <c r="F1652" s="58"/>
      <c r="G1652" s="59"/>
      <c r="H1652" s="56"/>
      <c r="I1652" s="60" t="str">
        <f aca="false">IF(IsPro,IF($D1652="","",IFERROR(INDEX(Items!$D$5:$D$504,Q1652),"")),IF($D1652="","","PRO PLAN"))</f>
        <v/>
      </c>
      <c r="J1652" s="61" t="str">
        <f aca="false">IF(IsPro,IF($D1652="","",IF($F1652="",IFERROR(INDEX(Items!$G$5:$G$504,Q1652),0),$F1652)),"")</f>
        <v/>
      </c>
      <c r="K1652" s="61" t="str">
        <f aca="false">IF(IsPro,IF($D1652="","",ROUND(N($E1652)*J1652*(1-N($G1652)),2)),"")</f>
        <v/>
      </c>
      <c r="L1652" s="62" t="str">
        <f aca="false">IF(IsPro,IF($D1652="","",IFERROR(INDEX(Items!$F$5:$F$504,Q1652),0)),"")</f>
        <v/>
      </c>
      <c r="M1652" s="61" t="str">
        <f aca="false">IF(IsPro,IF($D1652="","",IF(AND(R1652&lt;&gt;"",INDEX(Parties!$E$5:$E$304,R1652)&lt;&gt;"",INDEX(Parties!$E$5:$E$304,R1652)&lt;&gt;HomeState),0,ROUND(K1652*L1652/2,2))),"")</f>
        <v/>
      </c>
      <c r="N1652" s="61" t="str">
        <f aca="false">IF(IsPro,IF($D1652="","",M1652),"")</f>
        <v/>
      </c>
      <c r="O1652" s="61" t="str">
        <f aca="false">IF(IsPro,IF($D1652="","",IF(AND(R1652&lt;&gt;"",INDEX(Parties!$E$5:$E$304,R1652)&lt;&gt;"",INDEX(Parties!$E$5:$E$304,R1652)&lt;&gt;HomeState),ROUND(K1652*L1652,2),0)),"")</f>
        <v/>
      </c>
      <c r="P1652" s="61" t="str">
        <f aca="false">IF(IsPro,IF($D1652="","",K1652+M1652+N1652+O1652),"")</f>
        <v/>
      </c>
      <c r="Q1652" s="60" t="str">
        <f aca="false">IF(IsPro,IF($D1652="","",IFERROR(MATCH($D1652,Items!$A$5:$A$504,0),"")),"")</f>
        <v/>
      </c>
      <c r="R1652" s="60" t="str">
        <f aca="false">IF(IsPro,IF($C1652="","",IFERROR(MATCH($C1652,Parties!$A$5:$A$304,0),"")),"")</f>
        <v/>
      </c>
      <c r="S1652" s="61" t="str">
        <f aca="false">IF(IsPro,IF($D1652="","",IF(OR($H1652="",$H1652="Credit"),0,P1652)),"")</f>
        <v/>
      </c>
    </row>
    <row r="1653" customFormat="false" ht="15" hidden="false" customHeight="false" outlineLevel="0" collapsed="false">
      <c r="A1653" s="55"/>
      <c r="B1653" s="56"/>
      <c r="C1653" s="56"/>
      <c r="D1653" s="56"/>
      <c r="E1653" s="57"/>
      <c r="F1653" s="58"/>
      <c r="G1653" s="59"/>
      <c r="H1653" s="56"/>
      <c r="I1653" s="60" t="str">
        <f aca="false">IF(IsPro,IF($D1653="","",IFERROR(INDEX(Items!$D$5:$D$504,Q1653),"")),IF($D1653="","","PRO PLAN"))</f>
        <v/>
      </c>
      <c r="J1653" s="61" t="str">
        <f aca="false">IF(IsPro,IF($D1653="","",IF($F1653="",IFERROR(INDEX(Items!$G$5:$G$504,Q1653),0),$F1653)),"")</f>
        <v/>
      </c>
      <c r="K1653" s="61" t="str">
        <f aca="false">IF(IsPro,IF($D1653="","",ROUND(N($E1653)*J1653*(1-N($G1653)),2)),"")</f>
        <v/>
      </c>
      <c r="L1653" s="62" t="str">
        <f aca="false">IF(IsPro,IF($D1653="","",IFERROR(INDEX(Items!$F$5:$F$504,Q1653),0)),"")</f>
        <v/>
      </c>
      <c r="M1653" s="61" t="str">
        <f aca="false">IF(IsPro,IF($D1653="","",IF(AND(R1653&lt;&gt;"",INDEX(Parties!$E$5:$E$304,R1653)&lt;&gt;"",INDEX(Parties!$E$5:$E$304,R1653)&lt;&gt;HomeState),0,ROUND(K1653*L1653/2,2))),"")</f>
        <v/>
      </c>
      <c r="N1653" s="61" t="str">
        <f aca="false">IF(IsPro,IF($D1653="","",M1653),"")</f>
        <v/>
      </c>
      <c r="O1653" s="61" t="str">
        <f aca="false">IF(IsPro,IF($D1653="","",IF(AND(R1653&lt;&gt;"",INDEX(Parties!$E$5:$E$304,R1653)&lt;&gt;"",INDEX(Parties!$E$5:$E$304,R1653)&lt;&gt;HomeState),ROUND(K1653*L1653,2),0)),"")</f>
        <v/>
      </c>
      <c r="P1653" s="61" t="str">
        <f aca="false">IF(IsPro,IF($D1653="","",K1653+M1653+N1653+O1653),"")</f>
        <v/>
      </c>
      <c r="Q1653" s="60" t="str">
        <f aca="false">IF(IsPro,IF($D1653="","",IFERROR(MATCH($D1653,Items!$A$5:$A$504,0),"")),"")</f>
        <v/>
      </c>
      <c r="R1653" s="60" t="str">
        <f aca="false">IF(IsPro,IF($C1653="","",IFERROR(MATCH($C1653,Parties!$A$5:$A$304,0),"")),"")</f>
        <v/>
      </c>
      <c r="S1653" s="61" t="str">
        <f aca="false">IF(IsPro,IF($D1653="","",IF(OR($H1653="",$H1653="Credit"),0,P1653)),"")</f>
        <v/>
      </c>
    </row>
    <row r="1654" customFormat="false" ht="15" hidden="false" customHeight="false" outlineLevel="0" collapsed="false">
      <c r="A1654" s="55"/>
      <c r="B1654" s="56"/>
      <c r="C1654" s="56"/>
      <c r="D1654" s="56"/>
      <c r="E1654" s="57"/>
      <c r="F1654" s="58"/>
      <c r="G1654" s="59"/>
      <c r="H1654" s="56"/>
      <c r="I1654" s="60" t="str">
        <f aca="false">IF(IsPro,IF($D1654="","",IFERROR(INDEX(Items!$D$5:$D$504,Q1654),"")),IF($D1654="","","PRO PLAN"))</f>
        <v/>
      </c>
      <c r="J1654" s="61" t="str">
        <f aca="false">IF(IsPro,IF($D1654="","",IF($F1654="",IFERROR(INDEX(Items!$G$5:$G$504,Q1654),0),$F1654)),"")</f>
        <v/>
      </c>
      <c r="K1654" s="61" t="str">
        <f aca="false">IF(IsPro,IF($D1654="","",ROUND(N($E1654)*J1654*(1-N($G1654)),2)),"")</f>
        <v/>
      </c>
      <c r="L1654" s="62" t="str">
        <f aca="false">IF(IsPro,IF($D1654="","",IFERROR(INDEX(Items!$F$5:$F$504,Q1654),0)),"")</f>
        <v/>
      </c>
      <c r="M1654" s="61" t="str">
        <f aca="false">IF(IsPro,IF($D1654="","",IF(AND(R1654&lt;&gt;"",INDEX(Parties!$E$5:$E$304,R1654)&lt;&gt;"",INDEX(Parties!$E$5:$E$304,R1654)&lt;&gt;HomeState),0,ROUND(K1654*L1654/2,2))),"")</f>
        <v/>
      </c>
      <c r="N1654" s="61" t="str">
        <f aca="false">IF(IsPro,IF($D1654="","",M1654),"")</f>
        <v/>
      </c>
      <c r="O1654" s="61" t="str">
        <f aca="false">IF(IsPro,IF($D1654="","",IF(AND(R1654&lt;&gt;"",INDEX(Parties!$E$5:$E$304,R1654)&lt;&gt;"",INDEX(Parties!$E$5:$E$304,R1654)&lt;&gt;HomeState),ROUND(K1654*L1654,2),0)),"")</f>
        <v/>
      </c>
      <c r="P1654" s="61" t="str">
        <f aca="false">IF(IsPro,IF($D1654="","",K1654+M1654+N1654+O1654),"")</f>
        <v/>
      </c>
      <c r="Q1654" s="60" t="str">
        <f aca="false">IF(IsPro,IF($D1654="","",IFERROR(MATCH($D1654,Items!$A$5:$A$504,0),"")),"")</f>
        <v/>
      </c>
      <c r="R1654" s="60" t="str">
        <f aca="false">IF(IsPro,IF($C1654="","",IFERROR(MATCH($C1654,Parties!$A$5:$A$304,0),"")),"")</f>
        <v/>
      </c>
      <c r="S1654" s="61" t="str">
        <f aca="false">IF(IsPro,IF($D1654="","",IF(OR($H1654="",$H1654="Credit"),0,P1654)),"")</f>
        <v/>
      </c>
    </row>
    <row r="1655" customFormat="false" ht="15" hidden="false" customHeight="false" outlineLevel="0" collapsed="false">
      <c r="A1655" s="55"/>
      <c r="B1655" s="56"/>
      <c r="C1655" s="56"/>
      <c r="D1655" s="56"/>
      <c r="E1655" s="57"/>
      <c r="F1655" s="58"/>
      <c r="G1655" s="59"/>
      <c r="H1655" s="56"/>
      <c r="I1655" s="60" t="str">
        <f aca="false">IF(IsPro,IF($D1655="","",IFERROR(INDEX(Items!$D$5:$D$504,Q1655),"")),IF($D1655="","","PRO PLAN"))</f>
        <v/>
      </c>
      <c r="J1655" s="61" t="str">
        <f aca="false">IF(IsPro,IF($D1655="","",IF($F1655="",IFERROR(INDEX(Items!$G$5:$G$504,Q1655),0),$F1655)),"")</f>
        <v/>
      </c>
      <c r="K1655" s="61" t="str">
        <f aca="false">IF(IsPro,IF($D1655="","",ROUND(N($E1655)*J1655*(1-N($G1655)),2)),"")</f>
        <v/>
      </c>
      <c r="L1655" s="62" t="str">
        <f aca="false">IF(IsPro,IF($D1655="","",IFERROR(INDEX(Items!$F$5:$F$504,Q1655),0)),"")</f>
        <v/>
      </c>
      <c r="M1655" s="61" t="str">
        <f aca="false">IF(IsPro,IF($D1655="","",IF(AND(R1655&lt;&gt;"",INDEX(Parties!$E$5:$E$304,R1655)&lt;&gt;"",INDEX(Parties!$E$5:$E$304,R1655)&lt;&gt;HomeState),0,ROUND(K1655*L1655/2,2))),"")</f>
        <v/>
      </c>
      <c r="N1655" s="61" t="str">
        <f aca="false">IF(IsPro,IF($D1655="","",M1655),"")</f>
        <v/>
      </c>
      <c r="O1655" s="61" t="str">
        <f aca="false">IF(IsPro,IF($D1655="","",IF(AND(R1655&lt;&gt;"",INDEX(Parties!$E$5:$E$304,R1655)&lt;&gt;"",INDEX(Parties!$E$5:$E$304,R1655)&lt;&gt;HomeState),ROUND(K1655*L1655,2),0)),"")</f>
        <v/>
      </c>
      <c r="P1655" s="61" t="str">
        <f aca="false">IF(IsPro,IF($D1655="","",K1655+M1655+N1655+O1655),"")</f>
        <v/>
      </c>
      <c r="Q1655" s="60" t="str">
        <f aca="false">IF(IsPro,IF($D1655="","",IFERROR(MATCH($D1655,Items!$A$5:$A$504,0),"")),"")</f>
        <v/>
      </c>
      <c r="R1655" s="60" t="str">
        <f aca="false">IF(IsPro,IF($C1655="","",IFERROR(MATCH($C1655,Parties!$A$5:$A$304,0),"")),"")</f>
        <v/>
      </c>
      <c r="S1655" s="61" t="str">
        <f aca="false">IF(IsPro,IF($D1655="","",IF(OR($H1655="",$H1655="Credit"),0,P1655)),"")</f>
        <v/>
      </c>
    </row>
    <row r="1656" customFormat="false" ht="15" hidden="false" customHeight="false" outlineLevel="0" collapsed="false">
      <c r="A1656" s="55"/>
      <c r="B1656" s="56"/>
      <c r="C1656" s="56"/>
      <c r="D1656" s="56"/>
      <c r="E1656" s="57"/>
      <c r="F1656" s="58"/>
      <c r="G1656" s="59"/>
      <c r="H1656" s="56"/>
      <c r="I1656" s="60" t="str">
        <f aca="false">IF(IsPro,IF($D1656="","",IFERROR(INDEX(Items!$D$5:$D$504,Q1656),"")),IF($D1656="","","PRO PLAN"))</f>
        <v/>
      </c>
      <c r="J1656" s="61" t="str">
        <f aca="false">IF(IsPro,IF($D1656="","",IF($F1656="",IFERROR(INDEX(Items!$G$5:$G$504,Q1656),0),$F1656)),"")</f>
        <v/>
      </c>
      <c r="K1656" s="61" t="str">
        <f aca="false">IF(IsPro,IF($D1656="","",ROUND(N($E1656)*J1656*(1-N($G1656)),2)),"")</f>
        <v/>
      </c>
      <c r="L1656" s="62" t="str">
        <f aca="false">IF(IsPro,IF($D1656="","",IFERROR(INDEX(Items!$F$5:$F$504,Q1656),0)),"")</f>
        <v/>
      </c>
      <c r="M1656" s="61" t="str">
        <f aca="false">IF(IsPro,IF($D1656="","",IF(AND(R1656&lt;&gt;"",INDEX(Parties!$E$5:$E$304,R1656)&lt;&gt;"",INDEX(Parties!$E$5:$E$304,R1656)&lt;&gt;HomeState),0,ROUND(K1656*L1656/2,2))),"")</f>
        <v/>
      </c>
      <c r="N1656" s="61" t="str">
        <f aca="false">IF(IsPro,IF($D1656="","",M1656),"")</f>
        <v/>
      </c>
      <c r="O1656" s="61" t="str">
        <f aca="false">IF(IsPro,IF($D1656="","",IF(AND(R1656&lt;&gt;"",INDEX(Parties!$E$5:$E$304,R1656)&lt;&gt;"",INDEX(Parties!$E$5:$E$304,R1656)&lt;&gt;HomeState),ROUND(K1656*L1656,2),0)),"")</f>
        <v/>
      </c>
      <c r="P1656" s="61" t="str">
        <f aca="false">IF(IsPro,IF($D1656="","",K1656+M1656+N1656+O1656),"")</f>
        <v/>
      </c>
      <c r="Q1656" s="60" t="str">
        <f aca="false">IF(IsPro,IF($D1656="","",IFERROR(MATCH($D1656,Items!$A$5:$A$504,0),"")),"")</f>
        <v/>
      </c>
      <c r="R1656" s="60" t="str">
        <f aca="false">IF(IsPro,IF($C1656="","",IFERROR(MATCH($C1656,Parties!$A$5:$A$304,0),"")),"")</f>
        <v/>
      </c>
      <c r="S1656" s="61" t="str">
        <f aca="false">IF(IsPro,IF($D1656="","",IF(OR($H1656="",$H1656="Credit"),0,P1656)),"")</f>
        <v/>
      </c>
    </row>
    <row r="1657" customFormat="false" ht="15" hidden="false" customHeight="false" outlineLevel="0" collapsed="false">
      <c r="A1657" s="55"/>
      <c r="B1657" s="56"/>
      <c r="C1657" s="56"/>
      <c r="D1657" s="56"/>
      <c r="E1657" s="57"/>
      <c r="F1657" s="58"/>
      <c r="G1657" s="59"/>
      <c r="H1657" s="56"/>
      <c r="I1657" s="60" t="str">
        <f aca="false">IF(IsPro,IF($D1657="","",IFERROR(INDEX(Items!$D$5:$D$504,Q1657),"")),IF($D1657="","","PRO PLAN"))</f>
        <v/>
      </c>
      <c r="J1657" s="61" t="str">
        <f aca="false">IF(IsPro,IF($D1657="","",IF($F1657="",IFERROR(INDEX(Items!$G$5:$G$504,Q1657),0),$F1657)),"")</f>
        <v/>
      </c>
      <c r="K1657" s="61" t="str">
        <f aca="false">IF(IsPro,IF($D1657="","",ROUND(N($E1657)*J1657*(1-N($G1657)),2)),"")</f>
        <v/>
      </c>
      <c r="L1657" s="62" t="str">
        <f aca="false">IF(IsPro,IF($D1657="","",IFERROR(INDEX(Items!$F$5:$F$504,Q1657),0)),"")</f>
        <v/>
      </c>
      <c r="M1657" s="61" t="str">
        <f aca="false">IF(IsPro,IF($D1657="","",IF(AND(R1657&lt;&gt;"",INDEX(Parties!$E$5:$E$304,R1657)&lt;&gt;"",INDEX(Parties!$E$5:$E$304,R1657)&lt;&gt;HomeState),0,ROUND(K1657*L1657/2,2))),"")</f>
        <v/>
      </c>
      <c r="N1657" s="61" t="str">
        <f aca="false">IF(IsPro,IF($D1657="","",M1657),"")</f>
        <v/>
      </c>
      <c r="O1657" s="61" t="str">
        <f aca="false">IF(IsPro,IF($D1657="","",IF(AND(R1657&lt;&gt;"",INDEX(Parties!$E$5:$E$304,R1657)&lt;&gt;"",INDEX(Parties!$E$5:$E$304,R1657)&lt;&gt;HomeState),ROUND(K1657*L1657,2),0)),"")</f>
        <v/>
      </c>
      <c r="P1657" s="61" t="str">
        <f aca="false">IF(IsPro,IF($D1657="","",K1657+M1657+N1657+O1657),"")</f>
        <v/>
      </c>
      <c r="Q1657" s="60" t="str">
        <f aca="false">IF(IsPro,IF($D1657="","",IFERROR(MATCH($D1657,Items!$A$5:$A$504,0),"")),"")</f>
        <v/>
      </c>
      <c r="R1657" s="60" t="str">
        <f aca="false">IF(IsPro,IF($C1657="","",IFERROR(MATCH($C1657,Parties!$A$5:$A$304,0),"")),"")</f>
        <v/>
      </c>
      <c r="S1657" s="61" t="str">
        <f aca="false">IF(IsPro,IF($D1657="","",IF(OR($H1657="",$H1657="Credit"),0,P1657)),"")</f>
        <v/>
      </c>
    </row>
    <row r="1658" customFormat="false" ht="15" hidden="false" customHeight="false" outlineLevel="0" collapsed="false">
      <c r="A1658" s="55"/>
      <c r="B1658" s="56"/>
      <c r="C1658" s="56"/>
      <c r="D1658" s="56"/>
      <c r="E1658" s="57"/>
      <c r="F1658" s="58"/>
      <c r="G1658" s="59"/>
      <c r="H1658" s="56"/>
      <c r="I1658" s="60" t="str">
        <f aca="false">IF(IsPro,IF($D1658="","",IFERROR(INDEX(Items!$D$5:$D$504,Q1658),"")),IF($D1658="","","PRO PLAN"))</f>
        <v/>
      </c>
      <c r="J1658" s="61" t="str">
        <f aca="false">IF(IsPro,IF($D1658="","",IF($F1658="",IFERROR(INDEX(Items!$G$5:$G$504,Q1658),0),$F1658)),"")</f>
        <v/>
      </c>
      <c r="K1658" s="61" t="str">
        <f aca="false">IF(IsPro,IF($D1658="","",ROUND(N($E1658)*J1658*(1-N($G1658)),2)),"")</f>
        <v/>
      </c>
      <c r="L1658" s="62" t="str">
        <f aca="false">IF(IsPro,IF($D1658="","",IFERROR(INDEX(Items!$F$5:$F$504,Q1658),0)),"")</f>
        <v/>
      </c>
      <c r="M1658" s="61" t="str">
        <f aca="false">IF(IsPro,IF($D1658="","",IF(AND(R1658&lt;&gt;"",INDEX(Parties!$E$5:$E$304,R1658)&lt;&gt;"",INDEX(Parties!$E$5:$E$304,R1658)&lt;&gt;HomeState),0,ROUND(K1658*L1658/2,2))),"")</f>
        <v/>
      </c>
      <c r="N1658" s="61" t="str">
        <f aca="false">IF(IsPro,IF($D1658="","",M1658),"")</f>
        <v/>
      </c>
      <c r="O1658" s="61" t="str">
        <f aca="false">IF(IsPro,IF($D1658="","",IF(AND(R1658&lt;&gt;"",INDEX(Parties!$E$5:$E$304,R1658)&lt;&gt;"",INDEX(Parties!$E$5:$E$304,R1658)&lt;&gt;HomeState),ROUND(K1658*L1658,2),0)),"")</f>
        <v/>
      </c>
      <c r="P1658" s="61" t="str">
        <f aca="false">IF(IsPro,IF($D1658="","",K1658+M1658+N1658+O1658),"")</f>
        <v/>
      </c>
      <c r="Q1658" s="60" t="str">
        <f aca="false">IF(IsPro,IF($D1658="","",IFERROR(MATCH($D1658,Items!$A$5:$A$504,0),"")),"")</f>
        <v/>
      </c>
      <c r="R1658" s="60" t="str">
        <f aca="false">IF(IsPro,IF($C1658="","",IFERROR(MATCH($C1658,Parties!$A$5:$A$304,0),"")),"")</f>
        <v/>
      </c>
      <c r="S1658" s="61" t="str">
        <f aca="false">IF(IsPro,IF($D1658="","",IF(OR($H1658="",$H1658="Credit"),0,P1658)),"")</f>
        <v/>
      </c>
    </row>
    <row r="1659" customFormat="false" ht="15" hidden="false" customHeight="false" outlineLevel="0" collapsed="false">
      <c r="A1659" s="55"/>
      <c r="B1659" s="56"/>
      <c r="C1659" s="56"/>
      <c r="D1659" s="56"/>
      <c r="E1659" s="57"/>
      <c r="F1659" s="58"/>
      <c r="G1659" s="59"/>
      <c r="H1659" s="56"/>
      <c r="I1659" s="60" t="str">
        <f aca="false">IF(IsPro,IF($D1659="","",IFERROR(INDEX(Items!$D$5:$D$504,Q1659),"")),IF($D1659="","","PRO PLAN"))</f>
        <v/>
      </c>
      <c r="J1659" s="61" t="str">
        <f aca="false">IF(IsPro,IF($D1659="","",IF($F1659="",IFERROR(INDEX(Items!$G$5:$G$504,Q1659),0),$F1659)),"")</f>
        <v/>
      </c>
      <c r="K1659" s="61" t="str">
        <f aca="false">IF(IsPro,IF($D1659="","",ROUND(N($E1659)*J1659*(1-N($G1659)),2)),"")</f>
        <v/>
      </c>
      <c r="L1659" s="62" t="str">
        <f aca="false">IF(IsPro,IF($D1659="","",IFERROR(INDEX(Items!$F$5:$F$504,Q1659),0)),"")</f>
        <v/>
      </c>
      <c r="M1659" s="61" t="str">
        <f aca="false">IF(IsPro,IF($D1659="","",IF(AND(R1659&lt;&gt;"",INDEX(Parties!$E$5:$E$304,R1659)&lt;&gt;"",INDEX(Parties!$E$5:$E$304,R1659)&lt;&gt;HomeState),0,ROUND(K1659*L1659/2,2))),"")</f>
        <v/>
      </c>
      <c r="N1659" s="61" t="str">
        <f aca="false">IF(IsPro,IF($D1659="","",M1659),"")</f>
        <v/>
      </c>
      <c r="O1659" s="61" t="str">
        <f aca="false">IF(IsPro,IF($D1659="","",IF(AND(R1659&lt;&gt;"",INDEX(Parties!$E$5:$E$304,R1659)&lt;&gt;"",INDEX(Parties!$E$5:$E$304,R1659)&lt;&gt;HomeState),ROUND(K1659*L1659,2),0)),"")</f>
        <v/>
      </c>
      <c r="P1659" s="61" t="str">
        <f aca="false">IF(IsPro,IF($D1659="","",K1659+M1659+N1659+O1659),"")</f>
        <v/>
      </c>
      <c r="Q1659" s="60" t="str">
        <f aca="false">IF(IsPro,IF($D1659="","",IFERROR(MATCH($D1659,Items!$A$5:$A$504,0),"")),"")</f>
        <v/>
      </c>
      <c r="R1659" s="60" t="str">
        <f aca="false">IF(IsPro,IF($C1659="","",IFERROR(MATCH($C1659,Parties!$A$5:$A$304,0),"")),"")</f>
        <v/>
      </c>
      <c r="S1659" s="61" t="str">
        <f aca="false">IF(IsPro,IF($D1659="","",IF(OR($H1659="",$H1659="Credit"),0,P1659)),"")</f>
        <v/>
      </c>
    </row>
    <row r="1660" customFormat="false" ht="15" hidden="false" customHeight="false" outlineLevel="0" collapsed="false">
      <c r="A1660" s="55"/>
      <c r="B1660" s="56"/>
      <c r="C1660" s="56"/>
      <c r="D1660" s="56"/>
      <c r="E1660" s="57"/>
      <c r="F1660" s="58"/>
      <c r="G1660" s="59"/>
      <c r="H1660" s="56"/>
      <c r="I1660" s="60" t="str">
        <f aca="false">IF(IsPro,IF($D1660="","",IFERROR(INDEX(Items!$D$5:$D$504,Q1660),"")),IF($D1660="","","PRO PLAN"))</f>
        <v/>
      </c>
      <c r="J1660" s="61" t="str">
        <f aca="false">IF(IsPro,IF($D1660="","",IF($F1660="",IFERROR(INDEX(Items!$G$5:$G$504,Q1660),0),$F1660)),"")</f>
        <v/>
      </c>
      <c r="K1660" s="61" t="str">
        <f aca="false">IF(IsPro,IF($D1660="","",ROUND(N($E1660)*J1660*(1-N($G1660)),2)),"")</f>
        <v/>
      </c>
      <c r="L1660" s="62" t="str">
        <f aca="false">IF(IsPro,IF($D1660="","",IFERROR(INDEX(Items!$F$5:$F$504,Q1660),0)),"")</f>
        <v/>
      </c>
      <c r="M1660" s="61" t="str">
        <f aca="false">IF(IsPro,IF($D1660="","",IF(AND(R1660&lt;&gt;"",INDEX(Parties!$E$5:$E$304,R1660)&lt;&gt;"",INDEX(Parties!$E$5:$E$304,R1660)&lt;&gt;HomeState),0,ROUND(K1660*L1660/2,2))),"")</f>
        <v/>
      </c>
      <c r="N1660" s="61" t="str">
        <f aca="false">IF(IsPro,IF($D1660="","",M1660),"")</f>
        <v/>
      </c>
      <c r="O1660" s="61" t="str">
        <f aca="false">IF(IsPro,IF($D1660="","",IF(AND(R1660&lt;&gt;"",INDEX(Parties!$E$5:$E$304,R1660)&lt;&gt;"",INDEX(Parties!$E$5:$E$304,R1660)&lt;&gt;HomeState),ROUND(K1660*L1660,2),0)),"")</f>
        <v/>
      </c>
      <c r="P1660" s="61" t="str">
        <f aca="false">IF(IsPro,IF($D1660="","",K1660+M1660+N1660+O1660),"")</f>
        <v/>
      </c>
      <c r="Q1660" s="60" t="str">
        <f aca="false">IF(IsPro,IF($D1660="","",IFERROR(MATCH($D1660,Items!$A$5:$A$504,0),"")),"")</f>
        <v/>
      </c>
      <c r="R1660" s="60" t="str">
        <f aca="false">IF(IsPro,IF($C1660="","",IFERROR(MATCH($C1660,Parties!$A$5:$A$304,0),"")),"")</f>
        <v/>
      </c>
      <c r="S1660" s="61" t="str">
        <f aca="false">IF(IsPro,IF($D1660="","",IF(OR($H1660="",$H1660="Credit"),0,P1660)),"")</f>
        <v/>
      </c>
    </row>
    <row r="1661" customFormat="false" ht="15" hidden="false" customHeight="false" outlineLevel="0" collapsed="false">
      <c r="A1661" s="55"/>
      <c r="B1661" s="56"/>
      <c r="C1661" s="56"/>
      <c r="D1661" s="56"/>
      <c r="E1661" s="57"/>
      <c r="F1661" s="58"/>
      <c r="G1661" s="59"/>
      <c r="H1661" s="56"/>
      <c r="I1661" s="60" t="str">
        <f aca="false">IF(IsPro,IF($D1661="","",IFERROR(INDEX(Items!$D$5:$D$504,Q1661),"")),IF($D1661="","","PRO PLAN"))</f>
        <v/>
      </c>
      <c r="J1661" s="61" t="str">
        <f aca="false">IF(IsPro,IF($D1661="","",IF($F1661="",IFERROR(INDEX(Items!$G$5:$G$504,Q1661),0),$F1661)),"")</f>
        <v/>
      </c>
      <c r="K1661" s="61" t="str">
        <f aca="false">IF(IsPro,IF($D1661="","",ROUND(N($E1661)*J1661*(1-N($G1661)),2)),"")</f>
        <v/>
      </c>
      <c r="L1661" s="62" t="str">
        <f aca="false">IF(IsPro,IF($D1661="","",IFERROR(INDEX(Items!$F$5:$F$504,Q1661),0)),"")</f>
        <v/>
      </c>
      <c r="M1661" s="61" t="str">
        <f aca="false">IF(IsPro,IF($D1661="","",IF(AND(R1661&lt;&gt;"",INDEX(Parties!$E$5:$E$304,R1661)&lt;&gt;"",INDEX(Parties!$E$5:$E$304,R1661)&lt;&gt;HomeState),0,ROUND(K1661*L1661/2,2))),"")</f>
        <v/>
      </c>
      <c r="N1661" s="61" t="str">
        <f aca="false">IF(IsPro,IF($D1661="","",M1661),"")</f>
        <v/>
      </c>
      <c r="O1661" s="61" t="str">
        <f aca="false">IF(IsPro,IF($D1661="","",IF(AND(R1661&lt;&gt;"",INDEX(Parties!$E$5:$E$304,R1661)&lt;&gt;"",INDEX(Parties!$E$5:$E$304,R1661)&lt;&gt;HomeState),ROUND(K1661*L1661,2),0)),"")</f>
        <v/>
      </c>
      <c r="P1661" s="61" t="str">
        <f aca="false">IF(IsPro,IF($D1661="","",K1661+M1661+N1661+O1661),"")</f>
        <v/>
      </c>
      <c r="Q1661" s="60" t="str">
        <f aca="false">IF(IsPro,IF($D1661="","",IFERROR(MATCH($D1661,Items!$A$5:$A$504,0),"")),"")</f>
        <v/>
      </c>
      <c r="R1661" s="60" t="str">
        <f aca="false">IF(IsPro,IF($C1661="","",IFERROR(MATCH($C1661,Parties!$A$5:$A$304,0),"")),"")</f>
        <v/>
      </c>
      <c r="S1661" s="61" t="str">
        <f aca="false">IF(IsPro,IF($D1661="","",IF(OR($H1661="",$H1661="Credit"),0,P1661)),"")</f>
        <v/>
      </c>
    </row>
    <row r="1662" customFormat="false" ht="15" hidden="false" customHeight="false" outlineLevel="0" collapsed="false">
      <c r="A1662" s="55"/>
      <c r="B1662" s="56"/>
      <c r="C1662" s="56"/>
      <c r="D1662" s="56"/>
      <c r="E1662" s="57"/>
      <c r="F1662" s="58"/>
      <c r="G1662" s="59"/>
      <c r="H1662" s="56"/>
      <c r="I1662" s="60" t="str">
        <f aca="false">IF(IsPro,IF($D1662="","",IFERROR(INDEX(Items!$D$5:$D$504,Q1662),"")),IF($D1662="","","PRO PLAN"))</f>
        <v/>
      </c>
      <c r="J1662" s="61" t="str">
        <f aca="false">IF(IsPro,IF($D1662="","",IF($F1662="",IFERROR(INDEX(Items!$G$5:$G$504,Q1662),0),$F1662)),"")</f>
        <v/>
      </c>
      <c r="K1662" s="61" t="str">
        <f aca="false">IF(IsPro,IF($D1662="","",ROUND(N($E1662)*J1662*(1-N($G1662)),2)),"")</f>
        <v/>
      </c>
      <c r="L1662" s="62" t="str">
        <f aca="false">IF(IsPro,IF($D1662="","",IFERROR(INDEX(Items!$F$5:$F$504,Q1662),0)),"")</f>
        <v/>
      </c>
      <c r="M1662" s="61" t="str">
        <f aca="false">IF(IsPro,IF($D1662="","",IF(AND(R1662&lt;&gt;"",INDEX(Parties!$E$5:$E$304,R1662)&lt;&gt;"",INDEX(Parties!$E$5:$E$304,R1662)&lt;&gt;HomeState),0,ROUND(K1662*L1662/2,2))),"")</f>
        <v/>
      </c>
      <c r="N1662" s="61" t="str">
        <f aca="false">IF(IsPro,IF($D1662="","",M1662),"")</f>
        <v/>
      </c>
      <c r="O1662" s="61" t="str">
        <f aca="false">IF(IsPro,IF($D1662="","",IF(AND(R1662&lt;&gt;"",INDEX(Parties!$E$5:$E$304,R1662)&lt;&gt;"",INDEX(Parties!$E$5:$E$304,R1662)&lt;&gt;HomeState),ROUND(K1662*L1662,2),0)),"")</f>
        <v/>
      </c>
      <c r="P1662" s="61" t="str">
        <f aca="false">IF(IsPro,IF($D1662="","",K1662+M1662+N1662+O1662),"")</f>
        <v/>
      </c>
      <c r="Q1662" s="60" t="str">
        <f aca="false">IF(IsPro,IF($D1662="","",IFERROR(MATCH($D1662,Items!$A$5:$A$504,0),"")),"")</f>
        <v/>
      </c>
      <c r="R1662" s="60" t="str">
        <f aca="false">IF(IsPro,IF($C1662="","",IFERROR(MATCH($C1662,Parties!$A$5:$A$304,0),"")),"")</f>
        <v/>
      </c>
      <c r="S1662" s="61" t="str">
        <f aca="false">IF(IsPro,IF($D1662="","",IF(OR($H1662="",$H1662="Credit"),0,P1662)),"")</f>
        <v/>
      </c>
    </row>
    <row r="1663" customFormat="false" ht="15" hidden="false" customHeight="false" outlineLevel="0" collapsed="false">
      <c r="A1663" s="55"/>
      <c r="B1663" s="56"/>
      <c r="C1663" s="56"/>
      <c r="D1663" s="56"/>
      <c r="E1663" s="57"/>
      <c r="F1663" s="58"/>
      <c r="G1663" s="59"/>
      <c r="H1663" s="56"/>
      <c r="I1663" s="60" t="str">
        <f aca="false">IF(IsPro,IF($D1663="","",IFERROR(INDEX(Items!$D$5:$D$504,Q1663),"")),IF($D1663="","","PRO PLAN"))</f>
        <v/>
      </c>
      <c r="J1663" s="61" t="str">
        <f aca="false">IF(IsPro,IF($D1663="","",IF($F1663="",IFERROR(INDEX(Items!$G$5:$G$504,Q1663),0),$F1663)),"")</f>
        <v/>
      </c>
      <c r="K1663" s="61" t="str">
        <f aca="false">IF(IsPro,IF($D1663="","",ROUND(N($E1663)*J1663*(1-N($G1663)),2)),"")</f>
        <v/>
      </c>
      <c r="L1663" s="62" t="str">
        <f aca="false">IF(IsPro,IF($D1663="","",IFERROR(INDEX(Items!$F$5:$F$504,Q1663),0)),"")</f>
        <v/>
      </c>
      <c r="M1663" s="61" t="str">
        <f aca="false">IF(IsPro,IF($D1663="","",IF(AND(R1663&lt;&gt;"",INDEX(Parties!$E$5:$E$304,R1663)&lt;&gt;"",INDEX(Parties!$E$5:$E$304,R1663)&lt;&gt;HomeState),0,ROUND(K1663*L1663/2,2))),"")</f>
        <v/>
      </c>
      <c r="N1663" s="61" t="str">
        <f aca="false">IF(IsPro,IF($D1663="","",M1663),"")</f>
        <v/>
      </c>
      <c r="O1663" s="61" t="str">
        <f aca="false">IF(IsPro,IF($D1663="","",IF(AND(R1663&lt;&gt;"",INDEX(Parties!$E$5:$E$304,R1663)&lt;&gt;"",INDEX(Parties!$E$5:$E$304,R1663)&lt;&gt;HomeState),ROUND(K1663*L1663,2),0)),"")</f>
        <v/>
      </c>
      <c r="P1663" s="61" t="str">
        <f aca="false">IF(IsPro,IF($D1663="","",K1663+M1663+N1663+O1663),"")</f>
        <v/>
      </c>
      <c r="Q1663" s="60" t="str">
        <f aca="false">IF(IsPro,IF($D1663="","",IFERROR(MATCH($D1663,Items!$A$5:$A$504,0),"")),"")</f>
        <v/>
      </c>
      <c r="R1663" s="60" t="str">
        <f aca="false">IF(IsPro,IF($C1663="","",IFERROR(MATCH($C1663,Parties!$A$5:$A$304,0),"")),"")</f>
        <v/>
      </c>
      <c r="S1663" s="61" t="str">
        <f aca="false">IF(IsPro,IF($D1663="","",IF(OR($H1663="",$H1663="Credit"),0,P1663)),"")</f>
        <v/>
      </c>
    </row>
    <row r="1664" customFormat="false" ht="15" hidden="false" customHeight="false" outlineLevel="0" collapsed="false">
      <c r="A1664" s="55"/>
      <c r="B1664" s="56"/>
      <c r="C1664" s="56"/>
      <c r="D1664" s="56"/>
      <c r="E1664" s="57"/>
      <c r="F1664" s="58"/>
      <c r="G1664" s="59"/>
      <c r="H1664" s="56"/>
      <c r="I1664" s="60" t="str">
        <f aca="false">IF(IsPro,IF($D1664="","",IFERROR(INDEX(Items!$D$5:$D$504,Q1664),"")),IF($D1664="","","PRO PLAN"))</f>
        <v/>
      </c>
      <c r="J1664" s="61" t="str">
        <f aca="false">IF(IsPro,IF($D1664="","",IF($F1664="",IFERROR(INDEX(Items!$G$5:$G$504,Q1664),0),$F1664)),"")</f>
        <v/>
      </c>
      <c r="K1664" s="61" t="str">
        <f aca="false">IF(IsPro,IF($D1664="","",ROUND(N($E1664)*J1664*(1-N($G1664)),2)),"")</f>
        <v/>
      </c>
      <c r="L1664" s="62" t="str">
        <f aca="false">IF(IsPro,IF($D1664="","",IFERROR(INDEX(Items!$F$5:$F$504,Q1664),0)),"")</f>
        <v/>
      </c>
      <c r="M1664" s="61" t="str">
        <f aca="false">IF(IsPro,IF($D1664="","",IF(AND(R1664&lt;&gt;"",INDEX(Parties!$E$5:$E$304,R1664)&lt;&gt;"",INDEX(Parties!$E$5:$E$304,R1664)&lt;&gt;HomeState),0,ROUND(K1664*L1664/2,2))),"")</f>
        <v/>
      </c>
      <c r="N1664" s="61" t="str">
        <f aca="false">IF(IsPro,IF($D1664="","",M1664),"")</f>
        <v/>
      </c>
      <c r="O1664" s="61" t="str">
        <f aca="false">IF(IsPro,IF($D1664="","",IF(AND(R1664&lt;&gt;"",INDEX(Parties!$E$5:$E$304,R1664)&lt;&gt;"",INDEX(Parties!$E$5:$E$304,R1664)&lt;&gt;HomeState),ROUND(K1664*L1664,2),0)),"")</f>
        <v/>
      </c>
      <c r="P1664" s="61" t="str">
        <f aca="false">IF(IsPro,IF($D1664="","",K1664+M1664+N1664+O1664),"")</f>
        <v/>
      </c>
      <c r="Q1664" s="60" t="str">
        <f aca="false">IF(IsPro,IF($D1664="","",IFERROR(MATCH($D1664,Items!$A$5:$A$504,0),"")),"")</f>
        <v/>
      </c>
      <c r="R1664" s="60" t="str">
        <f aca="false">IF(IsPro,IF($C1664="","",IFERROR(MATCH($C1664,Parties!$A$5:$A$304,0),"")),"")</f>
        <v/>
      </c>
      <c r="S1664" s="61" t="str">
        <f aca="false">IF(IsPro,IF($D1664="","",IF(OR($H1664="",$H1664="Credit"),0,P1664)),"")</f>
        <v/>
      </c>
    </row>
    <row r="1665" customFormat="false" ht="15" hidden="false" customHeight="false" outlineLevel="0" collapsed="false">
      <c r="A1665" s="55"/>
      <c r="B1665" s="56"/>
      <c r="C1665" s="56"/>
      <c r="D1665" s="56"/>
      <c r="E1665" s="57"/>
      <c r="F1665" s="58"/>
      <c r="G1665" s="59"/>
      <c r="H1665" s="56"/>
      <c r="I1665" s="60" t="str">
        <f aca="false">IF(IsPro,IF($D1665="","",IFERROR(INDEX(Items!$D$5:$D$504,Q1665),"")),IF($D1665="","","PRO PLAN"))</f>
        <v/>
      </c>
      <c r="J1665" s="61" t="str">
        <f aca="false">IF(IsPro,IF($D1665="","",IF($F1665="",IFERROR(INDEX(Items!$G$5:$G$504,Q1665),0),$F1665)),"")</f>
        <v/>
      </c>
      <c r="K1665" s="61" t="str">
        <f aca="false">IF(IsPro,IF($D1665="","",ROUND(N($E1665)*J1665*(1-N($G1665)),2)),"")</f>
        <v/>
      </c>
      <c r="L1665" s="62" t="str">
        <f aca="false">IF(IsPro,IF($D1665="","",IFERROR(INDEX(Items!$F$5:$F$504,Q1665),0)),"")</f>
        <v/>
      </c>
      <c r="M1665" s="61" t="str">
        <f aca="false">IF(IsPro,IF($D1665="","",IF(AND(R1665&lt;&gt;"",INDEX(Parties!$E$5:$E$304,R1665)&lt;&gt;"",INDEX(Parties!$E$5:$E$304,R1665)&lt;&gt;HomeState),0,ROUND(K1665*L1665/2,2))),"")</f>
        <v/>
      </c>
      <c r="N1665" s="61" t="str">
        <f aca="false">IF(IsPro,IF($D1665="","",M1665),"")</f>
        <v/>
      </c>
      <c r="O1665" s="61" t="str">
        <f aca="false">IF(IsPro,IF($D1665="","",IF(AND(R1665&lt;&gt;"",INDEX(Parties!$E$5:$E$304,R1665)&lt;&gt;"",INDEX(Parties!$E$5:$E$304,R1665)&lt;&gt;HomeState),ROUND(K1665*L1665,2),0)),"")</f>
        <v/>
      </c>
      <c r="P1665" s="61" t="str">
        <f aca="false">IF(IsPro,IF($D1665="","",K1665+M1665+N1665+O1665),"")</f>
        <v/>
      </c>
      <c r="Q1665" s="60" t="str">
        <f aca="false">IF(IsPro,IF($D1665="","",IFERROR(MATCH($D1665,Items!$A$5:$A$504,0),"")),"")</f>
        <v/>
      </c>
      <c r="R1665" s="60" t="str">
        <f aca="false">IF(IsPro,IF($C1665="","",IFERROR(MATCH($C1665,Parties!$A$5:$A$304,0),"")),"")</f>
        <v/>
      </c>
      <c r="S1665" s="61" t="str">
        <f aca="false">IF(IsPro,IF($D1665="","",IF(OR($H1665="",$H1665="Credit"),0,P1665)),"")</f>
        <v/>
      </c>
    </row>
    <row r="1666" customFormat="false" ht="15" hidden="false" customHeight="false" outlineLevel="0" collapsed="false">
      <c r="A1666" s="55"/>
      <c r="B1666" s="56"/>
      <c r="C1666" s="56"/>
      <c r="D1666" s="56"/>
      <c r="E1666" s="57"/>
      <c r="F1666" s="58"/>
      <c r="G1666" s="59"/>
      <c r="H1666" s="56"/>
      <c r="I1666" s="60" t="str">
        <f aca="false">IF(IsPro,IF($D1666="","",IFERROR(INDEX(Items!$D$5:$D$504,Q1666),"")),IF($D1666="","","PRO PLAN"))</f>
        <v/>
      </c>
      <c r="J1666" s="61" t="str">
        <f aca="false">IF(IsPro,IF($D1666="","",IF($F1666="",IFERROR(INDEX(Items!$G$5:$G$504,Q1666),0),$F1666)),"")</f>
        <v/>
      </c>
      <c r="K1666" s="61" t="str">
        <f aca="false">IF(IsPro,IF($D1666="","",ROUND(N($E1666)*J1666*(1-N($G1666)),2)),"")</f>
        <v/>
      </c>
      <c r="L1666" s="62" t="str">
        <f aca="false">IF(IsPro,IF($D1666="","",IFERROR(INDEX(Items!$F$5:$F$504,Q1666),0)),"")</f>
        <v/>
      </c>
      <c r="M1666" s="61" t="str">
        <f aca="false">IF(IsPro,IF($D1666="","",IF(AND(R1666&lt;&gt;"",INDEX(Parties!$E$5:$E$304,R1666)&lt;&gt;"",INDEX(Parties!$E$5:$E$304,R1666)&lt;&gt;HomeState),0,ROUND(K1666*L1666/2,2))),"")</f>
        <v/>
      </c>
      <c r="N1666" s="61" t="str">
        <f aca="false">IF(IsPro,IF($D1666="","",M1666),"")</f>
        <v/>
      </c>
      <c r="O1666" s="61" t="str">
        <f aca="false">IF(IsPro,IF($D1666="","",IF(AND(R1666&lt;&gt;"",INDEX(Parties!$E$5:$E$304,R1666)&lt;&gt;"",INDEX(Parties!$E$5:$E$304,R1666)&lt;&gt;HomeState),ROUND(K1666*L1666,2),0)),"")</f>
        <v/>
      </c>
      <c r="P1666" s="61" t="str">
        <f aca="false">IF(IsPro,IF($D1666="","",K1666+M1666+N1666+O1666),"")</f>
        <v/>
      </c>
      <c r="Q1666" s="60" t="str">
        <f aca="false">IF(IsPro,IF($D1666="","",IFERROR(MATCH($D1666,Items!$A$5:$A$504,0),"")),"")</f>
        <v/>
      </c>
      <c r="R1666" s="60" t="str">
        <f aca="false">IF(IsPro,IF($C1666="","",IFERROR(MATCH($C1666,Parties!$A$5:$A$304,0),"")),"")</f>
        <v/>
      </c>
      <c r="S1666" s="61" t="str">
        <f aca="false">IF(IsPro,IF($D1666="","",IF(OR($H1666="",$H1666="Credit"),0,P1666)),"")</f>
        <v/>
      </c>
    </row>
    <row r="1667" customFormat="false" ht="15" hidden="false" customHeight="false" outlineLevel="0" collapsed="false">
      <c r="A1667" s="55"/>
      <c r="B1667" s="56"/>
      <c r="C1667" s="56"/>
      <c r="D1667" s="56"/>
      <c r="E1667" s="57"/>
      <c r="F1667" s="58"/>
      <c r="G1667" s="59"/>
      <c r="H1667" s="56"/>
      <c r="I1667" s="60" t="str">
        <f aca="false">IF(IsPro,IF($D1667="","",IFERROR(INDEX(Items!$D$5:$D$504,Q1667),"")),IF($D1667="","","PRO PLAN"))</f>
        <v/>
      </c>
      <c r="J1667" s="61" t="str">
        <f aca="false">IF(IsPro,IF($D1667="","",IF($F1667="",IFERROR(INDEX(Items!$G$5:$G$504,Q1667),0),$F1667)),"")</f>
        <v/>
      </c>
      <c r="K1667" s="61" t="str">
        <f aca="false">IF(IsPro,IF($D1667="","",ROUND(N($E1667)*J1667*(1-N($G1667)),2)),"")</f>
        <v/>
      </c>
      <c r="L1667" s="62" t="str">
        <f aca="false">IF(IsPro,IF($D1667="","",IFERROR(INDEX(Items!$F$5:$F$504,Q1667),0)),"")</f>
        <v/>
      </c>
      <c r="M1667" s="61" t="str">
        <f aca="false">IF(IsPro,IF($D1667="","",IF(AND(R1667&lt;&gt;"",INDEX(Parties!$E$5:$E$304,R1667)&lt;&gt;"",INDEX(Parties!$E$5:$E$304,R1667)&lt;&gt;HomeState),0,ROUND(K1667*L1667/2,2))),"")</f>
        <v/>
      </c>
      <c r="N1667" s="61" t="str">
        <f aca="false">IF(IsPro,IF($D1667="","",M1667),"")</f>
        <v/>
      </c>
      <c r="O1667" s="61" t="str">
        <f aca="false">IF(IsPro,IF($D1667="","",IF(AND(R1667&lt;&gt;"",INDEX(Parties!$E$5:$E$304,R1667)&lt;&gt;"",INDEX(Parties!$E$5:$E$304,R1667)&lt;&gt;HomeState),ROUND(K1667*L1667,2),0)),"")</f>
        <v/>
      </c>
      <c r="P1667" s="61" t="str">
        <f aca="false">IF(IsPro,IF($D1667="","",K1667+M1667+N1667+O1667),"")</f>
        <v/>
      </c>
      <c r="Q1667" s="60" t="str">
        <f aca="false">IF(IsPro,IF($D1667="","",IFERROR(MATCH($D1667,Items!$A$5:$A$504,0),"")),"")</f>
        <v/>
      </c>
      <c r="R1667" s="60" t="str">
        <f aca="false">IF(IsPro,IF($C1667="","",IFERROR(MATCH($C1667,Parties!$A$5:$A$304,0),"")),"")</f>
        <v/>
      </c>
      <c r="S1667" s="61" t="str">
        <f aca="false">IF(IsPro,IF($D1667="","",IF(OR($H1667="",$H1667="Credit"),0,P1667)),"")</f>
        <v/>
      </c>
    </row>
    <row r="1668" customFormat="false" ht="15" hidden="false" customHeight="false" outlineLevel="0" collapsed="false">
      <c r="A1668" s="55"/>
      <c r="B1668" s="56"/>
      <c r="C1668" s="56"/>
      <c r="D1668" s="56"/>
      <c r="E1668" s="57"/>
      <c r="F1668" s="58"/>
      <c r="G1668" s="59"/>
      <c r="H1668" s="56"/>
      <c r="I1668" s="60" t="str">
        <f aca="false">IF(IsPro,IF($D1668="","",IFERROR(INDEX(Items!$D$5:$D$504,Q1668),"")),IF($D1668="","","PRO PLAN"))</f>
        <v/>
      </c>
      <c r="J1668" s="61" t="str">
        <f aca="false">IF(IsPro,IF($D1668="","",IF($F1668="",IFERROR(INDEX(Items!$G$5:$G$504,Q1668),0),$F1668)),"")</f>
        <v/>
      </c>
      <c r="K1668" s="61" t="str">
        <f aca="false">IF(IsPro,IF($D1668="","",ROUND(N($E1668)*J1668*(1-N($G1668)),2)),"")</f>
        <v/>
      </c>
      <c r="L1668" s="62" t="str">
        <f aca="false">IF(IsPro,IF($D1668="","",IFERROR(INDEX(Items!$F$5:$F$504,Q1668),0)),"")</f>
        <v/>
      </c>
      <c r="M1668" s="61" t="str">
        <f aca="false">IF(IsPro,IF($D1668="","",IF(AND(R1668&lt;&gt;"",INDEX(Parties!$E$5:$E$304,R1668)&lt;&gt;"",INDEX(Parties!$E$5:$E$304,R1668)&lt;&gt;HomeState),0,ROUND(K1668*L1668/2,2))),"")</f>
        <v/>
      </c>
      <c r="N1668" s="61" t="str">
        <f aca="false">IF(IsPro,IF($D1668="","",M1668),"")</f>
        <v/>
      </c>
      <c r="O1668" s="61" t="str">
        <f aca="false">IF(IsPro,IF($D1668="","",IF(AND(R1668&lt;&gt;"",INDEX(Parties!$E$5:$E$304,R1668)&lt;&gt;"",INDEX(Parties!$E$5:$E$304,R1668)&lt;&gt;HomeState),ROUND(K1668*L1668,2),0)),"")</f>
        <v/>
      </c>
      <c r="P1668" s="61" t="str">
        <f aca="false">IF(IsPro,IF($D1668="","",K1668+M1668+N1668+O1668),"")</f>
        <v/>
      </c>
      <c r="Q1668" s="60" t="str">
        <f aca="false">IF(IsPro,IF($D1668="","",IFERROR(MATCH($D1668,Items!$A$5:$A$504,0),"")),"")</f>
        <v/>
      </c>
      <c r="R1668" s="60" t="str">
        <f aca="false">IF(IsPro,IF($C1668="","",IFERROR(MATCH($C1668,Parties!$A$5:$A$304,0),"")),"")</f>
        <v/>
      </c>
      <c r="S1668" s="61" t="str">
        <f aca="false">IF(IsPro,IF($D1668="","",IF(OR($H1668="",$H1668="Credit"),0,P1668)),"")</f>
        <v/>
      </c>
    </row>
    <row r="1669" customFormat="false" ht="15" hidden="false" customHeight="false" outlineLevel="0" collapsed="false">
      <c r="A1669" s="55"/>
      <c r="B1669" s="56"/>
      <c r="C1669" s="56"/>
      <c r="D1669" s="56"/>
      <c r="E1669" s="57"/>
      <c r="F1669" s="58"/>
      <c r="G1669" s="59"/>
      <c r="H1669" s="56"/>
      <c r="I1669" s="60" t="str">
        <f aca="false">IF(IsPro,IF($D1669="","",IFERROR(INDEX(Items!$D$5:$D$504,Q1669),"")),IF($D1669="","","PRO PLAN"))</f>
        <v/>
      </c>
      <c r="J1669" s="61" t="str">
        <f aca="false">IF(IsPro,IF($D1669="","",IF($F1669="",IFERROR(INDEX(Items!$G$5:$G$504,Q1669),0),$F1669)),"")</f>
        <v/>
      </c>
      <c r="K1669" s="61" t="str">
        <f aca="false">IF(IsPro,IF($D1669="","",ROUND(N($E1669)*J1669*(1-N($G1669)),2)),"")</f>
        <v/>
      </c>
      <c r="L1669" s="62" t="str">
        <f aca="false">IF(IsPro,IF($D1669="","",IFERROR(INDEX(Items!$F$5:$F$504,Q1669),0)),"")</f>
        <v/>
      </c>
      <c r="M1669" s="61" t="str">
        <f aca="false">IF(IsPro,IF($D1669="","",IF(AND(R1669&lt;&gt;"",INDEX(Parties!$E$5:$E$304,R1669)&lt;&gt;"",INDEX(Parties!$E$5:$E$304,R1669)&lt;&gt;HomeState),0,ROUND(K1669*L1669/2,2))),"")</f>
        <v/>
      </c>
      <c r="N1669" s="61" t="str">
        <f aca="false">IF(IsPro,IF($D1669="","",M1669),"")</f>
        <v/>
      </c>
      <c r="O1669" s="61" t="str">
        <f aca="false">IF(IsPro,IF($D1669="","",IF(AND(R1669&lt;&gt;"",INDEX(Parties!$E$5:$E$304,R1669)&lt;&gt;"",INDEX(Parties!$E$5:$E$304,R1669)&lt;&gt;HomeState),ROUND(K1669*L1669,2),0)),"")</f>
        <v/>
      </c>
      <c r="P1669" s="61" t="str">
        <f aca="false">IF(IsPro,IF($D1669="","",K1669+M1669+N1669+O1669),"")</f>
        <v/>
      </c>
      <c r="Q1669" s="60" t="str">
        <f aca="false">IF(IsPro,IF($D1669="","",IFERROR(MATCH($D1669,Items!$A$5:$A$504,0),"")),"")</f>
        <v/>
      </c>
      <c r="R1669" s="60" t="str">
        <f aca="false">IF(IsPro,IF($C1669="","",IFERROR(MATCH($C1669,Parties!$A$5:$A$304,0),"")),"")</f>
        <v/>
      </c>
      <c r="S1669" s="61" t="str">
        <f aca="false">IF(IsPro,IF($D1669="","",IF(OR($H1669="",$H1669="Credit"),0,P1669)),"")</f>
        <v/>
      </c>
    </row>
    <row r="1670" customFormat="false" ht="15" hidden="false" customHeight="false" outlineLevel="0" collapsed="false">
      <c r="A1670" s="55"/>
      <c r="B1670" s="56"/>
      <c r="C1670" s="56"/>
      <c r="D1670" s="56"/>
      <c r="E1670" s="57"/>
      <c r="F1670" s="58"/>
      <c r="G1670" s="59"/>
      <c r="H1670" s="56"/>
      <c r="I1670" s="60" t="str">
        <f aca="false">IF(IsPro,IF($D1670="","",IFERROR(INDEX(Items!$D$5:$D$504,Q1670),"")),IF($D1670="","","PRO PLAN"))</f>
        <v/>
      </c>
      <c r="J1670" s="61" t="str">
        <f aca="false">IF(IsPro,IF($D1670="","",IF($F1670="",IFERROR(INDEX(Items!$G$5:$G$504,Q1670),0),$F1670)),"")</f>
        <v/>
      </c>
      <c r="K1670" s="61" t="str">
        <f aca="false">IF(IsPro,IF($D1670="","",ROUND(N($E1670)*J1670*(1-N($G1670)),2)),"")</f>
        <v/>
      </c>
      <c r="L1670" s="62" t="str">
        <f aca="false">IF(IsPro,IF($D1670="","",IFERROR(INDEX(Items!$F$5:$F$504,Q1670),0)),"")</f>
        <v/>
      </c>
      <c r="M1670" s="61" t="str">
        <f aca="false">IF(IsPro,IF($D1670="","",IF(AND(R1670&lt;&gt;"",INDEX(Parties!$E$5:$E$304,R1670)&lt;&gt;"",INDEX(Parties!$E$5:$E$304,R1670)&lt;&gt;HomeState),0,ROUND(K1670*L1670/2,2))),"")</f>
        <v/>
      </c>
      <c r="N1670" s="61" t="str">
        <f aca="false">IF(IsPro,IF($D1670="","",M1670),"")</f>
        <v/>
      </c>
      <c r="O1670" s="61" t="str">
        <f aca="false">IF(IsPro,IF($D1670="","",IF(AND(R1670&lt;&gt;"",INDEX(Parties!$E$5:$E$304,R1670)&lt;&gt;"",INDEX(Parties!$E$5:$E$304,R1670)&lt;&gt;HomeState),ROUND(K1670*L1670,2),0)),"")</f>
        <v/>
      </c>
      <c r="P1670" s="61" t="str">
        <f aca="false">IF(IsPro,IF($D1670="","",K1670+M1670+N1670+O1670),"")</f>
        <v/>
      </c>
      <c r="Q1670" s="60" t="str">
        <f aca="false">IF(IsPro,IF($D1670="","",IFERROR(MATCH($D1670,Items!$A$5:$A$504,0),"")),"")</f>
        <v/>
      </c>
      <c r="R1670" s="60" t="str">
        <f aca="false">IF(IsPro,IF($C1670="","",IFERROR(MATCH($C1670,Parties!$A$5:$A$304,0),"")),"")</f>
        <v/>
      </c>
      <c r="S1670" s="61" t="str">
        <f aca="false">IF(IsPro,IF($D1670="","",IF(OR($H1670="",$H1670="Credit"),0,P1670)),"")</f>
        <v/>
      </c>
    </row>
    <row r="1671" customFormat="false" ht="15" hidden="false" customHeight="false" outlineLevel="0" collapsed="false">
      <c r="A1671" s="55"/>
      <c r="B1671" s="56"/>
      <c r="C1671" s="56"/>
      <c r="D1671" s="56"/>
      <c r="E1671" s="57"/>
      <c r="F1671" s="58"/>
      <c r="G1671" s="59"/>
      <c r="H1671" s="56"/>
      <c r="I1671" s="60" t="str">
        <f aca="false">IF(IsPro,IF($D1671="","",IFERROR(INDEX(Items!$D$5:$D$504,Q1671),"")),IF($D1671="","","PRO PLAN"))</f>
        <v/>
      </c>
      <c r="J1671" s="61" t="str">
        <f aca="false">IF(IsPro,IF($D1671="","",IF($F1671="",IFERROR(INDEX(Items!$G$5:$G$504,Q1671),0),$F1671)),"")</f>
        <v/>
      </c>
      <c r="K1671" s="61" t="str">
        <f aca="false">IF(IsPro,IF($D1671="","",ROUND(N($E1671)*J1671*(1-N($G1671)),2)),"")</f>
        <v/>
      </c>
      <c r="L1671" s="62" t="str">
        <f aca="false">IF(IsPro,IF($D1671="","",IFERROR(INDEX(Items!$F$5:$F$504,Q1671),0)),"")</f>
        <v/>
      </c>
      <c r="M1671" s="61" t="str">
        <f aca="false">IF(IsPro,IF($D1671="","",IF(AND(R1671&lt;&gt;"",INDEX(Parties!$E$5:$E$304,R1671)&lt;&gt;"",INDEX(Parties!$E$5:$E$304,R1671)&lt;&gt;HomeState),0,ROUND(K1671*L1671/2,2))),"")</f>
        <v/>
      </c>
      <c r="N1671" s="61" t="str">
        <f aca="false">IF(IsPro,IF($D1671="","",M1671),"")</f>
        <v/>
      </c>
      <c r="O1671" s="61" t="str">
        <f aca="false">IF(IsPro,IF($D1671="","",IF(AND(R1671&lt;&gt;"",INDEX(Parties!$E$5:$E$304,R1671)&lt;&gt;"",INDEX(Parties!$E$5:$E$304,R1671)&lt;&gt;HomeState),ROUND(K1671*L1671,2),0)),"")</f>
        <v/>
      </c>
      <c r="P1671" s="61" t="str">
        <f aca="false">IF(IsPro,IF($D1671="","",K1671+M1671+N1671+O1671),"")</f>
        <v/>
      </c>
      <c r="Q1671" s="60" t="str">
        <f aca="false">IF(IsPro,IF($D1671="","",IFERROR(MATCH($D1671,Items!$A$5:$A$504,0),"")),"")</f>
        <v/>
      </c>
      <c r="R1671" s="60" t="str">
        <f aca="false">IF(IsPro,IF($C1671="","",IFERROR(MATCH($C1671,Parties!$A$5:$A$304,0),"")),"")</f>
        <v/>
      </c>
      <c r="S1671" s="61" t="str">
        <f aca="false">IF(IsPro,IF($D1671="","",IF(OR($H1671="",$H1671="Credit"),0,P1671)),"")</f>
        <v/>
      </c>
    </row>
    <row r="1672" customFormat="false" ht="15" hidden="false" customHeight="false" outlineLevel="0" collapsed="false">
      <c r="A1672" s="55"/>
      <c r="B1672" s="56"/>
      <c r="C1672" s="56"/>
      <c r="D1672" s="56"/>
      <c r="E1672" s="57"/>
      <c r="F1672" s="58"/>
      <c r="G1672" s="59"/>
      <c r="H1672" s="56"/>
      <c r="I1672" s="60" t="str">
        <f aca="false">IF(IsPro,IF($D1672="","",IFERROR(INDEX(Items!$D$5:$D$504,Q1672),"")),IF($D1672="","","PRO PLAN"))</f>
        <v/>
      </c>
      <c r="J1672" s="61" t="str">
        <f aca="false">IF(IsPro,IF($D1672="","",IF($F1672="",IFERROR(INDEX(Items!$G$5:$G$504,Q1672),0),$F1672)),"")</f>
        <v/>
      </c>
      <c r="K1672" s="61" t="str">
        <f aca="false">IF(IsPro,IF($D1672="","",ROUND(N($E1672)*J1672*(1-N($G1672)),2)),"")</f>
        <v/>
      </c>
      <c r="L1672" s="62" t="str">
        <f aca="false">IF(IsPro,IF($D1672="","",IFERROR(INDEX(Items!$F$5:$F$504,Q1672),0)),"")</f>
        <v/>
      </c>
      <c r="M1672" s="61" t="str">
        <f aca="false">IF(IsPro,IF($D1672="","",IF(AND(R1672&lt;&gt;"",INDEX(Parties!$E$5:$E$304,R1672)&lt;&gt;"",INDEX(Parties!$E$5:$E$304,R1672)&lt;&gt;HomeState),0,ROUND(K1672*L1672/2,2))),"")</f>
        <v/>
      </c>
      <c r="N1672" s="61" t="str">
        <f aca="false">IF(IsPro,IF($D1672="","",M1672),"")</f>
        <v/>
      </c>
      <c r="O1672" s="61" t="str">
        <f aca="false">IF(IsPro,IF($D1672="","",IF(AND(R1672&lt;&gt;"",INDEX(Parties!$E$5:$E$304,R1672)&lt;&gt;"",INDEX(Parties!$E$5:$E$304,R1672)&lt;&gt;HomeState),ROUND(K1672*L1672,2),0)),"")</f>
        <v/>
      </c>
      <c r="P1672" s="61" t="str">
        <f aca="false">IF(IsPro,IF($D1672="","",K1672+M1672+N1672+O1672),"")</f>
        <v/>
      </c>
      <c r="Q1672" s="60" t="str">
        <f aca="false">IF(IsPro,IF($D1672="","",IFERROR(MATCH($D1672,Items!$A$5:$A$504,0),"")),"")</f>
        <v/>
      </c>
      <c r="R1672" s="60" t="str">
        <f aca="false">IF(IsPro,IF($C1672="","",IFERROR(MATCH($C1672,Parties!$A$5:$A$304,0),"")),"")</f>
        <v/>
      </c>
      <c r="S1672" s="61" t="str">
        <f aca="false">IF(IsPro,IF($D1672="","",IF(OR($H1672="",$H1672="Credit"),0,P1672)),"")</f>
        <v/>
      </c>
    </row>
    <row r="1673" customFormat="false" ht="15" hidden="false" customHeight="false" outlineLevel="0" collapsed="false">
      <c r="A1673" s="55"/>
      <c r="B1673" s="56"/>
      <c r="C1673" s="56"/>
      <c r="D1673" s="56"/>
      <c r="E1673" s="57"/>
      <c r="F1673" s="58"/>
      <c r="G1673" s="59"/>
      <c r="H1673" s="56"/>
      <c r="I1673" s="60" t="str">
        <f aca="false">IF(IsPro,IF($D1673="","",IFERROR(INDEX(Items!$D$5:$D$504,Q1673),"")),IF($D1673="","","PRO PLAN"))</f>
        <v/>
      </c>
      <c r="J1673" s="61" t="str">
        <f aca="false">IF(IsPro,IF($D1673="","",IF($F1673="",IFERROR(INDEX(Items!$G$5:$G$504,Q1673),0),$F1673)),"")</f>
        <v/>
      </c>
      <c r="K1673" s="61" t="str">
        <f aca="false">IF(IsPro,IF($D1673="","",ROUND(N($E1673)*J1673*(1-N($G1673)),2)),"")</f>
        <v/>
      </c>
      <c r="L1673" s="62" t="str">
        <f aca="false">IF(IsPro,IF($D1673="","",IFERROR(INDEX(Items!$F$5:$F$504,Q1673),0)),"")</f>
        <v/>
      </c>
      <c r="M1673" s="61" t="str">
        <f aca="false">IF(IsPro,IF($D1673="","",IF(AND(R1673&lt;&gt;"",INDEX(Parties!$E$5:$E$304,R1673)&lt;&gt;"",INDEX(Parties!$E$5:$E$304,R1673)&lt;&gt;HomeState),0,ROUND(K1673*L1673/2,2))),"")</f>
        <v/>
      </c>
      <c r="N1673" s="61" t="str">
        <f aca="false">IF(IsPro,IF($D1673="","",M1673),"")</f>
        <v/>
      </c>
      <c r="O1673" s="61" t="str">
        <f aca="false">IF(IsPro,IF($D1673="","",IF(AND(R1673&lt;&gt;"",INDEX(Parties!$E$5:$E$304,R1673)&lt;&gt;"",INDEX(Parties!$E$5:$E$304,R1673)&lt;&gt;HomeState),ROUND(K1673*L1673,2),0)),"")</f>
        <v/>
      </c>
      <c r="P1673" s="61" t="str">
        <f aca="false">IF(IsPro,IF($D1673="","",K1673+M1673+N1673+O1673),"")</f>
        <v/>
      </c>
      <c r="Q1673" s="60" t="str">
        <f aca="false">IF(IsPro,IF($D1673="","",IFERROR(MATCH($D1673,Items!$A$5:$A$504,0),"")),"")</f>
        <v/>
      </c>
      <c r="R1673" s="60" t="str">
        <f aca="false">IF(IsPro,IF($C1673="","",IFERROR(MATCH($C1673,Parties!$A$5:$A$304,0),"")),"")</f>
        <v/>
      </c>
      <c r="S1673" s="61" t="str">
        <f aca="false">IF(IsPro,IF($D1673="","",IF(OR($H1673="",$H1673="Credit"),0,P1673)),"")</f>
        <v/>
      </c>
    </row>
    <row r="1674" customFormat="false" ht="15" hidden="false" customHeight="false" outlineLevel="0" collapsed="false">
      <c r="A1674" s="55"/>
      <c r="B1674" s="56"/>
      <c r="C1674" s="56"/>
      <c r="D1674" s="56"/>
      <c r="E1674" s="57"/>
      <c r="F1674" s="58"/>
      <c r="G1674" s="59"/>
      <c r="H1674" s="56"/>
      <c r="I1674" s="60" t="str">
        <f aca="false">IF(IsPro,IF($D1674="","",IFERROR(INDEX(Items!$D$5:$D$504,Q1674),"")),IF($D1674="","","PRO PLAN"))</f>
        <v/>
      </c>
      <c r="J1674" s="61" t="str">
        <f aca="false">IF(IsPro,IF($D1674="","",IF($F1674="",IFERROR(INDEX(Items!$G$5:$G$504,Q1674),0),$F1674)),"")</f>
        <v/>
      </c>
      <c r="K1674" s="61" t="str">
        <f aca="false">IF(IsPro,IF($D1674="","",ROUND(N($E1674)*J1674*(1-N($G1674)),2)),"")</f>
        <v/>
      </c>
      <c r="L1674" s="62" t="str">
        <f aca="false">IF(IsPro,IF($D1674="","",IFERROR(INDEX(Items!$F$5:$F$504,Q1674),0)),"")</f>
        <v/>
      </c>
      <c r="M1674" s="61" t="str">
        <f aca="false">IF(IsPro,IF($D1674="","",IF(AND(R1674&lt;&gt;"",INDEX(Parties!$E$5:$E$304,R1674)&lt;&gt;"",INDEX(Parties!$E$5:$E$304,R1674)&lt;&gt;HomeState),0,ROUND(K1674*L1674/2,2))),"")</f>
        <v/>
      </c>
      <c r="N1674" s="61" t="str">
        <f aca="false">IF(IsPro,IF($D1674="","",M1674),"")</f>
        <v/>
      </c>
      <c r="O1674" s="61" t="str">
        <f aca="false">IF(IsPro,IF($D1674="","",IF(AND(R1674&lt;&gt;"",INDEX(Parties!$E$5:$E$304,R1674)&lt;&gt;"",INDEX(Parties!$E$5:$E$304,R1674)&lt;&gt;HomeState),ROUND(K1674*L1674,2),0)),"")</f>
        <v/>
      </c>
      <c r="P1674" s="61" t="str">
        <f aca="false">IF(IsPro,IF($D1674="","",K1674+M1674+N1674+O1674),"")</f>
        <v/>
      </c>
      <c r="Q1674" s="60" t="str">
        <f aca="false">IF(IsPro,IF($D1674="","",IFERROR(MATCH($D1674,Items!$A$5:$A$504,0),"")),"")</f>
        <v/>
      </c>
      <c r="R1674" s="60" t="str">
        <f aca="false">IF(IsPro,IF($C1674="","",IFERROR(MATCH($C1674,Parties!$A$5:$A$304,0),"")),"")</f>
        <v/>
      </c>
      <c r="S1674" s="61" t="str">
        <f aca="false">IF(IsPro,IF($D1674="","",IF(OR($H1674="",$H1674="Credit"),0,P1674)),"")</f>
        <v/>
      </c>
    </row>
    <row r="1675" customFormat="false" ht="15" hidden="false" customHeight="false" outlineLevel="0" collapsed="false">
      <c r="A1675" s="55"/>
      <c r="B1675" s="56"/>
      <c r="C1675" s="56"/>
      <c r="D1675" s="56"/>
      <c r="E1675" s="57"/>
      <c r="F1675" s="58"/>
      <c r="G1675" s="59"/>
      <c r="H1675" s="56"/>
      <c r="I1675" s="60" t="str">
        <f aca="false">IF(IsPro,IF($D1675="","",IFERROR(INDEX(Items!$D$5:$D$504,Q1675),"")),IF($D1675="","","PRO PLAN"))</f>
        <v/>
      </c>
      <c r="J1675" s="61" t="str">
        <f aca="false">IF(IsPro,IF($D1675="","",IF($F1675="",IFERROR(INDEX(Items!$G$5:$G$504,Q1675),0),$F1675)),"")</f>
        <v/>
      </c>
      <c r="K1675" s="61" t="str">
        <f aca="false">IF(IsPro,IF($D1675="","",ROUND(N($E1675)*J1675*(1-N($G1675)),2)),"")</f>
        <v/>
      </c>
      <c r="L1675" s="62" t="str">
        <f aca="false">IF(IsPro,IF($D1675="","",IFERROR(INDEX(Items!$F$5:$F$504,Q1675),0)),"")</f>
        <v/>
      </c>
      <c r="M1675" s="61" t="str">
        <f aca="false">IF(IsPro,IF($D1675="","",IF(AND(R1675&lt;&gt;"",INDEX(Parties!$E$5:$E$304,R1675)&lt;&gt;"",INDEX(Parties!$E$5:$E$304,R1675)&lt;&gt;HomeState),0,ROUND(K1675*L1675/2,2))),"")</f>
        <v/>
      </c>
      <c r="N1675" s="61" t="str">
        <f aca="false">IF(IsPro,IF($D1675="","",M1675),"")</f>
        <v/>
      </c>
      <c r="O1675" s="61" t="str">
        <f aca="false">IF(IsPro,IF($D1675="","",IF(AND(R1675&lt;&gt;"",INDEX(Parties!$E$5:$E$304,R1675)&lt;&gt;"",INDEX(Parties!$E$5:$E$304,R1675)&lt;&gt;HomeState),ROUND(K1675*L1675,2),0)),"")</f>
        <v/>
      </c>
      <c r="P1675" s="61" t="str">
        <f aca="false">IF(IsPro,IF($D1675="","",K1675+M1675+N1675+O1675),"")</f>
        <v/>
      </c>
      <c r="Q1675" s="60" t="str">
        <f aca="false">IF(IsPro,IF($D1675="","",IFERROR(MATCH($D1675,Items!$A$5:$A$504,0),"")),"")</f>
        <v/>
      </c>
      <c r="R1675" s="60" t="str">
        <f aca="false">IF(IsPro,IF($C1675="","",IFERROR(MATCH($C1675,Parties!$A$5:$A$304,0),"")),"")</f>
        <v/>
      </c>
      <c r="S1675" s="61" t="str">
        <f aca="false">IF(IsPro,IF($D1675="","",IF(OR($H1675="",$H1675="Credit"),0,P1675)),"")</f>
        <v/>
      </c>
    </row>
    <row r="1676" customFormat="false" ht="15" hidden="false" customHeight="false" outlineLevel="0" collapsed="false">
      <c r="A1676" s="55"/>
      <c r="B1676" s="56"/>
      <c r="C1676" s="56"/>
      <c r="D1676" s="56"/>
      <c r="E1676" s="57"/>
      <c r="F1676" s="58"/>
      <c r="G1676" s="59"/>
      <c r="H1676" s="56"/>
      <c r="I1676" s="60" t="str">
        <f aca="false">IF(IsPro,IF($D1676="","",IFERROR(INDEX(Items!$D$5:$D$504,Q1676),"")),IF($D1676="","","PRO PLAN"))</f>
        <v/>
      </c>
      <c r="J1676" s="61" t="str">
        <f aca="false">IF(IsPro,IF($D1676="","",IF($F1676="",IFERROR(INDEX(Items!$G$5:$G$504,Q1676),0),$F1676)),"")</f>
        <v/>
      </c>
      <c r="K1676" s="61" t="str">
        <f aca="false">IF(IsPro,IF($D1676="","",ROUND(N($E1676)*J1676*(1-N($G1676)),2)),"")</f>
        <v/>
      </c>
      <c r="L1676" s="62" t="str">
        <f aca="false">IF(IsPro,IF($D1676="","",IFERROR(INDEX(Items!$F$5:$F$504,Q1676),0)),"")</f>
        <v/>
      </c>
      <c r="M1676" s="61" t="str">
        <f aca="false">IF(IsPro,IF($D1676="","",IF(AND(R1676&lt;&gt;"",INDEX(Parties!$E$5:$E$304,R1676)&lt;&gt;"",INDEX(Parties!$E$5:$E$304,R1676)&lt;&gt;HomeState),0,ROUND(K1676*L1676/2,2))),"")</f>
        <v/>
      </c>
      <c r="N1676" s="61" t="str">
        <f aca="false">IF(IsPro,IF($D1676="","",M1676),"")</f>
        <v/>
      </c>
      <c r="O1676" s="61" t="str">
        <f aca="false">IF(IsPro,IF($D1676="","",IF(AND(R1676&lt;&gt;"",INDEX(Parties!$E$5:$E$304,R1676)&lt;&gt;"",INDEX(Parties!$E$5:$E$304,R1676)&lt;&gt;HomeState),ROUND(K1676*L1676,2),0)),"")</f>
        <v/>
      </c>
      <c r="P1676" s="61" t="str">
        <f aca="false">IF(IsPro,IF($D1676="","",K1676+M1676+N1676+O1676),"")</f>
        <v/>
      </c>
      <c r="Q1676" s="60" t="str">
        <f aca="false">IF(IsPro,IF($D1676="","",IFERROR(MATCH($D1676,Items!$A$5:$A$504,0),"")),"")</f>
        <v/>
      </c>
      <c r="R1676" s="60" t="str">
        <f aca="false">IF(IsPro,IF($C1676="","",IFERROR(MATCH($C1676,Parties!$A$5:$A$304,0),"")),"")</f>
        <v/>
      </c>
      <c r="S1676" s="61" t="str">
        <f aca="false">IF(IsPro,IF($D1676="","",IF(OR($H1676="",$H1676="Credit"),0,P1676)),"")</f>
        <v/>
      </c>
    </row>
    <row r="1677" customFormat="false" ht="15" hidden="false" customHeight="false" outlineLevel="0" collapsed="false">
      <c r="A1677" s="55"/>
      <c r="B1677" s="56"/>
      <c r="C1677" s="56"/>
      <c r="D1677" s="56"/>
      <c r="E1677" s="57"/>
      <c r="F1677" s="58"/>
      <c r="G1677" s="59"/>
      <c r="H1677" s="56"/>
      <c r="I1677" s="60" t="str">
        <f aca="false">IF(IsPro,IF($D1677="","",IFERROR(INDEX(Items!$D$5:$D$504,Q1677),"")),IF($D1677="","","PRO PLAN"))</f>
        <v/>
      </c>
      <c r="J1677" s="61" t="str">
        <f aca="false">IF(IsPro,IF($D1677="","",IF($F1677="",IFERROR(INDEX(Items!$G$5:$G$504,Q1677),0),$F1677)),"")</f>
        <v/>
      </c>
      <c r="K1677" s="61" t="str">
        <f aca="false">IF(IsPro,IF($D1677="","",ROUND(N($E1677)*J1677*(1-N($G1677)),2)),"")</f>
        <v/>
      </c>
      <c r="L1677" s="62" t="str">
        <f aca="false">IF(IsPro,IF($D1677="","",IFERROR(INDEX(Items!$F$5:$F$504,Q1677),0)),"")</f>
        <v/>
      </c>
      <c r="M1677" s="61" t="str">
        <f aca="false">IF(IsPro,IF($D1677="","",IF(AND(R1677&lt;&gt;"",INDEX(Parties!$E$5:$E$304,R1677)&lt;&gt;"",INDEX(Parties!$E$5:$E$304,R1677)&lt;&gt;HomeState),0,ROUND(K1677*L1677/2,2))),"")</f>
        <v/>
      </c>
      <c r="N1677" s="61" t="str">
        <f aca="false">IF(IsPro,IF($D1677="","",M1677),"")</f>
        <v/>
      </c>
      <c r="O1677" s="61" t="str">
        <f aca="false">IF(IsPro,IF($D1677="","",IF(AND(R1677&lt;&gt;"",INDEX(Parties!$E$5:$E$304,R1677)&lt;&gt;"",INDEX(Parties!$E$5:$E$304,R1677)&lt;&gt;HomeState),ROUND(K1677*L1677,2),0)),"")</f>
        <v/>
      </c>
      <c r="P1677" s="61" t="str">
        <f aca="false">IF(IsPro,IF($D1677="","",K1677+M1677+N1677+O1677),"")</f>
        <v/>
      </c>
      <c r="Q1677" s="60" t="str">
        <f aca="false">IF(IsPro,IF($D1677="","",IFERROR(MATCH($D1677,Items!$A$5:$A$504,0),"")),"")</f>
        <v/>
      </c>
      <c r="R1677" s="60" t="str">
        <f aca="false">IF(IsPro,IF($C1677="","",IFERROR(MATCH($C1677,Parties!$A$5:$A$304,0),"")),"")</f>
        <v/>
      </c>
      <c r="S1677" s="61" t="str">
        <f aca="false">IF(IsPro,IF($D1677="","",IF(OR($H1677="",$H1677="Credit"),0,P1677)),"")</f>
        <v/>
      </c>
    </row>
    <row r="1678" customFormat="false" ht="15" hidden="false" customHeight="false" outlineLevel="0" collapsed="false">
      <c r="A1678" s="55"/>
      <c r="B1678" s="56"/>
      <c r="C1678" s="56"/>
      <c r="D1678" s="56"/>
      <c r="E1678" s="57"/>
      <c r="F1678" s="58"/>
      <c r="G1678" s="59"/>
      <c r="H1678" s="56"/>
      <c r="I1678" s="60" t="str">
        <f aca="false">IF(IsPro,IF($D1678="","",IFERROR(INDEX(Items!$D$5:$D$504,Q1678),"")),IF($D1678="","","PRO PLAN"))</f>
        <v/>
      </c>
      <c r="J1678" s="61" t="str">
        <f aca="false">IF(IsPro,IF($D1678="","",IF($F1678="",IFERROR(INDEX(Items!$G$5:$G$504,Q1678),0),$F1678)),"")</f>
        <v/>
      </c>
      <c r="K1678" s="61" t="str">
        <f aca="false">IF(IsPro,IF($D1678="","",ROUND(N($E1678)*J1678*(1-N($G1678)),2)),"")</f>
        <v/>
      </c>
      <c r="L1678" s="62" t="str">
        <f aca="false">IF(IsPro,IF($D1678="","",IFERROR(INDEX(Items!$F$5:$F$504,Q1678),0)),"")</f>
        <v/>
      </c>
      <c r="M1678" s="61" t="str">
        <f aca="false">IF(IsPro,IF($D1678="","",IF(AND(R1678&lt;&gt;"",INDEX(Parties!$E$5:$E$304,R1678)&lt;&gt;"",INDEX(Parties!$E$5:$E$304,R1678)&lt;&gt;HomeState),0,ROUND(K1678*L1678/2,2))),"")</f>
        <v/>
      </c>
      <c r="N1678" s="61" t="str">
        <f aca="false">IF(IsPro,IF($D1678="","",M1678),"")</f>
        <v/>
      </c>
      <c r="O1678" s="61" t="str">
        <f aca="false">IF(IsPro,IF($D1678="","",IF(AND(R1678&lt;&gt;"",INDEX(Parties!$E$5:$E$304,R1678)&lt;&gt;"",INDEX(Parties!$E$5:$E$304,R1678)&lt;&gt;HomeState),ROUND(K1678*L1678,2),0)),"")</f>
        <v/>
      </c>
      <c r="P1678" s="61" t="str">
        <f aca="false">IF(IsPro,IF($D1678="","",K1678+M1678+N1678+O1678),"")</f>
        <v/>
      </c>
      <c r="Q1678" s="60" t="str">
        <f aca="false">IF(IsPro,IF($D1678="","",IFERROR(MATCH($D1678,Items!$A$5:$A$504,0),"")),"")</f>
        <v/>
      </c>
      <c r="R1678" s="60" t="str">
        <f aca="false">IF(IsPro,IF($C1678="","",IFERROR(MATCH($C1678,Parties!$A$5:$A$304,0),"")),"")</f>
        <v/>
      </c>
      <c r="S1678" s="61" t="str">
        <f aca="false">IF(IsPro,IF($D1678="","",IF(OR($H1678="",$H1678="Credit"),0,P1678)),"")</f>
        <v/>
      </c>
    </row>
    <row r="1679" customFormat="false" ht="15" hidden="false" customHeight="false" outlineLevel="0" collapsed="false">
      <c r="A1679" s="55"/>
      <c r="B1679" s="56"/>
      <c r="C1679" s="56"/>
      <c r="D1679" s="56"/>
      <c r="E1679" s="57"/>
      <c r="F1679" s="58"/>
      <c r="G1679" s="59"/>
      <c r="H1679" s="56"/>
      <c r="I1679" s="60" t="str">
        <f aca="false">IF(IsPro,IF($D1679="","",IFERROR(INDEX(Items!$D$5:$D$504,Q1679),"")),IF($D1679="","","PRO PLAN"))</f>
        <v/>
      </c>
      <c r="J1679" s="61" t="str">
        <f aca="false">IF(IsPro,IF($D1679="","",IF($F1679="",IFERROR(INDEX(Items!$G$5:$G$504,Q1679),0),$F1679)),"")</f>
        <v/>
      </c>
      <c r="K1679" s="61" t="str">
        <f aca="false">IF(IsPro,IF($D1679="","",ROUND(N($E1679)*J1679*(1-N($G1679)),2)),"")</f>
        <v/>
      </c>
      <c r="L1679" s="62" t="str">
        <f aca="false">IF(IsPro,IF($D1679="","",IFERROR(INDEX(Items!$F$5:$F$504,Q1679),0)),"")</f>
        <v/>
      </c>
      <c r="M1679" s="61" t="str">
        <f aca="false">IF(IsPro,IF($D1679="","",IF(AND(R1679&lt;&gt;"",INDEX(Parties!$E$5:$E$304,R1679)&lt;&gt;"",INDEX(Parties!$E$5:$E$304,R1679)&lt;&gt;HomeState),0,ROUND(K1679*L1679/2,2))),"")</f>
        <v/>
      </c>
      <c r="N1679" s="61" t="str">
        <f aca="false">IF(IsPro,IF($D1679="","",M1679),"")</f>
        <v/>
      </c>
      <c r="O1679" s="61" t="str">
        <f aca="false">IF(IsPro,IF($D1679="","",IF(AND(R1679&lt;&gt;"",INDEX(Parties!$E$5:$E$304,R1679)&lt;&gt;"",INDEX(Parties!$E$5:$E$304,R1679)&lt;&gt;HomeState),ROUND(K1679*L1679,2),0)),"")</f>
        <v/>
      </c>
      <c r="P1679" s="61" t="str">
        <f aca="false">IF(IsPro,IF($D1679="","",K1679+M1679+N1679+O1679),"")</f>
        <v/>
      </c>
      <c r="Q1679" s="60" t="str">
        <f aca="false">IF(IsPro,IF($D1679="","",IFERROR(MATCH($D1679,Items!$A$5:$A$504,0),"")),"")</f>
        <v/>
      </c>
      <c r="R1679" s="60" t="str">
        <f aca="false">IF(IsPro,IF($C1679="","",IFERROR(MATCH($C1679,Parties!$A$5:$A$304,0),"")),"")</f>
        <v/>
      </c>
      <c r="S1679" s="61" t="str">
        <f aca="false">IF(IsPro,IF($D1679="","",IF(OR($H1679="",$H1679="Credit"),0,P1679)),"")</f>
        <v/>
      </c>
    </row>
    <row r="1680" customFormat="false" ht="15" hidden="false" customHeight="false" outlineLevel="0" collapsed="false">
      <c r="A1680" s="55"/>
      <c r="B1680" s="56"/>
      <c r="C1680" s="56"/>
      <c r="D1680" s="56"/>
      <c r="E1680" s="57"/>
      <c r="F1680" s="58"/>
      <c r="G1680" s="59"/>
      <c r="H1680" s="56"/>
      <c r="I1680" s="60" t="str">
        <f aca="false">IF(IsPro,IF($D1680="","",IFERROR(INDEX(Items!$D$5:$D$504,Q1680),"")),IF($D1680="","","PRO PLAN"))</f>
        <v/>
      </c>
      <c r="J1680" s="61" t="str">
        <f aca="false">IF(IsPro,IF($D1680="","",IF($F1680="",IFERROR(INDEX(Items!$G$5:$G$504,Q1680),0),$F1680)),"")</f>
        <v/>
      </c>
      <c r="K1680" s="61" t="str">
        <f aca="false">IF(IsPro,IF($D1680="","",ROUND(N($E1680)*J1680*(1-N($G1680)),2)),"")</f>
        <v/>
      </c>
      <c r="L1680" s="62" t="str">
        <f aca="false">IF(IsPro,IF($D1680="","",IFERROR(INDEX(Items!$F$5:$F$504,Q1680),0)),"")</f>
        <v/>
      </c>
      <c r="M1680" s="61" t="str">
        <f aca="false">IF(IsPro,IF($D1680="","",IF(AND(R1680&lt;&gt;"",INDEX(Parties!$E$5:$E$304,R1680)&lt;&gt;"",INDEX(Parties!$E$5:$E$304,R1680)&lt;&gt;HomeState),0,ROUND(K1680*L1680/2,2))),"")</f>
        <v/>
      </c>
      <c r="N1680" s="61" t="str">
        <f aca="false">IF(IsPro,IF($D1680="","",M1680),"")</f>
        <v/>
      </c>
      <c r="O1680" s="61" t="str">
        <f aca="false">IF(IsPro,IF($D1680="","",IF(AND(R1680&lt;&gt;"",INDEX(Parties!$E$5:$E$304,R1680)&lt;&gt;"",INDEX(Parties!$E$5:$E$304,R1680)&lt;&gt;HomeState),ROUND(K1680*L1680,2),0)),"")</f>
        <v/>
      </c>
      <c r="P1680" s="61" t="str">
        <f aca="false">IF(IsPro,IF($D1680="","",K1680+M1680+N1680+O1680),"")</f>
        <v/>
      </c>
      <c r="Q1680" s="60" t="str">
        <f aca="false">IF(IsPro,IF($D1680="","",IFERROR(MATCH($D1680,Items!$A$5:$A$504,0),"")),"")</f>
        <v/>
      </c>
      <c r="R1680" s="60" t="str">
        <f aca="false">IF(IsPro,IF($C1680="","",IFERROR(MATCH($C1680,Parties!$A$5:$A$304,0),"")),"")</f>
        <v/>
      </c>
      <c r="S1680" s="61" t="str">
        <f aca="false">IF(IsPro,IF($D1680="","",IF(OR($H1680="",$H1680="Credit"),0,P1680)),"")</f>
        <v/>
      </c>
    </row>
    <row r="1681" customFormat="false" ht="15" hidden="false" customHeight="false" outlineLevel="0" collapsed="false">
      <c r="A1681" s="55"/>
      <c r="B1681" s="56"/>
      <c r="C1681" s="56"/>
      <c r="D1681" s="56"/>
      <c r="E1681" s="57"/>
      <c r="F1681" s="58"/>
      <c r="G1681" s="59"/>
      <c r="H1681" s="56"/>
      <c r="I1681" s="60" t="str">
        <f aca="false">IF(IsPro,IF($D1681="","",IFERROR(INDEX(Items!$D$5:$D$504,Q1681),"")),IF($D1681="","","PRO PLAN"))</f>
        <v/>
      </c>
      <c r="J1681" s="61" t="str">
        <f aca="false">IF(IsPro,IF($D1681="","",IF($F1681="",IFERROR(INDEX(Items!$G$5:$G$504,Q1681),0),$F1681)),"")</f>
        <v/>
      </c>
      <c r="K1681" s="61" t="str">
        <f aca="false">IF(IsPro,IF($D1681="","",ROUND(N($E1681)*J1681*(1-N($G1681)),2)),"")</f>
        <v/>
      </c>
      <c r="L1681" s="62" t="str">
        <f aca="false">IF(IsPro,IF($D1681="","",IFERROR(INDEX(Items!$F$5:$F$504,Q1681),0)),"")</f>
        <v/>
      </c>
      <c r="M1681" s="61" t="str">
        <f aca="false">IF(IsPro,IF($D1681="","",IF(AND(R1681&lt;&gt;"",INDEX(Parties!$E$5:$E$304,R1681)&lt;&gt;"",INDEX(Parties!$E$5:$E$304,R1681)&lt;&gt;HomeState),0,ROUND(K1681*L1681/2,2))),"")</f>
        <v/>
      </c>
      <c r="N1681" s="61" t="str">
        <f aca="false">IF(IsPro,IF($D1681="","",M1681),"")</f>
        <v/>
      </c>
      <c r="O1681" s="61" t="str">
        <f aca="false">IF(IsPro,IF($D1681="","",IF(AND(R1681&lt;&gt;"",INDEX(Parties!$E$5:$E$304,R1681)&lt;&gt;"",INDEX(Parties!$E$5:$E$304,R1681)&lt;&gt;HomeState),ROUND(K1681*L1681,2),0)),"")</f>
        <v/>
      </c>
      <c r="P1681" s="61" t="str">
        <f aca="false">IF(IsPro,IF($D1681="","",K1681+M1681+N1681+O1681),"")</f>
        <v/>
      </c>
      <c r="Q1681" s="60" t="str">
        <f aca="false">IF(IsPro,IF($D1681="","",IFERROR(MATCH($D1681,Items!$A$5:$A$504,0),"")),"")</f>
        <v/>
      </c>
      <c r="R1681" s="60" t="str">
        <f aca="false">IF(IsPro,IF($C1681="","",IFERROR(MATCH($C1681,Parties!$A$5:$A$304,0),"")),"")</f>
        <v/>
      </c>
      <c r="S1681" s="61" t="str">
        <f aca="false">IF(IsPro,IF($D1681="","",IF(OR($H1681="",$H1681="Credit"),0,P1681)),"")</f>
        <v/>
      </c>
    </row>
    <row r="1682" customFormat="false" ht="15" hidden="false" customHeight="false" outlineLevel="0" collapsed="false">
      <c r="A1682" s="55"/>
      <c r="B1682" s="56"/>
      <c r="C1682" s="56"/>
      <c r="D1682" s="56"/>
      <c r="E1682" s="57"/>
      <c r="F1682" s="58"/>
      <c r="G1682" s="59"/>
      <c r="H1682" s="56"/>
      <c r="I1682" s="60" t="str">
        <f aca="false">IF(IsPro,IF($D1682="","",IFERROR(INDEX(Items!$D$5:$D$504,Q1682),"")),IF($D1682="","","PRO PLAN"))</f>
        <v/>
      </c>
      <c r="J1682" s="61" t="str">
        <f aca="false">IF(IsPro,IF($D1682="","",IF($F1682="",IFERROR(INDEX(Items!$G$5:$G$504,Q1682),0),$F1682)),"")</f>
        <v/>
      </c>
      <c r="K1682" s="61" t="str">
        <f aca="false">IF(IsPro,IF($D1682="","",ROUND(N($E1682)*J1682*(1-N($G1682)),2)),"")</f>
        <v/>
      </c>
      <c r="L1682" s="62" t="str">
        <f aca="false">IF(IsPro,IF($D1682="","",IFERROR(INDEX(Items!$F$5:$F$504,Q1682),0)),"")</f>
        <v/>
      </c>
      <c r="M1682" s="61" t="str">
        <f aca="false">IF(IsPro,IF($D1682="","",IF(AND(R1682&lt;&gt;"",INDEX(Parties!$E$5:$E$304,R1682)&lt;&gt;"",INDEX(Parties!$E$5:$E$304,R1682)&lt;&gt;HomeState),0,ROUND(K1682*L1682/2,2))),"")</f>
        <v/>
      </c>
      <c r="N1682" s="61" t="str">
        <f aca="false">IF(IsPro,IF($D1682="","",M1682),"")</f>
        <v/>
      </c>
      <c r="O1682" s="61" t="str">
        <f aca="false">IF(IsPro,IF($D1682="","",IF(AND(R1682&lt;&gt;"",INDEX(Parties!$E$5:$E$304,R1682)&lt;&gt;"",INDEX(Parties!$E$5:$E$304,R1682)&lt;&gt;HomeState),ROUND(K1682*L1682,2),0)),"")</f>
        <v/>
      </c>
      <c r="P1682" s="61" t="str">
        <f aca="false">IF(IsPro,IF($D1682="","",K1682+M1682+N1682+O1682),"")</f>
        <v/>
      </c>
      <c r="Q1682" s="60" t="str">
        <f aca="false">IF(IsPro,IF($D1682="","",IFERROR(MATCH($D1682,Items!$A$5:$A$504,0),"")),"")</f>
        <v/>
      </c>
      <c r="R1682" s="60" t="str">
        <f aca="false">IF(IsPro,IF($C1682="","",IFERROR(MATCH($C1682,Parties!$A$5:$A$304,0),"")),"")</f>
        <v/>
      </c>
      <c r="S1682" s="61" t="str">
        <f aca="false">IF(IsPro,IF($D1682="","",IF(OR($H1682="",$H1682="Credit"),0,P1682)),"")</f>
        <v/>
      </c>
    </row>
    <row r="1683" customFormat="false" ht="15" hidden="false" customHeight="false" outlineLevel="0" collapsed="false">
      <c r="A1683" s="55"/>
      <c r="B1683" s="56"/>
      <c r="C1683" s="56"/>
      <c r="D1683" s="56"/>
      <c r="E1683" s="57"/>
      <c r="F1683" s="58"/>
      <c r="G1683" s="59"/>
      <c r="H1683" s="56"/>
      <c r="I1683" s="60" t="str">
        <f aca="false">IF(IsPro,IF($D1683="","",IFERROR(INDEX(Items!$D$5:$D$504,Q1683),"")),IF($D1683="","","PRO PLAN"))</f>
        <v/>
      </c>
      <c r="J1683" s="61" t="str">
        <f aca="false">IF(IsPro,IF($D1683="","",IF($F1683="",IFERROR(INDEX(Items!$G$5:$G$504,Q1683),0),$F1683)),"")</f>
        <v/>
      </c>
      <c r="K1683" s="61" t="str">
        <f aca="false">IF(IsPro,IF($D1683="","",ROUND(N($E1683)*J1683*(1-N($G1683)),2)),"")</f>
        <v/>
      </c>
      <c r="L1683" s="62" t="str">
        <f aca="false">IF(IsPro,IF($D1683="","",IFERROR(INDEX(Items!$F$5:$F$504,Q1683),0)),"")</f>
        <v/>
      </c>
      <c r="M1683" s="61" t="str">
        <f aca="false">IF(IsPro,IF($D1683="","",IF(AND(R1683&lt;&gt;"",INDEX(Parties!$E$5:$E$304,R1683)&lt;&gt;"",INDEX(Parties!$E$5:$E$304,R1683)&lt;&gt;HomeState),0,ROUND(K1683*L1683/2,2))),"")</f>
        <v/>
      </c>
      <c r="N1683" s="61" t="str">
        <f aca="false">IF(IsPro,IF($D1683="","",M1683),"")</f>
        <v/>
      </c>
      <c r="O1683" s="61" t="str">
        <f aca="false">IF(IsPro,IF($D1683="","",IF(AND(R1683&lt;&gt;"",INDEX(Parties!$E$5:$E$304,R1683)&lt;&gt;"",INDEX(Parties!$E$5:$E$304,R1683)&lt;&gt;HomeState),ROUND(K1683*L1683,2),0)),"")</f>
        <v/>
      </c>
      <c r="P1683" s="61" t="str">
        <f aca="false">IF(IsPro,IF($D1683="","",K1683+M1683+N1683+O1683),"")</f>
        <v/>
      </c>
      <c r="Q1683" s="60" t="str">
        <f aca="false">IF(IsPro,IF($D1683="","",IFERROR(MATCH($D1683,Items!$A$5:$A$504,0),"")),"")</f>
        <v/>
      </c>
      <c r="R1683" s="60" t="str">
        <f aca="false">IF(IsPro,IF($C1683="","",IFERROR(MATCH($C1683,Parties!$A$5:$A$304,0),"")),"")</f>
        <v/>
      </c>
      <c r="S1683" s="61" t="str">
        <f aca="false">IF(IsPro,IF($D1683="","",IF(OR($H1683="",$H1683="Credit"),0,P1683)),"")</f>
        <v/>
      </c>
    </row>
    <row r="1684" customFormat="false" ht="15" hidden="false" customHeight="false" outlineLevel="0" collapsed="false">
      <c r="A1684" s="55"/>
      <c r="B1684" s="56"/>
      <c r="C1684" s="56"/>
      <c r="D1684" s="56"/>
      <c r="E1684" s="57"/>
      <c r="F1684" s="58"/>
      <c r="G1684" s="59"/>
      <c r="H1684" s="56"/>
      <c r="I1684" s="60" t="str">
        <f aca="false">IF(IsPro,IF($D1684="","",IFERROR(INDEX(Items!$D$5:$D$504,Q1684),"")),IF($D1684="","","PRO PLAN"))</f>
        <v/>
      </c>
      <c r="J1684" s="61" t="str">
        <f aca="false">IF(IsPro,IF($D1684="","",IF($F1684="",IFERROR(INDEX(Items!$G$5:$G$504,Q1684),0),$F1684)),"")</f>
        <v/>
      </c>
      <c r="K1684" s="61" t="str">
        <f aca="false">IF(IsPro,IF($D1684="","",ROUND(N($E1684)*J1684*(1-N($G1684)),2)),"")</f>
        <v/>
      </c>
      <c r="L1684" s="62" t="str">
        <f aca="false">IF(IsPro,IF($D1684="","",IFERROR(INDEX(Items!$F$5:$F$504,Q1684),0)),"")</f>
        <v/>
      </c>
      <c r="M1684" s="61" t="str">
        <f aca="false">IF(IsPro,IF($D1684="","",IF(AND(R1684&lt;&gt;"",INDEX(Parties!$E$5:$E$304,R1684)&lt;&gt;"",INDEX(Parties!$E$5:$E$304,R1684)&lt;&gt;HomeState),0,ROUND(K1684*L1684/2,2))),"")</f>
        <v/>
      </c>
      <c r="N1684" s="61" t="str">
        <f aca="false">IF(IsPro,IF($D1684="","",M1684),"")</f>
        <v/>
      </c>
      <c r="O1684" s="61" t="str">
        <f aca="false">IF(IsPro,IF($D1684="","",IF(AND(R1684&lt;&gt;"",INDEX(Parties!$E$5:$E$304,R1684)&lt;&gt;"",INDEX(Parties!$E$5:$E$304,R1684)&lt;&gt;HomeState),ROUND(K1684*L1684,2),0)),"")</f>
        <v/>
      </c>
      <c r="P1684" s="61" t="str">
        <f aca="false">IF(IsPro,IF($D1684="","",K1684+M1684+N1684+O1684),"")</f>
        <v/>
      </c>
      <c r="Q1684" s="60" t="str">
        <f aca="false">IF(IsPro,IF($D1684="","",IFERROR(MATCH($D1684,Items!$A$5:$A$504,0),"")),"")</f>
        <v/>
      </c>
      <c r="R1684" s="60" t="str">
        <f aca="false">IF(IsPro,IF($C1684="","",IFERROR(MATCH($C1684,Parties!$A$5:$A$304,0),"")),"")</f>
        <v/>
      </c>
      <c r="S1684" s="61" t="str">
        <f aca="false">IF(IsPro,IF($D1684="","",IF(OR($H1684="",$H1684="Credit"),0,P1684)),"")</f>
        <v/>
      </c>
    </row>
    <row r="1685" customFormat="false" ht="15" hidden="false" customHeight="false" outlineLevel="0" collapsed="false">
      <c r="A1685" s="55"/>
      <c r="B1685" s="56"/>
      <c r="C1685" s="56"/>
      <c r="D1685" s="56"/>
      <c r="E1685" s="57"/>
      <c r="F1685" s="58"/>
      <c r="G1685" s="59"/>
      <c r="H1685" s="56"/>
      <c r="I1685" s="60" t="str">
        <f aca="false">IF(IsPro,IF($D1685="","",IFERROR(INDEX(Items!$D$5:$D$504,Q1685),"")),IF($D1685="","","PRO PLAN"))</f>
        <v/>
      </c>
      <c r="J1685" s="61" t="str">
        <f aca="false">IF(IsPro,IF($D1685="","",IF($F1685="",IFERROR(INDEX(Items!$G$5:$G$504,Q1685),0),$F1685)),"")</f>
        <v/>
      </c>
      <c r="K1685" s="61" t="str">
        <f aca="false">IF(IsPro,IF($D1685="","",ROUND(N($E1685)*J1685*(1-N($G1685)),2)),"")</f>
        <v/>
      </c>
      <c r="L1685" s="62" t="str">
        <f aca="false">IF(IsPro,IF($D1685="","",IFERROR(INDEX(Items!$F$5:$F$504,Q1685),0)),"")</f>
        <v/>
      </c>
      <c r="M1685" s="61" t="str">
        <f aca="false">IF(IsPro,IF($D1685="","",IF(AND(R1685&lt;&gt;"",INDEX(Parties!$E$5:$E$304,R1685)&lt;&gt;"",INDEX(Parties!$E$5:$E$304,R1685)&lt;&gt;HomeState),0,ROUND(K1685*L1685/2,2))),"")</f>
        <v/>
      </c>
      <c r="N1685" s="61" t="str">
        <f aca="false">IF(IsPro,IF($D1685="","",M1685),"")</f>
        <v/>
      </c>
      <c r="O1685" s="61" t="str">
        <f aca="false">IF(IsPro,IF($D1685="","",IF(AND(R1685&lt;&gt;"",INDEX(Parties!$E$5:$E$304,R1685)&lt;&gt;"",INDEX(Parties!$E$5:$E$304,R1685)&lt;&gt;HomeState),ROUND(K1685*L1685,2),0)),"")</f>
        <v/>
      </c>
      <c r="P1685" s="61" t="str">
        <f aca="false">IF(IsPro,IF($D1685="","",K1685+M1685+N1685+O1685),"")</f>
        <v/>
      </c>
      <c r="Q1685" s="60" t="str">
        <f aca="false">IF(IsPro,IF($D1685="","",IFERROR(MATCH($D1685,Items!$A$5:$A$504,0),"")),"")</f>
        <v/>
      </c>
      <c r="R1685" s="60" t="str">
        <f aca="false">IF(IsPro,IF($C1685="","",IFERROR(MATCH($C1685,Parties!$A$5:$A$304,0),"")),"")</f>
        <v/>
      </c>
      <c r="S1685" s="61" t="str">
        <f aca="false">IF(IsPro,IF($D1685="","",IF(OR($H1685="",$H1685="Credit"),0,P1685)),"")</f>
        <v/>
      </c>
    </row>
    <row r="1686" customFormat="false" ht="15" hidden="false" customHeight="false" outlineLevel="0" collapsed="false">
      <c r="A1686" s="55"/>
      <c r="B1686" s="56"/>
      <c r="C1686" s="56"/>
      <c r="D1686" s="56"/>
      <c r="E1686" s="57"/>
      <c r="F1686" s="58"/>
      <c r="G1686" s="59"/>
      <c r="H1686" s="56"/>
      <c r="I1686" s="60" t="str">
        <f aca="false">IF(IsPro,IF($D1686="","",IFERROR(INDEX(Items!$D$5:$D$504,Q1686),"")),IF($D1686="","","PRO PLAN"))</f>
        <v/>
      </c>
      <c r="J1686" s="61" t="str">
        <f aca="false">IF(IsPro,IF($D1686="","",IF($F1686="",IFERROR(INDEX(Items!$G$5:$G$504,Q1686),0),$F1686)),"")</f>
        <v/>
      </c>
      <c r="K1686" s="61" t="str">
        <f aca="false">IF(IsPro,IF($D1686="","",ROUND(N($E1686)*J1686*(1-N($G1686)),2)),"")</f>
        <v/>
      </c>
      <c r="L1686" s="62" t="str">
        <f aca="false">IF(IsPro,IF($D1686="","",IFERROR(INDEX(Items!$F$5:$F$504,Q1686),0)),"")</f>
        <v/>
      </c>
      <c r="M1686" s="61" t="str">
        <f aca="false">IF(IsPro,IF($D1686="","",IF(AND(R1686&lt;&gt;"",INDEX(Parties!$E$5:$E$304,R1686)&lt;&gt;"",INDEX(Parties!$E$5:$E$304,R1686)&lt;&gt;HomeState),0,ROUND(K1686*L1686/2,2))),"")</f>
        <v/>
      </c>
      <c r="N1686" s="61" t="str">
        <f aca="false">IF(IsPro,IF($D1686="","",M1686),"")</f>
        <v/>
      </c>
      <c r="O1686" s="61" t="str">
        <f aca="false">IF(IsPro,IF($D1686="","",IF(AND(R1686&lt;&gt;"",INDEX(Parties!$E$5:$E$304,R1686)&lt;&gt;"",INDEX(Parties!$E$5:$E$304,R1686)&lt;&gt;HomeState),ROUND(K1686*L1686,2),0)),"")</f>
        <v/>
      </c>
      <c r="P1686" s="61" t="str">
        <f aca="false">IF(IsPro,IF($D1686="","",K1686+M1686+N1686+O1686),"")</f>
        <v/>
      </c>
      <c r="Q1686" s="60" t="str">
        <f aca="false">IF(IsPro,IF($D1686="","",IFERROR(MATCH($D1686,Items!$A$5:$A$504,0),"")),"")</f>
        <v/>
      </c>
      <c r="R1686" s="60" t="str">
        <f aca="false">IF(IsPro,IF($C1686="","",IFERROR(MATCH($C1686,Parties!$A$5:$A$304,0),"")),"")</f>
        <v/>
      </c>
      <c r="S1686" s="61" t="str">
        <f aca="false">IF(IsPro,IF($D1686="","",IF(OR($H1686="",$H1686="Credit"),0,P1686)),"")</f>
        <v/>
      </c>
    </row>
    <row r="1687" customFormat="false" ht="15" hidden="false" customHeight="false" outlineLevel="0" collapsed="false">
      <c r="A1687" s="55"/>
      <c r="B1687" s="56"/>
      <c r="C1687" s="56"/>
      <c r="D1687" s="56"/>
      <c r="E1687" s="57"/>
      <c r="F1687" s="58"/>
      <c r="G1687" s="59"/>
      <c r="H1687" s="56"/>
      <c r="I1687" s="60" t="str">
        <f aca="false">IF(IsPro,IF($D1687="","",IFERROR(INDEX(Items!$D$5:$D$504,Q1687),"")),IF($D1687="","","PRO PLAN"))</f>
        <v/>
      </c>
      <c r="J1687" s="61" t="str">
        <f aca="false">IF(IsPro,IF($D1687="","",IF($F1687="",IFERROR(INDEX(Items!$G$5:$G$504,Q1687),0),$F1687)),"")</f>
        <v/>
      </c>
      <c r="K1687" s="61" t="str">
        <f aca="false">IF(IsPro,IF($D1687="","",ROUND(N($E1687)*J1687*(1-N($G1687)),2)),"")</f>
        <v/>
      </c>
      <c r="L1687" s="62" t="str">
        <f aca="false">IF(IsPro,IF($D1687="","",IFERROR(INDEX(Items!$F$5:$F$504,Q1687),0)),"")</f>
        <v/>
      </c>
      <c r="M1687" s="61" t="str">
        <f aca="false">IF(IsPro,IF($D1687="","",IF(AND(R1687&lt;&gt;"",INDEX(Parties!$E$5:$E$304,R1687)&lt;&gt;"",INDEX(Parties!$E$5:$E$304,R1687)&lt;&gt;HomeState),0,ROUND(K1687*L1687/2,2))),"")</f>
        <v/>
      </c>
      <c r="N1687" s="61" t="str">
        <f aca="false">IF(IsPro,IF($D1687="","",M1687),"")</f>
        <v/>
      </c>
      <c r="O1687" s="61" t="str">
        <f aca="false">IF(IsPro,IF($D1687="","",IF(AND(R1687&lt;&gt;"",INDEX(Parties!$E$5:$E$304,R1687)&lt;&gt;"",INDEX(Parties!$E$5:$E$304,R1687)&lt;&gt;HomeState),ROUND(K1687*L1687,2),0)),"")</f>
        <v/>
      </c>
      <c r="P1687" s="61" t="str">
        <f aca="false">IF(IsPro,IF($D1687="","",K1687+M1687+N1687+O1687),"")</f>
        <v/>
      </c>
      <c r="Q1687" s="60" t="str">
        <f aca="false">IF(IsPro,IF($D1687="","",IFERROR(MATCH($D1687,Items!$A$5:$A$504,0),"")),"")</f>
        <v/>
      </c>
      <c r="R1687" s="60" t="str">
        <f aca="false">IF(IsPro,IF($C1687="","",IFERROR(MATCH($C1687,Parties!$A$5:$A$304,0),"")),"")</f>
        <v/>
      </c>
      <c r="S1687" s="61" t="str">
        <f aca="false">IF(IsPro,IF($D1687="","",IF(OR($H1687="",$H1687="Credit"),0,P1687)),"")</f>
        <v/>
      </c>
    </row>
    <row r="1688" customFormat="false" ht="15" hidden="false" customHeight="false" outlineLevel="0" collapsed="false">
      <c r="A1688" s="55"/>
      <c r="B1688" s="56"/>
      <c r="C1688" s="56"/>
      <c r="D1688" s="56"/>
      <c r="E1688" s="57"/>
      <c r="F1688" s="58"/>
      <c r="G1688" s="59"/>
      <c r="H1688" s="56"/>
      <c r="I1688" s="60" t="str">
        <f aca="false">IF(IsPro,IF($D1688="","",IFERROR(INDEX(Items!$D$5:$D$504,Q1688),"")),IF($D1688="","","PRO PLAN"))</f>
        <v/>
      </c>
      <c r="J1688" s="61" t="str">
        <f aca="false">IF(IsPro,IF($D1688="","",IF($F1688="",IFERROR(INDEX(Items!$G$5:$G$504,Q1688),0),$F1688)),"")</f>
        <v/>
      </c>
      <c r="K1688" s="61" t="str">
        <f aca="false">IF(IsPro,IF($D1688="","",ROUND(N($E1688)*J1688*(1-N($G1688)),2)),"")</f>
        <v/>
      </c>
      <c r="L1688" s="62" t="str">
        <f aca="false">IF(IsPro,IF($D1688="","",IFERROR(INDEX(Items!$F$5:$F$504,Q1688),0)),"")</f>
        <v/>
      </c>
      <c r="M1688" s="61" t="str">
        <f aca="false">IF(IsPro,IF($D1688="","",IF(AND(R1688&lt;&gt;"",INDEX(Parties!$E$5:$E$304,R1688)&lt;&gt;"",INDEX(Parties!$E$5:$E$304,R1688)&lt;&gt;HomeState),0,ROUND(K1688*L1688/2,2))),"")</f>
        <v/>
      </c>
      <c r="N1688" s="61" t="str">
        <f aca="false">IF(IsPro,IF($D1688="","",M1688),"")</f>
        <v/>
      </c>
      <c r="O1688" s="61" t="str">
        <f aca="false">IF(IsPro,IF($D1688="","",IF(AND(R1688&lt;&gt;"",INDEX(Parties!$E$5:$E$304,R1688)&lt;&gt;"",INDEX(Parties!$E$5:$E$304,R1688)&lt;&gt;HomeState),ROUND(K1688*L1688,2),0)),"")</f>
        <v/>
      </c>
      <c r="P1688" s="61" t="str">
        <f aca="false">IF(IsPro,IF($D1688="","",K1688+M1688+N1688+O1688),"")</f>
        <v/>
      </c>
      <c r="Q1688" s="60" t="str">
        <f aca="false">IF(IsPro,IF($D1688="","",IFERROR(MATCH($D1688,Items!$A$5:$A$504,0),"")),"")</f>
        <v/>
      </c>
      <c r="R1688" s="60" t="str">
        <f aca="false">IF(IsPro,IF($C1688="","",IFERROR(MATCH($C1688,Parties!$A$5:$A$304,0),"")),"")</f>
        <v/>
      </c>
      <c r="S1688" s="61" t="str">
        <f aca="false">IF(IsPro,IF($D1688="","",IF(OR($H1688="",$H1688="Credit"),0,P1688)),"")</f>
        <v/>
      </c>
    </row>
    <row r="1689" customFormat="false" ht="15" hidden="false" customHeight="false" outlineLevel="0" collapsed="false">
      <c r="A1689" s="55"/>
      <c r="B1689" s="56"/>
      <c r="C1689" s="56"/>
      <c r="D1689" s="56"/>
      <c r="E1689" s="57"/>
      <c r="F1689" s="58"/>
      <c r="G1689" s="59"/>
      <c r="H1689" s="56"/>
      <c r="I1689" s="60" t="str">
        <f aca="false">IF(IsPro,IF($D1689="","",IFERROR(INDEX(Items!$D$5:$D$504,Q1689),"")),IF($D1689="","","PRO PLAN"))</f>
        <v/>
      </c>
      <c r="J1689" s="61" t="str">
        <f aca="false">IF(IsPro,IF($D1689="","",IF($F1689="",IFERROR(INDEX(Items!$G$5:$G$504,Q1689),0),$F1689)),"")</f>
        <v/>
      </c>
      <c r="K1689" s="61" t="str">
        <f aca="false">IF(IsPro,IF($D1689="","",ROUND(N($E1689)*J1689*(1-N($G1689)),2)),"")</f>
        <v/>
      </c>
      <c r="L1689" s="62" t="str">
        <f aca="false">IF(IsPro,IF($D1689="","",IFERROR(INDEX(Items!$F$5:$F$504,Q1689),0)),"")</f>
        <v/>
      </c>
      <c r="M1689" s="61" t="str">
        <f aca="false">IF(IsPro,IF($D1689="","",IF(AND(R1689&lt;&gt;"",INDEX(Parties!$E$5:$E$304,R1689)&lt;&gt;"",INDEX(Parties!$E$5:$E$304,R1689)&lt;&gt;HomeState),0,ROUND(K1689*L1689/2,2))),"")</f>
        <v/>
      </c>
      <c r="N1689" s="61" t="str">
        <f aca="false">IF(IsPro,IF($D1689="","",M1689),"")</f>
        <v/>
      </c>
      <c r="O1689" s="61" t="str">
        <f aca="false">IF(IsPro,IF($D1689="","",IF(AND(R1689&lt;&gt;"",INDEX(Parties!$E$5:$E$304,R1689)&lt;&gt;"",INDEX(Parties!$E$5:$E$304,R1689)&lt;&gt;HomeState),ROUND(K1689*L1689,2),0)),"")</f>
        <v/>
      </c>
      <c r="P1689" s="61" t="str">
        <f aca="false">IF(IsPro,IF($D1689="","",K1689+M1689+N1689+O1689),"")</f>
        <v/>
      </c>
      <c r="Q1689" s="60" t="str">
        <f aca="false">IF(IsPro,IF($D1689="","",IFERROR(MATCH($D1689,Items!$A$5:$A$504,0),"")),"")</f>
        <v/>
      </c>
      <c r="R1689" s="60" t="str">
        <f aca="false">IF(IsPro,IF($C1689="","",IFERROR(MATCH($C1689,Parties!$A$5:$A$304,0),"")),"")</f>
        <v/>
      </c>
      <c r="S1689" s="61" t="str">
        <f aca="false">IF(IsPro,IF($D1689="","",IF(OR($H1689="",$H1689="Credit"),0,P1689)),"")</f>
        <v/>
      </c>
    </row>
    <row r="1690" customFormat="false" ht="15" hidden="false" customHeight="false" outlineLevel="0" collapsed="false">
      <c r="A1690" s="55"/>
      <c r="B1690" s="56"/>
      <c r="C1690" s="56"/>
      <c r="D1690" s="56"/>
      <c r="E1690" s="57"/>
      <c r="F1690" s="58"/>
      <c r="G1690" s="59"/>
      <c r="H1690" s="56"/>
      <c r="I1690" s="60" t="str">
        <f aca="false">IF(IsPro,IF($D1690="","",IFERROR(INDEX(Items!$D$5:$D$504,Q1690),"")),IF($D1690="","","PRO PLAN"))</f>
        <v/>
      </c>
      <c r="J1690" s="61" t="str">
        <f aca="false">IF(IsPro,IF($D1690="","",IF($F1690="",IFERROR(INDEX(Items!$G$5:$G$504,Q1690),0),$F1690)),"")</f>
        <v/>
      </c>
      <c r="K1690" s="61" t="str">
        <f aca="false">IF(IsPro,IF($D1690="","",ROUND(N($E1690)*J1690*(1-N($G1690)),2)),"")</f>
        <v/>
      </c>
      <c r="L1690" s="62" t="str">
        <f aca="false">IF(IsPro,IF($D1690="","",IFERROR(INDEX(Items!$F$5:$F$504,Q1690),0)),"")</f>
        <v/>
      </c>
      <c r="M1690" s="61" t="str">
        <f aca="false">IF(IsPro,IF($D1690="","",IF(AND(R1690&lt;&gt;"",INDEX(Parties!$E$5:$E$304,R1690)&lt;&gt;"",INDEX(Parties!$E$5:$E$304,R1690)&lt;&gt;HomeState),0,ROUND(K1690*L1690/2,2))),"")</f>
        <v/>
      </c>
      <c r="N1690" s="61" t="str">
        <f aca="false">IF(IsPro,IF($D1690="","",M1690),"")</f>
        <v/>
      </c>
      <c r="O1690" s="61" t="str">
        <f aca="false">IF(IsPro,IF($D1690="","",IF(AND(R1690&lt;&gt;"",INDEX(Parties!$E$5:$E$304,R1690)&lt;&gt;"",INDEX(Parties!$E$5:$E$304,R1690)&lt;&gt;HomeState),ROUND(K1690*L1690,2),0)),"")</f>
        <v/>
      </c>
      <c r="P1690" s="61" t="str">
        <f aca="false">IF(IsPro,IF($D1690="","",K1690+M1690+N1690+O1690),"")</f>
        <v/>
      </c>
      <c r="Q1690" s="60" t="str">
        <f aca="false">IF(IsPro,IF($D1690="","",IFERROR(MATCH($D1690,Items!$A$5:$A$504,0),"")),"")</f>
        <v/>
      </c>
      <c r="R1690" s="60" t="str">
        <f aca="false">IF(IsPro,IF($C1690="","",IFERROR(MATCH($C1690,Parties!$A$5:$A$304,0),"")),"")</f>
        <v/>
      </c>
      <c r="S1690" s="61" t="str">
        <f aca="false">IF(IsPro,IF($D1690="","",IF(OR($H1690="",$H1690="Credit"),0,P1690)),"")</f>
        <v/>
      </c>
    </row>
    <row r="1691" customFormat="false" ht="15" hidden="false" customHeight="false" outlineLevel="0" collapsed="false">
      <c r="A1691" s="55"/>
      <c r="B1691" s="56"/>
      <c r="C1691" s="56"/>
      <c r="D1691" s="56"/>
      <c r="E1691" s="57"/>
      <c r="F1691" s="58"/>
      <c r="G1691" s="59"/>
      <c r="H1691" s="56"/>
      <c r="I1691" s="60" t="str">
        <f aca="false">IF(IsPro,IF($D1691="","",IFERROR(INDEX(Items!$D$5:$D$504,Q1691),"")),IF($D1691="","","PRO PLAN"))</f>
        <v/>
      </c>
      <c r="J1691" s="61" t="str">
        <f aca="false">IF(IsPro,IF($D1691="","",IF($F1691="",IFERROR(INDEX(Items!$G$5:$G$504,Q1691),0),$F1691)),"")</f>
        <v/>
      </c>
      <c r="K1691" s="61" t="str">
        <f aca="false">IF(IsPro,IF($D1691="","",ROUND(N($E1691)*J1691*(1-N($G1691)),2)),"")</f>
        <v/>
      </c>
      <c r="L1691" s="62" t="str">
        <f aca="false">IF(IsPro,IF($D1691="","",IFERROR(INDEX(Items!$F$5:$F$504,Q1691),0)),"")</f>
        <v/>
      </c>
      <c r="M1691" s="61" t="str">
        <f aca="false">IF(IsPro,IF($D1691="","",IF(AND(R1691&lt;&gt;"",INDEX(Parties!$E$5:$E$304,R1691)&lt;&gt;"",INDEX(Parties!$E$5:$E$304,R1691)&lt;&gt;HomeState),0,ROUND(K1691*L1691/2,2))),"")</f>
        <v/>
      </c>
      <c r="N1691" s="61" t="str">
        <f aca="false">IF(IsPro,IF($D1691="","",M1691),"")</f>
        <v/>
      </c>
      <c r="O1691" s="61" t="str">
        <f aca="false">IF(IsPro,IF($D1691="","",IF(AND(R1691&lt;&gt;"",INDEX(Parties!$E$5:$E$304,R1691)&lt;&gt;"",INDEX(Parties!$E$5:$E$304,R1691)&lt;&gt;HomeState),ROUND(K1691*L1691,2),0)),"")</f>
        <v/>
      </c>
      <c r="P1691" s="61" t="str">
        <f aca="false">IF(IsPro,IF($D1691="","",K1691+M1691+N1691+O1691),"")</f>
        <v/>
      </c>
      <c r="Q1691" s="60" t="str">
        <f aca="false">IF(IsPro,IF($D1691="","",IFERROR(MATCH($D1691,Items!$A$5:$A$504,0),"")),"")</f>
        <v/>
      </c>
      <c r="R1691" s="60" t="str">
        <f aca="false">IF(IsPro,IF($C1691="","",IFERROR(MATCH($C1691,Parties!$A$5:$A$304,0),"")),"")</f>
        <v/>
      </c>
      <c r="S1691" s="61" t="str">
        <f aca="false">IF(IsPro,IF($D1691="","",IF(OR($H1691="",$H1691="Credit"),0,P1691)),"")</f>
        <v/>
      </c>
    </row>
    <row r="1692" customFormat="false" ht="15" hidden="false" customHeight="false" outlineLevel="0" collapsed="false">
      <c r="A1692" s="55"/>
      <c r="B1692" s="56"/>
      <c r="C1692" s="56"/>
      <c r="D1692" s="56"/>
      <c r="E1692" s="57"/>
      <c r="F1692" s="58"/>
      <c r="G1692" s="59"/>
      <c r="H1692" s="56"/>
      <c r="I1692" s="60" t="str">
        <f aca="false">IF(IsPro,IF($D1692="","",IFERROR(INDEX(Items!$D$5:$D$504,Q1692),"")),IF($D1692="","","PRO PLAN"))</f>
        <v/>
      </c>
      <c r="J1692" s="61" t="str">
        <f aca="false">IF(IsPro,IF($D1692="","",IF($F1692="",IFERROR(INDEX(Items!$G$5:$G$504,Q1692),0),$F1692)),"")</f>
        <v/>
      </c>
      <c r="K1692" s="61" t="str">
        <f aca="false">IF(IsPro,IF($D1692="","",ROUND(N($E1692)*J1692*(1-N($G1692)),2)),"")</f>
        <v/>
      </c>
      <c r="L1692" s="62" t="str">
        <f aca="false">IF(IsPro,IF($D1692="","",IFERROR(INDEX(Items!$F$5:$F$504,Q1692),0)),"")</f>
        <v/>
      </c>
      <c r="M1692" s="61" t="str">
        <f aca="false">IF(IsPro,IF($D1692="","",IF(AND(R1692&lt;&gt;"",INDEX(Parties!$E$5:$E$304,R1692)&lt;&gt;"",INDEX(Parties!$E$5:$E$304,R1692)&lt;&gt;HomeState),0,ROUND(K1692*L1692/2,2))),"")</f>
        <v/>
      </c>
      <c r="N1692" s="61" t="str">
        <f aca="false">IF(IsPro,IF($D1692="","",M1692),"")</f>
        <v/>
      </c>
      <c r="O1692" s="61" t="str">
        <f aca="false">IF(IsPro,IF($D1692="","",IF(AND(R1692&lt;&gt;"",INDEX(Parties!$E$5:$E$304,R1692)&lt;&gt;"",INDEX(Parties!$E$5:$E$304,R1692)&lt;&gt;HomeState),ROUND(K1692*L1692,2),0)),"")</f>
        <v/>
      </c>
      <c r="P1692" s="61" t="str">
        <f aca="false">IF(IsPro,IF($D1692="","",K1692+M1692+N1692+O1692),"")</f>
        <v/>
      </c>
      <c r="Q1692" s="60" t="str">
        <f aca="false">IF(IsPro,IF($D1692="","",IFERROR(MATCH($D1692,Items!$A$5:$A$504,0),"")),"")</f>
        <v/>
      </c>
      <c r="R1692" s="60" t="str">
        <f aca="false">IF(IsPro,IF($C1692="","",IFERROR(MATCH($C1692,Parties!$A$5:$A$304,0),"")),"")</f>
        <v/>
      </c>
      <c r="S1692" s="61" t="str">
        <f aca="false">IF(IsPro,IF($D1692="","",IF(OR($H1692="",$H1692="Credit"),0,P1692)),"")</f>
        <v/>
      </c>
    </row>
    <row r="1693" customFormat="false" ht="15" hidden="false" customHeight="false" outlineLevel="0" collapsed="false">
      <c r="A1693" s="55"/>
      <c r="B1693" s="56"/>
      <c r="C1693" s="56"/>
      <c r="D1693" s="56"/>
      <c r="E1693" s="57"/>
      <c r="F1693" s="58"/>
      <c r="G1693" s="59"/>
      <c r="H1693" s="56"/>
      <c r="I1693" s="60" t="str">
        <f aca="false">IF(IsPro,IF($D1693="","",IFERROR(INDEX(Items!$D$5:$D$504,Q1693),"")),IF($D1693="","","PRO PLAN"))</f>
        <v/>
      </c>
      <c r="J1693" s="61" t="str">
        <f aca="false">IF(IsPro,IF($D1693="","",IF($F1693="",IFERROR(INDEX(Items!$G$5:$G$504,Q1693),0),$F1693)),"")</f>
        <v/>
      </c>
      <c r="K1693" s="61" t="str">
        <f aca="false">IF(IsPro,IF($D1693="","",ROUND(N($E1693)*J1693*(1-N($G1693)),2)),"")</f>
        <v/>
      </c>
      <c r="L1693" s="62" t="str">
        <f aca="false">IF(IsPro,IF($D1693="","",IFERROR(INDEX(Items!$F$5:$F$504,Q1693),0)),"")</f>
        <v/>
      </c>
      <c r="M1693" s="61" t="str">
        <f aca="false">IF(IsPro,IF($D1693="","",IF(AND(R1693&lt;&gt;"",INDEX(Parties!$E$5:$E$304,R1693)&lt;&gt;"",INDEX(Parties!$E$5:$E$304,R1693)&lt;&gt;HomeState),0,ROUND(K1693*L1693/2,2))),"")</f>
        <v/>
      </c>
      <c r="N1693" s="61" t="str">
        <f aca="false">IF(IsPro,IF($D1693="","",M1693),"")</f>
        <v/>
      </c>
      <c r="O1693" s="61" t="str">
        <f aca="false">IF(IsPro,IF($D1693="","",IF(AND(R1693&lt;&gt;"",INDEX(Parties!$E$5:$E$304,R1693)&lt;&gt;"",INDEX(Parties!$E$5:$E$304,R1693)&lt;&gt;HomeState),ROUND(K1693*L1693,2),0)),"")</f>
        <v/>
      </c>
      <c r="P1693" s="61" t="str">
        <f aca="false">IF(IsPro,IF($D1693="","",K1693+M1693+N1693+O1693),"")</f>
        <v/>
      </c>
      <c r="Q1693" s="60" t="str">
        <f aca="false">IF(IsPro,IF($D1693="","",IFERROR(MATCH($D1693,Items!$A$5:$A$504,0),"")),"")</f>
        <v/>
      </c>
      <c r="R1693" s="60" t="str">
        <f aca="false">IF(IsPro,IF($C1693="","",IFERROR(MATCH($C1693,Parties!$A$5:$A$304,0),"")),"")</f>
        <v/>
      </c>
      <c r="S1693" s="61" t="str">
        <f aca="false">IF(IsPro,IF($D1693="","",IF(OR($H1693="",$H1693="Credit"),0,P1693)),"")</f>
        <v/>
      </c>
    </row>
    <row r="1694" customFormat="false" ht="15" hidden="false" customHeight="false" outlineLevel="0" collapsed="false">
      <c r="A1694" s="55"/>
      <c r="B1694" s="56"/>
      <c r="C1694" s="56"/>
      <c r="D1694" s="56"/>
      <c r="E1694" s="57"/>
      <c r="F1694" s="58"/>
      <c r="G1694" s="59"/>
      <c r="H1694" s="56"/>
      <c r="I1694" s="60" t="str">
        <f aca="false">IF(IsPro,IF($D1694="","",IFERROR(INDEX(Items!$D$5:$D$504,Q1694),"")),IF($D1694="","","PRO PLAN"))</f>
        <v/>
      </c>
      <c r="J1694" s="61" t="str">
        <f aca="false">IF(IsPro,IF($D1694="","",IF($F1694="",IFERROR(INDEX(Items!$G$5:$G$504,Q1694),0),$F1694)),"")</f>
        <v/>
      </c>
      <c r="K1694" s="61" t="str">
        <f aca="false">IF(IsPro,IF($D1694="","",ROUND(N($E1694)*J1694*(1-N($G1694)),2)),"")</f>
        <v/>
      </c>
      <c r="L1694" s="62" t="str">
        <f aca="false">IF(IsPro,IF($D1694="","",IFERROR(INDEX(Items!$F$5:$F$504,Q1694),0)),"")</f>
        <v/>
      </c>
      <c r="M1694" s="61" t="str">
        <f aca="false">IF(IsPro,IF($D1694="","",IF(AND(R1694&lt;&gt;"",INDEX(Parties!$E$5:$E$304,R1694)&lt;&gt;"",INDEX(Parties!$E$5:$E$304,R1694)&lt;&gt;HomeState),0,ROUND(K1694*L1694/2,2))),"")</f>
        <v/>
      </c>
      <c r="N1694" s="61" t="str">
        <f aca="false">IF(IsPro,IF($D1694="","",M1694),"")</f>
        <v/>
      </c>
      <c r="O1694" s="61" t="str">
        <f aca="false">IF(IsPro,IF($D1694="","",IF(AND(R1694&lt;&gt;"",INDEX(Parties!$E$5:$E$304,R1694)&lt;&gt;"",INDEX(Parties!$E$5:$E$304,R1694)&lt;&gt;HomeState),ROUND(K1694*L1694,2),0)),"")</f>
        <v/>
      </c>
      <c r="P1694" s="61" t="str">
        <f aca="false">IF(IsPro,IF($D1694="","",K1694+M1694+N1694+O1694),"")</f>
        <v/>
      </c>
      <c r="Q1694" s="60" t="str">
        <f aca="false">IF(IsPro,IF($D1694="","",IFERROR(MATCH($D1694,Items!$A$5:$A$504,0),"")),"")</f>
        <v/>
      </c>
      <c r="R1694" s="60" t="str">
        <f aca="false">IF(IsPro,IF($C1694="","",IFERROR(MATCH($C1694,Parties!$A$5:$A$304,0),"")),"")</f>
        <v/>
      </c>
      <c r="S1694" s="61" t="str">
        <f aca="false">IF(IsPro,IF($D1694="","",IF(OR($H1694="",$H1694="Credit"),0,P1694)),"")</f>
        <v/>
      </c>
    </row>
    <row r="1695" customFormat="false" ht="15" hidden="false" customHeight="false" outlineLevel="0" collapsed="false">
      <c r="A1695" s="55"/>
      <c r="B1695" s="56"/>
      <c r="C1695" s="56"/>
      <c r="D1695" s="56"/>
      <c r="E1695" s="57"/>
      <c r="F1695" s="58"/>
      <c r="G1695" s="59"/>
      <c r="H1695" s="56"/>
      <c r="I1695" s="60" t="str">
        <f aca="false">IF(IsPro,IF($D1695="","",IFERROR(INDEX(Items!$D$5:$D$504,Q1695),"")),IF($D1695="","","PRO PLAN"))</f>
        <v/>
      </c>
      <c r="J1695" s="61" t="str">
        <f aca="false">IF(IsPro,IF($D1695="","",IF($F1695="",IFERROR(INDEX(Items!$G$5:$G$504,Q1695),0),$F1695)),"")</f>
        <v/>
      </c>
      <c r="K1695" s="61" t="str">
        <f aca="false">IF(IsPro,IF($D1695="","",ROUND(N($E1695)*J1695*(1-N($G1695)),2)),"")</f>
        <v/>
      </c>
      <c r="L1695" s="62" t="str">
        <f aca="false">IF(IsPro,IF($D1695="","",IFERROR(INDEX(Items!$F$5:$F$504,Q1695),0)),"")</f>
        <v/>
      </c>
      <c r="M1695" s="61" t="str">
        <f aca="false">IF(IsPro,IF($D1695="","",IF(AND(R1695&lt;&gt;"",INDEX(Parties!$E$5:$E$304,R1695)&lt;&gt;"",INDEX(Parties!$E$5:$E$304,R1695)&lt;&gt;HomeState),0,ROUND(K1695*L1695/2,2))),"")</f>
        <v/>
      </c>
      <c r="N1695" s="61" t="str">
        <f aca="false">IF(IsPro,IF($D1695="","",M1695),"")</f>
        <v/>
      </c>
      <c r="O1695" s="61" t="str">
        <f aca="false">IF(IsPro,IF($D1695="","",IF(AND(R1695&lt;&gt;"",INDEX(Parties!$E$5:$E$304,R1695)&lt;&gt;"",INDEX(Parties!$E$5:$E$304,R1695)&lt;&gt;HomeState),ROUND(K1695*L1695,2),0)),"")</f>
        <v/>
      </c>
      <c r="P1695" s="61" t="str">
        <f aca="false">IF(IsPro,IF($D1695="","",K1695+M1695+N1695+O1695),"")</f>
        <v/>
      </c>
      <c r="Q1695" s="60" t="str">
        <f aca="false">IF(IsPro,IF($D1695="","",IFERROR(MATCH($D1695,Items!$A$5:$A$504,0),"")),"")</f>
        <v/>
      </c>
      <c r="R1695" s="60" t="str">
        <f aca="false">IF(IsPro,IF($C1695="","",IFERROR(MATCH($C1695,Parties!$A$5:$A$304,0),"")),"")</f>
        <v/>
      </c>
      <c r="S1695" s="61" t="str">
        <f aca="false">IF(IsPro,IF($D1695="","",IF(OR($H1695="",$H1695="Credit"),0,P1695)),"")</f>
        <v/>
      </c>
    </row>
    <row r="1696" customFormat="false" ht="15" hidden="false" customHeight="false" outlineLevel="0" collapsed="false">
      <c r="A1696" s="55"/>
      <c r="B1696" s="56"/>
      <c r="C1696" s="56"/>
      <c r="D1696" s="56"/>
      <c r="E1696" s="57"/>
      <c r="F1696" s="58"/>
      <c r="G1696" s="59"/>
      <c r="H1696" s="56"/>
      <c r="I1696" s="60" t="str">
        <f aca="false">IF(IsPro,IF($D1696="","",IFERROR(INDEX(Items!$D$5:$D$504,Q1696),"")),IF($D1696="","","PRO PLAN"))</f>
        <v/>
      </c>
      <c r="J1696" s="61" t="str">
        <f aca="false">IF(IsPro,IF($D1696="","",IF($F1696="",IFERROR(INDEX(Items!$G$5:$G$504,Q1696),0),$F1696)),"")</f>
        <v/>
      </c>
      <c r="K1696" s="61" t="str">
        <f aca="false">IF(IsPro,IF($D1696="","",ROUND(N($E1696)*J1696*(1-N($G1696)),2)),"")</f>
        <v/>
      </c>
      <c r="L1696" s="62" t="str">
        <f aca="false">IF(IsPro,IF($D1696="","",IFERROR(INDEX(Items!$F$5:$F$504,Q1696),0)),"")</f>
        <v/>
      </c>
      <c r="M1696" s="61" t="str">
        <f aca="false">IF(IsPro,IF($D1696="","",IF(AND(R1696&lt;&gt;"",INDEX(Parties!$E$5:$E$304,R1696)&lt;&gt;"",INDEX(Parties!$E$5:$E$304,R1696)&lt;&gt;HomeState),0,ROUND(K1696*L1696/2,2))),"")</f>
        <v/>
      </c>
      <c r="N1696" s="61" t="str">
        <f aca="false">IF(IsPro,IF($D1696="","",M1696),"")</f>
        <v/>
      </c>
      <c r="O1696" s="61" t="str">
        <f aca="false">IF(IsPro,IF($D1696="","",IF(AND(R1696&lt;&gt;"",INDEX(Parties!$E$5:$E$304,R1696)&lt;&gt;"",INDEX(Parties!$E$5:$E$304,R1696)&lt;&gt;HomeState),ROUND(K1696*L1696,2),0)),"")</f>
        <v/>
      </c>
      <c r="P1696" s="61" t="str">
        <f aca="false">IF(IsPro,IF($D1696="","",K1696+M1696+N1696+O1696),"")</f>
        <v/>
      </c>
      <c r="Q1696" s="60" t="str">
        <f aca="false">IF(IsPro,IF($D1696="","",IFERROR(MATCH($D1696,Items!$A$5:$A$504,0),"")),"")</f>
        <v/>
      </c>
      <c r="R1696" s="60" t="str">
        <f aca="false">IF(IsPro,IF($C1696="","",IFERROR(MATCH($C1696,Parties!$A$5:$A$304,0),"")),"")</f>
        <v/>
      </c>
      <c r="S1696" s="61" t="str">
        <f aca="false">IF(IsPro,IF($D1696="","",IF(OR($H1696="",$H1696="Credit"),0,P1696)),"")</f>
        <v/>
      </c>
    </row>
    <row r="1697" customFormat="false" ht="15" hidden="false" customHeight="false" outlineLevel="0" collapsed="false">
      <c r="A1697" s="55"/>
      <c r="B1697" s="56"/>
      <c r="C1697" s="56"/>
      <c r="D1697" s="56"/>
      <c r="E1697" s="57"/>
      <c r="F1697" s="58"/>
      <c r="G1697" s="59"/>
      <c r="H1697" s="56"/>
      <c r="I1697" s="60" t="str">
        <f aca="false">IF(IsPro,IF($D1697="","",IFERROR(INDEX(Items!$D$5:$D$504,Q1697),"")),IF($D1697="","","PRO PLAN"))</f>
        <v/>
      </c>
      <c r="J1697" s="61" t="str">
        <f aca="false">IF(IsPro,IF($D1697="","",IF($F1697="",IFERROR(INDEX(Items!$G$5:$G$504,Q1697),0),$F1697)),"")</f>
        <v/>
      </c>
      <c r="K1697" s="61" t="str">
        <f aca="false">IF(IsPro,IF($D1697="","",ROUND(N($E1697)*J1697*(1-N($G1697)),2)),"")</f>
        <v/>
      </c>
      <c r="L1697" s="62" t="str">
        <f aca="false">IF(IsPro,IF($D1697="","",IFERROR(INDEX(Items!$F$5:$F$504,Q1697),0)),"")</f>
        <v/>
      </c>
      <c r="M1697" s="61" t="str">
        <f aca="false">IF(IsPro,IF($D1697="","",IF(AND(R1697&lt;&gt;"",INDEX(Parties!$E$5:$E$304,R1697)&lt;&gt;"",INDEX(Parties!$E$5:$E$304,R1697)&lt;&gt;HomeState),0,ROUND(K1697*L1697/2,2))),"")</f>
        <v/>
      </c>
      <c r="N1697" s="61" t="str">
        <f aca="false">IF(IsPro,IF($D1697="","",M1697),"")</f>
        <v/>
      </c>
      <c r="O1697" s="61" t="str">
        <f aca="false">IF(IsPro,IF($D1697="","",IF(AND(R1697&lt;&gt;"",INDEX(Parties!$E$5:$E$304,R1697)&lt;&gt;"",INDEX(Parties!$E$5:$E$304,R1697)&lt;&gt;HomeState),ROUND(K1697*L1697,2),0)),"")</f>
        <v/>
      </c>
      <c r="P1697" s="61" t="str">
        <f aca="false">IF(IsPro,IF($D1697="","",K1697+M1697+N1697+O1697),"")</f>
        <v/>
      </c>
      <c r="Q1697" s="60" t="str">
        <f aca="false">IF(IsPro,IF($D1697="","",IFERROR(MATCH($D1697,Items!$A$5:$A$504,0),"")),"")</f>
        <v/>
      </c>
      <c r="R1697" s="60" t="str">
        <f aca="false">IF(IsPro,IF($C1697="","",IFERROR(MATCH($C1697,Parties!$A$5:$A$304,0),"")),"")</f>
        <v/>
      </c>
      <c r="S1697" s="61" t="str">
        <f aca="false">IF(IsPro,IF($D1697="","",IF(OR($H1697="",$H1697="Credit"),0,P1697)),"")</f>
        <v/>
      </c>
    </row>
    <row r="1698" customFormat="false" ht="15" hidden="false" customHeight="false" outlineLevel="0" collapsed="false">
      <c r="A1698" s="55"/>
      <c r="B1698" s="56"/>
      <c r="C1698" s="56"/>
      <c r="D1698" s="56"/>
      <c r="E1698" s="57"/>
      <c r="F1698" s="58"/>
      <c r="G1698" s="59"/>
      <c r="H1698" s="56"/>
      <c r="I1698" s="60" t="str">
        <f aca="false">IF(IsPro,IF($D1698="","",IFERROR(INDEX(Items!$D$5:$D$504,Q1698),"")),IF($D1698="","","PRO PLAN"))</f>
        <v/>
      </c>
      <c r="J1698" s="61" t="str">
        <f aca="false">IF(IsPro,IF($D1698="","",IF($F1698="",IFERROR(INDEX(Items!$G$5:$G$504,Q1698),0),$F1698)),"")</f>
        <v/>
      </c>
      <c r="K1698" s="61" t="str">
        <f aca="false">IF(IsPro,IF($D1698="","",ROUND(N($E1698)*J1698*(1-N($G1698)),2)),"")</f>
        <v/>
      </c>
      <c r="L1698" s="62" t="str">
        <f aca="false">IF(IsPro,IF($D1698="","",IFERROR(INDEX(Items!$F$5:$F$504,Q1698),0)),"")</f>
        <v/>
      </c>
      <c r="M1698" s="61" t="str">
        <f aca="false">IF(IsPro,IF($D1698="","",IF(AND(R1698&lt;&gt;"",INDEX(Parties!$E$5:$E$304,R1698)&lt;&gt;"",INDEX(Parties!$E$5:$E$304,R1698)&lt;&gt;HomeState),0,ROUND(K1698*L1698/2,2))),"")</f>
        <v/>
      </c>
      <c r="N1698" s="61" t="str">
        <f aca="false">IF(IsPro,IF($D1698="","",M1698),"")</f>
        <v/>
      </c>
      <c r="O1698" s="61" t="str">
        <f aca="false">IF(IsPro,IF($D1698="","",IF(AND(R1698&lt;&gt;"",INDEX(Parties!$E$5:$E$304,R1698)&lt;&gt;"",INDEX(Parties!$E$5:$E$304,R1698)&lt;&gt;HomeState),ROUND(K1698*L1698,2),0)),"")</f>
        <v/>
      </c>
      <c r="P1698" s="61" t="str">
        <f aca="false">IF(IsPro,IF($D1698="","",K1698+M1698+N1698+O1698),"")</f>
        <v/>
      </c>
      <c r="Q1698" s="60" t="str">
        <f aca="false">IF(IsPro,IF($D1698="","",IFERROR(MATCH($D1698,Items!$A$5:$A$504,0),"")),"")</f>
        <v/>
      </c>
      <c r="R1698" s="60" t="str">
        <f aca="false">IF(IsPro,IF($C1698="","",IFERROR(MATCH($C1698,Parties!$A$5:$A$304,0),"")),"")</f>
        <v/>
      </c>
      <c r="S1698" s="61" t="str">
        <f aca="false">IF(IsPro,IF($D1698="","",IF(OR($H1698="",$H1698="Credit"),0,P1698)),"")</f>
        <v/>
      </c>
    </row>
    <row r="1699" customFormat="false" ht="15" hidden="false" customHeight="false" outlineLevel="0" collapsed="false">
      <c r="A1699" s="55"/>
      <c r="B1699" s="56"/>
      <c r="C1699" s="56"/>
      <c r="D1699" s="56"/>
      <c r="E1699" s="57"/>
      <c r="F1699" s="58"/>
      <c r="G1699" s="59"/>
      <c r="H1699" s="56"/>
      <c r="I1699" s="60" t="str">
        <f aca="false">IF(IsPro,IF($D1699="","",IFERROR(INDEX(Items!$D$5:$D$504,Q1699),"")),IF($D1699="","","PRO PLAN"))</f>
        <v/>
      </c>
      <c r="J1699" s="61" t="str">
        <f aca="false">IF(IsPro,IF($D1699="","",IF($F1699="",IFERROR(INDEX(Items!$G$5:$G$504,Q1699),0),$F1699)),"")</f>
        <v/>
      </c>
      <c r="K1699" s="61" t="str">
        <f aca="false">IF(IsPro,IF($D1699="","",ROUND(N($E1699)*J1699*(1-N($G1699)),2)),"")</f>
        <v/>
      </c>
      <c r="L1699" s="62" t="str">
        <f aca="false">IF(IsPro,IF($D1699="","",IFERROR(INDEX(Items!$F$5:$F$504,Q1699),0)),"")</f>
        <v/>
      </c>
      <c r="M1699" s="61" t="str">
        <f aca="false">IF(IsPro,IF($D1699="","",IF(AND(R1699&lt;&gt;"",INDEX(Parties!$E$5:$E$304,R1699)&lt;&gt;"",INDEX(Parties!$E$5:$E$304,R1699)&lt;&gt;HomeState),0,ROUND(K1699*L1699/2,2))),"")</f>
        <v/>
      </c>
      <c r="N1699" s="61" t="str">
        <f aca="false">IF(IsPro,IF($D1699="","",M1699),"")</f>
        <v/>
      </c>
      <c r="O1699" s="61" t="str">
        <f aca="false">IF(IsPro,IF($D1699="","",IF(AND(R1699&lt;&gt;"",INDEX(Parties!$E$5:$E$304,R1699)&lt;&gt;"",INDEX(Parties!$E$5:$E$304,R1699)&lt;&gt;HomeState),ROUND(K1699*L1699,2),0)),"")</f>
        <v/>
      </c>
      <c r="P1699" s="61" t="str">
        <f aca="false">IF(IsPro,IF($D1699="","",K1699+M1699+N1699+O1699),"")</f>
        <v/>
      </c>
      <c r="Q1699" s="60" t="str">
        <f aca="false">IF(IsPro,IF($D1699="","",IFERROR(MATCH($D1699,Items!$A$5:$A$504,0),"")),"")</f>
        <v/>
      </c>
      <c r="R1699" s="60" t="str">
        <f aca="false">IF(IsPro,IF($C1699="","",IFERROR(MATCH($C1699,Parties!$A$5:$A$304,0),"")),"")</f>
        <v/>
      </c>
      <c r="S1699" s="61" t="str">
        <f aca="false">IF(IsPro,IF($D1699="","",IF(OR($H1699="",$H1699="Credit"),0,P1699)),"")</f>
        <v/>
      </c>
    </row>
    <row r="1700" customFormat="false" ht="15" hidden="false" customHeight="false" outlineLevel="0" collapsed="false">
      <c r="A1700" s="55"/>
      <c r="B1700" s="56"/>
      <c r="C1700" s="56"/>
      <c r="D1700" s="56"/>
      <c r="E1700" s="57"/>
      <c r="F1700" s="58"/>
      <c r="G1700" s="59"/>
      <c r="H1700" s="56"/>
      <c r="I1700" s="60" t="str">
        <f aca="false">IF(IsPro,IF($D1700="","",IFERROR(INDEX(Items!$D$5:$D$504,Q1700),"")),IF($D1700="","","PRO PLAN"))</f>
        <v/>
      </c>
      <c r="J1700" s="61" t="str">
        <f aca="false">IF(IsPro,IF($D1700="","",IF($F1700="",IFERROR(INDEX(Items!$G$5:$G$504,Q1700),0),$F1700)),"")</f>
        <v/>
      </c>
      <c r="K1700" s="61" t="str">
        <f aca="false">IF(IsPro,IF($D1700="","",ROUND(N($E1700)*J1700*(1-N($G1700)),2)),"")</f>
        <v/>
      </c>
      <c r="L1700" s="62" t="str">
        <f aca="false">IF(IsPro,IF($D1700="","",IFERROR(INDEX(Items!$F$5:$F$504,Q1700),0)),"")</f>
        <v/>
      </c>
      <c r="M1700" s="61" t="str">
        <f aca="false">IF(IsPro,IF($D1700="","",IF(AND(R1700&lt;&gt;"",INDEX(Parties!$E$5:$E$304,R1700)&lt;&gt;"",INDEX(Parties!$E$5:$E$304,R1700)&lt;&gt;HomeState),0,ROUND(K1700*L1700/2,2))),"")</f>
        <v/>
      </c>
      <c r="N1700" s="61" t="str">
        <f aca="false">IF(IsPro,IF($D1700="","",M1700),"")</f>
        <v/>
      </c>
      <c r="O1700" s="61" t="str">
        <f aca="false">IF(IsPro,IF($D1700="","",IF(AND(R1700&lt;&gt;"",INDEX(Parties!$E$5:$E$304,R1700)&lt;&gt;"",INDEX(Parties!$E$5:$E$304,R1700)&lt;&gt;HomeState),ROUND(K1700*L1700,2),0)),"")</f>
        <v/>
      </c>
      <c r="P1700" s="61" t="str">
        <f aca="false">IF(IsPro,IF($D1700="","",K1700+M1700+N1700+O1700),"")</f>
        <v/>
      </c>
      <c r="Q1700" s="60" t="str">
        <f aca="false">IF(IsPro,IF($D1700="","",IFERROR(MATCH($D1700,Items!$A$5:$A$504,0),"")),"")</f>
        <v/>
      </c>
      <c r="R1700" s="60" t="str">
        <f aca="false">IF(IsPro,IF($C1700="","",IFERROR(MATCH($C1700,Parties!$A$5:$A$304,0),"")),"")</f>
        <v/>
      </c>
      <c r="S1700" s="61" t="str">
        <f aca="false">IF(IsPro,IF($D1700="","",IF(OR($H1700="",$H1700="Credit"),0,P1700)),"")</f>
        <v/>
      </c>
    </row>
    <row r="1701" customFormat="false" ht="15" hidden="false" customHeight="false" outlineLevel="0" collapsed="false">
      <c r="A1701" s="55"/>
      <c r="B1701" s="56"/>
      <c r="C1701" s="56"/>
      <c r="D1701" s="56"/>
      <c r="E1701" s="57"/>
      <c r="F1701" s="58"/>
      <c r="G1701" s="59"/>
      <c r="H1701" s="56"/>
      <c r="I1701" s="60" t="str">
        <f aca="false">IF(IsPro,IF($D1701="","",IFERROR(INDEX(Items!$D$5:$D$504,Q1701),"")),IF($D1701="","","PRO PLAN"))</f>
        <v/>
      </c>
      <c r="J1701" s="61" t="str">
        <f aca="false">IF(IsPro,IF($D1701="","",IF($F1701="",IFERROR(INDEX(Items!$G$5:$G$504,Q1701),0),$F1701)),"")</f>
        <v/>
      </c>
      <c r="K1701" s="61" t="str">
        <f aca="false">IF(IsPro,IF($D1701="","",ROUND(N($E1701)*J1701*(1-N($G1701)),2)),"")</f>
        <v/>
      </c>
      <c r="L1701" s="62" t="str">
        <f aca="false">IF(IsPro,IF($D1701="","",IFERROR(INDEX(Items!$F$5:$F$504,Q1701),0)),"")</f>
        <v/>
      </c>
      <c r="M1701" s="61" t="str">
        <f aca="false">IF(IsPro,IF($D1701="","",IF(AND(R1701&lt;&gt;"",INDEX(Parties!$E$5:$E$304,R1701)&lt;&gt;"",INDEX(Parties!$E$5:$E$304,R1701)&lt;&gt;HomeState),0,ROUND(K1701*L1701/2,2))),"")</f>
        <v/>
      </c>
      <c r="N1701" s="61" t="str">
        <f aca="false">IF(IsPro,IF($D1701="","",M1701),"")</f>
        <v/>
      </c>
      <c r="O1701" s="61" t="str">
        <f aca="false">IF(IsPro,IF($D1701="","",IF(AND(R1701&lt;&gt;"",INDEX(Parties!$E$5:$E$304,R1701)&lt;&gt;"",INDEX(Parties!$E$5:$E$304,R1701)&lt;&gt;HomeState),ROUND(K1701*L1701,2),0)),"")</f>
        <v/>
      </c>
      <c r="P1701" s="61" t="str">
        <f aca="false">IF(IsPro,IF($D1701="","",K1701+M1701+N1701+O1701),"")</f>
        <v/>
      </c>
      <c r="Q1701" s="60" t="str">
        <f aca="false">IF(IsPro,IF($D1701="","",IFERROR(MATCH($D1701,Items!$A$5:$A$504,0),"")),"")</f>
        <v/>
      </c>
      <c r="R1701" s="60" t="str">
        <f aca="false">IF(IsPro,IF($C1701="","",IFERROR(MATCH($C1701,Parties!$A$5:$A$304,0),"")),"")</f>
        <v/>
      </c>
      <c r="S1701" s="61" t="str">
        <f aca="false">IF(IsPro,IF($D1701="","",IF(OR($H1701="",$H1701="Credit"),0,P1701)),"")</f>
        <v/>
      </c>
    </row>
    <row r="1702" customFormat="false" ht="15" hidden="false" customHeight="false" outlineLevel="0" collapsed="false">
      <c r="A1702" s="55"/>
      <c r="B1702" s="56"/>
      <c r="C1702" s="56"/>
      <c r="D1702" s="56"/>
      <c r="E1702" s="57"/>
      <c r="F1702" s="58"/>
      <c r="G1702" s="59"/>
      <c r="H1702" s="56"/>
      <c r="I1702" s="60" t="str">
        <f aca="false">IF(IsPro,IF($D1702="","",IFERROR(INDEX(Items!$D$5:$D$504,Q1702),"")),IF($D1702="","","PRO PLAN"))</f>
        <v/>
      </c>
      <c r="J1702" s="61" t="str">
        <f aca="false">IF(IsPro,IF($D1702="","",IF($F1702="",IFERROR(INDEX(Items!$G$5:$G$504,Q1702),0),$F1702)),"")</f>
        <v/>
      </c>
      <c r="K1702" s="61" t="str">
        <f aca="false">IF(IsPro,IF($D1702="","",ROUND(N($E1702)*J1702*(1-N($G1702)),2)),"")</f>
        <v/>
      </c>
      <c r="L1702" s="62" t="str">
        <f aca="false">IF(IsPro,IF($D1702="","",IFERROR(INDEX(Items!$F$5:$F$504,Q1702),0)),"")</f>
        <v/>
      </c>
      <c r="M1702" s="61" t="str">
        <f aca="false">IF(IsPro,IF($D1702="","",IF(AND(R1702&lt;&gt;"",INDEX(Parties!$E$5:$E$304,R1702)&lt;&gt;"",INDEX(Parties!$E$5:$E$304,R1702)&lt;&gt;HomeState),0,ROUND(K1702*L1702/2,2))),"")</f>
        <v/>
      </c>
      <c r="N1702" s="61" t="str">
        <f aca="false">IF(IsPro,IF($D1702="","",M1702),"")</f>
        <v/>
      </c>
      <c r="O1702" s="61" t="str">
        <f aca="false">IF(IsPro,IF($D1702="","",IF(AND(R1702&lt;&gt;"",INDEX(Parties!$E$5:$E$304,R1702)&lt;&gt;"",INDEX(Parties!$E$5:$E$304,R1702)&lt;&gt;HomeState),ROUND(K1702*L1702,2),0)),"")</f>
        <v/>
      </c>
      <c r="P1702" s="61" t="str">
        <f aca="false">IF(IsPro,IF($D1702="","",K1702+M1702+N1702+O1702),"")</f>
        <v/>
      </c>
      <c r="Q1702" s="60" t="str">
        <f aca="false">IF(IsPro,IF($D1702="","",IFERROR(MATCH($D1702,Items!$A$5:$A$504,0),"")),"")</f>
        <v/>
      </c>
      <c r="R1702" s="60" t="str">
        <f aca="false">IF(IsPro,IF($C1702="","",IFERROR(MATCH($C1702,Parties!$A$5:$A$304,0),"")),"")</f>
        <v/>
      </c>
      <c r="S1702" s="61" t="str">
        <f aca="false">IF(IsPro,IF($D1702="","",IF(OR($H1702="",$H1702="Credit"),0,P1702)),"")</f>
        <v/>
      </c>
    </row>
    <row r="1703" customFormat="false" ht="15" hidden="false" customHeight="false" outlineLevel="0" collapsed="false">
      <c r="A1703" s="55"/>
      <c r="B1703" s="56"/>
      <c r="C1703" s="56"/>
      <c r="D1703" s="56"/>
      <c r="E1703" s="57"/>
      <c r="F1703" s="58"/>
      <c r="G1703" s="59"/>
      <c r="H1703" s="56"/>
      <c r="I1703" s="60" t="str">
        <f aca="false">IF(IsPro,IF($D1703="","",IFERROR(INDEX(Items!$D$5:$D$504,Q1703),"")),IF($D1703="","","PRO PLAN"))</f>
        <v/>
      </c>
      <c r="J1703" s="61" t="str">
        <f aca="false">IF(IsPro,IF($D1703="","",IF($F1703="",IFERROR(INDEX(Items!$G$5:$G$504,Q1703),0),$F1703)),"")</f>
        <v/>
      </c>
      <c r="K1703" s="61" t="str">
        <f aca="false">IF(IsPro,IF($D1703="","",ROUND(N($E1703)*J1703*(1-N($G1703)),2)),"")</f>
        <v/>
      </c>
      <c r="L1703" s="62" t="str">
        <f aca="false">IF(IsPro,IF($D1703="","",IFERROR(INDEX(Items!$F$5:$F$504,Q1703),0)),"")</f>
        <v/>
      </c>
      <c r="M1703" s="61" t="str">
        <f aca="false">IF(IsPro,IF($D1703="","",IF(AND(R1703&lt;&gt;"",INDEX(Parties!$E$5:$E$304,R1703)&lt;&gt;"",INDEX(Parties!$E$5:$E$304,R1703)&lt;&gt;HomeState),0,ROUND(K1703*L1703/2,2))),"")</f>
        <v/>
      </c>
      <c r="N1703" s="61" t="str">
        <f aca="false">IF(IsPro,IF($D1703="","",M1703),"")</f>
        <v/>
      </c>
      <c r="O1703" s="61" t="str">
        <f aca="false">IF(IsPro,IF($D1703="","",IF(AND(R1703&lt;&gt;"",INDEX(Parties!$E$5:$E$304,R1703)&lt;&gt;"",INDEX(Parties!$E$5:$E$304,R1703)&lt;&gt;HomeState),ROUND(K1703*L1703,2),0)),"")</f>
        <v/>
      </c>
      <c r="P1703" s="61" t="str">
        <f aca="false">IF(IsPro,IF($D1703="","",K1703+M1703+N1703+O1703),"")</f>
        <v/>
      </c>
      <c r="Q1703" s="60" t="str">
        <f aca="false">IF(IsPro,IF($D1703="","",IFERROR(MATCH($D1703,Items!$A$5:$A$504,0),"")),"")</f>
        <v/>
      </c>
      <c r="R1703" s="60" t="str">
        <f aca="false">IF(IsPro,IF($C1703="","",IFERROR(MATCH($C1703,Parties!$A$5:$A$304,0),"")),"")</f>
        <v/>
      </c>
      <c r="S1703" s="61" t="str">
        <f aca="false">IF(IsPro,IF($D1703="","",IF(OR($H1703="",$H1703="Credit"),0,P1703)),"")</f>
        <v/>
      </c>
    </row>
    <row r="1704" customFormat="false" ht="15" hidden="false" customHeight="false" outlineLevel="0" collapsed="false">
      <c r="A1704" s="55"/>
      <c r="B1704" s="56"/>
      <c r="C1704" s="56"/>
      <c r="D1704" s="56"/>
      <c r="E1704" s="57"/>
      <c r="F1704" s="58"/>
      <c r="G1704" s="59"/>
      <c r="H1704" s="56"/>
      <c r="I1704" s="60" t="str">
        <f aca="false">IF(IsPro,IF($D1704="","",IFERROR(INDEX(Items!$D$5:$D$504,Q1704),"")),IF($D1704="","","PRO PLAN"))</f>
        <v/>
      </c>
      <c r="J1704" s="61" t="str">
        <f aca="false">IF(IsPro,IF($D1704="","",IF($F1704="",IFERROR(INDEX(Items!$G$5:$G$504,Q1704),0),$F1704)),"")</f>
        <v/>
      </c>
      <c r="K1704" s="61" t="str">
        <f aca="false">IF(IsPro,IF($D1704="","",ROUND(N($E1704)*J1704*(1-N($G1704)),2)),"")</f>
        <v/>
      </c>
      <c r="L1704" s="62" t="str">
        <f aca="false">IF(IsPro,IF($D1704="","",IFERROR(INDEX(Items!$F$5:$F$504,Q1704),0)),"")</f>
        <v/>
      </c>
      <c r="M1704" s="61" t="str">
        <f aca="false">IF(IsPro,IF($D1704="","",IF(AND(R1704&lt;&gt;"",INDEX(Parties!$E$5:$E$304,R1704)&lt;&gt;"",INDEX(Parties!$E$5:$E$304,R1704)&lt;&gt;HomeState),0,ROUND(K1704*L1704/2,2))),"")</f>
        <v/>
      </c>
      <c r="N1704" s="61" t="str">
        <f aca="false">IF(IsPro,IF($D1704="","",M1704),"")</f>
        <v/>
      </c>
      <c r="O1704" s="61" t="str">
        <f aca="false">IF(IsPro,IF($D1704="","",IF(AND(R1704&lt;&gt;"",INDEX(Parties!$E$5:$E$304,R1704)&lt;&gt;"",INDEX(Parties!$E$5:$E$304,R1704)&lt;&gt;HomeState),ROUND(K1704*L1704,2),0)),"")</f>
        <v/>
      </c>
      <c r="P1704" s="61" t="str">
        <f aca="false">IF(IsPro,IF($D1704="","",K1704+M1704+N1704+O1704),"")</f>
        <v/>
      </c>
      <c r="Q1704" s="60" t="str">
        <f aca="false">IF(IsPro,IF($D1704="","",IFERROR(MATCH($D1704,Items!$A$5:$A$504,0),"")),"")</f>
        <v/>
      </c>
      <c r="R1704" s="60" t="str">
        <f aca="false">IF(IsPro,IF($C1704="","",IFERROR(MATCH($C1704,Parties!$A$5:$A$304,0),"")),"")</f>
        <v/>
      </c>
      <c r="S1704" s="61" t="str">
        <f aca="false">IF(IsPro,IF($D1704="","",IF(OR($H1704="",$H1704="Credit"),0,P1704)),"")</f>
        <v/>
      </c>
    </row>
    <row r="1705" customFormat="false" ht="15" hidden="false" customHeight="false" outlineLevel="0" collapsed="false">
      <c r="A1705" s="55"/>
      <c r="B1705" s="56"/>
      <c r="C1705" s="56"/>
      <c r="D1705" s="56"/>
      <c r="E1705" s="57"/>
      <c r="F1705" s="58"/>
      <c r="G1705" s="59"/>
      <c r="H1705" s="56"/>
      <c r="I1705" s="60" t="str">
        <f aca="false">IF(IsPro,IF($D1705="","",IFERROR(INDEX(Items!$D$5:$D$504,Q1705),"")),IF($D1705="","","PRO PLAN"))</f>
        <v/>
      </c>
      <c r="J1705" s="61" t="str">
        <f aca="false">IF(IsPro,IF($D1705="","",IF($F1705="",IFERROR(INDEX(Items!$G$5:$G$504,Q1705),0),$F1705)),"")</f>
        <v/>
      </c>
      <c r="K1705" s="61" t="str">
        <f aca="false">IF(IsPro,IF($D1705="","",ROUND(N($E1705)*J1705*(1-N($G1705)),2)),"")</f>
        <v/>
      </c>
      <c r="L1705" s="62" t="str">
        <f aca="false">IF(IsPro,IF($D1705="","",IFERROR(INDEX(Items!$F$5:$F$504,Q1705),0)),"")</f>
        <v/>
      </c>
      <c r="M1705" s="61" t="str">
        <f aca="false">IF(IsPro,IF($D1705="","",IF(AND(R1705&lt;&gt;"",INDEX(Parties!$E$5:$E$304,R1705)&lt;&gt;"",INDEX(Parties!$E$5:$E$304,R1705)&lt;&gt;HomeState),0,ROUND(K1705*L1705/2,2))),"")</f>
        <v/>
      </c>
      <c r="N1705" s="61" t="str">
        <f aca="false">IF(IsPro,IF($D1705="","",M1705),"")</f>
        <v/>
      </c>
      <c r="O1705" s="61" t="str">
        <f aca="false">IF(IsPro,IF($D1705="","",IF(AND(R1705&lt;&gt;"",INDEX(Parties!$E$5:$E$304,R1705)&lt;&gt;"",INDEX(Parties!$E$5:$E$304,R1705)&lt;&gt;HomeState),ROUND(K1705*L1705,2),0)),"")</f>
        <v/>
      </c>
      <c r="P1705" s="61" t="str">
        <f aca="false">IF(IsPro,IF($D1705="","",K1705+M1705+N1705+O1705),"")</f>
        <v/>
      </c>
      <c r="Q1705" s="60" t="str">
        <f aca="false">IF(IsPro,IF($D1705="","",IFERROR(MATCH($D1705,Items!$A$5:$A$504,0),"")),"")</f>
        <v/>
      </c>
      <c r="R1705" s="60" t="str">
        <f aca="false">IF(IsPro,IF($C1705="","",IFERROR(MATCH($C1705,Parties!$A$5:$A$304,0),"")),"")</f>
        <v/>
      </c>
      <c r="S1705" s="61" t="str">
        <f aca="false">IF(IsPro,IF($D1705="","",IF(OR($H1705="",$H1705="Credit"),0,P1705)),"")</f>
        <v/>
      </c>
    </row>
    <row r="1706" customFormat="false" ht="15" hidden="false" customHeight="false" outlineLevel="0" collapsed="false">
      <c r="A1706" s="55"/>
      <c r="B1706" s="56"/>
      <c r="C1706" s="56"/>
      <c r="D1706" s="56"/>
      <c r="E1706" s="57"/>
      <c r="F1706" s="58"/>
      <c r="G1706" s="59"/>
      <c r="H1706" s="56"/>
      <c r="I1706" s="60" t="str">
        <f aca="false">IF(IsPro,IF($D1706="","",IFERROR(INDEX(Items!$D$5:$D$504,Q1706),"")),IF($D1706="","","PRO PLAN"))</f>
        <v/>
      </c>
      <c r="J1706" s="61" t="str">
        <f aca="false">IF(IsPro,IF($D1706="","",IF($F1706="",IFERROR(INDEX(Items!$G$5:$G$504,Q1706),0),$F1706)),"")</f>
        <v/>
      </c>
      <c r="K1706" s="61" t="str">
        <f aca="false">IF(IsPro,IF($D1706="","",ROUND(N($E1706)*J1706*(1-N($G1706)),2)),"")</f>
        <v/>
      </c>
      <c r="L1706" s="62" t="str">
        <f aca="false">IF(IsPro,IF($D1706="","",IFERROR(INDEX(Items!$F$5:$F$504,Q1706),0)),"")</f>
        <v/>
      </c>
      <c r="M1706" s="61" t="str">
        <f aca="false">IF(IsPro,IF($D1706="","",IF(AND(R1706&lt;&gt;"",INDEX(Parties!$E$5:$E$304,R1706)&lt;&gt;"",INDEX(Parties!$E$5:$E$304,R1706)&lt;&gt;HomeState),0,ROUND(K1706*L1706/2,2))),"")</f>
        <v/>
      </c>
      <c r="N1706" s="61" t="str">
        <f aca="false">IF(IsPro,IF($D1706="","",M1706),"")</f>
        <v/>
      </c>
      <c r="O1706" s="61" t="str">
        <f aca="false">IF(IsPro,IF($D1706="","",IF(AND(R1706&lt;&gt;"",INDEX(Parties!$E$5:$E$304,R1706)&lt;&gt;"",INDEX(Parties!$E$5:$E$304,R1706)&lt;&gt;HomeState),ROUND(K1706*L1706,2),0)),"")</f>
        <v/>
      </c>
      <c r="P1706" s="61" t="str">
        <f aca="false">IF(IsPro,IF($D1706="","",K1706+M1706+N1706+O1706),"")</f>
        <v/>
      </c>
      <c r="Q1706" s="60" t="str">
        <f aca="false">IF(IsPro,IF($D1706="","",IFERROR(MATCH($D1706,Items!$A$5:$A$504,0),"")),"")</f>
        <v/>
      </c>
      <c r="R1706" s="60" t="str">
        <f aca="false">IF(IsPro,IF($C1706="","",IFERROR(MATCH($C1706,Parties!$A$5:$A$304,0),"")),"")</f>
        <v/>
      </c>
      <c r="S1706" s="61" t="str">
        <f aca="false">IF(IsPro,IF($D1706="","",IF(OR($H1706="",$H1706="Credit"),0,P1706)),"")</f>
        <v/>
      </c>
    </row>
    <row r="1707" customFormat="false" ht="15" hidden="false" customHeight="false" outlineLevel="0" collapsed="false">
      <c r="A1707" s="55"/>
      <c r="B1707" s="56"/>
      <c r="C1707" s="56"/>
      <c r="D1707" s="56"/>
      <c r="E1707" s="57"/>
      <c r="F1707" s="58"/>
      <c r="G1707" s="59"/>
      <c r="H1707" s="56"/>
      <c r="I1707" s="60" t="str">
        <f aca="false">IF(IsPro,IF($D1707="","",IFERROR(INDEX(Items!$D$5:$D$504,Q1707),"")),IF($D1707="","","PRO PLAN"))</f>
        <v/>
      </c>
      <c r="J1707" s="61" t="str">
        <f aca="false">IF(IsPro,IF($D1707="","",IF($F1707="",IFERROR(INDEX(Items!$G$5:$G$504,Q1707),0),$F1707)),"")</f>
        <v/>
      </c>
      <c r="K1707" s="61" t="str">
        <f aca="false">IF(IsPro,IF($D1707="","",ROUND(N($E1707)*J1707*(1-N($G1707)),2)),"")</f>
        <v/>
      </c>
      <c r="L1707" s="62" t="str">
        <f aca="false">IF(IsPro,IF($D1707="","",IFERROR(INDEX(Items!$F$5:$F$504,Q1707),0)),"")</f>
        <v/>
      </c>
      <c r="M1707" s="61" t="str">
        <f aca="false">IF(IsPro,IF($D1707="","",IF(AND(R1707&lt;&gt;"",INDEX(Parties!$E$5:$E$304,R1707)&lt;&gt;"",INDEX(Parties!$E$5:$E$304,R1707)&lt;&gt;HomeState),0,ROUND(K1707*L1707/2,2))),"")</f>
        <v/>
      </c>
      <c r="N1707" s="61" t="str">
        <f aca="false">IF(IsPro,IF($D1707="","",M1707),"")</f>
        <v/>
      </c>
      <c r="O1707" s="61" t="str">
        <f aca="false">IF(IsPro,IF($D1707="","",IF(AND(R1707&lt;&gt;"",INDEX(Parties!$E$5:$E$304,R1707)&lt;&gt;"",INDEX(Parties!$E$5:$E$304,R1707)&lt;&gt;HomeState),ROUND(K1707*L1707,2),0)),"")</f>
        <v/>
      </c>
      <c r="P1707" s="61" t="str">
        <f aca="false">IF(IsPro,IF($D1707="","",K1707+M1707+N1707+O1707),"")</f>
        <v/>
      </c>
      <c r="Q1707" s="60" t="str">
        <f aca="false">IF(IsPro,IF($D1707="","",IFERROR(MATCH($D1707,Items!$A$5:$A$504,0),"")),"")</f>
        <v/>
      </c>
      <c r="R1707" s="60" t="str">
        <f aca="false">IF(IsPro,IF($C1707="","",IFERROR(MATCH($C1707,Parties!$A$5:$A$304,0),"")),"")</f>
        <v/>
      </c>
      <c r="S1707" s="61" t="str">
        <f aca="false">IF(IsPro,IF($D1707="","",IF(OR($H1707="",$H1707="Credit"),0,P1707)),"")</f>
        <v/>
      </c>
    </row>
    <row r="1708" customFormat="false" ht="15" hidden="false" customHeight="false" outlineLevel="0" collapsed="false">
      <c r="A1708" s="55"/>
      <c r="B1708" s="56"/>
      <c r="C1708" s="56"/>
      <c r="D1708" s="56"/>
      <c r="E1708" s="57"/>
      <c r="F1708" s="58"/>
      <c r="G1708" s="59"/>
      <c r="H1708" s="56"/>
      <c r="I1708" s="60" t="str">
        <f aca="false">IF(IsPro,IF($D1708="","",IFERROR(INDEX(Items!$D$5:$D$504,Q1708),"")),IF($D1708="","","PRO PLAN"))</f>
        <v/>
      </c>
      <c r="J1708" s="61" t="str">
        <f aca="false">IF(IsPro,IF($D1708="","",IF($F1708="",IFERROR(INDEX(Items!$G$5:$G$504,Q1708),0),$F1708)),"")</f>
        <v/>
      </c>
      <c r="K1708" s="61" t="str">
        <f aca="false">IF(IsPro,IF($D1708="","",ROUND(N($E1708)*J1708*(1-N($G1708)),2)),"")</f>
        <v/>
      </c>
      <c r="L1708" s="62" t="str">
        <f aca="false">IF(IsPro,IF($D1708="","",IFERROR(INDEX(Items!$F$5:$F$504,Q1708),0)),"")</f>
        <v/>
      </c>
      <c r="M1708" s="61" t="str">
        <f aca="false">IF(IsPro,IF($D1708="","",IF(AND(R1708&lt;&gt;"",INDEX(Parties!$E$5:$E$304,R1708)&lt;&gt;"",INDEX(Parties!$E$5:$E$304,R1708)&lt;&gt;HomeState),0,ROUND(K1708*L1708/2,2))),"")</f>
        <v/>
      </c>
      <c r="N1708" s="61" t="str">
        <f aca="false">IF(IsPro,IF($D1708="","",M1708),"")</f>
        <v/>
      </c>
      <c r="O1708" s="61" t="str">
        <f aca="false">IF(IsPro,IF($D1708="","",IF(AND(R1708&lt;&gt;"",INDEX(Parties!$E$5:$E$304,R1708)&lt;&gt;"",INDEX(Parties!$E$5:$E$304,R1708)&lt;&gt;HomeState),ROUND(K1708*L1708,2),0)),"")</f>
        <v/>
      </c>
      <c r="P1708" s="61" t="str">
        <f aca="false">IF(IsPro,IF($D1708="","",K1708+M1708+N1708+O1708),"")</f>
        <v/>
      </c>
      <c r="Q1708" s="60" t="str">
        <f aca="false">IF(IsPro,IF($D1708="","",IFERROR(MATCH($D1708,Items!$A$5:$A$504,0),"")),"")</f>
        <v/>
      </c>
      <c r="R1708" s="60" t="str">
        <f aca="false">IF(IsPro,IF($C1708="","",IFERROR(MATCH($C1708,Parties!$A$5:$A$304,0),"")),"")</f>
        <v/>
      </c>
      <c r="S1708" s="61" t="str">
        <f aca="false">IF(IsPro,IF($D1708="","",IF(OR($H1708="",$H1708="Credit"),0,P1708)),"")</f>
        <v/>
      </c>
    </row>
    <row r="1709" customFormat="false" ht="15" hidden="false" customHeight="false" outlineLevel="0" collapsed="false">
      <c r="A1709" s="55"/>
      <c r="B1709" s="56"/>
      <c r="C1709" s="56"/>
      <c r="D1709" s="56"/>
      <c r="E1709" s="57"/>
      <c r="F1709" s="58"/>
      <c r="G1709" s="59"/>
      <c r="H1709" s="56"/>
      <c r="I1709" s="60" t="str">
        <f aca="false">IF(IsPro,IF($D1709="","",IFERROR(INDEX(Items!$D$5:$D$504,Q1709),"")),IF($D1709="","","PRO PLAN"))</f>
        <v/>
      </c>
      <c r="J1709" s="61" t="str">
        <f aca="false">IF(IsPro,IF($D1709="","",IF($F1709="",IFERROR(INDEX(Items!$G$5:$G$504,Q1709),0),$F1709)),"")</f>
        <v/>
      </c>
      <c r="K1709" s="61" t="str">
        <f aca="false">IF(IsPro,IF($D1709="","",ROUND(N($E1709)*J1709*(1-N($G1709)),2)),"")</f>
        <v/>
      </c>
      <c r="L1709" s="62" t="str">
        <f aca="false">IF(IsPro,IF($D1709="","",IFERROR(INDEX(Items!$F$5:$F$504,Q1709),0)),"")</f>
        <v/>
      </c>
      <c r="M1709" s="61" t="str">
        <f aca="false">IF(IsPro,IF($D1709="","",IF(AND(R1709&lt;&gt;"",INDEX(Parties!$E$5:$E$304,R1709)&lt;&gt;"",INDEX(Parties!$E$5:$E$304,R1709)&lt;&gt;HomeState),0,ROUND(K1709*L1709/2,2))),"")</f>
        <v/>
      </c>
      <c r="N1709" s="61" t="str">
        <f aca="false">IF(IsPro,IF($D1709="","",M1709),"")</f>
        <v/>
      </c>
      <c r="O1709" s="61" t="str">
        <f aca="false">IF(IsPro,IF($D1709="","",IF(AND(R1709&lt;&gt;"",INDEX(Parties!$E$5:$E$304,R1709)&lt;&gt;"",INDEX(Parties!$E$5:$E$304,R1709)&lt;&gt;HomeState),ROUND(K1709*L1709,2),0)),"")</f>
        <v/>
      </c>
      <c r="P1709" s="61" t="str">
        <f aca="false">IF(IsPro,IF($D1709="","",K1709+M1709+N1709+O1709),"")</f>
        <v/>
      </c>
      <c r="Q1709" s="60" t="str">
        <f aca="false">IF(IsPro,IF($D1709="","",IFERROR(MATCH($D1709,Items!$A$5:$A$504,0),"")),"")</f>
        <v/>
      </c>
      <c r="R1709" s="60" t="str">
        <f aca="false">IF(IsPro,IF($C1709="","",IFERROR(MATCH($C1709,Parties!$A$5:$A$304,0),"")),"")</f>
        <v/>
      </c>
      <c r="S1709" s="61" t="str">
        <f aca="false">IF(IsPro,IF($D1709="","",IF(OR($H1709="",$H1709="Credit"),0,P1709)),"")</f>
        <v/>
      </c>
    </row>
    <row r="1710" customFormat="false" ht="15" hidden="false" customHeight="false" outlineLevel="0" collapsed="false">
      <c r="A1710" s="55"/>
      <c r="B1710" s="56"/>
      <c r="C1710" s="56"/>
      <c r="D1710" s="56"/>
      <c r="E1710" s="57"/>
      <c r="F1710" s="58"/>
      <c r="G1710" s="59"/>
      <c r="H1710" s="56"/>
      <c r="I1710" s="60" t="str">
        <f aca="false">IF(IsPro,IF($D1710="","",IFERROR(INDEX(Items!$D$5:$D$504,Q1710),"")),IF($D1710="","","PRO PLAN"))</f>
        <v/>
      </c>
      <c r="J1710" s="61" t="str">
        <f aca="false">IF(IsPro,IF($D1710="","",IF($F1710="",IFERROR(INDEX(Items!$G$5:$G$504,Q1710),0),$F1710)),"")</f>
        <v/>
      </c>
      <c r="K1710" s="61" t="str">
        <f aca="false">IF(IsPro,IF($D1710="","",ROUND(N($E1710)*J1710*(1-N($G1710)),2)),"")</f>
        <v/>
      </c>
      <c r="L1710" s="62" t="str">
        <f aca="false">IF(IsPro,IF($D1710="","",IFERROR(INDEX(Items!$F$5:$F$504,Q1710),0)),"")</f>
        <v/>
      </c>
      <c r="M1710" s="61" t="str">
        <f aca="false">IF(IsPro,IF($D1710="","",IF(AND(R1710&lt;&gt;"",INDEX(Parties!$E$5:$E$304,R1710)&lt;&gt;"",INDEX(Parties!$E$5:$E$304,R1710)&lt;&gt;HomeState),0,ROUND(K1710*L1710/2,2))),"")</f>
        <v/>
      </c>
      <c r="N1710" s="61" t="str">
        <f aca="false">IF(IsPro,IF($D1710="","",M1710),"")</f>
        <v/>
      </c>
      <c r="O1710" s="61" t="str">
        <f aca="false">IF(IsPro,IF($D1710="","",IF(AND(R1710&lt;&gt;"",INDEX(Parties!$E$5:$E$304,R1710)&lt;&gt;"",INDEX(Parties!$E$5:$E$304,R1710)&lt;&gt;HomeState),ROUND(K1710*L1710,2),0)),"")</f>
        <v/>
      </c>
      <c r="P1710" s="61" t="str">
        <f aca="false">IF(IsPro,IF($D1710="","",K1710+M1710+N1710+O1710),"")</f>
        <v/>
      </c>
      <c r="Q1710" s="60" t="str">
        <f aca="false">IF(IsPro,IF($D1710="","",IFERROR(MATCH($D1710,Items!$A$5:$A$504,0),"")),"")</f>
        <v/>
      </c>
      <c r="R1710" s="60" t="str">
        <f aca="false">IF(IsPro,IF($C1710="","",IFERROR(MATCH($C1710,Parties!$A$5:$A$304,0),"")),"")</f>
        <v/>
      </c>
      <c r="S1710" s="61" t="str">
        <f aca="false">IF(IsPro,IF($D1710="","",IF(OR($H1710="",$H1710="Credit"),0,P1710)),"")</f>
        <v/>
      </c>
    </row>
    <row r="1711" customFormat="false" ht="15" hidden="false" customHeight="false" outlineLevel="0" collapsed="false">
      <c r="A1711" s="55"/>
      <c r="B1711" s="56"/>
      <c r="C1711" s="56"/>
      <c r="D1711" s="56"/>
      <c r="E1711" s="57"/>
      <c r="F1711" s="58"/>
      <c r="G1711" s="59"/>
      <c r="H1711" s="56"/>
      <c r="I1711" s="60" t="str">
        <f aca="false">IF(IsPro,IF($D1711="","",IFERROR(INDEX(Items!$D$5:$D$504,Q1711),"")),IF($D1711="","","PRO PLAN"))</f>
        <v/>
      </c>
      <c r="J1711" s="61" t="str">
        <f aca="false">IF(IsPro,IF($D1711="","",IF($F1711="",IFERROR(INDEX(Items!$G$5:$G$504,Q1711),0),$F1711)),"")</f>
        <v/>
      </c>
      <c r="K1711" s="61" t="str">
        <f aca="false">IF(IsPro,IF($D1711="","",ROUND(N($E1711)*J1711*(1-N($G1711)),2)),"")</f>
        <v/>
      </c>
      <c r="L1711" s="62" t="str">
        <f aca="false">IF(IsPro,IF($D1711="","",IFERROR(INDEX(Items!$F$5:$F$504,Q1711),0)),"")</f>
        <v/>
      </c>
      <c r="M1711" s="61" t="str">
        <f aca="false">IF(IsPro,IF($D1711="","",IF(AND(R1711&lt;&gt;"",INDEX(Parties!$E$5:$E$304,R1711)&lt;&gt;"",INDEX(Parties!$E$5:$E$304,R1711)&lt;&gt;HomeState),0,ROUND(K1711*L1711/2,2))),"")</f>
        <v/>
      </c>
      <c r="N1711" s="61" t="str">
        <f aca="false">IF(IsPro,IF($D1711="","",M1711),"")</f>
        <v/>
      </c>
      <c r="O1711" s="61" t="str">
        <f aca="false">IF(IsPro,IF($D1711="","",IF(AND(R1711&lt;&gt;"",INDEX(Parties!$E$5:$E$304,R1711)&lt;&gt;"",INDEX(Parties!$E$5:$E$304,R1711)&lt;&gt;HomeState),ROUND(K1711*L1711,2),0)),"")</f>
        <v/>
      </c>
      <c r="P1711" s="61" t="str">
        <f aca="false">IF(IsPro,IF($D1711="","",K1711+M1711+N1711+O1711),"")</f>
        <v/>
      </c>
      <c r="Q1711" s="60" t="str">
        <f aca="false">IF(IsPro,IF($D1711="","",IFERROR(MATCH($D1711,Items!$A$5:$A$504,0),"")),"")</f>
        <v/>
      </c>
      <c r="R1711" s="60" t="str">
        <f aca="false">IF(IsPro,IF($C1711="","",IFERROR(MATCH($C1711,Parties!$A$5:$A$304,0),"")),"")</f>
        <v/>
      </c>
      <c r="S1711" s="61" t="str">
        <f aca="false">IF(IsPro,IF($D1711="","",IF(OR($H1711="",$H1711="Credit"),0,P1711)),"")</f>
        <v/>
      </c>
    </row>
    <row r="1712" customFormat="false" ht="15" hidden="false" customHeight="false" outlineLevel="0" collapsed="false">
      <c r="A1712" s="55"/>
      <c r="B1712" s="56"/>
      <c r="C1712" s="56"/>
      <c r="D1712" s="56"/>
      <c r="E1712" s="57"/>
      <c r="F1712" s="58"/>
      <c r="G1712" s="59"/>
      <c r="H1712" s="56"/>
      <c r="I1712" s="60" t="str">
        <f aca="false">IF(IsPro,IF($D1712="","",IFERROR(INDEX(Items!$D$5:$D$504,Q1712),"")),IF($D1712="","","PRO PLAN"))</f>
        <v/>
      </c>
      <c r="J1712" s="61" t="str">
        <f aca="false">IF(IsPro,IF($D1712="","",IF($F1712="",IFERROR(INDEX(Items!$G$5:$G$504,Q1712),0),$F1712)),"")</f>
        <v/>
      </c>
      <c r="K1712" s="61" t="str">
        <f aca="false">IF(IsPro,IF($D1712="","",ROUND(N($E1712)*J1712*(1-N($G1712)),2)),"")</f>
        <v/>
      </c>
      <c r="L1712" s="62" t="str">
        <f aca="false">IF(IsPro,IF($D1712="","",IFERROR(INDEX(Items!$F$5:$F$504,Q1712),0)),"")</f>
        <v/>
      </c>
      <c r="M1712" s="61" t="str">
        <f aca="false">IF(IsPro,IF($D1712="","",IF(AND(R1712&lt;&gt;"",INDEX(Parties!$E$5:$E$304,R1712)&lt;&gt;"",INDEX(Parties!$E$5:$E$304,R1712)&lt;&gt;HomeState),0,ROUND(K1712*L1712/2,2))),"")</f>
        <v/>
      </c>
      <c r="N1712" s="61" t="str">
        <f aca="false">IF(IsPro,IF($D1712="","",M1712),"")</f>
        <v/>
      </c>
      <c r="O1712" s="61" t="str">
        <f aca="false">IF(IsPro,IF($D1712="","",IF(AND(R1712&lt;&gt;"",INDEX(Parties!$E$5:$E$304,R1712)&lt;&gt;"",INDEX(Parties!$E$5:$E$304,R1712)&lt;&gt;HomeState),ROUND(K1712*L1712,2),0)),"")</f>
        <v/>
      </c>
      <c r="P1712" s="61" t="str">
        <f aca="false">IF(IsPro,IF($D1712="","",K1712+M1712+N1712+O1712),"")</f>
        <v/>
      </c>
      <c r="Q1712" s="60" t="str">
        <f aca="false">IF(IsPro,IF($D1712="","",IFERROR(MATCH($D1712,Items!$A$5:$A$504,0),"")),"")</f>
        <v/>
      </c>
      <c r="R1712" s="60" t="str">
        <f aca="false">IF(IsPro,IF($C1712="","",IFERROR(MATCH($C1712,Parties!$A$5:$A$304,0),"")),"")</f>
        <v/>
      </c>
      <c r="S1712" s="61" t="str">
        <f aca="false">IF(IsPro,IF($D1712="","",IF(OR($H1712="",$H1712="Credit"),0,P1712)),"")</f>
        <v/>
      </c>
    </row>
    <row r="1713" customFormat="false" ht="15" hidden="false" customHeight="false" outlineLevel="0" collapsed="false">
      <c r="A1713" s="55"/>
      <c r="B1713" s="56"/>
      <c r="C1713" s="56"/>
      <c r="D1713" s="56"/>
      <c r="E1713" s="57"/>
      <c r="F1713" s="58"/>
      <c r="G1713" s="59"/>
      <c r="H1713" s="56"/>
      <c r="I1713" s="60" t="str">
        <f aca="false">IF(IsPro,IF($D1713="","",IFERROR(INDEX(Items!$D$5:$D$504,Q1713),"")),IF($D1713="","","PRO PLAN"))</f>
        <v/>
      </c>
      <c r="J1713" s="61" t="str">
        <f aca="false">IF(IsPro,IF($D1713="","",IF($F1713="",IFERROR(INDEX(Items!$G$5:$G$504,Q1713),0),$F1713)),"")</f>
        <v/>
      </c>
      <c r="K1713" s="61" t="str">
        <f aca="false">IF(IsPro,IF($D1713="","",ROUND(N($E1713)*J1713*(1-N($G1713)),2)),"")</f>
        <v/>
      </c>
      <c r="L1713" s="62" t="str">
        <f aca="false">IF(IsPro,IF($D1713="","",IFERROR(INDEX(Items!$F$5:$F$504,Q1713),0)),"")</f>
        <v/>
      </c>
      <c r="M1713" s="61" t="str">
        <f aca="false">IF(IsPro,IF($D1713="","",IF(AND(R1713&lt;&gt;"",INDEX(Parties!$E$5:$E$304,R1713)&lt;&gt;"",INDEX(Parties!$E$5:$E$304,R1713)&lt;&gt;HomeState),0,ROUND(K1713*L1713/2,2))),"")</f>
        <v/>
      </c>
      <c r="N1713" s="61" t="str">
        <f aca="false">IF(IsPro,IF($D1713="","",M1713),"")</f>
        <v/>
      </c>
      <c r="O1713" s="61" t="str">
        <f aca="false">IF(IsPro,IF($D1713="","",IF(AND(R1713&lt;&gt;"",INDEX(Parties!$E$5:$E$304,R1713)&lt;&gt;"",INDEX(Parties!$E$5:$E$304,R1713)&lt;&gt;HomeState),ROUND(K1713*L1713,2),0)),"")</f>
        <v/>
      </c>
      <c r="P1713" s="61" t="str">
        <f aca="false">IF(IsPro,IF($D1713="","",K1713+M1713+N1713+O1713),"")</f>
        <v/>
      </c>
      <c r="Q1713" s="60" t="str">
        <f aca="false">IF(IsPro,IF($D1713="","",IFERROR(MATCH($D1713,Items!$A$5:$A$504,0),"")),"")</f>
        <v/>
      </c>
      <c r="R1713" s="60" t="str">
        <f aca="false">IF(IsPro,IF($C1713="","",IFERROR(MATCH($C1713,Parties!$A$5:$A$304,0),"")),"")</f>
        <v/>
      </c>
      <c r="S1713" s="61" t="str">
        <f aca="false">IF(IsPro,IF($D1713="","",IF(OR($H1713="",$H1713="Credit"),0,P1713)),"")</f>
        <v/>
      </c>
    </row>
    <row r="1714" customFormat="false" ht="15" hidden="false" customHeight="false" outlineLevel="0" collapsed="false">
      <c r="A1714" s="55"/>
      <c r="B1714" s="56"/>
      <c r="C1714" s="56"/>
      <c r="D1714" s="56"/>
      <c r="E1714" s="57"/>
      <c r="F1714" s="58"/>
      <c r="G1714" s="59"/>
      <c r="H1714" s="56"/>
      <c r="I1714" s="60" t="str">
        <f aca="false">IF(IsPro,IF($D1714="","",IFERROR(INDEX(Items!$D$5:$D$504,Q1714),"")),IF($D1714="","","PRO PLAN"))</f>
        <v/>
      </c>
      <c r="J1714" s="61" t="str">
        <f aca="false">IF(IsPro,IF($D1714="","",IF($F1714="",IFERROR(INDEX(Items!$G$5:$G$504,Q1714),0),$F1714)),"")</f>
        <v/>
      </c>
      <c r="K1714" s="61" t="str">
        <f aca="false">IF(IsPro,IF($D1714="","",ROUND(N($E1714)*J1714*(1-N($G1714)),2)),"")</f>
        <v/>
      </c>
      <c r="L1714" s="62" t="str">
        <f aca="false">IF(IsPro,IF($D1714="","",IFERROR(INDEX(Items!$F$5:$F$504,Q1714),0)),"")</f>
        <v/>
      </c>
      <c r="M1714" s="61" t="str">
        <f aca="false">IF(IsPro,IF($D1714="","",IF(AND(R1714&lt;&gt;"",INDEX(Parties!$E$5:$E$304,R1714)&lt;&gt;"",INDEX(Parties!$E$5:$E$304,R1714)&lt;&gt;HomeState),0,ROUND(K1714*L1714/2,2))),"")</f>
        <v/>
      </c>
      <c r="N1714" s="61" t="str">
        <f aca="false">IF(IsPro,IF($D1714="","",M1714),"")</f>
        <v/>
      </c>
      <c r="O1714" s="61" t="str">
        <f aca="false">IF(IsPro,IF($D1714="","",IF(AND(R1714&lt;&gt;"",INDEX(Parties!$E$5:$E$304,R1714)&lt;&gt;"",INDEX(Parties!$E$5:$E$304,R1714)&lt;&gt;HomeState),ROUND(K1714*L1714,2),0)),"")</f>
        <v/>
      </c>
      <c r="P1714" s="61" t="str">
        <f aca="false">IF(IsPro,IF($D1714="","",K1714+M1714+N1714+O1714),"")</f>
        <v/>
      </c>
      <c r="Q1714" s="60" t="str">
        <f aca="false">IF(IsPro,IF($D1714="","",IFERROR(MATCH($D1714,Items!$A$5:$A$504,0),"")),"")</f>
        <v/>
      </c>
      <c r="R1714" s="60" t="str">
        <f aca="false">IF(IsPro,IF($C1714="","",IFERROR(MATCH($C1714,Parties!$A$5:$A$304,0),"")),"")</f>
        <v/>
      </c>
      <c r="S1714" s="61" t="str">
        <f aca="false">IF(IsPro,IF($D1714="","",IF(OR($H1714="",$H1714="Credit"),0,P1714)),"")</f>
        <v/>
      </c>
    </row>
    <row r="1715" customFormat="false" ht="15" hidden="false" customHeight="false" outlineLevel="0" collapsed="false">
      <c r="A1715" s="55"/>
      <c r="B1715" s="56"/>
      <c r="C1715" s="56"/>
      <c r="D1715" s="56"/>
      <c r="E1715" s="57"/>
      <c r="F1715" s="58"/>
      <c r="G1715" s="59"/>
      <c r="H1715" s="56"/>
      <c r="I1715" s="60" t="str">
        <f aca="false">IF(IsPro,IF($D1715="","",IFERROR(INDEX(Items!$D$5:$D$504,Q1715),"")),IF($D1715="","","PRO PLAN"))</f>
        <v/>
      </c>
      <c r="J1715" s="61" t="str">
        <f aca="false">IF(IsPro,IF($D1715="","",IF($F1715="",IFERROR(INDEX(Items!$G$5:$G$504,Q1715),0),$F1715)),"")</f>
        <v/>
      </c>
      <c r="K1715" s="61" t="str">
        <f aca="false">IF(IsPro,IF($D1715="","",ROUND(N($E1715)*J1715*(1-N($G1715)),2)),"")</f>
        <v/>
      </c>
      <c r="L1715" s="62" t="str">
        <f aca="false">IF(IsPro,IF($D1715="","",IFERROR(INDEX(Items!$F$5:$F$504,Q1715),0)),"")</f>
        <v/>
      </c>
      <c r="M1715" s="61" t="str">
        <f aca="false">IF(IsPro,IF($D1715="","",IF(AND(R1715&lt;&gt;"",INDEX(Parties!$E$5:$E$304,R1715)&lt;&gt;"",INDEX(Parties!$E$5:$E$304,R1715)&lt;&gt;HomeState),0,ROUND(K1715*L1715/2,2))),"")</f>
        <v/>
      </c>
      <c r="N1715" s="61" t="str">
        <f aca="false">IF(IsPro,IF($D1715="","",M1715),"")</f>
        <v/>
      </c>
      <c r="O1715" s="61" t="str">
        <f aca="false">IF(IsPro,IF($D1715="","",IF(AND(R1715&lt;&gt;"",INDEX(Parties!$E$5:$E$304,R1715)&lt;&gt;"",INDEX(Parties!$E$5:$E$304,R1715)&lt;&gt;HomeState),ROUND(K1715*L1715,2),0)),"")</f>
        <v/>
      </c>
      <c r="P1715" s="61" t="str">
        <f aca="false">IF(IsPro,IF($D1715="","",K1715+M1715+N1715+O1715),"")</f>
        <v/>
      </c>
      <c r="Q1715" s="60" t="str">
        <f aca="false">IF(IsPro,IF($D1715="","",IFERROR(MATCH($D1715,Items!$A$5:$A$504,0),"")),"")</f>
        <v/>
      </c>
      <c r="R1715" s="60" t="str">
        <f aca="false">IF(IsPro,IF($C1715="","",IFERROR(MATCH($C1715,Parties!$A$5:$A$304,0),"")),"")</f>
        <v/>
      </c>
      <c r="S1715" s="61" t="str">
        <f aca="false">IF(IsPro,IF($D1715="","",IF(OR($H1715="",$H1715="Credit"),0,P1715)),"")</f>
        <v/>
      </c>
    </row>
    <row r="1716" customFormat="false" ht="15" hidden="false" customHeight="false" outlineLevel="0" collapsed="false">
      <c r="A1716" s="55"/>
      <c r="B1716" s="56"/>
      <c r="C1716" s="56"/>
      <c r="D1716" s="56"/>
      <c r="E1716" s="57"/>
      <c r="F1716" s="58"/>
      <c r="G1716" s="59"/>
      <c r="H1716" s="56"/>
      <c r="I1716" s="60" t="str">
        <f aca="false">IF(IsPro,IF($D1716="","",IFERROR(INDEX(Items!$D$5:$D$504,Q1716),"")),IF($D1716="","","PRO PLAN"))</f>
        <v/>
      </c>
      <c r="J1716" s="61" t="str">
        <f aca="false">IF(IsPro,IF($D1716="","",IF($F1716="",IFERROR(INDEX(Items!$G$5:$G$504,Q1716),0),$F1716)),"")</f>
        <v/>
      </c>
      <c r="K1716" s="61" t="str">
        <f aca="false">IF(IsPro,IF($D1716="","",ROUND(N($E1716)*J1716*(1-N($G1716)),2)),"")</f>
        <v/>
      </c>
      <c r="L1716" s="62" t="str">
        <f aca="false">IF(IsPro,IF($D1716="","",IFERROR(INDEX(Items!$F$5:$F$504,Q1716),0)),"")</f>
        <v/>
      </c>
      <c r="M1716" s="61" t="str">
        <f aca="false">IF(IsPro,IF($D1716="","",IF(AND(R1716&lt;&gt;"",INDEX(Parties!$E$5:$E$304,R1716)&lt;&gt;"",INDEX(Parties!$E$5:$E$304,R1716)&lt;&gt;HomeState),0,ROUND(K1716*L1716/2,2))),"")</f>
        <v/>
      </c>
      <c r="N1716" s="61" t="str">
        <f aca="false">IF(IsPro,IF($D1716="","",M1716),"")</f>
        <v/>
      </c>
      <c r="O1716" s="61" t="str">
        <f aca="false">IF(IsPro,IF($D1716="","",IF(AND(R1716&lt;&gt;"",INDEX(Parties!$E$5:$E$304,R1716)&lt;&gt;"",INDEX(Parties!$E$5:$E$304,R1716)&lt;&gt;HomeState),ROUND(K1716*L1716,2),0)),"")</f>
        <v/>
      </c>
      <c r="P1716" s="61" t="str">
        <f aca="false">IF(IsPro,IF($D1716="","",K1716+M1716+N1716+O1716),"")</f>
        <v/>
      </c>
      <c r="Q1716" s="60" t="str">
        <f aca="false">IF(IsPro,IF($D1716="","",IFERROR(MATCH($D1716,Items!$A$5:$A$504,0),"")),"")</f>
        <v/>
      </c>
      <c r="R1716" s="60" t="str">
        <f aca="false">IF(IsPro,IF($C1716="","",IFERROR(MATCH($C1716,Parties!$A$5:$A$304,0),"")),"")</f>
        <v/>
      </c>
      <c r="S1716" s="61" t="str">
        <f aca="false">IF(IsPro,IF($D1716="","",IF(OR($H1716="",$H1716="Credit"),0,P1716)),"")</f>
        <v/>
      </c>
    </row>
    <row r="1717" customFormat="false" ht="15" hidden="false" customHeight="false" outlineLevel="0" collapsed="false">
      <c r="A1717" s="55"/>
      <c r="B1717" s="56"/>
      <c r="C1717" s="56"/>
      <c r="D1717" s="56"/>
      <c r="E1717" s="57"/>
      <c r="F1717" s="58"/>
      <c r="G1717" s="59"/>
      <c r="H1717" s="56"/>
      <c r="I1717" s="60" t="str">
        <f aca="false">IF(IsPro,IF($D1717="","",IFERROR(INDEX(Items!$D$5:$D$504,Q1717),"")),IF($D1717="","","PRO PLAN"))</f>
        <v/>
      </c>
      <c r="J1717" s="61" t="str">
        <f aca="false">IF(IsPro,IF($D1717="","",IF($F1717="",IFERROR(INDEX(Items!$G$5:$G$504,Q1717),0),$F1717)),"")</f>
        <v/>
      </c>
      <c r="K1717" s="61" t="str">
        <f aca="false">IF(IsPro,IF($D1717="","",ROUND(N($E1717)*J1717*(1-N($G1717)),2)),"")</f>
        <v/>
      </c>
      <c r="L1717" s="62" t="str">
        <f aca="false">IF(IsPro,IF($D1717="","",IFERROR(INDEX(Items!$F$5:$F$504,Q1717),0)),"")</f>
        <v/>
      </c>
      <c r="M1717" s="61" t="str">
        <f aca="false">IF(IsPro,IF($D1717="","",IF(AND(R1717&lt;&gt;"",INDEX(Parties!$E$5:$E$304,R1717)&lt;&gt;"",INDEX(Parties!$E$5:$E$304,R1717)&lt;&gt;HomeState),0,ROUND(K1717*L1717/2,2))),"")</f>
        <v/>
      </c>
      <c r="N1717" s="61" t="str">
        <f aca="false">IF(IsPro,IF($D1717="","",M1717),"")</f>
        <v/>
      </c>
      <c r="O1717" s="61" t="str">
        <f aca="false">IF(IsPro,IF($D1717="","",IF(AND(R1717&lt;&gt;"",INDEX(Parties!$E$5:$E$304,R1717)&lt;&gt;"",INDEX(Parties!$E$5:$E$304,R1717)&lt;&gt;HomeState),ROUND(K1717*L1717,2),0)),"")</f>
        <v/>
      </c>
      <c r="P1717" s="61" t="str">
        <f aca="false">IF(IsPro,IF($D1717="","",K1717+M1717+N1717+O1717),"")</f>
        <v/>
      </c>
      <c r="Q1717" s="60" t="str">
        <f aca="false">IF(IsPro,IF($D1717="","",IFERROR(MATCH($D1717,Items!$A$5:$A$504,0),"")),"")</f>
        <v/>
      </c>
      <c r="R1717" s="60" t="str">
        <f aca="false">IF(IsPro,IF($C1717="","",IFERROR(MATCH($C1717,Parties!$A$5:$A$304,0),"")),"")</f>
        <v/>
      </c>
      <c r="S1717" s="61" t="str">
        <f aca="false">IF(IsPro,IF($D1717="","",IF(OR($H1717="",$H1717="Credit"),0,P1717)),"")</f>
        <v/>
      </c>
    </row>
    <row r="1718" customFormat="false" ht="15" hidden="false" customHeight="false" outlineLevel="0" collapsed="false">
      <c r="A1718" s="55"/>
      <c r="B1718" s="56"/>
      <c r="C1718" s="56"/>
      <c r="D1718" s="56"/>
      <c r="E1718" s="57"/>
      <c r="F1718" s="58"/>
      <c r="G1718" s="59"/>
      <c r="H1718" s="56"/>
      <c r="I1718" s="60" t="str">
        <f aca="false">IF(IsPro,IF($D1718="","",IFERROR(INDEX(Items!$D$5:$D$504,Q1718),"")),IF($D1718="","","PRO PLAN"))</f>
        <v/>
      </c>
      <c r="J1718" s="61" t="str">
        <f aca="false">IF(IsPro,IF($D1718="","",IF($F1718="",IFERROR(INDEX(Items!$G$5:$G$504,Q1718),0),$F1718)),"")</f>
        <v/>
      </c>
      <c r="K1718" s="61" t="str">
        <f aca="false">IF(IsPro,IF($D1718="","",ROUND(N($E1718)*J1718*(1-N($G1718)),2)),"")</f>
        <v/>
      </c>
      <c r="L1718" s="62" t="str">
        <f aca="false">IF(IsPro,IF($D1718="","",IFERROR(INDEX(Items!$F$5:$F$504,Q1718),0)),"")</f>
        <v/>
      </c>
      <c r="M1718" s="61" t="str">
        <f aca="false">IF(IsPro,IF($D1718="","",IF(AND(R1718&lt;&gt;"",INDEX(Parties!$E$5:$E$304,R1718)&lt;&gt;"",INDEX(Parties!$E$5:$E$304,R1718)&lt;&gt;HomeState),0,ROUND(K1718*L1718/2,2))),"")</f>
        <v/>
      </c>
      <c r="N1718" s="61" t="str">
        <f aca="false">IF(IsPro,IF($D1718="","",M1718),"")</f>
        <v/>
      </c>
      <c r="O1718" s="61" t="str">
        <f aca="false">IF(IsPro,IF($D1718="","",IF(AND(R1718&lt;&gt;"",INDEX(Parties!$E$5:$E$304,R1718)&lt;&gt;"",INDEX(Parties!$E$5:$E$304,R1718)&lt;&gt;HomeState),ROUND(K1718*L1718,2),0)),"")</f>
        <v/>
      </c>
      <c r="P1718" s="61" t="str">
        <f aca="false">IF(IsPro,IF($D1718="","",K1718+M1718+N1718+O1718),"")</f>
        <v/>
      </c>
      <c r="Q1718" s="60" t="str">
        <f aca="false">IF(IsPro,IF($D1718="","",IFERROR(MATCH($D1718,Items!$A$5:$A$504,0),"")),"")</f>
        <v/>
      </c>
      <c r="R1718" s="60" t="str">
        <f aca="false">IF(IsPro,IF($C1718="","",IFERROR(MATCH($C1718,Parties!$A$5:$A$304,0),"")),"")</f>
        <v/>
      </c>
      <c r="S1718" s="61" t="str">
        <f aca="false">IF(IsPro,IF($D1718="","",IF(OR($H1718="",$H1718="Credit"),0,P1718)),"")</f>
        <v/>
      </c>
    </row>
    <row r="1719" customFormat="false" ht="15" hidden="false" customHeight="false" outlineLevel="0" collapsed="false">
      <c r="A1719" s="55"/>
      <c r="B1719" s="56"/>
      <c r="C1719" s="56"/>
      <c r="D1719" s="56"/>
      <c r="E1719" s="57"/>
      <c r="F1719" s="58"/>
      <c r="G1719" s="59"/>
      <c r="H1719" s="56"/>
      <c r="I1719" s="60" t="str">
        <f aca="false">IF(IsPro,IF($D1719="","",IFERROR(INDEX(Items!$D$5:$D$504,Q1719),"")),IF($D1719="","","PRO PLAN"))</f>
        <v/>
      </c>
      <c r="J1719" s="61" t="str">
        <f aca="false">IF(IsPro,IF($D1719="","",IF($F1719="",IFERROR(INDEX(Items!$G$5:$G$504,Q1719),0),$F1719)),"")</f>
        <v/>
      </c>
      <c r="K1719" s="61" t="str">
        <f aca="false">IF(IsPro,IF($D1719="","",ROUND(N($E1719)*J1719*(1-N($G1719)),2)),"")</f>
        <v/>
      </c>
      <c r="L1719" s="62" t="str">
        <f aca="false">IF(IsPro,IF($D1719="","",IFERROR(INDEX(Items!$F$5:$F$504,Q1719),0)),"")</f>
        <v/>
      </c>
      <c r="M1719" s="61" t="str">
        <f aca="false">IF(IsPro,IF($D1719="","",IF(AND(R1719&lt;&gt;"",INDEX(Parties!$E$5:$E$304,R1719)&lt;&gt;"",INDEX(Parties!$E$5:$E$304,R1719)&lt;&gt;HomeState),0,ROUND(K1719*L1719/2,2))),"")</f>
        <v/>
      </c>
      <c r="N1719" s="61" t="str">
        <f aca="false">IF(IsPro,IF($D1719="","",M1719),"")</f>
        <v/>
      </c>
      <c r="O1719" s="61" t="str">
        <f aca="false">IF(IsPro,IF($D1719="","",IF(AND(R1719&lt;&gt;"",INDEX(Parties!$E$5:$E$304,R1719)&lt;&gt;"",INDEX(Parties!$E$5:$E$304,R1719)&lt;&gt;HomeState),ROUND(K1719*L1719,2),0)),"")</f>
        <v/>
      </c>
      <c r="P1719" s="61" t="str">
        <f aca="false">IF(IsPro,IF($D1719="","",K1719+M1719+N1719+O1719),"")</f>
        <v/>
      </c>
      <c r="Q1719" s="60" t="str">
        <f aca="false">IF(IsPro,IF($D1719="","",IFERROR(MATCH($D1719,Items!$A$5:$A$504,0),"")),"")</f>
        <v/>
      </c>
      <c r="R1719" s="60" t="str">
        <f aca="false">IF(IsPro,IF($C1719="","",IFERROR(MATCH($C1719,Parties!$A$5:$A$304,0),"")),"")</f>
        <v/>
      </c>
      <c r="S1719" s="61" t="str">
        <f aca="false">IF(IsPro,IF($D1719="","",IF(OR($H1719="",$H1719="Credit"),0,P1719)),"")</f>
        <v/>
      </c>
    </row>
    <row r="1720" customFormat="false" ht="15" hidden="false" customHeight="false" outlineLevel="0" collapsed="false">
      <c r="A1720" s="55"/>
      <c r="B1720" s="56"/>
      <c r="C1720" s="56"/>
      <c r="D1720" s="56"/>
      <c r="E1720" s="57"/>
      <c r="F1720" s="58"/>
      <c r="G1720" s="59"/>
      <c r="H1720" s="56"/>
      <c r="I1720" s="60" t="str">
        <f aca="false">IF(IsPro,IF($D1720="","",IFERROR(INDEX(Items!$D$5:$D$504,Q1720),"")),IF($D1720="","","PRO PLAN"))</f>
        <v/>
      </c>
      <c r="J1720" s="61" t="str">
        <f aca="false">IF(IsPro,IF($D1720="","",IF($F1720="",IFERROR(INDEX(Items!$G$5:$G$504,Q1720),0),$F1720)),"")</f>
        <v/>
      </c>
      <c r="K1720" s="61" t="str">
        <f aca="false">IF(IsPro,IF($D1720="","",ROUND(N($E1720)*J1720*(1-N($G1720)),2)),"")</f>
        <v/>
      </c>
      <c r="L1720" s="62" t="str">
        <f aca="false">IF(IsPro,IF($D1720="","",IFERROR(INDEX(Items!$F$5:$F$504,Q1720),0)),"")</f>
        <v/>
      </c>
      <c r="M1720" s="61" t="str">
        <f aca="false">IF(IsPro,IF($D1720="","",IF(AND(R1720&lt;&gt;"",INDEX(Parties!$E$5:$E$304,R1720)&lt;&gt;"",INDEX(Parties!$E$5:$E$304,R1720)&lt;&gt;HomeState),0,ROUND(K1720*L1720/2,2))),"")</f>
        <v/>
      </c>
      <c r="N1720" s="61" t="str">
        <f aca="false">IF(IsPro,IF($D1720="","",M1720),"")</f>
        <v/>
      </c>
      <c r="O1720" s="61" t="str">
        <f aca="false">IF(IsPro,IF($D1720="","",IF(AND(R1720&lt;&gt;"",INDEX(Parties!$E$5:$E$304,R1720)&lt;&gt;"",INDEX(Parties!$E$5:$E$304,R1720)&lt;&gt;HomeState),ROUND(K1720*L1720,2),0)),"")</f>
        <v/>
      </c>
      <c r="P1720" s="61" t="str">
        <f aca="false">IF(IsPro,IF($D1720="","",K1720+M1720+N1720+O1720),"")</f>
        <v/>
      </c>
      <c r="Q1720" s="60" t="str">
        <f aca="false">IF(IsPro,IF($D1720="","",IFERROR(MATCH($D1720,Items!$A$5:$A$504,0),"")),"")</f>
        <v/>
      </c>
      <c r="R1720" s="60" t="str">
        <f aca="false">IF(IsPro,IF($C1720="","",IFERROR(MATCH($C1720,Parties!$A$5:$A$304,0),"")),"")</f>
        <v/>
      </c>
      <c r="S1720" s="61" t="str">
        <f aca="false">IF(IsPro,IF($D1720="","",IF(OR($H1720="",$H1720="Credit"),0,P1720)),"")</f>
        <v/>
      </c>
    </row>
    <row r="1721" customFormat="false" ht="15" hidden="false" customHeight="false" outlineLevel="0" collapsed="false">
      <c r="A1721" s="55"/>
      <c r="B1721" s="56"/>
      <c r="C1721" s="56"/>
      <c r="D1721" s="56"/>
      <c r="E1721" s="57"/>
      <c r="F1721" s="58"/>
      <c r="G1721" s="59"/>
      <c r="H1721" s="56"/>
      <c r="I1721" s="60" t="str">
        <f aca="false">IF(IsPro,IF($D1721="","",IFERROR(INDEX(Items!$D$5:$D$504,Q1721),"")),IF($D1721="","","PRO PLAN"))</f>
        <v/>
      </c>
      <c r="J1721" s="61" t="str">
        <f aca="false">IF(IsPro,IF($D1721="","",IF($F1721="",IFERROR(INDEX(Items!$G$5:$G$504,Q1721),0),$F1721)),"")</f>
        <v/>
      </c>
      <c r="K1721" s="61" t="str">
        <f aca="false">IF(IsPro,IF($D1721="","",ROUND(N($E1721)*J1721*(1-N($G1721)),2)),"")</f>
        <v/>
      </c>
      <c r="L1721" s="62" t="str">
        <f aca="false">IF(IsPro,IF($D1721="","",IFERROR(INDEX(Items!$F$5:$F$504,Q1721),0)),"")</f>
        <v/>
      </c>
      <c r="M1721" s="61" t="str">
        <f aca="false">IF(IsPro,IF($D1721="","",IF(AND(R1721&lt;&gt;"",INDEX(Parties!$E$5:$E$304,R1721)&lt;&gt;"",INDEX(Parties!$E$5:$E$304,R1721)&lt;&gt;HomeState),0,ROUND(K1721*L1721/2,2))),"")</f>
        <v/>
      </c>
      <c r="N1721" s="61" t="str">
        <f aca="false">IF(IsPro,IF($D1721="","",M1721),"")</f>
        <v/>
      </c>
      <c r="O1721" s="61" t="str">
        <f aca="false">IF(IsPro,IF($D1721="","",IF(AND(R1721&lt;&gt;"",INDEX(Parties!$E$5:$E$304,R1721)&lt;&gt;"",INDEX(Parties!$E$5:$E$304,R1721)&lt;&gt;HomeState),ROUND(K1721*L1721,2),0)),"")</f>
        <v/>
      </c>
      <c r="P1721" s="61" t="str">
        <f aca="false">IF(IsPro,IF($D1721="","",K1721+M1721+N1721+O1721),"")</f>
        <v/>
      </c>
      <c r="Q1721" s="60" t="str">
        <f aca="false">IF(IsPro,IF($D1721="","",IFERROR(MATCH($D1721,Items!$A$5:$A$504,0),"")),"")</f>
        <v/>
      </c>
      <c r="R1721" s="60" t="str">
        <f aca="false">IF(IsPro,IF($C1721="","",IFERROR(MATCH($C1721,Parties!$A$5:$A$304,0),"")),"")</f>
        <v/>
      </c>
      <c r="S1721" s="61" t="str">
        <f aca="false">IF(IsPro,IF($D1721="","",IF(OR($H1721="",$H1721="Credit"),0,P1721)),"")</f>
        <v/>
      </c>
    </row>
    <row r="1722" customFormat="false" ht="15" hidden="false" customHeight="false" outlineLevel="0" collapsed="false">
      <c r="A1722" s="55"/>
      <c r="B1722" s="56"/>
      <c r="C1722" s="56"/>
      <c r="D1722" s="56"/>
      <c r="E1722" s="57"/>
      <c r="F1722" s="58"/>
      <c r="G1722" s="59"/>
      <c r="H1722" s="56"/>
      <c r="I1722" s="60" t="str">
        <f aca="false">IF(IsPro,IF($D1722="","",IFERROR(INDEX(Items!$D$5:$D$504,Q1722),"")),IF($D1722="","","PRO PLAN"))</f>
        <v/>
      </c>
      <c r="J1722" s="61" t="str">
        <f aca="false">IF(IsPro,IF($D1722="","",IF($F1722="",IFERROR(INDEX(Items!$G$5:$G$504,Q1722),0),$F1722)),"")</f>
        <v/>
      </c>
      <c r="K1722" s="61" t="str">
        <f aca="false">IF(IsPro,IF($D1722="","",ROUND(N($E1722)*J1722*(1-N($G1722)),2)),"")</f>
        <v/>
      </c>
      <c r="L1722" s="62" t="str">
        <f aca="false">IF(IsPro,IF($D1722="","",IFERROR(INDEX(Items!$F$5:$F$504,Q1722),0)),"")</f>
        <v/>
      </c>
      <c r="M1722" s="61" t="str">
        <f aca="false">IF(IsPro,IF($D1722="","",IF(AND(R1722&lt;&gt;"",INDEX(Parties!$E$5:$E$304,R1722)&lt;&gt;"",INDEX(Parties!$E$5:$E$304,R1722)&lt;&gt;HomeState),0,ROUND(K1722*L1722/2,2))),"")</f>
        <v/>
      </c>
      <c r="N1722" s="61" t="str">
        <f aca="false">IF(IsPro,IF($D1722="","",M1722),"")</f>
        <v/>
      </c>
      <c r="O1722" s="61" t="str">
        <f aca="false">IF(IsPro,IF($D1722="","",IF(AND(R1722&lt;&gt;"",INDEX(Parties!$E$5:$E$304,R1722)&lt;&gt;"",INDEX(Parties!$E$5:$E$304,R1722)&lt;&gt;HomeState),ROUND(K1722*L1722,2),0)),"")</f>
        <v/>
      </c>
      <c r="P1722" s="61" t="str">
        <f aca="false">IF(IsPro,IF($D1722="","",K1722+M1722+N1722+O1722),"")</f>
        <v/>
      </c>
      <c r="Q1722" s="60" t="str">
        <f aca="false">IF(IsPro,IF($D1722="","",IFERROR(MATCH($D1722,Items!$A$5:$A$504,0),"")),"")</f>
        <v/>
      </c>
      <c r="R1722" s="60" t="str">
        <f aca="false">IF(IsPro,IF($C1722="","",IFERROR(MATCH($C1722,Parties!$A$5:$A$304,0),"")),"")</f>
        <v/>
      </c>
      <c r="S1722" s="61" t="str">
        <f aca="false">IF(IsPro,IF($D1722="","",IF(OR($H1722="",$H1722="Credit"),0,P1722)),"")</f>
        <v/>
      </c>
    </row>
    <row r="1723" customFormat="false" ht="15" hidden="false" customHeight="false" outlineLevel="0" collapsed="false">
      <c r="A1723" s="55"/>
      <c r="B1723" s="56"/>
      <c r="C1723" s="56"/>
      <c r="D1723" s="56"/>
      <c r="E1723" s="57"/>
      <c r="F1723" s="58"/>
      <c r="G1723" s="59"/>
      <c r="H1723" s="56"/>
      <c r="I1723" s="60" t="str">
        <f aca="false">IF(IsPro,IF($D1723="","",IFERROR(INDEX(Items!$D$5:$D$504,Q1723),"")),IF($D1723="","","PRO PLAN"))</f>
        <v/>
      </c>
      <c r="J1723" s="61" t="str">
        <f aca="false">IF(IsPro,IF($D1723="","",IF($F1723="",IFERROR(INDEX(Items!$G$5:$G$504,Q1723),0),$F1723)),"")</f>
        <v/>
      </c>
      <c r="K1723" s="61" t="str">
        <f aca="false">IF(IsPro,IF($D1723="","",ROUND(N($E1723)*J1723*(1-N($G1723)),2)),"")</f>
        <v/>
      </c>
      <c r="L1723" s="62" t="str">
        <f aca="false">IF(IsPro,IF($D1723="","",IFERROR(INDEX(Items!$F$5:$F$504,Q1723),0)),"")</f>
        <v/>
      </c>
      <c r="M1723" s="61" t="str">
        <f aca="false">IF(IsPro,IF($D1723="","",IF(AND(R1723&lt;&gt;"",INDEX(Parties!$E$5:$E$304,R1723)&lt;&gt;"",INDEX(Parties!$E$5:$E$304,R1723)&lt;&gt;HomeState),0,ROUND(K1723*L1723/2,2))),"")</f>
        <v/>
      </c>
      <c r="N1723" s="61" t="str">
        <f aca="false">IF(IsPro,IF($D1723="","",M1723),"")</f>
        <v/>
      </c>
      <c r="O1723" s="61" t="str">
        <f aca="false">IF(IsPro,IF($D1723="","",IF(AND(R1723&lt;&gt;"",INDEX(Parties!$E$5:$E$304,R1723)&lt;&gt;"",INDEX(Parties!$E$5:$E$304,R1723)&lt;&gt;HomeState),ROUND(K1723*L1723,2),0)),"")</f>
        <v/>
      </c>
      <c r="P1723" s="61" t="str">
        <f aca="false">IF(IsPro,IF($D1723="","",K1723+M1723+N1723+O1723),"")</f>
        <v/>
      </c>
      <c r="Q1723" s="60" t="str">
        <f aca="false">IF(IsPro,IF($D1723="","",IFERROR(MATCH($D1723,Items!$A$5:$A$504,0),"")),"")</f>
        <v/>
      </c>
      <c r="R1723" s="60" t="str">
        <f aca="false">IF(IsPro,IF($C1723="","",IFERROR(MATCH($C1723,Parties!$A$5:$A$304,0),"")),"")</f>
        <v/>
      </c>
      <c r="S1723" s="61" t="str">
        <f aca="false">IF(IsPro,IF($D1723="","",IF(OR($H1723="",$H1723="Credit"),0,P1723)),"")</f>
        <v/>
      </c>
    </row>
    <row r="1724" customFormat="false" ht="15" hidden="false" customHeight="false" outlineLevel="0" collapsed="false">
      <c r="A1724" s="55"/>
      <c r="B1724" s="56"/>
      <c r="C1724" s="56"/>
      <c r="D1724" s="56"/>
      <c r="E1724" s="57"/>
      <c r="F1724" s="58"/>
      <c r="G1724" s="59"/>
      <c r="H1724" s="56"/>
      <c r="I1724" s="60" t="str">
        <f aca="false">IF(IsPro,IF($D1724="","",IFERROR(INDEX(Items!$D$5:$D$504,Q1724),"")),IF($D1724="","","PRO PLAN"))</f>
        <v/>
      </c>
      <c r="J1724" s="61" t="str">
        <f aca="false">IF(IsPro,IF($D1724="","",IF($F1724="",IFERROR(INDEX(Items!$G$5:$G$504,Q1724),0),$F1724)),"")</f>
        <v/>
      </c>
      <c r="K1724" s="61" t="str">
        <f aca="false">IF(IsPro,IF($D1724="","",ROUND(N($E1724)*J1724*(1-N($G1724)),2)),"")</f>
        <v/>
      </c>
      <c r="L1724" s="62" t="str">
        <f aca="false">IF(IsPro,IF($D1724="","",IFERROR(INDEX(Items!$F$5:$F$504,Q1724),0)),"")</f>
        <v/>
      </c>
      <c r="M1724" s="61" t="str">
        <f aca="false">IF(IsPro,IF($D1724="","",IF(AND(R1724&lt;&gt;"",INDEX(Parties!$E$5:$E$304,R1724)&lt;&gt;"",INDEX(Parties!$E$5:$E$304,R1724)&lt;&gt;HomeState),0,ROUND(K1724*L1724/2,2))),"")</f>
        <v/>
      </c>
      <c r="N1724" s="61" t="str">
        <f aca="false">IF(IsPro,IF($D1724="","",M1724),"")</f>
        <v/>
      </c>
      <c r="O1724" s="61" t="str">
        <f aca="false">IF(IsPro,IF($D1724="","",IF(AND(R1724&lt;&gt;"",INDEX(Parties!$E$5:$E$304,R1724)&lt;&gt;"",INDEX(Parties!$E$5:$E$304,R1724)&lt;&gt;HomeState),ROUND(K1724*L1724,2),0)),"")</f>
        <v/>
      </c>
      <c r="P1724" s="61" t="str">
        <f aca="false">IF(IsPro,IF($D1724="","",K1724+M1724+N1724+O1724),"")</f>
        <v/>
      </c>
      <c r="Q1724" s="60" t="str">
        <f aca="false">IF(IsPro,IF($D1724="","",IFERROR(MATCH($D1724,Items!$A$5:$A$504,0),"")),"")</f>
        <v/>
      </c>
      <c r="R1724" s="60" t="str">
        <f aca="false">IF(IsPro,IF($C1724="","",IFERROR(MATCH($C1724,Parties!$A$5:$A$304,0),"")),"")</f>
        <v/>
      </c>
      <c r="S1724" s="61" t="str">
        <f aca="false">IF(IsPro,IF($D1724="","",IF(OR($H1724="",$H1724="Credit"),0,P1724)),"")</f>
        <v/>
      </c>
    </row>
    <row r="1725" customFormat="false" ht="15" hidden="false" customHeight="false" outlineLevel="0" collapsed="false">
      <c r="A1725" s="55"/>
      <c r="B1725" s="56"/>
      <c r="C1725" s="56"/>
      <c r="D1725" s="56"/>
      <c r="E1725" s="57"/>
      <c r="F1725" s="58"/>
      <c r="G1725" s="59"/>
      <c r="H1725" s="56"/>
      <c r="I1725" s="60" t="str">
        <f aca="false">IF(IsPro,IF($D1725="","",IFERROR(INDEX(Items!$D$5:$D$504,Q1725),"")),IF($D1725="","","PRO PLAN"))</f>
        <v/>
      </c>
      <c r="J1725" s="61" t="str">
        <f aca="false">IF(IsPro,IF($D1725="","",IF($F1725="",IFERROR(INDEX(Items!$G$5:$G$504,Q1725),0),$F1725)),"")</f>
        <v/>
      </c>
      <c r="K1725" s="61" t="str">
        <f aca="false">IF(IsPro,IF($D1725="","",ROUND(N($E1725)*J1725*(1-N($G1725)),2)),"")</f>
        <v/>
      </c>
      <c r="L1725" s="62" t="str">
        <f aca="false">IF(IsPro,IF($D1725="","",IFERROR(INDEX(Items!$F$5:$F$504,Q1725),0)),"")</f>
        <v/>
      </c>
      <c r="M1725" s="61" t="str">
        <f aca="false">IF(IsPro,IF($D1725="","",IF(AND(R1725&lt;&gt;"",INDEX(Parties!$E$5:$E$304,R1725)&lt;&gt;"",INDEX(Parties!$E$5:$E$304,R1725)&lt;&gt;HomeState),0,ROUND(K1725*L1725/2,2))),"")</f>
        <v/>
      </c>
      <c r="N1725" s="61" t="str">
        <f aca="false">IF(IsPro,IF($D1725="","",M1725),"")</f>
        <v/>
      </c>
      <c r="O1725" s="61" t="str">
        <f aca="false">IF(IsPro,IF($D1725="","",IF(AND(R1725&lt;&gt;"",INDEX(Parties!$E$5:$E$304,R1725)&lt;&gt;"",INDEX(Parties!$E$5:$E$304,R1725)&lt;&gt;HomeState),ROUND(K1725*L1725,2),0)),"")</f>
        <v/>
      </c>
      <c r="P1725" s="61" t="str">
        <f aca="false">IF(IsPro,IF($D1725="","",K1725+M1725+N1725+O1725),"")</f>
        <v/>
      </c>
      <c r="Q1725" s="60" t="str">
        <f aca="false">IF(IsPro,IF($D1725="","",IFERROR(MATCH($D1725,Items!$A$5:$A$504,0),"")),"")</f>
        <v/>
      </c>
      <c r="R1725" s="60" t="str">
        <f aca="false">IF(IsPro,IF($C1725="","",IFERROR(MATCH($C1725,Parties!$A$5:$A$304,0),"")),"")</f>
        <v/>
      </c>
      <c r="S1725" s="61" t="str">
        <f aca="false">IF(IsPro,IF($D1725="","",IF(OR($H1725="",$H1725="Credit"),0,P1725)),"")</f>
        <v/>
      </c>
    </row>
    <row r="1726" customFormat="false" ht="15" hidden="false" customHeight="false" outlineLevel="0" collapsed="false">
      <c r="A1726" s="55"/>
      <c r="B1726" s="56"/>
      <c r="C1726" s="56"/>
      <c r="D1726" s="56"/>
      <c r="E1726" s="57"/>
      <c r="F1726" s="58"/>
      <c r="G1726" s="59"/>
      <c r="H1726" s="56"/>
      <c r="I1726" s="60" t="str">
        <f aca="false">IF(IsPro,IF($D1726="","",IFERROR(INDEX(Items!$D$5:$D$504,Q1726),"")),IF($D1726="","","PRO PLAN"))</f>
        <v/>
      </c>
      <c r="J1726" s="61" t="str">
        <f aca="false">IF(IsPro,IF($D1726="","",IF($F1726="",IFERROR(INDEX(Items!$G$5:$G$504,Q1726),0),$F1726)),"")</f>
        <v/>
      </c>
      <c r="K1726" s="61" t="str">
        <f aca="false">IF(IsPro,IF($D1726="","",ROUND(N($E1726)*J1726*(1-N($G1726)),2)),"")</f>
        <v/>
      </c>
      <c r="L1726" s="62" t="str">
        <f aca="false">IF(IsPro,IF($D1726="","",IFERROR(INDEX(Items!$F$5:$F$504,Q1726),0)),"")</f>
        <v/>
      </c>
      <c r="M1726" s="61" t="str">
        <f aca="false">IF(IsPro,IF($D1726="","",IF(AND(R1726&lt;&gt;"",INDEX(Parties!$E$5:$E$304,R1726)&lt;&gt;"",INDEX(Parties!$E$5:$E$304,R1726)&lt;&gt;HomeState),0,ROUND(K1726*L1726/2,2))),"")</f>
        <v/>
      </c>
      <c r="N1726" s="61" t="str">
        <f aca="false">IF(IsPro,IF($D1726="","",M1726),"")</f>
        <v/>
      </c>
      <c r="O1726" s="61" t="str">
        <f aca="false">IF(IsPro,IF($D1726="","",IF(AND(R1726&lt;&gt;"",INDEX(Parties!$E$5:$E$304,R1726)&lt;&gt;"",INDEX(Parties!$E$5:$E$304,R1726)&lt;&gt;HomeState),ROUND(K1726*L1726,2),0)),"")</f>
        <v/>
      </c>
      <c r="P1726" s="61" t="str">
        <f aca="false">IF(IsPro,IF($D1726="","",K1726+M1726+N1726+O1726),"")</f>
        <v/>
      </c>
      <c r="Q1726" s="60" t="str">
        <f aca="false">IF(IsPro,IF($D1726="","",IFERROR(MATCH($D1726,Items!$A$5:$A$504,0),"")),"")</f>
        <v/>
      </c>
      <c r="R1726" s="60" t="str">
        <f aca="false">IF(IsPro,IF($C1726="","",IFERROR(MATCH($C1726,Parties!$A$5:$A$304,0),"")),"")</f>
        <v/>
      </c>
      <c r="S1726" s="61" t="str">
        <f aca="false">IF(IsPro,IF($D1726="","",IF(OR($H1726="",$H1726="Credit"),0,P1726)),"")</f>
        <v/>
      </c>
    </row>
    <row r="1727" customFormat="false" ht="15" hidden="false" customHeight="false" outlineLevel="0" collapsed="false">
      <c r="A1727" s="55"/>
      <c r="B1727" s="56"/>
      <c r="C1727" s="56"/>
      <c r="D1727" s="56"/>
      <c r="E1727" s="57"/>
      <c r="F1727" s="58"/>
      <c r="G1727" s="59"/>
      <c r="H1727" s="56"/>
      <c r="I1727" s="60" t="str">
        <f aca="false">IF(IsPro,IF($D1727="","",IFERROR(INDEX(Items!$D$5:$D$504,Q1727),"")),IF($D1727="","","PRO PLAN"))</f>
        <v/>
      </c>
      <c r="J1727" s="61" t="str">
        <f aca="false">IF(IsPro,IF($D1727="","",IF($F1727="",IFERROR(INDEX(Items!$G$5:$G$504,Q1727),0),$F1727)),"")</f>
        <v/>
      </c>
      <c r="K1727" s="61" t="str">
        <f aca="false">IF(IsPro,IF($D1727="","",ROUND(N($E1727)*J1727*(1-N($G1727)),2)),"")</f>
        <v/>
      </c>
      <c r="L1727" s="62" t="str">
        <f aca="false">IF(IsPro,IF($D1727="","",IFERROR(INDEX(Items!$F$5:$F$504,Q1727),0)),"")</f>
        <v/>
      </c>
      <c r="M1727" s="61" t="str">
        <f aca="false">IF(IsPro,IF($D1727="","",IF(AND(R1727&lt;&gt;"",INDEX(Parties!$E$5:$E$304,R1727)&lt;&gt;"",INDEX(Parties!$E$5:$E$304,R1727)&lt;&gt;HomeState),0,ROUND(K1727*L1727/2,2))),"")</f>
        <v/>
      </c>
      <c r="N1727" s="61" t="str">
        <f aca="false">IF(IsPro,IF($D1727="","",M1727),"")</f>
        <v/>
      </c>
      <c r="O1727" s="61" t="str">
        <f aca="false">IF(IsPro,IF($D1727="","",IF(AND(R1727&lt;&gt;"",INDEX(Parties!$E$5:$E$304,R1727)&lt;&gt;"",INDEX(Parties!$E$5:$E$304,R1727)&lt;&gt;HomeState),ROUND(K1727*L1727,2),0)),"")</f>
        <v/>
      </c>
      <c r="P1727" s="61" t="str">
        <f aca="false">IF(IsPro,IF($D1727="","",K1727+M1727+N1727+O1727),"")</f>
        <v/>
      </c>
      <c r="Q1727" s="60" t="str">
        <f aca="false">IF(IsPro,IF($D1727="","",IFERROR(MATCH($D1727,Items!$A$5:$A$504,0),"")),"")</f>
        <v/>
      </c>
      <c r="R1727" s="60" t="str">
        <f aca="false">IF(IsPro,IF($C1727="","",IFERROR(MATCH($C1727,Parties!$A$5:$A$304,0),"")),"")</f>
        <v/>
      </c>
      <c r="S1727" s="61" t="str">
        <f aca="false">IF(IsPro,IF($D1727="","",IF(OR($H1727="",$H1727="Credit"),0,P1727)),"")</f>
        <v/>
      </c>
    </row>
    <row r="1728" customFormat="false" ht="15" hidden="false" customHeight="false" outlineLevel="0" collapsed="false">
      <c r="A1728" s="55"/>
      <c r="B1728" s="56"/>
      <c r="C1728" s="56"/>
      <c r="D1728" s="56"/>
      <c r="E1728" s="57"/>
      <c r="F1728" s="58"/>
      <c r="G1728" s="59"/>
      <c r="H1728" s="56"/>
      <c r="I1728" s="60" t="str">
        <f aca="false">IF(IsPro,IF($D1728="","",IFERROR(INDEX(Items!$D$5:$D$504,Q1728),"")),IF($D1728="","","PRO PLAN"))</f>
        <v/>
      </c>
      <c r="J1728" s="61" t="str">
        <f aca="false">IF(IsPro,IF($D1728="","",IF($F1728="",IFERROR(INDEX(Items!$G$5:$G$504,Q1728),0),$F1728)),"")</f>
        <v/>
      </c>
      <c r="K1728" s="61" t="str">
        <f aca="false">IF(IsPro,IF($D1728="","",ROUND(N($E1728)*J1728*(1-N($G1728)),2)),"")</f>
        <v/>
      </c>
      <c r="L1728" s="62" t="str">
        <f aca="false">IF(IsPro,IF($D1728="","",IFERROR(INDEX(Items!$F$5:$F$504,Q1728),0)),"")</f>
        <v/>
      </c>
      <c r="M1728" s="61" t="str">
        <f aca="false">IF(IsPro,IF($D1728="","",IF(AND(R1728&lt;&gt;"",INDEX(Parties!$E$5:$E$304,R1728)&lt;&gt;"",INDEX(Parties!$E$5:$E$304,R1728)&lt;&gt;HomeState),0,ROUND(K1728*L1728/2,2))),"")</f>
        <v/>
      </c>
      <c r="N1728" s="61" t="str">
        <f aca="false">IF(IsPro,IF($D1728="","",M1728),"")</f>
        <v/>
      </c>
      <c r="O1728" s="61" t="str">
        <f aca="false">IF(IsPro,IF($D1728="","",IF(AND(R1728&lt;&gt;"",INDEX(Parties!$E$5:$E$304,R1728)&lt;&gt;"",INDEX(Parties!$E$5:$E$304,R1728)&lt;&gt;HomeState),ROUND(K1728*L1728,2),0)),"")</f>
        <v/>
      </c>
      <c r="P1728" s="61" t="str">
        <f aca="false">IF(IsPro,IF($D1728="","",K1728+M1728+N1728+O1728),"")</f>
        <v/>
      </c>
      <c r="Q1728" s="60" t="str">
        <f aca="false">IF(IsPro,IF($D1728="","",IFERROR(MATCH($D1728,Items!$A$5:$A$504,0),"")),"")</f>
        <v/>
      </c>
      <c r="R1728" s="60" t="str">
        <f aca="false">IF(IsPro,IF($C1728="","",IFERROR(MATCH($C1728,Parties!$A$5:$A$304,0),"")),"")</f>
        <v/>
      </c>
      <c r="S1728" s="61" t="str">
        <f aca="false">IF(IsPro,IF($D1728="","",IF(OR($H1728="",$H1728="Credit"),0,P1728)),"")</f>
        <v/>
      </c>
    </row>
    <row r="1729" customFormat="false" ht="15" hidden="false" customHeight="false" outlineLevel="0" collapsed="false">
      <c r="A1729" s="55"/>
      <c r="B1729" s="56"/>
      <c r="C1729" s="56"/>
      <c r="D1729" s="56"/>
      <c r="E1729" s="57"/>
      <c r="F1729" s="58"/>
      <c r="G1729" s="59"/>
      <c r="H1729" s="56"/>
      <c r="I1729" s="60" t="str">
        <f aca="false">IF(IsPro,IF($D1729="","",IFERROR(INDEX(Items!$D$5:$D$504,Q1729),"")),IF($D1729="","","PRO PLAN"))</f>
        <v/>
      </c>
      <c r="J1729" s="61" t="str">
        <f aca="false">IF(IsPro,IF($D1729="","",IF($F1729="",IFERROR(INDEX(Items!$G$5:$G$504,Q1729),0),$F1729)),"")</f>
        <v/>
      </c>
      <c r="K1729" s="61" t="str">
        <f aca="false">IF(IsPro,IF($D1729="","",ROUND(N($E1729)*J1729*(1-N($G1729)),2)),"")</f>
        <v/>
      </c>
      <c r="L1729" s="62" t="str">
        <f aca="false">IF(IsPro,IF($D1729="","",IFERROR(INDEX(Items!$F$5:$F$504,Q1729),0)),"")</f>
        <v/>
      </c>
      <c r="M1729" s="61" t="str">
        <f aca="false">IF(IsPro,IF($D1729="","",IF(AND(R1729&lt;&gt;"",INDEX(Parties!$E$5:$E$304,R1729)&lt;&gt;"",INDEX(Parties!$E$5:$E$304,R1729)&lt;&gt;HomeState),0,ROUND(K1729*L1729/2,2))),"")</f>
        <v/>
      </c>
      <c r="N1729" s="61" t="str">
        <f aca="false">IF(IsPro,IF($D1729="","",M1729),"")</f>
        <v/>
      </c>
      <c r="O1729" s="61" t="str">
        <f aca="false">IF(IsPro,IF($D1729="","",IF(AND(R1729&lt;&gt;"",INDEX(Parties!$E$5:$E$304,R1729)&lt;&gt;"",INDEX(Parties!$E$5:$E$304,R1729)&lt;&gt;HomeState),ROUND(K1729*L1729,2),0)),"")</f>
        <v/>
      </c>
      <c r="P1729" s="61" t="str">
        <f aca="false">IF(IsPro,IF($D1729="","",K1729+M1729+N1729+O1729),"")</f>
        <v/>
      </c>
      <c r="Q1729" s="60" t="str">
        <f aca="false">IF(IsPro,IF($D1729="","",IFERROR(MATCH($D1729,Items!$A$5:$A$504,0),"")),"")</f>
        <v/>
      </c>
      <c r="R1729" s="60" t="str">
        <f aca="false">IF(IsPro,IF($C1729="","",IFERROR(MATCH($C1729,Parties!$A$5:$A$304,0),"")),"")</f>
        <v/>
      </c>
      <c r="S1729" s="61" t="str">
        <f aca="false">IF(IsPro,IF($D1729="","",IF(OR($H1729="",$H1729="Credit"),0,P1729)),"")</f>
        <v/>
      </c>
    </row>
    <row r="1730" customFormat="false" ht="15" hidden="false" customHeight="false" outlineLevel="0" collapsed="false">
      <c r="A1730" s="55"/>
      <c r="B1730" s="56"/>
      <c r="C1730" s="56"/>
      <c r="D1730" s="56"/>
      <c r="E1730" s="57"/>
      <c r="F1730" s="58"/>
      <c r="G1730" s="59"/>
      <c r="H1730" s="56"/>
      <c r="I1730" s="60" t="str">
        <f aca="false">IF(IsPro,IF($D1730="","",IFERROR(INDEX(Items!$D$5:$D$504,Q1730),"")),IF($D1730="","","PRO PLAN"))</f>
        <v/>
      </c>
      <c r="J1730" s="61" t="str">
        <f aca="false">IF(IsPro,IF($D1730="","",IF($F1730="",IFERROR(INDEX(Items!$G$5:$G$504,Q1730),0),$F1730)),"")</f>
        <v/>
      </c>
      <c r="K1730" s="61" t="str">
        <f aca="false">IF(IsPro,IF($D1730="","",ROUND(N($E1730)*J1730*(1-N($G1730)),2)),"")</f>
        <v/>
      </c>
      <c r="L1730" s="62" t="str">
        <f aca="false">IF(IsPro,IF($D1730="","",IFERROR(INDEX(Items!$F$5:$F$504,Q1730),0)),"")</f>
        <v/>
      </c>
      <c r="M1730" s="61" t="str">
        <f aca="false">IF(IsPro,IF($D1730="","",IF(AND(R1730&lt;&gt;"",INDEX(Parties!$E$5:$E$304,R1730)&lt;&gt;"",INDEX(Parties!$E$5:$E$304,R1730)&lt;&gt;HomeState),0,ROUND(K1730*L1730/2,2))),"")</f>
        <v/>
      </c>
      <c r="N1730" s="61" t="str">
        <f aca="false">IF(IsPro,IF($D1730="","",M1730),"")</f>
        <v/>
      </c>
      <c r="O1730" s="61" t="str">
        <f aca="false">IF(IsPro,IF($D1730="","",IF(AND(R1730&lt;&gt;"",INDEX(Parties!$E$5:$E$304,R1730)&lt;&gt;"",INDEX(Parties!$E$5:$E$304,R1730)&lt;&gt;HomeState),ROUND(K1730*L1730,2),0)),"")</f>
        <v/>
      </c>
      <c r="P1730" s="61" t="str">
        <f aca="false">IF(IsPro,IF($D1730="","",K1730+M1730+N1730+O1730),"")</f>
        <v/>
      </c>
      <c r="Q1730" s="60" t="str">
        <f aca="false">IF(IsPro,IF($D1730="","",IFERROR(MATCH($D1730,Items!$A$5:$A$504,0),"")),"")</f>
        <v/>
      </c>
      <c r="R1730" s="60" t="str">
        <f aca="false">IF(IsPro,IF($C1730="","",IFERROR(MATCH($C1730,Parties!$A$5:$A$304,0),"")),"")</f>
        <v/>
      </c>
      <c r="S1730" s="61" t="str">
        <f aca="false">IF(IsPro,IF($D1730="","",IF(OR($H1730="",$H1730="Credit"),0,P1730)),"")</f>
        <v/>
      </c>
    </row>
    <row r="1731" customFormat="false" ht="15" hidden="false" customHeight="false" outlineLevel="0" collapsed="false">
      <c r="A1731" s="55"/>
      <c r="B1731" s="56"/>
      <c r="C1731" s="56"/>
      <c r="D1731" s="56"/>
      <c r="E1731" s="57"/>
      <c r="F1731" s="58"/>
      <c r="G1731" s="59"/>
      <c r="H1731" s="56"/>
      <c r="I1731" s="60" t="str">
        <f aca="false">IF(IsPro,IF($D1731="","",IFERROR(INDEX(Items!$D$5:$D$504,Q1731),"")),IF($D1731="","","PRO PLAN"))</f>
        <v/>
      </c>
      <c r="J1731" s="61" t="str">
        <f aca="false">IF(IsPro,IF($D1731="","",IF($F1731="",IFERROR(INDEX(Items!$G$5:$G$504,Q1731),0),$F1731)),"")</f>
        <v/>
      </c>
      <c r="K1731" s="61" t="str">
        <f aca="false">IF(IsPro,IF($D1731="","",ROUND(N($E1731)*J1731*(1-N($G1731)),2)),"")</f>
        <v/>
      </c>
      <c r="L1731" s="62" t="str">
        <f aca="false">IF(IsPro,IF($D1731="","",IFERROR(INDEX(Items!$F$5:$F$504,Q1731),0)),"")</f>
        <v/>
      </c>
      <c r="M1731" s="61" t="str">
        <f aca="false">IF(IsPro,IF($D1731="","",IF(AND(R1731&lt;&gt;"",INDEX(Parties!$E$5:$E$304,R1731)&lt;&gt;"",INDEX(Parties!$E$5:$E$304,R1731)&lt;&gt;HomeState),0,ROUND(K1731*L1731/2,2))),"")</f>
        <v/>
      </c>
      <c r="N1731" s="61" t="str">
        <f aca="false">IF(IsPro,IF($D1731="","",M1731),"")</f>
        <v/>
      </c>
      <c r="O1731" s="61" t="str">
        <f aca="false">IF(IsPro,IF($D1731="","",IF(AND(R1731&lt;&gt;"",INDEX(Parties!$E$5:$E$304,R1731)&lt;&gt;"",INDEX(Parties!$E$5:$E$304,R1731)&lt;&gt;HomeState),ROUND(K1731*L1731,2),0)),"")</f>
        <v/>
      </c>
      <c r="P1731" s="61" t="str">
        <f aca="false">IF(IsPro,IF($D1731="","",K1731+M1731+N1731+O1731),"")</f>
        <v/>
      </c>
      <c r="Q1731" s="60" t="str">
        <f aca="false">IF(IsPro,IF($D1731="","",IFERROR(MATCH($D1731,Items!$A$5:$A$504,0),"")),"")</f>
        <v/>
      </c>
      <c r="R1731" s="60" t="str">
        <f aca="false">IF(IsPro,IF($C1731="","",IFERROR(MATCH($C1731,Parties!$A$5:$A$304,0),"")),"")</f>
        <v/>
      </c>
      <c r="S1731" s="61" t="str">
        <f aca="false">IF(IsPro,IF($D1731="","",IF(OR($H1731="",$H1731="Credit"),0,P1731)),"")</f>
        <v/>
      </c>
    </row>
    <row r="1732" customFormat="false" ht="15" hidden="false" customHeight="false" outlineLevel="0" collapsed="false">
      <c r="A1732" s="55"/>
      <c r="B1732" s="56"/>
      <c r="C1732" s="56"/>
      <c r="D1732" s="56"/>
      <c r="E1732" s="57"/>
      <c r="F1732" s="58"/>
      <c r="G1732" s="59"/>
      <c r="H1732" s="56"/>
      <c r="I1732" s="60" t="str">
        <f aca="false">IF(IsPro,IF($D1732="","",IFERROR(INDEX(Items!$D$5:$D$504,Q1732),"")),IF($D1732="","","PRO PLAN"))</f>
        <v/>
      </c>
      <c r="J1732" s="61" t="str">
        <f aca="false">IF(IsPro,IF($D1732="","",IF($F1732="",IFERROR(INDEX(Items!$G$5:$G$504,Q1732),0),$F1732)),"")</f>
        <v/>
      </c>
      <c r="K1732" s="61" t="str">
        <f aca="false">IF(IsPro,IF($D1732="","",ROUND(N($E1732)*J1732*(1-N($G1732)),2)),"")</f>
        <v/>
      </c>
      <c r="L1732" s="62" t="str">
        <f aca="false">IF(IsPro,IF($D1732="","",IFERROR(INDEX(Items!$F$5:$F$504,Q1732),0)),"")</f>
        <v/>
      </c>
      <c r="M1732" s="61" t="str">
        <f aca="false">IF(IsPro,IF($D1732="","",IF(AND(R1732&lt;&gt;"",INDEX(Parties!$E$5:$E$304,R1732)&lt;&gt;"",INDEX(Parties!$E$5:$E$304,R1732)&lt;&gt;HomeState),0,ROUND(K1732*L1732/2,2))),"")</f>
        <v/>
      </c>
      <c r="N1732" s="61" t="str">
        <f aca="false">IF(IsPro,IF($D1732="","",M1732),"")</f>
        <v/>
      </c>
      <c r="O1732" s="61" t="str">
        <f aca="false">IF(IsPro,IF($D1732="","",IF(AND(R1732&lt;&gt;"",INDEX(Parties!$E$5:$E$304,R1732)&lt;&gt;"",INDEX(Parties!$E$5:$E$304,R1732)&lt;&gt;HomeState),ROUND(K1732*L1732,2),0)),"")</f>
        <v/>
      </c>
      <c r="P1732" s="61" t="str">
        <f aca="false">IF(IsPro,IF($D1732="","",K1732+M1732+N1732+O1732),"")</f>
        <v/>
      </c>
      <c r="Q1732" s="60" t="str">
        <f aca="false">IF(IsPro,IF($D1732="","",IFERROR(MATCH($D1732,Items!$A$5:$A$504,0),"")),"")</f>
        <v/>
      </c>
      <c r="R1732" s="60" t="str">
        <f aca="false">IF(IsPro,IF($C1732="","",IFERROR(MATCH($C1732,Parties!$A$5:$A$304,0),"")),"")</f>
        <v/>
      </c>
      <c r="S1732" s="61" t="str">
        <f aca="false">IF(IsPro,IF($D1732="","",IF(OR($H1732="",$H1732="Credit"),0,P1732)),"")</f>
        <v/>
      </c>
    </row>
    <row r="1733" customFormat="false" ht="15" hidden="false" customHeight="false" outlineLevel="0" collapsed="false">
      <c r="A1733" s="55"/>
      <c r="B1733" s="56"/>
      <c r="C1733" s="56"/>
      <c r="D1733" s="56"/>
      <c r="E1733" s="57"/>
      <c r="F1733" s="58"/>
      <c r="G1733" s="59"/>
      <c r="H1733" s="56"/>
      <c r="I1733" s="60" t="str">
        <f aca="false">IF(IsPro,IF($D1733="","",IFERROR(INDEX(Items!$D$5:$D$504,Q1733),"")),IF($D1733="","","PRO PLAN"))</f>
        <v/>
      </c>
      <c r="J1733" s="61" t="str">
        <f aca="false">IF(IsPro,IF($D1733="","",IF($F1733="",IFERROR(INDEX(Items!$G$5:$G$504,Q1733),0),$F1733)),"")</f>
        <v/>
      </c>
      <c r="K1733" s="61" t="str">
        <f aca="false">IF(IsPro,IF($D1733="","",ROUND(N($E1733)*J1733*(1-N($G1733)),2)),"")</f>
        <v/>
      </c>
      <c r="L1733" s="62" t="str">
        <f aca="false">IF(IsPro,IF($D1733="","",IFERROR(INDEX(Items!$F$5:$F$504,Q1733),0)),"")</f>
        <v/>
      </c>
      <c r="M1733" s="61" t="str">
        <f aca="false">IF(IsPro,IF($D1733="","",IF(AND(R1733&lt;&gt;"",INDEX(Parties!$E$5:$E$304,R1733)&lt;&gt;"",INDEX(Parties!$E$5:$E$304,R1733)&lt;&gt;HomeState),0,ROUND(K1733*L1733/2,2))),"")</f>
        <v/>
      </c>
      <c r="N1733" s="61" t="str">
        <f aca="false">IF(IsPro,IF($D1733="","",M1733),"")</f>
        <v/>
      </c>
      <c r="O1733" s="61" t="str">
        <f aca="false">IF(IsPro,IF($D1733="","",IF(AND(R1733&lt;&gt;"",INDEX(Parties!$E$5:$E$304,R1733)&lt;&gt;"",INDEX(Parties!$E$5:$E$304,R1733)&lt;&gt;HomeState),ROUND(K1733*L1733,2),0)),"")</f>
        <v/>
      </c>
      <c r="P1733" s="61" t="str">
        <f aca="false">IF(IsPro,IF($D1733="","",K1733+M1733+N1733+O1733),"")</f>
        <v/>
      </c>
      <c r="Q1733" s="60" t="str">
        <f aca="false">IF(IsPro,IF($D1733="","",IFERROR(MATCH($D1733,Items!$A$5:$A$504,0),"")),"")</f>
        <v/>
      </c>
      <c r="R1733" s="60" t="str">
        <f aca="false">IF(IsPro,IF($C1733="","",IFERROR(MATCH($C1733,Parties!$A$5:$A$304,0),"")),"")</f>
        <v/>
      </c>
      <c r="S1733" s="61" t="str">
        <f aca="false">IF(IsPro,IF($D1733="","",IF(OR($H1733="",$H1733="Credit"),0,P1733)),"")</f>
        <v/>
      </c>
    </row>
    <row r="1734" customFormat="false" ht="15" hidden="false" customHeight="false" outlineLevel="0" collapsed="false">
      <c r="A1734" s="55"/>
      <c r="B1734" s="56"/>
      <c r="C1734" s="56"/>
      <c r="D1734" s="56"/>
      <c r="E1734" s="57"/>
      <c r="F1734" s="58"/>
      <c r="G1734" s="59"/>
      <c r="H1734" s="56"/>
      <c r="I1734" s="60" t="str">
        <f aca="false">IF(IsPro,IF($D1734="","",IFERROR(INDEX(Items!$D$5:$D$504,Q1734),"")),IF($D1734="","","PRO PLAN"))</f>
        <v/>
      </c>
      <c r="J1734" s="61" t="str">
        <f aca="false">IF(IsPro,IF($D1734="","",IF($F1734="",IFERROR(INDEX(Items!$G$5:$G$504,Q1734),0),$F1734)),"")</f>
        <v/>
      </c>
      <c r="K1734" s="61" t="str">
        <f aca="false">IF(IsPro,IF($D1734="","",ROUND(N($E1734)*J1734*(1-N($G1734)),2)),"")</f>
        <v/>
      </c>
      <c r="L1734" s="62" t="str">
        <f aca="false">IF(IsPro,IF($D1734="","",IFERROR(INDEX(Items!$F$5:$F$504,Q1734),0)),"")</f>
        <v/>
      </c>
      <c r="M1734" s="61" t="str">
        <f aca="false">IF(IsPro,IF($D1734="","",IF(AND(R1734&lt;&gt;"",INDEX(Parties!$E$5:$E$304,R1734)&lt;&gt;"",INDEX(Parties!$E$5:$E$304,R1734)&lt;&gt;HomeState),0,ROUND(K1734*L1734/2,2))),"")</f>
        <v/>
      </c>
      <c r="N1734" s="61" t="str">
        <f aca="false">IF(IsPro,IF($D1734="","",M1734),"")</f>
        <v/>
      </c>
      <c r="O1734" s="61" t="str">
        <f aca="false">IF(IsPro,IF($D1734="","",IF(AND(R1734&lt;&gt;"",INDEX(Parties!$E$5:$E$304,R1734)&lt;&gt;"",INDEX(Parties!$E$5:$E$304,R1734)&lt;&gt;HomeState),ROUND(K1734*L1734,2),0)),"")</f>
        <v/>
      </c>
      <c r="P1734" s="61" t="str">
        <f aca="false">IF(IsPro,IF($D1734="","",K1734+M1734+N1734+O1734),"")</f>
        <v/>
      </c>
      <c r="Q1734" s="60" t="str">
        <f aca="false">IF(IsPro,IF($D1734="","",IFERROR(MATCH($D1734,Items!$A$5:$A$504,0),"")),"")</f>
        <v/>
      </c>
      <c r="R1734" s="60" t="str">
        <f aca="false">IF(IsPro,IF($C1734="","",IFERROR(MATCH($C1734,Parties!$A$5:$A$304,0),"")),"")</f>
        <v/>
      </c>
      <c r="S1734" s="61" t="str">
        <f aca="false">IF(IsPro,IF($D1734="","",IF(OR($H1734="",$H1734="Credit"),0,P1734)),"")</f>
        <v/>
      </c>
    </row>
    <row r="1735" customFormat="false" ht="15" hidden="false" customHeight="false" outlineLevel="0" collapsed="false">
      <c r="A1735" s="55"/>
      <c r="B1735" s="56"/>
      <c r="C1735" s="56"/>
      <c r="D1735" s="56"/>
      <c r="E1735" s="57"/>
      <c r="F1735" s="58"/>
      <c r="G1735" s="59"/>
      <c r="H1735" s="56"/>
      <c r="I1735" s="60" t="str">
        <f aca="false">IF(IsPro,IF($D1735="","",IFERROR(INDEX(Items!$D$5:$D$504,Q1735),"")),IF($D1735="","","PRO PLAN"))</f>
        <v/>
      </c>
      <c r="J1735" s="61" t="str">
        <f aca="false">IF(IsPro,IF($D1735="","",IF($F1735="",IFERROR(INDEX(Items!$G$5:$G$504,Q1735),0),$F1735)),"")</f>
        <v/>
      </c>
      <c r="K1735" s="61" t="str">
        <f aca="false">IF(IsPro,IF($D1735="","",ROUND(N($E1735)*J1735*(1-N($G1735)),2)),"")</f>
        <v/>
      </c>
      <c r="L1735" s="62" t="str">
        <f aca="false">IF(IsPro,IF($D1735="","",IFERROR(INDEX(Items!$F$5:$F$504,Q1735),0)),"")</f>
        <v/>
      </c>
      <c r="M1735" s="61" t="str">
        <f aca="false">IF(IsPro,IF($D1735="","",IF(AND(R1735&lt;&gt;"",INDEX(Parties!$E$5:$E$304,R1735)&lt;&gt;"",INDEX(Parties!$E$5:$E$304,R1735)&lt;&gt;HomeState),0,ROUND(K1735*L1735/2,2))),"")</f>
        <v/>
      </c>
      <c r="N1735" s="61" t="str">
        <f aca="false">IF(IsPro,IF($D1735="","",M1735),"")</f>
        <v/>
      </c>
      <c r="O1735" s="61" t="str">
        <f aca="false">IF(IsPro,IF($D1735="","",IF(AND(R1735&lt;&gt;"",INDEX(Parties!$E$5:$E$304,R1735)&lt;&gt;"",INDEX(Parties!$E$5:$E$304,R1735)&lt;&gt;HomeState),ROUND(K1735*L1735,2),0)),"")</f>
        <v/>
      </c>
      <c r="P1735" s="61" t="str">
        <f aca="false">IF(IsPro,IF($D1735="","",K1735+M1735+N1735+O1735),"")</f>
        <v/>
      </c>
      <c r="Q1735" s="60" t="str">
        <f aca="false">IF(IsPro,IF($D1735="","",IFERROR(MATCH($D1735,Items!$A$5:$A$504,0),"")),"")</f>
        <v/>
      </c>
      <c r="R1735" s="60" t="str">
        <f aca="false">IF(IsPro,IF($C1735="","",IFERROR(MATCH($C1735,Parties!$A$5:$A$304,0),"")),"")</f>
        <v/>
      </c>
      <c r="S1735" s="61" t="str">
        <f aca="false">IF(IsPro,IF($D1735="","",IF(OR($H1735="",$H1735="Credit"),0,P1735)),"")</f>
        <v/>
      </c>
    </row>
    <row r="1736" customFormat="false" ht="15" hidden="false" customHeight="false" outlineLevel="0" collapsed="false">
      <c r="A1736" s="55"/>
      <c r="B1736" s="56"/>
      <c r="C1736" s="56"/>
      <c r="D1736" s="56"/>
      <c r="E1736" s="57"/>
      <c r="F1736" s="58"/>
      <c r="G1736" s="59"/>
      <c r="H1736" s="56"/>
      <c r="I1736" s="60" t="str">
        <f aca="false">IF(IsPro,IF($D1736="","",IFERROR(INDEX(Items!$D$5:$D$504,Q1736),"")),IF($D1736="","","PRO PLAN"))</f>
        <v/>
      </c>
      <c r="J1736" s="61" t="str">
        <f aca="false">IF(IsPro,IF($D1736="","",IF($F1736="",IFERROR(INDEX(Items!$G$5:$G$504,Q1736),0),$F1736)),"")</f>
        <v/>
      </c>
      <c r="K1736" s="61" t="str">
        <f aca="false">IF(IsPro,IF($D1736="","",ROUND(N($E1736)*J1736*(1-N($G1736)),2)),"")</f>
        <v/>
      </c>
      <c r="L1736" s="62" t="str">
        <f aca="false">IF(IsPro,IF($D1736="","",IFERROR(INDEX(Items!$F$5:$F$504,Q1736),0)),"")</f>
        <v/>
      </c>
      <c r="M1736" s="61" t="str">
        <f aca="false">IF(IsPro,IF($D1736="","",IF(AND(R1736&lt;&gt;"",INDEX(Parties!$E$5:$E$304,R1736)&lt;&gt;"",INDEX(Parties!$E$5:$E$304,R1736)&lt;&gt;HomeState),0,ROUND(K1736*L1736/2,2))),"")</f>
        <v/>
      </c>
      <c r="N1736" s="61" t="str">
        <f aca="false">IF(IsPro,IF($D1736="","",M1736),"")</f>
        <v/>
      </c>
      <c r="O1736" s="61" t="str">
        <f aca="false">IF(IsPro,IF($D1736="","",IF(AND(R1736&lt;&gt;"",INDEX(Parties!$E$5:$E$304,R1736)&lt;&gt;"",INDEX(Parties!$E$5:$E$304,R1736)&lt;&gt;HomeState),ROUND(K1736*L1736,2),0)),"")</f>
        <v/>
      </c>
      <c r="P1736" s="61" t="str">
        <f aca="false">IF(IsPro,IF($D1736="","",K1736+M1736+N1736+O1736),"")</f>
        <v/>
      </c>
      <c r="Q1736" s="60" t="str">
        <f aca="false">IF(IsPro,IF($D1736="","",IFERROR(MATCH($D1736,Items!$A$5:$A$504,0),"")),"")</f>
        <v/>
      </c>
      <c r="R1736" s="60" t="str">
        <f aca="false">IF(IsPro,IF($C1736="","",IFERROR(MATCH($C1736,Parties!$A$5:$A$304,0),"")),"")</f>
        <v/>
      </c>
      <c r="S1736" s="61" t="str">
        <f aca="false">IF(IsPro,IF($D1736="","",IF(OR($H1736="",$H1736="Credit"),0,P1736)),"")</f>
        <v/>
      </c>
    </row>
    <row r="1737" customFormat="false" ht="15" hidden="false" customHeight="false" outlineLevel="0" collapsed="false">
      <c r="A1737" s="55"/>
      <c r="B1737" s="56"/>
      <c r="C1737" s="56"/>
      <c r="D1737" s="56"/>
      <c r="E1737" s="57"/>
      <c r="F1737" s="58"/>
      <c r="G1737" s="59"/>
      <c r="H1737" s="56"/>
      <c r="I1737" s="60" t="str">
        <f aca="false">IF(IsPro,IF($D1737="","",IFERROR(INDEX(Items!$D$5:$D$504,Q1737),"")),IF($D1737="","","PRO PLAN"))</f>
        <v/>
      </c>
      <c r="J1737" s="61" t="str">
        <f aca="false">IF(IsPro,IF($D1737="","",IF($F1737="",IFERROR(INDEX(Items!$G$5:$G$504,Q1737),0),$F1737)),"")</f>
        <v/>
      </c>
      <c r="K1737" s="61" t="str">
        <f aca="false">IF(IsPro,IF($D1737="","",ROUND(N($E1737)*J1737*(1-N($G1737)),2)),"")</f>
        <v/>
      </c>
      <c r="L1737" s="62" t="str">
        <f aca="false">IF(IsPro,IF($D1737="","",IFERROR(INDEX(Items!$F$5:$F$504,Q1737),0)),"")</f>
        <v/>
      </c>
      <c r="M1737" s="61" t="str">
        <f aca="false">IF(IsPro,IF($D1737="","",IF(AND(R1737&lt;&gt;"",INDEX(Parties!$E$5:$E$304,R1737)&lt;&gt;"",INDEX(Parties!$E$5:$E$304,R1737)&lt;&gt;HomeState),0,ROUND(K1737*L1737/2,2))),"")</f>
        <v/>
      </c>
      <c r="N1737" s="61" t="str">
        <f aca="false">IF(IsPro,IF($D1737="","",M1737),"")</f>
        <v/>
      </c>
      <c r="O1737" s="61" t="str">
        <f aca="false">IF(IsPro,IF($D1737="","",IF(AND(R1737&lt;&gt;"",INDEX(Parties!$E$5:$E$304,R1737)&lt;&gt;"",INDEX(Parties!$E$5:$E$304,R1737)&lt;&gt;HomeState),ROUND(K1737*L1737,2),0)),"")</f>
        <v/>
      </c>
      <c r="P1737" s="61" t="str">
        <f aca="false">IF(IsPro,IF($D1737="","",K1737+M1737+N1737+O1737),"")</f>
        <v/>
      </c>
      <c r="Q1737" s="60" t="str">
        <f aca="false">IF(IsPro,IF($D1737="","",IFERROR(MATCH($D1737,Items!$A$5:$A$504,0),"")),"")</f>
        <v/>
      </c>
      <c r="R1737" s="60" t="str">
        <f aca="false">IF(IsPro,IF($C1737="","",IFERROR(MATCH($C1737,Parties!$A$5:$A$304,0),"")),"")</f>
        <v/>
      </c>
      <c r="S1737" s="61" t="str">
        <f aca="false">IF(IsPro,IF($D1737="","",IF(OR($H1737="",$H1737="Credit"),0,P1737)),"")</f>
        <v/>
      </c>
    </row>
    <row r="1738" customFormat="false" ht="15" hidden="false" customHeight="false" outlineLevel="0" collapsed="false">
      <c r="A1738" s="55"/>
      <c r="B1738" s="56"/>
      <c r="C1738" s="56"/>
      <c r="D1738" s="56"/>
      <c r="E1738" s="57"/>
      <c r="F1738" s="58"/>
      <c r="G1738" s="59"/>
      <c r="H1738" s="56"/>
      <c r="I1738" s="60" t="str">
        <f aca="false">IF(IsPro,IF($D1738="","",IFERROR(INDEX(Items!$D$5:$D$504,Q1738),"")),IF($D1738="","","PRO PLAN"))</f>
        <v/>
      </c>
      <c r="J1738" s="61" t="str">
        <f aca="false">IF(IsPro,IF($D1738="","",IF($F1738="",IFERROR(INDEX(Items!$G$5:$G$504,Q1738),0),$F1738)),"")</f>
        <v/>
      </c>
      <c r="K1738" s="61" t="str">
        <f aca="false">IF(IsPro,IF($D1738="","",ROUND(N($E1738)*J1738*(1-N($G1738)),2)),"")</f>
        <v/>
      </c>
      <c r="L1738" s="62" t="str">
        <f aca="false">IF(IsPro,IF($D1738="","",IFERROR(INDEX(Items!$F$5:$F$504,Q1738),0)),"")</f>
        <v/>
      </c>
      <c r="M1738" s="61" t="str">
        <f aca="false">IF(IsPro,IF($D1738="","",IF(AND(R1738&lt;&gt;"",INDEX(Parties!$E$5:$E$304,R1738)&lt;&gt;"",INDEX(Parties!$E$5:$E$304,R1738)&lt;&gt;HomeState),0,ROUND(K1738*L1738/2,2))),"")</f>
        <v/>
      </c>
      <c r="N1738" s="61" t="str">
        <f aca="false">IF(IsPro,IF($D1738="","",M1738),"")</f>
        <v/>
      </c>
      <c r="O1738" s="61" t="str">
        <f aca="false">IF(IsPro,IF($D1738="","",IF(AND(R1738&lt;&gt;"",INDEX(Parties!$E$5:$E$304,R1738)&lt;&gt;"",INDEX(Parties!$E$5:$E$304,R1738)&lt;&gt;HomeState),ROUND(K1738*L1738,2),0)),"")</f>
        <v/>
      </c>
      <c r="P1738" s="61" t="str">
        <f aca="false">IF(IsPro,IF($D1738="","",K1738+M1738+N1738+O1738),"")</f>
        <v/>
      </c>
      <c r="Q1738" s="60" t="str">
        <f aca="false">IF(IsPro,IF($D1738="","",IFERROR(MATCH($D1738,Items!$A$5:$A$504,0),"")),"")</f>
        <v/>
      </c>
      <c r="R1738" s="60" t="str">
        <f aca="false">IF(IsPro,IF($C1738="","",IFERROR(MATCH($C1738,Parties!$A$5:$A$304,0),"")),"")</f>
        <v/>
      </c>
      <c r="S1738" s="61" t="str">
        <f aca="false">IF(IsPro,IF($D1738="","",IF(OR($H1738="",$H1738="Credit"),0,P1738)),"")</f>
        <v/>
      </c>
    </row>
    <row r="1739" customFormat="false" ht="15" hidden="false" customHeight="false" outlineLevel="0" collapsed="false">
      <c r="A1739" s="55"/>
      <c r="B1739" s="56"/>
      <c r="C1739" s="56"/>
      <c r="D1739" s="56"/>
      <c r="E1739" s="57"/>
      <c r="F1739" s="58"/>
      <c r="G1739" s="59"/>
      <c r="H1739" s="56"/>
      <c r="I1739" s="60" t="str">
        <f aca="false">IF(IsPro,IF($D1739="","",IFERROR(INDEX(Items!$D$5:$D$504,Q1739),"")),IF($D1739="","","PRO PLAN"))</f>
        <v/>
      </c>
      <c r="J1739" s="61" t="str">
        <f aca="false">IF(IsPro,IF($D1739="","",IF($F1739="",IFERROR(INDEX(Items!$G$5:$G$504,Q1739),0),$F1739)),"")</f>
        <v/>
      </c>
      <c r="K1739" s="61" t="str">
        <f aca="false">IF(IsPro,IF($D1739="","",ROUND(N($E1739)*J1739*(1-N($G1739)),2)),"")</f>
        <v/>
      </c>
      <c r="L1739" s="62" t="str">
        <f aca="false">IF(IsPro,IF($D1739="","",IFERROR(INDEX(Items!$F$5:$F$504,Q1739),0)),"")</f>
        <v/>
      </c>
      <c r="M1739" s="61" t="str">
        <f aca="false">IF(IsPro,IF($D1739="","",IF(AND(R1739&lt;&gt;"",INDEX(Parties!$E$5:$E$304,R1739)&lt;&gt;"",INDEX(Parties!$E$5:$E$304,R1739)&lt;&gt;HomeState),0,ROUND(K1739*L1739/2,2))),"")</f>
        <v/>
      </c>
      <c r="N1739" s="61" t="str">
        <f aca="false">IF(IsPro,IF($D1739="","",M1739),"")</f>
        <v/>
      </c>
      <c r="O1739" s="61" t="str">
        <f aca="false">IF(IsPro,IF($D1739="","",IF(AND(R1739&lt;&gt;"",INDEX(Parties!$E$5:$E$304,R1739)&lt;&gt;"",INDEX(Parties!$E$5:$E$304,R1739)&lt;&gt;HomeState),ROUND(K1739*L1739,2),0)),"")</f>
        <v/>
      </c>
      <c r="P1739" s="61" t="str">
        <f aca="false">IF(IsPro,IF($D1739="","",K1739+M1739+N1739+O1739),"")</f>
        <v/>
      </c>
      <c r="Q1739" s="60" t="str">
        <f aca="false">IF(IsPro,IF($D1739="","",IFERROR(MATCH($D1739,Items!$A$5:$A$504,0),"")),"")</f>
        <v/>
      </c>
      <c r="R1739" s="60" t="str">
        <f aca="false">IF(IsPro,IF($C1739="","",IFERROR(MATCH($C1739,Parties!$A$5:$A$304,0),"")),"")</f>
        <v/>
      </c>
      <c r="S1739" s="61" t="str">
        <f aca="false">IF(IsPro,IF($D1739="","",IF(OR($H1739="",$H1739="Credit"),0,P1739)),"")</f>
        <v/>
      </c>
    </row>
    <row r="1740" customFormat="false" ht="15" hidden="false" customHeight="false" outlineLevel="0" collapsed="false">
      <c r="A1740" s="55"/>
      <c r="B1740" s="56"/>
      <c r="C1740" s="56"/>
      <c r="D1740" s="56"/>
      <c r="E1740" s="57"/>
      <c r="F1740" s="58"/>
      <c r="G1740" s="59"/>
      <c r="H1740" s="56"/>
      <c r="I1740" s="60" t="str">
        <f aca="false">IF(IsPro,IF($D1740="","",IFERROR(INDEX(Items!$D$5:$D$504,Q1740),"")),IF($D1740="","","PRO PLAN"))</f>
        <v/>
      </c>
      <c r="J1740" s="61" t="str">
        <f aca="false">IF(IsPro,IF($D1740="","",IF($F1740="",IFERROR(INDEX(Items!$G$5:$G$504,Q1740),0),$F1740)),"")</f>
        <v/>
      </c>
      <c r="K1740" s="61" t="str">
        <f aca="false">IF(IsPro,IF($D1740="","",ROUND(N($E1740)*J1740*(1-N($G1740)),2)),"")</f>
        <v/>
      </c>
      <c r="L1740" s="62" t="str">
        <f aca="false">IF(IsPro,IF($D1740="","",IFERROR(INDEX(Items!$F$5:$F$504,Q1740),0)),"")</f>
        <v/>
      </c>
      <c r="M1740" s="61" t="str">
        <f aca="false">IF(IsPro,IF($D1740="","",IF(AND(R1740&lt;&gt;"",INDEX(Parties!$E$5:$E$304,R1740)&lt;&gt;"",INDEX(Parties!$E$5:$E$304,R1740)&lt;&gt;HomeState),0,ROUND(K1740*L1740/2,2))),"")</f>
        <v/>
      </c>
      <c r="N1740" s="61" t="str">
        <f aca="false">IF(IsPro,IF($D1740="","",M1740),"")</f>
        <v/>
      </c>
      <c r="O1740" s="61" t="str">
        <f aca="false">IF(IsPro,IF($D1740="","",IF(AND(R1740&lt;&gt;"",INDEX(Parties!$E$5:$E$304,R1740)&lt;&gt;"",INDEX(Parties!$E$5:$E$304,R1740)&lt;&gt;HomeState),ROUND(K1740*L1740,2),0)),"")</f>
        <v/>
      </c>
      <c r="P1740" s="61" t="str">
        <f aca="false">IF(IsPro,IF($D1740="","",K1740+M1740+N1740+O1740),"")</f>
        <v/>
      </c>
      <c r="Q1740" s="60" t="str">
        <f aca="false">IF(IsPro,IF($D1740="","",IFERROR(MATCH($D1740,Items!$A$5:$A$504,0),"")),"")</f>
        <v/>
      </c>
      <c r="R1740" s="60" t="str">
        <f aca="false">IF(IsPro,IF($C1740="","",IFERROR(MATCH($C1740,Parties!$A$5:$A$304,0),"")),"")</f>
        <v/>
      </c>
      <c r="S1740" s="61" t="str">
        <f aca="false">IF(IsPro,IF($D1740="","",IF(OR($H1740="",$H1740="Credit"),0,P1740)),"")</f>
        <v/>
      </c>
    </row>
    <row r="1741" customFormat="false" ht="15" hidden="false" customHeight="false" outlineLevel="0" collapsed="false">
      <c r="A1741" s="55"/>
      <c r="B1741" s="56"/>
      <c r="C1741" s="56"/>
      <c r="D1741" s="56"/>
      <c r="E1741" s="57"/>
      <c r="F1741" s="58"/>
      <c r="G1741" s="59"/>
      <c r="H1741" s="56"/>
      <c r="I1741" s="60" t="str">
        <f aca="false">IF(IsPro,IF($D1741="","",IFERROR(INDEX(Items!$D$5:$D$504,Q1741),"")),IF($D1741="","","PRO PLAN"))</f>
        <v/>
      </c>
      <c r="J1741" s="61" t="str">
        <f aca="false">IF(IsPro,IF($D1741="","",IF($F1741="",IFERROR(INDEX(Items!$G$5:$G$504,Q1741),0),$F1741)),"")</f>
        <v/>
      </c>
      <c r="K1741" s="61" t="str">
        <f aca="false">IF(IsPro,IF($D1741="","",ROUND(N($E1741)*J1741*(1-N($G1741)),2)),"")</f>
        <v/>
      </c>
      <c r="L1741" s="62" t="str">
        <f aca="false">IF(IsPro,IF($D1741="","",IFERROR(INDEX(Items!$F$5:$F$504,Q1741),0)),"")</f>
        <v/>
      </c>
      <c r="M1741" s="61" t="str">
        <f aca="false">IF(IsPro,IF($D1741="","",IF(AND(R1741&lt;&gt;"",INDEX(Parties!$E$5:$E$304,R1741)&lt;&gt;"",INDEX(Parties!$E$5:$E$304,R1741)&lt;&gt;HomeState),0,ROUND(K1741*L1741/2,2))),"")</f>
        <v/>
      </c>
      <c r="N1741" s="61" t="str">
        <f aca="false">IF(IsPro,IF($D1741="","",M1741),"")</f>
        <v/>
      </c>
      <c r="O1741" s="61" t="str">
        <f aca="false">IF(IsPro,IF($D1741="","",IF(AND(R1741&lt;&gt;"",INDEX(Parties!$E$5:$E$304,R1741)&lt;&gt;"",INDEX(Parties!$E$5:$E$304,R1741)&lt;&gt;HomeState),ROUND(K1741*L1741,2),0)),"")</f>
        <v/>
      </c>
      <c r="P1741" s="61" t="str">
        <f aca="false">IF(IsPro,IF($D1741="","",K1741+M1741+N1741+O1741),"")</f>
        <v/>
      </c>
      <c r="Q1741" s="60" t="str">
        <f aca="false">IF(IsPro,IF($D1741="","",IFERROR(MATCH($D1741,Items!$A$5:$A$504,0),"")),"")</f>
        <v/>
      </c>
      <c r="R1741" s="60" t="str">
        <f aca="false">IF(IsPro,IF($C1741="","",IFERROR(MATCH($C1741,Parties!$A$5:$A$304,0),"")),"")</f>
        <v/>
      </c>
      <c r="S1741" s="61" t="str">
        <f aca="false">IF(IsPro,IF($D1741="","",IF(OR($H1741="",$H1741="Credit"),0,P1741)),"")</f>
        <v/>
      </c>
    </row>
    <row r="1742" customFormat="false" ht="15" hidden="false" customHeight="false" outlineLevel="0" collapsed="false">
      <c r="A1742" s="55"/>
      <c r="B1742" s="56"/>
      <c r="C1742" s="56"/>
      <c r="D1742" s="56"/>
      <c r="E1742" s="57"/>
      <c r="F1742" s="58"/>
      <c r="G1742" s="59"/>
      <c r="H1742" s="56"/>
      <c r="I1742" s="60" t="str">
        <f aca="false">IF(IsPro,IF($D1742="","",IFERROR(INDEX(Items!$D$5:$D$504,Q1742),"")),IF($D1742="","","PRO PLAN"))</f>
        <v/>
      </c>
      <c r="J1742" s="61" t="str">
        <f aca="false">IF(IsPro,IF($D1742="","",IF($F1742="",IFERROR(INDEX(Items!$G$5:$G$504,Q1742),0),$F1742)),"")</f>
        <v/>
      </c>
      <c r="K1742" s="61" t="str">
        <f aca="false">IF(IsPro,IF($D1742="","",ROUND(N($E1742)*J1742*(1-N($G1742)),2)),"")</f>
        <v/>
      </c>
      <c r="L1742" s="62" t="str">
        <f aca="false">IF(IsPro,IF($D1742="","",IFERROR(INDEX(Items!$F$5:$F$504,Q1742),0)),"")</f>
        <v/>
      </c>
      <c r="M1742" s="61" t="str">
        <f aca="false">IF(IsPro,IF($D1742="","",IF(AND(R1742&lt;&gt;"",INDEX(Parties!$E$5:$E$304,R1742)&lt;&gt;"",INDEX(Parties!$E$5:$E$304,R1742)&lt;&gt;HomeState),0,ROUND(K1742*L1742/2,2))),"")</f>
        <v/>
      </c>
      <c r="N1742" s="61" t="str">
        <f aca="false">IF(IsPro,IF($D1742="","",M1742),"")</f>
        <v/>
      </c>
      <c r="O1742" s="61" t="str">
        <f aca="false">IF(IsPro,IF($D1742="","",IF(AND(R1742&lt;&gt;"",INDEX(Parties!$E$5:$E$304,R1742)&lt;&gt;"",INDEX(Parties!$E$5:$E$304,R1742)&lt;&gt;HomeState),ROUND(K1742*L1742,2),0)),"")</f>
        <v/>
      </c>
      <c r="P1742" s="61" t="str">
        <f aca="false">IF(IsPro,IF($D1742="","",K1742+M1742+N1742+O1742),"")</f>
        <v/>
      </c>
      <c r="Q1742" s="60" t="str">
        <f aca="false">IF(IsPro,IF($D1742="","",IFERROR(MATCH($D1742,Items!$A$5:$A$504,0),"")),"")</f>
        <v/>
      </c>
      <c r="R1742" s="60" t="str">
        <f aca="false">IF(IsPro,IF($C1742="","",IFERROR(MATCH($C1742,Parties!$A$5:$A$304,0),"")),"")</f>
        <v/>
      </c>
      <c r="S1742" s="61" t="str">
        <f aca="false">IF(IsPro,IF($D1742="","",IF(OR($H1742="",$H1742="Credit"),0,P1742)),"")</f>
        <v/>
      </c>
    </row>
    <row r="1743" customFormat="false" ht="15" hidden="false" customHeight="false" outlineLevel="0" collapsed="false">
      <c r="A1743" s="55"/>
      <c r="B1743" s="56"/>
      <c r="C1743" s="56"/>
      <c r="D1743" s="56"/>
      <c r="E1743" s="57"/>
      <c r="F1743" s="58"/>
      <c r="G1743" s="59"/>
      <c r="H1743" s="56"/>
      <c r="I1743" s="60" t="str">
        <f aca="false">IF(IsPro,IF($D1743="","",IFERROR(INDEX(Items!$D$5:$D$504,Q1743),"")),IF($D1743="","","PRO PLAN"))</f>
        <v/>
      </c>
      <c r="J1743" s="61" t="str">
        <f aca="false">IF(IsPro,IF($D1743="","",IF($F1743="",IFERROR(INDEX(Items!$G$5:$G$504,Q1743),0),$F1743)),"")</f>
        <v/>
      </c>
      <c r="K1743" s="61" t="str">
        <f aca="false">IF(IsPro,IF($D1743="","",ROUND(N($E1743)*J1743*(1-N($G1743)),2)),"")</f>
        <v/>
      </c>
      <c r="L1743" s="62" t="str">
        <f aca="false">IF(IsPro,IF($D1743="","",IFERROR(INDEX(Items!$F$5:$F$504,Q1743),0)),"")</f>
        <v/>
      </c>
      <c r="M1743" s="61" t="str">
        <f aca="false">IF(IsPro,IF($D1743="","",IF(AND(R1743&lt;&gt;"",INDEX(Parties!$E$5:$E$304,R1743)&lt;&gt;"",INDEX(Parties!$E$5:$E$304,R1743)&lt;&gt;HomeState),0,ROUND(K1743*L1743/2,2))),"")</f>
        <v/>
      </c>
      <c r="N1743" s="61" t="str">
        <f aca="false">IF(IsPro,IF($D1743="","",M1743),"")</f>
        <v/>
      </c>
      <c r="O1743" s="61" t="str">
        <f aca="false">IF(IsPro,IF($D1743="","",IF(AND(R1743&lt;&gt;"",INDEX(Parties!$E$5:$E$304,R1743)&lt;&gt;"",INDEX(Parties!$E$5:$E$304,R1743)&lt;&gt;HomeState),ROUND(K1743*L1743,2),0)),"")</f>
        <v/>
      </c>
      <c r="P1743" s="61" t="str">
        <f aca="false">IF(IsPro,IF($D1743="","",K1743+M1743+N1743+O1743),"")</f>
        <v/>
      </c>
      <c r="Q1743" s="60" t="str">
        <f aca="false">IF(IsPro,IF($D1743="","",IFERROR(MATCH($D1743,Items!$A$5:$A$504,0),"")),"")</f>
        <v/>
      </c>
      <c r="R1743" s="60" t="str">
        <f aca="false">IF(IsPro,IF($C1743="","",IFERROR(MATCH($C1743,Parties!$A$5:$A$304,0),"")),"")</f>
        <v/>
      </c>
      <c r="S1743" s="61" t="str">
        <f aca="false">IF(IsPro,IF($D1743="","",IF(OR($H1743="",$H1743="Credit"),0,P1743)),"")</f>
        <v/>
      </c>
    </row>
    <row r="1744" customFormat="false" ht="15" hidden="false" customHeight="false" outlineLevel="0" collapsed="false">
      <c r="A1744" s="55"/>
      <c r="B1744" s="56"/>
      <c r="C1744" s="56"/>
      <c r="D1744" s="56"/>
      <c r="E1744" s="57"/>
      <c r="F1744" s="58"/>
      <c r="G1744" s="59"/>
      <c r="H1744" s="56"/>
      <c r="I1744" s="60" t="str">
        <f aca="false">IF(IsPro,IF($D1744="","",IFERROR(INDEX(Items!$D$5:$D$504,Q1744),"")),IF($D1744="","","PRO PLAN"))</f>
        <v/>
      </c>
      <c r="J1744" s="61" t="str">
        <f aca="false">IF(IsPro,IF($D1744="","",IF($F1744="",IFERROR(INDEX(Items!$G$5:$G$504,Q1744),0),$F1744)),"")</f>
        <v/>
      </c>
      <c r="K1744" s="61" t="str">
        <f aca="false">IF(IsPro,IF($D1744="","",ROUND(N($E1744)*J1744*(1-N($G1744)),2)),"")</f>
        <v/>
      </c>
      <c r="L1744" s="62" t="str">
        <f aca="false">IF(IsPro,IF($D1744="","",IFERROR(INDEX(Items!$F$5:$F$504,Q1744),0)),"")</f>
        <v/>
      </c>
      <c r="M1744" s="61" t="str">
        <f aca="false">IF(IsPro,IF($D1744="","",IF(AND(R1744&lt;&gt;"",INDEX(Parties!$E$5:$E$304,R1744)&lt;&gt;"",INDEX(Parties!$E$5:$E$304,R1744)&lt;&gt;HomeState),0,ROUND(K1744*L1744/2,2))),"")</f>
        <v/>
      </c>
      <c r="N1744" s="61" t="str">
        <f aca="false">IF(IsPro,IF($D1744="","",M1744),"")</f>
        <v/>
      </c>
      <c r="O1744" s="61" t="str">
        <f aca="false">IF(IsPro,IF($D1744="","",IF(AND(R1744&lt;&gt;"",INDEX(Parties!$E$5:$E$304,R1744)&lt;&gt;"",INDEX(Parties!$E$5:$E$304,R1744)&lt;&gt;HomeState),ROUND(K1744*L1744,2),0)),"")</f>
        <v/>
      </c>
      <c r="P1744" s="61" t="str">
        <f aca="false">IF(IsPro,IF($D1744="","",K1744+M1744+N1744+O1744),"")</f>
        <v/>
      </c>
      <c r="Q1744" s="60" t="str">
        <f aca="false">IF(IsPro,IF($D1744="","",IFERROR(MATCH($D1744,Items!$A$5:$A$504,0),"")),"")</f>
        <v/>
      </c>
      <c r="R1744" s="60" t="str">
        <f aca="false">IF(IsPro,IF($C1744="","",IFERROR(MATCH($C1744,Parties!$A$5:$A$304,0),"")),"")</f>
        <v/>
      </c>
      <c r="S1744" s="61" t="str">
        <f aca="false">IF(IsPro,IF($D1744="","",IF(OR($H1744="",$H1744="Credit"),0,P1744)),"")</f>
        <v/>
      </c>
    </row>
    <row r="1745" customFormat="false" ht="15" hidden="false" customHeight="false" outlineLevel="0" collapsed="false">
      <c r="A1745" s="55"/>
      <c r="B1745" s="56"/>
      <c r="C1745" s="56"/>
      <c r="D1745" s="56"/>
      <c r="E1745" s="57"/>
      <c r="F1745" s="58"/>
      <c r="G1745" s="59"/>
      <c r="H1745" s="56"/>
      <c r="I1745" s="60" t="str">
        <f aca="false">IF(IsPro,IF($D1745="","",IFERROR(INDEX(Items!$D$5:$D$504,Q1745),"")),IF($D1745="","","PRO PLAN"))</f>
        <v/>
      </c>
      <c r="J1745" s="61" t="str">
        <f aca="false">IF(IsPro,IF($D1745="","",IF($F1745="",IFERROR(INDEX(Items!$G$5:$G$504,Q1745),0),$F1745)),"")</f>
        <v/>
      </c>
      <c r="K1745" s="61" t="str">
        <f aca="false">IF(IsPro,IF($D1745="","",ROUND(N($E1745)*J1745*(1-N($G1745)),2)),"")</f>
        <v/>
      </c>
      <c r="L1745" s="62" t="str">
        <f aca="false">IF(IsPro,IF($D1745="","",IFERROR(INDEX(Items!$F$5:$F$504,Q1745),0)),"")</f>
        <v/>
      </c>
      <c r="M1745" s="61" t="str">
        <f aca="false">IF(IsPro,IF($D1745="","",IF(AND(R1745&lt;&gt;"",INDEX(Parties!$E$5:$E$304,R1745)&lt;&gt;"",INDEX(Parties!$E$5:$E$304,R1745)&lt;&gt;HomeState),0,ROUND(K1745*L1745/2,2))),"")</f>
        <v/>
      </c>
      <c r="N1745" s="61" t="str">
        <f aca="false">IF(IsPro,IF($D1745="","",M1745),"")</f>
        <v/>
      </c>
      <c r="O1745" s="61" t="str">
        <f aca="false">IF(IsPro,IF($D1745="","",IF(AND(R1745&lt;&gt;"",INDEX(Parties!$E$5:$E$304,R1745)&lt;&gt;"",INDEX(Parties!$E$5:$E$304,R1745)&lt;&gt;HomeState),ROUND(K1745*L1745,2),0)),"")</f>
        <v/>
      </c>
      <c r="P1745" s="61" t="str">
        <f aca="false">IF(IsPro,IF($D1745="","",K1745+M1745+N1745+O1745),"")</f>
        <v/>
      </c>
      <c r="Q1745" s="60" t="str">
        <f aca="false">IF(IsPro,IF($D1745="","",IFERROR(MATCH($D1745,Items!$A$5:$A$504,0),"")),"")</f>
        <v/>
      </c>
      <c r="R1745" s="60" t="str">
        <f aca="false">IF(IsPro,IF($C1745="","",IFERROR(MATCH($C1745,Parties!$A$5:$A$304,0),"")),"")</f>
        <v/>
      </c>
      <c r="S1745" s="61" t="str">
        <f aca="false">IF(IsPro,IF($D1745="","",IF(OR($H1745="",$H1745="Credit"),0,P1745)),"")</f>
        <v/>
      </c>
    </row>
    <row r="1746" customFormat="false" ht="15" hidden="false" customHeight="false" outlineLevel="0" collapsed="false">
      <c r="A1746" s="55"/>
      <c r="B1746" s="56"/>
      <c r="C1746" s="56"/>
      <c r="D1746" s="56"/>
      <c r="E1746" s="57"/>
      <c r="F1746" s="58"/>
      <c r="G1746" s="59"/>
      <c r="H1746" s="56"/>
      <c r="I1746" s="60" t="str">
        <f aca="false">IF(IsPro,IF($D1746="","",IFERROR(INDEX(Items!$D$5:$D$504,Q1746),"")),IF($D1746="","","PRO PLAN"))</f>
        <v/>
      </c>
      <c r="J1746" s="61" t="str">
        <f aca="false">IF(IsPro,IF($D1746="","",IF($F1746="",IFERROR(INDEX(Items!$G$5:$G$504,Q1746),0),$F1746)),"")</f>
        <v/>
      </c>
      <c r="K1746" s="61" t="str">
        <f aca="false">IF(IsPro,IF($D1746="","",ROUND(N($E1746)*J1746*(1-N($G1746)),2)),"")</f>
        <v/>
      </c>
      <c r="L1746" s="62" t="str">
        <f aca="false">IF(IsPro,IF($D1746="","",IFERROR(INDEX(Items!$F$5:$F$504,Q1746),0)),"")</f>
        <v/>
      </c>
      <c r="M1746" s="61" t="str">
        <f aca="false">IF(IsPro,IF($D1746="","",IF(AND(R1746&lt;&gt;"",INDEX(Parties!$E$5:$E$304,R1746)&lt;&gt;"",INDEX(Parties!$E$5:$E$304,R1746)&lt;&gt;HomeState),0,ROUND(K1746*L1746/2,2))),"")</f>
        <v/>
      </c>
      <c r="N1746" s="61" t="str">
        <f aca="false">IF(IsPro,IF($D1746="","",M1746),"")</f>
        <v/>
      </c>
      <c r="O1746" s="61" t="str">
        <f aca="false">IF(IsPro,IF($D1746="","",IF(AND(R1746&lt;&gt;"",INDEX(Parties!$E$5:$E$304,R1746)&lt;&gt;"",INDEX(Parties!$E$5:$E$304,R1746)&lt;&gt;HomeState),ROUND(K1746*L1746,2),0)),"")</f>
        <v/>
      </c>
      <c r="P1746" s="61" t="str">
        <f aca="false">IF(IsPro,IF($D1746="","",K1746+M1746+N1746+O1746),"")</f>
        <v/>
      </c>
      <c r="Q1746" s="60" t="str">
        <f aca="false">IF(IsPro,IF($D1746="","",IFERROR(MATCH($D1746,Items!$A$5:$A$504,0),"")),"")</f>
        <v/>
      </c>
      <c r="R1746" s="60" t="str">
        <f aca="false">IF(IsPro,IF($C1746="","",IFERROR(MATCH($C1746,Parties!$A$5:$A$304,0),"")),"")</f>
        <v/>
      </c>
      <c r="S1746" s="61" t="str">
        <f aca="false">IF(IsPro,IF($D1746="","",IF(OR($H1746="",$H1746="Credit"),0,P1746)),"")</f>
        <v/>
      </c>
    </row>
    <row r="1747" customFormat="false" ht="15" hidden="false" customHeight="false" outlineLevel="0" collapsed="false">
      <c r="A1747" s="55"/>
      <c r="B1747" s="56"/>
      <c r="C1747" s="56"/>
      <c r="D1747" s="56"/>
      <c r="E1747" s="57"/>
      <c r="F1747" s="58"/>
      <c r="G1747" s="59"/>
      <c r="H1747" s="56"/>
      <c r="I1747" s="60" t="str">
        <f aca="false">IF(IsPro,IF($D1747="","",IFERROR(INDEX(Items!$D$5:$D$504,Q1747),"")),IF($D1747="","","PRO PLAN"))</f>
        <v/>
      </c>
      <c r="J1747" s="61" t="str">
        <f aca="false">IF(IsPro,IF($D1747="","",IF($F1747="",IFERROR(INDEX(Items!$G$5:$G$504,Q1747),0),$F1747)),"")</f>
        <v/>
      </c>
      <c r="K1747" s="61" t="str">
        <f aca="false">IF(IsPro,IF($D1747="","",ROUND(N($E1747)*J1747*(1-N($G1747)),2)),"")</f>
        <v/>
      </c>
      <c r="L1747" s="62" t="str">
        <f aca="false">IF(IsPro,IF($D1747="","",IFERROR(INDEX(Items!$F$5:$F$504,Q1747),0)),"")</f>
        <v/>
      </c>
      <c r="M1747" s="61" t="str">
        <f aca="false">IF(IsPro,IF($D1747="","",IF(AND(R1747&lt;&gt;"",INDEX(Parties!$E$5:$E$304,R1747)&lt;&gt;"",INDEX(Parties!$E$5:$E$304,R1747)&lt;&gt;HomeState),0,ROUND(K1747*L1747/2,2))),"")</f>
        <v/>
      </c>
      <c r="N1747" s="61" t="str">
        <f aca="false">IF(IsPro,IF($D1747="","",M1747),"")</f>
        <v/>
      </c>
      <c r="O1747" s="61" t="str">
        <f aca="false">IF(IsPro,IF($D1747="","",IF(AND(R1747&lt;&gt;"",INDEX(Parties!$E$5:$E$304,R1747)&lt;&gt;"",INDEX(Parties!$E$5:$E$304,R1747)&lt;&gt;HomeState),ROUND(K1747*L1747,2),0)),"")</f>
        <v/>
      </c>
      <c r="P1747" s="61" t="str">
        <f aca="false">IF(IsPro,IF($D1747="","",K1747+M1747+N1747+O1747),"")</f>
        <v/>
      </c>
      <c r="Q1747" s="60" t="str">
        <f aca="false">IF(IsPro,IF($D1747="","",IFERROR(MATCH($D1747,Items!$A$5:$A$504,0),"")),"")</f>
        <v/>
      </c>
      <c r="R1747" s="60" t="str">
        <f aca="false">IF(IsPro,IF($C1747="","",IFERROR(MATCH($C1747,Parties!$A$5:$A$304,0),"")),"")</f>
        <v/>
      </c>
      <c r="S1747" s="61" t="str">
        <f aca="false">IF(IsPro,IF($D1747="","",IF(OR($H1747="",$H1747="Credit"),0,P1747)),"")</f>
        <v/>
      </c>
    </row>
    <row r="1748" customFormat="false" ht="15" hidden="false" customHeight="false" outlineLevel="0" collapsed="false">
      <c r="A1748" s="55"/>
      <c r="B1748" s="56"/>
      <c r="C1748" s="56"/>
      <c r="D1748" s="56"/>
      <c r="E1748" s="57"/>
      <c r="F1748" s="58"/>
      <c r="G1748" s="59"/>
      <c r="H1748" s="56"/>
      <c r="I1748" s="60" t="str">
        <f aca="false">IF(IsPro,IF($D1748="","",IFERROR(INDEX(Items!$D$5:$D$504,Q1748),"")),IF($D1748="","","PRO PLAN"))</f>
        <v/>
      </c>
      <c r="J1748" s="61" t="str">
        <f aca="false">IF(IsPro,IF($D1748="","",IF($F1748="",IFERROR(INDEX(Items!$G$5:$G$504,Q1748),0),$F1748)),"")</f>
        <v/>
      </c>
      <c r="K1748" s="61" t="str">
        <f aca="false">IF(IsPro,IF($D1748="","",ROUND(N($E1748)*J1748*(1-N($G1748)),2)),"")</f>
        <v/>
      </c>
      <c r="L1748" s="62" t="str">
        <f aca="false">IF(IsPro,IF($D1748="","",IFERROR(INDEX(Items!$F$5:$F$504,Q1748),0)),"")</f>
        <v/>
      </c>
      <c r="M1748" s="61" t="str">
        <f aca="false">IF(IsPro,IF($D1748="","",IF(AND(R1748&lt;&gt;"",INDEX(Parties!$E$5:$E$304,R1748)&lt;&gt;"",INDEX(Parties!$E$5:$E$304,R1748)&lt;&gt;HomeState),0,ROUND(K1748*L1748/2,2))),"")</f>
        <v/>
      </c>
      <c r="N1748" s="61" t="str">
        <f aca="false">IF(IsPro,IF($D1748="","",M1748),"")</f>
        <v/>
      </c>
      <c r="O1748" s="61" t="str">
        <f aca="false">IF(IsPro,IF($D1748="","",IF(AND(R1748&lt;&gt;"",INDEX(Parties!$E$5:$E$304,R1748)&lt;&gt;"",INDEX(Parties!$E$5:$E$304,R1748)&lt;&gt;HomeState),ROUND(K1748*L1748,2),0)),"")</f>
        <v/>
      </c>
      <c r="P1748" s="61" t="str">
        <f aca="false">IF(IsPro,IF($D1748="","",K1748+M1748+N1748+O1748),"")</f>
        <v/>
      </c>
      <c r="Q1748" s="60" t="str">
        <f aca="false">IF(IsPro,IF($D1748="","",IFERROR(MATCH($D1748,Items!$A$5:$A$504,0),"")),"")</f>
        <v/>
      </c>
      <c r="R1748" s="60" t="str">
        <f aca="false">IF(IsPro,IF($C1748="","",IFERROR(MATCH($C1748,Parties!$A$5:$A$304,0),"")),"")</f>
        <v/>
      </c>
      <c r="S1748" s="61" t="str">
        <f aca="false">IF(IsPro,IF($D1748="","",IF(OR($H1748="",$H1748="Credit"),0,P1748)),"")</f>
        <v/>
      </c>
    </row>
    <row r="1749" customFormat="false" ht="15" hidden="false" customHeight="false" outlineLevel="0" collapsed="false">
      <c r="A1749" s="55"/>
      <c r="B1749" s="56"/>
      <c r="C1749" s="56"/>
      <c r="D1749" s="56"/>
      <c r="E1749" s="57"/>
      <c r="F1749" s="58"/>
      <c r="G1749" s="59"/>
      <c r="H1749" s="56"/>
      <c r="I1749" s="60" t="str">
        <f aca="false">IF(IsPro,IF($D1749="","",IFERROR(INDEX(Items!$D$5:$D$504,Q1749),"")),IF($D1749="","","PRO PLAN"))</f>
        <v/>
      </c>
      <c r="J1749" s="61" t="str">
        <f aca="false">IF(IsPro,IF($D1749="","",IF($F1749="",IFERROR(INDEX(Items!$G$5:$G$504,Q1749),0),$F1749)),"")</f>
        <v/>
      </c>
      <c r="K1749" s="61" t="str">
        <f aca="false">IF(IsPro,IF($D1749="","",ROUND(N($E1749)*J1749*(1-N($G1749)),2)),"")</f>
        <v/>
      </c>
      <c r="L1749" s="62" t="str">
        <f aca="false">IF(IsPro,IF($D1749="","",IFERROR(INDEX(Items!$F$5:$F$504,Q1749),0)),"")</f>
        <v/>
      </c>
      <c r="M1749" s="61" t="str">
        <f aca="false">IF(IsPro,IF($D1749="","",IF(AND(R1749&lt;&gt;"",INDEX(Parties!$E$5:$E$304,R1749)&lt;&gt;"",INDEX(Parties!$E$5:$E$304,R1749)&lt;&gt;HomeState),0,ROUND(K1749*L1749/2,2))),"")</f>
        <v/>
      </c>
      <c r="N1749" s="61" t="str">
        <f aca="false">IF(IsPro,IF($D1749="","",M1749),"")</f>
        <v/>
      </c>
      <c r="O1749" s="61" t="str">
        <f aca="false">IF(IsPro,IF($D1749="","",IF(AND(R1749&lt;&gt;"",INDEX(Parties!$E$5:$E$304,R1749)&lt;&gt;"",INDEX(Parties!$E$5:$E$304,R1749)&lt;&gt;HomeState),ROUND(K1749*L1749,2),0)),"")</f>
        <v/>
      </c>
      <c r="P1749" s="61" t="str">
        <f aca="false">IF(IsPro,IF($D1749="","",K1749+M1749+N1749+O1749),"")</f>
        <v/>
      </c>
      <c r="Q1749" s="60" t="str">
        <f aca="false">IF(IsPro,IF($D1749="","",IFERROR(MATCH($D1749,Items!$A$5:$A$504,0),"")),"")</f>
        <v/>
      </c>
      <c r="R1749" s="60" t="str">
        <f aca="false">IF(IsPro,IF($C1749="","",IFERROR(MATCH($C1749,Parties!$A$5:$A$304,0),"")),"")</f>
        <v/>
      </c>
      <c r="S1749" s="61" t="str">
        <f aca="false">IF(IsPro,IF($D1749="","",IF(OR($H1749="",$H1749="Credit"),0,P1749)),"")</f>
        <v/>
      </c>
    </row>
    <row r="1750" customFormat="false" ht="15" hidden="false" customHeight="false" outlineLevel="0" collapsed="false">
      <c r="A1750" s="55"/>
      <c r="B1750" s="56"/>
      <c r="C1750" s="56"/>
      <c r="D1750" s="56"/>
      <c r="E1750" s="57"/>
      <c r="F1750" s="58"/>
      <c r="G1750" s="59"/>
      <c r="H1750" s="56"/>
      <c r="I1750" s="60" t="str">
        <f aca="false">IF(IsPro,IF($D1750="","",IFERROR(INDEX(Items!$D$5:$D$504,Q1750),"")),IF($D1750="","","PRO PLAN"))</f>
        <v/>
      </c>
      <c r="J1750" s="61" t="str">
        <f aca="false">IF(IsPro,IF($D1750="","",IF($F1750="",IFERROR(INDEX(Items!$G$5:$G$504,Q1750),0),$F1750)),"")</f>
        <v/>
      </c>
      <c r="K1750" s="61" t="str">
        <f aca="false">IF(IsPro,IF($D1750="","",ROUND(N($E1750)*J1750*(1-N($G1750)),2)),"")</f>
        <v/>
      </c>
      <c r="L1750" s="62" t="str">
        <f aca="false">IF(IsPro,IF($D1750="","",IFERROR(INDEX(Items!$F$5:$F$504,Q1750),0)),"")</f>
        <v/>
      </c>
      <c r="M1750" s="61" t="str">
        <f aca="false">IF(IsPro,IF($D1750="","",IF(AND(R1750&lt;&gt;"",INDEX(Parties!$E$5:$E$304,R1750)&lt;&gt;"",INDEX(Parties!$E$5:$E$304,R1750)&lt;&gt;HomeState),0,ROUND(K1750*L1750/2,2))),"")</f>
        <v/>
      </c>
      <c r="N1750" s="61" t="str">
        <f aca="false">IF(IsPro,IF($D1750="","",M1750),"")</f>
        <v/>
      </c>
      <c r="O1750" s="61" t="str">
        <f aca="false">IF(IsPro,IF($D1750="","",IF(AND(R1750&lt;&gt;"",INDEX(Parties!$E$5:$E$304,R1750)&lt;&gt;"",INDEX(Parties!$E$5:$E$304,R1750)&lt;&gt;HomeState),ROUND(K1750*L1750,2),0)),"")</f>
        <v/>
      </c>
      <c r="P1750" s="61" t="str">
        <f aca="false">IF(IsPro,IF($D1750="","",K1750+M1750+N1750+O1750),"")</f>
        <v/>
      </c>
      <c r="Q1750" s="60" t="str">
        <f aca="false">IF(IsPro,IF($D1750="","",IFERROR(MATCH($D1750,Items!$A$5:$A$504,0),"")),"")</f>
        <v/>
      </c>
      <c r="R1750" s="60" t="str">
        <f aca="false">IF(IsPro,IF($C1750="","",IFERROR(MATCH($C1750,Parties!$A$5:$A$304,0),"")),"")</f>
        <v/>
      </c>
      <c r="S1750" s="61" t="str">
        <f aca="false">IF(IsPro,IF($D1750="","",IF(OR($H1750="",$H1750="Credit"),0,P1750)),"")</f>
        <v/>
      </c>
    </row>
    <row r="1751" customFormat="false" ht="15" hidden="false" customHeight="false" outlineLevel="0" collapsed="false">
      <c r="A1751" s="55"/>
      <c r="B1751" s="56"/>
      <c r="C1751" s="56"/>
      <c r="D1751" s="56"/>
      <c r="E1751" s="57"/>
      <c r="F1751" s="58"/>
      <c r="G1751" s="59"/>
      <c r="H1751" s="56"/>
      <c r="I1751" s="60" t="str">
        <f aca="false">IF(IsPro,IF($D1751="","",IFERROR(INDEX(Items!$D$5:$D$504,Q1751),"")),IF($D1751="","","PRO PLAN"))</f>
        <v/>
      </c>
      <c r="J1751" s="61" t="str">
        <f aca="false">IF(IsPro,IF($D1751="","",IF($F1751="",IFERROR(INDEX(Items!$G$5:$G$504,Q1751),0),$F1751)),"")</f>
        <v/>
      </c>
      <c r="K1751" s="61" t="str">
        <f aca="false">IF(IsPro,IF($D1751="","",ROUND(N($E1751)*J1751*(1-N($G1751)),2)),"")</f>
        <v/>
      </c>
      <c r="L1751" s="62" t="str">
        <f aca="false">IF(IsPro,IF($D1751="","",IFERROR(INDEX(Items!$F$5:$F$504,Q1751),0)),"")</f>
        <v/>
      </c>
      <c r="M1751" s="61" t="str">
        <f aca="false">IF(IsPro,IF($D1751="","",IF(AND(R1751&lt;&gt;"",INDEX(Parties!$E$5:$E$304,R1751)&lt;&gt;"",INDEX(Parties!$E$5:$E$304,R1751)&lt;&gt;HomeState),0,ROUND(K1751*L1751/2,2))),"")</f>
        <v/>
      </c>
      <c r="N1751" s="61" t="str">
        <f aca="false">IF(IsPro,IF($D1751="","",M1751),"")</f>
        <v/>
      </c>
      <c r="O1751" s="61" t="str">
        <f aca="false">IF(IsPro,IF($D1751="","",IF(AND(R1751&lt;&gt;"",INDEX(Parties!$E$5:$E$304,R1751)&lt;&gt;"",INDEX(Parties!$E$5:$E$304,R1751)&lt;&gt;HomeState),ROUND(K1751*L1751,2),0)),"")</f>
        <v/>
      </c>
      <c r="P1751" s="61" t="str">
        <f aca="false">IF(IsPro,IF($D1751="","",K1751+M1751+N1751+O1751),"")</f>
        <v/>
      </c>
      <c r="Q1751" s="60" t="str">
        <f aca="false">IF(IsPro,IF($D1751="","",IFERROR(MATCH($D1751,Items!$A$5:$A$504,0),"")),"")</f>
        <v/>
      </c>
      <c r="R1751" s="60" t="str">
        <f aca="false">IF(IsPro,IF($C1751="","",IFERROR(MATCH($C1751,Parties!$A$5:$A$304,0),"")),"")</f>
        <v/>
      </c>
      <c r="S1751" s="61" t="str">
        <f aca="false">IF(IsPro,IF($D1751="","",IF(OR($H1751="",$H1751="Credit"),0,P1751)),"")</f>
        <v/>
      </c>
    </row>
    <row r="1752" customFormat="false" ht="15" hidden="false" customHeight="false" outlineLevel="0" collapsed="false">
      <c r="A1752" s="55"/>
      <c r="B1752" s="56"/>
      <c r="C1752" s="56"/>
      <c r="D1752" s="56"/>
      <c r="E1752" s="57"/>
      <c r="F1752" s="58"/>
      <c r="G1752" s="59"/>
      <c r="H1752" s="56"/>
      <c r="I1752" s="60" t="str">
        <f aca="false">IF(IsPro,IF($D1752="","",IFERROR(INDEX(Items!$D$5:$D$504,Q1752),"")),IF($D1752="","","PRO PLAN"))</f>
        <v/>
      </c>
      <c r="J1752" s="61" t="str">
        <f aca="false">IF(IsPro,IF($D1752="","",IF($F1752="",IFERROR(INDEX(Items!$G$5:$G$504,Q1752),0),$F1752)),"")</f>
        <v/>
      </c>
      <c r="K1752" s="61" t="str">
        <f aca="false">IF(IsPro,IF($D1752="","",ROUND(N($E1752)*J1752*(1-N($G1752)),2)),"")</f>
        <v/>
      </c>
      <c r="L1752" s="62" t="str">
        <f aca="false">IF(IsPro,IF($D1752="","",IFERROR(INDEX(Items!$F$5:$F$504,Q1752),0)),"")</f>
        <v/>
      </c>
      <c r="M1752" s="61" t="str">
        <f aca="false">IF(IsPro,IF($D1752="","",IF(AND(R1752&lt;&gt;"",INDEX(Parties!$E$5:$E$304,R1752)&lt;&gt;"",INDEX(Parties!$E$5:$E$304,R1752)&lt;&gt;HomeState),0,ROUND(K1752*L1752/2,2))),"")</f>
        <v/>
      </c>
      <c r="N1752" s="61" t="str">
        <f aca="false">IF(IsPro,IF($D1752="","",M1752),"")</f>
        <v/>
      </c>
      <c r="O1752" s="61" t="str">
        <f aca="false">IF(IsPro,IF($D1752="","",IF(AND(R1752&lt;&gt;"",INDEX(Parties!$E$5:$E$304,R1752)&lt;&gt;"",INDEX(Parties!$E$5:$E$304,R1752)&lt;&gt;HomeState),ROUND(K1752*L1752,2),0)),"")</f>
        <v/>
      </c>
      <c r="P1752" s="61" t="str">
        <f aca="false">IF(IsPro,IF($D1752="","",K1752+M1752+N1752+O1752),"")</f>
        <v/>
      </c>
      <c r="Q1752" s="60" t="str">
        <f aca="false">IF(IsPro,IF($D1752="","",IFERROR(MATCH($D1752,Items!$A$5:$A$504,0),"")),"")</f>
        <v/>
      </c>
      <c r="R1752" s="60" t="str">
        <f aca="false">IF(IsPro,IF($C1752="","",IFERROR(MATCH($C1752,Parties!$A$5:$A$304,0),"")),"")</f>
        <v/>
      </c>
      <c r="S1752" s="61" t="str">
        <f aca="false">IF(IsPro,IF($D1752="","",IF(OR($H1752="",$H1752="Credit"),0,P1752)),"")</f>
        <v/>
      </c>
    </row>
    <row r="1753" customFormat="false" ht="15" hidden="false" customHeight="false" outlineLevel="0" collapsed="false">
      <c r="A1753" s="55"/>
      <c r="B1753" s="56"/>
      <c r="C1753" s="56"/>
      <c r="D1753" s="56"/>
      <c r="E1753" s="57"/>
      <c r="F1753" s="58"/>
      <c r="G1753" s="59"/>
      <c r="H1753" s="56"/>
      <c r="I1753" s="60" t="str">
        <f aca="false">IF(IsPro,IF($D1753="","",IFERROR(INDEX(Items!$D$5:$D$504,Q1753),"")),IF($D1753="","","PRO PLAN"))</f>
        <v/>
      </c>
      <c r="J1753" s="61" t="str">
        <f aca="false">IF(IsPro,IF($D1753="","",IF($F1753="",IFERROR(INDEX(Items!$G$5:$G$504,Q1753),0),$F1753)),"")</f>
        <v/>
      </c>
      <c r="K1753" s="61" t="str">
        <f aca="false">IF(IsPro,IF($D1753="","",ROUND(N($E1753)*J1753*(1-N($G1753)),2)),"")</f>
        <v/>
      </c>
      <c r="L1753" s="62" t="str">
        <f aca="false">IF(IsPro,IF($D1753="","",IFERROR(INDEX(Items!$F$5:$F$504,Q1753),0)),"")</f>
        <v/>
      </c>
      <c r="M1753" s="61" t="str">
        <f aca="false">IF(IsPro,IF($D1753="","",IF(AND(R1753&lt;&gt;"",INDEX(Parties!$E$5:$E$304,R1753)&lt;&gt;"",INDEX(Parties!$E$5:$E$304,R1753)&lt;&gt;HomeState),0,ROUND(K1753*L1753/2,2))),"")</f>
        <v/>
      </c>
      <c r="N1753" s="61" t="str">
        <f aca="false">IF(IsPro,IF($D1753="","",M1753),"")</f>
        <v/>
      </c>
      <c r="O1753" s="61" t="str">
        <f aca="false">IF(IsPro,IF($D1753="","",IF(AND(R1753&lt;&gt;"",INDEX(Parties!$E$5:$E$304,R1753)&lt;&gt;"",INDEX(Parties!$E$5:$E$304,R1753)&lt;&gt;HomeState),ROUND(K1753*L1753,2),0)),"")</f>
        <v/>
      </c>
      <c r="P1753" s="61" t="str">
        <f aca="false">IF(IsPro,IF($D1753="","",K1753+M1753+N1753+O1753),"")</f>
        <v/>
      </c>
      <c r="Q1753" s="60" t="str">
        <f aca="false">IF(IsPro,IF($D1753="","",IFERROR(MATCH($D1753,Items!$A$5:$A$504,0),"")),"")</f>
        <v/>
      </c>
      <c r="R1753" s="60" t="str">
        <f aca="false">IF(IsPro,IF($C1753="","",IFERROR(MATCH($C1753,Parties!$A$5:$A$304,0),"")),"")</f>
        <v/>
      </c>
      <c r="S1753" s="61" t="str">
        <f aca="false">IF(IsPro,IF($D1753="","",IF(OR($H1753="",$H1753="Credit"),0,P1753)),"")</f>
        <v/>
      </c>
    </row>
    <row r="1754" customFormat="false" ht="15" hidden="false" customHeight="false" outlineLevel="0" collapsed="false">
      <c r="A1754" s="55"/>
      <c r="B1754" s="56"/>
      <c r="C1754" s="56"/>
      <c r="D1754" s="56"/>
      <c r="E1754" s="57"/>
      <c r="F1754" s="58"/>
      <c r="G1754" s="59"/>
      <c r="H1754" s="56"/>
      <c r="I1754" s="60" t="str">
        <f aca="false">IF(IsPro,IF($D1754="","",IFERROR(INDEX(Items!$D$5:$D$504,Q1754),"")),IF($D1754="","","PRO PLAN"))</f>
        <v/>
      </c>
      <c r="J1754" s="61" t="str">
        <f aca="false">IF(IsPro,IF($D1754="","",IF($F1754="",IFERROR(INDEX(Items!$G$5:$G$504,Q1754),0),$F1754)),"")</f>
        <v/>
      </c>
      <c r="K1754" s="61" t="str">
        <f aca="false">IF(IsPro,IF($D1754="","",ROUND(N($E1754)*J1754*(1-N($G1754)),2)),"")</f>
        <v/>
      </c>
      <c r="L1754" s="62" t="str">
        <f aca="false">IF(IsPro,IF($D1754="","",IFERROR(INDEX(Items!$F$5:$F$504,Q1754),0)),"")</f>
        <v/>
      </c>
      <c r="M1754" s="61" t="str">
        <f aca="false">IF(IsPro,IF($D1754="","",IF(AND(R1754&lt;&gt;"",INDEX(Parties!$E$5:$E$304,R1754)&lt;&gt;"",INDEX(Parties!$E$5:$E$304,R1754)&lt;&gt;HomeState),0,ROUND(K1754*L1754/2,2))),"")</f>
        <v/>
      </c>
      <c r="N1754" s="61" t="str">
        <f aca="false">IF(IsPro,IF($D1754="","",M1754),"")</f>
        <v/>
      </c>
      <c r="O1754" s="61" t="str">
        <f aca="false">IF(IsPro,IF($D1754="","",IF(AND(R1754&lt;&gt;"",INDEX(Parties!$E$5:$E$304,R1754)&lt;&gt;"",INDEX(Parties!$E$5:$E$304,R1754)&lt;&gt;HomeState),ROUND(K1754*L1754,2),0)),"")</f>
        <v/>
      </c>
      <c r="P1754" s="61" t="str">
        <f aca="false">IF(IsPro,IF($D1754="","",K1754+M1754+N1754+O1754),"")</f>
        <v/>
      </c>
      <c r="Q1754" s="60" t="str">
        <f aca="false">IF(IsPro,IF($D1754="","",IFERROR(MATCH($D1754,Items!$A$5:$A$504,0),"")),"")</f>
        <v/>
      </c>
      <c r="R1754" s="60" t="str">
        <f aca="false">IF(IsPro,IF($C1754="","",IFERROR(MATCH($C1754,Parties!$A$5:$A$304,0),"")),"")</f>
        <v/>
      </c>
      <c r="S1754" s="61" t="str">
        <f aca="false">IF(IsPro,IF($D1754="","",IF(OR($H1754="",$H1754="Credit"),0,P1754)),"")</f>
        <v/>
      </c>
    </row>
    <row r="1755" customFormat="false" ht="15" hidden="false" customHeight="false" outlineLevel="0" collapsed="false">
      <c r="A1755" s="55"/>
      <c r="B1755" s="56"/>
      <c r="C1755" s="56"/>
      <c r="D1755" s="56"/>
      <c r="E1755" s="57"/>
      <c r="F1755" s="58"/>
      <c r="G1755" s="59"/>
      <c r="H1755" s="56"/>
      <c r="I1755" s="60" t="str">
        <f aca="false">IF(IsPro,IF($D1755="","",IFERROR(INDEX(Items!$D$5:$D$504,Q1755),"")),IF($D1755="","","PRO PLAN"))</f>
        <v/>
      </c>
      <c r="J1755" s="61" t="str">
        <f aca="false">IF(IsPro,IF($D1755="","",IF($F1755="",IFERROR(INDEX(Items!$G$5:$G$504,Q1755),0),$F1755)),"")</f>
        <v/>
      </c>
      <c r="K1755" s="61" t="str">
        <f aca="false">IF(IsPro,IF($D1755="","",ROUND(N($E1755)*J1755*(1-N($G1755)),2)),"")</f>
        <v/>
      </c>
      <c r="L1755" s="62" t="str">
        <f aca="false">IF(IsPro,IF($D1755="","",IFERROR(INDEX(Items!$F$5:$F$504,Q1755),0)),"")</f>
        <v/>
      </c>
      <c r="M1755" s="61" t="str">
        <f aca="false">IF(IsPro,IF($D1755="","",IF(AND(R1755&lt;&gt;"",INDEX(Parties!$E$5:$E$304,R1755)&lt;&gt;"",INDEX(Parties!$E$5:$E$304,R1755)&lt;&gt;HomeState),0,ROUND(K1755*L1755/2,2))),"")</f>
        <v/>
      </c>
      <c r="N1755" s="61" t="str">
        <f aca="false">IF(IsPro,IF($D1755="","",M1755),"")</f>
        <v/>
      </c>
      <c r="O1755" s="61" t="str">
        <f aca="false">IF(IsPro,IF($D1755="","",IF(AND(R1755&lt;&gt;"",INDEX(Parties!$E$5:$E$304,R1755)&lt;&gt;"",INDEX(Parties!$E$5:$E$304,R1755)&lt;&gt;HomeState),ROUND(K1755*L1755,2),0)),"")</f>
        <v/>
      </c>
      <c r="P1755" s="61" t="str">
        <f aca="false">IF(IsPro,IF($D1755="","",K1755+M1755+N1755+O1755),"")</f>
        <v/>
      </c>
      <c r="Q1755" s="60" t="str">
        <f aca="false">IF(IsPro,IF($D1755="","",IFERROR(MATCH($D1755,Items!$A$5:$A$504,0),"")),"")</f>
        <v/>
      </c>
      <c r="R1755" s="60" t="str">
        <f aca="false">IF(IsPro,IF($C1755="","",IFERROR(MATCH($C1755,Parties!$A$5:$A$304,0),"")),"")</f>
        <v/>
      </c>
      <c r="S1755" s="61" t="str">
        <f aca="false">IF(IsPro,IF($D1755="","",IF(OR($H1755="",$H1755="Credit"),0,P1755)),"")</f>
        <v/>
      </c>
    </row>
    <row r="1756" customFormat="false" ht="15" hidden="false" customHeight="false" outlineLevel="0" collapsed="false">
      <c r="A1756" s="55"/>
      <c r="B1756" s="56"/>
      <c r="C1756" s="56"/>
      <c r="D1756" s="56"/>
      <c r="E1756" s="57"/>
      <c r="F1756" s="58"/>
      <c r="G1756" s="59"/>
      <c r="H1756" s="56"/>
      <c r="I1756" s="60" t="str">
        <f aca="false">IF(IsPro,IF($D1756="","",IFERROR(INDEX(Items!$D$5:$D$504,Q1756),"")),IF($D1756="","","PRO PLAN"))</f>
        <v/>
      </c>
      <c r="J1756" s="61" t="str">
        <f aca="false">IF(IsPro,IF($D1756="","",IF($F1756="",IFERROR(INDEX(Items!$G$5:$G$504,Q1756),0),$F1756)),"")</f>
        <v/>
      </c>
      <c r="K1756" s="61" t="str">
        <f aca="false">IF(IsPro,IF($D1756="","",ROUND(N($E1756)*J1756*(1-N($G1756)),2)),"")</f>
        <v/>
      </c>
      <c r="L1756" s="62" t="str">
        <f aca="false">IF(IsPro,IF($D1756="","",IFERROR(INDEX(Items!$F$5:$F$504,Q1756),0)),"")</f>
        <v/>
      </c>
      <c r="M1756" s="61" t="str">
        <f aca="false">IF(IsPro,IF($D1756="","",IF(AND(R1756&lt;&gt;"",INDEX(Parties!$E$5:$E$304,R1756)&lt;&gt;"",INDEX(Parties!$E$5:$E$304,R1756)&lt;&gt;HomeState),0,ROUND(K1756*L1756/2,2))),"")</f>
        <v/>
      </c>
      <c r="N1756" s="61" t="str">
        <f aca="false">IF(IsPro,IF($D1756="","",M1756),"")</f>
        <v/>
      </c>
      <c r="O1756" s="61" t="str">
        <f aca="false">IF(IsPro,IF($D1756="","",IF(AND(R1756&lt;&gt;"",INDEX(Parties!$E$5:$E$304,R1756)&lt;&gt;"",INDEX(Parties!$E$5:$E$304,R1756)&lt;&gt;HomeState),ROUND(K1756*L1756,2),0)),"")</f>
        <v/>
      </c>
      <c r="P1756" s="61" t="str">
        <f aca="false">IF(IsPro,IF($D1756="","",K1756+M1756+N1756+O1756),"")</f>
        <v/>
      </c>
      <c r="Q1756" s="60" t="str">
        <f aca="false">IF(IsPro,IF($D1756="","",IFERROR(MATCH($D1756,Items!$A$5:$A$504,0),"")),"")</f>
        <v/>
      </c>
      <c r="R1756" s="60" t="str">
        <f aca="false">IF(IsPro,IF($C1756="","",IFERROR(MATCH($C1756,Parties!$A$5:$A$304,0),"")),"")</f>
        <v/>
      </c>
      <c r="S1756" s="61" t="str">
        <f aca="false">IF(IsPro,IF($D1756="","",IF(OR($H1756="",$H1756="Credit"),0,P1756)),"")</f>
        <v/>
      </c>
    </row>
    <row r="1757" customFormat="false" ht="15" hidden="false" customHeight="false" outlineLevel="0" collapsed="false">
      <c r="A1757" s="55"/>
      <c r="B1757" s="56"/>
      <c r="C1757" s="56"/>
      <c r="D1757" s="56"/>
      <c r="E1757" s="57"/>
      <c r="F1757" s="58"/>
      <c r="G1757" s="59"/>
      <c r="H1757" s="56"/>
      <c r="I1757" s="60" t="str">
        <f aca="false">IF(IsPro,IF($D1757="","",IFERROR(INDEX(Items!$D$5:$D$504,Q1757),"")),IF($D1757="","","PRO PLAN"))</f>
        <v/>
      </c>
      <c r="J1757" s="61" t="str">
        <f aca="false">IF(IsPro,IF($D1757="","",IF($F1757="",IFERROR(INDEX(Items!$G$5:$G$504,Q1757),0),$F1757)),"")</f>
        <v/>
      </c>
      <c r="K1757" s="61" t="str">
        <f aca="false">IF(IsPro,IF($D1757="","",ROUND(N($E1757)*J1757*(1-N($G1757)),2)),"")</f>
        <v/>
      </c>
      <c r="L1757" s="62" t="str">
        <f aca="false">IF(IsPro,IF($D1757="","",IFERROR(INDEX(Items!$F$5:$F$504,Q1757),0)),"")</f>
        <v/>
      </c>
      <c r="M1757" s="61" t="str">
        <f aca="false">IF(IsPro,IF($D1757="","",IF(AND(R1757&lt;&gt;"",INDEX(Parties!$E$5:$E$304,R1757)&lt;&gt;"",INDEX(Parties!$E$5:$E$304,R1757)&lt;&gt;HomeState),0,ROUND(K1757*L1757/2,2))),"")</f>
        <v/>
      </c>
      <c r="N1757" s="61" t="str">
        <f aca="false">IF(IsPro,IF($D1757="","",M1757),"")</f>
        <v/>
      </c>
      <c r="O1757" s="61" t="str">
        <f aca="false">IF(IsPro,IF($D1757="","",IF(AND(R1757&lt;&gt;"",INDEX(Parties!$E$5:$E$304,R1757)&lt;&gt;"",INDEX(Parties!$E$5:$E$304,R1757)&lt;&gt;HomeState),ROUND(K1757*L1757,2),0)),"")</f>
        <v/>
      </c>
      <c r="P1757" s="61" t="str">
        <f aca="false">IF(IsPro,IF($D1757="","",K1757+M1757+N1757+O1757),"")</f>
        <v/>
      </c>
      <c r="Q1757" s="60" t="str">
        <f aca="false">IF(IsPro,IF($D1757="","",IFERROR(MATCH($D1757,Items!$A$5:$A$504,0),"")),"")</f>
        <v/>
      </c>
      <c r="R1757" s="60" t="str">
        <f aca="false">IF(IsPro,IF($C1757="","",IFERROR(MATCH($C1757,Parties!$A$5:$A$304,0),"")),"")</f>
        <v/>
      </c>
      <c r="S1757" s="61" t="str">
        <f aca="false">IF(IsPro,IF($D1757="","",IF(OR($H1757="",$H1757="Credit"),0,P1757)),"")</f>
        <v/>
      </c>
    </row>
    <row r="1758" customFormat="false" ht="15" hidden="false" customHeight="false" outlineLevel="0" collapsed="false">
      <c r="A1758" s="55"/>
      <c r="B1758" s="56"/>
      <c r="C1758" s="56"/>
      <c r="D1758" s="56"/>
      <c r="E1758" s="57"/>
      <c r="F1758" s="58"/>
      <c r="G1758" s="59"/>
      <c r="H1758" s="56"/>
      <c r="I1758" s="60" t="str">
        <f aca="false">IF(IsPro,IF($D1758="","",IFERROR(INDEX(Items!$D$5:$D$504,Q1758),"")),IF($D1758="","","PRO PLAN"))</f>
        <v/>
      </c>
      <c r="J1758" s="61" t="str">
        <f aca="false">IF(IsPro,IF($D1758="","",IF($F1758="",IFERROR(INDEX(Items!$G$5:$G$504,Q1758),0),$F1758)),"")</f>
        <v/>
      </c>
      <c r="K1758" s="61" t="str">
        <f aca="false">IF(IsPro,IF($D1758="","",ROUND(N($E1758)*J1758*(1-N($G1758)),2)),"")</f>
        <v/>
      </c>
      <c r="L1758" s="62" t="str">
        <f aca="false">IF(IsPro,IF($D1758="","",IFERROR(INDEX(Items!$F$5:$F$504,Q1758),0)),"")</f>
        <v/>
      </c>
      <c r="M1758" s="61" t="str">
        <f aca="false">IF(IsPro,IF($D1758="","",IF(AND(R1758&lt;&gt;"",INDEX(Parties!$E$5:$E$304,R1758)&lt;&gt;"",INDEX(Parties!$E$5:$E$304,R1758)&lt;&gt;HomeState),0,ROUND(K1758*L1758/2,2))),"")</f>
        <v/>
      </c>
      <c r="N1758" s="61" t="str">
        <f aca="false">IF(IsPro,IF($D1758="","",M1758),"")</f>
        <v/>
      </c>
      <c r="O1758" s="61" t="str">
        <f aca="false">IF(IsPro,IF($D1758="","",IF(AND(R1758&lt;&gt;"",INDEX(Parties!$E$5:$E$304,R1758)&lt;&gt;"",INDEX(Parties!$E$5:$E$304,R1758)&lt;&gt;HomeState),ROUND(K1758*L1758,2),0)),"")</f>
        <v/>
      </c>
      <c r="P1758" s="61" t="str">
        <f aca="false">IF(IsPro,IF($D1758="","",K1758+M1758+N1758+O1758),"")</f>
        <v/>
      </c>
      <c r="Q1758" s="60" t="str">
        <f aca="false">IF(IsPro,IF($D1758="","",IFERROR(MATCH($D1758,Items!$A$5:$A$504,0),"")),"")</f>
        <v/>
      </c>
      <c r="R1758" s="60" t="str">
        <f aca="false">IF(IsPro,IF($C1758="","",IFERROR(MATCH($C1758,Parties!$A$5:$A$304,0),"")),"")</f>
        <v/>
      </c>
      <c r="S1758" s="61" t="str">
        <f aca="false">IF(IsPro,IF($D1758="","",IF(OR($H1758="",$H1758="Credit"),0,P1758)),"")</f>
        <v/>
      </c>
    </row>
    <row r="1759" customFormat="false" ht="15" hidden="false" customHeight="false" outlineLevel="0" collapsed="false">
      <c r="A1759" s="55"/>
      <c r="B1759" s="56"/>
      <c r="C1759" s="56"/>
      <c r="D1759" s="56"/>
      <c r="E1759" s="57"/>
      <c r="F1759" s="58"/>
      <c r="G1759" s="59"/>
      <c r="H1759" s="56"/>
      <c r="I1759" s="60" t="str">
        <f aca="false">IF(IsPro,IF($D1759="","",IFERROR(INDEX(Items!$D$5:$D$504,Q1759),"")),IF($D1759="","","PRO PLAN"))</f>
        <v/>
      </c>
      <c r="J1759" s="61" t="str">
        <f aca="false">IF(IsPro,IF($D1759="","",IF($F1759="",IFERROR(INDEX(Items!$G$5:$G$504,Q1759),0),$F1759)),"")</f>
        <v/>
      </c>
      <c r="K1759" s="61" t="str">
        <f aca="false">IF(IsPro,IF($D1759="","",ROUND(N($E1759)*J1759*(1-N($G1759)),2)),"")</f>
        <v/>
      </c>
      <c r="L1759" s="62" t="str">
        <f aca="false">IF(IsPro,IF($D1759="","",IFERROR(INDEX(Items!$F$5:$F$504,Q1759),0)),"")</f>
        <v/>
      </c>
      <c r="M1759" s="61" t="str">
        <f aca="false">IF(IsPro,IF($D1759="","",IF(AND(R1759&lt;&gt;"",INDEX(Parties!$E$5:$E$304,R1759)&lt;&gt;"",INDEX(Parties!$E$5:$E$304,R1759)&lt;&gt;HomeState),0,ROUND(K1759*L1759/2,2))),"")</f>
        <v/>
      </c>
      <c r="N1759" s="61" t="str">
        <f aca="false">IF(IsPro,IF($D1759="","",M1759),"")</f>
        <v/>
      </c>
      <c r="O1759" s="61" t="str">
        <f aca="false">IF(IsPro,IF($D1759="","",IF(AND(R1759&lt;&gt;"",INDEX(Parties!$E$5:$E$304,R1759)&lt;&gt;"",INDEX(Parties!$E$5:$E$304,R1759)&lt;&gt;HomeState),ROUND(K1759*L1759,2),0)),"")</f>
        <v/>
      </c>
      <c r="P1759" s="61" t="str">
        <f aca="false">IF(IsPro,IF($D1759="","",K1759+M1759+N1759+O1759),"")</f>
        <v/>
      </c>
      <c r="Q1759" s="60" t="str">
        <f aca="false">IF(IsPro,IF($D1759="","",IFERROR(MATCH($D1759,Items!$A$5:$A$504,0),"")),"")</f>
        <v/>
      </c>
      <c r="R1759" s="60" t="str">
        <f aca="false">IF(IsPro,IF($C1759="","",IFERROR(MATCH($C1759,Parties!$A$5:$A$304,0),"")),"")</f>
        <v/>
      </c>
      <c r="S1759" s="61" t="str">
        <f aca="false">IF(IsPro,IF($D1759="","",IF(OR($H1759="",$H1759="Credit"),0,P1759)),"")</f>
        <v/>
      </c>
    </row>
    <row r="1760" customFormat="false" ht="15" hidden="false" customHeight="false" outlineLevel="0" collapsed="false">
      <c r="A1760" s="55"/>
      <c r="B1760" s="56"/>
      <c r="C1760" s="56"/>
      <c r="D1760" s="56"/>
      <c r="E1760" s="57"/>
      <c r="F1760" s="58"/>
      <c r="G1760" s="59"/>
      <c r="H1760" s="56"/>
      <c r="I1760" s="60" t="str">
        <f aca="false">IF(IsPro,IF($D1760="","",IFERROR(INDEX(Items!$D$5:$D$504,Q1760),"")),IF($D1760="","","PRO PLAN"))</f>
        <v/>
      </c>
      <c r="J1760" s="61" t="str">
        <f aca="false">IF(IsPro,IF($D1760="","",IF($F1760="",IFERROR(INDEX(Items!$G$5:$G$504,Q1760),0),$F1760)),"")</f>
        <v/>
      </c>
      <c r="K1760" s="61" t="str">
        <f aca="false">IF(IsPro,IF($D1760="","",ROUND(N($E1760)*J1760*(1-N($G1760)),2)),"")</f>
        <v/>
      </c>
      <c r="L1760" s="62" t="str">
        <f aca="false">IF(IsPro,IF($D1760="","",IFERROR(INDEX(Items!$F$5:$F$504,Q1760),0)),"")</f>
        <v/>
      </c>
      <c r="M1760" s="61" t="str">
        <f aca="false">IF(IsPro,IF($D1760="","",IF(AND(R1760&lt;&gt;"",INDEX(Parties!$E$5:$E$304,R1760)&lt;&gt;"",INDEX(Parties!$E$5:$E$304,R1760)&lt;&gt;HomeState),0,ROUND(K1760*L1760/2,2))),"")</f>
        <v/>
      </c>
      <c r="N1760" s="61" t="str">
        <f aca="false">IF(IsPro,IF($D1760="","",M1760),"")</f>
        <v/>
      </c>
      <c r="O1760" s="61" t="str">
        <f aca="false">IF(IsPro,IF($D1760="","",IF(AND(R1760&lt;&gt;"",INDEX(Parties!$E$5:$E$304,R1760)&lt;&gt;"",INDEX(Parties!$E$5:$E$304,R1760)&lt;&gt;HomeState),ROUND(K1760*L1760,2),0)),"")</f>
        <v/>
      </c>
      <c r="P1760" s="61" t="str">
        <f aca="false">IF(IsPro,IF($D1760="","",K1760+M1760+N1760+O1760),"")</f>
        <v/>
      </c>
      <c r="Q1760" s="60" t="str">
        <f aca="false">IF(IsPro,IF($D1760="","",IFERROR(MATCH($D1760,Items!$A$5:$A$504,0),"")),"")</f>
        <v/>
      </c>
      <c r="R1760" s="60" t="str">
        <f aca="false">IF(IsPro,IF($C1760="","",IFERROR(MATCH($C1760,Parties!$A$5:$A$304,0),"")),"")</f>
        <v/>
      </c>
      <c r="S1760" s="61" t="str">
        <f aca="false">IF(IsPro,IF($D1760="","",IF(OR($H1760="",$H1760="Credit"),0,P1760)),"")</f>
        <v/>
      </c>
    </row>
    <row r="1761" customFormat="false" ht="15" hidden="false" customHeight="false" outlineLevel="0" collapsed="false">
      <c r="A1761" s="55"/>
      <c r="B1761" s="56"/>
      <c r="C1761" s="56"/>
      <c r="D1761" s="56"/>
      <c r="E1761" s="57"/>
      <c r="F1761" s="58"/>
      <c r="G1761" s="59"/>
      <c r="H1761" s="56"/>
      <c r="I1761" s="60" t="str">
        <f aca="false">IF(IsPro,IF($D1761="","",IFERROR(INDEX(Items!$D$5:$D$504,Q1761),"")),IF($D1761="","","PRO PLAN"))</f>
        <v/>
      </c>
      <c r="J1761" s="61" t="str">
        <f aca="false">IF(IsPro,IF($D1761="","",IF($F1761="",IFERROR(INDEX(Items!$G$5:$G$504,Q1761),0),$F1761)),"")</f>
        <v/>
      </c>
      <c r="K1761" s="61" t="str">
        <f aca="false">IF(IsPro,IF($D1761="","",ROUND(N($E1761)*J1761*(1-N($G1761)),2)),"")</f>
        <v/>
      </c>
      <c r="L1761" s="62" t="str">
        <f aca="false">IF(IsPro,IF($D1761="","",IFERROR(INDEX(Items!$F$5:$F$504,Q1761),0)),"")</f>
        <v/>
      </c>
      <c r="M1761" s="61" t="str">
        <f aca="false">IF(IsPro,IF($D1761="","",IF(AND(R1761&lt;&gt;"",INDEX(Parties!$E$5:$E$304,R1761)&lt;&gt;"",INDEX(Parties!$E$5:$E$304,R1761)&lt;&gt;HomeState),0,ROUND(K1761*L1761/2,2))),"")</f>
        <v/>
      </c>
      <c r="N1761" s="61" t="str">
        <f aca="false">IF(IsPro,IF($D1761="","",M1761),"")</f>
        <v/>
      </c>
      <c r="O1761" s="61" t="str">
        <f aca="false">IF(IsPro,IF($D1761="","",IF(AND(R1761&lt;&gt;"",INDEX(Parties!$E$5:$E$304,R1761)&lt;&gt;"",INDEX(Parties!$E$5:$E$304,R1761)&lt;&gt;HomeState),ROUND(K1761*L1761,2),0)),"")</f>
        <v/>
      </c>
      <c r="P1761" s="61" t="str">
        <f aca="false">IF(IsPro,IF($D1761="","",K1761+M1761+N1761+O1761),"")</f>
        <v/>
      </c>
      <c r="Q1761" s="60" t="str">
        <f aca="false">IF(IsPro,IF($D1761="","",IFERROR(MATCH($D1761,Items!$A$5:$A$504,0),"")),"")</f>
        <v/>
      </c>
      <c r="R1761" s="60" t="str">
        <f aca="false">IF(IsPro,IF($C1761="","",IFERROR(MATCH($C1761,Parties!$A$5:$A$304,0),"")),"")</f>
        <v/>
      </c>
      <c r="S1761" s="61" t="str">
        <f aca="false">IF(IsPro,IF($D1761="","",IF(OR($H1761="",$H1761="Credit"),0,P1761)),"")</f>
        <v/>
      </c>
    </row>
    <row r="1762" customFormat="false" ht="15" hidden="false" customHeight="false" outlineLevel="0" collapsed="false">
      <c r="A1762" s="55"/>
      <c r="B1762" s="56"/>
      <c r="C1762" s="56"/>
      <c r="D1762" s="56"/>
      <c r="E1762" s="57"/>
      <c r="F1762" s="58"/>
      <c r="G1762" s="59"/>
      <c r="H1762" s="56"/>
      <c r="I1762" s="60" t="str">
        <f aca="false">IF(IsPro,IF($D1762="","",IFERROR(INDEX(Items!$D$5:$D$504,Q1762),"")),IF($D1762="","","PRO PLAN"))</f>
        <v/>
      </c>
      <c r="J1762" s="61" t="str">
        <f aca="false">IF(IsPro,IF($D1762="","",IF($F1762="",IFERROR(INDEX(Items!$G$5:$G$504,Q1762),0),$F1762)),"")</f>
        <v/>
      </c>
      <c r="K1762" s="61" t="str">
        <f aca="false">IF(IsPro,IF($D1762="","",ROUND(N($E1762)*J1762*(1-N($G1762)),2)),"")</f>
        <v/>
      </c>
      <c r="L1762" s="62" t="str">
        <f aca="false">IF(IsPro,IF($D1762="","",IFERROR(INDEX(Items!$F$5:$F$504,Q1762),0)),"")</f>
        <v/>
      </c>
      <c r="M1762" s="61" t="str">
        <f aca="false">IF(IsPro,IF($D1762="","",IF(AND(R1762&lt;&gt;"",INDEX(Parties!$E$5:$E$304,R1762)&lt;&gt;"",INDEX(Parties!$E$5:$E$304,R1762)&lt;&gt;HomeState),0,ROUND(K1762*L1762/2,2))),"")</f>
        <v/>
      </c>
      <c r="N1762" s="61" t="str">
        <f aca="false">IF(IsPro,IF($D1762="","",M1762),"")</f>
        <v/>
      </c>
      <c r="O1762" s="61" t="str">
        <f aca="false">IF(IsPro,IF($D1762="","",IF(AND(R1762&lt;&gt;"",INDEX(Parties!$E$5:$E$304,R1762)&lt;&gt;"",INDEX(Parties!$E$5:$E$304,R1762)&lt;&gt;HomeState),ROUND(K1762*L1762,2),0)),"")</f>
        <v/>
      </c>
      <c r="P1762" s="61" t="str">
        <f aca="false">IF(IsPro,IF($D1762="","",K1762+M1762+N1762+O1762),"")</f>
        <v/>
      </c>
      <c r="Q1762" s="60" t="str">
        <f aca="false">IF(IsPro,IF($D1762="","",IFERROR(MATCH($D1762,Items!$A$5:$A$504,0),"")),"")</f>
        <v/>
      </c>
      <c r="R1762" s="60" t="str">
        <f aca="false">IF(IsPro,IF($C1762="","",IFERROR(MATCH($C1762,Parties!$A$5:$A$304,0),"")),"")</f>
        <v/>
      </c>
      <c r="S1762" s="61" t="str">
        <f aca="false">IF(IsPro,IF($D1762="","",IF(OR($H1762="",$H1762="Credit"),0,P1762)),"")</f>
        <v/>
      </c>
    </row>
    <row r="1763" customFormat="false" ht="15" hidden="false" customHeight="false" outlineLevel="0" collapsed="false">
      <c r="A1763" s="55"/>
      <c r="B1763" s="56"/>
      <c r="C1763" s="56"/>
      <c r="D1763" s="56"/>
      <c r="E1763" s="57"/>
      <c r="F1763" s="58"/>
      <c r="G1763" s="59"/>
      <c r="H1763" s="56"/>
      <c r="I1763" s="60" t="str">
        <f aca="false">IF(IsPro,IF($D1763="","",IFERROR(INDEX(Items!$D$5:$D$504,Q1763),"")),IF($D1763="","","PRO PLAN"))</f>
        <v/>
      </c>
      <c r="J1763" s="61" t="str">
        <f aca="false">IF(IsPro,IF($D1763="","",IF($F1763="",IFERROR(INDEX(Items!$G$5:$G$504,Q1763),0),$F1763)),"")</f>
        <v/>
      </c>
      <c r="K1763" s="61" t="str">
        <f aca="false">IF(IsPro,IF($D1763="","",ROUND(N($E1763)*J1763*(1-N($G1763)),2)),"")</f>
        <v/>
      </c>
      <c r="L1763" s="62" t="str">
        <f aca="false">IF(IsPro,IF($D1763="","",IFERROR(INDEX(Items!$F$5:$F$504,Q1763),0)),"")</f>
        <v/>
      </c>
      <c r="M1763" s="61" t="str">
        <f aca="false">IF(IsPro,IF($D1763="","",IF(AND(R1763&lt;&gt;"",INDEX(Parties!$E$5:$E$304,R1763)&lt;&gt;"",INDEX(Parties!$E$5:$E$304,R1763)&lt;&gt;HomeState),0,ROUND(K1763*L1763/2,2))),"")</f>
        <v/>
      </c>
      <c r="N1763" s="61" t="str">
        <f aca="false">IF(IsPro,IF($D1763="","",M1763),"")</f>
        <v/>
      </c>
      <c r="O1763" s="61" t="str">
        <f aca="false">IF(IsPro,IF($D1763="","",IF(AND(R1763&lt;&gt;"",INDEX(Parties!$E$5:$E$304,R1763)&lt;&gt;"",INDEX(Parties!$E$5:$E$304,R1763)&lt;&gt;HomeState),ROUND(K1763*L1763,2),0)),"")</f>
        <v/>
      </c>
      <c r="P1763" s="61" t="str">
        <f aca="false">IF(IsPro,IF($D1763="","",K1763+M1763+N1763+O1763),"")</f>
        <v/>
      </c>
      <c r="Q1763" s="60" t="str">
        <f aca="false">IF(IsPro,IF($D1763="","",IFERROR(MATCH($D1763,Items!$A$5:$A$504,0),"")),"")</f>
        <v/>
      </c>
      <c r="R1763" s="60" t="str">
        <f aca="false">IF(IsPro,IF($C1763="","",IFERROR(MATCH($C1763,Parties!$A$5:$A$304,0),"")),"")</f>
        <v/>
      </c>
      <c r="S1763" s="61" t="str">
        <f aca="false">IF(IsPro,IF($D1763="","",IF(OR($H1763="",$H1763="Credit"),0,P1763)),"")</f>
        <v/>
      </c>
    </row>
    <row r="1764" customFormat="false" ht="15" hidden="false" customHeight="false" outlineLevel="0" collapsed="false">
      <c r="A1764" s="55"/>
      <c r="B1764" s="56"/>
      <c r="C1764" s="56"/>
      <c r="D1764" s="56"/>
      <c r="E1764" s="57"/>
      <c r="F1764" s="58"/>
      <c r="G1764" s="59"/>
      <c r="H1764" s="56"/>
      <c r="I1764" s="60" t="str">
        <f aca="false">IF(IsPro,IF($D1764="","",IFERROR(INDEX(Items!$D$5:$D$504,Q1764),"")),IF($D1764="","","PRO PLAN"))</f>
        <v/>
      </c>
      <c r="J1764" s="61" t="str">
        <f aca="false">IF(IsPro,IF($D1764="","",IF($F1764="",IFERROR(INDEX(Items!$G$5:$G$504,Q1764),0),$F1764)),"")</f>
        <v/>
      </c>
      <c r="K1764" s="61" t="str">
        <f aca="false">IF(IsPro,IF($D1764="","",ROUND(N($E1764)*J1764*(1-N($G1764)),2)),"")</f>
        <v/>
      </c>
      <c r="L1764" s="62" t="str">
        <f aca="false">IF(IsPro,IF($D1764="","",IFERROR(INDEX(Items!$F$5:$F$504,Q1764),0)),"")</f>
        <v/>
      </c>
      <c r="M1764" s="61" t="str">
        <f aca="false">IF(IsPro,IF($D1764="","",IF(AND(R1764&lt;&gt;"",INDEX(Parties!$E$5:$E$304,R1764)&lt;&gt;"",INDEX(Parties!$E$5:$E$304,R1764)&lt;&gt;HomeState),0,ROUND(K1764*L1764/2,2))),"")</f>
        <v/>
      </c>
      <c r="N1764" s="61" t="str">
        <f aca="false">IF(IsPro,IF($D1764="","",M1764),"")</f>
        <v/>
      </c>
      <c r="O1764" s="61" t="str">
        <f aca="false">IF(IsPro,IF($D1764="","",IF(AND(R1764&lt;&gt;"",INDEX(Parties!$E$5:$E$304,R1764)&lt;&gt;"",INDEX(Parties!$E$5:$E$304,R1764)&lt;&gt;HomeState),ROUND(K1764*L1764,2),0)),"")</f>
        <v/>
      </c>
      <c r="P1764" s="61" t="str">
        <f aca="false">IF(IsPro,IF($D1764="","",K1764+M1764+N1764+O1764),"")</f>
        <v/>
      </c>
      <c r="Q1764" s="60" t="str">
        <f aca="false">IF(IsPro,IF($D1764="","",IFERROR(MATCH($D1764,Items!$A$5:$A$504,0),"")),"")</f>
        <v/>
      </c>
      <c r="R1764" s="60" t="str">
        <f aca="false">IF(IsPro,IF($C1764="","",IFERROR(MATCH($C1764,Parties!$A$5:$A$304,0),"")),"")</f>
        <v/>
      </c>
      <c r="S1764" s="61" t="str">
        <f aca="false">IF(IsPro,IF($D1764="","",IF(OR($H1764="",$H1764="Credit"),0,P1764)),"")</f>
        <v/>
      </c>
    </row>
    <row r="1765" customFormat="false" ht="15" hidden="false" customHeight="false" outlineLevel="0" collapsed="false">
      <c r="A1765" s="55"/>
      <c r="B1765" s="56"/>
      <c r="C1765" s="56"/>
      <c r="D1765" s="56"/>
      <c r="E1765" s="57"/>
      <c r="F1765" s="58"/>
      <c r="G1765" s="59"/>
      <c r="H1765" s="56"/>
      <c r="I1765" s="60" t="str">
        <f aca="false">IF(IsPro,IF($D1765="","",IFERROR(INDEX(Items!$D$5:$D$504,Q1765),"")),IF($D1765="","","PRO PLAN"))</f>
        <v/>
      </c>
      <c r="J1765" s="61" t="str">
        <f aca="false">IF(IsPro,IF($D1765="","",IF($F1765="",IFERROR(INDEX(Items!$G$5:$G$504,Q1765),0),$F1765)),"")</f>
        <v/>
      </c>
      <c r="K1765" s="61" t="str">
        <f aca="false">IF(IsPro,IF($D1765="","",ROUND(N($E1765)*J1765*(1-N($G1765)),2)),"")</f>
        <v/>
      </c>
      <c r="L1765" s="62" t="str">
        <f aca="false">IF(IsPro,IF($D1765="","",IFERROR(INDEX(Items!$F$5:$F$504,Q1765),0)),"")</f>
        <v/>
      </c>
      <c r="M1765" s="61" t="str">
        <f aca="false">IF(IsPro,IF($D1765="","",IF(AND(R1765&lt;&gt;"",INDEX(Parties!$E$5:$E$304,R1765)&lt;&gt;"",INDEX(Parties!$E$5:$E$304,R1765)&lt;&gt;HomeState),0,ROUND(K1765*L1765/2,2))),"")</f>
        <v/>
      </c>
      <c r="N1765" s="61" t="str">
        <f aca="false">IF(IsPro,IF($D1765="","",M1765),"")</f>
        <v/>
      </c>
      <c r="O1765" s="61" t="str">
        <f aca="false">IF(IsPro,IF($D1765="","",IF(AND(R1765&lt;&gt;"",INDEX(Parties!$E$5:$E$304,R1765)&lt;&gt;"",INDEX(Parties!$E$5:$E$304,R1765)&lt;&gt;HomeState),ROUND(K1765*L1765,2),0)),"")</f>
        <v/>
      </c>
      <c r="P1765" s="61" t="str">
        <f aca="false">IF(IsPro,IF($D1765="","",K1765+M1765+N1765+O1765),"")</f>
        <v/>
      </c>
      <c r="Q1765" s="60" t="str">
        <f aca="false">IF(IsPro,IF($D1765="","",IFERROR(MATCH($D1765,Items!$A$5:$A$504,0),"")),"")</f>
        <v/>
      </c>
      <c r="R1765" s="60" t="str">
        <f aca="false">IF(IsPro,IF($C1765="","",IFERROR(MATCH($C1765,Parties!$A$5:$A$304,0),"")),"")</f>
        <v/>
      </c>
      <c r="S1765" s="61" t="str">
        <f aca="false">IF(IsPro,IF($D1765="","",IF(OR($H1765="",$H1765="Credit"),0,P1765)),"")</f>
        <v/>
      </c>
    </row>
    <row r="1766" customFormat="false" ht="15" hidden="false" customHeight="false" outlineLevel="0" collapsed="false">
      <c r="A1766" s="55"/>
      <c r="B1766" s="56"/>
      <c r="C1766" s="56"/>
      <c r="D1766" s="56"/>
      <c r="E1766" s="57"/>
      <c r="F1766" s="58"/>
      <c r="G1766" s="59"/>
      <c r="H1766" s="56"/>
      <c r="I1766" s="60" t="str">
        <f aca="false">IF(IsPro,IF($D1766="","",IFERROR(INDEX(Items!$D$5:$D$504,Q1766),"")),IF($D1766="","","PRO PLAN"))</f>
        <v/>
      </c>
      <c r="J1766" s="61" t="str">
        <f aca="false">IF(IsPro,IF($D1766="","",IF($F1766="",IFERROR(INDEX(Items!$G$5:$G$504,Q1766),0),$F1766)),"")</f>
        <v/>
      </c>
      <c r="K1766" s="61" t="str">
        <f aca="false">IF(IsPro,IF($D1766="","",ROUND(N($E1766)*J1766*(1-N($G1766)),2)),"")</f>
        <v/>
      </c>
      <c r="L1766" s="62" t="str">
        <f aca="false">IF(IsPro,IF($D1766="","",IFERROR(INDEX(Items!$F$5:$F$504,Q1766),0)),"")</f>
        <v/>
      </c>
      <c r="M1766" s="61" t="str">
        <f aca="false">IF(IsPro,IF($D1766="","",IF(AND(R1766&lt;&gt;"",INDEX(Parties!$E$5:$E$304,R1766)&lt;&gt;"",INDEX(Parties!$E$5:$E$304,R1766)&lt;&gt;HomeState),0,ROUND(K1766*L1766/2,2))),"")</f>
        <v/>
      </c>
      <c r="N1766" s="61" t="str">
        <f aca="false">IF(IsPro,IF($D1766="","",M1766),"")</f>
        <v/>
      </c>
      <c r="O1766" s="61" t="str">
        <f aca="false">IF(IsPro,IF($D1766="","",IF(AND(R1766&lt;&gt;"",INDEX(Parties!$E$5:$E$304,R1766)&lt;&gt;"",INDEX(Parties!$E$5:$E$304,R1766)&lt;&gt;HomeState),ROUND(K1766*L1766,2),0)),"")</f>
        <v/>
      </c>
      <c r="P1766" s="61" t="str">
        <f aca="false">IF(IsPro,IF($D1766="","",K1766+M1766+N1766+O1766),"")</f>
        <v/>
      </c>
      <c r="Q1766" s="60" t="str">
        <f aca="false">IF(IsPro,IF($D1766="","",IFERROR(MATCH($D1766,Items!$A$5:$A$504,0),"")),"")</f>
        <v/>
      </c>
      <c r="R1766" s="60" t="str">
        <f aca="false">IF(IsPro,IF($C1766="","",IFERROR(MATCH($C1766,Parties!$A$5:$A$304,0),"")),"")</f>
        <v/>
      </c>
      <c r="S1766" s="61" t="str">
        <f aca="false">IF(IsPro,IF($D1766="","",IF(OR($H1766="",$H1766="Credit"),0,P1766)),"")</f>
        <v/>
      </c>
    </row>
    <row r="1767" customFormat="false" ht="15" hidden="false" customHeight="false" outlineLevel="0" collapsed="false">
      <c r="A1767" s="55"/>
      <c r="B1767" s="56"/>
      <c r="C1767" s="56"/>
      <c r="D1767" s="56"/>
      <c r="E1767" s="57"/>
      <c r="F1767" s="58"/>
      <c r="G1767" s="59"/>
      <c r="H1767" s="56"/>
      <c r="I1767" s="60" t="str">
        <f aca="false">IF(IsPro,IF($D1767="","",IFERROR(INDEX(Items!$D$5:$D$504,Q1767),"")),IF($D1767="","","PRO PLAN"))</f>
        <v/>
      </c>
      <c r="J1767" s="61" t="str">
        <f aca="false">IF(IsPro,IF($D1767="","",IF($F1767="",IFERROR(INDEX(Items!$G$5:$G$504,Q1767),0),$F1767)),"")</f>
        <v/>
      </c>
      <c r="K1767" s="61" t="str">
        <f aca="false">IF(IsPro,IF($D1767="","",ROUND(N($E1767)*J1767*(1-N($G1767)),2)),"")</f>
        <v/>
      </c>
      <c r="L1767" s="62" t="str">
        <f aca="false">IF(IsPro,IF($D1767="","",IFERROR(INDEX(Items!$F$5:$F$504,Q1767),0)),"")</f>
        <v/>
      </c>
      <c r="M1767" s="61" t="str">
        <f aca="false">IF(IsPro,IF($D1767="","",IF(AND(R1767&lt;&gt;"",INDEX(Parties!$E$5:$E$304,R1767)&lt;&gt;"",INDEX(Parties!$E$5:$E$304,R1767)&lt;&gt;HomeState),0,ROUND(K1767*L1767/2,2))),"")</f>
        <v/>
      </c>
      <c r="N1767" s="61" t="str">
        <f aca="false">IF(IsPro,IF($D1767="","",M1767),"")</f>
        <v/>
      </c>
      <c r="O1767" s="61" t="str">
        <f aca="false">IF(IsPro,IF($D1767="","",IF(AND(R1767&lt;&gt;"",INDEX(Parties!$E$5:$E$304,R1767)&lt;&gt;"",INDEX(Parties!$E$5:$E$304,R1767)&lt;&gt;HomeState),ROUND(K1767*L1767,2),0)),"")</f>
        <v/>
      </c>
      <c r="P1767" s="61" t="str">
        <f aca="false">IF(IsPro,IF($D1767="","",K1767+M1767+N1767+O1767),"")</f>
        <v/>
      </c>
      <c r="Q1767" s="60" t="str">
        <f aca="false">IF(IsPro,IF($D1767="","",IFERROR(MATCH($D1767,Items!$A$5:$A$504,0),"")),"")</f>
        <v/>
      </c>
      <c r="R1767" s="60" t="str">
        <f aca="false">IF(IsPro,IF($C1767="","",IFERROR(MATCH($C1767,Parties!$A$5:$A$304,0),"")),"")</f>
        <v/>
      </c>
      <c r="S1767" s="61" t="str">
        <f aca="false">IF(IsPro,IF($D1767="","",IF(OR($H1767="",$H1767="Credit"),0,P1767)),"")</f>
        <v/>
      </c>
    </row>
    <row r="1768" customFormat="false" ht="15" hidden="false" customHeight="false" outlineLevel="0" collapsed="false">
      <c r="A1768" s="55"/>
      <c r="B1768" s="56"/>
      <c r="C1768" s="56"/>
      <c r="D1768" s="56"/>
      <c r="E1768" s="57"/>
      <c r="F1768" s="58"/>
      <c r="G1768" s="59"/>
      <c r="H1768" s="56"/>
      <c r="I1768" s="60" t="str">
        <f aca="false">IF(IsPro,IF($D1768="","",IFERROR(INDEX(Items!$D$5:$D$504,Q1768),"")),IF($D1768="","","PRO PLAN"))</f>
        <v/>
      </c>
      <c r="J1768" s="61" t="str">
        <f aca="false">IF(IsPro,IF($D1768="","",IF($F1768="",IFERROR(INDEX(Items!$G$5:$G$504,Q1768),0),$F1768)),"")</f>
        <v/>
      </c>
      <c r="K1768" s="61" t="str">
        <f aca="false">IF(IsPro,IF($D1768="","",ROUND(N($E1768)*J1768*(1-N($G1768)),2)),"")</f>
        <v/>
      </c>
      <c r="L1768" s="62" t="str">
        <f aca="false">IF(IsPro,IF($D1768="","",IFERROR(INDEX(Items!$F$5:$F$504,Q1768),0)),"")</f>
        <v/>
      </c>
      <c r="M1768" s="61" t="str">
        <f aca="false">IF(IsPro,IF($D1768="","",IF(AND(R1768&lt;&gt;"",INDEX(Parties!$E$5:$E$304,R1768)&lt;&gt;"",INDEX(Parties!$E$5:$E$304,R1768)&lt;&gt;HomeState),0,ROUND(K1768*L1768/2,2))),"")</f>
        <v/>
      </c>
      <c r="N1768" s="61" t="str">
        <f aca="false">IF(IsPro,IF($D1768="","",M1768),"")</f>
        <v/>
      </c>
      <c r="O1768" s="61" t="str">
        <f aca="false">IF(IsPro,IF($D1768="","",IF(AND(R1768&lt;&gt;"",INDEX(Parties!$E$5:$E$304,R1768)&lt;&gt;"",INDEX(Parties!$E$5:$E$304,R1768)&lt;&gt;HomeState),ROUND(K1768*L1768,2),0)),"")</f>
        <v/>
      </c>
      <c r="P1768" s="61" t="str">
        <f aca="false">IF(IsPro,IF($D1768="","",K1768+M1768+N1768+O1768),"")</f>
        <v/>
      </c>
      <c r="Q1768" s="60" t="str">
        <f aca="false">IF(IsPro,IF($D1768="","",IFERROR(MATCH($D1768,Items!$A$5:$A$504,0),"")),"")</f>
        <v/>
      </c>
      <c r="R1768" s="60" t="str">
        <f aca="false">IF(IsPro,IF($C1768="","",IFERROR(MATCH($C1768,Parties!$A$5:$A$304,0),"")),"")</f>
        <v/>
      </c>
      <c r="S1768" s="61" t="str">
        <f aca="false">IF(IsPro,IF($D1768="","",IF(OR($H1768="",$H1768="Credit"),0,P1768)),"")</f>
        <v/>
      </c>
    </row>
    <row r="1769" customFormat="false" ht="15" hidden="false" customHeight="false" outlineLevel="0" collapsed="false">
      <c r="A1769" s="55"/>
      <c r="B1769" s="56"/>
      <c r="C1769" s="56"/>
      <c r="D1769" s="56"/>
      <c r="E1769" s="57"/>
      <c r="F1769" s="58"/>
      <c r="G1769" s="59"/>
      <c r="H1769" s="56"/>
      <c r="I1769" s="60" t="str">
        <f aca="false">IF(IsPro,IF($D1769="","",IFERROR(INDEX(Items!$D$5:$D$504,Q1769),"")),IF($D1769="","","PRO PLAN"))</f>
        <v/>
      </c>
      <c r="J1769" s="61" t="str">
        <f aca="false">IF(IsPro,IF($D1769="","",IF($F1769="",IFERROR(INDEX(Items!$G$5:$G$504,Q1769),0),$F1769)),"")</f>
        <v/>
      </c>
      <c r="K1769" s="61" t="str">
        <f aca="false">IF(IsPro,IF($D1769="","",ROUND(N($E1769)*J1769*(1-N($G1769)),2)),"")</f>
        <v/>
      </c>
      <c r="L1769" s="62" t="str">
        <f aca="false">IF(IsPro,IF($D1769="","",IFERROR(INDEX(Items!$F$5:$F$504,Q1769),0)),"")</f>
        <v/>
      </c>
      <c r="M1769" s="61" t="str">
        <f aca="false">IF(IsPro,IF($D1769="","",IF(AND(R1769&lt;&gt;"",INDEX(Parties!$E$5:$E$304,R1769)&lt;&gt;"",INDEX(Parties!$E$5:$E$304,R1769)&lt;&gt;HomeState),0,ROUND(K1769*L1769/2,2))),"")</f>
        <v/>
      </c>
      <c r="N1769" s="61" t="str">
        <f aca="false">IF(IsPro,IF($D1769="","",M1769),"")</f>
        <v/>
      </c>
      <c r="O1769" s="61" t="str">
        <f aca="false">IF(IsPro,IF($D1769="","",IF(AND(R1769&lt;&gt;"",INDEX(Parties!$E$5:$E$304,R1769)&lt;&gt;"",INDEX(Parties!$E$5:$E$304,R1769)&lt;&gt;HomeState),ROUND(K1769*L1769,2),0)),"")</f>
        <v/>
      </c>
      <c r="P1769" s="61" t="str">
        <f aca="false">IF(IsPro,IF($D1769="","",K1769+M1769+N1769+O1769),"")</f>
        <v/>
      </c>
      <c r="Q1769" s="60" t="str">
        <f aca="false">IF(IsPro,IF($D1769="","",IFERROR(MATCH($D1769,Items!$A$5:$A$504,0),"")),"")</f>
        <v/>
      </c>
      <c r="R1769" s="60" t="str">
        <f aca="false">IF(IsPro,IF($C1769="","",IFERROR(MATCH($C1769,Parties!$A$5:$A$304,0),"")),"")</f>
        <v/>
      </c>
      <c r="S1769" s="61" t="str">
        <f aca="false">IF(IsPro,IF($D1769="","",IF(OR($H1769="",$H1769="Credit"),0,P1769)),"")</f>
        <v/>
      </c>
    </row>
    <row r="1770" customFormat="false" ht="15" hidden="false" customHeight="false" outlineLevel="0" collapsed="false">
      <c r="A1770" s="55"/>
      <c r="B1770" s="56"/>
      <c r="C1770" s="56"/>
      <c r="D1770" s="56"/>
      <c r="E1770" s="57"/>
      <c r="F1770" s="58"/>
      <c r="G1770" s="59"/>
      <c r="H1770" s="56"/>
      <c r="I1770" s="60" t="str">
        <f aca="false">IF(IsPro,IF($D1770="","",IFERROR(INDEX(Items!$D$5:$D$504,Q1770),"")),IF($D1770="","","PRO PLAN"))</f>
        <v/>
      </c>
      <c r="J1770" s="61" t="str">
        <f aca="false">IF(IsPro,IF($D1770="","",IF($F1770="",IFERROR(INDEX(Items!$G$5:$G$504,Q1770),0),$F1770)),"")</f>
        <v/>
      </c>
      <c r="K1770" s="61" t="str">
        <f aca="false">IF(IsPro,IF($D1770="","",ROUND(N($E1770)*J1770*(1-N($G1770)),2)),"")</f>
        <v/>
      </c>
      <c r="L1770" s="62" t="str">
        <f aca="false">IF(IsPro,IF($D1770="","",IFERROR(INDEX(Items!$F$5:$F$504,Q1770),0)),"")</f>
        <v/>
      </c>
      <c r="M1770" s="61" t="str">
        <f aca="false">IF(IsPro,IF($D1770="","",IF(AND(R1770&lt;&gt;"",INDEX(Parties!$E$5:$E$304,R1770)&lt;&gt;"",INDEX(Parties!$E$5:$E$304,R1770)&lt;&gt;HomeState),0,ROUND(K1770*L1770/2,2))),"")</f>
        <v/>
      </c>
      <c r="N1770" s="61" t="str">
        <f aca="false">IF(IsPro,IF($D1770="","",M1770),"")</f>
        <v/>
      </c>
      <c r="O1770" s="61" t="str">
        <f aca="false">IF(IsPro,IF($D1770="","",IF(AND(R1770&lt;&gt;"",INDEX(Parties!$E$5:$E$304,R1770)&lt;&gt;"",INDEX(Parties!$E$5:$E$304,R1770)&lt;&gt;HomeState),ROUND(K1770*L1770,2),0)),"")</f>
        <v/>
      </c>
      <c r="P1770" s="61" t="str">
        <f aca="false">IF(IsPro,IF($D1770="","",K1770+M1770+N1770+O1770),"")</f>
        <v/>
      </c>
      <c r="Q1770" s="60" t="str">
        <f aca="false">IF(IsPro,IF($D1770="","",IFERROR(MATCH($D1770,Items!$A$5:$A$504,0),"")),"")</f>
        <v/>
      </c>
      <c r="R1770" s="60" t="str">
        <f aca="false">IF(IsPro,IF($C1770="","",IFERROR(MATCH($C1770,Parties!$A$5:$A$304,0),"")),"")</f>
        <v/>
      </c>
      <c r="S1770" s="61" t="str">
        <f aca="false">IF(IsPro,IF($D1770="","",IF(OR($H1770="",$H1770="Credit"),0,P1770)),"")</f>
        <v/>
      </c>
    </row>
    <row r="1771" customFormat="false" ht="15" hidden="false" customHeight="false" outlineLevel="0" collapsed="false">
      <c r="A1771" s="55"/>
      <c r="B1771" s="56"/>
      <c r="C1771" s="56"/>
      <c r="D1771" s="56"/>
      <c r="E1771" s="57"/>
      <c r="F1771" s="58"/>
      <c r="G1771" s="59"/>
      <c r="H1771" s="56"/>
      <c r="I1771" s="60" t="str">
        <f aca="false">IF(IsPro,IF($D1771="","",IFERROR(INDEX(Items!$D$5:$D$504,Q1771),"")),IF($D1771="","","PRO PLAN"))</f>
        <v/>
      </c>
      <c r="J1771" s="61" t="str">
        <f aca="false">IF(IsPro,IF($D1771="","",IF($F1771="",IFERROR(INDEX(Items!$G$5:$G$504,Q1771),0),$F1771)),"")</f>
        <v/>
      </c>
      <c r="K1771" s="61" t="str">
        <f aca="false">IF(IsPro,IF($D1771="","",ROUND(N($E1771)*J1771*(1-N($G1771)),2)),"")</f>
        <v/>
      </c>
      <c r="L1771" s="62" t="str">
        <f aca="false">IF(IsPro,IF($D1771="","",IFERROR(INDEX(Items!$F$5:$F$504,Q1771),0)),"")</f>
        <v/>
      </c>
      <c r="M1771" s="61" t="str">
        <f aca="false">IF(IsPro,IF($D1771="","",IF(AND(R1771&lt;&gt;"",INDEX(Parties!$E$5:$E$304,R1771)&lt;&gt;"",INDEX(Parties!$E$5:$E$304,R1771)&lt;&gt;HomeState),0,ROUND(K1771*L1771/2,2))),"")</f>
        <v/>
      </c>
      <c r="N1771" s="61" t="str">
        <f aca="false">IF(IsPro,IF($D1771="","",M1771),"")</f>
        <v/>
      </c>
      <c r="O1771" s="61" t="str">
        <f aca="false">IF(IsPro,IF($D1771="","",IF(AND(R1771&lt;&gt;"",INDEX(Parties!$E$5:$E$304,R1771)&lt;&gt;"",INDEX(Parties!$E$5:$E$304,R1771)&lt;&gt;HomeState),ROUND(K1771*L1771,2),0)),"")</f>
        <v/>
      </c>
      <c r="P1771" s="61" t="str">
        <f aca="false">IF(IsPro,IF($D1771="","",K1771+M1771+N1771+O1771),"")</f>
        <v/>
      </c>
      <c r="Q1771" s="60" t="str">
        <f aca="false">IF(IsPro,IF($D1771="","",IFERROR(MATCH($D1771,Items!$A$5:$A$504,0),"")),"")</f>
        <v/>
      </c>
      <c r="R1771" s="60" t="str">
        <f aca="false">IF(IsPro,IF($C1771="","",IFERROR(MATCH($C1771,Parties!$A$5:$A$304,0),"")),"")</f>
        <v/>
      </c>
      <c r="S1771" s="61" t="str">
        <f aca="false">IF(IsPro,IF($D1771="","",IF(OR($H1771="",$H1771="Credit"),0,P1771)),"")</f>
        <v/>
      </c>
    </row>
    <row r="1772" customFormat="false" ht="15" hidden="false" customHeight="false" outlineLevel="0" collapsed="false">
      <c r="A1772" s="55"/>
      <c r="B1772" s="56"/>
      <c r="C1772" s="56"/>
      <c r="D1772" s="56"/>
      <c r="E1772" s="57"/>
      <c r="F1772" s="58"/>
      <c r="G1772" s="59"/>
      <c r="H1772" s="56"/>
      <c r="I1772" s="60" t="str">
        <f aca="false">IF(IsPro,IF($D1772="","",IFERROR(INDEX(Items!$D$5:$D$504,Q1772),"")),IF($D1772="","","PRO PLAN"))</f>
        <v/>
      </c>
      <c r="J1772" s="61" t="str">
        <f aca="false">IF(IsPro,IF($D1772="","",IF($F1772="",IFERROR(INDEX(Items!$G$5:$G$504,Q1772),0),$F1772)),"")</f>
        <v/>
      </c>
      <c r="K1772" s="61" t="str">
        <f aca="false">IF(IsPro,IF($D1772="","",ROUND(N($E1772)*J1772*(1-N($G1772)),2)),"")</f>
        <v/>
      </c>
      <c r="L1772" s="62" t="str">
        <f aca="false">IF(IsPro,IF($D1772="","",IFERROR(INDEX(Items!$F$5:$F$504,Q1772),0)),"")</f>
        <v/>
      </c>
      <c r="M1772" s="61" t="str">
        <f aca="false">IF(IsPro,IF($D1772="","",IF(AND(R1772&lt;&gt;"",INDEX(Parties!$E$5:$E$304,R1772)&lt;&gt;"",INDEX(Parties!$E$5:$E$304,R1772)&lt;&gt;HomeState),0,ROUND(K1772*L1772/2,2))),"")</f>
        <v/>
      </c>
      <c r="N1772" s="61" t="str">
        <f aca="false">IF(IsPro,IF($D1772="","",M1772),"")</f>
        <v/>
      </c>
      <c r="O1772" s="61" t="str">
        <f aca="false">IF(IsPro,IF($D1772="","",IF(AND(R1772&lt;&gt;"",INDEX(Parties!$E$5:$E$304,R1772)&lt;&gt;"",INDEX(Parties!$E$5:$E$304,R1772)&lt;&gt;HomeState),ROUND(K1772*L1772,2),0)),"")</f>
        <v/>
      </c>
      <c r="P1772" s="61" t="str">
        <f aca="false">IF(IsPro,IF($D1772="","",K1772+M1772+N1772+O1772),"")</f>
        <v/>
      </c>
      <c r="Q1772" s="60" t="str">
        <f aca="false">IF(IsPro,IF($D1772="","",IFERROR(MATCH($D1772,Items!$A$5:$A$504,0),"")),"")</f>
        <v/>
      </c>
      <c r="R1772" s="60" t="str">
        <f aca="false">IF(IsPro,IF($C1772="","",IFERROR(MATCH($C1772,Parties!$A$5:$A$304,0),"")),"")</f>
        <v/>
      </c>
      <c r="S1772" s="61" t="str">
        <f aca="false">IF(IsPro,IF($D1772="","",IF(OR($H1772="",$H1772="Credit"),0,P1772)),"")</f>
        <v/>
      </c>
    </row>
    <row r="1773" customFormat="false" ht="15" hidden="false" customHeight="false" outlineLevel="0" collapsed="false">
      <c r="A1773" s="55"/>
      <c r="B1773" s="56"/>
      <c r="C1773" s="56"/>
      <c r="D1773" s="56"/>
      <c r="E1773" s="57"/>
      <c r="F1773" s="58"/>
      <c r="G1773" s="59"/>
      <c r="H1773" s="56"/>
      <c r="I1773" s="60" t="str">
        <f aca="false">IF(IsPro,IF($D1773="","",IFERROR(INDEX(Items!$D$5:$D$504,Q1773),"")),IF($D1773="","","PRO PLAN"))</f>
        <v/>
      </c>
      <c r="J1773" s="61" t="str">
        <f aca="false">IF(IsPro,IF($D1773="","",IF($F1773="",IFERROR(INDEX(Items!$G$5:$G$504,Q1773),0),$F1773)),"")</f>
        <v/>
      </c>
      <c r="K1773" s="61" t="str">
        <f aca="false">IF(IsPro,IF($D1773="","",ROUND(N($E1773)*J1773*(1-N($G1773)),2)),"")</f>
        <v/>
      </c>
      <c r="L1773" s="62" t="str">
        <f aca="false">IF(IsPro,IF($D1773="","",IFERROR(INDEX(Items!$F$5:$F$504,Q1773),0)),"")</f>
        <v/>
      </c>
      <c r="M1773" s="61" t="str">
        <f aca="false">IF(IsPro,IF($D1773="","",IF(AND(R1773&lt;&gt;"",INDEX(Parties!$E$5:$E$304,R1773)&lt;&gt;"",INDEX(Parties!$E$5:$E$304,R1773)&lt;&gt;HomeState),0,ROUND(K1773*L1773/2,2))),"")</f>
        <v/>
      </c>
      <c r="N1773" s="61" t="str">
        <f aca="false">IF(IsPro,IF($D1773="","",M1773),"")</f>
        <v/>
      </c>
      <c r="O1773" s="61" t="str">
        <f aca="false">IF(IsPro,IF($D1773="","",IF(AND(R1773&lt;&gt;"",INDEX(Parties!$E$5:$E$304,R1773)&lt;&gt;"",INDEX(Parties!$E$5:$E$304,R1773)&lt;&gt;HomeState),ROUND(K1773*L1773,2),0)),"")</f>
        <v/>
      </c>
      <c r="P1773" s="61" t="str">
        <f aca="false">IF(IsPro,IF($D1773="","",K1773+M1773+N1773+O1773),"")</f>
        <v/>
      </c>
      <c r="Q1773" s="60" t="str">
        <f aca="false">IF(IsPro,IF($D1773="","",IFERROR(MATCH($D1773,Items!$A$5:$A$504,0),"")),"")</f>
        <v/>
      </c>
      <c r="R1773" s="60" t="str">
        <f aca="false">IF(IsPro,IF($C1773="","",IFERROR(MATCH($C1773,Parties!$A$5:$A$304,0),"")),"")</f>
        <v/>
      </c>
      <c r="S1773" s="61" t="str">
        <f aca="false">IF(IsPro,IF($D1773="","",IF(OR($H1773="",$H1773="Credit"),0,P1773)),"")</f>
        <v/>
      </c>
    </row>
    <row r="1774" customFormat="false" ht="15" hidden="false" customHeight="false" outlineLevel="0" collapsed="false">
      <c r="A1774" s="55"/>
      <c r="B1774" s="56"/>
      <c r="C1774" s="56"/>
      <c r="D1774" s="56"/>
      <c r="E1774" s="57"/>
      <c r="F1774" s="58"/>
      <c r="G1774" s="59"/>
      <c r="H1774" s="56"/>
      <c r="I1774" s="60" t="str">
        <f aca="false">IF(IsPro,IF($D1774="","",IFERROR(INDEX(Items!$D$5:$D$504,Q1774),"")),IF($D1774="","","PRO PLAN"))</f>
        <v/>
      </c>
      <c r="J1774" s="61" t="str">
        <f aca="false">IF(IsPro,IF($D1774="","",IF($F1774="",IFERROR(INDEX(Items!$G$5:$G$504,Q1774),0),$F1774)),"")</f>
        <v/>
      </c>
      <c r="K1774" s="61" t="str">
        <f aca="false">IF(IsPro,IF($D1774="","",ROUND(N($E1774)*J1774*(1-N($G1774)),2)),"")</f>
        <v/>
      </c>
      <c r="L1774" s="62" t="str">
        <f aca="false">IF(IsPro,IF($D1774="","",IFERROR(INDEX(Items!$F$5:$F$504,Q1774),0)),"")</f>
        <v/>
      </c>
      <c r="M1774" s="61" t="str">
        <f aca="false">IF(IsPro,IF($D1774="","",IF(AND(R1774&lt;&gt;"",INDEX(Parties!$E$5:$E$304,R1774)&lt;&gt;"",INDEX(Parties!$E$5:$E$304,R1774)&lt;&gt;HomeState),0,ROUND(K1774*L1774/2,2))),"")</f>
        <v/>
      </c>
      <c r="N1774" s="61" t="str">
        <f aca="false">IF(IsPro,IF($D1774="","",M1774),"")</f>
        <v/>
      </c>
      <c r="O1774" s="61" t="str">
        <f aca="false">IF(IsPro,IF($D1774="","",IF(AND(R1774&lt;&gt;"",INDEX(Parties!$E$5:$E$304,R1774)&lt;&gt;"",INDEX(Parties!$E$5:$E$304,R1774)&lt;&gt;HomeState),ROUND(K1774*L1774,2),0)),"")</f>
        <v/>
      </c>
      <c r="P1774" s="61" t="str">
        <f aca="false">IF(IsPro,IF($D1774="","",K1774+M1774+N1774+O1774),"")</f>
        <v/>
      </c>
      <c r="Q1774" s="60" t="str">
        <f aca="false">IF(IsPro,IF($D1774="","",IFERROR(MATCH($D1774,Items!$A$5:$A$504,0),"")),"")</f>
        <v/>
      </c>
      <c r="R1774" s="60" t="str">
        <f aca="false">IF(IsPro,IF($C1774="","",IFERROR(MATCH($C1774,Parties!$A$5:$A$304,0),"")),"")</f>
        <v/>
      </c>
      <c r="S1774" s="61" t="str">
        <f aca="false">IF(IsPro,IF($D1774="","",IF(OR($H1774="",$H1774="Credit"),0,P1774)),"")</f>
        <v/>
      </c>
    </row>
    <row r="1775" customFormat="false" ht="15" hidden="false" customHeight="false" outlineLevel="0" collapsed="false">
      <c r="A1775" s="55"/>
      <c r="B1775" s="56"/>
      <c r="C1775" s="56"/>
      <c r="D1775" s="56"/>
      <c r="E1775" s="57"/>
      <c r="F1775" s="58"/>
      <c r="G1775" s="59"/>
      <c r="H1775" s="56"/>
      <c r="I1775" s="60" t="str">
        <f aca="false">IF(IsPro,IF($D1775="","",IFERROR(INDEX(Items!$D$5:$D$504,Q1775),"")),IF($D1775="","","PRO PLAN"))</f>
        <v/>
      </c>
      <c r="J1775" s="61" t="str">
        <f aca="false">IF(IsPro,IF($D1775="","",IF($F1775="",IFERROR(INDEX(Items!$G$5:$G$504,Q1775),0),$F1775)),"")</f>
        <v/>
      </c>
      <c r="K1775" s="61" t="str">
        <f aca="false">IF(IsPro,IF($D1775="","",ROUND(N($E1775)*J1775*(1-N($G1775)),2)),"")</f>
        <v/>
      </c>
      <c r="L1775" s="62" t="str">
        <f aca="false">IF(IsPro,IF($D1775="","",IFERROR(INDEX(Items!$F$5:$F$504,Q1775),0)),"")</f>
        <v/>
      </c>
      <c r="M1775" s="61" t="str">
        <f aca="false">IF(IsPro,IF($D1775="","",IF(AND(R1775&lt;&gt;"",INDEX(Parties!$E$5:$E$304,R1775)&lt;&gt;"",INDEX(Parties!$E$5:$E$304,R1775)&lt;&gt;HomeState),0,ROUND(K1775*L1775/2,2))),"")</f>
        <v/>
      </c>
      <c r="N1775" s="61" t="str">
        <f aca="false">IF(IsPro,IF($D1775="","",M1775),"")</f>
        <v/>
      </c>
      <c r="O1775" s="61" t="str">
        <f aca="false">IF(IsPro,IF($D1775="","",IF(AND(R1775&lt;&gt;"",INDEX(Parties!$E$5:$E$304,R1775)&lt;&gt;"",INDEX(Parties!$E$5:$E$304,R1775)&lt;&gt;HomeState),ROUND(K1775*L1775,2),0)),"")</f>
        <v/>
      </c>
      <c r="P1775" s="61" t="str">
        <f aca="false">IF(IsPro,IF($D1775="","",K1775+M1775+N1775+O1775),"")</f>
        <v/>
      </c>
      <c r="Q1775" s="60" t="str">
        <f aca="false">IF(IsPro,IF($D1775="","",IFERROR(MATCH($D1775,Items!$A$5:$A$504,0),"")),"")</f>
        <v/>
      </c>
      <c r="R1775" s="60" t="str">
        <f aca="false">IF(IsPro,IF($C1775="","",IFERROR(MATCH($C1775,Parties!$A$5:$A$304,0),"")),"")</f>
        <v/>
      </c>
      <c r="S1775" s="61" t="str">
        <f aca="false">IF(IsPro,IF($D1775="","",IF(OR($H1775="",$H1775="Credit"),0,P1775)),"")</f>
        <v/>
      </c>
    </row>
    <row r="1776" customFormat="false" ht="15" hidden="false" customHeight="false" outlineLevel="0" collapsed="false">
      <c r="A1776" s="55"/>
      <c r="B1776" s="56"/>
      <c r="C1776" s="56"/>
      <c r="D1776" s="56"/>
      <c r="E1776" s="57"/>
      <c r="F1776" s="58"/>
      <c r="G1776" s="59"/>
      <c r="H1776" s="56"/>
      <c r="I1776" s="60" t="str">
        <f aca="false">IF(IsPro,IF($D1776="","",IFERROR(INDEX(Items!$D$5:$D$504,Q1776),"")),IF($D1776="","","PRO PLAN"))</f>
        <v/>
      </c>
      <c r="J1776" s="61" t="str">
        <f aca="false">IF(IsPro,IF($D1776="","",IF($F1776="",IFERROR(INDEX(Items!$G$5:$G$504,Q1776),0),$F1776)),"")</f>
        <v/>
      </c>
      <c r="K1776" s="61" t="str">
        <f aca="false">IF(IsPro,IF($D1776="","",ROUND(N($E1776)*J1776*(1-N($G1776)),2)),"")</f>
        <v/>
      </c>
      <c r="L1776" s="62" t="str">
        <f aca="false">IF(IsPro,IF($D1776="","",IFERROR(INDEX(Items!$F$5:$F$504,Q1776),0)),"")</f>
        <v/>
      </c>
      <c r="M1776" s="61" t="str">
        <f aca="false">IF(IsPro,IF($D1776="","",IF(AND(R1776&lt;&gt;"",INDEX(Parties!$E$5:$E$304,R1776)&lt;&gt;"",INDEX(Parties!$E$5:$E$304,R1776)&lt;&gt;HomeState),0,ROUND(K1776*L1776/2,2))),"")</f>
        <v/>
      </c>
      <c r="N1776" s="61" t="str">
        <f aca="false">IF(IsPro,IF($D1776="","",M1776),"")</f>
        <v/>
      </c>
      <c r="O1776" s="61" t="str">
        <f aca="false">IF(IsPro,IF($D1776="","",IF(AND(R1776&lt;&gt;"",INDEX(Parties!$E$5:$E$304,R1776)&lt;&gt;"",INDEX(Parties!$E$5:$E$304,R1776)&lt;&gt;HomeState),ROUND(K1776*L1776,2),0)),"")</f>
        <v/>
      </c>
      <c r="P1776" s="61" t="str">
        <f aca="false">IF(IsPro,IF($D1776="","",K1776+M1776+N1776+O1776),"")</f>
        <v/>
      </c>
      <c r="Q1776" s="60" t="str">
        <f aca="false">IF(IsPro,IF($D1776="","",IFERROR(MATCH($D1776,Items!$A$5:$A$504,0),"")),"")</f>
        <v/>
      </c>
      <c r="R1776" s="60" t="str">
        <f aca="false">IF(IsPro,IF($C1776="","",IFERROR(MATCH($C1776,Parties!$A$5:$A$304,0),"")),"")</f>
        <v/>
      </c>
      <c r="S1776" s="61" t="str">
        <f aca="false">IF(IsPro,IF($D1776="","",IF(OR($H1776="",$H1776="Credit"),0,P1776)),"")</f>
        <v/>
      </c>
    </row>
    <row r="1777" customFormat="false" ht="15" hidden="false" customHeight="false" outlineLevel="0" collapsed="false">
      <c r="A1777" s="55"/>
      <c r="B1777" s="56"/>
      <c r="C1777" s="56"/>
      <c r="D1777" s="56"/>
      <c r="E1777" s="57"/>
      <c r="F1777" s="58"/>
      <c r="G1777" s="59"/>
      <c r="H1777" s="56"/>
      <c r="I1777" s="60" t="str">
        <f aca="false">IF(IsPro,IF($D1777="","",IFERROR(INDEX(Items!$D$5:$D$504,Q1777),"")),IF($D1777="","","PRO PLAN"))</f>
        <v/>
      </c>
      <c r="J1777" s="61" t="str">
        <f aca="false">IF(IsPro,IF($D1777="","",IF($F1777="",IFERROR(INDEX(Items!$G$5:$G$504,Q1777),0),$F1777)),"")</f>
        <v/>
      </c>
      <c r="K1777" s="61" t="str">
        <f aca="false">IF(IsPro,IF($D1777="","",ROUND(N($E1777)*J1777*(1-N($G1777)),2)),"")</f>
        <v/>
      </c>
      <c r="L1777" s="62" t="str">
        <f aca="false">IF(IsPro,IF($D1777="","",IFERROR(INDEX(Items!$F$5:$F$504,Q1777),0)),"")</f>
        <v/>
      </c>
      <c r="M1777" s="61" t="str">
        <f aca="false">IF(IsPro,IF($D1777="","",IF(AND(R1777&lt;&gt;"",INDEX(Parties!$E$5:$E$304,R1777)&lt;&gt;"",INDEX(Parties!$E$5:$E$304,R1777)&lt;&gt;HomeState),0,ROUND(K1777*L1777/2,2))),"")</f>
        <v/>
      </c>
      <c r="N1777" s="61" t="str">
        <f aca="false">IF(IsPro,IF($D1777="","",M1777),"")</f>
        <v/>
      </c>
      <c r="O1777" s="61" t="str">
        <f aca="false">IF(IsPro,IF($D1777="","",IF(AND(R1777&lt;&gt;"",INDEX(Parties!$E$5:$E$304,R1777)&lt;&gt;"",INDEX(Parties!$E$5:$E$304,R1777)&lt;&gt;HomeState),ROUND(K1777*L1777,2),0)),"")</f>
        <v/>
      </c>
      <c r="P1777" s="61" t="str">
        <f aca="false">IF(IsPro,IF($D1777="","",K1777+M1777+N1777+O1777),"")</f>
        <v/>
      </c>
      <c r="Q1777" s="60" t="str">
        <f aca="false">IF(IsPro,IF($D1777="","",IFERROR(MATCH($D1777,Items!$A$5:$A$504,0),"")),"")</f>
        <v/>
      </c>
      <c r="R1777" s="60" t="str">
        <f aca="false">IF(IsPro,IF($C1777="","",IFERROR(MATCH($C1777,Parties!$A$5:$A$304,0),"")),"")</f>
        <v/>
      </c>
      <c r="S1777" s="61" t="str">
        <f aca="false">IF(IsPro,IF($D1777="","",IF(OR($H1777="",$H1777="Credit"),0,P1777)),"")</f>
        <v/>
      </c>
    </row>
    <row r="1778" customFormat="false" ht="15" hidden="false" customHeight="false" outlineLevel="0" collapsed="false">
      <c r="A1778" s="55"/>
      <c r="B1778" s="56"/>
      <c r="C1778" s="56"/>
      <c r="D1778" s="56"/>
      <c r="E1778" s="57"/>
      <c r="F1778" s="58"/>
      <c r="G1778" s="59"/>
      <c r="H1778" s="56"/>
      <c r="I1778" s="60" t="str">
        <f aca="false">IF(IsPro,IF($D1778="","",IFERROR(INDEX(Items!$D$5:$D$504,Q1778),"")),IF($D1778="","","PRO PLAN"))</f>
        <v/>
      </c>
      <c r="J1778" s="61" t="str">
        <f aca="false">IF(IsPro,IF($D1778="","",IF($F1778="",IFERROR(INDEX(Items!$G$5:$G$504,Q1778),0),$F1778)),"")</f>
        <v/>
      </c>
      <c r="K1778" s="61" t="str">
        <f aca="false">IF(IsPro,IF($D1778="","",ROUND(N($E1778)*J1778*(1-N($G1778)),2)),"")</f>
        <v/>
      </c>
      <c r="L1778" s="62" t="str">
        <f aca="false">IF(IsPro,IF($D1778="","",IFERROR(INDEX(Items!$F$5:$F$504,Q1778),0)),"")</f>
        <v/>
      </c>
      <c r="M1778" s="61" t="str">
        <f aca="false">IF(IsPro,IF($D1778="","",IF(AND(R1778&lt;&gt;"",INDEX(Parties!$E$5:$E$304,R1778)&lt;&gt;"",INDEX(Parties!$E$5:$E$304,R1778)&lt;&gt;HomeState),0,ROUND(K1778*L1778/2,2))),"")</f>
        <v/>
      </c>
      <c r="N1778" s="61" t="str">
        <f aca="false">IF(IsPro,IF($D1778="","",M1778),"")</f>
        <v/>
      </c>
      <c r="O1778" s="61" t="str">
        <f aca="false">IF(IsPro,IF($D1778="","",IF(AND(R1778&lt;&gt;"",INDEX(Parties!$E$5:$E$304,R1778)&lt;&gt;"",INDEX(Parties!$E$5:$E$304,R1778)&lt;&gt;HomeState),ROUND(K1778*L1778,2),0)),"")</f>
        <v/>
      </c>
      <c r="P1778" s="61" t="str">
        <f aca="false">IF(IsPro,IF($D1778="","",K1778+M1778+N1778+O1778),"")</f>
        <v/>
      </c>
      <c r="Q1778" s="60" t="str">
        <f aca="false">IF(IsPro,IF($D1778="","",IFERROR(MATCH($D1778,Items!$A$5:$A$504,0),"")),"")</f>
        <v/>
      </c>
      <c r="R1778" s="60" t="str">
        <f aca="false">IF(IsPro,IF($C1778="","",IFERROR(MATCH($C1778,Parties!$A$5:$A$304,0),"")),"")</f>
        <v/>
      </c>
      <c r="S1778" s="61" t="str">
        <f aca="false">IF(IsPro,IF($D1778="","",IF(OR($H1778="",$H1778="Credit"),0,P1778)),"")</f>
        <v/>
      </c>
    </row>
    <row r="1779" customFormat="false" ht="15" hidden="false" customHeight="false" outlineLevel="0" collapsed="false">
      <c r="A1779" s="55"/>
      <c r="B1779" s="56"/>
      <c r="C1779" s="56"/>
      <c r="D1779" s="56"/>
      <c r="E1779" s="57"/>
      <c r="F1779" s="58"/>
      <c r="G1779" s="59"/>
      <c r="H1779" s="56"/>
      <c r="I1779" s="60" t="str">
        <f aca="false">IF(IsPro,IF($D1779="","",IFERROR(INDEX(Items!$D$5:$D$504,Q1779),"")),IF($D1779="","","PRO PLAN"))</f>
        <v/>
      </c>
      <c r="J1779" s="61" t="str">
        <f aca="false">IF(IsPro,IF($D1779="","",IF($F1779="",IFERROR(INDEX(Items!$G$5:$G$504,Q1779),0),$F1779)),"")</f>
        <v/>
      </c>
      <c r="K1779" s="61" t="str">
        <f aca="false">IF(IsPro,IF($D1779="","",ROUND(N($E1779)*J1779*(1-N($G1779)),2)),"")</f>
        <v/>
      </c>
      <c r="L1779" s="62" t="str">
        <f aca="false">IF(IsPro,IF($D1779="","",IFERROR(INDEX(Items!$F$5:$F$504,Q1779),0)),"")</f>
        <v/>
      </c>
      <c r="M1779" s="61" t="str">
        <f aca="false">IF(IsPro,IF($D1779="","",IF(AND(R1779&lt;&gt;"",INDEX(Parties!$E$5:$E$304,R1779)&lt;&gt;"",INDEX(Parties!$E$5:$E$304,R1779)&lt;&gt;HomeState),0,ROUND(K1779*L1779/2,2))),"")</f>
        <v/>
      </c>
      <c r="N1779" s="61" t="str">
        <f aca="false">IF(IsPro,IF($D1779="","",M1779),"")</f>
        <v/>
      </c>
      <c r="O1779" s="61" t="str">
        <f aca="false">IF(IsPro,IF($D1779="","",IF(AND(R1779&lt;&gt;"",INDEX(Parties!$E$5:$E$304,R1779)&lt;&gt;"",INDEX(Parties!$E$5:$E$304,R1779)&lt;&gt;HomeState),ROUND(K1779*L1779,2),0)),"")</f>
        <v/>
      </c>
      <c r="P1779" s="61" t="str">
        <f aca="false">IF(IsPro,IF($D1779="","",K1779+M1779+N1779+O1779),"")</f>
        <v/>
      </c>
      <c r="Q1779" s="60" t="str">
        <f aca="false">IF(IsPro,IF($D1779="","",IFERROR(MATCH($D1779,Items!$A$5:$A$504,0),"")),"")</f>
        <v/>
      </c>
      <c r="R1779" s="60" t="str">
        <f aca="false">IF(IsPro,IF($C1779="","",IFERROR(MATCH($C1779,Parties!$A$5:$A$304,0),"")),"")</f>
        <v/>
      </c>
      <c r="S1779" s="61" t="str">
        <f aca="false">IF(IsPro,IF($D1779="","",IF(OR($H1779="",$H1779="Credit"),0,P1779)),"")</f>
        <v/>
      </c>
    </row>
    <row r="1780" customFormat="false" ht="15" hidden="false" customHeight="false" outlineLevel="0" collapsed="false">
      <c r="A1780" s="55"/>
      <c r="B1780" s="56"/>
      <c r="C1780" s="56"/>
      <c r="D1780" s="56"/>
      <c r="E1780" s="57"/>
      <c r="F1780" s="58"/>
      <c r="G1780" s="59"/>
      <c r="H1780" s="56"/>
      <c r="I1780" s="60" t="str">
        <f aca="false">IF(IsPro,IF($D1780="","",IFERROR(INDEX(Items!$D$5:$D$504,Q1780),"")),IF($D1780="","","PRO PLAN"))</f>
        <v/>
      </c>
      <c r="J1780" s="61" t="str">
        <f aca="false">IF(IsPro,IF($D1780="","",IF($F1780="",IFERROR(INDEX(Items!$G$5:$G$504,Q1780),0),$F1780)),"")</f>
        <v/>
      </c>
      <c r="K1780" s="61" t="str">
        <f aca="false">IF(IsPro,IF($D1780="","",ROUND(N($E1780)*J1780*(1-N($G1780)),2)),"")</f>
        <v/>
      </c>
      <c r="L1780" s="62" t="str">
        <f aca="false">IF(IsPro,IF($D1780="","",IFERROR(INDEX(Items!$F$5:$F$504,Q1780),0)),"")</f>
        <v/>
      </c>
      <c r="M1780" s="61" t="str">
        <f aca="false">IF(IsPro,IF($D1780="","",IF(AND(R1780&lt;&gt;"",INDEX(Parties!$E$5:$E$304,R1780)&lt;&gt;"",INDEX(Parties!$E$5:$E$304,R1780)&lt;&gt;HomeState),0,ROUND(K1780*L1780/2,2))),"")</f>
        <v/>
      </c>
      <c r="N1780" s="61" t="str">
        <f aca="false">IF(IsPro,IF($D1780="","",M1780),"")</f>
        <v/>
      </c>
      <c r="O1780" s="61" t="str">
        <f aca="false">IF(IsPro,IF($D1780="","",IF(AND(R1780&lt;&gt;"",INDEX(Parties!$E$5:$E$304,R1780)&lt;&gt;"",INDEX(Parties!$E$5:$E$304,R1780)&lt;&gt;HomeState),ROUND(K1780*L1780,2),0)),"")</f>
        <v/>
      </c>
      <c r="P1780" s="61" t="str">
        <f aca="false">IF(IsPro,IF($D1780="","",K1780+M1780+N1780+O1780),"")</f>
        <v/>
      </c>
      <c r="Q1780" s="60" t="str">
        <f aca="false">IF(IsPro,IF($D1780="","",IFERROR(MATCH($D1780,Items!$A$5:$A$504,0),"")),"")</f>
        <v/>
      </c>
      <c r="R1780" s="60" t="str">
        <f aca="false">IF(IsPro,IF($C1780="","",IFERROR(MATCH($C1780,Parties!$A$5:$A$304,0),"")),"")</f>
        <v/>
      </c>
      <c r="S1780" s="61" t="str">
        <f aca="false">IF(IsPro,IF($D1780="","",IF(OR($H1780="",$H1780="Credit"),0,P1780)),"")</f>
        <v/>
      </c>
    </row>
    <row r="1781" customFormat="false" ht="15" hidden="false" customHeight="false" outlineLevel="0" collapsed="false">
      <c r="A1781" s="55"/>
      <c r="B1781" s="56"/>
      <c r="C1781" s="56"/>
      <c r="D1781" s="56"/>
      <c r="E1781" s="57"/>
      <c r="F1781" s="58"/>
      <c r="G1781" s="59"/>
      <c r="H1781" s="56"/>
      <c r="I1781" s="60" t="str">
        <f aca="false">IF(IsPro,IF($D1781="","",IFERROR(INDEX(Items!$D$5:$D$504,Q1781),"")),IF($D1781="","","PRO PLAN"))</f>
        <v/>
      </c>
      <c r="J1781" s="61" t="str">
        <f aca="false">IF(IsPro,IF($D1781="","",IF($F1781="",IFERROR(INDEX(Items!$G$5:$G$504,Q1781),0),$F1781)),"")</f>
        <v/>
      </c>
      <c r="K1781" s="61" t="str">
        <f aca="false">IF(IsPro,IF($D1781="","",ROUND(N($E1781)*J1781*(1-N($G1781)),2)),"")</f>
        <v/>
      </c>
      <c r="L1781" s="62" t="str">
        <f aca="false">IF(IsPro,IF($D1781="","",IFERROR(INDEX(Items!$F$5:$F$504,Q1781),0)),"")</f>
        <v/>
      </c>
      <c r="M1781" s="61" t="str">
        <f aca="false">IF(IsPro,IF($D1781="","",IF(AND(R1781&lt;&gt;"",INDEX(Parties!$E$5:$E$304,R1781)&lt;&gt;"",INDEX(Parties!$E$5:$E$304,R1781)&lt;&gt;HomeState),0,ROUND(K1781*L1781/2,2))),"")</f>
        <v/>
      </c>
      <c r="N1781" s="61" t="str">
        <f aca="false">IF(IsPro,IF($D1781="","",M1781),"")</f>
        <v/>
      </c>
      <c r="O1781" s="61" t="str">
        <f aca="false">IF(IsPro,IF($D1781="","",IF(AND(R1781&lt;&gt;"",INDEX(Parties!$E$5:$E$304,R1781)&lt;&gt;"",INDEX(Parties!$E$5:$E$304,R1781)&lt;&gt;HomeState),ROUND(K1781*L1781,2),0)),"")</f>
        <v/>
      </c>
      <c r="P1781" s="61" t="str">
        <f aca="false">IF(IsPro,IF($D1781="","",K1781+M1781+N1781+O1781),"")</f>
        <v/>
      </c>
      <c r="Q1781" s="60" t="str">
        <f aca="false">IF(IsPro,IF($D1781="","",IFERROR(MATCH($D1781,Items!$A$5:$A$504,0),"")),"")</f>
        <v/>
      </c>
      <c r="R1781" s="60" t="str">
        <f aca="false">IF(IsPro,IF($C1781="","",IFERROR(MATCH($C1781,Parties!$A$5:$A$304,0),"")),"")</f>
        <v/>
      </c>
      <c r="S1781" s="61" t="str">
        <f aca="false">IF(IsPro,IF($D1781="","",IF(OR($H1781="",$H1781="Credit"),0,P1781)),"")</f>
        <v/>
      </c>
    </row>
    <row r="1782" customFormat="false" ht="15" hidden="false" customHeight="false" outlineLevel="0" collapsed="false">
      <c r="A1782" s="55"/>
      <c r="B1782" s="56"/>
      <c r="C1782" s="56"/>
      <c r="D1782" s="56"/>
      <c r="E1782" s="57"/>
      <c r="F1782" s="58"/>
      <c r="G1782" s="59"/>
      <c r="H1782" s="56"/>
      <c r="I1782" s="60" t="str">
        <f aca="false">IF(IsPro,IF($D1782="","",IFERROR(INDEX(Items!$D$5:$D$504,Q1782),"")),IF($D1782="","","PRO PLAN"))</f>
        <v/>
      </c>
      <c r="J1782" s="61" t="str">
        <f aca="false">IF(IsPro,IF($D1782="","",IF($F1782="",IFERROR(INDEX(Items!$G$5:$G$504,Q1782),0),$F1782)),"")</f>
        <v/>
      </c>
      <c r="K1782" s="61" t="str">
        <f aca="false">IF(IsPro,IF($D1782="","",ROUND(N($E1782)*J1782*(1-N($G1782)),2)),"")</f>
        <v/>
      </c>
      <c r="L1782" s="62" t="str">
        <f aca="false">IF(IsPro,IF($D1782="","",IFERROR(INDEX(Items!$F$5:$F$504,Q1782),0)),"")</f>
        <v/>
      </c>
      <c r="M1782" s="61" t="str">
        <f aca="false">IF(IsPro,IF($D1782="","",IF(AND(R1782&lt;&gt;"",INDEX(Parties!$E$5:$E$304,R1782)&lt;&gt;"",INDEX(Parties!$E$5:$E$304,R1782)&lt;&gt;HomeState),0,ROUND(K1782*L1782/2,2))),"")</f>
        <v/>
      </c>
      <c r="N1782" s="61" t="str">
        <f aca="false">IF(IsPro,IF($D1782="","",M1782),"")</f>
        <v/>
      </c>
      <c r="O1782" s="61" t="str">
        <f aca="false">IF(IsPro,IF($D1782="","",IF(AND(R1782&lt;&gt;"",INDEX(Parties!$E$5:$E$304,R1782)&lt;&gt;"",INDEX(Parties!$E$5:$E$304,R1782)&lt;&gt;HomeState),ROUND(K1782*L1782,2),0)),"")</f>
        <v/>
      </c>
      <c r="P1782" s="61" t="str">
        <f aca="false">IF(IsPro,IF($D1782="","",K1782+M1782+N1782+O1782),"")</f>
        <v/>
      </c>
      <c r="Q1782" s="60" t="str">
        <f aca="false">IF(IsPro,IF($D1782="","",IFERROR(MATCH($D1782,Items!$A$5:$A$504,0),"")),"")</f>
        <v/>
      </c>
      <c r="R1782" s="60" t="str">
        <f aca="false">IF(IsPro,IF($C1782="","",IFERROR(MATCH($C1782,Parties!$A$5:$A$304,0),"")),"")</f>
        <v/>
      </c>
      <c r="S1782" s="61" t="str">
        <f aca="false">IF(IsPro,IF($D1782="","",IF(OR($H1782="",$H1782="Credit"),0,P1782)),"")</f>
        <v/>
      </c>
    </row>
    <row r="1783" customFormat="false" ht="15" hidden="false" customHeight="false" outlineLevel="0" collapsed="false">
      <c r="A1783" s="55"/>
      <c r="B1783" s="56"/>
      <c r="C1783" s="56"/>
      <c r="D1783" s="56"/>
      <c r="E1783" s="57"/>
      <c r="F1783" s="58"/>
      <c r="G1783" s="59"/>
      <c r="H1783" s="56"/>
      <c r="I1783" s="60" t="str">
        <f aca="false">IF(IsPro,IF($D1783="","",IFERROR(INDEX(Items!$D$5:$D$504,Q1783),"")),IF($D1783="","","PRO PLAN"))</f>
        <v/>
      </c>
      <c r="J1783" s="61" t="str">
        <f aca="false">IF(IsPro,IF($D1783="","",IF($F1783="",IFERROR(INDEX(Items!$G$5:$G$504,Q1783),0),$F1783)),"")</f>
        <v/>
      </c>
      <c r="K1783" s="61" t="str">
        <f aca="false">IF(IsPro,IF($D1783="","",ROUND(N($E1783)*J1783*(1-N($G1783)),2)),"")</f>
        <v/>
      </c>
      <c r="L1783" s="62" t="str">
        <f aca="false">IF(IsPro,IF($D1783="","",IFERROR(INDEX(Items!$F$5:$F$504,Q1783),0)),"")</f>
        <v/>
      </c>
      <c r="M1783" s="61" t="str">
        <f aca="false">IF(IsPro,IF($D1783="","",IF(AND(R1783&lt;&gt;"",INDEX(Parties!$E$5:$E$304,R1783)&lt;&gt;"",INDEX(Parties!$E$5:$E$304,R1783)&lt;&gt;HomeState),0,ROUND(K1783*L1783/2,2))),"")</f>
        <v/>
      </c>
      <c r="N1783" s="61" t="str">
        <f aca="false">IF(IsPro,IF($D1783="","",M1783),"")</f>
        <v/>
      </c>
      <c r="O1783" s="61" t="str">
        <f aca="false">IF(IsPro,IF($D1783="","",IF(AND(R1783&lt;&gt;"",INDEX(Parties!$E$5:$E$304,R1783)&lt;&gt;"",INDEX(Parties!$E$5:$E$304,R1783)&lt;&gt;HomeState),ROUND(K1783*L1783,2),0)),"")</f>
        <v/>
      </c>
      <c r="P1783" s="61" t="str">
        <f aca="false">IF(IsPro,IF($D1783="","",K1783+M1783+N1783+O1783),"")</f>
        <v/>
      </c>
      <c r="Q1783" s="60" t="str">
        <f aca="false">IF(IsPro,IF($D1783="","",IFERROR(MATCH($D1783,Items!$A$5:$A$504,0),"")),"")</f>
        <v/>
      </c>
      <c r="R1783" s="60" t="str">
        <f aca="false">IF(IsPro,IF($C1783="","",IFERROR(MATCH($C1783,Parties!$A$5:$A$304,0),"")),"")</f>
        <v/>
      </c>
      <c r="S1783" s="61" t="str">
        <f aca="false">IF(IsPro,IF($D1783="","",IF(OR($H1783="",$H1783="Credit"),0,P1783)),"")</f>
        <v/>
      </c>
    </row>
    <row r="1784" customFormat="false" ht="15" hidden="false" customHeight="false" outlineLevel="0" collapsed="false">
      <c r="A1784" s="55"/>
      <c r="B1784" s="56"/>
      <c r="C1784" s="56"/>
      <c r="D1784" s="56"/>
      <c r="E1784" s="57"/>
      <c r="F1784" s="58"/>
      <c r="G1784" s="59"/>
      <c r="H1784" s="56"/>
      <c r="I1784" s="60" t="str">
        <f aca="false">IF(IsPro,IF($D1784="","",IFERROR(INDEX(Items!$D$5:$D$504,Q1784),"")),IF($D1784="","","PRO PLAN"))</f>
        <v/>
      </c>
      <c r="J1784" s="61" t="str">
        <f aca="false">IF(IsPro,IF($D1784="","",IF($F1784="",IFERROR(INDEX(Items!$G$5:$G$504,Q1784),0),$F1784)),"")</f>
        <v/>
      </c>
      <c r="K1784" s="61" t="str">
        <f aca="false">IF(IsPro,IF($D1784="","",ROUND(N($E1784)*J1784*(1-N($G1784)),2)),"")</f>
        <v/>
      </c>
      <c r="L1784" s="62" t="str">
        <f aca="false">IF(IsPro,IF($D1784="","",IFERROR(INDEX(Items!$F$5:$F$504,Q1784),0)),"")</f>
        <v/>
      </c>
      <c r="M1784" s="61" t="str">
        <f aca="false">IF(IsPro,IF($D1784="","",IF(AND(R1784&lt;&gt;"",INDEX(Parties!$E$5:$E$304,R1784)&lt;&gt;"",INDEX(Parties!$E$5:$E$304,R1784)&lt;&gt;HomeState),0,ROUND(K1784*L1784/2,2))),"")</f>
        <v/>
      </c>
      <c r="N1784" s="61" t="str">
        <f aca="false">IF(IsPro,IF($D1784="","",M1784),"")</f>
        <v/>
      </c>
      <c r="O1784" s="61" t="str">
        <f aca="false">IF(IsPro,IF($D1784="","",IF(AND(R1784&lt;&gt;"",INDEX(Parties!$E$5:$E$304,R1784)&lt;&gt;"",INDEX(Parties!$E$5:$E$304,R1784)&lt;&gt;HomeState),ROUND(K1784*L1784,2),0)),"")</f>
        <v/>
      </c>
      <c r="P1784" s="61" t="str">
        <f aca="false">IF(IsPro,IF($D1784="","",K1784+M1784+N1784+O1784),"")</f>
        <v/>
      </c>
      <c r="Q1784" s="60" t="str">
        <f aca="false">IF(IsPro,IF($D1784="","",IFERROR(MATCH($D1784,Items!$A$5:$A$504,0),"")),"")</f>
        <v/>
      </c>
      <c r="R1784" s="60" t="str">
        <f aca="false">IF(IsPro,IF($C1784="","",IFERROR(MATCH($C1784,Parties!$A$5:$A$304,0),"")),"")</f>
        <v/>
      </c>
      <c r="S1784" s="61" t="str">
        <f aca="false">IF(IsPro,IF($D1784="","",IF(OR($H1784="",$H1784="Credit"),0,P1784)),"")</f>
        <v/>
      </c>
    </row>
    <row r="1785" customFormat="false" ht="15" hidden="false" customHeight="false" outlineLevel="0" collapsed="false">
      <c r="A1785" s="55"/>
      <c r="B1785" s="56"/>
      <c r="C1785" s="56"/>
      <c r="D1785" s="56"/>
      <c r="E1785" s="57"/>
      <c r="F1785" s="58"/>
      <c r="G1785" s="59"/>
      <c r="H1785" s="56"/>
      <c r="I1785" s="60" t="str">
        <f aca="false">IF(IsPro,IF($D1785="","",IFERROR(INDEX(Items!$D$5:$D$504,Q1785),"")),IF($D1785="","","PRO PLAN"))</f>
        <v/>
      </c>
      <c r="J1785" s="61" t="str">
        <f aca="false">IF(IsPro,IF($D1785="","",IF($F1785="",IFERROR(INDEX(Items!$G$5:$G$504,Q1785),0),$F1785)),"")</f>
        <v/>
      </c>
      <c r="K1785" s="61" t="str">
        <f aca="false">IF(IsPro,IF($D1785="","",ROUND(N($E1785)*J1785*(1-N($G1785)),2)),"")</f>
        <v/>
      </c>
      <c r="L1785" s="62" t="str">
        <f aca="false">IF(IsPro,IF($D1785="","",IFERROR(INDEX(Items!$F$5:$F$504,Q1785),0)),"")</f>
        <v/>
      </c>
      <c r="M1785" s="61" t="str">
        <f aca="false">IF(IsPro,IF($D1785="","",IF(AND(R1785&lt;&gt;"",INDEX(Parties!$E$5:$E$304,R1785)&lt;&gt;"",INDEX(Parties!$E$5:$E$304,R1785)&lt;&gt;HomeState),0,ROUND(K1785*L1785/2,2))),"")</f>
        <v/>
      </c>
      <c r="N1785" s="61" t="str">
        <f aca="false">IF(IsPro,IF($D1785="","",M1785),"")</f>
        <v/>
      </c>
      <c r="O1785" s="61" t="str">
        <f aca="false">IF(IsPro,IF($D1785="","",IF(AND(R1785&lt;&gt;"",INDEX(Parties!$E$5:$E$304,R1785)&lt;&gt;"",INDEX(Parties!$E$5:$E$304,R1785)&lt;&gt;HomeState),ROUND(K1785*L1785,2),0)),"")</f>
        <v/>
      </c>
      <c r="P1785" s="61" t="str">
        <f aca="false">IF(IsPro,IF($D1785="","",K1785+M1785+N1785+O1785),"")</f>
        <v/>
      </c>
      <c r="Q1785" s="60" t="str">
        <f aca="false">IF(IsPro,IF($D1785="","",IFERROR(MATCH($D1785,Items!$A$5:$A$504,0),"")),"")</f>
        <v/>
      </c>
      <c r="R1785" s="60" t="str">
        <f aca="false">IF(IsPro,IF($C1785="","",IFERROR(MATCH($C1785,Parties!$A$5:$A$304,0),"")),"")</f>
        <v/>
      </c>
      <c r="S1785" s="61" t="str">
        <f aca="false">IF(IsPro,IF($D1785="","",IF(OR($H1785="",$H1785="Credit"),0,P1785)),"")</f>
        <v/>
      </c>
    </row>
    <row r="1786" customFormat="false" ht="15" hidden="false" customHeight="false" outlineLevel="0" collapsed="false">
      <c r="A1786" s="55"/>
      <c r="B1786" s="56"/>
      <c r="C1786" s="56"/>
      <c r="D1786" s="56"/>
      <c r="E1786" s="57"/>
      <c r="F1786" s="58"/>
      <c r="G1786" s="59"/>
      <c r="H1786" s="56"/>
      <c r="I1786" s="60" t="str">
        <f aca="false">IF(IsPro,IF($D1786="","",IFERROR(INDEX(Items!$D$5:$D$504,Q1786),"")),IF($D1786="","","PRO PLAN"))</f>
        <v/>
      </c>
      <c r="J1786" s="61" t="str">
        <f aca="false">IF(IsPro,IF($D1786="","",IF($F1786="",IFERROR(INDEX(Items!$G$5:$G$504,Q1786),0),$F1786)),"")</f>
        <v/>
      </c>
      <c r="K1786" s="61" t="str">
        <f aca="false">IF(IsPro,IF($D1786="","",ROUND(N($E1786)*J1786*(1-N($G1786)),2)),"")</f>
        <v/>
      </c>
      <c r="L1786" s="62" t="str">
        <f aca="false">IF(IsPro,IF($D1786="","",IFERROR(INDEX(Items!$F$5:$F$504,Q1786),0)),"")</f>
        <v/>
      </c>
      <c r="M1786" s="61" t="str">
        <f aca="false">IF(IsPro,IF($D1786="","",IF(AND(R1786&lt;&gt;"",INDEX(Parties!$E$5:$E$304,R1786)&lt;&gt;"",INDEX(Parties!$E$5:$E$304,R1786)&lt;&gt;HomeState),0,ROUND(K1786*L1786/2,2))),"")</f>
        <v/>
      </c>
      <c r="N1786" s="61" t="str">
        <f aca="false">IF(IsPro,IF($D1786="","",M1786),"")</f>
        <v/>
      </c>
      <c r="O1786" s="61" t="str">
        <f aca="false">IF(IsPro,IF($D1786="","",IF(AND(R1786&lt;&gt;"",INDEX(Parties!$E$5:$E$304,R1786)&lt;&gt;"",INDEX(Parties!$E$5:$E$304,R1786)&lt;&gt;HomeState),ROUND(K1786*L1786,2),0)),"")</f>
        <v/>
      </c>
      <c r="P1786" s="61" t="str">
        <f aca="false">IF(IsPro,IF($D1786="","",K1786+M1786+N1786+O1786),"")</f>
        <v/>
      </c>
      <c r="Q1786" s="60" t="str">
        <f aca="false">IF(IsPro,IF($D1786="","",IFERROR(MATCH($D1786,Items!$A$5:$A$504,0),"")),"")</f>
        <v/>
      </c>
      <c r="R1786" s="60" t="str">
        <f aca="false">IF(IsPro,IF($C1786="","",IFERROR(MATCH($C1786,Parties!$A$5:$A$304,0),"")),"")</f>
        <v/>
      </c>
      <c r="S1786" s="61" t="str">
        <f aca="false">IF(IsPro,IF($D1786="","",IF(OR($H1786="",$H1786="Credit"),0,P1786)),"")</f>
        <v/>
      </c>
    </row>
    <row r="1787" customFormat="false" ht="15" hidden="false" customHeight="false" outlineLevel="0" collapsed="false">
      <c r="A1787" s="55"/>
      <c r="B1787" s="56"/>
      <c r="C1787" s="56"/>
      <c r="D1787" s="56"/>
      <c r="E1787" s="57"/>
      <c r="F1787" s="58"/>
      <c r="G1787" s="59"/>
      <c r="H1787" s="56"/>
      <c r="I1787" s="60" t="str">
        <f aca="false">IF(IsPro,IF($D1787="","",IFERROR(INDEX(Items!$D$5:$D$504,Q1787),"")),IF($D1787="","","PRO PLAN"))</f>
        <v/>
      </c>
      <c r="J1787" s="61" t="str">
        <f aca="false">IF(IsPro,IF($D1787="","",IF($F1787="",IFERROR(INDEX(Items!$G$5:$G$504,Q1787),0),$F1787)),"")</f>
        <v/>
      </c>
      <c r="K1787" s="61" t="str">
        <f aca="false">IF(IsPro,IF($D1787="","",ROUND(N($E1787)*J1787*(1-N($G1787)),2)),"")</f>
        <v/>
      </c>
      <c r="L1787" s="62" t="str">
        <f aca="false">IF(IsPro,IF($D1787="","",IFERROR(INDEX(Items!$F$5:$F$504,Q1787),0)),"")</f>
        <v/>
      </c>
      <c r="M1787" s="61" t="str">
        <f aca="false">IF(IsPro,IF($D1787="","",IF(AND(R1787&lt;&gt;"",INDEX(Parties!$E$5:$E$304,R1787)&lt;&gt;"",INDEX(Parties!$E$5:$E$304,R1787)&lt;&gt;HomeState),0,ROUND(K1787*L1787/2,2))),"")</f>
        <v/>
      </c>
      <c r="N1787" s="61" t="str">
        <f aca="false">IF(IsPro,IF($D1787="","",M1787),"")</f>
        <v/>
      </c>
      <c r="O1787" s="61" t="str">
        <f aca="false">IF(IsPro,IF($D1787="","",IF(AND(R1787&lt;&gt;"",INDEX(Parties!$E$5:$E$304,R1787)&lt;&gt;"",INDEX(Parties!$E$5:$E$304,R1787)&lt;&gt;HomeState),ROUND(K1787*L1787,2),0)),"")</f>
        <v/>
      </c>
      <c r="P1787" s="61" t="str">
        <f aca="false">IF(IsPro,IF($D1787="","",K1787+M1787+N1787+O1787),"")</f>
        <v/>
      </c>
      <c r="Q1787" s="60" t="str">
        <f aca="false">IF(IsPro,IF($D1787="","",IFERROR(MATCH($D1787,Items!$A$5:$A$504,0),"")),"")</f>
        <v/>
      </c>
      <c r="R1787" s="60" t="str">
        <f aca="false">IF(IsPro,IF($C1787="","",IFERROR(MATCH($C1787,Parties!$A$5:$A$304,0),"")),"")</f>
        <v/>
      </c>
      <c r="S1787" s="61" t="str">
        <f aca="false">IF(IsPro,IF($D1787="","",IF(OR($H1787="",$H1787="Credit"),0,P1787)),"")</f>
        <v/>
      </c>
    </row>
    <row r="1788" customFormat="false" ht="15" hidden="false" customHeight="false" outlineLevel="0" collapsed="false">
      <c r="A1788" s="55"/>
      <c r="B1788" s="56"/>
      <c r="C1788" s="56"/>
      <c r="D1788" s="56"/>
      <c r="E1788" s="57"/>
      <c r="F1788" s="58"/>
      <c r="G1788" s="59"/>
      <c r="H1788" s="56"/>
      <c r="I1788" s="60" t="str">
        <f aca="false">IF(IsPro,IF($D1788="","",IFERROR(INDEX(Items!$D$5:$D$504,Q1788),"")),IF($D1788="","","PRO PLAN"))</f>
        <v/>
      </c>
      <c r="J1788" s="61" t="str">
        <f aca="false">IF(IsPro,IF($D1788="","",IF($F1788="",IFERROR(INDEX(Items!$G$5:$G$504,Q1788),0),$F1788)),"")</f>
        <v/>
      </c>
      <c r="K1788" s="61" t="str">
        <f aca="false">IF(IsPro,IF($D1788="","",ROUND(N($E1788)*J1788*(1-N($G1788)),2)),"")</f>
        <v/>
      </c>
      <c r="L1788" s="62" t="str">
        <f aca="false">IF(IsPro,IF($D1788="","",IFERROR(INDEX(Items!$F$5:$F$504,Q1788),0)),"")</f>
        <v/>
      </c>
      <c r="M1788" s="61" t="str">
        <f aca="false">IF(IsPro,IF($D1788="","",IF(AND(R1788&lt;&gt;"",INDEX(Parties!$E$5:$E$304,R1788)&lt;&gt;"",INDEX(Parties!$E$5:$E$304,R1788)&lt;&gt;HomeState),0,ROUND(K1788*L1788/2,2))),"")</f>
        <v/>
      </c>
      <c r="N1788" s="61" t="str">
        <f aca="false">IF(IsPro,IF($D1788="","",M1788),"")</f>
        <v/>
      </c>
      <c r="O1788" s="61" t="str">
        <f aca="false">IF(IsPro,IF($D1788="","",IF(AND(R1788&lt;&gt;"",INDEX(Parties!$E$5:$E$304,R1788)&lt;&gt;"",INDEX(Parties!$E$5:$E$304,R1788)&lt;&gt;HomeState),ROUND(K1788*L1788,2),0)),"")</f>
        <v/>
      </c>
      <c r="P1788" s="61" t="str">
        <f aca="false">IF(IsPro,IF($D1788="","",K1788+M1788+N1788+O1788),"")</f>
        <v/>
      </c>
      <c r="Q1788" s="60" t="str">
        <f aca="false">IF(IsPro,IF($D1788="","",IFERROR(MATCH($D1788,Items!$A$5:$A$504,0),"")),"")</f>
        <v/>
      </c>
      <c r="R1788" s="60" t="str">
        <f aca="false">IF(IsPro,IF($C1788="","",IFERROR(MATCH($C1788,Parties!$A$5:$A$304,0),"")),"")</f>
        <v/>
      </c>
      <c r="S1788" s="61" t="str">
        <f aca="false">IF(IsPro,IF($D1788="","",IF(OR($H1788="",$H1788="Credit"),0,P1788)),"")</f>
        <v/>
      </c>
    </row>
    <row r="1789" customFormat="false" ht="15" hidden="false" customHeight="false" outlineLevel="0" collapsed="false">
      <c r="A1789" s="55"/>
      <c r="B1789" s="56"/>
      <c r="C1789" s="56"/>
      <c r="D1789" s="56"/>
      <c r="E1789" s="57"/>
      <c r="F1789" s="58"/>
      <c r="G1789" s="59"/>
      <c r="H1789" s="56"/>
      <c r="I1789" s="60" t="str">
        <f aca="false">IF(IsPro,IF($D1789="","",IFERROR(INDEX(Items!$D$5:$D$504,Q1789),"")),IF($D1789="","","PRO PLAN"))</f>
        <v/>
      </c>
      <c r="J1789" s="61" t="str">
        <f aca="false">IF(IsPro,IF($D1789="","",IF($F1789="",IFERROR(INDEX(Items!$G$5:$G$504,Q1789),0),$F1789)),"")</f>
        <v/>
      </c>
      <c r="K1789" s="61" t="str">
        <f aca="false">IF(IsPro,IF($D1789="","",ROUND(N($E1789)*J1789*(1-N($G1789)),2)),"")</f>
        <v/>
      </c>
      <c r="L1789" s="62" t="str">
        <f aca="false">IF(IsPro,IF($D1789="","",IFERROR(INDEX(Items!$F$5:$F$504,Q1789),0)),"")</f>
        <v/>
      </c>
      <c r="M1789" s="61" t="str">
        <f aca="false">IF(IsPro,IF($D1789="","",IF(AND(R1789&lt;&gt;"",INDEX(Parties!$E$5:$E$304,R1789)&lt;&gt;"",INDEX(Parties!$E$5:$E$304,R1789)&lt;&gt;HomeState),0,ROUND(K1789*L1789/2,2))),"")</f>
        <v/>
      </c>
      <c r="N1789" s="61" t="str">
        <f aca="false">IF(IsPro,IF($D1789="","",M1789),"")</f>
        <v/>
      </c>
      <c r="O1789" s="61" t="str">
        <f aca="false">IF(IsPro,IF($D1789="","",IF(AND(R1789&lt;&gt;"",INDEX(Parties!$E$5:$E$304,R1789)&lt;&gt;"",INDEX(Parties!$E$5:$E$304,R1789)&lt;&gt;HomeState),ROUND(K1789*L1789,2),0)),"")</f>
        <v/>
      </c>
      <c r="P1789" s="61" t="str">
        <f aca="false">IF(IsPro,IF($D1789="","",K1789+M1789+N1789+O1789),"")</f>
        <v/>
      </c>
      <c r="Q1789" s="60" t="str">
        <f aca="false">IF(IsPro,IF($D1789="","",IFERROR(MATCH($D1789,Items!$A$5:$A$504,0),"")),"")</f>
        <v/>
      </c>
      <c r="R1789" s="60" t="str">
        <f aca="false">IF(IsPro,IF($C1789="","",IFERROR(MATCH($C1789,Parties!$A$5:$A$304,0),"")),"")</f>
        <v/>
      </c>
      <c r="S1789" s="61" t="str">
        <f aca="false">IF(IsPro,IF($D1789="","",IF(OR($H1789="",$H1789="Credit"),0,P1789)),"")</f>
        <v/>
      </c>
    </row>
    <row r="1790" customFormat="false" ht="15" hidden="false" customHeight="false" outlineLevel="0" collapsed="false">
      <c r="A1790" s="55"/>
      <c r="B1790" s="56"/>
      <c r="C1790" s="56"/>
      <c r="D1790" s="56"/>
      <c r="E1790" s="57"/>
      <c r="F1790" s="58"/>
      <c r="G1790" s="59"/>
      <c r="H1790" s="56"/>
      <c r="I1790" s="60" t="str">
        <f aca="false">IF(IsPro,IF($D1790="","",IFERROR(INDEX(Items!$D$5:$D$504,Q1790),"")),IF($D1790="","","PRO PLAN"))</f>
        <v/>
      </c>
      <c r="J1790" s="61" t="str">
        <f aca="false">IF(IsPro,IF($D1790="","",IF($F1790="",IFERROR(INDEX(Items!$G$5:$G$504,Q1790),0),$F1790)),"")</f>
        <v/>
      </c>
      <c r="K1790" s="61" t="str">
        <f aca="false">IF(IsPro,IF($D1790="","",ROUND(N($E1790)*J1790*(1-N($G1790)),2)),"")</f>
        <v/>
      </c>
      <c r="L1790" s="62" t="str">
        <f aca="false">IF(IsPro,IF($D1790="","",IFERROR(INDEX(Items!$F$5:$F$504,Q1790),0)),"")</f>
        <v/>
      </c>
      <c r="M1790" s="61" t="str">
        <f aca="false">IF(IsPro,IF($D1790="","",IF(AND(R1790&lt;&gt;"",INDEX(Parties!$E$5:$E$304,R1790)&lt;&gt;"",INDEX(Parties!$E$5:$E$304,R1790)&lt;&gt;HomeState),0,ROUND(K1790*L1790/2,2))),"")</f>
        <v/>
      </c>
      <c r="N1790" s="61" t="str">
        <f aca="false">IF(IsPro,IF($D1790="","",M1790),"")</f>
        <v/>
      </c>
      <c r="O1790" s="61" t="str">
        <f aca="false">IF(IsPro,IF($D1790="","",IF(AND(R1790&lt;&gt;"",INDEX(Parties!$E$5:$E$304,R1790)&lt;&gt;"",INDEX(Parties!$E$5:$E$304,R1790)&lt;&gt;HomeState),ROUND(K1790*L1790,2),0)),"")</f>
        <v/>
      </c>
      <c r="P1790" s="61" t="str">
        <f aca="false">IF(IsPro,IF($D1790="","",K1790+M1790+N1790+O1790),"")</f>
        <v/>
      </c>
      <c r="Q1790" s="60" t="str">
        <f aca="false">IF(IsPro,IF($D1790="","",IFERROR(MATCH($D1790,Items!$A$5:$A$504,0),"")),"")</f>
        <v/>
      </c>
      <c r="R1790" s="60" t="str">
        <f aca="false">IF(IsPro,IF($C1790="","",IFERROR(MATCH($C1790,Parties!$A$5:$A$304,0),"")),"")</f>
        <v/>
      </c>
      <c r="S1790" s="61" t="str">
        <f aca="false">IF(IsPro,IF($D1790="","",IF(OR($H1790="",$H1790="Credit"),0,P1790)),"")</f>
        <v/>
      </c>
    </row>
    <row r="1791" customFormat="false" ht="15" hidden="false" customHeight="false" outlineLevel="0" collapsed="false">
      <c r="A1791" s="55"/>
      <c r="B1791" s="56"/>
      <c r="C1791" s="56"/>
      <c r="D1791" s="56"/>
      <c r="E1791" s="57"/>
      <c r="F1791" s="58"/>
      <c r="G1791" s="59"/>
      <c r="H1791" s="56"/>
      <c r="I1791" s="60" t="str">
        <f aca="false">IF(IsPro,IF($D1791="","",IFERROR(INDEX(Items!$D$5:$D$504,Q1791),"")),IF($D1791="","","PRO PLAN"))</f>
        <v/>
      </c>
      <c r="J1791" s="61" t="str">
        <f aca="false">IF(IsPro,IF($D1791="","",IF($F1791="",IFERROR(INDEX(Items!$G$5:$G$504,Q1791),0),$F1791)),"")</f>
        <v/>
      </c>
      <c r="K1791" s="61" t="str">
        <f aca="false">IF(IsPro,IF($D1791="","",ROUND(N($E1791)*J1791*(1-N($G1791)),2)),"")</f>
        <v/>
      </c>
      <c r="L1791" s="62" t="str">
        <f aca="false">IF(IsPro,IF($D1791="","",IFERROR(INDEX(Items!$F$5:$F$504,Q1791),0)),"")</f>
        <v/>
      </c>
      <c r="M1791" s="61" t="str">
        <f aca="false">IF(IsPro,IF($D1791="","",IF(AND(R1791&lt;&gt;"",INDEX(Parties!$E$5:$E$304,R1791)&lt;&gt;"",INDEX(Parties!$E$5:$E$304,R1791)&lt;&gt;HomeState),0,ROUND(K1791*L1791/2,2))),"")</f>
        <v/>
      </c>
      <c r="N1791" s="61" t="str">
        <f aca="false">IF(IsPro,IF($D1791="","",M1791),"")</f>
        <v/>
      </c>
      <c r="O1791" s="61" t="str">
        <f aca="false">IF(IsPro,IF($D1791="","",IF(AND(R1791&lt;&gt;"",INDEX(Parties!$E$5:$E$304,R1791)&lt;&gt;"",INDEX(Parties!$E$5:$E$304,R1791)&lt;&gt;HomeState),ROUND(K1791*L1791,2),0)),"")</f>
        <v/>
      </c>
      <c r="P1791" s="61" t="str">
        <f aca="false">IF(IsPro,IF($D1791="","",K1791+M1791+N1791+O1791),"")</f>
        <v/>
      </c>
      <c r="Q1791" s="60" t="str">
        <f aca="false">IF(IsPro,IF($D1791="","",IFERROR(MATCH($D1791,Items!$A$5:$A$504,0),"")),"")</f>
        <v/>
      </c>
      <c r="R1791" s="60" t="str">
        <f aca="false">IF(IsPro,IF($C1791="","",IFERROR(MATCH($C1791,Parties!$A$5:$A$304,0),"")),"")</f>
        <v/>
      </c>
      <c r="S1791" s="61" t="str">
        <f aca="false">IF(IsPro,IF($D1791="","",IF(OR($H1791="",$H1791="Credit"),0,P1791)),"")</f>
        <v/>
      </c>
    </row>
    <row r="1792" customFormat="false" ht="15" hidden="false" customHeight="false" outlineLevel="0" collapsed="false">
      <c r="A1792" s="55"/>
      <c r="B1792" s="56"/>
      <c r="C1792" s="56"/>
      <c r="D1792" s="56"/>
      <c r="E1792" s="57"/>
      <c r="F1792" s="58"/>
      <c r="G1792" s="59"/>
      <c r="H1792" s="56"/>
      <c r="I1792" s="60" t="str">
        <f aca="false">IF(IsPro,IF($D1792="","",IFERROR(INDEX(Items!$D$5:$D$504,Q1792),"")),IF($D1792="","","PRO PLAN"))</f>
        <v/>
      </c>
      <c r="J1792" s="61" t="str">
        <f aca="false">IF(IsPro,IF($D1792="","",IF($F1792="",IFERROR(INDEX(Items!$G$5:$G$504,Q1792),0),$F1792)),"")</f>
        <v/>
      </c>
      <c r="K1792" s="61" t="str">
        <f aca="false">IF(IsPro,IF($D1792="","",ROUND(N($E1792)*J1792*(1-N($G1792)),2)),"")</f>
        <v/>
      </c>
      <c r="L1792" s="62" t="str">
        <f aca="false">IF(IsPro,IF($D1792="","",IFERROR(INDEX(Items!$F$5:$F$504,Q1792),0)),"")</f>
        <v/>
      </c>
      <c r="M1792" s="61" t="str">
        <f aca="false">IF(IsPro,IF($D1792="","",IF(AND(R1792&lt;&gt;"",INDEX(Parties!$E$5:$E$304,R1792)&lt;&gt;"",INDEX(Parties!$E$5:$E$304,R1792)&lt;&gt;HomeState),0,ROUND(K1792*L1792/2,2))),"")</f>
        <v/>
      </c>
      <c r="N1792" s="61" t="str">
        <f aca="false">IF(IsPro,IF($D1792="","",M1792),"")</f>
        <v/>
      </c>
      <c r="O1792" s="61" t="str">
        <f aca="false">IF(IsPro,IF($D1792="","",IF(AND(R1792&lt;&gt;"",INDEX(Parties!$E$5:$E$304,R1792)&lt;&gt;"",INDEX(Parties!$E$5:$E$304,R1792)&lt;&gt;HomeState),ROUND(K1792*L1792,2),0)),"")</f>
        <v/>
      </c>
      <c r="P1792" s="61" t="str">
        <f aca="false">IF(IsPro,IF($D1792="","",K1792+M1792+N1792+O1792),"")</f>
        <v/>
      </c>
      <c r="Q1792" s="60" t="str">
        <f aca="false">IF(IsPro,IF($D1792="","",IFERROR(MATCH($D1792,Items!$A$5:$A$504,0),"")),"")</f>
        <v/>
      </c>
      <c r="R1792" s="60" t="str">
        <f aca="false">IF(IsPro,IF($C1792="","",IFERROR(MATCH($C1792,Parties!$A$5:$A$304,0),"")),"")</f>
        <v/>
      </c>
      <c r="S1792" s="61" t="str">
        <f aca="false">IF(IsPro,IF($D1792="","",IF(OR($H1792="",$H1792="Credit"),0,P1792)),"")</f>
        <v/>
      </c>
    </row>
    <row r="1793" customFormat="false" ht="15" hidden="false" customHeight="false" outlineLevel="0" collapsed="false">
      <c r="A1793" s="55"/>
      <c r="B1793" s="56"/>
      <c r="C1793" s="56"/>
      <c r="D1793" s="56"/>
      <c r="E1793" s="57"/>
      <c r="F1793" s="58"/>
      <c r="G1793" s="59"/>
      <c r="H1793" s="56"/>
      <c r="I1793" s="60" t="str">
        <f aca="false">IF(IsPro,IF($D1793="","",IFERROR(INDEX(Items!$D$5:$D$504,Q1793),"")),IF($D1793="","","PRO PLAN"))</f>
        <v/>
      </c>
      <c r="J1793" s="61" t="str">
        <f aca="false">IF(IsPro,IF($D1793="","",IF($F1793="",IFERROR(INDEX(Items!$G$5:$G$504,Q1793),0),$F1793)),"")</f>
        <v/>
      </c>
      <c r="K1793" s="61" t="str">
        <f aca="false">IF(IsPro,IF($D1793="","",ROUND(N($E1793)*J1793*(1-N($G1793)),2)),"")</f>
        <v/>
      </c>
      <c r="L1793" s="62" t="str">
        <f aca="false">IF(IsPro,IF($D1793="","",IFERROR(INDEX(Items!$F$5:$F$504,Q1793),0)),"")</f>
        <v/>
      </c>
      <c r="M1793" s="61" t="str">
        <f aca="false">IF(IsPro,IF($D1793="","",IF(AND(R1793&lt;&gt;"",INDEX(Parties!$E$5:$E$304,R1793)&lt;&gt;"",INDEX(Parties!$E$5:$E$304,R1793)&lt;&gt;HomeState),0,ROUND(K1793*L1793/2,2))),"")</f>
        <v/>
      </c>
      <c r="N1793" s="61" t="str">
        <f aca="false">IF(IsPro,IF($D1793="","",M1793),"")</f>
        <v/>
      </c>
      <c r="O1793" s="61" t="str">
        <f aca="false">IF(IsPro,IF($D1793="","",IF(AND(R1793&lt;&gt;"",INDEX(Parties!$E$5:$E$304,R1793)&lt;&gt;"",INDEX(Parties!$E$5:$E$304,R1793)&lt;&gt;HomeState),ROUND(K1793*L1793,2),0)),"")</f>
        <v/>
      </c>
      <c r="P1793" s="61" t="str">
        <f aca="false">IF(IsPro,IF($D1793="","",K1793+M1793+N1793+O1793),"")</f>
        <v/>
      </c>
      <c r="Q1793" s="60" t="str">
        <f aca="false">IF(IsPro,IF($D1793="","",IFERROR(MATCH($D1793,Items!$A$5:$A$504,0),"")),"")</f>
        <v/>
      </c>
      <c r="R1793" s="60" t="str">
        <f aca="false">IF(IsPro,IF($C1793="","",IFERROR(MATCH($C1793,Parties!$A$5:$A$304,0),"")),"")</f>
        <v/>
      </c>
      <c r="S1793" s="61" t="str">
        <f aca="false">IF(IsPro,IF($D1793="","",IF(OR($H1793="",$H1793="Credit"),0,P1793)),"")</f>
        <v/>
      </c>
    </row>
    <row r="1794" customFormat="false" ht="15" hidden="false" customHeight="false" outlineLevel="0" collapsed="false">
      <c r="A1794" s="55"/>
      <c r="B1794" s="56"/>
      <c r="C1794" s="56"/>
      <c r="D1794" s="56"/>
      <c r="E1794" s="57"/>
      <c r="F1794" s="58"/>
      <c r="G1794" s="59"/>
      <c r="H1794" s="56"/>
      <c r="I1794" s="60" t="str">
        <f aca="false">IF(IsPro,IF($D1794="","",IFERROR(INDEX(Items!$D$5:$D$504,Q1794),"")),IF($D1794="","","PRO PLAN"))</f>
        <v/>
      </c>
      <c r="J1794" s="61" t="str">
        <f aca="false">IF(IsPro,IF($D1794="","",IF($F1794="",IFERROR(INDEX(Items!$G$5:$G$504,Q1794),0),$F1794)),"")</f>
        <v/>
      </c>
      <c r="K1794" s="61" t="str">
        <f aca="false">IF(IsPro,IF($D1794="","",ROUND(N($E1794)*J1794*(1-N($G1794)),2)),"")</f>
        <v/>
      </c>
      <c r="L1794" s="62" t="str">
        <f aca="false">IF(IsPro,IF($D1794="","",IFERROR(INDEX(Items!$F$5:$F$504,Q1794),0)),"")</f>
        <v/>
      </c>
      <c r="M1794" s="61" t="str">
        <f aca="false">IF(IsPro,IF($D1794="","",IF(AND(R1794&lt;&gt;"",INDEX(Parties!$E$5:$E$304,R1794)&lt;&gt;"",INDEX(Parties!$E$5:$E$304,R1794)&lt;&gt;HomeState),0,ROUND(K1794*L1794/2,2))),"")</f>
        <v/>
      </c>
      <c r="N1794" s="61" t="str">
        <f aca="false">IF(IsPro,IF($D1794="","",M1794),"")</f>
        <v/>
      </c>
      <c r="O1794" s="61" t="str">
        <f aca="false">IF(IsPro,IF($D1794="","",IF(AND(R1794&lt;&gt;"",INDEX(Parties!$E$5:$E$304,R1794)&lt;&gt;"",INDEX(Parties!$E$5:$E$304,R1794)&lt;&gt;HomeState),ROUND(K1794*L1794,2),0)),"")</f>
        <v/>
      </c>
      <c r="P1794" s="61" t="str">
        <f aca="false">IF(IsPro,IF($D1794="","",K1794+M1794+N1794+O1794),"")</f>
        <v/>
      </c>
      <c r="Q1794" s="60" t="str">
        <f aca="false">IF(IsPro,IF($D1794="","",IFERROR(MATCH($D1794,Items!$A$5:$A$504,0),"")),"")</f>
        <v/>
      </c>
      <c r="R1794" s="60" t="str">
        <f aca="false">IF(IsPro,IF($C1794="","",IFERROR(MATCH($C1794,Parties!$A$5:$A$304,0),"")),"")</f>
        <v/>
      </c>
      <c r="S1794" s="61" t="str">
        <f aca="false">IF(IsPro,IF($D1794="","",IF(OR($H1794="",$H1794="Credit"),0,P1794)),"")</f>
        <v/>
      </c>
    </row>
    <row r="1795" customFormat="false" ht="15" hidden="false" customHeight="false" outlineLevel="0" collapsed="false">
      <c r="A1795" s="55"/>
      <c r="B1795" s="56"/>
      <c r="C1795" s="56"/>
      <c r="D1795" s="56"/>
      <c r="E1795" s="57"/>
      <c r="F1795" s="58"/>
      <c r="G1795" s="59"/>
      <c r="H1795" s="56"/>
      <c r="I1795" s="60" t="str">
        <f aca="false">IF(IsPro,IF($D1795="","",IFERROR(INDEX(Items!$D$5:$D$504,Q1795),"")),IF($D1795="","","PRO PLAN"))</f>
        <v/>
      </c>
      <c r="J1795" s="61" t="str">
        <f aca="false">IF(IsPro,IF($D1795="","",IF($F1795="",IFERROR(INDEX(Items!$G$5:$G$504,Q1795),0),$F1795)),"")</f>
        <v/>
      </c>
      <c r="K1795" s="61" t="str">
        <f aca="false">IF(IsPro,IF($D1795="","",ROUND(N($E1795)*J1795*(1-N($G1795)),2)),"")</f>
        <v/>
      </c>
      <c r="L1795" s="62" t="str">
        <f aca="false">IF(IsPro,IF($D1795="","",IFERROR(INDEX(Items!$F$5:$F$504,Q1795),0)),"")</f>
        <v/>
      </c>
      <c r="M1795" s="61" t="str">
        <f aca="false">IF(IsPro,IF($D1795="","",IF(AND(R1795&lt;&gt;"",INDEX(Parties!$E$5:$E$304,R1795)&lt;&gt;"",INDEX(Parties!$E$5:$E$304,R1795)&lt;&gt;HomeState),0,ROUND(K1795*L1795/2,2))),"")</f>
        <v/>
      </c>
      <c r="N1795" s="61" t="str">
        <f aca="false">IF(IsPro,IF($D1795="","",M1795),"")</f>
        <v/>
      </c>
      <c r="O1795" s="61" t="str">
        <f aca="false">IF(IsPro,IF($D1795="","",IF(AND(R1795&lt;&gt;"",INDEX(Parties!$E$5:$E$304,R1795)&lt;&gt;"",INDEX(Parties!$E$5:$E$304,R1795)&lt;&gt;HomeState),ROUND(K1795*L1795,2),0)),"")</f>
        <v/>
      </c>
      <c r="P1795" s="61" t="str">
        <f aca="false">IF(IsPro,IF($D1795="","",K1795+M1795+N1795+O1795),"")</f>
        <v/>
      </c>
      <c r="Q1795" s="60" t="str">
        <f aca="false">IF(IsPro,IF($D1795="","",IFERROR(MATCH($D1795,Items!$A$5:$A$504,0),"")),"")</f>
        <v/>
      </c>
      <c r="R1795" s="60" t="str">
        <f aca="false">IF(IsPro,IF($C1795="","",IFERROR(MATCH($C1795,Parties!$A$5:$A$304,0),"")),"")</f>
        <v/>
      </c>
      <c r="S1795" s="61" t="str">
        <f aca="false">IF(IsPro,IF($D1795="","",IF(OR($H1795="",$H1795="Credit"),0,P1795)),"")</f>
        <v/>
      </c>
    </row>
    <row r="1796" customFormat="false" ht="15" hidden="false" customHeight="false" outlineLevel="0" collapsed="false">
      <c r="A1796" s="55"/>
      <c r="B1796" s="56"/>
      <c r="C1796" s="56"/>
      <c r="D1796" s="56"/>
      <c r="E1796" s="57"/>
      <c r="F1796" s="58"/>
      <c r="G1796" s="59"/>
      <c r="H1796" s="56"/>
      <c r="I1796" s="60" t="str">
        <f aca="false">IF(IsPro,IF($D1796="","",IFERROR(INDEX(Items!$D$5:$D$504,Q1796),"")),IF($D1796="","","PRO PLAN"))</f>
        <v/>
      </c>
      <c r="J1796" s="61" t="str">
        <f aca="false">IF(IsPro,IF($D1796="","",IF($F1796="",IFERROR(INDEX(Items!$G$5:$G$504,Q1796),0),$F1796)),"")</f>
        <v/>
      </c>
      <c r="K1796" s="61" t="str">
        <f aca="false">IF(IsPro,IF($D1796="","",ROUND(N($E1796)*J1796*(1-N($G1796)),2)),"")</f>
        <v/>
      </c>
      <c r="L1796" s="62" t="str">
        <f aca="false">IF(IsPro,IF($D1796="","",IFERROR(INDEX(Items!$F$5:$F$504,Q1796),0)),"")</f>
        <v/>
      </c>
      <c r="M1796" s="61" t="str">
        <f aca="false">IF(IsPro,IF($D1796="","",IF(AND(R1796&lt;&gt;"",INDEX(Parties!$E$5:$E$304,R1796)&lt;&gt;"",INDEX(Parties!$E$5:$E$304,R1796)&lt;&gt;HomeState),0,ROUND(K1796*L1796/2,2))),"")</f>
        <v/>
      </c>
      <c r="N1796" s="61" t="str">
        <f aca="false">IF(IsPro,IF($D1796="","",M1796),"")</f>
        <v/>
      </c>
      <c r="O1796" s="61" t="str">
        <f aca="false">IF(IsPro,IF($D1796="","",IF(AND(R1796&lt;&gt;"",INDEX(Parties!$E$5:$E$304,R1796)&lt;&gt;"",INDEX(Parties!$E$5:$E$304,R1796)&lt;&gt;HomeState),ROUND(K1796*L1796,2),0)),"")</f>
        <v/>
      </c>
      <c r="P1796" s="61" t="str">
        <f aca="false">IF(IsPro,IF($D1796="","",K1796+M1796+N1796+O1796),"")</f>
        <v/>
      </c>
      <c r="Q1796" s="60" t="str">
        <f aca="false">IF(IsPro,IF($D1796="","",IFERROR(MATCH($D1796,Items!$A$5:$A$504,0),"")),"")</f>
        <v/>
      </c>
      <c r="R1796" s="60" t="str">
        <f aca="false">IF(IsPro,IF($C1796="","",IFERROR(MATCH($C1796,Parties!$A$5:$A$304,0),"")),"")</f>
        <v/>
      </c>
      <c r="S1796" s="61" t="str">
        <f aca="false">IF(IsPro,IF($D1796="","",IF(OR($H1796="",$H1796="Credit"),0,P1796)),"")</f>
        <v/>
      </c>
    </row>
    <row r="1797" customFormat="false" ht="15" hidden="false" customHeight="false" outlineLevel="0" collapsed="false">
      <c r="A1797" s="55"/>
      <c r="B1797" s="56"/>
      <c r="C1797" s="56"/>
      <c r="D1797" s="56"/>
      <c r="E1797" s="57"/>
      <c r="F1797" s="58"/>
      <c r="G1797" s="59"/>
      <c r="H1797" s="56"/>
      <c r="I1797" s="60" t="str">
        <f aca="false">IF(IsPro,IF($D1797="","",IFERROR(INDEX(Items!$D$5:$D$504,Q1797),"")),IF($D1797="","","PRO PLAN"))</f>
        <v/>
      </c>
      <c r="J1797" s="61" t="str">
        <f aca="false">IF(IsPro,IF($D1797="","",IF($F1797="",IFERROR(INDEX(Items!$G$5:$G$504,Q1797),0),$F1797)),"")</f>
        <v/>
      </c>
      <c r="K1797" s="61" t="str">
        <f aca="false">IF(IsPro,IF($D1797="","",ROUND(N($E1797)*J1797*(1-N($G1797)),2)),"")</f>
        <v/>
      </c>
      <c r="L1797" s="62" t="str">
        <f aca="false">IF(IsPro,IF($D1797="","",IFERROR(INDEX(Items!$F$5:$F$504,Q1797),0)),"")</f>
        <v/>
      </c>
      <c r="M1797" s="61" t="str">
        <f aca="false">IF(IsPro,IF($D1797="","",IF(AND(R1797&lt;&gt;"",INDEX(Parties!$E$5:$E$304,R1797)&lt;&gt;"",INDEX(Parties!$E$5:$E$304,R1797)&lt;&gt;HomeState),0,ROUND(K1797*L1797/2,2))),"")</f>
        <v/>
      </c>
      <c r="N1797" s="61" t="str">
        <f aca="false">IF(IsPro,IF($D1797="","",M1797),"")</f>
        <v/>
      </c>
      <c r="O1797" s="61" t="str">
        <f aca="false">IF(IsPro,IF($D1797="","",IF(AND(R1797&lt;&gt;"",INDEX(Parties!$E$5:$E$304,R1797)&lt;&gt;"",INDEX(Parties!$E$5:$E$304,R1797)&lt;&gt;HomeState),ROUND(K1797*L1797,2),0)),"")</f>
        <v/>
      </c>
      <c r="P1797" s="61" t="str">
        <f aca="false">IF(IsPro,IF($D1797="","",K1797+M1797+N1797+O1797),"")</f>
        <v/>
      </c>
      <c r="Q1797" s="60" t="str">
        <f aca="false">IF(IsPro,IF($D1797="","",IFERROR(MATCH($D1797,Items!$A$5:$A$504,0),"")),"")</f>
        <v/>
      </c>
      <c r="R1797" s="60" t="str">
        <f aca="false">IF(IsPro,IF($C1797="","",IFERROR(MATCH($C1797,Parties!$A$5:$A$304,0),"")),"")</f>
        <v/>
      </c>
      <c r="S1797" s="61" t="str">
        <f aca="false">IF(IsPro,IF($D1797="","",IF(OR($H1797="",$H1797="Credit"),0,P1797)),"")</f>
        <v/>
      </c>
    </row>
    <row r="1798" customFormat="false" ht="15" hidden="false" customHeight="false" outlineLevel="0" collapsed="false">
      <c r="A1798" s="55"/>
      <c r="B1798" s="56"/>
      <c r="C1798" s="56"/>
      <c r="D1798" s="56"/>
      <c r="E1798" s="57"/>
      <c r="F1798" s="58"/>
      <c r="G1798" s="59"/>
      <c r="H1798" s="56"/>
      <c r="I1798" s="60" t="str">
        <f aca="false">IF(IsPro,IF($D1798="","",IFERROR(INDEX(Items!$D$5:$D$504,Q1798),"")),IF($D1798="","","PRO PLAN"))</f>
        <v/>
      </c>
      <c r="J1798" s="61" t="str">
        <f aca="false">IF(IsPro,IF($D1798="","",IF($F1798="",IFERROR(INDEX(Items!$G$5:$G$504,Q1798),0),$F1798)),"")</f>
        <v/>
      </c>
      <c r="K1798" s="61" t="str">
        <f aca="false">IF(IsPro,IF($D1798="","",ROUND(N($E1798)*J1798*(1-N($G1798)),2)),"")</f>
        <v/>
      </c>
      <c r="L1798" s="62" t="str">
        <f aca="false">IF(IsPro,IF($D1798="","",IFERROR(INDEX(Items!$F$5:$F$504,Q1798),0)),"")</f>
        <v/>
      </c>
      <c r="M1798" s="61" t="str">
        <f aca="false">IF(IsPro,IF($D1798="","",IF(AND(R1798&lt;&gt;"",INDEX(Parties!$E$5:$E$304,R1798)&lt;&gt;"",INDEX(Parties!$E$5:$E$304,R1798)&lt;&gt;HomeState),0,ROUND(K1798*L1798/2,2))),"")</f>
        <v/>
      </c>
      <c r="N1798" s="61" t="str">
        <f aca="false">IF(IsPro,IF($D1798="","",M1798),"")</f>
        <v/>
      </c>
      <c r="O1798" s="61" t="str">
        <f aca="false">IF(IsPro,IF($D1798="","",IF(AND(R1798&lt;&gt;"",INDEX(Parties!$E$5:$E$304,R1798)&lt;&gt;"",INDEX(Parties!$E$5:$E$304,R1798)&lt;&gt;HomeState),ROUND(K1798*L1798,2),0)),"")</f>
        <v/>
      </c>
      <c r="P1798" s="61" t="str">
        <f aca="false">IF(IsPro,IF($D1798="","",K1798+M1798+N1798+O1798),"")</f>
        <v/>
      </c>
      <c r="Q1798" s="60" t="str">
        <f aca="false">IF(IsPro,IF($D1798="","",IFERROR(MATCH($D1798,Items!$A$5:$A$504,0),"")),"")</f>
        <v/>
      </c>
      <c r="R1798" s="60" t="str">
        <f aca="false">IF(IsPro,IF($C1798="","",IFERROR(MATCH($C1798,Parties!$A$5:$A$304,0),"")),"")</f>
        <v/>
      </c>
      <c r="S1798" s="61" t="str">
        <f aca="false">IF(IsPro,IF($D1798="","",IF(OR($H1798="",$H1798="Credit"),0,P1798)),"")</f>
        <v/>
      </c>
    </row>
    <row r="1799" customFormat="false" ht="15" hidden="false" customHeight="false" outlineLevel="0" collapsed="false">
      <c r="A1799" s="55"/>
      <c r="B1799" s="56"/>
      <c r="C1799" s="56"/>
      <c r="D1799" s="56"/>
      <c r="E1799" s="57"/>
      <c r="F1799" s="58"/>
      <c r="G1799" s="59"/>
      <c r="H1799" s="56"/>
      <c r="I1799" s="60" t="str">
        <f aca="false">IF(IsPro,IF($D1799="","",IFERROR(INDEX(Items!$D$5:$D$504,Q1799),"")),IF($D1799="","","PRO PLAN"))</f>
        <v/>
      </c>
      <c r="J1799" s="61" t="str">
        <f aca="false">IF(IsPro,IF($D1799="","",IF($F1799="",IFERROR(INDEX(Items!$G$5:$G$504,Q1799),0),$F1799)),"")</f>
        <v/>
      </c>
      <c r="K1799" s="61" t="str">
        <f aca="false">IF(IsPro,IF($D1799="","",ROUND(N($E1799)*J1799*(1-N($G1799)),2)),"")</f>
        <v/>
      </c>
      <c r="L1799" s="62" t="str">
        <f aca="false">IF(IsPro,IF($D1799="","",IFERROR(INDEX(Items!$F$5:$F$504,Q1799),0)),"")</f>
        <v/>
      </c>
      <c r="M1799" s="61" t="str">
        <f aca="false">IF(IsPro,IF($D1799="","",IF(AND(R1799&lt;&gt;"",INDEX(Parties!$E$5:$E$304,R1799)&lt;&gt;"",INDEX(Parties!$E$5:$E$304,R1799)&lt;&gt;HomeState),0,ROUND(K1799*L1799/2,2))),"")</f>
        <v/>
      </c>
      <c r="N1799" s="61" t="str">
        <f aca="false">IF(IsPro,IF($D1799="","",M1799),"")</f>
        <v/>
      </c>
      <c r="O1799" s="61" t="str">
        <f aca="false">IF(IsPro,IF($D1799="","",IF(AND(R1799&lt;&gt;"",INDEX(Parties!$E$5:$E$304,R1799)&lt;&gt;"",INDEX(Parties!$E$5:$E$304,R1799)&lt;&gt;HomeState),ROUND(K1799*L1799,2),0)),"")</f>
        <v/>
      </c>
      <c r="P1799" s="61" t="str">
        <f aca="false">IF(IsPro,IF($D1799="","",K1799+M1799+N1799+O1799),"")</f>
        <v/>
      </c>
      <c r="Q1799" s="60" t="str">
        <f aca="false">IF(IsPro,IF($D1799="","",IFERROR(MATCH($D1799,Items!$A$5:$A$504,0),"")),"")</f>
        <v/>
      </c>
      <c r="R1799" s="60" t="str">
        <f aca="false">IF(IsPro,IF($C1799="","",IFERROR(MATCH($C1799,Parties!$A$5:$A$304,0),"")),"")</f>
        <v/>
      </c>
      <c r="S1799" s="61" t="str">
        <f aca="false">IF(IsPro,IF($D1799="","",IF(OR($H1799="",$H1799="Credit"),0,P1799)),"")</f>
        <v/>
      </c>
    </row>
    <row r="1800" customFormat="false" ht="15" hidden="false" customHeight="false" outlineLevel="0" collapsed="false">
      <c r="A1800" s="55"/>
      <c r="B1800" s="56"/>
      <c r="C1800" s="56"/>
      <c r="D1800" s="56"/>
      <c r="E1800" s="57"/>
      <c r="F1800" s="58"/>
      <c r="G1800" s="59"/>
      <c r="H1800" s="56"/>
      <c r="I1800" s="60" t="str">
        <f aca="false">IF(IsPro,IF($D1800="","",IFERROR(INDEX(Items!$D$5:$D$504,Q1800),"")),IF($D1800="","","PRO PLAN"))</f>
        <v/>
      </c>
      <c r="J1800" s="61" t="str">
        <f aca="false">IF(IsPro,IF($D1800="","",IF($F1800="",IFERROR(INDEX(Items!$G$5:$G$504,Q1800),0),$F1800)),"")</f>
        <v/>
      </c>
      <c r="K1800" s="61" t="str">
        <f aca="false">IF(IsPro,IF($D1800="","",ROUND(N($E1800)*J1800*(1-N($G1800)),2)),"")</f>
        <v/>
      </c>
      <c r="L1800" s="62" t="str">
        <f aca="false">IF(IsPro,IF($D1800="","",IFERROR(INDEX(Items!$F$5:$F$504,Q1800),0)),"")</f>
        <v/>
      </c>
      <c r="M1800" s="61" t="str">
        <f aca="false">IF(IsPro,IF($D1800="","",IF(AND(R1800&lt;&gt;"",INDEX(Parties!$E$5:$E$304,R1800)&lt;&gt;"",INDEX(Parties!$E$5:$E$304,R1800)&lt;&gt;HomeState),0,ROUND(K1800*L1800/2,2))),"")</f>
        <v/>
      </c>
      <c r="N1800" s="61" t="str">
        <f aca="false">IF(IsPro,IF($D1800="","",M1800),"")</f>
        <v/>
      </c>
      <c r="O1800" s="61" t="str">
        <f aca="false">IF(IsPro,IF($D1800="","",IF(AND(R1800&lt;&gt;"",INDEX(Parties!$E$5:$E$304,R1800)&lt;&gt;"",INDEX(Parties!$E$5:$E$304,R1800)&lt;&gt;HomeState),ROUND(K1800*L1800,2),0)),"")</f>
        <v/>
      </c>
      <c r="P1800" s="61" t="str">
        <f aca="false">IF(IsPro,IF($D1800="","",K1800+M1800+N1800+O1800),"")</f>
        <v/>
      </c>
      <c r="Q1800" s="60" t="str">
        <f aca="false">IF(IsPro,IF($D1800="","",IFERROR(MATCH($D1800,Items!$A$5:$A$504,0),"")),"")</f>
        <v/>
      </c>
      <c r="R1800" s="60" t="str">
        <f aca="false">IF(IsPro,IF($C1800="","",IFERROR(MATCH($C1800,Parties!$A$5:$A$304,0),"")),"")</f>
        <v/>
      </c>
      <c r="S1800" s="61" t="str">
        <f aca="false">IF(IsPro,IF($D1800="","",IF(OR($H1800="",$H1800="Credit"),0,P1800)),"")</f>
        <v/>
      </c>
    </row>
    <row r="1801" customFormat="false" ht="15" hidden="false" customHeight="false" outlineLevel="0" collapsed="false">
      <c r="A1801" s="55"/>
      <c r="B1801" s="56"/>
      <c r="C1801" s="56"/>
      <c r="D1801" s="56"/>
      <c r="E1801" s="57"/>
      <c r="F1801" s="58"/>
      <c r="G1801" s="59"/>
      <c r="H1801" s="56"/>
      <c r="I1801" s="60" t="str">
        <f aca="false">IF(IsPro,IF($D1801="","",IFERROR(INDEX(Items!$D$5:$D$504,Q1801),"")),IF($D1801="","","PRO PLAN"))</f>
        <v/>
      </c>
      <c r="J1801" s="61" t="str">
        <f aca="false">IF(IsPro,IF($D1801="","",IF($F1801="",IFERROR(INDEX(Items!$G$5:$G$504,Q1801),0),$F1801)),"")</f>
        <v/>
      </c>
      <c r="K1801" s="61" t="str">
        <f aca="false">IF(IsPro,IF($D1801="","",ROUND(N($E1801)*J1801*(1-N($G1801)),2)),"")</f>
        <v/>
      </c>
      <c r="L1801" s="62" t="str">
        <f aca="false">IF(IsPro,IF($D1801="","",IFERROR(INDEX(Items!$F$5:$F$504,Q1801),0)),"")</f>
        <v/>
      </c>
      <c r="M1801" s="61" t="str">
        <f aca="false">IF(IsPro,IF($D1801="","",IF(AND(R1801&lt;&gt;"",INDEX(Parties!$E$5:$E$304,R1801)&lt;&gt;"",INDEX(Parties!$E$5:$E$304,R1801)&lt;&gt;HomeState),0,ROUND(K1801*L1801/2,2))),"")</f>
        <v/>
      </c>
      <c r="N1801" s="61" t="str">
        <f aca="false">IF(IsPro,IF($D1801="","",M1801),"")</f>
        <v/>
      </c>
      <c r="O1801" s="61" t="str">
        <f aca="false">IF(IsPro,IF($D1801="","",IF(AND(R1801&lt;&gt;"",INDEX(Parties!$E$5:$E$304,R1801)&lt;&gt;"",INDEX(Parties!$E$5:$E$304,R1801)&lt;&gt;HomeState),ROUND(K1801*L1801,2),0)),"")</f>
        <v/>
      </c>
      <c r="P1801" s="61" t="str">
        <f aca="false">IF(IsPro,IF($D1801="","",K1801+M1801+N1801+O1801),"")</f>
        <v/>
      </c>
      <c r="Q1801" s="60" t="str">
        <f aca="false">IF(IsPro,IF($D1801="","",IFERROR(MATCH($D1801,Items!$A$5:$A$504,0),"")),"")</f>
        <v/>
      </c>
      <c r="R1801" s="60" t="str">
        <f aca="false">IF(IsPro,IF($C1801="","",IFERROR(MATCH($C1801,Parties!$A$5:$A$304,0),"")),"")</f>
        <v/>
      </c>
      <c r="S1801" s="61" t="str">
        <f aca="false">IF(IsPro,IF($D1801="","",IF(OR($H1801="",$H1801="Credit"),0,P1801)),"")</f>
        <v/>
      </c>
    </row>
    <row r="1802" customFormat="false" ht="15" hidden="false" customHeight="false" outlineLevel="0" collapsed="false">
      <c r="A1802" s="55"/>
      <c r="B1802" s="56"/>
      <c r="C1802" s="56"/>
      <c r="D1802" s="56"/>
      <c r="E1802" s="57"/>
      <c r="F1802" s="58"/>
      <c r="G1802" s="59"/>
      <c r="H1802" s="56"/>
      <c r="I1802" s="60" t="str">
        <f aca="false">IF(IsPro,IF($D1802="","",IFERROR(INDEX(Items!$D$5:$D$504,Q1802),"")),IF($D1802="","","PRO PLAN"))</f>
        <v/>
      </c>
      <c r="J1802" s="61" t="str">
        <f aca="false">IF(IsPro,IF($D1802="","",IF($F1802="",IFERROR(INDEX(Items!$G$5:$G$504,Q1802),0),$F1802)),"")</f>
        <v/>
      </c>
      <c r="K1802" s="61" t="str">
        <f aca="false">IF(IsPro,IF($D1802="","",ROUND(N($E1802)*J1802*(1-N($G1802)),2)),"")</f>
        <v/>
      </c>
      <c r="L1802" s="62" t="str">
        <f aca="false">IF(IsPro,IF($D1802="","",IFERROR(INDEX(Items!$F$5:$F$504,Q1802),0)),"")</f>
        <v/>
      </c>
      <c r="M1802" s="61" t="str">
        <f aca="false">IF(IsPro,IF($D1802="","",IF(AND(R1802&lt;&gt;"",INDEX(Parties!$E$5:$E$304,R1802)&lt;&gt;"",INDEX(Parties!$E$5:$E$304,R1802)&lt;&gt;HomeState),0,ROUND(K1802*L1802/2,2))),"")</f>
        <v/>
      </c>
      <c r="N1802" s="61" t="str">
        <f aca="false">IF(IsPro,IF($D1802="","",M1802),"")</f>
        <v/>
      </c>
      <c r="O1802" s="61" t="str">
        <f aca="false">IF(IsPro,IF($D1802="","",IF(AND(R1802&lt;&gt;"",INDEX(Parties!$E$5:$E$304,R1802)&lt;&gt;"",INDEX(Parties!$E$5:$E$304,R1802)&lt;&gt;HomeState),ROUND(K1802*L1802,2),0)),"")</f>
        <v/>
      </c>
      <c r="P1802" s="61" t="str">
        <f aca="false">IF(IsPro,IF($D1802="","",K1802+M1802+N1802+O1802),"")</f>
        <v/>
      </c>
      <c r="Q1802" s="60" t="str">
        <f aca="false">IF(IsPro,IF($D1802="","",IFERROR(MATCH($D1802,Items!$A$5:$A$504,0),"")),"")</f>
        <v/>
      </c>
      <c r="R1802" s="60" t="str">
        <f aca="false">IF(IsPro,IF($C1802="","",IFERROR(MATCH($C1802,Parties!$A$5:$A$304,0),"")),"")</f>
        <v/>
      </c>
      <c r="S1802" s="61" t="str">
        <f aca="false">IF(IsPro,IF($D1802="","",IF(OR($H1802="",$H1802="Credit"),0,P1802)),"")</f>
        <v/>
      </c>
    </row>
    <row r="1803" customFormat="false" ht="15" hidden="false" customHeight="false" outlineLevel="0" collapsed="false">
      <c r="A1803" s="55"/>
      <c r="B1803" s="56"/>
      <c r="C1803" s="56"/>
      <c r="D1803" s="56"/>
      <c r="E1803" s="57"/>
      <c r="F1803" s="58"/>
      <c r="G1803" s="59"/>
      <c r="H1803" s="56"/>
      <c r="I1803" s="60" t="str">
        <f aca="false">IF(IsPro,IF($D1803="","",IFERROR(INDEX(Items!$D$5:$D$504,Q1803),"")),IF($D1803="","","PRO PLAN"))</f>
        <v/>
      </c>
      <c r="J1803" s="61" t="str">
        <f aca="false">IF(IsPro,IF($D1803="","",IF($F1803="",IFERROR(INDEX(Items!$G$5:$G$504,Q1803),0),$F1803)),"")</f>
        <v/>
      </c>
      <c r="K1803" s="61" t="str">
        <f aca="false">IF(IsPro,IF($D1803="","",ROUND(N($E1803)*J1803*(1-N($G1803)),2)),"")</f>
        <v/>
      </c>
      <c r="L1803" s="62" t="str">
        <f aca="false">IF(IsPro,IF($D1803="","",IFERROR(INDEX(Items!$F$5:$F$504,Q1803),0)),"")</f>
        <v/>
      </c>
      <c r="M1803" s="61" t="str">
        <f aca="false">IF(IsPro,IF($D1803="","",IF(AND(R1803&lt;&gt;"",INDEX(Parties!$E$5:$E$304,R1803)&lt;&gt;"",INDEX(Parties!$E$5:$E$304,R1803)&lt;&gt;HomeState),0,ROUND(K1803*L1803/2,2))),"")</f>
        <v/>
      </c>
      <c r="N1803" s="61" t="str">
        <f aca="false">IF(IsPro,IF($D1803="","",M1803),"")</f>
        <v/>
      </c>
      <c r="O1803" s="61" t="str">
        <f aca="false">IF(IsPro,IF($D1803="","",IF(AND(R1803&lt;&gt;"",INDEX(Parties!$E$5:$E$304,R1803)&lt;&gt;"",INDEX(Parties!$E$5:$E$304,R1803)&lt;&gt;HomeState),ROUND(K1803*L1803,2),0)),"")</f>
        <v/>
      </c>
      <c r="P1803" s="61" t="str">
        <f aca="false">IF(IsPro,IF($D1803="","",K1803+M1803+N1803+O1803),"")</f>
        <v/>
      </c>
      <c r="Q1803" s="60" t="str">
        <f aca="false">IF(IsPro,IF($D1803="","",IFERROR(MATCH($D1803,Items!$A$5:$A$504,0),"")),"")</f>
        <v/>
      </c>
      <c r="R1803" s="60" t="str">
        <f aca="false">IF(IsPro,IF($C1803="","",IFERROR(MATCH($C1803,Parties!$A$5:$A$304,0),"")),"")</f>
        <v/>
      </c>
      <c r="S1803" s="61" t="str">
        <f aca="false">IF(IsPro,IF($D1803="","",IF(OR($H1803="",$H1803="Credit"),0,P1803)),"")</f>
        <v/>
      </c>
    </row>
    <row r="1804" customFormat="false" ht="15" hidden="false" customHeight="false" outlineLevel="0" collapsed="false">
      <c r="A1804" s="55"/>
      <c r="B1804" s="56"/>
      <c r="C1804" s="56"/>
      <c r="D1804" s="56"/>
      <c r="E1804" s="57"/>
      <c r="F1804" s="58"/>
      <c r="G1804" s="59"/>
      <c r="H1804" s="56"/>
      <c r="I1804" s="60" t="str">
        <f aca="false">IF(IsPro,IF($D1804="","",IFERROR(INDEX(Items!$D$5:$D$504,Q1804),"")),IF($D1804="","","PRO PLAN"))</f>
        <v/>
      </c>
      <c r="J1804" s="61" t="str">
        <f aca="false">IF(IsPro,IF($D1804="","",IF($F1804="",IFERROR(INDEX(Items!$G$5:$G$504,Q1804),0),$F1804)),"")</f>
        <v/>
      </c>
      <c r="K1804" s="61" t="str">
        <f aca="false">IF(IsPro,IF($D1804="","",ROUND(N($E1804)*J1804*(1-N($G1804)),2)),"")</f>
        <v/>
      </c>
      <c r="L1804" s="62" t="str">
        <f aca="false">IF(IsPro,IF($D1804="","",IFERROR(INDEX(Items!$F$5:$F$504,Q1804),0)),"")</f>
        <v/>
      </c>
      <c r="M1804" s="61" t="str">
        <f aca="false">IF(IsPro,IF($D1804="","",IF(AND(R1804&lt;&gt;"",INDEX(Parties!$E$5:$E$304,R1804)&lt;&gt;"",INDEX(Parties!$E$5:$E$304,R1804)&lt;&gt;HomeState),0,ROUND(K1804*L1804/2,2))),"")</f>
        <v/>
      </c>
      <c r="N1804" s="61" t="str">
        <f aca="false">IF(IsPro,IF($D1804="","",M1804),"")</f>
        <v/>
      </c>
      <c r="O1804" s="61" t="str">
        <f aca="false">IF(IsPro,IF($D1804="","",IF(AND(R1804&lt;&gt;"",INDEX(Parties!$E$5:$E$304,R1804)&lt;&gt;"",INDEX(Parties!$E$5:$E$304,R1804)&lt;&gt;HomeState),ROUND(K1804*L1804,2),0)),"")</f>
        <v/>
      </c>
      <c r="P1804" s="61" t="str">
        <f aca="false">IF(IsPro,IF($D1804="","",K1804+M1804+N1804+O1804),"")</f>
        <v/>
      </c>
      <c r="Q1804" s="60" t="str">
        <f aca="false">IF(IsPro,IF($D1804="","",IFERROR(MATCH($D1804,Items!$A$5:$A$504,0),"")),"")</f>
        <v/>
      </c>
      <c r="R1804" s="60" t="str">
        <f aca="false">IF(IsPro,IF($C1804="","",IFERROR(MATCH($C1804,Parties!$A$5:$A$304,0),"")),"")</f>
        <v/>
      </c>
      <c r="S1804" s="61" t="str">
        <f aca="false">IF(IsPro,IF($D1804="","",IF(OR($H1804="",$H1804="Credit"),0,P1804)),"")</f>
        <v/>
      </c>
    </row>
    <row r="1805" customFormat="false" ht="15" hidden="false" customHeight="false" outlineLevel="0" collapsed="false">
      <c r="A1805" s="55"/>
      <c r="B1805" s="56"/>
      <c r="C1805" s="56"/>
      <c r="D1805" s="56"/>
      <c r="E1805" s="57"/>
      <c r="F1805" s="58"/>
      <c r="G1805" s="59"/>
      <c r="H1805" s="56"/>
      <c r="I1805" s="60" t="str">
        <f aca="false">IF(IsPro,IF($D1805="","",IFERROR(INDEX(Items!$D$5:$D$504,Q1805),"")),IF($D1805="","","PRO PLAN"))</f>
        <v/>
      </c>
      <c r="J1805" s="61" t="str">
        <f aca="false">IF(IsPro,IF($D1805="","",IF($F1805="",IFERROR(INDEX(Items!$G$5:$G$504,Q1805),0),$F1805)),"")</f>
        <v/>
      </c>
      <c r="K1805" s="61" t="str">
        <f aca="false">IF(IsPro,IF($D1805="","",ROUND(N($E1805)*J1805*(1-N($G1805)),2)),"")</f>
        <v/>
      </c>
      <c r="L1805" s="62" t="str">
        <f aca="false">IF(IsPro,IF($D1805="","",IFERROR(INDEX(Items!$F$5:$F$504,Q1805),0)),"")</f>
        <v/>
      </c>
      <c r="M1805" s="61" t="str">
        <f aca="false">IF(IsPro,IF($D1805="","",IF(AND(R1805&lt;&gt;"",INDEX(Parties!$E$5:$E$304,R1805)&lt;&gt;"",INDEX(Parties!$E$5:$E$304,R1805)&lt;&gt;HomeState),0,ROUND(K1805*L1805/2,2))),"")</f>
        <v/>
      </c>
      <c r="N1805" s="61" t="str">
        <f aca="false">IF(IsPro,IF($D1805="","",M1805),"")</f>
        <v/>
      </c>
      <c r="O1805" s="61" t="str">
        <f aca="false">IF(IsPro,IF($D1805="","",IF(AND(R1805&lt;&gt;"",INDEX(Parties!$E$5:$E$304,R1805)&lt;&gt;"",INDEX(Parties!$E$5:$E$304,R1805)&lt;&gt;HomeState),ROUND(K1805*L1805,2),0)),"")</f>
        <v/>
      </c>
      <c r="P1805" s="61" t="str">
        <f aca="false">IF(IsPro,IF($D1805="","",K1805+M1805+N1805+O1805),"")</f>
        <v/>
      </c>
      <c r="Q1805" s="60" t="str">
        <f aca="false">IF(IsPro,IF($D1805="","",IFERROR(MATCH($D1805,Items!$A$5:$A$504,0),"")),"")</f>
        <v/>
      </c>
      <c r="R1805" s="60" t="str">
        <f aca="false">IF(IsPro,IF($C1805="","",IFERROR(MATCH($C1805,Parties!$A$5:$A$304,0),"")),"")</f>
        <v/>
      </c>
      <c r="S1805" s="61" t="str">
        <f aca="false">IF(IsPro,IF($D1805="","",IF(OR($H1805="",$H1805="Credit"),0,P1805)),"")</f>
        <v/>
      </c>
    </row>
    <row r="1806" customFormat="false" ht="15" hidden="false" customHeight="false" outlineLevel="0" collapsed="false">
      <c r="A1806" s="55"/>
      <c r="B1806" s="56"/>
      <c r="C1806" s="56"/>
      <c r="D1806" s="56"/>
      <c r="E1806" s="57"/>
      <c r="F1806" s="58"/>
      <c r="G1806" s="59"/>
      <c r="H1806" s="56"/>
      <c r="I1806" s="60" t="str">
        <f aca="false">IF(IsPro,IF($D1806="","",IFERROR(INDEX(Items!$D$5:$D$504,Q1806),"")),IF($D1806="","","PRO PLAN"))</f>
        <v/>
      </c>
      <c r="J1806" s="61" t="str">
        <f aca="false">IF(IsPro,IF($D1806="","",IF($F1806="",IFERROR(INDEX(Items!$G$5:$G$504,Q1806),0),$F1806)),"")</f>
        <v/>
      </c>
      <c r="K1806" s="61" t="str">
        <f aca="false">IF(IsPro,IF($D1806="","",ROUND(N($E1806)*J1806*(1-N($G1806)),2)),"")</f>
        <v/>
      </c>
      <c r="L1806" s="62" t="str">
        <f aca="false">IF(IsPro,IF($D1806="","",IFERROR(INDEX(Items!$F$5:$F$504,Q1806),0)),"")</f>
        <v/>
      </c>
      <c r="M1806" s="61" t="str">
        <f aca="false">IF(IsPro,IF($D1806="","",IF(AND(R1806&lt;&gt;"",INDEX(Parties!$E$5:$E$304,R1806)&lt;&gt;"",INDEX(Parties!$E$5:$E$304,R1806)&lt;&gt;HomeState),0,ROUND(K1806*L1806/2,2))),"")</f>
        <v/>
      </c>
      <c r="N1806" s="61" t="str">
        <f aca="false">IF(IsPro,IF($D1806="","",M1806),"")</f>
        <v/>
      </c>
      <c r="O1806" s="61" t="str">
        <f aca="false">IF(IsPro,IF($D1806="","",IF(AND(R1806&lt;&gt;"",INDEX(Parties!$E$5:$E$304,R1806)&lt;&gt;"",INDEX(Parties!$E$5:$E$304,R1806)&lt;&gt;HomeState),ROUND(K1806*L1806,2),0)),"")</f>
        <v/>
      </c>
      <c r="P1806" s="61" t="str">
        <f aca="false">IF(IsPro,IF($D1806="","",K1806+M1806+N1806+O1806),"")</f>
        <v/>
      </c>
      <c r="Q1806" s="60" t="str">
        <f aca="false">IF(IsPro,IF($D1806="","",IFERROR(MATCH($D1806,Items!$A$5:$A$504,0),"")),"")</f>
        <v/>
      </c>
      <c r="R1806" s="60" t="str">
        <f aca="false">IF(IsPro,IF($C1806="","",IFERROR(MATCH($C1806,Parties!$A$5:$A$304,0),"")),"")</f>
        <v/>
      </c>
      <c r="S1806" s="61" t="str">
        <f aca="false">IF(IsPro,IF($D1806="","",IF(OR($H1806="",$H1806="Credit"),0,P1806)),"")</f>
        <v/>
      </c>
    </row>
    <row r="1807" customFormat="false" ht="15" hidden="false" customHeight="false" outlineLevel="0" collapsed="false">
      <c r="A1807" s="55"/>
      <c r="B1807" s="56"/>
      <c r="C1807" s="56"/>
      <c r="D1807" s="56"/>
      <c r="E1807" s="57"/>
      <c r="F1807" s="58"/>
      <c r="G1807" s="59"/>
      <c r="H1807" s="56"/>
      <c r="I1807" s="60" t="str">
        <f aca="false">IF(IsPro,IF($D1807="","",IFERROR(INDEX(Items!$D$5:$D$504,Q1807),"")),IF($D1807="","","PRO PLAN"))</f>
        <v/>
      </c>
      <c r="J1807" s="61" t="str">
        <f aca="false">IF(IsPro,IF($D1807="","",IF($F1807="",IFERROR(INDEX(Items!$G$5:$G$504,Q1807),0),$F1807)),"")</f>
        <v/>
      </c>
      <c r="K1807" s="61" t="str">
        <f aca="false">IF(IsPro,IF($D1807="","",ROUND(N($E1807)*J1807*(1-N($G1807)),2)),"")</f>
        <v/>
      </c>
      <c r="L1807" s="62" t="str">
        <f aca="false">IF(IsPro,IF($D1807="","",IFERROR(INDEX(Items!$F$5:$F$504,Q1807),0)),"")</f>
        <v/>
      </c>
      <c r="M1807" s="61" t="str">
        <f aca="false">IF(IsPro,IF($D1807="","",IF(AND(R1807&lt;&gt;"",INDEX(Parties!$E$5:$E$304,R1807)&lt;&gt;"",INDEX(Parties!$E$5:$E$304,R1807)&lt;&gt;HomeState),0,ROUND(K1807*L1807/2,2))),"")</f>
        <v/>
      </c>
      <c r="N1807" s="61" t="str">
        <f aca="false">IF(IsPro,IF($D1807="","",M1807),"")</f>
        <v/>
      </c>
      <c r="O1807" s="61" t="str">
        <f aca="false">IF(IsPro,IF($D1807="","",IF(AND(R1807&lt;&gt;"",INDEX(Parties!$E$5:$E$304,R1807)&lt;&gt;"",INDEX(Parties!$E$5:$E$304,R1807)&lt;&gt;HomeState),ROUND(K1807*L1807,2),0)),"")</f>
        <v/>
      </c>
      <c r="P1807" s="61" t="str">
        <f aca="false">IF(IsPro,IF($D1807="","",K1807+M1807+N1807+O1807),"")</f>
        <v/>
      </c>
      <c r="Q1807" s="60" t="str">
        <f aca="false">IF(IsPro,IF($D1807="","",IFERROR(MATCH($D1807,Items!$A$5:$A$504,0),"")),"")</f>
        <v/>
      </c>
      <c r="R1807" s="60" t="str">
        <f aca="false">IF(IsPro,IF($C1807="","",IFERROR(MATCH($C1807,Parties!$A$5:$A$304,0),"")),"")</f>
        <v/>
      </c>
      <c r="S1807" s="61" t="str">
        <f aca="false">IF(IsPro,IF($D1807="","",IF(OR($H1807="",$H1807="Credit"),0,P1807)),"")</f>
        <v/>
      </c>
    </row>
    <row r="1808" customFormat="false" ht="15" hidden="false" customHeight="false" outlineLevel="0" collapsed="false">
      <c r="A1808" s="55"/>
      <c r="B1808" s="56"/>
      <c r="C1808" s="56"/>
      <c r="D1808" s="56"/>
      <c r="E1808" s="57"/>
      <c r="F1808" s="58"/>
      <c r="G1808" s="59"/>
      <c r="H1808" s="56"/>
      <c r="I1808" s="60" t="str">
        <f aca="false">IF(IsPro,IF($D1808="","",IFERROR(INDEX(Items!$D$5:$D$504,Q1808),"")),IF($D1808="","","PRO PLAN"))</f>
        <v/>
      </c>
      <c r="J1808" s="61" t="str">
        <f aca="false">IF(IsPro,IF($D1808="","",IF($F1808="",IFERROR(INDEX(Items!$G$5:$G$504,Q1808),0),$F1808)),"")</f>
        <v/>
      </c>
      <c r="K1808" s="61" t="str">
        <f aca="false">IF(IsPro,IF($D1808="","",ROUND(N($E1808)*J1808*(1-N($G1808)),2)),"")</f>
        <v/>
      </c>
      <c r="L1808" s="62" t="str">
        <f aca="false">IF(IsPro,IF($D1808="","",IFERROR(INDEX(Items!$F$5:$F$504,Q1808),0)),"")</f>
        <v/>
      </c>
      <c r="M1808" s="61" t="str">
        <f aca="false">IF(IsPro,IF($D1808="","",IF(AND(R1808&lt;&gt;"",INDEX(Parties!$E$5:$E$304,R1808)&lt;&gt;"",INDEX(Parties!$E$5:$E$304,R1808)&lt;&gt;HomeState),0,ROUND(K1808*L1808/2,2))),"")</f>
        <v/>
      </c>
      <c r="N1808" s="61" t="str">
        <f aca="false">IF(IsPro,IF($D1808="","",M1808),"")</f>
        <v/>
      </c>
      <c r="O1808" s="61" t="str">
        <f aca="false">IF(IsPro,IF($D1808="","",IF(AND(R1808&lt;&gt;"",INDEX(Parties!$E$5:$E$304,R1808)&lt;&gt;"",INDEX(Parties!$E$5:$E$304,R1808)&lt;&gt;HomeState),ROUND(K1808*L1808,2),0)),"")</f>
        <v/>
      </c>
      <c r="P1808" s="61" t="str">
        <f aca="false">IF(IsPro,IF($D1808="","",K1808+M1808+N1808+O1808),"")</f>
        <v/>
      </c>
      <c r="Q1808" s="60" t="str">
        <f aca="false">IF(IsPro,IF($D1808="","",IFERROR(MATCH($D1808,Items!$A$5:$A$504,0),"")),"")</f>
        <v/>
      </c>
      <c r="R1808" s="60" t="str">
        <f aca="false">IF(IsPro,IF($C1808="","",IFERROR(MATCH($C1808,Parties!$A$5:$A$304,0),"")),"")</f>
        <v/>
      </c>
      <c r="S1808" s="61" t="str">
        <f aca="false">IF(IsPro,IF($D1808="","",IF(OR($H1808="",$H1808="Credit"),0,P1808)),"")</f>
        <v/>
      </c>
    </row>
    <row r="1809" customFormat="false" ht="15" hidden="false" customHeight="false" outlineLevel="0" collapsed="false">
      <c r="A1809" s="55"/>
      <c r="B1809" s="56"/>
      <c r="C1809" s="56"/>
      <c r="D1809" s="56"/>
      <c r="E1809" s="57"/>
      <c r="F1809" s="58"/>
      <c r="G1809" s="59"/>
      <c r="H1809" s="56"/>
      <c r="I1809" s="60" t="str">
        <f aca="false">IF(IsPro,IF($D1809="","",IFERROR(INDEX(Items!$D$5:$D$504,Q1809),"")),IF($D1809="","","PRO PLAN"))</f>
        <v/>
      </c>
      <c r="J1809" s="61" t="str">
        <f aca="false">IF(IsPro,IF($D1809="","",IF($F1809="",IFERROR(INDEX(Items!$G$5:$G$504,Q1809),0),$F1809)),"")</f>
        <v/>
      </c>
      <c r="K1809" s="61" t="str">
        <f aca="false">IF(IsPro,IF($D1809="","",ROUND(N($E1809)*J1809*(1-N($G1809)),2)),"")</f>
        <v/>
      </c>
      <c r="L1809" s="62" t="str">
        <f aca="false">IF(IsPro,IF($D1809="","",IFERROR(INDEX(Items!$F$5:$F$504,Q1809),0)),"")</f>
        <v/>
      </c>
      <c r="M1809" s="61" t="str">
        <f aca="false">IF(IsPro,IF($D1809="","",IF(AND(R1809&lt;&gt;"",INDEX(Parties!$E$5:$E$304,R1809)&lt;&gt;"",INDEX(Parties!$E$5:$E$304,R1809)&lt;&gt;HomeState),0,ROUND(K1809*L1809/2,2))),"")</f>
        <v/>
      </c>
      <c r="N1809" s="61" t="str">
        <f aca="false">IF(IsPro,IF($D1809="","",M1809),"")</f>
        <v/>
      </c>
      <c r="O1809" s="61" t="str">
        <f aca="false">IF(IsPro,IF($D1809="","",IF(AND(R1809&lt;&gt;"",INDEX(Parties!$E$5:$E$304,R1809)&lt;&gt;"",INDEX(Parties!$E$5:$E$304,R1809)&lt;&gt;HomeState),ROUND(K1809*L1809,2),0)),"")</f>
        <v/>
      </c>
      <c r="P1809" s="61" t="str">
        <f aca="false">IF(IsPro,IF($D1809="","",K1809+M1809+N1809+O1809),"")</f>
        <v/>
      </c>
      <c r="Q1809" s="60" t="str">
        <f aca="false">IF(IsPro,IF($D1809="","",IFERROR(MATCH($D1809,Items!$A$5:$A$504,0),"")),"")</f>
        <v/>
      </c>
      <c r="R1809" s="60" t="str">
        <f aca="false">IF(IsPro,IF($C1809="","",IFERROR(MATCH($C1809,Parties!$A$5:$A$304,0),"")),"")</f>
        <v/>
      </c>
      <c r="S1809" s="61" t="str">
        <f aca="false">IF(IsPro,IF($D1809="","",IF(OR($H1809="",$H1809="Credit"),0,P1809)),"")</f>
        <v/>
      </c>
    </row>
    <row r="1810" customFormat="false" ht="15" hidden="false" customHeight="false" outlineLevel="0" collapsed="false">
      <c r="A1810" s="55"/>
      <c r="B1810" s="56"/>
      <c r="C1810" s="56"/>
      <c r="D1810" s="56"/>
      <c r="E1810" s="57"/>
      <c r="F1810" s="58"/>
      <c r="G1810" s="59"/>
      <c r="H1810" s="56"/>
      <c r="I1810" s="60" t="str">
        <f aca="false">IF(IsPro,IF($D1810="","",IFERROR(INDEX(Items!$D$5:$D$504,Q1810),"")),IF($D1810="","","PRO PLAN"))</f>
        <v/>
      </c>
      <c r="J1810" s="61" t="str">
        <f aca="false">IF(IsPro,IF($D1810="","",IF($F1810="",IFERROR(INDEX(Items!$G$5:$G$504,Q1810),0),$F1810)),"")</f>
        <v/>
      </c>
      <c r="K1810" s="61" t="str">
        <f aca="false">IF(IsPro,IF($D1810="","",ROUND(N($E1810)*J1810*(1-N($G1810)),2)),"")</f>
        <v/>
      </c>
      <c r="L1810" s="62" t="str">
        <f aca="false">IF(IsPro,IF($D1810="","",IFERROR(INDEX(Items!$F$5:$F$504,Q1810),0)),"")</f>
        <v/>
      </c>
      <c r="M1810" s="61" t="str">
        <f aca="false">IF(IsPro,IF($D1810="","",IF(AND(R1810&lt;&gt;"",INDEX(Parties!$E$5:$E$304,R1810)&lt;&gt;"",INDEX(Parties!$E$5:$E$304,R1810)&lt;&gt;HomeState),0,ROUND(K1810*L1810/2,2))),"")</f>
        <v/>
      </c>
      <c r="N1810" s="61" t="str">
        <f aca="false">IF(IsPro,IF($D1810="","",M1810),"")</f>
        <v/>
      </c>
      <c r="O1810" s="61" t="str">
        <f aca="false">IF(IsPro,IF($D1810="","",IF(AND(R1810&lt;&gt;"",INDEX(Parties!$E$5:$E$304,R1810)&lt;&gt;"",INDEX(Parties!$E$5:$E$304,R1810)&lt;&gt;HomeState),ROUND(K1810*L1810,2),0)),"")</f>
        <v/>
      </c>
      <c r="P1810" s="61" t="str">
        <f aca="false">IF(IsPro,IF($D1810="","",K1810+M1810+N1810+O1810),"")</f>
        <v/>
      </c>
      <c r="Q1810" s="60" t="str">
        <f aca="false">IF(IsPro,IF($D1810="","",IFERROR(MATCH($D1810,Items!$A$5:$A$504,0),"")),"")</f>
        <v/>
      </c>
      <c r="R1810" s="60" t="str">
        <f aca="false">IF(IsPro,IF($C1810="","",IFERROR(MATCH($C1810,Parties!$A$5:$A$304,0),"")),"")</f>
        <v/>
      </c>
      <c r="S1810" s="61" t="str">
        <f aca="false">IF(IsPro,IF($D1810="","",IF(OR($H1810="",$H1810="Credit"),0,P1810)),"")</f>
        <v/>
      </c>
    </row>
    <row r="1811" customFormat="false" ht="15" hidden="false" customHeight="false" outlineLevel="0" collapsed="false">
      <c r="A1811" s="55"/>
      <c r="B1811" s="56"/>
      <c r="C1811" s="56"/>
      <c r="D1811" s="56"/>
      <c r="E1811" s="57"/>
      <c r="F1811" s="58"/>
      <c r="G1811" s="59"/>
      <c r="H1811" s="56"/>
      <c r="I1811" s="60" t="str">
        <f aca="false">IF(IsPro,IF($D1811="","",IFERROR(INDEX(Items!$D$5:$D$504,Q1811),"")),IF($D1811="","","PRO PLAN"))</f>
        <v/>
      </c>
      <c r="J1811" s="61" t="str">
        <f aca="false">IF(IsPro,IF($D1811="","",IF($F1811="",IFERROR(INDEX(Items!$G$5:$G$504,Q1811),0),$F1811)),"")</f>
        <v/>
      </c>
      <c r="K1811" s="61" t="str">
        <f aca="false">IF(IsPro,IF($D1811="","",ROUND(N($E1811)*J1811*(1-N($G1811)),2)),"")</f>
        <v/>
      </c>
      <c r="L1811" s="62" t="str">
        <f aca="false">IF(IsPro,IF($D1811="","",IFERROR(INDEX(Items!$F$5:$F$504,Q1811),0)),"")</f>
        <v/>
      </c>
      <c r="M1811" s="61" t="str">
        <f aca="false">IF(IsPro,IF($D1811="","",IF(AND(R1811&lt;&gt;"",INDEX(Parties!$E$5:$E$304,R1811)&lt;&gt;"",INDEX(Parties!$E$5:$E$304,R1811)&lt;&gt;HomeState),0,ROUND(K1811*L1811/2,2))),"")</f>
        <v/>
      </c>
      <c r="N1811" s="61" t="str">
        <f aca="false">IF(IsPro,IF($D1811="","",M1811),"")</f>
        <v/>
      </c>
      <c r="O1811" s="61" t="str">
        <f aca="false">IF(IsPro,IF($D1811="","",IF(AND(R1811&lt;&gt;"",INDEX(Parties!$E$5:$E$304,R1811)&lt;&gt;"",INDEX(Parties!$E$5:$E$304,R1811)&lt;&gt;HomeState),ROUND(K1811*L1811,2),0)),"")</f>
        <v/>
      </c>
      <c r="P1811" s="61" t="str">
        <f aca="false">IF(IsPro,IF($D1811="","",K1811+M1811+N1811+O1811),"")</f>
        <v/>
      </c>
      <c r="Q1811" s="60" t="str">
        <f aca="false">IF(IsPro,IF($D1811="","",IFERROR(MATCH($D1811,Items!$A$5:$A$504,0),"")),"")</f>
        <v/>
      </c>
      <c r="R1811" s="60" t="str">
        <f aca="false">IF(IsPro,IF($C1811="","",IFERROR(MATCH($C1811,Parties!$A$5:$A$304,0),"")),"")</f>
        <v/>
      </c>
      <c r="S1811" s="61" t="str">
        <f aca="false">IF(IsPro,IF($D1811="","",IF(OR($H1811="",$H1811="Credit"),0,P1811)),"")</f>
        <v/>
      </c>
    </row>
    <row r="1812" customFormat="false" ht="15" hidden="false" customHeight="false" outlineLevel="0" collapsed="false">
      <c r="A1812" s="55"/>
      <c r="B1812" s="56"/>
      <c r="C1812" s="56"/>
      <c r="D1812" s="56"/>
      <c r="E1812" s="57"/>
      <c r="F1812" s="58"/>
      <c r="G1812" s="59"/>
      <c r="H1812" s="56"/>
      <c r="I1812" s="60" t="str">
        <f aca="false">IF(IsPro,IF($D1812="","",IFERROR(INDEX(Items!$D$5:$D$504,Q1812),"")),IF($D1812="","","PRO PLAN"))</f>
        <v/>
      </c>
      <c r="J1812" s="61" t="str">
        <f aca="false">IF(IsPro,IF($D1812="","",IF($F1812="",IFERROR(INDEX(Items!$G$5:$G$504,Q1812),0),$F1812)),"")</f>
        <v/>
      </c>
      <c r="K1812" s="61" t="str">
        <f aca="false">IF(IsPro,IF($D1812="","",ROUND(N($E1812)*J1812*(1-N($G1812)),2)),"")</f>
        <v/>
      </c>
      <c r="L1812" s="62" t="str">
        <f aca="false">IF(IsPro,IF($D1812="","",IFERROR(INDEX(Items!$F$5:$F$504,Q1812),0)),"")</f>
        <v/>
      </c>
      <c r="M1812" s="61" t="str">
        <f aca="false">IF(IsPro,IF($D1812="","",IF(AND(R1812&lt;&gt;"",INDEX(Parties!$E$5:$E$304,R1812)&lt;&gt;"",INDEX(Parties!$E$5:$E$304,R1812)&lt;&gt;HomeState),0,ROUND(K1812*L1812/2,2))),"")</f>
        <v/>
      </c>
      <c r="N1812" s="61" t="str">
        <f aca="false">IF(IsPro,IF($D1812="","",M1812),"")</f>
        <v/>
      </c>
      <c r="O1812" s="61" t="str">
        <f aca="false">IF(IsPro,IF($D1812="","",IF(AND(R1812&lt;&gt;"",INDEX(Parties!$E$5:$E$304,R1812)&lt;&gt;"",INDEX(Parties!$E$5:$E$304,R1812)&lt;&gt;HomeState),ROUND(K1812*L1812,2),0)),"")</f>
        <v/>
      </c>
      <c r="P1812" s="61" t="str">
        <f aca="false">IF(IsPro,IF($D1812="","",K1812+M1812+N1812+O1812),"")</f>
        <v/>
      </c>
      <c r="Q1812" s="60" t="str">
        <f aca="false">IF(IsPro,IF($D1812="","",IFERROR(MATCH($D1812,Items!$A$5:$A$504,0),"")),"")</f>
        <v/>
      </c>
      <c r="R1812" s="60" t="str">
        <f aca="false">IF(IsPro,IF($C1812="","",IFERROR(MATCH($C1812,Parties!$A$5:$A$304,0),"")),"")</f>
        <v/>
      </c>
      <c r="S1812" s="61" t="str">
        <f aca="false">IF(IsPro,IF($D1812="","",IF(OR($H1812="",$H1812="Credit"),0,P1812)),"")</f>
        <v/>
      </c>
    </row>
    <row r="1813" customFormat="false" ht="15" hidden="false" customHeight="false" outlineLevel="0" collapsed="false">
      <c r="A1813" s="55"/>
      <c r="B1813" s="56"/>
      <c r="C1813" s="56"/>
      <c r="D1813" s="56"/>
      <c r="E1813" s="57"/>
      <c r="F1813" s="58"/>
      <c r="G1813" s="59"/>
      <c r="H1813" s="56"/>
      <c r="I1813" s="60" t="str">
        <f aca="false">IF(IsPro,IF($D1813="","",IFERROR(INDEX(Items!$D$5:$D$504,Q1813),"")),IF($D1813="","","PRO PLAN"))</f>
        <v/>
      </c>
      <c r="J1813" s="61" t="str">
        <f aca="false">IF(IsPro,IF($D1813="","",IF($F1813="",IFERROR(INDEX(Items!$G$5:$G$504,Q1813),0),$F1813)),"")</f>
        <v/>
      </c>
      <c r="K1813" s="61" t="str">
        <f aca="false">IF(IsPro,IF($D1813="","",ROUND(N($E1813)*J1813*(1-N($G1813)),2)),"")</f>
        <v/>
      </c>
      <c r="L1813" s="62" t="str">
        <f aca="false">IF(IsPro,IF($D1813="","",IFERROR(INDEX(Items!$F$5:$F$504,Q1813),0)),"")</f>
        <v/>
      </c>
      <c r="M1813" s="61" t="str">
        <f aca="false">IF(IsPro,IF($D1813="","",IF(AND(R1813&lt;&gt;"",INDEX(Parties!$E$5:$E$304,R1813)&lt;&gt;"",INDEX(Parties!$E$5:$E$304,R1813)&lt;&gt;HomeState),0,ROUND(K1813*L1813/2,2))),"")</f>
        <v/>
      </c>
      <c r="N1813" s="61" t="str">
        <f aca="false">IF(IsPro,IF($D1813="","",M1813),"")</f>
        <v/>
      </c>
      <c r="O1813" s="61" t="str">
        <f aca="false">IF(IsPro,IF($D1813="","",IF(AND(R1813&lt;&gt;"",INDEX(Parties!$E$5:$E$304,R1813)&lt;&gt;"",INDEX(Parties!$E$5:$E$304,R1813)&lt;&gt;HomeState),ROUND(K1813*L1813,2),0)),"")</f>
        <v/>
      </c>
      <c r="P1813" s="61" t="str">
        <f aca="false">IF(IsPro,IF($D1813="","",K1813+M1813+N1813+O1813),"")</f>
        <v/>
      </c>
      <c r="Q1813" s="60" t="str">
        <f aca="false">IF(IsPro,IF($D1813="","",IFERROR(MATCH($D1813,Items!$A$5:$A$504,0),"")),"")</f>
        <v/>
      </c>
      <c r="R1813" s="60" t="str">
        <f aca="false">IF(IsPro,IF($C1813="","",IFERROR(MATCH($C1813,Parties!$A$5:$A$304,0),"")),"")</f>
        <v/>
      </c>
      <c r="S1813" s="61" t="str">
        <f aca="false">IF(IsPro,IF($D1813="","",IF(OR($H1813="",$H1813="Credit"),0,P1813)),"")</f>
        <v/>
      </c>
    </row>
    <row r="1814" customFormat="false" ht="15" hidden="false" customHeight="false" outlineLevel="0" collapsed="false">
      <c r="A1814" s="55"/>
      <c r="B1814" s="56"/>
      <c r="C1814" s="56"/>
      <c r="D1814" s="56"/>
      <c r="E1814" s="57"/>
      <c r="F1814" s="58"/>
      <c r="G1814" s="59"/>
      <c r="H1814" s="56"/>
      <c r="I1814" s="60" t="str">
        <f aca="false">IF(IsPro,IF($D1814="","",IFERROR(INDEX(Items!$D$5:$D$504,Q1814),"")),IF($D1814="","","PRO PLAN"))</f>
        <v/>
      </c>
      <c r="J1814" s="61" t="str">
        <f aca="false">IF(IsPro,IF($D1814="","",IF($F1814="",IFERROR(INDEX(Items!$G$5:$G$504,Q1814),0),$F1814)),"")</f>
        <v/>
      </c>
      <c r="K1814" s="61" t="str">
        <f aca="false">IF(IsPro,IF($D1814="","",ROUND(N($E1814)*J1814*(1-N($G1814)),2)),"")</f>
        <v/>
      </c>
      <c r="L1814" s="62" t="str">
        <f aca="false">IF(IsPro,IF($D1814="","",IFERROR(INDEX(Items!$F$5:$F$504,Q1814),0)),"")</f>
        <v/>
      </c>
      <c r="M1814" s="61" t="str">
        <f aca="false">IF(IsPro,IF($D1814="","",IF(AND(R1814&lt;&gt;"",INDEX(Parties!$E$5:$E$304,R1814)&lt;&gt;"",INDEX(Parties!$E$5:$E$304,R1814)&lt;&gt;HomeState),0,ROUND(K1814*L1814/2,2))),"")</f>
        <v/>
      </c>
      <c r="N1814" s="61" t="str">
        <f aca="false">IF(IsPro,IF($D1814="","",M1814),"")</f>
        <v/>
      </c>
      <c r="O1814" s="61" t="str">
        <f aca="false">IF(IsPro,IF($D1814="","",IF(AND(R1814&lt;&gt;"",INDEX(Parties!$E$5:$E$304,R1814)&lt;&gt;"",INDEX(Parties!$E$5:$E$304,R1814)&lt;&gt;HomeState),ROUND(K1814*L1814,2),0)),"")</f>
        <v/>
      </c>
      <c r="P1814" s="61" t="str">
        <f aca="false">IF(IsPro,IF($D1814="","",K1814+M1814+N1814+O1814),"")</f>
        <v/>
      </c>
      <c r="Q1814" s="60" t="str">
        <f aca="false">IF(IsPro,IF($D1814="","",IFERROR(MATCH($D1814,Items!$A$5:$A$504,0),"")),"")</f>
        <v/>
      </c>
      <c r="R1814" s="60" t="str">
        <f aca="false">IF(IsPro,IF($C1814="","",IFERROR(MATCH($C1814,Parties!$A$5:$A$304,0),"")),"")</f>
        <v/>
      </c>
      <c r="S1814" s="61" t="str">
        <f aca="false">IF(IsPro,IF($D1814="","",IF(OR($H1814="",$H1814="Credit"),0,P1814)),"")</f>
        <v/>
      </c>
    </row>
    <row r="1815" customFormat="false" ht="15" hidden="false" customHeight="false" outlineLevel="0" collapsed="false">
      <c r="A1815" s="55"/>
      <c r="B1815" s="56"/>
      <c r="C1815" s="56"/>
      <c r="D1815" s="56"/>
      <c r="E1815" s="57"/>
      <c r="F1815" s="58"/>
      <c r="G1815" s="59"/>
      <c r="H1815" s="56"/>
      <c r="I1815" s="60" t="str">
        <f aca="false">IF(IsPro,IF($D1815="","",IFERROR(INDEX(Items!$D$5:$D$504,Q1815),"")),IF($D1815="","","PRO PLAN"))</f>
        <v/>
      </c>
      <c r="J1815" s="61" t="str">
        <f aca="false">IF(IsPro,IF($D1815="","",IF($F1815="",IFERROR(INDEX(Items!$G$5:$G$504,Q1815),0),$F1815)),"")</f>
        <v/>
      </c>
      <c r="K1815" s="61" t="str">
        <f aca="false">IF(IsPro,IF($D1815="","",ROUND(N($E1815)*J1815*(1-N($G1815)),2)),"")</f>
        <v/>
      </c>
      <c r="L1815" s="62" t="str">
        <f aca="false">IF(IsPro,IF($D1815="","",IFERROR(INDEX(Items!$F$5:$F$504,Q1815),0)),"")</f>
        <v/>
      </c>
      <c r="M1815" s="61" t="str">
        <f aca="false">IF(IsPro,IF($D1815="","",IF(AND(R1815&lt;&gt;"",INDEX(Parties!$E$5:$E$304,R1815)&lt;&gt;"",INDEX(Parties!$E$5:$E$304,R1815)&lt;&gt;HomeState),0,ROUND(K1815*L1815/2,2))),"")</f>
        <v/>
      </c>
      <c r="N1815" s="61" t="str">
        <f aca="false">IF(IsPro,IF($D1815="","",M1815),"")</f>
        <v/>
      </c>
      <c r="O1815" s="61" t="str">
        <f aca="false">IF(IsPro,IF($D1815="","",IF(AND(R1815&lt;&gt;"",INDEX(Parties!$E$5:$E$304,R1815)&lt;&gt;"",INDEX(Parties!$E$5:$E$304,R1815)&lt;&gt;HomeState),ROUND(K1815*L1815,2),0)),"")</f>
        <v/>
      </c>
      <c r="P1815" s="61" t="str">
        <f aca="false">IF(IsPro,IF($D1815="","",K1815+M1815+N1815+O1815),"")</f>
        <v/>
      </c>
      <c r="Q1815" s="60" t="str">
        <f aca="false">IF(IsPro,IF($D1815="","",IFERROR(MATCH($D1815,Items!$A$5:$A$504,0),"")),"")</f>
        <v/>
      </c>
      <c r="R1815" s="60" t="str">
        <f aca="false">IF(IsPro,IF($C1815="","",IFERROR(MATCH($C1815,Parties!$A$5:$A$304,0),"")),"")</f>
        <v/>
      </c>
      <c r="S1815" s="61" t="str">
        <f aca="false">IF(IsPro,IF($D1815="","",IF(OR($H1815="",$H1815="Credit"),0,P1815)),"")</f>
        <v/>
      </c>
    </row>
    <row r="1816" customFormat="false" ht="15" hidden="false" customHeight="false" outlineLevel="0" collapsed="false">
      <c r="A1816" s="55"/>
      <c r="B1816" s="56"/>
      <c r="C1816" s="56"/>
      <c r="D1816" s="56"/>
      <c r="E1816" s="57"/>
      <c r="F1816" s="58"/>
      <c r="G1816" s="59"/>
      <c r="H1816" s="56"/>
      <c r="I1816" s="60" t="str">
        <f aca="false">IF(IsPro,IF($D1816="","",IFERROR(INDEX(Items!$D$5:$D$504,Q1816),"")),IF($D1816="","","PRO PLAN"))</f>
        <v/>
      </c>
      <c r="J1816" s="61" t="str">
        <f aca="false">IF(IsPro,IF($D1816="","",IF($F1816="",IFERROR(INDEX(Items!$G$5:$G$504,Q1816),0),$F1816)),"")</f>
        <v/>
      </c>
      <c r="K1816" s="61" t="str">
        <f aca="false">IF(IsPro,IF($D1816="","",ROUND(N($E1816)*J1816*(1-N($G1816)),2)),"")</f>
        <v/>
      </c>
      <c r="L1816" s="62" t="str">
        <f aca="false">IF(IsPro,IF($D1816="","",IFERROR(INDEX(Items!$F$5:$F$504,Q1816),0)),"")</f>
        <v/>
      </c>
      <c r="M1816" s="61" t="str">
        <f aca="false">IF(IsPro,IF($D1816="","",IF(AND(R1816&lt;&gt;"",INDEX(Parties!$E$5:$E$304,R1816)&lt;&gt;"",INDEX(Parties!$E$5:$E$304,R1816)&lt;&gt;HomeState),0,ROUND(K1816*L1816/2,2))),"")</f>
        <v/>
      </c>
      <c r="N1816" s="61" t="str">
        <f aca="false">IF(IsPro,IF($D1816="","",M1816),"")</f>
        <v/>
      </c>
      <c r="O1816" s="61" t="str">
        <f aca="false">IF(IsPro,IF($D1816="","",IF(AND(R1816&lt;&gt;"",INDEX(Parties!$E$5:$E$304,R1816)&lt;&gt;"",INDEX(Parties!$E$5:$E$304,R1816)&lt;&gt;HomeState),ROUND(K1816*L1816,2),0)),"")</f>
        <v/>
      </c>
      <c r="P1816" s="61" t="str">
        <f aca="false">IF(IsPro,IF($D1816="","",K1816+M1816+N1816+O1816),"")</f>
        <v/>
      </c>
      <c r="Q1816" s="60" t="str">
        <f aca="false">IF(IsPro,IF($D1816="","",IFERROR(MATCH($D1816,Items!$A$5:$A$504,0),"")),"")</f>
        <v/>
      </c>
      <c r="R1816" s="60" t="str">
        <f aca="false">IF(IsPro,IF($C1816="","",IFERROR(MATCH($C1816,Parties!$A$5:$A$304,0),"")),"")</f>
        <v/>
      </c>
      <c r="S1816" s="61" t="str">
        <f aca="false">IF(IsPro,IF($D1816="","",IF(OR($H1816="",$H1816="Credit"),0,P1816)),"")</f>
        <v/>
      </c>
    </row>
    <row r="1817" customFormat="false" ht="15" hidden="false" customHeight="false" outlineLevel="0" collapsed="false">
      <c r="A1817" s="55"/>
      <c r="B1817" s="56"/>
      <c r="C1817" s="56"/>
      <c r="D1817" s="56"/>
      <c r="E1817" s="57"/>
      <c r="F1817" s="58"/>
      <c r="G1817" s="59"/>
      <c r="H1817" s="56"/>
      <c r="I1817" s="60" t="str">
        <f aca="false">IF(IsPro,IF($D1817="","",IFERROR(INDEX(Items!$D$5:$D$504,Q1817),"")),IF($D1817="","","PRO PLAN"))</f>
        <v/>
      </c>
      <c r="J1817" s="61" t="str">
        <f aca="false">IF(IsPro,IF($D1817="","",IF($F1817="",IFERROR(INDEX(Items!$G$5:$G$504,Q1817),0),$F1817)),"")</f>
        <v/>
      </c>
      <c r="K1817" s="61" t="str">
        <f aca="false">IF(IsPro,IF($D1817="","",ROUND(N($E1817)*J1817*(1-N($G1817)),2)),"")</f>
        <v/>
      </c>
      <c r="L1817" s="62" t="str">
        <f aca="false">IF(IsPro,IF($D1817="","",IFERROR(INDEX(Items!$F$5:$F$504,Q1817),0)),"")</f>
        <v/>
      </c>
      <c r="M1817" s="61" t="str">
        <f aca="false">IF(IsPro,IF($D1817="","",IF(AND(R1817&lt;&gt;"",INDEX(Parties!$E$5:$E$304,R1817)&lt;&gt;"",INDEX(Parties!$E$5:$E$304,R1817)&lt;&gt;HomeState),0,ROUND(K1817*L1817/2,2))),"")</f>
        <v/>
      </c>
      <c r="N1817" s="61" t="str">
        <f aca="false">IF(IsPro,IF($D1817="","",M1817),"")</f>
        <v/>
      </c>
      <c r="O1817" s="61" t="str">
        <f aca="false">IF(IsPro,IF($D1817="","",IF(AND(R1817&lt;&gt;"",INDEX(Parties!$E$5:$E$304,R1817)&lt;&gt;"",INDEX(Parties!$E$5:$E$304,R1817)&lt;&gt;HomeState),ROUND(K1817*L1817,2),0)),"")</f>
        <v/>
      </c>
      <c r="P1817" s="61" t="str">
        <f aca="false">IF(IsPro,IF($D1817="","",K1817+M1817+N1817+O1817),"")</f>
        <v/>
      </c>
      <c r="Q1817" s="60" t="str">
        <f aca="false">IF(IsPro,IF($D1817="","",IFERROR(MATCH($D1817,Items!$A$5:$A$504,0),"")),"")</f>
        <v/>
      </c>
      <c r="R1817" s="60" t="str">
        <f aca="false">IF(IsPro,IF($C1817="","",IFERROR(MATCH($C1817,Parties!$A$5:$A$304,0),"")),"")</f>
        <v/>
      </c>
      <c r="S1817" s="61" t="str">
        <f aca="false">IF(IsPro,IF($D1817="","",IF(OR($H1817="",$H1817="Credit"),0,P1817)),"")</f>
        <v/>
      </c>
    </row>
    <row r="1818" customFormat="false" ht="15" hidden="false" customHeight="false" outlineLevel="0" collapsed="false">
      <c r="A1818" s="55"/>
      <c r="B1818" s="56"/>
      <c r="C1818" s="56"/>
      <c r="D1818" s="56"/>
      <c r="E1818" s="57"/>
      <c r="F1818" s="58"/>
      <c r="G1818" s="59"/>
      <c r="H1818" s="56"/>
      <c r="I1818" s="60" t="str">
        <f aca="false">IF(IsPro,IF($D1818="","",IFERROR(INDEX(Items!$D$5:$D$504,Q1818),"")),IF($D1818="","","PRO PLAN"))</f>
        <v/>
      </c>
      <c r="J1818" s="61" t="str">
        <f aca="false">IF(IsPro,IF($D1818="","",IF($F1818="",IFERROR(INDEX(Items!$G$5:$G$504,Q1818),0),$F1818)),"")</f>
        <v/>
      </c>
      <c r="K1818" s="61" t="str">
        <f aca="false">IF(IsPro,IF($D1818="","",ROUND(N($E1818)*J1818*(1-N($G1818)),2)),"")</f>
        <v/>
      </c>
      <c r="L1818" s="62" t="str">
        <f aca="false">IF(IsPro,IF($D1818="","",IFERROR(INDEX(Items!$F$5:$F$504,Q1818),0)),"")</f>
        <v/>
      </c>
      <c r="M1818" s="61" t="str">
        <f aca="false">IF(IsPro,IF($D1818="","",IF(AND(R1818&lt;&gt;"",INDEX(Parties!$E$5:$E$304,R1818)&lt;&gt;"",INDEX(Parties!$E$5:$E$304,R1818)&lt;&gt;HomeState),0,ROUND(K1818*L1818/2,2))),"")</f>
        <v/>
      </c>
      <c r="N1818" s="61" t="str">
        <f aca="false">IF(IsPro,IF($D1818="","",M1818),"")</f>
        <v/>
      </c>
      <c r="O1818" s="61" t="str">
        <f aca="false">IF(IsPro,IF($D1818="","",IF(AND(R1818&lt;&gt;"",INDEX(Parties!$E$5:$E$304,R1818)&lt;&gt;"",INDEX(Parties!$E$5:$E$304,R1818)&lt;&gt;HomeState),ROUND(K1818*L1818,2),0)),"")</f>
        <v/>
      </c>
      <c r="P1818" s="61" t="str">
        <f aca="false">IF(IsPro,IF($D1818="","",K1818+M1818+N1818+O1818),"")</f>
        <v/>
      </c>
      <c r="Q1818" s="60" t="str">
        <f aca="false">IF(IsPro,IF($D1818="","",IFERROR(MATCH($D1818,Items!$A$5:$A$504,0),"")),"")</f>
        <v/>
      </c>
      <c r="R1818" s="60" t="str">
        <f aca="false">IF(IsPro,IF($C1818="","",IFERROR(MATCH($C1818,Parties!$A$5:$A$304,0),"")),"")</f>
        <v/>
      </c>
      <c r="S1818" s="61" t="str">
        <f aca="false">IF(IsPro,IF($D1818="","",IF(OR($H1818="",$H1818="Credit"),0,P1818)),"")</f>
        <v/>
      </c>
    </row>
    <row r="1819" customFormat="false" ht="15" hidden="false" customHeight="false" outlineLevel="0" collapsed="false">
      <c r="A1819" s="55"/>
      <c r="B1819" s="56"/>
      <c r="C1819" s="56"/>
      <c r="D1819" s="56"/>
      <c r="E1819" s="57"/>
      <c r="F1819" s="58"/>
      <c r="G1819" s="59"/>
      <c r="H1819" s="56"/>
      <c r="I1819" s="60" t="str">
        <f aca="false">IF(IsPro,IF($D1819="","",IFERROR(INDEX(Items!$D$5:$D$504,Q1819),"")),IF($D1819="","","PRO PLAN"))</f>
        <v/>
      </c>
      <c r="J1819" s="61" t="str">
        <f aca="false">IF(IsPro,IF($D1819="","",IF($F1819="",IFERROR(INDEX(Items!$G$5:$G$504,Q1819),0),$F1819)),"")</f>
        <v/>
      </c>
      <c r="K1819" s="61" t="str">
        <f aca="false">IF(IsPro,IF($D1819="","",ROUND(N($E1819)*J1819*(1-N($G1819)),2)),"")</f>
        <v/>
      </c>
      <c r="L1819" s="62" t="str">
        <f aca="false">IF(IsPro,IF($D1819="","",IFERROR(INDEX(Items!$F$5:$F$504,Q1819),0)),"")</f>
        <v/>
      </c>
      <c r="M1819" s="61" t="str">
        <f aca="false">IF(IsPro,IF($D1819="","",IF(AND(R1819&lt;&gt;"",INDEX(Parties!$E$5:$E$304,R1819)&lt;&gt;"",INDEX(Parties!$E$5:$E$304,R1819)&lt;&gt;HomeState),0,ROUND(K1819*L1819/2,2))),"")</f>
        <v/>
      </c>
      <c r="N1819" s="61" t="str">
        <f aca="false">IF(IsPro,IF($D1819="","",M1819),"")</f>
        <v/>
      </c>
      <c r="O1819" s="61" t="str">
        <f aca="false">IF(IsPro,IF($D1819="","",IF(AND(R1819&lt;&gt;"",INDEX(Parties!$E$5:$E$304,R1819)&lt;&gt;"",INDEX(Parties!$E$5:$E$304,R1819)&lt;&gt;HomeState),ROUND(K1819*L1819,2),0)),"")</f>
        <v/>
      </c>
      <c r="P1819" s="61" t="str">
        <f aca="false">IF(IsPro,IF($D1819="","",K1819+M1819+N1819+O1819),"")</f>
        <v/>
      </c>
      <c r="Q1819" s="60" t="str">
        <f aca="false">IF(IsPro,IF($D1819="","",IFERROR(MATCH($D1819,Items!$A$5:$A$504,0),"")),"")</f>
        <v/>
      </c>
      <c r="R1819" s="60" t="str">
        <f aca="false">IF(IsPro,IF($C1819="","",IFERROR(MATCH($C1819,Parties!$A$5:$A$304,0),"")),"")</f>
        <v/>
      </c>
      <c r="S1819" s="61" t="str">
        <f aca="false">IF(IsPro,IF($D1819="","",IF(OR($H1819="",$H1819="Credit"),0,P1819)),"")</f>
        <v/>
      </c>
    </row>
    <row r="1820" customFormat="false" ht="15" hidden="false" customHeight="false" outlineLevel="0" collapsed="false">
      <c r="A1820" s="55"/>
      <c r="B1820" s="56"/>
      <c r="C1820" s="56"/>
      <c r="D1820" s="56"/>
      <c r="E1820" s="57"/>
      <c r="F1820" s="58"/>
      <c r="G1820" s="59"/>
      <c r="H1820" s="56"/>
      <c r="I1820" s="60" t="str">
        <f aca="false">IF(IsPro,IF($D1820="","",IFERROR(INDEX(Items!$D$5:$D$504,Q1820),"")),IF($D1820="","","PRO PLAN"))</f>
        <v/>
      </c>
      <c r="J1820" s="61" t="str">
        <f aca="false">IF(IsPro,IF($D1820="","",IF($F1820="",IFERROR(INDEX(Items!$G$5:$G$504,Q1820),0),$F1820)),"")</f>
        <v/>
      </c>
      <c r="K1820" s="61" t="str">
        <f aca="false">IF(IsPro,IF($D1820="","",ROUND(N($E1820)*J1820*(1-N($G1820)),2)),"")</f>
        <v/>
      </c>
      <c r="L1820" s="62" t="str">
        <f aca="false">IF(IsPro,IF($D1820="","",IFERROR(INDEX(Items!$F$5:$F$504,Q1820),0)),"")</f>
        <v/>
      </c>
      <c r="M1820" s="61" t="str">
        <f aca="false">IF(IsPro,IF($D1820="","",IF(AND(R1820&lt;&gt;"",INDEX(Parties!$E$5:$E$304,R1820)&lt;&gt;"",INDEX(Parties!$E$5:$E$304,R1820)&lt;&gt;HomeState),0,ROUND(K1820*L1820/2,2))),"")</f>
        <v/>
      </c>
      <c r="N1820" s="61" t="str">
        <f aca="false">IF(IsPro,IF($D1820="","",M1820),"")</f>
        <v/>
      </c>
      <c r="O1820" s="61" t="str">
        <f aca="false">IF(IsPro,IF($D1820="","",IF(AND(R1820&lt;&gt;"",INDEX(Parties!$E$5:$E$304,R1820)&lt;&gt;"",INDEX(Parties!$E$5:$E$304,R1820)&lt;&gt;HomeState),ROUND(K1820*L1820,2),0)),"")</f>
        <v/>
      </c>
      <c r="P1820" s="61" t="str">
        <f aca="false">IF(IsPro,IF($D1820="","",K1820+M1820+N1820+O1820),"")</f>
        <v/>
      </c>
      <c r="Q1820" s="60" t="str">
        <f aca="false">IF(IsPro,IF($D1820="","",IFERROR(MATCH($D1820,Items!$A$5:$A$504,0),"")),"")</f>
        <v/>
      </c>
      <c r="R1820" s="60" t="str">
        <f aca="false">IF(IsPro,IF($C1820="","",IFERROR(MATCH($C1820,Parties!$A$5:$A$304,0),"")),"")</f>
        <v/>
      </c>
      <c r="S1820" s="61" t="str">
        <f aca="false">IF(IsPro,IF($D1820="","",IF(OR($H1820="",$H1820="Credit"),0,P1820)),"")</f>
        <v/>
      </c>
    </row>
    <row r="1821" customFormat="false" ht="15" hidden="false" customHeight="false" outlineLevel="0" collapsed="false">
      <c r="A1821" s="55"/>
      <c r="B1821" s="56"/>
      <c r="C1821" s="56"/>
      <c r="D1821" s="56"/>
      <c r="E1821" s="57"/>
      <c r="F1821" s="58"/>
      <c r="G1821" s="59"/>
      <c r="H1821" s="56"/>
      <c r="I1821" s="60" t="str">
        <f aca="false">IF(IsPro,IF($D1821="","",IFERROR(INDEX(Items!$D$5:$D$504,Q1821),"")),IF($D1821="","","PRO PLAN"))</f>
        <v/>
      </c>
      <c r="J1821" s="61" t="str">
        <f aca="false">IF(IsPro,IF($D1821="","",IF($F1821="",IFERROR(INDEX(Items!$G$5:$G$504,Q1821),0),$F1821)),"")</f>
        <v/>
      </c>
      <c r="K1821" s="61" t="str">
        <f aca="false">IF(IsPro,IF($D1821="","",ROUND(N($E1821)*J1821*(1-N($G1821)),2)),"")</f>
        <v/>
      </c>
      <c r="L1821" s="62" t="str">
        <f aca="false">IF(IsPro,IF($D1821="","",IFERROR(INDEX(Items!$F$5:$F$504,Q1821),0)),"")</f>
        <v/>
      </c>
      <c r="M1821" s="61" t="str">
        <f aca="false">IF(IsPro,IF($D1821="","",IF(AND(R1821&lt;&gt;"",INDEX(Parties!$E$5:$E$304,R1821)&lt;&gt;"",INDEX(Parties!$E$5:$E$304,R1821)&lt;&gt;HomeState),0,ROUND(K1821*L1821/2,2))),"")</f>
        <v/>
      </c>
      <c r="N1821" s="61" t="str">
        <f aca="false">IF(IsPro,IF($D1821="","",M1821),"")</f>
        <v/>
      </c>
      <c r="O1821" s="61" t="str">
        <f aca="false">IF(IsPro,IF($D1821="","",IF(AND(R1821&lt;&gt;"",INDEX(Parties!$E$5:$E$304,R1821)&lt;&gt;"",INDEX(Parties!$E$5:$E$304,R1821)&lt;&gt;HomeState),ROUND(K1821*L1821,2),0)),"")</f>
        <v/>
      </c>
      <c r="P1821" s="61" t="str">
        <f aca="false">IF(IsPro,IF($D1821="","",K1821+M1821+N1821+O1821),"")</f>
        <v/>
      </c>
      <c r="Q1821" s="60" t="str">
        <f aca="false">IF(IsPro,IF($D1821="","",IFERROR(MATCH($D1821,Items!$A$5:$A$504,0),"")),"")</f>
        <v/>
      </c>
      <c r="R1821" s="60" t="str">
        <f aca="false">IF(IsPro,IF($C1821="","",IFERROR(MATCH($C1821,Parties!$A$5:$A$304,0),"")),"")</f>
        <v/>
      </c>
      <c r="S1821" s="61" t="str">
        <f aca="false">IF(IsPro,IF($D1821="","",IF(OR($H1821="",$H1821="Credit"),0,P1821)),"")</f>
        <v/>
      </c>
    </row>
    <row r="1822" customFormat="false" ht="15" hidden="false" customHeight="false" outlineLevel="0" collapsed="false">
      <c r="A1822" s="55"/>
      <c r="B1822" s="56"/>
      <c r="C1822" s="56"/>
      <c r="D1822" s="56"/>
      <c r="E1822" s="57"/>
      <c r="F1822" s="58"/>
      <c r="G1822" s="59"/>
      <c r="H1822" s="56"/>
      <c r="I1822" s="60" t="str">
        <f aca="false">IF(IsPro,IF($D1822="","",IFERROR(INDEX(Items!$D$5:$D$504,Q1822),"")),IF($D1822="","","PRO PLAN"))</f>
        <v/>
      </c>
      <c r="J1822" s="61" t="str">
        <f aca="false">IF(IsPro,IF($D1822="","",IF($F1822="",IFERROR(INDEX(Items!$G$5:$G$504,Q1822),0),$F1822)),"")</f>
        <v/>
      </c>
      <c r="K1822" s="61" t="str">
        <f aca="false">IF(IsPro,IF($D1822="","",ROUND(N($E1822)*J1822*(1-N($G1822)),2)),"")</f>
        <v/>
      </c>
      <c r="L1822" s="62" t="str">
        <f aca="false">IF(IsPro,IF($D1822="","",IFERROR(INDEX(Items!$F$5:$F$504,Q1822),0)),"")</f>
        <v/>
      </c>
      <c r="M1822" s="61" t="str">
        <f aca="false">IF(IsPro,IF($D1822="","",IF(AND(R1822&lt;&gt;"",INDEX(Parties!$E$5:$E$304,R1822)&lt;&gt;"",INDEX(Parties!$E$5:$E$304,R1822)&lt;&gt;HomeState),0,ROUND(K1822*L1822/2,2))),"")</f>
        <v/>
      </c>
      <c r="N1822" s="61" t="str">
        <f aca="false">IF(IsPro,IF($D1822="","",M1822),"")</f>
        <v/>
      </c>
      <c r="O1822" s="61" t="str">
        <f aca="false">IF(IsPro,IF($D1822="","",IF(AND(R1822&lt;&gt;"",INDEX(Parties!$E$5:$E$304,R1822)&lt;&gt;"",INDEX(Parties!$E$5:$E$304,R1822)&lt;&gt;HomeState),ROUND(K1822*L1822,2),0)),"")</f>
        <v/>
      </c>
      <c r="P1822" s="61" t="str">
        <f aca="false">IF(IsPro,IF($D1822="","",K1822+M1822+N1822+O1822),"")</f>
        <v/>
      </c>
      <c r="Q1822" s="60" t="str">
        <f aca="false">IF(IsPro,IF($D1822="","",IFERROR(MATCH($D1822,Items!$A$5:$A$504,0),"")),"")</f>
        <v/>
      </c>
      <c r="R1822" s="60" t="str">
        <f aca="false">IF(IsPro,IF($C1822="","",IFERROR(MATCH($C1822,Parties!$A$5:$A$304,0),"")),"")</f>
        <v/>
      </c>
      <c r="S1822" s="61" t="str">
        <f aca="false">IF(IsPro,IF($D1822="","",IF(OR($H1822="",$H1822="Credit"),0,P1822)),"")</f>
        <v/>
      </c>
    </row>
    <row r="1823" customFormat="false" ht="15" hidden="false" customHeight="false" outlineLevel="0" collapsed="false">
      <c r="A1823" s="55"/>
      <c r="B1823" s="56"/>
      <c r="C1823" s="56"/>
      <c r="D1823" s="56"/>
      <c r="E1823" s="57"/>
      <c r="F1823" s="58"/>
      <c r="G1823" s="59"/>
      <c r="H1823" s="56"/>
      <c r="I1823" s="60" t="str">
        <f aca="false">IF(IsPro,IF($D1823="","",IFERROR(INDEX(Items!$D$5:$D$504,Q1823),"")),IF($D1823="","","PRO PLAN"))</f>
        <v/>
      </c>
      <c r="J1823" s="61" t="str">
        <f aca="false">IF(IsPro,IF($D1823="","",IF($F1823="",IFERROR(INDEX(Items!$G$5:$G$504,Q1823),0),$F1823)),"")</f>
        <v/>
      </c>
      <c r="K1823" s="61" t="str">
        <f aca="false">IF(IsPro,IF($D1823="","",ROUND(N($E1823)*J1823*(1-N($G1823)),2)),"")</f>
        <v/>
      </c>
      <c r="L1823" s="62" t="str">
        <f aca="false">IF(IsPro,IF($D1823="","",IFERROR(INDEX(Items!$F$5:$F$504,Q1823),0)),"")</f>
        <v/>
      </c>
      <c r="M1823" s="61" t="str">
        <f aca="false">IF(IsPro,IF($D1823="","",IF(AND(R1823&lt;&gt;"",INDEX(Parties!$E$5:$E$304,R1823)&lt;&gt;"",INDEX(Parties!$E$5:$E$304,R1823)&lt;&gt;HomeState),0,ROUND(K1823*L1823/2,2))),"")</f>
        <v/>
      </c>
      <c r="N1823" s="61" t="str">
        <f aca="false">IF(IsPro,IF($D1823="","",M1823),"")</f>
        <v/>
      </c>
      <c r="O1823" s="61" t="str">
        <f aca="false">IF(IsPro,IF($D1823="","",IF(AND(R1823&lt;&gt;"",INDEX(Parties!$E$5:$E$304,R1823)&lt;&gt;"",INDEX(Parties!$E$5:$E$304,R1823)&lt;&gt;HomeState),ROUND(K1823*L1823,2),0)),"")</f>
        <v/>
      </c>
      <c r="P1823" s="61" t="str">
        <f aca="false">IF(IsPro,IF($D1823="","",K1823+M1823+N1823+O1823),"")</f>
        <v/>
      </c>
      <c r="Q1823" s="60" t="str">
        <f aca="false">IF(IsPro,IF($D1823="","",IFERROR(MATCH($D1823,Items!$A$5:$A$504,0),"")),"")</f>
        <v/>
      </c>
      <c r="R1823" s="60" t="str">
        <f aca="false">IF(IsPro,IF($C1823="","",IFERROR(MATCH($C1823,Parties!$A$5:$A$304,0),"")),"")</f>
        <v/>
      </c>
      <c r="S1823" s="61" t="str">
        <f aca="false">IF(IsPro,IF($D1823="","",IF(OR($H1823="",$H1823="Credit"),0,P1823)),"")</f>
        <v/>
      </c>
    </row>
    <row r="1824" customFormat="false" ht="15" hidden="false" customHeight="false" outlineLevel="0" collapsed="false">
      <c r="A1824" s="55"/>
      <c r="B1824" s="56"/>
      <c r="C1824" s="56"/>
      <c r="D1824" s="56"/>
      <c r="E1824" s="57"/>
      <c r="F1824" s="58"/>
      <c r="G1824" s="59"/>
      <c r="H1824" s="56"/>
      <c r="I1824" s="60" t="str">
        <f aca="false">IF(IsPro,IF($D1824="","",IFERROR(INDEX(Items!$D$5:$D$504,Q1824),"")),IF($D1824="","","PRO PLAN"))</f>
        <v/>
      </c>
      <c r="J1824" s="61" t="str">
        <f aca="false">IF(IsPro,IF($D1824="","",IF($F1824="",IFERROR(INDEX(Items!$G$5:$G$504,Q1824),0),$F1824)),"")</f>
        <v/>
      </c>
      <c r="K1824" s="61" t="str">
        <f aca="false">IF(IsPro,IF($D1824="","",ROUND(N($E1824)*J1824*(1-N($G1824)),2)),"")</f>
        <v/>
      </c>
      <c r="L1824" s="62" t="str">
        <f aca="false">IF(IsPro,IF($D1824="","",IFERROR(INDEX(Items!$F$5:$F$504,Q1824),0)),"")</f>
        <v/>
      </c>
      <c r="M1824" s="61" t="str">
        <f aca="false">IF(IsPro,IF($D1824="","",IF(AND(R1824&lt;&gt;"",INDEX(Parties!$E$5:$E$304,R1824)&lt;&gt;"",INDEX(Parties!$E$5:$E$304,R1824)&lt;&gt;HomeState),0,ROUND(K1824*L1824/2,2))),"")</f>
        <v/>
      </c>
      <c r="N1824" s="61" t="str">
        <f aca="false">IF(IsPro,IF($D1824="","",M1824),"")</f>
        <v/>
      </c>
      <c r="O1824" s="61" t="str">
        <f aca="false">IF(IsPro,IF($D1824="","",IF(AND(R1824&lt;&gt;"",INDEX(Parties!$E$5:$E$304,R1824)&lt;&gt;"",INDEX(Parties!$E$5:$E$304,R1824)&lt;&gt;HomeState),ROUND(K1824*L1824,2),0)),"")</f>
        <v/>
      </c>
      <c r="P1824" s="61" t="str">
        <f aca="false">IF(IsPro,IF($D1824="","",K1824+M1824+N1824+O1824),"")</f>
        <v/>
      </c>
      <c r="Q1824" s="60" t="str">
        <f aca="false">IF(IsPro,IF($D1824="","",IFERROR(MATCH($D1824,Items!$A$5:$A$504,0),"")),"")</f>
        <v/>
      </c>
      <c r="R1824" s="60" t="str">
        <f aca="false">IF(IsPro,IF($C1824="","",IFERROR(MATCH($C1824,Parties!$A$5:$A$304,0),"")),"")</f>
        <v/>
      </c>
      <c r="S1824" s="61" t="str">
        <f aca="false">IF(IsPro,IF($D1824="","",IF(OR($H1824="",$H1824="Credit"),0,P1824)),"")</f>
        <v/>
      </c>
    </row>
    <row r="1825" customFormat="false" ht="15" hidden="false" customHeight="false" outlineLevel="0" collapsed="false">
      <c r="A1825" s="55"/>
      <c r="B1825" s="56"/>
      <c r="C1825" s="56"/>
      <c r="D1825" s="56"/>
      <c r="E1825" s="57"/>
      <c r="F1825" s="58"/>
      <c r="G1825" s="59"/>
      <c r="H1825" s="56"/>
      <c r="I1825" s="60" t="str">
        <f aca="false">IF(IsPro,IF($D1825="","",IFERROR(INDEX(Items!$D$5:$D$504,Q1825),"")),IF($D1825="","","PRO PLAN"))</f>
        <v/>
      </c>
      <c r="J1825" s="61" t="str">
        <f aca="false">IF(IsPro,IF($D1825="","",IF($F1825="",IFERROR(INDEX(Items!$G$5:$G$504,Q1825),0),$F1825)),"")</f>
        <v/>
      </c>
      <c r="K1825" s="61" t="str">
        <f aca="false">IF(IsPro,IF($D1825="","",ROUND(N($E1825)*J1825*(1-N($G1825)),2)),"")</f>
        <v/>
      </c>
      <c r="L1825" s="62" t="str">
        <f aca="false">IF(IsPro,IF($D1825="","",IFERROR(INDEX(Items!$F$5:$F$504,Q1825),0)),"")</f>
        <v/>
      </c>
      <c r="M1825" s="61" t="str">
        <f aca="false">IF(IsPro,IF($D1825="","",IF(AND(R1825&lt;&gt;"",INDEX(Parties!$E$5:$E$304,R1825)&lt;&gt;"",INDEX(Parties!$E$5:$E$304,R1825)&lt;&gt;HomeState),0,ROUND(K1825*L1825/2,2))),"")</f>
        <v/>
      </c>
      <c r="N1825" s="61" t="str">
        <f aca="false">IF(IsPro,IF($D1825="","",M1825),"")</f>
        <v/>
      </c>
      <c r="O1825" s="61" t="str">
        <f aca="false">IF(IsPro,IF($D1825="","",IF(AND(R1825&lt;&gt;"",INDEX(Parties!$E$5:$E$304,R1825)&lt;&gt;"",INDEX(Parties!$E$5:$E$304,R1825)&lt;&gt;HomeState),ROUND(K1825*L1825,2),0)),"")</f>
        <v/>
      </c>
      <c r="P1825" s="61" t="str">
        <f aca="false">IF(IsPro,IF($D1825="","",K1825+M1825+N1825+O1825),"")</f>
        <v/>
      </c>
      <c r="Q1825" s="60" t="str">
        <f aca="false">IF(IsPro,IF($D1825="","",IFERROR(MATCH($D1825,Items!$A$5:$A$504,0),"")),"")</f>
        <v/>
      </c>
      <c r="R1825" s="60" t="str">
        <f aca="false">IF(IsPro,IF($C1825="","",IFERROR(MATCH($C1825,Parties!$A$5:$A$304,0),"")),"")</f>
        <v/>
      </c>
      <c r="S1825" s="61" t="str">
        <f aca="false">IF(IsPro,IF($D1825="","",IF(OR($H1825="",$H1825="Credit"),0,P1825)),"")</f>
        <v/>
      </c>
    </row>
    <row r="1826" customFormat="false" ht="15" hidden="false" customHeight="false" outlineLevel="0" collapsed="false">
      <c r="A1826" s="55"/>
      <c r="B1826" s="56"/>
      <c r="C1826" s="56"/>
      <c r="D1826" s="56"/>
      <c r="E1826" s="57"/>
      <c r="F1826" s="58"/>
      <c r="G1826" s="59"/>
      <c r="H1826" s="56"/>
      <c r="I1826" s="60" t="str">
        <f aca="false">IF(IsPro,IF($D1826="","",IFERROR(INDEX(Items!$D$5:$D$504,Q1826),"")),IF($D1826="","","PRO PLAN"))</f>
        <v/>
      </c>
      <c r="J1826" s="61" t="str">
        <f aca="false">IF(IsPro,IF($D1826="","",IF($F1826="",IFERROR(INDEX(Items!$G$5:$G$504,Q1826),0),$F1826)),"")</f>
        <v/>
      </c>
      <c r="K1826" s="61" t="str">
        <f aca="false">IF(IsPro,IF($D1826="","",ROUND(N($E1826)*J1826*(1-N($G1826)),2)),"")</f>
        <v/>
      </c>
      <c r="L1826" s="62" t="str">
        <f aca="false">IF(IsPro,IF($D1826="","",IFERROR(INDEX(Items!$F$5:$F$504,Q1826),0)),"")</f>
        <v/>
      </c>
      <c r="M1826" s="61" t="str">
        <f aca="false">IF(IsPro,IF($D1826="","",IF(AND(R1826&lt;&gt;"",INDEX(Parties!$E$5:$E$304,R1826)&lt;&gt;"",INDEX(Parties!$E$5:$E$304,R1826)&lt;&gt;HomeState),0,ROUND(K1826*L1826/2,2))),"")</f>
        <v/>
      </c>
      <c r="N1826" s="61" t="str">
        <f aca="false">IF(IsPro,IF($D1826="","",M1826),"")</f>
        <v/>
      </c>
      <c r="O1826" s="61" t="str">
        <f aca="false">IF(IsPro,IF($D1826="","",IF(AND(R1826&lt;&gt;"",INDEX(Parties!$E$5:$E$304,R1826)&lt;&gt;"",INDEX(Parties!$E$5:$E$304,R1826)&lt;&gt;HomeState),ROUND(K1826*L1826,2),0)),"")</f>
        <v/>
      </c>
      <c r="P1826" s="61" t="str">
        <f aca="false">IF(IsPro,IF($D1826="","",K1826+M1826+N1826+O1826),"")</f>
        <v/>
      </c>
      <c r="Q1826" s="60" t="str">
        <f aca="false">IF(IsPro,IF($D1826="","",IFERROR(MATCH($D1826,Items!$A$5:$A$504,0),"")),"")</f>
        <v/>
      </c>
      <c r="R1826" s="60" t="str">
        <f aca="false">IF(IsPro,IF($C1826="","",IFERROR(MATCH($C1826,Parties!$A$5:$A$304,0),"")),"")</f>
        <v/>
      </c>
      <c r="S1826" s="61" t="str">
        <f aca="false">IF(IsPro,IF($D1826="","",IF(OR($H1826="",$H1826="Credit"),0,P1826)),"")</f>
        <v/>
      </c>
    </row>
    <row r="1827" customFormat="false" ht="15" hidden="false" customHeight="false" outlineLevel="0" collapsed="false">
      <c r="A1827" s="55"/>
      <c r="B1827" s="56"/>
      <c r="C1827" s="56"/>
      <c r="D1827" s="56"/>
      <c r="E1827" s="57"/>
      <c r="F1827" s="58"/>
      <c r="G1827" s="59"/>
      <c r="H1827" s="56"/>
      <c r="I1827" s="60" t="str">
        <f aca="false">IF(IsPro,IF($D1827="","",IFERROR(INDEX(Items!$D$5:$D$504,Q1827),"")),IF($D1827="","","PRO PLAN"))</f>
        <v/>
      </c>
      <c r="J1827" s="61" t="str">
        <f aca="false">IF(IsPro,IF($D1827="","",IF($F1827="",IFERROR(INDEX(Items!$G$5:$G$504,Q1827),0),$F1827)),"")</f>
        <v/>
      </c>
      <c r="K1827" s="61" t="str">
        <f aca="false">IF(IsPro,IF($D1827="","",ROUND(N($E1827)*J1827*(1-N($G1827)),2)),"")</f>
        <v/>
      </c>
      <c r="L1827" s="62" t="str">
        <f aca="false">IF(IsPro,IF($D1827="","",IFERROR(INDEX(Items!$F$5:$F$504,Q1827),0)),"")</f>
        <v/>
      </c>
      <c r="M1827" s="61" t="str">
        <f aca="false">IF(IsPro,IF($D1827="","",IF(AND(R1827&lt;&gt;"",INDEX(Parties!$E$5:$E$304,R1827)&lt;&gt;"",INDEX(Parties!$E$5:$E$304,R1827)&lt;&gt;HomeState),0,ROUND(K1827*L1827/2,2))),"")</f>
        <v/>
      </c>
      <c r="N1827" s="61" t="str">
        <f aca="false">IF(IsPro,IF($D1827="","",M1827),"")</f>
        <v/>
      </c>
      <c r="O1827" s="61" t="str">
        <f aca="false">IF(IsPro,IF($D1827="","",IF(AND(R1827&lt;&gt;"",INDEX(Parties!$E$5:$E$304,R1827)&lt;&gt;"",INDEX(Parties!$E$5:$E$304,R1827)&lt;&gt;HomeState),ROUND(K1827*L1827,2),0)),"")</f>
        <v/>
      </c>
      <c r="P1827" s="61" t="str">
        <f aca="false">IF(IsPro,IF($D1827="","",K1827+M1827+N1827+O1827),"")</f>
        <v/>
      </c>
      <c r="Q1827" s="60" t="str">
        <f aca="false">IF(IsPro,IF($D1827="","",IFERROR(MATCH($D1827,Items!$A$5:$A$504,0),"")),"")</f>
        <v/>
      </c>
      <c r="R1827" s="60" t="str">
        <f aca="false">IF(IsPro,IF($C1827="","",IFERROR(MATCH($C1827,Parties!$A$5:$A$304,0),"")),"")</f>
        <v/>
      </c>
      <c r="S1827" s="61" t="str">
        <f aca="false">IF(IsPro,IF($D1827="","",IF(OR($H1827="",$H1827="Credit"),0,P1827)),"")</f>
        <v/>
      </c>
    </row>
    <row r="1828" customFormat="false" ht="15" hidden="false" customHeight="false" outlineLevel="0" collapsed="false">
      <c r="A1828" s="55"/>
      <c r="B1828" s="56"/>
      <c r="C1828" s="56"/>
      <c r="D1828" s="56"/>
      <c r="E1828" s="57"/>
      <c r="F1828" s="58"/>
      <c r="G1828" s="59"/>
      <c r="H1828" s="56"/>
      <c r="I1828" s="60" t="str">
        <f aca="false">IF(IsPro,IF($D1828="","",IFERROR(INDEX(Items!$D$5:$D$504,Q1828),"")),IF($D1828="","","PRO PLAN"))</f>
        <v/>
      </c>
      <c r="J1828" s="61" t="str">
        <f aca="false">IF(IsPro,IF($D1828="","",IF($F1828="",IFERROR(INDEX(Items!$G$5:$G$504,Q1828),0),$F1828)),"")</f>
        <v/>
      </c>
      <c r="K1828" s="61" t="str">
        <f aca="false">IF(IsPro,IF($D1828="","",ROUND(N($E1828)*J1828*(1-N($G1828)),2)),"")</f>
        <v/>
      </c>
      <c r="L1828" s="62" t="str">
        <f aca="false">IF(IsPro,IF($D1828="","",IFERROR(INDEX(Items!$F$5:$F$504,Q1828),0)),"")</f>
        <v/>
      </c>
      <c r="M1828" s="61" t="str">
        <f aca="false">IF(IsPro,IF($D1828="","",IF(AND(R1828&lt;&gt;"",INDEX(Parties!$E$5:$E$304,R1828)&lt;&gt;"",INDEX(Parties!$E$5:$E$304,R1828)&lt;&gt;HomeState),0,ROUND(K1828*L1828/2,2))),"")</f>
        <v/>
      </c>
      <c r="N1828" s="61" t="str">
        <f aca="false">IF(IsPro,IF($D1828="","",M1828),"")</f>
        <v/>
      </c>
      <c r="O1828" s="61" t="str">
        <f aca="false">IF(IsPro,IF($D1828="","",IF(AND(R1828&lt;&gt;"",INDEX(Parties!$E$5:$E$304,R1828)&lt;&gt;"",INDEX(Parties!$E$5:$E$304,R1828)&lt;&gt;HomeState),ROUND(K1828*L1828,2),0)),"")</f>
        <v/>
      </c>
      <c r="P1828" s="61" t="str">
        <f aca="false">IF(IsPro,IF($D1828="","",K1828+M1828+N1828+O1828),"")</f>
        <v/>
      </c>
      <c r="Q1828" s="60" t="str">
        <f aca="false">IF(IsPro,IF($D1828="","",IFERROR(MATCH($D1828,Items!$A$5:$A$504,0),"")),"")</f>
        <v/>
      </c>
      <c r="R1828" s="60" t="str">
        <f aca="false">IF(IsPro,IF($C1828="","",IFERROR(MATCH($C1828,Parties!$A$5:$A$304,0),"")),"")</f>
        <v/>
      </c>
      <c r="S1828" s="61" t="str">
        <f aca="false">IF(IsPro,IF($D1828="","",IF(OR($H1828="",$H1828="Credit"),0,P1828)),"")</f>
        <v/>
      </c>
    </row>
    <row r="1829" customFormat="false" ht="15" hidden="false" customHeight="false" outlineLevel="0" collapsed="false">
      <c r="A1829" s="55"/>
      <c r="B1829" s="56"/>
      <c r="C1829" s="56"/>
      <c r="D1829" s="56"/>
      <c r="E1829" s="57"/>
      <c r="F1829" s="58"/>
      <c r="G1829" s="59"/>
      <c r="H1829" s="56"/>
      <c r="I1829" s="60" t="str">
        <f aca="false">IF(IsPro,IF($D1829="","",IFERROR(INDEX(Items!$D$5:$D$504,Q1829),"")),IF($D1829="","","PRO PLAN"))</f>
        <v/>
      </c>
      <c r="J1829" s="61" t="str">
        <f aca="false">IF(IsPro,IF($D1829="","",IF($F1829="",IFERROR(INDEX(Items!$G$5:$G$504,Q1829),0),$F1829)),"")</f>
        <v/>
      </c>
      <c r="K1829" s="61" t="str">
        <f aca="false">IF(IsPro,IF($D1829="","",ROUND(N($E1829)*J1829*(1-N($G1829)),2)),"")</f>
        <v/>
      </c>
      <c r="L1829" s="62" t="str">
        <f aca="false">IF(IsPro,IF($D1829="","",IFERROR(INDEX(Items!$F$5:$F$504,Q1829),0)),"")</f>
        <v/>
      </c>
      <c r="M1829" s="61" t="str">
        <f aca="false">IF(IsPro,IF($D1829="","",IF(AND(R1829&lt;&gt;"",INDEX(Parties!$E$5:$E$304,R1829)&lt;&gt;"",INDEX(Parties!$E$5:$E$304,R1829)&lt;&gt;HomeState),0,ROUND(K1829*L1829/2,2))),"")</f>
        <v/>
      </c>
      <c r="N1829" s="61" t="str">
        <f aca="false">IF(IsPro,IF($D1829="","",M1829),"")</f>
        <v/>
      </c>
      <c r="O1829" s="61" t="str">
        <f aca="false">IF(IsPro,IF($D1829="","",IF(AND(R1829&lt;&gt;"",INDEX(Parties!$E$5:$E$304,R1829)&lt;&gt;"",INDEX(Parties!$E$5:$E$304,R1829)&lt;&gt;HomeState),ROUND(K1829*L1829,2),0)),"")</f>
        <v/>
      </c>
      <c r="P1829" s="61" t="str">
        <f aca="false">IF(IsPro,IF($D1829="","",K1829+M1829+N1829+O1829),"")</f>
        <v/>
      </c>
      <c r="Q1829" s="60" t="str">
        <f aca="false">IF(IsPro,IF($D1829="","",IFERROR(MATCH($D1829,Items!$A$5:$A$504,0),"")),"")</f>
        <v/>
      </c>
      <c r="R1829" s="60" t="str">
        <f aca="false">IF(IsPro,IF($C1829="","",IFERROR(MATCH($C1829,Parties!$A$5:$A$304,0),"")),"")</f>
        <v/>
      </c>
      <c r="S1829" s="61" t="str">
        <f aca="false">IF(IsPro,IF($D1829="","",IF(OR($H1829="",$H1829="Credit"),0,P1829)),"")</f>
        <v/>
      </c>
    </row>
    <row r="1830" customFormat="false" ht="15" hidden="false" customHeight="false" outlineLevel="0" collapsed="false">
      <c r="A1830" s="55"/>
      <c r="B1830" s="56"/>
      <c r="C1830" s="56"/>
      <c r="D1830" s="56"/>
      <c r="E1830" s="57"/>
      <c r="F1830" s="58"/>
      <c r="G1830" s="59"/>
      <c r="H1830" s="56"/>
      <c r="I1830" s="60" t="str">
        <f aca="false">IF(IsPro,IF($D1830="","",IFERROR(INDEX(Items!$D$5:$D$504,Q1830),"")),IF($D1830="","","PRO PLAN"))</f>
        <v/>
      </c>
      <c r="J1830" s="61" t="str">
        <f aca="false">IF(IsPro,IF($D1830="","",IF($F1830="",IFERROR(INDEX(Items!$G$5:$G$504,Q1830),0),$F1830)),"")</f>
        <v/>
      </c>
      <c r="K1830" s="61" t="str">
        <f aca="false">IF(IsPro,IF($D1830="","",ROUND(N($E1830)*J1830*(1-N($G1830)),2)),"")</f>
        <v/>
      </c>
      <c r="L1830" s="62" t="str">
        <f aca="false">IF(IsPro,IF($D1830="","",IFERROR(INDEX(Items!$F$5:$F$504,Q1830),0)),"")</f>
        <v/>
      </c>
      <c r="M1830" s="61" t="str">
        <f aca="false">IF(IsPro,IF($D1830="","",IF(AND(R1830&lt;&gt;"",INDEX(Parties!$E$5:$E$304,R1830)&lt;&gt;"",INDEX(Parties!$E$5:$E$304,R1830)&lt;&gt;HomeState),0,ROUND(K1830*L1830/2,2))),"")</f>
        <v/>
      </c>
      <c r="N1830" s="61" t="str">
        <f aca="false">IF(IsPro,IF($D1830="","",M1830),"")</f>
        <v/>
      </c>
      <c r="O1830" s="61" t="str">
        <f aca="false">IF(IsPro,IF($D1830="","",IF(AND(R1830&lt;&gt;"",INDEX(Parties!$E$5:$E$304,R1830)&lt;&gt;"",INDEX(Parties!$E$5:$E$304,R1830)&lt;&gt;HomeState),ROUND(K1830*L1830,2),0)),"")</f>
        <v/>
      </c>
      <c r="P1830" s="61" t="str">
        <f aca="false">IF(IsPro,IF($D1830="","",K1830+M1830+N1830+O1830),"")</f>
        <v/>
      </c>
      <c r="Q1830" s="60" t="str">
        <f aca="false">IF(IsPro,IF($D1830="","",IFERROR(MATCH($D1830,Items!$A$5:$A$504,0),"")),"")</f>
        <v/>
      </c>
      <c r="R1830" s="60" t="str">
        <f aca="false">IF(IsPro,IF($C1830="","",IFERROR(MATCH($C1830,Parties!$A$5:$A$304,0),"")),"")</f>
        <v/>
      </c>
      <c r="S1830" s="61" t="str">
        <f aca="false">IF(IsPro,IF($D1830="","",IF(OR($H1830="",$H1830="Credit"),0,P1830)),"")</f>
        <v/>
      </c>
    </row>
    <row r="1831" customFormat="false" ht="15" hidden="false" customHeight="false" outlineLevel="0" collapsed="false">
      <c r="A1831" s="55"/>
      <c r="B1831" s="56"/>
      <c r="C1831" s="56"/>
      <c r="D1831" s="56"/>
      <c r="E1831" s="57"/>
      <c r="F1831" s="58"/>
      <c r="G1831" s="59"/>
      <c r="H1831" s="56"/>
      <c r="I1831" s="60" t="str">
        <f aca="false">IF(IsPro,IF($D1831="","",IFERROR(INDEX(Items!$D$5:$D$504,Q1831),"")),IF($D1831="","","PRO PLAN"))</f>
        <v/>
      </c>
      <c r="J1831" s="61" t="str">
        <f aca="false">IF(IsPro,IF($D1831="","",IF($F1831="",IFERROR(INDEX(Items!$G$5:$G$504,Q1831),0),$F1831)),"")</f>
        <v/>
      </c>
      <c r="K1831" s="61" t="str">
        <f aca="false">IF(IsPro,IF($D1831="","",ROUND(N($E1831)*J1831*(1-N($G1831)),2)),"")</f>
        <v/>
      </c>
      <c r="L1831" s="62" t="str">
        <f aca="false">IF(IsPro,IF($D1831="","",IFERROR(INDEX(Items!$F$5:$F$504,Q1831),0)),"")</f>
        <v/>
      </c>
      <c r="M1831" s="61" t="str">
        <f aca="false">IF(IsPro,IF($D1831="","",IF(AND(R1831&lt;&gt;"",INDEX(Parties!$E$5:$E$304,R1831)&lt;&gt;"",INDEX(Parties!$E$5:$E$304,R1831)&lt;&gt;HomeState),0,ROUND(K1831*L1831/2,2))),"")</f>
        <v/>
      </c>
      <c r="N1831" s="61" t="str">
        <f aca="false">IF(IsPro,IF($D1831="","",M1831),"")</f>
        <v/>
      </c>
      <c r="O1831" s="61" t="str">
        <f aca="false">IF(IsPro,IF($D1831="","",IF(AND(R1831&lt;&gt;"",INDEX(Parties!$E$5:$E$304,R1831)&lt;&gt;"",INDEX(Parties!$E$5:$E$304,R1831)&lt;&gt;HomeState),ROUND(K1831*L1831,2),0)),"")</f>
        <v/>
      </c>
      <c r="P1831" s="61" t="str">
        <f aca="false">IF(IsPro,IF($D1831="","",K1831+M1831+N1831+O1831),"")</f>
        <v/>
      </c>
      <c r="Q1831" s="60" t="str">
        <f aca="false">IF(IsPro,IF($D1831="","",IFERROR(MATCH($D1831,Items!$A$5:$A$504,0),"")),"")</f>
        <v/>
      </c>
      <c r="R1831" s="60" t="str">
        <f aca="false">IF(IsPro,IF($C1831="","",IFERROR(MATCH($C1831,Parties!$A$5:$A$304,0),"")),"")</f>
        <v/>
      </c>
      <c r="S1831" s="61" t="str">
        <f aca="false">IF(IsPro,IF($D1831="","",IF(OR($H1831="",$H1831="Credit"),0,P1831)),"")</f>
        <v/>
      </c>
    </row>
    <row r="1832" customFormat="false" ht="15" hidden="false" customHeight="false" outlineLevel="0" collapsed="false">
      <c r="A1832" s="55"/>
      <c r="B1832" s="56"/>
      <c r="C1832" s="56"/>
      <c r="D1832" s="56"/>
      <c r="E1832" s="57"/>
      <c r="F1832" s="58"/>
      <c r="G1832" s="59"/>
      <c r="H1832" s="56"/>
      <c r="I1832" s="60" t="str">
        <f aca="false">IF(IsPro,IF($D1832="","",IFERROR(INDEX(Items!$D$5:$D$504,Q1832),"")),IF($D1832="","","PRO PLAN"))</f>
        <v/>
      </c>
      <c r="J1832" s="61" t="str">
        <f aca="false">IF(IsPro,IF($D1832="","",IF($F1832="",IFERROR(INDEX(Items!$G$5:$G$504,Q1832),0),$F1832)),"")</f>
        <v/>
      </c>
      <c r="K1832" s="61" t="str">
        <f aca="false">IF(IsPro,IF($D1832="","",ROUND(N($E1832)*J1832*(1-N($G1832)),2)),"")</f>
        <v/>
      </c>
      <c r="L1832" s="62" t="str">
        <f aca="false">IF(IsPro,IF($D1832="","",IFERROR(INDEX(Items!$F$5:$F$504,Q1832),0)),"")</f>
        <v/>
      </c>
      <c r="M1832" s="61" t="str">
        <f aca="false">IF(IsPro,IF($D1832="","",IF(AND(R1832&lt;&gt;"",INDEX(Parties!$E$5:$E$304,R1832)&lt;&gt;"",INDEX(Parties!$E$5:$E$304,R1832)&lt;&gt;HomeState),0,ROUND(K1832*L1832/2,2))),"")</f>
        <v/>
      </c>
      <c r="N1832" s="61" t="str">
        <f aca="false">IF(IsPro,IF($D1832="","",M1832),"")</f>
        <v/>
      </c>
      <c r="O1832" s="61" t="str">
        <f aca="false">IF(IsPro,IF($D1832="","",IF(AND(R1832&lt;&gt;"",INDEX(Parties!$E$5:$E$304,R1832)&lt;&gt;"",INDEX(Parties!$E$5:$E$304,R1832)&lt;&gt;HomeState),ROUND(K1832*L1832,2),0)),"")</f>
        <v/>
      </c>
      <c r="P1832" s="61" t="str">
        <f aca="false">IF(IsPro,IF($D1832="","",K1832+M1832+N1832+O1832),"")</f>
        <v/>
      </c>
      <c r="Q1832" s="60" t="str">
        <f aca="false">IF(IsPro,IF($D1832="","",IFERROR(MATCH($D1832,Items!$A$5:$A$504,0),"")),"")</f>
        <v/>
      </c>
      <c r="R1832" s="60" t="str">
        <f aca="false">IF(IsPro,IF($C1832="","",IFERROR(MATCH($C1832,Parties!$A$5:$A$304,0),"")),"")</f>
        <v/>
      </c>
      <c r="S1832" s="61" t="str">
        <f aca="false">IF(IsPro,IF($D1832="","",IF(OR($H1832="",$H1832="Credit"),0,P1832)),"")</f>
        <v/>
      </c>
    </row>
    <row r="1833" customFormat="false" ht="15" hidden="false" customHeight="false" outlineLevel="0" collapsed="false">
      <c r="A1833" s="55"/>
      <c r="B1833" s="56"/>
      <c r="C1833" s="56"/>
      <c r="D1833" s="56"/>
      <c r="E1833" s="57"/>
      <c r="F1833" s="58"/>
      <c r="G1833" s="59"/>
      <c r="H1833" s="56"/>
      <c r="I1833" s="60" t="str">
        <f aca="false">IF(IsPro,IF($D1833="","",IFERROR(INDEX(Items!$D$5:$D$504,Q1833),"")),IF($D1833="","","PRO PLAN"))</f>
        <v/>
      </c>
      <c r="J1833" s="61" t="str">
        <f aca="false">IF(IsPro,IF($D1833="","",IF($F1833="",IFERROR(INDEX(Items!$G$5:$G$504,Q1833),0),$F1833)),"")</f>
        <v/>
      </c>
      <c r="K1833" s="61" t="str">
        <f aca="false">IF(IsPro,IF($D1833="","",ROUND(N($E1833)*J1833*(1-N($G1833)),2)),"")</f>
        <v/>
      </c>
      <c r="L1833" s="62" t="str">
        <f aca="false">IF(IsPro,IF($D1833="","",IFERROR(INDEX(Items!$F$5:$F$504,Q1833),0)),"")</f>
        <v/>
      </c>
      <c r="M1833" s="61" t="str">
        <f aca="false">IF(IsPro,IF($D1833="","",IF(AND(R1833&lt;&gt;"",INDEX(Parties!$E$5:$E$304,R1833)&lt;&gt;"",INDEX(Parties!$E$5:$E$304,R1833)&lt;&gt;HomeState),0,ROUND(K1833*L1833/2,2))),"")</f>
        <v/>
      </c>
      <c r="N1833" s="61" t="str">
        <f aca="false">IF(IsPro,IF($D1833="","",M1833),"")</f>
        <v/>
      </c>
      <c r="O1833" s="61" t="str">
        <f aca="false">IF(IsPro,IF($D1833="","",IF(AND(R1833&lt;&gt;"",INDEX(Parties!$E$5:$E$304,R1833)&lt;&gt;"",INDEX(Parties!$E$5:$E$304,R1833)&lt;&gt;HomeState),ROUND(K1833*L1833,2),0)),"")</f>
        <v/>
      </c>
      <c r="P1833" s="61" t="str">
        <f aca="false">IF(IsPro,IF($D1833="","",K1833+M1833+N1833+O1833),"")</f>
        <v/>
      </c>
      <c r="Q1833" s="60" t="str">
        <f aca="false">IF(IsPro,IF($D1833="","",IFERROR(MATCH($D1833,Items!$A$5:$A$504,0),"")),"")</f>
        <v/>
      </c>
      <c r="R1833" s="60" t="str">
        <f aca="false">IF(IsPro,IF($C1833="","",IFERROR(MATCH($C1833,Parties!$A$5:$A$304,0),"")),"")</f>
        <v/>
      </c>
      <c r="S1833" s="61" t="str">
        <f aca="false">IF(IsPro,IF($D1833="","",IF(OR($H1833="",$H1833="Credit"),0,P1833)),"")</f>
        <v/>
      </c>
    </row>
    <row r="1834" customFormat="false" ht="15" hidden="false" customHeight="false" outlineLevel="0" collapsed="false">
      <c r="A1834" s="55"/>
      <c r="B1834" s="56"/>
      <c r="C1834" s="56"/>
      <c r="D1834" s="56"/>
      <c r="E1834" s="57"/>
      <c r="F1834" s="58"/>
      <c r="G1834" s="59"/>
      <c r="H1834" s="56"/>
      <c r="I1834" s="60" t="str">
        <f aca="false">IF(IsPro,IF($D1834="","",IFERROR(INDEX(Items!$D$5:$D$504,Q1834),"")),IF($D1834="","","PRO PLAN"))</f>
        <v/>
      </c>
      <c r="J1834" s="61" t="str">
        <f aca="false">IF(IsPro,IF($D1834="","",IF($F1834="",IFERROR(INDEX(Items!$G$5:$G$504,Q1834),0),$F1834)),"")</f>
        <v/>
      </c>
      <c r="K1834" s="61" t="str">
        <f aca="false">IF(IsPro,IF($D1834="","",ROUND(N($E1834)*J1834*(1-N($G1834)),2)),"")</f>
        <v/>
      </c>
      <c r="L1834" s="62" t="str">
        <f aca="false">IF(IsPro,IF($D1834="","",IFERROR(INDEX(Items!$F$5:$F$504,Q1834),0)),"")</f>
        <v/>
      </c>
      <c r="M1834" s="61" t="str">
        <f aca="false">IF(IsPro,IF($D1834="","",IF(AND(R1834&lt;&gt;"",INDEX(Parties!$E$5:$E$304,R1834)&lt;&gt;"",INDEX(Parties!$E$5:$E$304,R1834)&lt;&gt;HomeState),0,ROUND(K1834*L1834/2,2))),"")</f>
        <v/>
      </c>
      <c r="N1834" s="61" t="str">
        <f aca="false">IF(IsPro,IF($D1834="","",M1834),"")</f>
        <v/>
      </c>
      <c r="O1834" s="61" t="str">
        <f aca="false">IF(IsPro,IF($D1834="","",IF(AND(R1834&lt;&gt;"",INDEX(Parties!$E$5:$E$304,R1834)&lt;&gt;"",INDEX(Parties!$E$5:$E$304,R1834)&lt;&gt;HomeState),ROUND(K1834*L1834,2),0)),"")</f>
        <v/>
      </c>
      <c r="P1834" s="61" t="str">
        <f aca="false">IF(IsPro,IF($D1834="","",K1834+M1834+N1834+O1834),"")</f>
        <v/>
      </c>
      <c r="Q1834" s="60" t="str">
        <f aca="false">IF(IsPro,IF($D1834="","",IFERROR(MATCH($D1834,Items!$A$5:$A$504,0),"")),"")</f>
        <v/>
      </c>
      <c r="R1834" s="60" t="str">
        <f aca="false">IF(IsPro,IF($C1834="","",IFERROR(MATCH($C1834,Parties!$A$5:$A$304,0),"")),"")</f>
        <v/>
      </c>
      <c r="S1834" s="61" t="str">
        <f aca="false">IF(IsPro,IF($D1834="","",IF(OR($H1834="",$H1834="Credit"),0,P1834)),"")</f>
        <v/>
      </c>
    </row>
    <row r="1835" customFormat="false" ht="15" hidden="false" customHeight="false" outlineLevel="0" collapsed="false">
      <c r="A1835" s="55"/>
      <c r="B1835" s="56"/>
      <c r="C1835" s="56"/>
      <c r="D1835" s="56"/>
      <c r="E1835" s="57"/>
      <c r="F1835" s="58"/>
      <c r="G1835" s="59"/>
      <c r="H1835" s="56"/>
      <c r="I1835" s="60" t="str">
        <f aca="false">IF(IsPro,IF($D1835="","",IFERROR(INDEX(Items!$D$5:$D$504,Q1835),"")),IF($D1835="","","PRO PLAN"))</f>
        <v/>
      </c>
      <c r="J1835" s="61" t="str">
        <f aca="false">IF(IsPro,IF($D1835="","",IF($F1835="",IFERROR(INDEX(Items!$G$5:$G$504,Q1835),0),$F1835)),"")</f>
        <v/>
      </c>
      <c r="K1835" s="61" t="str">
        <f aca="false">IF(IsPro,IF($D1835="","",ROUND(N($E1835)*J1835*(1-N($G1835)),2)),"")</f>
        <v/>
      </c>
      <c r="L1835" s="62" t="str">
        <f aca="false">IF(IsPro,IF($D1835="","",IFERROR(INDEX(Items!$F$5:$F$504,Q1835),0)),"")</f>
        <v/>
      </c>
      <c r="M1835" s="61" t="str">
        <f aca="false">IF(IsPro,IF($D1835="","",IF(AND(R1835&lt;&gt;"",INDEX(Parties!$E$5:$E$304,R1835)&lt;&gt;"",INDEX(Parties!$E$5:$E$304,R1835)&lt;&gt;HomeState),0,ROUND(K1835*L1835/2,2))),"")</f>
        <v/>
      </c>
      <c r="N1835" s="61" t="str">
        <f aca="false">IF(IsPro,IF($D1835="","",M1835),"")</f>
        <v/>
      </c>
      <c r="O1835" s="61" t="str">
        <f aca="false">IF(IsPro,IF($D1835="","",IF(AND(R1835&lt;&gt;"",INDEX(Parties!$E$5:$E$304,R1835)&lt;&gt;"",INDEX(Parties!$E$5:$E$304,R1835)&lt;&gt;HomeState),ROUND(K1835*L1835,2),0)),"")</f>
        <v/>
      </c>
      <c r="P1835" s="61" t="str">
        <f aca="false">IF(IsPro,IF($D1835="","",K1835+M1835+N1835+O1835),"")</f>
        <v/>
      </c>
      <c r="Q1835" s="60" t="str">
        <f aca="false">IF(IsPro,IF($D1835="","",IFERROR(MATCH($D1835,Items!$A$5:$A$504,0),"")),"")</f>
        <v/>
      </c>
      <c r="R1835" s="60" t="str">
        <f aca="false">IF(IsPro,IF($C1835="","",IFERROR(MATCH($C1835,Parties!$A$5:$A$304,0),"")),"")</f>
        <v/>
      </c>
      <c r="S1835" s="61" t="str">
        <f aca="false">IF(IsPro,IF($D1835="","",IF(OR($H1835="",$H1835="Credit"),0,P1835)),"")</f>
        <v/>
      </c>
    </row>
    <row r="1836" customFormat="false" ht="15" hidden="false" customHeight="false" outlineLevel="0" collapsed="false">
      <c r="A1836" s="55"/>
      <c r="B1836" s="56"/>
      <c r="C1836" s="56"/>
      <c r="D1836" s="56"/>
      <c r="E1836" s="57"/>
      <c r="F1836" s="58"/>
      <c r="G1836" s="59"/>
      <c r="H1836" s="56"/>
      <c r="I1836" s="60" t="str">
        <f aca="false">IF(IsPro,IF($D1836="","",IFERROR(INDEX(Items!$D$5:$D$504,Q1836),"")),IF($D1836="","","PRO PLAN"))</f>
        <v/>
      </c>
      <c r="J1836" s="61" t="str">
        <f aca="false">IF(IsPro,IF($D1836="","",IF($F1836="",IFERROR(INDEX(Items!$G$5:$G$504,Q1836),0),$F1836)),"")</f>
        <v/>
      </c>
      <c r="K1836" s="61" t="str">
        <f aca="false">IF(IsPro,IF($D1836="","",ROUND(N($E1836)*J1836*(1-N($G1836)),2)),"")</f>
        <v/>
      </c>
      <c r="L1836" s="62" t="str">
        <f aca="false">IF(IsPro,IF($D1836="","",IFERROR(INDEX(Items!$F$5:$F$504,Q1836),0)),"")</f>
        <v/>
      </c>
      <c r="M1836" s="61" t="str">
        <f aca="false">IF(IsPro,IF($D1836="","",IF(AND(R1836&lt;&gt;"",INDEX(Parties!$E$5:$E$304,R1836)&lt;&gt;"",INDEX(Parties!$E$5:$E$304,R1836)&lt;&gt;HomeState),0,ROUND(K1836*L1836/2,2))),"")</f>
        <v/>
      </c>
      <c r="N1836" s="61" t="str">
        <f aca="false">IF(IsPro,IF($D1836="","",M1836),"")</f>
        <v/>
      </c>
      <c r="O1836" s="61" t="str">
        <f aca="false">IF(IsPro,IF($D1836="","",IF(AND(R1836&lt;&gt;"",INDEX(Parties!$E$5:$E$304,R1836)&lt;&gt;"",INDEX(Parties!$E$5:$E$304,R1836)&lt;&gt;HomeState),ROUND(K1836*L1836,2),0)),"")</f>
        <v/>
      </c>
      <c r="P1836" s="61" t="str">
        <f aca="false">IF(IsPro,IF($D1836="","",K1836+M1836+N1836+O1836),"")</f>
        <v/>
      </c>
      <c r="Q1836" s="60" t="str">
        <f aca="false">IF(IsPro,IF($D1836="","",IFERROR(MATCH($D1836,Items!$A$5:$A$504,0),"")),"")</f>
        <v/>
      </c>
      <c r="R1836" s="60" t="str">
        <f aca="false">IF(IsPro,IF($C1836="","",IFERROR(MATCH($C1836,Parties!$A$5:$A$304,0),"")),"")</f>
        <v/>
      </c>
      <c r="S1836" s="61" t="str">
        <f aca="false">IF(IsPro,IF($D1836="","",IF(OR($H1836="",$H1836="Credit"),0,P1836)),"")</f>
        <v/>
      </c>
    </row>
    <row r="1837" customFormat="false" ht="15" hidden="false" customHeight="false" outlineLevel="0" collapsed="false">
      <c r="A1837" s="55"/>
      <c r="B1837" s="56"/>
      <c r="C1837" s="56"/>
      <c r="D1837" s="56"/>
      <c r="E1837" s="57"/>
      <c r="F1837" s="58"/>
      <c r="G1837" s="59"/>
      <c r="H1837" s="56"/>
      <c r="I1837" s="60" t="str">
        <f aca="false">IF(IsPro,IF($D1837="","",IFERROR(INDEX(Items!$D$5:$D$504,Q1837),"")),IF($D1837="","","PRO PLAN"))</f>
        <v/>
      </c>
      <c r="J1837" s="61" t="str">
        <f aca="false">IF(IsPro,IF($D1837="","",IF($F1837="",IFERROR(INDEX(Items!$G$5:$G$504,Q1837),0),$F1837)),"")</f>
        <v/>
      </c>
      <c r="K1837" s="61" t="str">
        <f aca="false">IF(IsPro,IF($D1837="","",ROUND(N($E1837)*J1837*(1-N($G1837)),2)),"")</f>
        <v/>
      </c>
      <c r="L1837" s="62" t="str">
        <f aca="false">IF(IsPro,IF($D1837="","",IFERROR(INDEX(Items!$F$5:$F$504,Q1837),0)),"")</f>
        <v/>
      </c>
      <c r="M1837" s="61" t="str">
        <f aca="false">IF(IsPro,IF($D1837="","",IF(AND(R1837&lt;&gt;"",INDEX(Parties!$E$5:$E$304,R1837)&lt;&gt;"",INDEX(Parties!$E$5:$E$304,R1837)&lt;&gt;HomeState),0,ROUND(K1837*L1837/2,2))),"")</f>
        <v/>
      </c>
      <c r="N1837" s="61" t="str">
        <f aca="false">IF(IsPro,IF($D1837="","",M1837),"")</f>
        <v/>
      </c>
      <c r="O1837" s="61" t="str">
        <f aca="false">IF(IsPro,IF($D1837="","",IF(AND(R1837&lt;&gt;"",INDEX(Parties!$E$5:$E$304,R1837)&lt;&gt;"",INDEX(Parties!$E$5:$E$304,R1837)&lt;&gt;HomeState),ROUND(K1837*L1837,2),0)),"")</f>
        <v/>
      </c>
      <c r="P1837" s="61" t="str">
        <f aca="false">IF(IsPro,IF($D1837="","",K1837+M1837+N1837+O1837),"")</f>
        <v/>
      </c>
      <c r="Q1837" s="60" t="str">
        <f aca="false">IF(IsPro,IF($D1837="","",IFERROR(MATCH($D1837,Items!$A$5:$A$504,0),"")),"")</f>
        <v/>
      </c>
      <c r="R1837" s="60" t="str">
        <f aca="false">IF(IsPro,IF($C1837="","",IFERROR(MATCH($C1837,Parties!$A$5:$A$304,0),"")),"")</f>
        <v/>
      </c>
      <c r="S1837" s="61" t="str">
        <f aca="false">IF(IsPro,IF($D1837="","",IF(OR($H1837="",$H1837="Credit"),0,P1837)),"")</f>
        <v/>
      </c>
    </row>
    <row r="1838" customFormat="false" ht="15" hidden="false" customHeight="false" outlineLevel="0" collapsed="false">
      <c r="A1838" s="55"/>
      <c r="B1838" s="56"/>
      <c r="C1838" s="56"/>
      <c r="D1838" s="56"/>
      <c r="E1838" s="57"/>
      <c r="F1838" s="58"/>
      <c r="G1838" s="59"/>
      <c r="H1838" s="56"/>
      <c r="I1838" s="60" t="str">
        <f aca="false">IF(IsPro,IF($D1838="","",IFERROR(INDEX(Items!$D$5:$D$504,Q1838),"")),IF($D1838="","","PRO PLAN"))</f>
        <v/>
      </c>
      <c r="J1838" s="61" t="str">
        <f aca="false">IF(IsPro,IF($D1838="","",IF($F1838="",IFERROR(INDEX(Items!$G$5:$G$504,Q1838),0),$F1838)),"")</f>
        <v/>
      </c>
      <c r="K1838" s="61" t="str">
        <f aca="false">IF(IsPro,IF($D1838="","",ROUND(N($E1838)*J1838*(1-N($G1838)),2)),"")</f>
        <v/>
      </c>
      <c r="L1838" s="62" t="str">
        <f aca="false">IF(IsPro,IF($D1838="","",IFERROR(INDEX(Items!$F$5:$F$504,Q1838),0)),"")</f>
        <v/>
      </c>
      <c r="M1838" s="61" t="str">
        <f aca="false">IF(IsPro,IF($D1838="","",IF(AND(R1838&lt;&gt;"",INDEX(Parties!$E$5:$E$304,R1838)&lt;&gt;"",INDEX(Parties!$E$5:$E$304,R1838)&lt;&gt;HomeState),0,ROUND(K1838*L1838/2,2))),"")</f>
        <v/>
      </c>
      <c r="N1838" s="61" t="str">
        <f aca="false">IF(IsPro,IF($D1838="","",M1838),"")</f>
        <v/>
      </c>
      <c r="O1838" s="61" t="str">
        <f aca="false">IF(IsPro,IF($D1838="","",IF(AND(R1838&lt;&gt;"",INDEX(Parties!$E$5:$E$304,R1838)&lt;&gt;"",INDEX(Parties!$E$5:$E$304,R1838)&lt;&gt;HomeState),ROUND(K1838*L1838,2),0)),"")</f>
        <v/>
      </c>
      <c r="P1838" s="61" t="str">
        <f aca="false">IF(IsPro,IF($D1838="","",K1838+M1838+N1838+O1838),"")</f>
        <v/>
      </c>
      <c r="Q1838" s="60" t="str">
        <f aca="false">IF(IsPro,IF($D1838="","",IFERROR(MATCH($D1838,Items!$A$5:$A$504,0),"")),"")</f>
        <v/>
      </c>
      <c r="R1838" s="60" t="str">
        <f aca="false">IF(IsPro,IF($C1838="","",IFERROR(MATCH($C1838,Parties!$A$5:$A$304,0),"")),"")</f>
        <v/>
      </c>
      <c r="S1838" s="61" t="str">
        <f aca="false">IF(IsPro,IF($D1838="","",IF(OR($H1838="",$H1838="Credit"),0,P1838)),"")</f>
        <v/>
      </c>
    </row>
    <row r="1839" customFormat="false" ht="15" hidden="false" customHeight="false" outlineLevel="0" collapsed="false">
      <c r="A1839" s="55"/>
      <c r="B1839" s="56"/>
      <c r="C1839" s="56"/>
      <c r="D1839" s="56"/>
      <c r="E1839" s="57"/>
      <c r="F1839" s="58"/>
      <c r="G1839" s="59"/>
      <c r="H1839" s="56"/>
      <c r="I1839" s="60" t="str">
        <f aca="false">IF(IsPro,IF($D1839="","",IFERROR(INDEX(Items!$D$5:$D$504,Q1839),"")),IF($D1839="","","PRO PLAN"))</f>
        <v/>
      </c>
      <c r="J1839" s="61" t="str">
        <f aca="false">IF(IsPro,IF($D1839="","",IF($F1839="",IFERROR(INDEX(Items!$G$5:$G$504,Q1839),0),$F1839)),"")</f>
        <v/>
      </c>
      <c r="K1839" s="61" t="str">
        <f aca="false">IF(IsPro,IF($D1839="","",ROUND(N($E1839)*J1839*(1-N($G1839)),2)),"")</f>
        <v/>
      </c>
      <c r="L1839" s="62" t="str">
        <f aca="false">IF(IsPro,IF($D1839="","",IFERROR(INDEX(Items!$F$5:$F$504,Q1839),0)),"")</f>
        <v/>
      </c>
      <c r="M1839" s="61" t="str">
        <f aca="false">IF(IsPro,IF($D1839="","",IF(AND(R1839&lt;&gt;"",INDEX(Parties!$E$5:$E$304,R1839)&lt;&gt;"",INDEX(Parties!$E$5:$E$304,R1839)&lt;&gt;HomeState),0,ROUND(K1839*L1839/2,2))),"")</f>
        <v/>
      </c>
      <c r="N1839" s="61" t="str">
        <f aca="false">IF(IsPro,IF($D1839="","",M1839),"")</f>
        <v/>
      </c>
      <c r="O1839" s="61" t="str">
        <f aca="false">IF(IsPro,IF($D1839="","",IF(AND(R1839&lt;&gt;"",INDEX(Parties!$E$5:$E$304,R1839)&lt;&gt;"",INDEX(Parties!$E$5:$E$304,R1839)&lt;&gt;HomeState),ROUND(K1839*L1839,2),0)),"")</f>
        <v/>
      </c>
      <c r="P1839" s="61" t="str">
        <f aca="false">IF(IsPro,IF($D1839="","",K1839+M1839+N1839+O1839),"")</f>
        <v/>
      </c>
      <c r="Q1839" s="60" t="str">
        <f aca="false">IF(IsPro,IF($D1839="","",IFERROR(MATCH($D1839,Items!$A$5:$A$504,0),"")),"")</f>
        <v/>
      </c>
      <c r="R1839" s="60" t="str">
        <f aca="false">IF(IsPro,IF($C1839="","",IFERROR(MATCH($C1839,Parties!$A$5:$A$304,0),"")),"")</f>
        <v/>
      </c>
      <c r="S1839" s="61" t="str">
        <f aca="false">IF(IsPro,IF($D1839="","",IF(OR($H1839="",$H1839="Credit"),0,P1839)),"")</f>
        <v/>
      </c>
    </row>
    <row r="1840" customFormat="false" ht="15" hidden="false" customHeight="false" outlineLevel="0" collapsed="false">
      <c r="A1840" s="55"/>
      <c r="B1840" s="56"/>
      <c r="C1840" s="56"/>
      <c r="D1840" s="56"/>
      <c r="E1840" s="57"/>
      <c r="F1840" s="58"/>
      <c r="G1840" s="59"/>
      <c r="H1840" s="56"/>
      <c r="I1840" s="60" t="str">
        <f aca="false">IF(IsPro,IF($D1840="","",IFERROR(INDEX(Items!$D$5:$D$504,Q1840),"")),IF($D1840="","","PRO PLAN"))</f>
        <v/>
      </c>
      <c r="J1840" s="61" t="str">
        <f aca="false">IF(IsPro,IF($D1840="","",IF($F1840="",IFERROR(INDEX(Items!$G$5:$G$504,Q1840),0),$F1840)),"")</f>
        <v/>
      </c>
      <c r="K1840" s="61" t="str">
        <f aca="false">IF(IsPro,IF($D1840="","",ROUND(N($E1840)*J1840*(1-N($G1840)),2)),"")</f>
        <v/>
      </c>
      <c r="L1840" s="62" t="str">
        <f aca="false">IF(IsPro,IF($D1840="","",IFERROR(INDEX(Items!$F$5:$F$504,Q1840),0)),"")</f>
        <v/>
      </c>
      <c r="M1840" s="61" t="str">
        <f aca="false">IF(IsPro,IF($D1840="","",IF(AND(R1840&lt;&gt;"",INDEX(Parties!$E$5:$E$304,R1840)&lt;&gt;"",INDEX(Parties!$E$5:$E$304,R1840)&lt;&gt;HomeState),0,ROUND(K1840*L1840/2,2))),"")</f>
        <v/>
      </c>
      <c r="N1840" s="61" t="str">
        <f aca="false">IF(IsPro,IF($D1840="","",M1840),"")</f>
        <v/>
      </c>
      <c r="O1840" s="61" t="str">
        <f aca="false">IF(IsPro,IF($D1840="","",IF(AND(R1840&lt;&gt;"",INDEX(Parties!$E$5:$E$304,R1840)&lt;&gt;"",INDEX(Parties!$E$5:$E$304,R1840)&lt;&gt;HomeState),ROUND(K1840*L1840,2),0)),"")</f>
        <v/>
      </c>
      <c r="P1840" s="61" t="str">
        <f aca="false">IF(IsPro,IF($D1840="","",K1840+M1840+N1840+O1840),"")</f>
        <v/>
      </c>
      <c r="Q1840" s="60" t="str">
        <f aca="false">IF(IsPro,IF($D1840="","",IFERROR(MATCH($D1840,Items!$A$5:$A$504,0),"")),"")</f>
        <v/>
      </c>
      <c r="R1840" s="60" t="str">
        <f aca="false">IF(IsPro,IF($C1840="","",IFERROR(MATCH($C1840,Parties!$A$5:$A$304,0),"")),"")</f>
        <v/>
      </c>
      <c r="S1840" s="61" t="str">
        <f aca="false">IF(IsPro,IF($D1840="","",IF(OR($H1840="",$H1840="Credit"),0,P1840)),"")</f>
        <v/>
      </c>
    </row>
    <row r="1841" customFormat="false" ht="15" hidden="false" customHeight="false" outlineLevel="0" collapsed="false">
      <c r="A1841" s="55"/>
      <c r="B1841" s="56"/>
      <c r="C1841" s="56"/>
      <c r="D1841" s="56"/>
      <c r="E1841" s="57"/>
      <c r="F1841" s="58"/>
      <c r="G1841" s="59"/>
      <c r="H1841" s="56"/>
      <c r="I1841" s="60" t="str">
        <f aca="false">IF(IsPro,IF($D1841="","",IFERROR(INDEX(Items!$D$5:$D$504,Q1841),"")),IF($D1841="","","PRO PLAN"))</f>
        <v/>
      </c>
      <c r="J1841" s="61" t="str">
        <f aca="false">IF(IsPro,IF($D1841="","",IF($F1841="",IFERROR(INDEX(Items!$G$5:$G$504,Q1841),0),$F1841)),"")</f>
        <v/>
      </c>
      <c r="K1841" s="61" t="str">
        <f aca="false">IF(IsPro,IF($D1841="","",ROUND(N($E1841)*J1841*(1-N($G1841)),2)),"")</f>
        <v/>
      </c>
      <c r="L1841" s="62" t="str">
        <f aca="false">IF(IsPro,IF($D1841="","",IFERROR(INDEX(Items!$F$5:$F$504,Q1841),0)),"")</f>
        <v/>
      </c>
      <c r="M1841" s="61" t="str">
        <f aca="false">IF(IsPro,IF($D1841="","",IF(AND(R1841&lt;&gt;"",INDEX(Parties!$E$5:$E$304,R1841)&lt;&gt;"",INDEX(Parties!$E$5:$E$304,R1841)&lt;&gt;HomeState),0,ROUND(K1841*L1841/2,2))),"")</f>
        <v/>
      </c>
      <c r="N1841" s="61" t="str">
        <f aca="false">IF(IsPro,IF($D1841="","",M1841),"")</f>
        <v/>
      </c>
      <c r="O1841" s="61" t="str">
        <f aca="false">IF(IsPro,IF($D1841="","",IF(AND(R1841&lt;&gt;"",INDEX(Parties!$E$5:$E$304,R1841)&lt;&gt;"",INDEX(Parties!$E$5:$E$304,R1841)&lt;&gt;HomeState),ROUND(K1841*L1841,2),0)),"")</f>
        <v/>
      </c>
      <c r="P1841" s="61" t="str">
        <f aca="false">IF(IsPro,IF($D1841="","",K1841+M1841+N1841+O1841),"")</f>
        <v/>
      </c>
      <c r="Q1841" s="60" t="str">
        <f aca="false">IF(IsPro,IF($D1841="","",IFERROR(MATCH($D1841,Items!$A$5:$A$504,0),"")),"")</f>
        <v/>
      </c>
      <c r="R1841" s="60" t="str">
        <f aca="false">IF(IsPro,IF($C1841="","",IFERROR(MATCH($C1841,Parties!$A$5:$A$304,0),"")),"")</f>
        <v/>
      </c>
      <c r="S1841" s="61" t="str">
        <f aca="false">IF(IsPro,IF($D1841="","",IF(OR($H1841="",$H1841="Credit"),0,P1841)),"")</f>
        <v/>
      </c>
    </row>
    <row r="1842" customFormat="false" ht="15" hidden="false" customHeight="false" outlineLevel="0" collapsed="false">
      <c r="A1842" s="55"/>
      <c r="B1842" s="56"/>
      <c r="C1842" s="56"/>
      <c r="D1842" s="56"/>
      <c r="E1842" s="57"/>
      <c r="F1842" s="58"/>
      <c r="G1842" s="59"/>
      <c r="H1842" s="56"/>
      <c r="I1842" s="60" t="str">
        <f aca="false">IF(IsPro,IF($D1842="","",IFERROR(INDEX(Items!$D$5:$D$504,Q1842),"")),IF($D1842="","","PRO PLAN"))</f>
        <v/>
      </c>
      <c r="J1842" s="61" t="str">
        <f aca="false">IF(IsPro,IF($D1842="","",IF($F1842="",IFERROR(INDEX(Items!$G$5:$G$504,Q1842),0),$F1842)),"")</f>
        <v/>
      </c>
      <c r="K1842" s="61" t="str">
        <f aca="false">IF(IsPro,IF($D1842="","",ROUND(N($E1842)*J1842*(1-N($G1842)),2)),"")</f>
        <v/>
      </c>
      <c r="L1842" s="62" t="str">
        <f aca="false">IF(IsPro,IF($D1842="","",IFERROR(INDEX(Items!$F$5:$F$504,Q1842),0)),"")</f>
        <v/>
      </c>
      <c r="M1842" s="61" t="str">
        <f aca="false">IF(IsPro,IF($D1842="","",IF(AND(R1842&lt;&gt;"",INDEX(Parties!$E$5:$E$304,R1842)&lt;&gt;"",INDEX(Parties!$E$5:$E$304,R1842)&lt;&gt;HomeState),0,ROUND(K1842*L1842/2,2))),"")</f>
        <v/>
      </c>
      <c r="N1842" s="61" t="str">
        <f aca="false">IF(IsPro,IF($D1842="","",M1842),"")</f>
        <v/>
      </c>
      <c r="O1842" s="61" t="str">
        <f aca="false">IF(IsPro,IF($D1842="","",IF(AND(R1842&lt;&gt;"",INDEX(Parties!$E$5:$E$304,R1842)&lt;&gt;"",INDEX(Parties!$E$5:$E$304,R1842)&lt;&gt;HomeState),ROUND(K1842*L1842,2),0)),"")</f>
        <v/>
      </c>
      <c r="P1842" s="61" t="str">
        <f aca="false">IF(IsPro,IF($D1842="","",K1842+M1842+N1842+O1842),"")</f>
        <v/>
      </c>
      <c r="Q1842" s="60" t="str">
        <f aca="false">IF(IsPro,IF($D1842="","",IFERROR(MATCH($D1842,Items!$A$5:$A$504,0),"")),"")</f>
        <v/>
      </c>
      <c r="R1842" s="60" t="str">
        <f aca="false">IF(IsPro,IF($C1842="","",IFERROR(MATCH($C1842,Parties!$A$5:$A$304,0),"")),"")</f>
        <v/>
      </c>
      <c r="S1842" s="61" t="str">
        <f aca="false">IF(IsPro,IF($D1842="","",IF(OR($H1842="",$H1842="Credit"),0,P1842)),"")</f>
        <v/>
      </c>
    </row>
    <row r="1843" customFormat="false" ht="15" hidden="false" customHeight="false" outlineLevel="0" collapsed="false">
      <c r="A1843" s="55"/>
      <c r="B1843" s="56"/>
      <c r="C1843" s="56"/>
      <c r="D1843" s="56"/>
      <c r="E1843" s="57"/>
      <c r="F1843" s="58"/>
      <c r="G1843" s="59"/>
      <c r="H1843" s="56"/>
      <c r="I1843" s="60" t="str">
        <f aca="false">IF(IsPro,IF($D1843="","",IFERROR(INDEX(Items!$D$5:$D$504,Q1843),"")),IF($D1843="","","PRO PLAN"))</f>
        <v/>
      </c>
      <c r="J1843" s="61" t="str">
        <f aca="false">IF(IsPro,IF($D1843="","",IF($F1843="",IFERROR(INDEX(Items!$G$5:$G$504,Q1843),0),$F1843)),"")</f>
        <v/>
      </c>
      <c r="K1843" s="61" t="str">
        <f aca="false">IF(IsPro,IF($D1843="","",ROUND(N($E1843)*J1843*(1-N($G1843)),2)),"")</f>
        <v/>
      </c>
      <c r="L1843" s="62" t="str">
        <f aca="false">IF(IsPro,IF($D1843="","",IFERROR(INDEX(Items!$F$5:$F$504,Q1843),0)),"")</f>
        <v/>
      </c>
      <c r="M1843" s="61" t="str">
        <f aca="false">IF(IsPro,IF($D1843="","",IF(AND(R1843&lt;&gt;"",INDEX(Parties!$E$5:$E$304,R1843)&lt;&gt;"",INDEX(Parties!$E$5:$E$304,R1843)&lt;&gt;HomeState),0,ROUND(K1843*L1843/2,2))),"")</f>
        <v/>
      </c>
      <c r="N1843" s="61" t="str">
        <f aca="false">IF(IsPro,IF($D1843="","",M1843),"")</f>
        <v/>
      </c>
      <c r="O1843" s="61" t="str">
        <f aca="false">IF(IsPro,IF($D1843="","",IF(AND(R1843&lt;&gt;"",INDEX(Parties!$E$5:$E$304,R1843)&lt;&gt;"",INDEX(Parties!$E$5:$E$304,R1843)&lt;&gt;HomeState),ROUND(K1843*L1843,2),0)),"")</f>
        <v/>
      </c>
      <c r="P1843" s="61" t="str">
        <f aca="false">IF(IsPro,IF($D1843="","",K1843+M1843+N1843+O1843),"")</f>
        <v/>
      </c>
      <c r="Q1843" s="60" t="str">
        <f aca="false">IF(IsPro,IF($D1843="","",IFERROR(MATCH($D1843,Items!$A$5:$A$504,0),"")),"")</f>
        <v/>
      </c>
      <c r="R1843" s="60" t="str">
        <f aca="false">IF(IsPro,IF($C1843="","",IFERROR(MATCH($C1843,Parties!$A$5:$A$304,0),"")),"")</f>
        <v/>
      </c>
      <c r="S1843" s="61" t="str">
        <f aca="false">IF(IsPro,IF($D1843="","",IF(OR($H1843="",$H1843="Credit"),0,P1843)),"")</f>
        <v/>
      </c>
    </row>
    <row r="1844" customFormat="false" ht="15" hidden="false" customHeight="false" outlineLevel="0" collapsed="false">
      <c r="A1844" s="55"/>
      <c r="B1844" s="56"/>
      <c r="C1844" s="56"/>
      <c r="D1844" s="56"/>
      <c r="E1844" s="57"/>
      <c r="F1844" s="58"/>
      <c r="G1844" s="59"/>
      <c r="H1844" s="56"/>
      <c r="I1844" s="60" t="str">
        <f aca="false">IF(IsPro,IF($D1844="","",IFERROR(INDEX(Items!$D$5:$D$504,Q1844),"")),IF($D1844="","","PRO PLAN"))</f>
        <v/>
      </c>
      <c r="J1844" s="61" t="str">
        <f aca="false">IF(IsPro,IF($D1844="","",IF($F1844="",IFERROR(INDEX(Items!$G$5:$G$504,Q1844),0),$F1844)),"")</f>
        <v/>
      </c>
      <c r="K1844" s="61" t="str">
        <f aca="false">IF(IsPro,IF($D1844="","",ROUND(N($E1844)*J1844*(1-N($G1844)),2)),"")</f>
        <v/>
      </c>
      <c r="L1844" s="62" t="str">
        <f aca="false">IF(IsPro,IF($D1844="","",IFERROR(INDEX(Items!$F$5:$F$504,Q1844),0)),"")</f>
        <v/>
      </c>
      <c r="M1844" s="61" t="str">
        <f aca="false">IF(IsPro,IF($D1844="","",IF(AND(R1844&lt;&gt;"",INDEX(Parties!$E$5:$E$304,R1844)&lt;&gt;"",INDEX(Parties!$E$5:$E$304,R1844)&lt;&gt;HomeState),0,ROUND(K1844*L1844/2,2))),"")</f>
        <v/>
      </c>
      <c r="N1844" s="61" t="str">
        <f aca="false">IF(IsPro,IF($D1844="","",M1844),"")</f>
        <v/>
      </c>
      <c r="O1844" s="61" t="str">
        <f aca="false">IF(IsPro,IF($D1844="","",IF(AND(R1844&lt;&gt;"",INDEX(Parties!$E$5:$E$304,R1844)&lt;&gt;"",INDEX(Parties!$E$5:$E$304,R1844)&lt;&gt;HomeState),ROUND(K1844*L1844,2),0)),"")</f>
        <v/>
      </c>
      <c r="P1844" s="61" t="str">
        <f aca="false">IF(IsPro,IF($D1844="","",K1844+M1844+N1844+O1844),"")</f>
        <v/>
      </c>
      <c r="Q1844" s="60" t="str">
        <f aca="false">IF(IsPro,IF($D1844="","",IFERROR(MATCH($D1844,Items!$A$5:$A$504,0),"")),"")</f>
        <v/>
      </c>
      <c r="R1844" s="60" t="str">
        <f aca="false">IF(IsPro,IF($C1844="","",IFERROR(MATCH($C1844,Parties!$A$5:$A$304,0),"")),"")</f>
        <v/>
      </c>
      <c r="S1844" s="61" t="str">
        <f aca="false">IF(IsPro,IF($D1844="","",IF(OR($H1844="",$H1844="Credit"),0,P1844)),"")</f>
        <v/>
      </c>
    </row>
    <row r="1845" customFormat="false" ht="15" hidden="false" customHeight="false" outlineLevel="0" collapsed="false">
      <c r="A1845" s="55"/>
      <c r="B1845" s="56"/>
      <c r="C1845" s="56"/>
      <c r="D1845" s="56"/>
      <c r="E1845" s="57"/>
      <c r="F1845" s="58"/>
      <c r="G1845" s="59"/>
      <c r="H1845" s="56"/>
      <c r="I1845" s="60" t="str">
        <f aca="false">IF(IsPro,IF($D1845="","",IFERROR(INDEX(Items!$D$5:$D$504,Q1845),"")),IF($D1845="","","PRO PLAN"))</f>
        <v/>
      </c>
      <c r="J1845" s="61" t="str">
        <f aca="false">IF(IsPro,IF($D1845="","",IF($F1845="",IFERROR(INDEX(Items!$G$5:$G$504,Q1845),0),$F1845)),"")</f>
        <v/>
      </c>
      <c r="K1845" s="61" t="str">
        <f aca="false">IF(IsPro,IF($D1845="","",ROUND(N($E1845)*J1845*(1-N($G1845)),2)),"")</f>
        <v/>
      </c>
      <c r="L1845" s="62" t="str">
        <f aca="false">IF(IsPro,IF($D1845="","",IFERROR(INDEX(Items!$F$5:$F$504,Q1845),0)),"")</f>
        <v/>
      </c>
      <c r="M1845" s="61" t="str">
        <f aca="false">IF(IsPro,IF($D1845="","",IF(AND(R1845&lt;&gt;"",INDEX(Parties!$E$5:$E$304,R1845)&lt;&gt;"",INDEX(Parties!$E$5:$E$304,R1845)&lt;&gt;HomeState),0,ROUND(K1845*L1845/2,2))),"")</f>
        <v/>
      </c>
      <c r="N1845" s="61" t="str">
        <f aca="false">IF(IsPro,IF($D1845="","",M1845),"")</f>
        <v/>
      </c>
      <c r="O1845" s="61" t="str">
        <f aca="false">IF(IsPro,IF($D1845="","",IF(AND(R1845&lt;&gt;"",INDEX(Parties!$E$5:$E$304,R1845)&lt;&gt;"",INDEX(Parties!$E$5:$E$304,R1845)&lt;&gt;HomeState),ROUND(K1845*L1845,2),0)),"")</f>
        <v/>
      </c>
      <c r="P1845" s="61" t="str">
        <f aca="false">IF(IsPro,IF($D1845="","",K1845+M1845+N1845+O1845),"")</f>
        <v/>
      </c>
      <c r="Q1845" s="60" t="str">
        <f aca="false">IF(IsPro,IF($D1845="","",IFERROR(MATCH($D1845,Items!$A$5:$A$504,0),"")),"")</f>
        <v/>
      </c>
      <c r="R1845" s="60" t="str">
        <f aca="false">IF(IsPro,IF($C1845="","",IFERROR(MATCH($C1845,Parties!$A$5:$A$304,0),"")),"")</f>
        <v/>
      </c>
      <c r="S1845" s="61" t="str">
        <f aca="false">IF(IsPro,IF($D1845="","",IF(OR($H1845="",$H1845="Credit"),0,P1845)),"")</f>
        <v/>
      </c>
    </row>
    <row r="1846" customFormat="false" ht="15" hidden="false" customHeight="false" outlineLevel="0" collapsed="false">
      <c r="A1846" s="55"/>
      <c r="B1846" s="56"/>
      <c r="C1846" s="56"/>
      <c r="D1846" s="56"/>
      <c r="E1846" s="57"/>
      <c r="F1846" s="58"/>
      <c r="G1846" s="59"/>
      <c r="H1846" s="56"/>
      <c r="I1846" s="60" t="str">
        <f aca="false">IF(IsPro,IF($D1846="","",IFERROR(INDEX(Items!$D$5:$D$504,Q1846),"")),IF($D1846="","","PRO PLAN"))</f>
        <v/>
      </c>
      <c r="J1846" s="61" t="str">
        <f aca="false">IF(IsPro,IF($D1846="","",IF($F1846="",IFERROR(INDEX(Items!$G$5:$G$504,Q1846),0),$F1846)),"")</f>
        <v/>
      </c>
      <c r="K1846" s="61" t="str">
        <f aca="false">IF(IsPro,IF($D1846="","",ROUND(N($E1846)*J1846*(1-N($G1846)),2)),"")</f>
        <v/>
      </c>
      <c r="L1846" s="62" t="str">
        <f aca="false">IF(IsPro,IF($D1846="","",IFERROR(INDEX(Items!$F$5:$F$504,Q1846),0)),"")</f>
        <v/>
      </c>
      <c r="M1846" s="61" t="str">
        <f aca="false">IF(IsPro,IF($D1846="","",IF(AND(R1846&lt;&gt;"",INDEX(Parties!$E$5:$E$304,R1846)&lt;&gt;"",INDEX(Parties!$E$5:$E$304,R1846)&lt;&gt;HomeState),0,ROUND(K1846*L1846/2,2))),"")</f>
        <v/>
      </c>
      <c r="N1846" s="61" t="str">
        <f aca="false">IF(IsPro,IF($D1846="","",M1846),"")</f>
        <v/>
      </c>
      <c r="O1846" s="61" t="str">
        <f aca="false">IF(IsPro,IF($D1846="","",IF(AND(R1846&lt;&gt;"",INDEX(Parties!$E$5:$E$304,R1846)&lt;&gt;"",INDEX(Parties!$E$5:$E$304,R1846)&lt;&gt;HomeState),ROUND(K1846*L1846,2),0)),"")</f>
        <v/>
      </c>
      <c r="P1846" s="61" t="str">
        <f aca="false">IF(IsPro,IF($D1846="","",K1846+M1846+N1846+O1846),"")</f>
        <v/>
      </c>
      <c r="Q1846" s="60" t="str">
        <f aca="false">IF(IsPro,IF($D1846="","",IFERROR(MATCH($D1846,Items!$A$5:$A$504,0),"")),"")</f>
        <v/>
      </c>
      <c r="R1846" s="60" t="str">
        <f aca="false">IF(IsPro,IF($C1846="","",IFERROR(MATCH($C1846,Parties!$A$5:$A$304,0),"")),"")</f>
        <v/>
      </c>
      <c r="S1846" s="61" t="str">
        <f aca="false">IF(IsPro,IF($D1846="","",IF(OR($H1846="",$H1846="Credit"),0,P1846)),"")</f>
        <v/>
      </c>
    </row>
    <row r="1847" customFormat="false" ht="15" hidden="false" customHeight="false" outlineLevel="0" collapsed="false">
      <c r="A1847" s="55"/>
      <c r="B1847" s="56"/>
      <c r="C1847" s="56"/>
      <c r="D1847" s="56"/>
      <c r="E1847" s="57"/>
      <c r="F1847" s="58"/>
      <c r="G1847" s="59"/>
      <c r="H1847" s="56"/>
      <c r="I1847" s="60" t="str">
        <f aca="false">IF(IsPro,IF($D1847="","",IFERROR(INDEX(Items!$D$5:$D$504,Q1847),"")),IF($D1847="","","PRO PLAN"))</f>
        <v/>
      </c>
      <c r="J1847" s="61" t="str">
        <f aca="false">IF(IsPro,IF($D1847="","",IF($F1847="",IFERROR(INDEX(Items!$G$5:$G$504,Q1847),0),$F1847)),"")</f>
        <v/>
      </c>
      <c r="K1847" s="61" t="str">
        <f aca="false">IF(IsPro,IF($D1847="","",ROUND(N($E1847)*J1847*(1-N($G1847)),2)),"")</f>
        <v/>
      </c>
      <c r="L1847" s="62" t="str">
        <f aca="false">IF(IsPro,IF($D1847="","",IFERROR(INDEX(Items!$F$5:$F$504,Q1847),0)),"")</f>
        <v/>
      </c>
      <c r="M1847" s="61" t="str">
        <f aca="false">IF(IsPro,IF($D1847="","",IF(AND(R1847&lt;&gt;"",INDEX(Parties!$E$5:$E$304,R1847)&lt;&gt;"",INDEX(Parties!$E$5:$E$304,R1847)&lt;&gt;HomeState),0,ROUND(K1847*L1847/2,2))),"")</f>
        <v/>
      </c>
      <c r="N1847" s="61" t="str">
        <f aca="false">IF(IsPro,IF($D1847="","",M1847),"")</f>
        <v/>
      </c>
      <c r="O1847" s="61" t="str">
        <f aca="false">IF(IsPro,IF($D1847="","",IF(AND(R1847&lt;&gt;"",INDEX(Parties!$E$5:$E$304,R1847)&lt;&gt;"",INDEX(Parties!$E$5:$E$304,R1847)&lt;&gt;HomeState),ROUND(K1847*L1847,2),0)),"")</f>
        <v/>
      </c>
      <c r="P1847" s="61" t="str">
        <f aca="false">IF(IsPro,IF($D1847="","",K1847+M1847+N1847+O1847),"")</f>
        <v/>
      </c>
      <c r="Q1847" s="60" t="str">
        <f aca="false">IF(IsPro,IF($D1847="","",IFERROR(MATCH($D1847,Items!$A$5:$A$504,0),"")),"")</f>
        <v/>
      </c>
      <c r="R1847" s="60" t="str">
        <f aca="false">IF(IsPro,IF($C1847="","",IFERROR(MATCH($C1847,Parties!$A$5:$A$304,0),"")),"")</f>
        <v/>
      </c>
      <c r="S1847" s="61" t="str">
        <f aca="false">IF(IsPro,IF($D1847="","",IF(OR($H1847="",$H1847="Credit"),0,P1847)),"")</f>
        <v/>
      </c>
    </row>
    <row r="1848" customFormat="false" ht="15" hidden="false" customHeight="false" outlineLevel="0" collapsed="false">
      <c r="A1848" s="55"/>
      <c r="B1848" s="56"/>
      <c r="C1848" s="56"/>
      <c r="D1848" s="56"/>
      <c r="E1848" s="57"/>
      <c r="F1848" s="58"/>
      <c r="G1848" s="59"/>
      <c r="H1848" s="56"/>
      <c r="I1848" s="60" t="str">
        <f aca="false">IF(IsPro,IF($D1848="","",IFERROR(INDEX(Items!$D$5:$D$504,Q1848),"")),IF($D1848="","","PRO PLAN"))</f>
        <v/>
      </c>
      <c r="J1848" s="61" t="str">
        <f aca="false">IF(IsPro,IF($D1848="","",IF($F1848="",IFERROR(INDEX(Items!$G$5:$G$504,Q1848),0),$F1848)),"")</f>
        <v/>
      </c>
      <c r="K1848" s="61" t="str">
        <f aca="false">IF(IsPro,IF($D1848="","",ROUND(N($E1848)*J1848*(1-N($G1848)),2)),"")</f>
        <v/>
      </c>
      <c r="L1848" s="62" t="str">
        <f aca="false">IF(IsPro,IF($D1848="","",IFERROR(INDEX(Items!$F$5:$F$504,Q1848),0)),"")</f>
        <v/>
      </c>
      <c r="M1848" s="61" t="str">
        <f aca="false">IF(IsPro,IF($D1848="","",IF(AND(R1848&lt;&gt;"",INDEX(Parties!$E$5:$E$304,R1848)&lt;&gt;"",INDEX(Parties!$E$5:$E$304,R1848)&lt;&gt;HomeState),0,ROUND(K1848*L1848/2,2))),"")</f>
        <v/>
      </c>
      <c r="N1848" s="61" t="str">
        <f aca="false">IF(IsPro,IF($D1848="","",M1848),"")</f>
        <v/>
      </c>
      <c r="O1848" s="61" t="str">
        <f aca="false">IF(IsPro,IF($D1848="","",IF(AND(R1848&lt;&gt;"",INDEX(Parties!$E$5:$E$304,R1848)&lt;&gt;"",INDEX(Parties!$E$5:$E$304,R1848)&lt;&gt;HomeState),ROUND(K1848*L1848,2),0)),"")</f>
        <v/>
      </c>
      <c r="P1848" s="61" t="str">
        <f aca="false">IF(IsPro,IF($D1848="","",K1848+M1848+N1848+O1848),"")</f>
        <v/>
      </c>
      <c r="Q1848" s="60" t="str">
        <f aca="false">IF(IsPro,IF($D1848="","",IFERROR(MATCH($D1848,Items!$A$5:$A$504,0),"")),"")</f>
        <v/>
      </c>
      <c r="R1848" s="60" t="str">
        <f aca="false">IF(IsPro,IF($C1848="","",IFERROR(MATCH($C1848,Parties!$A$5:$A$304,0),"")),"")</f>
        <v/>
      </c>
      <c r="S1848" s="61" t="str">
        <f aca="false">IF(IsPro,IF($D1848="","",IF(OR($H1848="",$H1848="Credit"),0,P1848)),"")</f>
        <v/>
      </c>
    </row>
    <row r="1849" customFormat="false" ht="15" hidden="false" customHeight="false" outlineLevel="0" collapsed="false">
      <c r="A1849" s="55"/>
      <c r="B1849" s="56"/>
      <c r="C1849" s="56"/>
      <c r="D1849" s="56"/>
      <c r="E1849" s="57"/>
      <c r="F1849" s="58"/>
      <c r="G1849" s="59"/>
      <c r="H1849" s="56"/>
      <c r="I1849" s="60" t="str">
        <f aca="false">IF(IsPro,IF($D1849="","",IFERROR(INDEX(Items!$D$5:$D$504,Q1849),"")),IF($D1849="","","PRO PLAN"))</f>
        <v/>
      </c>
      <c r="J1849" s="61" t="str">
        <f aca="false">IF(IsPro,IF($D1849="","",IF($F1849="",IFERROR(INDEX(Items!$G$5:$G$504,Q1849),0),$F1849)),"")</f>
        <v/>
      </c>
      <c r="K1849" s="61" t="str">
        <f aca="false">IF(IsPro,IF($D1849="","",ROUND(N($E1849)*J1849*(1-N($G1849)),2)),"")</f>
        <v/>
      </c>
      <c r="L1849" s="62" t="str">
        <f aca="false">IF(IsPro,IF($D1849="","",IFERROR(INDEX(Items!$F$5:$F$504,Q1849),0)),"")</f>
        <v/>
      </c>
      <c r="M1849" s="61" t="str">
        <f aca="false">IF(IsPro,IF($D1849="","",IF(AND(R1849&lt;&gt;"",INDEX(Parties!$E$5:$E$304,R1849)&lt;&gt;"",INDEX(Parties!$E$5:$E$304,R1849)&lt;&gt;HomeState),0,ROUND(K1849*L1849/2,2))),"")</f>
        <v/>
      </c>
      <c r="N1849" s="61" t="str">
        <f aca="false">IF(IsPro,IF($D1849="","",M1849),"")</f>
        <v/>
      </c>
      <c r="O1849" s="61" t="str">
        <f aca="false">IF(IsPro,IF($D1849="","",IF(AND(R1849&lt;&gt;"",INDEX(Parties!$E$5:$E$304,R1849)&lt;&gt;"",INDEX(Parties!$E$5:$E$304,R1849)&lt;&gt;HomeState),ROUND(K1849*L1849,2),0)),"")</f>
        <v/>
      </c>
      <c r="P1849" s="61" t="str">
        <f aca="false">IF(IsPro,IF($D1849="","",K1849+M1849+N1849+O1849),"")</f>
        <v/>
      </c>
      <c r="Q1849" s="60" t="str">
        <f aca="false">IF(IsPro,IF($D1849="","",IFERROR(MATCH($D1849,Items!$A$5:$A$504,0),"")),"")</f>
        <v/>
      </c>
      <c r="R1849" s="60" t="str">
        <f aca="false">IF(IsPro,IF($C1849="","",IFERROR(MATCH($C1849,Parties!$A$5:$A$304,0),"")),"")</f>
        <v/>
      </c>
      <c r="S1849" s="61" t="str">
        <f aca="false">IF(IsPro,IF($D1849="","",IF(OR($H1849="",$H1849="Credit"),0,P1849)),"")</f>
        <v/>
      </c>
    </row>
    <row r="1850" customFormat="false" ht="15" hidden="false" customHeight="false" outlineLevel="0" collapsed="false">
      <c r="A1850" s="55"/>
      <c r="B1850" s="56"/>
      <c r="C1850" s="56"/>
      <c r="D1850" s="56"/>
      <c r="E1850" s="57"/>
      <c r="F1850" s="58"/>
      <c r="G1850" s="59"/>
      <c r="H1850" s="56"/>
      <c r="I1850" s="60" t="str">
        <f aca="false">IF(IsPro,IF($D1850="","",IFERROR(INDEX(Items!$D$5:$D$504,Q1850),"")),IF($D1850="","","PRO PLAN"))</f>
        <v/>
      </c>
      <c r="J1850" s="61" t="str">
        <f aca="false">IF(IsPro,IF($D1850="","",IF($F1850="",IFERROR(INDEX(Items!$G$5:$G$504,Q1850),0),$F1850)),"")</f>
        <v/>
      </c>
      <c r="K1850" s="61" t="str">
        <f aca="false">IF(IsPro,IF($D1850="","",ROUND(N($E1850)*J1850*(1-N($G1850)),2)),"")</f>
        <v/>
      </c>
      <c r="L1850" s="62" t="str">
        <f aca="false">IF(IsPro,IF($D1850="","",IFERROR(INDEX(Items!$F$5:$F$504,Q1850),0)),"")</f>
        <v/>
      </c>
      <c r="M1850" s="61" t="str">
        <f aca="false">IF(IsPro,IF($D1850="","",IF(AND(R1850&lt;&gt;"",INDEX(Parties!$E$5:$E$304,R1850)&lt;&gt;"",INDEX(Parties!$E$5:$E$304,R1850)&lt;&gt;HomeState),0,ROUND(K1850*L1850/2,2))),"")</f>
        <v/>
      </c>
      <c r="N1850" s="61" t="str">
        <f aca="false">IF(IsPro,IF($D1850="","",M1850),"")</f>
        <v/>
      </c>
      <c r="O1850" s="61" t="str">
        <f aca="false">IF(IsPro,IF($D1850="","",IF(AND(R1850&lt;&gt;"",INDEX(Parties!$E$5:$E$304,R1850)&lt;&gt;"",INDEX(Parties!$E$5:$E$304,R1850)&lt;&gt;HomeState),ROUND(K1850*L1850,2),0)),"")</f>
        <v/>
      </c>
      <c r="P1850" s="61" t="str">
        <f aca="false">IF(IsPro,IF($D1850="","",K1850+M1850+N1850+O1850),"")</f>
        <v/>
      </c>
      <c r="Q1850" s="60" t="str">
        <f aca="false">IF(IsPro,IF($D1850="","",IFERROR(MATCH($D1850,Items!$A$5:$A$504,0),"")),"")</f>
        <v/>
      </c>
      <c r="R1850" s="60" t="str">
        <f aca="false">IF(IsPro,IF($C1850="","",IFERROR(MATCH($C1850,Parties!$A$5:$A$304,0),"")),"")</f>
        <v/>
      </c>
      <c r="S1850" s="61" t="str">
        <f aca="false">IF(IsPro,IF($D1850="","",IF(OR($H1850="",$H1850="Credit"),0,P1850)),"")</f>
        <v/>
      </c>
    </row>
    <row r="1851" customFormat="false" ht="15" hidden="false" customHeight="false" outlineLevel="0" collapsed="false">
      <c r="A1851" s="55"/>
      <c r="B1851" s="56"/>
      <c r="C1851" s="56"/>
      <c r="D1851" s="56"/>
      <c r="E1851" s="57"/>
      <c r="F1851" s="58"/>
      <c r="G1851" s="59"/>
      <c r="H1851" s="56"/>
      <c r="I1851" s="60" t="str">
        <f aca="false">IF(IsPro,IF($D1851="","",IFERROR(INDEX(Items!$D$5:$D$504,Q1851),"")),IF($D1851="","","PRO PLAN"))</f>
        <v/>
      </c>
      <c r="J1851" s="61" t="str">
        <f aca="false">IF(IsPro,IF($D1851="","",IF($F1851="",IFERROR(INDEX(Items!$G$5:$G$504,Q1851),0),$F1851)),"")</f>
        <v/>
      </c>
      <c r="K1851" s="61" t="str">
        <f aca="false">IF(IsPro,IF($D1851="","",ROUND(N($E1851)*J1851*(1-N($G1851)),2)),"")</f>
        <v/>
      </c>
      <c r="L1851" s="62" t="str">
        <f aca="false">IF(IsPro,IF($D1851="","",IFERROR(INDEX(Items!$F$5:$F$504,Q1851),0)),"")</f>
        <v/>
      </c>
      <c r="M1851" s="61" t="str">
        <f aca="false">IF(IsPro,IF($D1851="","",IF(AND(R1851&lt;&gt;"",INDEX(Parties!$E$5:$E$304,R1851)&lt;&gt;"",INDEX(Parties!$E$5:$E$304,R1851)&lt;&gt;HomeState),0,ROUND(K1851*L1851/2,2))),"")</f>
        <v/>
      </c>
      <c r="N1851" s="61" t="str">
        <f aca="false">IF(IsPro,IF($D1851="","",M1851),"")</f>
        <v/>
      </c>
      <c r="O1851" s="61" t="str">
        <f aca="false">IF(IsPro,IF($D1851="","",IF(AND(R1851&lt;&gt;"",INDEX(Parties!$E$5:$E$304,R1851)&lt;&gt;"",INDEX(Parties!$E$5:$E$304,R1851)&lt;&gt;HomeState),ROUND(K1851*L1851,2),0)),"")</f>
        <v/>
      </c>
      <c r="P1851" s="61" t="str">
        <f aca="false">IF(IsPro,IF($D1851="","",K1851+M1851+N1851+O1851),"")</f>
        <v/>
      </c>
      <c r="Q1851" s="60" t="str">
        <f aca="false">IF(IsPro,IF($D1851="","",IFERROR(MATCH($D1851,Items!$A$5:$A$504,0),"")),"")</f>
        <v/>
      </c>
      <c r="R1851" s="60" t="str">
        <f aca="false">IF(IsPro,IF($C1851="","",IFERROR(MATCH($C1851,Parties!$A$5:$A$304,0),"")),"")</f>
        <v/>
      </c>
      <c r="S1851" s="61" t="str">
        <f aca="false">IF(IsPro,IF($D1851="","",IF(OR($H1851="",$H1851="Credit"),0,P1851)),"")</f>
        <v/>
      </c>
    </row>
    <row r="1852" customFormat="false" ht="15" hidden="false" customHeight="false" outlineLevel="0" collapsed="false">
      <c r="A1852" s="55"/>
      <c r="B1852" s="56"/>
      <c r="C1852" s="56"/>
      <c r="D1852" s="56"/>
      <c r="E1852" s="57"/>
      <c r="F1852" s="58"/>
      <c r="G1852" s="59"/>
      <c r="H1852" s="56"/>
      <c r="I1852" s="60" t="str">
        <f aca="false">IF(IsPro,IF($D1852="","",IFERROR(INDEX(Items!$D$5:$D$504,Q1852),"")),IF($D1852="","","PRO PLAN"))</f>
        <v/>
      </c>
      <c r="J1852" s="61" t="str">
        <f aca="false">IF(IsPro,IF($D1852="","",IF($F1852="",IFERROR(INDEX(Items!$G$5:$G$504,Q1852),0),$F1852)),"")</f>
        <v/>
      </c>
      <c r="K1852" s="61" t="str">
        <f aca="false">IF(IsPro,IF($D1852="","",ROUND(N($E1852)*J1852*(1-N($G1852)),2)),"")</f>
        <v/>
      </c>
      <c r="L1852" s="62" t="str">
        <f aca="false">IF(IsPro,IF($D1852="","",IFERROR(INDEX(Items!$F$5:$F$504,Q1852),0)),"")</f>
        <v/>
      </c>
      <c r="M1852" s="61" t="str">
        <f aca="false">IF(IsPro,IF($D1852="","",IF(AND(R1852&lt;&gt;"",INDEX(Parties!$E$5:$E$304,R1852)&lt;&gt;"",INDEX(Parties!$E$5:$E$304,R1852)&lt;&gt;HomeState),0,ROUND(K1852*L1852/2,2))),"")</f>
        <v/>
      </c>
      <c r="N1852" s="61" t="str">
        <f aca="false">IF(IsPro,IF($D1852="","",M1852),"")</f>
        <v/>
      </c>
      <c r="O1852" s="61" t="str">
        <f aca="false">IF(IsPro,IF($D1852="","",IF(AND(R1852&lt;&gt;"",INDEX(Parties!$E$5:$E$304,R1852)&lt;&gt;"",INDEX(Parties!$E$5:$E$304,R1852)&lt;&gt;HomeState),ROUND(K1852*L1852,2),0)),"")</f>
        <v/>
      </c>
      <c r="P1852" s="61" t="str">
        <f aca="false">IF(IsPro,IF($D1852="","",K1852+M1852+N1852+O1852),"")</f>
        <v/>
      </c>
      <c r="Q1852" s="60" t="str">
        <f aca="false">IF(IsPro,IF($D1852="","",IFERROR(MATCH($D1852,Items!$A$5:$A$504,0),"")),"")</f>
        <v/>
      </c>
      <c r="R1852" s="60" t="str">
        <f aca="false">IF(IsPro,IF($C1852="","",IFERROR(MATCH($C1852,Parties!$A$5:$A$304,0),"")),"")</f>
        <v/>
      </c>
      <c r="S1852" s="61" t="str">
        <f aca="false">IF(IsPro,IF($D1852="","",IF(OR($H1852="",$H1852="Credit"),0,P1852)),"")</f>
        <v/>
      </c>
    </row>
    <row r="1853" customFormat="false" ht="15" hidden="false" customHeight="false" outlineLevel="0" collapsed="false">
      <c r="A1853" s="55"/>
      <c r="B1853" s="56"/>
      <c r="C1853" s="56"/>
      <c r="D1853" s="56"/>
      <c r="E1853" s="57"/>
      <c r="F1853" s="58"/>
      <c r="G1853" s="59"/>
      <c r="H1853" s="56"/>
      <c r="I1853" s="60" t="str">
        <f aca="false">IF(IsPro,IF($D1853="","",IFERROR(INDEX(Items!$D$5:$D$504,Q1853),"")),IF($D1853="","","PRO PLAN"))</f>
        <v/>
      </c>
      <c r="J1853" s="61" t="str">
        <f aca="false">IF(IsPro,IF($D1853="","",IF($F1853="",IFERROR(INDEX(Items!$G$5:$G$504,Q1853),0),$F1853)),"")</f>
        <v/>
      </c>
      <c r="K1853" s="61" t="str">
        <f aca="false">IF(IsPro,IF($D1853="","",ROUND(N($E1853)*J1853*(1-N($G1853)),2)),"")</f>
        <v/>
      </c>
      <c r="L1853" s="62" t="str">
        <f aca="false">IF(IsPro,IF($D1853="","",IFERROR(INDEX(Items!$F$5:$F$504,Q1853),0)),"")</f>
        <v/>
      </c>
      <c r="M1853" s="61" t="str">
        <f aca="false">IF(IsPro,IF($D1853="","",IF(AND(R1853&lt;&gt;"",INDEX(Parties!$E$5:$E$304,R1853)&lt;&gt;"",INDEX(Parties!$E$5:$E$304,R1853)&lt;&gt;HomeState),0,ROUND(K1853*L1853/2,2))),"")</f>
        <v/>
      </c>
      <c r="N1853" s="61" t="str">
        <f aca="false">IF(IsPro,IF($D1853="","",M1853),"")</f>
        <v/>
      </c>
      <c r="O1853" s="61" t="str">
        <f aca="false">IF(IsPro,IF($D1853="","",IF(AND(R1853&lt;&gt;"",INDEX(Parties!$E$5:$E$304,R1853)&lt;&gt;"",INDEX(Parties!$E$5:$E$304,R1853)&lt;&gt;HomeState),ROUND(K1853*L1853,2),0)),"")</f>
        <v/>
      </c>
      <c r="P1853" s="61" t="str">
        <f aca="false">IF(IsPro,IF($D1853="","",K1853+M1853+N1853+O1853),"")</f>
        <v/>
      </c>
      <c r="Q1853" s="60" t="str">
        <f aca="false">IF(IsPro,IF($D1853="","",IFERROR(MATCH($D1853,Items!$A$5:$A$504,0),"")),"")</f>
        <v/>
      </c>
      <c r="R1853" s="60" t="str">
        <f aca="false">IF(IsPro,IF($C1853="","",IFERROR(MATCH($C1853,Parties!$A$5:$A$304,0),"")),"")</f>
        <v/>
      </c>
      <c r="S1853" s="61" t="str">
        <f aca="false">IF(IsPro,IF($D1853="","",IF(OR($H1853="",$H1853="Credit"),0,P1853)),"")</f>
        <v/>
      </c>
    </row>
    <row r="1854" customFormat="false" ht="15" hidden="false" customHeight="false" outlineLevel="0" collapsed="false">
      <c r="A1854" s="55"/>
      <c r="B1854" s="56"/>
      <c r="C1854" s="56"/>
      <c r="D1854" s="56"/>
      <c r="E1854" s="57"/>
      <c r="F1854" s="58"/>
      <c r="G1854" s="59"/>
      <c r="H1854" s="56"/>
      <c r="I1854" s="60" t="str">
        <f aca="false">IF(IsPro,IF($D1854="","",IFERROR(INDEX(Items!$D$5:$D$504,Q1854),"")),IF($D1854="","","PRO PLAN"))</f>
        <v/>
      </c>
      <c r="J1854" s="61" t="str">
        <f aca="false">IF(IsPro,IF($D1854="","",IF($F1854="",IFERROR(INDEX(Items!$G$5:$G$504,Q1854),0),$F1854)),"")</f>
        <v/>
      </c>
      <c r="K1854" s="61" t="str">
        <f aca="false">IF(IsPro,IF($D1854="","",ROUND(N($E1854)*J1854*(1-N($G1854)),2)),"")</f>
        <v/>
      </c>
      <c r="L1854" s="62" t="str">
        <f aca="false">IF(IsPro,IF($D1854="","",IFERROR(INDEX(Items!$F$5:$F$504,Q1854),0)),"")</f>
        <v/>
      </c>
      <c r="M1854" s="61" t="str">
        <f aca="false">IF(IsPro,IF($D1854="","",IF(AND(R1854&lt;&gt;"",INDEX(Parties!$E$5:$E$304,R1854)&lt;&gt;"",INDEX(Parties!$E$5:$E$304,R1854)&lt;&gt;HomeState),0,ROUND(K1854*L1854/2,2))),"")</f>
        <v/>
      </c>
      <c r="N1854" s="61" t="str">
        <f aca="false">IF(IsPro,IF($D1854="","",M1854),"")</f>
        <v/>
      </c>
      <c r="O1854" s="61" t="str">
        <f aca="false">IF(IsPro,IF($D1854="","",IF(AND(R1854&lt;&gt;"",INDEX(Parties!$E$5:$E$304,R1854)&lt;&gt;"",INDEX(Parties!$E$5:$E$304,R1854)&lt;&gt;HomeState),ROUND(K1854*L1854,2),0)),"")</f>
        <v/>
      </c>
      <c r="P1854" s="61" t="str">
        <f aca="false">IF(IsPro,IF($D1854="","",K1854+M1854+N1854+O1854),"")</f>
        <v/>
      </c>
      <c r="Q1854" s="60" t="str">
        <f aca="false">IF(IsPro,IF($D1854="","",IFERROR(MATCH($D1854,Items!$A$5:$A$504,0),"")),"")</f>
        <v/>
      </c>
      <c r="R1854" s="60" t="str">
        <f aca="false">IF(IsPro,IF($C1854="","",IFERROR(MATCH($C1854,Parties!$A$5:$A$304,0),"")),"")</f>
        <v/>
      </c>
      <c r="S1854" s="61" t="str">
        <f aca="false">IF(IsPro,IF($D1854="","",IF(OR($H1854="",$H1854="Credit"),0,P1854)),"")</f>
        <v/>
      </c>
    </row>
    <row r="1855" customFormat="false" ht="15" hidden="false" customHeight="false" outlineLevel="0" collapsed="false">
      <c r="A1855" s="55"/>
      <c r="B1855" s="56"/>
      <c r="C1855" s="56"/>
      <c r="D1855" s="56"/>
      <c r="E1855" s="57"/>
      <c r="F1855" s="58"/>
      <c r="G1855" s="59"/>
      <c r="H1855" s="56"/>
      <c r="I1855" s="60" t="str">
        <f aca="false">IF(IsPro,IF($D1855="","",IFERROR(INDEX(Items!$D$5:$D$504,Q1855),"")),IF($D1855="","","PRO PLAN"))</f>
        <v/>
      </c>
      <c r="J1855" s="61" t="str">
        <f aca="false">IF(IsPro,IF($D1855="","",IF($F1855="",IFERROR(INDEX(Items!$G$5:$G$504,Q1855),0),$F1855)),"")</f>
        <v/>
      </c>
      <c r="K1855" s="61" t="str">
        <f aca="false">IF(IsPro,IF($D1855="","",ROUND(N($E1855)*J1855*(1-N($G1855)),2)),"")</f>
        <v/>
      </c>
      <c r="L1855" s="62" t="str">
        <f aca="false">IF(IsPro,IF($D1855="","",IFERROR(INDEX(Items!$F$5:$F$504,Q1855),0)),"")</f>
        <v/>
      </c>
      <c r="M1855" s="61" t="str">
        <f aca="false">IF(IsPro,IF($D1855="","",IF(AND(R1855&lt;&gt;"",INDEX(Parties!$E$5:$E$304,R1855)&lt;&gt;"",INDEX(Parties!$E$5:$E$304,R1855)&lt;&gt;HomeState),0,ROUND(K1855*L1855/2,2))),"")</f>
        <v/>
      </c>
      <c r="N1855" s="61" t="str">
        <f aca="false">IF(IsPro,IF($D1855="","",M1855),"")</f>
        <v/>
      </c>
      <c r="O1855" s="61" t="str">
        <f aca="false">IF(IsPro,IF($D1855="","",IF(AND(R1855&lt;&gt;"",INDEX(Parties!$E$5:$E$304,R1855)&lt;&gt;"",INDEX(Parties!$E$5:$E$304,R1855)&lt;&gt;HomeState),ROUND(K1855*L1855,2),0)),"")</f>
        <v/>
      </c>
      <c r="P1855" s="61" t="str">
        <f aca="false">IF(IsPro,IF($D1855="","",K1855+M1855+N1855+O1855),"")</f>
        <v/>
      </c>
      <c r="Q1855" s="60" t="str">
        <f aca="false">IF(IsPro,IF($D1855="","",IFERROR(MATCH($D1855,Items!$A$5:$A$504,0),"")),"")</f>
        <v/>
      </c>
      <c r="R1855" s="60" t="str">
        <f aca="false">IF(IsPro,IF($C1855="","",IFERROR(MATCH($C1855,Parties!$A$5:$A$304,0),"")),"")</f>
        <v/>
      </c>
      <c r="S1855" s="61" t="str">
        <f aca="false">IF(IsPro,IF($D1855="","",IF(OR($H1855="",$H1855="Credit"),0,P1855)),"")</f>
        <v/>
      </c>
    </row>
    <row r="1856" customFormat="false" ht="15" hidden="false" customHeight="false" outlineLevel="0" collapsed="false">
      <c r="A1856" s="55"/>
      <c r="B1856" s="56"/>
      <c r="C1856" s="56"/>
      <c r="D1856" s="56"/>
      <c r="E1856" s="57"/>
      <c r="F1856" s="58"/>
      <c r="G1856" s="59"/>
      <c r="H1856" s="56"/>
      <c r="I1856" s="60" t="str">
        <f aca="false">IF(IsPro,IF($D1856="","",IFERROR(INDEX(Items!$D$5:$D$504,Q1856),"")),IF($D1856="","","PRO PLAN"))</f>
        <v/>
      </c>
      <c r="J1856" s="61" t="str">
        <f aca="false">IF(IsPro,IF($D1856="","",IF($F1856="",IFERROR(INDEX(Items!$G$5:$G$504,Q1856),0),$F1856)),"")</f>
        <v/>
      </c>
      <c r="K1856" s="61" t="str">
        <f aca="false">IF(IsPro,IF($D1856="","",ROUND(N($E1856)*J1856*(1-N($G1856)),2)),"")</f>
        <v/>
      </c>
      <c r="L1856" s="62" t="str">
        <f aca="false">IF(IsPro,IF($D1856="","",IFERROR(INDEX(Items!$F$5:$F$504,Q1856),0)),"")</f>
        <v/>
      </c>
      <c r="M1856" s="61" t="str">
        <f aca="false">IF(IsPro,IF($D1856="","",IF(AND(R1856&lt;&gt;"",INDEX(Parties!$E$5:$E$304,R1856)&lt;&gt;"",INDEX(Parties!$E$5:$E$304,R1856)&lt;&gt;HomeState),0,ROUND(K1856*L1856/2,2))),"")</f>
        <v/>
      </c>
      <c r="N1856" s="61" t="str">
        <f aca="false">IF(IsPro,IF($D1856="","",M1856),"")</f>
        <v/>
      </c>
      <c r="O1856" s="61" t="str">
        <f aca="false">IF(IsPro,IF($D1856="","",IF(AND(R1856&lt;&gt;"",INDEX(Parties!$E$5:$E$304,R1856)&lt;&gt;"",INDEX(Parties!$E$5:$E$304,R1856)&lt;&gt;HomeState),ROUND(K1856*L1856,2),0)),"")</f>
        <v/>
      </c>
      <c r="P1856" s="61" t="str">
        <f aca="false">IF(IsPro,IF($D1856="","",K1856+M1856+N1856+O1856),"")</f>
        <v/>
      </c>
      <c r="Q1856" s="60" t="str">
        <f aca="false">IF(IsPro,IF($D1856="","",IFERROR(MATCH($D1856,Items!$A$5:$A$504,0),"")),"")</f>
        <v/>
      </c>
      <c r="R1856" s="60" t="str">
        <f aca="false">IF(IsPro,IF($C1856="","",IFERROR(MATCH($C1856,Parties!$A$5:$A$304,0),"")),"")</f>
        <v/>
      </c>
      <c r="S1856" s="61" t="str">
        <f aca="false">IF(IsPro,IF($D1856="","",IF(OR($H1856="",$H1856="Credit"),0,P1856)),"")</f>
        <v/>
      </c>
    </row>
    <row r="1857" customFormat="false" ht="15" hidden="false" customHeight="false" outlineLevel="0" collapsed="false">
      <c r="A1857" s="55"/>
      <c r="B1857" s="56"/>
      <c r="C1857" s="56"/>
      <c r="D1857" s="56"/>
      <c r="E1857" s="57"/>
      <c r="F1857" s="58"/>
      <c r="G1857" s="59"/>
      <c r="H1857" s="56"/>
      <c r="I1857" s="60" t="str">
        <f aca="false">IF(IsPro,IF($D1857="","",IFERROR(INDEX(Items!$D$5:$D$504,Q1857),"")),IF($D1857="","","PRO PLAN"))</f>
        <v/>
      </c>
      <c r="J1857" s="61" t="str">
        <f aca="false">IF(IsPro,IF($D1857="","",IF($F1857="",IFERROR(INDEX(Items!$G$5:$G$504,Q1857),0),$F1857)),"")</f>
        <v/>
      </c>
      <c r="K1857" s="61" t="str">
        <f aca="false">IF(IsPro,IF($D1857="","",ROUND(N($E1857)*J1857*(1-N($G1857)),2)),"")</f>
        <v/>
      </c>
      <c r="L1857" s="62" t="str">
        <f aca="false">IF(IsPro,IF($D1857="","",IFERROR(INDEX(Items!$F$5:$F$504,Q1857),0)),"")</f>
        <v/>
      </c>
      <c r="M1857" s="61" t="str">
        <f aca="false">IF(IsPro,IF($D1857="","",IF(AND(R1857&lt;&gt;"",INDEX(Parties!$E$5:$E$304,R1857)&lt;&gt;"",INDEX(Parties!$E$5:$E$304,R1857)&lt;&gt;HomeState),0,ROUND(K1857*L1857/2,2))),"")</f>
        <v/>
      </c>
      <c r="N1857" s="61" t="str">
        <f aca="false">IF(IsPro,IF($D1857="","",M1857),"")</f>
        <v/>
      </c>
      <c r="O1857" s="61" t="str">
        <f aca="false">IF(IsPro,IF($D1857="","",IF(AND(R1857&lt;&gt;"",INDEX(Parties!$E$5:$E$304,R1857)&lt;&gt;"",INDEX(Parties!$E$5:$E$304,R1857)&lt;&gt;HomeState),ROUND(K1857*L1857,2),0)),"")</f>
        <v/>
      </c>
      <c r="P1857" s="61" t="str">
        <f aca="false">IF(IsPro,IF($D1857="","",K1857+M1857+N1857+O1857),"")</f>
        <v/>
      </c>
      <c r="Q1857" s="60" t="str">
        <f aca="false">IF(IsPro,IF($D1857="","",IFERROR(MATCH($D1857,Items!$A$5:$A$504,0),"")),"")</f>
        <v/>
      </c>
      <c r="R1857" s="60" t="str">
        <f aca="false">IF(IsPro,IF($C1857="","",IFERROR(MATCH($C1857,Parties!$A$5:$A$304,0),"")),"")</f>
        <v/>
      </c>
      <c r="S1857" s="61" t="str">
        <f aca="false">IF(IsPro,IF($D1857="","",IF(OR($H1857="",$H1857="Credit"),0,P1857)),"")</f>
        <v/>
      </c>
    </row>
    <row r="1858" customFormat="false" ht="15" hidden="false" customHeight="false" outlineLevel="0" collapsed="false">
      <c r="A1858" s="55"/>
      <c r="B1858" s="56"/>
      <c r="C1858" s="56"/>
      <c r="D1858" s="56"/>
      <c r="E1858" s="57"/>
      <c r="F1858" s="58"/>
      <c r="G1858" s="59"/>
      <c r="H1858" s="56"/>
      <c r="I1858" s="60" t="str">
        <f aca="false">IF(IsPro,IF($D1858="","",IFERROR(INDEX(Items!$D$5:$D$504,Q1858),"")),IF($D1858="","","PRO PLAN"))</f>
        <v/>
      </c>
      <c r="J1858" s="61" t="str">
        <f aca="false">IF(IsPro,IF($D1858="","",IF($F1858="",IFERROR(INDEX(Items!$G$5:$G$504,Q1858),0),$F1858)),"")</f>
        <v/>
      </c>
      <c r="K1858" s="61" t="str">
        <f aca="false">IF(IsPro,IF($D1858="","",ROUND(N($E1858)*J1858*(1-N($G1858)),2)),"")</f>
        <v/>
      </c>
      <c r="L1858" s="62" t="str">
        <f aca="false">IF(IsPro,IF($D1858="","",IFERROR(INDEX(Items!$F$5:$F$504,Q1858),0)),"")</f>
        <v/>
      </c>
      <c r="M1858" s="61" t="str">
        <f aca="false">IF(IsPro,IF($D1858="","",IF(AND(R1858&lt;&gt;"",INDEX(Parties!$E$5:$E$304,R1858)&lt;&gt;"",INDEX(Parties!$E$5:$E$304,R1858)&lt;&gt;HomeState),0,ROUND(K1858*L1858/2,2))),"")</f>
        <v/>
      </c>
      <c r="N1858" s="61" t="str">
        <f aca="false">IF(IsPro,IF($D1858="","",M1858),"")</f>
        <v/>
      </c>
      <c r="O1858" s="61" t="str">
        <f aca="false">IF(IsPro,IF($D1858="","",IF(AND(R1858&lt;&gt;"",INDEX(Parties!$E$5:$E$304,R1858)&lt;&gt;"",INDEX(Parties!$E$5:$E$304,R1858)&lt;&gt;HomeState),ROUND(K1858*L1858,2),0)),"")</f>
        <v/>
      </c>
      <c r="P1858" s="61" t="str">
        <f aca="false">IF(IsPro,IF($D1858="","",K1858+M1858+N1858+O1858),"")</f>
        <v/>
      </c>
      <c r="Q1858" s="60" t="str">
        <f aca="false">IF(IsPro,IF($D1858="","",IFERROR(MATCH($D1858,Items!$A$5:$A$504,0),"")),"")</f>
        <v/>
      </c>
      <c r="R1858" s="60" t="str">
        <f aca="false">IF(IsPro,IF($C1858="","",IFERROR(MATCH($C1858,Parties!$A$5:$A$304,0),"")),"")</f>
        <v/>
      </c>
      <c r="S1858" s="61" t="str">
        <f aca="false">IF(IsPro,IF($D1858="","",IF(OR($H1858="",$H1858="Credit"),0,P1858)),"")</f>
        <v/>
      </c>
    </row>
    <row r="1859" customFormat="false" ht="15" hidden="false" customHeight="false" outlineLevel="0" collapsed="false">
      <c r="A1859" s="55"/>
      <c r="B1859" s="56"/>
      <c r="C1859" s="56"/>
      <c r="D1859" s="56"/>
      <c r="E1859" s="57"/>
      <c r="F1859" s="58"/>
      <c r="G1859" s="59"/>
      <c r="H1859" s="56"/>
      <c r="I1859" s="60" t="str">
        <f aca="false">IF(IsPro,IF($D1859="","",IFERROR(INDEX(Items!$D$5:$D$504,Q1859),"")),IF($D1859="","","PRO PLAN"))</f>
        <v/>
      </c>
      <c r="J1859" s="61" t="str">
        <f aca="false">IF(IsPro,IF($D1859="","",IF($F1859="",IFERROR(INDEX(Items!$G$5:$G$504,Q1859),0),$F1859)),"")</f>
        <v/>
      </c>
      <c r="K1859" s="61" t="str">
        <f aca="false">IF(IsPro,IF($D1859="","",ROUND(N($E1859)*J1859*(1-N($G1859)),2)),"")</f>
        <v/>
      </c>
      <c r="L1859" s="62" t="str">
        <f aca="false">IF(IsPro,IF($D1859="","",IFERROR(INDEX(Items!$F$5:$F$504,Q1859),0)),"")</f>
        <v/>
      </c>
      <c r="M1859" s="61" t="str">
        <f aca="false">IF(IsPro,IF($D1859="","",IF(AND(R1859&lt;&gt;"",INDEX(Parties!$E$5:$E$304,R1859)&lt;&gt;"",INDEX(Parties!$E$5:$E$304,R1859)&lt;&gt;HomeState),0,ROUND(K1859*L1859/2,2))),"")</f>
        <v/>
      </c>
      <c r="N1859" s="61" t="str">
        <f aca="false">IF(IsPro,IF($D1859="","",M1859),"")</f>
        <v/>
      </c>
      <c r="O1859" s="61" t="str">
        <f aca="false">IF(IsPro,IF($D1859="","",IF(AND(R1859&lt;&gt;"",INDEX(Parties!$E$5:$E$304,R1859)&lt;&gt;"",INDEX(Parties!$E$5:$E$304,R1859)&lt;&gt;HomeState),ROUND(K1859*L1859,2),0)),"")</f>
        <v/>
      </c>
      <c r="P1859" s="61" t="str">
        <f aca="false">IF(IsPro,IF($D1859="","",K1859+M1859+N1859+O1859),"")</f>
        <v/>
      </c>
      <c r="Q1859" s="60" t="str">
        <f aca="false">IF(IsPro,IF($D1859="","",IFERROR(MATCH($D1859,Items!$A$5:$A$504,0),"")),"")</f>
        <v/>
      </c>
      <c r="R1859" s="60" t="str">
        <f aca="false">IF(IsPro,IF($C1859="","",IFERROR(MATCH($C1859,Parties!$A$5:$A$304,0),"")),"")</f>
        <v/>
      </c>
      <c r="S1859" s="61" t="str">
        <f aca="false">IF(IsPro,IF($D1859="","",IF(OR($H1859="",$H1859="Credit"),0,P1859)),"")</f>
        <v/>
      </c>
    </row>
    <row r="1860" customFormat="false" ht="15" hidden="false" customHeight="false" outlineLevel="0" collapsed="false">
      <c r="A1860" s="55"/>
      <c r="B1860" s="56"/>
      <c r="C1860" s="56"/>
      <c r="D1860" s="56"/>
      <c r="E1860" s="57"/>
      <c r="F1860" s="58"/>
      <c r="G1860" s="59"/>
      <c r="H1860" s="56"/>
      <c r="I1860" s="60" t="str">
        <f aca="false">IF(IsPro,IF($D1860="","",IFERROR(INDEX(Items!$D$5:$D$504,Q1860),"")),IF($D1860="","","PRO PLAN"))</f>
        <v/>
      </c>
      <c r="J1860" s="61" t="str">
        <f aca="false">IF(IsPro,IF($D1860="","",IF($F1860="",IFERROR(INDEX(Items!$G$5:$G$504,Q1860),0),$F1860)),"")</f>
        <v/>
      </c>
      <c r="K1860" s="61" t="str">
        <f aca="false">IF(IsPro,IF($D1860="","",ROUND(N($E1860)*J1860*(1-N($G1860)),2)),"")</f>
        <v/>
      </c>
      <c r="L1860" s="62" t="str">
        <f aca="false">IF(IsPro,IF($D1860="","",IFERROR(INDEX(Items!$F$5:$F$504,Q1860),0)),"")</f>
        <v/>
      </c>
      <c r="M1860" s="61" t="str">
        <f aca="false">IF(IsPro,IF($D1860="","",IF(AND(R1860&lt;&gt;"",INDEX(Parties!$E$5:$E$304,R1860)&lt;&gt;"",INDEX(Parties!$E$5:$E$304,R1860)&lt;&gt;HomeState),0,ROUND(K1860*L1860/2,2))),"")</f>
        <v/>
      </c>
      <c r="N1860" s="61" t="str">
        <f aca="false">IF(IsPro,IF($D1860="","",M1860),"")</f>
        <v/>
      </c>
      <c r="O1860" s="61" t="str">
        <f aca="false">IF(IsPro,IF($D1860="","",IF(AND(R1860&lt;&gt;"",INDEX(Parties!$E$5:$E$304,R1860)&lt;&gt;"",INDEX(Parties!$E$5:$E$304,R1860)&lt;&gt;HomeState),ROUND(K1860*L1860,2),0)),"")</f>
        <v/>
      </c>
      <c r="P1860" s="61" t="str">
        <f aca="false">IF(IsPro,IF($D1860="","",K1860+M1860+N1860+O1860),"")</f>
        <v/>
      </c>
      <c r="Q1860" s="60" t="str">
        <f aca="false">IF(IsPro,IF($D1860="","",IFERROR(MATCH($D1860,Items!$A$5:$A$504,0),"")),"")</f>
        <v/>
      </c>
      <c r="R1860" s="60" t="str">
        <f aca="false">IF(IsPro,IF($C1860="","",IFERROR(MATCH($C1860,Parties!$A$5:$A$304,0),"")),"")</f>
        <v/>
      </c>
      <c r="S1860" s="61" t="str">
        <f aca="false">IF(IsPro,IF($D1860="","",IF(OR($H1860="",$H1860="Credit"),0,P1860)),"")</f>
        <v/>
      </c>
    </row>
    <row r="1861" customFormat="false" ht="15" hidden="false" customHeight="false" outlineLevel="0" collapsed="false">
      <c r="A1861" s="55"/>
      <c r="B1861" s="56"/>
      <c r="C1861" s="56"/>
      <c r="D1861" s="56"/>
      <c r="E1861" s="57"/>
      <c r="F1861" s="58"/>
      <c r="G1861" s="59"/>
      <c r="H1861" s="56"/>
      <c r="I1861" s="60" t="str">
        <f aca="false">IF(IsPro,IF($D1861="","",IFERROR(INDEX(Items!$D$5:$D$504,Q1861),"")),IF($D1861="","","PRO PLAN"))</f>
        <v/>
      </c>
      <c r="J1861" s="61" t="str">
        <f aca="false">IF(IsPro,IF($D1861="","",IF($F1861="",IFERROR(INDEX(Items!$G$5:$G$504,Q1861),0),$F1861)),"")</f>
        <v/>
      </c>
      <c r="K1861" s="61" t="str">
        <f aca="false">IF(IsPro,IF($D1861="","",ROUND(N($E1861)*J1861*(1-N($G1861)),2)),"")</f>
        <v/>
      </c>
      <c r="L1861" s="62" t="str">
        <f aca="false">IF(IsPro,IF($D1861="","",IFERROR(INDEX(Items!$F$5:$F$504,Q1861),0)),"")</f>
        <v/>
      </c>
      <c r="M1861" s="61" t="str">
        <f aca="false">IF(IsPro,IF($D1861="","",IF(AND(R1861&lt;&gt;"",INDEX(Parties!$E$5:$E$304,R1861)&lt;&gt;"",INDEX(Parties!$E$5:$E$304,R1861)&lt;&gt;HomeState),0,ROUND(K1861*L1861/2,2))),"")</f>
        <v/>
      </c>
      <c r="N1861" s="61" t="str">
        <f aca="false">IF(IsPro,IF($D1861="","",M1861),"")</f>
        <v/>
      </c>
      <c r="O1861" s="61" t="str">
        <f aca="false">IF(IsPro,IF($D1861="","",IF(AND(R1861&lt;&gt;"",INDEX(Parties!$E$5:$E$304,R1861)&lt;&gt;"",INDEX(Parties!$E$5:$E$304,R1861)&lt;&gt;HomeState),ROUND(K1861*L1861,2),0)),"")</f>
        <v/>
      </c>
      <c r="P1861" s="61" t="str">
        <f aca="false">IF(IsPro,IF($D1861="","",K1861+M1861+N1861+O1861),"")</f>
        <v/>
      </c>
      <c r="Q1861" s="60" t="str">
        <f aca="false">IF(IsPro,IF($D1861="","",IFERROR(MATCH($D1861,Items!$A$5:$A$504,0),"")),"")</f>
        <v/>
      </c>
      <c r="R1861" s="60" t="str">
        <f aca="false">IF(IsPro,IF($C1861="","",IFERROR(MATCH($C1861,Parties!$A$5:$A$304,0),"")),"")</f>
        <v/>
      </c>
      <c r="S1861" s="61" t="str">
        <f aca="false">IF(IsPro,IF($D1861="","",IF(OR($H1861="",$H1861="Credit"),0,P1861)),"")</f>
        <v/>
      </c>
    </row>
    <row r="1862" customFormat="false" ht="15" hidden="false" customHeight="false" outlineLevel="0" collapsed="false">
      <c r="A1862" s="55"/>
      <c r="B1862" s="56"/>
      <c r="C1862" s="56"/>
      <c r="D1862" s="56"/>
      <c r="E1862" s="57"/>
      <c r="F1862" s="58"/>
      <c r="G1862" s="59"/>
      <c r="H1862" s="56"/>
      <c r="I1862" s="60" t="str">
        <f aca="false">IF(IsPro,IF($D1862="","",IFERROR(INDEX(Items!$D$5:$D$504,Q1862),"")),IF($D1862="","","PRO PLAN"))</f>
        <v/>
      </c>
      <c r="J1862" s="61" t="str">
        <f aca="false">IF(IsPro,IF($D1862="","",IF($F1862="",IFERROR(INDEX(Items!$G$5:$G$504,Q1862),0),$F1862)),"")</f>
        <v/>
      </c>
      <c r="K1862" s="61" t="str">
        <f aca="false">IF(IsPro,IF($D1862="","",ROUND(N($E1862)*J1862*(1-N($G1862)),2)),"")</f>
        <v/>
      </c>
      <c r="L1862" s="62" t="str">
        <f aca="false">IF(IsPro,IF($D1862="","",IFERROR(INDEX(Items!$F$5:$F$504,Q1862),0)),"")</f>
        <v/>
      </c>
      <c r="M1862" s="61" t="str">
        <f aca="false">IF(IsPro,IF($D1862="","",IF(AND(R1862&lt;&gt;"",INDEX(Parties!$E$5:$E$304,R1862)&lt;&gt;"",INDEX(Parties!$E$5:$E$304,R1862)&lt;&gt;HomeState),0,ROUND(K1862*L1862/2,2))),"")</f>
        <v/>
      </c>
      <c r="N1862" s="61" t="str">
        <f aca="false">IF(IsPro,IF($D1862="","",M1862),"")</f>
        <v/>
      </c>
      <c r="O1862" s="61" t="str">
        <f aca="false">IF(IsPro,IF($D1862="","",IF(AND(R1862&lt;&gt;"",INDEX(Parties!$E$5:$E$304,R1862)&lt;&gt;"",INDEX(Parties!$E$5:$E$304,R1862)&lt;&gt;HomeState),ROUND(K1862*L1862,2),0)),"")</f>
        <v/>
      </c>
      <c r="P1862" s="61" t="str">
        <f aca="false">IF(IsPro,IF($D1862="","",K1862+M1862+N1862+O1862),"")</f>
        <v/>
      </c>
      <c r="Q1862" s="60" t="str">
        <f aca="false">IF(IsPro,IF($D1862="","",IFERROR(MATCH($D1862,Items!$A$5:$A$504,0),"")),"")</f>
        <v/>
      </c>
      <c r="R1862" s="60" t="str">
        <f aca="false">IF(IsPro,IF($C1862="","",IFERROR(MATCH($C1862,Parties!$A$5:$A$304,0),"")),"")</f>
        <v/>
      </c>
      <c r="S1862" s="61" t="str">
        <f aca="false">IF(IsPro,IF($D1862="","",IF(OR($H1862="",$H1862="Credit"),0,P1862)),"")</f>
        <v/>
      </c>
    </row>
    <row r="1863" customFormat="false" ht="15" hidden="false" customHeight="false" outlineLevel="0" collapsed="false">
      <c r="A1863" s="55"/>
      <c r="B1863" s="56"/>
      <c r="C1863" s="56"/>
      <c r="D1863" s="56"/>
      <c r="E1863" s="57"/>
      <c r="F1863" s="58"/>
      <c r="G1863" s="59"/>
      <c r="H1863" s="56"/>
      <c r="I1863" s="60" t="str">
        <f aca="false">IF(IsPro,IF($D1863="","",IFERROR(INDEX(Items!$D$5:$D$504,Q1863),"")),IF($D1863="","","PRO PLAN"))</f>
        <v/>
      </c>
      <c r="J1863" s="61" t="str">
        <f aca="false">IF(IsPro,IF($D1863="","",IF($F1863="",IFERROR(INDEX(Items!$G$5:$G$504,Q1863),0),$F1863)),"")</f>
        <v/>
      </c>
      <c r="K1863" s="61" t="str">
        <f aca="false">IF(IsPro,IF($D1863="","",ROUND(N($E1863)*J1863*(1-N($G1863)),2)),"")</f>
        <v/>
      </c>
      <c r="L1863" s="62" t="str">
        <f aca="false">IF(IsPro,IF($D1863="","",IFERROR(INDEX(Items!$F$5:$F$504,Q1863),0)),"")</f>
        <v/>
      </c>
      <c r="M1863" s="61" t="str">
        <f aca="false">IF(IsPro,IF($D1863="","",IF(AND(R1863&lt;&gt;"",INDEX(Parties!$E$5:$E$304,R1863)&lt;&gt;"",INDEX(Parties!$E$5:$E$304,R1863)&lt;&gt;HomeState),0,ROUND(K1863*L1863/2,2))),"")</f>
        <v/>
      </c>
      <c r="N1863" s="61" t="str">
        <f aca="false">IF(IsPro,IF($D1863="","",M1863),"")</f>
        <v/>
      </c>
      <c r="O1863" s="61" t="str">
        <f aca="false">IF(IsPro,IF($D1863="","",IF(AND(R1863&lt;&gt;"",INDEX(Parties!$E$5:$E$304,R1863)&lt;&gt;"",INDEX(Parties!$E$5:$E$304,R1863)&lt;&gt;HomeState),ROUND(K1863*L1863,2),0)),"")</f>
        <v/>
      </c>
      <c r="P1863" s="61" t="str">
        <f aca="false">IF(IsPro,IF($D1863="","",K1863+M1863+N1863+O1863),"")</f>
        <v/>
      </c>
      <c r="Q1863" s="60" t="str">
        <f aca="false">IF(IsPro,IF($D1863="","",IFERROR(MATCH($D1863,Items!$A$5:$A$504,0),"")),"")</f>
        <v/>
      </c>
      <c r="R1863" s="60" t="str">
        <f aca="false">IF(IsPro,IF($C1863="","",IFERROR(MATCH($C1863,Parties!$A$5:$A$304,0),"")),"")</f>
        <v/>
      </c>
      <c r="S1863" s="61" t="str">
        <f aca="false">IF(IsPro,IF($D1863="","",IF(OR($H1863="",$H1863="Credit"),0,P1863)),"")</f>
        <v/>
      </c>
    </row>
    <row r="1864" customFormat="false" ht="15" hidden="false" customHeight="false" outlineLevel="0" collapsed="false">
      <c r="A1864" s="55"/>
      <c r="B1864" s="56"/>
      <c r="C1864" s="56"/>
      <c r="D1864" s="56"/>
      <c r="E1864" s="57"/>
      <c r="F1864" s="58"/>
      <c r="G1864" s="59"/>
      <c r="H1864" s="56"/>
      <c r="I1864" s="60" t="str">
        <f aca="false">IF(IsPro,IF($D1864="","",IFERROR(INDEX(Items!$D$5:$D$504,Q1864),"")),IF($D1864="","","PRO PLAN"))</f>
        <v/>
      </c>
      <c r="J1864" s="61" t="str">
        <f aca="false">IF(IsPro,IF($D1864="","",IF($F1864="",IFERROR(INDEX(Items!$G$5:$G$504,Q1864),0),$F1864)),"")</f>
        <v/>
      </c>
      <c r="K1864" s="61" t="str">
        <f aca="false">IF(IsPro,IF($D1864="","",ROUND(N($E1864)*J1864*(1-N($G1864)),2)),"")</f>
        <v/>
      </c>
      <c r="L1864" s="62" t="str">
        <f aca="false">IF(IsPro,IF($D1864="","",IFERROR(INDEX(Items!$F$5:$F$504,Q1864),0)),"")</f>
        <v/>
      </c>
      <c r="M1864" s="61" t="str">
        <f aca="false">IF(IsPro,IF($D1864="","",IF(AND(R1864&lt;&gt;"",INDEX(Parties!$E$5:$E$304,R1864)&lt;&gt;"",INDEX(Parties!$E$5:$E$304,R1864)&lt;&gt;HomeState),0,ROUND(K1864*L1864/2,2))),"")</f>
        <v/>
      </c>
      <c r="N1864" s="61" t="str">
        <f aca="false">IF(IsPro,IF($D1864="","",M1864),"")</f>
        <v/>
      </c>
      <c r="O1864" s="61" t="str">
        <f aca="false">IF(IsPro,IF($D1864="","",IF(AND(R1864&lt;&gt;"",INDEX(Parties!$E$5:$E$304,R1864)&lt;&gt;"",INDEX(Parties!$E$5:$E$304,R1864)&lt;&gt;HomeState),ROUND(K1864*L1864,2),0)),"")</f>
        <v/>
      </c>
      <c r="P1864" s="61" t="str">
        <f aca="false">IF(IsPro,IF($D1864="","",K1864+M1864+N1864+O1864),"")</f>
        <v/>
      </c>
      <c r="Q1864" s="60" t="str">
        <f aca="false">IF(IsPro,IF($D1864="","",IFERROR(MATCH($D1864,Items!$A$5:$A$504,0),"")),"")</f>
        <v/>
      </c>
      <c r="R1864" s="60" t="str">
        <f aca="false">IF(IsPro,IF($C1864="","",IFERROR(MATCH($C1864,Parties!$A$5:$A$304,0),"")),"")</f>
        <v/>
      </c>
      <c r="S1864" s="61" t="str">
        <f aca="false">IF(IsPro,IF($D1864="","",IF(OR($H1864="",$H1864="Credit"),0,P1864)),"")</f>
        <v/>
      </c>
    </row>
    <row r="1865" customFormat="false" ht="15" hidden="false" customHeight="false" outlineLevel="0" collapsed="false">
      <c r="A1865" s="55"/>
      <c r="B1865" s="56"/>
      <c r="C1865" s="56"/>
      <c r="D1865" s="56"/>
      <c r="E1865" s="57"/>
      <c r="F1865" s="58"/>
      <c r="G1865" s="59"/>
      <c r="H1865" s="56"/>
      <c r="I1865" s="60" t="str">
        <f aca="false">IF(IsPro,IF($D1865="","",IFERROR(INDEX(Items!$D$5:$D$504,Q1865),"")),IF($D1865="","","PRO PLAN"))</f>
        <v/>
      </c>
      <c r="J1865" s="61" t="str">
        <f aca="false">IF(IsPro,IF($D1865="","",IF($F1865="",IFERROR(INDEX(Items!$G$5:$G$504,Q1865),0),$F1865)),"")</f>
        <v/>
      </c>
      <c r="K1865" s="61" t="str">
        <f aca="false">IF(IsPro,IF($D1865="","",ROUND(N($E1865)*J1865*(1-N($G1865)),2)),"")</f>
        <v/>
      </c>
      <c r="L1865" s="62" t="str">
        <f aca="false">IF(IsPro,IF($D1865="","",IFERROR(INDEX(Items!$F$5:$F$504,Q1865),0)),"")</f>
        <v/>
      </c>
      <c r="M1865" s="61" t="str">
        <f aca="false">IF(IsPro,IF($D1865="","",IF(AND(R1865&lt;&gt;"",INDEX(Parties!$E$5:$E$304,R1865)&lt;&gt;"",INDEX(Parties!$E$5:$E$304,R1865)&lt;&gt;HomeState),0,ROUND(K1865*L1865/2,2))),"")</f>
        <v/>
      </c>
      <c r="N1865" s="61" t="str">
        <f aca="false">IF(IsPro,IF($D1865="","",M1865),"")</f>
        <v/>
      </c>
      <c r="O1865" s="61" t="str">
        <f aca="false">IF(IsPro,IF($D1865="","",IF(AND(R1865&lt;&gt;"",INDEX(Parties!$E$5:$E$304,R1865)&lt;&gt;"",INDEX(Parties!$E$5:$E$304,R1865)&lt;&gt;HomeState),ROUND(K1865*L1865,2),0)),"")</f>
        <v/>
      </c>
      <c r="P1865" s="61" t="str">
        <f aca="false">IF(IsPro,IF($D1865="","",K1865+M1865+N1865+O1865),"")</f>
        <v/>
      </c>
      <c r="Q1865" s="60" t="str">
        <f aca="false">IF(IsPro,IF($D1865="","",IFERROR(MATCH($D1865,Items!$A$5:$A$504,0),"")),"")</f>
        <v/>
      </c>
      <c r="R1865" s="60" t="str">
        <f aca="false">IF(IsPro,IF($C1865="","",IFERROR(MATCH($C1865,Parties!$A$5:$A$304,0),"")),"")</f>
        <v/>
      </c>
      <c r="S1865" s="61" t="str">
        <f aca="false">IF(IsPro,IF($D1865="","",IF(OR($H1865="",$H1865="Credit"),0,P1865)),"")</f>
        <v/>
      </c>
    </row>
    <row r="1866" customFormat="false" ht="15" hidden="false" customHeight="false" outlineLevel="0" collapsed="false">
      <c r="A1866" s="55"/>
      <c r="B1866" s="56"/>
      <c r="C1866" s="56"/>
      <c r="D1866" s="56"/>
      <c r="E1866" s="57"/>
      <c r="F1866" s="58"/>
      <c r="G1866" s="59"/>
      <c r="H1866" s="56"/>
      <c r="I1866" s="60" t="str">
        <f aca="false">IF(IsPro,IF($D1866="","",IFERROR(INDEX(Items!$D$5:$D$504,Q1866),"")),IF($D1866="","","PRO PLAN"))</f>
        <v/>
      </c>
      <c r="J1866" s="61" t="str">
        <f aca="false">IF(IsPro,IF($D1866="","",IF($F1866="",IFERROR(INDEX(Items!$G$5:$G$504,Q1866),0),$F1866)),"")</f>
        <v/>
      </c>
      <c r="K1866" s="61" t="str">
        <f aca="false">IF(IsPro,IF($D1866="","",ROUND(N($E1866)*J1866*(1-N($G1866)),2)),"")</f>
        <v/>
      </c>
      <c r="L1866" s="62" t="str">
        <f aca="false">IF(IsPro,IF($D1866="","",IFERROR(INDEX(Items!$F$5:$F$504,Q1866),0)),"")</f>
        <v/>
      </c>
      <c r="M1866" s="61" t="str">
        <f aca="false">IF(IsPro,IF($D1866="","",IF(AND(R1866&lt;&gt;"",INDEX(Parties!$E$5:$E$304,R1866)&lt;&gt;"",INDEX(Parties!$E$5:$E$304,R1866)&lt;&gt;HomeState),0,ROUND(K1866*L1866/2,2))),"")</f>
        <v/>
      </c>
      <c r="N1866" s="61" t="str">
        <f aca="false">IF(IsPro,IF($D1866="","",M1866),"")</f>
        <v/>
      </c>
      <c r="O1866" s="61" t="str">
        <f aca="false">IF(IsPro,IF($D1866="","",IF(AND(R1866&lt;&gt;"",INDEX(Parties!$E$5:$E$304,R1866)&lt;&gt;"",INDEX(Parties!$E$5:$E$304,R1866)&lt;&gt;HomeState),ROUND(K1866*L1866,2),0)),"")</f>
        <v/>
      </c>
      <c r="P1866" s="61" t="str">
        <f aca="false">IF(IsPro,IF($D1866="","",K1866+M1866+N1866+O1866),"")</f>
        <v/>
      </c>
      <c r="Q1866" s="60" t="str">
        <f aca="false">IF(IsPro,IF($D1866="","",IFERROR(MATCH($D1866,Items!$A$5:$A$504,0),"")),"")</f>
        <v/>
      </c>
      <c r="R1866" s="60" t="str">
        <f aca="false">IF(IsPro,IF($C1866="","",IFERROR(MATCH($C1866,Parties!$A$5:$A$304,0),"")),"")</f>
        <v/>
      </c>
      <c r="S1866" s="61" t="str">
        <f aca="false">IF(IsPro,IF($D1866="","",IF(OR($H1866="",$H1866="Credit"),0,P1866)),"")</f>
        <v/>
      </c>
    </row>
    <row r="1867" customFormat="false" ht="15" hidden="false" customHeight="false" outlineLevel="0" collapsed="false">
      <c r="A1867" s="55"/>
      <c r="B1867" s="56"/>
      <c r="C1867" s="56"/>
      <c r="D1867" s="56"/>
      <c r="E1867" s="57"/>
      <c r="F1867" s="58"/>
      <c r="G1867" s="59"/>
      <c r="H1867" s="56"/>
      <c r="I1867" s="60" t="str">
        <f aca="false">IF(IsPro,IF($D1867="","",IFERROR(INDEX(Items!$D$5:$D$504,Q1867),"")),IF($D1867="","","PRO PLAN"))</f>
        <v/>
      </c>
      <c r="J1867" s="61" t="str">
        <f aca="false">IF(IsPro,IF($D1867="","",IF($F1867="",IFERROR(INDEX(Items!$G$5:$G$504,Q1867),0),$F1867)),"")</f>
        <v/>
      </c>
      <c r="K1867" s="61" t="str">
        <f aca="false">IF(IsPro,IF($D1867="","",ROUND(N($E1867)*J1867*(1-N($G1867)),2)),"")</f>
        <v/>
      </c>
      <c r="L1867" s="62" t="str">
        <f aca="false">IF(IsPro,IF($D1867="","",IFERROR(INDEX(Items!$F$5:$F$504,Q1867),0)),"")</f>
        <v/>
      </c>
      <c r="M1867" s="61" t="str">
        <f aca="false">IF(IsPro,IF($D1867="","",IF(AND(R1867&lt;&gt;"",INDEX(Parties!$E$5:$E$304,R1867)&lt;&gt;"",INDEX(Parties!$E$5:$E$304,R1867)&lt;&gt;HomeState),0,ROUND(K1867*L1867/2,2))),"")</f>
        <v/>
      </c>
      <c r="N1867" s="61" t="str">
        <f aca="false">IF(IsPro,IF($D1867="","",M1867),"")</f>
        <v/>
      </c>
      <c r="O1867" s="61" t="str">
        <f aca="false">IF(IsPro,IF($D1867="","",IF(AND(R1867&lt;&gt;"",INDEX(Parties!$E$5:$E$304,R1867)&lt;&gt;"",INDEX(Parties!$E$5:$E$304,R1867)&lt;&gt;HomeState),ROUND(K1867*L1867,2),0)),"")</f>
        <v/>
      </c>
      <c r="P1867" s="61" t="str">
        <f aca="false">IF(IsPro,IF($D1867="","",K1867+M1867+N1867+O1867),"")</f>
        <v/>
      </c>
      <c r="Q1867" s="60" t="str">
        <f aca="false">IF(IsPro,IF($D1867="","",IFERROR(MATCH($D1867,Items!$A$5:$A$504,0),"")),"")</f>
        <v/>
      </c>
      <c r="R1867" s="60" t="str">
        <f aca="false">IF(IsPro,IF($C1867="","",IFERROR(MATCH($C1867,Parties!$A$5:$A$304,0),"")),"")</f>
        <v/>
      </c>
      <c r="S1867" s="61" t="str">
        <f aca="false">IF(IsPro,IF($D1867="","",IF(OR($H1867="",$H1867="Credit"),0,P1867)),"")</f>
        <v/>
      </c>
    </row>
    <row r="1868" customFormat="false" ht="15" hidden="false" customHeight="false" outlineLevel="0" collapsed="false">
      <c r="A1868" s="55"/>
      <c r="B1868" s="56"/>
      <c r="C1868" s="56"/>
      <c r="D1868" s="56"/>
      <c r="E1868" s="57"/>
      <c r="F1868" s="58"/>
      <c r="G1868" s="59"/>
      <c r="H1868" s="56"/>
      <c r="I1868" s="60" t="str">
        <f aca="false">IF(IsPro,IF($D1868="","",IFERROR(INDEX(Items!$D$5:$D$504,Q1868),"")),IF($D1868="","","PRO PLAN"))</f>
        <v/>
      </c>
      <c r="J1868" s="61" t="str">
        <f aca="false">IF(IsPro,IF($D1868="","",IF($F1868="",IFERROR(INDEX(Items!$G$5:$G$504,Q1868),0),$F1868)),"")</f>
        <v/>
      </c>
      <c r="K1868" s="61" t="str">
        <f aca="false">IF(IsPro,IF($D1868="","",ROUND(N($E1868)*J1868*(1-N($G1868)),2)),"")</f>
        <v/>
      </c>
      <c r="L1868" s="62" t="str">
        <f aca="false">IF(IsPro,IF($D1868="","",IFERROR(INDEX(Items!$F$5:$F$504,Q1868),0)),"")</f>
        <v/>
      </c>
      <c r="M1868" s="61" t="str">
        <f aca="false">IF(IsPro,IF($D1868="","",IF(AND(R1868&lt;&gt;"",INDEX(Parties!$E$5:$E$304,R1868)&lt;&gt;"",INDEX(Parties!$E$5:$E$304,R1868)&lt;&gt;HomeState),0,ROUND(K1868*L1868/2,2))),"")</f>
        <v/>
      </c>
      <c r="N1868" s="61" t="str">
        <f aca="false">IF(IsPro,IF($D1868="","",M1868),"")</f>
        <v/>
      </c>
      <c r="O1868" s="61" t="str">
        <f aca="false">IF(IsPro,IF($D1868="","",IF(AND(R1868&lt;&gt;"",INDEX(Parties!$E$5:$E$304,R1868)&lt;&gt;"",INDEX(Parties!$E$5:$E$304,R1868)&lt;&gt;HomeState),ROUND(K1868*L1868,2),0)),"")</f>
        <v/>
      </c>
      <c r="P1868" s="61" t="str">
        <f aca="false">IF(IsPro,IF($D1868="","",K1868+M1868+N1868+O1868),"")</f>
        <v/>
      </c>
      <c r="Q1868" s="60" t="str">
        <f aca="false">IF(IsPro,IF($D1868="","",IFERROR(MATCH($D1868,Items!$A$5:$A$504,0),"")),"")</f>
        <v/>
      </c>
      <c r="R1868" s="60" t="str">
        <f aca="false">IF(IsPro,IF($C1868="","",IFERROR(MATCH($C1868,Parties!$A$5:$A$304,0),"")),"")</f>
        <v/>
      </c>
      <c r="S1868" s="61" t="str">
        <f aca="false">IF(IsPro,IF($D1868="","",IF(OR($H1868="",$H1868="Credit"),0,P1868)),"")</f>
        <v/>
      </c>
    </row>
    <row r="1869" customFormat="false" ht="15" hidden="false" customHeight="false" outlineLevel="0" collapsed="false">
      <c r="A1869" s="55"/>
      <c r="B1869" s="56"/>
      <c r="C1869" s="56"/>
      <c r="D1869" s="56"/>
      <c r="E1869" s="57"/>
      <c r="F1869" s="58"/>
      <c r="G1869" s="59"/>
      <c r="H1869" s="56"/>
      <c r="I1869" s="60" t="str">
        <f aca="false">IF(IsPro,IF($D1869="","",IFERROR(INDEX(Items!$D$5:$D$504,Q1869),"")),IF($D1869="","","PRO PLAN"))</f>
        <v/>
      </c>
      <c r="J1869" s="61" t="str">
        <f aca="false">IF(IsPro,IF($D1869="","",IF($F1869="",IFERROR(INDEX(Items!$G$5:$G$504,Q1869),0),$F1869)),"")</f>
        <v/>
      </c>
      <c r="K1869" s="61" t="str">
        <f aca="false">IF(IsPro,IF($D1869="","",ROUND(N($E1869)*J1869*(1-N($G1869)),2)),"")</f>
        <v/>
      </c>
      <c r="L1869" s="62" t="str">
        <f aca="false">IF(IsPro,IF($D1869="","",IFERROR(INDEX(Items!$F$5:$F$504,Q1869),0)),"")</f>
        <v/>
      </c>
      <c r="M1869" s="61" t="str">
        <f aca="false">IF(IsPro,IF($D1869="","",IF(AND(R1869&lt;&gt;"",INDEX(Parties!$E$5:$E$304,R1869)&lt;&gt;"",INDEX(Parties!$E$5:$E$304,R1869)&lt;&gt;HomeState),0,ROUND(K1869*L1869/2,2))),"")</f>
        <v/>
      </c>
      <c r="N1869" s="61" t="str">
        <f aca="false">IF(IsPro,IF($D1869="","",M1869),"")</f>
        <v/>
      </c>
      <c r="O1869" s="61" t="str">
        <f aca="false">IF(IsPro,IF($D1869="","",IF(AND(R1869&lt;&gt;"",INDEX(Parties!$E$5:$E$304,R1869)&lt;&gt;"",INDEX(Parties!$E$5:$E$304,R1869)&lt;&gt;HomeState),ROUND(K1869*L1869,2),0)),"")</f>
        <v/>
      </c>
      <c r="P1869" s="61" t="str">
        <f aca="false">IF(IsPro,IF($D1869="","",K1869+M1869+N1869+O1869),"")</f>
        <v/>
      </c>
      <c r="Q1869" s="60" t="str">
        <f aca="false">IF(IsPro,IF($D1869="","",IFERROR(MATCH($D1869,Items!$A$5:$A$504,0),"")),"")</f>
        <v/>
      </c>
      <c r="R1869" s="60" t="str">
        <f aca="false">IF(IsPro,IF($C1869="","",IFERROR(MATCH($C1869,Parties!$A$5:$A$304,0),"")),"")</f>
        <v/>
      </c>
      <c r="S1869" s="61" t="str">
        <f aca="false">IF(IsPro,IF($D1869="","",IF(OR($H1869="",$H1869="Credit"),0,P1869)),"")</f>
        <v/>
      </c>
    </row>
    <row r="1870" customFormat="false" ht="15" hidden="false" customHeight="false" outlineLevel="0" collapsed="false">
      <c r="A1870" s="55"/>
      <c r="B1870" s="56"/>
      <c r="C1870" s="56"/>
      <c r="D1870" s="56"/>
      <c r="E1870" s="57"/>
      <c r="F1870" s="58"/>
      <c r="G1870" s="59"/>
      <c r="H1870" s="56"/>
      <c r="I1870" s="60" t="str">
        <f aca="false">IF(IsPro,IF($D1870="","",IFERROR(INDEX(Items!$D$5:$D$504,Q1870),"")),IF($D1870="","","PRO PLAN"))</f>
        <v/>
      </c>
      <c r="J1870" s="61" t="str">
        <f aca="false">IF(IsPro,IF($D1870="","",IF($F1870="",IFERROR(INDEX(Items!$G$5:$G$504,Q1870),0),$F1870)),"")</f>
        <v/>
      </c>
      <c r="K1870" s="61" t="str">
        <f aca="false">IF(IsPro,IF($D1870="","",ROUND(N($E1870)*J1870*(1-N($G1870)),2)),"")</f>
        <v/>
      </c>
      <c r="L1870" s="62" t="str">
        <f aca="false">IF(IsPro,IF($D1870="","",IFERROR(INDEX(Items!$F$5:$F$504,Q1870),0)),"")</f>
        <v/>
      </c>
      <c r="M1870" s="61" t="str">
        <f aca="false">IF(IsPro,IF($D1870="","",IF(AND(R1870&lt;&gt;"",INDEX(Parties!$E$5:$E$304,R1870)&lt;&gt;"",INDEX(Parties!$E$5:$E$304,R1870)&lt;&gt;HomeState),0,ROUND(K1870*L1870/2,2))),"")</f>
        <v/>
      </c>
      <c r="N1870" s="61" t="str">
        <f aca="false">IF(IsPro,IF($D1870="","",M1870),"")</f>
        <v/>
      </c>
      <c r="O1870" s="61" t="str">
        <f aca="false">IF(IsPro,IF($D1870="","",IF(AND(R1870&lt;&gt;"",INDEX(Parties!$E$5:$E$304,R1870)&lt;&gt;"",INDEX(Parties!$E$5:$E$304,R1870)&lt;&gt;HomeState),ROUND(K1870*L1870,2),0)),"")</f>
        <v/>
      </c>
      <c r="P1870" s="61" t="str">
        <f aca="false">IF(IsPro,IF($D1870="","",K1870+M1870+N1870+O1870),"")</f>
        <v/>
      </c>
      <c r="Q1870" s="60" t="str">
        <f aca="false">IF(IsPro,IF($D1870="","",IFERROR(MATCH($D1870,Items!$A$5:$A$504,0),"")),"")</f>
        <v/>
      </c>
      <c r="R1870" s="60" t="str">
        <f aca="false">IF(IsPro,IF($C1870="","",IFERROR(MATCH($C1870,Parties!$A$5:$A$304,0),"")),"")</f>
        <v/>
      </c>
      <c r="S1870" s="61" t="str">
        <f aca="false">IF(IsPro,IF($D1870="","",IF(OR($H1870="",$H1870="Credit"),0,P1870)),"")</f>
        <v/>
      </c>
    </row>
    <row r="1871" customFormat="false" ht="15" hidden="false" customHeight="false" outlineLevel="0" collapsed="false">
      <c r="A1871" s="55"/>
      <c r="B1871" s="56"/>
      <c r="C1871" s="56"/>
      <c r="D1871" s="56"/>
      <c r="E1871" s="57"/>
      <c r="F1871" s="58"/>
      <c r="G1871" s="59"/>
      <c r="H1871" s="56"/>
      <c r="I1871" s="60" t="str">
        <f aca="false">IF(IsPro,IF($D1871="","",IFERROR(INDEX(Items!$D$5:$D$504,Q1871),"")),IF($D1871="","","PRO PLAN"))</f>
        <v/>
      </c>
      <c r="J1871" s="61" t="str">
        <f aca="false">IF(IsPro,IF($D1871="","",IF($F1871="",IFERROR(INDEX(Items!$G$5:$G$504,Q1871),0),$F1871)),"")</f>
        <v/>
      </c>
      <c r="K1871" s="61" t="str">
        <f aca="false">IF(IsPro,IF($D1871="","",ROUND(N($E1871)*J1871*(1-N($G1871)),2)),"")</f>
        <v/>
      </c>
      <c r="L1871" s="62" t="str">
        <f aca="false">IF(IsPro,IF($D1871="","",IFERROR(INDEX(Items!$F$5:$F$504,Q1871),0)),"")</f>
        <v/>
      </c>
      <c r="M1871" s="61" t="str">
        <f aca="false">IF(IsPro,IF($D1871="","",IF(AND(R1871&lt;&gt;"",INDEX(Parties!$E$5:$E$304,R1871)&lt;&gt;"",INDEX(Parties!$E$5:$E$304,R1871)&lt;&gt;HomeState),0,ROUND(K1871*L1871/2,2))),"")</f>
        <v/>
      </c>
      <c r="N1871" s="61" t="str">
        <f aca="false">IF(IsPro,IF($D1871="","",M1871),"")</f>
        <v/>
      </c>
      <c r="O1871" s="61" t="str">
        <f aca="false">IF(IsPro,IF($D1871="","",IF(AND(R1871&lt;&gt;"",INDEX(Parties!$E$5:$E$304,R1871)&lt;&gt;"",INDEX(Parties!$E$5:$E$304,R1871)&lt;&gt;HomeState),ROUND(K1871*L1871,2),0)),"")</f>
        <v/>
      </c>
      <c r="P1871" s="61" t="str">
        <f aca="false">IF(IsPro,IF($D1871="","",K1871+M1871+N1871+O1871),"")</f>
        <v/>
      </c>
      <c r="Q1871" s="60" t="str">
        <f aca="false">IF(IsPro,IF($D1871="","",IFERROR(MATCH($D1871,Items!$A$5:$A$504,0),"")),"")</f>
        <v/>
      </c>
      <c r="R1871" s="60" t="str">
        <f aca="false">IF(IsPro,IF($C1871="","",IFERROR(MATCH($C1871,Parties!$A$5:$A$304,0),"")),"")</f>
        <v/>
      </c>
      <c r="S1871" s="61" t="str">
        <f aca="false">IF(IsPro,IF($D1871="","",IF(OR($H1871="",$H1871="Credit"),0,P1871)),"")</f>
        <v/>
      </c>
    </row>
    <row r="1872" customFormat="false" ht="15" hidden="false" customHeight="false" outlineLevel="0" collapsed="false">
      <c r="A1872" s="55"/>
      <c r="B1872" s="56"/>
      <c r="C1872" s="56"/>
      <c r="D1872" s="56"/>
      <c r="E1872" s="57"/>
      <c r="F1872" s="58"/>
      <c r="G1872" s="59"/>
      <c r="H1872" s="56"/>
      <c r="I1872" s="60" t="str">
        <f aca="false">IF(IsPro,IF($D1872="","",IFERROR(INDEX(Items!$D$5:$D$504,Q1872),"")),IF($D1872="","","PRO PLAN"))</f>
        <v/>
      </c>
      <c r="J1872" s="61" t="str">
        <f aca="false">IF(IsPro,IF($D1872="","",IF($F1872="",IFERROR(INDEX(Items!$G$5:$G$504,Q1872),0),$F1872)),"")</f>
        <v/>
      </c>
      <c r="K1872" s="61" t="str">
        <f aca="false">IF(IsPro,IF($D1872="","",ROUND(N($E1872)*J1872*(1-N($G1872)),2)),"")</f>
        <v/>
      </c>
      <c r="L1872" s="62" t="str">
        <f aca="false">IF(IsPro,IF($D1872="","",IFERROR(INDEX(Items!$F$5:$F$504,Q1872),0)),"")</f>
        <v/>
      </c>
      <c r="M1872" s="61" t="str">
        <f aca="false">IF(IsPro,IF($D1872="","",IF(AND(R1872&lt;&gt;"",INDEX(Parties!$E$5:$E$304,R1872)&lt;&gt;"",INDEX(Parties!$E$5:$E$304,R1872)&lt;&gt;HomeState),0,ROUND(K1872*L1872/2,2))),"")</f>
        <v/>
      </c>
      <c r="N1872" s="61" t="str">
        <f aca="false">IF(IsPro,IF($D1872="","",M1872),"")</f>
        <v/>
      </c>
      <c r="O1872" s="61" t="str">
        <f aca="false">IF(IsPro,IF($D1872="","",IF(AND(R1872&lt;&gt;"",INDEX(Parties!$E$5:$E$304,R1872)&lt;&gt;"",INDEX(Parties!$E$5:$E$304,R1872)&lt;&gt;HomeState),ROUND(K1872*L1872,2),0)),"")</f>
        <v/>
      </c>
      <c r="P1872" s="61" t="str">
        <f aca="false">IF(IsPro,IF($D1872="","",K1872+M1872+N1872+O1872),"")</f>
        <v/>
      </c>
      <c r="Q1872" s="60" t="str">
        <f aca="false">IF(IsPro,IF($D1872="","",IFERROR(MATCH($D1872,Items!$A$5:$A$504,0),"")),"")</f>
        <v/>
      </c>
      <c r="R1872" s="60" t="str">
        <f aca="false">IF(IsPro,IF($C1872="","",IFERROR(MATCH($C1872,Parties!$A$5:$A$304,0),"")),"")</f>
        <v/>
      </c>
      <c r="S1872" s="61" t="str">
        <f aca="false">IF(IsPro,IF($D1872="","",IF(OR($H1872="",$H1872="Credit"),0,P1872)),"")</f>
        <v/>
      </c>
    </row>
    <row r="1873" customFormat="false" ht="15" hidden="false" customHeight="false" outlineLevel="0" collapsed="false">
      <c r="A1873" s="55"/>
      <c r="B1873" s="56"/>
      <c r="C1873" s="56"/>
      <c r="D1873" s="56"/>
      <c r="E1873" s="57"/>
      <c r="F1873" s="58"/>
      <c r="G1873" s="59"/>
      <c r="H1873" s="56"/>
      <c r="I1873" s="60" t="str">
        <f aca="false">IF(IsPro,IF($D1873="","",IFERROR(INDEX(Items!$D$5:$D$504,Q1873),"")),IF($D1873="","","PRO PLAN"))</f>
        <v/>
      </c>
      <c r="J1873" s="61" t="str">
        <f aca="false">IF(IsPro,IF($D1873="","",IF($F1873="",IFERROR(INDEX(Items!$G$5:$G$504,Q1873),0),$F1873)),"")</f>
        <v/>
      </c>
      <c r="K1873" s="61" t="str">
        <f aca="false">IF(IsPro,IF($D1873="","",ROUND(N($E1873)*J1873*(1-N($G1873)),2)),"")</f>
        <v/>
      </c>
      <c r="L1873" s="62" t="str">
        <f aca="false">IF(IsPro,IF($D1873="","",IFERROR(INDEX(Items!$F$5:$F$504,Q1873),0)),"")</f>
        <v/>
      </c>
      <c r="M1873" s="61" t="str">
        <f aca="false">IF(IsPro,IF($D1873="","",IF(AND(R1873&lt;&gt;"",INDEX(Parties!$E$5:$E$304,R1873)&lt;&gt;"",INDEX(Parties!$E$5:$E$304,R1873)&lt;&gt;HomeState),0,ROUND(K1873*L1873/2,2))),"")</f>
        <v/>
      </c>
      <c r="N1873" s="61" t="str">
        <f aca="false">IF(IsPro,IF($D1873="","",M1873),"")</f>
        <v/>
      </c>
      <c r="O1873" s="61" t="str">
        <f aca="false">IF(IsPro,IF($D1873="","",IF(AND(R1873&lt;&gt;"",INDEX(Parties!$E$5:$E$304,R1873)&lt;&gt;"",INDEX(Parties!$E$5:$E$304,R1873)&lt;&gt;HomeState),ROUND(K1873*L1873,2),0)),"")</f>
        <v/>
      </c>
      <c r="P1873" s="61" t="str">
        <f aca="false">IF(IsPro,IF($D1873="","",K1873+M1873+N1873+O1873),"")</f>
        <v/>
      </c>
      <c r="Q1873" s="60" t="str">
        <f aca="false">IF(IsPro,IF($D1873="","",IFERROR(MATCH($D1873,Items!$A$5:$A$504,0),"")),"")</f>
        <v/>
      </c>
      <c r="R1873" s="60" t="str">
        <f aca="false">IF(IsPro,IF($C1873="","",IFERROR(MATCH($C1873,Parties!$A$5:$A$304,0),"")),"")</f>
        <v/>
      </c>
      <c r="S1873" s="61" t="str">
        <f aca="false">IF(IsPro,IF($D1873="","",IF(OR($H1873="",$H1873="Credit"),0,P1873)),"")</f>
        <v/>
      </c>
    </row>
    <row r="1874" customFormat="false" ht="15" hidden="false" customHeight="false" outlineLevel="0" collapsed="false">
      <c r="A1874" s="55"/>
      <c r="B1874" s="56"/>
      <c r="C1874" s="56"/>
      <c r="D1874" s="56"/>
      <c r="E1874" s="57"/>
      <c r="F1874" s="58"/>
      <c r="G1874" s="59"/>
      <c r="H1874" s="56"/>
      <c r="I1874" s="60" t="str">
        <f aca="false">IF(IsPro,IF($D1874="","",IFERROR(INDEX(Items!$D$5:$D$504,Q1874),"")),IF($D1874="","","PRO PLAN"))</f>
        <v/>
      </c>
      <c r="J1874" s="61" t="str">
        <f aca="false">IF(IsPro,IF($D1874="","",IF($F1874="",IFERROR(INDEX(Items!$G$5:$G$504,Q1874),0),$F1874)),"")</f>
        <v/>
      </c>
      <c r="K1874" s="61" t="str">
        <f aca="false">IF(IsPro,IF($D1874="","",ROUND(N($E1874)*J1874*(1-N($G1874)),2)),"")</f>
        <v/>
      </c>
      <c r="L1874" s="62" t="str">
        <f aca="false">IF(IsPro,IF($D1874="","",IFERROR(INDEX(Items!$F$5:$F$504,Q1874),0)),"")</f>
        <v/>
      </c>
      <c r="M1874" s="61" t="str">
        <f aca="false">IF(IsPro,IF($D1874="","",IF(AND(R1874&lt;&gt;"",INDEX(Parties!$E$5:$E$304,R1874)&lt;&gt;"",INDEX(Parties!$E$5:$E$304,R1874)&lt;&gt;HomeState),0,ROUND(K1874*L1874/2,2))),"")</f>
        <v/>
      </c>
      <c r="N1874" s="61" t="str">
        <f aca="false">IF(IsPro,IF($D1874="","",M1874),"")</f>
        <v/>
      </c>
      <c r="O1874" s="61" t="str">
        <f aca="false">IF(IsPro,IF($D1874="","",IF(AND(R1874&lt;&gt;"",INDEX(Parties!$E$5:$E$304,R1874)&lt;&gt;"",INDEX(Parties!$E$5:$E$304,R1874)&lt;&gt;HomeState),ROUND(K1874*L1874,2),0)),"")</f>
        <v/>
      </c>
      <c r="P1874" s="61" t="str">
        <f aca="false">IF(IsPro,IF($D1874="","",K1874+M1874+N1874+O1874),"")</f>
        <v/>
      </c>
      <c r="Q1874" s="60" t="str">
        <f aca="false">IF(IsPro,IF($D1874="","",IFERROR(MATCH($D1874,Items!$A$5:$A$504,0),"")),"")</f>
        <v/>
      </c>
      <c r="R1874" s="60" t="str">
        <f aca="false">IF(IsPro,IF($C1874="","",IFERROR(MATCH($C1874,Parties!$A$5:$A$304,0),"")),"")</f>
        <v/>
      </c>
      <c r="S1874" s="61" t="str">
        <f aca="false">IF(IsPro,IF($D1874="","",IF(OR($H1874="",$H1874="Credit"),0,P1874)),"")</f>
        <v/>
      </c>
    </row>
    <row r="1875" customFormat="false" ht="15" hidden="false" customHeight="false" outlineLevel="0" collapsed="false">
      <c r="A1875" s="55"/>
      <c r="B1875" s="56"/>
      <c r="C1875" s="56"/>
      <c r="D1875" s="56"/>
      <c r="E1875" s="57"/>
      <c r="F1875" s="58"/>
      <c r="G1875" s="59"/>
      <c r="H1875" s="56"/>
      <c r="I1875" s="60" t="str">
        <f aca="false">IF(IsPro,IF($D1875="","",IFERROR(INDEX(Items!$D$5:$D$504,Q1875),"")),IF($D1875="","","PRO PLAN"))</f>
        <v/>
      </c>
      <c r="J1875" s="61" t="str">
        <f aca="false">IF(IsPro,IF($D1875="","",IF($F1875="",IFERROR(INDEX(Items!$G$5:$G$504,Q1875),0),$F1875)),"")</f>
        <v/>
      </c>
      <c r="K1875" s="61" t="str">
        <f aca="false">IF(IsPro,IF($D1875="","",ROUND(N($E1875)*J1875*(1-N($G1875)),2)),"")</f>
        <v/>
      </c>
      <c r="L1875" s="62" t="str">
        <f aca="false">IF(IsPro,IF($D1875="","",IFERROR(INDEX(Items!$F$5:$F$504,Q1875),0)),"")</f>
        <v/>
      </c>
      <c r="M1875" s="61" t="str">
        <f aca="false">IF(IsPro,IF($D1875="","",IF(AND(R1875&lt;&gt;"",INDEX(Parties!$E$5:$E$304,R1875)&lt;&gt;"",INDEX(Parties!$E$5:$E$304,R1875)&lt;&gt;HomeState),0,ROUND(K1875*L1875/2,2))),"")</f>
        <v/>
      </c>
      <c r="N1875" s="61" t="str">
        <f aca="false">IF(IsPro,IF($D1875="","",M1875),"")</f>
        <v/>
      </c>
      <c r="O1875" s="61" t="str">
        <f aca="false">IF(IsPro,IF($D1875="","",IF(AND(R1875&lt;&gt;"",INDEX(Parties!$E$5:$E$304,R1875)&lt;&gt;"",INDEX(Parties!$E$5:$E$304,R1875)&lt;&gt;HomeState),ROUND(K1875*L1875,2),0)),"")</f>
        <v/>
      </c>
      <c r="P1875" s="61" t="str">
        <f aca="false">IF(IsPro,IF($D1875="","",K1875+M1875+N1875+O1875),"")</f>
        <v/>
      </c>
      <c r="Q1875" s="60" t="str">
        <f aca="false">IF(IsPro,IF($D1875="","",IFERROR(MATCH($D1875,Items!$A$5:$A$504,0),"")),"")</f>
        <v/>
      </c>
      <c r="R1875" s="60" t="str">
        <f aca="false">IF(IsPro,IF($C1875="","",IFERROR(MATCH($C1875,Parties!$A$5:$A$304,0),"")),"")</f>
        <v/>
      </c>
      <c r="S1875" s="61" t="str">
        <f aca="false">IF(IsPro,IF($D1875="","",IF(OR($H1875="",$H1875="Credit"),0,P1875)),"")</f>
        <v/>
      </c>
    </row>
    <row r="1876" customFormat="false" ht="15" hidden="false" customHeight="false" outlineLevel="0" collapsed="false">
      <c r="A1876" s="55"/>
      <c r="B1876" s="56"/>
      <c r="C1876" s="56"/>
      <c r="D1876" s="56"/>
      <c r="E1876" s="57"/>
      <c r="F1876" s="58"/>
      <c r="G1876" s="59"/>
      <c r="H1876" s="56"/>
      <c r="I1876" s="60" t="str">
        <f aca="false">IF(IsPro,IF($D1876="","",IFERROR(INDEX(Items!$D$5:$D$504,Q1876),"")),IF($D1876="","","PRO PLAN"))</f>
        <v/>
      </c>
      <c r="J1876" s="61" t="str">
        <f aca="false">IF(IsPro,IF($D1876="","",IF($F1876="",IFERROR(INDEX(Items!$G$5:$G$504,Q1876),0),$F1876)),"")</f>
        <v/>
      </c>
      <c r="K1876" s="61" t="str">
        <f aca="false">IF(IsPro,IF($D1876="","",ROUND(N($E1876)*J1876*(1-N($G1876)),2)),"")</f>
        <v/>
      </c>
      <c r="L1876" s="62" t="str">
        <f aca="false">IF(IsPro,IF($D1876="","",IFERROR(INDEX(Items!$F$5:$F$504,Q1876),0)),"")</f>
        <v/>
      </c>
      <c r="M1876" s="61" t="str">
        <f aca="false">IF(IsPro,IF($D1876="","",IF(AND(R1876&lt;&gt;"",INDEX(Parties!$E$5:$E$304,R1876)&lt;&gt;"",INDEX(Parties!$E$5:$E$304,R1876)&lt;&gt;HomeState),0,ROUND(K1876*L1876/2,2))),"")</f>
        <v/>
      </c>
      <c r="N1876" s="61" t="str">
        <f aca="false">IF(IsPro,IF($D1876="","",M1876),"")</f>
        <v/>
      </c>
      <c r="O1876" s="61" t="str">
        <f aca="false">IF(IsPro,IF($D1876="","",IF(AND(R1876&lt;&gt;"",INDEX(Parties!$E$5:$E$304,R1876)&lt;&gt;"",INDEX(Parties!$E$5:$E$304,R1876)&lt;&gt;HomeState),ROUND(K1876*L1876,2),0)),"")</f>
        <v/>
      </c>
      <c r="P1876" s="61" t="str">
        <f aca="false">IF(IsPro,IF($D1876="","",K1876+M1876+N1876+O1876),"")</f>
        <v/>
      </c>
      <c r="Q1876" s="60" t="str">
        <f aca="false">IF(IsPro,IF($D1876="","",IFERROR(MATCH($D1876,Items!$A$5:$A$504,0),"")),"")</f>
        <v/>
      </c>
      <c r="R1876" s="60" t="str">
        <f aca="false">IF(IsPro,IF($C1876="","",IFERROR(MATCH($C1876,Parties!$A$5:$A$304,0),"")),"")</f>
        <v/>
      </c>
      <c r="S1876" s="61" t="str">
        <f aca="false">IF(IsPro,IF($D1876="","",IF(OR($H1876="",$H1876="Credit"),0,P1876)),"")</f>
        <v/>
      </c>
    </row>
    <row r="1877" customFormat="false" ht="15" hidden="false" customHeight="false" outlineLevel="0" collapsed="false">
      <c r="A1877" s="55"/>
      <c r="B1877" s="56"/>
      <c r="C1877" s="56"/>
      <c r="D1877" s="56"/>
      <c r="E1877" s="57"/>
      <c r="F1877" s="58"/>
      <c r="G1877" s="59"/>
      <c r="H1877" s="56"/>
      <c r="I1877" s="60" t="str">
        <f aca="false">IF(IsPro,IF($D1877="","",IFERROR(INDEX(Items!$D$5:$D$504,Q1877),"")),IF($D1877="","","PRO PLAN"))</f>
        <v/>
      </c>
      <c r="J1877" s="61" t="str">
        <f aca="false">IF(IsPro,IF($D1877="","",IF($F1877="",IFERROR(INDEX(Items!$G$5:$G$504,Q1877),0),$F1877)),"")</f>
        <v/>
      </c>
      <c r="K1877" s="61" t="str">
        <f aca="false">IF(IsPro,IF($D1877="","",ROUND(N($E1877)*J1877*(1-N($G1877)),2)),"")</f>
        <v/>
      </c>
      <c r="L1877" s="62" t="str">
        <f aca="false">IF(IsPro,IF($D1877="","",IFERROR(INDEX(Items!$F$5:$F$504,Q1877),0)),"")</f>
        <v/>
      </c>
      <c r="M1877" s="61" t="str">
        <f aca="false">IF(IsPro,IF($D1877="","",IF(AND(R1877&lt;&gt;"",INDEX(Parties!$E$5:$E$304,R1877)&lt;&gt;"",INDEX(Parties!$E$5:$E$304,R1877)&lt;&gt;HomeState),0,ROUND(K1877*L1877/2,2))),"")</f>
        <v/>
      </c>
      <c r="N1877" s="61" t="str">
        <f aca="false">IF(IsPro,IF($D1877="","",M1877),"")</f>
        <v/>
      </c>
      <c r="O1877" s="61" t="str">
        <f aca="false">IF(IsPro,IF($D1877="","",IF(AND(R1877&lt;&gt;"",INDEX(Parties!$E$5:$E$304,R1877)&lt;&gt;"",INDEX(Parties!$E$5:$E$304,R1877)&lt;&gt;HomeState),ROUND(K1877*L1877,2),0)),"")</f>
        <v/>
      </c>
      <c r="P1877" s="61" t="str">
        <f aca="false">IF(IsPro,IF($D1877="","",K1877+M1877+N1877+O1877),"")</f>
        <v/>
      </c>
      <c r="Q1877" s="60" t="str">
        <f aca="false">IF(IsPro,IF($D1877="","",IFERROR(MATCH($D1877,Items!$A$5:$A$504,0),"")),"")</f>
        <v/>
      </c>
      <c r="R1877" s="60" t="str">
        <f aca="false">IF(IsPro,IF($C1877="","",IFERROR(MATCH($C1877,Parties!$A$5:$A$304,0),"")),"")</f>
        <v/>
      </c>
      <c r="S1877" s="61" t="str">
        <f aca="false">IF(IsPro,IF($D1877="","",IF(OR($H1877="",$H1877="Credit"),0,P1877)),"")</f>
        <v/>
      </c>
    </row>
    <row r="1878" customFormat="false" ht="15" hidden="false" customHeight="false" outlineLevel="0" collapsed="false">
      <c r="A1878" s="55"/>
      <c r="B1878" s="56"/>
      <c r="C1878" s="56"/>
      <c r="D1878" s="56"/>
      <c r="E1878" s="57"/>
      <c r="F1878" s="58"/>
      <c r="G1878" s="59"/>
      <c r="H1878" s="56"/>
      <c r="I1878" s="60" t="str">
        <f aca="false">IF(IsPro,IF($D1878="","",IFERROR(INDEX(Items!$D$5:$D$504,Q1878),"")),IF($D1878="","","PRO PLAN"))</f>
        <v/>
      </c>
      <c r="J1878" s="61" t="str">
        <f aca="false">IF(IsPro,IF($D1878="","",IF($F1878="",IFERROR(INDEX(Items!$G$5:$G$504,Q1878),0),$F1878)),"")</f>
        <v/>
      </c>
      <c r="K1878" s="61" t="str">
        <f aca="false">IF(IsPro,IF($D1878="","",ROUND(N($E1878)*J1878*(1-N($G1878)),2)),"")</f>
        <v/>
      </c>
      <c r="L1878" s="62" t="str">
        <f aca="false">IF(IsPro,IF($D1878="","",IFERROR(INDEX(Items!$F$5:$F$504,Q1878),0)),"")</f>
        <v/>
      </c>
      <c r="M1878" s="61" t="str">
        <f aca="false">IF(IsPro,IF($D1878="","",IF(AND(R1878&lt;&gt;"",INDEX(Parties!$E$5:$E$304,R1878)&lt;&gt;"",INDEX(Parties!$E$5:$E$304,R1878)&lt;&gt;HomeState),0,ROUND(K1878*L1878/2,2))),"")</f>
        <v/>
      </c>
      <c r="N1878" s="61" t="str">
        <f aca="false">IF(IsPro,IF($D1878="","",M1878),"")</f>
        <v/>
      </c>
      <c r="O1878" s="61" t="str">
        <f aca="false">IF(IsPro,IF($D1878="","",IF(AND(R1878&lt;&gt;"",INDEX(Parties!$E$5:$E$304,R1878)&lt;&gt;"",INDEX(Parties!$E$5:$E$304,R1878)&lt;&gt;HomeState),ROUND(K1878*L1878,2),0)),"")</f>
        <v/>
      </c>
      <c r="P1878" s="61" t="str">
        <f aca="false">IF(IsPro,IF($D1878="","",K1878+M1878+N1878+O1878),"")</f>
        <v/>
      </c>
      <c r="Q1878" s="60" t="str">
        <f aca="false">IF(IsPro,IF($D1878="","",IFERROR(MATCH($D1878,Items!$A$5:$A$504,0),"")),"")</f>
        <v/>
      </c>
      <c r="R1878" s="60" t="str">
        <f aca="false">IF(IsPro,IF($C1878="","",IFERROR(MATCH($C1878,Parties!$A$5:$A$304,0),"")),"")</f>
        <v/>
      </c>
      <c r="S1878" s="61" t="str">
        <f aca="false">IF(IsPro,IF($D1878="","",IF(OR($H1878="",$H1878="Credit"),0,P1878)),"")</f>
        <v/>
      </c>
    </row>
    <row r="1879" customFormat="false" ht="15" hidden="false" customHeight="false" outlineLevel="0" collapsed="false">
      <c r="A1879" s="55"/>
      <c r="B1879" s="56"/>
      <c r="C1879" s="56"/>
      <c r="D1879" s="56"/>
      <c r="E1879" s="57"/>
      <c r="F1879" s="58"/>
      <c r="G1879" s="59"/>
      <c r="H1879" s="56"/>
      <c r="I1879" s="60" t="str">
        <f aca="false">IF(IsPro,IF($D1879="","",IFERROR(INDEX(Items!$D$5:$D$504,Q1879),"")),IF($D1879="","","PRO PLAN"))</f>
        <v/>
      </c>
      <c r="J1879" s="61" t="str">
        <f aca="false">IF(IsPro,IF($D1879="","",IF($F1879="",IFERROR(INDEX(Items!$G$5:$G$504,Q1879),0),$F1879)),"")</f>
        <v/>
      </c>
      <c r="K1879" s="61" t="str">
        <f aca="false">IF(IsPro,IF($D1879="","",ROUND(N($E1879)*J1879*(1-N($G1879)),2)),"")</f>
        <v/>
      </c>
      <c r="L1879" s="62" t="str">
        <f aca="false">IF(IsPro,IF($D1879="","",IFERROR(INDEX(Items!$F$5:$F$504,Q1879),0)),"")</f>
        <v/>
      </c>
      <c r="M1879" s="61" t="str">
        <f aca="false">IF(IsPro,IF($D1879="","",IF(AND(R1879&lt;&gt;"",INDEX(Parties!$E$5:$E$304,R1879)&lt;&gt;"",INDEX(Parties!$E$5:$E$304,R1879)&lt;&gt;HomeState),0,ROUND(K1879*L1879/2,2))),"")</f>
        <v/>
      </c>
      <c r="N1879" s="61" t="str">
        <f aca="false">IF(IsPro,IF($D1879="","",M1879),"")</f>
        <v/>
      </c>
      <c r="O1879" s="61" t="str">
        <f aca="false">IF(IsPro,IF($D1879="","",IF(AND(R1879&lt;&gt;"",INDEX(Parties!$E$5:$E$304,R1879)&lt;&gt;"",INDEX(Parties!$E$5:$E$304,R1879)&lt;&gt;HomeState),ROUND(K1879*L1879,2),0)),"")</f>
        <v/>
      </c>
      <c r="P1879" s="61" t="str">
        <f aca="false">IF(IsPro,IF($D1879="","",K1879+M1879+N1879+O1879),"")</f>
        <v/>
      </c>
      <c r="Q1879" s="60" t="str">
        <f aca="false">IF(IsPro,IF($D1879="","",IFERROR(MATCH($D1879,Items!$A$5:$A$504,0),"")),"")</f>
        <v/>
      </c>
      <c r="R1879" s="60" t="str">
        <f aca="false">IF(IsPro,IF($C1879="","",IFERROR(MATCH($C1879,Parties!$A$5:$A$304,0),"")),"")</f>
        <v/>
      </c>
      <c r="S1879" s="61" t="str">
        <f aca="false">IF(IsPro,IF($D1879="","",IF(OR($H1879="",$H1879="Credit"),0,P1879)),"")</f>
        <v/>
      </c>
    </row>
    <row r="1880" customFormat="false" ht="15" hidden="false" customHeight="false" outlineLevel="0" collapsed="false">
      <c r="A1880" s="55"/>
      <c r="B1880" s="56"/>
      <c r="C1880" s="56"/>
      <c r="D1880" s="56"/>
      <c r="E1880" s="57"/>
      <c r="F1880" s="58"/>
      <c r="G1880" s="59"/>
      <c r="H1880" s="56"/>
      <c r="I1880" s="60" t="str">
        <f aca="false">IF(IsPro,IF($D1880="","",IFERROR(INDEX(Items!$D$5:$D$504,Q1880),"")),IF($D1880="","","PRO PLAN"))</f>
        <v/>
      </c>
      <c r="J1880" s="61" t="str">
        <f aca="false">IF(IsPro,IF($D1880="","",IF($F1880="",IFERROR(INDEX(Items!$G$5:$G$504,Q1880),0),$F1880)),"")</f>
        <v/>
      </c>
      <c r="K1880" s="61" t="str">
        <f aca="false">IF(IsPro,IF($D1880="","",ROUND(N($E1880)*J1880*(1-N($G1880)),2)),"")</f>
        <v/>
      </c>
      <c r="L1880" s="62" t="str">
        <f aca="false">IF(IsPro,IF($D1880="","",IFERROR(INDEX(Items!$F$5:$F$504,Q1880),0)),"")</f>
        <v/>
      </c>
      <c r="M1880" s="61" t="str">
        <f aca="false">IF(IsPro,IF($D1880="","",IF(AND(R1880&lt;&gt;"",INDEX(Parties!$E$5:$E$304,R1880)&lt;&gt;"",INDEX(Parties!$E$5:$E$304,R1880)&lt;&gt;HomeState),0,ROUND(K1880*L1880/2,2))),"")</f>
        <v/>
      </c>
      <c r="N1880" s="61" t="str">
        <f aca="false">IF(IsPro,IF($D1880="","",M1880),"")</f>
        <v/>
      </c>
      <c r="O1880" s="61" t="str">
        <f aca="false">IF(IsPro,IF($D1880="","",IF(AND(R1880&lt;&gt;"",INDEX(Parties!$E$5:$E$304,R1880)&lt;&gt;"",INDEX(Parties!$E$5:$E$304,R1880)&lt;&gt;HomeState),ROUND(K1880*L1880,2),0)),"")</f>
        <v/>
      </c>
      <c r="P1880" s="61" t="str">
        <f aca="false">IF(IsPro,IF($D1880="","",K1880+M1880+N1880+O1880),"")</f>
        <v/>
      </c>
      <c r="Q1880" s="60" t="str">
        <f aca="false">IF(IsPro,IF($D1880="","",IFERROR(MATCH($D1880,Items!$A$5:$A$504,0),"")),"")</f>
        <v/>
      </c>
      <c r="R1880" s="60" t="str">
        <f aca="false">IF(IsPro,IF($C1880="","",IFERROR(MATCH($C1880,Parties!$A$5:$A$304,0),"")),"")</f>
        <v/>
      </c>
      <c r="S1880" s="61" t="str">
        <f aca="false">IF(IsPro,IF($D1880="","",IF(OR($H1880="",$H1880="Credit"),0,P1880)),"")</f>
        <v/>
      </c>
    </row>
    <row r="1881" customFormat="false" ht="15" hidden="false" customHeight="false" outlineLevel="0" collapsed="false">
      <c r="A1881" s="55"/>
      <c r="B1881" s="56"/>
      <c r="C1881" s="56"/>
      <c r="D1881" s="56"/>
      <c r="E1881" s="57"/>
      <c r="F1881" s="58"/>
      <c r="G1881" s="59"/>
      <c r="H1881" s="56"/>
      <c r="I1881" s="60" t="str">
        <f aca="false">IF(IsPro,IF($D1881="","",IFERROR(INDEX(Items!$D$5:$D$504,Q1881),"")),IF($D1881="","","PRO PLAN"))</f>
        <v/>
      </c>
      <c r="J1881" s="61" t="str">
        <f aca="false">IF(IsPro,IF($D1881="","",IF($F1881="",IFERROR(INDEX(Items!$G$5:$G$504,Q1881),0),$F1881)),"")</f>
        <v/>
      </c>
      <c r="K1881" s="61" t="str">
        <f aca="false">IF(IsPro,IF($D1881="","",ROUND(N($E1881)*J1881*(1-N($G1881)),2)),"")</f>
        <v/>
      </c>
      <c r="L1881" s="62" t="str">
        <f aca="false">IF(IsPro,IF($D1881="","",IFERROR(INDEX(Items!$F$5:$F$504,Q1881),0)),"")</f>
        <v/>
      </c>
      <c r="M1881" s="61" t="str">
        <f aca="false">IF(IsPro,IF($D1881="","",IF(AND(R1881&lt;&gt;"",INDEX(Parties!$E$5:$E$304,R1881)&lt;&gt;"",INDEX(Parties!$E$5:$E$304,R1881)&lt;&gt;HomeState),0,ROUND(K1881*L1881/2,2))),"")</f>
        <v/>
      </c>
      <c r="N1881" s="61" t="str">
        <f aca="false">IF(IsPro,IF($D1881="","",M1881),"")</f>
        <v/>
      </c>
      <c r="O1881" s="61" t="str">
        <f aca="false">IF(IsPro,IF($D1881="","",IF(AND(R1881&lt;&gt;"",INDEX(Parties!$E$5:$E$304,R1881)&lt;&gt;"",INDEX(Parties!$E$5:$E$304,R1881)&lt;&gt;HomeState),ROUND(K1881*L1881,2),0)),"")</f>
        <v/>
      </c>
      <c r="P1881" s="61" t="str">
        <f aca="false">IF(IsPro,IF($D1881="","",K1881+M1881+N1881+O1881),"")</f>
        <v/>
      </c>
      <c r="Q1881" s="60" t="str">
        <f aca="false">IF(IsPro,IF($D1881="","",IFERROR(MATCH($D1881,Items!$A$5:$A$504,0),"")),"")</f>
        <v/>
      </c>
      <c r="R1881" s="60" t="str">
        <f aca="false">IF(IsPro,IF($C1881="","",IFERROR(MATCH($C1881,Parties!$A$5:$A$304,0),"")),"")</f>
        <v/>
      </c>
      <c r="S1881" s="61" t="str">
        <f aca="false">IF(IsPro,IF($D1881="","",IF(OR($H1881="",$H1881="Credit"),0,P1881)),"")</f>
        <v/>
      </c>
    </row>
    <row r="1882" customFormat="false" ht="15" hidden="false" customHeight="false" outlineLevel="0" collapsed="false">
      <c r="A1882" s="55"/>
      <c r="B1882" s="56"/>
      <c r="C1882" s="56"/>
      <c r="D1882" s="56"/>
      <c r="E1882" s="57"/>
      <c r="F1882" s="58"/>
      <c r="G1882" s="59"/>
      <c r="H1882" s="56"/>
      <c r="I1882" s="60" t="str">
        <f aca="false">IF(IsPro,IF($D1882="","",IFERROR(INDEX(Items!$D$5:$D$504,Q1882),"")),IF($D1882="","","PRO PLAN"))</f>
        <v/>
      </c>
      <c r="J1882" s="61" t="str">
        <f aca="false">IF(IsPro,IF($D1882="","",IF($F1882="",IFERROR(INDEX(Items!$G$5:$G$504,Q1882),0),$F1882)),"")</f>
        <v/>
      </c>
      <c r="K1882" s="61" t="str">
        <f aca="false">IF(IsPro,IF($D1882="","",ROUND(N($E1882)*J1882*(1-N($G1882)),2)),"")</f>
        <v/>
      </c>
      <c r="L1882" s="62" t="str">
        <f aca="false">IF(IsPro,IF($D1882="","",IFERROR(INDEX(Items!$F$5:$F$504,Q1882),0)),"")</f>
        <v/>
      </c>
      <c r="M1882" s="61" t="str">
        <f aca="false">IF(IsPro,IF($D1882="","",IF(AND(R1882&lt;&gt;"",INDEX(Parties!$E$5:$E$304,R1882)&lt;&gt;"",INDEX(Parties!$E$5:$E$304,R1882)&lt;&gt;HomeState),0,ROUND(K1882*L1882/2,2))),"")</f>
        <v/>
      </c>
      <c r="N1882" s="61" t="str">
        <f aca="false">IF(IsPro,IF($D1882="","",M1882),"")</f>
        <v/>
      </c>
      <c r="O1882" s="61" t="str">
        <f aca="false">IF(IsPro,IF($D1882="","",IF(AND(R1882&lt;&gt;"",INDEX(Parties!$E$5:$E$304,R1882)&lt;&gt;"",INDEX(Parties!$E$5:$E$304,R1882)&lt;&gt;HomeState),ROUND(K1882*L1882,2),0)),"")</f>
        <v/>
      </c>
      <c r="P1882" s="61" t="str">
        <f aca="false">IF(IsPro,IF($D1882="","",K1882+M1882+N1882+O1882),"")</f>
        <v/>
      </c>
      <c r="Q1882" s="60" t="str">
        <f aca="false">IF(IsPro,IF($D1882="","",IFERROR(MATCH($D1882,Items!$A$5:$A$504,0),"")),"")</f>
        <v/>
      </c>
      <c r="R1882" s="60" t="str">
        <f aca="false">IF(IsPro,IF($C1882="","",IFERROR(MATCH($C1882,Parties!$A$5:$A$304,0),"")),"")</f>
        <v/>
      </c>
      <c r="S1882" s="61" t="str">
        <f aca="false">IF(IsPro,IF($D1882="","",IF(OR($H1882="",$H1882="Credit"),0,P1882)),"")</f>
        <v/>
      </c>
    </row>
    <row r="1883" customFormat="false" ht="15" hidden="false" customHeight="false" outlineLevel="0" collapsed="false">
      <c r="A1883" s="55"/>
      <c r="B1883" s="56"/>
      <c r="C1883" s="56"/>
      <c r="D1883" s="56"/>
      <c r="E1883" s="57"/>
      <c r="F1883" s="58"/>
      <c r="G1883" s="59"/>
      <c r="H1883" s="56"/>
      <c r="I1883" s="60" t="str">
        <f aca="false">IF(IsPro,IF($D1883="","",IFERROR(INDEX(Items!$D$5:$D$504,Q1883),"")),IF($D1883="","","PRO PLAN"))</f>
        <v/>
      </c>
      <c r="J1883" s="61" t="str">
        <f aca="false">IF(IsPro,IF($D1883="","",IF($F1883="",IFERROR(INDEX(Items!$G$5:$G$504,Q1883),0),$F1883)),"")</f>
        <v/>
      </c>
      <c r="K1883" s="61" t="str">
        <f aca="false">IF(IsPro,IF($D1883="","",ROUND(N($E1883)*J1883*(1-N($G1883)),2)),"")</f>
        <v/>
      </c>
      <c r="L1883" s="62" t="str">
        <f aca="false">IF(IsPro,IF($D1883="","",IFERROR(INDEX(Items!$F$5:$F$504,Q1883),0)),"")</f>
        <v/>
      </c>
      <c r="M1883" s="61" t="str">
        <f aca="false">IF(IsPro,IF($D1883="","",IF(AND(R1883&lt;&gt;"",INDEX(Parties!$E$5:$E$304,R1883)&lt;&gt;"",INDEX(Parties!$E$5:$E$304,R1883)&lt;&gt;HomeState),0,ROUND(K1883*L1883/2,2))),"")</f>
        <v/>
      </c>
      <c r="N1883" s="61" t="str">
        <f aca="false">IF(IsPro,IF($D1883="","",M1883),"")</f>
        <v/>
      </c>
      <c r="O1883" s="61" t="str">
        <f aca="false">IF(IsPro,IF($D1883="","",IF(AND(R1883&lt;&gt;"",INDEX(Parties!$E$5:$E$304,R1883)&lt;&gt;"",INDEX(Parties!$E$5:$E$304,R1883)&lt;&gt;HomeState),ROUND(K1883*L1883,2),0)),"")</f>
        <v/>
      </c>
      <c r="P1883" s="61" t="str">
        <f aca="false">IF(IsPro,IF($D1883="","",K1883+M1883+N1883+O1883),"")</f>
        <v/>
      </c>
      <c r="Q1883" s="60" t="str">
        <f aca="false">IF(IsPro,IF($D1883="","",IFERROR(MATCH($D1883,Items!$A$5:$A$504,0),"")),"")</f>
        <v/>
      </c>
      <c r="R1883" s="60" t="str">
        <f aca="false">IF(IsPro,IF($C1883="","",IFERROR(MATCH($C1883,Parties!$A$5:$A$304,0),"")),"")</f>
        <v/>
      </c>
      <c r="S1883" s="61" t="str">
        <f aca="false">IF(IsPro,IF($D1883="","",IF(OR($H1883="",$H1883="Credit"),0,P1883)),"")</f>
        <v/>
      </c>
    </row>
    <row r="1884" customFormat="false" ht="15" hidden="false" customHeight="false" outlineLevel="0" collapsed="false">
      <c r="A1884" s="55"/>
      <c r="B1884" s="56"/>
      <c r="C1884" s="56"/>
      <c r="D1884" s="56"/>
      <c r="E1884" s="57"/>
      <c r="F1884" s="58"/>
      <c r="G1884" s="59"/>
      <c r="H1884" s="56"/>
      <c r="I1884" s="60" t="str">
        <f aca="false">IF(IsPro,IF($D1884="","",IFERROR(INDEX(Items!$D$5:$D$504,Q1884),"")),IF($D1884="","","PRO PLAN"))</f>
        <v/>
      </c>
      <c r="J1884" s="61" t="str">
        <f aca="false">IF(IsPro,IF($D1884="","",IF($F1884="",IFERROR(INDEX(Items!$G$5:$G$504,Q1884),0),$F1884)),"")</f>
        <v/>
      </c>
      <c r="K1884" s="61" t="str">
        <f aca="false">IF(IsPro,IF($D1884="","",ROUND(N($E1884)*J1884*(1-N($G1884)),2)),"")</f>
        <v/>
      </c>
      <c r="L1884" s="62" t="str">
        <f aca="false">IF(IsPro,IF($D1884="","",IFERROR(INDEX(Items!$F$5:$F$504,Q1884),0)),"")</f>
        <v/>
      </c>
      <c r="M1884" s="61" t="str">
        <f aca="false">IF(IsPro,IF($D1884="","",IF(AND(R1884&lt;&gt;"",INDEX(Parties!$E$5:$E$304,R1884)&lt;&gt;"",INDEX(Parties!$E$5:$E$304,R1884)&lt;&gt;HomeState),0,ROUND(K1884*L1884/2,2))),"")</f>
        <v/>
      </c>
      <c r="N1884" s="61" t="str">
        <f aca="false">IF(IsPro,IF($D1884="","",M1884),"")</f>
        <v/>
      </c>
      <c r="O1884" s="61" t="str">
        <f aca="false">IF(IsPro,IF($D1884="","",IF(AND(R1884&lt;&gt;"",INDEX(Parties!$E$5:$E$304,R1884)&lt;&gt;"",INDEX(Parties!$E$5:$E$304,R1884)&lt;&gt;HomeState),ROUND(K1884*L1884,2),0)),"")</f>
        <v/>
      </c>
      <c r="P1884" s="61" t="str">
        <f aca="false">IF(IsPro,IF($D1884="","",K1884+M1884+N1884+O1884),"")</f>
        <v/>
      </c>
      <c r="Q1884" s="60" t="str">
        <f aca="false">IF(IsPro,IF($D1884="","",IFERROR(MATCH($D1884,Items!$A$5:$A$504,0),"")),"")</f>
        <v/>
      </c>
      <c r="R1884" s="60" t="str">
        <f aca="false">IF(IsPro,IF($C1884="","",IFERROR(MATCH($C1884,Parties!$A$5:$A$304,0),"")),"")</f>
        <v/>
      </c>
      <c r="S1884" s="61" t="str">
        <f aca="false">IF(IsPro,IF($D1884="","",IF(OR($H1884="",$H1884="Credit"),0,P1884)),"")</f>
        <v/>
      </c>
    </row>
    <row r="1885" customFormat="false" ht="15" hidden="false" customHeight="false" outlineLevel="0" collapsed="false">
      <c r="A1885" s="55"/>
      <c r="B1885" s="56"/>
      <c r="C1885" s="56"/>
      <c r="D1885" s="56"/>
      <c r="E1885" s="57"/>
      <c r="F1885" s="58"/>
      <c r="G1885" s="59"/>
      <c r="H1885" s="56"/>
      <c r="I1885" s="60" t="str">
        <f aca="false">IF(IsPro,IF($D1885="","",IFERROR(INDEX(Items!$D$5:$D$504,Q1885),"")),IF($D1885="","","PRO PLAN"))</f>
        <v/>
      </c>
      <c r="J1885" s="61" t="str">
        <f aca="false">IF(IsPro,IF($D1885="","",IF($F1885="",IFERROR(INDEX(Items!$G$5:$G$504,Q1885),0),$F1885)),"")</f>
        <v/>
      </c>
      <c r="K1885" s="61" t="str">
        <f aca="false">IF(IsPro,IF($D1885="","",ROUND(N($E1885)*J1885*(1-N($G1885)),2)),"")</f>
        <v/>
      </c>
      <c r="L1885" s="62" t="str">
        <f aca="false">IF(IsPro,IF($D1885="","",IFERROR(INDEX(Items!$F$5:$F$504,Q1885),0)),"")</f>
        <v/>
      </c>
      <c r="M1885" s="61" t="str">
        <f aca="false">IF(IsPro,IF($D1885="","",IF(AND(R1885&lt;&gt;"",INDEX(Parties!$E$5:$E$304,R1885)&lt;&gt;"",INDEX(Parties!$E$5:$E$304,R1885)&lt;&gt;HomeState),0,ROUND(K1885*L1885/2,2))),"")</f>
        <v/>
      </c>
      <c r="N1885" s="61" t="str">
        <f aca="false">IF(IsPro,IF($D1885="","",M1885),"")</f>
        <v/>
      </c>
      <c r="O1885" s="61" t="str">
        <f aca="false">IF(IsPro,IF($D1885="","",IF(AND(R1885&lt;&gt;"",INDEX(Parties!$E$5:$E$304,R1885)&lt;&gt;"",INDEX(Parties!$E$5:$E$304,R1885)&lt;&gt;HomeState),ROUND(K1885*L1885,2),0)),"")</f>
        <v/>
      </c>
      <c r="P1885" s="61" t="str">
        <f aca="false">IF(IsPro,IF($D1885="","",K1885+M1885+N1885+O1885),"")</f>
        <v/>
      </c>
      <c r="Q1885" s="60" t="str">
        <f aca="false">IF(IsPro,IF($D1885="","",IFERROR(MATCH($D1885,Items!$A$5:$A$504,0),"")),"")</f>
        <v/>
      </c>
      <c r="R1885" s="60" t="str">
        <f aca="false">IF(IsPro,IF($C1885="","",IFERROR(MATCH($C1885,Parties!$A$5:$A$304,0),"")),"")</f>
        <v/>
      </c>
      <c r="S1885" s="61" t="str">
        <f aca="false">IF(IsPro,IF($D1885="","",IF(OR($H1885="",$H1885="Credit"),0,P1885)),"")</f>
        <v/>
      </c>
    </row>
    <row r="1886" customFormat="false" ht="15" hidden="false" customHeight="false" outlineLevel="0" collapsed="false">
      <c r="A1886" s="55"/>
      <c r="B1886" s="56"/>
      <c r="C1886" s="56"/>
      <c r="D1886" s="56"/>
      <c r="E1886" s="57"/>
      <c r="F1886" s="58"/>
      <c r="G1886" s="59"/>
      <c r="H1886" s="56"/>
      <c r="I1886" s="60" t="str">
        <f aca="false">IF(IsPro,IF($D1886="","",IFERROR(INDEX(Items!$D$5:$D$504,Q1886),"")),IF($D1886="","","PRO PLAN"))</f>
        <v/>
      </c>
      <c r="J1886" s="61" t="str">
        <f aca="false">IF(IsPro,IF($D1886="","",IF($F1886="",IFERROR(INDEX(Items!$G$5:$G$504,Q1886),0),$F1886)),"")</f>
        <v/>
      </c>
      <c r="K1886" s="61" t="str">
        <f aca="false">IF(IsPro,IF($D1886="","",ROUND(N($E1886)*J1886*(1-N($G1886)),2)),"")</f>
        <v/>
      </c>
      <c r="L1886" s="62" t="str">
        <f aca="false">IF(IsPro,IF($D1886="","",IFERROR(INDEX(Items!$F$5:$F$504,Q1886),0)),"")</f>
        <v/>
      </c>
      <c r="M1886" s="61" t="str">
        <f aca="false">IF(IsPro,IF($D1886="","",IF(AND(R1886&lt;&gt;"",INDEX(Parties!$E$5:$E$304,R1886)&lt;&gt;"",INDEX(Parties!$E$5:$E$304,R1886)&lt;&gt;HomeState),0,ROUND(K1886*L1886/2,2))),"")</f>
        <v/>
      </c>
      <c r="N1886" s="61" t="str">
        <f aca="false">IF(IsPro,IF($D1886="","",M1886),"")</f>
        <v/>
      </c>
      <c r="O1886" s="61" t="str">
        <f aca="false">IF(IsPro,IF($D1886="","",IF(AND(R1886&lt;&gt;"",INDEX(Parties!$E$5:$E$304,R1886)&lt;&gt;"",INDEX(Parties!$E$5:$E$304,R1886)&lt;&gt;HomeState),ROUND(K1886*L1886,2),0)),"")</f>
        <v/>
      </c>
      <c r="P1886" s="61" t="str">
        <f aca="false">IF(IsPro,IF($D1886="","",K1886+M1886+N1886+O1886),"")</f>
        <v/>
      </c>
      <c r="Q1886" s="60" t="str">
        <f aca="false">IF(IsPro,IF($D1886="","",IFERROR(MATCH($D1886,Items!$A$5:$A$504,0),"")),"")</f>
        <v/>
      </c>
      <c r="R1886" s="60" t="str">
        <f aca="false">IF(IsPro,IF($C1886="","",IFERROR(MATCH($C1886,Parties!$A$5:$A$304,0),"")),"")</f>
        <v/>
      </c>
      <c r="S1886" s="61" t="str">
        <f aca="false">IF(IsPro,IF($D1886="","",IF(OR($H1886="",$H1886="Credit"),0,P1886)),"")</f>
        <v/>
      </c>
    </row>
    <row r="1887" customFormat="false" ht="15" hidden="false" customHeight="false" outlineLevel="0" collapsed="false">
      <c r="A1887" s="55"/>
      <c r="B1887" s="56"/>
      <c r="C1887" s="56"/>
      <c r="D1887" s="56"/>
      <c r="E1887" s="57"/>
      <c r="F1887" s="58"/>
      <c r="G1887" s="59"/>
      <c r="H1887" s="56"/>
      <c r="I1887" s="60" t="str">
        <f aca="false">IF(IsPro,IF($D1887="","",IFERROR(INDEX(Items!$D$5:$D$504,Q1887),"")),IF($D1887="","","PRO PLAN"))</f>
        <v/>
      </c>
      <c r="J1887" s="61" t="str">
        <f aca="false">IF(IsPro,IF($D1887="","",IF($F1887="",IFERROR(INDEX(Items!$G$5:$G$504,Q1887),0),$F1887)),"")</f>
        <v/>
      </c>
      <c r="K1887" s="61" t="str">
        <f aca="false">IF(IsPro,IF($D1887="","",ROUND(N($E1887)*J1887*(1-N($G1887)),2)),"")</f>
        <v/>
      </c>
      <c r="L1887" s="62" t="str">
        <f aca="false">IF(IsPro,IF($D1887="","",IFERROR(INDEX(Items!$F$5:$F$504,Q1887),0)),"")</f>
        <v/>
      </c>
      <c r="M1887" s="61" t="str">
        <f aca="false">IF(IsPro,IF($D1887="","",IF(AND(R1887&lt;&gt;"",INDEX(Parties!$E$5:$E$304,R1887)&lt;&gt;"",INDEX(Parties!$E$5:$E$304,R1887)&lt;&gt;HomeState),0,ROUND(K1887*L1887/2,2))),"")</f>
        <v/>
      </c>
      <c r="N1887" s="61" t="str">
        <f aca="false">IF(IsPro,IF($D1887="","",M1887),"")</f>
        <v/>
      </c>
      <c r="O1887" s="61" t="str">
        <f aca="false">IF(IsPro,IF($D1887="","",IF(AND(R1887&lt;&gt;"",INDEX(Parties!$E$5:$E$304,R1887)&lt;&gt;"",INDEX(Parties!$E$5:$E$304,R1887)&lt;&gt;HomeState),ROUND(K1887*L1887,2),0)),"")</f>
        <v/>
      </c>
      <c r="P1887" s="61" t="str">
        <f aca="false">IF(IsPro,IF($D1887="","",K1887+M1887+N1887+O1887),"")</f>
        <v/>
      </c>
      <c r="Q1887" s="60" t="str">
        <f aca="false">IF(IsPro,IF($D1887="","",IFERROR(MATCH($D1887,Items!$A$5:$A$504,0),"")),"")</f>
        <v/>
      </c>
      <c r="R1887" s="60" t="str">
        <f aca="false">IF(IsPro,IF($C1887="","",IFERROR(MATCH($C1887,Parties!$A$5:$A$304,0),"")),"")</f>
        <v/>
      </c>
      <c r="S1887" s="61" t="str">
        <f aca="false">IF(IsPro,IF($D1887="","",IF(OR($H1887="",$H1887="Credit"),0,P1887)),"")</f>
        <v/>
      </c>
    </row>
    <row r="1888" customFormat="false" ht="15" hidden="false" customHeight="false" outlineLevel="0" collapsed="false">
      <c r="A1888" s="55"/>
      <c r="B1888" s="56"/>
      <c r="C1888" s="56"/>
      <c r="D1888" s="56"/>
      <c r="E1888" s="57"/>
      <c r="F1888" s="58"/>
      <c r="G1888" s="59"/>
      <c r="H1888" s="56"/>
      <c r="I1888" s="60" t="str">
        <f aca="false">IF(IsPro,IF($D1888="","",IFERROR(INDEX(Items!$D$5:$D$504,Q1888),"")),IF($D1888="","","PRO PLAN"))</f>
        <v/>
      </c>
      <c r="J1888" s="61" t="str">
        <f aca="false">IF(IsPro,IF($D1888="","",IF($F1888="",IFERROR(INDEX(Items!$G$5:$G$504,Q1888),0),$F1888)),"")</f>
        <v/>
      </c>
      <c r="K1888" s="61" t="str">
        <f aca="false">IF(IsPro,IF($D1888="","",ROUND(N($E1888)*J1888*(1-N($G1888)),2)),"")</f>
        <v/>
      </c>
      <c r="L1888" s="62" t="str">
        <f aca="false">IF(IsPro,IF($D1888="","",IFERROR(INDEX(Items!$F$5:$F$504,Q1888),0)),"")</f>
        <v/>
      </c>
      <c r="M1888" s="61" t="str">
        <f aca="false">IF(IsPro,IF($D1888="","",IF(AND(R1888&lt;&gt;"",INDEX(Parties!$E$5:$E$304,R1888)&lt;&gt;"",INDEX(Parties!$E$5:$E$304,R1888)&lt;&gt;HomeState),0,ROUND(K1888*L1888/2,2))),"")</f>
        <v/>
      </c>
      <c r="N1888" s="61" t="str">
        <f aca="false">IF(IsPro,IF($D1888="","",M1888),"")</f>
        <v/>
      </c>
      <c r="O1888" s="61" t="str">
        <f aca="false">IF(IsPro,IF($D1888="","",IF(AND(R1888&lt;&gt;"",INDEX(Parties!$E$5:$E$304,R1888)&lt;&gt;"",INDEX(Parties!$E$5:$E$304,R1888)&lt;&gt;HomeState),ROUND(K1888*L1888,2),0)),"")</f>
        <v/>
      </c>
      <c r="P1888" s="61" t="str">
        <f aca="false">IF(IsPro,IF($D1888="","",K1888+M1888+N1888+O1888),"")</f>
        <v/>
      </c>
      <c r="Q1888" s="60" t="str">
        <f aca="false">IF(IsPro,IF($D1888="","",IFERROR(MATCH($D1888,Items!$A$5:$A$504,0),"")),"")</f>
        <v/>
      </c>
      <c r="R1888" s="60" t="str">
        <f aca="false">IF(IsPro,IF($C1888="","",IFERROR(MATCH($C1888,Parties!$A$5:$A$304,0),"")),"")</f>
        <v/>
      </c>
      <c r="S1888" s="61" t="str">
        <f aca="false">IF(IsPro,IF($D1888="","",IF(OR($H1888="",$H1888="Credit"),0,P1888)),"")</f>
        <v/>
      </c>
    </row>
    <row r="1889" customFormat="false" ht="15" hidden="false" customHeight="false" outlineLevel="0" collapsed="false">
      <c r="A1889" s="55"/>
      <c r="B1889" s="56"/>
      <c r="C1889" s="56"/>
      <c r="D1889" s="56"/>
      <c r="E1889" s="57"/>
      <c r="F1889" s="58"/>
      <c r="G1889" s="59"/>
      <c r="H1889" s="56"/>
      <c r="I1889" s="60" t="str">
        <f aca="false">IF(IsPro,IF($D1889="","",IFERROR(INDEX(Items!$D$5:$D$504,Q1889),"")),IF($D1889="","","PRO PLAN"))</f>
        <v/>
      </c>
      <c r="J1889" s="61" t="str">
        <f aca="false">IF(IsPro,IF($D1889="","",IF($F1889="",IFERROR(INDEX(Items!$G$5:$G$504,Q1889),0),$F1889)),"")</f>
        <v/>
      </c>
      <c r="K1889" s="61" t="str">
        <f aca="false">IF(IsPro,IF($D1889="","",ROUND(N($E1889)*J1889*(1-N($G1889)),2)),"")</f>
        <v/>
      </c>
      <c r="L1889" s="62" t="str">
        <f aca="false">IF(IsPro,IF($D1889="","",IFERROR(INDEX(Items!$F$5:$F$504,Q1889),0)),"")</f>
        <v/>
      </c>
      <c r="M1889" s="61" t="str">
        <f aca="false">IF(IsPro,IF($D1889="","",IF(AND(R1889&lt;&gt;"",INDEX(Parties!$E$5:$E$304,R1889)&lt;&gt;"",INDEX(Parties!$E$5:$E$304,R1889)&lt;&gt;HomeState),0,ROUND(K1889*L1889/2,2))),"")</f>
        <v/>
      </c>
      <c r="N1889" s="61" t="str">
        <f aca="false">IF(IsPro,IF($D1889="","",M1889),"")</f>
        <v/>
      </c>
      <c r="O1889" s="61" t="str">
        <f aca="false">IF(IsPro,IF($D1889="","",IF(AND(R1889&lt;&gt;"",INDEX(Parties!$E$5:$E$304,R1889)&lt;&gt;"",INDEX(Parties!$E$5:$E$304,R1889)&lt;&gt;HomeState),ROUND(K1889*L1889,2),0)),"")</f>
        <v/>
      </c>
      <c r="P1889" s="61" t="str">
        <f aca="false">IF(IsPro,IF($D1889="","",K1889+M1889+N1889+O1889),"")</f>
        <v/>
      </c>
      <c r="Q1889" s="60" t="str">
        <f aca="false">IF(IsPro,IF($D1889="","",IFERROR(MATCH($D1889,Items!$A$5:$A$504,0),"")),"")</f>
        <v/>
      </c>
      <c r="R1889" s="60" t="str">
        <f aca="false">IF(IsPro,IF($C1889="","",IFERROR(MATCH($C1889,Parties!$A$5:$A$304,0),"")),"")</f>
        <v/>
      </c>
      <c r="S1889" s="61" t="str">
        <f aca="false">IF(IsPro,IF($D1889="","",IF(OR($H1889="",$H1889="Credit"),0,P1889)),"")</f>
        <v/>
      </c>
    </row>
    <row r="1890" customFormat="false" ht="15" hidden="false" customHeight="false" outlineLevel="0" collapsed="false">
      <c r="A1890" s="55"/>
      <c r="B1890" s="56"/>
      <c r="C1890" s="56"/>
      <c r="D1890" s="56"/>
      <c r="E1890" s="57"/>
      <c r="F1890" s="58"/>
      <c r="G1890" s="59"/>
      <c r="H1890" s="56"/>
      <c r="I1890" s="60" t="str">
        <f aca="false">IF(IsPro,IF($D1890="","",IFERROR(INDEX(Items!$D$5:$D$504,Q1890),"")),IF($D1890="","","PRO PLAN"))</f>
        <v/>
      </c>
      <c r="J1890" s="61" t="str">
        <f aca="false">IF(IsPro,IF($D1890="","",IF($F1890="",IFERROR(INDEX(Items!$G$5:$G$504,Q1890),0),$F1890)),"")</f>
        <v/>
      </c>
      <c r="K1890" s="61" t="str">
        <f aca="false">IF(IsPro,IF($D1890="","",ROUND(N($E1890)*J1890*(1-N($G1890)),2)),"")</f>
        <v/>
      </c>
      <c r="L1890" s="62" t="str">
        <f aca="false">IF(IsPro,IF($D1890="","",IFERROR(INDEX(Items!$F$5:$F$504,Q1890),0)),"")</f>
        <v/>
      </c>
      <c r="M1890" s="61" t="str">
        <f aca="false">IF(IsPro,IF($D1890="","",IF(AND(R1890&lt;&gt;"",INDEX(Parties!$E$5:$E$304,R1890)&lt;&gt;"",INDEX(Parties!$E$5:$E$304,R1890)&lt;&gt;HomeState),0,ROUND(K1890*L1890/2,2))),"")</f>
        <v/>
      </c>
      <c r="N1890" s="61" t="str">
        <f aca="false">IF(IsPro,IF($D1890="","",M1890),"")</f>
        <v/>
      </c>
      <c r="O1890" s="61" t="str">
        <f aca="false">IF(IsPro,IF($D1890="","",IF(AND(R1890&lt;&gt;"",INDEX(Parties!$E$5:$E$304,R1890)&lt;&gt;"",INDEX(Parties!$E$5:$E$304,R1890)&lt;&gt;HomeState),ROUND(K1890*L1890,2),0)),"")</f>
        <v/>
      </c>
      <c r="P1890" s="61" t="str">
        <f aca="false">IF(IsPro,IF($D1890="","",K1890+M1890+N1890+O1890),"")</f>
        <v/>
      </c>
      <c r="Q1890" s="60" t="str">
        <f aca="false">IF(IsPro,IF($D1890="","",IFERROR(MATCH($D1890,Items!$A$5:$A$504,0),"")),"")</f>
        <v/>
      </c>
      <c r="R1890" s="60" t="str">
        <f aca="false">IF(IsPro,IF($C1890="","",IFERROR(MATCH($C1890,Parties!$A$5:$A$304,0),"")),"")</f>
        <v/>
      </c>
      <c r="S1890" s="61" t="str">
        <f aca="false">IF(IsPro,IF($D1890="","",IF(OR($H1890="",$H1890="Credit"),0,P1890)),"")</f>
        <v/>
      </c>
    </row>
    <row r="1891" customFormat="false" ht="15" hidden="false" customHeight="false" outlineLevel="0" collapsed="false">
      <c r="A1891" s="55"/>
      <c r="B1891" s="56"/>
      <c r="C1891" s="56"/>
      <c r="D1891" s="56"/>
      <c r="E1891" s="57"/>
      <c r="F1891" s="58"/>
      <c r="G1891" s="59"/>
      <c r="H1891" s="56"/>
      <c r="I1891" s="60" t="str">
        <f aca="false">IF(IsPro,IF($D1891="","",IFERROR(INDEX(Items!$D$5:$D$504,Q1891),"")),IF($D1891="","","PRO PLAN"))</f>
        <v/>
      </c>
      <c r="J1891" s="61" t="str">
        <f aca="false">IF(IsPro,IF($D1891="","",IF($F1891="",IFERROR(INDEX(Items!$G$5:$G$504,Q1891),0),$F1891)),"")</f>
        <v/>
      </c>
      <c r="K1891" s="61" t="str">
        <f aca="false">IF(IsPro,IF($D1891="","",ROUND(N($E1891)*J1891*(1-N($G1891)),2)),"")</f>
        <v/>
      </c>
      <c r="L1891" s="62" t="str">
        <f aca="false">IF(IsPro,IF($D1891="","",IFERROR(INDEX(Items!$F$5:$F$504,Q1891),0)),"")</f>
        <v/>
      </c>
      <c r="M1891" s="61" t="str">
        <f aca="false">IF(IsPro,IF($D1891="","",IF(AND(R1891&lt;&gt;"",INDEX(Parties!$E$5:$E$304,R1891)&lt;&gt;"",INDEX(Parties!$E$5:$E$304,R1891)&lt;&gt;HomeState),0,ROUND(K1891*L1891/2,2))),"")</f>
        <v/>
      </c>
      <c r="N1891" s="61" t="str">
        <f aca="false">IF(IsPro,IF($D1891="","",M1891),"")</f>
        <v/>
      </c>
      <c r="O1891" s="61" t="str">
        <f aca="false">IF(IsPro,IF($D1891="","",IF(AND(R1891&lt;&gt;"",INDEX(Parties!$E$5:$E$304,R1891)&lt;&gt;"",INDEX(Parties!$E$5:$E$304,R1891)&lt;&gt;HomeState),ROUND(K1891*L1891,2),0)),"")</f>
        <v/>
      </c>
      <c r="P1891" s="61" t="str">
        <f aca="false">IF(IsPro,IF($D1891="","",K1891+M1891+N1891+O1891),"")</f>
        <v/>
      </c>
      <c r="Q1891" s="60" t="str">
        <f aca="false">IF(IsPro,IF($D1891="","",IFERROR(MATCH($D1891,Items!$A$5:$A$504,0),"")),"")</f>
        <v/>
      </c>
      <c r="R1891" s="60" t="str">
        <f aca="false">IF(IsPro,IF($C1891="","",IFERROR(MATCH($C1891,Parties!$A$5:$A$304,0),"")),"")</f>
        <v/>
      </c>
      <c r="S1891" s="61" t="str">
        <f aca="false">IF(IsPro,IF($D1891="","",IF(OR($H1891="",$H1891="Credit"),0,P1891)),"")</f>
        <v/>
      </c>
    </row>
    <row r="1892" customFormat="false" ht="15" hidden="false" customHeight="false" outlineLevel="0" collapsed="false">
      <c r="A1892" s="55"/>
      <c r="B1892" s="56"/>
      <c r="C1892" s="56"/>
      <c r="D1892" s="56"/>
      <c r="E1892" s="57"/>
      <c r="F1892" s="58"/>
      <c r="G1892" s="59"/>
      <c r="H1892" s="56"/>
      <c r="I1892" s="60" t="str">
        <f aca="false">IF(IsPro,IF($D1892="","",IFERROR(INDEX(Items!$D$5:$D$504,Q1892),"")),IF($D1892="","","PRO PLAN"))</f>
        <v/>
      </c>
      <c r="J1892" s="61" t="str">
        <f aca="false">IF(IsPro,IF($D1892="","",IF($F1892="",IFERROR(INDEX(Items!$G$5:$G$504,Q1892),0),$F1892)),"")</f>
        <v/>
      </c>
      <c r="K1892" s="61" t="str">
        <f aca="false">IF(IsPro,IF($D1892="","",ROUND(N($E1892)*J1892*(1-N($G1892)),2)),"")</f>
        <v/>
      </c>
      <c r="L1892" s="62" t="str">
        <f aca="false">IF(IsPro,IF($D1892="","",IFERROR(INDEX(Items!$F$5:$F$504,Q1892),0)),"")</f>
        <v/>
      </c>
      <c r="M1892" s="61" t="str">
        <f aca="false">IF(IsPro,IF($D1892="","",IF(AND(R1892&lt;&gt;"",INDEX(Parties!$E$5:$E$304,R1892)&lt;&gt;"",INDEX(Parties!$E$5:$E$304,R1892)&lt;&gt;HomeState),0,ROUND(K1892*L1892/2,2))),"")</f>
        <v/>
      </c>
      <c r="N1892" s="61" t="str">
        <f aca="false">IF(IsPro,IF($D1892="","",M1892),"")</f>
        <v/>
      </c>
      <c r="O1892" s="61" t="str">
        <f aca="false">IF(IsPro,IF($D1892="","",IF(AND(R1892&lt;&gt;"",INDEX(Parties!$E$5:$E$304,R1892)&lt;&gt;"",INDEX(Parties!$E$5:$E$304,R1892)&lt;&gt;HomeState),ROUND(K1892*L1892,2),0)),"")</f>
        <v/>
      </c>
      <c r="P1892" s="61" t="str">
        <f aca="false">IF(IsPro,IF($D1892="","",K1892+M1892+N1892+O1892),"")</f>
        <v/>
      </c>
      <c r="Q1892" s="60" t="str">
        <f aca="false">IF(IsPro,IF($D1892="","",IFERROR(MATCH($D1892,Items!$A$5:$A$504,0),"")),"")</f>
        <v/>
      </c>
      <c r="R1892" s="60" t="str">
        <f aca="false">IF(IsPro,IF($C1892="","",IFERROR(MATCH($C1892,Parties!$A$5:$A$304,0),"")),"")</f>
        <v/>
      </c>
      <c r="S1892" s="61" t="str">
        <f aca="false">IF(IsPro,IF($D1892="","",IF(OR($H1892="",$H1892="Credit"),0,P1892)),"")</f>
        <v/>
      </c>
    </row>
    <row r="1893" customFormat="false" ht="15" hidden="false" customHeight="false" outlineLevel="0" collapsed="false">
      <c r="A1893" s="55"/>
      <c r="B1893" s="56"/>
      <c r="C1893" s="56"/>
      <c r="D1893" s="56"/>
      <c r="E1893" s="57"/>
      <c r="F1893" s="58"/>
      <c r="G1893" s="59"/>
      <c r="H1893" s="56"/>
      <c r="I1893" s="60" t="str">
        <f aca="false">IF(IsPro,IF($D1893="","",IFERROR(INDEX(Items!$D$5:$D$504,Q1893),"")),IF($D1893="","","PRO PLAN"))</f>
        <v/>
      </c>
      <c r="J1893" s="61" t="str">
        <f aca="false">IF(IsPro,IF($D1893="","",IF($F1893="",IFERROR(INDEX(Items!$G$5:$G$504,Q1893),0),$F1893)),"")</f>
        <v/>
      </c>
      <c r="K1893" s="61" t="str">
        <f aca="false">IF(IsPro,IF($D1893="","",ROUND(N($E1893)*J1893*(1-N($G1893)),2)),"")</f>
        <v/>
      </c>
      <c r="L1893" s="62" t="str">
        <f aca="false">IF(IsPro,IF($D1893="","",IFERROR(INDEX(Items!$F$5:$F$504,Q1893),0)),"")</f>
        <v/>
      </c>
      <c r="M1893" s="61" t="str">
        <f aca="false">IF(IsPro,IF($D1893="","",IF(AND(R1893&lt;&gt;"",INDEX(Parties!$E$5:$E$304,R1893)&lt;&gt;"",INDEX(Parties!$E$5:$E$304,R1893)&lt;&gt;HomeState),0,ROUND(K1893*L1893/2,2))),"")</f>
        <v/>
      </c>
      <c r="N1893" s="61" t="str">
        <f aca="false">IF(IsPro,IF($D1893="","",M1893),"")</f>
        <v/>
      </c>
      <c r="O1893" s="61" t="str">
        <f aca="false">IF(IsPro,IF($D1893="","",IF(AND(R1893&lt;&gt;"",INDEX(Parties!$E$5:$E$304,R1893)&lt;&gt;"",INDEX(Parties!$E$5:$E$304,R1893)&lt;&gt;HomeState),ROUND(K1893*L1893,2),0)),"")</f>
        <v/>
      </c>
      <c r="P1893" s="61" t="str">
        <f aca="false">IF(IsPro,IF($D1893="","",K1893+M1893+N1893+O1893),"")</f>
        <v/>
      </c>
      <c r="Q1893" s="60" t="str">
        <f aca="false">IF(IsPro,IF($D1893="","",IFERROR(MATCH($D1893,Items!$A$5:$A$504,0),"")),"")</f>
        <v/>
      </c>
      <c r="R1893" s="60" t="str">
        <f aca="false">IF(IsPro,IF($C1893="","",IFERROR(MATCH($C1893,Parties!$A$5:$A$304,0),"")),"")</f>
        <v/>
      </c>
      <c r="S1893" s="61" t="str">
        <f aca="false">IF(IsPro,IF($D1893="","",IF(OR($H1893="",$H1893="Credit"),0,P1893)),"")</f>
        <v/>
      </c>
    </row>
    <row r="1894" customFormat="false" ht="15" hidden="false" customHeight="false" outlineLevel="0" collapsed="false">
      <c r="A1894" s="55"/>
      <c r="B1894" s="56"/>
      <c r="C1894" s="56"/>
      <c r="D1894" s="56"/>
      <c r="E1894" s="57"/>
      <c r="F1894" s="58"/>
      <c r="G1894" s="59"/>
      <c r="H1894" s="56"/>
      <c r="I1894" s="60" t="str">
        <f aca="false">IF(IsPro,IF($D1894="","",IFERROR(INDEX(Items!$D$5:$D$504,Q1894),"")),IF($D1894="","","PRO PLAN"))</f>
        <v/>
      </c>
      <c r="J1894" s="61" t="str">
        <f aca="false">IF(IsPro,IF($D1894="","",IF($F1894="",IFERROR(INDEX(Items!$G$5:$G$504,Q1894),0),$F1894)),"")</f>
        <v/>
      </c>
      <c r="K1894" s="61" t="str">
        <f aca="false">IF(IsPro,IF($D1894="","",ROUND(N($E1894)*J1894*(1-N($G1894)),2)),"")</f>
        <v/>
      </c>
      <c r="L1894" s="62" t="str">
        <f aca="false">IF(IsPro,IF($D1894="","",IFERROR(INDEX(Items!$F$5:$F$504,Q1894),0)),"")</f>
        <v/>
      </c>
      <c r="M1894" s="61" t="str">
        <f aca="false">IF(IsPro,IF($D1894="","",IF(AND(R1894&lt;&gt;"",INDEX(Parties!$E$5:$E$304,R1894)&lt;&gt;"",INDEX(Parties!$E$5:$E$304,R1894)&lt;&gt;HomeState),0,ROUND(K1894*L1894/2,2))),"")</f>
        <v/>
      </c>
      <c r="N1894" s="61" t="str">
        <f aca="false">IF(IsPro,IF($D1894="","",M1894),"")</f>
        <v/>
      </c>
      <c r="O1894" s="61" t="str">
        <f aca="false">IF(IsPro,IF($D1894="","",IF(AND(R1894&lt;&gt;"",INDEX(Parties!$E$5:$E$304,R1894)&lt;&gt;"",INDEX(Parties!$E$5:$E$304,R1894)&lt;&gt;HomeState),ROUND(K1894*L1894,2),0)),"")</f>
        <v/>
      </c>
      <c r="P1894" s="61" t="str">
        <f aca="false">IF(IsPro,IF($D1894="","",K1894+M1894+N1894+O1894),"")</f>
        <v/>
      </c>
      <c r="Q1894" s="60" t="str">
        <f aca="false">IF(IsPro,IF($D1894="","",IFERROR(MATCH($D1894,Items!$A$5:$A$504,0),"")),"")</f>
        <v/>
      </c>
      <c r="R1894" s="60" t="str">
        <f aca="false">IF(IsPro,IF($C1894="","",IFERROR(MATCH($C1894,Parties!$A$5:$A$304,0),"")),"")</f>
        <v/>
      </c>
      <c r="S1894" s="61" t="str">
        <f aca="false">IF(IsPro,IF($D1894="","",IF(OR($H1894="",$H1894="Credit"),0,P1894)),"")</f>
        <v/>
      </c>
    </row>
    <row r="1895" customFormat="false" ht="15" hidden="false" customHeight="false" outlineLevel="0" collapsed="false">
      <c r="A1895" s="55"/>
      <c r="B1895" s="56"/>
      <c r="C1895" s="56"/>
      <c r="D1895" s="56"/>
      <c r="E1895" s="57"/>
      <c r="F1895" s="58"/>
      <c r="G1895" s="59"/>
      <c r="H1895" s="56"/>
      <c r="I1895" s="60" t="str">
        <f aca="false">IF(IsPro,IF($D1895="","",IFERROR(INDEX(Items!$D$5:$D$504,Q1895),"")),IF($D1895="","","PRO PLAN"))</f>
        <v/>
      </c>
      <c r="J1895" s="61" t="str">
        <f aca="false">IF(IsPro,IF($D1895="","",IF($F1895="",IFERROR(INDEX(Items!$G$5:$G$504,Q1895),0),$F1895)),"")</f>
        <v/>
      </c>
      <c r="K1895" s="61" t="str">
        <f aca="false">IF(IsPro,IF($D1895="","",ROUND(N($E1895)*J1895*(1-N($G1895)),2)),"")</f>
        <v/>
      </c>
      <c r="L1895" s="62" t="str">
        <f aca="false">IF(IsPro,IF($D1895="","",IFERROR(INDEX(Items!$F$5:$F$504,Q1895),0)),"")</f>
        <v/>
      </c>
      <c r="M1895" s="61" t="str">
        <f aca="false">IF(IsPro,IF($D1895="","",IF(AND(R1895&lt;&gt;"",INDEX(Parties!$E$5:$E$304,R1895)&lt;&gt;"",INDEX(Parties!$E$5:$E$304,R1895)&lt;&gt;HomeState),0,ROUND(K1895*L1895/2,2))),"")</f>
        <v/>
      </c>
      <c r="N1895" s="61" t="str">
        <f aca="false">IF(IsPro,IF($D1895="","",M1895),"")</f>
        <v/>
      </c>
      <c r="O1895" s="61" t="str">
        <f aca="false">IF(IsPro,IF($D1895="","",IF(AND(R1895&lt;&gt;"",INDEX(Parties!$E$5:$E$304,R1895)&lt;&gt;"",INDEX(Parties!$E$5:$E$304,R1895)&lt;&gt;HomeState),ROUND(K1895*L1895,2),0)),"")</f>
        <v/>
      </c>
      <c r="P1895" s="61" t="str">
        <f aca="false">IF(IsPro,IF($D1895="","",K1895+M1895+N1895+O1895),"")</f>
        <v/>
      </c>
      <c r="Q1895" s="60" t="str">
        <f aca="false">IF(IsPro,IF($D1895="","",IFERROR(MATCH($D1895,Items!$A$5:$A$504,0),"")),"")</f>
        <v/>
      </c>
      <c r="R1895" s="60" t="str">
        <f aca="false">IF(IsPro,IF($C1895="","",IFERROR(MATCH($C1895,Parties!$A$5:$A$304,0),"")),"")</f>
        <v/>
      </c>
      <c r="S1895" s="61" t="str">
        <f aca="false">IF(IsPro,IF($D1895="","",IF(OR($H1895="",$H1895="Credit"),0,P1895)),"")</f>
        <v/>
      </c>
    </row>
    <row r="1896" customFormat="false" ht="15" hidden="false" customHeight="false" outlineLevel="0" collapsed="false">
      <c r="A1896" s="55"/>
      <c r="B1896" s="56"/>
      <c r="C1896" s="56"/>
      <c r="D1896" s="56"/>
      <c r="E1896" s="57"/>
      <c r="F1896" s="58"/>
      <c r="G1896" s="59"/>
      <c r="H1896" s="56"/>
      <c r="I1896" s="60" t="str">
        <f aca="false">IF(IsPro,IF($D1896="","",IFERROR(INDEX(Items!$D$5:$D$504,Q1896),"")),IF($D1896="","","PRO PLAN"))</f>
        <v/>
      </c>
      <c r="J1896" s="61" t="str">
        <f aca="false">IF(IsPro,IF($D1896="","",IF($F1896="",IFERROR(INDEX(Items!$G$5:$G$504,Q1896),0),$F1896)),"")</f>
        <v/>
      </c>
      <c r="K1896" s="61" t="str">
        <f aca="false">IF(IsPro,IF($D1896="","",ROUND(N($E1896)*J1896*(1-N($G1896)),2)),"")</f>
        <v/>
      </c>
      <c r="L1896" s="62" t="str">
        <f aca="false">IF(IsPro,IF($D1896="","",IFERROR(INDEX(Items!$F$5:$F$504,Q1896),0)),"")</f>
        <v/>
      </c>
      <c r="M1896" s="61" t="str">
        <f aca="false">IF(IsPro,IF($D1896="","",IF(AND(R1896&lt;&gt;"",INDEX(Parties!$E$5:$E$304,R1896)&lt;&gt;"",INDEX(Parties!$E$5:$E$304,R1896)&lt;&gt;HomeState),0,ROUND(K1896*L1896/2,2))),"")</f>
        <v/>
      </c>
      <c r="N1896" s="61" t="str">
        <f aca="false">IF(IsPro,IF($D1896="","",M1896),"")</f>
        <v/>
      </c>
      <c r="O1896" s="61" t="str">
        <f aca="false">IF(IsPro,IF($D1896="","",IF(AND(R1896&lt;&gt;"",INDEX(Parties!$E$5:$E$304,R1896)&lt;&gt;"",INDEX(Parties!$E$5:$E$304,R1896)&lt;&gt;HomeState),ROUND(K1896*L1896,2),0)),"")</f>
        <v/>
      </c>
      <c r="P1896" s="61" t="str">
        <f aca="false">IF(IsPro,IF($D1896="","",K1896+M1896+N1896+O1896),"")</f>
        <v/>
      </c>
      <c r="Q1896" s="60" t="str">
        <f aca="false">IF(IsPro,IF($D1896="","",IFERROR(MATCH($D1896,Items!$A$5:$A$504,0),"")),"")</f>
        <v/>
      </c>
      <c r="R1896" s="60" t="str">
        <f aca="false">IF(IsPro,IF($C1896="","",IFERROR(MATCH($C1896,Parties!$A$5:$A$304,0),"")),"")</f>
        <v/>
      </c>
      <c r="S1896" s="61" t="str">
        <f aca="false">IF(IsPro,IF($D1896="","",IF(OR($H1896="",$H1896="Credit"),0,P1896)),"")</f>
        <v/>
      </c>
    </row>
    <row r="1897" customFormat="false" ht="15" hidden="false" customHeight="false" outlineLevel="0" collapsed="false">
      <c r="A1897" s="55"/>
      <c r="B1897" s="56"/>
      <c r="C1897" s="56"/>
      <c r="D1897" s="56"/>
      <c r="E1897" s="57"/>
      <c r="F1897" s="58"/>
      <c r="G1897" s="59"/>
      <c r="H1897" s="56"/>
      <c r="I1897" s="60" t="str">
        <f aca="false">IF(IsPro,IF($D1897="","",IFERROR(INDEX(Items!$D$5:$D$504,Q1897),"")),IF($D1897="","","PRO PLAN"))</f>
        <v/>
      </c>
      <c r="J1897" s="61" t="str">
        <f aca="false">IF(IsPro,IF($D1897="","",IF($F1897="",IFERROR(INDEX(Items!$G$5:$G$504,Q1897),0),$F1897)),"")</f>
        <v/>
      </c>
      <c r="K1897" s="61" t="str">
        <f aca="false">IF(IsPro,IF($D1897="","",ROUND(N($E1897)*J1897*(1-N($G1897)),2)),"")</f>
        <v/>
      </c>
      <c r="L1897" s="62" t="str">
        <f aca="false">IF(IsPro,IF($D1897="","",IFERROR(INDEX(Items!$F$5:$F$504,Q1897),0)),"")</f>
        <v/>
      </c>
      <c r="M1897" s="61" t="str">
        <f aca="false">IF(IsPro,IF($D1897="","",IF(AND(R1897&lt;&gt;"",INDEX(Parties!$E$5:$E$304,R1897)&lt;&gt;"",INDEX(Parties!$E$5:$E$304,R1897)&lt;&gt;HomeState),0,ROUND(K1897*L1897/2,2))),"")</f>
        <v/>
      </c>
      <c r="N1897" s="61" t="str">
        <f aca="false">IF(IsPro,IF($D1897="","",M1897),"")</f>
        <v/>
      </c>
      <c r="O1897" s="61" t="str">
        <f aca="false">IF(IsPro,IF($D1897="","",IF(AND(R1897&lt;&gt;"",INDEX(Parties!$E$5:$E$304,R1897)&lt;&gt;"",INDEX(Parties!$E$5:$E$304,R1897)&lt;&gt;HomeState),ROUND(K1897*L1897,2),0)),"")</f>
        <v/>
      </c>
      <c r="P1897" s="61" t="str">
        <f aca="false">IF(IsPro,IF($D1897="","",K1897+M1897+N1897+O1897),"")</f>
        <v/>
      </c>
      <c r="Q1897" s="60" t="str">
        <f aca="false">IF(IsPro,IF($D1897="","",IFERROR(MATCH($D1897,Items!$A$5:$A$504,0),"")),"")</f>
        <v/>
      </c>
      <c r="R1897" s="60" t="str">
        <f aca="false">IF(IsPro,IF($C1897="","",IFERROR(MATCH($C1897,Parties!$A$5:$A$304,0),"")),"")</f>
        <v/>
      </c>
      <c r="S1897" s="61" t="str">
        <f aca="false">IF(IsPro,IF($D1897="","",IF(OR($H1897="",$H1897="Credit"),0,P1897)),"")</f>
        <v/>
      </c>
    </row>
    <row r="1898" customFormat="false" ht="15" hidden="false" customHeight="false" outlineLevel="0" collapsed="false">
      <c r="A1898" s="55"/>
      <c r="B1898" s="56"/>
      <c r="C1898" s="56"/>
      <c r="D1898" s="56"/>
      <c r="E1898" s="57"/>
      <c r="F1898" s="58"/>
      <c r="G1898" s="59"/>
      <c r="H1898" s="56"/>
      <c r="I1898" s="60" t="str">
        <f aca="false">IF(IsPro,IF($D1898="","",IFERROR(INDEX(Items!$D$5:$D$504,Q1898),"")),IF($D1898="","","PRO PLAN"))</f>
        <v/>
      </c>
      <c r="J1898" s="61" t="str">
        <f aca="false">IF(IsPro,IF($D1898="","",IF($F1898="",IFERROR(INDEX(Items!$G$5:$G$504,Q1898),0),$F1898)),"")</f>
        <v/>
      </c>
      <c r="K1898" s="61" t="str">
        <f aca="false">IF(IsPro,IF($D1898="","",ROUND(N($E1898)*J1898*(1-N($G1898)),2)),"")</f>
        <v/>
      </c>
      <c r="L1898" s="62" t="str">
        <f aca="false">IF(IsPro,IF($D1898="","",IFERROR(INDEX(Items!$F$5:$F$504,Q1898),0)),"")</f>
        <v/>
      </c>
      <c r="M1898" s="61" t="str">
        <f aca="false">IF(IsPro,IF($D1898="","",IF(AND(R1898&lt;&gt;"",INDEX(Parties!$E$5:$E$304,R1898)&lt;&gt;"",INDEX(Parties!$E$5:$E$304,R1898)&lt;&gt;HomeState),0,ROUND(K1898*L1898/2,2))),"")</f>
        <v/>
      </c>
      <c r="N1898" s="61" t="str">
        <f aca="false">IF(IsPro,IF($D1898="","",M1898),"")</f>
        <v/>
      </c>
      <c r="O1898" s="61" t="str">
        <f aca="false">IF(IsPro,IF($D1898="","",IF(AND(R1898&lt;&gt;"",INDEX(Parties!$E$5:$E$304,R1898)&lt;&gt;"",INDEX(Parties!$E$5:$E$304,R1898)&lt;&gt;HomeState),ROUND(K1898*L1898,2),0)),"")</f>
        <v/>
      </c>
      <c r="P1898" s="61" t="str">
        <f aca="false">IF(IsPro,IF($D1898="","",K1898+M1898+N1898+O1898),"")</f>
        <v/>
      </c>
      <c r="Q1898" s="60" t="str">
        <f aca="false">IF(IsPro,IF($D1898="","",IFERROR(MATCH($D1898,Items!$A$5:$A$504,0),"")),"")</f>
        <v/>
      </c>
      <c r="R1898" s="60" t="str">
        <f aca="false">IF(IsPro,IF($C1898="","",IFERROR(MATCH($C1898,Parties!$A$5:$A$304,0),"")),"")</f>
        <v/>
      </c>
      <c r="S1898" s="61" t="str">
        <f aca="false">IF(IsPro,IF($D1898="","",IF(OR($H1898="",$H1898="Credit"),0,P1898)),"")</f>
        <v/>
      </c>
    </row>
    <row r="1899" customFormat="false" ht="15" hidden="false" customHeight="false" outlineLevel="0" collapsed="false">
      <c r="A1899" s="55"/>
      <c r="B1899" s="56"/>
      <c r="C1899" s="56"/>
      <c r="D1899" s="56"/>
      <c r="E1899" s="57"/>
      <c r="F1899" s="58"/>
      <c r="G1899" s="59"/>
      <c r="H1899" s="56"/>
      <c r="I1899" s="60" t="str">
        <f aca="false">IF(IsPro,IF($D1899="","",IFERROR(INDEX(Items!$D$5:$D$504,Q1899),"")),IF($D1899="","","PRO PLAN"))</f>
        <v/>
      </c>
      <c r="J1899" s="61" t="str">
        <f aca="false">IF(IsPro,IF($D1899="","",IF($F1899="",IFERROR(INDEX(Items!$G$5:$G$504,Q1899),0),$F1899)),"")</f>
        <v/>
      </c>
      <c r="K1899" s="61" t="str">
        <f aca="false">IF(IsPro,IF($D1899="","",ROUND(N($E1899)*J1899*(1-N($G1899)),2)),"")</f>
        <v/>
      </c>
      <c r="L1899" s="62" t="str">
        <f aca="false">IF(IsPro,IF($D1899="","",IFERROR(INDEX(Items!$F$5:$F$504,Q1899),0)),"")</f>
        <v/>
      </c>
      <c r="M1899" s="61" t="str">
        <f aca="false">IF(IsPro,IF($D1899="","",IF(AND(R1899&lt;&gt;"",INDEX(Parties!$E$5:$E$304,R1899)&lt;&gt;"",INDEX(Parties!$E$5:$E$304,R1899)&lt;&gt;HomeState),0,ROUND(K1899*L1899/2,2))),"")</f>
        <v/>
      </c>
      <c r="N1899" s="61" t="str">
        <f aca="false">IF(IsPro,IF($D1899="","",M1899),"")</f>
        <v/>
      </c>
      <c r="O1899" s="61" t="str">
        <f aca="false">IF(IsPro,IF($D1899="","",IF(AND(R1899&lt;&gt;"",INDEX(Parties!$E$5:$E$304,R1899)&lt;&gt;"",INDEX(Parties!$E$5:$E$304,R1899)&lt;&gt;HomeState),ROUND(K1899*L1899,2),0)),"")</f>
        <v/>
      </c>
      <c r="P1899" s="61" t="str">
        <f aca="false">IF(IsPro,IF($D1899="","",K1899+M1899+N1899+O1899),"")</f>
        <v/>
      </c>
      <c r="Q1899" s="60" t="str">
        <f aca="false">IF(IsPro,IF($D1899="","",IFERROR(MATCH($D1899,Items!$A$5:$A$504,0),"")),"")</f>
        <v/>
      </c>
      <c r="R1899" s="60" t="str">
        <f aca="false">IF(IsPro,IF($C1899="","",IFERROR(MATCH($C1899,Parties!$A$5:$A$304,0),"")),"")</f>
        <v/>
      </c>
      <c r="S1899" s="61" t="str">
        <f aca="false">IF(IsPro,IF($D1899="","",IF(OR($H1899="",$H1899="Credit"),0,P1899)),"")</f>
        <v/>
      </c>
    </row>
    <row r="1900" customFormat="false" ht="15" hidden="false" customHeight="false" outlineLevel="0" collapsed="false">
      <c r="A1900" s="55"/>
      <c r="B1900" s="56"/>
      <c r="C1900" s="56"/>
      <c r="D1900" s="56"/>
      <c r="E1900" s="57"/>
      <c r="F1900" s="58"/>
      <c r="G1900" s="59"/>
      <c r="H1900" s="56"/>
      <c r="I1900" s="60" t="str">
        <f aca="false">IF(IsPro,IF($D1900="","",IFERROR(INDEX(Items!$D$5:$D$504,Q1900),"")),IF($D1900="","","PRO PLAN"))</f>
        <v/>
      </c>
      <c r="J1900" s="61" t="str">
        <f aca="false">IF(IsPro,IF($D1900="","",IF($F1900="",IFERROR(INDEX(Items!$G$5:$G$504,Q1900),0),$F1900)),"")</f>
        <v/>
      </c>
      <c r="K1900" s="61" t="str">
        <f aca="false">IF(IsPro,IF($D1900="","",ROUND(N($E1900)*J1900*(1-N($G1900)),2)),"")</f>
        <v/>
      </c>
      <c r="L1900" s="62" t="str">
        <f aca="false">IF(IsPro,IF($D1900="","",IFERROR(INDEX(Items!$F$5:$F$504,Q1900),0)),"")</f>
        <v/>
      </c>
      <c r="M1900" s="61" t="str">
        <f aca="false">IF(IsPro,IF($D1900="","",IF(AND(R1900&lt;&gt;"",INDEX(Parties!$E$5:$E$304,R1900)&lt;&gt;"",INDEX(Parties!$E$5:$E$304,R1900)&lt;&gt;HomeState),0,ROUND(K1900*L1900/2,2))),"")</f>
        <v/>
      </c>
      <c r="N1900" s="61" t="str">
        <f aca="false">IF(IsPro,IF($D1900="","",M1900),"")</f>
        <v/>
      </c>
      <c r="O1900" s="61" t="str">
        <f aca="false">IF(IsPro,IF($D1900="","",IF(AND(R1900&lt;&gt;"",INDEX(Parties!$E$5:$E$304,R1900)&lt;&gt;"",INDEX(Parties!$E$5:$E$304,R1900)&lt;&gt;HomeState),ROUND(K1900*L1900,2),0)),"")</f>
        <v/>
      </c>
      <c r="P1900" s="61" t="str">
        <f aca="false">IF(IsPro,IF($D1900="","",K1900+M1900+N1900+O1900),"")</f>
        <v/>
      </c>
      <c r="Q1900" s="60" t="str">
        <f aca="false">IF(IsPro,IF($D1900="","",IFERROR(MATCH($D1900,Items!$A$5:$A$504,0),"")),"")</f>
        <v/>
      </c>
      <c r="R1900" s="60" t="str">
        <f aca="false">IF(IsPro,IF($C1900="","",IFERROR(MATCH($C1900,Parties!$A$5:$A$304,0),"")),"")</f>
        <v/>
      </c>
      <c r="S1900" s="61" t="str">
        <f aca="false">IF(IsPro,IF($D1900="","",IF(OR($H1900="",$H1900="Credit"),0,P1900)),"")</f>
        <v/>
      </c>
    </row>
    <row r="1901" customFormat="false" ht="15" hidden="false" customHeight="false" outlineLevel="0" collapsed="false">
      <c r="A1901" s="55"/>
      <c r="B1901" s="56"/>
      <c r="C1901" s="56"/>
      <c r="D1901" s="56"/>
      <c r="E1901" s="57"/>
      <c r="F1901" s="58"/>
      <c r="G1901" s="59"/>
      <c r="H1901" s="56"/>
      <c r="I1901" s="60" t="str">
        <f aca="false">IF(IsPro,IF($D1901="","",IFERROR(INDEX(Items!$D$5:$D$504,Q1901),"")),IF($D1901="","","PRO PLAN"))</f>
        <v/>
      </c>
      <c r="J1901" s="61" t="str">
        <f aca="false">IF(IsPro,IF($D1901="","",IF($F1901="",IFERROR(INDEX(Items!$G$5:$G$504,Q1901),0),$F1901)),"")</f>
        <v/>
      </c>
      <c r="K1901" s="61" t="str">
        <f aca="false">IF(IsPro,IF($D1901="","",ROUND(N($E1901)*J1901*(1-N($G1901)),2)),"")</f>
        <v/>
      </c>
      <c r="L1901" s="62" t="str">
        <f aca="false">IF(IsPro,IF($D1901="","",IFERROR(INDEX(Items!$F$5:$F$504,Q1901),0)),"")</f>
        <v/>
      </c>
      <c r="M1901" s="61" t="str">
        <f aca="false">IF(IsPro,IF($D1901="","",IF(AND(R1901&lt;&gt;"",INDEX(Parties!$E$5:$E$304,R1901)&lt;&gt;"",INDEX(Parties!$E$5:$E$304,R1901)&lt;&gt;HomeState),0,ROUND(K1901*L1901/2,2))),"")</f>
        <v/>
      </c>
      <c r="N1901" s="61" t="str">
        <f aca="false">IF(IsPro,IF($D1901="","",M1901),"")</f>
        <v/>
      </c>
      <c r="O1901" s="61" t="str">
        <f aca="false">IF(IsPro,IF($D1901="","",IF(AND(R1901&lt;&gt;"",INDEX(Parties!$E$5:$E$304,R1901)&lt;&gt;"",INDEX(Parties!$E$5:$E$304,R1901)&lt;&gt;HomeState),ROUND(K1901*L1901,2),0)),"")</f>
        <v/>
      </c>
      <c r="P1901" s="61" t="str">
        <f aca="false">IF(IsPro,IF($D1901="","",K1901+M1901+N1901+O1901),"")</f>
        <v/>
      </c>
      <c r="Q1901" s="60" t="str">
        <f aca="false">IF(IsPro,IF($D1901="","",IFERROR(MATCH($D1901,Items!$A$5:$A$504,0),"")),"")</f>
        <v/>
      </c>
      <c r="R1901" s="60" t="str">
        <f aca="false">IF(IsPro,IF($C1901="","",IFERROR(MATCH($C1901,Parties!$A$5:$A$304,0),"")),"")</f>
        <v/>
      </c>
      <c r="S1901" s="61" t="str">
        <f aca="false">IF(IsPro,IF($D1901="","",IF(OR($H1901="",$H1901="Credit"),0,P1901)),"")</f>
        <v/>
      </c>
    </row>
    <row r="1902" customFormat="false" ht="15" hidden="false" customHeight="false" outlineLevel="0" collapsed="false">
      <c r="A1902" s="55"/>
      <c r="B1902" s="56"/>
      <c r="C1902" s="56"/>
      <c r="D1902" s="56"/>
      <c r="E1902" s="57"/>
      <c r="F1902" s="58"/>
      <c r="G1902" s="59"/>
      <c r="H1902" s="56"/>
      <c r="I1902" s="60" t="str">
        <f aca="false">IF(IsPro,IF($D1902="","",IFERROR(INDEX(Items!$D$5:$D$504,Q1902),"")),IF($D1902="","","PRO PLAN"))</f>
        <v/>
      </c>
      <c r="J1902" s="61" t="str">
        <f aca="false">IF(IsPro,IF($D1902="","",IF($F1902="",IFERROR(INDEX(Items!$G$5:$G$504,Q1902),0),$F1902)),"")</f>
        <v/>
      </c>
      <c r="K1902" s="61" t="str">
        <f aca="false">IF(IsPro,IF($D1902="","",ROUND(N($E1902)*J1902*(1-N($G1902)),2)),"")</f>
        <v/>
      </c>
      <c r="L1902" s="62" t="str">
        <f aca="false">IF(IsPro,IF($D1902="","",IFERROR(INDEX(Items!$F$5:$F$504,Q1902),0)),"")</f>
        <v/>
      </c>
      <c r="M1902" s="61" t="str">
        <f aca="false">IF(IsPro,IF($D1902="","",IF(AND(R1902&lt;&gt;"",INDEX(Parties!$E$5:$E$304,R1902)&lt;&gt;"",INDEX(Parties!$E$5:$E$304,R1902)&lt;&gt;HomeState),0,ROUND(K1902*L1902/2,2))),"")</f>
        <v/>
      </c>
      <c r="N1902" s="61" t="str">
        <f aca="false">IF(IsPro,IF($D1902="","",M1902),"")</f>
        <v/>
      </c>
      <c r="O1902" s="61" t="str">
        <f aca="false">IF(IsPro,IF($D1902="","",IF(AND(R1902&lt;&gt;"",INDEX(Parties!$E$5:$E$304,R1902)&lt;&gt;"",INDEX(Parties!$E$5:$E$304,R1902)&lt;&gt;HomeState),ROUND(K1902*L1902,2),0)),"")</f>
        <v/>
      </c>
      <c r="P1902" s="61" t="str">
        <f aca="false">IF(IsPro,IF($D1902="","",K1902+M1902+N1902+O1902),"")</f>
        <v/>
      </c>
      <c r="Q1902" s="60" t="str">
        <f aca="false">IF(IsPro,IF($D1902="","",IFERROR(MATCH($D1902,Items!$A$5:$A$504,0),"")),"")</f>
        <v/>
      </c>
      <c r="R1902" s="60" t="str">
        <f aca="false">IF(IsPro,IF($C1902="","",IFERROR(MATCH($C1902,Parties!$A$5:$A$304,0),"")),"")</f>
        <v/>
      </c>
      <c r="S1902" s="61" t="str">
        <f aca="false">IF(IsPro,IF($D1902="","",IF(OR($H1902="",$H1902="Credit"),0,P1902)),"")</f>
        <v/>
      </c>
    </row>
    <row r="1903" customFormat="false" ht="15" hidden="false" customHeight="false" outlineLevel="0" collapsed="false">
      <c r="A1903" s="55"/>
      <c r="B1903" s="56"/>
      <c r="C1903" s="56"/>
      <c r="D1903" s="56"/>
      <c r="E1903" s="57"/>
      <c r="F1903" s="58"/>
      <c r="G1903" s="59"/>
      <c r="H1903" s="56"/>
      <c r="I1903" s="60" t="str">
        <f aca="false">IF(IsPro,IF($D1903="","",IFERROR(INDEX(Items!$D$5:$D$504,Q1903),"")),IF($D1903="","","PRO PLAN"))</f>
        <v/>
      </c>
      <c r="J1903" s="61" t="str">
        <f aca="false">IF(IsPro,IF($D1903="","",IF($F1903="",IFERROR(INDEX(Items!$G$5:$G$504,Q1903),0),$F1903)),"")</f>
        <v/>
      </c>
      <c r="K1903" s="61" t="str">
        <f aca="false">IF(IsPro,IF($D1903="","",ROUND(N($E1903)*J1903*(1-N($G1903)),2)),"")</f>
        <v/>
      </c>
      <c r="L1903" s="62" t="str">
        <f aca="false">IF(IsPro,IF($D1903="","",IFERROR(INDEX(Items!$F$5:$F$504,Q1903),0)),"")</f>
        <v/>
      </c>
      <c r="M1903" s="61" t="str">
        <f aca="false">IF(IsPro,IF($D1903="","",IF(AND(R1903&lt;&gt;"",INDEX(Parties!$E$5:$E$304,R1903)&lt;&gt;"",INDEX(Parties!$E$5:$E$304,R1903)&lt;&gt;HomeState),0,ROUND(K1903*L1903/2,2))),"")</f>
        <v/>
      </c>
      <c r="N1903" s="61" t="str">
        <f aca="false">IF(IsPro,IF($D1903="","",M1903),"")</f>
        <v/>
      </c>
      <c r="O1903" s="61" t="str">
        <f aca="false">IF(IsPro,IF($D1903="","",IF(AND(R1903&lt;&gt;"",INDEX(Parties!$E$5:$E$304,R1903)&lt;&gt;"",INDEX(Parties!$E$5:$E$304,R1903)&lt;&gt;HomeState),ROUND(K1903*L1903,2),0)),"")</f>
        <v/>
      </c>
      <c r="P1903" s="61" t="str">
        <f aca="false">IF(IsPro,IF($D1903="","",K1903+M1903+N1903+O1903),"")</f>
        <v/>
      </c>
      <c r="Q1903" s="60" t="str">
        <f aca="false">IF(IsPro,IF($D1903="","",IFERROR(MATCH($D1903,Items!$A$5:$A$504,0),"")),"")</f>
        <v/>
      </c>
      <c r="R1903" s="60" t="str">
        <f aca="false">IF(IsPro,IF($C1903="","",IFERROR(MATCH($C1903,Parties!$A$5:$A$304,0),"")),"")</f>
        <v/>
      </c>
      <c r="S1903" s="61" t="str">
        <f aca="false">IF(IsPro,IF($D1903="","",IF(OR($H1903="",$H1903="Credit"),0,P1903)),"")</f>
        <v/>
      </c>
    </row>
    <row r="1904" customFormat="false" ht="15" hidden="false" customHeight="false" outlineLevel="0" collapsed="false">
      <c r="A1904" s="55"/>
      <c r="B1904" s="56"/>
      <c r="C1904" s="56"/>
      <c r="D1904" s="56"/>
      <c r="E1904" s="57"/>
      <c r="F1904" s="58"/>
      <c r="G1904" s="59"/>
      <c r="H1904" s="56"/>
      <c r="I1904" s="60" t="str">
        <f aca="false">IF(IsPro,IF($D1904="","",IFERROR(INDEX(Items!$D$5:$D$504,Q1904),"")),IF($D1904="","","PRO PLAN"))</f>
        <v/>
      </c>
      <c r="J1904" s="61" t="str">
        <f aca="false">IF(IsPro,IF($D1904="","",IF($F1904="",IFERROR(INDEX(Items!$G$5:$G$504,Q1904),0),$F1904)),"")</f>
        <v/>
      </c>
      <c r="K1904" s="61" t="str">
        <f aca="false">IF(IsPro,IF($D1904="","",ROUND(N($E1904)*J1904*(1-N($G1904)),2)),"")</f>
        <v/>
      </c>
      <c r="L1904" s="62" t="str">
        <f aca="false">IF(IsPro,IF($D1904="","",IFERROR(INDEX(Items!$F$5:$F$504,Q1904),0)),"")</f>
        <v/>
      </c>
      <c r="M1904" s="61" t="str">
        <f aca="false">IF(IsPro,IF($D1904="","",IF(AND(R1904&lt;&gt;"",INDEX(Parties!$E$5:$E$304,R1904)&lt;&gt;"",INDEX(Parties!$E$5:$E$304,R1904)&lt;&gt;HomeState),0,ROUND(K1904*L1904/2,2))),"")</f>
        <v/>
      </c>
      <c r="N1904" s="61" t="str">
        <f aca="false">IF(IsPro,IF($D1904="","",M1904),"")</f>
        <v/>
      </c>
      <c r="O1904" s="61" t="str">
        <f aca="false">IF(IsPro,IF($D1904="","",IF(AND(R1904&lt;&gt;"",INDEX(Parties!$E$5:$E$304,R1904)&lt;&gt;"",INDEX(Parties!$E$5:$E$304,R1904)&lt;&gt;HomeState),ROUND(K1904*L1904,2),0)),"")</f>
        <v/>
      </c>
      <c r="P1904" s="61" t="str">
        <f aca="false">IF(IsPro,IF($D1904="","",K1904+M1904+N1904+O1904),"")</f>
        <v/>
      </c>
      <c r="Q1904" s="60" t="str">
        <f aca="false">IF(IsPro,IF($D1904="","",IFERROR(MATCH($D1904,Items!$A$5:$A$504,0),"")),"")</f>
        <v/>
      </c>
      <c r="R1904" s="60" t="str">
        <f aca="false">IF(IsPro,IF($C1904="","",IFERROR(MATCH($C1904,Parties!$A$5:$A$304,0),"")),"")</f>
        <v/>
      </c>
      <c r="S1904" s="61" t="str">
        <f aca="false">IF(IsPro,IF($D1904="","",IF(OR($H1904="",$H1904="Credit"),0,P1904)),"")</f>
        <v/>
      </c>
    </row>
    <row r="1905" customFormat="false" ht="15" hidden="false" customHeight="false" outlineLevel="0" collapsed="false">
      <c r="A1905" s="55"/>
      <c r="B1905" s="56"/>
      <c r="C1905" s="56"/>
      <c r="D1905" s="56"/>
      <c r="E1905" s="57"/>
      <c r="F1905" s="58"/>
      <c r="G1905" s="59"/>
      <c r="H1905" s="56"/>
      <c r="I1905" s="60" t="str">
        <f aca="false">IF(IsPro,IF($D1905="","",IFERROR(INDEX(Items!$D$5:$D$504,Q1905),"")),IF($D1905="","","PRO PLAN"))</f>
        <v/>
      </c>
      <c r="J1905" s="61" t="str">
        <f aca="false">IF(IsPro,IF($D1905="","",IF($F1905="",IFERROR(INDEX(Items!$G$5:$G$504,Q1905),0),$F1905)),"")</f>
        <v/>
      </c>
      <c r="K1905" s="61" t="str">
        <f aca="false">IF(IsPro,IF($D1905="","",ROUND(N($E1905)*J1905*(1-N($G1905)),2)),"")</f>
        <v/>
      </c>
      <c r="L1905" s="62" t="str">
        <f aca="false">IF(IsPro,IF($D1905="","",IFERROR(INDEX(Items!$F$5:$F$504,Q1905),0)),"")</f>
        <v/>
      </c>
      <c r="M1905" s="61" t="str">
        <f aca="false">IF(IsPro,IF($D1905="","",IF(AND(R1905&lt;&gt;"",INDEX(Parties!$E$5:$E$304,R1905)&lt;&gt;"",INDEX(Parties!$E$5:$E$304,R1905)&lt;&gt;HomeState),0,ROUND(K1905*L1905/2,2))),"")</f>
        <v/>
      </c>
      <c r="N1905" s="61" t="str">
        <f aca="false">IF(IsPro,IF($D1905="","",M1905),"")</f>
        <v/>
      </c>
      <c r="O1905" s="61" t="str">
        <f aca="false">IF(IsPro,IF($D1905="","",IF(AND(R1905&lt;&gt;"",INDEX(Parties!$E$5:$E$304,R1905)&lt;&gt;"",INDEX(Parties!$E$5:$E$304,R1905)&lt;&gt;HomeState),ROUND(K1905*L1905,2),0)),"")</f>
        <v/>
      </c>
      <c r="P1905" s="61" t="str">
        <f aca="false">IF(IsPro,IF($D1905="","",K1905+M1905+N1905+O1905),"")</f>
        <v/>
      </c>
      <c r="Q1905" s="60" t="str">
        <f aca="false">IF(IsPro,IF($D1905="","",IFERROR(MATCH($D1905,Items!$A$5:$A$504,0),"")),"")</f>
        <v/>
      </c>
      <c r="R1905" s="60" t="str">
        <f aca="false">IF(IsPro,IF($C1905="","",IFERROR(MATCH($C1905,Parties!$A$5:$A$304,0),"")),"")</f>
        <v/>
      </c>
      <c r="S1905" s="61" t="str">
        <f aca="false">IF(IsPro,IF($D1905="","",IF(OR($H1905="",$H1905="Credit"),0,P1905)),"")</f>
        <v/>
      </c>
    </row>
    <row r="1906" customFormat="false" ht="15" hidden="false" customHeight="false" outlineLevel="0" collapsed="false">
      <c r="A1906" s="55"/>
      <c r="B1906" s="56"/>
      <c r="C1906" s="56"/>
      <c r="D1906" s="56"/>
      <c r="E1906" s="57"/>
      <c r="F1906" s="58"/>
      <c r="G1906" s="59"/>
      <c r="H1906" s="56"/>
      <c r="I1906" s="60" t="str">
        <f aca="false">IF(IsPro,IF($D1906="","",IFERROR(INDEX(Items!$D$5:$D$504,Q1906),"")),IF($D1906="","","PRO PLAN"))</f>
        <v/>
      </c>
      <c r="J1906" s="61" t="str">
        <f aca="false">IF(IsPro,IF($D1906="","",IF($F1906="",IFERROR(INDEX(Items!$G$5:$G$504,Q1906),0),$F1906)),"")</f>
        <v/>
      </c>
      <c r="K1906" s="61" t="str">
        <f aca="false">IF(IsPro,IF($D1906="","",ROUND(N($E1906)*J1906*(1-N($G1906)),2)),"")</f>
        <v/>
      </c>
      <c r="L1906" s="62" t="str">
        <f aca="false">IF(IsPro,IF($D1906="","",IFERROR(INDEX(Items!$F$5:$F$504,Q1906),0)),"")</f>
        <v/>
      </c>
      <c r="M1906" s="61" t="str">
        <f aca="false">IF(IsPro,IF($D1906="","",IF(AND(R1906&lt;&gt;"",INDEX(Parties!$E$5:$E$304,R1906)&lt;&gt;"",INDEX(Parties!$E$5:$E$304,R1906)&lt;&gt;HomeState),0,ROUND(K1906*L1906/2,2))),"")</f>
        <v/>
      </c>
      <c r="N1906" s="61" t="str">
        <f aca="false">IF(IsPro,IF($D1906="","",M1906),"")</f>
        <v/>
      </c>
      <c r="O1906" s="61" t="str">
        <f aca="false">IF(IsPro,IF($D1906="","",IF(AND(R1906&lt;&gt;"",INDEX(Parties!$E$5:$E$304,R1906)&lt;&gt;"",INDEX(Parties!$E$5:$E$304,R1906)&lt;&gt;HomeState),ROUND(K1906*L1906,2),0)),"")</f>
        <v/>
      </c>
      <c r="P1906" s="61" t="str">
        <f aca="false">IF(IsPro,IF($D1906="","",K1906+M1906+N1906+O1906),"")</f>
        <v/>
      </c>
      <c r="Q1906" s="60" t="str">
        <f aca="false">IF(IsPro,IF($D1906="","",IFERROR(MATCH($D1906,Items!$A$5:$A$504,0),"")),"")</f>
        <v/>
      </c>
      <c r="R1906" s="60" t="str">
        <f aca="false">IF(IsPro,IF($C1906="","",IFERROR(MATCH($C1906,Parties!$A$5:$A$304,0),"")),"")</f>
        <v/>
      </c>
      <c r="S1906" s="61" t="str">
        <f aca="false">IF(IsPro,IF($D1906="","",IF(OR($H1906="",$H1906="Credit"),0,P1906)),"")</f>
        <v/>
      </c>
    </row>
    <row r="1907" customFormat="false" ht="15" hidden="false" customHeight="false" outlineLevel="0" collapsed="false">
      <c r="A1907" s="55"/>
      <c r="B1907" s="56"/>
      <c r="C1907" s="56"/>
      <c r="D1907" s="56"/>
      <c r="E1907" s="57"/>
      <c r="F1907" s="58"/>
      <c r="G1907" s="59"/>
      <c r="H1907" s="56"/>
      <c r="I1907" s="60" t="str">
        <f aca="false">IF(IsPro,IF($D1907="","",IFERROR(INDEX(Items!$D$5:$D$504,Q1907),"")),IF($D1907="","","PRO PLAN"))</f>
        <v/>
      </c>
      <c r="J1907" s="61" t="str">
        <f aca="false">IF(IsPro,IF($D1907="","",IF($F1907="",IFERROR(INDEX(Items!$G$5:$G$504,Q1907),0),$F1907)),"")</f>
        <v/>
      </c>
      <c r="K1907" s="61" t="str">
        <f aca="false">IF(IsPro,IF($D1907="","",ROUND(N($E1907)*J1907*(1-N($G1907)),2)),"")</f>
        <v/>
      </c>
      <c r="L1907" s="62" t="str">
        <f aca="false">IF(IsPro,IF($D1907="","",IFERROR(INDEX(Items!$F$5:$F$504,Q1907),0)),"")</f>
        <v/>
      </c>
      <c r="M1907" s="61" t="str">
        <f aca="false">IF(IsPro,IF($D1907="","",IF(AND(R1907&lt;&gt;"",INDEX(Parties!$E$5:$E$304,R1907)&lt;&gt;"",INDEX(Parties!$E$5:$E$304,R1907)&lt;&gt;HomeState),0,ROUND(K1907*L1907/2,2))),"")</f>
        <v/>
      </c>
      <c r="N1907" s="61" t="str">
        <f aca="false">IF(IsPro,IF($D1907="","",M1907),"")</f>
        <v/>
      </c>
      <c r="O1907" s="61" t="str">
        <f aca="false">IF(IsPro,IF($D1907="","",IF(AND(R1907&lt;&gt;"",INDEX(Parties!$E$5:$E$304,R1907)&lt;&gt;"",INDEX(Parties!$E$5:$E$304,R1907)&lt;&gt;HomeState),ROUND(K1907*L1907,2),0)),"")</f>
        <v/>
      </c>
      <c r="P1907" s="61" t="str">
        <f aca="false">IF(IsPro,IF($D1907="","",K1907+M1907+N1907+O1907),"")</f>
        <v/>
      </c>
      <c r="Q1907" s="60" t="str">
        <f aca="false">IF(IsPro,IF($D1907="","",IFERROR(MATCH($D1907,Items!$A$5:$A$504,0),"")),"")</f>
        <v/>
      </c>
      <c r="R1907" s="60" t="str">
        <f aca="false">IF(IsPro,IF($C1907="","",IFERROR(MATCH($C1907,Parties!$A$5:$A$304,0),"")),"")</f>
        <v/>
      </c>
      <c r="S1907" s="61" t="str">
        <f aca="false">IF(IsPro,IF($D1907="","",IF(OR($H1907="",$H1907="Credit"),0,P1907)),"")</f>
        <v/>
      </c>
    </row>
    <row r="1908" customFormat="false" ht="15" hidden="false" customHeight="false" outlineLevel="0" collapsed="false">
      <c r="A1908" s="55"/>
      <c r="B1908" s="56"/>
      <c r="C1908" s="56"/>
      <c r="D1908" s="56"/>
      <c r="E1908" s="57"/>
      <c r="F1908" s="58"/>
      <c r="G1908" s="59"/>
      <c r="H1908" s="56"/>
      <c r="I1908" s="60" t="str">
        <f aca="false">IF(IsPro,IF($D1908="","",IFERROR(INDEX(Items!$D$5:$D$504,Q1908),"")),IF($D1908="","","PRO PLAN"))</f>
        <v/>
      </c>
      <c r="J1908" s="61" t="str">
        <f aca="false">IF(IsPro,IF($D1908="","",IF($F1908="",IFERROR(INDEX(Items!$G$5:$G$504,Q1908),0),$F1908)),"")</f>
        <v/>
      </c>
      <c r="K1908" s="61" t="str">
        <f aca="false">IF(IsPro,IF($D1908="","",ROUND(N($E1908)*J1908*(1-N($G1908)),2)),"")</f>
        <v/>
      </c>
      <c r="L1908" s="62" t="str">
        <f aca="false">IF(IsPro,IF($D1908="","",IFERROR(INDEX(Items!$F$5:$F$504,Q1908),0)),"")</f>
        <v/>
      </c>
      <c r="M1908" s="61" t="str">
        <f aca="false">IF(IsPro,IF($D1908="","",IF(AND(R1908&lt;&gt;"",INDEX(Parties!$E$5:$E$304,R1908)&lt;&gt;"",INDEX(Parties!$E$5:$E$304,R1908)&lt;&gt;HomeState),0,ROUND(K1908*L1908/2,2))),"")</f>
        <v/>
      </c>
      <c r="N1908" s="61" t="str">
        <f aca="false">IF(IsPro,IF($D1908="","",M1908),"")</f>
        <v/>
      </c>
      <c r="O1908" s="61" t="str">
        <f aca="false">IF(IsPro,IF($D1908="","",IF(AND(R1908&lt;&gt;"",INDEX(Parties!$E$5:$E$304,R1908)&lt;&gt;"",INDEX(Parties!$E$5:$E$304,R1908)&lt;&gt;HomeState),ROUND(K1908*L1908,2),0)),"")</f>
        <v/>
      </c>
      <c r="P1908" s="61" t="str">
        <f aca="false">IF(IsPro,IF($D1908="","",K1908+M1908+N1908+O1908),"")</f>
        <v/>
      </c>
      <c r="Q1908" s="60" t="str">
        <f aca="false">IF(IsPro,IF($D1908="","",IFERROR(MATCH($D1908,Items!$A$5:$A$504,0),"")),"")</f>
        <v/>
      </c>
      <c r="R1908" s="60" t="str">
        <f aca="false">IF(IsPro,IF($C1908="","",IFERROR(MATCH($C1908,Parties!$A$5:$A$304,0),"")),"")</f>
        <v/>
      </c>
      <c r="S1908" s="61" t="str">
        <f aca="false">IF(IsPro,IF($D1908="","",IF(OR($H1908="",$H1908="Credit"),0,P1908)),"")</f>
        <v/>
      </c>
    </row>
    <row r="1909" customFormat="false" ht="15" hidden="false" customHeight="false" outlineLevel="0" collapsed="false">
      <c r="A1909" s="55"/>
      <c r="B1909" s="56"/>
      <c r="C1909" s="56"/>
      <c r="D1909" s="56"/>
      <c r="E1909" s="57"/>
      <c r="F1909" s="58"/>
      <c r="G1909" s="59"/>
      <c r="H1909" s="56"/>
      <c r="I1909" s="60" t="str">
        <f aca="false">IF(IsPro,IF($D1909="","",IFERROR(INDEX(Items!$D$5:$D$504,Q1909),"")),IF($D1909="","","PRO PLAN"))</f>
        <v/>
      </c>
      <c r="J1909" s="61" t="str">
        <f aca="false">IF(IsPro,IF($D1909="","",IF($F1909="",IFERROR(INDEX(Items!$G$5:$G$504,Q1909),0),$F1909)),"")</f>
        <v/>
      </c>
      <c r="K1909" s="61" t="str">
        <f aca="false">IF(IsPro,IF($D1909="","",ROUND(N($E1909)*J1909*(1-N($G1909)),2)),"")</f>
        <v/>
      </c>
      <c r="L1909" s="62" t="str">
        <f aca="false">IF(IsPro,IF($D1909="","",IFERROR(INDEX(Items!$F$5:$F$504,Q1909),0)),"")</f>
        <v/>
      </c>
      <c r="M1909" s="61" t="str">
        <f aca="false">IF(IsPro,IF($D1909="","",IF(AND(R1909&lt;&gt;"",INDEX(Parties!$E$5:$E$304,R1909)&lt;&gt;"",INDEX(Parties!$E$5:$E$304,R1909)&lt;&gt;HomeState),0,ROUND(K1909*L1909/2,2))),"")</f>
        <v/>
      </c>
      <c r="N1909" s="61" t="str">
        <f aca="false">IF(IsPro,IF($D1909="","",M1909),"")</f>
        <v/>
      </c>
      <c r="O1909" s="61" t="str">
        <f aca="false">IF(IsPro,IF($D1909="","",IF(AND(R1909&lt;&gt;"",INDEX(Parties!$E$5:$E$304,R1909)&lt;&gt;"",INDEX(Parties!$E$5:$E$304,R1909)&lt;&gt;HomeState),ROUND(K1909*L1909,2),0)),"")</f>
        <v/>
      </c>
      <c r="P1909" s="61" t="str">
        <f aca="false">IF(IsPro,IF($D1909="","",K1909+M1909+N1909+O1909),"")</f>
        <v/>
      </c>
      <c r="Q1909" s="60" t="str">
        <f aca="false">IF(IsPro,IF($D1909="","",IFERROR(MATCH($D1909,Items!$A$5:$A$504,0),"")),"")</f>
        <v/>
      </c>
      <c r="R1909" s="60" t="str">
        <f aca="false">IF(IsPro,IF($C1909="","",IFERROR(MATCH($C1909,Parties!$A$5:$A$304,0),"")),"")</f>
        <v/>
      </c>
      <c r="S1909" s="61" t="str">
        <f aca="false">IF(IsPro,IF($D1909="","",IF(OR($H1909="",$H1909="Credit"),0,P1909)),"")</f>
        <v/>
      </c>
    </row>
    <row r="1910" customFormat="false" ht="15" hidden="false" customHeight="false" outlineLevel="0" collapsed="false">
      <c r="A1910" s="55"/>
      <c r="B1910" s="56"/>
      <c r="C1910" s="56"/>
      <c r="D1910" s="56"/>
      <c r="E1910" s="57"/>
      <c r="F1910" s="58"/>
      <c r="G1910" s="59"/>
      <c r="H1910" s="56"/>
      <c r="I1910" s="60" t="str">
        <f aca="false">IF(IsPro,IF($D1910="","",IFERROR(INDEX(Items!$D$5:$D$504,Q1910),"")),IF($D1910="","","PRO PLAN"))</f>
        <v/>
      </c>
      <c r="J1910" s="61" t="str">
        <f aca="false">IF(IsPro,IF($D1910="","",IF($F1910="",IFERROR(INDEX(Items!$G$5:$G$504,Q1910),0),$F1910)),"")</f>
        <v/>
      </c>
      <c r="K1910" s="61" t="str">
        <f aca="false">IF(IsPro,IF($D1910="","",ROUND(N($E1910)*J1910*(1-N($G1910)),2)),"")</f>
        <v/>
      </c>
      <c r="L1910" s="62" t="str">
        <f aca="false">IF(IsPro,IF($D1910="","",IFERROR(INDEX(Items!$F$5:$F$504,Q1910),0)),"")</f>
        <v/>
      </c>
      <c r="M1910" s="61" t="str">
        <f aca="false">IF(IsPro,IF($D1910="","",IF(AND(R1910&lt;&gt;"",INDEX(Parties!$E$5:$E$304,R1910)&lt;&gt;"",INDEX(Parties!$E$5:$E$304,R1910)&lt;&gt;HomeState),0,ROUND(K1910*L1910/2,2))),"")</f>
        <v/>
      </c>
      <c r="N1910" s="61" t="str">
        <f aca="false">IF(IsPro,IF($D1910="","",M1910),"")</f>
        <v/>
      </c>
      <c r="O1910" s="61" t="str">
        <f aca="false">IF(IsPro,IF($D1910="","",IF(AND(R1910&lt;&gt;"",INDEX(Parties!$E$5:$E$304,R1910)&lt;&gt;"",INDEX(Parties!$E$5:$E$304,R1910)&lt;&gt;HomeState),ROUND(K1910*L1910,2),0)),"")</f>
        <v/>
      </c>
      <c r="P1910" s="61" t="str">
        <f aca="false">IF(IsPro,IF($D1910="","",K1910+M1910+N1910+O1910),"")</f>
        <v/>
      </c>
      <c r="Q1910" s="60" t="str">
        <f aca="false">IF(IsPro,IF($D1910="","",IFERROR(MATCH($D1910,Items!$A$5:$A$504,0),"")),"")</f>
        <v/>
      </c>
      <c r="R1910" s="60" t="str">
        <f aca="false">IF(IsPro,IF($C1910="","",IFERROR(MATCH($C1910,Parties!$A$5:$A$304,0),"")),"")</f>
        <v/>
      </c>
      <c r="S1910" s="61" t="str">
        <f aca="false">IF(IsPro,IF($D1910="","",IF(OR($H1910="",$H1910="Credit"),0,P1910)),"")</f>
        <v/>
      </c>
    </row>
    <row r="1911" customFormat="false" ht="15" hidden="false" customHeight="false" outlineLevel="0" collapsed="false">
      <c r="A1911" s="55"/>
      <c r="B1911" s="56"/>
      <c r="C1911" s="56"/>
      <c r="D1911" s="56"/>
      <c r="E1911" s="57"/>
      <c r="F1911" s="58"/>
      <c r="G1911" s="59"/>
      <c r="H1911" s="56"/>
      <c r="I1911" s="60" t="str">
        <f aca="false">IF(IsPro,IF($D1911="","",IFERROR(INDEX(Items!$D$5:$D$504,Q1911),"")),IF($D1911="","","PRO PLAN"))</f>
        <v/>
      </c>
      <c r="J1911" s="61" t="str">
        <f aca="false">IF(IsPro,IF($D1911="","",IF($F1911="",IFERROR(INDEX(Items!$G$5:$G$504,Q1911),0),$F1911)),"")</f>
        <v/>
      </c>
      <c r="K1911" s="61" t="str">
        <f aca="false">IF(IsPro,IF($D1911="","",ROUND(N($E1911)*J1911*(1-N($G1911)),2)),"")</f>
        <v/>
      </c>
      <c r="L1911" s="62" t="str">
        <f aca="false">IF(IsPro,IF($D1911="","",IFERROR(INDEX(Items!$F$5:$F$504,Q1911),0)),"")</f>
        <v/>
      </c>
      <c r="M1911" s="61" t="str">
        <f aca="false">IF(IsPro,IF($D1911="","",IF(AND(R1911&lt;&gt;"",INDEX(Parties!$E$5:$E$304,R1911)&lt;&gt;"",INDEX(Parties!$E$5:$E$304,R1911)&lt;&gt;HomeState),0,ROUND(K1911*L1911/2,2))),"")</f>
        <v/>
      </c>
      <c r="N1911" s="61" t="str">
        <f aca="false">IF(IsPro,IF($D1911="","",M1911),"")</f>
        <v/>
      </c>
      <c r="O1911" s="61" t="str">
        <f aca="false">IF(IsPro,IF($D1911="","",IF(AND(R1911&lt;&gt;"",INDEX(Parties!$E$5:$E$304,R1911)&lt;&gt;"",INDEX(Parties!$E$5:$E$304,R1911)&lt;&gt;HomeState),ROUND(K1911*L1911,2),0)),"")</f>
        <v/>
      </c>
      <c r="P1911" s="61" t="str">
        <f aca="false">IF(IsPro,IF($D1911="","",K1911+M1911+N1911+O1911),"")</f>
        <v/>
      </c>
      <c r="Q1911" s="60" t="str">
        <f aca="false">IF(IsPro,IF($D1911="","",IFERROR(MATCH($D1911,Items!$A$5:$A$504,0),"")),"")</f>
        <v/>
      </c>
      <c r="R1911" s="60" t="str">
        <f aca="false">IF(IsPro,IF($C1911="","",IFERROR(MATCH($C1911,Parties!$A$5:$A$304,0),"")),"")</f>
        <v/>
      </c>
      <c r="S1911" s="61" t="str">
        <f aca="false">IF(IsPro,IF($D1911="","",IF(OR($H1911="",$H1911="Credit"),0,P1911)),"")</f>
        <v/>
      </c>
    </row>
    <row r="1912" customFormat="false" ht="15" hidden="false" customHeight="false" outlineLevel="0" collapsed="false">
      <c r="A1912" s="55"/>
      <c r="B1912" s="56"/>
      <c r="C1912" s="56"/>
      <c r="D1912" s="56"/>
      <c r="E1912" s="57"/>
      <c r="F1912" s="58"/>
      <c r="G1912" s="59"/>
      <c r="H1912" s="56"/>
      <c r="I1912" s="60" t="str">
        <f aca="false">IF(IsPro,IF($D1912="","",IFERROR(INDEX(Items!$D$5:$D$504,Q1912),"")),IF($D1912="","","PRO PLAN"))</f>
        <v/>
      </c>
      <c r="J1912" s="61" t="str">
        <f aca="false">IF(IsPro,IF($D1912="","",IF($F1912="",IFERROR(INDEX(Items!$G$5:$G$504,Q1912),0),$F1912)),"")</f>
        <v/>
      </c>
      <c r="K1912" s="61" t="str">
        <f aca="false">IF(IsPro,IF($D1912="","",ROUND(N($E1912)*J1912*(1-N($G1912)),2)),"")</f>
        <v/>
      </c>
      <c r="L1912" s="62" t="str">
        <f aca="false">IF(IsPro,IF($D1912="","",IFERROR(INDEX(Items!$F$5:$F$504,Q1912),0)),"")</f>
        <v/>
      </c>
      <c r="M1912" s="61" t="str">
        <f aca="false">IF(IsPro,IF($D1912="","",IF(AND(R1912&lt;&gt;"",INDEX(Parties!$E$5:$E$304,R1912)&lt;&gt;"",INDEX(Parties!$E$5:$E$304,R1912)&lt;&gt;HomeState),0,ROUND(K1912*L1912/2,2))),"")</f>
        <v/>
      </c>
      <c r="N1912" s="61" t="str">
        <f aca="false">IF(IsPro,IF($D1912="","",M1912),"")</f>
        <v/>
      </c>
      <c r="O1912" s="61" t="str">
        <f aca="false">IF(IsPro,IF($D1912="","",IF(AND(R1912&lt;&gt;"",INDEX(Parties!$E$5:$E$304,R1912)&lt;&gt;"",INDEX(Parties!$E$5:$E$304,R1912)&lt;&gt;HomeState),ROUND(K1912*L1912,2),0)),"")</f>
        <v/>
      </c>
      <c r="P1912" s="61" t="str">
        <f aca="false">IF(IsPro,IF($D1912="","",K1912+M1912+N1912+O1912),"")</f>
        <v/>
      </c>
      <c r="Q1912" s="60" t="str">
        <f aca="false">IF(IsPro,IF($D1912="","",IFERROR(MATCH($D1912,Items!$A$5:$A$504,0),"")),"")</f>
        <v/>
      </c>
      <c r="R1912" s="60" t="str">
        <f aca="false">IF(IsPro,IF($C1912="","",IFERROR(MATCH($C1912,Parties!$A$5:$A$304,0),"")),"")</f>
        <v/>
      </c>
      <c r="S1912" s="61" t="str">
        <f aca="false">IF(IsPro,IF($D1912="","",IF(OR($H1912="",$H1912="Credit"),0,P1912)),"")</f>
        <v/>
      </c>
    </row>
    <row r="1913" customFormat="false" ht="15" hidden="false" customHeight="false" outlineLevel="0" collapsed="false">
      <c r="A1913" s="55"/>
      <c r="B1913" s="56"/>
      <c r="C1913" s="56"/>
      <c r="D1913" s="56"/>
      <c r="E1913" s="57"/>
      <c r="F1913" s="58"/>
      <c r="G1913" s="59"/>
      <c r="H1913" s="56"/>
      <c r="I1913" s="60" t="str">
        <f aca="false">IF(IsPro,IF($D1913="","",IFERROR(INDEX(Items!$D$5:$D$504,Q1913),"")),IF($D1913="","","PRO PLAN"))</f>
        <v/>
      </c>
      <c r="J1913" s="61" t="str">
        <f aca="false">IF(IsPro,IF($D1913="","",IF($F1913="",IFERROR(INDEX(Items!$G$5:$G$504,Q1913),0),$F1913)),"")</f>
        <v/>
      </c>
      <c r="K1913" s="61" t="str">
        <f aca="false">IF(IsPro,IF($D1913="","",ROUND(N($E1913)*J1913*(1-N($G1913)),2)),"")</f>
        <v/>
      </c>
      <c r="L1913" s="62" t="str">
        <f aca="false">IF(IsPro,IF($D1913="","",IFERROR(INDEX(Items!$F$5:$F$504,Q1913),0)),"")</f>
        <v/>
      </c>
      <c r="M1913" s="61" t="str">
        <f aca="false">IF(IsPro,IF($D1913="","",IF(AND(R1913&lt;&gt;"",INDEX(Parties!$E$5:$E$304,R1913)&lt;&gt;"",INDEX(Parties!$E$5:$E$304,R1913)&lt;&gt;HomeState),0,ROUND(K1913*L1913/2,2))),"")</f>
        <v/>
      </c>
      <c r="N1913" s="61" t="str">
        <f aca="false">IF(IsPro,IF($D1913="","",M1913),"")</f>
        <v/>
      </c>
      <c r="O1913" s="61" t="str">
        <f aca="false">IF(IsPro,IF($D1913="","",IF(AND(R1913&lt;&gt;"",INDEX(Parties!$E$5:$E$304,R1913)&lt;&gt;"",INDEX(Parties!$E$5:$E$304,R1913)&lt;&gt;HomeState),ROUND(K1913*L1913,2),0)),"")</f>
        <v/>
      </c>
      <c r="P1913" s="61" t="str">
        <f aca="false">IF(IsPro,IF($D1913="","",K1913+M1913+N1913+O1913),"")</f>
        <v/>
      </c>
      <c r="Q1913" s="60" t="str">
        <f aca="false">IF(IsPro,IF($D1913="","",IFERROR(MATCH($D1913,Items!$A$5:$A$504,0),"")),"")</f>
        <v/>
      </c>
      <c r="R1913" s="60" t="str">
        <f aca="false">IF(IsPro,IF($C1913="","",IFERROR(MATCH($C1913,Parties!$A$5:$A$304,0),"")),"")</f>
        <v/>
      </c>
      <c r="S1913" s="61" t="str">
        <f aca="false">IF(IsPro,IF($D1913="","",IF(OR($H1913="",$H1913="Credit"),0,P1913)),"")</f>
        <v/>
      </c>
    </row>
    <row r="1914" customFormat="false" ht="15" hidden="false" customHeight="false" outlineLevel="0" collapsed="false">
      <c r="A1914" s="55"/>
      <c r="B1914" s="56"/>
      <c r="C1914" s="56"/>
      <c r="D1914" s="56"/>
      <c r="E1914" s="57"/>
      <c r="F1914" s="58"/>
      <c r="G1914" s="59"/>
      <c r="H1914" s="56"/>
      <c r="I1914" s="60" t="str">
        <f aca="false">IF(IsPro,IF($D1914="","",IFERROR(INDEX(Items!$D$5:$D$504,Q1914),"")),IF($D1914="","","PRO PLAN"))</f>
        <v/>
      </c>
      <c r="J1914" s="61" t="str">
        <f aca="false">IF(IsPro,IF($D1914="","",IF($F1914="",IFERROR(INDEX(Items!$G$5:$G$504,Q1914),0),$F1914)),"")</f>
        <v/>
      </c>
      <c r="K1914" s="61" t="str">
        <f aca="false">IF(IsPro,IF($D1914="","",ROUND(N($E1914)*J1914*(1-N($G1914)),2)),"")</f>
        <v/>
      </c>
      <c r="L1914" s="62" t="str">
        <f aca="false">IF(IsPro,IF($D1914="","",IFERROR(INDEX(Items!$F$5:$F$504,Q1914),0)),"")</f>
        <v/>
      </c>
      <c r="M1914" s="61" t="str">
        <f aca="false">IF(IsPro,IF($D1914="","",IF(AND(R1914&lt;&gt;"",INDEX(Parties!$E$5:$E$304,R1914)&lt;&gt;"",INDEX(Parties!$E$5:$E$304,R1914)&lt;&gt;HomeState),0,ROUND(K1914*L1914/2,2))),"")</f>
        <v/>
      </c>
      <c r="N1914" s="61" t="str">
        <f aca="false">IF(IsPro,IF($D1914="","",M1914),"")</f>
        <v/>
      </c>
      <c r="O1914" s="61" t="str">
        <f aca="false">IF(IsPro,IF($D1914="","",IF(AND(R1914&lt;&gt;"",INDEX(Parties!$E$5:$E$304,R1914)&lt;&gt;"",INDEX(Parties!$E$5:$E$304,R1914)&lt;&gt;HomeState),ROUND(K1914*L1914,2),0)),"")</f>
        <v/>
      </c>
      <c r="P1914" s="61" t="str">
        <f aca="false">IF(IsPro,IF($D1914="","",K1914+M1914+N1914+O1914),"")</f>
        <v/>
      </c>
      <c r="Q1914" s="60" t="str">
        <f aca="false">IF(IsPro,IF($D1914="","",IFERROR(MATCH($D1914,Items!$A$5:$A$504,0),"")),"")</f>
        <v/>
      </c>
      <c r="R1914" s="60" t="str">
        <f aca="false">IF(IsPro,IF($C1914="","",IFERROR(MATCH($C1914,Parties!$A$5:$A$304,0),"")),"")</f>
        <v/>
      </c>
      <c r="S1914" s="61" t="str">
        <f aca="false">IF(IsPro,IF($D1914="","",IF(OR($H1914="",$H1914="Credit"),0,P1914)),"")</f>
        <v/>
      </c>
    </row>
    <row r="1915" customFormat="false" ht="15" hidden="false" customHeight="false" outlineLevel="0" collapsed="false">
      <c r="A1915" s="55"/>
      <c r="B1915" s="56"/>
      <c r="C1915" s="56"/>
      <c r="D1915" s="56"/>
      <c r="E1915" s="57"/>
      <c r="F1915" s="58"/>
      <c r="G1915" s="59"/>
      <c r="H1915" s="56"/>
      <c r="I1915" s="60" t="str">
        <f aca="false">IF(IsPro,IF($D1915="","",IFERROR(INDEX(Items!$D$5:$D$504,Q1915),"")),IF($D1915="","","PRO PLAN"))</f>
        <v/>
      </c>
      <c r="J1915" s="61" t="str">
        <f aca="false">IF(IsPro,IF($D1915="","",IF($F1915="",IFERROR(INDEX(Items!$G$5:$G$504,Q1915),0),$F1915)),"")</f>
        <v/>
      </c>
      <c r="K1915" s="61" t="str">
        <f aca="false">IF(IsPro,IF($D1915="","",ROUND(N($E1915)*J1915*(1-N($G1915)),2)),"")</f>
        <v/>
      </c>
      <c r="L1915" s="62" t="str">
        <f aca="false">IF(IsPro,IF($D1915="","",IFERROR(INDEX(Items!$F$5:$F$504,Q1915),0)),"")</f>
        <v/>
      </c>
      <c r="M1915" s="61" t="str">
        <f aca="false">IF(IsPro,IF($D1915="","",IF(AND(R1915&lt;&gt;"",INDEX(Parties!$E$5:$E$304,R1915)&lt;&gt;"",INDEX(Parties!$E$5:$E$304,R1915)&lt;&gt;HomeState),0,ROUND(K1915*L1915/2,2))),"")</f>
        <v/>
      </c>
      <c r="N1915" s="61" t="str">
        <f aca="false">IF(IsPro,IF($D1915="","",M1915),"")</f>
        <v/>
      </c>
      <c r="O1915" s="61" t="str">
        <f aca="false">IF(IsPro,IF($D1915="","",IF(AND(R1915&lt;&gt;"",INDEX(Parties!$E$5:$E$304,R1915)&lt;&gt;"",INDEX(Parties!$E$5:$E$304,R1915)&lt;&gt;HomeState),ROUND(K1915*L1915,2),0)),"")</f>
        <v/>
      </c>
      <c r="P1915" s="61" t="str">
        <f aca="false">IF(IsPro,IF($D1915="","",K1915+M1915+N1915+O1915),"")</f>
        <v/>
      </c>
      <c r="Q1915" s="60" t="str">
        <f aca="false">IF(IsPro,IF($D1915="","",IFERROR(MATCH($D1915,Items!$A$5:$A$504,0),"")),"")</f>
        <v/>
      </c>
      <c r="R1915" s="60" t="str">
        <f aca="false">IF(IsPro,IF($C1915="","",IFERROR(MATCH($C1915,Parties!$A$5:$A$304,0),"")),"")</f>
        <v/>
      </c>
      <c r="S1915" s="61" t="str">
        <f aca="false">IF(IsPro,IF($D1915="","",IF(OR($H1915="",$H1915="Credit"),0,P1915)),"")</f>
        <v/>
      </c>
    </row>
    <row r="1916" customFormat="false" ht="15" hidden="false" customHeight="false" outlineLevel="0" collapsed="false">
      <c r="A1916" s="55"/>
      <c r="B1916" s="56"/>
      <c r="C1916" s="56"/>
      <c r="D1916" s="56"/>
      <c r="E1916" s="57"/>
      <c r="F1916" s="58"/>
      <c r="G1916" s="59"/>
      <c r="H1916" s="56"/>
      <c r="I1916" s="60" t="str">
        <f aca="false">IF(IsPro,IF($D1916="","",IFERROR(INDEX(Items!$D$5:$D$504,Q1916),"")),IF($D1916="","","PRO PLAN"))</f>
        <v/>
      </c>
      <c r="J1916" s="61" t="str">
        <f aca="false">IF(IsPro,IF($D1916="","",IF($F1916="",IFERROR(INDEX(Items!$G$5:$G$504,Q1916),0),$F1916)),"")</f>
        <v/>
      </c>
      <c r="K1916" s="61" t="str">
        <f aca="false">IF(IsPro,IF($D1916="","",ROUND(N($E1916)*J1916*(1-N($G1916)),2)),"")</f>
        <v/>
      </c>
      <c r="L1916" s="62" t="str">
        <f aca="false">IF(IsPro,IF($D1916="","",IFERROR(INDEX(Items!$F$5:$F$504,Q1916),0)),"")</f>
        <v/>
      </c>
      <c r="M1916" s="61" t="str">
        <f aca="false">IF(IsPro,IF($D1916="","",IF(AND(R1916&lt;&gt;"",INDEX(Parties!$E$5:$E$304,R1916)&lt;&gt;"",INDEX(Parties!$E$5:$E$304,R1916)&lt;&gt;HomeState),0,ROUND(K1916*L1916/2,2))),"")</f>
        <v/>
      </c>
      <c r="N1916" s="61" t="str">
        <f aca="false">IF(IsPro,IF($D1916="","",M1916),"")</f>
        <v/>
      </c>
      <c r="O1916" s="61" t="str">
        <f aca="false">IF(IsPro,IF($D1916="","",IF(AND(R1916&lt;&gt;"",INDEX(Parties!$E$5:$E$304,R1916)&lt;&gt;"",INDEX(Parties!$E$5:$E$304,R1916)&lt;&gt;HomeState),ROUND(K1916*L1916,2),0)),"")</f>
        <v/>
      </c>
      <c r="P1916" s="61" t="str">
        <f aca="false">IF(IsPro,IF($D1916="","",K1916+M1916+N1916+O1916),"")</f>
        <v/>
      </c>
      <c r="Q1916" s="60" t="str">
        <f aca="false">IF(IsPro,IF($D1916="","",IFERROR(MATCH($D1916,Items!$A$5:$A$504,0),"")),"")</f>
        <v/>
      </c>
      <c r="R1916" s="60" t="str">
        <f aca="false">IF(IsPro,IF($C1916="","",IFERROR(MATCH($C1916,Parties!$A$5:$A$304,0),"")),"")</f>
        <v/>
      </c>
      <c r="S1916" s="61" t="str">
        <f aca="false">IF(IsPro,IF($D1916="","",IF(OR($H1916="",$H1916="Credit"),0,P1916)),"")</f>
        <v/>
      </c>
    </row>
    <row r="1917" customFormat="false" ht="15" hidden="false" customHeight="false" outlineLevel="0" collapsed="false">
      <c r="A1917" s="55"/>
      <c r="B1917" s="56"/>
      <c r="C1917" s="56"/>
      <c r="D1917" s="56"/>
      <c r="E1917" s="57"/>
      <c r="F1917" s="58"/>
      <c r="G1917" s="59"/>
      <c r="H1917" s="56"/>
      <c r="I1917" s="60" t="str">
        <f aca="false">IF(IsPro,IF($D1917="","",IFERROR(INDEX(Items!$D$5:$D$504,Q1917),"")),IF($D1917="","","PRO PLAN"))</f>
        <v/>
      </c>
      <c r="J1917" s="61" t="str">
        <f aca="false">IF(IsPro,IF($D1917="","",IF($F1917="",IFERROR(INDEX(Items!$G$5:$G$504,Q1917),0),$F1917)),"")</f>
        <v/>
      </c>
      <c r="K1917" s="61" t="str">
        <f aca="false">IF(IsPro,IF($D1917="","",ROUND(N($E1917)*J1917*(1-N($G1917)),2)),"")</f>
        <v/>
      </c>
      <c r="L1917" s="62" t="str">
        <f aca="false">IF(IsPro,IF($D1917="","",IFERROR(INDEX(Items!$F$5:$F$504,Q1917),0)),"")</f>
        <v/>
      </c>
      <c r="M1917" s="61" t="str">
        <f aca="false">IF(IsPro,IF($D1917="","",IF(AND(R1917&lt;&gt;"",INDEX(Parties!$E$5:$E$304,R1917)&lt;&gt;"",INDEX(Parties!$E$5:$E$304,R1917)&lt;&gt;HomeState),0,ROUND(K1917*L1917/2,2))),"")</f>
        <v/>
      </c>
      <c r="N1917" s="61" t="str">
        <f aca="false">IF(IsPro,IF($D1917="","",M1917),"")</f>
        <v/>
      </c>
      <c r="O1917" s="61" t="str">
        <f aca="false">IF(IsPro,IF($D1917="","",IF(AND(R1917&lt;&gt;"",INDEX(Parties!$E$5:$E$304,R1917)&lt;&gt;"",INDEX(Parties!$E$5:$E$304,R1917)&lt;&gt;HomeState),ROUND(K1917*L1917,2),0)),"")</f>
        <v/>
      </c>
      <c r="P1917" s="61" t="str">
        <f aca="false">IF(IsPro,IF($D1917="","",K1917+M1917+N1917+O1917),"")</f>
        <v/>
      </c>
      <c r="Q1917" s="60" t="str">
        <f aca="false">IF(IsPro,IF($D1917="","",IFERROR(MATCH($D1917,Items!$A$5:$A$504,0),"")),"")</f>
        <v/>
      </c>
      <c r="R1917" s="60" t="str">
        <f aca="false">IF(IsPro,IF($C1917="","",IFERROR(MATCH($C1917,Parties!$A$5:$A$304,0),"")),"")</f>
        <v/>
      </c>
      <c r="S1917" s="61" t="str">
        <f aca="false">IF(IsPro,IF($D1917="","",IF(OR($H1917="",$H1917="Credit"),0,P1917)),"")</f>
        <v/>
      </c>
    </row>
    <row r="1918" customFormat="false" ht="15" hidden="false" customHeight="false" outlineLevel="0" collapsed="false">
      <c r="A1918" s="55"/>
      <c r="B1918" s="56"/>
      <c r="C1918" s="56"/>
      <c r="D1918" s="56"/>
      <c r="E1918" s="57"/>
      <c r="F1918" s="58"/>
      <c r="G1918" s="59"/>
      <c r="H1918" s="56"/>
      <c r="I1918" s="60" t="str">
        <f aca="false">IF(IsPro,IF($D1918="","",IFERROR(INDEX(Items!$D$5:$D$504,Q1918),"")),IF($D1918="","","PRO PLAN"))</f>
        <v/>
      </c>
      <c r="J1918" s="61" t="str">
        <f aca="false">IF(IsPro,IF($D1918="","",IF($F1918="",IFERROR(INDEX(Items!$G$5:$G$504,Q1918),0),$F1918)),"")</f>
        <v/>
      </c>
      <c r="K1918" s="61" t="str">
        <f aca="false">IF(IsPro,IF($D1918="","",ROUND(N($E1918)*J1918*(1-N($G1918)),2)),"")</f>
        <v/>
      </c>
      <c r="L1918" s="62" t="str">
        <f aca="false">IF(IsPro,IF($D1918="","",IFERROR(INDEX(Items!$F$5:$F$504,Q1918),0)),"")</f>
        <v/>
      </c>
      <c r="M1918" s="61" t="str">
        <f aca="false">IF(IsPro,IF($D1918="","",IF(AND(R1918&lt;&gt;"",INDEX(Parties!$E$5:$E$304,R1918)&lt;&gt;"",INDEX(Parties!$E$5:$E$304,R1918)&lt;&gt;HomeState),0,ROUND(K1918*L1918/2,2))),"")</f>
        <v/>
      </c>
      <c r="N1918" s="61" t="str">
        <f aca="false">IF(IsPro,IF($D1918="","",M1918),"")</f>
        <v/>
      </c>
      <c r="O1918" s="61" t="str">
        <f aca="false">IF(IsPro,IF($D1918="","",IF(AND(R1918&lt;&gt;"",INDEX(Parties!$E$5:$E$304,R1918)&lt;&gt;"",INDEX(Parties!$E$5:$E$304,R1918)&lt;&gt;HomeState),ROUND(K1918*L1918,2),0)),"")</f>
        <v/>
      </c>
      <c r="P1918" s="61" t="str">
        <f aca="false">IF(IsPro,IF($D1918="","",K1918+M1918+N1918+O1918),"")</f>
        <v/>
      </c>
      <c r="Q1918" s="60" t="str">
        <f aca="false">IF(IsPro,IF($D1918="","",IFERROR(MATCH($D1918,Items!$A$5:$A$504,0),"")),"")</f>
        <v/>
      </c>
      <c r="R1918" s="60" t="str">
        <f aca="false">IF(IsPro,IF($C1918="","",IFERROR(MATCH($C1918,Parties!$A$5:$A$304,0),"")),"")</f>
        <v/>
      </c>
      <c r="S1918" s="61" t="str">
        <f aca="false">IF(IsPro,IF($D1918="","",IF(OR($H1918="",$H1918="Credit"),0,P1918)),"")</f>
        <v/>
      </c>
    </row>
    <row r="1919" customFormat="false" ht="15" hidden="false" customHeight="false" outlineLevel="0" collapsed="false">
      <c r="A1919" s="55"/>
      <c r="B1919" s="56"/>
      <c r="C1919" s="56"/>
      <c r="D1919" s="56"/>
      <c r="E1919" s="57"/>
      <c r="F1919" s="58"/>
      <c r="G1919" s="59"/>
      <c r="H1919" s="56"/>
      <c r="I1919" s="60" t="str">
        <f aca="false">IF(IsPro,IF($D1919="","",IFERROR(INDEX(Items!$D$5:$D$504,Q1919),"")),IF($D1919="","","PRO PLAN"))</f>
        <v/>
      </c>
      <c r="J1919" s="61" t="str">
        <f aca="false">IF(IsPro,IF($D1919="","",IF($F1919="",IFERROR(INDEX(Items!$G$5:$G$504,Q1919),0),$F1919)),"")</f>
        <v/>
      </c>
      <c r="K1919" s="61" t="str">
        <f aca="false">IF(IsPro,IF($D1919="","",ROUND(N($E1919)*J1919*(1-N($G1919)),2)),"")</f>
        <v/>
      </c>
      <c r="L1919" s="62" t="str">
        <f aca="false">IF(IsPro,IF($D1919="","",IFERROR(INDEX(Items!$F$5:$F$504,Q1919),0)),"")</f>
        <v/>
      </c>
      <c r="M1919" s="61" t="str">
        <f aca="false">IF(IsPro,IF($D1919="","",IF(AND(R1919&lt;&gt;"",INDEX(Parties!$E$5:$E$304,R1919)&lt;&gt;"",INDEX(Parties!$E$5:$E$304,R1919)&lt;&gt;HomeState),0,ROUND(K1919*L1919/2,2))),"")</f>
        <v/>
      </c>
      <c r="N1919" s="61" t="str">
        <f aca="false">IF(IsPro,IF($D1919="","",M1919),"")</f>
        <v/>
      </c>
      <c r="O1919" s="61" t="str">
        <f aca="false">IF(IsPro,IF($D1919="","",IF(AND(R1919&lt;&gt;"",INDEX(Parties!$E$5:$E$304,R1919)&lt;&gt;"",INDEX(Parties!$E$5:$E$304,R1919)&lt;&gt;HomeState),ROUND(K1919*L1919,2),0)),"")</f>
        <v/>
      </c>
      <c r="P1919" s="61" t="str">
        <f aca="false">IF(IsPro,IF($D1919="","",K1919+M1919+N1919+O1919),"")</f>
        <v/>
      </c>
      <c r="Q1919" s="60" t="str">
        <f aca="false">IF(IsPro,IF($D1919="","",IFERROR(MATCH($D1919,Items!$A$5:$A$504,0),"")),"")</f>
        <v/>
      </c>
      <c r="R1919" s="60" t="str">
        <f aca="false">IF(IsPro,IF($C1919="","",IFERROR(MATCH($C1919,Parties!$A$5:$A$304,0),"")),"")</f>
        <v/>
      </c>
      <c r="S1919" s="61" t="str">
        <f aca="false">IF(IsPro,IF($D1919="","",IF(OR($H1919="",$H1919="Credit"),0,P1919)),"")</f>
        <v/>
      </c>
    </row>
    <row r="1920" customFormat="false" ht="15" hidden="false" customHeight="false" outlineLevel="0" collapsed="false">
      <c r="A1920" s="55"/>
      <c r="B1920" s="56"/>
      <c r="C1920" s="56"/>
      <c r="D1920" s="56"/>
      <c r="E1920" s="57"/>
      <c r="F1920" s="58"/>
      <c r="G1920" s="59"/>
      <c r="H1920" s="56"/>
      <c r="I1920" s="60" t="str">
        <f aca="false">IF(IsPro,IF($D1920="","",IFERROR(INDEX(Items!$D$5:$D$504,Q1920),"")),IF($D1920="","","PRO PLAN"))</f>
        <v/>
      </c>
      <c r="J1920" s="61" t="str">
        <f aca="false">IF(IsPro,IF($D1920="","",IF($F1920="",IFERROR(INDEX(Items!$G$5:$G$504,Q1920),0),$F1920)),"")</f>
        <v/>
      </c>
      <c r="K1920" s="61" t="str">
        <f aca="false">IF(IsPro,IF($D1920="","",ROUND(N($E1920)*J1920*(1-N($G1920)),2)),"")</f>
        <v/>
      </c>
      <c r="L1920" s="62" t="str">
        <f aca="false">IF(IsPro,IF($D1920="","",IFERROR(INDEX(Items!$F$5:$F$504,Q1920),0)),"")</f>
        <v/>
      </c>
      <c r="M1920" s="61" t="str">
        <f aca="false">IF(IsPro,IF($D1920="","",IF(AND(R1920&lt;&gt;"",INDEX(Parties!$E$5:$E$304,R1920)&lt;&gt;"",INDEX(Parties!$E$5:$E$304,R1920)&lt;&gt;HomeState),0,ROUND(K1920*L1920/2,2))),"")</f>
        <v/>
      </c>
      <c r="N1920" s="61" t="str">
        <f aca="false">IF(IsPro,IF($D1920="","",M1920),"")</f>
        <v/>
      </c>
      <c r="O1920" s="61" t="str">
        <f aca="false">IF(IsPro,IF($D1920="","",IF(AND(R1920&lt;&gt;"",INDEX(Parties!$E$5:$E$304,R1920)&lt;&gt;"",INDEX(Parties!$E$5:$E$304,R1920)&lt;&gt;HomeState),ROUND(K1920*L1920,2),0)),"")</f>
        <v/>
      </c>
      <c r="P1920" s="61" t="str">
        <f aca="false">IF(IsPro,IF($D1920="","",K1920+M1920+N1920+O1920),"")</f>
        <v/>
      </c>
      <c r="Q1920" s="60" t="str">
        <f aca="false">IF(IsPro,IF($D1920="","",IFERROR(MATCH($D1920,Items!$A$5:$A$504,0),"")),"")</f>
        <v/>
      </c>
      <c r="R1920" s="60" t="str">
        <f aca="false">IF(IsPro,IF($C1920="","",IFERROR(MATCH($C1920,Parties!$A$5:$A$304,0),"")),"")</f>
        <v/>
      </c>
      <c r="S1920" s="61" t="str">
        <f aca="false">IF(IsPro,IF($D1920="","",IF(OR($H1920="",$H1920="Credit"),0,P1920)),"")</f>
        <v/>
      </c>
    </row>
    <row r="1921" customFormat="false" ht="15" hidden="false" customHeight="false" outlineLevel="0" collapsed="false">
      <c r="A1921" s="55"/>
      <c r="B1921" s="56"/>
      <c r="C1921" s="56"/>
      <c r="D1921" s="56"/>
      <c r="E1921" s="57"/>
      <c r="F1921" s="58"/>
      <c r="G1921" s="59"/>
      <c r="H1921" s="56"/>
      <c r="I1921" s="60" t="str">
        <f aca="false">IF(IsPro,IF($D1921="","",IFERROR(INDEX(Items!$D$5:$D$504,Q1921),"")),IF($D1921="","","PRO PLAN"))</f>
        <v/>
      </c>
      <c r="J1921" s="61" t="str">
        <f aca="false">IF(IsPro,IF($D1921="","",IF($F1921="",IFERROR(INDEX(Items!$G$5:$G$504,Q1921),0),$F1921)),"")</f>
        <v/>
      </c>
      <c r="K1921" s="61" t="str">
        <f aca="false">IF(IsPro,IF($D1921="","",ROUND(N($E1921)*J1921*(1-N($G1921)),2)),"")</f>
        <v/>
      </c>
      <c r="L1921" s="62" t="str">
        <f aca="false">IF(IsPro,IF($D1921="","",IFERROR(INDEX(Items!$F$5:$F$504,Q1921),0)),"")</f>
        <v/>
      </c>
      <c r="M1921" s="61" t="str">
        <f aca="false">IF(IsPro,IF($D1921="","",IF(AND(R1921&lt;&gt;"",INDEX(Parties!$E$5:$E$304,R1921)&lt;&gt;"",INDEX(Parties!$E$5:$E$304,R1921)&lt;&gt;HomeState),0,ROUND(K1921*L1921/2,2))),"")</f>
        <v/>
      </c>
      <c r="N1921" s="61" t="str">
        <f aca="false">IF(IsPro,IF($D1921="","",M1921),"")</f>
        <v/>
      </c>
      <c r="O1921" s="61" t="str">
        <f aca="false">IF(IsPro,IF($D1921="","",IF(AND(R1921&lt;&gt;"",INDEX(Parties!$E$5:$E$304,R1921)&lt;&gt;"",INDEX(Parties!$E$5:$E$304,R1921)&lt;&gt;HomeState),ROUND(K1921*L1921,2),0)),"")</f>
        <v/>
      </c>
      <c r="P1921" s="61" t="str">
        <f aca="false">IF(IsPro,IF($D1921="","",K1921+M1921+N1921+O1921),"")</f>
        <v/>
      </c>
      <c r="Q1921" s="60" t="str">
        <f aca="false">IF(IsPro,IF($D1921="","",IFERROR(MATCH($D1921,Items!$A$5:$A$504,0),"")),"")</f>
        <v/>
      </c>
      <c r="R1921" s="60" t="str">
        <f aca="false">IF(IsPro,IF($C1921="","",IFERROR(MATCH($C1921,Parties!$A$5:$A$304,0),"")),"")</f>
        <v/>
      </c>
      <c r="S1921" s="61" t="str">
        <f aca="false">IF(IsPro,IF($D1921="","",IF(OR($H1921="",$H1921="Credit"),0,P1921)),"")</f>
        <v/>
      </c>
    </row>
    <row r="1922" customFormat="false" ht="15" hidden="false" customHeight="false" outlineLevel="0" collapsed="false">
      <c r="A1922" s="55"/>
      <c r="B1922" s="56"/>
      <c r="C1922" s="56"/>
      <c r="D1922" s="56"/>
      <c r="E1922" s="57"/>
      <c r="F1922" s="58"/>
      <c r="G1922" s="59"/>
      <c r="H1922" s="56"/>
      <c r="I1922" s="60" t="str">
        <f aca="false">IF(IsPro,IF($D1922="","",IFERROR(INDEX(Items!$D$5:$D$504,Q1922),"")),IF($D1922="","","PRO PLAN"))</f>
        <v/>
      </c>
      <c r="J1922" s="61" t="str">
        <f aca="false">IF(IsPro,IF($D1922="","",IF($F1922="",IFERROR(INDEX(Items!$G$5:$G$504,Q1922),0),$F1922)),"")</f>
        <v/>
      </c>
      <c r="K1922" s="61" t="str">
        <f aca="false">IF(IsPro,IF($D1922="","",ROUND(N($E1922)*J1922*(1-N($G1922)),2)),"")</f>
        <v/>
      </c>
      <c r="L1922" s="62" t="str">
        <f aca="false">IF(IsPro,IF($D1922="","",IFERROR(INDEX(Items!$F$5:$F$504,Q1922),0)),"")</f>
        <v/>
      </c>
      <c r="M1922" s="61" t="str">
        <f aca="false">IF(IsPro,IF($D1922="","",IF(AND(R1922&lt;&gt;"",INDEX(Parties!$E$5:$E$304,R1922)&lt;&gt;"",INDEX(Parties!$E$5:$E$304,R1922)&lt;&gt;HomeState),0,ROUND(K1922*L1922/2,2))),"")</f>
        <v/>
      </c>
      <c r="N1922" s="61" t="str">
        <f aca="false">IF(IsPro,IF($D1922="","",M1922),"")</f>
        <v/>
      </c>
      <c r="O1922" s="61" t="str">
        <f aca="false">IF(IsPro,IF($D1922="","",IF(AND(R1922&lt;&gt;"",INDEX(Parties!$E$5:$E$304,R1922)&lt;&gt;"",INDEX(Parties!$E$5:$E$304,R1922)&lt;&gt;HomeState),ROUND(K1922*L1922,2),0)),"")</f>
        <v/>
      </c>
      <c r="P1922" s="61" t="str">
        <f aca="false">IF(IsPro,IF($D1922="","",K1922+M1922+N1922+O1922),"")</f>
        <v/>
      </c>
      <c r="Q1922" s="60" t="str">
        <f aca="false">IF(IsPro,IF($D1922="","",IFERROR(MATCH($D1922,Items!$A$5:$A$504,0),"")),"")</f>
        <v/>
      </c>
      <c r="R1922" s="60" t="str">
        <f aca="false">IF(IsPro,IF($C1922="","",IFERROR(MATCH($C1922,Parties!$A$5:$A$304,0),"")),"")</f>
        <v/>
      </c>
      <c r="S1922" s="61" t="str">
        <f aca="false">IF(IsPro,IF($D1922="","",IF(OR($H1922="",$H1922="Credit"),0,P1922)),"")</f>
        <v/>
      </c>
    </row>
    <row r="1923" customFormat="false" ht="15" hidden="false" customHeight="false" outlineLevel="0" collapsed="false">
      <c r="A1923" s="55"/>
      <c r="B1923" s="56"/>
      <c r="C1923" s="56"/>
      <c r="D1923" s="56"/>
      <c r="E1923" s="57"/>
      <c r="F1923" s="58"/>
      <c r="G1923" s="59"/>
      <c r="H1923" s="56"/>
      <c r="I1923" s="60" t="str">
        <f aca="false">IF(IsPro,IF($D1923="","",IFERROR(INDEX(Items!$D$5:$D$504,Q1923),"")),IF($D1923="","","PRO PLAN"))</f>
        <v/>
      </c>
      <c r="J1923" s="61" t="str">
        <f aca="false">IF(IsPro,IF($D1923="","",IF($F1923="",IFERROR(INDEX(Items!$G$5:$G$504,Q1923),0),$F1923)),"")</f>
        <v/>
      </c>
      <c r="K1923" s="61" t="str">
        <f aca="false">IF(IsPro,IF($D1923="","",ROUND(N($E1923)*J1923*(1-N($G1923)),2)),"")</f>
        <v/>
      </c>
      <c r="L1923" s="62" t="str">
        <f aca="false">IF(IsPro,IF($D1923="","",IFERROR(INDEX(Items!$F$5:$F$504,Q1923),0)),"")</f>
        <v/>
      </c>
      <c r="M1923" s="61" t="str">
        <f aca="false">IF(IsPro,IF($D1923="","",IF(AND(R1923&lt;&gt;"",INDEX(Parties!$E$5:$E$304,R1923)&lt;&gt;"",INDEX(Parties!$E$5:$E$304,R1923)&lt;&gt;HomeState),0,ROUND(K1923*L1923/2,2))),"")</f>
        <v/>
      </c>
      <c r="N1923" s="61" t="str">
        <f aca="false">IF(IsPro,IF($D1923="","",M1923),"")</f>
        <v/>
      </c>
      <c r="O1923" s="61" t="str">
        <f aca="false">IF(IsPro,IF($D1923="","",IF(AND(R1923&lt;&gt;"",INDEX(Parties!$E$5:$E$304,R1923)&lt;&gt;"",INDEX(Parties!$E$5:$E$304,R1923)&lt;&gt;HomeState),ROUND(K1923*L1923,2),0)),"")</f>
        <v/>
      </c>
      <c r="P1923" s="61" t="str">
        <f aca="false">IF(IsPro,IF($D1923="","",K1923+M1923+N1923+O1923),"")</f>
        <v/>
      </c>
      <c r="Q1923" s="60" t="str">
        <f aca="false">IF(IsPro,IF($D1923="","",IFERROR(MATCH($D1923,Items!$A$5:$A$504,0),"")),"")</f>
        <v/>
      </c>
      <c r="R1923" s="60" t="str">
        <f aca="false">IF(IsPro,IF($C1923="","",IFERROR(MATCH($C1923,Parties!$A$5:$A$304,0),"")),"")</f>
        <v/>
      </c>
      <c r="S1923" s="61" t="str">
        <f aca="false">IF(IsPro,IF($D1923="","",IF(OR($H1923="",$H1923="Credit"),0,P1923)),"")</f>
        <v/>
      </c>
    </row>
    <row r="1924" customFormat="false" ht="15" hidden="false" customHeight="false" outlineLevel="0" collapsed="false">
      <c r="A1924" s="55"/>
      <c r="B1924" s="56"/>
      <c r="C1924" s="56"/>
      <c r="D1924" s="56"/>
      <c r="E1924" s="57"/>
      <c r="F1924" s="58"/>
      <c r="G1924" s="59"/>
      <c r="H1924" s="56"/>
      <c r="I1924" s="60" t="str">
        <f aca="false">IF(IsPro,IF($D1924="","",IFERROR(INDEX(Items!$D$5:$D$504,Q1924),"")),IF($D1924="","","PRO PLAN"))</f>
        <v/>
      </c>
      <c r="J1924" s="61" t="str">
        <f aca="false">IF(IsPro,IF($D1924="","",IF($F1924="",IFERROR(INDEX(Items!$G$5:$G$504,Q1924),0),$F1924)),"")</f>
        <v/>
      </c>
      <c r="K1924" s="61" t="str">
        <f aca="false">IF(IsPro,IF($D1924="","",ROUND(N($E1924)*J1924*(1-N($G1924)),2)),"")</f>
        <v/>
      </c>
      <c r="L1924" s="62" t="str">
        <f aca="false">IF(IsPro,IF($D1924="","",IFERROR(INDEX(Items!$F$5:$F$504,Q1924),0)),"")</f>
        <v/>
      </c>
      <c r="M1924" s="61" t="str">
        <f aca="false">IF(IsPro,IF($D1924="","",IF(AND(R1924&lt;&gt;"",INDEX(Parties!$E$5:$E$304,R1924)&lt;&gt;"",INDEX(Parties!$E$5:$E$304,R1924)&lt;&gt;HomeState),0,ROUND(K1924*L1924/2,2))),"")</f>
        <v/>
      </c>
      <c r="N1924" s="61" t="str">
        <f aca="false">IF(IsPro,IF($D1924="","",M1924),"")</f>
        <v/>
      </c>
      <c r="O1924" s="61" t="str">
        <f aca="false">IF(IsPro,IF($D1924="","",IF(AND(R1924&lt;&gt;"",INDEX(Parties!$E$5:$E$304,R1924)&lt;&gt;"",INDEX(Parties!$E$5:$E$304,R1924)&lt;&gt;HomeState),ROUND(K1924*L1924,2),0)),"")</f>
        <v/>
      </c>
      <c r="P1924" s="61" t="str">
        <f aca="false">IF(IsPro,IF($D1924="","",K1924+M1924+N1924+O1924),"")</f>
        <v/>
      </c>
      <c r="Q1924" s="60" t="str">
        <f aca="false">IF(IsPro,IF($D1924="","",IFERROR(MATCH($D1924,Items!$A$5:$A$504,0),"")),"")</f>
        <v/>
      </c>
      <c r="R1924" s="60" t="str">
        <f aca="false">IF(IsPro,IF($C1924="","",IFERROR(MATCH($C1924,Parties!$A$5:$A$304,0),"")),"")</f>
        <v/>
      </c>
      <c r="S1924" s="61" t="str">
        <f aca="false">IF(IsPro,IF($D1924="","",IF(OR($H1924="",$H1924="Credit"),0,P1924)),"")</f>
        <v/>
      </c>
    </row>
    <row r="1925" customFormat="false" ht="15" hidden="false" customHeight="false" outlineLevel="0" collapsed="false">
      <c r="A1925" s="55"/>
      <c r="B1925" s="56"/>
      <c r="C1925" s="56"/>
      <c r="D1925" s="56"/>
      <c r="E1925" s="57"/>
      <c r="F1925" s="58"/>
      <c r="G1925" s="59"/>
      <c r="H1925" s="56"/>
      <c r="I1925" s="60" t="str">
        <f aca="false">IF(IsPro,IF($D1925="","",IFERROR(INDEX(Items!$D$5:$D$504,Q1925),"")),IF($D1925="","","PRO PLAN"))</f>
        <v/>
      </c>
      <c r="J1925" s="61" t="str">
        <f aca="false">IF(IsPro,IF($D1925="","",IF($F1925="",IFERROR(INDEX(Items!$G$5:$G$504,Q1925),0),$F1925)),"")</f>
        <v/>
      </c>
      <c r="K1925" s="61" t="str">
        <f aca="false">IF(IsPro,IF($D1925="","",ROUND(N($E1925)*J1925*(1-N($G1925)),2)),"")</f>
        <v/>
      </c>
      <c r="L1925" s="62" t="str">
        <f aca="false">IF(IsPro,IF($D1925="","",IFERROR(INDEX(Items!$F$5:$F$504,Q1925),0)),"")</f>
        <v/>
      </c>
      <c r="M1925" s="61" t="str">
        <f aca="false">IF(IsPro,IF($D1925="","",IF(AND(R1925&lt;&gt;"",INDEX(Parties!$E$5:$E$304,R1925)&lt;&gt;"",INDEX(Parties!$E$5:$E$304,R1925)&lt;&gt;HomeState),0,ROUND(K1925*L1925/2,2))),"")</f>
        <v/>
      </c>
      <c r="N1925" s="61" t="str">
        <f aca="false">IF(IsPro,IF($D1925="","",M1925),"")</f>
        <v/>
      </c>
      <c r="O1925" s="61" t="str">
        <f aca="false">IF(IsPro,IF($D1925="","",IF(AND(R1925&lt;&gt;"",INDEX(Parties!$E$5:$E$304,R1925)&lt;&gt;"",INDEX(Parties!$E$5:$E$304,R1925)&lt;&gt;HomeState),ROUND(K1925*L1925,2),0)),"")</f>
        <v/>
      </c>
      <c r="P1925" s="61" t="str">
        <f aca="false">IF(IsPro,IF($D1925="","",K1925+M1925+N1925+O1925),"")</f>
        <v/>
      </c>
      <c r="Q1925" s="60" t="str">
        <f aca="false">IF(IsPro,IF($D1925="","",IFERROR(MATCH($D1925,Items!$A$5:$A$504,0),"")),"")</f>
        <v/>
      </c>
      <c r="R1925" s="60" t="str">
        <f aca="false">IF(IsPro,IF($C1925="","",IFERROR(MATCH($C1925,Parties!$A$5:$A$304,0),"")),"")</f>
        <v/>
      </c>
      <c r="S1925" s="61" t="str">
        <f aca="false">IF(IsPro,IF($D1925="","",IF(OR($H1925="",$H1925="Credit"),0,P1925)),"")</f>
        <v/>
      </c>
    </row>
    <row r="1926" customFormat="false" ht="15" hidden="false" customHeight="false" outlineLevel="0" collapsed="false">
      <c r="A1926" s="55"/>
      <c r="B1926" s="56"/>
      <c r="C1926" s="56"/>
      <c r="D1926" s="56"/>
      <c r="E1926" s="57"/>
      <c r="F1926" s="58"/>
      <c r="G1926" s="59"/>
      <c r="H1926" s="56"/>
      <c r="I1926" s="60" t="str">
        <f aca="false">IF(IsPro,IF($D1926="","",IFERROR(INDEX(Items!$D$5:$D$504,Q1926),"")),IF($D1926="","","PRO PLAN"))</f>
        <v/>
      </c>
      <c r="J1926" s="61" t="str">
        <f aca="false">IF(IsPro,IF($D1926="","",IF($F1926="",IFERROR(INDEX(Items!$G$5:$G$504,Q1926),0),$F1926)),"")</f>
        <v/>
      </c>
      <c r="K1926" s="61" t="str">
        <f aca="false">IF(IsPro,IF($D1926="","",ROUND(N($E1926)*J1926*(1-N($G1926)),2)),"")</f>
        <v/>
      </c>
      <c r="L1926" s="62" t="str">
        <f aca="false">IF(IsPro,IF($D1926="","",IFERROR(INDEX(Items!$F$5:$F$504,Q1926),0)),"")</f>
        <v/>
      </c>
      <c r="M1926" s="61" t="str">
        <f aca="false">IF(IsPro,IF($D1926="","",IF(AND(R1926&lt;&gt;"",INDEX(Parties!$E$5:$E$304,R1926)&lt;&gt;"",INDEX(Parties!$E$5:$E$304,R1926)&lt;&gt;HomeState),0,ROUND(K1926*L1926/2,2))),"")</f>
        <v/>
      </c>
      <c r="N1926" s="61" t="str">
        <f aca="false">IF(IsPro,IF($D1926="","",M1926),"")</f>
        <v/>
      </c>
      <c r="O1926" s="61" t="str">
        <f aca="false">IF(IsPro,IF($D1926="","",IF(AND(R1926&lt;&gt;"",INDEX(Parties!$E$5:$E$304,R1926)&lt;&gt;"",INDEX(Parties!$E$5:$E$304,R1926)&lt;&gt;HomeState),ROUND(K1926*L1926,2),0)),"")</f>
        <v/>
      </c>
      <c r="P1926" s="61" t="str">
        <f aca="false">IF(IsPro,IF($D1926="","",K1926+M1926+N1926+O1926),"")</f>
        <v/>
      </c>
      <c r="Q1926" s="60" t="str">
        <f aca="false">IF(IsPro,IF($D1926="","",IFERROR(MATCH($D1926,Items!$A$5:$A$504,0),"")),"")</f>
        <v/>
      </c>
      <c r="R1926" s="60" t="str">
        <f aca="false">IF(IsPro,IF($C1926="","",IFERROR(MATCH($C1926,Parties!$A$5:$A$304,0),"")),"")</f>
        <v/>
      </c>
      <c r="S1926" s="61" t="str">
        <f aca="false">IF(IsPro,IF($D1926="","",IF(OR($H1926="",$H1926="Credit"),0,P1926)),"")</f>
        <v/>
      </c>
    </row>
    <row r="1927" customFormat="false" ht="15" hidden="false" customHeight="false" outlineLevel="0" collapsed="false">
      <c r="A1927" s="55"/>
      <c r="B1927" s="56"/>
      <c r="C1927" s="56"/>
      <c r="D1927" s="56"/>
      <c r="E1927" s="57"/>
      <c r="F1927" s="58"/>
      <c r="G1927" s="59"/>
      <c r="H1927" s="56"/>
      <c r="I1927" s="60" t="str">
        <f aca="false">IF(IsPro,IF($D1927="","",IFERROR(INDEX(Items!$D$5:$D$504,Q1927),"")),IF($D1927="","","PRO PLAN"))</f>
        <v/>
      </c>
      <c r="J1927" s="61" t="str">
        <f aca="false">IF(IsPro,IF($D1927="","",IF($F1927="",IFERROR(INDEX(Items!$G$5:$G$504,Q1927),0),$F1927)),"")</f>
        <v/>
      </c>
      <c r="K1927" s="61" t="str">
        <f aca="false">IF(IsPro,IF($D1927="","",ROUND(N($E1927)*J1927*(1-N($G1927)),2)),"")</f>
        <v/>
      </c>
      <c r="L1927" s="62" t="str">
        <f aca="false">IF(IsPro,IF($D1927="","",IFERROR(INDEX(Items!$F$5:$F$504,Q1927),0)),"")</f>
        <v/>
      </c>
      <c r="M1927" s="61" t="str">
        <f aca="false">IF(IsPro,IF($D1927="","",IF(AND(R1927&lt;&gt;"",INDEX(Parties!$E$5:$E$304,R1927)&lt;&gt;"",INDEX(Parties!$E$5:$E$304,R1927)&lt;&gt;HomeState),0,ROUND(K1927*L1927/2,2))),"")</f>
        <v/>
      </c>
      <c r="N1927" s="61" t="str">
        <f aca="false">IF(IsPro,IF($D1927="","",M1927),"")</f>
        <v/>
      </c>
      <c r="O1927" s="61" t="str">
        <f aca="false">IF(IsPro,IF($D1927="","",IF(AND(R1927&lt;&gt;"",INDEX(Parties!$E$5:$E$304,R1927)&lt;&gt;"",INDEX(Parties!$E$5:$E$304,R1927)&lt;&gt;HomeState),ROUND(K1927*L1927,2),0)),"")</f>
        <v/>
      </c>
      <c r="P1927" s="61" t="str">
        <f aca="false">IF(IsPro,IF($D1927="","",K1927+M1927+N1927+O1927),"")</f>
        <v/>
      </c>
      <c r="Q1927" s="60" t="str">
        <f aca="false">IF(IsPro,IF($D1927="","",IFERROR(MATCH($D1927,Items!$A$5:$A$504,0),"")),"")</f>
        <v/>
      </c>
      <c r="R1927" s="60" t="str">
        <f aca="false">IF(IsPro,IF($C1927="","",IFERROR(MATCH($C1927,Parties!$A$5:$A$304,0),"")),"")</f>
        <v/>
      </c>
      <c r="S1927" s="61" t="str">
        <f aca="false">IF(IsPro,IF($D1927="","",IF(OR($H1927="",$H1927="Credit"),0,P1927)),"")</f>
        <v/>
      </c>
    </row>
    <row r="1928" customFormat="false" ht="15" hidden="false" customHeight="false" outlineLevel="0" collapsed="false">
      <c r="A1928" s="55"/>
      <c r="B1928" s="56"/>
      <c r="C1928" s="56"/>
      <c r="D1928" s="56"/>
      <c r="E1928" s="57"/>
      <c r="F1928" s="58"/>
      <c r="G1928" s="59"/>
      <c r="H1928" s="56"/>
      <c r="I1928" s="60" t="str">
        <f aca="false">IF(IsPro,IF($D1928="","",IFERROR(INDEX(Items!$D$5:$D$504,Q1928),"")),IF($D1928="","","PRO PLAN"))</f>
        <v/>
      </c>
      <c r="J1928" s="61" t="str">
        <f aca="false">IF(IsPro,IF($D1928="","",IF($F1928="",IFERROR(INDEX(Items!$G$5:$G$504,Q1928),0),$F1928)),"")</f>
        <v/>
      </c>
      <c r="K1928" s="61" t="str">
        <f aca="false">IF(IsPro,IF($D1928="","",ROUND(N($E1928)*J1928*(1-N($G1928)),2)),"")</f>
        <v/>
      </c>
      <c r="L1928" s="62" t="str">
        <f aca="false">IF(IsPro,IF($D1928="","",IFERROR(INDEX(Items!$F$5:$F$504,Q1928),0)),"")</f>
        <v/>
      </c>
      <c r="M1928" s="61" t="str">
        <f aca="false">IF(IsPro,IF($D1928="","",IF(AND(R1928&lt;&gt;"",INDEX(Parties!$E$5:$E$304,R1928)&lt;&gt;"",INDEX(Parties!$E$5:$E$304,R1928)&lt;&gt;HomeState),0,ROUND(K1928*L1928/2,2))),"")</f>
        <v/>
      </c>
      <c r="N1928" s="61" t="str">
        <f aca="false">IF(IsPro,IF($D1928="","",M1928),"")</f>
        <v/>
      </c>
      <c r="O1928" s="61" t="str">
        <f aca="false">IF(IsPro,IF($D1928="","",IF(AND(R1928&lt;&gt;"",INDEX(Parties!$E$5:$E$304,R1928)&lt;&gt;"",INDEX(Parties!$E$5:$E$304,R1928)&lt;&gt;HomeState),ROUND(K1928*L1928,2),0)),"")</f>
        <v/>
      </c>
      <c r="P1928" s="61" t="str">
        <f aca="false">IF(IsPro,IF($D1928="","",K1928+M1928+N1928+O1928),"")</f>
        <v/>
      </c>
      <c r="Q1928" s="60" t="str">
        <f aca="false">IF(IsPro,IF($D1928="","",IFERROR(MATCH($D1928,Items!$A$5:$A$504,0),"")),"")</f>
        <v/>
      </c>
      <c r="R1928" s="60" t="str">
        <f aca="false">IF(IsPro,IF($C1928="","",IFERROR(MATCH($C1928,Parties!$A$5:$A$304,0),"")),"")</f>
        <v/>
      </c>
      <c r="S1928" s="61" t="str">
        <f aca="false">IF(IsPro,IF($D1928="","",IF(OR($H1928="",$H1928="Credit"),0,P1928)),"")</f>
        <v/>
      </c>
    </row>
    <row r="1929" customFormat="false" ht="15" hidden="false" customHeight="false" outlineLevel="0" collapsed="false">
      <c r="A1929" s="55"/>
      <c r="B1929" s="56"/>
      <c r="C1929" s="56"/>
      <c r="D1929" s="56"/>
      <c r="E1929" s="57"/>
      <c r="F1929" s="58"/>
      <c r="G1929" s="59"/>
      <c r="H1929" s="56"/>
      <c r="I1929" s="60" t="str">
        <f aca="false">IF(IsPro,IF($D1929="","",IFERROR(INDEX(Items!$D$5:$D$504,Q1929),"")),IF($D1929="","","PRO PLAN"))</f>
        <v/>
      </c>
      <c r="J1929" s="61" t="str">
        <f aca="false">IF(IsPro,IF($D1929="","",IF($F1929="",IFERROR(INDEX(Items!$G$5:$G$504,Q1929),0),$F1929)),"")</f>
        <v/>
      </c>
      <c r="K1929" s="61" t="str">
        <f aca="false">IF(IsPro,IF($D1929="","",ROUND(N($E1929)*J1929*(1-N($G1929)),2)),"")</f>
        <v/>
      </c>
      <c r="L1929" s="62" t="str">
        <f aca="false">IF(IsPro,IF($D1929="","",IFERROR(INDEX(Items!$F$5:$F$504,Q1929),0)),"")</f>
        <v/>
      </c>
      <c r="M1929" s="61" t="str">
        <f aca="false">IF(IsPro,IF($D1929="","",IF(AND(R1929&lt;&gt;"",INDEX(Parties!$E$5:$E$304,R1929)&lt;&gt;"",INDEX(Parties!$E$5:$E$304,R1929)&lt;&gt;HomeState),0,ROUND(K1929*L1929/2,2))),"")</f>
        <v/>
      </c>
      <c r="N1929" s="61" t="str">
        <f aca="false">IF(IsPro,IF($D1929="","",M1929),"")</f>
        <v/>
      </c>
      <c r="O1929" s="61" t="str">
        <f aca="false">IF(IsPro,IF($D1929="","",IF(AND(R1929&lt;&gt;"",INDEX(Parties!$E$5:$E$304,R1929)&lt;&gt;"",INDEX(Parties!$E$5:$E$304,R1929)&lt;&gt;HomeState),ROUND(K1929*L1929,2),0)),"")</f>
        <v/>
      </c>
      <c r="P1929" s="61" t="str">
        <f aca="false">IF(IsPro,IF($D1929="","",K1929+M1929+N1929+O1929),"")</f>
        <v/>
      </c>
      <c r="Q1929" s="60" t="str">
        <f aca="false">IF(IsPro,IF($D1929="","",IFERROR(MATCH($D1929,Items!$A$5:$A$504,0),"")),"")</f>
        <v/>
      </c>
      <c r="R1929" s="60" t="str">
        <f aca="false">IF(IsPro,IF($C1929="","",IFERROR(MATCH($C1929,Parties!$A$5:$A$304,0),"")),"")</f>
        <v/>
      </c>
      <c r="S1929" s="61" t="str">
        <f aca="false">IF(IsPro,IF($D1929="","",IF(OR($H1929="",$H1929="Credit"),0,P1929)),"")</f>
        <v/>
      </c>
    </row>
    <row r="1930" customFormat="false" ht="15" hidden="false" customHeight="false" outlineLevel="0" collapsed="false">
      <c r="A1930" s="55"/>
      <c r="B1930" s="56"/>
      <c r="C1930" s="56"/>
      <c r="D1930" s="56"/>
      <c r="E1930" s="57"/>
      <c r="F1930" s="58"/>
      <c r="G1930" s="59"/>
      <c r="H1930" s="56"/>
      <c r="I1930" s="60" t="str">
        <f aca="false">IF(IsPro,IF($D1930="","",IFERROR(INDEX(Items!$D$5:$D$504,Q1930),"")),IF($D1930="","","PRO PLAN"))</f>
        <v/>
      </c>
      <c r="J1930" s="61" t="str">
        <f aca="false">IF(IsPro,IF($D1930="","",IF($F1930="",IFERROR(INDEX(Items!$G$5:$G$504,Q1930),0),$F1930)),"")</f>
        <v/>
      </c>
      <c r="K1930" s="61" t="str">
        <f aca="false">IF(IsPro,IF($D1930="","",ROUND(N($E1930)*J1930*(1-N($G1930)),2)),"")</f>
        <v/>
      </c>
      <c r="L1930" s="62" t="str">
        <f aca="false">IF(IsPro,IF($D1930="","",IFERROR(INDEX(Items!$F$5:$F$504,Q1930),0)),"")</f>
        <v/>
      </c>
      <c r="M1930" s="61" t="str">
        <f aca="false">IF(IsPro,IF($D1930="","",IF(AND(R1930&lt;&gt;"",INDEX(Parties!$E$5:$E$304,R1930)&lt;&gt;"",INDEX(Parties!$E$5:$E$304,R1930)&lt;&gt;HomeState),0,ROUND(K1930*L1930/2,2))),"")</f>
        <v/>
      </c>
      <c r="N1930" s="61" t="str">
        <f aca="false">IF(IsPro,IF($D1930="","",M1930),"")</f>
        <v/>
      </c>
      <c r="O1930" s="61" t="str">
        <f aca="false">IF(IsPro,IF($D1930="","",IF(AND(R1930&lt;&gt;"",INDEX(Parties!$E$5:$E$304,R1930)&lt;&gt;"",INDEX(Parties!$E$5:$E$304,R1930)&lt;&gt;HomeState),ROUND(K1930*L1930,2),0)),"")</f>
        <v/>
      </c>
      <c r="P1930" s="61" t="str">
        <f aca="false">IF(IsPro,IF($D1930="","",K1930+M1930+N1930+O1930),"")</f>
        <v/>
      </c>
      <c r="Q1930" s="60" t="str">
        <f aca="false">IF(IsPro,IF($D1930="","",IFERROR(MATCH($D1930,Items!$A$5:$A$504,0),"")),"")</f>
        <v/>
      </c>
      <c r="R1930" s="60" t="str">
        <f aca="false">IF(IsPro,IF($C1930="","",IFERROR(MATCH($C1930,Parties!$A$5:$A$304,0),"")),"")</f>
        <v/>
      </c>
      <c r="S1930" s="61" t="str">
        <f aca="false">IF(IsPro,IF($D1930="","",IF(OR($H1930="",$H1930="Credit"),0,P1930)),"")</f>
        <v/>
      </c>
    </row>
    <row r="1931" customFormat="false" ht="15" hidden="false" customHeight="false" outlineLevel="0" collapsed="false">
      <c r="A1931" s="55"/>
      <c r="B1931" s="56"/>
      <c r="C1931" s="56"/>
      <c r="D1931" s="56"/>
      <c r="E1931" s="57"/>
      <c r="F1931" s="58"/>
      <c r="G1931" s="59"/>
      <c r="H1931" s="56"/>
      <c r="I1931" s="60" t="str">
        <f aca="false">IF(IsPro,IF($D1931="","",IFERROR(INDEX(Items!$D$5:$D$504,Q1931),"")),IF($D1931="","","PRO PLAN"))</f>
        <v/>
      </c>
      <c r="J1931" s="61" t="str">
        <f aca="false">IF(IsPro,IF($D1931="","",IF($F1931="",IFERROR(INDEX(Items!$G$5:$G$504,Q1931),0),$F1931)),"")</f>
        <v/>
      </c>
      <c r="K1931" s="61" t="str">
        <f aca="false">IF(IsPro,IF($D1931="","",ROUND(N($E1931)*J1931*(1-N($G1931)),2)),"")</f>
        <v/>
      </c>
      <c r="L1931" s="62" t="str">
        <f aca="false">IF(IsPro,IF($D1931="","",IFERROR(INDEX(Items!$F$5:$F$504,Q1931),0)),"")</f>
        <v/>
      </c>
      <c r="M1931" s="61" t="str">
        <f aca="false">IF(IsPro,IF($D1931="","",IF(AND(R1931&lt;&gt;"",INDEX(Parties!$E$5:$E$304,R1931)&lt;&gt;"",INDEX(Parties!$E$5:$E$304,R1931)&lt;&gt;HomeState),0,ROUND(K1931*L1931/2,2))),"")</f>
        <v/>
      </c>
      <c r="N1931" s="61" t="str">
        <f aca="false">IF(IsPro,IF($D1931="","",M1931),"")</f>
        <v/>
      </c>
      <c r="O1931" s="61" t="str">
        <f aca="false">IF(IsPro,IF($D1931="","",IF(AND(R1931&lt;&gt;"",INDEX(Parties!$E$5:$E$304,R1931)&lt;&gt;"",INDEX(Parties!$E$5:$E$304,R1931)&lt;&gt;HomeState),ROUND(K1931*L1931,2),0)),"")</f>
        <v/>
      </c>
      <c r="P1931" s="61" t="str">
        <f aca="false">IF(IsPro,IF($D1931="","",K1931+M1931+N1931+O1931),"")</f>
        <v/>
      </c>
      <c r="Q1931" s="60" t="str">
        <f aca="false">IF(IsPro,IF($D1931="","",IFERROR(MATCH($D1931,Items!$A$5:$A$504,0),"")),"")</f>
        <v/>
      </c>
      <c r="R1931" s="60" t="str">
        <f aca="false">IF(IsPro,IF($C1931="","",IFERROR(MATCH($C1931,Parties!$A$5:$A$304,0),"")),"")</f>
        <v/>
      </c>
      <c r="S1931" s="61" t="str">
        <f aca="false">IF(IsPro,IF($D1931="","",IF(OR($H1931="",$H1931="Credit"),0,P1931)),"")</f>
        <v/>
      </c>
    </row>
    <row r="1932" customFormat="false" ht="15" hidden="false" customHeight="false" outlineLevel="0" collapsed="false">
      <c r="A1932" s="55"/>
      <c r="B1932" s="56"/>
      <c r="C1932" s="56"/>
      <c r="D1932" s="56"/>
      <c r="E1932" s="57"/>
      <c r="F1932" s="58"/>
      <c r="G1932" s="59"/>
      <c r="H1932" s="56"/>
      <c r="I1932" s="60" t="str">
        <f aca="false">IF(IsPro,IF($D1932="","",IFERROR(INDEX(Items!$D$5:$D$504,Q1932),"")),IF($D1932="","","PRO PLAN"))</f>
        <v/>
      </c>
      <c r="J1932" s="61" t="str">
        <f aca="false">IF(IsPro,IF($D1932="","",IF($F1932="",IFERROR(INDEX(Items!$G$5:$G$504,Q1932),0),$F1932)),"")</f>
        <v/>
      </c>
      <c r="K1932" s="61" t="str">
        <f aca="false">IF(IsPro,IF($D1932="","",ROUND(N($E1932)*J1932*(1-N($G1932)),2)),"")</f>
        <v/>
      </c>
      <c r="L1932" s="62" t="str">
        <f aca="false">IF(IsPro,IF($D1932="","",IFERROR(INDEX(Items!$F$5:$F$504,Q1932),0)),"")</f>
        <v/>
      </c>
      <c r="M1932" s="61" t="str">
        <f aca="false">IF(IsPro,IF($D1932="","",IF(AND(R1932&lt;&gt;"",INDEX(Parties!$E$5:$E$304,R1932)&lt;&gt;"",INDEX(Parties!$E$5:$E$304,R1932)&lt;&gt;HomeState),0,ROUND(K1932*L1932/2,2))),"")</f>
        <v/>
      </c>
      <c r="N1932" s="61" t="str">
        <f aca="false">IF(IsPro,IF($D1932="","",M1932),"")</f>
        <v/>
      </c>
      <c r="O1932" s="61" t="str">
        <f aca="false">IF(IsPro,IF($D1932="","",IF(AND(R1932&lt;&gt;"",INDEX(Parties!$E$5:$E$304,R1932)&lt;&gt;"",INDEX(Parties!$E$5:$E$304,R1932)&lt;&gt;HomeState),ROUND(K1932*L1932,2),0)),"")</f>
        <v/>
      </c>
      <c r="P1932" s="61" t="str">
        <f aca="false">IF(IsPro,IF($D1932="","",K1932+M1932+N1932+O1932),"")</f>
        <v/>
      </c>
      <c r="Q1932" s="60" t="str">
        <f aca="false">IF(IsPro,IF($D1932="","",IFERROR(MATCH($D1932,Items!$A$5:$A$504,0),"")),"")</f>
        <v/>
      </c>
      <c r="R1932" s="60" t="str">
        <f aca="false">IF(IsPro,IF($C1932="","",IFERROR(MATCH($C1932,Parties!$A$5:$A$304,0),"")),"")</f>
        <v/>
      </c>
      <c r="S1932" s="61" t="str">
        <f aca="false">IF(IsPro,IF($D1932="","",IF(OR($H1932="",$H1932="Credit"),0,P1932)),"")</f>
        <v/>
      </c>
    </row>
    <row r="1933" customFormat="false" ht="15" hidden="false" customHeight="false" outlineLevel="0" collapsed="false">
      <c r="A1933" s="55"/>
      <c r="B1933" s="56"/>
      <c r="C1933" s="56"/>
      <c r="D1933" s="56"/>
      <c r="E1933" s="57"/>
      <c r="F1933" s="58"/>
      <c r="G1933" s="59"/>
      <c r="H1933" s="56"/>
      <c r="I1933" s="60" t="str">
        <f aca="false">IF(IsPro,IF($D1933="","",IFERROR(INDEX(Items!$D$5:$D$504,Q1933),"")),IF($D1933="","","PRO PLAN"))</f>
        <v/>
      </c>
      <c r="J1933" s="61" t="str">
        <f aca="false">IF(IsPro,IF($D1933="","",IF($F1933="",IFERROR(INDEX(Items!$G$5:$G$504,Q1933),0),$F1933)),"")</f>
        <v/>
      </c>
      <c r="K1933" s="61" t="str">
        <f aca="false">IF(IsPro,IF($D1933="","",ROUND(N($E1933)*J1933*(1-N($G1933)),2)),"")</f>
        <v/>
      </c>
      <c r="L1933" s="62" t="str">
        <f aca="false">IF(IsPro,IF($D1933="","",IFERROR(INDEX(Items!$F$5:$F$504,Q1933),0)),"")</f>
        <v/>
      </c>
      <c r="M1933" s="61" t="str">
        <f aca="false">IF(IsPro,IF($D1933="","",IF(AND(R1933&lt;&gt;"",INDEX(Parties!$E$5:$E$304,R1933)&lt;&gt;"",INDEX(Parties!$E$5:$E$304,R1933)&lt;&gt;HomeState),0,ROUND(K1933*L1933/2,2))),"")</f>
        <v/>
      </c>
      <c r="N1933" s="61" t="str">
        <f aca="false">IF(IsPro,IF($D1933="","",M1933),"")</f>
        <v/>
      </c>
      <c r="O1933" s="61" t="str">
        <f aca="false">IF(IsPro,IF($D1933="","",IF(AND(R1933&lt;&gt;"",INDEX(Parties!$E$5:$E$304,R1933)&lt;&gt;"",INDEX(Parties!$E$5:$E$304,R1933)&lt;&gt;HomeState),ROUND(K1933*L1933,2),0)),"")</f>
        <v/>
      </c>
      <c r="P1933" s="61" t="str">
        <f aca="false">IF(IsPro,IF($D1933="","",K1933+M1933+N1933+O1933),"")</f>
        <v/>
      </c>
      <c r="Q1933" s="60" t="str">
        <f aca="false">IF(IsPro,IF($D1933="","",IFERROR(MATCH($D1933,Items!$A$5:$A$504,0),"")),"")</f>
        <v/>
      </c>
      <c r="R1933" s="60" t="str">
        <f aca="false">IF(IsPro,IF($C1933="","",IFERROR(MATCH($C1933,Parties!$A$5:$A$304,0),"")),"")</f>
        <v/>
      </c>
      <c r="S1933" s="61" t="str">
        <f aca="false">IF(IsPro,IF($D1933="","",IF(OR($H1933="",$H1933="Credit"),0,P1933)),"")</f>
        <v/>
      </c>
    </row>
    <row r="1934" customFormat="false" ht="15" hidden="false" customHeight="false" outlineLevel="0" collapsed="false">
      <c r="A1934" s="55"/>
      <c r="B1934" s="56"/>
      <c r="C1934" s="56"/>
      <c r="D1934" s="56"/>
      <c r="E1934" s="57"/>
      <c r="F1934" s="58"/>
      <c r="G1934" s="59"/>
      <c r="H1934" s="56"/>
      <c r="I1934" s="60" t="str">
        <f aca="false">IF(IsPro,IF($D1934="","",IFERROR(INDEX(Items!$D$5:$D$504,Q1934),"")),IF($D1934="","","PRO PLAN"))</f>
        <v/>
      </c>
      <c r="J1934" s="61" t="str">
        <f aca="false">IF(IsPro,IF($D1934="","",IF($F1934="",IFERROR(INDEX(Items!$G$5:$G$504,Q1934),0),$F1934)),"")</f>
        <v/>
      </c>
      <c r="K1934" s="61" t="str">
        <f aca="false">IF(IsPro,IF($D1934="","",ROUND(N($E1934)*J1934*(1-N($G1934)),2)),"")</f>
        <v/>
      </c>
      <c r="L1934" s="62" t="str">
        <f aca="false">IF(IsPro,IF($D1934="","",IFERROR(INDEX(Items!$F$5:$F$504,Q1934),0)),"")</f>
        <v/>
      </c>
      <c r="M1934" s="61" t="str">
        <f aca="false">IF(IsPro,IF($D1934="","",IF(AND(R1934&lt;&gt;"",INDEX(Parties!$E$5:$E$304,R1934)&lt;&gt;"",INDEX(Parties!$E$5:$E$304,R1934)&lt;&gt;HomeState),0,ROUND(K1934*L1934/2,2))),"")</f>
        <v/>
      </c>
      <c r="N1934" s="61" t="str">
        <f aca="false">IF(IsPro,IF($D1934="","",M1934),"")</f>
        <v/>
      </c>
      <c r="O1934" s="61" t="str">
        <f aca="false">IF(IsPro,IF($D1934="","",IF(AND(R1934&lt;&gt;"",INDEX(Parties!$E$5:$E$304,R1934)&lt;&gt;"",INDEX(Parties!$E$5:$E$304,R1934)&lt;&gt;HomeState),ROUND(K1934*L1934,2),0)),"")</f>
        <v/>
      </c>
      <c r="P1934" s="61" t="str">
        <f aca="false">IF(IsPro,IF($D1934="","",K1934+M1934+N1934+O1934),"")</f>
        <v/>
      </c>
      <c r="Q1934" s="60" t="str">
        <f aca="false">IF(IsPro,IF($D1934="","",IFERROR(MATCH($D1934,Items!$A$5:$A$504,0),"")),"")</f>
        <v/>
      </c>
      <c r="R1934" s="60" t="str">
        <f aca="false">IF(IsPro,IF($C1934="","",IFERROR(MATCH($C1934,Parties!$A$5:$A$304,0),"")),"")</f>
        <v/>
      </c>
      <c r="S1934" s="61" t="str">
        <f aca="false">IF(IsPro,IF($D1934="","",IF(OR($H1934="",$H1934="Credit"),0,P1934)),"")</f>
        <v/>
      </c>
    </row>
    <row r="1935" customFormat="false" ht="15" hidden="false" customHeight="false" outlineLevel="0" collapsed="false">
      <c r="A1935" s="55"/>
      <c r="B1935" s="56"/>
      <c r="C1935" s="56"/>
      <c r="D1935" s="56"/>
      <c r="E1935" s="57"/>
      <c r="F1935" s="58"/>
      <c r="G1935" s="59"/>
      <c r="H1935" s="56"/>
      <c r="I1935" s="60" t="str">
        <f aca="false">IF(IsPro,IF($D1935="","",IFERROR(INDEX(Items!$D$5:$D$504,Q1935),"")),IF($D1935="","","PRO PLAN"))</f>
        <v/>
      </c>
      <c r="J1935" s="61" t="str">
        <f aca="false">IF(IsPro,IF($D1935="","",IF($F1935="",IFERROR(INDEX(Items!$G$5:$G$504,Q1935),0),$F1935)),"")</f>
        <v/>
      </c>
      <c r="K1935" s="61" t="str">
        <f aca="false">IF(IsPro,IF($D1935="","",ROUND(N($E1935)*J1935*(1-N($G1935)),2)),"")</f>
        <v/>
      </c>
      <c r="L1935" s="62" t="str">
        <f aca="false">IF(IsPro,IF($D1935="","",IFERROR(INDEX(Items!$F$5:$F$504,Q1935),0)),"")</f>
        <v/>
      </c>
      <c r="M1935" s="61" t="str">
        <f aca="false">IF(IsPro,IF($D1935="","",IF(AND(R1935&lt;&gt;"",INDEX(Parties!$E$5:$E$304,R1935)&lt;&gt;"",INDEX(Parties!$E$5:$E$304,R1935)&lt;&gt;HomeState),0,ROUND(K1935*L1935/2,2))),"")</f>
        <v/>
      </c>
      <c r="N1935" s="61" t="str">
        <f aca="false">IF(IsPro,IF($D1935="","",M1935),"")</f>
        <v/>
      </c>
      <c r="O1935" s="61" t="str">
        <f aca="false">IF(IsPro,IF($D1935="","",IF(AND(R1935&lt;&gt;"",INDEX(Parties!$E$5:$E$304,R1935)&lt;&gt;"",INDEX(Parties!$E$5:$E$304,R1935)&lt;&gt;HomeState),ROUND(K1935*L1935,2),0)),"")</f>
        <v/>
      </c>
      <c r="P1935" s="61" t="str">
        <f aca="false">IF(IsPro,IF($D1935="","",K1935+M1935+N1935+O1935),"")</f>
        <v/>
      </c>
      <c r="Q1935" s="60" t="str">
        <f aca="false">IF(IsPro,IF($D1935="","",IFERROR(MATCH($D1935,Items!$A$5:$A$504,0),"")),"")</f>
        <v/>
      </c>
      <c r="R1935" s="60" t="str">
        <f aca="false">IF(IsPro,IF($C1935="","",IFERROR(MATCH($C1935,Parties!$A$5:$A$304,0),"")),"")</f>
        <v/>
      </c>
      <c r="S1935" s="61" t="str">
        <f aca="false">IF(IsPro,IF($D1935="","",IF(OR($H1935="",$H1935="Credit"),0,P1935)),"")</f>
        <v/>
      </c>
    </row>
    <row r="1936" customFormat="false" ht="15" hidden="false" customHeight="false" outlineLevel="0" collapsed="false">
      <c r="A1936" s="55"/>
      <c r="B1936" s="56"/>
      <c r="C1936" s="56"/>
      <c r="D1936" s="56"/>
      <c r="E1936" s="57"/>
      <c r="F1936" s="58"/>
      <c r="G1936" s="59"/>
      <c r="H1936" s="56"/>
      <c r="I1936" s="60" t="str">
        <f aca="false">IF(IsPro,IF($D1936="","",IFERROR(INDEX(Items!$D$5:$D$504,Q1936),"")),IF($D1936="","","PRO PLAN"))</f>
        <v/>
      </c>
      <c r="J1936" s="61" t="str">
        <f aca="false">IF(IsPro,IF($D1936="","",IF($F1936="",IFERROR(INDEX(Items!$G$5:$G$504,Q1936),0),$F1936)),"")</f>
        <v/>
      </c>
      <c r="K1936" s="61" t="str">
        <f aca="false">IF(IsPro,IF($D1936="","",ROUND(N($E1936)*J1936*(1-N($G1936)),2)),"")</f>
        <v/>
      </c>
      <c r="L1936" s="62" t="str">
        <f aca="false">IF(IsPro,IF($D1936="","",IFERROR(INDEX(Items!$F$5:$F$504,Q1936),0)),"")</f>
        <v/>
      </c>
      <c r="M1936" s="61" t="str">
        <f aca="false">IF(IsPro,IF($D1936="","",IF(AND(R1936&lt;&gt;"",INDEX(Parties!$E$5:$E$304,R1936)&lt;&gt;"",INDEX(Parties!$E$5:$E$304,R1936)&lt;&gt;HomeState),0,ROUND(K1936*L1936/2,2))),"")</f>
        <v/>
      </c>
      <c r="N1936" s="61" t="str">
        <f aca="false">IF(IsPro,IF($D1936="","",M1936),"")</f>
        <v/>
      </c>
      <c r="O1936" s="61" t="str">
        <f aca="false">IF(IsPro,IF($D1936="","",IF(AND(R1936&lt;&gt;"",INDEX(Parties!$E$5:$E$304,R1936)&lt;&gt;"",INDEX(Parties!$E$5:$E$304,R1936)&lt;&gt;HomeState),ROUND(K1936*L1936,2),0)),"")</f>
        <v/>
      </c>
      <c r="P1936" s="61" t="str">
        <f aca="false">IF(IsPro,IF($D1936="","",K1936+M1936+N1936+O1936),"")</f>
        <v/>
      </c>
      <c r="Q1936" s="60" t="str">
        <f aca="false">IF(IsPro,IF($D1936="","",IFERROR(MATCH($D1936,Items!$A$5:$A$504,0),"")),"")</f>
        <v/>
      </c>
      <c r="R1936" s="60" t="str">
        <f aca="false">IF(IsPro,IF($C1936="","",IFERROR(MATCH($C1936,Parties!$A$5:$A$304,0),"")),"")</f>
        <v/>
      </c>
      <c r="S1936" s="61" t="str">
        <f aca="false">IF(IsPro,IF($D1936="","",IF(OR($H1936="",$H1936="Credit"),0,P1936)),"")</f>
        <v/>
      </c>
    </row>
    <row r="1937" customFormat="false" ht="15" hidden="false" customHeight="false" outlineLevel="0" collapsed="false">
      <c r="A1937" s="55"/>
      <c r="B1937" s="56"/>
      <c r="C1937" s="56"/>
      <c r="D1937" s="56"/>
      <c r="E1937" s="57"/>
      <c r="F1937" s="58"/>
      <c r="G1937" s="59"/>
      <c r="H1937" s="56"/>
      <c r="I1937" s="60" t="str">
        <f aca="false">IF(IsPro,IF($D1937="","",IFERROR(INDEX(Items!$D$5:$D$504,Q1937),"")),IF($D1937="","","PRO PLAN"))</f>
        <v/>
      </c>
      <c r="J1937" s="61" t="str">
        <f aca="false">IF(IsPro,IF($D1937="","",IF($F1937="",IFERROR(INDEX(Items!$G$5:$G$504,Q1937),0),$F1937)),"")</f>
        <v/>
      </c>
      <c r="K1937" s="61" t="str">
        <f aca="false">IF(IsPro,IF($D1937="","",ROUND(N($E1937)*J1937*(1-N($G1937)),2)),"")</f>
        <v/>
      </c>
      <c r="L1937" s="62" t="str">
        <f aca="false">IF(IsPro,IF($D1937="","",IFERROR(INDEX(Items!$F$5:$F$504,Q1937),0)),"")</f>
        <v/>
      </c>
      <c r="M1937" s="61" t="str">
        <f aca="false">IF(IsPro,IF($D1937="","",IF(AND(R1937&lt;&gt;"",INDEX(Parties!$E$5:$E$304,R1937)&lt;&gt;"",INDEX(Parties!$E$5:$E$304,R1937)&lt;&gt;HomeState),0,ROUND(K1937*L1937/2,2))),"")</f>
        <v/>
      </c>
      <c r="N1937" s="61" t="str">
        <f aca="false">IF(IsPro,IF($D1937="","",M1937),"")</f>
        <v/>
      </c>
      <c r="O1937" s="61" t="str">
        <f aca="false">IF(IsPro,IF($D1937="","",IF(AND(R1937&lt;&gt;"",INDEX(Parties!$E$5:$E$304,R1937)&lt;&gt;"",INDEX(Parties!$E$5:$E$304,R1937)&lt;&gt;HomeState),ROUND(K1937*L1937,2),0)),"")</f>
        <v/>
      </c>
      <c r="P1937" s="61" t="str">
        <f aca="false">IF(IsPro,IF($D1937="","",K1937+M1937+N1937+O1937),"")</f>
        <v/>
      </c>
      <c r="Q1937" s="60" t="str">
        <f aca="false">IF(IsPro,IF($D1937="","",IFERROR(MATCH($D1937,Items!$A$5:$A$504,0),"")),"")</f>
        <v/>
      </c>
      <c r="R1937" s="60" t="str">
        <f aca="false">IF(IsPro,IF($C1937="","",IFERROR(MATCH($C1937,Parties!$A$5:$A$304,0),"")),"")</f>
        <v/>
      </c>
      <c r="S1937" s="61" t="str">
        <f aca="false">IF(IsPro,IF($D1937="","",IF(OR($H1937="",$H1937="Credit"),0,P1937)),"")</f>
        <v/>
      </c>
    </row>
    <row r="1938" customFormat="false" ht="15" hidden="false" customHeight="false" outlineLevel="0" collapsed="false">
      <c r="A1938" s="55"/>
      <c r="B1938" s="56"/>
      <c r="C1938" s="56"/>
      <c r="D1938" s="56"/>
      <c r="E1938" s="57"/>
      <c r="F1938" s="58"/>
      <c r="G1938" s="59"/>
      <c r="H1938" s="56"/>
      <c r="I1938" s="60" t="str">
        <f aca="false">IF(IsPro,IF($D1938="","",IFERROR(INDEX(Items!$D$5:$D$504,Q1938),"")),IF($D1938="","","PRO PLAN"))</f>
        <v/>
      </c>
      <c r="J1938" s="61" t="str">
        <f aca="false">IF(IsPro,IF($D1938="","",IF($F1938="",IFERROR(INDEX(Items!$G$5:$G$504,Q1938),0),$F1938)),"")</f>
        <v/>
      </c>
      <c r="K1938" s="61" t="str">
        <f aca="false">IF(IsPro,IF($D1938="","",ROUND(N($E1938)*J1938*(1-N($G1938)),2)),"")</f>
        <v/>
      </c>
      <c r="L1938" s="62" t="str">
        <f aca="false">IF(IsPro,IF($D1938="","",IFERROR(INDEX(Items!$F$5:$F$504,Q1938),0)),"")</f>
        <v/>
      </c>
      <c r="M1938" s="61" t="str">
        <f aca="false">IF(IsPro,IF($D1938="","",IF(AND(R1938&lt;&gt;"",INDEX(Parties!$E$5:$E$304,R1938)&lt;&gt;"",INDEX(Parties!$E$5:$E$304,R1938)&lt;&gt;HomeState),0,ROUND(K1938*L1938/2,2))),"")</f>
        <v/>
      </c>
      <c r="N1938" s="61" t="str">
        <f aca="false">IF(IsPro,IF($D1938="","",M1938),"")</f>
        <v/>
      </c>
      <c r="O1938" s="61" t="str">
        <f aca="false">IF(IsPro,IF($D1938="","",IF(AND(R1938&lt;&gt;"",INDEX(Parties!$E$5:$E$304,R1938)&lt;&gt;"",INDEX(Parties!$E$5:$E$304,R1938)&lt;&gt;HomeState),ROUND(K1938*L1938,2),0)),"")</f>
        <v/>
      </c>
      <c r="P1938" s="61" t="str">
        <f aca="false">IF(IsPro,IF($D1938="","",K1938+M1938+N1938+O1938),"")</f>
        <v/>
      </c>
      <c r="Q1938" s="60" t="str">
        <f aca="false">IF(IsPro,IF($D1938="","",IFERROR(MATCH($D1938,Items!$A$5:$A$504,0),"")),"")</f>
        <v/>
      </c>
      <c r="R1938" s="60" t="str">
        <f aca="false">IF(IsPro,IF($C1938="","",IFERROR(MATCH($C1938,Parties!$A$5:$A$304,0),"")),"")</f>
        <v/>
      </c>
      <c r="S1938" s="61" t="str">
        <f aca="false">IF(IsPro,IF($D1938="","",IF(OR($H1938="",$H1938="Credit"),0,P1938)),"")</f>
        <v/>
      </c>
    </row>
    <row r="1939" customFormat="false" ht="15" hidden="false" customHeight="false" outlineLevel="0" collapsed="false">
      <c r="A1939" s="55"/>
      <c r="B1939" s="56"/>
      <c r="C1939" s="56"/>
      <c r="D1939" s="56"/>
      <c r="E1939" s="57"/>
      <c r="F1939" s="58"/>
      <c r="G1939" s="59"/>
      <c r="H1939" s="56"/>
      <c r="I1939" s="60" t="str">
        <f aca="false">IF(IsPro,IF($D1939="","",IFERROR(INDEX(Items!$D$5:$D$504,Q1939),"")),IF($D1939="","","PRO PLAN"))</f>
        <v/>
      </c>
      <c r="J1939" s="61" t="str">
        <f aca="false">IF(IsPro,IF($D1939="","",IF($F1939="",IFERROR(INDEX(Items!$G$5:$G$504,Q1939),0),$F1939)),"")</f>
        <v/>
      </c>
      <c r="K1939" s="61" t="str">
        <f aca="false">IF(IsPro,IF($D1939="","",ROUND(N($E1939)*J1939*(1-N($G1939)),2)),"")</f>
        <v/>
      </c>
      <c r="L1939" s="62" t="str">
        <f aca="false">IF(IsPro,IF($D1939="","",IFERROR(INDEX(Items!$F$5:$F$504,Q1939),0)),"")</f>
        <v/>
      </c>
      <c r="M1939" s="61" t="str">
        <f aca="false">IF(IsPro,IF($D1939="","",IF(AND(R1939&lt;&gt;"",INDEX(Parties!$E$5:$E$304,R1939)&lt;&gt;"",INDEX(Parties!$E$5:$E$304,R1939)&lt;&gt;HomeState),0,ROUND(K1939*L1939/2,2))),"")</f>
        <v/>
      </c>
      <c r="N1939" s="61" t="str">
        <f aca="false">IF(IsPro,IF($D1939="","",M1939),"")</f>
        <v/>
      </c>
      <c r="O1939" s="61" t="str">
        <f aca="false">IF(IsPro,IF($D1939="","",IF(AND(R1939&lt;&gt;"",INDEX(Parties!$E$5:$E$304,R1939)&lt;&gt;"",INDEX(Parties!$E$5:$E$304,R1939)&lt;&gt;HomeState),ROUND(K1939*L1939,2),0)),"")</f>
        <v/>
      </c>
      <c r="P1939" s="61" t="str">
        <f aca="false">IF(IsPro,IF($D1939="","",K1939+M1939+N1939+O1939),"")</f>
        <v/>
      </c>
      <c r="Q1939" s="60" t="str">
        <f aca="false">IF(IsPro,IF($D1939="","",IFERROR(MATCH($D1939,Items!$A$5:$A$504,0),"")),"")</f>
        <v/>
      </c>
      <c r="R1939" s="60" t="str">
        <f aca="false">IF(IsPro,IF($C1939="","",IFERROR(MATCH($C1939,Parties!$A$5:$A$304,0),"")),"")</f>
        <v/>
      </c>
      <c r="S1939" s="61" t="str">
        <f aca="false">IF(IsPro,IF($D1939="","",IF(OR($H1939="",$H1939="Credit"),0,P1939)),"")</f>
        <v/>
      </c>
    </row>
    <row r="1940" customFormat="false" ht="15" hidden="false" customHeight="false" outlineLevel="0" collapsed="false">
      <c r="A1940" s="55"/>
      <c r="B1940" s="56"/>
      <c r="C1940" s="56"/>
      <c r="D1940" s="56"/>
      <c r="E1940" s="57"/>
      <c r="F1940" s="58"/>
      <c r="G1940" s="59"/>
      <c r="H1940" s="56"/>
      <c r="I1940" s="60" t="str">
        <f aca="false">IF(IsPro,IF($D1940="","",IFERROR(INDEX(Items!$D$5:$D$504,Q1940),"")),IF($D1940="","","PRO PLAN"))</f>
        <v/>
      </c>
      <c r="J1940" s="61" t="str">
        <f aca="false">IF(IsPro,IF($D1940="","",IF($F1940="",IFERROR(INDEX(Items!$G$5:$G$504,Q1940),0),$F1940)),"")</f>
        <v/>
      </c>
      <c r="K1940" s="61" t="str">
        <f aca="false">IF(IsPro,IF($D1940="","",ROUND(N($E1940)*J1940*(1-N($G1940)),2)),"")</f>
        <v/>
      </c>
      <c r="L1940" s="62" t="str">
        <f aca="false">IF(IsPro,IF($D1940="","",IFERROR(INDEX(Items!$F$5:$F$504,Q1940),0)),"")</f>
        <v/>
      </c>
      <c r="M1940" s="61" t="str">
        <f aca="false">IF(IsPro,IF($D1940="","",IF(AND(R1940&lt;&gt;"",INDEX(Parties!$E$5:$E$304,R1940)&lt;&gt;"",INDEX(Parties!$E$5:$E$304,R1940)&lt;&gt;HomeState),0,ROUND(K1940*L1940/2,2))),"")</f>
        <v/>
      </c>
      <c r="N1940" s="61" t="str">
        <f aca="false">IF(IsPro,IF($D1940="","",M1940),"")</f>
        <v/>
      </c>
      <c r="O1940" s="61" t="str">
        <f aca="false">IF(IsPro,IF($D1940="","",IF(AND(R1940&lt;&gt;"",INDEX(Parties!$E$5:$E$304,R1940)&lt;&gt;"",INDEX(Parties!$E$5:$E$304,R1940)&lt;&gt;HomeState),ROUND(K1940*L1940,2),0)),"")</f>
        <v/>
      </c>
      <c r="P1940" s="61" t="str">
        <f aca="false">IF(IsPro,IF($D1940="","",K1940+M1940+N1940+O1940),"")</f>
        <v/>
      </c>
      <c r="Q1940" s="60" t="str">
        <f aca="false">IF(IsPro,IF($D1940="","",IFERROR(MATCH($D1940,Items!$A$5:$A$504,0),"")),"")</f>
        <v/>
      </c>
      <c r="R1940" s="60" t="str">
        <f aca="false">IF(IsPro,IF($C1940="","",IFERROR(MATCH($C1940,Parties!$A$5:$A$304,0),"")),"")</f>
        <v/>
      </c>
      <c r="S1940" s="61" t="str">
        <f aca="false">IF(IsPro,IF($D1940="","",IF(OR($H1940="",$H1940="Credit"),0,P1940)),"")</f>
        <v/>
      </c>
    </row>
    <row r="1941" customFormat="false" ht="15" hidden="false" customHeight="false" outlineLevel="0" collapsed="false">
      <c r="A1941" s="55"/>
      <c r="B1941" s="56"/>
      <c r="C1941" s="56"/>
      <c r="D1941" s="56"/>
      <c r="E1941" s="57"/>
      <c r="F1941" s="58"/>
      <c r="G1941" s="59"/>
      <c r="H1941" s="56"/>
      <c r="I1941" s="60" t="str">
        <f aca="false">IF(IsPro,IF($D1941="","",IFERROR(INDEX(Items!$D$5:$D$504,Q1941),"")),IF($D1941="","","PRO PLAN"))</f>
        <v/>
      </c>
      <c r="J1941" s="61" t="str">
        <f aca="false">IF(IsPro,IF($D1941="","",IF($F1941="",IFERROR(INDEX(Items!$G$5:$G$504,Q1941),0),$F1941)),"")</f>
        <v/>
      </c>
      <c r="K1941" s="61" t="str">
        <f aca="false">IF(IsPro,IF($D1941="","",ROUND(N($E1941)*J1941*(1-N($G1941)),2)),"")</f>
        <v/>
      </c>
      <c r="L1941" s="62" t="str">
        <f aca="false">IF(IsPro,IF($D1941="","",IFERROR(INDEX(Items!$F$5:$F$504,Q1941),0)),"")</f>
        <v/>
      </c>
      <c r="M1941" s="61" t="str">
        <f aca="false">IF(IsPro,IF($D1941="","",IF(AND(R1941&lt;&gt;"",INDEX(Parties!$E$5:$E$304,R1941)&lt;&gt;"",INDEX(Parties!$E$5:$E$304,R1941)&lt;&gt;HomeState),0,ROUND(K1941*L1941/2,2))),"")</f>
        <v/>
      </c>
      <c r="N1941" s="61" t="str">
        <f aca="false">IF(IsPro,IF($D1941="","",M1941),"")</f>
        <v/>
      </c>
      <c r="O1941" s="61" t="str">
        <f aca="false">IF(IsPro,IF($D1941="","",IF(AND(R1941&lt;&gt;"",INDEX(Parties!$E$5:$E$304,R1941)&lt;&gt;"",INDEX(Parties!$E$5:$E$304,R1941)&lt;&gt;HomeState),ROUND(K1941*L1941,2),0)),"")</f>
        <v/>
      </c>
      <c r="P1941" s="61" t="str">
        <f aca="false">IF(IsPro,IF($D1941="","",K1941+M1941+N1941+O1941),"")</f>
        <v/>
      </c>
      <c r="Q1941" s="60" t="str">
        <f aca="false">IF(IsPro,IF($D1941="","",IFERROR(MATCH($D1941,Items!$A$5:$A$504,0),"")),"")</f>
        <v/>
      </c>
      <c r="R1941" s="60" t="str">
        <f aca="false">IF(IsPro,IF($C1941="","",IFERROR(MATCH($C1941,Parties!$A$5:$A$304,0),"")),"")</f>
        <v/>
      </c>
      <c r="S1941" s="61" t="str">
        <f aca="false">IF(IsPro,IF($D1941="","",IF(OR($H1941="",$H1941="Credit"),0,P1941)),"")</f>
        <v/>
      </c>
    </row>
    <row r="1942" customFormat="false" ht="15" hidden="false" customHeight="false" outlineLevel="0" collapsed="false">
      <c r="A1942" s="55"/>
      <c r="B1942" s="56"/>
      <c r="C1942" s="56"/>
      <c r="D1942" s="56"/>
      <c r="E1942" s="57"/>
      <c r="F1942" s="58"/>
      <c r="G1942" s="59"/>
      <c r="H1942" s="56"/>
      <c r="I1942" s="60" t="str">
        <f aca="false">IF(IsPro,IF($D1942="","",IFERROR(INDEX(Items!$D$5:$D$504,Q1942),"")),IF($D1942="","","PRO PLAN"))</f>
        <v/>
      </c>
      <c r="J1942" s="61" t="str">
        <f aca="false">IF(IsPro,IF($D1942="","",IF($F1942="",IFERROR(INDEX(Items!$G$5:$G$504,Q1942),0),$F1942)),"")</f>
        <v/>
      </c>
      <c r="K1942" s="61" t="str">
        <f aca="false">IF(IsPro,IF($D1942="","",ROUND(N($E1942)*J1942*(1-N($G1942)),2)),"")</f>
        <v/>
      </c>
      <c r="L1942" s="62" t="str">
        <f aca="false">IF(IsPro,IF($D1942="","",IFERROR(INDEX(Items!$F$5:$F$504,Q1942),0)),"")</f>
        <v/>
      </c>
      <c r="M1942" s="61" t="str">
        <f aca="false">IF(IsPro,IF($D1942="","",IF(AND(R1942&lt;&gt;"",INDEX(Parties!$E$5:$E$304,R1942)&lt;&gt;"",INDEX(Parties!$E$5:$E$304,R1942)&lt;&gt;HomeState),0,ROUND(K1942*L1942/2,2))),"")</f>
        <v/>
      </c>
      <c r="N1942" s="61" t="str">
        <f aca="false">IF(IsPro,IF($D1942="","",M1942),"")</f>
        <v/>
      </c>
      <c r="O1942" s="61" t="str">
        <f aca="false">IF(IsPro,IF($D1942="","",IF(AND(R1942&lt;&gt;"",INDEX(Parties!$E$5:$E$304,R1942)&lt;&gt;"",INDEX(Parties!$E$5:$E$304,R1942)&lt;&gt;HomeState),ROUND(K1942*L1942,2),0)),"")</f>
        <v/>
      </c>
      <c r="P1942" s="61" t="str">
        <f aca="false">IF(IsPro,IF($D1942="","",K1942+M1942+N1942+O1942),"")</f>
        <v/>
      </c>
      <c r="Q1942" s="60" t="str">
        <f aca="false">IF(IsPro,IF($D1942="","",IFERROR(MATCH($D1942,Items!$A$5:$A$504,0),"")),"")</f>
        <v/>
      </c>
      <c r="R1942" s="60" t="str">
        <f aca="false">IF(IsPro,IF($C1942="","",IFERROR(MATCH($C1942,Parties!$A$5:$A$304,0),"")),"")</f>
        <v/>
      </c>
      <c r="S1942" s="61" t="str">
        <f aca="false">IF(IsPro,IF($D1942="","",IF(OR($H1942="",$H1942="Credit"),0,P1942)),"")</f>
        <v/>
      </c>
    </row>
    <row r="1943" customFormat="false" ht="15" hidden="false" customHeight="false" outlineLevel="0" collapsed="false">
      <c r="A1943" s="55"/>
      <c r="B1943" s="56"/>
      <c r="C1943" s="56"/>
      <c r="D1943" s="56"/>
      <c r="E1943" s="57"/>
      <c r="F1943" s="58"/>
      <c r="G1943" s="59"/>
      <c r="H1943" s="56"/>
      <c r="I1943" s="60" t="str">
        <f aca="false">IF(IsPro,IF($D1943="","",IFERROR(INDEX(Items!$D$5:$D$504,Q1943),"")),IF($D1943="","","PRO PLAN"))</f>
        <v/>
      </c>
      <c r="J1943" s="61" t="str">
        <f aca="false">IF(IsPro,IF($D1943="","",IF($F1943="",IFERROR(INDEX(Items!$G$5:$G$504,Q1943),0),$F1943)),"")</f>
        <v/>
      </c>
      <c r="K1943" s="61" t="str">
        <f aca="false">IF(IsPro,IF($D1943="","",ROUND(N($E1943)*J1943*(1-N($G1943)),2)),"")</f>
        <v/>
      </c>
      <c r="L1943" s="62" t="str">
        <f aca="false">IF(IsPro,IF($D1943="","",IFERROR(INDEX(Items!$F$5:$F$504,Q1943),0)),"")</f>
        <v/>
      </c>
      <c r="M1943" s="61" t="str">
        <f aca="false">IF(IsPro,IF($D1943="","",IF(AND(R1943&lt;&gt;"",INDEX(Parties!$E$5:$E$304,R1943)&lt;&gt;"",INDEX(Parties!$E$5:$E$304,R1943)&lt;&gt;HomeState),0,ROUND(K1943*L1943/2,2))),"")</f>
        <v/>
      </c>
      <c r="N1943" s="61" t="str">
        <f aca="false">IF(IsPro,IF($D1943="","",M1943),"")</f>
        <v/>
      </c>
      <c r="O1943" s="61" t="str">
        <f aca="false">IF(IsPro,IF($D1943="","",IF(AND(R1943&lt;&gt;"",INDEX(Parties!$E$5:$E$304,R1943)&lt;&gt;"",INDEX(Parties!$E$5:$E$304,R1943)&lt;&gt;HomeState),ROUND(K1943*L1943,2),0)),"")</f>
        <v/>
      </c>
      <c r="P1943" s="61" t="str">
        <f aca="false">IF(IsPro,IF($D1943="","",K1943+M1943+N1943+O1943),"")</f>
        <v/>
      </c>
      <c r="Q1943" s="60" t="str">
        <f aca="false">IF(IsPro,IF($D1943="","",IFERROR(MATCH($D1943,Items!$A$5:$A$504,0),"")),"")</f>
        <v/>
      </c>
      <c r="R1943" s="60" t="str">
        <f aca="false">IF(IsPro,IF($C1943="","",IFERROR(MATCH($C1943,Parties!$A$5:$A$304,0),"")),"")</f>
        <v/>
      </c>
      <c r="S1943" s="61" t="str">
        <f aca="false">IF(IsPro,IF($D1943="","",IF(OR($H1943="",$H1943="Credit"),0,P1943)),"")</f>
        <v/>
      </c>
    </row>
    <row r="1944" customFormat="false" ht="15" hidden="false" customHeight="false" outlineLevel="0" collapsed="false">
      <c r="A1944" s="55"/>
      <c r="B1944" s="56"/>
      <c r="C1944" s="56"/>
      <c r="D1944" s="56"/>
      <c r="E1944" s="57"/>
      <c r="F1944" s="58"/>
      <c r="G1944" s="59"/>
      <c r="H1944" s="56"/>
      <c r="I1944" s="60" t="str">
        <f aca="false">IF(IsPro,IF($D1944="","",IFERROR(INDEX(Items!$D$5:$D$504,Q1944),"")),IF($D1944="","","PRO PLAN"))</f>
        <v/>
      </c>
      <c r="J1944" s="61" t="str">
        <f aca="false">IF(IsPro,IF($D1944="","",IF($F1944="",IFERROR(INDEX(Items!$G$5:$G$504,Q1944),0),$F1944)),"")</f>
        <v/>
      </c>
      <c r="K1944" s="61" t="str">
        <f aca="false">IF(IsPro,IF($D1944="","",ROUND(N($E1944)*J1944*(1-N($G1944)),2)),"")</f>
        <v/>
      </c>
      <c r="L1944" s="62" t="str">
        <f aca="false">IF(IsPro,IF($D1944="","",IFERROR(INDEX(Items!$F$5:$F$504,Q1944),0)),"")</f>
        <v/>
      </c>
      <c r="M1944" s="61" t="str">
        <f aca="false">IF(IsPro,IF($D1944="","",IF(AND(R1944&lt;&gt;"",INDEX(Parties!$E$5:$E$304,R1944)&lt;&gt;"",INDEX(Parties!$E$5:$E$304,R1944)&lt;&gt;HomeState),0,ROUND(K1944*L1944/2,2))),"")</f>
        <v/>
      </c>
      <c r="N1944" s="61" t="str">
        <f aca="false">IF(IsPro,IF($D1944="","",M1944),"")</f>
        <v/>
      </c>
      <c r="O1944" s="61" t="str">
        <f aca="false">IF(IsPro,IF($D1944="","",IF(AND(R1944&lt;&gt;"",INDEX(Parties!$E$5:$E$304,R1944)&lt;&gt;"",INDEX(Parties!$E$5:$E$304,R1944)&lt;&gt;HomeState),ROUND(K1944*L1944,2),0)),"")</f>
        <v/>
      </c>
      <c r="P1944" s="61" t="str">
        <f aca="false">IF(IsPro,IF($D1944="","",K1944+M1944+N1944+O1944),"")</f>
        <v/>
      </c>
      <c r="Q1944" s="60" t="str">
        <f aca="false">IF(IsPro,IF($D1944="","",IFERROR(MATCH($D1944,Items!$A$5:$A$504,0),"")),"")</f>
        <v/>
      </c>
      <c r="R1944" s="60" t="str">
        <f aca="false">IF(IsPro,IF($C1944="","",IFERROR(MATCH($C1944,Parties!$A$5:$A$304,0),"")),"")</f>
        <v/>
      </c>
      <c r="S1944" s="61" t="str">
        <f aca="false">IF(IsPro,IF($D1944="","",IF(OR($H1944="",$H1944="Credit"),0,P1944)),"")</f>
        <v/>
      </c>
    </row>
    <row r="1945" customFormat="false" ht="15" hidden="false" customHeight="false" outlineLevel="0" collapsed="false">
      <c r="A1945" s="55"/>
      <c r="B1945" s="56"/>
      <c r="C1945" s="56"/>
      <c r="D1945" s="56"/>
      <c r="E1945" s="57"/>
      <c r="F1945" s="58"/>
      <c r="G1945" s="59"/>
      <c r="H1945" s="56"/>
      <c r="I1945" s="60" t="str">
        <f aca="false">IF(IsPro,IF($D1945="","",IFERROR(INDEX(Items!$D$5:$D$504,Q1945),"")),IF($D1945="","","PRO PLAN"))</f>
        <v/>
      </c>
      <c r="J1945" s="61" t="str">
        <f aca="false">IF(IsPro,IF($D1945="","",IF($F1945="",IFERROR(INDEX(Items!$G$5:$G$504,Q1945),0),$F1945)),"")</f>
        <v/>
      </c>
      <c r="K1945" s="61" t="str">
        <f aca="false">IF(IsPro,IF($D1945="","",ROUND(N($E1945)*J1945*(1-N($G1945)),2)),"")</f>
        <v/>
      </c>
      <c r="L1945" s="62" t="str">
        <f aca="false">IF(IsPro,IF($D1945="","",IFERROR(INDEX(Items!$F$5:$F$504,Q1945),0)),"")</f>
        <v/>
      </c>
      <c r="M1945" s="61" t="str">
        <f aca="false">IF(IsPro,IF($D1945="","",IF(AND(R1945&lt;&gt;"",INDEX(Parties!$E$5:$E$304,R1945)&lt;&gt;"",INDEX(Parties!$E$5:$E$304,R1945)&lt;&gt;HomeState),0,ROUND(K1945*L1945/2,2))),"")</f>
        <v/>
      </c>
      <c r="N1945" s="61" t="str">
        <f aca="false">IF(IsPro,IF($D1945="","",M1945),"")</f>
        <v/>
      </c>
      <c r="O1945" s="61" t="str">
        <f aca="false">IF(IsPro,IF($D1945="","",IF(AND(R1945&lt;&gt;"",INDEX(Parties!$E$5:$E$304,R1945)&lt;&gt;"",INDEX(Parties!$E$5:$E$304,R1945)&lt;&gt;HomeState),ROUND(K1945*L1945,2),0)),"")</f>
        <v/>
      </c>
      <c r="P1945" s="61" t="str">
        <f aca="false">IF(IsPro,IF($D1945="","",K1945+M1945+N1945+O1945),"")</f>
        <v/>
      </c>
      <c r="Q1945" s="60" t="str">
        <f aca="false">IF(IsPro,IF($D1945="","",IFERROR(MATCH($D1945,Items!$A$5:$A$504,0),"")),"")</f>
        <v/>
      </c>
      <c r="R1945" s="60" t="str">
        <f aca="false">IF(IsPro,IF($C1945="","",IFERROR(MATCH($C1945,Parties!$A$5:$A$304,0),"")),"")</f>
        <v/>
      </c>
      <c r="S1945" s="61" t="str">
        <f aca="false">IF(IsPro,IF($D1945="","",IF(OR($H1945="",$H1945="Credit"),0,P1945)),"")</f>
        <v/>
      </c>
    </row>
    <row r="1946" customFormat="false" ht="15" hidden="false" customHeight="false" outlineLevel="0" collapsed="false">
      <c r="A1946" s="55"/>
      <c r="B1946" s="56"/>
      <c r="C1946" s="56"/>
      <c r="D1946" s="56"/>
      <c r="E1946" s="57"/>
      <c r="F1946" s="58"/>
      <c r="G1946" s="59"/>
      <c r="H1946" s="56"/>
      <c r="I1946" s="60" t="str">
        <f aca="false">IF(IsPro,IF($D1946="","",IFERROR(INDEX(Items!$D$5:$D$504,Q1946),"")),IF($D1946="","","PRO PLAN"))</f>
        <v/>
      </c>
      <c r="J1946" s="61" t="str">
        <f aca="false">IF(IsPro,IF($D1946="","",IF($F1946="",IFERROR(INDEX(Items!$G$5:$G$504,Q1946),0),$F1946)),"")</f>
        <v/>
      </c>
      <c r="K1946" s="61" t="str">
        <f aca="false">IF(IsPro,IF($D1946="","",ROUND(N($E1946)*J1946*(1-N($G1946)),2)),"")</f>
        <v/>
      </c>
      <c r="L1946" s="62" t="str">
        <f aca="false">IF(IsPro,IF($D1946="","",IFERROR(INDEX(Items!$F$5:$F$504,Q1946),0)),"")</f>
        <v/>
      </c>
      <c r="M1946" s="61" t="str">
        <f aca="false">IF(IsPro,IF($D1946="","",IF(AND(R1946&lt;&gt;"",INDEX(Parties!$E$5:$E$304,R1946)&lt;&gt;"",INDEX(Parties!$E$5:$E$304,R1946)&lt;&gt;HomeState),0,ROUND(K1946*L1946/2,2))),"")</f>
        <v/>
      </c>
      <c r="N1946" s="61" t="str">
        <f aca="false">IF(IsPro,IF($D1946="","",M1946),"")</f>
        <v/>
      </c>
      <c r="O1946" s="61" t="str">
        <f aca="false">IF(IsPro,IF($D1946="","",IF(AND(R1946&lt;&gt;"",INDEX(Parties!$E$5:$E$304,R1946)&lt;&gt;"",INDEX(Parties!$E$5:$E$304,R1946)&lt;&gt;HomeState),ROUND(K1946*L1946,2),0)),"")</f>
        <v/>
      </c>
      <c r="P1946" s="61" t="str">
        <f aca="false">IF(IsPro,IF($D1946="","",K1946+M1946+N1946+O1946),"")</f>
        <v/>
      </c>
      <c r="Q1946" s="60" t="str">
        <f aca="false">IF(IsPro,IF($D1946="","",IFERROR(MATCH($D1946,Items!$A$5:$A$504,0),"")),"")</f>
        <v/>
      </c>
      <c r="R1946" s="60" t="str">
        <f aca="false">IF(IsPro,IF($C1946="","",IFERROR(MATCH($C1946,Parties!$A$5:$A$304,0),"")),"")</f>
        <v/>
      </c>
      <c r="S1946" s="61" t="str">
        <f aca="false">IF(IsPro,IF($D1946="","",IF(OR($H1946="",$H1946="Credit"),0,P1946)),"")</f>
        <v/>
      </c>
    </row>
    <row r="1947" customFormat="false" ht="15" hidden="false" customHeight="false" outlineLevel="0" collapsed="false">
      <c r="A1947" s="55"/>
      <c r="B1947" s="56"/>
      <c r="C1947" s="56"/>
      <c r="D1947" s="56"/>
      <c r="E1947" s="57"/>
      <c r="F1947" s="58"/>
      <c r="G1947" s="59"/>
      <c r="H1947" s="56"/>
      <c r="I1947" s="60" t="str">
        <f aca="false">IF(IsPro,IF($D1947="","",IFERROR(INDEX(Items!$D$5:$D$504,Q1947),"")),IF($D1947="","","PRO PLAN"))</f>
        <v/>
      </c>
      <c r="J1947" s="61" t="str">
        <f aca="false">IF(IsPro,IF($D1947="","",IF($F1947="",IFERROR(INDEX(Items!$G$5:$G$504,Q1947),0),$F1947)),"")</f>
        <v/>
      </c>
      <c r="K1947" s="61" t="str">
        <f aca="false">IF(IsPro,IF($D1947="","",ROUND(N($E1947)*J1947*(1-N($G1947)),2)),"")</f>
        <v/>
      </c>
      <c r="L1947" s="62" t="str">
        <f aca="false">IF(IsPro,IF($D1947="","",IFERROR(INDEX(Items!$F$5:$F$504,Q1947),0)),"")</f>
        <v/>
      </c>
      <c r="M1947" s="61" t="str">
        <f aca="false">IF(IsPro,IF($D1947="","",IF(AND(R1947&lt;&gt;"",INDEX(Parties!$E$5:$E$304,R1947)&lt;&gt;"",INDEX(Parties!$E$5:$E$304,R1947)&lt;&gt;HomeState),0,ROUND(K1947*L1947/2,2))),"")</f>
        <v/>
      </c>
      <c r="N1947" s="61" t="str">
        <f aca="false">IF(IsPro,IF($D1947="","",M1947),"")</f>
        <v/>
      </c>
      <c r="O1947" s="61" t="str">
        <f aca="false">IF(IsPro,IF($D1947="","",IF(AND(R1947&lt;&gt;"",INDEX(Parties!$E$5:$E$304,R1947)&lt;&gt;"",INDEX(Parties!$E$5:$E$304,R1947)&lt;&gt;HomeState),ROUND(K1947*L1947,2),0)),"")</f>
        <v/>
      </c>
      <c r="P1947" s="61" t="str">
        <f aca="false">IF(IsPro,IF($D1947="","",K1947+M1947+N1947+O1947),"")</f>
        <v/>
      </c>
      <c r="Q1947" s="60" t="str">
        <f aca="false">IF(IsPro,IF($D1947="","",IFERROR(MATCH($D1947,Items!$A$5:$A$504,0),"")),"")</f>
        <v/>
      </c>
      <c r="R1947" s="60" t="str">
        <f aca="false">IF(IsPro,IF($C1947="","",IFERROR(MATCH($C1947,Parties!$A$5:$A$304,0),"")),"")</f>
        <v/>
      </c>
      <c r="S1947" s="61" t="str">
        <f aca="false">IF(IsPro,IF($D1947="","",IF(OR($H1947="",$H1947="Credit"),0,P1947)),"")</f>
        <v/>
      </c>
    </row>
    <row r="1948" customFormat="false" ht="15" hidden="false" customHeight="false" outlineLevel="0" collapsed="false">
      <c r="A1948" s="55"/>
      <c r="B1948" s="56"/>
      <c r="C1948" s="56"/>
      <c r="D1948" s="56"/>
      <c r="E1948" s="57"/>
      <c r="F1948" s="58"/>
      <c r="G1948" s="59"/>
      <c r="H1948" s="56"/>
      <c r="I1948" s="60" t="str">
        <f aca="false">IF(IsPro,IF($D1948="","",IFERROR(INDEX(Items!$D$5:$D$504,Q1948),"")),IF($D1948="","","PRO PLAN"))</f>
        <v/>
      </c>
      <c r="J1948" s="61" t="str">
        <f aca="false">IF(IsPro,IF($D1948="","",IF($F1948="",IFERROR(INDEX(Items!$G$5:$G$504,Q1948),0),$F1948)),"")</f>
        <v/>
      </c>
      <c r="K1948" s="61" t="str">
        <f aca="false">IF(IsPro,IF($D1948="","",ROUND(N($E1948)*J1948*(1-N($G1948)),2)),"")</f>
        <v/>
      </c>
      <c r="L1948" s="62" t="str">
        <f aca="false">IF(IsPro,IF($D1948="","",IFERROR(INDEX(Items!$F$5:$F$504,Q1948),0)),"")</f>
        <v/>
      </c>
      <c r="M1948" s="61" t="str">
        <f aca="false">IF(IsPro,IF($D1948="","",IF(AND(R1948&lt;&gt;"",INDEX(Parties!$E$5:$E$304,R1948)&lt;&gt;"",INDEX(Parties!$E$5:$E$304,R1948)&lt;&gt;HomeState),0,ROUND(K1948*L1948/2,2))),"")</f>
        <v/>
      </c>
      <c r="N1948" s="61" t="str">
        <f aca="false">IF(IsPro,IF($D1948="","",M1948),"")</f>
        <v/>
      </c>
      <c r="O1948" s="61" t="str">
        <f aca="false">IF(IsPro,IF($D1948="","",IF(AND(R1948&lt;&gt;"",INDEX(Parties!$E$5:$E$304,R1948)&lt;&gt;"",INDEX(Parties!$E$5:$E$304,R1948)&lt;&gt;HomeState),ROUND(K1948*L1948,2),0)),"")</f>
        <v/>
      </c>
      <c r="P1948" s="61" t="str">
        <f aca="false">IF(IsPro,IF($D1948="","",K1948+M1948+N1948+O1948),"")</f>
        <v/>
      </c>
      <c r="Q1948" s="60" t="str">
        <f aca="false">IF(IsPro,IF($D1948="","",IFERROR(MATCH($D1948,Items!$A$5:$A$504,0),"")),"")</f>
        <v/>
      </c>
      <c r="R1948" s="60" t="str">
        <f aca="false">IF(IsPro,IF($C1948="","",IFERROR(MATCH($C1948,Parties!$A$5:$A$304,0),"")),"")</f>
        <v/>
      </c>
      <c r="S1948" s="61" t="str">
        <f aca="false">IF(IsPro,IF($D1948="","",IF(OR($H1948="",$H1948="Credit"),0,P1948)),"")</f>
        <v/>
      </c>
    </row>
    <row r="1949" customFormat="false" ht="15" hidden="false" customHeight="false" outlineLevel="0" collapsed="false">
      <c r="A1949" s="55"/>
      <c r="B1949" s="56"/>
      <c r="C1949" s="56"/>
      <c r="D1949" s="56"/>
      <c r="E1949" s="57"/>
      <c r="F1949" s="58"/>
      <c r="G1949" s="59"/>
      <c r="H1949" s="56"/>
      <c r="I1949" s="60" t="str">
        <f aca="false">IF(IsPro,IF($D1949="","",IFERROR(INDEX(Items!$D$5:$D$504,Q1949),"")),IF($D1949="","","PRO PLAN"))</f>
        <v/>
      </c>
      <c r="J1949" s="61" t="str">
        <f aca="false">IF(IsPro,IF($D1949="","",IF($F1949="",IFERROR(INDEX(Items!$G$5:$G$504,Q1949),0),$F1949)),"")</f>
        <v/>
      </c>
      <c r="K1949" s="61" t="str">
        <f aca="false">IF(IsPro,IF($D1949="","",ROUND(N($E1949)*J1949*(1-N($G1949)),2)),"")</f>
        <v/>
      </c>
      <c r="L1949" s="62" t="str">
        <f aca="false">IF(IsPro,IF($D1949="","",IFERROR(INDEX(Items!$F$5:$F$504,Q1949),0)),"")</f>
        <v/>
      </c>
      <c r="M1949" s="61" t="str">
        <f aca="false">IF(IsPro,IF($D1949="","",IF(AND(R1949&lt;&gt;"",INDEX(Parties!$E$5:$E$304,R1949)&lt;&gt;"",INDEX(Parties!$E$5:$E$304,R1949)&lt;&gt;HomeState),0,ROUND(K1949*L1949/2,2))),"")</f>
        <v/>
      </c>
      <c r="N1949" s="61" t="str">
        <f aca="false">IF(IsPro,IF($D1949="","",M1949),"")</f>
        <v/>
      </c>
      <c r="O1949" s="61" t="str">
        <f aca="false">IF(IsPro,IF($D1949="","",IF(AND(R1949&lt;&gt;"",INDEX(Parties!$E$5:$E$304,R1949)&lt;&gt;"",INDEX(Parties!$E$5:$E$304,R1949)&lt;&gt;HomeState),ROUND(K1949*L1949,2),0)),"")</f>
        <v/>
      </c>
      <c r="P1949" s="61" t="str">
        <f aca="false">IF(IsPro,IF($D1949="","",K1949+M1949+N1949+O1949),"")</f>
        <v/>
      </c>
      <c r="Q1949" s="60" t="str">
        <f aca="false">IF(IsPro,IF($D1949="","",IFERROR(MATCH($D1949,Items!$A$5:$A$504,0),"")),"")</f>
        <v/>
      </c>
      <c r="R1949" s="60" t="str">
        <f aca="false">IF(IsPro,IF($C1949="","",IFERROR(MATCH($C1949,Parties!$A$5:$A$304,0),"")),"")</f>
        <v/>
      </c>
      <c r="S1949" s="61" t="str">
        <f aca="false">IF(IsPro,IF($D1949="","",IF(OR($H1949="",$H1949="Credit"),0,P1949)),"")</f>
        <v/>
      </c>
    </row>
    <row r="1950" customFormat="false" ht="15" hidden="false" customHeight="false" outlineLevel="0" collapsed="false">
      <c r="A1950" s="55"/>
      <c r="B1950" s="56"/>
      <c r="C1950" s="56"/>
      <c r="D1950" s="56"/>
      <c r="E1950" s="57"/>
      <c r="F1950" s="58"/>
      <c r="G1950" s="59"/>
      <c r="H1950" s="56"/>
      <c r="I1950" s="60" t="str">
        <f aca="false">IF(IsPro,IF($D1950="","",IFERROR(INDEX(Items!$D$5:$D$504,Q1950),"")),IF($D1950="","","PRO PLAN"))</f>
        <v/>
      </c>
      <c r="J1950" s="61" t="str">
        <f aca="false">IF(IsPro,IF($D1950="","",IF($F1950="",IFERROR(INDEX(Items!$G$5:$G$504,Q1950),0),$F1950)),"")</f>
        <v/>
      </c>
      <c r="K1950" s="61" t="str">
        <f aca="false">IF(IsPro,IF($D1950="","",ROUND(N($E1950)*J1950*(1-N($G1950)),2)),"")</f>
        <v/>
      </c>
      <c r="L1950" s="62" t="str">
        <f aca="false">IF(IsPro,IF($D1950="","",IFERROR(INDEX(Items!$F$5:$F$504,Q1950),0)),"")</f>
        <v/>
      </c>
      <c r="M1950" s="61" t="str">
        <f aca="false">IF(IsPro,IF($D1950="","",IF(AND(R1950&lt;&gt;"",INDEX(Parties!$E$5:$E$304,R1950)&lt;&gt;"",INDEX(Parties!$E$5:$E$304,R1950)&lt;&gt;HomeState),0,ROUND(K1950*L1950/2,2))),"")</f>
        <v/>
      </c>
      <c r="N1950" s="61" t="str">
        <f aca="false">IF(IsPro,IF($D1950="","",M1950),"")</f>
        <v/>
      </c>
      <c r="O1950" s="61" t="str">
        <f aca="false">IF(IsPro,IF($D1950="","",IF(AND(R1950&lt;&gt;"",INDEX(Parties!$E$5:$E$304,R1950)&lt;&gt;"",INDEX(Parties!$E$5:$E$304,R1950)&lt;&gt;HomeState),ROUND(K1950*L1950,2),0)),"")</f>
        <v/>
      </c>
      <c r="P1950" s="61" t="str">
        <f aca="false">IF(IsPro,IF($D1950="","",K1950+M1950+N1950+O1950),"")</f>
        <v/>
      </c>
      <c r="Q1950" s="60" t="str">
        <f aca="false">IF(IsPro,IF($D1950="","",IFERROR(MATCH($D1950,Items!$A$5:$A$504,0),"")),"")</f>
        <v/>
      </c>
      <c r="R1950" s="60" t="str">
        <f aca="false">IF(IsPro,IF($C1950="","",IFERROR(MATCH($C1950,Parties!$A$5:$A$304,0),"")),"")</f>
        <v/>
      </c>
      <c r="S1950" s="61" t="str">
        <f aca="false">IF(IsPro,IF($D1950="","",IF(OR($H1950="",$H1950="Credit"),0,P1950)),"")</f>
        <v/>
      </c>
    </row>
    <row r="1951" customFormat="false" ht="15" hidden="false" customHeight="false" outlineLevel="0" collapsed="false">
      <c r="A1951" s="55"/>
      <c r="B1951" s="56"/>
      <c r="C1951" s="56"/>
      <c r="D1951" s="56"/>
      <c r="E1951" s="57"/>
      <c r="F1951" s="58"/>
      <c r="G1951" s="59"/>
      <c r="H1951" s="56"/>
      <c r="I1951" s="60" t="str">
        <f aca="false">IF(IsPro,IF($D1951="","",IFERROR(INDEX(Items!$D$5:$D$504,Q1951),"")),IF($D1951="","","PRO PLAN"))</f>
        <v/>
      </c>
      <c r="J1951" s="61" t="str">
        <f aca="false">IF(IsPro,IF($D1951="","",IF($F1951="",IFERROR(INDEX(Items!$G$5:$G$504,Q1951),0),$F1951)),"")</f>
        <v/>
      </c>
      <c r="K1951" s="61" t="str">
        <f aca="false">IF(IsPro,IF($D1951="","",ROUND(N($E1951)*J1951*(1-N($G1951)),2)),"")</f>
        <v/>
      </c>
      <c r="L1951" s="62" t="str">
        <f aca="false">IF(IsPro,IF($D1951="","",IFERROR(INDEX(Items!$F$5:$F$504,Q1951),0)),"")</f>
        <v/>
      </c>
      <c r="M1951" s="61" t="str">
        <f aca="false">IF(IsPro,IF($D1951="","",IF(AND(R1951&lt;&gt;"",INDEX(Parties!$E$5:$E$304,R1951)&lt;&gt;"",INDEX(Parties!$E$5:$E$304,R1951)&lt;&gt;HomeState),0,ROUND(K1951*L1951/2,2))),"")</f>
        <v/>
      </c>
      <c r="N1951" s="61" t="str">
        <f aca="false">IF(IsPro,IF($D1951="","",M1951),"")</f>
        <v/>
      </c>
      <c r="O1951" s="61" t="str">
        <f aca="false">IF(IsPro,IF($D1951="","",IF(AND(R1951&lt;&gt;"",INDEX(Parties!$E$5:$E$304,R1951)&lt;&gt;"",INDEX(Parties!$E$5:$E$304,R1951)&lt;&gt;HomeState),ROUND(K1951*L1951,2),0)),"")</f>
        <v/>
      </c>
      <c r="P1951" s="61" t="str">
        <f aca="false">IF(IsPro,IF($D1951="","",K1951+M1951+N1951+O1951),"")</f>
        <v/>
      </c>
      <c r="Q1951" s="60" t="str">
        <f aca="false">IF(IsPro,IF($D1951="","",IFERROR(MATCH($D1951,Items!$A$5:$A$504,0),"")),"")</f>
        <v/>
      </c>
      <c r="R1951" s="60" t="str">
        <f aca="false">IF(IsPro,IF($C1951="","",IFERROR(MATCH($C1951,Parties!$A$5:$A$304,0),"")),"")</f>
        <v/>
      </c>
      <c r="S1951" s="61" t="str">
        <f aca="false">IF(IsPro,IF($D1951="","",IF(OR($H1951="",$H1951="Credit"),0,P1951)),"")</f>
        <v/>
      </c>
    </row>
    <row r="1952" customFormat="false" ht="15" hidden="false" customHeight="false" outlineLevel="0" collapsed="false">
      <c r="A1952" s="55"/>
      <c r="B1952" s="56"/>
      <c r="C1952" s="56"/>
      <c r="D1952" s="56"/>
      <c r="E1952" s="57"/>
      <c r="F1952" s="58"/>
      <c r="G1952" s="59"/>
      <c r="H1952" s="56"/>
      <c r="I1952" s="60" t="str">
        <f aca="false">IF(IsPro,IF($D1952="","",IFERROR(INDEX(Items!$D$5:$D$504,Q1952),"")),IF($D1952="","","PRO PLAN"))</f>
        <v/>
      </c>
      <c r="J1952" s="61" t="str">
        <f aca="false">IF(IsPro,IF($D1952="","",IF($F1952="",IFERROR(INDEX(Items!$G$5:$G$504,Q1952),0),$F1952)),"")</f>
        <v/>
      </c>
      <c r="K1952" s="61" t="str">
        <f aca="false">IF(IsPro,IF($D1952="","",ROUND(N($E1952)*J1952*(1-N($G1952)),2)),"")</f>
        <v/>
      </c>
      <c r="L1952" s="62" t="str">
        <f aca="false">IF(IsPro,IF($D1952="","",IFERROR(INDEX(Items!$F$5:$F$504,Q1952),0)),"")</f>
        <v/>
      </c>
      <c r="M1952" s="61" t="str">
        <f aca="false">IF(IsPro,IF($D1952="","",IF(AND(R1952&lt;&gt;"",INDEX(Parties!$E$5:$E$304,R1952)&lt;&gt;"",INDEX(Parties!$E$5:$E$304,R1952)&lt;&gt;HomeState),0,ROUND(K1952*L1952/2,2))),"")</f>
        <v/>
      </c>
      <c r="N1952" s="61" t="str">
        <f aca="false">IF(IsPro,IF($D1952="","",M1952),"")</f>
        <v/>
      </c>
      <c r="O1952" s="61" t="str">
        <f aca="false">IF(IsPro,IF($D1952="","",IF(AND(R1952&lt;&gt;"",INDEX(Parties!$E$5:$E$304,R1952)&lt;&gt;"",INDEX(Parties!$E$5:$E$304,R1952)&lt;&gt;HomeState),ROUND(K1952*L1952,2),0)),"")</f>
        <v/>
      </c>
      <c r="P1952" s="61" t="str">
        <f aca="false">IF(IsPro,IF($D1952="","",K1952+M1952+N1952+O1952),"")</f>
        <v/>
      </c>
      <c r="Q1952" s="60" t="str">
        <f aca="false">IF(IsPro,IF($D1952="","",IFERROR(MATCH($D1952,Items!$A$5:$A$504,0),"")),"")</f>
        <v/>
      </c>
      <c r="R1952" s="60" t="str">
        <f aca="false">IF(IsPro,IF($C1952="","",IFERROR(MATCH($C1952,Parties!$A$5:$A$304,0),"")),"")</f>
        <v/>
      </c>
      <c r="S1952" s="61" t="str">
        <f aca="false">IF(IsPro,IF($D1952="","",IF(OR($H1952="",$H1952="Credit"),0,P1952)),"")</f>
        <v/>
      </c>
    </row>
    <row r="1953" customFormat="false" ht="15" hidden="false" customHeight="false" outlineLevel="0" collapsed="false">
      <c r="A1953" s="55"/>
      <c r="B1953" s="56"/>
      <c r="C1953" s="56"/>
      <c r="D1953" s="56"/>
      <c r="E1953" s="57"/>
      <c r="F1953" s="58"/>
      <c r="G1953" s="59"/>
      <c r="H1953" s="56"/>
      <c r="I1953" s="60" t="str">
        <f aca="false">IF(IsPro,IF($D1953="","",IFERROR(INDEX(Items!$D$5:$D$504,Q1953),"")),IF($D1953="","","PRO PLAN"))</f>
        <v/>
      </c>
      <c r="J1953" s="61" t="str">
        <f aca="false">IF(IsPro,IF($D1953="","",IF($F1953="",IFERROR(INDEX(Items!$G$5:$G$504,Q1953),0),$F1953)),"")</f>
        <v/>
      </c>
      <c r="K1953" s="61" t="str">
        <f aca="false">IF(IsPro,IF($D1953="","",ROUND(N($E1953)*J1953*(1-N($G1953)),2)),"")</f>
        <v/>
      </c>
      <c r="L1953" s="62" t="str">
        <f aca="false">IF(IsPro,IF($D1953="","",IFERROR(INDEX(Items!$F$5:$F$504,Q1953),0)),"")</f>
        <v/>
      </c>
      <c r="M1953" s="61" t="str">
        <f aca="false">IF(IsPro,IF($D1953="","",IF(AND(R1953&lt;&gt;"",INDEX(Parties!$E$5:$E$304,R1953)&lt;&gt;"",INDEX(Parties!$E$5:$E$304,R1953)&lt;&gt;HomeState),0,ROUND(K1953*L1953/2,2))),"")</f>
        <v/>
      </c>
      <c r="N1953" s="61" t="str">
        <f aca="false">IF(IsPro,IF($D1953="","",M1953),"")</f>
        <v/>
      </c>
      <c r="O1953" s="61" t="str">
        <f aca="false">IF(IsPro,IF($D1953="","",IF(AND(R1953&lt;&gt;"",INDEX(Parties!$E$5:$E$304,R1953)&lt;&gt;"",INDEX(Parties!$E$5:$E$304,R1953)&lt;&gt;HomeState),ROUND(K1953*L1953,2),0)),"")</f>
        <v/>
      </c>
      <c r="P1953" s="61" t="str">
        <f aca="false">IF(IsPro,IF($D1953="","",K1953+M1953+N1953+O1953),"")</f>
        <v/>
      </c>
      <c r="Q1953" s="60" t="str">
        <f aca="false">IF(IsPro,IF($D1953="","",IFERROR(MATCH($D1953,Items!$A$5:$A$504,0),"")),"")</f>
        <v/>
      </c>
      <c r="R1953" s="60" t="str">
        <f aca="false">IF(IsPro,IF($C1953="","",IFERROR(MATCH($C1953,Parties!$A$5:$A$304,0),"")),"")</f>
        <v/>
      </c>
      <c r="S1953" s="61" t="str">
        <f aca="false">IF(IsPro,IF($D1953="","",IF(OR($H1953="",$H1953="Credit"),0,P1953)),"")</f>
        <v/>
      </c>
    </row>
    <row r="1954" customFormat="false" ht="15" hidden="false" customHeight="false" outlineLevel="0" collapsed="false">
      <c r="A1954" s="55"/>
      <c r="B1954" s="56"/>
      <c r="C1954" s="56"/>
      <c r="D1954" s="56"/>
      <c r="E1954" s="57"/>
      <c r="F1954" s="58"/>
      <c r="G1954" s="59"/>
      <c r="H1954" s="56"/>
      <c r="I1954" s="60" t="str">
        <f aca="false">IF(IsPro,IF($D1954="","",IFERROR(INDEX(Items!$D$5:$D$504,Q1954),"")),IF($D1954="","","PRO PLAN"))</f>
        <v/>
      </c>
      <c r="J1954" s="61" t="str">
        <f aca="false">IF(IsPro,IF($D1954="","",IF($F1954="",IFERROR(INDEX(Items!$G$5:$G$504,Q1954),0),$F1954)),"")</f>
        <v/>
      </c>
      <c r="K1954" s="61" t="str">
        <f aca="false">IF(IsPro,IF($D1954="","",ROUND(N($E1954)*J1954*(1-N($G1954)),2)),"")</f>
        <v/>
      </c>
      <c r="L1954" s="62" t="str">
        <f aca="false">IF(IsPro,IF($D1954="","",IFERROR(INDEX(Items!$F$5:$F$504,Q1954),0)),"")</f>
        <v/>
      </c>
      <c r="M1954" s="61" t="str">
        <f aca="false">IF(IsPro,IF($D1954="","",IF(AND(R1954&lt;&gt;"",INDEX(Parties!$E$5:$E$304,R1954)&lt;&gt;"",INDEX(Parties!$E$5:$E$304,R1954)&lt;&gt;HomeState),0,ROUND(K1954*L1954/2,2))),"")</f>
        <v/>
      </c>
      <c r="N1954" s="61" t="str">
        <f aca="false">IF(IsPro,IF($D1954="","",M1954),"")</f>
        <v/>
      </c>
      <c r="O1954" s="61" t="str">
        <f aca="false">IF(IsPro,IF($D1954="","",IF(AND(R1954&lt;&gt;"",INDEX(Parties!$E$5:$E$304,R1954)&lt;&gt;"",INDEX(Parties!$E$5:$E$304,R1954)&lt;&gt;HomeState),ROUND(K1954*L1954,2),0)),"")</f>
        <v/>
      </c>
      <c r="P1954" s="61" t="str">
        <f aca="false">IF(IsPro,IF($D1954="","",K1954+M1954+N1954+O1954),"")</f>
        <v/>
      </c>
      <c r="Q1954" s="60" t="str">
        <f aca="false">IF(IsPro,IF($D1954="","",IFERROR(MATCH($D1954,Items!$A$5:$A$504,0),"")),"")</f>
        <v/>
      </c>
      <c r="R1954" s="60" t="str">
        <f aca="false">IF(IsPro,IF($C1954="","",IFERROR(MATCH($C1954,Parties!$A$5:$A$304,0),"")),"")</f>
        <v/>
      </c>
      <c r="S1954" s="61" t="str">
        <f aca="false">IF(IsPro,IF($D1954="","",IF(OR($H1954="",$H1954="Credit"),0,P1954)),"")</f>
        <v/>
      </c>
    </row>
    <row r="1955" customFormat="false" ht="15" hidden="false" customHeight="false" outlineLevel="0" collapsed="false">
      <c r="A1955" s="55"/>
      <c r="B1955" s="56"/>
      <c r="C1955" s="56"/>
      <c r="D1955" s="56"/>
      <c r="E1955" s="57"/>
      <c r="F1955" s="58"/>
      <c r="G1955" s="59"/>
      <c r="H1955" s="56"/>
      <c r="I1955" s="60" t="str">
        <f aca="false">IF(IsPro,IF($D1955="","",IFERROR(INDEX(Items!$D$5:$D$504,Q1955),"")),IF($D1955="","","PRO PLAN"))</f>
        <v/>
      </c>
      <c r="J1955" s="61" t="str">
        <f aca="false">IF(IsPro,IF($D1955="","",IF($F1955="",IFERROR(INDEX(Items!$G$5:$G$504,Q1955),0),$F1955)),"")</f>
        <v/>
      </c>
      <c r="K1955" s="61" t="str">
        <f aca="false">IF(IsPro,IF($D1955="","",ROUND(N($E1955)*J1955*(1-N($G1955)),2)),"")</f>
        <v/>
      </c>
      <c r="L1955" s="62" t="str">
        <f aca="false">IF(IsPro,IF($D1955="","",IFERROR(INDEX(Items!$F$5:$F$504,Q1955),0)),"")</f>
        <v/>
      </c>
      <c r="M1955" s="61" t="str">
        <f aca="false">IF(IsPro,IF($D1955="","",IF(AND(R1955&lt;&gt;"",INDEX(Parties!$E$5:$E$304,R1955)&lt;&gt;"",INDEX(Parties!$E$5:$E$304,R1955)&lt;&gt;HomeState),0,ROUND(K1955*L1955/2,2))),"")</f>
        <v/>
      </c>
      <c r="N1955" s="61" t="str">
        <f aca="false">IF(IsPro,IF($D1955="","",M1955),"")</f>
        <v/>
      </c>
      <c r="O1955" s="61" t="str">
        <f aca="false">IF(IsPro,IF($D1955="","",IF(AND(R1955&lt;&gt;"",INDEX(Parties!$E$5:$E$304,R1955)&lt;&gt;"",INDEX(Parties!$E$5:$E$304,R1955)&lt;&gt;HomeState),ROUND(K1955*L1955,2),0)),"")</f>
        <v/>
      </c>
      <c r="P1955" s="61" t="str">
        <f aca="false">IF(IsPro,IF($D1955="","",K1955+M1955+N1955+O1955),"")</f>
        <v/>
      </c>
      <c r="Q1955" s="60" t="str">
        <f aca="false">IF(IsPro,IF($D1955="","",IFERROR(MATCH($D1955,Items!$A$5:$A$504,0),"")),"")</f>
        <v/>
      </c>
      <c r="R1955" s="60" t="str">
        <f aca="false">IF(IsPro,IF($C1955="","",IFERROR(MATCH($C1955,Parties!$A$5:$A$304,0),"")),"")</f>
        <v/>
      </c>
      <c r="S1955" s="61" t="str">
        <f aca="false">IF(IsPro,IF($D1955="","",IF(OR($H1955="",$H1955="Credit"),0,P1955)),"")</f>
        <v/>
      </c>
    </row>
    <row r="1956" customFormat="false" ht="15" hidden="false" customHeight="false" outlineLevel="0" collapsed="false">
      <c r="A1956" s="55"/>
      <c r="B1956" s="56"/>
      <c r="C1956" s="56"/>
      <c r="D1956" s="56"/>
      <c r="E1956" s="57"/>
      <c r="F1956" s="58"/>
      <c r="G1956" s="59"/>
      <c r="H1956" s="56"/>
      <c r="I1956" s="60" t="str">
        <f aca="false">IF(IsPro,IF($D1956="","",IFERROR(INDEX(Items!$D$5:$D$504,Q1956),"")),IF($D1956="","","PRO PLAN"))</f>
        <v/>
      </c>
      <c r="J1956" s="61" t="str">
        <f aca="false">IF(IsPro,IF($D1956="","",IF($F1956="",IFERROR(INDEX(Items!$G$5:$G$504,Q1956),0),$F1956)),"")</f>
        <v/>
      </c>
      <c r="K1956" s="61" t="str">
        <f aca="false">IF(IsPro,IF($D1956="","",ROUND(N($E1956)*J1956*(1-N($G1956)),2)),"")</f>
        <v/>
      </c>
      <c r="L1956" s="62" t="str">
        <f aca="false">IF(IsPro,IF($D1956="","",IFERROR(INDEX(Items!$F$5:$F$504,Q1956),0)),"")</f>
        <v/>
      </c>
      <c r="M1956" s="61" t="str">
        <f aca="false">IF(IsPro,IF($D1956="","",IF(AND(R1956&lt;&gt;"",INDEX(Parties!$E$5:$E$304,R1956)&lt;&gt;"",INDEX(Parties!$E$5:$E$304,R1956)&lt;&gt;HomeState),0,ROUND(K1956*L1956/2,2))),"")</f>
        <v/>
      </c>
      <c r="N1956" s="61" t="str">
        <f aca="false">IF(IsPro,IF($D1956="","",M1956),"")</f>
        <v/>
      </c>
      <c r="O1956" s="61" t="str">
        <f aca="false">IF(IsPro,IF($D1956="","",IF(AND(R1956&lt;&gt;"",INDEX(Parties!$E$5:$E$304,R1956)&lt;&gt;"",INDEX(Parties!$E$5:$E$304,R1956)&lt;&gt;HomeState),ROUND(K1956*L1956,2),0)),"")</f>
        <v/>
      </c>
      <c r="P1956" s="61" t="str">
        <f aca="false">IF(IsPro,IF($D1956="","",K1956+M1956+N1956+O1956),"")</f>
        <v/>
      </c>
      <c r="Q1956" s="60" t="str">
        <f aca="false">IF(IsPro,IF($D1956="","",IFERROR(MATCH($D1956,Items!$A$5:$A$504,0),"")),"")</f>
        <v/>
      </c>
      <c r="R1956" s="60" t="str">
        <f aca="false">IF(IsPro,IF($C1956="","",IFERROR(MATCH($C1956,Parties!$A$5:$A$304,0),"")),"")</f>
        <v/>
      </c>
      <c r="S1956" s="61" t="str">
        <f aca="false">IF(IsPro,IF($D1956="","",IF(OR($H1956="",$H1956="Credit"),0,P1956)),"")</f>
        <v/>
      </c>
    </row>
    <row r="1957" customFormat="false" ht="15" hidden="false" customHeight="false" outlineLevel="0" collapsed="false">
      <c r="A1957" s="55"/>
      <c r="B1957" s="56"/>
      <c r="C1957" s="56"/>
      <c r="D1957" s="56"/>
      <c r="E1957" s="57"/>
      <c r="F1957" s="58"/>
      <c r="G1957" s="59"/>
      <c r="H1957" s="56"/>
      <c r="I1957" s="60" t="str">
        <f aca="false">IF(IsPro,IF($D1957="","",IFERROR(INDEX(Items!$D$5:$D$504,Q1957),"")),IF($D1957="","","PRO PLAN"))</f>
        <v/>
      </c>
      <c r="J1957" s="61" t="str">
        <f aca="false">IF(IsPro,IF($D1957="","",IF($F1957="",IFERROR(INDEX(Items!$G$5:$G$504,Q1957),0),$F1957)),"")</f>
        <v/>
      </c>
      <c r="K1957" s="61" t="str">
        <f aca="false">IF(IsPro,IF($D1957="","",ROUND(N($E1957)*J1957*(1-N($G1957)),2)),"")</f>
        <v/>
      </c>
      <c r="L1957" s="62" t="str">
        <f aca="false">IF(IsPro,IF($D1957="","",IFERROR(INDEX(Items!$F$5:$F$504,Q1957),0)),"")</f>
        <v/>
      </c>
      <c r="M1957" s="61" t="str">
        <f aca="false">IF(IsPro,IF($D1957="","",IF(AND(R1957&lt;&gt;"",INDEX(Parties!$E$5:$E$304,R1957)&lt;&gt;"",INDEX(Parties!$E$5:$E$304,R1957)&lt;&gt;HomeState),0,ROUND(K1957*L1957/2,2))),"")</f>
        <v/>
      </c>
      <c r="N1957" s="61" t="str">
        <f aca="false">IF(IsPro,IF($D1957="","",M1957),"")</f>
        <v/>
      </c>
      <c r="O1957" s="61" t="str">
        <f aca="false">IF(IsPro,IF($D1957="","",IF(AND(R1957&lt;&gt;"",INDEX(Parties!$E$5:$E$304,R1957)&lt;&gt;"",INDEX(Parties!$E$5:$E$304,R1957)&lt;&gt;HomeState),ROUND(K1957*L1957,2),0)),"")</f>
        <v/>
      </c>
      <c r="P1957" s="61" t="str">
        <f aca="false">IF(IsPro,IF($D1957="","",K1957+M1957+N1957+O1957),"")</f>
        <v/>
      </c>
      <c r="Q1957" s="60" t="str">
        <f aca="false">IF(IsPro,IF($D1957="","",IFERROR(MATCH($D1957,Items!$A$5:$A$504,0),"")),"")</f>
        <v/>
      </c>
      <c r="R1957" s="60" t="str">
        <f aca="false">IF(IsPro,IF($C1957="","",IFERROR(MATCH($C1957,Parties!$A$5:$A$304,0),"")),"")</f>
        <v/>
      </c>
      <c r="S1957" s="61" t="str">
        <f aca="false">IF(IsPro,IF($D1957="","",IF(OR($H1957="",$H1957="Credit"),0,P1957)),"")</f>
        <v/>
      </c>
    </row>
    <row r="1958" customFormat="false" ht="15" hidden="false" customHeight="false" outlineLevel="0" collapsed="false">
      <c r="A1958" s="55"/>
      <c r="B1958" s="56"/>
      <c r="C1958" s="56"/>
      <c r="D1958" s="56"/>
      <c r="E1958" s="57"/>
      <c r="F1958" s="58"/>
      <c r="G1958" s="59"/>
      <c r="H1958" s="56"/>
      <c r="I1958" s="60" t="str">
        <f aca="false">IF(IsPro,IF($D1958="","",IFERROR(INDEX(Items!$D$5:$D$504,Q1958),"")),IF($D1958="","","PRO PLAN"))</f>
        <v/>
      </c>
      <c r="J1958" s="61" t="str">
        <f aca="false">IF(IsPro,IF($D1958="","",IF($F1958="",IFERROR(INDEX(Items!$G$5:$G$504,Q1958),0),$F1958)),"")</f>
        <v/>
      </c>
      <c r="K1958" s="61" t="str">
        <f aca="false">IF(IsPro,IF($D1958="","",ROUND(N($E1958)*J1958*(1-N($G1958)),2)),"")</f>
        <v/>
      </c>
      <c r="L1958" s="62" t="str">
        <f aca="false">IF(IsPro,IF($D1958="","",IFERROR(INDEX(Items!$F$5:$F$504,Q1958),0)),"")</f>
        <v/>
      </c>
      <c r="M1958" s="61" t="str">
        <f aca="false">IF(IsPro,IF($D1958="","",IF(AND(R1958&lt;&gt;"",INDEX(Parties!$E$5:$E$304,R1958)&lt;&gt;"",INDEX(Parties!$E$5:$E$304,R1958)&lt;&gt;HomeState),0,ROUND(K1958*L1958/2,2))),"")</f>
        <v/>
      </c>
      <c r="N1958" s="61" t="str">
        <f aca="false">IF(IsPro,IF($D1958="","",M1958),"")</f>
        <v/>
      </c>
      <c r="O1958" s="61" t="str">
        <f aca="false">IF(IsPro,IF($D1958="","",IF(AND(R1958&lt;&gt;"",INDEX(Parties!$E$5:$E$304,R1958)&lt;&gt;"",INDEX(Parties!$E$5:$E$304,R1958)&lt;&gt;HomeState),ROUND(K1958*L1958,2),0)),"")</f>
        <v/>
      </c>
      <c r="P1958" s="61" t="str">
        <f aca="false">IF(IsPro,IF($D1958="","",K1958+M1958+N1958+O1958),"")</f>
        <v/>
      </c>
      <c r="Q1958" s="60" t="str">
        <f aca="false">IF(IsPro,IF($D1958="","",IFERROR(MATCH($D1958,Items!$A$5:$A$504,0),"")),"")</f>
        <v/>
      </c>
      <c r="R1958" s="60" t="str">
        <f aca="false">IF(IsPro,IF($C1958="","",IFERROR(MATCH($C1958,Parties!$A$5:$A$304,0),"")),"")</f>
        <v/>
      </c>
      <c r="S1958" s="61" t="str">
        <f aca="false">IF(IsPro,IF($D1958="","",IF(OR($H1958="",$H1958="Credit"),0,P1958)),"")</f>
        <v/>
      </c>
    </row>
    <row r="1959" customFormat="false" ht="15" hidden="false" customHeight="false" outlineLevel="0" collapsed="false">
      <c r="A1959" s="55"/>
      <c r="B1959" s="56"/>
      <c r="C1959" s="56"/>
      <c r="D1959" s="56"/>
      <c r="E1959" s="57"/>
      <c r="F1959" s="58"/>
      <c r="G1959" s="59"/>
      <c r="H1959" s="56"/>
      <c r="I1959" s="60" t="str">
        <f aca="false">IF(IsPro,IF($D1959="","",IFERROR(INDEX(Items!$D$5:$D$504,Q1959),"")),IF($D1959="","","PRO PLAN"))</f>
        <v/>
      </c>
      <c r="J1959" s="61" t="str">
        <f aca="false">IF(IsPro,IF($D1959="","",IF($F1959="",IFERROR(INDEX(Items!$G$5:$G$504,Q1959),0),$F1959)),"")</f>
        <v/>
      </c>
      <c r="K1959" s="61" t="str">
        <f aca="false">IF(IsPro,IF($D1959="","",ROUND(N($E1959)*J1959*(1-N($G1959)),2)),"")</f>
        <v/>
      </c>
      <c r="L1959" s="62" t="str">
        <f aca="false">IF(IsPro,IF($D1959="","",IFERROR(INDEX(Items!$F$5:$F$504,Q1959),0)),"")</f>
        <v/>
      </c>
      <c r="M1959" s="61" t="str">
        <f aca="false">IF(IsPro,IF($D1959="","",IF(AND(R1959&lt;&gt;"",INDEX(Parties!$E$5:$E$304,R1959)&lt;&gt;"",INDEX(Parties!$E$5:$E$304,R1959)&lt;&gt;HomeState),0,ROUND(K1959*L1959/2,2))),"")</f>
        <v/>
      </c>
      <c r="N1959" s="61" t="str">
        <f aca="false">IF(IsPro,IF($D1959="","",M1959),"")</f>
        <v/>
      </c>
      <c r="O1959" s="61" t="str">
        <f aca="false">IF(IsPro,IF($D1959="","",IF(AND(R1959&lt;&gt;"",INDEX(Parties!$E$5:$E$304,R1959)&lt;&gt;"",INDEX(Parties!$E$5:$E$304,R1959)&lt;&gt;HomeState),ROUND(K1959*L1959,2),0)),"")</f>
        <v/>
      </c>
      <c r="P1959" s="61" t="str">
        <f aca="false">IF(IsPro,IF($D1959="","",K1959+M1959+N1959+O1959),"")</f>
        <v/>
      </c>
      <c r="Q1959" s="60" t="str">
        <f aca="false">IF(IsPro,IF($D1959="","",IFERROR(MATCH($D1959,Items!$A$5:$A$504,0),"")),"")</f>
        <v/>
      </c>
      <c r="R1959" s="60" t="str">
        <f aca="false">IF(IsPro,IF($C1959="","",IFERROR(MATCH($C1959,Parties!$A$5:$A$304,0),"")),"")</f>
        <v/>
      </c>
      <c r="S1959" s="61" t="str">
        <f aca="false">IF(IsPro,IF($D1959="","",IF(OR($H1959="",$H1959="Credit"),0,P1959)),"")</f>
        <v/>
      </c>
    </row>
    <row r="1960" customFormat="false" ht="15" hidden="false" customHeight="false" outlineLevel="0" collapsed="false">
      <c r="A1960" s="55"/>
      <c r="B1960" s="56"/>
      <c r="C1960" s="56"/>
      <c r="D1960" s="56"/>
      <c r="E1960" s="57"/>
      <c r="F1960" s="58"/>
      <c r="G1960" s="59"/>
      <c r="H1960" s="56"/>
      <c r="I1960" s="60" t="str">
        <f aca="false">IF(IsPro,IF($D1960="","",IFERROR(INDEX(Items!$D$5:$D$504,Q1960),"")),IF($D1960="","","PRO PLAN"))</f>
        <v/>
      </c>
      <c r="J1960" s="61" t="str">
        <f aca="false">IF(IsPro,IF($D1960="","",IF($F1960="",IFERROR(INDEX(Items!$G$5:$G$504,Q1960),0),$F1960)),"")</f>
        <v/>
      </c>
      <c r="K1960" s="61" t="str">
        <f aca="false">IF(IsPro,IF($D1960="","",ROUND(N($E1960)*J1960*(1-N($G1960)),2)),"")</f>
        <v/>
      </c>
      <c r="L1960" s="62" t="str">
        <f aca="false">IF(IsPro,IF($D1960="","",IFERROR(INDEX(Items!$F$5:$F$504,Q1960),0)),"")</f>
        <v/>
      </c>
      <c r="M1960" s="61" t="str">
        <f aca="false">IF(IsPro,IF($D1960="","",IF(AND(R1960&lt;&gt;"",INDEX(Parties!$E$5:$E$304,R1960)&lt;&gt;"",INDEX(Parties!$E$5:$E$304,R1960)&lt;&gt;HomeState),0,ROUND(K1960*L1960/2,2))),"")</f>
        <v/>
      </c>
      <c r="N1960" s="61" t="str">
        <f aca="false">IF(IsPro,IF($D1960="","",M1960),"")</f>
        <v/>
      </c>
      <c r="O1960" s="61" t="str">
        <f aca="false">IF(IsPro,IF($D1960="","",IF(AND(R1960&lt;&gt;"",INDEX(Parties!$E$5:$E$304,R1960)&lt;&gt;"",INDEX(Parties!$E$5:$E$304,R1960)&lt;&gt;HomeState),ROUND(K1960*L1960,2),0)),"")</f>
        <v/>
      </c>
      <c r="P1960" s="61" t="str">
        <f aca="false">IF(IsPro,IF($D1960="","",K1960+M1960+N1960+O1960),"")</f>
        <v/>
      </c>
      <c r="Q1960" s="60" t="str">
        <f aca="false">IF(IsPro,IF($D1960="","",IFERROR(MATCH($D1960,Items!$A$5:$A$504,0),"")),"")</f>
        <v/>
      </c>
      <c r="R1960" s="60" t="str">
        <f aca="false">IF(IsPro,IF($C1960="","",IFERROR(MATCH($C1960,Parties!$A$5:$A$304,0),"")),"")</f>
        <v/>
      </c>
      <c r="S1960" s="61" t="str">
        <f aca="false">IF(IsPro,IF($D1960="","",IF(OR($H1960="",$H1960="Credit"),0,P1960)),"")</f>
        <v/>
      </c>
    </row>
    <row r="1961" customFormat="false" ht="15" hidden="false" customHeight="false" outlineLevel="0" collapsed="false">
      <c r="A1961" s="55"/>
      <c r="B1961" s="56"/>
      <c r="C1961" s="56"/>
      <c r="D1961" s="56"/>
      <c r="E1961" s="57"/>
      <c r="F1961" s="58"/>
      <c r="G1961" s="59"/>
      <c r="H1961" s="56"/>
      <c r="I1961" s="60" t="str">
        <f aca="false">IF(IsPro,IF($D1961="","",IFERROR(INDEX(Items!$D$5:$D$504,Q1961),"")),IF($D1961="","","PRO PLAN"))</f>
        <v/>
      </c>
      <c r="J1961" s="61" t="str">
        <f aca="false">IF(IsPro,IF($D1961="","",IF($F1961="",IFERROR(INDEX(Items!$G$5:$G$504,Q1961),0),$F1961)),"")</f>
        <v/>
      </c>
      <c r="K1961" s="61" t="str">
        <f aca="false">IF(IsPro,IF($D1961="","",ROUND(N($E1961)*J1961*(1-N($G1961)),2)),"")</f>
        <v/>
      </c>
      <c r="L1961" s="62" t="str">
        <f aca="false">IF(IsPro,IF($D1961="","",IFERROR(INDEX(Items!$F$5:$F$504,Q1961),0)),"")</f>
        <v/>
      </c>
      <c r="M1961" s="61" t="str">
        <f aca="false">IF(IsPro,IF($D1961="","",IF(AND(R1961&lt;&gt;"",INDEX(Parties!$E$5:$E$304,R1961)&lt;&gt;"",INDEX(Parties!$E$5:$E$304,R1961)&lt;&gt;HomeState),0,ROUND(K1961*L1961/2,2))),"")</f>
        <v/>
      </c>
      <c r="N1961" s="61" t="str">
        <f aca="false">IF(IsPro,IF($D1961="","",M1961),"")</f>
        <v/>
      </c>
      <c r="O1961" s="61" t="str">
        <f aca="false">IF(IsPro,IF($D1961="","",IF(AND(R1961&lt;&gt;"",INDEX(Parties!$E$5:$E$304,R1961)&lt;&gt;"",INDEX(Parties!$E$5:$E$304,R1961)&lt;&gt;HomeState),ROUND(K1961*L1961,2),0)),"")</f>
        <v/>
      </c>
      <c r="P1961" s="61" t="str">
        <f aca="false">IF(IsPro,IF($D1961="","",K1961+M1961+N1961+O1961),"")</f>
        <v/>
      </c>
      <c r="Q1961" s="60" t="str">
        <f aca="false">IF(IsPro,IF($D1961="","",IFERROR(MATCH($D1961,Items!$A$5:$A$504,0),"")),"")</f>
        <v/>
      </c>
      <c r="R1961" s="60" t="str">
        <f aca="false">IF(IsPro,IF($C1961="","",IFERROR(MATCH($C1961,Parties!$A$5:$A$304,0),"")),"")</f>
        <v/>
      </c>
      <c r="S1961" s="61" t="str">
        <f aca="false">IF(IsPro,IF($D1961="","",IF(OR($H1961="",$H1961="Credit"),0,P1961)),"")</f>
        <v/>
      </c>
    </row>
    <row r="1962" customFormat="false" ht="15" hidden="false" customHeight="false" outlineLevel="0" collapsed="false">
      <c r="A1962" s="55"/>
      <c r="B1962" s="56"/>
      <c r="C1962" s="56"/>
      <c r="D1962" s="56"/>
      <c r="E1962" s="57"/>
      <c r="F1962" s="58"/>
      <c r="G1962" s="59"/>
      <c r="H1962" s="56"/>
      <c r="I1962" s="60" t="str">
        <f aca="false">IF(IsPro,IF($D1962="","",IFERROR(INDEX(Items!$D$5:$D$504,Q1962),"")),IF($D1962="","","PRO PLAN"))</f>
        <v/>
      </c>
      <c r="J1962" s="61" t="str">
        <f aca="false">IF(IsPro,IF($D1962="","",IF($F1962="",IFERROR(INDEX(Items!$G$5:$G$504,Q1962),0),$F1962)),"")</f>
        <v/>
      </c>
      <c r="K1962" s="61" t="str">
        <f aca="false">IF(IsPro,IF($D1962="","",ROUND(N($E1962)*J1962*(1-N($G1962)),2)),"")</f>
        <v/>
      </c>
      <c r="L1962" s="62" t="str">
        <f aca="false">IF(IsPro,IF($D1962="","",IFERROR(INDEX(Items!$F$5:$F$504,Q1962),0)),"")</f>
        <v/>
      </c>
      <c r="M1962" s="61" t="str">
        <f aca="false">IF(IsPro,IF($D1962="","",IF(AND(R1962&lt;&gt;"",INDEX(Parties!$E$5:$E$304,R1962)&lt;&gt;"",INDEX(Parties!$E$5:$E$304,R1962)&lt;&gt;HomeState),0,ROUND(K1962*L1962/2,2))),"")</f>
        <v/>
      </c>
      <c r="N1962" s="61" t="str">
        <f aca="false">IF(IsPro,IF($D1962="","",M1962),"")</f>
        <v/>
      </c>
      <c r="O1962" s="61" t="str">
        <f aca="false">IF(IsPro,IF($D1962="","",IF(AND(R1962&lt;&gt;"",INDEX(Parties!$E$5:$E$304,R1962)&lt;&gt;"",INDEX(Parties!$E$5:$E$304,R1962)&lt;&gt;HomeState),ROUND(K1962*L1962,2),0)),"")</f>
        <v/>
      </c>
      <c r="P1962" s="61" t="str">
        <f aca="false">IF(IsPro,IF($D1962="","",K1962+M1962+N1962+O1962),"")</f>
        <v/>
      </c>
      <c r="Q1962" s="60" t="str">
        <f aca="false">IF(IsPro,IF($D1962="","",IFERROR(MATCH($D1962,Items!$A$5:$A$504,0),"")),"")</f>
        <v/>
      </c>
      <c r="R1962" s="60" t="str">
        <f aca="false">IF(IsPro,IF($C1962="","",IFERROR(MATCH($C1962,Parties!$A$5:$A$304,0),"")),"")</f>
        <v/>
      </c>
      <c r="S1962" s="61" t="str">
        <f aca="false">IF(IsPro,IF($D1962="","",IF(OR($H1962="",$H1962="Credit"),0,P1962)),"")</f>
        <v/>
      </c>
    </row>
    <row r="1963" customFormat="false" ht="15" hidden="false" customHeight="false" outlineLevel="0" collapsed="false">
      <c r="A1963" s="55"/>
      <c r="B1963" s="56"/>
      <c r="C1963" s="56"/>
      <c r="D1963" s="56"/>
      <c r="E1963" s="57"/>
      <c r="F1963" s="58"/>
      <c r="G1963" s="59"/>
      <c r="H1963" s="56"/>
      <c r="I1963" s="60" t="str">
        <f aca="false">IF(IsPro,IF($D1963="","",IFERROR(INDEX(Items!$D$5:$D$504,Q1963),"")),IF($D1963="","","PRO PLAN"))</f>
        <v/>
      </c>
      <c r="J1963" s="61" t="str">
        <f aca="false">IF(IsPro,IF($D1963="","",IF($F1963="",IFERROR(INDEX(Items!$G$5:$G$504,Q1963),0),$F1963)),"")</f>
        <v/>
      </c>
      <c r="K1963" s="61" t="str">
        <f aca="false">IF(IsPro,IF($D1963="","",ROUND(N($E1963)*J1963*(1-N($G1963)),2)),"")</f>
        <v/>
      </c>
      <c r="L1963" s="62" t="str">
        <f aca="false">IF(IsPro,IF($D1963="","",IFERROR(INDEX(Items!$F$5:$F$504,Q1963),0)),"")</f>
        <v/>
      </c>
      <c r="M1963" s="61" t="str">
        <f aca="false">IF(IsPro,IF($D1963="","",IF(AND(R1963&lt;&gt;"",INDEX(Parties!$E$5:$E$304,R1963)&lt;&gt;"",INDEX(Parties!$E$5:$E$304,R1963)&lt;&gt;HomeState),0,ROUND(K1963*L1963/2,2))),"")</f>
        <v/>
      </c>
      <c r="N1963" s="61" t="str">
        <f aca="false">IF(IsPro,IF($D1963="","",M1963),"")</f>
        <v/>
      </c>
      <c r="O1963" s="61" t="str">
        <f aca="false">IF(IsPro,IF($D1963="","",IF(AND(R1963&lt;&gt;"",INDEX(Parties!$E$5:$E$304,R1963)&lt;&gt;"",INDEX(Parties!$E$5:$E$304,R1963)&lt;&gt;HomeState),ROUND(K1963*L1963,2),0)),"")</f>
        <v/>
      </c>
      <c r="P1963" s="61" t="str">
        <f aca="false">IF(IsPro,IF($D1963="","",K1963+M1963+N1963+O1963),"")</f>
        <v/>
      </c>
      <c r="Q1963" s="60" t="str">
        <f aca="false">IF(IsPro,IF($D1963="","",IFERROR(MATCH($D1963,Items!$A$5:$A$504,0),"")),"")</f>
        <v/>
      </c>
      <c r="R1963" s="60" t="str">
        <f aca="false">IF(IsPro,IF($C1963="","",IFERROR(MATCH($C1963,Parties!$A$5:$A$304,0),"")),"")</f>
        <v/>
      </c>
      <c r="S1963" s="61" t="str">
        <f aca="false">IF(IsPro,IF($D1963="","",IF(OR($H1963="",$H1963="Credit"),0,P1963)),"")</f>
        <v/>
      </c>
    </row>
    <row r="1964" customFormat="false" ht="15" hidden="false" customHeight="false" outlineLevel="0" collapsed="false">
      <c r="A1964" s="55"/>
      <c r="B1964" s="56"/>
      <c r="C1964" s="56"/>
      <c r="D1964" s="56"/>
      <c r="E1964" s="57"/>
      <c r="F1964" s="58"/>
      <c r="G1964" s="59"/>
      <c r="H1964" s="56"/>
      <c r="I1964" s="60" t="str">
        <f aca="false">IF(IsPro,IF($D1964="","",IFERROR(INDEX(Items!$D$5:$D$504,Q1964),"")),IF($D1964="","","PRO PLAN"))</f>
        <v/>
      </c>
      <c r="J1964" s="61" t="str">
        <f aca="false">IF(IsPro,IF($D1964="","",IF($F1964="",IFERROR(INDEX(Items!$G$5:$G$504,Q1964),0),$F1964)),"")</f>
        <v/>
      </c>
      <c r="K1964" s="61" t="str">
        <f aca="false">IF(IsPro,IF($D1964="","",ROUND(N($E1964)*J1964*(1-N($G1964)),2)),"")</f>
        <v/>
      </c>
      <c r="L1964" s="62" t="str">
        <f aca="false">IF(IsPro,IF($D1964="","",IFERROR(INDEX(Items!$F$5:$F$504,Q1964),0)),"")</f>
        <v/>
      </c>
      <c r="M1964" s="61" t="str">
        <f aca="false">IF(IsPro,IF($D1964="","",IF(AND(R1964&lt;&gt;"",INDEX(Parties!$E$5:$E$304,R1964)&lt;&gt;"",INDEX(Parties!$E$5:$E$304,R1964)&lt;&gt;HomeState),0,ROUND(K1964*L1964/2,2))),"")</f>
        <v/>
      </c>
      <c r="N1964" s="61" t="str">
        <f aca="false">IF(IsPro,IF($D1964="","",M1964),"")</f>
        <v/>
      </c>
      <c r="O1964" s="61" t="str">
        <f aca="false">IF(IsPro,IF($D1964="","",IF(AND(R1964&lt;&gt;"",INDEX(Parties!$E$5:$E$304,R1964)&lt;&gt;"",INDEX(Parties!$E$5:$E$304,R1964)&lt;&gt;HomeState),ROUND(K1964*L1964,2),0)),"")</f>
        <v/>
      </c>
      <c r="P1964" s="61" t="str">
        <f aca="false">IF(IsPro,IF($D1964="","",K1964+M1964+N1964+O1964),"")</f>
        <v/>
      </c>
      <c r="Q1964" s="60" t="str">
        <f aca="false">IF(IsPro,IF($D1964="","",IFERROR(MATCH($D1964,Items!$A$5:$A$504,0),"")),"")</f>
        <v/>
      </c>
      <c r="R1964" s="60" t="str">
        <f aca="false">IF(IsPro,IF($C1964="","",IFERROR(MATCH($C1964,Parties!$A$5:$A$304,0),"")),"")</f>
        <v/>
      </c>
      <c r="S1964" s="61" t="str">
        <f aca="false">IF(IsPro,IF($D1964="","",IF(OR($H1964="",$H1964="Credit"),0,P1964)),"")</f>
        <v/>
      </c>
    </row>
    <row r="1965" customFormat="false" ht="15" hidden="false" customHeight="false" outlineLevel="0" collapsed="false">
      <c r="A1965" s="55"/>
      <c r="B1965" s="56"/>
      <c r="C1965" s="56"/>
      <c r="D1965" s="56"/>
      <c r="E1965" s="57"/>
      <c r="F1965" s="58"/>
      <c r="G1965" s="59"/>
      <c r="H1965" s="56"/>
      <c r="I1965" s="60" t="str">
        <f aca="false">IF(IsPro,IF($D1965="","",IFERROR(INDEX(Items!$D$5:$D$504,Q1965),"")),IF($D1965="","","PRO PLAN"))</f>
        <v/>
      </c>
      <c r="J1965" s="61" t="str">
        <f aca="false">IF(IsPro,IF($D1965="","",IF($F1965="",IFERROR(INDEX(Items!$G$5:$G$504,Q1965),0),$F1965)),"")</f>
        <v/>
      </c>
      <c r="K1965" s="61" t="str">
        <f aca="false">IF(IsPro,IF($D1965="","",ROUND(N($E1965)*J1965*(1-N($G1965)),2)),"")</f>
        <v/>
      </c>
      <c r="L1965" s="62" t="str">
        <f aca="false">IF(IsPro,IF($D1965="","",IFERROR(INDEX(Items!$F$5:$F$504,Q1965),0)),"")</f>
        <v/>
      </c>
      <c r="M1965" s="61" t="str">
        <f aca="false">IF(IsPro,IF($D1965="","",IF(AND(R1965&lt;&gt;"",INDEX(Parties!$E$5:$E$304,R1965)&lt;&gt;"",INDEX(Parties!$E$5:$E$304,R1965)&lt;&gt;HomeState),0,ROUND(K1965*L1965/2,2))),"")</f>
        <v/>
      </c>
      <c r="N1965" s="61" t="str">
        <f aca="false">IF(IsPro,IF($D1965="","",M1965),"")</f>
        <v/>
      </c>
      <c r="O1965" s="61" t="str">
        <f aca="false">IF(IsPro,IF($D1965="","",IF(AND(R1965&lt;&gt;"",INDEX(Parties!$E$5:$E$304,R1965)&lt;&gt;"",INDEX(Parties!$E$5:$E$304,R1965)&lt;&gt;HomeState),ROUND(K1965*L1965,2),0)),"")</f>
        <v/>
      </c>
      <c r="P1965" s="61" t="str">
        <f aca="false">IF(IsPro,IF($D1965="","",K1965+M1965+N1965+O1965),"")</f>
        <v/>
      </c>
      <c r="Q1965" s="60" t="str">
        <f aca="false">IF(IsPro,IF($D1965="","",IFERROR(MATCH($D1965,Items!$A$5:$A$504,0),"")),"")</f>
        <v/>
      </c>
      <c r="R1965" s="60" t="str">
        <f aca="false">IF(IsPro,IF($C1965="","",IFERROR(MATCH($C1965,Parties!$A$5:$A$304,0),"")),"")</f>
        <v/>
      </c>
      <c r="S1965" s="61" t="str">
        <f aca="false">IF(IsPro,IF($D1965="","",IF(OR($H1965="",$H1965="Credit"),0,P1965)),"")</f>
        <v/>
      </c>
    </row>
    <row r="1966" customFormat="false" ht="15" hidden="false" customHeight="false" outlineLevel="0" collapsed="false">
      <c r="A1966" s="55"/>
      <c r="B1966" s="56"/>
      <c r="C1966" s="56"/>
      <c r="D1966" s="56"/>
      <c r="E1966" s="57"/>
      <c r="F1966" s="58"/>
      <c r="G1966" s="59"/>
      <c r="H1966" s="56"/>
      <c r="I1966" s="60" t="str">
        <f aca="false">IF(IsPro,IF($D1966="","",IFERROR(INDEX(Items!$D$5:$D$504,Q1966),"")),IF($D1966="","","PRO PLAN"))</f>
        <v/>
      </c>
      <c r="J1966" s="61" t="str">
        <f aca="false">IF(IsPro,IF($D1966="","",IF($F1966="",IFERROR(INDEX(Items!$G$5:$G$504,Q1966),0),$F1966)),"")</f>
        <v/>
      </c>
      <c r="K1966" s="61" t="str">
        <f aca="false">IF(IsPro,IF($D1966="","",ROUND(N($E1966)*J1966*(1-N($G1966)),2)),"")</f>
        <v/>
      </c>
      <c r="L1966" s="62" t="str">
        <f aca="false">IF(IsPro,IF($D1966="","",IFERROR(INDEX(Items!$F$5:$F$504,Q1966),0)),"")</f>
        <v/>
      </c>
      <c r="M1966" s="61" t="str">
        <f aca="false">IF(IsPro,IF($D1966="","",IF(AND(R1966&lt;&gt;"",INDEX(Parties!$E$5:$E$304,R1966)&lt;&gt;"",INDEX(Parties!$E$5:$E$304,R1966)&lt;&gt;HomeState),0,ROUND(K1966*L1966/2,2))),"")</f>
        <v/>
      </c>
      <c r="N1966" s="61" t="str">
        <f aca="false">IF(IsPro,IF($D1966="","",M1966),"")</f>
        <v/>
      </c>
      <c r="O1966" s="61" t="str">
        <f aca="false">IF(IsPro,IF($D1966="","",IF(AND(R1966&lt;&gt;"",INDEX(Parties!$E$5:$E$304,R1966)&lt;&gt;"",INDEX(Parties!$E$5:$E$304,R1966)&lt;&gt;HomeState),ROUND(K1966*L1966,2),0)),"")</f>
        <v/>
      </c>
      <c r="P1966" s="61" t="str">
        <f aca="false">IF(IsPro,IF($D1966="","",K1966+M1966+N1966+O1966),"")</f>
        <v/>
      </c>
      <c r="Q1966" s="60" t="str">
        <f aca="false">IF(IsPro,IF($D1966="","",IFERROR(MATCH($D1966,Items!$A$5:$A$504,0),"")),"")</f>
        <v/>
      </c>
      <c r="R1966" s="60" t="str">
        <f aca="false">IF(IsPro,IF($C1966="","",IFERROR(MATCH($C1966,Parties!$A$5:$A$304,0),"")),"")</f>
        <v/>
      </c>
      <c r="S1966" s="61" t="str">
        <f aca="false">IF(IsPro,IF($D1966="","",IF(OR($H1966="",$H1966="Credit"),0,P1966)),"")</f>
        <v/>
      </c>
    </row>
    <row r="1967" customFormat="false" ht="15" hidden="false" customHeight="false" outlineLevel="0" collapsed="false">
      <c r="A1967" s="55"/>
      <c r="B1967" s="56"/>
      <c r="C1967" s="56"/>
      <c r="D1967" s="56"/>
      <c r="E1967" s="57"/>
      <c r="F1967" s="58"/>
      <c r="G1967" s="59"/>
      <c r="H1967" s="56"/>
      <c r="I1967" s="60" t="str">
        <f aca="false">IF(IsPro,IF($D1967="","",IFERROR(INDEX(Items!$D$5:$D$504,Q1967),"")),IF($D1967="","","PRO PLAN"))</f>
        <v/>
      </c>
      <c r="J1967" s="61" t="str">
        <f aca="false">IF(IsPro,IF($D1967="","",IF($F1967="",IFERROR(INDEX(Items!$G$5:$G$504,Q1967),0),$F1967)),"")</f>
        <v/>
      </c>
      <c r="K1967" s="61" t="str">
        <f aca="false">IF(IsPro,IF($D1967="","",ROUND(N($E1967)*J1967*(1-N($G1967)),2)),"")</f>
        <v/>
      </c>
      <c r="L1967" s="62" t="str">
        <f aca="false">IF(IsPro,IF($D1967="","",IFERROR(INDEX(Items!$F$5:$F$504,Q1967),0)),"")</f>
        <v/>
      </c>
      <c r="M1967" s="61" t="str">
        <f aca="false">IF(IsPro,IF($D1967="","",IF(AND(R1967&lt;&gt;"",INDEX(Parties!$E$5:$E$304,R1967)&lt;&gt;"",INDEX(Parties!$E$5:$E$304,R1967)&lt;&gt;HomeState),0,ROUND(K1967*L1967/2,2))),"")</f>
        <v/>
      </c>
      <c r="N1967" s="61" t="str">
        <f aca="false">IF(IsPro,IF($D1967="","",M1967),"")</f>
        <v/>
      </c>
      <c r="O1967" s="61" t="str">
        <f aca="false">IF(IsPro,IF($D1967="","",IF(AND(R1967&lt;&gt;"",INDEX(Parties!$E$5:$E$304,R1967)&lt;&gt;"",INDEX(Parties!$E$5:$E$304,R1967)&lt;&gt;HomeState),ROUND(K1967*L1967,2),0)),"")</f>
        <v/>
      </c>
      <c r="P1967" s="61" t="str">
        <f aca="false">IF(IsPro,IF($D1967="","",K1967+M1967+N1967+O1967),"")</f>
        <v/>
      </c>
      <c r="Q1967" s="60" t="str">
        <f aca="false">IF(IsPro,IF($D1967="","",IFERROR(MATCH($D1967,Items!$A$5:$A$504,0),"")),"")</f>
        <v/>
      </c>
      <c r="R1967" s="60" t="str">
        <f aca="false">IF(IsPro,IF($C1967="","",IFERROR(MATCH($C1967,Parties!$A$5:$A$304,0),"")),"")</f>
        <v/>
      </c>
      <c r="S1967" s="61" t="str">
        <f aca="false">IF(IsPro,IF($D1967="","",IF(OR($H1967="",$H1967="Credit"),0,P1967)),"")</f>
        <v/>
      </c>
    </row>
    <row r="1968" customFormat="false" ht="15" hidden="false" customHeight="false" outlineLevel="0" collapsed="false">
      <c r="A1968" s="55"/>
      <c r="B1968" s="56"/>
      <c r="C1968" s="56"/>
      <c r="D1968" s="56"/>
      <c r="E1968" s="57"/>
      <c r="F1968" s="58"/>
      <c r="G1968" s="59"/>
      <c r="H1968" s="56"/>
      <c r="I1968" s="60" t="str">
        <f aca="false">IF(IsPro,IF($D1968="","",IFERROR(INDEX(Items!$D$5:$D$504,Q1968),"")),IF($D1968="","","PRO PLAN"))</f>
        <v/>
      </c>
      <c r="J1968" s="61" t="str">
        <f aca="false">IF(IsPro,IF($D1968="","",IF($F1968="",IFERROR(INDEX(Items!$G$5:$G$504,Q1968),0),$F1968)),"")</f>
        <v/>
      </c>
      <c r="K1968" s="61" t="str">
        <f aca="false">IF(IsPro,IF($D1968="","",ROUND(N($E1968)*J1968*(1-N($G1968)),2)),"")</f>
        <v/>
      </c>
      <c r="L1968" s="62" t="str">
        <f aca="false">IF(IsPro,IF($D1968="","",IFERROR(INDEX(Items!$F$5:$F$504,Q1968),0)),"")</f>
        <v/>
      </c>
      <c r="M1968" s="61" t="str">
        <f aca="false">IF(IsPro,IF($D1968="","",IF(AND(R1968&lt;&gt;"",INDEX(Parties!$E$5:$E$304,R1968)&lt;&gt;"",INDEX(Parties!$E$5:$E$304,R1968)&lt;&gt;HomeState),0,ROUND(K1968*L1968/2,2))),"")</f>
        <v/>
      </c>
      <c r="N1968" s="61" t="str">
        <f aca="false">IF(IsPro,IF($D1968="","",M1968),"")</f>
        <v/>
      </c>
      <c r="O1968" s="61" t="str">
        <f aca="false">IF(IsPro,IF($D1968="","",IF(AND(R1968&lt;&gt;"",INDEX(Parties!$E$5:$E$304,R1968)&lt;&gt;"",INDEX(Parties!$E$5:$E$304,R1968)&lt;&gt;HomeState),ROUND(K1968*L1968,2),0)),"")</f>
        <v/>
      </c>
      <c r="P1968" s="61" t="str">
        <f aca="false">IF(IsPro,IF($D1968="","",K1968+M1968+N1968+O1968),"")</f>
        <v/>
      </c>
      <c r="Q1968" s="60" t="str">
        <f aca="false">IF(IsPro,IF($D1968="","",IFERROR(MATCH($D1968,Items!$A$5:$A$504,0),"")),"")</f>
        <v/>
      </c>
      <c r="R1968" s="60" t="str">
        <f aca="false">IF(IsPro,IF($C1968="","",IFERROR(MATCH($C1968,Parties!$A$5:$A$304,0),"")),"")</f>
        <v/>
      </c>
      <c r="S1968" s="61" t="str">
        <f aca="false">IF(IsPro,IF($D1968="","",IF(OR($H1968="",$H1968="Credit"),0,P1968)),"")</f>
        <v/>
      </c>
    </row>
    <row r="1969" customFormat="false" ht="15" hidden="false" customHeight="false" outlineLevel="0" collapsed="false">
      <c r="A1969" s="55"/>
      <c r="B1969" s="56"/>
      <c r="C1969" s="56"/>
      <c r="D1969" s="56"/>
      <c r="E1969" s="57"/>
      <c r="F1969" s="58"/>
      <c r="G1969" s="59"/>
      <c r="H1969" s="56"/>
      <c r="I1969" s="60" t="str">
        <f aca="false">IF(IsPro,IF($D1969="","",IFERROR(INDEX(Items!$D$5:$D$504,Q1969),"")),IF($D1969="","","PRO PLAN"))</f>
        <v/>
      </c>
      <c r="J1969" s="61" t="str">
        <f aca="false">IF(IsPro,IF($D1969="","",IF($F1969="",IFERROR(INDEX(Items!$G$5:$G$504,Q1969),0),$F1969)),"")</f>
        <v/>
      </c>
      <c r="K1969" s="61" t="str">
        <f aca="false">IF(IsPro,IF($D1969="","",ROUND(N($E1969)*J1969*(1-N($G1969)),2)),"")</f>
        <v/>
      </c>
      <c r="L1969" s="62" t="str">
        <f aca="false">IF(IsPro,IF($D1969="","",IFERROR(INDEX(Items!$F$5:$F$504,Q1969),0)),"")</f>
        <v/>
      </c>
      <c r="M1969" s="61" t="str">
        <f aca="false">IF(IsPro,IF($D1969="","",IF(AND(R1969&lt;&gt;"",INDEX(Parties!$E$5:$E$304,R1969)&lt;&gt;"",INDEX(Parties!$E$5:$E$304,R1969)&lt;&gt;HomeState),0,ROUND(K1969*L1969/2,2))),"")</f>
        <v/>
      </c>
      <c r="N1969" s="61" t="str">
        <f aca="false">IF(IsPro,IF($D1969="","",M1969),"")</f>
        <v/>
      </c>
      <c r="O1969" s="61" t="str">
        <f aca="false">IF(IsPro,IF($D1969="","",IF(AND(R1969&lt;&gt;"",INDEX(Parties!$E$5:$E$304,R1969)&lt;&gt;"",INDEX(Parties!$E$5:$E$304,R1969)&lt;&gt;HomeState),ROUND(K1969*L1969,2),0)),"")</f>
        <v/>
      </c>
      <c r="P1969" s="61" t="str">
        <f aca="false">IF(IsPro,IF($D1969="","",K1969+M1969+N1969+O1969),"")</f>
        <v/>
      </c>
      <c r="Q1969" s="60" t="str">
        <f aca="false">IF(IsPro,IF($D1969="","",IFERROR(MATCH($D1969,Items!$A$5:$A$504,0),"")),"")</f>
        <v/>
      </c>
      <c r="R1969" s="60" t="str">
        <f aca="false">IF(IsPro,IF($C1969="","",IFERROR(MATCH($C1969,Parties!$A$5:$A$304,0),"")),"")</f>
        <v/>
      </c>
      <c r="S1969" s="61" t="str">
        <f aca="false">IF(IsPro,IF($D1969="","",IF(OR($H1969="",$H1969="Credit"),0,P1969)),"")</f>
        <v/>
      </c>
    </row>
    <row r="1970" customFormat="false" ht="15" hidden="false" customHeight="false" outlineLevel="0" collapsed="false">
      <c r="A1970" s="55"/>
      <c r="B1970" s="56"/>
      <c r="C1970" s="56"/>
      <c r="D1970" s="56"/>
      <c r="E1970" s="57"/>
      <c r="F1970" s="58"/>
      <c r="G1970" s="59"/>
      <c r="H1970" s="56"/>
      <c r="I1970" s="60" t="str">
        <f aca="false">IF(IsPro,IF($D1970="","",IFERROR(INDEX(Items!$D$5:$D$504,Q1970),"")),IF($D1970="","","PRO PLAN"))</f>
        <v/>
      </c>
      <c r="J1970" s="61" t="str">
        <f aca="false">IF(IsPro,IF($D1970="","",IF($F1970="",IFERROR(INDEX(Items!$G$5:$G$504,Q1970),0),$F1970)),"")</f>
        <v/>
      </c>
      <c r="K1970" s="61" t="str">
        <f aca="false">IF(IsPro,IF($D1970="","",ROUND(N($E1970)*J1970*(1-N($G1970)),2)),"")</f>
        <v/>
      </c>
      <c r="L1970" s="62" t="str">
        <f aca="false">IF(IsPro,IF($D1970="","",IFERROR(INDEX(Items!$F$5:$F$504,Q1970),0)),"")</f>
        <v/>
      </c>
      <c r="M1970" s="61" t="str">
        <f aca="false">IF(IsPro,IF($D1970="","",IF(AND(R1970&lt;&gt;"",INDEX(Parties!$E$5:$E$304,R1970)&lt;&gt;"",INDEX(Parties!$E$5:$E$304,R1970)&lt;&gt;HomeState),0,ROUND(K1970*L1970/2,2))),"")</f>
        <v/>
      </c>
      <c r="N1970" s="61" t="str">
        <f aca="false">IF(IsPro,IF($D1970="","",M1970),"")</f>
        <v/>
      </c>
      <c r="O1970" s="61" t="str">
        <f aca="false">IF(IsPro,IF($D1970="","",IF(AND(R1970&lt;&gt;"",INDEX(Parties!$E$5:$E$304,R1970)&lt;&gt;"",INDEX(Parties!$E$5:$E$304,R1970)&lt;&gt;HomeState),ROUND(K1970*L1970,2),0)),"")</f>
        <v/>
      </c>
      <c r="P1970" s="61" t="str">
        <f aca="false">IF(IsPro,IF($D1970="","",K1970+M1970+N1970+O1970),"")</f>
        <v/>
      </c>
      <c r="Q1970" s="60" t="str">
        <f aca="false">IF(IsPro,IF($D1970="","",IFERROR(MATCH($D1970,Items!$A$5:$A$504,0),"")),"")</f>
        <v/>
      </c>
      <c r="R1970" s="60" t="str">
        <f aca="false">IF(IsPro,IF($C1970="","",IFERROR(MATCH($C1970,Parties!$A$5:$A$304,0),"")),"")</f>
        <v/>
      </c>
      <c r="S1970" s="61" t="str">
        <f aca="false">IF(IsPro,IF($D1970="","",IF(OR($H1970="",$H1970="Credit"),0,P1970)),"")</f>
        <v/>
      </c>
    </row>
    <row r="1971" customFormat="false" ht="15" hidden="false" customHeight="false" outlineLevel="0" collapsed="false">
      <c r="A1971" s="55"/>
      <c r="B1971" s="56"/>
      <c r="C1971" s="56"/>
      <c r="D1971" s="56"/>
      <c r="E1971" s="57"/>
      <c r="F1971" s="58"/>
      <c r="G1971" s="59"/>
      <c r="H1971" s="56"/>
      <c r="I1971" s="60" t="str">
        <f aca="false">IF(IsPro,IF($D1971="","",IFERROR(INDEX(Items!$D$5:$D$504,Q1971),"")),IF($D1971="","","PRO PLAN"))</f>
        <v/>
      </c>
      <c r="J1971" s="61" t="str">
        <f aca="false">IF(IsPro,IF($D1971="","",IF($F1971="",IFERROR(INDEX(Items!$G$5:$G$504,Q1971),0),$F1971)),"")</f>
        <v/>
      </c>
      <c r="K1971" s="61" t="str">
        <f aca="false">IF(IsPro,IF($D1971="","",ROUND(N($E1971)*J1971*(1-N($G1971)),2)),"")</f>
        <v/>
      </c>
      <c r="L1971" s="62" t="str">
        <f aca="false">IF(IsPro,IF($D1971="","",IFERROR(INDEX(Items!$F$5:$F$504,Q1971),0)),"")</f>
        <v/>
      </c>
      <c r="M1971" s="61" t="str">
        <f aca="false">IF(IsPro,IF($D1971="","",IF(AND(R1971&lt;&gt;"",INDEX(Parties!$E$5:$E$304,R1971)&lt;&gt;"",INDEX(Parties!$E$5:$E$304,R1971)&lt;&gt;HomeState),0,ROUND(K1971*L1971/2,2))),"")</f>
        <v/>
      </c>
      <c r="N1971" s="61" t="str">
        <f aca="false">IF(IsPro,IF($D1971="","",M1971),"")</f>
        <v/>
      </c>
      <c r="O1971" s="61" t="str">
        <f aca="false">IF(IsPro,IF($D1971="","",IF(AND(R1971&lt;&gt;"",INDEX(Parties!$E$5:$E$304,R1971)&lt;&gt;"",INDEX(Parties!$E$5:$E$304,R1971)&lt;&gt;HomeState),ROUND(K1971*L1971,2),0)),"")</f>
        <v/>
      </c>
      <c r="P1971" s="61" t="str">
        <f aca="false">IF(IsPro,IF($D1971="","",K1971+M1971+N1971+O1971),"")</f>
        <v/>
      </c>
      <c r="Q1971" s="60" t="str">
        <f aca="false">IF(IsPro,IF($D1971="","",IFERROR(MATCH($D1971,Items!$A$5:$A$504,0),"")),"")</f>
        <v/>
      </c>
      <c r="R1971" s="60" t="str">
        <f aca="false">IF(IsPro,IF($C1971="","",IFERROR(MATCH($C1971,Parties!$A$5:$A$304,0),"")),"")</f>
        <v/>
      </c>
      <c r="S1971" s="61" t="str">
        <f aca="false">IF(IsPro,IF($D1971="","",IF(OR($H1971="",$H1971="Credit"),0,P1971)),"")</f>
        <v/>
      </c>
    </row>
    <row r="1972" customFormat="false" ht="15" hidden="false" customHeight="false" outlineLevel="0" collapsed="false">
      <c r="A1972" s="55"/>
      <c r="B1972" s="56"/>
      <c r="C1972" s="56"/>
      <c r="D1972" s="56"/>
      <c r="E1972" s="57"/>
      <c r="F1972" s="58"/>
      <c r="G1972" s="59"/>
      <c r="H1972" s="56"/>
      <c r="I1972" s="60" t="str">
        <f aca="false">IF(IsPro,IF($D1972="","",IFERROR(INDEX(Items!$D$5:$D$504,Q1972),"")),IF($D1972="","","PRO PLAN"))</f>
        <v/>
      </c>
      <c r="J1972" s="61" t="str">
        <f aca="false">IF(IsPro,IF($D1972="","",IF($F1972="",IFERROR(INDEX(Items!$G$5:$G$504,Q1972),0),$F1972)),"")</f>
        <v/>
      </c>
      <c r="K1972" s="61" t="str">
        <f aca="false">IF(IsPro,IF($D1972="","",ROUND(N($E1972)*J1972*(1-N($G1972)),2)),"")</f>
        <v/>
      </c>
      <c r="L1972" s="62" t="str">
        <f aca="false">IF(IsPro,IF($D1972="","",IFERROR(INDEX(Items!$F$5:$F$504,Q1972),0)),"")</f>
        <v/>
      </c>
      <c r="M1972" s="61" t="str">
        <f aca="false">IF(IsPro,IF($D1972="","",IF(AND(R1972&lt;&gt;"",INDEX(Parties!$E$5:$E$304,R1972)&lt;&gt;"",INDEX(Parties!$E$5:$E$304,R1972)&lt;&gt;HomeState),0,ROUND(K1972*L1972/2,2))),"")</f>
        <v/>
      </c>
      <c r="N1972" s="61" t="str">
        <f aca="false">IF(IsPro,IF($D1972="","",M1972),"")</f>
        <v/>
      </c>
      <c r="O1972" s="61" t="str">
        <f aca="false">IF(IsPro,IF($D1972="","",IF(AND(R1972&lt;&gt;"",INDEX(Parties!$E$5:$E$304,R1972)&lt;&gt;"",INDEX(Parties!$E$5:$E$304,R1972)&lt;&gt;HomeState),ROUND(K1972*L1972,2),0)),"")</f>
        <v/>
      </c>
      <c r="P1972" s="61" t="str">
        <f aca="false">IF(IsPro,IF($D1972="","",K1972+M1972+N1972+O1972),"")</f>
        <v/>
      </c>
      <c r="Q1972" s="60" t="str">
        <f aca="false">IF(IsPro,IF($D1972="","",IFERROR(MATCH($D1972,Items!$A$5:$A$504,0),"")),"")</f>
        <v/>
      </c>
      <c r="R1972" s="60" t="str">
        <f aca="false">IF(IsPro,IF($C1972="","",IFERROR(MATCH($C1972,Parties!$A$5:$A$304,0),"")),"")</f>
        <v/>
      </c>
      <c r="S1972" s="61" t="str">
        <f aca="false">IF(IsPro,IF($D1972="","",IF(OR($H1972="",$H1972="Credit"),0,P1972)),"")</f>
        <v/>
      </c>
    </row>
    <row r="1973" customFormat="false" ht="15" hidden="false" customHeight="false" outlineLevel="0" collapsed="false">
      <c r="A1973" s="55"/>
      <c r="B1973" s="56"/>
      <c r="C1973" s="56"/>
      <c r="D1973" s="56"/>
      <c r="E1973" s="57"/>
      <c r="F1973" s="58"/>
      <c r="G1973" s="59"/>
      <c r="H1973" s="56"/>
      <c r="I1973" s="60" t="str">
        <f aca="false">IF(IsPro,IF($D1973="","",IFERROR(INDEX(Items!$D$5:$D$504,Q1973),"")),IF($D1973="","","PRO PLAN"))</f>
        <v/>
      </c>
      <c r="J1973" s="61" t="str">
        <f aca="false">IF(IsPro,IF($D1973="","",IF($F1973="",IFERROR(INDEX(Items!$G$5:$G$504,Q1973),0),$F1973)),"")</f>
        <v/>
      </c>
      <c r="K1973" s="61" t="str">
        <f aca="false">IF(IsPro,IF($D1973="","",ROUND(N($E1973)*J1973*(1-N($G1973)),2)),"")</f>
        <v/>
      </c>
      <c r="L1973" s="62" t="str">
        <f aca="false">IF(IsPro,IF($D1973="","",IFERROR(INDEX(Items!$F$5:$F$504,Q1973),0)),"")</f>
        <v/>
      </c>
      <c r="M1973" s="61" t="str">
        <f aca="false">IF(IsPro,IF($D1973="","",IF(AND(R1973&lt;&gt;"",INDEX(Parties!$E$5:$E$304,R1973)&lt;&gt;"",INDEX(Parties!$E$5:$E$304,R1973)&lt;&gt;HomeState),0,ROUND(K1973*L1973/2,2))),"")</f>
        <v/>
      </c>
      <c r="N1973" s="61" t="str">
        <f aca="false">IF(IsPro,IF($D1973="","",M1973),"")</f>
        <v/>
      </c>
      <c r="O1973" s="61" t="str">
        <f aca="false">IF(IsPro,IF($D1973="","",IF(AND(R1973&lt;&gt;"",INDEX(Parties!$E$5:$E$304,R1973)&lt;&gt;"",INDEX(Parties!$E$5:$E$304,R1973)&lt;&gt;HomeState),ROUND(K1973*L1973,2),0)),"")</f>
        <v/>
      </c>
      <c r="P1973" s="61" t="str">
        <f aca="false">IF(IsPro,IF($D1973="","",K1973+M1973+N1973+O1973),"")</f>
        <v/>
      </c>
      <c r="Q1973" s="60" t="str">
        <f aca="false">IF(IsPro,IF($D1973="","",IFERROR(MATCH($D1973,Items!$A$5:$A$504,0),"")),"")</f>
        <v/>
      </c>
      <c r="R1973" s="60" t="str">
        <f aca="false">IF(IsPro,IF($C1973="","",IFERROR(MATCH($C1973,Parties!$A$5:$A$304,0),"")),"")</f>
        <v/>
      </c>
      <c r="S1973" s="61" t="str">
        <f aca="false">IF(IsPro,IF($D1973="","",IF(OR($H1973="",$H1973="Credit"),0,P1973)),"")</f>
        <v/>
      </c>
    </row>
    <row r="1974" customFormat="false" ht="15" hidden="false" customHeight="false" outlineLevel="0" collapsed="false">
      <c r="A1974" s="55"/>
      <c r="B1974" s="56"/>
      <c r="C1974" s="56"/>
      <c r="D1974" s="56"/>
      <c r="E1974" s="57"/>
      <c r="F1974" s="58"/>
      <c r="G1974" s="59"/>
      <c r="H1974" s="56"/>
      <c r="I1974" s="60" t="str">
        <f aca="false">IF(IsPro,IF($D1974="","",IFERROR(INDEX(Items!$D$5:$D$504,Q1974),"")),IF($D1974="","","PRO PLAN"))</f>
        <v/>
      </c>
      <c r="J1974" s="61" t="str">
        <f aca="false">IF(IsPro,IF($D1974="","",IF($F1974="",IFERROR(INDEX(Items!$G$5:$G$504,Q1974),0),$F1974)),"")</f>
        <v/>
      </c>
      <c r="K1974" s="61" t="str">
        <f aca="false">IF(IsPro,IF($D1974="","",ROUND(N($E1974)*J1974*(1-N($G1974)),2)),"")</f>
        <v/>
      </c>
      <c r="L1974" s="62" t="str">
        <f aca="false">IF(IsPro,IF($D1974="","",IFERROR(INDEX(Items!$F$5:$F$504,Q1974),0)),"")</f>
        <v/>
      </c>
      <c r="M1974" s="61" t="str">
        <f aca="false">IF(IsPro,IF($D1974="","",IF(AND(R1974&lt;&gt;"",INDEX(Parties!$E$5:$E$304,R1974)&lt;&gt;"",INDEX(Parties!$E$5:$E$304,R1974)&lt;&gt;HomeState),0,ROUND(K1974*L1974/2,2))),"")</f>
        <v/>
      </c>
      <c r="N1974" s="61" t="str">
        <f aca="false">IF(IsPro,IF($D1974="","",M1974),"")</f>
        <v/>
      </c>
      <c r="O1974" s="61" t="str">
        <f aca="false">IF(IsPro,IF($D1974="","",IF(AND(R1974&lt;&gt;"",INDEX(Parties!$E$5:$E$304,R1974)&lt;&gt;"",INDEX(Parties!$E$5:$E$304,R1974)&lt;&gt;HomeState),ROUND(K1974*L1974,2),0)),"")</f>
        <v/>
      </c>
      <c r="P1974" s="61" t="str">
        <f aca="false">IF(IsPro,IF($D1974="","",K1974+M1974+N1974+O1974),"")</f>
        <v/>
      </c>
      <c r="Q1974" s="60" t="str">
        <f aca="false">IF(IsPro,IF($D1974="","",IFERROR(MATCH($D1974,Items!$A$5:$A$504,0),"")),"")</f>
        <v/>
      </c>
      <c r="R1974" s="60" t="str">
        <f aca="false">IF(IsPro,IF($C1974="","",IFERROR(MATCH($C1974,Parties!$A$5:$A$304,0),"")),"")</f>
        <v/>
      </c>
      <c r="S1974" s="61" t="str">
        <f aca="false">IF(IsPro,IF($D1974="","",IF(OR($H1974="",$H1974="Credit"),0,P1974)),"")</f>
        <v/>
      </c>
    </row>
    <row r="1975" customFormat="false" ht="15" hidden="false" customHeight="false" outlineLevel="0" collapsed="false">
      <c r="A1975" s="55"/>
      <c r="B1975" s="56"/>
      <c r="C1975" s="56"/>
      <c r="D1975" s="56"/>
      <c r="E1975" s="57"/>
      <c r="F1975" s="58"/>
      <c r="G1975" s="59"/>
      <c r="H1975" s="56"/>
      <c r="I1975" s="60" t="str">
        <f aca="false">IF(IsPro,IF($D1975="","",IFERROR(INDEX(Items!$D$5:$D$504,Q1975),"")),IF($D1975="","","PRO PLAN"))</f>
        <v/>
      </c>
      <c r="J1975" s="61" t="str">
        <f aca="false">IF(IsPro,IF($D1975="","",IF($F1975="",IFERROR(INDEX(Items!$G$5:$G$504,Q1975),0),$F1975)),"")</f>
        <v/>
      </c>
      <c r="K1975" s="61" t="str">
        <f aca="false">IF(IsPro,IF($D1975="","",ROUND(N($E1975)*J1975*(1-N($G1975)),2)),"")</f>
        <v/>
      </c>
      <c r="L1975" s="62" t="str">
        <f aca="false">IF(IsPro,IF($D1975="","",IFERROR(INDEX(Items!$F$5:$F$504,Q1975),0)),"")</f>
        <v/>
      </c>
      <c r="M1975" s="61" t="str">
        <f aca="false">IF(IsPro,IF($D1975="","",IF(AND(R1975&lt;&gt;"",INDEX(Parties!$E$5:$E$304,R1975)&lt;&gt;"",INDEX(Parties!$E$5:$E$304,R1975)&lt;&gt;HomeState),0,ROUND(K1975*L1975/2,2))),"")</f>
        <v/>
      </c>
      <c r="N1975" s="61" t="str">
        <f aca="false">IF(IsPro,IF($D1975="","",M1975),"")</f>
        <v/>
      </c>
      <c r="O1975" s="61" t="str">
        <f aca="false">IF(IsPro,IF($D1975="","",IF(AND(R1975&lt;&gt;"",INDEX(Parties!$E$5:$E$304,R1975)&lt;&gt;"",INDEX(Parties!$E$5:$E$304,R1975)&lt;&gt;HomeState),ROUND(K1975*L1975,2),0)),"")</f>
        <v/>
      </c>
      <c r="P1975" s="61" t="str">
        <f aca="false">IF(IsPro,IF($D1975="","",K1975+M1975+N1975+O1975),"")</f>
        <v/>
      </c>
      <c r="Q1975" s="60" t="str">
        <f aca="false">IF(IsPro,IF($D1975="","",IFERROR(MATCH($D1975,Items!$A$5:$A$504,0),"")),"")</f>
        <v/>
      </c>
      <c r="R1975" s="60" t="str">
        <f aca="false">IF(IsPro,IF($C1975="","",IFERROR(MATCH($C1975,Parties!$A$5:$A$304,0),"")),"")</f>
        <v/>
      </c>
      <c r="S1975" s="61" t="str">
        <f aca="false">IF(IsPro,IF($D1975="","",IF(OR($H1975="",$H1975="Credit"),0,P1975)),"")</f>
        <v/>
      </c>
    </row>
    <row r="1976" customFormat="false" ht="15" hidden="false" customHeight="false" outlineLevel="0" collapsed="false">
      <c r="A1976" s="55"/>
      <c r="B1976" s="56"/>
      <c r="C1976" s="56"/>
      <c r="D1976" s="56"/>
      <c r="E1976" s="57"/>
      <c r="F1976" s="58"/>
      <c r="G1976" s="59"/>
      <c r="H1976" s="56"/>
      <c r="I1976" s="60" t="str">
        <f aca="false">IF(IsPro,IF($D1976="","",IFERROR(INDEX(Items!$D$5:$D$504,Q1976),"")),IF($D1976="","","PRO PLAN"))</f>
        <v/>
      </c>
      <c r="J1976" s="61" t="str">
        <f aca="false">IF(IsPro,IF($D1976="","",IF($F1976="",IFERROR(INDEX(Items!$G$5:$G$504,Q1976),0),$F1976)),"")</f>
        <v/>
      </c>
      <c r="K1976" s="61" t="str">
        <f aca="false">IF(IsPro,IF($D1976="","",ROUND(N($E1976)*J1976*(1-N($G1976)),2)),"")</f>
        <v/>
      </c>
      <c r="L1976" s="62" t="str">
        <f aca="false">IF(IsPro,IF($D1976="","",IFERROR(INDEX(Items!$F$5:$F$504,Q1976),0)),"")</f>
        <v/>
      </c>
      <c r="M1976" s="61" t="str">
        <f aca="false">IF(IsPro,IF($D1976="","",IF(AND(R1976&lt;&gt;"",INDEX(Parties!$E$5:$E$304,R1976)&lt;&gt;"",INDEX(Parties!$E$5:$E$304,R1976)&lt;&gt;HomeState),0,ROUND(K1976*L1976/2,2))),"")</f>
        <v/>
      </c>
      <c r="N1976" s="61" t="str">
        <f aca="false">IF(IsPro,IF($D1976="","",M1976),"")</f>
        <v/>
      </c>
      <c r="O1976" s="61" t="str">
        <f aca="false">IF(IsPro,IF($D1976="","",IF(AND(R1976&lt;&gt;"",INDEX(Parties!$E$5:$E$304,R1976)&lt;&gt;"",INDEX(Parties!$E$5:$E$304,R1976)&lt;&gt;HomeState),ROUND(K1976*L1976,2),0)),"")</f>
        <v/>
      </c>
      <c r="P1976" s="61" t="str">
        <f aca="false">IF(IsPro,IF($D1976="","",K1976+M1976+N1976+O1976),"")</f>
        <v/>
      </c>
      <c r="Q1976" s="60" t="str">
        <f aca="false">IF(IsPro,IF($D1976="","",IFERROR(MATCH($D1976,Items!$A$5:$A$504,0),"")),"")</f>
        <v/>
      </c>
      <c r="R1976" s="60" t="str">
        <f aca="false">IF(IsPro,IF($C1976="","",IFERROR(MATCH($C1976,Parties!$A$5:$A$304,0),"")),"")</f>
        <v/>
      </c>
      <c r="S1976" s="61" t="str">
        <f aca="false">IF(IsPro,IF($D1976="","",IF(OR($H1976="",$H1976="Credit"),0,P1976)),"")</f>
        <v/>
      </c>
    </row>
    <row r="1977" customFormat="false" ht="15" hidden="false" customHeight="false" outlineLevel="0" collapsed="false">
      <c r="A1977" s="55"/>
      <c r="B1977" s="56"/>
      <c r="C1977" s="56"/>
      <c r="D1977" s="56"/>
      <c r="E1977" s="57"/>
      <c r="F1977" s="58"/>
      <c r="G1977" s="59"/>
      <c r="H1977" s="56"/>
      <c r="I1977" s="60" t="str">
        <f aca="false">IF(IsPro,IF($D1977="","",IFERROR(INDEX(Items!$D$5:$D$504,Q1977),"")),IF($D1977="","","PRO PLAN"))</f>
        <v/>
      </c>
      <c r="J1977" s="61" t="str">
        <f aca="false">IF(IsPro,IF($D1977="","",IF($F1977="",IFERROR(INDEX(Items!$G$5:$G$504,Q1977),0),$F1977)),"")</f>
        <v/>
      </c>
      <c r="K1977" s="61" t="str">
        <f aca="false">IF(IsPro,IF($D1977="","",ROUND(N($E1977)*J1977*(1-N($G1977)),2)),"")</f>
        <v/>
      </c>
      <c r="L1977" s="62" t="str">
        <f aca="false">IF(IsPro,IF($D1977="","",IFERROR(INDEX(Items!$F$5:$F$504,Q1977),0)),"")</f>
        <v/>
      </c>
      <c r="M1977" s="61" t="str">
        <f aca="false">IF(IsPro,IF($D1977="","",IF(AND(R1977&lt;&gt;"",INDEX(Parties!$E$5:$E$304,R1977)&lt;&gt;"",INDEX(Parties!$E$5:$E$304,R1977)&lt;&gt;HomeState),0,ROUND(K1977*L1977/2,2))),"")</f>
        <v/>
      </c>
      <c r="N1977" s="61" t="str">
        <f aca="false">IF(IsPro,IF($D1977="","",M1977),"")</f>
        <v/>
      </c>
      <c r="O1977" s="61" t="str">
        <f aca="false">IF(IsPro,IF($D1977="","",IF(AND(R1977&lt;&gt;"",INDEX(Parties!$E$5:$E$304,R1977)&lt;&gt;"",INDEX(Parties!$E$5:$E$304,R1977)&lt;&gt;HomeState),ROUND(K1977*L1977,2),0)),"")</f>
        <v/>
      </c>
      <c r="P1977" s="61" t="str">
        <f aca="false">IF(IsPro,IF($D1977="","",K1977+M1977+N1977+O1977),"")</f>
        <v/>
      </c>
      <c r="Q1977" s="60" t="str">
        <f aca="false">IF(IsPro,IF($D1977="","",IFERROR(MATCH($D1977,Items!$A$5:$A$504,0),"")),"")</f>
        <v/>
      </c>
      <c r="R1977" s="60" t="str">
        <f aca="false">IF(IsPro,IF($C1977="","",IFERROR(MATCH($C1977,Parties!$A$5:$A$304,0),"")),"")</f>
        <v/>
      </c>
      <c r="S1977" s="61" t="str">
        <f aca="false">IF(IsPro,IF($D1977="","",IF(OR($H1977="",$H1977="Credit"),0,P1977)),"")</f>
        <v/>
      </c>
    </row>
    <row r="1978" customFormat="false" ht="15" hidden="false" customHeight="false" outlineLevel="0" collapsed="false">
      <c r="A1978" s="55"/>
      <c r="B1978" s="56"/>
      <c r="C1978" s="56"/>
      <c r="D1978" s="56"/>
      <c r="E1978" s="57"/>
      <c r="F1978" s="58"/>
      <c r="G1978" s="59"/>
      <c r="H1978" s="56"/>
      <c r="I1978" s="60" t="str">
        <f aca="false">IF(IsPro,IF($D1978="","",IFERROR(INDEX(Items!$D$5:$D$504,Q1978),"")),IF($D1978="","","PRO PLAN"))</f>
        <v/>
      </c>
      <c r="J1978" s="61" t="str">
        <f aca="false">IF(IsPro,IF($D1978="","",IF($F1978="",IFERROR(INDEX(Items!$G$5:$G$504,Q1978),0),$F1978)),"")</f>
        <v/>
      </c>
      <c r="K1978" s="61" t="str">
        <f aca="false">IF(IsPro,IF($D1978="","",ROUND(N($E1978)*J1978*(1-N($G1978)),2)),"")</f>
        <v/>
      </c>
      <c r="L1978" s="62" t="str">
        <f aca="false">IF(IsPro,IF($D1978="","",IFERROR(INDEX(Items!$F$5:$F$504,Q1978),0)),"")</f>
        <v/>
      </c>
      <c r="M1978" s="61" t="str">
        <f aca="false">IF(IsPro,IF($D1978="","",IF(AND(R1978&lt;&gt;"",INDEX(Parties!$E$5:$E$304,R1978)&lt;&gt;"",INDEX(Parties!$E$5:$E$304,R1978)&lt;&gt;HomeState),0,ROUND(K1978*L1978/2,2))),"")</f>
        <v/>
      </c>
      <c r="N1978" s="61" t="str">
        <f aca="false">IF(IsPro,IF($D1978="","",M1978),"")</f>
        <v/>
      </c>
      <c r="O1978" s="61" t="str">
        <f aca="false">IF(IsPro,IF($D1978="","",IF(AND(R1978&lt;&gt;"",INDEX(Parties!$E$5:$E$304,R1978)&lt;&gt;"",INDEX(Parties!$E$5:$E$304,R1978)&lt;&gt;HomeState),ROUND(K1978*L1978,2),0)),"")</f>
        <v/>
      </c>
      <c r="P1978" s="61" t="str">
        <f aca="false">IF(IsPro,IF($D1978="","",K1978+M1978+N1978+O1978),"")</f>
        <v/>
      </c>
      <c r="Q1978" s="60" t="str">
        <f aca="false">IF(IsPro,IF($D1978="","",IFERROR(MATCH($D1978,Items!$A$5:$A$504,0),"")),"")</f>
        <v/>
      </c>
      <c r="R1978" s="60" t="str">
        <f aca="false">IF(IsPro,IF($C1978="","",IFERROR(MATCH($C1978,Parties!$A$5:$A$304,0),"")),"")</f>
        <v/>
      </c>
      <c r="S1978" s="61" t="str">
        <f aca="false">IF(IsPro,IF($D1978="","",IF(OR($H1978="",$H1978="Credit"),0,P1978)),"")</f>
        <v/>
      </c>
    </row>
    <row r="1979" customFormat="false" ht="15" hidden="false" customHeight="false" outlineLevel="0" collapsed="false">
      <c r="A1979" s="55"/>
      <c r="B1979" s="56"/>
      <c r="C1979" s="56"/>
      <c r="D1979" s="56"/>
      <c r="E1979" s="57"/>
      <c r="F1979" s="58"/>
      <c r="G1979" s="59"/>
      <c r="H1979" s="56"/>
      <c r="I1979" s="60" t="str">
        <f aca="false">IF(IsPro,IF($D1979="","",IFERROR(INDEX(Items!$D$5:$D$504,Q1979),"")),IF($D1979="","","PRO PLAN"))</f>
        <v/>
      </c>
      <c r="J1979" s="61" t="str">
        <f aca="false">IF(IsPro,IF($D1979="","",IF($F1979="",IFERROR(INDEX(Items!$G$5:$G$504,Q1979),0),$F1979)),"")</f>
        <v/>
      </c>
      <c r="K1979" s="61" t="str">
        <f aca="false">IF(IsPro,IF($D1979="","",ROUND(N($E1979)*J1979*(1-N($G1979)),2)),"")</f>
        <v/>
      </c>
      <c r="L1979" s="62" t="str">
        <f aca="false">IF(IsPro,IF($D1979="","",IFERROR(INDEX(Items!$F$5:$F$504,Q1979),0)),"")</f>
        <v/>
      </c>
      <c r="M1979" s="61" t="str">
        <f aca="false">IF(IsPro,IF($D1979="","",IF(AND(R1979&lt;&gt;"",INDEX(Parties!$E$5:$E$304,R1979)&lt;&gt;"",INDEX(Parties!$E$5:$E$304,R1979)&lt;&gt;HomeState),0,ROUND(K1979*L1979/2,2))),"")</f>
        <v/>
      </c>
      <c r="N1979" s="61" t="str">
        <f aca="false">IF(IsPro,IF($D1979="","",M1979),"")</f>
        <v/>
      </c>
      <c r="O1979" s="61" t="str">
        <f aca="false">IF(IsPro,IF($D1979="","",IF(AND(R1979&lt;&gt;"",INDEX(Parties!$E$5:$E$304,R1979)&lt;&gt;"",INDEX(Parties!$E$5:$E$304,R1979)&lt;&gt;HomeState),ROUND(K1979*L1979,2),0)),"")</f>
        <v/>
      </c>
      <c r="P1979" s="61" t="str">
        <f aca="false">IF(IsPro,IF($D1979="","",K1979+M1979+N1979+O1979),"")</f>
        <v/>
      </c>
      <c r="Q1979" s="60" t="str">
        <f aca="false">IF(IsPro,IF($D1979="","",IFERROR(MATCH($D1979,Items!$A$5:$A$504,0),"")),"")</f>
        <v/>
      </c>
      <c r="R1979" s="60" t="str">
        <f aca="false">IF(IsPro,IF($C1979="","",IFERROR(MATCH($C1979,Parties!$A$5:$A$304,0),"")),"")</f>
        <v/>
      </c>
      <c r="S1979" s="61" t="str">
        <f aca="false">IF(IsPro,IF($D1979="","",IF(OR($H1979="",$H1979="Credit"),0,P1979)),"")</f>
        <v/>
      </c>
    </row>
    <row r="1980" customFormat="false" ht="15" hidden="false" customHeight="false" outlineLevel="0" collapsed="false">
      <c r="A1980" s="55"/>
      <c r="B1980" s="56"/>
      <c r="C1980" s="56"/>
      <c r="D1980" s="56"/>
      <c r="E1980" s="57"/>
      <c r="F1980" s="58"/>
      <c r="G1980" s="59"/>
      <c r="H1980" s="56"/>
      <c r="I1980" s="60" t="str">
        <f aca="false">IF(IsPro,IF($D1980="","",IFERROR(INDEX(Items!$D$5:$D$504,Q1980),"")),IF($D1980="","","PRO PLAN"))</f>
        <v/>
      </c>
      <c r="J1980" s="61" t="str">
        <f aca="false">IF(IsPro,IF($D1980="","",IF($F1980="",IFERROR(INDEX(Items!$G$5:$G$504,Q1980),0),$F1980)),"")</f>
        <v/>
      </c>
      <c r="K1980" s="61" t="str">
        <f aca="false">IF(IsPro,IF($D1980="","",ROUND(N($E1980)*J1980*(1-N($G1980)),2)),"")</f>
        <v/>
      </c>
      <c r="L1980" s="62" t="str">
        <f aca="false">IF(IsPro,IF($D1980="","",IFERROR(INDEX(Items!$F$5:$F$504,Q1980),0)),"")</f>
        <v/>
      </c>
      <c r="M1980" s="61" t="str">
        <f aca="false">IF(IsPro,IF($D1980="","",IF(AND(R1980&lt;&gt;"",INDEX(Parties!$E$5:$E$304,R1980)&lt;&gt;"",INDEX(Parties!$E$5:$E$304,R1980)&lt;&gt;HomeState),0,ROUND(K1980*L1980/2,2))),"")</f>
        <v/>
      </c>
      <c r="N1980" s="61" t="str">
        <f aca="false">IF(IsPro,IF($D1980="","",M1980),"")</f>
        <v/>
      </c>
      <c r="O1980" s="61" t="str">
        <f aca="false">IF(IsPro,IF($D1980="","",IF(AND(R1980&lt;&gt;"",INDEX(Parties!$E$5:$E$304,R1980)&lt;&gt;"",INDEX(Parties!$E$5:$E$304,R1980)&lt;&gt;HomeState),ROUND(K1980*L1980,2),0)),"")</f>
        <v/>
      </c>
      <c r="P1980" s="61" t="str">
        <f aca="false">IF(IsPro,IF($D1980="","",K1980+M1980+N1980+O1980),"")</f>
        <v/>
      </c>
      <c r="Q1980" s="60" t="str">
        <f aca="false">IF(IsPro,IF($D1980="","",IFERROR(MATCH($D1980,Items!$A$5:$A$504,0),"")),"")</f>
        <v/>
      </c>
      <c r="R1980" s="60" t="str">
        <f aca="false">IF(IsPro,IF($C1980="","",IFERROR(MATCH($C1980,Parties!$A$5:$A$304,0),"")),"")</f>
        <v/>
      </c>
      <c r="S1980" s="61" t="str">
        <f aca="false">IF(IsPro,IF($D1980="","",IF(OR($H1980="",$H1980="Credit"),0,P1980)),"")</f>
        <v/>
      </c>
    </row>
    <row r="1981" customFormat="false" ht="15" hidden="false" customHeight="false" outlineLevel="0" collapsed="false">
      <c r="A1981" s="55"/>
      <c r="B1981" s="56"/>
      <c r="C1981" s="56"/>
      <c r="D1981" s="56"/>
      <c r="E1981" s="57"/>
      <c r="F1981" s="58"/>
      <c r="G1981" s="59"/>
      <c r="H1981" s="56"/>
      <c r="I1981" s="60" t="str">
        <f aca="false">IF(IsPro,IF($D1981="","",IFERROR(INDEX(Items!$D$5:$D$504,Q1981),"")),IF($D1981="","","PRO PLAN"))</f>
        <v/>
      </c>
      <c r="J1981" s="61" t="str">
        <f aca="false">IF(IsPro,IF($D1981="","",IF($F1981="",IFERROR(INDEX(Items!$G$5:$G$504,Q1981),0),$F1981)),"")</f>
        <v/>
      </c>
      <c r="K1981" s="61" t="str">
        <f aca="false">IF(IsPro,IF($D1981="","",ROUND(N($E1981)*J1981*(1-N($G1981)),2)),"")</f>
        <v/>
      </c>
      <c r="L1981" s="62" t="str">
        <f aca="false">IF(IsPro,IF($D1981="","",IFERROR(INDEX(Items!$F$5:$F$504,Q1981),0)),"")</f>
        <v/>
      </c>
      <c r="M1981" s="61" t="str">
        <f aca="false">IF(IsPro,IF($D1981="","",IF(AND(R1981&lt;&gt;"",INDEX(Parties!$E$5:$E$304,R1981)&lt;&gt;"",INDEX(Parties!$E$5:$E$304,R1981)&lt;&gt;HomeState),0,ROUND(K1981*L1981/2,2))),"")</f>
        <v/>
      </c>
      <c r="N1981" s="61" t="str">
        <f aca="false">IF(IsPro,IF($D1981="","",M1981),"")</f>
        <v/>
      </c>
      <c r="O1981" s="61" t="str">
        <f aca="false">IF(IsPro,IF($D1981="","",IF(AND(R1981&lt;&gt;"",INDEX(Parties!$E$5:$E$304,R1981)&lt;&gt;"",INDEX(Parties!$E$5:$E$304,R1981)&lt;&gt;HomeState),ROUND(K1981*L1981,2),0)),"")</f>
        <v/>
      </c>
      <c r="P1981" s="61" t="str">
        <f aca="false">IF(IsPro,IF($D1981="","",K1981+M1981+N1981+O1981),"")</f>
        <v/>
      </c>
      <c r="Q1981" s="60" t="str">
        <f aca="false">IF(IsPro,IF($D1981="","",IFERROR(MATCH($D1981,Items!$A$5:$A$504,0),"")),"")</f>
        <v/>
      </c>
      <c r="R1981" s="60" t="str">
        <f aca="false">IF(IsPro,IF($C1981="","",IFERROR(MATCH($C1981,Parties!$A$5:$A$304,0),"")),"")</f>
        <v/>
      </c>
      <c r="S1981" s="61" t="str">
        <f aca="false">IF(IsPro,IF($D1981="","",IF(OR($H1981="",$H1981="Credit"),0,P1981)),"")</f>
        <v/>
      </c>
    </row>
    <row r="1982" customFormat="false" ht="15" hidden="false" customHeight="false" outlineLevel="0" collapsed="false">
      <c r="A1982" s="55"/>
      <c r="B1982" s="56"/>
      <c r="C1982" s="56"/>
      <c r="D1982" s="56"/>
      <c r="E1982" s="57"/>
      <c r="F1982" s="58"/>
      <c r="G1982" s="59"/>
      <c r="H1982" s="56"/>
      <c r="I1982" s="60" t="str">
        <f aca="false">IF(IsPro,IF($D1982="","",IFERROR(INDEX(Items!$D$5:$D$504,Q1982),"")),IF($D1982="","","PRO PLAN"))</f>
        <v/>
      </c>
      <c r="J1982" s="61" t="str">
        <f aca="false">IF(IsPro,IF($D1982="","",IF($F1982="",IFERROR(INDEX(Items!$G$5:$G$504,Q1982),0),$F1982)),"")</f>
        <v/>
      </c>
      <c r="K1982" s="61" t="str">
        <f aca="false">IF(IsPro,IF($D1982="","",ROUND(N($E1982)*J1982*(1-N($G1982)),2)),"")</f>
        <v/>
      </c>
      <c r="L1982" s="62" t="str">
        <f aca="false">IF(IsPro,IF($D1982="","",IFERROR(INDEX(Items!$F$5:$F$504,Q1982),0)),"")</f>
        <v/>
      </c>
      <c r="M1982" s="61" t="str">
        <f aca="false">IF(IsPro,IF($D1982="","",IF(AND(R1982&lt;&gt;"",INDEX(Parties!$E$5:$E$304,R1982)&lt;&gt;"",INDEX(Parties!$E$5:$E$304,R1982)&lt;&gt;HomeState),0,ROUND(K1982*L1982/2,2))),"")</f>
        <v/>
      </c>
      <c r="N1982" s="61" t="str">
        <f aca="false">IF(IsPro,IF($D1982="","",M1982),"")</f>
        <v/>
      </c>
      <c r="O1982" s="61" t="str">
        <f aca="false">IF(IsPro,IF($D1982="","",IF(AND(R1982&lt;&gt;"",INDEX(Parties!$E$5:$E$304,R1982)&lt;&gt;"",INDEX(Parties!$E$5:$E$304,R1982)&lt;&gt;HomeState),ROUND(K1982*L1982,2),0)),"")</f>
        <v/>
      </c>
      <c r="P1982" s="61" t="str">
        <f aca="false">IF(IsPro,IF($D1982="","",K1982+M1982+N1982+O1982),"")</f>
        <v/>
      </c>
      <c r="Q1982" s="60" t="str">
        <f aca="false">IF(IsPro,IF($D1982="","",IFERROR(MATCH($D1982,Items!$A$5:$A$504,0),"")),"")</f>
        <v/>
      </c>
      <c r="R1982" s="60" t="str">
        <f aca="false">IF(IsPro,IF($C1982="","",IFERROR(MATCH($C1982,Parties!$A$5:$A$304,0),"")),"")</f>
        <v/>
      </c>
      <c r="S1982" s="61" t="str">
        <f aca="false">IF(IsPro,IF($D1982="","",IF(OR($H1982="",$H1982="Credit"),0,P1982)),"")</f>
        <v/>
      </c>
    </row>
    <row r="1983" customFormat="false" ht="15" hidden="false" customHeight="false" outlineLevel="0" collapsed="false">
      <c r="A1983" s="55"/>
      <c r="B1983" s="56"/>
      <c r="C1983" s="56"/>
      <c r="D1983" s="56"/>
      <c r="E1983" s="57"/>
      <c r="F1983" s="58"/>
      <c r="G1983" s="59"/>
      <c r="H1983" s="56"/>
      <c r="I1983" s="60" t="str">
        <f aca="false">IF(IsPro,IF($D1983="","",IFERROR(INDEX(Items!$D$5:$D$504,Q1983),"")),IF($D1983="","","PRO PLAN"))</f>
        <v/>
      </c>
      <c r="J1983" s="61" t="str">
        <f aca="false">IF(IsPro,IF($D1983="","",IF($F1983="",IFERROR(INDEX(Items!$G$5:$G$504,Q1983),0),$F1983)),"")</f>
        <v/>
      </c>
      <c r="K1983" s="61" t="str">
        <f aca="false">IF(IsPro,IF($D1983="","",ROUND(N($E1983)*J1983*(1-N($G1983)),2)),"")</f>
        <v/>
      </c>
      <c r="L1983" s="62" t="str">
        <f aca="false">IF(IsPro,IF($D1983="","",IFERROR(INDEX(Items!$F$5:$F$504,Q1983),0)),"")</f>
        <v/>
      </c>
      <c r="M1983" s="61" t="str">
        <f aca="false">IF(IsPro,IF($D1983="","",IF(AND(R1983&lt;&gt;"",INDEX(Parties!$E$5:$E$304,R1983)&lt;&gt;"",INDEX(Parties!$E$5:$E$304,R1983)&lt;&gt;HomeState),0,ROUND(K1983*L1983/2,2))),"")</f>
        <v/>
      </c>
      <c r="N1983" s="61" t="str">
        <f aca="false">IF(IsPro,IF($D1983="","",M1983),"")</f>
        <v/>
      </c>
      <c r="O1983" s="61" t="str">
        <f aca="false">IF(IsPro,IF($D1983="","",IF(AND(R1983&lt;&gt;"",INDEX(Parties!$E$5:$E$304,R1983)&lt;&gt;"",INDEX(Parties!$E$5:$E$304,R1983)&lt;&gt;HomeState),ROUND(K1983*L1983,2),0)),"")</f>
        <v/>
      </c>
      <c r="P1983" s="61" t="str">
        <f aca="false">IF(IsPro,IF($D1983="","",K1983+M1983+N1983+O1983),"")</f>
        <v/>
      </c>
      <c r="Q1983" s="60" t="str">
        <f aca="false">IF(IsPro,IF($D1983="","",IFERROR(MATCH($D1983,Items!$A$5:$A$504,0),"")),"")</f>
        <v/>
      </c>
      <c r="R1983" s="60" t="str">
        <f aca="false">IF(IsPro,IF($C1983="","",IFERROR(MATCH($C1983,Parties!$A$5:$A$304,0),"")),"")</f>
        <v/>
      </c>
      <c r="S1983" s="61" t="str">
        <f aca="false">IF(IsPro,IF($D1983="","",IF(OR($H1983="",$H1983="Credit"),0,P1983)),"")</f>
        <v/>
      </c>
    </row>
    <row r="1984" customFormat="false" ht="15" hidden="false" customHeight="false" outlineLevel="0" collapsed="false">
      <c r="A1984" s="55"/>
      <c r="B1984" s="56"/>
      <c r="C1984" s="56"/>
      <c r="D1984" s="56"/>
      <c r="E1984" s="57"/>
      <c r="F1984" s="58"/>
      <c r="G1984" s="59"/>
      <c r="H1984" s="56"/>
      <c r="I1984" s="60" t="str">
        <f aca="false">IF(IsPro,IF($D1984="","",IFERROR(INDEX(Items!$D$5:$D$504,Q1984),"")),IF($D1984="","","PRO PLAN"))</f>
        <v/>
      </c>
      <c r="J1984" s="61" t="str">
        <f aca="false">IF(IsPro,IF($D1984="","",IF($F1984="",IFERROR(INDEX(Items!$G$5:$G$504,Q1984),0),$F1984)),"")</f>
        <v/>
      </c>
      <c r="K1984" s="61" t="str">
        <f aca="false">IF(IsPro,IF($D1984="","",ROUND(N($E1984)*J1984*(1-N($G1984)),2)),"")</f>
        <v/>
      </c>
      <c r="L1984" s="62" t="str">
        <f aca="false">IF(IsPro,IF($D1984="","",IFERROR(INDEX(Items!$F$5:$F$504,Q1984),0)),"")</f>
        <v/>
      </c>
      <c r="M1984" s="61" t="str">
        <f aca="false">IF(IsPro,IF($D1984="","",IF(AND(R1984&lt;&gt;"",INDEX(Parties!$E$5:$E$304,R1984)&lt;&gt;"",INDEX(Parties!$E$5:$E$304,R1984)&lt;&gt;HomeState),0,ROUND(K1984*L1984/2,2))),"")</f>
        <v/>
      </c>
      <c r="N1984" s="61" t="str">
        <f aca="false">IF(IsPro,IF($D1984="","",M1984),"")</f>
        <v/>
      </c>
      <c r="O1984" s="61" t="str">
        <f aca="false">IF(IsPro,IF($D1984="","",IF(AND(R1984&lt;&gt;"",INDEX(Parties!$E$5:$E$304,R1984)&lt;&gt;"",INDEX(Parties!$E$5:$E$304,R1984)&lt;&gt;HomeState),ROUND(K1984*L1984,2),0)),"")</f>
        <v/>
      </c>
      <c r="P1984" s="61" t="str">
        <f aca="false">IF(IsPro,IF($D1984="","",K1984+M1984+N1984+O1984),"")</f>
        <v/>
      </c>
      <c r="Q1984" s="60" t="str">
        <f aca="false">IF(IsPro,IF($D1984="","",IFERROR(MATCH($D1984,Items!$A$5:$A$504,0),"")),"")</f>
        <v/>
      </c>
      <c r="R1984" s="60" t="str">
        <f aca="false">IF(IsPro,IF($C1984="","",IFERROR(MATCH($C1984,Parties!$A$5:$A$304,0),"")),"")</f>
        <v/>
      </c>
      <c r="S1984" s="61" t="str">
        <f aca="false">IF(IsPro,IF($D1984="","",IF(OR($H1984="",$H1984="Credit"),0,P1984)),"")</f>
        <v/>
      </c>
    </row>
    <row r="1985" customFormat="false" ht="15" hidden="false" customHeight="false" outlineLevel="0" collapsed="false">
      <c r="A1985" s="55"/>
      <c r="B1985" s="56"/>
      <c r="C1985" s="56"/>
      <c r="D1985" s="56"/>
      <c r="E1985" s="57"/>
      <c r="F1985" s="58"/>
      <c r="G1985" s="59"/>
      <c r="H1985" s="56"/>
      <c r="I1985" s="60" t="str">
        <f aca="false">IF(IsPro,IF($D1985="","",IFERROR(INDEX(Items!$D$5:$D$504,Q1985),"")),IF($D1985="","","PRO PLAN"))</f>
        <v/>
      </c>
      <c r="J1985" s="61" t="str">
        <f aca="false">IF(IsPro,IF($D1985="","",IF($F1985="",IFERROR(INDEX(Items!$G$5:$G$504,Q1985),0),$F1985)),"")</f>
        <v/>
      </c>
      <c r="K1985" s="61" t="str">
        <f aca="false">IF(IsPro,IF($D1985="","",ROUND(N($E1985)*J1985*(1-N($G1985)),2)),"")</f>
        <v/>
      </c>
      <c r="L1985" s="62" t="str">
        <f aca="false">IF(IsPro,IF($D1985="","",IFERROR(INDEX(Items!$F$5:$F$504,Q1985),0)),"")</f>
        <v/>
      </c>
      <c r="M1985" s="61" t="str">
        <f aca="false">IF(IsPro,IF($D1985="","",IF(AND(R1985&lt;&gt;"",INDEX(Parties!$E$5:$E$304,R1985)&lt;&gt;"",INDEX(Parties!$E$5:$E$304,R1985)&lt;&gt;HomeState),0,ROUND(K1985*L1985/2,2))),"")</f>
        <v/>
      </c>
      <c r="N1985" s="61" t="str">
        <f aca="false">IF(IsPro,IF($D1985="","",M1985),"")</f>
        <v/>
      </c>
      <c r="O1985" s="61" t="str">
        <f aca="false">IF(IsPro,IF($D1985="","",IF(AND(R1985&lt;&gt;"",INDEX(Parties!$E$5:$E$304,R1985)&lt;&gt;"",INDEX(Parties!$E$5:$E$304,R1985)&lt;&gt;HomeState),ROUND(K1985*L1985,2),0)),"")</f>
        <v/>
      </c>
      <c r="P1985" s="61" t="str">
        <f aca="false">IF(IsPro,IF($D1985="","",K1985+M1985+N1985+O1985),"")</f>
        <v/>
      </c>
      <c r="Q1985" s="60" t="str">
        <f aca="false">IF(IsPro,IF($D1985="","",IFERROR(MATCH($D1985,Items!$A$5:$A$504,0),"")),"")</f>
        <v/>
      </c>
      <c r="R1985" s="60" t="str">
        <f aca="false">IF(IsPro,IF($C1985="","",IFERROR(MATCH($C1985,Parties!$A$5:$A$304,0),"")),"")</f>
        <v/>
      </c>
      <c r="S1985" s="61" t="str">
        <f aca="false">IF(IsPro,IF($D1985="","",IF(OR($H1985="",$H1985="Credit"),0,P1985)),"")</f>
        <v/>
      </c>
    </row>
    <row r="1986" customFormat="false" ht="15" hidden="false" customHeight="false" outlineLevel="0" collapsed="false">
      <c r="A1986" s="55"/>
      <c r="B1986" s="56"/>
      <c r="C1986" s="56"/>
      <c r="D1986" s="56"/>
      <c r="E1986" s="57"/>
      <c r="F1986" s="58"/>
      <c r="G1986" s="59"/>
      <c r="H1986" s="56"/>
      <c r="I1986" s="60" t="str">
        <f aca="false">IF(IsPro,IF($D1986="","",IFERROR(INDEX(Items!$D$5:$D$504,Q1986),"")),IF($D1986="","","PRO PLAN"))</f>
        <v/>
      </c>
      <c r="J1986" s="61" t="str">
        <f aca="false">IF(IsPro,IF($D1986="","",IF($F1986="",IFERROR(INDEX(Items!$G$5:$G$504,Q1986),0),$F1986)),"")</f>
        <v/>
      </c>
      <c r="K1986" s="61" t="str">
        <f aca="false">IF(IsPro,IF($D1986="","",ROUND(N($E1986)*J1986*(1-N($G1986)),2)),"")</f>
        <v/>
      </c>
      <c r="L1986" s="62" t="str">
        <f aca="false">IF(IsPro,IF($D1986="","",IFERROR(INDEX(Items!$F$5:$F$504,Q1986),0)),"")</f>
        <v/>
      </c>
      <c r="M1986" s="61" t="str">
        <f aca="false">IF(IsPro,IF($D1986="","",IF(AND(R1986&lt;&gt;"",INDEX(Parties!$E$5:$E$304,R1986)&lt;&gt;"",INDEX(Parties!$E$5:$E$304,R1986)&lt;&gt;HomeState),0,ROUND(K1986*L1986/2,2))),"")</f>
        <v/>
      </c>
      <c r="N1986" s="61" t="str">
        <f aca="false">IF(IsPro,IF($D1986="","",M1986),"")</f>
        <v/>
      </c>
      <c r="O1986" s="61" t="str">
        <f aca="false">IF(IsPro,IF($D1986="","",IF(AND(R1986&lt;&gt;"",INDEX(Parties!$E$5:$E$304,R1986)&lt;&gt;"",INDEX(Parties!$E$5:$E$304,R1986)&lt;&gt;HomeState),ROUND(K1986*L1986,2),0)),"")</f>
        <v/>
      </c>
      <c r="P1986" s="61" t="str">
        <f aca="false">IF(IsPro,IF($D1986="","",K1986+M1986+N1986+O1986),"")</f>
        <v/>
      </c>
      <c r="Q1986" s="60" t="str">
        <f aca="false">IF(IsPro,IF($D1986="","",IFERROR(MATCH($D1986,Items!$A$5:$A$504,0),"")),"")</f>
        <v/>
      </c>
      <c r="R1986" s="60" t="str">
        <f aca="false">IF(IsPro,IF($C1986="","",IFERROR(MATCH($C1986,Parties!$A$5:$A$304,0),"")),"")</f>
        <v/>
      </c>
      <c r="S1986" s="61" t="str">
        <f aca="false">IF(IsPro,IF($D1986="","",IF(OR($H1986="",$H1986="Credit"),0,P1986)),"")</f>
        <v/>
      </c>
    </row>
    <row r="1987" customFormat="false" ht="15" hidden="false" customHeight="false" outlineLevel="0" collapsed="false">
      <c r="A1987" s="55"/>
      <c r="B1987" s="56"/>
      <c r="C1987" s="56"/>
      <c r="D1987" s="56"/>
      <c r="E1987" s="57"/>
      <c r="F1987" s="58"/>
      <c r="G1987" s="59"/>
      <c r="H1987" s="56"/>
      <c r="I1987" s="60" t="str">
        <f aca="false">IF(IsPro,IF($D1987="","",IFERROR(INDEX(Items!$D$5:$D$504,Q1987),"")),IF($D1987="","","PRO PLAN"))</f>
        <v/>
      </c>
      <c r="J1987" s="61" t="str">
        <f aca="false">IF(IsPro,IF($D1987="","",IF($F1987="",IFERROR(INDEX(Items!$G$5:$G$504,Q1987),0),$F1987)),"")</f>
        <v/>
      </c>
      <c r="K1987" s="61" t="str">
        <f aca="false">IF(IsPro,IF($D1987="","",ROUND(N($E1987)*J1987*(1-N($G1987)),2)),"")</f>
        <v/>
      </c>
      <c r="L1987" s="62" t="str">
        <f aca="false">IF(IsPro,IF($D1987="","",IFERROR(INDEX(Items!$F$5:$F$504,Q1987),0)),"")</f>
        <v/>
      </c>
      <c r="M1987" s="61" t="str">
        <f aca="false">IF(IsPro,IF($D1987="","",IF(AND(R1987&lt;&gt;"",INDEX(Parties!$E$5:$E$304,R1987)&lt;&gt;"",INDEX(Parties!$E$5:$E$304,R1987)&lt;&gt;HomeState),0,ROUND(K1987*L1987/2,2))),"")</f>
        <v/>
      </c>
      <c r="N1987" s="61" t="str">
        <f aca="false">IF(IsPro,IF($D1987="","",M1987),"")</f>
        <v/>
      </c>
      <c r="O1987" s="61" t="str">
        <f aca="false">IF(IsPro,IF($D1987="","",IF(AND(R1987&lt;&gt;"",INDEX(Parties!$E$5:$E$304,R1987)&lt;&gt;"",INDEX(Parties!$E$5:$E$304,R1987)&lt;&gt;HomeState),ROUND(K1987*L1987,2),0)),"")</f>
        <v/>
      </c>
      <c r="P1987" s="61" t="str">
        <f aca="false">IF(IsPro,IF($D1987="","",K1987+M1987+N1987+O1987),"")</f>
        <v/>
      </c>
      <c r="Q1987" s="60" t="str">
        <f aca="false">IF(IsPro,IF($D1987="","",IFERROR(MATCH($D1987,Items!$A$5:$A$504,0),"")),"")</f>
        <v/>
      </c>
      <c r="R1987" s="60" t="str">
        <f aca="false">IF(IsPro,IF($C1987="","",IFERROR(MATCH($C1987,Parties!$A$5:$A$304,0),"")),"")</f>
        <v/>
      </c>
      <c r="S1987" s="61" t="str">
        <f aca="false">IF(IsPro,IF($D1987="","",IF(OR($H1987="",$H1987="Credit"),0,P1987)),"")</f>
        <v/>
      </c>
    </row>
    <row r="1988" customFormat="false" ht="15" hidden="false" customHeight="false" outlineLevel="0" collapsed="false">
      <c r="A1988" s="55"/>
      <c r="B1988" s="56"/>
      <c r="C1988" s="56"/>
      <c r="D1988" s="56"/>
      <c r="E1988" s="57"/>
      <c r="F1988" s="58"/>
      <c r="G1988" s="59"/>
      <c r="H1988" s="56"/>
      <c r="I1988" s="60" t="str">
        <f aca="false">IF(IsPro,IF($D1988="","",IFERROR(INDEX(Items!$D$5:$D$504,Q1988),"")),IF($D1988="","","PRO PLAN"))</f>
        <v/>
      </c>
      <c r="J1988" s="61" t="str">
        <f aca="false">IF(IsPro,IF($D1988="","",IF($F1988="",IFERROR(INDEX(Items!$G$5:$G$504,Q1988),0),$F1988)),"")</f>
        <v/>
      </c>
      <c r="K1988" s="61" t="str">
        <f aca="false">IF(IsPro,IF($D1988="","",ROUND(N($E1988)*J1988*(1-N($G1988)),2)),"")</f>
        <v/>
      </c>
      <c r="L1988" s="62" t="str">
        <f aca="false">IF(IsPro,IF($D1988="","",IFERROR(INDEX(Items!$F$5:$F$504,Q1988),0)),"")</f>
        <v/>
      </c>
      <c r="M1988" s="61" t="str">
        <f aca="false">IF(IsPro,IF($D1988="","",IF(AND(R1988&lt;&gt;"",INDEX(Parties!$E$5:$E$304,R1988)&lt;&gt;"",INDEX(Parties!$E$5:$E$304,R1988)&lt;&gt;HomeState),0,ROUND(K1988*L1988/2,2))),"")</f>
        <v/>
      </c>
      <c r="N1988" s="61" t="str">
        <f aca="false">IF(IsPro,IF($D1988="","",M1988),"")</f>
        <v/>
      </c>
      <c r="O1988" s="61" t="str">
        <f aca="false">IF(IsPro,IF($D1988="","",IF(AND(R1988&lt;&gt;"",INDEX(Parties!$E$5:$E$304,R1988)&lt;&gt;"",INDEX(Parties!$E$5:$E$304,R1988)&lt;&gt;HomeState),ROUND(K1988*L1988,2),0)),"")</f>
        <v/>
      </c>
      <c r="P1988" s="61" t="str">
        <f aca="false">IF(IsPro,IF($D1988="","",K1988+M1988+N1988+O1988),"")</f>
        <v/>
      </c>
      <c r="Q1988" s="60" t="str">
        <f aca="false">IF(IsPro,IF($D1988="","",IFERROR(MATCH($D1988,Items!$A$5:$A$504,0),"")),"")</f>
        <v/>
      </c>
      <c r="R1988" s="60" t="str">
        <f aca="false">IF(IsPro,IF($C1988="","",IFERROR(MATCH($C1988,Parties!$A$5:$A$304,0),"")),"")</f>
        <v/>
      </c>
      <c r="S1988" s="61" t="str">
        <f aca="false">IF(IsPro,IF($D1988="","",IF(OR($H1988="",$H1988="Credit"),0,P1988)),"")</f>
        <v/>
      </c>
    </row>
    <row r="1989" customFormat="false" ht="15" hidden="false" customHeight="false" outlineLevel="0" collapsed="false">
      <c r="A1989" s="55"/>
      <c r="B1989" s="56"/>
      <c r="C1989" s="56"/>
      <c r="D1989" s="56"/>
      <c r="E1989" s="57"/>
      <c r="F1989" s="58"/>
      <c r="G1989" s="59"/>
      <c r="H1989" s="56"/>
      <c r="I1989" s="60" t="str">
        <f aca="false">IF(IsPro,IF($D1989="","",IFERROR(INDEX(Items!$D$5:$D$504,Q1989),"")),IF($D1989="","","PRO PLAN"))</f>
        <v/>
      </c>
      <c r="J1989" s="61" t="str">
        <f aca="false">IF(IsPro,IF($D1989="","",IF($F1989="",IFERROR(INDEX(Items!$G$5:$G$504,Q1989),0),$F1989)),"")</f>
        <v/>
      </c>
      <c r="K1989" s="61" t="str">
        <f aca="false">IF(IsPro,IF($D1989="","",ROUND(N($E1989)*J1989*(1-N($G1989)),2)),"")</f>
        <v/>
      </c>
      <c r="L1989" s="62" t="str">
        <f aca="false">IF(IsPro,IF($D1989="","",IFERROR(INDEX(Items!$F$5:$F$504,Q1989),0)),"")</f>
        <v/>
      </c>
      <c r="M1989" s="61" t="str">
        <f aca="false">IF(IsPro,IF($D1989="","",IF(AND(R1989&lt;&gt;"",INDEX(Parties!$E$5:$E$304,R1989)&lt;&gt;"",INDEX(Parties!$E$5:$E$304,R1989)&lt;&gt;HomeState),0,ROUND(K1989*L1989/2,2))),"")</f>
        <v/>
      </c>
      <c r="N1989" s="61" t="str">
        <f aca="false">IF(IsPro,IF($D1989="","",M1989),"")</f>
        <v/>
      </c>
      <c r="O1989" s="61" t="str">
        <f aca="false">IF(IsPro,IF($D1989="","",IF(AND(R1989&lt;&gt;"",INDEX(Parties!$E$5:$E$304,R1989)&lt;&gt;"",INDEX(Parties!$E$5:$E$304,R1989)&lt;&gt;HomeState),ROUND(K1989*L1989,2),0)),"")</f>
        <v/>
      </c>
      <c r="P1989" s="61" t="str">
        <f aca="false">IF(IsPro,IF($D1989="","",K1989+M1989+N1989+O1989),"")</f>
        <v/>
      </c>
      <c r="Q1989" s="60" t="str">
        <f aca="false">IF(IsPro,IF($D1989="","",IFERROR(MATCH($D1989,Items!$A$5:$A$504,0),"")),"")</f>
        <v/>
      </c>
      <c r="R1989" s="60" t="str">
        <f aca="false">IF(IsPro,IF($C1989="","",IFERROR(MATCH($C1989,Parties!$A$5:$A$304,0),"")),"")</f>
        <v/>
      </c>
      <c r="S1989" s="61" t="str">
        <f aca="false">IF(IsPro,IF($D1989="","",IF(OR($H1989="",$H1989="Credit"),0,P1989)),"")</f>
        <v/>
      </c>
    </row>
    <row r="1990" customFormat="false" ht="15" hidden="false" customHeight="false" outlineLevel="0" collapsed="false">
      <c r="A1990" s="55"/>
      <c r="B1990" s="56"/>
      <c r="C1990" s="56"/>
      <c r="D1990" s="56"/>
      <c r="E1990" s="57"/>
      <c r="F1990" s="58"/>
      <c r="G1990" s="59"/>
      <c r="H1990" s="56"/>
      <c r="I1990" s="60" t="str">
        <f aca="false">IF(IsPro,IF($D1990="","",IFERROR(INDEX(Items!$D$5:$D$504,Q1990),"")),IF($D1990="","","PRO PLAN"))</f>
        <v/>
      </c>
      <c r="J1990" s="61" t="str">
        <f aca="false">IF(IsPro,IF($D1990="","",IF($F1990="",IFERROR(INDEX(Items!$G$5:$G$504,Q1990),0),$F1990)),"")</f>
        <v/>
      </c>
      <c r="K1990" s="61" t="str">
        <f aca="false">IF(IsPro,IF($D1990="","",ROUND(N($E1990)*J1990*(1-N($G1990)),2)),"")</f>
        <v/>
      </c>
      <c r="L1990" s="62" t="str">
        <f aca="false">IF(IsPro,IF($D1990="","",IFERROR(INDEX(Items!$F$5:$F$504,Q1990),0)),"")</f>
        <v/>
      </c>
      <c r="M1990" s="61" t="str">
        <f aca="false">IF(IsPro,IF($D1990="","",IF(AND(R1990&lt;&gt;"",INDEX(Parties!$E$5:$E$304,R1990)&lt;&gt;"",INDEX(Parties!$E$5:$E$304,R1990)&lt;&gt;HomeState),0,ROUND(K1990*L1990/2,2))),"")</f>
        <v/>
      </c>
      <c r="N1990" s="61" t="str">
        <f aca="false">IF(IsPro,IF($D1990="","",M1990),"")</f>
        <v/>
      </c>
      <c r="O1990" s="61" t="str">
        <f aca="false">IF(IsPro,IF($D1990="","",IF(AND(R1990&lt;&gt;"",INDEX(Parties!$E$5:$E$304,R1990)&lt;&gt;"",INDEX(Parties!$E$5:$E$304,R1990)&lt;&gt;HomeState),ROUND(K1990*L1990,2),0)),"")</f>
        <v/>
      </c>
      <c r="P1990" s="61" t="str">
        <f aca="false">IF(IsPro,IF($D1990="","",K1990+M1990+N1990+O1990),"")</f>
        <v/>
      </c>
      <c r="Q1990" s="60" t="str">
        <f aca="false">IF(IsPro,IF($D1990="","",IFERROR(MATCH($D1990,Items!$A$5:$A$504,0),"")),"")</f>
        <v/>
      </c>
      <c r="R1990" s="60" t="str">
        <f aca="false">IF(IsPro,IF($C1990="","",IFERROR(MATCH($C1990,Parties!$A$5:$A$304,0),"")),"")</f>
        <v/>
      </c>
      <c r="S1990" s="61" t="str">
        <f aca="false">IF(IsPro,IF($D1990="","",IF(OR($H1990="",$H1990="Credit"),0,P1990)),"")</f>
        <v/>
      </c>
    </row>
    <row r="1991" customFormat="false" ht="15" hidden="false" customHeight="false" outlineLevel="0" collapsed="false">
      <c r="A1991" s="55"/>
      <c r="B1991" s="56"/>
      <c r="C1991" s="56"/>
      <c r="D1991" s="56"/>
      <c r="E1991" s="57"/>
      <c r="F1991" s="58"/>
      <c r="G1991" s="59"/>
      <c r="H1991" s="56"/>
      <c r="I1991" s="60" t="str">
        <f aca="false">IF(IsPro,IF($D1991="","",IFERROR(INDEX(Items!$D$5:$D$504,Q1991),"")),IF($D1991="","","PRO PLAN"))</f>
        <v/>
      </c>
      <c r="J1991" s="61" t="str">
        <f aca="false">IF(IsPro,IF($D1991="","",IF($F1991="",IFERROR(INDEX(Items!$G$5:$G$504,Q1991),0),$F1991)),"")</f>
        <v/>
      </c>
      <c r="K1991" s="61" t="str">
        <f aca="false">IF(IsPro,IF($D1991="","",ROUND(N($E1991)*J1991*(1-N($G1991)),2)),"")</f>
        <v/>
      </c>
      <c r="L1991" s="62" t="str">
        <f aca="false">IF(IsPro,IF($D1991="","",IFERROR(INDEX(Items!$F$5:$F$504,Q1991),0)),"")</f>
        <v/>
      </c>
      <c r="M1991" s="61" t="str">
        <f aca="false">IF(IsPro,IF($D1991="","",IF(AND(R1991&lt;&gt;"",INDEX(Parties!$E$5:$E$304,R1991)&lt;&gt;"",INDEX(Parties!$E$5:$E$304,R1991)&lt;&gt;HomeState),0,ROUND(K1991*L1991/2,2))),"")</f>
        <v/>
      </c>
      <c r="N1991" s="61" t="str">
        <f aca="false">IF(IsPro,IF($D1991="","",M1991),"")</f>
        <v/>
      </c>
      <c r="O1991" s="61" t="str">
        <f aca="false">IF(IsPro,IF($D1991="","",IF(AND(R1991&lt;&gt;"",INDEX(Parties!$E$5:$E$304,R1991)&lt;&gt;"",INDEX(Parties!$E$5:$E$304,R1991)&lt;&gt;HomeState),ROUND(K1991*L1991,2),0)),"")</f>
        <v/>
      </c>
      <c r="P1991" s="61" t="str">
        <f aca="false">IF(IsPro,IF($D1991="","",K1991+M1991+N1991+O1991),"")</f>
        <v/>
      </c>
      <c r="Q1991" s="60" t="str">
        <f aca="false">IF(IsPro,IF($D1991="","",IFERROR(MATCH($D1991,Items!$A$5:$A$504,0),"")),"")</f>
        <v/>
      </c>
      <c r="R1991" s="60" t="str">
        <f aca="false">IF(IsPro,IF($C1991="","",IFERROR(MATCH($C1991,Parties!$A$5:$A$304,0),"")),"")</f>
        <v/>
      </c>
      <c r="S1991" s="61" t="str">
        <f aca="false">IF(IsPro,IF($D1991="","",IF(OR($H1991="",$H1991="Credit"),0,P1991)),"")</f>
        <v/>
      </c>
    </row>
    <row r="1992" customFormat="false" ht="15" hidden="false" customHeight="false" outlineLevel="0" collapsed="false">
      <c r="A1992" s="55"/>
      <c r="B1992" s="56"/>
      <c r="C1992" s="56"/>
      <c r="D1992" s="56"/>
      <c r="E1992" s="57"/>
      <c r="F1992" s="58"/>
      <c r="G1992" s="59"/>
      <c r="H1992" s="56"/>
      <c r="I1992" s="60" t="str">
        <f aca="false">IF(IsPro,IF($D1992="","",IFERROR(INDEX(Items!$D$5:$D$504,Q1992),"")),IF($D1992="","","PRO PLAN"))</f>
        <v/>
      </c>
      <c r="J1992" s="61" t="str">
        <f aca="false">IF(IsPro,IF($D1992="","",IF($F1992="",IFERROR(INDEX(Items!$G$5:$G$504,Q1992),0),$F1992)),"")</f>
        <v/>
      </c>
      <c r="K1992" s="61" t="str">
        <f aca="false">IF(IsPro,IF($D1992="","",ROUND(N($E1992)*J1992*(1-N($G1992)),2)),"")</f>
        <v/>
      </c>
      <c r="L1992" s="62" t="str">
        <f aca="false">IF(IsPro,IF($D1992="","",IFERROR(INDEX(Items!$F$5:$F$504,Q1992),0)),"")</f>
        <v/>
      </c>
      <c r="M1992" s="61" t="str">
        <f aca="false">IF(IsPro,IF($D1992="","",IF(AND(R1992&lt;&gt;"",INDEX(Parties!$E$5:$E$304,R1992)&lt;&gt;"",INDEX(Parties!$E$5:$E$304,R1992)&lt;&gt;HomeState),0,ROUND(K1992*L1992/2,2))),"")</f>
        <v/>
      </c>
      <c r="N1992" s="61" t="str">
        <f aca="false">IF(IsPro,IF($D1992="","",M1992),"")</f>
        <v/>
      </c>
      <c r="O1992" s="61" t="str">
        <f aca="false">IF(IsPro,IF($D1992="","",IF(AND(R1992&lt;&gt;"",INDEX(Parties!$E$5:$E$304,R1992)&lt;&gt;"",INDEX(Parties!$E$5:$E$304,R1992)&lt;&gt;HomeState),ROUND(K1992*L1992,2),0)),"")</f>
        <v/>
      </c>
      <c r="P1992" s="61" t="str">
        <f aca="false">IF(IsPro,IF($D1992="","",K1992+M1992+N1992+O1992),"")</f>
        <v/>
      </c>
      <c r="Q1992" s="60" t="str">
        <f aca="false">IF(IsPro,IF($D1992="","",IFERROR(MATCH($D1992,Items!$A$5:$A$504,0),"")),"")</f>
        <v/>
      </c>
      <c r="R1992" s="60" t="str">
        <f aca="false">IF(IsPro,IF($C1992="","",IFERROR(MATCH($C1992,Parties!$A$5:$A$304,0),"")),"")</f>
        <v/>
      </c>
      <c r="S1992" s="61" t="str">
        <f aca="false">IF(IsPro,IF($D1992="","",IF(OR($H1992="",$H1992="Credit"),0,P1992)),"")</f>
        <v/>
      </c>
    </row>
    <row r="1993" customFormat="false" ht="15" hidden="false" customHeight="false" outlineLevel="0" collapsed="false">
      <c r="A1993" s="55"/>
      <c r="B1993" s="56"/>
      <c r="C1993" s="56"/>
      <c r="D1993" s="56"/>
      <c r="E1993" s="57"/>
      <c r="F1993" s="58"/>
      <c r="G1993" s="59"/>
      <c r="H1993" s="56"/>
      <c r="I1993" s="60" t="str">
        <f aca="false">IF(IsPro,IF($D1993="","",IFERROR(INDEX(Items!$D$5:$D$504,Q1993),"")),IF($D1993="","","PRO PLAN"))</f>
        <v/>
      </c>
      <c r="J1993" s="61" t="str">
        <f aca="false">IF(IsPro,IF($D1993="","",IF($F1993="",IFERROR(INDEX(Items!$G$5:$G$504,Q1993),0),$F1993)),"")</f>
        <v/>
      </c>
      <c r="K1993" s="61" t="str">
        <f aca="false">IF(IsPro,IF($D1993="","",ROUND(N($E1993)*J1993*(1-N($G1993)),2)),"")</f>
        <v/>
      </c>
      <c r="L1993" s="62" t="str">
        <f aca="false">IF(IsPro,IF($D1993="","",IFERROR(INDEX(Items!$F$5:$F$504,Q1993),0)),"")</f>
        <v/>
      </c>
      <c r="M1993" s="61" t="str">
        <f aca="false">IF(IsPro,IF($D1993="","",IF(AND(R1993&lt;&gt;"",INDEX(Parties!$E$5:$E$304,R1993)&lt;&gt;"",INDEX(Parties!$E$5:$E$304,R1993)&lt;&gt;HomeState),0,ROUND(K1993*L1993/2,2))),"")</f>
        <v/>
      </c>
      <c r="N1993" s="61" t="str">
        <f aca="false">IF(IsPro,IF($D1993="","",M1993),"")</f>
        <v/>
      </c>
      <c r="O1993" s="61" t="str">
        <f aca="false">IF(IsPro,IF($D1993="","",IF(AND(R1993&lt;&gt;"",INDEX(Parties!$E$5:$E$304,R1993)&lt;&gt;"",INDEX(Parties!$E$5:$E$304,R1993)&lt;&gt;HomeState),ROUND(K1993*L1993,2),0)),"")</f>
        <v/>
      </c>
      <c r="P1993" s="61" t="str">
        <f aca="false">IF(IsPro,IF($D1993="","",K1993+M1993+N1993+O1993),"")</f>
        <v/>
      </c>
      <c r="Q1993" s="60" t="str">
        <f aca="false">IF(IsPro,IF($D1993="","",IFERROR(MATCH($D1993,Items!$A$5:$A$504,0),"")),"")</f>
        <v/>
      </c>
      <c r="R1993" s="60" t="str">
        <f aca="false">IF(IsPro,IF($C1993="","",IFERROR(MATCH($C1993,Parties!$A$5:$A$304,0),"")),"")</f>
        <v/>
      </c>
      <c r="S1993" s="61" t="str">
        <f aca="false">IF(IsPro,IF($D1993="","",IF(OR($H1993="",$H1993="Credit"),0,P1993)),"")</f>
        <v/>
      </c>
    </row>
    <row r="1994" customFormat="false" ht="15" hidden="false" customHeight="false" outlineLevel="0" collapsed="false">
      <c r="A1994" s="55"/>
      <c r="B1994" s="56"/>
      <c r="C1994" s="56"/>
      <c r="D1994" s="56"/>
      <c r="E1994" s="57"/>
      <c r="F1994" s="58"/>
      <c r="G1994" s="59"/>
      <c r="H1994" s="56"/>
      <c r="I1994" s="60" t="str">
        <f aca="false">IF(IsPro,IF($D1994="","",IFERROR(INDEX(Items!$D$5:$D$504,Q1994),"")),IF($D1994="","","PRO PLAN"))</f>
        <v/>
      </c>
      <c r="J1994" s="61" t="str">
        <f aca="false">IF(IsPro,IF($D1994="","",IF($F1994="",IFERROR(INDEX(Items!$G$5:$G$504,Q1994),0),$F1994)),"")</f>
        <v/>
      </c>
      <c r="K1994" s="61" t="str">
        <f aca="false">IF(IsPro,IF($D1994="","",ROUND(N($E1994)*J1994*(1-N($G1994)),2)),"")</f>
        <v/>
      </c>
      <c r="L1994" s="62" t="str">
        <f aca="false">IF(IsPro,IF($D1994="","",IFERROR(INDEX(Items!$F$5:$F$504,Q1994),0)),"")</f>
        <v/>
      </c>
      <c r="M1994" s="61" t="str">
        <f aca="false">IF(IsPro,IF($D1994="","",IF(AND(R1994&lt;&gt;"",INDEX(Parties!$E$5:$E$304,R1994)&lt;&gt;"",INDEX(Parties!$E$5:$E$304,R1994)&lt;&gt;HomeState),0,ROUND(K1994*L1994/2,2))),"")</f>
        <v/>
      </c>
      <c r="N1994" s="61" t="str">
        <f aca="false">IF(IsPro,IF($D1994="","",M1994),"")</f>
        <v/>
      </c>
      <c r="O1994" s="61" t="str">
        <f aca="false">IF(IsPro,IF($D1994="","",IF(AND(R1994&lt;&gt;"",INDEX(Parties!$E$5:$E$304,R1994)&lt;&gt;"",INDEX(Parties!$E$5:$E$304,R1994)&lt;&gt;HomeState),ROUND(K1994*L1994,2),0)),"")</f>
        <v/>
      </c>
      <c r="P1994" s="61" t="str">
        <f aca="false">IF(IsPro,IF($D1994="","",K1994+M1994+N1994+O1994),"")</f>
        <v/>
      </c>
      <c r="Q1994" s="60" t="str">
        <f aca="false">IF(IsPro,IF($D1994="","",IFERROR(MATCH($D1994,Items!$A$5:$A$504,0),"")),"")</f>
        <v/>
      </c>
      <c r="R1994" s="60" t="str">
        <f aca="false">IF(IsPro,IF($C1994="","",IFERROR(MATCH($C1994,Parties!$A$5:$A$304,0),"")),"")</f>
        <v/>
      </c>
      <c r="S1994" s="61" t="str">
        <f aca="false">IF(IsPro,IF($D1994="","",IF(OR($H1994="",$H1994="Credit"),0,P1994)),"")</f>
        <v/>
      </c>
    </row>
    <row r="1995" customFormat="false" ht="15" hidden="false" customHeight="false" outlineLevel="0" collapsed="false">
      <c r="A1995" s="55"/>
      <c r="B1995" s="56"/>
      <c r="C1995" s="56"/>
      <c r="D1995" s="56"/>
      <c r="E1995" s="57"/>
      <c r="F1995" s="58"/>
      <c r="G1995" s="59"/>
      <c r="H1995" s="56"/>
      <c r="I1995" s="60" t="str">
        <f aca="false">IF(IsPro,IF($D1995="","",IFERROR(INDEX(Items!$D$5:$D$504,Q1995),"")),IF($D1995="","","PRO PLAN"))</f>
        <v/>
      </c>
      <c r="J1995" s="61" t="str">
        <f aca="false">IF(IsPro,IF($D1995="","",IF($F1995="",IFERROR(INDEX(Items!$G$5:$G$504,Q1995),0),$F1995)),"")</f>
        <v/>
      </c>
      <c r="K1995" s="61" t="str">
        <f aca="false">IF(IsPro,IF($D1995="","",ROUND(N($E1995)*J1995*(1-N($G1995)),2)),"")</f>
        <v/>
      </c>
      <c r="L1995" s="62" t="str">
        <f aca="false">IF(IsPro,IF($D1995="","",IFERROR(INDEX(Items!$F$5:$F$504,Q1995),0)),"")</f>
        <v/>
      </c>
      <c r="M1995" s="61" t="str">
        <f aca="false">IF(IsPro,IF($D1995="","",IF(AND(R1995&lt;&gt;"",INDEX(Parties!$E$5:$E$304,R1995)&lt;&gt;"",INDEX(Parties!$E$5:$E$304,R1995)&lt;&gt;HomeState),0,ROUND(K1995*L1995/2,2))),"")</f>
        <v/>
      </c>
      <c r="N1995" s="61" t="str">
        <f aca="false">IF(IsPro,IF($D1995="","",M1995),"")</f>
        <v/>
      </c>
      <c r="O1995" s="61" t="str">
        <f aca="false">IF(IsPro,IF($D1995="","",IF(AND(R1995&lt;&gt;"",INDEX(Parties!$E$5:$E$304,R1995)&lt;&gt;"",INDEX(Parties!$E$5:$E$304,R1995)&lt;&gt;HomeState),ROUND(K1995*L1995,2),0)),"")</f>
        <v/>
      </c>
      <c r="P1995" s="61" t="str">
        <f aca="false">IF(IsPro,IF($D1995="","",K1995+M1995+N1995+O1995),"")</f>
        <v/>
      </c>
      <c r="Q1995" s="60" t="str">
        <f aca="false">IF(IsPro,IF($D1995="","",IFERROR(MATCH($D1995,Items!$A$5:$A$504,0),"")),"")</f>
        <v/>
      </c>
      <c r="R1995" s="60" t="str">
        <f aca="false">IF(IsPro,IF($C1995="","",IFERROR(MATCH($C1995,Parties!$A$5:$A$304,0),"")),"")</f>
        <v/>
      </c>
      <c r="S1995" s="61" t="str">
        <f aca="false">IF(IsPro,IF($D1995="","",IF(OR($H1995="",$H1995="Credit"),0,P1995)),"")</f>
        <v/>
      </c>
    </row>
    <row r="1996" customFormat="false" ht="15" hidden="false" customHeight="false" outlineLevel="0" collapsed="false">
      <c r="A1996" s="55"/>
      <c r="B1996" s="56"/>
      <c r="C1996" s="56"/>
      <c r="D1996" s="56"/>
      <c r="E1996" s="57"/>
      <c r="F1996" s="58"/>
      <c r="G1996" s="59"/>
      <c r="H1996" s="56"/>
      <c r="I1996" s="60" t="str">
        <f aca="false">IF(IsPro,IF($D1996="","",IFERROR(INDEX(Items!$D$5:$D$504,Q1996),"")),IF($D1996="","","PRO PLAN"))</f>
        <v/>
      </c>
      <c r="J1996" s="61" t="str">
        <f aca="false">IF(IsPro,IF($D1996="","",IF($F1996="",IFERROR(INDEX(Items!$G$5:$G$504,Q1996),0),$F1996)),"")</f>
        <v/>
      </c>
      <c r="K1996" s="61" t="str">
        <f aca="false">IF(IsPro,IF($D1996="","",ROUND(N($E1996)*J1996*(1-N($G1996)),2)),"")</f>
        <v/>
      </c>
      <c r="L1996" s="62" t="str">
        <f aca="false">IF(IsPro,IF($D1996="","",IFERROR(INDEX(Items!$F$5:$F$504,Q1996),0)),"")</f>
        <v/>
      </c>
      <c r="M1996" s="61" t="str">
        <f aca="false">IF(IsPro,IF($D1996="","",IF(AND(R1996&lt;&gt;"",INDEX(Parties!$E$5:$E$304,R1996)&lt;&gt;"",INDEX(Parties!$E$5:$E$304,R1996)&lt;&gt;HomeState),0,ROUND(K1996*L1996/2,2))),"")</f>
        <v/>
      </c>
      <c r="N1996" s="61" t="str">
        <f aca="false">IF(IsPro,IF($D1996="","",M1996),"")</f>
        <v/>
      </c>
      <c r="O1996" s="61" t="str">
        <f aca="false">IF(IsPro,IF($D1996="","",IF(AND(R1996&lt;&gt;"",INDEX(Parties!$E$5:$E$304,R1996)&lt;&gt;"",INDEX(Parties!$E$5:$E$304,R1996)&lt;&gt;HomeState),ROUND(K1996*L1996,2),0)),"")</f>
        <v/>
      </c>
      <c r="P1996" s="61" t="str">
        <f aca="false">IF(IsPro,IF($D1996="","",K1996+M1996+N1996+O1996),"")</f>
        <v/>
      </c>
      <c r="Q1996" s="60" t="str">
        <f aca="false">IF(IsPro,IF($D1996="","",IFERROR(MATCH($D1996,Items!$A$5:$A$504,0),"")),"")</f>
        <v/>
      </c>
      <c r="R1996" s="60" t="str">
        <f aca="false">IF(IsPro,IF($C1996="","",IFERROR(MATCH($C1996,Parties!$A$5:$A$304,0),"")),"")</f>
        <v/>
      </c>
      <c r="S1996" s="61" t="str">
        <f aca="false">IF(IsPro,IF($D1996="","",IF(OR($H1996="",$H1996="Credit"),0,P1996)),"")</f>
        <v/>
      </c>
    </row>
    <row r="1997" customFormat="false" ht="15" hidden="false" customHeight="false" outlineLevel="0" collapsed="false">
      <c r="A1997" s="55"/>
      <c r="B1997" s="56"/>
      <c r="C1997" s="56"/>
      <c r="D1997" s="56"/>
      <c r="E1997" s="57"/>
      <c r="F1997" s="58"/>
      <c r="G1997" s="59"/>
      <c r="H1997" s="56"/>
      <c r="I1997" s="60" t="str">
        <f aca="false">IF(IsPro,IF($D1997="","",IFERROR(INDEX(Items!$D$5:$D$504,Q1997),"")),IF($D1997="","","PRO PLAN"))</f>
        <v/>
      </c>
      <c r="J1997" s="61" t="str">
        <f aca="false">IF(IsPro,IF($D1997="","",IF($F1997="",IFERROR(INDEX(Items!$G$5:$G$504,Q1997),0),$F1997)),"")</f>
        <v/>
      </c>
      <c r="K1997" s="61" t="str">
        <f aca="false">IF(IsPro,IF($D1997="","",ROUND(N($E1997)*J1997*(1-N($G1997)),2)),"")</f>
        <v/>
      </c>
      <c r="L1997" s="62" t="str">
        <f aca="false">IF(IsPro,IF($D1997="","",IFERROR(INDEX(Items!$F$5:$F$504,Q1997),0)),"")</f>
        <v/>
      </c>
      <c r="M1997" s="61" t="str">
        <f aca="false">IF(IsPro,IF($D1997="","",IF(AND(R1997&lt;&gt;"",INDEX(Parties!$E$5:$E$304,R1997)&lt;&gt;"",INDEX(Parties!$E$5:$E$304,R1997)&lt;&gt;HomeState),0,ROUND(K1997*L1997/2,2))),"")</f>
        <v/>
      </c>
      <c r="N1997" s="61" t="str">
        <f aca="false">IF(IsPro,IF($D1997="","",M1997),"")</f>
        <v/>
      </c>
      <c r="O1997" s="61" t="str">
        <f aca="false">IF(IsPro,IF($D1997="","",IF(AND(R1997&lt;&gt;"",INDEX(Parties!$E$5:$E$304,R1997)&lt;&gt;"",INDEX(Parties!$E$5:$E$304,R1997)&lt;&gt;HomeState),ROUND(K1997*L1997,2),0)),"")</f>
        <v/>
      </c>
      <c r="P1997" s="61" t="str">
        <f aca="false">IF(IsPro,IF($D1997="","",K1997+M1997+N1997+O1997),"")</f>
        <v/>
      </c>
      <c r="Q1997" s="60" t="str">
        <f aca="false">IF(IsPro,IF($D1997="","",IFERROR(MATCH($D1997,Items!$A$5:$A$504,0),"")),"")</f>
        <v/>
      </c>
      <c r="R1997" s="60" t="str">
        <f aca="false">IF(IsPro,IF($C1997="","",IFERROR(MATCH($C1997,Parties!$A$5:$A$304,0),"")),"")</f>
        <v/>
      </c>
      <c r="S1997" s="61" t="str">
        <f aca="false">IF(IsPro,IF($D1997="","",IF(OR($H1997="",$H1997="Credit"),0,P1997)),"")</f>
        <v/>
      </c>
    </row>
    <row r="1998" customFormat="false" ht="15" hidden="false" customHeight="false" outlineLevel="0" collapsed="false">
      <c r="A1998" s="55"/>
      <c r="B1998" s="56"/>
      <c r="C1998" s="56"/>
      <c r="D1998" s="56"/>
      <c r="E1998" s="57"/>
      <c r="F1998" s="58"/>
      <c r="G1998" s="59"/>
      <c r="H1998" s="56"/>
      <c r="I1998" s="60" t="str">
        <f aca="false">IF(IsPro,IF($D1998="","",IFERROR(INDEX(Items!$D$5:$D$504,Q1998),"")),IF($D1998="","","PRO PLAN"))</f>
        <v/>
      </c>
      <c r="J1998" s="61" t="str">
        <f aca="false">IF(IsPro,IF($D1998="","",IF($F1998="",IFERROR(INDEX(Items!$G$5:$G$504,Q1998),0),$F1998)),"")</f>
        <v/>
      </c>
      <c r="K1998" s="61" t="str">
        <f aca="false">IF(IsPro,IF($D1998="","",ROUND(N($E1998)*J1998*(1-N($G1998)),2)),"")</f>
        <v/>
      </c>
      <c r="L1998" s="62" t="str">
        <f aca="false">IF(IsPro,IF($D1998="","",IFERROR(INDEX(Items!$F$5:$F$504,Q1998),0)),"")</f>
        <v/>
      </c>
      <c r="M1998" s="61" t="str">
        <f aca="false">IF(IsPro,IF($D1998="","",IF(AND(R1998&lt;&gt;"",INDEX(Parties!$E$5:$E$304,R1998)&lt;&gt;"",INDEX(Parties!$E$5:$E$304,R1998)&lt;&gt;HomeState),0,ROUND(K1998*L1998/2,2))),"")</f>
        <v/>
      </c>
      <c r="N1998" s="61" t="str">
        <f aca="false">IF(IsPro,IF($D1998="","",M1998),"")</f>
        <v/>
      </c>
      <c r="O1998" s="61" t="str">
        <f aca="false">IF(IsPro,IF($D1998="","",IF(AND(R1998&lt;&gt;"",INDEX(Parties!$E$5:$E$304,R1998)&lt;&gt;"",INDEX(Parties!$E$5:$E$304,R1998)&lt;&gt;HomeState),ROUND(K1998*L1998,2),0)),"")</f>
        <v/>
      </c>
      <c r="P1998" s="61" t="str">
        <f aca="false">IF(IsPro,IF($D1998="","",K1998+M1998+N1998+O1998),"")</f>
        <v/>
      </c>
      <c r="Q1998" s="60" t="str">
        <f aca="false">IF(IsPro,IF($D1998="","",IFERROR(MATCH($D1998,Items!$A$5:$A$504,0),"")),"")</f>
        <v/>
      </c>
      <c r="R1998" s="60" t="str">
        <f aca="false">IF(IsPro,IF($C1998="","",IFERROR(MATCH($C1998,Parties!$A$5:$A$304,0),"")),"")</f>
        <v/>
      </c>
      <c r="S1998" s="61" t="str">
        <f aca="false">IF(IsPro,IF($D1998="","",IF(OR($H1998="",$H1998="Credit"),0,P1998)),"")</f>
        <v/>
      </c>
    </row>
    <row r="1999" customFormat="false" ht="15" hidden="false" customHeight="false" outlineLevel="0" collapsed="false">
      <c r="A1999" s="55"/>
      <c r="B1999" s="56"/>
      <c r="C1999" s="56"/>
      <c r="D1999" s="56"/>
      <c r="E1999" s="57"/>
      <c r="F1999" s="58"/>
      <c r="G1999" s="59"/>
      <c r="H1999" s="56"/>
      <c r="I1999" s="60" t="str">
        <f aca="false">IF(IsPro,IF($D1999="","",IFERROR(INDEX(Items!$D$5:$D$504,Q1999),"")),IF($D1999="","","PRO PLAN"))</f>
        <v/>
      </c>
      <c r="J1999" s="61" t="str">
        <f aca="false">IF(IsPro,IF($D1999="","",IF($F1999="",IFERROR(INDEX(Items!$G$5:$G$504,Q1999),0),$F1999)),"")</f>
        <v/>
      </c>
      <c r="K1999" s="61" t="str">
        <f aca="false">IF(IsPro,IF($D1999="","",ROUND(N($E1999)*J1999*(1-N($G1999)),2)),"")</f>
        <v/>
      </c>
      <c r="L1999" s="62" t="str">
        <f aca="false">IF(IsPro,IF($D1999="","",IFERROR(INDEX(Items!$F$5:$F$504,Q1999),0)),"")</f>
        <v/>
      </c>
      <c r="M1999" s="61" t="str">
        <f aca="false">IF(IsPro,IF($D1999="","",IF(AND(R1999&lt;&gt;"",INDEX(Parties!$E$5:$E$304,R1999)&lt;&gt;"",INDEX(Parties!$E$5:$E$304,R1999)&lt;&gt;HomeState),0,ROUND(K1999*L1999/2,2))),"")</f>
        <v/>
      </c>
      <c r="N1999" s="61" t="str">
        <f aca="false">IF(IsPro,IF($D1999="","",M1999),"")</f>
        <v/>
      </c>
      <c r="O1999" s="61" t="str">
        <f aca="false">IF(IsPro,IF($D1999="","",IF(AND(R1999&lt;&gt;"",INDEX(Parties!$E$5:$E$304,R1999)&lt;&gt;"",INDEX(Parties!$E$5:$E$304,R1999)&lt;&gt;HomeState),ROUND(K1999*L1999,2),0)),"")</f>
        <v/>
      </c>
      <c r="P1999" s="61" t="str">
        <f aca="false">IF(IsPro,IF($D1999="","",K1999+M1999+N1999+O1999),"")</f>
        <v/>
      </c>
      <c r="Q1999" s="60" t="str">
        <f aca="false">IF(IsPro,IF($D1999="","",IFERROR(MATCH($D1999,Items!$A$5:$A$504,0),"")),"")</f>
        <v/>
      </c>
      <c r="R1999" s="60" t="str">
        <f aca="false">IF(IsPro,IF($C1999="","",IFERROR(MATCH($C1999,Parties!$A$5:$A$304,0),"")),"")</f>
        <v/>
      </c>
      <c r="S1999" s="61" t="str">
        <f aca="false">IF(IsPro,IF($D1999="","",IF(OR($H1999="",$H1999="Credit"),0,P1999)),"")</f>
        <v/>
      </c>
    </row>
    <row r="2000" customFormat="false" ht="15" hidden="false" customHeight="false" outlineLevel="0" collapsed="false">
      <c r="A2000" s="55"/>
      <c r="B2000" s="56"/>
      <c r="C2000" s="56"/>
      <c r="D2000" s="56"/>
      <c r="E2000" s="57"/>
      <c r="F2000" s="58"/>
      <c r="G2000" s="59"/>
      <c r="H2000" s="56"/>
      <c r="I2000" s="60" t="str">
        <f aca="false">IF(IsPro,IF($D2000="","",IFERROR(INDEX(Items!$D$5:$D$504,Q2000),"")),IF($D2000="","","PRO PLAN"))</f>
        <v/>
      </c>
      <c r="J2000" s="61" t="str">
        <f aca="false">IF(IsPro,IF($D2000="","",IF($F2000="",IFERROR(INDEX(Items!$G$5:$G$504,Q2000),0),$F2000)),"")</f>
        <v/>
      </c>
      <c r="K2000" s="61" t="str">
        <f aca="false">IF(IsPro,IF($D2000="","",ROUND(N($E2000)*J2000*(1-N($G2000)),2)),"")</f>
        <v/>
      </c>
      <c r="L2000" s="62" t="str">
        <f aca="false">IF(IsPro,IF($D2000="","",IFERROR(INDEX(Items!$F$5:$F$504,Q2000),0)),"")</f>
        <v/>
      </c>
      <c r="M2000" s="61" t="str">
        <f aca="false">IF(IsPro,IF($D2000="","",IF(AND(R2000&lt;&gt;"",INDEX(Parties!$E$5:$E$304,R2000)&lt;&gt;"",INDEX(Parties!$E$5:$E$304,R2000)&lt;&gt;HomeState),0,ROUND(K2000*L2000/2,2))),"")</f>
        <v/>
      </c>
      <c r="N2000" s="61" t="str">
        <f aca="false">IF(IsPro,IF($D2000="","",M2000),"")</f>
        <v/>
      </c>
      <c r="O2000" s="61" t="str">
        <f aca="false">IF(IsPro,IF($D2000="","",IF(AND(R2000&lt;&gt;"",INDEX(Parties!$E$5:$E$304,R2000)&lt;&gt;"",INDEX(Parties!$E$5:$E$304,R2000)&lt;&gt;HomeState),ROUND(K2000*L2000,2),0)),"")</f>
        <v/>
      </c>
      <c r="P2000" s="61" t="str">
        <f aca="false">IF(IsPro,IF($D2000="","",K2000+M2000+N2000+O2000),"")</f>
        <v/>
      </c>
      <c r="Q2000" s="60" t="str">
        <f aca="false">IF(IsPro,IF($D2000="","",IFERROR(MATCH($D2000,Items!$A$5:$A$504,0),"")),"")</f>
        <v/>
      </c>
      <c r="R2000" s="60" t="str">
        <f aca="false">IF(IsPro,IF($C2000="","",IFERROR(MATCH($C2000,Parties!$A$5:$A$304,0),"")),"")</f>
        <v/>
      </c>
      <c r="S2000" s="61" t="str">
        <f aca="false">IF(IsPro,IF($D2000="","",IF(OR($H2000="",$H2000="Credit"),0,P2000)),"")</f>
        <v/>
      </c>
    </row>
    <row r="2001" customFormat="false" ht="15" hidden="false" customHeight="false" outlineLevel="0" collapsed="false">
      <c r="A2001" s="55"/>
      <c r="B2001" s="56"/>
      <c r="C2001" s="56"/>
      <c r="D2001" s="56"/>
      <c r="E2001" s="57"/>
      <c r="F2001" s="58"/>
      <c r="G2001" s="59"/>
      <c r="H2001" s="56"/>
      <c r="I2001" s="60" t="str">
        <f aca="false">IF(IsPro,IF($D2001="","",IFERROR(INDEX(Items!$D$5:$D$504,Q2001),"")),IF($D2001="","","PRO PLAN"))</f>
        <v/>
      </c>
      <c r="J2001" s="61" t="str">
        <f aca="false">IF(IsPro,IF($D2001="","",IF($F2001="",IFERROR(INDEX(Items!$G$5:$G$504,Q2001),0),$F2001)),"")</f>
        <v/>
      </c>
      <c r="K2001" s="61" t="str">
        <f aca="false">IF(IsPro,IF($D2001="","",ROUND(N($E2001)*J2001*(1-N($G2001)),2)),"")</f>
        <v/>
      </c>
      <c r="L2001" s="62" t="str">
        <f aca="false">IF(IsPro,IF($D2001="","",IFERROR(INDEX(Items!$F$5:$F$504,Q2001),0)),"")</f>
        <v/>
      </c>
      <c r="M2001" s="61" t="str">
        <f aca="false">IF(IsPro,IF($D2001="","",IF(AND(R2001&lt;&gt;"",INDEX(Parties!$E$5:$E$304,R2001)&lt;&gt;"",INDEX(Parties!$E$5:$E$304,R2001)&lt;&gt;HomeState),0,ROUND(K2001*L2001/2,2))),"")</f>
        <v/>
      </c>
      <c r="N2001" s="61" t="str">
        <f aca="false">IF(IsPro,IF($D2001="","",M2001),"")</f>
        <v/>
      </c>
      <c r="O2001" s="61" t="str">
        <f aca="false">IF(IsPro,IF($D2001="","",IF(AND(R2001&lt;&gt;"",INDEX(Parties!$E$5:$E$304,R2001)&lt;&gt;"",INDEX(Parties!$E$5:$E$304,R2001)&lt;&gt;HomeState),ROUND(K2001*L2001,2),0)),"")</f>
        <v/>
      </c>
      <c r="P2001" s="61" t="str">
        <f aca="false">IF(IsPro,IF($D2001="","",K2001+M2001+N2001+O2001),"")</f>
        <v/>
      </c>
      <c r="Q2001" s="60" t="str">
        <f aca="false">IF(IsPro,IF($D2001="","",IFERROR(MATCH($D2001,Items!$A$5:$A$504,0),"")),"")</f>
        <v/>
      </c>
      <c r="R2001" s="60" t="str">
        <f aca="false">IF(IsPro,IF($C2001="","",IFERROR(MATCH($C2001,Parties!$A$5:$A$304,0),"")),"")</f>
        <v/>
      </c>
      <c r="S2001" s="61" t="str">
        <f aca="false">IF(IsPro,IF($D2001="","",IF(OR($H2001="",$H2001="Credit"),0,P2001)),"")</f>
        <v/>
      </c>
    </row>
    <row r="2002" customFormat="false" ht="15" hidden="false" customHeight="false" outlineLevel="0" collapsed="false">
      <c r="A2002" s="55"/>
      <c r="B2002" s="56"/>
      <c r="C2002" s="56"/>
      <c r="D2002" s="56"/>
      <c r="E2002" s="57"/>
      <c r="F2002" s="58"/>
      <c r="G2002" s="59"/>
      <c r="H2002" s="56"/>
      <c r="I2002" s="60" t="str">
        <f aca="false">IF(IsPro,IF($D2002="","",IFERROR(INDEX(Items!$D$5:$D$504,Q2002),"")),IF($D2002="","","PRO PLAN"))</f>
        <v/>
      </c>
      <c r="J2002" s="61" t="str">
        <f aca="false">IF(IsPro,IF($D2002="","",IF($F2002="",IFERROR(INDEX(Items!$G$5:$G$504,Q2002),0),$F2002)),"")</f>
        <v/>
      </c>
      <c r="K2002" s="61" t="str">
        <f aca="false">IF(IsPro,IF($D2002="","",ROUND(N($E2002)*J2002*(1-N($G2002)),2)),"")</f>
        <v/>
      </c>
      <c r="L2002" s="62" t="str">
        <f aca="false">IF(IsPro,IF($D2002="","",IFERROR(INDEX(Items!$F$5:$F$504,Q2002),0)),"")</f>
        <v/>
      </c>
      <c r="M2002" s="61" t="str">
        <f aca="false">IF(IsPro,IF($D2002="","",IF(AND(R2002&lt;&gt;"",INDEX(Parties!$E$5:$E$304,R2002)&lt;&gt;"",INDEX(Parties!$E$5:$E$304,R2002)&lt;&gt;HomeState),0,ROUND(K2002*L2002/2,2))),"")</f>
        <v/>
      </c>
      <c r="N2002" s="61" t="str">
        <f aca="false">IF(IsPro,IF($D2002="","",M2002),"")</f>
        <v/>
      </c>
      <c r="O2002" s="61" t="str">
        <f aca="false">IF(IsPro,IF($D2002="","",IF(AND(R2002&lt;&gt;"",INDEX(Parties!$E$5:$E$304,R2002)&lt;&gt;"",INDEX(Parties!$E$5:$E$304,R2002)&lt;&gt;HomeState),ROUND(K2002*L2002,2),0)),"")</f>
        <v/>
      </c>
      <c r="P2002" s="61" t="str">
        <f aca="false">IF(IsPro,IF($D2002="","",K2002+M2002+N2002+O2002),"")</f>
        <v/>
      </c>
      <c r="Q2002" s="60" t="str">
        <f aca="false">IF(IsPro,IF($D2002="","",IFERROR(MATCH($D2002,Items!$A$5:$A$504,0),"")),"")</f>
        <v/>
      </c>
      <c r="R2002" s="60" t="str">
        <f aca="false">IF(IsPro,IF($C2002="","",IFERROR(MATCH($C2002,Parties!$A$5:$A$304,0),"")),"")</f>
        <v/>
      </c>
      <c r="S2002" s="61" t="str">
        <f aca="false">IF(IsPro,IF($D2002="","",IF(OR($H2002="",$H2002="Credit"),0,P2002)),"")</f>
        <v/>
      </c>
    </row>
    <row r="2003" customFormat="false" ht="15" hidden="false" customHeight="false" outlineLevel="0" collapsed="false">
      <c r="A2003" s="55"/>
      <c r="B2003" s="56"/>
      <c r="C2003" s="56"/>
      <c r="D2003" s="56"/>
      <c r="E2003" s="57"/>
      <c r="F2003" s="58"/>
      <c r="G2003" s="59"/>
      <c r="H2003" s="56"/>
      <c r="I2003" s="60" t="str">
        <f aca="false">IF(IsPro,IF($D2003="","",IFERROR(INDEX(Items!$D$5:$D$504,Q2003),"")),IF($D2003="","","PRO PLAN"))</f>
        <v/>
      </c>
      <c r="J2003" s="61" t="str">
        <f aca="false">IF(IsPro,IF($D2003="","",IF($F2003="",IFERROR(INDEX(Items!$G$5:$G$504,Q2003),0),$F2003)),"")</f>
        <v/>
      </c>
      <c r="K2003" s="61" t="str">
        <f aca="false">IF(IsPro,IF($D2003="","",ROUND(N($E2003)*J2003*(1-N($G2003)),2)),"")</f>
        <v/>
      </c>
      <c r="L2003" s="62" t="str">
        <f aca="false">IF(IsPro,IF($D2003="","",IFERROR(INDEX(Items!$F$5:$F$504,Q2003),0)),"")</f>
        <v/>
      </c>
      <c r="M2003" s="61" t="str">
        <f aca="false">IF(IsPro,IF($D2003="","",IF(AND(R2003&lt;&gt;"",INDEX(Parties!$E$5:$E$304,R2003)&lt;&gt;"",INDEX(Parties!$E$5:$E$304,R2003)&lt;&gt;HomeState),0,ROUND(K2003*L2003/2,2))),"")</f>
        <v/>
      </c>
      <c r="N2003" s="61" t="str">
        <f aca="false">IF(IsPro,IF($D2003="","",M2003),"")</f>
        <v/>
      </c>
      <c r="O2003" s="61" t="str">
        <f aca="false">IF(IsPro,IF($D2003="","",IF(AND(R2003&lt;&gt;"",INDEX(Parties!$E$5:$E$304,R2003)&lt;&gt;"",INDEX(Parties!$E$5:$E$304,R2003)&lt;&gt;HomeState),ROUND(K2003*L2003,2),0)),"")</f>
        <v/>
      </c>
      <c r="P2003" s="61" t="str">
        <f aca="false">IF(IsPro,IF($D2003="","",K2003+M2003+N2003+O2003),"")</f>
        <v/>
      </c>
      <c r="Q2003" s="60" t="str">
        <f aca="false">IF(IsPro,IF($D2003="","",IFERROR(MATCH($D2003,Items!$A$5:$A$504,0),"")),"")</f>
        <v/>
      </c>
      <c r="R2003" s="60" t="str">
        <f aca="false">IF(IsPro,IF($C2003="","",IFERROR(MATCH($C2003,Parties!$A$5:$A$304,0),"")),"")</f>
        <v/>
      </c>
      <c r="S2003" s="61" t="str">
        <f aca="false">IF(IsPro,IF($D2003="","",IF(OR($H2003="",$H2003="Credit"),0,P2003)),"")</f>
        <v/>
      </c>
    </row>
    <row r="2004" customFormat="false" ht="15" hidden="false" customHeight="false" outlineLevel="0" collapsed="false">
      <c r="A2004" s="55"/>
      <c r="B2004" s="56"/>
      <c r="C2004" s="56"/>
      <c r="D2004" s="56"/>
      <c r="E2004" s="57"/>
      <c r="F2004" s="58"/>
      <c r="G2004" s="59"/>
      <c r="H2004" s="56"/>
      <c r="I2004" s="60" t="str">
        <f aca="false">IF(IsPro,IF($D2004="","",IFERROR(INDEX(Items!$D$5:$D$504,Q2004),"")),IF($D2004="","","PRO PLAN"))</f>
        <v/>
      </c>
      <c r="J2004" s="61" t="str">
        <f aca="false">IF(IsPro,IF($D2004="","",IF($F2004="",IFERROR(INDEX(Items!$G$5:$G$504,Q2004),0),$F2004)),"")</f>
        <v/>
      </c>
      <c r="K2004" s="61" t="str">
        <f aca="false">IF(IsPro,IF($D2004="","",ROUND(N($E2004)*J2004*(1-N($G2004)),2)),"")</f>
        <v/>
      </c>
      <c r="L2004" s="62" t="str">
        <f aca="false">IF(IsPro,IF($D2004="","",IFERROR(INDEX(Items!$F$5:$F$504,Q2004),0)),"")</f>
        <v/>
      </c>
      <c r="M2004" s="61" t="str">
        <f aca="false">IF(IsPro,IF($D2004="","",IF(AND(R2004&lt;&gt;"",INDEX(Parties!$E$5:$E$304,R2004)&lt;&gt;"",INDEX(Parties!$E$5:$E$304,R2004)&lt;&gt;HomeState),0,ROUND(K2004*L2004/2,2))),"")</f>
        <v/>
      </c>
      <c r="N2004" s="61" t="str">
        <f aca="false">IF(IsPro,IF($D2004="","",M2004),"")</f>
        <v/>
      </c>
      <c r="O2004" s="61" t="str">
        <f aca="false">IF(IsPro,IF($D2004="","",IF(AND(R2004&lt;&gt;"",INDEX(Parties!$E$5:$E$304,R2004)&lt;&gt;"",INDEX(Parties!$E$5:$E$304,R2004)&lt;&gt;HomeState),ROUND(K2004*L2004,2),0)),"")</f>
        <v/>
      </c>
      <c r="P2004" s="61" t="str">
        <f aca="false">IF(IsPro,IF($D2004="","",K2004+M2004+N2004+O2004),"")</f>
        <v/>
      </c>
      <c r="Q2004" s="60" t="str">
        <f aca="false">IF(IsPro,IF($D2004="","",IFERROR(MATCH($D2004,Items!$A$5:$A$504,0),"")),"")</f>
        <v/>
      </c>
      <c r="R2004" s="60" t="str">
        <f aca="false">IF(IsPro,IF($C2004="","",IFERROR(MATCH($C2004,Parties!$A$5:$A$304,0),"")),"")</f>
        <v/>
      </c>
      <c r="S2004" s="61" t="str">
        <f aca="false">IF(IsPro,IF($D2004="","",IF(OR($H2004="",$H2004="Credit"),0,P2004)),"")</f>
        <v/>
      </c>
    </row>
    <row r="2005" customFormat="false" ht="15" hidden="false" customHeight="false" outlineLevel="0" collapsed="false">
      <c r="A2005" s="55"/>
      <c r="B2005" s="56"/>
      <c r="C2005" s="56"/>
      <c r="D2005" s="56"/>
      <c r="E2005" s="57"/>
      <c r="F2005" s="58"/>
      <c r="G2005" s="59"/>
      <c r="H2005" s="56"/>
      <c r="I2005" s="60" t="str">
        <f aca="false">IF(IsPro,IF($D2005="","",IFERROR(INDEX(Items!$D$5:$D$504,Q2005),"")),IF($D2005="","","PRO PLAN"))</f>
        <v/>
      </c>
      <c r="J2005" s="61" t="str">
        <f aca="false">IF(IsPro,IF($D2005="","",IF($F2005="",IFERROR(INDEX(Items!$G$5:$G$504,Q2005),0),$F2005)),"")</f>
        <v/>
      </c>
      <c r="K2005" s="61" t="str">
        <f aca="false">IF(IsPro,IF($D2005="","",ROUND(N($E2005)*J2005*(1-N($G2005)),2)),"")</f>
        <v/>
      </c>
      <c r="L2005" s="62" t="str">
        <f aca="false">IF(IsPro,IF($D2005="","",IFERROR(INDEX(Items!$F$5:$F$504,Q2005),0)),"")</f>
        <v/>
      </c>
      <c r="M2005" s="61" t="str">
        <f aca="false">IF(IsPro,IF($D2005="","",IF(AND(R2005&lt;&gt;"",INDEX(Parties!$E$5:$E$304,R2005)&lt;&gt;"",INDEX(Parties!$E$5:$E$304,R2005)&lt;&gt;HomeState),0,ROUND(K2005*L2005/2,2))),"")</f>
        <v/>
      </c>
      <c r="N2005" s="61" t="str">
        <f aca="false">IF(IsPro,IF($D2005="","",M2005),"")</f>
        <v/>
      </c>
      <c r="O2005" s="61" t="str">
        <f aca="false">IF(IsPro,IF($D2005="","",IF(AND(R2005&lt;&gt;"",INDEX(Parties!$E$5:$E$304,R2005)&lt;&gt;"",INDEX(Parties!$E$5:$E$304,R2005)&lt;&gt;HomeState),ROUND(K2005*L2005,2),0)),"")</f>
        <v/>
      </c>
      <c r="P2005" s="61" t="str">
        <f aca="false">IF(IsPro,IF($D2005="","",K2005+M2005+N2005+O2005),"")</f>
        <v/>
      </c>
      <c r="Q2005" s="60" t="str">
        <f aca="false">IF(IsPro,IF($D2005="","",IFERROR(MATCH($D2005,Items!$A$5:$A$504,0),"")),"")</f>
        <v/>
      </c>
      <c r="R2005" s="60" t="str">
        <f aca="false">IF(IsPro,IF($C2005="","",IFERROR(MATCH($C2005,Parties!$A$5:$A$304,0),"")),"")</f>
        <v/>
      </c>
      <c r="S2005" s="61" t="str">
        <f aca="false">IF(IsPro,IF($D2005="","",IF(OR($H2005="",$H2005="Credit"),0,P2005)),"")</f>
        <v/>
      </c>
    </row>
    <row r="2006" customFormat="false" ht="15" hidden="false" customHeight="false" outlineLevel="0" collapsed="false">
      <c r="A2006" s="55"/>
      <c r="B2006" s="56"/>
      <c r="C2006" s="56"/>
      <c r="D2006" s="56"/>
      <c r="E2006" s="57"/>
      <c r="F2006" s="58"/>
      <c r="G2006" s="59"/>
      <c r="H2006" s="56"/>
      <c r="I2006" s="60" t="str">
        <f aca="false">IF(IsPro,IF($D2006="","",IFERROR(INDEX(Items!$D$5:$D$504,Q2006),"")),IF($D2006="","","PRO PLAN"))</f>
        <v/>
      </c>
      <c r="J2006" s="61" t="str">
        <f aca="false">IF(IsPro,IF($D2006="","",IF($F2006="",IFERROR(INDEX(Items!$G$5:$G$504,Q2006),0),$F2006)),"")</f>
        <v/>
      </c>
      <c r="K2006" s="61" t="str">
        <f aca="false">IF(IsPro,IF($D2006="","",ROUND(N($E2006)*J2006*(1-N($G2006)),2)),"")</f>
        <v/>
      </c>
      <c r="L2006" s="62" t="str">
        <f aca="false">IF(IsPro,IF($D2006="","",IFERROR(INDEX(Items!$F$5:$F$504,Q2006),0)),"")</f>
        <v/>
      </c>
      <c r="M2006" s="61" t="str">
        <f aca="false">IF(IsPro,IF($D2006="","",IF(AND(R2006&lt;&gt;"",INDEX(Parties!$E$5:$E$304,R2006)&lt;&gt;"",INDEX(Parties!$E$5:$E$304,R2006)&lt;&gt;HomeState),0,ROUND(K2006*L2006/2,2))),"")</f>
        <v/>
      </c>
      <c r="N2006" s="61" t="str">
        <f aca="false">IF(IsPro,IF($D2006="","",M2006),"")</f>
        <v/>
      </c>
      <c r="O2006" s="61" t="str">
        <f aca="false">IF(IsPro,IF($D2006="","",IF(AND(R2006&lt;&gt;"",INDEX(Parties!$E$5:$E$304,R2006)&lt;&gt;"",INDEX(Parties!$E$5:$E$304,R2006)&lt;&gt;HomeState),ROUND(K2006*L2006,2),0)),"")</f>
        <v/>
      </c>
      <c r="P2006" s="61" t="str">
        <f aca="false">IF(IsPro,IF($D2006="","",K2006+M2006+N2006+O2006),"")</f>
        <v/>
      </c>
      <c r="Q2006" s="60" t="str">
        <f aca="false">IF(IsPro,IF($D2006="","",IFERROR(MATCH($D2006,Items!$A$5:$A$504,0),"")),"")</f>
        <v/>
      </c>
      <c r="R2006" s="60" t="str">
        <f aca="false">IF(IsPro,IF($C2006="","",IFERROR(MATCH($C2006,Parties!$A$5:$A$304,0),"")),"")</f>
        <v/>
      </c>
      <c r="S2006" s="61" t="str">
        <f aca="false">IF(IsPro,IF($D2006="","",IF(OR($H2006="",$H2006="Credit"),0,P2006)),"")</f>
        <v/>
      </c>
    </row>
    <row r="2007" customFormat="false" ht="15" hidden="false" customHeight="false" outlineLevel="0" collapsed="false">
      <c r="A2007" s="55"/>
      <c r="B2007" s="56"/>
      <c r="C2007" s="56"/>
      <c r="D2007" s="56"/>
      <c r="E2007" s="57"/>
      <c r="F2007" s="58"/>
      <c r="G2007" s="59"/>
      <c r="H2007" s="56"/>
      <c r="I2007" s="60" t="str">
        <f aca="false">IF(IsPro,IF($D2007="","",IFERROR(INDEX(Items!$D$5:$D$504,Q2007),"")),IF($D2007="","","PRO PLAN"))</f>
        <v/>
      </c>
      <c r="J2007" s="61" t="str">
        <f aca="false">IF(IsPro,IF($D2007="","",IF($F2007="",IFERROR(INDEX(Items!$G$5:$G$504,Q2007),0),$F2007)),"")</f>
        <v/>
      </c>
      <c r="K2007" s="61" t="str">
        <f aca="false">IF(IsPro,IF($D2007="","",ROUND(N($E2007)*J2007*(1-N($G2007)),2)),"")</f>
        <v/>
      </c>
      <c r="L2007" s="62" t="str">
        <f aca="false">IF(IsPro,IF($D2007="","",IFERROR(INDEX(Items!$F$5:$F$504,Q2007),0)),"")</f>
        <v/>
      </c>
      <c r="M2007" s="61" t="str">
        <f aca="false">IF(IsPro,IF($D2007="","",IF(AND(R2007&lt;&gt;"",INDEX(Parties!$E$5:$E$304,R2007)&lt;&gt;"",INDEX(Parties!$E$5:$E$304,R2007)&lt;&gt;HomeState),0,ROUND(K2007*L2007/2,2))),"")</f>
        <v/>
      </c>
      <c r="N2007" s="61" t="str">
        <f aca="false">IF(IsPro,IF($D2007="","",M2007),"")</f>
        <v/>
      </c>
      <c r="O2007" s="61" t="str">
        <f aca="false">IF(IsPro,IF($D2007="","",IF(AND(R2007&lt;&gt;"",INDEX(Parties!$E$5:$E$304,R2007)&lt;&gt;"",INDEX(Parties!$E$5:$E$304,R2007)&lt;&gt;HomeState),ROUND(K2007*L2007,2),0)),"")</f>
        <v/>
      </c>
      <c r="P2007" s="61" t="str">
        <f aca="false">IF(IsPro,IF($D2007="","",K2007+M2007+N2007+O2007),"")</f>
        <v/>
      </c>
      <c r="Q2007" s="60" t="str">
        <f aca="false">IF(IsPro,IF($D2007="","",IFERROR(MATCH($D2007,Items!$A$5:$A$504,0),"")),"")</f>
        <v/>
      </c>
      <c r="R2007" s="60" t="str">
        <f aca="false">IF(IsPro,IF($C2007="","",IFERROR(MATCH($C2007,Parties!$A$5:$A$304,0),"")),"")</f>
        <v/>
      </c>
      <c r="S2007" s="61" t="str">
        <f aca="false">IF(IsPro,IF($D2007="","",IF(OR($H2007="",$H2007="Credit"),0,P2007)),"")</f>
        <v/>
      </c>
    </row>
    <row r="2008" customFormat="false" ht="15" hidden="false" customHeight="false" outlineLevel="0" collapsed="false">
      <c r="A2008" s="55"/>
      <c r="B2008" s="56"/>
      <c r="C2008" s="56"/>
      <c r="D2008" s="56"/>
      <c r="E2008" s="57"/>
      <c r="F2008" s="58"/>
      <c r="G2008" s="59"/>
      <c r="H2008" s="56"/>
      <c r="I2008" s="60" t="str">
        <f aca="false">IF(IsPro,IF($D2008="","",IFERROR(INDEX(Items!$D$5:$D$504,Q2008),"")),IF($D2008="","","PRO PLAN"))</f>
        <v/>
      </c>
      <c r="J2008" s="61" t="str">
        <f aca="false">IF(IsPro,IF($D2008="","",IF($F2008="",IFERROR(INDEX(Items!$G$5:$G$504,Q2008),0),$F2008)),"")</f>
        <v/>
      </c>
      <c r="K2008" s="61" t="str">
        <f aca="false">IF(IsPro,IF($D2008="","",ROUND(N($E2008)*J2008*(1-N($G2008)),2)),"")</f>
        <v/>
      </c>
      <c r="L2008" s="62" t="str">
        <f aca="false">IF(IsPro,IF($D2008="","",IFERROR(INDEX(Items!$F$5:$F$504,Q2008),0)),"")</f>
        <v/>
      </c>
      <c r="M2008" s="61" t="str">
        <f aca="false">IF(IsPro,IF($D2008="","",IF(AND(R2008&lt;&gt;"",INDEX(Parties!$E$5:$E$304,R2008)&lt;&gt;"",INDEX(Parties!$E$5:$E$304,R2008)&lt;&gt;HomeState),0,ROUND(K2008*L2008/2,2))),"")</f>
        <v/>
      </c>
      <c r="N2008" s="61" t="str">
        <f aca="false">IF(IsPro,IF($D2008="","",M2008),"")</f>
        <v/>
      </c>
      <c r="O2008" s="61" t="str">
        <f aca="false">IF(IsPro,IF($D2008="","",IF(AND(R2008&lt;&gt;"",INDEX(Parties!$E$5:$E$304,R2008)&lt;&gt;"",INDEX(Parties!$E$5:$E$304,R2008)&lt;&gt;HomeState),ROUND(K2008*L2008,2),0)),"")</f>
        <v/>
      </c>
      <c r="P2008" s="61" t="str">
        <f aca="false">IF(IsPro,IF($D2008="","",K2008+M2008+N2008+O2008),"")</f>
        <v/>
      </c>
      <c r="Q2008" s="60" t="str">
        <f aca="false">IF(IsPro,IF($D2008="","",IFERROR(MATCH($D2008,Items!$A$5:$A$504,0),"")),"")</f>
        <v/>
      </c>
      <c r="R2008" s="60" t="str">
        <f aca="false">IF(IsPro,IF($C2008="","",IFERROR(MATCH($C2008,Parties!$A$5:$A$304,0),"")),"")</f>
        <v/>
      </c>
      <c r="S2008" s="61" t="str">
        <f aca="false">IF(IsPro,IF($D2008="","",IF(OR($H2008="",$H2008="Credit"),0,P2008)),"")</f>
        <v/>
      </c>
    </row>
    <row r="2009" customFormat="false" ht="15" hidden="false" customHeight="false" outlineLevel="0" collapsed="false">
      <c r="A2009" s="55"/>
      <c r="B2009" s="56"/>
      <c r="C2009" s="56"/>
      <c r="D2009" s="56"/>
      <c r="E2009" s="57"/>
      <c r="F2009" s="58"/>
      <c r="G2009" s="59"/>
      <c r="H2009" s="56"/>
      <c r="I2009" s="60" t="str">
        <f aca="false">IF(IsPro,IF($D2009="","",IFERROR(INDEX(Items!$D$5:$D$504,Q2009),"")),IF($D2009="","","PRO PLAN"))</f>
        <v/>
      </c>
      <c r="J2009" s="61" t="str">
        <f aca="false">IF(IsPro,IF($D2009="","",IF($F2009="",IFERROR(INDEX(Items!$G$5:$G$504,Q2009),0),$F2009)),"")</f>
        <v/>
      </c>
      <c r="K2009" s="61" t="str">
        <f aca="false">IF(IsPro,IF($D2009="","",ROUND(N($E2009)*J2009*(1-N($G2009)),2)),"")</f>
        <v/>
      </c>
      <c r="L2009" s="62" t="str">
        <f aca="false">IF(IsPro,IF($D2009="","",IFERROR(INDEX(Items!$F$5:$F$504,Q2009),0)),"")</f>
        <v/>
      </c>
      <c r="M2009" s="61" t="str">
        <f aca="false">IF(IsPro,IF($D2009="","",IF(AND(R2009&lt;&gt;"",INDEX(Parties!$E$5:$E$304,R2009)&lt;&gt;"",INDEX(Parties!$E$5:$E$304,R2009)&lt;&gt;HomeState),0,ROUND(K2009*L2009/2,2))),"")</f>
        <v/>
      </c>
      <c r="N2009" s="61" t="str">
        <f aca="false">IF(IsPro,IF($D2009="","",M2009),"")</f>
        <v/>
      </c>
      <c r="O2009" s="61" t="str">
        <f aca="false">IF(IsPro,IF($D2009="","",IF(AND(R2009&lt;&gt;"",INDEX(Parties!$E$5:$E$304,R2009)&lt;&gt;"",INDEX(Parties!$E$5:$E$304,R2009)&lt;&gt;HomeState),ROUND(K2009*L2009,2),0)),"")</f>
        <v/>
      </c>
      <c r="P2009" s="61" t="str">
        <f aca="false">IF(IsPro,IF($D2009="","",K2009+M2009+N2009+O2009),"")</f>
        <v/>
      </c>
      <c r="Q2009" s="60" t="str">
        <f aca="false">IF(IsPro,IF($D2009="","",IFERROR(MATCH($D2009,Items!$A$5:$A$504,0),"")),"")</f>
        <v/>
      </c>
      <c r="R2009" s="60" t="str">
        <f aca="false">IF(IsPro,IF($C2009="","",IFERROR(MATCH($C2009,Parties!$A$5:$A$304,0),"")),"")</f>
        <v/>
      </c>
      <c r="S2009" s="61" t="str">
        <f aca="false">IF(IsPro,IF($D2009="","",IF(OR($H2009="",$H2009="Credit"),0,P2009)),"")</f>
        <v/>
      </c>
    </row>
    <row r="2010" customFormat="false" ht="15" hidden="false" customHeight="false" outlineLevel="0" collapsed="false">
      <c r="A2010" s="55"/>
      <c r="B2010" s="56"/>
      <c r="C2010" s="56"/>
      <c r="D2010" s="56"/>
      <c r="E2010" s="57"/>
      <c r="F2010" s="58"/>
      <c r="G2010" s="59"/>
      <c r="H2010" s="56"/>
      <c r="I2010" s="60" t="str">
        <f aca="false">IF(IsPro,IF($D2010="","",IFERROR(INDEX(Items!$D$5:$D$504,Q2010),"")),IF($D2010="","","PRO PLAN"))</f>
        <v/>
      </c>
      <c r="J2010" s="61" t="str">
        <f aca="false">IF(IsPro,IF($D2010="","",IF($F2010="",IFERROR(INDEX(Items!$G$5:$G$504,Q2010),0),$F2010)),"")</f>
        <v/>
      </c>
      <c r="K2010" s="61" t="str">
        <f aca="false">IF(IsPro,IF($D2010="","",ROUND(N($E2010)*J2010*(1-N($G2010)),2)),"")</f>
        <v/>
      </c>
      <c r="L2010" s="62" t="str">
        <f aca="false">IF(IsPro,IF($D2010="","",IFERROR(INDEX(Items!$F$5:$F$504,Q2010),0)),"")</f>
        <v/>
      </c>
      <c r="M2010" s="61" t="str">
        <f aca="false">IF(IsPro,IF($D2010="","",IF(AND(R2010&lt;&gt;"",INDEX(Parties!$E$5:$E$304,R2010)&lt;&gt;"",INDEX(Parties!$E$5:$E$304,R2010)&lt;&gt;HomeState),0,ROUND(K2010*L2010/2,2))),"")</f>
        <v/>
      </c>
      <c r="N2010" s="61" t="str">
        <f aca="false">IF(IsPro,IF($D2010="","",M2010),"")</f>
        <v/>
      </c>
      <c r="O2010" s="61" t="str">
        <f aca="false">IF(IsPro,IF($D2010="","",IF(AND(R2010&lt;&gt;"",INDEX(Parties!$E$5:$E$304,R2010)&lt;&gt;"",INDEX(Parties!$E$5:$E$304,R2010)&lt;&gt;HomeState),ROUND(K2010*L2010,2),0)),"")</f>
        <v/>
      </c>
      <c r="P2010" s="61" t="str">
        <f aca="false">IF(IsPro,IF($D2010="","",K2010+M2010+N2010+O2010),"")</f>
        <v/>
      </c>
      <c r="Q2010" s="60" t="str">
        <f aca="false">IF(IsPro,IF($D2010="","",IFERROR(MATCH($D2010,Items!$A$5:$A$504,0),"")),"")</f>
        <v/>
      </c>
      <c r="R2010" s="60" t="str">
        <f aca="false">IF(IsPro,IF($C2010="","",IFERROR(MATCH($C2010,Parties!$A$5:$A$304,0),"")),"")</f>
        <v/>
      </c>
      <c r="S2010" s="61" t="str">
        <f aca="false">IF(IsPro,IF($D2010="","",IF(OR($H2010="",$H2010="Credit"),0,P2010)),"")</f>
        <v/>
      </c>
    </row>
    <row r="2011" customFormat="false" ht="15" hidden="false" customHeight="false" outlineLevel="0" collapsed="false">
      <c r="A2011" s="55"/>
      <c r="B2011" s="56"/>
      <c r="C2011" s="56"/>
      <c r="D2011" s="56"/>
      <c r="E2011" s="57"/>
      <c r="F2011" s="58"/>
      <c r="G2011" s="59"/>
      <c r="H2011" s="56"/>
      <c r="I2011" s="60" t="str">
        <f aca="false">IF(IsPro,IF($D2011="","",IFERROR(INDEX(Items!$D$5:$D$504,Q2011),"")),IF($D2011="","","PRO PLAN"))</f>
        <v/>
      </c>
      <c r="J2011" s="61" t="str">
        <f aca="false">IF(IsPro,IF($D2011="","",IF($F2011="",IFERROR(INDEX(Items!$G$5:$G$504,Q2011),0),$F2011)),"")</f>
        <v/>
      </c>
      <c r="K2011" s="61" t="str">
        <f aca="false">IF(IsPro,IF($D2011="","",ROUND(N($E2011)*J2011*(1-N($G2011)),2)),"")</f>
        <v/>
      </c>
      <c r="L2011" s="62" t="str">
        <f aca="false">IF(IsPro,IF($D2011="","",IFERROR(INDEX(Items!$F$5:$F$504,Q2011),0)),"")</f>
        <v/>
      </c>
      <c r="M2011" s="61" t="str">
        <f aca="false">IF(IsPro,IF($D2011="","",IF(AND(R2011&lt;&gt;"",INDEX(Parties!$E$5:$E$304,R2011)&lt;&gt;"",INDEX(Parties!$E$5:$E$304,R2011)&lt;&gt;HomeState),0,ROUND(K2011*L2011/2,2))),"")</f>
        <v/>
      </c>
      <c r="N2011" s="61" t="str">
        <f aca="false">IF(IsPro,IF($D2011="","",M2011),"")</f>
        <v/>
      </c>
      <c r="O2011" s="61" t="str">
        <f aca="false">IF(IsPro,IF($D2011="","",IF(AND(R2011&lt;&gt;"",INDEX(Parties!$E$5:$E$304,R2011)&lt;&gt;"",INDEX(Parties!$E$5:$E$304,R2011)&lt;&gt;HomeState),ROUND(K2011*L2011,2),0)),"")</f>
        <v/>
      </c>
      <c r="P2011" s="61" t="str">
        <f aca="false">IF(IsPro,IF($D2011="","",K2011+M2011+N2011+O2011),"")</f>
        <v/>
      </c>
      <c r="Q2011" s="60" t="str">
        <f aca="false">IF(IsPro,IF($D2011="","",IFERROR(MATCH($D2011,Items!$A$5:$A$504,0),"")),"")</f>
        <v/>
      </c>
      <c r="R2011" s="60" t="str">
        <f aca="false">IF(IsPro,IF($C2011="","",IFERROR(MATCH($C2011,Parties!$A$5:$A$304,0),"")),"")</f>
        <v/>
      </c>
      <c r="S2011" s="61" t="str">
        <f aca="false">IF(IsPro,IF($D2011="","",IF(OR($H2011="",$H2011="Credit"),0,P2011)),"")</f>
        <v/>
      </c>
    </row>
    <row r="2012" customFormat="false" ht="15" hidden="false" customHeight="false" outlineLevel="0" collapsed="false">
      <c r="A2012" s="55"/>
      <c r="B2012" s="56"/>
      <c r="C2012" s="56"/>
      <c r="D2012" s="56"/>
      <c r="E2012" s="57"/>
      <c r="F2012" s="58"/>
      <c r="G2012" s="59"/>
      <c r="H2012" s="56"/>
      <c r="I2012" s="60" t="str">
        <f aca="false">IF(IsPro,IF($D2012="","",IFERROR(INDEX(Items!$D$5:$D$504,Q2012),"")),IF($D2012="","","PRO PLAN"))</f>
        <v/>
      </c>
      <c r="J2012" s="61" t="str">
        <f aca="false">IF(IsPro,IF($D2012="","",IF($F2012="",IFERROR(INDEX(Items!$G$5:$G$504,Q2012),0),$F2012)),"")</f>
        <v/>
      </c>
      <c r="K2012" s="61" t="str">
        <f aca="false">IF(IsPro,IF($D2012="","",ROUND(N($E2012)*J2012*(1-N($G2012)),2)),"")</f>
        <v/>
      </c>
      <c r="L2012" s="62" t="str">
        <f aca="false">IF(IsPro,IF($D2012="","",IFERROR(INDEX(Items!$F$5:$F$504,Q2012),0)),"")</f>
        <v/>
      </c>
      <c r="M2012" s="61" t="str">
        <f aca="false">IF(IsPro,IF($D2012="","",IF(AND(R2012&lt;&gt;"",INDEX(Parties!$E$5:$E$304,R2012)&lt;&gt;"",INDEX(Parties!$E$5:$E$304,R2012)&lt;&gt;HomeState),0,ROUND(K2012*L2012/2,2))),"")</f>
        <v/>
      </c>
      <c r="N2012" s="61" t="str">
        <f aca="false">IF(IsPro,IF($D2012="","",M2012),"")</f>
        <v/>
      </c>
      <c r="O2012" s="61" t="str">
        <f aca="false">IF(IsPro,IF($D2012="","",IF(AND(R2012&lt;&gt;"",INDEX(Parties!$E$5:$E$304,R2012)&lt;&gt;"",INDEX(Parties!$E$5:$E$304,R2012)&lt;&gt;HomeState),ROUND(K2012*L2012,2),0)),"")</f>
        <v/>
      </c>
      <c r="P2012" s="61" t="str">
        <f aca="false">IF(IsPro,IF($D2012="","",K2012+M2012+N2012+O2012),"")</f>
        <v/>
      </c>
      <c r="Q2012" s="60" t="str">
        <f aca="false">IF(IsPro,IF($D2012="","",IFERROR(MATCH($D2012,Items!$A$5:$A$504,0),"")),"")</f>
        <v/>
      </c>
      <c r="R2012" s="60" t="str">
        <f aca="false">IF(IsPro,IF($C2012="","",IFERROR(MATCH($C2012,Parties!$A$5:$A$304,0),"")),"")</f>
        <v/>
      </c>
      <c r="S2012" s="61" t="str">
        <f aca="false">IF(IsPro,IF($D2012="","",IF(OR($H2012="",$H2012="Credit"),0,P2012)),"")</f>
        <v/>
      </c>
    </row>
    <row r="2013" customFormat="false" ht="15" hidden="false" customHeight="false" outlineLevel="0" collapsed="false">
      <c r="A2013" s="55"/>
      <c r="B2013" s="56"/>
      <c r="C2013" s="56"/>
      <c r="D2013" s="56"/>
      <c r="E2013" s="57"/>
      <c r="F2013" s="58"/>
      <c r="G2013" s="59"/>
      <c r="H2013" s="56"/>
      <c r="I2013" s="60" t="str">
        <f aca="false">IF(IsPro,IF($D2013="","",IFERROR(INDEX(Items!$D$5:$D$504,Q2013),"")),IF($D2013="","","PRO PLAN"))</f>
        <v/>
      </c>
      <c r="J2013" s="61" t="str">
        <f aca="false">IF(IsPro,IF($D2013="","",IF($F2013="",IFERROR(INDEX(Items!$G$5:$G$504,Q2013),0),$F2013)),"")</f>
        <v/>
      </c>
      <c r="K2013" s="61" t="str">
        <f aca="false">IF(IsPro,IF($D2013="","",ROUND(N($E2013)*J2013*(1-N($G2013)),2)),"")</f>
        <v/>
      </c>
      <c r="L2013" s="62" t="str">
        <f aca="false">IF(IsPro,IF($D2013="","",IFERROR(INDEX(Items!$F$5:$F$504,Q2013),0)),"")</f>
        <v/>
      </c>
      <c r="M2013" s="61" t="str">
        <f aca="false">IF(IsPro,IF($D2013="","",IF(AND(R2013&lt;&gt;"",INDEX(Parties!$E$5:$E$304,R2013)&lt;&gt;"",INDEX(Parties!$E$5:$E$304,R2013)&lt;&gt;HomeState),0,ROUND(K2013*L2013/2,2))),"")</f>
        <v/>
      </c>
      <c r="N2013" s="61" t="str">
        <f aca="false">IF(IsPro,IF($D2013="","",M2013),"")</f>
        <v/>
      </c>
      <c r="O2013" s="61" t="str">
        <f aca="false">IF(IsPro,IF($D2013="","",IF(AND(R2013&lt;&gt;"",INDEX(Parties!$E$5:$E$304,R2013)&lt;&gt;"",INDEX(Parties!$E$5:$E$304,R2013)&lt;&gt;HomeState),ROUND(K2013*L2013,2),0)),"")</f>
        <v/>
      </c>
      <c r="P2013" s="61" t="str">
        <f aca="false">IF(IsPro,IF($D2013="","",K2013+M2013+N2013+O2013),"")</f>
        <v/>
      </c>
      <c r="Q2013" s="60" t="str">
        <f aca="false">IF(IsPro,IF($D2013="","",IFERROR(MATCH($D2013,Items!$A$5:$A$504,0),"")),"")</f>
        <v/>
      </c>
      <c r="R2013" s="60" t="str">
        <f aca="false">IF(IsPro,IF($C2013="","",IFERROR(MATCH($C2013,Parties!$A$5:$A$304,0),"")),"")</f>
        <v/>
      </c>
      <c r="S2013" s="61" t="str">
        <f aca="false">IF(IsPro,IF($D2013="","",IF(OR($H2013="",$H2013="Credit"),0,P2013)),"")</f>
        <v/>
      </c>
    </row>
    <row r="2014" customFormat="false" ht="15" hidden="false" customHeight="false" outlineLevel="0" collapsed="false">
      <c r="A2014" s="55"/>
      <c r="B2014" s="56"/>
      <c r="C2014" s="56"/>
      <c r="D2014" s="56"/>
      <c r="E2014" s="57"/>
      <c r="F2014" s="58"/>
      <c r="G2014" s="59"/>
      <c r="H2014" s="56"/>
      <c r="I2014" s="60" t="str">
        <f aca="false">IF(IsPro,IF($D2014="","",IFERROR(INDEX(Items!$D$5:$D$504,Q2014),"")),IF($D2014="","","PRO PLAN"))</f>
        <v/>
      </c>
      <c r="J2014" s="61" t="str">
        <f aca="false">IF(IsPro,IF($D2014="","",IF($F2014="",IFERROR(INDEX(Items!$G$5:$G$504,Q2014),0),$F2014)),"")</f>
        <v/>
      </c>
      <c r="K2014" s="61" t="str">
        <f aca="false">IF(IsPro,IF($D2014="","",ROUND(N($E2014)*J2014*(1-N($G2014)),2)),"")</f>
        <v/>
      </c>
      <c r="L2014" s="62" t="str">
        <f aca="false">IF(IsPro,IF($D2014="","",IFERROR(INDEX(Items!$F$5:$F$504,Q2014),0)),"")</f>
        <v/>
      </c>
      <c r="M2014" s="61" t="str">
        <f aca="false">IF(IsPro,IF($D2014="","",IF(AND(R2014&lt;&gt;"",INDEX(Parties!$E$5:$E$304,R2014)&lt;&gt;"",INDEX(Parties!$E$5:$E$304,R2014)&lt;&gt;HomeState),0,ROUND(K2014*L2014/2,2))),"")</f>
        <v/>
      </c>
      <c r="N2014" s="61" t="str">
        <f aca="false">IF(IsPro,IF($D2014="","",M2014),"")</f>
        <v/>
      </c>
      <c r="O2014" s="61" t="str">
        <f aca="false">IF(IsPro,IF($D2014="","",IF(AND(R2014&lt;&gt;"",INDEX(Parties!$E$5:$E$304,R2014)&lt;&gt;"",INDEX(Parties!$E$5:$E$304,R2014)&lt;&gt;HomeState),ROUND(K2014*L2014,2),0)),"")</f>
        <v/>
      </c>
      <c r="P2014" s="61" t="str">
        <f aca="false">IF(IsPro,IF($D2014="","",K2014+M2014+N2014+O2014),"")</f>
        <v/>
      </c>
      <c r="Q2014" s="60" t="str">
        <f aca="false">IF(IsPro,IF($D2014="","",IFERROR(MATCH($D2014,Items!$A$5:$A$504,0),"")),"")</f>
        <v/>
      </c>
      <c r="R2014" s="60" t="str">
        <f aca="false">IF(IsPro,IF($C2014="","",IFERROR(MATCH($C2014,Parties!$A$5:$A$304,0),"")),"")</f>
        <v/>
      </c>
      <c r="S2014" s="61" t="str">
        <f aca="false">IF(IsPro,IF($D2014="","",IF(OR($H2014="",$H2014="Credit"),0,P2014)),"")</f>
        <v/>
      </c>
    </row>
    <row r="2015" customFormat="false" ht="15" hidden="false" customHeight="false" outlineLevel="0" collapsed="false">
      <c r="A2015" s="55"/>
      <c r="B2015" s="56"/>
      <c r="C2015" s="56"/>
      <c r="D2015" s="56"/>
      <c r="E2015" s="57"/>
      <c r="F2015" s="58"/>
      <c r="G2015" s="59"/>
      <c r="H2015" s="56"/>
      <c r="I2015" s="60" t="str">
        <f aca="false">IF(IsPro,IF($D2015="","",IFERROR(INDEX(Items!$D$5:$D$504,Q2015),"")),IF($D2015="","","PRO PLAN"))</f>
        <v/>
      </c>
      <c r="J2015" s="61" t="str">
        <f aca="false">IF(IsPro,IF($D2015="","",IF($F2015="",IFERROR(INDEX(Items!$G$5:$G$504,Q2015),0),$F2015)),"")</f>
        <v/>
      </c>
      <c r="K2015" s="61" t="str">
        <f aca="false">IF(IsPro,IF($D2015="","",ROUND(N($E2015)*J2015*(1-N($G2015)),2)),"")</f>
        <v/>
      </c>
      <c r="L2015" s="62" t="str">
        <f aca="false">IF(IsPro,IF($D2015="","",IFERROR(INDEX(Items!$F$5:$F$504,Q2015),0)),"")</f>
        <v/>
      </c>
      <c r="M2015" s="61" t="str">
        <f aca="false">IF(IsPro,IF($D2015="","",IF(AND(R2015&lt;&gt;"",INDEX(Parties!$E$5:$E$304,R2015)&lt;&gt;"",INDEX(Parties!$E$5:$E$304,R2015)&lt;&gt;HomeState),0,ROUND(K2015*L2015/2,2))),"")</f>
        <v/>
      </c>
      <c r="N2015" s="61" t="str">
        <f aca="false">IF(IsPro,IF($D2015="","",M2015),"")</f>
        <v/>
      </c>
      <c r="O2015" s="61" t="str">
        <f aca="false">IF(IsPro,IF($D2015="","",IF(AND(R2015&lt;&gt;"",INDEX(Parties!$E$5:$E$304,R2015)&lt;&gt;"",INDEX(Parties!$E$5:$E$304,R2015)&lt;&gt;HomeState),ROUND(K2015*L2015,2),0)),"")</f>
        <v/>
      </c>
      <c r="P2015" s="61" t="str">
        <f aca="false">IF(IsPro,IF($D2015="","",K2015+M2015+N2015+O2015),"")</f>
        <v/>
      </c>
      <c r="Q2015" s="60" t="str">
        <f aca="false">IF(IsPro,IF($D2015="","",IFERROR(MATCH($D2015,Items!$A$5:$A$504,0),"")),"")</f>
        <v/>
      </c>
      <c r="R2015" s="60" t="str">
        <f aca="false">IF(IsPro,IF($C2015="","",IFERROR(MATCH($C2015,Parties!$A$5:$A$304,0),"")),"")</f>
        <v/>
      </c>
      <c r="S2015" s="61" t="str">
        <f aca="false">IF(IsPro,IF($D2015="","",IF(OR($H2015="",$H2015="Credit"),0,P2015)),"")</f>
        <v/>
      </c>
    </row>
    <row r="2016" customFormat="false" ht="15" hidden="false" customHeight="false" outlineLevel="0" collapsed="false">
      <c r="A2016" s="55"/>
      <c r="B2016" s="56"/>
      <c r="C2016" s="56"/>
      <c r="D2016" s="56"/>
      <c r="E2016" s="57"/>
      <c r="F2016" s="58"/>
      <c r="G2016" s="59"/>
      <c r="H2016" s="56"/>
      <c r="I2016" s="60" t="str">
        <f aca="false">IF(IsPro,IF($D2016="","",IFERROR(INDEX(Items!$D$5:$D$504,Q2016),"")),IF($D2016="","","PRO PLAN"))</f>
        <v/>
      </c>
      <c r="J2016" s="61" t="str">
        <f aca="false">IF(IsPro,IF($D2016="","",IF($F2016="",IFERROR(INDEX(Items!$G$5:$G$504,Q2016),0),$F2016)),"")</f>
        <v/>
      </c>
      <c r="K2016" s="61" t="str">
        <f aca="false">IF(IsPro,IF($D2016="","",ROUND(N($E2016)*J2016*(1-N($G2016)),2)),"")</f>
        <v/>
      </c>
      <c r="L2016" s="62" t="str">
        <f aca="false">IF(IsPro,IF($D2016="","",IFERROR(INDEX(Items!$F$5:$F$504,Q2016),0)),"")</f>
        <v/>
      </c>
      <c r="M2016" s="61" t="str">
        <f aca="false">IF(IsPro,IF($D2016="","",IF(AND(R2016&lt;&gt;"",INDEX(Parties!$E$5:$E$304,R2016)&lt;&gt;"",INDEX(Parties!$E$5:$E$304,R2016)&lt;&gt;HomeState),0,ROUND(K2016*L2016/2,2))),"")</f>
        <v/>
      </c>
      <c r="N2016" s="61" t="str">
        <f aca="false">IF(IsPro,IF($D2016="","",M2016),"")</f>
        <v/>
      </c>
      <c r="O2016" s="61" t="str">
        <f aca="false">IF(IsPro,IF($D2016="","",IF(AND(R2016&lt;&gt;"",INDEX(Parties!$E$5:$E$304,R2016)&lt;&gt;"",INDEX(Parties!$E$5:$E$304,R2016)&lt;&gt;HomeState),ROUND(K2016*L2016,2),0)),"")</f>
        <v/>
      </c>
      <c r="P2016" s="61" t="str">
        <f aca="false">IF(IsPro,IF($D2016="","",K2016+M2016+N2016+O2016),"")</f>
        <v/>
      </c>
      <c r="Q2016" s="60" t="str">
        <f aca="false">IF(IsPro,IF($D2016="","",IFERROR(MATCH($D2016,Items!$A$5:$A$504,0),"")),"")</f>
        <v/>
      </c>
      <c r="R2016" s="60" t="str">
        <f aca="false">IF(IsPro,IF($C2016="","",IFERROR(MATCH($C2016,Parties!$A$5:$A$304,0),"")),"")</f>
        <v/>
      </c>
      <c r="S2016" s="61" t="str">
        <f aca="false">IF(IsPro,IF($D2016="","",IF(OR($H2016="",$H2016="Credit"),0,P2016)),"")</f>
        <v/>
      </c>
    </row>
    <row r="2017" customFormat="false" ht="15" hidden="false" customHeight="false" outlineLevel="0" collapsed="false">
      <c r="A2017" s="55"/>
      <c r="B2017" s="56"/>
      <c r="C2017" s="56"/>
      <c r="D2017" s="56"/>
      <c r="E2017" s="57"/>
      <c r="F2017" s="58"/>
      <c r="G2017" s="59"/>
      <c r="H2017" s="56"/>
      <c r="I2017" s="60" t="str">
        <f aca="false">IF(IsPro,IF($D2017="","",IFERROR(INDEX(Items!$D$5:$D$504,Q2017),"")),IF($D2017="","","PRO PLAN"))</f>
        <v/>
      </c>
      <c r="J2017" s="61" t="str">
        <f aca="false">IF(IsPro,IF($D2017="","",IF($F2017="",IFERROR(INDEX(Items!$G$5:$G$504,Q2017),0),$F2017)),"")</f>
        <v/>
      </c>
      <c r="K2017" s="61" t="str">
        <f aca="false">IF(IsPro,IF($D2017="","",ROUND(N($E2017)*J2017*(1-N($G2017)),2)),"")</f>
        <v/>
      </c>
      <c r="L2017" s="62" t="str">
        <f aca="false">IF(IsPro,IF($D2017="","",IFERROR(INDEX(Items!$F$5:$F$504,Q2017),0)),"")</f>
        <v/>
      </c>
      <c r="M2017" s="61" t="str">
        <f aca="false">IF(IsPro,IF($D2017="","",IF(AND(R2017&lt;&gt;"",INDEX(Parties!$E$5:$E$304,R2017)&lt;&gt;"",INDEX(Parties!$E$5:$E$304,R2017)&lt;&gt;HomeState),0,ROUND(K2017*L2017/2,2))),"")</f>
        <v/>
      </c>
      <c r="N2017" s="61" t="str">
        <f aca="false">IF(IsPro,IF($D2017="","",M2017),"")</f>
        <v/>
      </c>
      <c r="O2017" s="61" t="str">
        <f aca="false">IF(IsPro,IF($D2017="","",IF(AND(R2017&lt;&gt;"",INDEX(Parties!$E$5:$E$304,R2017)&lt;&gt;"",INDEX(Parties!$E$5:$E$304,R2017)&lt;&gt;HomeState),ROUND(K2017*L2017,2),0)),"")</f>
        <v/>
      </c>
      <c r="P2017" s="61" t="str">
        <f aca="false">IF(IsPro,IF($D2017="","",K2017+M2017+N2017+O2017),"")</f>
        <v/>
      </c>
      <c r="Q2017" s="60" t="str">
        <f aca="false">IF(IsPro,IF($D2017="","",IFERROR(MATCH($D2017,Items!$A$5:$A$504,0),"")),"")</f>
        <v/>
      </c>
      <c r="R2017" s="60" t="str">
        <f aca="false">IF(IsPro,IF($C2017="","",IFERROR(MATCH($C2017,Parties!$A$5:$A$304,0),"")),"")</f>
        <v/>
      </c>
      <c r="S2017" s="61" t="str">
        <f aca="false">IF(IsPro,IF($D2017="","",IF(OR($H2017="",$H2017="Credit"),0,P2017)),"")</f>
        <v/>
      </c>
    </row>
    <row r="2018" customFormat="false" ht="15" hidden="false" customHeight="false" outlineLevel="0" collapsed="false">
      <c r="A2018" s="55"/>
      <c r="B2018" s="56"/>
      <c r="C2018" s="56"/>
      <c r="D2018" s="56"/>
      <c r="E2018" s="57"/>
      <c r="F2018" s="58"/>
      <c r="G2018" s="59"/>
      <c r="H2018" s="56"/>
      <c r="I2018" s="60" t="str">
        <f aca="false">IF(IsPro,IF($D2018="","",IFERROR(INDEX(Items!$D$5:$D$504,Q2018),"")),IF($D2018="","","PRO PLAN"))</f>
        <v/>
      </c>
      <c r="J2018" s="61" t="str">
        <f aca="false">IF(IsPro,IF($D2018="","",IF($F2018="",IFERROR(INDEX(Items!$G$5:$G$504,Q2018),0),$F2018)),"")</f>
        <v/>
      </c>
      <c r="K2018" s="61" t="str">
        <f aca="false">IF(IsPro,IF($D2018="","",ROUND(N($E2018)*J2018*(1-N($G2018)),2)),"")</f>
        <v/>
      </c>
      <c r="L2018" s="62" t="str">
        <f aca="false">IF(IsPro,IF($D2018="","",IFERROR(INDEX(Items!$F$5:$F$504,Q2018),0)),"")</f>
        <v/>
      </c>
      <c r="M2018" s="61" t="str">
        <f aca="false">IF(IsPro,IF($D2018="","",IF(AND(R2018&lt;&gt;"",INDEX(Parties!$E$5:$E$304,R2018)&lt;&gt;"",INDEX(Parties!$E$5:$E$304,R2018)&lt;&gt;HomeState),0,ROUND(K2018*L2018/2,2))),"")</f>
        <v/>
      </c>
      <c r="N2018" s="61" t="str">
        <f aca="false">IF(IsPro,IF($D2018="","",M2018),"")</f>
        <v/>
      </c>
      <c r="O2018" s="61" t="str">
        <f aca="false">IF(IsPro,IF($D2018="","",IF(AND(R2018&lt;&gt;"",INDEX(Parties!$E$5:$E$304,R2018)&lt;&gt;"",INDEX(Parties!$E$5:$E$304,R2018)&lt;&gt;HomeState),ROUND(K2018*L2018,2),0)),"")</f>
        <v/>
      </c>
      <c r="P2018" s="61" t="str">
        <f aca="false">IF(IsPro,IF($D2018="","",K2018+M2018+N2018+O2018),"")</f>
        <v/>
      </c>
      <c r="Q2018" s="60" t="str">
        <f aca="false">IF(IsPro,IF($D2018="","",IFERROR(MATCH($D2018,Items!$A$5:$A$504,0),"")),"")</f>
        <v/>
      </c>
      <c r="R2018" s="60" t="str">
        <f aca="false">IF(IsPro,IF($C2018="","",IFERROR(MATCH($C2018,Parties!$A$5:$A$304,0),"")),"")</f>
        <v/>
      </c>
      <c r="S2018" s="61" t="str">
        <f aca="false">IF(IsPro,IF($D2018="","",IF(OR($H2018="",$H2018="Credit"),0,P2018)),"")</f>
        <v/>
      </c>
    </row>
    <row r="2019" customFormat="false" ht="15" hidden="false" customHeight="false" outlineLevel="0" collapsed="false">
      <c r="A2019" s="55"/>
      <c r="B2019" s="56"/>
      <c r="C2019" s="56"/>
      <c r="D2019" s="56"/>
      <c r="E2019" s="57"/>
      <c r="F2019" s="58"/>
      <c r="G2019" s="59"/>
      <c r="H2019" s="56"/>
      <c r="I2019" s="60" t="str">
        <f aca="false">IF(IsPro,IF($D2019="","",IFERROR(INDEX(Items!$D$5:$D$504,Q2019),"")),IF($D2019="","","PRO PLAN"))</f>
        <v/>
      </c>
      <c r="J2019" s="61" t="str">
        <f aca="false">IF(IsPro,IF($D2019="","",IF($F2019="",IFERROR(INDEX(Items!$G$5:$G$504,Q2019),0),$F2019)),"")</f>
        <v/>
      </c>
      <c r="K2019" s="61" t="str">
        <f aca="false">IF(IsPro,IF($D2019="","",ROUND(N($E2019)*J2019*(1-N($G2019)),2)),"")</f>
        <v/>
      </c>
      <c r="L2019" s="62" t="str">
        <f aca="false">IF(IsPro,IF($D2019="","",IFERROR(INDEX(Items!$F$5:$F$504,Q2019),0)),"")</f>
        <v/>
      </c>
      <c r="M2019" s="61" t="str">
        <f aca="false">IF(IsPro,IF($D2019="","",IF(AND(R2019&lt;&gt;"",INDEX(Parties!$E$5:$E$304,R2019)&lt;&gt;"",INDEX(Parties!$E$5:$E$304,R2019)&lt;&gt;HomeState),0,ROUND(K2019*L2019/2,2))),"")</f>
        <v/>
      </c>
      <c r="N2019" s="61" t="str">
        <f aca="false">IF(IsPro,IF($D2019="","",M2019),"")</f>
        <v/>
      </c>
      <c r="O2019" s="61" t="str">
        <f aca="false">IF(IsPro,IF($D2019="","",IF(AND(R2019&lt;&gt;"",INDEX(Parties!$E$5:$E$304,R2019)&lt;&gt;"",INDEX(Parties!$E$5:$E$304,R2019)&lt;&gt;HomeState),ROUND(K2019*L2019,2),0)),"")</f>
        <v/>
      </c>
      <c r="P2019" s="61" t="str">
        <f aca="false">IF(IsPro,IF($D2019="","",K2019+M2019+N2019+O2019),"")</f>
        <v/>
      </c>
      <c r="Q2019" s="60" t="str">
        <f aca="false">IF(IsPro,IF($D2019="","",IFERROR(MATCH($D2019,Items!$A$5:$A$504,0),"")),"")</f>
        <v/>
      </c>
      <c r="R2019" s="60" t="str">
        <f aca="false">IF(IsPro,IF($C2019="","",IFERROR(MATCH($C2019,Parties!$A$5:$A$304,0),"")),"")</f>
        <v/>
      </c>
      <c r="S2019" s="61" t="str">
        <f aca="false">IF(IsPro,IF($D2019="","",IF(OR($H2019="",$H2019="Credit"),0,P2019)),"")</f>
        <v/>
      </c>
    </row>
    <row r="2020" customFormat="false" ht="15" hidden="false" customHeight="false" outlineLevel="0" collapsed="false">
      <c r="A2020" s="55"/>
      <c r="B2020" s="56"/>
      <c r="C2020" s="56"/>
      <c r="D2020" s="56"/>
      <c r="E2020" s="57"/>
      <c r="F2020" s="58"/>
      <c r="G2020" s="59"/>
      <c r="H2020" s="56"/>
      <c r="I2020" s="60" t="str">
        <f aca="false">IF(IsPro,IF($D2020="","",IFERROR(INDEX(Items!$D$5:$D$504,Q2020),"")),IF($D2020="","","PRO PLAN"))</f>
        <v/>
      </c>
      <c r="J2020" s="61" t="str">
        <f aca="false">IF(IsPro,IF($D2020="","",IF($F2020="",IFERROR(INDEX(Items!$G$5:$G$504,Q2020),0),$F2020)),"")</f>
        <v/>
      </c>
      <c r="K2020" s="61" t="str">
        <f aca="false">IF(IsPro,IF($D2020="","",ROUND(N($E2020)*J2020*(1-N($G2020)),2)),"")</f>
        <v/>
      </c>
      <c r="L2020" s="62" t="str">
        <f aca="false">IF(IsPro,IF($D2020="","",IFERROR(INDEX(Items!$F$5:$F$504,Q2020),0)),"")</f>
        <v/>
      </c>
      <c r="M2020" s="61" t="str">
        <f aca="false">IF(IsPro,IF($D2020="","",IF(AND(R2020&lt;&gt;"",INDEX(Parties!$E$5:$E$304,R2020)&lt;&gt;"",INDEX(Parties!$E$5:$E$304,R2020)&lt;&gt;HomeState),0,ROUND(K2020*L2020/2,2))),"")</f>
        <v/>
      </c>
      <c r="N2020" s="61" t="str">
        <f aca="false">IF(IsPro,IF($D2020="","",M2020),"")</f>
        <v/>
      </c>
      <c r="O2020" s="61" t="str">
        <f aca="false">IF(IsPro,IF($D2020="","",IF(AND(R2020&lt;&gt;"",INDEX(Parties!$E$5:$E$304,R2020)&lt;&gt;"",INDEX(Parties!$E$5:$E$304,R2020)&lt;&gt;HomeState),ROUND(K2020*L2020,2),0)),"")</f>
        <v/>
      </c>
      <c r="P2020" s="61" t="str">
        <f aca="false">IF(IsPro,IF($D2020="","",K2020+M2020+N2020+O2020),"")</f>
        <v/>
      </c>
      <c r="Q2020" s="60" t="str">
        <f aca="false">IF(IsPro,IF($D2020="","",IFERROR(MATCH($D2020,Items!$A$5:$A$504,0),"")),"")</f>
        <v/>
      </c>
      <c r="R2020" s="60" t="str">
        <f aca="false">IF(IsPro,IF($C2020="","",IFERROR(MATCH($C2020,Parties!$A$5:$A$304,0),"")),"")</f>
        <v/>
      </c>
      <c r="S2020" s="61" t="str">
        <f aca="false">IF(IsPro,IF($D2020="","",IF(OR($H2020="",$H2020="Credit"),0,P2020)),"")</f>
        <v/>
      </c>
    </row>
    <row r="2021" customFormat="false" ht="15" hidden="false" customHeight="false" outlineLevel="0" collapsed="false">
      <c r="A2021" s="55"/>
      <c r="B2021" s="56"/>
      <c r="C2021" s="56"/>
      <c r="D2021" s="56"/>
      <c r="E2021" s="57"/>
      <c r="F2021" s="58"/>
      <c r="G2021" s="59"/>
      <c r="H2021" s="56"/>
      <c r="I2021" s="60" t="str">
        <f aca="false">IF(IsPro,IF($D2021="","",IFERROR(INDEX(Items!$D$5:$D$504,Q2021),"")),IF($D2021="","","PRO PLAN"))</f>
        <v/>
      </c>
      <c r="J2021" s="61" t="str">
        <f aca="false">IF(IsPro,IF($D2021="","",IF($F2021="",IFERROR(INDEX(Items!$G$5:$G$504,Q2021),0),$F2021)),"")</f>
        <v/>
      </c>
      <c r="K2021" s="61" t="str">
        <f aca="false">IF(IsPro,IF($D2021="","",ROUND(N($E2021)*J2021*(1-N($G2021)),2)),"")</f>
        <v/>
      </c>
      <c r="L2021" s="62" t="str">
        <f aca="false">IF(IsPro,IF($D2021="","",IFERROR(INDEX(Items!$F$5:$F$504,Q2021),0)),"")</f>
        <v/>
      </c>
      <c r="M2021" s="61" t="str">
        <f aca="false">IF(IsPro,IF($D2021="","",IF(AND(R2021&lt;&gt;"",INDEX(Parties!$E$5:$E$304,R2021)&lt;&gt;"",INDEX(Parties!$E$5:$E$304,R2021)&lt;&gt;HomeState),0,ROUND(K2021*L2021/2,2))),"")</f>
        <v/>
      </c>
      <c r="N2021" s="61" t="str">
        <f aca="false">IF(IsPro,IF($D2021="","",M2021),"")</f>
        <v/>
      </c>
      <c r="O2021" s="61" t="str">
        <f aca="false">IF(IsPro,IF($D2021="","",IF(AND(R2021&lt;&gt;"",INDEX(Parties!$E$5:$E$304,R2021)&lt;&gt;"",INDEX(Parties!$E$5:$E$304,R2021)&lt;&gt;HomeState),ROUND(K2021*L2021,2),0)),"")</f>
        <v/>
      </c>
      <c r="P2021" s="61" t="str">
        <f aca="false">IF(IsPro,IF($D2021="","",K2021+M2021+N2021+O2021),"")</f>
        <v/>
      </c>
      <c r="Q2021" s="60" t="str">
        <f aca="false">IF(IsPro,IF($D2021="","",IFERROR(MATCH($D2021,Items!$A$5:$A$504,0),"")),"")</f>
        <v/>
      </c>
      <c r="R2021" s="60" t="str">
        <f aca="false">IF(IsPro,IF($C2021="","",IFERROR(MATCH($C2021,Parties!$A$5:$A$304,0),"")),"")</f>
        <v/>
      </c>
      <c r="S2021" s="61" t="str">
        <f aca="false">IF(IsPro,IF($D2021="","",IF(OR($H2021="",$H2021="Credit"),0,P2021)),"")</f>
        <v/>
      </c>
    </row>
    <row r="2022" customFormat="false" ht="15" hidden="false" customHeight="false" outlineLevel="0" collapsed="false">
      <c r="A2022" s="55"/>
      <c r="B2022" s="56"/>
      <c r="C2022" s="56"/>
      <c r="D2022" s="56"/>
      <c r="E2022" s="57"/>
      <c r="F2022" s="58"/>
      <c r="G2022" s="59"/>
      <c r="H2022" s="56"/>
      <c r="I2022" s="60" t="str">
        <f aca="false">IF(IsPro,IF($D2022="","",IFERROR(INDEX(Items!$D$5:$D$504,Q2022),"")),IF($D2022="","","PRO PLAN"))</f>
        <v/>
      </c>
      <c r="J2022" s="61" t="str">
        <f aca="false">IF(IsPro,IF($D2022="","",IF($F2022="",IFERROR(INDEX(Items!$G$5:$G$504,Q2022),0),$F2022)),"")</f>
        <v/>
      </c>
      <c r="K2022" s="61" t="str">
        <f aca="false">IF(IsPro,IF($D2022="","",ROUND(N($E2022)*J2022*(1-N($G2022)),2)),"")</f>
        <v/>
      </c>
      <c r="L2022" s="62" t="str">
        <f aca="false">IF(IsPro,IF($D2022="","",IFERROR(INDEX(Items!$F$5:$F$504,Q2022),0)),"")</f>
        <v/>
      </c>
      <c r="M2022" s="61" t="str">
        <f aca="false">IF(IsPro,IF($D2022="","",IF(AND(R2022&lt;&gt;"",INDEX(Parties!$E$5:$E$304,R2022)&lt;&gt;"",INDEX(Parties!$E$5:$E$304,R2022)&lt;&gt;HomeState),0,ROUND(K2022*L2022/2,2))),"")</f>
        <v/>
      </c>
      <c r="N2022" s="61" t="str">
        <f aca="false">IF(IsPro,IF($D2022="","",M2022),"")</f>
        <v/>
      </c>
      <c r="O2022" s="61" t="str">
        <f aca="false">IF(IsPro,IF($D2022="","",IF(AND(R2022&lt;&gt;"",INDEX(Parties!$E$5:$E$304,R2022)&lt;&gt;"",INDEX(Parties!$E$5:$E$304,R2022)&lt;&gt;HomeState),ROUND(K2022*L2022,2),0)),"")</f>
        <v/>
      </c>
      <c r="P2022" s="61" t="str">
        <f aca="false">IF(IsPro,IF($D2022="","",K2022+M2022+N2022+O2022),"")</f>
        <v/>
      </c>
      <c r="Q2022" s="60" t="str">
        <f aca="false">IF(IsPro,IF($D2022="","",IFERROR(MATCH($D2022,Items!$A$5:$A$504,0),"")),"")</f>
        <v/>
      </c>
      <c r="R2022" s="60" t="str">
        <f aca="false">IF(IsPro,IF($C2022="","",IFERROR(MATCH($C2022,Parties!$A$5:$A$304,0),"")),"")</f>
        <v/>
      </c>
      <c r="S2022" s="61" t="str">
        <f aca="false">IF(IsPro,IF($D2022="","",IF(OR($H2022="",$H2022="Credit"),0,P2022)),"")</f>
        <v/>
      </c>
    </row>
    <row r="2023" customFormat="false" ht="15" hidden="false" customHeight="false" outlineLevel="0" collapsed="false">
      <c r="A2023" s="55"/>
      <c r="B2023" s="56"/>
      <c r="C2023" s="56"/>
      <c r="D2023" s="56"/>
      <c r="E2023" s="57"/>
      <c r="F2023" s="58"/>
      <c r="G2023" s="59"/>
      <c r="H2023" s="56"/>
      <c r="I2023" s="60" t="str">
        <f aca="false">IF(IsPro,IF($D2023="","",IFERROR(INDEX(Items!$D$5:$D$504,Q2023),"")),IF($D2023="","","PRO PLAN"))</f>
        <v/>
      </c>
      <c r="J2023" s="61" t="str">
        <f aca="false">IF(IsPro,IF($D2023="","",IF($F2023="",IFERROR(INDEX(Items!$G$5:$G$504,Q2023),0),$F2023)),"")</f>
        <v/>
      </c>
      <c r="K2023" s="61" t="str">
        <f aca="false">IF(IsPro,IF($D2023="","",ROUND(N($E2023)*J2023*(1-N($G2023)),2)),"")</f>
        <v/>
      </c>
      <c r="L2023" s="62" t="str">
        <f aca="false">IF(IsPro,IF($D2023="","",IFERROR(INDEX(Items!$F$5:$F$504,Q2023),0)),"")</f>
        <v/>
      </c>
      <c r="M2023" s="61" t="str">
        <f aca="false">IF(IsPro,IF($D2023="","",IF(AND(R2023&lt;&gt;"",INDEX(Parties!$E$5:$E$304,R2023)&lt;&gt;"",INDEX(Parties!$E$5:$E$304,R2023)&lt;&gt;HomeState),0,ROUND(K2023*L2023/2,2))),"")</f>
        <v/>
      </c>
      <c r="N2023" s="61" t="str">
        <f aca="false">IF(IsPro,IF($D2023="","",M2023),"")</f>
        <v/>
      </c>
      <c r="O2023" s="61" t="str">
        <f aca="false">IF(IsPro,IF($D2023="","",IF(AND(R2023&lt;&gt;"",INDEX(Parties!$E$5:$E$304,R2023)&lt;&gt;"",INDEX(Parties!$E$5:$E$304,R2023)&lt;&gt;HomeState),ROUND(K2023*L2023,2),0)),"")</f>
        <v/>
      </c>
      <c r="P2023" s="61" t="str">
        <f aca="false">IF(IsPro,IF($D2023="","",K2023+M2023+N2023+O2023),"")</f>
        <v/>
      </c>
      <c r="Q2023" s="60" t="str">
        <f aca="false">IF(IsPro,IF($D2023="","",IFERROR(MATCH($D2023,Items!$A$5:$A$504,0),"")),"")</f>
        <v/>
      </c>
      <c r="R2023" s="60" t="str">
        <f aca="false">IF(IsPro,IF($C2023="","",IFERROR(MATCH($C2023,Parties!$A$5:$A$304,0),"")),"")</f>
        <v/>
      </c>
      <c r="S2023" s="61" t="str">
        <f aca="false">IF(IsPro,IF($D2023="","",IF(OR($H2023="",$H2023="Credit"),0,P2023)),"")</f>
        <v/>
      </c>
    </row>
    <row r="2024" customFormat="false" ht="15" hidden="false" customHeight="false" outlineLevel="0" collapsed="false">
      <c r="A2024" s="55"/>
      <c r="B2024" s="56"/>
      <c r="C2024" s="56"/>
      <c r="D2024" s="56"/>
      <c r="E2024" s="57"/>
      <c r="F2024" s="58"/>
      <c r="G2024" s="59"/>
      <c r="H2024" s="56"/>
      <c r="I2024" s="60" t="str">
        <f aca="false">IF(IsPro,IF($D2024="","",IFERROR(INDEX(Items!$D$5:$D$504,Q2024),"")),IF($D2024="","","PRO PLAN"))</f>
        <v/>
      </c>
      <c r="J2024" s="61" t="str">
        <f aca="false">IF(IsPro,IF($D2024="","",IF($F2024="",IFERROR(INDEX(Items!$G$5:$G$504,Q2024),0),$F2024)),"")</f>
        <v/>
      </c>
      <c r="K2024" s="61" t="str">
        <f aca="false">IF(IsPro,IF($D2024="","",ROUND(N($E2024)*J2024*(1-N($G2024)),2)),"")</f>
        <v/>
      </c>
      <c r="L2024" s="62" t="str">
        <f aca="false">IF(IsPro,IF($D2024="","",IFERROR(INDEX(Items!$F$5:$F$504,Q2024),0)),"")</f>
        <v/>
      </c>
      <c r="M2024" s="61" t="str">
        <f aca="false">IF(IsPro,IF($D2024="","",IF(AND(R2024&lt;&gt;"",INDEX(Parties!$E$5:$E$304,R2024)&lt;&gt;"",INDEX(Parties!$E$5:$E$304,R2024)&lt;&gt;HomeState),0,ROUND(K2024*L2024/2,2))),"")</f>
        <v/>
      </c>
      <c r="N2024" s="61" t="str">
        <f aca="false">IF(IsPro,IF($D2024="","",M2024),"")</f>
        <v/>
      </c>
      <c r="O2024" s="61" t="str">
        <f aca="false">IF(IsPro,IF($D2024="","",IF(AND(R2024&lt;&gt;"",INDEX(Parties!$E$5:$E$304,R2024)&lt;&gt;"",INDEX(Parties!$E$5:$E$304,R2024)&lt;&gt;HomeState),ROUND(K2024*L2024,2),0)),"")</f>
        <v/>
      </c>
      <c r="P2024" s="61" t="str">
        <f aca="false">IF(IsPro,IF($D2024="","",K2024+M2024+N2024+O2024),"")</f>
        <v/>
      </c>
      <c r="Q2024" s="60" t="str">
        <f aca="false">IF(IsPro,IF($D2024="","",IFERROR(MATCH($D2024,Items!$A$5:$A$504,0),"")),"")</f>
        <v/>
      </c>
      <c r="R2024" s="60" t="str">
        <f aca="false">IF(IsPro,IF($C2024="","",IFERROR(MATCH($C2024,Parties!$A$5:$A$304,0),"")),"")</f>
        <v/>
      </c>
      <c r="S2024" s="61" t="str">
        <f aca="false">IF(IsPro,IF($D2024="","",IF(OR($H2024="",$H2024="Credit"),0,P2024)),"")</f>
        <v/>
      </c>
    </row>
    <row r="2025" customFormat="false" ht="15" hidden="false" customHeight="false" outlineLevel="0" collapsed="false">
      <c r="A2025" s="55"/>
      <c r="B2025" s="56"/>
      <c r="C2025" s="56"/>
      <c r="D2025" s="56"/>
      <c r="E2025" s="57"/>
      <c r="F2025" s="58"/>
      <c r="G2025" s="59"/>
      <c r="H2025" s="56"/>
      <c r="I2025" s="60" t="str">
        <f aca="false">IF(IsPro,IF($D2025="","",IFERROR(INDEX(Items!$D$5:$D$504,Q2025),"")),IF($D2025="","","PRO PLAN"))</f>
        <v/>
      </c>
      <c r="J2025" s="61" t="str">
        <f aca="false">IF(IsPro,IF($D2025="","",IF($F2025="",IFERROR(INDEX(Items!$G$5:$G$504,Q2025),0),$F2025)),"")</f>
        <v/>
      </c>
      <c r="K2025" s="61" t="str">
        <f aca="false">IF(IsPro,IF($D2025="","",ROUND(N($E2025)*J2025*(1-N($G2025)),2)),"")</f>
        <v/>
      </c>
      <c r="L2025" s="62" t="str">
        <f aca="false">IF(IsPro,IF($D2025="","",IFERROR(INDEX(Items!$F$5:$F$504,Q2025),0)),"")</f>
        <v/>
      </c>
      <c r="M2025" s="61" t="str">
        <f aca="false">IF(IsPro,IF($D2025="","",IF(AND(R2025&lt;&gt;"",INDEX(Parties!$E$5:$E$304,R2025)&lt;&gt;"",INDEX(Parties!$E$5:$E$304,R2025)&lt;&gt;HomeState),0,ROUND(K2025*L2025/2,2))),"")</f>
        <v/>
      </c>
      <c r="N2025" s="61" t="str">
        <f aca="false">IF(IsPro,IF($D2025="","",M2025),"")</f>
        <v/>
      </c>
      <c r="O2025" s="61" t="str">
        <f aca="false">IF(IsPro,IF($D2025="","",IF(AND(R2025&lt;&gt;"",INDEX(Parties!$E$5:$E$304,R2025)&lt;&gt;"",INDEX(Parties!$E$5:$E$304,R2025)&lt;&gt;HomeState),ROUND(K2025*L2025,2),0)),"")</f>
        <v/>
      </c>
      <c r="P2025" s="61" t="str">
        <f aca="false">IF(IsPro,IF($D2025="","",K2025+M2025+N2025+O2025),"")</f>
        <v/>
      </c>
      <c r="Q2025" s="60" t="str">
        <f aca="false">IF(IsPro,IF($D2025="","",IFERROR(MATCH($D2025,Items!$A$5:$A$504,0),"")),"")</f>
        <v/>
      </c>
      <c r="R2025" s="60" t="str">
        <f aca="false">IF(IsPro,IF($C2025="","",IFERROR(MATCH($C2025,Parties!$A$5:$A$304,0),"")),"")</f>
        <v/>
      </c>
      <c r="S2025" s="61" t="str">
        <f aca="false">IF(IsPro,IF($D2025="","",IF(OR($H2025="",$H2025="Credit"),0,P2025)),"")</f>
        <v/>
      </c>
    </row>
    <row r="2026" customFormat="false" ht="15" hidden="false" customHeight="false" outlineLevel="0" collapsed="false">
      <c r="A2026" s="55"/>
      <c r="B2026" s="56"/>
      <c r="C2026" s="56"/>
      <c r="D2026" s="56"/>
      <c r="E2026" s="57"/>
      <c r="F2026" s="58"/>
      <c r="G2026" s="59"/>
      <c r="H2026" s="56"/>
      <c r="I2026" s="60" t="str">
        <f aca="false">IF(IsPro,IF($D2026="","",IFERROR(INDEX(Items!$D$5:$D$504,Q2026),"")),IF($D2026="","","PRO PLAN"))</f>
        <v/>
      </c>
      <c r="J2026" s="61" t="str">
        <f aca="false">IF(IsPro,IF($D2026="","",IF($F2026="",IFERROR(INDEX(Items!$G$5:$G$504,Q2026),0),$F2026)),"")</f>
        <v/>
      </c>
      <c r="K2026" s="61" t="str">
        <f aca="false">IF(IsPro,IF($D2026="","",ROUND(N($E2026)*J2026*(1-N($G2026)),2)),"")</f>
        <v/>
      </c>
      <c r="L2026" s="62" t="str">
        <f aca="false">IF(IsPro,IF($D2026="","",IFERROR(INDEX(Items!$F$5:$F$504,Q2026),0)),"")</f>
        <v/>
      </c>
      <c r="M2026" s="61" t="str">
        <f aca="false">IF(IsPro,IF($D2026="","",IF(AND(R2026&lt;&gt;"",INDEX(Parties!$E$5:$E$304,R2026)&lt;&gt;"",INDEX(Parties!$E$5:$E$304,R2026)&lt;&gt;HomeState),0,ROUND(K2026*L2026/2,2))),"")</f>
        <v/>
      </c>
      <c r="N2026" s="61" t="str">
        <f aca="false">IF(IsPro,IF($D2026="","",M2026),"")</f>
        <v/>
      </c>
      <c r="O2026" s="61" t="str">
        <f aca="false">IF(IsPro,IF($D2026="","",IF(AND(R2026&lt;&gt;"",INDEX(Parties!$E$5:$E$304,R2026)&lt;&gt;"",INDEX(Parties!$E$5:$E$304,R2026)&lt;&gt;HomeState),ROUND(K2026*L2026,2),0)),"")</f>
        <v/>
      </c>
      <c r="P2026" s="61" t="str">
        <f aca="false">IF(IsPro,IF($D2026="","",K2026+M2026+N2026+O2026),"")</f>
        <v/>
      </c>
      <c r="Q2026" s="60" t="str">
        <f aca="false">IF(IsPro,IF($D2026="","",IFERROR(MATCH($D2026,Items!$A$5:$A$504,0),"")),"")</f>
        <v/>
      </c>
      <c r="R2026" s="60" t="str">
        <f aca="false">IF(IsPro,IF($C2026="","",IFERROR(MATCH($C2026,Parties!$A$5:$A$304,0),"")),"")</f>
        <v/>
      </c>
      <c r="S2026" s="61" t="str">
        <f aca="false">IF(IsPro,IF($D2026="","",IF(OR($H2026="",$H2026="Credit"),0,P2026)),"")</f>
        <v/>
      </c>
    </row>
    <row r="2027" customFormat="false" ht="15" hidden="false" customHeight="false" outlineLevel="0" collapsed="false">
      <c r="A2027" s="55"/>
      <c r="B2027" s="56"/>
      <c r="C2027" s="56"/>
      <c r="D2027" s="56"/>
      <c r="E2027" s="57"/>
      <c r="F2027" s="58"/>
      <c r="G2027" s="59"/>
      <c r="H2027" s="56"/>
      <c r="I2027" s="60" t="str">
        <f aca="false">IF(IsPro,IF($D2027="","",IFERROR(INDEX(Items!$D$5:$D$504,Q2027),"")),IF($D2027="","","PRO PLAN"))</f>
        <v/>
      </c>
      <c r="J2027" s="61" t="str">
        <f aca="false">IF(IsPro,IF($D2027="","",IF($F2027="",IFERROR(INDEX(Items!$G$5:$G$504,Q2027),0),$F2027)),"")</f>
        <v/>
      </c>
      <c r="K2027" s="61" t="str">
        <f aca="false">IF(IsPro,IF($D2027="","",ROUND(N($E2027)*J2027*(1-N($G2027)),2)),"")</f>
        <v/>
      </c>
      <c r="L2027" s="62" t="str">
        <f aca="false">IF(IsPro,IF($D2027="","",IFERROR(INDEX(Items!$F$5:$F$504,Q2027),0)),"")</f>
        <v/>
      </c>
      <c r="M2027" s="61" t="str">
        <f aca="false">IF(IsPro,IF($D2027="","",IF(AND(R2027&lt;&gt;"",INDEX(Parties!$E$5:$E$304,R2027)&lt;&gt;"",INDEX(Parties!$E$5:$E$304,R2027)&lt;&gt;HomeState),0,ROUND(K2027*L2027/2,2))),"")</f>
        <v/>
      </c>
      <c r="N2027" s="61" t="str">
        <f aca="false">IF(IsPro,IF($D2027="","",M2027),"")</f>
        <v/>
      </c>
      <c r="O2027" s="61" t="str">
        <f aca="false">IF(IsPro,IF($D2027="","",IF(AND(R2027&lt;&gt;"",INDEX(Parties!$E$5:$E$304,R2027)&lt;&gt;"",INDEX(Parties!$E$5:$E$304,R2027)&lt;&gt;HomeState),ROUND(K2027*L2027,2),0)),"")</f>
        <v/>
      </c>
      <c r="P2027" s="61" t="str">
        <f aca="false">IF(IsPro,IF($D2027="","",K2027+M2027+N2027+O2027),"")</f>
        <v/>
      </c>
      <c r="Q2027" s="60" t="str">
        <f aca="false">IF(IsPro,IF($D2027="","",IFERROR(MATCH($D2027,Items!$A$5:$A$504,0),"")),"")</f>
        <v/>
      </c>
      <c r="R2027" s="60" t="str">
        <f aca="false">IF(IsPro,IF($C2027="","",IFERROR(MATCH($C2027,Parties!$A$5:$A$304,0),"")),"")</f>
        <v/>
      </c>
      <c r="S2027" s="61" t="str">
        <f aca="false">IF(IsPro,IF($D2027="","",IF(OR($H2027="",$H2027="Credit"),0,P2027)),"")</f>
        <v/>
      </c>
    </row>
    <row r="2028" customFormat="false" ht="15" hidden="false" customHeight="false" outlineLevel="0" collapsed="false">
      <c r="A2028" s="55"/>
      <c r="B2028" s="56"/>
      <c r="C2028" s="56"/>
      <c r="D2028" s="56"/>
      <c r="E2028" s="57"/>
      <c r="F2028" s="58"/>
      <c r="G2028" s="59"/>
      <c r="H2028" s="56"/>
      <c r="I2028" s="60" t="str">
        <f aca="false">IF(IsPro,IF($D2028="","",IFERROR(INDEX(Items!$D$5:$D$504,Q2028),"")),IF($D2028="","","PRO PLAN"))</f>
        <v/>
      </c>
      <c r="J2028" s="61" t="str">
        <f aca="false">IF(IsPro,IF($D2028="","",IF($F2028="",IFERROR(INDEX(Items!$G$5:$G$504,Q2028),0),$F2028)),"")</f>
        <v/>
      </c>
      <c r="K2028" s="61" t="str">
        <f aca="false">IF(IsPro,IF($D2028="","",ROUND(N($E2028)*J2028*(1-N($G2028)),2)),"")</f>
        <v/>
      </c>
      <c r="L2028" s="62" t="str">
        <f aca="false">IF(IsPro,IF($D2028="","",IFERROR(INDEX(Items!$F$5:$F$504,Q2028),0)),"")</f>
        <v/>
      </c>
      <c r="M2028" s="61" t="str">
        <f aca="false">IF(IsPro,IF($D2028="","",IF(AND(R2028&lt;&gt;"",INDEX(Parties!$E$5:$E$304,R2028)&lt;&gt;"",INDEX(Parties!$E$5:$E$304,R2028)&lt;&gt;HomeState),0,ROUND(K2028*L2028/2,2))),"")</f>
        <v/>
      </c>
      <c r="N2028" s="61" t="str">
        <f aca="false">IF(IsPro,IF($D2028="","",M2028),"")</f>
        <v/>
      </c>
      <c r="O2028" s="61" t="str">
        <f aca="false">IF(IsPro,IF($D2028="","",IF(AND(R2028&lt;&gt;"",INDEX(Parties!$E$5:$E$304,R2028)&lt;&gt;"",INDEX(Parties!$E$5:$E$304,R2028)&lt;&gt;HomeState),ROUND(K2028*L2028,2),0)),"")</f>
        <v/>
      </c>
      <c r="P2028" s="61" t="str">
        <f aca="false">IF(IsPro,IF($D2028="","",K2028+M2028+N2028+O2028),"")</f>
        <v/>
      </c>
      <c r="Q2028" s="60" t="str">
        <f aca="false">IF(IsPro,IF($D2028="","",IFERROR(MATCH($D2028,Items!$A$5:$A$504,0),"")),"")</f>
        <v/>
      </c>
      <c r="R2028" s="60" t="str">
        <f aca="false">IF(IsPro,IF($C2028="","",IFERROR(MATCH($C2028,Parties!$A$5:$A$304,0),"")),"")</f>
        <v/>
      </c>
      <c r="S2028" s="61" t="str">
        <f aca="false">IF(IsPro,IF($D2028="","",IF(OR($H2028="",$H2028="Credit"),0,P2028)),"")</f>
        <v/>
      </c>
    </row>
    <row r="2029" customFormat="false" ht="15" hidden="false" customHeight="false" outlineLevel="0" collapsed="false">
      <c r="A2029" s="55"/>
      <c r="B2029" s="56"/>
      <c r="C2029" s="56"/>
      <c r="D2029" s="56"/>
      <c r="E2029" s="57"/>
      <c r="F2029" s="58"/>
      <c r="G2029" s="59"/>
      <c r="H2029" s="56"/>
      <c r="I2029" s="60" t="str">
        <f aca="false">IF(IsPro,IF($D2029="","",IFERROR(INDEX(Items!$D$5:$D$504,Q2029),"")),IF($D2029="","","PRO PLAN"))</f>
        <v/>
      </c>
      <c r="J2029" s="61" t="str">
        <f aca="false">IF(IsPro,IF($D2029="","",IF($F2029="",IFERROR(INDEX(Items!$G$5:$G$504,Q2029),0),$F2029)),"")</f>
        <v/>
      </c>
      <c r="K2029" s="61" t="str">
        <f aca="false">IF(IsPro,IF($D2029="","",ROUND(N($E2029)*J2029*(1-N($G2029)),2)),"")</f>
        <v/>
      </c>
      <c r="L2029" s="62" t="str">
        <f aca="false">IF(IsPro,IF($D2029="","",IFERROR(INDEX(Items!$F$5:$F$504,Q2029),0)),"")</f>
        <v/>
      </c>
      <c r="M2029" s="61" t="str">
        <f aca="false">IF(IsPro,IF($D2029="","",IF(AND(R2029&lt;&gt;"",INDEX(Parties!$E$5:$E$304,R2029)&lt;&gt;"",INDEX(Parties!$E$5:$E$304,R2029)&lt;&gt;HomeState),0,ROUND(K2029*L2029/2,2))),"")</f>
        <v/>
      </c>
      <c r="N2029" s="61" t="str">
        <f aca="false">IF(IsPro,IF($D2029="","",M2029),"")</f>
        <v/>
      </c>
      <c r="O2029" s="61" t="str">
        <f aca="false">IF(IsPro,IF($D2029="","",IF(AND(R2029&lt;&gt;"",INDEX(Parties!$E$5:$E$304,R2029)&lt;&gt;"",INDEX(Parties!$E$5:$E$304,R2029)&lt;&gt;HomeState),ROUND(K2029*L2029,2),0)),"")</f>
        <v/>
      </c>
      <c r="P2029" s="61" t="str">
        <f aca="false">IF(IsPro,IF($D2029="","",K2029+M2029+N2029+O2029),"")</f>
        <v/>
      </c>
      <c r="Q2029" s="60" t="str">
        <f aca="false">IF(IsPro,IF($D2029="","",IFERROR(MATCH($D2029,Items!$A$5:$A$504,0),"")),"")</f>
        <v/>
      </c>
      <c r="R2029" s="60" t="str">
        <f aca="false">IF(IsPro,IF($C2029="","",IFERROR(MATCH($C2029,Parties!$A$5:$A$304,0),"")),"")</f>
        <v/>
      </c>
      <c r="S2029" s="61" t="str">
        <f aca="false">IF(IsPro,IF($D2029="","",IF(OR($H2029="",$H2029="Credit"),0,P2029)),"")</f>
        <v/>
      </c>
    </row>
    <row r="2030" customFormat="false" ht="15" hidden="false" customHeight="false" outlineLevel="0" collapsed="false">
      <c r="A2030" s="55"/>
      <c r="B2030" s="56"/>
      <c r="C2030" s="56"/>
      <c r="D2030" s="56"/>
      <c r="E2030" s="57"/>
      <c r="F2030" s="58"/>
      <c r="G2030" s="59"/>
      <c r="H2030" s="56"/>
      <c r="I2030" s="60" t="str">
        <f aca="false">IF(IsPro,IF($D2030="","",IFERROR(INDEX(Items!$D$5:$D$504,Q2030),"")),IF($D2030="","","PRO PLAN"))</f>
        <v/>
      </c>
      <c r="J2030" s="61" t="str">
        <f aca="false">IF(IsPro,IF($D2030="","",IF($F2030="",IFERROR(INDEX(Items!$G$5:$G$504,Q2030),0),$F2030)),"")</f>
        <v/>
      </c>
      <c r="K2030" s="61" t="str">
        <f aca="false">IF(IsPro,IF($D2030="","",ROUND(N($E2030)*J2030*(1-N($G2030)),2)),"")</f>
        <v/>
      </c>
      <c r="L2030" s="62" t="str">
        <f aca="false">IF(IsPro,IF($D2030="","",IFERROR(INDEX(Items!$F$5:$F$504,Q2030),0)),"")</f>
        <v/>
      </c>
      <c r="M2030" s="61" t="str">
        <f aca="false">IF(IsPro,IF($D2030="","",IF(AND(R2030&lt;&gt;"",INDEX(Parties!$E$5:$E$304,R2030)&lt;&gt;"",INDEX(Parties!$E$5:$E$304,R2030)&lt;&gt;HomeState),0,ROUND(K2030*L2030/2,2))),"")</f>
        <v/>
      </c>
      <c r="N2030" s="61" t="str">
        <f aca="false">IF(IsPro,IF($D2030="","",M2030),"")</f>
        <v/>
      </c>
      <c r="O2030" s="61" t="str">
        <f aca="false">IF(IsPro,IF($D2030="","",IF(AND(R2030&lt;&gt;"",INDEX(Parties!$E$5:$E$304,R2030)&lt;&gt;"",INDEX(Parties!$E$5:$E$304,R2030)&lt;&gt;HomeState),ROUND(K2030*L2030,2),0)),"")</f>
        <v/>
      </c>
      <c r="P2030" s="61" t="str">
        <f aca="false">IF(IsPro,IF($D2030="","",K2030+M2030+N2030+O2030),"")</f>
        <v/>
      </c>
      <c r="Q2030" s="60" t="str">
        <f aca="false">IF(IsPro,IF($D2030="","",IFERROR(MATCH($D2030,Items!$A$5:$A$504,0),"")),"")</f>
        <v/>
      </c>
      <c r="R2030" s="60" t="str">
        <f aca="false">IF(IsPro,IF($C2030="","",IFERROR(MATCH($C2030,Parties!$A$5:$A$304,0),"")),"")</f>
        <v/>
      </c>
      <c r="S2030" s="61" t="str">
        <f aca="false">IF(IsPro,IF($D2030="","",IF(OR($H2030="",$H2030="Credit"),0,P2030)),"")</f>
        <v/>
      </c>
    </row>
    <row r="2031" customFormat="false" ht="15" hidden="false" customHeight="false" outlineLevel="0" collapsed="false">
      <c r="A2031" s="55"/>
      <c r="B2031" s="56"/>
      <c r="C2031" s="56"/>
      <c r="D2031" s="56"/>
      <c r="E2031" s="57"/>
      <c r="F2031" s="58"/>
      <c r="G2031" s="59"/>
      <c r="H2031" s="56"/>
      <c r="I2031" s="60" t="str">
        <f aca="false">IF(IsPro,IF($D2031="","",IFERROR(INDEX(Items!$D$5:$D$504,Q2031),"")),IF($D2031="","","PRO PLAN"))</f>
        <v/>
      </c>
      <c r="J2031" s="61" t="str">
        <f aca="false">IF(IsPro,IF($D2031="","",IF($F2031="",IFERROR(INDEX(Items!$G$5:$G$504,Q2031),0),$F2031)),"")</f>
        <v/>
      </c>
      <c r="K2031" s="61" t="str">
        <f aca="false">IF(IsPro,IF($D2031="","",ROUND(N($E2031)*J2031*(1-N($G2031)),2)),"")</f>
        <v/>
      </c>
      <c r="L2031" s="62" t="str">
        <f aca="false">IF(IsPro,IF($D2031="","",IFERROR(INDEX(Items!$F$5:$F$504,Q2031),0)),"")</f>
        <v/>
      </c>
      <c r="M2031" s="61" t="str">
        <f aca="false">IF(IsPro,IF($D2031="","",IF(AND(R2031&lt;&gt;"",INDEX(Parties!$E$5:$E$304,R2031)&lt;&gt;"",INDEX(Parties!$E$5:$E$304,R2031)&lt;&gt;HomeState),0,ROUND(K2031*L2031/2,2))),"")</f>
        <v/>
      </c>
      <c r="N2031" s="61" t="str">
        <f aca="false">IF(IsPro,IF($D2031="","",M2031),"")</f>
        <v/>
      </c>
      <c r="O2031" s="61" t="str">
        <f aca="false">IF(IsPro,IF($D2031="","",IF(AND(R2031&lt;&gt;"",INDEX(Parties!$E$5:$E$304,R2031)&lt;&gt;"",INDEX(Parties!$E$5:$E$304,R2031)&lt;&gt;HomeState),ROUND(K2031*L2031,2),0)),"")</f>
        <v/>
      </c>
      <c r="P2031" s="61" t="str">
        <f aca="false">IF(IsPro,IF($D2031="","",K2031+M2031+N2031+O2031),"")</f>
        <v/>
      </c>
      <c r="Q2031" s="60" t="str">
        <f aca="false">IF(IsPro,IF($D2031="","",IFERROR(MATCH($D2031,Items!$A$5:$A$504,0),"")),"")</f>
        <v/>
      </c>
      <c r="R2031" s="60" t="str">
        <f aca="false">IF(IsPro,IF($C2031="","",IFERROR(MATCH($C2031,Parties!$A$5:$A$304,0),"")),"")</f>
        <v/>
      </c>
      <c r="S2031" s="61" t="str">
        <f aca="false">IF(IsPro,IF($D2031="","",IF(OR($H2031="",$H2031="Credit"),0,P2031)),"")</f>
        <v/>
      </c>
    </row>
    <row r="2032" customFormat="false" ht="15" hidden="false" customHeight="false" outlineLevel="0" collapsed="false">
      <c r="A2032" s="55"/>
      <c r="B2032" s="56"/>
      <c r="C2032" s="56"/>
      <c r="D2032" s="56"/>
      <c r="E2032" s="57"/>
      <c r="F2032" s="58"/>
      <c r="G2032" s="59"/>
      <c r="H2032" s="56"/>
      <c r="I2032" s="60" t="str">
        <f aca="false">IF(IsPro,IF($D2032="","",IFERROR(INDEX(Items!$D$5:$D$504,Q2032),"")),IF($D2032="","","PRO PLAN"))</f>
        <v/>
      </c>
      <c r="J2032" s="61" t="str">
        <f aca="false">IF(IsPro,IF($D2032="","",IF($F2032="",IFERROR(INDEX(Items!$G$5:$G$504,Q2032),0),$F2032)),"")</f>
        <v/>
      </c>
      <c r="K2032" s="61" t="str">
        <f aca="false">IF(IsPro,IF($D2032="","",ROUND(N($E2032)*J2032*(1-N($G2032)),2)),"")</f>
        <v/>
      </c>
      <c r="L2032" s="62" t="str">
        <f aca="false">IF(IsPro,IF($D2032="","",IFERROR(INDEX(Items!$F$5:$F$504,Q2032),0)),"")</f>
        <v/>
      </c>
      <c r="M2032" s="61" t="str">
        <f aca="false">IF(IsPro,IF($D2032="","",IF(AND(R2032&lt;&gt;"",INDEX(Parties!$E$5:$E$304,R2032)&lt;&gt;"",INDEX(Parties!$E$5:$E$304,R2032)&lt;&gt;HomeState),0,ROUND(K2032*L2032/2,2))),"")</f>
        <v/>
      </c>
      <c r="N2032" s="61" t="str">
        <f aca="false">IF(IsPro,IF($D2032="","",M2032),"")</f>
        <v/>
      </c>
      <c r="O2032" s="61" t="str">
        <f aca="false">IF(IsPro,IF($D2032="","",IF(AND(R2032&lt;&gt;"",INDEX(Parties!$E$5:$E$304,R2032)&lt;&gt;"",INDEX(Parties!$E$5:$E$304,R2032)&lt;&gt;HomeState),ROUND(K2032*L2032,2),0)),"")</f>
        <v/>
      </c>
      <c r="P2032" s="61" t="str">
        <f aca="false">IF(IsPro,IF($D2032="","",K2032+M2032+N2032+O2032),"")</f>
        <v/>
      </c>
      <c r="Q2032" s="60" t="str">
        <f aca="false">IF(IsPro,IF($D2032="","",IFERROR(MATCH($D2032,Items!$A$5:$A$504,0),"")),"")</f>
        <v/>
      </c>
      <c r="R2032" s="60" t="str">
        <f aca="false">IF(IsPro,IF($C2032="","",IFERROR(MATCH($C2032,Parties!$A$5:$A$304,0),"")),"")</f>
        <v/>
      </c>
      <c r="S2032" s="61" t="str">
        <f aca="false">IF(IsPro,IF($D2032="","",IF(OR($H2032="",$H2032="Credit"),0,P2032)),"")</f>
        <v/>
      </c>
    </row>
    <row r="2033" customFormat="false" ht="15" hidden="false" customHeight="false" outlineLevel="0" collapsed="false">
      <c r="A2033" s="55"/>
      <c r="B2033" s="56"/>
      <c r="C2033" s="56"/>
      <c r="D2033" s="56"/>
      <c r="E2033" s="57"/>
      <c r="F2033" s="58"/>
      <c r="G2033" s="59"/>
      <c r="H2033" s="56"/>
      <c r="I2033" s="60" t="str">
        <f aca="false">IF(IsPro,IF($D2033="","",IFERROR(INDEX(Items!$D$5:$D$504,Q2033),"")),IF($D2033="","","PRO PLAN"))</f>
        <v/>
      </c>
      <c r="J2033" s="61" t="str">
        <f aca="false">IF(IsPro,IF($D2033="","",IF($F2033="",IFERROR(INDEX(Items!$G$5:$G$504,Q2033),0),$F2033)),"")</f>
        <v/>
      </c>
      <c r="K2033" s="61" t="str">
        <f aca="false">IF(IsPro,IF($D2033="","",ROUND(N($E2033)*J2033*(1-N($G2033)),2)),"")</f>
        <v/>
      </c>
      <c r="L2033" s="62" t="str">
        <f aca="false">IF(IsPro,IF($D2033="","",IFERROR(INDEX(Items!$F$5:$F$504,Q2033),0)),"")</f>
        <v/>
      </c>
      <c r="M2033" s="61" t="str">
        <f aca="false">IF(IsPro,IF($D2033="","",IF(AND(R2033&lt;&gt;"",INDEX(Parties!$E$5:$E$304,R2033)&lt;&gt;"",INDEX(Parties!$E$5:$E$304,R2033)&lt;&gt;HomeState),0,ROUND(K2033*L2033/2,2))),"")</f>
        <v/>
      </c>
      <c r="N2033" s="61" t="str">
        <f aca="false">IF(IsPro,IF($D2033="","",M2033),"")</f>
        <v/>
      </c>
      <c r="O2033" s="61" t="str">
        <f aca="false">IF(IsPro,IF($D2033="","",IF(AND(R2033&lt;&gt;"",INDEX(Parties!$E$5:$E$304,R2033)&lt;&gt;"",INDEX(Parties!$E$5:$E$304,R2033)&lt;&gt;HomeState),ROUND(K2033*L2033,2),0)),"")</f>
        <v/>
      </c>
      <c r="P2033" s="61" t="str">
        <f aca="false">IF(IsPro,IF($D2033="","",K2033+M2033+N2033+O2033),"")</f>
        <v/>
      </c>
      <c r="Q2033" s="60" t="str">
        <f aca="false">IF(IsPro,IF($D2033="","",IFERROR(MATCH($D2033,Items!$A$5:$A$504,0),"")),"")</f>
        <v/>
      </c>
      <c r="R2033" s="60" t="str">
        <f aca="false">IF(IsPro,IF($C2033="","",IFERROR(MATCH($C2033,Parties!$A$5:$A$304,0),"")),"")</f>
        <v/>
      </c>
      <c r="S2033" s="61" t="str">
        <f aca="false">IF(IsPro,IF($D2033="","",IF(OR($H2033="",$H2033="Credit"),0,P2033)),"")</f>
        <v/>
      </c>
    </row>
    <row r="2034" customFormat="false" ht="15" hidden="false" customHeight="false" outlineLevel="0" collapsed="false">
      <c r="A2034" s="55"/>
      <c r="B2034" s="56"/>
      <c r="C2034" s="56"/>
      <c r="D2034" s="56"/>
      <c r="E2034" s="57"/>
      <c r="F2034" s="58"/>
      <c r="G2034" s="59"/>
      <c r="H2034" s="56"/>
      <c r="I2034" s="60" t="str">
        <f aca="false">IF(IsPro,IF($D2034="","",IFERROR(INDEX(Items!$D$5:$D$504,Q2034),"")),IF($D2034="","","PRO PLAN"))</f>
        <v/>
      </c>
      <c r="J2034" s="61" t="str">
        <f aca="false">IF(IsPro,IF($D2034="","",IF($F2034="",IFERROR(INDEX(Items!$G$5:$G$504,Q2034),0),$F2034)),"")</f>
        <v/>
      </c>
      <c r="K2034" s="61" t="str">
        <f aca="false">IF(IsPro,IF($D2034="","",ROUND(N($E2034)*J2034*(1-N($G2034)),2)),"")</f>
        <v/>
      </c>
      <c r="L2034" s="62" t="str">
        <f aca="false">IF(IsPro,IF($D2034="","",IFERROR(INDEX(Items!$F$5:$F$504,Q2034),0)),"")</f>
        <v/>
      </c>
      <c r="M2034" s="61" t="str">
        <f aca="false">IF(IsPro,IF($D2034="","",IF(AND(R2034&lt;&gt;"",INDEX(Parties!$E$5:$E$304,R2034)&lt;&gt;"",INDEX(Parties!$E$5:$E$304,R2034)&lt;&gt;HomeState),0,ROUND(K2034*L2034/2,2))),"")</f>
        <v/>
      </c>
      <c r="N2034" s="61" t="str">
        <f aca="false">IF(IsPro,IF($D2034="","",M2034),"")</f>
        <v/>
      </c>
      <c r="O2034" s="61" t="str">
        <f aca="false">IF(IsPro,IF($D2034="","",IF(AND(R2034&lt;&gt;"",INDEX(Parties!$E$5:$E$304,R2034)&lt;&gt;"",INDEX(Parties!$E$5:$E$304,R2034)&lt;&gt;HomeState),ROUND(K2034*L2034,2),0)),"")</f>
        <v/>
      </c>
      <c r="P2034" s="61" t="str">
        <f aca="false">IF(IsPro,IF($D2034="","",K2034+M2034+N2034+O2034),"")</f>
        <v/>
      </c>
      <c r="Q2034" s="60" t="str">
        <f aca="false">IF(IsPro,IF($D2034="","",IFERROR(MATCH($D2034,Items!$A$5:$A$504,0),"")),"")</f>
        <v/>
      </c>
      <c r="R2034" s="60" t="str">
        <f aca="false">IF(IsPro,IF($C2034="","",IFERROR(MATCH($C2034,Parties!$A$5:$A$304,0),"")),"")</f>
        <v/>
      </c>
      <c r="S2034" s="61" t="str">
        <f aca="false">IF(IsPro,IF($D2034="","",IF(OR($H2034="",$H2034="Credit"),0,P2034)),"")</f>
        <v/>
      </c>
    </row>
    <row r="2035" customFormat="false" ht="15" hidden="false" customHeight="false" outlineLevel="0" collapsed="false">
      <c r="A2035" s="55"/>
      <c r="B2035" s="56"/>
      <c r="C2035" s="56"/>
      <c r="D2035" s="56"/>
      <c r="E2035" s="57"/>
      <c r="F2035" s="58"/>
      <c r="G2035" s="59"/>
      <c r="H2035" s="56"/>
      <c r="I2035" s="60" t="str">
        <f aca="false">IF(IsPro,IF($D2035="","",IFERROR(INDEX(Items!$D$5:$D$504,Q2035),"")),IF($D2035="","","PRO PLAN"))</f>
        <v/>
      </c>
      <c r="J2035" s="61" t="str">
        <f aca="false">IF(IsPro,IF($D2035="","",IF($F2035="",IFERROR(INDEX(Items!$G$5:$G$504,Q2035),0),$F2035)),"")</f>
        <v/>
      </c>
      <c r="K2035" s="61" t="str">
        <f aca="false">IF(IsPro,IF($D2035="","",ROUND(N($E2035)*J2035*(1-N($G2035)),2)),"")</f>
        <v/>
      </c>
      <c r="L2035" s="62" t="str">
        <f aca="false">IF(IsPro,IF($D2035="","",IFERROR(INDEX(Items!$F$5:$F$504,Q2035),0)),"")</f>
        <v/>
      </c>
      <c r="M2035" s="61" t="str">
        <f aca="false">IF(IsPro,IF($D2035="","",IF(AND(R2035&lt;&gt;"",INDEX(Parties!$E$5:$E$304,R2035)&lt;&gt;"",INDEX(Parties!$E$5:$E$304,R2035)&lt;&gt;HomeState),0,ROUND(K2035*L2035/2,2))),"")</f>
        <v/>
      </c>
      <c r="N2035" s="61" t="str">
        <f aca="false">IF(IsPro,IF($D2035="","",M2035),"")</f>
        <v/>
      </c>
      <c r="O2035" s="61" t="str">
        <f aca="false">IF(IsPro,IF($D2035="","",IF(AND(R2035&lt;&gt;"",INDEX(Parties!$E$5:$E$304,R2035)&lt;&gt;"",INDEX(Parties!$E$5:$E$304,R2035)&lt;&gt;HomeState),ROUND(K2035*L2035,2),0)),"")</f>
        <v/>
      </c>
      <c r="P2035" s="61" t="str">
        <f aca="false">IF(IsPro,IF($D2035="","",K2035+M2035+N2035+O2035),"")</f>
        <v/>
      </c>
      <c r="Q2035" s="60" t="str">
        <f aca="false">IF(IsPro,IF($D2035="","",IFERROR(MATCH($D2035,Items!$A$5:$A$504,0),"")),"")</f>
        <v/>
      </c>
      <c r="R2035" s="60" t="str">
        <f aca="false">IF(IsPro,IF($C2035="","",IFERROR(MATCH($C2035,Parties!$A$5:$A$304,0),"")),"")</f>
        <v/>
      </c>
      <c r="S2035" s="61" t="str">
        <f aca="false">IF(IsPro,IF($D2035="","",IF(OR($H2035="",$H2035="Credit"),0,P2035)),"")</f>
        <v/>
      </c>
    </row>
    <row r="2036" customFormat="false" ht="15" hidden="false" customHeight="false" outlineLevel="0" collapsed="false">
      <c r="A2036" s="55"/>
      <c r="B2036" s="56"/>
      <c r="C2036" s="56"/>
      <c r="D2036" s="56"/>
      <c r="E2036" s="57"/>
      <c r="F2036" s="58"/>
      <c r="G2036" s="59"/>
      <c r="H2036" s="56"/>
      <c r="I2036" s="60" t="str">
        <f aca="false">IF(IsPro,IF($D2036="","",IFERROR(INDEX(Items!$D$5:$D$504,Q2036),"")),IF($D2036="","","PRO PLAN"))</f>
        <v/>
      </c>
      <c r="J2036" s="61" t="str">
        <f aca="false">IF(IsPro,IF($D2036="","",IF($F2036="",IFERROR(INDEX(Items!$G$5:$G$504,Q2036),0),$F2036)),"")</f>
        <v/>
      </c>
      <c r="K2036" s="61" t="str">
        <f aca="false">IF(IsPro,IF($D2036="","",ROUND(N($E2036)*J2036*(1-N($G2036)),2)),"")</f>
        <v/>
      </c>
      <c r="L2036" s="62" t="str">
        <f aca="false">IF(IsPro,IF($D2036="","",IFERROR(INDEX(Items!$F$5:$F$504,Q2036),0)),"")</f>
        <v/>
      </c>
      <c r="M2036" s="61" t="str">
        <f aca="false">IF(IsPro,IF($D2036="","",IF(AND(R2036&lt;&gt;"",INDEX(Parties!$E$5:$E$304,R2036)&lt;&gt;"",INDEX(Parties!$E$5:$E$304,R2036)&lt;&gt;HomeState),0,ROUND(K2036*L2036/2,2))),"")</f>
        <v/>
      </c>
      <c r="N2036" s="61" t="str">
        <f aca="false">IF(IsPro,IF($D2036="","",M2036),"")</f>
        <v/>
      </c>
      <c r="O2036" s="61" t="str">
        <f aca="false">IF(IsPro,IF($D2036="","",IF(AND(R2036&lt;&gt;"",INDEX(Parties!$E$5:$E$304,R2036)&lt;&gt;"",INDEX(Parties!$E$5:$E$304,R2036)&lt;&gt;HomeState),ROUND(K2036*L2036,2),0)),"")</f>
        <v/>
      </c>
      <c r="P2036" s="61" t="str">
        <f aca="false">IF(IsPro,IF($D2036="","",K2036+M2036+N2036+O2036),"")</f>
        <v/>
      </c>
      <c r="Q2036" s="60" t="str">
        <f aca="false">IF(IsPro,IF($D2036="","",IFERROR(MATCH($D2036,Items!$A$5:$A$504,0),"")),"")</f>
        <v/>
      </c>
      <c r="R2036" s="60" t="str">
        <f aca="false">IF(IsPro,IF($C2036="","",IFERROR(MATCH($C2036,Parties!$A$5:$A$304,0),"")),"")</f>
        <v/>
      </c>
      <c r="S2036" s="61" t="str">
        <f aca="false">IF(IsPro,IF($D2036="","",IF(OR($H2036="",$H2036="Credit"),0,P2036)),"")</f>
        <v/>
      </c>
    </row>
    <row r="2037" customFormat="false" ht="15" hidden="false" customHeight="false" outlineLevel="0" collapsed="false">
      <c r="A2037" s="55"/>
      <c r="B2037" s="56"/>
      <c r="C2037" s="56"/>
      <c r="D2037" s="56"/>
      <c r="E2037" s="57"/>
      <c r="F2037" s="58"/>
      <c r="G2037" s="59"/>
      <c r="H2037" s="56"/>
      <c r="I2037" s="60" t="str">
        <f aca="false">IF(IsPro,IF($D2037="","",IFERROR(INDEX(Items!$D$5:$D$504,Q2037),"")),IF($D2037="","","PRO PLAN"))</f>
        <v/>
      </c>
      <c r="J2037" s="61" t="str">
        <f aca="false">IF(IsPro,IF($D2037="","",IF($F2037="",IFERROR(INDEX(Items!$G$5:$G$504,Q2037),0),$F2037)),"")</f>
        <v/>
      </c>
      <c r="K2037" s="61" t="str">
        <f aca="false">IF(IsPro,IF($D2037="","",ROUND(N($E2037)*J2037*(1-N($G2037)),2)),"")</f>
        <v/>
      </c>
      <c r="L2037" s="62" t="str">
        <f aca="false">IF(IsPro,IF($D2037="","",IFERROR(INDEX(Items!$F$5:$F$504,Q2037),0)),"")</f>
        <v/>
      </c>
      <c r="M2037" s="61" t="str">
        <f aca="false">IF(IsPro,IF($D2037="","",IF(AND(R2037&lt;&gt;"",INDEX(Parties!$E$5:$E$304,R2037)&lt;&gt;"",INDEX(Parties!$E$5:$E$304,R2037)&lt;&gt;HomeState),0,ROUND(K2037*L2037/2,2))),"")</f>
        <v/>
      </c>
      <c r="N2037" s="61" t="str">
        <f aca="false">IF(IsPro,IF($D2037="","",M2037),"")</f>
        <v/>
      </c>
      <c r="O2037" s="61" t="str">
        <f aca="false">IF(IsPro,IF($D2037="","",IF(AND(R2037&lt;&gt;"",INDEX(Parties!$E$5:$E$304,R2037)&lt;&gt;"",INDEX(Parties!$E$5:$E$304,R2037)&lt;&gt;HomeState),ROUND(K2037*L2037,2),0)),"")</f>
        <v/>
      </c>
      <c r="P2037" s="61" t="str">
        <f aca="false">IF(IsPro,IF($D2037="","",K2037+M2037+N2037+O2037),"")</f>
        <v/>
      </c>
      <c r="Q2037" s="60" t="str">
        <f aca="false">IF(IsPro,IF($D2037="","",IFERROR(MATCH($D2037,Items!$A$5:$A$504,0),"")),"")</f>
        <v/>
      </c>
      <c r="R2037" s="60" t="str">
        <f aca="false">IF(IsPro,IF($C2037="","",IFERROR(MATCH($C2037,Parties!$A$5:$A$304,0),"")),"")</f>
        <v/>
      </c>
      <c r="S2037" s="61" t="str">
        <f aca="false">IF(IsPro,IF($D2037="","",IF(OR($H2037="",$H2037="Credit"),0,P2037)),"")</f>
        <v/>
      </c>
    </row>
    <row r="2038" customFormat="false" ht="15" hidden="false" customHeight="false" outlineLevel="0" collapsed="false">
      <c r="A2038" s="55"/>
      <c r="B2038" s="56"/>
      <c r="C2038" s="56"/>
      <c r="D2038" s="56"/>
      <c r="E2038" s="57"/>
      <c r="F2038" s="58"/>
      <c r="G2038" s="59"/>
      <c r="H2038" s="56"/>
      <c r="I2038" s="60" t="str">
        <f aca="false">IF(IsPro,IF($D2038="","",IFERROR(INDEX(Items!$D$5:$D$504,Q2038),"")),IF($D2038="","","PRO PLAN"))</f>
        <v/>
      </c>
      <c r="J2038" s="61" t="str">
        <f aca="false">IF(IsPro,IF($D2038="","",IF($F2038="",IFERROR(INDEX(Items!$G$5:$G$504,Q2038),0),$F2038)),"")</f>
        <v/>
      </c>
      <c r="K2038" s="61" t="str">
        <f aca="false">IF(IsPro,IF($D2038="","",ROUND(N($E2038)*J2038*(1-N($G2038)),2)),"")</f>
        <v/>
      </c>
      <c r="L2038" s="62" t="str">
        <f aca="false">IF(IsPro,IF($D2038="","",IFERROR(INDEX(Items!$F$5:$F$504,Q2038),0)),"")</f>
        <v/>
      </c>
      <c r="M2038" s="61" t="str">
        <f aca="false">IF(IsPro,IF($D2038="","",IF(AND(R2038&lt;&gt;"",INDEX(Parties!$E$5:$E$304,R2038)&lt;&gt;"",INDEX(Parties!$E$5:$E$304,R2038)&lt;&gt;HomeState),0,ROUND(K2038*L2038/2,2))),"")</f>
        <v/>
      </c>
      <c r="N2038" s="61" t="str">
        <f aca="false">IF(IsPro,IF($D2038="","",M2038),"")</f>
        <v/>
      </c>
      <c r="O2038" s="61" t="str">
        <f aca="false">IF(IsPro,IF($D2038="","",IF(AND(R2038&lt;&gt;"",INDEX(Parties!$E$5:$E$304,R2038)&lt;&gt;"",INDEX(Parties!$E$5:$E$304,R2038)&lt;&gt;HomeState),ROUND(K2038*L2038,2),0)),"")</f>
        <v/>
      </c>
      <c r="P2038" s="61" t="str">
        <f aca="false">IF(IsPro,IF($D2038="","",K2038+M2038+N2038+O2038),"")</f>
        <v/>
      </c>
      <c r="Q2038" s="60" t="str">
        <f aca="false">IF(IsPro,IF($D2038="","",IFERROR(MATCH($D2038,Items!$A$5:$A$504,0),"")),"")</f>
        <v/>
      </c>
      <c r="R2038" s="60" t="str">
        <f aca="false">IF(IsPro,IF($C2038="","",IFERROR(MATCH($C2038,Parties!$A$5:$A$304,0),"")),"")</f>
        <v/>
      </c>
      <c r="S2038" s="61" t="str">
        <f aca="false">IF(IsPro,IF($D2038="","",IF(OR($H2038="",$H2038="Credit"),0,P2038)),"")</f>
        <v/>
      </c>
    </row>
    <row r="2039" customFormat="false" ht="15" hidden="false" customHeight="false" outlineLevel="0" collapsed="false">
      <c r="A2039" s="55"/>
      <c r="B2039" s="56"/>
      <c r="C2039" s="56"/>
      <c r="D2039" s="56"/>
      <c r="E2039" s="57"/>
      <c r="F2039" s="58"/>
      <c r="G2039" s="59"/>
      <c r="H2039" s="56"/>
      <c r="I2039" s="60" t="str">
        <f aca="false">IF(IsPro,IF($D2039="","",IFERROR(INDEX(Items!$D$5:$D$504,Q2039),"")),IF($D2039="","","PRO PLAN"))</f>
        <v/>
      </c>
      <c r="J2039" s="61" t="str">
        <f aca="false">IF(IsPro,IF($D2039="","",IF($F2039="",IFERROR(INDEX(Items!$G$5:$G$504,Q2039),0),$F2039)),"")</f>
        <v/>
      </c>
      <c r="K2039" s="61" t="str">
        <f aca="false">IF(IsPro,IF($D2039="","",ROUND(N($E2039)*J2039*(1-N($G2039)),2)),"")</f>
        <v/>
      </c>
      <c r="L2039" s="62" t="str">
        <f aca="false">IF(IsPro,IF($D2039="","",IFERROR(INDEX(Items!$F$5:$F$504,Q2039),0)),"")</f>
        <v/>
      </c>
      <c r="M2039" s="61" t="str">
        <f aca="false">IF(IsPro,IF($D2039="","",IF(AND(R2039&lt;&gt;"",INDEX(Parties!$E$5:$E$304,R2039)&lt;&gt;"",INDEX(Parties!$E$5:$E$304,R2039)&lt;&gt;HomeState),0,ROUND(K2039*L2039/2,2))),"")</f>
        <v/>
      </c>
      <c r="N2039" s="61" t="str">
        <f aca="false">IF(IsPro,IF($D2039="","",M2039),"")</f>
        <v/>
      </c>
      <c r="O2039" s="61" t="str">
        <f aca="false">IF(IsPro,IF($D2039="","",IF(AND(R2039&lt;&gt;"",INDEX(Parties!$E$5:$E$304,R2039)&lt;&gt;"",INDEX(Parties!$E$5:$E$304,R2039)&lt;&gt;HomeState),ROUND(K2039*L2039,2),0)),"")</f>
        <v/>
      </c>
      <c r="P2039" s="61" t="str">
        <f aca="false">IF(IsPro,IF($D2039="","",K2039+M2039+N2039+O2039),"")</f>
        <v/>
      </c>
      <c r="Q2039" s="60" t="str">
        <f aca="false">IF(IsPro,IF($D2039="","",IFERROR(MATCH($D2039,Items!$A$5:$A$504,0),"")),"")</f>
        <v/>
      </c>
      <c r="R2039" s="60" t="str">
        <f aca="false">IF(IsPro,IF($C2039="","",IFERROR(MATCH($C2039,Parties!$A$5:$A$304,0),"")),"")</f>
        <v/>
      </c>
      <c r="S2039" s="61" t="str">
        <f aca="false">IF(IsPro,IF($D2039="","",IF(OR($H2039="",$H2039="Credit"),0,P2039)),"")</f>
        <v/>
      </c>
    </row>
    <row r="2040" customFormat="false" ht="15" hidden="false" customHeight="false" outlineLevel="0" collapsed="false">
      <c r="A2040" s="55"/>
      <c r="B2040" s="56"/>
      <c r="C2040" s="56"/>
      <c r="D2040" s="56"/>
      <c r="E2040" s="57"/>
      <c r="F2040" s="58"/>
      <c r="G2040" s="59"/>
      <c r="H2040" s="56"/>
      <c r="I2040" s="60" t="str">
        <f aca="false">IF(IsPro,IF($D2040="","",IFERROR(INDEX(Items!$D$5:$D$504,Q2040),"")),IF($D2040="","","PRO PLAN"))</f>
        <v/>
      </c>
      <c r="J2040" s="61" t="str">
        <f aca="false">IF(IsPro,IF($D2040="","",IF($F2040="",IFERROR(INDEX(Items!$G$5:$G$504,Q2040),0),$F2040)),"")</f>
        <v/>
      </c>
      <c r="K2040" s="61" t="str">
        <f aca="false">IF(IsPro,IF($D2040="","",ROUND(N($E2040)*J2040*(1-N($G2040)),2)),"")</f>
        <v/>
      </c>
      <c r="L2040" s="62" t="str">
        <f aca="false">IF(IsPro,IF($D2040="","",IFERROR(INDEX(Items!$F$5:$F$504,Q2040),0)),"")</f>
        <v/>
      </c>
      <c r="M2040" s="61" t="str">
        <f aca="false">IF(IsPro,IF($D2040="","",IF(AND(R2040&lt;&gt;"",INDEX(Parties!$E$5:$E$304,R2040)&lt;&gt;"",INDEX(Parties!$E$5:$E$304,R2040)&lt;&gt;HomeState),0,ROUND(K2040*L2040/2,2))),"")</f>
        <v/>
      </c>
      <c r="N2040" s="61" t="str">
        <f aca="false">IF(IsPro,IF($D2040="","",M2040),"")</f>
        <v/>
      </c>
      <c r="O2040" s="61" t="str">
        <f aca="false">IF(IsPro,IF($D2040="","",IF(AND(R2040&lt;&gt;"",INDEX(Parties!$E$5:$E$304,R2040)&lt;&gt;"",INDEX(Parties!$E$5:$E$304,R2040)&lt;&gt;HomeState),ROUND(K2040*L2040,2),0)),"")</f>
        <v/>
      </c>
      <c r="P2040" s="61" t="str">
        <f aca="false">IF(IsPro,IF($D2040="","",K2040+M2040+N2040+O2040),"")</f>
        <v/>
      </c>
      <c r="Q2040" s="60" t="str">
        <f aca="false">IF(IsPro,IF($D2040="","",IFERROR(MATCH($D2040,Items!$A$5:$A$504,0),"")),"")</f>
        <v/>
      </c>
      <c r="R2040" s="60" t="str">
        <f aca="false">IF(IsPro,IF($C2040="","",IFERROR(MATCH($C2040,Parties!$A$5:$A$304,0),"")),"")</f>
        <v/>
      </c>
      <c r="S2040" s="61" t="str">
        <f aca="false">IF(IsPro,IF($D2040="","",IF(OR($H2040="",$H2040="Credit"),0,P2040)),"")</f>
        <v/>
      </c>
    </row>
    <row r="2041" customFormat="false" ht="15" hidden="false" customHeight="false" outlineLevel="0" collapsed="false">
      <c r="A2041" s="55"/>
      <c r="B2041" s="56"/>
      <c r="C2041" s="56"/>
      <c r="D2041" s="56"/>
      <c r="E2041" s="57"/>
      <c r="F2041" s="58"/>
      <c r="G2041" s="59"/>
      <c r="H2041" s="56"/>
      <c r="I2041" s="60" t="str">
        <f aca="false">IF(IsPro,IF($D2041="","",IFERROR(INDEX(Items!$D$5:$D$504,Q2041),"")),IF($D2041="","","PRO PLAN"))</f>
        <v/>
      </c>
      <c r="J2041" s="61" t="str">
        <f aca="false">IF(IsPro,IF($D2041="","",IF($F2041="",IFERROR(INDEX(Items!$G$5:$G$504,Q2041),0),$F2041)),"")</f>
        <v/>
      </c>
      <c r="K2041" s="61" t="str">
        <f aca="false">IF(IsPro,IF($D2041="","",ROUND(N($E2041)*J2041*(1-N($G2041)),2)),"")</f>
        <v/>
      </c>
      <c r="L2041" s="62" t="str">
        <f aca="false">IF(IsPro,IF($D2041="","",IFERROR(INDEX(Items!$F$5:$F$504,Q2041),0)),"")</f>
        <v/>
      </c>
      <c r="M2041" s="61" t="str">
        <f aca="false">IF(IsPro,IF($D2041="","",IF(AND(R2041&lt;&gt;"",INDEX(Parties!$E$5:$E$304,R2041)&lt;&gt;"",INDEX(Parties!$E$5:$E$304,R2041)&lt;&gt;HomeState),0,ROUND(K2041*L2041/2,2))),"")</f>
        <v/>
      </c>
      <c r="N2041" s="61" t="str">
        <f aca="false">IF(IsPro,IF($D2041="","",M2041),"")</f>
        <v/>
      </c>
      <c r="O2041" s="61" t="str">
        <f aca="false">IF(IsPro,IF($D2041="","",IF(AND(R2041&lt;&gt;"",INDEX(Parties!$E$5:$E$304,R2041)&lt;&gt;"",INDEX(Parties!$E$5:$E$304,R2041)&lt;&gt;HomeState),ROUND(K2041*L2041,2),0)),"")</f>
        <v/>
      </c>
      <c r="P2041" s="61" t="str">
        <f aca="false">IF(IsPro,IF($D2041="","",K2041+M2041+N2041+O2041),"")</f>
        <v/>
      </c>
      <c r="Q2041" s="60" t="str">
        <f aca="false">IF(IsPro,IF($D2041="","",IFERROR(MATCH($D2041,Items!$A$5:$A$504,0),"")),"")</f>
        <v/>
      </c>
      <c r="R2041" s="60" t="str">
        <f aca="false">IF(IsPro,IF($C2041="","",IFERROR(MATCH($C2041,Parties!$A$5:$A$304,0),"")),"")</f>
        <v/>
      </c>
      <c r="S2041" s="61" t="str">
        <f aca="false">IF(IsPro,IF($D2041="","",IF(OR($H2041="",$H2041="Credit"),0,P2041)),"")</f>
        <v/>
      </c>
    </row>
    <row r="2042" customFormat="false" ht="15" hidden="false" customHeight="false" outlineLevel="0" collapsed="false">
      <c r="A2042" s="55"/>
      <c r="B2042" s="56"/>
      <c r="C2042" s="56"/>
      <c r="D2042" s="56"/>
      <c r="E2042" s="57"/>
      <c r="F2042" s="58"/>
      <c r="G2042" s="59"/>
      <c r="H2042" s="56"/>
      <c r="I2042" s="60" t="str">
        <f aca="false">IF(IsPro,IF($D2042="","",IFERROR(INDEX(Items!$D$5:$D$504,Q2042),"")),IF($D2042="","","PRO PLAN"))</f>
        <v/>
      </c>
      <c r="J2042" s="61" t="str">
        <f aca="false">IF(IsPro,IF($D2042="","",IF($F2042="",IFERROR(INDEX(Items!$G$5:$G$504,Q2042),0),$F2042)),"")</f>
        <v/>
      </c>
      <c r="K2042" s="61" t="str">
        <f aca="false">IF(IsPro,IF($D2042="","",ROUND(N($E2042)*J2042*(1-N($G2042)),2)),"")</f>
        <v/>
      </c>
      <c r="L2042" s="62" t="str">
        <f aca="false">IF(IsPro,IF($D2042="","",IFERROR(INDEX(Items!$F$5:$F$504,Q2042),0)),"")</f>
        <v/>
      </c>
      <c r="M2042" s="61" t="str">
        <f aca="false">IF(IsPro,IF($D2042="","",IF(AND(R2042&lt;&gt;"",INDEX(Parties!$E$5:$E$304,R2042)&lt;&gt;"",INDEX(Parties!$E$5:$E$304,R2042)&lt;&gt;HomeState),0,ROUND(K2042*L2042/2,2))),"")</f>
        <v/>
      </c>
      <c r="N2042" s="61" t="str">
        <f aca="false">IF(IsPro,IF($D2042="","",M2042),"")</f>
        <v/>
      </c>
      <c r="O2042" s="61" t="str">
        <f aca="false">IF(IsPro,IF($D2042="","",IF(AND(R2042&lt;&gt;"",INDEX(Parties!$E$5:$E$304,R2042)&lt;&gt;"",INDEX(Parties!$E$5:$E$304,R2042)&lt;&gt;HomeState),ROUND(K2042*L2042,2),0)),"")</f>
        <v/>
      </c>
      <c r="P2042" s="61" t="str">
        <f aca="false">IF(IsPro,IF($D2042="","",K2042+M2042+N2042+O2042),"")</f>
        <v/>
      </c>
      <c r="Q2042" s="60" t="str">
        <f aca="false">IF(IsPro,IF($D2042="","",IFERROR(MATCH($D2042,Items!$A$5:$A$504,0),"")),"")</f>
        <v/>
      </c>
      <c r="R2042" s="60" t="str">
        <f aca="false">IF(IsPro,IF($C2042="","",IFERROR(MATCH($C2042,Parties!$A$5:$A$304,0),"")),"")</f>
        <v/>
      </c>
      <c r="S2042" s="61" t="str">
        <f aca="false">IF(IsPro,IF($D2042="","",IF(OR($H2042="",$H2042="Credit"),0,P2042)),"")</f>
        <v/>
      </c>
    </row>
    <row r="2043" customFormat="false" ht="15" hidden="false" customHeight="false" outlineLevel="0" collapsed="false">
      <c r="A2043" s="55"/>
      <c r="B2043" s="56"/>
      <c r="C2043" s="56"/>
      <c r="D2043" s="56"/>
      <c r="E2043" s="57"/>
      <c r="F2043" s="58"/>
      <c r="G2043" s="59"/>
      <c r="H2043" s="56"/>
      <c r="I2043" s="60" t="str">
        <f aca="false">IF(IsPro,IF($D2043="","",IFERROR(INDEX(Items!$D$5:$D$504,Q2043),"")),IF($D2043="","","PRO PLAN"))</f>
        <v/>
      </c>
      <c r="J2043" s="61" t="str">
        <f aca="false">IF(IsPro,IF($D2043="","",IF($F2043="",IFERROR(INDEX(Items!$G$5:$G$504,Q2043),0),$F2043)),"")</f>
        <v/>
      </c>
      <c r="K2043" s="61" t="str">
        <f aca="false">IF(IsPro,IF($D2043="","",ROUND(N($E2043)*J2043*(1-N($G2043)),2)),"")</f>
        <v/>
      </c>
      <c r="L2043" s="62" t="str">
        <f aca="false">IF(IsPro,IF($D2043="","",IFERROR(INDEX(Items!$F$5:$F$504,Q2043),0)),"")</f>
        <v/>
      </c>
      <c r="M2043" s="61" t="str">
        <f aca="false">IF(IsPro,IF($D2043="","",IF(AND(R2043&lt;&gt;"",INDEX(Parties!$E$5:$E$304,R2043)&lt;&gt;"",INDEX(Parties!$E$5:$E$304,R2043)&lt;&gt;HomeState),0,ROUND(K2043*L2043/2,2))),"")</f>
        <v/>
      </c>
      <c r="N2043" s="61" t="str">
        <f aca="false">IF(IsPro,IF($D2043="","",M2043),"")</f>
        <v/>
      </c>
      <c r="O2043" s="61" t="str">
        <f aca="false">IF(IsPro,IF($D2043="","",IF(AND(R2043&lt;&gt;"",INDEX(Parties!$E$5:$E$304,R2043)&lt;&gt;"",INDEX(Parties!$E$5:$E$304,R2043)&lt;&gt;HomeState),ROUND(K2043*L2043,2),0)),"")</f>
        <v/>
      </c>
      <c r="P2043" s="61" t="str">
        <f aca="false">IF(IsPro,IF($D2043="","",K2043+M2043+N2043+O2043),"")</f>
        <v/>
      </c>
      <c r="Q2043" s="60" t="str">
        <f aca="false">IF(IsPro,IF($D2043="","",IFERROR(MATCH($D2043,Items!$A$5:$A$504,0),"")),"")</f>
        <v/>
      </c>
      <c r="R2043" s="60" t="str">
        <f aca="false">IF(IsPro,IF($C2043="","",IFERROR(MATCH($C2043,Parties!$A$5:$A$304,0),"")),"")</f>
        <v/>
      </c>
      <c r="S2043" s="61" t="str">
        <f aca="false">IF(IsPro,IF($D2043="","",IF(OR($H2043="",$H2043="Credit"),0,P2043)),"")</f>
        <v/>
      </c>
    </row>
    <row r="2044" customFormat="false" ht="15" hidden="false" customHeight="false" outlineLevel="0" collapsed="false">
      <c r="A2044" s="55"/>
      <c r="B2044" s="56"/>
      <c r="C2044" s="56"/>
      <c r="D2044" s="56"/>
      <c r="E2044" s="57"/>
      <c r="F2044" s="58"/>
      <c r="G2044" s="59"/>
      <c r="H2044" s="56"/>
      <c r="I2044" s="60" t="str">
        <f aca="false">IF(IsPro,IF($D2044="","",IFERROR(INDEX(Items!$D$5:$D$504,Q2044),"")),IF($D2044="","","PRO PLAN"))</f>
        <v/>
      </c>
      <c r="J2044" s="61" t="str">
        <f aca="false">IF(IsPro,IF($D2044="","",IF($F2044="",IFERROR(INDEX(Items!$G$5:$G$504,Q2044),0),$F2044)),"")</f>
        <v/>
      </c>
      <c r="K2044" s="61" t="str">
        <f aca="false">IF(IsPro,IF($D2044="","",ROUND(N($E2044)*J2044*(1-N($G2044)),2)),"")</f>
        <v/>
      </c>
      <c r="L2044" s="62" t="str">
        <f aca="false">IF(IsPro,IF($D2044="","",IFERROR(INDEX(Items!$F$5:$F$504,Q2044),0)),"")</f>
        <v/>
      </c>
      <c r="M2044" s="61" t="str">
        <f aca="false">IF(IsPro,IF($D2044="","",IF(AND(R2044&lt;&gt;"",INDEX(Parties!$E$5:$E$304,R2044)&lt;&gt;"",INDEX(Parties!$E$5:$E$304,R2044)&lt;&gt;HomeState),0,ROUND(K2044*L2044/2,2))),"")</f>
        <v/>
      </c>
      <c r="N2044" s="61" t="str">
        <f aca="false">IF(IsPro,IF($D2044="","",M2044),"")</f>
        <v/>
      </c>
      <c r="O2044" s="61" t="str">
        <f aca="false">IF(IsPro,IF($D2044="","",IF(AND(R2044&lt;&gt;"",INDEX(Parties!$E$5:$E$304,R2044)&lt;&gt;"",INDEX(Parties!$E$5:$E$304,R2044)&lt;&gt;HomeState),ROUND(K2044*L2044,2),0)),"")</f>
        <v/>
      </c>
      <c r="P2044" s="61" t="str">
        <f aca="false">IF(IsPro,IF($D2044="","",K2044+M2044+N2044+O2044),"")</f>
        <v/>
      </c>
      <c r="Q2044" s="60" t="str">
        <f aca="false">IF(IsPro,IF($D2044="","",IFERROR(MATCH($D2044,Items!$A$5:$A$504,0),"")),"")</f>
        <v/>
      </c>
      <c r="R2044" s="60" t="str">
        <f aca="false">IF(IsPro,IF($C2044="","",IFERROR(MATCH($C2044,Parties!$A$5:$A$304,0),"")),"")</f>
        <v/>
      </c>
      <c r="S2044" s="61" t="str">
        <f aca="false">IF(IsPro,IF($D2044="","",IF(OR($H2044="",$H2044="Credit"),0,P2044)),"")</f>
        <v/>
      </c>
    </row>
    <row r="2045" customFormat="false" ht="15" hidden="false" customHeight="false" outlineLevel="0" collapsed="false">
      <c r="A2045" s="55"/>
      <c r="B2045" s="56"/>
      <c r="C2045" s="56"/>
      <c r="D2045" s="56"/>
      <c r="E2045" s="57"/>
      <c r="F2045" s="58"/>
      <c r="G2045" s="59"/>
      <c r="H2045" s="56"/>
      <c r="I2045" s="60" t="str">
        <f aca="false">IF(IsPro,IF($D2045="","",IFERROR(INDEX(Items!$D$5:$D$504,Q2045),"")),IF($D2045="","","PRO PLAN"))</f>
        <v/>
      </c>
      <c r="J2045" s="61" t="str">
        <f aca="false">IF(IsPro,IF($D2045="","",IF($F2045="",IFERROR(INDEX(Items!$G$5:$G$504,Q2045),0),$F2045)),"")</f>
        <v/>
      </c>
      <c r="K2045" s="61" t="str">
        <f aca="false">IF(IsPro,IF($D2045="","",ROUND(N($E2045)*J2045*(1-N($G2045)),2)),"")</f>
        <v/>
      </c>
      <c r="L2045" s="62" t="str">
        <f aca="false">IF(IsPro,IF($D2045="","",IFERROR(INDEX(Items!$F$5:$F$504,Q2045),0)),"")</f>
        <v/>
      </c>
      <c r="M2045" s="61" t="str">
        <f aca="false">IF(IsPro,IF($D2045="","",IF(AND(R2045&lt;&gt;"",INDEX(Parties!$E$5:$E$304,R2045)&lt;&gt;"",INDEX(Parties!$E$5:$E$304,R2045)&lt;&gt;HomeState),0,ROUND(K2045*L2045/2,2))),"")</f>
        <v/>
      </c>
      <c r="N2045" s="61" t="str">
        <f aca="false">IF(IsPro,IF($D2045="","",M2045),"")</f>
        <v/>
      </c>
      <c r="O2045" s="61" t="str">
        <f aca="false">IF(IsPro,IF($D2045="","",IF(AND(R2045&lt;&gt;"",INDEX(Parties!$E$5:$E$304,R2045)&lt;&gt;"",INDEX(Parties!$E$5:$E$304,R2045)&lt;&gt;HomeState),ROUND(K2045*L2045,2),0)),"")</f>
        <v/>
      </c>
      <c r="P2045" s="61" t="str">
        <f aca="false">IF(IsPro,IF($D2045="","",K2045+M2045+N2045+O2045),"")</f>
        <v/>
      </c>
      <c r="Q2045" s="60" t="str">
        <f aca="false">IF(IsPro,IF($D2045="","",IFERROR(MATCH($D2045,Items!$A$5:$A$504,0),"")),"")</f>
        <v/>
      </c>
      <c r="R2045" s="60" t="str">
        <f aca="false">IF(IsPro,IF($C2045="","",IFERROR(MATCH($C2045,Parties!$A$5:$A$304,0),"")),"")</f>
        <v/>
      </c>
      <c r="S2045" s="61" t="str">
        <f aca="false">IF(IsPro,IF($D2045="","",IF(OR($H2045="",$H2045="Credit"),0,P2045)),"")</f>
        <v/>
      </c>
    </row>
    <row r="2046" customFormat="false" ht="15" hidden="false" customHeight="false" outlineLevel="0" collapsed="false">
      <c r="A2046" s="55"/>
      <c r="B2046" s="56"/>
      <c r="C2046" s="56"/>
      <c r="D2046" s="56"/>
      <c r="E2046" s="57"/>
      <c r="F2046" s="58"/>
      <c r="G2046" s="59"/>
      <c r="H2046" s="56"/>
      <c r="I2046" s="60" t="str">
        <f aca="false">IF(IsPro,IF($D2046="","",IFERROR(INDEX(Items!$D$5:$D$504,Q2046),"")),IF($D2046="","","PRO PLAN"))</f>
        <v/>
      </c>
      <c r="J2046" s="61" t="str">
        <f aca="false">IF(IsPro,IF($D2046="","",IF($F2046="",IFERROR(INDEX(Items!$G$5:$G$504,Q2046),0),$F2046)),"")</f>
        <v/>
      </c>
      <c r="K2046" s="61" t="str">
        <f aca="false">IF(IsPro,IF($D2046="","",ROUND(N($E2046)*J2046*(1-N($G2046)),2)),"")</f>
        <v/>
      </c>
      <c r="L2046" s="62" t="str">
        <f aca="false">IF(IsPro,IF($D2046="","",IFERROR(INDEX(Items!$F$5:$F$504,Q2046),0)),"")</f>
        <v/>
      </c>
      <c r="M2046" s="61" t="str">
        <f aca="false">IF(IsPro,IF($D2046="","",IF(AND(R2046&lt;&gt;"",INDEX(Parties!$E$5:$E$304,R2046)&lt;&gt;"",INDEX(Parties!$E$5:$E$304,R2046)&lt;&gt;HomeState),0,ROUND(K2046*L2046/2,2))),"")</f>
        <v/>
      </c>
      <c r="N2046" s="61" t="str">
        <f aca="false">IF(IsPro,IF($D2046="","",M2046),"")</f>
        <v/>
      </c>
      <c r="O2046" s="61" t="str">
        <f aca="false">IF(IsPro,IF($D2046="","",IF(AND(R2046&lt;&gt;"",INDEX(Parties!$E$5:$E$304,R2046)&lt;&gt;"",INDEX(Parties!$E$5:$E$304,R2046)&lt;&gt;HomeState),ROUND(K2046*L2046,2),0)),"")</f>
        <v/>
      </c>
      <c r="P2046" s="61" t="str">
        <f aca="false">IF(IsPro,IF($D2046="","",K2046+M2046+N2046+O2046),"")</f>
        <v/>
      </c>
      <c r="Q2046" s="60" t="str">
        <f aca="false">IF(IsPro,IF($D2046="","",IFERROR(MATCH($D2046,Items!$A$5:$A$504,0),"")),"")</f>
        <v/>
      </c>
      <c r="R2046" s="60" t="str">
        <f aca="false">IF(IsPro,IF($C2046="","",IFERROR(MATCH($C2046,Parties!$A$5:$A$304,0),"")),"")</f>
        <v/>
      </c>
      <c r="S2046" s="61" t="str">
        <f aca="false">IF(IsPro,IF($D2046="","",IF(OR($H2046="",$H2046="Credit"),0,P2046)),"")</f>
        <v/>
      </c>
    </row>
    <row r="2047" customFormat="false" ht="15" hidden="false" customHeight="false" outlineLevel="0" collapsed="false">
      <c r="A2047" s="55"/>
      <c r="B2047" s="56"/>
      <c r="C2047" s="56"/>
      <c r="D2047" s="56"/>
      <c r="E2047" s="57"/>
      <c r="F2047" s="58"/>
      <c r="G2047" s="59"/>
      <c r="H2047" s="56"/>
      <c r="I2047" s="60" t="str">
        <f aca="false">IF(IsPro,IF($D2047="","",IFERROR(INDEX(Items!$D$5:$D$504,Q2047),"")),IF($D2047="","","PRO PLAN"))</f>
        <v/>
      </c>
      <c r="J2047" s="61" t="str">
        <f aca="false">IF(IsPro,IF($D2047="","",IF($F2047="",IFERROR(INDEX(Items!$G$5:$G$504,Q2047),0),$F2047)),"")</f>
        <v/>
      </c>
      <c r="K2047" s="61" t="str">
        <f aca="false">IF(IsPro,IF($D2047="","",ROUND(N($E2047)*J2047*(1-N($G2047)),2)),"")</f>
        <v/>
      </c>
      <c r="L2047" s="62" t="str">
        <f aca="false">IF(IsPro,IF($D2047="","",IFERROR(INDEX(Items!$F$5:$F$504,Q2047),0)),"")</f>
        <v/>
      </c>
      <c r="M2047" s="61" t="str">
        <f aca="false">IF(IsPro,IF($D2047="","",IF(AND(R2047&lt;&gt;"",INDEX(Parties!$E$5:$E$304,R2047)&lt;&gt;"",INDEX(Parties!$E$5:$E$304,R2047)&lt;&gt;HomeState),0,ROUND(K2047*L2047/2,2))),"")</f>
        <v/>
      </c>
      <c r="N2047" s="61" t="str">
        <f aca="false">IF(IsPro,IF($D2047="","",M2047),"")</f>
        <v/>
      </c>
      <c r="O2047" s="61" t="str">
        <f aca="false">IF(IsPro,IF($D2047="","",IF(AND(R2047&lt;&gt;"",INDEX(Parties!$E$5:$E$304,R2047)&lt;&gt;"",INDEX(Parties!$E$5:$E$304,R2047)&lt;&gt;HomeState),ROUND(K2047*L2047,2),0)),"")</f>
        <v/>
      </c>
      <c r="P2047" s="61" t="str">
        <f aca="false">IF(IsPro,IF($D2047="","",K2047+M2047+N2047+O2047),"")</f>
        <v/>
      </c>
      <c r="Q2047" s="60" t="str">
        <f aca="false">IF(IsPro,IF($D2047="","",IFERROR(MATCH($D2047,Items!$A$5:$A$504,0),"")),"")</f>
        <v/>
      </c>
      <c r="R2047" s="60" t="str">
        <f aca="false">IF(IsPro,IF($C2047="","",IFERROR(MATCH($C2047,Parties!$A$5:$A$304,0),"")),"")</f>
        <v/>
      </c>
      <c r="S2047" s="61" t="str">
        <f aca="false">IF(IsPro,IF($D2047="","",IF(OR($H2047="",$H2047="Credit"),0,P2047)),"")</f>
        <v/>
      </c>
    </row>
    <row r="2048" customFormat="false" ht="15" hidden="false" customHeight="false" outlineLevel="0" collapsed="false">
      <c r="A2048" s="55"/>
      <c r="B2048" s="56"/>
      <c r="C2048" s="56"/>
      <c r="D2048" s="56"/>
      <c r="E2048" s="57"/>
      <c r="F2048" s="58"/>
      <c r="G2048" s="59"/>
      <c r="H2048" s="56"/>
      <c r="I2048" s="60" t="str">
        <f aca="false">IF(IsPro,IF($D2048="","",IFERROR(INDEX(Items!$D$5:$D$504,Q2048),"")),IF($D2048="","","PRO PLAN"))</f>
        <v/>
      </c>
      <c r="J2048" s="61" t="str">
        <f aca="false">IF(IsPro,IF($D2048="","",IF($F2048="",IFERROR(INDEX(Items!$G$5:$G$504,Q2048),0),$F2048)),"")</f>
        <v/>
      </c>
      <c r="K2048" s="61" t="str">
        <f aca="false">IF(IsPro,IF($D2048="","",ROUND(N($E2048)*J2048*(1-N($G2048)),2)),"")</f>
        <v/>
      </c>
      <c r="L2048" s="62" t="str">
        <f aca="false">IF(IsPro,IF($D2048="","",IFERROR(INDEX(Items!$F$5:$F$504,Q2048),0)),"")</f>
        <v/>
      </c>
      <c r="M2048" s="61" t="str">
        <f aca="false">IF(IsPro,IF($D2048="","",IF(AND(R2048&lt;&gt;"",INDEX(Parties!$E$5:$E$304,R2048)&lt;&gt;"",INDEX(Parties!$E$5:$E$304,R2048)&lt;&gt;HomeState),0,ROUND(K2048*L2048/2,2))),"")</f>
        <v/>
      </c>
      <c r="N2048" s="61" t="str">
        <f aca="false">IF(IsPro,IF($D2048="","",M2048),"")</f>
        <v/>
      </c>
      <c r="O2048" s="61" t="str">
        <f aca="false">IF(IsPro,IF($D2048="","",IF(AND(R2048&lt;&gt;"",INDEX(Parties!$E$5:$E$304,R2048)&lt;&gt;"",INDEX(Parties!$E$5:$E$304,R2048)&lt;&gt;HomeState),ROUND(K2048*L2048,2),0)),"")</f>
        <v/>
      </c>
      <c r="P2048" s="61" t="str">
        <f aca="false">IF(IsPro,IF($D2048="","",K2048+M2048+N2048+O2048),"")</f>
        <v/>
      </c>
      <c r="Q2048" s="60" t="str">
        <f aca="false">IF(IsPro,IF($D2048="","",IFERROR(MATCH($D2048,Items!$A$5:$A$504,0),"")),"")</f>
        <v/>
      </c>
      <c r="R2048" s="60" t="str">
        <f aca="false">IF(IsPro,IF($C2048="","",IFERROR(MATCH($C2048,Parties!$A$5:$A$304,0),"")),"")</f>
        <v/>
      </c>
      <c r="S2048" s="61" t="str">
        <f aca="false">IF(IsPro,IF($D2048="","",IF(OR($H2048="",$H2048="Credit"),0,P2048)),"")</f>
        <v/>
      </c>
    </row>
    <row r="2049" customFormat="false" ht="15" hidden="false" customHeight="false" outlineLevel="0" collapsed="false">
      <c r="A2049" s="55"/>
      <c r="B2049" s="56"/>
      <c r="C2049" s="56"/>
      <c r="D2049" s="56"/>
      <c r="E2049" s="57"/>
      <c r="F2049" s="58"/>
      <c r="G2049" s="59"/>
      <c r="H2049" s="56"/>
      <c r="I2049" s="60" t="str">
        <f aca="false">IF(IsPro,IF($D2049="","",IFERROR(INDEX(Items!$D$5:$D$504,Q2049),"")),IF($D2049="","","PRO PLAN"))</f>
        <v/>
      </c>
      <c r="J2049" s="61" t="str">
        <f aca="false">IF(IsPro,IF($D2049="","",IF($F2049="",IFERROR(INDEX(Items!$G$5:$G$504,Q2049),0),$F2049)),"")</f>
        <v/>
      </c>
      <c r="K2049" s="61" t="str">
        <f aca="false">IF(IsPro,IF($D2049="","",ROUND(N($E2049)*J2049*(1-N($G2049)),2)),"")</f>
        <v/>
      </c>
      <c r="L2049" s="62" t="str">
        <f aca="false">IF(IsPro,IF($D2049="","",IFERROR(INDEX(Items!$F$5:$F$504,Q2049),0)),"")</f>
        <v/>
      </c>
      <c r="M2049" s="61" t="str">
        <f aca="false">IF(IsPro,IF($D2049="","",IF(AND(R2049&lt;&gt;"",INDEX(Parties!$E$5:$E$304,R2049)&lt;&gt;"",INDEX(Parties!$E$5:$E$304,R2049)&lt;&gt;HomeState),0,ROUND(K2049*L2049/2,2))),"")</f>
        <v/>
      </c>
      <c r="N2049" s="61" t="str">
        <f aca="false">IF(IsPro,IF($D2049="","",M2049),"")</f>
        <v/>
      </c>
      <c r="O2049" s="61" t="str">
        <f aca="false">IF(IsPro,IF($D2049="","",IF(AND(R2049&lt;&gt;"",INDEX(Parties!$E$5:$E$304,R2049)&lt;&gt;"",INDEX(Parties!$E$5:$E$304,R2049)&lt;&gt;HomeState),ROUND(K2049*L2049,2),0)),"")</f>
        <v/>
      </c>
      <c r="P2049" s="61" t="str">
        <f aca="false">IF(IsPro,IF($D2049="","",K2049+M2049+N2049+O2049),"")</f>
        <v/>
      </c>
      <c r="Q2049" s="60" t="str">
        <f aca="false">IF(IsPro,IF($D2049="","",IFERROR(MATCH($D2049,Items!$A$5:$A$504,0),"")),"")</f>
        <v/>
      </c>
      <c r="R2049" s="60" t="str">
        <f aca="false">IF(IsPro,IF($C2049="","",IFERROR(MATCH($C2049,Parties!$A$5:$A$304,0),"")),"")</f>
        <v/>
      </c>
      <c r="S2049" s="61" t="str">
        <f aca="false">IF(IsPro,IF($D2049="","",IF(OR($H2049="",$H2049="Credit"),0,P2049)),"")</f>
        <v/>
      </c>
    </row>
    <row r="2050" customFormat="false" ht="15" hidden="false" customHeight="false" outlineLevel="0" collapsed="false">
      <c r="A2050" s="55"/>
      <c r="B2050" s="56"/>
      <c r="C2050" s="56"/>
      <c r="D2050" s="56"/>
      <c r="E2050" s="57"/>
      <c r="F2050" s="58"/>
      <c r="G2050" s="59"/>
      <c r="H2050" s="56"/>
      <c r="I2050" s="60" t="str">
        <f aca="false">IF(IsPro,IF($D2050="","",IFERROR(INDEX(Items!$D$5:$D$504,Q2050),"")),IF($D2050="","","PRO PLAN"))</f>
        <v/>
      </c>
      <c r="J2050" s="61" t="str">
        <f aca="false">IF(IsPro,IF($D2050="","",IF($F2050="",IFERROR(INDEX(Items!$G$5:$G$504,Q2050),0),$F2050)),"")</f>
        <v/>
      </c>
      <c r="K2050" s="61" t="str">
        <f aca="false">IF(IsPro,IF($D2050="","",ROUND(N($E2050)*J2050*(1-N($G2050)),2)),"")</f>
        <v/>
      </c>
      <c r="L2050" s="62" t="str">
        <f aca="false">IF(IsPro,IF($D2050="","",IFERROR(INDEX(Items!$F$5:$F$504,Q2050),0)),"")</f>
        <v/>
      </c>
      <c r="M2050" s="61" t="str">
        <f aca="false">IF(IsPro,IF($D2050="","",IF(AND(R2050&lt;&gt;"",INDEX(Parties!$E$5:$E$304,R2050)&lt;&gt;"",INDEX(Parties!$E$5:$E$304,R2050)&lt;&gt;HomeState),0,ROUND(K2050*L2050/2,2))),"")</f>
        <v/>
      </c>
      <c r="N2050" s="61" t="str">
        <f aca="false">IF(IsPro,IF($D2050="","",M2050),"")</f>
        <v/>
      </c>
      <c r="O2050" s="61" t="str">
        <f aca="false">IF(IsPro,IF($D2050="","",IF(AND(R2050&lt;&gt;"",INDEX(Parties!$E$5:$E$304,R2050)&lt;&gt;"",INDEX(Parties!$E$5:$E$304,R2050)&lt;&gt;HomeState),ROUND(K2050*L2050,2),0)),"")</f>
        <v/>
      </c>
      <c r="P2050" s="61" t="str">
        <f aca="false">IF(IsPro,IF($D2050="","",K2050+M2050+N2050+O2050),"")</f>
        <v/>
      </c>
      <c r="Q2050" s="60" t="str">
        <f aca="false">IF(IsPro,IF($D2050="","",IFERROR(MATCH($D2050,Items!$A$5:$A$504,0),"")),"")</f>
        <v/>
      </c>
      <c r="R2050" s="60" t="str">
        <f aca="false">IF(IsPro,IF($C2050="","",IFERROR(MATCH($C2050,Parties!$A$5:$A$304,0),"")),"")</f>
        <v/>
      </c>
      <c r="S2050" s="61" t="str">
        <f aca="false">IF(IsPro,IF($D2050="","",IF(OR($H2050="",$H2050="Credit"),0,P2050)),"")</f>
        <v/>
      </c>
    </row>
    <row r="2051" customFormat="false" ht="15" hidden="false" customHeight="false" outlineLevel="0" collapsed="false">
      <c r="A2051" s="55"/>
      <c r="B2051" s="56"/>
      <c r="C2051" s="56"/>
      <c r="D2051" s="56"/>
      <c r="E2051" s="57"/>
      <c r="F2051" s="58"/>
      <c r="G2051" s="59"/>
      <c r="H2051" s="56"/>
      <c r="I2051" s="60" t="str">
        <f aca="false">IF(IsPro,IF($D2051="","",IFERROR(INDEX(Items!$D$5:$D$504,Q2051),"")),IF($D2051="","","PRO PLAN"))</f>
        <v/>
      </c>
      <c r="J2051" s="61" t="str">
        <f aca="false">IF(IsPro,IF($D2051="","",IF($F2051="",IFERROR(INDEX(Items!$G$5:$G$504,Q2051),0),$F2051)),"")</f>
        <v/>
      </c>
      <c r="K2051" s="61" t="str">
        <f aca="false">IF(IsPro,IF($D2051="","",ROUND(N($E2051)*J2051*(1-N($G2051)),2)),"")</f>
        <v/>
      </c>
      <c r="L2051" s="62" t="str">
        <f aca="false">IF(IsPro,IF($D2051="","",IFERROR(INDEX(Items!$F$5:$F$504,Q2051),0)),"")</f>
        <v/>
      </c>
      <c r="M2051" s="61" t="str">
        <f aca="false">IF(IsPro,IF($D2051="","",IF(AND(R2051&lt;&gt;"",INDEX(Parties!$E$5:$E$304,R2051)&lt;&gt;"",INDEX(Parties!$E$5:$E$304,R2051)&lt;&gt;HomeState),0,ROUND(K2051*L2051/2,2))),"")</f>
        <v/>
      </c>
      <c r="N2051" s="61" t="str">
        <f aca="false">IF(IsPro,IF($D2051="","",M2051),"")</f>
        <v/>
      </c>
      <c r="O2051" s="61" t="str">
        <f aca="false">IF(IsPro,IF($D2051="","",IF(AND(R2051&lt;&gt;"",INDEX(Parties!$E$5:$E$304,R2051)&lt;&gt;"",INDEX(Parties!$E$5:$E$304,R2051)&lt;&gt;HomeState),ROUND(K2051*L2051,2),0)),"")</f>
        <v/>
      </c>
      <c r="P2051" s="61" t="str">
        <f aca="false">IF(IsPro,IF($D2051="","",K2051+M2051+N2051+O2051),"")</f>
        <v/>
      </c>
      <c r="Q2051" s="60" t="str">
        <f aca="false">IF(IsPro,IF($D2051="","",IFERROR(MATCH($D2051,Items!$A$5:$A$504,0),"")),"")</f>
        <v/>
      </c>
      <c r="R2051" s="60" t="str">
        <f aca="false">IF(IsPro,IF($C2051="","",IFERROR(MATCH($C2051,Parties!$A$5:$A$304,0),"")),"")</f>
        <v/>
      </c>
      <c r="S2051" s="61" t="str">
        <f aca="false">IF(IsPro,IF($D2051="","",IF(OR($H2051="",$H2051="Credit"),0,P2051)),"")</f>
        <v/>
      </c>
    </row>
    <row r="2052" customFormat="false" ht="15" hidden="false" customHeight="false" outlineLevel="0" collapsed="false">
      <c r="A2052" s="55"/>
      <c r="B2052" s="56"/>
      <c r="C2052" s="56"/>
      <c r="D2052" s="56"/>
      <c r="E2052" s="57"/>
      <c r="F2052" s="58"/>
      <c r="G2052" s="59"/>
      <c r="H2052" s="56"/>
      <c r="I2052" s="60" t="str">
        <f aca="false">IF(IsPro,IF($D2052="","",IFERROR(INDEX(Items!$D$5:$D$504,Q2052),"")),IF($D2052="","","PRO PLAN"))</f>
        <v/>
      </c>
      <c r="J2052" s="61" t="str">
        <f aca="false">IF(IsPro,IF($D2052="","",IF($F2052="",IFERROR(INDEX(Items!$G$5:$G$504,Q2052),0),$F2052)),"")</f>
        <v/>
      </c>
      <c r="K2052" s="61" t="str">
        <f aca="false">IF(IsPro,IF($D2052="","",ROUND(N($E2052)*J2052*(1-N($G2052)),2)),"")</f>
        <v/>
      </c>
      <c r="L2052" s="62" t="str">
        <f aca="false">IF(IsPro,IF($D2052="","",IFERROR(INDEX(Items!$F$5:$F$504,Q2052),0)),"")</f>
        <v/>
      </c>
      <c r="M2052" s="61" t="str">
        <f aca="false">IF(IsPro,IF($D2052="","",IF(AND(R2052&lt;&gt;"",INDEX(Parties!$E$5:$E$304,R2052)&lt;&gt;"",INDEX(Parties!$E$5:$E$304,R2052)&lt;&gt;HomeState),0,ROUND(K2052*L2052/2,2))),"")</f>
        <v/>
      </c>
      <c r="N2052" s="61" t="str">
        <f aca="false">IF(IsPro,IF($D2052="","",M2052),"")</f>
        <v/>
      </c>
      <c r="O2052" s="61" t="str">
        <f aca="false">IF(IsPro,IF($D2052="","",IF(AND(R2052&lt;&gt;"",INDEX(Parties!$E$5:$E$304,R2052)&lt;&gt;"",INDEX(Parties!$E$5:$E$304,R2052)&lt;&gt;HomeState),ROUND(K2052*L2052,2),0)),"")</f>
        <v/>
      </c>
      <c r="P2052" s="61" t="str">
        <f aca="false">IF(IsPro,IF($D2052="","",K2052+M2052+N2052+O2052),"")</f>
        <v/>
      </c>
      <c r="Q2052" s="60" t="str">
        <f aca="false">IF(IsPro,IF($D2052="","",IFERROR(MATCH($D2052,Items!$A$5:$A$504,0),"")),"")</f>
        <v/>
      </c>
      <c r="R2052" s="60" t="str">
        <f aca="false">IF(IsPro,IF($C2052="","",IFERROR(MATCH($C2052,Parties!$A$5:$A$304,0),"")),"")</f>
        <v/>
      </c>
      <c r="S2052" s="61" t="str">
        <f aca="false">IF(IsPro,IF($D2052="","",IF(OR($H2052="",$H2052="Credit"),0,P2052)),"")</f>
        <v/>
      </c>
    </row>
    <row r="2053" customFormat="false" ht="15" hidden="false" customHeight="false" outlineLevel="0" collapsed="false">
      <c r="A2053" s="55"/>
      <c r="B2053" s="56"/>
      <c r="C2053" s="56"/>
      <c r="D2053" s="56"/>
      <c r="E2053" s="57"/>
      <c r="F2053" s="58"/>
      <c r="G2053" s="59"/>
      <c r="H2053" s="56"/>
      <c r="I2053" s="60" t="str">
        <f aca="false">IF(IsPro,IF($D2053="","",IFERROR(INDEX(Items!$D$5:$D$504,Q2053),"")),IF($D2053="","","PRO PLAN"))</f>
        <v/>
      </c>
      <c r="J2053" s="61" t="str">
        <f aca="false">IF(IsPro,IF($D2053="","",IF($F2053="",IFERROR(INDEX(Items!$G$5:$G$504,Q2053),0),$F2053)),"")</f>
        <v/>
      </c>
      <c r="K2053" s="61" t="str">
        <f aca="false">IF(IsPro,IF($D2053="","",ROUND(N($E2053)*J2053*(1-N($G2053)),2)),"")</f>
        <v/>
      </c>
      <c r="L2053" s="62" t="str">
        <f aca="false">IF(IsPro,IF($D2053="","",IFERROR(INDEX(Items!$F$5:$F$504,Q2053),0)),"")</f>
        <v/>
      </c>
      <c r="M2053" s="61" t="str">
        <f aca="false">IF(IsPro,IF($D2053="","",IF(AND(R2053&lt;&gt;"",INDEX(Parties!$E$5:$E$304,R2053)&lt;&gt;"",INDEX(Parties!$E$5:$E$304,R2053)&lt;&gt;HomeState),0,ROUND(K2053*L2053/2,2))),"")</f>
        <v/>
      </c>
      <c r="N2053" s="61" t="str">
        <f aca="false">IF(IsPro,IF($D2053="","",M2053),"")</f>
        <v/>
      </c>
      <c r="O2053" s="61" t="str">
        <f aca="false">IF(IsPro,IF($D2053="","",IF(AND(R2053&lt;&gt;"",INDEX(Parties!$E$5:$E$304,R2053)&lt;&gt;"",INDEX(Parties!$E$5:$E$304,R2053)&lt;&gt;HomeState),ROUND(K2053*L2053,2),0)),"")</f>
        <v/>
      </c>
      <c r="P2053" s="61" t="str">
        <f aca="false">IF(IsPro,IF($D2053="","",K2053+M2053+N2053+O2053),"")</f>
        <v/>
      </c>
      <c r="Q2053" s="60" t="str">
        <f aca="false">IF(IsPro,IF($D2053="","",IFERROR(MATCH($D2053,Items!$A$5:$A$504,0),"")),"")</f>
        <v/>
      </c>
      <c r="R2053" s="60" t="str">
        <f aca="false">IF(IsPro,IF($C2053="","",IFERROR(MATCH($C2053,Parties!$A$5:$A$304,0),"")),"")</f>
        <v/>
      </c>
      <c r="S2053" s="61" t="str">
        <f aca="false">IF(IsPro,IF($D2053="","",IF(OR($H2053="",$H2053="Credit"),0,P2053)),"")</f>
        <v/>
      </c>
    </row>
    <row r="2054" customFormat="false" ht="15" hidden="false" customHeight="false" outlineLevel="0" collapsed="false">
      <c r="A2054" s="55"/>
      <c r="B2054" s="56"/>
      <c r="C2054" s="56"/>
      <c r="D2054" s="56"/>
      <c r="E2054" s="57"/>
      <c r="F2054" s="58"/>
      <c r="G2054" s="59"/>
      <c r="H2054" s="56"/>
      <c r="I2054" s="60" t="str">
        <f aca="false">IF(IsPro,IF($D2054="","",IFERROR(INDEX(Items!$D$5:$D$504,Q2054),"")),IF($D2054="","","PRO PLAN"))</f>
        <v/>
      </c>
      <c r="J2054" s="61" t="str">
        <f aca="false">IF(IsPro,IF($D2054="","",IF($F2054="",IFERROR(INDEX(Items!$G$5:$G$504,Q2054),0),$F2054)),"")</f>
        <v/>
      </c>
      <c r="K2054" s="61" t="str">
        <f aca="false">IF(IsPro,IF($D2054="","",ROUND(N($E2054)*J2054*(1-N($G2054)),2)),"")</f>
        <v/>
      </c>
      <c r="L2054" s="62" t="str">
        <f aca="false">IF(IsPro,IF($D2054="","",IFERROR(INDEX(Items!$F$5:$F$504,Q2054),0)),"")</f>
        <v/>
      </c>
      <c r="M2054" s="61" t="str">
        <f aca="false">IF(IsPro,IF($D2054="","",IF(AND(R2054&lt;&gt;"",INDEX(Parties!$E$5:$E$304,R2054)&lt;&gt;"",INDEX(Parties!$E$5:$E$304,R2054)&lt;&gt;HomeState),0,ROUND(K2054*L2054/2,2))),"")</f>
        <v/>
      </c>
      <c r="N2054" s="61" t="str">
        <f aca="false">IF(IsPro,IF($D2054="","",M2054),"")</f>
        <v/>
      </c>
      <c r="O2054" s="61" t="str">
        <f aca="false">IF(IsPro,IF($D2054="","",IF(AND(R2054&lt;&gt;"",INDEX(Parties!$E$5:$E$304,R2054)&lt;&gt;"",INDEX(Parties!$E$5:$E$304,R2054)&lt;&gt;HomeState),ROUND(K2054*L2054,2),0)),"")</f>
        <v/>
      </c>
      <c r="P2054" s="61" t="str">
        <f aca="false">IF(IsPro,IF($D2054="","",K2054+M2054+N2054+O2054),"")</f>
        <v/>
      </c>
      <c r="Q2054" s="60" t="str">
        <f aca="false">IF(IsPro,IF($D2054="","",IFERROR(MATCH($D2054,Items!$A$5:$A$504,0),"")),"")</f>
        <v/>
      </c>
      <c r="R2054" s="60" t="str">
        <f aca="false">IF(IsPro,IF($C2054="","",IFERROR(MATCH($C2054,Parties!$A$5:$A$304,0),"")),"")</f>
        <v/>
      </c>
      <c r="S2054" s="61" t="str">
        <f aca="false">IF(IsPro,IF($D2054="","",IF(OR($H2054="",$H2054="Credit"),0,P2054)),"")</f>
        <v/>
      </c>
    </row>
    <row r="2055" customFormat="false" ht="15" hidden="false" customHeight="false" outlineLevel="0" collapsed="false">
      <c r="A2055" s="55"/>
      <c r="B2055" s="56"/>
      <c r="C2055" s="56"/>
      <c r="D2055" s="56"/>
      <c r="E2055" s="57"/>
      <c r="F2055" s="58"/>
      <c r="G2055" s="59"/>
      <c r="H2055" s="56"/>
      <c r="I2055" s="60" t="str">
        <f aca="false">IF(IsPro,IF($D2055="","",IFERROR(INDEX(Items!$D$5:$D$504,Q2055),"")),IF($D2055="","","PRO PLAN"))</f>
        <v/>
      </c>
      <c r="J2055" s="61" t="str">
        <f aca="false">IF(IsPro,IF($D2055="","",IF($F2055="",IFERROR(INDEX(Items!$G$5:$G$504,Q2055),0),$F2055)),"")</f>
        <v/>
      </c>
      <c r="K2055" s="61" t="str">
        <f aca="false">IF(IsPro,IF($D2055="","",ROUND(N($E2055)*J2055*(1-N($G2055)),2)),"")</f>
        <v/>
      </c>
      <c r="L2055" s="62" t="str">
        <f aca="false">IF(IsPro,IF($D2055="","",IFERROR(INDEX(Items!$F$5:$F$504,Q2055),0)),"")</f>
        <v/>
      </c>
      <c r="M2055" s="61" t="str">
        <f aca="false">IF(IsPro,IF($D2055="","",IF(AND(R2055&lt;&gt;"",INDEX(Parties!$E$5:$E$304,R2055)&lt;&gt;"",INDEX(Parties!$E$5:$E$304,R2055)&lt;&gt;HomeState),0,ROUND(K2055*L2055/2,2))),"")</f>
        <v/>
      </c>
      <c r="N2055" s="61" t="str">
        <f aca="false">IF(IsPro,IF($D2055="","",M2055),"")</f>
        <v/>
      </c>
      <c r="O2055" s="61" t="str">
        <f aca="false">IF(IsPro,IF($D2055="","",IF(AND(R2055&lt;&gt;"",INDEX(Parties!$E$5:$E$304,R2055)&lt;&gt;"",INDEX(Parties!$E$5:$E$304,R2055)&lt;&gt;HomeState),ROUND(K2055*L2055,2),0)),"")</f>
        <v/>
      </c>
      <c r="P2055" s="61" t="str">
        <f aca="false">IF(IsPro,IF($D2055="","",K2055+M2055+N2055+O2055),"")</f>
        <v/>
      </c>
      <c r="Q2055" s="60" t="str">
        <f aca="false">IF(IsPro,IF($D2055="","",IFERROR(MATCH($D2055,Items!$A$5:$A$504,0),"")),"")</f>
        <v/>
      </c>
      <c r="R2055" s="60" t="str">
        <f aca="false">IF(IsPro,IF($C2055="","",IFERROR(MATCH($C2055,Parties!$A$5:$A$304,0),"")),"")</f>
        <v/>
      </c>
      <c r="S2055" s="61" t="str">
        <f aca="false">IF(IsPro,IF($D2055="","",IF(OR($H2055="",$H2055="Credit"),0,P2055)),"")</f>
        <v/>
      </c>
    </row>
    <row r="2056" customFormat="false" ht="15" hidden="false" customHeight="false" outlineLevel="0" collapsed="false">
      <c r="A2056" s="55"/>
      <c r="B2056" s="56"/>
      <c r="C2056" s="56"/>
      <c r="D2056" s="56"/>
      <c r="E2056" s="57"/>
      <c r="F2056" s="58"/>
      <c r="G2056" s="59"/>
      <c r="H2056" s="56"/>
      <c r="I2056" s="60" t="str">
        <f aca="false">IF(IsPro,IF($D2056="","",IFERROR(INDEX(Items!$D$5:$D$504,Q2056),"")),IF($D2056="","","PRO PLAN"))</f>
        <v/>
      </c>
      <c r="J2056" s="61" t="str">
        <f aca="false">IF(IsPro,IF($D2056="","",IF($F2056="",IFERROR(INDEX(Items!$G$5:$G$504,Q2056),0),$F2056)),"")</f>
        <v/>
      </c>
      <c r="K2056" s="61" t="str">
        <f aca="false">IF(IsPro,IF($D2056="","",ROUND(N($E2056)*J2056*(1-N($G2056)),2)),"")</f>
        <v/>
      </c>
      <c r="L2056" s="62" t="str">
        <f aca="false">IF(IsPro,IF($D2056="","",IFERROR(INDEX(Items!$F$5:$F$504,Q2056),0)),"")</f>
        <v/>
      </c>
      <c r="M2056" s="61" t="str">
        <f aca="false">IF(IsPro,IF($D2056="","",IF(AND(R2056&lt;&gt;"",INDEX(Parties!$E$5:$E$304,R2056)&lt;&gt;"",INDEX(Parties!$E$5:$E$304,R2056)&lt;&gt;HomeState),0,ROUND(K2056*L2056/2,2))),"")</f>
        <v/>
      </c>
      <c r="N2056" s="61" t="str">
        <f aca="false">IF(IsPro,IF($D2056="","",M2056),"")</f>
        <v/>
      </c>
      <c r="O2056" s="61" t="str">
        <f aca="false">IF(IsPro,IF($D2056="","",IF(AND(R2056&lt;&gt;"",INDEX(Parties!$E$5:$E$304,R2056)&lt;&gt;"",INDEX(Parties!$E$5:$E$304,R2056)&lt;&gt;HomeState),ROUND(K2056*L2056,2),0)),"")</f>
        <v/>
      </c>
      <c r="P2056" s="61" t="str">
        <f aca="false">IF(IsPro,IF($D2056="","",K2056+M2056+N2056+O2056),"")</f>
        <v/>
      </c>
      <c r="Q2056" s="60" t="str">
        <f aca="false">IF(IsPro,IF($D2056="","",IFERROR(MATCH($D2056,Items!$A$5:$A$504,0),"")),"")</f>
        <v/>
      </c>
      <c r="R2056" s="60" t="str">
        <f aca="false">IF(IsPro,IF($C2056="","",IFERROR(MATCH($C2056,Parties!$A$5:$A$304,0),"")),"")</f>
        <v/>
      </c>
      <c r="S2056" s="61" t="str">
        <f aca="false">IF(IsPro,IF($D2056="","",IF(OR($H2056="",$H2056="Credit"),0,P2056)),"")</f>
        <v/>
      </c>
    </row>
    <row r="2057" customFormat="false" ht="15" hidden="false" customHeight="false" outlineLevel="0" collapsed="false">
      <c r="A2057" s="55"/>
      <c r="B2057" s="56"/>
      <c r="C2057" s="56"/>
      <c r="D2057" s="56"/>
      <c r="E2057" s="57"/>
      <c r="F2057" s="58"/>
      <c r="G2057" s="59"/>
      <c r="H2057" s="56"/>
      <c r="I2057" s="60" t="str">
        <f aca="false">IF(IsPro,IF($D2057="","",IFERROR(INDEX(Items!$D$5:$D$504,Q2057),"")),IF($D2057="","","PRO PLAN"))</f>
        <v/>
      </c>
      <c r="J2057" s="61" t="str">
        <f aca="false">IF(IsPro,IF($D2057="","",IF($F2057="",IFERROR(INDEX(Items!$G$5:$G$504,Q2057),0),$F2057)),"")</f>
        <v/>
      </c>
      <c r="K2057" s="61" t="str">
        <f aca="false">IF(IsPro,IF($D2057="","",ROUND(N($E2057)*J2057*(1-N($G2057)),2)),"")</f>
        <v/>
      </c>
      <c r="L2057" s="62" t="str">
        <f aca="false">IF(IsPro,IF($D2057="","",IFERROR(INDEX(Items!$F$5:$F$504,Q2057),0)),"")</f>
        <v/>
      </c>
      <c r="M2057" s="61" t="str">
        <f aca="false">IF(IsPro,IF($D2057="","",IF(AND(R2057&lt;&gt;"",INDEX(Parties!$E$5:$E$304,R2057)&lt;&gt;"",INDEX(Parties!$E$5:$E$304,R2057)&lt;&gt;HomeState),0,ROUND(K2057*L2057/2,2))),"")</f>
        <v/>
      </c>
      <c r="N2057" s="61" t="str">
        <f aca="false">IF(IsPro,IF($D2057="","",M2057),"")</f>
        <v/>
      </c>
      <c r="O2057" s="61" t="str">
        <f aca="false">IF(IsPro,IF($D2057="","",IF(AND(R2057&lt;&gt;"",INDEX(Parties!$E$5:$E$304,R2057)&lt;&gt;"",INDEX(Parties!$E$5:$E$304,R2057)&lt;&gt;HomeState),ROUND(K2057*L2057,2),0)),"")</f>
        <v/>
      </c>
      <c r="P2057" s="61" t="str">
        <f aca="false">IF(IsPro,IF($D2057="","",K2057+M2057+N2057+O2057),"")</f>
        <v/>
      </c>
      <c r="Q2057" s="60" t="str">
        <f aca="false">IF(IsPro,IF($D2057="","",IFERROR(MATCH($D2057,Items!$A$5:$A$504,0),"")),"")</f>
        <v/>
      </c>
      <c r="R2057" s="60" t="str">
        <f aca="false">IF(IsPro,IF($C2057="","",IFERROR(MATCH($C2057,Parties!$A$5:$A$304,0),"")),"")</f>
        <v/>
      </c>
      <c r="S2057" s="61" t="str">
        <f aca="false">IF(IsPro,IF($D2057="","",IF(OR($H2057="",$H2057="Credit"),0,P2057)),"")</f>
        <v/>
      </c>
    </row>
    <row r="2058" customFormat="false" ht="15" hidden="false" customHeight="false" outlineLevel="0" collapsed="false">
      <c r="A2058" s="55"/>
      <c r="B2058" s="56"/>
      <c r="C2058" s="56"/>
      <c r="D2058" s="56"/>
      <c r="E2058" s="57"/>
      <c r="F2058" s="58"/>
      <c r="G2058" s="59"/>
      <c r="H2058" s="56"/>
      <c r="I2058" s="60" t="str">
        <f aca="false">IF(IsPro,IF($D2058="","",IFERROR(INDEX(Items!$D$5:$D$504,Q2058),"")),IF($D2058="","","PRO PLAN"))</f>
        <v/>
      </c>
      <c r="J2058" s="61" t="str">
        <f aca="false">IF(IsPro,IF($D2058="","",IF($F2058="",IFERROR(INDEX(Items!$G$5:$G$504,Q2058),0),$F2058)),"")</f>
        <v/>
      </c>
      <c r="K2058" s="61" t="str">
        <f aca="false">IF(IsPro,IF($D2058="","",ROUND(N($E2058)*J2058*(1-N($G2058)),2)),"")</f>
        <v/>
      </c>
      <c r="L2058" s="62" t="str">
        <f aca="false">IF(IsPro,IF($D2058="","",IFERROR(INDEX(Items!$F$5:$F$504,Q2058),0)),"")</f>
        <v/>
      </c>
      <c r="M2058" s="61" t="str">
        <f aca="false">IF(IsPro,IF($D2058="","",IF(AND(R2058&lt;&gt;"",INDEX(Parties!$E$5:$E$304,R2058)&lt;&gt;"",INDEX(Parties!$E$5:$E$304,R2058)&lt;&gt;HomeState),0,ROUND(K2058*L2058/2,2))),"")</f>
        <v/>
      </c>
      <c r="N2058" s="61" t="str">
        <f aca="false">IF(IsPro,IF($D2058="","",M2058),"")</f>
        <v/>
      </c>
      <c r="O2058" s="61" t="str">
        <f aca="false">IF(IsPro,IF($D2058="","",IF(AND(R2058&lt;&gt;"",INDEX(Parties!$E$5:$E$304,R2058)&lt;&gt;"",INDEX(Parties!$E$5:$E$304,R2058)&lt;&gt;HomeState),ROUND(K2058*L2058,2),0)),"")</f>
        <v/>
      </c>
      <c r="P2058" s="61" t="str">
        <f aca="false">IF(IsPro,IF($D2058="","",K2058+M2058+N2058+O2058),"")</f>
        <v/>
      </c>
      <c r="Q2058" s="60" t="str">
        <f aca="false">IF(IsPro,IF($D2058="","",IFERROR(MATCH($D2058,Items!$A$5:$A$504,0),"")),"")</f>
        <v/>
      </c>
      <c r="R2058" s="60" t="str">
        <f aca="false">IF(IsPro,IF($C2058="","",IFERROR(MATCH($C2058,Parties!$A$5:$A$304,0),"")),"")</f>
        <v/>
      </c>
      <c r="S2058" s="61" t="str">
        <f aca="false">IF(IsPro,IF($D2058="","",IF(OR($H2058="",$H2058="Credit"),0,P2058)),"")</f>
        <v/>
      </c>
    </row>
    <row r="2059" customFormat="false" ht="15" hidden="false" customHeight="false" outlineLevel="0" collapsed="false">
      <c r="A2059" s="55"/>
      <c r="B2059" s="56"/>
      <c r="C2059" s="56"/>
      <c r="D2059" s="56"/>
      <c r="E2059" s="57"/>
      <c r="F2059" s="58"/>
      <c r="G2059" s="59"/>
      <c r="H2059" s="56"/>
      <c r="I2059" s="60" t="str">
        <f aca="false">IF(IsPro,IF($D2059="","",IFERROR(INDEX(Items!$D$5:$D$504,Q2059),"")),IF($D2059="","","PRO PLAN"))</f>
        <v/>
      </c>
      <c r="J2059" s="61" t="str">
        <f aca="false">IF(IsPro,IF($D2059="","",IF($F2059="",IFERROR(INDEX(Items!$G$5:$G$504,Q2059),0),$F2059)),"")</f>
        <v/>
      </c>
      <c r="K2059" s="61" t="str">
        <f aca="false">IF(IsPro,IF($D2059="","",ROUND(N($E2059)*J2059*(1-N($G2059)),2)),"")</f>
        <v/>
      </c>
      <c r="L2059" s="62" t="str">
        <f aca="false">IF(IsPro,IF($D2059="","",IFERROR(INDEX(Items!$F$5:$F$504,Q2059),0)),"")</f>
        <v/>
      </c>
      <c r="M2059" s="61" t="str">
        <f aca="false">IF(IsPro,IF($D2059="","",IF(AND(R2059&lt;&gt;"",INDEX(Parties!$E$5:$E$304,R2059)&lt;&gt;"",INDEX(Parties!$E$5:$E$304,R2059)&lt;&gt;HomeState),0,ROUND(K2059*L2059/2,2))),"")</f>
        <v/>
      </c>
      <c r="N2059" s="61" t="str">
        <f aca="false">IF(IsPro,IF($D2059="","",M2059),"")</f>
        <v/>
      </c>
      <c r="O2059" s="61" t="str">
        <f aca="false">IF(IsPro,IF($D2059="","",IF(AND(R2059&lt;&gt;"",INDEX(Parties!$E$5:$E$304,R2059)&lt;&gt;"",INDEX(Parties!$E$5:$E$304,R2059)&lt;&gt;HomeState),ROUND(K2059*L2059,2),0)),"")</f>
        <v/>
      </c>
      <c r="P2059" s="61" t="str">
        <f aca="false">IF(IsPro,IF($D2059="","",K2059+M2059+N2059+O2059),"")</f>
        <v/>
      </c>
      <c r="Q2059" s="60" t="str">
        <f aca="false">IF(IsPro,IF($D2059="","",IFERROR(MATCH($D2059,Items!$A$5:$A$504,0),"")),"")</f>
        <v/>
      </c>
      <c r="R2059" s="60" t="str">
        <f aca="false">IF(IsPro,IF($C2059="","",IFERROR(MATCH($C2059,Parties!$A$5:$A$304,0),"")),"")</f>
        <v/>
      </c>
      <c r="S2059" s="61" t="str">
        <f aca="false">IF(IsPro,IF($D2059="","",IF(OR($H2059="",$H2059="Credit"),0,P2059)),"")</f>
        <v/>
      </c>
    </row>
    <row r="2060" customFormat="false" ht="15" hidden="false" customHeight="false" outlineLevel="0" collapsed="false">
      <c r="A2060" s="55"/>
      <c r="B2060" s="56"/>
      <c r="C2060" s="56"/>
      <c r="D2060" s="56"/>
      <c r="E2060" s="57"/>
      <c r="F2060" s="58"/>
      <c r="G2060" s="59"/>
      <c r="H2060" s="56"/>
      <c r="I2060" s="60" t="str">
        <f aca="false">IF(IsPro,IF($D2060="","",IFERROR(INDEX(Items!$D$5:$D$504,Q2060),"")),IF($D2060="","","PRO PLAN"))</f>
        <v/>
      </c>
      <c r="J2060" s="61" t="str">
        <f aca="false">IF(IsPro,IF($D2060="","",IF($F2060="",IFERROR(INDEX(Items!$G$5:$G$504,Q2060),0),$F2060)),"")</f>
        <v/>
      </c>
      <c r="K2060" s="61" t="str">
        <f aca="false">IF(IsPro,IF($D2060="","",ROUND(N($E2060)*J2060*(1-N($G2060)),2)),"")</f>
        <v/>
      </c>
      <c r="L2060" s="62" t="str">
        <f aca="false">IF(IsPro,IF($D2060="","",IFERROR(INDEX(Items!$F$5:$F$504,Q2060),0)),"")</f>
        <v/>
      </c>
      <c r="M2060" s="61" t="str">
        <f aca="false">IF(IsPro,IF($D2060="","",IF(AND(R2060&lt;&gt;"",INDEX(Parties!$E$5:$E$304,R2060)&lt;&gt;"",INDEX(Parties!$E$5:$E$304,R2060)&lt;&gt;HomeState),0,ROUND(K2060*L2060/2,2))),"")</f>
        <v/>
      </c>
      <c r="N2060" s="61" t="str">
        <f aca="false">IF(IsPro,IF($D2060="","",M2060),"")</f>
        <v/>
      </c>
      <c r="O2060" s="61" t="str">
        <f aca="false">IF(IsPro,IF($D2060="","",IF(AND(R2060&lt;&gt;"",INDEX(Parties!$E$5:$E$304,R2060)&lt;&gt;"",INDEX(Parties!$E$5:$E$304,R2060)&lt;&gt;HomeState),ROUND(K2060*L2060,2),0)),"")</f>
        <v/>
      </c>
      <c r="P2060" s="61" t="str">
        <f aca="false">IF(IsPro,IF($D2060="","",K2060+M2060+N2060+O2060),"")</f>
        <v/>
      </c>
      <c r="Q2060" s="60" t="str">
        <f aca="false">IF(IsPro,IF($D2060="","",IFERROR(MATCH($D2060,Items!$A$5:$A$504,0),"")),"")</f>
        <v/>
      </c>
      <c r="R2060" s="60" t="str">
        <f aca="false">IF(IsPro,IF($C2060="","",IFERROR(MATCH($C2060,Parties!$A$5:$A$304,0),"")),"")</f>
        <v/>
      </c>
      <c r="S2060" s="61" t="str">
        <f aca="false">IF(IsPro,IF($D2060="","",IF(OR($H2060="",$H2060="Credit"),0,P2060)),"")</f>
        <v/>
      </c>
    </row>
    <row r="2061" customFormat="false" ht="15" hidden="false" customHeight="false" outlineLevel="0" collapsed="false">
      <c r="A2061" s="55"/>
      <c r="B2061" s="56"/>
      <c r="C2061" s="56"/>
      <c r="D2061" s="56"/>
      <c r="E2061" s="57"/>
      <c r="F2061" s="58"/>
      <c r="G2061" s="59"/>
      <c r="H2061" s="56"/>
      <c r="I2061" s="60" t="str">
        <f aca="false">IF(IsPro,IF($D2061="","",IFERROR(INDEX(Items!$D$5:$D$504,Q2061),"")),IF($D2061="","","PRO PLAN"))</f>
        <v/>
      </c>
      <c r="J2061" s="61" t="str">
        <f aca="false">IF(IsPro,IF($D2061="","",IF($F2061="",IFERROR(INDEX(Items!$G$5:$G$504,Q2061),0),$F2061)),"")</f>
        <v/>
      </c>
      <c r="K2061" s="61" t="str">
        <f aca="false">IF(IsPro,IF($D2061="","",ROUND(N($E2061)*J2061*(1-N($G2061)),2)),"")</f>
        <v/>
      </c>
      <c r="L2061" s="62" t="str">
        <f aca="false">IF(IsPro,IF($D2061="","",IFERROR(INDEX(Items!$F$5:$F$504,Q2061),0)),"")</f>
        <v/>
      </c>
      <c r="M2061" s="61" t="str">
        <f aca="false">IF(IsPro,IF($D2061="","",IF(AND(R2061&lt;&gt;"",INDEX(Parties!$E$5:$E$304,R2061)&lt;&gt;"",INDEX(Parties!$E$5:$E$304,R2061)&lt;&gt;HomeState),0,ROUND(K2061*L2061/2,2))),"")</f>
        <v/>
      </c>
      <c r="N2061" s="61" t="str">
        <f aca="false">IF(IsPro,IF($D2061="","",M2061),"")</f>
        <v/>
      </c>
      <c r="O2061" s="61" t="str">
        <f aca="false">IF(IsPro,IF($D2061="","",IF(AND(R2061&lt;&gt;"",INDEX(Parties!$E$5:$E$304,R2061)&lt;&gt;"",INDEX(Parties!$E$5:$E$304,R2061)&lt;&gt;HomeState),ROUND(K2061*L2061,2),0)),"")</f>
        <v/>
      </c>
      <c r="P2061" s="61" t="str">
        <f aca="false">IF(IsPro,IF($D2061="","",K2061+M2061+N2061+O2061),"")</f>
        <v/>
      </c>
      <c r="Q2061" s="60" t="str">
        <f aca="false">IF(IsPro,IF($D2061="","",IFERROR(MATCH($D2061,Items!$A$5:$A$504,0),"")),"")</f>
        <v/>
      </c>
      <c r="R2061" s="60" t="str">
        <f aca="false">IF(IsPro,IF($C2061="","",IFERROR(MATCH($C2061,Parties!$A$5:$A$304,0),"")),"")</f>
        <v/>
      </c>
      <c r="S2061" s="61" t="str">
        <f aca="false">IF(IsPro,IF($D2061="","",IF(OR($H2061="",$H2061="Credit"),0,P2061)),"")</f>
        <v/>
      </c>
    </row>
    <row r="2062" customFormat="false" ht="15" hidden="false" customHeight="false" outlineLevel="0" collapsed="false">
      <c r="A2062" s="55"/>
      <c r="B2062" s="56"/>
      <c r="C2062" s="56"/>
      <c r="D2062" s="56"/>
      <c r="E2062" s="57"/>
      <c r="F2062" s="58"/>
      <c r="G2062" s="59"/>
      <c r="H2062" s="56"/>
      <c r="I2062" s="60" t="str">
        <f aca="false">IF(IsPro,IF($D2062="","",IFERROR(INDEX(Items!$D$5:$D$504,Q2062),"")),IF($D2062="","","PRO PLAN"))</f>
        <v/>
      </c>
      <c r="J2062" s="61" t="str">
        <f aca="false">IF(IsPro,IF($D2062="","",IF($F2062="",IFERROR(INDEX(Items!$G$5:$G$504,Q2062),0),$F2062)),"")</f>
        <v/>
      </c>
      <c r="K2062" s="61" t="str">
        <f aca="false">IF(IsPro,IF($D2062="","",ROUND(N($E2062)*J2062*(1-N($G2062)),2)),"")</f>
        <v/>
      </c>
      <c r="L2062" s="62" t="str">
        <f aca="false">IF(IsPro,IF($D2062="","",IFERROR(INDEX(Items!$F$5:$F$504,Q2062),0)),"")</f>
        <v/>
      </c>
      <c r="M2062" s="61" t="str">
        <f aca="false">IF(IsPro,IF($D2062="","",IF(AND(R2062&lt;&gt;"",INDEX(Parties!$E$5:$E$304,R2062)&lt;&gt;"",INDEX(Parties!$E$5:$E$304,R2062)&lt;&gt;HomeState),0,ROUND(K2062*L2062/2,2))),"")</f>
        <v/>
      </c>
      <c r="N2062" s="61" t="str">
        <f aca="false">IF(IsPro,IF($D2062="","",M2062),"")</f>
        <v/>
      </c>
      <c r="O2062" s="61" t="str">
        <f aca="false">IF(IsPro,IF($D2062="","",IF(AND(R2062&lt;&gt;"",INDEX(Parties!$E$5:$E$304,R2062)&lt;&gt;"",INDEX(Parties!$E$5:$E$304,R2062)&lt;&gt;HomeState),ROUND(K2062*L2062,2),0)),"")</f>
        <v/>
      </c>
      <c r="P2062" s="61" t="str">
        <f aca="false">IF(IsPro,IF($D2062="","",K2062+M2062+N2062+O2062),"")</f>
        <v/>
      </c>
      <c r="Q2062" s="60" t="str">
        <f aca="false">IF(IsPro,IF($D2062="","",IFERROR(MATCH($D2062,Items!$A$5:$A$504,0),"")),"")</f>
        <v/>
      </c>
      <c r="R2062" s="60" t="str">
        <f aca="false">IF(IsPro,IF($C2062="","",IFERROR(MATCH($C2062,Parties!$A$5:$A$304,0),"")),"")</f>
        <v/>
      </c>
      <c r="S2062" s="61" t="str">
        <f aca="false">IF(IsPro,IF($D2062="","",IF(OR($H2062="",$H2062="Credit"),0,P2062)),"")</f>
        <v/>
      </c>
    </row>
    <row r="2063" customFormat="false" ht="15" hidden="false" customHeight="false" outlineLevel="0" collapsed="false">
      <c r="A2063" s="55"/>
      <c r="B2063" s="56"/>
      <c r="C2063" s="56"/>
      <c r="D2063" s="56"/>
      <c r="E2063" s="57"/>
      <c r="F2063" s="58"/>
      <c r="G2063" s="59"/>
      <c r="H2063" s="56"/>
      <c r="I2063" s="60" t="str">
        <f aca="false">IF(IsPro,IF($D2063="","",IFERROR(INDEX(Items!$D$5:$D$504,Q2063),"")),IF($D2063="","","PRO PLAN"))</f>
        <v/>
      </c>
      <c r="J2063" s="61" t="str">
        <f aca="false">IF(IsPro,IF($D2063="","",IF($F2063="",IFERROR(INDEX(Items!$G$5:$G$504,Q2063),0),$F2063)),"")</f>
        <v/>
      </c>
      <c r="K2063" s="61" t="str">
        <f aca="false">IF(IsPro,IF($D2063="","",ROUND(N($E2063)*J2063*(1-N($G2063)),2)),"")</f>
        <v/>
      </c>
      <c r="L2063" s="62" t="str">
        <f aca="false">IF(IsPro,IF($D2063="","",IFERROR(INDEX(Items!$F$5:$F$504,Q2063),0)),"")</f>
        <v/>
      </c>
      <c r="M2063" s="61" t="str">
        <f aca="false">IF(IsPro,IF($D2063="","",IF(AND(R2063&lt;&gt;"",INDEX(Parties!$E$5:$E$304,R2063)&lt;&gt;"",INDEX(Parties!$E$5:$E$304,R2063)&lt;&gt;HomeState),0,ROUND(K2063*L2063/2,2))),"")</f>
        <v/>
      </c>
      <c r="N2063" s="61" t="str">
        <f aca="false">IF(IsPro,IF($D2063="","",M2063),"")</f>
        <v/>
      </c>
      <c r="O2063" s="61" t="str">
        <f aca="false">IF(IsPro,IF($D2063="","",IF(AND(R2063&lt;&gt;"",INDEX(Parties!$E$5:$E$304,R2063)&lt;&gt;"",INDEX(Parties!$E$5:$E$304,R2063)&lt;&gt;HomeState),ROUND(K2063*L2063,2),0)),"")</f>
        <v/>
      </c>
      <c r="P2063" s="61" t="str">
        <f aca="false">IF(IsPro,IF($D2063="","",K2063+M2063+N2063+O2063),"")</f>
        <v/>
      </c>
      <c r="Q2063" s="60" t="str">
        <f aca="false">IF(IsPro,IF($D2063="","",IFERROR(MATCH($D2063,Items!$A$5:$A$504,0),"")),"")</f>
        <v/>
      </c>
      <c r="R2063" s="60" t="str">
        <f aca="false">IF(IsPro,IF($C2063="","",IFERROR(MATCH($C2063,Parties!$A$5:$A$304,0),"")),"")</f>
        <v/>
      </c>
      <c r="S2063" s="61" t="str">
        <f aca="false">IF(IsPro,IF($D2063="","",IF(OR($H2063="",$H2063="Credit"),0,P2063)),"")</f>
        <v/>
      </c>
    </row>
    <row r="2064" customFormat="false" ht="15" hidden="false" customHeight="false" outlineLevel="0" collapsed="false">
      <c r="A2064" s="55"/>
      <c r="B2064" s="56"/>
      <c r="C2064" s="56"/>
      <c r="D2064" s="56"/>
      <c r="E2064" s="57"/>
      <c r="F2064" s="58"/>
      <c r="G2064" s="59"/>
      <c r="H2064" s="56"/>
      <c r="I2064" s="60" t="str">
        <f aca="false">IF(IsPro,IF($D2064="","",IFERROR(INDEX(Items!$D$5:$D$504,Q2064),"")),IF($D2064="","","PRO PLAN"))</f>
        <v/>
      </c>
      <c r="J2064" s="61" t="str">
        <f aca="false">IF(IsPro,IF($D2064="","",IF($F2064="",IFERROR(INDEX(Items!$G$5:$G$504,Q2064),0),$F2064)),"")</f>
        <v/>
      </c>
      <c r="K2064" s="61" t="str">
        <f aca="false">IF(IsPro,IF($D2064="","",ROUND(N($E2064)*J2064*(1-N($G2064)),2)),"")</f>
        <v/>
      </c>
      <c r="L2064" s="62" t="str">
        <f aca="false">IF(IsPro,IF($D2064="","",IFERROR(INDEX(Items!$F$5:$F$504,Q2064),0)),"")</f>
        <v/>
      </c>
      <c r="M2064" s="61" t="str">
        <f aca="false">IF(IsPro,IF($D2064="","",IF(AND(R2064&lt;&gt;"",INDEX(Parties!$E$5:$E$304,R2064)&lt;&gt;"",INDEX(Parties!$E$5:$E$304,R2064)&lt;&gt;HomeState),0,ROUND(K2064*L2064/2,2))),"")</f>
        <v/>
      </c>
      <c r="N2064" s="61" t="str">
        <f aca="false">IF(IsPro,IF($D2064="","",M2064),"")</f>
        <v/>
      </c>
      <c r="O2064" s="61" t="str">
        <f aca="false">IF(IsPro,IF($D2064="","",IF(AND(R2064&lt;&gt;"",INDEX(Parties!$E$5:$E$304,R2064)&lt;&gt;"",INDEX(Parties!$E$5:$E$304,R2064)&lt;&gt;HomeState),ROUND(K2064*L2064,2),0)),"")</f>
        <v/>
      </c>
      <c r="P2064" s="61" t="str">
        <f aca="false">IF(IsPro,IF($D2064="","",K2064+M2064+N2064+O2064),"")</f>
        <v/>
      </c>
      <c r="Q2064" s="60" t="str">
        <f aca="false">IF(IsPro,IF($D2064="","",IFERROR(MATCH($D2064,Items!$A$5:$A$504,0),"")),"")</f>
        <v/>
      </c>
      <c r="R2064" s="60" t="str">
        <f aca="false">IF(IsPro,IF($C2064="","",IFERROR(MATCH($C2064,Parties!$A$5:$A$304,0),"")),"")</f>
        <v/>
      </c>
      <c r="S2064" s="61" t="str">
        <f aca="false">IF(IsPro,IF($D2064="","",IF(OR($H2064="",$H2064="Credit"),0,P2064)),"")</f>
        <v/>
      </c>
    </row>
    <row r="2065" customFormat="false" ht="15" hidden="false" customHeight="false" outlineLevel="0" collapsed="false">
      <c r="A2065" s="55"/>
      <c r="B2065" s="56"/>
      <c r="C2065" s="56"/>
      <c r="D2065" s="56"/>
      <c r="E2065" s="57"/>
      <c r="F2065" s="58"/>
      <c r="G2065" s="59"/>
      <c r="H2065" s="56"/>
      <c r="I2065" s="60" t="str">
        <f aca="false">IF(IsPro,IF($D2065="","",IFERROR(INDEX(Items!$D$5:$D$504,Q2065),"")),IF($D2065="","","PRO PLAN"))</f>
        <v/>
      </c>
      <c r="J2065" s="61" t="str">
        <f aca="false">IF(IsPro,IF($D2065="","",IF($F2065="",IFERROR(INDEX(Items!$G$5:$G$504,Q2065),0),$F2065)),"")</f>
        <v/>
      </c>
      <c r="K2065" s="61" t="str">
        <f aca="false">IF(IsPro,IF($D2065="","",ROUND(N($E2065)*J2065*(1-N($G2065)),2)),"")</f>
        <v/>
      </c>
      <c r="L2065" s="62" t="str">
        <f aca="false">IF(IsPro,IF($D2065="","",IFERROR(INDEX(Items!$F$5:$F$504,Q2065),0)),"")</f>
        <v/>
      </c>
      <c r="M2065" s="61" t="str">
        <f aca="false">IF(IsPro,IF($D2065="","",IF(AND(R2065&lt;&gt;"",INDEX(Parties!$E$5:$E$304,R2065)&lt;&gt;"",INDEX(Parties!$E$5:$E$304,R2065)&lt;&gt;HomeState),0,ROUND(K2065*L2065/2,2))),"")</f>
        <v/>
      </c>
      <c r="N2065" s="61" t="str">
        <f aca="false">IF(IsPro,IF($D2065="","",M2065),"")</f>
        <v/>
      </c>
      <c r="O2065" s="61" t="str">
        <f aca="false">IF(IsPro,IF($D2065="","",IF(AND(R2065&lt;&gt;"",INDEX(Parties!$E$5:$E$304,R2065)&lt;&gt;"",INDEX(Parties!$E$5:$E$304,R2065)&lt;&gt;HomeState),ROUND(K2065*L2065,2),0)),"")</f>
        <v/>
      </c>
      <c r="P2065" s="61" t="str">
        <f aca="false">IF(IsPro,IF($D2065="","",K2065+M2065+N2065+O2065),"")</f>
        <v/>
      </c>
      <c r="Q2065" s="60" t="str">
        <f aca="false">IF(IsPro,IF($D2065="","",IFERROR(MATCH($D2065,Items!$A$5:$A$504,0),"")),"")</f>
        <v/>
      </c>
      <c r="R2065" s="60" t="str">
        <f aca="false">IF(IsPro,IF($C2065="","",IFERROR(MATCH($C2065,Parties!$A$5:$A$304,0),"")),"")</f>
        <v/>
      </c>
      <c r="S2065" s="61" t="str">
        <f aca="false">IF(IsPro,IF($D2065="","",IF(OR($H2065="",$H2065="Credit"),0,P2065)),"")</f>
        <v/>
      </c>
    </row>
    <row r="2066" customFormat="false" ht="15" hidden="false" customHeight="false" outlineLevel="0" collapsed="false">
      <c r="A2066" s="55"/>
      <c r="B2066" s="56"/>
      <c r="C2066" s="56"/>
      <c r="D2066" s="56"/>
      <c r="E2066" s="57"/>
      <c r="F2066" s="58"/>
      <c r="G2066" s="59"/>
      <c r="H2066" s="56"/>
      <c r="I2066" s="60" t="str">
        <f aca="false">IF(IsPro,IF($D2066="","",IFERROR(INDEX(Items!$D$5:$D$504,Q2066),"")),IF($D2066="","","PRO PLAN"))</f>
        <v/>
      </c>
      <c r="J2066" s="61" t="str">
        <f aca="false">IF(IsPro,IF($D2066="","",IF($F2066="",IFERROR(INDEX(Items!$G$5:$G$504,Q2066),0),$F2066)),"")</f>
        <v/>
      </c>
      <c r="K2066" s="61" t="str">
        <f aca="false">IF(IsPro,IF($D2066="","",ROUND(N($E2066)*J2066*(1-N($G2066)),2)),"")</f>
        <v/>
      </c>
      <c r="L2066" s="62" t="str">
        <f aca="false">IF(IsPro,IF($D2066="","",IFERROR(INDEX(Items!$F$5:$F$504,Q2066),0)),"")</f>
        <v/>
      </c>
      <c r="M2066" s="61" t="str">
        <f aca="false">IF(IsPro,IF($D2066="","",IF(AND(R2066&lt;&gt;"",INDEX(Parties!$E$5:$E$304,R2066)&lt;&gt;"",INDEX(Parties!$E$5:$E$304,R2066)&lt;&gt;HomeState),0,ROUND(K2066*L2066/2,2))),"")</f>
        <v/>
      </c>
      <c r="N2066" s="61" t="str">
        <f aca="false">IF(IsPro,IF($D2066="","",M2066),"")</f>
        <v/>
      </c>
      <c r="O2066" s="61" t="str">
        <f aca="false">IF(IsPro,IF($D2066="","",IF(AND(R2066&lt;&gt;"",INDEX(Parties!$E$5:$E$304,R2066)&lt;&gt;"",INDEX(Parties!$E$5:$E$304,R2066)&lt;&gt;HomeState),ROUND(K2066*L2066,2),0)),"")</f>
        <v/>
      </c>
      <c r="P2066" s="61" t="str">
        <f aca="false">IF(IsPro,IF($D2066="","",K2066+M2066+N2066+O2066),"")</f>
        <v/>
      </c>
      <c r="Q2066" s="60" t="str">
        <f aca="false">IF(IsPro,IF($D2066="","",IFERROR(MATCH($D2066,Items!$A$5:$A$504,0),"")),"")</f>
        <v/>
      </c>
      <c r="R2066" s="60" t="str">
        <f aca="false">IF(IsPro,IF($C2066="","",IFERROR(MATCH($C2066,Parties!$A$5:$A$304,0),"")),"")</f>
        <v/>
      </c>
      <c r="S2066" s="61" t="str">
        <f aca="false">IF(IsPro,IF($D2066="","",IF(OR($H2066="",$H2066="Credit"),0,P2066)),"")</f>
        <v/>
      </c>
    </row>
    <row r="2067" customFormat="false" ht="15" hidden="false" customHeight="false" outlineLevel="0" collapsed="false">
      <c r="A2067" s="55"/>
      <c r="B2067" s="56"/>
      <c r="C2067" s="56"/>
      <c r="D2067" s="56"/>
      <c r="E2067" s="57"/>
      <c r="F2067" s="58"/>
      <c r="G2067" s="59"/>
      <c r="H2067" s="56"/>
      <c r="I2067" s="60" t="str">
        <f aca="false">IF(IsPro,IF($D2067="","",IFERROR(INDEX(Items!$D$5:$D$504,Q2067),"")),IF($D2067="","","PRO PLAN"))</f>
        <v/>
      </c>
      <c r="J2067" s="61" t="str">
        <f aca="false">IF(IsPro,IF($D2067="","",IF($F2067="",IFERROR(INDEX(Items!$G$5:$G$504,Q2067),0),$F2067)),"")</f>
        <v/>
      </c>
      <c r="K2067" s="61" t="str">
        <f aca="false">IF(IsPro,IF($D2067="","",ROUND(N($E2067)*J2067*(1-N($G2067)),2)),"")</f>
        <v/>
      </c>
      <c r="L2067" s="62" t="str">
        <f aca="false">IF(IsPro,IF($D2067="","",IFERROR(INDEX(Items!$F$5:$F$504,Q2067),0)),"")</f>
        <v/>
      </c>
      <c r="M2067" s="61" t="str">
        <f aca="false">IF(IsPro,IF($D2067="","",IF(AND(R2067&lt;&gt;"",INDEX(Parties!$E$5:$E$304,R2067)&lt;&gt;"",INDEX(Parties!$E$5:$E$304,R2067)&lt;&gt;HomeState),0,ROUND(K2067*L2067/2,2))),"")</f>
        <v/>
      </c>
      <c r="N2067" s="61" t="str">
        <f aca="false">IF(IsPro,IF($D2067="","",M2067),"")</f>
        <v/>
      </c>
      <c r="O2067" s="61" t="str">
        <f aca="false">IF(IsPro,IF($D2067="","",IF(AND(R2067&lt;&gt;"",INDEX(Parties!$E$5:$E$304,R2067)&lt;&gt;"",INDEX(Parties!$E$5:$E$304,R2067)&lt;&gt;HomeState),ROUND(K2067*L2067,2),0)),"")</f>
        <v/>
      </c>
      <c r="P2067" s="61" t="str">
        <f aca="false">IF(IsPro,IF($D2067="","",K2067+M2067+N2067+O2067),"")</f>
        <v/>
      </c>
      <c r="Q2067" s="60" t="str">
        <f aca="false">IF(IsPro,IF($D2067="","",IFERROR(MATCH($D2067,Items!$A$5:$A$504,0),"")),"")</f>
        <v/>
      </c>
      <c r="R2067" s="60" t="str">
        <f aca="false">IF(IsPro,IF($C2067="","",IFERROR(MATCH($C2067,Parties!$A$5:$A$304,0),"")),"")</f>
        <v/>
      </c>
      <c r="S2067" s="61" t="str">
        <f aca="false">IF(IsPro,IF($D2067="","",IF(OR($H2067="",$H2067="Credit"),0,P2067)),"")</f>
        <v/>
      </c>
    </row>
    <row r="2068" customFormat="false" ht="15" hidden="false" customHeight="false" outlineLevel="0" collapsed="false">
      <c r="A2068" s="55"/>
      <c r="B2068" s="56"/>
      <c r="C2068" s="56"/>
      <c r="D2068" s="56"/>
      <c r="E2068" s="57"/>
      <c r="F2068" s="58"/>
      <c r="G2068" s="59"/>
      <c r="H2068" s="56"/>
      <c r="I2068" s="60" t="str">
        <f aca="false">IF(IsPro,IF($D2068="","",IFERROR(INDEX(Items!$D$5:$D$504,Q2068),"")),IF($D2068="","","PRO PLAN"))</f>
        <v/>
      </c>
      <c r="J2068" s="61" t="str">
        <f aca="false">IF(IsPro,IF($D2068="","",IF($F2068="",IFERROR(INDEX(Items!$G$5:$G$504,Q2068),0),$F2068)),"")</f>
        <v/>
      </c>
      <c r="K2068" s="61" t="str">
        <f aca="false">IF(IsPro,IF($D2068="","",ROUND(N($E2068)*J2068*(1-N($G2068)),2)),"")</f>
        <v/>
      </c>
      <c r="L2068" s="62" t="str">
        <f aca="false">IF(IsPro,IF($D2068="","",IFERROR(INDEX(Items!$F$5:$F$504,Q2068),0)),"")</f>
        <v/>
      </c>
      <c r="M2068" s="61" t="str">
        <f aca="false">IF(IsPro,IF($D2068="","",IF(AND(R2068&lt;&gt;"",INDEX(Parties!$E$5:$E$304,R2068)&lt;&gt;"",INDEX(Parties!$E$5:$E$304,R2068)&lt;&gt;HomeState),0,ROUND(K2068*L2068/2,2))),"")</f>
        <v/>
      </c>
      <c r="N2068" s="61" t="str">
        <f aca="false">IF(IsPro,IF($D2068="","",M2068),"")</f>
        <v/>
      </c>
      <c r="O2068" s="61" t="str">
        <f aca="false">IF(IsPro,IF($D2068="","",IF(AND(R2068&lt;&gt;"",INDEX(Parties!$E$5:$E$304,R2068)&lt;&gt;"",INDEX(Parties!$E$5:$E$304,R2068)&lt;&gt;HomeState),ROUND(K2068*L2068,2),0)),"")</f>
        <v/>
      </c>
      <c r="P2068" s="61" t="str">
        <f aca="false">IF(IsPro,IF($D2068="","",K2068+M2068+N2068+O2068),"")</f>
        <v/>
      </c>
      <c r="Q2068" s="60" t="str">
        <f aca="false">IF(IsPro,IF($D2068="","",IFERROR(MATCH($D2068,Items!$A$5:$A$504,0),"")),"")</f>
        <v/>
      </c>
      <c r="R2068" s="60" t="str">
        <f aca="false">IF(IsPro,IF($C2068="","",IFERROR(MATCH($C2068,Parties!$A$5:$A$304,0),"")),"")</f>
        <v/>
      </c>
      <c r="S2068" s="61" t="str">
        <f aca="false">IF(IsPro,IF($D2068="","",IF(OR($H2068="",$H2068="Credit"),0,P2068)),"")</f>
        <v/>
      </c>
    </row>
    <row r="2069" customFormat="false" ht="15" hidden="false" customHeight="false" outlineLevel="0" collapsed="false">
      <c r="A2069" s="55"/>
      <c r="B2069" s="56"/>
      <c r="C2069" s="56"/>
      <c r="D2069" s="56"/>
      <c r="E2069" s="57"/>
      <c r="F2069" s="58"/>
      <c r="G2069" s="59"/>
      <c r="H2069" s="56"/>
      <c r="I2069" s="60" t="str">
        <f aca="false">IF(IsPro,IF($D2069="","",IFERROR(INDEX(Items!$D$5:$D$504,Q2069),"")),IF($D2069="","","PRO PLAN"))</f>
        <v/>
      </c>
      <c r="J2069" s="61" t="str">
        <f aca="false">IF(IsPro,IF($D2069="","",IF($F2069="",IFERROR(INDEX(Items!$G$5:$G$504,Q2069),0),$F2069)),"")</f>
        <v/>
      </c>
      <c r="K2069" s="61" t="str">
        <f aca="false">IF(IsPro,IF($D2069="","",ROUND(N($E2069)*J2069*(1-N($G2069)),2)),"")</f>
        <v/>
      </c>
      <c r="L2069" s="62" t="str">
        <f aca="false">IF(IsPro,IF($D2069="","",IFERROR(INDEX(Items!$F$5:$F$504,Q2069),0)),"")</f>
        <v/>
      </c>
      <c r="M2069" s="61" t="str">
        <f aca="false">IF(IsPro,IF($D2069="","",IF(AND(R2069&lt;&gt;"",INDEX(Parties!$E$5:$E$304,R2069)&lt;&gt;"",INDEX(Parties!$E$5:$E$304,R2069)&lt;&gt;HomeState),0,ROUND(K2069*L2069/2,2))),"")</f>
        <v/>
      </c>
      <c r="N2069" s="61" t="str">
        <f aca="false">IF(IsPro,IF($D2069="","",M2069),"")</f>
        <v/>
      </c>
      <c r="O2069" s="61" t="str">
        <f aca="false">IF(IsPro,IF($D2069="","",IF(AND(R2069&lt;&gt;"",INDEX(Parties!$E$5:$E$304,R2069)&lt;&gt;"",INDEX(Parties!$E$5:$E$304,R2069)&lt;&gt;HomeState),ROUND(K2069*L2069,2),0)),"")</f>
        <v/>
      </c>
      <c r="P2069" s="61" t="str">
        <f aca="false">IF(IsPro,IF($D2069="","",K2069+M2069+N2069+O2069),"")</f>
        <v/>
      </c>
      <c r="Q2069" s="60" t="str">
        <f aca="false">IF(IsPro,IF($D2069="","",IFERROR(MATCH($D2069,Items!$A$5:$A$504,0),"")),"")</f>
        <v/>
      </c>
      <c r="R2069" s="60" t="str">
        <f aca="false">IF(IsPro,IF($C2069="","",IFERROR(MATCH($C2069,Parties!$A$5:$A$304,0),"")),"")</f>
        <v/>
      </c>
      <c r="S2069" s="61" t="str">
        <f aca="false">IF(IsPro,IF($D2069="","",IF(OR($H2069="",$H2069="Credit"),0,P2069)),"")</f>
        <v/>
      </c>
    </row>
    <row r="2070" customFormat="false" ht="15" hidden="false" customHeight="false" outlineLevel="0" collapsed="false">
      <c r="A2070" s="55"/>
      <c r="B2070" s="56"/>
      <c r="C2070" s="56"/>
      <c r="D2070" s="56"/>
      <c r="E2070" s="57"/>
      <c r="F2070" s="58"/>
      <c r="G2070" s="59"/>
      <c r="H2070" s="56"/>
      <c r="I2070" s="60" t="str">
        <f aca="false">IF(IsPro,IF($D2070="","",IFERROR(INDEX(Items!$D$5:$D$504,Q2070),"")),IF($D2070="","","PRO PLAN"))</f>
        <v/>
      </c>
      <c r="J2070" s="61" t="str">
        <f aca="false">IF(IsPro,IF($D2070="","",IF($F2070="",IFERROR(INDEX(Items!$G$5:$G$504,Q2070),0),$F2070)),"")</f>
        <v/>
      </c>
      <c r="K2070" s="61" t="str">
        <f aca="false">IF(IsPro,IF($D2070="","",ROUND(N($E2070)*J2070*(1-N($G2070)),2)),"")</f>
        <v/>
      </c>
      <c r="L2070" s="62" t="str">
        <f aca="false">IF(IsPro,IF($D2070="","",IFERROR(INDEX(Items!$F$5:$F$504,Q2070),0)),"")</f>
        <v/>
      </c>
      <c r="M2070" s="61" t="str">
        <f aca="false">IF(IsPro,IF($D2070="","",IF(AND(R2070&lt;&gt;"",INDEX(Parties!$E$5:$E$304,R2070)&lt;&gt;"",INDEX(Parties!$E$5:$E$304,R2070)&lt;&gt;HomeState),0,ROUND(K2070*L2070/2,2))),"")</f>
        <v/>
      </c>
      <c r="N2070" s="61" t="str">
        <f aca="false">IF(IsPro,IF($D2070="","",M2070),"")</f>
        <v/>
      </c>
      <c r="O2070" s="61" t="str">
        <f aca="false">IF(IsPro,IF($D2070="","",IF(AND(R2070&lt;&gt;"",INDEX(Parties!$E$5:$E$304,R2070)&lt;&gt;"",INDEX(Parties!$E$5:$E$304,R2070)&lt;&gt;HomeState),ROUND(K2070*L2070,2),0)),"")</f>
        <v/>
      </c>
      <c r="P2070" s="61" t="str">
        <f aca="false">IF(IsPro,IF($D2070="","",K2070+M2070+N2070+O2070),"")</f>
        <v/>
      </c>
      <c r="Q2070" s="60" t="str">
        <f aca="false">IF(IsPro,IF($D2070="","",IFERROR(MATCH($D2070,Items!$A$5:$A$504,0),"")),"")</f>
        <v/>
      </c>
      <c r="R2070" s="60" t="str">
        <f aca="false">IF(IsPro,IF($C2070="","",IFERROR(MATCH($C2070,Parties!$A$5:$A$304,0),"")),"")</f>
        <v/>
      </c>
      <c r="S2070" s="61" t="str">
        <f aca="false">IF(IsPro,IF($D2070="","",IF(OR($H2070="",$H2070="Credit"),0,P2070)),"")</f>
        <v/>
      </c>
    </row>
    <row r="2071" customFormat="false" ht="15" hidden="false" customHeight="false" outlineLevel="0" collapsed="false">
      <c r="A2071" s="55"/>
      <c r="B2071" s="56"/>
      <c r="C2071" s="56"/>
      <c r="D2071" s="56"/>
      <c r="E2071" s="57"/>
      <c r="F2071" s="58"/>
      <c r="G2071" s="59"/>
      <c r="H2071" s="56"/>
      <c r="I2071" s="60" t="str">
        <f aca="false">IF(IsPro,IF($D2071="","",IFERROR(INDEX(Items!$D$5:$D$504,Q2071),"")),IF($D2071="","","PRO PLAN"))</f>
        <v/>
      </c>
      <c r="J2071" s="61" t="str">
        <f aca="false">IF(IsPro,IF($D2071="","",IF($F2071="",IFERROR(INDEX(Items!$G$5:$G$504,Q2071),0),$F2071)),"")</f>
        <v/>
      </c>
      <c r="K2071" s="61" t="str">
        <f aca="false">IF(IsPro,IF($D2071="","",ROUND(N($E2071)*J2071*(1-N($G2071)),2)),"")</f>
        <v/>
      </c>
      <c r="L2071" s="62" t="str">
        <f aca="false">IF(IsPro,IF($D2071="","",IFERROR(INDEX(Items!$F$5:$F$504,Q2071),0)),"")</f>
        <v/>
      </c>
      <c r="M2071" s="61" t="str">
        <f aca="false">IF(IsPro,IF($D2071="","",IF(AND(R2071&lt;&gt;"",INDEX(Parties!$E$5:$E$304,R2071)&lt;&gt;"",INDEX(Parties!$E$5:$E$304,R2071)&lt;&gt;HomeState),0,ROUND(K2071*L2071/2,2))),"")</f>
        <v/>
      </c>
      <c r="N2071" s="61" t="str">
        <f aca="false">IF(IsPro,IF($D2071="","",M2071),"")</f>
        <v/>
      </c>
      <c r="O2071" s="61" t="str">
        <f aca="false">IF(IsPro,IF($D2071="","",IF(AND(R2071&lt;&gt;"",INDEX(Parties!$E$5:$E$304,R2071)&lt;&gt;"",INDEX(Parties!$E$5:$E$304,R2071)&lt;&gt;HomeState),ROUND(K2071*L2071,2),0)),"")</f>
        <v/>
      </c>
      <c r="P2071" s="61" t="str">
        <f aca="false">IF(IsPro,IF($D2071="","",K2071+M2071+N2071+O2071),"")</f>
        <v/>
      </c>
      <c r="Q2071" s="60" t="str">
        <f aca="false">IF(IsPro,IF($D2071="","",IFERROR(MATCH($D2071,Items!$A$5:$A$504,0),"")),"")</f>
        <v/>
      </c>
      <c r="R2071" s="60" t="str">
        <f aca="false">IF(IsPro,IF($C2071="","",IFERROR(MATCH($C2071,Parties!$A$5:$A$304,0),"")),"")</f>
        <v/>
      </c>
      <c r="S2071" s="61" t="str">
        <f aca="false">IF(IsPro,IF($D2071="","",IF(OR($H2071="",$H2071="Credit"),0,P2071)),"")</f>
        <v/>
      </c>
    </row>
    <row r="2072" customFormat="false" ht="15" hidden="false" customHeight="false" outlineLevel="0" collapsed="false">
      <c r="A2072" s="55"/>
      <c r="B2072" s="56"/>
      <c r="C2072" s="56"/>
      <c r="D2072" s="56"/>
      <c r="E2072" s="57"/>
      <c r="F2072" s="58"/>
      <c r="G2072" s="59"/>
      <c r="H2072" s="56"/>
      <c r="I2072" s="60" t="str">
        <f aca="false">IF(IsPro,IF($D2072="","",IFERROR(INDEX(Items!$D$5:$D$504,Q2072),"")),IF($D2072="","","PRO PLAN"))</f>
        <v/>
      </c>
      <c r="J2072" s="61" t="str">
        <f aca="false">IF(IsPro,IF($D2072="","",IF($F2072="",IFERROR(INDEX(Items!$G$5:$G$504,Q2072),0),$F2072)),"")</f>
        <v/>
      </c>
      <c r="K2072" s="61" t="str">
        <f aca="false">IF(IsPro,IF($D2072="","",ROUND(N($E2072)*J2072*(1-N($G2072)),2)),"")</f>
        <v/>
      </c>
      <c r="L2072" s="62" t="str">
        <f aca="false">IF(IsPro,IF($D2072="","",IFERROR(INDEX(Items!$F$5:$F$504,Q2072),0)),"")</f>
        <v/>
      </c>
      <c r="M2072" s="61" t="str">
        <f aca="false">IF(IsPro,IF($D2072="","",IF(AND(R2072&lt;&gt;"",INDEX(Parties!$E$5:$E$304,R2072)&lt;&gt;"",INDEX(Parties!$E$5:$E$304,R2072)&lt;&gt;HomeState),0,ROUND(K2072*L2072/2,2))),"")</f>
        <v/>
      </c>
      <c r="N2072" s="61" t="str">
        <f aca="false">IF(IsPro,IF($D2072="","",M2072),"")</f>
        <v/>
      </c>
      <c r="O2072" s="61" t="str">
        <f aca="false">IF(IsPro,IF($D2072="","",IF(AND(R2072&lt;&gt;"",INDEX(Parties!$E$5:$E$304,R2072)&lt;&gt;"",INDEX(Parties!$E$5:$E$304,R2072)&lt;&gt;HomeState),ROUND(K2072*L2072,2),0)),"")</f>
        <v/>
      </c>
      <c r="P2072" s="61" t="str">
        <f aca="false">IF(IsPro,IF($D2072="","",K2072+M2072+N2072+O2072),"")</f>
        <v/>
      </c>
      <c r="Q2072" s="60" t="str">
        <f aca="false">IF(IsPro,IF($D2072="","",IFERROR(MATCH($D2072,Items!$A$5:$A$504,0),"")),"")</f>
        <v/>
      </c>
      <c r="R2072" s="60" t="str">
        <f aca="false">IF(IsPro,IF($C2072="","",IFERROR(MATCH($C2072,Parties!$A$5:$A$304,0),"")),"")</f>
        <v/>
      </c>
      <c r="S2072" s="61" t="str">
        <f aca="false">IF(IsPro,IF($D2072="","",IF(OR($H2072="",$H2072="Credit"),0,P2072)),"")</f>
        <v/>
      </c>
    </row>
    <row r="2073" customFormat="false" ht="15" hidden="false" customHeight="false" outlineLevel="0" collapsed="false">
      <c r="A2073" s="55"/>
      <c r="B2073" s="56"/>
      <c r="C2073" s="56"/>
      <c r="D2073" s="56"/>
      <c r="E2073" s="57"/>
      <c r="F2073" s="58"/>
      <c r="G2073" s="59"/>
      <c r="H2073" s="56"/>
      <c r="I2073" s="60" t="str">
        <f aca="false">IF(IsPro,IF($D2073="","",IFERROR(INDEX(Items!$D$5:$D$504,Q2073),"")),IF($D2073="","","PRO PLAN"))</f>
        <v/>
      </c>
      <c r="J2073" s="61" t="str">
        <f aca="false">IF(IsPro,IF($D2073="","",IF($F2073="",IFERROR(INDEX(Items!$G$5:$G$504,Q2073),0),$F2073)),"")</f>
        <v/>
      </c>
      <c r="K2073" s="61" t="str">
        <f aca="false">IF(IsPro,IF($D2073="","",ROUND(N($E2073)*J2073*(1-N($G2073)),2)),"")</f>
        <v/>
      </c>
      <c r="L2073" s="62" t="str">
        <f aca="false">IF(IsPro,IF($D2073="","",IFERROR(INDEX(Items!$F$5:$F$504,Q2073),0)),"")</f>
        <v/>
      </c>
      <c r="M2073" s="61" t="str">
        <f aca="false">IF(IsPro,IF($D2073="","",IF(AND(R2073&lt;&gt;"",INDEX(Parties!$E$5:$E$304,R2073)&lt;&gt;"",INDEX(Parties!$E$5:$E$304,R2073)&lt;&gt;HomeState),0,ROUND(K2073*L2073/2,2))),"")</f>
        <v/>
      </c>
      <c r="N2073" s="61" t="str">
        <f aca="false">IF(IsPro,IF($D2073="","",M2073),"")</f>
        <v/>
      </c>
      <c r="O2073" s="61" t="str">
        <f aca="false">IF(IsPro,IF($D2073="","",IF(AND(R2073&lt;&gt;"",INDEX(Parties!$E$5:$E$304,R2073)&lt;&gt;"",INDEX(Parties!$E$5:$E$304,R2073)&lt;&gt;HomeState),ROUND(K2073*L2073,2),0)),"")</f>
        <v/>
      </c>
      <c r="P2073" s="61" t="str">
        <f aca="false">IF(IsPro,IF($D2073="","",K2073+M2073+N2073+O2073),"")</f>
        <v/>
      </c>
      <c r="Q2073" s="60" t="str">
        <f aca="false">IF(IsPro,IF($D2073="","",IFERROR(MATCH($D2073,Items!$A$5:$A$504,0),"")),"")</f>
        <v/>
      </c>
      <c r="R2073" s="60" t="str">
        <f aca="false">IF(IsPro,IF($C2073="","",IFERROR(MATCH($C2073,Parties!$A$5:$A$304,0),"")),"")</f>
        <v/>
      </c>
      <c r="S2073" s="61" t="str">
        <f aca="false">IF(IsPro,IF($D2073="","",IF(OR($H2073="",$H2073="Credit"),0,P2073)),"")</f>
        <v/>
      </c>
    </row>
    <row r="2074" customFormat="false" ht="15" hidden="false" customHeight="false" outlineLevel="0" collapsed="false">
      <c r="A2074" s="55"/>
      <c r="B2074" s="56"/>
      <c r="C2074" s="56"/>
      <c r="D2074" s="56"/>
      <c r="E2074" s="57"/>
      <c r="F2074" s="58"/>
      <c r="G2074" s="59"/>
      <c r="H2074" s="56"/>
      <c r="I2074" s="60" t="str">
        <f aca="false">IF(IsPro,IF($D2074="","",IFERROR(INDEX(Items!$D$5:$D$504,Q2074),"")),IF($D2074="","","PRO PLAN"))</f>
        <v/>
      </c>
      <c r="J2074" s="61" t="str">
        <f aca="false">IF(IsPro,IF($D2074="","",IF($F2074="",IFERROR(INDEX(Items!$G$5:$G$504,Q2074),0),$F2074)),"")</f>
        <v/>
      </c>
      <c r="K2074" s="61" t="str">
        <f aca="false">IF(IsPro,IF($D2074="","",ROUND(N($E2074)*J2074*(1-N($G2074)),2)),"")</f>
        <v/>
      </c>
      <c r="L2074" s="62" t="str">
        <f aca="false">IF(IsPro,IF($D2074="","",IFERROR(INDEX(Items!$F$5:$F$504,Q2074),0)),"")</f>
        <v/>
      </c>
      <c r="M2074" s="61" t="str">
        <f aca="false">IF(IsPro,IF($D2074="","",IF(AND(R2074&lt;&gt;"",INDEX(Parties!$E$5:$E$304,R2074)&lt;&gt;"",INDEX(Parties!$E$5:$E$304,R2074)&lt;&gt;HomeState),0,ROUND(K2074*L2074/2,2))),"")</f>
        <v/>
      </c>
      <c r="N2074" s="61" t="str">
        <f aca="false">IF(IsPro,IF($D2074="","",M2074),"")</f>
        <v/>
      </c>
      <c r="O2074" s="61" t="str">
        <f aca="false">IF(IsPro,IF($D2074="","",IF(AND(R2074&lt;&gt;"",INDEX(Parties!$E$5:$E$304,R2074)&lt;&gt;"",INDEX(Parties!$E$5:$E$304,R2074)&lt;&gt;HomeState),ROUND(K2074*L2074,2),0)),"")</f>
        <v/>
      </c>
      <c r="P2074" s="61" t="str">
        <f aca="false">IF(IsPro,IF($D2074="","",K2074+M2074+N2074+O2074),"")</f>
        <v/>
      </c>
      <c r="Q2074" s="60" t="str">
        <f aca="false">IF(IsPro,IF($D2074="","",IFERROR(MATCH($D2074,Items!$A$5:$A$504,0),"")),"")</f>
        <v/>
      </c>
      <c r="R2074" s="60" t="str">
        <f aca="false">IF(IsPro,IF($C2074="","",IFERROR(MATCH($C2074,Parties!$A$5:$A$304,0),"")),"")</f>
        <v/>
      </c>
      <c r="S2074" s="61" t="str">
        <f aca="false">IF(IsPro,IF($D2074="","",IF(OR($H2074="",$H2074="Credit"),0,P2074)),"")</f>
        <v/>
      </c>
    </row>
    <row r="2075" customFormat="false" ht="15" hidden="false" customHeight="false" outlineLevel="0" collapsed="false">
      <c r="A2075" s="55"/>
      <c r="B2075" s="56"/>
      <c r="C2075" s="56"/>
      <c r="D2075" s="56"/>
      <c r="E2075" s="57"/>
      <c r="F2075" s="58"/>
      <c r="G2075" s="59"/>
      <c r="H2075" s="56"/>
      <c r="I2075" s="60" t="str">
        <f aca="false">IF(IsPro,IF($D2075="","",IFERROR(INDEX(Items!$D$5:$D$504,Q2075),"")),IF($D2075="","","PRO PLAN"))</f>
        <v/>
      </c>
      <c r="J2075" s="61" t="str">
        <f aca="false">IF(IsPro,IF($D2075="","",IF($F2075="",IFERROR(INDEX(Items!$G$5:$G$504,Q2075),0),$F2075)),"")</f>
        <v/>
      </c>
      <c r="K2075" s="61" t="str">
        <f aca="false">IF(IsPro,IF($D2075="","",ROUND(N($E2075)*J2075*(1-N($G2075)),2)),"")</f>
        <v/>
      </c>
      <c r="L2075" s="62" t="str">
        <f aca="false">IF(IsPro,IF($D2075="","",IFERROR(INDEX(Items!$F$5:$F$504,Q2075),0)),"")</f>
        <v/>
      </c>
      <c r="M2075" s="61" t="str">
        <f aca="false">IF(IsPro,IF($D2075="","",IF(AND(R2075&lt;&gt;"",INDEX(Parties!$E$5:$E$304,R2075)&lt;&gt;"",INDEX(Parties!$E$5:$E$304,R2075)&lt;&gt;HomeState),0,ROUND(K2075*L2075/2,2))),"")</f>
        <v/>
      </c>
      <c r="N2075" s="61" t="str">
        <f aca="false">IF(IsPro,IF($D2075="","",M2075),"")</f>
        <v/>
      </c>
      <c r="O2075" s="61" t="str">
        <f aca="false">IF(IsPro,IF($D2075="","",IF(AND(R2075&lt;&gt;"",INDEX(Parties!$E$5:$E$304,R2075)&lt;&gt;"",INDEX(Parties!$E$5:$E$304,R2075)&lt;&gt;HomeState),ROUND(K2075*L2075,2),0)),"")</f>
        <v/>
      </c>
      <c r="P2075" s="61" t="str">
        <f aca="false">IF(IsPro,IF($D2075="","",K2075+M2075+N2075+O2075),"")</f>
        <v/>
      </c>
      <c r="Q2075" s="60" t="str">
        <f aca="false">IF(IsPro,IF($D2075="","",IFERROR(MATCH($D2075,Items!$A$5:$A$504,0),"")),"")</f>
        <v/>
      </c>
      <c r="R2075" s="60" t="str">
        <f aca="false">IF(IsPro,IF($C2075="","",IFERROR(MATCH($C2075,Parties!$A$5:$A$304,0),"")),"")</f>
        <v/>
      </c>
      <c r="S2075" s="61" t="str">
        <f aca="false">IF(IsPro,IF($D2075="","",IF(OR($H2075="",$H2075="Credit"),0,P2075)),"")</f>
        <v/>
      </c>
    </row>
    <row r="2076" customFormat="false" ht="15" hidden="false" customHeight="false" outlineLevel="0" collapsed="false">
      <c r="A2076" s="55"/>
      <c r="B2076" s="56"/>
      <c r="C2076" s="56"/>
      <c r="D2076" s="56"/>
      <c r="E2076" s="57"/>
      <c r="F2076" s="58"/>
      <c r="G2076" s="59"/>
      <c r="H2076" s="56"/>
      <c r="I2076" s="60" t="str">
        <f aca="false">IF(IsPro,IF($D2076="","",IFERROR(INDEX(Items!$D$5:$D$504,Q2076),"")),IF($D2076="","","PRO PLAN"))</f>
        <v/>
      </c>
      <c r="J2076" s="61" t="str">
        <f aca="false">IF(IsPro,IF($D2076="","",IF($F2076="",IFERROR(INDEX(Items!$G$5:$G$504,Q2076),0),$F2076)),"")</f>
        <v/>
      </c>
      <c r="K2076" s="61" t="str">
        <f aca="false">IF(IsPro,IF($D2076="","",ROUND(N($E2076)*J2076*(1-N($G2076)),2)),"")</f>
        <v/>
      </c>
      <c r="L2076" s="62" t="str">
        <f aca="false">IF(IsPro,IF($D2076="","",IFERROR(INDEX(Items!$F$5:$F$504,Q2076),0)),"")</f>
        <v/>
      </c>
      <c r="M2076" s="61" t="str">
        <f aca="false">IF(IsPro,IF($D2076="","",IF(AND(R2076&lt;&gt;"",INDEX(Parties!$E$5:$E$304,R2076)&lt;&gt;"",INDEX(Parties!$E$5:$E$304,R2076)&lt;&gt;HomeState),0,ROUND(K2076*L2076/2,2))),"")</f>
        <v/>
      </c>
      <c r="N2076" s="61" t="str">
        <f aca="false">IF(IsPro,IF($D2076="","",M2076),"")</f>
        <v/>
      </c>
      <c r="O2076" s="61" t="str">
        <f aca="false">IF(IsPro,IF($D2076="","",IF(AND(R2076&lt;&gt;"",INDEX(Parties!$E$5:$E$304,R2076)&lt;&gt;"",INDEX(Parties!$E$5:$E$304,R2076)&lt;&gt;HomeState),ROUND(K2076*L2076,2),0)),"")</f>
        <v/>
      </c>
      <c r="P2076" s="61" t="str">
        <f aca="false">IF(IsPro,IF($D2076="","",K2076+M2076+N2076+O2076),"")</f>
        <v/>
      </c>
      <c r="Q2076" s="60" t="str">
        <f aca="false">IF(IsPro,IF($D2076="","",IFERROR(MATCH($D2076,Items!$A$5:$A$504,0),"")),"")</f>
        <v/>
      </c>
      <c r="R2076" s="60" t="str">
        <f aca="false">IF(IsPro,IF($C2076="","",IFERROR(MATCH($C2076,Parties!$A$5:$A$304,0),"")),"")</f>
        <v/>
      </c>
      <c r="S2076" s="61" t="str">
        <f aca="false">IF(IsPro,IF($D2076="","",IF(OR($H2076="",$H2076="Credit"),0,P2076)),"")</f>
        <v/>
      </c>
    </row>
    <row r="2077" customFormat="false" ht="15" hidden="false" customHeight="false" outlineLevel="0" collapsed="false">
      <c r="A2077" s="55"/>
      <c r="B2077" s="56"/>
      <c r="C2077" s="56"/>
      <c r="D2077" s="56"/>
      <c r="E2077" s="57"/>
      <c r="F2077" s="58"/>
      <c r="G2077" s="59"/>
      <c r="H2077" s="56"/>
      <c r="I2077" s="60" t="str">
        <f aca="false">IF(IsPro,IF($D2077="","",IFERROR(INDEX(Items!$D$5:$D$504,Q2077),"")),IF($D2077="","","PRO PLAN"))</f>
        <v/>
      </c>
      <c r="J2077" s="61" t="str">
        <f aca="false">IF(IsPro,IF($D2077="","",IF($F2077="",IFERROR(INDEX(Items!$G$5:$G$504,Q2077),0),$F2077)),"")</f>
        <v/>
      </c>
      <c r="K2077" s="61" t="str">
        <f aca="false">IF(IsPro,IF($D2077="","",ROUND(N($E2077)*J2077*(1-N($G2077)),2)),"")</f>
        <v/>
      </c>
      <c r="L2077" s="62" t="str">
        <f aca="false">IF(IsPro,IF($D2077="","",IFERROR(INDEX(Items!$F$5:$F$504,Q2077),0)),"")</f>
        <v/>
      </c>
      <c r="M2077" s="61" t="str">
        <f aca="false">IF(IsPro,IF($D2077="","",IF(AND(R2077&lt;&gt;"",INDEX(Parties!$E$5:$E$304,R2077)&lt;&gt;"",INDEX(Parties!$E$5:$E$304,R2077)&lt;&gt;HomeState),0,ROUND(K2077*L2077/2,2))),"")</f>
        <v/>
      </c>
      <c r="N2077" s="61" t="str">
        <f aca="false">IF(IsPro,IF($D2077="","",M2077),"")</f>
        <v/>
      </c>
      <c r="O2077" s="61" t="str">
        <f aca="false">IF(IsPro,IF($D2077="","",IF(AND(R2077&lt;&gt;"",INDEX(Parties!$E$5:$E$304,R2077)&lt;&gt;"",INDEX(Parties!$E$5:$E$304,R2077)&lt;&gt;HomeState),ROUND(K2077*L2077,2),0)),"")</f>
        <v/>
      </c>
      <c r="P2077" s="61" t="str">
        <f aca="false">IF(IsPro,IF($D2077="","",K2077+M2077+N2077+O2077),"")</f>
        <v/>
      </c>
      <c r="Q2077" s="60" t="str">
        <f aca="false">IF(IsPro,IF($D2077="","",IFERROR(MATCH($D2077,Items!$A$5:$A$504,0),"")),"")</f>
        <v/>
      </c>
      <c r="R2077" s="60" t="str">
        <f aca="false">IF(IsPro,IF($C2077="","",IFERROR(MATCH($C2077,Parties!$A$5:$A$304,0),"")),"")</f>
        <v/>
      </c>
      <c r="S2077" s="61" t="str">
        <f aca="false">IF(IsPro,IF($D2077="","",IF(OR($H2077="",$H2077="Credit"),0,P2077)),"")</f>
        <v/>
      </c>
    </row>
    <row r="2078" customFormat="false" ht="15" hidden="false" customHeight="false" outlineLevel="0" collapsed="false">
      <c r="A2078" s="55"/>
      <c r="B2078" s="56"/>
      <c r="C2078" s="56"/>
      <c r="D2078" s="56"/>
      <c r="E2078" s="57"/>
      <c r="F2078" s="58"/>
      <c r="G2078" s="59"/>
      <c r="H2078" s="56"/>
      <c r="I2078" s="60" t="str">
        <f aca="false">IF(IsPro,IF($D2078="","",IFERROR(INDEX(Items!$D$5:$D$504,Q2078),"")),IF($D2078="","","PRO PLAN"))</f>
        <v/>
      </c>
      <c r="J2078" s="61" t="str">
        <f aca="false">IF(IsPro,IF($D2078="","",IF($F2078="",IFERROR(INDEX(Items!$G$5:$G$504,Q2078),0),$F2078)),"")</f>
        <v/>
      </c>
      <c r="K2078" s="61" t="str">
        <f aca="false">IF(IsPro,IF($D2078="","",ROUND(N($E2078)*J2078*(1-N($G2078)),2)),"")</f>
        <v/>
      </c>
      <c r="L2078" s="62" t="str">
        <f aca="false">IF(IsPro,IF($D2078="","",IFERROR(INDEX(Items!$F$5:$F$504,Q2078),0)),"")</f>
        <v/>
      </c>
      <c r="M2078" s="61" t="str">
        <f aca="false">IF(IsPro,IF($D2078="","",IF(AND(R2078&lt;&gt;"",INDEX(Parties!$E$5:$E$304,R2078)&lt;&gt;"",INDEX(Parties!$E$5:$E$304,R2078)&lt;&gt;HomeState),0,ROUND(K2078*L2078/2,2))),"")</f>
        <v/>
      </c>
      <c r="N2078" s="61" t="str">
        <f aca="false">IF(IsPro,IF($D2078="","",M2078),"")</f>
        <v/>
      </c>
      <c r="O2078" s="61" t="str">
        <f aca="false">IF(IsPro,IF($D2078="","",IF(AND(R2078&lt;&gt;"",INDEX(Parties!$E$5:$E$304,R2078)&lt;&gt;"",INDEX(Parties!$E$5:$E$304,R2078)&lt;&gt;HomeState),ROUND(K2078*L2078,2),0)),"")</f>
        <v/>
      </c>
      <c r="P2078" s="61" t="str">
        <f aca="false">IF(IsPro,IF($D2078="","",K2078+M2078+N2078+O2078),"")</f>
        <v/>
      </c>
      <c r="Q2078" s="60" t="str">
        <f aca="false">IF(IsPro,IF($D2078="","",IFERROR(MATCH($D2078,Items!$A$5:$A$504,0),"")),"")</f>
        <v/>
      </c>
      <c r="R2078" s="60" t="str">
        <f aca="false">IF(IsPro,IF($C2078="","",IFERROR(MATCH($C2078,Parties!$A$5:$A$304,0),"")),"")</f>
        <v/>
      </c>
      <c r="S2078" s="61" t="str">
        <f aca="false">IF(IsPro,IF($D2078="","",IF(OR($H2078="",$H2078="Credit"),0,P2078)),"")</f>
        <v/>
      </c>
    </row>
    <row r="2079" customFormat="false" ht="15" hidden="false" customHeight="false" outlineLevel="0" collapsed="false">
      <c r="A2079" s="55"/>
      <c r="B2079" s="56"/>
      <c r="C2079" s="56"/>
      <c r="D2079" s="56"/>
      <c r="E2079" s="57"/>
      <c r="F2079" s="58"/>
      <c r="G2079" s="59"/>
      <c r="H2079" s="56"/>
      <c r="I2079" s="60" t="str">
        <f aca="false">IF(IsPro,IF($D2079="","",IFERROR(INDEX(Items!$D$5:$D$504,Q2079),"")),IF($D2079="","","PRO PLAN"))</f>
        <v/>
      </c>
      <c r="J2079" s="61" t="str">
        <f aca="false">IF(IsPro,IF($D2079="","",IF($F2079="",IFERROR(INDEX(Items!$G$5:$G$504,Q2079),0),$F2079)),"")</f>
        <v/>
      </c>
      <c r="K2079" s="61" t="str">
        <f aca="false">IF(IsPro,IF($D2079="","",ROUND(N($E2079)*J2079*(1-N($G2079)),2)),"")</f>
        <v/>
      </c>
      <c r="L2079" s="62" t="str">
        <f aca="false">IF(IsPro,IF($D2079="","",IFERROR(INDEX(Items!$F$5:$F$504,Q2079),0)),"")</f>
        <v/>
      </c>
      <c r="M2079" s="61" t="str">
        <f aca="false">IF(IsPro,IF($D2079="","",IF(AND(R2079&lt;&gt;"",INDEX(Parties!$E$5:$E$304,R2079)&lt;&gt;"",INDEX(Parties!$E$5:$E$304,R2079)&lt;&gt;HomeState),0,ROUND(K2079*L2079/2,2))),"")</f>
        <v/>
      </c>
      <c r="N2079" s="61" t="str">
        <f aca="false">IF(IsPro,IF($D2079="","",M2079),"")</f>
        <v/>
      </c>
      <c r="O2079" s="61" t="str">
        <f aca="false">IF(IsPro,IF($D2079="","",IF(AND(R2079&lt;&gt;"",INDEX(Parties!$E$5:$E$304,R2079)&lt;&gt;"",INDEX(Parties!$E$5:$E$304,R2079)&lt;&gt;HomeState),ROUND(K2079*L2079,2),0)),"")</f>
        <v/>
      </c>
      <c r="P2079" s="61" t="str">
        <f aca="false">IF(IsPro,IF($D2079="","",K2079+M2079+N2079+O2079),"")</f>
        <v/>
      </c>
      <c r="Q2079" s="60" t="str">
        <f aca="false">IF(IsPro,IF($D2079="","",IFERROR(MATCH($D2079,Items!$A$5:$A$504,0),"")),"")</f>
        <v/>
      </c>
      <c r="R2079" s="60" t="str">
        <f aca="false">IF(IsPro,IF($C2079="","",IFERROR(MATCH($C2079,Parties!$A$5:$A$304,0),"")),"")</f>
        <v/>
      </c>
      <c r="S2079" s="61" t="str">
        <f aca="false">IF(IsPro,IF($D2079="","",IF(OR($H2079="",$H2079="Credit"),0,P2079)),"")</f>
        <v/>
      </c>
    </row>
    <row r="2080" customFormat="false" ht="15" hidden="false" customHeight="false" outlineLevel="0" collapsed="false">
      <c r="A2080" s="55"/>
      <c r="B2080" s="56"/>
      <c r="C2080" s="56"/>
      <c r="D2080" s="56"/>
      <c r="E2080" s="57"/>
      <c r="F2080" s="58"/>
      <c r="G2080" s="59"/>
      <c r="H2080" s="56"/>
      <c r="I2080" s="60" t="str">
        <f aca="false">IF(IsPro,IF($D2080="","",IFERROR(INDEX(Items!$D$5:$D$504,Q2080),"")),IF($D2080="","","PRO PLAN"))</f>
        <v/>
      </c>
      <c r="J2080" s="61" t="str">
        <f aca="false">IF(IsPro,IF($D2080="","",IF($F2080="",IFERROR(INDEX(Items!$G$5:$G$504,Q2080),0),$F2080)),"")</f>
        <v/>
      </c>
      <c r="K2080" s="61" t="str">
        <f aca="false">IF(IsPro,IF($D2080="","",ROUND(N($E2080)*J2080*(1-N($G2080)),2)),"")</f>
        <v/>
      </c>
      <c r="L2080" s="62" t="str">
        <f aca="false">IF(IsPro,IF($D2080="","",IFERROR(INDEX(Items!$F$5:$F$504,Q2080),0)),"")</f>
        <v/>
      </c>
      <c r="M2080" s="61" t="str">
        <f aca="false">IF(IsPro,IF($D2080="","",IF(AND(R2080&lt;&gt;"",INDEX(Parties!$E$5:$E$304,R2080)&lt;&gt;"",INDEX(Parties!$E$5:$E$304,R2080)&lt;&gt;HomeState),0,ROUND(K2080*L2080/2,2))),"")</f>
        <v/>
      </c>
      <c r="N2080" s="61" t="str">
        <f aca="false">IF(IsPro,IF($D2080="","",M2080),"")</f>
        <v/>
      </c>
      <c r="O2080" s="61" t="str">
        <f aca="false">IF(IsPro,IF($D2080="","",IF(AND(R2080&lt;&gt;"",INDEX(Parties!$E$5:$E$304,R2080)&lt;&gt;"",INDEX(Parties!$E$5:$E$304,R2080)&lt;&gt;HomeState),ROUND(K2080*L2080,2),0)),"")</f>
        <v/>
      </c>
      <c r="P2080" s="61" t="str">
        <f aca="false">IF(IsPro,IF($D2080="","",K2080+M2080+N2080+O2080),"")</f>
        <v/>
      </c>
      <c r="Q2080" s="60" t="str">
        <f aca="false">IF(IsPro,IF($D2080="","",IFERROR(MATCH($D2080,Items!$A$5:$A$504,0),"")),"")</f>
        <v/>
      </c>
      <c r="R2080" s="60" t="str">
        <f aca="false">IF(IsPro,IF($C2080="","",IFERROR(MATCH($C2080,Parties!$A$5:$A$304,0),"")),"")</f>
        <v/>
      </c>
      <c r="S2080" s="61" t="str">
        <f aca="false">IF(IsPro,IF($D2080="","",IF(OR($H2080="",$H2080="Credit"),0,P2080)),"")</f>
        <v/>
      </c>
    </row>
    <row r="2081" customFormat="false" ht="15" hidden="false" customHeight="false" outlineLevel="0" collapsed="false">
      <c r="A2081" s="55"/>
      <c r="B2081" s="56"/>
      <c r="C2081" s="56"/>
      <c r="D2081" s="56"/>
      <c r="E2081" s="57"/>
      <c r="F2081" s="58"/>
      <c r="G2081" s="59"/>
      <c r="H2081" s="56"/>
      <c r="I2081" s="60" t="str">
        <f aca="false">IF(IsPro,IF($D2081="","",IFERROR(INDEX(Items!$D$5:$D$504,Q2081),"")),IF($D2081="","","PRO PLAN"))</f>
        <v/>
      </c>
      <c r="J2081" s="61" t="str">
        <f aca="false">IF(IsPro,IF($D2081="","",IF($F2081="",IFERROR(INDEX(Items!$G$5:$G$504,Q2081),0),$F2081)),"")</f>
        <v/>
      </c>
      <c r="K2081" s="61" t="str">
        <f aca="false">IF(IsPro,IF($D2081="","",ROUND(N($E2081)*J2081*(1-N($G2081)),2)),"")</f>
        <v/>
      </c>
      <c r="L2081" s="62" t="str">
        <f aca="false">IF(IsPro,IF($D2081="","",IFERROR(INDEX(Items!$F$5:$F$504,Q2081),0)),"")</f>
        <v/>
      </c>
      <c r="M2081" s="61" t="str">
        <f aca="false">IF(IsPro,IF($D2081="","",IF(AND(R2081&lt;&gt;"",INDEX(Parties!$E$5:$E$304,R2081)&lt;&gt;"",INDEX(Parties!$E$5:$E$304,R2081)&lt;&gt;HomeState),0,ROUND(K2081*L2081/2,2))),"")</f>
        <v/>
      </c>
      <c r="N2081" s="61" t="str">
        <f aca="false">IF(IsPro,IF($D2081="","",M2081),"")</f>
        <v/>
      </c>
      <c r="O2081" s="61" t="str">
        <f aca="false">IF(IsPro,IF($D2081="","",IF(AND(R2081&lt;&gt;"",INDEX(Parties!$E$5:$E$304,R2081)&lt;&gt;"",INDEX(Parties!$E$5:$E$304,R2081)&lt;&gt;HomeState),ROUND(K2081*L2081,2),0)),"")</f>
        <v/>
      </c>
      <c r="P2081" s="61" t="str">
        <f aca="false">IF(IsPro,IF($D2081="","",K2081+M2081+N2081+O2081),"")</f>
        <v/>
      </c>
      <c r="Q2081" s="60" t="str">
        <f aca="false">IF(IsPro,IF($D2081="","",IFERROR(MATCH($D2081,Items!$A$5:$A$504,0),"")),"")</f>
        <v/>
      </c>
      <c r="R2081" s="60" t="str">
        <f aca="false">IF(IsPro,IF($C2081="","",IFERROR(MATCH($C2081,Parties!$A$5:$A$304,0),"")),"")</f>
        <v/>
      </c>
      <c r="S2081" s="61" t="str">
        <f aca="false">IF(IsPro,IF($D2081="","",IF(OR($H2081="",$H2081="Credit"),0,P2081)),"")</f>
        <v/>
      </c>
    </row>
    <row r="2082" customFormat="false" ht="15" hidden="false" customHeight="false" outlineLevel="0" collapsed="false">
      <c r="A2082" s="55"/>
      <c r="B2082" s="56"/>
      <c r="C2082" s="56"/>
      <c r="D2082" s="56"/>
      <c r="E2082" s="57"/>
      <c r="F2082" s="58"/>
      <c r="G2082" s="59"/>
      <c r="H2082" s="56"/>
      <c r="I2082" s="60" t="str">
        <f aca="false">IF(IsPro,IF($D2082="","",IFERROR(INDEX(Items!$D$5:$D$504,Q2082),"")),IF($D2082="","","PRO PLAN"))</f>
        <v/>
      </c>
      <c r="J2082" s="61" t="str">
        <f aca="false">IF(IsPro,IF($D2082="","",IF($F2082="",IFERROR(INDEX(Items!$G$5:$G$504,Q2082),0),$F2082)),"")</f>
        <v/>
      </c>
      <c r="K2082" s="61" t="str">
        <f aca="false">IF(IsPro,IF($D2082="","",ROUND(N($E2082)*J2082*(1-N($G2082)),2)),"")</f>
        <v/>
      </c>
      <c r="L2082" s="62" t="str">
        <f aca="false">IF(IsPro,IF($D2082="","",IFERROR(INDEX(Items!$F$5:$F$504,Q2082),0)),"")</f>
        <v/>
      </c>
      <c r="M2082" s="61" t="str">
        <f aca="false">IF(IsPro,IF($D2082="","",IF(AND(R2082&lt;&gt;"",INDEX(Parties!$E$5:$E$304,R2082)&lt;&gt;"",INDEX(Parties!$E$5:$E$304,R2082)&lt;&gt;HomeState),0,ROUND(K2082*L2082/2,2))),"")</f>
        <v/>
      </c>
      <c r="N2082" s="61" t="str">
        <f aca="false">IF(IsPro,IF($D2082="","",M2082),"")</f>
        <v/>
      </c>
      <c r="O2082" s="61" t="str">
        <f aca="false">IF(IsPro,IF($D2082="","",IF(AND(R2082&lt;&gt;"",INDEX(Parties!$E$5:$E$304,R2082)&lt;&gt;"",INDEX(Parties!$E$5:$E$304,R2082)&lt;&gt;HomeState),ROUND(K2082*L2082,2),0)),"")</f>
        <v/>
      </c>
      <c r="P2082" s="61" t="str">
        <f aca="false">IF(IsPro,IF($D2082="","",K2082+M2082+N2082+O2082),"")</f>
        <v/>
      </c>
      <c r="Q2082" s="60" t="str">
        <f aca="false">IF(IsPro,IF($D2082="","",IFERROR(MATCH($D2082,Items!$A$5:$A$504,0),"")),"")</f>
        <v/>
      </c>
      <c r="R2082" s="60" t="str">
        <f aca="false">IF(IsPro,IF($C2082="","",IFERROR(MATCH($C2082,Parties!$A$5:$A$304,0),"")),"")</f>
        <v/>
      </c>
      <c r="S2082" s="61" t="str">
        <f aca="false">IF(IsPro,IF($D2082="","",IF(OR($H2082="",$H2082="Credit"),0,P2082)),"")</f>
        <v/>
      </c>
    </row>
    <row r="2083" customFormat="false" ht="15" hidden="false" customHeight="false" outlineLevel="0" collapsed="false">
      <c r="A2083" s="55"/>
      <c r="B2083" s="56"/>
      <c r="C2083" s="56"/>
      <c r="D2083" s="56"/>
      <c r="E2083" s="57"/>
      <c r="F2083" s="58"/>
      <c r="G2083" s="59"/>
      <c r="H2083" s="56"/>
      <c r="I2083" s="60" t="str">
        <f aca="false">IF(IsPro,IF($D2083="","",IFERROR(INDEX(Items!$D$5:$D$504,Q2083),"")),IF($D2083="","","PRO PLAN"))</f>
        <v/>
      </c>
      <c r="J2083" s="61" t="str">
        <f aca="false">IF(IsPro,IF($D2083="","",IF($F2083="",IFERROR(INDEX(Items!$G$5:$G$504,Q2083),0),$F2083)),"")</f>
        <v/>
      </c>
      <c r="K2083" s="61" t="str">
        <f aca="false">IF(IsPro,IF($D2083="","",ROUND(N($E2083)*J2083*(1-N($G2083)),2)),"")</f>
        <v/>
      </c>
      <c r="L2083" s="62" t="str">
        <f aca="false">IF(IsPro,IF($D2083="","",IFERROR(INDEX(Items!$F$5:$F$504,Q2083),0)),"")</f>
        <v/>
      </c>
      <c r="M2083" s="61" t="str">
        <f aca="false">IF(IsPro,IF($D2083="","",IF(AND(R2083&lt;&gt;"",INDEX(Parties!$E$5:$E$304,R2083)&lt;&gt;"",INDEX(Parties!$E$5:$E$304,R2083)&lt;&gt;HomeState),0,ROUND(K2083*L2083/2,2))),"")</f>
        <v/>
      </c>
      <c r="N2083" s="61" t="str">
        <f aca="false">IF(IsPro,IF($D2083="","",M2083),"")</f>
        <v/>
      </c>
      <c r="O2083" s="61" t="str">
        <f aca="false">IF(IsPro,IF($D2083="","",IF(AND(R2083&lt;&gt;"",INDEX(Parties!$E$5:$E$304,R2083)&lt;&gt;"",INDEX(Parties!$E$5:$E$304,R2083)&lt;&gt;HomeState),ROUND(K2083*L2083,2),0)),"")</f>
        <v/>
      </c>
      <c r="P2083" s="61" t="str">
        <f aca="false">IF(IsPro,IF($D2083="","",K2083+M2083+N2083+O2083),"")</f>
        <v/>
      </c>
      <c r="Q2083" s="60" t="str">
        <f aca="false">IF(IsPro,IF($D2083="","",IFERROR(MATCH($D2083,Items!$A$5:$A$504,0),"")),"")</f>
        <v/>
      </c>
      <c r="R2083" s="60" t="str">
        <f aca="false">IF(IsPro,IF($C2083="","",IFERROR(MATCH($C2083,Parties!$A$5:$A$304,0),"")),"")</f>
        <v/>
      </c>
      <c r="S2083" s="61" t="str">
        <f aca="false">IF(IsPro,IF($D2083="","",IF(OR($H2083="",$H2083="Credit"),0,P2083)),"")</f>
        <v/>
      </c>
    </row>
    <row r="2084" customFormat="false" ht="15" hidden="false" customHeight="false" outlineLevel="0" collapsed="false">
      <c r="A2084" s="55"/>
      <c r="B2084" s="56"/>
      <c r="C2084" s="56"/>
      <c r="D2084" s="56"/>
      <c r="E2084" s="57"/>
      <c r="F2084" s="58"/>
      <c r="G2084" s="59"/>
      <c r="H2084" s="56"/>
      <c r="I2084" s="60" t="str">
        <f aca="false">IF(IsPro,IF($D2084="","",IFERROR(INDEX(Items!$D$5:$D$504,Q2084),"")),IF($D2084="","","PRO PLAN"))</f>
        <v/>
      </c>
      <c r="J2084" s="61" t="str">
        <f aca="false">IF(IsPro,IF($D2084="","",IF($F2084="",IFERROR(INDEX(Items!$G$5:$G$504,Q2084),0),$F2084)),"")</f>
        <v/>
      </c>
      <c r="K2084" s="61" t="str">
        <f aca="false">IF(IsPro,IF($D2084="","",ROUND(N($E2084)*J2084*(1-N($G2084)),2)),"")</f>
        <v/>
      </c>
      <c r="L2084" s="62" t="str">
        <f aca="false">IF(IsPro,IF($D2084="","",IFERROR(INDEX(Items!$F$5:$F$504,Q2084),0)),"")</f>
        <v/>
      </c>
      <c r="M2084" s="61" t="str">
        <f aca="false">IF(IsPro,IF($D2084="","",IF(AND(R2084&lt;&gt;"",INDEX(Parties!$E$5:$E$304,R2084)&lt;&gt;"",INDEX(Parties!$E$5:$E$304,R2084)&lt;&gt;HomeState),0,ROUND(K2084*L2084/2,2))),"")</f>
        <v/>
      </c>
      <c r="N2084" s="61" t="str">
        <f aca="false">IF(IsPro,IF($D2084="","",M2084),"")</f>
        <v/>
      </c>
      <c r="O2084" s="61" t="str">
        <f aca="false">IF(IsPro,IF($D2084="","",IF(AND(R2084&lt;&gt;"",INDEX(Parties!$E$5:$E$304,R2084)&lt;&gt;"",INDEX(Parties!$E$5:$E$304,R2084)&lt;&gt;HomeState),ROUND(K2084*L2084,2),0)),"")</f>
        <v/>
      </c>
      <c r="P2084" s="61" t="str">
        <f aca="false">IF(IsPro,IF($D2084="","",K2084+M2084+N2084+O2084),"")</f>
        <v/>
      </c>
      <c r="Q2084" s="60" t="str">
        <f aca="false">IF(IsPro,IF($D2084="","",IFERROR(MATCH($D2084,Items!$A$5:$A$504,0),"")),"")</f>
        <v/>
      </c>
      <c r="R2084" s="60" t="str">
        <f aca="false">IF(IsPro,IF($C2084="","",IFERROR(MATCH($C2084,Parties!$A$5:$A$304,0),"")),"")</f>
        <v/>
      </c>
      <c r="S2084" s="61" t="str">
        <f aca="false">IF(IsPro,IF($D2084="","",IF(OR($H2084="",$H2084="Credit"),0,P2084)),"")</f>
        <v/>
      </c>
    </row>
    <row r="2085" customFormat="false" ht="15" hidden="false" customHeight="false" outlineLevel="0" collapsed="false">
      <c r="A2085" s="55"/>
      <c r="B2085" s="56"/>
      <c r="C2085" s="56"/>
      <c r="D2085" s="56"/>
      <c r="E2085" s="57"/>
      <c r="F2085" s="58"/>
      <c r="G2085" s="59"/>
      <c r="H2085" s="56"/>
      <c r="I2085" s="60" t="str">
        <f aca="false">IF(IsPro,IF($D2085="","",IFERROR(INDEX(Items!$D$5:$D$504,Q2085),"")),IF($D2085="","","PRO PLAN"))</f>
        <v/>
      </c>
      <c r="J2085" s="61" t="str">
        <f aca="false">IF(IsPro,IF($D2085="","",IF($F2085="",IFERROR(INDEX(Items!$G$5:$G$504,Q2085),0),$F2085)),"")</f>
        <v/>
      </c>
      <c r="K2085" s="61" t="str">
        <f aca="false">IF(IsPro,IF($D2085="","",ROUND(N($E2085)*J2085*(1-N($G2085)),2)),"")</f>
        <v/>
      </c>
      <c r="L2085" s="62" t="str">
        <f aca="false">IF(IsPro,IF($D2085="","",IFERROR(INDEX(Items!$F$5:$F$504,Q2085),0)),"")</f>
        <v/>
      </c>
      <c r="M2085" s="61" t="str">
        <f aca="false">IF(IsPro,IF($D2085="","",IF(AND(R2085&lt;&gt;"",INDEX(Parties!$E$5:$E$304,R2085)&lt;&gt;"",INDEX(Parties!$E$5:$E$304,R2085)&lt;&gt;HomeState),0,ROUND(K2085*L2085/2,2))),"")</f>
        <v/>
      </c>
      <c r="N2085" s="61" t="str">
        <f aca="false">IF(IsPro,IF($D2085="","",M2085),"")</f>
        <v/>
      </c>
      <c r="O2085" s="61" t="str">
        <f aca="false">IF(IsPro,IF($D2085="","",IF(AND(R2085&lt;&gt;"",INDEX(Parties!$E$5:$E$304,R2085)&lt;&gt;"",INDEX(Parties!$E$5:$E$304,R2085)&lt;&gt;HomeState),ROUND(K2085*L2085,2),0)),"")</f>
        <v/>
      </c>
      <c r="P2085" s="61" t="str">
        <f aca="false">IF(IsPro,IF($D2085="","",K2085+M2085+N2085+O2085),"")</f>
        <v/>
      </c>
      <c r="Q2085" s="60" t="str">
        <f aca="false">IF(IsPro,IF($D2085="","",IFERROR(MATCH($D2085,Items!$A$5:$A$504,0),"")),"")</f>
        <v/>
      </c>
      <c r="R2085" s="60" t="str">
        <f aca="false">IF(IsPro,IF($C2085="","",IFERROR(MATCH($C2085,Parties!$A$5:$A$304,0),"")),"")</f>
        <v/>
      </c>
      <c r="S2085" s="61" t="str">
        <f aca="false">IF(IsPro,IF($D2085="","",IF(OR($H2085="",$H2085="Credit"),0,P2085)),"")</f>
        <v/>
      </c>
    </row>
    <row r="2086" customFormat="false" ht="15" hidden="false" customHeight="false" outlineLevel="0" collapsed="false">
      <c r="A2086" s="55"/>
      <c r="B2086" s="56"/>
      <c r="C2086" s="56"/>
      <c r="D2086" s="56"/>
      <c r="E2086" s="57"/>
      <c r="F2086" s="58"/>
      <c r="G2086" s="59"/>
      <c r="H2086" s="56"/>
      <c r="I2086" s="60" t="str">
        <f aca="false">IF(IsPro,IF($D2086="","",IFERROR(INDEX(Items!$D$5:$D$504,Q2086),"")),IF($D2086="","","PRO PLAN"))</f>
        <v/>
      </c>
      <c r="J2086" s="61" t="str">
        <f aca="false">IF(IsPro,IF($D2086="","",IF($F2086="",IFERROR(INDEX(Items!$G$5:$G$504,Q2086),0),$F2086)),"")</f>
        <v/>
      </c>
      <c r="K2086" s="61" t="str">
        <f aca="false">IF(IsPro,IF($D2086="","",ROUND(N($E2086)*J2086*(1-N($G2086)),2)),"")</f>
        <v/>
      </c>
      <c r="L2086" s="62" t="str">
        <f aca="false">IF(IsPro,IF($D2086="","",IFERROR(INDEX(Items!$F$5:$F$504,Q2086),0)),"")</f>
        <v/>
      </c>
      <c r="M2086" s="61" t="str">
        <f aca="false">IF(IsPro,IF($D2086="","",IF(AND(R2086&lt;&gt;"",INDEX(Parties!$E$5:$E$304,R2086)&lt;&gt;"",INDEX(Parties!$E$5:$E$304,R2086)&lt;&gt;HomeState),0,ROUND(K2086*L2086/2,2))),"")</f>
        <v/>
      </c>
      <c r="N2086" s="61" t="str">
        <f aca="false">IF(IsPro,IF($D2086="","",M2086),"")</f>
        <v/>
      </c>
      <c r="O2086" s="61" t="str">
        <f aca="false">IF(IsPro,IF($D2086="","",IF(AND(R2086&lt;&gt;"",INDEX(Parties!$E$5:$E$304,R2086)&lt;&gt;"",INDEX(Parties!$E$5:$E$304,R2086)&lt;&gt;HomeState),ROUND(K2086*L2086,2),0)),"")</f>
        <v/>
      </c>
      <c r="P2086" s="61" t="str">
        <f aca="false">IF(IsPro,IF($D2086="","",K2086+M2086+N2086+O2086),"")</f>
        <v/>
      </c>
      <c r="Q2086" s="60" t="str">
        <f aca="false">IF(IsPro,IF($D2086="","",IFERROR(MATCH($D2086,Items!$A$5:$A$504,0),"")),"")</f>
        <v/>
      </c>
      <c r="R2086" s="60" t="str">
        <f aca="false">IF(IsPro,IF($C2086="","",IFERROR(MATCH($C2086,Parties!$A$5:$A$304,0),"")),"")</f>
        <v/>
      </c>
      <c r="S2086" s="61" t="str">
        <f aca="false">IF(IsPro,IF($D2086="","",IF(OR($H2086="",$H2086="Credit"),0,P2086)),"")</f>
        <v/>
      </c>
    </row>
    <row r="2087" customFormat="false" ht="15" hidden="false" customHeight="false" outlineLevel="0" collapsed="false">
      <c r="A2087" s="55"/>
      <c r="B2087" s="56"/>
      <c r="C2087" s="56"/>
      <c r="D2087" s="56"/>
      <c r="E2087" s="57"/>
      <c r="F2087" s="58"/>
      <c r="G2087" s="59"/>
      <c r="H2087" s="56"/>
      <c r="I2087" s="60" t="str">
        <f aca="false">IF(IsPro,IF($D2087="","",IFERROR(INDEX(Items!$D$5:$D$504,Q2087),"")),IF($D2087="","","PRO PLAN"))</f>
        <v/>
      </c>
      <c r="J2087" s="61" t="str">
        <f aca="false">IF(IsPro,IF($D2087="","",IF($F2087="",IFERROR(INDEX(Items!$G$5:$G$504,Q2087),0),$F2087)),"")</f>
        <v/>
      </c>
      <c r="K2087" s="61" t="str">
        <f aca="false">IF(IsPro,IF($D2087="","",ROUND(N($E2087)*J2087*(1-N($G2087)),2)),"")</f>
        <v/>
      </c>
      <c r="L2087" s="62" t="str">
        <f aca="false">IF(IsPro,IF($D2087="","",IFERROR(INDEX(Items!$F$5:$F$504,Q2087),0)),"")</f>
        <v/>
      </c>
      <c r="M2087" s="61" t="str">
        <f aca="false">IF(IsPro,IF($D2087="","",IF(AND(R2087&lt;&gt;"",INDEX(Parties!$E$5:$E$304,R2087)&lt;&gt;"",INDEX(Parties!$E$5:$E$304,R2087)&lt;&gt;HomeState),0,ROUND(K2087*L2087/2,2))),"")</f>
        <v/>
      </c>
      <c r="N2087" s="61" t="str">
        <f aca="false">IF(IsPro,IF($D2087="","",M2087),"")</f>
        <v/>
      </c>
      <c r="O2087" s="61" t="str">
        <f aca="false">IF(IsPro,IF($D2087="","",IF(AND(R2087&lt;&gt;"",INDEX(Parties!$E$5:$E$304,R2087)&lt;&gt;"",INDEX(Parties!$E$5:$E$304,R2087)&lt;&gt;HomeState),ROUND(K2087*L2087,2),0)),"")</f>
        <v/>
      </c>
      <c r="P2087" s="61" t="str">
        <f aca="false">IF(IsPro,IF($D2087="","",K2087+M2087+N2087+O2087),"")</f>
        <v/>
      </c>
      <c r="Q2087" s="60" t="str">
        <f aca="false">IF(IsPro,IF($D2087="","",IFERROR(MATCH($D2087,Items!$A$5:$A$504,0),"")),"")</f>
        <v/>
      </c>
      <c r="R2087" s="60" t="str">
        <f aca="false">IF(IsPro,IF($C2087="","",IFERROR(MATCH($C2087,Parties!$A$5:$A$304,0),"")),"")</f>
        <v/>
      </c>
      <c r="S2087" s="61" t="str">
        <f aca="false">IF(IsPro,IF($D2087="","",IF(OR($H2087="",$H2087="Credit"),0,P2087)),"")</f>
        <v/>
      </c>
    </row>
    <row r="2088" customFormat="false" ht="15" hidden="false" customHeight="false" outlineLevel="0" collapsed="false">
      <c r="A2088" s="55"/>
      <c r="B2088" s="56"/>
      <c r="C2088" s="56"/>
      <c r="D2088" s="56"/>
      <c r="E2088" s="57"/>
      <c r="F2088" s="58"/>
      <c r="G2088" s="59"/>
      <c r="H2088" s="56"/>
      <c r="I2088" s="60" t="str">
        <f aca="false">IF(IsPro,IF($D2088="","",IFERROR(INDEX(Items!$D$5:$D$504,Q2088),"")),IF($D2088="","","PRO PLAN"))</f>
        <v/>
      </c>
      <c r="J2088" s="61" t="str">
        <f aca="false">IF(IsPro,IF($D2088="","",IF($F2088="",IFERROR(INDEX(Items!$G$5:$G$504,Q2088),0),$F2088)),"")</f>
        <v/>
      </c>
      <c r="K2088" s="61" t="str">
        <f aca="false">IF(IsPro,IF($D2088="","",ROUND(N($E2088)*J2088*(1-N($G2088)),2)),"")</f>
        <v/>
      </c>
      <c r="L2088" s="62" t="str">
        <f aca="false">IF(IsPro,IF($D2088="","",IFERROR(INDEX(Items!$F$5:$F$504,Q2088),0)),"")</f>
        <v/>
      </c>
      <c r="M2088" s="61" t="str">
        <f aca="false">IF(IsPro,IF($D2088="","",IF(AND(R2088&lt;&gt;"",INDEX(Parties!$E$5:$E$304,R2088)&lt;&gt;"",INDEX(Parties!$E$5:$E$304,R2088)&lt;&gt;HomeState),0,ROUND(K2088*L2088/2,2))),"")</f>
        <v/>
      </c>
      <c r="N2088" s="61" t="str">
        <f aca="false">IF(IsPro,IF($D2088="","",M2088),"")</f>
        <v/>
      </c>
      <c r="O2088" s="61" t="str">
        <f aca="false">IF(IsPro,IF($D2088="","",IF(AND(R2088&lt;&gt;"",INDEX(Parties!$E$5:$E$304,R2088)&lt;&gt;"",INDEX(Parties!$E$5:$E$304,R2088)&lt;&gt;HomeState),ROUND(K2088*L2088,2),0)),"")</f>
        <v/>
      </c>
      <c r="P2088" s="61" t="str">
        <f aca="false">IF(IsPro,IF($D2088="","",K2088+M2088+N2088+O2088),"")</f>
        <v/>
      </c>
      <c r="Q2088" s="60" t="str">
        <f aca="false">IF(IsPro,IF($D2088="","",IFERROR(MATCH($D2088,Items!$A$5:$A$504,0),"")),"")</f>
        <v/>
      </c>
      <c r="R2088" s="60" t="str">
        <f aca="false">IF(IsPro,IF($C2088="","",IFERROR(MATCH($C2088,Parties!$A$5:$A$304,0),"")),"")</f>
        <v/>
      </c>
      <c r="S2088" s="61" t="str">
        <f aca="false">IF(IsPro,IF($D2088="","",IF(OR($H2088="",$H2088="Credit"),0,P2088)),"")</f>
        <v/>
      </c>
    </row>
    <row r="2089" customFormat="false" ht="15" hidden="false" customHeight="false" outlineLevel="0" collapsed="false">
      <c r="A2089" s="55"/>
      <c r="B2089" s="56"/>
      <c r="C2089" s="56"/>
      <c r="D2089" s="56"/>
      <c r="E2089" s="57"/>
      <c r="F2089" s="58"/>
      <c r="G2089" s="59"/>
      <c r="H2089" s="56"/>
      <c r="I2089" s="60" t="str">
        <f aca="false">IF(IsPro,IF($D2089="","",IFERROR(INDEX(Items!$D$5:$D$504,Q2089),"")),IF($D2089="","","PRO PLAN"))</f>
        <v/>
      </c>
      <c r="J2089" s="61" t="str">
        <f aca="false">IF(IsPro,IF($D2089="","",IF($F2089="",IFERROR(INDEX(Items!$G$5:$G$504,Q2089),0),$F2089)),"")</f>
        <v/>
      </c>
      <c r="K2089" s="61" t="str">
        <f aca="false">IF(IsPro,IF($D2089="","",ROUND(N($E2089)*J2089*(1-N($G2089)),2)),"")</f>
        <v/>
      </c>
      <c r="L2089" s="62" t="str">
        <f aca="false">IF(IsPro,IF($D2089="","",IFERROR(INDEX(Items!$F$5:$F$504,Q2089),0)),"")</f>
        <v/>
      </c>
      <c r="M2089" s="61" t="str">
        <f aca="false">IF(IsPro,IF($D2089="","",IF(AND(R2089&lt;&gt;"",INDEX(Parties!$E$5:$E$304,R2089)&lt;&gt;"",INDEX(Parties!$E$5:$E$304,R2089)&lt;&gt;HomeState),0,ROUND(K2089*L2089/2,2))),"")</f>
        <v/>
      </c>
      <c r="N2089" s="61" t="str">
        <f aca="false">IF(IsPro,IF($D2089="","",M2089),"")</f>
        <v/>
      </c>
      <c r="O2089" s="61" t="str">
        <f aca="false">IF(IsPro,IF($D2089="","",IF(AND(R2089&lt;&gt;"",INDEX(Parties!$E$5:$E$304,R2089)&lt;&gt;"",INDEX(Parties!$E$5:$E$304,R2089)&lt;&gt;HomeState),ROUND(K2089*L2089,2),0)),"")</f>
        <v/>
      </c>
      <c r="P2089" s="61" t="str">
        <f aca="false">IF(IsPro,IF($D2089="","",K2089+M2089+N2089+O2089),"")</f>
        <v/>
      </c>
      <c r="Q2089" s="60" t="str">
        <f aca="false">IF(IsPro,IF($D2089="","",IFERROR(MATCH($D2089,Items!$A$5:$A$504,0),"")),"")</f>
        <v/>
      </c>
      <c r="R2089" s="60" t="str">
        <f aca="false">IF(IsPro,IF($C2089="","",IFERROR(MATCH($C2089,Parties!$A$5:$A$304,0),"")),"")</f>
        <v/>
      </c>
      <c r="S2089" s="61" t="str">
        <f aca="false">IF(IsPro,IF($D2089="","",IF(OR($H2089="",$H2089="Credit"),0,P2089)),"")</f>
        <v/>
      </c>
    </row>
    <row r="2090" customFormat="false" ht="15" hidden="false" customHeight="false" outlineLevel="0" collapsed="false">
      <c r="A2090" s="55"/>
      <c r="B2090" s="56"/>
      <c r="C2090" s="56"/>
      <c r="D2090" s="56"/>
      <c r="E2090" s="57"/>
      <c r="F2090" s="58"/>
      <c r="G2090" s="59"/>
      <c r="H2090" s="56"/>
      <c r="I2090" s="60" t="str">
        <f aca="false">IF(IsPro,IF($D2090="","",IFERROR(INDEX(Items!$D$5:$D$504,Q2090),"")),IF($D2090="","","PRO PLAN"))</f>
        <v/>
      </c>
      <c r="J2090" s="61" t="str">
        <f aca="false">IF(IsPro,IF($D2090="","",IF($F2090="",IFERROR(INDEX(Items!$G$5:$G$504,Q2090),0),$F2090)),"")</f>
        <v/>
      </c>
      <c r="K2090" s="61" t="str">
        <f aca="false">IF(IsPro,IF($D2090="","",ROUND(N($E2090)*J2090*(1-N($G2090)),2)),"")</f>
        <v/>
      </c>
      <c r="L2090" s="62" t="str">
        <f aca="false">IF(IsPro,IF($D2090="","",IFERROR(INDEX(Items!$F$5:$F$504,Q2090),0)),"")</f>
        <v/>
      </c>
      <c r="M2090" s="61" t="str">
        <f aca="false">IF(IsPro,IF($D2090="","",IF(AND(R2090&lt;&gt;"",INDEX(Parties!$E$5:$E$304,R2090)&lt;&gt;"",INDEX(Parties!$E$5:$E$304,R2090)&lt;&gt;HomeState),0,ROUND(K2090*L2090/2,2))),"")</f>
        <v/>
      </c>
      <c r="N2090" s="61" t="str">
        <f aca="false">IF(IsPro,IF($D2090="","",M2090),"")</f>
        <v/>
      </c>
      <c r="O2090" s="61" t="str">
        <f aca="false">IF(IsPro,IF($D2090="","",IF(AND(R2090&lt;&gt;"",INDEX(Parties!$E$5:$E$304,R2090)&lt;&gt;"",INDEX(Parties!$E$5:$E$304,R2090)&lt;&gt;HomeState),ROUND(K2090*L2090,2),0)),"")</f>
        <v/>
      </c>
      <c r="P2090" s="61" t="str">
        <f aca="false">IF(IsPro,IF($D2090="","",K2090+M2090+N2090+O2090),"")</f>
        <v/>
      </c>
      <c r="Q2090" s="60" t="str">
        <f aca="false">IF(IsPro,IF($D2090="","",IFERROR(MATCH($D2090,Items!$A$5:$A$504,0),"")),"")</f>
        <v/>
      </c>
      <c r="R2090" s="60" t="str">
        <f aca="false">IF(IsPro,IF($C2090="","",IFERROR(MATCH($C2090,Parties!$A$5:$A$304,0),"")),"")</f>
        <v/>
      </c>
      <c r="S2090" s="61" t="str">
        <f aca="false">IF(IsPro,IF($D2090="","",IF(OR($H2090="",$H2090="Credit"),0,P2090)),"")</f>
        <v/>
      </c>
    </row>
    <row r="2091" customFormat="false" ht="15" hidden="false" customHeight="false" outlineLevel="0" collapsed="false">
      <c r="A2091" s="55"/>
      <c r="B2091" s="56"/>
      <c r="C2091" s="56"/>
      <c r="D2091" s="56"/>
      <c r="E2091" s="57"/>
      <c r="F2091" s="58"/>
      <c r="G2091" s="59"/>
      <c r="H2091" s="56"/>
      <c r="I2091" s="60" t="str">
        <f aca="false">IF(IsPro,IF($D2091="","",IFERROR(INDEX(Items!$D$5:$D$504,Q2091),"")),IF($D2091="","","PRO PLAN"))</f>
        <v/>
      </c>
      <c r="J2091" s="61" t="str">
        <f aca="false">IF(IsPro,IF($D2091="","",IF($F2091="",IFERROR(INDEX(Items!$G$5:$G$504,Q2091),0),$F2091)),"")</f>
        <v/>
      </c>
      <c r="K2091" s="61" t="str">
        <f aca="false">IF(IsPro,IF($D2091="","",ROUND(N($E2091)*J2091*(1-N($G2091)),2)),"")</f>
        <v/>
      </c>
      <c r="L2091" s="62" t="str">
        <f aca="false">IF(IsPro,IF($D2091="","",IFERROR(INDEX(Items!$F$5:$F$504,Q2091),0)),"")</f>
        <v/>
      </c>
      <c r="M2091" s="61" t="str">
        <f aca="false">IF(IsPro,IF($D2091="","",IF(AND(R2091&lt;&gt;"",INDEX(Parties!$E$5:$E$304,R2091)&lt;&gt;"",INDEX(Parties!$E$5:$E$304,R2091)&lt;&gt;HomeState),0,ROUND(K2091*L2091/2,2))),"")</f>
        <v/>
      </c>
      <c r="N2091" s="61" t="str">
        <f aca="false">IF(IsPro,IF($D2091="","",M2091),"")</f>
        <v/>
      </c>
      <c r="O2091" s="61" t="str">
        <f aca="false">IF(IsPro,IF($D2091="","",IF(AND(R2091&lt;&gt;"",INDEX(Parties!$E$5:$E$304,R2091)&lt;&gt;"",INDEX(Parties!$E$5:$E$304,R2091)&lt;&gt;HomeState),ROUND(K2091*L2091,2),0)),"")</f>
        <v/>
      </c>
      <c r="P2091" s="61" t="str">
        <f aca="false">IF(IsPro,IF($D2091="","",K2091+M2091+N2091+O2091),"")</f>
        <v/>
      </c>
      <c r="Q2091" s="60" t="str">
        <f aca="false">IF(IsPro,IF($D2091="","",IFERROR(MATCH($D2091,Items!$A$5:$A$504,0),"")),"")</f>
        <v/>
      </c>
      <c r="R2091" s="60" t="str">
        <f aca="false">IF(IsPro,IF($C2091="","",IFERROR(MATCH($C2091,Parties!$A$5:$A$304,0),"")),"")</f>
        <v/>
      </c>
      <c r="S2091" s="61" t="str">
        <f aca="false">IF(IsPro,IF($D2091="","",IF(OR($H2091="",$H2091="Credit"),0,P2091)),"")</f>
        <v/>
      </c>
    </row>
    <row r="2092" customFormat="false" ht="15" hidden="false" customHeight="false" outlineLevel="0" collapsed="false">
      <c r="A2092" s="55"/>
      <c r="B2092" s="56"/>
      <c r="C2092" s="56"/>
      <c r="D2092" s="56"/>
      <c r="E2092" s="57"/>
      <c r="F2092" s="58"/>
      <c r="G2092" s="59"/>
      <c r="H2092" s="56"/>
      <c r="I2092" s="60" t="str">
        <f aca="false">IF(IsPro,IF($D2092="","",IFERROR(INDEX(Items!$D$5:$D$504,Q2092),"")),IF($D2092="","","PRO PLAN"))</f>
        <v/>
      </c>
      <c r="J2092" s="61" t="str">
        <f aca="false">IF(IsPro,IF($D2092="","",IF($F2092="",IFERROR(INDEX(Items!$G$5:$G$504,Q2092),0),$F2092)),"")</f>
        <v/>
      </c>
      <c r="K2092" s="61" t="str">
        <f aca="false">IF(IsPro,IF($D2092="","",ROUND(N($E2092)*J2092*(1-N($G2092)),2)),"")</f>
        <v/>
      </c>
      <c r="L2092" s="62" t="str">
        <f aca="false">IF(IsPro,IF($D2092="","",IFERROR(INDEX(Items!$F$5:$F$504,Q2092),0)),"")</f>
        <v/>
      </c>
      <c r="M2092" s="61" t="str">
        <f aca="false">IF(IsPro,IF($D2092="","",IF(AND(R2092&lt;&gt;"",INDEX(Parties!$E$5:$E$304,R2092)&lt;&gt;"",INDEX(Parties!$E$5:$E$304,R2092)&lt;&gt;HomeState),0,ROUND(K2092*L2092/2,2))),"")</f>
        <v/>
      </c>
      <c r="N2092" s="61" t="str">
        <f aca="false">IF(IsPro,IF($D2092="","",M2092),"")</f>
        <v/>
      </c>
      <c r="O2092" s="61" t="str">
        <f aca="false">IF(IsPro,IF($D2092="","",IF(AND(R2092&lt;&gt;"",INDEX(Parties!$E$5:$E$304,R2092)&lt;&gt;"",INDEX(Parties!$E$5:$E$304,R2092)&lt;&gt;HomeState),ROUND(K2092*L2092,2),0)),"")</f>
        <v/>
      </c>
      <c r="P2092" s="61" t="str">
        <f aca="false">IF(IsPro,IF($D2092="","",K2092+M2092+N2092+O2092),"")</f>
        <v/>
      </c>
      <c r="Q2092" s="60" t="str">
        <f aca="false">IF(IsPro,IF($D2092="","",IFERROR(MATCH($D2092,Items!$A$5:$A$504,0),"")),"")</f>
        <v/>
      </c>
      <c r="R2092" s="60" t="str">
        <f aca="false">IF(IsPro,IF($C2092="","",IFERROR(MATCH($C2092,Parties!$A$5:$A$304,0),"")),"")</f>
        <v/>
      </c>
      <c r="S2092" s="61" t="str">
        <f aca="false">IF(IsPro,IF($D2092="","",IF(OR($H2092="",$H2092="Credit"),0,P2092)),"")</f>
        <v/>
      </c>
    </row>
    <row r="2093" customFormat="false" ht="15" hidden="false" customHeight="false" outlineLevel="0" collapsed="false">
      <c r="A2093" s="55"/>
      <c r="B2093" s="56"/>
      <c r="C2093" s="56"/>
      <c r="D2093" s="56"/>
      <c r="E2093" s="57"/>
      <c r="F2093" s="58"/>
      <c r="G2093" s="59"/>
      <c r="H2093" s="56"/>
      <c r="I2093" s="60" t="str">
        <f aca="false">IF(IsPro,IF($D2093="","",IFERROR(INDEX(Items!$D$5:$D$504,Q2093),"")),IF($D2093="","","PRO PLAN"))</f>
        <v/>
      </c>
      <c r="J2093" s="61" t="str">
        <f aca="false">IF(IsPro,IF($D2093="","",IF($F2093="",IFERROR(INDEX(Items!$G$5:$G$504,Q2093),0),$F2093)),"")</f>
        <v/>
      </c>
      <c r="K2093" s="61" t="str">
        <f aca="false">IF(IsPro,IF($D2093="","",ROUND(N($E2093)*J2093*(1-N($G2093)),2)),"")</f>
        <v/>
      </c>
      <c r="L2093" s="62" t="str">
        <f aca="false">IF(IsPro,IF($D2093="","",IFERROR(INDEX(Items!$F$5:$F$504,Q2093),0)),"")</f>
        <v/>
      </c>
      <c r="M2093" s="61" t="str">
        <f aca="false">IF(IsPro,IF($D2093="","",IF(AND(R2093&lt;&gt;"",INDEX(Parties!$E$5:$E$304,R2093)&lt;&gt;"",INDEX(Parties!$E$5:$E$304,R2093)&lt;&gt;HomeState),0,ROUND(K2093*L2093/2,2))),"")</f>
        <v/>
      </c>
      <c r="N2093" s="61" t="str">
        <f aca="false">IF(IsPro,IF($D2093="","",M2093),"")</f>
        <v/>
      </c>
      <c r="O2093" s="61" t="str">
        <f aca="false">IF(IsPro,IF($D2093="","",IF(AND(R2093&lt;&gt;"",INDEX(Parties!$E$5:$E$304,R2093)&lt;&gt;"",INDEX(Parties!$E$5:$E$304,R2093)&lt;&gt;HomeState),ROUND(K2093*L2093,2),0)),"")</f>
        <v/>
      </c>
      <c r="P2093" s="61" t="str">
        <f aca="false">IF(IsPro,IF($D2093="","",K2093+M2093+N2093+O2093),"")</f>
        <v/>
      </c>
      <c r="Q2093" s="60" t="str">
        <f aca="false">IF(IsPro,IF($D2093="","",IFERROR(MATCH($D2093,Items!$A$5:$A$504,0),"")),"")</f>
        <v/>
      </c>
      <c r="R2093" s="60" t="str">
        <f aca="false">IF(IsPro,IF($C2093="","",IFERROR(MATCH($C2093,Parties!$A$5:$A$304,0),"")),"")</f>
        <v/>
      </c>
      <c r="S2093" s="61" t="str">
        <f aca="false">IF(IsPro,IF($D2093="","",IF(OR($H2093="",$H2093="Credit"),0,P2093)),"")</f>
        <v/>
      </c>
    </row>
    <row r="2094" customFormat="false" ht="15" hidden="false" customHeight="false" outlineLevel="0" collapsed="false">
      <c r="A2094" s="55"/>
      <c r="B2094" s="56"/>
      <c r="C2094" s="56"/>
      <c r="D2094" s="56"/>
      <c r="E2094" s="57"/>
      <c r="F2094" s="58"/>
      <c r="G2094" s="59"/>
      <c r="H2094" s="56"/>
      <c r="I2094" s="60" t="str">
        <f aca="false">IF(IsPro,IF($D2094="","",IFERROR(INDEX(Items!$D$5:$D$504,Q2094),"")),IF($D2094="","","PRO PLAN"))</f>
        <v/>
      </c>
      <c r="J2094" s="61" t="str">
        <f aca="false">IF(IsPro,IF($D2094="","",IF($F2094="",IFERROR(INDEX(Items!$G$5:$G$504,Q2094),0),$F2094)),"")</f>
        <v/>
      </c>
      <c r="K2094" s="61" t="str">
        <f aca="false">IF(IsPro,IF($D2094="","",ROUND(N($E2094)*J2094*(1-N($G2094)),2)),"")</f>
        <v/>
      </c>
      <c r="L2094" s="62" t="str">
        <f aca="false">IF(IsPro,IF($D2094="","",IFERROR(INDEX(Items!$F$5:$F$504,Q2094),0)),"")</f>
        <v/>
      </c>
      <c r="M2094" s="61" t="str">
        <f aca="false">IF(IsPro,IF($D2094="","",IF(AND(R2094&lt;&gt;"",INDEX(Parties!$E$5:$E$304,R2094)&lt;&gt;"",INDEX(Parties!$E$5:$E$304,R2094)&lt;&gt;HomeState),0,ROUND(K2094*L2094/2,2))),"")</f>
        <v/>
      </c>
      <c r="N2094" s="61" t="str">
        <f aca="false">IF(IsPro,IF($D2094="","",M2094),"")</f>
        <v/>
      </c>
      <c r="O2094" s="61" t="str">
        <f aca="false">IF(IsPro,IF($D2094="","",IF(AND(R2094&lt;&gt;"",INDEX(Parties!$E$5:$E$304,R2094)&lt;&gt;"",INDEX(Parties!$E$5:$E$304,R2094)&lt;&gt;HomeState),ROUND(K2094*L2094,2),0)),"")</f>
        <v/>
      </c>
      <c r="P2094" s="61" t="str">
        <f aca="false">IF(IsPro,IF($D2094="","",K2094+M2094+N2094+O2094),"")</f>
        <v/>
      </c>
      <c r="Q2094" s="60" t="str">
        <f aca="false">IF(IsPro,IF($D2094="","",IFERROR(MATCH($D2094,Items!$A$5:$A$504,0),"")),"")</f>
        <v/>
      </c>
      <c r="R2094" s="60" t="str">
        <f aca="false">IF(IsPro,IF($C2094="","",IFERROR(MATCH($C2094,Parties!$A$5:$A$304,0),"")),"")</f>
        <v/>
      </c>
      <c r="S2094" s="61" t="str">
        <f aca="false">IF(IsPro,IF($D2094="","",IF(OR($H2094="",$H2094="Credit"),0,P2094)),"")</f>
        <v/>
      </c>
    </row>
    <row r="2095" customFormat="false" ht="15" hidden="false" customHeight="false" outlineLevel="0" collapsed="false">
      <c r="A2095" s="55"/>
      <c r="B2095" s="56"/>
      <c r="C2095" s="56"/>
      <c r="D2095" s="56"/>
      <c r="E2095" s="57"/>
      <c r="F2095" s="58"/>
      <c r="G2095" s="59"/>
      <c r="H2095" s="56"/>
      <c r="I2095" s="60" t="str">
        <f aca="false">IF(IsPro,IF($D2095="","",IFERROR(INDEX(Items!$D$5:$D$504,Q2095),"")),IF($D2095="","","PRO PLAN"))</f>
        <v/>
      </c>
      <c r="J2095" s="61" t="str">
        <f aca="false">IF(IsPro,IF($D2095="","",IF($F2095="",IFERROR(INDEX(Items!$G$5:$G$504,Q2095),0),$F2095)),"")</f>
        <v/>
      </c>
      <c r="K2095" s="61" t="str">
        <f aca="false">IF(IsPro,IF($D2095="","",ROUND(N($E2095)*J2095*(1-N($G2095)),2)),"")</f>
        <v/>
      </c>
      <c r="L2095" s="62" t="str">
        <f aca="false">IF(IsPro,IF($D2095="","",IFERROR(INDEX(Items!$F$5:$F$504,Q2095),0)),"")</f>
        <v/>
      </c>
      <c r="M2095" s="61" t="str">
        <f aca="false">IF(IsPro,IF($D2095="","",IF(AND(R2095&lt;&gt;"",INDEX(Parties!$E$5:$E$304,R2095)&lt;&gt;"",INDEX(Parties!$E$5:$E$304,R2095)&lt;&gt;HomeState),0,ROUND(K2095*L2095/2,2))),"")</f>
        <v/>
      </c>
      <c r="N2095" s="61" t="str">
        <f aca="false">IF(IsPro,IF($D2095="","",M2095),"")</f>
        <v/>
      </c>
      <c r="O2095" s="61" t="str">
        <f aca="false">IF(IsPro,IF($D2095="","",IF(AND(R2095&lt;&gt;"",INDEX(Parties!$E$5:$E$304,R2095)&lt;&gt;"",INDEX(Parties!$E$5:$E$304,R2095)&lt;&gt;HomeState),ROUND(K2095*L2095,2),0)),"")</f>
        <v/>
      </c>
      <c r="P2095" s="61" t="str">
        <f aca="false">IF(IsPro,IF($D2095="","",K2095+M2095+N2095+O2095),"")</f>
        <v/>
      </c>
      <c r="Q2095" s="60" t="str">
        <f aca="false">IF(IsPro,IF($D2095="","",IFERROR(MATCH($D2095,Items!$A$5:$A$504,0),"")),"")</f>
        <v/>
      </c>
      <c r="R2095" s="60" t="str">
        <f aca="false">IF(IsPro,IF($C2095="","",IFERROR(MATCH($C2095,Parties!$A$5:$A$304,0),"")),"")</f>
        <v/>
      </c>
      <c r="S2095" s="61" t="str">
        <f aca="false">IF(IsPro,IF($D2095="","",IF(OR($H2095="",$H2095="Credit"),0,P2095)),"")</f>
        <v/>
      </c>
    </row>
    <row r="2096" customFormat="false" ht="15" hidden="false" customHeight="false" outlineLevel="0" collapsed="false">
      <c r="A2096" s="55"/>
      <c r="B2096" s="56"/>
      <c r="C2096" s="56"/>
      <c r="D2096" s="56"/>
      <c r="E2096" s="57"/>
      <c r="F2096" s="58"/>
      <c r="G2096" s="59"/>
      <c r="H2096" s="56"/>
      <c r="I2096" s="60" t="str">
        <f aca="false">IF(IsPro,IF($D2096="","",IFERROR(INDEX(Items!$D$5:$D$504,Q2096),"")),IF($D2096="","","PRO PLAN"))</f>
        <v/>
      </c>
      <c r="J2096" s="61" t="str">
        <f aca="false">IF(IsPro,IF($D2096="","",IF($F2096="",IFERROR(INDEX(Items!$G$5:$G$504,Q2096),0),$F2096)),"")</f>
        <v/>
      </c>
      <c r="K2096" s="61" t="str">
        <f aca="false">IF(IsPro,IF($D2096="","",ROUND(N($E2096)*J2096*(1-N($G2096)),2)),"")</f>
        <v/>
      </c>
      <c r="L2096" s="62" t="str">
        <f aca="false">IF(IsPro,IF($D2096="","",IFERROR(INDEX(Items!$F$5:$F$504,Q2096),0)),"")</f>
        <v/>
      </c>
      <c r="M2096" s="61" t="str">
        <f aca="false">IF(IsPro,IF($D2096="","",IF(AND(R2096&lt;&gt;"",INDEX(Parties!$E$5:$E$304,R2096)&lt;&gt;"",INDEX(Parties!$E$5:$E$304,R2096)&lt;&gt;HomeState),0,ROUND(K2096*L2096/2,2))),"")</f>
        <v/>
      </c>
      <c r="N2096" s="61" t="str">
        <f aca="false">IF(IsPro,IF($D2096="","",M2096),"")</f>
        <v/>
      </c>
      <c r="O2096" s="61" t="str">
        <f aca="false">IF(IsPro,IF($D2096="","",IF(AND(R2096&lt;&gt;"",INDEX(Parties!$E$5:$E$304,R2096)&lt;&gt;"",INDEX(Parties!$E$5:$E$304,R2096)&lt;&gt;HomeState),ROUND(K2096*L2096,2),0)),"")</f>
        <v/>
      </c>
      <c r="P2096" s="61" t="str">
        <f aca="false">IF(IsPro,IF($D2096="","",K2096+M2096+N2096+O2096),"")</f>
        <v/>
      </c>
      <c r="Q2096" s="60" t="str">
        <f aca="false">IF(IsPro,IF($D2096="","",IFERROR(MATCH($D2096,Items!$A$5:$A$504,0),"")),"")</f>
        <v/>
      </c>
      <c r="R2096" s="60" t="str">
        <f aca="false">IF(IsPro,IF($C2096="","",IFERROR(MATCH($C2096,Parties!$A$5:$A$304,0),"")),"")</f>
        <v/>
      </c>
      <c r="S2096" s="61" t="str">
        <f aca="false">IF(IsPro,IF($D2096="","",IF(OR($H2096="",$H2096="Credit"),0,P2096)),"")</f>
        <v/>
      </c>
    </row>
    <row r="2097" customFormat="false" ht="15" hidden="false" customHeight="false" outlineLevel="0" collapsed="false">
      <c r="A2097" s="55"/>
      <c r="B2097" s="56"/>
      <c r="C2097" s="56"/>
      <c r="D2097" s="56"/>
      <c r="E2097" s="57"/>
      <c r="F2097" s="58"/>
      <c r="G2097" s="59"/>
      <c r="H2097" s="56"/>
      <c r="I2097" s="60" t="str">
        <f aca="false">IF(IsPro,IF($D2097="","",IFERROR(INDEX(Items!$D$5:$D$504,Q2097),"")),IF($D2097="","","PRO PLAN"))</f>
        <v/>
      </c>
      <c r="J2097" s="61" t="str">
        <f aca="false">IF(IsPro,IF($D2097="","",IF($F2097="",IFERROR(INDEX(Items!$G$5:$G$504,Q2097),0),$F2097)),"")</f>
        <v/>
      </c>
      <c r="K2097" s="61" t="str">
        <f aca="false">IF(IsPro,IF($D2097="","",ROUND(N($E2097)*J2097*(1-N($G2097)),2)),"")</f>
        <v/>
      </c>
      <c r="L2097" s="62" t="str">
        <f aca="false">IF(IsPro,IF($D2097="","",IFERROR(INDEX(Items!$F$5:$F$504,Q2097),0)),"")</f>
        <v/>
      </c>
      <c r="M2097" s="61" t="str">
        <f aca="false">IF(IsPro,IF($D2097="","",IF(AND(R2097&lt;&gt;"",INDEX(Parties!$E$5:$E$304,R2097)&lt;&gt;"",INDEX(Parties!$E$5:$E$304,R2097)&lt;&gt;HomeState),0,ROUND(K2097*L2097/2,2))),"")</f>
        <v/>
      </c>
      <c r="N2097" s="61" t="str">
        <f aca="false">IF(IsPro,IF($D2097="","",M2097),"")</f>
        <v/>
      </c>
      <c r="O2097" s="61" t="str">
        <f aca="false">IF(IsPro,IF($D2097="","",IF(AND(R2097&lt;&gt;"",INDEX(Parties!$E$5:$E$304,R2097)&lt;&gt;"",INDEX(Parties!$E$5:$E$304,R2097)&lt;&gt;HomeState),ROUND(K2097*L2097,2),0)),"")</f>
        <v/>
      </c>
      <c r="P2097" s="61" t="str">
        <f aca="false">IF(IsPro,IF($D2097="","",K2097+M2097+N2097+O2097),"")</f>
        <v/>
      </c>
      <c r="Q2097" s="60" t="str">
        <f aca="false">IF(IsPro,IF($D2097="","",IFERROR(MATCH($D2097,Items!$A$5:$A$504,0),"")),"")</f>
        <v/>
      </c>
      <c r="R2097" s="60" t="str">
        <f aca="false">IF(IsPro,IF($C2097="","",IFERROR(MATCH($C2097,Parties!$A$5:$A$304,0),"")),"")</f>
        <v/>
      </c>
      <c r="S2097" s="61" t="str">
        <f aca="false">IF(IsPro,IF($D2097="","",IF(OR($H2097="",$H2097="Credit"),0,P2097)),"")</f>
        <v/>
      </c>
    </row>
    <row r="2098" customFormat="false" ht="15" hidden="false" customHeight="false" outlineLevel="0" collapsed="false">
      <c r="A2098" s="55"/>
      <c r="B2098" s="56"/>
      <c r="C2098" s="56"/>
      <c r="D2098" s="56"/>
      <c r="E2098" s="57"/>
      <c r="F2098" s="58"/>
      <c r="G2098" s="59"/>
      <c r="H2098" s="56"/>
      <c r="I2098" s="60" t="str">
        <f aca="false">IF(IsPro,IF($D2098="","",IFERROR(INDEX(Items!$D$5:$D$504,Q2098),"")),IF($D2098="","","PRO PLAN"))</f>
        <v/>
      </c>
      <c r="J2098" s="61" t="str">
        <f aca="false">IF(IsPro,IF($D2098="","",IF($F2098="",IFERROR(INDEX(Items!$G$5:$G$504,Q2098),0),$F2098)),"")</f>
        <v/>
      </c>
      <c r="K2098" s="61" t="str">
        <f aca="false">IF(IsPro,IF($D2098="","",ROUND(N($E2098)*J2098*(1-N($G2098)),2)),"")</f>
        <v/>
      </c>
      <c r="L2098" s="62" t="str">
        <f aca="false">IF(IsPro,IF($D2098="","",IFERROR(INDEX(Items!$F$5:$F$504,Q2098),0)),"")</f>
        <v/>
      </c>
      <c r="M2098" s="61" t="str">
        <f aca="false">IF(IsPro,IF($D2098="","",IF(AND(R2098&lt;&gt;"",INDEX(Parties!$E$5:$E$304,R2098)&lt;&gt;"",INDEX(Parties!$E$5:$E$304,R2098)&lt;&gt;HomeState),0,ROUND(K2098*L2098/2,2))),"")</f>
        <v/>
      </c>
      <c r="N2098" s="61" t="str">
        <f aca="false">IF(IsPro,IF($D2098="","",M2098),"")</f>
        <v/>
      </c>
      <c r="O2098" s="61" t="str">
        <f aca="false">IF(IsPro,IF($D2098="","",IF(AND(R2098&lt;&gt;"",INDEX(Parties!$E$5:$E$304,R2098)&lt;&gt;"",INDEX(Parties!$E$5:$E$304,R2098)&lt;&gt;HomeState),ROUND(K2098*L2098,2),0)),"")</f>
        <v/>
      </c>
      <c r="P2098" s="61" t="str">
        <f aca="false">IF(IsPro,IF($D2098="","",K2098+M2098+N2098+O2098),"")</f>
        <v/>
      </c>
      <c r="Q2098" s="60" t="str">
        <f aca="false">IF(IsPro,IF($D2098="","",IFERROR(MATCH($D2098,Items!$A$5:$A$504,0),"")),"")</f>
        <v/>
      </c>
      <c r="R2098" s="60" t="str">
        <f aca="false">IF(IsPro,IF($C2098="","",IFERROR(MATCH($C2098,Parties!$A$5:$A$304,0),"")),"")</f>
        <v/>
      </c>
      <c r="S2098" s="61" t="str">
        <f aca="false">IF(IsPro,IF($D2098="","",IF(OR($H2098="",$H2098="Credit"),0,P2098)),"")</f>
        <v/>
      </c>
    </row>
    <row r="2099" customFormat="false" ht="15" hidden="false" customHeight="false" outlineLevel="0" collapsed="false">
      <c r="A2099" s="55"/>
      <c r="B2099" s="56"/>
      <c r="C2099" s="56"/>
      <c r="D2099" s="56"/>
      <c r="E2099" s="57"/>
      <c r="F2099" s="58"/>
      <c r="G2099" s="59"/>
      <c r="H2099" s="56"/>
      <c r="I2099" s="60" t="str">
        <f aca="false">IF(IsPro,IF($D2099="","",IFERROR(INDEX(Items!$D$5:$D$504,Q2099),"")),IF($D2099="","","PRO PLAN"))</f>
        <v/>
      </c>
      <c r="J2099" s="61" t="str">
        <f aca="false">IF(IsPro,IF($D2099="","",IF($F2099="",IFERROR(INDEX(Items!$G$5:$G$504,Q2099),0),$F2099)),"")</f>
        <v/>
      </c>
      <c r="K2099" s="61" t="str">
        <f aca="false">IF(IsPro,IF($D2099="","",ROUND(N($E2099)*J2099*(1-N($G2099)),2)),"")</f>
        <v/>
      </c>
      <c r="L2099" s="62" t="str">
        <f aca="false">IF(IsPro,IF($D2099="","",IFERROR(INDEX(Items!$F$5:$F$504,Q2099),0)),"")</f>
        <v/>
      </c>
      <c r="M2099" s="61" t="str">
        <f aca="false">IF(IsPro,IF($D2099="","",IF(AND(R2099&lt;&gt;"",INDEX(Parties!$E$5:$E$304,R2099)&lt;&gt;"",INDEX(Parties!$E$5:$E$304,R2099)&lt;&gt;HomeState),0,ROUND(K2099*L2099/2,2))),"")</f>
        <v/>
      </c>
      <c r="N2099" s="61" t="str">
        <f aca="false">IF(IsPro,IF($D2099="","",M2099),"")</f>
        <v/>
      </c>
      <c r="O2099" s="61" t="str">
        <f aca="false">IF(IsPro,IF($D2099="","",IF(AND(R2099&lt;&gt;"",INDEX(Parties!$E$5:$E$304,R2099)&lt;&gt;"",INDEX(Parties!$E$5:$E$304,R2099)&lt;&gt;HomeState),ROUND(K2099*L2099,2),0)),"")</f>
        <v/>
      </c>
      <c r="P2099" s="61" t="str">
        <f aca="false">IF(IsPro,IF($D2099="","",K2099+M2099+N2099+O2099),"")</f>
        <v/>
      </c>
      <c r="Q2099" s="60" t="str">
        <f aca="false">IF(IsPro,IF($D2099="","",IFERROR(MATCH($D2099,Items!$A$5:$A$504,0),"")),"")</f>
        <v/>
      </c>
      <c r="R2099" s="60" t="str">
        <f aca="false">IF(IsPro,IF($C2099="","",IFERROR(MATCH($C2099,Parties!$A$5:$A$304,0),"")),"")</f>
        <v/>
      </c>
      <c r="S2099" s="61" t="str">
        <f aca="false">IF(IsPro,IF($D2099="","",IF(OR($H2099="",$H2099="Credit"),0,P2099)),"")</f>
        <v/>
      </c>
    </row>
    <row r="2100" customFormat="false" ht="15" hidden="false" customHeight="false" outlineLevel="0" collapsed="false">
      <c r="A2100" s="55"/>
      <c r="B2100" s="56"/>
      <c r="C2100" s="56"/>
      <c r="D2100" s="56"/>
      <c r="E2100" s="57"/>
      <c r="F2100" s="58"/>
      <c r="G2100" s="59"/>
      <c r="H2100" s="56"/>
      <c r="I2100" s="60" t="str">
        <f aca="false">IF(IsPro,IF($D2100="","",IFERROR(INDEX(Items!$D$5:$D$504,Q2100),"")),IF($D2100="","","PRO PLAN"))</f>
        <v/>
      </c>
      <c r="J2100" s="61" t="str">
        <f aca="false">IF(IsPro,IF($D2100="","",IF($F2100="",IFERROR(INDEX(Items!$G$5:$G$504,Q2100),0),$F2100)),"")</f>
        <v/>
      </c>
      <c r="K2100" s="61" t="str">
        <f aca="false">IF(IsPro,IF($D2100="","",ROUND(N($E2100)*J2100*(1-N($G2100)),2)),"")</f>
        <v/>
      </c>
      <c r="L2100" s="62" t="str">
        <f aca="false">IF(IsPro,IF($D2100="","",IFERROR(INDEX(Items!$F$5:$F$504,Q2100),0)),"")</f>
        <v/>
      </c>
      <c r="M2100" s="61" t="str">
        <f aca="false">IF(IsPro,IF($D2100="","",IF(AND(R2100&lt;&gt;"",INDEX(Parties!$E$5:$E$304,R2100)&lt;&gt;"",INDEX(Parties!$E$5:$E$304,R2100)&lt;&gt;HomeState),0,ROUND(K2100*L2100/2,2))),"")</f>
        <v/>
      </c>
      <c r="N2100" s="61" t="str">
        <f aca="false">IF(IsPro,IF($D2100="","",M2100),"")</f>
        <v/>
      </c>
      <c r="O2100" s="61" t="str">
        <f aca="false">IF(IsPro,IF($D2100="","",IF(AND(R2100&lt;&gt;"",INDEX(Parties!$E$5:$E$304,R2100)&lt;&gt;"",INDEX(Parties!$E$5:$E$304,R2100)&lt;&gt;HomeState),ROUND(K2100*L2100,2),0)),"")</f>
        <v/>
      </c>
      <c r="P2100" s="61" t="str">
        <f aca="false">IF(IsPro,IF($D2100="","",K2100+M2100+N2100+O2100),"")</f>
        <v/>
      </c>
      <c r="Q2100" s="60" t="str">
        <f aca="false">IF(IsPro,IF($D2100="","",IFERROR(MATCH($D2100,Items!$A$5:$A$504,0),"")),"")</f>
        <v/>
      </c>
      <c r="R2100" s="60" t="str">
        <f aca="false">IF(IsPro,IF($C2100="","",IFERROR(MATCH($C2100,Parties!$A$5:$A$304,0),"")),"")</f>
        <v/>
      </c>
      <c r="S2100" s="61" t="str">
        <f aca="false">IF(IsPro,IF($D2100="","",IF(OR($H2100="",$H2100="Credit"),0,P2100)),"")</f>
        <v/>
      </c>
    </row>
    <row r="2101" customFormat="false" ht="15" hidden="false" customHeight="false" outlineLevel="0" collapsed="false">
      <c r="A2101" s="55"/>
      <c r="B2101" s="56"/>
      <c r="C2101" s="56"/>
      <c r="D2101" s="56"/>
      <c r="E2101" s="57"/>
      <c r="F2101" s="58"/>
      <c r="G2101" s="59"/>
      <c r="H2101" s="56"/>
      <c r="I2101" s="60" t="str">
        <f aca="false">IF(IsPro,IF($D2101="","",IFERROR(INDEX(Items!$D$5:$D$504,Q2101),"")),IF($D2101="","","PRO PLAN"))</f>
        <v/>
      </c>
      <c r="J2101" s="61" t="str">
        <f aca="false">IF(IsPro,IF($D2101="","",IF($F2101="",IFERROR(INDEX(Items!$G$5:$G$504,Q2101),0),$F2101)),"")</f>
        <v/>
      </c>
      <c r="K2101" s="61" t="str">
        <f aca="false">IF(IsPro,IF($D2101="","",ROUND(N($E2101)*J2101*(1-N($G2101)),2)),"")</f>
        <v/>
      </c>
      <c r="L2101" s="62" t="str">
        <f aca="false">IF(IsPro,IF($D2101="","",IFERROR(INDEX(Items!$F$5:$F$504,Q2101),0)),"")</f>
        <v/>
      </c>
      <c r="M2101" s="61" t="str">
        <f aca="false">IF(IsPro,IF($D2101="","",IF(AND(R2101&lt;&gt;"",INDEX(Parties!$E$5:$E$304,R2101)&lt;&gt;"",INDEX(Parties!$E$5:$E$304,R2101)&lt;&gt;HomeState),0,ROUND(K2101*L2101/2,2))),"")</f>
        <v/>
      </c>
      <c r="N2101" s="61" t="str">
        <f aca="false">IF(IsPro,IF($D2101="","",M2101),"")</f>
        <v/>
      </c>
      <c r="O2101" s="61" t="str">
        <f aca="false">IF(IsPro,IF($D2101="","",IF(AND(R2101&lt;&gt;"",INDEX(Parties!$E$5:$E$304,R2101)&lt;&gt;"",INDEX(Parties!$E$5:$E$304,R2101)&lt;&gt;HomeState),ROUND(K2101*L2101,2),0)),"")</f>
        <v/>
      </c>
      <c r="P2101" s="61" t="str">
        <f aca="false">IF(IsPro,IF($D2101="","",K2101+M2101+N2101+O2101),"")</f>
        <v/>
      </c>
      <c r="Q2101" s="60" t="str">
        <f aca="false">IF(IsPro,IF($D2101="","",IFERROR(MATCH($D2101,Items!$A$5:$A$504,0),"")),"")</f>
        <v/>
      </c>
      <c r="R2101" s="60" t="str">
        <f aca="false">IF(IsPro,IF($C2101="","",IFERROR(MATCH($C2101,Parties!$A$5:$A$304,0),"")),"")</f>
        <v/>
      </c>
      <c r="S2101" s="61" t="str">
        <f aca="false">IF(IsPro,IF($D2101="","",IF(OR($H2101="",$H2101="Credit"),0,P2101)),"")</f>
        <v/>
      </c>
    </row>
    <row r="2102" customFormat="false" ht="15" hidden="false" customHeight="false" outlineLevel="0" collapsed="false">
      <c r="A2102" s="55"/>
      <c r="B2102" s="56"/>
      <c r="C2102" s="56"/>
      <c r="D2102" s="56"/>
      <c r="E2102" s="57"/>
      <c r="F2102" s="58"/>
      <c r="G2102" s="59"/>
      <c r="H2102" s="56"/>
      <c r="I2102" s="60" t="str">
        <f aca="false">IF(IsPro,IF($D2102="","",IFERROR(INDEX(Items!$D$5:$D$504,Q2102),"")),IF($D2102="","","PRO PLAN"))</f>
        <v/>
      </c>
      <c r="J2102" s="61" t="str">
        <f aca="false">IF(IsPro,IF($D2102="","",IF($F2102="",IFERROR(INDEX(Items!$G$5:$G$504,Q2102),0),$F2102)),"")</f>
        <v/>
      </c>
      <c r="K2102" s="61" t="str">
        <f aca="false">IF(IsPro,IF($D2102="","",ROUND(N($E2102)*J2102*(1-N($G2102)),2)),"")</f>
        <v/>
      </c>
      <c r="L2102" s="62" t="str">
        <f aca="false">IF(IsPro,IF($D2102="","",IFERROR(INDEX(Items!$F$5:$F$504,Q2102),0)),"")</f>
        <v/>
      </c>
      <c r="M2102" s="61" t="str">
        <f aca="false">IF(IsPro,IF($D2102="","",IF(AND(R2102&lt;&gt;"",INDEX(Parties!$E$5:$E$304,R2102)&lt;&gt;"",INDEX(Parties!$E$5:$E$304,R2102)&lt;&gt;HomeState),0,ROUND(K2102*L2102/2,2))),"")</f>
        <v/>
      </c>
      <c r="N2102" s="61" t="str">
        <f aca="false">IF(IsPro,IF($D2102="","",M2102),"")</f>
        <v/>
      </c>
      <c r="O2102" s="61" t="str">
        <f aca="false">IF(IsPro,IF($D2102="","",IF(AND(R2102&lt;&gt;"",INDEX(Parties!$E$5:$E$304,R2102)&lt;&gt;"",INDEX(Parties!$E$5:$E$304,R2102)&lt;&gt;HomeState),ROUND(K2102*L2102,2),0)),"")</f>
        <v/>
      </c>
      <c r="P2102" s="61" t="str">
        <f aca="false">IF(IsPro,IF($D2102="","",K2102+M2102+N2102+O2102),"")</f>
        <v/>
      </c>
      <c r="Q2102" s="60" t="str">
        <f aca="false">IF(IsPro,IF($D2102="","",IFERROR(MATCH($D2102,Items!$A$5:$A$504,0),"")),"")</f>
        <v/>
      </c>
      <c r="R2102" s="60" t="str">
        <f aca="false">IF(IsPro,IF($C2102="","",IFERROR(MATCH($C2102,Parties!$A$5:$A$304,0),"")),"")</f>
        <v/>
      </c>
      <c r="S2102" s="61" t="str">
        <f aca="false">IF(IsPro,IF($D2102="","",IF(OR($H2102="",$H2102="Credit"),0,P2102)),"")</f>
        <v/>
      </c>
    </row>
    <row r="2103" customFormat="false" ht="15" hidden="false" customHeight="false" outlineLevel="0" collapsed="false">
      <c r="A2103" s="55"/>
      <c r="B2103" s="56"/>
      <c r="C2103" s="56"/>
      <c r="D2103" s="56"/>
      <c r="E2103" s="57"/>
      <c r="F2103" s="58"/>
      <c r="G2103" s="59"/>
      <c r="H2103" s="56"/>
      <c r="I2103" s="60" t="str">
        <f aca="false">IF(IsPro,IF($D2103="","",IFERROR(INDEX(Items!$D$5:$D$504,Q2103),"")),IF($D2103="","","PRO PLAN"))</f>
        <v/>
      </c>
      <c r="J2103" s="61" t="str">
        <f aca="false">IF(IsPro,IF($D2103="","",IF($F2103="",IFERROR(INDEX(Items!$G$5:$G$504,Q2103),0),$F2103)),"")</f>
        <v/>
      </c>
      <c r="K2103" s="61" t="str">
        <f aca="false">IF(IsPro,IF($D2103="","",ROUND(N($E2103)*J2103*(1-N($G2103)),2)),"")</f>
        <v/>
      </c>
      <c r="L2103" s="62" t="str">
        <f aca="false">IF(IsPro,IF($D2103="","",IFERROR(INDEX(Items!$F$5:$F$504,Q2103),0)),"")</f>
        <v/>
      </c>
      <c r="M2103" s="61" t="str">
        <f aca="false">IF(IsPro,IF($D2103="","",IF(AND(R2103&lt;&gt;"",INDEX(Parties!$E$5:$E$304,R2103)&lt;&gt;"",INDEX(Parties!$E$5:$E$304,R2103)&lt;&gt;HomeState),0,ROUND(K2103*L2103/2,2))),"")</f>
        <v/>
      </c>
      <c r="N2103" s="61" t="str">
        <f aca="false">IF(IsPro,IF($D2103="","",M2103),"")</f>
        <v/>
      </c>
      <c r="O2103" s="61" t="str">
        <f aca="false">IF(IsPro,IF($D2103="","",IF(AND(R2103&lt;&gt;"",INDEX(Parties!$E$5:$E$304,R2103)&lt;&gt;"",INDEX(Parties!$E$5:$E$304,R2103)&lt;&gt;HomeState),ROUND(K2103*L2103,2),0)),"")</f>
        <v/>
      </c>
      <c r="P2103" s="61" t="str">
        <f aca="false">IF(IsPro,IF($D2103="","",K2103+M2103+N2103+O2103),"")</f>
        <v/>
      </c>
      <c r="Q2103" s="60" t="str">
        <f aca="false">IF(IsPro,IF($D2103="","",IFERROR(MATCH($D2103,Items!$A$5:$A$504,0),"")),"")</f>
        <v/>
      </c>
      <c r="R2103" s="60" t="str">
        <f aca="false">IF(IsPro,IF($C2103="","",IFERROR(MATCH($C2103,Parties!$A$5:$A$304,0),"")),"")</f>
        <v/>
      </c>
      <c r="S2103" s="61" t="str">
        <f aca="false">IF(IsPro,IF($D2103="","",IF(OR($H2103="",$H2103="Credit"),0,P2103)),"")</f>
        <v/>
      </c>
    </row>
    <row r="2104" customFormat="false" ht="15" hidden="false" customHeight="false" outlineLevel="0" collapsed="false">
      <c r="A2104" s="55"/>
      <c r="B2104" s="56"/>
      <c r="C2104" s="56"/>
      <c r="D2104" s="56"/>
      <c r="E2104" s="57"/>
      <c r="F2104" s="58"/>
      <c r="G2104" s="59"/>
      <c r="H2104" s="56"/>
      <c r="I2104" s="60" t="str">
        <f aca="false">IF(IsPro,IF($D2104="","",IFERROR(INDEX(Items!$D$5:$D$504,Q2104),"")),IF($D2104="","","PRO PLAN"))</f>
        <v/>
      </c>
      <c r="J2104" s="61" t="str">
        <f aca="false">IF(IsPro,IF($D2104="","",IF($F2104="",IFERROR(INDEX(Items!$G$5:$G$504,Q2104),0),$F2104)),"")</f>
        <v/>
      </c>
      <c r="K2104" s="61" t="str">
        <f aca="false">IF(IsPro,IF($D2104="","",ROUND(N($E2104)*J2104*(1-N($G2104)),2)),"")</f>
        <v/>
      </c>
      <c r="L2104" s="62" t="str">
        <f aca="false">IF(IsPro,IF($D2104="","",IFERROR(INDEX(Items!$F$5:$F$504,Q2104),0)),"")</f>
        <v/>
      </c>
      <c r="M2104" s="61" t="str">
        <f aca="false">IF(IsPro,IF($D2104="","",IF(AND(R2104&lt;&gt;"",INDEX(Parties!$E$5:$E$304,R2104)&lt;&gt;"",INDEX(Parties!$E$5:$E$304,R2104)&lt;&gt;HomeState),0,ROUND(K2104*L2104/2,2))),"")</f>
        <v/>
      </c>
      <c r="N2104" s="61" t="str">
        <f aca="false">IF(IsPro,IF($D2104="","",M2104),"")</f>
        <v/>
      </c>
      <c r="O2104" s="61" t="str">
        <f aca="false">IF(IsPro,IF($D2104="","",IF(AND(R2104&lt;&gt;"",INDEX(Parties!$E$5:$E$304,R2104)&lt;&gt;"",INDEX(Parties!$E$5:$E$304,R2104)&lt;&gt;HomeState),ROUND(K2104*L2104,2),0)),"")</f>
        <v/>
      </c>
      <c r="P2104" s="61" t="str">
        <f aca="false">IF(IsPro,IF($D2104="","",K2104+M2104+N2104+O2104),"")</f>
        <v/>
      </c>
      <c r="Q2104" s="60" t="str">
        <f aca="false">IF(IsPro,IF($D2104="","",IFERROR(MATCH($D2104,Items!$A$5:$A$504,0),"")),"")</f>
        <v/>
      </c>
      <c r="R2104" s="60" t="str">
        <f aca="false">IF(IsPro,IF($C2104="","",IFERROR(MATCH($C2104,Parties!$A$5:$A$304,0),"")),"")</f>
        <v/>
      </c>
      <c r="S2104" s="61" t="str">
        <f aca="false">IF(IsPro,IF($D2104="","",IF(OR($H2104="",$H2104="Credit"),0,P2104)),"")</f>
        <v/>
      </c>
    </row>
    <row r="2105" customFormat="false" ht="15" hidden="false" customHeight="false" outlineLevel="0" collapsed="false">
      <c r="A2105" s="55"/>
      <c r="B2105" s="56"/>
      <c r="C2105" s="56"/>
      <c r="D2105" s="56"/>
      <c r="E2105" s="57"/>
      <c r="F2105" s="58"/>
      <c r="G2105" s="59"/>
      <c r="H2105" s="56"/>
      <c r="I2105" s="60" t="str">
        <f aca="false">IF(IsPro,IF($D2105="","",IFERROR(INDEX(Items!$D$5:$D$504,Q2105),"")),IF($D2105="","","PRO PLAN"))</f>
        <v/>
      </c>
      <c r="J2105" s="61" t="str">
        <f aca="false">IF(IsPro,IF($D2105="","",IF($F2105="",IFERROR(INDEX(Items!$G$5:$G$504,Q2105),0),$F2105)),"")</f>
        <v/>
      </c>
      <c r="K2105" s="61" t="str">
        <f aca="false">IF(IsPro,IF($D2105="","",ROUND(N($E2105)*J2105*(1-N($G2105)),2)),"")</f>
        <v/>
      </c>
      <c r="L2105" s="62" t="str">
        <f aca="false">IF(IsPro,IF($D2105="","",IFERROR(INDEX(Items!$F$5:$F$504,Q2105),0)),"")</f>
        <v/>
      </c>
      <c r="M2105" s="61" t="str">
        <f aca="false">IF(IsPro,IF($D2105="","",IF(AND(R2105&lt;&gt;"",INDEX(Parties!$E$5:$E$304,R2105)&lt;&gt;"",INDEX(Parties!$E$5:$E$304,R2105)&lt;&gt;HomeState),0,ROUND(K2105*L2105/2,2))),"")</f>
        <v/>
      </c>
      <c r="N2105" s="61" t="str">
        <f aca="false">IF(IsPro,IF($D2105="","",M2105),"")</f>
        <v/>
      </c>
      <c r="O2105" s="61" t="str">
        <f aca="false">IF(IsPro,IF($D2105="","",IF(AND(R2105&lt;&gt;"",INDEX(Parties!$E$5:$E$304,R2105)&lt;&gt;"",INDEX(Parties!$E$5:$E$304,R2105)&lt;&gt;HomeState),ROUND(K2105*L2105,2),0)),"")</f>
        <v/>
      </c>
      <c r="P2105" s="61" t="str">
        <f aca="false">IF(IsPro,IF($D2105="","",K2105+M2105+N2105+O2105),"")</f>
        <v/>
      </c>
      <c r="Q2105" s="60" t="str">
        <f aca="false">IF(IsPro,IF($D2105="","",IFERROR(MATCH($D2105,Items!$A$5:$A$504,0),"")),"")</f>
        <v/>
      </c>
      <c r="R2105" s="60" t="str">
        <f aca="false">IF(IsPro,IF($C2105="","",IFERROR(MATCH($C2105,Parties!$A$5:$A$304,0),"")),"")</f>
        <v/>
      </c>
      <c r="S2105" s="61" t="str">
        <f aca="false">IF(IsPro,IF($D2105="","",IF(OR($H2105="",$H2105="Credit"),0,P2105)),"")</f>
        <v/>
      </c>
    </row>
    <row r="2106" customFormat="false" ht="15" hidden="false" customHeight="false" outlineLevel="0" collapsed="false">
      <c r="A2106" s="55"/>
      <c r="B2106" s="56"/>
      <c r="C2106" s="56"/>
      <c r="D2106" s="56"/>
      <c r="E2106" s="57"/>
      <c r="F2106" s="58"/>
      <c r="G2106" s="59"/>
      <c r="H2106" s="56"/>
      <c r="I2106" s="60" t="str">
        <f aca="false">IF(IsPro,IF($D2106="","",IFERROR(INDEX(Items!$D$5:$D$504,Q2106),"")),IF($D2106="","","PRO PLAN"))</f>
        <v/>
      </c>
      <c r="J2106" s="61" t="str">
        <f aca="false">IF(IsPro,IF($D2106="","",IF($F2106="",IFERROR(INDEX(Items!$G$5:$G$504,Q2106),0),$F2106)),"")</f>
        <v/>
      </c>
      <c r="K2106" s="61" t="str">
        <f aca="false">IF(IsPro,IF($D2106="","",ROUND(N($E2106)*J2106*(1-N($G2106)),2)),"")</f>
        <v/>
      </c>
      <c r="L2106" s="62" t="str">
        <f aca="false">IF(IsPro,IF($D2106="","",IFERROR(INDEX(Items!$F$5:$F$504,Q2106),0)),"")</f>
        <v/>
      </c>
      <c r="M2106" s="61" t="str">
        <f aca="false">IF(IsPro,IF($D2106="","",IF(AND(R2106&lt;&gt;"",INDEX(Parties!$E$5:$E$304,R2106)&lt;&gt;"",INDEX(Parties!$E$5:$E$304,R2106)&lt;&gt;HomeState),0,ROUND(K2106*L2106/2,2))),"")</f>
        <v/>
      </c>
      <c r="N2106" s="61" t="str">
        <f aca="false">IF(IsPro,IF($D2106="","",M2106),"")</f>
        <v/>
      </c>
      <c r="O2106" s="61" t="str">
        <f aca="false">IF(IsPro,IF($D2106="","",IF(AND(R2106&lt;&gt;"",INDEX(Parties!$E$5:$E$304,R2106)&lt;&gt;"",INDEX(Parties!$E$5:$E$304,R2106)&lt;&gt;HomeState),ROUND(K2106*L2106,2),0)),"")</f>
        <v/>
      </c>
      <c r="P2106" s="61" t="str">
        <f aca="false">IF(IsPro,IF($D2106="","",K2106+M2106+N2106+O2106),"")</f>
        <v/>
      </c>
      <c r="Q2106" s="60" t="str">
        <f aca="false">IF(IsPro,IF($D2106="","",IFERROR(MATCH($D2106,Items!$A$5:$A$504,0),"")),"")</f>
        <v/>
      </c>
      <c r="R2106" s="60" t="str">
        <f aca="false">IF(IsPro,IF($C2106="","",IFERROR(MATCH($C2106,Parties!$A$5:$A$304,0),"")),"")</f>
        <v/>
      </c>
      <c r="S2106" s="61" t="str">
        <f aca="false">IF(IsPro,IF($D2106="","",IF(OR($H2106="",$H2106="Credit"),0,P2106)),"")</f>
        <v/>
      </c>
    </row>
    <row r="2107" customFormat="false" ht="15" hidden="false" customHeight="false" outlineLevel="0" collapsed="false">
      <c r="A2107" s="55"/>
      <c r="B2107" s="56"/>
      <c r="C2107" s="56"/>
      <c r="D2107" s="56"/>
      <c r="E2107" s="57"/>
      <c r="F2107" s="58"/>
      <c r="G2107" s="59"/>
      <c r="H2107" s="56"/>
      <c r="I2107" s="60" t="str">
        <f aca="false">IF(IsPro,IF($D2107="","",IFERROR(INDEX(Items!$D$5:$D$504,Q2107),"")),IF($D2107="","","PRO PLAN"))</f>
        <v/>
      </c>
      <c r="J2107" s="61" t="str">
        <f aca="false">IF(IsPro,IF($D2107="","",IF($F2107="",IFERROR(INDEX(Items!$G$5:$G$504,Q2107),0),$F2107)),"")</f>
        <v/>
      </c>
      <c r="K2107" s="61" t="str">
        <f aca="false">IF(IsPro,IF($D2107="","",ROUND(N($E2107)*J2107*(1-N($G2107)),2)),"")</f>
        <v/>
      </c>
      <c r="L2107" s="62" t="str">
        <f aca="false">IF(IsPro,IF($D2107="","",IFERROR(INDEX(Items!$F$5:$F$504,Q2107),0)),"")</f>
        <v/>
      </c>
      <c r="M2107" s="61" t="str">
        <f aca="false">IF(IsPro,IF($D2107="","",IF(AND(R2107&lt;&gt;"",INDEX(Parties!$E$5:$E$304,R2107)&lt;&gt;"",INDEX(Parties!$E$5:$E$304,R2107)&lt;&gt;HomeState),0,ROUND(K2107*L2107/2,2))),"")</f>
        <v/>
      </c>
      <c r="N2107" s="61" t="str">
        <f aca="false">IF(IsPro,IF($D2107="","",M2107),"")</f>
        <v/>
      </c>
      <c r="O2107" s="61" t="str">
        <f aca="false">IF(IsPro,IF($D2107="","",IF(AND(R2107&lt;&gt;"",INDEX(Parties!$E$5:$E$304,R2107)&lt;&gt;"",INDEX(Parties!$E$5:$E$304,R2107)&lt;&gt;HomeState),ROUND(K2107*L2107,2),0)),"")</f>
        <v/>
      </c>
      <c r="P2107" s="61" t="str">
        <f aca="false">IF(IsPro,IF($D2107="","",K2107+M2107+N2107+O2107),"")</f>
        <v/>
      </c>
      <c r="Q2107" s="60" t="str">
        <f aca="false">IF(IsPro,IF($D2107="","",IFERROR(MATCH($D2107,Items!$A$5:$A$504,0),"")),"")</f>
        <v/>
      </c>
      <c r="R2107" s="60" t="str">
        <f aca="false">IF(IsPro,IF($C2107="","",IFERROR(MATCH($C2107,Parties!$A$5:$A$304,0),"")),"")</f>
        <v/>
      </c>
      <c r="S2107" s="61" t="str">
        <f aca="false">IF(IsPro,IF($D2107="","",IF(OR($H2107="",$H2107="Credit"),0,P2107)),"")</f>
        <v/>
      </c>
    </row>
    <row r="2108" customFormat="false" ht="15" hidden="false" customHeight="false" outlineLevel="0" collapsed="false">
      <c r="A2108" s="55"/>
      <c r="B2108" s="56"/>
      <c r="C2108" s="56"/>
      <c r="D2108" s="56"/>
      <c r="E2108" s="57"/>
      <c r="F2108" s="58"/>
      <c r="G2108" s="59"/>
      <c r="H2108" s="56"/>
      <c r="I2108" s="60" t="str">
        <f aca="false">IF(IsPro,IF($D2108="","",IFERROR(INDEX(Items!$D$5:$D$504,Q2108),"")),IF($D2108="","","PRO PLAN"))</f>
        <v/>
      </c>
      <c r="J2108" s="61" t="str">
        <f aca="false">IF(IsPro,IF($D2108="","",IF($F2108="",IFERROR(INDEX(Items!$G$5:$G$504,Q2108),0),$F2108)),"")</f>
        <v/>
      </c>
      <c r="K2108" s="61" t="str">
        <f aca="false">IF(IsPro,IF($D2108="","",ROUND(N($E2108)*J2108*(1-N($G2108)),2)),"")</f>
        <v/>
      </c>
      <c r="L2108" s="62" t="str">
        <f aca="false">IF(IsPro,IF($D2108="","",IFERROR(INDEX(Items!$F$5:$F$504,Q2108),0)),"")</f>
        <v/>
      </c>
      <c r="M2108" s="61" t="str">
        <f aca="false">IF(IsPro,IF($D2108="","",IF(AND(R2108&lt;&gt;"",INDEX(Parties!$E$5:$E$304,R2108)&lt;&gt;"",INDEX(Parties!$E$5:$E$304,R2108)&lt;&gt;HomeState),0,ROUND(K2108*L2108/2,2))),"")</f>
        <v/>
      </c>
      <c r="N2108" s="61" t="str">
        <f aca="false">IF(IsPro,IF($D2108="","",M2108),"")</f>
        <v/>
      </c>
      <c r="O2108" s="61" t="str">
        <f aca="false">IF(IsPro,IF($D2108="","",IF(AND(R2108&lt;&gt;"",INDEX(Parties!$E$5:$E$304,R2108)&lt;&gt;"",INDEX(Parties!$E$5:$E$304,R2108)&lt;&gt;HomeState),ROUND(K2108*L2108,2),0)),"")</f>
        <v/>
      </c>
      <c r="P2108" s="61" t="str">
        <f aca="false">IF(IsPro,IF($D2108="","",K2108+M2108+N2108+O2108),"")</f>
        <v/>
      </c>
      <c r="Q2108" s="60" t="str">
        <f aca="false">IF(IsPro,IF($D2108="","",IFERROR(MATCH($D2108,Items!$A$5:$A$504,0),"")),"")</f>
        <v/>
      </c>
      <c r="R2108" s="60" t="str">
        <f aca="false">IF(IsPro,IF($C2108="","",IFERROR(MATCH($C2108,Parties!$A$5:$A$304,0),"")),"")</f>
        <v/>
      </c>
      <c r="S2108" s="61" t="str">
        <f aca="false">IF(IsPro,IF($D2108="","",IF(OR($H2108="",$H2108="Credit"),0,P2108)),"")</f>
        <v/>
      </c>
    </row>
    <row r="2109" customFormat="false" ht="15" hidden="false" customHeight="false" outlineLevel="0" collapsed="false">
      <c r="A2109" s="55"/>
      <c r="B2109" s="56"/>
      <c r="C2109" s="56"/>
      <c r="D2109" s="56"/>
      <c r="E2109" s="57"/>
      <c r="F2109" s="58"/>
      <c r="G2109" s="59"/>
      <c r="H2109" s="56"/>
      <c r="I2109" s="60" t="str">
        <f aca="false">IF(IsPro,IF($D2109="","",IFERROR(INDEX(Items!$D$5:$D$504,Q2109),"")),IF($D2109="","","PRO PLAN"))</f>
        <v/>
      </c>
      <c r="J2109" s="61" t="str">
        <f aca="false">IF(IsPro,IF($D2109="","",IF($F2109="",IFERROR(INDEX(Items!$G$5:$G$504,Q2109),0),$F2109)),"")</f>
        <v/>
      </c>
      <c r="K2109" s="61" t="str">
        <f aca="false">IF(IsPro,IF($D2109="","",ROUND(N($E2109)*J2109*(1-N($G2109)),2)),"")</f>
        <v/>
      </c>
      <c r="L2109" s="62" t="str">
        <f aca="false">IF(IsPro,IF($D2109="","",IFERROR(INDEX(Items!$F$5:$F$504,Q2109),0)),"")</f>
        <v/>
      </c>
      <c r="M2109" s="61" t="str">
        <f aca="false">IF(IsPro,IF($D2109="","",IF(AND(R2109&lt;&gt;"",INDEX(Parties!$E$5:$E$304,R2109)&lt;&gt;"",INDEX(Parties!$E$5:$E$304,R2109)&lt;&gt;HomeState),0,ROUND(K2109*L2109/2,2))),"")</f>
        <v/>
      </c>
      <c r="N2109" s="61" t="str">
        <f aca="false">IF(IsPro,IF($D2109="","",M2109),"")</f>
        <v/>
      </c>
      <c r="O2109" s="61" t="str">
        <f aca="false">IF(IsPro,IF($D2109="","",IF(AND(R2109&lt;&gt;"",INDEX(Parties!$E$5:$E$304,R2109)&lt;&gt;"",INDEX(Parties!$E$5:$E$304,R2109)&lt;&gt;HomeState),ROUND(K2109*L2109,2),0)),"")</f>
        <v/>
      </c>
      <c r="P2109" s="61" t="str">
        <f aca="false">IF(IsPro,IF($D2109="","",K2109+M2109+N2109+O2109),"")</f>
        <v/>
      </c>
      <c r="Q2109" s="60" t="str">
        <f aca="false">IF(IsPro,IF($D2109="","",IFERROR(MATCH($D2109,Items!$A$5:$A$504,0),"")),"")</f>
        <v/>
      </c>
      <c r="R2109" s="60" t="str">
        <f aca="false">IF(IsPro,IF($C2109="","",IFERROR(MATCH($C2109,Parties!$A$5:$A$304,0),"")),"")</f>
        <v/>
      </c>
      <c r="S2109" s="61" t="str">
        <f aca="false">IF(IsPro,IF($D2109="","",IF(OR($H2109="",$H2109="Credit"),0,P2109)),"")</f>
        <v/>
      </c>
    </row>
    <row r="2110" customFormat="false" ht="15" hidden="false" customHeight="false" outlineLevel="0" collapsed="false">
      <c r="A2110" s="55"/>
      <c r="B2110" s="56"/>
      <c r="C2110" s="56"/>
      <c r="D2110" s="56"/>
      <c r="E2110" s="57"/>
      <c r="F2110" s="58"/>
      <c r="G2110" s="59"/>
      <c r="H2110" s="56"/>
      <c r="I2110" s="60" t="str">
        <f aca="false">IF(IsPro,IF($D2110="","",IFERROR(INDEX(Items!$D$5:$D$504,Q2110),"")),IF($D2110="","","PRO PLAN"))</f>
        <v/>
      </c>
      <c r="J2110" s="61" t="str">
        <f aca="false">IF(IsPro,IF($D2110="","",IF($F2110="",IFERROR(INDEX(Items!$G$5:$G$504,Q2110),0),$F2110)),"")</f>
        <v/>
      </c>
      <c r="K2110" s="61" t="str">
        <f aca="false">IF(IsPro,IF($D2110="","",ROUND(N($E2110)*J2110*(1-N($G2110)),2)),"")</f>
        <v/>
      </c>
      <c r="L2110" s="62" t="str">
        <f aca="false">IF(IsPro,IF($D2110="","",IFERROR(INDEX(Items!$F$5:$F$504,Q2110),0)),"")</f>
        <v/>
      </c>
      <c r="M2110" s="61" t="str">
        <f aca="false">IF(IsPro,IF($D2110="","",IF(AND(R2110&lt;&gt;"",INDEX(Parties!$E$5:$E$304,R2110)&lt;&gt;"",INDEX(Parties!$E$5:$E$304,R2110)&lt;&gt;HomeState),0,ROUND(K2110*L2110/2,2))),"")</f>
        <v/>
      </c>
      <c r="N2110" s="61" t="str">
        <f aca="false">IF(IsPro,IF($D2110="","",M2110),"")</f>
        <v/>
      </c>
      <c r="O2110" s="61" t="str">
        <f aca="false">IF(IsPro,IF($D2110="","",IF(AND(R2110&lt;&gt;"",INDEX(Parties!$E$5:$E$304,R2110)&lt;&gt;"",INDEX(Parties!$E$5:$E$304,R2110)&lt;&gt;HomeState),ROUND(K2110*L2110,2),0)),"")</f>
        <v/>
      </c>
      <c r="P2110" s="61" t="str">
        <f aca="false">IF(IsPro,IF($D2110="","",K2110+M2110+N2110+O2110),"")</f>
        <v/>
      </c>
      <c r="Q2110" s="60" t="str">
        <f aca="false">IF(IsPro,IF($D2110="","",IFERROR(MATCH($D2110,Items!$A$5:$A$504,0),"")),"")</f>
        <v/>
      </c>
      <c r="R2110" s="60" t="str">
        <f aca="false">IF(IsPro,IF($C2110="","",IFERROR(MATCH($C2110,Parties!$A$5:$A$304,0),"")),"")</f>
        <v/>
      </c>
      <c r="S2110" s="61" t="str">
        <f aca="false">IF(IsPro,IF($D2110="","",IF(OR($H2110="",$H2110="Credit"),0,P2110)),"")</f>
        <v/>
      </c>
    </row>
    <row r="2111" customFormat="false" ht="15" hidden="false" customHeight="false" outlineLevel="0" collapsed="false">
      <c r="A2111" s="55"/>
      <c r="B2111" s="56"/>
      <c r="C2111" s="56"/>
      <c r="D2111" s="56"/>
      <c r="E2111" s="57"/>
      <c r="F2111" s="58"/>
      <c r="G2111" s="59"/>
      <c r="H2111" s="56"/>
      <c r="I2111" s="60" t="str">
        <f aca="false">IF(IsPro,IF($D2111="","",IFERROR(INDEX(Items!$D$5:$D$504,Q2111),"")),IF($D2111="","","PRO PLAN"))</f>
        <v/>
      </c>
      <c r="J2111" s="61" t="str">
        <f aca="false">IF(IsPro,IF($D2111="","",IF($F2111="",IFERROR(INDEX(Items!$G$5:$G$504,Q2111),0),$F2111)),"")</f>
        <v/>
      </c>
      <c r="K2111" s="61" t="str">
        <f aca="false">IF(IsPro,IF($D2111="","",ROUND(N($E2111)*J2111*(1-N($G2111)),2)),"")</f>
        <v/>
      </c>
      <c r="L2111" s="62" t="str">
        <f aca="false">IF(IsPro,IF($D2111="","",IFERROR(INDEX(Items!$F$5:$F$504,Q2111),0)),"")</f>
        <v/>
      </c>
      <c r="M2111" s="61" t="str">
        <f aca="false">IF(IsPro,IF($D2111="","",IF(AND(R2111&lt;&gt;"",INDEX(Parties!$E$5:$E$304,R2111)&lt;&gt;"",INDEX(Parties!$E$5:$E$304,R2111)&lt;&gt;HomeState),0,ROUND(K2111*L2111/2,2))),"")</f>
        <v/>
      </c>
      <c r="N2111" s="61" t="str">
        <f aca="false">IF(IsPro,IF($D2111="","",M2111),"")</f>
        <v/>
      </c>
      <c r="O2111" s="61" t="str">
        <f aca="false">IF(IsPro,IF($D2111="","",IF(AND(R2111&lt;&gt;"",INDEX(Parties!$E$5:$E$304,R2111)&lt;&gt;"",INDEX(Parties!$E$5:$E$304,R2111)&lt;&gt;HomeState),ROUND(K2111*L2111,2),0)),"")</f>
        <v/>
      </c>
      <c r="P2111" s="61" t="str">
        <f aca="false">IF(IsPro,IF($D2111="","",K2111+M2111+N2111+O2111),"")</f>
        <v/>
      </c>
      <c r="Q2111" s="60" t="str">
        <f aca="false">IF(IsPro,IF($D2111="","",IFERROR(MATCH($D2111,Items!$A$5:$A$504,0),"")),"")</f>
        <v/>
      </c>
      <c r="R2111" s="60" t="str">
        <f aca="false">IF(IsPro,IF($C2111="","",IFERROR(MATCH($C2111,Parties!$A$5:$A$304,0),"")),"")</f>
        <v/>
      </c>
      <c r="S2111" s="61" t="str">
        <f aca="false">IF(IsPro,IF($D2111="","",IF(OR($H2111="",$H2111="Credit"),0,P2111)),"")</f>
        <v/>
      </c>
    </row>
    <row r="2112" customFormat="false" ht="15" hidden="false" customHeight="false" outlineLevel="0" collapsed="false">
      <c r="A2112" s="55"/>
      <c r="B2112" s="56"/>
      <c r="C2112" s="56"/>
      <c r="D2112" s="56"/>
      <c r="E2112" s="57"/>
      <c r="F2112" s="58"/>
      <c r="G2112" s="59"/>
      <c r="H2112" s="56"/>
      <c r="I2112" s="60" t="str">
        <f aca="false">IF(IsPro,IF($D2112="","",IFERROR(INDEX(Items!$D$5:$D$504,Q2112),"")),IF($D2112="","","PRO PLAN"))</f>
        <v/>
      </c>
      <c r="J2112" s="61" t="str">
        <f aca="false">IF(IsPro,IF($D2112="","",IF($F2112="",IFERROR(INDEX(Items!$G$5:$G$504,Q2112),0),$F2112)),"")</f>
        <v/>
      </c>
      <c r="K2112" s="61" t="str">
        <f aca="false">IF(IsPro,IF($D2112="","",ROUND(N($E2112)*J2112*(1-N($G2112)),2)),"")</f>
        <v/>
      </c>
      <c r="L2112" s="62" t="str">
        <f aca="false">IF(IsPro,IF($D2112="","",IFERROR(INDEX(Items!$F$5:$F$504,Q2112),0)),"")</f>
        <v/>
      </c>
      <c r="M2112" s="61" t="str">
        <f aca="false">IF(IsPro,IF($D2112="","",IF(AND(R2112&lt;&gt;"",INDEX(Parties!$E$5:$E$304,R2112)&lt;&gt;"",INDEX(Parties!$E$5:$E$304,R2112)&lt;&gt;HomeState),0,ROUND(K2112*L2112/2,2))),"")</f>
        <v/>
      </c>
      <c r="N2112" s="61" t="str">
        <f aca="false">IF(IsPro,IF($D2112="","",M2112),"")</f>
        <v/>
      </c>
      <c r="O2112" s="61" t="str">
        <f aca="false">IF(IsPro,IF($D2112="","",IF(AND(R2112&lt;&gt;"",INDEX(Parties!$E$5:$E$304,R2112)&lt;&gt;"",INDEX(Parties!$E$5:$E$304,R2112)&lt;&gt;HomeState),ROUND(K2112*L2112,2),0)),"")</f>
        <v/>
      </c>
      <c r="P2112" s="61" t="str">
        <f aca="false">IF(IsPro,IF($D2112="","",K2112+M2112+N2112+O2112),"")</f>
        <v/>
      </c>
      <c r="Q2112" s="60" t="str">
        <f aca="false">IF(IsPro,IF($D2112="","",IFERROR(MATCH($D2112,Items!$A$5:$A$504,0),"")),"")</f>
        <v/>
      </c>
      <c r="R2112" s="60" t="str">
        <f aca="false">IF(IsPro,IF($C2112="","",IFERROR(MATCH($C2112,Parties!$A$5:$A$304,0),"")),"")</f>
        <v/>
      </c>
      <c r="S2112" s="61" t="str">
        <f aca="false">IF(IsPro,IF($D2112="","",IF(OR($H2112="",$H2112="Credit"),0,P2112)),"")</f>
        <v/>
      </c>
    </row>
    <row r="2113" customFormat="false" ht="15" hidden="false" customHeight="false" outlineLevel="0" collapsed="false">
      <c r="A2113" s="55"/>
      <c r="B2113" s="56"/>
      <c r="C2113" s="56"/>
      <c r="D2113" s="56"/>
      <c r="E2113" s="57"/>
      <c r="F2113" s="58"/>
      <c r="G2113" s="59"/>
      <c r="H2113" s="56"/>
      <c r="I2113" s="60" t="str">
        <f aca="false">IF(IsPro,IF($D2113="","",IFERROR(INDEX(Items!$D$5:$D$504,Q2113),"")),IF($D2113="","","PRO PLAN"))</f>
        <v/>
      </c>
      <c r="J2113" s="61" t="str">
        <f aca="false">IF(IsPro,IF($D2113="","",IF($F2113="",IFERROR(INDEX(Items!$G$5:$G$504,Q2113),0),$F2113)),"")</f>
        <v/>
      </c>
      <c r="K2113" s="61" t="str">
        <f aca="false">IF(IsPro,IF($D2113="","",ROUND(N($E2113)*J2113*(1-N($G2113)),2)),"")</f>
        <v/>
      </c>
      <c r="L2113" s="62" t="str">
        <f aca="false">IF(IsPro,IF($D2113="","",IFERROR(INDEX(Items!$F$5:$F$504,Q2113),0)),"")</f>
        <v/>
      </c>
      <c r="M2113" s="61" t="str">
        <f aca="false">IF(IsPro,IF($D2113="","",IF(AND(R2113&lt;&gt;"",INDEX(Parties!$E$5:$E$304,R2113)&lt;&gt;"",INDEX(Parties!$E$5:$E$304,R2113)&lt;&gt;HomeState),0,ROUND(K2113*L2113/2,2))),"")</f>
        <v/>
      </c>
      <c r="N2113" s="61" t="str">
        <f aca="false">IF(IsPro,IF($D2113="","",M2113),"")</f>
        <v/>
      </c>
      <c r="O2113" s="61" t="str">
        <f aca="false">IF(IsPro,IF($D2113="","",IF(AND(R2113&lt;&gt;"",INDEX(Parties!$E$5:$E$304,R2113)&lt;&gt;"",INDEX(Parties!$E$5:$E$304,R2113)&lt;&gt;HomeState),ROUND(K2113*L2113,2),0)),"")</f>
        <v/>
      </c>
      <c r="P2113" s="61" t="str">
        <f aca="false">IF(IsPro,IF($D2113="","",K2113+M2113+N2113+O2113),"")</f>
        <v/>
      </c>
      <c r="Q2113" s="60" t="str">
        <f aca="false">IF(IsPro,IF($D2113="","",IFERROR(MATCH($D2113,Items!$A$5:$A$504,0),"")),"")</f>
        <v/>
      </c>
      <c r="R2113" s="60" t="str">
        <f aca="false">IF(IsPro,IF($C2113="","",IFERROR(MATCH($C2113,Parties!$A$5:$A$304,0),"")),"")</f>
        <v/>
      </c>
      <c r="S2113" s="61" t="str">
        <f aca="false">IF(IsPro,IF($D2113="","",IF(OR($H2113="",$H2113="Credit"),0,P2113)),"")</f>
        <v/>
      </c>
    </row>
    <row r="2114" customFormat="false" ht="15" hidden="false" customHeight="false" outlineLevel="0" collapsed="false">
      <c r="A2114" s="55"/>
      <c r="B2114" s="56"/>
      <c r="C2114" s="56"/>
      <c r="D2114" s="56"/>
      <c r="E2114" s="57"/>
      <c r="F2114" s="58"/>
      <c r="G2114" s="59"/>
      <c r="H2114" s="56"/>
      <c r="I2114" s="60" t="str">
        <f aca="false">IF(IsPro,IF($D2114="","",IFERROR(INDEX(Items!$D$5:$D$504,Q2114),"")),IF($D2114="","","PRO PLAN"))</f>
        <v/>
      </c>
      <c r="J2114" s="61" t="str">
        <f aca="false">IF(IsPro,IF($D2114="","",IF($F2114="",IFERROR(INDEX(Items!$G$5:$G$504,Q2114),0),$F2114)),"")</f>
        <v/>
      </c>
      <c r="K2114" s="61" t="str">
        <f aca="false">IF(IsPro,IF($D2114="","",ROUND(N($E2114)*J2114*(1-N($G2114)),2)),"")</f>
        <v/>
      </c>
      <c r="L2114" s="62" t="str">
        <f aca="false">IF(IsPro,IF($D2114="","",IFERROR(INDEX(Items!$F$5:$F$504,Q2114),0)),"")</f>
        <v/>
      </c>
      <c r="M2114" s="61" t="str">
        <f aca="false">IF(IsPro,IF($D2114="","",IF(AND(R2114&lt;&gt;"",INDEX(Parties!$E$5:$E$304,R2114)&lt;&gt;"",INDEX(Parties!$E$5:$E$304,R2114)&lt;&gt;HomeState),0,ROUND(K2114*L2114/2,2))),"")</f>
        <v/>
      </c>
      <c r="N2114" s="61" t="str">
        <f aca="false">IF(IsPro,IF($D2114="","",M2114),"")</f>
        <v/>
      </c>
      <c r="O2114" s="61" t="str">
        <f aca="false">IF(IsPro,IF($D2114="","",IF(AND(R2114&lt;&gt;"",INDEX(Parties!$E$5:$E$304,R2114)&lt;&gt;"",INDEX(Parties!$E$5:$E$304,R2114)&lt;&gt;HomeState),ROUND(K2114*L2114,2),0)),"")</f>
        <v/>
      </c>
      <c r="P2114" s="61" t="str">
        <f aca="false">IF(IsPro,IF($D2114="","",K2114+M2114+N2114+O2114),"")</f>
        <v/>
      </c>
      <c r="Q2114" s="60" t="str">
        <f aca="false">IF(IsPro,IF($D2114="","",IFERROR(MATCH($D2114,Items!$A$5:$A$504,0),"")),"")</f>
        <v/>
      </c>
      <c r="R2114" s="60" t="str">
        <f aca="false">IF(IsPro,IF($C2114="","",IFERROR(MATCH($C2114,Parties!$A$5:$A$304,0),"")),"")</f>
        <v/>
      </c>
      <c r="S2114" s="61" t="str">
        <f aca="false">IF(IsPro,IF($D2114="","",IF(OR($H2114="",$H2114="Credit"),0,P2114)),"")</f>
        <v/>
      </c>
    </row>
    <row r="2115" customFormat="false" ht="15" hidden="false" customHeight="false" outlineLevel="0" collapsed="false">
      <c r="A2115" s="55"/>
      <c r="B2115" s="56"/>
      <c r="C2115" s="56"/>
      <c r="D2115" s="56"/>
      <c r="E2115" s="57"/>
      <c r="F2115" s="58"/>
      <c r="G2115" s="59"/>
      <c r="H2115" s="56"/>
      <c r="I2115" s="60" t="str">
        <f aca="false">IF(IsPro,IF($D2115="","",IFERROR(INDEX(Items!$D$5:$D$504,Q2115),"")),IF($D2115="","","PRO PLAN"))</f>
        <v/>
      </c>
      <c r="J2115" s="61" t="str">
        <f aca="false">IF(IsPro,IF($D2115="","",IF($F2115="",IFERROR(INDEX(Items!$G$5:$G$504,Q2115),0),$F2115)),"")</f>
        <v/>
      </c>
      <c r="K2115" s="61" t="str">
        <f aca="false">IF(IsPro,IF($D2115="","",ROUND(N($E2115)*J2115*(1-N($G2115)),2)),"")</f>
        <v/>
      </c>
      <c r="L2115" s="62" t="str">
        <f aca="false">IF(IsPro,IF($D2115="","",IFERROR(INDEX(Items!$F$5:$F$504,Q2115),0)),"")</f>
        <v/>
      </c>
      <c r="M2115" s="61" t="str">
        <f aca="false">IF(IsPro,IF($D2115="","",IF(AND(R2115&lt;&gt;"",INDEX(Parties!$E$5:$E$304,R2115)&lt;&gt;"",INDEX(Parties!$E$5:$E$304,R2115)&lt;&gt;HomeState),0,ROUND(K2115*L2115/2,2))),"")</f>
        <v/>
      </c>
      <c r="N2115" s="61" t="str">
        <f aca="false">IF(IsPro,IF($D2115="","",M2115),"")</f>
        <v/>
      </c>
      <c r="O2115" s="61" t="str">
        <f aca="false">IF(IsPro,IF($D2115="","",IF(AND(R2115&lt;&gt;"",INDEX(Parties!$E$5:$E$304,R2115)&lt;&gt;"",INDEX(Parties!$E$5:$E$304,R2115)&lt;&gt;HomeState),ROUND(K2115*L2115,2),0)),"")</f>
        <v/>
      </c>
      <c r="P2115" s="61" t="str">
        <f aca="false">IF(IsPro,IF($D2115="","",K2115+M2115+N2115+O2115),"")</f>
        <v/>
      </c>
      <c r="Q2115" s="60" t="str">
        <f aca="false">IF(IsPro,IF($D2115="","",IFERROR(MATCH($D2115,Items!$A$5:$A$504,0),"")),"")</f>
        <v/>
      </c>
      <c r="R2115" s="60" t="str">
        <f aca="false">IF(IsPro,IF($C2115="","",IFERROR(MATCH($C2115,Parties!$A$5:$A$304,0),"")),"")</f>
        <v/>
      </c>
      <c r="S2115" s="61" t="str">
        <f aca="false">IF(IsPro,IF($D2115="","",IF(OR($H2115="",$H2115="Credit"),0,P2115)),"")</f>
        <v/>
      </c>
    </row>
    <row r="2116" customFormat="false" ht="15" hidden="false" customHeight="false" outlineLevel="0" collapsed="false">
      <c r="A2116" s="55"/>
      <c r="B2116" s="56"/>
      <c r="C2116" s="56"/>
      <c r="D2116" s="56"/>
      <c r="E2116" s="57"/>
      <c r="F2116" s="58"/>
      <c r="G2116" s="59"/>
      <c r="H2116" s="56"/>
      <c r="I2116" s="60" t="str">
        <f aca="false">IF(IsPro,IF($D2116="","",IFERROR(INDEX(Items!$D$5:$D$504,Q2116),"")),IF($D2116="","","PRO PLAN"))</f>
        <v/>
      </c>
      <c r="J2116" s="61" t="str">
        <f aca="false">IF(IsPro,IF($D2116="","",IF($F2116="",IFERROR(INDEX(Items!$G$5:$G$504,Q2116),0),$F2116)),"")</f>
        <v/>
      </c>
      <c r="K2116" s="61" t="str">
        <f aca="false">IF(IsPro,IF($D2116="","",ROUND(N($E2116)*J2116*(1-N($G2116)),2)),"")</f>
        <v/>
      </c>
      <c r="L2116" s="62" t="str">
        <f aca="false">IF(IsPro,IF($D2116="","",IFERROR(INDEX(Items!$F$5:$F$504,Q2116),0)),"")</f>
        <v/>
      </c>
      <c r="M2116" s="61" t="str">
        <f aca="false">IF(IsPro,IF($D2116="","",IF(AND(R2116&lt;&gt;"",INDEX(Parties!$E$5:$E$304,R2116)&lt;&gt;"",INDEX(Parties!$E$5:$E$304,R2116)&lt;&gt;HomeState),0,ROUND(K2116*L2116/2,2))),"")</f>
        <v/>
      </c>
      <c r="N2116" s="61" t="str">
        <f aca="false">IF(IsPro,IF($D2116="","",M2116),"")</f>
        <v/>
      </c>
      <c r="O2116" s="61" t="str">
        <f aca="false">IF(IsPro,IF($D2116="","",IF(AND(R2116&lt;&gt;"",INDEX(Parties!$E$5:$E$304,R2116)&lt;&gt;"",INDEX(Parties!$E$5:$E$304,R2116)&lt;&gt;HomeState),ROUND(K2116*L2116,2),0)),"")</f>
        <v/>
      </c>
      <c r="P2116" s="61" t="str">
        <f aca="false">IF(IsPro,IF($D2116="","",K2116+M2116+N2116+O2116),"")</f>
        <v/>
      </c>
      <c r="Q2116" s="60" t="str">
        <f aca="false">IF(IsPro,IF($D2116="","",IFERROR(MATCH($D2116,Items!$A$5:$A$504,0),"")),"")</f>
        <v/>
      </c>
      <c r="R2116" s="60" t="str">
        <f aca="false">IF(IsPro,IF($C2116="","",IFERROR(MATCH($C2116,Parties!$A$5:$A$304,0),"")),"")</f>
        <v/>
      </c>
      <c r="S2116" s="61" t="str">
        <f aca="false">IF(IsPro,IF($D2116="","",IF(OR($H2116="",$H2116="Credit"),0,P2116)),"")</f>
        <v/>
      </c>
    </row>
    <row r="2117" customFormat="false" ht="15" hidden="false" customHeight="false" outlineLevel="0" collapsed="false">
      <c r="A2117" s="55"/>
      <c r="B2117" s="56"/>
      <c r="C2117" s="56"/>
      <c r="D2117" s="56"/>
      <c r="E2117" s="57"/>
      <c r="F2117" s="58"/>
      <c r="G2117" s="59"/>
      <c r="H2117" s="56"/>
      <c r="I2117" s="60" t="str">
        <f aca="false">IF(IsPro,IF($D2117="","",IFERROR(INDEX(Items!$D$5:$D$504,Q2117),"")),IF($D2117="","","PRO PLAN"))</f>
        <v/>
      </c>
      <c r="J2117" s="61" t="str">
        <f aca="false">IF(IsPro,IF($D2117="","",IF($F2117="",IFERROR(INDEX(Items!$G$5:$G$504,Q2117),0),$F2117)),"")</f>
        <v/>
      </c>
      <c r="K2117" s="61" t="str">
        <f aca="false">IF(IsPro,IF($D2117="","",ROUND(N($E2117)*J2117*(1-N($G2117)),2)),"")</f>
        <v/>
      </c>
      <c r="L2117" s="62" t="str">
        <f aca="false">IF(IsPro,IF($D2117="","",IFERROR(INDEX(Items!$F$5:$F$504,Q2117),0)),"")</f>
        <v/>
      </c>
      <c r="M2117" s="61" t="str">
        <f aca="false">IF(IsPro,IF($D2117="","",IF(AND(R2117&lt;&gt;"",INDEX(Parties!$E$5:$E$304,R2117)&lt;&gt;"",INDEX(Parties!$E$5:$E$304,R2117)&lt;&gt;HomeState),0,ROUND(K2117*L2117/2,2))),"")</f>
        <v/>
      </c>
      <c r="N2117" s="61" t="str">
        <f aca="false">IF(IsPro,IF($D2117="","",M2117),"")</f>
        <v/>
      </c>
      <c r="O2117" s="61" t="str">
        <f aca="false">IF(IsPro,IF($D2117="","",IF(AND(R2117&lt;&gt;"",INDEX(Parties!$E$5:$E$304,R2117)&lt;&gt;"",INDEX(Parties!$E$5:$E$304,R2117)&lt;&gt;HomeState),ROUND(K2117*L2117,2),0)),"")</f>
        <v/>
      </c>
      <c r="P2117" s="61" t="str">
        <f aca="false">IF(IsPro,IF($D2117="","",K2117+M2117+N2117+O2117),"")</f>
        <v/>
      </c>
      <c r="Q2117" s="60" t="str">
        <f aca="false">IF(IsPro,IF($D2117="","",IFERROR(MATCH($D2117,Items!$A$5:$A$504,0),"")),"")</f>
        <v/>
      </c>
      <c r="R2117" s="60" t="str">
        <f aca="false">IF(IsPro,IF($C2117="","",IFERROR(MATCH($C2117,Parties!$A$5:$A$304,0),"")),"")</f>
        <v/>
      </c>
      <c r="S2117" s="61" t="str">
        <f aca="false">IF(IsPro,IF($D2117="","",IF(OR($H2117="",$H2117="Credit"),0,P2117)),"")</f>
        <v/>
      </c>
    </row>
    <row r="2118" customFormat="false" ht="15" hidden="false" customHeight="false" outlineLevel="0" collapsed="false">
      <c r="A2118" s="55"/>
      <c r="B2118" s="56"/>
      <c r="C2118" s="56"/>
      <c r="D2118" s="56"/>
      <c r="E2118" s="57"/>
      <c r="F2118" s="58"/>
      <c r="G2118" s="59"/>
      <c r="H2118" s="56"/>
      <c r="I2118" s="60" t="str">
        <f aca="false">IF(IsPro,IF($D2118="","",IFERROR(INDEX(Items!$D$5:$D$504,Q2118),"")),IF($D2118="","","PRO PLAN"))</f>
        <v/>
      </c>
      <c r="J2118" s="61" t="str">
        <f aca="false">IF(IsPro,IF($D2118="","",IF($F2118="",IFERROR(INDEX(Items!$G$5:$G$504,Q2118),0),$F2118)),"")</f>
        <v/>
      </c>
      <c r="K2118" s="61" t="str">
        <f aca="false">IF(IsPro,IF($D2118="","",ROUND(N($E2118)*J2118*(1-N($G2118)),2)),"")</f>
        <v/>
      </c>
      <c r="L2118" s="62" t="str">
        <f aca="false">IF(IsPro,IF($D2118="","",IFERROR(INDEX(Items!$F$5:$F$504,Q2118),0)),"")</f>
        <v/>
      </c>
      <c r="M2118" s="61" t="str">
        <f aca="false">IF(IsPro,IF($D2118="","",IF(AND(R2118&lt;&gt;"",INDEX(Parties!$E$5:$E$304,R2118)&lt;&gt;"",INDEX(Parties!$E$5:$E$304,R2118)&lt;&gt;HomeState),0,ROUND(K2118*L2118/2,2))),"")</f>
        <v/>
      </c>
      <c r="N2118" s="61" t="str">
        <f aca="false">IF(IsPro,IF($D2118="","",M2118),"")</f>
        <v/>
      </c>
      <c r="O2118" s="61" t="str">
        <f aca="false">IF(IsPro,IF($D2118="","",IF(AND(R2118&lt;&gt;"",INDEX(Parties!$E$5:$E$304,R2118)&lt;&gt;"",INDEX(Parties!$E$5:$E$304,R2118)&lt;&gt;HomeState),ROUND(K2118*L2118,2),0)),"")</f>
        <v/>
      </c>
      <c r="P2118" s="61" t="str">
        <f aca="false">IF(IsPro,IF($D2118="","",K2118+M2118+N2118+O2118),"")</f>
        <v/>
      </c>
      <c r="Q2118" s="60" t="str">
        <f aca="false">IF(IsPro,IF($D2118="","",IFERROR(MATCH($D2118,Items!$A$5:$A$504,0),"")),"")</f>
        <v/>
      </c>
      <c r="R2118" s="60" t="str">
        <f aca="false">IF(IsPro,IF($C2118="","",IFERROR(MATCH($C2118,Parties!$A$5:$A$304,0),"")),"")</f>
        <v/>
      </c>
      <c r="S2118" s="61" t="str">
        <f aca="false">IF(IsPro,IF($D2118="","",IF(OR($H2118="",$H2118="Credit"),0,P2118)),"")</f>
        <v/>
      </c>
    </row>
    <row r="2119" customFormat="false" ht="15" hidden="false" customHeight="false" outlineLevel="0" collapsed="false">
      <c r="A2119" s="55"/>
      <c r="B2119" s="56"/>
      <c r="C2119" s="56"/>
      <c r="D2119" s="56"/>
      <c r="E2119" s="57"/>
      <c r="F2119" s="58"/>
      <c r="G2119" s="59"/>
      <c r="H2119" s="56"/>
      <c r="I2119" s="60" t="str">
        <f aca="false">IF(IsPro,IF($D2119="","",IFERROR(INDEX(Items!$D$5:$D$504,Q2119),"")),IF($D2119="","","PRO PLAN"))</f>
        <v/>
      </c>
      <c r="J2119" s="61" t="str">
        <f aca="false">IF(IsPro,IF($D2119="","",IF($F2119="",IFERROR(INDEX(Items!$G$5:$G$504,Q2119),0),$F2119)),"")</f>
        <v/>
      </c>
      <c r="K2119" s="61" t="str">
        <f aca="false">IF(IsPro,IF($D2119="","",ROUND(N($E2119)*J2119*(1-N($G2119)),2)),"")</f>
        <v/>
      </c>
      <c r="L2119" s="62" t="str">
        <f aca="false">IF(IsPro,IF($D2119="","",IFERROR(INDEX(Items!$F$5:$F$504,Q2119),0)),"")</f>
        <v/>
      </c>
      <c r="M2119" s="61" t="str">
        <f aca="false">IF(IsPro,IF($D2119="","",IF(AND(R2119&lt;&gt;"",INDEX(Parties!$E$5:$E$304,R2119)&lt;&gt;"",INDEX(Parties!$E$5:$E$304,R2119)&lt;&gt;HomeState),0,ROUND(K2119*L2119/2,2))),"")</f>
        <v/>
      </c>
      <c r="N2119" s="61" t="str">
        <f aca="false">IF(IsPro,IF($D2119="","",M2119),"")</f>
        <v/>
      </c>
      <c r="O2119" s="61" t="str">
        <f aca="false">IF(IsPro,IF($D2119="","",IF(AND(R2119&lt;&gt;"",INDEX(Parties!$E$5:$E$304,R2119)&lt;&gt;"",INDEX(Parties!$E$5:$E$304,R2119)&lt;&gt;HomeState),ROUND(K2119*L2119,2),0)),"")</f>
        <v/>
      </c>
      <c r="P2119" s="61" t="str">
        <f aca="false">IF(IsPro,IF($D2119="","",K2119+M2119+N2119+O2119),"")</f>
        <v/>
      </c>
      <c r="Q2119" s="60" t="str">
        <f aca="false">IF(IsPro,IF($D2119="","",IFERROR(MATCH($D2119,Items!$A$5:$A$504,0),"")),"")</f>
        <v/>
      </c>
      <c r="R2119" s="60" t="str">
        <f aca="false">IF(IsPro,IF($C2119="","",IFERROR(MATCH($C2119,Parties!$A$5:$A$304,0),"")),"")</f>
        <v/>
      </c>
      <c r="S2119" s="61" t="str">
        <f aca="false">IF(IsPro,IF($D2119="","",IF(OR($H2119="",$H2119="Credit"),0,P2119)),"")</f>
        <v/>
      </c>
    </row>
    <row r="2120" customFormat="false" ht="15" hidden="false" customHeight="false" outlineLevel="0" collapsed="false">
      <c r="A2120" s="55"/>
      <c r="B2120" s="56"/>
      <c r="C2120" s="56"/>
      <c r="D2120" s="56"/>
      <c r="E2120" s="57"/>
      <c r="F2120" s="58"/>
      <c r="G2120" s="59"/>
      <c r="H2120" s="56"/>
      <c r="I2120" s="60" t="str">
        <f aca="false">IF(IsPro,IF($D2120="","",IFERROR(INDEX(Items!$D$5:$D$504,Q2120),"")),IF($D2120="","","PRO PLAN"))</f>
        <v/>
      </c>
      <c r="J2120" s="61" t="str">
        <f aca="false">IF(IsPro,IF($D2120="","",IF($F2120="",IFERROR(INDEX(Items!$G$5:$G$504,Q2120),0),$F2120)),"")</f>
        <v/>
      </c>
      <c r="K2120" s="61" t="str">
        <f aca="false">IF(IsPro,IF($D2120="","",ROUND(N($E2120)*J2120*(1-N($G2120)),2)),"")</f>
        <v/>
      </c>
      <c r="L2120" s="62" t="str">
        <f aca="false">IF(IsPro,IF($D2120="","",IFERROR(INDEX(Items!$F$5:$F$504,Q2120),0)),"")</f>
        <v/>
      </c>
      <c r="M2120" s="61" t="str">
        <f aca="false">IF(IsPro,IF($D2120="","",IF(AND(R2120&lt;&gt;"",INDEX(Parties!$E$5:$E$304,R2120)&lt;&gt;"",INDEX(Parties!$E$5:$E$304,R2120)&lt;&gt;HomeState),0,ROUND(K2120*L2120/2,2))),"")</f>
        <v/>
      </c>
      <c r="N2120" s="61" t="str">
        <f aca="false">IF(IsPro,IF($D2120="","",M2120),"")</f>
        <v/>
      </c>
      <c r="O2120" s="61" t="str">
        <f aca="false">IF(IsPro,IF($D2120="","",IF(AND(R2120&lt;&gt;"",INDEX(Parties!$E$5:$E$304,R2120)&lt;&gt;"",INDEX(Parties!$E$5:$E$304,R2120)&lt;&gt;HomeState),ROUND(K2120*L2120,2),0)),"")</f>
        <v/>
      </c>
      <c r="P2120" s="61" t="str">
        <f aca="false">IF(IsPro,IF($D2120="","",K2120+M2120+N2120+O2120),"")</f>
        <v/>
      </c>
      <c r="Q2120" s="60" t="str">
        <f aca="false">IF(IsPro,IF($D2120="","",IFERROR(MATCH($D2120,Items!$A$5:$A$504,0),"")),"")</f>
        <v/>
      </c>
      <c r="R2120" s="60" t="str">
        <f aca="false">IF(IsPro,IF($C2120="","",IFERROR(MATCH($C2120,Parties!$A$5:$A$304,0),"")),"")</f>
        <v/>
      </c>
      <c r="S2120" s="61" t="str">
        <f aca="false">IF(IsPro,IF($D2120="","",IF(OR($H2120="",$H2120="Credit"),0,P2120)),"")</f>
        <v/>
      </c>
    </row>
    <row r="2121" customFormat="false" ht="15" hidden="false" customHeight="false" outlineLevel="0" collapsed="false">
      <c r="A2121" s="55"/>
      <c r="B2121" s="56"/>
      <c r="C2121" s="56"/>
      <c r="D2121" s="56"/>
      <c r="E2121" s="57"/>
      <c r="F2121" s="58"/>
      <c r="G2121" s="59"/>
      <c r="H2121" s="56"/>
      <c r="I2121" s="60" t="str">
        <f aca="false">IF(IsPro,IF($D2121="","",IFERROR(INDEX(Items!$D$5:$D$504,Q2121),"")),IF($D2121="","","PRO PLAN"))</f>
        <v/>
      </c>
      <c r="J2121" s="61" t="str">
        <f aca="false">IF(IsPro,IF($D2121="","",IF($F2121="",IFERROR(INDEX(Items!$G$5:$G$504,Q2121),0),$F2121)),"")</f>
        <v/>
      </c>
      <c r="K2121" s="61" t="str">
        <f aca="false">IF(IsPro,IF($D2121="","",ROUND(N($E2121)*J2121*(1-N($G2121)),2)),"")</f>
        <v/>
      </c>
      <c r="L2121" s="62" t="str">
        <f aca="false">IF(IsPro,IF($D2121="","",IFERROR(INDEX(Items!$F$5:$F$504,Q2121),0)),"")</f>
        <v/>
      </c>
      <c r="M2121" s="61" t="str">
        <f aca="false">IF(IsPro,IF($D2121="","",IF(AND(R2121&lt;&gt;"",INDEX(Parties!$E$5:$E$304,R2121)&lt;&gt;"",INDEX(Parties!$E$5:$E$304,R2121)&lt;&gt;HomeState),0,ROUND(K2121*L2121/2,2))),"")</f>
        <v/>
      </c>
      <c r="N2121" s="61" t="str">
        <f aca="false">IF(IsPro,IF($D2121="","",M2121),"")</f>
        <v/>
      </c>
      <c r="O2121" s="61" t="str">
        <f aca="false">IF(IsPro,IF($D2121="","",IF(AND(R2121&lt;&gt;"",INDEX(Parties!$E$5:$E$304,R2121)&lt;&gt;"",INDEX(Parties!$E$5:$E$304,R2121)&lt;&gt;HomeState),ROUND(K2121*L2121,2),0)),"")</f>
        <v/>
      </c>
      <c r="P2121" s="61" t="str">
        <f aca="false">IF(IsPro,IF($D2121="","",K2121+M2121+N2121+O2121),"")</f>
        <v/>
      </c>
      <c r="Q2121" s="60" t="str">
        <f aca="false">IF(IsPro,IF($D2121="","",IFERROR(MATCH($D2121,Items!$A$5:$A$504,0),"")),"")</f>
        <v/>
      </c>
      <c r="R2121" s="60" t="str">
        <f aca="false">IF(IsPro,IF($C2121="","",IFERROR(MATCH($C2121,Parties!$A$5:$A$304,0),"")),"")</f>
        <v/>
      </c>
      <c r="S2121" s="61" t="str">
        <f aca="false">IF(IsPro,IF($D2121="","",IF(OR($H2121="",$H2121="Credit"),0,P2121)),"")</f>
        <v/>
      </c>
    </row>
    <row r="2122" customFormat="false" ht="15" hidden="false" customHeight="false" outlineLevel="0" collapsed="false">
      <c r="A2122" s="55"/>
      <c r="B2122" s="56"/>
      <c r="C2122" s="56"/>
      <c r="D2122" s="56"/>
      <c r="E2122" s="57"/>
      <c r="F2122" s="58"/>
      <c r="G2122" s="59"/>
      <c r="H2122" s="56"/>
      <c r="I2122" s="60" t="str">
        <f aca="false">IF(IsPro,IF($D2122="","",IFERROR(INDEX(Items!$D$5:$D$504,Q2122),"")),IF($D2122="","","PRO PLAN"))</f>
        <v/>
      </c>
      <c r="J2122" s="61" t="str">
        <f aca="false">IF(IsPro,IF($D2122="","",IF($F2122="",IFERROR(INDEX(Items!$G$5:$G$504,Q2122),0),$F2122)),"")</f>
        <v/>
      </c>
      <c r="K2122" s="61" t="str">
        <f aca="false">IF(IsPro,IF($D2122="","",ROUND(N($E2122)*J2122*(1-N($G2122)),2)),"")</f>
        <v/>
      </c>
      <c r="L2122" s="62" t="str">
        <f aca="false">IF(IsPro,IF($D2122="","",IFERROR(INDEX(Items!$F$5:$F$504,Q2122),0)),"")</f>
        <v/>
      </c>
      <c r="M2122" s="61" t="str">
        <f aca="false">IF(IsPro,IF($D2122="","",IF(AND(R2122&lt;&gt;"",INDEX(Parties!$E$5:$E$304,R2122)&lt;&gt;"",INDEX(Parties!$E$5:$E$304,R2122)&lt;&gt;HomeState),0,ROUND(K2122*L2122/2,2))),"")</f>
        <v/>
      </c>
      <c r="N2122" s="61" t="str">
        <f aca="false">IF(IsPro,IF($D2122="","",M2122),"")</f>
        <v/>
      </c>
      <c r="O2122" s="61" t="str">
        <f aca="false">IF(IsPro,IF($D2122="","",IF(AND(R2122&lt;&gt;"",INDEX(Parties!$E$5:$E$304,R2122)&lt;&gt;"",INDEX(Parties!$E$5:$E$304,R2122)&lt;&gt;HomeState),ROUND(K2122*L2122,2),0)),"")</f>
        <v/>
      </c>
      <c r="P2122" s="61" t="str">
        <f aca="false">IF(IsPro,IF($D2122="","",K2122+M2122+N2122+O2122),"")</f>
        <v/>
      </c>
      <c r="Q2122" s="60" t="str">
        <f aca="false">IF(IsPro,IF($D2122="","",IFERROR(MATCH($D2122,Items!$A$5:$A$504,0),"")),"")</f>
        <v/>
      </c>
      <c r="R2122" s="60" t="str">
        <f aca="false">IF(IsPro,IF($C2122="","",IFERROR(MATCH($C2122,Parties!$A$5:$A$304,0),"")),"")</f>
        <v/>
      </c>
      <c r="S2122" s="61" t="str">
        <f aca="false">IF(IsPro,IF($D2122="","",IF(OR($H2122="",$H2122="Credit"),0,P2122)),"")</f>
        <v/>
      </c>
    </row>
    <row r="2123" customFormat="false" ht="15" hidden="false" customHeight="false" outlineLevel="0" collapsed="false">
      <c r="A2123" s="55"/>
      <c r="B2123" s="56"/>
      <c r="C2123" s="56"/>
      <c r="D2123" s="56"/>
      <c r="E2123" s="57"/>
      <c r="F2123" s="58"/>
      <c r="G2123" s="59"/>
      <c r="H2123" s="56"/>
      <c r="I2123" s="60" t="str">
        <f aca="false">IF(IsPro,IF($D2123="","",IFERROR(INDEX(Items!$D$5:$D$504,Q2123),"")),IF($D2123="","","PRO PLAN"))</f>
        <v/>
      </c>
      <c r="J2123" s="61" t="str">
        <f aca="false">IF(IsPro,IF($D2123="","",IF($F2123="",IFERROR(INDEX(Items!$G$5:$G$504,Q2123),0),$F2123)),"")</f>
        <v/>
      </c>
      <c r="K2123" s="61" t="str">
        <f aca="false">IF(IsPro,IF($D2123="","",ROUND(N($E2123)*J2123*(1-N($G2123)),2)),"")</f>
        <v/>
      </c>
      <c r="L2123" s="62" t="str">
        <f aca="false">IF(IsPro,IF($D2123="","",IFERROR(INDEX(Items!$F$5:$F$504,Q2123),0)),"")</f>
        <v/>
      </c>
      <c r="M2123" s="61" t="str">
        <f aca="false">IF(IsPro,IF($D2123="","",IF(AND(R2123&lt;&gt;"",INDEX(Parties!$E$5:$E$304,R2123)&lt;&gt;"",INDEX(Parties!$E$5:$E$304,R2123)&lt;&gt;HomeState),0,ROUND(K2123*L2123/2,2))),"")</f>
        <v/>
      </c>
      <c r="N2123" s="61" t="str">
        <f aca="false">IF(IsPro,IF($D2123="","",M2123),"")</f>
        <v/>
      </c>
      <c r="O2123" s="61" t="str">
        <f aca="false">IF(IsPro,IF($D2123="","",IF(AND(R2123&lt;&gt;"",INDEX(Parties!$E$5:$E$304,R2123)&lt;&gt;"",INDEX(Parties!$E$5:$E$304,R2123)&lt;&gt;HomeState),ROUND(K2123*L2123,2),0)),"")</f>
        <v/>
      </c>
      <c r="P2123" s="61" t="str">
        <f aca="false">IF(IsPro,IF($D2123="","",K2123+M2123+N2123+O2123),"")</f>
        <v/>
      </c>
      <c r="Q2123" s="60" t="str">
        <f aca="false">IF(IsPro,IF($D2123="","",IFERROR(MATCH($D2123,Items!$A$5:$A$504,0),"")),"")</f>
        <v/>
      </c>
      <c r="R2123" s="60" t="str">
        <f aca="false">IF(IsPro,IF($C2123="","",IFERROR(MATCH($C2123,Parties!$A$5:$A$304,0),"")),"")</f>
        <v/>
      </c>
      <c r="S2123" s="61" t="str">
        <f aca="false">IF(IsPro,IF($D2123="","",IF(OR($H2123="",$H2123="Credit"),0,P2123)),"")</f>
        <v/>
      </c>
    </row>
    <row r="2124" customFormat="false" ht="15" hidden="false" customHeight="false" outlineLevel="0" collapsed="false">
      <c r="A2124" s="55"/>
      <c r="B2124" s="56"/>
      <c r="C2124" s="56"/>
      <c r="D2124" s="56"/>
      <c r="E2124" s="57"/>
      <c r="F2124" s="58"/>
      <c r="G2124" s="59"/>
      <c r="H2124" s="56"/>
      <c r="I2124" s="60" t="str">
        <f aca="false">IF(IsPro,IF($D2124="","",IFERROR(INDEX(Items!$D$5:$D$504,Q2124),"")),IF($D2124="","","PRO PLAN"))</f>
        <v/>
      </c>
      <c r="J2124" s="61" t="str">
        <f aca="false">IF(IsPro,IF($D2124="","",IF($F2124="",IFERROR(INDEX(Items!$G$5:$G$504,Q2124),0),$F2124)),"")</f>
        <v/>
      </c>
      <c r="K2124" s="61" t="str">
        <f aca="false">IF(IsPro,IF($D2124="","",ROUND(N($E2124)*J2124*(1-N($G2124)),2)),"")</f>
        <v/>
      </c>
      <c r="L2124" s="62" t="str">
        <f aca="false">IF(IsPro,IF($D2124="","",IFERROR(INDEX(Items!$F$5:$F$504,Q2124),0)),"")</f>
        <v/>
      </c>
      <c r="M2124" s="61" t="str">
        <f aca="false">IF(IsPro,IF($D2124="","",IF(AND(R2124&lt;&gt;"",INDEX(Parties!$E$5:$E$304,R2124)&lt;&gt;"",INDEX(Parties!$E$5:$E$304,R2124)&lt;&gt;HomeState),0,ROUND(K2124*L2124/2,2))),"")</f>
        <v/>
      </c>
      <c r="N2124" s="61" t="str">
        <f aca="false">IF(IsPro,IF($D2124="","",M2124),"")</f>
        <v/>
      </c>
      <c r="O2124" s="61" t="str">
        <f aca="false">IF(IsPro,IF($D2124="","",IF(AND(R2124&lt;&gt;"",INDEX(Parties!$E$5:$E$304,R2124)&lt;&gt;"",INDEX(Parties!$E$5:$E$304,R2124)&lt;&gt;HomeState),ROUND(K2124*L2124,2),0)),"")</f>
        <v/>
      </c>
      <c r="P2124" s="61" t="str">
        <f aca="false">IF(IsPro,IF($D2124="","",K2124+M2124+N2124+O2124),"")</f>
        <v/>
      </c>
      <c r="Q2124" s="60" t="str">
        <f aca="false">IF(IsPro,IF($D2124="","",IFERROR(MATCH($D2124,Items!$A$5:$A$504,0),"")),"")</f>
        <v/>
      </c>
      <c r="R2124" s="60" t="str">
        <f aca="false">IF(IsPro,IF($C2124="","",IFERROR(MATCH($C2124,Parties!$A$5:$A$304,0),"")),"")</f>
        <v/>
      </c>
      <c r="S2124" s="61" t="str">
        <f aca="false">IF(IsPro,IF($D2124="","",IF(OR($H2124="",$H2124="Credit"),0,P2124)),"")</f>
        <v/>
      </c>
    </row>
    <row r="2125" customFormat="false" ht="15" hidden="false" customHeight="false" outlineLevel="0" collapsed="false">
      <c r="A2125" s="55"/>
      <c r="B2125" s="56"/>
      <c r="C2125" s="56"/>
      <c r="D2125" s="56"/>
      <c r="E2125" s="57"/>
      <c r="F2125" s="58"/>
      <c r="G2125" s="59"/>
      <c r="H2125" s="56"/>
      <c r="I2125" s="60" t="str">
        <f aca="false">IF(IsPro,IF($D2125="","",IFERROR(INDEX(Items!$D$5:$D$504,Q2125),"")),IF($D2125="","","PRO PLAN"))</f>
        <v/>
      </c>
      <c r="J2125" s="61" t="str">
        <f aca="false">IF(IsPro,IF($D2125="","",IF($F2125="",IFERROR(INDEX(Items!$G$5:$G$504,Q2125),0),$F2125)),"")</f>
        <v/>
      </c>
      <c r="K2125" s="61" t="str">
        <f aca="false">IF(IsPro,IF($D2125="","",ROUND(N($E2125)*J2125*(1-N($G2125)),2)),"")</f>
        <v/>
      </c>
      <c r="L2125" s="62" t="str">
        <f aca="false">IF(IsPro,IF($D2125="","",IFERROR(INDEX(Items!$F$5:$F$504,Q2125),0)),"")</f>
        <v/>
      </c>
      <c r="M2125" s="61" t="str">
        <f aca="false">IF(IsPro,IF($D2125="","",IF(AND(R2125&lt;&gt;"",INDEX(Parties!$E$5:$E$304,R2125)&lt;&gt;"",INDEX(Parties!$E$5:$E$304,R2125)&lt;&gt;HomeState),0,ROUND(K2125*L2125/2,2))),"")</f>
        <v/>
      </c>
      <c r="N2125" s="61" t="str">
        <f aca="false">IF(IsPro,IF($D2125="","",M2125),"")</f>
        <v/>
      </c>
      <c r="O2125" s="61" t="str">
        <f aca="false">IF(IsPro,IF($D2125="","",IF(AND(R2125&lt;&gt;"",INDEX(Parties!$E$5:$E$304,R2125)&lt;&gt;"",INDEX(Parties!$E$5:$E$304,R2125)&lt;&gt;HomeState),ROUND(K2125*L2125,2),0)),"")</f>
        <v/>
      </c>
      <c r="P2125" s="61" t="str">
        <f aca="false">IF(IsPro,IF($D2125="","",K2125+M2125+N2125+O2125),"")</f>
        <v/>
      </c>
      <c r="Q2125" s="60" t="str">
        <f aca="false">IF(IsPro,IF($D2125="","",IFERROR(MATCH($D2125,Items!$A$5:$A$504,0),"")),"")</f>
        <v/>
      </c>
      <c r="R2125" s="60" t="str">
        <f aca="false">IF(IsPro,IF($C2125="","",IFERROR(MATCH($C2125,Parties!$A$5:$A$304,0),"")),"")</f>
        <v/>
      </c>
      <c r="S2125" s="61" t="str">
        <f aca="false">IF(IsPro,IF($D2125="","",IF(OR($H2125="",$H2125="Credit"),0,P2125)),"")</f>
        <v/>
      </c>
    </row>
    <row r="2126" customFormat="false" ht="15" hidden="false" customHeight="false" outlineLevel="0" collapsed="false">
      <c r="A2126" s="55"/>
      <c r="B2126" s="56"/>
      <c r="C2126" s="56"/>
      <c r="D2126" s="56"/>
      <c r="E2126" s="57"/>
      <c r="F2126" s="58"/>
      <c r="G2126" s="59"/>
      <c r="H2126" s="56"/>
      <c r="I2126" s="60" t="str">
        <f aca="false">IF(IsPro,IF($D2126="","",IFERROR(INDEX(Items!$D$5:$D$504,Q2126),"")),IF($D2126="","","PRO PLAN"))</f>
        <v/>
      </c>
      <c r="J2126" s="61" t="str">
        <f aca="false">IF(IsPro,IF($D2126="","",IF($F2126="",IFERROR(INDEX(Items!$G$5:$G$504,Q2126),0),$F2126)),"")</f>
        <v/>
      </c>
      <c r="K2126" s="61" t="str">
        <f aca="false">IF(IsPro,IF($D2126="","",ROUND(N($E2126)*J2126*(1-N($G2126)),2)),"")</f>
        <v/>
      </c>
      <c r="L2126" s="62" t="str">
        <f aca="false">IF(IsPro,IF($D2126="","",IFERROR(INDEX(Items!$F$5:$F$504,Q2126),0)),"")</f>
        <v/>
      </c>
      <c r="M2126" s="61" t="str">
        <f aca="false">IF(IsPro,IF($D2126="","",IF(AND(R2126&lt;&gt;"",INDEX(Parties!$E$5:$E$304,R2126)&lt;&gt;"",INDEX(Parties!$E$5:$E$304,R2126)&lt;&gt;HomeState),0,ROUND(K2126*L2126/2,2))),"")</f>
        <v/>
      </c>
      <c r="N2126" s="61" t="str">
        <f aca="false">IF(IsPro,IF($D2126="","",M2126),"")</f>
        <v/>
      </c>
      <c r="O2126" s="61" t="str">
        <f aca="false">IF(IsPro,IF($D2126="","",IF(AND(R2126&lt;&gt;"",INDEX(Parties!$E$5:$E$304,R2126)&lt;&gt;"",INDEX(Parties!$E$5:$E$304,R2126)&lt;&gt;HomeState),ROUND(K2126*L2126,2),0)),"")</f>
        <v/>
      </c>
      <c r="P2126" s="61" t="str">
        <f aca="false">IF(IsPro,IF($D2126="","",K2126+M2126+N2126+O2126),"")</f>
        <v/>
      </c>
      <c r="Q2126" s="60" t="str">
        <f aca="false">IF(IsPro,IF($D2126="","",IFERROR(MATCH($D2126,Items!$A$5:$A$504,0),"")),"")</f>
        <v/>
      </c>
      <c r="R2126" s="60" t="str">
        <f aca="false">IF(IsPro,IF($C2126="","",IFERROR(MATCH($C2126,Parties!$A$5:$A$304,0),"")),"")</f>
        <v/>
      </c>
      <c r="S2126" s="61" t="str">
        <f aca="false">IF(IsPro,IF($D2126="","",IF(OR($H2126="",$H2126="Credit"),0,P2126)),"")</f>
        <v/>
      </c>
    </row>
    <row r="2127" customFormat="false" ht="15" hidden="false" customHeight="false" outlineLevel="0" collapsed="false">
      <c r="A2127" s="55"/>
      <c r="B2127" s="56"/>
      <c r="C2127" s="56"/>
      <c r="D2127" s="56"/>
      <c r="E2127" s="57"/>
      <c r="F2127" s="58"/>
      <c r="G2127" s="59"/>
      <c r="H2127" s="56"/>
      <c r="I2127" s="60" t="str">
        <f aca="false">IF(IsPro,IF($D2127="","",IFERROR(INDEX(Items!$D$5:$D$504,Q2127),"")),IF($D2127="","","PRO PLAN"))</f>
        <v/>
      </c>
      <c r="J2127" s="61" t="str">
        <f aca="false">IF(IsPro,IF($D2127="","",IF($F2127="",IFERROR(INDEX(Items!$G$5:$G$504,Q2127),0),$F2127)),"")</f>
        <v/>
      </c>
      <c r="K2127" s="61" t="str">
        <f aca="false">IF(IsPro,IF($D2127="","",ROUND(N($E2127)*J2127*(1-N($G2127)),2)),"")</f>
        <v/>
      </c>
      <c r="L2127" s="62" t="str">
        <f aca="false">IF(IsPro,IF($D2127="","",IFERROR(INDEX(Items!$F$5:$F$504,Q2127),0)),"")</f>
        <v/>
      </c>
      <c r="M2127" s="61" t="str">
        <f aca="false">IF(IsPro,IF($D2127="","",IF(AND(R2127&lt;&gt;"",INDEX(Parties!$E$5:$E$304,R2127)&lt;&gt;"",INDEX(Parties!$E$5:$E$304,R2127)&lt;&gt;HomeState),0,ROUND(K2127*L2127/2,2))),"")</f>
        <v/>
      </c>
      <c r="N2127" s="61" t="str">
        <f aca="false">IF(IsPro,IF($D2127="","",M2127),"")</f>
        <v/>
      </c>
      <c r="O2127" s="61" t="str">
        <f aca="false">IF(IsPro,IF($D2127="","",IF(AND(R2127&lt;&gt;"",INDEX(Parties!$E$5:$E$304,R2127)&lt;&gt;"",INDEX(Parties!$E$5:$E$304,R2127)&lt;&gt;HomeState),ROUND(K2127*L2127,2),0)),"")</f>
        <v/>
      </c>
      <c r="P2127" s="61" t="str">
        <f aca="false">IF(IsPro,IF($D2127="","",K2127+M2127+N2127+O2127),"")</f>
        <v/>
      </c>
      <c r="Q2127" s="60" t="str">
        <f aca="false">IF(IsPro,IF($D2127="","",IFERROR(MATCH($D2127,Items!$A$5:$A$504,0),"")),"")</f>
        <v/>
      </c>
      <c r="R2127" s="60" t="str">
        <f aca="false">IF(IsPro,IF($C2127="","",IFERROR(MATCH($C2127,Parties!$A$5:$A$304,0),"")),"")</f>
        <v/>
      </c>
      <c r="S2127" s="61" t="str">
        <f aca="false">IF(IsPro,IF($D2127="","",IF(OR($H2127="",$H2127="Credit"),0,P2127)),"")</f>
        <v/>
      </c>
    </row>
    <row r="2128" customFormat="false" ht="15" hidden="false" customHeight="false" outlineLevel="0" collapsed="false">
      <c r="A2128" s="55"/>
      <c r="B2128" s="56"/>
      <c r="C2128" s="56"/>
      <c r="D2128" s="56"/>
      <c r="E2128" s="57"/>
      <c r="F2128" s="58"/>
      <c r="G2128" s="59"/>
      <c r="H2128" s="56"/>
      <c r="I2128" s="60" t="str">
        <f aca="false">IF(IsPro,IF($D2128="","",IFERROR(INDEX(Items!$D$5:$D$504,Q2128),"")),IF($D2128="","","PRO PLAN"))</f>
        <v/>
      </c>
      <c r="J2128" s="61" t="str">
        <f aca="false">IF(IsPro,IF($D2128="","",IF($F2128="",IFERROR(INDEX(Items!$G$5:$G$504,Q2128),0),$F2128)),"")</f>
        <v/>
      </c>
      <c r="K2128" s="61" t="str">
        <f aca="false">IF(IsPro,IF($D2128="","",ROUND(N($E2128)*J2128*(1-N($G2128)),2)),"")</f>
        <v/>
      </c>
      <c r="L2128" s="62" t="str">
        <f aca="false">IF(IsPro,IF($D2128="","",IFERROR(INDEX(Items!$F$5:$F$504,Q2128),0)),"")</f>
        <v/>
      </c>
      <c r="M2128" s="61" t="str">
        <f aca="false">IF(IsPro,IF($D2128="","",IF(AND(R2128&lt;&gt;"",INDEX(Parties!$E$5:$E$304,R2128)&lt;&gt;"",INDEX(Parties!$E$5:$E$304,R2128)&lt;&gt;HomeState),0,ROUND(K2128*L2128/2,2))),"")</f>
        <v/>
      </c>
      <c r="N2128" s="61" t="str">
        <f aca="false">IF(IsPro,IF($D2128="","",M2128),"")</f>
        <v/>
      </c>
      <c r="O2128" s="61" t="str">
        <f aca="false">IF(IsPro,IF($D2128="","",IF(AND(R2128&lt;&gt;"",INDEX(Parties!$E$5:$E$304,R2128)&lt;&gt;"",INDEX(Parties!$E$5:$E$304,R2128)&lt;&gt;HomeState),ROUND(K2128*L2128,2),0)),"")</f>
        <v/>
      </c>
      <c r="P2128" s="61" t="str">
        <f aca="false">IF(IsPro,IF($D2128="","",K2128+M2128+N2128+O2128),"")</f>
        <v/>
      </c>
      <c r="Q2128" s="60" t="str">
        <f aca="false">IF(IsPro,IF($D2128="","",IFERROR(MATCH($D2128,Items!$A$5:$A$504,0),"")),"")</f>
        <v/>
      </c>
      <c r="R2128" s="60" t="str">
        <f aca="false">IF(IsPro,IF($C2128="","",IFERROR(MATCH($C2128,Parties!$A$5:$A$304,0),"")),"")</f>
        <v/>
      </c>
      <c r="S2128" s="61" t="str">
        <f aca="false">IF(IsPro,IF($D2128="","",IF(OR($H2128="",$H2128="Credit"),0,P2128)),"")</f>
        <v/>
      </c>
    </row>
    <row r="2129" customFormat="false" ht="15" hidden="false" customHeight="false" outlineLevel="0" collapsed="false">
      <c r="A2129" s="55"/>
      <c r="B2129" s="56"/>
      <c r="C2129" s="56"/>
      <c r="D2129" s="56"/>
      <c r="E2129" s="57"/>
      <c r="F2129" s="58"/>
      <c r="G2129" s="59"/>
      <c r="H2129" s="56"/>
      <c r="I2129" s="60" t="str">
        <f aca="false">IF(IsPro,IF($D2129="","",IFERROR(INDEX(Items!$D$5:$D$504,Q2129),"")),IF($D2129="","","PRO PLAN"))</f>
        <v/>
      </c>
      <c r="J2129" s="61" t="str">
        <f aca="false">IF(IsPro,IF($D2129="","",IF($F2129="",IFERROR(INDEX(Items!$G$5:$G$504,Q2129),0),$F2129)),"")</f>
        <v/>
      </c>
      <c r="K2129" s="61" t="str">
        <f aca="false">IF(IsPro,IF($D2129="","",ROUND(N($E2129)*J2129*(1-N($G2129)),2)),"")</f>
        <v/>
      </c>
      <c r="L2129" s="62" t="str">
        <f aca="false">IF(IsPro,IF($D2129="","",IFERROR(INDEX(Items!$F$5:$F$504,Q2129),0)),"")</f>
        <v/>
      </c>
      <c r="M2129" s="61" t="str">
        <f aca="false">IF(IsPro,IF($D2129="","",IF(AND(R2129&lt;&gt;"",INDEX(Parties!$E$5:$E$304,R2129)&lt;&gt;"",INDEX(Parties!$E$5:$E$304,R2129)&lt;&gt;HomeState),0,ROUND(K2129*L2129/2,2))),"")</f>
        <v/>
      </c>
      <c r="N2129" s="61" t="str">
        <f aca="false">IF(IsPro,IF($D2129="","",M2129),"")</f>
        <v/>
      </c>
      <c r="O2129" s="61" t="str">
        <f aca="false">IF(IsPro,IF($D2129="","",IF(AND(R2129&lt;&gt;"",INDEX(Parties!$E$5:$E$304,R2129)&lt;&gt;"",INDEX(Parties!$E$5:$E$304,R2129)&lt;&gt;HomeState),ROUND(K2129*L2129,2),0)),"")</f>
        <v/>
      </c>
      <c r="P2129" s="61" t="str">
        <f aca="false">IF(IsPro,IF($D2129="","",K2129+M2129+N2129+O2129),"")</f>
        <v/>
      </c>
      <c r="Q2129" s="60" t="str">
        <f aca="false">IF(IsPro,IF($D2129="","",IFERROR(MATCH($D2129,Items!$A$5:$A$504,0),"")),"")</f>
        <v/>
      </c>
      <c r="R2129" s="60" t="str">
        <f aca="false">IF(IsPro,IF($C2129="","",IFERROR(MATCH($C2129,Parties!$A$5:$A$304,0),"")),"")</f>
        <v/>
      </c>
      <c r="S2129" s="61" t="str">
        <f aca="false">IF(IsPro,IF($D2129="","",IF(OR($H2129="",$H2129="Credit"),0,P2129)),"")</f>
        <v/>
      </c>
    </row>
    <row r="2130" customFormat="false" ht="15" hidden="false" customHeight="false" outlineLevel="0" collapsed="false">
      <c r="A2130" s="55"/>
      <c r="B2130" s="56"/>
      <c r="C2130" s="56"/>
      <c r="D2130" s="56"/>
      <c r="E2130" s="57"/>
      <c r="F2130" s="58"/>
      <c r="G2130" s="59"/>
      <c r="H2130" s="56"/>
      <c r="I2130" s="60" t="str">
        <f aca="false">IF(IsPro,IF($D2130="","",IFERROR(INDEX(Items!$D$5:$D$504,Q2130),"")),IF($D2130="","","PRO PLAN"))</f>
        <v/>
      </c>
      <c r="J2130" s="61" t="str">
        <f aca="false">IF(IsPro,IF($D2130="","",IF($F2130="",IFERROR(INDEX(Items!$G$5:$G$504,Q2130),0),$F2130)),"")</f>
        <v/>
      </c>
      <c r="K2130" s="61" t="str">
        <f aca="false">IF(IsPro,IF($D2130="","",ROUND(N($E2130)*J2130*(1-N($G2130)),2)),"")</f>
        <v/>
      </c>
      <c r="L2130" s="62" t="str">
        <f aca="false">IF(IsPro,IF($D2130="","",IFERROR(INDEX(Items!$F$5:$F$504,Q2130),0)),"")</f>
        <v/>
      </c>
      <c r="M2130" s="61" t="str">
        <f aca="false">IF(IsPro,IF($D2130="","",IF(AND(R2130&lt;&gt;"",INDEX(Parties!$E$5:$E$304,R2130)&lt;&gt;"",INDEX(Parties!$E$5:$E$304,R2130)&lt;&gt;HomeState),0,ROUND(K2130*L2130/2,2))),"")</f>
        <v/>
      </c>
      <c r="N2130" s="61" t="str">
        <f aca="false">IF(IsPro,IF($D2130="","",M2130),"")</f>
        <v/>
      </c>
      <c r="O2130" s="61" t="str">
        <f aca="false">IF(IsPro,IF($D2130="","",IF(AND(R2130&lt;&gt;"",INDEX(Parties!$E$5:$E$304,R2130)&lt;&gt;"",INDEX(Parties!$E$5:$E$304,R2130)&lt;&gt;HomeState),ROUND(K2130*L2130,2),0)),"")</f>
        <v/>
      </c>
      <c r="P2130" s="61" t="str">
        <f aca="false">IF(IsPro,IF($D2130="","",K2130+M2130+N2130+O2130),"")</f>
        <v/>
      </c>
      <c r="Q2130" s="60" t="str">
        <f aca="false">IF(IsPro,IF($D2130="","",IFERROR(MATCH($D2130,Items!$A$5:$A$504,0),"")),"")</f>
        <v/>
      </c>
      <c r="R2130" s="60" t="str">
        <f aca="false">IF(IsPro,IF($C2130="","",IFERROR(MATCH($C2130,Parties!$A$5:$A$304,0),"")),"")</f>
        <v/>
      </c>
      <c r="S2130" s="61" t="str">
        <f aca="false">IF(IsPro,IF($D2130="","",IF(OR($H2130="",$H2130="Credit"),0,P2130)),"")</f>
        <v/>
      </c>
    </row>
    <row r="2131" customFormat="false" ht="15" hidden="false" customHeight="false" outlineLevel="0" collapsed="false">
      <c r="A2131" s="55"/>
      <c r="B2131" s="56"/>
      <c r="C2131" s="56"/>
      <c r="D2131" s="56"/>
      <c r="E2131" s="57"/>
      <c r="F2131" s="58"/>
      <c r="G2131" s="59"/>
      <c r="H2131" s="56"/>
      <c r="I2131" s="60" t="str">
        <f aca="false">IF(IsPro,IF($D2131="","",IFERROR(INDEX(Items!$D$5:$D$504,Q2131),"")),IF($D2131="","","PRO PLAN"))</f>
        <v/>
      </c>
      <c r="J2131" s="61" t="str">
        <f aca="false">IF(IsPro,IF($D2131="","",IF($F2131="",IFERROR(INDEX(Items!$G$5:$G$504,Q2131),0),$F2131)),"")</f>
        <v/>
      </c>
      <c r="K2131" s="61" t="str">
        <f aca="false">IF(IsPro,IF($D2131="","",ROUND(N($E2131)*J2131*(1-N($G2131)),2)),"")</f>
        <v/>
      </c>
      <c r="L2131" s="62" t="str">
        <f aca="false">IF(IsPro,IF($D2131="","",IFERROR(INDEX(Items!$F$5:$F$504,Q2131),0)),"")</f>
        <v/>
      </c>
      <c r="M2131" s="61" t="str">
        <f aca="false">IF(IsPro,IF($D2131="","",IF(AND(R2131&lt;&gt;"",INDEX(Parties!$E$5:$E$304,R2131)&lt;&gt;"",INDEX(Parties!$E$5:$E$304,R2131)&lt;&gt;HomeState),0,ROUND(K2131*L2131/2,2))),"")</f>
        <v/>
      </c>
      <c r="N2131" s="61" t="str">
        <f aca="false">IF(IsPro,IF($D2131="","",M2131),"")</f>
        <v/>
      </c>
      <c r="O2131" s="61" t="str">
        <f aca="false">IF(IsPro,IF($D2131="","",IF(AND(R2131&lt;&gt;"",INDEX(Parties!$E$5:$E$304,R2131)&lt;&gt;"",INDEX(Parties!$E$5:$E$304,R2131)&lt;&gt;HomeState),ROUND(K2131*L2131,2),0)),"")</f>
        <v/>
      </c>
      <c r="P2131" s="61" t="str">
        <f aca="false">IF(IsPro,IF($D2131="","",K2131+M2131+N2131+O2131),"")</f>
        <v/>
      </c>
      <c r="Q2131" s="60" t="str">
        <f aca="false">IF(IsPro,IF($D2131="","",IFERROR(MATCH($D2131,Items!$A$5:$A$504,0),"")),"")</f>
        <v/>
      </c>
      <c r="R2131" s="60" t="str">
        <f aca="false">IF(IsPro,IF($C2131="","",IFERROR(MATCH($C2131,Parties!$A$5:$A$304,0),"")),"")</f>
        <v/>
      </c>
      <c r="S2131" s="61" t="str">
        <f aca="false">IF(IsPro,IF($D2131="","",IF(OR($H2131="",$H2131="Credit"),0,P2131)),"")</f>
        <v/>
      </c>
    </row>
    <row r="2132" customFormat="false" ht="15" hidden="false" customHeight="false" outlineLevel="0" collapsed="false">
      <c r="A2132" s="55"/>
      <c r="B2132" s="56"/>
      <c r="C2132" s="56"/>
      <c r="D2132" s="56"/>
      <c r="E2132" s="57"/>
      <c r="F2132" s="58"/>
      <c r="G2132" s="59"/>
      <c r="H2132" s="56"/>
      <c r="I2132" s="60" t="str">
        <f aca="false">IF(IsPro,IF($D2132="","",IFERROR(INDEX(Items!$D$5:$D$504,Q2132),"")),IF($D2132="","","PRO PLAN"))</f>
        <v/>
      </c>
      <c r="J2132" s="61" t="str">
        <f aca="false">IF(IsPro,IF($D2132="","",IF($F2132="",IFERROR(INDEX(Items!$G$5:$G$504,Q2132),0),$F2132)),"")</f>
        <v/>
      </c>
      <c r="K2132" s="61" t="str">
        <f aca="false">IF(IsPro,IF($D2132="","",ROUND(N($E2132)*J2132*(1-N($G2132)),2)),"")</f>
        <v/>
      </c>
      <c r="L2132" s="62" t="str">
        <f aca="false">IF(IsPro,IF($D2132="","",IFERROR(INDEX(Items!$F$5:$F$504,Q2132),0)),"")</f>
        <v/>
      </c>
      <c r="M2132" s="61" t="str">
        <f aca="false">IF(IsPro,IF($D2132="","",IF(AND(R2132&lt;&gt;"",INDEX(Parties!$E$5:$E$304,R2132)&lt;&gt;"",INDEX(Parties!$E$5:$E$304,R2132)&lt;&gt;HomeState),0,ROUND(K2132*L2132/2,2))),"")</f>
        <v/>
      </c>
      <c r="N2132" s="61" t="str">
        <f aca="false">IF(IsPro,IF($D2132="","",M2132),"")</f>
        <v/>
      </c>
      <c r="O2132" s="61" t="str">
        <f aca="false">IF(IsPro,IF($D2132="","",IF(AND(R2132&lt;&gt;"",INDEX(Parties!$E$5:$E$304,R2132)&lt;&gt;"",INDEX(Parties!$E$5:$E$304,R2132)&lt;&gt;HomeState),ROUND(K2132*L2132,2),0)),"")</f>
        <v/>
      </c>
      <c r="P2132" s="61" t="str">
        <f aca="false">IF(IsPro,IF($D2132="","",K2132+M2132+N2132+O2132),"")</f>
        <v/>
      </c>
      <c r="Q2132" s="60" t="str">
        <f aca="false">IF(IsPro,IF($D2132="","",IFERROR(MATCH($D2132,Items!$A$5:$A$504,0),"")),"")</f>
        <v/>
      </c>
      <c r="R2132" s="60" t="str">
        <f aca="false">IF(IsPro,IF($C2132="","",IFERROR(MATCH($C2132,Parties!$A$5:$A$304,0),"")),"")</f>
        <v/>
      </c>
      <c r="S2132" s="61" t="str">
        <f aca="false">IF(IsPro,IF($D2132="","",IF(OR($H2132="",$H2132="Credit"),0,P2132)),"")</f>
        <v/>
      </c>
    </row>
    <row r="2133" customFormat="false" ht="15" hidden="false" customHeight="false" outlineLevel="0" collapsed="false">
      <c r="A2133" s="55"/>
      <c r="B2133" s="56"/>
      <c r="C2133" s="56"/>
      <c r="D2133" s="56"/>
      <c r="E2133" s="57"/>
      <c r="F2133" s="58"/>
      <c r="G2133" s="59"/>
      <c r="H2133" s="56"/>
      <c r="I2133" s="60" t="str">
        <f aca="false">IF(IsPro,IF($D2133="","",IFERROR(INDEX(Items!$D$5:$D$504,Q2133),"")),IF($D2133="","","PRO PLAN"))</f>
        <v/>
      </c>
      <c r="J2133" s="61" t="str">
        <f aca="false">IF(IsPro,IF($D2133="","",IF($F2133="",IFERROR(INDEX(Items!$G$5:$G$504,Q2133),0),$F2133)),"")</f>
        <v/>
      </c>
      <c r="K2133" s="61" t="str">
        <f aca="false">IF(IsPro,IF($D2133="","",ROUND(N($E2133)*J2133*(1-N($G2133)),2)),"")</f>
        <v/>
      </c>
      <c r="L2133" s="62" t="str">
        <f aca="false">IF(IsPro,IF($D2133="","",IFERROR(INDEX(Items!$F$5:$F$504,Q2133),0)),"")</f>
        <v/>
      </c>
      <c r="M2133" s="61" t="str">
        <f aca="false">IF(IsPro,IF($D2133="","",IF(AND(R2133&lt;&gt;"",INDEX(Parties!$E$5:$E$304,R2133)&lt;&gt;"",INDEX(Parties!$E$5:$E$304,R2133)&lt;&gt;HomeState),0,ROUND(K2133*L2133/2,2))),"")</f>
        <v/>
      </c>
      <c r="N2133" s="61" t="str">
        <f aca="false">IF(IsPro,IF($D2133="","",M2133),"")</f>
        <v/>
      </c>
      <c r="O2133" s="61" t="str">
        <f aca="false">IF(IsPro,IF($D2133="","",IF(AND(R2133&lt;&gt;"",INDEX(Parties!$E$5:$E$304,R2133)&lt;&gt;"",INDEX(Parties!$E$5:$E$304,R2133)&lt;&gt;HomeState),ROUND(K2133*L2133,2),0)),"")</f>
        <v/>
      </c>
      <c r="P2133" s="61" t="str">
        <f aca="false">IF(IsPro,IF($D2133="","",K2133+M2133+N2133+O2133),"")</f>
        <v/>
      </c>
      <c r="Q2133" s="60" t="str">
        <f aca="false">IF(IsPro,IF($D2133="","",IFERROR(MATCH($D2133,Items!$A$5:$A$504,0),"")),"")</f>
        <v/>
      </c>
      <c r="R2133" s="60" t="str">
        <f aca="false">IF(IsPro,IF($C2133="","",IFERROR(MATCH($C2133,Parties!$A$5:$A$304,0),"")),"")</f>
        <v/>
      </c>
      <c r="S2133" s="61" t="str">
        <f aca="false">IF(IsPro,IF($D2133="","",IF(OR($H2133="",$H2133="Credit"),0,P2133)),"")</f>
        <v/>
      </c>
    </row>
    <row r="2134" customFormat="false" ht="15" hidden="false" customHeight="false" outlineLevel="0" collapsed="false">
      <c r="A2134" s="55"/>
      <c r="B2134" s="56"/>
      <c r="C2134" s="56"/>
      <c r="D2134" s="56"/>
      <c r="E2134" s="57"/>
      <c r="F2134" s="58"/>
      <c r="G2134" s="59"/>
      <c r="H2134" s="56"/>
      <c r="I2134" s="60" t="str">
        <f aca="false">IF(IsPro,IF($D2134="","",IFERROR(INDEX(Items!$D$5:$D$504,Q2134),"")),IF($D2134="","","PRO PLAN"))</f>
        <v/>
      </c>
      <c r="J2134" s="61" t="str">
        <f aca="false">IF(IsPro,IF($D2134="","",IF($F2134="",IFERROR(INDEX(Items!$G$5:$G$504,Q2134),0),$F2134)),"")</f>
        <v/>
      </c>
      <c r="K2134" s="61" t="str">
        <f aca="false">IF(IsPro,IF($D2134="","",ROUND(N($E2134)*J2134*(1-N($G2134)),2)),"")</f>
        <v/>
      </c>
      <c r="L2134" s="62" t="str">
        <f aca="false">IF(IsPro,IF($D2134="","",IFERROR(INDEX(Items!$F$5:$F$504,Q2134),0)),"")</f>
        <v/>
      </c>
      <c r="M2134" s="61" t="str">
        <f aca="false">IF(IsPro,IF($D2134="","",IF(AND(R2134&lt;&gt;"",INDEX(Parties!$E$5:$E$304,R2134)&lt;&gt;"",INDEX(Parties!$E$5:$E$304,R2134)&lt;&gt;HomeState),0,ROUND(K2134*L2134/2,2))),"")</f>
        <v/>
      </c>
      <c r="N2134" s="61" t="str">
        <f aca="false">IF(IsPro,IF($D2134="","",M2134),"")</f>
        <v/>
      </c>
      <c r="O2134" s="61" t="str">
        <f aca="false">IF(IsPro,IF($D2134="","",IF(AND(R2134&lt;&gt;"",INDEX(Parties!$E$5:$E$304,R2134)&lt;&gt;"",INDEX(Parties!$E$5:$E$304,R2134)&lt;&gt;HomeState),ROUND(K2134*L2134,2),0)),"")</f>
        <v/>
      </c>
      <c r="P2134" s="61" t="str">
        <f aca="false">IF(IsPro,IF($D2134="","",K2134+M2134+N2134+O2134),"")</f>
        <v/>
      </c>
      <c r="Q2134" s="60" t="str">
        <f aca="false">IF(IsPro,IF($D2134="","",IFERROR(MATCH($D2134,Items!$A$5:$A$504,0),"")),"")</f>
        <v/>
      </c>
      <c r="R2134" s="60" t="str">
        <f aca="false">IF(IsPro,IF($C2134="","",IFERROR(MATCH($C2134,Parties!$A$5:$A$304,0),"")),"")</f>
        <v/>
      </c>
      <c r="S2134" s="61" t="str">
        <f aca="false">IF(IsPro,IF($D2134="","",IF(OR($H2134="",$H2134="Credit"),0,P2134)),"")</f>
        <v/>
      </c>
    </row>
    <row r="2135" customFormat="false" ht="15" hidden="false" customHeight="false" outlineLevel="0" collapsed="false">
      <c r="A2135" s="55"/>
      <c r="B2135" s="56"/>
      <c r="C2135" s="56"/>
      <c r="D2135" s="56"/>
      <c r="E2135" s="57"/>
      <c r="F2135" s="58"/>
      <c r="G2135" s="59"/>
      <c r="H2135" s="56"/>
      <c r="I2135" s="60" t="str">
        <f aca="false">IF(IsPro,IF($D2135="","",IFERROR(INDEX(Items!$D$5:$D$504,Q2135),"")),IF($D2135="","","PRO PLAN"))</f>
        <v/>
      </c>
      <c r="J2135" s="61" t="str">
        <f aca="false">IF(IsPro,IF($D2135="","",IF($F2135="",IFERROR(INDEX(Items!$G$5:$G$504,Q2135),0),$F2135)),"")</f>
        <v/>
      </c>
      <c r="K2135" s="61" t="str">
        <f aca="false">IF(IsPro,IF($D2135="","",ROUND(N($E2135)*J2135*(1-N($G2135)),2)),"")</f>
        <v/>
      </c>
      <c r="L2135" s="62" t="str">
        <f aca="false">IF(IsPro,IF($D2135="","",IFERROR(INDEX(Items!$F$5:$F$504,Q2135),0)),"")</f>
        <v/>
      </c>
      <c r="M2135" s="61" t="str">
        <f aca="false">IF(IsPro,IF($D2135="","",IF(AND(R2135&lt;&gt;"",INDEX(Parties!$E$5:$E$304,R2135)&lt;&gt;"",INDEX(Parties!$E$5:$E$304,R2135)&lt;&gt;HomeState),0,ROUND(K2135*L2135/2,2))),"")</f>
        <v/>
      </c>
      <c r="N2135" s="61" t="str">
        <f aca="false">IF(IsPro,IF($D2135="","",M2135),"")</f>
        <v/>
      </c>
      <c r="O2135" s="61" t="str">
        <f aca="false">IF(IsPro,IF($D2135="","",IF(AND(R2135&lt;&gt;"",INDEX(Parties!$E$5:$E$304,R2135)&lt;&gt;"",INDEX(Parties!$E$5:$E$304,R2135)&lt;&gt;HomeState),ROUND(K2135*L2135,2),0)),"")</f>
        <v/>
      </c>
      <c r="P2135" s="61" t="str">
        <f aca="false">IF(IsPro,IF($D2135="","",K2135+M2135+N2135+O2135),"")</f>
        <v/>
      </c>
      <c r="Q2135" s="60" t="str">
        <f aca="false">IF(IsPro,IF($D2135="","",IFERROR(MATCH($D2135,Items!$A$5:$A$504,0),"")),"")</f>
        <v/>
      </c>
      <c r="R2135" s="60" t="str">
        <f aca="false">IF(IsPro,IF($C2135="","",IFERROR(MATCH($C2135,Parties!$A$5:$A$304,0),"")),"")</f>
        <v/>
      </c>
      <c r="S2135" s="61" t="str">
        <f aca="false">IF(IsPro,IF($D2135="","",IF(OR($H2135="",$H2135="Credit"),0,P2135)),"")</f>
        <v/>
      </c>
    </row>
    <row r="2136" customFormat="false" ht="15" hidden="false" customHeight="false" outlineLevel="0" collapsed="false">
      <c r="A2136" s="55"/>
      <c r="B2136" s="56"/>
      <c r="C2136" s="56"/>
      <c r="D2136" s="56"/>
      <c r="E2136" s="57"/>
      <c r="F2136" s="58"/>
      <c r="G2136" s="59"/>
      <c r="H2136" s="56"/>
      <c r="I2136" s="60" t="str">
        <f aca="false">IF(IsPro,IF($D2136="","",IFERROR(INDEX(Items!$D$5:$D$504,Q2136),"")),IF($D2136="","","PRO PLAN"))</f>
        <v/>
      </c>
      <c r="J2136" s="61" t="str">
        <f aca="false">IF(IsPro,IF($D2136="","",IF($F2136="",IFERROR(INDEX(Items!$G$5:$G$504,Q2136),0),$F2136)),"")</f>
        <v/>
      </c>
      <c r="K2136" s="61" t="str">
        <f aca="false">IF(IsPro,IF($D2136="","",ROUND(N($E2136)*J2136*(1-N($G2136)),2)),"")</f>
        <v/>
      </c>
      <c r="L2136" s="62" t="str">
        <f aca="false">IF(IsPro,IF($D2136="","",IFERROR(INDEX(Items!$F$5:$F$504,Q2136),0)),"")</f>
        <v/>
      </c>
      <c r="M2136" s="61" t="str">
        <f aca="false">IF(IsPro,IF($D2136="","",IF(AND(R2136&lt;&gt;"",INDEX(Parties!$E$5:$E$304,R2136)&lt;&gt;"",INDEX(Parties!$E$5:$E$304,R2136)&lt;&gt;HomeState),0,ROUND(K2136*L2136/2,2))),"")</f>
        <v/>
      </c>
      <c r="N2136" s="61" t="str">
        <f aca="false">IF(IsPro,IF($D2136="","",M2136),"")</f>
        <v/>
      </c>
      <c r="O2136" s="61" t="str">
        <f aca="false">IF(IsPro,IF($D2136="","",IF(AND(R2136&lt;&gt;"",INDEX(Parties!$E$5:$E$304,R2136)&lt;&gt;"",INDEX(Parties!$E$5:$E$304,R2136)&lt;&gt;HomeState),ROUND(K2136*L2136,2),0)),"")</f>
        <v/>
      </c>
      <c r="P2136" s="61" t="str">
        <f aca="false">IF(IsPro,IF($D2136="","",K2136+M2136+N2136+O2136),"")</f>
        <v/>
      </c>
      <c r="Q2136" s="60" t="str">
        <f aca="false">IF(IsPro,IF($D2136="","",IFERROR(MATCH($D2136,Items!$A$5:$A$504,0),"")),"")</f>
        <v/>
      </c>
      <c r="R2136" s="60" t="str">
        <f aca="false">IF(IsPro,IF($C2136="","",IFERROR(MATCH($C2136,Parties!$A$5:$A$304,0),"")),"")</f>
        <v/>
      </c>
      <c r="S2136" s="61" t="str">
        <f aca="false">IF(IsPro,IF($D2136="","",IF(OR($H2136="",$H2136="Credit"),0,P2136)),"")</f>
        <v/>
      </c>
    </row>
    <row r="2137" customFormat="false" ht="15" hidden="false" customHeight="false" outlineLevel="0" collapsed="false">
      <c r="A2137" s="55"/>
      <c r="B2137" s="56"/>
      <c r="C2137" s="56"/>
      <c r="D2137" s="56"/>
      <c r="E2137" s="57"/>
      <c r="F2137" s="58"/>
      <c r="G2137" s="59"/>
      <c r="H2137" s="56"/>
      <c r="I2137" s="60" t="str">
        <f aca="false">IF(IsPro,IF($D2137="","",IFERROR(INDEX(Items!$D$5:$D$504,Q2137),"")),IF($D2137="","","PRO PLAN"))</f>
        <v/>
      </c>
      <c r="J2137" s="61" t="str">
        <f aca="false">IF(IsPro,IF($D2137="","",IF($F2137="",IFERROR(INDEX(Items!$G$5:$G$504,Q2137),0),$F2137)),"")</f>
        <v/>
      </c>
      <c r="K2137" s="61" t="str">
        <f aca="false">IF(IsPro,IF($D2137="","",ROUND(N($E2137)*J2137*(1-N($G2137)),2)),"")</f>
        <v/>
      </c>
      <c r="L2137" s="62" t="str">
        <f aca="false">IF(IsPro,IF($D2137="","",IFERROR(INDEX(Items!$F$5:$F$504,Q2137),0)),"")</f>
        <v/>
      </c>
      <c r="M2137" s="61" t="str">
        <f aca="false">IF(IsPro,IF($D2137="","",IF(AND(R2137&lt;&gt;"",INDEX(Parties!$E$5:$E$304,R2137)&lt;&gt;"",INDEX(Parties!$E$5:$E$304,R2137)&lt;&gt;HomeState),0,ROUND(K2137*L2137/2,2))),"")</f>
        <v/>
      </c>
      <c r="N2137" s="61" t="str">
        <f aca="false">IF(IsPro,IF($D2137="","",M2137),"")</f>
        <v/>
      </c>
      <c r="O2137" s="61" t="str">
        <f aca="false">IF(IsPro,IF($D2137="","",IF(AND(R2137&lt;&gt;"",INDEX(Parties!$E$5:$E$304,R2137)&lt;&gt;"",INDEX(Parties!$E$5:$E$304,R2137)&lt;&gt;HomeState),ROUND(K2137*L2137,2),0)),"")</f>
        <v/>
      </c>
      <c r="P2137" s="61" t="str">
        <f aca="false">IF(IsPro,IF($D2137="","",K2137+M2137+N2137+O2137),"")</f>
        <v/>
      </c>
      <c r="Q2137" s="60" t="str">
        <f aca="false">IF(IsPro,IF($D2137="","",IFERROR(MATCH($D2137,Items!$A$5:$A$504,0),"")),"")</f>
        <v/>
      </c>
      <c r="R2137" s="60" t="str">
        <f aca="false">IF(IsPro,IF($C2137="","",IFERROR(MATCH($C2137,Parties!$A$5:$A$304,0),"")),"")</f>
        <v/>
      </c>
      <c r="S2137" s="61" t="str">
        <f aca="false">IF(IsPro,IF($D2137="","",IF(OR($H2137="",$H2137="Credit"),0,P2137)),"")</f>
        <v/>
      </c>
    </row>
    <row r="2138" customFormat="false" ht="15" hidden="false" customHeight="false" outlineLevel="0" collapsed="false">
      <c r="A2138" s="55"/>
      <c r="B2138" s="56"/>
      <c r="C2138" s="56"/>
      <c r="D2138" s="56"/>
      <c r="E2138" s="57"/>
      <c r="F2138" s="58"/>
      <c r="G2138" s="59"/>
      <c r="H2138" s="56"/>
      <c r="I2138" s="60" t="str">
        <f aca="false">IF(IsPro,IF($D2138="","",IFERROR(INDEX(Items!$D$5:$D$504,Q2138),"")),IF($D2138="","","PRO PLAN"))</f>
        <v/>
      </c>
      <c r="J2138" s="61" t="str">
        <f aca="false">IF(IsPro,IF($D2138="","",IF($F2138="",IFERROR(INDEX(Items!$G$5:$G$504,Q2138),0),$F2138)),"")</f>
        <v/>
      </c>
      <c r="K2138" s="61" t="str">
        <f aca="false">IF(IsPro,IF($D2138="","",ROUND(N($E2138)*J2138*(1-N($G2138)),2)),"")</f>
        <v/>
      </c>
      <c r="L2138" s="62" t="str">
        <f aca="false">IF(IsPro,IF($D2138="","",IFERROR(INDEX(Items!$F$5:$F$504,Q2138),0)),"")</f>
        <v/>
      </c>
      <c r="M2138" s="61" t="str">
        <f aca="false">IF(IsPro,IF($D2138="","",IF(AND(R2138&lt;&gt;"",INDEX(Parties!$E$5:$E$304,R2138)&lt;&gt;"",INDEX(Parties!$E$5:$E$304,R2138)&lt;&gt;HomeState),0,ROUND(K2138*L2138/2,2))),"")</f>
        <v/>
      </c>
      <c r="N2138" s="61" t="str">
        <f aca="false">IF(IsPro,IF($D2138="","",M2138),"")</f>
        <v/>
      </c>
      <c r="O2138" s="61" t="str">
        <f aca="false">IF(IsPro,IF($D2138="","",IF(AND(R2138&lt;&gt;"",INDEX(Parties!$E$5:$E$304,R2138)&lt;&gt;"",INDEX(Parties!$E$5:$E$304,R2138)&lt;&gt;HomeState),ROUND(K2138*L2138,2),0)),"")</f>
        <v/>
      </c>
      <c r="P2138" s="61" t="str">
        <f aca="false">IF(IsPro,IF($D2138="","",K2138+M2138+N2138+O2138),"")</f>
        <v/>
      </c>
      <c r="Q2138" s="60" t="str">
        <f aca="false">IF(IsPro,IF($D2138="","",IFERROR(MATCH($D2138,Items!$A$5:$A$504,0),"")),"")</f>
        <v/>
      </c>
      <c r="R2138" s="60" t="str">
        <f aca="false">IF(IsPro,IF($C2138="","",IFERROR(MATCH($C2138,Parties!$A$5:$A$304,0),"")),"")</f>
        <v/>
      </c>
      <c r="S2138" s="61" t="str">
        <f aca="false">IF(IsPro,IF($D2138="","",IF(OR($H2138="",$H2138="Credit"),0,P2138)),"")</f>
        <v/>
      </c>
    </row>
    <row r="2139" customFormat="false" ht="15" hidden="false" customHeight="false" outlineLevel="0" collapsed="false">
      <c r="A2139" s="55"/>
      <c r="B2139" s="56"/>
      <c r="C2139" s="56"/>
      <c r="D2139" s="56"/>
      <c r="E2139" s="57"/>
      <c r="F2139" s="58"/>
      <c r="G2139" s="59"/>
      <c r="H2139" s="56"/>
      <c r="I2139" s="60" t="str">
        <f aca="false">IF(IsPro,IF($D2139="","",IFERROR(INDEX(Items!$D$5:$D$504,Q2139),"")),IF($D2139="","","PRO PLAN"))</f>
        <v/>
      </c>
      <c r="J2139" s="61" t="str">
        <f aca="false">IF(IsPro,IF($D2139="","",IF($F2139="",IFERROR(INDEX(Items!$G$5:$G$504,Q2139),0),$F2139)),"")</f>
        <v/>
      </c>
      <c r="K2139" s="61" t="str">
        <f aca="false">IF(IsPro,IF($D2139="","",ROUND(N($E2139)*J2139*(1-N($G2139)),2)),"")</f>
        <v/>
      </c>
      <c r="L2139" s="62" t="str">
        <f aca="false">IF(IsPro,IF($D2139="","",IFERROR(INDEX(Items!$F$5:$F$504,Q2139),0)),"")</f>
        <v/>
      </c>
      <c r="M2139" s="61" t="str">
        <f aca="false">IF(IsPro,IF($D2139="","",IF(AND(R2139&lt;&gt;"",INDEX(Parties!$E$5:$E$304,R2139)&lt;&gt;"",INDEX(Parties!$E$5:$E$304,R2139)&lt;&gt;HomeState),0,ROUND(K2139*L2139/2,2))),"")</f>
        <v/>
      </c>
      <c r="N2139" s="61" t="str">
        <f aca="false">IF(IsPro,IF($D2139="","",M2139),"")</f>
        <v/>
      </c>
      <c r="O2139" s="61" t="str">
        <f aca="false">IF(IsPro,IF($D2139="","",IF(AND(R2139&lt;&gt;"",INDEX(Parties!$E$5:$E$304,R2139)&lt;&gt;"",INDEX(Parties!$E$5:$E$304,R2139)&lt;&gt;HomeState),ROUND(K2139*L2139,2),0)),"")</f>
        <v/>
      </c>
      <c r="P2139" s="61" t="str">
        <f aca="false">IF(IsPro,IF($D2139="","",K2139+M2139+N2139+O2139),"")</f>
        <v/>
      </c>
      <c r="Q2139" s="60" t="str">
        <f aca="false">IF(IsPro,IF($D2139="","",IFERROR(MATCH($D2139,Items!$A$5:$A$504,0),"")),"")</f>
        <v/>
      </c>
      <c r="R2139" s="60" t="str">
        <f aca="false">IF(IsPro,IF($C2139="","",IFERROR(MATCH($C2139,Parties!$A$5:$A$304,0),"")),"")</f>
        <v/>
      </c>
      <c r="S2139" s="61" t="str">
        <f aca="false">IF(IsPro,IF($D2139="","",IF(OR($H2139="",$H2139="Credit"),0,P2139)),"")</f>
        <v/>
      </c>
    </row>
    <row r="2140" customFormat="false" ht="15" hidden="false" customHeight="false" outlineLevel="0" collapsed="false">
      <c r="A2140" s="55"/>
      <c r="B2140" s="56"/>
      <c r="C2140" s="56"/>
      <c r="D2140" s="56"/>
      <c r="E2140" s="57"/>
      <c r="F2140" s="58"/>
      <c r="G2140" s="59"/>
      <c r="H2140" s="56"/>
      <c r="I2140" s="60" t="str">
        <f aca="false">IF(IsPro,IF($D2140="","",IFERROR(INDEX(Items!$D$5:$D$504,Q2140),"")),IF($D2140="","","PRO PLAN"))</f>
        <v/>
      </c>
      <c r="J2140" s="61" t="str">
        <f aca="false">IF(IsPro,IF($D2140="","",IF($F2140="",IFERROR(INDEX(Items!$G$5:$G$504,Q2140),0),$F2140)),"")</f>
        <v/>
      </c>
      <c r="K2140" s="61" t="str">
        <f aca="false">IF(IsPro,IF($D2140="","",ROUND(N($E2140)*J2140*(1-N($G2140)),2)),"")</f>
        <v/>
      </c>
      <c r="L2140" s="62" t="str">
        <f aca="false">IF(IsPro,IF($D2140="","",IFERROR(INDEX(Items!$F$5:$F$504,Q2140),0)),"")</f>
        <v/>
      </c>
      <c r="M2140" s="61" t="str">
        <f aca="false">IF(IsPro,IF($D2140="","",IF(AND(R2140&lt;&gt;"",INDEX(Parties!$E$5:$E$304,R2140)&lt;&gt;"",INDEX(Parties!$E$5:$E$304,R2140)&lt;&gt;HomeState),0,ROUND(K2140*L2140/2,2))),"")</f>
        <v/>
      </c>
      <c r="N2140" s="61" t="str">
        <f aca="false">IF(IsPro,IF($D2140="","",M2140),"")</f>
        <v/>
      </c>
      <c r="O2140" s="61" t="str">
        <f aca="false">IF(IsPro,IF($D2140="","",IF(AND(R2140&lt;&gt;"",INDEX(Parties!$E$5:$E$304,R2140)&lt;&gt;"",INDEX(Parties!$E$5:$E$304,R2140)&lt;&gt;HomeState),ROUND(K2140*L2140,2),0)),"")</f>
        <v/>
      </c>
      <c r="P2140" s="61" t="str">
        <f aca="false">IF(IsPro,IF($D2140="","",K2140+M2140+N2140+O2140),"")</f>
        <v/>
      </c>
      <c r="Q2140" s="60" t="str">
        <f aca="false">IF(IsPro,IF($D2140="","",IFERROR(MATCH($D2140,Items!$A$5:$A$504,0),"")),"")</f>
        <v/>
      </c>
      <c r="R2140" s="60" t="str">
        <f aca="false">IF(IsPro,IF($C2140="","",IFERROR(MATCH($C2140,Parties!$A$5:$A$304,0),"")),"")</f>
        <v/>
      </c>
      <c r="S2140" s="61" t="str">
        <f aca="false">IF(IsPro,IF($D2140="","",IF(OR($H2140="",$H2140="Credit"),0,P2140)),"")</f>
        <v/>
      </c>
    </row>
    <row r="2141" customFormat="false" ht="15" hidden="false" customHeight="false" outlineLevel="0" collapsed="false">
      <c r="A2141" s="55"/>
      <c r="B2141" s="56"/>
      <c r="C2141" s="56"/>
      <c r="D2141" s="56"/>
      <c r="E2141" s="57"/>
      <c r="F2141" s="58"/>
      <c r="G2141" s="59"/>
      <c r="H2141" s="56"/>
      <c r="I2141" s="60" t="str">
        <f aca="false">IF(IsPro,IF($D2141="","",IFERROR(INDEX(Items!$D$5:$D$504,Q2141),"")),IF($D2141="","","PRO PLAN"))</f>
        <v/>
      </c>
      <c r="J2141" s="61" t="str">
        <f aca="false">IF(IsPro,IF($D2141="","",IF($F2141="",IFERROR(INDEX(Items!$G$5:$G$504,Q2141),0),$F2141)),"")</f>
        <v/>
      </c>
      <c r="K2141" s="61" t="str">
        <f aca="false">IF(IsPro,IF($D2141="","",ROUND(N($E2141)*J2141*(1-N($G2141)),2)),"")</f>
        <v/>
      </c>
      <c r="L2141" s="62" t="str">
        <f aca="false">IF(IsPro,IF($D2141="","",IFERROR(INDEX(Items!$F$5:$F$504,Q2141),0)),"")</f>
        <v/>
      </c>
      <c r="M2141" s="61" t="str">
        <f aca="false">IF(IsPro,IF($D2141="","",IF(AND(R2141&lt;&gt;"",INDEX(Parties!$E$5:$E$304,R2141)&lt;&gt;"",INDEX(Parties!$E$5:$E$304,R2141)&lt;&gt;HomeState),0,ROUND(K2141*L2141/2,2))),"")</f>
        <v/>
      </c>
      <c r="N2141" s="61" t="str">
        <f aca="false">IF(IsPro,IF($D2141="","",M2141),"")</f>
        <v/>
      </c>
      <c r="O2141" s="61" t="str">
        <f aca="false">IF(IsPro,IF($D2141="","",IF(AND(R2141&lt;&gt;"",INDEX(Parties!$E$5:$E$304,R2141)&lt;&gt;"",INDEX(Parties!$E$5:$E$304,R2141)&lt;&gt;HomeState),ROUND(K2141*L2141,2),0)),"")</f>
        <v/>
      </c>
      <c r="P2141" s="61" t="str">
        <f aca="false">IF(IsPro,IF($D2141="","",K2141+M2141+N2141+O2141),"")</f>
        <v/>
      </c>
      <c r="Q2141" s="60" t="str">
        <f aca="false">IF(IsPro,IF($D2141="","",IFERROR(MATCH($D2141,Items!$A$5:$A$504,0),"")),"")</f>
        <v/>
      </c>
      <c r="R2141" s="60" t="str">
        <f aca="false">IF(IsPro,IF($C2141="","",IFERROR(MATCH($C2141,Parties!$A$5:$A$304,0),"")),"")</f>
        <v/>
      </c>
      <c r="S2141" s="61" t="str">
        <f aca="false">IF(IsPro,IF($D2141="","",IF(OR($H2141="",$H2141="Credit"),0,P2141)),"")</f>
        <v/>
      </c>
    </row>
    <row r="2142" customFormat="false" ht="15" hidden="false" customHeight="false" outlineLevel="0" collapsed="false">
      <c r="A2142" s="55"/>
      <c r="B2142" s="56"/>
      <c r="C2142" s="56"/>
      <c r="D2142" s="56"/>
      <c r="E2142" s="57"/>
      <c r="F2142" s="58"/>
      <c r="G2142" s="59"/>
      <c r="H2142" s="56"/>
      <c r="I2142" s="60" t="str">
        <f aca="false">IF(IsPro,IF($D2142="","",IFERROR(INDEX(Items!$D$5:$D$504,Q2142),"")),IF($D2142="","","PRO PLAN"))</f>
        <v/>
      </c>
      <c r="J2142" s="61" t="str">
        <f aca="false">IF(IsPro,IF($D2142="","",IF($F2142="",IFERROR(INDEX(Items!$G$5:$G$504,Q2142),0),$F2142)),"")</f>
        <v/>
      </c>
      <c r="K2142" s="61" t="str">
        <f aca="false">IF(IsPro,IF($D2142="","",ROUND(N($E2142)*J2142*(1-N($G2142)),2)),"")</f>
        <v/>
      </c>
      <c r="L2142" s="62" t="str">
        <f aca="false">IF(IsPro,IF($D2142="","",IFERROR(INDEX(Items!$F$5:$F$504,Q2142),0)),"")</f>
        <v/>
      </c>
      <c r="M2142" s="61" t="str">
        <f aca="false">IF(IsPro,IF($D2142="","",IF(AND(R2142&lt;&gt;"",INDEX(Parties!$E$5:$E$304,R2142)&lt;&gt;"",INDEX(Parties!$E$5:$E$304,R2142)&lt;&gt;HomeState),0,ROUND(K2142*L2142/2,2))),"")</f>
        <v/>
      </c>
      <c r="N2142" s="61" t="str">
        <f aca="false">IF(IsPro,IF($D2142="","",M2142),"")</f>
        <v/>
      </c>
      <c r="O2142" s="61" t="str">
        <f aca="false">IF(IsPro,IF($D2142="","",IF(AND(R2142&lt;&gt;"",INDEX(Parties!$E$5:$E$304,R2142)&lt;&gt;"",INDEX(Parties!$E$5:$E$304,R2142)&lt;&gt;HomeState),ROUND(K2142*L2142,2),0)),"")</f>
        <v/>
      </c>
      <c r="P2142" s="61" t="str">
        <f aca="false">IF(IsPro,IF($D2142="","",K2142+M2142+N2142+O2142),"")</f>
        <v/>
      </c>
      <c r="Q2142" s="60" t="str">
        <f aca="false">IF(IsPro,IF($D2142="","",IFERROR(MATCH($D2142,Items!$A$5:$A$504,0),"")),"")</f>
        <v/>
      </c>
      <c r="R2142" s="60" t="str">
        <f aca="false">IF(IsPro,IF($C2142="","",IFERROR(MATCH($C2142,Parties!$A$5:$A$304,0),"")),"")</f>
        <v/>
      </c>
      <c r="S2142" s="61" t="str">
        <f aca="false">IF(IsPro,IF($D2142="","",IF(OR($H2142="",$H2142="Credit"),0,P2142)),"")</f>
        <v/>
      </c>
    </row>
    <row r="2143" customFormat="false" ht="15" hidden="false" customHeight="false" outlineLevel="0" collapsed="false">
      <c r="A2143" s="55"/>
      <c r="B2143" s="56"/>
      <c r="C2143" s="56"/>
      <c r="D2143" s="56"/>
      <c r="E2143" s="57"/>
      <c r="F2143" s="58"/>
      <c r="G2143" s="59"/>
      <c r="H2143" s="56"/>
      <c r="I2143" s="60" t="str">
        <f aca="false">IF(IsPro,IF($D2143="","",IFERROR(INDEX(Items!$D$5:$D$504,Q2143),"")),IF($D2143="","","PRO PLAN"))</f>
        <v/>
      </c>
      <c r="J2143" s="61" t="str">
        <f aca="false">IF(IsPro,IF($D2143="","",IF($F2143="",IFERROR(INDEX(Items!$G$5:$G$504,Q2143),0),$F2143)),"")</f>
        <v/>
      </c>
      <c r="K2143" s="61" t="str">
        <f aca="false">IF(IsPro,IF($D2143="","",ROUND(N($E2143)*J2143*(1-N($G2143)),2)),"")</f>
        <v/>
      </c>
      <c r="L2143" s="62" t="str">
        <f aca="false">IF(IsPro,IF($D2143="","",IFERROR(INDEX(Items!$F$5:$F$504,Q2143),0)),"")</f>
        <v/>
      </c>
      <c r="M2143" s="61" t="str">
        <f aca="false">IF(IsPro,IF($D2143="","",IF(AND(R2143&lt;&gt;"",INDEX(Parties!$E$5:$E$304,R2143)&lt;&gt;"",INDEX(Parties!$E$5:$E$304,R2143)&lt;&gt;HomeState),0,ROUND(K2143*L2143/2,2))),"")</f>
        <v/>
      </c>
      <c r="N2143" s="61" t="str">
        <f aca="false">IF(IsPro,IF($D2143="","",M2143),"")</f>
        <v/>
      </c>
      <c r="O2143" s="61" t="str">
        <f aca="false">IF(IsPro,IF($D2143="","",IF(AND(R2143&lt;&gt;"",INDEX(Parties!$E$5:$E$304,R2143)&lt;&gt;"",INDEX(Parties!$E$5:$E$304,R2143)&lt;&gt;HomeState),ROUND(K2143*L2143,2),0)),"")</f>
        <v/>
      </c>
      <c r="P2143" s="61" t="str">
        <f aca="false">IF(IsPro,IF($D2143="","",K2143+M2143+N2143+O2143),"")</f>
        <v/>
      </c>
      <c r="Q2143" s="60" t="str">
        <f aca="false">IF(IsPro,IF($D2143="","",IFERROR(MATCH($D2143,Items!$A$5:$A$504,0),"")),"")</f>
        <v/>
      </c>
      <c r="R2143" s="60" t="str">
        <f aca="false">IF(IsPro,IF($C2143="","",IFERROR(MATCH($C2143,Parties!$A$5:$A$304,0),"")),"")</f>
        <v/>
      </c>
      <c r="S2143" s="61" t="str">
        <f aca="false">IF(IsPro,IF($D2143="","",IF(OR($H2143="",$H2143="Credit"),0,P2143)),"")</f>
        <v/>
      </c>
    </row>
    <row r="2144" customFormat="false" ht="15" hidden="false" customHeight="false" outlineLevel="0" collapsed="false">
      <c r="A2144" s="55"/>
      <c r="B2144" s="56"/>
      <c r="C2144" s="56"/>
      <c r="D2144" s="56"/>
      <c r="E2144" s="57"/>
      <c r="F2144" s="58"/>
      <c r="G2144" s="59"/>
      <c r="H2144" s="56"/>
      <c r="I2144" s="60" t="str">
        <f aca="false">IF(IsPro,IF($D2144="","",IFERROR(INDEX(Items!$D$5:$D$504,Q2144),"")),IF($D2144="","","PRO PLAN"))</f>
        <v/>
      </c>
      <c r="J2144" s="61" t="str">
        <f aca="false">IF(IsPro,IF($D2144="","",IF($F2144="",IFERROR(INDEX(Items!$G$5:$G$504,Q2144),0),$F2144)),"")</f>
        <v/>
      </c>
      <c r="K2144" s="61" t="str">
        <f aca="false">IF(IsPro,IF($D2144="","",ROUND(N($E2144)*J2144*(1-N($G2144)),2)),"")</f>
        <v/>
      </c>
      <c r="L2144" s="62" t="str">
        <f aca="false">IF(IsPro,IF($D2144="","",IFERROR(INDEX(Items!$F$5:$F$504,Q2144),0)),"")</f>
        <v/>
      </c>
      <c r="M2144" s="61" t="str">
        <f aca="false">IF(IsPro,IF($D2144="","",IF(AND(R2144&lt;&gt;"",INDEX(Parties!$E$5:$E$304,R2144)&lt;&gt;"",INDEX(Parties!$E$5:$E$304,R2144)&lt;&gt;HomeState),0,ROUND(K2144*L2144/2,2))),"")</f>
        <v/>
      </c>
      <c r="N2144" s="61" t="str">
        <f aca="false">IF(IsPro,IF($D2144="","",M2144),"")</f>
        <v/>
      </c>
      <c r="O2144" s="61" t="str">
        <f aca="false">IF(IsPro,IF($D2144="","",IF(AND(R2144&lt;&gt;"",INDEX(Parties!$E$5:$E$304,R2144)&lt;&gt;"",INDEX(Parties!$E$5:$E$304,R2144)&lt;&gt;HomeState),ROUND(K2144*L2144,2),0)),"")</f>
        <v/>
      </c>
      <c r="P2144" s="61" t="str">
        <f aca="false">IF(IsPro,IF($D2144="","",K2144+M2144+N2144+O2144),"")</f>
        <v/>
      </c>
      <c r="Q2144" s="60" t="str">
        <f aca="false">IF(IsPro,IF($D2144="","",IFERROR(MATCH($D2144,Items!$A$5:$A$504,0),"")),"")</f>
        <v/>
      </c>
      <c r="R2144" s="60" t="str">
        <f aca="false">IF(IsPro,IF($C2144="","",IFERROR(MATCH($C2144,Parties!$A$5:$A$304,0),"")),"")</f>
        <v/>
      </c>
      <c r="S2144" s="61" t="str">
        <f aca="false">IF(IsPro,IF($D2144="","",IF(OR($H2144="",$H2144="Credit"),0,P2144)),"")</f>
        <v/>
      </c>
    </row>
    <row r="2145" customFormat="false" ht="15" hidden="false" customHeight="false" outlineLevel="0" collapsed="false">
      <c r="A2145" s="55"/>
      <c r="B2145" s="56"/>
      <c r="C2145" s="56"/>
      <c r="D2145" s="56"/>
      <c r="E2145" s="57"/>
      <c r="F2145" s="58"/>
      <c r="G2145" s="59"/>
      <c r="H2145" s="56"/>
      <c r="I2145" s="60" t="str">
        <f aca="false">IF(IsPro,IF($D2145="","",IFERROR(INDEX(Items!$D$5:$D$504,Q2145),"")),IF($D2145="","","PRO PLAN"))</f>
        <v/>
      </c>
      <c r="J2145" s="61" t="str">
        <f aca="false">IF(IsPro,IF($D2145="","",IF($F2145="",IFERROR(INDEX(Items!$G$5:$G$504,Q2145),0),$F2145)),"")</f>
        <v/>
      </c>
      <c r="K2145" s="61" t="str">
        <f aca="false">IF(IsPro,IF($D2145="","",ROUND(N($E2145)*J2145*(1-N($G2145)),2)),"")</f>
        <v/>
      </c>
      <c r="L2145" s="62" t="str">
        <f aca="false">IF(IsPro,IF($D2145="","",IFERROR(INDEX(Items!$F$5:$F$504,Q2145),0)),"")</f>
        <v/>
      </c>
      <c r="M2145" s="61" t="str">
        <f aca="false">IF(IsPro,IF($D2145="","",IF(AND(R2145&lt;&gt;"",INDEX(Parties!$E$5:$E$304,R2145)&lt;&gt;"",INDEX(Parties!$E$5:$E$304,R2145)&lt;&gt;HomeState),0,ROUND(K2145*L2145/2,2))),"")</f>
        <v/>
      </c>
      <c r="N2145" s="61" t="str">
        <f aca="false">IF(IsPro,IF($D2145="","",M2145),"")</f>
        <v/>
      </c>
      <c r="O2145" s="61" t="str">
        <f aca="false">IF(IsPro,IF($D2145="","",IF(AND(R2145&lt;&gt;"",INDEX(Parties!$E$5:$E$304,R2145)&lt;&gt;"",INDEX(Parties!$E$5:$E$304,R2145)&lt;&gt;HomeState),ROUND(K2145*L2145,2),0)),"")</f>
        <v/>
      </c>
      <c r="P2145" s="61" t="str">
        <f aca="false">IF(IsPro,IF($D2145="","",K2145+M2145+N2145+O2145),"")</f>
        <v/>
      </c>
      <c r="Q2145" s="60" t="str">
        <f aca="false">IF(IsPro,IF($D2145="","",IFERROR(MATCH($D2145,Items!$A$5:$A$504,0),"")),"")</f>
        <v/>
      </c>
      <c r="R2145" s="60" t="str">
        <f aca="false">IF(IsPro,IF($C2145="","",IFERROR(MATCH($C2145,Parties!$A$5:$A$304,0),"")),"")</f>
        <v/>
      </c>
      <c r="S2145" s="61" t="str">
        <f aca="false">IF(IsPro,IF($D2145="","",IF(OR($H2145="",$H2145="Credit"),0,P2145)),"")</f>
        <v/>
      </c>
    </row>
    <row r="2146" customFormat="false" ht="15" hidden="false" customHeight="false" outlineLevel="0" collapsed="false">
      <c r="A2146" s="55"/>
      <c r="B2146" s="56"/>
      <c r="C2146" s="56"/>
      <c r="D2146" s="56"/>
      <c r="E2146" s="57"/>
      <c r="F2146" s="58"/>
      <c r="G2146" s="59"/>
      <c r="H2146" s="56"/>
      <c r="I2146" s="60" t="str">
        <f aca="false">IF(IsPro,IF($D2146="","",IFERROR(INDEX(Items!$D$5:$D$504,Q2146),"")),IF($D2146="","","PRO PLAN"))</f>
        <v/>
      </c>
      <c r="J2146" s="61" t="str">
        <f aca="false">IF(IsPro,IF($D2146="","",IF($F2146="",IFERROR(INDEX(Items!$G$5:$G$504,Q2146),0),$F2146)),"")</f>
        <v/>
      </c>
      <c r="K2146" s="61" t="str">
        <f aca="false">IF(IsPro,IF($D2146="","",ROUND(N($E2146)*J2146*(1-N($G2146)),2)),"")</f>
        <v/>
      </c>
      <c r="L2146" s="62" t="str">
        <f aca="false">IF(IsPro,IF($D2146="","",IFERROR(INDEX(Items!$F$5:$F$504,Q2146),0)),"")</f>
        <v/>
      </c>
      <c r="M2146" s="61" t="str">
        <f aca="false">IF(IsPro,IF($D2146="","",IF(AND(R2146&lt;&gt;"",INDEX(Parties!$E$5:$E$304,R2146)&lt;&gt;"",INDEX(Parties!$E$5:$E$304,R2146)&lt;&gt;HomeState),0,ROUND(K2146*L2146/2,2))),"")</f>
        <v/>
      </c>
      <c r="N2146" s="61" t="str">
        <f aca="false">IF(IsPro,IF($D2146="","",M2146),"")</f>
        <v/>
      </c>
      <c r="O2146" s="61" t="str">
        <f aca="false">IF(IsPro,IF($D2146="","",IF(AND(R2146&lt;&gt;"",INDEX(Parties!$E$5:$E$304,R2146)&lt;&gt;"",INDEX(Parties!$E$5:$E$304,R2146)&lt;&gt;HomeState),ROUND(K2146*L2146,2),0)),"")</f>
        <v/>
      </c>
      <c r="P2146" s="61" t="str">
        <f aca="false">IF(IsPro,IF($D2146="","",K2146+M2146+N2146+O2146),"")</f>
        <v/>
      </c>
      <c r="Q2146" s="60" t="str">
        <f aca="false">IF(IsPro,IF($D2146="","",IFERROR(MATCH($D2146,Items!$A$5:$A$504,0),"")),"")</f>
        <v/>
      </c>
      <c r="R2146" s="60" t="str">
        <f aca="false">IF(IsPro,IF($C2146="","",IFERROR(MATCH($C2146,Parties!$A$5:$A$304,0),"")),"")</f>
        <v/>
      </c>
      <c r="S2146" s="61" t="str">
        <f aca="false">IF(IsPro,IF($D2146="","",IF(OR($H2146="",$H2146="Credit"),0,P2146)),"")</f>
        <v/>
      </c>
    </row>
    <row r="2147" customFormat="false" ht="15" hidden="false" customHeight="false" outlineLevel="0" collapsed="false">
      <c r="A2147" s="55"/>
      <c r="B2147" s="56"/>
      <c r="C2147" s="56"/>
      <c r="D2147" s="56"/>
      <c r="E2147" s="57"/>
      <c r="F2147" s="58"/>
      <c r="G2147" s="59"/>
      <c r="H2147" s="56"/>
      <c r="I2147" s="60" t="str">
        <f aca="false">IF(IsPro,IF($D2147="","",IFERROR(INDEX(Items!$D$5:$D$504,Q2147),"")),IF($D2147="","","PRO PLAN"))</f>
        <v/>
      </c>
      <c r="J2147" s="61" t="str">
        <f aca="false">IF(IsPro,IF($D2147="","",IF($F2147="",IFERROR(INDEX(Items!$G$5:$G$504,Q2147),0),$F2147)),"")</f>
        <v/>
      </c>
      <c r="K2147" s="61" t="str">
        <f aca="false">IF(IsPro,IF($D2147="","",ROUND(N($E2147)*J2147*(1-N($G2147)),2)),"")</f>
        <v/>
      </c>
      <c r="L2147" s="62" t="str">
        <f aca="false">IF(IsPro,IF($D2147="","",IFERROR(INDEX(Items!$F$5:$F$504,Q2147),0)),"")</f>
        <v/>
      </c>
      <c r="M2147" s="61" t="str">
        <f aca="false">IF(IsPro,IF($D2147="","",IF(AND(R2147&lt;&gt;"",INDEX(Parties!$E$5:$E$304,R2147)&lt;&gt;"",INDEX(Parties!$E$5:$E$304,R2147)&lt;&gt;HomeState),0,ROUND(K2147*L2147/2,2))),"")</f>
        <v/>
      </c>
      <c r="N2147" s="61" t="str">
        <f aca="false">IF(IsPro,IF($D2147="","",M2147),"")</f>
        <v/>
      </c>
      <c r="O2147" s="61" t="str">
        <f aca="false">IF(IsPro,IF($D2147="","",IF(AND(R2147&lt;&gt;"",INDEX(Parties!$E$5:$E$304,R2147)&lt;&gt;"",INDEX(Parties!$E$5:$E$304,R2147)&lt;&gt;HomeState),ROUND(K2147*L2147,2),0)),"")</f>
        <v/>
      </c>
      <c r="P2147" s="61" t="str">
        <f aca="false">IF(IsPro,IF($D2147="","",K2147+M2147+N2147+O2147),"")</f>
        <v/>
      </c>
      <c r="Q2147" s="60" t="str">
        <f aca="false">IF(IsPro,IF($D2147="","",IFERROR(MATCH($D2147,Items!$A$5:$A$504,0),"")),"")</f>
        <v/>
      </c>
      <c r="R2147" s="60" t="str">
        <f aca="false">IF(IsPro,IF($C2147="","",IFERROR(MATCH($C2147,Parties!$A$5:$A$304,0),"")),"")</f>
        <v/>
      </c>
      <c r="S2147" s="61" t="str">
        <f aca="false">IF(IsPro,IF($D2147="","",IF(OR($H2147="",$H2147="Credit"),0,P2147)),"")</f>
        <v/>
      </c>
    </row>
    <row r="2148" customFormat="false" ht="15" hidden="false" customHeight="false" outlineLevel="0" collapsed="false">
      <c r="A2148" s="55"/>
      <c r="B2148" s="56"/>
      <c r="C2148" s="56"/>
      <c r="D2148" s="56"/>
      <c r="E2148" s="57"/>
      <c r="F2148" s="58"/>
      <c r="G2148" s="59"/>
      <c r="H2148" s="56"/>
      <c r="I2148" s="60" t="str">
        <f aca="false">IF(IsPro,IF($D2148="","",IFERROR(INDEX(Items!$D$5:$D$504,Q2148),"")),IF($D2148="","","PRO PLAN"))</f>
        <v/>
      </c>
      <c r="J2148" s="61" t="str">
        <f aca="false">IF(IsPro,IF($D2148="","",IF($F2148="",IFERROR(INDEX(Items!$G$5:$G$504,Q2148),0),$F2148)),"")</f>
        <v/>
      </c>
      <c r="K2148" s="61" t="str">
        <f aca="false">IF(IsPro,IF($D2148="","",ROUND(N($E2148)*J2148*(1-N($G2148)),2)),"")</f>
        <v/>
      </c>
      <c r="L2148" s="62" t="str">
        <f aca="false">IF(IsPro,IF($D2148="","",IFERROR(INDEX(Items!$F$5:$F$504,Q2148),0)),"")</f>
        <v/>
      </c>
      <c r="M2148" s="61" t="str">
        <f aca="false">IF(IsPro,IF($D2148="","",IF(AND(R2148&lt;&gt;"",INDEX(Parties!$E$5:$E$304,R2148)&lt;&gt;"",INDEX(Parties!$E$5:$E$304,R2148)&lt;&gt;HomeState),0,ROUND(K2148*L2148/2,2))),"")</f>
        <v/>
      </c>
      <c r="N2148" s="61" t="str">
        <f aca="false">IF(IsPro,IF($D2148="","",M2148),"")</f>
        <v/>
      </c>
      <c r="O2148" s="61" t="str">
        <f aca="false">IF(IsPro,IF($D2148="","",IF(AND(R2148&lt;&gt;"",INDEX(Parties!$E$5:$E$304,R2148)&lt;&gt;"",INDEX(Parties!$E$5:$E$304,R2148)&lt;&gt;HomeState),ROUND(K2148*L2148,2),0)),"")</f>
        <v/>
      </c>
      <c r="P2148" s="61" t="str">
        <f aca="false">IF(IsPro,IF($D2148="","",K2148+M2148+N2148+O2148),"")</f>
        <v/>
      </c>
      <c r="Q2148" s="60" t="str">
        <f aca="false">IF(IsPro,IF($D2148="","",IFERROR(MATCH($D2148,Items!$A$5:$A$504,0),"")),"")</f>
        <v/>
      </c>
      <c r="R2148" s="60" t="str">
        <f aca="false">IF(IsPro,IF($C2148="","",IFERROR(MATCH($C2148,Parties!$A$5:$A$304,0),"")),"")</f>
        <v/>
      </c>
      <c r="S2148" s="61" t="str">
        <f aca="false">IF(IsPro,IF($D2148="","",IF(OR($H2148="",$H2148="Credit"),0,P2148)),"")</f>
        <v/>
      </c>
    </row>
    <row r="2149" customFormat="false" ht="15" hidden="false" customHeight="false" outlineLevel="0" collapsed="false">
      <c r="A2149" s="55"/>
      <c r="B2149" s="56"/>
      <c r="C2149" s="56"/>
      <c r="D2149" s="56"/>
      <c r="E2149" s="57"/>
      <c r="F2149" s="58"/>
      <c r="G2149" s="59"/>
      <c r="H2149" s="56"/>
      <c r="I2149" s="60" t="str">
        <f aca="false">IF(IsPro,IF($D2149="","",IFERROR(INDEX(Items!$D$5:$D$504,Q2149),"")),IF($D2149="","","PRO PLAN"))</f>
        <v/>
      </c>
      <c r="J2149" s="61" t="str">
        <f aca="false">IF(IsPro,IF($D2149="","",IF($F2149="",IFERROR(INDEX(Items!$G$5:$G$504,Q2149),0),$F2149)),"")</f>
        <v/>
      </c>
      <c r="K2149" s="61" t="str">
        <f aca="false">IF(IsPro,IF($D2149="","",ROUND(N($E2149)*J2149*(1-N($G2149)),2)),"")</f>
        <v/>
      </c>
      <c r="L2149" s="62" t="str">
        <f aca="false">IF(IsPro,IF($D2149="","",IFERROR(INDEX(Items!$F$5:$F$504,Q2149),0)),"")</f>
        <v/>
      </c>
      <c r="M2149" s="61" t="str">
        <f aca="false">IF(IsPro,IF($D2149="","",IF(AND(R2149&lt;&gt;"",INDEX(Parties!$E$5:$E$304,R2149)&lt;&gt;"",INDEX(Parties!$E$5:$E$304,R2149)&lt;&gt;HomeState),0,ROUND(K2149*L2149/2,2))),"")</f>
        <v/>
      </c>
      <c r="N2149" s="61" t="str">
        <f aca="false">IF(IsPro,IF($D2149="","",M2149),"")</f>
        <v/>
      </c>
      <c r="O2149" s="61" t="str">
        <f aca="false">IF(IsPro,IF($D2149="","",IF(AND(R2149&lt;&gt;"",INDEX(Parties!$E$5:$E$304,R2149)&lt;&gt;"",INDEX(Parties!$E$5:$E$304,R2149)&lt;&gt;HomeState),ROUND(K2149*L2149,2),0)),"")</f>
        <v/>
      </c>
      <c r="P2149" s="61" t="str">
        <f aca="false">IF(IsPro,IF($D2149="","",K2149+M2149+N2149+O2149),"")</f>
        <v/>
      </c>
      <c r="Q2149" s="60" t="str">
        <f aca="false">IF(IsPro,IF($D2149="","",IFERROR(MATCH($D2149,Items!$A$5:$A$504,0),"")),"")</f>
        <v/>
      </c>
      <c r="R2149" s="60" t="str">
        <f aca="false">IF(IsPro,IF($C2149="","",IFERROR(MATCH($C2149,Parties!$A$5:$A$304,0),"")),"")</f>
        <v/>
      </c>
      <c r="S2149" s="61" t="str">
        <f aca="false">IF(IsPro,IF($D2149="","",IF(OR($H2149="",$H2149="Credit"),0,P2149)),"")</f>
        <v/>
      </c>
    </row>
    <row r="2150" customFormat="false" ht="15" hidden="false" customHeight="false" outlineLevel="0" collapsed="false">
      <c r="A2150" s="55"/>
      <c r="B2150" s="56"/>
      <c r="C2150" s="56"/>
      <c r="D2150" s="56"/>
      <c r="E2150" s="57"/>
      <c r="F2150" s="58"/>
      <c r="G2150" s="59"/>
      <c r="H2150" s="56"/>
      <c r="I2150" s="60" t="str">
        <f aca="false">IF(IsPro,IF($D2150="","",IFERROR(INDEX(Items!$D$5:$D$504,Q2150),"")),IF($D2150="","","PRO PLAN"))</f>
        <v/>
      </c>
      <c r="J2150" s="61" t="str">
        <f aca="false">IF(IsPro,IF($D2150="","",IF($F2150="",IFERROR(INDEX(Items!$G$5:$G$504,Q2150),0),$F2150)),"")</f>
        <v/>
      </c>
      <c r="K2150" s="61" t="str">
        <f aca="false">IF(IsPro,IF($D2150="","",ROUND(N($E2150)*J2150*(1-N($G2150)),2)),"")</f>
        <v/>
      </c>
      <c r="L2150" s="62" t="str">
        <f aca="false">IF(IsPro,IF($D2150="","",IFERROR(INDEX(Items!$F$5:$F$504,Q2150),0)),"")</f>
        <v/>
      </c>
      <c r="M2150" s="61" t="str">
        <f aca="false">IF(IsPro,IF($D2150="","",IF(AND(R2150&lt;&gt;"",INDEX(Parties!$E$5:$E$304,R2150)&lt;&gt;"",INDEX(Parties!$E$5:$E$304,R2150)&lt;&gt;HomeState),0,ROUND(K2150*L2150/2,2))),"")</f>
        <v/>
      </c>
      <c r="N2150" s="61" t="str">
        <f aca="false">IF(IsPro,IF($D2150="","",M2150),"")</f>
        <v/>
      </c>
      <c r="O2150" s="61" t="str">
        <f aca="false">IF(IsPro,IF($D2150="","",IF(AND(R2150&lt;&gt;"",INDEX(Parties!$E$5:$E$304,R2150)&lt;&gt;"",INDEX(Parties!$E$5:$E$304,R2150)&lt;&gt;HomeState),ROUND(K2150*L2150,2),0)),"")</f>
        <v/>
      </c>
      <c r="P2150" s="61" t="str">
        <f aca="false">IF(IsPro,IF($D2150="","",K2150+M2150+N2150+O2150),"")</f>
        <v/>
      </c>
      <c r="Q2150" s="60" t="str">
        <f aca="false">IF(IsPro,IF($D2150="","",IFERROR(MATCH($D2150,Items!$A$5:$A$504,0),"")),"")</f>
        <v/>
      </c>
      <c r="R2150" s="60" t="str">
        <f aca="false">IF(IsPro,IF($C2150="","",IFERROR(MATCH($C2150,Parties!$A$5:$A$304,0),"")),"")</f>
        <v/>
      </c>
      <c r="S2150" s="61" t="str">
        <f aca="false">IF(IsPro,IF($D2150="","",IF(OR($H2150="",$H2150="Credit"),0,P2150)),"")</f>
        <v/>
      </c>
    </row>
    <row r="2151" customFormat="false" ht="15" hidden="false" customHeight="false" outlineLevel="0" collapsed="false">
      <c r="A2151" s="55"/>
      <c r="B2151" s="56"/>
      <c r="C2151" s="56"/>
      <c r="D2151" s="56"/>
      <c r="E2151" s="57"/>
      <c r="F2151" s="58"/>
      <c r="G2151" s="59"/>
      <c r="H2151" s="56"/>
      <c r="I2151" s="60" t="str">
        <f aca="false">IF(IsPro,IF($D2151="","",IFERROR(INDEX(Items!$D$5:$D$504,Q2151),"")),IF($D2151="","","PRO PLAN"))</f>
        <v/>
      </c>
      <c r="J2151" s="61" t="str">
        <f aca="false">IF(IsPro,IF($D2151="","",IF($F2151="",IFERROR(INDEX(Items!$G$5:$G$504,Q2151),0),$F2151)),"")</f>
        <v/>
      </c>
      <c r="K2151" s="61" t="str">
        <f aca="false">IF(IsPro,IF($D2151="","",ROUND(N($E2151)*J2151*(1-N($G2151)),2)),"")</f>
        <v/>
      </c>
      <c r="L2151" s="62" t="str">
        <f aca="false">IF(IsPro,IF($D2151="","",IFERROR(INDEX(Items!$F$5:$F$504,Q2151),0)),"")</f>
        <v/>
      </c>
      <c r="M2151" s="61" t="str">
        <f aca="false">IF(IsPro,IF($D2151="","",IF(AND(R2151&lt;&gt;"",INDEX(Parties!$E$5:$E$304,R2151)&lt;&gt;"",INDEX(Parties!$E$5:$E$304,R2151)&lt;&gt;HomeState),0,ROUND(K2151*L2151/2,2))),"")</f>
        <v/>
      </c>
      <c r="N2151" s="61" t="str">
        <f aca="false">IF(IsPro,IF($D2151="","",M2151),"")</f>
        <v/>
      </c>
      <c r="O2151" s="61" t="str">
        <f aca="false">IF(IsPro,IF($D2151="","",IF(AND(R2151&lt;&gt;"",INDEX(Parties!$E$5:$E$304,R2151)&lt;&gt;"",INDEX(Parties!$E$5:$E$304,R2151)&lt;&gt;HomeState),ROUND(K2151*L2151,2),0)),"")</f>
        <v/>
      </c>
      <c r="P2151" s="61" t="str">
        <f aca="false">IF(IsPro,IF($D2151="","",K2151+M2151+N2151+O2151),"")</f>
        <v/>
      </c>
      <c r="Q2151" s="60" t="str">
        <f aca="false">IF(IsPro,IF($D2151="","",IFERROR(MATCH($D2151,Items!$A$5:$A$504,0),"")),"")</f>
        <v/>
      </c>
      <c r="R2151" s="60" t="str">
        <f aca="false">IF(IsPro,IF($C2151="","",IFERROR(MATCH($C2151,Parties!$A$5:$A$304,0),"")),"")</f>
        <v/>
      </c>
      <c r="S2151" s="61" t="str">
        <f aca="false">IF(IsPro,IF($D2151="","",IF(OR($H2151="",$H2151="Credit"),0,P2151)),"")</f>
        <v/>
      </c>
    </row>
    <row r="2152" customFormat="false" ht="15" hidden="false" customHeight="false" outlineLevel="0" collapsed="false">
      <c r="A2152" s="55"/>
      <c r="B2152" s="56"/>
      <c r="C2152" s="56"/>
      <c r="D2152" s="56"/>
      <c r="E2152" s="57"/>
      <c r="F2152" s="58"/>
      <c r="G2152" s="59"/>
      <c r="H2152" s="56"/>
      <c r="I2152" s="60" t="str">
        <f aca="false">IF(IsPro,IF($D2152="","",IFERROR(INDEX(Items!$D$5:$D$504,Q2152),"")),IF($D2152="","","PRO PLAN"))</f>
        <v/>
      </c>
      <c r="J2152" s="61" t="str">
        <f aca="false">IF(IsPro,IF($D2152="","",IF($F2152="",IFERROR(INDEX(Items!$G$5:$G$504,Q2152),0),$F2152)),"")</f>
        <v/>
      </c>
      <c r="K2152" s="61" t="str">
        <f aca="false">IF(IsPro,IF($D2152="","",ROUND(N($E2152)*J2152*(1-N($G2152)),2)),"")</f>
        <v/>
      </c>
      <c r="L2152" s="62" t="str">
        <f aca="false">IF(IsPro,IF($D2152="","",IFERROR(INDEX(Items!$F$5:$F$504,Q2152),0)),"")</f>
        <v/>
      </c>
      <c r="M2152" s="61" t="str">
        <f aca="false">IF(IsPro,IF($D2152="","",IF(AND(R2152&lt;&gt;"",INDEX(Parties!$E$5:$E$304,R2152)&lt;&gt;"",INDEX(Parties!$E$5:$E$304,R2152)&lt;&gt;HomeState),0,ROUND(K2152*L2152/2,2))),"")</f>
        <v/>
      </c>
      <c r="N2152" s="61" t="str">
        <f aca="false">IF(IsPro,IF($D2152="","",M2152),"")</f>
        <v/>
      </c>
      <c r="O2152" s="61" t="str">
        <f aca="false">IF(IsPro,IF($D2152="","",IF(AND(R2152&lt;&gt;"",INDEX(Parties!$E$5:$E$304,R2152)&lt;&gt;"",INDEX(Parties!$E$5:$E$304,R2152)&lt;&gt;HomeState),ROUND(K2152*L2152,2),0)),"")</f>
        <v/>
      </c>
      <c r="P2152" s="61" t="str">
        <f aca="false">IF(IsPro,IF($D2152="","",K2152+M2152+N2152+O2152),"")</f>
        <v/>
      </c>
      <c r="Q2152" s="60" t="str">
        <f aca="false">IF(IsPro,IF($D2152="","",IFERROR(MATCH($D2152,Items!$A$5:$A$504,0),"")),"")</f>
        <v/>
      </c>
      <c r="R2152" s="60" t="str">
        <f aca="false">IF(IsPro,IF($C2152="","",IFERROR(MATCH($C2152,Parties!$A$5:$A$304,0),"")),"")</f>
        <v/>
      </c>
      <c r="S2152" s="61" t="str">
        <f aca="false">IF(IsPro,IF($D2152="","",IF(OR($H2152="",$H2152="Credit"),0,P2152)),"")</f>
        <v/>
      </c>
    </row>
    <row r="2153" customFormat="false" ht="15" hidden="false" customHeight="false" outlineLevel="0" collapsed="false">
      <c r="A2153" s="55"/>
      <c r="B2153" s="56"/>
      <c r="C2153" s="56"/>
      <c r="D2153" s="56"/>
      <c r="E2153" s="57"/>
      <c r="F2153" s="58"/>
      <c r="G2153" s="59"/>
      <c r="H2153" s="56"/>
      <c r="I2153" s="60" t="str">
        <f aca="false">IF(IsPro,IF($D2153="","",IFERROR(INDEX(Items!$D$5:$D$504,Q2153),"")),IF($D2153="","","PRO PLAN"))</f>
        <v/>
      </c>
      <c r="J2153" s="61" t="str">
        <f aca="false">IF(IsPro,IF($D2153="","",IF($F2153="",IFERROR(INDEX(Items!$G$5:$G$504,Q2153),0),$F2153)),"")</f>
        <v/>
      </c>
      <c r="K2153" s="61" t="str">
        <f aca="false">IF(IsPro,IF($D2153="","",ROUND(N($E2153)*J2153*(1-N($G2153)),2)),"")</f>
        <v/>
      </c>
      <c r="L2153" s="62" t="str">
        <f aca="false">IF(IsPro,IF($D2153="","",IFERROR(INDEX(Items!$F$5:$F$504,Q2153),0)),"")</f>
        <v/>
      </c>
      <c r="M2153" s="61" t="str">
        <f aca="false">IF(IsPro,IF($D2153="","",IF(AND(R2153&lt;&gt;"",INDEX(Parties!$E$5:$E$304,R2153)&lt;&gt;"",INDEX(Parties!$E$5:$E$304,R2153)&lt;&gt;HomeState),0,ROUND(K2153*L2153/2,2))),"")</f>
        <v/>
      </c>
      <c r="N2153" s="61" t="str">
        <f aca="false">IF(IsPro,IF($D2153="","",M2153),"")</f>
        <v/>
      </c>
      <c r="O2153" s="61" t="str">
        <f aca="false">IF(IsPro,IF($D2153="","",IF(AND(R2153&lt;&gt;"",INDEX(Parties!$E$5:$E$304,R2153)&lt;&gt;"",INDEX(Parties!$E$5:$E$304,R2153)&lt;&gt;HomeState),ROUND(K2153*L2153,2),0)),"")</f>
        <v/>
      </c>
      <c r="P2153" s="61" t="str">
        <f aca="false">IF(IsPro,IF($D2153="","",K2153+M2153+N2153+O2153),"")</f>
        <v/>
      </c>
      <c r="Q2153" s="60" t="str">
        <f aca="false">IF(IsPro,IF($D2153="","",IFERROR(MATCH($D2153,Items!$A$5:$A$504,0),"")),"")</f>
        <v/>
      </c>
      <c r="R2153" s="60" t="str">
        <f aca="false">IF(IsPro,IF($C2153="","",IFERROR(MATCH($C2153,Parties!$A$5:$A$304,0),"")),"")</f>
        <v/>
      </c>
      <c r="S2153" s="61" t="str">
        <f aca="false">IF(IsPro,IF($D2153="","",IF(OR($H2153="",$H2153="Credit"),0,P2153)),"")</f>
        <v/>
      </c>
    </row>
    <row r="2154" customFormat="false" ht="15" hidden="false" customHeight="false" outlineLevel="0" collapsed="false">
      <c r="A2154" s="55"/>
      <c r="B2154" s="56"/>
      <c r="C2154" s="56"/>
      <c r="D2154" s="56"/>
      <c r="E2154" s="57"/>
      <c r="F2154" s="58"/>
      <c r="G2154" s="59"/>
      <c r="H2154" s="56"/>
      <c r="I2154" s="60" t="str">
        <f aca="false">IF(IsPro,IF($D2154="","",IFERROR(INDEX(Items!$D$5:$D$504,Q2154),"")),IF($D2154="","","PRO PLAN"))</f>
        <v/>
      </c>
      <c r="J2154" s="61" t="str">
        <f aca="false">IF(IsPro,IF($D2154="","",IF($F2154="",IFERROR(INDEX(Items!$G$5:$G$504,Q2154),0),$F2154)),"")</f>
        <v/>
      </c>
      <c r="K2154" s="61" t="str">
        <f aca="false">IF(IsPro,IF($D2154="","",ROUND(N($E2154)*J2154*(1-N($G2154)),2)),"")</f>
        <v/>
      </c>
      <c r="L2154" s="62" t="str">
        <f aca="false">IF(IsPro,IF($D2154="","",IFERROR(INDEX(Items!$F$5:$F$504,Q2154),0)),"")</f>
        <v/>
      </c>
      <c r="M2154" s="61" t="str">
        <f aca="false">IF(IsPro,IF($D2154="","",IF(AND(R2154&lt;&gt;"",INDEX(Parties!$E$5:$E$304,R2154)&lt;&gt;"",INDEX(Parties!$E$5:$E$304,R2154)&lt;&gt;HomeState),0,ROUND(K2154*L2154/2,2))),"")</f>
        <v/>
      </c>
      <c r="N2154" s="61" t="str">
        <f aca="false">IF(IsPro,IF($D2154="","",M2154),"")</f>
        <v/>
      </c>
      <c r="O2154" s="61" t="str">
        <f aca="false">IF(IsPro,IF($D2154="","",IF(AND(R2154&lt;&gt;"",INDEX(Parties!$E$5:$E$304,R2154)&lt;&gt;"",INDEX(Parties!$E$5:$E$304,R2154)&lt;&gt;HomeState),ROUND(K2154*L2154,2),0)),"")</f>
        <v/>
      </c>
      <c r="P2154" s="61" t="str">
        <f aca="false">IF(IsPro,IF($D2154="","",K2154+M2154+N2154+O2154),"")</f>
        <v/>
      </c>
      <c r="Q2154" s="60" t="str">
        <f aca="false">IF(IsPro,IF($D2154="","",IFERROR(MATCH($D2154,Items!$A$5:$A$504,0),"")),"")</f>
        <v/>
      </c>
      <c r="R2154" s="60" t="str">
        <f aca="false">IF(IsPro,IF($C2154="","",IFERROR(MATCH($C2154,Parties!$A$5:$A$304,0),"")),"")</f>
        <v/>
      </c>
      <c r="S2154" s="61" t="str">
        <f aca="false">IF(IsPro,IF($D2154="","",IF(OR($H2154="",$H2154="Credit"),0,P2154)),"")</f>
        <v/>
      </c>
    </row>
    <row r="2155" customFormat="false" ht="15" hidden="false" customHeight="false" outlineLevel="0" collapsed="false">
      <c r="A2155" s="55"/>
      <c r="B2155" s="56"/>
      <c r="C2155" s="56"/>
      <c r="D2155" s="56"/>
      <c r="E2155" s="57"/>
      <c r="F2155" s="58"/>
      <c r="G2155" s="59"/>
      <c r="H2155" s="56"/>
      <c r="I2155" s="60" t="str">
        <f aca="false">IF(IsPro,IF($D2155="","",IFERROR(INDEX(Items!$D$5:$D$504,Q2155),"")),IF($D2155="","","PRO PLAN"))</f>
        <v/>
      </c>
      <c r="J2155" s="61" t="str">
        <f aca="false">IF(IsPro,IF($D2155="","",IF($F2155="",IFERROR(INDEX(Items!$G$5:$G$504,Q2155),0),$F2155)),"")</f>
        <v/>
      </c>
      <c r="K2155" s="61" t="str">
        <f aca="false">IF(IsPro,IF($D2155="","",ROUND(N($E2155)*J2155*(1-N($G2155)),2)),"")</f>
        <v/>
      </c>
      <c r="L2155" s="62" t="str">
        <f aca="false">IF(IsPro,IF($D2155="","",IFERROR(INDEX(Items!$F$5:$F$504,Q2155),0)),"")</f>
        <v/>
      </c>
      <c r="M2155" s="61" t="str">
        <f aca="false">IF(IsPro,IF($D2155="","",IF(AND(R2155&lt;&gt;"",INDEX(Parties!$E$5:$E$304,R2155)&lt;&gt;"",INDEX(Parties!$E$5:$E$304,R2155)&lt;&gt;HomeState),0,ROUND(K2155*L2155/2,2))),"")</f>
        <v/>
      </c>
      <c r="N2155" s="61" t="str">
        <f aca="false">IF(IsPro,IF($D2155="","",M2155),"")</f>
        <v/>
      </c>
      <c r="O2155" s="61" t="str">
        <f aca="false">IF(IsPro,IF($D2155="","",IF(AND(R2155&lt;&gt;"",INDEX(Parties!$E$5:$E$304,R2155)&lt;&gt;"",INDEX(Parties!$E$5:$E$304,R2155)&lt;&gt;HomeState),ROUND(K2155*L2155,2),0)),"")</f>
        <v/>
      </c>
      <c r="P2155" s="61" t="str">
        <f aca="false">IF(IsPro,IF($D2155="","",K2155+M2155+N2155+O2155),"")</f>
        <v/>
      </c>
      <c r="Q2155" s="60" t="str">
        <f aca="false">IF(IsPro,IF($D2155="","",IFERROR(MATCH($D2155,Items!$A$5:$A$504,0),"")),"")</f>
        <v/>
      </c>
      <c r="R2155" s="60" t="str">
        <f aca="false">IF(IsPro,IF($C2155="","",IFERROR(MATCH($C2155,Parties!$A$5:$A$304,0),"")),"")</f>
        <v/>
      </c>
      <c r="S2155" s="61" t="str">
        <f aca="false">IF(IsPro,IF($D2155="","",IF(OR($H2155="",$H2155="Credit"),0,P2155)),"")</f>
        <v/>
      </c>
    </row>
    <row r="2156" customFormat="false" ht="15" hidden="false" customHeight="false" outlineLevel="0" collapsed="false">
      <c r="A2156" s="55"/>
      <c r="B2156" s="56"/>
      <c r="C2156" s="56"/>
      <c r="D2156" s="56"/>
      <c r="E2156" s="57"/>
      <c r="F2156" s="58"/>
      <c r="G2156" s="59"/>
      <c r="H2156" s="56"/>
      <c r="I2156" s="60" t="str">
        <f aca="false">IF(IsPro,IF($D2156="","",IFERROR(INDEX(Items!$D$5:$D$504,Q2156),"")),IF($D2156="","","PRO PLAN"))</f>
        <v/>
      </c>
      <c r="J2156" s="61" t="str">
        <f aca="false">IF(IsPro,IF($D2156="","",IF($F2156="",IFERROR(INDEX(Items!$G$5:$G$504,Q2156),0),$F2156)),"")</f>
        <v/>
      </c>
      <c r="K2156" s="61" t="str">
        <f aca="false">IF(IsPro,IF($D2156="","",ROUND(N($E2156)*J2156*(1-N($G2156)),2)),"")</f>
        <v/>
      </c>
      <c r="L2156" s="62" t="str">
        <f aca="false">IF(IsPro,IF($D2156="","",IFERROR(INDEX(Items!$F$5:$F$504,Q2156),0)),"")</f>
        <v/>
      </c>
      <c r="M2156" s="61" t="str">
        <f aca="false">IF(IsPro,IF($D2156="","",IF(AND(R2156&lt;&gt;"",INDEX(Parties!$E$5:$E$304,R2156)&lt;&gt;"",INDEX(Parties!$E$5:$E$304,R2156)&lt;&gt;HomeState),0,ROUND(K2156*L2156/2,2))),"")</f>
        <v/>
      </c>
      <c r="N2156" s="61" t="str">
        <f aca="false">IF(IsPro,IF($D2156="","",M2156),"")</f>
        <v/>
      </c>
      <c r="O2156" s="61" t="str">
        <f aca="false">IF(IsPro,IF($D2156="","",IF(AND(R2156&lt;&gt;"",INDEX(Parties!$E$5:$E$304,R2156)&lt;&gt;"",INDEX(Parties!$E$5:$E$304,R2156)&lt;&gt;HomeState),ROUND(K2156*L2156,2),0)),"")</f>
        <v/>
      </c>
      <c r="P2156" s="61" t="str">
        <f aca="false">IF(IsPro,IF($D2156="","",K2156+M2156+N2156+O2156),"")</f>
        <v/>
      </c>
      <c r="Q2156" s="60" t="str">
        <f aca="false">IF(IsPro,IF($D2156="","",IFERROR(MATCH($D2156,Items!$A$5:$A$504,0),"")),"")</f>
        <v/>
      </c>
      <c r="R2156" s="60" t="str">
        <f aca="false">IF(IsPro,IF($C2156="","",IFERROR(MATCH($C2156,Parties!$A$5:$A$304,0),"")),"")</f>
        <v/>
      </c>
      <c r="S2156" s="61" t="str">
        <f aca="false">IF(IsPro,IF($D2156="","",IF(OR($H2156="",$H2156="Credit"),0,P2156)),"")</f>
        <v/>
      </c>
    </row>
    <row r="2157" customFormat="false" ht="15" hidden="false" customHeight="false" outlineLevel="0" collapsed="false">
      <c r="A2157" s="55"/>
      <c r="B2157" s="56"/>
      <c r="C2157" s="56"/>
      <c r="D2157" s="56"/>
      <c r="E2157" s="57"/>
      <c r="F2157" s="58"/>
      <c r="G2157" s="59"/>
      <c r="H2157" s="56"/>
      <c r="I2157" s="60" t="str">
        <f aca="false">IF(IsPro,IF($D2157="","",IFERROR(INDEX(Items!$D$5:$D$504,Q2157),"")),IF($D2157="","","PRO PLAN"))</f>
        <v/>
      </c>
      <c r="J2157" s="61" t="str">
        <f aca="false">IF(IsPro,IF($D2157="","",IF($F2157="",IFERROR(INDEX(Items!$G$5:$G$504,Q2157),0),$F2157)),"")</f>
        <v/>
      </c>
      <c r="K2157" s="61" t="str">
        <f aca="false">IF(IsPro,IF($D2157="","",ROUND(N($E2157)*J2157*(1-N($G2157)),2)),"")</f>
        <v/>
      </c>
      <c r="L2157" s="62" t="str">
        <f aca="false">IF(IsPro,IF($D2157="","",IFERROR(INDEX(Items!$F$5:$F$504,Q2157),0)),"")</f>
        <v/>
      </c>
      <c r="M2157" s="61" t="str">
        <f aca="false">IF(IsPro,IF($D2157="","",IF(AND(R2157&lt;&gt;"",INDEX(Parties!$E$5:$E$304,R2157)&lt;&gt;"",INDEX(Parties!$E$5:$E$304,R2157)&lt;&gt;HomeState),0,ROUND(K2157*L2157/2,2))),"")</f>
        <v/>
      </c>
      <c r="N2157" s="61" t="str">
        <f aca="false">IF(IsPro,IF($D2157="","",M2157),"")</f>
        <v/>
      </c>
      <c r="O2157" s="61" t="str">
        <f aca="false">IF(IsPro,IF($D2157="","",IF(AND(R2157&lt;&gt;"",INDEX(Parties!$E$5:$E$304,R2157)&lt;&gt;"",INDEX(Parties!$E$5:$E$304,R2157)&lt;&gt;HomeState),ROUND(K2157*L2157,2),0)),"")</f>
        <v/>
      </c>
      <c r="P2157" s="61" t="str">
        <f aca="false">IF(IsPro,IF($D2157="","",K2157+M2157+N2157+O2157),"")</f>
        <v/>
      </c>
      <c r="Q2157" s="60" t="str">
        <f aca="false">IF(IsPro,IF($D2157="","",IFERROR(MATCH($D2157,Items!$A$5:$A$504,0),"")),"")</f>
        <v/>
      </c>
      <c r="R2157" s="60" t="str">
        <f aca="false">IF(IsPro,IF($C2157="","",IFERROR(MATCH($C2157,Parties!$A$5:$A$304,0),"")),"")</f>
        <v/>
      </c>
      <c r="S2157" s="61" t="str">
        <f aca="false">IF(IsPro,IF($D2157="","",IF(OR($H2157="",$H2157="Credit"),0,P2157)),"")</f>
        <v/>
      </c>
    </row>
    <row r="2158" customFormat="false" ht="15" hidden="false" customHeight="false" outlineLevel="0" collapsed="false">
      <c r="A2158" s="55"/>
      <c r="B2158" s="56"/>
      <c r="C2158" s="56"/>
      <c r="D2158" s="56"/>
      <c r="E2158" s="57"/>
      <c r="F2158" s="58"/>
      <c r="G2158" s="59"/>
      <c r="H2158" s="56"/>
      <c r="I2158" s="60" t="str">
        <f aca="false">IF(IsPro,IF($D2158="","",IFERROR(INDEX(Items!$D$5:$D$504,Q2158),"")),IF($D2158="","","PRO PLAN"))</f>
        <v/>
      </c>
      <c r="J2158" s="61" t="str">
        <f aca="false">IF(IsPro,IF($D2158="","",IF($F2158="",IFERROR(INDEX(Items!$G$5:$G$504,Q2158),0),$F2158)),"")</f>
        <v/>
      </c>
      <c r="K2158" s="61" t="str">
        <f aca="false">IF(IsPro,IF($D2158="","",ROUND(N($E2158)*J2158*(1-N($G2158)),2)),"")</f>
        <v/>
      </c>
      <c r="L2158" s="62" t="str">
        <f aca="false">IF(IsPro,IF($D2158="","",IFERROR(INDEX(Items!$F$5:$F$504,Q2158),0)),"")</f>
        <v/>
      </c>
      <c r="M2158" s="61" t="str">
        <f aca="false">IF(IsPro,IF($D2158="","",IF(AND(R2158&lt;&gt;"",INDEX(Parties!$E$5:$E$304,R2158)&lt;&gt;"",INDEX(Parties!$E$5:$E$304,R2158)&lt;&gt;HomeState),0,ROUND(K2158*L2158/2,2))),"")</f>
        <v/>
      </c>
      <c r="N2158" s="61" t="str">
        <f aca="false">IF(IsPro,IF($D2158="","",M2158),"")</f>
        <v/>
      </c>
      <c r="O2158" s="61" t="str">
        <f aca="false">IF(IsPro,IF($D2158="","",IF(AND(R2158&lt;&gt;"",INDEX(Parties!$E$5:$E$304,R2158)&lt;&gt;"",INDEX(Parties!$E$5:$E$304,R2158)&lt;&gt;HomeState),ROUND(K2158*L2158,2),0)),"")</f>
        <v/>
      </c>
      <c r="P2158" s="61" t="str">
        <f aca="false">IF(IsPro,IF($D2158="","",K2158+M2158+N2158+O2158),"")</f>
        <v/>
      </c>
      <c r="Q2158" s="60" t="str">
        <f aca="false">IF(IsPro,IF($D2158="","",IFERROR(MATCH($D2158,Items!$A$5:$A$504,0),"")),"")</f>
        <v/>
      </c>
      <c r="R2158" s="60" t="str">
        <f aca="false">IF(IsPro,IF($C2158="","",IFERROR(MATCH($C2158,Parties!$A$5:$A$304,0),"")),"")</f>
        <v/>
      </c>
      <c r="S2158" s="61" t="str">
        <f aca="false">IF(IsPro,IF($D2158="","",IF(OR($H2158="",$H2158="Credit"),0,P2158)),"")</f>
        <v/>
      </c>
    </row>
    <row r="2159" customFormat="false" ht="15" hidden="false" customHeight="false" outlineLevel="0" collapsed="false">
      <c r="A2159" s="55"/>
      <c r="B2159" s="56"/>
      <c r="C2159" s="56"/>
      <c r="D2159" s="56"/>
      <c r="E2159" s="57"/>
      <c r="F2159" s="58"/>
      <c r="G2159" s="59"/>
      <c r="H2159" s="56"/>
      <c r="I2159" s="60" t="str">
        <f aca="false">IF(IsPro,IF($D2159="","",IFERROR(INDEX(Items!$D$5:$D$504,Q2159),"")),IF($D2159="","","PRO PLAN"))</f>
        <v/>
      </c>
      <c r="J2159" s="61" t="str">
        <f aca="false">IF(IsPro,IF($D2159="","",IF($F2159="",IFERROR(INDEX(Items!$G$5:$G$504,Q2159),0),$F2159)),"")</f>
        <v/>
      </c>
      <c r="K2159" s="61" t="str">
        <f aca="false">IF(IsPro,IF($D2159="","",ROUND(N($E2159)*J2159*(1-N($G2159)),2)),"")</f>
        <v/>
      </c>
      <c r="L2159" s="62" t="str">
        <f aca="false">IF(IsPro,IF($D2159="","",IFERROR(INDEX(Items!$F$5:$F$504,Q2159),0)),"")</f>
        <v/>
      </c>
      <c r="M2159" s="61" t="str">
        <f aca="false">IF(IsPro,IF($D2159="","",IF(AND(R2159&lt;&gt;"",INDEX(Parties!$E$5:$E$304,R2159)&lt;&gt;"",INDEX(Parties!$E$5:$E$304,R2159)&lt;&gt;HomeState),0,ROUND(K2159*L2159/2,2))),"")</f>
        <v/>
      </c>
      <c r="N2159" s="61" t="str">
        <f aca="false">IF(IsPro,IF($D2159="","",M2159),"")</f>
        <v/>
      </c>
      <c r="O2159" s="61" t="str">
        <f aca="false">IF(IsPro,IF($D2159="","",IF(AND(R2159&lt;&gt;"",INDEX(Parties!$E$5:$E$304,R2159)&lt;&gt;"",INDEX(Parties!$E$5:$E$304,R2159)&lt;&gt;HomeState),ROUND(K2159*L2159,2),0)),"")</f>
        <v/>
      </c>
      <c r="P2159" s="61" t="str">
        <f aca="false">IF(IsPro,IF($D2159="","",K2159+M2159+N2159+O2159),"")</f>
        <v/>
      </c>
      <c r="Q2159" s="60" t="str">
        <f aca="false">IF(IsPro,IF($D2159="","",IFERROR(MATCH($D2159,Items!$A$5:$A$504,0),"")),"")</f>
        <v/>
      </c>
      <c r="R2159" s="60" t="str">
        <f aca="false">IF(IsPro,IF($C2159="","",IFERROR(MATCH($C2159,Parties!$A$5:$A$304,0),"")),"")</f>
        <v/>
      </c>
      <c r="S2159" s="61" t="str">
        <f aca="false">IF(IsPro,IF($D2159="","",IF(OR($H2159="",$H2159="Credit"),0,P2159)),"")</f>
        <v/>
      </c>
    </row>
    <row r="2160" customFormat="false" ht="15" hidden="false" customHeight="false" outlineLevel="0" collapsed="false">
      <c r="A2160" s="55"/>
      <c r="B2160" s="56"/>
      <c r="C2160" s="56"/>
      <c r="D2160" s="56"/>
      <c r="E2160" s="57"/>
      <c r="F2160" s="58"/>
      <c r="G2160" s="59"/>
      <c r="H2160" s="56"/>
      <c r="I2160" s="60" t="str">
        <f aca="false">IF(IsPro,IF($D2160="","",IFERROR(INDEX(Items!$D$5:$D$504,Q2160),"")),IF($D2160="","","PRO PLAN"))</f>
        <v/>
      </c>
      <c r="J2160" s="61" t="str">
        <f aca="false">IF(IsPro,IF($D2160="","",IF($F2160="",IFERROR(INDEX(Items!$G$5:$G$504,Q2160),0),$F2160)),"")</f>
        <v/>
      </c>
      <c r="K2160" s="61" t="str">
        <f aca="false">IF(IsPro,IF($D2160="","",ROUND(N($E2160)*J2160*(1-N($G2160)),2)),"")</f>
        <v/>
      </c>
      <c r="L2160" s="62" t="str">
        <f aca="false">IF(IsPro,IF($D2160="","",IFERROR(INDEX(Items!$F$5:$F$504,Q2160),0)),"")</f>
        <v/>
      </c>
      <c r="M2160" s="61" t="str">
        <f aca="false">IF(IsPro,IF($D2160="","",IF(AND(R2160&lt;&gt;"",INDEX(Parties!$E$5:$E$304,R2160)&lt;&gt;"",INDEX(Parties!$E$5:$E$304,R2160)&lt;&gt;HomeState),0,ROUND(K2160*L2160/2,2))),"")</f>
        <v/>
      </c>
      <c r="N2160" s="61" t="str">
        <f aca="false">IF(IsPro,IF($D2160="","",M2160),"")</f>
        <v/>
      </c>
      <c r="O2160" s="61" t="str">
        <f aca="false">IF(IsPro,IF($D2160="","",IF(AND(R2160&lt;&gt;"",INDEX(Parties!$E$5:$E$304,R2160)&lt;&gt;"",INDEX(Parties!$E$5:$E$304,R2160)&lt;&gt;HomeState),ROUND(K2160*L2160,2),0)),"")</f>
        <v/>
      </c>
      <c r="P2160" s="61" t="str">
        <f aca="false">IF(IsPro,IF($D2160="","",K2160+M2160+N2160+O2160),"")</f>
        <v/>
      </c>
      <c r="Q2160" s="60" t="str">
        <f aca="false">IF(IsPro,IF($D2160="","",IFERROR(MATCH($D2160,Items!$A$5:$A$504,0),"")),"")</f>
        <v/>
      </c>
      <c r="R2160" s="60" t="str">
        <f aca="false">IF(IsPro,IF($C2160="","",IFERROR(MATCH($C2160,Parties!$A$5:$A$304,0),"")),"")</f>
        <v/>
      </c>
      <c r="S2160" s="61" t="str">
        <f aca="false">IF(IsPro,IF($D2160="","",IF(OR($H2160="",$H2160="Credit"),0,P2160)),"")</f>
        <v/>
      </c>
    </row>
    <row r="2161" customFormat="false" ht="15" hidden="false" customHeight="false" outlineLevel="0" collapsed="false">
      <c r="A2161" s="55"/>
      <c r="B2161" s="56"/>
      <c r="C2161" s="56"/>
      <c r="D2161" s="56"/>
      <c r="E2161" s="57"/>
      <c r="F2161" s="58"/>
      <c r="G2161" s="59"/>
      <c r="H2161" s="56"/>
      <c r="I2161" s="60" t="str">
        <f aca="false">IF(IsPro,IF($D2161="","",IFERROR(INDEX(Items!$D$5:$D$504,Q2161),"")),IF($D2161="","","PRO PLAN"))</f>
        <v/>
      </c>
      <c r="J2161" s="61" t="str">
        <f aca="false">IF(IsPro,IF($D2161="","",IF($F2161="",IFERROR(INDEX(Items!$G$5:$G$504,Q2161),0),$F2161)),"")</f>
        <v/>
      </c>
      <c r="K2161" s="61" t="str">
        <f aca="false">IF(IsPro,IF($D2161="","",ROUND(N($E2161)*J2161*(1-N($G2161)),2)),"")</f>
        <v/>
      </c>
      <c r="L2161" s="62" t="str">
        <f aca="false">IF(IsPro,IF($D2161="","",IFERROR(INDEX(Items!$F$5:$F$504,Q2161),0)),"")</f>
        <v/>
      </c>
      <c r="M2161" s="61" t="str">
        <f aca="false">IF(IsPro,IF($D2161="","",IF(AND(R2161&lt;&gt;"",INDEX(Parties!$E$5:$E$304,R2161)&lt;&gt;"",INDEX(Parties!$E$5:$E$304,R2161)&lt;&gt;HomeState),0,ROUND(K2161*L2161/2,2))),"")</f>
        <v/>
      </c>
      <c r="N2161" s="61" t="str">
        <f aca="false">IF(IsPro,IF($D2161="","",M2161),"")</f>
        <v/>
      </c>
      <c r="O2161" s="61" t="str">
        <f aca="false">IF(IsPro,IF($D2161="","",IF(AND(R2161&lt;&gt;"",INDEX(Parties!$E$5:$E$304,R2161)&lt;&gt;"",INDEX(Parties!$E$5:$E$304,R2161)&lt;&gt;HomeState),ROUND(K2161*L2161,2),0)),"")</f>
        <v/>
      </c>
      <c r="P2161" s="61" t="str">
        <f aca="false">IF(IsPro,IF($D2161="","",K2161+M2161+N2161+O2161),"")</f>
        <v/>
      </c>
      <c r="Q2161" s="60" t="str">
        <f aca="false">IF(IsPro,IF($D2161="","",IFERROR(MATCH($D2161,Items!$A$5:$A$504,0),"")),"")</f>
        <v/>
      </c>
      <c r="R2161" s="60" t="str">
        <f aca="false">IF(IsPro,IF($C2161="","",IFERROR(MATCH($C2161,Parties!$A$5:$A$304,0),"")),"")</f>
        <v/>
      </c>
      <c r="S2161" s="61" t="str">
        <f aca="false">IF(IsPro,IF($D2161="","",IF(OR($H2161="",$H2161="Credit"),0,P2161)),"")</f>
        <v/>
      </c>
    </row>
    <row r="2162" customFormat="false" ht="15" hidden="false" customHeight="false" outlineLevel="0" collapsed="false">
      <c r="A2162" s="55"/>
      <c r="B2162" s="56"/>
      <c r="C2162" s="56"/>
      <c r="D2162" s="56"/>
      <c r="E2162" s="57"/>
      <c r="F2162" s="58"/>
      <c r="G2162" s="59"/>
      <c r="H2162" s="56"/>
      <c r="I2162" s="60" t="str">
        <f aca="false">IF(IsPro,IF($D2162="","",IFERROR(INDEX(Items!$D$5:$D$504,Q2162),"")),IF($D2162="","","PRO PLAN"))</f>
        <v/>
      </c>
      <c r="J2162" s="61" t="str">
        <f aca="false">IF(IsPro,IF($D2162="","",IF($F2162="",IFERROR(INDEX(Items!$G$5:$G$504,Q2162),0),$F2162)),"")</f>
        <v/>
      </c>
      <c r="K2162" s="61" t="str">
        <f aca="false">IF(IsPro,IF($D2162="","",ROUND(N($E2162)*J2162*(1-N($G2162)),2)),"")</f>
        <v/>
      </c>
      <c r="L2162" s="62" t="str">
        <f aca="false">IF(IsPro,IF($D2162="","",IFERROR(INDEX(Items!$F$5:$F$504,Q2162),0)),"")</f>
        <v/>
      </c>
      <c r="M2162" s="61" t="str">
        <f aca="false">IF(IsPro,IF($D2162="","",IF(AND(R2162&lt;&gt;"",INDEX(Parties!$E$5:$E$304,R2162)&lt;&gt;"",INDEX(Parties!$E$5:$E$304,R2162)&lt;&gt;HomeState),0,ROUND(K2162*L2162/2,2))),"")</f>
        <v/>
      </c>
      <c r="N2162" s="61" t="str">
        <f aca="false">IF(IsPro,IF($D2162="","",M2162),"")</f>
        <v/>
      </c>
      <c r="O2162" s="61" t="str">
        <f aca="false">IF(IsPro,IF($D2162="","",IF(AND(R2162&lt;&gt;"",INDEX(Parties!$E$5:$E$304,R2162)&lt;&gt;"",INDEX(Parties!$E$5:$E$304,R2162)&lt;&gt;HomeState),ROUND(K2162*L2162,2),0)),"")</f>
        <v/>
      </c>
      <c r="P2162" s="61" t="str">
        <f aca="false">IF(IsPro,IF($D2162="","",K2162+M2162+N2162+O2162),"")</f>
        <v/>
      </c>
      <c r="Q2162" s="60" t="str">
        <f aca="false">IF(IsPro,IF($D2162="","",IFERROR(MATCH($D2162,Items!$A$5:$A$504,0),"")),"")</f>
        <v/>
      </c>
      <c r="R2162" s="60" t="str">
        <f aca="false">IF(IsPro,IF($C2162="","",IFERROR(MATCH($C2162,Parties!$A$5:$A$304,0),"")),"")</f>
        <v/>
      </c>
      <c r="S2162" s="61" t="str">
        <f aca="false">IF(IsPro,IF($D2162="","",IF(OR($H2162="",$H2162="Credit"),0,P2162)),"")</f>
        <v/>
      </c>
    </row>
    <row r="2163" customFormat="false" ht="15" hidden="false" customHeight="false" outlineLevel="0" collapsed="false">
      <c r="A2163" s="55"/>
      <c r="B2163" s="56"/>
      <c r="C2163" s="56"/>
      <c r="D2163" s="56"/>
      <c r="E2163" s="57"/>
      <c r="F2163" s="58"/>
      <c r="G2163" s="59"/>
      <c r="H2163" s="56"/>
      <c r="I2163" s="60" t="str">
        <f aca="false">IF(IsPro,IF($D2163="","",IFERROR(INDEX(Items!$D$5:$D$504,Q2163),"")),IF($D2163="","","PRO PLAN"))</f>
        <v/>
      </c>
      <c r="J2163" s="61" t="str">
        <f aca="false">IF(IsPro,IF($D2163="","",IF($F2163="",IFERROR(INDEX(Items!$G$5:$G$504,Q2163),0),$F2163)),"")</f>
        <v/>
      </c>
      <c r="K2163" s="61" t="str">
        <f aca="false">IF(IsPro,IF($D2163="","",ROUND(N($E2163)*J2163*(1-N($G2163)),2)),"")</f>
        <v/>
      </c>
      <c r="L2163" s="62" t="str">
        <f aca="false">IF(IsPro,IF($D2163="","",IFERROR(INDEX(Items!$F$5:$F$504,Q2163),0)),"")</f>
        <v/>
      </c>
      <c r="M2163" s="61" t="str">
        <f aca="false">IF(IsPro,IF($D2163="","",IF(AND(R2163&lt;&gt;"",INDEX(Parties!$E$5:$E$304,R2163)&lt;&gt;"",INDEX(Parties!$E$5:$E$304,R2163)&lt;&gt;HomeState),0,ROUND(K2163*L2163/2,2))),"")</f>
        <v/>
      </c>
      <c r="N2163" s="61" t="str">
        <f aca="false">IF(IsPro,IF($D2163="","",M2163),"")</f>
        <v/>
      </c>
      <c r="O2163" s="61" t="str">
        <f aca="false">IF(IsPro,IF($D2163="","",IF(AND(R2163&lt;&gt;"",INDEX(Parties!$E$5:$E$304,R2163)&lt;&gt;"",INDEX(Parties!$E$5:$E$304,R2163)&lt;&gt;HomeState),ROUND(K2163*L2163,2),0)),"")</f>
        <v/>
      </c>
      <c r="P2163" s="61" t="str">
        <f aca="false">IF(IsPro,IF($D2163="","",K2163+M2163+N2163+O2163),"")</f>
        <v/>
      </c>
      <c r="Q2163" s="60" t="str">
        <f aca="false">IF(IsPro,IF($D2163="","",IFERROR(MATCH($D2163,Items!$A$5:$A$504,0),"")),"")</f>
        <v/>
      </c>
      <c r="R2163" s="60" t="str">
        <f aca="false">IF(IsPro,IF($C2163="","",IFERROR(MATCH($C2163,Parties!$A$5:$A$304,0),"")),"")</f>
        <v/>
      </c>
      <c r="S2163" s="61" t="str">
        <f aca="false">IF(IsPro,IF($D2163="","",IF(OR($H2163="",$H2163="Credit"),0,P2163)),"")</f>
        <v/>
      </c>
    </row>
    <row r="2164" customFormat="false" ht="15" hidden="false" customHeight="false" outlineLevel="0" collapsed="false">
      <c r="A2164" s="55"/>
      <c r="B2164" s="56"/>
      <c r="C2164" s="56"/>
      <c r="D2164" s="56"/>
      <c r="E2164" s="57"/>
      <c r="F2164" s="58"/>
      <c r="G2164" s="59"/>
      <c r="H2164" s="56"/>
      <c r="I2164" s="60" t="str">
        <f aca="false">IF(IsPro,IF($D2164="","",IFERROR(INDEX(Items!$D$5:$D$504,Q2164),"")),IF($D2164="","","PRO PLAN"))</f>
        <v/>
      </c>
      <c r="J2164" s="61" t="str">
        <f aca="false">IF(IsPro,IF($D2164="","",IF($F2164="",IFERROR(INDEX(Items!$G$5:$G$504,Q2164),0),$F2164)),"")</f>
        <v/>
      </c>
      <c r="K2164" s="61" t="str">
        <f aca="false">IF(IsPro,IF($D2164="","",ROUND(N($E2164)*J2164*(1-N($G2164)),2)),"")</f>
        <v/>
      </c>
      <c r="L2164" s="62" t="str">
        <f aca="false">IF(IsPro,IF($D2164="","",IFERROR(INDEX(Items!$F$5:$F$504,Q2164),0)),"")</f>
        <v/>
      </c>
      <c r="M2164" s="61" t="str">
        <f aca="false">IF(IsPro,IF($D2164="","",IF(AND(R2164&lt;&gt;"",INDEX(Parties!$E$5:$E$304,R2164)&lt;&gt;"",INDEX(Parties!$E$5:$E$304,R2164)&lt;&gt;HomeState),0,ROUND(K2164*L2164/2,2))),"")</f>
        <v/>
      </c>
      <c r="N2164" s="61" t="str">
        <f aca="false">IF(IsPro,IF($D2164="","",M2164),"")</f>
        <v/>
      </c>
      <c r="O2164" s="61" t="str">
        <f aca="false">IF(IsPro,IF($D2164="","",IF(AND(R2164&lt;&gt;"",INDEX(Parties!$E$5:$E$304,R2164)&lt;&gt;"",INDEX(Parties!$E$5:$E$304,R2164)&lt;&gt;HomeState),ROUND(K2164*L2164,2),0)),"")</f>
        <v/>
      </c>
      <c r="P2164" s="61" t="str">
        <f aca="false">IF(IsPro,IF($D2164="","",K2164+M2164+N2164+O2164),"")</f>
        <v/>
      </c>
      <c r="Q2164" s="60" t="str">
        <f aca="false">IF(IsPro,IF($D2164="","",IFERROR(MATCH($D2164,Items!$A$5:$A$504,0),"")),"")</f>
        <v/>
      </c>
      <c r="R2164" s="60" t="str">
        <f aca="false">IF(IsPro,IF($C2164="","",IFERROR(MATCH($C2164,Parties!$A$5:$A$304,0),"")),"")</f>
        <v/>
      </c>
      <c r="S2164" s="61" t="str">
        <f aca="false">IF(IsPro,IF($D2164="","",IF(OR($H2164="",$H2164="Credit"),0,P2164)),"")</f>
        <v/>
      </c>
    </row>
    <row r="2165" customFormat="false" ht="15" hidden="false" customHeight="false" outlineLevel="0" collapsed="false">
      <c r="A2165" s="55"/>
      <c r="B2165" s="56"/>
      <c r="C2165" s="56"/>
      <c r="D2165" s="56"/>
      <c r="E2165" s="57"/>
      <c r="F2165" s="58"/>
      <c r="G2165" s="59"/>
      <c r="H2165" s="56"/>
      <c r="I2165" s="60" t="str">
        <f aca="false">IF(IsPro,IF($D2165="","",IFERROR(INDEX(Items!$D$5:$D$504,Q2165),"")),IF($D2165="","","PRO PLAN"))</f>
        <v/>
      </c>
      <c r="J2165" s="61" t="str">
        <f aca="false">IF(IsPro,IF($D2165="","",IF($F2165="",IFERROR(INDEX(Items!$G$5:$G$504,Q2165),0),$F2165)),"")</f>
        <v/>
      </c>
      <c r="K2165" s="61" t="str">
        <f aca="false">IF(IsPro,IF($D2165="","",ROUND(N($E2165)*J2165*(1-N($G2165)),2)),"")</f>
        <v/>
      </c>
      <c r="L2165" s="62" t="str">
        <f aca="false">IF(IsPro,IF($D2165="","",IFERROR(INDEX(Items!$F$5:$F$504,Q2165),0)),"")</f>
        <v/>
      </c>
      <c r="M2165" s="61" t="str">
        <f aca="false">IF(IsPro,IF($D2165="","",IF(AND(R2165&lt;&gt;"",INDEX(Parties!$E$5:$E$304,R2165)&lt;&gt;"",INDEX(Parties!$E$5:$E$304,R2165)&lt;&gt;HomeState),0,ROUND(K2165*L2165/2,2))),"")</f>
        <v/>
      </c>
      <c r="N2165" s="61" t="str">
        <f aca="false">IF(IsPro,IF($D2165="","",M2165),"")</f>
        <v/>
      </c>
      <c r="O2165" s="61" t="str">
        <f aca="false">IF(IsPro,IF($D2165="","",IF(AND(R2165&lt;&gt;"",INDEX(Parties!$E$5:$E$304,R2165)&lt;&gt;"",INDEX(Parties!$E$5:$E$304,R2165)&lt;&gt;HomeState),ROUND(K2165*L2165,2),0)),"")</f>
        <v/>
      </c>
      <c r="P2165" s="61" t="str">
        <f aca="false">IF(IsPro,IF($D2165="","",K2165+M2165+N2165+O2165),"")</f>
        <v/>
      </c>
      <c r="Q2165" s="60" t="str">
        <f aca="false">IF(IsPro,IF($D2165="","",IFERROR(MATCH($D2165,Items!$A$5:$A$504,0),"")),"")</f>
        <v/>
      </c>
      <c r="R2165" s="60" t="str">
        <f aca="false">IF(IsPro,IF($C2165="","",IFERROR(MATCH($C2165,Parties!$A$5:$A$304,0),"")),"")</f>
        <v/>
      </c>
      <c r="S2165" s="61" t="str">
        <f aca="false">IF(IsPro,IF($D2165="","",IF(OR($H2165="",$H2165="Credit"),0,P2165)),"")</f>
        <v/>
      </c>
    </row>
    <row r="2166" customFormat="false" ht="15" hidden="false" customHeight="false" outlineLevel="0" collapsed="false">
      <c r="A2166" s="55"/>
      <c r="B2166" s="56"/>
      <c r="C2166" s="56"/>
      <c r="D2166" s="56"/>
      <c r="E2166" s="57"/>
      <c r="F2166" s="58"/>
      <c r="G2166" s="59"/>
      <c r="H2166" s="56"/>
      <c r="I2166" s="60" t="str">
        <f aca="false">IF(IsPro,IF($D2166="","",IFERROR(INDEX(Items!$D$5:$D$504,Q2166),"")),IF($D2166="","","PRO PLAN"))</f>
        <v/>
      </c>
      <c r="J2166" s="61" t="str">
        <f aca="false">IF(IsPro,IF($D2166="","",IF($F2166="",IFERROR(INDEX(Items!$G$5:$G$504,Q2166),0),$F2166)),"")</f>
        <v/>
      </c>
      <c r="K2166" s="61" t="str">
        <f aca="false">IF(IsPro,IF($D2166="","",ROUND(N($E2166)*J2166*(1-N($G2166)),2)),"")</f>
        <v/>
      </c>
      <c r="L2166" s="62" t="str">
        <f aca="false">IF(IsPro,IF($D2166="","",IFERROR(INDEX(Items!$F$5:$F$504,Q2166),0)),"")</f>
        <v/>
      </c>
      <c r="M2166" s="61" t="str">
        <f aca="false">IF(IsPro,IF($D2166="","",IF(AND(R2166&lt;&gt;"",INDEX(Parties!$E$5:$E$304,R2166)&lt;&gt;"",INDEX(Parties!$E$5:$E$304,R2166)&lt;&gt;HomeState),0,ROUND(K2166*L2166/2,2))),"")</f>
        <v/>
      </c>
      <c r="N2166" s="61" t="str">
        <f aca="false">IF(IsPro,IF($D2166="","",M2166),"")</f>
        <v/>
      </c>
      <c r="O2166" s="61" t="str">
        <f aca="false">IF(IsPro,IF($D2166="","",IF(AND(R2166&lt;&gt;"",INDEX(Parties!$E$5:$E$304,R2166)&lt;&gt;"",INDEX(Parties!$E$5:$E$304,R2166)&lt;&gt;HomeState),ROUND(K2166*L2166,2),0)),"")</f>
        <v/>
      </c>
      <c r="P2166" s="61" t="str">
        <f aca="false">IF(IsPro,IF($D2166="","",K2166+M2166+N2166+O2166),"")</f>
        <v/>
      </c>
      <c r="Q2166" s="60" t="str">
        <f aca="false">IF(IsPro,IF($D2166="","",IFERROR(MATCH($D2166,Items!$A$5:$A$504,0),"")),"")</f>
        <v/>
      </c>
      <c r="R2166" s="60" t="str">
        <f aca="false">IF(IsPro,IF($C2166="","",IFERROR(MATCH($C2166,Parties!$A$5:$A$304,0),"")),"")</f>
        <v/>
      </c>
      <c r="S2166" s="61" t="str">
        <f aca="false">IF(IsPro,IF($D2166="","",IF(OR($H2166="",$H2166="Credit"),0,P2166)),"")</f>
        <v/>
      </c>
    </row>
    <row r="2167" customFormat="false" ht="15" hidden="false" customHeight="false" outlineLevel="0" collapsed="false">
      <c r="A2167" s="55"/>
      <c r="B2167" s="56"/>
      <c r="C2167" s="56"/>
      <c r="D2167" s="56"/>
      <c r="E2167" s="57"/>
      <c r="F2167" s="58"/>
      <c r="G2167" s="59"/>
      <c r="H2167" s="56"/>
      <c r="I2167" s="60" t="str">
        <f aca="false">IF(IsPro,IF($D2167="","",IFERROR(INDEX(Items!$D$5:$D$504,Q2167),"")),IF($D2167="","","PRO PLAN"))</f>
        <v/>
      </c>
      <c r="J2167" s="61" t="str">
        <f aca="false">IF(IsPro,IF($D2167="","",IF($F2167="",IFERROR(INDEX(Items!$G$5:$G$504,Q2167),0),$F2167)),"")</f>
        <v/>
      </c>
      <c r="K2167" s="61" t="str">
        <f aca="false">IF(IsPro,IF($D2167="","",ROUND(N($E2167)*J2167*(1-N($G2167)),2)),"")</f>
        <v/>
      </c>
      <c r="L2167" s="62" t="str">
        <f aca="false">IF(IsPro,IF($D2167="","",IFERROR(INDEX(Items!$F$5:$F$504,Q2167),0)),"")</f>
        <v/>
      </c>
      <c r="M2167" s="61" t="str">
        <f aca="false">IF(IsPro,IF($D2167="","",IF(AND(R2167&lt;&gt;"",INDEX(Parties!$E$5:$E$304,R2167)&lt;&gt;"",INDEX(Parties!$E$5:$E$304,R2167)&lt;&gt;HomeState),0,ROUND(K2167*L2167/2,2))),"")</f>
        <v/>
      </c>
      <c r="N2167" s="61" t="str">
        <f aca="false">IF(IsPro,IF($D2167="","",M2167),"")</f>
        <v/>
      </c>
      <c r="O2167" s="61" t="str">
        <f aca="false">IF(IsPro,IF($D2167="","",IF(AND(R2167&lt;&gt;"",INDEX(Parties!$E$5:$E$304,R2167)&lt;&gt;"",INDEX(Parties!$E$5:$E$304,R2167)&lt;&gt;HomeState),ROUND(K2167*L2167,2),0)),"")</f>
        <v/>
      </c>
      <c r="P2167" s="61" t="str">
        <f aca="false">IF(IsPro,IF($D2167="","",K2167+M2167+N2167+O2167),"")</f>
        <v/>
      </c>
      <c r="Q2167" s="60" t="str">
        <f aca="false">IF(IsPro,IF($D2167="","",IFERROR(MATCH($D2167,Items!$A$5:$A$504,0),"")),"")</f>
        <v/>
      </c>
      <c r="R2167" s="60" t="str">
        <f aca="false">IF(IsPro,IF($C2167="","",IFERROR(MATCH($C2167,Parties!$A$5:$A$304,0),"")),"")</f>
        <v/>
      </c>
      <c r="S2167" s="61" t="str">
        <f aca="false">IF(IsPro,IF($D2167="","",IF(OR($H2167="",$H2167="Credit"),0,P2167)),"")</f>
        <v/>
      </c>
    </row>
    <row r="2168" customFormat="false" ht="15" hidden="false" customHeight="false" outlineLevel="0" collapsed="false">
      <c r="A2168" s="55"/>
      <c r="B2168" s="56"/>
      <c r="C2168" s="56"/>
      <c r="D2168" s="56"/>
      <c r="E2168" s="57"/>
      <c r="F2168" s="58"/>
      <c r="G2168" s="59"/>
      <c r="H2168" s="56"/>
      <c r="I2168" s="60" t="str">
        <f aca="false">IF(IsPro,IF($D2168="","",IFERROR(INDEX(Items!$D$5:$D$504,Q2168),"")),IF($D2168="","","PRO PLAN"))</f>
        <v/>
      </c>
      <c r="J2168" s="61" t="str">
        <f aca="false">IF(IsPro,IF($D2168="","",IF($F2168="",IFERROR(INDEX(Items!$G$5:$G$504,Q2168),0),$F2168)),"")</f>
        <v/>
      </c>
      <c r="K2168" s="61" t="str">
        <f aca="false">IF(IsPro,IF($D2168="","",ROUND(N($E2168)*J2168*(1-N($G2168)),2)),"")</f>
        <v/>
      </c>
      <c r="L2168" s="62" t="str">
        <f aca="false">IF(IsPro,IF($D2168="","",IFERROR(INDEX(Items!$F$5:$F$504,Q2168),0)),"")</f>
        <v/>
      </c>
      <c r="M2168" s="61" t="str">
        <f aca="false">IF(IsPro,IF($D2168="","",IF(AND(R2168&lt;&gt;"",INDEX(Parties!$E$5:$E$304,R2168)&lt;&gt;"",INDEX(Parties!$E$5:$E$304,R2168)&lt;&gt;HomeState),0,ROUND(K2168*L2168/2,2))),"")</f>
        <v/>
      </c>
      <c r="N2168" s="61" t="str">
        <f aca="false">IF(IsPro,IF($D2168="","",M2168),"")</f>
        <v/>
      </c>
      <c r="O2168" s="61" t="str">
        <f aca="false">IF(IsPro,IF($D2168="","",IF(AND(R2168&lt;&gt;"",INDEX(Parties!$E$5:$E$304,R2168)&lt;&gt;"",INDEX(Parties!$E$5:$E$304,R2168)&lt;&gt;HomeState),ROUND(K2168*L2168,2),0)),"")</f>
        <v/>
      </c>
      <c r="P2168" s="61" t="str">
        <f aca="false">IF(IsPro,IF($D2168="","",K2168+M2168+N2168+O2168),"")</f>
        <v/>
      </c>
      <c r="Q2168" s="60" t="str">
        <f aca="false">IF(IsPro,IF($D2168="","",IFERROR(MATCH($D2168,Items!$A$5:$A$504,0),"")),"")</f>
        <v/>
      </c>
      <c r="R2168" s="60" t="str">
        <f aca="false">IF(IsPro,IF($C2168="","",IFERROR(MATCH($C2168,Parties!$A$5:$A$304,0),"")),"")</f>
        <v/>
      </c>
      <c r="S2168" s="61" t="str">
        <f aca="false">IF(IsPro,IF($D2168="","",IF(OR($H2168="",$H2168="Credit"),0,P2168)),"")</f>
        <v/>
      </c>
    </row>
    <row r="2169" customFormat="false" ht="15" hidden="false" customHeight="false" outlineLevel="0" collapsed="false">
      <c r="A2169" s="55"/>
      <c r="B2169" s="56"/>
      <c r="C2169" s="56"/>
      <c r="D2169" s="56"/>
      <c r="E2169" s="57"/>
      <c r="F2169" s="58"/>
      <c r="G2169" s="59"/>
      <c r="H2169" s="56"/>
      <c r="I2169" s="60" t="str">
        <f aca="false">IF(IsPro,IF($D2169="","",IFERROR(INDEX(Items!$D$5:$D$504,Q2169),"")),IF($D2169="","","PRO PLAN"))</f>
        <v/>
      </c>
      <c r="J2169" s="61" t="str">
        <f aca="false">IF(IsPro,IF($D2169="","",IF($F2169="",IFERROR(INDEX(Items!$G$5:$G$504,Q2169),0),$F2169)),"")</f>
        <v/>
      </c>
      <c r="K2169" s="61" t="str">
        <f aca="false">IF(IsPro,IF($D2169="","",ROUND(N($E2169)*J2169*(1-N($G2169)),2)),"")</f>
        <v/>
      </c>
      <c r="L2169" s="62" t="str">
        <f aca="false">IF(IsPro,IF($D2169="","",IFERROR(INDEX(Items!$F$5:$F$504,Q2169),0)),"")</f>
        <v/>
      </c>
      <c r="M2169" s="61" t="str">
        <f aca="false">IF(IsPro,IF($D2169="","",IF(AND(R2169&lt;&gt;"",INDEX(Parties!$E$5:$E$304,R2169)&lt;&gt;"",INDEX(Parties!$E$5:$E$304,R2169)&lt;&gt;HomeState),0,ROUND(K2169*L2169/2,2))),"")</f>
        <v/>
      </c>
      <c r="N2169" s="61" t="str">
        <f aca="false">IF(IsPro,IF($D2169="","",M2169),"")</f>
        <v/>
      </c>
      <c r="O2169" s="61" t="str">
        <f aca="false">IF(IsPro,IF($D2169="","",IF(AND(R2169&lt;&gt;"",INDEX(Parties!$E$5:$E$304,R2169)&lt;&gt;"",INDEX(Parties!$E$5:$E$304,R2169)&lt;&gt;HomeState),ROUND(K2169*L2169,2),0)),"")</f>
        <v/>
      </c>
      <c r="P2169" s="61" t="str">
        <f aca="false">IF(IsPro,IF($D2169="","",K2169+M2169+N2169+O2169),"")</f>
        <v/>
      </c>
      <c r="Q2169" s="60" t="str">
        <f aca="false">IF(IsPro,IF($D2169="","",IFERROR(MATCH($D2169,Items!$A$5:$A$504,0),"")),"")</f>
        <v/>
      </c>
      <c r="R2169" s="60" t="str">
        <f aca="false">IF(IsPro,IF($C2169="","",IFERROR(MATCH($C2169,Parties!$A$5:$A$304,0),"")),"")</f>
        <v/>
      </c>
      <c r="S2169" s="61" t="str">
        <f aca="false">IF(IsPro,IF($D2169="","",IF(OR($H2169="",$H2169="Credit"),0,P2169)),"")</f>
        <v/>
      </c>
    </row>
    <row r="2170" customFormat="false" ht="15" hidden="false" customHeight="false" outlineLevel="0" collapsed="false">
      <c r="A2170" s="55"/>
      <c r="B2170" s="56"/>
      <c r="C2170" s="56"/>
      <c r="D2170" s="56"/>
      <c r="E2170" s="57"/>
      <c r="F2170" s="58"/>
      <c r="G2170" s="59"/>
      <c r="H2170" s="56"/>
      <c r="I2170" s="60" t="str">
        <f aca="false">IF(IsPro,IF($D2170="","",IFERROR(INDEX(Items!$D$5:$D$504,Q2170),"")),IF($D2170="","","PRO PLAN"))</f>
        <v/>
      </c>
      <c r="J2170" s="61" t="str">
        <f aca="false">IF(IsPro,IF($D2170="","",IF($F2170="",IFERROR(INDEX(Items!$G$5:$G$504,Q2170),0),$F2170)),"")</f>
        <v/>
      </c>
      <c r="K2170" s="61" t="str">
        <f aca="false">IF(IsPro,IF($D2170="","",ROUND(N($E2170)*J2170*(1-N($G2170)),2)),"")</f>
        <v/>
      </c>
      <c r="L2170" s="62" t="str">
        <f aca="false">IF(IsPro,IF($D2170="","",IFERROR(INDEX(Items!$F$5:$F$504,Q2170),0)),"")</f>
        <v/>
      </c>
      <c r="M2170" s="61" t="str">
        <f aca="false">IF(IsPro,IF($D2170="","",IF(AND(R2170&lt;&gt;"",INDEX(Parties!$E$5:$E$304,R2170)&lt;&gt;"",INDEX(Parties!$E$5:$E$304,R2170)&lt;&gt;HomeState),0,ROUND(K2170*L2170/2,2))),"")</f>
        <v/>
      </c>
      <c r="N2170" s="61" t="str">
        <f aca="false">IF(IsPro,IF($D2170="","",M2170),"")</f>
        <v/>
      </c>
      <c r="O2170" s="61" t="str">
        <f aca="false">IF(IsPro,IF($D2170="","",IF(AND(R2170&lt;&gt;"",INDEX(Parties!$E$5:$E$304,R2170)&lt;&gt;"",INDEX(Parties!$E$5:$E$304,R2170)&lt;&gt;HomeState),ROUND(K2170*L2170,2),0)),"")</f>
        <v/>
      </c>
      <c r="P2170" s="61" t="str">
        <f aca="false">IF(IsPro,IF($D2170="","",K2170+M2170+N2170+O2170),"")</f>
        <v/>
      </c>
      <c r="Q2170" s="60" t="str">
        <f aca="false">IF(IsPro,IF($D2170="","",IFERROR(MATCH($D2170,Items!$A$5:$A$504,0),"")),"")</f>
        <v/>
      </c>
      <c r="R2170" s="60" t="str">
        <f aca="false">IF(IsPro,IF($C2170="","",IFERROR(MATCH($C2170,Parties!$A$5:$A$304,0),"")),"")</f>
        <v/>
      </c>
      <c r="S2170" s="61" t="str">
        <f aca="false">IF(IsPro,IF($D2170="","",IF(OR($H2170="",$H2170="Credit"),0,P2170)),"")</f>
        <v/>
      </c>
    </row>
    <row r="2171" customFormat="false" ht="15" hidden="false" customHeight="false" outlineLevel="0" collapsed="false">
      <c r="A2171" s="55"/>
      <c r="B2171" s="56"/>
      <c r="C2171" s="56"/>
      <c r="D2171" s="56"/>
      <c r="E2171" s="57"/>
      <c r="F2171" s="58"/>
      <c r="G2171" s="59"/>
      <c r="H2171" s="56"/>
      <c r="I2171" s="60" t="str">
        <f aca="false">IF(IsPro,IF($D2171="","",IFERROR(INDEX(Items!$D$5:$D$504,Q2171),"")),IF($D2171="","","PRO PLAN"))</f>
        <v/>
      </c>
      <c r="J2171" s="61" t="str">
        <f aca="false">IF(IsPro,IF($D2171="","",IF($F2171="",IFERROR(INDEX(Items!$G$5:$G$504,Q2171),0),$F2171)),"")</f>
        <v/>
      </c>
      <c r="K2171" s="61" t="str">
        <f aca="false">IF(IsPro,IF($D2171="","",ROUND(N($E2171)*J2171*(1-N($G2171)),2)),"")</f>
        <v/>
      </c>
      <c r="L2171" s="62" t="str">
        <f aca="false">IF(IsPro,IF($D2171="","",IFERROR(INDEX(Items!$F$5:$F$504,Q2171),0)),"")</f>
        <v/>
      </c>
      <c r="M2171" s="61" t="str">
        <f aca="false">IF(IsPro,IF($D2171="","",IF(AND(R2171&lt;&gt;"",INDEX(Parties!$E$5:$E$304,R2171)&lt;&gt;"",INDEX(Parties!$E$5:$E$304,R2171)&lt;&gt;HomeState),0,ROUND(K2171*L2171/2,2))),"")</f>
        <v/>
      </c>
      <c r="N2171" s="61" t="str">
        <f aca="false">IF(IsPro,IF($D2171="","",M2171),"")</f>
        <v/>
      </c>
      <c r="O2171" s="61" t="str">
        <f aca="false">IF(IsPro,IF($D2171="","",IF(AND(R2171&lt;&gt;"",INDEX(Parties!$E$5:$E$304,R2171)&lt;&gt;"",INDEX(Parties!$E$5:$E$304,R2171)&lt;&gt;HomeState),ROUND(K2171*L2171,2),0)),"")</f>
        <v/>
      </c>
      <c r="P2171" s="61" t="str">
        <f aca="false">IF(IsPro,IF($D2171="","",K2171+M2171+N2171+O2171),"")</f>
        <v/>
      </c>
      <c r="Q2171" s="60" t="str">
        <f aca="false">IF(IsPro,IF($D2171="","",IFERROR(MATCH($D2171,Items!$A$5:$A$504,0),"")),"")</f>
        <v/>
      </c>
      <c r="R2171" s="60" t="str">
        <f aca="false">IF(IsPro,IF($C2171="","",IFERROR(MATCH($C2171,Parties!$A$5:$A$304,0),"")),"")</f>
        <v/>
      </c>
      <c r="S2171" s="61" t="str">
        <f aca="false">IF(IsPro,IF($D2171="","",IF(OR($H2171="",$H2171="Credit"),0,P2171)),"")</f>
        <v/>
      </c>
    </row>
    <row r="2172" customFormat="false" ht="15" hidden="false" customHeight="false" outlineLevel="0" collapsed="false">
      <c r="A2172" s="55"/>
      <c r="B2172" s="56"/>
      <c r="C2172" s="56"/>
      <c r="D2172" s="56"/>
      <c r="E2172" s="57"/>
      <c r="F2172" s="58"/>
      <c r="G2172" s="59"/>
      <c r="H2172" s="56"/>
      <c r="I2172" s="60" t="str">
        <f aca="false">IF(IsPro,IF($D2172="","",IFERROR(INDEX(Items!$D$5:$D$504,Q2172),"")),IF($D2172="","","PRO PLAN"))</f>
        <v/>
      </c>
      <c r="J2172" s="61" t="str">
        <f aca="false">IF(IsPro,IF($D2172="","",IF($F2172="",IFERROR(INDEX(Items!$G$5:$G$504,Q2172),0),$F2172)),"")</f>
        <v/>
      </c>
      <c r="K2172" s="61" t="str">
        <f aca="false">IF(IsPro,IF($D2172="","",ROUND(N($E2172)*J2172*(1-N($G2172)),2)),"")</f>
        <v/>
      </c>
      <c r="L2172" s="62" t="str">
        <f aca="false">IF(IsPro,IF($D2172="","",IFERROR(INDEX(Items!$F$5:$F$504,Q2172),0)),"")</f>
        <v/>
      </c>
      <c r="M2172" s="61" t="str">
        <f aca="false">IF(IsPro,IF($D2172="","",IF(AND(R2172&lt;&gt;"",INDEX(Parties!$E$5:$E$304,R2172)&lt;&gt;"",INDEX(Parties!$E$5:$E$304,R2172)&lt;&gt;HomeState),0,ROUND(K2172*L2172/2,2))),"")</f>
        <v/>
      </c>
      <c r="N2172" s="61" t="str">
        <f aca="false">IF(IsPro,IF($D2172="","",M2172),"")</f>
        <v/>
      </c>
      <c r="O2172" s="61" t="str">
        <f aca="false">IF(IsPro,IF($D2172="","",IF(AND(R2172&lt;&gt;"",INDEX(Parties!$E$5:$E$304,R2172)&lt;&gt;"",INDEX(Parties!$E$5:$E$304,R2172)&lt;&gt;HomeState),ROUND(K2172*L2172,2),0)),"")</f>
        <v/>
      </c>
      <c r="P2172" s="61" t="str">
        <f aca="false">IF(IsPro,IF($D2172="","",K2172+M2172+N2172+O2172),"")</f>
        <v/>
      </c>
      <c r="Q2172" s="60" t="str">
        <f aca="false">IF(IsPro,IF($D2172="","",IFERROR(MATCH($D2172,Items!$A$5:$A$504,0),"")),"")</f>
        <v/>
      </c>
      <c r="R2172" s="60" t="str">
        <f aca="false">IF(IsPro,IF($C2172="","",IFERROR(MATCH($C2172,Parties!$A$5:$A$304,0),"")),"")</f>
        <v/>
      </c>
      <c r="S2172" s="61" t="str">
        <f aca="false">IF(IsPro,IF($D2172="","",IF(OR($H2172="",$H2172="Credit"),0,P2172)),"")</f>
        <v/>
      </c>
    </row>
    <row r="2173" customFormat="false" ht="15" hidden="false" customHeight="false" outlineLevel="0" collapsed="false">
      <c r="A2173" s="55"/>
      <c r="B2173" s="56"/>
      <c r="C2173" s="56"/>
      <c r="D2173" s="56"/>
      <c r="E2173" s="57"/>
      <c r="F2173" s="58"/>
      <c r="G2173" s="59"/>
      <c r="H2173" s="56"/>
      <c r="I2173" s="60" t="str">
        <f aca="false">IF(IsPro,IF($D2173="","",IFERROR(INDEX(Items!$D$5:$D$504,Q2173),"")),IF($D2173="","","PRO PLAN"))</f>
        <v/>
      </c>
      <c r="J2173" s="61" t="str">
        <f aca="false">IF(IsPro,IF($D2173="","",IF($F2173="",IFERROR(INDEX(Items!$G$5:$G$504,Q2173),0),$F2173)),"")</f>
        <v/>
      </c>
      <c r="K2173" s="61" t="str">
        <f aca="false">IF(IsPro,IF($D2173="","",ROUND(N($E2173)*J2173*(1-N($G2173)),2)),"")</f>
        <v/>
      </c>
      <c r="L2173" s="62" t="str">
        <f aca="false">IF(IsPro,IF($D2173="","",IFERROR(INDEX(Items!$F$5:$F$504,Q2173),0)),"")</f>
        <v/>
      </c>
      <c r="M2173" s="61" t="str">
        <f aca="false">IF(IsPro,IF($D2173="","",IF(AND(R2173&lt;&gt;"",INDEX(Parties!$E$5:$E$304,R2173)&lt;&gt;"",INDEX(Parties!$E$5:$E$304,R2173)&lt;&gt;HomeState),0,ROUND(K2173*L2173/2,2))),"")</f>
        <v/>
      </c>
      <c r="N2173" s="61" t="str">
        <f aca="false">IF(IsPro,IF($D2173="","",M2173),"")</f>
        <v/>
      </c>
      <c r="O2173" s="61" t="str">
        <f aca="false">IF(IsPro,IF($D2173="","",IF(AND(R2173&lt;&gt;"",INDEX(Parties!$E$5:$E$304,R2173)&lt;&gt;"",INDEX(Parties!$E$5:$E$304,R2173)&lt;&gt;HomeState),ROUND(K2173*L2173,2),0)),"")</f>
        <v/>
      </c>
      <c r="P2173" s="61" t="str">
        <f aca="false">IF(IsPro,IF($D2173="","",K2173+M2173+N2173+O2173),"")</f>
        <v/>
      </c>
      <c r="Q2173" s="60" t="str">
        <f aca="false">IF(IsPro,IF($D2173="","",IFERROR(MATCH($D2173,Items!$A$5:$A$504,0),"")),"")</f>
        <v/>
      </c>
      <c r="R2173" s="60" t="str">
        <f aca="false">IF(IsPro,IF($C2173="","",IFERROR(MATCH($C2173,Parties!$A$5:$A$304,0),"")),"")</f>
        <v/>
      </c>
      <c r="S2173" s="61" t="str">
        <f aca="false">IF(IsPro,IF($D2173="","",IF(OR($H2173="",$H2173="Credit"),0,P2173)),"")</f>
        <v/>
      </c>
    </row>
    <row r="2174" customFormat="false" ht="15" hidden="false" customHeight="false" outlineLevel="0" collapsed="false">
      <c r="A2174" s="55"/>
      <c r="B2174" s="56"/>
      <c r="C2174" s="56"/>
      <c r="D2174" s="56"/>
      <c r="E2174" s="57"/>
      <c r="F2174" s="58"/>
      <c r="G2174" s="59"/>
      <c r="H2174" s="56"/>
      <c r="I2174" s="60" t="str">
        <f aca="false">IF(IsPro,IF($D2174="","",IFERROR(INDEX(Items!$D$5:$D$504,Q2174),"")),IF($D2174="","","PRO PLAN"))</f>
        <v/>
      </c>
      <c r="J2174" s="61" t="str">
        <f aca="false">IF(IsPro,IF($D2174="","",IF($F2174="",IFERROR(INDEX(Items!$G$5:$G$504,Q2174),0),$F2174)),"")</f>
        <v/>
      </c>
      <c r="K2174" s="61" t="str">
        <f aca="false">IF(IsPro,IF($D2174="","",ROUND(N($E2174)*J2174*(1-N($G2174)),2)),"")</f>
        <v/>
      </c>
      <c r="L2174" s="62" t="str">
        <f aca="false">IF(IsPro,IF($D2174="","",IFERROR(INDEX(Items!$F$5:$F$504,Q2174),0)),"")</f>
        <v/>
      </c>
      <c r="M2174" s="61" t="str">
        <f aca="false">IF(IsPro,IF($D2174="","",IF(AND(R2174&lt;&gt;"",INDEX(Parties!$E$5:$E$304,R2174)&lt;&gt;"",INDEX(Parties!$E$5:$E$304,R2174)&lt;&gt;HomeState),0,ROUND(K2174*L2174/2,2))),"")</f>
        <v/>
      </c>
      <c r="N2174" s="61" t="str">
        <f aca="false">IF(IsPro,IF($D2174="","",M2174),"")</f>
        <v/>
      </c>
      <c r="O2174" s="61" t="str">
        <f aca="false">IF(IsPro,IF($D2174="","",IF(AND(R2174&lt;&gt;"",INDEX(Parties!$E$5:$E$304,R2174)&lt;&gt;"",INDEX(Parties!$E$5:$E$304,R2174)&lt;&gt;HomeState),ROUND(K2174*L2174,2),0)),"")</f>
        <v/>
      </c>
      <c r="P2174" s="61" t="str">
        <f aca="false">IF(IsPro,IF($D2174="","",K2174+M2174+N2174+O2174),"")</f>
        <v/>
      </c>
      <c r="Q2174" s="60" t="str">
        <f aca="false">IF(IsPro,IF($D2174="","",IFERROR(MATCH($D2174,Items!$A$5:$A$504,0),"")),"")</f>
        <v/>
      </c>
      <c r="R2174" s="60" t="str">
        <f aca="false">IF(IsPro,IF($C2174="","",IFERROR(MATCH($C2174,Parties!$A$5:$A$304,0),"")),"")</f>
        <v/>
      </c>
      <c r="S2174" s="61" t="str">
        <f aca="false">IF(IsPro,IF($D2174="","",IF(OR($H2174="",$H2174="Credit"),0,P2174)),"")</f>
        <v/>
      </c>
    </row>
    <row r="2175" customFormat="false" ht="15" hidden="false" customHeight="false" outlineLevel="0" collapsed="false">
      <c r="A2175" s="55"/>
      <c r="B2175" s="56"/>
      <c r="C2175" s="56"/>
      <c r="D2175" s="56"/>
      <c r="E2175" s="57"/>
      <c r="F2175" s="58"/>
      <c r="G2175" s="59"/>
      <c r="H2175" s="56"/>
      <c r="I2175" s="60" t="str">
        <f aca="false">IF(IsPro,IF($D2175="","",IFERROR(INDEX(Items!$D$5:$D$504,Q2175),"")),IF($D2175="","","PRO PLAN"))</f>
        <v/>
      </c>
      <c r="J2175" s="61" t="str">
        <f aca="false">IF(IsPro,IF($D2175="","",IF($F2175="",IFERROR(INDEX(Items!$G$5:$G$504,Q2175),0),$F2175)),"")</f>
        <v/>
      </c>
      <c r="K2175" s="61" t="str">
        <f aca="false">IF(IsPro,IF($D2175="","",ROUND(N($E2175)*J2175*(1-N($G2175)),2)),"")</f>
        <v/>
      </c>
      <c r="L2175" s="62" t="str">
        <f aca="false">IF(IsPro,IF($D2175="","",IFERROR(INDEX(Items!$F$5:$F$504,Q2175),0)),"")</f>
        <v/>
      </c>
      <c r="M2175" s="61" t="str">
        <f aca="false">IF(IsPro,IF($D2175="","",IF(AND(R2175&lt;&gt;"",INDEX(Parties!$E$5:$E$304,R2175)&lt;&gt;"",INDEX(Parties!$E$5:$E$304,R2175)&lt;&gt;HomeState),0,ROUND(K2175*L2175/2,2))),"")</f>
        <v/>
      </c>
      <c r="N2175" s="61" t="str">
        <f aca="false">IF(IsPro,IF($D2175="","",M2175),"")</f>
        <v/>
      </c>
      <c r="O2175" s="61" t="str">
        <f aca="false">IF(IsPro,IF($D2175="","",IF(AND(R2175&lt;&gt;"",INDEX(Parties!$E$5:$E$304,R2175)&lt;&gt;"",INDEX(Parties!$E$5:$E$304,R2175)&lt;&gt;HomeState),ROUND(K2175*L2175,2),0)),"")</f>
        <v/>
      </c>
      <c r="P2175" s="61" t="str">
        <f aca="false">IF(IsPro,IF($D2175="","",K2175+M2175+N2175+O2175),"")</f>
        <v/>
      </c>
      <c r="Q2175" s="60" t="str">
        <f aca="false">IF(IsPro,IF($D2175="","",IFERROR(MATCH($D2175,Items!$A$5:$A$504,0),"")),"")</f>
        <v/>
      </c>
      <c r="R2175" s="60" t="str">
        <f aca="false">IF(IsPro,IF($C2175="","",IFERROR(MATCH($C2175,Parties!$A$5:$A$304,0),"")),"")</f>
        <v/>
      </c>
      <c r="S2175" s="61" t="str">
        <f aca="false">IF(IsPro,IF($D2175="","",IF(OR($H2175="",$H2175="Credit"),0,P2175)),"")</f>
        <v/>
      </c>
    </row>
    <row r="2176" customFormat="false" ht="15" hidden="false" customHeight="false" outlineLevel="0" collapsed="false">
      <c r="A2176" s="55"/>
      <c r="B2176" s="56"/>
      <c r="C2176" s="56"/>
      <c r="D2176" s="56"/>
      <c r="E2176" s="57"/>
      <c r="F2176" s="58"/>
      <c r="G2176" s="59"/>
      <c r="H2176" s="56"/>
      <c r="I2176" s="60" t="str">
        <f aca="false">IF(IsPro,IF($D2176="","",IFERROR(INDEX(Items!$D$5:$D$504,Q2176),"")),IF($D2176="","","PRO PLAN"))</f>
        <v/>
      </c>
      <c r="J2176" s="61" t="str">
        <f aca="false">IF(IsPro,IF($D2176="","",IF($F2176="",IFERROR(INDEX(Items!$G$5:$G$504,Q2176),0),$F2176)),"")</f>
        <v/>
      </c>
      <c r="K2176" s="61" t="str">
        <f aca="false">IF(IsPro,IF($D2176="","",ROUND(N($E2176)*J2176*(1-N($G2176)),2)),"")</f>
        <v/>
      </c>
      <c r="L2176" s="62" t="str">
        <f aca="false">IF(IsPro,IF($D2176="","",IFERROR(INDEX(Items!$F$5:$F$504,Q2176),0)),"")</f>
        <v/>
      </c>
      <c r="M2176" s="61" t="str">
        <f aca="false">IF(IsPro,IF($D2176="","",IF(AND(R2176&lt;&gt;"",INDEX(Parties!$E$5:$E$304,R2176)&lt;&gt;"",INDEX(Parties!$E$5:$E$304,R2176)&lt;&gt;HomeState),0,ROUND(K2176*L2176/2,2))),"")</f>
        <v/>
      </c>
      <c r="N2176" s="61" t="str">
        <f aca="false">IF(IsPro,IF($D2176="","",M2176),"")</f>
        <v/>
      </c>
      <c r="O2176" s="61" t="str">
        <f aca="false">IF(IsPro,IF($D2176="","",IF(AND(R2176&lt;&gt;"",INDEX(Parties!$E$5:$E$304,R2176)&lt;&gt;"",INDEX(Parties!$E$5:$E$304,R2176)&lt;&gt;HomeState),ROUND(K2176*L2176,2),0)),"")</f>
        <v/>
      </c>
      <c r="P2176" s="61" t="str">
        <f aca="false">IF(IsPro,IF($D2176="","",K2176+M2176+N2176+O2176),"")</f>
        <v/>
      </c>
      <c r="Q2176" s="60" t="str">
        <f aca="false">IF(IsPro,IF($D2176="","",IFERROR(MATCH($D2176,Items!$A$5:$A$504,0),"")),"")</f>
        <v/>
      </c>
      <c r="R2176" s="60" t="str">
        <f aca="false">IF(IsPro,IF($C2176="","",IFERROR(MATCH($C2176,Parties!$A$5:$A$304,0),"")),"")</f>
        <v/>
      </c>
      <c r="S2176" s="61" t="str">
        <f aca="false">IF(IsPro,IF($D2176="","",IF(OR($H2176="",$H2176="Credit"),0,P2176)),"")</f>
        <v/>
      </c>
    </row>
    <row r="2177" customFormat="false" ht="15" hidden="false" customHeight="false" outlineLevel="0" collapsed="false">
      <c r="A2177" s="55"/>
      <c r="B2177" s="56"/>
      <c r="C2177" s="56"/>
      <c r="D2177" s="56"/>
      <c r="E2177" s="57"/>
      <c r="F2177" s="58"/>
      <c r="G2177" s="59"/>
      <c r="H2177" s="56"/>
      <c r="I2177" s="60" t="str">
        <f aca="false">IF(IsPro,IF($D2177="","",IFERROR(INDEX(Items!$D$5:$D$504,Q2177),"")),IF($D2177="","","PRO PLAN"))</f>
        <v/>
      </c>
      <c r="J2177" s="61" t="str">
        <f aca="false">IF(IsPro,IF($D2177="","",IF($F2177="",IFERROR(INDEX(Items!$G$5:$G$504,Q2177),0),$F2177)),"")</f>
        <v/>
      </c>
      <c r="K2177" s="61" t="str">
        <f aca="false">IF(IsPro,IF($D2177="","",ROUND(N($E2177)*J2177*(1-N($G2177)),2)),"")</f>
        <v/>
      </c>
      <c r="L2177" s="62" t="str">
        <f aca="false">IF(IsPro,IF($D2177="","",IFERROR(INDEX(Items!$F$5:$F$504,Q2177),0)),"")</f>
        <v/>
      </c>
      <c r="M2177" s="61" t="str">
        <f aca="false">IF(IsPro,IF($D2177="","",IF(AND(R2177&lt;&gt;"",INDEX(Parties!$E$5:$E$304,R2177)&lt;&gt;"",INDEX(Parties!$E$5:$E$304,R2177)&lt;&gt;HomeState),0,ROUND(K2177*L2177/2,2))),"")</f>
        <v/>
      </c>
      <c r="N2177" s="61" t="str">
        <f aca="false">IF(IsPro,IF($D2177="","",M2177),"")</f>
        <v/>
      </c>
      <c r="O2177" s="61" t="str">
        <f aca="false">IF(IsPro,IF($D2177="","",IF(AND(R2177&lt;&gt;"",INDEX(Parties!$E$5:$E$304,R2177)&lt;&gt;"",INDEX(Parties!$E$5:$E$304,R2177)&lt;&gt;HomeState),ROUND(K2177*L2177,2),0)),"")</f>
        <v/>
      </c>
      <c r="P2177" s="61" t="str">
        <f aca="false">IF(IsPro,IF($D2177="","",K2177+M2177+N2177+O2177),"")</f>
        <v/>
      </c>
      <c r="Q2177" s="60" t="str">
        <f aca="false">IF(IsPro,IF($D2177="","",IFERROR(MATCH($D2177,Items!$A$5:$A$504,0),"")),"")</f>
        <v/>
      </c>
      <c r="R2177" s="60" t="str">
        <f aca="false">IF(IsPro,IF($C2177="","",IFERROR(MATCH($C2177,Parties!$A$5:$A$304,0),"")),"")</f>
        <v/>
      </c>
      <c r="S2177" s="61" t="str">
        <f aca="false">IF(IsPro,IF($D2177="","",IF(OR($H2177="",$H2177="Credit"),0,P2177)),"")</f>
        <v/>
      </c>
    </row>
    <row r="2178" customFormat="false" ht="15" hidden="false" customHeight="false" outlineLevel="0" collapsed="false">
      <c r="A2178" s="55"/>
      <c r="B2178" s="56"/>
      <c r="C2178" s="56"/>
      <c r="D2178" s="56"/>
      <c r="E2178" s="57"/>
      <c r="F2178" s="58"/>
      <c r="G2178" s="59"/>
      <c r="H2178" s="56"/>
      <c r="I2178" s="60" t="str">
        <f aca="false">IF(IsPro,IF($D2178="","",IFERROR(INDEX(Items!$D$5:$D$504,Q2178),"")),IF($D2178="","","PRO PLAN"))</f>
        <v/>
      </c>
      <c r="J2178" s="61" t="str">
        <f aca="false">IF(IsPro,IF($D2178="","",IF($F2178="",IFERROR(INDEX(Items!$G$5:$G$504,Q2178),0),$F2178)),"")</f>
        <v/>
      </c>
      <c r="K2178" s="61" t="str">
        <f aca="false">IF(IsPro,IF($D2178="","",ROUND(N($E2178)*J2178*(1-N($G2178)),2)),"")</f>
        <v/>
      </c>
      <c r="L2178" s="62" t="str">
        <f aca="false">IF(IsPro,IF($D2178="","",IFERROR(INDEX(Items!$F$5:$F$504,Q2178),0)),"")</f>
        <v/>
      </c>
      <c r="M2178" s="61" t="str">
        <f aca="false">IF(IsPro,IF($D2178="","",IF(AND(R2178&lt;&gt;"",INDEX(Parties!$E$5:$E$304,R2178)&lt;&gt;"",INDEX(Parties!$E$5:$E$304,R2178)&lt;&gt;HomeState),0,ROUND(K2178*L2178/2,2))),"")</f>
        <v/>
      </c>
      <c r="N2178" s="61" t="str">
        <f aca="false">IF(IsPro,IF($D2178="","",M2178),"")</f>
        <v/>
      </c>
      <c r="O2178" s="61" t="str">
        <f aca="false">IF(IsPro,IF($D2178="","",IF(AND(R2178&lt;&gt;"",INDEX(Parties!$E$5:$E$304,R2178)&lt;&gt;"",INDEX(Parties!$E$5:$E$304,R2178)&lt;&gt;HomeState),ROUND(K2178*L2178,2),0)),"")</f>
        <v/>
      </c>
      <c r="P2178" s="61" t="str">
        <f aca="false">IF(IsPro,IF($D2178="","",K2178+M2178+N2178+O2178),"")</f>
        <v/>
      </c>
      <c r="Q2178" s="60" t="str">
        <f aca="false">IF(IsPro,IF($D2178="","",IFERROR(MATCH($D2178,Items!$A$5:$A$504,0),"")),"")</f>
        <v/>
      </c>
      <c r="R2178" s="60" t="str">
        <f aca="false">IF(IsPro,IF($C2178="","",IFERROR(MATCH($C2178,Parties!$A$5:$A$304,0),"")),"")</f>
        <v/>
      </c>
      <c r="S2178" s="61" t="str">
        <f aca="false">IF(IsPro,IF($D2178="","",IF(OR($H2178="",$H2178="Credit"),0,P2178)),"")</f>
        <v/>
      </c>
    </row>
    <row r="2179" customFormat="false" ht="15" hidden="false" customHeight="false" outlineLevel="0" collapsed="false">
      <c r="A2179" s="55"/>
      <c r="B2179" s="56"/>
      <c r="C2179" s="56"/>
      <c r="D2179" s="56"/>
      <c r="E2179" s="57"/>
      <c r="F2179" s="58"/>
      <c r="G2179" s="59"/>
      <c r="H2179" s="56"/>
      <c r="I2179" s="60" t="str">
        <f aca="false">IF(IsPro,IF($D2179="","",IFERROR(INDEX(Items!$D$5:$D$504,Q2179),"")),IF($D2179="","","PRO PLAN"))</f>
        <v/>
      </c>
      <c r="J2179" s="61" t="str">
        <f aca="false">IF(IsPro,IF($D2179="","",IF($F2179="",IFERROR(INDEX(Items!$G$5:$G$504,Q2179),0),$F2179)),"")</f>
        <v/>
      </c>
      <c r="K2179" s="61" t="str">
        <f aca="false">IF(IsPro,IF($D2179="","",ROUND(N($E2179)*J2179*(1-N($G2179)),2)),"")</f>
        <v/>
      </c>
      <c r="L2179" s="62" t="str">
        <f aca="false">IF(IsPro,IF($D2179="","",IFERROR(INDEX(Items!$F$5:$F$504,Q2179),0)),"")</f>
        <v/>
      </c>
      <c r="M2179" s="61" t="str">
        <f aca="false">IF(IsPro,IF($D2179="","",IF(AND(R2179&lt;&gt;"",INDEX(Parties!$E$5:$E$304,R2179)&lt;&gt;"",INDEX(Parties!$E$5:$E$304,R2179)&lt;&gt;HomeState),0,ROUND(K2179*L2179/2,2))),"")</f>
        <v/>
      </c>
      <c r="N2179" s="61" t="str">
        <f aca="false">IF(IsPro,IF($D2179="","",M2179),"")</f>
        <v/>
      </c>
      <c r="O2179" s="61" t="str">
        <f aca="false">IF(IsPro,IF($D2179="","",IF(AND(R2179&lt;&gt;"",INDEX(Parties!$E$5:$E$304,R2179)&lt;&gt;"",INDEX(Parties!$E$5:$E$304,R2179)&lt;&gt;HomeState),ROUND(K2179*L2179,2),0)),"")</f>
        <v/>
      </c>
      <c r="P2179" s="61" t="str">
        <f aca="false">IF(IsPro,IF($D2179="","",K2179+M2179+N2179+O2179),"")</f>
        <v/>
      </c>
      <c r="Q2179" s="60" t="str">
        <f aca="false">IF(IsPro,IF($D2179="","",IFERROR(MATCH($D2179,Items!$A$5:$A$504,0),"")),"")</f>
        <v/>
      </c>
      <c r="R2179" s="60" t="str">
        <f aca="false">IF(IsPro,IF($C2179="","",IFERROR(MATCH($C2179,Parties!$A$5:$A$304,0),"")),"")</f>
        <v/>
      </c>
      <c r="S2179" s="61" t="str">
        <f aca="false">IF(IsPro,IF($D2179="","",IF(OR($H2179="",$H2179="Credit"),0,P2179)),"")</f>
        <v/>
      </c>
    </row>
    <row r="2180" customFormat="false" ht="15" hidden="false" customHeight="false" outlineLevel="0" collapsed="false">
      <c r="A2180" s="55"/>
      <c r="B2180" s="56"/>
      <c r="C2180" s="56"/>
      <c r="D2180" s="56"/>
      <c r="E2180" s="57"/>
      <c r="F2180" s="58"/>
      <c r="G2180" s="59"/>
      <c r="H2180" s="56"/>
      <c r="I2180" s="60" t="str">
        <f aca="false">IF(IsPro,IF($D2180="","",IFERROR(INDEX(Items!$D$5:$D$504,Q2180),"")),IF($D2180="","","PRO PLAN"))</f>
        <v/>
      </c>
      <c r="J2180" s="61" t="str">
        <f aca="false">IF(IsPro,IF($D2180="","",IF($F2180="",IFERROR(INDEX(Items!$G$5:$G$504,Q2180),0),$F2180)),"")</f>
        <v/>
      </c>
      <c r="K2180" s="61" t="str">
        <f aca="false">IF(IsPro,IF($D2180="","",ROUND(N($E2180)*J2180*(1-N($G2180)),2)),"")</f>
        <v/>
      </c>
      <c r="L2180" s="62" t="str">
        <f aca="false">IF(IsPro,IF($D2180="","",IFERROR(INDEX(Items!$F$5:$F$504,Q2180),0)),"")</f>
        <v/>
      </c>
      <c r="M2180" s="61" t="str">
        <f aca="false">IF(IsPro,IF($D2180="","",IF(AND(R2180&lt;&gt;"",INDEX(Parties!$E$5:$E$304,R2180)&lt;&gt;"",INDEX(Parties!$E$5:$E$304,R2180)&lt;&gt;HomeState),0,ROUND(K2180*L2180/2,2))),"")</f>
        <v/>
      </c>
      <c r="N2180" s="61" t="str">
        <f aca="false">IF(IsPro,IF($D2180="","",M2180),"")</f>
        <v/>
      </c>
      <c r="O2180" s="61" t="str">
        <f aca="false">IF(IsPro,IF($D2180="","",IF(AND(R2180&lt;&gt;"",INDEX(Parties!$E$5:$E$304,R2180)&lt;&gt;"",INDEX(Parties!$E$5:$E$304,R2180)&lt;&gt;HomeState),ROUND(K2180*L2180,2),0)),"")</f>
        <v/>
      </c>
      <c r="P2180" s="61" t="str">
        <f aca="false">IF(IsPro,IF($D2180="","",K2180+M2180+N2180+O2180),"")</f>
        <v/>
      </c>
      <c r="Q2180" s="60" t="str">
        <f aca="false">IF(IsPro,IF($D2180="","",IFERROR(MATCH($D2180,Items!$A$5:$A$504,0),"")),"")</f>
        <v/>
      </c>
      <c r="R2180" s="60" t="str">
        <f aca="false">IF(IsPro,IF($C2180="","",IFERROR(MATCH($C2180,Parties!$A$5:$A$304,0),"")),"")</f>
        <v/>
      </c>
      <c r="S2180" s="61" t="str">
        <f aca="false">IF(IsPro,IF($D2180="","",IF(OR($H2180="",$H2180="Credit"),0,P2180)),"")</f>
        <v/>
      </c>
    </row>
    <row r="2181" customFormat="false" ht="15" hidden="false" customHeight="false" outlineLevel="0" collapsed="false">
      <c r="A2181" s="55"/>
      <c r="B2181" s="56"/>
      <c r="C2181" s="56"/>
      <c r="D2181" s="56"/>
      <c r="E2181" s="57"/>
      <c r="F2181" s="58"/>
      <c r="G2181" s="59"/>
      <c r="H2181" s="56"/>
      <c r="I2181" s="60" t="str">
        <f aca="false">IF(IsPro,IF($D2181="","",IFERROR(INDEX(Items!$D$5:$D$504,Q2181),"")),IF($D2181="","","PRO PLAN"))</f>
        <v/>
      </c>
      <c r="J2181" s="61" t="str">
        <f aca="false">IF(IsPro,IF($D2181="","",IF($F2181="",IFERROR(INDEX(Items!$G$5:$G$504,Q2181),0),$F2181)),"")</f>
        <v/>
      </c>
      <c r="K2181" s="61" t="str">
        <f aca="false">IF(IsPro,IF($D2181="","",ROUND(N($E2181)*J2181*(1-N($G2181)),2)),"")</f>
        <v/>
      </c>
      <c r="L2181" s="62" t="str">
        <f aca="false">IF(IsPro,IF($D2181="","",IFERROR(INDEX(Items!$F$5:$F$504,Q2181),0)),"")</f>
        <v/>
      </c>
      <c r="M2181" s="61" t="str">
        <f aca="false">IF(IsPro,IF($D2181="","",IF(AND(R2181&lt;&gt;"",INDEX(Parties!$E$5:$E$304,R2181)&lt;&gt;"",INDEX(Parties!$E$5:$E$304,R2181)&lt;&gt;HomeState),0,ROUND(K2181*L2181/2,2))),"")</f>
        <v/>
      </c>
      <c r="N2181" s="61" t="str">
        <f aca="false">IF(IsPro,IF($D2181="","",M2181),"")</f>
        <v/>
      </c>
      <c r="O2181" s="61" t="str">
        <f aca="false">IF(IsPro,IF($D2181="","",IF(AND(R2181&lt;&gt;"",INDEX(Parties!$E$5:$E$304,R2181)&lt;&gt;"",INDEX(Parties!$E$5:$E$304,R2181)&lt;&gt;HomeState),ROUND(K2181*L2181,2),0)),"")</f>
        <v/>
      </c>
      <c r="P2181" s="61" t="str">
        <f aca="false">IF(IsPro,IF($D2181="","",K2181+M2181+N2181+O2181),"")</f>
        <v/>
      </c>
      <c r="Q2181" s="60" t="str">
        <f aca="false">IF(IsPro,IF($D2181="","",IFERROR(MATCH($D2181,Items!$A$5:$A$504,0),"")),"")</f>
        <v/>
      </c>
      <c r="R2181" s="60" t="str">
        <f aca="false">IF(IsPro,IF($C2181="","",IFERROR(MATCH($C2181,Parties!$A$5:$A$304,0),"")),"")</f>
        <v/>
      </c>
      <c r="S2181" s="61" t="str">
        <f aca="false">IF(IsPro,IF($D2181="","",IF(OR($H2181="",$H2181="Credit"),0,P2181)),"")</f>
        <v/>
      </c>
    </row>
    <row r="2182" customFormat="false" ht="15" hidden="false" customHeight="false" outlineLevel="0" collapsed="false">
      <c r="A2182" s="55"/>
      <c r="B2182" s="56"/>
      <c r="C2182" s="56"/>
      <c r="D2182" s="56"/>
      <c r="E2182" s="57"/>
      <c r="F2182" s="58"/>
      <c r="G2182" s="59"/>
      <c r="H2182" s="56"/>
      <c r="I2182" s="60" t="str">
        <f aca="false">IF(IsPro,IF($D2182="","",IFERROR(INDEX(Items!$D$5:$D$504,Q2182),"")),IF($D2182="","","PRO PLAN"))</f>
        <v/>
      </c>
      <c r="J2182" s="61" t="str">
        <f aca="false">IF(IsPro,IF($D2182="","",IF($F2182="",IFERROR(INDEX(Items!$G$5:$G$504,Q2182),0),$F2182)),"")</f>
        <v/>
      </c>
      <c r="K2182" s="61" t="str">
        <f aca="false">IF(IsPro,IF($D2182="","",ROUND(N($E2182)*J2182*(1-N($G2182)),2)),"")</f>
        <v/>
      </c>
      <c r="L2182" s="62" t="str">
        <f aca="false">IF(IsPro,IF($D2182="","",IFERROR(INDEX(Items!$F$5:$F$504,Q2182),0)),"")</f>
        <v/>
      </c>
      <c r="M2182" s="61" t="str">
        <f aca="false">IF(IsPro,IF($D2182="","",IF(AND(R2182&lt;&gt;"",INDEX(Parties!$E$5:$E$304,R2182)&lt;&gt;"",INDEX(Parties!$E$5:$E$304,R2182)&lt;&gt;HomeState),0,ROUND(K2182*L2182/2,2))),"")</f>
        <v/>
      </c>
      <c r="N2182" s="61" t="str">
        <f aca="false">IF(IsPro,IF($D2182="","",M2182),"")</f>
        <v/>
      </c>
      <c r="O2182" s="61" t="str">
        <f aca="false">IF(IsPro,IF($D2182="","",IF(AND(R2182&lt;&gt;"",INDEX(Parties!$E$5:$E$304,R2182)&lt;&gt;"",INDEX(Parties!$E$5:$E$304,R2182)&lt;&gt;HomeState),ROUND(K2182*L2182,2),0)),"")</f>
        <v/>
      </c>
      <c r="P2182" s="61" t="str">
        <f aca="false">IF(IsPro,IF($D2182="","",K2182+M2182+N2182+O2182),"")</f>
        <v/>
      </c>
      <c r="Q2182" s="60" t="str">
        <f aca="false">IF(IsPro,IF($D2182="","",IFERROR(MATCH($D2182,Items!$A$5:$A$504,0),"")),"")</f>
        <v/>
      </c>
      <c r="R2182" s="60" t="str">
        <f aca="false">IF(IsPro,IF($C2182="","",IFERROR(MATCH($C2182,Parties!$A$5:$A$304,0),"")),"")</f>
        <v/>
      </c>
      <c r="S2182" s="61" t="str">
        <f aca="false">IF(IsPro,IF($D2182="","",IF(OR($H2182="",$H2182="Credit"),0,P2182)),"")</f>
        <v/>
      </c>
    </row>
    <row r="2183" customFormat="false" ht="15" hidden="false" customHeight="false" outlineLevel="0" collapsed="false">
      <c r="A2183" s="55"/>
      <c r="B2183" s="56"/>
      <c r="C2183" s="56"/>
      <c r="D2183" s="56"/>
      <c r="E2183" s="57"/>
      <c r="F2183" s="58"/>
      <c r="G2183" s="59"/>
      <c r="H2183" s="56"/>
      <c r="I2183" s="60" t="str">
        <f aca="false">IF(IsPro,IF($D2183="","",IFERROR(INDEX(Items!$D$5:$D$504,Q2183),"")),IF($D2183="","","PRO PLAN"))</f>
        <v/>
      </c>
      <c r="J2183" s="61" t="str">
        <f aca="false">IF(IsPro,IF($D2183="","",IF($F2183="",IFERROR(INDEX(Items!$G$5:$G$504,Q2183),0),$F2183)),"")</f>
        <v/>
      </c>
      <c r="K2183" s="61" t="str">
        <f aca="false">IF(IsPro,IF($D2183="","",ROUND(N($E2183)*J2183*(1-N($G2183)),2)),"")</f>
        <v/>
      </c>
      <c r="L2183" s="62" t="str">
        <f aca="false">IF(IsPro,IF($D2183="","",IFERROR(INDEX(Items!$F$5:$F$504,Q2183),0)),"")</f>
        <v/>
      </c>
      <c r="M2183" s="61" t="str">
        <f aca="false">IF(IsPro,IF($D2183="","",IF(AND(R2183&lt;&gt;"",INDEX(Parties!$E$5:$E$304,R2183)&lt;&gt;"",INDEX(Parties!$E$5:$E$304,R2183)&lt;&gt;HomeState),0,ROUND(K2183*L2183/2,2))),"")</f>
        <v/>
      </c>
      <c r="N2183" s="61" t="str">
        <f aca="false">IF(IsPro,IF($D2183="","",M2183),"")</f>
        <v/>
      </c>
      <c r="O2183" s="61" t="str">
        <f aca="false">IF(IsPro,IF($D2183="","",IF(AND(R2183&lt;&gt;"",INDEX(Parties!$E$5:$E$304,R2183)&lt;&gt;"",INDEX(Parties!$E$5:$E$304,R2183)&lt;&gt;HomeState),ROUND(K2183*L2183,2),0)),"")</f>
        <v/>
      </c>
      <c r="P2183" s="61" t="str">
        <f aca="false">IF(IsPro,IF($D2183="","",K2183+M2183+N2183+O2183),"")</f>
        <v/>
      </c>
      <c r="Q2183" s="60" t="str">
        <f aca="false">IF(IsPro,IF($D2183="","",IFERROR(MATCH($D2183,Items!$A$5:$A$504,0),"")),"")</f>
        <v/>
      </c>
      <c r="R2183" s="60" t="str">
        <f aca="false">IF(IsPro,IF($C2183="","",IFERROR(MATCH($C2183,Parties!$A$5:$A$304,0),"")),"")</f>
        <v/>
      </c>
      <c r="S2183" s="61" t="str">
        <f aca="false">IF(IsPro,IF($D2183="","",IF(OR($H2183="",$H2183="Credit"),0,P2183)),"")</f>
        <v/>
      </c>
    </row>
    <row r="2184" customFormat="false" ht="15" hidden="false" customHeight="false" outlineLevel="0" collapsed="false">
      <c r="A2184" s="55"/>
      <c r="B2184" s="56"/>
      <c r="C2184" s="56"/>
      <c r="D2184" s="56"/>
      <c r="E2184" s="57"/>
      <c r="F2184" s="58"/>
      <c r="G2184" s="59"/>
      <c r="H2184" s="56"/>
      <c r="I2184" s="60" t="str">
        <f aca="false">IF(IsPro,IF($D2184="","",IFERROR(INDEX(Items!$D$5:$D$504,Q2184),"")),IF($D2184="","","PRO PLAN"))</f>
        <v/>
      </c>
      <c r="J2184" s="61" t="str">
        <f aca="false">IF(IsPro,IF($D2184="","",IF($F2184="",IFERROR(INDEX(Items!$G$5:$G$504,Q2184),0),$F2184)),"")</f>
        <v/>
      </c>
      <c r="K2184" s="61" t="str">
        <f aca="false">IF(IsPro,IF($D2184="","",ROUND(N($E2184)*J2184*(1-N($G2184)),2)),"")</f>
        <v/>
      </c>
      <c r="L2184" s="62" t="str">
        <f aca="false">IF(IsPro,IF($D2184="","",IFERROR(INDEX(Items!$F$5:$F$504,Q2184),0)),"")</f>
        <v/>
      </c>
      <c r="M2184" s="61" t="str">
        <f aca="false">IF(IsPro,IF($D2184="","",IF(AND(R2184&lt;&gt;"",INDEX(Parties!$E$5:$E$304,R2184)&lt;&gt;"",INDEX(Parties!$E$5:$E$304,R2184)&lt;&gt;HomeState),0,ROUND(K2184*L2184/2,2))),"")</f>
        <v/>
      </c>
      <c r="N2184" s="61" t="str">
        <f aca="false">IF(IsPro,IF($D2184="","",M2184),"")</f>
        <v/>
      </c>
      <c r="O2184" s="61" t="str">
        <f aca="false">IF(IsPro,IF($D2184="","",IF(AND(R2184&lt;&gt;"",INDEX(Parties!$E$5:$E$304,R2184)&lt;&gt;"",INDEX(Parties!$E$5:$E$304,R2184)&lt;&gt;HomeState),ROUND(K2184*L2184,2),0)),"")</f>
        <v/>
      </c>
      <c r="P2184" s="61" t="str">
        <f aca="false">IF(IsPro,IF($D2184="","",K2184+M2184+N2184+O2184),"")</f>
        <v/>
      </c>
      <c r="Q2184" s="60" t="str">
        <f aca="false">IF(IsPro,IF($D2184="","",IFERROR(MATCH($D2184,Items!$A$5:$A$504,0),"")),"")</f>
        <v/>
      </c>
      <c r="R2184" s="60" t="str">
        <f aca="false">IF(IsPro,IF($C2184="","",IFERROR(MATCH($C2184,Parties!$A$5:$A$304,0),"")),"")</f>
        <v/>
      </c>
      <c r="S2184" s="61" t="str">
        <f aca="false">IF(IsPro,IF($D2184="","",IF(OR($H2184="",$H2184="Credit"),0,P2184)),"")</f>
        <v/>
      </c>
    </row>
    <row r="2185" customFormat="false" ht="15" hidden="false" customHeight="false" outlineLevel="0" collapsed="false">
      <c r="A2185" s="55"/>
      <c r="B2185" s="56"/>
      <c r="C2185" s="56"/>
      <c r="D2185" s="56"/>
      <c r="E2185" s="57"/>
      <c r="F2185" s="58"/>
      <c r="G2185" s="59"/>
      <c r="H2185" s="56"/>
      <c r="I2185" s="60" t="str">
        <f aca="false">IF(IsPro,IF($D2185="","",IFERROR(INDEX(Items!$D$5:$D$504,Q2185),"")),IF($D2185="","","PRO PLAN"))</f>
        <v/>
      </c>
      <c r="J2185" s="61" t="str">
        <f aca="false">IF(IsPro,IF($D2185="","",IF($F2185="",IFERROR(INDEX(Items!$G$5:$G$504,Q2185),0),$F2185)),"")</f>
        <v/>
      </c>
      <c r="K2185" s="61" t="str">
        <f aca="false">IF(IsPro,IF($D2185="","",ROUND(N($E2185)*J2185*(1-N($G2185)),2)),"")</f>
        <v/>
      </c>
      <c r="L2185" s="62" t="str">
        <f aca="false">IF(IsPro,IF($D2185="","",IFERROR(INDEX(Items!$F$5:$F$504,Q2185),0)),"")</f>
        <v/>
      </c>
      <c r="M2185" s="61" t="str">
        <f aca="false">IF(IsPro,IF($D2185="","",IF(AND(R2185&lt;&gt;"",INDEX(Parties!$E$5:$E$304,R2185)&lt;&gt;"",INDEX(Parties!$E$5:$E$304,R2185)&lt;&gt;HomeState),0,ROUND(K2185*L2185/2,2))),"")</f>
        <v/>
      </c>
      <c r="N2185" s="61" t="str">
        <f aca="false">IF(IsPro,IF($D2185="","",M2185),"")</f>
        <v/>
      </c>
      <c r="O2185" s="61" t="str">
        <f aca="false">IF(IsPro,IF($D2185="","",IF(AND(R2185&lt;&gt;"",INDEX(Parties!$E$5:$E$304,R2185)&lt;&gt;"",INDEX(Parties!$E$5:$E$304,R2185)&lt;&gt;HomeState),ROUND(K2185*L2185,2),0)),"")</f>
        <v/>
      </c>
      <c r="P2185" s="61" t="str">
        <f aca="false">IF(IsPro,IF($D2185="","",K2185+M2185+N2185+O2185),"")</f>
        <v/>
      </c>
      <c r="Q2185" s="60" t="str">
        <f aca="false">IF(IsPro,IF($D2185="","",IFERROR(MATCH($D2185,Items!$A$5:$A$504,0),"")),"")</f>
        <v/>
      </c>
      <c r="R2185" s="60" t="str">
        <f aca="false">IF(IsPro,IF($C2185="","",IFERROR(MATCH($C2185,Parties!$A$5:$A$304,0),"")),"")</f>
        <v/>
      </c>
      <c r="S2185" s="61" t="str">
        <f aca="false">IF(IsPro,IF($D2185="","",IF(OR($H2185="",$H2185="Credit"),0,P2185)),"")</f>
        <v/>
      </c>
    </row>
    <row r="2186" customFormat="false" ht="15" hidden="false" customHeight="false" outlineLevel="0" collapsed="false">
      <c r="A2186" s="55"/>
      <c r="B2186" s="56"/>
      <c r="C2186" s="56"/>
      <c r="D2186" s="56"/>
      <c r="E2186" s="57"/>
      <c r="F2186" s="58"/>
      <c r="G2186" s="59"/>
      <c r="H2186" s="56"/>
      <c r="I2186" s="60" t="str">
        <f aca="false">IF(IsPro,IF($D2186="","",IFERROR(INDEX(Items!$D$5:$D$504,Q2186),"")),IF($D2186="","","PRO PLAN"))</f>
        <v/>
      </c>
      <c r="J2186" s="61" t="str">
        <f aca="false">IF(IsPro,IF($D2186="","",IF($F2186="",IFERROR(INDEX(Items!$G$5:$G$504,Q2186),0),$F2186)),"")</f>
        <v/>
      </c>
      <c r="K2186" s="61" t="str">
        <f aca="false">IF(IsPro,IF($D2186="","",ROUND(N($E2186)*J2186*(1-N($G2186)),2)),"")</f>
        <v/>
      </c>
      <c r="L2186" s="62" t="str">
        <f aca="false">IF(IsPro,IF($D2186="","",IFERROR(INDEX(Items!$F$5:$F$504,Q2186),0)),"")</f>
        <v/>
      </c>
      <c r="M2186" s="61" t="str">
        <f aca="false">IF(IsPro,IF($D2186="","",IF(AND(R2186&lt;&gt;"",INDEX(Parties!$E$5:$E$304,R2186)&lt;&gt;"",INDEX(Parties!$E$5:$E$304,R2186)&lt;&gt;HomeState),0,ROUND(K2186*L2186/2,2))),"")</f>
        <v/>
      </c>
      <c r="N2186" s="61" t="str">
        <f aca="false">IF(IsPro,IF($D2186="","",M2186),"")</f>
        <v/>
      </c>
      <c r="O2186" s="61" t="str">
        <f aca="false">IF(IsPro,IF($D2186="","",IF(AND(R2186&lt;&gt;"",INDEX(Parties!$E$5:$E$304,R2186)&lt;&gt;"",INDEX(Parties!$E$5:$E$304,R2186)&lt;&gt;HomeState),ROUND(K2186*L2186,2),0)),"")</f>
        <v/>
      </c>
      <c r="P2186" s="61" t="str">
        <f aca="false">IF(IsPro,IF($D2186="","",K2186+M2186+N2186+O2186),"")</f>
        <v/>
      </c>
      <c r="Q2186" s="60" t="str">
        <f aca="false">IF(IsPro,IF($D2186="","",IFERROR(MATCH($D2186,Items!$A$5:$A$504,0),"")),"")</f>
        <v/>
      </c>
      <c r="R2186" s="60" t="str">
        <f aca="false">IF(IsPro,IF($C2186="","",IFERROR(MATCH($C2186,Parties!$A$5:$A$304,0),"")),"")</f>
        <v/>
      </c>
      <c r="S2186" s="61" t="str">
        <f aca="false">IF(IsPro,IF($D2186="","",IF(OR($H2186="",$H2186="Credit"),0,P2186)),"")</f>
        <v/>
      </c>
    </row>
    <row r="2187" customFormat="false" ht="15" hidden="false" customHeight="false" outlineLevel="0" collapsed="false">
      <c r="A2187" s="55"/>
      <c r="B2187" s="56"/>
      <c r="C2187" s="56"/>
      <c r="D2187" s="56"/>
      <c r="E2187" s="57"/>
      <c r="F2187" s="58"/>
      <c r="G2187" s="59"/>
      <c r="H2187" s="56"/>
      <c r="I2187" s="60" t="str">
        <f aca="false">IF(IsPro,IF($D2187="","",IFERROR(INDEX(Items!$D$5:$D$504,Q2187),"")),IF($D2187="","","PRO PLAN"))</f>
        <v/>
      </c>
      <c r="J2187" s="61" t="str">
        <f aca="false">IF(IsPro,IF($D2187="","",IF($F2187="",IFERROR(INDEX(Items!$G$5:$G$504,Q2187),0),$F2187)),"")</f>
        <v/>
      </c>
      <c r="K2187" s="61" t="str">
        <f aca="false">IF(IsPro,IF($D2187="","",ROUND(N($E2187)*J2187*(1-N($G2187)),2)),"")</f>
        <v/>
      </c>
      <c r="L2187" s="62" t="str">
        <f aca="false">IF(IsPro,IF($D2187="","",IFERROR(INDEX(Items!$F$5:$F$504,Q2187),0)),"")</f>
        <v/>
      </c>
      <c r="M2187" s="61" t="str">
        <f aca="false">IF(IsPro,IF($D2187="","",IF(AND(R2187&lt;&gt;"",INDEX(Parties!$E$5:$E$304,R2187)&lt;&gt;"",INDEX(Parties!$E$5:$E$304,R2187)&lt;&gt;HomeState),0,ROUND(K2187*L2187/2,2))),"")</f>
        <v/>
      </c>
      <c r="N2187" s="61" t="str">
        <f aca="false">IF(IsPro,IF($D2187="","",M2187),"")</f>
        <v/>
      </c>
      <c r="O2187" s="61" t="str">
        <f aca="false">IF(IsPro,IF($D2187="","",IF(AND(R2187&lt;&gt;"",INDEX(Parties!$E$5:$E$304,R2187)&lt;&gt;"",INDEX(Parties!$E$5:$E$304,R2187)&lt;&gt;HomeState),ROUND(K2187*L2187,2),0)),"")</f>
        <v/>
      </c>
      <c r="P2187" s="61" t="str">
        <f aca="false">IF(IsPro,IF($D2187="","",K2187+M2187+N2187+O2187),"")</f>
        <v/>
      </c>
      <c r="Q2187" s="60" t="str">
        <f aca="false">IF(IsPro,IF($D2187="","",IFERROR(MATCH($D2187,Items!$A$5:$A$504,0),"")),"")</f>
        <v/>
      </c>
      <c r="R2187" s="60" t="str">
        <f aca="false">IF(IsPro,IF($C2187="","",IFERROR(MATCH($C2187,Parties!$A$5:$A$304,0),"")),"")</f>
        <v/>
      </c>
      <c r="S2187" s="61" t="str">
        <f aca="false">IF(IsPro,IF($D2187="","",IF(OR($H2187="",$H2187="Credit"),0,P2187)),"")</f>
        <v/>
      </c>
    </row>
    <row r="2188" customFormat="false" ht="15" hidden="false" customHeight="false" outlineLevel="0" collapsed="false">
      <c r="A2188" s="55"/>
      <c r="B2188" s="56"/>
      <c r="C2188" s="56"/>
      <c r="D2188" s="56"/>
      <c r="E2188" s="57"/>
      <c r="F2188" s="58"/>
      <c r="G2188" s="59"/>
      <c r="H2188" s="56"/>
      <c r="I2188" s="60" t="str">
        <f aca="false">IF(IsPro,IF($D2188="","",IFERROR(INDEX(Items!$D$5:$D$504,Q2188),"")),IF($D2188="","","PRO PLAN"))</f>
        <v/>
      </c>
      <c r="J2188" s="61" t="str">
        <f aca="false">IF(IsPro,IF($D2188="","",IF($F2188="",IFERROR(INDEX(Items!$G$5:$G$504,Q2188),0),$F2188)),"")</f>
        <v/>
      </c>
      <c r="K2188" s="61" t="str">
        <f aca="false">IF(IsPro,IF($D2188="","",ROUND(N($E2188)*J2188*(1-N($G2188)),2)),"")</f>
        <v/>
      </c>
      <c r="L2188" s="62" t="str">
        <f aca="false">IF(IsPro,IF($D2188="","",IFERROR(INDEX(Items!$F$5:$F$504,Q2188),0)),"")</f>
        <v/>
      </c>
      <c r="M2188" s="61" t="str">
        <f aca="false">IF(IsPro,IF($D2188="","",IF(AND(R2188&lt;&gt;"",INDEX(Parties!$E$5:$E$304,R2188)&lt;&gt;"",INDEX(Parties!$E$5:$E$304,R2188)&lt;&gt;HomeState),0,ROUND(K2188*L2188/2,2))),"")</f>
        <v/>
      </c>
      <c r="N2188" s="61" t="str">
        <f aca="false">IF(IsPro,IF($D2188="","",M2188),"")</f>
        <v/>
      </c>
      <c r="O2188" s="61" t="str">
        <f aca="false">IF(IsPro,IF($D2188="","",IF(AND(R2188&lt;&gt;"",INDEX(Parties!$E$5:$E$304,R2188)&lt;&gt;"",INDEX(Parties!$E$5:$E$304,R2188)&lt;&gt;HomeState),ROUND(K2188*L2188,2),0)),"")</f>
        <v/>
      </c>
      <c r="P2188" s="61" t="str">
        <f aca="false">IF(IsPro,IF($D2188="","",K2188+M2188+N2188+O2188),"")</f>
        <v/>
      </c>
      <c r="Q2188" s="60" t="str">
        <f aca="false">IF(IsPro,IF($D2188="","",IFERROR(MATCH($D2188,Items!$A$5:$A$504,0),"")),"")</f>
        <v/>
      </c>
      <c r="R2188" s="60" t="str">
        <f aca="false">IF(IsPro,IF($C2188="","",IFERROR(MATCH($C2188,Parties!$A$5:$A$304,0),"")),"")</f>
        <v/>
      </c>
      <c r="S2188" s="61" t="str">
        <f aca="false">IF(IsPro,IF($D2188="","",IF(OR($H2188="",$H2188="Credit"),0,P2188)),"")</f>
        <v/>
      </c>
    </row>
    <row r="2189" customFormat="false" ht="15" hidden="false" customHeight="false" outlineLevel="0" collapsed="false">
      <c r="A2189" s="55"/>
      <c r="B2189" s="56"/>
      <c r="C2189" s="56"/>
      <c r="D2189" s="56"/>
      <c r="E2189" s="57"/>
      <c r="F2189" s="58"/>
      <c r="G2189" s="59"/>
      <c r="H2189" s="56"/>
      <c r="I2189" s="60" t="str">
        <f aca="false">IF(IsPro,IF($D2189="","",IFERROR(INDEX(Items!$D$5:$D$504,Q2189),"")),IF($D2189="","","PRO PLAN"))</f>
        <v/>
      </c>
      <c r="J2189" s="61" t="str">
        <f aca="false">IF(IsPro,IF($D2189="","",IF($F2189="",IFERROR(INDEX(Items!$G$5:$G$504,Q2189),0),$F2189)),"")</f>
        <v/>
      </c>
      <c r="K2189" s="61" t="str">
        <f aca="false">IF(IsPro,IF($D2189="","",ROUND(N($E2189)*J2189*(1-N($G2189)),2)),"")</f>
        <v/>
      </c>
      <c r="L2189" s="62" t="str">
        <f aca="false">IF(IsPro,IF($D2189="","",IFERROR(INDEX(Items!$F$5:$F$504,Q2189),0)),"")</f>
        <v/>
      </c>
      <c r="M2189" s="61" t="str">
        <f aca="false">IF(IsPro,IF($D2189="","",IF(AND(R2189&lt;&gt;"",INDEX(Parties!$E$5:$E$304,R2189)&lt;&gt;"",INDEX(Parties!$E$5:$E$304,R2189)&lt;&gt;HomeState),0,ROUND(K2189*L2189/2,2))),"")</f>
        <v/>
      </c>
      <c r="N2189" s="61" t="str">
        <f aca="false">IF(IsPro,IF($D2189="","",M2189),"")</f>
        <v/>
      </c>
      <c r="O2189" s="61" t="str">
        <f aca="false">IF(IsPro,IF($D2189="","",IF(AND(R2189&lt;&gt;"",INDEX(Parties!$E$5:$E$304,R2189)&lt;&gt;"",INDEX(Parties!$E$5:$E$304,R2189)&lt;&gt;HomeState),ROUND(K2189*L2189,2),0)),"")</f>
        <v/>
      </c>
      <c r="P2189" s="61" t="str">
        <f aca="false">IF(IsPro,IF($D2189="","",K2189+M2189+N2189+O2189),"")</f>
        <v/>
      </c>
      <c r="Q2189" s="60" t="str">
        <f aca="false">IF(IsPro,IF($D2189="","",IFERROR(MATCH($D2189,Items!$A$5:$A$504,0),"")),"")</f>
        <v/>
      </c>
      <c r="R2189" s="60" t="str">
        <f aca="false">IF(IsPro,IF($C2189="","",IFERROR(MATCH($C2189,Parties!$A$5:$A$304,0),"")),"")</f>
        <v/>
      </c>
      <c r="S2189" s="61" t="str">
        <f aca="false">IF(IsPro,IF($D2189="","",IF(OR($H2189="",$H2189="Credit"),0,P2189)),"")</f>
        <v/>
      </c>
    </row>
    <row r="2190" customFormat="false" ht="15" hidden="false" customHeight="false" outlineLevel="0" collapsed="false">
      <c r="A2190" s="55"/>
      <c r="B2190" s="56"/>
      <c r="C2190" s="56"/>
      <c r="D2190" s="56"/>
      <c r="E2190" s="57"/>
      <c r="F2190" s="58"/>
      <c r="G2190" s="59"/>
      <c r="H2190" s="56"/>
      <c r="I2190" s="60" t="str">
        <f aca="false">IF(IsPro,IF($D2190="","",IFERROR(INDEX(Items!$D$5:$D$504,Q2190),"")),IF($D2190="","","PRO PLAN"))</f>
        <v/>
      </c>
      <c r="J2190" s="61" t="str">
        <f aca="false">IF(IsPro,IF($D2190="","",IF($F2190="",IFERROR(INDEX(Items!$G$5:$G$504,Q2190),0),$F2190)),"")</f>
        <v/>
      </c>
      <c r="K2190" s="61" t="str">
        <f aca="false">IF(IsPro,IF($D2190="","",ROUND(N($E2190)*J2190*(1-N($G2190)),2)),"")</f>
        <v/>
      </c>
      <c r="L2190" s="62" t="str">
        <f aca="false">IF(IsPro,IF($D2190="","",IFERROR(INDEX(Items!$F$5:$F$504,Q2190),0)),"")</f>
        <v/>
      </c>
      <c r="M2190" s="61" t="str">
        <f aca="false">IF(IsPro,IF($D2190="","",IF(AND(R2190&lt;&gt;"",INDEX(Parties!$E$5:$E$304,R2190)&lt;&gt;"",INDEX(Parties!$E$5:$E$304,R2190)&lt;&gt;HomeState),0,ROUND(K2190*L2190/2,2))),"")</f>
        <v/>
      </c>
      <c r="N2190" s="61" t="str">
        <f aca="false">IF(IsPro,IF($D2190="","",M2190),"")</f>
        <v/>
      </c>
      <c r="O2190" s="61" t="str">
        <f aca="false">IF(IsPro,IF($D2190="","",IF(AND(R2190&lt;&gt;"",INDEX(Parties!$E$5:$E$304,R2190)&lt;&gt;"",INDEX(Parties!$E$5:$E$304,R2190)&lt;&gt;HomeState),ROUND(K2190*L2190,2),0)),"")</f>
        <v/>
      </c>
      <c r="P2190" s="61" t="str">
        <f aca="false">IF(IsPro,IF($D2190="","",K2190+M2190+N2190+O2190),"")</f>
        <v/>
      </c>
      <c r="Q2190" s="60" t="str">
        <f aca="false">IF(IsPro,IF($D2190="","",IFERROR(MATCH($D2190,Items!$A$5:$A$504,0),"")),"")</f>
        <v/>
      </c>
      <c r="R2190" s="60" t="str">
        <f aca="false">IF(IsPro,IF($C2190="","",IFERROR(MATCH($C2190,Parties!$A$5:$A$304,0),"")),"")</f>
        <v/>
      </c>
      <c r="S2190" s="61" t="str">
        <f aca="false">IF(IsPro,IF($D2190="","",IF(OR($H2190="",$H2190="Credit"),0,P2190)),"")</f>
        <v/>
      </c>
    </row>
    <row r="2191" customFormat="false" ht="15" hidden="false" customHeight="false" outlineLevel="0" collapsed="false">
      <c r="A2191" s="55"/>
      <c r="B2191" s="56"/>
      <c r="C2191" s="56"/>
      <c r="D2191" s="56"/>
      <c r="E2191" s="57"/>
      <c r="F2191" s="58"/>
      <c r="G2191" s="59"/>
      <c r="H2191" s="56"/>
      <c r="I2191" s="60" t="str">
        <f aca="false">IF(IsPro,IF($D2191="","",IFERROR(INDEX(Items!$D$5:$D$504,Q2191),"")),IF($D2191="","","PRO PLAN"))</f>
        <v/>
      </c>
      <c r="J2191" s="61" t="str">
        <f aca="false">IF(IsPro,IF($D2191="","",IF($F2191="",IFERROR(INDEX(Items!$G$5:$G$504,Q2191),0),$F2191)),"")</f>
        <v/>
      </c>
      <c r="K2191" s="61" t="str">
        <f aca="false">IF(IsPro,IF($D2191="","",ROUND(N($E2191)*J2191*(1-N($G2191)),2)),"")</f>
        <v/>
      </c>
      <c r="L2191" s="62" t="str">
        <f aca="false">IF(IsPro,IF($D2191="","",IFERROR(INDEX(Items!$F$5:$F$504,Q2191),0)),"")</f>
        <v/>
      </c>
      <c r="M2191" s="61" t="str">
        <f aca="false">IF(IsPro,IF($D2191="","",IF(AND(R2191&lt;&gt;"",INDEX(Parties!$E$5:$E$304,R2191)&lt;&gt;"",INDEX(Parties!$E$5:$E$304,R2191)&lt;&gt;HomeState),0,ROUND(K2191*L2191/2,2))),"")</f>
        <v/>
      </c>
      <c r="N2191" s="61" t="str">
        <f aca="false">IF(IsPro,IF($D2191="","",M2191),"")</f>
        <v/>
      </c>
      <c r="O2191" s="61" t="str">
        <f aca="false">IF(IsPro,IF($D2191="","",IF(AND(R2191&lt;&gt;"",INDEX(Parties!$E$5:$E$304,R2191)&lt;&gt;"",INDEX(Parties!$E$5:$E$304,R2191)&lt;&gt;HomeState),ROUND(K2191*L2191,2),0)),"")</f>
        <v/>
      </c>
      <c r="P2191" s="61" t="str">
        <f aca="false">IF(IsPro,IF($D2191="","",K2191+M2191+N2191+O2191),"")</f>
        <v/>
      </c>
      <c r="Q2191" s="60" t="str">
        <f aca="false">IF(IsPro,IF($D2191="","",IFERROR(MATCH($D2191,Items!$A$5:$A$504,0),"")),"")</f>
        <v/>
      </c>
      <c r="R2191" s="60" t="str">
        <f aca="false">IF(IsPro,IF($C2191="","",IFERROR(MATCH($C2191,Parties!$A$5:$A$304,0),"")),"")</f>
        <v/>
      </c>
      <c r="S2191" s="61" t="str">
        <f aca="false">IF(IsPro,IF($D2191="","",IF(OR($H2191="",$H2191="Credit"),0,P2191)),"")</f>
        <v/>
      </c>
    </row>
    <row r="2192" customFormat="false" ht="15" hidden="false" customHeight="false" outlineLevel="0" collapsed="false">
      <c r="A2192" s="55"/>
      <c r="B2192" s="56"/>
      <c r="C2192" s="56"/>
      <c r="D2192" s="56"/>
      <c r="E2192" s="57"/>
      <c r="F2192" s="58"/>
      <c r="G2192" s="59"/>
      <c r="H2192" s="56"/>
      <c r="I2192" s="60" t="str">
        <f aca="false">IF(IsPro,IF($D2192="","",IFERROR(INDEX(Items!$D$5:$D$504,Q2192),"")),IF($D2192="","","PRO PLAN"))</f>
        <v/>
      </c>
      <c r="J2192" s="61" t="str">
        <f aca="false">IF(IsPro,IF($D2192="","",IF($F2192="",IFERROR(INDEX(Items!$G$5:$G$504,Q2192),0),$F2192)),"")</f>
        <v/>
      </c>
      <c r="K2192" s="61" t="str">
        <f aca="false">IF(IsPro,IF($D2192="","",ROUND(N($E2192)*J2192*(1-N($G2192)),2)),"")</f>
        <v/>
      </c>
      <c r="L2192" s="62" t="str">
        <f aca="false">IF(IsPro,IF($D2192="","",IFERROR(INDEX(Items!$F$5:$F$504,Q2192),0)),"")</f>
        <v/>
      </c>
      <c r="M2192" s="61" t="str">
        <f aca="false">IF(IsPro,IF($D2192="","",IF(AND(R2192&lt;&gt;"",INDEX(Parties!$E$5:$E$304,R2192)&lt;&gt;"",INDEX(Parties!$E$5:$E$304,R2192)&lt;&gt;HomeState),0,ROUND(K2192*L2192/2,2))),"")</f>
        <v/>
      </c>
      <c r="N2192" s="61" t="str">
        <f aca="false">IF(IsPro,IF($D2192="","",M2192),"")</f>
        <v/>
      </c>
      <c r="O2192" s="61" t="str">
        <f aca="false">IF(IsPro,IF($D2192="","",IF(AND(R2192&lt;&gt;"",INDEX(Parties!$E$5:$E$304,R2192)&lt;&gt;"",INDEX(Parties!$E$5:$E$304,R2192)&lt;&gt;HomeState),ROUND(K2192*L2192,2),0)),"")</f>
        <v/>
      </c>
      <c r="P2192" s="61" t="str">
        <f aca="false">IF(IsPro,IF($D2192="","",K2192+M2192+N2192+O2192),"")</f>
        <v/>
      </c>
      <c r="Q2192" s="60" t="str">
        <f aca="false">IF(IsPro,IF($D2192="","",IFERROR(MATCH($D2192,Items!$A$5:$A$504,0),"")),"")</f>
        <v/>
      </c>
      <c r="R2192" s="60" t="str">
        <f aca="false">IF(IsPro,IF($C2192="","",IFERROR(MATCH($C2192,Parties!$A$5:$A$304,0),"")),"")</f>
        <v/>
      </c>
      <c r="S2192" s="61" t="str">
        <f aca="false">IF(IsPro,IF($D2192="","",IF(OR($H2192="",$H2192="Credit"),0,P2192)),"")</f>
        <v/>
      </c>
    </row>
    <row r="2193" customFormat="false" ht="15" hidden="false" customHeight="false" outlineLevel="0" collapsed="false">
      <c r="A2193" s="55"/>
      <c r="B2193" s="56"/>
      <c r="C2193" s="56"/>
      <c r="D2193" s="56"/>
      <c r="E2193" s="57"/>
      <c r="F2193" s="58"/>
      <c r="G2193" s="59"/>
      <c r="H2193" s="56"/>
      <c r="I2193" s="60" t="str">
        <f aca="false">IF(IsPro,IF($D2193="","",IFERROR(INDEX(Items!$D$5:$D$504,Q2193),"")),IF($D2193="","","PRO PLAN"))</f>
        <v/>
      </c>
      <c r="J2193" s="61" t="str">
        <f aca="false">IF(IsPro,IF($D2193="","",IF($F2193="",IFERROR(INDEX(Items!$G$5:$G$504,Q2193),0),$F2193)),"")</f>
        <v/>
      </c>
      <c r="K2193" s="61" t="str">
        <f aca="false">IF(IsPro,IF($D2193="","",ROUND(N($E2193)*J2193*(1-N($G2193)),2)),"")</f>
        <v/>
      </c>
      <c r="L2193" s="62" t="str">
        <f aca="false">IF(IsPro,IF($D2193="","",IFERROR(INDEX(Items!$F$5:$F$504,Q2193),0)),"")</f>
        <v/>
      </c>
      <c r="M2193" s="61" t="str">
        <f aca="false">IF(IsPro,IF($D2193="","",IF(AND(R2193&lt;&gt;"",INDEX(Parties!$E$5:$E$304,R2193)&lt;&gt;"",INDEX(Parties!$E$5:$E$304,R2193)&lt;&gt;HomeState),0,ROUND(K2193*L2193/2,2))),"")</f>
        <v/>
      </c>
      <c r="N2193" s="61" t="str">
        <f aca="false">IF(IsPro,IF($D2193="","",M2193),"")</f>
        <v/>
      </c>
      <c r="O2193" s="61" t="str">
        <f aca="false">IF(IsPro,IF($D2193="","",IF(AND(R2193&lt;&gt;"",INDEX(Parties!$E$5:$E$304,R2193)&lt;&gt;"",INDEX(Parties!$E$5:$E$304,R2193)&lt;&gt;HomeState),ROUND(K2193*L2193,2),0)),"")</f>
        <v/>
      </c>
      <c r="P2193" s="61" t="str">
        <f aca="false">IF(IsPro,IF($D2193="","",K2193+M2193+N2193+O2193),"")</f>
        <v/>
      </c>
      <c r="Q2193" s="60" t="str">
        <f aca="false">IF(IsPro,IF($D2193="","",IFERROR(MATCH($D2193,Items!$A$5:$A$504,0),"")),"")</f>
        <v/>
      </c>
      <c r="R2193" s="60" t="str">
        <f aca="false">IF(IsPro,IF($C2193="","",IFERROR(MATCH($C2193,Parties!$A$5:$A$304,0),"")),"")</f>
        <v/>
      </c>
      <c r="S2193" s="61" t="str">
        <f aca="false">IF(IsPro,IF($D2193="","",IF(OR($H2193="",$H2193="Credit"),0,P2193)),"")</f>
        <v/>
      </c>
    </row>
    <row r="2194" customFormat="false" ht="15" hidden="false" customHeight="false" outlineLevel="0" collapsed="false">
      <c r="A2194" s="55"/>
      <c r="B2194" s="56"/>
      <c r="C2194" s="56"/>
      <c r="D2194" s="56"/>
      <c r="E2194" s="57"/>
      <c r="F2194" s="58"/>
      <c r="G2194" s="59"/>
      <c r="H2194" s="56"/>
      <c r="I2194" s="60" t="str">
        <f aca="false">IF(IsPro,IF($D2194="","",IFERROR(INDEX(Items!$D$5:$D$504,Q2194),"")),IF($D2194="","","PRO PLAN"))</f>
        <v/>
      </c>
      <c r="J2194" s="61" t="str">
        <f aca="false">IF(IsPro,IF($D2194="","",IF($F2194="",IFERROR(INDEX(Items!$G$5:$G$504,Q2194),0),$F2194)),"")</f>
        <v/>
      </c>
      <c r="K2194" s="61" t="str">
        <f aca="false">IF(IsPro,IF($D2194="","",ROUND(N($E2194)*J2194*(1-N($G2194)),2)),"")</f>
        <v/>
      </c>
      <c r="L2194" s="62" t="str">
        <f aca="false">IF(IsPro,IF($D2194="","",IFERROR(INDEX(Items!$F$5:$F$504,Q2194),0)),"")</f>
        <v/>
      </c>
      <c r="M2194" s="61" t="str">
        <f aca="false">IF(IsPro,IF($D2194="","",IF(AND(R2194&lt;&gt;"",INDEX(Parties!$E$5:$E$304,R2194)&lt;&gt;"",INDEX(Parties!$E$5:$E$304,R2194)&lt;&gt;HomeState),0,ROUND(K2194*L2194/2,2))),"")</f>
        <v/>
      </c>
      <c r="N2194" s="61" t="str">
        <f aca="false">IF(IsPro,IF($D2194="","",M2194),"")</f>
        <v/>
      </c>
      <c r="O2194" s="61" t="str">
        <f aca="false">IF(IsPro,IF($D2194="","",IF(AND(R2194&lt;&gt;"",INDEX(Parties!$E$5:$E$304,R2194)&lt;&gt;"",INDEX(Parties!$E$5:$E$304,R2194)&lt;&gt;HomeState),ROUND(K2194*L2194,2),0)),"")</f>
        <v/>
      </c>
      <c r="P2194" s="61" t="str">
        <f aca="false">IF(IsPro,IF($D2194="","",K2194+M2194+N2194+O2194),"")</f>
        <v/>
      </c>
      <c r="Q2194" s="60" t="str">
        <f aca="false">IF(IsPro,IF($D2194="","",IFERROR(MATCH($D2194,Items!$A$5:$A$504,0),"")),"")</f>
        <v/>
      </c>
      <c r="R2194" s="60" t="str">
        <f aca="false">IF(IsPro,IF($C2194="","",IFERROR(MATCH($C2194,Parties!$A$5:$A$304,0),"")),"")</f>
        <v/>
      </c>
      <c r="S2194" s="61" t="str">
        <f aca="false">IF(IsPro,IF($D2194="","",IF(OR($H2194="",$H2194="Credit"),0,P2194)),"")</f>
        <v/>
      </c>
    </row>
    <row r="2195" customFormat="false" ht="15" hidden="false" customHeight="false" outlineLevel="0" collapsed="false">
      <c r="A2195" s="55"/>
      <c r="B2195" s="56"/>
      <c r="C2195" s="56"/>
      <c r="D2195" s="56"/>
      <c r="E2195" s="57"/>
      <c r="F2195" s="58"/>
      <c r="G2195" s="59"/>
      <c r="H2195" s="56"/>
      <c r="I2195" s="60" t="str">
        <f aca="false">IF(IsPro,IF($D2195="","",IFERROR(INDEX(Items!$D$5:$D$504,Q2195),"")),IF($D2195="","","PRO PLAN"))</f>
        <v/>
      </c>
      <c r="J2195" s="61" t="str">
        <f aca="false">IF(IsPro,IF($D2195="","",IF($F2195="",IFERROR(INDEX(Items!$G$5:$G$504,Q2195),0),$F2195)),"")</f>
        <v/>
      </c>
      <c r="K2195" s="61" t="str">
        <f aca="false">IF(IsPro,IF($D2195="","",ROUND(N($E2195)*J2195*(1-N($G2195)),2)),"")</f>
        <v/>
      </c>
      <c r="L2195" s="62" t="str">
        <f aca="false">IF(IsPro,IF($D2195="","",IFERROR(INDEX(Items!$F$5:$F$504,Q2195),0)),"")</f>
        <v/>
      </c>
      <c r="M2195" s="61" t="str">
        <f aca="false">IF(IsPro,IF($D2195="","",IF(AND(R2195&lt;&gt;"",INDEX(Parties!$E$5:$E$304,R2195)&lt;&gt;"",INDEX(Parties!$E$5:$E$304,R2195)&lt;&gt;HomeState),0,ROUND(K2195*L2195/2,2))),"")</f>
        <v/>
      </c>
      <c r="N2195" s="61" t="str">
        <f aca="false">IF(IsPro,IF($D2195="","",M2195),"")</f>
        <v/>
      </c>
      <c r="O2195" s="61" t="str">
        <f aca="false">IF(IsPro,IF($D2195="","",IF(AND(R2195&lt;&gt;"",INDEX(Parties!$E$5:$E$304,R2195)&lt;&gt;"",INDEX(Parties!$E$5:$E$304,R2195)&lt;&gt;HomeState),ROUND(K2195*L2195,2),0)),"")</f>
        <v/>
      </c>
      <c r="P2195" s="61" t="str">
        <f aca="false">IF(IsPro,IF($D2195="","",K2195+M2195+N2195+O2195),"")</f>
        <v/>
      </c>
      <c r="Q2195" s="60" t="str">
        <f aca="false">IF(IsPro,IF($D2195="","",IFERROR(MATCH($D2195,Items!$A$5:$A$504,0),"")),"")</f>
        <v/>
      </c>
      <c r="R2195" s="60" t="str">
        <f aca="false">IF(IsPro,IF($C2195="","",IFERROR(MATCH($C2195,Parties!$A$5:$A$304,0),"")),"")</f>
        <v/>
      </c>
      <c r="S2195" s="61" t="str">
        <f aca="false">IF(IsPro,IF($D2195="","",IF(OR($H2195="",$H2195="Credit"),0,P2195)),"")</f>
        <v/>
      </c>
    </row>
    <row r="2196" customFormat="false" ht="15" hidden="false" customHeight="false" outlineLevel="0" collapsed="false">
      <c r="A2196" s="55"/>
      <c r="B2196" s="56"/>
      <c r="C2196" s="56"/>
      <c r="D2196" s="56"/>
      <c r="E2196" s="57"/>
      <c r="F2196" s="58"/>
      <c r="G2196" s="59"/>
      <c r="H2196" s="56"/>
      <c r="I2196" s="60" t="str">
        <f aca="false">IF(IsPro,IF($D2196="","",IFERROR(INDEX(Items!$D$5:$D$504,Q2196),"")),IF($D2196="","","PRO PLAN"))</f>
        <v/>
      </c>
      <c r="J2196" s="61" t="str">
        <f aca="false">IF(IsPro,IF($D2196="","",IF($F2196="",IFERROR(INDEX(Items!$G$5:$G$504,Q2196),0),$F2196)),"")</f>
        <v/>
      </c>
      <c r="K2196" s="61" t="str">
        <f aca="false">IF(IsPro,IF($D2196="","",ROUND(N($E2196)*J2196*(1-N($G2196)),2)),"")</f>
        <v/>
      </c>
      <c r="L2196" s="62" t="str">
        <f aca="false">IF(IsPro,IF($D2196="","",IFERROR(INDEX(Items!$F$5:$F$504,Q2196),0)),"")</f>
        <v/>
      </c>
      <c r="M2196" s="61" t="str">
        <f aca="false">IF(IsPro,IF($D2196="","",IF(AND(R2196&lt;&gt;"",INDEX(Parties!$E$5:$E$304,R2196)&lt;&gt;"",INDEX(Parties!$E$5:$E$304,R2196)&lt;&gt;HomeState),0,ROUND(K2196*L2196/2,2))),"")</f>
        <v/>
      </c>
      <c r="N2196" s="61" t="str">
        <f aca="false">IF(IsPro,IF($D2196="","",M2196),"")</f>
        <v/>
      </c>
      <c r="O2196" s="61" t="str">
        <f aca="false">IF(IsPro,IF($D2196="","",IF(AND(R2196&lt;&gt;"",INDEX(Parties!$E$5:$E$304,R2196)&lt;&gt;"",INDEX(Parties!$E$5:$E$304,R2196)&lt;&gt;HomeState),ROUND(K2196*L2196,2),0)),"")</f>
        <v/>
      </c>
      <c r="P2196" s="61" t="str">
        <f aca="false">IF(IsPro,IF($D2196="","",K2196+M2196+N2196+O2196),"")</f>
        <v/>
      </c>
      <c r="Q2196" s="60" t="str">
        <f aca="false">IF(IsPro,IF($D2196="","",IFERROR(MATCH($D2196,Items!$A$5:$A$504,0),"")),"")</f>
        <v/>
      </c>
      <c r="R2196" s="60" t="str">
        <f aca="false">IF(IsPro,IF($C2196="","",IFERROR(MATCH($C2196,Parties!$A$5:$A$304,0),"")),"")</f>
        <v/>
      </c>
      <c r="S2196" s="61" t="str">
        <f aca="false">IF(IsPro,IF($D2196="","",IF(OR($H2196="",$H2196="Credit"),0,P2196)),"")</f>
        <v/>
      </c>
    </row>
    <row r="2197" customFormat="false" ht="15" hidden="false" customHeight="false" outlineLevel="0" collapsed="false">
      <c r="A2197" s="55"/>
      <c r="B2197" s="56"/>
      <c r="C2197" s="56"/>
      <c r="D2197" s="56"/>
      <c r="E2197" s="57"/>
      <c r="F2197" s="58"/>
      <c r="G2197" s="59"/>
      <c r="H2197" s="56"/>
      <c r="I2197" s="60" t="str">
        <f aca="false">IF(IsPro,IF($D2197="","",IFERROR(INDEX(Items!$D$5:$D$504,Q2197),"")),IF($D2197="","","PRO PLAN"))</f>
        <v/>
      </c>
      <c r="J2197" s="61" t="str">
        <f aca="false">IF(IsPro,IF($D2197="","",IF($F2197="",IFERROR(INDEX(Items!$G$5:$G$504,Q2197),0),$F2197)),"")</f>
        <v/>
      </c>
      <c r="K2197" s="61" t="str">
        <f aca="false">IF(IsPro,IF($D2197="","",ROUND(N($E2197)*J2197*(1-N($G2197)),2)),"")</f>
        <v/>
      </c>
      <c r="L2197" s="62" t="str">
        <f aca="false">IF(IsPro,IF($D2197="","",IFERROR(INDEX(Items!$F$5:$F$504,Q2197),0)),"")</f>
        <v/>
      </c>
      <c r="M2197" s="61" t="str">
        <f aca="false">IF(IsPro,IF($D2197="","",IF(AND(R2197&lt;&gt;"",INDEX(Parties!$E$5:$E$304,R2197)&lt;&gt;"",INDEX(Parties!$E$5:$E$304,R2197)&lt;&gt;HomeState),0,ROUND(K2197*L2197/2,2))),"")</f>
        <v/>
      </c>
      <c r="N2197" s="61" t="str">
        <f aca="false">IF(IsPro,IF($D2197="","",M2197),"")</f>
        <v/>
      </c>
      <c r="O2197" s="61" t="str">
        <f aca="false">IF(IsPro,IF($D2197="","",IF(AND(R2197&lt;&gt;"",INDEX(Parties!$E$5:$E$304,R2197)&lt;&gt;"",INDEX(Parties!$E$5:$E$304,R2197)&lt;&gt;HomeState),ROUND(K2197*L2197,2),0)),"")</f>
        <v/>
      </c>
      <c r="P2197" s="61" t="str">
        <f aca="false">IF(IsPro,IF($D2197="","",K2197+M2197+N2197+O2197),"")</f>
        <v/>
      </c>
      <c r="Q2197" s="60" t="str">
        <f aca="false">IF(IsPro,IF($D2197="","",IFERROR(MATCH($D2197,Items!$A$5:$A$504,0),"")),"")</f>
        <v/>
      </c>
      <c r="R2197" s="60" t="str">
        <f aca="false">IF(IsPro,IF($C2197="","",IFERROR(MATCH($C2197,Parties!$A$5:$A$304,0),"")),"")</f>
        <v/>
      </c>
      <c r="S2197" s="61" t="str">
        <f aca="false">IF(IsPro,IF($D2197="","",IF(OR($H2197="",$H2197="Credit"),0,P2197)),"")</f>
        <v/>
      </c>
    </row>
    <row r="2198" customFormat="false" ht="15" hidden="false" customHeight="false" outlineLevel="0" collapsed="false">
      <c r="A2198" s="55"/>
      <c r="B2198" s="56"/>
      <c r="C2198" s="56"/>
      <c r="D2198" s="56"/>
      <c r="E2198" s="57"/>
      <c r="F2198" s="58"/>
      <c r="G2198" s="59"/>
      <c r="H2198" s="56"/>
      <c r="I2198" s="60" t="str">
        <f aca="false">IF(IsPro,IF($D2198="","",IFERROR(INDEX(Items!$D$5:$D$504,Q2198),"")),IF($D2198="","","PRO PLAN"))</f>
        <v/>
      </c>
      <c r="J2198" s="61" t="str">
        <f aca="false">IF(IsPro,IF($D2198="","",IF($F2198="",IFERROR(INDEX(Items!$G$5:$G$504,Q2198),0),$F2198)),"")</f>
        <v/>
      </c>
      <c r="K2198" s="61" t="str">
        <f aca="false">IF(IsPro,IF($D2198="","",ROUND(N($E2198)*J2198*(1-N($G2198)),2)),"")</f>
        <v/>
      </c>
      <c r="L2198" s="62" t="str">
        <f aca="false">IF(IsPro,IF($D2198="","",IFERROR(INDEX(Items!$F$5:$F$504,Q2198),0)),"")</f>
        <v/>
      </c>
      <c r="M2198" s="61" t="str">
        <f aca="false">IF(IsPro,IF($D2198="","",IF(AND(R2198&lt;&gt;"",INDEX(Parties!$E$5:$E$304,R2198)&lt;&gt;"",INDEX(Parties!$E$5:$E$304,R2198)&lt;&gt;HomeState),0,ROUND(K2198*L2198/2,2))),"")</f>
        <v/>
      </c>
      <c r="N2198" s="61" t="str">
        <f aca="false">IF(IsPro,IF($D2198="","",M2198),"")</f>
        <v/>
      </c>
      <c r="O2198" s="61" t="str">
        <f aca="false">IF(IsPro,IF($D2198="","",IF(AND(R2198&lt;&gt;"",INDEX(Parties!$E$5:$E$304,R2198)&lt;&gt;"",INDEX(Parties!$E$5:$E$304,R2198)&lt;&gt;HomeState),ROUND(K2198*L2198,2),0)),"")</f>
        <v/>
      </c>
      <c r="P2198" s="61" t="str">
        <f aca="false">IF(IsPro,IF($D2198="","",K2198+M2198+N2198+O2198),"")</f>
        <v/>
      </c>
      <c r="Q2198" s="60" t="str">
        <f aca="false">IF(IsPro,IF($D2198="","",IFERROR(MATCH($D2198,Items!$A$5:$A$504,0),"")),"")</f>
        <v/>
      </c>
      <c r="R2198" s="60" t="str">
        <f aca="false">IF(IsPro,IF($C2198="","",IFERROR(MATCH($C2198,Parties!$A$5:$A$304,0),"")),"")</f>
        <v/>
      </c>
      <c r="S2198" s="61" t="str">
        <f aca="false">IF(IsPro,IF($D2198="","",IF(OR($H2198="",$H2198="Credit"),0,P2198)),"")</f>
        <v/>
      </c>
    </row>
    <row r="2199" customFormat="false" ht="15" hidden="false" customHeight="false" outlineLevel="0" collapsed="false">
      <c r="A2199" s="55"/>
      <c r="B2199" s="56"/>
      <c r="C2199" s="56"/>
      <c r="D2199" s="56"/>
      <c r="E2199" s="57"/>
      <c r="F2199" s="58"/>
      <c r="G2199" s="59"/>
      <c r="H2199" s="56"/>
      <c r="I2199" s="60" t="str">
        <f aca="false">IF(IsPro,IF($D2199="","",IFERROR(INDEX(Items!$D$5:$D$504,Q2199),"")),IF($D2199="","","PRO PLAN"))</f>
        <v/>
      </c>
      <c r="J2199" s="61" t="str">
        <f aca="false">IF(IsPro,IF($D2199="","",IF($F2199="",IFERROR(INDEX(Items!$G$5:$G$504,Q2199),0),$F2199)),"")</f>
        <v/>
      </c>
      <c r="K2199" s="61" t="str">
        <f aca="false">IF(IsPro,IF($D2199="","",ROUND(N($E2199)*J2199*(1-N($G2199)),2)),"")</f>
        <v/>
      </c>
      <c r="L2199" s="62" t="str">
        <f aca="false">IF(IsPro,IF($D2199="","",IFERROR(INDEX(Items!$F$5:$F$504,Q2199),0)),"")</f>
        <v/>
      </c>
      <c r="M2199" s="61" t="str">
        <f aca="false">IF(IsPro,IF($D2199="","",IF(AND(R2199&lt;&gt;"",INDEX(Parties!$E$5:$E$304,R2199)&lt;&gt;"",INDEX(Parties!$E$5:$E$304,R2199)&lt;&gt;HomeState),0,ROUND(K2199*L2199/2,2))),"")</f>
        <v/>
      </c>
      <c r="N2199" s="61" t="str">
        <f aca="false">IF(IsPro,IF($D2199="","",M2199),"")</f>
        <v/>
      </c>
      <c r="O2199" s="61" t="str">
        <f aca="false">IF(IsPro,IF($D2199="","",IF(AND(R2199&lt;&gt;"",INDEX(Parties!$E$5:$E$304,R2199)&lt;&gt;"",INDEX(Parties!$E$5:$E$304,R2199)&lt;&gt;HomeState),ROUND(K2199*L2199,2),0)),"")</f>
        <v/>
      </c>
      <c r="P2199" s="61" t="str">
        <f aca="false">IF(IsPro,IF($D2199="","",K2199+M2199+N2199+O2199),"")</f>
        <v/>
      </c>
      <c r="Q2199" s="60" t="str">
        <f aca="false">IF(IsPro,IF($D2199="","",IFERROR(MATCH($D2199,Items!$A$5:$A$504,0),"")),"")</f>
        <v/>
      </c>
      <c r="R2199" s="60" t="str">
        <f aca="false">IF(IsPro,IF($C2199="","",IFERROR(MATCH($C2199,Parties!$A$5:$A$304,0),"")),"")</f>
        <v/>
      </c>
      <c r="S2199" s="61" t="str">
        <f aca="false">IF(IsPro,IF($D2199="","",IF(OR($H2199="",$H2199="Credit"),0,P2199)),"")</f>
        <v/>
      </c>
    </row>
    <row r="2200" customFormat="false" ht="15" hidden="false" customHeight="false" outlineLevel="0" collapsed="false">
      <c r="A2200" s="55"/>
      <c r="B2200" s="56"/>
      <c r="C2200" s="56"/>
      <c r="D2200" s="56"/>
      <c r="E2200" s="57"/>
      <c r="F2200" s="58"/>
      <c r="G2200" s="59"/>
      <c r="H2200" s="56"/>
      <c r="I2200" s="60" t="str">
        <f aca="false">IF(IsPro,IF($D2200="","",IFERROR(INDEX(Items!$D$5:$D$504,Q2200),"")),IF($D2200="","","PRO PLAN"))</f>
        <v/>
      </c>
      <c r="J2200" s="61" t="str">
        <f aca="false">IF(IsPro,IF($D2200="","",IF($F2200="",IFERROR(INDEX(Items!$G$5:$G$504,Q2200),0),$F2200)),"")</f>
        <v/>
      </c>
      <c r="K2200" s="61" t="str">
        <f aca="false">IF(IsPro,IF($D2200="","",ROUND(N($E2200)*J2200*(1-N($G2200)),2)),"")</f>
        <v/>
      </c>
      <c r="L2200" s="62" t="str">
        <f aca="false">IF(IsPro,IF($D2200="","",IFERROR(INDEX(Items!$F$5:$F$504,Q2200),0)),"")</f>
        <v/>
      </c>
      <c r="M2200" s="61" t="str">
        <f aca="false">IF(IsPro,IF($D2200="","",IF(AND(R2200&lt;&gt;"",INDEX(Parties!$E$5:$E$304,R2200)&lt;&gt;"",INDEX(Parties!$E$5:$E$304,R2200)&lt;&gt;HomeState),0,ROUND(K2200*L2200/2,2))),"")</f>
        <v/>
      </c>
      <c r="N2200" s="61" t="str">
        <f aca="false">IF(IsPro,IF($D2200="","",M2200),"")</f>
        <v/>
      </c>
      <c r="O2200" s="61" t="str">
        <f aca="false">IF(IsPro,IF($D2200="","",IF(AND(R2200&lt;&gt;"",INDEX(Parties!$E$5:$E$304,R2200)&lt;&gt;"",INDEX(Parties!$E$5:$E$304,R2200)&lt;&gt;HomeState),ROUND(K2200*L2200,2),0)),"")</f>
        <v/>
      </c>
      <c r="P2200" s="61" t="str">
        <f aca="false">IF(IsPro,IF($D2200="","",K2200+M2200+N2200+O2200),"")</f>
        <v/>
      </c>
      <c r="Q2200" s="60" t="str">
        <f aca="false">IF(IsPro,IF($D2200="","",IFERROR(MATCH($D2200,Items!$A$5:$A$504,0),"")),"")</f>
        <v/>
      </c>
      <c r="R2200" s="60" t="str">
        <f aca="false">IF(IsPro,IF($C2200="","",IFERROR(MATCH($C2200,Parties!$A$5:$A$304,0),"")),"")</f>
        <v/>
      </c>
      <c r="S2200" s="61" t="str">
        <f aca="false">IF(IsPro,IF($D2200="","",IF(OR($H2200="",$H2200="Credit"),0,P2200)),"")</f>
        <v/>
      </c>
    </row>
    <row r="2201" customFormat="false" ht="15" hidden="false" customHeight="false" outlineLevel="0" collapsed="false">
      <c r="A2201" s="55"/>
      <c r="B2201" s="56"/>
      <c r="C2201" s="56"/>
      <c r="D2201" s="56"/>
      <c r="E2201" s="57"/>
      <c r="F2201" s="58"/>
      <c r="G2201" s="59"/>
      <c r="H2201" s="56"/>
      <c r="I2201" s="60" t="str">
        <f aca="false">IF(IsPro,IF($D2201="","",IFERROR(INDEX(Items!$D$5:$D$504,Q2201),"")),IF($D2201="","","PRO PLAN"))</f>
        <v/>
      </c>
      <c r="J2201" s="61" t="str">
        <f aca="false">IF(IsPro,IF($D2201="","",IF($F2201="",IFERROR(INDEX(Items!$G$5:$G$504,Q2201),0),$F2201)),"")</f>
        <v/>
      </c>
      <c r="K2201" s="61" t="str">
        <f aca="false">IF(IsPro,IF($D2201="","",ROUND(N($E2201)*J2201*(1-N($G2201)),2)),"")</f>
        <v/>
      </c>
      <c r="L2201" s="62" t="str">
        <f aca="false">IF(IsPro,IF($D2201="","",IFERROR(INDEX(Items!$F$5:$F$504,Q2201),0)),"")</f>
        <v/>
      </c>
      <c r="M2201" s="61" t="str">
        <f aca="false">IF(IsPro,IF($D2201="","",IF(AND(R2201&lt;&gt;"",INDEX(Parties!$E$5:$E$304,R2201)&lt;&gt;"",INDEX(Parties!$E$5:$E$304,R2201)&lt;&gt;HomeState),0,ROUND(K2201*L2201/2,2))),"")</f>
        <v/>
      </c>
      <c r="N2201" s="61" t="str">
        <f aca="false">IF(IsPro,IF($D2201="","",M2201),"")</f>
        <v/>
      </c>
      <c r="O2201" s="61" t="str">
        <f aca="false">IF(IsPro,IF($D2201="","",IF(AND(R2201&lt;&gt;"",INDEX(Parties!$E$5:$E$304,R2201)&lt;&gt;"",INDEX(Parties!$E$5:$E$304,R2201)&lt;&gt;HomeState),ROUND(K2201*L2201,2),0)),"")</f>
        <v/>
      </c>
      <c r="P2201" s="61" t="str">
        <f aca="false">IF(IsPro,IF($D2201="","",K2201+M2201+N2201+O2201),"")</f>
        <v/>
      </c>
      <c r="Q2201" s="60" t="str">
        <f aca="false">IF(IsPro,IF($D2201="","",IFERROR(MATCH($D2201,Items!$A$5:$A$504,0),"")),"")</f>
        <v/>
      </c>
      <c r="R2201" s="60" t="str">
        <f aca="false">IF(IsPro,IF($C2201="","",IFERROR(MATCH($C2201,Parties!$A$5:$A$304,0),"")),"")</f>
        <v/>
      </c>
      <c r="S2201" s="61" t="str">
        <f aca="false">IF(IsPro,IF($D2201="","",IF(OR($H2201="",$H2201="Credit"),0,P2201)),"")</f>
        <v/>
      </c>
    </row>
    <row r="2202" customFormat="false" ht="15" hidden="false" customHeight="false" outlineLevel="0" collapsed="false">
      <c r="A2202" s="55"/>
      <c r="B2202" s="56"/>
      <c r="C2202" s="56"/>
      <c r="D2202" s="56"/>
      <c r="E2202" s="57"/>
      <c r="F2202" s="58"/>
      <c r="G2202" s="59"/>
      <c r="H2202" s="56"/>
      <c r="I2202" s="60" t="str">
        <f aca="false">IF(IsPro,IF($D2202="","",IFERROR(INDEX(Items!$D$5:$D$504,Q2202),"")),IF($D2202="","","PRO PLAN"))</f>
        <v/>
      </c>
      <c r="J2202" s="61" t="str">
        <f aca="false">IF(IsPro,IF($D2202="","",IF($F2202="",IFERROR(INDEX(Items!$G$5:$G$504,Q2202),0),$F2202)),"")</f>
        <v/>
      </c>
      <c r="K2202" s="61" t="str">
        <f aca="false">IF(IsPro,IF($D2202="","",ROUND(N($E2202)*J2202*(1-N($G2202)),2)),"")</f>
        <v/>
      </c>
      <c r="L2202" s="62" t="str">
        <f aca="false">IF(IsPro,IF($D2202="","",IFERROR(INDEX(Items!$F$5:$F$504,Q2202),0)),"")</f>
        <v/>
      </c>
      <c r="M2202" s="61" t="str">
        <f aca="false">IF(IsPro,IF($D2202="","",IF(AND(R2202&lt;&gt;"",INDEX(Parties!$E$5:$E$304,R2202)&lt;&gt;"",INDEX(Parties!$E$5:$E$304,R2202)&lt;&gt;HomeState),0,ROUND(K2202*L2202/2,2))),"")</f>
        <v/>
      </c>
      <c r="N2202" s="61" t="str">
        <f aca="false">IF(IsPro,IF($D2202="","",M2202),"")</f>
        <v/>
      </c>
      <c r="O2202" s="61" t="str">
        <f aca="false">IF(IsPro,IF($D2202="","",IF(AND(R2202&lt;&gt;"",INDEX(Parties!$E$5:$E$304,R2202)&lt;&gt;"",INDEX(Parties!$E$5:$E$304,R2202)&lt;&gt;HomeState),ROUND(K2202*L2202,2),0)),"")</f>
        <v/>
      </c>
      <c r="P2202" s="61" t="str">
        <f aca="false">IF(IsPro,IF($D2202="","",K2202+M2202+N2202+O2202),"")</f>
        <v/>
      </c>
      <c r="Q2202" s="60" t="str">
        <f aca="false">IF(IsPro,IF($D2202="","",IFERROR(MATCH($D2202,Items!$A$5:$A$504,0),"")),"")</f>
        <v/>
      </c>
      <c r="R2202" s="60" t="str">
        <f aca="false">IF(IsPro,IF($C2202="","",IFERROR(MATCH($C2202,Parties!$A$5:$A$304,0),"")),"")</f>
        <v/>
      </c>
      <c r="S2202" s="61" t="str">
        <f aca="false">IF(IsPro,IF($D2202="","",IF(OR($H2202="",$H2202="Credit"),0,P2202)),"")</f>
        <v/>
      </c>
    </row>
    <row r="2203" customFormat="false" ht="15" hidden="false" customHeight="false" outlineLevel="0" collapsed="false">
      <c r="A2203" s="55"/>
      <c r="B2203" s="56"/>
      <c r="C2203" s="56"/>
      <c r="D2203" s="56"/>
      <c r="E2203" s="57"/>
      <c r="F2203" s="58"/>
      <c r="G2203" s="59"/>
      <c r="H2203" s="56"/>
      <c r="I2203" s="60" t="str">
        <f aca="false">IF(IsPro,IF($D2203="","",IFERROR(INDEX(Items!$D$5:$D$504,Q2203),"")),IF($D2203="","","PRO PLAN"))</f>
        <v/>
      </c>
      <c r="J2203" s="61" t="str">
        <f aca="false">IF(IsPro,IF($D2203="","",IF($F2203="",IFERROR(INDEX(Items!$G$5:$G$504,Q2203),0),$F2203)),"")</f>
        <v/>
      </c>
      <c r="K2203" s="61" t="str">
        <f aca="false">IF(IsPro,IF($D2203="","",ROUND(N($E2203)*J2203*(1-N($G2203)),2)),"")</f>
        <v/>
      </c>
      <c r="L2203" s="62" t="str">
        <f aca="false">IF(IsPro,IF($D2203="","",IFERROR(INDEX(Items!$F$5:$F$504,Q2203),0)),"")</f>
        <v/>
      </c>
      <c r="M2203" s="61" t="str">
        <f aca="false">IF(IsPro,IF($D2203="","",IF(AND(R2203&lt;&gt;"",INDEX(Parties!$E$5:$E$304,R2203)&lt;&gt;"",INDEX(Parties!$E$5:$E$304,R2203)&lt;&gt;HomeState),0,ROUND(K2203*L2203/2,2))),"")</f>
        <v/>
      </c>
      <c r="N2203" s="61" t="str">
        <f aca="false">IF(IsPro,IF($D2203="","",M2203),"")</f>
        <v/>
      </c>
      <c r="O2203" s="61" t="str">
        <f aca="false">IF(IsPro,IF($D2203="","",IF(AND(R2203&lt;&gt;"",INDEX(Parties!$E$5:$E$304,R2203)&lt;&gt;"",INDEX(Parties!$E$5:$E$304,R2203)&lt;&gt;HomeState),ROUND(K2203*L2203,2),0)),"")</f>
        <v/>
      </c>
      <c r="P2203" s="61" t="str">
        <f aca="false">IF(IsPro,IF($D2203="","",K2203+M2203+N2203+O2203),"")</f>
        <v/>
      </c>
      <c r="Q2203" s="60" t="str">
        <f aca="false">IF(IsPro,IF($D2203="","",IFERROR(MATCH($D2203,Items!$A$5:$A$504,0),"")),"")</f>
        <v/>
      </c>
      <c r="R2203" s="60" t="str">
        <f aca="false">IF(IsPro,IF($C2203="","",IFERROR(MATCH($C2203,Parties!$A$5:$A$304,0),"")),"")</f>
        <v/>
      </c>
      <c r="S2203" s="61" t="str">
        <f aca="false">IF(IsPro,IF($D2203="","",IF(OR($H2203="",$H2203="Credit"),0,P2203)),"")</f>
        <v/>
      </c>
    </row>
    <row r="2204" customFormat="false" ht="15" hidden="false" customHeight="false" outlineLevel="0" collapsed="false">
      <c r="A2204" s="55"/>
      <c r="B2204" s="56"/>
      <c r="C2204" s="56"/>
      <c r="D2204" s="56"/>
      <c r="E2204" s="57"/>
      <c r="F2204" s="58"/>
      <c r="G2204" s="59"/>
      <c r="H2204" s="56"/>
      <c r="I2204" s="60" t="str">
        <f aca="false">IF(IsPro,IF($D2204="","",IFERROR(INDEX(Items!$D$5:$D$504,Q2204),"")),IF($D2204="","","PRO PLAN"))</f>
        <v/>
      </c>
      <c r="J2204" s="61" t="str">
        <f aca="false">IF(IsPro,IF($D2204="","",IF($F2204="",IFERROR(INDEX(Items!$G$5:$G$504,Q2204),0),$F2204)),"")</f>
        <v/>
      </c>
      <c r="K2204" s="61" t="str">
        <f aca="false">IF(IsPro,IF($D2204="","",ROUND(N($E2204)*J2204*(1-N($G2204)),2)),"")</f>
        <v/>
      </c>
      <c r="L2204" s="62" t="str">
        <f aca="false">IF(IsPro,IF($D2204="","",IFERROR(INDEX(Items!$F$5:$F$504,Q2204),0)),"")</f>
        <v/>
      </c>
      <c r="M2204" s="61" t="str">
        <f aca="false">IF(IsPro,IF($D2204="","",IF(AND(R2204&lt;&gt;"",INDEX(Parties!$E$5:$E$304,R2204)&lt;&gt;"",INDEX(Parties!$E$5:$E$304,R2204)&lt;&gt;HomeState),0,ROUND(K2204*L2204/2,2))),"")</f>
        <v/>
      </c>
      <c r="N2204" s="61" t="str">
        <f aca="false">IF(IsPro,IF($D2204="","",M2204),"")</f>
        <v/>
      </c>
      <c r="O2204" s="61" t="str">
        <f aca="false">IF(IsPro,IF($D2204="","",IF(AND(R2204&lt;&gt;"",INDEX(Parties!$E$5:$E$304,R2204)&lt;&gt;"",INDEX(Parties!$E$5:$E$304,R2204)&lt;&gt;HomeState),ROUND(K2204*L2204,2),0)),"")</f>
        <v/>
      </c>
      <c r="P2204" s="61" t="str">
        <f aca="false">IF(IsPro,IF($D2204="","",K2204+M2204+N2204+O2204),"")</f>
        <v/>
      </c>
      <c r="Q2204" s="60" t="str">
        <f aca="false">IF(IsPro,IF($D2204="","",IFERROR(MATCH($D2204,Items!$A$5:$A$504,0),"")),"")</f>
        <v/>
      </c>
      <c r="R2204" s="60" t="str">
        <f aca="false">IF(IsPro,IF($C2204="","",IFERROR(MATCH($C2204,Parties!$A$5:$A$304,0),"")),"")</f>
        <v/>
      </c>
      <c r="S2204" s="61" t="str">
        <f aca="false">IF(IsPro,IF($D2204="","",IF(OR($H2204="",$H2204="Credit"),0,P2204)),"")</f>
        <v/>
      </c>
    </row>
    <row r="2205" customFormat="false" ht="15" hidden="false" customHeight="false" outlineLevel="0" collapsed="false">
      <c r="A2205" s="55"/>
      <c r="B2205" s="56"/>
      <c r="C2205" s="56"/>
      <c r="D2205" s="56"/>
      <c r="E2205" s="57"/>
      <c r="F2205" s="58"/>
      <c r="G2205" s="59"/>
      <c r="H2205" s="56"/>
      <c r="I2205" s="60" t="str">
        <f aca="false">IF(IsPro,IF($D2205="","",IFERROR(INDEX(Items!$D$5:$D$504,Q2205),"")),IF($D2205="","","PRO PLAN"))</f>
        <v/>
      </c>
      <c r="J2205" s="61" t="str">
        <f aca="false">IF(IsPro,IF($D2205="","",IF($F2205="",IFERROR(INDEX(Items!$G$5:$G$504,Q2205),0),$F2205)),"")</f>
        <v/>
      </c>
      <c r="K2205" s="61" t="str">
        <f aca="false">IF(IsPro,IF($D2205="","",ROUND(N($E2205)*J2205*(1-N($G2205)),2)),"")</f>
        <v/>
      </c>
      <c r="L2205" s="62" t="str">
        <f aca="false">IF(IsPro,IF($D2205="","",IFERROR(INDEX(Items!$F$5:$F$504,Q2205),0)),"")</f>
        <v/>
      </c>
      <c r="M2205" s="61" t="str">
        <f aca="false">IF(IsPro,IF($D2205="","",IF(AND(R2205&lt;&gt;"",INDEX(Parties!$E$5:$E$304,R2205)&lt;&gt;"",INDEX(Parties!$E$5:$E$304,R2205)&lt;&gt;HomeState),0,ROUND(K2205*L2205/2,2))),"")</f>
        <v/>
      </c>
      <c r="N2205" s="61" t="str">
        <f aca="false">IF(IsPro,IF($D2205="","",M2205),"")</f>
        <v/>
      </c>
      <c r="O2205" s="61" t="str">
        <f aca="false">IF(IsPro,IF($D2205="","",IF(AND(R2205&lt;&gt;"",INDEX(Parties!$E$5:$E$304,R2205)&lt;&gt;"",INDEX(Parties!$E$5:$E$304,R2205)&lt;&gt;HomeState),ROUND(K2205*L2205,2),0)),"")</f>
        <v/>
      </c>
      <c r="P2205" s="61" t="str">
        <f aca="false">IF(IsPro,IF($D2205="","",K2205+M2205+N2205+O2205),"")</f>
        <v/>
      </c>
      <c r="Q2205" s="60" t="str">
        <f aca="false">IF(IsPro,IF($D2205="","",IFERROR(MATCH($D2205,Items!$A$5:$A$504,0),"")),"")</f>
        <v/>
      </c>
      <c r="R2205" s="60" t="str">
        <f aca="false">IF(IsPro,IF($C2205="","",IFERROR(MATCH($C2205,Parties!$A$5:$A$304,0),"")),"")</f>
        <v/>
      </c>
      <c r="S2205" s="61" t="str">
        <f aca="false">IF(IsPro,IF($D2205="","",IF(OR($H2205="",$H2205="Credit"),0,P2205)),"")</f>
        <v/>
      </c>
    </row>
    <row r="2206" customFormat="false" ht="15" hidden="false" customHeight="false" outlineLevel="0" collapsed="false">
      <c r="A2206" s="55"/>
      <c r="B2206" s="56"/>
      <c r="C2206" s="56"/>
      <c r="D2206" s="56"/>
      <c r="E2206" s="57"/>
      <c r="F2206" s="58"/>
      <c r="G2206" s="59"/>
      <c r="H2206" s="56"/>
      <c r="I2206" s="60" t="str">
        <f aca="false">IF(IsPro,IF($D2206="","",IFERROR(INDEX(Items!$D$5:$D$504,Q2206),"")),IF($D2206="","","PRO PLAN"))</f>
        <v/>
      </c>
      <c r="J2206" s="61" t="str">
        <f aca="false">IF(IsPro,IF($D2206="","",IF($F2206="",IFERROR(INDEX(Items!$G$5:$G$504,Q2206),0),$F2206)),"")</f>
        <v/>
      </c>
      <c r="K2206" s="61" t="str">
        <f aca="false">IF(IsPro,IF($D2206="","",ROUND(N($E2206)*J2206*(1-N($G2206)),2)),"")</f>
        <v/>
      </c>
      <c r="L2206" s="62" t="str">
        <f aca="false">IF(IsPro,IF($D2206="","",IFERROR(INDEX(Items!$F$5:$F$504,Q2206),0)),"")</f>
        <v/>
      </c>
      <c r="M2206" s="61" t="str">
        <f aca="false">IF(IsPro,IF($D2206="","",IF(AND(R2206&lt;&gt;"",INDEX(Parties!$E$5:$E$304,R2206)&lt;&gt;"",INDEX(Parties!$E$5:$E$304,R2206)&lt;&gt;HomeState),0,ROUND(K2206*L2206/2,2))),"")</f>
        <v/>
      </c>
      <c r="N2206" s="61" t="str">
        <f aca="false">IF(IsPro,IF($D2206="","",M2206),"")</f>
        <v/>
      </c>
      <c r="O2206" s="61" t="str">
        <f aca="false">IF(IsPro,IF($D2206="","",IF(AND(R2206&lt;&gt;"",INDEX(Parties!$E$5:$E$304,R2206)&lt;&gt;"",INDEX(Parties!$E$5:$E$304,R2206)&lt;&gt;HomeState),ROUND(K2206*L2206,2),0)),"")</f>
        <v/>
      </c>
      <c r="P2206" s="61" t="str">
        <f aca="false">IF(IsPro,IF($D2206="","",K2206+M2206+N2206+O2206),"")</f>
        <v/>
      </c>
      <c r="Q2206" s="60" t="str">
        <f aca="false">IF(IsPro,IF($D2206="","",IFERROR(MATCH($D2206,Items!$A$5:$A$504,0),"")),"")</f>
        <v/>
      </c>
      <c r="R2206" s="60" t="str">
        <f aca="false">IF(IsPro,IF($C2206="","",IFERROR(MATCH($C2206,Parties!$A$5:$A$304,0),"")),"")</f>
        <v/>
      </c>
      <c r="S2206" s="61" t="str">
        <f aca="false">IF(IsPro,IF($D2206="","",IF(OR($H2206="",$H2206="Credit"),0,P2206)),"")</f>
        <v/>
      </c>
    </row>
    <row r="2207" customFormat="false" ht="15" hidden="false" customHeight="false" outlineLevel="0" collapsed="false">
      <c r="A2207" s="55"/>
      <c r="B2207" s="56"/>
      <c r="C2207" s="56"/>
      <c r="D2207" s="56"/>
      <c r="E2207" s="57"/>
      <c r="F2207" s="58"/>
      <c r="G2207" s="59"/>
      <c r="H2207" s="56"/>
      <c r="I2207" s="60" t="str">
        <f aca="false">IF(IsPro,IF($D2207="","",IFERROR(INDEX(Items!$D$5:$D$504,Q2207),"")),IF($D2207="","","PRO PLAN"))</f>
        <v/>
      </c>
      <c r="J2207" s="61" t="str">
        <f aca="false">IF(IsPro,IF($D2207="","",IF($F2207="",IFERROR(INDEX(Items!$G$5:$G$504,Q2207),0),$F2207)),"")</f>
        <v/>
      </c>
      <c r="K2207" s="61" t="str">
        <f aca="false">IF(IsPro,IF($D2207="","",ROUND(N($E2207)*J2207*(1-N($G2207)),2)),"")</f>
        <v/>
      </c>
      <c r="L2207" s="62" t="str">
        <f aca="false">IF(IsPro,IF($D2207="","",IFERROR(INDEX(Items!$F$5:$F$504,Q2207),0)),"")</f>
        <v/>
      </c>
      <c r="M2207" s="61" t="str">
        <f aca="false">IF(IsPro,IF($D2207="","",IF(AND(R2207&lt;&gt;"",INDEX(Parties!$E$5:$E$304,R2207)&lt;&gt;"",INDEX(Parties!$E$5:$E$304,R2207)&lt;&gt;HomeState),0,ROUND(K2207*L2207/2,2))),"")</f>
        <v/>
      </c>
      <c r="N2207" s="61" t="str">
        <f aca="false">IF(IsPro,IF($D2207="","",M2207),"")</f>
        <v/>
      </c>
      <c r="O2207" s="61" t="str">
        <f aca="false">IF(IsPro,IF($D2207="","",IF(AND(R2207&lt;&gt;"",INDEX(Parties!$E$5:$E$304,R2207)&lt;&gt;"",INDEX(Parties!$E$5:$E$304,R2207)&lt;&gt;HomeState),ROUND(K2207*L2207,2),0)),"")</f>
        <v/>
      </c>
      <c r="P2207" s="61" t="str">
        <f aca="false">IF(IsPro,IF($D2207="","",K2207+M2207+N2207+O2207),"")</f>
        <v/>
      </c>
      <c r="Q2207" s="60" t="str">
        <f aca="false">IF(IsPro,IF($D2207="","",IFERROR(MATCH($D2207,Items!$A$5:$A$504,0),"")),"")</f>
        <v/>
      </c>
      <c r="R2207" s="60" t="str">
        <f aca="false">IF(IsPro,IF($C2207="","",IFERROR(MATCH($C2207,Parties!$A$5:$A$304,0),"")),"")</f>
        <v/>
      </c>
      <c r="S2207" s="61" t="str">
        <f aca="false">IF(IsPro,IF($D2207="","",IF(OR($H2207="",$H2207="Credit"),0,P2207)),"")</f>
        <v/>
      </c>
    </row>
    <row r="2208" customFormat="false" ht="15" hidden="false" customHeight="false" outlineLevel="0" collapsed="false">
      <c r="A2208" s="55"/>
      <c r="B2208" s="56"/>
      <c r="C2208" s="56"/>
      <c r="D2208" s="56"/>
      <c r="E2208" s="57"/>
      <c r="F2208" s="58"/>
      <c r="G2208" s="59"/>
      <c r="H2208" s="56"/>
      <c r="I2208" s="60" t="str">
        <f aca="false">IF(IsPro,IF($D2208="","",IFERROR(INDEX(Items!$D$5:$D$504,Q2208),"")),IF($D2208="","","PRO PLAN"))</f>
        <v/>
      </c>
      <c r="J2208" s="61" t="str">
        <f aca="false">IF(IsPro,IF($D2208="","",IF($F2208="",IFERROR(INDEX(Items!$G$5:$G$504,Q2208),0),$F2208)),"")</f>
        <v/>
      </c>
      <c r="K2208" s="61" t="str">
        <f aca="false">IF(IsPro,IF($D2208="","",ROUND(N($E2208)*J2208*(1-N($G2208)),2)),"")</f>
        <v/>
      </c>
      <c r="L2208" s="62" t="str">
        <f aca="false">IF(IsPro,IF($D2208="","",IFERROR(INDEX(Items!$F$5:$F$504,Q2208),0)),"")</f>
        <v/>
      </c>
      <c r="M2208" s="61" t="str">
        <f aca="false">IF(IsPro,IF($D2208="","",IF(AND(R2208&lt;&gt;"",INDEX(Parties!$E$5:$E$304,R2208)&lt;&gt;"",INDEX(Parties!$E$5:$E$304,R2208)&lt;&gt;HomeState),0,ROUND(K2208*L2208/2,2))),"")</f>
        <v/>
      </c>
      <c r="N2208" s="61" t="str">
        <f aca="false">IF(IsPro,IF($D2208="","",M2208),"")</f>
        <v/>
      </c>
      <c r="O2208" s="61" t="str">
        <f aca="false">IF(IsPro,IF($D2208="","",IF(AND(R2208&lt;&gt;"",INDEX(Parties!$E$5:$E$304,R2208)&lt;&gt;"",INDEX(Parties!$E$5:$E$304,R2208)&lt;&gt;HomeState),ROUND(K2208*L2208,2),0)),"")</f>
        <v/>
      </c>
      <c r="P2208" s="61" t="str">
        <f aca="false">IF(IsPro,IF($D2208="","",K2208+M2208+N2208+O2208),"")</f>
        <v/>
      </c>
      <c r="Q2208" s="60" t="str">
        <f aca="false">IF(IsPro,IF($D2208="","",IFERROR(MATCH($D2208,Items!$A$5:$A$504,0),"")),"")</f>
        <v/>
      </c>
      <c r="R2208" s="60" t="str">
        <f aca="false">IF(IsPro,IF($C2208="","",IFERROR(MATCH($C2208,Parties!$A$5:$A$304,0),"")),"")</f>
        <v/>
      </c>
      <c r="S2208" s="61" t="str">
        <f aca="false">IF(IsPro,IF($D2208="","",IF(OR($H2208="",$H2208="Credit"),0,P2208)),"")</f>
        <v/>
      </c>
    </row>
    <row r="2209" customFormat="false" ht="15" hidden="false" customHeight="false" outlineLevel="0" collapsed="false">
      <c r="A2209" s="55"/>
      <c r="B2209" s="56"/>
      <c r="C2209" s="56"/>
      <c r="D2209" s="56"/>
      <c r="E2209" s="57"/>
      <c r="F2209" s="58"/>
      <c r="G2209" s="59"/>
      <c r="H2209" s="56"/>
      <c r="I2209" s="60" t="str">
        <f aca="false">IF(IsPro,IF($D2209="","",IFERROR(INDEX(Items!$D$5:$D$504,Q2209),"")),IF($D2209="","","PRO PLAN"))</f>
        <v/>
      </c>
      <c r="J2209" s="61" t="str">
        <f aca="false">IF(IsPro,IF($D2209="","",IF($F2209="",IFERROR(INDEX(Items!$G$5:$G$504,Q2209),0),$F2209)),"")</f>
        <v/>
      </c>
      <c r="K2209" s="61" t="str">
        <f aca="false">IF(IsPro,IF($D2209="","",ROUND(N($E2209)*J2209*(1-N($G2209)),2)),"")</f>
        <v/>
      </c>
      <c r="L2209" s="62" t="str">
        <f aca="false">IF(IsPro,IF($D2209="","",IFERROR(INDEX(Items!$F$5:$F$504,Q2209),0)),"")</f>
        <v/>
      </c>
      <c r="M2209" s="61" t="str">
        <f aca="false">IF(IsPro,IF($D2209="","",IF(AND(R2209&lt;&gt;"",INDEX(Parties!$E$5:$E$304,R2209)&lt;&gt;"",INDEX(Parties!$E$5:$E$304,R2209)&lt;&gt;HomeState),0,ROUND(K2209*L2209/2,2))),"")</f>
        <v/>
      </c>
      <c r="N2209" s="61" t="str">
        <f aca="false">IF(IsPro,IF($D2209="","",M2209),"")</f>
        <v/>
      </c>
      <c r="O2209" s="61" t="str">
        <f aca="false">IF(IsPro,IF($D2209="","",IF(AND(R2209&lt;&gt;"",INDEX(Parties!$E$5:$E$304,R2209)&lt;&gt;"",INDEX(Parties!$E$5:$E$304,R2209)&lt;&gt;HomeState),ROUND(K2209*L2209,2),0)),"")</f>
        <v/>
      </c>
      <c r="P2209" s="61" t="str">
        <f aca="false">IF(IsPro,IF($D2209="","",K2209+M2209+N2209+O2209),"")</f>
        <v/>
      </c>
      <c r="Q2209" s="60" t="str">
        <f aca="false">IF(IsPro,IF($D2209="","",IFERROR(MATCH($D2209,Items!$A$5:$A$504,0),"")),"")</f>
        <v/>
      </c>
      <c r="R2209" s="60" t="str">
        <f aca="false">IF(IsPro,IF($C2209="","",IFERROR(MATCH($C2209,Parties!$A$5:$A$304,0),"")),"")</f>
        <v/>
      </c>
      <c r="S2209" s="61" t="str">
        <f aca="false">IF(IsPro,IF($D2209="","",IF(OR($H2209="",$H2209="Credit"),0,P2209)),"")</f>
        <v/>
      </c>
    </row>
    <row r="2210" customFormat="false" ht="15" hidden="false" customHeight="false" outlineLevel="0" collapsed="false">
      <c r="A2210" s="55"/>
      <c r="B2210" s="56"/>
      <c r="C2210" s="56"/>
      <c r="D2210" s="56"/>
      <c r="E2210" s="57"/>
      <c r="F2210" s="58"/>
      <c r="G2210" s="59"/>
      <c r="H2210" s="56"/>
      <c r="I2210" s="60" t="str">
        <f aca="false">IF(IsPro,IF($D2210="","",IFERROR(INDEX(Items!$D$5:$D$504,Q2210),"")),IF($D2210="","","PRO PLAN"))</f>
        <v/>
      </c>
      <c r="J2210" s="61" t="str">
        <f aca="false">IF(IsPro,IF($D2210="","",IF($F2210="",IFERROR(INDEX(Items!$G$5:$G$504,Q2210),0),$F2210)),"")</f>
        <v/>
      </c>
      <c r="K2210" s="61" t="str">
        <f aca="false">IF(IsPro,IF($D2210="","",ROUND(N($E2210)*J2210*(1-N($G2210)),2)),"")</f>
        <v/>
      </c>
      <c r="L2210" s="62" t="str">
        <f aca="false">IF(IsPro,IF($D2210="","",IFERROR(INDEX(Items!$F$5:$F$504,Q2210),0)),"")</f>
        <v/>
      </c>
      <c r="M2210" s="61" t="str">
        <f aca="false">IF(IsPro,IF($D2210="","",IF(AND(R2210&lt;&gt;"",INDEX(Parties!$E$5:$E$304,R2210)&lt;&gt;"",INDEX(Parties!$E$5:$E$304,R2210)&lt;&gt;HomeState),0,ROUND(K2210*L2210/2,2))),"")</f>
        <v/>
      </c>
      <c r="N2210" s="61" t="str">
        <f aca="false">IF(IsPro,IF($D2210="","",M2210),"")</f>
        <v/>
      </c>
      <c r="O2210" s="61" t="str">
        <f aca="false">IF(IsPro,IF($D2210="","",IF(AND(R2210&lt;&gt;"",INDEX(Parties!$E$5:$E$304,R2210)&lt;&gt;"",INDEX(Parties!$E$5:$E$304,R2210)&lt;&gt;HomeState),ROUND(K2210*L2210,2),0)),"")</f>
        <v/>
      </c>
      <c r="P2210" s="61" t="str">
        <f aca="false">IF(IsPro,IF($D2210="","",K2210+M2210+N2210+O2210),"")</f>
        <v/>
      </c>
      <c r="Q2210" s="60" t="str">
        <f aca="false">IF(IsPro,IF($D2210="","",IFERROR(MATCH($D2210,Items!$A$5:$A$504,0),"")),"")</f>
        <v/>
      </c>
      <c r="R2210" s="60" t="str">
        <f aca="false">IF(IsPro,IF($C2210="","",IFERROR(MATCH($C2210,Parties!$A$5:$A$304,0),"")),"")</f>
        <v/>
      </c>
      <c r="S2210" s="61" t="str">
        <f aca="false">IF(IsPro,IF($D2210="","",IF(OR($H2210="",$H2210="Credit"),0,P2210)),"")</f>
        <v/>
      </c>
    </row>
    <row r="2211" customFormat="false" ht="15" hidden="false" customHeight="false" outlineLevel="0" collapsed="false">
      <c r="A2211" s="55"/>
      <c r="B2211" s="56"/>
      <c r="C2211" s="56"/>
      <c r="D2211" s="56"/>
      <c r="E2211" s="57"/>
      <c r="F2211" s="58"/>
      <c r="G2211" s="59"/>
      <c r="H2211" s="56"/>
      <c r="I2211" s="60" t="str">
        <f aca="false">IF(IsPro,IF($D2211="","",IFERROR(INDEX(Items!$D$5:$D$504,Q2211),"")),IF($D2211="","","PRO PLAN"))</f>
        <v/>
      </c>
      <c r="J2211" s="61" t="str">
        <f aca="false">IF(IsPro,IF($D2211="","",IF($F2211="",IFERROR(INDEX(Items!$G$5:$G$504,Q2211),0),$F2211)),"")</f>
        <v/>
      </c>
      <c r="K2211" s="61" t="str">
        <f aca="false">IF(IsPro,IF($D2211="","",ROUND(N($E2211)*J2211*(1-N($G2211)),2)),"")</f>
        <v/>
      </c>
      <c r="L2211" s="62" t="str">
        <f aca="false">IF(IsPro,IF($D2211="","",IFERROR(INDEX(Items!$F$5:$F$504,Q2211),0)),"")</f>
        <v/>
      </c>
      <c r="M2211" s="61" t="str">
        <f aca="false">IF(IsPro,IF($D2211="","",IF(AND(R2211&lt;&gt;"",INDEX(Parties!$E$5:$E$304,R2211)&lt;&gt;"",INDEX(Parties!$E$5:$E$304,R2211)&lt;&gt;HomeState),0,ROUND(K2211*L2211/2,2))),"")</f>
        <v/>
      </c>
      <c r="N2211" s="61" t="str">
        <f aca="false">IF(IsPro,IF($D2211="","",M2211),"")</f>
        <v/>
      </c>
      <c r="O2211" s="61" t="str">
        <f aca="false">IF(IsPro,IF($D2211="","",IF(AND(R2211&lt;&gt;"",INDEX(Parties!$E$5:$E$304,R2211)&lt;&gt;"",INDEX(Parties!$E$5:$E$304,R2211)&lt;&gt;HomeState),ROUND(K2211*L2211,2),0)),"")</f>
        <v/>
      </c>
      <c r="P2211" s="61" t="str">
        <f aca="false">IF(IsPro,IF($D2211="","",K2211+M2211+N2211+O2211),"")</f>
        <v/>
      </c>
      <c r="Q2211" s="60" t="str">
        <f aca="false">IF(IsPro,IF($D2211="","",IFERROR(MATCH($D2211,Items!$A$5:$A$504,0),"")),"")</f>
        <v/>
      </c>
      <c r="R2211" s="60" t="str">
        <f aca="false">IF(IsPro,IF($C2211="","",IFERROR(MATCH($C2211,Parties!$A$5:$A$304,0),"")),"")</f>
        <v/>
      </c>
      <c r="S2211" s="61" t="str">
        <f aca="false">IF(IsPro,IF($D2211="","",IF(OR($H2211="",$H2211="Credit"),0,P2211)),"")</f>
        <v/>
      </c>
    </row>
    <row r="2212" customFormat="false" ht="15" hidden="false" customHeight="false" outlineLevel="0" collapsed="false">
      <c r="A2212" s="55"/>
      <c r="B2212" s="56"/>
      <c r="C2212" s="56"/>
      <c r="D2212" s="56"/>
      <c r="E2212" s="57"/>
      <c r="F2212" s="58"/>
      <c r="G2212" s="59"/>
      <c r="H2212" s="56"/>
      <c r="I2212" s="60" t="str">
        <f aca="false">IF(IsPro,IF($D2212="","",IFERROR(INDEX(Items!$D$5:$D$504,Q2212),"")),IF($D2212="","","PRO PLAN"))</f>
        <v/>
      </c>
      <c r="J2212" s="61" t="str">
        <f aca="false">IF(IsPro,IF($D2212="","",IF($F2212="",IFERROR(INDEX(Items!$G$5:$G$504,Q2212),0),$F2212)),"")</f>
        <v/>
      </c>
      <c r="K2212" s="61" t="str">
        <f aca="false">IF(IsPro,IF($D2212="","",ROUND(N($E2212)*J2212*(1-N($G2212)),2)),"")</f>
        <v/>
      </c>
      <c r="L2212" s="62" t="str">
        <f aca="false">IF(IsPro,IF($D2212="","",IFERROR(INDEX(Items!$F$5:$F$504,Q2212),0)),"")</f>
        <v/>
      </c>
      <c r="M2212" s="61" t="str">
        <f aca="false">IF(IsPro,IF($D2212="","",IF(AND(R2212&lt;&gt;"",INDEX(Parties!$E$5:$E$304,R2212)&lt;&gt;"",INDEX(Parties!$E$5:$E$304,R2212)&lt;&gt;HomeState),0,ROUND(K2212*L2212/2,2))),"")</f>
        <v/>
      </c>
      <c r="N2212" s="61" t="str">
        <f aca="false">IF(IsPro,IF($D2212="","",M2212),"")</f>
        <v/>
      </c>
      <c r="O2212" s="61" t="str">
        <f aca="false">IF(IsPro,IF($D2212="","",IF(AND(R2212&lt;&gt;"",INDEX(Parties!$E$5:$E$304,R2212)&lt;&gt;"",INDEX(Parties!$E$5:$E$304,R2212)&lt;&gt;HomeState),ROUND(K2212*L2212,2),0)),"")</f>
        <v/>
      </c>
      <c r="P2212" s="61" t="str">
        <f aca="false">IF(IsPro,IF($D2212="","",K2212+M2212+N2212+O2212),"")</f>
        <v/>
      </c>
      <c r="Q2212" s="60" t="str">
        <f aca="false">IF(IsPro,IF($D2212="","",IFERROR(MATCH($D2212,Items!$A$5:$A$504,0),"")),"")</f>
        <v/>
      </c>
      <c r="R2212" s="60" t="str">
        <f aca="false">IF(IsPro,IF($C2212="","",IFERROR(MATCH($C2212,Parties!$A$5:$A$304,0),"")),"")</f>
        <v/>
      </c>
      <c r="S2212" s="61" t="str">
        <f aca="false">IF(IsPro,IF($D2212="","",IF(OR($H2212="",$H2212="Credit"),0,P2212)),"")</f>
        <v/>
      </c>
    </row>
    <row r="2213" customFormat="false" ht="15" hidden="false" customHeight="false" outlineLevel="0" collapsed="false">
      <c r="A2213" s="55"/>
      <c r="B2213" s="56"/>
      <c r="C2213" s="56"/>
      <c r="D2213" s="56"/>
      <c r="E2213" s="57"/>
      <c r="F2213" s="58"/>
      <c r="G2213" s="59"/>
      <c r="H2213" s="56"/>
      <c r="I2213" s="60" t="str">
        <f aca="false">IF(IsPro,IF($D2213="","",IFERROR(INDEX(Items!$D$5:$D$504,Q2213),"")),IF($D2213="","","PRO PLAN"))</f>
        <v/>
      </c>
      <c r="J2213" s="61" t="str">
        <f aca="false">IF(IsPro,IF($D2213="","",IF($F2213="",IFERROR(INDEX(Items!$G$5:$G$504,Q2213),0),$F2213)),"")</f>
        <v/>
      </c>
      <c r="K2213" s="61" t="str">
        <f aca="false">IF(IsPro,IF($D2213="","",ROUND(N($E2213)*J2213*(1-N($G2213)),2)),"")</f>
        <v/>
      </c>
      <c r="L2213" s="62" t="str">
        <f aca="false">IF(IsPro,IF($D2213="","",IFERROR(INDEX(Items!$F$5:$F$504,Q2213),0)),"")</f>
        <v/>
      </c>
      <c r="M2213" s="61" t="str">
        <f aca="false">IF(IsPro,IF($D2213="","",IF(AND(R2213&lt;&gt;"",INDEX(Parties!$E$5:$E$304,R2213)&lt;&gt;"",INDEX(Parties!$E$5:$E$304,R2213)&lt;&gt;HomeState),0,ROUND(K2213*L2213/2,2))),"")</f>
        <v/>
      </c>
      <c r="N2213" s="61" t="str">
        <f aca="false">IF(IsPro,IF($D2213="","",M2213),"")</f>
        <v/>
      </c>
      <c r="O2213" s="61" t="str">
        <f aca="false">IF(IsPro,IF($D2213="","",IF(AND(R2213&lt;&gt;"",INDEX(Parties!$E$5:$E$304,R2213)&lt;&gt;"",INDEX(Parties!$E$5:$E$304,R2213)&lt;&gt;HomeState),ROUND(K2213*L2213,2),0)),"")</f>
        <v/>
      </c>
      <c r="P2213" s="61" t="str">
        <f aca="false">IF(IsPro,IF($D2213="","",K2213+M2213+N2213+O2213),"")</f>
        <v/>
      </c>
      <c r="Q2213" s="60" t="str">
        <f aca="false">IF(IsPro,IF($D2213="","",IFERROR(MATCH($D2213,Items!$A$5:$A$504,0),"")),"")</f>
        <v/>
      </c>
      <c r="R2213" s="60" t="str">
        <f aca="false">IF(IsPro,IF($C2213="","",IFERROR(MATCH($C2213,Parties!$A$5:$A$304,0),"")),"")</f>
        <v/>
      </c>
      <c r="S2213" s="61" t="str">
        <f aca="false">IF(IsPro,IF($D2213="","",IF(OR($H2213="",$H2213="Credit"),0,P2213)),"")</f>
        <v/>
      </c>
    </row>
    <row r="2214" customFormat="false" ht="15" hidden="false" customHeight="false" outlineLevel="0" collapsed="false">
      <c r="A2214" s="55"/>
      <c r="B2214" s="56"/>
      <c r="C2214" s="56"/>
      <c r="D2214" s="56"/>
      <c r="E2214" s="57"/>
      <c r="F2214" s="58"/>
      <c r="G2214" s="59"/>
      <c r="H2214" s="56"/>
      <c r="I2214" s="60" t="str">
        <f aca="false">IF(IsPro,IF($D2214="","",IFERROR(INDEX(Items!$D$5:$D$504,Q2214),"")),IF($D2214="","","PRO PLAN"))</f>
        <v/>
      </c>
      <c r="J2214" s="61" t="str">
        <f aca="false">IF(IsPro,IF($D2214="","",IF($F2214="",IFERROR(INDEX(Items!$G$5:$G$504,Q2214),0),$F2214)),"")</f>
        <v/>
      </c>
      <c r="K2214" s="61" t="str">
        <f aca="false">IF(IsPro,IF($D2214="","",ROUND(N($E2214)*J2214*(1-N($G2214)),2)),"")</f>
        <v/>
      </c>
      <c r="L2214" s="62" t="str">
        <f aca="false">IF(IsPro,IF($D2214="","",IFERROR(INDEX(Items!$F$5:$F$504,Q2214),0)),"")</f>
        <v/>
      </c>
      <c r="M2214" s="61" t="str">
        <f aca="false">IF(IsPro,IF($D2214="","",IF(AND(R2214&lt;&gt;"",INDEX(Parties!$E$5:$E$304,R2214)&lt;&gt;"",INDEX(Parties!$E$5:$E$304,R2214)&lt;&gt;HomeState),0,ROUND(K2214*L2214/2,2))),"")</f>
        <v/>
      </c>
      <c r="N2214" s="61" t="str">
        <f aca="false">IF(IsPro,IF($D2214="","",M2214),"")</f>
        <v/>
      </c>
      <c r="O2214" s="61" t="str">
        <f aca="false">IF(IsPro,IF($D2214="","",IF(AND(R2214&lt;&gt;"",INDEX(Parties!$E$5:$E$304,R2214)&lt;&gt;"",INDEX(Parties!$E$5:$E$304,R2214)&lt;&gt;HomeState),ROUND(K2214*L2214,2),0)),"")</f>
        <v/>
      </c>
      <c r="P2214" s="61" t="str">
        <f aca="false">IF(IsPro,IF($D2214="","",K2214+M2214+N2214+O2214),"")</f>
        <v/>
      </c>
      <c r="Q2214" s="60" t="str">
        <f aca="false">IF(IsPro,IF($D2214="","",IFERROR(MATCH($D2214,Items!$A$5:$A$504,0),"")),"")</f>
        <v/>
      </c>
      <c r="R2214" s="60" t="str">
        <f aca="false">IF(IsPro,IF($C2214="","",IFERROR(MATCH($C2214,Parties!$A$5:$A$304,0),"")),"")</f>
        <v/>
      </c>
      <c r="S2214" s="61" t="str">
        <f aca="false">IF(IsPro,IF($D2214="","",IF(OR($H2214="",$H2214="Credit"),0,P2214)),"")</f>
        <v/>
      </c>
    </row>
    <row r="2215" customFormat="false" ht="15" hidden="false" customHeight="false" outlineLevel="0" collapsed="false">
      <c r="A2215" s="55"/>
      <c r="B2215" s="56"/>
      <c r="C2215" s="56"/>
      <c r="D2215" s="56"/>
      <c r="E2215" s="57"/>
      <c r="F2215" s="58"/>
      <c r="G2215" s="59"/>
      <c r="H2215" s="56"/>
      <c r="I2215" s="60" t="str">
        <f aca="false">IF(IsPro,IF($D2215="","",IFERROR(INDEX(Items!$D$5:$D$504,Q2215),"")),IF($D2215="","","PRO PLAN"))</f>
        <v/>
      </c>
      <c r="J2215" s="61" t="str">
        <f aca="false">IF(IsPro,IF($D2215="","",IF($F2215="",IFERROR(INDEX(Items!$G$5:$G$504,Q2215),0),$F2215)),"")</f>
        <v/>
      </c>
      <c r="K2215" s="61" t="str">
        <f aca="false">IF(IsPro,IF($D2215="","",ROUND(N($E2215)*J2215*(1-N($G2215)),2)),"")</f>
        <v/>
      </c>
      <c r="L2215" s="62" t="str">
        <f aca="false">IF(IsPro,IF($D2215="","",IFERROR(INDEX(Items!$F$5:$F$504,Q2215),0)),"")</f>
        <v/>
      </c>
      <c r="M2215" s="61" t="str">
        <f aca="false">IF(IsPro,IF($D2215="","",IF(AND(R2215&lt;&gt;"",INDEX(Parties!$E$5:$E$304,R2215)&lt;&gt;"",INDEX(Parties!$E$5:$E$304,R2215)&lt;&gt;HomeState),0,ROUND(K2215*L2215/2,2))),"")</f>
        <v/>
      </c>
      <c r="N2215" s="61" t="str">
        <f aca="false">IF(IsPro,IF($D2215="","",M2215),"")</f>
        <v/>
      </c>
      <c r="O2215" s="61" t="str">
        <f aca="false">IF(IsPro,IF($D2215="","",IF(AND(R2215&lt;&gt;"",INDEX(Parties!$E$5:$E$304,R2215)&lt;&gt;"",INDEX(Parties!$E$5:$E$304,R2215)&lt;&gt;HomeState),ROUND(K2215*L2215,2),0)),"")</f>
        <v/>
      </c>
      <c r="P2215" s="61" t="str">
        <f aca="false">IF(IsPro,IF($D2215="","",K2215+M2215+N2215+O2215),"")</f>
        <v/>
      </c>
      <c r="Q2215" s="60" t="str">
        <f aca="false">IF(IsPro,IF($D2215="","",IFERROR(MATCH($D2215,Items!$A$5:$A$504,0),"")),"")</f>
        <v/>
      </c>
      <c r="R2215" s="60" t="str">
        <f aca="false">IF(IsPro,IF($C2215="","",IFERROR(MATCH($C2215,Parties!$A$5:$A$304,0),"")),"")</f>
        <v/>
      </c>
      <c r="S2215" s="61" t="str">
        <f aca="false">IF(IsPro,IF($D2215="","",IF(OR($H2215="",$H2215="Credit"),0,P2215)),"")</f>
        <v/>
      </c>
    </row>
    <row r="2216" customFormat="false" ht="15" hidden="false" customHeight="false" outlineLevel="0" collapsed="false">
      <c r="A2216" s="55"/>
      <c r="B2216" s="56"/>
      <c r="C2216" s="56"/>
      <c r="D2216" s="56"/>
      <c r="E2216" s="57"/>
      <c r="F2216" s="58"/>
      <c r="G2216" s="59"/>
      <c r="H2216" s="56"/>
      <c r="I2216" s="60" t="str">
        <f aca="false">IF(IsPro,IF($D2216="","",IFERROR(INDEX(Items!$D$5:$D$504,Q2216),"")),IF($D2216="","","PRO PLAN"))</f>
        <v/>
      </c>
      <c r="J2216" s="61" t="str">
        <f aca="false">IF(IsPro,IF($D2216="","",IF($F2216="",IFERROR(INDEX(Items!$G$5:$G$504,Q2216),0),$F2216)),"")</f>
        <v/>
      </c>
      <c r="K2216" s="61" t="str">
        <f aca="false">IF(IsPro,IF($D2216="","",ROUND(N($E2216)*J2216*(1-N($G2216)),2)),"")</f>
        <v/>
      </c>
      <c r="L2216" s="62" t="str">
        <f aca="false">IF(IsPro,IF($D2216="","",IFERROR(INDEX(Items!$F$5:$F$504,Q2216),0)),"")</f>
        <v/>
      </c>
      <c r="M2216" s="61" t="str">
        <f aca="false">IF(IsPro,IF($D2216="","",IF(AND(R2216&lt;&gt;"",INDEX(Parties!$E$5:$E$304,R2216)&lt;&gt;"",INDEX(Parties!$E$5:$E$304,R2216)&lt;&gt;HomeState),0,ROUND(K2216*L2216/2,2))),"")</f>
        <v/>
      </c>
      <c r="N2216" s="61" t="str">
        <f aca="false">IF(IsPro,IF($D2216="","",M2216),"")</f>
        <v/>
      </c>
      <c r="O2216" s="61" t="str">
        <f aca="false">IF(IsPro,IF($D2216="","",IF(AND(R2216&lt;&gt;"",INDEX(Parties!$E$5:$E$304,R2216)&lt;&gt;"",INDEX(Parties!$E$5:$E$304,R2216)&lt;&gt;HomeState),ROUND(K2216*L2216,2),0)),"")</f>
        <v/>
      </c>
      <c r="P2216" s="61" t="str">
        <f aca="false">IF(IsPro,IF($D2216="","",K2216+M2216+N2216+O2216),"")</f>
        <v/>
      </c>
      <c r="Q2216" s="60" t="str">
        <f aca="false">IF(IsPro,IF($D2216="","",IFERROR(MATCH($D2216,Items!$A$5:$A$504,0),"")),"")</f>
        <v/>
      </c>
      <c r="R2216" s="60" t="str">
        <f aca="false">IF(IsPro,IF($C2216="","",IFERROR(MATCH($C2216,Parties!$A$5:$A$304,0),"")),"")</f>
        <v/>
      </c>
      <c r="S2216" s="61" t="str">
        <f aca="false">IF(IsPro,IF($D2216="","",IF(OR($H2216="",$H2216="Credit"),0,P2216)),"")</f>
        <v/>
      </c>
    </row>
    <row r="2217" customFormat="false" ht="15" hidden="false" customHeight="false" outlineLevel="0" collapsed="false">
      <c r="A2217" s="55"/>
      <c r="B2217" s="56"/>
      <c r="C2217" s="56"/>
      <c r="D2217" s="56"/>
      <c r="E2217" s="57"/>
      <c r="F2217" s="58"/>
      <c r="G2217" s="59"/>
      <c r="H2217" s="56"/>
      <c r="I2217" s="60" t="str">
        <f aca="false">IF(IsPro,IF($D2217="","",IFERROR(INDEX(Items!$D$5:$D$504,Q2217),"")),IF($D2217="","","PRO PLAN"))</f>
        <v/>
      </c>
      <c r="J2217" s="61" t="str">
        <f aca="false">IF(IsPro,IF($D2217="","",IF($F2217="",IFERROR(INDEX(Items!$G$5:$G$504,Q2217),0),$F2217)),"")</f>
        <v/>
      </c>
      <c r="K2217" s="61" t="str">
        <f aca="false">IF(IsPro,IF($D2217="","",ROUND(N($E2217)*J2217*(1-N($G2217)),2)),"")</f>
        <v/>
      </c>
      <c r="L2217" s="62" t="str">
        <f aca="false">IF(IsPro,IF($D2217="","",IFERROR(INDEX(Items!$F$5:$F$504,Q2217),0)),"")</f>
        <v/>
      </c>
      <c r="M2217" s="61" t="str">
        <f aca="false">IF(IsPro,IF($D2217="","",IF(AND(R2217&lt;&gt;"",INDEX(Parties!$E$5:$E$304,R2217)&lt;&gt;"",INDEX(Parties!$E$5:$E$304,R2217)&lt;&gt;HomeState),0,ROUND(K2217*L2217/2,2))),"")</f>
        <v/>
      </c>
      <c r="N2217" s="61" t="str">
        <f aca="false">IF(IsPro,IF($D2217="","",M2217),"")</f>
        <v/>
      </c>
      <c r="O2217" s="61" t="str">
        <f aca="false">IF(IsPro,IF($D2217="","",IF(AND(R2217&lt;&gt;"",INDEX(Parties!$E$5:$E$304,R2217)&lt;&gt;"",INDEX(Parties!$E$5:$E$304,R2217)&lt;&gt;HomeState),ROUND(K2217*L2217,2),0)),"")</f>
        <v/>
      </c>
      <c r="P2217" s="61" t="str">
        <f aca="false">IF(IsPro,IF($D2217="","",K2217+M2217+N2217+O2217),"")</f>
        <v/>
      </c>
      <c r="Q2217" s="60" t="str">
        <f aca="false">IF(IsPro,IF($D2217="","",IFERROR(MATCH($D2217,Items!$A$5:$A$504,0),"")),"")</f>
        <v/>
      </c>
      <c r="R2217" s="60" t="str">
        <f aca="false">IF(IsPro,IF($C2217="","",IFERROR(MATCH($C2217,Parties!$A$5:$A$304,0),"")),"")</f>
        <v/>
      </c>
      <c r="S2217" s="61" t="str">
        <f aca="false">IF(IsPro,IF($D2217="","",IF(OR($H2217="",$H2217="Credit"),0,P2217)),"")</f>
        <v/>
      </c>
    </row>
    <row r="2218" customFormat="false" ht="15" hidden="false" customHeight="false" outlineLevel="0" collapsed="false">
      <c r="A2218" s="55"/>
      <c r="B2218" s="56"/>
      <c r="C2218" s="56"/>
      <c r="D2218" s="56"/>
      <c r="E2218" s="57"/>
      <c r="F2218" s="58"/>
      <c r="G2218" s="59"/>
      <c r="H2218" s="56"/>
      <c r="I2218" s="60" t="str">
        <f aca="false">IF(IsPro,IF($D2218="","",IFERROR(INDEX(Items!$D$5:$D$504,Q2218),"")),IF($D2218="","","PRO PLAN"))</f>
        <v/>
      </c>
      <c r="J2218" s="61" t="str">
        <f aca="false">IF(IsPro,IF($D2218="","",IF($F2218="",IFERROR(INDEX(Items!$G$5:$G$504,Q2218),0),$F2218)),"")</f>
        <v/>
      </c>
      <c r="K2218" s="61" t="str">
        <f aca="false">IF(IsPro,IF($D2218="","",ROUND(N($E2218)*J2218*(1-N($G2218)),2)),"")</f>
        <v/>
      </c>
      <c r="L2218" s="62" t="str">
        <f aca="false">IF(IsPro,IF($D2218="","",IFERROR(INDEX(Items!$F$5:$F$504,Q2218),0)),"")</f>
        <v/>
      </c>
      <c r="M2218" s="61" t="str">
        <f aca="false">IF(IsPro,IF($D2218="","",IF(AND(R2218&lt;&gt;"",INDEX(Parties!$E$5:$E$304,R2218)&lt;&gt;"",INDEX(Parties!$E$5:$E$304,R2218)&lt;&gt;HomeState),0,ROUND(K2218*L2218/2,2))),"")</f>
        <v/>
      </c>
      <c r="N2218" s="61" t="str">
        <f aca="false">IF(IsPro,IF($D2218="","",M2218),"")</f>
        <v/>
      </c>
      <c r="O2218" s="61" t="str">
        <f aca="false">IF(IsPro,IF($D2218="","",IF(AND(R2218&lt;&gt;"",INDEX(Parties!$E$5:$E$304,R2218)&lt;&gt;"",INDEX(Parties!$E$5:$E$304,R2218)&lt;&gt;HomeState),ROUND(K2218*L2218,2),0)),"")</f>
        <v/>
      </c>
      <c r="P2218" s="61" t="str">
        <f aca="false">IF(IsPro,IF($D2218="","",K2218+M2218+N2218+O2218),"")</f>
        <v/>
      </c>
      <c r="Q2218" s="60" t="str">
        <f aca="false">IF(IsPro,IF($D2218="","",IFERROR(MATCH($D2218,Items!$A$5:$A$504,0),"")),"")</f>
        <v/>
      </c>
      <c r="R2218" s="60" t="str">
        <f aca="false">IF(IsPro,IF($C2218="","",IFERROR(MATCH($C2218,Parties!$A$5:$A$304,0),"")),"")</f>
        <v/>
      </c>
      <c r="S2218" s="61" t="str">
        <f aca="false">IF(IsPro,IF($D2218="","",IF(OR($H2218="",$H2218="Credit"),0,P2218)),"")</f>
        <v/>
      </c>
    </row>
    <row r="2219" customFormat="false" ht="15" hidden="false" customHeight="false" outlineLevel="0" collapsed="false">
      <c r="A2219" s="55"/>
      <c r="B2219" s="56"/>
      <c r="C2219" s="56"/>
      <c r="D2219" s="56"/>
      <c r="E2219" s="57"/>
      <c r="F2219" s="58"/>
      <c r="G2219" s="59"/>
      <c r="H2219" s="56"/>
      <c r="I2219" s="60" t="str">
        <f aca="false">IF(IsPro,IF($D2219="","",IFERROR(INDEX(Items!$D$5:$D$504,Q2219),"")),IF($D2219="","","PRO PLAN"))</f>
        <v/>
      </c>
      <c r="J2219" s="61" t="str">
        <f aca="false">IF(IsPro,IF($D2219="","",IF($F2219="",IFERROR(INDEX(Items!$G$5:$G$504,Q2219),0),$F2219)),"")</f>
        <v/>
      </c>
      <c r="K2219" s="61" t="str">
        <f aca="false">IF(IsPro,IF($D2219="","",ROUND(N($E2219)*J2219*(1-N($G2219)),2)),"")</f>
        <v/>
      </c>
      <c r="L2219" s="62" t="str">
        <f aca="false">IF(IsPro,IF($D2219="","",IFERROR(INDEX(Items!$F$5:$F$504,Q2219),0)),"")</f>
        <v/>
      </c>
      <c r="M2219" s="61" t="str">
        <f aca="false">IF(IsPro,IF($D2219="","",IF(AND(R2219&lt;&gt;"",INDEX(Parties!$E$5:$E$304,R2219)&lt;&gt;"",INDEX(Parties!$E$5:$E$304,R2219)&lt;&gt;HomeState),0,ROUND(K2219*L2219/2,2))),"")</f>
        <v/>
      </c>
      <c r="N2219" s="61" t="str">
        <f aca="false">IF(IsPro,IF($D2219="","",M2219),"")</f>
        <v/>
      </c>
      <c r="O2219" s="61" t="str">
        <f aca="false">IF(IsPro,IF($D2219="","",IF(AND(R2219&lt;&gt;"",INDEX(Parties!$E$5:$E$304,R2219)&lt;&gt;"",INDEX(Parties!$E$5:$E$304,R2219)&lt;&gt;HomeState),ROUND(K2219*L2219,2),0)),"")</f>
        <v/>
      </c>
      <c r="P2219" s="61" t="str">
        <f aca="false">IF(IsPro,IF($D2219="","",K2219+M2219+N2219+O2219),"")</f>
        <v/>
      </c>
      <c r="Q2219" s="60" t="str">
        <f aca="false">IF(IsPro,IF($D2219="","",IFERROR(MATCH($D2219,Items!$A$5:$A$504,0),"")),"")</f>
        <v/>
      </c>
      <c r="R2219" s="60" t="str">
        <f aca="false">IF(IsPro,IF($C2219="","",IFERROR(MATCH($C2219,Parties!$A$5:$A$304,0),"")),"")</f>
        <v/>
      </c>
      <c r="S2219" s="61" t="str">
        <f aca="false">IF(IsPro,IF($D2219="","",IF(OR($H2219="",$H2219="Credit"),0,P2219)),"")</f>
        <v/>
      </c>
    </row>
    <row r="2220" customFormat="false" ht="15" hidden="false" customHeight="false" outlineLevel="0" collapsed="false">
      <c r="A2220" s="55"/>
      <c r="B2220" s="56"/>
      <c r="C2220" s="56"/>
      <c r="D2220" s="56"/>
      <c r="E2220" s="57"/>
      <c r="F2220" s="58"/>
      <c r="G2220" s="59"/>
      <c r="H2220" s="56"/>
      <c r="I2220" s="60" t="str">
        <f aca="false">IF(IsPro,IF($D2220="","",IFERROR(INDEX(Items!$D$5:$D$504,Q2220),"")),IF($D2220="","","PRO PLAN"))</f>
        <v/>
      </c>
      <c r="J2220" s="61" t="str">
        <f aca="false">IF(IsPro,IF($D2220="","",IF($F2220="",IFERROR(INDEX(Items!$G$5:$G$504,Q2220),0),$F2220)),"")</f>
        <v/>
      </c>
      <c r="K2220" s="61" t="str">
        <f aca="false">IF(IsPro,IF($D2220="","",ROUND(N($E2220)*J2220*(1-N($G2220)),2)),"")</f>
        <v/>
      </c>
      <c r="L2220" s="62" t="str">
        <f aca="false">IF(IsPro,IF($D2220="","",IFERROR(INDEX(Items!$F$5:$F$504,Q2220),0)),"")</f>
        <v/>
      </c>
      <c r="M2220" s="61" t="str">
        <f aca="false">IF(IsPro,IF($D2220="","",IF(AND(R2220&lt;&gt;"",INDEX(Parties!$E$5:$E$304,R2220)&lt;&gt;"",INDEX(Parties!$E$5:$E$304,R2220)&lt;&gt;HomeState),0,ROUND(K2220*L2220/2,2))),"")</f>
        <v/>
      </c>
      <c r="N2220" s="61" t="str">
        <f aca="false">IF(IsPro,IF($D2220="","",M2220),"")</f>
        <v/>
      </c>
      <c r="O2220" s="61" t="str">
        <f aca="false">IF(IsPro,IF($D2220="","",IF(AND(R2220&lt;&gt;"",INDEX(Parties!$E$5:$E$304,R2220)&lt;&gt;"",INDEX(Parties!$E$5:$E$304,R2220)&lt;&gt;HomeState),ROUND(K2220*L2220,2),0)),"")</f>
        <v/>
      </c>
      <c r="P2220" s="61" t="str">
        <f aca="false">IF(IsPro,IF($D2220="","",K2220+M2220+N2220+O2220),"")</f>
        <v/>
      </c>
      <c r="Q2220" s="60" t="str">
        <f aca="false">IF(IsPro,IF($D2220="","",IFERROR(MATCH($D2220,Items!$A$5:$A$504,0),"")),"")</f>
        <v/>
      </c>
      <c r="R2220" s="60" t="str">
        <f aca="false">IF(IsPro,IF($C2220="","",IFERROR(MATCH($C2220,Parties!$A$5:$A$304,0),"")),"")</f>
        <v/>
      </c>
      <c r="S2220" s="61" t="str">
        <f aca="false">IF(IsPro,IF($D2220="","",IF(OR($H2220="",$H2220="Credit"),0,P2220)),"")</f>
        <v/>
      </c>
    </row>
    <row r="2221" customFormat="false" ht="15" hidden="false" customHeight="false" outlineLevel="0" collapsed="false">
      <c r="A2221" s="55"/>
      <c r="B2221" s="56"/>
      <c r="C2221" s="56"/>
      <c r="D2221" s="56"/>
      <c r="E2221" s="57"/>
      <c r="F2221" s="58"/>
      <c r="G2221" s="59"/>
      <c r="H2221" s="56"/>
      <c r="I2221" s="60" t="str">
        <f aca="false">IF(IsPro,IF($D2221="","",IFERROR(INDEX(Items!$D$5:$D$504,Q2221),"")),IF($D2221="","","PRO PLAN"))</f>
        <v/>
      </c>
      <c r="J2221" s="61" t="str">
        <f aca="false">IF(IsPro,IF($D2221="","",IF($F2221="",IFERROR(INDEX(Items!$G$5:$G$504,Q2221),0),$F2221)),"")</f>
        <v/>
      </c>
      <c r="K2221" s="61" t="str">
        <f aca="false">IF(IsPro,IF($D2221="","",ROUND(N($E2221)*J2221*(1-N($G2221)),2)),"")</f>
        <v/>
      </c>
      <c r="L2221" s="62" t="str">
        <f aca="false">IF(IsPro,IF($D2221="","",IFERROR(INDEX(Items!$F$5:$F$504,Q2221),0)),"")</f>
        <v/>
      </c>
      <c r="M2221" s="61" t="str">
        <f aca="false">IF(IsPro,IF($D2221="","",IF(AND(R2221&lt;&gt;"",INDEX(Parties!$E$5:$E$304,R2221)&lt;&gt;"",INDEX(Parties!$E$5:$E$304,R2221)&lt;&gt;HomeState),0,ROUND(K2221*L2221/2,2))),"")</f>
        <v/>
      </c>
      <c r="N2221" s="61" t="str">
        <f aca="false">IF(IsPro,IF($D2221="","",M2221),"")</f>
        <v/>
      </c>
      <c r="O2221" s="61" t="str">
        <f aca="false">IF(IsPro,IF($D2221="","",IF(AND(R2221&lt;&gt;"",INDEX(Parties!$E$5:$E$304,R2221)&lt;&gt;"",INDEX(Parties!$E$5:$E$304,R2221)&lt;&gt;HomeState),ROUND(K2221*L2221,2),0)),"")</f>
        <v/>
      </c>
      <c r="P2221" s="61" t="str">
        <f aca="false">IF(IsPro,IF($D2221="","",K2221+M2221+N2221+O2221),"")</f>
        <v/>
      </c>
      <c r="Q2221" s="60" t="str">
        <f aca="false">IF(IsPro,IF($D2221="","",IFERROR(MATCH($D2221,Items!$A$5:$A$504,0),"")),"")</f>
        <v/>
      </c>
      <c r="R2221" s="60" t="str">
        <f aca="false">IF(IsPro,IF($C2221="","",IFERROR(MATCH($C2221,Parties!$A$5:$A$304,0),"")),"")</f>
        <v/>
      </c>
      <c r="S2221" s="61" t="str">
        <f aca="false">IF(IsPro,IF($D2221="","",IF(OR($H2221="",$H2221="Credit"),0,P2221)),"")</f>
        <v/>
      </c>
    </row>
    <row r="2222" customFormat="false" ht="15" hidden="false" customHeight="false" outlineLevel="0" collapsed="false">
      <c r="A2222" s="55"/>
      <c r="B2222" s="56"/>
      <c r="C2222" s="56"/>
      <c r="D2222" s="56"/>
      <c r="E2222" s="57"/>
      <c r="F2222" s="58"/>
      <c r="G2222" s="59"/>
      <c r="H2222" s="56"/>
      <c r="I2222" s="60" t="str">
        <f aca="false">IF(IsPro,IF($D2222="","",IFERROR(INDEX(Items!$D$5:$D$504,Q2222),"")),IF($D2222="","","PRO PLAN"))</f>
        <v/>
      </c>
      <c r="J2222" s="61" t="str">
        <f aca="false">IF(IsPro,IF($D2222="","",IF($F2222="",IFERROR(INDEX(Items!$G$5:$G$504,Q2222),0),$F2222)),"")</f>
        <v/>
      </c>
      <c r="K2222" s="61" t="str">
        <f aca="false">IF(IsPro,IF($D2222="","",ROUND(N($E2222)*J2222*(1-N($G2222)),2)),"")</f>
        <v/>
      </c>
      <c r="L2222" s="62" t="str">
        <f aca="false">IF(IsPro,IF($D2222="","",IFERROR(INDEX(Items!$F$5:$F$504,Q2222),0)),"")</f>
        <v/>
      </c>
      <c r="M2222" s="61" t="str">
        <f aca="false">IF(IsPro,IF($D2222="","",IF(AND(R2222&lt;&gt;"",INDEX(Parties!$E$5:$E$304,R2222)&lt;&gt;"",INDEX(Parties!$E$5:$E$304,R2222)&lt;&gt;HomeState),0,ROUND(K2222*L2222/2,2))),"")</f>
        <v/>
      </c>
      <c r="N2222" s="61" t="str">
        <f aca="false">IF(IsPro,IF($D2222="","",M2222),"")</f>
        <v/>
      </c>
      <c r="O2222" s="61" t="str">
        <f aca="false">IF(IsPro,IF($D2222="","",IF(AND(R2222&lt;&gt;"",INDEX(Parties!$E$5:$E$304,R2222)&lt;&gt;"",INDEX(Parties!$E$5:$E$304,R2222)&lt;&gt;HomeState),ROUND(K2222*L2222,2),0)),"")</f>
        <v/>
      </c>
      <c r="P2222" s="61" t="str">
        <f aca="false">IF(IsPro,IF($D2222="","",K2222+M2222+N2222+O2222),"")</f>
        <v/>
      </c>
      <c r="Q2222" s="60" t="str">
        <f aca="false">IF(IsPro,IF($D2222="","",IFERROR(MATCH($D2222,Items!$A$5:$A$504,0),"")),"")</f>
        <v/>
      </c>
      <c r="R2222" s="60" t="str">
        <f aca="false">IF(IsPro,IF($C2222="","",IFERROR(MATCH($C2222,Parties!$A$5:$A$304,0),"")),"")</f>
        <v/>
      </c>
      <c r="S2222" s="61" t="str">
        <f aca="false">IF(IsPro,IF($D2222="","",IF(OR($H2222="",$H2222="Credit"),0,P2222)),"")</f>
        <v/>
      </c>
    </row>
    <row r="2223" customFormat="false" ht="15" hidden="false" customHeight="false" outlineLevel="0" collapsed="false">
      <c r="A2223" s="55"/>
      <c r="B2223" s="56"/>
      <c r="C2223" s="56"/>
      <c r="D2223" s="56"/>
      <c r="E2223" s="57"/>
      <c r="F2223" s="58"/>
      <c r="G2223" s="59"/>
      <c r="H2223" s="56"/>
      <c r="I2223" s="60" t="str">
        <f aca="false">IF(IsPro,IF($D2223="","",IFERROR(INDEX(Items!$D$5:$D$504,Q2223),"")),IF($D2223="","","PRO PLAN"))</f>
        <v/>
      </c>
      <c r="J2223" s="61" t="str">
        <f aca="false">IF(IsPro,IF($D2223="","",IF($F2223="",IFERROR(INDEX(Items!$G$5:$G$504,Q2223),0),$F2223)),"")</f>
        <v/>
      </c>
      <c r="K2223" s="61" t="str">
        <f aca="false">IF(IsPro,IF($D2223="","",ROUND(N($E2223)*J2223*(1-N($G2223)),2)),"")</f>
        <v/>
      </c>
      <c r="L2223" s="62" t="str">
        <f aca="false">IF(IsPro,IF($D2223="","",IFERROR(INDEX(Items!$F$5:$F$504,Q2223),0)),"")</f>
        <v/>
      </c>
      <c r="M2223" s="61" t="str">
        <f aca="false">IF(IsPro,IF($D2223="","",IF(AND(R2223&lt;&gt;"",INDEX(Parties!$E$5:$E$304,R2223)&lt;&gt;"",INDEX(Parties!$E$5:$E$304,R2223)&lt;&gt;HomeState),0,ROUND(K2223*L2223/2,2))),"")</f>
        <v/>
      </c>
      <c r="N2223" s="61" t="str">
        <f aca="false">IF(IsPro,IF($D2223="","",M2223),"")</f>
        <v/>
      </c>
      <c r="O2223" s="61" t="str">
        <f aca="false">IF(IsPro,IF($D2223="","",IF(AND(R2223&lt;&gt;"",INDEX(Parties!$E$5:$E$304,R2223)&lt;&gt;"",INDEX(Parties!$E$5:$E$304,R2223)&lt;&gt;HomeState),ROUND(K2223*L2223,2),0)),"")</f>
        <v/>
      </c>
      <c r="P2223" s="61" t="str">
        <f aca="false">IF(IsPro,IF($D2223="","",K2223+M2223+N2223+O2223),"")</f>
        <v/>
      </c>
      <c r="Q2223" s="60" t="str">
        <f aca="false">IF(IsPro,IF($D2223="","",IFERROR(MATCH($D2223,Items!$A$5:$A$504,0),"")),"")</f>
        <v/>
      </c>
      <c r="R2223" s="60" t="str">
        <f aca="false">IF(IsPro,IF($C2223="","",IFERROR(MATCH($C2223,Parties!$A$5:$A$304,0),"")),"")</f>
        <v/>
      </c>
      <c r="S2223" s="61" t="str">
        <f aca="false">IF(IsPro,IF($D2223="","",IF(OR($H2223="",$H2223="Credit"),0,P2223)),"")</f>
        <v/>
      </c>
    </row>
    <row r="2224" customFormat="false" ht="15" hidden="false" customHeight="false" outlineLevel="0" collapsed="false">
      <c r="A2224" s="55"/>
      <c r="B2224" s="56"/>
      <c r="C2224" s="56"/>
      <c r="D2224" s="56"/>
      <c r="E2224" s="57"/>
      <c r="F2224" s="58"/>
      <c r="G2224" s="59"/>
      <c r="H2224" s="56"/>
      <c r="I2224" s="60" t="str">
        <f aca="false">IF(IsPro,IF($D2224="","",IFERROR(INDEX(Items!$D$5:$D$504,Q2224),"")),IF($D2224="","","PRO PLAN"))</f>
        <v/>
      </c>
      <c r="J2224" s="61" t="str">
        <f aca="false">IF(IsPro,IF($D2224="","",IF($F2224="",IFERROR(INDEX(Items!$G$5:$G$504,Q2224),0),$F2224)),"")</f>
        <v/>
      </c>
      <c r="K2224" s="61" t="str">
        <f aca="false">IF(IsPro,IF($D2224="","",ROUND(N($E2224)*J2224*(1-N($G2224)),2)),"")</f>
        <v/>
      </c>
      <c r="L2224" s="62" t="str">
        <f aca="false">IF(IsPro,IF($D2224="","",IFERROR(INDEX(Items!$F$5:$F$504,Q2224),0)),"")</f>
        <v/>
      </c>
      <c r="M2224" s="61" t="str">
        <f aca="false">IF(IsPro,IF($D2224="","",IF(AND(R2224&lt;&gt;"",INDEX(Parties!$E$5:$E$304,R2224)&lt;&gt;"",INDEX(Parties!$E$5:$E$304,R2224)&lt;&gt;HomeState),0,ROUND(K2224*L2224/2,2))),"")</f>
        <v/>
      </c>
      <c r="N2224" s="61" t="str">
        <f aca="false">IF(IsPro,IF($D2224="","",M2224),"")</f>
        <v/>
      </c>
      <c r="O2224" s="61" t="str">
        <f aca="false">IF(IsPro,IF($D2224="","",IF(AND(R2224&lt;&gt;"",INDEX(Parties!$E$5:$E$304,R2224)&lt;&gt;"",INDEX(Parties!$E$5:$E$304,R2224)&lt;&gt;HomeState),ROUND(K2224*L2224,2),0)),"")</f>
        <v/>
      </c>
      <c r="P2224" s="61" t="str">
        <f aca="false">IF(IsPro,IF($D2224="","",K2224+M2224+N2224+O2224),"")</f>
        <v/>
      </c>
      <c r="Q2224" s="60" t="str">
        <f aca="false">IF(IsPro,IF($D2224="","",IFERROR(MATCH($D2224,Items!$A$5:$A$504,0),"")),"")</f>
        <v/>
      </c>
      <c r="R2224" s="60" t="str">
        <f aca="false">IF(IsPro,IF($C2224="","",IFERROR(MATCH($C2224,Parties!$A$5:$A$304,0),"")),"")</f>
        <v/>
      </c>
      <c r="S2224" s="61" t="str">
        <f aca="false">IF(IsPro,IF($D2224="","",IF(OR($H2224="",$H2224="Credit"),0,P2224)),"")</f>
        <v/>
      </c>
    </row>
    <row r="2225" customFormat="false" ht="15" hidden="false" customHeight="false" outlineLevel="0" collapsed="false">
      <c r="A2225" s="55"/>
      <c r="B2225" s="56"/>
      <c r="C2225" s="56"/>
      <c r="D2225" s="56"/>
      <c r="E2225" s="57"/>
      <c r="F2225" s="58"/>
      <c r="G2225" s="59"/>
      <c r="H2225" s="56"/>
      <c r="I2225" s="60" t="str">
        <f aca="false">IF(IsPro,IF($D2225="","",IFERROR(INDEX(Items!$D$5:$D$504,Q2225),"")),IF($D2225="","","PRO PLAN"))</f>
        <v/>
      </c>
      <c r="J2225" s="61" t="str">
        <f aca="false">IF(IsPro,IF($D2225="","",IF($F2225="",IFERROR(INDEX(Items!$G$5:$G$504,Q2225),0),$F2225)),"")</f>
        <v/>
      </c>
      <c r="K2225" s="61" t="str">
        <f aca="false">IF(IsPro,IF($D2225="","",ROUND(N($E2225)*J2225*(1-N($G2225)),2)),"")</f>
        <v/>
      </c>
      <c r="L2225" s="62" t="str">
        <f aca="false">IF(IsPro,IF($D2225="","",IFERROR(INDEX(Items!$F$5:$F$504,Q2225),0)),"")</f>
        <v/>
      </c>
      <c r="M2225" s="61" t="str">
        <f aca="false">IF(IsPro,IF($D2225="","",IF(AND(R2225&lt;&gt;"",INDEX(Parties!$E$5:$E$304,R2225)&lt;&gt;"",INDEX(Parties!$E$5:$E$304,R2225)&lt;&gt;HomeState),0,ROUND(K2225*L2225/2,2))),"")</f>
        <v/>
      </c>
      <c r="N2225" s="61" t="str">
        <f aca="false">IF(IsPro,IF($D2225="","",M2225),"")</f>
        <v/>
      </c>
      <c r="O2225" s="61" t="str">
        <f aca="false">IF(IsPro,IF($D2225="","",IF(AND(R2225&lt;&gt;"",INDEX(Parties!$E$5:$E$304,R2225)&lt;&gt;"",INDEX(Parties!$E$5:$E$304,R2225)&lt;&gt;HomeState),ROUND(K2225*L2225,2),0)),"")</f>
        <v/>
      </c>
      <c r="P2225" s="61" t="str">
        <f aca="false">IF(IsPro,IF($D2225="","",K2225+M2225+N2225+O2225),"")</f>
        <v/>
      </c>
      <c r="Q2225" s="60" t="str">
        <f aca="false">IF(IsPro,IF($D2225="","",IFERROR(MATCH($D2225,Items!$A$5:$A$504,0),"")),"")</f>
        <v/>
      </c>
      <c r="R2225" s="60" t="str">
        <f aca="false">IF(IsPro,IF($C2225="","",IFERROR(MATCH($C2225,Parties!$A$5:$A$304,0),"")),"")</f>
        <v/>
      </c>
      <c r="S2225" s="61" t="str">
        <f aca="false">IF(IsPro,IF($D2225="","",IF(OR($H2225="",$H2225="Credit"),0,P2225)),"")</f>
        <v/>
      </c>
    </row>
    <row r="2226" customFormat="false" ht="15" hidden="false" customHeight="false" outlineLevel="0" collapsed="false">
      <c r="A2226" s="55"/>
      <c r="B2226" s="56"/>
      <c r="C2226" s="56"/>
      <c r="D2226" s="56"/>
      <c r="E2226" s="57"/>
      <c r="F2226" s="58"/>
      <c r="G2226" s="59"/>
      <c r="H2226" s="56"/>
      <c r="I2226" s="60" t="str">
        <f aca="false">IF(IsPro,IF($D2226="","",IFERROR(INDEX(Items!$D$5:$D$504,Q2226),"")),IF($D2226="","","PRO PLAN"))</f>
        <v/>
      </c>
      <c r="J2226" s="61" t="str">
        <f aca="false">IF(IsPro,IF($D2226="","",IF($F2226="",IFERROR(INDEX(Items!$G$5:$G$504,Q2226),0),$F2226)),"")</f>
        <v/>
      </c>
      <c r="K2226" s="61" t="str">
        <f aca="false">IF(IsPro,IF($D2226="","",ROUND(N($E2226)*J2226*(1-N($G2226)),2)),"")</f>
        <v/>
      </c>
      <c r="L2226" s="62" t="str">
        <f aca="false">IF(IsPro,IF($D2226="","",IFERROR(INDEX(Items!$F$5:$F$504,Q2226),0)),"")</f>
        <v/>
      </c>
      <c r="M2226" s="61" t="str">
        <f aca="false">IF(IsPro,IF($D2226="","",IF(AND(R2226&lt;&gt;"",INDEX(Parties!$E$5:$E$304,R2226)&lt;&gt;"",INDEX(Parties!$E$5:$E$304,R2226)&lt;&gt;HomeState),0,ROUND(K2226*L2226/2,2))),"")</f>
        <v/>
      </c>
      <c r="N2226" s="61" t="str">
        <f aca="false">IF(IsPro,IF($D2226="","",M2226),"")</f>
        <v/>
      </c>
      <c r="O2226" s="61" t="str">
        <f aca="false">IF(IsPro,IF($D2226="","",IF(AND(R2226&lt;&gt;"",INDEX(Parties!$E$5:$E$304,R2226)&lt;&gt;"",INDEX(Parties!$E$5:$E$304,R2226)&lt;&gt;HomeState),ROUND(K2226*L2226,2),0)),"")</f>
        <v/>
      </c>
      <c r="P2226" s="61" t="str">
        <f aca="false">IF(IsPro,IF($D2226="","",K2226+M2226+N2226+O2226),"")</f>
        <v/>
      </c>
      <c r="Q2226" s="60" t="str">
        <f aca="false">IF(IsPro,IF($D2226="","",IFERROR(MATCH($D2226,Items!$A$5:$A$504,0),"")),"")</f>
        <v/>
      </c>
      <c r="R2226" s="60" t="str">
        <f aca="false">IF(IsPro,IF($C2226="","",IFERROR(MATCH($C2226,Parties!$A$5:$A$304,0),"")),"")</f>
        <v/>
      </c>
      <c r="S2226" s="61" t="str">
        <f aca="false">IF(IsPro,IF($D2226="","",IF(OR($H2226="",$H2226="Credit"),0,P2226)),"")</f>
        <v/>
      </c>
    </row>
    <row r="2227" customFormat="false" ht="15" hidden="false" customHeight="false" outlineLevel="0" collapsed="false">
      <c r="A2227" s="55"/>
      <c r="B2227" s="56"/>
      <c r="C2227" s="56"/>
      <c r="D2227" s="56"/>
      <c r="E2227" s="57"/>
      <c r="F2227" s="58"/>
      <c r="G2227" s="59"/>
      <c r="H2227" s="56"/>
      <c r="I2227" s="60" t="str">
        <f aca="false">IF(IsPro,IF($D2227="","",IFERROR(INDEX(Items!$D$5:$D$504,Q2227),"")),IF($D2227="","","PRO PLAN"))</f>
        <v/>
      </c>
      <c r="J2227" s="61" t="str">
        <f aca="false">IF(IsPro,IF($D2227="","",IF($F2227="",IFERROR(INDEX(Items!$G$5:$G$504,Q2227),0),$F2227)),"")</f>
        <v/>
      </c>
      <c r="K2227" s="61" t="str">
        <f aca="false">IF(IsPro,IF($D2227="","",ROUND(N($E2227)*J2227*(1-N($G2227)),2)),"")</f>
        <v/>
      </c>
      <c r="L2227" s="62" t="str">
        <f aca="false">IF(IsPro,IF($D2227="","",IFERROR(INDEX(Items!$F$5:$F$504,Q2227),0)),"")</f>
        <v/>
      </c>
      <c r="M2227" s="61" t="str">
        <f aca="false">IF(IsPro,IF($D2227="","",IF(AND(R2227&lt;&gt;"",INDEX(Parties!$E$5:$E$304,R2227)&lt;&gt;"",INDEX(Parties!$E$5:$E$304,R2227)&lt;&gt;HomeState),0,ROUND(K2227*L2227/2,2))),"")</f>
        <v/>
      </c>
      <c r="N2227" s="61" t="str">
        <f aca="false">IF(IsPro,IF($D2227="","",M2227),"")</f>
        <v/>
      </c>
      <c r="O2227" s="61" t="str">
        <f aca="false">IF(IsPro,IF($D2227="","",IF(AND(R2227&lt;&gt;"",INDEX(Parties!$E$5:$E$304,R2227)&lt;&gt;"",INDEX(Parties!$E$5:$E$304,R2227)&lt;&gt;HomeState),ROUND(K2227*L2227,2),0)),"")</f>
        <v/>
      </c>
      <c r="P2227" s="61" t="str">
        <f aca="false">IF(IsPro,IF($D2227="","",K2227+M2227+N2227+O2227),"")</f>
        <v/>
      </c>
      <c r="Q2227" s="60" t="str">
        <f aca="false">IF(IsPro,IF($D2227="","",IFERROR(MATCH($D2227,Items!$A$5:$A$504,0),"")),"")</f>
        <v/>
      </c>
      <c r="R2227" s="60" t="str">
        <f aca="false">IF(IsPro,IF($C2227="","",IFERROR(MATCH($C2227,Parties!$A$5:$A$304,0),"")),"")</f>
        <v/>
      </c>
      <c r="S2227" s="61" t="str">
        <f aca="false">IF(IsPro,IF($D2227="","",IF(OR($H2227="",$H2227="Credit"),0,P2227)),"")</f>
        <v/>
      </c>
    </row>
    <row r="2228" customFormat="false" ht="15" hidden="false" customHeight="false" outlineLevel="0" collapsed="false">
      <c r="A2228" s="55"/>
      <c r="B2228" s="56"/>
      <c r="C2228" s="56"/>
      <c r="D2228" s="56"/>
      <c r="E2228" s="57"/>
      <c r="F2228" s="58"/>
      <c r="G2228" s="59"/>
      <c r="H2228" s="56"/>
      <c r="I2228" s="60" t="str">
        <f aca="false">IF(IsPro,IF($D2228="","",IFERROR(INDEX(Items!$D$5:$D$504,Q2228),"")),IF($D2228="","","PRO PLAN"))</f>
        <v/>
      </c>
      <c r="J2228" s="61" t="str">
        <f aca="false">IF(IsPro,IF($D2228="","",IF($F2228="",IFERROR(INDEX(Items!$G$5:$G$504,Q2228),0),$F2228)),"")</f>
        <v/>
      </c>
      <c r="K2228" s="61" t="str">
        <f aca="false">IF(IsPro,IF($D2228="","",ROUND(N($E2228)*J2228*(1-N($G2228)),2)),"")</f>
        <v/>
      </c>
      <c r="L2228" s="62" t="str">
        <f aca="false">IF(IsPro,IF($D2228="","",IFERROR(INDEX(Items!$F$5:$F$504,Q2228),0)),"")</f>
        <v/>
      </c>
      <c r="M2228" s="61" t="str">
        <f aca="false">IF(IsPro,IF($D2228="","",IF(AND(R2228&lt;&gt;"",INDEX(Parties!$E$5:$E$304,R2228)&lt;&gt;"",INDEX(Parties!$E$5:$E$304,R2228)&lt;&gt;HomeState),0,ROUND(K2228*L2228/2,2))),"")</f>
        <v/>
      </c>
      <c r="N2228" s="61" t="str">
        <f aca="false">IF(IsPro,IF($D2228="","",M2228),"")</f>
        <v/>
      </c>
      <c r="O2228" s="61" t="str">
        <f aca="false">IF(IsPro,IF($D2228="","",IF(AND(R2228&lt;&gt;"",INDEX(Parties!$E$5:$E$304,R2228)&lt;&gt;"",INDEX(Parties!$E$5:$E$304,R2228)&lt;&gt;HomeState),ROUND(K2228*L2228,2),0)),"")</f>
        <v/>
      </c>
      <c r="P2228" s="61" t="str">
        <f aca="false">IF(IsPro,IF($D2228="","",K2228+M2228+N2228+O2228),"")</f>
        <v/>
      </c>
      <c r="Q2228" s="60" t="str">
        <f aca="false">IF(IsPro,IF($D2228="","",IFERROR(MATCH($D2228,Items!$A$5:$A$504,0),"")),"")</f>
        <v/>
      </c>
      <c r="R2228" s="60" t="str">
        <f aca="false">IF(IsPro,IF($C2228="","",IFERROR(MATCH($C2228,Parties!$A$5:$A$304,0),"")),"")</f>
        <v/>
      </c>
      <c r="S2228" s="61" t="str">
        <f aca="false">IF(IsPro,IF($D2228="","",IF(OR($H2228="",$H2228="Credit"),0,P2228)),"")</f>
        <v/>
      </c>
    </row>
    <row r="2229" customFormat="false" ht="15" hidden="false" customHeight="false" outlineLevel="0" collapsed="false">
      <c r="A2229" s="55"/>
      <c r="B2229" s="56"/>
      <c r="C2229" s="56"/>
      <c r="D2229" s="56"/>
      <c r="E2229" s="57"/>
      <c r="F2229" s="58"/>
      <c r="G2229" s="59"/>
      <c r="H2229" s="56"/>
      <c r="I2229" s="60" t="str">
        <f aca="false">IF(IsPro,IF($D2229="","",IFERROR(INDEX(Items!$D$5:$D$504,Q2229),"")),IF($D2229="","","PRO PLAN"))</f>
        <v/>
      </c>
      <c r="J2229" s="61" t="str">
        <f aca="false">IF(IsPro,IF($D2229="","",IF($F2229="",IFERROR(INDEX(Items!$G$5:$G$504,Q2229),0),$F2229)),"")</f>
        <v/>
      </c>
      <c r="K2229" s="61" t="str">
        <f aca="false">IF(IsPro,IF($D2229="","",ROUND(N($E2229)*J2229*(1-N($G2229)),2)),"")</f>
        <v/>
      </c>
      <c r="L2229" s="62" t="str">
        <f aca="false">IF(IsPro,IF($D2229="","",IFERROR(INDEX(Items!$F$5:$F$504,Q2229),0)),"")</f>
        <v/>
      </c>
      <c r="M2229" s="61" t="str">
        <f aca="false">IF(IsPro,IF($D2229="","",IF(AND(R2229&lt;&gt;"",INDEX(Parties!$E$5:$E$304,R2229)&lt;&gt;"",INDEX(Parties!$E$5:$E$304,R2229)&lt;&gt;HomeState),0,ROUND(K2229*L2229/2,2))),"")</f>
        <v/>
      </c>
      <c r="N2229" s="61" t="str">
        <f aca="false">IF(IsPro,IF($D2229="","",M2229),"")</f>
        <v/>
      </c>
      <c r="O2229" s="61" t="str">
        <f aca="false">IF(IsPro,IF($D2229="","",IF(AND(R2229&lt;&gt;"",INDEX(Parties!$E$5:$E$304,R2229)&lt;&gt;"",INDEX(Parties!$E$5:$E$304,R2229)&lt;&gt;HomeState),ROUND(K2229*L2229,2),0)),"")</f>
        <v/>
      </c>
      <c r="P2229" s="61" t="str">
        <f aca="false">IF(IsPro,IF($D2229="","",K2229+M2229+N2229+O2229),"")</f>
        <v/>
      </c>
      <c r="Q2229" s="60" t="str">
        <f aca="false">IF(IsPro,IF($D2229="","",IFERROR(MATCH($D2229,Items!$A$5:$A$504,0),"")),"")</f>
        <v/>
      </c>
      <c r="R2229" s="60" t="str">
        <f aca="false">IF(IsPro,IF($C2229="","",IFERROR(MATCH($C2229,Parties!$A$5:$A$304,0),"")),"")</f>
        <v/>
      </c>
      <c r="S2229" s="61" t="str">
        <f aca="false">IF(IsPro,IF($D2229="","",IF(OR($H2229="",$H2229="Credit"),0,P2229)),"")</f>
        <v/>
      </c>
    </row>
    <row r="2230" customFormat="false" ht="15" hidden="false" customHeight="false" outlineLevel="0" collapsed="false">
      <c r="A2230" s="55"/>
      <c r="B2230" s="56"/>
      <c r="C2230" s="56"/>
      <c r="D2230" s="56"/>
      <c r="E2230" s="57"/>
      <c r="F2230" s="58"/>
      <c r="G2230" s="59"/>
      <c r="H2230" s="56"/>
      <c r="I2230" s="60" t="str">
        <f aca="false">IF(IsPro,IF($D2230="","",IFERROR(INDEX(Items!$D$5:$D$504,Q2230),"")),IF($D2230="","","PRO PLAN"))</f>
        <v/>
      </c>
      <c r="J2230" s="61" t="str">
        <f aca="false">IF(IsPro,IF($D2230="","",IF($F2230="",IFERROR(INDEX(Items!$G$5:$G$504,Q2230),0),$F2230)),"")</f>
        <v/>
      </c>
      <c r="K2230" s="61" t="str">
        <f aca="false">IF(IsPro,IF($D2230="","",ROUND(N($E2230)*J2230*(1-N($G2230)),2)),"")</f>
        <v/>
      </c>
      <c r="L2230" s="62" t="str">
        <f aca="false">IF(IsPro,IF($D2230="","",IFERROR(INDEX(Items!$F$5:$F$504,Q2230),0)),"")</f>
        <v/>
      </c>
      <c r="M2230" s="61" t="str">
        <f aca="false">IF(IsPro,IF($D2230="","",IF(AND(R2230&lt;&gt;"",INDEX(Parties!$E$5:$E$304,R2230)&lt;&gt;"",INDEX(Parties!$E$5:$E$304,R2230)&lt;&gt;HomeState),0,ROUND(K2230*L2230/2,2))),"")</f>
        <v/>
      </c>
      <c r="N2230" s="61" t="str">
        <f aca="false">IF(IsPro,IF($D2230="","",M2230),"")</f>
        <v/>
      </c>
      <c r="O2230" s="61" t="str">
        <f aca="false">IF(IsPro,IF($D2230="","",IF(AND(R2230&lt;&gt;"",INDEX(Parties!$E$5:$E$304,R2230)&lt;&gt;"",INDEX(Parties!$E$5:$E$304,R2230)&lt;&gt;HomeState),ROUND(K2230*L2230,2),0)),"")</f>
        <v/>
      </c>
      <c r="P2230" s="61" t="str">
        <f aca="false">IF(IsPro,IF($D2230="","",K2230+M2230+N2230+O2230),"")</f>
        <v/>
      </c>
      <c r="Q2230" s="60" t="str">
        <f aca="false">IF(IsPro,IF($D2230="","",IFERROR(MATCH($D2230,Items!$A$5:$A$504,0),"")),"")</f>
        <v/>
      </c>
      <c r="R2230" s="60" t="str">
        <f aca="false">IF(IsPro,IF($C2230="","",IFERROR(MATCH($C2230,Parties!$A$5:$A$304,0),"")),"")</f>
        <v/>
      </c>
      <c r="S2230" s="61" t="str">
        <f aca="false">IF(IsPro,IF($D2230="","",IF(OR($H2230="",$H2230="Credit"),0,P2230)),"")</f>
        <v/>
      </c>
    </row>
    <row r="2231" customFormat="false" ht="15" hidden="false" customHeight="false" outlineLevel="0" collapsed="false">
      <c r="A2231" s="55"/>
      <c r="B2231" s="56"/>
      <c r="C2231" s="56"/>
      <c r="D2231" s="56"/>
      <c r="E2231" s="57"/>
      <c r="F2231" s="58"/>
      <c r="G2231" s="59"/>
      <c r="H2231" s="56"/>
      <c r="I2231" s="60" t="str">
        <f aca="false">IF(IsPro,IF($D2231="","",IFERROR(INDEX(Items!$D$5:$D$504,Q2231),"")),IF($D2231="","","PRO PLAN"))</f>
        <v/>
      </c>
      <c r="J2231" s="61" t="str">
        <f aca="false">IF(IsPro,IF($D2231="","",IF($F2231="",IFERROR(INDEX(Items!$G$5:$G$504,Q2231),0),$F2231)),"")</f>
        <v/>
      </c>
      <c r="K2231" s="61" t="str">
        <f aca="false">IF(IsPro,IF($D2231="","",ROUND(N($E2231)*J2231*(1-N($G2231)),2)),"")</f>
        <v/>
      </c>
      <c r="L2231" s="62" t="str">
        <f aca="false">IF(IsPro,IF($D2231="","",IFERROR(INDEX(Items!$F$5:$F$504,Q2231),0)),"")</f>
        <v/>
      </c>
      <c r="M2231" s="61" t="str">
        <f aca="false">IF(IsPro,IF($D2231="","",IF(AND(R2231&lt;&gt;"",INDEX(Parties!$E$5:$E$304,R2231)&lt;&gt;"",INDEX(Parties!$E$5:$E$304,R2231)&lt;&gt;HomeState),0,ROUND(K2231*L2231/2,2))),"")</f>
        <v/>
      </c>
      <c r="N2231" s="61" t="str">
        <f aca="false">IF(IsPro,IF($D2231="","",M2231),"")</f>
        <v/>
      </c>
      <c r="O2231" s="61" t="str">
        <f aca="false">IF(IsPro,IF($D2231="","",IF(AND(R2231&lt;&gt;"",INDEX(Parties!$E$5:$E$304,R2231)&lt;&gt;"",INDEX(Parties!$E$5:$E$304,R2231)&lt;&gt;HomeState),ROUND(K2231*L2231,2),0)),"")</f>
        <v/>
      </c>
      <c r="P2231" s="61" t="str">
        <f aca="false">IF(IsPro,IF($D2231="","",K2231+M2231+N2231+O2231),"")</f>
        <v/>
      </c>
      <c r="Q2231" s="60" t="str">
        <f aca="false">IF(IsPro,IF($D2231="","",IFERROR(MATCH($D2231,Items!$A$5:$A$504,0),"")),"")</f>
        <v/>
      </c>
      <c r="R2231" s="60" t="str">
        <f aca="false">IF(IsPro,IF($C2231="","",IFERROR(MATCH($C2231,Parties!$A$5:$A$304,0),"")),"")</f>
        <v/>
      </c>
      <c r="S2231" s="61" t="str">
        <f aca="false">IF(IsPro,IF($D2231="","",IF(OR($H2231="",$H2231="Credit"),0,P2231)),"")</f>
        <v/>
      </c>
    </row>
    <row r="2232" customFormat="false" ht="15" hidden="false" customHeight="false" outlineLevel="0" collapsed="false">
      <c r="A2232" s="55"/>
      <c r="B2232" s="56"/>
      <c r="C2232" s="56"/>
      <c r="D2232" s="56"/>
      <c r="E2232" s="57"/>
      <c r="F2232" s="58"/>
      <c r="G2232" s="59"/>
      <c r="H2232" s="56"/>
      <c r="I2232" s="60" t="str">
        <f aca="false">IF(IsPro,IF($D2232="","",IFERROR(INDEX(Items!$D$5:$D$504,Q2232),"")),IF($D2232="","","PRO PLAN"))</f>
        <v/>
      </c>
      <c r="J2232" s="61" t="str">
        <f aca="false">IF(IsPro,IF($D2232="","",IF($F2232="",IFERROR(INDEX(Items!$G$5:$G$504,Q2232),0),$F2232)),"")</f>
        <v/>
      </c>
      <c r="K2232" s="61" t="str">
        <f aca="false">IF(IsPro,IF($D2232="","",ROUND(N($E2232)*J2232*(1-N($G2232)),2)),"")</f>
        <v/>
      </c>
      <c r="L2232" s="62" t="str">
        <f aca="false">IF(IsPro,IF($D2232="","",IFERROR(INDEX(Items!$F$5:$F$504,Q2232),0)),"")</f>
        <v/>
      </c>
      <c r="M2232" s="61" t="str">
        <f aca="false">IF(IsPro,IF($D2232="","",IF(AND(R2232&lt;&gt;"",INDEX(Parties!$E$5:$E$304,R2232)&lt;&gt;"",INDEX(Parties!$E$5:$E$304,R2232)&lt;&gt;HomeState),0,ROUND(K2232*L2232/2,2))),"")</f>
        <v/>
      </c>
      <c r="N2232" s="61" t="str">
        <f aca="false">IF(IsPro,IF($D2232="","",M2232),"")</f>
        <v/>
      </c>
      <c r="O2232" s="61" t="str">
        <f aca="false">IF(IsPro,IF($D2232="","",IF(AND(R2232&lt;&gt;"",INDEX(Parties!$E$5:$E$304,R2232)&lt;&gt;"",INDEX(Parties!$E$5:$E$304,R2232)&lt;&gt;HomeState),ROUND(K2232*L2232,2),0)),"")</f>
        <v/>
      </c>
      <c r="P2232" s="61" t="str">
        <f aca="false">IF(IsPro,IF($D2232="","",K2232+M2232+N2232+O2232),"")</f>
        <v/>
      </c>
      <c r="Q2232" s="60" t="str">
        <f aca="false">IF(IsPro,IF($D2232="","",IFERROR(MATCH($D2232,Items!$A$5:$A$504,0),"")),"")</f>
        <v/>
      </c>
      <c r="R2232" s="60" t="str">
        <f aca="false">IF(IsPro,IF($C2232="","",IFERROR(MATCH($C2232,Parties!$A$5:$A$304,0),"")),"")</f>
        <v/>
      </c>
      <c r="S2232" s="61" t="str">
        <f aca="false">IF(IsPro,IF($D2232="","",IF(OR($H2232="",$H2232="Credit"),0,P2232)),"")</f>
        <v/>
      </c>
    </row>
    <row r="2233" customFormat="false" ht="15" hidden="false" customHeight="false" outlineLevel="0" collapsed="false">
      <c r="A2233" s="55"/>
      <c r="B2233" s="56"/>
      <c r="C2233" s="56"/>
      <c r="D2233" s="56"/>
      <c r="E2233" s="57"/>
      <c r="F2233" s="58"/>
      <c r="G2233" s="59"/>
      <c r="H2233" s="56"/>
      <c r="I2233" s="60" t="str">
        <f aca="false">IF(IsPro,IF($D2233="","",IFERROR(INDEX(Items!$D$5:$D$504,Q2233),"")),IF($D2233="","","PRO PLAN"))</f>
        <v/>
      </c>
      <c r="J2233" s="61" t="str">
        <f aca="false">IF(IsPro,IF($D2233="","",IF($F2233="",IFERROR(INDEX(Items!$G$5:$G$504,Q2233),0),$F2233)),"")</f>
        <v/>
      </c>
      <c r="K2233" s="61" t="str">
        <f aca="false">IF(IsPro,IF($D2233="","",ROUND(N($E2233)*J2233*(1-N($G2233)),2)),"")</f>
        <v/>
      </c>
      <c r="L2233" s="62" t="str">
        <f aca="false">IF(IsPro,IF($D2233="","",IFERROR(INDEX(Items!$F$5:$F$504,Q2233),0)),"")</f>
        <v/>
      </c>
      <c r="M2233" s="61" t="str">
        <f aca="false">IF(IsPro,IF($D2233="","",IF(AND(R2233&lt;&gt;"",INDEX(Parties!$E$5:$E$304,R2233)&lt;&gt;"",INDEX(Parties!$E$5:$E$304,R2233)&lt;&gt;HomeState),0,ROUND(K2233*L2233/2,2))),"")</f>
        <v/>
      </c>
      <c r="N2233" s="61" t="str">
        <f aca="false">IF(IsPro,IF($D2233="","",M2233),"")</f>
        <v/>
      </c>
      <c r="O2233" s="61" t="str">
        <f aca="false">IF(IsPro,IF($D2233="","",IF(AND(R2233&lt;&gt;"",INDEX(Parties!$E$5:$E$304,R2233)&lt;&gt;"",INDEX(Parties!$E$5:$E$304,R2233)&lt;&gt;HomeState),ROUND(K2233*L2233,2),0)),"")</f>
        <v/>
      </c>
      <c r="P2233" s="61" t="str">
        <f aca="false">IF(IsPro,IF($D2233="","",K2233+M2233+N2233+O2233),"")</f>
        <v/>
      </c>
      <c r="Q2233" s="60" t="str">
        <f aca="false">IF(IsPro,IF($D2233="","",IFERROR(MATCH($D2233,Items!$A$5:$A$504,0),"")),"")</f>
        <v/>
      </c>
      <c r="R2233" s="60" t="str">
        <f aca="false">IF(IsPro,IF($C2233="","",IFERROR(MATCH($C2233,Parties!$A$5:$A$304,0),"")),"")</f>
        <v/>
      </c>
      <c r="S2233" s="61" t="str">
        <f aca="false">IF(IsPro,IF($D2233="","",IF(OR($H2233="",$H2233="Credit"),0,P2233)),"")</f>
        <v/>
      </c>
    </row>
    <row r="2234" customFormat="false" ht="15" hidden="false" customHeight="false" outlineLevel="0" collapsed="false">
      <c r="A2234" s="55"/>
      <c r="B2234" s="56"/>
      <c r="C2234" s="56"/>
      <c r="D2234" s="56"/>
      <c r="E2234" s="57"/>
      <c r="F2234" s="58"/>
      <c r="G2234" s="59"/>
      <c r="H2234" s="56"/>
      <c r="I2234" s="60" t="str">
        <f aca="false">IF(IsPro,IF($D2234="","",IFERROR(INDEX(Items!$D$5:$D$504,Q2234),"")),IF($D2234="","","PRO PLAN"))</f>
        <v/>
      </c>
      <c r="J2234" s="61" t="str">
        <f aca="false">IF(IsPro,IF($D2234="","",IF($F2234="",IFERROR(INDEX(Items!$G$5:$G$504,Q2234),0),$F2234)),"")</f>
        <v/>
      </c>
      <c r="K2234" s="61" t="str">
        <f aca="false">IF(IsPro,IF($D2234="","",ROUND(N($E2234)*J2234*(1-N($G2234)),2)),"")</f>
        <v/>
      </c>
      <c r="L2234" s="62" t="str">
        <f aca="false">IF(IsPro,IF($D2234="","",IFERROR(INDEX(Items!$F$5:$F$504,Q2234),0)),"")</f>
        <v/>
      </c>
      <c r="M2234" s="61" t="str">
        <f aca="false">IF(IsPro,IF($D2234="","",IF(AND(R2234&lt;&gt;"",INDEX(Parties!$E$5:$E$304,R2234)&lt;&gt;"",INDEX(Parties!$E$5:$E$304,R2234)&lt;&gt;HomeState),0,ROUND(K2234*L2234/2,2))),"")</f>
        <v/>
      </c>
      <c r="N2234" s="61" t="str">
        <f aca="false">IF(IsPro,IF($D2234="","",M2234),"")</f>
        <v/>
      </c>
      <c r="O2234" s="61" t="str">
        <f aca="false">IF(IsPro,IF($D2234="","",IF(AND(R2234&lt;&gt;"",INDEX(Parties!$E$5:$E$304,R2234)&lt;&gt;"",INDEX(Parties!$E$5:$E$304,R2234)&lt;&gt;HomeState),ROUND(K2234*L2234,2),0)),"")</f>
        <v/>
      </c>
      <c r="P2234" s="61" t="str">
        <f aca="false">IF(IsPro,IF($D2234="","",K2234+M2234+N2234+O2234),"")</f>
        <v/>
      </c>
      <c r="Q2234" s="60" t="str">
        <f aca="false">IF(IsPro,IF($D2234="","",IFERROR(MATCH($D2234,Items!$A$5:$A$504,0),"")),"")</f>
        <v/>
      </c>
      <c r="R2234" s="60" t="str">
        <f aca="false">IF(IsPro,IF($C2234="","",IFERROR(MATCH($C2234,Parties!$A$5:$A$304,0),"")),"")</f>
        <v/>
      </c>
      <c r="S2234" s="61" t="str">
        <f aca="false">IF(IsPro,IF($D2234="","",IF(OR($H2234="",$H2234="Credit"),0,P2234)),"")</f>
        <v/>
      </c>
    </row>
    <row r="2235" customFormat="false" ht="15" hidden="false" customHeight="false" outlineLevel="0" collapsed="false">
      <c r="A2235" s="55"/>
      <c r="B2235" s="56"/>
      <c r="C2235" s="56"/>
      <c r="D2235" s="56"/>
      <c r="E2235" s="57"/>
      <c r="F2235" s="58"/>
      <c r="G2235" s="59"/>
      <c r="H2235" s="56"/>
      <c r="I2235" s="60" t="str">
        <f aca="false">IF(IsPro,IF($D2235="","",IFERROR(INDEX(Items!$D$5:$D$504,Q2235),"")),IF($D2235="","","PRO PLAN"))</f>
        <v/>
      </c>
      <c r="J2235" s="61" t="str">
        <f aca="false">IF(IsPro,IF($D2235="","",IF($F2235="",IFERROR(INDEX(Items!$G$5:$G$504,Q2235),0),$F2235)),"")</f>
        <v/>
      </c>
      <c r="K2235" s="61" t="str">
        <f aca="false">IF(IsPro,IF($D2235="","",ROUND(N($E2235)*J2235*(1-N($G2235)),2)),"")</f>
        <v/>
      </c>
      <c r="L2235" s="62" t="str">
        <f aca="false">IF(IsPro,IF($D2235="","",IFERROR(INDEX(Items!$F$5:$F$504,Q2235),0)),"")</f>
        <v/>
      </c>
      <c r="M2235" s="61" t="str">
        <f aca="false">IF(IsPro,IF($D2235="","",IF(AND(R2235&lt;&gt;"",INDEX(Parties!$E$5:$E$304,R2235)&lt;&gt;"",INDEX(Parties!$E$5:$E$304,R2235)&lt;&gt;HomeState),0,ROUND(K2235*L2235/2,2))),"")</f>
        <v/>
      </c>
      <c r="N2235" s="61" t="str">
        <f aca="false">IF(IsPro,IF($D2235="","",M2235),"")</f>
        <v/>
      </c>
      <c r="O2235" s="61" t="str">
        <f aca="false">IF(IsPro,IF($D2235="","",IF(AND(R2235&lt;&gt;"",INDEX(Parties!$E$5:$E$304,R2235)&lt;&gt;"",INDEX(Parties!$E$5:$E$304,R2235)&lt;&gt;HomeState),ROUND(K2235*L2235,2),0)),"")</f>
        <v/>
      </c>
      <c r="P2235" s="61" t="str">
        <f aca="false">IF(IsPro,IF($D2235="","",K2235+M2235+N2235+O2235),"")</f>
        <v/>
      </c>
      <c r="Q2235" s="60" t="str">
        <f aca="false">IF(IsPro,IF($D2235="","",IFERROR(MATCH($D2235,Items!$A$5:$A$504,0),"")),"")</f>
        <v/>
      </c>
      <c r="R2235" s="60" t="str">
        <f aca="false">IF(IsPro,IF($C2235="","",IFERROR(MATCH($C2235,Parties!$A$5:$A$304,0),"")),"")</f>
        <v/>
      </c>
      <c r="S2235" s="61" t="str">
        <f aca="false">IF(IsPro,IF($D2235="","",IF(OR($H2235="",$H2235="Credit"),0,P2235)),"")</f>
        <v/>
      </c>
    </row>
    <row r="2236" customFormat="false" ht="15" hidden="false" customHeight="false" outlineLevel="0" collapsed="false">
      <c r="A2236" s="55"/>
      <c r="B2236" s="56"/>
      <c r="C2236" s="56"/>
      <c r="D2236" s="56"/>
      <c r="E2236" s="57"/>
      <c r="F2236" s="58"/>
      <c r="G2236" s="59"/>
      <c r="H2236" s="56"/>
      <c r="I2236" s="60" t="str">
        <f aca="false">IF(IsPro,IF($D2236="","",IFERROR(INDEX(Items!$D$5:$D$504,Q2236),"")),IF($D2236="","","PRO PLAN"))</f>
        <v/>
      </c>
      <c r="J2236" s="61" t="str">
        <f aca="false">IF(IsPro,IF($D2236="","",IF($F2236="",IFERROR(INDEX(Items!$G$5:$G$504,Q2236),0),$F2236)),"")</f>
        <v/>
      </c>
      <c r="K2236" s="61" t="str">
        <f aca="false">IF(IsPro,IF($D2236="","",ROUND(N($E2236)*J2236*(1-N($G2236)),2)),"")</f>
        <v/>
      </c>
      <c r="L2236" s="62" t="str">
        <f aca="false">IF(IsPro,IF($D2236="","",IFERROR(INDEX(Items!$F$5:$F$504,Q2236),0)),"")</f>
        <v/>
      </c>
      <c r="M2236" s="61" t="str">
        <f aca="false">IF(IsPro,IF($D2236="","",IF(AND(R2236&lt;&gt;"",INDEX(Parties!$E$5:$E$304,R2236)&lt;&gt;"",INDEX(Parties!$E$5:$E$304,R2236)&lt;&gt;HomeState),0,ROUND(K2236*L2236/2,2))),"")</f>
        <v/>
      </c>
      <c r="N2236" s="61" t="str">
        <f aca="false">IF(IsPro,IF($D2236="","",M2236),"")</f>
        <v/>
      </c>
      <c r="O2236" s="61" t="str">
        <f aca="false">IF(IsPro,IF($D2236="","",IF(AND(R2236&lt;&gt;"",INDEX(Parties!$E$5:$E$304,R2236)&lt;&gt;"",INDEX(Parties!$E$5:$E$304,R2236)&lt;&gt;HomeState),ROUND(K2236*L2236,2),0)),"")</f>
        <v/>
      </c>
      <c r="P2236" s="61" t="str">
        <f aca="false">IF(IsPro,IF($D2236="","",K2236+M2236+N2236+O2236),"")</f>
        <v/>
      </c>
      <c r="Q2236" s="60" t="str">
        <f aca="false">IF(IsPro,IF($D2236="","",IFERROR(MATCH($D2236,Items!$A$5:$A$504,0),"")),"")</f>
        <v/>
      </c>
      <c r="R2236" s="60" t="str">
        <f aca="false">IF(IsPro,IF($C2236="","",IFERROR(MATCH($C2236,Parties!$A$5:$A$304,0),"")),"")</f>
        <v/>
      </c>
      <c r="S2236" s="61" t="str">
        <f aca="false">IF(IsPro,IF($D2236="","",IF(OR($H2236="",$H2236="Credit"),0,P2236)),"")</f>
        <v/>
      </c>
    </row>
    <row r="2237" customFormat="false" ht="15" hidden="false" customHeight="false" outlineLevel="0" collapsed="false">
      <c r="A2237" s="55"/>
      <c r="B2237" s="56"/>
      <c r="C2237" s="56"/>
      <c r="D2237" s="56"/>
      <c r="E2237" s="57"/>
      <c r="F2237" s="58"/>
      <c r="G2237" s="59"/>
      <c r="H2237" s="56"/>
      <c r="I2237" s="60" t="str">
        <f aca="false">IF(IsPro,IF($D2237="","",IFERROR(INDEX(Items!$D$5:$D$504,Q2237),"")),IF($D2237="","","PRO PLAN"))</f>
        <v/>
      </c>
      <c r="J2237" s="61" t="str">
        <f aca="false">IF(IsPro,IF($D2237="","",IF($F2237="",IFERROR(INDEX(Items!$G$5:$G$504,Q2237),0),$F2237)),"")</f>
        <v/>
      </c>
      <c r="K2237" s="61" t="str">
        <f aca="false">IF(IsPro,IF($D2237="","",ROUND(N($E2237)*J2237*(1-N($G2237)),2)),"")</f>
        <v/>
      </c>
      <c r="L2237" s="62" t="str">
        <f aca="false">IF(IsPro,IF($D2237="","",IFERROR(INDEX(Items!$F$5:$F$504,Q2237),0)),"")</f>
        <v/>
      </c>
      <c r="M2237" s="61" t="str">
        <f aca="false">IF(IsPro,IF($D2237="","",IF(AND(R2237&lt;&gt;"",INDEX(Parties!$E$5:$E$304,R2237)&lt;&gt;"",INDEX(Parties!$E$5:$E$304,R2237)&lt;&gt;HomeState),0,ROUND(K2237*L2237/2,2))),"")</f>
        <v/>
      </c>
      <c r="N2237" s="61" t="str">
        <f aca="false">IF(IsPro,IF($D2237="","",M2237),"")</f>
        <v/>
      </c>
      <c r="O2237" s="61" t="str">
        <f aca="false">IF(IsPro,IF($D2237="","",IF(AND(R2237&lt;&gt;"",INDEX(Parties!$E$5:$E$304,R2237)&lt;&gt;"",INDEX(Parties!$E$5:$E$304,R2237)&lt;&gt;HomeState),ROUND(K2237*L2237,2),0)),"")</f>
        <v/>
      </c>
      <c r="P2237" s="61" t="str">
        <f aca="false">IF(IsPro,IF($D2237="","",K2237+M2237+N2237+O2237),"")</f>
        <v/>
      </c>
      <c r="Q2237" s="60" t="str">
        <f aca="false">IF(IsPro,IF($D2237="","",IFERROR(MATCH($D2237,Items!$A$5:$A$504,0),"")),"")</f>
        <v/>
      </c>
      <c r="R2237" s="60" t="str">
        <f aca="false">IF(IsPro,IF($C2237="","",IFERROR(MATCH($C2237,Parties!$A$5:$A$304,0),"")),"")</f>
        <v/>
      </c>
      <c r="S2237" s="61" t="str">
        <f aca="false">IF(IsPro,IF($D2237="","",IF(OR($H2237="",$H2237="Credit"),0,P2237)),"")</f>
        <v/>
      </c>
    </row>
    <row r="2238" customFormat="false" ht="15" hidden="false" customHeight="false" outlineLevel="0" collapsed="false">
      <c r="A2238" s="55"/>
      <c r="B2238" s="56"/>
      <c r="C2238" s="56"/>
      <c r="D2238" s="56"/>
      <c r="E2238" s="57"/>
      <c r="F2238" s="58"/>
      <c r="G2238" s="59"/>
      <c r="H2238" s="56"/>
      <c r="I2238" s="60" t="str">
        <f aca="false">IF(IsPro,IF($D2238="","",IFERROR(INDEX(Items!$D$5:$D$504,Q2238),"")),IF($D2238="","","PRO PLAN"))</f>
        <v/>
      </c>
      <c r="J2238" s="61" t="str">
        <f aca="false">IF(IsPro,IF($D2238="","",IF($F2238="",IFERROR(INDEX(Items!$G$5:$G$504,Q2238),0),$F2238)),"")</f>
        <v/>
      </c>
      <c r="K2238" s="61" t="str">
        <f aca="false">IF(IsPro,IF($D2238="","",ROUND(N($E2238)*J2238*(1-N($G2238)),2)),"")</f>
        <v/>
      </c>
      <c r="L2238" s="62" t="str">
        <f aca="false">IF(IsPro,IF($D2238="","",IFERROR(INDEX(Items!$F$5:$F$504,Q2238),0)),"")</f>
        <v/>
      </c>
      <c r="M2238" s="61" t="str">
        <f aca="false">IF(IsPro,IF($D2238="","",IF(AND(R2238&lt;&gt;"",INDEX(Parties!$E$5:$E$304,R2238)&lt;&gt;"",INDEX(Parties!$E$5:$E$304,R2238)&lt;&gt;HomeState),0,ROUND(K2238*L2238/2,2))),"")</f>
        <v/>
      </c>
      <c r="N2238" s="61" t="str">
        <f aca="false">IF(IsPro,IF($D2238="","",M2238),"")</f>
        <v/>
      </c>
      <c r="O2238" s="61" t="str">
        <f aca="false">IF(IsPro,IF($D2238="","",IF(AND(R2238&lt;&gt;"",INDEX(Parties!$E$5:$E$304,R2238)&lt;&gt;"",INDEX(Parties!$E$5:$E$304,R2238)&lt;&gt;HomeState),ROUND(K2238*L2238,2),0)),"")</f>
        <v/>
      </c>
      <c r="P2238" s="61" t="str">
        <f aca="false">IF(IsPro,IF($D2238="","",K2238+M2238+N2238+O2238),"")</f>
        <v/>
      </c>
      <c r="Q2238" s="60" t="str">
        <f aca="false">IF(IsPro,IF($D2238="","",IFERROR(MATCH($D2238,Items!$A$5:$A$504,0),"")),"")</f>
        <v/>
      </c>
      <c r="R2238" s="60" t="str">
        <f aca="false">IF(IsPro,IF($C2238="","",IFERROR(MATCH($C2238,Parties!$A$5:$A$304,0),"")),"")</f>
        <v/>
      </c>
      <c r="S2238" s="61" t="str">
        <f aca="false">IF(IsPro,IF($D2238="","",IF(OR($H2238="",$H2238="Credit"),0,P2238)),"")</f>
        <v/>
      </c>
    </row>
    <row r="2239" customFormat="false" ht="15" hidden="false" customHeight="false" outlineLevel="0" collapsed="false">
      <c r="A2239" s="55"/>
      <c r="B2239" s="56"/>
      <c r="C2239" s="56"/>
      <c r="D2239" s="56"/>
      <c r="E2239" s="57"/>
      <c r="F2239" s="58"/>
      <c r="G2239" s="59"/>
      <c r="H2239" s="56"/>
      <c r="I2239" s="60" t="str">
        <f aca="false">IF(IsPro,IF($D2239="","",IFERROR(INDEX(Items!$D$5:$D$504,Q2239),"")),IF($D2239="","","PRO PLAN"))</f>
        <v/>
      </c>
      <c r="J2239" s="61" t="str">
        <f aca="false">IF(IsPro,IF($D2239="","",IF($F2239="",IFERROR(INDEX(Items!$G$5:$G$504,Q2239),0),$F2239)),"")</f>
        <v/>
      </c>
      <c r="K2239" s="61" t="str">
        <f aca="false">IF(IsPro,IF($D2239="","",ROUND(N($E2239)*J2239*(1-N($G2239)),2)),"")</f>
        <v/>
      </c>
      <c r="L2239" s="62" t="str">
        <f aca="false">IF(IsPro,IF($D2239="","",IFERROR(INDEX(Items!$F$5:$F$504,Q2239),0)),"")</f>
        <v/>
      </c>
      <c r="M2239" s="61" t="str">
        <f aca="false">IF(IsPro,IF($D2239="","",IF(AND(R2239&lt;&gt;"",INDEX(Parties!$E$5:$E$304,R2239)&lt;&gt;"",INDEX(Parties!$E$5:$E$304,R2239)&lt;&gt;HomeState),0,ROUND(K2239*L2239/2,2))),"")</f>
        <v/>
      </c>
      <c r="N2239" s="61" t="str">
        <f aca="false">IF(IsPro,IF($D2239="","",M2239),"")</f>
        <v/>
      </c>
      <c r="O2239" s="61" t="str">
        <f aca="false">IF(IsPro,IF($D2239="","",IF(AND(R2239&lt;&gt;"",INDEX(Parties!$E$5:$E$304,R2239)&lt;&gt;"",INDEX(Parties!$E$5:$E$304,R2239)&lt;&gt;HomeState),ROUND(K2239*L2239,2),0)),"")</f>
        <v/>
      </c>
      <c r="P2239" s="61" t="str">
        <f aca="false">IF(IsPro,IF($D2239="","",K2239+M2239+N2239+O2239),"")</f>
        <v/>
      </c>
      <c r="Q2239" s="60" t="str">
        <f aca="false">IF(IsPro,IF($D2239="","",IFERROR(MATCH($D2239,Items!$A$5:$A$504,0),"")),"")</f>
        <v/>
      </c>
      <c r="R2239" s="60" t="str">
        <f aca="false">IF(IsPro,IF($C2239="","",IFERROR(MATCH($C2239,Parties!$A$5:$A$304,0),"")),"")</f>
        <v/>
      </c>
      <c r="S2239" s="61" t="str">
        <f aca="false">IF(IsPro,IF($D2239="","",IF(OR($H2239="",$H2239="Credit"),0,P2239)),"")</f>
        <v/>
      </c>
    </row>
    <row r="2240" customFormat="false" ht="15" hidden="false" customHeight="false" outlineLevel="0" collapsed="false">
      <c r="A2240" s="55"/>
      <c r="B2240" s="56"/>
      <c r="C2240" s="56"/>
      <c r="D2240" s="56"/>
      <c r="E2240" s="57"/>
      <c r="F2240" s="58"/>
      <c r="G2240" s="59"/>
      <c r="H2240" s="56"/>
      <c r="I2240" s="60" t="str">
        <f aca="false">IF(IsPro,IF($D2240="","",IFERROR(INDEX(Items!$D$5:$D$504,Q2240),"")),IF($D2240="","","PRO PLAN"))</f>
        <v/>
      </c>
      <c r="J2240" s="61" t="str">
        <f aca="false">IF(IsPro,IF($D2240="","",IF($F2240="",IFERROR(INDEX(Items!$G$5:$G$504,Q2240),0),$F2240)),"")</f>
        <v/>
      </c>
      <c r="K2240" s="61" t="str">
        <f aca="false">IF(IsPro,IF($D2240="","",ROUND(N($E2240)*J2240*(1-N($G2240)),2)),"")</f>
        <v/>
      </c>
      <c r="L2240" s="62" t="str">
        <f aca="false">IF(IsPro,IF($D2240="","",IFERROR(INDEX(Items!$F$5:$F$504,Q2240),0)),"")</f>
        <v/>
      </c>
      <c r="M2240" s="61" t="str">
        <f aca="false">IF(IsPro,IF($D2240="","",IF(AND(R2240&lt;&gt;"",INDEX(Parties!$E$5:$E$304,R2240)&lt;&gt;"",INDEX(Parties!$E$5:$E$304,R2240)&lt;&gt;HomeState),0,ROUND(K2240*L2240/2,2))),"")</f>
        <v/>
      </c>
      <c r="N2240" s="61" t="str">
        <f aca="false">IF(IsPro,IF($D2240="","",M2240),"")</f>
        <v/>
      </c>
      <c r="O2240" s="61" t="str">
        <f aca="false">IF(IsPro,IF($D2240="","",IF(AND(R2240&lt;&gt;"",INDEX(Parties!$E$5:$E$304,R2240)&lt;&gt;"",INDEX(Parties!$E$5:$E$304,R2240)&lt;&gt;HomeState),ROUND(K2240*L2240,2),0)),"")</f>
        <v/>
      </c>
      <c r="P2240" s="61" t="str">
        <f aca="false">IF(IsPro,IF($D2240="","",K2240+M2240+N2240+O2240),"")</f>
        <v/>
      </c>
      <c r="Q2240" s="60" t="str">
        <f aca="false">IF(IsPro,IF($D2240="","",IFERROR(MATCH($D2240,Items!$A$5:$A$504,0),"")),"")</f>
        <v/>
      </c>
      <c r="R2240" s="60" t="str">
        <f aca="false">IF(IsPro,IF($C2240="","",IFERROR(MATCH($C2240,Parties!$A$5:$A$304,0),"")),"")</f>
        <v/>
      </c>
      <c r="S2240" s="61" t="str">
        <f aca="false">IF(IsPro,IF($D2240="","",IF(OR($H2240="",$H2240="Credit"),0,P2240)),"")</f>
        <v/>
      </c>
    </row>
    <row r="2241" customFormat="false" ht="15" hidden="false" customHeight="false" outlineLevel="0" collapsed="false">
      <c r="A2241" s="55"/>
      <c r="B2241" s="56"/>
      <c r="C2241" s="56"/>
      <c r="D2241" s="56"/>
      <c r="E2241" s="57"/>
      <c r="F2241" s="58"/>
      <c r="G2241" s="59"/>
      <c r="H2241" s="56"/>
      <c r="I2241" s="60" t="str">
        <f aca="false">IF(IsPro,IF($D2241="","",IFERROR(INDEX(Items!$D$5:$D$504,Q2241),"")),IF($D2241="","","PRO PLAN"))</f>
        <v/>
      </c>
      <c r="J2241" s="61" t="str">
        <f aca="false">IF(IsPro,IF($D2241="","",IF($F2241="",IFERROR(INDEX(Items!$G$5:$G$504,Q2241),0),$F2241)),"")</f>
        <v/>
      </c>
      <c r="K2241" s="61" t="str">
        <f aca="false">IF(IsPro,IF($D2241="","",ROUND(N($E2241)*J2241*(1-N($G2241)),2)),"")</f>
        <v/>
      </c>
      <c r="L2241" s="62" t="str">
        <f aca="false">IF(IsPro,IF($D2241="","",IFERROR(INDEX(Items!$F$5:$F$504,Q2241),0)),"")</f>
        <v/>
      </c>
      <c r="M2241" s="61" t="str">
        <f aca="false">IF(IsPro,IF($D2241="","",IF(AND(R2241&lt;&gt;"",INDEX(Parties!$E$5:$E$304,R2241)&lt;&gt;"",INDEX(Parties!$E$5:$E$304,R2241)&lt;&gt;HomeState),0,ROUND(K2241*L2241/2,2))),"")</f>
        <v/>
      </c>
      <c r="N2241" s="61" t="str">
        <f aca="false">IF(IsPro,IF($D2241="","",M2241),"")</f>
        <v/>
      </c>
      <c r="O2241" s="61" t="str">
        <f aca="false">IF(IsPro,IF($D2241="","",IF(AND(R2241&lt;&gt;"",INDEX(Parties!$E$5:$E$304,R2241)&lt;&gt;"",INDEX(Parties!$E$5:$E$304,R2241)&lt;&gt;HomeState),ROUND(K2241*L2241,2),0)),"")</f>
        <v/>
      </c>
      <c r="P2241" s="61" t="str">
        <f aca="false">IF(IsPro,IF($D2241="","",K2241+M2241+N2241+O2241),"")</f>
        <v/>
      </c>
      <c r="Q2241" s="60" t="str">
        <f aca="false">IF(IsPro,IF($D2241="","",IFERROR(MATCH($D2241,Items!$A$5:$A$504,0),"")),"")</f>
        <v/>
      </c>
      <c r="R2241" s="60" t="str">
        <f aca="false">IF(IsPro,IF($C2241="","",IFERROR(MATCH($C2241,Parties!$A$5:$A$304,0),"")),"")</f>
        <v/>
      </c>
      <c r="S2241" s="61" t="str">
        <f aca="false">IF(IsPro,IF($D2241="","",IF(OR($H2241="",$H2241="Credit"),0,P2241)),"")</f>
        <v/>
      </c>
    </row>
    <row r="2242" customFormat="false" ht="15" hidden="false" customHeight="false" outlineLevel="0" collapsed="false">
      <c r="A2242" s="55"/>
      <c r="B2242" s="56"/>
      <c r="C2242" s="56"/>
      <c r="D2242" s="56"/>
      <c r="E2242" s="57"/>
      <c r="F2242" s="58"/>
      <c r="G2242" s="59"/>
      <c r="H2242" s="56"/>
      <c r="I2242" s="60" t="str">
        <f aca="false">IF(IsPro,IF($D2242="","",IFERROR(INDEX(Items!$D$5:$D$504,Q2242),"")),IF($D2242="","","PRO PLAN"))</f>
        <v/>
      </c>
      <c r="J2242" s="61" t="str">
        <f aca="false">IF(IsPro,IF($D2242="","",IF($F2242="",IFERROR(INDEX(Items!$G$5:$G$504,Q2242),0),$F2242)),"")</f>
        <v/>
      </c>
      <c r="K2242" s="61" t="str">
        <f aca="false">IF(IsPro,IF($D2242="","",ROUND(N($E2242)*J2242*(1-N($G2242)),2)),"")</f>
        <v/>
      </c>
      <c r="L2242" s="62" t="str">
        <f aca="false">IF(IsPro,IF($D2242="","",IFERROR(INDEX(Items!$F$5:$F$504,Q2242),0)),"")</f>
        <v/>
      </c>
      <c r="M2242" s="61" t="str">
        <f aca="false">IF(IsPro,IF($D2242="","",IF(AND(R2242&lt;&gt;"",INDEX(Parties!$E$5:$E$304,R2242)&lt;&gt;"",INDEX(Parties!$E$5:$E$304,R2242)&lt;&gt;HomeState),0,ROUND(K2242*L2242/2,2))),"")</f>
        <v/>
      </c>
      <c r="N2242" s="61" t="str">
        <f aca="false">IF(IsPro,IF($D2242="","",M2242),"")</f>
        <v/>
      </c>
      <c r="O2242" s="61" t="str">
        <f aca="false">IF(IsPro,IF($D2242="","",IF(AND(R2242&lt;&gt;"",INDEX(Parties!$E$5:$E$304,R2242)&lt;&gt;"",INDEX(Parties!$E$5:$E$304,R2242)&lt;&gt;HomeState),ROUND(K2242*L2242,2),0)),"")</f>
        <v/>
      </c>
      <c r="P2242" s="61" t="str">
        <f aca="false">IF(IsPro,IF($D2242="","",K2242+M2242+N2242+O2242),"")</f>
        <v/>
      </c>
      <c r="Q2242" s="60" t="str">
        <f aca="false">IF(IsPro,IF($D2242="","",IFERROR(MATCH($D2242,Items!$A$5:$A$504,0),"")),"")</f>
        <v/>
      </c>
      <c r="R2242" s="60" t="str">
        <f aca="false">IF(IsPro,IF($C2242="","",IFERROR(MATCH($C2242,Parties!$A$5:$A$304,0),"")),"")</f>
        <v/>
      </c>
      <c r="S2242" s="61" t="str">
        <f aca="false">IF(IsPro,IF($D2242="","",IF(OR($H2242="",$H2242="Credit"),0,P2242)),"")</f>
        <v/>
      </c>
    </row>
    <row r="2243" customFormat="false" ht="15" hidden="false" customHeight="false" outlineLevel="0" collapsed="false">
      <c r="A2243" s="55"/>
      <c r="B2243" s="56"/>
      <c r="C2243" s="56"/>
      <c r="D2243" s="56"/>
      <c r="E2243" s="57"/>
      <c r="F2243" s="58"/>
      <c r="G2243" s="59"/>
      <c r="H2243" s="56"/>
      <c r="I2243" s="60" t="str">
        <f aca="false">IF(IsPro,IF($D2243="","",IFERROR(INDEX(Items!$D$5:$D$504,Q2243),"")),IF($D2243="","","PRO PLAN"))</f>
        <v/>
      </c>
      <c r="J2243" s="61" t="str">
        <f aca="false">IF(IsPro,IF($D2243="","",IF($F2243="",IFERROR(INDEX(Items!$G$5:$G$504,Q2243),0),$F2243)),"")</f>
        <v/>
      </c>
      <c r="K2243" s="61" t="str">
        <f aca="false">IF(IsPro,IF($D2243="","",ROUND(N($E2243)*J2243*(1-N($G2243)),2)),"")</f>
        <v/>
      </c>
      <c r="L2243" s="62" t="str">
        <f aca="false">IF(IsPro,IF($D2243="","",IFERROR(INDEX(Items!$F$5:$F$504,Q2243),0)),"")</f>
        <v/>
      </c>
      <c r="M2243" s="61" t="str">
        <f aca="false">IF(IsPro,IF($D2243="","",IF(AND(R2243&lt;&gt;"",INDEX(Parties!$E$5:$E$304,R2243)&lt;&gt;"",INDEX(Parties!$E$5:$E$304,R2243)&lt;&gt;HomeState),0,ROUND(K2243*L2243/2,2))),"")</f>
        <v/>
      </c>
      <c r="N2243" s="61" t="str">
        <f aca="false">IF(IsPro,IF($D2243="","",M2243),"")</f>
        <v/>
      </c>
      <c r="O2243" s="61" t="str">
        <f aca="false">IF(IsPro,IF($D2243="","",IF(AND(R2243&lt;&gt;"",INDEX(Parties!$E$5:$E$304,R2243)&lt;&gt;"",INDEX(Parties!$E$5:$E$304,R2243)&lt;&gt;HomeState),ROUND(K2243*L2243,2),0)),"")</f>
        <v/>
      </c>
      <c r="P2243" s="61" t="str">
        <f aca="false">IF(IsPro,IF($D2243="","",K2243+M2243+N2243+O2243),"")</f>
        <v/>
      </c>
      <c r="Q2243" s="60" t="str">
        <f aca="false">IF(IsPro,IF($D2243="","",IFERROR(MATCH($D2243,Items!$A$5:$A$504,0),"")),"")</f>
        <v/>
      </c>
      <c r="R2243" s="60" t="str">
        <f aca="false">IF(IsPro,IF($C2243="","",IFERROR(MATCH($C2243,Parties!$A$5:$A$304,0),"")),"")</f>
        <v/>
      </c>
      <c r="S2243" s="61" t="str">
        <f aca="false">IF(IsPro,IF($D2243="","",IF(OR($H2243="",$H2243="Credit"),0,P2243)),"")</f>
        <v/>
      </c>
    </row>
    <row r="2244" customFormat="false" ht="15" hidden="false" customHeight="false" outlineLevel="0" collapsed="false">
      <c r="A2244" s="55"/>
      <c r="B2244" s="56"/>
      <c r="C2244" s="56"/>
      <c r="D2244" s="56"/>
      <c r="E2244" s="57"/>
      <c r="F2244" s="58"/>
      <c r="G2244" s="59"/>
      <c r="H2244" s="56"/>
      <c r="I2244" s="60" t="str">
        <f aca="false">IF(IsPro,IF($D2244="","",IFERROR(INDEX(Items!$D$5:$D$504,Q2244),"")),IF($D2244="","","PRO PLAN"))</f>
        <v/>
      </c>
      <c r="J2244" s="61" t="str">
        <f aca="false">IF(IsPro,IF($D2244="","",IF($F2244="",IFERROR(INDEX(Items!$G$5:$G$504,Q2244),0),$F2244)),"")</f>
        <v/>
      </c>
      <c r="K2244" s="61" t="str">
        <f aca="false">IF(IsPro,IF($D2244="","",ROUND(N($E2244)*J2244*(1-N($G2244)),2)),"")</f>
        <v/>
      </c>
      <c r="L2244" s="62" t="str">
        <f aca="false">IF(IsPro,IF($D2244="","",IFERROR(INDEX(Items!$F$5:$F$504,Q2244),0)),"")</f>
        <v/>
      </c>
      <c r="M2244" s="61" t="str">
        <f aca="false">IF(IsPro,IF($D2244="","",IF(AND(R2244&lt;&gt;"",INDEX(Parties!$E$5:$E$304,R2244)&lt;&gt;"",INDEX(Parties!$E$5:$E$304,R2244)&lt;&gt;HomeState),0,ROUND(K2244*L2244/2,2))),"")</f>
        <v/>
      </c>
      <c r="N2244" s="61" t="str">
        <f aca="false">IF(IsPro,IF($D2244="","",M2244),"")</f>
        <v/>
      </c>
      <c r="O2244" s="61" t="str">
        <f aca="false">IF(IsPro,IF($D2244="","",IF(AND(R2244&lt;&gt;"",INDEX(Parties!$E$5:$E$304,R2244)&lt;&gt;"",INDEX(Parties!$E$5:$E$304,R2244)&lt;&gt;HomeState),ROUND(K2244*L2244,2),0)),"")</f>
        <v/>
      </c>
      <c r="P2244" s="61" t="str">
        <f aca="false">IF(IsPro,IF($D2244="","",K2244+M2244+N2244+O2244),"")</f>
        <v/>
      </c>
      <c r="Q2244" s="60" t="str">
        <f aca="false">IF(IsPro,IF($D2244="","",IFERROR(MATCH($D2244,Items!$A$5:$A$504,0),"")),"")</f>
        <v/>
      </c>
      <c r="R2244" s="60" t="str">
        <f aca="false">IF(IsPro,IF($C2244="","",IFERROR(MATCH($C2244,Parties!$A$5:$A$304,0),"")),"")</f>
        <v/>
      </c>
      <c r="S2244" s="61" t="str">
        <f aca="false">IF(IsPro,IF($D2244="","",IF(OR($H2244="",$H2244="Credit"),0,P2244)),"")</f>
        <v/>
      </c>
    </row>
    <row r="2245" customFormat="false" ht="15" hidden="false" customHeight="false" outlineLevel="0" collapsed="false">
      <c r="A2245" s="55"/>
      <c r="B2245" s="56"/>
      <c r="C2245" s="56"/>
      <c r="D2245" s="56"/>
      <c r="E2245" s="57"/>
      <c r="F2245" s="58"/>
      <c r="G2245" s="59"/>
      <c r="H2245" s="56"/>
      <c r="I2245" s="60" t="str">
        <f aca="false">IF(IsPro,IF($D2245="","",IFERROR(INDEX(Items!$D$5:$D$504,Q2245),"")),IF($D2245="","","PRO PLAN"))</f>
        <v/>
      </c>
      <c r="J2245" s="61" t="str">
        <f aca="false">IF(IsPro,IF($D2245="","",IF($F2245="",IFERROR(INDEX(Items!$G$5:$G$504,Q2245),0),$F2245)),"")</f>
        <v/>
      </c>
      <c r="K2245" s="61" t="str">
        <f aca="false">IF(IsPro,IF($D2245="","",ROUND(N($E2245)*J2245*(1-N($G2245)),2)),"")</f>
        <v/>
      </c>
      <c r="L2245" s="62" t="str">
        <f aca="false">IF(IsPro,IF($D2245="","",IFERROR(INDEX(Items!$F$5:$F$504,Q2245),0)),"")</f>
        <v/>
      </c>
      <c r="M2245" s="61" t="str">
        <f aca="false">IF(IsPro,IF($D2245="","",IF(AND(R2245&lt;&gt;"",INDEX(Parties!$E$5:$E$304,R2245)&lt;&gt;"",INDEX(Parties!$E$5:$E$304,R2245)&lt;&gt;HomeState),0,ROUND(K2245*L2245/2,2))),"")</f>
        <v/>
      </c>
      <c r="N2245" s="61" t="str">
        <f aca="false">IF(IsPro,IF($D2245="","",M2245),"")</f>
        <v/>
      </c>
      <c r="O2245" s="61" t="str">
        <f aca="false">IF(IsPro,IF($D2245="","",IF(AND(R2245&lt;&gt;"",INDEX(Parties!$E$5:$E$304,R2245)&lt;&gt;"",INDEX(Parties!$E$5:$E$304,R2245)&lt;&gt;HomeState),ROUND(K2245*L2245,2),0)),"")</f>
        <v/>
      </c>
      <c r="P2245" s="61" t="str">
        <f aca="false">IF(IsPro,IF($D2245="","",K2245+M2245+N2245+O2245),"")</f>
        <v/>
      </c>
      <c r="Q2245" s="60" t="str">
        <f aca="false">IF(IsPro,IF($D2245="","",IFERROR(MATCH($D2245,Items!$A$5:$A$504,0),"")),"")</f>
        <v/>
      </c>
      <c r="R2245" s="60" t="str">
        <f aca="false">IF(IsPro,IF($C2245="","",IFERROR(MATCH($C2245,Parties!$A$5:$A$304,0),"")),"")</f>
        <v/>
      </c>
      <c r="S2245" s="61" t="str">
        <f aca="false">IF(IsPro,IF($D2245="","",IF(OR($H2245="",$H2245="Credit"),0,P2245)),"")</f>
        <v/>
      </c>
    </row>
    <row r="2246" customFormat="false" ht="15" hidden="false" customHeight="false" outlineLevel="0" collapsed="false">
      <c r="A2246" s="55"/>
      <c r="B2246" s="56"/>
      <c r="C2246" s="56"/>
      <c r="D2246" s="56"/>
      <c r="E2246" s="57"/>
      <c r="F2246" s="58"/>
      <c r="G2246" s="59"/>
      <c r="H2246" s="56"/>
      <c r="I2246" s="60" t="str">
        <f aca="false">IF(IsPro,IF($D2246="","",IFERROR(INDEX(Items!$D$5:$D$504,Q2246),"")),IF($D2246="","","PRO PLAN"))</f>
        <v/>
      </c>
      <c r="J2246" s="61" t="str">
        <f aca="false">IF(IsPro,IF($D2246="","",IF($F2246="",IFERROR(INDEX(Items!$G$5:$G$504,Q2246),0),$F2246)),"")</f>
        <v/>
      </c>
      <c r="K2246" s="61" t="str">
        <f aca="false">IF(IsPro,IF($D2246="","",ROUND(N($E2246)*J2246*(1-N($G2246)),2)),"")</f>
        <v/>
      </c>
      <c r="L2246" s="62" t="str">
        <f aca="false">IF(IsPro,IF($D2246="","",IFERROR(INDEX(Items!$F$5:$F$504,Q2246),0)),"")</f>
        <v/>
      </c>
      <c r="M2246" s="61" t="str">
        <f aca="false">IF(IsPro,IF($D2246="","",IF(AND(R2246&lt;&gt;"",INDEX(Parties!$E$5:$E$304,R2246)&lt;&gt;"",INDEX(Parties!$E$5:$E$304,R2246)&lt;&gt;HomeState),0,ROUND(K2246*L2246/2,2))),"")</f>
        <v/>
      </c>
      <c r="N2246" s="61" t="str">
        <f aca="false">IF(IsPro,IF($D2246="","",M2246),"")</f>
        <v/>
      </c>
      <c r="O2246" s="61" t="str">
        <f aca="false">IF(IsPro,IF($D2246="","",IF(AND(R2246&lt;&gt;"",INDEX(Parties!$E$5:$E$304,R2246)&lt;&gt;"",INDEX(Parties!$E$5:$E$304,R2246)&lt;&gt;HomeState),ROUND(K2246*L2246,2),0)),"")</f>
        <v/>
      </c>
      <c r="P2246" s="61" t="str">
        <f aca="false">IF(IsPro,IF($D2246="","",K2246+M2246+N2246+O2246),"")</f>
        <v/>
      </c>
      <c r="Q2246" s="60" t="str">
        <f aca="false">IF(IsPro,IF($D2246="","",IFERROR(MATCH($D2246,Items!$A$5:$A$504,0),"")),"")</f>
        <v/>
      </c>
      <c r="R2246" s="60" t="str">
        <f aca="false">IF(IsPro,IF($C2246="","",IFERROR(MATCH($C2246,Parties!$A$5:$A$304,0),"")),"")</f>
        <v/>
      </c>
      <c r="S2246" s="61" t="str">
        <f aca="false">IF(IsPro,IF($D2246="","",IF(OR($H2246="",$H2246="Credit"),0,P2246)),"")</f>
        <v/>
      </c>
    </row>
    <row r="2247" customFormat="false" ht="15" hidden="false" customHeight="false" outlineLevel="0" collapsed="false">
      <c r="A2247" s="55"/>
      <c r="B2247" s="56"/>
      <c r="C2247" s="56"/>
      <c r="D2247" s="56"/>
      <c r="E2247" s="57"/>
      <c r="F2247" s="58"/>
      <c r="G2247" s="59"/>
      <c r="H2247" s="56"/>
      <c r="I2247" s="60" t="str">
        <f aca="false">IF(IsPro,IF($D2247="","",IFERROR(INDEX(Items!$D$5:$D$504,Q2247),"")),IF($D2247="","","PRO PLAN"))</f>
        <v/>
      </c>
      <c r="J2247" s="61" t="str">
        <f aca="false">IF(IsPro,IF($D2247="","",IF($F2247="",IFERROR(INDEX(Items!$G$5:$G$504,Q2247),0),$F2247)),"")</f>
        <v/>
      </c>
      <c r="K2247" s="61" t="str">
        <f aca="false">IF(IsPro,IF($D2247="","",ROUND(N($E2247)*J2247*(1-N($G2247)),2)),"")</f>
        <v/>
      </c>
      <c r="L2247" s="62" t="str">
        <f aca="false">IF(IsPro,IF($D2247="","",IFERROR(INDEX(Items!$F$5:$F$504,Q2247),0)),"")</f>
        <v/>
      </c>
      <c r="M2247" s="61" t="str">
        <f aca="false">IF(IsPro,IF($D2247="","",IF(AND(R2247&lt;&gt;"",INDEX(Parties!$E$5:$E$304,R2247)&lt;&gt;"",INDEX(Parties!$E$5:$E$304,R2247)&lt;&gt;HomeState),0,ROUND(K2247*L2247/2,2))),"")</f>
        <v/>
      </c>
      <c r="N2247" s="61" t="str">
        <f aca="false">IF(IsPro,IF($D2247="","",M2247),"")</f>
        <v/>
      </c>
      <c r="O2247" s="61" t="str">
        <f aca="false">IF(IsPro,IF($D2247="","",IF(AND(R2247&lt;&gt;"",INDEX(Parties!$E$5:$E$304,R2247)&lt;&gt;"",INDEX(Parties!$E$5:$E$304,R2247)&lt;&gt;HomeState),ROUND(K2247*L2247,2),0)),"")</f>
        <v/>
      </c>
      <c r="P2247" s="61" t="str">
        <f aca="false">IF(IsPro,IF($D2247="","",K2247+M2247+N2247+O2247),"")</f>
        <v/>
      </c>
      <c r="Q2247" s="60" t="str">
        <f aca="false">IF(IsPro,IF($D2247="","",IFERROR(MATCH($D2247,Items!$A$5:$A$504,0),"")),"")</f>
        <v/>
      </c>
      <c r="R2247" s="60" t="str">
        <f aca="false">IF(IsPro,IF($C2247="","",IFERROR(MATCH($C2247,Parties!$A$5:$A$304,0),"")),"")</f>
        <v/>
      </c>
      <c r="S2247" s="61" t="str">
        <f aca="false">IF(IsPro,IF($D2247="","",IF(OR($H2247="",$H2247="Credit"),0,P2247)),"")</f>
        <v/>
      </c>
    </row>
    <row r="2248" customFormat="false" ht="15" hidden="false" customHeight="false" outlineLevel="0" collapsed="false">
      <c r="A2248" s="55"/>
      <c r="B2248" s="56"/>
      <c r="C2248" s="56"/>
      <c r="D2248" s="56"/>
      <c r="E2248" s="57"/>
      <c r="F2248" s="58"/>
      <c r="G2248" s="59"/>
      <c r="H2248" s="56"/>
      <c r="I2248" s="60" t="str">
        <f aca="false">IF(IsPro,IF($D2248="","",IFERROR(INDEX(Items!$D$5:$D$504,Q2248),"")),IF($D2248="","","PRO PLAN"))</f>
        <v/>
      </c>
      <c r="J2248" s="61" t="str">
        <f aca="false">IF(IsPro,IF($D2248="","",IF($F2248="",IFERROR(INDEX(Items!$G$5:$G$504,Q2248),0),$F2248)),"")</f>
        <v/>
      </c>
      <c r="K2248" s="61" t="str">
        <f aca="false">IF(IsPro,IF($D2248="","",ROUND(N($E2248)*J2248*(1-N($G2248)),2)),"")</f>
        <v/>
      </c>
      <c r="L2248" s="62" t="str">
        <f aca="false">IF(IsPro,IF($D2248="","",IFERROR(INDEX(Items!$F$5:$F$504,Q2248),0)),"")</f>
        <v/>
      </c>
      <c r="M2248" s="61" t="str">
        <f aca="false">IF(IsPro,IF($D2248="","",IF(AND(R2248&lt;&gt;"",INDEX(Parties!$E$5:$E$304,R2248)&lt;&gt;"",INDEX(Parties!$E$5:$E$304,R2248)&lt;&gt;HomeState),0,ROUND(K2248*L2248/2,2))),"")</f>
        <v/>
      </c>
      <c r="N2248" s="61" t="str">
        <f aca="false">IF(IsPro,IF($D2248="","",M2248),"")</f>
        <v/>
      </c>
      <c r="O2248" s="61" t="str">
        <f aca="false">IF(IsPro,IF($D2248="","",IF(AND(R2248&lt;&gt;"",INDEX(Parties!$E$5:$E$304,R2248)&lt;&gt;"",INDEX(Parties!$E$5:$E$304,R2248)&lt;&gt;HomeState),ROUND(K2248*L2248,2),0)),"")</f>
        <v/>
      </c>
      <c r="P2248" s="61" t="str">
        <f aca="false">IF(IsPro,IF($D2248="","",K2248+M2248+N2248+O2248),"")</f>
        <v/>
      </c>
      <c r="Q2248" s="60" t="str">
        <f aca="false">IF(IsPro,IF($D2248="","",IFERROR(MATCH($D2248,Items!$A$5:$A$504,0),"")),"")</f>
        <v/>
      </c>
      <c r="R2248" s="60" t="str">
        <f aca="false">IF(IsPro,IF($C2248="","",IFERROR(MATCH($C2248,Parties!$A$5:$A$304,0),"")),"")</f>
        <v/>
      </c>
      <c r="S2248" s="61" t="str">
        <f aca="false">IF(IsPro,IF($D2248="","",IF(OR($H2248="",$H2248="Credit"),0,P2248)),"")</f>
        <v/>
      </c>
    </row>
    <row r="2249" customFormat="false" ht="15" hidden="false" customHeight="false" outlineLevel="0" collapsed="false">
      <c r="A2249" s="55"/>
      <c r="B2249" s="56"/>
      <c r="C2249" s="56"/>
      <c r="D2249" s="56"/>
      <c r="E2249" s="57"/>
      <c r="F2249" s="58"/>
      <c r="G2249" s="59"/>
      <c r="H2249" s="56"/>
      <c r="I2249" s="60" t="str">
        <f aca="false">IF(IsPro,IF($D2249="","",IFERROR(INDEX(Items!$D$5:$D$504,Q2249),"")),IF($D2249="","","PRO PLAN"))</f>
        <v/>
      </c>
      <c r="J2249" s="61" t="str">
        <f aca="false">IF(IsPro,IF($D2249="","",IF($F2249="",IFERROR(INDEX(Items!$G$5:$G$504,Q2249),0),$F2249)),"")</f>
        <v/>
      </c>
      <c r="K2249" s="61" t="str">
        <f aca="false">IF(IsPro,IF($D2249="","",ROUND(N($E2249)*J2249*(1-N($G2249)),2)),"")</f>
        <v/>
      </c>
      <c r="L2249" s="62" t="str">
        <f aca="false">IF(IsPro,IF($D2249="","",IFERROR(INDEX(Items!$F$5:$F$504,Q2249),0)),"")</f>
        <v/>
      </c>
      <c r="M2249" s="61" t="str">
        <f aca="false">IF(IsPro,IF($D2249="","",IF(AND(R2249&lt;&gt;"",INDEX(Parties!$E$5:$E$304,R2249)&lt;&gt;"",INDEX(Parties!$E$5:$E$304,R2249)&lt;&gt;HomeState),0,ROUND(K2249*L2249/2,2))),"")</f>
        <v/>
      </c>
      <c r="N2249" s="61" t="str">
        <f aca="false">IF(IsPro,IF($D2249="","",M2249),"")</f>
        <v/>
      </c>
      <c r="O2249" s="61" t="str">
        <f aca="false">IF(IsPro,IF($D2249="","",IF(AND(R2249&lt;&gt;"",INDEX(Parties!$E$5:$E$304,R2249)&lt;&gt;"",INDEX(Parties!$E$5:$E$304,R2249)&lt;&gt;HomeState),ROUND(K2249*L2249,2),0)),"")</f>
        <v/>
      </c>
      <c r="P2249" s="61" t="str">
        <f aca="false">IF(IsPro,IF($D2249="","",K2249+M2249+N2249+O2249),"")</f>
        <v/>
      </c>
      <c r="Q2249" s="60" t="str">
        <f aca="false">IF(IsPro,IF($D2249="","",IFERROR(MATCH($D2249,Items!$A$5:$A$504,0),"")),"")</f>
        <v/>
      </c>
      <c r="R2249" s="60" t="str">
        <f aca="false">IF(IsPro,IF($C2249="","",IFERROR(MATCH($C2249,Parties!$A$5:$A$304,0),"")),"")</f>
        <v/>
      </c>
      <c r="S2249" s="61" t="str">
        <f aca="false">IF(IsPro,IF($D2249="","",IF(OR($H2249="",$H2249="Credit"),0,P2249)),"")</f>
        <v/>
      </c>
    </row>
    <row r="2250" customFormat="false" ht="15" hidden="false" customHeight="false" outlineLevel="0" collapsed="false">
      <c r="A2250" s="55"/>
      <c r="B2250" s="56"/>
      <c r="C2250" s="56"/>
      <c r="D2250" s="56"/>
      <c r="E2250" s="57"/>
      <c r="F2250" s="58"/>
      <c r="G2250" s="59"/>
      <c r="H2250" s="56"/>
      <c r="I2250" s="60" t="str">
        <f aca="false">IF(IsPro,IF($D2250="","",IFERROR(INDEX(Items!$D$5:$D$504,Q2250),"")),IF($D2250="","","PRO PLAN"))</f>
        <v/>
      </c>
      <c r="J2250" s="61" t="str">
        <f aca="false">IF(IsPro,IF($D2250="","",IF($F2250="",IFERROR(INDEX(Items!$G$5:$G$504,Q2250),0),$F2250)),"")</f>
        <v/>
      </c>
      <c r="K2250" s="61" t="str">
        <f aca="false">IF(IsPro,IF($D2250="","",ROUND(N($E2250)*J2250*(1-N($G2250)),2)),"")</f>
        <v/>
      </c>
      <c r="L2250" s="62" t="str">
        <f aca="false">IF(IsPro,IF($D2250="","",IFERROR(INDEX(Items!$F$5:$F$504,Q2250),0)),"")</f>
        <v/>
      </c>
      <c r="M2250" s="61" t="str">
        <f aca="false">IF(IsPro,IF($D2250="","",IF(AND(R2250&lt;&gt;"",INDEX(Parties!$E$5:$E$304,R2250)&lt;&gt;"",INDEX(Parties!$E$5:$E$304,R2250)&lt;&gt;HomeState),0,ROUND(K2250*L2250/2,2))),"")</f>
        <v/>
      </c>
      <c r="N2250" s="61" t="str">
        <f aca="false">IF(IsPro,IF($D2250="","",M2250),"")</f>
        <v/>
      </c>
      <c r="O2250" s="61" t="str">
        <f aca="false">IF(IsPro,IF($D2250="","",IF(AND(R2250&lt;&gt;"",INDEX(Parties!$E$5:$E$304,R2250)&lt;&gt;"",INDEX(Parties!$E$5:$E$304,R2250)&lt;&gt;HomeState),ROUND(K2250*L2250,2),0)),"")</f>
        <v/>
      </c>
      <c r="P2250" s="61" t="str">
        <f aca="false">IF(IsPro,IF($D2250="","",K2250+M2250+N2250+O2250),"")</f>
        <v/>
      </c>
      <c r="Q2250" s="60" t="str">
        <f aca="false">IF(IsPro,IF($D2250="","",IFERROR(MATCH($D2250,Items!$A$5:$A$504,0),"")),"")</f>
        <v/>
      </c>
      <c r="R2250" s="60" t="str">
        <f aca="false">IF(IsPro,IF($C2250="","",IFERROR(MATCH($C2250,Parties!$A$5:$A$304,0),"")),"")</f>
        <v/>
      </c>
      <c r="S2250" s="61" t="str">
        <f aca="false">IF(IsPro,IF($D2250="","",IF(OR($H2250="",$H2250="Credit"),0,P2250)),"")</f>
        <v/>
      </c>
    </row>
    <row r="2251" customFormat="false" ht="15" hidden="false" customHeight="false" outlineLevel="0" collapsed="false">
      <c r="A2251" s="55"/>
      <c r="B2251" s="56"/>
      <c r="C2251" s="56"/>
      <c r="D2251" s="56"/>
      <c r="E2251" s="57"/>
      <c r="F2251" s="58"/>
      <c r="G2251" s="59"/>
      <c r="H2251" s="56"/>
      <c r="I2251" s="60" t="str">
        <f aca="false">IF(IsPro,IF($D2251="","",IFERROR(INDEX(Items!$D$5:$D$504,Q2251),"")),IF($D2251="","","PRO PLAN"))</f>
        <v/>
      </c>
      <c r="J2251" s="61" t="str">
        <f aca="false">IF(IsPro,IF($D2251="","",IF($F2251="",IFERROR(INDEX(Items!$G$5:$G$504,Q2251),0),$F2251)),"")</f>
        <v/>
      </c>
      <c r="K2251" s="61" t="str">
        <f aca="false">IF(IsPro,IF($D2251="","",ROUND(N($E2251)*J2251*(1-N($G2251)),2)),"")</f>
        <v/>
      </c>
      <c r="L2251" s="62" t="str">
        <f aca="false">IF(IsPro,IF($D2251="","",IFERROR(INDEX(Items!$F$5:$F$504,Q2251),0)),"")</f>
        <v/>
      </c>
      <c r="M2251" s="61" t="str">
        <f aca="false">IF(IsPro,IF($D2251="","",IF(AND(R2251&lt;&gt;"",INDEX(Parties!$E$5:$E$304,R2251)&lt;&gt;"",INDEX(Parties!$E$5:$E$304,R2251)&lt;&gt;HomeState),0,ROUND(K2251*L2251/2,2))),"")</f>
        <v/>
      </c>
      <c r="N2251" s="61" t="str">
        <f aca="false">IF(IsPro,IF($D2251="","",M2251),"")</f>
        <v/>
      </c>
      <c r="O2251" s="61" t="str">
        <f aca="false">IF(IsPro,IF($D2251="","",IF(AND(R2251&lt;&gt;"",INDEX(Parties!$E$5:$E$304,R2251)&lt;&gt;"",INDEX(Parties!$E$5:$E$304,R2251)&lt;&gt;HomeState),ROUND(K2251*L2251,2),0)),"")</f>
        <v/>
      </c>
      <c r="P2251" s="61" t="str">
        <f aca="false">IF(IsPro,IF($D2251="","",K2251+M2251+N2251+O2251),"")</f>
        <v/>
      </c>
      <c r="Q2251" s="60" t="str">
        <f aca="false">IF(IsPro,IF($D2251="","",IFERROR(MATCH($D2251,Items!$A$5:$A$504,0),"")),"")</f>
        <v/>
      </c>
      <c r="R2251" s="60" t="str">
        <f aca="false">IF(IsPro,IF($C2251="","",IFERROR(MATCH($C2251,Parties!$A$5:$A$304,0),"")),"")</f>
        <v/>
      </c>
      <c r="S2251" s="61" t="str">
        <f aca="false">IF(IsPro,IF($D2251="","",IF(OR($H2251="",$H2251="Credit"),0,P2251)),"")</f>
        <v/>
      </c>
    </row>
    <row r="2252" customFormat="false" ht="15" hidden="false" customHeight="false" outlineLevel="0" collapsed="false">
      <c r="A2252" s="55"/>
      <c r="B2252" s="56"/>
      <c r="C2252" s="56"/>
      <c r="D2252" s="56"/>
      <c r="E2252" s="57"/>
      <c r="F2252" s="58"/>
      <c r="G2252" s="59"/>
      <c r="H2252" s="56"/>
      <c r="I2252" s="60" t="str">
        <f aca="false">IF(IsPro,IF($D2252="","",IFERROR(INDEX(Items!$D$5:$D$504,Q2252),"")),IF($D2252="","","PRO PLAN"))</f>
        <v/>
      </c>
      <c r="J2252" s="61" t="str">
        <f aca="false">IF(IsPro,IF($D2252="","",IF($F2252="",IFERROR(INDEX(Items!$G$5:$G$504,Q2252),0),$F2252)),"")</f>
        <v/>
      </c>
      <c r="K2252" s="61" t="str">
        <f aca="false">IF(IsPro,IF($D2252="","",ROUND(N($E2252)*J2252*(1-N($G2252)),2)),"")</f>
        <v/>
      </c>
      <c r="L2252" s="62" t="str">
        <f aca="false">IF(IsPro,IF($D2252="","",IFERROR(INDEX(Items!$F$5:$F$504,Q2252),0)),"")</f>
        <v/>
      </c>
      <c r="M2252" s="61" t="str">
        <f aca="false">IF(IsPro,IF($D2252="","",IF(AND(R2252&lt;&gt;"",INDEX(Parties!$E$5:$E$304,R2252)&lt;&gt;"",INDEX(Parties!$E$5:$E$304,R2252)&lt;&gt;HomeState),0,ROUND(K2252*L2252/2,2))),"")</f>
        <v/>
      </c>
      <c r="N2252" s="61" t="str">
        <f aca="false">IF(IsPro,IF($D2252="","",M2252),"")</f>
        <v/>
      </c>
      <c r="O2252" s="61" t="str">
        <f aca="false">IF(IsPro,IF($D2252="","",IF(AND(R2252&lt;&gt;"",INDEX(Parties!$E$5:$E$304,R2252)&lt;&gt;"",INDEX(Parties!$E$5:$E$304,R2252)&lt;&gt;HomeState),ROUND(K2252*L2252,2),0)),"")</f>
        <v/>
      </c>
      <c r="P2252" s="61" t="str">
        <f aca="false">IF(IsPro,IF($D2252="","",K2252+M2252+N2252+O2252),"")</f>
        <v/>
      </c>
      <c r="Q2252" s="60" t="str">
        <f aca="false">IF(IsPro,IF($D2252="","",IFERROR(MATCH($D2252,Items!$A$5:$A$504,0),"")),"")</f>
        <v/>
      </c>
      <c r="R2252" s="60" t="str">
        <f aca="false">IF(IsPro,IF($C2252="","",IFERROR(MATCH($C2252,Parties!$A$5:$A$304,0),"")),"")</f>
        <v/>
      </c>
      <c r="S2252" s="61" t="str">
        <f aca="false">IF(IsPro,IF($D2252="","",IF(OR($H2252="",$H2252="Credit"),0,P2252)),"")</f>
        <v/>
      </c>
    </row>
    <row r="2253" customFormat="false" ht="15" hidden="false" customHeight="false" outlineLevel="0" collapsed="false">
      <c r="A2253" s="55"/>
      <c r="B2253" s="56"/>
      <c r="C2253" s="56"/>
      <c r="D2253" s="56"/>
      <c r="E2253" s="57"/>
      <c r="F2253" s="58"/>
      <c r="G2253" s="59"/>
      <c r="H2253" s="56"/>
      <c r="I2253" s="60" t="str">
        <f aca="false">IF(IsPro,IF($D2253="","",IFERROR(INDEX(Items!$D$5:$D$504,Q2253),"")),IF($D2253="","","PRO PLAN"))</f>
        <v/>
      </c>
      <c r="J2253" s="61" t="str">
        <f aca="false">IF(IsPro,IF($D2253="","",IF($F2253="",IFERROR(INDEX(Items!$G$5:$G$504,Q2253),0),$F2253)),"")</f>
        <v/>
      </c>
      <c r="K2253" s="61" t="str">
        <f aca="false">IF(IsPro,IF($D2253="","",ROUND(N($E2253)*J2253*(1-N($G2253)),2)),"")</f>
        <v/>
      </c>
      <c r="L2253" s="62" t="str">
        <f aca="false">IF(IsPro,IF($D2253="","",IFERROR(INDEX(Items!$F$5:$F$504,Q2253),0)),"")</f>
        <v/>
      </c>
      <c r="M2253" s="61" t="str">
        <f aca="false">IF(IsPro,IF($D2253="","",IF(AND(R2253&lt;&gt;"",INDEX(Parties!$E$5:$E$304,R2253)&lt;&gt;"",INDEX(Parties!$E$5:$E$304,R2253)&lt;&gt;HomeState),0,ROUND(K2253*L2253/2,2))),"")</f>
        <v/>
      </c>
      <c r="N2253" s="61" t="str">
        <f aca="false">IF(IsPro,IF($D2253="","",M2253),"")</f>
        <v/>
      </c>
      <c r="O2253" s="61" t="str">
        <f aca="false">IF(IsPro,IF($D2253="","",IF(AND(R2253&lt;&gt;"",INDEX(Parties!$E$5:$E$304,R2253)&lt;&gt;"",INDEX(Parties!$E$5:$E$304,R2253)&lt;&gt;HomeState),ROUND(K2253*L2253,2),0)),"")</f>
        <v/>
      </c>
      <c r="P2253" s="61" t="str">
        <f aca="false">IF(IsPro,IF($D2253="","",K2253+M2253+N2253+O2253),"")</f>
        <v/>
      </c>
      <c r="Q2253" s="60" t="str">
        <f aca="false">IF(IsPro,IF($D2253="","",IFERROR(MATCH($D2253,Items!$A$5:$A$504,0),"")),"")</f>
        <v/>
      </c>
      <c r="R2253" s="60" t="str">
        <f aca="false">IF(IsPro,IF($C2253="","",IFERROR(MATCH($C2253,Parties!$A$5:$A$304,0),"")),"")</f>
        <v/>
      </c>
      <c r="S2253" s="61" t="str">
        <f aca="false">IF(IsPro,IF($D2253="","",IF(OR($H2253="",$H2253="Credit"),0,P2253)),"")</f>
        <v/>
      </c>
    </row>
    <row r="2254" customFormat="false" ht="15" hidden="false" customHeight="false" outlineLevel="0" collapsed="false">
      <c r="A2254" s="55"/>
      <c r="B2254" s="56"/>
      <c r="C2254" s="56"/>
      <c r="D2254" s="56"/>
      <c r="E2254" s="57"/>
      <c r="F2254" s="58"/>
      <c r="G2254" s="59"/>
      <c r="H2254" s="56"/>
      <c r="I2254" s="60" t="str">
        <f aca="false">IF(IsPro,IF($D2254="","",IFERROR(INDEX(Items!$D$5:$D$504,Q2254),"")),IF($D2254="","","PRO PLAN"))</f>
        <v/>
      </c>
      <c r="J2254" s="61" t="str">
        <f aca="false">IF(IsPro,IF($D2254="","",IF($F2254="",IFERROR(INDEX(Items!$G$5:$G$504,Q2254),0),$F2254)),"")</f>
        <v/>
      </c>
      <c r="K2254" s="61" t="str">
        <f aca="false">IF(IsPro,IF($D2254="","",ROUND(N($E2254)*J2254*(1-N($G2254)),2)),"")</f>
        <v/>
      </c>
      <c r="L2254" s="62" t="str">
        <f aca="false">IF(IsPro,IF($D2254="","",IFERROR(INDEX(Items!$F$5:$F$504,Q2254),0)),"")</f>
        <v/>
      </c>
      <c r="M2254" s="61" t="str">
        <f aca="false">IF(IsPro,IF($D2254="","",IF(AND(R2254&lt;&gt;"",INDEX(Parties!$E$5:$E$304,R2254)&lt;&gt;"",INDEX(Parties!$E$5:$E$304,R2254)&lt;&gt;HomeState),0,ROUND(K2254*L2254/2,2))),"")</f>
        <v/>
      </c>
      <c r="N2254" s="61" t="str">
        <f aca="false">IF(IsPro,IF($D2254="","",M2254),"")</f>
        <v/>
      </c>
      <c r="O2254" s="61" t="str">
        <f aca="false">IF(IsPro,IF($D2254="","",IF(AND(R2254&lt;&gt;"",INDEX(Parties!$E$5:$E$304,R2254)&lt;&gt;"",INDEX(Parties!$E$5:$E$304,R2254)&lt;&gt;HomeState),ROUND(K2254*L2254,2),0)),"")</f>
        <v/>
      </c>
      <c r="P2254" s="61" t="str">
        <f aca="false">IF(IsPro,IF($D2254="","",K2254+M2254+N2254+O2254),"")</f>
        <v/>
      </c>
      <c r="Q2254" s="60" t="str">
        <f aca="false">IF(IsPro,IF($D2254="","",IFERROR(MATCH($D2254,Items!$A$5:$A$504,0),"")),"")</f>
        <v/>
      </c>
      <c r="R2254" s="60" t="str">
        <f aca="false">IF(IsPro,IF($C2254="","",IFERROR(MATCH($C2254,Parties!$A$5:$A$304,0),"")),"")</f>
        <v/>
      </c>
      <c r="S2254" s="61" t="str">
        <f aca="false">IF(IsPro,IF($D2254="","",IF(OR($H2254="",$H2254="Credit"),0,P2254)),"")</f>
        <v/>
      </c>
    </row>
    <row r="2255" customFormat="false" ht="15" hidden="false" customHeight="false" outlineLevel="0" collapsed="false">
      <c r="A2255" s="55"/>
      <c r="B2255" s="56"/>
      <c r="C2255" s="56"/>
      <c r="D2255" s="56"/>
      <c r="E2255" s="57"/>
      <c r="F2255" s="58"/>
      <c r="G2255" s="59"/>
      <c r="H2255" s="56"/>
      <c r="I2255" s="60" t="str">
        <f aca="false">IF(IsPro,IF($D2255="","",IFERROR(INDEX(Items!$D$5:$D$504,Q2255),"")),IF($D2255="","","PRO PLAN"))</f>
        <v/>
      </c>
      <c r="J2255" s="61" t="str">
        <f aca="false">IF(IsPro,IF($D2255="","",IF($F2255="",IFERROR(INDEX(Items!$G$5:$G$504,Q2255),0),$F2255)),"")</f>
        <v/>
      </c>
      <c r="K2255" s="61" t="str">
        <f aca="false">IF(IsPro,IF($D2255="","",ROUND(N($E2255)*J2255*(1-N($G2255)),2)),"")</f>
        <v/>
      </c>
      <c r="L2255" s="62" t="str">
        <f aca="false">IF(IsPro,IF($D2255="","",IFERROR(INDEX(Items!$F$5:$F$504,Q2255),0)),"")</f>
        <v/>
      </c>
      <c r="M2255" s="61" t="str">
        <f aca="false">IF(IsPro,IF($D2255="","",IF(AND(R2255&lt;&gt;"",INDEX(Parties!$E$5:$E$304,R2255)&lt;&gt;"",INDEX(Parties!$E$5:$E$304,R2255)&lt;&gt;HomeState),0,ROUND(K2255*L2255/2,2))),"")</f>
        <v/>
      </c>
      <c r="N2255" s="61" t="str">
        <f aca="false">IF(IsPro,IF($D2255="","",M2255),"")</f>
        <v/>
      </c>
      <c r="O2255" s="61" t="str">
        <f aca="false">IF(IsPro,IF($D2255="","",IF(AND(R2255&lt;&gt;"",INDEX(Parties!$E$5:$E$304,R2255)&lt;&gt;"",INDEX(Parties!$E$5:$E$304,R2255)&lt;&gt;HomeState),ROUND(K2255*L2255,2),0)),"")</f>
        <v/>
      </c>
      <c r="P2255" s="61" t="str">
        <f aca="false">IF(IsPro,IF($D2255="","",K2255+M2255+N2255+O2255),"")</f>
        <v/>
      </c>
      <c r="Q2255" s="60" t="str">
        <f aca="false">IF(IsPro,IF($D2255="","",IFERROR(MATCH($D2255,Items!$A$5:$A$504,0),"")),"")</f>
        <v/>
      </c>
      <c r="R2255" s="60" t="str">
        <f aca="false">IF(IsPro,IF($C2255="","",IFERROR(MATCH($C2255,Parties!$A$5:$A$304,0),"")),"")</f>
        <v/>
      </c>
      <c r="S2255" s="61" t="str">
        <f aca="false">IF(IsPro,IF($D2255="","",IF(OR($H2255="",$H2255="Credit"),0,P2255)),"")</f>
        <v/>
      </c>
    </row>
    <row r="2256" customFormat="false" ht="15" hidden="false" customHeight="false" outlineLevel="0" collapsed="false">
      <c r="A2256" s="55"/>
      <c r="B2256" s="56"/>
      <c r="C2256" s="56"/>
      <c r="D2256" s="56"/>
      <c r="E2256" s="57"/>
      <c r="F2256" s="58"/>
      <c r="G2256" s="59"/>
      <c r="H2256" s="56"/>
      <c r="I2256" s="60" t="str">
        <f aca="false">IF(IsPro,IF($D2256="","",IFERROR(INDEX(Items!$D$5:$D$504,Q2256),"")),IF($D2256="","","PRO PLAN"))</f>
        <v/>
      </c>
      <c r="J2256" s="61" t="str">
        <f aca="false">IF(IsPro,IF($D2256="","",IF($F2256="",IFERROR(INDEX(Items!$G$5:$G$504,Q2256),0),$F2256)),"")</f>
        <v/>
      </c>
      <c r="K2256" s="61" t="str">
        <f aca="false">IF(IsPro,IF($D2256="","",ROUND(N($E2256)*J2256*(1-N($G2256)),2)),"")</f>
        <v/>
      </c>
      <c r="L2256" s="62" t="str">
        <f aca="false">IF(IsPro,IF($D2256="","",IFERROR(INDEX(Items!$F$5:$F$504,Q2256),0)),"")</f>
        <v/>
      </c>
      <c r="M2256" s="61" t="str">
        <f aca="false">IF(IsPro,IF($D2256="","",IF(AND(R2256&lt;&gt;"",INDEX(Parties!$E$5:$E$304,R2256)&lt;&gt;"",INDEX(Parties!$E$5:$E$304,R2256)&lt;&gt;HomeState),0,ROUND(K2256*L2256/2,2))),"")</f>
        <v/>
      </c>
      <c r="N2256" s="61" t="str">
        <f aca="false">IF(IsPro,IF($D2256="","",M2256),"")</f>
        <v/>
      </c>
      <c r="O2256" s="61" t="str">
        <f aca="false">IF(IsPro,IF($D2256="","",IF(AND(R2256&lt;&gt;"",INDEX(Parties!$E$5:$E$304,R2256)&lt;&gt;"",INDEX(Parties!$E$5:$E$304,R2256)&lt;&gt;HomeState),ROUND(K2256*L2256,2),0)),"")</f>
        <v/>
      </c>
      <c r="P2256" s="61" t="str">
        <f aca="false">IF(IsPro,IF($D2256="","",K2256+M2256+N2256+O2256),"")</f>
        <v/>
      </c>
      <c r="Q2256" s="60" t="str">
        <f aca="false">IF(IsPro,IF($D2256="","",IFERROR(MATCH($D2256,Items!$A$5:$A$504,0),"")),"")</f>
        <v/>
      </c>
      <c r="R2256" s="60" t="str">
        <f aca="false">IF(IsPro,IF($C2256="","",IFERROR(MATCH($C2256,Parties!$A$5:$A$304,0),"")),"")</f>
        <v/>
      </c>
      <c r="S2256" s="61" t="str">
        <f aca="false">IF(IsPro,IF($D2256="","",IF(OR($H2256="",$H2256="Credit"),0,P2256)),"")</f>
        <v/>
      </c>
    </row>
    <row r="2257" customFormat="false" ht="15" hidden="false" customHeight="false" outlineLevel="0" collapsed="false">
      <c r="A2257" s="55"/>
      <c r="B2257" s="56"/>
      <c r="C2257" s="56"/>
      <c r="D2257" s="56"/>
      <c r="E2257" s="57"/>
      <c r="F2257" s="58"/>
      <c r="G2257" s="59"/>
      <c r="H2257" s="56"/>
      <c r="I2257" s="60" t="str">
        <f aca="false">IF(IsPro,IF($D2257="","",IFERROR(INDEX(Items!$D$5:$D$504,Q2257),"")),IF($D2257="","","PRO PLAN"))</f>
        <v/>
      </c>
      <c r="J2257" s="61" t="str">
        <f aca="false">IF(IsPro,IF($D2257="","",IF($F2257="",IFERROR(INDEX(Items!$G$5:$G$504,Q2257),0),$F2257)),"")</f>
        <v/>
      </c>
      <c r="K2257" s="61" t="str">
        <f aca="false">IF(IsPro,IF($D2257="","",ROUND(N($E2257)*J2257*(1-N($G2257)),2)),"")</f>
        <v/>
      </c>
      <c r="L2257" s="62" t="str">
        <f aca="false">IF(IsPro,IF($D2257="","",IFERROR(INDEX(Items!$F$5:$F$504,Q2257),0)),"")</f>
        <v/>
      </c>
      <c r="M2257" s="61" t="str">
        <f aca="false">IF(IsPro,IF($D2257="","",IF(AND(R2257&lt;&gt;"",INDEX(Parties!$E$5:$E$304,R2257)&lt;&gt;"",INDEX(Parties!$E$5:$E$304,R2257)&lt;&gt;HomeState),0,ROUND(K2257*L2257/2,2))),"")</f>
        <v/>
      </c>
      <c r="N2257" s="61" t="str">
        <f aca="false">IF(IsPro,IF($D2257="","",M2257),"")</f>
        <v/>
      </c>
      <c r="O2257" s="61" t="str">
        <f aca="false">IF(IsPro,IF($D2257="","",IF(AND(R2257&lt;&gt;"",INDEX(Parties!$E$5:$E$304,R2257)&lt;&gt;"",INDEX(Parties!$E$5:$E$304,R2257)&lt;&gt;HomeState),ROUND(K2257*L2257,2),0)),"")</f>
        <v/>
      </c>
      <c r="P2257" s="61" t="str">
        <f aca="false">IF(IsPro,IF($D2257="","",K2257+M2257+N2257+O2257),"")</f>
        <v/>
      </c>
      <c r="Q2257" s="60" t="str">
        <f aca="false">IF(IsPro,IF($D2257="","",IFERROR(MATCH($D2257,Items!$A$5:$A$504,0),"")),"")</f>
        <v/>
      </c>
      <c r="R2257" s="60" t="str">
        <f aca="false">IF(IsPro,IF($C2257="","",IFERROR(MATCH($C2257,Parties!$A$5:$A$304,0),"")),"")</f>
        <v/>
      </c>
      <c r="S2257" s="61" t="str">
        <f aca="false">IF(IsPro,IF($D2257="","",IF(OR($H2257="",$H2257="Credit"),0,P2257)),"")</f>
        <v/>
      </c>
    </row>
    <row r="2258" customFormat="false" ht="15" hidden="false" customHeight="false" outlineLevel="0" collapsed="false">
      <c r="A2258" s="55"/>
      <c r="B2258" s="56"/>
      <c r="C2258" s="56"/>
      <c r="D2258" s="56"/>
      <c r="E2258" s="57"/>
      <c r="F2258" s="58"/>
      <c r="G2258" s="59"/>
      <c r="H2258" s="56"/>
      <c r="I2258" s="60" t="str">
        <f aca="false">IF(IsPro,IF($D2258="","",IFERROR(INDEX(Items!$D$5:$D$504,Q2258),"")),IF($D2258="","","PRO PLAN"))</f>
        <v/>
      </c>
      <c r="J2258" s="61" t="str">
        <f aca="false">IF(IsPro,IF($D2258="","",IF($F2258="",IFERROR(INDEX(Items!$G$5:$G$504,Q2258),0),$F2258)),"")</f>
        <v/>
      </c>
      <c r="K2258" s="61" t="str">
        <f aca="false">IF(IsPro,IF($D2258="","",ROUND(N($E2258)*J2258*(1-N($G2258)),2)),"")</f>
        <v/>
      </c>
      <c r="L2258" s="62" t="str">
        <f aca="false">IF(IsPro,IF($D2258="","",IFERROR(INDEX(Items!$F$5:$F$504,Q2258),0)),"")</f>
        <v/>
      </c>
      <c r="M2258" s="61" t="str">
        <f aca="false">IF(IsPro,IF($D2258="","",IF(AND(R2258&lt;&gt;"",INDEX(Parties!$E$5:$E$304,R2258)&lt;&gt;"",INDEX(Parties!$E$5:$E$304,R2258)&lt;&gt;HomeState),0,ROUND(K2258*L2258/2,2))),"")</f>
        <v/>
      </c>
      <c r="N2258" s="61" t="str">
        <f aca="false">IF(IsPro,IF($D2258="","",M2258),"")</f>
        <v/>
      </c>
      <c r="O2258" s="61" t="str">
        <f aca="false">IF(IsPro,IF($D2258="","",IF(AND(R2258&lt;&gt;"",INDEX(Parties!$E$5:$E$304,R2258)&lt;&gt;"",INDEX(Parties!$E$5:$E$304,R2258)&lt;&gt;HomeState),ROUND(K2258*L2258,2),0)),"")</f>
        <v/>
      </c>
      <c r="P2258" s="61" t="str">
        <f aca="false">IF(IsPro,IF($D2258="","",K2258+M2258+N2258+O2258),"")</f>
        <v/>
      </c>
      <c r="Q2258" s="60" t="str">
        <f aca="false">IF(IsPro,IF($D2258="","",IFERROR(MATCH($D2258,Items!$A$5:$A$504,0),"")),"")</f>
        <v/>
      </c>
      <c r="R2258" s="60" t="str">
        <f aca="false">IF(IsPro,IF($C2258="","",IFERROR(MATCH($C2258,Parties!$A$5:$A$304,0),"")),"")</f>
        <v/>
      </c>
      <c r="S2258" s="61" t="str">
        <f aca="false">IF(IsPro,IF($D2258="","",IF(OR($H2258="",$H2258="Credit"),0,P2258)),"")</f>
        <v/>
      </c>
    </row>
    <row r="2259" customFormat="false" ht="15" hidden="false" customHeight="false" outlineLevel="0" collapsed="false">
      <c r="A2259" s="55"/>
      <c r="B2259" s="56"/>
      <c r="C2259" s="56"/>
      <c r="D2259" s="56"/>
      <c r="E2259" s="57"/>
      <c r="F2259" s="58"/>
      <c r="G2259" s="59"/>
      <c r="H2259" s="56"/>
      <c r="I2259" s="60" t="str">
        <f aca="false">IF(IsPro,IF($D2259="","",IFERROR(INDEX(Items!$D$5:$D$504,Q2259),"")),IF($D2259="","","PRO PLAN"))</f>
        <v/>
      </c>
      <c r="J2259" s="61" t="str">
        <f aca="false">IF(IsPro,IF($D2259="","",IF($F2259="",IFERROR(INDEX(Items!$G$5:$G$504,Q2259),0),$F2259)),"")</f>
        <v/>
      </c>
      <c r="K2259" s="61" t="str">
        <f aca="false">IF(IsPro,IF($D2259="","",ROUND(N($E2259)*J2259*(1-N($G2259)),2)),"")</f>
        <v/>
      </c>
      <c r="L2259" s="62" t="str">
        <f aca="false">IF(IsPro,IF($D2259="","",IFERROR(INDEX(Items!$F$5:$F$504,Q2259),0)),"")</f>
        <v/>
      </c>
      <c r="M2259" s="61" t="str">
        <f aca="false">IF(IsPro,IF($D2259="","",IF(AND(R2259&lt;&gt;"",INDEX(Parties!$E$5:$E$304,R2259)&lt;&gt;"",INDEX(Parties!$E$5:$E$304,R2259)&lt;&gt;HomeState),0,ROUND(K2259*L2259/2,2))),"")</f>
        <v/>
      </c>
      <c r="N2259" s="61" t="str">
        <f aca="false">IF(IsPro,IF($D2259="","",M2259),"")</f>
        <v/>
      </c>
      <c r="O2259" s="61" t="str">
        <f aca="false">IF(IsPro,IF($D2259="","",IF(AND(R2259&lt;&gt;"",INDEX(Parties!$E$5:$E$304,R2259)&lt;&gt;"",INDEX(Parties!$E$5:$E$304,R2259)&lt;&gt;HomeState),ROUND(K2259*L2259,2),0)),"")</f>
        <v/>
      </c>
      <c r="P2259" s="61" t="str">
        <f aca="false">IF(IsPro,IF($D2259="","",K2259+M2259+N2259+O2259),"")</f>
        <v/>
      </c>
      <c r="Q2259" s="60" t="str">
        <f aca="false">IF(IsPro,IF($D2259="","",IFERROR(MATCH($D2259,Items!$A$5:$A$504,0),"")),"")</f>
        <v/>
      </c>
      <c r="R2259" s="60" t="str">
        <f aca="false">IF(IsPro,IF($C2259="","",IFERROR(MATCH($C2259,Parties!$A$5:$A$304,0),"")),"")</f>
        <v/>
      </c>
      <c r="S2259" s="61" t="str">
        <f aca="false">IF(IsPro,IF($D2259="","",IF(OR($H2259="",$H2259="Credit"),0,P2259)),"")</f>
        <v/>
      </c>
    </row>
    <row r="2260" customFormat="false" ht="15" hidden="false" customHeight="false" outlineLevel="0" collapsed="false">
      <c r="A2260" s="55"/>
      <c r="B2260" s="56"/>
      <c r="C2260" s="56"/>
      <c r="D2260" s="56"/>
      <c r="E2260" s="57"/>
      <c r="F2260" s="58"/>
      <c r="G2260" s="59"/>
      <c r="H2260" s="56"/>
      <c r="I2260" s="60" t="str">
        <f aca="false">IF(IsPro,IF($D2260="","",IFERROR(INDEX(Items!$D$5:$D$504,Q2260),"")),IF($D2260="","","PRO PLAN"))</f>
        <v/>
      </c>
      <c r="J2260" s="61" t="str">
        <f aca="false">IF(IsPro,IF($D2260="","",IF($F2260="",IFERROR(INDEX(Items!$G$5:$G$504,Q2260),0),$F2260)),"")</f>
        <v/>
      </c>
      <c r="K2260" s="61" t="str">
        <f aca="false">IF(IsPro,IF($D2260="","",ROUND(N($E2260)*J2260*(1-N($G2260)),2)),"")</f>
        <v/>
      </c>
      <c r="L2260" s="62" t="str">
        <f aca="false">IF(IsPro,IF($D2260="","",IFERROR(INDEX(Items!$F$5:$F$504,Q2260),0)),"")</f>
        <v/>
      </c>
      <c r="M2260" s="61" t="str">
        <f aca="false">IF(IsPro,IF($D2260="","",IF(AND(R2260&lt;&gt;"",INDEX(Parties!$E$5:$E$304,R2260)&lt;&gt;"",INDEX(Parties!$E$5:$E$304,R2260)&lt;&gt;HomeState),0,ROUND(K2260*L2260/2,2))),"")</f>
        <v/>
      </c>
      <c r="N2260" s="61" t="str">
        <f aca="false">IF(IsPro,IF($D2260="","",M2260),"")</f>
        <v/>
      </c>
      <c r="O2260" s="61" t="str">
        <f aca="false">IF(IsPro,IF($D2260="","",IF(AND(R2260&lt;&gt;"",INDEX(Parties!$E$5:$E$304,R2260)&lt;&gt;"",INDEX(Parties!$E$5:$E$304,R2260)&lt;&gt;HomeState),ROUND(K2260*L2260,2),0)),"")</f>
        <v/>
      </c>
      <c r="P2260" s="61" t="str">
        <f aca="false">IF(IsPro,IF($D2260="","",K2260+M2260+N2260+O2260),"")</f>
        <v/>
      </c>
      <c r="Q2260" s="60" t="str">
        <f aca="false">IF(IsPro,IF($D2260="","",IFERROR(MATCH($D2260,Items!$A$5:$A$504,0),"")),"")</f>
        <v/>
      </c>
      <c r="R2260" s="60" t="str">
        <f aca="false">IF(IsPro,IF($C2260="","",IFERROR(MATCH($C2260,Parties!$A$5:$A$304,0),"")),"")</f>
        <v/>
      </c>
      <c r="S2260" s="61" t="str">
        <f aca="false">IF(IsPro,IF($D2260="","",IF(OR($H2260="",$H2260="Credit"),0,P2260)),"")</f>
        <v/>
      </c>
    </row>
    <row r="2261" customFormat="false" ht="15" hidden="false" customHeight="false" outlineLevel="0" collapsed="false">
      <c r="A2261" s="55"/>
      <c r="B2261" s="56"/>
      <c r="C2261" s="56"/>
      <c r="D2261" s="56"/>
      <c r="E2261" s="57"/>
      <c r="F2261" s="58"/>
      <c r="G2261" s="59"/>
      <c r="H2261" s="56"/>
      <c r="I2261" s="60" t="str">
        <f aca="false">IF(IsPro,IF($D2261="","",IFERROR(INDEX(Items!$D$5:$D$504,Q2261),"")),IF($D2261="","","PRO PLAN"))</f>
        <v/>
      </c>
      <c r="J2261" s="61" t="str">
        <f aca="false">IF(IsPro,IF($D2261="","",IF($F2261="",IFERROR(INDEX(Items!$G$5:$G$504,Q2261),0),$F2261)),"")</f>
        <v/>
      </c>
      <c r="K2261" s="61" t="str">
        <f aca="false">IF(IsPro,IF($D2261="","",ROUND(N($E2261)*J2261*(1-N($G2261)),2)),"")</f>
        <v/>
      </c>
      <c r="L2261" s="62" t="str">
        <f aca="false">IF(IsPro,IF($D2261="","",IFERROR(INDEX(Items!$F$5:$F$504,Q2261),0)),"")</f>
        <v/>
      </c>
      <c r="M2261" s="61" t="str">
        <f aca="false">IF(IsPro,IF($D2261="","",IF(AND(R2261&lt;&gt;"",INDEX(Parties!$E$5:$E$304,R2261)&lt;&gt;"",INDEX(Parties!$E$5:$E$304,R2261)&lt;&gt;HomeState),0,ROUND(K2261*L2261/2,2))),"")</f>
        <v/>
      </c>
      <c r="N2261" s="61" t="str">
        <f aca="false">IF(IsPro,IF($D2261="","",M2261),"")</f>
        <v/>
      </c>
      <c r="O2261" s="61" t="str">
        <f aca="false">IF(IsPro,IF($D2261="","",IF(AND(R2261&lt;&gt;"",INDEX(Parties!$E$5:$E$304,R2261)&lt;&gt;"",INDEX(Parties!$E$5:$E$304,R2261)&lt;&gt;HomeState),ROUND(K2261*L2261,2),0)),"")</f>
        <v/>
      </c>
      <c r="P2261" s="61" t="str">
        <f aca="false">IF(IsPro,IF($D2261="","",K2261+M2261+N2261+O2261),"")</f>
        <v/>
      </c>
      <c r="Q2261" s="60" t="str">
        <f aca="false">IF(IsPro,IF($D2261="","",IFERROR(MATCH($D2261,Items!$A$5:$A$504,0),"")),"")</f>
        <v/>
      </c>
      <c r="R2261" s="60" t="str">
        <f aca="false">IF(IsPro,IF($C2261="","",IFERROR(MATCH($C2261,Parties!$A$5:$A$304,0),"")),"")</f>
        <v/>
      </c>
      <c r="S2261" s="61" t="str">
        <f aca="false">IF(IsPro,IF($D2261="","",IF(OR($H2261="",$H2261="Credit"),0,P2261)),"")</f>
        <v/>
      </c>
    </row>
    <row r="2262" customFormat="false" ht="15" hidden="false" customHeight="false" outlineLevel="0" collapsed="false">
      <c r="A2262" s="55"/>
      <c r="B2262" s="56"/>
      <c r="C2262" s="56"/>
      <c r="D2262" s="56"/>
      <c r="E2262" s="57"/>
      <c r="F2262" s="58"/>
      <c r="G2262" s="59"/>
      <c r="H2262" s="56"/>
      <c r="I2262" s="60" t="str">
        <f aca="false">IF(IsPro,IF($D2262="","",IFERROR(INDEX(Items!$D$5:$D$504,Q2262),"")),IF($D2262="","","PRO PLAN"))</f>
        <v/>
      </c>
      <c r="J2262" s="61" t="str">
        <f aca="false">IF(IsPro,IF($D2262="","",IF($F2262="",IFERROR(INDEX(Items!$G$5:$G$504,Q2262),0),$F2262)),"")</f>
        <v/>
      </c>
      <c r="K2262" s="61" t="str">
        <f aca="false">IF(IsPro,IF($D2262="","",ROUND(N($E2262)*J2262*(1-N($G2262)),2)),"")</f>
        <v/>
      </c>
      <c r="L2262" s="62" t="str">
        <f aca="false">IF(IsPro,IF($D2262="","",IFERROR(INDEX(Items!$F$5:$F$504,Q2262),0)),"")</f>
        <v/>
      </c>
      <c r="M2262" s="61" t="str">
        <f aca="false">IF(IsPro,IF($D2262="","",IF(AND(R2262&lt;&gt;"",INDEX(Parties!$E$5:$E$304,R2262)&lt;&gt;"",INDEX(Parties!$E$5:$E$304,R2262)&lt;&gt;HomeState),0,ROUND(K2262*L2262/2,2))),"")</f>
        <v/>
      </c>
      <c r="N2262" s="61" t="str">
        <f aca="false">IF(IsPro,IF($D2262="","",M2262),"")</f>
        <v/>
      </c>
      <c r="O2262" s="61" t="str">
        <f aca="false">IF(IsPro,IF($D2262="","",IF(AND(R2262&lt;&gt;"",INDEX(Parties!$E$5:$E$304,R2262)&lt;&gt;"",INDEX(Parties!$E$5:$E$304,R2262)&lt;&gt;HomeState),ROUND(K2262*L2262,2),0)),"")</f>
        <v/>
      </c>
      <c r="P2262" s="61" t="str">
        <f aca="false">IF(IsPro,IF($D2262="","",K2262+M2262+N2262+O2262),"")</f>
        <v/>
      </c>
      <c r="Q2262" s="60" t="str">
        <f aca="false">IF(IsPro,IF($D2262="","",IFERROR(MATCH($D2262,Items!$A$5:$A$504,0),"")),"")</f>
        <v/>
      </c>
      <c r="R2262" s="60" t="str">
        <f aca="false">IF(IsPro,IF($C2262="","",IFERROR(MATCH($C2262,Parties!$A$5:$A$304,0),"")),"")</f>
        <v/>
      </c>
      <c r="S2262" s="61" t="str">
        <f aca="false">IF(IsPro,IF($D2262="","",IF(OR($H2262="",$H2262="Credit"),0,P2262)),"")</f>
        <v/>
      </c>
    </row>
    <row r="2263" customFormat="false" ht="15" hidden="false" customHeight="false" outlineLevel="0" collapsed="false">
      <c r="A2263" s="55"/>
      <c r="B2263" s="56"/>
      <c r="C2263" s="56"/>
      <c r="D2263" s="56"/>
      <c r="E2263" s="57"/>
      <c r="F2263" s="58"/>
      <c r="G2263" s="59"/>
      <c r="H2263" s="56"/>
      <c r="I2263" s="60" t="str">
        <f aca="false">IF(IsPro,IF($D2263="","",IFERROR(INDEX(Items!$D$5:$D$504,Q2263),"")),IF($D2263="","","PRO PLAN"))</f>
        <v/>
      </c>
      <c r="J2263" s="61" t="str">
        <f aca="false">IF(IsPro,IF($D2263="","",IF($F2263="",IFERROR(INDEX(Items!$G$5:$G$504,Q2263),0),$F2263)),"")</f>
        <v/>
      </c>
      <c r="K2263" s="61" t="str">
        <f aca="false">IF(IsPro,IF($D2263="","",ROUND(N($E2263)*J2263*(1-N($G2263)),2)),"")</f>
        <v/>
      </c>
      <c r="L2263" s="62" t="str">
        <f aca="false">IF(IsPro,IF($D2263="","",IFERROR(INDEX(Items!$F$5:$F$504,Q2263),0)),"")</f>
        <v/>
      </c>
      <c r="M2263" s="61" t="str">
        <f aca="false">IF(IsPro,IF($D2263="","",IF(AND(R2263&lt;&gt;"",INDEX(Parties!$E$5:$E$304,R2263)&lt;&gt;"",INDEX(Parties!$E$5:$E$304,R2263)&lt;&gt;HomeState),0,ROUND(K2263*L2263/2,2))),"")</f>
        <v/>
      </c>
      <c r="N2263" s="61" t="str">
        <f aca="false">IF(IsPro,IF($D2263="","",M2263),"")</f>
        <v/>
      </c>
      <c r="O2263" s="61" t="str">
        <f aca="false">IF(IsPro,IF($D2263="","",IF(AND(R2263&lt;&gt;"",INDEX(Parties!$E$5:$E$304,R2263)&lt;&gt;"",INDEX(Parties!$E$5:$E$304,R2263)&lt;&gt;HomeState),ROUND(K2263*L2263,2),0)),"")</f>
        <v/>
      </c>
      <c r="P2263" s="61" t="str">
        <f aca="false">IF(IsPro,IF($D2263="","",K2263+M2263+N2263+O2263),"")</f>
        <v/>
      </c>
      <c r="Q2263" s="60" t="str">
        <f aca="false">IF(IsPro,IF($D2263="","",IFERROR(MATCH($D2263,Items!$A$5:$A$504,0),"")),"")</f>
        <v/>
      </c>
      <c r="R2263" s="60" t="str">
        <f aca="false">IF(IsPro,IF($C2263="","",IFERROR(MATCH($C2263,Parties!$A$5:$A$304,0),"")),"")</f>
        <v/>
      </c>
      <c r="S2263" s="61" t="str">
        <f aca="false">IF(IsPro,IF($D2263="","",IF(OR($H2263="",$H2263="Credit"),0,P2263)),"")</f>
        <v/>
      </c>
    </row>
    <row r="2264" customFormat="false" ht="15" hidden="false" customHeight="false" outlineLevel="0" collapsed="false">
      <c r="A2264" s="55"/>
      <c r="B2264" s="56"/>
      <c r="C2264" s="56"/>
      <c r="D2264" s="56"/>
      <c r="E2264" s="57"/>
      <c r="F2264" s="58"/>
      <c r="G2264" s="59"/>
      <c r="H2264" s="56"/>
      <c r="I2264" s="60" t="str">
        <f aca="false">IF(IsPro,IF($D2264="","",IFERROR(INDEX(Items!$D$5:$D$504,Q2264),"")),IF($D2264="","","PRO PLAN"))</f>
        <v/>
      </c>
      <c r="J2264" s="61" t="str">
        <f aca="false">IF(IsPro,IF($D2264="","",IF($F2264="",IFERROR(INDEX(Items!$G$5:$G$504,Q2264),0),$F2264)),"")</f>
        <v/>
      </c>
      <c r="K2264" s="61" t="str">
        <f aca="false">IF(IsPro,IF($D2264="","",ROUND(N($E2264)*J2264*(1-N($G2264)),2)),"")</f>
        <v/>
      </c>
      <c r="L2264" s="62" t="str">
        <f aca="false">IF(IsPro,IF($D2264="","",IFERROR(INDEX(Items!$F$5:$F$504,Q2264),0)),"")</f>
        <v/>
      </c>
      <c r="M2264" s="61" t="str">
        <f aca="false">IF(IsPro,IF($D2264="","",IF(AND(R2264&lt;&gt;"",INDEX(Parties!$E$5:$E$304,R2264)&lt;&gt;"",INDEX(Parties!$E$5:$E$304,R2264)&lt;&gt;HomeState),0,ROUND(K2264*L2264/2,2))),"")</f>
        <v/>
      </c>
      <c r="N2264" s="61" t="str">
        <f aca="false">IF(IsPro,IF($D2264="","",M2264),"")</f>
        <v/>
      </c>
      <c r="O2264" s="61" t="str">
        <f aca="false">IF(IsPro,IF($D2264="","",IF(AND(R2264&lt;&gt;"",INDEX(Parties!$E$5:$E$304,R2264)&lt;&gt;"",INDEX(Parties!$E$5:$E$304,R2264)&lt;&gt;HomeState),ROUND(K2264*L2264,2),0)),"")</f>
        <v/>
      </c>
      <c r="P2264" s="61" t="str">
        <f aca="false">IF(IsPro,IF($D2264="","",K2264+M2264+N2264+O2264),"")</f>
        <v/>
      </c>
      <c r="Q2264" s="60" t="str">
        <f aca="false">IF(IsPro,IF($D2264="","",IFERROR(MATCH($D2264,Items!$A$5:$A$504,0),"")),"")</f>
        <v/>
      </c>
      <c r="R2264" s="60" t="str">
        <f aca="false">IF(IsPro,IF($C2264="","",IFERROR(MATCH($C2264,Parties!$A$5:$A$304,0),"")),"")</f>
        <v/>
      </c>
      <c r="S2264" s="61" t="str">
        <f aca="false">IF(IsPro,IF($D2264="","",IF(OR($H2264="",$H2264="Credit"),0,P2264)),"")</f>
        <v/>
      </c>
    </row>
    <row r="2265" customFormat="false" ht="15" hidden="false" customHeight="false" outlineLevel="0" collapsed="false">
      <c r="A2265" s="55"/>
      <c r="B2265" s="56"/>
      <c r="C2265" s="56"/>
      <c r="D2265" s="56"/>
      <c r="E2265" s="57"/>
      <c r="F2265" s="58"/>
      <c r="G2265" s="59"/>
      <c r="H2265" s="56"/>
      <c r="I2265" s="60" t="str">
        <f aca="false">IF(IsPro,IF($D2265="","",IFERROR(INDEX(Items!$D$5:$D$504,Q2265),"")),IF($D2265="","","PRO PLAN"))</f>
        <v/>
      </c>
      <c r="J2265" s="61" t="str">
        <f aca="false">IF(IsPro,IF($D2265="","",IF($F2265="",IFERROR(INDEX(Items!$G$5:$G$504,Q2265),0),$F2265)),"")</f>
        <v/>
      </c>
      <c r="K2265" s="61" t="str">
        <f aca="false">IF(IsPro,IF($D2265="","",ROUND(N($E2265)*J2265*(1-N($G2265)),2)),"")</f>
        <v/>
      </c>
      <c r="L2265" s="62" t="str">
        <f aca="false">IF(IsPro,IF($D2265="","",IFERROR(INDEX(Items!$F$5:$F$504,Q2265),0)),"")</f>
        <v/>
      </c>
      <c r="M2265" s="61" t="str">
        <f aca="false">IF(IsPro,IF($D2265="","",IF(AND(R2265&lt;&gt;"",INDEX(Parties!$E$5:$E$304,R2265)&lt;&gt;"",INDEX(Parties!$E$5:$E$304,R2265)&lt;&gt;HomeState),0,ROUND(K2265*L2265/2,2))),"")</f>
        <v/>
      </c>
      <c r="N2265" s="61" t="str">
        <f aca="false">IF(IsPro,IF($D2265="","",M2265),"")</f>
        <v/>
      </c>
      <c r="O2265" s="61" t="str">
        <f aca="false">IF(IsPro,IF($D2265="","",IF(AND(R2265&lt;&gt;"",INDEX(Parties!$E$5:$E$304,R2265)&lt;&gt;"",INDEX(Parties!$E$5:$E$304,R2265)&lt;&gt;HomeState),ROUND(K2265*L2265,2),0)),"")</f>
        <v/>
      </c>
      <c r="P2265" s="61" t="str">
        <f aca="false">IF(IsPro,IF($D2265="","",K2265+M2265+N2265+O2265),"")</f>
        <v/>
      </c>
      <c r="Q2265" s="60" t="str">
        <f aca="false">IF(IsPro,IF($D2265="","",IFERROR(MATCH($D2265,Items!$A$5:$A$504,0),"")),"")</f>
        <v/>
      </c>
      <c r="R2265" s="60" t="str">
        <f aca="false">IF(IsPro,IF($C2265="","",IFERROR(MATCH($C2265,Parties!$A$5:$A$304,0),"")),"")</f>
        <v/>
      </c>
      <c r="S2265" s="61" t="str">
        <f aca="false">IF(IsPro,IF($D2265="","",IF(OR($H2265="",$H2265="Credit"),0,P2265)),"")</f>
        <v/>
      </c>
    </row>
    <row r="2266" customFormat="false" ht="15" hidden="false" customHeight="false" outlineLevel="0" collapsed="false">
      <c r="A2266" s="55"/>
      <c r="B2266" s="56"/>
      <c r="C2266" s="56"/>
      <c r="D2266" s="56"/>
      <c r="E2266" s="57"/>
      <c r="F2266" s="58"/>
      <c r="G2266" s="59"/>
      <c r="H2266" s="56"/>
      <c r="I2266" s="60" t="str">
        <f aca="false">IF(IsPro,IF($D2266="","",IFERROR(INDEX(Items!$D$5:$D$504,Q2266),"")),IF($D2266="","","PRO PLAN"))</f>
        <v/>
      </c>
      <c r="J2266" s="61" t="str">
        <f aca="false">IF(IsPro,IF($D2266="","",IF($F2266="",IFERROR(INDEX(Items!$G$5:$G$504,Q2266),0),$F2266)),"")</f>
        <v/>
      </c>
      <c r="K2266" s="61" t="str">
        <f aca="false">IF(IsPro,IF($D2266="","",ROUND(N($E2266)*J2266*(1-N($G2266)),2)),"")</f>
        <v/>
      </c>
      <c r="L2266" s="62" t="str">
        <f aca="false">IF(IsPro,IF($D2266="","",IFERROR(INDEX(Items!$F$5:$F$504,Q2266),0)),"")</f>
        <v/>
      </c>
      <c r="M2266" s="61" t="str">
        <f aca="false">IF(IsPro,IF($D2266="","",IF(AND(R2266&lt;&gt;"",INDEX(Parties!$E$5:$E$304,R2266)&lt;&gt;"",INDEX(Parties!$E$5:$E$304,R2266)&lt;&gt;HomeState),0,ROUND(K2266*L2266/2,2))),"")</f>
        <v/>
      </c>
      <c r="N2266" s="61" t="str">
        <f aca="false">IF(IsPro,IF($D2266="","",M2266),"")</f>
        <v/>
      </c>
      <c r="O2266" s="61" t="str">
        <f aca="false">IF(IsPro,IF($D2266="","",IF(AND(R2266&lt;&gt;"",INDEX(Parties!$E$5:$E$304,R2266)&lt;&gt;"",INDEX(Parties!$E$5:$E$304,R2266)&lt;&gt;HomeState),ROUND(K2266*L2266,2),0)),"")</f>
        <v/>
      </c>
      <c r="P2266" s="61" t="str">
        <f aca="false">IF(IsPro,IF($D2266="","",K2266+M2266+N2266+O2266),"")</f>
        <v/>
      </c>
      <c r="Q2266" s="60" t="str">
        <f aca="false">IF(IsPro,IF($D2266="","",IFERROR(MATCH($D2266,Items!$A$5:$A$504,0),"")),"")</f>
        <v/>
      </c>
      <c r="R2266" s="60" t="str">
        <f aca="false">IF(IsPro,IF($C2266="","",IFERROR(MATCH($C2266,Parties!$A$5:$A$304,0),"")),"")</f>
        <v/>
      </c>
      <c r="S2266" s="61" t="str">
        <f aca="false">IF(IsPro,IF($D2266="","",IF(OR($H2266="",$H2266="Credit"),0,P2266)),"")</f>
        <v/>
      </c>
    </row>
    <row r="2267" customFormat="false" ht="15" hidden="false" customHeight="false" outlineLevel="0" collapsed="false">
      <c r="A2267" s="55"/>
      <c r="B2267" s="56"/>
      <c r="C2267" s="56"/>
      <c r="D2267" s="56"/>
      <c r="E2267" s="57"/>
      <c r="F2267" s="58"/>
      <c r="G2267" s="59"/>
      <c r="H2267" s="56"/>
      <c r="I2267" s="60" t="str">
        <f aca="false">IF(IsPro,IF($D2267="","",IFERROR(INDEX(Items!$D$5:$D$504,Q2267),"")),IF($D2267="","","PRO PLAN"))</f>
        <v/>
      </c>
      <c r="J2267" s="61" t="str">
        <f aca="false">IF(IsPro,IF($D2267="","",IF($F2267="",IFERROR(INDEX(Items!$G$5:$G$504,Q2267),0),$F2267)),"")</f>
        <v/>
      </c>
      <c r="K2267" s="61" t="str">
        <f aca="false">IF(IsPro,IF($D2267="","",ROUND(N($E2267)*J2267*(1-N($G2267)),2)),"")</f>
        <v/>
      </c>
      <c r="L2267" s="62" t="str">
        <f aca="false">IF(IsPro,IF($D2267="","",IFERROR(INDEX(Items!$F$5:$F$504,Q2267),0)),"")</f>
        <v/>
      </c>
      <c r="M2267" s="61" t="str">
        <f aca="false">IF(IsPro,IF($D2267="","",IF(AND(R2267&lt;&gt;"",INDEX(Parties!$E$5:$E$304,R2267)&lt;&gt;"",INDEX(Parties!$E$5:$E$304,R2267)&lt;&gt;HomeState),0,ROUND(K2267*L2267/2,2))),"")</f>
        <v/>
      </c>
      <c r="N2267" s="61" t="str">
        <f aca="false">IF(IsPro,IF($D2267="","",M2267),"")</f>
        <v/>
      </c>
      <c r="O2267" s="61" t="str">
        <f aca="false">IF(IsPro,IF($D2267="","",IF(AND(R2267&lt;&gt;"",INDEX(Parties!$E$5:$E$304,R2267)&lt;&gt;"",INDEX(Parties!$E$5:$E$304,R2267)&lt;&gt;HomeState),ROUND(K2267*L2267,2),0)),"")</f>
        <v/>
      </c>
      <c r="P2267" s="61" t="str">
        <f aca="false">IF(IsPro,IF($D2267="","",K2267+M2267+N2267+O2267),"")</f>
        <v/>
      </c>
      <c r="Q2267" s="60" t="str">
        <f aca="false">IF(IsPro,IF($D2267="","",IFERROR(MATCH($D2267,Items!$A$5:$A$504,0),"")),"")</f>
        <v/>
      </c>
      <c r="R2267" s="60" t="str">
        <f aca="false">IF(IsPro,IF($C2267="","",IFERROR(MATCH($C2267,Parties!$A$5:$A$304,0),"")),"")</f>
        <v/>
      </c>
      <c r="S2267" s="61" t="str">
        <f aca="false">IF(IsPro,IF($D2267="","",IF(OR($H2267="",$H2267="Credit"),0,P2267)),"")</f>
        <v/>
      </c>
    </row>
    <row r="2268" customFormat="false" ht="15" hidden="false" customHeight="false" outlineLevel="0" collapsed="false">
      <c r="A2268" s="55"/>
      <c r="B2268" s="56"/>
      <c r="C2268" s="56"/>
      <c r="D2268" s="56"/>
      <c r="E2268" s="57"/>
      <c r="F2268" s="58"/>
      <c r="G2268" s="59"/>
      <c r="H2268" s="56"/>
      <c r="I2268" s="60" t="str">
        <f aca="false">IF(IsPro,IF($D2268="","",IFERROR(INDEX(Items!$D$5:$D$504,Q2268),"")),IF($D2268="","","PRO PLAN"))</f>
        <v/>
      </c>
      <c r="J2268" s="61" t="str">
        <f aca="false">IF(IsPro,IF($D2268="","",IF($F2268="",IFERROR(INDEX(Items!$G$5:$G$504,Q2268),0),$F2268)),"")</f>
        <v/>
      </c>
      <c r="K2268" s="61" t="str">
        <f aca="false">IF(IsPro,IF($D2268="","",ROUND(N($E2268)*J2268*(1-N($G2268)),2)),"")</f>
        <v/>
      </c>
      <c r="L2268" s="62" t="str">
        <f aca="false">IF(IsPro,IF($D2268="","",IFERROR(INDEX(Items!$F$5:$F$504,Q2268),0)),"")</f>
        <v/>
      </c>
      <c r="M2268" s="61" t="str">
        <f aca="false">IF(IsPro,IF($D2268="","",IF(AND(R2268&lt;&gt;"",INDEX(Parties!$E$5:$E$304,R2268)&lt;&gt;"",INDEX(Parties!$E$5:$E$304,R2268)&lt;&gt;HomeState),0,ROUND(K2268*L2268/2,2))),"")</f>
        <v/>
      </c>
      <c r="N2268" s="61" t="str">
        <f aca="false">IF(IsPro,IF($D2268="","",M2268),"")</f>
        <v/>
      </c>
      <c r="O2268" s="61" t="str">
        <f aca="false">IF(IsPro,IF($D2268="","",IF(AND(R2268&lt;&gt;"",INDEX(Parties!$E$5:$E$304,R2268)&lt;&gt;"",INDEX(Parties!$E$5:$E$304,R2268)&lt;&gt;HomeState),ROUND(K2268*L2268,2),0)),"")</f>
        <v/>
      </c>
      <c r="P2268" s="61" t="str">
        <f aca="false">IF(IsPro,IF($D2268="","",K2268+M2268+N2268+O2268),"")</f>
        <v/>
      </c>
      <c r="Q2268" s="60" t="str">
        <f aca="false">IF(IsPro,IF($D2268="","",IFERROR(MATCH($D2268,Items!$A$5:$A$504,0),"")),"")</f>
        <v/>
      </c>
      <c r="R2268" s="60" t="str">
        <f aca="false">IF(IsPro,IF($C2268="","",IFERROR(MATCH($C2268,Parties!$A$5:$A$304,0),"")),"")</f>
        <v/>
      </c>
      <c r="S2268" s="61" t="str">
        <f aca="false">IF(IsPro,IF($D2268="","",IF(OR($H2268="",$H2268="Credit"),0,P2268)),"")</f>
        <v/>
      </c>
    </row>
    <row r="2269" customFormat="false" ht="15" hidden="false" customHeight="false" outlineLevel="0" collapsed="false">
      <c r="A2269" s="55"/>
      <c r="B2269" s="56"/>
      <c r="C2269" s="56"/>
      <c r="D2269" s="56"/>
      <c r="E2269" s="57"/>
      <c r="F2269" s="58"/>
      <c r="G2269" s="59"/>
      <c r="H2269" s="56"/>
      <c r="I2269" s="60" t="str">
        <f aca="false">IF(IsPro,IF($D2269="","",IFERROR(INDEX(Items!$D$5:$D$504,Q2269),"")),IF($D2269="","","PRO PLAN"))</f>
        <v/>
      </c>
      <c r="J2269" s="61" t="str">
        <f aca="false">IF(IsPro,IF($D2269="","",IF($F2269="",IFERROR(INDEX(Items!$G$5:$G$504,Q2269),0),$F2269)),"")</f>
        <v/>
      </c>
      <c r="K2269" s="61" t="str">
        <f aca="false">IF(IsPro,IF($D2269="","",ROUND(N($E2269)*J2269*(1-N($G2269)),2)),"")</f>
        <v/>
      </c>
      <c r="L2269" s="62" t="str">
        <f aca="false">IF(IsPro,IF($D2269="","",IFERROR(INDEX(Items!$F$5:$F$504,Q2269),0)),"")</f>
        <v/>
      </c>
      <c r="M2269" s="61" t="str">
        <f aca="false">IF(IsPro,IF($D2269="","",IF(AND(R2269&lt;&gt;"",INDEX(Parties!$E$5:$E$304,R2269)&lt;&gt;"",INDEX(Parties!$E$5:$E$304,R2269)&lt;&gt;HomeState),0,ROUND(K2269*L2269/2,2))),"")</f>
        <v/>
      </c>
      <c r="N2269" s="61" t="str">
        <f aca="false">IF(IsPro,IF($D2269="","",M2269),"")</f>
        <v/>
      </c>
      <c r="O2269" s="61" t="str">
        <f aca="false">IF(IsPro,IF($D2269="","",IF(AND(R2269&lt;&gt;"",INDEX(Parties!$E$5:$E$304,R2269)&lt;&gt;"",INDEX(Parties!$E$5:$E$304,R2269)&lt;&gt;HomeState),ROUND(K2269*L2269,2),0)),"")</f>
        <v/>
      </c>
      <c r="P2269" s="61" t="str">
        <f aca="false">IF(IsPro,IF($D2269="","",K2269+M2269+N2269+O2269),"")</f>
        <v/>
      </c>
      <c r="Q2269" s="60" t="str">
        <f aca="false">IF(IsPro,IF($D2269="","",IFERROR(MATCH($D2269,Items!$A$5:$A$504,0),"")),"")</f>
        <v/>
      </c>
      <c r="R2269" s="60" t="str">
        <f aca="false">IF(IsPro,IF($C2269="","",IFERROR(MATCH($C2269,Parties!$A$5:$A$304,0),"")),"")</f>
        <v/>
      </c>
      <c r="S2269" s="61" t="str">
        <f aca="false">IF(IsPro,IF($D2269="","",IF(OR($H2269="",$H2269="Credit"),0,P2269)),"")</f>
        <v/>
      </c>
    </row>
    <row r="2270" customFormat="false" ht="15" hidden="false" customHeight="false" outlineLevel="0" collapsed="false">
      <c r="A2270" s="55"/>
      <c r="B2270" s="56"/>
      <c r="C2270" s="56"/>
      <c r="D2270" s="56"/>
      <c r="E2270" s="57"/>
      <c r="F2270" s="58"/>
      <c r="G2270" s="59"/>
      <c r="H2270" s="56"/>
      <c r="I2270" s="60" t="str">
        <f aca="false">IF(IsPro,IF($D2270="","",IFERROR(INDEX(Items!$D$5:$D$504,Q2270),"")),IF($D2270="","","PRO PLAN"))</f>
        <v/>
      </c>
      <c r="J2270" s="61" t="str">
        <f aca="false">IF(IsPro,IF($D2270="","",IF($F2270="",IFERROR(INDEX(Items!$G$5:$G$504,Q2270),0),$F2270)),"")</f>
        <v/>
      </c>
      <c r="K2270" s="61" t="str">
        <f aca="false">IF(IsPro,IF($D2270="","",ROUND(N($E2270)*J2270*(1-N($G2270)),2)),"")</f>
        <v/>
      </c>
      <c r="L2270" s="62" t="str">
        <f aca="false">IF(IsPro,IF($D2270="","",IFERROR(INDEX(Items!$F$5:$F$504,Q2270),0)),"")</f>
        <v/>
      </c>
      <c r="M2270" s="61" t="str">
        <f aca="false">IF(IsPro,IF($D2270="","",IF(AND(R2270&lt;&gt;"",INDEX(Parties!$E$5:$E$304,R2270)&lt;&gt;"",INDEX(Parties!$E$5:$E$304,R2270)&lt;&gt;HomeState),0,ROUND(K2270*L2270/2,2))),"")</f>
        <v/>
      </c>
      <c r="N2270" s="61" t="str">
        <f aca="false">IF(IsPro,IF($D2270="","",M2270),"")</f>
        <v/>
      </c>
      <c r="O2270" s="61" t="str">
        <f aca="false">IF(IsPro,IF($D2270="","",IF(AND(R2270&lt;&gt;"",INDEX(Parties!$E$5:$E$304,R2270)&lt;&gt;"",INDEX(Parties!$E$5:$E$304,R2270)&lt;&gt;HomeState),ROUND(K2270*L2270,2),0)),"")</f>
        <v/>
      </c>
      <c r="P2270" s="61" t="str">
        <f aca="false">IF(IsPro,IF($D2270="","",K2270+M2270+N2270+O2270),"")</f>
        <v/>
      </c>
      <c r="Q2270" s="60" t="str">
        <f aca="false">IF(IsPro,IF($D2270="","",IFERROR(MATCH($D2270,Items!$A$5:$A$504,0),"")),"")</f>
        <v/>
      </c>
      <c r="R2270" s="60" t="str">
        <f aca="false">IF(IsPro,IF($C2270="","",IFERROR(MATCH($C2270,Parties!$A$5:$A$304,0),"")),"")</f>
        <v/>
      </c>
      <c r="S2270" s="61" t="str">
        <f aca="false">IF(IsPro,IF($D2270="","",IF(OR($H2270="",$H2270="Credit"),0,P2270)),"")</f>
        <v/>
      </c>
    </row>
    <row r="2271" customFormat="false" ht="15" hidden="false" customHeight="false" outlineLevel="0" collapsed="false">
      <c r="A2271" s="55"/>
      <c r="B2271" s="56"/>
      <c r="C2271" s="56"/>
      <c r="D2271" s="56"/>
      <c r="E2271" s="57"/>
      <c r="F2271" s="58"/>
      <c r="G2271" s="59"/>
      <c r="H2271" s="56"/>
      <c r="I2271" s="60" t="str">
        <f aca="false">IF(IsPro,IF($D2271="","",IFERROR(INDEX(Items!$D$5:$D$504,Q2271),"")),IF($D2271="","","PRO PLAN"))</f>
        <v/>
      </c>
      <c r="J2271" s="61" t="str">
        <f aca="false">IF(IsPro,IF($D2271="","",IF($F2271="",IFERROR(INDEX(Items!$G$5:$G$504,Q2271),0),$F2271)),"")</f>
        <v/>
      </c>
      <c r="K2271" s="61" t="str">
        <f aca="false">IF(IsPro,IF($D2271="","",ROUND(N($E2271)*J2271*(1-N($G2271)),2)),"")</f>
        <v/>
      </c>
      <c r="L2271" s="62" t="str">
        <f aca="false">IF(IsPro,IF($D2271="","",IFERROR(INDEX(Items!$F$5:$F$504,Q2271),0)),"")</f>
        <v/>
      </c>
      <c r="M2271" s="61" t="str">
        <f aca="false">IF(IsPro,IF($D2271="","",IF(AND(R2271&lt;&gt;"",INDEX(Parties!$E$5:$E$304,R2271)&lt;&gt;"",INDEX(Parties!$E$5:$E$304,R2271)&lt;&gt;HomeState),0,ROUND(K2271*L2271/2,2))),"")</f>
        <v/>
      </c>
      <c r="N2271" s="61" t="str">
        <f aca="false">IF(IsPro,IF($D2271="","",M2271),"")</f>
        <v/>
      </c>
      <c r="O2271" s="61" t="str">
        <f aca="false">IF(IsPro,IF($D2271="","",IF(AND(R2271&lt;&gt;"",INDEX(Parties!$E$5:$E$304,R2271)&lt;&gt;"",INDEX(Parties!$E$5:$E$304,R2271)&lt;&gt;HomeState),ROUND(K2271*L2271,2),0)),"")</f>
        <v/>
      </c>
      <c r="P2271" s="61" t="str">
        <f aca="false">IF(IsPro,IF($D2271="","",K2271+M2271+N2271+O2271),"")</f>
        <v/>
      </c>
      <c r="Q2271" s="60" t="str">
        <f aca="false">IF(IsPro,IF($D2271="","",IFERROR(MATCH($D2271,Items!$A$5:$A$504,0),"")),"")</f>
        <v/>
      </c>
      <c r="R2271" s="60" t="str">
        <f aca="false">IF(IsPro,IF($C2271="","",IFERROR(MATCH($C2271,Parties!$A$5:$A$304,0),"")),"")</f>
        <v/>
      </c>
      <c r="S2271" s="61" t="str">
        <f aca="false">IF(IsPro,IF($D2271="","",IF(OR($H2271="",$H2271="Credit"),0,P2271)),"")</f>
        <v/>
      </c>
    </row>
    <row r="2272" customFormat="false" ht="15" hidden="false" customHeight="false" outlineLevel="0" collapsed="false">
      <c r="A2272" s="55"/>
      <c r="B2272" s="56"/>
      <c r="C2272" s="56"/>
      <c r="D2272" s="56"/>
      <c r="E2272" s="57"/>
      <c r="F2272" s="58"/>
      <c r="G2272" s="59"/>
      <c r="H2272" s="56"/>
      <c r="I2272" s="60" t="str">
        <f aca="false">IF(IsPro,IF($D2272="","",IFERROR(INDEX(Items!$D$5:$D$504,Q2272),"")),IF($D2272="","","PRO PLAN"))</f>
        <v/>
      </c>
      <c r="J2272" s="61" t="str">
        <f aca="false">IF(IsPro,IF($D2272="","",IF($F2272="",IFERROR(INDEX(Items!$G$5:$G$504,Q2272),0),$F2272)),"")</f>
        <v/>
      </c>
      <c r="K2272" s="61" t="str">
        <f aca="false">IF(IsPro,IF($D2272="","",ROUND(N($E2272)*J2272*(1-N($G2272)),2)),"")</f>
        <v/>
      </c>
      <c r="L2272" s="62" t="str">
        <f aca="false">IF(IsPro,IF($D2272="","",IFERROR(INDEX(Items!$F$5:$F$504,Q2272),0)),"")</f>
        <v/>
      </c>
      <c r="M2272" s="61" t="str">
        <f aca="false">IF(IsPro,IF($D2272="","",IF(AND(R2272&lt;&gt;"",INDEX(Parties!$E$5:$E$304,R2272)&lt;&gt;"",INDEX(Parties!$E$5:$E$304,R2272)&lt;&gt;HomeState),0,ROUND(K2272*L2272/2,2))),"")</f>
        <v/>
      </c>
      <c r="N2272" s="61" t="str">
        <f aca="false">IF(IsPro,IF($D2272="","",M2272),"")</f>
        <v/>
      </c>
      <c r="O2272" s="61" t="str">
        <f aca="false">IF(IsPro,IF($D2272="","",IF(AND(R2272&lt;&gt;"",INDEX(Parties!$E$5:$E$304,R2272)&lt;&gt;"",INDEX(Parties!$E$5:$E$304,R2272)&lt;&gt;HomeState),ROUND(K2272*L2272,2),0)),"")</f>
        <v/>
      </c>
      <c r="P2272" s="61" t="str">
        <f aca="false">IF(IsPro,IF($D2272="","",K2272+M2272+N2272+O2272),"")</f>
        <v/>
      </c>
      <c r="Q2272" s="60" t="str">
        <f aca="false">IF(IsPro,IF($D2272="","",IFERROR(MATCH($D2272,Items!$A$5:$A$504,0),"")),"")</f>
        <v/>
      </c>
      <c r="R2272" s="60" t="str">
        <f aca="false">IF(IsPro,IF($C2272="","",IFERROR(MATCH($C2272,Parties!$A$5:$A$304,0),"")),"")</f>
        <v/>
      </c>
      <c r="S2272" s="61" t="str">
        <f aca="false">IF(IsPro,IF($D2272="","",IF(OR($H2272="",$H2272="Credit"),0,P2272)),"")</f>
        <v/>
      </c>
    </row>
    <row r="2273" customFormat="false" ht="15" hidden="false" customHeight="false" outlineLevel="0" collapsed="false">
      <c r="A2273" s="55"/>
      <c r="B2273" s="56"/>
      <c r="C2273" s="56"/>
      <c r="D2273" s="56"/>
      <c r="E2273" s="57"/>
      <c r="F2273" s="58"/>
      <c r="G2273" s="59"/>
      <c r="H2273" s="56"/>
      <c r="I2273" s="60" t="str">
        <f aca="false">IF(IsPro,IF($D2273="","",IFERROR(INDEX(Items!$D$5:$D$504,Q2273),"")),IF($D2273="","","PRO PLAN"))</f>
        <v/>
      </c>
      <c r="J2273" s="61" t="str">
        <f aca="false">IF(IsPro,IF($D2273="","",IF($F2273="",IFERROR(INDEX(Items!$G$5:$G$504,Q2273),0),$F2273)),"")</f>
        <v/>
      </c>
      <c r="K2273" s="61" t="str">
        <f aca="false">IF(IsPro,IF($D2273="","",ROUND(N($E2273)*J2273*(1-N($G2273)),2)),"")</f>
        <v/>
      </c>
      <c r="L2273" s="62" t="str">
        <f aca="false">IF(IsPro,IF($D2273="","",IFERROR(INDEX(Items!$F$5:$F$504,Q2273),0)),"")</f>
        <v/>
      </c>
      <c r="M2273" s="61" t="str">
        <f aca="false">IF(IsPro,IF($D2273="","",IF(AND(R2273&lt;&gt;"",INDEX(Parties!$E$5:$E$304,R2273)&lt;&gt;"",INDEX(Parties!$E$5:$E$304,R2273)&lt;&gt;HomeState),0,ROUND(K2273*L2273/2,2))),"")</f>
        <v/>
      </c>
      <c r="N2273" s="61" t="str">
        <f aca="false">IF(IsPro,IF($D2273="","",M2273),"")</f>
        <v/>
      </c>
      <c r="O2273" s="61" t="str">
        <f aca="false">IF(IsPro,IF($D2273="","",IF(AND(R2273&lt;&gt;"",INDEX(Parties!$E$5:$E$304,R2273)&lt;&gt;"",INDEX(Parties!$E$5:$E$304,R2273)&lt;&gt;HomeState),ROUND(K2273*L2273,2),0)),"")</f>
        <v/>
      </c>
      <c r="P2273" s="61" t="str">
        <f aca="false">IF(IsPro,IF($D2273="","",K2273+M2273+N2273+O2273),"")</f>
        <v/>
      </c>
      <c r="Q2273" s="60" t="str">
        <f aca="false">IF(IsPro,IF($D2273="","",IFERROR(MATCH($D2273,Items!$A$5:$A$504,0),"")),"")</f>
        <v/>
      </c>
      <c r="R2273" s="60" t="str">
        <f aca="false">IF(IsPro,IF($C2273="","",IFERROR(MATCH($C2273,Parties!$A$5:$A$304,0),"")),"")</f>
        <v/>
      </c>
      <c r="S2273" s="61" t="str">
        <f aca="false">IF(IsPro,IF($D2273="","",IF(OR($H2273="",$H2273="Credit"),0,P2273)),"")</f>
        <v/>
      </c>
    </row>
    <row r="2274" customFormat="false" ht="15" hidden="false" customHeight="false" outlineLevel="0" collapsed="false">
      <c r="A2274" s="55"/>
      <c r="B2274" s="56"/>
      <c r="C2274" s="56"/>
      <c r="D2274" s="56"/>
      <c r="E2274" s="57"/>
      <c r="F2274" s="58"/>
      <c r="G2274" s="59"/>
      <c r="H2274" s="56"/>
      <c r="I2274" s="60" t="str">
        <f aca="false">IF(IsPro,IF($D2274="","",IFERROR(INDEX(Items!$D$5:$D$504,Q2274),"")),IF($D2274="","","PRO PLAN"))</f>
        <v/>
      </c>
      <c r="J2274" s="61" t="str">
        <f aca="false">IF(IsPro,IF($D2274="","",IF($F2274="",IFERROR(INDEX(Items!$G$5:$G$504,Q2274),0),$F2274)),"")</f>
        <v/>
      </c>
      <c r="K2274" s="61" t="str">
        <f aca="false">IF(IsPro,IF($D2274="","",ROUND(N($E2274)*J2274*(1-N($G2274)),2)),"")</f>
        <v/>
      </c>
      <c r="L2274" s="62" t="str">
        <f aca="false">IF(IsPro,IF($D2274="","",IFERROR(INDEX(Items!$F$5:$F$504,Q2274),0)),"")</f>
        <v/>
      </c>
      <c r="M2274" s="61" t="str">
        <f aca="false">IF(IsPro,IF($D2274="","",IF(AND(R2274&lt;&gt;"",INDEX(Parties!$E$5:$E$304,R2274)&lt;&gt;"",INDEX(Parties!$E$5:$E$304,R2274)&lt;&gt;HomeState),0,ROUND(K2274*L2274/2,2))),"")</f>
        <v/>
      </c>
      <c r="N2274" s="61" t="str">
        <f aca="false">IF(IsPro,IF($D2274="","",M2274),"")</f>
        <v/>
      </c>
      <c r="O2274" s="61" t="str">
        <f aca="false">IF(IsPro,IF($D2274="","",IF(AND(R2274&lt;&gt;"",INDEX(Parties!$E$5:$E$304,R2274)&lt;&gt;"",INDEX(Parties!$E$5:$E$304,R2274)&lt;&gt;HomeState),ROUND(K2274*L2274,2),0)),"")</f>
        <v/>
      </c>
      <c r="P2274" s="61" t="str">
        <f aca="false">IF(IsPro,IF($D2274="","",K2274+M2274+N2274+O2274),"")</f>
        <v/>
      </c>
      <c r="Q2274" s="60" t="str">
        <f aca="false">IF(IsPro,IF($D2274="","",IFERROR(MATCH($D2274,Items!$A$5:$A$504,0),"")),"")</f>
        <v/>
      </c>
      <c r="R2274" s="60" t="str">
        <f aca="false">IF(IsPro,IF($C2274="","",IFERROR(MATCH($C2274,Parties!$A$5:$A$304,0),"")),"")</f>
        <v/>
      </c>
      <c r="S2274" s="61" t="str">
        <f aca="false">IF(IsPro,IF($D2274="","",IF(OR($H2274="",$H2274="Credit"),0,P2274)),"")</f>
        <v/>
      </c>
    </row>
    <row r="2275" customFormat="false" ht="15" hidden="false" customHeight="false" outlineLevel="0" collapsed="false">
      <c r="A2275" s="55"/>
      <c r="B2275" s="56"/>
      <c r="C2275" s="56"/>
      <c r="D2275" s="56"/>
      <c r="E2275" s="57"/>
      <c r="F2275" s="58"/>
      <c r="G2275" s="59"/>
      <c r="H2275" s="56"/>
      <c r="I2275" s="60" t="str">
        <f aca="false">IF(IsPro,IF($D2275="","",IFERROR(INDEX(Items!$D$5:$D$504,Q2275),"")),IF($D2275="","","PRO PLAN"))</f>
        <v/>
      </c>
      <c r="J2275" s="61" t="str">
        <f aca="false">IF(IsPro,IF($D2275="","",IF($F2275="",IFERROR(INDEX(Items!$G$5:$G$504,Q2275),0),$F2275)),"")</f>
        <v/>
      </c>
      <c r="K2275" s="61" t="str">
        <f aca="false">IF(IsPro,IF($D2275="","",ROUND(N($E2275)*J2275*(1-N($G2275)),2)),"")</f>
        <v/>
      </c>
      <c r="L2275" s="62" t="str">
        <f aca="false">IF(IsPro,IF($D2275="","",IFERROR(INDEX(Items!$F$5:$F$504,Q2275),0)),"")</f>
        <v/>
      </c>
      <c r="M2275" s="61" t="str">
        <f aca="false">IF(IsPro,IF($D2275="","",IF(AND(R2275&lt;&gt;"",INDEX(Parties!$E$5:$E$304,R2275)&lt;&gt;"",INDEX(Parties!$E$5:$E$304,R2275)&lt;&gt;HomeState),0,ROUND(K2275*L2275/2,2))),"")</f>
        <v/>
      </c>
      <c r="N2275" s="61" t="str">
        <f aca="false">IF(IsPro,IF($D2275="","",M2275),"")</f>
        <v/>
      </c>
      <c r="O2275" s="61" t="str">
        <f aca="false">IF(IsPro,IF($D2275="","",IF(AND(R2275&lt;&gt;"",INDEX(Parties!$E$5:$E$304,R2275)&lt;&gt;"",INDEX(Parties!$E$5:$E$304,R2275)&lt;&gt;HomeState),ROUND(K2275*L2275,2),0)),"")</f>
        <v/>
      </c>
      <c r="P2275" s="61" t="str">
        <f aca="false">IF(IsPro,IF($D2275="","",K2275+M2275+N2275+O2275),"")</f>
        <v/>
      </c>
      <c r="Q2275" s="60" t="str">
        <f aca="false">IF(IsPro,IF($D2275="","",IFERROR(MATCH($D2275,Items!$A$5:$A$504,0),"")),"")</f>
        <v/>
      </c>
      <c r="R2275" s="60" t="str">
        <f aca="false">IF(IsPro,IF($C2275="","",IFERROR(MATCH($C2275,Parties!$A$5:$A$304,0),"")),"")</f>
        <v/>
      </c>
      <c r="S2275" s="61" t="str">
        <f aca="false">IF(IsPro,IF($D2275="","",IF(OR($H2275="",$H2275="Credit"),0,P2275)),"")</f>
        <v/>
      </c>
    </row>
    <row r="2276" customFormat="false" ht="15" hidden="false" customHeight="false" outlineLevel="0" collapsed="false">
      <c r="A2276" s="55"/>
      <c r="B2276" s="56"/>
      <c r="C2276" s="56"/>
      <c r="D2276" s="56"/>
      <c r="E2276" s="57"/>
      <c r="F2276" s="58"/>
      <c r="G2276" s="59"/>
      <c r="H2276" s="56"/>
      <c r="I2276" s="60" t="str">
        <f aca="false">IF(IsPro,IF($D2276="","",IFERROR(INDEX(Items!$D$5:$D$504,Q2276),"")),IF($D2276="","","PRO PLAN"))</f>
        <v/>
      </c>
      <c r="J2276" s="61" t="str">
        <f aca="false">IF(IsPro,IF($D2276="","",IF($F2276="",IFERROR(INDEX(Items!$G$5:$G$504,Q2276),0),$F2276)),"")</f>
        <v/>
      </c>
      <c r="K2276" s="61" t="str">
        <f aca="false">IF(IsPro,IF($D2276="","",ROUND(N($E2276)*J2276*(1-N($G2276)),2)),"")</f>
        <v/>
      </c>
      <c r="L2276" s="62" t="str">
        <f aca="false">IF(IsPro,IF($D2276="","",IFERROR(INDEX(Items!$F$5:$F$504,Q2276),0)),"")</f>
        <v/>
      </c>
      <c r="M2276" s="61" t="str">
        <f aca="false">IF(IsPro,IF($D2276="","",IF(AND(R2276&lt;&gt;"",INDEX(Parties!$E$5:$E$304,R2276)&lt;&gt;"",INDEX(Parties!$E$5:$E$304,R2276)&lt;&gt;HomeState),0,ROUND(K2276*L2276/2,2))),"")</f>
        <v/>
      </c>
      <c r="N2276" s="61" t="str">
        <f aca="false">IF(IsPro,IF($D2276="","",M2276),"")</f>
        <v/>
      </c>
      <c r="O2276" s="61" t="str">
        <f aca="false">IF(IsPro,IF($D2276="","",IF(AND(R2276&lt;&gt;"",INDEX(Parties!$E$5:$E$304,R2276)&lt;&gt;"",INDEX(Parties!$E$5:$E$304,R2276)&lt;&gt;HomeState),ROUND(K2276*L2276,2),0)),"")</f>
        <v/>
      </c>
      <c r="P2276" s="61" t="str">
        <f aca="false">IF(IsPro,IF($D2276="","",K2276+M2276+N2276+O2276),"")</f>
        <v/>
      </c>
      <c r="Q2276" s="60" t="str">
        <f aca="false">IF(IsPro,IF($D2276="","",IFERROR(MATCH($D2276,Items!$A$5:$A$504,0),"")),"")</f>
        <v/>
      </c>
      <c r="R2276" s="60" t="str">
        <f aca="false">IF(IsPro,IF($C2276="","",IFERROR(MATCH($C2276,Parties!$A$5:$A$304,0),"")),"")</f>
        <v/>
      </c>
      <c r="S2276" s="61" t="str">
        <f aca="false">IF(IsPro,IF($D2276="","",IF(OR($H2276="",$H2276="Credit"),0,P2276)),"")</f>
        <v/>
      </c>
    </row>
    <row r="2277" customFormat="false" ht="15" hidden="false" customHeight="false" outlineLevel="0" collapsed="false">
      <c r="A2277" s="55"/>
      <c r="B2277" s="56"/>
      <c r="C2277" s="56"/>
      <c r="D2277" s="56"/>
      <c r="E2277" s="57"/>
      <c r="F2277" s="58"/>
      <c r="G2277" s="59"/>
      <c r="H2277" s="56"/>
      <c r="I2277" s="60" t="str">
        <f aca="false">IF(IsPro,IF($D2277="","",IFERROR(INDEX(Items!$D$5:$D$504,Q2277),"")),IF($D2277="","","PRO PLAN"))</f>
        <v/>
      </c>
      <c r="J2277" s="61" t="str">
        <f aca="false">IF(IsPro,IF($D2277="","",IF($F2277="",IFERROR(INDEX(Items!$G$5:$G$504,Q2277),0),$F2277)),"")</f>
        <v/>
      </c>
      <c r="K2277" s="61" t="str">
        <f aca="false">IF(IsPro,IF($D2277="","",ROUND(N($E2277)*J2277*(1-N($G2277)),2)),"")</f>
        <v/>
      </c>
      <c r="L2277" s="62" t="str">
        <f aca="false">IF(IsPro,IF($D2277="","",IFERROR(INDEX(Items!$F$5:$F$504,Q2277),0)),"")</f>
        <v/>
      </c>
      <c r="M2277" s="61" t="str">
        <f aca="false">IF(IsPro,IF($D2277="","",IF(AND(R2277&lt;&gt;"",INDEX(Parties!$E$5:$E$304,R2277)&lt;&gt;"",INDEX(Parties!$E$5:$E$304,R2277)&lt;&gt;HomeState),0,ROUND(K2277*L2277/2,2))),"")</f>
        <v/>
      </c>
      <c r="N2277" s="61" t="str">
        <f aca="false">IF(IsPro,IF($D2277="","",M2277),"")</f>
        <v/>
      </c>
      <c r="O2277" s="61" t="str">
        <f aca="false">IF(IsPro,IF($D2277="","",IF(AND(R2277&lt;&gt;"",INDEX(Parties!$E$5:$E$304,R2277)&lt;&gt;"",INDEX(Parties!$E$5:$E$304,R2277)&lt;&gt;HomeState),ROUND(K2277*L2277,2),0)),"")</f>
        <v/>
      </c>
      <c r="P2277" s="61" t="str">
        <f aca="false">IF(IsPro,IF($D2277="","",K2277+M2277+N2277+O2277),"")</f>
        <v/>
      </c>
      <c r="Q2277" s="60" t="str">
        <f aca="false">IF(IsPro,IF($D2277="","",IFERROR(MATCH($D2277,Items!$A$5:$A$504,0),"")),"")</f>
        <v/>
      </c>
      <c r="R2277" s="60" t="str">
        <f aca="false">IF(IsPro,IF($C2277="","",IFERROR(MATCH($C2277,Parties!$A$5:$A$304,0),"")),"")</f>
        <v/>
      </c>
      <c r="S2277" s="61" t="str">
        <f aca="false">IF(IsPro,IF($D2277="","",IF(OR($H2277="",$H2277="Credit"),0,P2277)),"")</f>
        <v/>
      </c>
    </row>
    <row r="2278" customFormat="false" ht="15" hidden="false" customHeight="false" outlineLevel="0" collapsed="false">
      <c r="A2278" s="55"/>
      <c r="B2278" s="56"/>
      <c r="C2278" s="56"/>
      <c r="D2278" s="56"/>
      <c r="E2278" s="57"/>
      <c r="F2278" s="58"/>
      <c r="G2278" s="59"/>
      <c r="H2278" s="56"/>
      <c r="I2278" s="60" t="str">
        <f aca="false">IF(IsPro,IF($D2278="","",IFERROR(INDEX(Items!$D$5:$D$504,Q2278),"")),IF($D2278="","","PRO PLAN"))</f>
        <v/>
      </c>
      <c r="J2278" s="61" t="str">
        <f aca="false">IF(IsPro,IF($D2278="","",IF($F2278="",IFERROR(INDEX(Items!$G$5:$G$504,Q2278),0),$F2278)),"")</f>
        <v/>
      </c>
      <c r="K2278" s="61" t="str">
        <f aca="false">IF(IsPro,IF($D2278="","",ROUND(N($E2278)*J2278*(1-N($G2278)),2)),"")</f>
        <v/>
      </c>
      <c r="L2278" s="62" t="str">
        <f aca="false">IF(IsPro,IF($D2278="","",IFERROR(INDEX(Items!$F$5:$F$504,Q2278),0)),"")</f>
        <v/>
      </c>
      <c r="M2278" s="61" t="str">
        <f aca="false">IF(IsPro,IF($D2278="","",IF(AND(R2278&lt;&gt;"",INDEX(Parties!$E$5:$E$304,R2278)&lt;&gt;"",INDEX(Parties!$E$5:$E$304,R2278)&lt;&gt;HomeState),0,ROUND(K2278*L2278/2,2))),"")</f>
        <v/>
      </c>
      <c r="N2278" s="61" t="str">
        <f aca="false">IF(IsPro,IF($D2278="","",M2278),"")</f>
        <v/>
      </c>
      <c r="O2278" s="61" t="str">
        <f aca="false">IF(IsPro,IF($D2278="","",IF(AND(R2278&lt;&gt;"",INDEX(Parties!$E$5:$E$304,R2278)&lt;&gt;"",INDEX(Parties!$E$5:$E$304,R2278)&lt;&gt;HomeState),ROUND(K2278*L2278,2),0)),"")</f>
        <v/>
      </c>
      <c r="P2278" s="61" t="str">
        <f aca="false">IF(IsPro,IF($D2278="","",K2278+M2278+N2278+O2278),"")</f>
        <v/>
      </c>
      <c r="Q2278" s="60" t="str">
        <f aca="false">IF(IsPro,IF($D2278="","",IFERROR(MATCH($D2278,Items!$A$5:$A$504,0),"")),"")</f>
        <v/>
      </c>
      <c r="R2278" s="60" t="str">
        <f aca="false">IF(IsPro,IF($C2278="","",IFERROR(MATCH($C2278,Parties!$A$5:$A$304,0),"")),"")</f>
        <v/>
      </c>
      <c r="S2278" s="61" t="str">
        <f aca="false">IF(IsPro,IF($D2278="","",IF(OR($H2278="",$H2278="Credit"),0,P2278)),"")</f>
        <v/>
      </c>
    </row>
    <row r="2279" customFormat="false" ht="15" hidden="false" customHeight="false" outlineLevel="0" collapsed="false">
      <c r="A2279" s="55"/>
      <c r="B2279" s="56"/>
      <c r="C2279" s="56"/>
      <c r="D2279" s="56"/>
      <c r="E2279" s="57"/>
      <c r="F2279" s="58"/>
      <c r="G2279" s="59"/>
      <c r="H2279" s="56"/>
      <c r="I2279" s="60" t="str">
        <f aca="false">IF(IsPro,IF($D2279="","",IFERROR(INDEX(Items!$D$5:$D$504,Q2279),"")),IF($D2279="","","PRO PLAN"))</f>
        <v/>
      </c>
      <c r="J2279" s="61" t="str">
        <f aca="false">IF(IsPro,IF($D2279="","",IF($F2279="",IFERROR(INDEX(Items!$G$5:$G$504,Q2279),0),$F2279)),"")</f>
        <v/>
      </c>
      <c r="K2279" s="61" t="str">
        <f aca="false">IF(IsPro,IF($D2279="","",ROUND(N($E2279)*J2279*(1-N($G2279)),2)),"")</f>
        <v/>
      </c>
      <c r="L2279" s="62" t="str">
        <f aca="false">IF(IsPro,IF($D2279="","",IFERROR(INDEX(Items!$F$5:$F$504,Q2279),0)),"")</f>
        <v/>
      </c>
      <c r="M2279" s="61" t="str">
        <f aca="false">IF(IsPro,IF($D2279="","",IF(AND(R2279&lt;&gt;"",INDEX(Parties!$E$5:$E$304,R2279)&lt;&gt;"",INDEX(Parties!$E$5:$E$304,R2279)&lt;&gt;HomeState),0,ROUND(K2279*L2279/2,2))),"")</f>
        <v/>
      </c>
      <c r="N2279" s="61" t="str">
        <f aca="false">IF(IsPro,IF($D2279="","",M2279),"")</f>
        <v/>
      </c>
      <c r="O2279" s="61" t="str">
        <f aca="false">IF(IsPro,IF($D2279="","",IF(AND(R2279&lt;&gt;"",INDEX(Parties!$E$5:$E$304,R2279)&lt;&gt;"",INDEX(Parties!$E$5:$E$304,R2279)&lt;&gt;HomeState),ROUND(K2279*L2279,2),0)),"")</f>
        <v/>
      </c>
      <c r="P2279" s="61" t="str">
        <f aca="false">IF(IsPro,IF($D2279="","",K2279+M2279+N2279+O2279),"")</f>
        <v/>
      </c>
      <c r="Q2279" s="60" t="str">
        <f aca="false">IF(IsPro,IF($D2279="","",IFERROR(MATCH($D2279,Items!$A$5:$A$504,0),"")),"")</f>
        <v/>
      </c>
      <c r="R2279" s="60" t="str">
        <f aca="false">IF(IsPro,IF($C2279="","",IFERROR(MATCH($C2279,Parties!$A$5:$A$304,0),"")),"")</f>
        <v/>
      </c>
      <c r="S2279" s="61" t="str">
        <f aca="false">IF(IsPro,IF($D2279="","",IF(OR($H2279="",$H2279="Credit"),0,P2279)),"")</f>
        <v/>
      </c>
    </row>
    <row r="2280" customFormat="false" ht="15" hidden="false" customHeight="false" outlineLevel="0" collapsed="false">
      <c r="A2280" s="55"/>
      <c r="B2280" s="56"/>
      <c r="C2280" s="56"/>
      <c r="D2280" s="56"/>
      <c r="E2280" s="57"/>
      <c r="F2280" s="58"/>
      <c r="G2280" s="59"/>
      <c r="H2280" s="56"/>
      <c r="I2280" s="60" t="str">
        <f aca="false">IF(IsPro,IF($D2280="","",IFERROR(INDEX(Items!$D$5:$D$504,Q2280),"")),IF($D2280="","","PRO PLAN"))</f>
        <v/>
      </c>
      <c r="J2280" s="61" t="str">
        <f aca="false">IF(IsPro,IF($D2280="","",IF($F2280="",IFERROR(INDEX(Items!$G$5:$G$504,Q2280),0),$F2280)),"")</f>
        <v/>
      </c>
      <c r="K2280" s="61" t="str">
        <f aca="false">IF(IsPro,IF($D2280="","",ROUND(N($E2280)*J2280*(1-N($G2280)),2)),"")</f>
        <v/>
      </c>
      <c r="L2280" s="62" t="str">
        <f aca="false">IF(IsPro,IF($D2280="","",IFERROR(INDEX(Items!$F$5:$F$504,Q2280),0)),"")</f>
        <v/>
      </c>
      <c r="M2280" s="61" t="str">
        <f aca="false">IF(IsPro,IF($D2280="","",IF(AND(R2280&lt;&gt;"",INDEX(Parties!$E$5:$E$304,R2280)&lt;&gt;"",INDEX(Parties!$E$5:$E$304,R2280)&lt;&gt;HomeState),0,ROUND(K2280*L2280/2,2))),"")</f>
        <v/>
      </c>
      <c r="N2280" s="61" t="str">
        <f aca="false">IF(IsPro,IF($D2280="","",M2280),"")</f>
        <v/>
      </c>
      <c r="O2280" s="61" t="str">
        <f aca="false">IF(IsPro,IF($D2280="","",IF(AND(R2280&lt;&gt;"",INDEX(Parties!$E$5:$E$304,R2280)&lt;&gt;"",INDEX(Parties!$E$5:$E$304,R2280)&lt;&gt;HomeState),ROUND(K2280*L2280,2),0)),"")</f>
        <v/>
      </c>
      <c r="P2280" s="61" t="str">
        <f aca="false">IF(IsPro,IF($D2280="","",K2280+M2280+N2280+O2280),"")</f>
        <v/>
      </c>
      <c r="Q2280" s="60" t="str">
        <f aca="false">IF(IsPro,IF($D2280="","",IFERROR(MATCH($D2280,Items!$A$5:$A$504,0),"")),"")</f>
        <v/>
      </c>
      <c r="R2280" s="60" t="str">
        <f aca="false">IF(IsPro,IF($C2280="","",IFERROR(MATCH($C2280,Parties!$A$5:$A$304,0),"")),"")</f>
        <v/>
      </c>
      <c r="S2280" s="61" t="str">
        <f aca="false">IF(IsPro,IF($D2280="","",IF(OR($H2280="",$H2280="Credit"),0,P2280)),"")</f>
        <v/>
      </c>
    </row>
    <row r="2281" customFormat="false" ht="15" hidden="false" customHeight="false" outlineLevel="0" collapsed="false">
      <c r="A2281" s="55"/>
      <c r="B2281" s="56"/>
      <c r="C2281" s="56"/>
      <c r="D2281" s="56"/>
      <c r="E2281" s="57"/>
      <c r="F2281" s="58"/>
      <c r="G2281" s="59"/>
      <c r="H2281" s="56"/>
      <c r="I2281" s="60" t="str">
        <f aca="false">IF(IsPro,IF($D2281="","",IFERROR(INDEX(Items!$D$5:$D$504,Q2281),"")),IF($D2281="","","PRO PLAN"))</f>
        <v/>
      </c>
      <c r="J2281" s="61" t="str">
        <f aca="false">IF(IsPro,IF($D2281="","",IF($F2281="",IFERROR(INDEX(Items!$G$5:$G$504,Q2281),0),$F2281)),"")</f>
        <v/>
      </c>
      <c r="K2281" s="61" t="str">
        <f aca="false">IF(IsPro,IF($D2281="","",ROUND(N($E2281)*J2281*(1-N($G2281)),2)),"")</f>
        <v/>
      </c>
      <c r="L2281" s="62" t="str">
        <f aca="false">IF(IsPro,IF($D2281="","",IFERROR(INDEX(Items!$F$5:$F$504,Q2281),0)),"")</f>
        <v/>
      </c>
      <c r="M2281" s="61" t="str">
        <f aca="false">IF(IsPro,IF($D2281="","",IF(AND(R2281&lt;&gt;"",INDEX(Parties!$E$5:$E$304,R2281)&lt;&gt;"",INDEX(Parties!$E$5:$E$304,R2281)&lt;&gt;HomeState),0,ROUND(K2281*L2281/2,2))),"")</f>
        <v/>
      </c>
      <c r="N2281" s="61" t="str">
        <f aca="false">IF(IsPro,IF($D2281="","",M2281),"")</f>
        <v/>
      </c>
      <c r="O2281" s="61" t="str">
        <f aca="false">IF(IsPro,IF($D2281="","",IF(AND(R2281&lt;&gt;"",INDEX(Parties!$E$5:$E$304,R2281)&lt;&gt;"",INDEX(Parties!$E$5:$E$304,R2281)&lt;&gt;HomeState),ROUND(K2281*L2281,2),0)),"")</f>
        <v/>
      </c>
      <c r="P2281" s="61" t="str">
        <f aca="false">IF(IsPro,IF($D2281="","",K2281+M2281+N2281+O2281),"")</f>
        <v/>
      </c>
      <c r="Q2281" s="60" t="str">
        <f aca="false">IF(IsPro,IF($D2281="","",IFERROR(MATCH($D2281,Items!$A$5:$A$504,0),"")),"")</f>
        <v/>
      </c>
      <c r="R2281" s="60" t="str">
        <f aca="false">IF(IsPro,IF($C2281="","",IFERROR(MATCH($C2281,Parties!$A$5:$A$304,0),"")),"")</f>
        <v/>
      </c>
      <c r="S2281" s="61" t="str">
        <f aca="false">IF(IsPro,IF($D2281="","",IF(OR($H2281="",$H2281="Credit"),0,P2281)),"")</f>
        <v/>
      </c>
    </row>
    <row r="2282" customFormat="false" ht="15" hidden="false" customHeight="false" outlineLevel="0" collapsed="false">
      <c r="A2282" s="55"/>
      <c r="B2282" s="56"/>
      <c r="C2282" s="56"/>
      <c r="D2282" s="56"/>
      <c r="E2282" s="57"/>
      <c r="F2282" s="58"/>
      <c r="G2282" s="59"/>
      <c r="H2282" s="56"/>
      <c r="I2282" s="60" t="str">
        <f aca="false">IF(IsPro,IF($D2282="","",IFERROR(INDEX(Items!$D$5:$D$504,Q2282),"")),IF($D2282="","","PRO PLAN"))</f>
        <v/>
      </c>
      <c r="J2282" s="61" t="str">
        <f aca="false">IF(IsPro,IF($D2282="","",IF($F2282="",IFERROR(INDEX(Items!$G$5:$G$504,Q2282),0),$F2282)),"")</f>
        <v/>
      </c>
      <c r="K2282" s="61" t="str">
        <f aca="false">IF(IsPro,IF($D2282="","",ROUND(N($E2282)*J2282*(1-N($G2282)),2)),"")</f>
        <v/>
      </c>
      <c r="L2282" s="62" t="str">
        <f aca="false">IF(IsPro,IF($D2282="","",IFERROR(INDEX(Items!$F$5:$F$504,Q2282),0)),"")</f>
        <v/>
      </c>
      <c r="M2282" s="61" t="str">
        <f aca="false">IF(IsPro,IF($D2282="","",IF(AND(R2282&lt;&gt;"",INDEX(Parties!$E$5:$E$304,R2282)&lt;&gt;"",INDEX(Parties!$E$5:$E$304,R2282)&lt;&gt;HomeState),0,ROUND(K2282*L2282/2,2))),"")</f>
        <v/>
      </c>
      <c r="N2282" s="61" t="str">
        <f aca="false">IF(IsPro,IF($D2282="","",M2282),"")</f>
        <v/>
      </c>
      <c r="O2282" s="61" t="str">
        <f aca="false">IF(IsPro,IF($D2282="","",IF(AND(R2282&lt;&gt;"",INDEX(Parties!$E$5:$E$304,R2282)&lt;&gt;"",INDEX(Parties!$E$5:$E$304,R2282)&lt;&gt;HomeState),ROUND(K2282*L2282,2),0)),"")</f>
        <v/>
      </c>
      <c r="P2282" s="61" t="str">
        <f aca="false">IF(IsPro,IF($D2282="","",K2282+M2282+N2282+O2282),"")</f>
        <v/>
      </c>
      <c r="Q2282" s="60" t="str">
        <f aca="false">IF(IsPro,IF($D2282="","",IFERROR(MATCH($D2282,Items!$A$5:$A$504,0),"")),"")</f>
        <v/>
      </c>
      <c r="R2282" s="60" t="str">
        <f aca="false">IF(IsPro,IF($C2282="","",IFERROR(MATCH($C2282,Parties!$A$5:$A$304,0),"")),"")</f>
        <v/>
      </c>
      <c r="S2282" s="61" t="str">
        <f aca="false">IF(IsPro,IF($D2282="","",IF(OR($H2282="",$H2282="Credit"),0,P2282)),"")</f>
        <v/>
      </c>
    </row>
    <row r="2283" customFormat="false" ht="15" hidden="false" customHeight="false" outlineLevel="0" collapsed="false">
      <c r="A2283" s="55"/>
      <c r="B2283" s="56"/>
      <c r="C2283" s="56"/>
      <c r="D2283" s="56"/>
      <c r="E2283" s="57"/>
      <c r="F2283" s="58"/>
      <c r="G2283" s="59"/>
      <c r="H2283" s="56"/>
      <c r="I2283" s="60" t="str">
        <f aca="false">IF(IsPro,IF($D2283="","",IFERROR(INDEX(Items!$D$5:$D$504,Q2283),"")),IF($D2283="","","PRO PLAN"))</f>
        <v/>
      </c>
      <c r="J2283" s="61" t="str">
        <f aca="false">IF(IsPro,IF($D2283="","",IF($F2283="",IFERROR(INDEX(Items!$G$5:$G$504,Q2283),0),$F2283)),"")</f>
        <v/>
      </c>
      <c r="K2283" s="61" t="str">
        <f aca="false">IF(IsPro,IF($D2283="","",ROUND(N($E2283)*J2283*(1-N($G2283)),2)),"")</f>
        <v/>
      </c>
      <c r="L2283" s="62" t="str">
        <f aca="false">IF(IsPro,IF($D2283="","",IFERROR(INDEX(Items!$F$5:$F$504,Q2283),0)),"")</f>
        <v/>
      </c>
      <c r="M2283" s="61" t="str">
        <f aca="false">IF(IsPro,IF($D2283="","",IF(AND(R2283&lt;&gt;"",INDEX(Parties!$E$5:$E$304,R2283)&lt;&gt;"",INDEX(Parties!$E$5:$E$304,R2283)&lt;&gt;HomeState),0,ROUND(K2283*L2283/2,2))),"")</f>
        <v/>
      </c>
      <c r="N2283" s="61" t="str">
        <f aca="false">IF(IsPro,IF($D2283="","",M2283),"")</f>
        <v/>
      </c>
      <c r="O2283" s="61" t="str">
        <f aca="false">IF(IsPro,IF($D2283="","",IF(AND(R2283&lt;&gt;"",INDEX(Parties!$E$5:$E$304,R2283)&lt;&gt;"",INDEX(Parties!$E$5:$E$304,R2283)&lt;&gt;HomeState),ROUND(K2283*L2283,2),0)),"")</f>
        <v/>
      </c>
      <c r="P2283" s="61" t="str">
        <f aca="false">IF(IsPro,IF($D2283="","",K2283+M2283+N2283+O2283),"")</f>
        <v/>
      </c>
      <c r="Q2283" s="60" t="str">
        <f aca="false">IF(IsPro,IF($D2283="","",IFERROR(MATCH($D2283,Items!$A$5:$A$504,0),"")),"")</f>
        <v/>
      </c>
      <c r="R2283" s="60" t="str">
        <f aca="false">IF(IsPro,IF($C2283="","",IFERROR(MATCH($C2283,Parties!$A$5:$A$304,0),"")),"")</f>
        <v/>
      </c>
      <c r="S2283" s="61" t="str">
        <f aca="false">IF(IsPro,IF($D2283="","",IF(OR($H2283="",$H2283="Credit"),0,P2283)),"")</f>
        <v/>
      </c>
    </row>
    <row r="2284" customFormat="false" ht="15" hidden="false" customHeight="false" outlineLevel="0" collapsed="false">
      <c r="A2284" s="55"/>
      <c r="B2284" s="56"/>
      <c r="C2284" s="56"/>
      <c r="D2284" s="56"/>
      <c r="E2284" s="57"/>
      <c r="F2284" s="58"/>
      <c r="G2284" s="59"/>
      <c r="H2284" s="56"/>
      <c r="I2284" s="60" t="str">
        <f aca="false">IF(IsPro,IF($D2284="","",IFERROR(INDEX(Items!$D$5:$D$504,Q2284),"")),IF($D2284="","","PRO PLAN"))</f>
        <v/>
      </c>
      <c r="J2284" s="61" t="str">
        <f aca="false">IF(IsPro,IF($D2284="","",IF($F2284="",IFERROR(INDEX(Items!$G$5:$G$504,Q2284),0),$F2284)),"")</f>
        <v/>
      </c>
      <c r="K2284" s="61" t="str">
        <f aca="false">IF(IsPro,IF($D2284="","",ROUND(N($E2284)*J2284*(1-N($G2284)),2)),"")</f>
        <v/>
      </c>
      <c r="L2284" s="62" t="str">
        <f aca="false">IF(IsPro,IF($D2284="","",IFERROR(INDEX(Items!$F$5:$F$504,Q2284),0)),"")</f>
        <v/>
      </c>
      <c r="M2284" s="61" t="str">
        <f aca="false">IF(IsPro,IF($D2284="","",IF(AND(R2284&lt;&gt;"",INDEX(Parties!$E$5:$E$304,R2284)&lt;&gt;"",INDEX(Parties!$E$5:$E$304,R2284)&lt;&gt;HomeState),0,ROUND(K2284*L2284/2,2))),"")</f>
        <v/>
      </c>
      <c r="N2284" s="61" t="str">
        <f aca="false">IF(IsPro,IF($D2284="","",M2284),"")</f>
        <v/>
      </c>
      <c r="O2284" s="61" t="str">
        <f aca="false">IF(IsPro,IF($D2284="","",IF(AND(R2284&lt;&gt;"",INDEX(Parties!$E$5:$E$304,R2284)&lt;&gt;"",INDEX(Parties!$E$5:$E$304,R2284)&lt;&gt;HomeState),ROUND(K2284*L2284,2),0)),"")</f>
        <v/>
      </c>
      <c r="P2284" s="61" t="str">
        <f aca="false">IF(IsPro,IF($D2284="","",K2284+M2284+N2284+O2284),"")</f>
        <v/>
      </c>
      <c r="Q2284" s="60" t="str">
        <f aca="false">IF(IsPro,IF($D2284="","",IFERROR(MATCH($D2284,Items!$A$5:$A$504,0),"")),"")</f>
        <v/>
      </c>
      <c r="R2284" s="60" t="str">
        <f aca="false">IF(IsPro,IF($C2284="","",IFERROR(MATCH($C2284,Parties!$A$5:$A$304,0),"")),"")</f>
        <v/>
      </c>
      <c r="S2284" s="61" t="str">
        <f aca="false">IF(IsPro,IF($D2284="","",IF(OR($H2284="",$H2284="Credit"),0,P2284)),"")</f>
        <v/>
      </c>
    </row>
    <row r="2285" customFormat="false" ht="15" hidden="false" customHeight="false" outlineLevel="0" collapsed="false">
      <c r="A2285" s="55"/>
      <c r="B2285" s="56"/>
      <c r="C2285" s="56"/>
      <c r="D2285" s="56"/>
      <c r="E2285" s="57"/>
      <c r="F2285" s="58"/>
      <c r="G2285" s="59"/>
      <c r="H2285" s="56"/>
      <c r="I2285" s="60" t="str">
        <f aca="false">IF(IsPro,IF($D2285="","",IFERROR(INDEX(Items!$D$5:$D$504,Q2285),"")),IF($D2285="","","PRO PLAN"))</f>
        <v/>
      </c>
      <c r="J2285" s="61" t="str">
        <f aca="false">IF(IsPro,IF($D2285="","",IF($F2285="",IFERROR(INDEX(Items!$G$5:$G$504,Q2285),0),$F2285)),"")</f>
        <v/>
      </c>
      <c r="K2285" s="61" t="str">
        <f aca="false">IF(IsPro,IF($D2285="","",ROUND(N($E2285)*J2285*(1-N($G2285)),2)),"")</f>
        <v/>
      </c>
      <c r="L2285" s="62" t="str">
        <f aca="false">IF(IsPro,IF($D2285="","",IFERROR(INDEX(Items!$F$5:$F$504,Q2285),0)),"")</f>
        <v/>
      </c>
      <c r="M2285" s="61" t="str">
        <f aca="false">IF(IsPro,IF($D2285="","",IF(AND(R2285&lt;&gt;"",INDEX(Parties!$E$5:$E$304,R2285)&lt;&gt;"",INDEX(Parties!$E$5:$E$304,R2285)&lt;&gt;HomeState),0,ROUND(K2285*L2285/2,2))),"")</f>
        <v/>
      </c>
      <c r="N2285" s="61" t="str">
        <f aca="false">IF(IsPro,IF($D2285="","",M2285),"")</f>
        <v/>
      </c>
      <c r="O2285" s="61" t="str">
        <f aca="false">IF(IsPro,IF($D2285="","",IF(AND(R2285&lt;&gt;"",INDEX(Parties!$E$5:$E$304,R2285)&lt;&gt;"",INDEX(Parties!$E$5:$E$304,R2285)&lt;&gt;HomeState),ROUND(K2285*L2285,2),0)),"")</f>
        <v/>
      </c>
      <c r="P2285" s="61" t="str">
        <f aca="false">IF(IsPro,IF($D2285="","",K2285+M2285+N2285+O2285),"")</f>
        <v/>
      </c>
      <c r="Q2285" s="60" t="str">
        <f aca="false">IF(IsPro,IF($D2285="","",IFERROR(MATCH($D2285,Items!$A$5:$A$504,0),"")),"")</f>
        <v/>
      </c>
      <c r="R2285" s="60" t="str">
        <f aca="false">IF(IsPro,IF($C2285="","",IFERROR(MATCH($C2285,Parties!$A$5:$A$304,0),"")),"")</f>
        <v/>
      </c>
      <c r="S2285" s="61" t="str">
        <f aca="false">IF(IsPro,IF($D2285="","",IF(OR($H2285="",$H2285="Credit"),0,P2285)),"")</f>
        <v/>
      </c>
    </row>
    <row r="2286" customFormat="false" ht="15" hidden="false" customHeight="false" outlineLevel="0" collapsed="false">
      <c r="A2286" s="55"/>
      <c r="B2286" s="56"/>
      <c r="C2286" s="56"/>
      <c r="D2286" s="56"/>
      <c r="E2286" s="57"/>
      <c r="F2286" s="58"/>
      <c r="G2286" s="59"/>
      <c r="H2286" s="56"/>
      <c r="I2286" s="60" t="str">
        <f aca="false">IF(IsPro,IF($D2286="","",IFERROR(INDEX(Items!$D$5:$D$504,Q2286),"")),IF($D2286="","","PRO PLAN"))</f>
        <v/>
      </c>
      <c r="J2286" s="61" t="str">
        <f aca="false">IF(IsPro,IF($D2286="","",IF($F2286="",IFERROR(INDEX(Items!$G$5:$G$504,Q2286),0),$F2286)),"")</f>
        <v/>
      </c>
      <c r="K2286" s="61" t="str">
        <f aca="false">IF(IsPro,IF($D2286="","",ROUND(N($E2286)*J2286*(1-N($G2286)),2)),"")</f>
        <v/>
      </c>
      <c r="L2286" s="62" t="str">
        <f aca="false">IF(IsPro,IF($D2286="","",IFERROR(INDEX(Items!$F$5:$F$504,Q2286),0)),"")</f>
        <v/>
      </c>
      <c r="M2286" s="61" t="str">
        <f aca="false">IF(IsPro,IF($D2286="","",IF(AND(R2286&lt;&gt;"",INDEX(Parties!$E$5:$E$304,R2286)&lt;&gt;"",INDEX(Parties!$E$5:$E$304,R2286)&lt;&gt;HomeState),0,ROUND(K2286*L2286/2,2))),"")</f>
        <v/>
      </c>
      <c r="N2286" s="61" t="str">
        <f aca="false">IF(IsPro,IF($D2286="","",M2286),"")</f>
        <v/>
      </c>
      <c r="O2286" s="61" t="str">
        <f aca="false">IF(IsPro,IF($D2286="","",IF(AND(R2286&lt;&gt;"",INDEX(Parties!$E$5:$E$304,R2286)&lt;&gt;"",INDEX(Parties!$E$5:$E$304,R2286)&lt;&gt;HomeState),ROUND(K2286*L2286,2),0)),"")</f>
        <v/>
      </c>
      <c r="P2286" s="61" t="str">
        <f aca="false">IF(IsPro,IF($D2286="","",K2286+M2286+N2286+O2286),"")</f>
        <v/>
      </c>
      <c r="Q2286" s="60" t="str">
        <f aca="false">IF(IsPro,IF($D2286="","",IFERROR(MATCH($D2286,Items!$A$5:$A$504,0),"")),"")</f>
        <v/>
      </c>
      <c r="R2286" s="60" t="str">
        <f aca="false">IF(IsPro,IF($C2286="","",IFERROR(MATCH($C2286,Parties!$A$5:$A$304,0),"")),"")</f>
        <v/>
      </c>
      <c r="S2286" s="61" t="str">
        <f aca="false">IF(IsPro,IF($D2286="","",IF(OR($H2286="",$H2286="Credit"),0,P2286)),"")</f>
        <v/>
      </c>
    </row>
    <row r="2287" customFormat="false" ht="15" hidden="false" customHeight="false" outlineLevel="0" collapsed="false">
      <c r="A2287" s="55"/>
      <c r="B2287" s="56"/>
      <c r="C2287" s="56"/>
      <c r="D2287" s="56"/>
      <c r="E2287" s="57"/>
      <c r="F2287" s="58"/>
      <c r="G2287" s="59"/>
      <c r="H2287" s="56"/>
      <c r="I2287" s="60" t="str">
        <f aca="false">IF(IsPro,IF($D2287="","",IFERROR(INDEX(Items!$D$5:$D$504,Q2287),"")),IF($D2287="","","PRO PLAN"))</f>
        <v/>
      </c>
      <c r="J2287" s="61" t="str">
        <f aca="false">IF(IsPro,IF($D2287="","",IF($F2287="",IFERROR(INDEX(Items!$G$5:$G$504,Q2287),0),$F2287)),"")</f>
        <v/>
      </c>
      <c r="K2287" s="61" t="str">
        <f aca="false">IF(IsPro,IF($D2287="","",ROUND(N($E2287)*J2287*(1-N($G2287)),2)),"")</f>
        <v/>
      </c>
      <c r="L2287" s="62" t="str">
        <f aca="false">IF(IsPro,IF($D2287="","",IFERROR(INDEX(Items!$F$5:$F$504,Q2287),0)),"")</f>
        <v/>
      </c>
      <c r="M2287" s="61" t="str">
        <f aca="false">IF(IsPro,IF($D2287="","",IF(AND(R2287&lt;&gt;"",INDEX(Parties!$E$5:$E$304,R2287)&lt;&gt;"",INDEX(Parties!$E$5:$E$304,R2287)&lt;&gt;HomeState),0,ROUND(K2287*L2287/2,2))),"")</f>
        <v/>
      </c>
      <c r="N2287" s="61" t="str">
        <f aca="false">IF(IsPro,IF($D2287="","",M2287),"")</f>
        <v/>
      </c>
      <c r="O2287" s="61" t="str">
        <f aca="false">IF(IsPro,IF($D2287="","",IF(AND(R2287&lt;&gt;"",INDEX(Parties!$E$5:$E$304,R2287)&lt;&gt;"",INDEX(Parties!$E$5:$E$304,R2287)&lt;&gt;HomeState),ROUND(K2287*L2287,2),0)),"")</f>
        <v/>
      </c>
      <c r="P2287" s="61" t="str">
        <f aca="false">IF(IsPro,IF($D2287="","",K2287+M2287+N2287+O2287),"")</f>
        <v/>
      </c>
      <c r="Q2287" s="60" t="str">
        <f aca="false">IF(IsPro,IF($D2287="","",IFERROR(MATCH($D2287,Items!$A$5:$A$504,0),"")),"")</f>
        <v/>
      </c>
      <c r="R2287" s="60" t="str">
        <f aca="false">IF(IsPro,IF($C2287="","",IFERROR(MATCH($C2287,Parties!$A$5:$A$304,0),"")),"")</f>
        <v/>
      </c>
      <c r="S2287" s="61" t="str">
        <f aca="false">IF(IsPro,IF($D2287="","",IF(OR($H2287="",$H2287="Credit"),0,P2287)),"")</f>
        <v/>
      </c>
    </row>
    <row r="2288" customFormat="false" ht="15" hidden="false" customHeight="false" outlineLevel="0" collapsed="false">
      <c r="A2288" s="55"/>
      <c r="B2288" s="56"/>
      <c r="C2288" s="56"/>
      <c r="D2288" s="56"/>
      <c r="E2288" s="57"/>
      <c r="F2288" s="58"/>
      <c r="G2288" s="59"/>
      <c r="H2288" s="56"/>
      <c r="I2288" s="60" t="str">
        <f aca="false">IF(IsPro,IF($D2288="","",IFERROR(INDEX(Items!$D$5:$D$504,Q2288),"")),IF($D2288="","","PRO PLAN"))</f>
        <v/>
      </c>
      <c r="J2288" s="61" t="str">
        <f aca="false">IF(IsPro,IF($D2288="","",IF($F2288="",IFERROR(INDEX(Items!$G$5:$G$504,Q2288),0),$F2288)),"")</f>
        <v/>
      </c>
      <c r="K2288" s="61" t="str">
        <f aca="false">IF(IsPro,IF($D2288="","",ROUND(N($E2288)*J2288*(1-N($G2288)),2)),"")</f>
        <v/>
      </c>
      <c r="L2288" s="62" t="str">
        <f aca="false">IF(IsPro,IF($D2288="","",IFERROR(INDEX(Items!$F$5:$F$504,Q2288),0)),"")</f>
        <v/>
      </c>
      <c r="M2288" s="61" t="str">
        <f aca="false">IF(IsPro,IF($D2288="","",IF(AND(R2288&lt;&gt;"",INDEX(Parties!$E$5:$E$304,R2288)&lt;&gt;"",INDEX(Parties!$E$5:$E$304,R2288)&lt;&gt;HomeState),0,ROUND(K2288*L2288/2,2))),"")</f>
        <v/>
      </c>
      <c r="N2288" s="61" t="str">
        <f aca="false">IF(IsPro,IF($D2288="","",M2288),"")</f>
        <v/>
      </c>
      <c r="O2288" s="61" t="str">
        <f aca="false">IF(IsPro,IF($D2288="","",IF(AND(R2288&lt;&gt;"",INDEX(Parties!$E$5:$E$304,R2288)&lt;&gt;"",INDEX(Parties!$E$5:$E$304,R2288)&lt;&gt;HomeState),ROUND(K2288*L2288,2),0)),"")</f>
        <v/>
      </c>
      <c r="P2288" s="61" t="str">
        <f aca="false">IF(IsPro,IF($D2288="","",K2288+M2288+N2288+O2288),"")</f>
        <v/>
      </c>
      <c r="Q2288" s="60" t="str">
        <f aca="false">IF(IsPro,IF($D2288="","",IFERROR(MATCH($D2288,Items!$A$5:$A$504,0),"")),"")</f>
        <v/>
      </c>
      <c r="R2288" s="60" t="str">
        <f aca="false">IF(IsPro,IF($C2288="","",IFERROR(MATCH($C2288,Parties!$A$5:$A$304,0),"")),"")</f>
        <v/>
      </c>
      <c r="S2288" s="61" t="str">
        <f aca="false">IF(IsPro,IF($D2288="","",IF(OR($H2288="",$H2288="Credit"),0,P2288)),"")</f>
        <v/>
      </c>
    </row>
    <row r="2289" customFormat="false" ht="15" hidden="false" customHeight="false" outlineLevel="0" collapsed="false">
      <c r="A2289" s="55"/>
      <c r="B2289" s="56"/>
      <c r="C2289" s="56"/>
      <c r="D2289" s="56"/>
      <c r="E2289" s="57"/>
      <c r="F2289" s="58"/>
      <c r="G2289" s="59"/>
      <c r="H2289" s="56"/>
      <c r="I2289" s="60" t="str">
        <f aca="false">IF(IsPro,IF($D2289="","",IFERROR(INDEX(Items!$D$5:$D$504,Q2289),"")),IF($D2289="","","PRO PLAN"))</f>
        <v/>
      </c>
      <c r="J2289" s="61" t="str">
        <f aca="false">IF(IsPro,IF($D2289="","",IF($F2289="",IFERROR(INDEX(Items!$G$5:$G$504,Q2289),0),$F2289)),"")</f>
        <v/>
      </c>
      <c r="K2289" s="61" t="str">
        <f aca="false">IF(IsPro,IF($D2289="","",ROUND(N($E2289)*J2289*(1-N($G2289)),2)),"")</f>
        <v/>
      </c>
      <c r="L2289" s="62" t="str">
        <f aca="false">IF(IsPro,IF($D2289="","",IFERROR(INDEX(Items!$F$5:$F$504,Q2289),0)),"")</f>
        <v/>
      </c>
      <c r="M2289" s="61" t="str">
        <f aca="false">IF(IsPro,IF($D2289="","",IF(AND(R2289&lt;&gt;"",INDEX(Parties!$E$5:$E$304,R2289)&lt;&gt;"",INDEX(Parties!$E$5:$E$304,R2289)&lt;&gt;HomeState),0,ROUND(K2289*L2289/2,2))),"")</f>
        <v/>
      </c>
      <c r="N2289" s="61" t="str">
        <f aca="false">IF(IsPro,IF($D2289="","",M2289),"")</f>
        <v/>
      </c>
      <c r="O2289" s="61" t="str">
        <f aca="false">IF(IsPro,IF($D2289="","",IF(AND(R2289&lt;&gt;"",INDEX(Parties!$E$5:$E$304,R2289)&lt;&gt;"",INDEX(Parties!$E$5:$E$304,R2289)&lt;&gt;HomeState),ROUND(K2289*L2289,2),0)),"")</f>
        <v/>
      </c>
      <c r="P2289" s="61" t="str">
        <f aca="false">IF(IsPro,IF($D2289="","",K2289+M2289+N2289+O2289),"")</f>
        <v/>
      </c>
      <c r="Q2289" s="60" t="str">
        <f aca="false">IF(IsPro,IF($D2289="","",IFERROR(MATCH($D2289,Items!$A$5:$A$504,0),"")),"")</f>
        <v/>
      </c>
      <c r="R2289" s="60" t="str">
        <f aca="false">IF(IsPro,IF($C2289="","",IFERROR(MATCH($C2289,Parties!$A$5:$A$304,0),"")),"")</f>
        <v/>
      </c>
      <c r="S2289" s="61" t="str">
        <f aca="false">IF(IsPro,IF($D2289="","",IF(OR($H2289="",$H2289="Credit"),0,P2289)),"")</f>
        <v/>
      </c>
    </row>
    <row r="2290" customFormat="false" ht="15" hidden="false" customHeight="false" outlineLevel="0" collapsed="false">
      <c r="A2290" s="55"/>
      <c r="B2290" s="56"/>
      <c r="C2290" s="56"/>
      <c r="D2290" s="56"/>
      <c r="E2290" s="57"/>
      <c r="F2290" s="58"/>
      <c r="G2290" s="59"/>
      <c r="H2290" s="56"/>
      <c r="I2290" s="60" t="str">
        <f aca="false">IF(IsPro,IF($D2290="","",IFERROR(INDEX(Items!$D$5:$D$504,Q2290),"")),IF($D2290="","","PRO PLAN"))</f>
        <v/>
      </c>
      <c r="J2290" s="61" t="str">
        <f aca="false">IF(IsPro,IF($D2290="","",IF($F2290="",IFERROR(INDEX(Items!$G$5:$G$504,Q2290),0),$F2290)),"")</f>
        <v/>
      </c>
      <c r="K2290" s="61" t="str">
        <f aca="false">IF(IsPro,IF($D2290="","",ROUND(N($E2290)*J2290*(1-N($G2290)),2)),"")</f>
        <v/>
      </c>
      <c r="L2290" s="62" t="str">
        <f aca="false">IF(IsPro,IF($D2290="","",IFERROR(INDEX(Items!$F$5:$F$504,Q2290),0)),"")</f>
        <v/>
      </c>
      <c r="M2290" s="61" t="str">
        <f aca="false">IF(IsPro,IF($D2290="","",IF(AND(R2290&lt;&gt;"",INDEX(Parties!$E$5:$E$304,R2290)&lt;&gt;"",INDEX(Parties!$E$5:$E$304,R2290)&lt;&gt;HomeState),0,ROUND(K2290*L2290/2,2))),"")</f>
        <v/>
      </c>
      <c r="N2290" s="61" t="str">
        <f aca="false">IF(IsPro,IF($D2290="","",M2290),"")</f>
        <v/>
      </c>
      <c r="O2290" s="61" t="str">
        <f aca="false">IF(IsPro,IF($D2290="","",IF(AND(R2290&lt;&gt;"",INDEX(Parties!$E$5:$E$304,R2290)&lt;&gt;"",INDEX(Parties!$E$5:$E$304,R2290)&lt;&gt;HomeState),ROUND(K2290*L2290,2),0)),"")</f>
        <v/>
      </c>
      <c r="P2290" s="61" t="str">
        <f aca="false">IF(IsPro,IF($D2290="","",K2290+M2290+N2290+O2290),"")</f>
        <v/>
      </c>
      <c r="Q2290" s="60" t="str">
        <f aca="false">IF(IsPro,IF($D2290="","",IFERROR(MATCH($D2290,Items!$A$5:$A$504,0),"")),"")</f>
        <v/>
      </c>
      <c r="R2290" s="60" t="str">
        <f aca="false">IF(IsPro,IF($C2290="","",IFERROR(MATCH($C2290,Parties!$A$5:$A$304,0),"")),"")</f>
        <v/>
      </c>
      <c r="S2290" s="61" t="str">
        <f aca="false">IF(IsPro,IF($D2290="","",IF(OR($H2290="",$H2290="Credit"),0,P2290)),"")</f>
        <v/>
      </c>
    </row>
    <row r="2291" customFormat="false" ht="15" hidden="false" customHeight="false" outlineLevel="0" collapsed="false">
      <c r="A2291" s="55"/>
      <c r="B2291" s="56"/>
      <c r="C2291" s="56"/>
      <c r="D2291" s="56"/>
      <c r="E2291" s="57"/>
      <c r="F2291" s="58"/>
      <c r="G2291" s="59"/>
      <c r="H2291" s="56"/>
      <c r="I2291" s="60" t="str">
        <f aca="false">IF(IsPro,IF($D2291="","",IFERROR(INDEX(Items!$D$5:$D$504,Q2291),"")),IF($D2291="","","PRO PLAN"))</f>
        <v/>
      </c>
      <c r="J2291" s="61" t="str">
        <f aca="false">IF(IsPro,IF($D2291="","",IF($F2291="",IFERROR(INDEX(Items!$G$5:$G$504,Q2291),0),$F2291)),"")</f>
        <v/>
      </c>
      <c r="K2291" s="61" t="str">
        <f aca="false">IF(IsPro,IF($D2291="","",ROUND(N($E2291)*J2291*(1-N($G2291)),2)),"")</f>
        <v/>
      </c>
      <c r="L2291" s="62" t="str">
        <f aca="false">IF(IsPro,IF($D2291="","",IFERROR(INDEX(Items!$F$5:$F$504,Q2291),0)),"")</f>
        <v/>
      </c>
      <c r="M2291" s="61" t="str">
        <f aca="false">IF(IsPro,IF($D2291="","",IF(AND(R2291&lt;&gt;"",INDEX(Parties!$E$5:$E$304,R2291)&lt;&gt;"",INDEX(Parties!$E$5:$E$304,R2291)&lt;&gt;HomeState),0,ROUND(K2291*L2291/2,2))),"")</f>
        <v/>
      </c>
      <c r="N2291" s="61" t="str">
        <f aca="false">IF(IsPro,IF($D2291="","",M2291),"")</f>
        <v/>
      </c>
      <c r="O2291" s="61" t="str">
        <f aca="false">IF(IsPro,IF($D2291="","",IF(AND(R2291&lt;&gt;"",INDEX(Parties!$E$5:$E$304,R2291)&lt;&gt;"",INDEX(Parties!$E$5:$E$304,R2291)&lt;&gt;HomeState),ROUND(K2291*L2291,2),0)),"")</f>
        <v/>
      </c>
      <c r="P2291" s="61" t="str">
        <f aca="false">IF(IsPro,IF($D2291="","",K2291+M2291+N2291+O2291),"")</f>
        <v/>
      </c>
      <c r="Q2291" s="60" t="str">
        <f aca="false">IF(IsPro,IF($D2291="","",IFERROR(MATCH($D2291,Items!$A$5:$A$504,0),"")),"")</f>
        <v/>
      </c>
      <c r="R2291" s="60" t="str">
        <f aca="false">IF(IsPro,IF($C2291="","",IFERROR(MATCH($C2291,Parties!$A$5:$A$304,0),"")),"")</f>
        <v/>
      </c>
      <c r="S2291" s="61" t="str">
        <f aca="false">IF(IsPro,IF($D2291="","",IF(OR($H2291="",$H2291="Credit"),0,P2291)),"")</f>
        <v/>
      </c>
    </row>
    <row r="2292" customFormat="false" ht="15" hidden="false" customHeight="false" outlineLevel="0" collapsed="false">
      <c r="A2292" s="55"/>
      <c r="B2292" s="56"/>
      <c r="C2292" s="56"/>
      <c r="D2292" s="56"/>
      <c r="E2292" s="57"/>
      <c r="F2292" s="58"/>
      <c r="G2292" s="59"/>
      <c r="H2292" s="56"/>
      <c r="I2292" s="60" t="str">
        <f aca="false">IF(IsPro,IF($D2292="","",IFERROR(INDEX(Items!$D$5:$D$504,Q2292),"")),IF($D2292="","","PRO PLAN"))</f>
        <v/>
      </c>
      <c r="J2292" s="61" t="str">
        <f aca="false">IF(IsPro,IF($D2292="","",IF($F2292="",IFERROR(INDEX(Items!$G$5:$G$504,Q2292),0),$F2292)),"")</f>
        <v/>
      </c>
      <c r="K2292" s="61" t="str">
        <f aca="false">IF(IsPro,IF($D2292="","",ROUND(N($E2292)*J2292*(1-N($G2292)),2)),"")</f>
        <v/>
      </c>
      <c r="L2292" s="62" t="str">
        <f aca="false">IF(IsPro,IF($D2292="","",IFERROR(INDEX(Items!$F$5:$F$504,Q2292),0)),"")</f>
        <v/>
      </c>
      <c r="M2292" s="61" t="str">
        <f aca="false">IF(IsPro,IF($D2292="","",IF(AND(R2292&lt;&gt;"",INDEX(Parties!$E$5:$E$304,R2292)&lt;&gt;"",INDEX(Parties!$E$5:$E$304,R2292)&lt;&gt;HomeState),0,ROUND(K2292*L2292/2,2))),"")</f>
        <v/>
      </c>
      <c r="N2292" s="61" t="str">
        <f aca="false">IF(IsPro,IF($D2292="","",M2292),"")</f>
        <v/>
      </c>
      <c r="O2292" s="61" t="str">
        <f aca="false">IF(IsPro,IF($D2292="","",IF(AND(R2292&lt;&gt;"",INDEX(Parties!$E$5:$E$304,R2292)&lt;&gt;"",INDEX(Parties!$E$5:$E$304,R2292)&lt;&gt;HomeState),ROUND(K2292*L2292,2),0)),"")</f>
        <v/>
      </c>
      <c r="P2292" s="61" t="str">
        <f aca="false">IF(IsPro,IF($D2292="","",K2292+M2292+N2292+O2292),"")</f>
        <v/>
      </c>
      <c r="Q2292" s="60" t="str">
        <f aca="false">IF(IsPro,IF($D2292="","",IFERROR(MATCH($D2292,Items!$A$5:$A$504,0),"")),"")</f>
        <v/>
      </c>
      <c r="R2292" s="60" t="str">
        <f aca="false">IF(IsPro,IF($C2292="","",IFERROR(MATCH($C2292,Parties!$A$5:$A$304,0),"")),"")</f>
        <v/>
      </c>
      <c r="S2292" s="61" t="str">
        <f aca="false">IF(IsPro,IF($D2292="","",IF(OR($H2292="",$H2292="Credit"),0,P2292)),"")</f>
        <v/>
      </c>
    </row>
    <row r="2293" customFormat="false" ht="15" hidden="false" customHeight="false" outlineLevel="0" collapsed="false">
      <c r="A2293" s="55"/>
      <c r="B2293" s="56"/>
      <c r="C2293" s="56"/>
      <c r="D2293" s="56"/>
      <c r="E2293" s="57"/>
      <c r="F2293" s="58"/>
      <c r="G2293" s="59"/>
      <c r="H2293" s="56"/>
      <c r="I2293" s="60" t="str">
        <f aca="false">IF(IsPro,IF($D2293="","",IFERROR(INDEX(Items!$D$5:$D$504,Q2293),"")),IF($D2293="","","PRO PLAN"))</f>
        <v/>
      </c>
      <c r="J2293" s="61" t="str">
        <f aca="false">IF(IsPro,IF($D2293="","",IF($F2293="",IFERROR(INDEX(Items!$G$5:$G$504,Q2293),0),$F2293)),"")</f>
        <v/>
      </c>
      <c r="K2293" s="61" t="str">
        <f aca="false">IF(IsPro,IF($D2293="","",ROUND(N($E2293)*J2293*(1-N($G2293)),2)),"")</f>
        <v/>
      </c>
      <c r="L2293" s="62" t="str">
        <f aca="false">IF(IsPro,IF($D2293="","",IFERROR(INDEX(Items!$F$5:$F$504,Q2293),0)),"")</f>
        <v/>
      </c>
      <c r="M2293" s="61" t="str">
        <f aca="false">IF(IsPro,IF($D2293="","",IF(AND(R2293&lt;&gt;"",INDEX(Parties!$E$5:$E$304,R2293)&lt;&gt;"",INDEX(Parties!$E$5:$E$304,R2293)&lt;&gt;HomeState),0,ROUND(K2293*L2293/2,2))),"")</f>
        <v/>
      </c>
      <c r="N2293" s="61" t="str">
        <f aca="false">IF(IsPro,IF($D2293="","",M2293),"")</f>
        <v/>
      </c>
      <c r="O2293" s="61" t="str">
        <f aca="false">IF(IsPro,IF($D2293="","",IF(AND(R2293&lt;&gt;"",INDEX(Parties!$E$5:$E$304,R2293)&lt;&gt;"",INDEX(Parties!$E$5:$E$304,R2293)&lt;&gt;HomeState),ROUND(K2293*L2293,2),0)),"")</f>
        <v/>
      </c>
      <c r="P2293" s="61" t="str">
        <f aca="false">IF(IsPro,IF($D2293="","",K2293+M2293+N2293+O2293),"")</f>
        <v/>
      </c>
      <c r="Q2293" s="60" t="str">
        <f aca="false">IF(IsPro,IF($D2293="","",IFERROR(MATCH($D2293,Items!$A$5:$A$504,0),"")),"")</f>
        <v/>
      </c>
      <c r="R2293" s="60" t="str">
        <f aca="false">IF(IsPro,IF($C2293="","",IFERROR(MATCH($C2293,Parties!$A$5:$A$304,0),"")),"")</f>
        <v/>
      </c>
      <c r="S2293" s="61" t="str">
        <f aca="false">IF(IsPro,IF($D2293="","",IF(OR($H2293="",$H2293="Credit"),0,P2293)),"")</f>
        <v/>
      </c>
    </row>
    <row r="2294" customFormat="false" ht="15" hidden="false" customHeight="false" outlineLevel="0" collapsed="false">
      <c r="A2294" s="55"/>
      <c r="B2294" s="56"/>
      <c r="C2294" s="56"/>
      <c r="D2294" s="56"/>
      <c r="E2294" s="57"/>
      <c r="F2294" s="58"/>
      <c r="G2294" s="59"/>
      <c r="H2294" s="56"/>
      <c r="I2294" s="60" t="str">
        <f aca="false">IF(IsPro,IF($D2294="","",IFERROR(INDEX(Items!$D$5:$D$504,Q2294),"")),IF($D2294="","","PRO PLAN"))</f>
        <v/>
      </c>
      <c r="J2294" s="61" t="str">
        <f aca="false">IF(IsPro,IF($D2294="","",IF($F2294="",IFERROR(INDEX(Items!$G$5:$G$504,Q2294),0),$F2294)),"")</f>
        <v/>
      </c>
      <c r="K2294" s="61" t="str">
        <f aca="false">IF(IsPro,IF($D2294="","",ROUND(N($E2294)*J2294*(1-N($G2294)),2)),"")</f>
        <v/>
      </c>
      <c r="L2294" s="62" t="str">
        <f aca="false">IF(IsPro,IF($D2294="","",IFERROR(INDEX(Items!$F$5:$F$504,Q2294),0)),"")</f>
        <v/>
      </c>
      <c r="M2294" s="61" t="str">
        <f aca="false">IF(IsPro,IF($D2294="","",IF(AND(R2294&lt;&gt;"",INDEX(Parties!$E$5:$E$304,R2294)&lt;&gt;"",INDEX(Parties!$E$5:$E$304,R2294)&lt;&gt;HomeState),0,ROUND(K2294*L2294/2,2))),"")</f>
        <v/>
      </c>
      <c r="N2294" s="61" t="str">
        <f aca="false">IF(IsPro,IF($D2294="","",M2294),"")</f>
        <v/>
      </c>
      <c r="O2294" s="61" t="str">
        <f aca="false">IF(IsPro,IF($D2294="","",IF(AND(R2294&lt;&gt;"",INDEX(Parties!$E$5:$E$304,R2294)&lt;&gt;"",INDEX(Parties!$E$5:$E$304,R2294)&lt;&gt;HomeState),ROUND(K2294*L2294,2),0)),"")</f>
        <v/>
      </c>
      <c r="P2294" s="61" t="str">
        <f aca="false">IF(IsPro,IF($D2294="","",K2294+M2294+N2294+O2294),"")</f>
        <v/>
      </c>
      <c r="Q2294" s="60" t="str">
        <f aca="false">IF(IsPro,IF($D2294="","",IFERROR(MATCH($D2294,Items!$A$5:$A$504,0),"")),"")</f>
        <v/>
      </c>
      <c r="R2294" s="60" t="str">
        <f aca="false">IF(IsPro,IF($C2294="","",IFERROR(MATCH($C2294,Parties!$A$5:$A$304,0),"")),"")</f>
        <v/>
      </c>
      <c r="S2294" s="61" t="str">
        <f aca="false">IF(IsPro,IF($D2294="","",IF(OR($H2294="",$H2294="Credit"),0,P2294)),"")</f>
        <v/>
      </c>
    </row>
    <row r="2295" customFormat="false" ht="15" hidden="false" customHeight="false" outlineLevel="0" collapsed="false">
      <c r="A2295" s="55"/>
      <c r="B2295" s="56"/>
      <c r="C2295" s="56"/>
      <c r="D2295" s="56"/>
      <c r="E2295" s="57"/>
      <c r="F2295" s="58"/>
      <c r="G2295" s="59"/>
      <c r="H2295" s="56"/>
      <c r="I2295" s="60" t="str">
        <f aca="false">IF(IsPro,IF($D2295="","",IFERROR(INDEX(Items!$D$5:$D$504,Q2295),"")),IF($D2295="","","PRO PLAN"))</f>
        <v/>
      </c>
      <c r="J2295" s="61" t="str">
        <f aca="false">IF(IsPro,IF($D2295="","",IF($F2295="",IFERROR(INDEX(Items!$G$5:$G$504,Q2295),0),$F2295)),"")</f>
        <v/>
      </c>
      <c r="K2295" s="61" t="str">
        <f aca="false">IF(IsPro,IF($D2295="","",ROUND(N($E2295)*J2295*(1-N($G2295)),2)),"")</f>
        <v/>
      </c>
      <c r="L2295" s="62" t="str">
        <f aca="false">IF(IsPro,IF($D2295="","",IFERROR(INDEX(Items!$F$5:$F$504,Q2295),0)),"")</f>
        <v/>
      </c>
      <c r="M2295" s="61" t="str">
        <f aca="false">IF(IsPro,IF($D2295="","",IF(AND(R2295&lt;&gt;"",INDEX(Parties!$E$5:$E$304,R2295)&lt;&gt;"",INDEX(Parties!$E$5:$E$304,R2295)&lt;&gt;HomeState),0,ROUND(K2295*L2295/2,2))),"")</f>
        <v/>
      </c>
      <c r="N2295" s="61" t="str">
        <f aca="false">IF(IsPro,IF($D2295="","",M2295),"")</f>
        <v/>
      </c>
      <c r="O2295" s="61" t="str">
        <f aca="false">IF(IsPro,IF($D2295="","",IF(AND(R2295&lt;&gt;"",INDEX(Parties!$E$5:$E$304,R2295)&lt;&gt;"",INDEX(Parties!$E$5:$E$304,R2295)&lt;&gt;HomeState),ROUND(K2295*L2295,2),0)),"")</f>
        <v/>
      </c>
      <c r="P2295" s="61" t="str">
        <f aca="false">IF(IsPro,IF($D2295="","",K2295+M2295+N2295+O2295),"")</f>
        <v/>
      </c>
      <c r="Q2295" s="60" t="str">
        <f aca="false">IF(IsPro,IF($D2295="","",IFERROR(MATCH($D2295,Items!$A$5:$A$504,0),"")),"")</f>
        <v/>
      </c>
      <c r="R2295" s="60" t="str">
        <f aca="false">IF(IsPro,IF($C2295="","",IFERROR(MATCH($C2295,Parties!$A$5:$A$304,0),"")),"")</f>
        <v/>
      </c>
      <c r="S2295" s="61" t="str">
        <f aca="false">IF(IsPro,IF($D2295="","",IF(OR($H2295="",$H2295="Credit"),0,P2295)),"")</f>
        <v/>
      </c>
    </row>
    <row r="2296" customFormat="false" ht="15" hidden="false" customHeight="false" outlineLevel="0" collapsed="false">
      <c r="A2296" s="55"/>
      <c r="B2296" s="56"/>
      <c r="C2296" s="56"/>
      <c r="D2296" s="56"/>
      <c r="E2296" s="57"/>
      <c r="F2296" s="58"/>
      <c r="G2296" s="59"/>
      <c r="H2296" s="56"/>
      <c r="I2296" s="60" t="str">
        <f aca="false">IF(IsPro,IF($D2296="","",IFERROR(INDEX(Items!$D$5:$D$504,Q2296),"")),IF($D2296="","","PRO PLAN"))</f>
        <v/>
      </c>
      <c r="J2296" s="61" t="str">
        <f aca="false">IF(IsPro,IF($D2296="","",IF($F2296="",IFERROR(INDEX(Items!$G$5:$G$504,Q2296),0),$F2296)),"")</f>
        <v/>
      </c>
      <c r="K2296" s="61" t="str">
        <f aca="false">IF(IsPro,IF($D2296="","",ROUND(N($E2296)*J2296*(1-N($G2296)),2)),"")</f>
        <v/>
      </c>
      <c r="L2296" s="62" t="str">
        <f aca="false">IF(IsPro,IF($D2296="","",IFERROR(INDEX(Items!$F$5:$F$504,Q2296),0)),"")</f>
        <v/>
      </c>
      <c r="M2296" s="61" t="str">
        <f aca="false">IF(IsPro,IF($D2296="","",IF(AND(R2296&lt;&gt;"",INDEX(Parties!$E$5:$E$304,R2296)&lt;&gt;"",INDEX(Parties!$E$5:$E$304,R2296)&lt;&gt;HomeState),0,ROUND(K2296*L2296/2,2))),"")</f>
        <v/>
      </c>
      <c r="N2296" s="61" t="str">
        <f aca="false">IF(IsPro,IF($D2296="","",M2296),"")</f>
        <v/>
      </c>
      <c r="O2296" s="61" t="str">
        <f aca="false">IF(IsPro,IF($D2296="","",IF(AND(R2296&lt;&gt;"",INDEX(Parties!$E$5:$E$304,R2296)&lt;&gt;"",INDEX(Parties!$E$5:$E$304,R2296)&lt;&gt;HomeState),ROUND(K2296*L2296,2),0)),"")</f>
        <v/>
      </c>
      <c r="P2296" s="61" t="str">
        <f aca="false">IF(IsPro,IF($D2296="","",K2296+M2296+N2296+O2296),"")</f>
        <v/>
      </c>
      <c r="Q2296" s="60" t="str">
        <f aca="false">IF(IsPro,IF($D2296="","",IFERROR(MATCH($D2296,Items!$A$5:$A$504,0),"")),"")</f>
        <v/>
      </c>
      <c r="R2296" s="60" t="str">
        <f aca="false">IF(IsPro,IF($C2296="","",IFERROR(MATCH($C2296,Parties!$A$5:$A$304,0),"")),"")</f>
        <v/>
      </c>
      <c r="S2296" s="61" t="str">
        <f aca="false">IF(IsPro,IF($D2296="","",IF(OR($H2296="",$H2296="Credit"),0,P2296)),"")</f>
        <v/>
      </c>
    </row>
    <row r="2297" customFormat="false" ht="15" hidden="false" customHeight="false" outlineLevel="0" collapsed="false">
      <c r="A2297" s="55"/>
      <c r="B2297" s="56"/>
      <c r="C2297" s="56"/>
      <c r="D2297" s="56"/>
      <c r="E2297" s="57"/>
      <c r="F2297" s="58"/>
      <c r="G2297" s="59"/>
      <c r="H2297" s="56"/>
      <c r="I2297" s="60" t="str">
        <f aca="false">IF(IsPro,IF($D2297="","",IFERROR(INDEX(Items!$D$5:$D$504,Q2297),"")),IF($D2297="","","PRO PLAN"))</f>
        <v/>
      </c>
      <c r="J2297" s="61" t="str">
        <f aca="false">IF(IsPro,IF($D2297="","",IF($F2297="",IFERROR(INDEX(Items!$G$5:$G$504,Q2297),0),$F2297)),"")</f>
        <v/>
      </c>
      <c r="K2297" s="61" t="str">
        <f aca="false">IF(IsPro,IF($D2297="","",ROUND(N($E2297)*J2297*(1-N($G2297)),2)),"")</f>
        <v/>
      </c>
      <c r="L2297" s="62" t="str">
        <f aca="false">IF(IsPro,IF($D2297="","",IFERROR(INDEX(Items!$F$5:$F$504,Q2297),0)),"")</f>
        <v/>
      </c>
      <c r="M2297" s="61" t="str">
        <f aca="false">IF(IsPro,IF($D2297="","",IF(AND(R2297&lt;&gt;"",INDEX(Parties!$E$5:$E$304,R2297)&lt;&gt;"",INDEX(Parties!$E$5:$E$304,R2297)&lt;&gt;HomeState),0,ROUND(K2297*L2297/2,2))),"")</f>
        <v/>
      </c>
      <c r="N2297" s="61" t="str">
        <f aca="false">IF(IsPro,IF($D2297="","",M2297),"")</f>
        <v/>
      </c>
      <c r="O2297" s="61" t="str">
        <f aca="false">IF(IsPro,IF($D2297="","",IF(AND(R2297&lt;&gt;"",INDEX(Parties!$E$5:$E$304,R2297)&lt;&gt;"",INDEX(Parties!$E$5:$E$304,R2297)&lt;&gt;HomeState),ROUND(K2297*L2297,2),0)),"")</f>
        <v/>
      </c>
      <c r="P2297" s="61" t="str">
        <f aca="false">IF(IsPro,IF($D2297="","",K2297+M2297+N2297+O2297),"")</f>
        <v/>
      </c>
      <c r="Q2297" s="60" t="str">
        <f aca="false">IF(IsPro,IF($D2297="","",IFERROR(MATCH($D2297,Items!$A$5:$A$504,0),"")),"")</f>
        <v/>
      </c>
      <c r="R2297" s="60" t="str">
        <f aca="false">IF(IsPro,IF($C2297="","",IFERROR(MATCH($C2297,Parties!$A$5:$A$304,0),"")),"")</f>
        <v/>
      </c>
      <c r="S2297" s="61" t="str">
        <f aca="false">IF(IsPro,IF($D2297="","",IF(OR($H2297="",$H2297="Credit"),0,P2297)),"")</f>
        <v/>
      </c>
    </row>
    <row r="2298" customFormat="false" ht="15" hidden="false" customHeight="false" outlineLevel="0" collapsed="false">
      <c r="A2298" s="55"/>
      <c r="B2298" s="56"/>
      <c r="C2298" s="56"/>
      <c r="D2298" s="56"/>
      <c r="E2298" s="57"/>
      <c r="F2298" s="58"/>
      <c r="G2298" s="59"/>
      <c r="H2298" s="56"/>
      <c r="I2298" s="60" t="str">
        <f aca="false">IF(IsPro,IF($D2298="","",IFERROR(INDEX(Items!$D$5:$D$504,Q2298),"")),IF($D2298="","","PRO PLAN"))</f>
        <v/>
      </c>
      <c r="J2298" s="61" t="str">
        <f aca="false">IF(IsPro,IF($D2298="","",IF($F2298="",IFERROR(INDEX(Items!$G$5:$G$504,Q2298),0),$F2298)),"")</f>
        <v/>
      </c>
      <c r="K2298" s="61" t="str">
        <f aca="false">IF(IsPro,IF($D2298="","",ROUND(N($E2298)*J2298*(1-N($G2298)),2)),"")</f>
        <v/>
      </c>
      <c r="L2298" s="62" t="str">
        <f aca="false">IF(IsPro,IF($D2298="","",IFERROR(INDEX(Items!$F$5:$F$504,Q2298),0)),"")</f>
        <v/>
      </c>
      <c r="M2298" s="61" t="str">
        <f aca="false">IF(IsPro,IF($D2298="","",IF(AND(R2298&lt;&gt;"",INDEX(Parties!$E$5:$E$304,R2298)&lt;&gt;"",INDEX(Parties!$E$5:$E$304,R2298)&lt;&gt;HomeState),0,ROUND(K2298*L2298/2,2))),"")</f>
        <v/>
      </c>
      <c r="N2298" s="61" t="str">
        <f aca="false">IF(IsPro,IF($D2298="","",M2298),"")</f>
        <v/>
      </c>
      <c r="O2298" s="61" t="str">
        <f aca="false">IF(IsPro,IF($D2298="","",IF(AND(R2298&lt;&gt;"",INDEX(Parties!$E$5:$E$304,R2298)&lt;&gt;"",INDEX(Parties!$E$5:$E$304,R2298)&lt;&gt;HomeState),ROUND(K2298*L2298,2),0)),"")</f>
        <v/>
      </c>
      <c r="P2298" s="61" t="str">
        <f aca="false">IF(IsPro,IF($D2298="","",K2298+M2298+N2298+O2298),"")</f>
        <v/>
      </c>
      <c r="Q2298" s="60" t="str">
        <f aca="false">IF(IsPro,IF($D2298="","",IFERROR(MATCH($D2298,Items!$A$5:$A$504,0),"")),"")</f>
        <v/>
      </c>
      <c r="R2298" s="60" t="str">
        <f aca="false">IF(IsPro,IF($C2298="","",IFERROR(MATCH($C2298,Parties!$A$5:$A$304,0),"")),"")</f>
        <v/>
      </c>
      <c r="S2298" s="61" t="str">
        <f aca="false">IF(IsPro,IF($D2298="","",IF(OR($H2298="",$H2298="Credit"),0,P2298)),"")</f>
        <v/>
      </c>
    </row>
    <row r="2299" customFormat="false" ht="15" hidden="false" customHeight="false" outlineLevel="0" collapsed="false">
      <c r="A2299" s="55"/>
      <c r="B2299" s="56"/>
      <c r="C2299" s="56"/>
      <c r="D2299" s="56"/>
      <c r="E2299" s="57"/>
      <c r="F2299" s="58"/>
      <c r="G2299" s="59"/>
      <c r="H2299" s="56"/>
      <c r="I2299" s="60" t="str">
        <f aca="false">IF(IsPro,IF($D2299="","",IFERROR(INDEX(Items!$D$5:$D$504,Q2299),"")),IF($D2299="","","PRO PLAN"))</f>
        <v/>
      </c>
      <c r="J2299" s="61" t="str">
        <f aca="false">IF(IsPro,IF($D2299="","",IF($F2299="",IFERROR(INDEX(Items!$G$5:$G$504,Q2299),0),$F2299)),"")</f>
        <v/>
      </c>
      <c r="K2299" s="61" t="str">
        <f aca="false">IF(IsPro,IF($D2299="","",ROUND(N($E2299)*J2299*(1-N($G2299)),2)),"")</f>
        <v/>
      </c>
      <c r="L2299" s="62" t="str">
        <f aca="false">IF(IsPro,IF($D2299="","",IFERROR(INDEX(Items!$F$5:$F$504,Q2299),0)),"")</f>
        <v/>
      </c>
      <c r="M2299" s="61" t="str">
        <f aca="false">IF(IsPro,IF($D2299="","",IF(AND(R2299&lt;&gt;"",INDEX(Parties!$E$5:$E$304,R2299)&lt;&gt;"",INDEX(Parties!$E$5:$E$304,R2299)&lt;&gt;HomeState),0,ROUND(K2299*L2299/2,2))),"")</f>
        <v/>
      </c>
      <c r="N2299" s="61" t="str">
        <f aca="false">IF(IsPro,IF($D2299="","",M2299),"")</f>
        <v/>
      </c>
      <c r="O2299" s="61" t="str">
        <f aca="false">IF(IsPro,IF($D2299="","",IF(AND(R2299&lt;&gt;"",INDEX(Parties!$E$5:$E$304,R2299)&lt;&gt;"",INDEX(Parties!$E$5:$E$304,R2299)&lt;&gt;HomeState),ROUND(K2299*L2299,2),0)),"")</f>
        <v/>
      </c>
      <c r="P2299" s="61" t="str">
        <f aca="false">IF(IsPro,IF($D2299="","",K2299+M2299+N2299+O2299),"")</f>
        <v/>
      </c>
      <c r="Q2299" s="60" t="str">
        <f aca="false">IF(IsPro,IF($D2299="","",IFERROR(MATCH($D2299,Items!$A$5:$A$504,0),"")),"")</f>
        <v/>
      </c>
      <c r="R2299" s="60" t="str">
        <f aca="false">IF(IsPro,IF($C2299="","",IFERROR(MATCH($C2299,Parties!$A$5:$A$304,0),"")),"")</f>
        <v/>
      </c>
      <c r="S2299" s="61" t="str">
        <f aca="false">IF(IsPro,IF($D2299="","",IF(OR($H2299="",$H2299="Credit"),0,P2299)),"")</f>
        <v/>
      </c>
    </row>
    <row r="2300" customFormat="false" ht="15" hidden="false" customHeight="false" outlineLevel="0" collapsed="false">
      <c r="A2300" s="55"/>
      <c r="B2300" s="56"/>
      <c r="C2300" s="56"/>
      <c r="D2300" s="56"/>
      <c r="E2300" s="57"/>
      <c r="F2300" s="58"/>
      <c r="G2300" s="59"/>
      <c r="H2300" s="56"/>
      <c r="I2300" s="60" t="str">
        <f aca="false">IF(IsPro,IF($D2300="","",IFERROR(INDEX(Items!$D$5:$D$504,Q2300),"")),IF($D2300="","","PRO PLAN"))</f>
        <v/>
      </c>
      <c r="J2300" s="61" t="str">
        <f aca="false">IF(IsPro,IF($D2300="","",IF($F2300="",IFERROR(INDEX(Items!$G$5:$G$504,Q2300),0),$F2300)),"")</f>
        <v/>
      </c>
      <c r="K2300" s="61" t="str">
        <f aca="false">IF(IsPro,IF($D2300="","",ROUND(N($E2300)*J2300*(1-N($G2300)),2)),"")</f>
        <v/>
      </c>
      <c r="L2300" s="62" t="str">
        <f aca="false">IF(IsPro,IF($D2300="","",IFERROR(INDEX(Items!$F$5:$F$504,Q2300),0)),"")</f>
        <v/>
      </c>
      <c r="M2300" s="61" t="str">
        <f aca="false">IF(IsPro,IF($D2300="","",IF(AND(R2300&lt;&gt;"",INDEX(Parties!$E$5:$E$304,R2300)&lt;&gt;"",INDEX(Parties!$E$5:$E$304,R2300)&lt;&gt;HomeState),0,ROUND(K2300*L2300/2,2))),"")</f>
        <v/>
      </c>
      <c r="N2300" s="61" t="str">
        <f aca="false">IF(IsPro,IF($D2300="","",M2300),"")</f>
        <v/>
      </c>
      <c r="O2300" s="61" t="str">
        <f aca="false">IF(IsPro,IF($D2300="","",IF(AND(R2300&lt;&gt;"",INDEX(Parties!$E$5:$E$304,R2300)&lt;&gt;"",INDEX(Parties!$E$5:$E$304,R2300)&lt;&gt;HomeState),ROUND(K2300*L2300,2),0)),"")</f>
        <v/>
      </c>
      <c r="P2300" s="61" t="str">
        <f aca="false">IF(IsPro,IF($D2300="","",K2300+M2300+N2300+O2300),"")</f>
        <v/>
      </c>
      <c r="Q2300" s="60" t="str">
        <f aca="false">IF(IsPro,IF($D2300="","",IFERROR(MATCH($D2300,Items!$A$5:$A$504,0),"")),"")</f>
        <v/>
      </c>
      <c r="R2300" s="60" t="str">
        <f aca="false">IF(IsPro,IF($C2300="","",IFERROR(MATCH($C2300,Parties!$A$5:$A$304,0),"")),"")</f>
        <v/>
      </c>
      <c r="S2300" s="61" t="str">
        <f aca="false">IF(IsPro,IF($D2300="","",IF(OR($H2300="",$H2300="Credit"),0,P2300)),"")</f>
        <v/>
      </c>
    </row>
    <row r="2301" customFormat="false" ht="15" hidden="false" customHeight="false" outlineLevel="0" collapsed="false">
      <c r="A2301" s="55"/>
      <c r="B2301" s="56"/>
      <c r="C2301" s="56"/>
      <c r="D2301" s="56"/>
      <c r="E2301" s="57"/>
      <c r="F2301" s="58"/>
      <c r="G2301" s="59"/>
      <c r="H2301" s="56"/>
      <c r="I2301" s="60" t="str">
        <f aca="false">IF(IsPro,IF($D2301="","",IFERROR(INDEX(Items!$D$5:$D$504,Q2301),"")),IF($D2301="","","PRO PLAN"))</f>
        <v/>
      </c>
      <c r="J2301" s="61" t="str">
        <f aca="false">IF(IsPro,IF($D2301="","",IF($F2301="",IFERROR(INDEX(Items!$G$5:$G$504,Q2301),0),$F2301)),"")</f>
        <v/>
      </c>
      <c r="K2301" s="61" t="str">
        <f aca="false">IF(IsPro,IF($D2301="","",ROUND(N($E2301)*J2301*(1-N($G2301)),2)),"")</f>
        <v/>
      </c>
      <c r="L2301" s="62" t="str">
        <f aca="false">IF(IsPro,IF($D2301="","",IFERROR(INDEX(Items!$F$5:$F$504,Q2301),0)),"")</f>
        <v/>
      </c>
      <c r="M2301" s="61" t="str">
        <f aca="false">IF(IsPro,IF($D2301="","",IF(AND(R2301&lt;&gt;"",INDEX(Parties!$E$5:$E$304,R2301)&lt;&gt;"",INDEX(Parties!$E$5:$E$304,R2301)&lt;&gt;HomeState),0,ROUND(K2301*L2301/2,2))),"")</f>
        <v/>
      </c>
      <c r="N2301" s="61" t="str">
        <f aca="false">IF(IsPro,IF($D2301="","",M2301),"")</f>
        <v/>
      </c>
      <c r="O2301" s="61" t="str">
        <f aca="false">IF(IsPro,IF($D2301="","",IF(AND(R2301&lt;&gt;"",INDEX(Parties!$E$5:$E$304,R2301)&lt;&gt;"",INDEX(Parties!$E$5:$E$304,R2301)&lt;&gt;HomeState),ROUND(K2301*L2301,2),0)),"")</f>
        <v/>
      </c>
      <c r="P2301" s="61" t="str">
        <f aca="false">IF(IsPro,IF($D2301="","",K2301+M2301+N2301+O2301),"")</f>
        <v/>
      </c>
      <c r="Q2301" s="60" t="str">
        <f aca="false">IF(IsPro,IF($D2301="","",IFERROR(MATCH($D2301,Items!$A$5:$A$504,0),"")),"")</f>
        <v/>
      </c>
      <c r="R2301" s="60" t="str">
        <f aca="false">IF(IsPro,IF($C2301="","",IFERROR(MATCH($C2301,Parties!$A$5:$A$304,0),"")),"")</f>
        <v/>
      </c>
      <c r="S2301" s="61" t="str">
        <f aca="false">IF(IsPro,IF($D2301="","",IF(OR($H2301="",$H2301="Credit"),0,P2301)),"")</f>
        <v/>
      </c>
    </row>
    <row r="2302" customFormat="false" ht="15" hidden="false" customHeight="false" outlineLevel="0" collapsed="false">
      <c r="A2302" s="55"/>
      <c r="B2302" s="56"/>
      <c r="C2302" s="56"/>
      <c r="D2302" s="56"/>
      <c r="E2302" s="57"/>
      <c r="F2302" s="58"/>
      <c r="G2302" s="59"/>
      <c r="H2302" s="56"/>
      <c r="I2302" s="60" t="str">
        <f aca="false">IF(IsPro,IF($D2302="","",IFERROR(INDEX(Items!$D$5:$D$504,Q2302),"")),IF($D2302="","","PRO PLAN"))</f>
        <v/>
      </c>
      <c r="J2302" s="61" t="str">
        <f aca="false">IF(IsPro,IF($D2302="","",IF($F2302="",IFERROR(INDEX(Items!$G$5:$G$504,Q2302),0),$F2302)),"")</f>
        <v/>
      </c>
      <c r="K2302" s="61" t="str">
        <f aca="false">IF(IsPro,IF($D2302="","",ROUND(N($E2302)*J2302*(1-N($G2302)),2)),"")</f>
        <v/>
      </c>
      <c r="L2302" s="62" t="str">
        <f aca="false">IF(IsPro,IF($D2302="","",IFERROR(INDEX(Items!$F$5:$F$504,Q2302),0)),"")</f>
        <v/>
      </c>
      <c r="M2302" s="61" t="str">
        <f aca="false">IF(IsPro,IF($D2302="","",IF(AND(R2302&lt;&gt;"",INDEX(Parties!$E$5:$E$304,R2302)&lt;&gt;"",INDEX(Parties!$E$5:$E$304,R2302)&lt;&gt;HomeState),0,ROUND(K2302*L2302/2,2))),"")</f>
        <v/>
      </c>
      <c r="N2302" s="61" t="str">
        <f aca="false">IF(IsPro,IF($D2302="","",M2302),"")</f>
        <v/>
      </c>
      <c r="O2302" s="61" t="str">
        <f aca="false">IF(IsPro,IF($D2302="","",IF(AND(R2302&lt;&gt;"",INDEX(Parties!$E$5:$E$304,R2302)&lt;&gt;"",INDEX(Parties!$E$5:$E$304,R2302)&lt;&gt;HomeState),ROUND(K2302*L2302,2),0)),"")</f>
        <v/>
      </c>
      <c r="P2302" s="61" t="str">
        <f aca="false">IF(IsPro,IF($D2302="","",K2302+M2302+N2302+O2302),"")</f>
        <v/>
      </c>
      <c r="Q2302" s="60" t="str">
        <f aca="false">IF(IsPro,IF($D2302="","",IFERROR(MATCH($D2302,Items!$A$5:$A$504,0),"")),"")</f>
        <v/>
      </c>
      <c r="R2302" s="60" t="str">
        <f aca="false">IF(IsPro,IF($C2302="","",IFERROR(MATCH($C2302,Parties!$A$5:$A$304,0),"")),"")</f>
        <v/>
      </c>
      <c r="S2302" s="61" t="str">
        <f aca="false">IF(IsPro,IF($D2302="","",IF(OR($H2302="",$H2302="Credit"),0,P2302)),"")</f>
        <v/>
      </c>
    </row>
    <row r="2303" customFormat="false" ht="15" hidden="false" customHeight="false" outlineLevel="0" collapsed="false">
      <c r="A2303" s="55"/>
      <c r="B2303" s="56"/>
      <c r="C2303" s="56"/>
      <c r="D2303" s="56"/>
      <c r="E2303" s="57"/>
      <c r="F2303" s="58"/>
      <c r="G2303" s="59"/>
      <c r="H2303" s="56"/>
      <c r="I2303" s="60" t="str">
        <f aca="false">IF(IsPro,IF($D2303="","",IFERROR(INDEX(Items!$D$5:$D$504,Q2303),"")),IF($D2303="","","PRO PLAN"))</f>
        <v/>
      </c>
      <c r="J2303" s="61" t="str">
        <f aca="false">IF(IsPro,IF($D2303="","",IF($F2303="",IFERROR(INDEX(Items!$G$5:$G$504,Q2303),0),$F2303)),"")</f>
        <v/>
      </c>
      <c r="K2303" s="61" t="str">
        <f aca="false">IF(IsPro,IF($D2303="","",ROUND(N($E2303)*J2303*(1-N($G2303)),2)),"")</f>
        <v/>
      </c>
      <c r="L2303" s="62" t="str">
        <f aca="false">IF(IsPro,IF($D2303="","",IFERROR(INDEX(Items!$F$5:$F$504,Q2303),0)),"")</f>
        <v/>
      </c>
      <c r="M2303" s="61" t="str">
        <f aca="false">IF(IsPro,IF($D2303="","",IF(AND(R2303&lt;&gt;"",INDEX(Parties!$E$5:$E$304,R2303)&lt;&gt;"",INDEX(Parties!$E$5:$E$304,R2303)&lt;&gt;HomeState),0,ROUND(K2303*L2303/2,2))),"")</f>
        <v/>
      </c>
      <c r="N2303" s="61" t="str">
        <f aca="false">IF(IsPro,IF($D2303="","",M2303),"")</f>
        <v/>
      </c>
      <c r="O2303" s="61" t="str">
        <f aca="false">IF(IsPro,IF($D2303="","",IF(AND(R2303&lt;&gt;"",INDEX(Parties!$E$5:$E$304,R2303)&lt;&gt;"",INDEX(Parties!$E$5:$E$304,R2303)&lt;&gt;HomeState),ROUND(K2303*L2303,2),0)),"")</f>
        <v/>
      </c>
      <c r="P2303" s="61" t="str">
        <f aca="false">IF(IsPro,IF($D2303="","",K2303+M2303+N2303+O2303),"")</f>
        <v/>
      </c>
      <c r="Q2303" s="60" t="str">
        <f aca="false">IF(IsPro,IF($D2303="","",IFERROR(MATCH($D2303,Items!$A$5:$A$504,0),"")),"")</f>
        <v/>
      </c>
      <c r="R2303" s="60" t="str">
        <f aca="false">IF(IsPro,IF($C2303="","",IFERROR(MATCH($C2303,Parties!$A$5:$A$304,0),"")),"")</f>
        <v/>
      </c>
      <c r="S2303" s="61" t="str">
        <f aca="false">IF(IsPro,IF($D2303="","",IF(OR($H2303="",$H2303="Credit"),0,P2303)),"")</f>
        <v/>
      </c>
    </row>
    <row r="2304" customFormat="false" ht="15" hidden="false" customHeight="false" outlineLevel="0" collapsed="false">
      <c r="A2304" s="55"/>
      <c r="B2304" s="56"/>
      <c r="C2304" s="56"/>
      <c r="D2304" s="56"/>
      <c r="E2304" s="57"/>
      <c r="F2304" s="58"/>
      <c r="G2304" s="59"/>
      <c r="H2304" s="56"/>
      <c r="I2304" s="60" t="str">
        <f aca="false">IF(IsPro,IF($D2304="","",IFERROR(INDEX(Items!$D$5:$D$504,Q2304),"")),IF($D2304="","","PRO PLAN"))</f>
        <v/>
      </c>
      <c r="J2304" s="61" t="str">
        <f aca="false">IF(IsPro,IF($D2304="","",IF($F2304="",IFERROR(INDEX(Items!$G$5:$G$504,Q2304),0),$F2304)),"")</f>
        <v/>
      </c>
      <c r="K2304" s="61" t="str">
        <f aca="false">IF(IsPro,IF($D2304="","",ROUND(N($E2304)*J2304*(1-N($G2304)),2)),"")</f>
        <v/>
      </c>
      <c r="L2304" s="62" t="str">
        <f aca="false">IF(IsPro,IF($D2304="","",IFERROR(INDEX(Items!$F$5:$F$504,Q2304),0)),"")</f>
        <v/>
      </c>
      <c r="M2304" s="61" t="str">
        <f aca="false">IF(IsPro,IF($D2304="","",IF(AND(R2304&lt;&gt;"",INDEX(Parties!$E$5:$E$304,R2304)&lt;&gt;"",INDEX(Parties!$E$5:$E$304,R2304)&lt;&gt;HomeState),0,ROUND(K2304*L2304/2,2))),"")</f>
        <v/>
      </c>
      <c r="N2304" s="61" t="str">
        <f aca="false">IF(IsPro,IF($D2304="","",M2304),"")</f>
        <v/>
      </c>
      <c r="O2304" s="61" t="str">
        <f aca="false">IF(IsPro,IF($D2304="","",IF(AND(R2304&lt;&gt;"",INDEX(Parties!$E$5:$E$304,R2304)&lt;&gt;"",INDEX(Parties!$E$5:$E$304,R2304)&lt;&gt;HomeState),ROUND(K2304*L2304,2),0)),"")</f>
        <v/>
      </c>
      <c r="P2304" s="61" t="str">
        <f aca="false">IF(IsPro,IF($D2304="","",K2304+M2304+N2304+O2304),"")</f>
        <v/>
      </c>
      <c r="Q2304" s="60" t="str">
        <f aca="false">IF(IsPro,IF($D2304="","",IFERROR(MATCH($D2304,Items!$A$5:$A$504,0),"")),"")</f>
        <v/>
      </c>
      <c r="R2304" s="60" t="str">
        <f aca="false">IF(IsPro,IF($C2304="","",IFERROR(MATCH($C2304,Parties!$A$5:$A$304,0),"")),"")</f>
        <v/>
      </c>
      <c r="S2304" s="61" t="str">
        <f aca="false">IF(IsPro,IF($D2304="","",IF(OR($H2304="",$H2304="Credit"),0,P2304)),"")</f>
        <v/>
      </c>
    </row>
    <row r="2305" customFormat="false" ht="15" hidden="false" customHeight="false" outlineLevel="0" collapsed="false">
      <c r="A2305" s="55"/>
      <c r="B2305" s="56"/>
      <c r="C2305" s="56"/>
      <c r="D2305" s="56"/>
      <c r="E2305" s="57"/>
      <c r="F2305" s="58"/>
      <c r="G2305" s="59"/>
      <c r="H2305" s="56"/>
      <c r="I2305" s="60" t="str">
        <f aca="false">IF(IsPro,IF($D2305="","",IFERROR(INDEX(Items!$D$5:$D$504,Q2305),"")),IF($D2305="","","PRO PLAN"))</f>
        <v/>
      </c>
      <c r="J2305" s="61" t="str">
        <f aca="false">IF(IsPro,IF($D2305="","",IF($F2305="",IFERROR(INDEX(Items!$G$5:$G$504,Q2305),0),$F2305)),"")</f>
        <v/>
      </c>
      <c r="K2305" s="61" t="str">
        <f aca="false">IF(IsPro,IF($D2305="","",ROUND(N($E2305)*J2305*(1-N($G2305)),2)),"")</f>
        <v/>
      </c>
      <c r="L2305" s="62" t="str">
        <f aca="false">IF(IsPro,IF($D2305="","",IFERROR(INDEX(Items!$F$5:$F$504,Q2305),0)),"")</f>
        <v/>
      </c>
      <c r="M2305" s="61" t="str">
        <f aca="false">IF(IsPro,IF($D2305="","",IF(AND(R2305&lt;&gt;"",INDEX(Parties!$E$5:$E$304,R2305)&lt;&gt;"",INDEX(Parties!$E$5:$E$304,R2305)&lt;&gt;HomeState),0,ROUND(K2305*L2305/2,2))),"")</f>
        <v/>
      </c>
      <c r="N2305" s="61" t="str">
        <f aca="false">IF(IsPro,IF($D2305="","",M2305),"")</f>
        <v/>
      </c>
      <c r="O2305" s="61" t="str">
        <f aca="false">IF(IsPro,IF($D2305="","",IF(AND(R2305&lt;&gt;"",INDEX(Parties!$E$5:$E$304,R2305)&lt;&gt;"",INDEX(Parties!$E$5:$E$304,R2305)&lt;&gt;HomeState),ROUND(K2305*L2305,2),0)),"")</f>
        <v/>
      </c>
      <c r="P2305" s="61" t="str">
        <f aca="false">IF(IsPro,IF($D2305="","",K2305+M2305+N2305+O2305),"")</f>
        <v/>
      </c>
      <c r="Q2305" s="60" t="str">
        <f aca="false">IF(IsPro,IF($D2305="","",IFERROR(MATCH($D2305,Items!$A$5:$A$504,0),"")),"")</f>
        <v/>
      </c>
      <c r="R2305" s="60" t="str">
        <f aca="false">IF(IsPro,IF($C2305="","",IFERROR(MATCH($C2305,Parties!$A$5:$A$304,0),"")),"")</f>
        <v/>
      </c>
      <c r="S2305" s="61" t="str">
        <f aca="false">IF(IsPro,IF($D2305="","",IF(OR($H2305="",$H2305="Credit"),0,P2305)),"")</f>
        <v/>
      </c>
    </row>
    <row r="2306" customFormat="false" ht="15" hidden="false" customHeight="false" outlineLevel="0" collapsed="false">
      <c r="A2306" s="55"/>
      <c r="B2306" s="56"/>
      <c r="C2306" s="56"/>
      <c r="D2306" s="56"/>
      <c r="E2306" s="57"/>
      <c r="F2306" s="58"/>
      <c r="G2306" s="59"/>
      <c r="H2306" s="56"/>
      <c r="I2306" s="60" t="str">
        <f aca="false">IF(IsPro,IF($D2306="","",IFERROR(INDEX(Items!$D$5:$D$504,Q2306),"")),IF($D2306="","","PRO PLAN"))</f>
        <v/>
      </c>
      <c r="J2306" s="61" t="str">
        <f aca="false">IF(IsPro,IF($D2306="","",IF($F2306="",IFERROR(INDEX(Items!$G$5:$G$504,Q2306),0),$F2306)),"")</f>
        <v/>
      </c>
      <c r="K2306" s="61" t="str">
        <f aca="false">IF(IsPro,IF($D2306="","",ROUND(N($E2306)*J2306*(1-N($G2306)),2)),"")</f>
        <v/>
      </c>
      <c r="L2306" s="62" t="str">
        <f aca="false">IF(IsPro,IF($D2306="","",IFERROR(INDEX(Items!$F$5:$F$504,Q2306),0)),"")</f>
        <v/>
      </c>
      <c r="M2306" s="61" t="str">
        <f aca="false">IF(IsPro,IF($D2306="","",IF(AND(R2306&lt;&gt;"",INDEX(Parties!$E$5:$E$304,R2306)&lt;&gt;"",INDEX(Parties!$E$5:$E$304,R2306)&lt;&gt;HomeState),0,ROUND(K2306*L2306/2,2))),"")</f>
        <v/>
      </c>
      <c r="N2306" s="61" t="str">
        <f aca="false">IF(IsPro,IF($D2306="","",M2306),"")</f>
        <v/>
      </c>
      <c r="O2306" s="61" t="str">
        <f aca="false">IF(IsPro,IF($D2306="","",IF(AND(R2306&lt;&gt;"",INDEX(Parties!$E$5:$E$304,R2306)&lt;&gt;"",INDEX(Parties!$E$5:$E$304,R2306)&lt;&gt;HomeState),ROUND(K2306*L2306,2),0)),"")</f>
        <v/>
      </c>
      <c r="P2306" s="61" t="str">
        <f aca="false">IF(IsPro,IF($D2306="","",K2306+M2306+N2306+O2306),"")</f>
        <v/>
      </c>
      <c r="Q2306" s="60" t="str">
        <f aca="false">IF(IsPro,IF($D2306="","",IFERROR(MATCH($D2306,Items!$A$5:$A$504,0),"")),"")</f>
        <v/>
      </c>
      <c r="R2306" s="60" t="str">
        <f aca="false">IF(IsPro,IF($C2306="","",IFERROR(MATCH($C2306,Parties!$A$5:$A$304,0),"")),"")</f>
        <v/>
      </c>
      <c r="S2306" s="61" t="str">
        <f aca="false">IF(IsPro,IF($D2306="","",IF(OR($H2306="",$H2306="Credit"),0,P2306)),"")</f>
        <v/>
      </c>
    </row>
    <row r="2307" customFormat="false" ht="15" hidden="false" customHeight="false" outlineLevel="0" collapsed="false">
      <c r="A2307" s="55"/>
      <c r="B2307" s="56"/>
      <c r="C2307" s="56"/>
      <c r="D2307" s="56"/>
      <c r="E2307" s="57"/>
      <c r="F2307" s="58"/>
      <c r="G2307" s="59"/>
      <c r="H2307" s="56"/>
      <c r="I2307" s="60" t="str">
        <f aca="false">IF(IsPro,IF($D2307="","",IFERROR(INDEX(Items!$D$5:$D$504,Q2307),"")),IF($D2307="","","PRO PLAN"))</f>
        <v/>
      </c>
      <c r="J2307" s="61" t="str">
        <f aca="false">IF(IsPro,IF($D2307="","",IF($F2307="",IFERROR(INDEX(Items!$G$5:$G$504,Q2307),0),$F2307)),"")</f>
        <v/>
      </c>
      <c r="K2307" s="61" t="str">
        <f aca="false">IF(IsPro,IF($D2307="","",ROUND(N($E2307)*J2307*(1-N($G2307)),2)),"")</f>
        <v/>
      </c>
      <c r="L2307" s="62" t="str">
        <f aca="false">IF(IsPro,IF($D2307="","",IFERROR(INDEX(Items!$F$5:$F$504,Q2307),0)),"")</f>
        <v/>
      </c>
      <c r="M2307" s="61" t="str">
        <f aca="false">IF(IsPro,IF($D2307="","",IF(AND(R2307&lt;&gt;"",INDEX(Parties!$E$5:$E$304,R2307)&lt;&gt;"",INDEX(Parties!$E$5:$E$304,R2307)&lt;&gt;HomeState),0,ROUND(K2307*L2307/2,2))),"")</f>
        <v/>
      </c>
      <c r="N2307" s="61" t="str">
        <f aca="false">IF(IsPro,IF($D2307="","",M2307),"")</f>
        <v/>
      </c>
      <c r="O2307" s="61" t="str">
        <f aca="false">IF(IsPro,IF($D2307="","",IF(AND(R2307&lt;&gt;"",INDEX(Parties!$E$5:$E$304,R2307)&lt;&gt;"",INDEX(Parties!$E$5:$E$304,R2307)&lt;&gt;HomeState),ROUND(K2307*L2307,2),0)),"")</f>
        <v/>
      </c>
      <c r="P2307" s="61" t="str">
        <f aca="false">IF(IsPro,IF($D2307="","",K2307+M2307+N2307+O2307),"")</f>
        <v/>
      </c>
      <c r="Q2307" s="60" t="str">
        <f aca="false">IF(IsPro,IF($D2307="","",IFERROR(MATCH($D2307,Items!$A$5:$A$504,0),"")),"")</f>
        <v/>
      </c>
      <c r="R2307" s="60" t="str">
        <f aca="false">IF(IsPro,IF($C2307="","",IFERROR(MATCH($C2307,Parties!$A$5:$A$304,0),"")),"")</f>
        <v/>
      </c>
      <c r="S2307" s="61" t="str">
        <f aca="false">IF(IsPro,IF($D2307="","",IF(OR($H2307="",$H2307="Credit"),0,P2307)),"")</f>
        <v/>
      </c>
    </row>
    <row r="2308" customFormat="false" ht="15" hidden="false" customHeight="false" outlineLevel="0" collapsed="false">
      <c r="A2308" s="55"/>
      <c r="B2308" s="56"/>
      <c r="C2308" s="56"/>
      <c r="D2308" s="56"/>
      <c r="E2308" s="57"/>
      <c r="F2308" s="58"/>
      <c r="G2308" s="59"/>
      <c r="H2308" s="56"/>
      <c r="I2308" s="60" t="str">
        <f aca="false">IF(IsPro,IF($D2308="","",IFERROR(INDEX(Items!$D$5:$D$504,Q2308),"")),IF($D2308="","","PRO PLAN"))</f>
        <v/>
      </c>
      <c r="J2308" s="61" t="str">
        <f aca="false">IF(IsPro,IF($D2308="","",IF($F2308="",IFERROR(INDEX(Items!$G$5:$G$504,Q2308),0),$F2308)),"")</f>
        <v/>
      </c>
      <c r="K2308" s="61" t="str">
        <f aca="false">IF(IsPro,IF($D2308="","",ROUND(N($E2308)*J2308*(1-N($G2308)),2)),"")</f>
        <v/>
      </c>
      <c r="L2308" s="62" t="str">
        <f aca="false">IF(IsPro,IF($D2308="","",IFERROR(INDEX(Items!$F$5:$F$504,Q2308),0)),"")</f>
        <v/>
      </c>
      <c r="M2308" s="61" t="str">
        <f aca="false">IF(IsPro,IF($D2308="","",IF(AND(R2308&lt;&gt;"",INDEX(Parties!$E$5:$E$304,R2308)&lt;&gt;"",INDEX(Parties!$E$5:$E$304,R2308)&lt;&gt;HomeState),0,ROUND(K2308*L2308/2,2))),"")</f>
        <v/>
      </c>
      <c r="N2308" s="61" t="str">
        <f aca="false">IF(IsPro,IF($D2308="","",M2308),"")</f>
        <v/>
      </c>
      <c r="O2308" s="61" t="str">
        <f aca="false">IF(IsPro,IF($D2308="","",IF(AND(R2308&lt;&gt;"",INDEX(Parties!$E$5:$E$304,R2308)&lt;&gt;"",INDEX(Parties!$E$5:$E$304,R2308)&lt;&gt;HomeState),ROUND(K2308*L2308,2),0)),"")</f>
        <v/>
      </c>
      <c r="P2308" s="61" t="str">
        <f aca="false">IF(IsPro,IF($D2308="","",K2308+M2308+N2308+O2308),"")</f>
        <v/>
      </c>
      <c r="Q2308" s="60" t="str">
        <f aca="false">IF(IsPro,IF($D2308="","",IFERROR(MATCH($D2308,Items!$A$5:$A$504,0),"")),"")</f>
        <v/>
      </c>
      <c r="R2308" s="60" t="str">
        <f aca="false">IF(IsPro,IF($C2308="","",IFERROR(MATCH($C2308,Parties!$A$5:$A$304,0),"")),"")</f>
        <v/>
      </c>
      <c r="S2308" s="61" t="str">
        <f aca="false">IF(IsPro,IF($D2308="","",IF(OR($H2308="",$H2308="Credit"),0,P2308)),"")</f>
        <v/>
      </c>
    </row>
    <row r="2309" customFormat="false" ht="15" hidden="false" customHeight="false" outlineLevel="0" collapsed="false">
      <c r="A2309" s="55"/>
      <c r="B2309" s="56"/>
      <c r="C2309" s="56"/>
      <c r="D2309" s="56"/>
      <c r="E2309" s="57"/>
      <c r="F2309" s="58"/>
      <c r="G2309" s="59"/>
      <c r="H2309" s="56"/>
      <c r="I2309" s="60" t="str">
        <f aca="false">IF(IsPro,IF($D2309="","",IFERROR(INDEX(Items!$D$5:$D$504,Q2309),"")),IF($D2309="","","PRO PLAN"))</f>
        <v/>
      </c>
      <c r="J2309" s="61" t="str">
        <f aca="false">IF(IsPro,IF($D2309="","",IF($F2309="",IFERROR(INDEX(Items!$G$5:$G$504,Q2309),0),$F2309)),"")</f>
        <v/>
      </c>
      <c r="K2309" s="61" t="str">
        <f aca="false">IF(IsPro,IF($D2309="","",ROUND(N($E2309)*J2309*(1-N($G2309)),2)),"")</f>
        <v/>
      </c>
      <c r="L2309" s="62" t="str">
        <f aca="false">IF(IsPro,IF($D2309="","",IFERROR(INDEX(Items!$F$5:$F$504,Q2309),0)),"")</f>
        <v/>
      </c>
      <c r="M2309" s="61" t="str">
        <f aca="false">IF(IsPro,IF($D2309="","",IF(AND(R2309&lt;&gt;"",INDEX(Parties!$E$5:$E$304,R2309)&lt;&gt;"",INDEX(Parties!$E$5:$E$304,R2309)&lt;&gt;HomeState),0,ROUND(K2309*L2309/2,2))),"")</f>
        <v/>
      </c>
      <c r="N2309" s="61" t="str">
        <f aca="false">IF(IsPro,IF($D2309="","",M2309),"")</f>
        <v/>
      </c>
      <c r="O2309" s="61" t="str">
        <f aca="false">IF(IsPro,IF($D2309="","",IF(AND(R2309&lt;&gt;"",INDEX(Parties!$E$5:$E$304,R2309)&lt;&gt;"",INDEX(Parties!$E$5:$E$304,R2309)&lt;&gt;HomeState),ROUND(K2309*L2309,2),0)),"")</f>
        <v/>
      </c>
      <c r="P2309" s="61" t="str">
        <f aca="false">IF(IsPro,IF($D2309="","",K2309+M2309+N2309+O2309),"")</f>
        <v/>
      </c>
      <c r="Q2309" s="60" t="str">
        <f aca="false">IF(IsPro,IF($D2309="","",IFERROR(MATCH($D2309,Items!$A$5:$A$504,0),"")),"")</f>
        <v/>
      </c>
      <c r="R2309" s="60" t="str">
        <f aca="false">IF(IsPro,IF($C2309="","",IFERROR(MATCH($C2309,Parties!$A$5:$A$304,0),"")),"")</f>
        <v/>
      </c>
      <c r="S2309" s="61" t="str">
        <f aca="false">IF(IsPro,IF($D2309="","",IF(OR($H2309="",$H2309="Credit"),0,P2309)),"")</f>
        <v/>
      </c>
    </row>
    <row r="2310" customFormat="false" ht="15" hidden="false" customHeight="false" outlineLevel="0" collapsed="false">
      <c r="A2310" s="55"/>
      <c r="B2310" s="56"/>
      <c r="C2310" s="56"/>
      <c r="D2310" s="56"/>
      <c r="E2310" s="57"/>
      <c r="F2310" s="58"/>
      <c r="G2310" s="59"/>
      <c r="H2310" s="56"/>
      <c r="I2310" s="60" t="str">
        <f aca="false">IF(IsPro,IF($D2310="","",IFERROR(INDEX(Items!$D$5:$D$504,Q2310),"")),IF($D2310="","","PRO PLAN"))</f>
        <v/>
      </c>
      <c r="J2310" s="61" t="str">
        <f aca="false">IF(IsPro,IF($D2310="","",IF($F2310="",IFERROR(INDEX(Items!$G$5:$G$504,Q2310),0),$F2310)),"")</f>
        <v/>
      </c>
      <c r="K2310" s="61" t="str">
        <f aca="false">IF(IsPro,IF($D2310="","",ROUND(N($E2310)*J2310*(1-N($G2310)),2)),"")</f>
        <v/>
      </c>
      <c r="L2310" s="62" t="str">
        <f aca="false">IF(IsPro,IF($D2310="","",IFERROR(INDEX(Items!$F$5:$F$504,Q2310),0)),"")</f>
        <v/>
      </c>
      <c r="M2310" s="61" t="str">
        <f aca="false">IF(IsPro,IF($D2310="","",IF(AND(R2310&lt;&gt;"",INDEX(Parties!$E$5:$E$304,R2310)&lt;&gt;"",INDEX(Parties!$E$5:$E$304,R2310)&lt;&gt;HomeState),0,ROUND(K2310*L2310/2,2))),"")</f>
        <v/>
      </c>
      <c r="N2310" s="61" t="str">
        <f aca="false">IF(IsPro,IF($D2310="","",M2310),"")</f>
        <v/>
      </c>
      <c r="O2310" s="61" t="str">
        <f aca="false">IF(IsPro,IF($D2310="","",IF(AND(R2310&lt;&gt;"",INDEX(Parties!$E$5:$E$304,R2310)&lt;&gt;"",INDEX(Parties!$E$5:$E$304,R2310)&lt;&gt;HomeState),ROUND(K2310*L2310,2),0)),"")</f>
        <v/>
      </c>
      <c r="P2310" s="61" t="str">
        <f aca="false">IF(IsPro,IF($D2310="","",K2310+M2310+N2310+O2310),"")</f>
        <v/>
      </c>
      <c r="Q2310" s="60" t="str">
        <f aca="false">IF(IsPro,IF($D2310="","",IFERROR(MATCH($D2310,Items!$A$5:$A$504,0),"")),"")</f>
        <v/>
      </c>
      <c r="R2310" s="60" t="str">
        <f aca="false">IF(IsPro,IF($C2310="","",IFERROR(MATCH($C2310,Parties!$A$5:$A$304,0),"")),"")</f>
        <v/>
      </c>
      <c r="S2310" s="61" t="str">
        <f aca="false">IF(IsPro,IF($D2310="","",IF(OR($H2310="",$H2310="Credit"),0,P2310)),"")</f>
        <v/>
      </c>
    </row>
    <row r="2311" customFormat="false" ht="15" hidden="false" customHeight="false" outlineLevel="0" collapsed="false">
      <c r="A2311" s="55"/>
      <c r="B2311" s="56"/>
      <c r="C2311" s="56"/>
      <c r="D2311" s="56"/>
      <c r="E2311" s="57"/>
      <c r="F2311" s="58"/>
      <c r="G2311" s="59"/>
      <c r="H2311" s="56"/>
      <c r="I2311" s="60" t="str">
        <f aca="false">IF(IsPro,IF($D2311="","",IFERROR(INDEX(Items!$D$5:$D$504,Q2311),"")),IF($D2311="","","PRO PLAN"))</f>
        <v/>
      </c>
      <c r="J2311" s="61" t="str">
        <f aca="false">IF(IsPro,IF($D2311="","",IF($F2311="",IFERROR(INDEX(Items!$G$5:$G$504,Q2311),0),$F2311)),"")</f>
        <v/>
      </c>
      <c r="K2311" s="61" t="str">
        <f aca="false">IF(IsPro,IF($D2311="","",ROUND(N($E2311)*J2311*(1-N($G2311)),2)),"")</f>
        <v/>
      </c>
      <c r="L2311" s="62" t="str">
        <f aca="false">IF(IsPro,IF($D2311="","",IFERROR(INDEX(Items!$F$5:$F$504,Q2311),0)),"")</f>
        <v/>
      </c>
      <c r="M2311" s="61" t="str">
        <f aca="false">IF(IsPro,IF($D2311="","",IF(AND(R2311&lt;&gt;"",INDEX(Parties!$E$5:$E$304,R2311)&lt;&gt;"",INDEX(Parties!$E$5:$E$304,R2311)&lt;&gt;HomeState),0,ROUND(K2311*L2311/2,2))),"")</f>
        <v/>
      </c>
      <c r="N2311" s="61" t="str">
        <f aca="false">IF(IsPro,IF($D2311="","",M2311),"")</f>
        <v/>
      </c>
      <c r="O2311" s="61" t="str">
        <f aca="false">IF(IsPro,IF($D2311="","",IF(AND(R2311&lt;&gt;"",INDEX(Parties!$E$5:$E$304,R2311)&lt;&gt;"",INDEX(Parties!$E$5:$E$304,R2311)&lt;&gt;HomeState),ROUND(K2311*L2311,2),0)),"")</f>
        <v/>
      </c>
      <c r="P2311" s="61" t="str">
        <f aca="false">IF(IsPro,IF($D2311="","",K2311+M2311+N2311+O2311),"")</f>
        <v/>
      </c>
      <c r="Q2311" s="60" t="str">
        <f aca="false">IF(IsPro,IF($D2311="","",IFERROR(MATCH($D2311,Items!$A$5:$A$504,0),"")),"")</f>
        <v/>
      </c>
      <c r="R2311" s="60" t="str">
        <f aca="false">IF(IsPro,IF($C2311="","",IFERROR(MATCH($C2311,Parties!$A$5:$A$304,0),"")),"")</f>
        <v/>
      </c>
      <c r="S2311" s="61" t="str">
        <f aca="false">IF(IsPro,IF($D2311="","",IF(OR($H2311="",$H2311="Credit"),0,P2311)),"")</f>
        <v/>
      </c>
    </row>
    <row r="2312" customFormat="false" ht="15" hidden="false" customHeight="false" outlineLevel="0" collapsed="false">
      <c r="A2312" s="55"/>
      <c r="B2312" s="56"/>
      <c r="C2312" s="56"/>
      <c r="D2312" s="56"/>
      <c r="E2312" s="57"/>
      <c r="F2312" s="58"/>
      <c r="G2312" s="59"/>
      <c r="H2312" s="56"/>
      <c r="I2312" s="60" t="str">
        <f aca="false">IF(IsPro,IF($D2312="","",IFERROR(INDEX(Items!$D$5:$D$504,Q2312),"")),IF($D2312="","","PRO PLAN"))</f>
        <v/>
      </c>
      <c r="J2312" s="61" t="str">
        <f aca="false">IF(IsPro,IF($D2312="","",IF($F2312="",IFERROR(INDEX(Items!$G$5:$G$504,Q2312),0),$F2312)),"")</f>
        <v/>
      </c>
      <c r="K2312" s="61" t="str">
        <f aca="false">IF(IsPro,IF($D2312="","",ROUND(N($E2312)*J2312*(1-N($G2312)),2)),"")</f>
        <v/>
      </c>
      <c r="L2312" s="62" t="str">
        <f aca="false">IF(IsPro,IF($D2312="","",IFERROR(INDEX(Items!$F$5:$F$504,Q2312),0)),"")</f>
        <v/>
      </c>
      <c r="M2312" s="61" t="str">
        <f aca="false">IF(IsPro,IF($D2312="","",IF(AND(R2312&lt;&gt;"",INDEX(Parties!$E$5:$E$304,R2312)&lt;&gt;"",INDEX(Parties!$E$5:$E$304,R2312)&lt;&gt;HomeState),0,ROUND(K2312*L2312/2,2))),"")</f>
        <v/>
      </c>
      <c r="N2312" s="61" t="str">
        <f aca="false">IF(IsPro,IF($D2312="","",M2312),"")</f>
        <v/>
      </c>
      <c r="O2312" s="61" t="str">
        <f aca="false">IF(IsPro,IF($D2312="","",IF(AND(R2312&lt;&gt;"",INDEX(Parties!$E$5:$E$304,R2312)&lt;&gt;"",INDEX(Parties!$E$5:$E$304,R2312)&lt;&gt;HomeState),ROUND(K2312*L2312,2),0)),"")</f>
        <v/>
      </c>
      <c r="P2312" s="61" t="str">
        <f aca="false">IF(IsPro,IF($D2312="","",K2312+M2312+N2312+O2312),"")</f>
        <v/>
      </c>
      <c r="Q2312" s="60" t="str">
        <f aca="false">IF(IsPro,IF($D2312="","",IFERROR(MATCH($D2312,Items!$A$5:$A$504,0),"")),"")</f>
        <v/>
      </c>
      <c r="R2312" s="60" t="str">
        <f aca="false">IF(IsPro,IF($C2312="","",IFERROR(MATCH($C2312,Parties!$A$5:$A$304,0),"")),"")</f>
        <v/>
      </c>
      <c r="S2312" s="61" t="str">
        <f aca="false">IF(IsPro,IF($D2312="","",IF(OR($H2312="",$H2312="Credit"),0,P2312)),"")</f>
        <v/>
      </c>
    </row>
    <row r="2313" customFormat="false" ht="15" hidden="false" customHeight="false" outlineLevel="0" collapsed="false">
      <c r="A2313" s="55"/>
      <c r="B2313" s="56"/>
      <c r="C2313" s="56"/>
      <c r="D2313" s="56"/>
      <c r="E2313" s="57"/>
      <c r="F2313" s="58"/>
      <c r="G2313" s="59"/>
      <c r="H2313" s="56"/>
      <c r="I2313" s="60" t="str">
        <f aca="false">IF(IsPro,IF($D2313="","",IFERROR(INDEX(Items!$D$5:$D$504,Q2313),"")),IF($D2313="","","PRO PLAN"))</f>
        <v/>
      </c>
      <c r="J2313" s="61" t="str">
        <f aca="false">IF(IsPro,IF($D2313="","",IF($F2313="",IFERROR(INDEX(Items!$G$5:$G$504,Q2313),0),$F2313)),"")</f>
        <v/>
      </c>
      <c r="K2313" s="61" t="str">
        <f aca="false">IF(IsPro,IF($D2313="","",ROUND(N($E2313)*J2313*(1-N($G2313)),2)),"")</f>
        <v/>
      </c>
      <c r="L2313" s="62" t="str">
        <f aca="false">IF(IsPro,IF($D2313="","",IFERROR(INDEX(Items!$F$5:$F$504,Q2313),0)),"")</f>
        <v/>
      </c>
      <c r="M2313" s="61" t="str">
        <f aca="false">IF(IsPro,IF($D2313="","",IF(AND(R2313&lt;&gt;"",INDEX(Parties!$E$5:$E$304,R2313)&lt;&gt;"",INDEX(Parties!$E$5:$E$304,R2313)&lt;&gt;HomeState),0,ROUND(K2313*L2313/2,2))),"")</f>
        <v/>
      </c>
      <c r="N2313" s="61" t="str">
        <f aca="false">IF(IsPro,IF($D2313="","",M2313),"")</f>
        <v/>
      </c>
      <c r="O2313" s="61" t="str">
        <f aca="false">IF(IsPro,IF($D2313="","",IF(AND(R2313&lt;&gt;"",INDEX(Parties!$E$5:$E$304,R2313)&lt;&gt;"",INDEX(Parties!$E$5:$E$304,R2313)&lt;&gt;HomeState),ROUND(K2313*L2313,2),0)),"")</f>
        <v/>
      </c>
      <c r="P2313" s="61" t="str">
        <f aca="false">IF(IsPro,IF($D2313="","",K2313+M2313+N2313+O2313),"")</f>
        <v/>
      </c>
      <c r="Q2313" s="60" t="str">
        <f aca="false">IF(IsPro,IF($D2313="","",IFERROR(MATCH($D2313,Items!$A$5:$A$504,0),"")),"")</f>
        <v/>
      </c>
      <c r="R2313" s="60" t="str">
        <f aca="false">IF(IsPro,IF($C2313="","",IFERROR(MATCH($C2313,Parties!$A$5:$A$304,0),"")),"")</f>
        <v/>
      </c>
      <c r="S2313" s="61" t="str">
        <f aca="false">IF(IsPro,IF($D2313="","",IF(OR($H2313="",$H2313="Credit"),0,P2313)),"")</f>
        <v/>
      </c>
    </row>
    <row r="2314" customFormat="false" ht="15" hidden="false" customHeight="false" outlineLevel="0" collapsed="false">
      <c r="A2314" s="55"/>
      <c r="B2314" s="56"/>
      <c r="C2314" s="56"/>
      <c r="D2314" s="56"/>
      <c r="E2314" s="57"/>
      <c r="F2314" s="58"/>
      <c r="G2314" s="59"/>
      <c r="H2314" s="56"/>
      <c r="I2314" s="60" t="str">
        <f aca="false">IF(IsPro,IF($D2314="","",IFERROR(INDEX(Items!$D$5:$D$504,Q2314),"")),IF($D2314="","","PRO PLAN"))</f>
        <v/>
      </c>
      <c r="J2314" s="61" t="str">
        <f aca="false">IF(IsPro,IF($D2314="","",IF($F2314="",IFERROR(INDEX(Items!$G$5:$G$504,Q2314),0),$F2314)),"")</f>
        <v/>
      </c>
      <c r="K2314" s="61" t="str">
        <f aca="false">IF(IsPro,IF($D2314="","",ROUND(N($E2314)*J2314*(1-N($G2314)),2)),"")</f>
        <v/>
      </c>
      <c r="L2314" s="62" t="str">
        <f aca="false">IF(IsPro,IF($D2314="","",IFERROR(INDEX(Items!$F$5:$F$504,Q2314),0)),"")</f>
        <v/>
      </c>
      <c r="M2314" s="61" t="str">
        <f aca="false">IF(IsPro,IF($D2314="","",IF(AND(R2314&lt;&gt;"",INDEX(Parties!$E$5:$E$304,R2314)&lt;&gt;"",INDEX(Parties!$E$5:$E$304,R2314)&lt;&gt;HomeState),0,ROUND(K2314*L2314/2,2))),"")</f>
        <v/>
      </c>
      <c r="N2314" s="61" t="str">
        <f aca="false">IF(IsPro,IF($D2314="","",M2314),"")</f>
        <v/>
      </c>
      <c r="O2314" s="61" t="str">
        <f aca="false">IF(IsPro,IF($D2314="","",IF(AND(R2314&lt;&gt;"",INDEX(Parties!$E$5:$E$304,R2314)&lt;&gt;"",INDEX(Parties!$E$5:$E$304,R2314)&lt;&gt;HomeState),ROUND(K2314*L2314,2),0)),"")</f>
        <v/>
      </c>
      <c r="P2314" s="61" t="str">
        <f aca="false">IF(IsPro,IF($D2314="","",K2314+M2314+N2314+O2314),"")</f>
        <v/>
      </c>
      <c r="Q2314" s="60" t="str">
        <f aca="false">IF(IsPro,IF($D2314="","",IFERROR(MATCH($D2314,Items!$A$5:$A$504,0),"")),"")</f>
        <v/>
      </c>
      <c r="R2314" s="60" t="str">
        <f aca="false">IF(IsPro,IF($C2314="","",IFERROR(MATCH($C2314,Parties!$A$5:$A$304,0),"")),"")</f>
        <v/>
      </c>
      <c r="S2314" s="61" t="str">
        <f aca="false">IF(IsPro,IF($D2314="","",IF(OR($H2314="",$H2314="Credit"),0,P2314)),"")</f>
        <v/>
      </c>
    </row>
    <row r="2315" customFormat="false" ht="15" hidden="false" customHeight="false" outlineLevel="0" collapsed="false">
      <c r="A2315" s="55"/>
      <c r="B2315" s="56"/>
      <c r="C2315" s="56"/>
      <c r="D2315" s="56"/>
      <c r="E2315" s="57"/>
      <c r="F2315" s="58"/>
      <c r="G2315" s="59"/>
      <c r="H2315" s="56"/>
      <c r="I2315" s="60" t="str">
        <f aca="false">IF(IsPro,IF($D2315="","",IFERROR(INDEX(Items!$D$5:$D$504,Q2315),"")),IF($D2315="","","PRO PLAN"))</f>
        <v/>
      </c>
      <c r="J2315" s="61" t="str">
        <f aca="false">IF(IsPro,IF($D2315="","",IF($F2315="",IFERROR(INDEX(Items!$G$5:$G$504,Q2315),0),$F2315)),"")</f>
        <v/>
      </c>
      <c r="K2315" s="61" t="str">
        <f aca="false">IF(IsPro,IF($D2315="","",ROUND(N($E2315)*J2315*(1-N($G2315)),2)),"")</f>
        <v/>
      </c>
      <c r="L2315" s="62" t="str">
        <f aca="false">IF(IsPro,IF($D2315="","",IFERROR(INDEX(Items!$F$5:$F$504,Q2315),0)),"")</f>
        <v/>
      </c>
      <c r="M2315" s="61" t="str">
        <f aca="false">IF(IsPro,IF($D2315="","",IF(AND(R2315&lt;&gt;"",INDEX(Parties!$E$5:$E$304,R2315)&lt;&gt;"",INDEX(Parties!$E$5:$E$304,R2315)&lt;&gt;HomeState),0,ROUND(K2315*L2315/2,2))),"")</f>
        <v/>
      </c>
      <c r="N2315" s="61" t="str">
        <f aca="false">IF(IsPro,IF($D2315="","",M2315),"")</f>
        <v/>
      </c>
      <c r="O2315" s="61" t="str">
        <f aca="false">IF(IsPro,IF($D2315="","",IF(AND(R2315&lt;&gt;"",INDEX(Parties!$E$5:$E$304,R2315)&lt;&gt;"",INDEX(Parties!$E$5:$E$304,R2315)&lt;&gt;HomeState),ROUND(K2315*L2315,2),0)),"")</f>
        <v/>
      </c>
      <c r="P2315" s="61" t="str">
        <f aca="false">IF(IsPro,IF($D2315="","",K2315+M2315+N2315+O2315),"")</f>
        <v/>
      </c>
      <c r="Q2315" s="60" t="str">
        <f aca="false">IF(IsPro,IF($D2315="","",IFERROR(MATCH($D2315,Items!$A$5:$A$504,0),"")),"")</f>
        <v/>
      </c>
      <c r="R2315" s="60" t="str">
        <f aca="false">IF(IsPro,IF($C2315="","",IFERROR(MATCH($C2315,Parties!$A$5:$A$304,0),"")),"")</f>
        <v/>
      </c>
      <c r="S2315" s="61" t="str">
        <f aca="false">IF(IsPro,IF($D2315="","",IF(OR($H2315="",$H2315="Credit"),0,P2315)),"")</f>
        <v/>
      </c>
    </row>
    <row r="2316" customFormat="false" ht="15" hidden="false" customHeight="false" outlineLevel="0" collapsed="false">
      <c r="A2316" s="55"/>
      <c r="B2316" s="56"/>
      <c r="C2316" s="56"/>
      <c r="D2316" s="56"/>
      <c r="E2316" s="57"/>
      <c r="F2316" s="58"/>
      <c r="G2316" s="59"/>
      <c r="H2316" s="56"/>
      <c r="I2316" s="60" t="str">
        <f aca="false">IF(IsPro,IF($D2316="","",IFERROR(INDEX(Items!$D$5:$D$504,Q2316),"")),IF($D2316="","","PRO PLAN"))</f>
        <v/>
      </c>
      <c r="J2316" s="61" t="str">
        <f aca="false">IF(IsPro,IF($D2316="","",IF($F2316="",IFERROR(INDEX(Items!$G$5:$G$504,Q2316),0),$F2316)),"")</f>
        <v/>
      </c>
      <c r="K2316" s="61" t="str">
        <f aca="false">IF(IsPro,IF($D2316="","",ROUND(N($E2316)*J2316*(1-N($G2316)),2)),"")</f>
        <v/>
      </c>
      <c r="L2316" s="62" t="str">
        <f aca="false">IF(IsPro,IF($D2316="","",IFERROR(INDEX(Items!$F$5:$F$504,Q2316),0)),"")</f>
        <v/>
      </c>
      <c r="M2316" s="61" t="str">
        <f aca="false">IF(IsPro,IF($D2316="","",IF(AND(R2316&lt;&gt;"",INDEX(Parties!$E$5:$E$304,R2316)&lt;&gt;"",INDEX(Parties!$E$5:$E$304,R2316)&lt;&gt;HomeState),0,ROUND(K2316*L2316/2,2))),"")</f>
        <v/>
      </c>
      <c r="N2316" s="61" t="str">
        <f aca="false">IF(IsPro,IF($D2316="","",M2316),"")</f>
        <v/>
      </c>
      <c r="O2316" s="61" t="str">
        <f aca="false">IF(IsPro,IF($D2316="","",IF(AND(R2316&lt;&gt;"",INDEX(Parties!$E$5:$E$304,R2316)&lt;&gt;"",INDEX(Parties!$E$5:$E$304,R2316)&lt;&gt;HomeState),ROUND(K2316*L2316,2),0)),"")</f>
        <v/>
      </c>
      <c r="P2316" s="61" t="str">
        <f aca="false">IF(IsPro,IF($D2316="","",K2316+M2316+N2316+O2316),"")</f>
        <v/>
      </c>
      <c r="Q2316" s="60" t="str">
        <f aca="false">IF(IsPro,IF($D2316="","",IFERROR(MATCH($D2316,Items!$A$5:$A$504,0),"")),"")</f>
        <v/>
      </c>
      <c r="R2316" s="60" t="str">
        <f aca="false">IF(IsPro,IF($C2316="","",IFERROR(MATCH($C2316,Parties!$A$5:$A$304,0),"")),"")</f>
        <v/>
      </c>
      <c r="S2316" s="61" t="str">
        <f aca="false">IF(IsPro,IF($D2316="","",IF(OR($H2316="",$H2316="Credit"),0,P2316)),"")</f>
        <v/>
      </c>
    </row>
    <row r="2317" customFormat="false" ht="15" hidden="false" customHeight="false" outlineLevel="0" collapsed="false">
      <c r="A2317" s="55"/>
      <c r="B2317" s="56"/>
      <c r="C2317" s="56"/>
      <c r="D2317" s="56"/>
      <c r="E2317" s="57"/>
      <c r="F2317" s="58"/>
      <c r="G2317" s="59"/>
      <c r="H2317" s="56"/>
      <c r="I2317" s="60" t="str">
        <f aca="false">IF(IsPro,IF($D2317="","",IFERROR(INDEX(Items!$D$5:$D$504,Q2317),"")),IF($D2317="","","PRO PLAN"))</f>
        <v/>
      </c>
      <c r="J2317" s="61" t="str">
        <f aca="false">IF(IsPro,IF($D2317="","",IF($F2317="",IFERROR(INDEX(Items!$G$5:$G$504,Q2317),0),$F2317)),"")</f>
        <v/>
      </c>
      <c r="K2317" s="61" t="str">
        <f aca="false">IF(IsPro,IF($D2317="","",ROUND(N($E2317)*J2317*(1-N($G2317)),2)),"")</f>
        <v/>
      </c>
      <c r="L2317" s="62" t="str">
        <f aca="false">IF(IsPro,IF($D2317="","",IFERROR(INDEX(Items!$F$5:$F$504,Q2317),0)),"")</f>
        <v/>
      </c>
      <c r="M2317" s="61" t="str">
        <f aca="false">IF(IsPro,IF($D2317="","",IF(AND(R2317&lt;&gt;"",INDEX(Parties!$E$5:$E$304,R2317)&lt;&gt;"",INDEX(Parties!$E$5:$E$304,R2317)&lt;&gt;HomeState),0,ROUND(K2317*L2317/2,2))),"")</f>
        <v/>
      </c>
      <c r="N2317" s="61" t="str">
        <f aca="false">IF(IsPro,IF($D2317="","",M2317),"")</f>
        <v/>
      </c>
      <c r="O2317" s="61" t="str">
        <f aca="false">IF(IsPro,IF($D2317="","",IF(AND(R2317&lt;&gt;"",INDEX(Parties!$E$5:$E$304,R2317)&lt;&gt;"",INDEX(Parties!$E$5:$E$304,R2317)&lt;&gt;HomeState),ROUND(K2317*L2317,2),0)),"")</f>
        <v/>
      </c>
      <c r="P2317" s="61" t="str">
        <f aca="false">IF(IsPro,IF($D2317="","",K2317+M2317+N2317+O2317),"")</f>
        <v/>
      </c>
      <c r="Q2317" s="60" t="str">
        <f aca="false">IF(IsPro,IF($D2317="","",IFERROR(MATCH($D2317,Items!$A$5:$A$504,0),"")),"")</f>
        <v/>
      </c>
      <c r="R2317" s="60" t="str">
        <f aca="false">IF(IsPro,IF($C2317="","",IFERROR(MATCH($C2317,Parties!$A$5:$A$304,0),"")),"")</f>
        <v/>
      </c>
      <c r="S2317" s="61" t="str">
        <f aca="false">IF(IsPro,IF($D2317="","",IF(OR($H2317="",$H2317="Credit"),0,P2317)),"")</f>
        <v/>
      </c>
    </row>
    <row r="2318" customFormat="false" ht="15" hidden="false" customHeight="false" outlineLevel="0" collapsed="false">
      <c r="A2318" s="55"/>
      <c r="B2318" s="56"/>
      <c r="C2318" s="56"/>
      <c r="D2318" s="56"/>
      <c r="E2318" s="57"/>
      <c r="F2318" s="58"/>
      <c r="G2318" s="59"/>
      <c r="H2318" s="56"/>
      <c r="I2318" s="60" t="str">
        <f aca="false">IF(IsPro,IF($D2318="","",IFERROR(INDEX(Items!$D$5:$D$504,Q2318),"")),IF($D2318="","","PRO PLAN"))</f>
        <v/>
      </c>
      <c r="J2318" s="61" t="str">
        <f aca="false">IF(IsPro,IF($D2318="","",IF($F2318="",IFERROR(INDEX(Items!$G$5:$G$504,Q2318),0),$F2318)),"")</f>
        <v/>
      </c>
      <c r="K2318" s="61" t="str">
        <f aca="false">IF(IsPro,IF($D2318="","",ROUND(N($E2318)*J2318*(1-N($G2318)),2)),"")</f>
        <v/>
      </c>
      <c r="L2318" s="62" t="str">
        <f aca="false">IF(IsPro,IF($D2318="","",IFERROR(INDEX(Items!$F$5:$F$504,Q2318),0)),"")</f>
        <v/>
      </c>
      <c r="M2318" s="61" t="str">
        <f aca="false">IF(IsPro,IF($D2318="","",IF(AND(R2318&lt;&gt;"",INDEX(Parties!$E$5:$E$304,R2318)&lt;&gt;"",INDEX(Parties!$E$5:$E$304,R2318)&lt;&gt;HomeState),0,ROUND(K2318*L2318/2,2))),"")</f>
        <v/>
      </c>
      <c r="N2318" s="61" t="str">
        <f aca="false">IF(IsPro,IF($D2318="","",M2318),"")</f>
        <v/>
      </c>
      <c r="O2318" s="61" t="str">
        <f aca="false">IF(IsPro,IF($D2318="","",IF(AND(R2318&lt;&gt;"",INDEX(Parties!$E$5:$E$304,R2318)&lt;&gt;"",INDEX(Parties!$E$5:$E$304,R2318)&lt;&gt;HomeState),ROUND(K2318*L2318,2),0)),"")</f>
        <v/>
      </c>
      <c r="P2318" s="61" t="str">
        <f aca="false">IF(IsPro,IF($D2318="","",K2318+M2318+N2318+O2318),"")</f>
        <v/>
      </c>
      <c r="Q2318" s="60" t="str">
        <f aca="false">IF(IsPro,IF($D2318="","",IFERROR(MATCH($D2318,Items!$A$5:$A$504,0),"")),"")</f>
        <v/>
      </c>
      <c r="R2318" s="60" t="str">
        <f aca="false">IF(IsPro,IF($C2318="","",IFERROR(MATCH($C2318,Parties!$A$5:$A$304,0),"")),"")</f>
        <v/>
      </c>
      <c r="S2318" s="61" t="str">
        <f aca="false">IF(IsPro,IF($D2318="","",IF(OR($H2318="",$H2318="Credit"),0,P2318)),"")</f>
        <v/>
      </c>
    </row>
    <row r="2319" customFormat="false" ht="15" hidden="false" customHeight="false" outlineLevel="0" collapsed="false">
      <c r="A2319" s="55"/>
      <c r="B2319" s="56"/>
      <c r="C2319" s="56"/>
      <c r="D2319" s="56"/>
      <c r="E2319" s="57"/>
      <c r="F2319" s="58"/>
      <c r="G2319" s="59"/>
      <c r="H2319" s="56"/>
      <c r="I2319" s="60" t="str">
        <f aca="false">IF(IsPro,IF($D2319="","",IFERROR(INDEX(Items!$D$5:$D$504,Q2319),"")),IF($D2319="","","PRO PLAN"))</f>
        <v/>
      </c>
      <c r="J2319" s="61" t="str">
        <f aca="false">IF(IsPro,IF($D2319="","",IF($F2319="",IFERROR(INDEX(Items!$G$5:$G$504,Q2319),0),$F2319)),"")</f>
        <v/>
      </c>
      <c r="K2319" s="61" t="str">
        <f aca="false">IF(IsPro,IF($D2319="","",ROUND(N($E2319)*J2319*(1-N($G2319)),2)),"")</f>
        <v/>
      </c>
      <c r="L2319" s="62" t="str">
        <f aca="false">IF(IsPro,IF($D2319="","",IFERROR(INDEX(Items!$F$5:$F$504,Q2319),0)),"")</f>
        <v/>
      </c>
      <c r="M2319" s="61" t="str">
        <f aca="false">IF(IsPro,IF($D2319="","",IF(AND(R2319&lt;&gt;"",INDEX(Parties!$E$5:$E$304,R2319)&lt;&gt;"",INDEX(Parties!$E$5:$E$304,R2319)&lt;&gt;HomeState),0,ROUND(K2319*L2319/2,2))),"")</f>
        <v/>
      </c>
      <c r="N2319" s="61" t="str">
        <f aca="false">IF(IsPro,IF($D2319="","",M2319),"")</f>
        <v/>
      </c>
      <c r="O2319" s="61" t="str">
        <f aca="false">IF(IsPro,IF($D2319="","",IF(AND(R2319&lt;&gt;"",INDEX(Parties!$E$5:$E$304,R2319)&lt;&gt;"",INDEX(Parties!$E$5:$E$304,R2319)&lt;&gt;HomeState),ROUND(K2319*L2319,2),0)),"")</f>
        <v/>
      </c>
      <c r="P2319" s="61" t="str">
        <f aca="false">IF(IsPro,IF($D2319="","",K2319+M2319+N2319+O2319),"")</f>
        <v/>
      </c>
      <c r="Q2319" s="60" t="str">
        <f aca="false">IF(IsPro,IF($D2319="","",IFERROR(MATCH($D2319,Items!$A$5:$A$504,0),"")),"")</f>
        <v/>
      </c>
      <c r="R2319" s="60" t="str">
        <f aca="false">IF(IsPro,IF($C2319="","",IFERROR(MATCH($C2319,Parties!$A$5:$A$304,0),"")),"")</f>
        <v/>
      </c>
      <c r="S2319" s="61" t="str">
        <f aca="false">IF(IsPro,IF($D2319="","",IF(OR($H2319="",$H2319="Credit"),0,P2319)),"")</f>
        <v/>
      </c>
    </row>
    <row r="2320" customFormat="false" ht="15" hidden="false" customHeight="false" outlineLevel="0" collapsed="false">
      <c r="A2320" s="55"/>
      <c r="B2320" s="56"/>
      <c r="C2320" s="56"/>
      <c r="D2320" s="56"/>
      <c r="E2320" s="57"/>
      <c r="F2320" s="58"/>
      <c r="G2320" s="59"/>
      <c r="H2320" s="56"/>
      <c r="I2320" s="60" t="str">
        <f aca="false">IF(IsPro,IF($D2320="","",IFERROR(INDEX(Items!$D$5:$D$504,Q2320),"")),IF($D2320="","","PRO PLAN"))</f>
        <v/>
      </c>
      <c r="J2320" s="61" t="str">
        <f aca="false">IF(IsPro,IF($D2320="","",IF($F2320="",IFERROR(INDEX(Items!$G$5:$G$504,Q2320),0),$F2320)),"")</f>
        <v/>
      </c>
      <c r="K2320" s="61" t="str">
        <f aca="false">IF(IsPro,IF($D2320="","",ROUND(N($E2320)*J2320*(1-N($G2320)),2)),"")</f>
        <v/>
      </c>
      <c r="L2320" s="62" t="str">
        <f aca="false">IF(IsPro,IF($D2320="","",IFERROR(INDEX(Items!$F$5:$F$504,Q2320),0)),"")</f>
        <v/>
      </c>
      <c r="M2320" s="61" t="str">
        <f aca="false">IF(IsPro,IF($D2320="","",IF(AND(R2320&lt;&gt;"",INDEX(Parties!$E$5:$E$304,R2320)&lt;&gt;"",INDEX(Parties!$E$5:$E$304,R2320)&lt;&gt;HomeState),0,ROUND(K2320*L2320/2,2))),"")</f>
        <v/>
      </c>
      <c r="N2320" s="61" t="str">
        <f aca="false">IF(IsPro,IF($D2320="","",M2320),"")</f>
        <v/>
      </c>
      <c r="O2320" s="61" t="str">
        <f aca="false">IF(IsPro,IF($D2320="","",IF(AND(R2320&lt;&gt;"",INDEX(Parties!$E$5:$E$304,R2320)&lt;&gt;"",INDEX(Parties!$E$5:$E$304,R2320)&lt;&gt;HomeState),ROUND(K2320*L2320,2),0)),"")</f>
        <v/>
      </c>
      <c r="P2320" s="61" t="str">
        <f aca="false">IF(IsPro,IF($D2320="","",K2320+M2320+N2320+O2320),"")</f>
        <v/>
      </c>
      <c r="Q2320" s="60" t="str">
        <f aca="false">IF(IsPro,IF($D2320="","",IFERROR(MATCH($D2320,Items!$A$5:$A$504,0),"")),"")</f>
        <v/>
      </c>
      <c r="R2320" s="60" t="str">
        <f aca="false">IF(IsPro,IF($C2320="","",IFERROR(MATCH($C2320,Parties!$A$5:$A$304,0),"")),"")</f>
        <v/>
      </c>
      <c r="S2320" s="61" t="str">
        <f aca="false">IF(IsPro,IF($D2320="","",IF(OR($H2320="",$H2320="Credit"),0,P2320)),"")</f>
        <v/>
      </c>
    </row>
    <row r="2321" customFormat="false" ht="15" hidden="false" customHeight="false" outlineLevel="0" collapsed="false">
      <c r="A2321" s="55"/>
      <c r="B2321" s="56"/>
      <c r="C2321" s="56"/>
      <c r="D2321" s="56"/>
      <c r="E2321" s="57"/>
      <c r="F2321" s="58"/>
      <c r="G2321" s="59"/>
      <c r="H2321" s="56"/>
      <c r="I2321" s="60" t="str">
        <f aca="false">IF(IsPro,IF($D2321="","",IFERROR(INDEX(Items!$D$5:$D$504,Q2321),"")),IF($D2321="","","PRO PLAN"))</f>
        <v/>
      </c>
      <c r="J2321" s="61" t="str">
        <f aca="false">IF(IsPro,IF($D2321="","",IF($F2321="",IFERROR(INDEX(Items!$G$5:$G$504,Q2321),0),$F2321)),"")</f>
        <v/>
      </c>
      <c r="K2321" s="61" t="str">
        <f aca="false">IF(IsPro,IF($D2321="","",ROUND(N($E2321)*J2321*(1-N($G2321)),2)),"")</f>
        <v/>
      </c>
      <c r="L2321" s="62" t="str">
        <f aca="false">IF(IsPro,IF($D2321="","",IFERROR(INDEX(Items!$F$5:$F$504,Q2321),0)),"")</f>
        <v/>
      </c>
      <c r="M2321" s="61" t="str">
        <f aca="false">IF(IsPro,IF($D2321="","",IF(AND(R2321&lt;&gt;"",INDEX(Parties!$E$5:$E$304,R2321)&lt;&gt;"",INDEX(Parties!$E$5:$E$304,R2321)&lt;&gt;HomeState),0,ROUND(K2321*L2321/2,2))),"")</f>
        <v/>
      </c>
      <c r="N2321" s="61" t="str">
        <f aca="false">IF(IsPro,IF($D2321="","",M2321),"")</f>
        <v/>
      </c>
      <c r="O2321" s="61" t="str">
        <f aca="false">IF(IsPro,IF($D2321="","",IF(AND(R2321&lt;&gt;"",INDEX(Parties!$E$5:$E$304,R2321)&lt;&gt;"",INDEX(Parties!$E$5:$E$304,R2321)&lt;&gt;HomeState),ROUND(K2321*L2321,2),0)),"")</f>
        <v/>
      </c>
      <c r="P2321" s="61" t="str">
        <f aca="false">IF(IsPro,IF($D2321="","",K2321+M2321+N2321+O2321),"")</f>
        <v/>
      </c>
      <c r="Q2321" s="60" t="str">
        <f aca="false">IF(IsPro,IF($D2321="","",IFERROR(MATCH($D2321,Items!$A$5:$A$504,0),"")),"")</f>
        <v/>
      </c>
      <c r="R2321" s="60" t="str">
        <f aca="false">IF(IsPro,IF($C2321="","",IFERROR(MATCH($C2321,Parties!$A$5:$A$304,0),"")),"")</f>
        <v/>
      </c>
      <c r="S2321" s="61" t="str">
        <f aca="false">IF(IsPro,IF($D2321="","",IF(OR($H2321="",$H2321="Credit"),0,P2321)),"")</f>
        <v/>
      </c>
    </row>
    <row r="2322" customFormat="false" ht="15" hidden="false" customHeight="false" outlineLevel="0" collapsed="false">
      <c r="A2322" s="55"/>
      <c r="B2322" s="56"/>
      <c r="C2322" s="56"/>
      <c r="D2322" s="56"/>
      <c r="E2322" s="57"/>
      <c r="F2322" s="58"/>
      <c r="G2322" s="59"/>
      <c r="H2322" s="56"/>
      <c r="I2322" s="60" t="str">
        <f aca="false">IF(IsPro,IF($D2322="","",IFERROR(INDEX(Items!$D$5:$D$504,Q2322),"")),IF($D2322="","","PRO PLAN"))</f>
        <v/>
      </c>
      <c r="J2322" s="61" t="str">
        <f aca="false">IF(IsPro,IF($D2322="","",IF($F2322="",IFERROR(INDEX(Items!$G$5:$G$504,Q2322),0),$F2322)),"")</f>
        <v/>
      </c>
      <c r="K2322" s="61" t="str">
        <f aca="false">IF(IsPro,IF($D2322="","",ROUND(N($E2322)*J2322*(1-N($G2322)),2)),"")</f>
        <v/>
      </c>
      <c r="L2322" s="62" t="str">
        <f aca="false">IF(IsPro,IF($D2322="","",IFERROR(INDEX(Items!$F$5:$F$504,Q2322),0)),"")</f>
        <v/>
      </c>
      <c r="M2322" s="61" t="str">
        <f aca="false">IF(IsPro,IF($D2322="","",IF(AND(R2322&lt;&gt;"",INDEX(Parties!$E$5:$E$304,R2322)&lt;&gt;"",INDEX(Parties!$E$5:$E$304,R2322)&lt;&gt;HomeState),0,ROUND(K2322*L2322/2,2))),"")</f>
        <v/>
      </c>
      <c r="N2322" s="61" t="str">
        <f aca="false">IF(IsPro,IF($D2322="","",M2322),"")</f>
        <v/>
      </c>
      <c r="O2322" s="61" t="str">
        <f aca="false">IF(IsPro,IF($D2322="","",IF(AND(R2322&lt;&gt;"",INDEX(Parties!$E$5:$E$304,R2322)&lt;&gt;"",INDEX(Parties!$E$5:$E$304,R2322)&lt;&gt;HomeState),ROUND(K2322*L2322,2),0)),"")</f>
        <v/>
      </c>
      <c r="P2322" s="61" t="str">
        <f aca="false">IF(IsPro,IF($D2322="","",K2322+M2322+N2322+O2322),"")</f>
        <v/>
      </c>
      <c r="Q2322" s="60" t="str">
        <f aca="false">IF(IsPro,IF($D2322="","",IFERROR(MATCH($D2322,Items!$A$5:$A$504,0),"")),"")</f>
        <v/>
      </c>
      <c r="R2322" s="60" t="str">
        <f aca="false">IF(IsPro,IF($C2322="","",IFERROR(MATCH($C2322,Parties!$A$5:$A$304,0),"")),"")</f>
        <v/>
      </c>
      <c r="S2322" s="61" t="str">
        <f aca="false">IF(IsPro,IF($D2322="","",IF(OR($H2322="",$H2322="Credit"),0,P2322)),"")</f>
        <v/>
      </c>
    </row>
    <row r="2323" customFormat="false" ht="15" hidden="false" customHeight="false" outlineLevel="0" collapsed="false">
      <c r="A2323" s="55"/>
      <c r="B2323" s="56"/>
      <c r="C2323" s="56"/>
      <c r="D2323" s="56"/>
      <c r="E2323" s="57"/>
      <c r="F2323" s="58"/>
      <c r="G2323" s="59"/>
      <c r="H2323" s="56"/>
      <c r="I2323" s="60" t="str">
        <f aca="false">IF(IsPro,IF($D2323="","",IFERROR(INDEX(Items!$D$5:$D$504,Q2323),"")),IF($D2323="","","PRO PLAN"))</f>
        <v/>
      </c>
      <c r="J2323" s="61" t="str">
        <f aca="false">IF(IsPro,IF($D2323="","",IF($F2323="",IFERROR(INDEX(Items!$G$5:$G$504,Q2323),0),$F2323)),"")</f>
        <v/>
      </c>
      <c r="K2323" s="61" t="str">
        <f aca="false">IF(IsPro,IF($D2323="","",ROUND(N($E2323)*J2323*(1-N($G2323)),2)),"")</f>
        <v/>
      </c>
      <c r="L2323" s="62" t="str">
        <f aca="false">IF(IsPro,IF($D2323="","",IFERROR(INDEX(Items!$F$5:$F$504,Q2323),0)),"")</f>
        <v/>
      </c>
      <c r="M2323" s="61" t="str">
        <f aca="false">IF(IsPro,IF($D2323="","",IF(AND(R2323&lt;&gt;"",INDEX(Parties!$E$5:$E$304,R2323)&lt;&gt;"",INDEX(Parties!$E$5:$E$304,R2323)&lt;&gt;HomeState),0,ROUND(K2323*L2323/2,2))),"")</f>
        <v/>
      </c>
      <c r="N2323" s="61" t="str">
        <f aca="false">IF(IsPro,IF($D2323="","",M2323),"")</f>
        <v/>
      </c>
      <c r="O2323" s="61" t="str">
        <f aca="false">IF(IsPro,IF($D2323="","",IF(AND(R2323&lt;&gt;"",INDEX(Parties!$E$5:$E$304,R2323)&lt;&gt;"",INDEX(Parties!$E$5:$E$304,R2323)&lt;&gt;HomeState),ROUND(K2323*L2323,2),0)),"")</f>
        <v/>
      </c>
      <c r="P2323" s="61" t="str">
        <f aca="false">IF(IsPro,IF($D2323="","",K2323+M2323+N2323+O2323),"")</f>
        <v/>
      </c>
      <c r="Q2323" s="60" t="str">
        <f aca="false">IF(IsPro,IF($D2323="","",IFERROR(MATCH($D2323,Items!$A$5:$A$504,0),"")),"")</f>
        <v/>
      </c>
      <c r="R2323" s="60" t="str">
        <f aca="false">IF(IsPro,IF($C2323="","",IFERROR(MATCH($C2323,Parties!$A$5:$A$304,0),"")),"")</f>
        <v/>
      </c>
      <c r="S2323" s="61" t="str">
        <f aca="false">IF(IsPro,IF($D2323="","",IF(OR($H2323="",$H2323="Credit"),0,P2323)),"")</f>
        <v/>
      </c>
    </row>
    <row r="2324" customFormat="false" ht="15" hidden="false" customHeight="false" outlineLevel="0" collapsed="false">
      <c r="A2324" s="55"/>
      <c r="B2324" s="56"/>
      <c r="C2324" s="56"/>
      <c r="D2324" s="56"/>
      <c r="E2324" s="57"/>
      <c r="F2324" s="58"/>
      <c r="G2324" s="59"/>
      <c r="H2324" s="56"/>
      <c r="I2324" s="60" t="str">
        <f aca="false">IF(IsPro,IF($D2324="","",IFERROR(INDEX(Items!$D$5:$D$504,Q2324),"")),IF($D2324="","","PRO PLAN"))</f>
        <v/>
      </c>
      <c r="J2324" s="61" t="str">
        <f aca="false">IF(IsPro,IF($D2324="","",IF($F2324="",IFERROR(INDEX(Items!$G$5:$G$504,Q2324),0),$F2324)),"")</f>
        <v/>
      </c>
      <c r="K2324" s="61" t="str">
        <f aca="false">IF(IsPro,IF($D2324="","",ROUND(N($E2324)*J2324*(1-N($G2324)),2)),"")</f>
        <v/>
      </c>
      <c r="L2324" s="62" t="str">
        <f aca="false">IF(IsPro,IF($D2324="","",IFERROR(INDEX(Items!$F$5:$F$504,Q2324),0)),"")</f>
        <v/>
      </c>
      <c r="M2324" s="61" t="str">
        <f aca="false">IF(IsPro,IF($D2324="","",IF(AND(R2324&lt;&gt;"",INDEX(Parties!$E$5:$E$304,R2324)&lt;&gt;"",INDEX(Parties!$E$5:$E$304,R2324)&lt;&gt;HomeState),0,ROUND(K2324*L2324/2,2))),"")</f>
        <v/>
      </c>
      <c r="N2324" s="61" t="str">
        <f aca="false">IF(IsPro,IF($D2324="","",M2324),"")</f>
        <v/>
      </c>
      <c r="O2324" s="61" t="str">
        <f aca="false">IF(IsPro,IF($D2324="","",IF(AND(R2324&lt;&gt;"",INDEX(Parties!$E$5:$E$304,R2324)&lt;&gt;"",INDEX(Parties!$E$5:$E$304,R2324)&lt;&gt;HomeState),ROUND(K2324*L2324,2),0)),"")</f>
        <v/>
      </c>
      <c r="P2324" s="61" t="str">
        <f aca="false">IF(IsPro,IF($D2324="","",K2324+M2324+N2324+O2324),"")</f>
        <v/>
      </c>
      <c r="Q2324" s="60" t="str">
        <f aca="false">IF(IsPro,IF($D2324="","",IFERROR(MATCH($D2324,Items!$A$5:$A$504,0),"")),"")</f>
        <v/>
      </c>
      <c r="R2324" s="60" t="str">
        <f aca="false">IF(IsPro,IF($C2324="","",IFERROR(MATCH($C2324,Parties!$A$5:$A$304,0),"")),"")</f>
        <v/>
      </c>
      <c r="S2324" s="61" t="str">
        <f aca="false">IF(IsPro,IF($D2324="","",IF(OR($H2324="",$H2324="Credit"),0,P2324)),"")</f>
        <v/>
      </c>
    </row>
    <row r="2325" customFormat="false" ht="15" hidden="false" customHeight="false" outlineLevel="0" collapsed="false">
      <c r="A2325" s="55"/>
      <c r="B2325" s="56"/>
      <c r="C2325" s="56"/>
      <c r="D2325" s="56"/>
      <c r="E2325" s="57"/>
      <c r="F2325" s="58"/>
      <c r="G2325" s="59"/>
      <c r="H2325" s="56"/>
      <c r="I2325" s="60" t="str">
        <f aca="false">IF(IsPro,IF($D2325="","",IFERROR(INDEX(Items!$D$5:$D$504,Q2325),"")),IF($D2325="","","PRO PLAN"))</f>
        <v/>
      </c>
      <c r="J2325" s="61" t="str">
        <f aca="false">IF(IsPro,IF($D2325="","",IF($F2325="",IFERROR(INDEX(Items!$G$5:$G$504,Q2325),0),$F2325)),"")</f>
        <v/>
      </c>
      <c r="K2325" s="61" t="str">
        <f aca="false">IF(IsPro,IF($D2325="","",ROUND(N($E2325)*J2325*(1-N($G2325)),2)),"")</f>
        <v/>
      </c>
      <c r="L2325" s="62" t="str">
        <f aca="false">IF(IsPro,IF($D2325="","",IFERROR(INDEX(Items!$F$5:$F$504,Q2325),0)),"")</f>
        <v/>
      </c>
      <c r="M2325" s="61" t="str">
        <f aca="false">IF(IsPro,IF($D2325="","",IF(AND(R2325&lt;&gt;"",INDEX(Parties!$E$5:$E$304,R2325)&lt;&gt;"",INDEX(Parties!$E$5:$E$304,R2325)&lt;&gt;HomeState),0,ROUND(K2325*L2325/2,2))),"")</f>
        <v/>
      </c>
      <c r="N2325" s="61" t="str">
        <f aca="false">IF(IsPro,IF($D2325="","",M2325),"")</f>
        <v/>
      </c>
      <c r="O2325" s="61" t="str">
        <f aca="false">IF(IsPro,IF($D2325="","",IF(AND(R2325&lt;&gt;"",INDEX(Parties!$E$5:$E$304,R2325)&lt;&gt;"",INDEX(Parties!$E$5:$E$304,R2325)&lt;&gt;HomeState),ROUND(K2325*L2325,2),0)),"")</f>
        <v/>
      </c>
      <c r="P2325" s="61" t="str">
        <f aca="false">IF(IsPro,IF($D2325="","",K2325+M2325+N2325+O2325),"")</f>
        <v/>
      </c>
      <c r="Q2325" s="60" t="str">
        <f aca="false">IF(IsPro,IF($D2325="","",IFERROR(MATCH($D2325,Items!$A$5:$A$504,0),"")),"")</f>
        <v/>
      </c>
      <c r="R2325" s="60" t="str">
        <f aca="false">IF(IsPro,IF($C2325="","",IFERROR(MATCH($C2325,Parties!$A$5:$A$304,0),"")),"")</f>
        <v/>
      </c>
      <c r="S2325" s="61" t="str">
        <f aca="false">IF(IsPro,IF($D2325="","",IF(OR($H2325="",$H2325="Credit"),0,P2325)),"")</f>
        <v/>
      </c>
    </row>
    <row r="2326" customFormat="false" ht="15" hidden="false" customHeight="false" outlineLevel="0" collapsed="false">
      <c r="A2326" s="55"/>
      <c r="B2326" s="56"/>
      <c r="C2326" s="56"/>
      <c r="D2326" s="56"/>
      <c r="E2326" s="57"/>
      <c r="F2326" s="58"/>
      <c r="G2326" s="59"/>
      <c r="H2326" s="56"/>
      <c r="I2326" s="60" t="str">
        <f aca="false">IF(IsPro,IF($D2326="","",IFERROR(INDEX(Items!$D$5:$D$504,Q2326),"")),IF($D2326="","","PRO PLAN"))</f>
        <v/>
      </c>
      <c r="J2326" s="61" t="str">
        <f aca="false">IF(IsPro,IF($D2326="","",IF($F2326="",IFERROR(INDEX(Items!$G$5:$G$504,Q2326),0),$F2326)),"")</f>
        <v/>
      </c>
      <c r="K2326" s="61" t="str">
        <f aca="false">IF(IsPro,IF($D2326="","",ROUND(N($E2326)*J2326*(1-N($G2326)),2)),"")</f>
        <v/>
      </c>
      <c r="L2326" s="62" t="str">
        <f aca="false">IF(IsPro,IF($D2326="","",IFERROR(INDEX(Items!$F$5:$F$504,Q2326),0)),"")</f>
        <v/>
      </c>
      <c r="M2326" s="61" t="str">
        <f aca="false">IF(IsPro,IF($D2326="","",IF(AND(R2326&lt;&gt;"",INDEX(Parties!$E$5:$E$304,R2326)&lt;&gt;"",INDEX(Parties!$E$5:$E$304,R2326)&lt;&gt;HomeState),0,ROUND(K2326*L2326/2,2))),"")</f>
        <v/>
      </c>
      <c r="N2326" s="61" t="str">
        <f aca="false">IF(IsPro,IF($D2326="","",M2326),"")</f>
        <v/>
      </c>
      <c r="O2326" s="61" t="str">
        <f aca="false">IF(IsPro,IF($D2326="","",IF(AND(R2326&lt;&gt;"",INDEX(Parties!$E$5:$E$304,R2326)&lt;&gt;"",INDEX(Parties!$E$5:$E$304,R2326)&lt;&gt;HomeState),ROUND(K2326*L2326,2),0)),"")</f>
        <v/>
      </c>
      <c r="P2326" s="61" t="str">
        <f aca="false">IF(IsPro,IF($D2326="","",K2326+M2326+N2326+O2326),"")</f>
        <v/>
      </c>
      <c r="Q2326" s="60" t="str">
        <f aca="false">IF(IsPro,IF($D2326="","",IFERROR(MATCH($D2326,Items!$A$5:$A$504,0),"")),"")</f>
        <v/>
      </c>
      <c r="R2326" s="60" t="str">
        <f aca="false">IF(IsPro,IF($C2326="","",IFERROR(MATCH($C2326,Parties!$A$5:$A$304,0),"")),"")</f>
        <v/>
      </c>
      <c r="S2326" s="61" t="str">
        <f aca="false">IF(IsPro,IF($D2326="","",IF(OR($H2326="",$H2326="Credit"),0,P2326)),"")</f>
        <v/>
      </c>
    </row>
    <row r="2327" customFormat="false" ht="15" hidden="false" customHeight="false" outlineLevel="0" collapsed="false">
      <c r="A2327" s="55"/>
      <c r="B2327" s="56"/>
      <c r="C2327" s="56"/>
      <c r="D2327" s="56"/>
      <c r="E2327" s="57"/>
      <c r="F2327" s="58"/>
      <c r="G2327" s="59"/>
      <c r="H2327" s="56"/>
      <c r="I2327" s="60" t="str">
        <f aca="false">IF(IsPro,IF($D2327="","",IFERROR(INDEX(Items!$D$5:$D$504,Q2327),"")),IF($D2327="","","PRO PLAN"))</f>
        <v/>
      </c>
      <c r="J2327" s="61" t="str">
        <f aca="false">IF(IsPro,IF($D2327="","",IF($F2327="",IFERROR(INDEX(Items!$G$5:$G$504,Q2327),0),$F2327)),"")</f>
        <v/>
      </c>
      <c r="K2327" s="61" t="str">
        <f aca="false">IF(IsPro,IF($D2327="","",ROUND(N($E2327)*J2327*(1-N($G2327)),2)),"")</f>
        <v/>
      </c>
      <c r="L2327" s="62" t="str">
        <f aca="false">IF(IsPro,IF($D2327="","",IFERROR(INDEX(Items!$F$5:$F$504,Q2327),0)),"")</f>
        <v/>
      </c>
      <c r="M2327" s="61" t="str">
        <f aca="false">IF(IsPro,IF($D2327="","",IF(AND(R2327&lt;&gt;"",INDEX(Parties!$E$5:$E$304,R2327)&lt;&gt;"",INDEX(Parties!$E$5:$E$304,R2327)&lt;&gt;HomeState),0,ROUND(K2327*L2327/2,2))),"")</f>
        <v/>
      </c>
      <c r="N2327" s="61" t="str">
        <f aca="false">IF(IsPro,IF($D2327="","",M2327),"")</f>
        <v/>
      </c>
      <c r="O2327" s="61" t="str">
        <f aca="false">IF(IsPro,IF($D2327="","",IF(AND(R2327&lt;&gt;"",INDEX(Parties!$E$5:$E$304,R2327)&lt;&gt;"",INDEX(Parties!$E$5:$E$304,R2327)&lt;&gt;HomeState),ROUND(K2327*L2327,2),0)),"")</f>
        <v/>
      </c>
      <c r="P2327" s="61" t="str">
        <f aca="false">IF(IsPro,IF($D2327="","",K2327+M2327+N2327+O2327),"")</f>
        <v/>
      </c>
      <c r="Q2327" s="60" t="str">
        <f aca="false">IF(IsPro,IF($D2327="","",IFERROR(MATCH($D2327,Items!$A$5:$A$504,0),"")),"")</f>
        <v/>
      </c>
      <c r="R2327" s="60" t="str">
        <f aca="false">IF(IsPro,IF($C2327="","",IFERROR(MATCH($C2327,Parties!$A$5:$A$304,0),"")),"")</f>
        <v/>
      </c>
      <c r="S2327" s="61" t="str">
        <f aca="false">IF(IsPro,IF($D2327="","",IF(OR($H2327="",$H2327="Credit"),0,P2327)),"")</f>
        <v/>
      </c>
    </row>
    <row r="2328" customFormat="false" ht="15" hidden="false" customHeight="false" outlineLevel="0" collapsed="false">
      <c r="A2328" s="55"/>
      <c r="B2328" s="56"/>
      <c r="C2328" s="56"/>
      <c r="D2328" s="56"/>
      <c r="E2328" s="57"/>
      <c r="F2328" s="58"/>
      <c r="G2328" s="59"/>
      <c r="H2328" s="56"/>
      <c r="I2328" s="60" t="str">
        <f aca="false">IF(IsPro,IF($D2328="","",IFERROR(INDEX(Items!$D$5:$D$504,Q2328),"")),IF($D2328="","","PRO PLAN"))</f>
        <v/>
      </c>
      <c r="J2328" s="61" t="str">
        <f aca="false">IF(IsPro,IF($D2328="","",IF($F2328="",IFERROR(INDEX(Items!$G$5:$G$504,Q2328),0),$F2328)),"")</f>
        <v/>
      </c>
      <c r="K2328" s="61" t="str">
        <f aca="false">IF(IsPro,IF($D2328="","",ROUND(N($E2328)*J2328*(1-N($G2328)),2)),"")</f>
        <v/>
      </c>
      <c r="L2328" s="62" t="str">
        <f aca="false">IF(IsPro,IF($D2328="","",IFERROR(INDEX(Items!$F$5:$F$504,Q2328),0)),"")</f>
        <v/>
      </c>
      <c r="M2328" s="61" t="str">
        <f aca="false">IF(IsPro,IF($D2328="","",IF(AND(R2328&lt;&gt;"",INDEX(Parties!$E$5:$E$304,R2328)&lt;&gt;"",INDEX(Parties!$E$5:$E$304,R2328)&lt;&gt;HomeState),0,ROUND(K2328*L2328/2,2))),"")</f>
        <v/>
      </c>
      <c r="N2328" s="61" t="str">
        <f aca="false">IF(IsPro,IF($D2328="","",M2328),"")</f>
        <v/>
      </c>
      <c r="O2328" s="61" t="str">
        <f aca="false">IF(IsPro,IF($D2328="","",IF(AND(R2328&lt;&gt;"",INDEX(Parties!$E$5:$E$304,R2328)&lt;&gt;"",INDEX(Parties!$E$5:$E$304,R2328)&lt;&gt;HomeState),ROUND(K2328*L2328,2),0)),"")</f>
        <v/>
      </c>
      <c r="P2328" s="61" t="str">
        <f aca="false">IF(IsPro,IF($D2328="","",K2328+M2328+N2328+O2328),"")</f>
        <v/>
      </c>
      <c r="Q2328" s="60" t="str">
        <f aca="false">IF(IsPro,IF($D2328="","",IFERROR(MATCH($D2328,Items!$A$5:$A$504,0),"")),"")</f>
        <v/>
      </c>
      <c r="R2328" s="60" t="str">
        <f aca="false">IF(IsPro,IF($C2328="","",IFERROR(MATCH($C2328,Parties!$A$5:$A$304,0),"")),"")</f>
        <v/>
      </c>
      <c r="S2328" s="61" t="str">
        <f aca="false">IF(IsPro,IF($D2328="","",IF(OR($H2328="",$H2328="Credit"),0,P2328)),"")</f>
        <v/>
      </c>
    </row>
    <row r="2329" customFormat="false" ht="15" hidden="false" customHeight="false" outlineLevel="0" collapsed="false">
      <c r="A2329" s="55"/>
      <c r="B2329" s="56"/>
      <c r="C2329" s="56"/>
      <c r="D2329" s="56"/>
      <c r="E2329" s="57"/>
      <c r="F2329" s="58"/>
      <c r="G2329" s="59"/>
      <c r="H2329" s="56"/>
      <c r="I2329" s="60" t="str">
        <f aca="false">IF(IsPro,IF($D2329="","",IFERROR(INDEX(Items!$D$5:$D$504,Q2329),"")),IF($D2329="","","PRO PLAN"))</f>
        <v/>
      </c>
      <c r="J2329" s="61" t="str">
        <f aca="false">IF(IsPro,IF($D2329="","",IF($F2329="",IFERROR(INDEX(Items!$G$5:$G$504,Q2329),0),$F2329)),"")</f>
        <v/>
      </c>
      <c r="K2329" s="61" t="str">
        <f aca="false">IF(IsPro,IF($D2329="","",ROUND(N($E2329)*J2329*(1-N($G2329)),2)),"")</f>
        <v/>
      </c>
      <c r="L2329" s="62" t="str">
        <f aca="false">IF(IsPro,IF($D2329="","",IFERROR(INDEX(Items!$F$5:$F$504,Q2329),0)),"")</f>
        <v/>
      </c>
      <c r="M2329" s="61" t="str">
        <f aca="false">IF(IsPro,IF($D2329="","",IF(AND(R2329&lt;&gt;"",INDEX(Parties!$E$5:$E$304,R2329)&lt;&gt;"",INDEX(Parties!$E$5:$E$304,R2329)&lt;&gt;HomeState),0,ROUND(K2329*L2329/2,2))),"")</f>
        <v/>
      </c>
      <c r="N2329" s="61" t="str">
        <f aca="false">IF(IsPro,IF($D2329="","",M2329),"")</f>
        <v/>
      </c>
      <c r="O2329" s="61" t="str">
        <f aca="false">IF(IsPro,IF($D2329="","",IF(AND(R2329&lt;&gt;"",INDEX(Parties!$E$5:$E$304,R2329)&lt;&gt;"",INDEX(Parties!$E$5:$E$304,R2329)&lt;&gt;HomeState),ROUND(K2329*L2329,2),0)),"")</f>
        <v/>
      </c>
      <c r="P2329" s="61" t="str">
        <f aca="false">IF(IsPro,IF($D2329="","",K2329+M2329+N2329+O2329),"")</f>
        <v/>
      </c>
      <c r="Q2329" s="60" t="str">
        <f aca="false">IF(IsPro,IF($D2329="","",IFERROR(MATCH($D2329,Items!$A$5:$A$504,0),"")),"")</f>
        <v/>
      </c>
      <c r="R2329" s="60" t="str">
        <f aca="false">IF(IsPro,IF($C2329="","",IFERROR(MATCH($C2329,Parties!$A$5:$A$304,0),"")),"")</f>
        <v/>
      </c>
      <c r="S2329" s="61" t="str">
        <f aca="false">IF(IsPro,IF($D2329="","",IF(OR($H2329="",$H2329="Credit"),0,P2329)),"")</f>
        <v/>
      </c>
    </row>
    <row r="2330" customFormat="false" ht="15" hidden="false" customHeight="false" outlineLevel="0" collapsed="false">
      <c r="A2330" s="55"/>
      <c r="B2330" s="56"/>
      <c r="C2330" s="56"/>
      <c r="D2330" s="56"/>
      <c r="E2330" s="57"/>
      <c r="F2330" s="58"/>
      <c r="G2330" s="59"/>
      <c r="H2330" s="56"/>
      <c r="I2330" s="60" t="str">
        <f aca="false">IF(IsPro,IF($D2330="","",IFERROR(INDEX(Items!$D$5:$D$504,Q2330),"")),IF($D2330="","","PRO PLAN"))</f>
        <v/>
      </c>
      <c r="J2330" s="61" t="str">
        <f aca="false">IF(IsPro,IF($D2330="","",IF($F2330="",IFERROR(INDEX(Items!$G$5:$G$504,Q2330),0),$F2330)),"")</f>
        <v/>
      </c>
      <c r="K2330" s="61" t="str">
        <f aca="false">IF(IsPro,IF($D2330="","",ROUND(N($E2330)*J2330*(1-N($G2330)),2)),"")</f>
        <v/>
      </c>
      <c r="L2330" s="62" t="str">
        <f aca="false">IF(IsPro,IF($D2330="","",IFERROR(INDEX(Items!$F$5:$F$504,Q2330),0)),"")</f>
        <v/>
      </c>
      <c r="M2330" s="61" t="str">
        <f aca="false">IF(IsPro,IF($D2330="","",IF(AND(R2330&lt;&gt;"",INDEX(Parties!$E$5:$E$304,R2330)&lt;&gt;"",INDEX(Parties!$E$5:$E$304,R2330)&lt;&gt;HomeState),0,ROUND(K2330*L2330/2,2))),"")</f>
        <v/>
      </c>
      <c r="N2330" s="61" t="str">
        <f aca="false">IF(IsPro,IF($D2330="","",M2330),"")</f>
        <v/>
      </c>
      <c r="O2330" s="61" t="str">
        <f aca="false">IF(IsPro,IF($D2330="","",IF(AND(R2330&lt;&gt;"",INDEX(Parties!$E$5:$E$304,R2330)&lt;&gt;"",INDEX(Parties!$E$5:$E$304,R2330)&lt;&gt;HomeState),ROUND(K2330*L2330,2),0)),"")</f>
        <v/>
      </c>
      <c r="P2330" s="61" t="str">
        <f aca="false">IF(IsPro,IF($D2330="","",K2330+M2330+N2330+O2330),"")</f>
        <v/>
      </c>
      <c r="Q2330" s="60" t="str">
        <f aca="false">IF(IsPro,IF($D2330="","",IFERROR(MATCH($D2330,Items!$A$5:$A$504,0),"")),"")</f>
        <v/>
      </c>
      <c r="R2330" s="60" t="str">
        <f aca="false">IF(IsPro,IF($C2330="","",IFERROR(MATCH($C2330,Parties!$A$5:$A$304,0),"")),"")</f>
        <v/>
      </c>
      <c r="S2330" s="61" t="str">
        <f aca="false">IF(IsPro,IF($D2330="","",IF(OR($H2330="",$H2330="Credit"),0,P2330)),"")</f>
        <v/>
      </c>
    </row>
    <row r="2331" customFormat="false" ht="15" hidden="false" customHeight="false" outlineLevel="0" collapsed="false">
      <c r="A2331" s="55"/>
      <c r="B2331" s="56"/>
      <c r="C2331" s="56"/>
      <c r="D2331" s="56"/>
      <c r="E2331" s="57"/>
      <c r="F2331" s="58"/>
      <c r="G2331" s="59"/>
      <c r="H2331" s="56"/>
      <c r="I2331" s="60" t="str">
        <f aca="false">IF(IsPro,IF($D2331="","",IFERROR(INDEX(Items!$D$5:$D$504,Q2331),"")),IF($D2331="","","PRO PLAN"))</f>
        <v/>
      </c>
      <c r="J2331" s="61" t="str">
        <f aca="false">IF(IsPro,IF($D2331="","",IF($F2331="",IFERROR(INDEX(Items!$G$5:$G$504,Q2331),0),$F2331)),"")</f>
        <v/>
      </c>
      <c r="K2331" s="61" t="str">
        <f aca="false">IF(IsPro,IF($D2331="","",ROUND(N($E2331)*J2331*(1-N($G2331)),2)),"")</f>
        <v/>
      </c>
      <c r="L2331" s="62" t="str">
        <f aca="false">IF(IsPro,IF($D2331="","",IFERROR(INDEX(Items!$F$5:$F$504,Q2331),0)),"")</f>
        <v/>
      </c>
      <c r="M2331" s="61" t="str">
        <f aca="false">IF(IsPro,IF($D2331="","",IF(AND(R2331&lt;&gt;"",INDEX(Parties!$E$5:$E$304,R2331)&lt;&gt;"",INDEX(Parties!$E$5:$E$304,R2331)&lt;&gt;HomeState),0,ROUND(K2331*L2331/2,2))),"")</f>
        <v/>
      </c>
      <c r="N2331" s="61" t="str">
        <f aca="false">IF(IsPro,IF($D2331="","",M2331),"")</f>
        <v/>
      </c>
      <c r="O2331" s="61" t="str">
        <f aca="false">IF(IsPro,IF($D2331="","",IF(AND(R2331&lt;&gt;"",INDEX(Parties!$E$5:$E$304,R2331)&lt;&gt;"",INDEX(Parties!$E$5:$E$304,R2331)&lt;&gt;HomeState),ROUND(K2331*L2331,2),0)),"")</f>
        <v/>
      </c>
      <c r="P2331" s="61" t="str">
        <f aca="false">IF(IsPro,IF($D2331="","",K2331+M2331+N2331+O2331),"")</f>
        <v/>
      </c>
      <c r="Q2331" s="60" t="str">
        <f aca="false">IF(IsPro,IF($D2331="","",IFERROR(MATCH($D2331,Items!$A$5:$A$504,0),"")),"")</f>
        <v/>
      </c>
      <c r="R2331" s="60" t="str">
        <f aca="false">IF(IsPro,IF($C2331="","",IFERROR(MATCH($C2331,Parties!$A$5:$A$304,0),"")),"")</f>
        <v/>
      </c>
      <c r="S2331" s="61" t="str">
        <f aca="false">IF(IsPro,IF($D2331="","",IF(OR($H2331="",$H2331="Credit"),0,P2331)),"")</f>
        <v/>
      </c>
    </row>
    <row r="2332" customFormat="false" ht="15" hidden="false" customHeight="false" outlineLevel="0" collapsed="false">
      <c r="A2332" s="55"/>
      <c r="B2332" s="56"/>
      <c r="C2332" s="56"/>
      <c r="D2332" s="56"/>
      <c r="E2332" s="57"/>
      <c r="F2332" s="58"/>
      <c r="G2332" s="59"/>
      <c r="H2332" s="56"/>
      <c r="I2332" s="60" t="str">
        <f aca="false">IF(IsPro,IF($D2332="","",IFERROR(INDEX(Items!$D$5:$D$504,Q2332),"")),IF($D2332="","","PRO PLAN"))</f>
        <v/>
      </c>
      <c r="J2332" s="61" t="str">
        <f aca="false">IF(IsPro,IF($D2332="","",IF($F2332="",IFERROR(INDEX(Items!$G$5:$G$504,Q2332),0),$F2332)),"")</f>
        <v/>
      </c>
      <c r="K2332" s="61" t="str">
        <f aca="false">IF(IsPro,IF($D2332="","",ROUND(N($E2332)*J2332*(1-N($G2332)),2)),"")</f>
        <v/>
      </c>
      <c r="L2332" s="62" t="str">
        <f aca="false">IF(IsPro,IF($D2332="","",IFERROR(INDEX(Items!$F$5:$F$504,Q2332),0)),"")</f>
        <v/>
      </c>
      <c r="M2332" s="61" t="str">
        <f aca="false">IF(IsPro,IF($D2332="","",IF(AND(R2332&lt;&gt;"",INDEX(Parties!$E$5:$E$304,R2332)&lt;&gt;"",INDEX(Parties!$E$5:$E$304,R2332)&lt;&gt;HomeState),0,ROUND(K2332*L2332/2,2))),"")</f>
        <v/>
      </c>
      <c r="N2332" s="61" t="str">
        <f aca="false">IF(IsPro,IF($D2332="","",M2332),"")</f>
        <v/>
      </c>
      <c r="O2332" s="61" t="str">
        <f aca="false">IF(IsPro,IF($D2332="","",IF(AND(R2332&lt;&gt;"",INDEX(Parties!$E$5:$E$304,R2332)&lt;&gt;"",INDEX(Parties!$E$5:$E$304,R2332)&lt;&gt;HomeState),ROUND(K2332*L2332,2),0)),"")</f>
        <v/>
      </c>
      <c r="P2332" s="61" t="str">
        <f aca="false">IF(IsPro,IF($D2332="","",K2332+M2332+N2332+O2332),"")</f>
        <v/>
      </c>
      <c r="Q2332" s="60" t="str">
        <f aca="false">IF(IsPro,IF($D2332="","",IFERROR(MATCH($D2332,Items!$A$5:$A$504,0),"")),"")</f>
        <v/>
      </c>
      <c r="R2332" s="60" t="str">
        <f aca="false">IF(IsPro,IF($C2332="","",IFERROR(MATCH($C2332,Parties!$A$5:$A$304,0),"")),"")</f>
        <v/>
      </c>
      <c r="S2332" s="61" t="str">
        <f aca="false">IF(IsPro,IF($D2332="","",IF(OR($H2332="",$H2332="Credit"),0,P2332)),"")</f>
        <v/>
      </c>
    </row>
    <row r="2333" customFormat="false" ht="15" hidden="false" customHeight="false" outlineLevel="0" collapsed="false">
      <c r="A2333" s="55"/>
      <c r="B2333" s="56"/>
      <c r="C2333" s="56"/>
      <c r="D2333" s="56"/>
      <c r="E2333" s="57"/>
      <c r="F2333" s="58"/>
      <c r="G2333" s="59"/>
      <c r="H2333" s="56"/>
      <c r="I2333" s="60" t="str">
        <f aca="false">IF(IsPro,IF($D2333="","",IFERROR(INDEX(Items!$D$5:$D$504,Q2333),"")),IF($D2333="","","PRO PLAN"))</f>
        <v/>
      </c>
      <c r="J2333" s="61" t="str">
        <f aca="false">IF(IsPro,IF($D2333="","",IF($F2333="",IFERROR(INDEX(Items!$G$5:$G$504,Q2333),0),$F2333)),"")</f>
        <v/>
      </c>
      <c r="K2333" s="61" t="str">
        <f aca="false">IF(IsPro,IF($D2333="","",ROUND(N($E2333)*J2333*(1-N($G2333)),2)),"")</f>
        <v/>
      </c>
      <c r="L2333" s="62" t="str">
        <f aca="false">IF(IsPro,IF($D2333="","",IFERROR(INDEX(Items!$F$5:$F$504,Q2333),0)),"")</f>
        <v/>
      </c>
      <c r="M2333" s="61" t="str">
        <f aca="false">IF(IsPro,IF($D2333="","",IF(AND(R2333&lt;&gt;"",INDEX(Parties!$E$5:$E$304,R2333)&lt;&gt;"",INDEX(Parties!$E$5:$E$304,R2333)&lt;&gt;HomeState),0,ROUND(K2333*L2333/2,2))),"")</f>
        <v/>
      </c>
      <c r="N2333" s="61" t="str">
        <f aca="false">IF(IsPro,IF($D2333="","",M2333),"")</f>
        <v/>
      </c>
      <c r="O2333" s="61" t="str">
        <f aca="false">IF(IsPro,IF($D2333="","",IF(AND(R2333&lt;&gt;"",INDEX(Parties!$E$5:$E$304,R2333)&lt;&gt;"",INDEX(Parties!$E$5:$E$304,R2333)&lt;&gt;HomeState),ROUND(K2333*L2333,2),0)),"")</f>
        <v/>
      </c>
      <c r="P2333" s="61" t="str">
        <f aca="false">IF(IsPro,IF($D2333="","",K2333+M2333+N2333+O2333),"")</f>
        <v/>
      </c>
      <c r="Q2333" s="60" t="str">
        <f aca="false">IF(IsPro,IF($D2333="","",IFERROR(MATCH($D2333,Items!$A$5:$A$504,0),"")),"")</f>
        <v/>
      </c>
      <c r="R2333" s="60" t="str">
        <f aca="false">IF(IsPro,IF($C2333="","",IFERROR(MATCH($C2333,Parties!$A$5:$A$304,0),"")),"")</f>
        <v/>
      </c>
      <c r="S2333" s="61" t="str">
        <f aca="false">IF(IsPro,IF($D2333="","",IF(OR($H2333="",$H2333="Credit"),0,P2333)),"")</f>
        <v/>
      </c>
    </row>
    <row r="2334" customFormat="false" ht="15" hidden="false" customHeight="false" outlineLevel="0" collapsed="false">
      <c r="A2334" s="55"/>
      <c r="B2334" s="56"/>
      <c r="C2334" s="56"/>
      <c r="D2334" s="56"/>
      <c r="E2334" s="57"/>
      <c r="F2334" s="58"/>
      <c r="G2334" s="59"/>
      <c r="H2334" s="56"/>
      <c r="I2334" s="60" t="str">
        <f aca="false">IF(IsPro,IF($D2334="","",IFERROR(INDEX(Items!$D$5:$D$504,Q2334),"")),IF($D2334="","","PRO PLAN"))</f>
        <v/>
      </c>
      <c r="J2334" s="61" t="str">
        <f aca="false">IF(IsPro,IF($D2334="","",IF($F2334="",IFERROR(INDEX(Items!$G$5:$G$504,Q2334),0),$F2334)),"")</f>
        <v/>
      </c>
      <c r="K2334" s="61" t="str">
        <f aca="false">IF(IsPro,IF($D2334="","",ROUND(N($E2334)*J2334*(1-N($G2334)),2)),"")</f>
        <v/>
      </c>
      <c r="L2334" s="62" t="str">
        <f aca="false">IF(IsPro,IF($D2334="","",IFERROR(INDEX(Items!$F$5:$F$504,Q2334),0)),"")</f>
        <v/>
      </c>
      <c r="M2334" s="61" t="str">
        <f aca="false">IF(IsPro,IF($D2334="","",IF(AND(R2334&lt;&gt;"",INDEX(Parties!$E$5:$E$304,R2334)&lt;&gt;"",INDEX(Parties!$E$5:$E$304,R2334)&lt;&gt;HomeState),0,ROUND(K2334*L2334/2,2))),"")</f>
        <v/>
      </c>
      <c r="N2334" s="61" t="str">
        <f aca="false">IF(IsPro,IF($D2334="","",M2334),"")</f>
        <v/>
      </c>
      <c r="O2334" s="61" t="str">
        <f aca="false">IF(IsPro,IF($D2334="","",IF(AND(R2334&lt;&gt;"",INDEX(Parties!$E$5:$E$304,R2334)&lt;&gt;"",INDEX(Parties!$E$5:$E$304,R2334)&lt;&gt;HomeState),ROUND(K2334*L2334,2),0)),"")</f>
        <v/>
      </c>
      <c r="P2334" s="61" t="str">
        <f aca="false">IF(IsPro,IF($D2334="","",K2334+M2334+N2334+O2334),"")</f>
        <v/>
      </c>
      <c r="Q2334" s="60" t="str">
        <f aca="false">IF(IsPro,IF($D2334="","",IFERROR(MATCH($D2334,Items!$A$5:$A$504,0),"")),"")</f>
        <v/>
      </c>
      <c r="R2334" s="60" t="str">
        <f aca="false">IF(IsPro,IF($C2334="","",IFERROR(MATCH($C2334,Parties!$A$5:$A$304,0),"")),"")</f>
        <v/>
      </c>
      <c r="S2334" s="61" t="str">
        <f aca="false">IF(IsPro,IF($D2334="","",IF(OR($H2334="",$H2334="Credit"),0,P2334)),"")</f>
        <v/>
      </c>
    </row>
    <row r="2335" customFormat="false" ht="15" hidden="false" customHeight="false" outlineLevel="0" collapsed="false">
      <c r="A2335" s="55"/>
      <c r="B2335" s="56"/>
      <c r="C2335" s="56"/>
      <c r="D2335" s="56"/>
      <c r="E2335" s="57"/>
      <c r="F2335" s="58"/>
      <c r="G2335" s="59"/>
      <c r="H2335" s="56"/>
      <c r="I2335" s="60" t="str">
        <f aca="false">IF(IsPro,IF($D2335="","",IFERROR(INDEX(Items!$D$5:$D$504,Q2335),"")),IF($D2335="","","PRO PLAN"))</f>
        <v/>
      </c>
      <c r="J2335" s="61" t="str">
        <f aca="false">IF(IsPro,IF($D2335="","",IF($F2335="",IFERROR(INDEX(Items!$G$5:$G$504,Q2335),0),$F2335)),"")</f>
        <v/>
      </c>
      <c r="K2335" s="61" t="str">
        <f aca="false">IF(IsPro,IF($D2335="","",ROUND(N($E2335)*J2335*(1-N($G2335)),2)),"")</f>
        <v/>
      </c>
      <c r="L2335" s="62" t="str">
        <f aca="false">IF(IsPro,IF($D2335="","",IFERROR(INDEX(Items!$F$5:$F$504,Q2335),0)),"")</f>
        <v/>
      </c>
      <c r="M2335" s="61" t="str">
        <f aca="false">IF(IsPro,IF($D2335="","",IF(AND(R2335&lt;&gt;"",INDEX(Parties!$E$5:$E$304,R2335)&lt;&gt;"",INDEX(Parties!$E$5:$E$304,R2335)&lt;&gt;HomeState),0,ROUND(K2335*L2335/2,2))),"")</f>
        <v/>
      </c>
      <c r="N2335" s="61" t="str">
        <f aca="false">IF(IsPro,IF($D2335="","",M2335),"")</f>
        <v/>
      </c>
      <c r="O2335" s="61" t="str">
        <f aca="false">IF(IsPro,IF($D2335="","",IF(AND(R2335&lt;&gt;"",INDEX(Parties!$E$5:$E$304,R2335)&lt;&gt;"",INDEX(Parties!$E$5:$E$304,R2335)&lt;&gt;HomeState),ROUND(K2335*L2335,2),0)),"")</f>
        <v/>
      </c>
      <c r="P2335" s="61" t="str">
        <f aca="false">IF(IsPro,IF($D2335="","",K2335+M2335+N2335+O2335),"")</f>
        <v/>
      </c>
      <c r="Q2335" s="60" t="str">
        <f aca="false">IF(IsPro,IF($D2335="","",IFERROR(MATCH($D2335,Items!$A$5:$A$504,0),"")),"")</f>
        <v/>
      </c>
      <c r="R2335" s="60" t="str">
        <f aca="false">IF(IsPro,IF($C2335="","",IFERROR(MATCH($C2335,Parties!$A$5:$A$304,0),"")),"")</f>
        <v/>
      </c>
      <c r="S2335" s="61" t="str">
        <f aca="false">IF(IsPro,IF($D2335="","",IF(OR($H2335="",$H2335="Credit"),0,P2335)),"")</f>
        <v/>
      </c>
    </row>
    <row r="2336" customFormat="false" ht="15" hidden="false" customHeight="false" outlineLevel="0" collapsed="false">
      <c r="A2336" s="55"/>
      <c r="B2336" s="56"/>
      <c r="C2336" s="56"/>
      <c r="D2336" s="56"/>
      <c r="E2336" s="57"/>
      <c r="F2336" s="58"/>
      <c r="G2336" s="59"/>
      <c r="H2336" s="56"/>
      <c r="I2336" s="60" t="str">
        <f aca="false">IF(IsPro,IF($D2336="","",IFERROR(INDEX(Items!$D$5:$D$504,Q2336),"")),IF($D2336="","","PRO PLAN"))</f>
        <v/>
      </c>
      <c r="J2336" s="61" t="str">
        <f aca="false">IF(IsPro,IF($D2336="","",IF($F2336="",IFERROR(INDEX(Items!$G$5:$G$504,Q2336),0),$F2336)),"")</f>
        <v/>
      </c>
      <c r="K2336" s="61" t="str">
        <f aca="false">IF(IsPro,IF($D2336="","",ROUND(N($E2336)*J2336*(1-N($G2336)),2)),"")</f>
        <v/>
      </c>
      <c r="L2336" s="62" t="str">
        <f aca="false">IF(IsPro,IF($D2336="","",IFERROR(INDEX(Items!$F$5:$F$504,Q2336),0)),"")</f>
        <v/>
      </c>
      <c r="M2336" s="61" t="str">
        <f aca="false">IF(IsPro,IF($D2336="","",IF(AND(R2336&lt;&gt;"",INDEX(Parties!$E$5:$E$304,R2336)&lt;&gt;"",INDEX(Parties!$E$5:$E$304,R2336)&lt;&gt;HomeState),0,ROUND(K2336*L2336/2,2))),"")</f>
        <v/>
      </c>
      <c r="N2336" s="61" t="str">
        <f aca="false">IF(IsPro,IF($D2336="","",M2336),"")</f>
        <v/>
      </c>
      <c r="O2336" s="61" t="str">
        <f aca="false">IF(IsPro,IF($D2336="","",IF(AND(R2336&lt;&gt;"",INDEX(Parties!$E$5:$E$304,R2336)&lt;&gt;"",INDEX(Parties!$E$5:$E$304,R2336)&lt;&gt;HomeState),ROUND(K2336*L2336,2),0)),"")</f>
        <v/>
      </c>
      <c r="P2336" s="61" t="str">
        <f aca="false">IF(IsPro,IF($D2336="","",K2336+M2336+N2336+O2336),"")</f>
        <v/>
      </c>
      <c r="Q2336" s="60" t="str">
        <f aca="false">IF(IsPro,IF($D2336="","",IFERROR(MATCH($D2336,Items!$A$5:$A$504,0),"")),"")</f>
        <v/>
      </c>
      <c r="R2336" s="60" t="str">
        <f aca="false">IF(IsPro,IF($C2336="","",IFERROR(MATCH($C2336,Parties!$A$5:$A$304,0),"")),"")</f>
        <v/>
      </c>
      <c r="S2336" s="61" t="str">
        <f aca="false">IF(IsPro,IF($D2336="","",IF(OR($H2336="",$H2336="Credit"),0,P2336)),"")</f>
        <v/>
      </c>
    </row>
    <row r="2337" customFormat="false" ht="15" hidden="false" customHeight="false" outlineLevel="0" collapsed="false">
      <c r="A2337" s="55"/>
      <c r="B2337" s="56"/>
      <c r="C2337" s="56"/>
      <c r="D2337" s="56"/>
      <c r="E2337" s="57"/>
      <c r="F2337" s="58"/>
      <c r="G2337" s="59"/>
      <c r="H2337" s="56"/>
      <c r="I2337" s="60" t="str">
        <f aca="false">IF(IsPro,IF($D2337="","",IFERROR(INDEX(Items!$D$5:$D$504,Q2337),"")),IF($D2337="","","PRO PLAN"))</f>
        <v/>
      </c>
      <c r="J2337" s="61" t="str">
        <f aca="false">IF(IsPro,IF($D2337="","",IF($F2337="",IFERROR(INDEX(Items!$G$5:$G$504,Q2337),0),$F2337)),"")</f>
        <v/>
      </c>
      <c r="K2337" s="61" t="str">
        <f aca="false">IF(IsPro,IF($D2337="","",ROUND(N($E2337)*J2337*(1-N($G2337)),2)),"")</f>
        <v/>
      </c>
      <c r="L2337" s="62" t="str">
        <f aca="false">IF(IsPro,IF($D2337="","",IFERROR(INDEX(Items!$F$5:$F$504,Q2337),0)),"")</f>
        <v/>
      </c>
      <c r="M2337" s="61" t="str">
        <f aca="false">IF(IsPro,IF($D2337="","",IF(AND(R2337&lt;&gt;"",INDEX(Parties!$E$5:$E$304,R2337)&lt;&gt;"",INDEX(Parties!$E$5:$E$304,R2337)&lt;&gt;HomeState),0,ROUND(K2337*L2337/2,2))),"")</f>
        <v/>
      </c>
      <c r="N2337" s="61" t="str">
        <f aca="false">IF(IsPro,IF($D2337="","",M2337),"")</f>
        <v/>
      </c>
      <c r="O2337" s="61" t="str">
        <f aca="false">IF(IsPro,IF($D2337="","",IF(AND(R2337&lt;&gt;"",INDEX(Parties!$E$5:$E$304,R2337)&lt;&gt;"",INDEX(Parties!$E$5:$E$304,R2337)&lt;&gt;HomeState),ROUND(K2337*L2337,2),0)),"")</f>
        <v/>
      </c>
      <c r="P2337" s="61" t="str">
        <f aca="false">IF(IsPro,IF($D2337="","",K2337+M2337+N2337+O2337),"")</f>
        <v/>
      </c>
      <c r="Q2337" s="60" t="str">
        <f aca="false">IF(IsPro,IF($D2337="","",IFERROR(MATCH($D2337,Items!$A$5:$A$504,0),"")),"")</f>
        <v/>
      </c>
      <c r="R2337" s="60" t="str">
        <f aca="false">IF(IsPro,IF($C2337="","",IFERROR(MATCH($C2337,Parties!$A$5:$A$304,0),"")),"")</f>
        <v/>
      </c>
      <c r="S2337" s="61" t="str">
        <f aca="false">IF(IsPro,IF($D2337="","",IF(OR($H2337="",$H2337="Credit"),0,P2337)),"")</f>
        <v/>
      </c>
    </row>
    <row r="2338" customFormat="false" ht="15" hidden="false" customHeight="false" outlineLevel="0" collapsed="false">
      <c r="A2338" s="55"/>
      <c r="B2338" s="56"/>
      <c r="C2338" s="56"/>
      <c r="D2338" s="56"/>
      <c r="E2338" s="57"/>
      <c r="F2338" s="58"/>
      <c r="G2338" s="59"/>
      <c r="H2338" s="56"/>
      <c r="I2338" s="60" t="str">
        <f aca="false">IF(IsPro,IF($D2338="","",IFERROR(INDEX(Items!$D$5:$D$504,Q2338),"")),IF($D2338="","","PRO PLAN"))</f>
        <v/>
      </c>
      <c r="J2338" s="61" t="str">
        <f aca="false">IF(IsPro,IF($D2338="","",IF($F2338="",IFERROR(INDEX(Items!$G$5:$G$504,Q2338),0),$F2338)),"")</f>
        <v/>
      </c>
      <c r="K2338" s="61" t="str">
        <f aca="false">IF(IsPro,IF($D2338="","",ROUND(N($E2338)*J2338*(1-N($G2338)),2)),"")</f>
        <v/>
      </c>
      <c r="L2338" s="62" t="str">
        <f aca="false">IF(IsPro,IF($D2338="","",IFERROR(INDEX(Items!$F$5:$F$504,Q2338),0)),"")</f>
        <v/>
      </c>
      <c r="M2338" s="61" t="str">
        <f aca="false">IF(IsPro,IF($D2338="","",IF(AND(R2338&lt;&gt;"",INDEX(Parties!$E$5:$E$304,R2338)&lt;&gt;"",INDEX(Parties!$E$5:$E$304,R2338)&lt;&gt;HomeState),0,ROUND(K2338*L2338/2,2))),"")</f>
        <v/>
      </c>
      <c r="N2338" s="61" t="str">
        <f aca="false">IF(IsPro,IF($D2338="","",M2338),"")</f>
        <v/>
      </c>
      <c r="O2338" s="61" t="str">
        <f aca="false">IF(IsPro,IF($D2338="","",IF(AND(R2338&lt;&gt;"",INDEX(Parties!$E$5:$E$304,R2338)&lt;&gt;"",INDEX(Parties!$E$5:$E$304,R2338)&lt;&gt;HomeState),ROUND(K2338*L2338,2),0)),"")</f>
        <v/>
      </c>
      <c r="P2338" s="61" t="str">
        <f aca="false">IF(IsPro,IF($D2338="","",K2338+M2338+N2338+O2338),"")</f>
        <v/>
      </c>
      <c r="Q2338" s="60" t="str">
        <f aca="false">IF(IsPro,IF($D2338="","",IFERROR(MATCH($D2338,Items!$A$5:$A$504,0),"")),"")</f>
        <v/>
      </c>
      <c r="R2338" s="60" t="str">
        <f aca="false">IF(IsPro,IF($C2338="","",IFERROR(MATCH($C2338,Parties!$A$5:$A$304,0),"")),"")</f>
        <v/>
      </c>
      <c r="S2338" s="61" t="str">
        <f aca="false">IF(IsPro,IF($D2338="","",IF(OR($H2338="",$H2338="Credit"),0,P2338)),"")</f>
        <v/>
      </c>
    </row>
    <row r="2339" customFormat="false" ht="15" hidden="false" customHeight="false" outlineLevel="0" collapsed="false">
      <c r="A2339" s="55"/>
      <c r="B2339" s="56"/>
      <c r="C2339" s="56"/>
      <c r="D2339" s="56"/>
      <c r="E2339" s="57"/>
      <c r="F2339" s="58"/>
      <c r="G2339" s="59"/>
      <c r="H2339" s="56"/>
      <c r="I2339" s="60" t="str">
        <f aca="false">IF(IsPro,IF($D2339="","",IFERROR(INDEX(Items!$D$5:$D$504,Q2339),"")),IF($D2339="","","PRO PLAN"))</f>
        <v/>
      </c>
      <c r="J2339" s="61" t="str">
        <f aca="false">IF(IsPro,IF($D2339="","",IF($F2339="",IFERROR(INDEX(Items!$G$5:$G$504,Q2339),0),$F2339)),"")</f>
        <v/>
      </c>
      <c r="K2339" s="61" t="str">
        <f aca="false">IF(IsPro,IF($D2339="","",ROUND(N($E2339)*J2339*(1-N($G2339)),2)),"")</f>
        <v/>
      </c>
      <c r="L2339" s="62" t="str">
        <f aca="false">IF(IsPro,IF($D2339="","",IFERROR(INDEX(Items!$F$5:$F$504,Q2339),0)),"")</f>
        <v/>
      </c>
      <c r="M2339" s="61" t="str">
        <f aca="false">IF(IsPro,IF($D2339="","",IF(AND(R2339&lt;&gt;"",INDEX(Parties!$E$5:$E$304,R2339)&lt;&gt;"",INDEX(Parties!$E$5:$E$304,R2339)&lt;&gt;HomeState),0,ROUND(K2339*L2339/2,2))),"")</f>
        <v/>
      </c>
      <c r="N2339" s="61" t="str">
        <f aca="false">IF(IsPro,IF($D2339="","",M2339),"")</f>
        <v/>
      </c>
      <c r="O2339" s="61" t="str">
        <f aca="false">IF(IsPro,IF($D2339="","",IF(AND(R2339&lt;&gt;"",INDEX(Parties!$E$5:$E$304,R2339)&lt;&gt;"",INDEX(Parties!$E$5:$E$304,R2339)&lt;&gt;HomeState),ROUND(K2339*L2339,2),0)),"")</f>
        <v/>
      </c>
      <c r="P2339" s="61" t="str">
        <f aca="false">IF(IsPro,IF($D2339="","",K2339+M2339+N2339+O2339),"")</f>
        <v/>
      </c>
      <c r="Q2339" s="60" t="str">
        <f aca="false">IF(IsPro,IF($D2339="","",IFERROR(MATCH($D2339,Items!$A$5:$A$504,0),"")),"")</f>
        <v/>
      </c>
      <c r="R2339" s="60" t="str">
        <f aca="false">IF(IsPro,IF($C2339="","",IFERROR(MATCH($C2339,Parties!$A$5:$A$304,0),"")),"")</f>
        <v/>
      </c>
      <c r="S2339" s="61" t="str">
        <f aca="false">IF(IsPro,IF($D2339="","",IF(OR($H2339="",$H2339="Credit"),0,P2339)),"")</f>
        <v/>
      </c>
    </row>
    <row r="2340" customFormat="false" ht="15" hidden="false" customHeight="false" outlineLevel="0" collapsed="false">
      <c r="A2340" s="55"/>
      <c r="B2340" s="56"/>
      <c r="C2340" s="56"/>
      <c r="D2340" s="56"/>
      <c r="E2340" s="57"/>
      <c r="F2340" s="58"/>
      <c r="G2340" s="59"/>
      <c r="H2340" s="56"/>
      <c r="I2340" s="60" t="str">
        <f aca="false">IF(IsPro,IF($D2340="","",IFERROR(INDEX(Items!$D$5:$D$504,Q2340),"")),IF($D2340="","","PRO PLAN"))</f>
        <v/>
      </c>
      <c r="J2340" s="61" t="str">
        <f aca="false">IF(IsPro,IF($D2340="","",IF($F2340="",IFERROR(INDEX(Items!$G$5:$G$504,Q2340),0),$F2340)),"")</f>
        <v/>
      </c>
      <c r="K2340" s="61" t="str">
        <f aca="false">IF(IsPro,IF($D2340="","",ROUND(N($E2340)*J2340*(1-N($G2340)),2)),"")</f>
        <v/>
      </c>
      <c r="L2340" s="62" t="str">
        <f aca="false">IF(IsPro,IF($D2340="","",IFERROR(INDEX(Items!$F$5:$F$504,Q2340),0)),"")</f>
        <v/>
      </c>
      <c r="M2340" s="61" t="str">
        <f aca="false">IF(IsPro,IF($D2340="","",IF(AND(R2340&lt;&gt;"",INDEX(Parties!$E$5:$E$304,R2340)&lt;&gt;"",INDEX(Parties!$E$5:$E$304,R2340)&lt;&gt;HomeState),0,ROUND(K2340*L2340/2,2))),"")</f>
        <v/>
      </c>
      <c r="N2340" s="61" t="str">
        <f aca="false">IF(IsPro,IF($D2340="","",M2340),"")</f>
        <v/>
      </c>
      <c r="O2340" s="61" t="str">
        <f aca="false">IF(IsPro,IF($D2340="","",IF(AND(R2340&lt;&gt;"",INDEX(Parties!$E$5:$E$304,R2340)&lt;&gt;"",INDEX(Parties!$E$5:$E$304,R2340)&lt;&gt;HomeState),ROUND(K2340*L2340,2),0)),"")</f>
        <v/>
      </c>
      <c r="P2340" s="61" t="str">
        <f aca="false">IF(IsPro,IF($D2340="","",K2340+M2340+N2340+O2340),"")</f>
        <v/>
      </c>
      <c r="Q2340" s="60" t="str">
        <f aca="false">IF(IsPro,IF($D2340="","",IFERROR(MATCH($D2340,Items!$A$5:$A$504,0),"")),"")</f>
        <v/>
      </c>
      <c r="R2340" s="60" t="str">
        <f aca="false">IF(IsPro,IF($C2340="","",IFERROR(MATCH($C2340,Parties!$A$5:$A$304,0),"")),"")</f>
        <v/>
      </c>
      <c r="S2340" s="61" t="str">
        <f aca="false">IF(IsPro,IF($D2340="","",IF(OR($H2340="",$H2340="Credit"),0,P2340)),"")</f>
        <v/>
      </c>
    </row>
    <row r="2341" customFormat="false" ht="15" hidden="false" customHeight="false" outlineLevel="0" collapsed="false">
      <c r="A2341" s="55"/>
      <c r="B2341" s="56"/>
      <c r="C2341" s="56"/>
      <c r="D2341" s="56"/>
      <c r="E2341" s="57"/>
      <c r="F2341" s="58"/>
      <c r="G2341" s="59"/>
      <c r="H2341" s="56"/>
      <c r="I2341" s="60" t="str">
        <f aca="false">IF(IsPro,IF($D2341="","",IFERROR(INDEX(Items!$D$5:$D$504,Q2341),"")),IF($D2341="","","PRO PLAN"))</f>
        <v/>
      </c>
      <c r="J2341" s="61" t="str">
        <f aca="false">IF(IsPro,IF($D2341="","",IF($F2341="",IFERROR(INDEX(Items!$G$5:$G$504,Q2341),0),$F2341)),"")</f>
        <v/>
      </c>
      <c r="K2341" s="61" t="str">
        <f aca="false">IF(IsPro,IF($D2341="","",ROUND(N($E2341)*J2341*(1-N($G2341)),2)),"")</f>
        <v/>
      </c>
      <c r="L2341" s="62" t="str">
        <f aca="false">IF(IsPro,IF($D2341="","",IFERROR(INDEX(Items!$F$5:$F$504,Q2341),0)),"")</f>
        <v/>
      </c>
      <c r="M2341" s="61" t="str">
        <f aca="false">IF(IsPro,IF($D2341="","",IF(AND(R2341&lt;&gt;"",INDEX(Parties!$E$5:$E$304,R2341)&lt;&gt;"",INDEX(Parties!$E$5:$E$304,R2341)&lt;&gt;HomeState),0,ROUND(K2341*L2341/2,2))),"")</f>
        <v/>
      </c>
      <c r="N2341" s="61" t="str">
        <f aca="false">IF(IsPro,IF($D2341="","",M2341),"")</f>
        <v/>
      </c>
      <c r="O2341" s="61" t="str">
        <f aca="false">IF(IsPro,IF($D2341="","",IF(AND(R2341&lt;&gt;"",INDEX(Parties!$E$5:$E$304,R2341)&lt;&gt;"",INDEX(Parties!$E$5:$E$304,R2341)&lt;&gt;HomeState),ROUND(K2341*L2341,2),0)),"")</f>
        <v/>
      </c>
      <c r="P2341" s="61" t="str">
        <f aca="false">IF(IsPro,IF($D2341="","",K2341+M2341+N2341+O2341),"")</f>
        <v/>
      </c>
      <c r="Q2341" s="60" t="str">
        <f aca="false">IF(IsPro,IF($D2341="","",IFERROR(MATCH($D2341,Items!$A$5:$A$504,0),"")),"")</f>
        <v/>
      </c>
      <c r="R2341" s="60" t="str">
        <f aca="false">IF(IsPro,IF($C2341="","",IFERROR(MATCH($C2341,Parties!$A$5:$A$304,0),"")),"")</f>
        <v/>
      </c>
      <c r="S2341" s="61" t="str">
        <f aca="false">IF(IsPro,IF($D2341="","",IF(OR($H2341="",$H2341="Credit"),0,P2341)),"")</f>
        <v/>
      </c>
    </row>
    <row r="2342" customFormat="false" ht="15" hidden="false" customHeight="false" outlineLevel="0" collapsed="false">
      <c r="A2342" s="55"/>
      <c r="B2342" s="56"/>
      <c r="C2342" s="56"/>
      <c r="D2342" s="56"/>
      <c r="E2342" s="57"/>
      <c r="F2342" s="58"/>
      <c r="G2342" s="59"/>
      <c r="H2342" s="56"/>
      <c r="I2342" s="60" t="str">
        <f aca="false">IF(IsPro,IF($D2342="","",IFERROR(INDEX(Items!$D$5:$D$504,Q2342),"")),IF($D2342="","","PRO PLAN"))</f>
        <v/>
      </c>
      <c r="J2342" s="61" t="str">
        <f aca="false">IF(IsPro,IF($D2342="","",IF($F2342="",IFERROR(INDEX(Items!$G$5:$G$504,Q2342),0),$F2342)),"")</f>
        <v/>
      </c>
      <c r="K2342" s="61" t="str">
        <f aca="false">IF(IsPro,IF($D2342="","",ROUND(N($E2342)*J2342*(1-N($G2342)),2)),"")</f>
        <v/>
      </c>
      <c r="L2342" s="62" t="str">
        <f aca="false">IF(IsPro,IF($D2342="","",IFERROR(INDEX(Items!$F$5:$F$504,Q2342),0)),"")</f>
        <v/>
      </c>
      <c r="M2342" s="61" t="str">
        <f aca="false">IF(IsPro,IF($D2342="","",IF(AND(R2342&lt;&gt;"",INDEX(Parties!$E$5:$E$304,R2342)&lt;&gt;"",INDEX(Parties!$E$5:$E$304,R2342)&lt;&gt;HomeState),0,ROUND(K2342*L2342/2,2))),"")</f>
        <v/>
      </c>
      <c r="N2342" s="61" t="str">
        <f aca="false">IF(IsPro,IF($D2342="","",M2342),"")</f>
        <v/>
      </c>
      <c r="O2342" s="61" t="str">
        <f aca="false">IF(IsPro,IF($D2342="","",IF(AND(R2342&lt;&gt;"",INDEX(Parties!$E$5:$E$304,R2342)&lt;&gt;"",INDEX(Parties!$E$5:$E$304,R2342)&lt;&gt;HomeState),ROUND(K2342*L2342,2),0)),"")</f>
        <v/>
      </c>
      <c r="P2342" s="61" t="str">
        <f aca="false">IF(IsPro,IF($D2342="","",K2342+M2342+N2342+O2342),"")</f>
        <v/>
      </c>
      <c r="Q2342" s="60" t="str">
        <f aca="false">IF(IsPro,IF($D2342="","",IFERROR(MATCH($D2342,Items!$A$5:$A$504,0),"")),"")</f>
        <v/>
      </c>
      <c r="R2342" s="60" t="str">
        <f aca="false">IF(IsPro,IF($C2342="","",IFERROR(MATCH($C2342,Parties!$A$5:$A$304,0),"")),"")</f>
        <v/>
      </c>
      <c r="S2342" s="61" t="str">
        <f aca="false">IF(IsPro,IF($D2342="","",IF(OR($H2342="",$H2342="Credit"),0,P2342)),"")</f>
        <v/>
      </c>
    </row>
    <row r="2343" customFormat="false" ht="15" hidden="false" customHeight="false" outlineLevel="0" collapsed="false">
      <c r="A2343" s="55"/>
      <c r="B2343" s="56"/>
      <c r="C2343" s="56"/>
      <c r="D2343" s="56"/>
      <c r="E2343" s="57"/>
      <c r="F2343" s="58"/>
      <c r="G2343" s="59"/>
      <c r="H2343" s="56"/>
      <c r="I2343" s="60" t="str">
        <f aca="false">IF(IsPro,IF($D2343="","",IFERROR(INDEX(Items!$D$5:$D$504,Q2343),"")),IF($D2343="","","PRO PLAN"))</f>
        <v/>
      </c>
      <c r="J2343" s="61" t="str">
        <f aca="false">IF(IsPro,IF($D2343="","",IF($F2343="",IFERROR(INDEX(Items!$G$5:$G$504,Q2343),0),$F2343)),"")</f>
        <v/>
      </c>
      <c r="K2343" s="61" t="str">
        <f aca="false">IF(IsPro,IF($D2343="","",ROUND(N($E2343)*J2343*(1-N($G2343)),2)),"")</f>
        <v/>
      </c>
      <c r="L2343" s="62" t="str">
        <f aca="false">IF(IsPro,IF($D2343="","",IFERROR(INDEX(Items!$F$5:$F$504,Q2343),0)),"")</f>
        <v/>
      </c>
      <c r="M2343" s="61" t="str">
        <f aca="false">IF(IsPro,IF($D2343="","",IF(AND(R2343&lt;&gt;"",INDEX(Parties!$E$5:$E$304,R2343)&lt;&gt;"",INDEX(Parties!$E$5:$E$304,R2343)&lt;&gt;HomeState),0,ROUND(K2343*L2343/2,2))),"")</f>
        <v/>
      </c>
      <c r="N2343" s="61" t="str">
        <f aca="false">IF(IsPro,IF($D2343="","",M2343),"")</f>
        <v/>
      </c>
      <c r="O2343" s="61" t="str">
        <f aca="false">IF(IsPro,IF($D2343="","",IF(AND(R2343&lt;&gt;"",INDEX(Parties!$E$5:$E$304,R2343)&lt;&gt;"",INDEX(Parties!$E$5:$E$304,R2343)&lt;&gt;HomeState),ROUND(K2343*L2343,2),0)),"")</f>
        <v/>
      </c>
      <c r="P2343" s="61" t="str">
        <f aca="false">IF(IsPro,IF($D2343="","",K2343+M2343+N2343+O2343),"")</f>
        <v/>
      </c>
      <c r="Q2343" s="60" t="str">
        <f aca="false">IF(IsPro,IF($D2343="","",IFERROR(MATCH($D2343,Items!$A$5:$A$504,0),"")),"")</f>
        <v/>
      </c>
      <c r="R2343" s="60" t="str">
        <f aca="false">IF(IsPro,IF($C2343="","",IFERROR(MATCH($C2343,Parties!$A$5:$A$304,0),"")),"")</f>
        <v/>
      </c>
      <c r="S2343" s="61" t="str">
        <f aca="false">IF(IsPro,IF($D2343="","",IF(OR($H2343="",$H2343="Credit"),0,P2343)),"")</f>
        <v/>
      </c>
    </row>
    <row r="2344" customFormat="false" ht="15" hidden="false" customHeight="false" outlineLevel="0" collapsed="false">
      <c r="A2344" s="55"/>
      <c r="B2344" s="56"/>
      <c r="C2344" s="56"/>
      <c r="D2344" s="56"/>
      <c r="E2344" s="57"/>
      <c r="F2344" s="58"/>
      <c r="G2344" s="59"/>
      <c r="H2344" s="56"/>
      <c r="I2344" s="60" t="str">
        <f aca="false">IF(IsPro,IF($D2344="","",IFERROR(INDEX(Items!$D$5:$D$504,Q2344),"")),IF($D2344="","","PRO PLAN"))</f>
        <v/>
      </c>
      <c r="J2344" s="61" t="str">
        <f aca="false">IF(IsPro,IF($D2344="","",IF($F2344="",IFERROR(INDEX(Items!$G$5:$G$504,Q2344),0),$F2344)),"")</f>
        <v/>
      </c>
      <c r="K2344" s="61" t="str">
        <f aca="false">IF(IsPro,IF($D2344="","",ROUND(N($E2344)*J2344*(1-N($G2344)),2)),"")</f>
        <v/>
      </c>
      <c r="L2344" s="62" t="str">
        <f aca="false">IF(IsPro,IF($D2344="","",IFERROR(INDEX(Items!$F$5:$F$504,Q2344),0)),"")</f>
        <v/>
      </c>
      <c r="M2344" s="61" t="str">
        <f aca="false">IF(IsPro,IF($D2344="","",IF(AND(R2344&lt;&gt;"",INDEX(Parties!$E$5:$E$304,R2344)&lt;&gt;"",INDEX(Parties!$E$5:$E$304,R2344)&lt;&gt;HomeState),0,ROUND(K2344*L2344/2,2))),"")</f>
        <v/>
      </c>
      <c r="N2344" s="61" t="str">
        <f aca="false">IF(IsPro,IF($D2344="","",M2344),"")</f>
        <v/>
      </c>
      <c r="O2344" s="61" t="str">
        <f aca="false">IF(IsPro,IF($D2344="","",IF(AND(R2344&lt;&gt;"",INDEX(Parties!$E$5:$E$304,R2344)&lt;&gt;"",INDEX(Parties!$E$5:$E$304,R2344)&lt;&gt;HomeState),ROUND(K2344*L2344,2),0)),"")</f>
        <v/>
      </c>
      <c r="P2344" s="61" t="str">
        <f aca="false">IF(IsPro,IF($D2344="","",K2344+M2344+N2344+O2344),"")</f>
        <v/>
      </c>
      <c r="Q2344" s="60" t="str">
        <f aca="false">IF(IsPro,IF($D2344="","",IFERROR(MATCH($D2344,Items!$A$5:$A$504,0),"")),"")</f>
        <v/>
      </c>
      <c r="R2344" s="60" t="str">
        <f aca="false">IF(IsPro,IF($C2344="","",IFERROR(MATCH($C2344,Parties!$A$5:$A$304,0),"")),"")</f>
        <v/>
      </c>
      <c r="S2344" s="61" t="str">
        <f aca="false">IF(IsPro,IF($D2344="","",IF(OR($H2344="",$H2344="Credit"),0,P2344)),"")</f>
        <v/>
      </c>
    </row>
    <row r="2345" customFormat="false" ht="15" hidden="false" customHeight="false" outlineLevel="0" collapsed="false">
      <c r="A2345" s="55"/>
      <c r="B2345" s="56"/>
      <c r="C2345" s="56"/>
      <c r="D2345" s="56"/>
      <c r="E2345" s="57"/>
      <c r="F2345" s="58"/>
      <c r="G2345" s="59"/>
      <c r="H2345" s="56"/>
      <c r="I2345" s="60" t="str">
        <f aca="false">IF(IsPro,IF($D2345="","",IFERROR(INDEX(Items!$D$5:$D$504,Q2345),"")),IF($D2345="","","PRO PLAN"))</f>
        <v/>
      </c>
      <c r="J2345" s="61" t="str">
        <f aca="false">IF(IsPro,IF($D2345="","",IF($F2345="",IFERROR(INDEX(Items!$G$5:$G$504,Q2345),0),$F2345)),"")</f>
        <v/>
      </c>
      <c r="K2345" s="61" t="str">
        <f aca="false">IF(IsPro,IF($D2345="","",ROUND(N($E2345)*J2345*(1-N($G2345)),2)),"")</f>
        <v/>
      </c>
      <c r="L2345" s="62" t="str">
        <f aca="false">IF(IsPro,IF($D2345="","",IFERROR(INDEX(Items!$F$5:$F$504,Q2345),0)),"")</f>
        <v/>
      </c>
      <c r="M2345" s="61" t="str">
        <f aca="false">IF(IsPro,IF($D2345="","",IF(AND(R2345&lt;&gt;"",INDEX(Parties!$E$5:$E$304,R2345)&lt;&gt;"",INDEX(Parties!$E$5:$E$304,R2345)&lt;&gt;HomeState),0,ROUND(K2345*L2345/2,2))),"")</f>
        <v/>
      </c>
      <c r="N2345" s="61" t="str">
        <f aca="false">IF(IsPro,IF($D2345="","",M2345),"")</f>
        <v/>
      </c>
      <c r="O2345" s="61" t="str">
        <f aca="false">IF(IsPro,IF($D2345="","",IF(AND(R2345&lt;&gt;"",INDEX(Parties!$E$5:$E$304,R2345)&lt;&gt;"",INDEX(Parties!$E$5:$E$304,R2345)&lt;&gt;HomeState),ROUND(K2345*L2345,2),0)),"")</f>
        <v/>
      </c>
      <c r="P2345" s="61" t="str">
        <f aca="false">IF(IsPro,IF($D2345="","",K2345+M2345+N2345+O2345),"")</f>
        <v/>
      </c>
      <c r="Q2345" s="60" t="str">
        <f aca="false">IF(IsPro,IF($D2345="","",IFERROR(MATCH($D2345,Items!$A$5:$A$504,0),"")),"")</f>
        <v/>
      </c>
      <c r="R2345" s="60" t="str">
        <f aca="false">IF(IsPro,IF($C2345="","",IFERROR(MATCH($C2345,Parties!$A$5:$A$304,0),"")),"")</f>
        <v/>
      </c>
      <c r="S2345" s="61" t="str">
        <f aca="false">IF(IsPro,IF($D2345="","",IF(OR($H2345="",$H2345="Credit"),0,P2345)),"")</f>
        <v/>
      </c>
    </row>
    <row r="2346" customFormat="false" ht="15" hidden="false" customHeight="false" outlineLevel="0" collapsed="false">
      <c r="A2346" s="55"/>
      <c r="B2346" s="56"/>
      <c r="C2346" s="56"/>
      <c r="D2346" s="56"/>
      <c r="E2346" s="57"/>
      <c r="F2346" s="58"/>
      <c r="G2346" s="59"/>
      <c r="H2346" s="56"/>
      <c r="I2346" s="60" t="str">
        <f aca="false">IF(IsPro,IF($D2346="","",IFERROR(INDEX(Items!$D$5:$D$504,Q2346),"")),IF($D2346="","","PRO PLAN"))</f>
        <v/>
      </c>
      <c r="J2346" s="61" t="str">
        <f aca="false">IF(IsPro,IF($D2346="","",IF($F2346="",IFERROR(INDEX(Items!$G$5:$G$504,Q2346),0),$F2346)),"")</f>
        <v/>
      </c>
      <c r="K2346" s="61" t="str">
        <f aca="false">IF(IsPro,IF($D2346="","",ROUND(N($E2346)*J2346*(1-N($G2346)),2)),"")</f>
        <v/>
      </c>
      <c r="L2346" s="62" t="str">
        <f aca="false">IF(IsPro,IF($D2346="","",IFERROR(INDEX(Items!$F$5:$F$504,Q2346),0)),"")</f>
        <v/>
      </c>
      <c r="M2346" s="61" t="str">
        <f aca="false">IF(IsPro,IF($D2346="","",IF(AND(R2346&lt;&gt;"",INDEX(Parties!$E$5:$E$304,R2346)&lt;&gt;"",INDEX(Parties!$E$5:$E$304,R2346)&lt;&gt;HomeState),0,ROUND(K2346*L2346/2,2))),"")</f>
        <v/>
      </c>
      <c r="N2346" s="61" t="str">
        <f aca="false">IF(IsPro,IF($D2346="","",M2346),"")</f>
        <v/>
      </c>
      <c r="O2346" s="61" t="str">
        <f aca="false">IF(IsPro,IF($D2346="","",IF(AND(R2346&lt;&gt;"",INDEX(Parties!$E$5:$E$304,R2346)&lt;&gt;"",INDEX(Parties!$E$5:$E$304,R2346)&lt;&gt;HomeState),ROUND(K2346*L2346,2),0)),"")</f>
        <v/>
      </c>
      <c r="P2346" s="61" t="str">
        <f aca="false">IF(IsPro,IF($D2346="","",K2346+M2346+N2346+O2346),"")</f>
        <v/>
      </c>
      <c r="Q2346" s="60" t="str">
        <f aca="false">IF(IsPro,IF($D2346="","",IFERROR(MATCH($D2346,Items!$A$5:$A$504,0),"")),"")</f>
        <v/>
      </c>
      <c r="R2346" s="60" t="str">
        <f aca="false">IF(IsPro,IF($C2346="","",IFERROR(MATCH($C2346,Parties!$A$5:$A$304,0),"")),"")</f>
        <v/>
      </c>
      <c r="S2346" s="61" t="str">
        <f aca="false">IF(IsPro,IF($D2346="","",IF(OR($H2346="",$H2346="Credit"),0,P2346)),"")</f>
        <v/>
      </c>
    </row>
    <row r="2347" customFormat="false" ht="15" hidden="false" customHeight="false" outlineLevel="0" collapsed="false">
      <c r="A2347" s="55"/>
      <c r="B2347" s="56"/>
      <c r="C2347" s="56"/>
      <c r="D2347" s="56"/>
      <c r="E2347" s="57"/>
      <c r="F2347" s="58"/>
      <c r="G2347" s="59"/>
      <c r="H2347" s="56"/>
      <c r="I2347" s="60" t="str">
        <f aca="false">IF(IsPro,IF($D2347="","",IFERROR(INDEX(Items!$D$5:$D$504,Q2347),"")),IF($D2347="","","PRO PLAN"))</f>
        <v/>
      </c>
      <c r="J2347" s="61" t="str">
        <f aca="false">IF(IsPro,IF($D2347="","",IF($F2347="",IFERROR(INDEX(Items!$G$5:$G$504,Q2347),0),$F2347)),"")</f>
        <v/>
      </c>
      <c r="K2347" s="61" t="str">
        <f aca="false">IF(IsPro,IF($D2347="","",ROUND(N($E2347)*J2347*(1-N($G2347)),2)),"")</f>
        <v/>
      </c>
      <c r="L2347" s="62" t="str">
        <f aca="false">IF(IsPro,IF($D2347="","",IFERROR(INDEX(Items!$F$5:$F$504,Q2347),0)),"")</f>
        <v/>
      </c>
      <c r="M2347" s="61" t="str">
        <f aca="false">IF(IsPro,IF($D2347="","",IF(AND(R2347&lt;&gt;"",INDEX(Parties!$E$5:$E$304,R2347)&lt;&gt;"",INDEX(Parties!$E$5:$E$304,R2347)&lt;&gt;HomeState),0,ROUND(K2347*L2347/2,2))),"")</f>
        <v/>
      </c>
      <c r="N2347" s="61" t="str">
        <f aca="false">IF(IsPro,IF($D2347="","",M2347),"")</f>
        <v/>
      </c>
      <c r="O2347" s="61" t="str">
        <f aca="false">IF(IsPro,IF($D2347="","",IF(AND(R2347&lt;&gt;"",INDEX(Parties!$E$5:$E$304,R2347)&lt;&gt;"",INDEX(Parties!$E$5:$E$304,R2347)&lt;&gt;HomeState),ROUND(K2347*L2347,2),0)),"")</f>
        <v/>
      </c>
      <c r="P2347" s="61" t="str">
        <f aca="false">IF(IsPro,IF($D2347="","",K2347+M2347+N2347+O2347),"")</f>
        <v/>
      </c>
      <c r="Q2347" s="60" t="str">
        <f aca="false">IF(IsPro,IF($D2347="","",IFERROR(MATCH($D2347,Items!$A$5:$A$504,0),"")),"")</f>
        <v/>
      </c>
      <c r="R2347" s="60" t="str">
        <f aca="false">IF(IsPro,IF($C2347="","",IFERROR(MATCH($C2347,Parties!$A$5:$A$304,0),"")),"")</f>
        <v/>
      </c>
      <c r="S2347" s="61" t="str">
        <f aca="false">IF(IsPro,IF($D2347="","",IF(OR($H2347="",$H2347="Credit"),0,P2347)),"")</f>
        <v/>
      </c>
    </row>
    <row r="2348" customFormat="false" ht="15" hidden="false" customHeight="false" outlineLevel="0" collapsed="false">
      <c r="A2348" s="55"/>
      <c r="B2348" s="56"/>
      <c r="C2348" s="56"/>
      <c r="D2348" s="56"/>
      <c r="E2348" s="57"/>
      <c r="F2348" s="58"/>
      <c r="G2348" s="59"/>
      <c r="H2348" s="56"/>
      <c r="I2348" s="60" t="str">
        <f aca="false">IF(IsPro,IF($D2348="","",IFERROR(INDEX(Items!$D$5:$D$504,Q2348),"")),IF($D2348="","","PRO PLAN"))</f>
        <v/>
      </c>
      <c r="J2348" s="61" t="str">
        <f aca="false">IF(IsPro,IF($D2348="","",IF($F2348="",IFERROR(INDEX(Items!$G$5:$G$504,Q2348),0),$F2348)),"")</f>
        <v/>
      </c>
      <c r="K2348" s="61" t="str">
        <f aca="false">IF(IsPro,IF($D2348="","",ROUND(N($E2348)*J2348*(1-N($G2348)),2)),"")</f>
        <v/>
      </c>
      <c r="L2348" s="62" t="str">
        <f aca="false">IF(IsPro,IF($D2348="","",IFERROR(INDEX(Items!$F$5:$F$504,Q2348),0)),"")</f>
        <v/>
      </c>
      <c r="M2348" s="61" t="str">
        <f aca="false">IF(IsPro,IF($D2348="","",IF(AND(R2348&lt;&gt;"",INDEX(Parties!$E$5:$E$304,R2348)&lt;&gt;"",INDEX(Parties!$E$5:$E$304,R2348)&lt;&gt;HomeState),0,ROUND(K2348*L2348/2,2))),"")</f>
        <v/>
      </c>
      <c r="N2348" s="61" t="str">
        <f aca="false">IF(IsPro,IF($D2348="","",M2348),"")</f>
        <v/>
      </c>
      <c r="O2348" s="61" t="str">
        <f aca="false">IF(IsPro,IF($D2348="","",IF(AND(R2348&lt;&gt;"",INDEX(Parties!$E$5:$E$304,R2348)&lt;&gt;"",INDEX(Parties!$E$5:$E$304,R2348)&lt;&gt;HomeState),ROUND(K2348*L2348,2),0)),"")</f>
        <v/>
      </c>
      <c r="P2348" s="61" t="str">
        <f aca="false">IF(IsPro,IF($D2348="","",K2348+M2348+N2348+O2348),"")</f>
        <v/>
      </c>
      <c r="Q2348" s="60" t="str">
        <f aca="false">IF(IsPro,IF($D2348="","",IFERROR(MATCH($D2348,Items!$A$5:$A$504,0),"")),"")</f>
        <v/>
      </c>
      <c r="R2348" s="60" t="str">
        <f aca="false">IF(IsPro,IF($C2348="","",IFERROR(MATCH($C2348,Parties!$A$5:$A$304,0),"")),"")</f>
        <v/>
      </c>
      <c r="S2348" s="61" t="str">
        <f aca="false">IF(IsPro,IF($D2348="","",IF(OR($H2348="",$H2348="Credit"),0,P2348)),"")</f>
        <v/>
      </c>
    </row>
    <row r="2349" customFormat="false" ht="15" hidden="false" customHeight="false" outlineLevel="0" collapsed="false">
      <c r="A2349" s="55"/>
      <c r="B2349" s="56"/>
      <c r="C2349" s="56"/>
      <c r="D2349" s="56"/>
      <c r="E2349" s="57"/>
      <c r="F2349" s="58"/>
      <c r="G2349" s="59"/>
      <c r="H2349" s="56"/>
      <c r="I2349" s="60" t="str">
        <f aca="false">IF(IsPro,IF($D2349="","",IFERROR(INDEX(Items!$D$5:$D$504,Q2349),"")),IF($D2349="","","PRO PLAN"))</f>
        <v/>
      </c>
      <c r="J2349" s="61" t="str">
        <f aca="false">IF(IsPro,IF($D2349="","",IF($F2349="",IFERROR(INDEX(Items!$G$5:$G$504,Q2349),0),$F2349)),"")</f>
        <v/>
      </c>
      <c r="K2349" s="61" t="str">
        <f aca="false">IF(IsPro,IF($D2349="","",ROUND(N($E2349)*J2349*(1-N($G2349)),2)),"")</f>
        <v/>
      </c>
      <c r="L2349" s="62" t="str">
        <f aca="false">IF(IsPro,IF($D2349="","",IFERROR(INDEX(Items!$F$5:$F$504,Q2349),0)),"")</f>
        <v/>
      </c>
      <c r="M2349" s="61" t="str">
        <f aca="false">IF(IsPro,IF($D2349="","",IF(AND(R2349&lt;&gt;"",INDEX(Parties!$E$5:$E$304,R2349)&lt;&gt;"",INDEX(Parties!$E$5:$E$304,R2349)&lt;&gt;HomeState),0,ROUND(K2349*L2349/2,2))),"")</f>
        <v/>
      </c>
      <c r="N2349" s="61" t="str">
        <f aca="false">IF(IsPro,IF($D2349="","",M2349),"")</f>
        <v/>
      </c>
      <c r="O2349" s="61" t="str">
        <f aca="false">IF(IsPro,IF($D2349="","",IF(AND(R2349&lt;&gt;"",INDEX(Parties!$E$5:$E$304,R2349)&lt;&gt;"",INDEX(Parties!$E$5:$E$304,R2349)&lt;&gt;HomeState),ROUND(K2349*L2349,2),0)),"")</f>
        <v/>
      </c>
      <c r="P2349" s="61" t="str">
        <f aca="false">IF(IsPro,IF($D2349="","",K2349+M2349+N2349+O2349),"")</f>
        <v/>
      </c>
      <c r="Q2349" s="60" t="str">
        <f aca="false">IF(IsPro,IF($D2349="","",IFERROR(MATCH($D2349,Items!$A$5:$A$504,0),"")),"")</f>
        <v/>
      </c>
      <c r="R2349" s="60" t="str">
        <f aca="false">IF(IsPro,IF($C2349="","",IFERROR(MATCH($C2349,Parties!$A$5:$A$304,0),"")),"")</f>
        <v/>
      </c>
      <c r="S2349" s="61" t="str">
        <f aca="false">IF(IsPro,IF($D2349="","",IF(OR($H2349="",$H2349="Credit"),0,P2349)),"")</f>
        <v/>
      </c>
    </row>
    <row r="2350" customFormat="false" ht="15" hidden="false" customHeight="false" outlineLevel="0" collapsed="false">
      <c r="A2350" s="55"/>
      <c r="B2350" s="56"/>
      <c r="C2350" s="56"/>
      <c r="D2350" s="56"/>
      <c r="E2350" s="57"/>
      <c r="F2350" s="58"/>
      <c r="G2350" s="59"/>
      <c r="H2350" s="56"/>
      <c r="I2350" s="60" t="str">
        <f aca="false">IF(IsPro,IF($D2350="","",IFERROR(INDEX(Items!$D$5:$D$504,Q2350),"")),IF($D2350="","","PRO PLAN"))</f>
        <v/>
      </c>
      <c r="J2350" s="61" t="str">
        <f aca="false">IF(IsPro,IF($D2350="","",IF($F2350="",IFERROR(INDEX(Items!$G$5:$G$504,Q2350),0),$F2350)),"")</f>
        <v/>
      </c>
      <c r="K2350" s="61" t="str">
        <f aca="false">IF(IsPro,IF($D2350="","",ROUND(N($E2350)*J2350*(1-N($G2350)),2)),"")</f>
        <v/>
      </c>
      <c r="L2350" s="62" t="str">
        <f aca="false">IF(IsPro,IF($D2350="","",IFERROR(INDEX(Items!$F$5:$F$504,Q2350),0)),"")</f>
        <v/>
      </c>
      <c r="M2350" s="61" t="str">
        <f aca="false">IF(IsPro,IF($D2350="","",IF(AND(R2350&lt;&gt;"",INDEX(Parties!$E$5:$E$304,R2350)&lt;&gt;"",INDEX(Parties!$E$5:$E$304,R2350)&lt;&gt;HomeState),0,ROUND(K2350*L2350/2,2))),"")</f>
        <v/>
      </c>
      <c r="N2350" s="61" t="str">
        <f aca="false">IF(IsPro,IF($D2350="","",M2350),"")</f>
        <v/>
      </c>
      <c r="O2350" s="61" t="str">
        <f aca="false">IF(IsPro,IF($D2350="","",IF(AND(R2350&lt;&gt;"",INDEX(Parties!$E$5:$E$304,R2350)&lt;&gt;"",INDEX(Parties!$E$5:$E$304,R2350)&lt;&gt;HomeState),ROUND(K2350*L2350,2),0)),"")</f>
        <v/>
      </c>
      <c r="P2350" s="61" t="str">
        <f aca="false">IF(IsPro,IF($D2350="","",K2350+M2350+N2350+O2350),"")</f>
        <v/>
      </c>
      <c r="Q2350" s="60" t="str">
        <f aca="false">IF(IsPro,IF($D2350="","",IFERROR(MATCH($D2350,Items!$A$5:$A$504,0),"")),"")</f>
        <v/>
      </c>
      <c r="R2350" s="60" t="str">
        <f aca="false">IF(IsPro,IF($C2350="","",IFERROR(MATCH($C2350,Parties!$A$5:$A$304,0),"")),"")</f>
        <v/>
      </c>
      <c r="S2350" s="61" t="str">
        <f aca="false">IF(IsPro,IF($D2350="","",IF(OR($H2350="",$H2350="Credit"),0,P2350)),"")</f>
        <v/>
      </c>
    </row>
    <row r="2351" customFormat="false" ht="15" hidden="false" customHeight="false" outlineLevel="0" collapsed="false">
      <c r="A2351" s="55"/>
      <c r="B2351" s="56"/>
      <c r="C2351" s="56"/>
      <c r="D2351" s="56"/>
      <c r="E2351" s="57"/>
      <c r="F2351" s="58"/>
      <c r="G2351" s="59"/>
      <c r="H2351" s="56"/>
      <c r="I2351" s="60" t="str">
        <f aca="false">IF(IsPro,IF($D2351="","",IFERROR(INDEX(Items!$D$5:$D$504,Q2351),"")),IF($D2351="","","PRO PLAN"))</f>
        <v/>
      </c>
      <c r="J2351" s="61" t="str">
        <f aca="false">IF(IsPro,IF($D2351="","",IF($F2351="",IFERROR(INDEX(Items!$G$5:$G$504,Q2351),0),$F2351)),"")</f>
        <v/>
      </c>
      <c r="K2351" s="61" t="str">
        <f aca="false">IF(IsPro,IF($D2351="","",ROUND(N($E2351)*J2351*(1-N($G2351)),2)),"")</f>
        <v/>
      </c>
      <c r="L2351" s="62" t="str">
        <f aca="false">IF(IsPro,IF($D2351="","",IFERROR(INDEX(Items!$F$5:$F$504,Q2351),0)),"")</f>
        <v/>
      </c>
      <c r="M2351" s="61" t="str">
        <f aca="false">IF(IsPro,IF($D2351="","",IF(AND(R2351&lt;&gt;"",INDEX(Parties!$E$5:$E$304,R2351)&lt;&gt;"",INDEX(Parties!$E$5:$E$304,R2351)&lt;&gt;HomeState),0,ROUND(K2351*L2351/2,2))),"")</f>
        <v/>
      </c>
      <c r="N2351" s="61" t="str">
        <f aca="false">IF(IsPro,IF($D2351="","",M2351),"")</f>
        <v/>
      </c>
      <c r="O2351" s="61" t="str">
        <f aca="false">IF(IsPro,IF($D2351="","",IF(AND(R2351&lt;&gt;"",INDEX(Parties!$E$5:$E$304,R2351)&lt;&gt;"",INDEX(Parties!$E$5:$E$304,R2351)&lt;&gt;HomeState),ROUND(K2351*L2351,2),0)),"")</f>
        <v/>
      </c>
      <c r="P2351" s="61" t="str">
        <f aca="false">IF(IsPro,IF($D2351="","",K2351+M2351+N2351+O2351),"")</f>
        <v/>
      </c>
      <c r="Q2351" s="60" t="str">
        <f aca="false">IF(IsPro,IF($D2351="","",IFERROR(MATCH($D2351,Items!$A$5:$A$504,0),"")),"")</f>
        <v/>
      </c>
      <c r="R2351" s="60" t="str">
        <f aca="false">IF(IsPro,IF($C2351="","",IFERROR(MATCH($C2351,Parties!$A$5:$A$304,0),"")),"")</f>
        <v/>
      </c>
      <c r="S2351" s="61" t="str">
        <f aca="false">IF(IsPro,IF($D2351="","",IF(OR($H2351="",$H2351="Credit"),0,P2351)),"")</f>
        <v/>
      </c>
    </row>
    <row r="2352" customFormat="false" ht="15" hidden="false" customHeight="false" outlineLevel="0" collapsed="false">
      <c r="A2352" s="55"/>
      <c r="B2352" s="56"/>
      <c r="C2352" s="56"/>
      <c r="D2352" s="56"/>
      <c r="E2352" s="57"/>
      <c r="F2352" s="58"/>
      <c r="G2352" s="59"/>
      <c r="H2352" s="56"/>
      <c r="I2352" s="60" t="str">
        <f aca="false">IF(IsPro,IF($D2352="","",IFERROR(INDEX(Items!$D$5:$D$504,Q2352),"")),IF($D2352="","","PRO PLAN"))</f>
        <v/>
      </c>
      <c r="J2352" s="61" t="str">
        <f aca="false">IF(IsPro,IF($D2352="","",IF($F2352="",IFERROR(INDEX(Items!$G$5:$G$504,Q2352),0),$F2352)),"")</f>
        <v/>
      </c>
      <c r="K2352" s="61" t="str">
        <f aca="false">IF(IsPro,IF($D2352="","",ROUND(N($E2352)*J2352*(1-N($G2352)),2)),"")</f>
        <v/>
      </c>
      <c r="L2352" s="62" t="str">
        <f aca="false">IF(IsPro,IF($D2352="","",IFERROR(INDEX(Items!$F$5:$F$504,Q2352),0)),"")</f>
        <v/>
      </c>
      <c r="M2352" s="61" t="str">
        <f aca="false">IF(IsPro,IF($D2352="","",IF(AND(R2352&lt;&gt;"",INDEX(Parties!$E$5:$E$304,R2352)&lt;&gt;"",INDEX(Parties!$E$5:$E$304,R2352)&lt;&gt;HomeState),0,ROUND(K2352*L2352/2,2))),"")</f>
        <v/>
      </c>
      <c r="N2352" s="61" t="str">
        <f aca="false">IF(IsPro,IF($D2352="","",M2352),"")</f>
        <v/>
      </c>
      <c r="O2352" s="61" t="str">
        <f aca="false">IF(IsPro,IF($D2352="","",IF(AND(R2352&lt;&gt;"",INDEX(Parties!$E$5:$E$304,R2352)&lt;&gt;"",INDEX(Parties!$E$5:$E$304,R2352)&lt;&gt;HomeState),ROUND(K2352*L2352,2),0)),"")</f>
        <v/>
      </c>
      <c r="P2352" s="61" t="str">
        <f aca="false">IF(IsPro,IF($D2352="","",K2352+M2352+N2352+O2352),"")</f>
        <v/>
      </c>
      <c r="Q2352" s="60" t="str">
        <f aca="false">IF(IsPro,IF($D2352="","",IFERROR(MATCH($D2352,Items!$A$5:$A$504,0),"")),"")</f>
        <v/>
      </c>
      <c r="R2352" s="60" t="str">
        <f aca="false">IF(IsPro,IF($C2352="","",IFERROR(MATCH($C2352,Parties!$A$5:$A$304,0),"")),"")</f>
        <v/>
      </c>
      <c r="S2352" s="61" t="str">
        <f aca="false">IF(IsPro,IF($D2352="","",IF(OR($H2352="",$H2352="Credit"),0,P2352)),"")</f>
        <v/>
      </c>
    </row>
    <row r="2353" customFormat="false" ht="15" hidden="false" customHeight="false" outlineLevel="0" collapsed="false">
      <c r="A2353" s="55"/>
      <c r="B2353" s="56"/>
      <c r="C2353" s="56"/>
      <c r="D2353" s="56"/>
      <c r="E2353" s="57"/>
      <c r="F2353" s="58"/>
      <c r="G2353" s="59"/>
      <c r="H2353" s="56"/>
      <c r="I2353" s="60" t="str">
        <f aca="false">IF(IsPro,IF($D2353="","",IFERROR(INDEX(Items!$D$5:$D$504,Q2353),"")),IF($D2353="","","PRO PLAN"))</f>
        <v/>
      </c>
      <c r="J2353" s="61" t="str">
        <f aca="false">IF(IsPro,IF($D2353="","",IF($F2353="",IFERROR(INDEX(Items!$G$5:$G$504,Q2353),0),$F2353)),"")</f>
        <v/>
      </c>
      <c r="K2353" s="61" t="str">
        <f aca="false">IF(IsPro,IF($D2353="","",ROUND(N($E2353)*J2353*(1-N($G2353)),2)),"")</f>
        <v/>
      </c>
      <c r="L2353" s="62" t="str">
        <f aca="false">IF(IsPro,IF($D2353="","",IFERROR(INDEX(Items!$F$5:$F$504,Q2353),0)),"")</f>
        <v/>
      </c>
      <c r="M2353" s="61" t="str">
        <f aca="false">IF(IsPro,IF($D2353="","",IF(AND(R2353&lt;&gt;"",INDEX(Parties!$E$5:$E$304,R2353)&lt;&gt;"",INDEX(Parties!$E$5:$E$304,R2353)&lt;&gt;HomeState),0,ROUND(K2353*L2353/2,2))),"")</f>
        <v/>
      </c>
      <c r="N2353" s="61" t="str">
        <f aca="false">IF(IsPro,IF($D2353="","",M2353),"")</f>
        <v/>
      </c>
      <c r="O2353" s="61" t="str">
        <f aca="false">IF(IsPro,IF($D2353="","",IF(AND(R2353&lt;&gt;"",INDEX(Parties!$E$5:$E$304,R2353)&lt;&gt;"",INDEX(Parties!$E$5:$E$304,R2353)&lt;&gt;HomeState),ROUND(K2353*L2353,2),0)),"")</f>
        <v/>
      </c>
      <c r="P2353" s="61" t="str">
        <f aca="false">IF(IsPro,IF($D2353="","",K2353+M2353+N2353+O2353),"")</f>
        <v/>
      </c>
      <c r="Q2353" s="60" t="str">
        <f aca="false">IF(IsPro,IF($D2353="","",IFERROR(MATCH($D2353,Items!$A$5:$A$504,0),"")),"")</f>
        <v/>
      </c>
      <c r="R2353" s="60" t="str">
        <f aca="false">IF(IsPro,IF($C2353="","",IFERROR(MATCH($C2353,Parties!$A$5:$A$304,0),"")),"")</f>
        <v/>
      </c>
      <c r="S2353" s="61" t="str">
        <f aca="false">IF(IsPro,IF($D2353="","",IF(OR($H2353="",$H2353="Credit"),0,P2353)),"")</f>
        <v/>
      </c>
    </row>
    <row r="2354" customFormat="false" ht="15" hidden="false" customHeight="false" outlineLevel="0" collapsed="false">
      <c r="A2354" s="55"/>
      <c r="B2354" s="56"/>
      <c r="C2354" s="56"/>
      <c r="D2354" s="56"/>
      <c r="E2354" s="57"/>
      <c r="F2354" s="58"/>
      <c r="G2354" s="59"/>
      <c r="H2354" s="56"/>
      <c r="I2354" s="60" t="str">
        <f aca="false">IF(IsPro,IF($D2354="","",IFERROR(INDEX(Items!$D$5:$D$504,Q2354),"")),IF($D2354="","","PRO PLAN"))</f>
        <v/>
      </c>
      <c r="J2354" s="61" t="str">
        <f aca="false">IF(IsPro,IF($D2354="","",IF($F2354="",IFERROR(INDEX(Items!$G$5:$G$504,Q2354),0),$F2354)),"")</f>
        <v/>
      </c>
      <c r="K2354" s="61" t="str">
        <f aca="false">IF(IsPro,IF($D2354="","",ROUND(N($E2354)*J2354*(1-N($G2354)),2)),"")</f>
        <v/>
      </c>
      <c r="L2354" s="62" t="str">
        <f aca="false">IF(IsPro,IF($D2354="","",IFERROR(INDEX(Items!$F$5:$F$504,Q2354),0)),"")</f>
        <v/>
      </c>
      <c r="M2354" s="61" t="str">
        <f aca="false">IF(IsPro,IF($D2354="","",IF(AND(R2354&lt;&gt;"",INDEX(Parties!$E$5:$E$304,R2354)&lt;&gt;"",INDEX(Parties!$E$5:$E$304,R2354)&lt;&gt;HomeState),0,ROUND(K2354*L2354/2,2))),"")</f>
        <v/>
      </c>
      <c r="N2354" s="61" t="str">
        <f aca="false">IF(IsPro,IF($D2354="","",M2354),"")</f>
        <v/>
      </c>
      <c r="O2354" s="61" t="str">
        <f aca="false">IF(IsPro,IF($D2354="","",IF(AND(R2354&lt;&gt;"",INDEX(Parties!$E$5:$E$304,R2354)&lt;&gt;"",INDEX(Parties!$E$5:$E$304,R2354)&lt;&gt;HomeState),ROUND(K2354*L2354,2),0)),"")</f>
        <v/>
      </c>
      <c r="P2354" s="61" t="str">
        <f aca="false">IF(IsPro,IF($D2354="","",K2354+M2354+N2354+O2354),"")</f>
        <v/>
      </c>
      <c r="Q2354" s="60" t="str">
        <f aca="false">IF(IsPro,IF($D2354="","",IFERROR(MATCH($D2354,Items!$A$5:$A$504,0),"")),"")</f>
        <v/>
      </c>
      <c r="R2354" s="60" t="str">
        <f aca="false">IF(IsPro,IF($C2354="","",IFERROR(MATCH($C2354,Parties!$A$5:$A$304,0),"")),"")</f>
        <v/>
      </c>
      <c r="S2354" s="61" t="str">
        <f aca="false">IF(IsPro,IF($D2354="","",IF(OR($H2354="",$H2354="Credit"),0,P2354)),"")</f>
        <v/>
      </c>
    </row>
    <row r="2355" customFormat="false" ht="15" hidden="false" customHeight="false" outlineLevel="0" collapsed="false">
      <c r="A2355" s="55"/>
      <c r="B2355" s="56"/>
      <c r="C2355" s="56"/>
      <c r="D2355" s="56"/>
      <c r="E2355" s="57"/>
      <c r="F2355" s="58"/>
      <c r="G2355" s="59"/>
      <c r="H2355" s="56"/>
      <c r="I2355" s="60" t="str">
        <f aca="false">IF(IsPro,IF($D2355="","",IFERROR(INDEX(Items!$D$5:$D$504,Q2355),"")),IF($D2355="","","PRO PLAN"))</f>
        <v/>
      </c>
      <c r="J2355" s="61" t="str">
        <f aca="false">IF(IsPro,IF($D2355="","",IF($F2355="",IFERROR(INDEX(Items!$G$5:$G$504,Q2355),0),$F2355)),"")</f>
        <v/>
      </c>
      <c r="K2355" s="61" t="str">
        <f aca="false">IF(IsPro,IF($D2355="","",ROUND(N($E2355)*J2355*(1-N($G2355)),2)),"")</f>
        <v/>
      </c>
      <c r="L2355" s="62" t="str">
        <f aca="false">IF(IsPro,IF($D2355="","",IFERROR(INDEX(Items!$F$5:$F$504,Q2355),0)),"")</f>
        <v/>
      </c>
      <c r="M2355" s="61" t="str">
        <f aca="false">IF(IsPro,IF($D2355="","",IF(AND(R2355&lt;&gt;"",INDEX(Parties!$E$5:$E$304,R2355)&lt;&gt;"",INDEX(Parties!$E$5:$E$304,R2355)&lt;&gt;HomeState),0,ROUND(K2355*L2355/2,2))),"")</f>
        <v/>
      </c>
      <c r="N2355" s="61" t="str">
        <f aca="false">IF(IsPro,IF($D2355="","",M2355),"")</f>
        <v/>
      </c>
      <c r="O2355" s="61" t="str">
        <f aca="false">IF(IsPro,IF($D2355="","",IF(AND(R2355&lt;&gt;"",INDEX(Parties!$E$5:$E$304,R2355)&lt;&gt;"",INDEX(Parties!$E$5:$E$304,R2355)&lt;&gt;HomeState),ROUND(K2355*L2355,2),0)),"")</f>
        <v/>
      </c>
      <c r="P2355" s="61" t="str">
        <f aca="false">IF(IsPro,IF($D2355="","",K2355+M2355+N2355+O2355),"")</f>
        <v/>
      </c>
      <c r="Q2355" s="60" t="str">
        <f aca="false">IF(IsPro,IF($D2355="","",IFERROR(MATCH($D2355,Items!$A$5:$A$504,0),"")),"")</f>
        <v/>
      </c>
      <c r="R2355" s="60" t="str">
        <f aca="false">IF(IsPro,IF($C2355="","",IFERROR(MATCH($C2355,Parties!$A$5:$A$304,0),"")),"")</f>
        <v/>
      </c>
      <c r="S2355" s="61" t="str">
        <f aca="false">IF(IsPro,IF($D2355="","",IF(OR($H2355="",$H2355="Credit"),0,P2355)),"")</f>
        <v/>
      </c>
    </row>
    <row r="2356" customFormat="false" ht="15" hidden="false" customHeight="false" outlineLevel="0" collapsed="false">
      <c r="A2356" s="55"/>
      <c r="B2356" s="56"/>
      <c r="C2356" s="56"/>
      <c r="D2356" s="56"/>
      <c r="E2356" s="57"/>
      <c r="F2356" s="58"/>
      <c r="G2356" s="59"/>
      <c r="H2356" s="56"/>
      <c r="I2356" s="60" t="str">
        <f aca="false">IF(IsPro,IF($D2356="","",IFERROR(INDEX(Items!$D$5:$D$504,Q2356),"")),IF($D2356="","","PRO PLAN"))</f>
        <v/>
      </c>
      <c r="J2356" s="61" t="str">
        <f aca="false">IF(IsPro,IF($D2356="","",IF($F2356="",IFERROR(INDEX(Items!$G$5:$G$504,Q2356),0),$F2356)),"")</f>
        <v/>
      </c>
      <c r="K2356" s="61" t="str">
        <f aca="false">IF(IsPro,IF($D2356="","",ROUND(N($E2356)*J2356*(1-N($G2356)),2)),"")</f>
        <v/>
      </c>
      <c r="L2356" s="62" t="str">
        <f aca="false">IF(IsPro,IF($D2356="","",IFERROR(INDEX(Items!$F$5:$F$504,Q2356),0)),"")</f>
        <v/>
      </c>
      <c r="M2356" s="61" t="str">
        <f aca="false">IF(IsPro,IF($D2356="","",IF(AND(R2356&lt;&gt;"",INDEX(Parties!$E$5:$E$304,R2356)&lt;&gt;"",INDEX(Parties!$E$5:$E$304,R2356)&lt;&gt;HomeState),0,ROUND(K2356*L2356/2,2))),"")</f>
        <v/>
      </c>
      <c r="N2356" s="61" t="str">
        <f aca="false">IF(IsPro,IF($D2356="","",M2356),"")</f>
        <v/>
      </c>
      <c r="O2356" s="61" t="str">
        <f aca="false">IF(IsPro,IF($D2356="","",IF(AND(R2356&lt;&gt;"",INDEX(Parties!$E$5:$E$304,R2356)&lt;&gt;"",INDEX(Parties!$E$5:$E$304,R2356)&lt;&gt;HomeState),ROUND(K2356*L2356,2),0)),"")</f>
        <v/>
      </c>
      <c r="P2356" s="61" t="str">
        <f aca="false">IF(IsPro,IF($D2356="","",K2356+M2356+N2356+O2356),"")</f>
        <v/>
      </c>
      <c r="Q2356" s="60" t="str">
        <f aca="false">IF(IsPro,IF($D2356="","",IFERROR(MATCH($D2356,Items!$A$5:$A$504,0),"")),"")</f>
        <v/>
      </c>
      <c r="R2356" s="60" t="str">
        <f aca="false">IF(IsPro,IF($C2356="","",IFERROR(MATCH($C2356,Parties!$A$5:$A$304,0),"")),"")</f>
        <v/>
      </c>
      <c r="S2356" s="61" t="str">
        <f aca="false">IF(IsPro,IF($D2356="","",IF(OR($H2356="",$H2356="Credit"),0,P2356)),"")</f>
        <v/>
      </c>
    </row>
    <row r="2357" customFormat="false" ht="15" hidden="false" customHeight="false" outlineLevel="0" collapsed="false">
      <c r="A2357" s="55"/>
      <c r="B2357" s="56"/>
      <c r="C2357" s="56"/>
      <c r="D2357" s="56"/>
      <c r="E2357" s="57"/>
      <c r="F2357" s="58"/>
      <c r="G2357" s="59"/>
      <c r="H2357" s="56"/>
      <c r="I2357" s="60" t="str">
        <f aca="false">IF(IsPro,IF($D2357="","",IFERROR(INDEX(Items!$D$5:$D$504,Q2357),"")),IF($D2357="","","PRO PLAN"))</f>
        <v/>
      </c>
      <c r="J2357" s="61" t="str">
        <f aca="false">IF(IsPro,IF($D2357="","",IF($F2357="",IFERROR(INDEX(Items!$G$5:$G$504,Q2357),0),$F2357)),"")</f>
        <v/>
      </c>
      <c r="K2357" s="61" t="str">
        <f aca="false">IF(IsPro,IF($D2357="","",ROUND(N($E2357)*J2357*(1-N($G2357)),2)),"")</f>
        <v/>
      </c>
      <c r="L2357" s="62" t="str">
        <f aca="false">IF(IsPro,IF($D2357="","",IFERROR(INDEX(Items!$F$5:$F$504,Q2357),0)),"")</f>
        <v/>
      </c>
      <c r="M2357" s="61" t="str">
        <f aca="false">IF(IsPro,IF($D2357="","",IF(AND(R2357&lt;&gt;"",INDEX(Parties!$E$5:$E$304,R2357)&lt;&gt;"",INDEX(Parties!$E$5:$E$304,R2357)&lt;&gt;HomeState),0,ROUND(K2357*L2357/2,2))),"")</f>
        <v/>
      </c>
      <c r="N2357" s="61" t="str">
        <f aca="false">IF(IsPro,IF($D2357="","",M2357),"")</f>
        <v/>
      </c>
      <c r="O2357" s="61" t="str">
        <f aca="false">IF(IsPro,IF($D2357="","",IF(AND(R2357&lt;&gt;"",INDEX(Parties!$E$5:$E$304,R2357)&lt;&gt;"",INDEX(Parties!$E$5:$E$304,R2357)&lt;&gt;HomeState),ROUND(K2357*L2357,2),0)),"")</f>
        <v/>
      </c>
      <c r="P2357" s="61" t="str">
        <f aca="false">IF(IsPro,IF($D2357="","",K2357+M2357+N2357+O2357),"")</f>
        <v/>
      </c>
      <c r="Q2357" s="60" t="str">
        <f aca="false">IF(IsPro,IF($D2357="","",IFERROR(MATCH($D2357,Items!$A$5:$A$504,0),"")),"")</f>
        <v/>
      </c>
      <c r="R2357" s="60" t="str">
        <f aca="false">IF(IsPro,IF($C2357="","",IFERROR(MATCH($C2357,Parties!$A$5:$A$304,0),"")),"")</f>
        <v/>
      </c>
      <c r="S2357" s="61" t="str">
        <f aca="false">IF(IsPro,IF($D2357="","",IF(OR($H2357="",$H2357="Credit"),0,P2357)),"")</f>
        <v/>
      </c>
    </row>
    <row r="2358" customFormat="false" ht="15" hidden="false" customHeight="false" outlineLevel="0" collapsed="false">
      <c r="A2358" s="55"/>
      <c r="B2358" s="56"/>
      <c r="C2358" s="56"/>
      <c r="D2358" s="56"/>
      <c r="E2358" s="57"/>
      <c r="F2358" s="58"/>
      <c r="G2358" s="59"/>
      <c r="H2358" s="56"/>
      <c r="I2358" s="60" t="str">
        <f aca="false">IF(IsPro,IF($D2358="","",IFERROR(INDEX(Items!$D$5:$D$504,Q2358),"")),IF($D2358="","","PRO PLAN"))</f>
        <v/>
      </c>
      <c r="J2358" s="61" t="str">
        <f aca="false">IF(IsPro,IF($D2358="","",IF($F2358="",IFERROR(INDEX(Items!$G$5:$G$504,Q2358),0),$F2358)),"")</f>
        <v/>
      </c>
      <c r="K2358" s="61" t="str">
        <f aca="false">IF(IsPro,IF($D2358="","",ROUND(N($E2358)*J2358*(1-N($G2358)),2)),"")</f>
        <v/>
      </c>
      <c r="L2358" s="62" t="str">
        <f aca="false">IF(IsPro,IF($D2358="","",IFERROR(INDEX(Items!$F$5:$F$504,Q2358),0)),"")</f>
        <v/>
      </c>
      <c r="M2358" s="61" t="str">
        <f aca="false">IF(IsPro,IF($D2358="","",IF(AND(R2358&lt;&gt;"",INDEX(Parties!$E$5:$E$304,R2358)&lt;&gt;"",INDEX(Parties!$E$5:$E$304,R2358)&lt;&gt;HomeState),0,ROUND(K2358*L2358/2,2))),"")</f>
        <v/>
      </c>
      <c r="N2358" s="61" t="str">
        <f aca="false">IF(IsPro,IF($D2358="","",M2358),"")</f>
        <v/>
      </c>
      <c r="O2358" s="61" t="str">
        <f aca="false">IF(IsPro,IF($D2358="","",IF(AND(R2358&lt;&gt;"",INDEX(Parties!$E$5:$E$304,R2358)&lt;&gt;"",INDEX(Parties!$E$5:$E$304,R2358)&lt;&gt;HomeState),ROUND(K2358*L2358,2),0)),"")</f>
        <v/>
      </c>
      <c r="P2358" s="61" t="str">
        <f aca="false">IF(IsPro,IF($D2358="","",K2358+M2358+N2358+O2358),"")</f>
        <v/>
      </c>
      <c r="Q2358" s="60" t="str">
        <f aca="false">IF(IsPro,IF($D2358="","",IFERROR(MATCH($D2358,Items!$A$5:$A$504,0),"")),"")</f>
        <v/>
      </c>
      <c r="R2358" s="60" t="str">
        <f aca="false">IF(IsPro,IF($C2358="","",IFERROR(MATCH($C2358,Parties!$A$5:$A$304,0),"")),"")</f>
        <v/>
      </c>
      <c r="S2358" s="61" t="str">
        <f aca="false">IF(IsPro,IF($D2358="","",IF(OR($H2358="",$H2358="Credit"),0,P2358)),"")</f>
        <v/>
      </c>
    </row>
    <row r="2359" customFormat="false" ht="15" hidden="false" customHeight="false" outlineLevel="0" collapsed="false">
      <c r="A2359" s="55"/>
      <c r="B2359" s="56"/>
      <c r="C2359" s="56"/>
      <c r="D2359" s="56"/>
      <c r="E2359" s="57"/>
      <c r="F2359" s="58"/>
      <c r="G2359" s="59"/>
      <c r="H2359" s="56"/>
      <c r="I2359" s="60" t="str">
        <f aca="false">IF(IsPro,IF($D2359="","",IFERROR(INDEX(Items!$D$5:$D$504,Q2359),"")),IF($D2359="","","PRO PLAN"))</f>
        <v/>
      </c>
      <c r="J2359" s="61" t="str">
        <f aca="false">IF(IsPro,IF($D2359="","",IF($F2359="",IFERROR(INDEX(Items!$G$5:$G$504,Q2359),0),$F2359)),"")</f>
        <v/>
      </c>
      <c r="K2359" s="61" t="str">
        <f aca="false">IF(IsPro,IF($D2359="","",ROUND(N($E2359)*J2359*(1-N($G2359)),2)),"")</f>
        <v/>
      </c>
      <c r="L2359" s="62" t="str">
        <f aca="false">IF(IsPro,IF($D2359="","",IFERROR(INDEX(Items!$F$5:$F$504,Q2359),0)),"")</f>
        <v/>
      </c>
      <c r="M2359" s="61" t="str">
        <f aca="false">IF(IsPro,IF($D2359="","",IF(AND(R2359&lt;&gt;"",INDEX(Parties!$E$5:$E$304,R2359)&lt;&gt;"",INDEX(Parties!$E$5:$E$304,R2359)&lt;&gt;HomeState),0,ROUND(K2359*L2359/2,2))),"")</f>
        <v/>
      </c>
      <c r="N2359" s="61" t="str">
        <f aca="false">IF(IsPro,IF($D2359="","",M2359),"")</f>
        <v/>
      </c>
      <c r="O2359" s="61" t="str">
        <f aca="false">IF(IsPro,IF($D2359="","",IF(AND(R2359&lt;&gt;"",INDEX(Parties!$E$5:$E$304,R2359)&lt;&gt;"",INDEX(Parties!$E$5:$E$304,R2359)&lt;&gt;HomeState),ROUND(K2359*L2359,2),0)),"")</f>
        <v/>
      </c>
      <c r="P2359" s="61" t="str">
        <f aca="false">IF(IsPro,IF($D2359="","",K2359+M2359+N2359+O2359),"")</f>
        <v/>
      </c>
      <c r="Q2359" s="60" t="str">
        <f aca="false">IF(IsPro,IF($D2359="","",IFERROR(MATCH($D2359,Items!$A$5:$A$504,0),"")),"")</f>
        <v/>
      </c>
      <c r="R2359" s="60" t="str">
        <f aca="false">IF(IsPro,IF($C2359="","",IFERROR(MATCH($C2359,Parties!$A$5:$A$304,0),"")),"")</f>
        <v/>
      </c>
      <c r="S2359" s="61" t="str">
        <f aca="false">IF(IsPro,IF($D2359="","",IF(OR($H2359="",$H2359="Credit"),0,P2359)),"")</f>
        <v/>
      </c>
    </row>
    <row r="2360" customFormat="false" ht="15" hidden="false" customHeight="false" outlineLevel="0" collapsed="false">
      <c r="A2360" s="55"/>
      <c r="B2360" s="56"/>
      <c r="C2360" s="56"/>
      <c r="D2360" s="56"/>
      <c r="E2360" s="57"/>
      <c r="F2360" s="58"/>
      <c r="G2360" s="59"/>
      <c r="H2360" s="56"/>
      <c r="I2360" s="60" t="str">
        <f aca="false">IF(IsPro,IF($D2360="","",IFERROR(INDEX(Items!$D$5:$D$504,Q2360),"")),IF($D2360="","","PRO PLAN"))</f>
        <v/>
      </c>
      <c r="J2360" s="61" t="str">
        <f aca="false">IF(IsPro,IF($D2360="","",IF($F2360="",IFERROR(INDEX(Items!$G$5:$G$504,Q2360),0),$F2360)),"")</f>
        <v/>
      </c>
      <c r="K2360" s="61" t="str">
        <f aca="false">IF(IsPro,IF($D2360="","",ROUND(N($E2360)*J2360*(1-N($G2360)),2)),"")</f>
        <v/>
      </c>
      <c r="L2360" s="62" t="str">
        <f aca="false">IF(IsPro,IF($D2360="","",IFERROR(INDEX(Items!$F$5:$F$504,Q2360),0)),"")</f>
        <v/>
      </c>
      <c r="M2360" s="61" t="str">
        <f aca="false">IF(IsPro,IF($D2360="","",IF(AND(R2360&lt;&gt;"",INDEX(Parties!$E$5:$E$304,R2360)&lt;&gt;"",INDEX(Parties!$E$5:$E$304,R2360)&lt;&gt;HomeState),0,ROUND(K2360*L2360/2,2))),"")</f>
        <v/>
      </c>
      <c r="N2360" s="61" t="str">
        <f aca="false">IF(IsPro,IF($D2360="","",M2360),"")</f>
        <v/>
      </c>
      <c r="O2360" s="61" t="str">
        <f aca="false">IF(IsPro,IF($D2360="","",IF(AND(R2360&lt;&gt;"",INDEX(Parties!$E$5:$E$304,R2360)&lt;&gt;"",INDEX(Parties!$E$5:$E$304,R2360)&lt;&gt;HomeState),ROUND(K2360*L2360,2),0)),"")</f>
        <v/>
      </c>
      <c r="P2360" s="61" t="str">
        <f aca="false">IF(IsPro,IF($D2360="","",K2360+M2360+N2360+O2360),"")</f>
        <v/>
      </c>
      <c r="Q2360" s="60" t="str">
        <f aca="false">IF(IsPro,IF($D2360="","",IFERROR(MATCH($D2360,Items!$A$5:$A$504,0),"")),"")</f>
        <v/>
      </c>
      <c r="R2360" s="60" t="str">
        <f aca="false">IF(IsPro,IF($C2360="","",IFERROR(MATCH($C2360,Parties!$A$5:$A$304,0),"")),"")</f>
        <v/>
      </c>
      <c r="S2360" s="61" t="str">
        <f aca="false">IF(IsPro,IF($D2360="","",IF(OR($H2360="",$H2360="Credit"),0,P2360)),"")</f>
        <v/>
      </c>
    </row>
    <row r="2361" customFormat="false" ht="15" hidden="false" customHeight="false" outlineLevel="0" collapsed="false">
      <c r="A2361" s="55"/>
      <c r="B2361" s="56"/>
      <c r="C2361" s="56"/>
      <c r="D2361" s="56"/>
      <c r="E2361" s="57"/>
      <c r="F2361" s="58"/>
      <c r="G2361" s="59"/>
      <c r="H2361" s="56"/>
      <c r="I2361" s="60" t="str">
        <f aca="false">IF(IsPro,IF($D2361="","",IFERROR(INDEX(Items!$D$5:$D$504,Q2361),"")),IF($D2361="","","PRO PLAN"))</f>
        <v/>
      </c>
      <c r="J2361" s="61" t="str">
        <f aca="false">IF(IsPro,IF($D2361="","",IF($F2361="",IFERROR(INDEX(Items!$G$5:$G$504,Q2361),0),$F2361)),"")</f>
        <v/>
      </c>
      <c r="K2361" s="61" t="str">
        <f aca="false">IF(IsPro,IF($D2361="","",ROUND(N($E2361)*J2361*(1-N($G2361)),2)),"")</f>
        <v/>
      </c>
      <c r="L2361" s="62" t="str">
        <f aca="false">IF(IsPro,IF($D2361="","",IFERROR(INDEX(Items!$F$5:$F$504,Q2361),0)),"")</f>
        <v/>
      </c>
      <c r="M2361" s="61" t="str">
        <f aca="false">IF(IsPro,IF($D2361="","",IF(AND(R2361&lt;&gt;"",INDEX(Parties!$E$5:$E$304,R2361)&lt;&gt;"",INDEX(Parties!$E$5:$E$304,R2361)&lt;&gt;HomeState),0,ROUND(K2361*L2361/2,2))),"")</f>
        <v/>
      </c>
      <c r="N2361" s="61" t="str">
        <f aca="false">IF(IsPro,IF($D2361="","",M2361),"")</f>
        <v/>
      </c>
      <c r="O2361" s="61" t="str">
        <f aca="false">IF(IsPro,IF($D2361="","",IF(AND(R2361&lt;&gt;"",INDEX(Parties!$E$5:$E$304,R2361)&lt;&gt;"",INDEX(Parties!$E$5:$E$304,R2361)&lt;&gt;HomeState),ROUND(K2361*L2361,2),0)),"")</f>
        <v/>
      </c>
      <c r="P2361" s="61" t="str">
        <f aca="false">IF(IsPro,IF($D2361="","",K2361+M2361+N2361+O2361),"")</f>
        <v/>
      </c>
      <c r="Q2361" s="60" t="str">
        <f aca="false">IF(IsPro,IF($D2361="","",IFERROR(MATCH($D2361,Items!$A$5:$A$504,0),"")),"")</f>
        <v/>
      </c>
      <c r="R2361" s="60" t="str">
        <f aca="false">IF(IsPro,IF($C2361="","",IFERROR(MATCH($C2361,Parties!$A$5:$A$304,0),"")),"")</f>
        <v/>
      </c>
      <c r="S2361" s="61" t="str">
        <f aca="false">IF(IsPro,IF($D2361="","",IF(OR($H2361="",$H2361="Credit"),0,P2361)),"")</f>
        <v/>
      </c>
    </row>
    <row r="2362" customFormat="false" ht="15" hidden="false" customHeight="false" outlineLevel="0" collapsed="false">
      <c r="A2362" s="55"/>
      <c r="B2362" s="56"/>
      <c r="C2362" s="56"/>
      <c r="D2362" s="56"/>
      <c r="E2362" s="57"/>
      <c r="F2362" s="58"/>
      <c r="G2362" s="59"/>
      <c r="H2362" s="56"/>
      <c r="I2362" s="60" t="str">
        <f aca="false">IF(IsPro,IF($D2362="","",IFERROR(INDEX(Items!$D$5:$D$504,Q2362),"")),IF($D2362="","","PRO PLAN"))</f>
        <v/>
      </c>
      <c r="J2362" s="61" t="str">
        <f aca="false">IF(IsPro,IF($D2362="","",IF($F2362="",IFERROR(INDEX(Items!$G$5:$G$504,Q2362),0),$F2362)),"")</f>
        <v/>
      </c>
      <c r="K2362" s="61" t="str">
        <f aca="false">IF(IsPro,IF($D2362="","",ROUND(N($E2362)*J2362*(1-N($G2362)),2)),"")</f>
        <v/>
      </c>
      <c r="L2362" s="62" t="str">
        <f aca="false">IF(IsPro,IF($D2362="","",IFERROR(INDEX(Items!$F$5:$F$504,Q2362),0)),"")</f>
        <v/>
      </c>
      <c r="M2362" s="61" t="str">
        <f aca="false">IF(IsPro,IF($D2362="","",IF(AND(R2362&lt;&gt;"",INDEX(Parties!$E$5:$E$304,R2362)&lt;&gt;"",INDEX(Parties!$E$5:$E$304,R2362)&lt;&gt;HomeState),0,ROUND(K2362*L2362/2,2))),"")</f>
        <v/>
      </c>
      <c r="N2362" s="61" t="str">
        <f aca="false">IF(IsPro,IF($D2362="","",M2362),"")</f>
        <v/>
      </c>
      <c r="O2362" s="61" t="str">
        <f aca="false">IF(IsPro,IF($D2362="","",IF(AND(R2362&lt;&gt;"",INDEX(Parties!$E$5:$E$304,R2362)&lt;&gt;"",INDEX(Parties!$E$5:$E$304,R2362)&lt;&gt;HomeState),ROUND(K2362*L2362,2),0)),"")</f>
        <v/>
      </c>
      <c r="P2362" s="61" t="str">
        <f aca="false">IF(IsPro,IF($D2362="","",K2362+M2362+N2362+O2362),"")</f>
        <v/>
      </c>
      <c r="Q2362" s="60" t="str">
        <f aca="false">IF(IsPro,IF($D2362="","",IFERROR(MATCH($D2362,Items!$A$5:$A$504,0),"")),"")</f>
        <v/>
      </c>
      <c r="R2362" s="60" t="str">
        <f aca="false">IF(IsPro,IF($C2362="","",IFERROR(MATCH($C2362,Parties!$A$5:$A$304,0),"")),"")</f>
        <v/>
      </c>
      <c r="S2362" s="61" t="str">
        <f aca="false">IF(IsPro,IF($D2362="","",IF(OR($H2362="",$H2362="Credit"),0,P2362)),"")</f>
        <v/>
      </c>
    </row>
    <row r="2363" customFormat="false" ht="15" hidden="false" customHeight="false" outlineLevel="0" collapsed="false">
      <c r="A2363" s="55"/>
      <c r="B2363" s="56"/>
      <c r="C2363" s="56"/>
      <c r="D2363" s="56"/>
      <c r="E2363" s="57"/>
      <c r="F2363" s="58"/>
      <c r="G2363" s="59"/>
      <c r="H2363" s="56"/>
      <c r="I2363" s="60" t="str">
        <f aca="false">IF(IsPro,IF($D2363="","",IFERROR(INDEX(Items!$D$5:$D$504,Q2363),"")),IF($D2363="","","PRO PLAN"))</f>
        <v/>
      </c>
      <c r="J2363" s="61" t="str">
        <f aca="false">IF(IsPro,IF($D2363="","",IF($F2363="",IFERROR(INDEX(Items!$G$5:$G$504,Q2363),0),$F2363)),"")</f>
        <v/>
      </c>
      <c r="K2363" s="61" t="str">
        <f aca="false">IF(IsPro,IF($D2363="","",ROUND(N($E2363)*J2363*(1-N($G2363)),2)),"")</f>
        <v/>
      </c>
      <c r="L2363" s="62" t="str">
        <f aca="false">IF(IsPro,IF($D2363="","",IFERROR(INDEX(Items!$F$5:$F$504,Q2363),0)),"")</f>
        <v/>
      </c>
      <c r="M2363" s="61" t="str">
        <f aca="false">IF(IsPro,IF($D2363="","",IF(AND(R2363&lt;&gt;"",INDEX(Parties!$E$5:$E$304,R2363)&lt;&gt;"",INDEX(Parties!$E$5:$E$304,R2363)&lt;&gt;HomeState),0,ROUND(K2363*L2363/2,2))),"")</f>
        <v/>
      </c>
      <c r="N2363" s="61" t="str">
        <f aca="false">IF(IsPro,IF($D2363="","",M2363),"")</f>
        <v/>
      </c>
      <c r="O2363" s="61" t="str">
        <f aca="false">IF(IsPro,IF($D2363="","",IF(AND(R2363&lt;&gt;"",INDEX(Parties!$E$5:$E$304,R2363)&lt;&gt;"",INDEX(Parties!$E$5:$E$304,R2363)&lt;&gt;HomeState),ROUND(K2363*L2363,2),0)),"")</f>
        <v/>
      </c>
      <c r="P2363" s="61" t="str">
        <f aca="false">IF(IsPro,IF($D2363="","",K2363+M2363+N2363+O2363),"")</f>
        <v/>
      </c>
      <c r="Q2363" s="60" t="str">
        <f aca="false">IF(IsPro,IF($D2363="","",IFERROR(MATCH($D2363,Items!$A$5:$A$504,0),"")),"")</f>
        <v/>
      </c>
      <c r="R2363" s="60" t="str">
        <f aca="false">IF(IsPro,IF($C2363="","",IFERROR(MATCH($C2363,Parties!$A$5:$A$304,0),"")),"")</f>
        <v/>
      </c>
      <c r="S2363" s="61" t="str">
        <f aca="false">IF(IsPro,IF($D2363="","",IF(OR($H2363="",$H2363="Credit"),0,P2363)),"")</f>
        <v/>
      </c>
    </row>
    <row r="2364" customFormat="false" ht="15" hidden="false" customHeight="false" outlineLevel="0" collapsed="false">
      <c r="A2364" s="55"/>
      <c r="B2364" s="56"/>
      <c r="C2364" s="56"/>
      <c r="D2364" s="56"/>
      <c r="E2364" s="57"/>
      <c r="F2364" s="58"/>
      <c r="G2364" s="59"/>
      <c r="H2364" s="56"/>
      <c r="I2364" s="60" t="str">
        <f aca="false">IF(IsPro,IF($D2364="","",IFERROR(INDEX(Items!$D$5:$D$504,Q2364),"")),IF($D2364="","","PRO PLAN"))</f>
        <v/>
      </c>
      <c r="J2364" s="61" t="str">
        <f aca="false">IF(IsPro,IF($D2364="","",IF($F2364="",IFERROR(INDEX(Items!$G$5:$G$504,Q2364),0),$F2364)),"")</f>
        <v/>
      </c>
      <c r="K2364" s="61" t="str">
        <f aca="false">IF(IsPro,IF($D2364="","",ROUND(N($E2364)*J2364*(1-N($G2364)),2)),"")</f>
        <v/>
      </c>
      <c r="L2364" s="62" t="str">
        <f aca="false">IF(IsPro,IF($D2364="","",IFERROR(INDEX(Items!$F$5:$F$504,Q2364),0)),"")</f>
        <v/>
      </c>
      <c r="M2364" s="61" t="str">
        <f aca="false">IF(IsPro,IF($D2364="","",IF(AND(R2364&lt;&gt;"",INDEX(Parties!$E$5:$E$304,R2364)&lt;&gt;"",INDEX(Parties!$E$5:$E$304,R2364)&lt;&gt;HomeState),0,ROUND(K2364*L2364/2,2))),"")</f>
        <v/>
      </c>
      <c r="N2364" s="61" t="str">
        <f aca="false">IF(IsPro,IF($D2364="","",M2364),"")</f>
        <v/>
      </c>
      <c r="O2364" s="61" t="str">
        <f aca="false">IF(IsPro,IF($D2364="","",IF(AND(R2364&lt;&gt;"",INDEX(Parties!$E$5:$E$304,R2364)&lt;&gt;"",INDEX(Parties!$E$5:$E$304,R2364)&lt;&gt;HomeState),ROUND(K2364*L2364,2),0)),"")</f>
        <v/>
      </c>
      <c r="P2364" s="61" t="str">
        <f aca="false">IF(IsPro,IF($D2364="","",K2364+M2364+N2364+O2364),"")</f>
        <v/>
      </c>
      <c r="Q2364" s="60" t="str">
        <f aca="false">IF(IsPro,IF($D2364="","",IFERROR(MATCH($D2364,Items!$A$5:$A$504,0),"")),"")</f>
        <v/>
      </c>
      <c r="R2364" s="60" t="str">
        <f aca="false">IF(IsPro,IF($C2364="","",IFERROR(MATCH($C2364,Parties!$A$5:$A$304,0),"")),"")</f>
        <v/>
      </c>
      <c r="S2364" s="61" t="str">
        <f aca="false">IF(IsPro,IF($D2364="","",IF(OR($H2364="",$H2364="Credit"),0,P2364)),"")</f>
        <v/>
      </c>
    </row>
    <row r="2365" customFormat="false" ht="15" hidden="false" customHeight="false" outlineLevel="0" collapsed="false">
      <c r="A2365" s="55"/>
      <c r="B2365" s="56"/>
      <c r="C2365" s="56"/>
      <c r="D2365" s="56"/>
      <c r="E2365" s="57"/>
      <c r="F2365" s="58"/>
      <c r="G2365" s="59"/>
      <c r="H2365" s="56"/>
      <c r="I2365" s="60" t="str">
        <f aca="false">IF(IsPro,IF($D2365="","",IFERROR(INDEX(Items!$D$5:$D$504,Q2365),"")),IF($D2365="","","PRO PLAN"))</f>
        <v/>
      </c>
      <c r="J2365" s="61" t="str">
        <f aca="false">IF(IsPro,IF($D2365="","",IF($F2365="",IFERROR(INDEX(Items!$G$5:$G$504,Q2365),0),$F2365)),"")</f>
        <v/>
      </c>
      <c r="K2365" s="61" t="str">
        <f aca="false">IF(IsPro,IF($D2365="","",ROUND(N($E2365)*J2365*(1-N($G2365)),2)),"")</f>
        <v/>
      </c>
      <c r="L2365" s="62" t="str">
        <f aca="false">IF(IsPro,IF($D2365="","",IFERROR(INDEX(Items!$F$5:$F$504,Q2365),0)),"")</f>
        <v/>
      </c>
      <c r="M2365" s="61" t="str">
        <f aca="false">IF(IsPro,IF($D2365="","",IF(AND(R2365&lt;&gt;"",INDEX(Parties!$E$5:$E$304,R2365)&lt;&gt;"",INDEX(Parties!$E$5:$E$304,R2365)&lt;&gt;HomeState),0,ROUND(K2365*L2365/2,2))),"")</f>
        <v/>
      </c>
      <c r="N2365" s="61" t="str">
        <f aca="false">IF(IsPro,IF($D2365="","",M2365),"")</f>
        <v/>
      </c>
      <c r="O2365" s="61" t="str">
        <f aca="false">IF(IsPro,IF($D2365="","",IF(AND(R2365&lt;&gt;"",INDEX(Parties!$E$5:$E$304,R2365)&lt;&gt;"",INDEX(Parties!$E$5:$E$304,R2365)&lt;&gt;HomeState),ROUND(K2365*L2365,2),0)),"")</f>
        <v/>
      </c>
      <c r="P2365" s="61" t="str">
        <f aca="false">IF(IsPro,IF($D2365="","",K2365+M2365+N2365+O2365),"")</f>
        <v/>
      </c>
      <c r="Q2365" s="60" t="str">
        <f aca="false">IF(IsPro,IF($D2365="","",IFERROR(MATCH($D2365,Items!$A$5:$A$504,0),"")),"")</f>
        <v/>
      </c>
      <c r="R2365" s="60" t="str">
        <f aca="false">IF(IsPro,IF($C2365="","",IFERROR(MATCH($C2365,Parties!$A$5:$A$304,0),"")),"")</f>
        <v/>
      </c>
      <c r="S2365" s="61" t="str">
        <f aca="false">IF(IsPro,IF($D2365="","",IF(OR($H2365="",$H2365="Credit"),0,P2365)),"")</f>
        <v/>
      </c>
    </row>
    <row r="2366" customFormat="false" ht="15" hidden="false" customHeight="false" outlineLevel="0" collapsed="false">
      <c r="A2366" s="55"/>
      <c r="B2366" s="56"/>
      <c r="C2366" s="56"/>
      <c r="D2366" s="56"/>
      <c r="E2366" s="57"/>
      <c r="F2366" s="58"/>
      <c r="G2366" s="59"/>
      <c r="H2366" s="56"/>
      <c r="I2366" s="60" t="str">
        <f aca="false">IF(IsPro,IF($D2366="","",IFERROR(INDEX(Items!$D$5:$D$504,Q2366),"")),IF($D2366="","","PRO PLAN"))</f>
        <v/>
      </c>
      <c r="J2366" s="61" t="str">
        <f aca="false">IF(IsPro,IF($D2366="","",IF($F2366="",IFERROR(INDEX(Items!$G$5:$G$504,Q2366),0),$F2366)),"")</f>
        <v/>
      </c>
      <c r="K2366" s="61" t="str">
        <f aca="false">IF(IsPro,IF($D2366="","",ROUND(N($E2366)*J2366*(1-N($G2366)),2)),"")</f>
        <v/>
      </c>
      <c r="L2366" s="62" t="str">
        <f aca="false">IF(IsPro,IF($D2366="","",IFERROR(INDEX(Items!$F$5:$F$504,Q2366),0)),"")</f>
        <v/>
      </c>
      <c r="M2366" s="61" t="str">
        <f aca="false">IF(IsPro,IF($D2366="","",IF(AND(R2366&lt;&gt;"",INDEX(Parties!$E$5:$E$304,R2366)&lt;&gt;"",INDEX(Parties!$E$5:$E$304,R2366)&lt;&gt;HomeState),0,ROUND(K2366*L2366/2,2))),"")</f>
        <v/>
      </c>
      <c r="N2366" s="61" t="str">
        <f aca="false">IF(IsPro,IF($D2366="","",M2366),"")</f>
        <v/>
      </c>
      <c r="O2366" s="61" t="str">
        <f aca="false">IF(IsPro,IF($D2366="","",IF(AND(R2366&lt;&gt;"",INDEX(Parties!$E$5:$E$304,R2366)&lt;&gt;"",INDEX(Parties!$E$5:$E$304,R2366)&lt;&gt;HomeState),ROUND(K2366*L2366,2),0)),"")</f>
        <v/>
      </c>
      <c r="P2366" s="61" t="str">
        <f aca="false">IF(IsPro,IF($D2366="","",K2366+M2366+N2366+O2366),"")</f>
        <v/>
      </c>
      <c r="Q2366" s="60" t="str">
        <f aca="false">IF(IsPro,IF($D2366="","",IFERROR(MATCH($D2366,Items!$A$5:$A$504,0),"")),"")</f>
        <v/>
      </c>
      <c r="R2366" s="60" t="str">
        <f aca="false">IF(IsPro,IF($C2366="","",IFERROR(MATCH($C2366,Parties!$A$5:$A$304,0),"")),"")</f>
        <v/>
      </c>
      <c r="S2366" s="61" t="str">
        <f aca="false">IF(IsPro,IF($D2366="","",IF(OR($H2366="",$H2366="Credit"),0,P2366)),"")</f>
        <v/>
      </c>
    </row>
    <row r="2367" customFormat="false" ht="15" hidden="false" customHeight="false" outlineLevel="0" collapsed="false">
      <c r="A2367" s="55"/>
      <c r="B2367" s="56"/>
      <c r="C2367" s="56"/>
      <c r="D2367" s="56"/>
      <c r="E2367" s="57"/>
      <c r="F2367" s="58"/>
      <c r="G2367" s="59"/>
      <c r="H2367" s="56"/>
      <c r="I2367" s="60" t="str">
        <f aca="false">IF(IsPro,IF($D2367="","",IFERROR(INDEX(Items!$D$5:$D$504,Q2367),"")),IF($D2367="","","PRO PLAN"))</f>
        <v/>
      </c>
      <c r="J2367" s="61" t="str">
        <f aca="false">IF(IsPro,IF($D2367="","",IF($F2367="",IFERROR(INDEX(Items!$G$5:$G$504,Q2367),0),$F2367)),"")</f>
        <v/>
      </c>
      <c r="K2367" s="61" t="str">
        <f aca="false">IF(IsPro,IF($D2367="","",ROUND(N($E2367)*J2367*(1-N($G2367)),2)),"")</f>
        <v/>
      </c>
      <c r="L2367" s="62" t="str">
        <f aca="false">IF(IsPro,IF($D2367="","",IFERROR(INDEX(Items!$F$5:$F$504,Q2367),0)),"")</f>
        <v/>
      </c>
      <c r="M2367" s="61" t="str">
        <f aca="false">IF(IsPro,IF($D2367="","",IF(AND(R2367&lt;&gt;"",INDEX(Parties!$E$5:$E$304,R2367)&lt;&gt;"",INDEX(Parties!$E$5:$E$304,R2367)&lt;&gt;HomeState),0,ROUND(K2367*L2367/2,2))),"")</f>
        <v/>
      </c>
      <c r="N2367" s="61" t="str">
        <f aca="false">IF(IsPro,IF($D2367="","",M2367),"")</f>
        <v/>
      </c>
      <c r="O2367" s="61" t="str">
        <f aca="false">IF(IsPro,IF($D2367="","",IF(AND(R2367&lt;&gt;"",INDEX(Parties!$E$5:$E$304,R2367)&lt;&gt;"",INDEX(Parties!$E$5:$E$304,R2367)&lt;&gt;HomeState),ROUND(K2367*L2367,2),0)),"")</f>
        <v/>
      </c>
      <c r="P2367" s="61" t="str">
        <f aca="false">IF(IsPro,IF($D2367="","",K2367+M2367+N2367+O2367),"")</f>
        <v/>
      </c>
      <c r="Q2367" s="60" t="str">
        <f aca="false">IF(IsPro,IF($D2367="","",IFERROR(MATCH($D2367,Items!$A$5:$A$504,0),"")),"")</f>
        <v/>
      </c>
      <c r="R2367" s="60" t="str">
        <f aca="false">IF(IsPro,IF($C2367="","",IFERROR(MATCH($C2367,Parties!$A$5:$A$304,0),"")),"")</f>
        <v/>
      </c>
      <c r="S2367" s="61" t="str">
        <f aca="false">IF(IsPro,IF($D2367="","",IF(OR($H2367="",$H2367="Credit"),0,P2367)),"")</f>
        <v/>
      </c>
    </row>
    <row r="2368" customFormat="false" ht="15" hidden="false" customHeight="false" outlineLevel="0" collapsed="false">
      <c r="A2368" s="55"/>
      <c r="B2368" s="56"/>
      <c r="C2368" s="56"/>
      <c r="D2368" s="56"/>
      <c r="E2368" s="57"/>
      <c r="F2368" s="58"/>
      <c r="G2368" s="59"/>
      <c r="H2368" s="56"/>
      <c r="I2368" s="60" t="str">
        <f aca="false">IF(IsPro,IF($D2368="","",IFERROR(INDEX(Items!$D$5:$D$504,Q2368),"")),IF($D2368="","","PRO PLAN"))</f>
        <v/>
      </c>
      <c r="J2368" s="61" t="str">
        <f aca="false">IF(IsPro,IF($D2368="","",IF($F2368="",IFERROR(INDEX(Items!$G$5:$G$504,Q2368),0),$F2368)),"")</f>
        <v/>
      </c>
      <c r="K2368" s="61" t="str">
        <f aca="false">IF(IsPro,IF($D2368="","",ROUND(N($E2368)*J2368*(1-N($G2368)),2)),"")</f>
        <v/>
      </c>
      <c r="L2368" s="62" t="str">
        <f aca="false">IF(IsPro,IF($D2368="","",IFERROR(INDEX(Items!$F$5:$F$504,Q2368),0)),"")</f>
        <v/>
      </c>
      <c r="M2368" s="61" t="str">
        <f aca="false">IF(IsPro,IF($D2368="","",IF(AND(R2368&lt;&gt;"",INDEX(Parties!$E$5:$E$304,R2368)&lt;&gt;"",INDEX(Parties!$E$5:$E$304,R2368)&lt;&gt;HomeState),0,ROUND(K2368*L2368/2,2))),"")</f>
        <v/>
      </c>
      <c r="N2368" s="61" t="str">
        <f aca="false">IF(IsPro,IF($D2368="","",M2368),"")</f>
        <v/>
      </c>
      <c r="O2368" s="61" t="str">
        <f aca="false">IF(IsPro,IF($D2368="","",IF(AND(R2368&lt;&gt;"",INDEX(Parties!$E$5:$E$304,R2368)&lt;&gt;"",INDEX(Parties!$E$5:$E$304,R2368)&lt;&gt;HomeState),ROUND(K2368*L2368,2),0)),"")</f>
        <v/>
      </c>
      <c r="P2368" s="61" t="str">
        <f aca="false">IF(IsPro,IF($D2368="","",K2368+M2368+N2368+O2368),"")</f>
        <v/>
      </c>
      <c r="Q2368" s="60" t="str">
        <f aca="false">IF(IsPro,IF($D2368="","",IFERROR(MATCH($D2368,Items!$A$5:$A$504,0),"")),"")</f>
        <v/>
      </c>
      <c r="R2368" s="60" t="str">
        <f aca="false">IF(IsPro,IF($C2368="","",IFERROR(MATCH($C2368,Parties!$A$5:$A$304,0),"")),"")</f>
        <v/>
      </c>
      <c r="S2368" s="61" t="str">
        <f aca="false">IF(IsPro,IF($D2368="","",IF(OR($H2368="",$H2368="Credit"),0,P2368)),"")</f>
        <v/>
      </c>
    </row>
    <row r="2369" customFormat="false" ht="15" hidden="false" customHeight="false" outlineLevel="0" collapsed="false">
      <c r="A2369" s="55"/>
      <c r="B2369" s="56"/>
      <c r="C2369" s="56"/>
      <c r="D2369" s="56"/>
      <c r="E2369" s="57"/>
      <c r="F2369" s="58"/>
      <c r="G2369" s="59"/>
      <c r="H2369" s="56"/>
      <c r="I2369" s="60" t="str">
        <f aca="false">IF(IsPro,IF($D2369="","",IFERROR(INDEX(Items!$D$5:$D$504,Q2369),"")),IF($D2369="","","PRO PLAN"))</f>
        <v/>
      </c>
      <c r="J2369" s="61" t="str">
        <f aca="false">IF(IsPro,IF($D2369="","",IF($F2369="",IFERROR(INDEX(Items!$G$5:$G$504,Q2369),0),$F2369)),"")</f>
        <v/>
      </c>
      <c r="K2369" s="61" t="str">
        <f aca="false">IF(IsPro,IF($D2369="","",ROUND(N($E2369)*J2369*(1-N($G2369)),2)),"")</f>
        <v/>
      </c>
      <c r="L2369" s="62" t="str">
        <f aca="false">IF(IsPro,IF($D2369="","",IFERROR(INDEX(Items!$F$5:$F$504,Q2369),0)),"")</f>
        <v/>
      </c>
      <c r="M2369" s="61" t="str">
        <f aca="false">IF(IsPro,IF($D2369="","",IF(AND(R2369&lt;&gt;"",INDEX(Parties!$E$5:$E$304,R2369)&lt;&gt;"",INDEX(Parties!$E$5:$E$304,R2369)&lt;&gt;HomeState),0,ROUND(K2369*L2369/2,2))),"")</f>
        <v/>
      </c>
      <c r="N2369" s="61" t="str">
        <f aca="false">IF(IsPro,IF($D2369="","",M2369),"")</f>
        <v/>
      </c>
      <c r="O2369" s="61" t="str">
        <f aca="false">IF(IsPro,IF($D2369="","",IF(AND(R2369&lt;&gt;"",INDEX(Parties!$E$5:$E$304,R2369)&lt;&gt;"",INDEX(Parties!$E$5:$E$304,R2369)&lt;&gt;HomeState),ROUND(K2369*L2369,2),0)),"")</f>
        <v/>
      </c>
      <c r="P2369" s="61" t="str">
        <f aca="false">IF(IsPro,IF($D2369="","",K2369+M2369+N2369+O2369),"")</f>
        <v/>
      </c>
      <c r="Q2369" s="60" t="str">
        <f aca="false">IF(IsPro,IF($D2369="","",IFERROR(MATCH($D2369,Items!$A$5:$A$504,0),"")),"")</f>
        <v/>
      </c>
      <c r="R2369" s="60" t="str">
        <f aca="false">IF(IsPro,IF($C2369="","",IFERROR(MATCH($C2369,Parties!$A$5:$A$304,0),"")),"")</f>
        <v/>
      </c>
      <c r="S2369" s="61" t="str">
        <f aca="false">IF(IsPro,IF($D2369="","",IF(OR($H2369="",$H2369="Credit"),0,P2369)),"")</f>
        <v/>
      </c>
    </row>
    <row r="2370" customFormat="false" ht="15" hidden="false" customHeight="false" outlineLevel="0" collapsed="false">
      <c r="A2370" s="55"/>
      <c r="B2370" s="56"/>
      <c r="C2370" s="56"/>
      <c r="D2370" s="56"/>
      <c r="E2370" s="57"/>
      <c r="F2370" s="58"/>
      <c r="G2370" s="59"/>
      <c r="H2370" s="56"/>
      <c r="I2370" s="60" t="str">
        <f aca="false">IF(IsPro,IF($D2370="","",IFERROR(INDEX(Items!$D$5:$D$504,Q2370),"")),IF($D2370="","","PRO PLAN"))</f>
        <v/>
      </c>
      <c r="J2370" s="61" t="str">
        <f aca="false">IF(IsPro,IF($D2370="","",IF($F2370="",IFERROR(INDEX(Items!$G$5:$G$504,Q2370),0),$F2370)),"")</f>
        <v/>
      </c>
      <c r="K2370" s="61" t="str">
        <f aca="false">IF(IsPro,IF($D2370="","",ROUND(N($E2370)*J2370*(1-N($G2370)),2)),"")</f>
        <v/>
      </c>
      <c r="L2370" s="62" t="str">
        <f aca="false">IF(IsPro,IF($D2370="","",IFERROR(INDEX(Items!$F$5:$F$504,Q2370),0)),"")</f>
        <v/>
      </c>
      <c r="M2370" s="61" t="str">
        <f aca="false">IF(IsPro,IF($D2370="","",IF(AND(R2370&lt;&gt;"",INDEX(Parties!$E$5:$E$304,R2370)&lt;&gt;"",INDEX(Parties!$E$5:$E$304,R2370)&lt;&gt;HomeState),0,ROUND(K2370*L2370/2,2))),"")</f>
        <v/>
      </c>
      <c r="N2370" s="61" t="str">
        <f aca="false">IF(IsPro,IF($D2370="","",M2370),"")</f>
        <v/>
      </c>
      <c r="O2370" s="61" t="str">
        <f aca="false">IF(IsPro,IF($D2370="","",IF(AND(R2370&lt;&gt;"",INDEX(Parties!$E$5:$E$304,R2370)&lt;&gt;"",INDEX(Parties!$E$5:$E$304,R2370)&lt;&gt;HomeState),ROUND(K2370*L2370,2),0)),"")</f>
        <v/>
      </c>
      <c r="P2370" s="61" t="str">
        <f aca="false">IF(IsPro,IF($D2370="","",K2370+M2370+N2370+O2370),"")</f>
        <v/>
      </c>
      <c r="Q2370" s="60" t="str">
        <f aca="false">IF(IsPro,IF($D2370="","",IFERROR(MATCH($D2370,Items!$A$5:$A$504,0),"")),"")</f>
        <v/>
      </c>
      <c r="R2370" s="60" t="str">
        <f aca="false">IF(IsPro,IF($C2370="","",IFERROR(MATCH($C2370,Parties!$A$5:$A$304,0),"")),"")</f>
        <v/>
      </c>
      <c r="S2370" s="61" t="str">
        <f aca="false">IF(IsPro,IF($D2370="","",IF(OR($H2370="",$H2370="Credit"),0,P2370)),"")</f>
        <v/>
      </c>
    </row>
    <row r="2371" customFormat="false" ht="15" hidden="false" customHeight="false" outlineLevel="0" collapsed="false">
      <c r="A2371" s="55"/>
      <c r="B2371" s="56"/>
      <c r="C2371" s="56"/>
      <c r="D2371" s="56"/>
      <c r="E2371" s="57"/>
      <c r="F2371" s="58"/>
      <c r="G2371" s="59"/>
      <c r="H2371" s="56"/>
      <c r="I2371" s="60" t="str">
        <f aca="false">IF(IsPro,IF($D2371="","",IFERROR(INDEX(Items!$D$5:$D$504,Q2371),"")),IF($D2371="","","PRO PLAN"))</f>
        <v/>
      </c>
      <c r="J2371" s="61" t="str">
        <f aca="false">IF(IsPro,IF($D2371="","",IF($F2371="",IFERROR(INDEX(Items!$G$5:$G$504,Q2371),0),$F2371)),"")</f>
        <v/>
      </c>
      <c r="K2371" s="61" t="str">
        <f aca="false">IF(IsPro,IF($D2371="","",ROUND(N($E2371)*J2371*(1-N($G2371)),2)),"")</f>
        <v/>
      </c>
      <c r="L2371" s="62" t="str">
        <f aca="false">IF(IsPro,IF($D2371="","",IFERROR(INDEX(Items!$F$5:$F$504,Q2371),0)),"")</f>
        <v/>
      </c>
      <c r="M2371" s="61" t="str">
        <f aca="false">IF(IsPro,IF($D2371="","",IF(AND(R2371&lt;&gt;"",INDEX(Parties!$E$5:$E$304,R2371)&lt;&gt;"",INDEX(Parties!$E$5:$E$304,R2371)&lt;&gt;HomeState),0,ROUND(K2371*L2371/2,2))),"")</f>
        <v/>
      </c>
      <c r="N2371" s="61" t="str">
        <f aca="false">IF(IsPro,IF($D2371="","",M2371),"")</f>
        <v/>
      </c>
      <c r="O2371" s="61" t="str">
        <f aca="false">IF(IsPro,IF($D2371="","",IF(AND(R2371&lt;&gt;"",INDEX(Parties!$E$5:$E$304,R2371)&lt;&gt;"",INDEX(Parties!$E$5:$E$304,R2371)&lt;&gt;HomeState),ROUND(K2371*L2371,2),0)),"")</f>
        <v/>
      </c>
      <c r="P2371" s="61" t="str">
        <f aca="false">IF(IsPro,IF($D2371="","",K2371+M2371+N2371+O2371),"")</f>
        <v/>
      </c>
      <c r="Q2371" s="60" t="str">
        <f aca="false">IF(IsPro,IF($D2371="","",IFERROR(MATCH($D2371,Items!$A$5:$A$504,0),"")),"")</f>
        <v/>
      </c>
      <c r="R2371" s="60" t="str">
        <f aca="false">IF(IsPro,IF($C2371="","",IFERROR(MATCH($C2371,Parties!$A$5:$A$304,0),"")),"")</f>
        <v/>
      </c>
      <c r="S2371" s="61" t="str">
        <f aca="false">IF(IsPro,IF($D2371="","",IF(OR($H2371="",$H2371="Credit"),0,P2371)),"")</f>
        <v/>
      </c>
    </row>
    <row r="2372" customFormat="false" ht="15" hidden="false" customHeight="false" outlineLevel="0" collapsed="false">
      <c r="A2372" s="55"/>
      <c r="B2372" s="56"/>
      <c r="C2372" s="56"/>
      <c r="D2372" s="56"/>
      <c r="E2372" s="57"/>
      <c r="F2372" s="58"/>
      <c r="G2372" s="59"/>
      <c r="H2372" s="56"/>
      <c r="I2372" s="60" t="str">
        <f aca="false">IF(IsPro,IF($D2372="","",IFERROR(INDEX(Items!$D$5:$D$504,Q2372),"")),IF($D2372="","","PRO PLAN"))</f>
        <v/>
      </c>
      <c r="J2372" s="61" t="str">
        <f aca="false">IF(IsPro,IF($D2372="","",IF($F2372="",IFERROR(INDEX(Items!$G$5:$G$504,Q2372),0),$F2372)),"")</f>
        <v/>
      </c>
      <c r="K2372" s="61" t="str">
        <f aca="false">IF(IsPro,IF($D2372="","",ROUND(N($E2372)*J2372*(1-N($G2372)),2)),"")</f>
        <v/>
      </c>
      <c r="L2372" s="62" t="str">
        <f aca="false">IF(IsPro,IF($D2372="","",IFERROR(INDEX(Items!$F$5:$F$504,Q2372),0)),"")</f>
        <v/>
      </c>
      <c r="M2372" s="61" t="str">
        <f aca="false">IF(IsPro,IF($D2372="","",IF(AND(R2372&lt;&gt;"",INDEX(Parties!$E$5:$E$304,R2372)&lt;&gt;"",INDEX(Parties!$E$5:$E$304,R2372)&lt;&gt;HomeState),0,ROUND(K2372*L2372/2,2))),"")</f>
        <v/>
      </c>
      <c r="N2372" s="61" t="str">
        <f aca="false">IF(IsPro,IF($D2372="","",M2372),"")</f>
        <v/>
      </c>
      <c r="O2372" s="61" t="str">
        <f aca="false">IF(IsPro,IF($D2372="","",IF(AND(R2372&lt;&gt;"",INDEX(Parties!$E$5:$E$304,R2372)&lt;&gt;"",INDEX(Parties!$E$5:$E$304,R2372)&lt;&gt;HomeState),ROUND(K2372*L2372,2),0)),"")</f>
        <v/>
      </c>
      <c r="P2372" s="61" t="str">
        <f aca="false">IF(IsPro,IF($D2372="","",K2372+M2372+N2372+O2372),"")</f>
        <v/>
      </c>
      <c r="Q2372" s="60" t="str">
        <f aca="false">IF(IsPro,IF($D2372="","",IFERROR(MATCH($D2372,Items!$A$5:$A$504,0),"")),"")</f>
        <v/>
      </c>
      <c r="R2372" s="60" t="str">
        <f aca="false">IF(IsPro,IF($C2372="","",IFERROR(MATCH($C2372,Parties!$A$5:$A$304,0),"")),"")</f>
        <v/>
      </c>
      <c r="S2372" s="61" t="str">
        <f aca="false">IF(IsPro,IF($D2372="","",IF(OR($H2372="",$H2372="Credit"),0,P2372)),"")</f>
        <v/>
      </c>
    </row>
    <row r="2373" customFormat="false" ht="15" hidden="false" customHeight="false" outlineLevel="0" collapsed="false">
      <c r="A2373" s="55"/>
      <c r="B2373" s="56"/>
      <c r="C2373" s="56"/>
      <c r="D2373" s="56"/>
      <c r="E2373" s="57"/>
      <c r="F2373" s="58"/>
      <c r="G2373" s="59"/>
      <c r="H2373" s="56"/>
      <c r="I2373" s="60" t="str">
        <f aca="false">IF(IsPro,IF($D2373="","",IFERROR(INDEX(Items!$D$5:$D$504,Q2373),"")),IF($D2373="","","PRO PLAN"))</f>
        <v/>
      </c>
      <c r="J2373" s="61" t="str">
        <f aca="false">IF(IsPro,IF($D2373="","",IF($F2373="",IFERROR(INDEX(Items!$G$5:$G$504,Q2373),0),$F2373)),"")</f>
        <v/>
      </c>
      <c r="K2373" s="61" t="str">
        <f aca="false">IF(IsPro,IF($D2373="","",ROUND(N($E2373)*J2373*(1-N($G2373)),2)),"")</f>
        <v/>
      </c>
      <c r="L2373" s="62" t="str">
        <f aca="false">IF(IsPro,IF($D2373="","",IFERROR(INDEX(Items!$F$5:$F$504,Q2373),0)),"")</f>
        <v/>
      </c>
      <c r="M2373" s="61" t="str">
        <f aca="false">IF(IsPro,IF($D2373="","",IF(AND(R2373&lt;&gt;"",INDEX(Parties!$E$5:$E$304,R2373)&lt;&gt;"",INDEX(Parties!$E$5:$E$304,R2373)&lt;&gt;HomeState),0,ROUND(K2373*L2373/2,2))),"")</f>
        <v/>
      </c>
      <c r="N2373" s="61" t="str">
        <f aca="false">IF(IsPro,IF($D2373="","",M2373),"")</f>
        <v/>
      </c>
      <c r="O2373" s="61" t="str">
        <f aca="false">IF(IsPro,IF($D2373="","",IF(AND(R2373&lt;&gt;"",INDEX(Parties!$E$5:$E$304,R2373)&lt;&gt;"",INDEX(Parties!$E$5:$E$304,R2373)&lt;&gt;HomeState),ROUND(K2373*L2373,2),0)),"")</f>
        <v/>
      </c>
      <c r="P2373" s="61" t="str">
        <f aca="false">IF(IsPro,IF($D2373="","",K2373+M2373+N2373+O2373),"")</f>
        <v/>
      </c>
      <c r="Q2373" s="60" t="str">
        <f aca="false">IF(IsPro,IF($D2373="","",IFERROR(MATCH($D2373,Items!$A$5:$A$504,0),"")),"")</f>
        <v/>
      </c>
      <c r="R2373" s="60" t="str">
        <f aca="false">IF(IsPro,IF($C2373="","",IFERROR(MATCH($C2373,Parties!$A$5:$A$304,0),"")),"")</f>
        <v/>
      </c>
      <c r="S2373" s="61" t="str">
        <f aca="false">IF(IsPro,IF($D2373="","",IF(OR($H2373="",$H2373="Credit"),0,P2373)),"")</f>
        <v/>
      </c>
    </row>
    <row r="2374" customFormat="false" ht="15" hidden="false" customHeight="false" outlineLevel="0" collapsed="false">
      <c r="A2374" s="55"/>
      <c r="B2374" s="56"/>
      <c r="C2374" s="56"/>
      <c r="D2374" s="56"/>
      <c r="E2374" s="57"/>
      <c r="F2374" s="58"/>
      <c r="G2374" s="59"/>
      <c r="H2374" s="56"/>
      <c r="I2374" s="60" t="str">
        <f aca="false">IF(IsPro,IF($D2374="","",IFERROR(INDEX(Items!$D$5:$D$504,Q2374),"")),IF($D2374="","","PRO PLAN"))</f>
        <v/>
      </c>
      <c r="J2374" s="61" t="str">
        <f aca="false">IF(IsPro,IF($D2374="","",IF($F2374="",IFERROR(INDEX(Items!$G$5:$G$504,Q2374),0),$F2374)),"")</f>
        <v/>
      </c>
      <c r="K2374" s="61" t="str">
        <f aca="false">IF(IsPro,IF($D2374="","",ROUND(N($E2374)*J2374*(1-N($G2374)),2)),"")</f>
        <v/>
      </c>
      <c r="L2374" s="62" t="str">
        <f aca="false">IF(IsPro,IF($D2374="","",IFERROR(INDEX(Items!$F$5:$F$504,Q2374),0)),"")</f>
        <v/>
      </c>
      <c r="M2374" s="61" t="str">
        <f aca="false">IF(IsPro,IF($D2374="","",IF(AND(R2374&lt;&gt;"",INDEX(Parties!$E$5:$E$304,R2374)&lt;&gt;"",INDEX(Parties!$E$5:$E$304,R2374)&lt;&gt;HomeState),0,ROUND(K2374*L2374/2,2))),"")</f>
        <v/>
      </c>
      <c r="N2374" s="61" t="str">
        <f aca="false">IF(IsPro,IF($D2374="","",M2374),"")</f>
        <v/>
      </c>
      <c r="O2374" s="61" t="str">
        <f aca="false">IF(IsPro,IF($D2374="","",IF(AND(R2374&lt;&gt;"",INDEX(Parties!$E$5:$E$304,R2374)&lt;&gt;"",INDEX(Parties!$E$5:$E$304,R2374)&lt;&gt;HomeState),ROUND(K2374*L2374,2),0)),"")</f>
        <v/>
      </c>
      <c r="P2374" s="61" t="str">
        <f aca="false">IF(IsPro,IF($D2374="","",K2374+M2374+N2374+O2374),"")</f>
        <v/>
      </c>
      <c r="Q2374" s="60" t="str">
        <f aca="false">IF(IsPro,IF($D2374="","",IFERROR(MATCH($D2374,Items!$A$5:$A$504,0),"")),"")</f>
        <v/>
      </c>
      <c r="R2374" s="60" t="str">
        <f aca="false">IF(IsPro,IF($C2374="","",IFERROR(MATCH($C2374,Parties!$A$5:$A$304,0),"")),"")</f>
        <v/>
      </c>
      <c r="S2374" s="61" t="str">
        <f aca="false">IF(IsPro,IF($D2374="","",IF(OR($H2374="",$H2374="Credit"),0,P2374)),"")</f>
        <v/>
      </c>
    </row>
    <row r="2375" customFormat="false" ht="15" hidden="false" customHeight="false" outlineLevel="0" collapsed="false">
      <c r="A2375" s="55"/>
      <c r="B2375" s="56"/>
      <c r="C2375" s="56"/>
      <c r="D2375" s="56"/>
      <c r="E2375" s="57"/>
      <c r="F2375" s="58"/>
      <c r="G2375" s="59"/>
      <c r="H2375" s="56"/>
      <c r="I2375" s="60" t="str">
        <f aca="false">IF(IsPro,IF($D2375="","",IFERROR(INDEX(Items!$D$5:$D$504,Q2375),"")),IF($D2375="","","PRO PLAN"))</f>
        <v/>
      </c>
      <c r="J2375" s="61" t="str">
        <f aca="false">IF(IsPro,IF($D2375="","",IF($F2375="",IFERROR(INDEX(Items!$G$5:$G$504,Q2375),0),$F2375)),"")</f>
        <v/>
      </c>
      <c r="K2375" s="61" t="str">
        <f aca="false">IF(IsPro,IF($D2375="","",ROUND(N($E2375)*J2375*(1-N($G2375)),2)),"")</f>
        <v/>
      </c>
      <c r="L2375" s="62" t="str">
        <f aca="false">IF(IsPro,IF($D2375="","",IFERROR(INDEX(Items!$F$5:$F$504,Q2375),0)),"")</f>
        <v/>
      </c>
      <c r="M2375" s="61" t="str">
        <f aca="false">IF(IsPro,IF($D2375="","",IF(AND(R2375&lt;&gt;"",INDEX(Parties!$E$5:$E$304,R2375)&lt;&gt;"",INDEX(Parties!$E$5:$E$304,R2375)&lt;&gt;HomeState),0,ROUND(K2375*L2375/2,2))),"")</f>
        <v/>
      </c>
      <c r="N2375" s="61" t="str">
        <f aca="false">IF(IsPro,IF($D2375="","",M2375),"")</f>
        <v/>
      </c>
      <c r="O2375" s="61" t="str">
        <f aca="false">IF(IsPro,IF($D2375="","",IF(AND(R2375&lt;&gt;"",INDEX(Parties!$E$5:$E$304,R2375)&lt;&gt;"",INDEX(Parties!$E$5:$E$304,R2375)&lt;&gt;HomeState),ROUND(K2375*L2375,2),0)),"")</f>
        <v/>
      </c>
      <c r="P2375" s="61" t="str">
        <f aca="false">IF(IsPro,IF($D2375="","",K2375+M2375+N2375+O2375),"")</f>
        <v/>
      </c>
      <c r="Q2375" s="60" t="str">
        <f aca="false">IF(IsPro,IF($D2375="","",IFERROR(MATCH($D2375,Items!$A$5:$A$504,0),"")),"")</f>
        <v/>
      </c>
      <c r="R2375" s="60" t="str">
        <f aca="false">IF(IsPro,IF($C2375="","",IFERROR(MATCH($C2375,Parties!$A$5:$A$304,0),"")),"")</f>
        <v/>
      </c>
      <c r="S2375" s="61" t="str">
        <f aca="false">IF(IsPro,IF($D2375="","",IF(OR($H2375="",$H2375="Credit"),0,P2375)),"")</f>
        <v/>
      </c>
    </row>
    <row r="2376" customFormat="false" ht="15" hidden="false" customHeight="false" outlineLevel="0" collapsed="false">
      <c r="A2376" s="55"/>
      <c r="B2376" s="56"/>
      <c r="C2376" s="56"/>
      <c r="D2376" s="56"/>
      <c r="E2376" s="57"/>
      <c r="F2376" s="58"/>
      <c r="G2376" s="59"/>
      <c r="H2376" s="56"/>
      <c r="I2376" s="60" t="str">
        <f aca="false">IF(IsPro,IF($D2376="","",IFERROR(INDEX(Items!$D$5:$D$504,Q2376),"")),IF($D2376="","","PRO PLAN"))</f>
        <v/>
      </c>
      <c r="J2376" s="61" t="str">
        <f aca="false">IF(IsPro,IF($D2376="","",IF($F2376="",IFERROR(INDEX(Items!$G$5:$G$504,Q2376),0),$F2376)),"")</f>
        <v/>
      </c>
      <c r="K2376" s="61" t="str">
        <f aca="false">IF(IsPro,IF($D2376="","",ROUND(N($E2376)*J2376*(1-N($G2376)),2)),"")</f>
        <v/>
      </c>
      <c r="L2376" s="62" t="str">
        <f aca="false">IF(IsPro,IF($D2376="","",IFERROR(INDEX(Items!$F$5:$F$504,Q2376),0)),"")</f>
        <v/>
      </c>
      <c r="M2376" s="61" t="str">
        <f aca="false">IF(IsPro,IF($D2376="","",IF(AND(R2376&lt;&gt;"",INDEX(Parties!$E$5:$E$304,R2376)&lt;&gt;"",INDEX(Parties!$E$5:$E$304,R2376)&lt;&gt;HomeState),0,ROUND(K2376*L2376/2,2))),"")</f>
        <v/>
      </c>
      <c r="N2376" s="61" t="str">
        <f aca="false">IF(IsPro,IF($D2376="","",M2376),"")</f>
        <v/>
      </c>
      <c r="O2376" s="61" t="str">
        <f aca="false">IF(IsPro,IF($D2376="","",IF(AND(R2376&lt;&gt;"",INDEX(Parties!$E$5:$E$304,R2376)&lt;&gt;"",INDEX(Parties!$E$5:$E$304,R2376)&lt;&gt;HomeState),ROUND(K2376*L2376,2),0)),"")</f>
        <v/>
      </c>
      <c r="P2376" s="61" t="str">
        <f aca="false">IF(IsPro,IF($D2376="","",K2376+M2376+N2376+O2376),"")</f>
        <v/>
      </c>
      <c r="Q2376" s="60" t="str">
        <f aca="false">IF(IsPro,IF($D2376="","",IFERROR(MATCH($D2376,Items!$A$5:$A$504,0),"")),"")</f>
        <v/>
      </c>
      <c r="R2376" s="60" t="str">
        <f aca="false">IF(IsPro,IF($C2376="","",IFERROR(MATCH($C2376,Parties!$A$5:$A$304,0),"")),"")</f>
        <v/>
      </c>
      <c r="S2376" s="61" t="str">
        <f aca="false">IF(IsPro,IF($D2376="","",IF(OR($H2376="",$H2376="Credit"),0,P2376)),"")</f>
        <v/>
      </c>
    </row>
    <row r="2377" customFormat="false" ht="15" hidden="false" customHeight="false" outlineLevel="0" collapsed="false">
      <c r="A2377" s="55"/>
      <c r="B2377" s="56"/>
      <c r="C2377" s="56"/>
      <c r="D2377" s="56"/>
      <c r="E2377" s="57"/>
      <c r="F2377" s="58"/>
      <c r="G2377" s="59"/>
      <c r="H2377" s="56"/>
      <c r="I2377" s="60" t="str">
        <f aca="false">IF(IsPro,IF($D2377="","",IFERROR(INDEX(Items!$D$5:$D$504,Q2377),"")),IF($D2377="","","PRO PLAN"))</f>
        <v/>
      </c>
      <c r="J2377" s="61" t="str">
        <f aca="false">IF(IsPro,IF($D2377="","",IF($F2377="",IFERROR(INDEX(Items!$G$5:$G$504,Q2377),0),$F2377)),"")</f>
        <v/>
      </c>
      <c r="K2377" s="61" t="str">
        <f aca="false">IF(IsPro,IF($D2377="","",ROUND(N($E2377)*J2377*(1-N($G2377)),2)),"")</f>
        <v/>
      </c>
      <c r="L2377" s="62" t="str">
        <f aca="false">IF(IsPro,IF($D2377="","",IFERROR(INDEX(Items!$F$5:$F$504,Q2377),0)),"")</f>
        <v/>
      </c>
      <c r="M2377" s="61" t="str">
        <f aca="false">IF(IsPro,IF($D2377="","",IF(AND(R2377&lt;&gt;"",INDEX(Parties!$E$5:$E$304,R2377)&lt;&gt;"",INDEX(Parties!$E$5:$E$304,R2377)&lt;&gt;HomeState),0,ROUND(K2377*L2377/2,2))),"")</f>
        <v/>
      </c>
      <c r="N2377" s="61" t="str">
        <f aca="false">IF(IsPro,IF($D2377="","",M2377),"")</f>
        <v/>
      </c>
      <c r="O2377" s="61" t="str">
        <f aca="false">IF(IsPro,IF($D2377="","",IF(AND(R2377&lt;&gt;"",INDEX(Parties!$E$5:$E$304,R2377)&lt;&gt;"",INDEX(Parties!$E$5:$E$304,R2377)&lt;&gt;HomeState),ROUND(K2377*L2377,2),0)),"")</f>
        <v/>
      </c>
      <c r="P2377" s="61" t="str">
        <f aca="false">IF(IsPro,IF($D2377="","",K2377+M2377+N2377+O2377),"")</f>
        <v/>
      </c>
      <c r="Q2377" s="60" t="str">
        <f aca="false">IF(IsPro,IF($D2377="","",IFERROR(MATCH($D2377,Items!$A$5:$A$504,0),"")),"")</f>
        <v/>
      </c>
      <c r="R2377" s="60" t="str">
        <f aca="false">IF(IsPro,IF($C2377="","",IFERROR(MATCH($C2377,Parties!$A$5:$A$304,0),"")),"")</f>
        <v/>
      </c>
      <c r="S2377" s="61" t="str">
        <f aca="false">IF(IsPro,IF($D2377="","",IF(OR($H2377="",$H2377="Credit"),0,P2377)),"")</f>
        <v/>
      </c>
    </row>
    <row r="2378" customFormat="false" ht="15" hidden="false" customHeight="false" outlineLevel="0" collapsed="false">
      <c r="A2378" s="55"/>
      <c r="B2378" s="56"/>
      <c r="C2378" s="56"/>
      <c r="D2378" s="56"/>
      <c r="E2378" s="57"/>
      <c r="F2378" s="58"/>
      <c r="G2378" s="59"/>
      <c r="H2378" s="56"/>
      <c r="I2378" s="60" t="str">
        <f aca="false">IF(IsPro,IF($D2378="","",IFERROR(INDEX(Items!$D$5:$D$504,Q2378),"")),IF($D2378="","","PRO PLAN"))</f>
        <v/>
      </c>
      <c r="J2378" s="61" t="str">
        <f aca="false">IF(IsPro,IF($D2378="","",IF($F2378="",IFERROR(INDEX(Items!$G$5:$G$504,Q2378),0),$F2378)),"")</f>
        <v/>
      </c>
      <c r="K2378" s="61" t="str">
        <f aca="false">IF(IsPro,IF($D2378="","",ROUND(N($E2378)*J2378*(1-N($G2378)),2)),"")</f>
        <v/>
      </c>
      <c r="L2378" s="62" t="str">
        <f aca="false">IF(IsPro,IF($D2378="","",IFERROR(INDEX(Items!$F$5:$F$504,Q2378),0)),"")</f>
        <v/>
      </c>
      <c r="M2378" s="61" t="str">
        <f aca="false">IF(IsPro,IF($D2378="","",IF(AND(R2378&lt;&gt;"",INDEX(Parties!$E$5:$E$304,R2378)&lt;&gt;"",INDEX(Parties!$E$5:$E$304,R2378)&lt;&gt;HomeState),0,ROUND(K2378*L2378/2,2))),"")</f>
        <v/>
      </c>
      <c r="N2378" s="61" t="str">
        <f aca="false">IF(IsPro,IF($D2378="","",M2378),"")</f>
        <v/>
      </c>
      <c r="O2378" s="61" t="str">
        <f aca="false">IF(IsPro,IF($D2378="","",IF(AND(R2378&lt;&gt;"",INDEX(Parties!$E$5:$E$304,R2378)&lt;&gt;"",INDEX(Parties!$E$5:$E$304,R2378)&lt;&gt;HomeState),ROUND(K2378*L2378,2),0)),"")</f>
        <v/>
      </c>
      <c r="P2378" s="61" t="str">
        <f aca="false">IF(IsPro,IF($D2378="","",K2378+M2378+N2378+O2378),"")</f>
        <v/>
      </c>
      <c r="Q2378" s="60" t="str">
        <f aca="false">IF(IsPro,IF($D2378="","",IFERROR(MATCH($D2378,Items!$A$5:$A$504,0),"")),"")</f>
        <v/>
      </c>
      <c r="R2378" s="60" t="str">
        <f aca="false">IF(IsPro,IF($C2378="","",IFERROR(MATCH($C2378,Parties!$A$5:$A$304,0),"")),"")</f>
        <v/>
      </c>
      <c r="S2378" s="61" t="str">
        <f aca="false">IF(IsPro,IF($D2378="","",IF(OR($H2378="",$H2378="Credit"),0,P2378)),"")</f>
        <v/>
      </c>
    </row>
    <row r="2379" customFormat="false" ht="15" hidden="false" customHeight="false" outlineLevel="0" collapsed="false">
      <c r="A2379" s="55"/>
      <c r="B2379" s="56"/>
      <c r="C2379" s="56"/>
      <c r="D2379" s="56"/>
      <c r="E2379" s="57"/>
      <c r="F2379" s="58"/>
      <c r="G2379" s="59"/>
      <c r="H2379" s="56"/>
      <c r="I2379" s="60" t="str">
        <f aca="false">IF(IsPro,IF($D2379="","",IFERROR(INDEX(Items!$D$5:$D$504,Q2379),"")),IF($D2379="","","PRO PLAN"))</f>
        <v/>
      </c>
      <c r="J2379" s="61" t="str">
        <f aca="false">IF(IsPro,IF($D2379="","",IF($F2379="",IFERROR(INDEX(Items!$G$5:$G$504,Q2379),0),$F2379)),"")</f>
        <v/>
      </c>
      <c r="K2379" s="61" t="str">
        <f aca="false">IF(IsPro,IF($D2379="","",ROUND(N($E2379)*J2379*(1-N($G2379)),2)),"")</f>
        <v/>
      </c>
      <c r="L2379" s="62" t="str">
        <f aca="false">IF(IsPro,IF($D2379="","",IFERROR(INDEX(Items!$F$5:$F$504,Q2379),0)),"")</f>
        <v/>
      </c>
      <c r="M2379" s="61" t="str">
        <f aca="false">IF(IsPro,IF($D2379="","",IF(AND(R2379&lt;&gt;"",INDEX(Parties!$E$5:$E$304,R2379)&lt;&gt;"",INDEX(Parties!$E$5:$E$304,R2379)&lt;&gt;HomeState),0,ROUND(K2379*L2379/2,2))),"")</f>
        <v/>
      </c>
      <c r="N2379" s="61" t="str">
        <f aca="false">IF(IsPro,IF($D2379="","",M2379),"")</f>
        <v/>
      </c>
      <c r="O2379" s="61" t="str">
        <f aca="false">IF(IsPro,IF($D2379="","",IF(AND(R2379&lt;&gt;"",INDEX(Parties!$E$5:$E$304,R2379)&lt;&gt;"",INDEX(Parties!$E$5:$E$304,R2379)&lt;&gt;HomeState),ROUND(K2379*L2379,2),0)),"")</f>
        <v/>
      </c>
      <c r="P2379" s="61" t="str">
        <f aca="false">IF(IsPro,IF($D2379="","",K2379+M2379+N2379+O2379),"")</f>
        <v/>
      </c>
      <c r="Q2379" s="60" t="str">
        <f aca="false">IF(IsPro,IF($D2379="","",IFERROR(MATCH($D2379,Items!$A$5:$A$504,0),"")),"")</f>
        <v/>
      </c>
      <c r="R2379" s="60" t="str">
        <f aca="false">IF(IsPro,IF($C2379="","",IFERROR(MATCH($C2379,Parties!$A$5:$A$304,0),"")),"")</f>
        <v/>
      </c>
      <c r="S2379" s="61" t="str">
        <f aca="false">IF(IsPro,IF($D2379="","",IF(OR($H2379="",$H2379="Credit"),0,P2379)),"")</f>
        <v/>
      </c>
    </row>
    <row r="2380" customFormat="false" ht="15" hidden="false" customHeight="false" outlineLevel="0" collapsed="false">
      <c r="A2380" s="55"/>
      <c r="B2380" s="56"/>
      <c r="C2380" s="56"/>
      <c r="D2380" s="56"/>
      <c r="E2380" s="57"/>
      <c r="F2380" s="58"/>
      <c r="G2380" s="59"/>
      <c r="H2380" s="56"/>
      <c r="I2380" s="60" t="str">
        <f aca="false">IF(IsPro,IF($D2380="","",IFERROR(INDEX(Items!$D$5:$D$504,Q2380),"")),IF($D2380="","","PRO PLAN"))</f>
        <v/>
      </c>
      <c r="J2380" s="61" t="str">
        <f aca="false">IF(IsPro,IF($D2380="","",IF($F2380="",IFERROR(INDEX(Items!$G$5:$G$504,Q2380),0),$F2380)),"")</f>
        <v/>
      </c>
      <c r="K2380" s="61" t="str">
        <f aca="false">IF(IsPro,IF($D2380="","",ROUND(N($E2380)*J2380*(1-N($G2380)),2)),"")</f>
        <v/>
      </c>
      <c r="L2380" s="62" t="str">
        <f aca="false">IF(IsPro,IF($D2380="","",IFERROR(INDEX(Items!$F$5:$F$504,Q2380),0)),"")</f>
        <v/>
      </c>
      <c r="M2380" s="61" t="str">
        <f aca="false">IF(IsPro,IF($D2380="","",IF(AND(R2380&lt;&gt;"",INDEX(Parties!$E$5:$E$304,R2380)&lt;&gt;"",INDEX(Parties!$E$5:$E$304,R2380)&lt;&gt;HomeState),0,ROUND(K2380*L2380/2,2))),"")</f>
        <v/>
      </c>
      <c r="N2380" s="61" t="str">
        <f aca="false">IF(IsPro,IF($D2380="","",M2380),"")</f>
        <v/>
      </c>
      <c r="O2380" s="61" t="str">
        <f aca="false">IF(IsPro,IF($D2380="","",IF(AND(R2380&lt;&gt;"",INDEX(Parties!$E$5:$E$304,R2380)&lt;&gt;"",INDEX(Parties!$E$5:$E$304,R2380)&lt;&gt;HomeState),ROUND(K2380*L2380,2),0)),"")</f>
        <v/>
      </c>
      <c r="P2380" s="61" t="str">
        <f aca="false">IF(IsPro,IF($D2380="","",K2380+M2380+N2380+O2380),"")</f>
        <v/>
      </c>
      <c r="Q2380" s="60" t="str">
        <f aca="false">IF(IsPro,IF($D2380="","",IFERROR(MATCH($D2380,Items!$A$5:$A$504,0),"")),"")</f>
        <v/>
      </c>
      <c r="R2380" s="60" t="str">
        <f aca="false">IF(IsPro,IF($C2380="","",IFERROR(MATCH($C2380,Parties!$A$5:$A$304,0),"")),"")</f>
        <v/>
      </c>
      <c r="S2380" s="61" t="str">
        <f aca="false">IF(IsPro,IF($D2380="","",IF(OR($H2380="",$H2380="Credit"),0,P2380)),"")</f>
        <v/>
      </c>
    </row>
    <row r="2381" customFormat="false" ht="15" hidden="false" customHeight="false" outlineLevel="0" collapsed="false">
      <c r="A2381" s="55"/>
      <c r="B2381" s="56"/>
      <c r="C2381" s="56"/>
      <c r="D2381" s="56"/>
      <c r="E2381" s="57"/>
      <c r="F2381" s="58"/>
      <c r="G2381" s="59"/>
      <c r="H2381" s="56"/>
      <c r="I2381" s="60" t="str">
        <f aca="false">IF(IsPro,IF($D2381="","",IFERROR(INDEX(Items!$D$5:$D$504,Q2381),"")),IF($D2381="","","PRO PLAN"))</f>
        <v/>
      </c>
      <c r="J2381" s="61" t="str">
        <f aca="false">IF(IsPro,IF($D2381="","",IF($F2381="",IFERROR(INDEX(Items!$G$5:$G$504,Q2381),0),$F2381)),"")</f>
        <v/>
      </c>
      <c r="K2381" s="61" t="str">
        <f aca="false">IF(IsPro,IF($D2381="","",ROUND(N($E2381)*J2381*(1-N($G2381)),2)),"")</f>
        <v/>
      </c>
      <c r="L2381" s="62" t="str">
        <f aca="false">IF(IsPro,IF($D2381="","",IFERROR(INDEX(Items!$F$5:$F$504,Q2381),0)),"")</f>
        <v/>
      </c>
      <c r="M2381" s="61" t="str">
        <f aca="false">IF(IsPro,IF($D2381="","",IF(AND(R2381&lt;&gt;"",INDEX(Parties!$E$5:$E$304,R2381)&lt;&gt;"",INDEX(Parties!$E$5:$E$304,R2381)&lt;&gt;HomeState),0,ROUND(K2381*L2381/2,2))),"")</f>
        <v/>
      </c>
      <c r="N2381" s="61" t="str">
        <f aca="false">IF(IsPro,IF($D2381="","",M2381),"")</f>
        <v/>
      </c>
      <c r="O2381" s="61" t="str">
        <f aca="false">IF(IsPro,IF($D2381="","",IF(AND(R2381&lt;&gt;"",INDEX(Parties!$E$5:$E$304,R2381)&lt;&gt;"",INDEX(Parties!$E$5:$E$304,R2381)&lt;&gt;HomeState),ROUND(K2381*L2381,2),0)),"")</f>
        <v/>
      </c>
      <c r="P2381" s="61" t="str">
        <f aca="false">IF(IsPro,IF($D2381="","",K2381+M2381+N2381+O2381),"")</f>
        <v/>
      </c>
      <c r="Q2381" s="60" t="str">
        <f aca="false">IF(IsPro,IF($D2381="","",IFERROR(MATCH($D2381,Items!$A$5:$A$504,0),"")),"")</f>
        <v/>
      </c>
      <c r="R2381" s="60" t="str">
        <f aca="false">IF(IsPro,IF($C2381="","",IFERROR(MATCH($C2381,Parties!$A$5:$A$304,0),"")),"")</f>
        <v/>
      </c>
      <c r="S2381" s="61" t="str">
        <f aca="false">IF(IsPro,IF($D2381="","",IF(OR($H2381="",$H2381="Credit"),0,P2381)),"")</f>
        <v/>
      </c>
    </row>
    <row r="2382" customFormat="false" ht="15" hidden="false" customHeight="false" outlineLevel="0" collapsed="false">
      <c r="A2382" s="55"/>
      <c r="B2382" s="56"/>
      <c r="C2382" s="56"/>
      <c r="D2382" s="56"/>
      <c r="E2382" s="57"/>
      <c r="F2382" s="58"/>
      <c r="G2382" s="59"/>
      <c r="H2382" s="56"/>
      <c r="I2382" s="60" t="str">
        <f aca="false">IF(IsPro,IF($D2382="","",IFERROR(INDEX(Items!$D$5:$D$504,Q2382),"")),IF($D2382="","","PRO PLAN"))</f>
        <v/>
      </c>
      <c r="J2382" s="61" t="str">
        <f aca="false">IF(IsPro,IF($D2382="","",IF($F2382="",IFERROR(INDEX(Items!$G$5:$G$504,Q2382),0),$F2382)),"")</f>
        <v/>
      </c>
      <c r="K2382" s="61" t="str">
        <f aca="false">IF(IsPro,IF($D2382="","",ROUND(N($E2382)*J2382*(1-N($G2382)),2)),"")</f>
        <v/>
      </c>
      <c r="L2382" s="62" t="str">
        <f aca="false">IF(IsPro,IF($D2382="","",IFERROR(INDEX(Items!$F$5:$F$504,Q2382),0)),"")</f>
        <v/>
      </c>
      <c r="M2382" s="61" t="str">
        <f aca="false">IF(IsPro,IF($D2382="","",IF(AND(R2382&lt;&gt;"",INDEX(Parties!$E$5:$E$304,R2382)&lt;&gt;"",INDEX(Parties!$E$5:$E$304,R2382)&lt;&gt;HomeState),0,ROUND(K2382*L2382/2,2))),"")</f>
        <v/>
      </c>
      <c r="N2382" s="61" t="str">
        <f aca="false">IF(IsPro,IF($D2382="","",M2382),"")</f>
        <v/>
      </c>
      <c r="O2382" s="61" t="str">
        <f aca="false">IF(IsPro,IF($D2382="","",IF(AND(R2382&lt;&gt;"",INDEX(Parties!$E$5:$E$304,R2382)&lt;&gt;"",INDEX(Parties!$E$5:$E$304,R2382)&lt;&gt;HomeState),ROUND(K2382*L2382,2),0)),"")</f>
        <v/>
      </c>
      <c r="P2382" s="61" t="str">
        <f aca="false">IF(IsPro,IF($D2382="","",K2382+M2382+N2382+O2382),"")</f>
        <v/>
      </c>
      <c r="Q2382" s="60" t="str">
        <f aca="false">IF(IsPro,IF($D2382="","",IFERROR(MATCH($D2382,Items!$A$5:$A$504,0),"")),"")</f>
        <v/>
      </c>
      <c r="R2382" s="60" t="str">
        <f aca="false">IF(IsPro,IF($C2382="","",IFERROR(MATCH($C2382,Parties!$A$5:$A$304,0),"")),"")</f>
        <v/>
      </c>
      <c r="S2382" s="61" t="str">
        <f aca="false">IF(IsPro,IF($D2382="","",IF(OR($H2382="",$H2382="Credit"),0,P2382)),"")</f>
        <v/>
      </c>
    </row>
    <row r="2383" customFormat="false" ht="15" hidden="false" customHeight="false" outlineLevel="0" collapsed="false">
      <c r="A2383" s="55"/>
      <c r="B2383" s="56"/>
      <c r="C2383" s="56"/>
      <c r="D2383" s="56"/>
      <c r="E2383" s="57"/>
      <c r="F2383" s="58"/>
      <c r="G2383" s="59"/>
      <c r="H2383" s="56"/>
      <c r="I2383" s="60" t="str">
        <f aca="false">IF(IsPro,IF($D2383="","",IFERROR(INDEX(Items!$D$5:$D$504,Q2383),"")),IF($D2383="","","PRO PLAN"))</f>
        <v/>
      </c>
      <c r="J2383" s="61" t="str">
        <f aca="false">IF(IsPro,IF($D2383="","",IF($F2383="",IFERROR(INDEX(Items!$G$5:$G$504,Q2383),0),$F2383)),"")</f>
        <v/>
      </c>
      <c r="K2383" s="61" t="str">
        <f aca="false">IF(IsPro,IF($D2383="","",ROUND(N($E2383)*J2383*(1-N($G2383)),2)),"")</f>
        <v/>
      </c>
      <c r="L2383" s="62" t="str">
        <f aca="false">IF(IsPro,IF($D2383="","",IFERROR(INDEX(Items!$F$5:$F$504,Q2383),0)),"")</f>
        <v/>
      </c>
      <c r="M2383" s="61" t="str">
        <f aca="false">IF(IsPro,IF($D2383="","",IF(AND(R2383&lt;&gt;"",INDEX(Parties!$E$5:$E$304,R2383)&lt;&gt;"",INDEX(Parties!$E$5:$E$304,R2383)&lt;&gt;HomeState),0,ROUND(K2383*L2383/2,2))),"")</f>
        <v/>
      </c>
      <c r="N2383" s="61" t="str">
        <f aca="false">IF(IsPro,IF($D2383="","",M2383),"")</f>
        <v/>
      </c>
      <c r="O2383" s="61" t="str">
        <f aca="false">IF(IsPro,IF($D2383="","",IF(AND(R2383&lt;&gt;"",INDEX(Parties!$E$5:$E$304,R2383)&lt;&gt;"",INDEX(Parties!$E$5:$E$304,R2383)&lt;&gt;HomeState),ROUND(K2383*L2383,2),0)),"")</f>
        <v/>
      </c>
      <c r="P2383" s="61" t="str">
        <f aca="false">IF(IsPro,IF($D2383="","",K2383+M2383+N2383+O2383),"")</f>
        <v/>
      </c>
      <c r="Q2383" s="60" t="str">
        <f aca="false">IF(IsPro,IF($D2383="","",IFERROR(MATCH($D2383,Items!$A$5:$A$504,0),"")),"")</f>
        <v/>
      </c>
      <c r="R2383" s="60" t="str">
        <f aca="false">IF(IsPro,IF($C2383="","",IFERROR(MATCH($C2383,Parties!$A$5:$A$304,0),"")),"")</f>
        <v/>
      </c>
      <c r="S2383" s="61" t="str">
        <f aca="false">IF(IsPro,IF($D2383="","",IF(OR($H2383="",$H2383="Credit"),0,P2383)),"")</f>
        <v/>
      </c>
    </row>
    <row r="2384" customFormat="false" ht="15" hidden="false" customHeight="false" outlineLevel="0" collapsed="false">
      <c r="A2384" s="55"/>
      <c r="B2384" s="56"/>
      <c r="C2384" s="56"/>
      <c r="D2384" s="56"/>
      <c r="E2384" s="57"/>
      <c r="F2384" s="58"/>
      <c r="G2384" s="59"/>
      <c r="H2384" s="56"/>
      <c r="I2384" s="60" t="str">
        <f aca="false">IF(IsPro,IF($D2384="","",IFERROR(INDEX(Items!$D$5:$D$504,Q2384),"")),IF($D2384="","","PRO PLAN"))</f>
        <v/>
      </c>
      <c r="J2384" s="61" t="str">
        <f aca="false">IF(IsPro,IF($D2384="","",IF($F2384="",IFERROR(INDEX(Items!$G$5:$G$504,Q2384),0),$F2384)),"")</f>
        <v/>
      </c>
      <c r="K2384" s="61" t="str">
        <f aca="false">IF(IsPro,IF($D2384="","",ROUND(N($E2384)*J2384*(1-N($G2384)),2)),"")</f>
        <v/>
      </c>
      <c r="L2384" s="62" t="str">
        <f aca="false">IF(IsPro,IF($D2384="","",IFERROR(INDEX(Items!$F$5:$F$504,Q2384),0)),"")</f>
        <v/>
      </c>
      <c r="M2384" s="61" t="str">
        <f aca="false">IF(IsPro,IF($D2384="","",IF(AND(R2384&lt;&gt;"",INDEX(Parties!$E$5:$E$304,R2384)&lt;&gt;"",INDEX(Parties!$E$5:$E$304,R2384)&lt;&gt;HomeState),0,ROUND(K2384*L2384/2,2))),"")</f>
        <v/>
      </c>
      <c r="N2384" s="61" t="str">
        <f aca="false">IF(IsPro,IF($D2384="","",M2384),"")</f>
        <v/>
      </c>
      <c r="O2384" s="61" t="str">
        <f aca="false">IF(IsPro,IF($D2384="","",IF(AND(R2384&lt;&gt;"",INDEX(Parties!$E$5:$E$304,R2384)&lt;&gt;"",INDEX(Parties!$E$5:$E$304,R2384)&lt;&gt;HomeState),ROUND(K2384*L2384,2),0)),"")</f>
        <v/>
      </c>
      <c r="P2384" s="61" t="str">
        <f aca="false">IF(IsPro,IF($D2384="","",K2384+M2384+N2384+O2384),"")</f>
        <v/>
      </c>
      <c r="Q2384" s="60" t="str">
        <f aca="false">IF(IsPro,IF($D2384="","",IFERROR(MATCH($D2384,Items!$A$5:$A$504,0),"")),"")</f>
        <v/>
      </c>
      <c r="R2384" s="60" t="str">
        <f aca="false">IF(IsPro,IF($C2384="","",IFERROR(MATCH($C2384,Parties!$A$5:$A$304,0),"")),"")</f>
        <v/>
      </c>
      <c r="S2384" s="61" t="str">
        <f aca="false">IF(IsPro,IF($D2384="","",IF(OR($H2384="",$H2384="Credit"),0,P2384)),"")</f>
        <v/>
      </c>
    </row>
    <row r="2385" customFormat="false" ht="15" hidden="false" customHeight="false" outlineLevel="0" collapsed="false">
      <c r="A2385" s="55"/>
      <c r="B2385" s="56"/>
      <c r="C2385" s="56"/>
      <c r="D2385" s="56"/>
      <c r="E2385" s="57"/>
      <c r="F2385" s="58"/>
      <c r="G2385" s="59"/>
      <c r="H2385" s="56"/>
      <c r="I2385" s="60" t="str">
        <f aca="false">IF(IsPro,IF($D2385="","",IFERROR(INDEX(Items!$D$5:$D$504,Q2385),"")),IF($D2385="","","PRO PLAN"))</f>
        <v/>
      </c>
      <c r="J2385" s="61" t="str">
        <f aca="false">IF(IsPro,IF($D2385="","",IF($F2385="",IFERROR(INDEX(Items!$G$5:$G$504,Q2385),0),$F2385)),"")</f>
        <v/>
      </c>
      <c r="K2385" s="61" t="str">
        <f aca="false">IF(IsPro,IF($D2385="","",ROUND(N($E2385)*J2385*(1-N($G2385)),2)),"")</f>
        <v/>
      </c>
      <c r="L2385" s="62" t="str">
        <f aca="false">IF(IsPro,IF($D2385="","",IFERROR(INDEX(Items!$F$5:$F$504,Q2385),0)),"")</f>
        <v/>
      </c>
      <c r="M2385" s="61" t="str">
        <f aca="false">IF(IsPro,IF($D2385="","",IF(AND(R2385&lt;&gt;"",INDEX(Parties!$E$5:$E$304,R2385)&lt;&gt;"",INDEX(Parties!$E$5:$E$304,R2385)&lt;&gt;HomeState),0,ROUND(K2385*L2385/2,2))),"")</f>
        <v/>
      </c>
      <c r="N2385" s="61" t="str">
        <f aca="false">IF(IsPro,IF($D2385="","",M2385),"")</f>
        <v/>
      </c>
      <c r="O2385" s="61" t="str">
        <f aca="false">IF(IsPro,IF($D2385="","",IF(AND(R2385&lt;&gt;"",INDEX(Parties!$E$5:$E$304,R2385)&lt;&gt;"",INDEX(Parties!$E$5:$E$304,R2385)&lt;&gt;HomeState),ROUND(K2385*L2385,2),0)),"")</f>
        <v/>
      </c>
      <c r="P2385" s="61" t="str">
        <f aca="false">IF(IsPro,IF($D2385="","",K2385+M2385+N2385+O2385),"")</f>
        <v/>
      </c>
      <c r="Q2385" s="60" t="str">
        <f aca="false">IF(IsPro,IF($D2385="","",IFERROR(MATCH($D2385,Items!$A$5:$A$504,0),"")),"")</f>
        <v/>
      </c>
      <c r="R2385" s="60" t="str">
        <f aca="false">IF(IsPro,IF($C2385="","",IFERROR(MATCH($C2385,Parties!$A$5:$A$304,0),"")),"")</f>
        <v/>
      </c>
      <c r="S2385" s="61" t="str">
        <f aca="false">IF(IsPro,IF($D2385="","",IF(OR($H2385="",$H2385="Credit"),0,P2385)),"")</f>
        <v/>
      </c>
    </row>
    <row r="2386" customFormat="false" ht="15" hidden="false" customHeight="false" outlineLevel="0" collapsed="false">
      <c r="A2386" s="55"/>
      <c r="B2386" s="56"/>
      <c r="C2386" s="56"/>
      <c r="D2386" s="56"/>
      <c r="E2386" s="57"/>
      <c r="F2386" s="58"/>
      <c r="G2386" s="59"/>
      <c r="H2386" s="56"/>
      <c r="I2386" s="60" t="str">
        <f aca="false">IF(IsPro,IF($D2386="","",IFERROR(INDEX(Items!$D$5:$D$504,Q2386),"")),IF($D2386="","","PRO PLAN"))</f>
        <v/>
      </c>
      <c r="J2386" s="61" t="str">
        <f aca="false">IF(IsPro,IF($D2386="","",IF($F2386="",IFERROR(INDEX(Items!$G$5:$G$504,Q2386),0),$F2386)),"")</f>
        <v/>
      </c>
      <c r="K2386" s="61" t="str">
        <f aca="false">IF(IsPro,IF($D2386="","",ROUND(N($E2386)*J2386*(1-N($G2386)),2)),"")</f>
        <v/>
      </c>
      <c r="L2386" s="62" t="str">
        <f aca="false">IF(IsPro,IF($D2386="","",IFERROR(INDEX(Items!$F$5:$F$504,Q2386),0)),"")</f>
        <v/>
      </c>
      <c r="M2386" s="61" t="str">
        <f aca="false">IF(IsPro,IF($D2386="","",IF(AND(R2386&lt;&gt;"",INDEX(Parties!$E$5:$E$304,R2386)&lt;&gt;"",INDEX(Parties!$E$5:$E$304,R2386)&lt;&gt;HomeState),0,ROUND(K2386*L2386/2,2))),"")</f>
        <v/>
      </c>
      <c r="N2386" s="61" t="str">
        <f aca="false">IF(IsPro,IF($D2386="","",M2386),"")</f>
        <v/>
      </c>
      <c r="O2386" s="61" t="str">
        <f aca="false">IF(IsPro,IF($D2386="","",IF(AND(R2386&lt;&gt;"",INDEX(Parties!$E$5:$E$304,R2386)&lt;&gt;"",INDEX(Parties!$E$5:$E$304,R2386)&lt;&gt;HomeState),ROUND(K2386*L2386,2),0)),"")</f>
        <v/>
      </c>
      <c r="P2386" s="61" t="str">
        <f aca="false">IF(IsPro,IF($D2386="","",K2386+M2386+N2386+O2386),"")</f>
        <v/>
      </c>
      <c r="Q2386" s="60" t="str">
        <f aca="false">IF(IsPro,IF($D2386="","",IFERROR(MATCH($D2386,Items!$A$5:$A$504,0),"")),"")</f>
        <v/>
      </c>
      <c r="R2386" s="60" t="str">
        <f aca="false">IF(IsPro,IF($C2386="","",IFERROR(MATCH($C2386,Parties!$A$5:$A$304,0),"")),"")</f>
        <v/>
      </c>
      <c r="S2386" s="61" t="str">
        <f aca="false">IF(IsPro,IF($D2386="","",IF(OR($H2386="",$H2386="Credit"),0,P2386)),"")</f>
        <v/>
      </c>
    </row>
    <row r="2387" customFormat="false" ht="15" hidden="false" customHeight="false" outlineLevel="0" collapsed="false">
      <c r="A2387" s="55"/>
      <c r="B2387" s="56"/>
      <c r="C2387" s="56"/>
      <c r="D2387" s="56"/>
      <c r="E2387" s="57"/>
      <c r="F2387" s="58"/>
      <c r="G2387" s="59"/>
      <c r="H2387" s="56"/>
      <c r="I2387" s="60" t="str">
        <f aca="false">IF(IsPro,IF($D2387="","",IFERROR(INDEX(Items!$D$5:$D$504,Q2387),"")),IF($D2387="","","PRO PLAN"))</f>
        <v/>
      </c>
      <c r="J2387" s="61" t="str">
        <f aca="false">IF(IsPro,IF($D2387="","",IF($F2387="",IFERROR(INDEX(Items!$G$5:$G$504,Q2387),0),$F2387)),"")</f>
        <v/>
      </c>
      <c r="K2387" s="61" t="str">
        <f aca="false">IF(IsPro,IF($D2387="","",ROUND(N($E2387)*J2387*(1-N($G2387)),2)),"")</f>
        <v/>
      </c>
      <c r="L2387" s="62" t="str">
        <f aca="false">IF(IsPro,IF($D2387="","",IFERROR(INDEX(Items!$F$5:$F$504,Q2387),0)),"")</f>
        <v/>
      </c>
      <c r="M2387" s="61" t="str">
        <f aca="false">IF(IsPro,IF($D2387="","",IF(AND(R2387&lt;&gt;"",INDEX(Parties!$E$5:$E$304,R2387)&lt;&gt;"",INDEX(Parties!$E$5:$E$304,R2387)&lt;&gt;HomeState),0,ROUND(K2387*L2387/2,2))),"")</f>
        <v/>
      </c>
      <c r="N2387" s="61" t="str">
        <f aca="false">IF(IsPro,IF($D2387="","",M2387),"")</f>
        <v/>
      </c>
      <c r="O2387" s="61" t="str">
        <f aca="false">IF(IsPro,IF($D2387="","",IF(AND(R2387&lt;&gt;"",INDEX(Parties!$E$5:$E$304,R2387)&lt;&gt;"",INDEX(Parties!$E$5:$E$304,R2387)&lt;&gt;HomeState),ROUND(K2387*L2387,2),0)),"")</f>
        <v/>
      </c>
      <c r="P2387" s="61" t="str">
        <f aca="false">IF(IsPro,IF($D2387="","",K2387+M2387+N2387+O2387),"")</f>
        <v/>
      </c>
      <c r="Q2387" s="60" t="str">
        <f aca="false">IF(IsPro,IF($D2387="","",IFERROR(MATCH($D2387,Items!$A$5:$A$504,0),"")),"")</f>
        <v/>
      </c>
      <c r="R2387" s="60" t="str">
        <f aca="false">IF(IsPro,IF($C2387="","",IFERROR(MATCH($C2387,Parties!$A$5:$A$304,0),"")),"")</f>
        <v/>
      </c>
      <c r="S2387" s="61" t="str">
        <f aca="false">IF(IsPro,IF($D2387="","",IF(OR($H2387="",$H2387="Credit"),0,P2387)),"")</f>
        <v/>
      </c>
    </row>
    <row r="2388" customFormat="false" ht="15" hidden="false" customHeight="false" outlineLevel="0" collapsed="false">
      <c r="A2388" s="55"/>
      <c r="B2388" s="56"/>
      <c r="C2388" s="56"/>
      <c r="D2388" s="56"/>
      <c r="E2388" s="57"/>
      <c r="F2388" s="58"/>
      <c r="G2388" s="59"/>
      <c r="H2388" s="56"/>
      <c r="I2388" s="60" t="str">
        <f aca="false">IF(IsPro,IF($D2388="","",IFERROR(INDEX(Items!$D$5:$D$504,Q2388),"")),IF($D2388="","","PRO PLAN"))</f>
        <v/>
      </c>
      <c r="J2388" s="61" t="str">
        <f aca="false">IF(IsPro,IF($D2388="","",IF($F2388="",IFERROR(INDEX(Items!$G$5:$G$504,Q2388),0),$F2388)),"")</f>
        <v/>
      </c>
      <c r="K2388" s="61" t="str">
        <f aca="false">IF(IsPro,IF($D2388="","",ROUND(N($E2388)*J2388*(1-N($G2388)),2)),"")</f>
        <v/>
      </c>
      <c r="L2388" s="62" t="str">
        <f aca="false">IF(IsPro,IF($D2388="","",IFERROR(INDEX(Items!$F$5:$F$504,Q2388),0)),"")</f>
        <v/>
      </c>
      <c r="M2388" s="61" t="str">
        <f aca="false">IF(IsPro,IF($D2388="","",IF(AND(R2388&lt;&gt;"",INDEX(Parties!$E$5:$E$304,R2388)&lt;&gt;"",INDEX(Parties!$E$5:$E$304,R2388)&lt;&gt;HomeState),0,ROUND(K2388*L2388/2,2))),"")</f>
        <v/>
      </c>
      <c r="N2388" s="61" t="str">
        <f aca="false">IF(IsPro,IF($D2388="","",M2388),"")</f>
        <v/>
      </c>
      <c r="O2388" s="61" t="str">
        <f aca="false">IF(IsPro,IF($D2388="","",IF(AND(R2388&lt;&gt;"",INDEX(Parties!$E$5:$E$304,R2388)&lt;&gt;"",INDEX(Parties!$E$5:$E$304,R2388)&lt;&gt;HomeState),ROUND(K2388*L2388,2),0)),"")</f>
        <v/>
      </c>
      <c r="P2388" s="61" t="str">
        <f aca="false">IF(IsPro,IF($D2388="","",K2388+M2388+N2388+O2388),"")</f>
        <v/>
      </c>
      <c r="Q2388" s="60" t="str">
        <f aca="false">IF(IsPro,IF($D2388="","",IFERROR(MATCH($D2388,Items!$A$5:$A$504,0),"")),"")</f>
        <v/>
      </c>
      <c r="R2388" s="60" t="str">
        <f aca="false">IF(IsPro,IF($C2388="","",IFERROR(MATCH($C2388,Parties!$A$5:$A$304,0),"")),"")</f>
        <v/>
      </c>
      <c r="S2388" s="61" t="str">
        <f aca="false">IF(IsPro,IF($D2388="","",IF(OR($H2388="",$H2388="Credit"),0,P2388)),"")</f>
        <v/>
      </c>
    </row>
    <row r="2389" customFormat="false" ht="15" hidden="false" customHeight="false" outlineLevel="0" collapsed="false">
      <c r="A2389" s="55"/>
      <c r="B2389" s="56"/>
      <c r="C2389" s="56"/>
      <c r="D2389" s="56"/>
      <c r="E2389" s="57"/>
      <c r="F2389" s="58"/>
      <c r="G2389" s="59"/>
      <c r="H2389" s="56"/>
      <c r="I2389" s="60" t="str">
        <f aca="false">IF(IsPro,IF($D2389="","",IFERROR(INDEX(Items!$D$5:$D$504,Q2389),"")),IF($D2389="","","PRO PLAN"))</f>
        <v/>
      </c>
      <c r="J2389" s="61" t="str">
        <f aca="false">IF(IsPro,IF($D2389="","",IF($F2389="",IFERROR(INDEX(Items!$G$5:$G$504,Q2389),0),$F2389)),"")</f>
        <v/>
      </c>
      <c r="K2389" s="61" t="str">
        <f aca="false">IF(IsPro,IF($D2389="","",ROUND(N($E2389)*J2389*(1-N($G2389)),2)),"")</f>
        <v/>
      </c>
      <c r="L2389" s="62" t="str">
        <f aca="false">IF(IsPro,IF($D2389="","",IFERROR(INDEX(Items!$F$5:$F$504,Q2389),0)),"")</f>
        <v/>
      </c>
      <c r="M2389" s="61" t="str">
        <f aca="false">IF(IsPro,IF($D2389="","",IF(AND(R2389&lt;&gt;"",INDEX(Parties!$E$5:$E$304,R2389)&lt;&gt;"",INDEX(Parties!$E$5:$E$304,R2389)&lt;&gt;HomeState),0,ROUND(K2389*L2389/2,2))),"")</f>
        <v/>
      </c>
      <c r="N2389" s="61" t="str">
        <f aca="false">IF(IsPro,IF($D2389="","",M2389),"")</f>
        <v/>
      </c>
      <c r="O2389" s="61" t="str">
        <f aca="false">IF(IsPro,IF($D2389="","",IF(AND(R2389&lt;&gt;"",INDEX(Parties!$E$5:$E$304,R2389)&lt;&gt;"",INDEX(Parties!$E$5:$E$304,R2389)&lt;&gt;HomeState),ROUND(K2389*L2389,2),0)),"")</f>
        <v/>
      </c>
      <c r="P2389" s="61" t="str">
        <f aca="false">IF(IsPro,IF($D2389="","",K2389+M2389+N2389+O2389),"")</f>
        <v/>
      </c>
      <c r="Q2389" s="60" t="str">
        <f aca="false">IF(IsPro,IF($D2389="","",IFERROR(MATCH($D2389,Items!$A$5:$A$504,0),"")),"")</f>
        <v/>
      </c>
      <c r="R2389" s="60" t="str">
        <f aca="false">IF(IsPro,IF($C2389="","",IFERROR(MATCH($C2389,Parties!$A$5:$A$304,0),"")),"")</f>
        <v/>
      </c>
      <c r="S2389" s="61" t="str">
        <f aca="false">IF(IsPro,IF($D2389="","",IF(OR($H2389="",$H2389="Credit"),0,P2389)),"")</f>
        <v/>
      </c>
    </row>
    <row r="2390" customFormat="false" ht="15" hidden="false" customHeight="false" outlineLevel="0" collapsed="false">
      <c r="A2390" s="55"/>
      <c r="B2390" s="56"/>
      <c r="C2390" s="56"/>
      <c r="D2390" s="56"/>
      <c r="E2390" s="57"/>
      <c r="F2390" s="58"/>
      <c r="G2390" s="59"/>
      <c r="H2390" s="56"/>
      <c r="I2390" s="60" t="str">
        <f aca="false">IF(IsPro,IF($D2390="","",IFERROR(INDEX(Items!$D$5:$D$504,Q2390),"")),IF($D2390="","","PRO PLAN"))</f>
        <v/>
      </c>
      <c r="J2390" s="61" t="str">
        <f aca="false">IF(IsPro,IF($D2390="","",IF($F2390="",IFERROR(INDEX(Items!$G$5:$G$504,Q2390),0),$F2390)),"")</f>
        <v/>
      </c>
      <c r="K2390" s="61" t="str">
        <f aca="false">IF(IsPro,IF($D2390="","",ROUND(N($E2390)*J2390*(1-N($G2390)),2)),"")</f>
        <v/>
      </c>
      <c r="L2390" s="62" t="str">
        <f aca="false">IF(IsPro,IF($D2390="","",IFERROR(INDEX(Items!$F$5:$F$504,Q2390),0)),"")</f>
        <v/>
      </c>
      <c r="M2390" s="61" t="str">
        <f aca="false">IF(IsPro,IF($D2390="","",IF(AND(R2390&lt;&gt;"",INDEX(Parties!$E$5:$E$304,R2390)&lt;&gt;"",INDEX(Parties!$E$5:$E$304,R2390)&lt;&gt;HomeState),0,ROUND(K2390*L2390/2,2))),"")</f>
        <v/>
      </c>
      <c r="N2390" s="61" t="str">
        <f aca="false">IF(IsPro,IF($D2390="","",M2390),"")</f>
        <v/>
      </c>
      <c r="O2390" s="61" t="str">
        <f aca="false">IF(IsPro,IF($D2390="","",IF(AND(R2390&lt;&gt;"",INDEX(Parties!$E$5:$E$304,R2390)&lt;&gt;"",INDEX(Parties!$E$5:$E$304,R2390)&lt;&gt;HomeState),ROUND(K2390*L2390,2),0)),"")</f>
        <v/>
      </c>
      <c r="P2390" s="61" t="str">
        <f aca="false">IF(IsPro,IF($D2390="","",K2390+M2390+N2390+O2390),"")</f>
        <v/>
      </c>
      <c r="Q2390" s="60" t="str">
        <f aca="false">IF(IsPro,IF($D2390="","",IFERROR(MATCH($D2390,Items!$A$5:$A$504,0),"")),"")</f>
        <v/>
      </c>
      <c r="R2390" s="60" t="str">
        <f aca="false">IF(IsPro,IF($C2390="","",IFERROR(MATCH($C2390,Parties!$A$5:$A$304,0),"")),"")</f>
        <v/>
      </c>
      <c r="S2390" s="61" t="str">
        <f aca="false">IF(IsPro,IF($D2390="","",IF(OR($H2390="",$H2390="Credit"),0,P2390)),"")</f>
        <v/>
      </c>
    </row>
    <row r="2391" customFormat="false" ht="15" hidden="false" customHeight="false" outlineLevel="0" collapsed="false">
      <c r="A2391" s="55"/>
      <c r="B2391" s="56"/>
      <c r="C2391" s="56"/>
      <c r="D2391" s="56"/>
      <c r="E2391" s="57"/>
      <c r="F2391" s="58"/>
      <c r="G2391" s="59"/>
      <c r="H2391" s="56"/>
      <c r="I2391" s="60" t="str">
        <f aca="false">IF(IsPro,IF($D2391="","",IFERROR(INDEX(Items!$D$5:$D$504,Q2391),"")),IF($D2391="","","PRO PLAN"))</f>
        <v/>
      </c>
      <c r="J2391" s="61" t="str">
        <f aca="false">IF(IsPro,IF($D2391="","",IF($F2391="",IFERROR(INDEX(Items!$G$5:$G$504,Q2391),0),$F2391)),"")</f>
        <v/>
      </c>
      <c r="K2391" s="61" t="str">
        <f aca="false">IF(IsPro,IF($D2391="","",ROUND(N($E2391)*J2391*(1-N($G2391)),2)),"")</f>
        <v/>
      </c>
      <c r="L2391" s="62" t="str">
        <f aca="false">IF(IsPro,IF($D2391="","",IFERROR(INDEX(Items!$F$5:$F$504,Q2391),0)),"")</f>
        <v/>
      </c>
      <c r="M2391" s="61" t="str">
        <f aca="false">IF(IsPro,IF($D2391="","",IF(AND(R2391&lt;&gt;"",INDEX(Parties!$E$5:$E$304,R2391)&lt;&gt;"",INDEX(Parties!$E$5:$E$304,R2391)&lt;&gt;HomeState),0,ROUND(K2391*L2391/2,2))),"")</f>
        <v/>
      </c>
      <c r="N2391" s="61" t="str">
        <f aca="false">IF(IsPro,IF($D2391="","",M2391),"")</f>
        <v/>
      </c>
      <c r="O2391" s="61" t="str">
        <f aca="false">IF(IsPro,IF($D2391="","",IF(AND(R2391&lt;&gt;"",INDEX(Parties!$E$5:$E$304,R2391)&lt;&gt;"",INDEX(Parties!$E$5:$E$304,R2391)&lt;&gt;HomeState),ROUND(K2391*L2391,2),0)),"")</f>
        <v/>
      </c>
      <c r="P2391" s="61" t="str">
        <f aca="false">IF(IsPro,IF($D2391="","",K2391+M2391+N2391+O2391),"")</f>
        <v/>
      </c>
      <c r="Q2391" s="60" t="str">
        <f aca="false">IF(IsPro,IF($D2391="","",IFERROR(MATCH($D2391,Items!$A$5:$A$504,0),"")),"")</f>
        <v/>
      </c>
      <c r="R2391" s="60" t="str">
        <f aca="false">IF(IsPro,IF($C2391="","",IFERROR(MATCH($C2391,Parties!$A$5:$A$304,0),"")),"")</f>
        <v/>
      </c>
      <c r="S2391" s="61" t="str">
        <f aca="false">IF(IsPro,IF($D2391="","",IF(OR($H2391="",$H2391="Credit"),0,P2391)),"")</f>
        <v/>
      </c>
    </row>
    <row r="2392" customFormat="false" ht="15" hidden="false" customHeight="false" outlineLevel="0" collapsed="false">
      <c r="A2392" s="55"/>
      <c r="B2392" s="56"/>
      <c r="C2392" s="56"/>
      <c r="D2392" s="56"/>
      <c r="E2392" s="57"/>
      <c r="F2392" s="58"/>
      <c r="G2392" s="59"/>
      <c r="H2392" s="56"/>
      <c r="I2392" s="60" t="str">
        <f aca="false">IF(IsPro,IF($D2392="","",IFERROR(INDEX(Items!$D$5:$D$504,Q2392),"")),IF($D2392="","","PRO PLAN"))</f>
        <v/>
      </c>
      <c r="J2392" s="61" t="str">
        <f aca="false">IF(IsPro,IF($D2392="","",IF($F2392="",IFERROR(INDEX(Items!$G$5:$G$504,Q2392),0),$F2392)),"")</f>
        <v/>
      </c>
      <c r="K2392" s="61" t="str">
        <f aca="false">IF(IsPro,IF($D2392="","",ROUND(N($E2392)*J2392*(1-N($G2392)),2)),"")</f>
        <v/>
      </c>
      <c r="L2392" s="62" t="str">
        <f aca="false">IF(IsPro,IF($D2392="","",IFERROR(INDEX(Items!$F$5:$F$504,Q2392),0)),"")</f>
        <v/>
      </c>
      <c r="M2392" s="61" t="str">
        <f aca="false">IF(IsPro,IF($D2392="","",IF(AND(R2392&lt;&gt;"",INDEX(Parties!$E$5:$E$304,R2392)&lt;&gt;"",INDEX(Parties!$E$5:$E$304,R2392)&lt;&gt;HomeState),0,ROUND(K2392*L2392/2,2))),"")</f>
        <v/>
      </c>
      <c r="N2392" s="61" t="str">
        <f aca="false">IF(IsPro,IF($D2392="","",M2392),"")</f>
        <v/>
      </c>
      <c r="O2392" s="61" t="str">
        <f aca="false">IF(IsPro,IF($D2392="","",IF(AND(R2392&lt;&gt;"",INDEX(Parties!$E$5:$E$304,R2392)&lt;&gt;"",INDEX(Parties!$E$5:$E$304,R2392)&lt;&gt;HomeState),ROUND(K2392*L2392,2),0)),"")</f>
        <v/>
      </c>
      <c r="P2392" s="61" t="str">
        <f aca="false">IF(IsPro,IF($D2392="","",K2392+M2392+N2392+O2392),"")</f>
        <v/>
      </c>
      <c r="Q2392" s="60" t="str">
        <f aca="false">IF(IsPro,IF($D2392="","",IFERROR(MATCH($D2392,Items!$A$5:$A$504,0),"")),"")</f>
        <v/>
      </c>
      <c r="R2392" s="60" t="str">
        <f aca="false">IF(IsPro,IF($C2392="","",IFERROR(MATCH($C2392,Parties!$A$5:$A$304,0),"")),"")</f>
        <v/>
      </c>
      <c r="S2392" s="61" t="str">
        <f aca="false">IF(IsPro,IF($D2392="","",IF(OR($H2392="",$H2392="Credit"),0,P2392)),"")</f>
        <v/>
      </c>
    </row>
    <row r="2393" customFormat="false" ht="15" hidden="false" customHeight="false" outlineLevel="0" collapsed="false">
      <c r="A2393" s="55"/>
      <c r="B2393" s="56"/>
      <c r="C2393" s="56"/>
      <c r="D2393" s="56"/>
      <c r="E2393" s="57"/>
      <c r="F2393" s="58"/>
      <c r="G2393" s="59"/>
      <c r="H2393" s="56"/>
      <c r="I2393" s="60" t="str">
        <f aca="false">IF(IsPro,IF($D2393="","",IFERROR(INDEX(Items!$D$5:$D$504,Q2393),"")),IF($D2393="","","PRO PLAN"))</f>
        <v/>
      </c>
      <c r="J2393" s="61" t="str">
        <f aca="false">IF(IsPro,IF($D2393="","",IF($F2393="",IFERROR(INDEX(Items!$G$5:$G$504,Q2393),0),$F2393)),"")</f>
        <v/>
      </c>
      <c r="K2393" s="61" t="str">
        <f aca="false">IF(IsPro,IF($D2393="","",ROUND(N($E2393)*J2393*(1-N($G2393)),2)),"")</f>
        <v/>
      </c>
      <c r="L2393" s="62" t="str">
        <f aca="false">IF(IsPro,IF($D2393="","",IFERROR(INDEX(Items!$F$5:$F$504,Q2393),0)),"")</f>
        <v/>
      </c>
      <c r="M2393" s="61" t="str">
        <f aca="false">IF(IsPro,IF($D2393="","",IF(AND(R2393&lt;&gt;"",INDEX(Parties!$E$5:$E$304,R2393)&lt;&gt;"",INDEX(Parties!$E$5:$E$304,R2393)&lt;&gt;HomeState),0,ROUND(K2393*L2393/2,2))),"")</f>
        <v/>
      </c>
      <c r="N2393" s="61" t="str">
        <f aca="false">IF(IsPro,IF($D2393="","",M2393),"")</f>
        <v/>
      </c>
      <c r="O2393" s="61" t="str">
        <f aca="false">IF(IsPro,IF($D2393="","",IF(AND(R2393&lt;&gt;"",INDEX(Parties!$E$5:$E$304,R2393)&lt;&gt;"",INDEX(Parties!$E$5:$E$304,R2393)&lt;&gt;HomeState),ROUND(K2393*L2393,2),0)),"")</f>
        <v/>
      </c>
      <c r="P2393" s="61" t="str">
        <f aca="false">IF(IsPro,IF($D2393="","",K2393+M2393+N2393+O2393),"")</f>
        <v/>
      </c>
      <c r="Q2393" s="60" t="str">
        <f aca="false">IF(IsPro,IF($D2393="","",IFERROR(MATCH($D2393,Items!$A$5:$A$504,0),"")),"")</f>
        <v/>
      </c>
      <c r="R2393" s="60" t="str">
        <f aca="false">IF(IsPro,IF($C2393="","",IFERROR(MATCH($C2393,Parties!$A$5:$A$304,0),"")),"")</f>
        <v/>
      </c>
      <c r="S2393" s="61" t="str">
        <f aca="false">IF(IsPro,IF($D2393="","",IF(OR($H2393="",$H2393="Credit"),0,P2393)),"")</f>
        <v/>
      </c>
    </row>
    <row r="2394" customFormat="false" ht="15" hidden="false" customHeight="false" outlineLevel="0" collapsed="false">
      <c r="A2394" s="55"/>
      <c r="B2394" s="56"/>
      <c r="C2394" s="56"/>
      <c r="D2394" s="56"/>
      <c r="E2394" s="57"/>
      <c r="F2394" s="58"/>
      <c r="G2394" s="59"/>
      <c r="H2394" s="56"/>
      <c r="I2394" s="60" t="str">
        <f aca="false">IF(IsPro,IF($D2394="","",IFERROR(INDEX(Items!$D$5:$D$504,Q2394),"")),IF($D2394="","","PRO PLAN"))</f>
        <v/>
      </c>
      <c r="J2394" s="61" t="str">
        <f aca="false">IF(IsPro,IF($D2394="","",IF($F2394="",IFERROR(INDEX(Items!$G$5:$G$504,Q2394),0),$F2394)),"")</f>
        <v/>
      </c>
      <c r="K2394" s="61" t="str">
        <f aca="false">IF(IsPro,IF($D2394="","",ROUND(N($E2394)*J2394*(1-N($G2394)),2)),"")</f>
        <v/>
      </c>
      <c r="L2394" s="62" t="str">
        <f aca="false">IF(IsPro,IF($D2394="","",IFERROR(INDEX(Items!$F$5:$F$504,Q2394),0)),"")</f>
        <v/>
      </c>
      <c r="M2394" s="61" t="str">
        <f aca="false">IF(IsPro,IF($D2394="","",IF(AND(R2394&lt;&gt;"",INDEX(Parties!$E$5:$E$304,R2394)&lt;&gt;"",INDEX(Parties!$E$5:$E$304,R2394)&lt;&gt;HomeState),0,ROUND(K2394*L2394/2,2))),"")</f>
        <v/>
      </c>
      <c r="N2394" s="61" t="str">
        <f aca="false">IF(IsPro,IF($D2394="","",M2394),"")</f>
        <v/>
      </c>
      <c r="O2394" s="61" t="str">
        <f aca="false">IF(IsPro,IF($D2394="","",IF(AND(R2394&lt;&gt;"",INDEX(Parties!$E$5:$E$304,R2394)&lt;&gt;"",INDEX(Parties!$E$5:$E$304,R2394)&lt;&gt;HomeState),ROUND(K2394*L2394,2),0)),"")</f>
        <v/>
      </c>
      <c r="P2394" s="61" t="str">
        <f aca="false">IF(IsPro,IF($D2394="","",K2394+M2394+N2394+O2394),"")</f>
        <v/>
      </c>
      <c r="Q2394" s="60" t="str">
        <f aca="false">IF(IsPro,IF($D2394="","",IFERROR(MATCH($D2394,Items!$A$5:$A$504,0),"")),"")</f>
        <v/>
      </c>
      <c r="R2394" s="60" t="str">
        <f aca="false">IF(IsPro,IF($C2394="","",IFERROR(MATCH($C2394,Parties!$A$5:$A$304,0),"")),"")</f>
        <v/>
      </c>
      <c r="S2394" s="61" t="str">
        <f aca="false">IF(IsPro,IF($D2394="","",IF(OR($H2394="",$H2394="Credit"),0,P2394)),"")</f>
        <v/>
      </c>
    </row>
    <row r="2395" customFormat="false" ht="15" hidden="false" customHeight="false" outlineLevel="0" collapsed="false">
      <c r="A2395" s="55"/>
      <c r="B2395" s="56"/>
      <c r="C2395" s="56"/>
      <c r="D2395" s="56"/>
      <c r="E2395" s="57"/>
      <c r="F2395" s="58"/>
      <c r="G2395" s="59"/>
      <c r="H2395" s="56"/>
      <c r="I2395" s="60" t="str">
        <f aca="false">IF(IsPro,IF($D2395="","",IFERROR(INDEX(Items!$D$5:$D$504,Q2395),"")),IF($D2395="","","PRO PLAN"))</f>
        <v/>
      </c>
      <c r="J2395" s="61" t="str">
        <f aca="false">IF(IsPro,IF($D2395="","",IF($F2395="",IFERROR(INDEX(Items!$G$5:$G$504,Q2395),0),$F2395)),"")</f>
        <v/>
      </c>
      <c r="K2395" s="61" t="str">
        <f aca="false">IF(IsPro,IF($D2395="","",ROUND(N($E2395)*J2395*(1-N($G2395)),2)),"")</f>
        <v/>
      </c>
      <c r="L2395" s="62" t="str">
        <f aca="false">IF(IsPro,IF($D2395="","",IFERROR(INDEX(Items!$F$5:$F$504,Q2395),0)),"")</f>
        <v/>
      </c>
      <c r="M2395" s="61" t="str">
        <f aca="false">IF(IsPro,IF($D2395="","",IF(AND(R2395&lt;&gt;"",INDEX(Parties!$E$5:$E$304,R2395)&lt;&gt;"",INDEX(Parties!$E$5:$E$304,R2395)&lt;&gt;HomeState),0,ROUND(K2395*L2395/2,2))),"")</f>
        <v/>
      </c>
      <c r="N2395" s="61" t="str">
        <f aca="false">IF(IsPro,IF($D2395="","",M2395),"")</f>
        <v/>
      </c>
      <c r="O2395" s="61" t="str">
        <f aca="false">IF(IsPro,IF($D2395="","",IF(AND(R2395&lt;&gt;"",INDEX(Parties!$E$5:$E$304,R2395)&lt;&gt;"",INDEX(Parties!$E$5:$E$304,R2395)&lt;&gt;HomeState),ROUND(K2395*L2395,2),0)),"")</f>
        <v/>
      </c>
      <c r="P2395" s="61" t="str">
        <f aca="false">IF(IsPro,IF($D2395="","",K2395+M2395+N2395+O2395),"")</f>
        <v/>
      </c>
      <c r="Q2395" s="60" t="str">
        <f aca="false">IF(IsPro,IF($D2395="","",IFERROR(MATCH($D2395,Items!$A$5:$A$504,0),"")),"")</f>
        <v/>
      </c>
      <c r="R2395" s="60" t="str">
        <f aca="false">IF(IsPro,IF($C2395="","",IFERROR(MATCH($C2395,Parties!$A$5:$A$304,0),"")),"")</f>
        <v/>
      </c>
      <c r="S2395" s="61" t="str">
        <f aca="false">IF(IsPro,IF($D2395="","",IF(OR($H2395="",$H2395="Credit"),0,P2395)),"")</f>
        <v/>
      </c>
    </row>
    <row r="2396" customFormat="false" ht="15" hidden="false" customHeight="false" outlineLevel="0" collapsed="false">
      <c r="A2396" s="55"/>
      <c r="B2396" s="56"/>
      <c r="C2396" s="56"/>
      <c r="D2396" s="56"/>
      <c r="E2396" s="57"/>
      <c r="F2396" s="58"/>
      <c r="G2396" s="59"/>
      <c r="H2396" s="56"/>
      <c r="I2396" s="60" t="str">
        <f aca="false">IF(IsPro,IF($D2396="","",IFERROR(INDEX(Items!$D$5:$D$504,Q2396),"")),IF($D2396="","","PRO PLAN"))</f>
        <v/>
      </c>
      <c r="J2396" s="61" t="str">
        <f aca="false">IF(IsPro,IF($D2396="","",IF($F2396="",IFERROR(INDEX(Items!$G$5:$G$504,Q2396),0),$F2396)),"")</f>
        <v/>
      </c>
      <c r="K2396" s="61" t="str">
        <f aca="false">IF(IsPro,IF($D2396="","",ROUND(N($E2396)*J2396*(1-N($G2396)),2)),"")</f>
        <v/>
      </c>
      <c r="L2396" s="62" t="str">
        <f aca="false">IF(IsPro,IF($D2396="","",IFERROR(INDEX(Items!$F$5:$F$504,Q2396),0)),"")</f>
        <v/>
      </c>
      <c r="M2396" s="61" t="str">
        <f aca="false">IF(IsPro,IF($D2396="","",IF(AND(R2396&lt;&gt;"",INDEX(Parties!$E$5:$E$304,R2396)&lt;&gt;"",INDEX(Parties!$E$5:$E$304,R2396)&lt;&gt;HomeState),0,ROUND(K2396*L2396/2,2))),"")</f>
        <v/>
      </c>
      <c r="N2396" s="61" t="str">
        <f aca="false">IF(IsPro,IF($D2396="","",M2396),"")</f>
        <v/>
      </c>
      <c r="O2396" s="61" t="str">
        <f aca="false">IF(IsPro,IF($D2396="","",IF(AND(R2396&lt;&gt;"",INDEX(Parties!$E$5:$E$304,R2396)&lt;&gt;"",INDEX(Parties!$E$5:$E$304,R2396)&lt;&gt;HomeState),ROUND(K2396*L2396,2),0)),"")</f>
        <v/>
      </c>
      <c r="P2396" s="61" t="str">
        <f aca="false">IF(IsPro,IF($D2396="","",K2396+M2396+N2396+O2396),"")</f>
        <v/>
      </c>
      <c r="Q2396" s="60" t="str">
        <f aca="false">IF(IsPro,IF($D2396="","",IFERROR(MATCH($D2396,Items!$A$5:$A$504,0),"")),"")</f>
        <v/>
      </c>
      <c r="R2396" s="60" t="str">
        <f aca="false">IF(IsPro,IF($C2396="","",IFERROR(MATCH($C2396,Parties!$A$5:$A$304,0),"")),"")</f>
        <v/>
      </c>
      <c r="S2396" s="61" t="str">
        <f aca="false">IF(IsPro,IF($D2396="","",IF(OR($H2396="",$H2396="Credit"),0,P2396)),"")</f>
        <v/>
      </c>
    </row>
    <row r="2397" customFormat="false" ht="15" hidden="false" customHeight="false" outlineLevel="0" collapsed="false">
      <c r="A2397" s="55"/>
      <c r="B2397" s="56"/>
      <c r="C2397" s="56"/>
      <c r="D2397" s="56"/>
      <c r="E2397" s="57"/>
      <c r="F2397" s="58"/>
      <c r="G2397" s="59"/>
      <c r="H2397" s="56"/>
      <c r="I2397" s="60" t="str">
        <f aca="false">IF(IsPro,IF($D2397="","",IFERROR(INDEX(Items!$D$5:$D$504,Q2397),"")),IF($D2397="","","PRO PLAN"))</f>
        <v/>
      </c>
      <c r="J2397" s="61" t="str">
        <f aca="false">IF(IsPro,IF($D2397="","",IF($F2397="",IFERROR(INDEX(Items!$G$5:$G$504,Q2397),0),$F2397)),"")</f>
        <v/>
      </c>
      <c r="K2397" s="61" t="str">
        <f aca="false">IF(IsPro,IF($D2397="","",ROUND(N($E2397)*J2397*(1-N($G2397)),2)),"")</f>
        <v/>
      </c>
      <c r="L2397" s="62" t="str">
        <f aca="false">IF(IsPro,IF($D2397="","",IFERROR(INDEX(Items!$F$5:$F$504,Q2397),0)),"")</f>
        <v/>
      </c>
      <c r="M2397" s="61" t="str">
        <f aca="false">IF(IsPro,IF($D2397="","",IF(AND(R2397&lt;&gt;"",INDEX(Parties!$E$5:$E$304,R2397)&lt;&gt;"",INDEX(Parties!$E$5:$E$304,R2397)&lt;&gt;HomeState),0,ROUND(K2397*L2397/2,2))),"")</f>
        <v/>
      </c>
      <c r="N2397" s="61" t="str">
        <f aca="false">IF(IsPro,IF($D2397="","",M2397),"")</f>
        <v/>
      </c>
      <c r="O2397" s="61" t="str">
        <f aca="false">IF(IsPro,IF($D2397="","",IF(AND(R2397&lt;&gt;"",INDEX(Parties!$E$5:$E$304,R2397)&lt;&gt;"",INDEX(Parties!$E$5:$E$304,R2397)&lt;&gt;HomeState),ROUND(K2397*L2397,2),0)),"")</f>
        <v/>
      </c>
      <c r="P2397" s="61" t="str">
        <f aca="false">IF(IsPro,IF($D2397="","",K2397+M2397+N2397+O2397),"")</f>
        <v/>
      </c>
      <c r="Q2397" s="60" t="str">
        <f aca="false">IF(IsPro,IF($D2397="","",IFERROR(MATCH($D2397,Items!$A$5:$A$504,0),"")),"")</f>
        <v/>
      </c>
      <c r="R2397" s="60" t="str">
        <f aca="false">IF(IsPro,IF($C2397="","",IFERROR(MATCH($C2397,Parties!$A$5:$A$304,0),"")),"")</f>
        <v/>
      </c>
      <c r="S2397" s="61" t="str">
        <f aca="false">IF(IsPro,IF($D2397="","",IF(OR($H2397="",$H2397="Credit"),0,P2397)),"")</f>
        <v/>
      </c>
    </row>
    <row r="2398" customFormat="false" ht="15" hidden="false" customHeight="false" outlineLevel="0" collapsed="false">
      <c r="A2398" s="55"/>
      <c r="B2398" s="56"/>
      <c r="C2398" s="56"/>
      <c r="D2398" s="56"/>
      <c r="E2398" s="57"/>
      <c r="F2398" s="58"/>
      <c r="G2398" s="59"/>
      <c r="H2398" s="56"/>
      <c r="I2398" s="60" t="str">
        <f aca="false">IF(IsPro,IF($D2398="","",IFERROR(INDEX(Items!$D$5:$D$504,Q2398),"")),IF($D2398="","","PRO PLAN"))</f>
        <v/>
      </c>
      <c r="J2398" s="61" t="str">
        <f aca="false">IF(IsPro,IF($D2398="","",IF($F2398="",IFERROR(INDEX(Items!$G$5:$G$504,Q2398),0),$F2398)),"")</f>
        <v/>
      </c>
      <c r="K2398" s="61" t="str">
        <f aca="false">IF(IsPro,IF($D2398="","",ROUND(N($E2398)*J2398*(1-N($G2398)),2)),"")</f>
        <v/>
      </c>
      <c r="L2398" s="62" t="str">
        <f aca="false">IF(IsPro,IF($D2398="","",IFERROR(INDEX(Items!$F$5:$F$504,Q2398),0)),"")</f>
        <v/>
      </c>
      <c r="M2398" s="61" t="str">
        <f aca="false">IF(IsPro,IF($D2398="","",IF(AND(R2398&lt;&gt;"",INDEX(Parties!$E$5:$E$304,R2398)&lt;&gt;"",INDEX(Parties!$E$5:$E$304,R2398)&lt;&gt;HomeState),0,ROUND(K2398*L2398/2,2))),"")</f>
        <v/>
      </c>
      <c r="N2398" s="61" t="str">
        <f aca="false">IF(IsPro,IF($D2398="","",M2398),"")</f>
        <v/>
      </c>
      <c r="O2398" s="61" t="str">
        <f aca="false">IF(IsPro,IF($D2398="","",IF(AND(R2398&lt;&gt;"",INDEX(Parties!$E$5:$E$304,R2398)&lt;&gt;"",INDEX(Parties!$E$5:$E$304,R2398)&lt;&gt;HomeState),ROUND(K2398*L2398,2),0)),"")</f>
        <v/>
      </c>
      <c r="P2398" s="61" t="str">
        <f aca="false">IF(IsPro,IF($D2398="","",K2398+M2398+N2398+O2398),"")</f>
        <v/>
      </c>
      <c r="Q2398" s="60" t="str">
        <f aca="false">IF(IsPro,IF($D2398="","",IFERROR(MATCH($D2398,Items!$A$5:$A$504,0),"")),"")</f>
        <v/>
      </c>
      <c r="R2398" s="60" t="str">
        <f aca="false">IF(IsPro,IF($C2398="","",IFERROR(MATCH($C2398,Parties!$A$5:$A$304,0),"")),"")</f>
        <v/>
      </c>
      <c r="S2398" s="61" t="str">
        <f aca="false">IF(IsPro,IF($D2398="","",IF(OR($H2398="",$H2398="Credit"),0,P2398)),"")</f>
        <v/>
      </c>
    </row>
    <row r="2399" customFormat="false" ht="15" hidden="false" customHeight="false" outlineLevel="0" collapsed="false">
      <c r="A2399" s="55"/>
      <c r="B2399" s="56"/>
      <c r="C2399" s="56"/>
      <c r="D2399" s="56"/>
      <c r="E2399" s="57"/>
      <c r="F2399" s="58"/>
      <c r="G2399" s="59"/>
      <c r="H2399" s="56"/>
      <c r="I2399" s="60" t="str">
        <f aca="false">IF(IsPro,IF($D2399="","",IFERROR(INDEX(Items!$D$5:$D$504,Q2399),"")),IF($D2399="","","PRO PLAN"))</f>
        <v/>
      </c>
      <c r="J2399" s="61" t="str">
        <f aca="false">IF(IsPro,IF($D2399="","",IF($F2399="",IFERROR(INDEX(Items!$G$5:$G$504,Q2399),0),$F2399)),"")</f>
        <v/>
      </c>
      <c r="K2399" s="61" t="str">
        <f aca="false">IF(IsPro,IF($D2399="","",ROUND(N($E2399)*J2399*(1-N($G2399)),2)),"")</f>
        <v/>
      </c>
      <c r="L2399" s="62" t="str">
        <f aca="false">IF(IsPro,IF($D2399="","",IFERROR(INDEX(Items!$F$5:$F$504,Q2399),0)),"")</f>
        <v/>
      </c>
      <c r="M2399" s="61" t="str">
        <f aca="false">IF(IsPro,IF($D2399="","",IF(AND(R2399&lt;&gt;"",INDEX(Parties!$E$5:$E$304,R2399)&lt;&gt;"",INDEX(Parties!$E$5:$E$304,R2399)&lt;&gt;HomeState),0,ROUND(K2399*L2399/2,2))),"")</f>
        <v/>
      </c>
      <c r="N2399" s="61" t="str">
        <f aca="false">IF(IsPro,IF($D2399="","",M2399),"")</f>
        <v/>
      </c>
      <c r="O2399" s="61" t="str">
        <f aca="false">IF(IsPro,IF($D2399="","",IF(AND(R2399&lt;&gt;"",INDEX(Parties!$E$5:$E$304,R2399)&lt;&gt;"",INDEX(Parties!$E$5:$E$304,R2399)&lt;&gt;HomeState),ROUND(K2399*L2399,2),0)),"")</f>
        <v/>
      </c>
      <c r="P2399" s="61" t="str">
        <f aca="false">IF(IsPro,IF($D2399="","",K2399+M2399+N2399+O2399),"")</f>
        <v/>
      </c>
      <c r="Q2399" s="60" t="str">
        <f aca="false">IF(IsPro,IF($D2399="","",IFERROR(MATCH($D2399,Items!$A$5:$A$504,0),"")),"")</f>
        <v/>
      </c>
      <c r="R2399" s="60" t="str">
        <f aca="false">IF(IsPro,IF($C2399="","",IFERROR(MATCH($C2399,Parties!$A$5:$A$304,0),"")),"")</f>
        <v/>
      </c>
      <c r="S2399" s="61" t="str">
        <f aca="false">IF(IsPro,IF($D2399="","",IF(OR($H2399="",$H2399="Credit"),0,P2399)),"")</f>
        <v/>
      </c>
    </row>
    <row r="2400" customFormat="false" ht="15" hidden="false" customHeight="false" outlineLevel="0" collapsed="false">
      <c r="A2400" s="55"/>
      <c r="B2400" s="56"/>
      <c r="C2400" s="56"/>
      <c r="D2400" s="56"/>
      <c r="E2400" s="57"/>
      <c r="F2400" s="58"/>
      <c r="G2400" s="59"/>
      <c r="H2400" s="56"/>
      <c r="I2400" s="60" t="str">
        <f aca="false">IF(IsPro,IF($D2400="","",IFERROR(INDEX(Items!$D$5:$D$504,Q2400),"")),IF($D2400="","","PRO PLAN"))</f>
        <v/>
      </c>
      <c r="J2400" s="61" t="str">
        <f aca="false">IF(IsPro,IF($D2400="","",IF($F2400="",IFERROR(INDEX(Items!$G$5:$G$504,Q2400),0),$F2400)),"")</f>
        <v/>
      </c>
      <c r="K2400" s="61" t="str">
        <f aca="false">IF(IsPro,IF($D2400="","",ROUND(N($E2400)*J2400*(1-N($G2400)),2)),"")</f>
        <v/>
      </c>
      <c r="L2400" s="62" t="str">
        <f aca="false">IF(IsPro,IF($D2400="","",IFERROR(INDEX(Items!$F$5:$F$504,Q2400),0)),"")</f>
        <v/>
      </c>
      <c r="M2400" s="61" t="str">
        <f aca="false">IF(IsPro,IF($D2400="","",IF(AND(R2400&lt;&gt;"",INDEX(Parties!$E$5:$E$304,R2400)&lt;&gt;"",INDEX(Parties!$E$5:$E$304,R2400)&lt;&gt;HomeState),0,ROUND(K2400*L2400/2,2))),"")</f>
        <v/>
      </c>
      <c r="N2400" s="61" t="str">
        <f aca="false">IF(IsPro,IF($D2400="","",M2400),"")</f>
        <v/>
      </c>
      <c r="O2400" s="61" t="str">
        <f aca="false">IF(IsPro,IF($D2400="","",IF(AND(R2400&lt;&gt;"",INDEX(Parties!$E$5:$E$304,R2400)&lt;&gt;"",INDEX(Parties!$E$5:$E$304,R2400)&lt;&gt;HomeState),ROUND(K2400*L2400,2),0)),"")</f>
        <v/>
      </c>
      <c r="P2400" s="61" t="str">
        <f aca="false">IF(IsPro,IF($D2400="","",K2400+M2400+N2400+O2400),"")</f>
        <v/>
      </c>
      <c r="Q2400" s="60" t="str">
        <f aca="false">IF(IsPro,IF($D2400="","",IFERROR(MATCH($D2400,Items!$A$5:$A$504,0),"")),"")</f>
        <v/>
      </c>
      <c r="R2400" s="60" t="str">
        <f aca="false">IF(IsPro,IF($C2400="","",IFERROR(MATCH($C2400,Parties!$A$5:$A$304,0),"")),"")</f>
        <v/>
      </c>
      <c r="S2400" s="61" t="str">
        <f aca="false">IF(IsPro,IF($D2400="","",IF(OR($H2400="",$H2400="Credit"),0,P2400)),"")</f>
        <v/>
      </c>
    </row>
    <row r="2401" customFormat="false" ht="15" hidden="false" customHeight="false" outlineLevel="0" collapsed="false">
      <c r="A2401" s="55"/>
      <c r="B2401" s="56"/>
      <c r="C2401" s="56"/>
      <c r="D2401" s="56"/>
      <c r="E2401" s="57"/>
      <c r="F2401" s="58"/>
      <c r="G2401" s="59"/>
      <c r="H2401" s="56"/>
      <c r="I2401" s="60" t="str">
        <f aca="false">IF(IsPro,IF($D2401="","",IFERROR(INDEX(Items!$D$5:$D$504,Q2401),"")),IF($D2401="","","PRO PLAN"))</f>
        <v/>
      </c>
      <c r="J2401" s="61" t="str">
        <f aca="false">IF(IsPro,IF($D2401="","",IF($F2401="",IFERROR(INDEX(Items!$G$5:$G$504,Q2401),0),$F2401)),"")</f>
        <v/>
      </c>
      <c r="K2401" s="61" t="str">
        <f aca="false">IF(IsPro,IF($D2401="","",ROUND(N($E2401)*J2401*(1-N($G2401)),2)),"")</f>
        <v/>
      </c>
      <c r="L2401" s="62" t="str">
        <f aca="false">IF(IsPro,IF($D2401="","",IFERROR(INDEX(Items!$F$5:$F$504,Q2401),0)),"")</f>
        <v/>
      </c>
      <c r="M2401" s="61" t="str">
        <f aca="false">IF(IsPro,IF($D2401="","",IF(AND(R2401&lt;&gt;"",INDEX(Parties!$E$5:$E$304,R2401)&lt;&gt;"",INDEX(Parties!$E$5:$E$304,R2401)&lt;&gt;HomeState),0,ROUND(K2401*L2401/2,2))),"")</f>
        <v/>
      </c>
      <c r="N2401" s="61" t="str">
        <f aca="false">IF(IsPro,IF($D2401="","",M2401),"")</f>
        <v/>
      </c>
      <c r="O2401" s="61" t="str">
        <f aca="false">IF(IsPro,IF($D2401="","",IF(AND(R2401&lt;&gt;"",INDEX(Parties!$E$5:$E$304,R2401)&lt;&gt;"",INDEX(Parties!$E$5:$E$304,R2401)&lt;&gt;HomeState),ROUND(K2401*L2401,2),0)),"")</f>
        <v/>
      </c>
      <c r="P2401" s="61" t="str">
        <f aca="false">IF(IsPro,IF($D2401="","",K2401+M2401+N2401+O2401),"")</f>
        <v/>
      </c>
      <c r="Q2401" s="60" t="str">
        <f aca="false">IF(IsPro,IF($D2401="","",IFERROR(MATCH($D2401,Items!$A$5:$A$504,0),"")),"")</f>
        <v/>
      </c>
      <c r="R2401" s="60" t="str">
        <f aca="false">IF(IsPro,IF($C2401="","",IFERROR(MATCH($C2401,Parties!$A$5:$A$304,0),"")),"")</f>
        <v/>
      </c>
      <c r="S2401" s="61" t="str">
        <f aca="false">IF(IsPro,IF($D2401="","",IF(OR($H2401="",$H2401="Credit"),0,P2401)),"")</f>
        <v/>
      </c>
    </row>
    <row r="2402" customFormat="false" ht="15" hidden="false" customHeight="false" outlineLevel="0" collapsed="false">
      <c r="A2402" s="55"/>
      <c r="B2402" s="56"/>
      <c r="C2402" s="56"/>
      <c r="D2402" s="56"/>
      <c r="E2402" s="57"/>
      <c r="F2402" s="58"/>
      <c r="G2402" s="59"/>
      <c r="H2402" s="56"/>
      <c r="I2402" s="60" t="str">
        <f aca="false">IF(IsPro,IF($D2402="","",IFERROR(INDEX(Items!$D$5:$D$504,Q2402),"")),IF($D2402="","","PRO PLAN"))</f>
        <v/>
      </c>
      <c r="J2402" s="61" t="str">
        <f aca="false">IF(IsPro,IF($D2402="","",IF($F2402="",IFERROR(INDEX(Items!$G$5:$G$504,Q2402),0),$F2402)),"")</f>
        <v/>
      </c>
      <c r="K2402" s="61" t="str">
        <f aca="false">IF(IsPro,IF($D2402="","",ROUND(N($E2402)*J2402*(1-N($G2402)),2)),"")</f>
        <v/>
      </c>
      <c r="L2402" s="62" t="str">
        <f aca="false">IF(IsPro,IF($D2402="","",IFERROR(INDEX(Items!$F$5:$F$504,Q2402),0)),"")</f>
        <v/>
      </c>
      <c r="M2402" s="61" t="str">
        <f aca="false">IF(IsPro,IF($D2402="","",IF(AND(R2402&lt;&gt;"",INDEX(Parties!$E$5:$E$304,R2402)&lt;&gt;"",INDEX(Parties!$E$5:$E$304,R2402)&lt;&gt;HomeState),0,ROUND(K2402*L2402/2,2))),"")</f>
        <v/>
      </c>
      <c r="N2402" s="61" t="str">
        <f aca="false">IF(IsPro,IF($D2402="","",M2402),"")</f>
        <v/>
      </c>
      <c r="O2402" s="61" t="str">
        <f aca="false">IF(IsPro,IF($D2402="","",IF(AND(R2402&lt;&gt;"",INDEX(Parties!$E$5:$E$304,R2402)&lt;&gt;"",INDEX(Parties!$E$5:$E$304,R2402)&lt;&gt;HomeState),ROUND(K2402*L2402,2),0)),"")</f>
        <v/>
      </c>
      <c r="P2402" s="61" t="str">
        <f aca="false">IF(IsPro,IF($D2402="","",K2402+M2402+N2402+O2402),"")</f>
        <v/>
      </c>
      <c r="Q2402" s="60" t="str">
        <f aca="false">IF(IsPro,IF($D2402="","",IFERROR(MATCH($D2402,Items!$A$5:$A$504,0),"")),"")</f>
        <v/>
      </c>
      <c r="R2402" s="60" t="str">
        <f aca="false">IF(IsPro,IF($C2402="","",IFERROR(MATCH($C2402,Parties!$A$5:$A$304,0),"")),"")</f>
        <v/>
      </c>
      <c r="S2402" s="61" t="str">
        <f aca="false">IF(IsPro,IF($D2402="","",IF(OR($H2402="",$H2402="Credit"),0,P2402)),"")</f>
        <v/>
      </c>
    </row>
    <row r="2403" customFormat="false" ht="15" hidden="false" customHeight="false" outlineLevel="0" collapsed="false">
      <c r="A2403" s="55"/>
      <c r="B2403" s="56"/>
      <c r="C2403" s="56"/>
      <c r="D2403" s="56"/>
      <c r="E2403" s="57"/>
      <c r="F2403" s="58"/>
      <c r="G2403" s="59"/>
      <c r="H2403" s="56"/>
      <c r="I2403" s="60" t="str">
        <f aca="false">IF(IsPro,IF($D2403="","",IFERROR(INDEX(Items!$D$5:$D$504,Q2403),"")),IF($D2403="","","PRO PLAN"))</f>
        <v/>
      </c>
      <c r="J2403" s="61" t="str">
        <f aca="false">IF(IsPro,IF($D2403="","",IF($F2403="",IFERROR(INDEX(Items!$G$5:$G$504,Q2403),0),$F2403)),"")</f>
        <v/>
      </c>
      <c r="K2403" s="61" t="str">
        <f aca="false">IF(IsPro,IF($D2403="","",ROUND(N($E2403)*J2403*(1-N($G2403)),2)),"")</f>
        <v/>
      </c>
      <c r="L2403" s="62" t="str">
        <f aca="false">IF(IsPro,IF($D2403="","",IFERROR(INDEX(Items!$F$5:$F$504,Q2403),0)),"")</f>
        <v/>
      </c>
      <c r="M2403" s="61" t="str">
        <f aca="false">IF(IsPro,IF($D2403="","",IF(AND(R2403&lt;&gt;"",INDEX(Parties!$E$5:$E$304,R2403)&lt;&gt;"",INDEX(Parties!$E$5:$E$304,R2403)&lt;&gt;HomeState),0,ROUND(K2403*L2403/2,2))),"")</f>
        <v/>
      </c>
      <c r="N2403" s="61" t="str">
        <f aca="false">IF(IsPro,IF($D2403="","",M2403),"")</f>
        <v/>
      </c>
      <c r="O2403" s="61" t="str">
        <f aca="false">IF(IsPro,IF($D2403="","",IF(AND(R2403&lt;&gt;"",INDEX(Parties!$E$5:$E$304,R2403)&lt;&gt;"",INDEX(Parties!$E$5:$E$304,R2403)&lt;&gt;HomeState),ROUND(K2403*L2403,2),0)),"")</f>
        <v/>
      </c>
      <c r="P2403" s="61" t="str">
        <f aca="false">IF(IsPro,IF($D2403="","",K2403+M2403+N2403+O2403),"")</f>
        <v/>
      </c>
      <c r="Q2403" s="60" t="str">
        <f aca="false">IF(IsPro,IF($D2403="","",IFERROR(MATCH($D2403,Items!$A$5:$A$504,0),"")),"")</f>
        <v/>
      </c>
      <c r="R2403" s="60" t="str">
        <f aca="false">IF(IsPro,IF($C2403="","",IFERROR(MATCH($C2403,Parties!$A$5:$A$304,0),"")),"")</f>
        <v/>
      </c>
      <c r="S2403" s="61" t="str">
        <f aca="false">IF(IsPro,IF($D2403="","",IF(OR($H2403="",$H2403="Credit"),0,P2403)),"")</f>
        <v/>
      </c>
    </row>
    <row r="2404" customFormat="false" ht="15" hidden="false" customHeight="false" outlineLevel="0" collapsed="false">
      <c r="A2404" s="55"/>
      <c r="B2404" s="56"/>
      <c r="C2404" s="56"/>
      <c r="D2404" s="56"/>
      <c r="E2404" s="57"/>
      <c r="F2404" s="58"/>
      <c r="G2404" s="59"/>
      <c r="H2404" s="56"/>
      <c r="I2404" s="60" t="str">
        <f aca="false">IF(IsPro,IF($D2404="","",IFERROR(INDEX(Items!$D$5:$D$504,Q2404),"")),IF($D2404="","","PRO PLAN"))</f>
        <v/>
      </c>
      <c r="J2404" s="61" t="str">
        <f aca="false">IF(IsPro,IF($D2404="","",IF($F2404="",IFERROR(INDEX(Items!$G$5:$G$504,Q2404),0),$F2404)),"")</f>
        <v/>
      </c>
      <c r="K2404" s="61" t="str">
        <f aca="false">IF(IsPro,IF($D2404="","",ROUND(N($E2404)*J2404*(1-N($G2404)),2)),"")</f>
        <v/>
      </c>
      <c r="L2404" s="62" t="str">
        <f aca="false">IF(IsPro,IF($D2404="","",IFERROR(INDEX(Items!$F$5:$F$504,Q2404),0)),"")</f>
        <v/>
      </c>
      <c r="M2404" s="61" t="str">
        <f aca="false">IF(IsPro,IF($D2404="","",IF(AND(R2404&lt;&gt;"",INDEX(Parties!$E$5:$E$304,R2404)&lt;&gt;"",INDEX(Parties!$E$5:$E$304,R2404)&lt;&gt;HomeState),0,ROUND(K2404*L2404/2,2))),"")</f>
        <v/>
      </c>
      <c r="N2404" s="61" t="str">
        <f aca="false">IF(IsPro,IF($D2404="","",M2404),"")</f>
        <v/>
      </c>
      <c r="O2404" s="61" t="str">
        <f aca="false">IF(IsPro,IF($D2404="","",IF(AND(R2404&lt;&gt;"",INDEX(Parties!$E$5:$E$304,R2404)&lt;&gt;"",INDEX(Parties!$E$5:$E$304,R2404)&lt;&gt;HomeState),ROUND(K2404*L2404,2),0)),"")</f>
        <v/>
      </c>
      <c r="P2404" s="61" t="str">
        <f aca="false">IF(IsPro,IF($D2404="","",K2404+M2404+N2404+O2404),"")</f>
        <v/>
      </c>
      <c r="Q2404" s="60" t="str">
        <f aca="false">IF(IsPro,IF($D2404="","",IFERROR(MATCH($D2404,Items!$A$5:$A$504,0),"")),"")</f>
        <v/>
      </c>
      <c r="R2404" s="60" t="str">
        <f aca="false">IF(IsPro,IF($C2404="","",IFERROR(MATCH($C2404,Parties!$A$5:$A$304,0),"")),"")</f>
        <v/>
      </c>
      <c r="S2404" s="61" t="str">
        <f aca="false">IF(IsPro,IF($D2404="","",IF(OR($H2404="",$H2404="Credit"),0,P2404)),"")</f>
        <v/>
      </c>
    </row>
    <row r="2405" customFormat="false" ht="15" hidden="false" customHeight="false" outlineLevel="0" collapsed="false">
      <c r="A2405" s="55"/>
      <c r="B2405" s="56"/>
      <c r="C2405" s="56"/>
      <c r="D2405" s="56"/>
      <c r="E2405" s="57"/>
      <c r="F2405" s="58"/>
      <c r="G2405" s="59"/>
      <c r="H2405" s="56"/>
      <c r="I2405" s="60" t="str">
        <f aca="false">IF(IsPro,IF($D2405="","",IFERROR(INDEX(Items!$D$5:$D$504,Q2405),"")),IF($D2405="","","PRO PLAN"))</f>
        <v/>
      </c>
      <c r="J2405" s="61" t="str">
        <f aca="false">IF(IsPro,IF($D2405="","",IF($F2405="",IFERROR(INDEX(Items!$G$5:$G$504,Q2405),0),$F2405)),"")</f>
        <v/>
      </c>
      <c r="K2405" s="61" t="str">
        <f aca="false">IF(IsPro,IF($D2405="","",ROUND(N($E2405)*J2405*(1-N($G2405)),2)),"")</f>
        <v/>
      </c>
      <c r="L2405" s="62" t="str">
        <f aca="false">IF(IsPro,IF($D2405="","",IFERROR(INDEX(Items!$F$5:$F$504,Q2405),0)),"")</f>
        <v/>
      </c>
      <c r="M2405" s="61" t="str">
        <f aca="false">IF(IsPro,IF($D2405="","",IF(AND(R2405&lt;&gt;"",INDEX(Parties!$E$5:$E$304,R2405)&lt;&gt;"",INDEX(Parties!$E$5:$E$304,R2405)&lt;&gt;HomeState),0,ROUND(K2405*L2405/2,2))),"")</f>
        <v/>
      </c>
      <c r="N2405" s="61" t="str">
        <f aca="false">IF(IsPro,IF($D2405="","",M2405),"")</f>
        <v/>
      </c>
      <c r="O2405" s="61" t="str">
        <f aca="false">IF(IsPro,IF($D2405="","",IF(AND(R2405&lt;&gt;"",INDEX(Parties!$E$5:$E$304,R2405)&lt;&gt;"",INDEX(Parties!$E$5:$E$304,R2405)&lt;&gt;HomeState),ROUND(K2405*L2405,2),0)),"")</f>
        <v/>
      </c>
      <c r="P2405" s="61" t="str">
        <f aca="false">IF(IsPro,IF($D2405="","",K2405+M2405+N2405+O2405),"")</f>
        <v/>
      </c>
      <c r="Q2405" s="60" t="str">
        <f aca="false">IF(IsPro,IF($D2405="","",IFERROR(MATCH($D2405,Items!$A$5:$A$504,0),"")),"")</f>
        <v/>
      </c>
      <c r="R2405" s="60" t="str">
        <f aca="false">IF(IsPro,IF($C2405="","",IFERROR(MATCH($C2405,Parties!$A$5:$A$304,0),"")),"")</f>
        <v/>
      </c>
      <c r="S2405" s="61" t="str">
        <f aca="false">IF(IsPro,IF($D2405="","",IF(OR($H2405="",$H2405="Credit"),0,P2405)),"")</f>
        <v/>
      </c>
    </row>
    <row r="2406" customFormat="false" ht="15" hidden="false" customHeight="false" outlineLevel="0" collapsed="false">
      <c r="A2406" s="55"/>
      <c r="B2406" s="56"/>
      <c r="C2406" s="56"/>
      <c r="D2406" s="56"/>
      <c r="E2406" s="57"/>
      <c r="F2406" s="58"/>
      <c r="G2406" s="59"/>
      <c r="H2406" s="56"/>
      <c r="I2406" s="60" t="str">
        <f aca="false">IF(IsPro,IF($D2406="","",IFERROR(INDEX(Items!$D$5:$D$504,Q2406),"")),IF($D2406="","","PRO PLAN"))</f>
        <v/>
      </c>
      <c r="J2406" s="61" t="str">
        <f aca="false">IF(IsPro,IF($D2406="","",IF($F2406="",IFERROR(INDEX(Items!$G$5:$G$504,Q2406),0),$F2406)),"")</f>
        <v/>
      </c>
      <c r="K2406" s="61" t="str">
        <f aca="false">IF(IsPro,IF($D2406="","",ROUND(N($E2406)*J2406*(1-N($G2406)),2)),"")</f>
        <v/>
      </c>
      <c r="L2406" s="62" t="str">
        <f aca="false">IF(IsPro,IF($D2406="","",IFERROR(INDEX(Items!$F$5:$F$504,Q2406),0)),"")</f>
        <v/>
      </c>
      <c r="M2406" s="61" t="str">
        <f aca="false">IF(IsPro,IF($D2406="","",IF(AND(R2406&lt;&gt;"",INDEX(Parties!$E$5:$E$304,R2406)&lt;&gt;"",INDEX(Parties!$E$5:$E$304,R2406)&lt;&gt;HomeState),0,ROUND(K2406*L2406/2,2))),"")</f>
        <v/>
      </c>
      <c r="N2406" s="61" t="str">
        <f aca="false">IF(IsPro,IF($D2406="","",M2406),"")</f>
        <v/>
      </c>
      <c r="O2406" s="61" t="str">
        <f aca="false">IF(IsPro,IF($D2406="","",IF(AND(R2406&lt;&gt;"",INDEX(Parties!$E$5:$E$304,R2406)&lt;&gt;"",INDEX(Parties!$E$5:$E$304,R2406)&lt;&gt;HomeState),ROUND(K2406*L2406,2),0)),"")</f>
        <v/>
      </c>
      <c r="P2406" s="61" t="str">
        <f aca="false">IF(IsPro,IF($D2406="","",K2406+M2406+N2406+O2406),"")</f>
        <v/>
      </c>
      <c r="Q2406" s="60" t="str">
        <f aca="false">IF(IsPro,IF($D2406="","",IFERROR(MATCH($D2406,Items!$A$5:$A$504,0),"")),"")</f>
        <v/>
      </c>
      <c r="R2406" s="60" t="str">
        <f aca="false">IF(IsPro,IF($C2406="","",IFERROR(MATCH($C2406,Parties!$A$5:$A$304,0),"")),"")</f>
        <v/>
      </c>
      <c r="S2406" s="61" t="str">
        <f aca="false">IF(IsPro,IF($D2406="","",IF(OR($H2406="",$H2406="Credit"),0,P2406)),"")</f>
        <v/>
      </c>
    </row>
    <row r="2407" customFormat="false" ht="15" hidden="false" customHeight="false" outlineLevel="0" collapsed="false">
      <c r="A2407" s="55"/>
      <c r="B2407" s="56"/>
      <c r="C2407" s="56"/>
      <c r="D2407" s="56"/>
      <c r="E2407" s="57"/>
      <c r="F2407" s="58"/>
      <c r="G2407" s="59"/>
      <c r="H2407" s="56"/>
      <c r="I2407" s="60" t="str">
        <f aca="false">IF(IsPro,IF($D2407="","",IFERROR(INDEX(Items!$D$5:$D$504,Q2407),"")),IF($D2407="","","PRO PLAN"))</f>
        <v/>
      </c>
      <c r="J2407" s="61" t="str">
        <f aca="false">IF(IsPro,IF($D2407="","",IF($F2407="",IFERROR(INDEX(Items!$G$5:$G$504,Q2407),0),$F2407)),"")</f>
        <v/>
      </c>
      <c r="K2407" s="61" t="str">
        <f aca="false">IF(IsPro,IF($D2407="","",ROUND(N($E2407)*J2407*(1-N($G2407)),2)),"")</f>
        <v/>
      </c>
      <c r="L2407" s="62" t="str">
        <f aca="false">IF(IsPro,IF($D2407="","",IFERROR(INDEX(Items!$F$5:$F$504,Q2407),0)),"")</f>
        <v/>
      </c>
      <c r="M2407" s="61" t="str">
        <f aca="false">IF(IsPro,IF($D2407="","",IF(AND(R2407&lt;&gt;"",INDEX(Parties!$E$5:$E$304,R2407)&lt;&gt;"",INDEX(Parties!$E$5:$E$304,R2407)&lt;&gt;HomeState),0,ROUND(K2407*L2407/2,2))),"")</f>
        <v/>
      </c>
      <c r="N2407" s="61" t="str">
        <f aca="false">IF(IsPro,IF($D2407="","",M2407),"")</f>
        <v/>
      </c>
      <c r="O2407" s="61" t="str">
        <f aca="false">IF(IsPro,IF($D2407="","",IF(AND(R2407&lt;&gt;"",INDEX(Parties!$E$5:$E$304,R2407)&lt;&gt;"",INDEX(Parties!$E$5:$E$304,R2407)&lt;&gt;HomeState),ROUND(K2407*L2407,2),0)),"")</f>
        <v/>
      </c>
      <c r="P2407" s="61" t="str">
        <f aca="false">IF(IsPro,IF($D2407="","",K2407+M2407+N2407+O2407),"")</f>
        <v/>
      </c>
      <c r="Q2407" s="60" t="str">
        <f aca="false">IF(IsPro,IF($D2407="","",IFERROR(MATCH($D2407,Items!$A$5:$A$504,0),"")),"")</f>
        <v/>
      </c>
      <c r="R2407" s="60" t="str">
        <f aca="false">IF(IsPro,IF($C2407="","",IFERROR(MATCH($C2407,Parties!$A$5:$A$304,0),"")),"")</f>
        <v/>
      </c>
      <c r="S2407" s="61" t="str">
        <f aca="false">IF(IsPro,IF($D2407="","",IF(OR($H2407="",$H2407="Credit"),0,P2407)),"")</f>
        <v/>
      </c>
    </row>
    <row r="2408" customFormat="false" ht="15" hidden="false" customHeight="false" outlineLevel="0" collapsed="false">
      <c r="A2408" s="55"/>
      <c r="B2408" s="56"/>
      <c r="C2408" s="56"/>
      <c r="D2408" s="56"/>
      <c r="E2408" s="57"/>
      <c r="F2408" s="58"/>
      <c r="G2408" s="59"/>
      <c r="H2408" s="56"/>
      <c r="I2408" s="60" t="str">
        <f aca="false">IF(IsPro,IF($D2408="","",IFERROR(INDEX(Items!$D$5:$D$504,Q2408),"")),IF($D2408="","","PRO PLAN"))</f>
        <v/>
      </c>
      <c r="J2408" s="61" t="str">
        <f aca="false">IF(IsPro,IF($D2408="","",IF($F2408="",IFERROR(INDEX(Items!$G$5:$G$504,Q2408),0),$F2408)),"")</f>
        <v/>
      </c>
      <c r="K2408" s="61" t="str">
        <f aca="false">IF(IsPro,IF($D2408="","",ROUND(N($E2408)*J2408*(1-N($G2408)),2)),"")</f>
        <v/>
      </c>
      <c r="L2408" s="62" t="str">
        <f aca="false">IF(IsPro,IF($D2408="","",IFERROR(INDEX(Items!$F$5:$F$504,Q2408),0)),"")</f>
        <v/>
      </c>
      <c r="M2408" s="61" t="str">
        <f aca="false">IF(IsPro,IF($D2408="","",IF(AND(R2408&lt;&gt;"",INDEX(Parties!$E$5:$E$304,R2408)&lt;&gt;"",INDEX(Parties!$E$5:$E$304,R2408)&lt;&gt;HomeState),0,ROUND(K2408*L2408/2,2))),"")</f>
        <v/>
      </c>
      <c r="N2408" s="61" t="str">
        <f aca="false">IF(IsPro,IF($D2408="","",M2408),"")</f>
        <v/>
      </c>
      <c r="O2408" s="61" t="str">
        <f aca="false">IF(IsPro,IF($D2408="","",IF(AND(R2408&lt;&gt;"",INDEX(Parties!$E$5:$E$304,R2408)&lt;&gt;"",INDEX(Parties!$E$5:$E$304,R2408)&lt;&gt;HomeState),ROUND(K2408*L2408,2),0)),"")</f>
        <v/>
      </c>
      <c r="P2408" s="61" t="str">
        <f aca="false">IF(IsPro,IF($D2408="","",K2408+M2408+N2408+O2408),"")</f>
        <v/>
      </c>
      <c r="Q2408" s="60" t="str">
        <f aca="false">IF(IsPro,IF($D2408="","",IFERROR(MATCH($D2408,Items!$A$5:$A$504,0),"")),"")</f>
        <v/>
      </c>
      <c r="R2408" s="60" t="str">
        <f aca="false">IF(IsPro,IF($C2408="","",IFERROR(MATCH($C2408,Parties!$A$5:$A$304,0),"")),"")</f>
        <v/>
      </c>
      <c r="S2408" s="61" t="str">
        <f aca="false">IF(IsPro,IF($D2408="","",IF(OR($H2408="",$H2408="Credit"),0,P2408)),"")</f>
        <v/>
      </c>
    </row>
    <row r="2409" customFormat="false" ht="15" hidden="false" customHeight="false" outlineLevel="0" collapsed="false">
      <c r="A2409" s="55"/>
      <c r="B2409" s="56"/>
      <c r="C2409" s="56"/>
      <c r="D2409" s="56"/>
      <c r="E2409" s="57"/>
      <c r="F2409" s="58"/>
      <c r="G2409" s="59"/>
      <c r="H2409" s="56"/>
      <c r="I2409" s="60" t="str">
        <f aca="false">IF(IsPro,IF($D2409="","",IFERROR(INDEX(Items!$D$5:$D$504,Q2409),"")),IF($D2409="","","PRO PLAN"))</f>
        <v/>
      </c>
      <c r="J2409" s="61" t="str">
        <f aca="false">IF(IsPro,IF($D2409="","",IF($F2409="",IFERROR(INDEX(Items!$G$5:$G$504,Q2409),0),$F2409)),"")</f>
        <v/>
      </c>
      <c r="K2409" s="61" t="str">
        <f aca="false">IF(IsPro,IF($D2409="","",ROUND(N($E2409)*J2409*(1-N($G2409)),2)),"")</f>
        <v/>
      </c>
      <c r="L2409" s="62" t="str">
        <f aca="false">IF(IsPro,IF($D2409="","",IFERROR(INDEX(Items!$F$5:$F$504,Q2409),0)),"")</f>
        <v/>
      </c>
      <c r="M2409" s="61" t="str">
        <f aca="false">IF(IsPro,IF($D2409="","",IF(AND(R2409&lt;&gt;"",INDEX(Parties!$E$5:$E$304,R2409)&lt;&gt;"",INDEX(Parties!$E$5:$E$304,R2409)&lt;&gt;HomeState),0,ROUND(K2409*L2409/2,2))),"")</f>
        <v/>
      </c>
      <c r="N2409" s="61" t="str">
        <f aca="false">IF(IsPro,IF($D2409="","",M2409),"")</f>
        <v/>
      </c>
      <c r="O2409" s="61" t="str">
        <f aca="false">IF(IsPro,IF($D2409="","",IF(AND(R2409&lt;&gt;"",INDEX(Parties!$E$5:$E$304,R2409)&lt;&gt;"",INDEX(Parties!$E$5:$E$304,R2409)&lt;&gt;HomeState),ROUND(K2409*L2409,2),0)),"")</f>
        <v/>
      </c>
      <c r="P2409" s="61" t="str">
        <f aca="false">IF(IsPro,IF($D2409="","",K2409+M2409+N2409+O2409),"")</f>
        <v/>
      </c>
      <c r="Q2409" s="60" t="str">
        <f aca="false">IF(IsPro,IF($D2409="","",IFERROR(MATCH($D2409,Items!$A$5:$A$504,0),"")),"")</f>
        <v/>
      </c>
      <c r="R2409" s="60" t="str">
        <f aca="false">IF(IsPro,IF($C2409="","",IFERROR(MATCH($C2409,Parties!$A$5:$A$304,0),"")),"")</f>
        <v/>
      </c>
      <c r="S2409" s="61" t="str">
        <f aca="false">IF(IsPro,IF($D2409="","",IF(OR($H2409="",$H2409="Credit"),0,P2409)),"")</f>
        <v/>
      </c>
    </row>
    <row r="2410" customFormat="false" ht="15" hidden="false" customHeight="false" outlineLevel="0" collapsed="false">
      <c r="A2410" s="55"/>
      <c r="B2410" s="56"/>
      <c r="C2410" s="56"/>
      <c r="D2410" s="56"/>
      <c r="E2410" s="57"/>
      <c r="F2410" s="58"/>
      <c r="G2410" s="59"/>
      <c r="H2410" s="56"/>
      <c r="I2410" s="60" t="str">
        <f aca="false">IF(IsPro,IF($D2410="","",IFERROR(INDEX(Items!$D$5:$D$504,Q2410),"")),IF($D2410="","","PRO PLAN"))</f>
        <v/>
      </c>
      <c r="J2410" s="61" t="str">
        <f aca="false">IF(IsPro,IF($D2410="","",IF($F2410="",IFERROR(INDEX(Items!$G$5:$G$504,Q2410),0),$F2410)),"")</f>
        <v/>
      </c>
      <c r="K2410" s="61" t="str">
        <f aca="false">IF(IsPro,IF($D2410="","",ROUND(N($E2410)*J2410*(1-N($G2410)),2)),"")</f>
        <v/>
      </c>
      <c r="L2410" s="62" t="str">
        <f aca="false">IF(IsPro,IF($D2410="","",IFERROR(INDEX(Items!$F$5:$F$504,Q2410),0)),"")</f>
        <v/>
      </c>
      <c r="M2410" s="61" t="str">
        <f aca="false">IF(IsPro,IF($D2410="","",IF(AND(R2410&lt;&gt;"",INDEX(Parties!$E$5:$E$304,R2410)&lt;&gt;"",INDEX(Parties!$E$5:$E$304,R2410)&lt;&gt;HomeState),0,ROUND(K2410*L2410/2,2))),"")</f>
        <v/>
      </c>
      <c r="N2410" s="61" t="str">
        <f aca="false">IF(IsPro,IF($D2410="","",M2410),"")</f>
        <v/>
      </c>
      <c r="O2410" s="61" t="str">
        <f aca="false">IF(IsPro,IF($D2410="","",IF(AND(R2410&lt;&gt;"",INDEX(Parties!$E$5:$E$304,R2410)&lt;&gt;"",INDEX(Parties!$E$5:$E$304,R2410)&lt;&gt;HomeState),ROUND(K2410*L2410,2),0)),"")</f>
        <v/>
      </c>
      <c r="P2410" s="61" t="str">
        <f aca="false">IF(IsPro,IF($D2410="","",K2410+M2410+N2410+O2410),"")</f>
        <v/>
      </c>
      <c r="Q2410" s="60" t="str">
        <f aca="false">IF(IsPro,IF($D2410="","",IFERROR(MATCH($D2410,Items!$A$5:$A$504,0),"")),"")</f>
        <v/>
      </c>
      <c r="R2410" s="60" t="str">
        <f aca="false">IF(IsPro,IF($C2410="","",IFERROR(MATCH($C2410,Parties!$A$5:$A$304,0),"")),"")</f>
        <v/>
      </c>
      <c r="S2410" s="61" t="str">
        <f aca="false">IF(IsPro,IF($D2410="","",IF(OR($H2410="",$H2410="Credit"),0,P2410)),"")</f>
        <v/>
      </c>
    </row>
    <row r="2411" customFormat="false" ht="15" hidden="false" customHeight="false" outlineLevel="0" collapsed="false">
      <c r="A2411" s="55"/>
      <c r="B2411" s="56"/>
      <c r="C2411" s="56"/>
      <c r="D2411" s="56"/>
      <c r="E2411" s="57"/>
      <c r="F2411" s="58"/>
      <c r="G2411" s="59"/>
      <c r="H2411" s="56"/>
      <c r="I2411" s="60" t="str">
        <f aca="false">IF(IsPro,IF($D2411="","",IFERROR(INDEX(Items!$D$5:$D$504,Q2411),"")),IF($D2411="","","PRO PLAN"))</f>
        <v/>
      </c>
      <c r="J2411" s="61" t="str">
        <f aca="false">IF(IsPro,IF($D2411="","",IF($F2411="",IFERROR(INDEX(Items!$G$5:$G$504,Q2411),0),$F2411)),"")</f>
        <v/>
      </c>
      <c r="K2411" s="61" t="str">
        <f aca="false">IF(IsPro,IF($D2411="","",ROUND(N($E2411)*J2411*(1-N($G2411)),2)),"")</f>
        <v/>
      </c>
      <c r="L2411" s="62" t="str">
        <f aca="false">IF(IsPro,IF($D2411="","",IFERROR(INDEX(Items!$F$5:$F$504,Q2411),0)),"")</f>
        <v/>
      </c>
      <c r="M2411" s="61" t="str">
        <f aca="false">IF(IsPro,IF($D2411="","",IF(AND(R2411&lt;&gt;"",INDEX(Parties!$E$5:$E$304,R2411)&lt;&gt;"",INDEX(Parties!$E$5:$E$304,R2411)&lt;&gt;HomeState),0,ROUND(K2411*L2411/2,2))),"")</f>
        <v/>
      </c>
      <c r="N2411" s="61" t="str">
        <f aca="false">IF(IsPro,IF($D2411="","",M2411),"")</f>
        <v/>
      </c>
      <c r="O2411" s="61" t="str">
        <f aca="false">IF(IsPro,IF($D2411="","",IF(AND(R2411&lt;&gt;"",INDEX(Parties!$E$5:$E$304,R2411)&lt;&gt;"",INDEX(Parties!$E$5:$E$304,R2411)&lt;&gt;HomeState),ROUND(K2411*L2411,2),0)),"")</f>
        <v/>
      </c>
      <c r="P2411" s="61" t="str">
        <f aca="false">IF(IsPro,IF($D2411="","",K2411+M2411+N2411+O2411),"")</f>
        <v/>
      </c>
      <c r="Q2411" s="60" t="str">
        <f aca="false">IF(IsPro,IF($D2411="","",IFERROR(MATCH($D2411,Items!$A$5:$A$504,0),"")),"")</f>
        <v/>
      </c>
      <c r="R2411" s="60" t="str">
        <f aca="false">IF(IsPro,IF($C2411="","",IFERROR(MATCH($C2411,Parties!$A$5:$A$304,0),"")),"")</f>
        <v/>
      </c>
      <c r="S2411" s="61" t="str">
        <f aca="false">IF(IsPro,IF($D2411="","",IF(OR($H2411="",$H2411="Credit"),0,P2411)),"")</f>
        <v/>
      </c>
    </row>
    <row r="2412" customFormat="false" ht="15" hidden="false" customHeight="false" outlineLevel="0" collapsed="false">
      <c r="A2412" s="55"/>
      <c r="B2412" s="56"/>
      <c r="C2412" s="56"/>
      <c r="D2412" s="56"/>
      <c r="E2412" s="57"/>
      <c r="F2412" s="58"/>
      <c r="G2412" s="59"/>
      <c r="H2412" s="56"/>
      <c r="I2412" s="60" t="str">
        <f aca="false">IF(IsPro,IF($D2412="","",IFERROR(INDEX(Items!$D$5:$D$504,Q2412),"")),IF($D2412="","","PRO PLAN"))</f>
        <v/>
      </c>
      <c r="J2412" s="61" t="str">
        <f aca="false">IF(IsPro,IF($D2412="","",IF($F2412="",IFERROR(INDEX(Items!$G$5:$G$504,Q2412),0),$F2412)),"")</f>
        <v/>
      </c>
      <c r="K2412" s="61" t="str">
        <f aca="false">IF(IsPro,IF($D2412="","",ROUND(N($E2412)*J2412*(1-N($G2412)),2)),"")</f>
        <v/>
      </c>
      <c r="L2412" s="62" t="str">
        <f aca="false">IF(IsPro,IF($D2412="","",IFERROR(INDEX(Items!$F$5:$F$504,Q2412),0)),"")</f>
        <v/>
      </c>
      <c r="M2412" s="61" t="str">
        <f aca="false">IF(IsPro,IF($D2412="","",IF(AND(R2412&lt;&gt;"",INDEX(Parties!$E$5:$E$304,R2412)&lt;&gt;"",INDEX(Parties!$E$5:$E$304,R2412)&lt;&gt;HomeState),0,ROUND(K2412*L2412/2,2))),"")</f>
        <v/>
      </c>
      <c r="N2412" s="61" t="str">
        <f aca="false">IF(IsPro,IF($D2412="","",M2412),"")</f>
        <v/>
      </c>
      <c r="O2412" s="61" t="str">
        <f aca="false">IF(IsPro,IF($D2412="","",IF(AND(R2412&lt;&gt;"",INDEX(Parties!$E$5:$E$304,R2412)&lt;&gt;"",INDEX(Parties!$E$5:$E$304,R2412)&lt;&gt;HomeState),ROUND(K2412*L2412,2),0)),"")</f>
        <v/>
      </c>
      <c r="P2412" s="61" t="str">
        <f aca="false">IF(IsPro,IF($D2412="","",K2412+M2412+N2412+O2412),"")</f>
        <v/>
      </c>
      <c r="Q2412" s="60" t="str">
        <f aca="false">IF(IsPro,IF($D2412="","",IFERROR(MATCH($D2412,Items!$A$5:$A$504,0),"")),"")</f>
        <v/>
      </c>
      <c r="R2412" s="60" t="str">
        <f aca="false">IF(IsPro,IF($C2412="","",IFERROR(MATCH($C2412,Parties!$A$5:$A$304,0),"")),"")</f>
        <v/>
      </c>
      <c r="S2412" s="61" t="str">
        <f aca="false">IF(IsPro,IF($D2412="","",IF(OR($H2412="",$H2412="Credit"),0,P2412)),"")</f>
        <v/>
      </c>
    </row>
    <row r="2413" customFormat="false" ht="15" hidden="false" customHeight="false" outlineLevel="0" collapsed="false">
      <c r="A2413" s="55"/>
      <c r="B2413" s="56"/>
      <c r="C2413" s="56"/>
      <c r="D2413" s="56"/>
      <c r="E2413" s="57"/>
      <c r="F2413" s="58"/>
      <c r="G2413" s="59"/>
      <c r="H2413" s="56"/>
      <c r="I2413" s="60" t="str">
        <f aca="false">IF(IsPro,IF($D2413="","",IFERROR(INDEX(Items!$D$5:$D$504,Q2413),"")),IF($D2413="","","PRO PLAN"))</f>
        <v/>
      </c>
      <c r="J2413" s="61" t="str">
        <f aca="false">IF(IsPro,IF($D2413="","",IF($F2413="",IFERROR(INDEX(Items!$G$5:$G$504,Q2413),0),$F2413)),"")</f>
        <v/>
      </c>
      <c r="K2413" s="61" t="str">
        <f aca="false">IF(IsPro,IF($D2413="","",ROUND(N($E2413)*J2413*(1-N($G2413)),2)),"")</f>
        <v/>
      </c>
      <c r="L2413" s="62" t="str">
        <f aca="false">IF(IsPro,IF($D2413="","",IFERROR(INDEX(Items!$F$5:$F$504,Q2413),0)),"")</f>
        <v/>
      </c>
      <c r="M2413" s="61" t="str">
        <f aca="false">IF(IsPro,IF($D2413="","",IF(AND(R2413&lt;&gt;"",INDEX(Parties!$E$5:$E$304,R2413)&lt;&gt;"",INDEX(Parties!$E$5:$E$304,R2413)&lt;&gt;HomeState),0,ROUND(K2413*L2413/2,2))),"")</f>
        <v/>
      </c>
      <c r="N2413" s="61" t="str">
        <f aca="false">IF(IsPro,IF($D2413="","",M2413),"")</f>
        <v/>
      </c>
      <c r="O2413" s="61" t="str">
        <f aca="false">IF(IsPro,IF($D2413="","",IF(AND(R2413&lt;&gt;"",INDEX(Parties!$E$5:$E$304,R2413)&lt;&gt;"",INDEX(Parties!$E$5:$E$304,R2413)&lt;&gt;HomeState),ROUND(K2413*L2413,2),0)),"")</f>
        <v/>
      </c>
      <c r="P2413" s="61" t="str">
        <f aca="false">IF(IsPro,IF($D2413="","",K2413+M2413+N2413+O2413),"")</f>
        <v/>
      </c>
      <c r="Q2413" s="60" t="str">
        <f aca="false">IF(IsPro,IF($D2413="","",IFERROR(MATCH($D2413,Items!$A$5:$A$504,0),"")),"")</f>
        <v/>
      </c>
      <c r="R2413" s="60" t="str">
        <f aca="false">IF(IsPro,IF($C2413="","",IFERROR(MATCH($C2413,Parties!$A$5:$A$304,0),"")),"")</f>
        <v/>
      </c>
      <c r="S2413" s="61" t="str">
        <f aca="false">IF(IsPro,IF($D2413="","",IF(OR($H2413="",$H2413="Credit"),0,P2413)),"")</f>
        <v/>
      </c>
    </row>
    <row r="2414" customFormat="false" ht="15" hidden="false" customHeight="false" outlineLevel="0" collapsed="false">
      <c r="A2414" s="55"/>
      <c r="B2414" s="56"/>
      <c r="C2414" s="56"/>
      <c r="D2414" s="56"/>
      <c r="E2414" s="57"/>
      <c r="F2414" s="58"/>
      <c r="G2414" s="59"/>
      <c r="H2414" s="56"/>
      <c r="I2414" s="60" t="str">
        <f aca="false">IF(IsPro,IF($D2414="","",IFERROR(INDEX(Items!$D$5:$D$504,Q2414),"")),IF($D2414="","","PRO PLAN"))</f>
        <v/>
      </c>
      <c r="J2414" s="61" t="str">
        <f aca="false">IF(IsPro,IF($D2414="","",IF($F2414="",IFERROR(INDEX(Items!$G$5:$G$504,Q2414),0),$F2414)),"")</f>
        <v/>
      </c>
      <c r="K2414" s="61" t="str">
        <f aca="false">IF(IsPro,IF($D2414="","",ROUND(N($E2414)*J2414*(1-N($G2414)),2)),"")</f>
        <v/>
      </c>
      <c r="L2414" s="62" t="str">
        <f aca="false">IF(IsPro,IF($D2414="","",IFERROR(INDEX(Items!$F$5:$F$504,Q2414),0)),"")</f>
        <v/>
      </c>
      <c r="M2414" s="61" t="str">
        <f aca="false">IF(IsPro,IF($D2414="","",IF(AND(R2414&lt;&gt;"",INDEX(Parties!$E$5:$E$304,R2414)&lt;&gt;"",INDEX(Parties!$E$5:$E$304,R2414)&lt;&gt;HomeState),0,ROUND(K2414*L2414/2,2))),"")</f>
        <v/>
      </c>
      <c r="N2414" s="61" t="str">
        <f aca="false">IF(IsPro,IF($D2414="","",M2414),"")</f>
        <v/>
      </c>
      <c r="O2414" s="61" t="str">
        <f aca="false">IF(IsPro,IF($D2414="","",IF(AND(R2414&lt;&gt;"",INDEX(Parties!$E$5:$E$304,R2414)&lt;&gt;"",INDEX(Parties!$E$5:$E$304,R2414)&lt;&gt;HomeState),ROUND(K2414*L2414,2),0)),"")</f>
        <v/>
      </c>
      <c r="P2414" s="61" t="str">
        <f aca="false">IF(IsPro,IF($D2414="","",K2414+M2414+N2414+O2414),"")</f>
        <v/>
      </c>
      <c r="Q2414" s="60" t="str">
        <f aca="false">IF(IsPro,IF($D2414="","",IFERROR(MATCH($D2414,Items!$A$5:$A$504,0),"")),"")</f>
        <v/>
      </c>
      <c r="R2414" s="60" t="str">
        <f aca="false">IF(IsPro,IF($C2414="","",IFERROR(MATCH($C2414,Parties!$A$5:$A$304,0),"")),"")</f>
        <v/>
      </c>
      <c r="S2414" s="61" t="str">
        <f aca="false">IF(IsPro,IF($D2414="","",IF(OR($H2414="",$H2414="Credit"),0,P2414)),"")</f>
        <v/>
      </c>
    </row>
    <row r="2415" customFormat="false" ht="15" hidden="false" customHeight="false" outlineLevel="0" collapsed="false">
      <c r="A2415" s="55"/>
      <c r="B2415" s="56"/>
      <c r="C2415" s="56"/>
      <c r="D2415" s="56"/>
      <c r="E2415" s="57"/>
      <c r="F2415" s="58"/>
      <c r="G2415" s="59"/>
      <c r="H2415" s="56"/>
      <c r="I2415" s="60" t="str">
        <f aca="false">IF(IsPro,IF($D2415="","",IFERROR(INDEX(Items!$D$5:$D$504,Q2415),"")),IF($D2415="","","PRO PLAN"))</f>
        <v/>
      </c>
      <c r="J2415" s="61" t="str">
        <f aca="false">IF(IsPro,IF($D2415="","",IF($F2415="",IFERROR(INDEX(Items!$G$5:$G$504,Q2415),0),$F2415)),"")</f>
        <v/>
      </c>
      <c r="K2415" s="61" t="str">
        <f aca="false">IF(IsPro,IF($D2415="","",ROUND(N($E2415)*J2415*(1-N($G2415)),2)),"")</f>
        <v/>
      </c>
      <c r="L2415" s="62" t="str">
        <f aca="false">IF(IsPro,IF($D2415="","",IFERROR(INDEX(Items!$F$5:$F$504,Q2415),0)),"")</f>
        <v/>
      </c>
      <c r="M2415" s="61" t="str">
        <f aca="false">IF(IsPro,IF($D2415="","",IF(AND(R2415&lt;&gt;"",INDEX(Parties!$E$5:$E$304,R2415)&lt;&gt;"",INDEX(Parties!$E$5:$E$304,R2415)&lt;&gt;HomeState),0,ROUND(K2415*L2415/2,2))),"")</f>
        <v/>
      </c>
      <c r="N2415" s="61" t="str">
        <f aca="false">IF(IsPro,IF($D2415="","",M2415),"")</f>
        <v/>
      </c>
      <c r="O2415" s="61" t="str">
        <f aca="false">IF(IsPro,IF($D2415="","",IF(AND(R2415&lt;&gt;"",INDEX(Parties!$E$5:$E$304,R2415)&lt;&gt;"",INDEX(Parties!$E$5:$E$304,R2415)&lt;&gt;HomeState),ROUND(K2415*L2415,2),0)),"")</f>
        <v/>
      </c>
      <c r="P2415" s="61" t="str">
        <f aca="false">IF(IsPro,IF($D2415="","",K2415+M2415+N2415+O2415),"")</f>
        <v/>
      </c>
      <c r="Q2415" s="60" t="str">
        <f aca="false">IF(IsPro,IF($D2415="","",IFERROR(MATCH($D2415,Items!$A$5:$A$504,0),"")),"")</f>
        <v/>
      </c>
      <c r="R2415" s="60" t="str">
        <f aca="false">IF(IsPro,IF($C2415="","",IFERROR(MATCH($C2415,Parties!$A$5:$A$304,0),"")),"")</f>
        <v/>
      </c>
      <c r="S2415" s="61" t="str">
        <f aca="false">IF(IsPro,IF($D2415="","",IF(OR($H2415="",$H2415="Credit"),0,P2415)),"")</f>
        <v/>
      </c>
    </row>
    <row r="2416" customFormat="false" ht="15" hidden="false" customHeight="false" outlineLevel="0" collapsed="false">
      <c r="A2416" s="55"/>
      <c r="B2416" s="56"/>
      <c r="C2416" s="56"/>
      <c r="D2416" s="56"/>
      <c r="E2416" s="57"/>
      <c r="F2416" s="58"/>
      <c r="G2416" s="59"/>
      <c r="H2416" s="56"/>
      <c r="I2416" s="60" t="str">
        <f aca="false">IF(IsPro,IF($D2416="","",IFERROR(INDEX(Items!$D$5:$D$504,Q2416),"")),IF($D2416="","","PRO PLAN"))</f>
        <v/>
      </c>
      <c r="J2416" s="61" t="str">
        <f aca="false">IF(IsPro,IF($D2416="","",IF($F2416="",IFERROR(INDEX(Items!$G$5:$G$504,Q2416),0),$F2416)),"")</f>
        <v/>
      </c>
      <c r="K2416" s="61" t="str">
        <f aca="false">IF(IsPro,IF($D2416="","",ROUND(N($E2416)*J2416*(1-N($G2416)),2)),"")</f>
        <v/>
      </c>
      <c r="L2416" s="62" t="str">
        <f aca="false">IF(IsPro,IF($D2416="","",IFERROR(INDEX(Items!$F$5:$F$504,Q2416),0)),"")</f>
        <v/>
      </c>
      <c r="M2416" s="61" t="str">
        <f aca="false">IF(IsPro,IF($D2416="","",IF(AND(R2416&lt;&gt;"",INDEX(Parties!$E$5:$E$304,R2416)&lt;&gt;"",INDEX(Parties!$E$5:$E$304,R2416)&lt;&gt;HomeState),0,ROUND(K2416*L2416/2,2))),"")</f>
        <v/>
      </c>
      <c r="N2416" s="61" t="str">
        <f aca="false">IF(IsPro,IF($D2416="","",M2416),"")</f>
        <v/>
      </c>
      <c r="O2416" s="61" t="str">
        <f aca="false">IF(IsPro,IF($D2416="","",IF(AND(R2416&lt;&gt;"",INDEX(Parties!$E$5:$E$304,R2416)&lt;&gt;"",INDEX(Parties!$E$5:$E$304,R2416)&lt;&gt;HomeState),ROUND(K2416*L2416,2),0)),"")</f>
        <v/>
      </c>
      <c r="P2416" s="61" t="str">
        <f aca="false">IF(IsPro,IF($D2416="","",K2416+M2416+N2416+O2416),"")</f>
        <v/>
      </c>
      <c r="Q2416" s="60" t="str">
        <f aca="false">IF(IsPro,IF($D2416="","",IFERROR(MATCH($D2416,Items!$A$5:$A$504,0),"")),"")</f>
        <v/>
      </c>
      <c r="R2416" s="60" t="str">
        <f aca="false">IF(IsPro,IF($C2416="","",IFERROR(MATCH($C2416,Parties!$A$5:$A$304,0),"")),"")</f>
        <v/>
      </c>
      <c r="S2416" s="61" t="str">
        <f aca="false">IF(IsPro,IF($D2416="","",IF(OR($H2416="",$H2416="Credit"),0,P2416)),"")</f>
        <v/>
      </c>
    </row>
    <row r="2417" customFormat="false" ht="15" hidden="false" customHeight="false" outlineLevel="0" collapsed="false">
      <c r="A2417" s="55"/>
      <c r="B2417" s="56"/>
      <c r="C2417" s="56"/>
      <c r="D2417" s="56"/>
      <c r="E2417" s="57"/>
      <c r="F2417" s="58"/>
      <c r="G2417" s="59"/>
      <c r="H2417" s="56"/>
      <c r="I2417" s="60" t="str">
        <f aca="false">IF(IsPro,IF($D2417="","",IFERROR(INDEX(Items!$D$5:$D$504,Q2417),"")),IF($D2417="","","PRO PLAN"))</f>
        <v/>
      </c>
      <c r="J2417" s="61" t="str">
        <f aca="false">IF(IsPro,IF($D2417="","",IF($F2417="",IFERROR(INDEX(Items!$G$5:$G$504,Q2417),0),$F2417)),"")</f>
        <v/>
      </c>
      <c r="K2417" s="61" t="str">
        <f aca="false">IF(IsPro,IF($D2417="","",ROUND(N($E2417)*J2417*(1-N($G2417)),2)),"")</f>
        <v/>
      </c>
      <c r="L2417" s="62" t="str">
        <f aca="false">IF(IsPro,IF($D2417="","",IFERROR(INDEX(Items!$F$5:$F$504,Q2417),0)),"")</f>
        <v/>
      </c>
      <c r="M2417" s="61" t="str">
        <f aca="false">IF(IsPro,IF($D2417="","",IF(AND(R2417&lt;&gt;"",INDEX(Parties!$E$5:$E$304,R2417)&lt;&gt;"",INDEX(Parties!$E$5:$E$304,R2417)&lt;&gt;HomeState),0,ROUND(K2417*L2417/2,2))),"")</f>
        <v/>
      </c>
      <c r="N2417" s="61" t="str">
        <f aca="false">IF(IsPro,IF($D2417="","",M2417),"")</f>
        <v/>
      </c>
      <c r="O2417" s="61" t="str">
        <f aca="false">IF(IsPro,IF($D2417="","",IF(AND(R2417&lt;&gt;"",INDEX(Parties!$E$5:$E$304,R2417)&lt;&gt;"",INDEX(Parties!$E$5:$E$304,R2417)&lt;&gt;HomeState),ROUND(K2417*L2417,2),0)),"")</f>
        <v/>
      </c>
      <c r="P2417" s="61" t="str">
        <f aca="false">IF(IsPro,IF($D2417="","",K2417+M2417+N2417+O2417),"")</f>
        <v/>
      </c>
      <c r="Q2417" s="60" t="str">
        <f aca="false">IF(IsPro,IF($D2417="","",IFERROR(MATCH($D2417,Items!$A$5:$A$504,0),"")),"")</f>
        <v/>
      </c>
      <c r="R2417" s="60" t="str">
        <f aca="false">IF(IsPro,IF($C2417="","",IFERROR(MATCH($C2417,Parties!$A$5:$A$304,0),"")),"")</f>
        <v/>
      </c>
      <c r="S2417" s="61" t="str">
        <f aca="false">IF(IsPro,IF($D2417="","",IF(OR($H2417="",$H2417="Credit"),0,P2417)),"")</f>
        <v/>
      </c>
    </row>
    <row r="2418" customFormat="false" ht="15" hidden="false" customHeight="false" outlineLevel="0" collapsed="false">
      <c r="A2418" s="55"/>
      <c r="B2418" s="56"/>
      <c r="C2418" s="56"/>
      <c r="D2418" s="56"/>
      <c r="E2418" s="57"/>
      <c r="F2418" s="58"/>
      <c r="G2418" s="59"/>
      <c r="H2418" s="56"/>
      <c r="I2418" s="60" t="str">
        <f aca="false">IF(IsPro,IF($D2418="","",IFERROR(INDEX(Items!$D$5:$D$504,Q2418),"")),IF($D2418="","","PRO PLAN"))</f>
        <v/>
      </c>
      <c r="J2418" s="61" t="str">
        <f aca="false">IF(IsPro,IF($D2418="","",IF($F2418="",IFERROR(INDEX(Items!$G$5:$G$504,Q2418),0),$F2418)),"")</f>
        <v/>
      </c>
      <c r="K2418" s="61" t="str">
        <f aca="false">IF(IsPro,IF($D2418="","",ROUND(N($E2418)*J2418*(1-N($G2418)),2)),"")</f>
        <v/>
      </c>
      <c r="L2418" s="62" t="str">
        <f aca="false">IF(IsPro,IF($D2418="","",IFERROR(INDEX(Items!$F$5:$F$504,Q2418),0)),"")</f>
        <v/>
      </c>
      <c r="M2418" s="61" t="str">
        <f aca="false">IF(IsPro,IF($D2418="","",IF(AND(R2418&lt;&gt;"",INDEX(Parties!$E$5:$E$304,R2418)&lt;&gt;"",INDEX(Parties!$E$5:$E$304,R2418)&lt;&gt;HomeState),0,ROUND(K2418*L2418/2,2))),"")</f>
        <v/>
      </c>
      <c r="N2418" s="61" t="str">
        <f aca="false">IF(IsPro,IF($D2418="","",M2418),"")</f>
        <v/>
      </c>
      <c r="O2418" s="61" t="str">
        <f aca="false">IF(IsPro,IF($D2418="","",IF(AND(R2418&lt;&gt;"",INDEX(Parties!$E$5:$E$304,R2418)&lt;&gt;"",INDEX(Parties!$E$5:$E$304,R2418)&lt;&gt;HomeState),ROUND(K2418*L2418,2),0)),"")</f>
        <v/>
      </c>
      <c r="P2418" s="61" t="str">
        <f aca="false">IF(IsPro,IF($D2418="","",K2418+M2418+N2418+O2418),"")</f>
        <v/>
      </c>
      <c r="Q2418" s="60" t="str">
        <f aca="false">IF(IsPro,IF($D2418="","",IFERROR(MATCH($D2418,Items!$A$5:$A$504,0),"")),"")</f>
        <v/>
      </c>
      <c r="R2418" s="60" t="str">
        <f aca="false">IF(IsPro,IF($C2418="","",IFERROR(MATCH($C2418,Parties!$A$5:$A$304,0),"")),"")</f>
        <v/>
      </c>
      <c r="S2418" s="61" t="str">
        <f aca="false">IF(IsPro,IF($D2418="","",IF(OR($H2418="",$H2418="Credit"),0,P2418)),"")</f>
        <v/>
      </c>
    </row>
    <row r="2419" customFormat="false" ht="15" hidden="false" customHeight="false" outlineLevel="0" collapsed="false">
      <c r="A2419" s="55"/>
      <c r="B2419" s="56"/>
      <c r="C2419" s="56"/>
      <c r="D2419" s="56"/>
      <c r="E2419" s="57"/>
      <c r="F2419" s="58"/>
      <c r="G2419" s="59"/>
      <c r="H2419" s="56"/>
      <c r="I2419" s="60" t="str">
        <f aca="false">IF(IsPro,IF($D2419="","",IFERROR(INDEX(Items!$D$5:$D$504,Q2419),"")),IF($D2419="","","PRO PLAN"))</f>
        <v/>
      </c>
      <c r="J2419" s="61" t="str">
        <f aca="false">IF(IsPro,IF($D2419="","",IF($F2419="",IFERROR(INDEX(Items!$G$5:$G$504,Q2419),0),$F2419)),"")</f>
        <v/>
      </c>
      <c r="K2419" s="61" t="str">
        <f aca="false">IF(IsPro,IF($D2419="","",ROUND(N($E2419)*J2419*(1-N($G2419)),2)),"")</f>
        <v/>
      </c>
      <c r="L2419" s="62" t="str">
        <f aca="false">IF(IsPro,IF($D2419="","",IFERROR(INDEX(Items!$F$5:$F$504,Q2419),0)),"")</f>
        <v/>
      </c>
      <c r="M2419" s="61" t="str">
        <f aca="false">IF(IsPro,IF($D2419="","",IF(AND(R2419&lt;&gt;"",INDEX(Parties!$E$5:$E$304,R2419)&lt;&gt;"",INDEX(Parties!$E$5:$E$304,R2419)&lt;&gt;HomeState),0,ROUND(K2419*L2419/2,2))),"")</f>
        <v/>
      </c>
      <c r="N2419" s="61" t="str">
        <f aca="false">IF(IsPro,IF($D2419="","",M2419),"")</f>
        <v/>
      </c>
      <c r="O2419" s="61" t="str">
        <f aca="false">IF(IsPro,IF($D2419="","",IF(AND(R2419&lt;&gt;"",INDEX(Parties!$E$5:$E$304,R2419)&lt;&gt;"",INDEX(Parties!$E$5:$E$304,R2419)&lt;&gt;HomeState),ROUND(K2419*L2419,2),0)),"")</f>
        <v/>
      </c>
      <c r="P2419" s="61" t="str">
        <f aca="false">IF(IsPro,IF($D2419="","",K2419+M2419+N2419+O2419),"")</f>
        <v/>
      </c>
      <c r="Q2419" s="60" t="str">
        <f aca="false">IF(IsPro,IF($D2419="","",IFERROR(MATCH($D2419,Items!$A$5:$A$504,0),"")),"")</f>
        <v/>
      </c>
      <c r="R2419" s="60" t="str">
        <f aca="false">IF(IsPro,IF($C2419="","",IFERROR(MATCH($C2419,Parties!$A$5:$A$304,0),"")),"")</f>
        <v/>
      </c>
      <c r="S2419" s="61" t="str">
        <f aca="false">IF(IsPro,IF($D2419="","",IF(OR($H2419="",$H2419="Credit"),0,P2419)),"")</f>
        <v/>
      </c>
    </row>
    <row r="2420" customFormat="false" ht="15" hidden="false" customHeight="false" outlineLevel="0" collapsed="false">
      <c r="A2420" s="55"/>
      <c r="B2420" s="56"/>
      <c r="C2420" s="56"/>
      <c r="D2420" s="56"/>
      <c r="E2420" s="57"/>
      <c r="F2420" s="58"/>
      <c r="G2420" s="59"/>
      <c r="H2420" s="56"/>
      <c r="I2420" s="60" t="str">
        <f aca="false">IF(IsPro,IF($D2420="","",IFERROR(INDEX(Items!$D$5:$D$504,Q2420),"")),IF($D2420="","","PRO PLAN"))</f>
        <v/>
      </c>
      <c r="J2420" s="61" t="str">
        <f aca="false">IF(IsPro,IF($D2420="","",IF($F2420="",IFERROR(INDEX(Items!$G$5:$G$504,Q2420),0),$F2420)),"")</f>
        <v/>
      </c>
      <c r="K2420" s="61" t="str">
        <f aca="false">IF(IsPro,IF($D2420="","",ROUND(N($E2420)*J2420*(1-N($G2420)),2)),"")</f>
        <v/>
      </c>
      <c r="L2420" s="62" t="str">
        <f aca="false">IF(IsPro,IF($D2420="","",IFERROR(INDEX(Items!$F$5:$F$504,Q2420),0)),"")</f>
        <v/>
      </c>
      <c r="M2420" s="61" t="str">
        <f aca="false">IF(IsPro,IF($D2420="","",IF(AND(R2420&lt;&gt;"",INDEX(Parties!$E$5:$E$304,R2420)&lt;&gt;"",INDEX(Parties!$E$5:$E$304,R2420)&lt;&gt;HomeState),0,ROUND(K2420*L2420/2,2))),"")</f>
        <v/>
      </c>
      <c r="N2420" s="61" t="str">
        <f aca="false">IF(IsPro,IF($D2420="","",M2420),"")</f>
        <v/>
      </c>
      <c r="O2420" s="61" t="str">
        <f aca="false">IF(IsPro,IF($D2420="","",IF(AND(R2420&lt;&gt;"",INDEX(Parties!$E$5:$E$304,R2420)&lt;&gt;"",INDEX(Parties!$E$5:$E$304,R2420)&lt;&gt;HomeState),ROUND(K2420*L2420,2),0)),"")</f>
        <v/>
      </c>
      <c r="P2420" s="61" t="str">
        <f aca="false">IF(IsPro,IF($D2420="","",K2420+M2420+N2420+O2420),"")</f>
        <v/>
      </c>
      <c r="Q2420" s="60" t="str">
        <f aca="false">IF(IsPro,IF($D2420="","",IFERROR(MATCH($D2420,Items!$A$5:$A$504,0),"")),"")</f>
        <v/>
      </c>
      <c r="R2420" s="60" t="str">
        <f aca="false">IF(IsPro,IF($C2420="","",IFERROR(MATCH($C2420,Parties!$A$5:$A$304,0),"")),"")</f>
        <v/>
      </c>
      <c r="S2420" s="61" t="str">
        <f aca="false">IF(IsPro,IF($D2420="","",IF(OR($H2420="",$H2420="Credit"),0,P2420)),"")</f>
        <v/>
      </c>
    </row>
    <row r="2421" customFormat="false" ht="15" hidden="false" customHeight="false" outlineLevel="0" collapsed="false">
      <c r="A2421" s="55"/>
      <c r="B2421" s="56"/>
      <c r="C2421" s="56"/>
      <c r="D2421" s="56"/>
      <c r="E2421" s="57"/>
      <c r="F2421" s="58"/>
      <c r="G2421" s="59"/>
      <c r="H2421" s="56"/>
      <c r="I2421" s="60" t="str">
        <f aca="false">IF(IsPro,IF($D2421="","",IFERROR(INDEX(Items!$D$5:$D$504,Q2421),"")),IF($D2421="","","PRO PLAN"))</f>
        <v/>
      </c>
      <c r="J2421" s="61" t="str">
        <f aca="false">IF(IsPro,IF($D2421="","",IF($F2421="",IFERROR(INDEX(Items!$G$5:$G$504,Q2421),0),$F2421)),"")</f>
        <v/>
      </c>
      <c r="K2421" s="61" t="str">
        <f aca="false">IF(IsPro,IF($D2421="","",ROUND(N($E2421)*J2421*(1-N($G2421)),2)),"")</f>
        <v/>
      </c>
      <c r="L2421" s="62" t="str">
        <f aca="false">IF(IsPro,IF($D2421="","",IFERROR(INDEX(Items!$F$5:$F$504,Q2421),0)),"")</f>
        <v/>
      </c>
      <c r="M2421" s="61" t="str">
        <f aca="false">IF(IsPro,IF($D2421="","",IF(AND(R2421&lt;&gt;"",INDEX(Parties!$E$5:$E$304,R2421)&lt;&gt;"",INDEX(Parties!$E$5:$E$304,R2421)&lt;&gt;HomeState),0,ROUND(K2421*L2421/2,2))),"")</f>
        <v/>
      </c>
      <c r="N2421" s="61" t="str">
        <f aca="false">IF(IsPro,IF($D2421="","",M2421),"")</f>
        <v/>
      </c>
      <c r="O2421" s="61" t="str">
        <f aca="false">IF(IsPro,IF($D2421="","",IF(AND(R2421&lt;&gt;"",INDEX(Parties!$E$5:$E$304,R2421)&lt;&gt;"",INDEX(Parties!$E$5:$E$304,R2421)&lt;&gt;HomeState),ROUND(K2421*L2421,2),0)),"")</f>
        <v/>
      </c>
      <c r="P2421" s="61" t="str">
        <f aca="false">IF(IsPro,IF($D2421="","",K2421+M2421+N2421+O2421),"")</f>
        <v/>
      </c>
      <c r="Q2421" s="60" t="str">
        <f aca="false">IF(IsPro,IF($D2421="","",IFERROR(MATCH($D2421,Items!$A$5:$A$504,0),"")),"")</f>
        <v/>
      </c>
      <c r="R2421" s="60" t="str">
        <f aca="false">IF(IsPro,IF($C2421="","",IFERROR(MATCH($C2421,Parties!$A$5:$A$304,0),"")),"")</f>
        <v/>
      </c>
      <c r="S2421" s="61" t="str">
        <f aca="false">IF(IsPro,IF($D2421="","",IF(OR($H2421="",$H2421="Credit"),0,P2421)),"")</f>
        <v/>
      </c>
    </row>
    <row r="2422" customFormat="false" ht="15" hidden="false" customHeight="false" outlineLevel="0" collapsed="false">
      <c r="A2422" s="55"/>
      <c r="B2422" s="56"/>
      <c r="C2422" s="56"/>
      <c r="D2422" s="56"/>
      <c r="E2422" s="57"/>
      <c r="F2422" s="58"/>
      <c r="G2422" s="59"/>
      <c r="H2422" s="56"/>
      <c r="I2422" s="60" t="str">
        <f aca="false">IF(IsPro,IF($D2422="","",IFERROR(INDEX(Items!$D$5:$D$504,Q2422),"")),IF($D2422="","","PRO PLAN"))</f>
        <v/>
      </c>
      <c r="J2422" s="61" t="str">
        <f aca="false">IF(IsPro,IF($D2422="","",IF($F2422="",IFERROR(INDEX(Items!$G$5:$G$504,Q2422),0),$F2422)),"")</f>
        <v/>
      </c>
      <c r="K2422" s="61" t="str">
        <f aca="false">IF(IsPro,IF($D2422="","",ROUND(N($E2422)*J2422*(1-N($G2422)),2)),"")</f>
        <v/>
      </c>
      <c r="L2422" s="62" t="str">
        <f aca="false">IF(IsPro,IF($D2422="","",IFERROR(INDEX(Items!$F$5:$F$504,Q2422),0)),"")</f>
        <v/>
      </c>
      <c r="M2422" s="61" t="str">
        <f aca="false">IF(IsPro,IF($D2422="","",IF(AND(R2422&lt;&gt;"",INDEX(Parties!$E$5:$E$304,R2422)&lt;&gt;"",INDEX(Parties!$E$5:$E$304,R2422)&lt;&gt;HomeState),0,ROUND(K2422*L2422/2,2))),"")</f>
        <v/>
      </c>
      <c r="N2422" s="61" t="str">
        <f aca="false">IF(IsPro,IF($D2422="","",M2422),"")</f>
        <v/>
      </c>
      <c r="O2422" s="61" t="str">
        <f aca="false">IF(IsPro,IF($D2422="","",IF(AND(R2422&lt;&gt;"",INDEX(Parties!$E$5:$E$304,R2422)&lt;&gt;"",INDEX(Parties!$E$5:$E$304,R2422)&lt;&gt;HomeState),ROUND(K2422*L2422,2),0)),"")</f>
        <v/>
      </c>
      <c r="P2422" s="61" t="str">
        <f aca="false">IF(IsPro,IF($D2422="","",K2422+M2422+N2422+O2422),"")</f>
        <v/>
      </c>
      <c r="Q2422" s="60" t="str">
        <f aca="false">IF(IsPro,IF($D2422="","",IFERROR(MATCH($D2422,Items!$A$5:$A$504,0),"")),"")</f>
        <v/>
      </c>
      <c r="R2422" s="60" t="str">
        <f aca="false">IF(IsPro,IF($C2422="","",IFERROR(MATCH($C2422,Parties!$A$5:$A$304,0),"")),"")</f>
        <v/>
      </c>
      <c r="S2422" s="61" t="str">
        <f aca="false">IF(IsPro,IF($D2422="","",IF(OR($H2422="",$H2422="Credit"),0,P2422)),"")</f>
        <v/>
      </c>
    </row>
    <row r="2423" customFormat="false" ht="15" hidden="false" customHeight="false" outlineLevel="0" collapsed="false">
      <c r="A2423" s="55"/>
      <c r="B2423" s="56"/>
      <c r="C2423" s="56"/>
      <c r="D2423" s="56"/>
      <c r="E2423" s="57"/>
      <c r="F2423" s="58"/>
      <c r="G2423" s="59"/>
      <c r="H2423" s="56"/>
      <c r="I2423" s="60" t="str">
        <f aca="false">IF(IsPro,IF($D2423="","",IFERROR(INDEX(Items!$D$5:$D$504,Q2423),"")),IF($D2423="","","PRO PLAN"))</f>
        <v/>
      </c>
      <c r="J2423" s="61" t="str">
        <f aca="false">IF(IsPro,IF($D2423="","",IF($F2423="",IFERROR(INDEX(Items!$G$5:$G$504,Q2423),0),$F2423)),"")</f>
        <v/>
      </c>
      <c r="K2423" s="61" t="str">
        <f aca="false">IF(IsPro,IF($D2423="","",ROUND(N($E2423)*J2423*(1-N($G2423)),2)),"")</f>
        <v/>
      </c>
      <c r="L2423" s="62" t="str">
        <f aca="false">IF(IsPro,IF($D2423="","",IFERROR(INDEX(Items!$F$5:$F$504,Q2423),0)),"")</f>
        <v/>
      </c>
      <c r="M2423" s="61" t="str">
        <f aca="false">IF(IsPro,IF($D2423="","",IF(AND(R2423&lt;&gt;"",INDEX(Parties!$E$5:$E$304,R2423)&lt;&gt;"",INDEX(Parties!$E$5:$E$304,R2423)&lt;&gt;HomeState),0,ROUND(K2423*L2423/2,2))),"")</f>
        <v/>
      </c>
      <c r="N2423" s="61" t="str">
        <f aca="false">IF(IsPro,IF($D2423="","",M2423),"")</f>
        <v/>
      </c>
      <c r="O2423" s="61" t="str">
        <f aca="false">IF(IsPro,IF($D2423="","",IF(AND(R2423&lt;&gt;"",INDEX(Parties!$E$5:$E$304,R2423)&lt;&gt;"",INDEX(Parties!$E$5:$E$304,R2423)&lt;&gt;HomeState),ROUND(K2423*L2423,2),0)),"")</f>
        <v/>
      </c>
      <c r="P2423" s="61" t="str">
        <f aca="false">IF(IsPro,IF($D2423="","",K2423+M2423+N2423+O2423),"")</f>
        <v/>
      </c>
      <c r="Q2423" s="60" t="str">
        <f aca="false">IF(IsPro,IF($D2423="","",IFERROR(MATCH($D2423,Items!$A$5:$A$504,0),"")),"")</f>
        <v/>
      </c>
      <c r="R2423" s="60" t="str">
        <f aca="false">IF(IsPro,IF($C2423="","",IFERROR(MATCH($C2423,Parties!$A$5:$A$304,0),"")),"")</f>
        <v/>
      </c>
      <c r="S2423" s="61" t="str">
        <f aca="false">IF(IsPro,IF($D2423="","",IF(OR($H2423="",$H2423="Credit"),0,P2423)),"")</f>
        <v/>
      </c>
    </row>
    <row r="2424" customFormat="false" ht="15" hidden="false" customHeight="false" outlineLevel="0" collapsed="false">
      <c r="A2424" s="55"/>
      <c r="B2424" s="56"/>
      <c r="C2424" s="56"/>
      <c r="D2424" s="56"/>
      <c r="E2424" s="57"/>
      <c r="F2424" s="58"/>
      <c r="G2424" s="59"/>
      <c r="H2424" s="56"/>
      <c r="I2424" s="60" t="str">
        <f aca="false">IF(IsPro,IF($D2424="","",IFERROR(INDEX(Items!$D$5:$D$504,Q2424),"")),IF($D2424="","","PRO PLAN"))</f>
        <v/>
      </c>
      <c r="J2424" s="61" t="str">
        <f aca="false">IF(IsPro,IF($D2424="","",IF($F2424="",IFERROR(INDEX(Items!$G$5:$G$504,Q2424),0),$F2424)),"")</f>
        <v/>
      </c>
      <c r="K2424" s="61" t="str">
        <f aca="false">IF(IsPro,IF($D2424="","",ROUND(N($E2424)*J2424*(1-N($G2424)),2)),"")</f>
        <v/>
      </c>
      <c r="L2424" s="62" t="str">
        <f aca="false">IF(IsPro,IF($D2424="","",IFERROR(INDEX(Items!$F$5:$F$504,Q2424),0)),"")</f>
        <v/>
      </c>
      <c r="M2424" s="61" t="str">
        <f aca="false">IF(IsPro,IF($D2424="","",IF(AND(R2424&lt;&gt;"",INDEX(Parties!$E$5:$E$304,R2424)&lt;&gt;"",INDEX(Parties!$E$5:$E$304,R2424)&lt;&gt;HomeState),0,ROUND(K2424*L2424/2,2))),"")</f>
        <v/>
      </c>
      <c r="N2424" s="61" t="str">
        <f aca="false">IF(IsPro,IF($D2424="","",M2424),"")</f>
        <v/>
      </c>
      <c r="O2424" s="61" t="str">
        <f aca="false">IF(IsPro,IF($D2424="","",IF(AND(R2424&lt;&gt;"",INDEX(Parties!$E$5:$E$304,R2424)&lt;&gt;"",INDEX(Parties!$E$5:$E$304,R2424)&lt;&gt;HomeState),ROUND(K2424*L2424,2),0)),"")</f>
        <v/>
      </c>
      <c r="P2424" s="61" t="str">
        <f aca="false">IF(IsPro,IF($D2424="","",K2424+M2424+N2424+O2424),"")</f>
        <v/>
      </c>
      <c r="Q2424" s="60" t="str">
        <f aca="false">IF(IsPro,IF($D2424="","",IFERROR(MATCH($D2424,Items!$A$5:$A$504,0),"")),"")</f>
        <v/>
      </c>
      <c r="R2424" s="60" t="str">
        <f aca="false">IF(IsPro,IF($C2424="","",IFERROR(MATCH($C2424,Parties!$A$5:$A$304,0),"")),"")</f>
        <v/>
      </c>
      <c r="S2424" s="61" t="str">
        <f aca="false">IF(IsPro,IF($D2424="","",IF(OR($H2424="",$H2424="Credit"),0,P2424)),"")</f>
        <v/>
      </c>
    </row>
    <row r="2425" customFormat="false" ht="15" hidden="false" customHeight="false" outlineLevel="0" collapsed="false">
      <c r="A2425" s="55"/>
      <c r="B2425" s="56"/>
      <c r="C2425" s="56"/>
      <c r="D2425" s="56"/>
      <c r="E2425" s="57"/>
      <c r="F2425" s="58"/>
      <c r="G2425" s="59"/>
      <c r="H2425" s="56"/>
      <c r="I2425" s="60" t="str">
        <f aca="false">IF(IsPro,IF($D2425="","",IFERROR(INDEX(Items!$D$5:$D$504,Q2425),"")),IF($D2425="","","PRO PLAN"))</f>
        <v/>
      </c>
      <c r="J2425" s="61" t="str">
        <f aca="false">IF(IsPro,IF($D2425="","",IF($F2425="",IFERROR(INDEX(Items!$G$5:$G$504,Q2425),0),$F2425)),"")</f>
        <v/>
      </c>
      <c r="K2425" s="61" t="str">
        <f aca="false">IF(IsPro,IF($D2425="","",ROUND(N($E2425)*J2425*(1-N($G2425)),2)),"")</f>
        <v/>
      </c>
      <c r="L2425" s="62" t="str">
        <f aca="false">IF(IsPro,IF($D2425="","",IFERROR(INDEX(Items!$F$5:$F$504,Q2425),0)),"")</f>
        <v/>
      </c>
      <c r="M2425" s="61" t="str">
        <f aca="false">IF(IsPro,IF($D2425="","",IF(AND(R2425&lt;&gt;"",INDEX(Parties!$E$5:$E$304,R2425)&lt;&gt;"",INDEX(Parties!$E$5:$E$304,R2425)&lt;&gt;HomeState),0,ROUND(K2425*L2425/2,2))),"")</f>
        <v/>
      </c>
      <c r="N2425" s="61" t="str">
        <f aca="false">IF(IsPro,IF($D2425="","",M2425),"")</f>
        <v/>
      </c>
      <c r="O2425" s="61" t="str">
        <f aca="false">IF(IsPro,IF($D2425="","",IF(AND(R2425&lt;&gt;"",INDEX(Parties!$E$5:$E$304,R2425)&lt;&gt;"",INDEX(Parties!$E$5:$E$304,R2425)&lt;&gt;HomeState),ROUND(K2425*L2425,2),0)),"")</f>
        <v/>
      </c>
      <c r="P2425" s="61" t="str">
        <f aca="false">IF(IsPro,IF($D2425="","",K2425+M2425+N2425+O2425),"")</f>
        <v/>
      </c>
      <c r="Q2425" s="60" t="str">
        <f aca="false">IF(IsPro,IF($D2425="","",IFERROR(MATCH($D2425,Items!$A$5:$A$504,0),"")),"")</f>
        <v/>
      </c>
      <c r="R2425" s="60" t="str">
        <f aca="false">IF(IsPro,IF($C2425="","",IFERROR(MATCH($C2425,Parties!$A$5:$A$304,0),"")),"")</f>
        <v/>
      </c>
      <c r="S2425" s="61" t="str">
        <f aca="false">IF(IsPro,IF($D2425="","",IF(OR($H2425="",$H2425="Credit"),0,P2425)),"")</f>
        <v/>
      </c>
    </row>
    <row r="2426" customFormat="false" ht="15" hidden="false" customHeight="false" outlineLevel="0" collapsed="false">
      <c r="A2426" s="55"/>
      <c r="B2426" s="56"/>
      <c r="C2426" s="56"/>
      <c r="D2426" s="56"/>
      <c r="E2426" s="57"/>
      <c r="F2426" s="58"/>
      <c r="G2426" s="59"/>
      <c r="H2426" s="56"/>
      <c r="I2426" s="60" t="str">
        <f aca="false">IF(IsPro,IF($D2426="","",IFERROR(INDEX(Items!$D$5:$D$504,Q2426),"")),IF($D2426="","","PRO PLAN"))</f>
        <v/>
      </c>
      <c r="J2426" s="61" t="str">
        <f aca="false">IF(IsPro,IF($D2426="","",IF($F2426="",IFERROR(INDEX(Items!$G$5:$G$504,Q2426),0),$F2426)),"")</f>
        <v/>
      </c>
      <c r="K2426" s="61" t="str">
        <f aca="false">IF(IsPro,IF($D2426="","",ROUND(N($E2426)*J2426*(1-N($G2426)),2)),"")</f>
        <v/>
      </c>
      <c r="L2426" s="62" t="str">
        <f aca="false">IF(IsPro,IF($D2426="","",IFERROR(INDEX(Items!$F$5:$F$504,Q2426),0)),"")</f>
        <v/>
      </c>
      <c r="M2426" s="61" t="str">
        <f aca="false">IF(IsPro,IF($D2426="","",IF(AND(R2426&lt;&gt;"",INDEX(Parties!$E$5:$E$304,R2426)&lt;&gt;"",INDEX(Parties!$E$5:$E$304,R2426)&lt;&gt;HomeState),0,ROUND(K2426*L2426/2,2))),"")</f>
        <v/>
      </c>
      <c r="N2426" s="61" t="str">
        <f aca="false">IF(IsPro,IF($D2426="","",M2426),"")</f>
        <v/>
      </c>
      <c r="O2426" s="61" t="str">
        <f aca="false">IF(IsPro,IF($D2426="","",IF(AND(R2426&lt;&gt;"",INDEX(Parties!$E$5:$E$304,R2426)&lt;&gt;"",INDEX(Parties!$E$5:$E$304,R2426)&lt;&gt;HomeState),ROUND(K2426*L2426,2),0)),"")</f>
        <v/>
      </c>
      <c r="P2426" s="61" t="str">
        <f aca="false">IF(IsPro,IF($D2426="","",K2426+M2426+N2426+O2426),"")</f>
        <v/>
      </c>
      <c r="Q2426" s="60" t="str">
        <f aca="false">IF(IsPro,IF($D2426="","",IFERROR(MATCH($D2426,Items!$A$5:$A$504,0),"")),"")</f>
        <v/>
      </c>
      <c r="R2426" s="60" t="str">
        <f aca="false">IF(IsPro,IF($C2426="","",IFERROR(MATCH($C2426,Parties!$A$5:$A$304,0),"")),"")</f>
        <v/>
      </c>
      <c r="S2426" s="61" t="str">
        <f aca="false">IF(IsPro,IF($D2426="","",IF(OR($H2426="",$H2426="Credit"),0,P2426)),"")</f>
        <v/>
      </c>
    </row>
    <row r="2427" customFormat="false" ht="15" hidden="false" customHeight="false" outlineLevel="0" collapsed="false">
      <c r="A2427" s="55"/>
      <c r="B2427" s="56"/>
      <c r="C2427" s="56"/>
      <c r="D2427" s="56"/>
      <c r="E2427" s="57"/>
      <c r="F2427" s="58"/>
      <c r="G2427" s="59"/>
      <c r="H2427" s="56"/>
      <c r="I2427" s="60" t="str">
        <f aca="false">IF(IsPro,IF($D2427="","",IFERROR(INDEX(Items!$D$5:$D$504,Q2427),"")),IF($D2427="","","PRO PLAN"))</f>
        <v/>
      </c>
      <c r="J2427" s="61" t="str">
        <f aca="false">IF(IsPro,IF($D2427="","",IF($F2427="",IFERROR(INDEX(Items!$G$5:$G$504,Q2427),0),$F2427)),"")</f>
        <v/>
      </c>
      <c r="K2427" s="61" t="str">
        <f aca="false">IF(IsPro,IF($D2427="","",ROUND(N($E2427)*J2427*(1-N($G2427)),2)),"")</f>
        <v/>
      </c>
      <c r="L2427" s="62" t="str">
        <f aca="false">IF(IsPro,IF($D2427="","",IFERROR(INDEX(Items!$F$5:$F$504,Q2427),0)),"")</f>
        <v/>
      </c>
      <c r="M2427" s="61" t="str">
        <f aca="false">IF(IsPro,IF($D2427="","",IF(AND(R2427&lt;&gt;"",INDEX(Parties!$E$5:$E$304,R2427)&lt;&gt;"",INDEX(Parties!$E$5:$E$304,R2427)&lt;&gt;HomeState),0,ROUND(K2427*L2427/2,2))),"")</f>
        <v/>
      </c>
      <c r="N2427" s="61" t="str">
        <f aca="false">IF(IsPro,IF($D2427="","",M2427),"")</f>
        <v/>
      </c>
      <c r="O2427" s="61" t="str">
        <f aca="false">IF(IsPro,IF($D2427="","",IF(AND(R2427&lt;&gt;"",INDEX(Parties!$E$5:$E$304,R2427)&lt;&gt;"",INDEX(Parties!$E$5:$E$304,R2427)&lt;&gt;HomeState),ROUND(K2427*L2427,2),0)),"")</f>
        <v/>
      </c>
      <c r="P2427" s="61" t="str">
        <f aca="false">IF(IsPro,IF($D2427="","",K2427+M2427+N2427+O2427),"")</f>
        <v/>
      </c>
      <c r="Q2427" s="60" t="str">
        <f aca="false">IF(IsPro,IF($D2427="","",IFERROR(MATCH($D2427,Items!$A$5:$A$504,0),"")),"")</f>
        <v/>
      </c>
      <c r="R2427" s="60" t="str">
        <f aca="false">IF(IsPro,IF($C2427="","",IFERROR(MATCH($C2427,Parties!$A$5:$A$304,0),"")),"")</f>
        <v/>
      </c>
      <c r="S2427" s="61" t="str">
        <f aca="false">IF(IsPro,IF($D2427="","",IF(OR($H2427="",$H2427="Credit"),0,P2427)),"")</f>
        <v/>
      </c>
    </row>
    <row r="2428" customFormat="false" ht="15" hidden="false" customHeight="false" outlineLevel="0" collapsed="false">
      <c r="A2428" s="55"/>
      <c r="B2428" s="56"/>
      <c r="C2428" s="56"/>
      <c r="D2428" s="56"/>
      <c r="E2428" s="57"/>
      <c r="F2428" s="58"/>
      <c r="G2428" s="59"/>
      <c r="H2428" s="56"/>
      <c r="I2428" s="60" t="str">
        <f aca="false">IF(IsPro,IF($D2428="","",IFERROR(INDEX(Items!$D$5:$D$504,Q2428),"")),IF($D2428="","","PRO PLAN"))</f>
        <v/>
      </c>
      <c r="J2428" s="61" t="str">
        <f aca="false">IF(IsPro,IF($D2428="","",IF($F2428="",IFERROR(INDEX(Items!$G$5:$G$504,Q2428),0),$F2428)),"")</f>
        <v/>
      </c>
      <c r="K2428" s="61" t="str">
        <f aca="false">IF(IsPro,IF($D2428="","",ROUND(N($E2428)*J2428*(1-N($G2428)),2)),"")</f>
        <v/>
      </c>
      <c r="L2428" s="62" t="str">
        <f aca="false">IF(IsPro,IF($D2428="","",IFERROR(INDEX(Items!$F$5:$F$504,Q2428),0)),"")</f>
        <v/>
      </c>
      <c r="M2428" s="61" t="str">
        <f aca="false">IF(IsPro,IF($D2428="","",IF(AND(R2428&lt;&gt;"",INDEX(Parties!$E$5:$E$304,R2428)&lt;&gt;"",INDEX(Parties!$E$5:$E$304,R2428)&lt;&gt;HomeState),0,ROUND(K2428*L2428/2,2))),"")</f>
        <v/>
      </c>
      <c r="N2428" s="61" t="str">
        <f aca="false">IF(IsPro,IF($D2428="","",M2428),"")</f>
        <v/>
      </c>
      <c r="O2428" s="61" t="str">
        <f aca="false">IF(IsPro,IF($D2428="","",IF(AND(R2428&lt;&gt;"",INDEX(Parties!$E$5:$E$304,R2428)&lt;&gt;"",INDEX(Parties!$E$5:$E$304,R2428)&lt;&gt;HomeState),ROUND(K2428*L2428,2),0)),"")</f>
        <v/>
      </c>
      <c r="P2428" s="61" t="str">
        <f aca="false">IF(IsPro,IF($D2428="","",K2428+M2428+N2428+O2428),"")</f>
        <v/>
      </c>
      <c r="Q2428" s="60" t="str">
        <f aca="false">IF(IsPro,IF($D2428="","",IFERROR(MATCH($D2428,Items!$A$5:$A$504,0),"")),"")</f>
        <v/>
      </c>
      <c r="R2428" s="60" t="str">
        <f aca="false">IF(IsPro,IF($C2428="","",IFERROR(MATCH($C2428,Parties!$A$5:$A$304,0),"")),"")</f>
        <v/>
      </c>
      <c r="S2428" s="61" t="str">
        <f aca="false">IF(IsPro,IF($D2428="","",IF(OR($H2428="",$H2428="Credit"),0,P2428)),"")</f>
        <v/>
      </c>
    </row>
    <row r="2429" customFormat="false" ht="15" hidden="false" customHeight="false" outlineLevel="0" collapsed="false">
      <c r="A2429" s="55"/>
      <c r="B2429" s="56"/>
      <c r="C2429" s="56"/>
      <c r="D2429" s="56"/>
      <c r="E2429" s="57"/>
      <c r="F2429" s="58"/>
      <c r="G2429" s="59"/>
      <c r="H2429" s="56"/>
      <c r="I2429" s="60" t="str">
        <f aca="false">IF(IsPro,IF($D2429="","",IFERROR(INDEX(Items!$D$5:$D$504,Q2429),"")),IF($D2429="","","PRO PLAN"))</f>
        <v/>
      </c>
      <c r="J2429" s="61" t="str">
        <f aca="false">IF(IsPro,IF($D2429="","",IF($F2429="",IFERROR(INDEX(Items!$G$5:$G$504,Q2429),0),$F2429)),"")</f>
        <v/>
      </c>
      <c r="K2429" s="61" t="str">
        <f aca="false">IF(IsPro,IF($D2429="","",ROUND(N($E2429)*J2429*(1-N($G2429)),2)),"")</f>
        <v/>
      </c>
      <c r="L2429" s="62" t="str">
        <f aca="false">IF(IsPro,IF($D2429="","",IFERROR(INDEX(Items!$F$5:$F$504,Q2429),0)),"")</f>
        <v/>
      </c>
      <c r="M2429" s="61" t="str">
        <f aca="false">IF(IsPro,IF($D2429="","",IF(AND(R2429&lt;&gt;"",INDEX(Parties!$E$5:$E$304,R2429)&lt;&gt;"",INDEX(Parties!$E$5:$E$304,R2429)&lt;&gt;HomeState),0,ROUND(K2429*L2429/2,2))),"")</f>
        <v/>
      </c>
      <c r="N2429" s="61" t="str">
        <f aca="false">IF(IsPro,IF($D2429="","",M2429),"")</f>
        <v/>
      </c>
      <c r="O2429" s="61" t="str">
        <f aca="false">IF(IsPro,IF($D2429="","",IF(AND(R2429&lt;&gt;"",INDEX(Parties!$E$5:$E$304,R2429)&lt;&gt;"",INDEX(Parties!$E$5:$E$304,R2429)&lt;&gt;HomeState),ROUND(K2429*L2429,2),0)),"")</f>
        <v/>
      </c>
      <c r="P2429" s="61" t="str">
        <f aca="false">IF(IsPro,IF($D2429="","",K2429+M2429+N2429+O2429),"")</f>
        <v/>
      </c>
      <c r="Q2429" s="60" t="str">
        <f aca="false">IF(IsPro,IF($D2429="","",IFERROR(MATCH($D2429,Items!$A$5:$A$504,0),"")),"")</f>
        <v/>
      </c>
      <c r="R2429" s="60" t="str">
        <f aca="false">IF(IsPro,IF($C2429="","",IFERROR(MATCH($C2429,Parties!$A$5:$A$304,0),"")),"")</f>
        <v/>
      </c>
      <c r="S2429" s="61" t="str">
        <f aca="false">IF(IsPro,IF($D2429="","",IF(OR($H2429="",$H2429="Credit"),0,P2429)),"")</f>
        <v/>
      </c>
    </row>
    <row r="2430" customFormat="false" ht="15" hidden="false" customHeight="false" outlineLevel="0" collapsed="false">
      <c r="A2430" s="55"/>
      <c r="B2430" s="56"/>
      <c r="C2430" s="56"/>
      <c r="D2430" s="56"/>
      <c r="E2430" s="57"/>
      <c r="F2430" s="58"/>
      <c r="G2430" s="59"/>
      <c r="H2430" s="56"/>
      <c r="I2430" s="60" t="str">
        <f aca="false">IF(IsPro,IF($D2430="","",IFERROR(INDEX(Items!$D$5:$D$504,Q2430),"")),IF($D2430="","","PRO PLAN"))</f>
        <v/>
      </c>
      <c r="J2430" s="61" t="str">
        <f aca="false">IF(IsPro,IF($D2430="","",IF($F2430="",IFERROR(INDEX(Items!$G$5:$G$504,Q2430),0),$F2430)),"")</f>
        <v/>
      </c>
      <c r="K2430" s="61" t="str">
        <f aca="false">IF(IsPro,IF($D2430="","",ROUND(N($E2430)*J2430*(1-N($G2430)),2)),"")</f>
        <v/>
      </c>
      <c r="L2430" s="62" t="str">
        <f aca="false">IF(IsPro,IF($D2430="","",IFERROR(INDEX(Items!$F$5:$F$504,Q2430),0)),"")</f>
        <v/>
      </c>
      <c r="M2430" s="61" t="str">
        <f aca="false">IF(IsPro,IF($D2430="","",IF(AND(R2430&lt;&gt;"",INDEX(Parties!$E$5:$E$304,R2430)&lt;&gt;"",INDEX(Parties!$E$5:$E$304,R2430)&lt;&gt;HomeState),0,ROUND(K2430*L2430/2,2))),"")</f>
        <v/>
      </c>
      <c r="N2430" s="61" t="str">
        <f aca="false">IF(IsPro,IF($D2430="","",M2430),"")</f>
        <v/>
      </c>
      <c r="O2430" s="61" t="str">
        <f aca="false">IF(IsPro,IF($D2430="","",IF(AND(R2430&lt;&gt;"",INDEX(Parties!$E$5:$E$304,R2430)&lt;&gt;"",INDEX(Parties!$E$5:$E$304,R2430)&lt;&gt;HomeState),ROUND(K2430*L2430,2),0)),"")</f>
        <v/>
      </c>
      <c r="P2430" s="61" t="str">
        <f aca="false">IF(IsPro,IF($D2430="","",K2430+M2430+N2430+O2430),"")</f>
        <v/>
      </c>
      <c r="Q2430" s="60" t="str">
        <f aca="false">IF(IsPro,IF($D2430="","",IFERROR(MATCH($D2430,Items!$A$5:$A$504,0),"")),"")</f>
        <v/>
      </c>
      <c r="R2430" s="60" t="str">
        <f aca="false">IF(IsPro,IF($C2430="","",IFERROR(MATCH($C2430,Parties!$A$5:$A$304,0),"")),"")</f>
        <v/>
      </c>
      <c r="S2430" s="61" t="str">
        <f aca="false">IF(IsPro,IF($D2430="","",IF(OR($H2430="",$H2430="Credit"),0,P2430)),"")</f>
        <v/>
      </c>
    </row>
    <row r="2431" customFormat="false" ht="15" hidden="false" customHeight="false" outlineLevel="0" collapsed="false">
      <c r="A2431" s="55"/>
      <c r="B2431" s="56"/>
      <c r="C2431" s="56"/>
      <c r="D2431" s="56"/>
      <c r="E2431" s="57"/>
      <c r="F2431" s="58"/>
      <c r="G2431" s="59"/>
      <c r="H2431" s="56"/>
      <c r="I2431" s="60" t="str">
        <f aca="false">IF(IsPro,IF($D2431="","",IFERROR(INDEX(Items!$D$5:$D$504,Q2431),"")),IF($D2431="","","PRO PLAN"))</f>
        <v/>
      </c>
      <c r="J2431" s="61" t="str">
        <f aca="false">IF(IsPro,IF($D2431="","",IF($F2431="",IFERROR(INDEX(Items!$G$5:$G$504,Q2431),0),$F2431)),"")</f>
        <v/>
      </c>
      <c r="K2431" s="61" t="str">
        <f aca="false">IF(IsPro,IF($D2431="","",ROUND(N($E2431)*J2431*(1-N($G2431)),2)),"")</f>
        <v/>
      </c>
      <c r="L2431" s="62" t="str">
        <f aca="false">IF(IsPro,IF($D2431="","",IFERROR(INDEX(Items!$F$5:$F$504,Q2431),0)),"")</f>
        <v/>
      </c>
      <c r="M2431" s="61" t="str">
        <f aca="false">IF(IsPro,IF($D2431="","",IF(AND(R2431&lt;&gt;"",INDEX(Parties!$E$5:$E$304,R2431)&lt;&gt;"",INDEX(Parties!$E$5:$E$304,R2431)&lt;&gt;HomeState),0,ROUND(K2431*L2431/2,2))),"")</f>
        <v/>
      </c>
      <c r="N2431" s="61" t="str">
        <f aca="false">IF(IsPro,IF($D2431="","",M2431),"")</f>
        <v/>
      </c>
      <c r="O2431" s="61" t="str">
        <f aca="false">IF(IsPro,IF($D2431="","",IF(AND(R2431&lt;&gt;"",INDEX(Parties!$E$5:$E$304,R2431)&lt;&gt;"",INDEX(Parties!$E$5:$E$304,R2431)&lt;&gt;HomeState),ROUND(K2431*L2431,2),0)),"")</f>
        <v/>
      </c>
      <c r="P2431" s="61" t="str">
        <f aca="false">IF(IsPro,IF($D2431="","",K2431+M2431+N2431+O2431),"")</f>
        <v/>
      </c>
      <c r="Q2431" s="60" t="str">
        <f aca="false">IF(IsPro,IF($D2431="","",IFERROR(MATCH($D2431,Items!$A$5:$A$504,0),"")),"")</f>
        <v/>
      </c>
      <c r="R2431" s="60" t="str">
        <f aca="false">IF(IsPro,IF($C2431="","",IFERROR(MATCH($C2431,Parties!$A$5:$A$304,0),"")),"")</f>
        <v/>
      </c>
      <c r="S2431" s="61" t="str">
        <f aca="false">IF(IsPro,IF($D2431="","",IF(OR($H2431="",$H2431="Credit"),0,P2431)),"")</f>
        <v/>
      </c>
    </row>
    <row r="2432" customFormat="false" ht="15" hidden="false" customHeight="false" outlineLevel="0" collapsed="false">
      <c r="A2432" s="55"/>
      <c r="B2432" s="56"/>
      <c r="C2432" s="56"/>
      <c r="D2432" s="56"/>
      <c r="E2432" s="57"/>
      <c r="F2432" s="58"/>
      <c r="G2432" s="59"/>
      <c r="H2432" s="56"/>
      <c r="I2432" s="60" t="str">
        <f aca="false">IF(IsPro,IF($D2432="","",IFERROR(INDEX(Items!$D$5:$D$504,Q2432),"")),IF($D2432="","","PRO PLAN"))</f>
        <v/>
      </c>
      <c r="J2432" s="61" t="str">
        <f aca="false">IF(IsPro,IF($D2432="","",IF($F2432="",IFERROR(INDEX(Items!$G$5:$G$504,Q2432),0),$F2432)),"")</f>
        <v/>
      </c>
      <c r="K2432" s="61" t="str">
        <f aca="false">IF(IsPro,IF($D2432="","",ROUND(N($E2432)*J2432*(1-N($G2432)),2)),"")</f>
        <v/>
      </c>
      <c r="L2432" s="62" t="str">
        <f aca="false">IF(IsPro,IF($D2432="","",IFERROR(INDEX(Items!$F$5:$F$504,Q2432),0)),"")</f>
        <v/>
      </c>
      <c r="M2432" s="61" t="str">
        <f aca="false">IF(IsPro,IF($D2432="","",IF(AND(R2432&lt;&gt;"",INDEX(Parties!$E$5:$E$304,R2432)&lt;&gt;"",INDEX(Parties!$E$5:$E$304,R2432)&lt;&gt;HomeState),0,ROUND(K2432*L2432/2,2))),"")</f>
        <v/>
      </c>
      <c r="N2432" s="61" t="str">
        <f aca="false">IF(IsPro,IF($D2432="","",M2432),"")</f>
        <v/>
      </c>
      <c r="O2432" s="61" t="str">
        <f aca="false">IF(IsPro,IF($D2432="","",IF(AND(R2432&lt;&gt;"",INDEX(Parties!$E$5:$E$304,R2432)&lt;&gt;"",INDEX(Parties!$E$5:$E$304,R2432)&lt;&gt;HomeState),ROUND(K2432*L2432,2),0)),"")</f>
        <v/>
      </c>
      <c r="P2432" s="61" t="str">
        <f aca="false">IF(IsPro,IF($D2432="","",K2432+M2432+N2432+O2432),"")</f>
        <v/>
      </c>
      <c r="Q2432" s="60" t="str">
        <f aca="false">IF(IsPro,IF($D2432="","",IFERROR(MATCH($D2432,Items!$A$5:$A$504,0),"")),"")</f>
        <v/>
      </c>
      <c r="R2432" s="60" t="str">
        <f aca="false">IF(IsPro,IF($C2432="","",IFERROR(MATCH($C2432,Parties!$A$5:$A$304,0),"")),"")</f>
        <v/>
      </c>
      <c r="S2432" s="61" t="str">
        <f aca="false">IF(IsPro,IF($D2432="","",IF(OR($H2432="",$H2432="Credit"),0,P2432)),"")</f>
        <v/>
      </c>
    </row>
    <row r="2433" customFormat="false" ht="15" hidden="false" customHeight="false" outlineLevel="0" collapsed="false">
      <c r="A2433" s="55"/>
      <c r="B2433" s="56"/>
      <c r="C2433" s="56"/>
      <c r="D2433" s="56"/>
      <c r="E2433" s="57"/>
      <c r="F2433" s="58"/>
      <c r="G2433" s="59"/>
      <c r="H2433" s="56"/>
      <c r="I2433" s="60" t="str">
        <f aca="false">IF(IsPro,IF($D2433="","",IFERROR(INDEX(Items!$D$5:$D$504,Q2433),"")),IF($D2433="","","PRO PLAN"))</f>
        <v/>
      </c>
      <c r="J2433" s="61" t="str">
        <f aca="false">IF(IsPro,IF($D2433="","",IF($F2433="",IFERROR(INDEX(Items!$G$5:$G$504,Q2433),0),$F2433)),"")</f>
        <v/>
      </c>
      <c r="K2433" s="61" t="str">
        <f aca="false">IF(IsPro,IF($D2433="","",ROUND(N($E2433)*J2433*(1-N($G2433)),2)),"")</f>
        <v/>
      </c>
      <c r="L2433" s="62" t="str">
        <f aca="false">IF(IsPro,IF($D2433="","",IFERROR(INDEX(Items!$F$5:$F$504,Q2433),0)),"")</f>
        <v/>
      </c>
      <c r="M2433" s="61" t="str">
        <f aca="false">IF(IsPro,IF($D2433="","",IF(AND(R2433&lt;&gt;"",INDEX(Parties!$E$5:$E$304,R2433)&lt;&gt;"",INDEX(Parties!$E$5:$E$304,R2433)&lt;&gt;HomeState),0,ROUND(K2433*L2433/2,2))),"")</f>
        <v/>
      </c>
      <c r="N2433" s="61" t="str">
        <f aca="false">IF(IsPro,IF($D2433="","",M2433),"")</f>
        <v/>
      </c>
      <c r="O2433" s="61" t="str">
        <f aca="false">IF(IsPro,IF($D2433="","",IF(AND(R2433&lt;&gt;"",INDEX(Parties!$E$5:$E$304,R2433)&lt;&gt;"",INDEX(Parties!$E$5:$E$304,R2433)&lt;&gt;HomeState),ROUND(K2433*L2433,2),0)),"")</f>
        <v/>
      </c>
      <c r="P2433" s="61" t="str">
        <f aca="false">IF(IsPro,IF($D2433="","",K2433+M2433+N2433+O2433),"")</f>
        <v/>
      </c>
      <c r="Q2433" s="60" t="str">
        <f aca="false">IF(IsPro,IF($D2433="","",IFERROR(MATCH($D2433,Items!$A$5:$A$504,0),"")),"")</f>
        <v/>
      </c>
      <c r="R2433" s="60" t="str">
        <f aca="false">IF(IsPro,IF($C2433="","",IFERROR(MATCH($C2433,Parties!$A$5:$A$304,0),"")),"")</f>
        <v/>
      </c>
      <c r="S2433" s="61" t="str">
        <f aca="false">IF(IsPro,IF($D2433="","",IF(OR($H2433="",$H2433="Credit"),0,P2433)),"")</f>
        <v/>
      </c>
    </row>
    <row r="2434" customFormat="false" ht="15" hidden="false" customHeight="false" outlineLevel="0" collapsed="false">
      <c r="A2434" s="55"/>
      <c r="B2434" s="56"/>
      <c r="C2434" s="56"/>
      <c r="D2434" s="56"/>
      <c r="E2434" s="57"/>
      <c r="F2434" s="58"/>
      <c r="G2434" s="59"/>
      <c r="H2434" s="56"/>
      <c r="I2434" s="60" t="str">
        <f aca="false">IF(IsPro,IF($D2434="","",IFERROR(INDEX(Items!$D$5:$D$504,Q2434),"")),IF($D2434="","","PRO PLAN"))</f>
        <v/>
      </c>
      <c r="J2434" s="61" t="str">
        <f aca="false">IF(IsPro,IF($D2434="","",IF($F2434="",IFERROR(INDEX(Items!$G$5:$G$504,Q2434),0),$F2434)),"")</f>
        <v/>
      </c>
      <c r="K2434" s="61" t="str">
        <f aca="false">IF(IsPro,IF($D2434="","",ROUND(N($E2434)*J2434*(1-N($G2434)),2)),"")</f>
        <v/>
      </c>
      <c r="L2434" s="62" t="str">
        <f aca="false">IF(IsPro,IF($D2434="","",IFERROR(INDEX(Items!$F$5:$F$504,Q2434),0)),"")</f>
        <v/>
      </c>
      <c r="M2434" s="61" t="str">
        <f aca="false">IF(IsPro,IF($D2434="","",IF(AND(R2434&lt;&gt;"",INDEX(Parties!$E$5:$E$304,R2434)&lt;&gt;"",INDEX(Parties!$E$5:$E$304,R2434)&lt;&gt;HomeState),0,ROUND(K2434*L2434/2,2))),"")</f>
        <v/>
      </c>
      <c r="N2434" s="61" t="str">
        <f aca="false">IF(IsPro,IF($D2434="","",M2434),"")</f>
        <v/>
      </c>
      <c r="O2434" s="61" t="str">
        <f aca="false">IF(IsPro,IF($D2434="","",IF(AND(R2434&lt;&gt;"",INDEX(Parties!$E$5:$E$304,R2434)&lt;&gt;"",INDEX(Parties!$E$5:$E$304,R2434)&lt;&gt;HomeState),ROUND(K2434*L2434,2),0)),"")</f>
        <v/>
      </c>
      <c r="P2434" s="61" t="str">
        <f aca="false">IF(IsPro,IF($D2434="","",K2434+M2434+N2434+O2434),"")</f>
        <v/>
      </c>
      <c r="Q2434" s="60" t="str">
        <f aca="false">IF(IsPro,IF($D2434="","",IFERROR(MATCH($D2434,Items!$A$5:$A$504,0),"")),"")</f>
        <v/>
      </c>
      <c r="R2434" s="60" t="str">
        <f aca="false">IF(IsPro,IF($C2434="","",IFERROR(MATCH($C2434,Parties!$A$5:$A$304,0),"")),"")</f>
        <v/>
      </c>
      <c r="S2434" s="61" t="str">
        <f aca="false">IF(IsPro,IF($D2434="","",IF(OR($H2434="",$H2434="Credit"),0,P2434)),"")</f>
        <v/>
      </c>
    </row>
    <row r="2435" customFormat="false" ht="15" hidden="false" customHeight="false" outlineLevel="0" collapsed="false">
      <c r="A2435" s="55"/>
      <c r="B2435" s="56"/>
      <c r="C2435" s="56"/>
      <c r="D2435" s="56"/>
      <c r="E2435" s="57"/>
      <c r="F2435" s="58"/>
      <c r="G2435" s="59"/>
      <c r="H2435" s="56"/>
      <c r="I2435" s="60" t="str">
        <f aca="false">IF(IsPro,IF($D2435="","",IFERROR(INDEX(Items!$D$5:$D$504,Q2435),"")),IF($D2435="","","PRO PLAN"))</f>
        <v/>
      </c>
      <c r="J2435" s="61" t="str">
        <f aca="false">IF(IsPro,IF($D2435="","",IF($F2435="",IFERROR(INDEX(Items!$G$5:$G$504,Q2435),0),$F2435)),"")</f>
        <v/>
      </c>
      <c r="K2435" s="61" t="str">
        <f aca="false">IF(IsPro,IF($D2435="","",ROUND(N($E2435)*J2435*(1-N($G2435)),2)),"")</f>
        <v/>
      </c>
      <c r="L2435" s="62" t="str">
        <f aca="false">IF(IsPro,IF($D2435="","",IFERROR(INDEX(Items!$F$5:$F$504,Q2435),0)),"")</f>
        <v/>
      </c>
      <c r="M2435" s="61" t="str">
        <f aca="false">IF(IsPro,IF($D2435="","",IF(AND(R2435&lt;&gt;"",INDEX(Parties!$E$5:$E$304,R2435)&lt;&gt;"",INDEX(Parties!$E$5:$E$304,R2435)&lt;&gt;HomeState),0,ROUND(K2435*L2435/2,2))),"")</f>
        <v/>
      </c>
      <c r="N2435" s="61" t="str">
        <f aca="false">IF(IsPro,IF($D2435="","",M2435),"")</f>
        <v/>
      </c>
      <c r="O2435" s="61" t="str">
        <f aca="false">IF(IsPro,IF($D2435="","",IF(AND(R2435&lt;&gt;"",INDEX(Parties!$E$5:$E$304,R2435)&lt;&gt;"",INDEX(Parties!$E$5:$E$304,R2435)&lt;&gt;HomeState),ROUND(K2435*L2435,2),0)),"")</f>
        <v/>
      </c>
      <c r="P2435" s="61" t="str">
        <f aca="false">IF(IsPro,IF($D2435="","",K2435+M2435+N2435+O2435),"")</f>
        <v/>
      </c>
      <c r="Q2435" s="60" t="str">
        <f aca="false">IF(IsPro,IF($D2435="","",IFERROR(MATCH($D2435,Items!$A$5:$A$504,0),"")),"")</f>
        <v/>
      </c>
      <c r="R2435" s="60" t="str">
        <f aca="false">IF(IsPro,IF($C2435="","",IFERROR(MATCH($C2435,Parties!$A$5:$A$304,0),"")),"")</f>
        <v/>
      </c>
      <c r="S2435" s="61" t="str">
        <f aca="false">IF(IsPro,IF($D2435="","",IF(OR($H2435="",$H2435="Credit"),0,P2435)),"")</f>
        <v/>
      </c>
    </row>
    <row r="2436" customFormat="false" ht="15" hidden="false" customHeight="false" outlineLevel="0" collapsed="false">
      <c r="A2436" s="55"/>
      <c r="B2436" s="56"/>
      <c r="C2436" s="56"/>
      <c r="D2436" s="56"/>
      <c r="E2436" s="57"/>
      <c r="F2436" s="58"/>
      <c r="G2436" s="59"/>
      <c r="H2436" s="56"/>
      <c r="I2436" s="60" t="str">
        <f aca="false">IF(IsPro,IF($D2436="","",IFERROR(INDEX(Items!$D$5:$D$504,Q2436),"")),IF($D2436="","","PRO PLAN"))</f>
        <v/>
      </c>
      <c r="J2436" s="61" t="str">
        <f aca="false">IF(IsPro,IF($D2436="","",IF($F2436="",IFERROR(INDEX(Items!$G$5:$G$504,Q2436),0),$F2436)),"")</f>
        <v/>
      </c>
      <c r="K2436" s="61" t="str">
        <f aca="false">IF(IsPro,IF($D2436="","",ROUND(N($E2436)*J2436*(1-N($G2436)),2)),"")</f>
        <v/>
      </c>
      <c r="L2436" s="62" t="str">
        <f aca="false">IF(IsPro,IF($D2436="","",IFERROR(INDEX(Items!$F$5:$F$504,Q2436),0)),"")</f>
        <v/>
      </c>
      <c r="M2436" s="61" t="str">
        <f aca="false">IF(IsPro,IF($D2436="","",IF(AND(R2436&lt;&gt;"",INDEX(Parties!$E$5:$E$304,R2436)&lt;&gt;"",INDEX(Parties!$E$5:$E$304,R2436)&lt;&gt;HomeState),0,ROUND(K2436*L2436/2,2))),"")</f>
        <v/>
      </c>
      <c r="N2436" s="61" t="str">
        <f aca="false">IF(IsPro,IF($D2436="","",M2436),"")</f>
        <v/>
      </c>
      <c r="O2436" s="61" t="str">
        <f aca="false">IF(IsPro,IF($D2436="","",IF(AND(R2436&lt;&gt;"",INDEX(Parties!$E$5:$E$304,R2436)&lt;&gt;"",INDEX(Parties!$E$5:$E$304,R2436)&lt;&gt;HomeState),ROUND(K2436*L2436,2),0)),"")</f>
        <v/>
      </c>
      <c r="P2436" s="61" t="str">
        <f aca="false">IF(IsPro,IF($D2436="","",K2436+M2436+N2436+O2436),"")</f>
        <v/>
      </c>
      <c r="Q2436" s="60" t="str">
        <f aca="false">IF(IsPro,IF($D2436="","",IFERROR(MATCH($D2436,Items!$A$5:$A$504,0),"")),"")</f>
        <v/>
      </c>
      <c r="R2436" s="60" t="str">
        <f aca="false">IF(IsPro,IF($C2436="","",IFERROR(MATCH($C2436,Parties!$A$5:$A$304,0),"")),"")</f>
        <v/>
      </c>
      <c r="S2436" s="61" t="str">
        <f aca="false">IF(IsPro,IF($D2436="","",IF(OR($H2436="",$H2436="Credit"),0,P2436)),"")</f>
        <v/>
      </c>
    </row>
    <row r="2437" customFormat="false" ht="15" hidden="false" customHeight="false" outlineLevel="0" collapsed="false">
      <c r="A2437" s="55"/>
      <c r="B2437" s="56"/>
      <c r="C2437" s="56"/>
      <c r="D2437" s="56"/>
      <c r="E2437" s="57"/>
      <c r="F2437" s="58"/>
      <c r="G2437" s="59"/>
      <c r="H2437" s="56"/>
      <c r="I2437" s="60" t="str">
        <f aca="false">IF(IsPro,IF($D2437="","",IFERROR(INDEX(Items!$D$5:$D$504,Q2437),"")),IF($D2437="","","PRO PLAN"))</f>
        <v/>
      </c>
      <c r="J2437" s="61" t="str">
        <f aca="false">IF(IsPro,IF($D2437="","",IF($F2437="",IFERROR(INDEX(Items!$G$5:$G$504,Q2437),0),$F2437)),"")</f>
        <v/>
      </c>
      <c r="K2437" s="61" t="str">
        <f aca="false">IF(IsPro,IF($D2437="","",ROUND(N($E2437)*J2437*(1-N($G2437)),2)),"")</f>
        <v/>
      </c>
      <c r="L2437" s="62" t="str">
        <f aca="false">IF(IsPro,IF($D2437="","",IFERROR(INDEX(Items!$F$5:$F$504,Q2437),0)),"")</f>
        <v/>
      </c>
      <c r="M2437" s="61" t="str">
        <f aca="false">IF(IsPro,IF($D2437="","",IF(AND(R2437&lt;&gt;"",INDEX(Parties!$E$5:$E$304,R2437)&lt;&gt;"",INDEX(Parties!$E$5:$E$304,R2437)&lt;&gt;HomeState),0,ROUND(K2437*L2437/2,2))),"")</f>
        <v/>
      </c>
      <c r="N2437" s="61" t="str">
        <f aca="false">IF(IsPro,IF($D2437="","",M2437),"")</f>
        <v/>
      </c>
      <c r="O2437" s="61" t="str">
        <f aca="false">IF(IsPro,IF($D2437="","",IF(AND(R2437&lt;&gt;"",INDEX(Parties!$E$5:$E$304,R2437)&lt;&gt;"",INDEX(Parties!$E$5:$E$304,R2437)&lt;&gt;HomeState),ROUND(K2437*L2437,2),0)),"")</f>
        <v/>
      </c>
      <c r="P2437" s="61" t="str">
        <f aca="false">IF(IsPro,IF($D2437="","",K2437+M2437+N2437+O2437),"")</f>
        <v/>
      </c>
      <c r="Q2437" s="60" t="str">
        <f aca="false">IF(IsPro,IF($D2437="","",IFERROR(MATCH($D2437,Items!$A$5:$A$504,0),"")),"")</f>
        <v/>
      </c>
      <c r="R2437" s="60" t="str">
        <f aca="false">IF(IsPro,IF($C2437="","",IFERROR(MATCH($C2437,Parties!$A$5:$A$304,0),"")),"")</f>
        <v/>
      </c>
      <c r="S2437" s="61" t="str">
        <f aca="false">IF(IsPro,IF($D2437="","",IF(OR($H2437="",$H2437="Credit"),0,P2437)),"")</f>
        <v/>
      </c>
    </row>
    <row r="2438" customFormat="false" ht="15" hidden="false" customHeight="false" outlineLevel="0" collapsed="false">
      <c r="A2438" s="55"/>
      <c r="B2438" s="56"/>
      <c r="C2438" s="56"/>
      <c r="D2438" s="56"/>
      <c r="E2438" s="57"/>
      <c r="F2438" s="58"/>
      <c r="G2438" s="59"/>
      <c r="H2438" s="56"/>
      <c r="I2438" s="60" t="str">
        <f aca="false">IF(IsPro,IF($D2438="","",IFERROR(INDEX(Items!$D$5:$D$504,Q2438),"")),IF($D2438="","","PRO PLAN"))</f>
        <v/>
      </c>
      <c r="J2438" s="61" t="str">
        <f aca="false">IF(IsPro,IF($D2438="","",IF($F2438="",IFERROR(INDEX(Items!$G$5:$G$504,Q2438),0),$F2438)),"")</f>
        <v/>
      </c>
      <c r="K2438" s="61" t="str">
        <f aca="false">IF(IsPro,IF($D2438="","",ROUND(N($E2438)*J2438*(1-N($G2438)),2)),"")</f>
        <v/>
      </c>
      <c r="L2438" s="62" t="str">
        <f aca="false">IF(IsPro,IF($D2438="","",IFERROR(INDEX(Items!$F$5:$F$504,Q2438),0)),"")</f>
        <v/>
      </c>
      <c r="M2438" s="61" t="str">
        <f aca="false">IF(IsPro,IF($D2438="","",IF(AND(R2438&lt;&gt;"",INDEX(Parties!$E$5:$E$304,R2438)&lt;&gt;"",INDEX(Parties!$E$5:$E$304,R2438)&lt;&gt;HomeState),0,ROUND(K2438*L2438/2,2))),"")</f>
        <v/>
      </c>
      <c r="N2438" s="61" t="str">
        <f aca="false">IF(IsPro,IF($D2438="","",M2438),"")</f>
        <v/>
      </c>
      <c r="O2438" s="61" t="str">
        <f aca="false">IF(IsPro,IF($D2438="","",IF(AND(R2438&lt;&gt;"",INDEX(Parties!$E$5:$E$304,R2438)&lt;&gt;"",INDEX(Parties!$E$5:$E$304,R2438)&lt;&gt;HomeState),ROUND(K2438*L2438,2),0)),"")</f>
        <v/>
      </c>
      <c r="P2438" s="61" t="str">
        <f aca="false">IF(IsPro,IF($D2438="","",K2438+M2438+N2438+O2438),"")</f>
        <v/>
      </c>
      <c r="Q2438" s="60" t="str">
        <f aca="false">IF(IsPro,IF($D2438="","",IFERROR(MATCH($D2438,Items!$A$5:$A$504,0),"")),"")</f>
        <v/>
      </c>
      <c r="R2438" s="60" t="str">
        <f aca="false">IF(IsPro,IF($C2438="","",IFERROR(MATCH($C2438,Parties!$A$5:$A$304,0),"")),"")</f>
        <v/>
      </c>
      <c r="S2438" s="61" t="str">
        <f aca="false">IF(IsPro,IF($D2438="","",IF(OR($H2438="",$H2438="Credit"),0,P2438)),"")</f>
        <v/>
      </c>
    </row>
    <row r="2439" customFormat="false" ht="15" hidden="false" customHeight="false" outlineLevel="0" collapsed="false">
      <c r="A2439" s="55"/>
      <c r="B2439" s="56"/>
      <c r="C2439" s="56"/>
      <c r="D2439" s="56"/>
      <c r="E2439" s="57"/>
      <c r="F2439" s="58"/>
      <c r="G2439" s="59"/>
      <c r="H2439" s="56"/>
      <c r="I2439" s="60" t="str">
        <f aca="false">IF(IsPro,IF($D2439="","",IFERROR(INDEX(Items!$D$5:$D$504,Q2439),"")),IF($D2439="","","PRO PLAN"))</f>
        <v/>
      </c>
      <c r="J2439" s="61" t="str">
        <f aca="false">IF(IsPro,IF($D2439="","",IF($F2439="",IFERROR(INDEX(Items!$G$5:$G$504,Q2439),0),$F2439)),"")</f>
        <v/>
      </c>
      <c r="K2439" s="61" t="str">
        <f aca="false">IF(IsPro,IF($D2439="","",ROUND(N($E2439)*J2439*(1-N($G2439)),2)),"")</f>
        <v/>
      </c>
      <c r="L2439" s="62" t="str">
        <f aca="false">IF(IsPro,IF($D2439="","",IFERROR(INDEX(Items!$F$5:$F$504,Q2439),0)),"")</f>
        <v/>
      </c>
      <c r="M2439" s="61" t="str">
        <f aca="false">IF(IsPro,IF($D2439="","",IF(AND(R2439&lt;&gt;"",INDEX(Parties!$E$5:$E$304,R2439)&lt;&gt;"",INDEX(Parties!$E$5:$E$304,R2439)&lt;&gt;HomeState),0,ROUND(K2439*L2439/2,2))),"")</f>
        <v/>
      </c>
      <c r="N2439" s="61" t="str">
        <f aca="false">IF(IsPro,IF($D2439="","",M2439),"")</f>
        <v/>
      </c>
      <c r="O2439" s="61" t="str">
        <f aca="false">IF(IsPro,IF($D2439="","",IF(AND(R2439&lt;&gt;"",INDEX(Parties!$E$5:$E$304,R2439)&lt;&gt;"",INDEX(Parties!$E$5:$E$304,R2439)&lt;&gt;HomeState),ROUND(K2439*L2439,2),0)),"")</f>
        <v/>
      </c>
      <c r="P2439" s="61" t="str">
        <f aca="false">IF(IsPro,IF($D2439="","",K2439+M2439+N2439+O2439),"")</f>
        <v/>
      </c>
      <c r="Q2439" s="60" t="str">
        <f aca="false">IF(IsPro,IF($D2439="","",IFERROR(MATCH($D2439,Items!$A$5:$A$504,0),"")),"")</f>
        <v/>
      </c>
      <c r="R2439" s="60" t="str">
        <f aca="false">IF(IsPro,IF($C2439="","",IFERROR(MATCH($C2439,Parties!$A$5:$A$304,0),"")),"")</f>
        <v/>
      </c>
      <c r="S2439" s="61" t="str">
        <f aca="false">IF(IsPro,IF($D2439="","",IF(OR($H2439="",$H2439="Credit"),0,P2439)),"")</f>
        <v/>
      </c>
    </row>
    <row r="2440" customFormat="false" ht="15" hidden="false" customHeight="false" outlineLevel="0" collapsed="false">
      <c r="A2440" s="55"/>
      <c r="B2440" s="56"/>
      <c r="C2440" s="56"/>
      <c r="D2440" s="56"/>
      <c r="E2440" s="57"/>
      <c r="F2440" s="58"/>
      <c r="G2440" s="59"/>
      <c r="H2440" s="56"/>
      <c r="I2440" s="60" t="str">
        <f aca="false">IF(IsPro,IF($D2440="","",IFERROR(INDEX(Items!$D$5:$D$504,Q2440),"")),IF($D2440="","","PRO PLAN"))</f>
        <v/>
      </c>
      <c r="J2440" s="61" t="str">
        <f aca="false">IF(IsPro,IF($D2440="","",IF($F2440="",IFERROR(INDEX(Items!$G$5:$G$504,Q2440),0),$F2440)),"")</f>
        <v/>
      </c>
      <c r="K2440" s="61" t="str">
        <f aca="false">IF(IsPro,IF($D2440="","",ROUND(N($E2440)*J2440*(1-N($G2440)),2)),"")</f>
        <v/>
      </c>
      <c r="L2440" s="62" t="str">
        <f aca="false">IF(IsPro,IF($D2440="","",IFERROR(INDEX(Items!$F$5:$F$504,Q2440),0)),"")</f>
        <v/>
      </c>
      <c r="M2440" s="61" t="str">
        <f aca="false">IF(IsPro,IF($D2440="","",IF(AND(R2440&lt;&gt;"",INDEX(Parties!$E$5:$E$304,R2440)&lt;&gt;"",INDEX(Parties!$E$5:$E$304,R2440)&lt;&gt;HomeState),0,ROUND(K2440*L2440/2,2))),"")</f>
        <v/>
      </c>
      <c r="N2440" s="61" t="str">
        <f aca="false">IF(IsPro,IF($D2440="","",M2440),"")</f>
        <v/>
      </c>
      <c r="O2440" s="61" t="str">
        <f aca="false">IF(IsPro,IF($D2440="","",IF(AND(R2440&lt;&gt;"",INDEX(Parties!$E$5:$E$304,R2440)&lt;&gt;"",INDEX(Parties!$E$5:$E$304,R2440)&lt;&gt;HomeState),ROUND(K2440*L2440,2),0)),"")</f>
        <v/>
      </c>
      <c r="P2440" s="61" t="str">
        <f aca="false">IF(IsPro,IF($D2440="","",K2440+M2440+N2440+O2440),"")</f>
        <v/>
      </c>
      <c r="Q2440" s="60" t="str">
        <f aca="false">IF(IsPro,IF($D2440="","",IFERROR(MATCH($D2440,Items!$A$5:$A$504,0),"")),"")</f>
        <v/>
      </c>
      <c r="R2440" s="60" t="str">
        <f aca="false">IF(IsPro,IF($C2440="","",IFERROR(MATCH($C2440,Parties!$A$5:$A$304,0),"")),"")</f>
        <v/>
      </c>
      <c r="S2440" s="61" t="str">
        <f aca="false">IF(IsPro,IF($D2440="","",IF(OR($H2440="",$H2440="Credit"),0,P2440)),"")</f>
        <v/>
      </c>
    </row>
    <row r="2441" customFormat="false" ht="15" hidden="false" customHeight="false" outlineLevel="0" collapsed="false">
      <c r="A2441" s="55"/>
      <c r="B2441" s="56"/>
      <c r="C2441" s="56"/>
      <c r="D2441" s="56"/>
      <c r="E2441" s="57"/>
      <c r="F2441" s="58"/>
      <c r="G2441" s="59"/>
      <c r="H2441" s="56"/>
      <c r="I2441" s="60" t="str">
        <f aca="false">IF(IsPro,IF($D2441="","",IFERROR(INDEX(Items!$D$5:$D$504,Q2441),"")),IF($D2441="","","PRO PLAN"))</f>
        <v/>
      </c>
      <c r="J2441" s="61" t="str">
        <f aca="false">IF(IsPro,IF($D2441="","",IF($F2441="",IFERROR(INDEX(Items!$G$5:$G$504,Q2441),0),$F2441)),"")</f>
        <v/>
      </c>
      <c r="K2441" s="61" t="str">
        <f aca="false">IF(IsPro,IF($D2441="","",ROUND(N($E2441)*J2441*(1-N($G2441)),2)),"")</f>
        <v/>
      </c>
      <c r="L2441" s="62" t="str">
        <f aca="false">IF(IsPro,IF($D2441="","",IFERROR(INDEX(Items!$F$5:$F$504,Q2441),0)),"")</f>
        <v/>
      </c>
      <c r="M2441" s="61" t="str">
        <f aca="false">IF(IsPro,IF($D2441="","",IF(AND(R2441&lt;&gt;"",INDEX(Parties!$E$5:$E$304,R2441)&lt;&gt;"",INDEX(Parties!$E$5:$E$304,R2441)&lt;&gt;HomeState),0,ROUND(K2441*L2441/2,2))),"")</f>
        <v/>
      </c>
      <c r="N2441" s="61" t="str">
        <f aca="false">IF(IsPro,IF($D2441="","",M2441),"")</f>
        <v/>
      </c>
      <c r="O2441" s="61" t="str">
        <f aca="false">IF(IsPro,IF($D2441="","",IF(AND(R2441&lt;&gt;"",INDEX(Parties!$E$5:$E$304,R2441)&lt;&gt;"",INDEX(Parties!$E$5:$E$304,R2441)&lt;&gt;HomeState),ROUND(K2441*L2441,2),0)),"")</f>
        <v/>
      </c>
      <c r="P2441" s="61" t="str">
        <f aca="false">IF(IsPro,IF($D2441="","",K2441+M2441+N2441+O2441),"")</f>
        <v/>
      </c>
      <c r="Q2441" s="60" t="str">
        <f aca="false">IF(IsPro,IF($D2441="","",IFERROR(MATCH($D2441,Items!$A$5:$A$504,0),"")),"")</f>
        <v/>
      </c>
      <c r="R2441" s="60" t="str">
        <f aca="false">IF(IsPro,IF($C2441="","",IFERROR(MATCH($C2441,Parties!$A$5:$A$304,0),"")),"")</f>
        <v/>
      </c>
      <c r="S2441" s="61" t="str">
        <f aca="false">IF(IsPro,IF($D2441="","",IF(OR($H2441="",$H2441="Credit"),0,P2441)),"")</f>
        <v/>
      </c>
    </row>
    <row r="2442" customFormat="false" ht="15" hidden="false" customHeight="false" outlineLevel="0" collapsed="false">
      <c r="A2442" s="55"/>
      <c r="B2442" s="56"/>
      <c r="C2442" s="56"/>
      <c r="D2442" s="56"/>
      <c r="E2442" s="57"/>
      <c r="F2442" s="58"/>
      <c r="G2442" s="59"/>
      <c r="H2442" s="56"/>
      <c r="I2442" s="60" t="str">
        <f aca="false">IF(IsPro,IF($D2442="","",IFERROR(INDEX(Items!$D$5:$D$504,Q2442),"")),IF($D2442="","","PRO PLAN"))</f>
        <v/>
      </c>
      <c r="J2442" s="61" t="str">
        <f aca="false">IF(IsPro,IF($D2442="","",IF($F2442="",IFERROR(INDEX(Items!$G$5:$G$504,Q2442),0),$F2442)),"")</f>
        <v/>
      </c>
      <c r="K2442" s="61" t="str">
        <f aca="false">IF(IsPro,IF($D2442="","",ROUND(N($E2442)*J2442*(1-N($G2442)),2)),"")</f>
        <v/>
      </c>
      <c r="L2442" s="62" t="str">
        <f aca="false">IF(IsPro,IF($D2442="","",IFERROR(INDEX(Items!$F$5:$F$504,Q2442),0)),"")</f>
        <v/>
      </c>
      <c r="M2442" s="61" t="str">
        <f aca="false">IF(IsPro,IF($D2442="","",IF(AND(R2442&lt;&gt;"",INDEX(Parties!$E$5:$E$304,R2442)&lt;&gt;"",INDEX(Parties!$E$5:$E$304,R2442)&lt;&gt;HomeState),0,ROUND(K2442*L2442/2,2))),"")</f>
        <v/>
      </c>
      <c r="N2442" s="61" t="str">
        <f aca="false">IF(IsPro,IF($D2442="","",M2442),"")</f>
        <v/>
      </c>
      <c r="O2442" s="61" t="str">
        <f aca="false">IF(IsPro,IF($D2442="","",IF(AND(R2442&lt;&gt;"",INDEX(Parties!$E$5:$E$304,R2442)&lt;&gt;"",INDEX(Parties!$E$5:$E$304,R2442)&lt;&gt;HomeState),ROUND(K2442*L2442,2),0)),"")</f>
        <v/>
      </c>
      <c r="P2442" s="61" t="str">
        <f aca="false">IF(IsPro,IF($D2442="","",K2442+M2442+N2442+O2442),"")</f>
        <v/>
      </c>
      <c r="Q2442" s="60" t="str">
        <f aca="false">IF(IsPro,IF($D2442="","",IFERROR(MATCH($D2442,Items!$A$5:$A$504,0),"")),"")</f>
        <v/>
      </c>
      <c r="R2442" s="60" t="str">
        <f aca="false">IF(IsPro,IF($C2442="","",IFERROR(MATCH($C2442,Parties!$A$5:$A$304,0),"")),"")</f>
        <v/>
      </c>
      <c r="S2442" s="61" t="str">
        <f aca="false">IF(IsPro,IF($D2442="","",IF(OR($H2442="",$H2442="Credit"),0,P2442)),"")</f>
        <v/>
      </c>
    </row>
    <row r="2443" customFormat="false" ht="15" hidden="false" customHeight="false" outlineLevel="0" collapsed="false">
      <c r="A2443" s="55"/>
      <c r="B2443" s="56"/>
      <c r="C2443" s="56"/>
      <c r="D2443" s="56"/>
      <c r="E2443" s="57"/>
      <c r="F2443" s="58"/>
      <c r="G2443" s="59"/>
      <c r="H2443" s="56"/>
      <c r="I2443" s="60" t="str">
        <f aca="false">IF(IsPro,IF($D2443="","",IFERROR(INDEX(Items!$D$5:$D$504,Q2443),"")),IF($D2443="","","PRO PLAN"))</f>
        <v/>
      </c>
      <c r="J2443" s="61" t="str">
        <f aca="false">IF(IsPro,IF($D2443="","",IF($F2443="",IFERROR(INDEX(Items!$G$5:$G$504,Q2443),0),$F2443)),"")</f>
        <v/>
      </c>
      <c r="K2443" s="61" t="str">
        <f aca="false">IF(IsPro,IF($D2443="","",ROUND(N($E2443)*J2443*(1-N($G2443)),2)),"")</f>
        <v/>
      </c>
      <c r="L2443" s="62" t="str">
        <f aca="false">IF(IsPro,IF($D2443="","",IFERROR(INDEX(Items!$F$5:$F$504,Q2443),0)),"")</f>
        <v/>
      </c>
      <c r="M2443" s="61" t="str">
        <f aca="false">IF(IsPro,IF($D2443="","",IF(AND(R2443&lt;&gt;"",INDEX(Parties!$E$5:$E$304,R2443)&lt;&gt;"",INDEX(Parties!$E$5:$E$304,R2443)&lt;&gt;HomeState),0,ROUND(K2443*L2443/2,2))),"")</f>
        <v/>
      </c>
      <c r="N2443" s="61" t="str">
        <f aca="false">IF(IsPro,IF($D2443="","",M2443),"")</f>
        <v/>
      </c>
      <c r="O2443" s="61" t="str">
        <f aca="false">IF(IsPro,IF($D2443="","",IF(AND(R2443&lt;&gt;"",INDEX(Parties!$E$5:$E$304,R2443)&lt;&gt;"",INDEX(Parties!$E$5:$E$304,R2443)&lt;&gt;HomeState),ROUND(K2443*L2443,2),0)),"")</f>
        <v/>
      </c>
      <c r="P2443" s="61" t="str">
        <f aca="false">IF(IsPro,IF($D2443="","",K2443+M2443+N2443+O2443),"")</f>
        <v/>
      </c>
      <c r="Q2443" s="60" t="str">
        <f aca="false">IF(IsPro,IF($D2443="","",IFERROR(MATCH($D2443,Items!$A$5:$A$504,0),"")),"")</f>
        <v/>
      </c>
      <c r="R2443" s="60" t="str">
        <f aca="false">IF(IsPro,IF($C2443="","",IFERROR(MATCH($C2443,Parties!$A$5:$A$304,0),"")),"")</f>
        <v/>
      </c>
      <c r="S2443" s="61" t="str">
        <f aca="false">IF(IsPro,IF($D2443="","",IF(OR($H2443="",$H2443="Credit"),0,P2443)),"")</f>
        <v/>
      </c>
    </row>
    <row r="2444" customFormat="false" ht="15" hidden="false" customHeight="false" outlineLevel="0" collapsed="false">
      <c r="A2444" s="55"/>
      <c r="B2444" s="56"/>
      <c r="C2444" s="56"/>
      <c r="D2444" s="56"/>
      <c r="E2444" s="57"/>
      <c r="F2444" s="58"/>
      <c r="G2444" s="59"/>
      <c r="H2444" s="56"/>
      <c r="I2444" s="60" t="str">
        <f aca="false">IF(IsPro,IF($D2444="","",IFERROR(INDEX(Items!$D$5:$D$504,Q2444),"")),IF($D2444="","","PRO PLAN"))</f>
        <v/>
      </c>
      <c r="J2444" s="61" t="str">
        <f aca="false">IF(IsPro,IF($D2444="","",IF($F2444="",IFERROR(INDEX(Items!$G$5:$G$504,Q2444),0),$F2444)),"")</f>
        <v/>
      </c>
      <c r="K2444" s="61" t="str">
        <f aca="false">IF(IsPro,IF($D2444="","",ROUND(N($E2444)*J2444*(1-N($G2444)),2)),"")</f>
        <v/>
      </c>
      <c r="L2444" s="62" t="str">
        <f aca="false">IF(IsPro,IF($D2444="","",IFERROR(INDEX(Items!$F$5:$F$504,Q2444),0)),"")</f>
        <v/>
      </c>
      <c r="M2444" s="61" t="str">
        <f aca="false">IF(IsPro,IF($D2444="","",IF(AND(R2444&lt;&gt;"",INDEX(Parties!$E$5:$E$304,R2444)&lt;&gt;"",INDEX(Parties!$E$5:$E$304,R2444)&lt;&gt;HomeState),0,ROUND(K2444*L2444/2,2))),"")</f>
        <v/>
      </c>
      <c r="N2444" s="61" t="str">
        <f aca="false">IF(IsPro,IF($D2444="","",M2444),"")</f>
        <v/>
      </c>
      <c r="O2444" s="61" t="str">
        <f aca="false">IF(IsPro,IF($D2444="","",IF(AND(R2444&lt;&gt;"",INDEX(Parties!$E$5:$E$304,R2444)&lt;&gt;"",INDEX(Parties!$E$5:$E$304,R2444)&lt;&gt;HomeState),ROUND(K2444*L2444,2),0)),"")</f>
        <v/>
      </c>
      <c r="P2444" s="61" t="str">
        <f aca="false">IF(IsPro,IF($D2444="","",K2444+M2444+N2444+O2444),"")</f>
        <v/>
      </c>
      <c r="Q2444" s="60" t="str">
        <f aca="false">IF(IsPro,IF($D2444="","",IFERROR(MATCH($D2444,Items!$A$5:$A$504,0),"")),"")</f>
        <v/>
      </c>
      <c r="R2444" s="60" t="str">
        <f aca="false">IF(IsPro,IF($C2444="","",IFERROR(MATCH($C2444,Parties!$A$5:$A$304,0),"")),"")</f>
        <v/>
      </c>
      <c r="S2444" s="61" t="str">
        <f aca="false">IF(IsPro,IF($D2444="","",IF(OR($H2444="",$H2444="Credit"),0,P2444)),"")</f>
        <v/>
      </c>
    </row>
    <row r="2445" customFormat="false" ht="15" hidden="false" customHeight="false" outlineLevel="0" collapsed="false">
      <c r="A2445" s="55"/>
      <c r="B2445" s="56"/>
      <c r="C2445" s="56"/>
      <c r="D2445" s="56"/>
      <c r="E2445" s="57"/>
      <c r="F2445" s="58"/>
      <c r="G2445" s="59"/>
      <c r="H2445" s="56"/>
      <c r="I2445" s="60" t="str">
        <f aca="false">IF(IsPro,IF($D2445="","",IFERROR(INDEX(Items!$D$5:$D$504,Q2445),"")),IF($D2445="","","PRO PLAN"))</f>
        <v/>
      </c>
      <c r="J2445" s="61" t="str">
        <f aca="false">IF(IsPro,IF($D2445="","",IF($F2445="",IFERROR(INDEX(Items!$G$5:$G$504,Q2445),0),$F2445)),"")</f>
        <v/>
      </c>
      <c r="K2445" s="61" t="str">
        <f aca="false">IF(IsPro,IF($D2445="","",ROUND(N($E2445)*J2445*(1-N($G2445)),2)),"")</f>
        <v/>
      </c>
      <c r="L2445" s="62" t="str">
        <f aca="false">IF(IsPro,IF($D2445="","",IFERROR(INDEX(Items!$F$5:$F$504,Q2445),0)),"")</f>
        <v/>
      </c>
      <c r="M2445" s="61" t="str">
        <f aca="false">IF(IsPro,IF($D2445="","",IF(AND(R2445&lt;&gt;"",INDEX(Parties!$E$5:$E$304,R2445)&lt;&gt;"",INDEX(Parties!$E$5:$E$304,R2445)&lt;&gt;HomeState),0,ROUND(K2445*L2445/2,2))),"")</f>
        <v/>
      </c>
      <c r="N2445" s="61" t="str">
        <f aca="false">IF(IsPro,IF($D2445="","",M2445),"")</f>
        <v/>
      </c>
      <c r="O2445" s="61" t="str">
        <f aca="false">IF(IsPro,IF($D2445="","",IF(AND(R2445&lt;&gt;"",INDEX(Parties!$E$5:$E$304,R2445)&lt;&gt;"",INDEX(Parties!$E$5:$E$304,R2445)&lt;&gt;HomeState),ROUND(K2445*L2445,2),0)),"")</f>
        <v/>
      </c>
      <c r="P2445" s="61" t="str">
        <f aca="false">IF(IsPro,IF($D2445="","",K2445+M2445+N2445+O2445),"")</f>
        <v/>
      </c>
      <c r="Q2445" s="60" t="str">
        <f aca="false">IF(IsPro,IF($D2445="","",IFERROR(MATCH($D2445,Items!$A$5:$A$504,0),"")),"")</f>
        <v/>
      </c>
      <c r="R2445" s="60" t="str">
        <f aca="false">IF(IsPro,IF($C2445="","",IFERROR(MATCH($C2445,Parties!$A$5:$A$304,0),"")),"")</f>
        <v/>
      </c>
      <c r="S2445" s="61" t="str">
        <f aca="false">IF(IsPro,IF($D2445="","",IF(OR($H2445="",$H2445="Credit"),0,P2445)),"")</f>
        <v/>
      </c>
    </row>
    <row r="2446" customFormat="false" ht="15" hidden="false" customHeight="false" outlineLevel="0" collapsed="false">
      <c r="A2446" s="55"/>
      <c r="B2446" s="56"/>
      <c r="C2446" s="56"/>
      <c r="D2446" s="56"/>
      <c r="E2446" s="57"/>
      <c r="F2446" s="58"/>
      <c r="G2446" s="59"/>
      <c r="H2446" s="56"/>
      <c r="I2446" s="60" t="str">
        <f aca="false">IF(IsPro,IF($D2446="","",IFERROR(INDEX(Items!$D$5:$D$504,Q2446),"")),IF($D2446="","","PRO PLAN"))</f>
        <v/>
      </c>
      <c r="J2446" s="61" t="str">
        <f aca="false">IF(IsPro,IF($D2446="","",IF($F2446="",IFERROR(INDEX(Items!$G$5:$G$504,Q2446),0),$F2446)),"")</f>
        <v/>
      </c>
      <c r="K2446" s="61" t="str">
        <f aca="false">IF(IsPro,IF($D2446="","",ROUND(N($E2446)*J2446*(1-N($G2446)),2)),"")</f>
        <v/>
      </c>
      <c r="L2446" s="62" t="str">
        <f aca="false">IF(IsPro,IF($D2446="","",IFERROR(INDEX(Items!$F$5:$F$504,Q2446),0)),"")</f>
        <v/>
      </c>
      <c r="M2446" s="61" t="str">
        <f aca="false">IF(IsPro,IF($D2446="","",IF(AND(R2446&lt;&gt;"",INDEX(Parties!$E$5:$E$304,R2446)&lt;&gt;"",INDEX(Parties!$E$5:$E$304,R2446)&lt;&gt;HomeState),0,ROUND(K2446*L2446/2,2))),"")</f>
        <v/>
      </c>
      <c r="N2446" s="61" t="str">
        <f aca="false">IF(IsPro,IF($D2446="","",M2446),"")</f>
        <v/>
      </c>
      <c r="O2446" s="61" t="str">
        <f aca="false">IF(IsPro,IF($D2446="","",IF(AND(R2446&lt;&gt;"",INDEX(Parties!$E$5:$E$304,R2446)&lt;&gt;"",INDEX(Parties!$E$5:$E$304,R2446)&lt;&gt;HomeState),ROUND(K2446*L2446,2),0)),"")</f>
        <v/>
      </c>
      <c r="P2446" s="61" t="str">
        <f aca="false">IF(IsPro,IF($D2446="","",K2446+M2446+N2446+O2446),"")</f>
        <v/>
      </c>
      <c r="Q2446" s="60" t="str">
        <f aca="false">IF(IsPro,IF($D2446="","",IFERROR(MATCH($D2446,Items!$A$5:$A$504,0),"")),"")</f>
        <v/>
      </c>
      <c r="R2446" s="60" t="str">
        <f aca="false">IF(IsPro,IF($C2446="","",IFERROR(MATCH($C2446,Parties!$A$5:$A$304,0),"")),"")</f>
        <v/>
      </c>
      <c r="S2446" s="61" t="str">
        <f aca="false">IF(IsPro,IF($D2446="","",IF(OR($H2446="",$H2446="Credit"),0,P2446)),"")</f>
        <v/>
      </c>
    </row>
    <row r="2447" customFormat="false" ht="15" hidden="false" customHeight="false" outlineLevel="0" collapsed="false">
      <c r="A2447" s="55"/>
      <c r="B2447" s="56"/>
      <c r="C2447" s="56"/>
      <c r="D2447" s="56"/>
      <c r="E2447" s="57"/>
      <c r="F2447" s="58"/>
      <c r="G2447" s="59"/>
      <c r="H2447" s="56"/>
      <c r="I2447" s="60" t="str">
        <f aca="false">IF(IsPro,IF($D2447="","",IFERROR(INDEX(Items!$D$5:$D$504,Q2447),"")),IF($D2447="","","PRO PLAN"))</f>
        <v/>
      </c>
      <c r="J2447" s="61" t="str">
        <f aca="false">IF(IsPro,IF($D2447="","",IF($F2447="",IFERROR(INDEX(Items!$G$5:$G$504,Q2447),0),$F2447)),"")</f>
        <v/>
      </c>
      <c r="K2447" s="61" t="str">
        <f aca="false">IF(IsPro,IF($D2447="","",ROUND(N($E2447)*J2447*(1-N($G2447)),2)),"")</f>
        <v/>
      </c>
      <c r="L2447" s="62" t="str">
        <f aca="false">IF(IsPro,IF($D2447="","",IFERROR(INDEX(Items!$F$5:$F$504,Q2447),0)),"")</f>
        <v/>
      </c>
      <c r="M2447" s="61" t="str">
        <f aca="false">IF(IsPro,IF($D2447="","",IF(AND(R2447&lt;&gt;"",INDEX(Parties!$E$5:$E$304,R2447)&lt;&gt;"",INDEX(Parties!$E$5:$E$304,R2447)&lt;&gt;HomeState),0,ROUND(K2447*L2447/2,2))),"")</f>
        <v/>
      </c>
      <c r="N2447" s="61" t="str">
        <f aca="false">IF(IsPro,IF($D2447="","",M2447),"")</f>
        <v/>
      </c>
      <c r="O2447" s="61" t="str">
        <f aca="false">IF(IsPro,IF($D2447="","",IF(AND(R2447&lt;&gt;"",INDEX(Parties!$E$5:$E$304,R2447)&lt;&gt;"",INDEX(Parties!$E$5:$E$304,R2447)&lt;&gt;HomeState),ROUND(K2447*L2447,2),0)),"")</f>
        <v/>
      </c>
      <c r="P2447" s="61" t="str">
        <f aca="false">IF(IsPro,IF($D2447="","",K2447+M2447+N2447+O2447),"")</f>
        <v/>
      </c>
      <c r="Q2447" s="60" t="str">
        <f aca="false">IF(IsPro,IF($D2447="","",IFERROR(MATCH($D2447,Items!$A$5:$A$504,0),"")),"")</f>
        <v/>
      </c>
      <c r="R2447" s="60" t="str">
        <f aca="false">IF(IsPro,IF($C2447="","",IFERROR(MATCH($C2447,Parties!$A$5:$A$304,0),"")),"")</f>
        <v/>
      </c>
      <c r="S2447" s="61" t="str">
        <f aca="false">IF(IsPro,IF($D2447="","",IF(OR($H2447="",$H2447="Credit"),0,P2447)),"")</f>
        <v/>
      </c>
    </row>
    <row r="2448" customFormat="false" ht="15" hidden="false" customHeight="false" outlineLevel="0" collapsed="false">
      <c r="A2448" s="55"/>
      <c r="B2448" s="56"/>
      <c r="C2448" s="56"/>
      <c r="D2448" s="56"/>
      <c r="E2448" s="57"/>
      <c r="F2448" s="58"/>
      <c r="G2448" s="59"/>
      <c r="H2448" s="56"/>
      <c r="I2448" s="60" t="str">
        <f aca="false">IF(IsPro,IF($D2448="","",IFERROR(INDEX(Items!$D$5:$D$504,Q2448),"")),IF($D2448="","","PRO PLAN"))</f>
        <v/>
      </c>
      <c r="J2448" s="61" t="str">
        <f aca="false">IF(IsPro,IF($D2448="","",IF($F2448="",IFERROR(INDEX(Items!$G$5:$G$504,Q2448),0),$F2448)),"")</f>
        <v/>
      </c>
      <c r="K2448" s="61" t="str">
        <f aca="false">IF(IsPro,IF($D2448="","",ROUND(N($E2448)*J2448*(1-N($G2448)),2)),"")</f>
        <v/>
      </c>
      <c r="L2448" s="62" t="str">
        <f aca="false">IF(IsPro,IF($D2448="","",IFERROR(INDEX(Items!$F$5:$F$504,Q2448),0)),"")</f>
        <v/>
      </c>
      <c r="M2448" s="61" t="str">
        <f aca="false">IF(IsPro,IF($D2448="","",IF(AND(R2448&lt;&gt;"",INDEX(Parties!$E$5:$E$304,R2448)&lt;&gt;"",INDEX(Parties!$E$5:$E$304,R2448)&lt;&gt;HomeState),0,ROUND(K2448*L2448/2,2))),"")</f>
        <v/>
      </c>
      <c r="N2448" s="61" t="str">
        <f aca="false">IF(IsPro,IF($D2448="","",M2448),"")</f>
        <v/>
      </c>
      <c r="O2448" s="61" t="str">
        <f aca="false">IF(IsPro,IF($D2448="","",IF(AND(R2448&lt;&gt;"",INDEX(Parties!$E$5:$E$304,R2448)&lt;&gt;"",INDEX(Parties!$E$5:$E$304,R2448)&lt;&gt;HomeState),ROUND(K2448*L2448,2),0)),"")</f>
        <v/>
      </c>
      <c r="P2448" s="61" t="str">
        <f aca="false">IF(IsPro,IF($D2448="","",K2448+M2448+N2448+O2448),"")</f>
        <v/>
      </c>
      <c r="Q2448" s="60" t="str">
        <f aca="false">IF(IsPro,IF($D2448="","",IFERROR(MATCH($D2448,Items!$A$5:$A$504,0),"")),"")</f>
        <v/>
      </c>
      <c r="R2448" s="60" t="str">
        <f aca="false">IF(IsPro,IF($C2448="","",IFERROR(MATCH($C2448,Parties!$A$5:$A$304,0),"")),"")</f>
        <v/>
      </c>
      <c r="S2448" s="61" t="str">
        <f aca="false">IF(IsPro,IF($D2448="","",IF(OR($H2448="",$H2448="Credit"),0,P2448)),"")</f>
        <v/>
      </c>
    </row>
    <row r="2449" customFormat="false" ht="15" hidden="false" customHeight="false" outlineLevel="0" collapsed="false">
      <c r="A2449" s="55"/>
      <c r="B2449" s="56"/>
      <c r="C2449" s="56"/>
      <c r="D2449" s="56"/>
      <c r="E2449" s="57"/>
      <c r="F2449" s="58"/>
      <c r="G2449" s="59"/>
      <c r="H2449" s="56"/>
      <c r="I2449" s="60" t="str">
        <f aca="false">IF(IsPro,IF($D2449="","",IFERROR(INDEX(Items!$D$5:$D$504,Q2449),"")),IF($D2449="","","PRO PLAN"))</f>
        <v/>
      </c>
      <c r="J2449" s="61" t="str">
        <f aca="false">IF(IsPro,IF($D2449="","",IF($F2449="",IFERROR(INDEX(Items!$G$5:$G$504,Q2449),0),$F2449)),"")</f>
        <v/>
      </c>
      <c r="K2449" s="61" t="str">
        <f aca="false">IF(IsPro,IF($D2449="","",ROUND(N($E2449)*J2449*(1-N($G2449)),2)),"")</f>
        <v/>
      </c>
      <c r="L2449" s="62" t="str">
        <f aca="false">IF(IsPro,IF($D2449="","",IFERROR(INDEX(Items!$F$5:$F$504,Q2449),0)),"")</f>
        <v/>
      </c>
      <c r="M2449" s="61" t="str">
        <f aca="false">IF(IsPro,IF($D2449="","",IF(AND(R2449&lt;&gt;"",INDEX(Parties!$E$5:$E$304,R2449)&lt;&gt;"",INDEX(Parties!$E$5:$E$304,R2449)&lt;&gt;HomeState),0,ROUND(K2449*L2449/2,2))),"")</f>
        <v/>
      </c>
      <c r="N2449" s="61" t="str">
        <f aca="false">IF(IsPro,IF($D2449="","",M2449),"")</f>
        <v/>
      </c>
      <c r="O2449" s="61" t="str">
        <f aca="false">IF(IsPro,IF($D2449="","",IF(AND(R2449&lt;&gt;"",INDEX(Parties!$E$5:$E$304,R2449)&lt;&gt;"",INDEX(Parties!$E$5:$E$304,R2449)&lt;&gt;HomeState),ROUND(K2449*L2449,2),0)),"")</f>
        <v/>
      </c>
      <c r="P2449" s="61" t="str">
        <f aca="false">IF(IsPro,IF($D2449="","",K2449+M2449+N2449+O2449),"")</f>
        <v/>
      </c>
      <c r="Q2449" s="60" t="str">
        <f aca="false">IF(IsPro,IF($D2449="","",IFERROR(MATCH($D2449,Items!$A$5:$A$504,0),"")),"")</f>
        <v/>
      </c>
      <c r="R2449" s="60" t="str">
        <f aca="false">IF(IsPro,IF($C2449="","",IFERROR(MATCH($C2449,Parties!$A$5:$A$304,0),"")),"")</f>
        <v/>
      </c>
      <c r="S2449" s="61" t="str">
        <f aca="false">IF(IsPro,IF($D2449="","",IF(OR($H2449="",$H2449="Credit"),0,P2449)),"")</f>
        <v/>
      </c>
    </row>
    <row r="2450" customFormat="false" ht="15" hidden="false" customHeight="false" outlineLevel="0" collapsed="false">
      <c r="A2450" s="55"/>
      <c r="B2450" s="56"/>
      <c r="C2450" s="56"/>
      <c r="D2450" s="56"/>
      <c r="E2450" s="57"/>
      <c r="F2450" s="58"/>
      <c r="G2450" s="59"/>
      <c r="H2450" s="56"/>
      <c r="I2450" s="60" t="str">
        <f aca="false">IF(IsPro,IF($D2450="","",IFERROR(INDEX(Items!$D$5:$D$504,Q2450),"")),IF($D2450="","","PRO PLAN"))</f>
        <v/>
      </c>
      <c r="J2450" s="61" t="str">
        <f aca="false">IF(IsPro,IF($D2450="","",IF($F2450="",IFERROR(INDEX(Items!$G$5:$G$504,Q2450),0),$F2450)),"")</f>
        <v/>
      </c>
      <c r="K2450" s="61" t="str">
        <f aca="false">IF(IsPro,IF($D2450="","",ROUND(N($E2450)*J2450*(1-N($G2450)),2)),"")</f>
        <v/>
      </c>
      <c r="L2450" s="62" t="str">
        <f aca="false">IF(IsPro,IF($D2450="","",IFERROR(INDEX(Items!$F$5:$F$504,Q2450),0)),"")</f>
        <v/>
      </c>
      <c r="M2450" s="61" t="str">
        <f aca="false">IF(IsPro,IF($D2450="","",IF(AND(R2450&lt;&gt;"",INDEX(Parties!$E$5:$E$304,R2450)&lt;&gt;"",INDEX(Parties!$E$5:$E$304,R2450)&lt;&gt;HomeState),0,ROUND(K2450*L2450/2,2))),"")</f>
        <v/>
      </c>
      <c r="N2450" s="61" t="str">
        <f aca="false">IF(IsPro,IF($D2450="","",M2450),"")</f>
        <v/>
      </c>
      <c r="O2450" s="61" t="str">
        <f aca="false">IF(IsPro,IF($D2450="","",IF(AND(R2450&lt;&gt;"",INDEX(Parties!$E$5:$E$304,R2450)&lt;&gt;"",INDEX(Parties!$E$5:$E$304,R2450)&lt;&gt;HomeState),ROUND(K2450*L2450,2),0)),"")</f>
        <v/>
      </c>
      <c r="P2450" s="61" t="str">
        <f aca="false">IF(IsPro,IF($D2450="","",K2450+M2450+N2450+O2450),"")</f>
        <v/>
      </c>
      <c r="Q2450" s="60" t="str">
        <f aca="false">IF(IsPro,IF($D2450="","",IFERROR(MATCH($D2450,Items!$A$5:$A$504,0),"")),"")</f>
        <v/>
      </c>
      <c r="R2450" s="60" t="str">
        <f aca="false">IF(IsPro,IF($C2450="","",IFERROR(MATCH($C2450,Parties!$A$5:$A$304,0),"")),"")</f>
        <v/>
      </c>
      <c r="S2450" s="61" t="str">
        <f aca="false">IF(IsPro,IF($D2450="","",IF(OR($H2450="",$H2450="Credit"),0,P2450)),"")</f>
        <v/>
      </c>
    </row>
    <row r="2451" customFormat="false" ht="15" hidden="false" customHeight="false" outlineLevel="0" collapsed="false">
      <c r="A2451" s="55"/>
      <c r="B2451" s="56"/>
      <c r="C2451" s="56"/>
      <c r="D2451" s="56"/>
      <c r="E2451" s="57"/>
      <c r="F2451" s="58"/>
      <c r="G2451" s="59"/>
      <c r="H2451" s="56"/>
      <c r="I2451" s="60" t="str">
        <f aca="false">IF(IsPro,IF($D2451="","",IFERROR(INDEX(Items!$D$5:$D$504,Q2451),"")),IF($D2451="","","PRO PLAN"))</f>
        <v/>
      </c>
      <c r="J2451" s="61" t="str">
        <f aca="false">IF(IsPro,IF($D2451="","",IF($F2451="",IFERROR(INDEX(Items!$G$5:$G$504,Q2451),0),$F2451)),"")</f>
        <v/>
      </c>
      <c r="K2451" s="61" t="str">
        <f aca="false">IF(IsPro,IF($D2451="","",ROUND(N($E2451)*J2451*(1-N($G2451)),2)),"")</f>
        <v/>
      </c>
      <c r="L2451" s="62" t="str">
        <f aca="false">IF(IsPro,IF($D2451="","",IFERROR(INDEX(Items!$F$5:$F$504,Q2451),0)),"")</f>
        <v/>
      </c>
      <c r="M2451" s="61" t="str">
        <f aca="false">IF(IsPro,IF($D2451="","",IF(AND(R2451&lt;&gt;"",INDEX(Parties!$E$5:$E$304,R2451)&lt;&gt;"",INDEX(Parties!$E$5:$E$304,R2451)&lt;&gt;HomeState),0,ROUND(K2451*L2451/2,2))),"")</f>
        <v/>
      </c>
      <c r="N2451" s="61" t="str">
        <f aca="false">IF(IsPro,IF($D2451="","",M2451),"")</f>
        <v/>
      </c>
      <c r="O2451" s="61" t="str">
        <f aca="false">IF(IsPro,IF($D2451="","",IF(AND(R2451&lt;&gt;"",INDEX(Parties!$E$5:$E$304,R2451)&lt;&gt;"",INDEX(Parties!$E$5:$E$304,R2451)&lt;&gt;HomeState),ROUND(K2451*L2451,2),0)),"")</f>
        <v/>
      </c>
      <c r="P2451" s="61" t="str">
        <f aca="false">IF(IsPro,IF($D2451="","",K2451+M2451+N2451+O2451),"")</f>
        <v/>
      </c>
      <c r="Q2451" s="60" t="str">
        <f aca="false">IF(IsPro,IF($D2451="","",IFERROR(MATCH($D2451,Items!$A$5:$A$504,0),"")),"")</f>
        <v/>
      </c>
      <c r="R2451" s="60" t="str">
        <f aca="false">IF(IsPro,IF($C2451="","",IFERROR(MATCH($C2451,Parties!$A$5:$A$304,0),"")),"")</f>
        <v/>
      </c>
      <c r="S2451" s="61" t="str">
        <f aca="false">IF(IsPro,IF($D2451="","",IF(OR($H2451="",$H2451="Credit"),0,P2451)),"")</f>
        <v/>
      </c>
    </row>
    <row r="2452" customFormat="false" ht="15" hidden="false" customHeight="false" outlineLevel="0" collapsed="false">
      <c r="A2452" s="55"/>
      <c r="B2452" s="56"/>
      <c r="C2452" s="56"/>
      <c r="D2452" s="56"/>
      <c r="E2452" s="57"/>
      <c r="F2452" s="58"/>
      <c r="G2452" s="59"/>
      <c r="H2452" s="56"/>
      <c r="I2452" s="60" t="str">
        <f aca="false">IF(IsPro,IF($D2452="","",IFERROR(INDEX(Items!$D$5:$D$504,Q2452),"")),IF($D2452="","","PRO PLAN"))</f>
        <v/>
      </c>
      <c r="J2452" s="61" t="str">
        <f aca="false">IF(IsPro,IF($D2452="","",IF($F2452="",IFERROR(INDEX(Items!$G$5:$G$504,Q2452),0),$F2452)),"")</f>
        <v/>
      </c>
      <c r="K2452" s="61" t="str">
        <f aca="false">IF(IsPro,IF($D2452="","",ROUND(N($E2452)*J2452*(1-N($G2452)),2)),"")</f>
        <v/>
      </c>
      <c r="L2452" s="62" t="str">
        <f aca="false">IF(IsPro,IF($D2452="","",IFERROR(INDEX(Items!$F$5:$F$504,Q2452),0)),"")</f>
        <v/>
      </c>
      <c r="M2452" s="61" t="str">
        <f aca="false">IF(IsPro,IF($D2452="","",IF(AND(R2452&lt;&gt;"",INDEX(Parties!$E$5:$E$304,R2452)&lt;&gt;"",INDEX(Parties!$E$5:$E$304,R2452)&lt;&gt;HomeState),0,ROUND(K2452*L2452/2,2))),"")</f>
        <v/>
      </c>
      <c r="N2452" s="61" t="str">
        <f aca="false">IF(IsPro,IF($D2452="","",M2452),"")</f>
        <v/>
      </c>
      <c r="O2452" s="61" t="str">
        <f aca="false">IF(IsPro,IF($D2452="","",IF(AND(R2452&lt;&gt;"",INDEX(Parties!$E$5:$E$304,R2452)&lt;&gt;"",INDEX(Parties!$E$5:$E$304,R2452)&lt;&gt;HomeState),ROUND(K2452*L2452,2),0)),"")</f>
        <v/>
      </c>
      <c r="P2452" s="61" t="str">
        <f aca="false">IF(IsPro,IF($D2452="","",K2452+M2452+N2452+O2452),"")</f>
        <v/>
      </c>
      <c r="Q2452" s="60" t="str">
        <f aca="false">IF(IsPro,IF($D2452="","",IFERROR(MATCH($D2452,Items!$A$5:$A$504,0),"")),"")</f>
        <v/>
      </c>
      <c r="R2452" s="60" t="str">
        <f aca="false">IF(IsPro,IF($C2452="","",IFERROR(MATCH($C2452,Parties!$A$5:$A$304,0),"")),"")</f>
        <v/>
      </c>
      <c r="S2452" s="61" t="str">
        <f aca="false">IF(IsPro,IF($D2452="","",IF(OR($H2452="",$H2452="Credit"),0,P2452)),"")</f>
        <v/>
      </c>
    </row>
    <row r="2453" customFormat="false" ht="15" hidden="false" customHeight="false" outlineLevel="0" collapsed="false">
      <c r="A2453" s="55"/>
      <c r="B2453" s="56"/>
      <c r="C2453" s="56"/>
      <c r="D2453" s="56"/>
      <c r="E2453" s="57"/>
      <c r="F2453" s="58"/>
      <c r="G2453" s="59"/>
      <c r="H2453" s="56"/>
      <c r="I2453" s="60" t="str">
        <f aca="false">IF(IsPro,IF($D2453="","",IFERROR(INDEX(Items!$D$5:$D$504,Q2453),"")),IF($D2453="","","PRO PLAN"))</f>
        <v/>
      </c>
      <c r="J2453" s="61" t="str">
        <f aca="false">IF(IsPro,IF($D2453="","",IF($F2453="",IFERROR(INDEX(Items!$G$5:$G$504,Q2453),0),$F2453)),"")</f>
        <v/>
      </c>
      <c r="K2453" s="61" t="str">
        <f aca="false">IF(IsPro,IF($D2453="","",ROUND(N($E2453)*J2453*(1-N($G2453)),2)),"")</f>
        <v/>
      </c>
      <c r="L2453" s="62" t="str">
        <f aca="false">IF(IsPro,IF($D2453="","",IFERROR(INDEX(Items!$F$5:$F$504,Q2453),0)),"")</f>
        <v/>
      </c>
      <c r="M2453" s="61" t="str">
        <f aca="false">IF(IsPro,IF($D2453="","",IF(AND(R2453&lt;&gt;"",INDEX(Parties!$E$5:$E$304,R2453)&lt;&gt;"",INDEX(Parties!$E$5:$E$304,R2453)&lt;&gt;HomeState),0,ROUND(K2453*L2453/2,2))),"")</f>
        <v/>
      </c>
      <c r="N2453" s="61" t="str">
        <f aca="false">IF(IsPro,IF($D2453="","",M2453),"")</f>
        <v/>
      </c>
      <c r="O2453" s="61" t="str">
        <f aca="false">IF(IsPro,IF($D2453="","",IF(AND(R2453&lt;&gt;"",INDEX(Parties!$E$5:$E$304,R2453)&lt;&gt;"",INDEX(Parties!$E$5:$E$304,R2453)&lt;&gt;HomeState),ROUND(K2453*L2453,2),0)),"")</f>
        <v/>
      </c>
      <c r="P2453" s="61" t="str">
        <f aca="false">IF(IsPro,IF($D2453="","",K2453+M2453+N2453+O2453),"")</f>
        <v/>
      </c>
      <c r="Q2453" s="60" t="str">
        <f aca="false">IF(IsPro,IF($D2453="","",IFERROR(MATCH($D2453,Items!$A$5:$A$504,0),"")),"")</f>
        <v/>
      </c>
      <c r="R2453" s="60" t="str">
        <f aca="false">IF(IsPro,IF($C2453="","",IFERROR(MATCH($C2453,Parties!$A$5:$A$304,0),"")),"")</f>
        <v/>
      </c>
      <c r="S2453" s="61" t="str">
        <f aca="false">IF(IsPro,IF($D2453="","",IF(OR($H2453="",$H2453="Credit"),0,P2453)),"")</f>
        <v/>
      </c>
    </row>
    <row r="2454" customFormat="false" ht="15" hidden="false" customHeight="false" outlineLevel="0" collapsed="false">
      <c r="A2454" s="55"/>
      <c r="B2454" s="56"/>
      <c r="C2454" s="56"/>
      <c r="D2454" s="56"/>
      <c r="E2454" s="57"/>
      <c r="F2454" s="58"/>
      <c r="G2454" s="59"/>
      <c r="H2454" s="56"/>
      <c r="I2454" s="60" t="str">
        <f aca="false">IF(IsPro,IF($D2454="","",IFERROR(INDEX(Items!$D$5:$D$504,Q2454),"")),IF($D2454="","","PRO PLAN"))</f>
        <v/>
      </c>
      <c r="J2454" s="61" t="str">
        <f aca="false">IF(IsPro,IF($D2454="","",IF($F2454="",IFERROR(INDEX(Items!$G$5:$G$504,Q2454),0),$F2454)),"")</f>
        <v/>
      </c>
      <c r="K2454" s="61" t="str">
        <f aca="false">IF(IsPro,IF($D2454="","",ROUND(N($E2454)*J2454*(1-N($G2454)),2)),"")</f>
        <v/>
      </c>
      <c r="L2454" s="62" t="str">
        <f aca="false">IF(IsPro,IF($D2454="","",IFERROR(INDEX(Items!$F$5:$F$504,Q2454),0)),"")</f>
        <v/>
      </c>
      <c r="M2454" s="61" t="str">
        <f aca="false">IF(IsPro,IF($D2454="","",IF(AND(R2454&lt;&gt;"",INDEX(Parties!$E$5:$E$304,R2454)&lt;&gt;"",INDEX(Parties!$E$5:$E$304,R2454)&lt;&gt;HomeState),0,ROUND(K2454*L2454/2,2))),"")</f>
        <v/>
      </c>
      <c r="N2454" s="61" t="str">
        <f aca="false">IF(IsPro,IF($D2454="","",M2454),"")</f>
        <v/>
      </c>
      <c r="O2454" s="61" t="str">
        <f aca="false">IF(IsPro,IF($D2454="","",IF(AND(R2454&lt;&gt;"",INDEX(Parties!$E$5:$E$304,R2454)&lt;&gt;"",INDEX(Parties!$E$5:$E$304,R2454)&lt;&gt;HomeState),ROUND(K2454*L2454,2),0)),"")</f>
        <v/>
      </c>
      <c r="P2454" s="61" t="str">
        <f aca="false">IF(IsPro,IF($D2454="","",K2454+M2454+N2454+O2454),"")</f>
        <v/>
      </c>
      <c r="Q2454" s="60" t="str">
        <f aca="false">IF(IsPro,IF($D2454="","",IFERROR(MATCH($D2454,Items!$A$5:$A$504,0),"")),"")</f>
        <v/>
      </c>
      <c r="R2454" s="60" t="str">
        <f aca="false">IF(IsPro,IF($C2454="","",IFERROR(MATCH($C2454,Parties!$A$5:$A$304,0),"")),"")</f>
        <v/>
      </c>
      <c r="S2454" s="61" t="str">
        <f aca="false">IF(IsPro,IF($D2454="","",IF(OR($H2454="",$H2454="Credit"),0,P2454)),"")</f>
        <v/>
      </c>
    </row>
    <row r="2455" customFormat="false" ht="15" hidden="false" customHeight="false" outlineLevel="0" collapsed="false">
      <c r="A2455" s="55"/>
      <c r="B2455" s="56"/>
      <c r="C2455" s="56"/>
      <c r="D2455" s="56"/>
      <c r="E2455" s="57"/>
      <c r="F2455" s="58"/>
      <c r="G2455" s="59"/>
      <c r="H2455" s="56"/>
      <c r="I2455" s="60" t="str">
        <f aca="false">IF(IsPro,IF($D2455="","",IFERROR(INDEX(Items!$D$5:$D$504,Q2455),"")),IF($D2455="","","PRO PLAN"))</f>
        <v/>
      </c>
      <c r="J2455" s="61" t="str">
        <f aca="false">IF(IsPro,IF($D2455="","",IF($F2455="",IFERROR(INDEX(Items!$G$5:$G$504,Q2455),0),$F2455)),"")</f>
        <v/>
      </c>
      <c r="K2455" s="61" t="str">
        <f aca="false">IF(IsPro,IF($D2455="","",ROUND(N($E2455)*J2455*(1-N($G2455)),2)),"")</f>
        <v/>
      </c>
      <c r="L2455" s="62" t="str">
        <f aca="false">IF(IsPro,IF($D2455="","",IFERROR(INDEX(Items!$F$5:$F$504,Q2455),0)),"")</f>
        <v/>
      </c>
      <c r="M2455" s="61" t="str">
        <f aca="false">IF(IsPro,IF($D2455="","",IF(AND(R2455&lt;&gt;"",INDEX(Parties!$E$5:$E$304,R2455)&lt;&gt;"",INDEX(Parties!$E$5:$E$304,R2455)&lt;&gt;HomeState),0,ROUND(K2455*L2455/2,2))),"")</f>
        <v/>
      </c>
      <c r="N2455" s="61" t="str">
        <f aca="false">IF(IsPro,IF($D2455="","",M2455),"")</f>
        <v/>
      </c>
      <c r="O2455" s="61" t="str">
        <f aca="false">IF(IsPro,IF($D2455="","",IF(AND(R2455&lt;&gt;"",INDEX(Parties!$E$5:$E$304,R2455)&lt;&gt;"",INDEX(Parties!$E$5:$E$304,R2455)&lt;&gt;HomeState),ROUND(K2455*L2455,2),0)),"")</f>
        <v/>
      </c>
      <c r="P2455" s="61" t="str">
        <f aca="false">IF(IsPro,IF($D2455="","",K2455+M2455+N2455+O2455),"")</f>
        <v/>
      </c>
      <c r="Q2455" s="60" t="str">
        <f aca="false">IF(IsPro,IF($D2455="","",IFERROR(MATCH($D2455,Items!$A$5:$A$504,0),"")),"")</f>
        <v/>
      </c>
      <c r="R2455" s="60" t="str">
        <f aca="false">IF(IsPro,IF($C2455="","",IFERROR(MATCH($C2455,Parties!$A$5:$A$304,0),"")),"")</f>
        <v/>
      </c>
      <c r="S2455" s="61" t="str">
        <f aca="false">IF(IsPro,IF($D2455="","",IF(OR($H2455="",$H2455="Credit"),0,P2455)),"")</f>
        <v/>
      </c>
    </row>
    <row r="2456" customFormat="false" ht="15" hidden="false" customHeight="false" outlineLevel="0" collapsed="false">
      <c r="A2456" s="55"/>
      <c r="B2456" s="56"/>
      <c r="C2456" s="56"/>
      <c r="D2456" s="56"/>
      <c r="E2456" s="57"/>
      <c r="F2456" s="58"/>
      <c r="G2456" s="59"/>
      <c r="H2456" s="56"/>
      <c r="I2456" s="60" t="str">
        <f aca="false">IF(IsPro,IF($D2456="","",IFERROR(INDEX(Items!$D$5:$D$504,Q2456),"")),IF($D2456="","","PRO PLAN"))</f>
        <v/>
      </c>
      <c r="J2456" s="61" t="str">
        <f aca="false">IF(IsPro,IF($D2456="","",IF($F2456="",IFERROR(INDEX(Items!$G$5:$G$504,Q2456),0),$F2456)),"")</f>
        <v/>
      </c>
      <c r="K2456" s="61" t="str">
        <f aca="false">IF(IsPro,IF($D2456="","",ROUND(N($E2456)*J2456*(1-N($G2456)),2)),"")</f>
        <v/>
      </c>
      <c r="L2456" s="62" t="str">
        <f aca="false">IF(IsPro,IF($D2456="","",IFERROR(INDEX(Items!$F$5:$F$504,Q2456),0)),"")</f>
        <v/>
      </c>
      <c r="M2456" s="61" t="str">
        <f aca="false">IF(IsPro,IF($D2456="","",IF(AND(R2456&lt;&gt;"",INDEX(Parties!$E$5:$E$304,R2456)&lt;&gt;"",INDEX(Parties!$E$5:$E$304,R2456)&lt;&gt;HomeState),0,ROUND(K2456*L2456/2,2))),"")</f>
        <v/>
      </c>
      <c r="N2456" s="61" t="str">
        <f aca="false">IF(IsPro,IF($D2456="","",M2456),"")</f>
        <v/>
      </c>
      <c r="O2456" s="61" t="str">
        <f aca="false">IF(IsPro,IF($D2456="","",IF(AND(R2456&lt;&gt;"",INDEX(Parties!$E$5:$E$304,R2456)&lt;&gt;"",INDEX(Parties!$E$5:$E$304,R2456)&lt;&gt;HomeState),ROUND(K2456*L2456,2),0)),"")</f>
        <v/>
      </c>
      <c r="P2456" s="61" t="str">
        <f aca="false">IF(IsPro,IF($D2456="","",K2456+M2456+N2456+O2456),"")</f>
        <v/>
      </c>
      <c r="Q2456" s="60" t="str">
        <f aca="false">IF(IsPro,IF($D2456="","",IFERROR(MATCH($D2456,Items!$A$5:$A$504,0),"")),"")</f>
        <v/>
      </c>
      <c r="R2456" s="60" t="str">
        <f aca="false">IF(IsPro,IF($C2456="","",IFERROR(MATCH($C2456,Parties!$A$5:$A$304,0),"")),"")</f>
        <v/>
      </c>
      <c r="S2456" s="61" t="str">
        <f aca="false">IF(IsPro,IF($D2456="","",IF(OR($H2456="",$H2456="Credit"),0,P2456)),"")</f>
        <v/>
      </c>
    </row>
    <row r="2457" customFormat="false" ht="15" hidden="false" customHeight="false" outlineLevel="0" collapsed="false">
      <c r="A2457" s="55"/>
      <c r="B2457" s="56"/>
      <c r="C2457" s="56"/>
      <c r="D2457" s="56"/>
      <c r="E2457" s="57"/>
      <c r="F2457" s="58"/>
      <c r="G2457" s="59"/>
      <c r="H2457" s="56"/>
      <c r="I2457" s="60" t="str">
        <f aca="false">IF(IsPro,IF($D2457="","",IFERROR(INDEX(Items!$D$5:$D$504,Q2457),"")),IF($D2457="","","PRO PLAN"))</f>
        <v/>
      </c>
      <c r="J2457" s="61" t="str">
        <f aca="false">IF(IsPro,IF($D2457="","",IF($F2457="",IFERROR(INDEX(Items!$G$5:$G$504,Q2457),0),$F2457)),"")</f>
        <v/>
      </c>
      <c r="K2457" s="61" t="str">
        <f aca="false">IF(IsPro,IF($D2457="","",ROUND(N($E2457)*J2457*(1-N($G2457)),2)),"")</f>
        <v/>
      </c>
      <c r="L2457" s="62" t="str">
        <f aca="false">IF(IsPro,IF($D2457="","",IFERROR(INDEX(Items!$F$5:$F$504,Q2457),0)),"")</f>
        <v/>
      </c>
      <c r="M2457" s="61" t="str">
        <f aca="false">IF(IsPro,IF($D2457="","",IF(AND(R2457&lt;&gt;"",INDEX(Parties!$E$5:$E$304,R2457)&lt;&gt;"",INDEX(Parties!$E$5:$E$304,R2457)&lt;&gt;HomeState),0,ROUND(K2457*L2457/2,2))),"")</f>
        <v/>
      </c>
      <c r="N2457" s="61" t="str">
        <f aca="false">IF(IsPro,IF($D2457="","",M2457),"")</f>
        <v/>
      </c>
      <c r="O2457" s="61" t="str">
        <f aca="false">IF(IsPro,IF($D2457="","",IF(AND(R2457&lt;&gt;"",INDEX(Parties!$E$5:$E$304,R2457)&lt;&gt;"",INDEX(Parties!$E$5:$E$304,R2457)&lt;&gt;HomeState),ROUND(K2457*L2457,2),0)),"")</f>
        <v/>
      </c>
      <c r="P2457" s="61" t="str">
        <f aca="false">IF(IsPro,IF($D2457="","",K2457+M2457+N2457+O2457),"")</f>
        <v/>
      </c>
      <c r="Q2457" s="60" t="str">
        <f aca="false">IF(IsPro,IF($D2457="","",IFERROR(MATCH($D2457,Items!$A$5:$A$504,0),"")),"")</f>
        <v/>
      </c>
      <c r="R2457" s="60" t="str">
        <f aca="false">IF(IsPro,IF($C2457="","",IFERROR(MATCH($C2457,Parties!$A$5:$A$304,0),"")),"")</f>
        <v/>
      </c>
      <c r="S2457" s="61" t="str">
        <f aca="false">IF(IsPro,IF($D2457="","",IF(OR($H2457="",$H2457="Credit"),0,P2457)),"")</f>
        <v/>
      </c>
    </row>
    <row r="2458" customFormat="false" ht="15" hidden="false" customHeight="false" outlineLevel="0" collapsed="false">
      <c r="A2458" s="55"/>
      <c r="B2458" s="56"/>
      <c r="C2458" s="56"/>
      <c r="D2458" s="56"/>
      <c r="E2458" s="57"/>
      <c r="F2458" s="58"/>
      <c r="G2458" s="59"/>
      <c r="H2458" s="56"/>
      <c r="I2458" s="60" t="str">
        <f aca="false">IF(IsPro,IF($D2458="","",IFERROR(INDEX(Items!$D$5:$D$504,Q2458),"")),IF($D2458="","","PRO PLAN"))</f>
        <v/>
      </c>
      <c r="J2458" s="61" t="str">
        <f aca="false">IF(IsPro,IF($D2458="","",IF($F2458="",IFERROR(INDEX(Items!$G$5:$G$504,Q2458),0),$F2458)),"")</f>
        <v/>
      </c>
      <c r="K2458" s="61" t="str">
        <f aca="false">IF(IsPro,IF($D2458="","",ROUND(N($E2458)*J2458*(1-N($G2458)),2)),"")</f>
        <v/>
      </c>
      <c r="L2458" s="62" t="str">
        <f aca="false">IF(IsPro,IF($D2458="","",IFERROR(INDEX(Items!$F$5:$F$504,Q2458),0)),"")</f>
        <v/>
      </c>
      <c r="M2458" s="61" t="str">
        <f aca="false">IF(IsPro,IF($D2458="","",IF(AND(R2458&lt;&gt;"",INDEX(Parties!$E$5:$E$304,R2458)&lt;&gt;"",INDEX(Parties!$E$5:$E$304,R2458)&lt;&gt;HomeState),0,ROUND(K2458*L2458/2,2))),"")</f>
        <v/>
      </c>
      <c r="N2458" s="61" t="str">
        <f aca="false">IF(IsPro,IF($D2458="","",M2458),"")</f>
        <v/>
      </c>
      <c r="O2458" s="61" t="str">
        <f aca="false">IF(IsPro,IF($D2458="","",IF(AND(R2458&lt;&gt;"",INDEX(Parties!$E$5:$E$304,R2458)&lt;&gt;"",INDEX(Parties!$E$5:$E$304,R2458)&lt;&gt;HomeState),ROUND(K2458*L2458,2),0)),"")</f>
        <v/>
      </c>
      <c r="P2458" s="61" t="str">
        <f aca="false">IF(IsPro,IF($D2458="","",K2458+M2458+N2458+O2458),"")</f>
        <v/>
      </c>
      <c r="Q2458" s="60" t="str">
        <f aca="false">IF(IsPro,IF($D2458="","",IFERROR(MATCH($D2458,Items!$A$5:$A$504,0),"")),"")</f>
        <v/>
      </c>
      <c r="R2458" s="60" t="str">
        <f aca="false">IF(IsPro,IF($C2458="","",IFERROR(MATCH($C2458,Parties!$A$5:$A$304,0),"")),"")</f>
        <v/>
      </c>
      <c r="S2458" s="61" t="str">
        <f aca="false">IF(IsPro,IF($D2458="","",IF(OR($H2458="",$H2458="Credit"),0,P2458)),"")</f>
        <v/>
      </c>
    </row>
    <row r="2459" customFormat="false" ht="15" hidden="false" customHeight="false" outlineLevel="0" collapsed="false">
      <c r="A2459" s="55"/>
      <c r="B2459" s="56"/>
      <c r="C2459" s="56"/>
      <c r="D2459" s="56"/>
      <c r="E2459" s="57"/>
      <c r="F2459" s="58"/>
      <c r="G2459" s="59"/>
      <c r="H2459" s="56"/>
      <c r="I2459" s="60" t="str">
        <f aca="false">IF(IsPro,IF($D2459="","",IFERROR(INDEX(Items!$D$5:$D$504,Q2459),"")),IF($D2459="","","PRO PLAN"))</f>
        <v/>
      </c>
      <c r="J2459" s="61" t="str">
        <f aca="false">IF(IsPro,IF($D2459="","",IF($F2459="",IFERROR(INDEX(Items!$G$5:$G$504,Q2459),0),$F2459)),"")</f>
        <v/>
      </c>
      <c r="K2459" s="61" t="str">
        <f aca="false">IF(IsPro,IF($D2459="","",ROUND(N($E2459)*J2459*(1-N($G2459)),2)),"")</f>
        <v/>
      </c>
      <c r="L2459" s="62" t="str">
        <f aca="false">IF(IsPro,IF($D2459="","",IFERROR(INDEX(Items!$F$5:$F$504,Q2459),0)),"")</f>
        <v/>
      </c>
      <c r="M2459" s="61" t="str">
        <f aca="false">IF(IsPro,IF($D2459="","",IF(AND(R2459&lt;&gt;"",INDEX(Parties!$E$5:$E$304,R2459)&lt;&gt;"",INDEX(Parties!$E$5:$E$304,R2459)&lt;&gt;HomeState),0,ROUND(K2459*L2459/2,2))),"")</f>
        <v/>
      </c>
      <c r="N2459" s="61" t="str">
        <f aca="false">IF(IsPro,IF($D2459="","",M2459),"")</f>
        <v/>
      </c>
      <c r="O2459" s="61" t="str">
        <f aca="false">IF(IsPro,IF($D2459="","",IF(AND(R2459&lt;&gt;"",INDEX(Parties!$E$5:$E$304,R2459)&lt;&gt;"",INDEX(Parties!$E$5:$E$304,R2459)&lt;&gt;HomeState),ROUND(K2459*L2459,2),0)),"")</f>
        <v/>
      </c>
      <c r="P2459" s="61" t="str">
        <f aca="false">IF(IsPro,IF($D2459="","",K2459+M2459+N2459+O2459),"")</f>
        <v/>
      </c>
      <c r="Q2459" s="60" t="str">
        <f aca="false">IF(IsPro,IF($D2459="","",IFERROR(MATCH($D2459,Items!$A$5:$A$504,0),"")),"")</f>
        <v/>
      </c>
      <c r="R2459" s="60" t="str">
        <f aca="false">IF(IsPro,IF($C2459="","",IFERROR(MATCH($C2459,Parties!$A$5:$A$304,0),"")),"")</f>
        <v/>
      </c>
      <c r="S2459" s="61" t="str">
        <f aca="false">IF(IsPro,IF($D2459="","",IF(OR($H2459="",$H2459="Credit"),0,P2459)),"")</f>
        <v/>
      </c>
    </row>
    <row r="2460" customFormat="false" ht="15" hidden="false" customHeight="false" outlineLevel="0" collapsed="false">
      <c r="A2460" s="55"/>
      <c r="B2460" s="56"/>
      <c r="C2460" s="56"/>
      <c r="D2460" s="56"/>
      <c r="E2460" s="57"/>
      <c r="F2460" s="58"/>
      <c r="G2460" s="59"/>
      <c r="H2460" s="56"/>
      <c r="I2460" s="60" t="str">
        <f aca="false">IF(IsPro,IF($D2460="","",IFERROR(INDEX(Items!$D$5:$D$504,Q2460),"")),IF($D2460="","","PRO PLAN"))</f>
        <v/>
      </c>
      <c r="J2460" s="61" t="str">
        <f aca="false">IF(IsPro,IF($D2460="","",IF($F2460="",IFERROR(INDEX(Items!$G$5:$G$504,Q2460),0),$F2460)),"")</f>
        <v/>
      </c>
      <c r="K2460" s="61" t="str">
        <f aca="false">IF(IsPro,IF($D2460="","",ROUND(N($E2460)*J2460*(1-N($G2460)),2)),"")</f>
        <v/>
      </c>
      <c r="L2460" s="62" t="str">
        <f aca="false">IF(IsPro,IF($D2460="","",IFERROR(INDEX(Items!$F$5:$F$504,Q2460),0)),"")</f>
        <v/>
      </c>
      <c r="M2460" s="61" t="str">
        <f aca="false">IF(IsPro,IF($D2460="","",IF(AND(R2460&lt;&gt;"",INDEX(Parties!$E$5:$E$304,R2460)&lt;&gt;"",INDEX(Parties!$E$5:$E$304,R2460)&lt;&gt;HomeState),0,ROUND(K2460*L2460/2,2))),"")</f>
        <v/>
      </c>
      <c r="N2460" s="61" t="str">
        <f aca="false">IF(IsPro,IF($D2460="","",M2460),"")</f>
        <v/>
      </c>
      <c r="O2460" s="61" t="str">
        <f aca="false">IF(IsPro,IF($D2460="","",IF(AND(R2460&lt;&gt;"",INDEX(Parties!$E$5:$E$304,R2460)&lt;&gt;"",INDEX(Parties!$E$5:$E$304,R2460)&lt;&gt;HomeState),ROUND(K2460*L2460,2),0)),"")</f>
        <v/>
      </c>
      <c r="P2460" s="61" t="str">
        <f aca="false">IF(IsPro,IF($D2460="","",K2460+M2460+N2460+O2460),"")</f>
        <v/>
      </c>
      <c r="Q2460" s="60" t="str">
        <f aca="false">IF(IsPro,IF($D2460="","",IFERROR(MATCH($D2460,Items!$A$5:$A$504,0),"")),"")</f>
        <v/>
      </c>
      <c r="R2460" s="60" t="str">
        <f aca="false">IF(IsPro,IF($C2460="","",IFERROR(MATCH($C2460,Parties!$A$5:$A$304,0),"")),"")</f>
        <v/>
      </c>
      <c r="S2460" s="61" t="str">
        <f aca="false">IF(IsPro,IF($D2460="","",IF(OR($H2460="",$H2460="Credit"),0,P2460)),"")</f>
        <v/>
      </c>
    </row>
    <row r="2461" customFormat="false" ht="15" hidden="false" customHeight="false" outlineLevel="0" collapsed="false">
      <c r="A2461" s="55"/>
      <c r="B2461" s="56"/>
      <c r="C2461" s="56"/>
      <c r="D2461" s="56"/>
      <c r="E2461" s="57"/>
      <c r="F2461" s="58"/>
      <c r="G2461" s="59"/>
      <c r="H2461" s="56"/>
      <c r="I2461" s="60" t="str">
        <f aca="false">IF(IsPro,IF($D2461="","",IFERROR(INDEX(Items!$D$5:$D$504,Q2461),"")),IF($D2461="","","PRO PLAN"))</f>
        <v/>
      </c>
      <c r="J2461" s="61" t="str">
        <f aca="false">IF(IsPro,IF($D2461="","",IF($F2461="",IFERROR(INDEX(Items!$G$5:$G$504,Q2461),0),$F2461)),"")</f>
        <v/>
      </c>
      <c r="K2461" s="61" t="str">
        <f aca="false">IF(IsPro,IF($D2461="","",ROUND(N($E2461)*J2461*(1-N($G2461)),2)),"")</f>
        <v/>
      </c>
      <c r="L2461" s="62" t="str">
        <f aca="false">IF(IsPro,IF($D2461="","",IFERROR(INDEX(Items!$F$5:$F$504,Q2461),0)),"")</f>
        <v/>
      </c>
      <c r="M2461" s="61" t="str">
        <f aca="false">IF(IsPro,IF($D2461="","",IF(AND(R2461&lt;&gt;"",INDEX(Parties!$E$5:$E$304,R2461)&lt;&gt;"",INDEX(Parties!$E$5:$E$304,R2461)&lt;&gt;HomeState),0,ROUND(K2461*L2461/2,2))),"")</f>
        <v/>
      </c>
      <c r="N2461" s="61" t="str">
        <f aca="false">IF(IsPro,IF($D2461="","",M2461),"")</f>
        <v/>
      </c>
      <c r="O2461" s="61" t="str">
        <f aca="false">IF(IsPro,IF($D2461="","",IF(AND(R2461&lt;&gt;"",INDEX(Parties!$E$5:$E$304,R2461)&lt;&gt;"",INDEX(Parties!$E$5:$E$304,R2461)&lt;&gt;HomeState),ROUND(K2461*L2461,2),0)),"")</f>
        <v/>
      </c>
      <c r="P2461" s="61" t="str">
        <f aca="false">IF(IsPro,IF($D2461="","",K2461+M2461+N2461+O2461),"")</f>
        <v/>
      </c>
      <c r="Q2461" s="60" t="str">
        <f aca="false">IF(IsPro,IF($D2461="","",IFERROR(MATCH($D2461,Items!$A$5:$A$504,0),"")),"")</f>
        <v/>
      </c>
      <c r="R2461" s="60" t="str">
        <f aca="false">IF(IsPro,IF($C2461="","",IFERROR(MATCH($C2461,Parties!$A$5:$A$304,0),"")),"")</f>
        <v/>
      </c>
      <c r="S2461" s="61" t="str">
        <f aca="false">IF(IsPro,IF($D2461="","",IF(OR($H2461="",$H2461="Credit"),0,P2461)),"")</f>
        <v/>
      </c>
    </row>
    <row r="2462" customFormat="false" ht="15" hidden="false" customHeight="false" outlineLevel="0" collapsed="false">
      <c r="A2462" s="55"/>
      <c r="B2462" s="56"/>
      <c r="C2462" s="56"/>
      <c r="D2462" s="56"/>
      <c r="E2462" s="57"/>
      <c r="F2462" s="58"/>
      <c r="G2462" s="59"/>
      <c r="H2462" s="56"/>
      <c r="I2462" s="60" t="str">
        <f aca="false">IF(IsPro,IF($D2462="","",IFERROR(INDEX(Items!$D$5:$D$504,Q2462),"")),IF($D2462="","","PRO PLAN"))</f>
        <v/>
      </c>
      <c r="J2462" s="61" t="str">
        <f aca="false">IF(IsPro,IF($D2462="","",IF($F2462="",IFERROR(INDEX(Items!$G$5:$G$504,Q2462),0),$F2462)),"")</f>
        <v/>
      </c>
      <c r="K2462" s="61" t="str">
        <f aca="false">IF(IsPro,IF($D2462="","",ROUND(N($E2462)*J2462*(1-N($G2462)),2)),"")</f>
        <v/>
      </c>
      <c r="L2462" s="62" t="str">
        <f aca="false">IF(IsPro,IF($D2462="","",IFERROR(INDEX(Items!$F$5:$F$504,Q2462),0)),"")</f>
        <v/>
      </c>
      <c r="M2462" s="61" t="str">
        <f aca="false">IF(IsPro,IF($D2462="","",IF(AND(R2462&lt;&gt;"",INDEX(Parties!$E$5:$E$304,R2462)&lt;&gt;"",INDEX(Parties!$E$5:$E$304,R2462)&lt;&gt;HomeState),0,ROUND(K2462*L2462/2,2))),"")</f>
        <v/>
      </c>
      <c r="N2462" s="61" t="str">
        <f aca="false">IF(IsPro,IF($D2462="","",M2462),"")</f>
        <v/>
      </c>
      <c r="O2462" s="61" t="str">
        <f aca="false">IF(IsPro,IF($D2462="","",IF(AND(R2462&lt;&gt;"",INDEX(Parties!$E$5:$E$304,R2462)&lt;&gt;"",INDEX(Parties!$E$5:$E$304,R2462)&lt;&gt;HomeState),ROUND(K2462*L2462,2),0)),"")</f>
        <v/>
      </c>
      <c r="P2462" s="61" t="str">
        <f aca="false">IF(IsPro,IF($D2462="","",K2462+M2462+N2462+O2462),"")</f>
        <v/>
      </c>
      <c r="Q2462" s="60" t="str">
        <f aca="false">IF(IsPro,IF($D2462="","",IFERROR(MATCH($D2462,Items!$A$5:$A$504,0),"")),"")</f>
        <v/>
      </c>
      <c r="R2462" s="60" t="str">
        <f aca="false">IF(IsPro,IF($C2462="","",IFERROR(MATCH($C2462,Parties!$A$5:$A$304,0),"")),"")</f>
        <v/>
      </c>
      <c r="S2462" s="61" t="str">
        <f aca="false">IF(IsPro,IF($D2462="","",IF(OR($H2462="",$H2462="Credit"),0,P2462)),"")</f>
        <v/>
      </c>
    </row>
    <row r="2463" customFormat="false" ht="15" hidden="false" customHeight="false" outlineLevel="0" collapsed="false">
      <c r="A2463" s="55"/>
      <c r="B2463" s="56"/>
      <c r="C2463" s="56"/>
      <c r="D2463" s="56"/>
      <c r="E2463" s="57"/>
      <c r="F2463" s="58"/>
      <c r="G2463" s="59"/>
      <c r="H2463" s="56"/>
      <c r="I2463" s="60" t="str">
        <f aca="false">IF(IsPro,IF($D2463="","",IFERROR(INDEX(Items!$D$5:$D$504,Q2463),"")),IF($D2463="","","PRO PLAN"))</f>
        <v/>
      </c>
      <c r="J2463" s="61" t="str">
        <f aca="false">IF(IsPro,IF($D2463="","",IF($F2463="",IFERROR(INDEX(Items!$G$5:$G$504,Q2463),0),$F2463)),"")</f>
        <v/>
      </c>
      <c r="K2463" s="61" t="str">
        <f aca="false">IF(IsPro,IF($D2463="","",ROUND(N($E2463)*J2463*(1-N($G2463)),2)),"")</f>
        <v/>
      </c>
      <c r="L2463" s="62" t="str">
        <f aca="false">IF(IsPro,IF($D2463="","",IFERROR(INDEX(Items!$F$5:$F$504,Q2463),0)),"")</f>
        <v/>
      </c>
      <c r="M2463" s="61" t="str">
        <f aca="false">IF(IsPro,IF($D2463="","",IF(AND(R2463&lt;&gt;"",INDEX(Parties!$E$5:$E$304,R2463)&lt;&gt;"",INDEX(Parties!$E$5:$E$304,R2463)&lt;&gt;HomeState),0,ROUND(K2463*L2463/2,2))),"")</f>
        <v/>
      </c>
      <c r="N2463" s="61" t="str">
        <f aca="false">IF(IsPro,IF($D2463="","",M2463),"")</f>
        <v/>
      </c>
      <c r="O2463" s="61" t="str">
        <f aca="false">IF(IsPro,IF($D2463="","",IF(AND(R2463&lt;&gt;"",INDEX(Parties!$E$5:$E$304,R2463)&lt;&gt;"",INDEX(Parties!$E$5:$E$304,R2463)&lt;&gt;HomeState),ROUND(K2463*L2463,2),0)),"")</f>
        <v/>
      </c>
      <c r="P2463" s="61" t="str">
        <f aca="false">IF(IsPro,IF($D2463="","",K2463+M2463+N2463+O2463),"")</f>
        <v/>
      </c>
      <c r="Q2463" s="60" t="str">
        <f aca="false">IF(IsPro,IF($D2463="","",IFERROR(MATCH($D2463,Items!$A$5:$A$504,0),"")),"")</f>
        <v/>
      </c>
      <c r="R2463" s="60" t="str">
        <f aca="false">IF(IsPro,IF($C2463="","",IFERROR(MATCH($C2463,Parties!$A$5:$A$304,0),"")),"")</f>
        <v/>
      </c>
      <c r="S2463" s="61" t="str">
        <f aca="false">IF(IsPro,IF($D2463="","",IF(OR($H2463="",$H2463="Credit"),0,P2463)),"")</f>
        <v/>
      </c>
    </row>
    <row r="2464" customFormat="false" ht="15" hidden="false" customHeight="false" outlineLevel="0" collapsed="false">
      <c r="A2464" s="55"/>
      <c r="B2464" s="56"/>
      <c r="C2464" s="56"/>
      <c r="D2464" s="56"/>
      <c r="E2464" s="57"/>
      <c r="F2464" s="58"/>
      <c r="G2464" s="59"/>
      <c r="H2464" s="56"/>
      <c r="I2464" s="60" t="str">
        <f aca="false">IF(IsPro,IF($D2464="","",IFERROR(INDEX(Items!$D$5:$D$504,Q2464),"")),IF($D2464="","","PRO PLAN"))</f>
        <v/>
      </c>
      <c r="J2464" s="61" t="str">
        <f aca="false">IF(IsPro,IF($D2464="","",IF($F2464="",IFERROR(INDEX(Items!$G$5:$G$504,Q2464),0),$F2464)),"")</f>
        <v/>
      </c>
      <c r="K2464" s="61" t="str">
        <f aca="false">IF(IsPro,IF($D2464="","",ROUND(N($E2464)*J2464*(1-N($G2464)),2)),"")</f>
        <v/>
      </c>
      <c r="L2464" s="62" t="str">
        <f aca="false">IF(IsPro,IF($D2464="","",IFERROR(INDEX(Items!$F$5:$F$504,Q2464),0)),"")</f>
        <v/>
      </c>
      <c r="M2464" s="61" t="str">
        <f aca="false">IF(IsPro,IF($D2464="","",IF(AND(R2464&lt;&gt;"",INDEX(Parties!$E$5:$E$304,R2464)&lt;&gt;"",INDEX(Parties!$E$5:$E$304,R2464)&lt;&gt;HomeState),0,ROUND(K2464*L2464/2,2))),"")</f>
        <v/>
      </c>
      <c r="N2464" s="61" t="str">
        <f aca="false">IF(IsPro,IF($D2464="","",M2464),"")</f>
        <v/>
      </c>
      <c r="O2464" s="61" t="str">
        <f aca="false">IF(IsPro,IF($D2464="","",IF(AND(R2464&lt;&gt;"",INDEX(Parties!$E$5:$E$304,R2464)&lt;&gt;"",INDEX(Parties!$E$5:$E$304,R2464)&lt;&gt;HomeState),ROUND(K2464*L2464,2),0)),"")</f>
        <v/>
      </c>
      <c r="P2464" s="61" t="str">
        <f aca="false">IF(IsPro,IF($D2464="","",K2464+M2464+N2464+O2464),"")</f>
        <v/>
      </c>
      <c r="Q2464" s="60" t="str">
        <f aca="false">IF(IsPro,IF($D2464="","",IFERROR(MATCH($D2464,Items!$A$5:$A$504,0),"")),"")</f>
        <v/>
      </c>
      <c r="R2464" s="60" t="str">
        <f aca="false">IF(IsPro,IF($C2464="","",IFERROR(MATCH($C2464,Parties!$A$5:$A$304,0),"")),"")</f>
        <v/>
      </c>
      <c r="S2464" s="61" t="str">
        <f aca="false">IF(IsPro,IF($D2464="","",IF(OR($H2464="",$H2464="Credit"),0,P2464)),"")</f>
        <v/>
      </c>
    </row>
    <row r="2465" customFormat="false" ht="15" hidden="false" customHeight="false" outlineLevel="0" collapsed="false">
      <c r="A2465" s="55"/>
      <c r="B2465" s="56"/>
      <c r="C2465" s="56"/>
      <c r="D2465" s="56"/>
      <c r="E2465" s="57"/>
      <c r="F2465" s="58"/>
      <c r="G2465" s="59"/>
      <c r="H2465" s="56"/>
      <c r="I2465" s="60" t="str">
        <f aca="false">IF(IsPro,IF($D2465="","",IFERROR(INDEX(Items!$D$5:$D$504,Q2465),"")),IF($D2465="","","PRO PLAN"))</f>
        <v/>
      </c>
      <c r="J2465" s="61" t="str">
        <f aca="false">IF(IsPro,IF($D2465="","",IF($F2465="",IFERROR(INDEX(Items!$G$5:$G$504,Q2465),0),$F2465)),"")</f>
        <v/>
      </c>
      <c r="K2465" s="61" t="str">
        <f aca="false">IF(IsPro,IF($D2465="","",ROUND(N($E2465)*J2465*(1-N($G2465)),2)),"")</f>
        <v/>
      </c>
      <c r="L2465" s="62" t="str">
        <f aca="false">IF(IsPro,IF($D2465="","",IFERROR(INDEX(Items!$F$5:$F$504,Q2465),0)),"")</f>
        <v/>
      </c>
      <c r="M2465" s="61" t="str">
        <f aca="false">IF(IsPro,IF($D2465="","",IF(AND(R2465&lt;&gt;"",INDEX(Parties!$E$5:$E$304,R2465)&lt;&gt;"",INDEX(Parties!$E$5:$E$304,R2465)&lt;&gt;HomeState),0,ROUND(K2465*L2465/2,2))),"")</f>
        <v/>
      </c>
      <c r="N2465" s="61" t="str">
        <f aca="false">IF(IsPro,IF($D2465="","",M2465),"")</f>
        <v/>
      </c>
      <c r="O2465" s="61" t="str">
        <f aca="false">IF(IsPro,IF($D2465="","",IF(AND(R2465&lt;&gt;"",INDEX(Parties!$E$5:$E$304,R2465)&lt;&gt;"",INDEX(Parties!$E$5:$E$304,R2465)&lt;&gt;HomeState),ROUND(K2465*L2465,2),0)),"")</f>
        <v/>
      </c>
      <c r="P2465" s="61" t="str">
        <f aca="false">IF(IsPro,IF($D2465="","",K2465+M2465+N2465+O2465),"")</f>
        <v/>
      </c>
      <c r="Q2465" s="60" t="str">
        <f aca="false">IF(IsPro,IF($D2465="","",IFERROR(MATCH($D2465,Items!$A$5:$A$504,0),"")),"")</f>
        <v/>
      </c>
      <c r="R2465" s="60" t="str">
        <f aca="false">IF(IsPro,IF($C2465="","",IFERROR(MATCH($C2465,Parties!$A$5:$A$304,0),"")),"")</f>
        <v/>
      </c>
      <c r="S2465" s="61" t="str">
        <f aca="false">IF(IsPro,IF($D2465="","",IF(OR($H2465="",$H2465="Credit"),0,P2465)),"")</f>
        <v/>
      </c>
    </row>
    <row r="2466" customFormat="false" ht="15" hidden="false" customHeight="false" outlineLevel="0" collapsed="false">
      <c r="A2466" s="55"/>
      <c r="B2466" s="56"/>
      <c r="C2466" s="56"/>
      <c r="D2466" s="56"/>
      <c r="E2466" s="57"/>
      <c r="F2466" s="58"/>
      <c r="G2466" s="59"/>
      <c r="H2466" s="56"/>
      <c r="I2466" s="60" t="str">
        <f aca="false">IF(IsPro,IF($D2466="","",IFERROR(INDEX(Items!$D$5:$D$504,Q2466),"")),IF($D2466="","","PRO PLAN"))</f>
        <v/>
      </c>
      <c r="J2466" s="61" t="str">
        <f aca="false">IF(IsPro,IF($D2466="","",IF($F2466="",IFERROR(INDEX(Items!$G$5:$G$504,Q2466),0),$F2466)),"")</f>
        <v/>
      </c>
      <c r="K2466" s="61" t="str">
        <f aca="false">IF(IsPro,IF($D2466="","",ROUND(N($E2466)*J2466*(1-N($G2466)),2)),"")</f>
        <v/>
      </c>
      <c r="L2466" s="62" t="str">
        <f aca="false">IF(IsPro,IF($D2466="","",IFERROR(INDEX(Items!$F$5:$F$504,Q2466),0)),"")</f>
        <v/>
      </c>
      <c r="M2466" s="61" t="str">
        <f aca="false">IF(IsPro,IF($D2466="","",IF(AND(R2466&lt;&gt;"",INDEX(Parties!$E$5:$E$304,R2466)&lt;&gt;"",INDEX(Parties!$E$5:$E$304,R2466)&lt;&gt;HomeState),0,ROUND(K2466*L2466/2,2))),"")</f>
        <v/>
      </c>
      <c r="N2466" s="61" t="str">
        <f aca="false">IF(IsPro,IF($D2466="","",M2466),"")</f>
        <v/>
      </c>
      <c r="O2466" s="61" t="str">
        <f aca="false">IF(IsPro,IF($D2466="","",IF(AND(R2466&lt;&gt;"",INDEX(Parties!$E$5:$E$304,R2466)&lt;&gt;"",INDEX(Parties!$E$5:$E$304,R2466)&lt;&gt;HomeState),ROUND(K2466*L2466,2),0)),"")</f>
        <v/>
      </c>
      <c r="P2466" s="61" t="str">
        <f aca="false">IF(IsPro,IF($D2466="","",K2466+M2466+N2466+O2466),"")</f>
        <v/>
      </c>
      <c r="Q2466" s="60" t="str">
        <f aca="false">IF(IsPro,IF($D2466="","",IFERROR(MATCH($D2466,Items!$A$5:$A$504,0),"")),"")</f>
        <v/>
      </c>
      <c r="R2466" s="60" t="str">
        <f aca="false">IF(IsPro,IF($C2466="","",IFERROR(MATCH($C2466,Parties!$A$5:$A$304,0),"")),"")</f>
        <v/>
      </c>
      <c r="S2466" s="61" t="str">
        <f aca="false">IF(IsPro,IF($D2466="","",IF(OR($H2466="",$H2466="Credit"),0,P2466)),"")</f>
        <v/>
      </c>
    </row>
    <row r="2467" customFormat="false" ht="15" hidden="false" customHeight="false" outlineLevel="0" collapsed="false">
      <c r="A2467" s="55"/>
      <c r="B2467" s="56"/>
      <c r="C2467" s="56"/>
      <c r="D2467" s="56"/>
      <c r="E2467" s="57"/>
      <c r="F2467" s="58"/>
      <c r="G2467" s="59"/>
      <c r="H2467" s="56"/>
      <c r="I2467" s="60" t="str">
        <f aca="false">IF(IsPro,IF($D2467="","",IFERROR(INDEX(Items!$D$5:$D$504,Q2467),"")),IF($D2467="","","PRO PLAN"))</f>
        <v/>
      </c>
      <c r="J2467" s="61" t="str">
        <f aca="false">IF(IsPro,IF($D2467="","",IF($F2467="",IFERROR(INDEX(Items!$G$5:$G$504,Q2467),0),$F2467)),"")</f>
        <v/>
      </c>
      <c r="K2467" s="61" t="str">
        <f aca="false">IF(IsPro,IF($D2467="","",ROUND(N($E2467)*J2467*(1-N($G2467)),2)),"")</f>
        <v/>
      </c>
      <c r="L2467" s="62" t="str">
        <f aca="false">IF(IsPro,IF($D2467="","",IFERROR(INDEX(Items!$F$5:$F$504,Q2467),0)),"")</f>
        <v/>
      </c>
      <c r="M2467" s="61" t="str">
        <f aca="false">IF(IsPro,IF($D2467="","",IF(AND(R2467&lt;&gt;"",INDEX(Parties!$E$5:$E$304,R2467)&lt;&gt;"",INDEX(Parties!$E$5:$E$304,R2467)&lt;&gt;HomeState),0,ROUND(K2467*L2467/2,2))),"")</f>
        <v/>
      </c>
      <c r="N2467" s="61" t="str">
        <f aca="false">IF(IsPro,IF($D2467="","",M2467),"")</f>
        <v/>
      </c>
      <c r="O2467" s="61" t="str">
        <f aca="false">IF(IsPro,IF($D2467="","",IF(AND(R2467&lt;&gt;"",INDEX(Parties!$E$5:$E$304,R2467)&lt;&gt;"",INDEX(Parties!$E$5:$E$304,R2467)&lt;&gt;HomeState),ROUND(K2467*L2467,2),0)),"")</f>
        <v/>
      </c>
      <c r="P2467" s="61" t="str">
        <f aca="false">IF(IsPro,IF($D2467="","",K2467+M2467+N2467+O2467),"")</f>
        <v/>
      </c>
      <c r="Q2467" s="60" t="str">
        <f aca="false">IF(IsPro,IF($D2467="","",IFERROR(MATCH($D2467,Items!$A$5:$A$504,0),"")),"")</f>
        <v/>
      </c>
      <c r="R2467" s="60" t="str">
        <f aca="false">IF(IsPro,IF($C2467="","",IFERROR(MATCH($C2467,Parties!$A$5:$A$304,0),"")),"")</f>
        <v/>
      </c>
      <c r="S2467" s="61" t="str">
        <f aca="false">IF(IsPro,IF($D2467="","",IF(OR($H2467="",$H2467="Credit"),0,P2467)),"")</f>
        <v/>
      </c>
    </row>
    <row r="2468" customFormat="false" ht="15" hidden="false" customHeight="false" outlineLevel="0" collapsed="false">
      <c r="A2468" s="55"/>
      <c r="B2468" s="56"/>
      <c r="C2468" s="56"/>
      <c r="D2468" s="56"/>
      <c r="E2468" s="57"/>
      <c r="F2468" s="58"/>
      <c r="G2468" s="59"/>
      <c r="H2468" s="56"/>
      <c r="I2468" s="60" t="str">
        <f aca="false">IF(IsPro,IF($D2468="","",IFERROR(INDEX(Items!$D$5:$D$504,Q2468),"")),IF($D2468="","","PRO PLAN"))</f>
        <v/>
      </c>
      <c r="J2468" s="61" t="str">
        <f aca="false">IF(IsPro,IF($D2468="","",IF($F2468="",IFERROR(INDEX(Items!$G$5:$G$504,Q2468),0),$F2468)),"")</f>
        <v/>
      </c>
      <c r="K2468" s="61" t="str">
        <f aca="false">IF(IsPro,IF($D2468="","",ROUND(N($E2468)*J2468*(1-N($G2468)),2)),"")</f>
        <v/>
      </c>
      <c r="L2468" s="62" t="str">
        <f aca="false">IF(IsPro,IF($D2468="","",IFERROR(INDEX(Items!$F$5:$F$504,Q2468),0)),"")</f>
        <v/>
      </c>
      <c r="M2468" s="61" t="str">
        <f aca="false">IF(IsPro,IF($D2468="","",IF(AND(R2468&lt;&gt;"",INDEX(Parties!$E$5:$E$304,R2468)&lt;&gt;"",INDEX(Parties!$E$5:$E$304,R2468)&lt;&gt;HomeState),0,ROUND(K2468*L2468/2,2))),"")</f>
        <v/>
      </c>
      <c r="N2468" s="61" t="str">
        <f aca="false">IF(IsPro,IF($D2468="","",M2468),"")</f>
        <v/>
      </c>
      <c r="O2468" s="61" t="str">
        <f aca="false">IF(IsPro,IF($D2468="","",IF(AND(R2468&lt;&gt;"",INDEX(Parties!$E$5:$E$304,R2468)&lt;&gt;"",INDEX(Parties!$E$5:$E$304,R2468)&lt;&gt;HomeState),ROUND(K2468*L2468,2),0)),"")</f>
        <v/>
      </c>
      <c r="P2468" s="61" t="str">
        <f aca="false">IF(IsPro,IF($D2468="","",K2468+M2468+N2468+O2468),"")</f>
        <v/>
      </c>
      <c r="Q2468" s="60" t="str">
        <f aca="false">IF(IsPro,IF($D2468="","",IFERROR(MATCH($D2468,Items!$A$5:$A$504,0),"")),"")</f>
        <v/>
      </c>
      <c r="R2468" s="60" t="str">
        <f aca="false">IF(IsPro,IF($C2468="","",IFERROR(MATCH($C2468,Parties!$A$5:$A$304,0),"")),"")</f>
        <v/>
      </c>
      <c r="S2468" s="61" t="str">
        <f aca="false">IF(IsPro,IF($D2468="","",IF(OR($H2468="",$H2468="Credit"),0,P2468)),"")</f>
        <v/>
      </c>
    </row>
    <row r="2469" customFormat="false" ht="15" hidden="false" customHeight="false" outlineLevel="0" collapsed="false">
      <c r="A2469" s="55"/>
      <c r="B2469" s="56"/>
      <c r="C2469" s="56"/>
      <c r="D2469" s="56"/>
      <c r="E2469" s="57"/>
      <c r="F2469" s="58"/>
      <c r="G2469" s="59"/>
      <c r="H2469" s="56"/>
      <c r="I2469" s="60" t="str">
        <f aca="false">IF(IsPro,IF($D2469="","",IFERROR(INDEX(Items!$D$5:$D$504,Q2469),"")),IF($D2469="","","PRO PLAN"))</f>
        <v/>
      </c>
      <c r="J2469" s="61" t="str">
        <f aca="false">IF(IsPro,IF($D2469="","",IF($F2469="",IFERROR(INDEX(Items!$G$5:$G$504,Q2469),0),$F2469)),"")</f>
        <v/>
      </c>
      <c r="K2469" s="61" t="str">
        <f aca="false">IF(IsPro,IF($D2469="","",ROUND(N($E2469)*J2469*(1-N($G2469)),2)),"")</f>
        <v/>
      </c>
      <c r="L2469" s="62" t="str">
        <f aca="false">IF(IsPro,IF($D2469="","",IFERROR(INDEX(Items!$F$5:$F$504,Q2469),0)),"")</f>
        <v/>
      </c>
      <c r="M2469" s="61" t="str">
        <f aca="false">IF(IsPro,IF($D2469="","",IF(AND(R2469&lt;&gt;"",INDEX(Parties!$E$5:$E$304,R2469)&lt;&gt;"",INDEX(Parties!$E$5:$E$304,R2469)&lt;&gt;HomeState),0,ROUND(K2469*L2469/2,2))),"")</f>
        <v/>
      </c>
      <c r="N2469" s="61" t="str">
        <f aca="false">IF(IsPro,IF($D2469="","",M2469),"")</f>
        <v/>
      </c>
      <c r="O2469" s="61" t="str">
        <f aca="false">IF(IsPro,IF($D2469="","",IF(AND(R2469&lt;&gt;"",INDEX(Parties!$E$5:$E$304,R2469)&lt;&gt;"",INDEX(Parties!$E$5:$E$304,R2469)&lt;&gt;HomeState),ROUND(K2469*L2469,2),0)),"")</f>
        <v/>
      </c>
      <c r="P2469" s="61" t="str">
        <f aca="false">IF(IsPro,IF($D2469="","",K2469+M2469+N2469+O2469),"")</f>
        <v/>
      </c>
      <c r="Q2469" s="60" t="str">
        <f aca="false">IF(IsPro,IF($D2469="","",IFERROR(MATCH($D2469,Items!$A$5:$A$504,0),"")),"")</f>
        <v/>
      </c>
      <c r="R2469" s="60" t="str">
        <f aca="false">IF(IsPro,IF($C2469="","",IFERROR(MATCH($C2469,Parties!$A$5:$A$304,0),"")),"")</f>
        <v/>
      </c>
      <c r="S2469" s="61" t="str">
        <f aca="false">IF(IsPro,IF($D2469="","",IF(OR($H2469="",$H2469="Credit"),0,P2469)),"")</f>
        <v/>
      </c>
    </row>
    <row r="2470" customFormat="false" ht="15" hidden="false" customHeight="false" outlineLevel="0" collapsed="false">
      <c r="A2470" s="55"/>
      <c r="B2470" s="56"/>
      <c r="C2470" s="56"/>
      <c r="D2470" s="56"/>
      <c r="E2470" s="57"/>
      <c r="F2470" s="58"/>
      <c r="G2470" s="59"/>
      <c r="H2470" s="56"/>
      <c r="I2470" s="60" t="str">
        <f aca="false">IF(IsPro,IF($D2470="","",IFERROR(INDEX(Items!$D$5:$D$504,Q2470),"")),IF($D2470="","","PRO PLAN"))</f>
        <v/>
      </c>
      <c r="J2470" s="61" t="str">
        <f aca="false">IF(IsPro,IF($D2470="","",IF($F2470="",IFERROR(INDEX(Items!$G$5:$G$504,Q2470),0),$F2470)),"")</f>
        <v/>
      </c>
      <c r="K2470" s="61" t="str">
        <f aca="false">IF(IsPro,IF($D2470="","",ROUND(N($E2470)*J2470*(1-N($G2470)),2)),"")</f>
        <v/>
      </c>
      <c r="L2470" s="62" t="str">
        <f aca="false">IF(IsPro,IF($D2470="","",IFERROR(INDEX(Items!$F$5:$F$504,Q2470),0)),"")</f>
        <v/>
      </c>
      <c r="M2470" s="61" t="str">
        <f aca="false">IF(IsPro,IF($D2470="","",IF(AND(R2470&lt;&gt;"",INDEX(Parties!$E$5:$E$304,R2470)&lt;&gt;"",INDEX(Parties!$E$5:$E$304,R2470)&lt;&gt;HomeState),0,ROUND(K2470*L2470/2,2))),"")</f>
        <v/>
      </c>
      <c r="N2470" s="61" t="str">
        <f aca="false">IF(IsPro,IF($D2470="","",M2470),"")</f>
        <v/>
      </c>
      <c r="O2470" s="61" t="str">
        <f aca="false">IF(IsPro,IF($D2470="","",IF(AND(R2470&lt;&gt;"",INDEX(Parties!$E$5:$E$304,R2470)&lt;&gt;"",INDEX(Parties!$E$5:$E$304,R2470)&lt;&gt;HomeState),ROUND(K2470*L2470,2),0)),"")</f>
        <v/>
      </c>
      <c r="P2470" s="61" t="str">
        <f aca="false">IF(IsPro,IF($D2470="","",K2470+M2470+N2470+O2470),"")</f>
        <v/>
      </c>
      <c r="Q2470" s="60" t="str">
        <f aca="false">IF(IsPro,IF($D2470="","",IFERROR(MATCH($D2470,Items!$A$5:$A$504,0),"")),"")</f>
        <v/>
      </c>
      <c r="R2470" s="60" t="str">
        <f aca="false">IF(IsPro,IF($C2470="","",IFERROR(MATCH($C2470,Parties!$A$5:$A$304,0),"")),"")</f>
        <v/>
      </c>
      <c r="S2470" s="61" t="str">
        <f aca="false">IF(IsPro,IF($D2470="","",IF(OR($H2470="",$H2470="Credit"),0,P2470)),"")</f>
        <v/>
      </c>
    </row>
    <row r="2471" customFormat="false" ht="15" hidden="false" customHeight="false" outlineLevel="0" collapsed="false">
      <c r="A2471" s="55"/>
      <c r="B2471" s="56"/>
      <c r="C2471" s="56"/>
      <c r="D2471" s="56"/>
      <c r="E2471" s="57"/>
      <c r="F2471" s="58"/>
      <c r="G2471" s="59"/>
      <c r="H2471" s="56"/>
      <c r="I2471" s="60" t="str">
        <f aca="false">IF(IsPro,IF($D2471="","",IFERROR(INDEX(Items!$D$5:$D$504,Q2471),"")),IF($D2471="","","PRO PLAN"))</f>
        <v/>
      </c>
      <c r="J2471" s="61" t="str">
        <f aca="false">IF(IsPro,IF($D2471="","",IF($F2471="",IFERROR(INDEX(Items!$G$5:$G$504,Q2471),0),$F2471)),"")</f>
        <v/>
      </c>
      <c r="K2471" s="61" t="str">
        <f aca="false">IF(IsPro,IF($D2471="","",ROUND(N($E2471)*J2471*(1-N($G2471)),2)),"")</f>
        <v/>
      </c>
      <c r="L2471" s="62" t="str">
        <f aca="false">IF(IsPro,IF($D2471="","",IFERROR(INDEX(Items!$F$5:$F$504,Q2471),0)),"")</f>
        <v/>
      </c>
      <c r="M2471" s="61" t="str">
        <f aca="false">IF(IsPro,IF($D2471="","",IF(AND(R2471&lt;&gt;"",INDEX(Parties!$E$5:$E$304,R2471)&lt;&gt;"",INDEX(Parties!$E$5:$E$304,R2471)&lt;&gt;HomeState),0,ROUND(K2471*L2471/2,2))),"")</f>
        <v/>
      </c>
      <c r="N2471" s="61" t="str">
        <f aca="false">IF(IsPro,IF($D2471="","",M2471),"")</f>
        <v/>
      </c>
      <c r="O2471" s="61" t="str">
        <f aca="false">IF(IsPro,IF($D2471="","",IF(AND(R2471&lt;&gt;"",INDEX(Parties!$E$5:$E$304,R2471)&lt;&gt;"",INDEX(Parties!$E$5:$E$304,R2471)&lt;&gt;HomeState),ROUND(K2471*L2471,2),0)),"")</f>
        <v/>
      </c>
      <c r="P2471" s="61" t="str">
        <f aca="false">IF(IsPro,IF($D2471="","",K2471+M2471+N2471+O2471),"")</f>
        <v/>
      </c>
      <c r="Q2471" s="60" t="str">
        <f aca="false">IF(IsPro,IF($D2471="","",IFERROR(MATCH($D2471,Items!$A$5:$A$504,0),"")),"")</f>
        <v/>
      </c>
      <c r="R2471" s="60" t="str">
        <f aca="false">IF(IsPro,IF($C2471="","",IFERROR(MATCH($C2471,Parties!$A$5:$A$304,0),"")),"")</f>
        <v/>
      </c>
      <c r="S2471" s="61" t="str">
        <f aca="false">IF(IsPro,IF($D2471="","",IF(OR($H2471="",$H2471="Credit"),0,P2471)),"")</f>
        <v/>
      </c>
    </row>
    <row r="2472" customFormat="false" ht="15" hidden="false" customHeight="false" outlineLevel="0" collapsed="false">
      <c r="A2472" s="55"/>
      <c r="B2472" s="56"/>
      <c r="C2472" s="56"/>
      <c r="D2472" s="56"/>
      <c r="E2472" s="57"/>
      <c r="F2472" s="58"/>
      <c r="G2472" s="59"/>
      <c r="H2472" s="56"/>
      <c r="I2472" s="60" t="str">
        <f aca="false">IF(IsPro,IF($D2472="","",IFERROR(INDEX(Items!$D$5:$D$504,Q2472),"")),IF($D2472="","","PRO PLAN"))</f>
        <v/>
      </c>
      <c r="J2472" s="61" t="str">
        <f aca="false">IF(IsPro,IF($D2472="","",IF($F2472="",IFERROR(INDEX(Items!$G$5:$G$504,Q2472),0),$F2472)),"")</f>
        <v/>
      </c>
      <c r="K2472" s="61" t="str">
        <f aca="false">IF(IsPro,IF($D2472="","",ROUND(N($E2472)*J2472*(1-N($G2472)),2)),"")</f>
        <v/>
      </c>
      <c r="L2472" s="62" t="str">
        <f aca="false">IF(IsPro,IF($D2472="","",IFERROR(INDEX(Items!$F$5:$F$504,Q2472),0)),"")</f>
        <v/>
      </c>
      <c r="M2472" s="61" t="str">
        <f aca="false">IF(IsPro,IF($D2472="","",IF(AND(R2472&lt;&gt;"",INDEX(Parties!$E$5:$E$304,R2472)&lt;&gt;"",INDEX(Parties!$E$5:$E$304,R2472)&lt;&gt;HomeState),0,ROUND(K2472*L2472/2,2))),"")</f>
        <v/>
      </c>
      <c r="N2472" s="61" t="str">
        <f aca="false">IF(IsPro,IF($D2472="","",M2472),"")</f>
        <v/>
      </c>
      <c r="O2472" s="61" t="str">
        <f aca="false">IF(IsPro,IF($D2472="","",IF(AND(R2472&lt;&gt;"",INDEX(Parties!$E$5:$E$304,R2472)&lt;&gt;"",INDEX(Parties!$E$5:$E$304,R2472)&lt;&gt;HomeState),ROUND(K2472*L2472,2),0)),"")</f>
        <v/>
      </c>
      <c r="P2472" s="61" t="str">
        <f aca="false">IF(IsPro,IF($D2472="","",K2472+M2472+N2472+O2472),"")</f>
        <v/>
      </c>
      <c r="Q2472" s="60" t="str">
        <f aca="false">IF(IsPro,IF($D2472="","",IFERROR(MATCH($D2472,Items!$A$5:$A$504,0),"")),"")</f>
        <v/>
      </c>
      <c r="R2472" s="60" t="str">
        <f aca="false">IF(IsPro,IF($C2472="","",IFERROR(MATCH($C2472,Parties!$A$5:$A$304,0),"")),"")</f>
        <v/>
      </c>
      <c r="S2472" s="61" t="str">
        <f aca="false">IF(IsPro,IF($D2472="","",IF(OR($H2472="",$H2472="Credit"),0,P2472)),"")</f>
        <v/>
      </c>
    </row>
    <row r="2473" customFormat="false" ht="15" hidden="false" customHeight="false" outlineLevel="0" collapsed="false">
      <c r="A2473" s="55"/>
      <c r="B2473" s="56"/>
      <c r="C2473" s="56"/>
      <c r="D2473" s="56"/>
      <c r="E2473" s="57"/>
      <c r="F2473" s="58"/>
      <c r="G2473" s="59"/>
      <c r="H2473" s="56"/>
      <c r="I2473" s="60" t="str">
        <f aca="false">IF(IsPro,IF($D2473="","",IFERROR(INDEX(Items!$D$5:$D$504,Q2473),"")),IF($D2473="","","PRO PLAN"))</f>
        <v/>
      </c>
      <c r="J2473" s="61" t="str">
        <f aca="false">IF(IsPro,IF($D2473="","",IF($F2473="",IFERROR(INDEX(Items!$G$5:$G$504,Q2473),0),$F2473)),"")</f>
        <v/>
      </c>
      <c r="K2473" s="61" t="str">
        <f aca="false">IF(IsPro,IF($D2473="","",ROUND(N($E2473)*J2473*(1-N($G2473)),2)),"")</f>
        <v/>
      </c>
      <c r="L2473" s="62" t="str">
        <f aca="false">IF(IsPro,IF($D2473="","",IFERROR(INDEX(Items!$F$5:$F$504,Q2473),0)),"")</f>
        <v/>
      </c>
      <c r="M2473" s="61" t="str">
        <f aca="false">IF(IsPro,IF($D2473="","",IF(AND(R2473&lt;&gt;"",INDEX(Parties!$E$5:$E$304,R2473)&lt;&gt;"",INDEX(Parties!$E$5:$E$304,R2473)&lt;&gt;HomeState),0,ROUND(K2473*L2473/2,2))),"")</f>
        <v/>
      </c>
      <c r="N2473" s="61" t="str">
        <f aca="false">IF(IsPro,IF($D2473="","",M2473),"")</f>
        <v/>
      </c>
      <c r="O2473" s="61" t="str">
        <f aca="false">IF(IsPro,IF($D2473="","",IF(AND(R2473&lt;&gt;"",INDEX(Parties!$E$5:$E$304,R2473)&lt;&gt;"",INDEX(Parties!$E$5:$E$304,R2473)&lt;&gt;HomeState),ROUND(K2473*L2473,2),0)),"")</f>
        <v/>
      </c>
      <c r="P2473" s="61" t="str">
        <f aca="false">IF(IsPro,IF($D2473="","",K2473+M2473+N2473+O2473),"")</f>
        <v/>
      </c>
      <c r="Q2473" s="60" t="str">
        <f aca="false">IF(IsPro,IF($D2473="","",IFERROR(MATCH($D2473,Items!$A$5:$A$504,0),"")),"")</f>
        <v/>
      </c>
      <c r="R2473" s="60" t="str">
        <f aca="false">IF(IsPro,IF($C2473="","",IFERROR(MATCH($C2473,Parties!$A$5:$A$304,0),"")),"")</f>
        <v/>
      </c>
      <c r="S2473" s="61" t="str">
        <f aca="false">IF(IsPro,IF($D2473="","",IF(OR($H2473="",$H2473="Credit"),0,P2473)),"")</f>
        <v/>
      </c>
    </row>
    <row r="2474" customFormat="false" ht="15" hidden="false" customHeight="false" outlineLevel="0" collapsed="false">
      <c r="A2474" s="55"/>
      <c r="B2474" s="56"/>
      <c r="C2474" s="56"/>
      <c r="D2474" s="56"/>
      <c r="E2474" s="57"/>
      <c r="F2474" s="58"/>
      <c r="G2474" s="59"/>
      <c r="H2474" s="56"/>
      <c r="I2474" s="60" t="str">
        <f aca="false">IF(IsPro,IF($D2474="","",IFERROR(INDEX(Items!$D$5:$D$504,Q2474),"")),IF($D2474="","","PRO PLAN"))</f>
        <v/>
      </c>
      <c r="J2474" s="61" t="str">
        <f aca="false">IF(IsPro,IF($D2474="","",IF($F2474="",IFERROR(INDEX(Items!$G$5:$G$504,Q2474),0),$F2474)),"")</f>
        <v/>
      </c>
      <c r="K2474" s="61" t="str">
        <f aca="false">IF(IsPro,IF($D2474="","",ROUND(N($E2474)*J2474*(1-N($G2474)),2)),"")</f>
        <v/>
      </c>
      <c r="L2474" s="62" t="str">
        <f aca="false">IF(IsPro,IF($D2474="","",IFERROR(INDEX(Items!$F$5:$F$504,Q2474),0)),"")</f>
        <v/>
      </c>
      <c r="M2474" s="61" t="str">
        <f aca="false">IF(IsPro,IF($D2474="","",IF(AND(R2474&lt;&gt;"",INDEX(Parties!$E$5:$E$304,R2474)&lt;&gt;"",INDEX(Parties!$E$5:$E$304,R2474)&lt;&gt;HomeState),0,ROUND(K2474*L2474/2,2))),"")</f>
        <v/>
      </c>
      <c r="N2474" s="61" t="str">
        <f aca="false">IF(IsPro,IF($D2474="","",M2474),"")</f>
        <v/>
      </c>
      <c r="O2474" s="61" t="str">
        <f aca="false">IF(IsPro,IF($D2474="","",IF(AND(R2474&lt;&gt;"",INDEX(Parties!$E$5:$E$304,R2474)&lt;&gt;"",INDEX(Parties!$E$5:$E$304,R2474)&lt;&gt;HomeState),ROUND(K2474*L2474,2),0)),"")</f>
        <v/>
      </c>
      <c r="P2474" s="61" t="str">
        <f aca="false">IF(IsPro,IF($D2474="","",K2474+M2474+N2474+O2474),"")</f>
        <v/>
      </c>
      <c r="Q2474" s="60" t="str">
        <f aca="false">IF(IsPro,IF($D2474="","",IFERROR(MATCH($D2474,Items!$A$5:$A$504,0),"")),"")</f>
        <v/>
      </c>
      <c r="R2474" s="60" t="str">
        <f aca="false">IF(IsPro,IF($C2474="","",IFERROR(MATCH($C2474,Parties!$A$5:$A$304,0),"")),"")</f>
        <v/>
      </c>
      <c r="S2474" s="61" t="str">
        <f aca="false">IF(IsPro,IF($D2474="","",IF(OR($H2474="",$H2474="Credit"),0,P2474)),"")</f>
        <v/>
      </c>
    </row>
    <row r="2475" customFormat="false" ht="15" hidden="false" customHeight="false" outlineLevel="0" collapsed="false">
      <c r="A2475" s="55"/>
      <c r="B2475" s="56"/>
      <c r="C2475" s="56"/>
      <c r="D2475" s="56"/>
      <c r="E2475" s="57"/>
      <c r="F2475" s="58"/>
      <c r="G2475" s="59"/>
      <c r="H2475" s="56"/>
      <c r="I2475" s="60" t="str">
        <f aca="false">IF(IsPro,IF($D2475="","",IFERROR(INDEX(Items!$D$5:$D$504,Q2475),"")),IF($D2475="","","PRO PLAN"))</f>
        <v/>
      </c>
      <c r="J2475" s="61" t="str">
        <f aca="false">IF(IsPro,IF($D2475="","",IF($F2475="",IFERROR(INDEX(Items!$G$5:$G$504,Q2475),0),$F2475)),"")</f>
        <v/>
      </c>
      <c r="K2475" s="61" t="str">
        <f aca="false">IF(IsPro,IF($D2475="","",ROUND(N($E2475)*J2475*(1-N($G2475)),2)),"")</f>
        <v/>
      </c>
      <c r="L2475" s="62" t="str">
        <f aca="false">IF(IsPro,IF($D2475="","",IFERROR(INDEX(Items!$F$5:$F$504,Q2475),0)),"")</f>
        <v/>
      </c>
      <c r="M2475" s="61" t="str">
        <f aca="false">IF(IsPro,IF($D2475="","",IF(AND(R2475&lt;&gt;"",INDEX(Parties!$E$5:$E$304,R2475)&lt;&gt;"",INDEX(Parties!$E$5:$E$304,R2475)&lt;&gt;HomeState),0,ROUND(K2475*L2475/2,2))),"")</f>
        <v/>
      </c>
      <c r="N2475" s="61" t="str">
        <f aca="false">IF(IsPro,IF($D2475="","",M2475),"")</f>
        <v/>
      </c>
      <c r="O2475" s="61" t="str">
        <f aca="false">IF(IsPro,IF($D2475="","",IF(AND(R2475&lt;&gt;"",INDEX(Parties!$E$5:$E$304,R2475)&lt;&gt;"",INDEX(Parties!$E$5:$E$304,R2475)&lt;&gt;HomeState),ROUND(K2475*L2475,2),0)),"")</f>
        <v/>
      </c>
      <c r="P2475" s="61" t="str">
        <f aca="false">IF(IsPro,IF($D2475="","",K2475+M2475+N2475+O2475),"")</f>
        <v/>
      </c>
      <c r="Q2475" s="60" t="str">
        <f aca="false">IF(IsPro,IF($D2475="","",IFERROR(MATCH($D2475,Items!$A$5:$A$504,0),"")),"")</f>
        <v/>
      </c>
      <c r="R2475" s="60" t="str">
        <f aca="false">IF(IsPro,IF($C2475="","",IFERROR(MATCH($C2475,Parties!$A$5:$A$304,0),"")),"")</f>
        <v/>
      </c>
      <c r="S2475" s="61" t="str">
        <f aca="false">IF(IsPro,IF($D2475="","",IF(OR($H2475="",$H2475="Credit"),0,P2475)),"")</f>
        <v/>
      </c>
    </row>
    <row r="2476" customFormat="false" ht="15" hidden="false" customHeight="false" outlineLevel="0" collapsed="false">
      <c r="A2476" s="55"/>
      <c r="B2476" s="56"/>
      <c r="C2476" s="56"/>
      <c r="D2476" s="56"/>
      <c r="E2476" s="57"/>
      <c r="F2476" s="58"/>
      <c r="G2476" s="59"/>
      <c r="H2476" s="56"/>
      <c r="I2476" s="60" t="str">
        <f aca="false">IF(IsPro,IF($D2476="","",IFERROR(INDEX(Items!$D$5:$D$504,Q2476),"")),IF($D2476="","","PRO PLAN"))</f>
        <v/>
      </c>
      <c r="J2476" s="61" t="str">
        <f aca="false">IF(IsPro,IF($D2476="","",IF($F2476="",IFERROR(INDEX(Items!$G$5:$G$504,Q2476),0),$F2476)),"")</f>
        <v/>
      </c>
      <c r="K2476" s="61" t="str">
        <f aca="false">IF(IsPro,IF($D2476="","",ROUND(N($E2476)*J2476*(1-N($G2476)),2)),"")</f>
        <v/>
      </c>
      <c r="L2476" s="62" t="str">
        <f aca="false">IF(IsPro,IF($D2476="","",IFERROR(INDEX(Items!$F$5:$F$504,Q2476),0)),"")</f>
        <v/>
      </c>
      <c r="M2476" s="61" t="str">
        <f aca="false">IF(IsPro,IF($D2476="","",IF(AND(R2476&lt;&gt;"",INDEX(Parties!$E$5:$E$304,R2476)&lt;&gt;"",INDEX(Parties!$E$5:$E$304,R2476)&lt;&gt;HomeState),0,ROUND(K2476*L2476/2,2))),"")</f>
        <v/>
      </c>
      <c r="N2476" s="61" t="str">
        <f aca="false">IF(IsPro,IF($D2476="","",M2476),"")</f>
        <v/>
      </c>
      <c r="O2476" s="61" t="str">
        <f aca="false">IF(IsPro,IF($D2476="","",IF(AND(R2476&lt;&gt;"",INDEX(Parties!$E$5:$E$304,R2476)&lt;&gt;"",INDEX(Parties!$E$5:$E$304,R2476)&lt;&gt;HomeState),ROUND(K2476*L2476,2),0)),"")</f>
        <v/>
      </c>
      <c r="P2476" s="61" t="str">
        <f aca="false">IF(IsPro,IF($D2476="","",K2476+M2476+N2476+O2476),"")</f>
        <v/>
      </c>
      <c r="Q2476" s="60" t="str">
        <f aca="false">IF(IsPro,IF($D2476="","",IFERROR(MATCH($D2476,Items!$A$5:$A$504,0),"")),"")</f>
        <v/>
      </c>
      <c r="R2476" s="60" t="str">
        <f aca="false">IF(IsPro,IF($C2476="","",IFERROR(MATCH($C2476,Parties!$A$5:$A$304,0),"")),"")</f>
        <v/>
      </c>
      <c r="S2476" s="61" t="str">
        <f aca="false">IF(IsPro,IF($D2476="","",IF(OR($H2476="",$H2476="Credit"),0,P2476)),"")</f>
        <v/>
      </c>
    </row>
    <row r="2477" customFormat="false" ht="15" hidden="false" customHeight="false" outlineLevel="0" collapsed="false">
      <c r="A2477" s="55"/>
      <c r="B2477" s="56"/>
      <c r="C2477" s="56"/>
      <c r="D2477" s="56"/>
      <c r="E2477" s="57"/>
      <c r="F2477" s="58"/>
      <c r="G2477" s="59"/>
      <c r="H2477" s="56"/>
      <c r="I2477" s="60" t="str">
        <f aca="false">IF(IsPro,IF($D2477="","",IFERROR(INDEX(Items!$D$5:$D$504,Q2477),"")),IF($D2477="","","PRO PLAN"))</f>
        <v/>
      </c>
      <c r="J2477" s="61" t="str">
        <f aca="false">IF(IsPro,IF($D2477="","",IF($F2477="",IFERROR(INDEX(Items!$G$5:$G$504,Q2477),0),$F2477)),"")</f>
        <v/>
      </c>
      <c r="K2477" s="61" t="str">
        <f aca="false">IF(IsPro,IF($D2477="","",ROUND(N($E2477)*J2477*(1-N($G2477)),2)),"")</f>
        <v/>
      </c>
      <c r="L2477" s="62" t="str">
        <f aca="false">IF(IsPro,IF($D2477="","",IFERROR(INDEX(Items!$F$5:$F$504,Q2477),0)),"")</f>
        <v/>
      </c>
      <c r="M2477" s="61" t="str">
        <f aca="false">IF(IsPro,IF($D2477="","",IF(AND(R2477&lt;&gt;"",INDEX(Parties!$E$5:$E$304,R2477)&lt;&gt;"",INDEX(Parties!$E$5:$E$304,R2477)&lt;&gt;HomeState),0,ROUND(K2477*L2477/2,2))),"")</f>
        <v/>
      </c>
      <c r="N2477" s="61" t="str">
        <f aca="false">IF(IsPro,IF($D2477="","",M2477),"")</f>
        <v/>
      </c>
      <c r="O2477" s="61" t="str">
        <f aca="false">IF(IsPro,IF($D2477="","",IF(AND(R2477&lt;&gt;"",INDEX(Parties!$E$5:$E$304,R2477)&lt;&gt;"",INDEX(Parties!$E$5:$E$304,R2477)&lt;&gt;HomeState),ROUND(K2477*L2477,2),0)),"")</f>
        <v/>
      </c>
      <c r="P2477" s="61" t="str">
        <f aca="false">IF(IsPro,IF($D2477="","",K2477+M2477+N2477+O2477),"")</f>
        <v/>
      </c>
      <c r="Q2477" s="60" t="str">
        <f aca="false">IF(IsPro,IF($D2477="","",IFERROR(MATCH($D2477,Items!$A$5:$A$504,0),"")),"")</f>
        <v/>
      </c>
      <c r="R2477" s="60" t="str">
        <f aca="false">IF(IsPro,IF($C2477="","",IFERROR(MATCH($C2477,Parties!$A$5:$A$304,0),"")),"")</f>
        <v/>
      </c>
      <c r="S2477" s="61" t="str">
        <f aca="false">IF(IsPro,IF($D2477="","",IF(OR($H2477="",$H2477="Credit"),0,P2477)),"")</f>
        <v/>
      </c>
    </row>
    <row r="2478" customFormat="false" ht="15" hidden="false" customHeight="false" outlineLevel="0" collapsed="false">
      <c r="A2478" s="55"/>
      <c r="B2478" s="56"/>
      <c r="C2478" s="56"/>
      <c r="D2478" s="56"/>
      <c r="E2478" s="57"/>
      <c r="F2478" s="58"/>
      <c r="G2478" s="59"/>
      <c r="H2478" s="56"/>
      <c r="I2478" s="60" t="str">
        <f aca="false">IF(IsPro,IF($D2478="","",IFERROR(INDEX(Items!$D$5:$D$504,Q2478),"")),IF($D2478="","","PRO PLAN"))</f>
        <v/>
      </c>
      <c r="J2478" s="61" t="str">
        <f aca="false">IF(IsPro,IF($D2478="","",IF($F2478="",IFERROR(INDEX(Items!$G$5:$G$504,Q2478),0),$F2478)),"")</f>
        <v/>
      </c>
      <c r="K2478" s="61" t="str">
        <f aca="false">IF(IsPro,IF($D2478="","",ROUND(N($E2478)*J2478*(1-N($G2478)),2)),"")</f>
        <v/>
      </c>
      <c r="L2478" s="62" t="str">
        <f aca="false">IF(IsPro,IF($D2478="","",IFERROR(INDEX(Items!$F$5:$F$504,Q2478),0)),"")</f>
        <v/>
      </c>
      <c r="M2478" s="61" t="str">
        <f aca="false">IF(IsPro,IF($D2478="","",IF(AND(R2478&lt;&gt;"",INDEX(Parties!$E$5:$E$304,R2478)&lt;&gt;"",INDEX(Parties!$E$5:$E$304,R2478)&lt;&gt;HomeState),0,ROUND(K2478*L2478/2,2))),"")</f>
        <v/>
      </c>
      <c r="N2478" s="61" t="str">
        <f aca="false">IF(IsPro,IF($D2478="","",M2478),"")</f>
        <v/>
      </c>
      <c r="O2478" s="61" t="str">
        <f aca="false">IF(IsPro,IF($D2478="","",IF(AND(R2478&lt;&gt;"",INDEX(Parties!$E$5:$E$304,R2478)&lt;&gt;"",INDEX(Parties!$E$5:$E$304,R2478)&lt;&gt;HomeState),ROUND(K2478*L2478,2),0)),"")</f>
        <v/>
      </c>
      <c r="P2478" s="61" t="str">
        <f aca="false">IF(IsPro,IF($D2478="","",K2478+M2478+N2478+O2478),"")</f>
        <v/>
      </c>
      <c r="Q2478" s="60" t="str">
        <f aca="false">IF(IsPro,IF($D2478="","",IFERROR(MATCH($D2478,Items!$A$5:$A$504,0),"")),"")</f>
        <v/>
      </c>
      <c r="R2478" s="60" t="str">
        <f aca="false">IF(IsPro,IF($C2478="","",IFERROR(MATCH($C2478,Parties!$A$5:$A$304,0),"")),"")</f>
        <v/>
      </c>
      <c r="S2478" s="61" t="str">
        <f aca="false">IF(IsPro,IF($D2478="","",IF(OR($H2478="",$H2478="Credit"),0,P2478)),"")</f>
        <v/>
      </c>
    </row>
    <row r="2479" customFormat="false" ht="15" hidden="false" customHeight="false" outlineLevel="0" collapsed="false">
      <c r="A2479" s="55"/>
      <c r="B2479" s="56"/>
      <c r="C2479" s="56"/>
      <c r="D2479" s="56"/>
      <c r="E2479" s="57"/>
      <c r="F2479" s="58"/>
      <c r="G2479" s="59"/>
      <c r="H2479" s="56"/>
      <c r="I2479" s="60" t="str">
        <f aca="false">IF(IsPro,IF($D2479="","",IFERROR(INDEX(Items!$D$5:$D$504,Q2479),"")),IF($D2479="","","PRO PLAN"))</f>
        <v/>
      </c>
      <c r="J2479" s="61" t="str">
        <f aca="false">IF(IsPro,IF($D2479="","",IF($F2479="",IFERROR(INDEX(Items!$G$5:$G$504,Q2479),0),$F2479)),"")</f>
        <v/>
      </c>
      <c r="K2479" s="61" t="str">
        <f aca="false">IF(IsPro,IF($D2479="","",ROUND(N($E2479)*J2479*(1-N($G2479)),2)),"")</f>
        <v/>
      </c>
      <c r="L2479" s="62" t="str">
        <f aca="false">IF(IsPro,IF($D2479="","",IFERROR(INDEX(Items!$F$5:$F$504,Q2479),0)),"")</f>
        <v/>
      </c>
      <c r="M2479" s="61" t="str">
        <f aca="false">IF(IsPro,IF($D2479="","",IF(AND(R2479&lt;&gt;"",INDEX(Parties!$E$5:$E$304,R2479)&lt;&gt;"",INDEX(Parties!$E$5:$E$304,R2479)&lt;&gt;HomeState),0,ROUND(K2479*L2479/2,2))),"")</f>
        <v/>
      </c>
      <c r="N2479" s="61" t="str">
        <f aca="false">IF(IsPro,IF($D2479="","",M2479),"")</f>
        <v/>
      </c>
      <c r="O2479" s="61" t="str">
        <f aca="false">IF(IsPro,IF($D2479="","",IF(AND(R2479&lt;&gt;"",INDEX(Parties!$E$5:$E$304,R2479)&lt;&gt;"",INDEX(Parties!$E$5:$E$304,R2479)&lt;&gt;HomeState),ROUND(K2479*L2479,2),0)),"")</f>
        <v/>
      </c>
      <c r="P2479" s="61" t="str">
        <f aca="false">IF(IsPro,IF($D2479="","",K2479+M2479+N2479+O2479),"")</f>
        <v/>
      </c>
      <c r="Q2479" s="60" t="str">
        <f aca="false">IF(IsPro,IF($D2479="","",IFERROR(MATCH($D2479,Items!$A$5:$A$504,0),"")),"")</f>
        <v/>
      </c>
      <c r="R2479" s="60" t="str">
        <f aca="false">IF(IsPro,IF($C2479="","",IFERROR(MATCH($C2479,Parties!$A$5:$A$304,0),"")),"")</f>
        <v/>
      </c>
      <c r="S2479" s="61" t="str">
        <f aca="false">IF(IsPro,IF($D2479="","",IF(OR($H2479="",$H2479="Credit"),0,P2479)),"")</f>
        <v/>
      </c>
    </row>
    <row r="2480" customFormat="false" ht="15" hidden="false" customHeight="false" outlineLevel="0" collapsed="false">
      <c r="A2480" s="55"/>
      <c r="B2480" s="56"/>
      <c r="C2480" s="56"/>
      <c r="D2480" s="56"/>
      <c r="E2480" s="57"/>
      <c r="F2480" s="58"/>
      <c r="G2480" s="59"/>
      <c r="H2480" s="56"/>
      <c r="I2480" s="60" t="str">
        <f aca="false">IF(IsPro,IF($D2480="","",IFERROR(INDEX(Items!$D$5:$D$504,Q2480),"")),IF($D2480="","","PRO PLAN"))</f>
        <v/>
      </c>
      <c r="J2480" s="61" t="str">
        <f aca="false">IF(IsPro,IF($D2480="","",IF($F2480="",IFERROR(INDEX(Items!$G$5:$G$504,Q2480),0),$F2480)),"")</f>
        <v/>
      </c>
      <c r="K2480" s="61" t="str">
        <f aca="false">IF(IsPro,IF($D2480="","",ROUND(N($E2480)*J2480*(1-N($G2480)),2)),"")</f>
        <v/>
      </c>
      <c r="L2480" s="62" t="str">
        <f aca="false">IF(IsPro,IF($D2480="","",IFERROR(INDEX(Items!$F$5:$F$504,Q2480),0)),"")</f>
        <v/>
      </c>
      <c r="M2480" s="61" t="str">
        <f aca="false">IF(IsPro,IF($D2480="","",IF(AND(R2480&lt;&gt;"",INDEX(Parties!$E$5:$E$304,R2480)&lt;&gt;"",INDEX(Parties!$E$5:$E$304,R2480)&lt;&gt;HomeState),0,ROUND(K2480*L2480/2,2))),"")</f>
        <v/>
      </c>
      <c r="N2480" s="61" t="str">
        <f aca="false">IF(IsPro,IF($D2480="","",M2480),"")</f>
        <v/>
      </c>
      <c r="O2480" s="61" t="str">
        <f aca="false">IF(IsPro,IF($D2480="","",IF(AND(R2480&lt;&gt;"",INDEX(Parties!$E$5:$E$304,R2480)&lt;&gt;"",INDEX(Parties!$E$5:$E$304,R2480)&lt;&gt;HomeState),ROUND(K2480*L2480,2),0)),"")</f>
        <v/>
      </c>
      <c r="P2480" s="61" t="str">
        <f aca="false">IF(IsPro,IF($D2480="","",K2480+M2480+N2480+O2480),"")</f>
        <v/>
      </c>
      <c r="Q2480" s="60" t="str">
        <f aca="false">IF(IsPro,IF($D2480="","",IFERROR(MATCH($D2480,Items!$A$5:$A$504,0),"")),"")</f>
        <v/>
      </c>
      <c r="R2480" s="60" t="str">
        <f aca="false">IF(IsPro,IF($C2480="","",IFERROR(MATCH($C2480,Parties!$A$5:$A$304,0),"")),"")</f>
        <v/>
      </c>
      <c r="S2480" s="61" t="str">
        <f aca="false">IF(IsPro,IF($D2480="","",IF(OR($H2480="",$H2480="Credit"),0,P2480)),"")</f>
        <v/>
      </c>
    </row>
    <row r="2481" customFormat="false" ht="15" hidden="false" customHeight="false" outlineLevel="0" collapsed="false">
      <c r="A2481" s="55"/>
      <c r="B2481" s="56"/>
      <c r="C2481" s="56"/>
      <c r="D2481" s="56"/>
      <c r="E2481" s="57"/>
      <c r="F2481" s="58"/>
      <c r="G2481" s="59"/>
      <c r="H2481" s="56"/>
      <c r="I2481" s="60" t="str">
        <f aca="false">IF(IsPro,IF($D2481="","",IFERROR(INDEX(Items!$D$5:$D$504,Q2481),"")),IF($D2481="","","PRO PLAN"))</f>
        <v/>
      </c>
      <c r="J2481" s="61" t="str">
        <f aca="false">IF(IsPro,IF($D2481="","",IF($F2481="",IFERROR(INDEX(Items!$G$5:$G$504,Q2481),0),$F2481)),"")</f>
        <v/>
      </c>
      <c r="K2481" s="61" t="str">
        <f aca="false">IF(IsPro,IF($D2481="","",ROUND(N($E2481)*J2481*(1-N($G2481)),2)),"")</f>
        <v/>
      </c>
      <c r="L2481" s="62" t="str">
        <f aca="false">IF(IsPro,IF($D2481="","",IFERROR(INDEX(Items!$F$5:$F$504,Q2481),0)),"")</f>
        <v/>
      </c>
      <c r="M2481" s="61" t="str">
        <f aca="false">IF(IsPro,IF($D2481="","",IF(AND(R2481&lt;&gt;"",INDEX(Parties!$E$5:$E$304,R2481)&lt;&gt;"",INDEX(Parties!$E$5:$E$304,R2481)&lt;&gt;HomeState),0,ROUND(K2481*L2481/2,2))),"")</f>
        <v/>
      </c>
      <c r="N2481" s="61" t="str">
        <f aca="false">IF(IsPro,IF($D2481="","",M2481),"")</f>
        <v/>
      </c>
      <c r="O2481" s="61" t="str">
        <f aca="false">IF(IsPro,IF($D2481="","",IF(AND(R2481&lt;&gt;"",INDEX(Parties!$E$5:$E$304,R2481)&lt;&gt;"",INDEX(Parties!$E$5:$E$304,R2481)&lt;&gt;HomeState),ROUND(K2481*L2481,2),0)),"")</f>
        <v/>
      </c>
      <c r="P2481" s="61" t="str">
        <f aca="false">IF(IsPro,IF($D2481="","",K2481+M2481+N2481+O2481),"")</f>
        <v/>
      </c>
      <c r="Q2481" s="60" t="str">
        <f aca="false">IF(IsPro,IF($D2481="","",IFERROR(MATCH($D2481,Items!$A$5:$A$504,0),"")),"")</f>
        <v/>
      </c>
      <c r="R2481" s="60" t="str">
        <f aca="false">IF(IsPro,IF($C2481="","",IFERROR(MATCH($C2481,Parties!$A$5:$A$304,0),"")),"")</f>
        <v/>
      </c>
      <c r="S2481" s="61" t="str">
        <f aca="false">IF(IsPro,IF($D2481="","",IF(OR($H2481="",$H2481="Credit"),0,P2481)),"")</f>
        <v/>
      </c>
    </row>
    <row r="2482" customFormat="false" ht="15" hidden="false" customHeight="false" outlineLevel="0" collapsed="false">
      <c r="A2482" s="55"/>
      <c r="B2482" s="56"/>
      <c r="C2482" s="56"/>
      <c r="D2482" s="56"/>
      <c r="E2482" s="57"/>
      <c r="F2482" s="58"/>
      <c r="G2482" s="59"/>
      <c r="H2482" s="56"/>
      <c r="I2482" s="60" t="str">
        <f aca="false">IF(IsPro,IF($D2482="","",IFERROR(INDEX(Items!$D$5:$D$504,Q2482),"")),IF($D2482="","","PRO PLAN"))</f>
        <v/>
      </c>
      <c r="J2482" s="61" t="str">
        <f aca="false">IF(IsPro,IF($D2482="","",IF($F2482="",IFERROR(INDEX(Items!$G$5:$G$504,Q2482),0),$F2482)),"")</f>
        <v/>
      </c>
      <c r="K2482" s="61" t="str">
        <f aca="false">IF(IsPro,IF($D2482="","",ROUND(N($E2482)*J2482*(1-N($G2482)),2)),"")</f>
        <v/>
      </c>
      <c r="L2482" s="62" t="str">
        <f aca="false">IF(IsPro,IF($D2482="","",IFERROR(INDEX(Items!$F$5:$F$504,Q2482),0)),"")</f>
        <v/>
      </c>
      <c r="M2482" s="61" t="str">
        <f aca="false">IF(IsPro,IF($D2482="","",IF(AND(R2482&lt;&gt;"",INDEX(Parties!$E$5:$E$304,R2482)&lt;&gt;"",INDEX(Parties!$E$5:$E$304,R2482)&lt;&gt;HomeState),0,ROUND(K2482*L2482/2,2))),"")</f>
        <v/>
      </c>
      <c r="N2482" s="61" t="str">
        <f aca="false">IF(IsPro,IF($D2482="","",M2482),"")</f>
        <v/>
      </c>
      <c r="O2482" s="61" t="str">
        <f aca="false">IF(IsPro,IF($D2482="","",IF(AND(R2482&lt;&gt;"",INDEX(Parties!$E$5:$E$304,R2482)&lt;&gt;"",INDEX(Parties!$E$5:$E$304,R2482)&lt;&gt;HomeState),ROUND(K2482*L2482,2),0)),"")</f>
        <v/>
      </c>
      <c r="P2482" s="61" t="str">
        <f aca="false">IF(IsPro,IF($D2482="","",K2482+M2482+N2482+O2482),"")</f>
        <v/>
      </c>
      <c r="Q2482" s="60" t="str">
        <f aca="false">IF(IsPro,IF($D2482="","",IFERROR(MATCH($D2482,Items!$A$5:$A$504,0),"")),"")</f>
        <v/>
      </c>
      <c r="R2482" s="60" t="str">
        <f aca="false">IF(IsPro,IF($C2482="","",IFERROR(MATCH($C2482,Parties!$A$5:$A$304,0),"")),"")</f>
        <v/>
      </c>
      <c r="S2482" s="61" t="str">
        <f aca="false">IF(IsPro,IF($D2482="","",IF(OR($H2482="",$H2482="Credit"),0,P2482)),"")</f>
        <v/>
      </c>
    </row>
    <row r="2483" customFormat="false" ht="15" hidden="false" customHeight="false" outlineLevel="0" collapsed="false">
      <c r="A2483" s="55"/>
      <c r="B2483" s="56"/>
      <c r="C2483" s="56"/>
      <c r="D2483" s="56"/>
      <c r="E2483" s="57"/>
      <c r="F2483" s="58"/>
      <c r="G2483" s="59"/>
      <c r="H2483" s="56"/>
      <c r="I2483" s="60" t="str">
        <f aca="false">IF(IsPro,IF($D2483="","",IFERROR(INDEX(Items!$D$5:$D$504,Q2483),"")),IF($D2483="","","PRO PLAN"))</f>
        <v/>
      </c>
      <c r="J2483" s="61" t="str">
        <f aca="false">IF(IsPro,IF($D2483="","",IF($F2483="",IFERROR(INDEX(Items!$G$5:$G$504,Q2483),0),$F2483)),"")</f>
        <v/>
      </c>
      <c r="K2483" s="61" t="str">
        <f aca="false">IF(IsPro,IF($D2483="","",ROUND(N($E2483)*J2483*(1-N($G2483)),2)),"")</f>
        <v/>
      </c>
      <c r="L2483" s="62" t="str">
        <f aca="false">IF(IsPro,IF($D2483="","",IFERROR(INDEX(Items!$F$5:$F$504,Q2483),0)),"")</f>
        <v/>
      </c>
      <c r="M2483" s="61" t="str">
        <f aca="false">IF(IsPro,IF($D2483="","",IF(AND(R2483&lt;&gt;"",INDEX(Parties!$E$5:$E$304,R2483)&lt;&gt;"",INDEX(Parties!$E$5:$E$304,R2483)&lt;&gt;HomeState),0,ROUND(K2483*L2483/2,2))),"")</f>
        <v/>
      </c>
      <c r="N2483" s="61" t="str">
        <f aca="false">IF(IsPro,IF($D2483="","",M2483),"")</f>
        <v/>
      </c>
      <c r="O2483" s="61" t="str">
        <f aca="false">IF(IsPro,IF($D2483="","",IF(AND(R2483&lt;&gt;"",INDEX(Parties!$E$5:$E$304,R2483)&lt;&gt;"",INDEX(Parties!$E$5:$E$304,R2483)&lt;&gt;HomeState),ROUND(K2483*L2483,2),0)),"")</f>
        <v/>
      </c>
      <c r="P2483" s="61" t="str">
        <f aca="false">IF(IsPro,IF($D2483="","",K2483+M2483+N2483+O2483),"")</f>
        <v/>
      </c>
      <c r="Q2483" s="60" t="str">
        <f aca="false">IF(IsPro,IF($D2483="","",IFERROR(MATCH($D2483,Items!$A$5:$A$504,0),"")),"")</f>
        <v/>
      </c>
      <c r="R2483" s="60" t="str">
        <f aca="false">IF(IsPro,IF($C2483="","",IFERROR(MATCH($C2483,Parties!$A$5:$A$304,0),"")),"")</f>
        <v/>
      </c>
      <c r="S2483" s="61" t="str">
        <f aca="false">IF(IsPro,IF($D2483="","",IF(OR($H2483="",$H2483="Credit"),0,P2483)),"")</f>
        <v/>
      </c>
    </row>
    <row r="2484" customFormat="false" ht="15" hidden="false" customHeight="false" outlineLevel="0" collapsed="false">
      <c r="A2484" s="55"/>
      <c r="B2484" s="56"/>
      <c r="C2484" s="56"/>
      <c r="D2484" s="56"/>
      <c r="E2484" s="57"/>
      <c r="F2484" s="58"/>
      <c r="G2484" s="59"/>
      <c r="H2484" s="56"/>
      <c r="I2484" s="60" t="str">
        <f aca="false">IF(IsPro,IF($D2484="","",IFERROR(INDEX(Items!$D$5:$D$504,Q2484),"")),IF($D2484="","","PRO PLAN"))</f>
        <v/>
      </c>
      <c r="J2484" s="61" t="str">
        <f aca="false">IF(IsPro,IF($D2484="","",IF($F2484="",IFERROR(INDEX(Items!$G$5:$G$504,Q2484),0),$F2484)),"")</f>
        <v/>
      </c>
      <c r="K2484" s="61" t="str">
        <f aca="false">IF(IsPro,IF($D2484="","",ROUND(N($E2484)*J2484*(1-N($G2484)),2)),"")</f>
        <v/>
      </c>
      <c r="L2484" s="62" t="str">
        <f aca="false">IF(IsPro,IF($D2484="","",IFERROR(INDEX(Items!$F$5:$F$504,Q2484),0)),"")</f>
        <v/>
      </c>
      <c r="M2484" s="61" t="str">
        <f aca="false">IF(IsPro,IF($D2484="","",IF(AND(R2484&lt;&gt;"",INDEX(Parties!$E$5:$E$304,R2484)&lt;&gt;"",INDEX(Parties!$E$5:$E$304,R2484)&lt;&gt;HomeState),0,ROUND(K2484*L2484/2,2))),"")</f>
        <v/>
      </c>
      <c r="N2484" s="61" t="str">
        <f aca="false">IF(IsPro,IF($D2484="","",M2484),"")</f>
        <v/>
      </c>
      <c r="O2484" s="61" t="str">
        <f aca="false">IF(IsPro,IF($D2484="","",IF(AND(R2484&lt;&gt;"",INDEX(Parties!$E$5:$E$304,R2484)&lt;&gt;"",INDEX(Parties!$E$5:$E$304,R2484)&lt;&gt;HomeState),ROUND(K2484*L2484,2),0)),"")</f>
        <v/>
      </c>
      <c r="P2484" s="61" t="str">
        <f aca="false">IF(IsPro,IF($D2484="","",K2484+M2484+N2484+O2484),"")</f>
        <v/>
      </c>
      <c r="Q2484" s="60" t="str">
        <f aca="false">IF(IsPro,IF($D2484="","",IFERROR(MATCH($D2484,Items!$A$5:$A$504,0),"")),"")</f>
        <v/>
      </c>
      <c r="R2484" s="60" t="str">
        <f aca="false">IF(IsPro,IF($C2484="","",IFERROR(MATCH($C2484,Parties!$A$5:$A$304,0),"")),"")</f>
        <v/>
      </c>
      <c r="S2484" s="61" t="str">
        <f aca="false">IF(IsPro,IF($D2484="","",IF(OR($H2484="",$H2484="Credit"),0,P2484)),"")</f>
        <v/>
      </c>
    </row>
    <row r="2485" customFormat="false" ht="15" hidden="false" customHeight="false" outlineLevel="0" collapsed="false">
      <c r="A2485" s="55"/>
      <c r="B2485" s="56"/>
      <c r="C2485" s="56"/>
      <c r="D2485" s="56"/>
      <c r="E2485" s="57"/>
      <c r="F2485" s="58"/>
      <c r="G2485" s="59"/>
      <c r="H2485" s="56"/>
      <c r="I2485" s="60" t="str">
        <f aca="false">IF(IsPro,IF($D2485="","",IFERROR(INDEX(Items!$D$5:$D$504,Q2485),"")),IF($D2485="","","PRO PLAN"))</f>
        <v/>
      </c>
      <c r="J2485" s="61" t="str">
        <f aca="false">IF(IsPro,IF($D2485="","",IF($F2485="",IFERROR(INDEX(Items!$G$5:$G$504,Q2485),0),$F2485)),"")</f>
        <v/>
      </c>
      <c r="K2485" s="61" t="str">
        <f aca="false">IF(IsPro,IF($D2485="","",ROUND(N($E2485)*J2485*(1-N($G2485)),2)),"")</f>
        <v/>
      </c>
      <c r="L2485" s="62" t="str">
        <f aca="false">IF(IsPro,IF($D2485="","",IFERROR(INDEX(Items!$F$5:$F$504,Q2485),0)),"")</f>
        <v/>
      </c>
      <c r="M2485" s="61" t="str">
        <f aca="false">IF(IsPro,IF($D2485="","",IF(AND(R2485&lt;&gt;"",INDEX(Parties!$E$5:$E$304,R2485)&lt;&gt;"",INDEX(Parties!$E$5:$E$304,R2485)&lt;&gt;HomeState),0,ROUND(K2485*L2485/2,2))),"")</f>
        <v/>
      </c>
      <c r="N2485" s="61" t="str">
        <f aca="false">IF(IsPro,IF($D2485="","",M2485),"")</f>
        <v/>
      </c>
      <c r="O2485" s="61" t="str">
        <f aca="false">IF(IsPro,IF($D2485="","",IF(AND(R2485&lt;&gt;"",INDEX(Parties!$E$5:$E$304,R2485)&lt;&gt;"",INDEX(Parties!$E$5:$E$304,R2485)&lt;&gt;HomeState),ROUND(K2485*L2485,2),0)),"")</f>
        <v/>
      </c>
      <c r="P2485" s="61" t="str">
        <f aca="false">IF(IsPro,IF($D2485="","",K2485+M2485+N2485+O2485),"")</f>
        <v/>
      </c>
      <c r="Q2485" s="60" t="str">
        <f aca="false">IF(IsPro,IF($D2485="","",IFERROR(MATCH($D2485,Items!$A$5:$A$504,0),"")),"")</f>
        <v/>
      </c>
      <c r="R2485" s="60" t="str">
        <f aca="false">IF(IsPro,IF($C2485="","",IFERROR(MATCH($C2485,Parties!$A$5:$A$304,0),"")),"")</f>
        <v/>
      </c>
      <c r="S2485" s="61" t="str">
        <f aca="false">IF(IsPro,IF($D2485="","",IF(OR($H2485="",$H2485="Credit"),0,P2485)),"")</f>
        <v/>
      </c>
    </row>
    <row r="2486" customFormat="false" ht="15" hidden="false" customHeight="false" outlineLevel="0" collapsed="false">
      <c r="A2486" s="55"/>
      <c r="B2486" s="56"/>
      <c r="C2486" s="56"/>
      <c r="D2486" s="56"/>
      <c r="E2486" s="57"/>
      <c r="F2486" s="58"/>
      <c r="G2486" s="59"/>
      <c r="H2486" s="56"/>
      <c r="I2486" s="60" t="str">
        <f aca="false">IF(IsPro,IF($D2486="","",IFERROR(INDEX(Items!$D$5:$D$504,Q2486),"")),IF($D2486="","","PRO PLAN"))</f>
        <v/>
      </c>
      <c r="J2486" s="61" t="str">
        <f aca="false">IF(IsPro,IF($D2486="","",IF($F2486="",IFERROR(INDEX(Items!$G$5:$G$504,Q2486),0),$F2486)),"")</f>
        <v/>
      </c>
      <c r="K2486" s="61" t="str">
        <f aca="false">IF(IsPro,IF($D2486="","",ROUND(N($E2486)*J2486*(1-N($G2486)),2)),"")</f>
        <v/>
      </c>
      <c r="L2486" s="62" t="str">
        <f aca="false">IF(IsPro,IF($D2486="","",IFERROR(INDEX(Items!$F$5:$F$504,Q2486),0)),"")</f>
        <v/>
      </c>
      <c r="M2486" s="61" t="str">
        <f aca="false">IF(IsPro,IF($D2486="","",IF(AND(R2486&lt;&gt;"",INDEX(Parties!$E$5:$E$304,R2486)&lt;&gt;"",INDEX(Parties!$E$5:$E$304,R2486)&lt;&gt;HomeState),0,ROUND(K2486*L2486/2,2))),"")</f>
        <v/>
      </c>
      <c r="N2486" s="61" t="str">
        <f aca="false">IF(IsPro,IF($D2486="","",M2486),"")</f>
        <v/>
      </c>
      <c r="O2486" s="61" t="str">
        <f aca="false">IF(IsPro,IF($D2486="","",IF(AND(R2486&lt;&gt;"",INDEX(Parties!$E$5:$E$304,R2486)&lt;&gt;"",INDEX(Parties!$E$5:$E$304,R2486)&lt;&gt;HomeState),ROUND(K2486*L2486,2),0)),"")</f>
        <v/>
      </c>
      <c r="P2486" s="61" t="str">
        <f aca="false">IF(IsPro,IF($D2486="","",K2486+M2486+N2486+O2486),"")</f>
        <v/>
      </c>
      <c r="Q2486" s="60" t="str">
        <f aca="false">IF(IsPro,IF($D2486="","",IFERROR(MATCH($D2486,Items!$A$5:$A$504,0),"")),"")</f>
        <v/>
      </c>
      <c r="R2486" s="60" t="str">
        <f aca="false">IF(IsPro,IF($C2486="","",IFERROR(MATCH($C2486,Parties!$A$5:$A$304,0),"")),"")</f>
        <v/>
      </c>
      <c r="S2486" s="61" t="str">
        <f aca="false">IF(IsPro,IF($D2486="","",IF(OR($H2486="",$H2486="Credit"),0,P2486)),"")</f>
        <v/>
      </c>
    </row>
    <row r="2487" customFormat="false" ht="15" hidden="false" customHeight="false" outlineLevel="0" collapsed="false">
      <c r="A2487" s="55"/>
      <c r="B2487" s="56"/>
      <c r="C2487" s="56"/>
      <c r="D2487" s="56"/>
      <c r="E2487" s="57"/>
      <c r="F2487" s="58"/>
      <c r="G2487" s="59"/>
      <c r="H2487" s="56"/>
      <c r="I2487" s="60" t="str">
        <f aca="false">IF(IsPro,IF($D2487="","",IFERROR(INDEX(Items!$D$5:$D$504,Q2487),"")),IF($D2487="","","PRO PLAN"))</f>
        <v/>
      </c>
      <c r="J2487" s="61" t="str">
        <f aca="false">IF(IsPro,IF($D2487="","",IF($F2487="",IFERROR(INDEX(Items!$G$5:$G$504,Q2487),0),$F2487)),"")</f>
        <v/>
      </c>
      <c r="K2487" s="61" t="str">
        <f aca="false">IF(IsPro,IF($D2487="","",ROUND(N($E2487)*J2487*(1-N($G2487)),2)),"")</f>
        <v/>
      </c>
      <c r="L2487" s="62" t="str">
        <f aca="false">IF(IsPro,IF($D2487="","",IFERROR(INDEX(Items!$F$5:$F$504,Q2487),0)),"")</f>
        <v/>
      </c>
      <c r="M2487" s="61" t="str">
        <f aca="false">IF(IsPro,IF($D2487="","",IF(AND(R2487&lt;&gt;"",INDEX(Parties!$E$5:$E$304,R2487)&lt;&gt;"",INDEX(Parties!$E$5:$E$304,R2487)&lt;&gt;HomeState),0,ROUND(K2487*L2487/2,2))),"")</f>
        <v/>
      </c>
      <c r="N2487" s="61" t="str">
        <f aca="false">IF(IsPro,IF($D2487="","",M2487),"")</f>
        <v/>
      </c>
      <c r="O2487" s="61" t="str">
        <f aca="false">IF(IsPro,IF($D2487="","",IF(AND(R2487&lt;&gt;"",INDEX(Parties!$E$5:$E$304,R2487)&lt;&gt;"",INDEX(Parties!$E$5:$E$304,R2487)&lt;&gt;HomeState),ROUND(K2487*L2487,2),0)),"")</f>
        <v/>
      </c>
      <c r="P2487" s="61" t="str">
        <f aca="false">IF(IsPro,IF($D2487="","",K2487+M2487+N2487+O2487),"")</f>
        <v/>
      </c>
      <c r="Q2487" s="60" t="str">
        <f aca="false">IF(IsPro,IF($D2487="","",IFERROR(MATCH($D2487,Items!$A$5:$A$504,0),"")),"")</f>
        <v/>
      </c>
      <c r="R2487" s="60" t="str">
        <f aca="false">IF(IsPro,IF($C2487="","",IFERROR(MATCH($C2487,Parties!$A$5:$A$304,0),"")),"")</f>
        <v/>
      </c>
      <c r="S2487" s="61" t="str">
        <f aca="false">IF(IsPro,IF($D2487="","",IF(OR($H2487="",$H2487="Credit"),0,P2487)),"")</f>
        <v/>
      </c>
    </row>
    <row r="2488" customFormat="false" ht="15" hidden="false" customHeight="false" outlineLevel="0" collapsed="false">
      <c r="A2488" s="55"/>
      <c r="B2488" s="56"/>
      <c r="C2488" s="56"/>
      <c r="D2488" s="56"/>
      <c r="E2488" s="57"/>
      <c r="F2488" s="58"/>
      <c r="G2488" s="59"/>
      <c r="H2488" s="56"/>
      <c r="I2488" s="60" t="str">
        <f aca="false">IF(IsPro,IF($D2488="","",IFERROR(INDEX(Items!$D$5:$D$504,Q2488),"")),IF($D2488="","","PRO PLAN"))</f>
        <v/>
      </c>
      <c r="J2488" s="61" t="str">
        <f aca="false">IF(IsPro,IF($D2488="","",IF($F2488="",IFERROR(INDEX(Items!$G$5:$G$504,Q2488),0),$F2488)),"")</f>
        <v/>
      </c>
      <c r="K2488" s="61" t="str">
        <f aca="false">IF(IsPro,IF($D2488="","",ROUND(N($E2488)*J2488*(1-N($G2488)),2)),"")</f>
        <v/>
      </c>
      <c r="L2488" s="62" t="str">
        <f aca="false">IF(IsPro,IF($D2488="","",IFERROR(INDEX(Items!$F$5:$F$504,Q2488),0)),"")</f>
        <v/>
      </c>
      <c r="M2488" s="61" t="str">
        <f aca="false">IF(IsPro,IF($D2488="","",IF(AND(R2488&lt;&gt;"",INDEX(Parties!$E$5:$E$304,R2488)&lt;&gt;"",INDEX(Parties!$E$5:$E$304,R2488)&lt;&gt;HomeState),0,ROUND(K2488*L2488/2,2))),"")</f>
        <v/>
      </c>
      <c r="N2488" s="61" t="str">
        <f aca="false">IF(IsPro,IF($D2488="","",M2488),"")</f>
        <v/>
      </c>
      <c r="O2488" s="61" t="str">
        <f aca="false">IF(IsPro,IF($D2488="","",IF(AND(R2488&lt;&gt;"",INDEX(Parties!$E$5:$E$304,R2488)&lt;&gt;"",INDEX(Parties!$E$5:$E$304,R2488)&lt;&gt;HomeState),ROUND(K2488*L2488,2),0)),"")</f>
        <v/>
      </c>
      <c r="P2488" s="61" t="str">
        <f aca="false">IF(IsPro,IF($D2488="","",K2488+M2488+N2488+O2488),"")</f>
        <v/>
      </c>
      <c r="Q2488" s="60" t="str">
        <f aca="false">IF(IsPro,IF($D2488="","",IFERROR(MATCH($D2488,Items!$A$5:$A$504,0),"")),"")</f>
        <v/>
      </c>
      <c r="R2488" s="60" t="str">
        <f aca="false">IF(IsPro,IF($C2488="","",IFERROR(MATCH($C2488,Parties!$A$5:$A$304,0),"")),"")</f>
        <v/>
      </c>
      <c r="S2488" s="61" t="str">
        <f aca="false">IF(IsPro,IF($D2488="","",IF(OR($H2488="",$H2488="Credit"),0,P2488)),"")</f>
        <v/>
      </c>
    </row>
    <row r="2489" customFormat="false" ht="15" hidden="false" customHeight="false" outlineLevel="0" collapsed="false">
      <c r="A2489" s="55"/>
      <c r="B2489" s="56"/>
      <c r="C2489" s="56"/>
      <c r="D2489" s="56"/>
      <c r="E2489" s="57"/>
      <c r="F2489" s="58"/>
      <c r="G2489" s="59"/>
      <c r="H2489" s="56"/>
      <c r="I2489" s="60" t="str">
        <f aca="false">IF(IsPro,IF($D2489="","",IFERROR(INDEX(Items!$D$5:$D$504,Q2489),"")),IF($D2489="","","PRO PLAN"))</f>
        <v/>
      </c>
      <c r="J2489" s="61" t="str">
        <f aca="false">IF(IsPro,IF($D2489="","",IF($F2489="",IFERROR(INDEX(Items!$G$5:$G$504,Q2489),0),$F2489)),"")</f>
        <v/>
      </c>
      <c r="K2489" s="61" t="str">
        <f aca="false">IF(IsPro,IF($D2489="","",ROUND(N($E2489)*J2489*(1-N($G2489)),2)),"")</f>
        <v/>
      </c>
      <c r="L2489" s="62" t="str">
        <f aca="false">IF(IsPro,IF($D2489="","",IFERROR(INDEX(Items!$F$5:$F$504,Q2489),0)),"")</f>
        <v/>
      </c>
      <c r="M2489" s="61" t="str">
        <f aca="false">IF(IsPro,IF($D2489="","",IF(AND(R2489&lt;&gt;"",INDEX(Parties!$E$5:$E$304,R2489)&lt;&gt;"",INDEX(Parties!$E$5:$E$304,R2489)&lt;&gt;HomeState),0,ROUND(K2489*L2489/2,2))),"")</f>
        <v/>
      </c>
      <c r="N2489" s="61" t="str">
        <f aca="false">IF(IsPro,IF($D2489="","",M2489),"")</f>
        <v/>
      </c>
      <c r="O2489" s="61" t="str">
        <f aca="false">IF(IsPro,IF($D2489="","",IF(AND(R2489&lt;&gt;"",INDEX(Parties!$E$5:$E$304,R2489)&lt;&gt;"",INDEX(Parties!$E$5:$E$304,R2489)&lt;&gt;HomeState),ROUND(K2489*L2489,2),0)),"")</f>
        <v/>
      </c>
      <c r="P2489" s="61" t="str">
        <f aca="false">IF(IsPro,IF($D2489="","",K2489+M2489+N2489+O2489),"")</f>
        <v/>
      </c>
      <c r="Q2489" s="60" t="str">
        <f aca="false">IF(IsPro,IF($D2489="","",IFERROR(MATCH($D2489,Items!$A$5:$A$504,0),"")),"")</f>
        <v/>
      </c>
      <c r="R2489" s="60" t="str">
        <f aca="false">IF(IsPro,IF($C2489="","",IFERROR(MATCH($C2489,Parties!$A$5:$A$304,0),"")),"")</f>
        <v/>
      </c>
      <c r="S2489" s="61" t="str">
        <f aca="false">IF(IsPro,IF($D2489="","",IF(OR($H2489="",$H2489="Credit"),0,P2489)),"")</f>
        <v/>
      </c>
    </row>
    <row r="2490" customFormat="false" ht="15" hidden="false" customHeight="false" outlineLevel="0" collapsed="false">
      <c r="A2490" s="55"/>
      <c r="B2490" s="56"/>
      <c r="C2490" s="56"/>
      <c r="D2490" s="56"/>
      <c r="E2490" s="57"/>
      <c r="F2490" s="58"/>
      <c r="G2490" s="59"/>
      <c r="H2490" s="56"/>
      <c r="I2490" s="60" t="str">
        <f aca="false">IF(IsPro,IF($D2490="","",IFERROR(INDEX(Items!$D$5:$D$504,Q2490),"")),IF($D2490="","","PRO PLAN"))</f>
        <v/>
      </c>
      <c r="J2490" s="61" t="str">
        <f aca="false">IF(IsPro,IF($D2490="","",IF($F2490="",IFERROR(INDEX(Items!$G$5:$G$504,Q2490),0),$F2490)),"")</f>
        <v/>
      </c>
      <c r="K2490" s="61" t="str">
        <f aca="false">IF(IsPro,IF($D2490="","",ROUND(N($E2490)*J2490*(1-N($G2490)),2)),"")</f>
        <v/>
      </c>
      <c r="L2490" s="62" t="str">
        <f aca="false">IF(IsPro,IF($D2490="","",IFERROR(INDEX(Items!$F$5:$F$504,Q2490),0)),"")</f>
        <v/>
      </c>
      <c r="M2490" s="61" t="str">
        <f aca="false">IF(IsPro,IF($D2490="","",IF(AND(R2490&lt;&gt;"",INDEX(Parties!$E$5:$E$304,R2490)&lt;&gt;"",INDEX(Parties!$E$5:$E$304,R2490)&lt;&gt;HomeState),0,ROUND(K2490*L2490/2,2))),"")</f>
        <v/>
      </c>
      <c r="N2490" s="61" t="str">
        <f aca="false">IF(IsPro,IF($D2490="","",M2490),"")</f>
        <v/>
      </c>
      <c r="O2490" s="61" t="str">
        <f aca="false">IF(IsPro,IF($D2490="","",IF(AND(R2490&lt;&gt;"",INDEX(Parties!$E$5:$E$304,R2490)&lt;&gt;"",INDEX(Parties!$E$5:$E$304,R2490)&lt;&gt;HomeState),ROUND(K2490*L2490,2),0)),"")</f>
        <v/>
      </c>
      <c r="P2490" s="61" t="str">
        <f aca="false">IF(IsPro,IF($D2490="","",K2490+M2490+N2490+O2490),"")</f>
        <v/>
      </c>
      <c r="Q2490" s="60" t="str">
        <f aca="false">IF(IsPro,IF($D2490="","",IFERROR(MATCH($D2490,Items!$A$5:$A$504,0),"")),"")</f>
        <v/>
      </c>
      <c r="R2490" s="60" t="str">
        <f aca="false">IF(IsPro,IF($C2490="","",IFERROR(MATCH($C2490,Parties!$A$5:$A$304,0),"")),"")</f>
        <v/>
      </c>
      <c r="S2490" s="61" t="str">
        <f aca="false">IF(IsPro,IF($D2490="","",IF(OR($H2490="",$H2490="Credit"),0,P2490)),"")</f>
        <v/>
      </c>
    </row>
    <row r="2491" customFormat="false" ht="15" hidden="false" customHeight="false" outlineLevel="0" collapsed="false">
      <c r="A2491" s="55"/>
      <c r="B2491" s="56"/>
      <c r="C2491" s="56"/>
      <c r="D2491" s="56"/>
      <c r="E2491" s="57"/>
      <c r="F2491" s="58"/>
      <c r="G2491" s="59"/>
      <c r="H2491" s="56"/>
      <c r="I2491" s="60" t="str">
        <f aca="false">IF(IsPro,IF($D2491="","",IFERROR(INDEX(Items!$D$5:$D$504,Q2491),"")),IF($D2491="","","PRO PLAN"))</f>
        <v/>
      </c>
      <c r="J2491" s="61" t="str">
        <f aca="false">IF(IsPro,IF($D2491="","",IF($F2491="",IFERROR(INDEX(Items!$G$5:$G$504,Q2491),0),$F2491)),"")</f>
        <v/>
      </c>
      <c r="K2491" s="61" t="str">
        <f aca="false">IF(IsPro,IF($D2491="","",ROUND(N($E2491)*J2491*(1-N($G2491)),2)),"")</f>
        <v/>
      </c>
      <c r="L2491" s="62" t="str">
        <f aca="false">IF(IsPro,IF($D2491="","",IFERROR(INDEX(Items!$F$5:$F$504,Q2491),0)),"")</f>
        <v/>
      </c>
      <c r="M2491" s="61" t="str">
        <f aca="false">IF(IsPro,IF($D2491="","",IF(AND(R2491&lt;&gt;"",INDEX(Parties!$E$5:$E$304,R2491)&lt;&gt;"",INDEX(Parties!$E$5:$E$304,R2491)&lt;&gt;HomeState),0,ROUND(K2491*L2491/2,2))),"")</f>
        <v/>
      </c>
      <c r="N2491" s="61" t="str">
        <f aca="false">IF(IsPro,IF($D2491="","",M2491),"")</f>
        <v/>
      </c>
      <c r="O2491" s="61" t="str">
        <f aca="false">IF(IsPro,IF($D2491="","",IF(AND(R2491&lt;&gt;"",INDEX(Parties!$E$5:$E$304,R2491)&lt;&gt;"",INDEX(Parties!$E$5:$E$304,R2491)&lt;&gt;HomeState),ROUND(K2491*L2491,2),0)),"")</f>
        <v/>
      </c>
      <c r="P2491" s="61" t="str">
        <f aca="false">IF(IsPro,IF($D2491="","",K2491+M2491+N2491+O2491),"")</f>
        <v/>
      </c>
      <c r="Q2491" s="60" t="str">
        <f aca="false">IF(IsPro,IF($D2491="","",IFERROR(MATCH($D2491,Items!$A$5:$A$504,0),"")),"")</f>
        <v/>
      </c>
      <c r="R2491" s="60" t="str">
        <f aca="false">IF(IsPro,IF($C2491="","",IFERROR(MATCH($C2491,Parties!$A$5:$A$304,0),"")),"")</f>
        <v/>
      </c>
      <c r="S2491" s="61" t="str">
        <f aca="false">IF(IsPro,IF($D2491="","",IF(OR($H2491="",$H2491="Credit"),0,P2491)),"")</f>
        <v/>
      </c>
    </row>
    <row r="2492" customFormat="false" ht="15" hidden="false" customHeight="false" outlineLevel="0" collapsed="false">
      <c r="A2492" s="55"/>
      <c r="B2492" s="56"/>
      <c r="C2492" s="56"/>
      <c r="D2492" s="56"/>
      <c r="E2492" s="57"/>
      <c r="F2492" s="58"/>
      <c r="G2492" s="59"/>
      <c r="H2492" s="56"/>
      <c r="I2492" s="60" t="str">
        <f aca="false">IF(IsPro,IF($D2492="","",IFERROR(INDEX(Items!$D$5:$D$504,Q2492),"")),IF($D2492="","","PRO PLAN"))</f>
        <v/>
      </c>
      <c r="J2492" s="61" t="str">
        <f aca="false">IF(IsPro,IF($D2492="","",IF($F2492="",IFERROR(INDEX(Items!$G$5:$G$504,Q2492),0),$F2492)),"")</f>
        <v/>
      </c>
      <c r="K2492" s="61" t="str">
        <f aca="false">IF(IsPro,IF($D2492="","",ROUND(N($E2492)*J2492*(1-N($G2492)),2)),"")</f>
        <v/>
      </c>
      <c r="L2492" s="62" t="str">
        <f aca="false">IF(IsPro,IF($D2492="","",IFERROR(INDEX(Items!$F$5:$F$504,Q2492),0)),"")</f>
        <v/>
      </c>
      <c r="M2492" s="61" t="str">
        <f aca="false">IF(IsPro,IF($D2492="","",IF(AND(R2492&lt;&gt;"",INDEX(Parties!$E$5:$E$304,R2492)&lt;&gt;"",INDEX(Parties!$E$5:$E$304,R2492)&lt;&gt;HomeState),0,ROUND(K2492*L2492/2,2))),"")</f>
        <v/>
      </c>
      <c r="N2492" s="61" t="str">
        <f aca="false">IF(IsPro,IF($D2492="","",M2492),"")</f>
        <v/>
      </c>
      <c r="O2492" s="61" t="str">
        <f aca="false">IF(IsPro,IF($D2492="","",IF(AND(R2492&lt;&gt;"",INDEX(Parties!$E$5:$E$304,R2492)&lt;&gt;"",INDEX(Parties!$E$5:$E$304,R2492)&lt;&gt;HomeState),ROUND(K2492*L2492,2),0)),"")</f>
        <v/>
      </c>
      <c r="P2492" s="61" t="str">
        <f aca="false">IF(IsPro,IF($D2492="","",K2492+M2492+N2492+O2492),"")</f>
        <v/>
      </c>
      <c r="Q2492" s="60" t="str">
        <f aca="false">IF(IsPro,IF($D2492="","",IFERROR(MATCH($D2492,Items!$A$5:$A$504,0),"")),"")</f>
        <v/>
      </c>
      <c r="R2492" s="60" t="str">
        <f aca="false">IF(IsPro,IF($C2492="","",IFERROR(MATCH($C2492,Parties!$A$5:$A$304,0),"")),"")</f>
        <v/>
      </c>
      <c r="S2492" s="61" t="str">
        <f aca="false">IF(IsPro,IF($D2492="","",IF(OR($H2492="",$H2492="Credit"),0,P2492)),"")</f>
        <v/>
      </c>
    </row>
    <row r="2493" customFormat="false" ht="15" hidden="false" customHeight="false" outlineLevel="0" collapsed="false">
      <c r="A2493" s="55"/>
      <c r="B2493" s="56"/>
      <c r="C2493" s="56"/>
      <c r="D2493" s="56"/>
      <c r="E2493" s="57"/>
      <c r="F2493" s="58"/>
      <c r="G2493" s="59"/>
      <c r="H2493" s="56"/>
      <c r="I2493" s="60" t="str">
        <f aca="false">IF(IsPro,IF($D2493="","",IFERROR(INDEX(Items!$D$5:$D$504,Q2493),"")),IF($D2493="","","PRO PLAN"))</f>
        <v/>
      </c>
      <c r="J2493" s="61" t="str">
        <f aca="false">IF(IsPro,IF($D2493="","",IF($F2493="",IFERROR(INDEX(Items!$G$5:$G$504,Q2493),0),$F2493)),"")</f>
        <v/>
      </c>
      <c r="K2493" s="61" t="str">
        <f aca="false">IF(IsPro,IF($D2493="","",ROUND(N($E2493)*J2493*(1-N($G2493)),2)),"")</f>
        <v/>
      </c>
      <c r="L2493" s="62" t="str">
        <f aca="false">IF(IsPro,IF($D2493="","",IFERROR(INDEX(Items!$F$5:$F$504,Q2493),0)),"")</f>
        <v/>
      </c>
      <c r="M2493" s="61" t="str">
        <f aca="false">IF(IsPro,IF($D2493="","",IF(AND(R2493&lt;&gt;"",INDEX(Parties!$E$5:$E$304,R2493)&lt;&gt;"",INDEX(Parties!$E$5:$E$304,R2493)&lt;&gt;HomeState),0,ROUND(K2493*L2493/2,2))),"")</f>
        <v/>
      </c>
      <c r="N2493" s="61" t="str">
        <f aca="false">IF(IsPro,IF($D2493="","",M2493),"")</f>
        <v/>
      </c>
      <c r="O2493" s="61" t="str">
        <f aca="false">IF(IsPro,IF($D2493="","",IF(AND(R2493&lt;&gt;"",INDEX(Parties!$E$5:$E$304,R2493)&lt;&gt;"",INDEX(Parties!$E$5:$E$304,R2493)&lt;&gt;HomeState),ROUND(K2493*L2493,2),0)),"")</f>
        <v/>
      </c>
      <c r="P2493" s="61" t="str">
        <f aca="false">IF(IsPro,IF($D2493="","",K2493+M2493+N2493+O2493),"")</f>
        <v/>
      </c>
      <c r="Q2493" s="60" t="str">
        <f aca="false">IF(IsPro,IF($D2493="","",IFERROR(MATCH($D2493,Items!$A$5:$A$504,0),"")),"")</f>
        <v/>
      </c>
      <c r="R2493" s="60" t="str">
        <f aca="false">IF(IsPro,IF($C2493="","",IFERROR(MATCH($C2493,Parties!$A$5:$A$304,0),"")),"")</f>
        <v/>
      </c>
      <c r="S2493" s="61" t="str">
        <f aca="false">IF(IsPro,IF($D2493="","",IF(OR($H2493="",$H2493="Credit"),0,P2493)),"")</f>
        <v/>
      </c>
    </row>
    <row r="2494" customFormat="false" ht="15" hidden="false" customHeight="false" outlineLevel="0" collapsed="false">
      <c r="A2494" s="55"/>
      <c r="B2494" s="56"/>
      <c r="C2494" s="56"/>
      <c r="D2494" s="56"/>
      <c r="E2494" s="57"/>
      <c r="F2494" s="58"/>
      <c r="G2494" s="59"/>
      <c r="H2494" s="56"/>
      <c r="I2494" s="60" t="str">
        <f aca="false">IF(IsPro,IF($D2494="","",IFERROR(INDEX(Items!$D$5:$D$504,Q2494),"")),IF($D2494="","","PRO PLAN"))</f>
        <v/>
      </c>
      <c r="J2494" s="61" t="str">
        <f aca="false">IF(IsPro,IF($D2494="","",IF($F2494="",IFERROR(INDEX(Items!$G$5:$G$504,Q2494),0),$F2494)),"")</f>
        <v/>
      </c>
      <c r="K2494" s="61" t="str">
        <f aca="false">IF(IsPro,IF($D2494="","",ROUND(N($E2494)*J2494*(1-N($G2494)),2)),"")</f>
        <v/>
      </c>
      <c r="L2494" s="62" t="str">
        <f aca="false">IF(IsPro,IF($D2494="","",IFERROR(INDEX(Items!$F$5:$F$504,Q2494),0)),"")</f>
        <v/>
      </c>
      <c r="M2494" s="61" t="str">
        <f aca="false">IF(IsPro,IF($D2494="","",IF(AND(R2494&lt;&gt;"",INDEX(Parties!$E$5:$E$304,R2494)&lt;&gt;"",INDEX(Parties!$E$5:$E$304,R2494)&lt;&gt;HomeState),0,ROUND(K2494*L2494/2,2))),"")</f>
        <v/>
      </c>
      <c r="N2494" s="61" t="str">
        <f aca="false">IF(IsPro,IF($D2494="","",M2494),"")</f>
        <v/>
      </c>
      <c r="O2494" s="61" t="str">
        <f aca="false">IF(IsPro,IF($D2494="","",IF(AND(R2494&lt;&gt;"",INDEX(Parties!$E$5:$E$304,R2494)&lt;&gt;"",INDEX(Parties!$E$5:$E$304,R2494)&lt;&gt;HomeState),ROUND(K2494*L2494,2),0)),"")</f>
        <v/>
      </c>
      <c r="P2494" s="61" t="str">
        <f aca="false">IF(IsPro,IF($D2494="","",K2494+M2494+N2494+O2494),"")</f>
        <v/>
      </c>
      <c r="Q2494" s="60" t="str">
        <f aca="false">IF(IsPro,IF($D2494="","",IFERROR(MATCH($D2494,Items!$A$5:$A$504,0),"")),"")</f>
        <v/>
      </c>
      <c r="R2494" s="60" t="str">
        <f aca="false">IF(IsPro,IF($C2494="","",IFERROR(MATCH($C2494,Parties!$A$5:$A$304,0),"")),"")</f>
        <v/>
      </c>
      <c r="S2494" s="61" t="str">
        <f aca="false">IF(IsPro,IF($D2494="","",IF(OR($H2494="",$H2494="Credit"),0,P2494)),"")</f>
        <v/>
      </c>
    </row>
    <row r="2495" customFormat="false" ht="15" hidden="false" customHeight="false" outlineLevel="0" collapsed="false">
      <c r="A2495" s="55"/>
      <c r="B2495" s="56"/>
      <c r="C2495" s="56"/>
      <c r="D2495" s="56"/>
      <c r="E2495" s="57"/>
      <c r="F2495" s="58"/>
      <c r="G2495" s="59"/>
      <c r="H2495" s="56"/>
      <c r="I2495" s="60" t="str">
        <f aca="false">IF(IsPro,IF($D2495="","",IFERROR(INDEX(Items!$D$5:$D$504,Q2495),"")),IF($D2495="","","PRO PLAN"))</f>
        <v/>
      </c>
      <c r="J2495" s="61" t="str">
        <f aca="false">IF(IsPro,IF($D2495="","",IF($F2495="",IFERROR(INDEX(Items!$G$5:$G$504,Q2495),0),$F2495)),"")</f>
        <v/>
      </c>
      <c r="K2495" s="61" t="str">
        <f aca="false">IF(IsPro,IF($D2495="","",ROUND(N($E2495)*J2495*(1-N($G2495)),2)),"")</f>
        <v/>
      </c>
      <c r="L2495" s="62" t="str">
        <f aca="false">IF(IsPro,IF($D2495="","",IFERROR(INDEX(Items!$F$5:$F$504,Q2495),0)),"")</f>
        <v/>
      </c>
      <c r="M2495" s="61" t="str">
        <f aca="false">IF(IsPro,IF($D2495="","",IF(AND(R2495&lt;&gt;"",INDEX(Parties!$E$5:$E$304,R2495)&lt;&gt;"",INDEX(Parties!$E$5:$E$304,R2495)&lt;&gt;HomeState),0,ROUND(K2495*L2495/2,2))),"")</f>
        <v/>
      </c>
      <c r="N2495" s="61" t="str">
        <f aca="false">IF(IsPro,IF($D2495="","",M2495),"")</f>
        <v/>
      </c>
      <c r="O2495" s="61" t="str">
        <f aca="false">IF(IsPro,IF($D2495="","",IF(AND(R2495&lt;&gt;"",INDEX(Parties!$E$5:$E$304,R2495)&lt;&gt;"",INDEX(Parties!$E$5:$E$304,R2495)&lt;&gt;HomeState),ROUND(K2495*L2495,2),0)),"")</f>
        <v/>
      </c>
      <c r="P2495" s="61" t="str">
        <f aca="false">IF(IsPro,IF($D2495="","",K2495+M2495+N2495+O2495),"")</f>
        <v/>
      </c>
      <c r="Q2495" s="60" t="str">
        <f aca="false">IF(IsPro,IF($D2495="","",IFERROR(MATCH($D2495,Items!$A$5:$A$504,0),"")),"")</f>
        <v/>
      </c>
      <c r="R2495" s="60" t="str">
        <f aca="false">IF(IsPro,IF($C2495="","",IFERROR(MATCH($C2495,Parties!$A$5:$A$304,0),"")),"")</f>
        <v/>
      </c>
      <c r="S2495" s="61" t="str">
        <f aca="false">IF(IsPro,IF($D2495="","",IF(OR($H2495="",$H2495="Credit"),0,P2495)),"")</f>
        <v/>
      </c>
    </row>
    <row r="2496" customFormat="false" ht="15" hidden="false" customHeight="false" outlineLevel="0" collapsed="false">
      <c r="A2496" s="55"/>
      <c r="B2496" s="56"/>
      <c r="C2496" s="56"/>
      <c r="D2496" s="56"/>
      <c r="E2496" s="57"/>
      <c r="F2496" s="58"/>
      <c r="G2496" s="59"/>
      <c r="H2496" s="56"/>
      <c r="I2496" s="60" t="str">
        <f aca="false">IF(IsPro,IF($D2496="","",IFERROR(INDEX(Items!$D$5:$D$504,Q2496),"")),IF($D2496="","","PRO PLAN"))</f>
        <v/>
      </c>
      <c r="J2496" s="61" t="str">
        <f aca="false">IF(IsPro,IF($D2496="","",IF($F2496="",IFERROR(INDEX(Items!$G$5:$G$504,Q2496),0),$F2496)),"")</f>
        <v/>
      </c>
      <c r="K2496" s="61" t="str">
        <f aca="false">IF(IsPro,IF($D2496="","",ROUND(N($E2496)*J2496*(1-N($G2496)),2)),"")</f>
        <v/>
      </c>
      <c r="L2496" s="62" t="str">
        <f aca="false">IF(IsPro,IF($D2496="","",IFERROR(INDEX(Items!$F$5:$F$504,Q2496),0)),"")</f>
        <v/>
      </c>
      <c r="M2496" s="61" t="str">
        <f aca="false">IF(IsPro,IF($D2496="","",IF(AND(R2496&lt;&gt;"",INDEX(Parties!$E$5:$E$304,R2496)&lt;&gt;"",INDEX(Parties!$E$5:$E$304,R2496)&lt;&gt;HomeState),0,ROUND(K2496*L2496/2,2))),"")</f>
        <v/>
      </c>
      <c r="N2496" s="61" t="str">
        <f aca="false">IF(IsPro,IF($D2496="","",M2496),"")</f>
        <v/>
      </c>
      <c r="O2496" s="61" t="str">
        <f aca="false">IF(IsPro,IF($D2496="","",IF(AND(R2496&lt;&gt;"",INDEX(Parties!$E$5:$E$304,R2496)&lt;&gt;"",INDEX(Parties!$E$5:$E$304,R2496)&lt;&gt;HomeState),ROUND(K2496*L2496,2),0)),"")</f>
        <v/>
      </c>
      <c r="P2496" s="61" t="str">
        <f aca="false">IF(IsPro,IF($D2496="","",K2496+M2496+N2496+O2496),"")</f>
        <v/>
      </c>
      <c r="Q2496" s="60" t="str">
        <f aca="false">IF(IsPro,IF($D2496="","",IFERROR(MATCH($D2496,Items!$A$5:$A$504,0),"")),"")</f>
        <v/>
      </c>
      <c r="R2496" s="60" t="str">
        <f aca="false">IF(IsPro,IF($C2496="","",IFERROR(MATCH($C2496,Parties!$A$5:$A$304,0),"")),"")</f>
        <v/>
      </c>
      <c r="S2496" s="61" t="str">
        <f aca="false">IF(IsPro,IF($D2496="","",IF(OR($H2496="",$H2496="Credit"),0,P2496)),"")</f>
        <v/>
      </c>
    </row>
    <row r="2497" customFormat="false" ht="15" hidden="false" customHeight="false" outlineLevel="0" collapsed="false">
      <c r="A2497" s="55"/>
      <c r="B2497" s="56"/>
      <c r="C2497" s="56"/>
      <c r="D2497" s="56"/>
      <c r="E2497" s="57"/>
      <c r="F2497" s="58"/>
      <c r="G2497" s="59"/>
      <c r="H2497" s="56"/>
      <c r="I2497" s="60" t="str">
        <f aca="false">IF(IsPro,IF($D2497="","",IFERROR(INDEX(Items!$D$5:$D$504,Q2497),"")),IF($D2497="","","PRO PLAN"))</f>
        <v/>
      </c>
      <c r="J2497" s="61" t="str">
        <f aca="false">IF(IsPro,IF($D2497="","",IF($F2497="",IFERROR(INDEX(Items!$G$5:$G$504,Q2497),0),$F2497)),"")</f>
        <v/>
      </c>
      <c r="K2497" s="61" t="str">
        <f aca="false">IF(IsPro,IF($D2497="","",ROUND(N($E2497)*J2497*(1-N($G2497)),2)),"")</f>
        <v/>
      </c>
      <c r="L2497" s="62" t="str">
        <f aca="false">IF(IsPro,IF($D2497="","",IFERROR(INDEX(Items!$F$5:$F$504,Q2497),0)),"")</f>
        <v/>
      </c>
      <c r="M2497" s="61" t="str">
        <f aca="false">IF(IsPro,IF($D2497="","",IF(AND(R2497&lt;&gt;"",INDEX(Parties!$E$5:$E$304,R2497)&lt;&gt;"",INDEX(Parties!$E$5:$E$304,R2497)&lt;&gt;HomeState),0,ROUND(K2497*L2497/2,2))),"")</f>
        <v/>
      </c>
      <c r="N2497" s="61" t="str">
        <f aca="false">IF(IsPro,IF($D2497="","",M2497),"")</f>
        <v/>
      </c>
      <c r="O2497" s="61" t="str">
        <f aca="false">IF(IsPro,IF($D2497="","",IF(AND(R2497&lt;&gt;"",INDEX(Parties!$E$5:$E$304,R2497)&lt;&gt;"",INDEX(Parties!$E$5:$E$304,R2497)&lt;&gt;HomeState),ROUND(K2497*L2497,2),0)),"")</f>
        <v/>
      </c>
      <c r="P2497" s="61" t="str">
        <f aca="false">IF(IsPro,IF($D2497="","",K2497+M2497+N2497+O2497),"")</f>
        <v/>
      </c>
      <c r="Q2497" s="60" t="str">
        <f aca="false">IF(IsPro,IF($D2497="","",IFERROR(MATCH($D2497,Items!$A$5:$A$504,0),"")),"")</f>
        <v/>
      </c>
      <c r="R2497" s="60" t="str">
        <f aca="false">IF(IsPro,IF($C2497="","",IFERROR(MATCH($C2497,Parties!$A$5:$A$304,0),"")),"")</f>
        <v/>
      </c>
      <c r="S2497" s="61" t="str">
        <f aca="false">IF(IsPro,IF($D2497="","",IF(OR($H2497="",$H2497="Credit"),0,P2497)),"")</f>
        <v/>
      </c>
    </row>
    <row r="2498" customFormat="false" ht="15" hidden="false" customHeight="false" outlineLevel="0" collapsed="false">
      <c r="A2498" s="55"/>
      <c r="B2498" s="56"/>
      <c r="C2498" s="56"/>
      <c r="D2498" s="56"/>
      <c r="E2498" s="57"/>
      <c r="F2498" s="58"/>
      <c r="G2498" s="59"/>
      <c r="H2498" s="56"/>
      <c r="I2498" s="60" t="str">
        <f aca="false">IF(IsPro,IF($D2498="","",IFERROR(INDEX(Items!$D$5:$D$504,Q2498),"")),IF($D2498="","","PRO PLAN"))</f>
        <v/>
      </c>
      <c r="J2498" s="61" t="str">
        <f aca="false">IF(IsPro,IF($D2498="","",IF($F2498="",IFERROR(INDEX(Items!$G$5:$G$504,Q2498),0),$F2498)),"")</f>
        <v/>
      </c>
      <c r="K2498" s="61" t="str">
        <f aca="false">IF(IsPro,IF($D2498="","",ROUND(N($E2498)*J2498*(1-N($G2498)),2)),"")</f>
        <v/>
      </c>
      <c r="L2498" s="62" t="str">
        <f aca="false">IF(IsPro,IF($D2498="","",IFERROR(INDEX(Items!$F$5:$F$504,Q2498),0)),"")</f>
        <v/>
      </c>
      <c r="M2498" s="61" t="str">
        <f aca="false">IF(IsPro,IF($D2498="","",IF(AND(R2498&lt;&gt;"",INDEX(Parties!$E$5:$E$304,R2498)&lt;&gt;"",INDEX(Parties!$E$5:$E$304,R2498)&lt;&gt;HomeState),0,ROUND(K2498*L2498/2,2))),"")</f>
        <v/>
      </c>
      <c r="N2498" s="61" t="str">
        <f aca="false">IF(IsPro,IF($D2498="","",M2498),"")</f>
        <v/>
      </c>
      <c r="O2498" s="61" t="str">
        <f aca="false">IF(IsPro,IF($D2498="","",IF(AND(R2498&lt;&gt;"",INDEX(Parties!$E$5:$E$304,R2498)&lt;&gt;"",INDEX(Parties!$E$5:$E$304,R2498)&lt;&gt;HomeState),ROUND(K2498*L2498,2),0)),"")</f>
        <v/>
      </c>
      <c r="P2498" s="61" t="str">
        <f aca="false">IF(IsPro,IF($D2498="","",K2498+M2498+N2498+O2498),"")</f>
        <v/>
      </c>
      <c r="Q2498" s="60" t="str">
        <f aca="false">IF(IsPro,IF($D2498="","",IFERROR(MATCH($D2498,Items!$A$5:$A$504,0),"")),"")</f>
        <v/>
      </c>
      <c r="R2498" s="60" t="str">
        <f aca="false">IF(IsPro,IF($C2498="","",IFERROR(MATCH($C2498,Parties!$A$5:$A$304,0),"")),"")</f>
        <v/>
      </c>
      <c r="S2498" s="61" t="str">
        <f aca="false">IF(IsPro,IF($D2498="","",IF(OR($H2498="",$H2498="Credit"),0,P2498)),"")</f>
        <v/>
      </c>
    </row>
    <row r="2499" customFormat="false" ht="15" hidden="false" customHeight="false" outlineLevel="0" collapsed="false">
      <c r="A2499" s="55"/>
      <c r="B2499" s="56"/>
      <c r="C2499" s="56"/>
      <c r="D2499" s="56"/>
      <c r="E2499" s="57"/>
      <c r="F2499" s="58"/>
      <c r="G2499" s="59"/>
      <c r="H2499" s="56"/>
      <c r="I2499" s="60" t="str">
        <f aca="false">IF(IsPro,IF($D2499="","",IFERROR(INDEX(Items!$D$5:$D$504,Q2499),"")),IF($D2499="","","PRO PLAN"))</f>
        <v/>
      </c>
      <c r="J2499" s="61" t="str">
        <f aca="false">IF(IsPro,IF($D2499="","",IF($F2499="",IFERROR(INDEX(Items!$G$5:$G$504,Q2499),0),$F2499)),"")</f>
        <v/>
      </c>
      <c r="K2499" s="61" t="str">
        <f aca="false">IF(IsPro,IF($D2499="","",ROUND(N($E2499)*J2499*(1-N($G2499)),2)),"")</f>
        <v/>
      </c>
      <c r="L2499" s="62" t="str">
        <f aca="false">IF(IsPro,IF($D2499="","",IFERROR(INDEX(Items!$F$5:$F$504,Q2499),0)),"")</f>
        <v/>
      </c>
      <c r="M2499" s="61" t="str">
        <f aca="false">IF(IsPro,IF($D2499="","",IF(AND(R2499&lt;&gt;"",INDEX(Parties!$E$5:$E$304,R2499)&lt;&gt;"",INDEX(Parties!$E$5:$E$304,R2499)&lt;&gt;HomeState),0,ROUND(K2499*L2499/2,2))),"")</f>
        <v/>
      </c>
      <c r="N2499" s="61" t="str">
        <f aca="false">IF(IsPro,IF($D2499="","",M2499),"")</f>
        <v/>
      </c>
      <c r="O2499" s="61" t="str">
        <f aca="false">IF(IsPro,IF($D2499="","",IF(AND(R2499&lt;&gt;"",INDEX(Parties!$E$5:$E$304,R2499)&lt;&gt;"",INDEX(Parties!$E$5:$E$304,R2499)&lt;&gt;HomeState),ROUND(K2499*L2499,2),0)),"")</f>
        <v/>
      </c>
      <c r="P2499" s="61" t="str">
        <f aca="false">IF(IsPro,IF($D2499="","",K2499+M2499+N2499+O2499),"")</f>
        <v/>
      </c>
      <c r="Q2499" s="60" t="str">
        <f aca="false">IF(IsPro,IF($D2499="","",IFERROR(MATCH($D2499,Items!$A$5:$A$504,0),"")),"")</f>
        <v/>
      </c>
      <c r="R2499" s="60" t="str">
        <f aca="false">IF(IsPro,IF($C2499="","",IFERROR(MATCH($C2499,Parties!$A$5:$A$304,0),"")),"")</f>
        <v/>
      </c>
      <c r="S2499" s="61" t="str">
        <f aca="false">IF(IsPro,IF($D2499="","",IF(OR($H2499="",$H2499="Credit"),0,P2499)),"")</f>
        <v/>
      </c>
    </row>
    <row r="2500" customFormat="false" ht="15" hidden="false" customHeight="false" outlineLevel="0" collapsed="false">
      <c r="A2500" s="55"/>
      <c r="B2500" s="56"/>
      <c r="C2500" s="56"/>
      <c r="D2500" s="56"/>
      <c r="E2500" s="57"/>
      <c r="F2500" s="58"/>
      <c r="G2500" s="59"/>
      <c r="H2500" s="56"/>
      <c r="I2500" s="60" t="str">
        <f aca="false">IF(IsPro,IF($D2500="","",IFERROR(INDEX(Items!$D$5:$D$504,Q2500),"")),IF($D2500="","","PRO PLAN"))</f>
        <v/>
      </c>
      <c r="J2500" s="61" t="str">
        <f aca="false">IF(IsPro,IF($D2500="","",IF($F2500="",IFERROR(INDEX(Items!$G$5:$G$504,Q2500),0),$F2500)),"")</f>
        <v/>
      </c>
      <c r="K2500" s="61" t="str">
        <f aca="false">IF(IsPro,IF($D2500="","",ROUND(N($E2500)*J2500*(1-N($G2500)),2)),"")</f>
        <v/>
      </c>
      <c r="L2500" s="62" t="str">
        <f aca="false">IF(IsPro,IF($D2500="","",IFERROR(INDEX(Items!$F$5:$F$504,Q2500),0)),"")</f>
        <v/>
      </c>
      <c r="M2500" s="61" t="str">
        <f aca="false">IF(IsPro,IF($D2500="","",IF(AND(R2500&lt;&gt;"",INDEX(Parties!$E$5:$E$304,R2500)&lt;&gt;"",INDEX(Parties!$E$5:$E$304,R2500)&lt;&gt;HomeState),0,ROUND(K2500*L2500/2,2))),"")</f>
        <v/>
      </c>
      <c r="N2500" s="61" t="str">
        <f aca="false">IF(IsPro,IF($D2500="","",M2500),"")</f>
        <v/>
      </c>
      <c r="O2500" s="61" t="str">
        <f aca="false">IF(IsPro,IF($D2500="","",IF(AND(R2500&lt;&gt;"",INDEX(Parties!$E$5:$E$304,R2500)&lt;&gt;"",INDEX(Parties!$E$5:$E$304,R2500)&lt;&gt;HomeState),ROUND(K2500*L2500,2),0)),"")</f>
        <v/>
      </c>
      <c r="P2500" s="61" t="str">
        <f aca="false">IF(IsPro,IF($D2500="","",K2500+M2500+N2500+O2500),"")</f>
        <v/>
      </c>
      <c r="Q2500" s="60" t="str">
        <f aca="false">IF(IsPro,IF($D2500="","",IFERROR(MATCH($D2500,Items!$A$5:$A$504,0),"")),"")</f>
        <v/>
      </c>
      <c r="R2500" s="60" t="str">
        <f aca="false">IF(IsPro,IF($C2500="","",IFERROR(MATCH($C2500,Parties!$A$5:$A$304,0),"")),"")</f>
        <v/>
      </c>
      <c r="S2500" s="61" t="str">
        <f aca="false">IF(IsPro,IF($D2500="","",IF(OR($H2500="",$H2500="Credit"),0,P2500)),"")</f>
        <v/>
      </c>
    </row>
    <row r="2501" customFormat="false" ht="15" hidden="false" customHeight="false" outlineLevel="0" collapsed="false">
      <c r="A2501" s="55"/>
      <c r="B2501" s="56"/>
      <c r="C2501" s="56"/>
      <c r="D2501" s="56"/>
      <c r="E2501" s="57"/>
      <c r="F2501" s="58"/>
      <c r="G2501" s="59"/>
      <c r="H2501" s="56"/>
      <c r="I2501" s="60" t="str">
        <f aca="false">IF(IsPro,IF($D2501="","",IFERROR(INDEX(Items!$D$5:$D$504,Q2501),"")),IF($D2501="","","PRO PLAN"))</f>
        <v/>
      </c>
      <c r="J2501" s="61" t="str">
        <f aca="false">IF(IsPro,IF($D2501="","",IF($F2501="",IFERROR(INDEX(Items!$G$5:$G$504,Q2501),0),$F2501)),"")</f>
        <v/>
      </c>
      <c r="K2501" s="61" t="str">
        <f aca="false">IF(IsPro,IF($D2501="","",ROUND(N($E2501)*J2501*(1-N($G2501)),2)),"")</f>
        <v/>
      </c>
      <c r="L2501" s="62" t="str">
        <f aca="false">IF(IsPro,IF($D2501="","",IFERROR(INDEX(Items!$F$5:$F$504,Q2501),0)),"")</f>
        <v/>
      </c>
      <c r="M2501" s="61" t="str">
        <f aca="false">IF(IsPro,IF($D2501="","",IF(AND(R2501&lt;&gt;"",INDEX(Parties!$E$5:$E$304,R2501)&lt;&gt;"",INDEX(Parties!$E$5:$E$304,R2501)&lt;&gt;HomeState),0,ROUND(K2501*L2501/2,2))),"")</f>
        <v/>
      </c>
      <c r="N2501" s="61" t="str">
        <f aca="false">IF(IsPro,IF($D2501="","",M2501),"")</f>
        <v/>
      </c>
      <c r="O2501" s="61" t="str">
        <f aca="false">IF(IsPro,IF($D2501="","",IF(AND(R2501&lt;&gt;"",INDEX(Parties!$E$5:$E$304,R2501)&lt;&gt;"",INDEX(Parties!$E$5:$E$304,R2501)&lt;&gt;HomeState),ROUND(K2501*L2501,2),0)),"")</f>
        <v/>
      </c>
      <c r="P2501" s="61" t="str">
        <f aca="false">IF(IsPro,IF($D2501="","",K2501+M2501+N2501+O2501),"")</f>
        <v/>
      </c>
      <c r="Q2501" s="60" t="str">
        <f aca="false">IF(IsPro,IF($D2501="","",IFERROR(MATCH($D2501,Items!$A$5:$A$504,0),"")),"")</f>
        <v/>
      </c>
      <c r="R2501" s="60" t="str">
        <f aca="false">IF(IsPro,IF($C2501="","",IFERROR(MATCH($C2501,Parties!$A$5:$A$304,0),"")),"")</f>
        <v/>
      </c>
      <c r="S2501" s="61" t="str">
        <f aca="false">IF(IsPro,IF($D2501="","",IF(OR($H2501="",$H2501="Credit"),0,P2501)),"")</f>
        <v/>
      </c>
    </row>
    <row r="2502" customFormat="false" ht="15" hidden="false" customHeight="false" outlineLevel="0" collapsed="false">
      <c r="A2502" s="55"/>
      <c r="B2502" s="56"/>
      <c r="C2502" s="56"/>
      <c r="D2502" s="56"/>
      <c r="E2502" s="57"/>
      <c r="F2502" s="58"/>
      <c r="G2502" s="59"/>
      <c r="H2502" s="56"/>
      <c r="I2502" s="60" t="str">
        <f aca="false">IF(IsPro,IF($D2502="","",IFERROR(INDEX(Items!$D$5:$D$504,Q2502),"")),IF($D2502="","","PRO PLAN"))</f>
        <v/>
      </c>
      <c r="J2502" s="61" t="str">
        <f aca="false">IF(IsPro,IF($D2502="","",IF($F2502="",IFERROR(INDEX(Items!$G$5:$G$504,Q2502),0),$F2502)),"")</f>
        <v/>
      </c>
      <c r="K2502" s="61" t="str">
        <f aca="false">IF(IsPro,IF($D2502="","",ROUND(N($E2502)*J2502*(1-N($G2502)),2)),"")</f>
        <v/>
      </c>
      <c r="L2502" s="62" t="str">
        <f aca="false">IF(IsPro,IF($D2502="","",IFERROR(INDEX(Items!$F$5:$F$504,Q2502),0)),"")</f>
        <v/>
      </c>
      <c r="M2502" s="61" t="str">
        <f aca="false">IF(IsPro,IF($D2502="","",IF(AND(R2502&lt;&gt;"",INDEX(Parties!$E$5:$E$304,R2502)&lt;&gt;"",INDEX(Parties!$E$5:$E$304,R2502)&lt;&gt;HomeState),0,ROUND(K2502*L2502/2,2))),"")</f>
        <v/>
      </c>
      <c r="N2502" s="61" t="str">
        <f aca="false">IF(IsPro,IF($D2502="","",M2502),"")</f>
        <v/>
      </c>
      <c r="O2502" s="61" t="str">
        <f aca="false">IF(IsPro,IF($D2502="","",IF(AND(R2502&lt;&gt;"",INDEX(Parties!$E$5:$E$304,R2502)&lt;&gt;"",INDEX(Parties!$E$5:$E$304,R2502)&lt;&gt;HomeState),ROUND(K2502*L2502,2),0)),"")</f>
        <v/>
      </c>
      <c r="P2502" s="61" t="str">
        <f aca="false">IF(IsPro,IF($D2502="","",K2502+M2502+N2502+O2502),"")</f>
        <v/>
      </c>
      <c r="Q2502" s="60" t="str">
        <f aca="false">IF(IsPro,IF($D2502="","",IFERROR(MATCH($D2502,Items!$A$5:$A$504,0),"")),"")</f>
        <v/>
      </c>
      <c r="R2502" s="60" t="str">
        <f aca="false">IF(IsPro,IF($C2502="","",IFERROR(MATCH($C2502,Parties!$A$5:$A$304,0),"")),"")</f>
        <v/>
      </c>
      <c r="S2502" s="61" t="str">
        <f aca="false">IF(IsPro,IF($D2502="","",IF(OR($H2502="",$H2502="Credit"),0,P2502)),"")</f>
        <v/>
      </c>
    </row>
    <row r="2503" customFormat="false" ht="15" hidden="false" customHeight="false" outlineLevel="0" collapsed="false">
      <c r="A2503" s="55"/>
      <c r="B2503" s="56"/>
      <c r="C2503" s="56"/>
      <c r="D2503" s="56"/>
      <c r="E2503" s="57"/>
      <c r="F2503" s="58"/>
      <c r="G2503" s="59"/>
      <c r="H2503" s="56"/>
      <c r="I2503" s="60" t="str">
        <f aca="false">IF(IsPro,IF($D2503="","",IFERROR(INDEX(Items!$D$5:$D$504,Q2503),"")),IF($D2503="","","PRO PLAN"))</f>
        <v/>
      </c>
      <c r="J2503" s="61" t="str">
        <f aca="false">IF(IsPro,IF($D2503="","",IF($F2503="",IFERROR(INDEX(Items!$G$5:$G$504,Q2503),0),$F2503)),"")</f>
        <v/>
      </c>
      <c r="K2503" s="61" t="str">
        <f aca="false">IF(IsPro,IF($D2503="","",ROUND(N($E2503)*J2503*(1-N($G2503)),2)),"")</f>
        <v/>
      </c>
      <c r="L2503" s="62" t="str">
        <f aca="false">IF(IsPro,IF($D2503="","",IFERROR(INDEX(Items!$F$5:$F$504,Q2503),0)),"")</f>
        <v/>
      </c>
      <c r="M2503" s="61" t="str">
        <f aca="false">IF(IsPro,IF($D2503="","",IF(AND(R2503&lt;&gt;"",INDEX(Parties!$E$5:$E$304,R2503)&lt;&gt;"",INDEX(Parties!$E$5:$E$304,R2503)&lt;&gt;HomeState),0,ROUND(K2503*L2503/2,2))),"")</f>
        <v/>
      </c>
      <c r="N2503" s="61" t="str">
        <f aca="false">IF(IsPro,IF($D2503="","",M2503),"")</f>
        <v/>
      </c>
      <c r="O2503" s="61" t="str">
        <f aca="false">IF(IsPro,IF($D2503="","",IF(AND(R2503&lt;&gt;"",INDEX(Parties!$E$5:$E$304,R2503)&lt;&gt;"",INDEX(Parties!$E$5:$E$304,R2503)&lt;&gt;HomeState),ROUND(K2503*L2503,2),0)),"")</f>
        <v/>
      </c>
      <c r="P2503" s="61" t="str">
        <f aca="false">IF(IsPro,IF($D2503="","",K2503+M2503+N2503+O2503),"")</f>
        <v/>
      </c>
      <c r="Q2503" s="60" t="str">
        <f aca="false">IF(IsPro,IF($D2503="","",IFERROR(MATCH($D2503,Items!$A$5:$A$504,0),"")),"")</f>
        <v/>
      </c>
      <c r="R2503" s="60" t="str">
        <f aca="false">IF(IsPro,IF($C2503="","",IFERROR(MATCH($C2503,Parties!$A$5:$A$304,0),"")),"")</f>
        <v/>
      </c>
      <c r="S2503" s="61" t="str">
        <f aca="false">IF(IsPro,IF($D2503="","",IF(OR($H2503="",$H2503="Credit"),0,P2503)),"")</f>
        <v/>
      </c>
    </row>
    <row r="2504" customFormat="false" ht="15" hidden="false" customHeight="false" outlineLevel="0" collapsed="false">
      <c r="A2504" s="55"/>
      <c r="B2504" s="56"/>
      <c r="C2504" s="56"/>
      <c r="D2504" s="56"/>
      <c r="E2504" s="57"/>
      <c r="F2504" s="58"/>
      <c r="G2504" s="59"/>
      <c r="H2504" s="56"/>
      <c r="I2504" s="60" t="str">
        <f aca="false">IF(IsPro,IF($D2504="","",IFERROR(INDEX(Items!$D$5:$D$504,Q2504),"")),IF($D2504="","","PRO PLAN"))</f>
        <v/>
      </c>
      <c r="J2504" s="61" t="str">
        <f aca="false">IF(IsPro,IF($D2504="","",IF($F2504="",IFERROR(INDEX(Items!$G$5:$G$504,Q2504),0),$F2504)),"")</f>
        <v/>
      </c>
      <c r="K2504" s="61" t="str">
        <f aca="false">IF(IsPro,IF($D2504="","",ROUND(N($E2504)*J2504*(1-N($G2504)),2)),"")</f>
        <v/>
      </c>
      <c r="L2504" s="62" t="str">
        <f aca="false">IF(IsPro,IF($D2504="","",IFERROR(INDEX(Items!$F$5:$F$504,Q2504),0)),"")</f>
        <v/>
      </c>
      <c r="M2504" s="61" t="str">
        <f aca="false">IF(IsPro,IF($D2504="","",IF(AND(R2504&lt;&gt;"",INDEX(Parties!$E$5:$E$304,R2504)&lt;&gt;"",INDEX(Parties!$E$5:$E$304,R2504)&lt;&gt;HomeState),0,ROUND(K2504*L2504/2,2))),"")</f>
        <v/>
      </c>
      <c r="N2504" s="61" t="str">
        <f aca="false">IF(IsPro,IF($D2504="","",M2504),"")</f>
        <v/>
      </c>
      <c r="O2504" s="61" t="str">
        <f aca="false">IF(IsPro,IF($D2504="","",IF(AND(R2504&lt;&gt;"",INDEX(Parties!$E$5:$E$304,R2504)&lt;&gt;"",INDEX(Parties!$E$5:$E$304,R2504)&lt;&gt;HomeState),ROUND(K2504*L2504,2),0)),"")</f>
        <v/>
      </c>
      <c r="P2504" s="61" t="str">
        <f aca="false">IF(IsPro,IF($D2504="","",K2504+M2504+N2504+O2504),"")</f>
        <v/>
      </c>
      <c r="Q2504" s="60" t="str">
        <f aca="false">IF(IsPro,IF($D2504="","",IFERROR(MATCH($D2504,Items!$A$5:$A$504,0),"")),"")</f>
        <v/>
      </c>
      <c r="R2504" s="60" t="str">
        <f aca="false">IF(IsPro,IF($C2504="","",IFERROR(MATCH($C2504,Parties!$A$5:$A$304,0),"")),"")</f>
        <v/>
      </c>
      <c r="S2504" s="61" t="str">
        <f aca="false">IF(IsPro,IF($D2504="","",IF(OR($H2504="",$H2504="Credit"),0,P2504)),"")</f>
        <v/>
      </c>
    </row>
    <row r="2505" customFormat="false" ht="15" hidden="false" customHeight="false" outlineLevel="0" collapsed="false">
      <c r="A2505" s="55"/>
      <c r="B2505" s="56"/>
      <c r="C2505" s="56"/>
      <c r="D2505" s="56"/>
      <c r="E2505" s="57"/>
      <c r="F2505" s="58"/>
      <c r="G2505" s="59"/>
      <c r="H2505" s="56"/>
      <c r="I2505" s="60" t="str">
        <f aca="false">IF(IsPro,IF($D2505="","",IFERROR(INDEX(Items!$D$5:$D$504,Q2505),"")),IF($D2505="","","PRO PLAN"))</f>
        <v/>
      </c>
      <c r="J2505" s="61" t="str">
        <f aca="false">IF(IsPro,IF($D2505="","",IF($F2505="",IFERROR(INDEX(Items!$G$5:$G$504,Q2505),0),$F2505)),"")</f>
        <v/>
      </c>
      <c r="K2505" s="61" t="str">
        <f aca="false">IF(IsPro,IF($D2505="","",ROUND(N($E2505)*J2505*(1-N($G2505)),2)),"")</f>
        <v/>
      </c>
      <c r="L2505" s="62" t="str">
        <f aca="false">IF(IsPro,IF($D2505="","",IFERROR(INDEX(Items!$F$5:$F$504,Q2505),0)),"")</f>
        <v/>
      </c>
      <c r="M2505" s="61" t="str">
        <f aca="false">IF(IsPro,IF($D2505="","",IF(AND(R2505&lt;&gt;"",INDEX(Parties!$E$5:$E$304,R2505)&lt;&gt;"",INDEX(Parties!$E$5:$E$304,R2505)&lt;&gt;HomeState),0,ROUND(K2505*L2505/2,2))),"")</f>
        <v/>
      </c>
      <c r="N2505" s="61" t="str">
        <f aca="false">IF(IsPro,IF($D2505="","",M2505),"")</f>
        <v/>
      </c>
      <c r="O2505" s="61" t="str">
        <f aca="false">IF(IsPro,IF($D2505="","",IF(AND(R2505&lt;&gt;"",INDEX(Parties!$E$5:$E$304,R2505)&lt;&gt;"",INDEX(Parties!$E$5:$E$304,R2505)&lt;&gt;HomeState),ROUND(K2505*L2505,2),0)),"")</f>
        <v/>
      </c>
      <c r="P2505" s="61" t="str">
        <f aca="false">IF(IsPro,IF($D2505="","",K2505+M2505+N2505+O2505),"")</f>
        <v/>
      </c>
      <c r="Q2505" s="60" t="str">
        <f aca="false">IF(IsPro,IF($D2505="","",IFERROR(MATCH($D2505,Items!$A$5:$A$504,0),"")),"")</f>
        <v/>
      </c>
      <c r="R2505" s="60" t="str">
        <f aca="false">IF(IsPro,IF($C2505="","",IFERROR(MATCH($C2505,Parties!$A$5:$A$304,0),"")),"")</f>
        <v/>
      </c>
      <c r="S2505" s="61" t="str">
        <f aca="false">IF(IsPro,IF($D2505="","",IF(OR($H2505="",$H2505="Credit"),0,P2505)),"")</f>
        <v/>
      </c>
    </row>
    <row r="2506" customFormat="false" ht="15" hidden="false" customHeight="false" outlineLevel="0" collapsed="false">
      <c r="A2506" s="55"/>
      <c r="B2506" s="56"/>
      <c r="C2506" s="56"/>
      <c r="D2506" s="56"/>
      <c r="E2506" s="57"/>
      <c r="F2506" s="58"/>
      <c r="G2506" s="59"/>
      <c r="H2506" s="56"/>
      <c r="I2506" s="60" t="str">
        <f aca="false">IF(IsPro,IF($D2506="","",IFERROR(INDEX(Items!$D$5:$D$504,Q2506),"")),IF($D2506="","","PRO PLAN"))</f>
        <v/>
      </c>
      <c r="J2506" s="61" t="str">
        <f aca="false">IF(IsPro,IF($D2506="","",IF($F2506="",IFERROR(INDEX(Items!$G$5:$G$504,Q2506),0),$F2506)),"")</f>
        <v/>
      </c>
      <c r="K2506" s="61" t="str">
        <f aca="false">IF(IsPro,IF($D2506="","",ROUND(N($E2506)*J2506*(1-N($G2506)),2)),"")</f>
        <v/>
      </c>
      <c r="L2506" s="62" t="str">
        <f aca="false">IF(IsPro,IF($D2506="","",IFERROR(INDEX(Items!$F$5:$F$504,Q2506),0)),"")</f>
        <v/>
      </c>
      <c r="M2506" s="61" t="str">
        <f aca="false">IF(IsPro,IF($D2506="","",IF(AND(R2506&lt;&gt;"",INDEX(Parties!$E$5:$E$304,R2506)&lt;&gt;"",INDEX(Parties!$E$5:$E$304,R2506)&lt;&gt;HomeState),0,ROUND(K2506*L2506/2,2))),"")</f>
        <v/>
      </c>
      <c r="N2506" s="61" t="str">
        <f aca="false">IF(IsPro,IF($D2506="","",M2506),"")</f>
        <v/>
      </c>
      <c r="O2506" s="61" t="str">
        <f aca="false">IF(IsPro,IF($D2506="","",IF(AND(R2506&lt;&gt;"",INDEX(Parties!$E$5:$E$304,R2506)&lt;&gt;"",INDEX(Parties!$E$5:$E$304,R2506)&lt;&gt;HomeState),ROUND(K2506*L2506,2),0)),"")</f>
        <v/>
      </c>
      <c r="P2506" s="61" t="str">
        <f aca="false">IF(IsPro,IF($D2506="","",K2506+M2506+N2506+O2506),"")</f>
        <v/>
      </c>
      <c r="Q2506" s="60" t="str">
        <f aca="false">IF(IsPro,IF($D2506="","",IFERROR(MATCH($D2506,Items!$A$5:$A$504,0),"")),"")</f>
        <v/>
      </c>
      <c r="R2506" s="60" t="str">
        <f aca="false">IF(IsPro,IF($C2506="","",IFERROR(MATCH($C2506,Parties!$A$5:$A$304,0),"")),"")</f>
        <v/>
      </c>
      <c r="S2506" s="61" t="str">
        <f aca="false">IF(IsPro,IF($D2506="","",IF(OR($H2506="",$H2506="Credit"),0,P2506)),"")</f>
        <v/>
      </c>
    </row>
    <row r="2507" customFormat="false" ht="15" hidden="false" customHeight="false" outlineLevel="0" collapsed="false">
      <c r="A2507" s="55"/>
      <c r="B2507" s="56"/>
      <c r="C2507" s="56"/>
      <c r="D2507" s="56"/>
      <c r="E2507" s="57"/>
      <c r="F2507" s="58"/>
      <c r="G2507" s="59"/>
      <c r="H2507" s="56"/>
      <c r="I2507" s="60" t="str">
        <f aca="false">IF(IsPro,IF($D2507="","",IFERROR(INDEX(Items!$D$5:$D$504,Q2507),"")),IF($D2507="","","PRO PLAN"))</f>
        <v/>
      </c>
      <c r="J2507" s="61" t="str">
        <f aca="false">IF(IsPro,IF($D2507="","",IF($F2507="",IFERROR(INDEX(Items!$G$5:$G$504,Q2507),0),$F2507)),"")</f>
        <v/>
      </c>
      <c r="K2507" s="61" t="str">
        <f aca="false">IF(IsPro,IF($D2507="","",ROUND(N($E2507)*J2507*(1-N($G2507)),2)),"")</f>
        <v/>
      </c>
      <c r="L2507" s="62" t="str">
        <f aca="false">IF(IsPro,IF($D2507="","",IFERROR(INDEX(Items!$F$5:$F$504,Q2507),0)),"")</f>
        <v/>
      </c>
      <c r="M2507" s="61" t="str">
        <f aca="false">IF(IsPro,IF($D2507="","",IF(AND(R2507&lt;&gt;"",INDEX(Parties!$E$5:$E$304,R2507)&lt;&gt;"",INDEX(Parties!$E$5:$E$304,R2507)&lt;&gt;HomeState),0,ROUND(K2507*L2507/2,2))),"")</f>
        <v/>
      </c>
      <c r="N2507" s="61" t="str">
        <f aca="false">IF(IsPro,IF($D2507="","",M2507),"")</f>
        <v/>
      </c>
      <c r="O2507" s="61" t="str">
        <f aca="false">IF(IsPro,IF($D2507="","",IF(AND(R2507&lt;&gt;"",INDEX(Parties!$E$5:$E$304,R2507)&lt;&gt;"",INDEX(Parties!$E$5:$E$304,R2507)&lt;&gt;HomeState),ROUND(K2507*L2507,2),0)),"")</f>
        <v/>
      </c>
      <c r="P2507" s="61" t="str">
        <f aca="false">IF(IsPro,IF($D2507="","",K2507+M2507+N2507+O2507),"")</f>
        <v/>
      </c>
      <c r="Q2507" s="60" t="str">
        <f aca="false">IF(IsPro,IF($D2507="","",IFERROR(MATCH($D2507,Items!$A$5:$A$504,0),"")),"")</f>
        <v/>
      </c>
      <c r="R2507" s="60" t="str">
        <f aca="false">IF(IsPro,IF($C2507="","",IFERROR(MATCH($C2507,Parties!$A$5:$A$304,0),"")),"")</f>
        <v/>
      </c>
      <c r="S2507" s="61" t="str">
        <f aca="false">IF(IsPro,IF($D2507="","",IF(OR($H2507="",$H2507="Credit"),0,P2507)),"")</f>
        <v/>
      </c>
    </row>
    <row r="2508" customFormat="false" ht="15" hidden="false" customHeight="false" outlineLevel="0" collapsed="false">
      <c r="A2508" s="55"/>
      <c r="B2508" s="56"/>
      <c r="C2508" s="56"/>
      <c r="D2508" s="56"/>
      <c r="E2508" s="57"/>
      <c r="F2508" s="58"/>
      <c r="G2508" s="59"/>
      <c r="H2508" s="56"/>
      <c r="I2508" s="60" t="str">
        <f aca="false">IF(IsPro,IF($D2508="","",IFERROR(INDEX(Items!$D$5:$D$504,Q2508),"")),IF($D2508="","","PRO PLAN"))</f>
        <v/>
      </c>
      <c r="J2508" s="61" t="str">
        <f aca="false">IF(IsPro,IF($D2508="","",IF($F2508="",IFERROR(INDEX(Items!$G$5:$G$504,Q2508),0),$F2508)),"")</f>
        <v/>
      </c>
      <c r="K2508" s="61" t="str">
        <f aca="false">IF(IsPro,IF($D2508="","",ROUND(N($E2508)*J2508*(1-N($G2508)),2)),"")</f>
        <v/>
      </c>
      <c r="L2508" s="62" t="str">
        <f aca="false">IF(IsPro,IF($D2508="","",IFERROR(INDEX(Items!$F$5:$F$504,Q2508),0)),"")</f>
        <v/>
      </c>
      <c r="M2508" s="61" t="str">
        <f aca="false">IF(IsPro,IF($D2508="","",IF(AND(R2508&lt;&gt;"",INDEX(Parties!$E$5:$E$304,R2508)&lt;&gt;"",INDEX(Parties!$E$5:$E$304,R2508)&lt;&gt;HomeState),0,ROUND(K2508*L2508/2,2))),"")</f>
        <v/>
      </c>
      <c r="N2508" s="61" t="str">
        <f aca="false">IF(IsPro,IF($D2508="","",M2508),"")</f>
        <v/>
      </c>
      <c r="O2508" s="61" t="str">
        <f aca="false">IF(IsPro,IF($D2508="","",IF(AND(R2508&lt;&gt;"",INDEX(Parties!$E$5:$E$304,R2508)&lt;&gt;"",INDEX(Parties!$E$5:$E$304,R2508)&lt;&gt;HomeState),ROUND(K2508*L2508,2),0)),"")</f>
        <v/>
      </c>
      <c r="P2508" s="61" t="str">
        <f aca="false">IF(IsPro,IF($D2508="","",K2508+M2508+N2508+O2508),"")</f>
        <v/>
      </c>
      <c r="Q2508" s="60" t="str">
        <f aca="false">IF(IsPro,IF($D2508="","",IFERROR(MATCH($D2508,Items!$A$5:$A$504,0),"")),"")</f>
        <v/>
      </c>
      <c r="R2508" s="60" t="str">
        <f aca="false">IF(IsPro,IF($C2508="","",IFERROR(MATCH($C2508,Parties!$A$5:$A$304,0),"")),"")</f>
        <v/>
      </c>
      <c r="S2508" s="61" t="str">
        <f aca="false">IF(IsPro,IF($D2508="","",IF(OR($H2508="",$H2508="Credit"),0,P2508)),"")</f>
        <v/>
      </c>
    </row>
    <row r="2509" customFormat="false" ht="15" hidden="false" customHeight="false" outlineLevel="0" collapsed="false">
      <c r="A2509" s="55"/>
      <c r="B2509" s="56"/>
      <c r="C2509" s="56"/>
      <c r="D2509" s="56"/>
      <c r="E2509" s="57"/>
      <c r="F2509" s="58"/>
      <c r="G2509" s="59"/>
      <c r="H2509" s="56"/>
      <c r="I2509" s="60" t="str">
        <f aca="false">IF(IsPro,IF($D2509="","",IFERROR(INDEX(Items!$D$5:$D$504,Q2509),"")),IF($D2509="","","PRO PLAN"))</f>
        <v/>
      </c>
      <c r="J2509" s="61" t="str">
        <f aca="false">IF(IsPro,IF($D2509="","",IF($F2509="",IFERROR(INDEX(Items!$G$5:$G$504,Q2509),0),$F2509)),"")</f>
        <v/>
      </c>
      <c r="K2509" s="61" t="str">
        <f aca="false">IF(IsPro,IF($D2509="","",ROUND(N($E2509)*J2509*(1-N($G2509)),2)),"")</f>
        <v/>
      </c>
      <c r="L2509" s="62" t="str">
        <f aca="false">IF(IsPro,IF($D2509="","",IFERROR(INDEX(Items!$F$5:$F$504,Q2509),0)),"")</f>
        <v/>
      </c>
      <c r="M2509" s="61" t="str">
        <f aca="false">IF(IsPro,IF($D2509="","",IF(AND(R2509&lt;&gt;"",INDEX(Parties!$E$5:$E$304,R2509)&lt;&gt;"",INDEX(Parties!$E$5:$E$304,R2509)&lt;&gt;HomeState),0,ROUND(K2509*L2509/2,2))),"")</f>
        <v/>
      </c>
      <c r="N2509" s="61" t="str">
        <f aca="false">IF(IsPro,IF($D2509="","",M2509),"")</f>
        <v/>
      </c>
      <c r="O2509" s="61" t="str">
        <f aca="false">IF(IsPro,IF($D2509="","",IF(AND(R2509&lt;&gt;"",INDEX(Parties!$E$5:$E$304,R2509)&lt;&gt;"",INDEX(Parties!$E$5:$E$304,R2509)&lt;&gt;HomeState),ROUND(K2509*L2509,2),0)),"")</f>
        <v/>
      </c>
      <c r="P2509" s="61" t="str">
        <f aca="false">IF(IsPro,IF($D2509="","",K2509+M2509+N2509+O2509),"")</f>
        <v/>
      </c>
      <c r="Q2509" s="60" t="str">
        <f aca="false">IF(IsPro,IF($D2509="","",IFERROR(MATCH($D2509,Items!$A$5:$A$504,0),"")),"")</f>
        <v/>
      </c>
      <c r="R2509" s="60" t="str">
        <f aca="false">IF(IsPro,IF($C2509="","",IFERROR(MATCH($C2509,Parties!$A$5:$A$304,0),"")),"")</f>
        <v/>
      </c>
      <c r="S2509" s="61" t="str">
        <f aca="false">IF(IsPro,IF($D2509="","",IF(OR($H2509="",$H2509="Credit"),0,P2509)),"")</f>
        <v/>
      </c>
    </row>
    <row r="2510" customFormat="false" ht="15" hidden="false" customHeight="false" outlineLevel="0" collapsed="false">
      <c r="A2510" s="55"/>
      <c r="B2510" s="56"/>
      <c r="C2510" s="56"/>
      <c r="D2510" s="56"/>
      <c r="E2510" s="57"/>
      <c r="F2510" s="58"/>
      <c r="G2510" s="59"/>
      <c r="H2510" s="56"/>
      <c r="I2510" s="60" t="str">
        <f aca="false">IF(IsPro,IF($D2510="","",IFERROR(INDEX(Items!$D$5:$D$504,Q2510),"")),IF($D2510="","","PRO PLAN"))</f>
        <v/>
      </c>
      <c r="J2510" s="61" t="str">
        <f aca="false">IF(IsPro,IF($D2510="","",IF($F2510="",IFERROR(INDEX(Items!$G$5:$G$504,Q2510),0),$F2510)),"")</f>
        <v/>
      </c>
      <c r="K2510" s="61" t="str">
        <f aca="false">IF(IsPro,IF($D2510="","",ROUND(N($E2510)*J2510*(1-N($G2510)),2)),"")</f>
        <v/>
      </c>
      <c r="L2510" s="62" t="str">
        <f aca="false">IF(IsPro,IF($D2510="","",IFERROR(INDEX(Items!$F$5:$F$504,Q2510),0)),"")</f>
        <v/>
      </c>
      <c r="M2510" s="61" t="str">
        <f aca="false">IF(IsPro,IF($D2510="","",IF(AND(R2510&lt;&gt;"",INDEX(Parties!$E$5:$E$304,R2510)&lt;&gt;"",INDEX(Parties!$E$5:$E$304,R2510)&lt;&gt;HomeState),0,ROUND(K2510*L2510/2,2))),"")</f>
        <v/>
      </c>
      <c r="N2510" s="61" t="str">
        <f aca="false">IF(IsPro,IF($D2510="","",M2510),"")</f>
        <v/>
      </c>
      <c r="O2510" s="61" t="str">
        <f aca="false">IF(IsPro,IF($D2510="","",IF(AND(R2510&lt;&gt;"",INDEX(Parties!$E$5:$E$304,R2510)&lt;&gt;"",INDEX(Parties!$E$5:$E$304,R2510)&lt;&gt;HomeState),ROUND(K2510*L2510,2),0)),"")</f>
        <v/>
      </c>
      <c r="P2510" s="61" t="str">
        <f aca="false">IF(IsPro,IF($D2510="","",K2510+M2510+N2510+O2510),"")</f>
        <v/>
      </c>
      <c r="Q2510" s="60" t="str">
        <f aca="false">IF(IsPro,IF($D2510="","",IFERROR(MATCH($D2510,Items!$A$5:$A$504,0),"")),"")</f>
        <v/>
      </c>
      <c r="R2510" s="60" t="str">
        <f aca="false">IF(IsPro,IF($C2510="","",IFERROR(MATCH($C2510,Parties!$A$5:$A$304,0),"")),"")</f>
        <v/>
      </c>
      <c r="S2510" s="61" t="str">
        <f aca="false">IF(IsPro,IF($D2510="","",IF(OR($H2510="",$H2510="Credit"),0,P2510)),"")</f>
        <v/>
      </c>
    </row>
    <row r="2511" customFormat="false" ht="15" hidden="false" customHeight="false" outlineLevel="0" collapsed="false">
      <c r="A2511" s="55"/>
      <c r="B2511" s="56"/>
      <c r="C2511" s="56"/>
      <c r="D2511" s="56"/>
      <c r="E2511" s="57"/>
      <c r="F2511" s="58"/>
      <c r="G2511" s="59"/>
      <c r="H2511" s="56"/>
      <c r="I2511" s="60" t="str">
        <f aca="false">IF(IsPro,IF($D2511="","",IFERROR(INDEX(Items!$D$5:$D$504,Q2511),"")),IF($D2511="","","PRO PLAN"))</f>
        <v/>
      </c>
      <c r="J2511" s="61" t="str">
        <f aca="false">IF(IsPro,IF($D2511="","",IF($F2511="",IFERROR(INDEX(Items!$G$5:$G$504,Q2511),0),$F2511)),"")</f>
        <v/>
      </c>
      <c r="K2511" s="61" t="str">
        <f aca="false">IF(IsPro,IF($D2511="","",ROUND(N($E2511)*J2511*(1-N($G2511)),2)),"")</f>
        <v/>
      </c>
      <c r="L2511" s="62" t="str">
        <f aca="false">IF(IsPro,IF($D2511="","",IFERROR(INDEX(Items!$F$5:$F$504,Q2511),0)),"")</f>
        <v/>
      </c>
      <c r="M2511" s="61" t="str">
        <f aca="false">IF(IsPro,IF($D2511="","",IF(AND(R2511&lt;&gt;"",INDEX(Parties!$E$5:$E$304,R2511)&lt;&gt;"",INDEX(Parties!$E$5:$E$304,R2511)&lt;&gt;HomeState),0,ROUND(K2511*L2511/2,2))),"")</f>
        <v/>
      </c>
      <c r="N2511" s="61" t="str">
        <f aca="false">IF(IsPro,IF($D2511="","",M2511),"")</f>
        <v/>
      </c>
      <c r="O2511" s="61" t="str">
        <f aca="false">IF(IsPro,IF($D2511="","",IF(AND(R2511&lt;&gt;"",INDEX(Parties!$E$5:$E$304,R2511)&lt;&gt;"",INDEX(Parties!$E$5:$E$304,R2511)&lt;&gt;HomeState),ROUND(K2511*L2511,2),0)),"")</f>
        <v/>
      </c>
      <c r="P2511" s="61" t="str">
        <f aca="false">IF(IsPro,IF($D2511="","",K2511+M2511+N2511+O2511),"")</f>
        <v/>
      </c>
      <c r="Q2511" s="60" t="str">
        <f aca="false">IF(IsPro,IF($D2511="","",IFERROR(MATCH($D2511,Items!$A$5:$A$504,0),"")),"")</f>
        <v/>
      </c>
      <c r="R2511" s="60" t="str">
        <f aca="false">IF(IsPro,IF($C2511="","",IFERROR(MATCH($C2511,Parties!$A$5:$A$304,0),"")),"")</f>
        <v/>
      </c>
      <c r="S2511" s="61" t="str">
        <f aca="false">IF(IsPro,IF($D2511="","",IF(OR($H2511="",$H2511="Credit"),0,P2511)),"")</f>
        <v/>
      </c>
    </row>
    <row r="2512" customFormat="false" ht="15" hidden="false" customHeight="false" outlineLevel="0" collapsed="false">
      <c r="A2512" s="55"/>
      <c r="B2512" s="56"/>
      <c r="C2512" s="56"/>
      <c r="D2512" s="56"/>
      <c r="E2512" s="57"/>
      <c r="F2512" s="58"/>
      <c r="G2512" s="59"/>
      <c r="H2512" s="56"/>
      <c r="I2512" s="60" t="str">
        <f aca="false">IF(IsPro,IF($D2512="","",IFERROR(INDEX(Items!$D$5:$D$504,Q2512),"")),IF($D2512="","","PRO PLAN"))</f>
        <v/>
      </c>
      <c r="J2512" s="61" t="str">
        <f aca="false">IF(IsPro,IF($D2512="","",IF($F2512="",IFERROR(INDEX(Items!$G$5:$G$504,Q2512),0),$F2512)),"")</f>
        <v/>
      </c>
      <c r="K2512" s="61" t="str">
        <f aca="false">IF(IsPro,IF($D2512="","",ROUND(N($E2512)*J2512*(1-N($G2512)),2)),"")</f>
        <v/>
      </c>
      <c r="L2512" s="62" t="str">
        <f aca="false">IF(IsPro,IF($D2512="","",IFERROR(INDEX(Items!$F$5:$F$504,Q2512),0)),"")</f>
        <v/>
      </c>
      <c r="M2512" s="61" t="str">
        <f aca="false">IF(IsPro,IF($D2512="","",IF(AND(R2512&lt;&gt;"",INDEX(Parties!$E$5:$E$304,R2512)&lt;&gt;"",INDEX(Parties!$E$5:$E$304,R2512)&lt;&gt;HomeState),0,ROUND(K2512*L2512/2,2))),"")</f>
        <v/>
      </c>
      <c r="N2512" s="61" t="str">
        <f aca="false">IF(IsPro,IF($D2512="","",M2512),"")</f>
        <v/>
      </c>
      <c r="O2512" s="61" t="str">
        <f aca="false">IF(IsPro,IF($D2512="","",IF(AND(R2512&lt;&gt;"",INDEX(Parties!$E$5:$E$304,R2512)&lt;&gt;"",INDEX(Parties!$E$5:$E$304,R2512)&lt;&gt;HomeState),ROUND(K2512*L2512,2),0)),"")</f>
        <v/>
      </c>
      <c r="P2512" s="61" t="str">
        <f aca="false">IF(IsPro,IF($D2512="","",K2512+M2512+N2512+O2512),"")</f>
        <v/>
      </c>
      <c r="Q2512" s="60" t="str">
        <f aca="false">IF(IsPro,IF($D2512="","",IFERROR(MATCH($D2512,Items!$A$5:$A$504,0),"")),"")</f>
        <v/>
      </c>
      <c r="R2512" s="60" t="str">
        <f aca="false">IF(IsPro,IF($C2512="","",IFERROR(MATCH($C2512,Parties!$A$5:$A$304,0),"")),"")</f>
        <v/>
      </c>
      <c r="S2512" s="61" t="str">
        <f aca="false">IF(IsPro,IF($D2512="","",IF(OR($H2512="",$H2512="Credit"),0,P2512)),"")</f>
        <v/>
      </c>
    </row>
    <row r="2513" customFormat="false" ht="15" hidden="false" customHeight="false" outlineLevel="0" collapsed="false">
      <c r="A2513" s="55"/>
      <c r="B2513" s="56"/>
      <c r="C2513" s="56"/>
      <c r="D2513" s="56"/>
      <c r="E2513" s="57"/>
      <c r="F2513" s="58"/>
      <c r="G2513" s="59"/>
      <c r="H2513" s="56"/>
      <c r="I2513" s="60" t="str">
        <f aca="false">IF(IsPro,IF($D2513="","",IFERROR(INDEX(Items!$D$5:$D$504,Q2513),"")),IF($D2513="","","PRO PLAN"))</f>
        <v/>
      </c>
      <c r="J2513" s="61" t="str">
        <f aca="false">IF(IsPro,IF($D2513="","",IF($F2513="",IFERROR(INDEX(Items!$G$5:$G$504,Q2513),0),$F2513)),"")</f>
        <v/>
      </c>
      <c r="K2513" s="61" t="str">
        <f aca="false">IF(IsPro,IF($D2513="","",ROUND(N($E2513)*J2513*(1-N($G2513)),2)),"")</f>
        <v/>
      </c>
      <c r="L2513" s="62" t="str">
        <f aca="false">IF(IsPro,IF($D2513="","",IFERROR(INDEX(Items!$F$5:$F$504,Q2513),0)),"")</f>
        <v/>
      </c>
      <c r="M2513" s="61" t="str">
        <f aca="false">IF(IsPro,IF($D2513="","",IF(AND(R2513&lt;&gt;"",INDEX(Parties!$E$5:$E$304,R2513)&lt;&gt;"",INDEX(Parties!$E$5:$E$304,R2513)&lt;&gt;HomeState),0,ROUND(K2513*L2513/2,2))),"")</f>
        <v/>
      </c>
      <c r="N2513" s="61" t="str">
        <f aca="false">IF(IsPro,IF($D2513="","",M2513),"")</f>
        <v/>
      </c>
      <c r="O2513" s="61" t="str">
        <f aca="false">IF(IsPro,IF($D2513="","",IF(AND(R2513&lt;&gt;"",INDEX(Parties!$E$5:$E$304,R2513)&lt;&gt;"",INDEX(Parties!$E$5:$E$304,R2513)&lt;&gt;HomeState),ROUND(K2513*L2513,2),0)),"")</f>
        <v/>
      </c>
      <c r="P2513" s="61" t="str">
        <f aca="false">IF(IsPro,IF($D2513="","",K2513+M2513+N2513+O2513),"")</f>
        <v/>
      </c>
      <c r="Q2513" s="60" t="str">
        <f aca="false">IF(IsPro,IF($D2513="","",IFERROR(MATCH($D2513,Items!$A$5:$A$504,0),"")),"")</f>
        <v/>
      </c>
      <c r="R2513" s="60" t="str">
        <f aca="false">IF(IsPro,IF($C2513="","",IFERROR(MATCH($C2513,Parties!$A$5:$A$304,0),"")),"")</f>
        <v/>
      </c>
      <c r="S2513" s="61" t="str">
        <f aca="false">IF(IsPro,IF($D2513="","",IF(OR($H2513="",$H2513="Credit"),0,P2513)),"")</f>
        <v/>
      </c>
    </row>
    <row r="2514" customFormat="false" ht="15" hidden="false" customHeight="false" outlineLevel="0" collapsed="false">
      <c r="A2514" s="55"/>
      <c r="B2514" s="56"/>
      <c r="C2514" s="56"/>
      <c r="D2514" s="56"/>
      <c r="E2514" s="57"/>
      <c r="F2514" s="58"/>
      <c r="G2514" s="59"/>
      <c r="H2514" s="56"/>
      <c r="I2514" s="60" t="str">
        <f aca="false">IF(IsPro,IF($D2514="","",IFERROR(INDEX(Items!$D$5:$D$504,Q2514),"")),IF($D2514="","","PRO PLAN"))</f>
        <v/>
      </c>
      <c r="J2514" s="61" t="str">
        <f aca="false">IF(IsPro,IF($D2514="","",IF($F2514="",IFERROR(INDEX(Items!$G$5:$G$504,Q2514),0),$F2514)),"")</f>
        <v/>
      </c>
      <c r="K2514" s="61" t="str">
        <f aca="false">IF(IsPro,IF($D2514="","",ROUND(N($E2514)*J2514*(1-N($G2514)),2)),"")</f>
        <v/>
      </c>
      <c r="L2514" s="62" t="str">
        <f aca="false">IF(IsPro,IF($D2514="","",IFERROR(INDEX(Items!$F$5:$F$504,Q2514),0)),"")</f>
        <v/>
      </c>
      <c r="M2514" s="61" t="str">
        <f aca="false">IF(IsPro,IF($D2514="","",IF(AND(R2514&lt;&gt;"",INDEX(Parties!$E$5:$E$304,R2514)&lt;&gt;"",INDEX(Parties!$E$5:$E$304,R2514)&lt;&gt;HomeState),0,ROUND(K2514*L2514/2,2))),"")</f>
        <v/>
      </c>
      <c r="N2514" s="61" t="str">
        <f aca="false">IF(IsPro,IF($D2514="","",M2514),"")</f>
        <v/>
      </c>
      <c r="O2514" s="61" t="str">
        <f aca="false">IF(IsPro,IF($D2514="","",IF(AND(R2514&lt;&gt;"",INDEX(Parties!$E$5:$E$304,R2514)&lt;&gt;"",INDEX(Parties!$E$5:$E$304,R2514)&lt;&gt;HomeState),ROUND(K2514*L2514,2),0)),"")</f>
        <v/>
      </c>
      <c r="P2514" s="61" t="str">
        <f aca="false">IF(IsPro,IF($D2514="","",K2514+M2514+N2514+O2514),"")</f>
        <v/>
      </c>
      <c r="Q2514" s="60" t="str">
        <f aca="false">IF(IsPro,IF($D2514="","",IFERROR(MATCH($D2514,Items!$A$5:$A$504,0),"")),"")</f>
        <v/>
      </c>
      <c r="R2514" s="60" t="str">
        <f aca="false">IF(IsPro,IF($C2514="","",IFERROR(MATCH($C2514,Parties!$A$5:$A$304,0),"")),"")</f>
        <v/>
      </c>
      <c r="S2514" s="61" t="str">
        <f aca="false">IF(IsPro,IF($D2514="","",IF(OR($H2514="",$H2514="Credit"),0,P2514)),"")</f>
        <v/>
      </c>
    </row>
    <row r="2515" customFormat="false" ht="15" hidden="false" customHeight="false" outlineLevel="0" collapsed="false">
      <c r="A2515" s="55"/>
      <c r="B2515" s="56"/>
      <c r="C2515" s="56"/>
      <c r="D2515" s="56"/>
      <c r="E2515" s="57"/>
      <c r="F2515" s="58"/>
      <c r="G2515" s="59"/>
      <c r="H2515" s="56"/>
      <c r="I2515" s="60" t="str">
        <f aca="false">IF(IsPro,IF($D2515="","",IFERROR(INDEX(Items!$D$5:$D$504,Q2515),"")),IF($D2515="","","PRO PLAN"))</f>
        <v/>
      </c>
      <c r="J2515" s="61" t="str">
        <f aca="false">IF(IsPro,IF($D2515="","",IF($F2515="",IFERROR(INDEX(Items!$G$5:$G$504,Q2515),0),$F2515)),"")</f>
        <v/>
      </c>
      <c r="K2515" s="61" t="str">
        <f aca="false">IF(IsPro,IF($D2515="","",ROUND(N($E2515)*J2515*(1-N($G2515)),2)),"")</f>
        <v/>
      </c>
      <c r="L2515" s="62" t="str">
        <f aca="false">IF(IsPro,IF($D2515="","",IFERROR(INDEX(Items!$F$5:$F$504,Q2515),0)),"")</f>
        <v/>
      </c>
      <c r="M2515" s="61" t="str">
        <f aca="false">IF(IsPro,IF($D2515="","",IF(AND(R2515&lt;&gt;"",INDEX(Parties!$E$5:$E$304,R2515)&lt;&gt;"",INDEX(Parties!$E$5:$E$304,R2515)&lt;&gt;HomeState),0,ROUND(K2515*L2515/2,2))),"")</f>
        <v/>
      </c>
      <c r="N2515" s="61" t="str">
        <f aca="false">IF(IsPro,IF($D2515="","",M2515),"")</f>
        <v/>
      </c>
      <c r="O2515" s="61" t="str">
        <f aca="false">IF(IsPro,IF($D2515="","",IF(AND(R2515&lt;&gt;"",INDEX(Parties!$E$5:$E$304,R2515)&lt;&gt;"",INDEX(Parties!$E$5:$E$304,R2515)&lt;&gt;HomeState),ROUND(K2515*L2515,2),0)),"")</f>
        <v/>
      </c>
      <c r="P2515" s="61" t="str">
        <f aca="false">IF(IsPro,IF($D2515="","",K2515+M2515+N2515+O2515),"")</f>
        <v/>
      </c>
      <c r="Q2515" s="60" t="str">
        <f aca="false">IF(IsPro,IF($D2515="","",IFERROR(MATCH($D2515,Items!$A$5:$A$504,0),"")),"")</f>
        <v/>
      </c>
      <c r="R2515" s="60" t="str">
        <f aca="false">IF(IsPro,IF($C2515="","",IFERROR(MATCH($C2515,Parties!$A$5:$A$304,0),"")),"")</f>
        <v/>
      </c>
      <c r="S2515" s="61" t="str">
        <f aca="false">IF(IsPro,IF($D2515="","",IF(OR($H2515="",$H2515="Credit"),0,P2515)),"")</f>
        <v/>
      </c>
    </row>
    <row r="2516" customFormat="false" ht="15" hidden="false" customHeight="false" outlineLevel="0" collapsed="false">
      <c r="A2516" s="55"/>
      <c r="B2516" s="56"/>
      <c r="C2516" s="56"/>
      <c r="D2516" s="56"/>
      <c r="E2516" s="57"/>
      <c r="F2516" s="58"/>
      <c r="G2516" s="59"/>
      <c r="H2516" s="56"/>
      <c r="I2516" s="60" t="str">
        <f aca="false">IF(IsPro,IF($D2516="","",IFERROR(INDEX(Items!$D$5:$D$504,Q2516),"")),IF($D2516="","","PRO PLAN"))</f>
        <v/>
      </c>
      <c r="J2516" s="61" t="str">
        <f aca="false">IF(IsPro,IF($D2516="","",IF($F2516="",IFERROR(INDEX(Items!$G$5:$G$504,Q2516),0),$F2516)),"")</f>
        <v/>
      </c>
      <c r="K2516" s="61" t="str">
        <f aca="false">IF(IsPro,IF($D2516="","",ROUND(N($E2516)*J2516*(1-N($G2516)),2)),"")</f>
        <v/>
      </c>
      <c r="L2516" s="62" t="str">
        <f aca="false">IF(IsPro,IF($D2516="","",IFERROR(INDEX(Items!$F$5:$F$504,Q2516),0)),"")</f>
        <v/>
      </c>
      <c r="M2516" s="61" t="str">
        <f aca="false">IF(IsPro,IF($D2516="","",IF(AND(R2516&lt;&gt;"",INDEX(Parties!$E$5:$E$304,R2516)&lt;&gt;"",INDEX(Parties!$E$5:$E$304,R2516)&lt;&gt;HomeState),0,ROUND(K2516*L2516/2,2))),"")</f>
        <v/>
      </c>
      <c r="N2516" s="61" t="str">
        <f aca="false">IF(IsPro,IF($D2516="","",M2516),"")</f>
        <v/>
      </c>
      <c r="O2516" s="61" t="str">
        <f aca="false">IF(IsPro,IF($D2516="","",IF(AND(R2516&lt;&gt;"",INDEX(Parties!$E$5:$E$304,R2516)&lt;&gt;"",INDEX(Parties!$E$5:$E$304,R2516)&lt;&gt;HomeState),ROUND(K2516*L2516,2),0)),"")</f>
        <v/>
      </c>
      <c r="P2516" s="61" t="str">
        <f aca="false">IF(IsPro,IF($D2516="","",K2516+M2516+N2516+O2516),"")</f>
        <v/>
      </c>
      <c r="Q2516" s="60" t="str">
        <f aca="false">IF(IsPro,IF($D2516="","",IFERROR(MATCH($D2516,Items!$A$5:$A$504,0),"")),"")</f>
        <v/>
      </c>
      <c r="R2516" s="60" t="str">
        <f aca="false">IF(IsPro,IF($C2516="","",IFERROR(MATCH($C2516,Parties!$A$5:$A$304,0),"")),"")</f>
        <v/>
      </c>
      <c r="S2516" s="61" t="str">
        <f aca="false">IF(IsPro,IF($D2516="","",IF(OR($H2516="",$H2516="Credit"),0,P2516)),"")</f>
        <v/>
      </c>
    </row>
    <row r="2517" customFormat="false" ht="15" hidden="false" customHeight="false" outlineLevel="0" collapsed="false">
      <c r="A2517" s="55"/>
      <c r="B2517" s="56"/>
      <c r="C2517" s="56"/>
      <c r="D2517" s="56"/>
      <c r="E2517" s="57"/>
      <c r="F2517" s="58"/>
      <c r="G2517" s="59"/>
      <c r="H2517" s="56"/>
      <c r="I2517" s="60" t="str">
        <f aca="false">IF(IsPro,IF($D2517="","",IFERROR(INDEX(Items!$D$5:$D$504,Q2517),"")),IF($D2517="","","PRO PLAN"))</f>
        <v/>
      </c>
      <c r="J2517" s="61" t="str">
        <f aca="false">IF(IsPro,IF($D2517="","",IF($F2517="",IFERROR(INDEX(Items!$G$5:$G$504,Q2517),0),$F2517)),"")</f>
        <v/>
      </c>
      <c r="K2517" s="61" t="str">
        <f aca="false">IF(IsPro,IF($D2517="","",ROUND(N($E2517)*J2517*(1-N($G2517)),2)),"")</f>
        <v/>
      </c>
      <c r="L2517" s="62" t="str">
        <f aca="false">IF(IsPro,IF($D2517="","",IFERROR(INDEX(Items!$F$5:$F$504,Q2517),0)),"")</f>
        <v/>
      </c>
      <c r="M2517" s="61" t="str">
        <f aca="false">IF(IsPro,IF($D2517="","",IF(AND(R2517&lt;&gt;"",INDEX(Parties!$E$5:$E$304,R2517)&lt;&gt;"",INDEX(Parties!$E$5:$E$304,R2517)&lt;&gt;HomeState),0,ROUND(K2517*L2517/2,2))),"")</f>
        <v/>
      </c>
      <c r="N2517" s="61" t="str">
        <f aca="false">IF(IsPro,IF($D2517="","",M2517),"")</f>
        <v/>
      </c>
      <c r="O2517" s="61" t="str">
        <f aca="false">IF(IsPro,IF($D2517="","",IF(AND(R2517&lt;&gt;"",INDEX(Parties!$E$5:$E$304,R2517)&lt;&gt;"",INDEX(Parties!$E$5:$E$304,R2517)&lt;&gt;HomeState),ROUND(K2517*L2517,2),0)),"")</f>
        <v/>
      </c>
      <c r="P2517" s="61" t="str">
        <f aca="false">IF(IsPro,IF($D2517="","",K2517+M2517+N2517+O2517),"")</f>
        <v/>
      </c>
      <c r="Q2517" s="60" t="str">
        <f aca="false">IF(IsPro,IF($D2517="","",IFERROR(MATCH($D2517,Items!$A$5:$A$504,0),"")),"")</f>
        <v/>
      </c>
      <c r="R2517" s="60" t="str">
        <f aca="false">IF(IsPro,IF($C2517="","",IFERROR(MATCH($C2517,Parties!$A$5:$A$304,0),"")),"")</f>
        <v/>
      </c>
      <c r="S2517" s="61" t="str">
        <f aca="false">IF(IsPro,IF($D2517="","",IF(OR($H2517="",$H2517="Credit"),0,P2517)),"")</f>
        <v/>
      </c>
    </row>
    <row r="2518" customFormat="false" ht="15" hidden="false" customHeight="false" outlineLevel="0" collapsed="false">
      <c r="A2518" s="55"/>
      <c r="B2518" s="56"/>
      <c r="C2518" s="56"/>
      <c r="D2518" s="56"/>
      <c r="E2518" s="57"/>
      <c r="F2518" s="58"/>
      <c r="G2518" s="59"/>
      <c r="H2518" s="56"/>
      <c r="I2518" s="60" t="str">
        <f aca="false">IF(IsPro,IF($D2518="","",IFERROR(INDEX(Items!$D$5:$D$504,Q2518),"")),IF($D2518="","","PRO PLAN"))</f>
        <v/>
      </c>
      <c r="J2518" s="61" t="str">
        <f aca="false">IF(IsPro,IF($D2518="","",IF($F2518="",IFERROR(INDEX(Items!$G$5:$G$504,Q2518),0),$F2518)),"")</f>
        <v/>
      </c>
      <c r="K2518" s="61" t="str">
        <f aca="false">IF(IsPro,IF($D2518="","",ROUND(N($E2518)*J2518*(1-N($G2518)),2)),"")</f>
        <v/>
      </c>
      <c r="L2518" s="62" t="str">
        <f aca="false">IF(IsPro,IF($D2518="","",IFERROR(INDEX(Items!$F$5:$F$504,Q2518),0)),"")</f>
        <v/>
      </c>
      <c r="M2518" s="61" t="str">
        <f aca="false">IF(IsPro,IF($D2518="","",IF(AND(R2518&lt;&gt;"",INDEX(Parties!$E$5:$E$304,R2518)&lt;&gt;"",INDEX(Parties!$E$5:$E$304,R2518)&lt;&gt;HomeState),0,ROUND(K2518*L2518/2,2))),"")</f>
        <v/>
      </c>
      <c r="N2518" s="61" t="str">
        <f aca="false">IF(IsPro,IF($D2518="","",M2518),"")</f>
        <v/>
      </c>
      <c r="O2518" s="61" t="str">
        <f aca="false">IF(IsPro,IF($D2518="","",IF(AND(R2518&lt;&gt;"",INDEX(Parties!$E$5:$E$304,R2518)&lt;&gt;"",INDEX(Parties!$E$5:$E$304,R2518)&lt;&gt;HomeState),ROUND(K2518*L2518,2),0)),"")</f>
        <v/>
      </c>
      <c r="P2518" s="61" t="str">
        <f aca="false">IF(IsPro,IF($D2518="","",K2518+M2518+N2518+O2518),"")</f>
        <v/>
      </c>
      <c r="Q2518" s="60" t="str">
        <f aca="false">IF(IsPro,IF($D2518="","",IFERROR(MATCH($D2518,Items!$A$5:$A$504,0),"")),"")</f>
        <v/>
      </c>
      <c r="R2518" s="60" t="str">
        <f aca="false">IF(IsPro,IF($C2518="","",IFERROR(MATCH($C2518,Parties!$A$5:$A$304,0),"")),"")</f>
        <v/>
      </c>
      <c r="S2518" s="61" t="str">
        <f aca="false">IF(IsPro,IF($D2518="","",IF(OR($H2518="",$H2518="Credit"),0,P2518)),"")</f>
        <v/>
      </c>
    </row>
    <row r="2519" customFormat="false" ht="15" hidden="false" customHeight="false" outlineLevel="0" collapsed="false">
      <c r="A2519" s="55"/>
      <c r="B2519" s="56"/>
      <c r="C2519" s="56"/>
      <c r="D2519" s="56"/>
      <c r="E2519" s="57"/>
      <c r="F2519" s="58"/>
      <c r="G2519" s="59"/>
      <c r="H2519" s="56"/>
      <c r="I2519" s="60" t="str">
        <f aca="false">IF(IsPro,IF($D2519="","",IFERROR(INDEX(Items!$D$5:$D$504,Q2519),"")),IF($D2519="","","PRO PLAN"))</f>
        <v/>
      </c>
      <c r="J2519" s="61" t="str">
        <f aca="false">IF(IsPro,IF($D2519="","",IF($F2519="",IFERROR(INDEX(Items!$G$5:$G$504,Q2519),0),$F2519)),"")</f>
        <v/>
      </c>
      <c r="K2519" s="61" t="str">
        <f aca="false">IF(IsPro,IF($D2519="","",ROUND(N($E2519)*J2519*(1-N($G2519)),2)),"")</f>
        <v/>
      </c>
      <c r="L2519" s="62" t="str">
        <f aca="false">IF(IsPro,IF($D2519="","",IFERROR(INDEX(Items!$F$5:$F$504,Q2519),0)),"")</f>
        <v/>
      </c>
      <c r="M2519" s="61" t="str">
        <f aca="false">IF(IsPro,IF($D2519="","",IF(AND(R2519&lt;&gt;"",INDEX(Parties!$E$5:$E$304,R2519)&lt;&gt;"",INDEX(Parties!$E$5:$E$304,R2519)&lt;&gt;HomeState),0,ROUND(K2519*L2519/2,2))),"")</f>
        <v/>
      </c>
      <c r="N2519" s="61" t="str">
        <f aca="false">IF(IsPro,IF($D2519="","",M2519),"")</f>
        <v/>
      </c>
      <c r="O2519" s="61" t="str">
        <f aca="false">IF(IsPro,IF($D2519="","",IF(AND(R2519&lt;&gt;"",INDEX(Parties!$E$5:$E$304,R2519)&lt;&gt;"",INDEX(Parties!$E$5:$E$304,R2519)&lt;&gt;HomeState),ROUND(K2519*L2519,2),0)),"")</f>
        <v/>
      </c>
      <c r="P2519" s="61" t="str">
        <f aca="false">IF(IsPro,IF($D2519="","",K2519+M2519+N2519+O2519),"")</f>
        <v/>
      </c>
      <c r="Q2519" s="60" t="str">
        <f aca="false">IF(IsPro,IF($D2519="","",IFERROR(MATCH($D2519,Items!$A$5:$A$504,0),"")),"")</f>
        <v/>
      </c>
      <c r="R2519" s="60" t="str">
        <f aca="false">IF(IsPro,IF($C2519="","",IFERROR(MATCH($C2519,Parties!$A$5:$A$304,0),"")),"")</f>
        <v/>
      </c>
      <c r="S2519" s="61" t="str">
        <f aca="false">IF(IsPro,IF($D2519="","",IF(OR($H2519="",$H2519="Credit"),0,P2519)),"")</f>
        <v/>
      </c>
    </row>
    <row r="2520" customFormat="false" ht="15" hidden="false" customHeight="false" outlineLevel="0" collapsed="false">
      <c r="A2520" s="55"/>
      <c r="B2520" s="56"/>
      <c r="C2520" s="56"/>
      <c r="D2520" s="56"/>
      <c r="E2520" s="57"/>
      <c r="F2520" s="58"/>
      <c r="G2520" s="59"/>
      <c r="H2520" s="56"/>
      <c r="I2520" s="60" t="str">
        <f aca="false">IF(IsPro,IF($D2520="","",IFERROR(INDEX(Items!$D$5:$D$504,Q2520),"")),IF($D2520="","","PRO PLAN"))</f>
        <v/>
      </c>
      <c r="J2520" s="61" t="str">
        <f aca="false">IF(IsPro,IF($D2520="","",IF($F2520="",IFERROR(INDEX(Items!$G$5:$G$504,Q2520),0),$F2520)),"")</f>
        <v/>
      </c>
      <c r="K2520" s="61" t="str">
        <f aca="false">IF(IsPro,IF($D2520="","",ROUND(N($E2520)*J2520*(1-N($G2520)),2)),"")</f>
        <v/>
      </c>
      <c r="L2520" s="62" t="str">
        <f aca="false">IF(IsPro,IF($D2520="","",IFERROR(INDEX(Items!$F$5:$F$504,Q2520),0)),"")</f>
        <v/>
      </c>
      <c r="M2520" s="61" t="str">
        <f aca="false">IF(IsPro,IF($D2520="","",IF(AND(R2520&lt;&gt;"",INDEX(Parties!$E$5:$E$304,R2520)&lt;&gt;"",INDEX(Parties!$E$5:$E$304,R2520)&lt;&gt;HomeState),0,ROUND(K2520*L2520/2,2))),"")</f>
        <v/>
      </c>
      <c r="N2520" s="61" t="str">
        <f aca="false">IF(IsPro,IF($D2520="","",M2520),"")</f>
        <v/>
      </c>
      <c r="O2520" s="61" t="str">
        <f aca="false">IF(IsPro,IF($D2520="","",IF(AND(R2520&lt;&gt;"",INDEX(Parties!$E$5:$E$304,R2520)&lt;&gt;"",INDEX(Parties!$E$5:$E$304,R2520)&lt;&gt;HomeState),ROUND(K2520*L2520,2),0)),"")</f>
        <v/>
      </c>
      <c r="P2520" s="61" t="str">
        <f aca="false">IF(IsPro,IF($D2520="","",K2520+M2520+N2520+O2520),"")</f>
        <v/>
      </c>
      <c r="Q2520" s="60" t="str">
        <f aca="false">IF(IsPro,IF($D2520="","",IFERROR(MATCH($D2520,Items!$A$5:$A$504,0),"")),"")</f>
        <v/>
      </c>
      <c r="R2520" s="60" t="str">
        <f aca="false">IF(IsPro,IF($C2520="","",IFERROR(MATCH($C2520,Parties!$A$5:$A$304,0),"")),"")</f>
        <v/>
      </c>
      <c r="S2520" s="61" t="str">
        <f aca="false">IF(IsPro,IF($D2520="","",IF(OR($H2520="",$H2520="Credit"),0,P2520)),"")</f>
        <v/>
      </c>
    </row>
    <row r="2521" customFormat="false" ht="15" hidden="false" customHeight="false" outlineLevel="0" collapsed="false">
      <c r="A2521" s="55"/>
      <c r="B2521" s="56"/>
      <c r="C2521" s="56"/>
      <c r="D2521" s="56"/>
      <c r="E2521" s="57"/>
      <c r="F2521" s="58"/>
      <c r="G2521" s="59"/>
      <c r="H2521" s="56"/>
      <c r="I2521" s="60" t="str">
        <f aca="false">IF(IsPro,IF($D2521="","",IFERROR(INDEX(Items!$D$5:$D$504,Q2521),"")),IF($D2521="","","PRO PLAN"))</f>
        <v/>
      </c>
      <c r="J2521" s="61" t="str">
        <f aca="false">IF(IsPro,IF($D2521="","",IF($F2521="",IFERROR(INDEX(Items!$G$5:$G$504,Q2521),0),$F2521)),"")</f>
        <v/>
      </c>
      <c r="K2521" s="61" t="str">
        <f aca="false">IF(IsPro,IF($D2521="","",ROUND(N($E2521)*J2521*(1-N($G2521)),2)),"")</f>
        <v/>
      </c>
      <c r="L2521" s="62" t="str">
        <f aca="false">IF(IsPro,IF($D2521="","",IFERROR(INDEX(Items!$F$5:$F$504,Q2521),0)),"")</f>
        <v/>
      </c>
      <c r="M2521" s="61" t="str">
        <f aca="false">IF(IsPro,IF($D2521="","",IF(AND(R2521&lt;&gt;"",INDEX(Parties!$E$5:$E$304,R2521)&lt;&gt;"",INDEX(Parties!$E$5:$E$304,R2521)&lt;&gt;HomeState),0,ROUND(K2521*L2521/2,2))),"")</f>
        <v/>
      </c>
      <c r="N2521" s="61" t="str">
        <f aca="false">IF(IsPro,IF($D2521="","",M2521),"")</f>
        <v/>
      </c>
      <c r="O2521" s="61" t="str">
        <f aca="false">IF(IsPro,IF($D2521="","",IF(AND(R2521&lt;&gt;"",INDEX(Parties!$E$5:$E$304,R2521)&lt;&gt;"",INDEX(Parties!$E$5:$E$304,R2521)&lt;&gt;HomeState),ROUND(K2521*L2521,2),0)),"")</f>
        <v/>
      </c>
      <c r="P2521" s="61" t="str">
        <f aca="false">IF(IsPro,IF($D2521="","",K2521+M2521+N2521+O2521),"")</f>
        <v/>
      </c>
      <c r="Q2521" s="60" t="str">
        <f aca="false">IF(IsPro,IF($D2521="","",IFERROR(MATCH($D2521,Items!$A$5:$A$504,0),"")),"")</f>
        <v/>
      </c>
      <c r="R2521" s="60" t="str">
        <f aca="false">IF(IsPro,IF($C2521="","",IFERROR(MATCH($C2521,Parties!$A$5:$A$304,0),"")),"")</f>
        <v/>
      </c>
      <c r="S2521" s="61" t="str">
        <f aca="false">IF(IsPro,IF($D2521="","",IF(OR($H2521="",$H2521="Credit"),0,P2521)),"")</f>
        <v/>
      </c>
    </row>
    <row r="2522" customFormat="false" ht="15" hidden="false" customHeight="false" outlineLevel="0" collapsed="false">
      <c r="A2522" s="55"/>
      <c r="B2522" s="56"/>
      <c r="C2522" s="56"/>
      <c r="D2522" s="56"/>
      <c r="E2522" s="57"/>
      <c r="F2522" s="58"/>
      <c r="G2522" s="59"/>
      <c r="H2522" s="56"/>
      <c r="I2522" s="60" t="str">
        <f aca="false">IF(IsPro,IF($D2522="","",IFERROR(INDEX(Items!$D$5:$D$504,Q2522),"")),IF($D2522="","","PRO PLAN"))</f>
        <v/>
      </c>
      <c r="J2522" s="61" t="str">
        <f aca="false">IF(IsPro,IF($D2522="","",IF($F2522="",IFERROR(INDEX(Items!$G$5:$G$504,Q2522),0),$F2522)),"")</f>
        <v/>
      </c>
      <c r="K2522" s="61" t="str">
        <f aca="false">IF(IsPro,IF($D2522="","",ROUND(N($E2522)*J2522*(1-N($G2522)),2)),"")</f>
        <v/>
      </c>
      <c r="L2522" s="62" t="str">
        <f aca="false">IF(IsPro,IF($D2522="","",IFERROR(INDEX(Items!$F$5:$F$504,Q2522),0)),"")</f>
        <v/>
      </c>
      <c r="M2522" s="61" t="str">
        <f aca="false">IF(IsPro,IF($D2522="","",IF(AND(R2522&lt;&gt;"",INDEX(Parties!$E$5:$E$304,R2522)&lt;&gt;"",INDEX(Parties!$E$5:$E$304,R2522)&lt;&gt;HomeState),0,ROUND(K2522*L2522/2,2))),"")</f>
        <v/>
      </c>
      <c r="N2522" s="61" t="str">
        <f aca="false">IF(IsPro,IF($D2522="","",M2522),"")</f>
        <v/>
      </c>
      <c r="O2522" s="61" t="str">
        <f aca="false">IF(IsPro,IF($D2522="","",IF(AND(R2522&lt;&gt;"",INDEX(Parties!$E$5:$E$304,R2522)&lt;&gt;"",INDEX(Parties!$E$5:$E$304,R2522)&lt;&gt;HomeState),ROUND(K2522*L2522,2),0)),"")</f>
        <v/>
      </c>
      <c r="P2522" s="61" t="str">
        <f aca="false">IF(IsPro,IF($D2522="","",K2522+M2522+N2522+O2522),"")</f>
        <v/>
      </c>
      <c r="Q2522" s="60" t="str">
        <f aca="false">IF(IsPro,IF($D2522="","",IFERROR(MATCH($D2522,Items!$A$5:$A$504,0),"")),"")</f>
        <v/>
      </c>
      <c r="R2522" s="60" t="str">
        <f aca="false">IF(IsPro,IF($C2522="","",IFERROR(MATCH($C2522,Parties!$A$5:$A$304,0),"")),"")</f>
        <v/>
      </c>
      <c r="S2522" s="61" t="str">
        <f aca="false">IF(IsPro,IF($D2522="","",IF(OR($H2522="",$H2522="Credit"),0,P2522)),"")</f>
        <v/>
      </c>
    </row>
    <row r="2523" customFormat="false" ht="15" hidden="false" customHeight="false" outlineLevel="0" collapsed="false">
      <c r="A2523" s="55"/>
      <c r="B2523" s="56"/>
      <c r="C2523" s="56"/>
      <c r="D2523" s="56"/>
      <c r="E2523" s="57"/>
      <c r="F2523" s="58"/>
      <c r="G2523" s="59"/>
      <c r="H2523" s="56"/>
      <c r="I2523" s="60" t="str">
        <f aca="false">IF(IsPro,IF($D2523="","",IFERROR(INDEX(Items!$D$5:$D$504,Q2523),"")),IF($D2523="","","PRO PLAN"))</f>
        <v/>
      </c>
      <c r="J2523" s="61" t="str">
        <f aca="false">IF(IsPro,IF($D2523="","",IF($F2523="",IFERROR(INDEX(Items!$G$5:$G$504,Q2523),0),$F2523)),"")</f>
        <v/>
      </c>
      <c r="K2523" s="61" t="str">
        <f aca="false">IF(IsPro,IF($D2523="","",ROUND(N($E2523)*J2523*(1-N($G2523)),2)),"")</f>
        <v/>
      </c>
      <c r="L2523" s="62" t="str">
        <f aca="false">IF(IsPro,IF($D2523="","",IFERROR(INDEX(Items!$F$5:$F$504,Q2523),0)),"")</f>
        <v/>
      </c>
      <c r="M2523" s="61" t="str">
        <f aca="false">IF(IsPro,IF($D2523="","",IF(AND(R2523&lt;&gt;"",INDEX(Parties!$E$5:$E$304,R2523)&lt;&gt;"",INDEX(Parties!$E$5:$E$304,R2523)&lt;&gt;HomeState),0,ROUND(K2523*L2523/2,2))),"")</f>
        <v/>
      </c>
      <c r="N2523" s="61" t="str">
        <f aca="false">IF(IsPro,IF($D2523="","",M2523),"")</f>
        <v/>
      </c>
      <c r="O2523" s="61" t="str">
        <f aca="false">IF(IsPro,IF($D2523="","",IF(AND(R2523&lt;&gt;"",INDEX(Parties!$E$5:$E$304,R2523)&lt;&gt;"",INDEX(Parties!$E$5:$E$304,R2523)&lt;&gt;HomeState),ROUND(K2523*L2523,2),0)),"")</f>
        <v/>
      </c>
      <c r="P2523" s="61" t="str">
        <f aca="false">IF(IsPro,IF($D2523="","",K2523+M2523+N2523+O2523),"")</f>
        <v/>
      </c>
      <c r="Q2523" s="60" t="str">
        <f aca="false">IF(IsPro,IF($D2523="","",IFERROR(MATCH($D2523,Items!$A$5:$A$504,0),"")),"")</f>
        <v/>
      </c>
      <c r="R2523" s="60" t="str">
        <f aca="false">IF(IsPro,IF($C2523="","",IFERROR(MATCH($C2523,Parties!$A$5:$A$304,0),"")),"")</f>
        <v/>
      </c>
      <c r="S2523" s="61" t="str">
        <f aca="false">IF(IsPro,IF($D2523="","",IF(OR($H2523="",$H2523="Credit"),0,P2523)),"")</f>
        <v/>
      </c>
    </row>
    <row r="2524" customFormat="false" ht="15" hidden="false" customHeight="false" outlineLevel="0" collapsed="false">
      <c r="A2524" s="55"/>
      <c r="B2524" s="56"/>
      <c r="C2524" s="56"/>
      <c r="D2524" s="56"/>
      <c r="E2524" s="57"/>
      <c r="F2524" s="58"/>
      <c r="G2524" s="59"/>
      <c r="H2524" s="56"/>
      <c r="I2524" s="60" t="str">
        <f aca="false">IF(IsPro,IF($D2524="","",IFERROR(INDEX(Items!$D$5:$D$504,Q2524),"")),IF($D2524="","","PRO PLAN"))</f>
        <v/>
      </c>
      <c r="J2524" s="61" t="str">
        <f aca="false">IF(IsPro,IF($D2524="","",IF($F2524="",IFERROR(INDEX(Items!$G$5:$G$504,Q2524),0),$F2524)),"")</f>
        <v/>
      </c>
      <c r="K2524" s="61" t="str">
        <f aca="false">IF(IsPro,IF($D2524="","",ROUND(N($E2524)*J2524*(1-N($G2524)),2)),"")</f>
        <v/>
      </c>
      <c r="L2524" s="62" t="str">
        <f aca="false">IF(IsPro,IF($D2524="","",IFERROR(INDEX(Items!$F$5:$F$504,Q2524),0)),"")</f>
        <v/>
      </c>
      <c r="M2524" s="61" t="str">
        <f aca="false">IF(IsPro,IF($D2524="","",IF(AND(R2524&lt;&gt;"",INDEX(Parties!$E$5:$E$304,R2524)&lt;&gt;"",INDEX(Parties!$E$5:$E$304,R2524)&lt;&gt;HomeState),0,ROUND(K2524*L2524/2,2))),"")</f>
        <v/>
      </c>
      <c r="N2524" s="61" t="str">
        <f aca="false">IF(IsPro,IF($D2524="","",M2524),"")</f>
        <v/>
      </c>
      <c r="O2524" s="61" t="str">
        <f aca="false">IF(IsPro,IF($D2524="","",IF(AND(R2524&lt;&gt;"",INDEX(Parties!$E$5:$E$304,R2524)&lt;&gt;"",INDEX(Parties!$E$5:$E$304,R2524)&lt;&gt;HomeState),ROUND(K2524*L2524,2),0)),"")</f>
        <v/>
      </c>
      <c r="P2524" s="61" t="str">
        <f aca="false">IF(IsPro,IF($D2524="","",K2524+M2524+N2524+O2524),"")</f>
        <v/>
      </c>
      <c r="Q2524" s="60" t="str">
        <f aca="false">IF(IsPro,IF($D2524="","",IFERROR(MATCH($D2524,Items!$A$5:$A$504,0),"")),"")</f>
        <v/>
      </c>
      <c r="R2524" s="60" t="str">
        <f aca="false">IF(IsPro,IF($C2524="","",IFERROR(MATCH($C2524,Parties!$A$5:$A$304,0),"")),"")</f>
        <v/>
      </c>
      <c r="S2524" s="61" t="str">
        <f aca="false">IF(IsPro,IF($D2524="","",IF(OR($H2524="",$H2524="Credit"),0,P2524)),"")</f>
        <v/>
      </c>
    </row>
    <row r="2525" customFormat="false" ht="15" hidden="false" customHeight="false" outlineLevel="0" collapsed="false">
      <c r="A2525" s="55"/>
      <c r="B2525" s="56"/>
      <c r="C2525" s="56"/>
      <c r="D2525" s="56"/>
      <c r="E2525" s="57"/>
      <c r="F2525" s="58"/>
      <c r="G2525" s="59"/>
      <c r="H2525" s="56"/>
      <c r="I2525" s="60" t="str">
        <f aca="false">IF(IsPro,IF($D2525="","",IFERROR(INDEX(Items!$D$5:$D$504,Q2525),"")),IF($D2525="","","PRO PLAN"))</f>
        <v/>
      </c>
      <c r="J2525" s="61" t="str">
        <f aca="false">IF(IsPro,IF($D2525="","",IF($F2525="",IFERROR(INDEX(Items!$G$5:$G$504,Q2525),0),$F2525)),"")</f>
        <v/>
      </c>
      <c r="K2525" s="61" t="str">
        <f aca="false">IF(IsPro,IF($D2525="","",ROUND(N($E2525)*J2525*(1-N($G2525)),2)),"")</f>
        <v/>
      </c>
      <c r="L2525" s="62" t="str">
        <f aca="false">IF(IsPro,IF($D2525="","",IFERROR(INDEX(Items!$F$5:$F$504,Q2525),0)),"")</f>
        <v/>
      </c>
      <c r="M2525" s="61" t="str">
        <f aca="false">IF(IsPro,IF($D2525="","",IF(AND(R2525&lt;&gt;"",INDEX(Parties!$E$5:$E$304,R2525)&lt;&gt;"",INDEX(Parties!$E$5:$E$304,R2525)&lt;&gt;HomeState),0,ROUND(K2525*L2525/2,2))),"")</f>
        <v/>
      </c>
      <c r="N2525" s="61" t="str">
        <f aca="false">IF(IsPro,IF($D2525="","",M2525),"")</f>
        <v/>
      </c>
      <c r="O2525" s="61" t="str">
        <f aca="false">IF(IsPro,IF($D2525="","",IF(AND(R2525&lt;&gt;"",INDEX(Parties!$E$5:$E$304,R2525)&lt;&gt;"",INDEX(Parties!$E$5:$E$304,R2525)&lt;&gt;HomeState),ROUND(K2525*L2525,2),0)),"")</f>
        <v/>
      </c>
      <c r="P2525" s="61" t="str">
        <f aca="false">IF(IsPro,IF($D2525="","",K2525+M2525+N2525+O2525),"")</f>
        <v/>
      </c>
      <c r="Q2525" s="60" t="str">
        <f aca="false">IF(IsPro,IF($D2525="","",IFERROR(MATCH($D2525,Items!$A$5:$A$504,0),"")),"")</f>
        <v/>
      </c>
      <c r="R2525" s="60" t="str">
        <f aca="false">IF(IsPro,IF($C2525="","",IFERROR(MATCH($C2525,Parties!$A$5:$A$304,0),"")),"")</f>
        <v/>
      </c>
      <c r="S2525" s="61" t="str">
        <f aca="false">IF(IsPro,IF($D2525="","",IF(OR($H2525="",$H2525="Credit"),0,P2525)),"")</f>
        <v/>
      </c>
    </row>
    <row r="2526" customFormat="false" ht="15" hidden="false" customHeight="false" outlineLevel="0" collapsed="false">
      <c r="A2526" s="55"/>
      <c r="B2526" s="56"/>
      <c r="C2526" s="56"/>
      <c r="D2526" s="56"/>
      <c r="E2526" s="57"/>
      <c r="F2526" s="58"/>
      <c r="G2526" s="59"/>
      <c r="H2526" s="56"/>
      <c r="I2526" s="60" t="str">
        <f aca="false">IF(IsPro,IF($D2526="","",IFERROR(INDEX(Items!$D$5:$D$504,Q2526),"")),IF($D2526="","","PRO PLAN"))</f>
        <v/>
      </c>
      <c r="J2526" s="61" t="str">
        <f aca="false">IF(IsPro,IF($D2526="","",IF($F2526="",IFERROR(INDEX(Items!$G$5:$G$504,Q2526),0),$F2526)),"")</f>
        <v/>
      </c>
      <c r="K2526" s="61" t="str">
        <f aca="false">IF(IsPro,IF($D2526="","",ROUND(N($E2526)*J2526*(1-N($G2526)),2)),"")</f>
        <v/>
      </c>
      <c r="L2526" s="62" t="str">
        <f aca="false">IF(IsPro,IF($D2526="","",IFERROR(INDEX(Items!$F$5:$F$504,Q2526),0)),"")</f>
        <v/>
      </c>
      <c r="M2526" s="61" t="str">
        <f aca="false">IF(IsPro,IF($D2526="","",IF(AND(R2526&lt;&gt;"",INDEX(Parties!$E$5:$E$304,R2526)&lt;&gt;"",INDEX(Parties!$E$5:$E$304,R2526)&lt;&gt;HomeState),0,ROUND(K2526*L2526/2,2))),"")</f>
        <v/>
      </c>
      <c r="N2526" s="61" t="str">
        <f aca="false">IF(IsPro,IF($D2526="","",M2526),"")</f>
        <v/>
      </c>
      <c r="O2526" s="61" t="str">
        <f aca="false">IF(IsPro,IF($D2526="","",IF(AND(R2526&lt;&gt;"",INDEX(Parties!$E$5:$E$304,R2526)&lt;&gt;"",INDEX(Parties!$E$5:$E$304,R2526)&lt;&gt;HomeState),ROUND(K2526*L2526,2),0)),"")</f>
        <v/>
      </c>
      <c r="P2526" s="61" t="str">
        <f aca="false">IF(IsPro,IF($D2526="","",K2526+M2526+N2526+O2526),"")</f>
        <v/>
      </c>
      <c r="Q2526" s="60" t="str">
        <f aca="false">IF(IsPro,IF($D2526="","",IFERROR(MATCH($D2526,Items!$A$5:$A$504,0),"")),"")</f>
        <v/>
      </c>
      <c r="R2526" s="60" t="str">
        <f aca="false">IF(IsPro,IF($C2526="","",IFERROR(MATCH($C2526,Parties!$A$5:$A$304,0),"")),"")</f>
        <v/>
      </c>
      <c r="S2526" s="61" t="str">
        <f aca="false">IF(IsPro,IF($D2526="","",IF(OR($H2526="",$H2526="Credit"),0,P2526)),"")</f>
        <v/>
      </c>
    </row>
    <row r="2527" customFormat="false" ht="15" hidden="false" customHeight="false" outlineLevel="0" collapsed="false">
      <c r="A2527" s="55"/>
      <c r="B2527" s="56"/>
      <c r="C2527" s="56"/>
      <c r="D2527" s="56"/>
      <c r="E2527" s="57"/>
      <c r="F2527" s="58"/>
      <c r="G2527" s="59"/>
      <c r="H2527" s="56"/>
      <c r="I2527" s="60" t="str">
        <f aca="false">IF(IsPro,IF($D2527="","",IFERROR(INDEX(Items!$D$5:$D$504,Q2527),"")),IF($D2527="","","PRO PLAN"))</f>
        <v/>
      </c>
      <c r="J2527" s="61" t="str">
        <f aca="false">IF(IsPro,IF($D2527="","",IF($F2527="",IFERROR(INDEX(Items!$G$5:$G$504,Q2527),0),$F2527)),"")</f>
        <v/>
      </c>
      <c r="K2527" s="61" t="str">
        <f aca="false">IF(IsPro,IF($D2527="","",ROUND(N($E2527)*J2527*(1-N($G2527)),2)),"")</f>
        <v/>
      </c>
      <c r="L2527" s="62" t="str">
        <f aca="false">IF(IsPro,IF($D2527="","",IFERROR(INDEX(Items!$F$5:$F$504,Q2527),0)),"")</f>
        <v/>
      </c>
      <c r="M2527" s="61" t="str">
        <f aca="false">IF(IsPro,IF($D2527="","",IF(AND(R2527&lt;&gt;"",INDEX(Parties!$E$5:$E$304,R2527)&lt;&gt;"",INDEX(Parties!$E$5:$E$304,R2527)&lt;&gt;HomeState),0,ROUND(K2527*L2527/2,2))),"")</f>
        <v/>
      </c>
      <c r="N2527" s="61" t="str">
        <f aca="false">IF(IsPro,IF($D2527="","",M2527),"")</f>
        <v/>
      </c>
      <c r="O2527" s="61" t="str">
        <f aca="false">IF(IsPro,IF($D2527="","",IF(AND(R2527&lt;&gt;"",INDEX(Parties!$E$5:$E$304,R2527)&lt;&gt;"",INDEX(Parties!$E$5:$E$304,R2527)&lt;&gt;HomeState),ROUND(K2527*L2527,2),0)),"")</f>
        <v/>
      </c>
      <c r="P2527" s="61" t="str">
        <f aca="false">IF(IsPro,IF($D2527="","",K2527+M2527+N2527+O2527),"")</f>
        <v/>
      </c>
      <c r="Q2527" s="60" t="str">
        <f aca="false">IF(IsPro,IF($D2527="","",IFERROR(MATCH($D2527,Items!$A$5:$A$504,0),"")),"")</f>
        <v/>
      </c>
      <c r="R2527" s="60" t="str">
        <f aca="false">IF(IsPro,IF($C2527="","",IFERROR(MATCH($C2527,Parties!$A$5:$A$304,0),"")),"")</f>
        <v/>
      </c>
      <c r="S2527" s="61" t="str">
        <f aca="false">IF(IsPro,IF($D2527="","",IF(OR($H2527="",$H2527="Credit"),0,P2527)),"")</f>
        <v/>
      </c>
    </row>
    <row r="2528" customFormat="false" ht="15" hidden="false" customHeight="false" outlineLevel="0" collapsed="false">
      <c r="A2528" s="55"/>
      <c r="B2528" s="56"/>
      <c r="C2528" s="56"/>
      <c r="D2528" s="56"/>
      <c r="E2528" s="57"/>
      <c r="F2528" s="58"/>
      <c r="G2528" s="59"/>
      <c r="H2528" s="56"/>
      <c r="I2528" s="60" t="str">
        <f aca="false">IF(IsPro,IF($D2528="","",IFERROR(INDEX(Items!$D$5:$D$504,Q2528),"")),IF($D2528="","","PRO PLAN"))</f>
        <v/>
      </c>
      <c r="J2528" s="61" t="str">
        <f aca="false">IF(IsPro,IF($D2528="","",IF($F2528="",IFERROR(INDEX(Items!$G$5:$G$504,Q2528),0),$F2528)),"")</f>
        <v/>
      </c>
      <c r="K2528" s="61" t="str">
        <f aca="false">IF(IsPro,IF($D2528="","",ROUND(N($E2528)*J2528*(1-N($G2528)),2)),"")</f>
        <v/>
      </c>
      <c r="L2528" s="62" t="str">
        <f aca="false">IF(IsPro,IF($D2528="","",IFERROR(INDEX(Items!$F$5:$F$504,Q2528),0)),"")</f>
        <v/>
      </c>
      <c r="M2528" s="61" t="str">
        <f aca="false">IF(IsPro,IF($D2528="","",IF(AND(R2528&lt;&gt;"",INDEX(Parties!$E$5:$E$304,R2528)&lt;&gt;"",INDEX(Parties!$E$5:$E$304,R2528)&lt;&gt;HomeState),0,ROUND(K2528*L2528/2,2))),"")</f>
        <v/>
      </c>
      <c r="N2528" s="61" t="str">
        <f aca="false">IF(IsPro,IF($D2528="","",M2528),"")</f>
        <v/>
      </c>
      <c r="O2528" s="61" t="str">
        <f aca="false">IF(IsPro,IF($D2528="","",IF(AND(R2528&lt;&gt;"",INDEX(Parties!$E$5:$E$304,R2528)&lt;&gt;"",INDEX(Parties!$E$5:$E$304,R2528)&lt;&gt;HomeState),ROUND(K2528*L2528,2),0)),"")</f>
        <v/>
      </c>
      <c r="P2528" s="61" t="str">
        <f aca="false">IF(IsPro,IF($D2528="","",K2528+M2528+N2528+O2528),"")</f>
        <v/>
      </c>
      <c r="Q2528" s="60" t="str">
        <f aca="false">IF(IsPro,IF($D2528="","",IFERROR(MATCH($D2528,Items!$A$5:$A$504,0),"")),"")</f>
        <v/>
      </c>
      <c r="R2528" s="60" t="str">
        <f aca="false">IF(IsPro,IF($C2528="","",IFERROR(MATCH($C2528,Parties!$A$5:$A$304,0),"")),"")</f>
        <v/>
      </c>
      <c r="S2528" s="61" t="str">
        <f aca="false">IF(IsPro,IF($D2528="","",IF(OR($H2528="",$H2528="Credit"),0,P2528)),"")</f>
        <v/>
      </c>
    </row>
    <row r="2529" customFormat="false" ht="15" hidden="false" customHeight="false" outlineLevel="0" collapsed="false">
      <c r="A2529" s="55"/>
      <c r="B2529" s="56"/>
      <c r="C2529" s="56"/>
      <c r="D2529" s="56"/>
      <c r="E2529" s="57"/>
      <c r="F2529" s="58"/>
      <c r="G2529" s="59"/>
      <c r="H2529" s="56"/>
      <c r="I2529" s="60" t="str">
        <f aca="false">IF(IsPro,IF($D2529="","",IFERROR(INDEX(Items!$D$5:$D$504,Q2529),"")),IF($D2529="","","PRO PLAN"))</f>
        <v/>
      </c>
      <c r="J2529" s="61" t="str">
        <f aca="false">IF(IsPro,IF($D2529="","",IF($F2529="",IFERROR(INDEX(Items!$G$5:$G$504,Q2529),0),$F2529)),"")</f>
        <v/>
      </c>
      <c r="K2529" s="61" t="str">
        <f aca="false">IF(IsPro,IF($D2529="","",ROUND(N($E2529)*J2529*(1-N($G2529)),2)),"")</f>
        <v/>
      </c>
      <c r="L2529" s="62" t="str">
        <f aca="false">IF(IsPro,IF($D2529="","",IFERROR(INDEX(Items!$F$5:$F$504,Q2529),0)),"")</f>
        <v/>
      </c>
      <c r="M2529" s="61" t="str">
        <f aca="false">IF(IsPro,IF($D2529="","",IF(AND(R2529&lt;&gt;"",INDEX(Parties!$E$5:$E$304,R2529)&lt;&gt;"",INDEX(Parties!$E$5:$E$304,R2529)&lt;&gt;HomeState),0,ROUND(K2529*L2529/2,2))),"")</f>
        <v/>
      </c>
      <c r="N2529" s="61" t="str">
        <f aca="false">IF(IsPro,IF($D2529="","",M2529),"")</f>
        <v/>
      </c>
      <c r="O2529" s="61" t="str">
        <f aca="false">IF(IsPro,IF($D2529="","",IF(AND(R2529&lt;&gt;"",INDEX(Parties!$E$5:$E$304,R2529)&lt;&gt;"",INDEX(Parties!$E$5:$E$304,R2529)&lt;&gt;HomeState),ROUND(K2529*L2529,2),0)),"")</f>
        <v/>
      </c>
      <c r="P2529" s="61" t="str">
        <f aca="false">IF(IsPro,IF($D2529="","",K2529+M2529+N2529+O2529),"")</f>
        <v/>
      </c>
      <c r="Q2529" s="60" t="str">
        <f aca="false">IF(IsPro,IF($D2529="","",IFERROR(MATCH($D2529,Items!$A$5:$A$504,0),"")),"")</f>
        <v/>
      </c>
      <c r="R2529" s="60" t="str">
        <f aca="false">IF(IsPro,IF($C2529="","",IFERROR(MATCH($C2529,Parties!$A$5:$A$304,0),"")),"")</f>
        <v/>
      </c>
      <c r="S2529" s="61" t="str">
        <f aca="false">IF(IsPro,IF($D2529="","",IF(OR($H2529="",$H2529="Credit"),0,P2529)),"")</f>
        <v/>
      </c>
    </row>
    <row r="2530" customFormat="false" ht="15" hidden="false" customHeight="false" outlineLevel="0" collapsed="false">
      <c r="A2530" s="55"/>
      <c r="B2530" s="56"/>
      <c r="C2530" s="56"/>
      <c r="D2530" s="56"/>
      <c r="E2530" s="57"/>
      <c r="F2530" s="58"/>
      <c r="G2530" s="59"/>
      <c r="H2530" s="56"/>
      <c r="I2530" s="60" t="str">
        <f aca="false">IF(IsPro,IF($D2530="","",IFERROR(INDEX(Items!$D$5:$D$504,Q2530),"")),IF($D2530="","","PRO PLAN"))</f>
        <v/>
      </c>
      <c r="J2530" s="61" t="str">
        <f aca="false">IF(IsPro,IF($D2530="","",IF($F2530="",IFERROR(INDEX(Items!$G$5:$G$504,Q2530),0),$F2530)),"")</f>
        <v/>
      </c>
      <c r="K2530" s="61" t="str">
        <f aca="false">IF(IsPro,IF($D2530="","",ROUND(N($E2530)*J2530*(1-N($G2530)),2)),"")</f>
        <v/>
      </c>
      <c r="L2530" s="62" t="str">
        <f aca="false">IF(IsPro,IF($D2530="","",IFERROR(INDEX(Items!$F$5:$F$504,Q2530),0)),"")</f>
        <v/>
      </c>
      <c r="M2530" s="61" t="str">
        <f aca="false">IF(IsPro,IF($D2530="","",IF(AND(R2530&lt;&gt;"",INDEX(Parties!$E$5:$E$304,R2530)&lt;&gt;"",INDEX(Parties!$E$5:$E$304,R2530)&lt;&gt;HomeState),0,ROUND(K2530*L2530/2,2))),"")</f>
        <v/>
      </c>
      <c r="N2530" s="61" t="str">
        <f aca="false">IF(IsPro,IF($D2530="","",M2530),"")</f>
        <v/>
      </c>
      <c r="O2530" s="61" t="str">
        <f aca="false">IF(IsPro,IF($D2530="","",IF(AND(R2530&lt;&gt;"",INDEX(Parties!$E$5:$E$304,R2530)&lt;&gt;"",INDEX(Parties!$E$5:$E$304,R2530)&lt;&gt;HomeState),ROUND(K2530*L2530,2),0)),"")</f>
        <v/>
      </c>
      <c r="P2530" s="61" t="str">
        <f aca="false">IF(IsPro,IF($D2530="","",K2530+M2530+N2530+O2530),"")</f>
        <v/>
      </c>
      <c r="Q2530" s="60" t="str">
        <f aca="false">IF(IsPro,IF($D2530="","",IFERROR(MATCH($D2530,Items!$A$5:$A$504,0),"")),"")</f>
        <v/>
      </c>
      <c r="R2530" s="60" t="str">
        <f aca="false">IF(IsPro,IF($C2530="","",IFERROR(MATCH($C2530,Parties!$A$5:$A$304,0),"")),"")</f>
        <v/>
      </c>
      <c r="S2530" s="61" t="str">
        <f aca="false">IF(IsPro,IF($D2530="","",IF(OR($H2530="",$H2530="Credit"),0,P2530)),"")</f>
        <v/>
      </c>
    </row>
    <row r="2531" customFormat="false" ht="15" hidden="false" customHeight="false" outlineLevel="0" collapsed="false">
      <c r="A2531" s="55"/>
      <c r="B2531" s="56"/>
      <c r="C2531" s="56"/>
      <c r="D2531" s="56"/>
      <c r="E2531" s="57"/>
      <c r="F2531" s="58"/>
      <c r="G2531" s="59"/>
      <c r="H2531" s="56"/>
      <c r="I2531" s="60" t="str">
        <f aca="false">IF(IsPro,IF($D2531="","",IFERROR(INDEX(Items!$D$5:$D$504,Q2531),"")),IF($D2531="","","PRO PLAN"))</f>
        <v/>
      </c>
      <c r="J2531" s="61" t="str">
        <f aca="false">IF(IsPro,IF($D2531="","",IF($F2531="",IFERROR(INDEX(Items!$G$5:$G$504,Q2531),0),$F2531)),"")</f>
        <v/>
      </c>
      <c r="K2531" s="61" t="str">
        <f aca="false">IF(IsPro,IF($D2531="","",ROUND(N($E2531)*J2531*(1-N($G2531)),2)),"")</f>
        <v/>
      </c>
      <c r="L2531" s="62" t="str">
        <f aca="false">IF(IsPro,IF($D2531="","",IFERROR(INDEX(Items!$F$5:$F$504,Q2531),0)),"")</f>
        <v/>
      </c>
      <c r="M2531" s="61" t="str">
        <f aca="false">IF(IsPro,IF($D2531="","",IF(AND(R2531&lt;&gt;"",INDEX(Parties!$E$5:$E$304,R2531)&lt;&gt;"",INDEX(Parties!$E$5:$E$304,R2531)&lt;&gt;HomeState),0,ROUND(K2531*L2531/2,2))),"")</f>
        <v/>
      </c>
      <c r="N2531" s="61" t="str">
        <f aca="false">IF(IsPro,IF($D2531="","",M2531),"")</f>
        <v/>
      </c>
      <c r="O2531" s="61" t="str">
        <f aca="false">IF(IsPro,IF($D2531="","",IF(AND(R2531&lt;&gt;"",INDEX(Parties!$E$5:$E$304,R2531)&lt;&gt;"",INDEX(Parties!$E$5:$E$304,R2531)&lt;&gt;HomeState),ROUND(K2531*L2531,2),0)),"")</f>
        <v/>
      </c>
      <c r="P2531" s="61" t="str">
        <f aca="false">IF(IsPro,IF($D2531="","",K2531+M2531+N2531+O2531),"")</f>
        <v/>
      </c>
      <c r="Q2531" s="60" t="str">
        <f aca="false">IF(IsPro,IF($D2531="","",IFERROR(MATCH($D2531,Items!$A$5:$A$504,0),"")),"")</f>
        <v/>
      </c>
      <c r="R2531" s="60" t="str">
        <f aca="false">IF(IsPro,IF($C2531="","",IFERROR(MATCH($C2531,Parties!$A$5:$A$304,0),"")),"")</f>
        <v/>
      </c>
      <c r="S2531" s="61" t="str">
        <f aca="false">IF(IsPro,IF($D2531="","",IF(OR($H2531="",$H2531="Credit"),0,P2531)),"")</f>
        <v/>
      </c>
    </row>
    <row r="2532" customFormat="false" ht="15" hidden="false" customHeight="false" outlineLevel="0" collapsed="false">
      <c r="A2532" s="55"/>
      <c r="B2532" s="56"/>
      <c r="C2532" s="56"/>
      <c r="D2532" s="56"/>
      <c r="E2532" s="57"/>
      <c r="F2532" s="58"/>
      <c r="G2532" s="59"/>
      <c r="H2532" s="56"/>
      <c r="I2532" s="60" t="str">
        <f aca="false">IF(IsPro,IF($D2532="","",IFERROR(INDEX(Items!$D$5:$D$504,Q2532),"")),IF($D2532="","","PRO PLAN"))</f>
        <v/>
      </c>
      <c r="J2532" s="61" t="str">
        <f aca="false">IF(IsPro,IF($D2532="","",IF($F2532="",IFERROR(INDEX(Items!$G$5:$G$504,Q2532),0),$F2532)),"")</f>
        <v/>
      </c>
      <c r="K2532" s="61" t="str">
        <f aca="false">IF(IsPro,IF($D2532="","",ROUND(N($E2532)*J2532*(1-N($G2532)),2)),"")</f>
        <v/>
      </c>
      <c r="L2532" s="62" t="str">
        <f aca="false">IF(IsPro,IF($D2532="","",IFERROR(INDEX(Items!$F$5:$F$504,Q2532),0)),"")</f>
        <v/>
      </c>
      <c r="M2532" s="61" t="str">
        <f aca="false">IF(IsPro,IF($D2532="","",IF(AND(R2532&lt;&gt;"",INDEX(Parties!$E$5:$E$304,R2532)&lt;&gt;"",INDEX(Parties!$E$5:$E$304,R2532)&lt;&gt;HomeState),0,ROUND(K2532*L2532/2,2))),"")</f>
        <v/>
      </c>
      <c r="N2532" s="61" t="str">
        <f aca="false">IF(IsPro,IF($D2532="","",M2532),"")</f>
        <v/>
      </c>
      <c r="O2532" s="61" t="str">
        <f aca="false">IF(IsPro,IF($D2532="","",IF(AND(R2532&lt;&gt;"",INDEX(Parties!$E$5:$E$304,R2532)&lt;&gt;"",INDEX(Parties!$E$5:$E$304,R2532)&lt;&gt;HomeState),ROUND(K2532*L2532,2),0)),"")</f>
        <v/>
      </c>
      <c r="P2532" s="61" t="str">
        <f aca="false">IF(IsPro,IF($D2532="","",K2532+M2532+N2532+O2532),"")</f>
        <v/>
      </c>
      <c r="Q2532" s="60" t="str">
        <f aca="false">IF(IsPro,IF($D2532="","",IFERROR(MATCH($D2532,Items!$A$5:$A$504,0),"")),"")</f>
        <v/>
      </c>
      <c r="R2532" s="60" t="str">
        <f aca="false">IF(IsPro,IF($C2532="","",IFERROR(MATCH($C2532,Parties!$A$5:$A$304,0),"")),"")</f>
        <v/>
      </c>
      <c r="S2532" s="61" t="str">
        <f aca="false">IF(IsPro,IF($D2532="","",IF(OR($H2532="",$H2532="Credit"),0,P2532)),"")</f>
        <v/>
      </c>
    </row>
    <row r="2533" customFormat="false" ht="15" hidden="false" customHeight="false" outlineLevel="0" collapsed="false">
      <c r="A2533" s="55"/>
      <c r="B2533" s="56"/>
      <c r="C2533" s="56"/>
      <c r="D2533" s="56"/>
      <c r="E2533" s="57"/>
      <c r="F2533" s="58"/>
      <c r="G2533" s="59"/>
      <c r="H2533" s="56"/>
      <c r="I2533" s="60" t="str">
        <f aca="false">IF(IsPro,IF($D2533="","",IFERROR(INDEX(Items!$D$5:$D$504,Q2533),"")),IF($D2533="","","PRO PLAN"))</f>
        <v/>
      </c>
      <c r="J2533" s="61" t="str">
        <f aca="false">IF(IsPro,IF($D2533="","",IF($F2533="",IFERROR(INDEX(Items!$G$5:$G$504,Q2533),0),$F2533)),"")</f>
        <v/>
      </c>
      <c r="K2533" s="61" t="str">
        <f aca="false">IF(IsPro,IF($D2533="","",ROUND(N($E2533)*J2533*(1-N($G2533)),2)),"")</f>
        <v/>
      </c>
      <c r="L2533" s="62" t="str">
        <f aca="false">IF(IsPro,IF($D2533="","",IFERROR(INDEX(Items!$F$5:$F$504,Q2533),0)),"")</f>
        <v/>
      </c>
      <c r="M2533" s="61" t="str">
        <f aca="false">IF(IsPro,IF($D2533="","",IF(AND(R2533&lt;&gt;"",INDEX(Parties!$E$5:$E$304,R2533)&lt;&gt;"",INDEX(Parties!$E$5:$E$304,R2533)&lt;&gt;HomeState),0,ROUND(K2533*L2533/2,2))),"")</f>
        <v/>
      </c>
      <c r="N2533" s="61" t="str">
        <f aca="false">IF(IsPro,IF($D2533="","",M2533),"")</f>
        <v/>
      </c>
      <c r="O2533" s="61" t="str">
        <f aca="false">IF(IsPro,IF($D2533="","",IF(AND(R2533&lt;&gt;"",INDEX(Parties!$E$5:$E$304,R2533)&lt;&gt;"",INDEX(Parties!$E$5:$E$304,R2533)&lt;&gt;HomeState),ROUND(K2533*L2533,2),0)),"")</f>
        <v/>
      </c>
      <c r="P2533" s="61" t="str">
        <f aca="false">IF(IsPro,IF($D2533="","",K2533+M2533+N2533+O2533),"")</f>
        <v/>
      </c>
      <c r="Q2533" s="60" t="str">
        <f aca="false">IF(IsPro,IF($D2533="","",IFERROR(MATCH($D2533,Items!$A$5:$A$504,0),"")),"")</f>
        <v/>
      </c>
      <c r="R2533" s="60" t="str">
        <f aca="false">IF(IsPro,IF($C2533="","",IFERROR(MATCH($C2533,Parties!$A$5:$A$304,0),"")),"")</f>
        <v/>
      </c>
      <c r="S2533" s="61" t="str">
        <f aca="false">IF(IsPro,IF($D2533="","",IF(OR($H2533="",$H2533="Credit"),0,P2533)),"")</f>
        <v/>
      </c>
    </row>
    <row r="2534" customFormat="false" ht="15" hidden="false" customHeight="false" outlineLevel="0" collapsed="false">
      <c r="A2534" s="55"/>
      <c r="B2534" s="56"/>
      <c r="C2534" s="56"/>
      <c r="D2534" s="56"/>
      <c r="E2534" s="57"/>
      <c r="F2534" s="58"/>
      <c r="G2534" s="59"/>
      <c r="H2534" s="56"/>
      <c r="I2534" s="60" t="str">
        <f aca="false">IF(IsPro,IF($D2534="","",IFERROR(INDEX(Items!$D$5:$D$504,Q2534),"")),IF($D2534="","","PRO PLAN"))</f>
        <v/>
      </c>
      <c r="J2534" s="61" t="str">
        <f aca="false">IF(IsPro,IF($D2534="","",IF($F2534="",IFERROR(INDEX(Items!$G$5:$G$504,Q2534),0),$F2534)),"")</f>
        <v/>
      </c>
      <c r="K2534" s="61" t="str">
        <f aca="false">IF(IsPro,IF($D2534="","",ROUND(N($E2534)*J2534*(1-N($G2534)),2)),"")</f>
        <v/>
      </c>
      <c r="L2534" s="62" t="str">
        <f aca="false">IF(IsPro,IF($D2534="","",IFERROR(INDEX(Items!$F$5:$F$504,Q2534),0)),"")</f>
        <v/>
      </c>
      <c r="M2534" s="61" t="str">
        <f aca="false">IF(IsPro,IF($D2534="","",IF(AND(R2534&lt;&gt;"",INDEX(Parties!$E$5:$E$304,R2534)&lt;&gt;"",INDEX(Parties!$E$5:$E$304,R2534)&lt;&gt;HomeState),0,ROUND(K2534*L2534/2,2))),"")</f>
        <v/>
      </c>
      <c r="N2534" s="61" t="str">
        <f aca="false">IF(IsPro,IF($D2534="","",M2534),"")</f>
        <v/>
      </c>
      <c r="O2534" s="61" t="str">
        <f aca="false">IF(IsPro,IF($D2534="","",IF(AND(R2534&lt;&gt;"",INDEX(Parties!$E$5:$E$304,R2534)&lt;&gt;"",INDEX(Parties!$E$5:$E$304,R2534)&lt;&gt;HomeState),ROUND(K2534*L2534,2),0)),"")</f>
        <v/>
      </c>
      <c r="P2534" s="61" t="str">
        <f aca="false">IF(IsPro,IF($D2534="","",K2534+M2534+N2534+O2534),"")</f>
        <v/>
      </c>
      <c r="Q2534" s="60" t="str">
        <f aca="false">IF(IsPro,IF($D2534="","",IFERROR(MATCH($D2534,Items!$A$5:$A$504,0),"")),"")</f>
        <v/>
      </c>
      <c r="R2534" s="60" t="str">
        <f aca="false">IF(IsPro,IF($C2534="","",IFERROR(MATCH($C2534,Parties!$A$5:$A$304,0),"")),"")</f>
        <v/>
      </c>
      <c r="S2534" s="61" t="str">
        <f aca="false">IF(IsPro,IF($D2534="","",IF(OR($H2534="",$H2534="Credit"),0,P2534)),"")</f>
        <v/>
      </c>
    </row>
    <row r="2535" customFormat="false" ht="15" hidden="false" customHeight="false" outlineLevel="0" collapsed="false">
      <c r="A2535" s="55"/>
      <c r="B2535" s="56"/>
      <c r="C2535" s="56"/>
      <c r="D2535" s="56"/>
      <c r="E2535" s="57"/>
      <c r="F2535" s="58"/>
      <c r="G2535" s="59"/>
      <c r="H2535" s="56"/>
      <c r="I2535" s="60" t="str">
        <f aca="false">IF(IsPro,IF($D2535="","",IFERROR(INDEX(Items!$D$5:$D$504,Q2535),"")),IF($D2535="","","PRO PLAN"))</f>
        <v/>
      </c>
      <c r="J2535" s="61" t="str">
        <f aca="false">IF(IsPro,IF($D2535="","",IF($F2535="",IFERROR(INDEX(Items!$G$5:$G$504,Q2535),0),$F2535)),"")</f>
        <v/>
      </c>
      <c r="K2535" s="61" t="str">
        <f aca="false">IF(IsPro,IF($D2535="","",ROUND(N($E2535)*J2535*(1-N($G2535)),2)),"")</f>
        <v/>
      </c>
      <c r="L2535" s="62" t="str">
        <f aca="false">IF(IsPro,IF($D2535="","",IFERROR(INDEX(Items!$F$5:$F$504,Q2535),0)),"")</f>
        <v/>
      </c>
      <c r="M2535" s="61" t="str">
        <f aca="false">IF(IsPro,IF($D2535="","",IF(AND(R2535&lt;&gt;"",INDEX(Parties!$E$5:$E$304,R2535)&lt;&gt;"",INDEX(Parties!$E$5:$E$304,R2535)&lt;&gt;HomeState),0,ROUND(K2535*L2535/2,2))),"")</f>
        <v/>
      </c>
      <c r="N2535" s="61" t="str">
        <f aca="false">IF(IsPro,IF($D2535="","",M2535),"")</f>
        <v/>
      </c>
      <c r="O2535" s="61" t="str">
        <f aca="false">IF(IsPro,IF($D2535="","",IF(AND(R2535&lt;&gt;"",INDEX(Parties!$E$5:$E$304,R2535)&lt;&gt;"",INDEX(Parties!$E$5:$E$304,R2535)&lt;&gt;HomeState),ROUND(K2535*L2535,2),0)),"")</f>
        <v/>
      </c>
      <c r="P2535" s="61" t="str">
        <f aca="false">IF(IsPro,IF($D2535="","",K2535+M2535+N2535+O2535),"")</f>
        <v/>
      </c>
      <c r="Q2535" s="60" t="str">
        <f aca="false">IF(IsPro,IF($D2535="","",IFERROR(MATCH($D2535,Items!$A$5:$A$504,0),"")),"")</f>
        <v/>
      </c>
      <c r="R2535" s="60" t="str">
        <f aca="false">IF(IsPro,IF($C2535="","",IFERROR(MATCH($C2535,Parties!$A$5:$A$304,0),"")),"")</f>
        <v/>
      </c>
      <c r="S2535" s="61" t="str">
        <f aca="false">IF(IsPro,IF($D2535="","",IF(OR($H2535="",$H2535="Credit"),0,P2535)),"")</f>
        <v/>
      </c>
    </row>
    <row r="2536" customFormat="false" ht="15" hidden="false" customHeight="false" outlineLevel="0" collapsed="false">
      <c r="A2536" s="55"/>
      <c r="B2536" s="56"/>
      <c r="C2536" s="56"/>
      <c r="D2536" s="56"/>
      <c r="E2536" s="57"/>
      <c r="F2536" s="58"/>
      <c r="G2536" s="59"/>
      <c r="H2536" s="56"/>
      <c r="I2536" s="60" t="str">
        <f aca="false">IF(IsPro,IF($D2536="","",IFERROR(INDEX(Items!$D$5:$D$504,Q2536),"")),IF($D2536="","","PRO PLAN"))</f>
        <v/>
      </c>
      <c r="J2536" s="61" t="str">
        <f aca="false">IF(IsPro,IF($D2536="","",IF($F2536="",IFERROR(INDEX(Items!$G$5:$G$504,Q2536),0),$F2536)),"")</f>
        <v/>
      </c>
      <c r="K2536" s="61" t="str">
        <f aca="false">IF(IsPro,IF($D2536="","",ROUND(N($E2536)*J2536*(1-N($G2536)),2)),"")</f>
        <v/>
      </c>
      <c r="L2536" s="62" t="str">
        <f aca="false">IF(IsPro,IF($D2536="","",IFERROR(INDEX(Items!$F$5:$F$504,Q2536),0)),"")</f>
        <v/>
      </c>
      <c r="M2536" s="61" t="str">
        <f aca="false">IF(IsPro,IF($D2536="","",IF(AND(R2536&lt;&gt;"",INDEX(Parties!$E$5:$E$304,R2536)&lt;&gt;"",INDEX(Parties!$E$5:$E$304,R2536)&lt;&gt;HomeState),0,ROUND(K2536*L2536/2,2))),"")</f>
        <v/>
      </c>
      <c r="N2536" s="61" t="str">
        <f aca="false">IF(IsPro,IF($D2536="","",M2536),"")</f>
        <v/>
      </c>
      <c r="O2536" s="61" t="str">
        <f aca="false">IF(IsPro,IF($D2536="","",IF(AND(R2536&lt;&gt;"",INDEX(Parties!$E$5:$E$304,R2536)&lt;&gt;"",INDEX(Parties!$E$5:$E$304,R2536)&lt;&gt;HomeState),ROUND(K2536*L2536,2),0)),"")</f>
        <v/>
      </c>
      <c r="P2536" s="61" t="str">
        <f aca="false">IF(IsPro,IF($D2536="","",K2536+M2536+N2536+O2536),"")</f>
        <v/>
      </c>
      <c r="Q2536" s="60" t="str">
        <f aca="false">IF(IsPro,IF($D2536="","",IFERROR(MATCH($D2536,Items!$A$5:$A$504,0),"")),"")</f>
        <v/>
      </c>
      <c r="R2536" s="60" t="str">
        <f aca="false">IF(IsPro,IF($C2536="","",IFERROR(MATCH($C2536,Parties!$A$5:$A$304,0),"")),"")</f>
        <v/>
      </c>
      <c r="S2536" s="61" t="str">
        <f aca="false">IF(IsPro,IF($D2536="","",IF(OR($H2536="",$H2536="Credit"),0,P2536)),"")</f>
        <v/>
      </c>
    </row>
    <row r="2537" customFormat="false" ht="15" hidden="false" customHeight="false" outlineLevel="0" collapsed="false">
      <c r="A2537" s="55"/>
      <c r="B2537" s="56"/>
      <c r="C2537" s="56"/>
      <c r="D2537" s="56"/>
      <c r="E2537" s="57"/>
      <c r="F2537" s="58"/>
      <c r="G2537" s="59"/>
      <c r="H2537" s="56"/>
      <c r="I2537" s="60" t="str">
        <f aca="false">IF(IsPro,IF($D2537="","",IFERROR(INDEX(Items!$D$5:$D$504,Q2537),"")),IF($D2537="","","PRO PLAN"))</f>
        <v/>
      </c>
      <c r="J2537" s="61" t="str">
        <f aca="false">IF(IsPro,IF($D2537="","",IF($F2537="",IFERROR(INDEX(Items!$G$5:$G$504,Q2537),0),$F2537)),"")</f>
        <v/>
      </c>
      <c r="K2537" s="61" t="str">
        <f aca="false">IF(IsPro,IF($D2537="","",ROUND(N($E2537)*J2537*(1-N($G2537)),2)),"")</f>
        <v/>
      </c>
      <c r="L2537" s="62" t="str">
        <f aca="false">IF(IsPro,IF($D2537="","",IFERROR(INDEX(Items!$F$5:$F$504,Q2537),0)),"")</f>
        <v/>
      </c>
      <c r="M2537" s="61" t="str">
        <f aca="false">IF(IsPro,IF($D2537="","",IF(AND(R2537&lt;&gt;"",INDEX(Parties!$E$5:$E$304,R2537)&lt;&gt;"",INDEX(Parties!$E$5:$E$304,R2537)&lt;&gt;HomeState),0,ROUND(K2537*L2537/2,2))),"")</f>
        <v/>
      </c>
      <c r="N2537" s="61" t="str">
        <f aca="false">IF(IsPro,IF($D2537="","",M2537),"")</f>
        <v/>
      </c>
      <c r="O2537" s="61" t="str">
        <f aca="false">IF(IsPro,IF($D2537="","",IF(AND(R2537&lt;&gt;"",INDEX(Parties!$E$5:$E$304,R2537)&lt;&gt;"",INDEX(Parties!$E$5:$E$304,R2537)&lt;&gt;HomeState),ROUND(K2537*L2537,2),0)),"")</f>
        <v/>
      </c>
      <c r="P2537" s="61" t="str">
        <f aca="false">IF(IsPro,IF($D2537="","",K2537+M2537+N2537+O2537),"")</f>
        <v/>
      </c>
      <c r="Q2537" s="60" t="str">
        <f aca="false">IF(IsPro,IF($D2537="","",IFERROR(MATCH($D2537,Items!$A$5:$A$504,0),"")),"")</f>
        <v/>
      </c>
      <c r="R2537" s="60" t="str">
        <f aca="false">IF(IsPro,IF($C2537="","",IFERROR(MATCH($C2537,Parties!$A$5:$A$304,0),"")),"")</f>
        <v/>
      </c>
      <c r="S2537" s="61" t="str">
        <f aca="false">IF(IsPro,IF($D2537="","",IF(OR($H2537="",$H2537="Credit"),0,P2537)),"")</f>
        <v/>
      </c>
    </row>
    <row r="2538" customFormat="false" ht="15" hidden="false" customHeight="false" outlineLevel="0" collapsed="false">
      <c r="A2538" s="55"/>
      <c r="B2538" s="56"/>
      <c r="C2538" s="56"/>
      <c r="D2538" s="56"/>
      <c r="E2538" s="57"/>
      <c r="F2538" s="58"/>
      <c r="G2538" s="59"/>
      <c r="H2538" s="56"/>
      <c r="I2538" s="60" t="str">
        <f aca="false">IF(IsPro,IF($D2538="","",IFERROR(INDEX(Items!$D$5:$D$504,Q2538),"")),IF($D2538="","","PRO PLAN"))</f>
        <v/>
      </c>
      <c r="J2538" s="61" t="str">
        <f aca="false">IF(IsPro,IF($D2538="","",IF($F2538="",IFERROR(INDEX(Items!$G$5:$G$504,Q2538),0),$F2538)),"")</f>
        <v/>
      </c>
      <c r="K2538" s="61" t="str">
        <f aca="false">IF(IsPro,IF($D2538="","",ROUND(N($E2538)*J2538*(1-N($G2538)),2)),"")</f>
        <v/>
      </c>
      <c r="L2538" s="62" t="str">
        <f aca="false">IF(IsPro,IF($D2538="","",IFERROR(INDEX(Items!$F$5:$F$504,Q2538),0)),"")</f>
        <v/>
      </c>
      <c r="M2538" s="61" t="str">
        <f aca="false">IF(IsPro,IF($D2538="","",IF(AND(R2538&lt;&gt;"",INDEX(Parties!$E$5:$E$304,R2538)&lt;&gt;"",INDEX(Parties!$E$5:$E$304,R2538)&lt;&gt;HomeState),0,ROUND(K2538*L2538/2,2))),"")</f>
        <v/>
      </c>
      <c r="N2538" s="61" t="str">
        <f aca="false">IF(IsPro,IF($D2538="","",M2538),"")</f>
        <v/>
      </c>
      <c r="O2538" s="61" t="str">
        <f aca="false">IF(IsPro,IF($D2538="","",IF(AND(R2538&lt;&gt;"",INDEX(Parties!$E$5:$E$304,R2538)&lt;&gt;"",INDEX(Parties!$E$5:$E$304,R2538)&lt;&gt;HomeState),ROUND(K2538*L2538,2),0)),"")</f>
        <v/>
      </c>
      <c r="P2538" s="61" t="str">
        <f aca="false">IF(IsPro,IF($D2538="","",K2538+M2538+N2538+O2538),"")</f>
        <v/>
      </c>
      <c r="Q2538" s="60" t="str">
        <f aca="false">IF(IsPro,IF($D2538="","",IFERROR(MATCH($D2538,Items!$A$5:$A$504,0),"")),"")</f>
        <v/>
      </c>
      <c r="R2538" s="60" t="str">
        <f aca="false">IF(IsPro,IF($C2538="","",IFERROR(MATCH($C2538,Parties!$A$5:$A$304,0),"")),"")</f>
        <v/>
      </c>
      <c r="S2538" s="61" t="str">
        <f aca="false">IF(IsPro,IF($D2538="","",IF(OR($H2538="",$H2538="Credit"),0,P2538)),"")</f>
        <v/>
      </c>
    </row>
    <row r="2539" customFormat="false" ht="15" hidden="false" customHeight="false" outlineLevel="0" collapsed="false">
      <c r="A2539" s="55"/>
      <c r="B2539" s="56"/>
      <c r="C2539" s="56"/>
      <c r="D2539" s="56"/>
      <c r="E2539" s="57"/>
      <c r="F2539" s="58"/>
      <c r="G2539" s="59"/>
      <c r="H2539" s="56"/>
      <c r="I2539" s="60" t="str">
        <f aca="false">IF(IsPro,IF($D2539="","",IFERROR(INDEX(Items!$D$5:$D$504,Q2539),"")),IF($D2539="","","PRO PLAN"))</f>
        <v/>
      </c>
      <c r="J2539" s="61" t="str">
        <f aca="false">IF(IsPro,IF($D2539="","",IF($F2539="",IFERROR(INDEX(Items!$G$5:$G$504,Q2539),0),$F2539)),"")</f>
        <v/>
      </c>
      <c r="K2539" s="61" t="str">
        <f aca="false">IF(IsPro,IF($D2539="","",ROUND(N($E2539)*J2539*(1-N($G2539)),2)),"")</f>
        <v/>
      </c>
      <c r="L2539" s="62" t="str">
        <f aca="false">IF(IsPro,IF($D2539="","",IFERROR(INDEX(Items!$F$5:$F$504,Q2539),0)),"")</f>
        <v/>
      </c>
      <c r="M2539" s="61" t="str">
        <f aca="false">IF(IsPro,IF($D2539="","",IF(AND(R2539&lt;&gt;"",INDEX(Parties!$E$5:$E$304,R2539)&lt;&gt;"",INDEX(Parties!$E$5:$E$304,R2539)&lt;&gt;HomeState),0,ROUND(K2539*L2539/2,2))),"")</f>
        <v/>
      </c>
      <c r="N2539" s="61" t="str">
        <f aca="false">IF(IsPro,IF($D2539="","",M2539),"")</f>
        <v/>
      </c>
      <c r="O2539" s="61" t="str">
        <f aca="false">IF(IsPro,IF($D2539="","",IF(AND(R2539&lt;&gt;"",INDEX(Parties!$E$5:$E$304,R2539)&lt;&gt;"",INDEX(Parties!$E$5:$E$304,R2539)&lt;&gt;HomeState),ROUND(K2539*L2539,2),0)),"")</f>
        <v/>
      </c>
      <c r="P2539" s="61" t="str">
        <f aca="false">IF(IsPro,IF($D2539="","",K2539+M2539+N2539+O2539),"")</f>
        <v/>
      </c>
      <c r="Q2539" s="60" t="str">
        <f aca="false">IF(IsPro,IF($D2539="","",IFERROR(MATCH($D2539,Items!$A$5:$A$504,0),"")),"")</f>
        <v/>
      </c>
      <c r="R2539" s="60" t="str">
        <f aca="false">IF(IsPro,IF($C2539="","",IFERROR(MATCH($C2539,Parties!$A$5:$A$304,0),"")),"")</f>
        <v/>
      </c>
      <c r="S2539" s="61" t="str">
        <f aca="false">IF(IsPro,IF($D2539="","",IF(OR($H2539="",$H2539="Credit"),0,P2539)),"")</f>
        <v/>
      </c>
    </row>
    <row r="2540" customFormat="false" ht="15" hidden="false" customHeight="false" outlineLevel="0" collapsed="false">
      <c r="A2540" s="55"/>
      <c r="B2540" s="56"/>
      <c r="C2540" s="56"/>
      <c r="D2540" s="56"/>
      <c r="E2540" s="57"/>
      <c r="F2540" s="58"/>
      <c r="G2540" s="59"/>
      <c r="H2540" s="56"/>
      <c r="I2540" s="60" t="str">
        <f aca="false">IF(IsPro,IF($D2540="","",IFERROR(INDEX(Items!$D$5:$D$504,Q2540),"")),IF($D2540="","","PRO PLAN"))</f>
        <v/>
      </c>
      <c r="J2540" s="61" t="str">
        <f aca="false">IF(IsPro,IF($D2540="","",IF($F2540="",IFERROR(INDEX(Items!$G$5:$G$504,Q2540),0),$F2540)),"")</f>
        <v/>
      </c>
      <c r="K2540" s="61" t="str">
        <f aca="false">IF(IsPro,IF($D2540="","",ROUND(N($E2540)*J2540*(1-N($G2540)),2)),"")</f>
        <v/>
      </c>
      <c r="L2540" s="62" t="str">
        <f aca="false">IF(IsPro,IF($D2540="","",IFERROR(INDEX(Items!$F$5:$F$504,Q2540),0)),"")</f>
        <v/>
      </c>
      <c r="M2540" s="61" t="str">
        <f aca="false">IF(IsPro,IF($D2540="","",IF(AND(R2540&lt;&gt;"",INDEX(Parties!$E$5:$E$304,R2540)&lt;&gt;"",INDEX(Parties!$E$5:$E$304,R2540)&lt;&gt;HomeState),0,ROUND(K2540*L2540/2,2))),"")</f>
        <v/>
      </c>
      <c r="N2540" s="61" t="str">
        <f aca="false">IF(IsPro,IF($D2540="","",M2540),"")</f>
        <v/>
      </c>
      <c r="O2540" s="61" t="str">
        <f aca="false">IF(IsPro,IF($D2540="","",IF(AND(R2540&lt;&gt;"",INDEX(Parties!$E$5:$E$304,R2540)&lt;&gt;"",INDEX(Parties!$E$5:$E$304,R2540)&lt;&gt;HomeState),ROUND(K2540*L2540,2),0)),"")</f>
        <v/>
      </c>
      <c r="P2540" s="61" t="str">
        <f aca="false">IF(IsPro,IF($D2540="","",K2540+M2540+N2540+O2540),"")</f>
        <v/>
      </c>
      <c r="Q2540" s="60" t="str">
        <f aca="false">IF(IsPro,IF($D2540="","",IFERROR(MATCH($D2540,Items!$A$5:$A$504,0),"")),"")</f>
        <v/>
      </c>
      <c r="R2540" s="60" t="str">
        <f aca="false">IF(IsPro,IF($C2540="","",IFERROR(MATCH($C2540,Parties!$A$5:$A$304,0),"")),"")</f>
        <v/>
      </c>
      <c r="S2540" s="61" t="str">
        <f aca="false">IF(IsPro,IF($D2540="","",IF(OR($H2540="",$H2540="Credit"),0,P2540)),"")</f>
        <v/>
      </c>
    </row>
    <row r="2541" customFormat="false" ht="15" hidden="false" customHeight="false" outlineLevel="0" collapsed="false">
      <c r="A2541" s="55"/>
      <c r="B2541" s="56"/>
      <c r="C2541" s="56"/>
      <c r="D2541" s="56"/>
      <c r="E2541" s="57"/>
      <c r="F2541" s="58"/>
      <c r="G2541" s="59"/>
      <c r="H2541" s="56"/>
      <c r="I2541" s="60" t="str">
        <f aca="false">IF(IsPro,IF($D2541="","",IFERROR(INDEX(Items!$D$5:$D$504,Q2541),"")),IF($D2541="","","PRO PLAN"))</f>
        <v/>
      </c>
      <c r="J2541" s="61" t="str">
        <f aca="false">IF(IsPro,IF($D2541="","",IF($F2541="",IFERROR(INDEX(Items!$G$5:$G$504,Q2541),0),$F2541)),"")</f>
        <v/>
      </c>
      <c r="K2541" s="61" t="str">
        <f aca="false">IF(IsPro,IF($D2541="","",ROUND(N($E2541)*J2541*(1-N($G2541)),2)),"")</f>
        <v/>
      </c>
      <c r="L2541" s="62" t="str">
        <f aca="false">IF(IsPro,IF($D2541="","",IFERROR(INDEX(Items!$F$5:$F$504,Q2541),0)),"")</f>
        <v/>
      </c>
      <c r="M2541" s="61" t="str">
        <f aca="false">IF(IsPro,IF($D2541="","",IF(AND(R2541&lt;&gt;"",INDEX(Parties!$E$5:$E$304,R2541)&lt;&gt;"",INDEX(Parties!$E$5:$E$304,R2541)&lt;&gt;HomeState),0,ROUND(K2541*L2541/2,2))),"")</f>
        <v/>
      </c>
      <c r="N2541" s="61" t="str">
        <f aca="false">IF(IsPro,IF($D2541="","",M2541),"")</f>
        <v/>
      </c>
      <c r="O2541" s="61" t="str">
        <f aca="false">IF(IsPro,IF($D2541="","",IF(AND(R2541&lt;&gt;"",INDEX(Parties!$E$5:$E$304,R2541)&lt;&gt;"",INDEX(Parties!$E$5:$E$304,R2541)&lt;&gt;HomeState),ROUND(K2541*L2541,2),0)),"")</f>
        <v/>
      </c>
      <c r="P2541" s="61" t="str">
        <f aca="false">IF(IsPro,IF($D2541="","",K2541+M2541+N2541+O2541),"")</f>
        <v/>
      </c>
      <c r="Q2541" s="60" t="str">
        <f aca="false">IF(IsPro,IF($D2541="","",IFERROR(MATCH($D2541,Items!$A$5:$A$504,0),"")),"")</f>
        <v/>
      </c>
      <c r="R2541" s="60" t="str">
        <f aca="false">IF(IsPro,IF($C2541="","",IFERROR(MATCH($C2541,Parties!$A$5:$A$304,0),"")),"")</f>
        <v/>
      </c>
      <c r="S2541" s="61" t="str">
        <f aca="false">IF(IsPro,IF($D2541="","",IF(OR($H2541="",$H2541="Credit"),0,P2541)),"")</f>
        <v/>
      </c>
    </row>
    <row r="2542" customFormat="false" ht="15" hidden="false" customHeight="false" outlineLevel="0" collapsed="false">
      <c r="A2542" s="55"/>
      <c r="B2542" s="56"/>
      <c r="C2542" s="56"/>
      <c r="D2542" s="56"/>
      <c r="E2542" s="57"/>
      <c r="F2542" s="58"/>
      <c r="G2542" s="59"/>
      <c r="H2542" s="56"/>
      <c r="I2542" s="60" t="str">
        <f aca="false">IF(IsPro,IF($D2542="","",IFERROR(INDEX(Items!$D$5:$D$504,Q2542),"")),IF($D2542="","","PRO PLAN"))</f>
        <v/>
      </c>
      <c r="J2542" s="61" t="str">
        <f aca="false">IF(IsPro,IF($D2542="","",IF($F2542="",IFERROR(INDEX(Items!$G$5:$G$504,Q2542),0),$F2542)),"")</f>
        <v/>
      </c>
      <c r="K2542" s="61" t="str">
        <f aca="false">IF(IsPro,IF($D2542="","",ROUND(N($E2542)*J2542*(1-N($G2542)),2)),"")</f>
        <v/>
      </c>
      <c r="L2542" s="62" t="str">
        <f aca="false">IF(IsPro,IF($D2542="","",IFERROR(INDEX(Items!$F$5:$F$504,Q2542),0)),"")</f>
        <v/>
      </c>
      <c r="M2542" s="61" t="str">
        <f aca="false">IF(IsPro,IF($D2542="","",IF(AND(R2542&lt;&gt;"",INDEX(Parties!$E$5:$E$304,R2542)&lt;&gt;"",INDEX(Parties!$E$5:$E$304,R2542)&lt;&gt;HomeState),0,ROUND(K2542*L2542/2,2))),"")</f>
        <v/>
      </c>
      <c r="N2542" s="61" t="str">
        <f aca="false">IF(IsPro,IF($D2542="","",M2542),"")</f>
        <v/>
      </c>
      <c r="O2542" s="61" t="str">
        <f aca="false">IF(IsPro,IF($D2542="","",IF(AND(R2542&lt;&gt;"",INDEX(Parties!$E$5:$E$304,R2542)&lt;&gt;"",INDEX(Parties!$E$5:$E$304,R2542)&lt;&gt;HomeState),ROUND(K2542*L2542,2),0)),"")</f>
        <v/>
      </c>
      <c r="P2542" s="61" t="str">
        <f aca="false">IF(IsPro,IF($D2542="","",K2542+M2542+N2542+O2542),"")</f>
        <v/>
      </c>
      <c r="Q2542" s="60" t="str">
        <f aca="false">IF(IsPro,IF($D2542="","",IFERROR(MATCH($D2542,Items!$A$5:$A$504,0),"")),"")</f>
        <v/>
      </c>
      <c r="R2542" s="60" t="str">
        <f aca="false">IF(IsPro,IF($C2542="","",IFERROR(MATCH($C2542,Parties!$A$5:$A$304,0),"")),"")</f>
        <v/>
      </c>
      <c r="S2542" s="61" t="str">
        <f aca="false">IF(IsPro,IF($D2542="","",IF(OR($H2542="",$H2542="Credit"),0,P2542)),"")</f>
        <v/>
      </c>
    </row>
    <row r="2543" customFormat="false" ht="15" hidden="false" customHeight="false" outlineLevel="0" collapsed="false">
      <c r="A2543" s="55"/>
      <c r="B2543" s="56"/>
      <c r="C2543" s="56"/>
      <c r="D2543" s="56"/>
      <c r="E2543" s="57"/>
      <c r="F2543" s="58"/>
      <c r="G2543" s="59"/>
      <c r="H2543" s="56"/>
      <c r="I2543" s="60" t="str">
        <f aca="false">IF(IsPro,IF($D2543="","",IFERROR(INDEX(Items!$D$5:$D$504,Q2543),"")),IF($D2543="","","PRO PLAN"))</f>
        <v/>
      </c>
      <c r="J2543" s="61" t="str">
        <f aca="false">IF(IsPro,IF($D2543="","",IF($F2543="",IFERROR(INDEX(Items!$G$5:$G$504,Q2543),0),$F2543)),"")</f>
        <v/>
      </c>
      <c r="K2543" s="61" t="str">
        <f aca="false">IF(IsPro,IF($D2543="","",ROUND(N($E2543)*J2543*(1-N($G2543)),2)),"")</f>
        <v/>
      </c>
      <c r="L2543" s="62" t="str">
        <f aca="false">IF(IsPro,IF($D2543="","",IFERROR(INDEX(Items!$F$5:$F$504,Q2543),0)),"")</f>
        <v/>
      </c>
      <c r="M2543" s="61" t="str">
        <f aca="false">IF(IsPro,IF($D2543="","",IF(AND(R2543&lt;&gt;"",INDEX(Parties!$E$5:$E$304,R2543)&lt;&gt;"",INDEX(Parties!$E$5:$E$304,R2543)&lt;&gt;HomeState),0,ROUND(K2543*L2543/2,2))),"")</f>
        <v/>
      </c>
      <c r="N2543" s="61" t="str">
        <f aca="false">IF(IsPro,IF($D2543="","",M2543),"")</f>
        <v/>
      </c>
      <c r="O2543" s="61" t="str">
        <f aca="false">IF(IsPro,IF($D2543="","",IF(AND(R2543&lt;&gt;"",INDEX(Parties!$E$5:$E$304,R2543)&lt;&gt;"",INDEX(Parties!$E$5:$E$304,R2543)&lt;&gt;HomeState),ROUND(K2543*L2543,2),0)),"")</f>
        <v/>
      </c>
      <c r="P2543" s="61" t="str">
        <f aca="false">IF(IsPro,IF($D2543="","",K2543+M2543+N2543+O2543),"")</f>
        <v/>
      </c>
      <c r="Q2543" s="60" t="str">
        <f aca="false">IF(IsPro,IF($D2543="","",IFERROR(MATCH($D2543,Items!$A$5:$A$504,0),"")),"")</f>
        <v/>
      </c>
      <c r="R2543" s="60" t="str">
        <f aca="false">IF(IsPro,IF($C2543="","",IFERROR(MATCH($C2543,Parties!$A$5:$A$304,0),"")),"")</f>
        <v/>
      </c>
      <c r="S2543" s="61" t="str">
        <f aca="false">IF(IsPro,IF($D2543="","",IF(OR($H2543="",$H2543="Credit"),0,P2543)),"")</f>
        <v/>
      </c>
    </row>
    <row r="2544" customFormat="false" ht="15" hidden="false" customHeight="false" outlineLevel="0" collapsed="false">
      <c r="A2544" s="55"/>
      <c r="B2544" s="56"/>
      <c r="C2544" s="56"/>
      <c r="D2544" s="56"/>
      <c r="E2544" s="57"/>
      <c r="F2544" s="58"/>
      <c r="G2544" s="59"/>
      <c r="H2544" s="56"/>
      <c r="I2544" s="60" t="str">
        <f aca="false">IF(IsPro,IF($D2544="","",IFERROR(INDEX(Items!$D$5:$D$504,Q2544),"")),IF($D2544="","","PRO PLAN"))</f>
        <v/>
      </c>
      <c r="J2544" s="61" t="str">
        <f aca="false">IF(IsPro,IF($D2544="","",IF($F2544="",IFERROR(INDEX(Items!$G$5:$G$504,Q2544),0),$F2544)),"")</f>
        <v/>
      </c>
      <c r="K2544" s="61" t="str">
        <f aca="false">IF(IsPro,IF($D2544="","",ROUND(N($E2544)*J2544*(1-N($G2544)),2)),"")</f>
        <v/>
      </c>
      <c r="L2544" s="62" t="str">
        <f aca="false">IF(IsPro,IF($D2544="","",IFERROR(INDEX(Items!$F$5:$F$504,Q2544),0)),"")</f>
        <v/>
      </c>
      <c r="M2544" s="61" t="str">
        <f aca="false">IF(IsPro,IF($D2544="","",IF(AND(R2544&lt;&gt;"",INDEX(Parties!$E$5:$E$304,R2544)&lt;&gt;"",INDEX(Parties!$E$5:$E$304,R2544)&lt;&gt;HomeState),0,ROUND(K2544*L2544/2,2))),"")</f>
        <v/>
      </c>
      <c r="N2544" s="61" t="str">
        <f aca="false">IF(IsPro,IF($D2544="","",M2544),"")</f>
        <v/>
      </c>
      <c r="O2544" s="61" t="str">
        <f aca="false">IF(IsPro,IF($D2544="","",IF(AND(R2544&lt;&gt;"",INDEX(Parties!$E$5:$E$304,R2544)&lt;&gt;"",INDEX(Parties!$E$5:$E$304,R2544)&lt;&gt;HomeState),ROUND(K2544*L2544,2),0)),"")</f>
        <v/>
      </c>
      <c r="P2544" s="61" t="str">
        <f aca="false">IF(IsPro,IF($D2544="","",K2544+M2544+N2544+O2544),"")</f>
        <v/>
      </c>
      <c r="Q2544" s="60" t="str">
        <f aca="false">IF(IsPro,IF($D2544="","",IFERROR(MATCH($D2544,Items!$A$5:$A$504,0),"")),"")</f>
        <v/>
      </c>
      <c r="R2544" s="60" t="str">
        <f aca="false">IF(IsPro,IF($C2544="","",IFERROR(MATCH($C2544,Parties!$A$5:$A$304,0),"")),"")</f>
        <v/>
      </c>
      <c r="S2544" s="61" t="str">
        <f aca="false">IF(IsPro,IF($D2544="","",IF(OR($H2544="",$H2544="Credit"),0,P2544)),"")</f>
        <v/>
      </c>
    </row>
    <row r="2545" customFormat="false" ht="15" hidden="false" customHeight="false" outlineLevel="0" collapsed="false">
      <c r="A2545" s="55"/>
      <c r="B2545" s="56"/>
      <c r="C2545" s="56"/>
      <c r="D2545" s="56"/>
      <c r="E2545" s="57"/>
      <c r="F2545" s="58"/>
      <c r="G2545" s="59"/>
      <c r="H2545" s="56"/>
      <c r="I2545" s="60" t="str">
        <f aca="false">IF(IsPro,IF($D2545="","",IFERROR(INDEX(Items!$D$5:$D$504,Q2545),"")),IF($D2545="","","PRO PLAN"))</f>
        <v/>
      </c>
      <c r="J2545" s="61" t="str">
        <f aca="false">IF(IsPro,IF($D2545="","",IF($F2545="",IFERROR(INDEX(Items!$G$5:$G$504,Q2545),0),$F2545)),"")</f>
        <v/>
      </c>
      <c r="K2545" s="61" t="str">
        <f aca="false">IF(IsPro,IF($D2545="","",ROUND(N($E2545)*J2545*(1-N($G2545)),2)),"")</f>
        <v/>
      </c>
      <c r="L2545" s="62" t="str">
        <f aca="false">IF(IsPro,IF($D2545="","",IFERROR(INDEX(Items!$F$5:$F$504,Q2545),0)),"")</f>
        <v/>
      </c>
      <c r="M2545" s="61" t="str">
        <f aca="false">IF(IsPro,IF($D2545="","",IF(AND(R2545&lt;&gt;"",INDEX(Parties!$E$5:$E$304,R2545)&lt;&gt;"",INDEX(Parties!$E$5:$E$304,R2545)&lt;&gt;HomeState),0,ROUND(K2545*L2545/2,2))),"")</f>
        <v/>
      </c>
      <c r="N2545" s="61" t="str">
        <f aca="false">IF(IsPro,IF($D2545="","",M2545),"")</f>
        <v/>
      </c>
      <c r="O2545" s="61" t="str">
        <f aca="false">IF(IsPro,IF($D2545="","",IF(AND(R2545&lt;&gt;"",INDEX(Parties!$E$5:$E$304,R2545)&lt;&gt;"",INDEX(Parties!$E$5:$E$304,R2545)&lt;&gt;HomeState),ROUND(K2545*L2545,2),0)),"")</f>
        <v/>
      </c>
      <c r="P2545" s="61" t="str">
        <f aca="false">IF(IsPro,IF($D2545="","",K2545+M2545+N2545+O2545),"")</f>
        <v/>
      </c>
      <c r="Q2545" s="60" t="str">
        <f aca="false">IF(IsPro,IF($D2545="","",IFERROR(MATCH($D2545,Items!$A$5:$A$504,0),"")),"")</f>
        <v/>
      </c>
      <c r="R2545" s="60" t="str">
        <f aca="false">IF(IsPro,IF($C2545="","",IFERROR(MATCH($C2545,Parties!$A$5:$A$304,0),"")),"")</f>
        <v/>
      </c>
      <c r="S2545" s="61" t="str">
        <f aca="false">IF(IsPro,IF($D2545="","",IF(OR($H2545="",$H2545="Credit"),0,P2545)),"")</f>
        <v/>
      </c>
    </row>
    <row r="2546" customFormat="false" ht="15" hidden="false" customHeight="false" outlineLevel="0" collapsed="false">
      <c r="A2546" s="55"/>
      <c r="B2546" s="56"/>
      <c r="C2546" s="56"/>
      <c r="D2546" s="56"/>
      <c r="E2546" s="57"/>
      <c r="F2546" s="58"/>
      <c r="G2546" s="59"/>
      <c r="H2546" s="56"/>
      <c r="I2546" s="60" t="str">
        <f aca="false">IF(IsPro,IF($D2546="","",IFERROR(INDEX(Items!$D$5:$D$504,Q2546),"")),IF($D2546="","","PRO PLAN"))</f>
        <v/>
      </c>
      <c r="J2546" s="61" t="str">
        <f aca="false">IF(IsPro,IF($D2546="","",IF($F2546="",IFERROR(INDEX(Items!$G$5:$G$504,Q2546),0),$F2546)),"")</f>
        <v/>
      </c>
      <c r="K2546" s="61" t="str">
        <f aca="false">IF(IsPro,IF($D2546="","",ROUND(N($E2546)*J2546*(1-N($G2546)),2)),"")</f>
        <v/>
      </c>
      <c r="L2546" s="62" t="str">
        <f aca="false">IF(IsPro,IF($D2546="","",IFERROR(INDEX(Items!$F$5:$F$504,Q2546),0)),"")</f>
        <v/>
      </c>
      <c r="M2546" s="61" t="str">
        <f aca="false">IF(IsPro,IF($D2546="","",IF(AND(R2546&lt;&gt;"",INDEX(Parties!$E$5:$E$304,R2546)&lt;&gt;"",INDEX(Parties!$E$5:$E$304,R2546)&lt;&gt;HomeState),0,ROUND(K2546*L2546/2,2))),"")</f>
        <v/>
      </c>
      <c r="N2546" s="61" t="str">
        <f aca="false">IF(IsPro,IF($D2546="","",M2546),"")</f>
        <v/>
      </c>
      <c r="O2546" s="61" t="str">
        <f aca="false">IF(IsPro,IF($D2546="","",IF(AND(R2546&lt;&gt;"",INDEX(Parties!$E$5:$E$304,R2546)&lt;&gt;"",INDEX(Parties!$E$5:$E$304,R2546)&lt;&gt;HomeState),ROUND(K2546*L2546,2),0)),"")</f>
        <v/>
      </c>
      <c r="P2546" s="61" t="str">
        <f aca="false">IF(IsPro,IF($D2546="","",K2546+M2546+N2546+O2546),"")</f>
        <v/>
      </c>
      <c r="Q2546" s="60" t="str">
        <f aca="false">IF(IsPro,IF($D2546="","",IFERROR(MATCH($D2546,Items!$A$5:$A$504,0),"")),"")</f>
        <v/>
      </c>
      <c r="R2546" s="60" t="str">
        <f aca="false">IF(IsPro,IF($C2546="","",IFERROR(MATCH($C2546,Parties!$A$5:$A$304,0),"")),"")</f>
        <v/>
      </c>
      <c r="S2546" s="61" t="str">
        <f aca="false">IF(IsPro,IF($D2546="","",IF(OR($H2546="",$H2546="Credit"),0,P2546)),"")</f>
        <v/>
      </c>
    </row>
    <row r="2547" customFormat="false" ht="15" hidden="false" customHeight="false" outlineLevel="0" collapsed="false">
      <c r="A2547" s="55"/>
      <c r="B2547" s="56"/>
      <c r="C2547" s="56"/>
      <c r="D2547" s="56"/>
      <c r="E2547" s="57"/>
      <c r="F2547" s="58"/>
      <c r="G2547" s="59"/>
      <c r="H2547" s="56"/>
      <c r="I2547" s="60" t="str">
        <f aca="false">IF(IsPro,IF($D2547="","",IFERROR(INDEX(Items!$D$5:$D$504,Q2547),"")),IF($D2547="","","PRO PLAN"))</f>
        <v/>
      </c>
      <c r="J2547" s="61" t="str">
        <f aca="false">IF(IsPro,IF($D2547="","",IF($F2547="",IFERROR(INDEX(Items!$G$5:$G$504,Q2547),0),$F2547)),"")</f>
        <v/>
      </c>
      <c r="K2547" s="61" t="str">
        <f aca="false">IF(IsPro,IF($D2547="","",ROUND(N($E2547)*J2547*(1-N($G2547)),2)),"")</f>
        <v/>
      </c>
      <c r="L2547" s="62" t="str">
        <f aca="false">IF(IsPro,IF($D2547="","",IFERROR(INDEX(Items!$F$5:$F$504,Q2547),0)),"")</f>
        <v/>
      </c>
      <c r="M2547" s="61" t="str">
        <f aca="false">IF(IsPro,IF($D2547="","",IF(AND(R2547&lt;&gt;"",INDEX(Parties!$E$5:$E$304,R2547)&lt;&gt;"",INDEX(Parties!$E$5:$E$304,R2547)&lt;&gt;HomeState),0,ROUND(K2547*L2547/2,2))),"")</f>
        <v/>
      </c>
      <c r="N2547" s="61" t="str">
        <f aca="false">IF(IsPro,IF($D2547="","",M2547),"")</f>
        <v/>
      </c>
      <c r="O2547" s="61" t="str">
        <f aca="false">IF(IsPro,IF($D2547="","",IF(AND(R2547&lt;&gt;"",INDEX(Parties!$E$5:$E$304,R2547)&lt;&gt;"",INDEX(Parties!$E$5:$E$304,R2547)&lt;&gt;HomeState),ROUND(K2547*L2547,2),0)),"")</f>
        <v/>
      </c>
      <c r="P2547" s="61" t="str">
        <f aca="false">IF(IsPro,IF($D2547="","",K2547+M2547+N2547+O2547),"")</f>
        <v/>
      </c>
      <c r="Q2547" s="60" t="str">
        <f aca="false">IF(IsPro,IF($D2547="","",IFERROR(MATCH($D2547,Items!$A$5:$A$504,0),"")),"")</f>
        <v/>
      </c>
      <c r="R2547" s="60" t="str">
        <f aca="false">IF(IsPro,IF($C2547="","",IFERROR(MATCH($C2547,Parties!$A$5:$A$304,0),"")),"")</f>
        <v/>
      </c>
      <c r="S2547" s="61" t="str">
        <f aca="false">IF(IsPro,IF($D2547="","",IF(OR($H2547="",$H2547="Credit"),0,P2547)),"")</f>
        <v/>
      </c>
    </row>
    <row r="2548" customFormat="false" ht="15" hidden="false" customHeight="false" outlineLevel="0" collapsed="false">
      <c r="A2548" s="55"/>
      <c r="B2548" s="56"/>
      <c r="C2548" s="56"/>
      <c r="D2548" s="56"/>
      <c r="E2548" s="57"/>
      <c r="F2548" s="58"/>
      <c r="G2548" s="59"/>
      <c r="H2548" s="56"/>
      <c r="I2548" s="60" t="str">
        <f aca="false">IF(IsPro,IF($D2548="","",IFERROR(INDEX(Items!$D$5:$D$504,Q2548),"")),IF($D2548="","","PRO PLAN"))</f>
        <v/>
      </c>
      <c r="J2548" s="61" t="str">
        <f aca="false">IF(IsPro,IF($D2548="","",IF($F2548="",IFERROR(INDEX(Items!$G$5:$G$504,Q2548),0),$F2548)),"")</f>
        <v/>
      </c>
      <c r="K2548" s="61" t="str">
        <f aca="false">IF(IsPro,IF($D2548="","",ROUND(N($E2548)*J2548*(1-N($G2548)),2)),"")</f>
        <v/>
      </c>
      <c r="L2548" s="62" t="str">
        <f aca="false">IF(IsPro,IF($D2548="","",IFERROR(INDEX(Items!$F$5:$F$504,Q2548),0)),"")</f>
        <v/>
      </c>
      <c r="M2548" s="61" t="str">
        <f aca="false">IF(IsPro,IF($D2548="","",IF(AND(R2548&lt;&gt;"",INDEX(Parties!$E$5:$E$304,R2548)&lt;&gt;"",INDEX(Parties!$E$5:$E$304,R2548)&lt;&gt;HomeState),0,ROUND(K2548*L2548/2,2))),"")</f>
        <v/>
      </c>
      <c r="N2548" s="61" t="str">
        <f aca="false">IF(IsPro,IF($D2548="","",M2548),"")</f>
        <v/>
      </c>
      <c r="O2548" s="61" t="str">
        <f aca="false">IF(IsPro,IF($D2548="","",IF(AND(R2548&lt;&gt;"",INDEX(Parties!$E$5:$E$304,R2548)&lt;&gt;"",INDEX(Parties!$E$5:$E$304,R2548)&lt;&gt;HomeState),ROUND(K2548*L2548,2),0)),"")</f>
        <v/>
      </c>
      <c r="P2548" s="61" t="str">
        <f aca="false">IF(IsPro,IF($D2548="","",K2548+M2548+N2548+O2548),"")</f>
        <v/>
      </c>
      <c r="Q2548" s="60" t="str">
        <f aca="false">IF(IsPro,IF($D2548="","",IFERROR(MATCH($D2548,Items!$A$5:$A$504,0),"")),"")</f>
        <v/>
      </c>
      <c r="R2548" s="60" t="str">
        <f aca="false">IF(IsPro,IF($C2548="","",IFERROR(MATCH($C2548,Parties!$A$5:$A$304,0),"")),"")</f>
        <v/>
      </c>
      <c r="S2548" s="61" t="str">
        <f aca="false">IF(IsPro,IF($D2548="","",IF(OR($H2548="",$H2548="Credit"),0,P2548)),"")</f>
        <v/>
      </c>
    </row>
    <row r="2549" customFormat="false" ht="15" hidden="false" customHeight="false" outlineLevel="0" collapsed="false">
      <c r="A2549" s="55"/>
      <c r="B2549" s="56"/>
      <c r="C2549" s="56"/>
      <c r="D2549" s="56"/>
      <c r="E2549" s="57"/>
      <c r="F2549" s="58"/>
      <c r="G2549" s="59"/>
      <c r="H2549" s="56"/>
      <c r="I2549" s="60" t="str">
        <f aca="false">IF(IsPro,IF($D2549="","",IFERROR(INDEX(Items!$D$5:$D$504,Q2549),"")),IF($D2549="","","PRO PLAN"))</f>
        <v/>
      </c>
      <c r="J2549" s="61" t="str">
        <f aca="false">IF(IsPro,IF($D2549="","",IF($F2549="",IFERROR(INDEX(Items!$G$5:$G$504,Q2549),0),$F2549)),"")</f>
        <v/>
      </c>
      <c r="K2549" s="61" t="str">
        <f aca="false">IF(IsPro,IF($D2549="","",ROUND(N($E2549)*J2549*(1-N($G2549)),2)),"")</f>
        <v/>
      </c>
      <c r="L2549" s="62" t="str">
        <f aca="false">IF(IsPro,IF($D2549="","",IFERROR(INDEX(Items!$F$5:$F$504,Q2549),0)),"")</f>
        <v/>
      </c>
      <c r="M2549" s="61" t="str">
        <f aca="false">IF(IsPro,IF($D2549="","",IF(AND(R2549&lt;&gt;"",INDEX(Parties!$E$5:$E$304,R2549)&lt;&gt;"",INDEX(Parties!$E$5:$E$304,R2549)&lt;&gt;HomeState),0,ROUND(K2549*L2549/2,2))),"")</f>
        <v/>
      </c>
      <c r="N2549" s="61" t="str">
        <f aca="false">IF(IsPro,IF($D2549="","",M2549),"")</f>
        <v/>
      </c>
      <c r="O2549" s="61" t="str">
        <f aca="false">IF(IsPro,IF($D2549="","",IF(AND(R2549&lt;&gt;"",INDEX(Parties!$E$5:$E$304,R2549)&lt;&gt;"",INDEX(Parties!$E$5:$E$304,R2549)&lt;&gt;HomeState),ROUND(K2549*L2549,2),0)),"")</f>
        <v/>
      </c>
      <c r="P2549" s="61" t="str">
        <f aca="false">IF(IsPro,IF($D2549="","",K2549+M2549+N2549+O2549),"")</f>
        <v/>
      </c>
      <c r="Q2549" s="60" t="str">
        <f aca="false">IF(IsPro,IF($D2549="","",IFERROR(MATCH($D2549,Items!$A$5:$A$504,0),"")),"")</f>
        <v/>
      </c>
      <c r="R2549" s="60" t="str">
        <f aca="false">IF(IsPro,IF($C2549="","",IFERROR(MATCH($C2549,Parties!$A$5:$A$304,0),"")),"")</f>
        <v/>
      </c>
      <c r="S2549" s="61" t="str">
        <f aca="false">IF(IsPro,IF($D2549="","",IF(OR($H2549="",$H2549="Credit"),0,P2549)),"")</f>
        <v/>
      </c>
    </row>
    <row r="2550" customFormat="false" ht="15" hidden="false" customHeight="false" outlineLevel="0" collapsed="false">
      <c r="A2550" s="55"/>
      <c r="B2550" s="56"/>
      <c r="C2550" s="56"/>
      <c r="D2550" s="56"/>
      <c r="E2550" s="57"/>
      <c r="F2550" s="58"/>
      <c r="G2550" s="59"/>
      <c r="H2550" s="56"/>
      <c r="I2550" s="60" t="str">
        <f aca="false">IF(IsPro,IF($D2550="","",IFERROR(INDEX(Items!$D$5:$D$504,Q2550),"")),IF($D2550="","","PRO PLAN"))</f>
        <v/>
      </c>
      <c r="J2550" s="61" t="str">
        <f aca="false">IF(IsPro,IF($D2550="","",IF($F2550="",IFERROR(INDEX(Items!$G$5:$G$504,Q2550),0),$F2550)),"")</f>
        <v/>
      </c>
      <c r="K2550" s="61" t="str">
        <f aca="false">IF(IsPro,IF($D2550="","",ROUND(N($E2550)*J2550*(1-N($G2550)),2)),"")</f>
        <v/>
      </c>
      <c r="L2550" s="62" t="str">
        <f aca="false">IF(IsPro,IF($D2550="","",IFERROR(INDEX(Items!$F$5:$F$504,Q2550),0)),"")</f>
        <v/>
      </c>
      <c r="M2550" s="61" t="str">
        <f aca="false">IF(IsPro,IF($D2550="","",IF(AND(R2550&lt;&gt;"",INDEX(Parties!$E$5:$E$304,R2550)&lt;&gt;"",INDEX(Parties!$E$5:$E$304,R2550)&lt;&gt;HomeState),0,ROUND(K2550*L2550/2,2))),"")</f>
        <v/>
      </c>
      <c r="N2550" s="61" t="str">
        <f aca="false">IF(IsPro,IF($D2550="","",M2550),"")</f>
        <v/>
      </c>
      <c r="O2550" s="61" t="str">
        <f aca="false">IF(IsPro,IF($D2550="","",IF(AND(R2550&lt;&gt;"",INDEX(Parties!$E$5:$E$304,R2550)&lt;&gt;"",INDEX(Parties!$E$5:$E$304,R2550)&lt;&gt;HomeState),ROUND(K2550*L2550,2),0)),"")</f>
        <v/>
      </c>
      <c r="P2550" s="61" t="str">
        <f aca="false">IF(IsPro,IF($D2550="","",K2550+M2550+N2550+O2550),"")</f>
        <v/>
      </c>
      <c r="Q2550" s="60" t="str">
        <f aca="false">IF(IsPro,IF($D2550="","",IFERROR(MATCH($D2550,Items!$A$5:$A$504,0),"")),"")</f>
        <v/>
      </c>
      <c r="R2550" s="60" t="str">
        <f aca="false">IF(IsPro,IF($C2550="","",IFERROR(MATCH($C2550,Parties!$A$5:$A$304,0),"")),"")</f>
        <v/>
      </c>
      <c r="S2550" s="61" t="str">
        <f aca="false">IF(IsPro,IF($D2550="","",IF(OR($H2550="",$H2550="Credit"),0,P2550)),"")</f>
        <v/>
      </c>
    </row>
    <row r="2551" customFormat="false" ht="15" hidden="false" customHeight="false" outlineLevel="0" collapsed="false">
      <c r="A2551" s="55"/>
      <c r="B2551" s="56"/>
      <c r="C2551" s="56"/>
      <c r="D2551" s="56"/>
      <c r="E2551" s="57"/>
      <c r="F2551" s="58"/>
      <c r="G2551" s="59"/>
      <c r="H2551" s="56"/>
      <c r="I2551" s="60" t="str">
        <f aca="false">IF(IsPro,IF($D2551="","",IFERROR(INDEX(Items!$D$5:$D$504,Q2551),"")),IF($D2551="","","PRO PLAN"))</f>
        <v/>
      </c>
      <c r="J2551" s="61" t="str">
        <f aca="false">IF(IsPro,IF($D2551="","",IF($F2551="",IFERROR(INDEX(Items!$G$5:$G$504,Q2551),0),$F2551)),"")</f>
        <v/>
      </c>
      <c r="K2551" s="61" t="str">
        <f aca="false">IF(IsPro,IF($D2551="","",ROUND(N($E2551)*J2551*(1-N($G2551)),2)),"")</f>
        <v/>
      </c>
      <c r="L2551" s="62" t="str">
        <f aca="false">IF(IsPro,IF($D2551="","",IFERROR(INDEX(Items!$F$5:$F$504,Q2551),0)),"")</f>
        <v/>
      </c>
      <c r="M2551" s="61" t="str">
        <f aca="false">IF(IsPro,IF($D2551="","",IF(AND(R2551&lt;&gt;"",INDEX(Parties!$E$5:$E$304,R2551)&lt;&gt;"",INDEX(Parties!$E$5:$E$304,R2551)&lt;&gt;HomeState),0,ROUND(K2551*L2551/2,2))),"")</f>
        <v/>
      </c>
      <c r="N2551" s="61" t="str">
        <f aca="false">IF(IsPro,IF($D2551="","",M2551),"")</f>
        <v/>
      </c>
      <c r="O2551" s="61" t="str">
        <f aca="false">IF(IsPro,IF($D2551="","",IF(AND(R2551&lt;&gt;"",INDEX(Parties!$E$5:$E$304,R2551)&lt;&gt;"",INDEX(Parties!$E$5:$E$304,R2551)&lt;&gt;HomeState),ROUND(K2551*L2551,2),0)),"")</f>
        <v/>
      </c>
      <c r="P2551" s="61" t="str">
        <f aca="false">IF(IsPro,IF($D2551="","",K2551+M2551+N2551+O2551),"")</f>
        <v/>
      </c>
      <c r="Q2551" s="60" t="str">
        <f aca="false">IF(IsPro,IF($D2551="","",IFERROR(MATCH($D2551,Items!$A$5:$A$504,0),"")),"")</f>
        <v/>
      </c>
      <c r="R2551" s="60" t="str">
        <f aca="false">IF(IsPro,IF($C2551="","",IFERROR(MATCH($C2551,Parties!$A$5:$A$304,0),"")),"")</f>
        <v/>
      </c>
      <c r="S2551" s="61" t="str">
        <f aca="false">IF(IsPro,IF($D2551="","",IF(OR($H2551="",$H2551="Credit"),0,P2551)),"")</f>
        <v/>
      </c>
    </row>
    <row r="2552" customFormat="false" ht="15" hidden="false" customHeight="false" outlineLevel="0" collapsed="false">
      <c r="A2552" s="55"/>
      <c r="B2552" s="56"/>
      <c r="C2552" s="56"/>
      <c r="D2552" s="56"/>
      <c r="E2552" s="57"/>
      <c r="F2552" s="58"/>
      <c r="G2552" s="59"/>
      <c r="H2552" s="56"/>
      <c r="I2552" s="60" t="str">
        <f aca="false">IF(IsPro,IF($D2552="","",IFERROR(INDEX(Items!$D$5:$D$504,Q2552),"")),IF($D2552="","","PRO PLAN"))</f>
        <v/>
      </c>
      <c r="J2552" s="61" t="str">
        <f aca="false">IF(IsPro,IF($D2552="","",IF($F2552="",IFERROR(INDEX(Items!$G$5:$G$504,Q2552),0),$F2552)),"")</f>
        <v/>
      </c>
      <c r="K2552" s="61" t="str">
        <f aca="false">IF(IsPro,IF($D2552="","",ROUND(N($E2552)*J2552*(1-N($G2552)),2)),"")</f>
        <v/>
      </c>
      <c r="L2552" s="62" t="str">
        <f aca="false">IF(IsPro,IF($D2552="","",IFERROR(INDEX(Items!$F$5:$F$504,Q2552),0)),"")</f>
        <v/>
      </c>
      <c r="M2552" s="61" t="str">
        <f aca="false">IF(IsPro,IF($D2552="","",IF(AND(R2552&lt;&gt;"",INDEX(Parties!$E$5:$E$304,R2552)&lt;&gt;"",INDEX(Parties!$E$5:$E$304,R2552)&lt;&gt;HomeState),0,ROUND(K2552*L2552/2,2))),"")</f>
        <v/>
      </c>
      <c r="N2552" s="61" t="str">
        <f aca="false">IF(IsPro,IF($D2552="","",M2552),"")</f>
        <v/>
      </c>
      <c r="O2552" s="61" t="str">
        <f aca="false">IF(IsPro,IF($D2552="","",IF(AND(R2552&lt;&gt;"",INDEX(Parties!$E$5:$E$304,R2552)&lt;&gt;"",INDEX(Parties!$E$5:$E$304,R2552)&lt;&gt;HomeState),ROUND(K2552*L2552,2),0)),"")</f>
        <v/>
      </c>
      <c r="P2552" s="61" t="str">
        <f aca="false">IF(IsPro,IF($D2552="","",K2552+M2552+N2552+O2552),"")</f>
        <v/>
      </c>
      <c r="Q2552" s="60" t="str">
        <f aca="false">IF(IsPro,IF($D2552="","",IFERROR(MATCH($D2552,Items!$A$5:$A$504,0),"")),"")</f>
        <v/>
      </c>
      <c r="R2552" s="60" t="str">
        <f aca="false">IF(IsPro,IF($C2552="","",IFERROR(MATCH($C2552,Parties!$A$5:$A$304,0),"")),"")</f>
        <v/>
      </c>
      <c r="S2552" s="61" t="str">
        <f aca="false">IF(IsPro,IF($D2552="","",IF(OR($H2552="",$H2552="Credit"),0,P2552)),"")</f>
        <v/>
      </c>
    </row>
    <row r="2553" customFormat="false" ht="15" hidden="false" customHeight="false" outlineLevel="0" collapsed="false">
      <c r="A2553" s="55"/>
      <c r="B2553" s="56"/>
      <c r="C2553" s="56"/>
      <c r="D2553" s="56"/>
      <c r="E2553" s="57"/>
      <c r="F2553" s="58"/>
      <c r="G2553" s="59"/>
      <c r="H2553" s="56"/>
      <c r="I2553" s="60" t="str">
        <f aca="false">IF(IsPro,IF($D2553="","",IFERROR(INDEX(Items!$D$5:$D$504,Q2553),"")),IF($D2553="","","PRO PLAN"))</f>
        <v/>
      </c>
      <c r="J2553" s="61" t="str">
        <f aca="false">IF(IsPro,IF($D2553="","",IF($F2553="",IFERROR(INDEX(Items!$G$5:$G$504,Q2553),0),$F2553)),"")</f>
        <v/>
      </c>
      <c r="K2553" s="61" t="str">
        <f aca="false">IF(IsPro,IF($D2553="","",ROUND(N($E2553)*J2553*(1-N($G2553)),2)),"")</f>
        <v/>
      </c>
      <c r="L2553" s="62" t="str">
        <f aca="false">IF(IsPro,IF($D2553="","",IFERROR(INDEX(Items!$F$5:$F$504,Q2553),0)),"")</f>
        <v/>
      </c>
      <c r="M2553" s="61" t="str">
        <f aca="false">IF(IsPro,IF($D2553="","",IF(AND(R2553&lt;&gt;"",INDEX(Parties!$E$5:$E$304,R2553)&lt;&gt;"",INDEX(Parties!$E$5:$E$304,R2553)&lt;&gt;HomeState),0,ROUND(K2553*L2553/2,2))),"")</f>
        <v/>
      </c>
      <c r="N2553" s="61" t="str">
        <f aca="false">IF(IsPro,IF($D2553="","",M2553),"")</f>
        <v/>
      </c>
      <c r="O2553" s="61" t="str">
        <f aca="false">IF(IsPro,IF($D2553="","",IF(AND(R2553&lt;&gt;"",INDEX(Parties!$E$5:$E$304,R2553)&lt;&gt;"",INDEX(Parties!$E$5:$E$304,R2553)&lt;&gt;HomeState),ROUND(K2553*L2553,2),0)),"")</f>
        <v/>
      </c>
      <c r="P2553" s="61" t="str">
        <f aca="false">IF(IsPro,IF($D2553="","",K2553+M2553+N2553+O2553),"")</f>
        <v/>
      </c>
      <c r="Q2553" s="60" t="str">
        <f aca="false">IF(IsPro,IF($D2553="","",IFERROR(MATCH($D2553,Items!$A$5:$A$504,0),"")),"")</f>
        <v/>
      </c>
      <c r="R2553" s="60" t="str">
        <f aca="false">IF(IsPro,IF($C2553="","",IFERROR(MATCH($C2553,Parties!$A$5:$A$304,0),"")),"")</f>
        <v/>
      </c>
      <c r="S2553" s="61" t="str">
        <f aca="false">IF(IsPro,IF($D2553="","",IF(OR($H2553="",$H2553="Credit"),0,P2553)),"")</f>
        <v/>
      </c>
    </row>
    <row r="2554" customFormat="false" ht="15" hidden="false" customHeight="false" outlineLevel="0" collapsed="false">
      <c r="A2554" s="55"/>
      <c r="B2554" s="56"/>
      <c r="C2554" s="56"/>
      <c r="D2554" s="56"/>
      <c r="E2554" s="57"/>
      <c r="F2554" s="58"/>
      <c r="G2554" s="59"/>
      <c r="H2554" s="56"/>
      <c r="I2554" s="60" t="str">
        <f aca="false">IF(IsPro,IF($D2554="","",IFERROR(INDEX(Items!$D$5:$D$504,Q2554),"")),IF($D2554="","","PRO PLAN"))</f>
        <v/>
      </c>
      <c r="J2554" s="61" t="str">
        <f aca="false">IF(IsPro,IF($D2554="","",IF($F2554="",IFERROR(INDEX(Items!$G$5:$G$504,Q2554),0),$F2554)),"")</f>
        <v/>
      </c>
      <c r="K2554" s="61" t="str">
        <f aca="false">IF(IsPro,IF($D2554="","",ROUND(N($E2554)*J2554*(1-N($G2554)),2)),"")</f>
        <v/>
      </c>
      <c r="L2554" s="62" t="str">
        <f aca="false">IF(IsPro,IF($D2554="","",IFERROR(INDEX(Items!$F$5:$F$504,Q2554),0)),"")</f>
        <v/>
      </c>
      <c r="M2554" s="61" t="str">
        <f aca="false">IF(IsPro,IF($D2554="","",IF(AND(R2554&lt;&gt;"",INDEX(Parties!$E$5:$E$304,R2554)&lt;&gt;"",INDEX(Parties!$E$5:$E$304,R2554)&lt;&gt;HomeState),0,ROUND(K2554*L2554/2,2))),"")</f>
        <v/>
      </c>
      <c r="N2554" s="61" t="str">
        <f aca="false">IF(IsPro,IF($D2554="","",M2554),"")</f>
        <v/>
      </c>
      <c r="O2554" s="61" t="str">
        <f aca="false">IF(IsPro,IF($D2554="","",IF(AND(R2554&lt;&gt;"",INDEX(Parties!$E$5:$E$304,R2554)&lt;&gt;"",INDEX(Parties!$E$5:$E$304,R2554)&lt;&gt;HomeState),ROUND(K2554*L2554,2),0)),"")</f>
        <v/>
      </c>
      <c r="P2554" s="61" t="str">
        <f aca="false">IF(IsPro,IF($D2554="","",K2554+M2554+N2554+O2554),"")</f>
        <v/>
      </c>
      <c r="Q2554" s="60" t="str">
        <f aca="false">IF(IsPro,IF($D2554="","",IFERROR(MATCH($D2554,Items!$A$5:$A$504,0),"")),"")</f>
        <v/>
      </c>
      <c r="R2554" s="60" t="str">
        <f aca="false">IF(IsPro,IF($C2554="","",IFERROR(MATCH($C2554,Parties!$A$5:$A$304,0),"")),"")</f>
        <v/>
      </c>
      <c r="S2554" s="61" t="str">
        <f aca="false">IF(IsPro,IF($D2554="","",IF(OR($H2554="",$H2554="Credit"),0,P2554)),"")</f>
        <v/>
      </c>
    </row>
    <row r="2555" customFormat="false" ht="15" hidden="false" customHeight="false" outlineLevel="0" collapsed="false">
      <c r="A2555" s="55"/>
      <c r="B2555" s="56"/>
      <c r="C2555" s="56"/>
      <c r="D2555" s="56"/>
      <c r="E2555" s="57"/>
      <c r="F2555" s="58"/>
      <c r="G2555" s="59"/>
      <c r="H2555" s="56"/>
      <c r="I2555" s="60" t="str">
        <f aca="false">IF(IsPro,IF($D2555="","",IFERROR(INDEX(Items!$D$5:$D$504,Q2555),"")),IF($D2555="","","PRO PLAN"))</f>
        <v/>
      </c>
      <c r="J2555" s="61" t="str">
        <f aca="false">IF(IsPro,IF($D2555="","",IF($F2555="",IFERROR(INDEX(Items!$G$5:$G$504,Q2555),0),$F2555)),"")</f>
        <v/>
      </c>
      <c r="K2555" s="61" t="str">
        <f aca="false">IF(IsPro,IF($D2555="","",ROUND(N($E2555)*J2555*(1-N($G2555)),2)),"")</f>
        <v/>
      </c>
      <c r="L2555" s="62" t="str">
        <f aca="false">IF(IsPro,IF($D2555="","",IFERROR(INDEX(Items!$F$5:$F$504,Q2555),0)),"")</f>
        <v/>
      </c>
      <c r="M2555" s="61" t="str">
        <f aca="false">IF(IsPro,IF($D2555="","",IF(AND(R2555&lt;&gt;"",INDEX(Parties!$E$5:$E$304,R2555)&lt;&gt;"",INDEX(Parties!$E$5:$E$304,R2555)&lt;&gt;HomeState),0,ROUND(K2555*L2555/2,2))),"")</f>
        <v/>
      </c>
      <c r="N2555" s="61" t="str">
        <f aca="false">IF(IsPro,IF($D2555="","",M2555),"")</f>
        <v/>
      </c>
      <c r="O2555" s="61" t="str">
        <f aca="false">IF(IsPro,IF($D2555="","",IF(AND(R2555&lt;&gt;"",INDEX(Parties!$E$5:$E$304,R2555)&lt;&gt;"",INDEX(Parties!$E$5:$E$304,R2555)&lt;&gt;HomeState),ROUND(K2555*L2555,2),0)),"")</f>
        <v/>
      </c>
      <c r="P2555" s="61" t="str">
        <f aca="false">IF(IsPro,IF($D2555="","",K2555+M2555+N2555+O2555),"")</f>
        <v/>
      </c>
      <c r="Q2555" s="60" t="str">
        <f aca="false">IF(IsPro,IF($D2555="","",IFERROR(MATCH($D2555,Items!$A$5:$A$504,0),"")),"")</f>
        <v/>
      </c>
      <c r="R2555" s="60" t="str">
        <f aca="false">IF(IsPro,IF($C2555="","",IFERROR(MATCH($C2555,Parties!$A$5:$A$304,0),"")),"")</f>
        <v/>
      </c>
      <c r="S2555" s="61" t="str">
        <f aca="false">IF(IsPro,IF($D2555="","",IF(OR($H2555="",$H2555="Credit"),0,P2555)),"")</f>
        <v/>
      </c>
    </row>
    <row r="2556" customFormat="false" ht="15" hidden="false" customHeight="false" outlineLevel="0" collapsed="false">
      <c r="A2556" s="55"/>
      <c r="B2556" s="56"/>
      <c r="C2556" s="56"/>
      <c r="D2556" s="56"/>
      <c r="E2556" s="57"/>
      <c r="F2556" s="58"/>
      <c r="G2556" s="59"/>
      <c r="H2556" s="56"/>
      <c r="I2556" s="60" t="str">
        <f aca="false">IF(IsPro,IF($D2556="","",IFERROR(INDEX(Items!$D$5:$D$504,Q2556),"")),IF($D2556="","","PRO PLAN"))</f>
        <v/>
      </c>
      <c r="J2556" s="61" t="str">
        <f aca="false">IF(IsPro,IF($D2556="","",IF($F2556="",IFERROR(INDEX(Items!$G$5:$G$504,Q2556),0),$F2556)),"")</f>
        <v/>
      </c>
      <c r="K2556" s="61" t="str">
        <f aca="false">IF(IsPro,IF($D2556="","",ROUND(N($E2556)*J2556*(1-N($G2556)),2)),"")</f>
        <v/>
      </c>
      <c r="L2556" s="62" t="str">
        <f aca="false">IF(IsPro,IF($D2556="","",IFERROR(INDEX(Items!$F$5:$F$504,Q2556),0)),"")</f>
        <v/>
      </c>
      <c r="M2556" s="61" t="str">
        <f aca="false">IF(IsPro,IF($D2556="","",IF(AND(R2556&lt;&gt;"",INDEX(Parties!$E$5:$E$304,R2556)&lt;&gt;"",INDEX(Parties!$E$5:$E$304,R2556)&lt;&gt;HomeState),0,ROUND(K2556*L2556/2,2))),"")</f>
        <v/>
      </c>
      <c r="N2556" s="61" t="str">
        <f aca="false">IF(IsPro,IF($D2556="","",M2556),"")</f>
        <v/>
      </c>
      <c r="O2556" s="61" t="str">
        <f aca="false">IF(IsPro,IF($D2556="","",IF(AND(R2556&lt;&gt;"",INDEX(Parties!$E$5:$E$304,R2556)&lt;&gt;"",INDEX(Parties!$E$5:$E$304,R2556)&lt;&gt;HomeState),ROUND(K2556*L2556,2),0)),"")</f>
        <v/>
      </c>
      <c r="P2556" s="61" t="str">
        <f aca="false">IF(IsPro,IF($D2556="","",K2556+M2556+N2556+O2556),"")</f>
        <v/>
      </c>
      <c r="Q2556" s="60" t="str">
        <f aca="false">IF(IsPro,IF($D2556="","",IFERROR(MATCH($D2556,Items!$A$5:$A$504,0),"")),"")</f>
        <v/>
      </c>
      <c r="R2556" s="60" t="str">
        <f aca="false">IF(IsPro,IF($C2556="","",IFERROR(MATCH($C2556,Parties!$A$5:$A$304,0),"")),"")</f>
        <v/>
      </c>
      <c r="S2556" s="61" t="str">
        <f aca="false">IF(IsPro,IF($D2556="","",IF(OR($H2556="",$H2556="Credit"),0,P2556)),"")</f>
        <v/>
      </c>
    </row>
    <row r="2557" customFormat="false" ht="15" hidden="false" customHeight="false" outlineLevel="0" collapsed="false">
      <c r="A2557" s="55"/>
      <c r="B2557" s="56"/>
      <c r="C2557" s="56"/>
      <c r="D2557" s="56"/>
      <c r="E2557" s="57"/>
      <c r="F2557" s="58"/>
      <c r="G2557" s="59"/>
      <c r="H2557" s="56"/>
      <c r="I2557" s="60" t="str">
        <f aca="false">IF(IsPro,IF($D2557="","",IFERROR(INDEX(Items!$D$5:$D$504,Q2557),"")),IF($D2557="","","PRO PLAN"))</f>
        <v/>
      </c>
      <c r="J2557" s="61" t="str">
        <f aca="false">IF(IsPro,IF($D2557="","",IF($F2557="",IFERROR(INDEX(Items!$G$5:$G$504,Q2557),0),$F2557)),"")</f>
        <v/>
      </c>
      <c r="K2557" s="61" t="str">
        <f aca="false">IF(IsPro,IF($D2557="","",ROUND(N($E2557)*J2557*(1-N($G2557)),2)),"")</f>
        <v/>
      </c>
      <c r="L2557" s="62" t="str">
        <f aca="false">IF(IsPro,IF($D2557="","",IFERROR(INDEX(Items!$F$5:$F$504,Q2557),0)),"")</f>
        <v/>
      </c>
      <c r="M2557" s="61" t="str">
        <f aca="false">IF(IsPro,IF($D2557="","",IF(AND(R2557&lt;&gt;"",INDEX(Parties!$E$5:$E$304,R2557)&lt;&gt;"",INDEX(Parties!$E$5:$E$304,R2557)&lt;&gt;HomeState),0,ROUND(K2557*L2557/2,2))),"")</f>
        <v/>
      </c>
      <c r="N2557" s="61" t="str">
        <f aca="false">IF(IsPro,IF($D2557="","",M2557),"")</f>
        <v/>
      </c>
      <c r="O2557" s="61" t="str">
        <f aca="false">IF(IsPro,IF($D2557="","",IF(AND(R2557&lt;&gt;"",INDEX(Parties!$E$5:$E$304,R2557)&lt;&gt;"",INDEX(Parties!$E$5:$E$304,R2557)&lt;&gt;HomeState),ROUND(K2557*L2557,2),0)),"")</f>
        <v/>
      </c>
      <c r="P2557" s="61" t="str">
        <f aca="false">IF(IsPro,IF($D2557="","",K2557+M2557+N2557+O2557),"")</f>
        <v/>
      </c>
      <c r="Q2557" s="60" t="str">
        <f aca="false">IF(IsPro,IF($D2557="","",IFERROR(MATCH($D2557,Items!$A$5:$A$504,0),"")),"")</f>
        <v/>
      </c>
      <c r="R2557" s="60" t="str">
        <f aca="false">IF(IsPro,IF($C2557="","",IFERROR(MATCH($C2557,Parties!$A$5:$A$304,0),"")),"")</f>
        <v/>
      </c>
      <c r="S2557" s="61" t="str">
        <f aca="false">IF(IsPro,IF($D2557="","",IF(OR($H2557="",$H2557="Credit"),0,P2557)),"")</f>
        <v/>
      </c>
    </row>
    <row r="2558" customFormat="false" ht="15" hidden="false" customHeight="false" outlineLevel="0" collapsed="false">
      <c r="A2558" s="55"/>
      <c r="B2558" s="56"/>
      <c r="C2558" s="56"/>
      <c r="D2558" s="56"/>
      <c r="E2558" s="57"/>
      <c r="F2558" s="58"/>
      <c r="G2558" s="59"/>
      <c r="H2558" s="56"/>
      <c r="I2558" s="60" t="str">
        <f aca="false">IF(IsPro,IF($D2558="","",IFERROR(INDEX(Items!$D$5:$D$504,Q2558),"")),IF($D2558="","","PRO PLAN"))</f>
        <v/>
      </c>
      <c r="J2558" s="61" t="str">
        <f aca="false">IF(IsPro,IF($D2558="","",IF($F2558="",IFERROR(INDEX(Items!$G$5:$G$504,Q2558),0),$F2558)),"")</f>
        <v/>
      </c>
      <c r="K2558" s="61" t="str">
        <f aca="false">IF(IsPro,IF($D2558="","",ROUND(N($E2558)*J2558*(1-N($G2558)),2)),"")</f>
        <v/>
      </c>
      <c r="L2558" s="62" t="str">
        <f aca="false">IF(IsPro,IF($D2558="","",IFERROR(INDEX(Items!$F$5:$F$504,Q2558),0)),"")</f>
        <v/>
      </c>
      <c r="M2558" s="61" t="str">
        <f aca="false">IF(IsPro,IF($D2558="","",IF(AND(R2558&lt;&gt;"",INDEX(Parties!$E$5:$E$304,R2558)&lt;&gt;"",INDEX(Parties!$E$5:$E$304,R2558)&lt;&gt;HomeState),0,ROUND(K2558*L2558/2,2))),"")</f>
        <v/>
      </c>
      <c r="N2558" s="61" t="str">
        <f aca="false">IF(IsPro,IF($D2558="","",M2558),"")</f>
        <v/>
      </c>
      <c r="O2558" s="61" t="str">
        <f aca="false">IF(IsPro,IF($D2558="","",IF(AND(R2558&lt;&gt;"",INDEX(Parties!$E$5:$E$304,R2558)&lt;&gt;"",INDEX(Parties!$E$5:$E$304,R2558)&lt;&gt;HomeState),ROUND(K2558*L2558,2),0)),"")</f>
        <v/>
      </c>
      <c r="P2558" s="61" t="str">
        <f aca="false">IF(IsPro,IF($D2558="","",K2558+M2558+N2558+O2558),"")</f>
        <v/>
      </c>
      <c r="Q2558" s="60" t="str">
        <f aca="false">IF(IsPro,IF($D2558="","",IFERROR(MATCH($D2558,Items!$A$5:$A$504,0),"")),"")</f>
        <v/>
      </c>
      <c r="R2558" s="60" t="str">
        <f aca="false">IF(IsPro,IF($C2558="","",IFERROR(MATCH($C2558,Parties!$A$5:$A$304,0),"")),"")</f>
        <v/>
      </c>
      <c r="S2558" s="61" t="str">
        <f aca="false">IF(IsPro,IF($D2558="","",IF(OR($H2558="",$H2558="Credit"),0,P2558)),"")</f>
        <v/>
      </c>
    </row>
    <row r="2559" customFormat="false" ht="15" hidden="false" customHeight="false" outlineLevel="0" collapsed="false">
      <c r="A2559" s="55"/>
      <c r="B2559" s="56"/>
      <c r="C2559" s="56"/>
      <c r="D2559" s="56"/>
      <c r="E2559" s="57"/>
      <c r="F2559" s="58"/>
      <c r="G2559" s="59"/>
      <c r="H2559" s="56"/>
      <c r="I2559" s="60" t="str">
        <f aca="false">IF(IsPro,IF($D2559="","",IFERROR(INDEX(Items!$D$5:$D$504,Q2559),"")),IF($D2559="","","PRO PLAN"))</f>
        <v/>
      </c>
      <c r="J2559" s="61" t="str">
        <f aca="false">IF(IsPro,IF($D2559="","",IF($F2559="",IFERROR(INDEX(Items!$G$5:$G$504,Q2559),0),$F2559)),"")</f>
        <v/>
      </c>
      <c r="K2559" s="61" t="str">
        <f aca="false">IF(IsPro,IF($D2559="","",ROUND(N($E2559)*J2559*(1-N($G2559)),2)),"")</f>
        <v/>
      </c>
      <c r="L2559" s="62" t="str">
        <f aca="false">IF(IsPro,IF($D2559="","",IFERROR(INDEX(Items!$F$5:$F$504,Q2559),0)),"")</f>
        <v/>
      </c>
      <c r="M2559" s="61" t="str">
        <f aca="false">IF(IsPro,IF($D2559="","",IF(AND(R2559&lt;&gt;"",INDEX(Parties!$E$5:$E$304,R2559)&lt;&gt;"",INDEX(Parties!$E$5:$E$304,R2559)&lt;&gt;HomeState),0,ROUND(K2559*L2559/2,2))),"")</f>
        <v/>
      </c>
      <c r="N2559" s="61" t="str">
        <f aca="false">IF(IsPro,IF($D2559="","",M2559),"")</f>
        <v/>
      </c>
      <c r="O2559" s="61" t="str">
        <f aca="false">IF(IsPro,IF($D2559="","",IF(AND(R2559&lt;&gt;"",INDEX(Parties!$E$5:$E$304,R2559)&lt;&gt;"",INDEX(Parties!$E$5:$E$304,R2559)&lt;&gt;HomeState),ROUND(K2559*L2559,2),0)),"")</f>
        <v/>
      </c>
      <c r="P2559" s="61" t="str">
        <f aca="false">IF(IsPro,IF($D2559="","",K2559+M2559+N2559+O2559),"")</f>
        <v/>
      </c>
      <c r="Q2559" s="60" t="str">
        <f aca="false">IF(IsPro,IF($D2559="","",IFERROR(MATCH($D2559,Items!$A$5:$A$504,0),"")),"")</f>
        <v/>
      </c>
      <c r="R2559" s="60" t="str">
        <f aca="false">IF(IsPro,IF($C2559="","",IFERROR(MATCH($C2559,Parties!$A$5:$A$304,0),"")),"")</f>
        <v/>
      </c>
      <c r="S2559" s="61" t="str">
        <f aca="false">IF(IsPro,IF($D2559="","",IF(OR($H2559="",$H2559="Credit"),0,P2559)),"")</f>
        <v/>
      </c>
    </row>
    <row r="2560" customFormat="false" ht="15" hidden="false" customHeight="false" outlineLevel="0" collapsed="false">
      <c r="A2560" s="55"/>
      <c r="B2560" s="56"/>
      <c r="C2560" s="56"/>
      <c r="D2560" s="56"/>
      <c r="E2560" s="57"/>
      <c r="F2560" s="58"/>
      <c r="G2560" s="59"/>
      <c r="H2560" s="56"/>
      <c r="I2560" s="60" t="str">
        <f aca="false">IF(IsPro,IF($D2560="","",IFERROR(INDEX(Items!$D$5:$D$504,Q2560),"")),IF($D2560="","","PRO PLAN"))</f>
        <v/>
      </c>
      <c r="J2560" s="61" t="str">
        <f aca="false">IF(IsPro,IF($D2560="","",IF($F2560="",IFERROR(INDEX(Items!$G$5:$G$504,Q2560),0),$F2560)),"")</f>
        <v/>
      </c>
      <c r="K2560" s="61" t="str">
        <f aca="false">IF(IsPro,IF($D2560="","",ROUND(N($E2560)*J2560*(1-N($G2560)),2)),"")</f>
        <v/>
      </c>
      <c r="L2560" s="62" t="str">
        <f aca="false">IF(IsPro,IF($D2560="","",IFERROR(INDEX(Items!$F$5:$F$504,Q2560),0)),"")</f>
        <v/>
      </c>
      <c r="M2560" s="61" t="str">
        <f aca="false">IF(IsPro,IF($D2560="","",IF(AND(R2560&lt;&gt;"",INDEX(Parties!$E$5:$E$304,R2560)&lt;&gt;"",INDEX(Parties!$E$5:$E$304,R2560)&lt;&gt;HomeState),0,ROUND(K2560*L2560/2,2))),"")</f>
        <v/>
      </c>
      <c r="N2560" s="61" t="str">
        <f aca="false">IF(IsPro,IF($D2560="","",M2560),"")</f>
        <v/>
      </c>
      <c r="O2560" s="61" t="str">
        <f aca="false">IF(IsPro,IF($D2560="","",IF(AND(R2560&lt;&gt;"",INDEX(Parties!$E$5:$E$304,R2560)&lt;&gt;"",INDEX(Parties!$E$5:$E$304,R2560)&lt;&gt;HomeState),ROUND(K2560*L2560,2),0)),"")</f>
        <v/>
      </c>
      <c r="P2560" s="61" t="str">
        <f aca="false">IF(IsPro,IF($D2560="","",K2560+M2560+N2560+O2560),"")</f>
        <v/>
      </c>
      <c r="Q2560" s="60" t="str">
        <f aca="false">IF(IsPro,IF($D2560="","",IFERROR(MATCH($D2560,Items!$A$5:$A$504,0),"")),"")</f>
        <v/>
      </c>
      <c r="R2560" s="60" t="str">
        <f aca="false">IF(IsPro,IF($C2560="","",IFERROR(MATCH($C2560,Parties!$A$5:$A$304,0),"")),"")</f>
        <v/>
      </c>
      <c r="S2560" s="61" t="str">
        <f aca="false">IF(IsPro,IF($D2560="","",IF(OR($H2560="",$H2560="Credit"),0,P2560)),"")</f>
        <v/>
      </c>
    </row>
    <row r="2561" customFormat="false" ht="15" hidden="false" customHeight="false" outlineLevel="0" collapsed="false">
      <c r="A2561" s="55"/>
      <c r="B2561" s="56"/>
      <c r="C2561" s="56"/>
      <c r="D2561" s="56"/>
      <c r="E2561" s="57"/>
      <c r="F2561" s="58"/>
      <c r="G2561" s="59"/>
      <c r="H2561" s="56"/>
      <c r="I2561" s="60" t="str">
        <f aca="false">IF(IsPro,IF($D2561="","",IFERROR(INDEX(Items!$D$5:$D$504,Q2561),"")),IF($D2561="","","PRO PLAN"))</f>
        <v/>
      </c>
      <c r="J2561" s="61" t="str">
        <f aca="false">IF(IsPro,IF($D2561="","",IF($F2561="",IFERROR(INDEX(Items!$G$5:$G$504,Q2561),0),$F2561)),"")</f>
        <v/>
      </c>
      <c r="K2561" s="61" t="str">
        <f aca="false">IF(IsPro,IF($D2561="","",ROUND(N($E2561)*J2561*(1-N($G2561)),2)),"")</f>
        <v/>
      </c>
      <c r="L2561" s="62" t="str">
        <f aca="false">IF(IsPro,IF($D2561="","",IFERROR(INDEX(Items!$F$5:$F$504,Q2561),0)),"")</f>
        <v/>
      </c>
      <c r="M2561" s="61" t="str">
        <f aca="false">IF(IsPro,IF($D2561="","",IF(AND(R2561&lt;&gt;"",INDEX(Parties!$E$5:$E$304,R2561)&lt;&gt;"",INDEX(Parties!$E$5:$E$304,R2561)&lt;&gt;HomeState),0,ROUND(K2561*L2561/2,2))),"")</f>
        <v/>
      </c>
      <c r="N2561" s="61" t="str">
        <f aca="false">IF(IsPro,IF($D2561="","",M2561),"")</f>
        <v/>
      </c>
      <c r="O2561" s="61" t="str">
        <f aca="false">IF(IsPro,IF($D2561="","",IF(AND(R2561&lt;&gt;"",INDEX(Parties!$E$5:$E$304,R2561)&lt;&gt;"",INDEX(Parties!$E$5:$E$304,R2561)&lt;&gt;HomeState),ROUND(K2561*L2561,2),0)),"")</f>
        <v/>
      </c>
      <c r="P2561" s="61" t="str">
        <f aca="false">IF(IsPro,IF($D2561="","",K2561+M2561+N2561+O2561),"")</f>
        <v/>
      </c>
      <c r="Q2561" s="60" t="str">
        <f aca="false">IF(IsPro,IF($D2561="","",IFERROR(MATCH($D2561,Items!$A$5:$A$504,0),"")),"")</f>
        <v/>
      </c>
      <c r="R2561" s="60" t="str">
        <f aca="false">IF(IsPro,IF($C2561="","",IFERROR(MATCH($C2561,Parties!$A$5:$A$304,0),"")),"")</f>
        <v/>
      </c>
      <c r="S2561" s="61" t="str">
        <f aca="false">IF(IsPro,IF($D2561="","",IF(OR($H2561="",$H2561="Credit"),0,P2561)),"")</f>
        <v/>
      </c>
    </row>
    <row r="2562" customFormat="false" ht="15" hidden="false" customHeight="false" outlineLevel="0" collapsed="false">
      <c r="A2562" s="55"/>
      <c r="B2562" s="56"/>
      <c r="C2562" s="56"/>
      <c r="D2562" s="56"/>
      <c r="E2562" s="57"/>
      <c r="F2562" s="58"/>
      <c r="G2562" s="59"/>
      <c r="H2562" s="56"/>
      <c r="I2562" s="60" t="str">
        <f aca="false">IF(IsPro,IF($D2562="","",IFERROR(INDEX(Items!$D$5:$D$504,Q2562),"")),IF($D2562="","","PRO PLAN"))</f>
        <v/>
      </c>
      <c r="J2562" s="61" t="str">
        <f aca="false">IF(IsPro,IF($D2562="","",IF($F2562="",IFERROR(INDEX(Items!$G$5:$G$504,Q2562),0),$F2562)),"")</f>
        <v/>
      </c>
      <c r="K2562" s="61" t="str">
        <f aca="false">IF(IsPro,IF($D2562="","",ROUND(N($E2562)*J2562*(1-N($G2562)),2)),"")</f>
        <v/>
      </c>
      <c r="L2562" s="62" t="str">
        <f aca="false">IF(IsPro,IF($D2562="","",IFERROR(INDEX(Items!$F$5:$F$504,Q2562),0)),"")</f>
        <v/>
      </c>
      <c r="M2562" s="61" t="str">
        <f aca="false">IF(IsPro,IF($D2562="","",IF(AND(R2562&lt;&gt;"",INDEX(Parties!$E$5:$E$304,R2562)&lt;&gt;"",INDEX(Parties!$E$5:$E$304,R2562)&lt;&gt;HomeState),0,ROUND(K2562*L2562/2,2))),"")</f>
        <v/>
      </c>
      <c r="N2562" s="61" t="str">
        <f aca="false">IF(IsPro,IF($D2562="","",M2562),"")</f>
        <v/>
      </c>
      <c r="O2562" s="61" t="str">
        <f aca="false">IF(IsPro,IF($D2562="","",IF(AND(R2562&lt;&gt;"",INDEX(Parties!$E$5:$E$304,R2562)&lt;&gt;"",INDEX(Parties!$E$5:$E$304,R2562)&lt;&gt;HomeState),ROUND(K2562*L2562,2),0)),"")</f>
        <v/>
      </c>
      <c r="P2562" s="61" t="str">
        <f aca="false">IF(IsPro,IF($D2562="","",K2562+M2562+N2562+O2562),"")</f>
        <v/>
      </c>
      <c r="Q2562" s="60" t="str">
        <f aca="false">IF(IsPro,IF($D2562="","",IFERROR(MATCH($D2562,Items!$A$5:$A$504,0),"")),"")</f>
        <v/>
      </c>
      <c r="R2562" s="60" t="str">
        <f aca="false">IF(IsPro,IF($C2562="","",IFERROR(MATCH($C2562,Parties!$A$5:$A$304,0),"")),"")</f>
        <v/>
      </c>
      <c r="S2562" s="61" t="str">
        <f aca="false">IF(IsPro,IF($D2562="","",IF(OR($H2562="",$H2562="Credit"),0,P2562)),"")</f>
        <v/>
      </c>
    </row>
    <row r="2563" customFormat="false" ht="15" hidden="false" customHeight="false" outlineLevel="0" collapsed="false">
      <c r="A2563" s="55"/>
      <c r="B2563" s="56"/>
      <c r="C2563" s="56"/>
      <c r="D2563" s="56"/>
      <c r="E2563" s="57"/>
      <c r="F2563" s="58"/>
      <c r="G2563" s="59"/>
      <c r="H2563" s="56"/>
      <c r="I2563" s="60" t="str">
        <f aca="false">IF(IsPro,IF($D2563="","",IFERROR(INDEX(Items!$D$5:$D$504,Q2563),"")),IF($D2563="","","PRO PLAN"))</f>
        <v/>
      </c>
      <c r="J2563" s="61" t="str">
        <f aca="false">IF(IsPro,IF($D2563="","",IF($F2563="",IFERROR(INDEX(Items!$G$5:$G$504,Q2563),0),$F2563)),"")</f>
        <v/>
      </c>
      <c r="K2563" s="61" t="str">
        <f aca="false">IF(IsPro,IF($D2563="","",ROUND(N($E2563)*J2563*(1-N($G2563)),2)),"")</f>
        <v/>
      </c>
      <c r="L2563" s="62" t="str">
        <f aca="false">IF(IsPro,IF($D2563="","",IFERROR(INDEX(Items!$F$5:$F$504,Q2563),0)),"")</f>
        <v/>
      </c>
      <c r="M2563" s="61" t="str">
        <f aca="false">IF(IsPro,IF($D2563="","",IF(AND(R2563&lt;&gt;"",INDEX(Parties!$E$5:$E$304,R2563)&lt;&gt;"",INDEX(Parties!$E$5:$E$304,R2563)&lt;&gt;HomeState),0,ROUND(K2563*L2563/2,2))),"")</f>
        <v/>
      </c>
      <c r="N2563" s="61" t="str">
        <f aca="false">IF(IsPro,IF($D2563="","",M2563),"")</f>
        <v/>
      </c>
      <c r="O2563" s="61" t="str">
        <f aca="false">IF(IsPro,IF($D2563="","",IF(AND(R2563&lt;&gt;"",INDEX(Parties!$E$5:$E$304,R2563)&lt;&gt;"",INDEX(Parties!$E$5:$E$304,R2563)&lt;&gt;HomeState),ROUND(K2563*L2563,2),0)),"")</f>
        <v/>
      </c>
      <c r="P2563" s="61" t="str">
        <f aca="false">IF(IsPro,IF($D2563="","",K2563+M2563+N2563+O2563),"")</f>
        <v/>
      </c>
      <c r="Q2563" s="60" t="str">
        <f aca="false">IF(IsPro,IF($D2563="","",IFERROR(MATCH($D2563,Items!$A$5:$A$504,0),"")),"")</f>
        <v/>
      </c>
      <c r="R2563" s="60" t="str">
        <f aca="false">IF(IsPro,IF($C2563="","",IFERROR(MATCH($C2563,Parties!$A$5:$A$304,0),"")),"")</f>
        <v/>
      </c>
      <c r="S2563" s="61" t="str">
        <f aca="false">IF(IsPro,IF($D2563="","",IF(OR($H2563="",$H2563="Credit"),0,P2563)),"")</f>
        <v/>
      </c>
    </row>
    <row r="2564" customFormat="false" ht="15" hidden="false" customHeight="false" outlineLevel="0" collapsed="false">
      <c r="A2564" s="55"/>
      <c r="B2564" s="56"/>
      <c r="C2564" s="56"/>
      <c r="D2564" s="56"/>
      <c r="E2564" s="57"/>
      <c r="F2564" s="58"/>
      <c r="G2564" s="59"/>
      <c r="H2564" s="56"/>
      <c r="I2564" s="60" t="str">
        <f aca="false">IF(IsPro,IF($D2564="","",IFERROR(INDEX(Items!$D$5:$D$504,Q2564),"")),IF($D2564="","","PRO PLAN"))</f>
        <v/>
      </c>
      <c r="J2564" s="61" t="str">
        <f aca="false">IF(IsPro,IF($D2564="","",IF($F2564="",IFERROR(INDEX(Items!$G$5:$G$504,Q2564),0),$F2564)),"")</f>
        <v/>
      </c>
      <c r="K2564" s="61" t="str">
        <f aca="false">IF(IsPro,IF($D2564="","",ROUND(N($E2564)*J2564*(1-N($G2564)),2)),"")</f>
        <v/>
      </c>
      <c r="L2564" s="62" t="str">
        <f aca="false">IF(IsPro,IF($D2564="","",IFERROR(INDEX(Items!$F$5:$F$504,Q2564),0)),"")</f>
        <v/>
      </c>
      <c r="M2564" s="61" t="str">
        <f aca="false">IF(IsPro,IF($D2564="","",IF(AND(R2564&lt;&gt;"",INDEX(Parties!$E$5:$E$304,R2564)&lt;&gt;"",INDEX(Parties!$E$5:$E$304,R2564)&lt;&gt;HomeState),0,ROUND(K2564*L2564/2,2))),"")</f>
        <v/>
      </c>
      <c r="N2564" s="61" t="str">
        <f aca="false">IF(IsPro,IF($D2564="","",M2564),"")</f>
        <v/>
      </c>
      <c r="O2564" s="61" t="str">
        <f aca="false">IF(IsPro,IF($D2564="","",IF(AND(R2564&lt;&gt;"",INDEX(Parties!$E$5:$E$304,R2564)&lt;&gt;"",INDEX(Parties!$E$5:$E$304,R2564)&lt;&gt;HomeState),ROUND(K2564*L2564,2),0)),"")</f>
        <v/>
      </c>
      <c r="P2564" s="61" t="str">
        <f aca="false">IF(IsPro,IF($D2564="","",K2564+M2564+N2564+O2564),"")</f>
        <v/>
      </c>
      <c r="Q2564" s="60" t="str">
        <f aca="false">IF(IsPro,IF($D2564="","",IFERROR(MATCH($D2564,Items!$A$5:$A$504,0),"")),"")</f>
        <v/>
      </c>
      <c r="R2564" s="60" t="str">
        <f aca="false">IF(IsPro,IF($C2564="","",IFERROR(MATCH($C2564,Parties!$A$5:$A$304,0),"")),"")</f>
        <v/>
      </c>
      <c r="S2564" s="61" t="str">
        <f aca="false">IF(IsPro,IF($D2564="","",IF(OR($H2564="",$H2564="Credit"),0,P2564)),"")</f>
        <v/>
      </c>
    </row>
    <row r="2565" customFormat="false" ht="15" hidden="false" customHeight="false" outlineLevel="0" collapsed="false">
      <c r="A2565" s="55"/>
      <c r="B2565" s="56"/>
      <c r="C2565" s="56"/>
      <c r="D2565" s="56"/>
      <c r="E2565" s="57"/>
      <c r="F2565" s="58"/>
      <c r="G2565" s="59"/>
      <c r="H2565" s="56"/>
      <c r="I2565" s="60" t="str">
        <f aca="false">IF(IsPro,IF($D2565="","",IFERROR(INDEX(Items!$D$5:$D$504,Q2565),"")),IF($D2565="","","PRO PLAN"))</f>
        <v/>
      </c>
      <c r="J2565" s="61" t="str">
        <f aca="false">IF(IsPro,IF($D2565="","",IF($F2565="",IFERROR(INDEX(Items!$G$5:$G$504,Q2565),0),$F2565)),"")</f>
        <v/>
      </c>
      <c r="K2565" s="61" t="str">
        <f aca="false">IF(IsPro,IF($D2565="","",ROUND(N($E2565)*J2565*(1-N($G2565)),2)),"")</f>
        <v/>
      </c>
      <c r="L2565" s="62" t="str">
        <f aca="false">IF(IsPro,IF($D2565="","",IFERROR(INDEX(Items!$F$5:$F$504,Q2565),0)),"")</f>
        <v/>
      </c>
      <c r="M2565" s="61" t="str">
        <f aca="false">IF(IsPro,IF($D2565="","",IF(AND(R2565&lt;&gt;"",INDEX(Parties!$E$5:$E$304,R2565)&lt;&gt;"",INDEX(Parties!$E$5:$E$304,R2565)&lt;&gt;HomeState),0,ROUND(K2565*L2565/2,2))),"")</f>
        <v/>
      </c>
      <c r="N2565" s="61" t="str">
        <f aca="false">IF(IsPro,IF($D2565="","",M2565),"")</f>
        <v/>
      </c>
      <c r="O2565" s="61" t="str">
        <f aca="false">IF(IsPro,IF($D2565="","",IF(AND(R2565&lt;&gt;"",INDEX(Parties!$E$5:$E$304,R2565)&lt;&gt;"",INDEX(Parties!$E$5:$E$304,R2565)&lt;&gt;HomeState),ROUND(K2565*L2565,2),0)),"")</f>
        <v/>
      </c>
      <c r="P2565" s="61" t="str">
        <f aca="false">IF(IsPro,IF($D2565="","",K2565+M2565+N2565+O2565),"")</f>
        <v/>
      </c>
      <c r="Q2565" s="60" t="str">
        <f aca="false">IF(IsPro,IF($D2565="","",IFERROR(MATCH($D2565,Items!$A$5:$A$504,0),"")),"")</f>
        <v/>
      </c>
      <c r="R2565" s="60" t="str">
        <f aca="false">IF(IsPro,IF($C2565="","",IFERROR(MATCH($C2565,Parties!$A$5:$A$304,0),"")),"")</f>
        <v/>
      </c>
      <c r="S2565" s="61" t="str">
        <f aca="false">IF(IsPro,IF($D2565="","",IF(OR($H2565="",$H2565="Credit"),0,P2565)),"")</f>
        <v/>
      </c>
    </row>
    <row r="2566" customFormat="false" ht="15" hidden="false" customHeight="false" outlineLevel="0" collapsed="false">
      <c r="A2566" s="55"/>
      <c r="B2566" s="56"/>
      <c r="C2566" s="56"/>
      <c r="D2566" s="56"/>
      <c r="E2566" s="57"/>
      <c r="F2566" s="58"/>
      <c r="G2566" s="59"/>
      <c r="H2566" s="56"/>
      <c r="I2566" s="60" t="str">
        <f aca="false">IF(IsPro,IF($D2566="","",IFERROR(INDEX(Items!$D$5:$D$504,Q2566),"")),IF($D2566="","","PRO PLAN"))</f>
        <v/>
      </c>
      <c r="J2566" s="61" t="str">
        <f aca="false">IF(IsPro,IF($D2566="","",IF($F2566="",IFERROR(INDEX(Items!$G$5:$G$504,Q2566),0),$F2566)),"")</f>
        <v/>
      </c>
      <c r="K2566" s="61" t="str">
        <f aca="false">IF(IsPro,IF($D2566="","",ROUND(N($E2566)*J2566*(1-N($G2566)),2)),"")</f>
        <v/>
      </c>
      <c r="L2566" s="62" t="str">
        <f aca="false">IF(IsPro,IF($D2566="","",IFERROR(INDEX(Items!$F$5:$F$504,Q2566),0)),"")</f>
        <v/>
      </c>
      <c r="M2566" s="61" t="str">
        <f aca="false">IF(IsPro,IF($D2566="","",IF(AND(R2566&lt;&gt;"",INDEX(Parties!$E$5:$E$304,R2566)&lt;&gt;"",INDEX(Parties!$E$5:$E$304,R2566)&lt;&gt;HomeState),0,ROUND(K2566*L2566/2,2))),"")</f>
        <v/>
      </c>
      <c r="N2566" s="61" t="str">
        <f aca="false">IF(IsPro,IF($D2566="","",M2566),"")</f>
        <v/>
      </c>
      <c r="O2566" s="61" t="str">
        <f aca="false">IF(IsPro,IF($D2566="","",IF(AND(R2566&lt;&gt;"",INDEX(Parties!$E$5:$E$304,R2566)&lt;&gt;"",INDEX(Parties!$E$5:$E$304,R2566)&lt;&gt;HomeState),ROUND(K2566*L2566,2),0)),"")</f>
        <v/>
      </c>
      <c r="P2566" s="61" t="str">
        <f aca="false">IF(IsPro,IF($D2566="","",K2566+M2566+N2566+O2566),"")</f>
        <v/>
      </c>
      <c r="Q2566" s="60" t="str">
        <f aca="false">IF(IsPro,IF($D2566="","",IFERROR(MATCH($D2566,Items!$A$5:$A$504,0),"")),"")</f>
        <v/>
      </c>
      <c r="R2566" s="60" t="str">
        <f aca="false">IF(IsPro,IF($C2566="","",IFERROR(MATCH($C2566,Parties!$A$5:$A$304,0),"")),"")</f>
        <v/>
      </c>
      <c r="S2566" s="61" t="str">
        <f aca="false">IF(IsPro,IF($D2566="","",IF(OR($H2566="",$H2566="Credit"),0,P2566)),"")</f>
        <v/>
      </c>
    </row>
    <row r="2567" customFormat="false" ht="15" hidden="false" customHeight="false" outlineLevel="0" collapsed="false">
      <c r="A2567" s="55"/>
      <c r="B2567" s="56"/>
      <c r="C2567" s="56"/>
      <c r="D2567" s="56"/>
      <c r="E2567" s="57"/>
      <c r="F2567" s="58"/>
      <c r="G2567" s="59"/>
      <c r="H2567" s="56"/>
      <c r="I2567" s="60" t="str">
        <f aca="false">IF(IsPro,IF($D2567="","",IFERROR(INDEX(Items!$D$5:$D$504,Q2567),"")),IF($D2567="","","PRO PLAN"))</f>
        <v/>
      </c>
      <c r="J2567" s="61" t="str">
        <f aca="false">IF(IsPro,IF($D2567="","",IF($F2567="",IFERROR(INDEX(Items!$G$5:$G$504,Q2567),0),$F2567)),"")</f>
        <v/>
      </c>
      <c r="K2567" s="61" t="str">
        <f aca="false">IF(IsPro,IF($D2567="","",ROUND(N($E2567)*J2567*(1-N($G2567)),2)),"")</f>
        <v/>
      </c>
      <c r="L2567" s="62" t="str">
        <f aca="false">IF(IsPro,IF($D2567="","",IFERROR(INDEX(Items!$F$5:$F$504,Q2567),0)),"")</f>
        <v/>
      </c>
      <c r="M2567" s="61" t="str">
        <f aca="false">IF(IsPro,IF($D2567="","",IF(AND(R2567&lt;&gt;"",INDEX(Parties!$E$5:$E$304,R2567)&lt;&gt;"",INDEX(Parties!$E$5:$E$304,R2567)&lt;&gt;HomeState),0,ROUND(K2567*L2567/2,2))),"")</f>
        <v/>
      </c>
      <c r="N2567" s="61" t="str">
        <f aca="false">IF(IsPro,IF($D2567="","",M2567),"")</f>
        <v/>
      </c>
      <c r="O2567" s="61" t="str">
        <f aca="false">IF(IsPro,IF($D2567="","",IF(AND(R2567&lt;&gt;"",INDEX(Parties!$E$5:$E$304,R2567)&lt;&gt;"",INDEX(Parties!$E$5:$E$304,R2567)&lt;&gt;HomeState),ROUND(K2567*L2567,2),0)),"")</f>
        <v/>
      </c>
      <c r="P2567" s="61" t="str">
        <f aca="false">IF(IsPro,IF($D2567="","",K2567+M2567+N2567+O2567),"")</f>
        <v/>
      </c>
      <c r="Q2567" s="60" t="str">
        <f aca="false">IF(IsPro,IF($D2567="","",IFERROR(MATCH($D2567,Items!$A$5:$A$504,0),"")),"")</f>
        <v/>
      </c>
      <c r="R2567" s="60" t="str">
        <f aca="false">IF(IsPro,IF($C2567="","",IFERROR(MATCH($C2567,Parties!$A$5:$A$304,0),"")),"")</f>
        <v/>
      </c>
      <c r="S2567" s="61" t="str">
        <f aca="false">IF(IsPro,IF($D2567="","",IF(OR($H2567="",$H2567="Credit"),0,P2567)),"")</f>
        <v/>
      </c>
    </row>
    <row r="2568" customFormat="false" ht="15" hidden="false" customHeight="false" outlineLevel="0" collapsed="false">
      <c r="A2568" s="55"/>
      <c r="B2568" s="56"/>
      <c r="C2568" s="56"/>
      <c r="D2568" s="56"/>
      <c r="E2568" s="57"/>
      <c r="F2568" s="58"/>
      <c r="G2568" s="59"/>
      <c r="H2568" s="56"/>
      <c r="I2568" s="60" t="str">
        <f aca="false">IF(IsPro,IF($D2568="","",IFERROR(INDEX(Items!$D$5:$D$504,Q2568),"")),IF($D2568="","","PRO PLAN"))</f>
        <v/>
      </c>
      <c r="J2568" s="61" t="str">
        <f aca="false">IF(IsPro,IF($D2568="","",IF($F2568="",IFERROR(INDEX(Items!$G$5:$G$504,Q2568),0),$F2568)),"")</f>
        <v/>
      </c>
      <c r="K2568" s="61" t="str">
        <f aca="false">IF(IsPro,IF($D2568="","",ROUND(N($E2568)*J2568*(1-N($G2568)),2)),"")</f>
        <v/>
      </c>
      <c r="L2568" s="62" t="str">
        <f aca="false">IF(IsPro,IF($D2568="","",IFERROR(INDEX(Items!$F$5:$F$504,Q2568),0)),"")</f>
        <v/>
      </c>
      <c r="M2568" s="61" t="str">
        <f aca="false">IF(IsPro,IF($D2568="","",IF(AND(R2568&lt;&gt;"",INDEX(Parties!$E$5:$E$304,R2568)&lt;&gt;"",INDEX(Parties!$E$5:$E$304,R2568)&lt;&gt;HomeState),0,ROUND(K2568*L2568/2,2))),"")</f>
        <v/>
      </c>
      <c r="N2568" s="61" t="str">
        <f aca="false">IF(IsPro,IF($D2568="","",M2568),"")</f>
        <v/>
      </c>
      <c r="O2568" s="61" t="str">
        <f aca="false">IF(IsPro,IF($D2568="","",IF(AND(R2568&lt;&gt;"",INDEX(Parties!$E$5:$E$304,R2568)&lt;&gt;"",INDEX(Parties!$E$5:$E$304,R2568)&lt;&gt;HomeState),ROUND(K2568*L2568,2),0)),"")</f>
        <v/>
      </c>
      <c r="P2568" s="61" t="str">
        <f aca="false">IF(IsPro,IF($D2568="","",K2568+M2568+N2568+O2568),"")</f>
        <v/>
      </c>
      <c r="Q2568" s="60" t="str">
        <f aca="false">IF(IsPro,IF($D2568="","",IFERROR(MATCH($D2568,Items!$A$5:$A$504,0),"")),"")</f>
        <v/>
      </c>
      <c r="R2568" s="60" t="str">
        <f aca="false">IF(IsPro,IF($C2568="","",IFERROR(MATCH($C2568,Parties!$A$5:$A$304,0),"")),"")</f>
        <v/>
      </c>
      <c r="S2568" s="61" t="str">
        <f aca="false">IF(IsPro,IF($D2568="","",IF(OR($H2568="",$H2568="Credit"),0,P2568)),"")</f>
        <v/>
      </c>
    </row>
    <row r="2569" customFormat="false" ht="15" hidden="false" customHeight="false" outlineLevel="0" collapsed="false">
      <c r="A2569" s="55"/>
      <c r="B2569" s="56"/>
      <c r="C2569" s="56"/>
      <c r="D2569" s="56"/>
      <c r="E2569" s="57"/>
      <c r="F2569" s="58"/>
      <c r="G2569" s="59"/>
      <c r="H2569" s="56"/>
      <c r="I2569" s="60" t="str">
        <f aca="false">IF(IsPro,IF($D2569="","",IFERROR(INDEX(Items!$D$5:$D$504,Q2569),"")),IF($D2569="","","PRO PLAN"))</f>
        <v/>
      </c>
      <c r="J2569" s="61" t="str">
        <f aca="false">IF(IsPro,IF($D2569="","",IF($F2569="",IFERROR(INDEX(Items!$G$5:$G$504,Q2569),0),$F2569)),"")</f>
        <v/>
      </c>
      <c r="K2569" s="61" t="str">
        <f aca="false">IF(IsPro,IF($D2569="","",ROUND(N($E2569)*J2569*(1-N($G2569)),2)),"")</f>
        <v/>
      </c>
      <c r="L2569" s="62" t="str">
        <f aca="false">IF(IsPro,IF($D2569="","",IFERROR(INDEX(Items!$F$5:$F$504,Q2569),0)),"")</f>
        <v/>
      </c>
      <c r="M2569" s="61" t="str">
        <f aca="false">IF(IsPro,IF($D2569="","",IF(AND(R2569&lt;&gt;"",INDEX(Parties!$E$5:$E$304,R2569)&lt;&gt;"",INDEX(Parties!$E$5:$E$304,R2569)&lt;&gt;HomeState),0,ROUND(K2569*L2569/2,2))),"")</f>
        <v/>
      </c>
      <c r="N2569" s="61" t="str">
        <f aca="false">IF(IsPro,IF($D2569="","",M2569),"")</f>
        <v/>
      </c>
      <c r="O2569" s="61" t="str">
        <f aca="false">IF(IsPro,IF($D2569="","",IF(AND(R2569&lt;&gt;"",INDEX(Parties!$E$5:$E$304,R2569)&lt;&gt;"",INDEX(Parties!$E$5:$E$304,R2569)&lt;&gt;HomeState),ROUND(K2569*L2569,2),0)),"")</f>
        <v/>
      </c>
      <c r="P2569" s="61" t="str">
        <f aca="false">IF(IsPro,IF($D2569="","",K2569+M2569+N2569+O2569),"")</f>
        <v/>
      </c>
      <c r="Q2569" s="60" t="str">
        <f aca="false">IF(IsPro,IF($D2569="","",IFERROR(MATCH($D2569,Items!$A$5:$A$504,0),"")),"")</f>
        <v/>
      </c>
      <c r="R2569" s="60" t="str">
        <f aca="false">IF(IsPro,IF($C2569="","",IFERROR(MATCH($C2569,Parties!$A$5:$A$304,0),"")),"")</f>
        <v/>
      </c>
      <c r="S2569" s="61" t="str">
        <f aca="false">IF(IsPro,IF($D2569="","",IF(OR($H2569="",$H2569="Credit"),0,P2569)),"")</f>
        <v/>
      </c>
    </row>
    <row r="2570" customFormat="false" ht="15" hidden="false" customHeight="false" outlineLevel="0" collapsed="false">
      <c r="A2570" s="55"/>
      <c r="B2570" s="56"/>
      <c r="C2570" s="56"/>
      <c r="D2570" s="56"/>
      <c r="E2570" s="57"/>
      <c r="F2570" s="58"/>
      <c r="G2570" s="59"/>
      <c r="H2570" s="56"/>
      <c r="I2570" s="60" t="str">
        <f aca="false">IF(IsPro,IF($D2570="","",IFERROR(INDEX(Items!$D$5:$D$504,Q2570),"")),IF($D2570="","","PRO PLAN"))</f>
        <v/>
      </c>
      <c r="J2570" s="61" t="str">
        <f aca="false">IF(IsPro,IF($D2570="","",IF($F2570="",IFERROR(INDEX(Items!$G$5:$G$504,Q2570),0),$F2570)),"")</f>
        <v/>
      </c>
      <c r="K2570" s="61" t="str">
        <f aca="false">IF(IsPro,IF($D2570="","",ROUND(N($E2570)*J2570*(1-N($G2570)),2)),"")</f>
        <v/>
      </c>
      <c r="L2570" s="62" t="str">
        <f aca="false">IF(IsPro,IF($D2570="","",IFERROR(INDEX(Items!$F$5:$F$504,Q2570),0)),"")</f>
        <v/>
      </c>
      <c r="M2570" s="61" t="str">
        <f aca="false">IF(IsPro,IF($D2570="","",IF(AND(R2570&lt;&gt;"",INDEX(Parties!$E$5:$E$304,R2570)&lt;&gt;"",INDEX(Parties!$E$5:$E$304,R2570)&lt;&gt;HomeState),0,ROUND(K2570*L2570/2,2))),"")</f>
        <v/>
      </c>
      <c r="N2570" s="61" t="str">
        <f aca="false">IF(IsPro,IF($D2570="","",M2570),"")</f>
        <v/>
      </c>
      <c r="O2570" s="61" t="str">
        <f aca="false">IF(IsPro,IF($D2570="","",IF(AND(R2570&lt;&gt;"",INDEX(Parties!$E$5:$E$304,R2570)&lt;&gt;"",INDEX(Parties!$E$5:$E$304,R2570)&lt;&gt;HomeState),ROUND(K2570*L2570,2),0)),"")</f>
        <v/>
      </c>
      <c r="P2570" s="61" t="str">
        <f aca="false">IF(IsPro,IF($D2570="","",K2570+M2570+N2570+O2570),"")</f>
        <v/>
      </c>
      <c r="Q2570" s="60" t="str">
        <f aca="false">IF(IsPro,IF($D2570="","",IFERROR(MATCH($D2570,Items!$A$5:$A$504,0),"")),"")</f>
        <v/>
      </c>
      <c r="R2570" s="60" t="str">
        <f aca="false">IF(IsPro,IF($C2570="","",IFERROR(MATCH($C2570,Parties!$A$5:$A$304,0),"")),"")</f>
        <v/>
      </c>
      <c r="S2570" s="61" t="str">
        <f aca="false">IF(IsPro,IF($D2570="","",IF(OR($H2570="",$H2570="Credit"),0,P2570)),"")</f>
        <v/>
      </c>
    </row>
    <row r="2571" customFormat="false" ht="15" hidden="false" customHeight="false" outlineLevel="0" collapsed="false">
      <c r="A2571" s="55"/>
      <c r="B2571" s="56"/>
      <c r="C2571" s="56"/>
      <c r="D2571" s="56"/>
      <c r="E2571" s="57"/>
      <c r="F2571" s="58"/>
      <c r="G2571" s="59"/>
      <c r="H2571" s="56"/>
      <c r="I2571" s="60" t="str">
        <f aca="false">IF(IsPro,IF($D2571="","",IFERROR(INDEX(Items!$D$5:$D$504,Q2571),"")),IF($D2571="","","PRO PLAN"))</f>
        <v/>
      </c>
      <c r="J2571" s="61" t="str">
        <f aca="false">IF(IsPro,IF($D2571="","",IF($F2571="",IFERROR(INDEX(Items!$G$5:$G$504,Q2571),0),$F2571)),"")</f>
        <v/>
      </c>
      <c r="K2571" s="61" t="str">
        <f aca="false">IF(IsPro,IF($D2571="","",ROUND(N($E2571)*J2571*(1-N($G2571)),2)),"")</f>
        <v/>
      </c>
      <c r="L2571" s="62" t="str">
        <f aca="false">IF(IsPro,IF($D2571="","",IFERROR(INDEX(Items!$F$5:$F$504,Q2571),0)),"")</f>
        <v/>
      </c>
      <c r="M2571" s="61" t="str">
        <f aca="false">IF(IsPro,IF($D2571="","",IF(AND(R2571&lt;&gt;"",INDEX(Parties!$E$5:$E$304,R2571)&lt;&gt;"",INDEX(Parties!$E$5:$E$304,R2571)&lt;&gt;HomeState),0,ROUND(K2571*L2571/2,2))),"")</f>
        <v/>
      </c>
      <c r="N2571" s="61" t="str">
        <f aca="false">IF(IsPro,IF($D2571="","",M2571),"")</f>
        <v/>
      </c>
      <c r="O2571" s="61" t="str">
        <f aca="false">IF(IsPro,IF($D2571="","",IF(AND(R2571&lt;&gt;"",INDEX(Parties!$E$5:$E$304,R2571)&lt;&gt;"",INDEX(Parties!$E$5:$E$304,R2571)&lt;&gt;HomeState),ROUND(K2571*L2571,2),0)),"")</f>
        <v/>
      </c>
      <c r="P2571" s="61" t="str">
        <f aca="false">IF(IsPro,IF($D2571="","",K2571+M2571+N2571+O2571),"")</f>
        <v/>
      </c>
      <c r="Q2571" s="60" t="str">
        <f aca="false">IF(IsPro,IF($D2571="","",IFERROR(MATCH($D2571,Items!$A$5:$A$504,0),"")),"")</f>
        <v/>
      </c>
      <c r="R2571" s="60" t="str">
        <f aca="false">IF(IsPro,IF($C2571="","",IFERROR(MATCH($C2571,Parties!$A$5:$A$304,0),"")),"")</f>
        <v/>
      </c>
      <c r="S2571" s="61" t="str">
        <f aca="false">IF(IsPro,IF($D2571="","",IF(OR($H2571="",$H2571="Credit"),0,P2571)),"")</f>
        <v/>
      </c>
    </row>
    <row r="2572" customFormat="false" ht="15" hidden="false" customHeight="false" outlineLevel="0" collapsed="false">
      <c r="A2572" s="55"/>
      <c r="B2572" s="56"/>
      <c r="C2572" s="56"/>
      <c r="D2572" s="56"/>
      <c r="E2572" s="57"/>
      <c r="F2572" s="58"/>
      <c r="G2572" s="59"/>
      <c r="H2572" s="56"/>
      <c r="I2572" s="60" t="str">
        <f aca="false">IF(IsPro,IF($D2572="","",IFERROR(INDEX(Items!$D$5:$D$504,Q2572),"")),IF($D2572="","","PRO PLAN"))</f>
        <v/>
      </c>
      <c r="J2572" s="61" t="str">
        <f aca="false">IF(IsPro,IF($D2572="","",IF($F2572="",IFERROR(INDEX(Items!$G$5:$G$504,Q2572),0),$F2572)),"")</f>
        <v/>
      </c>
      <c r="K2572" s="61" t="str">
        <f aca="false">IF(IsPro,IF($D2572="","",ROUND(N($E2572)*J2572*(1-N($G2572)),2)),"")</f>
        <v/>
      </c>
      <c r="L2572" s="62" t="str">
        <f aca="false">IF(IsPro,IF($D2572="","",IFERROR(INDEX(Items!$F$5:$F$504,Q2572),0)),"")</f>
        <v/>
      </c>
      <c r="M2572" s="61" t="str">
        <f aca="false">IF(IsPro,IF($D2572="","",IF(AND(R2572&lt;&gt;"",INDEX(Parties!$E$5:$E$304,R2572)&lt;&gt;"",INDEX(Parties!$E$5:$E$304,R2572)&lt;&gt;HomeState),0,ROUND(K2572*L2572/2,2))),"")</f>
        <v/>
      </c>
      <c r="N2572" s="61" t="str">
        <f aca="false">IF(IsPro,IF($D2572="","",M2572),"")</f>
        <v/>
      </c>
      <c r="O2572" s="61" t="str">
        <f aca="false">IF(IsPro,IF($D2572="","",IF(AND(R2572&lt;&gt;"",INDEX(Parties!$E$5:$E$304,R2572)&lt;&gt;"",INDEX(Parties!$E$5:$E$304,R2572)&lt;&gt;HomeState),ROUND(K2572*L2572,2),0)),"")</f>
        <v/>
      </c>
      <c r="P2572" s="61" t="str">
        <f aca="false">IF(IsPro,IF($D2572="","",K2572+M2572+N2572+O2572),"")</f>
        <v/>
      </c>
      <c r="Q2572" s="60" t="str">
        <f aca="false">IF(IsPro,IF($D2572="","",IFERROR(MATCH($D2572,Items!$A$5:$A$504,0),"")),"")</f>
        <v/>
      </c>
      <c r="R2572" s="60" t="str">
        <f aca="false">IF(IsPro,IF($C2572="","",IFERROR(MATCH($C2572,Parties!$A$5:$A$304,0),"")),"")</f>
        <v/>
      </c>
      <c r="S2572" s="61" t="str">
        <f aca="false">IF(IsPro,IF($D2572="","",IF(OR($H2572="",$H2572="Credit"),0,P2572)),"")</f>
        <v/>
      </c>
    </row>
    <row r="2573" customFormat="false" ht="15" hidden="false" customHeight="false" outlineLevel="0" collapsed="false">
      <c r="A2573" s="55"/>
      <c r="B2573" s="56"/>
      <c r="C2573" s="56"/>
      <c r="D2573" s="56"/>
      <c r="E2573" s="57"/>
      <c r="F2573" s="58"/>
      <c r="G2573" s="59"/>
      <c r="H2573" s="56"/>
      <c r="I2573" s="60" t="str">
        <f aca="false">IF(IsPro,IF($D2573="","",IFERROR(INDEX(Items!$D$5:$D$504,Q2573),"")),IF($D2573="","","PRO PLAN"))</f>
        <v/>
      </c>
      <c r="J2573" s="61" t="str">
        <f aca="false">IF(IsPro,IF($D2573="","",IF($F2573="",IFERROR(INDEX(Items!$G$5:$G$504,Q2573),0),$F2573)),"")</f>
        <v/>
      </c>
      <c r="K2573" s="61" t="str">
        <f aca="false">IF(IsPro,IF($D2573="","",ROUND(N($E2573)*J2573*(1-N($G2573)),2)),"")</f>
        <v/>
      </c>
      <c r="L2573" s="62" t="str">
        <f aca="false">IF(IsPro,IF($D2573="","",IFERROR(INDEX(Items!$F$5:$F$504,Q2573),0)),"")</f>
        <v/>
      </c>
      <c r="M2573" s="61" t="str">
        <f aca="false">IF(IsPro,IF($D2573="","",IF(AND(R2573&lt;&gt;"",INDEX(Parties!$E$5:$E$304,R2573)&lt;&gt;"",INDEX(Parties!$E$5:$E$304,R2573)&lt;&gt;HomeState),0,ROUND(K2573*L2573/2,2))),"")</f>
        <v/>
      </c>
      <c r="N2573" s="61" t="str">
        <f aca="false">IF(IsPro,IF($D2573="","",M2573),"")</f>
        <v/>
      </c>
      <c r="O2573" s="61" t="str">
        <f aca="false">IF(IsPro,IF($D2573="","",IF(AND(R2573&lt;&gt;"",INDEX(Parties!$E$5:$E$304,R2573)&lt;&gt;"",INDEX(Parties!$E$5:$E$304,R2573)&lt;&gt;HomeState),ROUND(K2573*L2573,2),0)),"")</f>
        <v/>
      </c>
      <c r="P2573" s="61" t="str">
        <f aca="false">IF(IsPro,IF($D2573="","",K2573+M2573+N2573+O2573),"")</f>
        <v/>
      </c>
      <c r="Q2573" s="60" t="str">
        <f aca="false">IF(IsPro,IF($D2573="","",IFERROR(MATCH($D2573,Items!$A$5:$A$504,0),"")),"")</f>
        <v/>
      </c>
      <c r="R2573" s="60" t="str">
        <f aca="false">IF(IsPro,IF($C2573="","",IFERROR(MATCH($C2573,Parties!$A$5:$A$304,0),"")),"")</f>
        <v/>
      </c>
      <c r="S2573" s="61" t="str">
        <f aca="false">IF(IsPro,IF($D2573="","",IF(OR($H2573="",$H2573="Credit"),0,P2573)),"")</f>
        <v/>
      </c>
    </row>
    <row r="2574" customFormat="false" ht="15" hidden="false" customHeight="false" outlineLevel="0" collapsed="false">
      <c r="A2574" s="55"/>
      <c r="B2574" s="56"/>
      <c r="C2574" s="56"/>
      <c r="D2574" s="56"/>
      <c r="E2574" s="57"/>
      <c r="F2574" s="58"/>
      <c r="G2574" s="59"/>
      <c r="H2574" s="56"/>
      <c r="I2574" s="60" t="str">
        <f aca="false">IF(IsPro,IF($D2574="","",IFERROR(INDEX(Items!$D$5:$D$504,Q2574),"")),IF($D2574="","","PRO PLAN"))</f>
        <v/>
      </c>
      <c r="J2574" s="61" t="str">
        <f aca="false">IF(IsPro,IF($D2574="","",IF($F2574="",IFERROR(INDEX(Items!$G$5:$G$504,Q2574),0),$F2574)),"")</f>
        <v/>
      </c>
      <c r="K2574" s="61" t="str">
        <f aca="false">IF(IsPro,IF($D2574="","",ROUND(N($E2574)*J2574*(1-N($G2574)),2)),"")</f>
        <v/>
      </c>
      <c r="L2574" s="62" t="str">
        <f aca="false">IF(IsPro,IF($D2574="","",IFERROR(INDEX(Items!$F$5:$F$504,Q2574),0)),"")</f>
        <v/>
      </c>
      <c r="M2574" s="61" t="str">
        <f aca="false">IF(IsPro,IF($D2574="","",IF(AND(R2574&lt;&gt;"",INDEX(Parties!$E$5:$E$304,R2574)&lt;&gt;"",INDEX(Parties!$E$5:$E$304,R2574)&lt;&gt;HomeState),0,ROUND(K2574*L2574/2,2))),"")</f>
        <v/>
      </c>
      <c r="N2574" s="61" t="str">
        <f aca="false">IF(IsPro,IF($D2574="","",M2574),"")</f>
        <v/>
      </c>
      <c r="O2574" s="61" t="str">
        <f aca="false">IF(IsPro,IF($D2574="","",IF(AND(R2574&lt;&gt;"",INDEX(Parties!$E$5:$E$304,R2574)&lt;&gt;"",INDEX(Parties!$E$5:$E$304,R2574)&lt;&gt;HomeState),ROUND(K2574*L2574,2),0)),"")</f>
        <v/>
      </c>
      <c r="P2574" s="61" t="str">
        <f aca="false">IF(IsPro,IF($D2574="","",K2574+M2574+N2574+O2574),"")</f>
        <v/>
      </c>
      <c r="Q2574" s="60" t="str">
        <f aca="false">IF(IsPro,IF($D2574="","",IFERROR(MATCH($D2574,Items!$A$5:$A$504,0),"")),"")</f>
        <v/>
      </c>
      <c r="R2574" s="60" t="str">
        <f aca="false">IF(IsPro,IF($C2574="","",IFERROR(MATCH($C2574,Parties!$A$5:$A$304,0),"")),"")</f>
        <v/>
      </c>
      <c r="S2574" s="61" t="str">
        <f aca="false">IF(IsPro,IF($D2574="","",IF(OR($H2574="",$H2574="Credit"),0,P2574)),"")</f>
        <v/>
      </c>
    </row>
    <row r="2575" customFormat="false" ht="15" hidden="false" customHeight="false" outlineLevel="0" collapsed="false">
      <c r="A2575" s="55"/>
      <c r="B2575" s="56"/>
      <c r="C2575" s="56"/>
      <c r="D2575" s="56"/>
      <c r="E2575" s="57"/>
      <c r="F2575" s="58"/>
      <c r="G2575" s="59"/>
      <c r="H2575" s="56"/>
      <c r="I2575" s="60" t="str">
        <f aca="false">IF(IsPro,IF($D2575="","",IFERROR(INDEX(Items!$D$5:$D$504,Q2575),"")),IF($D2575="","","PRO PLAN"))</f>
        <v/>
      </c>
      <c r="J2575" s="61" t="str">
        <f aca="false">IF(IsPro,IF($D2575="","",IF($F2575="",IFERROR(INDEX(Items!$G$5:$G$504,Q2575),0),$F2575)),"")</f>
        <v/>
      </c>
      <c r="K2575" s="61" t="str">
        <f aca="false">IF(IsPro,IF($D2575="","",ROUND(N($E2575)*J2575*(1-N($G2575)),2)),"")</f>
        <v/>
      </c>
      <c r="L2575" s="62" t="str">
        <f aca="false">IF(IsPro,IF($D2575="","",IFERROR(INDEX(Items!$F$5:$F$504,Q2575),0)),"")</f>
        <v/>
      </c>
      <c r="M2575" s="61" t="str">
        <f aca="false">IF(IsPro,IF($D2575="","",IF(AND(R2575&lt;&gt;"",INDEX(Parties!$E$5:$E$304,R2575)&lt;&gt;"",INDEX(Parties!$E$5:$E$304,R2575)&lt;&gt;HomeState),0,ROUND(K2575*L2575/2,2))),"")</f>
        <v/>
      </c>
      <c r="N2575" s="61" t="str">
        <f aca="false">IF(IsPro,IF($D2575="","",M2575),"")</f>
        <v/>
      </c>
      <c r="O2575" s="61" t="str">
        <f aca="false">IF(IsPro,IF($D2575="","",IF(AND(R2575&lt;&gt;"",INDEX(Parties!$E$5:$E$304,R2575)&lt;&gt;"",INDEX(Parties!$E$5:$E$304,R2575)&lt;&gt;HomeState),ROUND(K2575*L2575,2),0)),"")</f>
        <v/>
      </c>
      <c r="P2575" s="61" t="str">
        <f aca="false">IF(IsPro,IF($D2575="","",K2575+M2575+N2575+O2575),"")</f>
        <v/>
      </c>
      <c r="Q2575" s="60" t="str">
        <f aca="false">IF(IsPro,IF($D2575="","",IFERROR(MATCH($D2575,Items!$A$5:$A$504,0),"")),"")</f>
        <v/>
      </c>
      <c r="R2575" s="60" t="str">
        <f aca="false">IF(IsPro,IF($C2575="","",IFERROR(MATCH($C2575,Parties!$A$5:$A$304,0),"")),"")</f>
        <v/>
      </c>
      <c r="S2575" s="61" t="str">
        <f aca="false">IF(IsPro,IF($D2575="","",IF(OR($H2575="",$H2575="Credit"),0,P2575)),"")</f>
        <v/>
      </c>
    </row>
    <row r="2576" customFormat="false" ht="15" hidden="false" customHeight="false" outlineLevel="0" collapsed="false">
      <c r="A2576" s="55"/>
      <c r="B2576" s="56"/>
      <c r="C2576" s="56"/>
      <c r="D2576" s="56"/>
      <c r="E2576" s="57"/>
      <c r="F2576" s="58"/>
      <c r="G2576" s="59"/>
      <c r="H2576" s="56"/>
      <c r="I2576" s="60" t="str">
        <f aca="false">IF(IsPro,IF($D2576="","",IFERROR(INDEX(Items!$D$5:$D$504,Q2576),"")),IF($D2576="","","PRO PLAN"))</f>
        <v/>
      </c>
      <c r="J2576" s="61" t="str">
        <f aca="false">IF(IsPro,IF($D2576="","",IF($F2576="",IFERROR(INDEX(Items!$G$5:$G$504,Q2576),0),$F2576)),"")</f>
        <v/>
      </c>
      <c r="K2576" s="61" t="str">
        <f aca="false">IF(IsPro,IF($D2576="","",ROUND(N($E2576)*J2576*(1-N($G2576)),2)),"")</f>
        <v/>
      </c>
      <c r="L2576" s="62" t="str">
        <f aca="false">IF(IsPro,IF($D2576="","",IFERROR(INDEX(Items!$F$5:$F$504,Q2576),0)),"")</f>
        <v/>
      </c>
      <c r="M2576" s="61" t="str">
        <f aca="false">IF(IsPro,IF($D2576="","",IF(AND(R2576&lt;&gt;"",INDEX(Parties!$E$5:$E$304,R2576)&lt;&gt;"",INDEX(Parties!$E$5:$E$304,R2576)&lt;&gt;HomeState),0,ROUND(K2576*L2576/2,2))),"")</f>
        <v/>
      </c>
      <c r="N2576" s="61" t="str">
        <f aca="false">IF(IsPro,IF($D2576="","",M2576),"")</f>
        <v/>
      </c>
      <c r="O2576" s="61" t="str">
        <f aca="false">IF(IsPro,IF($D2576="","",IF(AND(R2576&lt;&gt;"",INDEX(Parties!$E$5:$E$304,R2576)&lt;&gt;"",INDEX(Parties!$E$5:$E$304,R2576)&lt;&gt;HomeState),ROUND(K2576*L2576,2),0)),"")</f>
        <v/>
      </c>
      <c r="P2576" s="61" t="str">
        <f aca="false">IF(IsPro,IF($D2576="","",K2576+M2576+N2576+O2576),"")</f>
        <v/>
      </c>
      <c r="Q2576" s="60" t="str">
        <f aca="false">IF(IsPro,IF($D2576="","",IFERROR(MATCH($D2576,Items!$A$5:$A$504,0),"")),"")</f>
        <v/>
      </c>
      <c r="R2576" s="60" t="str">
        <f aca="false">IF(IsPro,IF($C2576="","",IFERROR(MATCH($C2576,Parties!$A$5:$A$304,0),"")),"")</f>
        <v/>
      </c>
      <c r="S2576" s="61" t="str">
        <f aca="false">IF(IsPro,IF($D2576="","",IF(OR($H2576="",$H2576="Credit"),0,P2576)),"")</f>
        <v/>
      </c>
    </row>
    <row r="2577" customFormat="false" ht="15" hidden="false" customHeight="false" outlineLevel="0" collapsed="false">
      <c r="A2577" s="55"/>
      <c r="B2577" s="56"/>
      <c r="C2577" s="56"/>
      <c r="D2577" s="56"/>
      <c r="E2577" s="57"/>
      <c r="F2577" s="58"/>
      <c r="G2577" s="59"/>
      <c r="H2577" s="56"/>
      <c r="I2577" s="60" t="str">
        <f aca="false">IF(IsPro,IF($D2577="","",IFERROR(INDEX(Items!$D$5:$D$504,Q2577),"")),IF($D2577="","","PRO PLAN"))</f>
        <v/>
      </c>
      <c r="J2577" s="61" t="str">
        <f aca="false">IF(IsPro,IF($D2577="","",IF($F2577="",IFERROR(INDEX(Items!$G$5:$G$504,Q2577),0),$F2577)),"")</f>
        <v/>
      </c>
      <c r="K2577" s="61" t="str">
        <f aca="false">IF(IsPro,IF($D2577="","",ROUND(N($E2577)*J2577*(1-N($G2577)),2)),"")</f>
        <v/>
      </c>
      <c r="L2577" s="62" t="str">
        <f aca="false">IF(IsPro,IF($D2577="","",IFERROR(INDEX(Items!$F$5:$F$504,Q2577),0)),"")</f>
        <v/>
      </c>
      <c r="M2577" s="61" t="str">
        <f aca="false">IF(IsPro,IF($D2577="","",IF(AND(R2577&lt;&gt;"",INDEX(Parties!$E$5:$E$304,R2577)&lt;&gt;"",INDEX(Parties!$E$5:$E$304,R2577)&lt;&gt;HomeState),0,ROUND(K2577*L2577/2,2))),"")</f>
        <v/>
      </c>
      <c r="N2577" s="61" t="str">
        <f aca="false">IF(IsPro,IF($D2577="","",M2577),"")</f>
        <v/>
      </c>
      <c r="O2577" s="61" t="str">
        <f aca="false">IF(IsPro,IF($D2577="","",IF(AND(R2577&lt;&gt;"",INDEX(Parties!$E$5:$E$304,R2577)&lt;&gt;"",INDEX(Parties!$E$5:$E$304,R2577)&lt;&gt;HomeState),ROUND(K2577*L2577,2),0)),"")</f>
        <v/>
      </c>
      <c r="P2577" s="61" t="str">
        <f aca="false">IF(IsPro,IF($D2577="","",K2577+M2577+N2577+O2577),"")</f>
        <v/>
      </c>
      <c r="Q2577" s="60" t="str">
        <f aca="false">IF(IsPro,IF($D2577="","",IFERROR(MATCH($D2577,Items!$A$5:$A$504,0),"")),"")</f>
        <v/>
      </c>
      <c r="R2577" s="60" t="str">
        <f aca="false">IF(IsPro,IF($C2577="","",IFERROR(MATCH($C2577,Parties!$A$5:$A$304,0),"")),"")</f>
        <v/>
      </c>
      <c r="S2577" s="61" t="str">
        <f aca="false">IF(IsPro,IF($D2577="","",IF(OR($H2577="",$H2577="Credit"),0,P2577)),"")</f>
        <v/>
      </c>
    </row>
    <row r="2578" customFormat="false" ht="15" hidden="false" customHeight="false" outlineLevel="0" collapsed="false">
      <c r="A2578" s="55"/>
      <c r="B2578" s="56"/>
      <c r="C2578" s="56"/>
      <c r="D2578" s="56"/>
      <c r="E2578" s="57"/>
      <c r="F2578" s="58"/>
      <c r="G2578" s="59"/>
      <c r="H2578" s="56"/>
      <c r="I2578" s="60" t="str">
        <f aca="false">IF(IsPro,IF($D2578="","",IFERROR(INDEX(Items!$D$5:$D$504,Q2578),"")),IF($D2578="","","PRO PLAN"))</f>
        <v/>
      </c>
      <c r="J2578" s="61" t="str">
        <f aca="false">IF(IsPro,IF($D2578="","",IF($F2578="",IFERROR(INDEX(Items!$G$5:$G$504,Q2578),0),$F2578)),"")</f>
        <v/>
      </c>
      <c r="K2578" s="61" t="str">
        <f aca="false">IF(IsPro,IF($D2578="","",ROUND(N($E2578)*J2578*(1-N($G2578)),2)),"")</f>
        <v/>
      </c>
      <c r="L2578" s="62" t="str">
        <f aca="false">IF(IsPro,IF($D2578="","",IFERROR(INDEX(Items!$F$5:$F$504,Q2578),0)),"")</f>
        <v/>
      </c>
      <c r="M2578" s="61" t="str">
        <f aca="false">IF(IsPro,IF($D2578="","",IF(AND(R2578&lt;&gt;"",INDEX(Parties!$E$5:$E$304,R2578)&lt;&gt;"",INDEX(Parties!$E$5:$E$304,R2578)&lt;&gt;HomeState),0,ROUND(K2578*L2578/2,2))),"")</f>
        <v/>
      </c>
      <c r="N2578" s="61" t="str">
        <f aca="false">IF(IsPro,IF($D2578="","",M2578),"")</f>
        <v/>
      </c>
      <c r="O2578" s="61" t="str">
        <f aca="false">IF(IsPro,IF($D2578="","",IF(AND(R2578&lt;&gt;"",INDEX(Parties!$E$5:$E$304,R2578)&lt;&gt;"",INDEX(Parties!$E$5:$E$304,R2578)&lt;&gt;HomeState),ROUND(K2578*L2578,2),0)),"")</f>
        <v/>
      </c>
      <c r="P2578" s="61" t="str">
        <f aca="false">IF(IsPro,IF($D2578="","",K2578+M2578+N2578+O2578),"")</f>
        <v/>
      </c>
      <c r="Q2578" s="60" t="str">
        <f aca="false">IF(IsPro,IF($D2578="","",IFERROR(MATCH($D2578,Items!$A$5:$A$504,0),"")),"")</f>
        <v/>
      </c>
      <c r="R2578" s="60" t="str">
        <f aca="false">IF(IsPro,IF($C2578="","",IFERROR(MATCH($C2578,Parties!$A$5:$A$304,0),"")),"")</f>
        <v/>
      </c>
      <c r="S2578" s="61" t="str">
        <f aca="false">IF(IsPro,IF($D2578="","",IF(OR($H2578="",$H2578="Credit"),0,P2578)),"")</f>
        <v/>
      </c>
    </row>
    <row r="2579" customFormat="false" ht="15" hidden="false" customHeight="false" outlineLevel="0" collapsed="false">
      <c r="A2579" s="55"/>
      <c r="B2579" s="56"/>
      <c r="C2579" s="56"/>
      <c r="D2579" s="56"/>
      <c r="E2579" s="57"/>
      <c r="F2579" s="58"/>
      <c r="G2579" s="59"/>
      <c r="H2579" s="56"/>
      <c r="I2579" s="60" t="str">
        <f aca="false">IF(IsPro,IF($D2579="","",IFERROR(INDEX(Items!$D$5:$D$504,Q2579),"")),IF($D2579="","","PRO PLAN"))</f>
        <v/>
      </c>
      <c r="J2579" s="61" t="str">
        <f aca="false">IF(IsPro,IF($D2579="","",IF($F2579="",IFERROR(INDEX(Items!$G$5:$G$504,Q2579),0),$F2579)),"")</f>
        <v/>
      </c>
      <c r="K2579" s="61" t="str">
        <f aca="false">IF(IsPro,IF($D2579="","",ROUND(N($E2579)*J2579*(1-N($G2579)),2)),"")</f>
        <v/>
      </c>
      <c r="L2579" s="62" t="str">
        <f aca="false">IF(IsPro,IF($D2579="","",IFERROR(INDEX(Items!$F$5:$F$504,Q2579),0)),"")</f>
        <v/>
      </c>
      <c r="M2579" s="61" t="str">
        <f aca="false">IF(IsPro,IF($D2579="","",IF(AND(R2579&lt;&gt;"",INDEX(Parties!$E$5:$E$304,R2579)&lt;&gt;"",INDEX(Parties!$E$5:$E$304,R2579)&lt;&gt;HomeState),0,ROUND(K2579*L2579/2,2))),"")</f>
        <v/>
      </c>
      <c r="N2579" s="61" t="str">
        <f aca="false">IF(IsPro,IF($D2579="","",M2579),"")</f>
        <v/>
      </c>
      <c r="O2579" s="61" t="str">
        <f aca="false">IF(IsPro,IF($D2579="","",IF(AND(R2579&lt;&gt;"",INDEX(Parties!$E$5:$E$304,R2579)&lt;&gt;"",INDEX(Parties!$E$5:$E$304,R2579)&lt;&gt;HomeState),ROUND(K2579*L2579,2),0)),"")</f>
        <v/>
      </c>
      <c r="P2579" s="61" t="str">
        <f aca="false">IF(IsPro,IF($D2579="","",K2579+M2579+N2579+O2579),"")</f>
        <v/>
      </c>
      <c r="Q2579" s="60" t="str">
        <f aca="false">IF(IsPro,IF($D2579="","",IFERROR(MATCH($D2579,Items!$A$5:$A$504,0),"")),"")</f>
        <v/>
      </c>
      <c r="R2579" s="60" t="str">
        <f aca="false">IF(IsPro,IF($C2579="","",IFERROR(MATCH($C2579,Parties!$A$5:$A$304,0),"")),"")</f>
        <v/>
      </c>
      <c r="S2579" s="61" t="str">
        <f aca="false">IF(IsPro,IF($D2579="","",IF(OR($H2579="",$H2579="Credit"),0,P2579)),"")</f>
        <v/>
      </c>
    </row>
    <row r="2580" customFormat="false" ht="15" hidden="false" customHeight="false" outlineLevel="0" collapsed="false">
      <c r="A2580" s="55"/>
      <c r="B2580" s="56"/>
      <c r="C2580" s="56"/>
      <c r="D2580" s="56"/>
      <c r="E2580" s="57"/>
      <c r="F2580" s="58"/>
      <c r="G2580" s="59"/>
      <c r="H2580" s="56"/>
      <c r="I2580" s="60" t="str">
        <f aca="false">IF(IsPro,IF($D2580="","",IFERROR(INDEX(Items!$D$5:$D$504,Q2580),"")),IF($D2580="","","PRO PLAN"))</f>
        <v/>
      </c>
      <c r="J2580" s="61" t="str">
        <f aca="false">IF(IsPro,IF($D2580="","",IF($F2580="",IFERROR(INDEX(Items!$G$5:$G$504,Q2580),0),$F2580)),"")</f>
        <v/>
      </c>
      <c r="K2580" s="61" t="str">
        <f aca="false">IF(IsPro,IF($D2580="","",ROUND(N($E2580)*J2580*(1-N($G2580)),2)),"")</f>
        <v/>
      </c>
      <c r="L2580" s="62" t="str">
        <f aca="false">IF(IsPro,IF($D2580="","",IFERROR(INDEX(Items!$F$5:$F$504,Q2580),0)),"")</f>
        <v/>
      </c>
      <c r="M2580" s="61" t="str">
        <f aca="false">IF(IsPro,IF($D2580="","",IF(AND(R2580&lt;&gt;"",INDEX(Parties!$E$5:$E$304,R2580)&lt;&gt;"",INDEX(Parties!$E$5:$E$304,R2580)&lt;&gt;HomeState),0,ROUND(K2580*L2580/2,2))),"")</f>
        <v/>
      </c>
      <c r="N2580" s="61" t="str">
        <f aca="false">IF(IsPro,IF($D2580="","",M2580),"")</f>
        <v/>
      </c>
      <c r="O2580" s="61" t="str">
        <f aca="false">IF(IsPro,IF($D2580="","",IF(AND(R2580&lt;&gt;"",INDEX(Parties!$E$5:$E$304,R2580)&lt;&gt;"",INDEX(Parties!$E$5:$E$304,R2580)&lt;&gt;HomeState),ROUND(K2580*L2580,2),0)),"")</f>
        <v/>
      </c>
      <c r="P2580" s="61" t="str">
        <f aca="false">IF(IsPro,IF($D2580="","",K2580+M2580+N2580+O2580),"")</f>
        <v/>
      </c>
      <c r="Q2580" s="60" t="str">
        <f aca="false">IF(IsPro,IF($D2580="","",IFERROR(MATCH($D2580,Items!$A$5:$A$504,0),"")),"")</f>
        <v/>
      </c>
      <c r="R2580" s="60" t="str">
        <f aca="false">IF(IsPro,IF($C2580="","",IFERROR(MATCH($C2580,Parties!$A$5:$A$304,0),"")),"")</f>
        <v/>
      </c>
      <c r="S2580" s="61" t="str">
        <f aca="false">IF(IsPro,IF($D2580="","",IF(OR($H2580="",$H2580="Credit"),0,P2580)),"")</f>
        <v/>
      </c>
    </row>
    <row r="2581" customFormat="false" ht="15" hidden="false" customHeight="false" outlineLevel="0" collapsed="false">
      <c r="A2581" s="55"/>
      <c r="B2581" s="56"/>
      <c r="C2581" s="56"/>
      <c r="D2581" s="56"/>
      <c r="E2581" s="57"/>
      <c r="F2581" s="58"/>
      <c r="G2581" s="59"/>
      <c r="H2581" s="56"/>
      <c r="I2581" s="60" t="str">
        <f aca="false">IF(IsPro,IF($D2581="","",IFERROR(INDEX(Items!$D$5:$D$504,Q2581),"")),IF($D2581="","","PRO PLAN"))</f>
        <v/>
      </c>
      <c r="J2581" s="61" t="str">
        <f aca="false">IF(IsPro,IF($D2581="","",IF($F2581="",IFERROR(INDEX(Items!$G$5:$G$504,Q2581),0),$F2581)),"")</f>
        <v/>
      </c>
      <c r="K2581" s="61" t="str">
        <f aca="false">IF(IsPro,IF($D2581="","",ROUND(N($E2581)*J2581*(1-N($G2581)),2)),"")</f>
        <v/>
      </c>
      <c r="L2581" s="62" t="str">
        <f aca="false">IF(IsPro,IF($D2581="","",IFERROR(INDEX(Items!$F$5:$F$504,Q2581),0)),"")</f>
        <v/>
      </c>
      <c r="M2581" s="61" t="str">
        <f aca="false">IF(IsPro,IF($D2581="","",IF(AND(R2581&lt;&gt;"",INDEX(Parties!$E$5:$E$304,R2581)&lt;&gt;"",INDEX(Parties!$E$5:$E$304,R2581)&lt;&gt;HomeState),0,ROUND(K2581*L2581/2,2))),"")</f>
        <v/>
      </c>
      <c r="N2581" s="61" t="str">
        <f aca="false">IF(IsPro,IF($D2581="","",M2581),"")</f>
        <v/>
      </c>
      <c r="O2581" s="61" t="str">
        <f aca="false">IF(IsPro,IF($D2581="","",IF(AND(R2581&lt;&gt;"",INDEX(Parties!$E$5:$E$304,R2581)&lt;&gt;"",INDEX(Parties!$E$5:$E$304,R2581)&lt;&gt;HomeState),ROUND(K2581*L2581,2),0)),"")</f>
        <v/>
      </c>
      <c r="P2581" s="61" t="str">
        <f aca="false">IF(IsPro,IF($D2581="","",K2581+M2581+N2581+O2581),"")</f>
        <v/>
      </c>
      <c r="Q2581" s="60" t="str">
        <f aca="false">IF(IsPro,IF($D2581="","",IFERROR(MATCH($D2581,Items!$A$5:$A$504,0),"")),"")</f>
        <v/>
      </c>
      <c r="R2581" s="60" t="str">
        <f aca="false">IF(IsPro,IF($C2581="","",IFERROR(MATCH($C2581,Parties!$A$5:$A$304,0),"")),"")</f>
        <v/>
      </c>
      <c r="S2581" s="61" t="str">
        <f aca="false">IF(IsPro,IF($D2581="","",IF(OR($H2581="",$H2581="Credit"),0,P2581)),"")</f>
        <v/>
      </c>
    </row>
    <row r="2582" customFormat="false" ht="15" hidden="false" customHeight="false" outlineLevel="0" collapsed="false">
      <c r="A2582" s="55"/>
      <c r="B2582" s="56"/>
      <c r="C2582" s="56"/>
      <c r="D2582" s="56"/>
      <c r="E2582" s="57"/>
      <c r="F2582" s="58"/>
      <c r="G2582" s="59"/>
      <c r="H2582" s="56"/>
      <c r="I2582" s="60" t="str">
        <f aca="false">IF(IsPro,IF($D2582="","",IFERROR(INDEX(Items!$D$5:$D$504,Q2582),"")),IF($D2582="","","PRO PLAN"))</f>
        <v/>
      </c>
      <c r="J2582" s="61" t="str">
        <f aca="false">IF(IsPro,IF($D2582="","",IF($F2582="",IFERROR(INDEX(Items!$G$5:$G$504,Q2582),0),$F2582)),"")</f>
        <v/>
      </c>
      <c r="K2582" s="61" t="str">
        <f aca="false">IF(IsPro,IF($D2582="","",ROUND(N($E2582)*J2582*(1-N($G2582)),2)),"")</f>
        <v/>
      </c>
      <c r="L2582" s="62" t="str">
        <f aca="false">IF(IsPro,IF($D2582="","",IFERROR(INDEX(Items!$F$5:$F$504,Q2582),0)),"")</f>
        <v/>
      </c>
      <c r="M2582" s="61" t="str">
        <f aca="false">IF(IsPro,IF($D2582="","",IF(AND(R2582&lt;&gt;"",INDEX(Parties!$E$5:$E$304,R2582)&lt;&gt;"",INDEX(Parties!$E$5:$E$304,R2582)&lt;&gt;HomeState),0,ROUND(K2582*L2582/2,2))),"")</f>
        <v/>
      </c>
      <c r="N2582" s="61" t="str">
        <f aca="false">IF(IsPro,IF($D2582="","",M2582),"")</f>
        <v/>
      </c>
      <c r="O2582" s="61" t="str">
        <f aca="false">IF(IsPro,IF($D2582="","",IF(AND(R2582&lt;&gt;"",INDEX(Parties!$E$5:$E$304,R2582)&lt;&gt;"",INDEX(Parties!$E$5:$E$304,R2582)&lt;&gt;HomeState),ROUND(K2582*L2582,2),0)),"")</f>
        <v/>
      </c>
      <c r="P2582" s="61" t="str">
        <f aca="false">IF(IsPro,IF($D2582="","",K2582+M2582+N2582+O2582),"")</f>
        <v/>
      </c>
      <c r="Q2582" s="60" t="str">
        <f aca="false">IF(IsPro,IF($D2582="","",IFERROR(MATCH($D2582,Items!$A$5:$A$504,0),"")),"")</f>
        <v/>
      </c>
      <c r="R2582" s="60" t="str">
        <f aca="false">IF(IsPro,IF($C2582="","",IFERROR(MATCH($C2582,Parties!$A$5:$A$304,0),"")),"")</f>
        <v/>
      </c>
      <c r="S2582" s="61" t="str">
        <f aca="false">IF(IsPro,IF($D2582="","",IF(OR($H2582="",$H2582="Credit"),0,P2582)),"")</f>
        <v/>
      </c>
    </row>
    <row r="2583" customFormat="false" ht="15" hidden="false" customHeight="false" outlineLevel="0" collapsed="false">
      <c r="A2583" s="55"/>
      <c r="B2583" s="56"/>
      <c r="C2583" s="56"/>
      <c r="D2583" s="56"/>
      <c r="E2583" s="57"/>
      <c r="F2583" s="58"/>
      <c r="G2583" s="59"/>
      <c r="H2583" s="56"/>
      <c r="I2583" s="60" t="str">
        <f aca="false">IF(IsPro,IF($D2583="","",IFERROR(INDEX(Items!$D$5:$D$504,Q2583),"")),IF($D2583="","","PRO PLAN"))</f>
        <v/>
      </c>
      <c r="J2583" s="61" t="str">
        <f aca="false">IF(IsPro,IF($D2583="","",IF($F2583="",IFERROR(INDEX(Items!$G$5:$G$504,Q2583),0),$F2583)),"")</f>
        <v/>
      </c>
      <c r="K2583" s="61" t="str">
        <f aca="false">IF(IsPro,IF($D2583="","",ROUND(N($E2583)*J2583*(1-N($G2583)),2)),"")</f>
        <v/>
      </c>
      <c r="L2583" s="62" t="str">
        <f aca="false">IF(IsPro,IF($D2583="","",IFERROR(INDEX(Items!$F$5:$F$504,Q2583),0)),"")</f>
        <v/>
      </c>
      <c r="M2583" s="61" t="str">
        <f aca="false">IF(IsPro,IF($D2583="","",IF(AND(R2583&lt;&gt;"",INDEX(Parties!$E$5:$E$304,R2583)&lt;&gt;"",INDEX(Parties!$E$5:$E$304,R2583)&lt;&gt;HomeState),0,ROUND(K2583*L2583/2,2))),"")</f>
        <v/>
      </c>
      <c r="N2583" s="61" t="str">
        <f aca="false">IF(IsPro,IF($D2583="","",M2583),"")</f>
        <v/>
      </c>
      <c r="O2583" s="61" t="str">
        <f aca="false">IF(IsPro,IF($D2583="","",IF(AND(R2583&lt;&gt;"",INDEX(Parties!$E$5:$E$304,R2583)&lt;&gt;"",INDEX(Parties!$E$5:$E$304,R2583)&lt;&gt;HomeState),ROUND(K2583*L2583,2),0)),"")</f>
        <v/>
      </c>
      <c r="P2583" s="61" t="str">
        <f aca="false">IF(IsPro,IF($D2583="","",K2583+M2583+N2583+O2583),"")</f>
        <v/>
      </c>
      <c r="Q2583" s="60" t="str">
        <f aca="false">IF(IsPro,IF($D2583="","",IFERROR(MATCH($D2583,Items!$A$5:$A$504,0),"")),"")</f>
        <v/>
      </c>
      <c r="R2583" s="60" t="str">
        <f aca="false">IF(IsPro,IF($C2583="","",IFERROR(MATCH($C2583,Parties!$A$5:$A$304,0),"")),"")</f>
        <v/>
      </c>
      <c r="S2583" s="61" t="str">
        <f aca="false">IF(IsPro,IF($D2583="","",IF(OR($H2583="",$H2583="Credit"),0,P2583)),"")</f>
        <v/>
      </c>
    </row>
    <row r="2584" customFormat="false" ht="15" hidden="false" customHeight="false" outlineLevel="0" collapsed="false">
      <c r="A2584" s="55"/>
      <c r="B2584" s="56"/>
      <c r="C2584" s="56"/>
      <c r="D2584" s="56"/>
      <c r="E2584" s="57"/>
      <c r="F2584" s="58"/>
      <c r="G2584" s="59"/>
      <c r="H2584" s="56"/>
      <c r="I2584" s="60" t="str">
        <f aca="false">IF(IsPro,IF($D2584="","",IFERROR(INDEX(Items!$D$5:$D$504,Q2584),"")),IF($D2584="","","PRO PLAN"))</f>
        <v/>
      </c>
      <c r="J2584" s="61" t="str">
        <f aca="false">IF(IsPro,IF($D2584="","",IF($F2584="",IFERROR(INDEX(Items!$G$5:$G$504,Q2584),0),$F2584)),"")</f>
        <v/>
      </c>
      <c r="K2584" s="61" t="str">
        <f aca="false">IF(IsPro,IF($D2584="","",ROUND(N($E2584)*J2584*(1-N($G2584)),2)),"")</f>
        <v/>
      </c>
      <c r="L2584" s="62" t="str">
        <f aca="false">IF(IsPro,IF($D2584="","",IFERROR(INDEX(Items!$F$5:$F$504,Q2584),0)),"")</f>
        <v/>
      </c>
      <c r="M2584" s="61" t="str">
        <f aca="false">IF(IsPro,IF($D2584="","",IF(AND(R2584&lt;&gt;"",INDEX(Parties!$E$5:$E$304,R2584)&lt;&gt;"",INDEX(Parties!$E$5:$E$304,R2584)&lt;&gt;HomeState),0,ROUND(K2584*L2584/2,2))),"")</f>
        <v/>
      </c>
      <c r="N2584" s="61" t="str">
        <f aca="false">IF(IsPro,IF($D2584="","",M2584),"")</f>
        <v/>
      </c>
      <c r="O2584" s="61" t="str">
        <f aca="false">IF(IsPro,IF($D2584="","",IF(AND(R2584&lt;&gt;"",INDEX(Parties!$E$5:$E$304,R2584)&lt;&gt;"",INDEX(Parties!$E$5:$E$304,R2584)&lt;&gt;HomeState),ROUND(K2584*L2584,2),0)),"")</f>
        <v/>
      </c>
      <c r="P2584" s="61" t="str">
        <f aca="false">IF(IsPro,IF($D2584="","",K2584+M2584+N2584+O2584),"")</f>
        <v/>
      </c>
      <c r="Q2584" s="60" t="str">
        <f aca="false">IF(IsPro,IF($D2584="","",IFERROR(MATCH($D2584,Items!$A$5:$A$504,0),"")),"")</f>
        <v/>
      </c>
      <c r="R2584" s="60" t="str">
        <f aca="false">IF(IsPro,IF($C2584="","",IFERROR(MATCH($C2584,Parties!$A$5:$A$304,0),"")),"")</f>
        <v/>
      </c>
      <c r="S2584" s="61" t="str">
        <f aca="false">IF(IsPro,IF($D2584="","",IF(OR($H2584="",$H2584="Credit"),0,P2584)),"")</f>
        <v/>
      </c>
    </row>
    <row r="2585" customFormat="false" ht="15" hidden="false" customHeight="false" outlineLevel="0" collapsed="false">
      <c r="A2585" s="55"/>
      <c r="B2585" s="56"/>
      <c r="C2585" s="56"/>
      <c r="D2585" s="56"/>
      <c r="E2585" s="57"/>
      <c r="F2585" s="58"/>
      <c r="G2585" s="59"/>
      <c r="H2585" s="56"/>
      <c r="I2585" s="60" t="str">
        <f aca="false">IF(IsPro,IF($D2585="","",IFERROR(INDEX(Items!$D$5:$D$504,Q2585),"")),IF($D2585="","","PRO PLAN"))</f>
        <v/>
      </c>
      <c r="J2585" s="61" t="str">
        <f aca="false">IF(IsPro,IF($D2585="","",IF($F2585="",IFERROR(INDEX(Items!$G$5:$G$504,Q2585),0),$F2585)),"")</f>
        <v/>
      </c>
      <c r="K2585" s="61" t="str">
        <f aca="false">IF(IsPro,IF($D2585="","",ROUND(N($E2585)*J2585*(1-N($G2585)),2)),"")</f>
        <v/>
      </c>
      <c r="L2585" s="62" t="str">
        <f aca="false">IF(IsPro,IF($D2585="","",IFERROR(INDEX(Items!$F$5:$F$504,Q2585),0)),"")</f>
        <v/>
      </c>
      <c r="M2585" s="61" t="str">
        <f aca="false">IF(IsPro,IF($D2585="","",IF(AND(R2585&lt;&gt;"",INDEX(Parties!$E$5:$E$304,R2585)&lt;&gt;"",INDEX(Parties!$E$5:$E$304,R2585)&lt;&gt;HomeState),0,ROUND(K2585*L2585/2,2))),"")</f>
        <v/>
      </c>
      <c r="N2585" s="61" t="str">
        <f aca="false">IF(IsPro,IF($D2585="","",M2585),"")</f>
        <v/>
      </c>
      <c r="O2585" s="61" t="str">
        <f aca="false">IF(IsPro,IF($D2585="","",IF(AND(R2585&lt;&gt;"",INDEX(Parties!$E$5:$E$304,R2585)&lt;&gt;"",INDEX(Parties!$E$5:$E$304,R2585)&lt;&gt;HomeState),ROUND(K2585*L2585,2),0)),"")</f>
        <v/>
      </c>
      <c r="P2585" s="61" t="str">
        <f aca="false">IF(IsPro,IF($D2585="","",K2585+M2585+N2585+O2585),"")</f>
        <v/>
      </c>
      <c r="Q2585" s="60" t="str">
        <f aca="false">IF(IsPro,IF($D2585="","",IFERROR(MATCH($D2585,Items!$A$5:$A$504,0),"")),"")</f>
        <v/>
      </c>
      <c r="R2585" s="60" t="str">
        <f aca="false">IF(IsPro,IF($C2585="","",IFERROR(MATCH($C2585,Parties!$A$5:$A$304,0),"")),"")</f>
        <v/>
      </c>
      <c r="S2585" s="61" t="str">
        <f aca="false">IF(IsPro,IF($D2585="","",IF(OR($H2585="",$H2585="Credit"),0,P2585)),"")</f>
        <v/>
      </c>
    </row>
    <row r="2586" customFormat="false" ht="15" hidden="false" customHeight="false" outlineLevel="0" collapsed="false">
      <c r="A2586" s="55"/>
      <c r="B2586" s="56"/>
      <c r="C2586" s="56"/>
      <c r="D2586" s="56"/>
      <c r="E2586" s="57"/>
      <c r="F2586" s="58"/>
      <c r="G2586" s="59"/>
      <c r="H2586" s="56"/>
      <c r="I2586" s="60" t="str">
        <f aca="false">IF(IsPro,IF($D2586="","",IFERROR(INDEX(Items!$D$5:$D$504,Q2586),"")),IF($D2586="","","PRO PLAN"))</f>
        <v/>
      </c>
      <c r="J2586" s="61" t="str">
        <f aca="false">IF(IsPro,IF($D2586="","",IF($F2586="",IFERROR(INDEX(Items!$G$5:$G$504,Q2586),0),$F2586)),"")</f>
        <v/>
      </c>
      <c r="K2586" s="61" t="str">
        <f aca="false">IF(IsPro,IF($D2586="","",ROUND(N($E2586)*J2586*(1-N($G2586)),2)),"")</f>
        <v/>
      </c>
      <c r="L2586" s="62" t="str">
        <f aca="false">IF(IsPro,IF($D2586="","",IFERROR(INDEX(Items!$F$5:$F$504,Q2586),0)),"")</f>
        <v/>
      </c>
      <c r="M2586" s="61" t="str">
        <f aca="false">IF(IsPro,IF($D2586="","",IF(AND(R2586&lt;&gt;"",INDEX(Parties!$E$5:$E$304,R2586)&lt;&gt;"",INDEX(Parties!$E$5:$E$304,R2586)&lt;&gt;HomeState),0,ROUND(K2586*L2586/2,2))),"")</f>
        <v/>
      </c>
      <c r="N2586" s="61" t="str">
        <f aca="false">IF(IsPro,IF($D2586="","",M2586),"")</f>
        <v/>
      </c>
      <c r="O2586" s="61" t="str">
        <f aca="false">IF(IsPro,IF($D2586="","",IF(AND(R2586&lt;&gt;"",INDEX(Parties!$E$5:$E$304,R2586)&lt;&gt;"",INDEX(Parties!$E$5:$E$304,R2586)&lt;&gt;HomeState),ROUND(K2586*L2586,2),0)),"")</f>
        <v/>
      </c>
      <c r="P2586" s="61" t="str">
        <f aca="false">IF(IsPro,IF($D2586="","",K2586+M2586+N2586+O2586),"")</f>
        <v/>
      </c>
      <c r="Q2586" s="60" t="str">
        <f aca="false">IF(IsPro,IF($D2586="","",IFERROR(MATCH($D2586,Items!$A$5:$A$504,0),"")),"")</f>
        <v/>
      </c>
      <c r="R2586" s="60" t="str">
        <f aca="false">IF(IsPro,IF($C2586="","",IFERROR(MATCH($C2586,Parties!$A$5:$A$304,0),"")),"")</f>
        <v/>
      </c>
      <c r="S2586" s="61" t="str">
        <f aca="false">IF(IsPro,IF($D2586="","",IF(OR($H2586="",$H2586="Credit"),0,P2586)),"")</f>
        <v/>
      </c>
    </row>
    <row r="2587" customFormat="false" ht="15" hidden="false" customHeight="false" outlineLevel="0" collapsed="false">
      <c r="A2587" s="55"/>
      <c r="B2587" s="56"/>
      <c r="C2587" s="56"/>
      <c r="D2587" s="56"/>
      <c r="E2587" s="57"/>
      <c r="F2587" s="58"/>
      <c r="G2587" s="59"/>
      <c r="H2587" s="56"/>
      <c r="I2587" s="60" t="str">
        <f aca="false">IF(IsPro,IF($D2587="","",IFERROR(INDEX(Items!$D$5:$D$504,Q2587),"")),IF($D2587="","","PRO PLAN"))</f>
        <v/>
      </c>
      <c r="J2587" s="61" t="str">
        <f aca="false">IF(IsPro,IF($D2587="","",IF($F2587="",IFERROR(INDEX(Items!$G$5:$G$504,Q2587),0),$F2587)),"")</f>
        <v/>
      </c>
      <c r="K2587" s="61" t="str">
        <f aca="false">IF(IsPro,IF($D2587="","",ROUND(N($E2587)*J2587*(1-N($G2587)),2)),"")</f>
        <v/>
      </c>
      <c r="L2587" s="62" t="str">
        <f aca="false">IF(IsPro,IF($D2587="","",IFERROR(INDEX(Items!$F$5:$F$504,Q2587),0)),"")</f>
        <v/>
      </c>
      <c r="M2587" s="61" t="str">
        <f aca="false">IF(IsPro,IF($D2587="","",IF(AND(R2587&lt;&gt;"",INDEX(Parties!$E$5:$E$304,R2587)&lt;&gt;"",INDEX(Parties!$E$5:$E$304,R2587)&lt;&gt;HomeState),0,ROUND(K2587*L2587/2,2))),"")</f>
        <v/>
      </c>
      <c r="N2587" s="61" t="str">
        <f aca="false">IF(IsPro,IF($D2587="","",M2587),"")</f>
        <v/>
      </c>
      <c r="O2587" s="61" t="str">
        <f aca="false">IF(IsPro,IF($D2587="","",IF(AND(R2587&lt;&gt;"",INDEX(Parties!$E$5:$E$304,R2587)&lt;&gt;"",INDEX(Parties!$E$5:$E$304,R2587)&lt;&gt;HomeState),ROUND(K2587*L2587,2),0)),"")</f>
        <v/>
      </c>
      <c r="P2587" s="61" t="str">
        <f aca="false">IF(IsPro,IF($D2587="","",K2587+M2587+N2587+O2587),"")</f>
        <v/>
      </c>
      <c r="Q2587" s="60" t="str">
        <f aca="false">IF(IsPro,IF($D2587="","",IFERROR(MATCH($D2587,Items!$A$5:$A$504,0),"")),"")</f>
        <v/>
      </c>
      <c r="R2587" s="60" t="str">
        <f aca="false">IF(IsPro,IF($C2587="","",IFERROR(MATCH($C2587,Parties!$A$5:$A$304,0),"")),"")</f>
        <v/>
      </c>
      <c r="S2587" s="61" t="str">
        <f aca="false">IF(IsPro,IF($D2587="","",IF(OR($H2587="",$H2587="Credit"),0,P2587)),"")</f>
        <v/>
      </c>
    </row>
    <row r="2588" customFormat="false" ht="15" hidden="false" customHeight="false" outlineLevel="0" collapsed="false">
      <c r="A2588" s="55"/>
      <c r="B2588" s="56"/>
      <c r="C2588" s="56"/>
      <c r="D2588" s="56"/>
      <c r="E2588" s="57"/>
      <c r="F2588" s="58"/>
      <c r="G2588" s="59"/>
      <c r="H2588" s="56"/>
      <c r="I2588" s="60" t="str">
        <f aca="false">IF(IsPro,IF($D2588="","",IFERROR(INDEX(Items!$D$5:$D$504,Q2588),"")),IF($D2588="","","PRO PLAN"))</f>
        <v/>
      </c>
      <c r="J2588" s="61" t="str">
        <f aca="false">IF(IsPro,IF($D2588="","",IF($F2588="",IFERROR(INDEX(Items!$G$5:$G$504,Q2588),0),$F2588)),"")</f>
        <v/>
      </c>
      <c r="K2588" s="61" t="str">
        <f aca="false">IF(IsPro,IF($D2588="","",ROUND(N($E2588)*J2588*(1-N($G2588)),2)),"")</f>
        <v/>
      </c>
      <c r="L2588" s="62" t="str">
        <f aca="false">IF(IsPro,IF($D2588="","",IFERROR(INDEX(Items!$F$5:$F$504,Q2588),0)),"")</f>
        <v/>
      </c>
      <c r="M2588" s="61" t="str">
        <f aca="false">IF(IsPro,IF($D2588="","",IF(AND(R2588&lt;&gt;"",INDEX(Parties!$E$5:$E$304,R2588)&lt;&gt;"",INDEX(Parties!$E$5:$E$304,R2588)&lt;&gt;HomeState),0,ROUND(K2588*L2588/2,2))),"")</f>
        <v/>
      </c>
      <c r="N2588" s="61" t="str">
        <f aca="false">IF(IsPro,IF($D2588="","",M2588),"")</f>
        <v/>
      </c>
      <c r="O2588" s="61" t="str">
        <f aca="false">IF(IsPro,IF($D2588="","",IF(AND(R2588&lt;&gt;"",INDEX(Parties!$E$5:$E$304,R2588)&lt;&gt;"",INDEX(Parties!$E$5:$E$304,R2588)&lt;&gt;HomeState),ROUND(K2588*L2588,2),0)),"")</f>
        <v/>
      </c>
      <c r="P2588" s="61" t="str">
        <f aca="false">IF(IsPro,IF($D2588="","",K2588+M2588+N2588+O2588),"")</f>
        <v/>
      </c>
      <c r="Q2588" s="60" t="str">
        <f aca="false">IF(IsPro,IF($D2588="","",IFERROR(MATCH($D2588,Items!$A$5:$A$504,0),"")),"")</f>
        <v/>
      </c>
      <c r="R2588" s="60" t="str">
        <f aca="false">IF(IsPro,IF($C2588="","",IFERROR(MATCH($C2588,Parties!$A$5:$A$304,0),"")),"")</f>
        <v/>
      </c>
      <c r="S2588" s="61" t="str">
        <f aca="false">IF(IsPro,IF($D2588="","",IF(OR($H2588="",$H2588="Credit"),0,P2588)),"")</f>
        <v/>
      </c>
    </row>
    <row r="2589" customFormat="false" ht="15" hidden="false" customHeight="false" outlineLevel="0" collapsed="false">
      <c r="A2589" s="55"/>
      <c r="B2589" s="56"/>
      <c r="C2589" s="56"/>
      <c r="D2589" s="56"/>
      <c r="E2589" s="57"/>
      <c r="F2589" s="58"/>
      <c r="G2589" s="59"/>
      <c r="H2589" s="56"/>
      <c r="I2589" s="60" t="str">
        <f aca="false">IF(IsPro,IF($D2589="","",IFERROR(INDEX(Items!$D$5:$D$504,Q2589),"")),IF($D2589="","","PRO PLAN"))</f>
        <v/>
      </c>
      <c r="J2589" s="61" t="str">
        <f aca="false">IF(IsPro,IF($D2589="","",IF($F2589="",IFERROR(INDEX(Items!$G$5:$G$504,Q2589),0),$F2589)),"")</f>
        <v/>
      </c>
      <c r="K2589" s="61" t="str">
        <f aca="false">IF(IsPro,IF($D2589="","",ROUND(N($E2589)*J2589*(1-N($G2589)),2)),"")</f>
        <v/>
      </c>
      <c r="L2589" s="62" t="str">
        <f aca="false">IF(IsPro,IF($D2589="","",IFERROR(INDEX(Items!$F$5:$F$504,Q2589),0)),"")</f>
        <v/>
      </c>
      <c r="M2589" s="61" t="str">
        <f aca="false">IF(IsPro,IF($D2589="","",IF(AND(R2589&lt;&gt;"",INDEX(Parties!$E$5:$E$304,R2589)&lt;&gt;"",INDEX(Parties!$E$5:$E$304,R2589)&lt;&gt;HomeState),0,ROUND(K2589*L2589/2,2))),"")</f>
        <v/>
      </c>
      <c r="N2589" s="61" t="str">
        <f aca="false">IF(IsPro,IF($D2589="","",M2589),"")</f>
        <v/>
      </c>
      <c r="O2589" s="61" t="str">
        <f aca="false">IF(IsPro,IF($D2589="","",IF(AND(R2589&lt;&gt;"",INDEX(Parties!$E$5:$E$304,R2589)&lt;&gt;"",INDEX(Parties!$E$5:$E$304,R2589)&lt;&gt;HomeState),ROUND(K2589*L2589,2),0)),"")</f>
        <v/>
      </c>
      <c r="P2589" s="61" t="str">
        <f aca="false">IF(IsPro,IF($D2589="","",K2589+M2589+N2589+O2589),"")</f>
        <v/>
      </c>
      <c r="Q2589" s="60" t="str">
        <f aca="false">IF(IsPro,IF($D2589="","",IFERROR(MATCH($D2589,Items!$A$5:$A$504,0),"")),"")</f>
        <v/>
      </c>
      <c r="R2589" s="60" t="str">
        <f aca="false">IF(IsPro,IF($C2589="","",IFERROR(MATCH($C2589,Parties!$A$5:$A$304,0),"")),"")</f>
        <v/>
      </c>
      <c r="S2589" s="61" t="str">
        <f aca="false">IF(IsPro,IF($D2589="","",IF(OR($H2589="",$H2589="Credit"),0,P2589)),"")</f>
        <v/>
      </c>
    </row>
    <row r="2590" customFormat="false" ht="15" hidden="false" customHeight="false" outlineLevel="0" collapsed="false">
      <c r="A2590" s="55"/>
      <c r="B2590" s="56"/>
      <c r="C2590" s="56"/>
      <c r="D2590" s="56"/>
      <c r="E2590" s="57"/>
      <c r="F2590" s="58"/>
      <c r="G2590" s="59"/>
      <c r="H2590" s="56"/>
      <c r="I2590" s="60" t="str">
        <f aca="false">IF(IsPro,IF($D2590="","",IFERROR(INDEX(Items!$D$5:$D$504,Q2590),"")),IF($D2590="","","PRO PLAN"))</f>
        <v/>
      </c>
      <c r="J2590" s="61" t="str">
        <f aca="false">IF(IsPro,IF($D2590="","",IF($F2590="",IFERROR(INDEX(Items!$G$5:$G$504,Q2590),0),$F2590)),"")</f>
        <v/>
      </c>
      <c r="K2590" s="61" t="str">
        <f aca="false">IF(IsPro,IF($D2590="","",ROUND(N($E2590)*J2590*(1-N($G2590)),2)),"")</f>
        <v/>
      </c>
      <c r="L2590" s="62" t="str">
        <f aca="false">IF(IsPro,IF($D2590="","",IFERROR(INDEX(Items!$F$5:$F$504,Q2590),0)),"")</f>
        <v/>
      </c>
      <c r="M2590" s="61" t="str">
        <f aca="false">IF(IsPro,IF($D2590="","",IF(AND(R2590&lt;&gt;"",INDEX(Parties!$E$5:$E$304,R2590)&lt;&gt;"",INDEX(Parties!$E$5:$E$304,R2590)&lt;&gt;HomeState),0,ROUND(K2590*L2590/2,2))),"")</f>
        <v/>
      </c>
      <c r="N2590" s="61" t="str">
        <f aca="false">IF(IsPro,IF($D2590="","",M2590),"")</f>
        <v/>
      </c>
      <c r="O2590" s="61" t="str">
        <f aca="false">IF(IsPro,IF($D2590="","",IF(AND(R2590&lt;&gt;"",INDEX(Parties!$E$5:$E$304,R2590)&lt;&gt;"",INDEX(Parties!$E$5:$E$304,R2590)&lt;&gt;HomeState),ROUND(K2590*L2590,2),0)),"")</f>
        <v/>
      </c>
      <c r="P2590" s="61" t="str">
        <f aca="false">IF(IsPro,IF($D2590="","",K2590+M2590+N2590+O2590),"")</f>
        <v/>
      </c>
      <c r="Q2590" s="60" t="str">
        <f aca="false">IF(IsPro,IF($D2590="","",IFERROR(MATCH($D2590,Items!$A$5:$A$504,0),"")),"")</f>
        <v/>
      </c>
      <c r="R2590" s="60" t="str">
        <f aca="false">IF(IsPro,IF($C2590="","",IFERROR(MATCH($C2590,Parties!$A$5:$A$304,0),"")),"")</f>
        <v/>
      </c>
      <c r="S2590" s="61" t="str">
        <f aca="false">IF(IsPro,IF($D2590="","",IF(OR($H2590="",$H2590="Credit"),0,P2590)),"")</f>
        <v/>
      </c>
    </row>
    <row r="2591" customFormat="false" ht="15" hidden="false" customHeight="false" outlineLevel="0" collapsed="false">
      <c r="A2591" s="55"/>
      <c r="B2591" s="56"/>
      <c r="C2591" s="56"/>
      <c r="D2591" s="56"/>
      <c r="E2591" s="57"/>
      <c r="F2591" s="58"/>
      <c r="G2591" s="59"/>
      <c r="H2591" s="56"/>
      <c r="I2591" s="60" t="str">
        <f aca="false">IF(IsPro,IF($D2591="","",IFERROR(INDEX(Items!$D$5:$D$504,Q2591),"")),IF($D2591="","","PRO PLAN"))</f>
        <v/>
      </c>
      <c r="J2591" s="61" t="str">
        <f aca="false">IF(IsPro,IF($D2591="","",IF($F2591="",IFERROR(INDEX(Items!$G$5:$G$504,Q2591),0),$F2591)),"")</f>
        <v/>
      </c>
      <c r="K2591" s="61" t="str">
        <f aca="false">IF(IsPro,IF($D2591="","",ROUND(N($E2591)*J2591*(1-N($G2591)),2)),"")</f>
        <v/>
      </c>
      <c r="L2591" s="62" t="str">
        <f aca="false">IF(IsPro,IF($D2591="","",IFERROR(INDEX(Items!$F$5:$F$504,Q2591),0)),"")</f>
        <v/>
      </c>
      <c r="M2591" s="61" t="str">
        <f aca="false">IF(IsPro,IF($D2591="","",IF(AND(R2591&lt;&gt;"",INDEX(Parties!$E$5:$E$304,R2591)&lt;&gt;"",INDEX(Parties!$E$5:$E$304,R2591)&lt;&gt;HomeState),0,ROUND(K2591*L2591/2,2))),"")</f>
        <v/>
      </c>
      <c r="N2591" s="61" t="str">
        <f aca="false">IF(IsPro,IF($D2591="","",M2591),"")</f>
        <v/>
      </c>
      <c r="O2591" s="61" t="str">
        <f aca="false">IF(IsPro,IF($D2591="","",IF(AND(R2591&lt;&gt;"",INDEX(Parties!$E$5:$E$304,R2591)&lt;&gt;"",INDEX(Parties!$E$5:$E$304,R2591)&lt;&gt;HomeState),ROUND(K2591*L2591,2),0)),"")</f>
        <v/>
      </c>
      <c r="P2591" s="61" t="str">
        <f aca="false">IF(IsPro,IF($D2591="","",K2591+M2591+N2591+O2591),"")</f>
        <v/>
      </c>
      <c r="Q2591" s="60" t="str">
        <f aca="false">IF(IsPro,IF($D2591="","",IFERROR(MATCH($D2591,Items!$A$5:$A$504,0),"")),"")</f>
        <v/>
      </c>
      <c r="R2591" s="60" t="str">
        <f aca="false">IF(IsPro,IF($C2591="","",IFERROR(MATCH($C2591,Parties!$A$5:$A$304,0),"")),"")</f>
        <v/>
      </c>
      <c r="S2591" s="61" t="str">
        <f aca="false">IF(IsPro,IF($D2591="","",IF(OR($H2591="",$H2591="Credit"),0,P2591)),"")</f>
        <v/>
      </c>
    </row>
    <row r="2592" customFormat="false" ht="15" hidden="false" customHeight="false" outlineLevel="0" collapsed="false">
      <c r="A2592" s="55"/>
      <c r="B2592" s="56"/>
      <c r="C2592" s="56"/>
      <c r="D2592" s="56"/>
      <c r="E2592" s="57"/>
      <c r="F2592" s="58"/>
      <c r="G2592" s="59"/>
      <c r="H2592" s="56"/>
      <c r="I2592" s="60" t="str">
        <f aca="false">IF(IsPro,IF($D2592="","",IFERROR(INDEX(Items!$D$5:$D$504,Q2592),"")),IF($D2592="","","PRO PLAN"))</f>
        <v/>
      </c>
      <c r="J2592" s="61" t="str">
        <f aca="false">IF(IsPro,IF($D2592="","",IF($F2592="",IFERROR(INDEX(Items!$G$5:$G$504,Q2592),0),$F2592)),"")</f>
        <v/>
      </c>
      <c r="K2592" s="61" t="str">
        <f aca="false">IF(IsPro,IF($D2592="","",ROUND(N($E2592)*J2592*(1-N($G2592)),2)),"")</f>
        <v/>
      </c>
      <c r="L2592" s="62" t="str">
        <f aca="false">IF(IsPro,IF($D2592="","",IFERROR(INDEX(Items!$F$5:$F$504,Q2592),0)),"")</f>
        <v/>
      </c>
      <c r="M2592" s="61" t="str">
        <f aca="false">IF(IsPro,IF($D2592="","",IF(AND(R2592&lt;&gt;"",INDEX(Parties!$E$5:$E$304,R2592)&lt;&gt;"",INDEX(Parties!$E$5:$E$304,R2592)&lt;&gt;HomeState),0,ROUND(K2592*L2592/2,2))),"")</f>
        <v/>
      </c>
      <c r="N2592" s="61" t="str">
        <f aca="false">IF(IsPro,IF($D2592="","",M2592),"")</f>
        <v/>
      </c>
      <c r="O2592" s="61" t="str">
        <f aca="false">IF(IsPro,IF($D2592="","",IF(AND(R2592&lt;&gt;"",INDEX(Parties!$E$5:$E$304,R2592)&lt;&gt;"",INDEX(Parties!$E$5:$E$304,R2592)&lt;&gt;HomeState),ROUND(K2592*L2592,2),0)),"")</f>
        <v/>
      </c>
      <c r="P2592" s="61" t="str">
        <f aca="false">IF(IsPro,IF($D2592="","",K2592+M2592+N2592+O2592),"")</f>
        <v/>
      </c>
      <c r="Q2592" s="60" t="str">
        <f aca="false">IF(IsPro,IF($D2592="","",IFERROR(MATCH($D2592,Items!$A$5:$A$504,0),"")),"")</f>
        <v/>
      </c>
      <c r="R2592" s="60" t="str">
        <f aca="false">IF(IsPro,IF($C2592="","",IFERROR(MATCH($C2592,Parties!$A$5:$A$304,0),"")),"")</f>
        <v/>
      </c>
      <c r="S2592" s="61" t="str">
        <f aca="false">IF(IsPro,IF($D2592="","",IF(OR($H2592="",$H2592="Credit"),0,P2592)),"")</f>
        <v/>
      </c>
    </row>
    <row r="2593" customFormat="false" ht="15" hidden="false" customHeight="false" outlineLevel="0" collapsed="false">
      <c r="A2593" s="55"/>
      <c r="B2593" s="56"/>
      <c r="C2593" s="56"/>
      <c r="D2593" s="56"/>
      <c r="E2593" s="57"/>
      <c r="F2593" s="58"/>
      <c r="G2593" s="59"/>
      <c r="H2593" s="56"/>
      <c r="I2593" s="60" t="str">
        <f aca="false">IF(IsPro,IF($D2593="","",IFERROR(INDEX(Items!$D$5:$D$504,Q2593),"")),IF($D2593="","","PRO PLAN"))</f>
        <v/>
      </c>
      <c r="J2593" s="61" t="str">
        <f aca="false">IF(IsPro,IF($D2593="","",IF($F2593="",IFERROR(INDEX(Items!$G$5:$G$504,Q2593),0),$F2593)),"")</f>
        <v/>
      </c>
      <c r="K2593" s="61" t="str">
        <f aca="false">IF(IsPro,IF($D2593="","",ROUND(N($E2593)*J2593*(1-N($G2593)),2)),"")</f>
        <v/>
      </c>
      <c r="L2593" s="62" t="str">
        <f aca="false">IF(IsPro,IF($D2593="","",IFERROR(INDEX(Items!$F$5:$F$504,Q2593),0)),"")</f>
        <v/>
      </c>
      <c r="M2593" s="61" t="str">
        <f aca="false">IF(IsPro,IF($D2593="","",IF(AND(R2593&lt;&gt;"",INDEX(Parties!$E$5:$E$304,R2593)&lt;&gt;"",INDEX(Parties!$E$5:$E$304,R2593)&lt;&gt;HomeState),0,ROUND(K2593*L2593/2,2))),"")</f>
        <v/>
      </c>
      <c r="N2593" s="61" t="str">
        <f aca="false">IF(IsPro,IF($D2593="","",M2593),"")</f>
        <v/>
      </c>
      <c r="O2593" s="61" t="str">
        <f aca="false">IF(IsPro,IF($D2593="","",IF(AND(R2593&lt;&gt;"",INDEX(Parties!$E$5:$E$304,R2593)&lt;&gt;"",INDEX(Parties!$E$5:$E$304,R2593)&lt;&gt;HomeState),ROUND(K2593*L2593,2),0)),"")</f>
        <v/>
      </c>
      <c r="P2593" s="61" t="str">
        <f aca="false">IF(IsPro,IF($D2593="","",K2593+M2593+N2593+O2593),"")</f>
        <v/>
      </c>
      <c r="Q2593" s="60" t="str">
        <f aca="false">IF(IsPro,IF($D2593="","",IFERROR(MATCH($D2593,Items!$A$5:$A$504,0),"")),"")</f>
        <v/>
      </c>
      <c r="R2593" s="60" t="str">
        <f aca="false">IF(IsPro,IF($C2593="","",IFERROR(MATCH($C2593,Parties!$A$5:$A$304,0),"")),"")</f>
        <v/>
      </c>
      <c r="S2593" s="61" t="str">
        <f aca="false">IF(IsPro,IF($D2593="","",IF(OR($H2593="",$H2593="Credit"),0,P2593)),"")</f>
        <v/>
      </c>
    </row>
    <row r="2594" customFormat="false" ht="15" hidden="false" customHeight="false" outlineLevel="0" collapsed="false">
      <c r="A2594" s="55"/>
      <c r="B2594" s="56"/>
      <c r="C2594" s="56"/>
      <c r="D2594" s="56"/>
      <c r="E2594" s="57"/>
      <c r="F2594" s="58"/>
      <c r="G2594" s="59"/>
      <c r="H2594" s="56"/>
      <c r="I2594" s="60" t="str">
        <f aca="false">IF(IsPro,IF($D2594="","",IFERROR(INDEX(Items!$D$5:$D$504,Q2594),"")),IF($D2594="","","PRO PLAN"))</f>
        <v/>
      </c>
      <c r="J2594" s="61" t="str">
        <f aca="false">IF(IsPro,IF($D2594="","",IF($F2594="",IFERROR(INDEX(Items!$G$5:$G$504,Q2594),0),$F2594)),"")</f>
        <v/>
      </c>
      <c r="K2594" s="61" t="str">
        <f aca="false">IF(IsPro,IF($D2594="","",ROUND(N($E2594)*J2594*(1-N($G2594)),2)),"")</f>
        <v/>
      </c>
      <c r="L2594" s="62" t="str">
        <f aca="false">IF(IsPro,IF($D2594="","",IFERROR(INDEX(Items!$F$5:$F$504,Q2594),0)),"")</f>
        <v/>
      </c>
      <c r="M2594" s="61" t="str">
        <f aca="false">IF(IsPro,IF($D2594="","",IF(AND(R2594&lt;&gt;"",INDEX(Parties!$E$5:$E$304,R2594)&lt;&gt;"",INDEX(Parties!$E$5:$E$304,R2594)&lt;&gt;HomeState),0,ROUND(K2594*L2594/2,2))),"")</f>
        <v/>
      </c>
      <c r="N2594" s="61" t="str">
        <f aca="false">IF(IsPro,IF($D2594="","",M2594),"")</f>
        <v/>
      </c>
      <c r="O2594" s="61" t="str">
        <f aca="false">IF(IsPro,IF($D2594="","",IF(AND(R2594&lt;&gt;"",INDEX(Parties!$E$5:$E$304,R2594)&lt;&gt;"",INDEX(Parties!$E$5:$E$304,R2594)&lt;&gt;HomeState),ROUND(K2594*L2594,2),0)),"")</f>
        <v/>
      </c>
      <c r="P2594" s="61" t="str">
        <f aca="false">IF(IsPro,IF($D2594="","",K2594+M2594+N2594+O2594),"")</f>
        <v/>
      </c>
      <c r="Q2594" s="60" t="str">
        <f aca="false">IF(IsPro,IF($D2594="","",IFERROR(MATCH($D2594,Items!$A$5:$A$504,0),"")),"")</f>
        <v/>
      </c>
      <c r="R2594" s="60" t="str">
        <f aca="false">IF(IsPro,IF($C2594="","",IFERROR(MATCH($C2594,Parties!$A$5:$A$304,0),"")),"")</f>
        <v/>
      </c>
      <c r="S2594" s="61" t="str">
        <f aca="false">IF(IsPro,IF($D2594="","",IF(OR($H2594="",$H2594="Credit"),0,P2594)),"")</f>
        <v/>
      </c>
    </row>
    <row r="2595" customFormat="false" ht="15" hidden="false" customHeight="false" outlineLevel="0" collapsed="false">
      <c r="A2595" s="55"/>
      <c r="B2595" s="56"/>
      <c r="C2595" s="56"/>
      <c r="D2595" s="56"/>
      <c r="E2595" s="57"/>
      <c r="F2595" s="58"/>
      <c r="G2595" s="59"/>
      <c r="H2595" s="56"/>
      <c r="I2595" s="60" t="str">
        <f aca="false">IF(IsPro,IF($D2595="","",IFERROR(INDEX(Items!$D$5:$D$504,Q2595),"")),IF($D2595="","","PRO PLAN"))</f>
        <v/>
      </c>
      <c r="J2595" s="61" t="str">
        <f aca="false">IF(IsPro,IF($D2595="","",IF($F2595="",IFERROR(INDEX(Items!$G$5:$G$504,Q2595),0),$F2595)),"")</f>
        <v/>
      </c>
      <c r="K2595" s="61" t="str">
        <f aca="false">IF(IsPro,IF($D2595="","",ROUND(N($E2595)*J2595*(1-N($G2595)),2)),"")</f>
        <v/>
      </c>
      <c r="L2595" s="62" t="str">
        <f aca="false">IF(IsPro,IF($D2595="","",IFERROR(INDEX(Items!$F$5:$F$504,Q2595),0)),"")</f>
        <v/>
      </c>
      <c r="M2595" s="61" t="str">
        <f aca="false">IF(IsPro,IF($D2595="","",IF(AND(R2595&lt;&gt;"",INDEX(Parties!$E$5:$E$304,R2595)&lt;&gt;"",INDEX(Parties!$E$5:$E$304,R2595)&lt;&gt;HomeState),0,ROUND(K2595*L2595/2,2))),"")</f>
        <v/>
      </c>
      <c r="N2595" s="61" t="str">
        <f aca="false">IF(IsPro,IF($D2595="","",M2595),"")</f>
        <v/>
      </c>
      <c r="O2595" s="61" t="str">
        <f aca="false">IF(IsPro,IF($D2595="","",IF(AND(R2595&lt;&gt;"",INDEX(Parties!$E$5:$E$304,R2595)&lt;&gt;"",INDEX(Parties!$E$5:$E$304,R2595)&lt;&gt;HomeState),ROUND(K2595*L2595,2),0)),"")</f>
        <v/>
      </c>
      <c r="P2595" s="61" t="str">
        <f aca="false">IF(IsPro,IF($D2595="","",K2595+M2595+N2595+O2595),"")</f>
        <v/>
      </c>
      <c r="Q2595" s="60" t="str">
        <f aca="false">IF(IsPro,IF($D2595="","",IFERROR(MATCH($D2595,Items!$A$5:$A$504,0),"")),"")</f>
        <v/>
      </c>
      <c r="R2595" s="60" t="str">
        <f aca="false">IF(IsPro,IF($C2595="","",IFERROR(MATCH($C2595,Parties!$A$5:$A$304,0),"")),"")</f>
        <v/>
      </c>
      <c r="S2595" s="61" t="str">
        <f aca="false">IF(IsPro,IF($D2595="","",IF(OR($H2595="",$H2595="Credit"),0,P2595)),"")</f>
        <v/>
      </c>
    </row>
    <row r="2596" customFormat="false" ht="15" hidden="false" customHeight="false" outlineLevel="0" collapsed="false">
      <c r="A2596" s="55"/>
      <c r="B2596" s="56"/>
      <c r="C2596" s="56"/>
      <c r="D2596" s="56"/>
      <c r="E2596" s="57"/>
      <c r="F2596" s="58"/>
      <c r="G2596" s="59"/>
      <c r="H2596" s="56"/>
      <c r="I2596" s="60" t="str">
        <f aca="false">IF(IsPro,IF($D2596="","",IFERROR(INDEX(Items!$D$5:$D$504,Q2596),"")),IF($D2596="","","PRO PLAN"))</f>
        <v/>
      </c>
      <c r="J2596" s="61" t="str">
        <f aca="false">IF(IsPro,IF($D2596="","",IF($F2596="",IFERROR(INDEX(Items!$G$5:$G$504,Q2596),0),$F2596)),"")</f>
        <v/>
      </c>
      <c r="K2596" s="61" t="str">
        <f aca="false">IF(IsPro,IF($D2596="","",ROUND(N($E2596)*J2596*(1-N($G2596)),2)),"")</f>
        <v/>
      </c>
      <c r="L2596" s="62" t="str">
        <f aca="false">IF(IsPro,IF($D2596="","",IFERROR(INDEX(Items!$F$5:$F$504,Q2596),0)),"")</f>
        <v/>
      </c>
      <c r="M2596" s="61" t="str">
        <f aca="false">IF(IsPro,IF($D2596="","",IF(AND(R2596&lt;&gt;"",INDEX(Parties!$E$5:$E$304,R2596)&lt;&gt;"",INDEX(Parties!$E$5:$E$304,R2596)&lt;&gt;HomeState),0,ROUND(K2596*L2596/2,2))),"")</f>
        <v/>
      </c>
      <c r="N2596" s="61" t="str">
        <f aca="false">IF(IsPro,IF($D2596="","",M2596),"")</f>
        <v/>
      </c>
      <c r="O2596" s="61" t="str">
        <f aca="false">IF(IsPro,IF($D2596="","",IF(AND(R2596&lt;&gt;"",INDEX(Parties!$E$5:$E$304,R2596)&lt;&gt;"",INDEX(Parties!$E$5:$E$304,R2596)&lt;&gt;HomeState),ROUND(K2596*L2596,2),0)),"")</f>
        <v/>
      </c>
      <c r="P2596" s="61" t="str">
        <f aca="false">IF(IsPro,IF($D2596="","",K2596+M2596+N2596+O2596),"")</f>
        <v/>
      </c>
      <c r="Q2596" s="60" t="str">
        <f aca="false">IF(IsPro,IF($D2596="","",IFERROR(MATCH($D2596,Items!$A$5:$A$504,0),"")),"")</f>
        <v/>
      </c>
      <c r="R2596" s="60" t="str">
        <f aca="false">IF(IsPro,IF($C2596="","",IFERROR(MATCH($C2596,Parties!$A$5:$A$304,0),"")),"")</f>
        <v/>
      </c>
      <c r="S2596" s="61" t="str">
        <f aca="false">IF(IsPro,IF($D2596="","",IF(OR($H2596="",$H2596="Credit"),0,P2596)),"")</f>
        <v/>
      </c>
    </row>
    <row r="2597" customFormat="false" ht="15" hidden="false" customHeight="false" outlineLevel="0" collapsed="false">
      <c r="A2597" s="55"/>
      <c r="B2597" s="56"/>
      <c r="C2597" s="56"/>
      <c r="D2597" s="56"/>
      <c r="E2597" s="57"/>
      <c r="F2597" s="58"/>
      <c r="G2597" s="59"/>
      <c r="H2597" s="56"/>
      <c r="I2597" s="60" t="str">
        <f aca="false">IF(IsPro,IF($D2597="","",IFERROR(INDEX(Items!$D$5:$D$504,Q2597),"")),IF($D2597="","","PRO PLAN"))</f>
        <v/>
      </c>
      <c r="J2597" s="61" t="str">
        <f aca="false">IF(IsPro,IF($D2597="","",IF($F2597="",IFERROR(INDEX(Items!$G$5:$G$504,Q2597),0),$F2597)),"")</f>
        <v/>
      </c>
      <c r="K2597" s="61" t="str">
        <f aca="false">IF(IsPro,IF($D2597="","",ROUND(N($E2597)*J2597*(1-N($G2597)),2)),"")</f>
        <v/>
      </c>
      <c r="L2597" s="62" t="str">
        <f aca="false">IF(IsPro,IF($D2597="","",IFERROR(INDEX(Items!$F$5:$F$504,Q2597),0)),"")</f>
        <v/>
      </c>
      <c r="M2597" s="61" t="str">
        <f aca="false">IF(IsPro,IF($D2597="","",IF(AND(R2597&lt;&gt;"",INDEX(Parties!$E$5:$E$304,R2597)&lt;&gt;"",INDEX(Parties!$E$5:$E$304,R2597)&lt;&gt;HomeState),0,ROUND(K2597*L2597/2,2))),"")</f>
        <v/>
      </c>
      <c r="N2597" s="61" t="str">
        <f aca="false">IF(IsPro,IF($D2597="","",M2597),"")</f>
        <v/>
      </c>
      <c r="O2597" s="61" t="str">
        <f aca="false">IF(IsPro,IF($D2597="","",IF(AND(R2597&lt;&gt;"",INDEX(Parties!$E$5:$E$304,R2597)&lt;&gt;"",INDEX(Parties!$E$5:$E$304,R2597)&lt;&gt;HomeState),ROUND(K2597*L2597,2),0)),"")</f>
        <v/>
      </c>
      <c r="P2597" s="61" t="str">
        <f aca="false">IF(IsPro,IF($D2597="","",K2597+M2597+N2597+O2597),"")</f>
        <v/>
      </c>
      <c r="Q2597" s="60" t="str">
        <f aca="false">IF(IsPro,IF($D2597="","",IFERROR(MATCH($D2597,Items!$A$5:$A$504,0),"")),"")</f>
        <v/>
      </c>
      <c r="R2597" s="60" t="str">
        <f aca="false">IF(IsPro,IF($C2597="","",IFERROR(MATCH($C2597,Parties!$A$5:$A$304,0),"")),"")</f>
        <v/>
      </c>
      <c r="S2597" s="61" t="str">
        <f aca="false">IF(IsPro,IF($D2597="","",IF(OR($H2597="",$H2597="Credit"),0,P2597)),"")</f>
        <v/>
      </c>
    </row>
    <row r="2598" customFormat="false" ht="15" hidden="false" customHeight="false" outlineLevel="0" collapsed="false">
      <c r="A2598" s="55"/>
      <c r="B2598" s="56"/>
      <c r="C2598" s="56"/>
      <c r="D2598" s="56"/>
      <c r="E2598" s="57"/>
      <c r="F2598" s="58"/>
      <c r="G2598" s="59"/>
      <c r="H2598" s="56"/>
      <c r="I2598" s="60" t="str">
        <f aca="false">IF(IsPro,IF($D2598="","",IFERROR(INDEX(Items!$D$5:$D$504,Q2598),"")),IF($D2598="","","PRO PLAN"))</f>
        <v/>
      </c>
      <c r="J2598" s="61" t="str">
        <f aca="false">IF(IsPro,IF($D2598="","",IF($F2598="",IFERROR(INDEX(Items!$G$5:$G$504,Q2598),0),$F2598)),"")</f>
        <v/>
      </c>
      <c r="K2598" s="61" t="str">
        <f aca="false">IF(IsPro,IF($D2598="","",ROUND(N($E2598)*J2598*(1-N($G2598)),2)),"")</f>
        <v/>
      </c>
      <c r="L2598" s="62" t="str">
        <f aca="false">IF(IsPro,IF($D2598="","",IFERROR(INDEX(Items!$F$5:$F$504,Q2598),0)),"")</f>
        <v/>
      </c>
      <c r="M2598" s="61" t="str">
        <f aca="false">IF(IsPro,IF($D2598="","",IF(AND(R2598&lt;&gt;"",INDEX(Parties!$E$5:$E$304,R2598)&lt;&gt;"",INDEX(Parties!$E$5:$E$304,R2598)&lt;&gt;HomeState),0,ROUND(K2598*L2598/2,2))),"")</f>
        <v/>
      </c>
      <c r="N2598" s="61" t="str">
        <f aca="false">IF(IsPro,IF($D2598="","",M2598),"")</f>
        <v/>
      </c>
      <c r="O2598" s="61" t="str">
        <f aca="false">IF(IsPro,IF($D2598="","",IF(AND(R2598&lt;&gt;"",INDEX(Parties!$E$5:$E$304,R2598)&lt;&gt;"",INDEX(Parties!$E$5:$E$304,R2598)&lt;&gt;HomeState),ROUND(K2598*L2598,2),0)),"")</f>
        <v/>
      </c>
      <c r="P2598" s="61" t="str">
        <f aca="false">IF(IsPro,IF($D2598="","",K2598+M2598+N2598+O2598),"")</f>
        <v/>
      </c>
      <c r="Q2598" s="60" t="str">
        <f aca="false">IF(IsPro,IF($D2598="","",IFERROR(MATCH($D2598,Items!$A$5:$A$504,0),"")),"")</f>
        <v/>
      </c>
      <c r="R2598" s="60" t="str">
        <f aca="false">IF(IsPro,IF($C2598="","",IFERROR(MATCH($C2598,Parties!$A$5:$A$304,0),"")),"")</f>
        <v/>
      </c>
      <c r="S2598" s="61" t="str">
        <f aca="false">IF(IsPro,IF($D2598="","",IF(OR($H2598="",$H2598="Credit"),0,P2598)),"")</f>
        <v/>
      </c>
    </row>
    <row r="2599" customFormat="false" ht="15" hidden="false" customHeight="false" outlineLevel="0" collapsed="false">
      <c r="A2599" s="55"/>
      <c r="B2599" s="56"/>
      <c r="C2599" s="56"/>
      <c r="D2599" s="56"/>
      <c r="E2599" s="57"/>
      <c r="F2599" s="58"/>
      <c r="G2599" s="59"/>
      <c r="H2599" s="56"/>
      <c r="I2599" s="60" t="str">
        <f aca="false">IF(IsPro,IF($D2599="","",IFERROR(INDEX(Items!$D$5:$D$504,Q2599),"")),IF($D2599="","","PRO PLAN"))</f>
        <v/>
      </c>
      <c r="J2599" s="61" t="str">
        <f aca="false">IF(IsPro,IF($D2599="","",IF($F2599="",IFERROR(INDEX(Items!$G$5:$G$504,Q2599),0),$F2599)),"")</f>
        <v/>
      </c>
      <c r="K2599" s="61" t="str">
        <f aca="false">IF(IsPro,IF($D2599="","",ROUND(N($E2599)*J2599*(1-N($G2599)),2)),"")</f>
        <v/>
      </c>
      <c r="L2599" s="62" t="str">
        <f aca="false">IF(IsPro,IF($D2599="","",IFERROR(INDEX(Items!$F$5:$F$504,Q2599),0)),"")</f>
        <v/>
      </c>
      <c r="M2599" s="61" t="str">
        <f aca="false">IF(IsPro,IF($D2599="","",IF(AND(R2599&lt;&gt;"",INDEX(Parties!$E$5:$E$304,R2599)&lt;&gt;"",INDEX(Parties!$E$5:$E$304,R2599)&lt;&gt;HomeState),0,ROUND(K2599*L2599/2,2))),"")</f>
        <v/>
      </c>
      <c r="N2599" s="61" t="str">
        <f aca="false">IF(IsPro,IF($D2599="","",M2599),"")</f>
        <v/>
      </c>
      <c r="O2599" s="61" t="str">
        <f aca="false">IF(IsPro,IF($D2599="","",IF(AND(R2599&lt;&gt;"",INDEX(Parties!$E$5:$E$304,R2599)&lt;&gt;"",INDEX(Parties!$E$5:$E$304,R2599)&lt;&gt;HomeState),ROUND(K2599*L2599,2),0)),"")</f>
        <v/>
      </c>
      <c r="P2599" s="61" t="str">
        <f aca="false">IF(IsPro,IF($D2599="","",K2599+M2599+N2599+O2599),"")</f>
        <v/>
      </c>
      <c r="Q2599" s="60" t="str">
        <f aca="false">IF(IsPro,IF($D2599="","",IFERROR(MATCH($D2599,Items!$A$5:$A$504,0),"")),"")</f>
        <v/>
      </c>
      <c r="R2599" s="60" t="str">
        <f aca="false">IF(IsPro,IF($C2599="","",IFERROR(MATCH($C2599,Parties!$A$5:$A$304,0),"")),"")</f>
        <v/>
      </c>
      <c r="S2599" s="61" t="str">
        <f aca="false">IF(IsPro,IF($D2599="","",IF(OR($H2599="",$H2599="Credit"),0,P2599)),"")</f>
        <v/>
      </c>
    </row>
    <row r="2600" customFormat="false" ht="15" hidden="false" customHeight="false" outlineLevel="0" collapsed="false">
      <c r="A2600" s="55"/>
      <c r="B2600" s="56"/>
      <c r="C2600" s="56"/>
      <c r="D2600" s="56"/>
      <c r="E2600" s="57"/>
      <c r="F2600" s="58"/>
      <c r="G2600" s="59"/>
      <c r="H2600" s="56"/>
      <c r="I2600" s="60" t="str">
        <f aca="false">IF(IsPro,IF($D2600="","",IFERROR(INDEX(Items!$D$5:$D$504,Q2600),"")),IF($D2600="","","PRO PLAN"))</f>
        <v/>
      </c>
      <c r="J2600" s="61" t="str">
        <f aca="false">IF(IsPro,IF($D2600="","",IF($F2600="",IFERROR(INDEX(Items!$G$5:$G$504,Q2600),0),$F2600)),"")</f>
        <v/>
      </c>
      <c r="K2600" s="61" t="str">
        <f aca="false">IF(IsPro,IF($D2600="","",ROUND(N($E2600)*J2600*(1-N($G2600)),2)),"")</f>
        <v/>
      </c>
      <c r="L2600" s="62" t="str">
        <f aca="false">IF(IsPro,IF($D2600="","",IFERROR(INDEX(Items!$F$5:$F$504,Q2600),0)),"")</f>
        <v/>
      </c>
      <c r="M2600" s="61" t="str">
        <f aca="false">IF(IsPro,IF($D2600="","",IF(AND(R2600&lt;&gt;"",INDEX(Parties!$E$5:$E$304,R2600)&lt;&gt;"",INDEX(Parties!$E$5:$E$304,R2600)&lt;&gt;HomeState),0,ROUND(K2600*L2600/2,2))),"")</f>
        <v/>
      </c>
      <c r="N2600" s="61" t="str">
        <f aca="false">IF(IsPro,IF($D2600="","",M2600),"")</f>
        <v/>
      </c>
      <c r="O2600" s="61" t="str">
        <f aca="false">IF(IsPro,IF($D2600="","",IF(AND(R2600&lt;&gt;"",INDEX(Parties!$E$5:$E$304,R2600)&lt;&gt;"",INDEX(Parties!$E$5:$E$304,R2600)&lt;&gt;HomeState),ROUND(K2600*L2600,2),0)),"")</f>
        <v/>
      </c>
      <c r="P2600" s="61" t="str">
        <f aca="false">IF(IsPro,IF($D2600="","",K2600+M2600+N2600+O2600),"")</f>
        <v/>
      </c>
      <c r="Q2600" s="60" t="str">
        <f aca="false">IF(IsPro,IF($D2600="","",IFERROR(MATCH($D2600,Items!$A$5:$A$504,0),"")),"")</f>
        <v/>
      </c>
      <c r="R2600" s="60" t="str">
        <f aca="false">IF(IsPro,IF($C2600="","",IFERROR(MATCH($C2600,Parties!$A$5:$A$304,0),"")),"")</f>
        <v/>
      </c>
      <c r="S2600" s="61" t="str">
        <f aca="false">IF(IsPro,IF($D2600="","",IF(OR($H2600="",$H2600="Credit"),0,P2600)),"")</f>
        <v/>
      </c>
    </row>
    <row r="2601" customFormat="false" ht="15" hidden="false" customHeight="false" outlineLevel="0" collapsed="false">
      <c r="A2601" s="55"/>
      <c r="B2601" s="56"/>
      <c r="C2601" s="56"/>
      <c r="D2601" s="56"/>
      <c r="E2601" s="57"/>
      <c r="F2601" s="58"/>
      <c r="G2601" s="59"/>
      <c r="H2601" s="56"/>
      <c r="I2601" s="60" t="str">
        <f aca="false">IF(IsPro,IF($D2601="","",IFERROR(INDEX(Items!$D$5:$D$504,Q2601),"")),IF($D2601="","","PRO PLAN"))</f>
        <v/>
      </c>
      <c r="J2601" s="61" t="str">
        <f aca="false">IF(IsPro,IF($D2601="","",IF($F2601="",IFERROR(INDEX(Items!$G$5:$G$504,Q2601),0),$F2601)),"")</f>
        <v/>
      </c>
      <c r="K2601" s="61" t="str">
        <f aca="false">IF(IsPro,IF($D2601="","",ROUND(N($E2601)*J2601*(1-N($G2601)),2)),"")</f>
        <v/>
      </c>
      <c r="L2601" s="62" t="str">
        <f aca="false">IF(IsPro,IF($D2601="","",IFERROR(INDEX(Items!$F$5:$F$504,Q2601),0)),"")</f>
        <v/>
      </c>
      <c r="M2601" s="61" t="str">
        <f aca="false">IF(IsPro,IF($D2601="","",IF(AND(R2601&lt;&gt;"",INDEX(Parties!$E$5:$E$304,R2601)&lt;&gt;"",INDEX(Parties!$E$5:$E$304,R2601)&lt;&gt;HomeState),0,ROUND(K2601*L2601/2,2))),"")</f>
        <v/>
      </c>
      <c r="N2601" s="61" t="str">
        <f aca="false">IF(IsPro,IF($D2601="","",M2601),"")</f>
        <v/>
      </c>
      <c r="O2601" s="61" t="str">
        <f aca="false">IF(IsPro,IF($D2601="","",IF(AND(R2601&lt;&gt;"",INDEX(Parties!$E$5:$E$304,R2601)&lt;&gt;"",INDEX(Parties!$E$5:$E$304,R2601)&lt;&gt;HomeState),ROUND(K2601*L2601,2),0)),"")</f>
        <v/>
      </c>
      <c r="P2601" s="61" t="str">
        <f aca="false">IF(IsPro,IF($D2601="","",K2601+M2601+N2601+O2601),"")</f>
        <v/>
      </c>
      <c r="Q2601" s="60" t="str">
        <f aca="false">IF(IsPro,IF($D2601="","",IFERROR(MATCH($D2601,Items!$A$5:$A$504,0),"")),"")</f>
        <v/>
      </c>
      <c r="R2601" s="60" t="str">
        <f aca="false">IF(IsPro,IF($C2601="","",IFERROR(MATCH($C2601,Parties!$A$5:$A$304,0),"")),"")</f>
        <v/>
      </c>
      <c r="S2601" s="61" t="str">
        <f aca="false">IF(IsPro,IF($D2601="","",IF(OR($H2601="",$H2601="Credit"),0,P2601)),"")</f>
        <v/>
      </c>
    </row>
    <row r="2602" customFormat="false" ht="15" hidden="false" customHeight="false" outlineLevel="0" collapsed="false">
      <c r="A2602" s="55"/>
      <c r="B2602" s="56"/>
      <c r="C2602" s="56"/>
      <c r="D2602" s="56"/>
      <c r="E2602" s="57"/>
      <c r="F2602" s="58"/>
      <c r="G2602" s="59"/>
      <c r="H2602" s="56"/>
      <c r="I2602" s="60" t="str">
        <f aca="false">IF(IsPro,IF($D2602="","",IFERROR(INDEX(Items!$D$5:$D$504,Q2602),"")),IF($D2602="","","PRO PLAN"))</f>
        <v/>
      </c>
      <c r="J2602" s="61" t="str">
        <f aca="false">IF(IsPro,IF($D2602="","",IF($F2602="",IFERROR(INDEX(Items!$G$5:$G$504,Q2602),0),$F2602)),"")</f>
        <v/>
      </c>
      <c r="K2602" s="61" t="str">
        <f aca="false">IF(IsPro,IF($D2602="","",ROUND(N($E2602)*J2602*(1-N($G2602)),2)),"")</f>
        <v/>
      </c>
      <c r="L2602" s="62" t="str">
        <f aca="false">IF(IsPro,IF($D2602="","",IFERROR(INDEX(Items!$F$5:$F$504,Q2602),0)),"")</f>
        <v/>
      </c>
      <c r="M2602" s="61" t="str">
        <f aca="false">IF(IsPro,IF($D2602="","",IF(AND(R2602&lt;&gt;"",INDEX(Parties!$E$5:$E$304,R2602)&lt;&gt;"",INDEX(Parties!$E$5:$E$304,R2602)&lt;&gt;HomeState),0,ROUND(K2602*L2602/2,2))),"")</f>
        <v/>
      </c>
      <c r="N2602" s="61" t="str">
        <f aca="false">IF(IsPro,IF($D2602="","",M2602),"")</f>
        <v/>
      </c>
      <c r="O2602" s="61" t="str">
        <f aca="false">IF(IsPro,IF($D2602="","",IF(AND(R2602&lt;&gt;"",INDEX(Parties!$E$5:$E$304,R2602)&lt;&gt;"",INDEX(Parties!$E$5:$E$304,R2602)&lt;&gt;HomeState),ROUND(K2602*L2602,2),0)),"")</f>
        <v/>
      </c>
      <c r="P2602" s="61" t="str">
        <f aca="false">IF(IsPro,IF($D2602="","",K2602+M2602+N2602+O2602),"")</f>
        <v/>
      </c>
      <c r="Q2602" s="60" t="str">
        <f aca="false">IF(IsPro,IF($D2602="","",IFERROR(MATCH($D2602,Items!$A$5:$A$504,0),"")),"")</f>
        <v/>
      </c>
      <c r="R2602" s="60" t="str">
        <f aca="false">IF(IsPro,IF($C2602="","",IFERROR(MATCH($C2602,Parties!$A$5:$A$304,0),"")),"")</f>
        <v/>
      </c>
      <c r="S2602" s="61" t="str">
        <f aca="false">IF(IsPro,IF($D2602="","",IF(OR($H2602="",$H2602="Credit"),0,P2602)),"")</f>
        <v/>
      </c>
    </row>
    <row r="2603" customFormat="false" ht="15" hidden="false" customHeight="false" outlineLevel="0" collapsed="false">
      <c r="A2603" s="55"/>
      <c r="B2603" s="56"/>
      <c r="C2603" s="56"/>
      <c r="D2603" s="56"/>
      <c r="E2603" s="57"/>
      <c r="F2603" s="58"/>
      <c r="G2603" s="59"/>
      <c r="H2603" s="56"/>
      <c r="I2603" s="60" t="str">
        <f aca="false">IF(IsPro,IF($D2603="","",IFERROR(INDEX(Items!$D$5:$D$504,Q2603),"")),IF($D2603="","","PRO PLAN"))</f>
        <v/>
      </c>
      <c r="J2603" s="61" t="str">
        <f aca="false">IF(IsPro,IF($D2603="","",IF($F2603="",IFERROR(INDEX(Items!$G$5:$G$504,Q2603),0),$F2603)),"")</f>
        <v/>
      </c>
      <c r="K2603" s="61" t="str">
        <f aca="false">IF(IsPro,IF($D2603="","",ROUND(N($E2603)*J2603*(1-N($G2603)),2)),"")</f>
        <v/>
      </c>
      <c r="L2603" s="62" t="str">
        <f aca="false">IF(IsPro,IF($D2603="","",IFERROR(INDEX(Items!$F$5:$F$504,Q2603),0)),"")</f>
        <v/>
      </c>
      <c r="M2603" s="61" t="str">
        <f aca="false">IF(IsPro,IF($D2603="","",IF(AND(R2603&lt;&gt;"",INDEX(Parties!$E$5:$E$304,R2603)&lt;&gt;"",INDEX(Parties!$E$5:$E$304,R2603)&lt;&gt;HomeState),0,ROUND(K2603*L2603/2,2))),"")</f>
        <v/>
      </c>
      <c r="N2603" s="61" t="str">
        <f aca="false">IF(IsPro,IF($D2603="","",M2603),"")</f>
        <v/>
      </c>
      <c r="O2603" s="61" t="str">
        <f aca="false">IF(IsPro,IF($D2603="","",IF(AND(R2603&lt;&gt;"",INDEX(Parties!$E$5:$E$304,R2603)&lt;&gt;"",INDEX(Parties!$E$5:$E$304,R2603)&lt;&gt;HomeState),ROUND(K2603*L2603,2),0)),"")</f>
        <v/>
      </c>
      <c r="P2603" s="61" t="str">
        <f aca="false">IF(IsPro,IF($D2603="","",K2603+M2603+N2603+O2603),"")</f>
        <v/>
      </c>
      <c r="Q2603" s="60" t="str">
        <f aca="false">IF(IsPro,IF($D2603="","",IFERROR(MATCH($D2603,Items!$A$5:$A$504,0),"")),"")</f>
        <v/>
      </c>
      <c r="R2603" s="60" t="str">
        <f aca="false">IF(IsPro,IF($C2603="","",IFERROR(MATCH($C2603,Parties!$A$5:$A$304,0),"")),"")</f>
        <v/>
      </c>
      <c r="S2603" s="61" t="str">
        <f aca="false">IF(IsPro,IF($D2603="","",IF(OR($H2603="",$H2603="Credit"),0,P2603)),"")</f>
        <v/>
      </c>
    </row>
    <row r="2604" customFormat="false" ht="15" hidden="false" customHeight="false" outlineLevel="0" collapsed="false">
      <c r="A2604" s="55"/>
      <c r="B2604" s="56"/>
      <c r="C2604" s="56"/>
      <c r="D2604" s="56"/>
      <c r="E2604" s="57"/>
      <c r="F2604" s="58"/>
      <c r="G2604" s="59"/>
      <c r="H2604" s="56"/>
      <c r="I2604" s="60" t="str">
        <f aca="false">IF(IsPro,IF($D2604="","",IFERROR(INDEX(Items!$D$5:$D$504,Q2604),"")),IF($D2604="","","PRO PLAN"))</f>
        <v/>
      </c>
      <c r="J2604" s="61" t="str">
        <f aca="false">IF(IsPro,IF($D2604="","",IF($F2604="",IFERROR(INDEX(Items!$G$5:$G$504,Q2604),0),$F2604)),"")</f>
        <v/>
      </c>
      <c r="K2604" s="61" t="str">
        <f aca="false">IF(IsPro,IF($D2604="","",ROUND(N($E2604)*J2604*(1-N($G2604)),2)),"")</f>
        <v/>
      </c>
      <c r="L2604" s="62" t="str">
        <f aca="false">IF(IsPro,IF($D2604="","",IFERROR(INDEX(Items!$F$5:$F$504,Q2604),0)),"")</f>
        <v/>
      </c>
      <c r="M2604" s="61" t="str">
        <f aca="false">IF(IsPro,IF($D2604="","",IF(AND(R2604&lt;&gt;"",INDEX(Parties!$E$5:$E$304,R2604)&lt;&gt;"",INDEX(Parties!$E$5:$E$304,R2604)&lt;&gt;HomeState),0,ROUND(K2604*L2604/2,2))),"")</f>
        <v/>
      </c>
      <c r="N2604" s="61" t="str">
        <f aca="false">IF(IsPro,IF($D2604="","",M2604),"")</f>
        <v/>
      </c>
      <c r="O2604" s="61" t="str">
        <f aca="false">IF(IsPro,IF($D2604="","",IF(AND(R2604&lt;&gt;"",INDEX(Parties!$E$5:$E$304,R2604)&lt;&gt;"",INDEX(Parties!$E$5:$E$304,R2604)&lt;&gt;HomeState),ROUND(K2604*L2604,2),0)),"")</f>
        <v/>
      </c>
      <c r="P2604" s="61" t="str">
        <f aca="false">IF(IsPro,IF($D2604="","",K2604+M2604+N2604+O2604),"")</f>
        <v/>
      </c>
      <c r="Q2604" s="60" t="str">
        <f aca="false">IF(IsPro,IF($D2604="","",IFERROR(MATCH($D2604,Items!$A$5:$A$504,0),"")),"")</f>
        <v/>
      </c>
      <c r="R2604" s="60" t="str">
        <f aca="false">IF(IsPro,IF($C2604="","",IFERROR(MATCH($C2604,Parties!$A$5:$A$304,0),"")),"")</f>
        <v/>
      </c>
      <c r="S2604" s="61" t="str">
        <f aca="false">IF(IsPro,IF($D2604="","",IF(OR($H2604="",$H2604="Credit"),0,P2604)),"")</f>
        <v/>
      </c>
    </row>
    <row r="2605" customFormat="false" ht="15" hidden="false" customHeight="false" outlineLevel="0" collapsed="false">
      <c r="A2605" s="55"/>
      <c r="B2605" s="56"/>
      <c r="C2605" s="56"/>
      <c r="D2605" s="56"/>
      <c r="E2605" s="57"/>
      <c r="F2605" s="58"/>
      <c r="G2605" s="59"/>
      <c r="H2605" s="56"/>
      <c r="I2605" s="60" t="str">
        <f aca="false">IF(IsPro,IF($D2605="","",IFERROR(INDEX(Items!$D$5:$D$504,Q2605),"")),IF($D2605="","","PRO PLAN"))</f>
        <v/>
      </c>
      <c r="J2605" s="61" t="str">
        <f aca="false">IF(IsPro,IF($D2605="","",IF($F2605="",IFERROR(INDEX(Items!$G$5:$G$504,Q2605),0),$F2605)),"")</f>
        <v/>
      </c>
      <c r="K2605" s="61" t="str">
        <f aca="false">IF(IsPro,IF($D2605="","",ROUND(N($E2605)*J2605*(1-N($G2605)),2)),"")</f>
        <v/>
      </c>
      <c r="L2605" s="62" t="str">
        <f aca="false">IF(IsPro,IF($D2605="","",IFERROR(INDEX(Items!$F$5:$F$504,Q2605),0)),"")</f>
        <v/>
      </c>
      <c r="M2605" s="61" t="str">
        <f aca="false">IF(IsPro,IF($D2605="","",IF(AND(R2605&lt;&gt;"",INDEX(Parties!$E$5:$E$304,R2605)&lt;&gt;"",INDEX(Parties!$E$5:$E$304,R2605)&lt;&gt;HomeState),0,ROUND(K2605*L2605/2,2))),"")</f>
        <v/>
      </c>
      <c r="N2605" s="61" t="str">
        <f aca="false">IF(IsPro,IF($D2605="","",M2605),"")</f>
        <v/>
      </c>
      <c r="O2605" s="61" t="str">
        <f aca="false">IF(IsPro,IF($D2605="","",IF(AND(R2605&lt;&gt;"",INDEX(Parties!$E$5:$E$304,R2605)&lt;&gt;"",INDEX(Parties!$E$5:$E$304,R2605)&lt;&gt;HomeState),ROUND(K2605*L2605,2),0)),"")</f>
        <v/>
      </c>
      <c r="P2605" s="61" t="str">
        <f aca="false">IF(IsPro,IF($D2605="","",K2605+M2605+N2605+O2605),"")</f>
        <v/>
      </c>
      <c r="Q2605" s="60" t="str">
        <f aca="false">IF(IsPro,IF($D2605="","",IFERROR(MATCH($D2605,Items!$A$5:$A$504,0),"")),"")</f>
        <v/>
      </c>
      <c r="R2605" s="60" t="str">
        <f aca="false">IF(IsPro,IF($C2605="","",IFERROR(MATCH($C2605,Parties!$A$5:$A$304,0),"")),"")</f>
        <v/>
      </c>
      <c r="S2605" s="61" t="str">
        <f aca="false">IF(IsPro,IF($D2605="","",IF(OR($H2605="",$H2605="Credit"),0,P2605)),"")</f>
        <v/>
      </c>
    </row>
    <row r="2606" customFormat="false" ht="15" hidden="false" customHeight="false" outlineLevel="0" collapsed="false">
      <c r="A2606" s="55"/>
      <c r="B2606" s="56"/>
      <c r="C2606" s="56"/>
      <c r="D2606" s="56"/>
      <c r="E2606" s="57"/>
      <c r="F2606" s="58"/>
      <c r="G2606" s="59"/>
      <c r="H2606" s="56"/>
      <c r="I2606" s="60" t="str">
        <f aca="false">IF(IsPro,IF($D2606="","",IFERROR(INDEX(Items!$D$5:$D$504,Q2606),"")),IF($D2606="","","PRO PLAN"))</f>
        <v/>
      </c>
      <c r="J2606" s="61" t="str">
        <f aca="false">IF(IsPro,IF($D2606="","",IF($F2606="",IFERROR(INDEX(Items!$G$5:$G$504,Q2606),0),$F2606)),"")</f>
        <v/>
      </c>
      <c r="K2606" s="61" t="str">
        <f aca="false">IF(IsPro,IF($D2606="","",ROUND(N($E2606)*J2606*(1-N($G2606)),2)),"")</f>
        <v/>
      </c>
      <c r="L2606" s="62" t="str">
        <f aca="false">IF(IsPro,IF($D2606="","",IFERROR(INDEX(Items!$F$5:$F$504,Q2606),0)),"")</f>
        <v/>
      </c>
      <c r="M2606" s="61" t="str">
        <f aca="false">IF(IsPro,IF($D2606="","",IF(AND(R2606&lt;&gt;"",INDEX(Parties!$E$5:$E$304,R2606)&lt;&gt;"",INDEX(Parties!$E$5:$E$304,R2606)&lt;&gt;HomeState),0,ROUND(K2606*L2606/2,2))),"")</f>
        <v/>
      </c>
      <c r="N2606" s="61" t="str">
        <f aca="false">IF(IsPro,IF($D2606="","",M2606),"")</f>
        <v/>
      </c>
      <c r="O2606" s="61" t="str">
        <f aca="false">IF(IsPro,IF($D2606="","",IF(AND(R2606&lt;&gt;"",INDEX(Parties!$E$5:$E$304,R2606)&lt;&gt;"",INDEX(Parties!$E$5:$E$304,R2606)&lt;&gt;HomeState),ROUND(K2606*L2606,2),0)),"")</f>
        <v/>
      </c>
      <c r="P2606" s="61" t="str">
        <f aca="false">IF(IsPro,IF($D2606="","",K2606+M2606+N2606+O2606),"")</f>
        <v/>
      </c>
      <c r="Q2606" s="60" t="str">
        <f aca="false">IF(IsPro,IF($D2606="","",IFERROR(MATCH($D2606,Items!$A$5:$A$504,0),"")),"")</f>
        <v/>
      </c>
      <c r="R2606" s="60" t="str">
        <f aca="false">IF(IsPro,IF($C2606="","",IFERROR(MATCH($C2606,Parties!$A$5:$A$304,0),"")),"")</f>
        <v/>
      </c>
      <c r="S2606" s="61" t="str">
        <f aca="false">IF(IsPro,IF($D2606="","",IF(OR($H2606="",$H2606="Credit"),0,P2606)),"")</f>
        <v/>
      </c>
    </row>
    <row r="2607" customFormat="false" ht="15" hidden="false" customHeight="false" outlineLevel="0" collapsed="false">
      <c r="A2607" s="55"/>
      <c r="B2607" s="56"/>
      <c r="C2607" s="56"/>
      <c r="D2607" s="56"/>
      <c r="E2607" s="57"/>
      <c r="F2607" s="58"/>
      <c r="G2607" s="59"/>
      <c r="H2607" s="56"/>
      <c r="I2607" s="60" t="str">
        <f aca="false">IF(IsPro,IF($D2607="","",IFERROR(INDEX(Items!$D$5:$D$504,Q2607),"")),IF($D2607="","","PRO PLAN"))</f>
        <v/>
      </c>
      <c r="J2607" s="61" t="str">
        <f aca="false">IF(IsPro,IF($D2607="","",IF($F2607="",IFERROR(INDEX(Items!$G$5:$G$504,Q2607),0),$F2607)),"")</f>
        <v/>
      </c>
      <c r="K2607" s="61" t="str">
        <f aca="false">IF(IsPro,IF($D2607="","",ROUND(N($E2607)*J2607*(1-N($G2607)),2)),"")</f>
        <v/>
      </c>
      <c r="L2607" s="62" t="str">
        <f aca="false">IF(IsPro,IF($D2607="","",IFERROR(INDEX(Items!$F$5:$F$504,Q2607),0)),"")</f>
        <v/>
      </c>
      <c r="M2607" s="61" t="str">
        <f aca="false">IF(IsPro,IF($D2607="","",IF(AND(R2607&lt;&gt;"",INDEX(Parties!$E$5:$E$304,R2607)&lt;&gt;"",INDEX(Parties!$E$5:$E$304,R2607)&lt;&gt;HomeState),0,ROUND(K2607*L2607/2,2))),"")</f>
        <v/>
      </c>
      <c r="N2607" s="61" t="str">
        <f aca="false">IF(IsPro,IF($D2607="","",M2607),"")</f>
        <v/>
      </c>
      <c r="O2607" s="61" t="str">
        <f aca="false">IF(IsPro,IF($D2607="","",IF(AND(R2607&lt;&gt;"",INDEX(Parties!$E$5:$E$304,R2607)&lt;&gt;"",INDEX(Parties!$E$5:$E$304,R2607)&lt;&gt;HomeState),ROUND(K2607*L2607,2),0)),"")</f>
        <v/>
      </c>
      <c r="P2607" s="61" t="str">
        <f aca="false">IF(IsPro,IF($D2607="","",K2607+M2607+N2607+O2607),"")</f>
        <v/>
      </c>
      <c r="Q2607" s="60" t="str">
        <f aca="false">IF(IsPro,IF($D2607="","",IFERROR(MATCH($D2607,Items!$A$5:$A$504,0),"")),"")</f>
        <v/>
      </c>
      <c r="R2607" s="60" t="str">
        <f aca="false">IF(IsPro,IF($C2607="","",IFERROR(MATCH($C2607,Parties!$A$5:$A$304,0),"")),"")</f>
        <v/>
      </c>
      <c r="S2607" s="61" t="str">
        <f aca="false">IF(IsPro,IF($D2607="","",IF(OR($H2607="",$H2607="Credit"),0,P2607)),"")</f>
        <v/>
      </c>
    </row>
    <row r="2608" customFormat="false" ht="15" hidden="false" customHeight="false" outlineLevel="0" collapsed="false">
      <c r="A2608" s="55"/>
      <c r="B2608" s="56"/>
      <c r="C2608" s="56"/>
      <c r="D2608" s="56"/>
      <c r="E2608" s="57"/>
      <c r="F2608" s="58"/>
      <c r="G2608" s="59"/>
      <c r="H2608" s="56"/>
      <c r="I2608" s="60" t="str">
        <f aca="false">IF(IsPro,IF($D2608="","",IFERROR(INDEX(Items!$D$5:$D$504,Q2608),"")),IF($D2608="","","PRO PLAN"))</f>
        <v/>
      </c>
      <c r="J2608" s="61" t="str">
        <f aca="false">IF(IsPro,IF($D2608="","",IF($F2608="",IFERROR(INDEX(Items!$G$5:$G$504,Q2608),0),$F2608)),"")</f>
        <v/>
      </c>
      <c r="K2608" s="61" t="str">
        <f aca="false">IF(IsPro,IF($D2608="","",ROUND(N($E2608)*J2608*(1-N($G2608)),2)),"")</f>
        <v/>
      </c>
      <c r="L2608" s="62" t="str">
        <f aca="false">IF(IsPro,IF($D2608="","",IFERROR(INDEX(Items!$F$5:$F$504,Q2608),0)),"")</f>
        <v/>
      </c>
      <c r="M2608" s="61" t="str">
        <f aca="false">IF(IsPro,IF($D2608="","",IF(AND(R2608&lt;&gt;"",INDEX(Parties!$E$5:$E$304,R2608)&lt;&gt;"",INDEX(Parties!$E$5:$E$304,R2608)&lt;&gt;HomeState),0,ROUND(K2608*L2608/2,2))),"")</f>
        <v/>
      </c>
      <c r="N2608" s="61" t="str">
        <f aca="false">IF(IsPro,IF($D2608="","",M2608),"")</f>
        <v/>
      </c>
      <c r="O2608" s="61" t="str">
        <f aca="false">IF(IsPro,IF($D2608="","",IF(AND(R2608&lt;&gt;"",INDEX(Parties!$E$5:$E$304,R2608)&lt;&gt;"",INDEX(Parties!$E$5:$E$304,R2608)&lt;&gt;HomeState),ROUND(K2608*L2608,2),0)),"")</f>
        <v/>
      </c>
      <c r="P2608" s="61" t="str">
        <f aca="false">IF(IsPro,IF($D2608="","",K2608+M2608+N2608+O2608),"")</f>
        <v/>
      </c>
      <c r="Q2608" s="60" t="str">
        <f aca="false">IF(IsPro,IF($D2608="","",IFERROR(MATCH($D2608,Items!$A$5:$A$504,0),"")),"")</f>
        <v/>
      </c>
      <c r="R2608" s="60" t="str">
        <f aca="false">IF(IsPro,IF($C2608="","",IFERROR(MATCH($C2608,Parties!$A$5:$A$304,0),"")),"")</f>
        <v/>
      </c>
      <c r="S2608" s="61" t="str">
        <f aca="false">IF(IsPro,IF($D2608="","",IF(OR($H2608="",$H2608="Credit"),0,P2608)),"")</f>
        <v/>
      </c>
    </row>
    <row r="2609" customFormat="false" ht="15" hidden="false" customHeight="false" outlineLevel="0" collapsed="false">
      <c r="A2609" s="55"/>
      <c r="B2609" s="56"/>
      <c r="C2609" s="56"/>
      <c r="D2609" s="56"/>
      <c r="E2609" s="57"/>
      <c r="F2609" s="58"/>
      <c r="G2609" s="59"/>
      <c r="H2609" s="56"/>
      <c r="I2609" s="60" t="str">
        <f aca="false">IF(IsPro,IF($D2609="","",IFERROR(INDEX(Items!$D$5:$D$504,Q2609),"")),IF($D2609="","","PRO PLAN"))</f>
        <v/>
      </c>
      <c r="J2609" s="61" t="str">
        <f aca="false">IF(IsPro,IF($D2609="","",IF($F2609="",IFERROR(INDEX(Items!$G$5:$G$504,Q2609),0),$F2609)),"")</f>
        <v/>
      </c>
      <c r="K2609" s="61" t="str">
        <f aca="false">IF(IsPro,IF($D2609="","",ROUND(N($E2609)*J2609*(1-N($G2609)),2)),"")</f>
        <v/>
      </c>
      <c r="L2609" s="62" t="str">
        <f aca="false">IF(IsPro,IF($D2609="","",IFERROR(INDEX(Items!$F$5:$F$504,Q2609),0)),"")</f>
        <v/>
      </c>
      <c r="M2609" s="61" t="str">
        <f aca="false">IF(IsPro,IF($D2609="","",IF(AND(R2609&lt;&gt;"",INDEX(Parties!$E$5:$E$304,R2609)&lt;&gt;"",INDEX(Parties!$E$5:$E$304,R2609)&lt;&gt;HomeState),0,ROUND(K2609*L2609/2,2))),"")</f>
        <v/>
      </c>
      <c r="N2609" s="61" t="str">
        <f aca="false">IF(IsPro,IF($D2609="","",M2609),"")</f>
        <v/>
      </c>
      <c r="O2609" s="61" t="str">
        <f aca="false">IF(IsPro,IF($D2609="","",IF(AND(R2609&lt;&gt;"",INDEX(Parties!$E$5:$E$304,R2609)&lt;&gt;"",INDEX(Parties!$E$5:$E$304,R2609)&lt;&gt;HomeState),ROUND(K2609*L2609,2),0)),"")</f>
        <v/>
      </c>
      <c r="P2609" s="61" t="str">
        <f aca="false">IF(IsPro,IF($D2609="","",K2609+M2609+N2609+O2609),"")</f>
        <v/>
      </c>
      <c r="Q2609" s="60" t="str">
        <f aca="false">IF(IsPro,IF($D2609="","",IFERROR(MATCH($D2609,Items!$A$5:$A$504,0),"")),"")</f>
        <v/>
      </c>
      <c r="R2609" s="60" t="str">
        <f aca="false">IF(IsPro,IF($C2609="","",IFERROR(MATCH($C2609,Parties!$A$5:$A$304,0),"")),"")</f>
        <v/>
      </c>
      <c r="S2609" s="61" t="str">
        <f aca="false">IF(IsPro,IF($D2609="","",IF(OR($H2609="",$H2609="Credit"),0,P2609)),"")</f>
        <v/>
      </c>
    </row>
    <row r="2610" customFormat="false" ht="15" hidden="false" customHeight="false" outlineLevel="0" collapsed="false">
      <c r="A2610" s="55"/>
      <c r="B2610" s="56"/>
      <c r="C2610" s="56"/>
      <c r="D2610" s="56"/>
      <c r="E2610" s="57"/>
      <c r="F2610" s="58"/>
      <c r="G2610" s="59"/>
      <c r="H2610" s="56"/>
      <c r="I2610" s="60" t="str">
        <f aca="false">IF(IsPro,IF($D2610="","",IFERROR(INDEX(Items!$D$5:$D$504,Q2610),"")),IF($D2610="","","PRO PLAN"))</f>
        <v/>
      </c>
      <c r="J2610" s="61" t="str">
        <f aca="false">IF(IsPro,IF($D2610="","",IF($F2610="",IFERROR(INDEX(Items!$G$5:$G$504,Q2610),0),$F2610)),"")</f>
        <v/>
      </c>
      <c r="K2610" s="61" t="str">
        <f aca="false">IF(IsPro,IF($D2610="","",ROUND(N($E2610)*J2610*(1-N($G2610)),2)),"")</f>
        <v/>
      </c>
      <c r="L2610" s="62" t="str">
        <f aca="false">IF(IsPro,IF($D2610="","",IFERROR(INDEX(Items!$F$5:$F$504,Q2610),0)),"")</f>
        <v/>
      </c>
      <c r="M2610" s="61" t="str">
        <f aca="false">IF(IsPro,IF($D2610="","",IF(AND(R2610&lt;&gt;"",INDEX(Parties!$E$5:$E$304,R2610)&lt;&gt;"",INDEX(Parties!$E$5:$E$304,R2610)&lt;&gt;HomeState),0,ROUND(K2610*L2610/2,2))),"")</f>
        <v/>
      </c>
      <c r="N2610" s="61" t="str">
        <f aca="false">IF(IsPro,IF($D2610="","",M2610),"")</f>
        <v/>
      </c>
      <c r="O2610" s="61" t="str">
        <f aca="false">IF(IsPro,IF($D2610="","",IF(AND(R2610&lt;&gt;"",INDEX(Parties!$E$5:$E$304,R2610)&lt;&gt;"",INDEX(Parties!$E$5:$E$304,R2610)&lt;&gt;HomeState),ROUND(K2610*L2610,2),0)),"")</f>
        <v/>
      </c>
      <c r="P2610" s="61" t="str">
        <f aca="false">IF(IsPro,IF($D2610="","",K2610+M2610+N2610+O2610),"")</f>
        <v/>
      </c>
      <c r="Q2610" s="60" t="str">
        <f aca="false">IF(IsPro,IF($D2610="","",IFERROR(MATCH($D2610,Items!$A$5:$A$504,0),"")),"")</f>
        <v/>
      </c>
      <c r="R2610" s="60" t="str">
        <f aca="false">IF(IsPro,IF($C2610="","",IFERROR(MATCH($C2610,Parties!$A$5:$A$304,0),"")),"")</f>
        <v/>
      </c>
      <c r="S2610" s="61" t="str">
        <f aca="false">IF(IsPro,IF($D2610="","",IF(OR($H2610="",$H2610="Credit"),0,P2610)),"")</f>
        <v/>
      </c>
    </row>
    <row r="2611" customFormat="false" ht="15" hidden="false" customHeight="false" outlineLevel="0" collapsed="false">
      <c r="A2611" s="55"/>
      <c r="B2611" s="56"/>
      <c r="C2611" s="56"/>
      <c r="D2611" s="56"/>
      <c r="E2611" s="57"/>
      <c r="F2611" s="58"/>
      <c r="G2611" s="59"/>
      <c r="H2611" s="56"/>
      <c r="I2611" s="60" t="str">
        <f aca="false">IF(IsPro,IF($D2611="","",IFERROR(INDEX(Items!$D$5:$D$504,Q2611),"")),IF($D2611="","","PRO PLAN"))</f>
        <v/>
      </c>
      <c r="J2611" s="61" t="str">
        <f aca="false">IF(IsPro,IF($D2611="","",IF($F2611="",IFERROR(INDEX(Items!$G$5:$G$504,Q2611),0),$F2611)),"")</f>
        <v/>
      </c>
      <c r="K2611" s="61" t="str">
        <f aca="false">IF(IsPro,IF($D2611="","",ROUND(N($E2611)*J2611*(1-N($G2611)),2)),"")</f>
        <v/>
      </c>
      <c r="L2611" s="62" t="str">
        <f aca="false">IF(IsPro,IF($D2611="","",IFERROR(INDEX(Items!$F$5:$F$504,Q2611),0)),"")</f>
        <v/>
      </c>
      <c r="M2611" s="61" t="str">
        <f aca="false">IF(IsPro,IF($D2611="","",IF(AND(R2611&lt;&gt;"",INDEX(Parties!$E$5:$E$304,R2611)&lt;&gt;"",INDEX(Parties!$E$5:$E$304,R2611)&lt;&gt;HomeState),0,ROUND(K2611*L2611/2,2))),"")</f>
        <v/>
      </c>
      <c r="N2611" s="61" t="str">
        <f aca="false">IF(IsPro,IF($D2611="","",M2611),"")</f>
        <v/>
      </c>
      <c r="O2611" s="61" t="str">
        <f aca="false">IF(IsPro,IF($D2611="","",IF(AND(R2611&lt;&gt;"",INDEX(Parties!$E$5:$E$304,R2611)&lt;&gt;"",INDEX(Parties!$E$5:$E$304,R2611)&lt;&gt;HomeState),ROUND(K2611*L2611,2),0)),"")</f>
        <v/>
      </c>
      <c r="P2611" s="61" t="str">
        <f aca="false">IF(IsPro,IF($D2611="","",K2611+M2611+N2611+O2611),"")</f>
        <v/>
      </c>
      <c r="Q2611" s="60" t="str">
        <f aca="false">IF(IsPro,IF($D2611="","",IFERROR(MATCH($D2611,Items!$A$5:$A$504,0),"")),"")</f>
        <v/>
      </c>
      <c r="R2611" s="60" t="str">
        <f aca="false">IF(IsPro,IF($C2611="","",IFERROR(MATCH($C2611,Parties!$A$5:$A$304,0),"")),"")</f>
        <v/>
      </c>
      <c r="S2611" s="61" t="str">
        <f aca="false">IF(IsPro,IF($D2611="","",IF(OR($H2611="",$H2611="Credit"),0,P2611)),"")</f>
        <v/>
      </c>
    </row>
    <row r="2612" customFormat="false" ht="15" hidden="false" customHeight="false" outlineLevel="0" collapsed="false">
      <c r="A2612" s="55"/>
      <c r="B2612" s="56"/>
      <c r="C2612" s="56"/>
      <c r="D2612" s="56"/>
      <c r="E2612" s="57"/>
      <c r="F2612" s="58"/>
      <c r="G2612" s="59"/>
      <c r="H2612" s="56"/>
      <c r="I2612" s="60" t="str">
        <f aca="false">IF(IsPro,IF($D2612="","",IFERROR(INDEX(Items!$D$5:$D$504,Q2612),"")),IF($D2612="","","PRO PLAN"))</f>
        <v/>
      </c>
      <c r="J2612" s="61" t="str">
        <f aca="false">IF(IsPro,IF($D2612="","",IF($F2612="",IFERROR(INDEX(Items!$G$5:$G$504,Q2612),0),$F2612)),"")</f>
        <v/>
      </c>
      <c r="K2612" s="61" t="str">
        <f aca="false">IF(IsPro,IF($D2612="","",ROUND(N($E2612)*J2612*(1-N($G2612)),2)),"")</f>
        <v/>
      </c>
      <c r="L2612" s="62" t="str">
        <f aca="false">IF(IsPro,IF($D2612="","",IFERROR(INDEX(Items!$F$5:$F$504,Q2612),0)),"")</f>
        <v/>
      </c>
      <c r="M2612" s="61" t="str">
        <f aca="false">IF(IsPro,IF($D2612="","",IF(AND(R2612&lt;&gt;"",INDEX(Parties!$E$5:$E$304,R2612)&lt;&gt;"",INDEX(Parties!$E$5:$E$304,R2612)&lt;&gt;HomeState),0,ROUND(K2612*L2612/2,2))),"")</f>
        <v/>
      </c>
      <c r="N2612" s="61" t="str">
        <f aca="false">IF(IsPro,IF($D2612="","",M2612),"")</f>
        <v/>
      </c>
      <c r="O2612" s="61" t="str">
        <f aca="false">IF(IsPro,IF($D2612="","",IF(AND(R2612&lt;&gt;"",INDEX(Parties!$E$5:$E$304,R2612)&lt;&gt;"",INDEX(Parties!$E$5:$E$304,R2612)&lt;&gt;HomeState),ROUND(K2612*L2612,2),0)),"")</f>
        <v/>
      </c>
      <c r="P2612" s="61" t="str">
        <f aca="false">IF(IsPro,IF($D2612="","",K2612+M2612+N2612+O2612),"")</f>
        <v/>
      </c>
      <c r="Q2612" s="60" t="str">
        <f aca="false">IF(IsPro,IF($D2612="","",IFERROR(MATCH($D2612,Items!$A$5:$A$504,0),"")),"")</f>
        <v/>
      </c>
      <c r="R2612" s="60" t="str">
        <f aca="false">IF(IsPro,IF($C2612="","",IFERROR(MATCH($C2612,Parties!$A$5:$A$304,0),"")),"")</f>
        <v/>
      </c>
      <c r="S2612" s="61" t="str">
        <f aca="false">IF(IsPro,IF($D2612="","",IF(OR($H2612="",$H2612="Credit"),0,P2612)),"")</f>
        <v/>
      </c>
    </row>
    <row r="2613" customFormat="false" ht="15" hidden="false" customHeight="false" outlineLevel="0" collapsed="false">
      <c r="A2613" s="55"/>
      <c r="B2613" s="56"/>
      <c r="C2613" s="56"/>
      <c r="D2613" s="56"/>
      <c r="E2613" s="57"/>
      <c r="F2613" s="58"/>
      <c r="G2613" s="59"/>
      <c r="H2613" s="56"/>
      <c r="I2613" s="60" t="str">
        <f aca="false">IF(IsPro,IF($D2613="","",IFERROR(INDEX(Items!$D$5:$D$504,Q2613),"")),IF($D2613="","","PRO PLAN"))</f>
        <v/>
      </c>
      <c r="J2613" s="61" t="str">
        <f aca="false">IF(IsPro,IF($D2613="","",IF($F2613="",IFERROR(INDEX(Items!$G$5:$G$504,Q2613),0),$F2613)),"")</f>
        <v/>
      </c>
      <c r="K2613" s="61" t="str">
        <f aca="false">IF(IsPro,IF($D2613="","",ROUND(N($E2613)*J2613*(1-N($G2613)),2)),"")</f>
        <v/>
      </c>
      <c r="L2613" s="62" t="str">
        <f aca="false">IF(IsPro,IF($D2613="","",IFERROR(INDEX(Items!$F$5:$F$504,Q2613),0)),"")</f>
        <v/>
      </c>
      <c r="M2613" s="61" t="str">
        <f aca="false">IF(IsPro,IF($D2613="","",IF(AND(R2613&lt;&gt;"",INDEX(Parties!$E$5:$E$304,R2613)&lt;&gt;"",INDEX(Parties!$E$5:$E$304,R2613)&lt;&gt;HomeState),0,ROUND(K2613*L2613/2,2))),"")</f>
        <v/>
      </c>
      <c r="N2613" s="61" t="str">
        <f aca="false">IF(IsPro,IF($D2613="","",M2613),"")</f>
        <v/>
      </c>
      <c r="O2613" s="61" t="str">
        <f aca="false">IF(IsPro,IF($D2613="","",IF(AND(R2613&lt;&gt;"",INDEX(Parties!$E$5:$E$304,R2613)&lt;&gt;"",INDEX(Parties!$E$5:$E$304,R2613)&lt;&gt;HomeState),ROUND(K2613*L2613,2),0)),"")</f>
        <v/>
      </c>
      <c r="P2613" s="61" t="str">
        <f aca="false">IF(IsPro,IF($D2613="","",K2613+M2613+N2613+O2613),"")</f>
        <v/>
      </c>
      <c r="Q2613" s="60" t="str">
        <f aca="false">IF(IsPro,IF($D2613="","",IFERROR(MATCH($D2613,Items!$A$5:$A$504,0),"")),"")</f>
        <v/>
      </c>
      <c r="R2613" s="60" t="str">
        <f aca="false">IF(IsPro,IF($C2613="","",IFERROR(MATCH($C2613,Parties!$A$5:$A$304,0),"")),"")</f>
        <v/>
      </c>
      <c r="S2613" s="61" t="str">
        <f aca="false">IF(IsPro,IF($D2613="","",IF(OR($H2613="",$H2613="Credit"),0,P2613)),"")</f>
        <v/>
      </c>
    </row>
    <row r="2614" customFormat="false" ht="15" hidden="false" customHeight="false" outlineLevel="0" collapsed="false">
      <c r="A2614" s="55"/>
      <c r="B2614" s="56"/>
      <c r="C2614" s="56"/>
      <c r="D2614" s="56"/>
      <c r="E2614" s="57"/>
      <c r="F2614" s="58"/>
      <c r="G2614" s="59"/>
      <c r="H2614" s="56"/>
      <c r="I2614" s="60" t="str">
        <f aca="false">IF(IsPro,IF($D2614="","",IFERROR(INDEX(Items!$D$5:$D$504,Q2614),"")),IF($D2614="","","PRO PLAN"))</f>
        <v/>
      </c>
      <c r="J2614" s="61" t="str">
        <f aca="false">IF(IsPro,IF($D2614="","",IF($F2614="",IFERROR(INDEX(Items!$G$5:$G$504,Q2614),0),$F2614)),"")</f>
        <v/>
      </c>
      <c r="K2614" s="61" t="str">
        <f aca="false">IF(IsPro,IF($D2614="","",ROUND(N($E2614)*J2614*(1-N($G2614)),2)),"")</f>
        <v/>
      </c>
      <c r="L2614" s="62" t="str">
        <f aca="false">IF(IsPro,IF($D2614="","",IFERROR(INDEX(Items!$F$5:$F$504,Q2614),0)),"")</f>
        <v/>
      </c>
      <c r="M2614" s="61" t="str">
        <f aca="false">IF(IsPro,IF($D2614="","",IF(AND(R2614&lt;&gt;"",INDEX(Parties!$E$5:$E$304,R2614)&lt;&gt;"",INDEX(Parties!$E$5:$E$304,R2614)&lt;&gt;HomeState),0,ROUND(K2614*L2614/2,2))),"")</f>
        <v/>
      </c>
      <c r="N2614" s="61" t="str">
        <f aca="false">IF(IsPro,IF($D2614="","",M2614),"")</f>
        <v/>
      </c>
      <c r="O2614" s="61" t="str">
        <f aca="false">IF(IsPro,IF($D2614="","",IF(AND(R2614&lt;&gt;"",INDEX(Parties!$E$5:$E$304,R2614)&lt;&gt;"",INDEX(Parties!$E$5:$E$304,R2614)&lt;&gt;HomeState),ROUND(K2614*L2614,2),0)),"")</f>
        <v/>
      </c>
      <c r="P2614" s="61" t="str">
        <f aca="false">IF(IsPro,IF($D2614="","",K2614+M2614+N2614+O2614),"")</f>
        <v/>
      </c>
      <c r="Q2614" s="60" t="str">
        <f aca="false">IF(IsPro,IF($D2614="","",IFERROR(MATCH($D2614,Items!$A$5:$A$504,0),"")),"")</f>
        <v/>
      </c>
      <c r="R2614" s="60" t="str">
        <f aca="false">IF(IsPro,IF($C2614="","",IFERROR(MATCH($C2614,Parties!$A$5:$A$304,0),"")),"")</f>
        <v/>
      </c>
      <c r="S2614" s="61" t="str">
        <f aca="false">IF(IsPro,IF($D2614="","",IF(OR($H2614="",$H2614="Credit"),0,P2614)),"")</f>
        <v/>
      </c>
    </row>
    <row r="2615" customFormat="false" ht="15" hidden="false" customHeight="false" outlineLevel="0" collapsed="false">
      <c r="A2615" s="55"/>
      <c r="B2615" s="56"/>
      <c r="C2615" s="56"/>
      <c r="D2615" s="56"/>
      <c r="E2615" s="57"/>
      <c r="F2615" s="58"/>
      <c r="G2615" s="59"/>
      <c r="H2615" s="56"/>
      <c r="I2615" s="60" t="str">
        <f aca="false">IF(IsPro,IF($D2615="","",IFERROR(INDEX(Items!$D$5:$D$504,Q2615),"")),IF($D2615="","","PRO PLAN"))</f>
        <v/>
      </c>
      <c r="J2615" s="61" t="str">
        <f aca="false">IF(IsPro,IF($D2615="","",IF($F2615="",IFERROR(INDEX(Items!$G$5:$G$504,Q2615),0),$F2615)),"")</f>
        <v/>
      </c>
      <c r="K2615" s="61" t="str">
        <f aca="false">IF(IsPro,IF($D2615="","",ROUND(N($E2615)*J2615*(1-N($G2615)),2)),"")</f>
        <v/>
      </c>
      <c r="L2615" s="62" t="str">
        <f aca="false">IF(IsPro,IF($D2615="","",IFERROR(INDEX(Items!$F$5:$F$504,Q2615),0)),"")</f>
        <v/>
      </c>
      <c r="M2615" s="61" t="str">
        <f aca="false">IF(IsPro,IF($D2615="","",IF(AND(R2615&lt;&gt;"",INDEX(Parties!$E$5:$E$304,R2615)&lt;&gt;"",INDEX(Parties!$E$5:$E$304,R2615)&lt;&gt;HomeState),0,ROUND(K2615*L2615/2,2))),"")</f>
        <v/>
      </c>
      <c r="N2615" s="61" t="str">
        <f aca="false">IF(IsPro,IF($D2615="","",M2615),"")</f>
        <v/>
      </c>
      <c r="O2615" s="61" t="str">
        <f aca="false">IF(IsPro,IF($D2615="","",IF(AND(R2615&lt;&gt;"",INDEX(Parties!$E$5:$E$304,R2615)&lt;&gt;"",INDEX(Parties!$E$5:$E$304,R2615)&lt;&gt;HomeState),ROUND(K2615*L2615,2),0)),"")</f>
        <v/>
      </c>
      <c r="P2615" s="61" t="str">
        <f aca="false">IF(IsPro,IF($D2615="","",K2615+M2615+N2615+O2615),"")</f>
        <v/>
      </c>
      <c r="Q2615" s="60" t="str">
        <f aca="false">IF(IsPro,IF($D2615="","",IFERROR(MATCH($D2615,Items!$A$5:$A$504,0),"")),"")</f>
        <v/>
      </c>
      <c r="R2615" s="60" t="str">
        <f aca="false">IF(IsPro,IF($C2615="","",IFERROR(MATCH($C2615,Parties!$A$5:$A$304,0),"")),"")</f>
        <v/>
      </c>
      <c r="S2615" s="61" t="str">
        <f aca="false">IF(IsPro,IF($D2615="","",IF(OR($H2615="",$H2615="Credit"),0,P2615)),"")</f>
        <v/>
      </c>
    </row>
    <row r="2616" customFormat="false" ht="15" hidden="false" customHeight="false" outlineLevel="0" collapsed="false">
      <c r="A2616" s="55"/>
      <c r="B2616" s="56"/>
      <c r="C2616" s="56"/>
      <c r="D2616" s="56"/>
      <c r="E2616" s="57"/>
      <c r="F2616" s="58"/>
      <c r="G2616" s="59"/>
      <c r="H2616" s="56"/>
      <c r="I2616" s="60" t="str">
        <f aca="false">IF(IsPro,IF($D2616="","",IFERROR(INDEX(Items!$D$5:$D$504,Q2616),"")),IF($D2616="","","PRO PLAN"))</f>
        <v/>
      </c>
      <c r="J2616" s="61" t="str">
        <f aca="false">IF(IsPro,IF($D2616="","",IF($F2616="",IFERROR(INDEX(Items!$G$5:$G$504,Q2616),0),$F2616)),"")</f>
        <v/>
      </c>
      <c r="K2616" s="61" t="str">
        <f aca="false">IF(IsPro,IF($D2616="","",ROUND(N($E2616)*J2616*(1-N($G2616)),2)),"")</f>
        <v/>
      </c>
      <c r="L2616" s="62" t="str">
        <f aca="false">IF(IsPro,IF($D2616="","",IFERROR(INDEX(Items!$F$5:$F$504,Q2616),0)),"")</f>
        <v/>
      </c>
      <c r="M2616" s="61" t="str">
        <f aca="false">IF(IsPro,IF($D2616="","",IF(AND(R2616&lt;&gt;"",INDEX(Parties!$E$5:$E$304,R2616)&lt;&gt;"",INDEX(Parties!$E$5:$E$304,R2616)&lt;&gt;HomeState),0,ROUND(K2616*L2616/2,2))),"")</f>
        <v/>
      </c>
      <c r="N2616" s="61" t="str">
        <f aca="false">IF(IsPro,IF($D2616="","",M2616),"")</f>
        <v/>
      </c>
      <c r="O2616" s="61" t="str">
        <f aca="false">IF(IsPro,IF($D2616="","",IF(AND(R2616&lt;&gt;"",INDEX(Parties!$E$5:$E$304,R2616)&lt;&gt;"",INDEX(Parties!$E$5:$E$304,R2616)&lt;&gt;HomeState),ROUND(K2616*L2616,2),0)),"")</f>
        <v/>
      </c>
      <c r="P2616" s="61" t="str">
        <f aca="false">IF(IsPro,IF($D2616="","",K2616+M2616+N2616+O2616),"")</f>
        <v/>
      </c>
      <c r="Q2616" s="60" t="str">
        <f aca="false">IF(IsPro,IF($D2616="","",IFERROR(MATCH($D2616,Items!$A$5:$A$504,0),"")),"")</f>
        <v/>
      </c>
      <c r="R2616" s="60" t="str">
        <f aca="false">IF(IsPro,IF($C2616="","",IFERROR(MATCH($C2616,Parties!$A$5:$A$304,0),"")),"")</f>
        <v/>
      </c>
      <c r="S2616" s="61" t="str">
        <f aca="false">IF(IsPro,IF($D2616="","",IF(OR($H2616="",$H2616="Credit"),0,P2616)),"")</f>
        <v/>
      </c>
    </row>
    <row r="2617" customFormat="false" ht="15" hidden="false" customHeight="false" outlineLevel="0" collapsed="false">
      <c r="A2617" s="55"/>
      <c r="B2617" s="56"/>
      <c r="C2617" s="56"/>
      <c r="D2617" s="56"/>
      <c r="E2617" s="57"/>
      <c r="F2617" s="58"/>
      <c r="G2617" s="59"/>
      <c r="H2617" s="56"/>
      <c r="I2617" s="60" t="str">
        <f aca="false">IF(IsPro,IF($D2617="","",IFERROR(INDEX(Items!$D$5:$D$504,Q2617),"")),IF($D2617="","","PRO PLAN"))</f>
        <v/>
      </c>
      <c r="J2617" s="61" t="str">
        <f aca="false">IF(IsPro,IF($D2617="","",IF($F2617="",IFERROR(INDEX(Items!$G$5:$G$504,Q2617),0),$F2617)),"")</f>
        <v/>
      </c>
      <c r="K2617" s="61" t="str">
        <f aca="false">IF(IsPro,IF($D2617="","",ROUND(N($E2617)*J2617*(1-N($G2617)),2)),"")</f>
        <v/>
      </c>
      <c r="L2617" s="62" t="str">
        <f aca="false">IF(IsPro,IF($D2617="","",IFERROR(INDEX(Items!$F$5:$F$504,Q2617),0)),"")</f>
        <v/>
      </c>
      <c r="M2617" s="61" t="str">
        <f aca="false">IF(IsPro,IF($D2617="","",IF(AND(R2617&lt;&gt;"",INDEX(Parties!$E$5:$E$304,R2617)&lt;&gt;"",INDEX(Parties!$E$5:$E$304,R2617)&lt;&gt;HomeState),0,ROUND(K2617*L2617/2,2))),"")</f>
        <v/>
      </c>
      <c r="N2617" s="61" t="str">
        <f aca="false">IF(IsPro,IF($D2617="","",M2617),"")</f>
        <v/>
      </c>
      <c r="O2617" s="61" t="str">
        <f aca="false">IF(IsPro,IF($D2617="","",IF(AND(R2617&lt;&gt;"",INDEX(Parties!$E$5:$E$304,R2617)&lt;&gt;"",INDEX(Parties!$E$5:$E$304,R2617)&lt;&gt;HomeState),ROUND(K2617*L2617,2),0)),"")</f>
        <v/>
      </c>
      <c r="P2617" s="61" t="str">
        <f aca="false">IF(IsPro,IF($D2617="","",K2617+M2617+N2617+O2617),"")</f>
        <v/>
      </c>
      <c r="Q2617" s="60" t="str">
        <f aca="false">IF(IsPro,IF($D2617="","",IFERROR(MATCH($D2617,Items!$A$5:$A$504,0),"")),"")</f>
        <v/>
      </c>
      <c r="R2617" s="60" t="str">
        <f aca="false">IF(IsPro,IF($C2617="","",IFERROR(MATCH($C2617,Parties!$A$5:$A$304,0),"")),"")</f>
        <v/>
      </c>
      <c r="S2617" s="61" t="str">
        <f aca="false">IF(IsPro,IF($D2617="","",IF(OR($H2617="",$H2617="Credit"),0,P2617)),"")</f>
        <v/>
      </c>
    </row>
    <row r="2618" customFormat="false" ht="15" hidden="false" customHeight="false" outlineLevel="0" collapsed="false">
      <c r="A2618" s="55"/>
      <c r="B2618" s="56"/>
      <c r="C2618" s="56"/>
      <c r="D2618" s="56"/>
      <c r="E2618" s="57"/>
      <c r="F2618" s="58"/>
      <c r="G2618" s="59"/>
      <c r="H2618" s="56"/>
      <c r="I2618" s="60" t="str">
        <f aca="false">IF(IsPro,IF($D2618="","",IFERROR(INDEX(Items!$D$5:$D$504,Q2618),"")),IF($D2618="","","PRO PLAN"))</f>
        <v/>
      </c>
      <c r="J2618" s="61" t="str">
        <f aca="false">IF(IsPro,IF($D2618="","",IF($F2618="",IFERROR(INDEX(Items!$G$5:$G$504,Q2618),0),$F2618)),"")</f>
        <v/>
      </c>
      <c r="K2618" s="61" t="str">
        <f aca="false">IF(IsPro,IF($D2618="","",ROUND(N($E2618)*J2618*(1-N($G2618)),2)),"")</f>
        <v/>
      </c>
      <c r="L2618" s="62" t="str">
        <f aca="false">IF(IsPro,IF($D2618="","",IFERROR(INDEX(Items!$F$5:$F$504,Q2618),0)),"")</f>
        <v/>
      </c>
      <c r="M2618" s="61" t="str">
        <f aca="false">IF(IsPro,IF($D2618="","",IF(AND(R2618&lt;&gt;"",INDEX(Parties!$E$5:$E$304,R2618)&lt;&gt;"",INDEX(Parties!$E$5:$E$304,R2618)&lt;&gt;HomeState),0,ROUND(K2618*L2618/2,2))),"")</f>
        <v/>
      </c>
      <c r="N2618" s="61" t="str">
        <f aca="false">IF(IsPro,IF($D2618="","",M2618),"")</f>
        <v/>
      </c>
      <c r="O2618" s="61" t="str">
        <f aca="false">IF(IsPro,IF($D2618="","",IF(AND(R2618&lt;&gt;"",INDEX(Parties!$E$5:$E$304,R2618)&lt;&gt;"",INDEX(Parties!$E$5:$E$304,R2618)&lt;&gt;HomeState),ROUND(K2618*L2618,2),0)),"")</f>
        <v/>
      </c>
      <c r="P2618" s="61" t="str">
        <f aca="false">IF(IsPro,IF($D2618="","",K2618+M2618+N2618+O2618),"")</f>
        <v/>
      </c>
      <c r="Q2618" s="60" t="str">
        <f aca="false">IF(IsPro,IF($D2618="","",IFERROR(MATCH($D2618,Items!$A$5:$A$504,0),"")),"")</f>
        <v/>
      </c>
      <c r="R2618" s="60" t="str">
        <f aca="false">IF(IsPro,IF($C2618="","",IFERROR(MATCH($C2618,Parties!$A$5:$A$304,0),"")),"")</f>
        <v/>
      </c>
      <c r="S2618" s="61" t="str">
        <f aca="false">IF(IsPro,IF($D2618="","",IF(OR($H2618="",$H2618="Credit"),0,P2618)),"")</f>
        <v/>
      </c>
    </row>
    <row r="2619" customFormat="false" ht="15" hidden="false" customHeight="false" outlineLevel="0" collapsed="false">
      <c r="A2619" s="55"/>
      <c r="B2619" s="56"/>
      <c r="C2619" s="56"/>
      <c r="D2619" s="56"/>
      <c r="E2619" s="57"/>
      <c r="F2619" s="58"/>
      <c r="G2619" s="59"/>
      <c r="H2619" s="56"/>
      <c r="I2619" s="60" t="str">
        <f aca="false">IF(IsPro,IF($D2619="","",IFERROR(INDEX(Items!$D$5:$D$504,Q2619),"")),IF($D2619="","","PRO PLAN"))</f>
        <v/>
      </c>
      <c r="J2619" s="61" t="str">
        <f aca="false">IF(IsPro,IF($D2619="","",IF($F2619="",IFERROR(INDEX(Items!$G$5:$G$504,Q2619),0),$F2619)),"")</f>
        <v/>
      </c>
      <c r="K2619" s="61" t="str">
        <f aca="false">IF(IsPro,IF($D2619="","",ROUND(N($E2619)*J2619*(1-N($G2619)),2)),"")</f>
        <v/>
      </c>
      <c r="L2619" s="62" t="str">
        <f aca="false">IF(IsPro,IF($D2619="","",IFERROR(INDEX(Items!$F$5:$F$504,Q2619),0)),"")</f>
        <v/>
      </c>
      <c r="M2619" s="61" t="str">
        <f aca="false">IF(IsPro,IF($D2619="","",IF(AND(R2619&lt;&gt;"",INDEX(Parties!$E$5:$E$304,R2619)&lt;&gt;"",INDEX(Parties!$E$5:$E$304,R2619)&lt;&gt;HomeState),0,ROUND(K2619*L2619/2,2))),"")</f>
        <v/>
      </c>
      <c r="N2619" s="61" t="str">
        <f aca="false">IF(IsPro,IF($D2619="","",M2619),"")</f>
        <v/>
      </c>
      <c r="O2619" s="61" t="str">
        <f aca="false">IF(IsPro,IF($D2619="","",IF(AND(R2619&lt;&gt;"",INDEX(Parties!$E$5:$E$304,R2619)&lt;&gt;"",INDEX(Parties!$E$5:$E$304,R2619)&lt;&gt;HomeState),ROUND(K2619*L2619,2),0)),"")</f>
        <v/>
      </c>
      <c r="P2619" s="61" t="str">
        <f aca="false">IF(IsPro,IF($D2619="","",K2619+M2619+N2619+O2619),"")</f>
        <v/>
      </c>
      <c r="Q2619" s="60" t="str">
        <f aca="false">IF(IsPro,IF($D2619="","",IFERROR(MATCH($D2619,Items!$A$5:$A$504,0),"")),"")</f>
        <v/>
      </c>
      <c r="R2619" s="60" t="str">
        <f aca="false">IF(IsPro,IF($C2619="","",IFERROR(MATCH($C2619,Parties!$A$5:$A$304,0),"")),"")</f>
        <v/>
      </c>
      <c r="S2619" s="61" t="str">
        <f aca="false">IF(IsPro,IF($D2619="","",IF(OR($H2619="",$H2619="Credit"),0,P2619)),"")</f>
        <v/>
      </c>
    </row>
    <row r="2620" customFormat="false" ht="15" hidden="false" customHeight="false" outlineLevel="0" collapsed="false">
      <c r="A2620" s="55"/>
      <c r="B2620" s="56"/>
      <c r="C2620" s="56"/>
      <c r="D2620" s="56"/>
      <c r="E2620" s="57"/>
      <c r="F2620" s="58"/>
      <c r="G2620" s="59"/>
      <c r="H2620" s="56"/>
      <c r="I2620" s="60" t="str">
        <f aca="false">IF(IsPro,IF($D2620="","",IFERROR(INDEX(Items!$D$5:$D$504,Q2620),"")),IF($D2620="","","PRO PLAN"))</f>
        <v/>
      </c>
      <c r="J2620" s="61" t="str">
        <f aca="false">IF(IsPro,IF($D2620="","",IF($F2620="",IFERROR(INDEX(Items!$G$5:$G$504,Q2620),0),$F2620)),"")</f>
        <v/>
      </c>
      <c r="K2620" s="61" t="str">
        <f aca="false">IF(IsPro,IF($D2620="","",ROUND(N($E2620)*J2620*(1-N($G2620)),2)),"")</f>
        <v/>
      </c>
      <c r="L2620" s="62" t="str">
        <f aca="false">IF(IsPro,IF($D2620="","",IFERROR(INDEX(Items!$F$5:$F$504,Q2620),0)),"")</f>
        <v/>
      </c>
      <c r="M2620" s="61" t="str">
        <f aca="false">IF(IsPro,IF($D2620="","",IF(AND(R2620&lt;&gt;"",INDEX(Parties!$E$5:$E$304,R2620)&lt;&gt;"",INDEX(Parties!$E$5:$E$304,R2620)&lt;&gt;HomeState),0,ROUND(K2620*L2620/2,2))),"")</f>
        <v/>
      </c>
      <c r="N2620" s="61" t="str">
        <f aca="false">IF(IsPro,IF($D2620="","",M2620),"")</f>
        <v/>
      </c>
      <c r="O2620" s="61" t="str">
        <f aca="false">IF(IsPro,IF($D2620="","",IF(AND(R2620&lt;&gt;"",INDEX(Parties!$E$5:$E$304,R2620)&lt;&gt;"",INDEX(Parties!$E$5:$E$304,R2620)&lt;&gt;HomeState),ROUND(K2620*L2620,2),0)),"")</f>
        <v/>
      </c>
      <c r="P2620" s="61" t="str">
        <f aca="false">IF(IsPro,IF($D2620="","",K2620+M2620+N2620+O2620),"")</f>
        <v/>
      </c>
      <c r="Q2620" s="60" t="str">
        <f aca="false">IF(IsPro,IF($D2620="","",IFERROR(MATCH($D2620,Items!$A$5:$A$504,0),"")),"")</f>
        <v/>
      </c>
      <c r="R2620" s="60" t="str">
        <f aca="false">IF(IsPro,IF($C2620="","",IFERROR(MATCH($C2620,Parties!$A$5:$A$304,0),"")),"")</f>
        <v/>
      </c>
      <c r="S2620" s="61" t="str">
        <f aca="false">IF(IsPro,IF($D2620="","",IF(OR($H2620="",$H2620="Credit"),0,P2620)),"")</f>
        <v/>
      </c>
    </row>
    <row r="2621" customFormat="false" ht="15" hidden="false" customHeight="false" outlineLevel="0" collapsed="false">
      <c r="A2621" s="55"/>
      <c r="B2621" s="56"/>
      <c r="C2621" s="56"/>
      <c r="D2621" s="56"/>
      <c r="E2621" s="57"/>
      <c r="F2621" s="58"/>
      <c r="G2621" s="59"/>
      <c r="H2621" s="56"/>
      <c r="I2621" s="60" t="str">
        <f aca="false">IF(IsPro,IF($D2621="","",IFERROR(INDEX(Items!$D$5:$D$504,Q2621),"")),IF($D2621="","","PRO PLAN"))</f>
        <v/>
      </c>
      <c r="J2621" s="61" t="str">
        <f aca="false">IF(IsPro,IF($D2621="","",IF($F2621="",IFERROR(INDEX(Items!$G$5:$G$504,Q2621),0),$F2621)),"")</f>
        <v/>
      </c>
      <c r="K2621" s="61" t="str">
        <f aca="false">IF(IsPro,IF($D2621="","",ROUND(N($E2621)*J2621*(1-N($G2621)),2)),"")</f>
        <v/>
      </c>
      <c r="L2621" s="62" t="str">
        <f aca="false">IF(IsPro,IF($D2621="","",IFERROR(INDEX(Items!$F$5:$F$504,Q2621),0)),"")</f>
        <v/>
      </c>
      <c r="M2621" s="61" t="str">
        <f aca="false">IF(IsPro,IF($D2621="","",IF(AND(R2621&lt;&gt;"",INDEX(Parties!$E$5:$E$304,R2621)&lt;&gt;"",INDEX(Parties!$E$5:$E$304,R2621)&lt;&gt;HomeState),0,ROUND(K2621*L2621/2,2))),"")</f>
        <v/>
      </c>
      <c r="N2621" s="61" t="str">
        <f aca="false">IF(IsPro,IF($D2621="","",M2621),"")</f>
        <v/>
      </c>
      <c r="O2621" s="61" t="str">
        <f aca="false">IF(IsPro,IF($D2621="","",IF(AND(R2621&lt;&gt;"",INDEX(Parties!$E$5:$E$304,R2621)&lt;&gt;"",INDEX(Parties!$E$5:$E$304,R2621)&lt;&gt;HomeState),ROUND(K2621*L2621,2),0)),"")</f>
        <v/>
      </c>
      <c r="P2621" s="61" t="str">
        <f aca="false">IF(IsPro,IF($D2621="","",K2621+M2621+N2621+O2621),"")</f>
        <v/>
      </c>
      <c r="Q2621" s="60" t="str">
        <f aca="false">IF(IsPro,IF($D2621="","",IFERROR(MATCH($D2621,Items!$A$5:$A$504,0),"")),"")</f>
        <v/>
      </c>
      <c r="R2621" s="60" t="str">
        <f aca="false">IF(IsPro,IF($C2621="","",IFERROR(MATCH($C2621,Parties!$A$5:$A$304,0),"")),"")</f>
        <v/>
      </c>
      <c r="S2621" s="61" t="str">
        <f aca="false">IF(IsPro,IF($D2621="","",IF(OR($H2621="",$H2621="Credit"),0,P2621)),"")</f>
        <v/>
      </c>
    </row>
    <row r="2622" customFormat="false" ht="15" hidden="false" customHeight="false" outlineLevel="0" collapsed="false">
      <c r="A2622" s="55"/>
      <c r="B2622" s="56"/>
      <c r="C2622" s="56"/>
      <c r="D2622" s="56"/>
      <c r="E2622" s="57"/>
      <c r="F2622" s="58"/>
      <c r="G2622" s="59"/>
      <c r="H2622" s="56"/>
      <c r="I2622" s="60" t="str">
        <f aca="false">IF(IsPro,IF($D2622="","",IFERROR(INDEX(Items!$D$5:$D$504,Q2622),"")),IF($D2622="","","PRO PLAN"))</f>
        <v/>
      </c>
      <c r="J2622" s="61" t="str">
        <f aca="false">IF(IsPro,IF($D2622="","",IF($F2622="",IFERROR(INDEX(Items!$G$5:$G$504,Q2622),0),$F2622)),"")</f>
        <v/>
      </c>
      <c r="K2622" s="61" t="str">
        <f aca="false">IF(IsPro,IF($D2622="","",ROUND(N($E2622)*J2622*(1-N($G2622)),2)),"")</f>
        <v/>
      </c>
      <c r="L2622" s="62" t="str">
        <f aca="false">IF(IsPro,IF($D2622="","",IFERROR(INDEX(Items!$F$5:$F$504,Q2622),0)),"")</f>
        <v/>
      </c>
      <c r="M2622" s="61" t="str">
        <f aca="false">IF(IsPro,IF($D2622="","",IF(AND(R2622&lt;&gt;"",INDEX(Parties!$E$5:$E$304,R2622)&lt;&gt;"",INDEX(Parties!$E$5:$E$304,R2622)&lt;&gt;HomeState),0,ROUND(K2622*L2622/2,2))),"")</f>
        <v/>
      </c>
      <c r="N2622" s="61" t="str">
        <f aca="false">IF(IsPro,IF($D2622="","",M2622),"")</f>
        <v/>
      </c>
      <c r="O2622" s="61" t="str">
        <f aca="false">IF(IsPro,IF($D2622="","",IF(AND(R2622&lt;&gt;"",INDEX(Parties!$E$5:$E$304,R2622)&lt;&gt;"",INDEX(Parties!$E$5:$E$304,R2622)&lt;&gt;HomeState),ROUND(K2622*L2622,2),0)),"")</f>
        <v/>
      </c>
      <c r="P2622" s="61" t="str">
        <f aca="false">IF(IsPro,IF($D2622="","",K2622+M2622+N2622+O2622),"")</f>
        <v/>
      </c>
      <c r="Q2622" s="60" t="str">
        <f aca="false">IF(IsPro,IF($D2622="","",IFERROR(MATCH($D2622,Items!$A$5:$A$504,0),"")),"")</f>
        <v/>
      </c>
      <c r="R2622" s="60" t="str">
        <f aca="false">IF(IsPro,IF($C2622="","",IFERROR(MATCH($C2622,Parties!$A$5:$A$304,0),"")),"")</f>
        <v/>
      </c>
      <c r="S2622" s="61" t="str">
        <f aca="false">IF(IsPro,IF($D2622="","",IF(OR($H2622="",$H2622="Credit"),0,P2622)),"")</f>
        <v/>
      </c>
    </row>
    <row r="2623" customFormat="false" ht="15" hidden="false" customHeight="false" outlineLevel="0" collapsed="false">
      <c r="A2623" s="55"/>
      <c r="B2623" s="56"/>
      <c r="C2623" s="56"/>
      <c r="D2623" s="56"/>
      <c r="E2623" s="57"/>
      <c r="F2623" s="58"/>
      <c r="G2623" s="59"/>
      <c r="H2623" s="56"/>
      <c r="I2623" s="60" t="str">
        <f aca="false">IF(IsPro,IF($D2623="","",IFERROR(INDEX(Items!$D$5:$D$504,Q2623),"")),IF($D2623="","","PRO PLAN"))</f>
        <v/>
      </c>
      <c r="J2623" s="61" t="str">
        <f aca="false">IF(IsPro,IF($D2623="","",IF($F2623="",IFERROR(INDEX(Items!$G$5:$G$504,Q2623),0),$F2623)),"")</f>
        <v/>
      </c>
      <c r="K2623" s="61" t="str">
        <f aca="false">IF(IsPro,IF($D2623="","",ROUND(N($E2623)*J2623*(1-N($G2623)),2)),"")</f>
        <v/>
      </c>
      <c r="L2623" s="62" t="str">
        <f aca="false">IF(IsPro,IF($D2623="","",IFERROR(INDEX(Items!$F$5:$F$504,Q2623),0)),"")</f>
        <v/>
      </c>
      <c r="M2623" s="61" t="str">
        <f aca="false">IF(IsPro,IF($D2623="","",IF(AND(R2623&lt;&gt;"",INDEX(Parties!$E$5:$E$304,R2623)&lt;&gt;"",INDEX(Parties!$E$5:$E$304,R2623)&lt;&gt;HomeState),0,ROUND(K2623*L2623/2,2))),"")</f>
        <v/>
      </c>
      <c r="N2623" s="61" t="str">
        <f aca="false">IF(IsPro,IF($D2623="","",M2623),"")</f>
        <v/>
      </c>
      <c r="O2623" s="61" t="str">
        <f aca="false">IF(IsPro,IF($D2623="","",IF(AND(R2623&lt;&gt;"",INDEX(Parties!$E$5:$E$304,R2623)&lt;&gt;"",INDEX(Parties!$E$5:$E$304,R2623)&lt;&gt;HomeState),ROUND(K2623*L2623,2),0)),"")</f>
        <v/>
      </c>
      <c r="P2623" s="61" t="str">
        <f aca="false">IF(IsPro,IF($D2623="","",K2623+M2623+N2623+O2623),"")</f>
        <v/>
      </c>
      <c r="Q2623" s="60" t="str">
        <f aca="false">IF(IsPro,IF($D2623="","",IFERROR(MATCH($D2623,Items!$A$5:$A$504,0),"")),"")</f>
        <v/>
      </c>
      <c r="R2623" s="60" t="str">
        <f aca="false">IF(IsPro,IF($C2623="","",IFERROR(MATCH($C2623,Parties!$A$5:$A$304,0),"")),"")</f>
        <v/>
      </c>
      <c r="S2623" s="61" t="str">
        <f aca="false">IF(IsPro,IF($D2623="","",IF(OR($H2623="",$H2623="Credit"),0,P2623)),"")</f>
        <v/>
      </c>
    </row>
    <row r="2624" customFormat="false" ht="15" hidden="false" customHeight="false" outlineLevel="0" collapsed="false">
      <c r="A2624" s="55"/>
      <c r="B2624" s="56"/>
      <c r="C2624" s="56"/>
      <c r="D2624" s="56"/>
      <c r="E2624" s="57"/>
      <c r="F2624" s="58"/>
      <c r="G2624" s="59"/>
      <c r="H2624" s="56"/>
      <c r="I2624" s="60" t="str">
        <f aca="false">IF(IsPro,IF($D2624="","",IFERROR(INDEX(Items!$D$5:$D$504,Q2624),"")),IF($D2624="","","PRO PLAN"))</f>
        <v/>
      </c>
      <c r="J2624" s="61" t="str">
        <f aca="false">IF(IsPro,IF($D2624="","",IF($F2624="",IFERROR(INDEX(Items!$G$5:$G$504,Q2624),0),$F2624)),"")</f>
        <v/>
      </c>
      <c r="K2624" s="61" t="str">
        <f aca="false">IF(IsPro,IF($D2624="","",ROUND(N($E2624)*J2624*(1-N($G2624)),2)),"")</f>
        <v/>
      </c>
      <c r="L2624" s="62" t="str">
        <f aca="false">IF(IsPro,IF($D2624="","",IFERROR(INDEX(Items!$F$5:$F$504,Q2624),0)),"")</f>
        <v/>
      </c>
      <c r="M2624" s="61" t="str">
        <f aca="false">IF(IsPro,IF($D2624="","",IF(AND(R2624&lt;&gt;"",INDEX(Parties!$E$5:$E$304,R2624)&lt;&gt;"",INDEX(Parties!$E$5:$E$304,R2624)&lt;&gt;HomeState),0,ROUND(K2624*L2624/2,2))),"")</f>
        <v/>
      </c>
      <c r="N2624" s="61" t="str">
        <f aca="false">IF(IsPro,IF($D2624="","",M2624),"")</f>
        <v/>
      </c>
      <c r="O2624" s="61" t="str">
        <f aca="false">IF(IsPro,IF($D2624="","",IF(AND(R2624&lt;&gt;"",INDEX(Parties!$E$5:$E$304,R2624)&lt;&gt;"",INDEX(Parties!$E$5:$E$304,R2624)&lt;&gt;HomeState),ROUND(K2624*L2624,2),0)),"")</f>
        <v/>
      </c>
      <c r="P2624" s="61" t="str">
        <f aca="false">IF(IsPro,IF($D2624="","",K2624+M2624+N2624+O2624),"")</f>
        <v/>
      </c>
      <c r="Q2624" s="60" t="str">
        <f aca="false">IF(IsPro,IF($D2624="","",IFERROR(MATCH($D2624,Items!$A$5:$A$504,0),"")),"")</f>
        <v/>
      </c>
      <c r="R2624" s="60" t="str">
        <f aca="false">IF(IsPro,IF($C2624="","",IFERROR(MATCH($C2624,Parties!$A$5:$A$304,0),"")),"")</f>
        <v/>
      </c>
      <c r="S2624" s="61" t="str">
        <f aca="false">IF(IsPro,IF($D2624="","",IF(OR($H2624="",$H2624="Credit"),0,P2624)),"")</f>
        <v/>
      </c>
    </row>
    <row r="2625" customFormat="false" ht="15" hidden="false" customHeight="false" outlineLevel="0" collapsed="false">
      <c r="A2625" s="55"/>
      <c r="B2625" s="56"/>
      <c r="C2625" s="56"/>
      <c r="D2625" s="56"/>
      <c r="E2625" s="57"/>
      <c r="F2625" s="58"/>
      <c r="G2625" s="59"/>
      <c r="H2625" s="56"/>
      <c r="I2625" s="60" t="str">
        <f aca="false">IF(IsPro,IF($D2625="","",IFERROR(INDEX(Items!$D$5:$D$504,Q2625),"")),IF($D2625="","","PRO PLAN"))</f>
        <v/>
      </c>
      <c r="J2625" s="61" t="str">
        <f aca="false">IF(IsPro,IF($D2625="","",IF($F2625="",IFERROR(INDEX(Items!$G$5:$G$504,Q2625),0),$F2625)),"")</f>
        <v/>
      </c>
      <c r="K2625" s="61" t="str">
        <f aca="false">IF(IsPro,IF($D2625="","",ROUND(N($E2625)*J2625*(1-N($G2625)),2)),"")</f>
        <v/>
      </c>
      <c r="L2625" s="62" t="str">
        <f aca="false">IF(IsPro,IF($D2625="","",IFERROR(INDEX(Items!$F$5:$F$504,Q2625),0)),"")</f>
        <v/>
      </c>
      <c r="M2625" s="61" t="str">
        <f aca="false">IF(IsPro,IF($D2625="","",IF(AND(R2625&lt;&gt;"",INDEX(Parties!$E$5:$E$304,R2625)&lt;&gt;"",INDEX(Parties!$E$5:$E$304,R2625)&lt;&gt;HomeState),0,ROUND(K2625*L2625/2,2))),"")</f>
        <v/>
      </c>
      <c r="N2625" s="61" t="str">
        <f aca="false">IF(IsPro,IF($D2625="","",M2625),"")</f>
        <v/>
      </c>
      <c r="O2625" s="61" t="str">
        <f aca="false">IF(IsPro,IF($D2625="","",IF(AND(R2625&lt;&gt;"",INDEX(Parties!$E$5:$E$304,R2625)&lt;&gt;"",INDEX(Parties!$E$5:$E$304,R2625)&lt;&gt;HomeState),ROUND(K2625*L2625,2),0)),"")</f>
        <v/>
      </c>
      <c r="P2625" s="61" t="str">
        <f aca="false">IF(IsPro,IF($D2625="","",K2625+M2625+N2625+O2625),"")</f>
        <v/>
      </c>
      <c r="Q2625" s="60" t="str">
        <f aca="false">IF(IsPro,IF($D2625="","",IFERROR(MATCH($D2625,Items!$A$5:$A$504,0),"")),"")</f>
        <v/>
      </c>
      <c r="R2625" s="60" t="str">
        <f aca="false">IF(IsPro,IF($C2625="","",IFERROR(MATCH($C2625,Parties!$A$5:$A$304,0),"")),"")</f>
        <v/>
      </c>
      <c r="S2625" s="61" t="str">
        <f aca="false">IF(IsPro,IF($D2625="","",IF(OR($H2625="",$H2625="Credit"),0,P2625)),"")</f>
        <v/>
      </c>
    </row>
    <row r="2626" customFormat="false" ht="15" hidden="false" customHeight="false" outlineLevel="0" collapsed="false">
      <c r="A2626" s="55"/>
      <c r="B2626" s="56"/>
      <c r="C2626" s="56"/>
      <c r="D2626" s="56"/>
      <c r="E2626" s="57"/>
      <c r="F2626" s="58"/>
      <c r="G2626" s="59"/>
      <c r="H2626" s="56"/>
      <c r="I2626" s="60" t="str">
        <f aca="false">IF(IsPro,IF($D2626="","",IFERROR(INDEX(Items!$D$5:$D$504,Q2626),"")),IF($D2626="","","PRO PLAN"))</f>
        <v/>
      </c>
      <c r="J2626" s="61" t="str">
        <f aca="false">IF(IsPro,IF($D2626="","",IF($F2626="",IFERROR(INDEX(Items!$G$5:$G$504,Q2626),0),$F2626)),"")</f>
        <v/>
      </c>
      <c r="K2626" s="61" t="str">
        <f aca="false">IF(IsPro,IF($D2626="","",ROUND(N($E2626)*J2626*(1-N($G2626)),2)),"")</f>
        <v/>
      </c>
      <c r="L2626" s="62" t="str">
        <f aca="false">IF(IsPro,IF($D2626="","",IFERROR(INDEX(Items!$F$5:$F$504,Q2626),0)),"")</f>
        <v/>
      </c>
      <c r="M2626" s="61" t="str">
        <f aca="false">IF(IsPro,IF($D2626="","",IF(AND(R2626&lt;&gt;"",INDEX(Parties!$E$5:$E$304,R2626)&lt;&gt;"",INDEX(Parties!$E$5:$E$304,R2626)&lt;&gt;HomeState),0,ROUND(K2626*L2626/2,2))),"")</f>
        <v/>
      </c>
      <c r="N2626" s="61" t="str">
        <f aca="false">IF(IsPro,IF($D2626="","",M2626),"")</f>
        <v/>
      </c>
      <c r="O2626" s="61" t="str">
        <f aca="false">IF(IsPro,IF($D2626="","",IF(AND(R2626&lt;&gt;"",INDEX(Parties!$E$5:$E$304,R2626)&lt;&gt;"",INDEX(Parties!$E$5:$E$304,R2626)&lt;&gt;HomeState),ROUND(K2626*L2626,2),0)),"")</f>
        <v/>
      </c>
      <c r="P2626" s="61" t="str">
        <f aca="false">IF(IsPro,IF($D2626="","",K2626+M2626+N2626+O2626),"")</f>
        <v/>
      </c>
      <c r="Q2626" s="60" t="str">
        <f aca="false">IF(IsPro,IF($D2626="","",IFERROR(MATCH($D2626,Items!$A$5:$A$504,0),"")),"")</f>
        <v/>
      </c>
      <c r="R2626" s="60" t="str">
        <f aca="false">IF(IsPro,IF($C2626="","",IFERROR(MATCH($C2626,Parties!$A$5:$A$304,0),"")),"")</f>
        <v/>
      </c>
      <c r="S2626" s="61" t="str">
        <f aca="false">IF(IsPro,IF($D2626="","",IF(OR($H2626="",$H2626="Credit"),0,P2626)),"")</f>
        <v/>
      </c>
    </row>
    <row r="2627" customFormat="false" ht="15" hidden="false" customHeight="false" outlineLevel="0" collapsed="false">
      <c r="A2627" s="55"/>
      <c r="B2627" s="56"/>
      <c r="C2627" s="56"/>
      <c r="D2627" s="56"/>
      <c r="E2627" s="57"/>
      <c r="F2627" s="58"/>
      <c r="G2627" s="59"/>
      <c r="H2627" s="56"/>
      <c r="I2627" s="60" t="str">
        <f aca="false">IF(IsPro,IF($D2627="","",IFERROR(INDEX(Items!$D$5:$D$504,Q2627),"")),IF($D2627="","","PRO PLAN"))</f>
        <v/>
      </c>
      <c r="J2627" s="61" t="str">
        <f aca="false">IF(IsPro,IF($D2627="","",IF($F2627="",IFERROR(INDEX(Items!$G$5:$G$504,Q2627),0),$F2627)),"")</f>
        <v/>
      </c>
      <c r="K2627" s="61" t="str">
        <f aca="false">IF(IsPro,IF($D2627="","",ROUND(N($E2627)*J2627*(1-N($G2627)),2)),"")</f>
        <v/>
      </c>
      <c r="L2627" s="62" t="str">
        <f aca="false">IF(IsPro,IF($D2627="","",IFERROR(INDEX(Items!$F$5:$F$504,Q2627),0)),"")</f>
        <v/>
      </c>
      <c r="M2627" s="61" t="str">
        <f aca="false">IF(IsPro,IF($D2627="","",IF(AND(R2627&lt;&gt;"",INDEX(Parties!$E$5:$E$304,R2627)&lt;&gt;"",INDEX(Parties!$E$5:$E$304,R2627)&lt;&gt;HomeState),0,ROUND(K2627*L2627/2,2))),"")</f>
        <v/>
      </c>
      <c r="N2627" s="61" t="str">
        <f aca="false">IF(IsPro,IF($D2627="","",M2627),"")</f>
        <v/>
      </c>
      <c r="O2627" s="61" t="str">
        <f aca="false">IF(IsPro,IF($D2627="","",IF(AND(R2627&lt;&gt;"",INDEX(Parties!$E$5:$E$304,R2627)&lt;&gt;"",INDEX(Parties!$E$5:$E$304,R2627)&lt;&gt;HomeState),ROUND(K2627*L2627,2),0)),"")</f>
        <v/>
      </c>
      <c r="P2627" s="61" t="str">
        <f aca="false">IF(IsPro,IF($D2627="","",K2627+M2627+N2627+O2627),"")</f>
        <v/>
      </c>
      <c r="Q2627" s="60" t="str">
        <f aca="false">IF(IsPro,IF($D2627="","",IFERROR(MATCH($D2627,Items!$A$5:$A$504,0),"")),"")</f>
        <v/>
      </c>
      <c r="R2627" s="60" t="str">
        <f aca="false">IF(IsPro,IF($C2627="","",IFERROR(MATCH($C2627,Parties!$A$5:$A$304,0),"")),"")</f>
        <v/>
      </c>
      <c r="S2627" s="61" t="str">
        <f aca="false">IF(IsPro,IF($D2627="","",IF(OR($H2627="",$H2627="Credit"),0,P2627)),"")</f>
        <v/>
      </c>
    </row>
    <row r="2628" customFormat="false" ht="15" hidden="false" customHeight="false" outlineLevel="0" collapsed="false">
      <c r="A2628" s="55"/>
      <c r="B2628" s="56"/>
      <c r="C2628" s="56"/>
      <c r="D2628" s="56"/>
      <c r="E2628" s="57"/>
      <c r="F2628" s="58"/>
      <c r="G2628" s="59"/>
      <c r="H2628" s="56"/>
      <c r="I2628" s="60" t="str">
        <f aca="false">IF(IsPro,IF($D2628="","",IFERROR(INDEX(Items!$D$5:$D$504,Q2628),"")),IF($D2628="","","PRO PLAN"))</f>
        <v/>
      </c>
      <c r="J2628" s="61" t="str">
        <f aca="false">IF(IsPro,IF($D2628="","",IF($F2628="",IFERROR(INDEX(Items!$G$5:$G$504,Q2628),0),$F2628)),"")</f>
        <v/>
      </c>
      <c r="K2628" s="61" t="str">
        <f aca="false">IF(IsPro,IF($D2628="","",ROUND(N($E2628)*J2628*(1-N($G2628)),2)),"")</f>
        <v/>
      </c>
      <c r="L2628" s="62" t="str">
        <f aca="false">IF(IsPro,IF($D2628="","",IFERROR(INDEX(Items!$F$5:$F$504,Q2628),0)),"")</f>
        <v/>
      </c>
      <c r="M2628" s="61" t="str">
        <f aca="false">IF(IsPro,IF($D2628="","",IF(AND(R2628&lt;&gt;"",INDEX(Parties!$E$5:$E$304,R2628)&lt;&gt;"",INDEX(Parties!$E$5:$E$304,R2628)&lt;&gt;HomeState),0,ROUND(K2628*L2628/2,2))),"")</f>
        <v/>
      </c>
      <c r="N2628" s="61" t="str">
        <f aca="false">IF(IsPro,IF($D2628="","",M2628),"")</f>
        <v/>
      </c>
      <c r="O2628" s="61" t="str">
        <f aca="false">IF(IsPro,IF($D2628="","",IF(AND(R2628&lt;&gt;"",INDEX(Parties!$E$5:$E$304,R2628)&lt;&gt;"",INDEX(Parties!$E$5:$E$304,R2628)&lt;&gt;HomeState),ROUND(K2628*L2628,2),0)),"")</f>
        <v/>
      </c>
      <c r="P2628" s="61" t="str">
        <f aca="false">IF(IsPro,IF($D2628="","",K2628+M2628+N2628+O2628),"")</f>
        <v/>
      </c>
      <c r="Q2628" s="60" t="str">
        <f aca="false">IF(IsPro,IF($D2628="","",IFERROR(MATCH($D2628,Items!$A$5:$A$504,0),"")),"")</f>
        <v/>
      </c>
      <c r="R2628" s="60" t="str">
        <f aca="false">IF(IsPro,IF($C2628="","",IFERROR(MATCH($C2628,Parties!$A$5:$A$304,0),"")),"")</f>
        <v/>
      </c>
      <c r="S2628" s="61" t="str">
        <f aca="false">IF(IsPro,IF($D2628="","",IF(OR($H2628="",$H2628="Credit"),0,P2628)),"")</f>
        <v/>
      </c>
    </row>
    <row r="2629" customFormat="false" ht="15" hidden="false" customHeight="false" outlineLevel="0" collapsed="false">
      <c r="A2629" s="55"/>
      <c r="B2629" s="56"/>
      <c r="C2629" s="56"/>
      <c r="D2629" s="56"/>
      <c r="E2629" s="57"/>
      <c r="F2629" s="58"/>
      <c r="G2629" s="59"/>
      <c r="H2629" s="56"/>
      <c r="I2629" s="60" t="str">
        <f aca="false">IF(IsPro,IF($D2629="","",IFERROR(INDEX(Items!$D$5:$D$504,Q2629),"")),IF($D2629="","","PRO PLAN"))</f>
        <v/>
      </c>
      <c r="J2629" s="61" t="str">
        <f aca="false">IF(IsPro,IF($D2629="","",IF($F2629="",IFERROR(INDEX(Items!$G$5:$G$504,Q2629),0),$F2629)),"")</f>
        <v/>
      </c>
      <c r="K2629" s="61" t="str">
        <f aca="false">IF(IsPro,IF($D2629="","",ROUND(N($E2629)*J2629*(1-N($G2629)),2)),"")</f>
        <v/>
      </c>
      <c r="L2629" s="62" t="str">
        <f aca="false">IF(IsPro,IF($D2629="","",IFERROR(INDEX(Items!$F$5:$F$504,Q2629),0)),"")</f>
        <v/>
      </c>
      <c r="M2629" s="61" t="str">
        <f aca="false">IF(IsPro,IF($D2629="","",IF(AND(R2629&lt;&gt;"",INDEX(Parties!$E$5:$E$304,R2629)&lt;&gt;"",INDEX(Parties!$E$5:$E$304,R2629)&lt;&gt;HomeState),0,ROUND(K2629*L2629/2,2))),"")</f>
        <v/>
      </c>
      <c r="N2629" s="61" t="str">
        <f aca="false">IF(IsPro,IF($D2629="","",M2629),"")</f>
        <v/>
      </c>
      <c r="O2629" s="61" t="str">
        <f aca="false">IF(IsPro,IF($D2629="","",IF(AND(R2629&lt;&gt;"",INDEX(Parties!$E$5:$E$304,R2629)&lt;&gt;"",INDEX(Parties!$E$5:$E$304,R2629)&lt;&gt;HomeState),ROUND(K2629*L2629,2),0)),"")</f>
        <v/>
      </c>
      <c r="P2629" s="61" t="str">
        <f aca="false">IF(IsPro,IF($D2629="","",K2629+M2629+N2629+O2629),"")</f>
        <v/>
      </c>
      <c r="Q2629" s="60" t="str">
        <f aca="false">IF(IsPro,IF($D2629="","",IFERROR(MATCH($D2629,Items!$A$5:$A$504,0),"")),"")</f>
        <v/>
      </c>
      <c r="R2629" s="60" t="str">
        <f aca="false">IF(IsPro,IF($C2629="","",IFERROR(MATCH($C2629,Parties!$A$5:$A$304,0),"")),"")</f>
        <v/>
      </c>
      <c r="S2629" s="61" t="str">
        <f aca="false">IF(IsPro,IF($D2629="","",IF(OR($H2629="",$H2629="Credit"),0,P2629)),"")</f>
        <v/>
      </c>
    </row>
    <row r="2630" customFormat="false" ht="15" hidden="false" customHeight="false" outlineLevel="0" collapsed="false">
      <c r="A2630" s="55"/>
      <c r="B2630" s="56"/>
      <c r="C2630" s="56"/>
      <c r="D2630" s="56"/>
      <c r="E2630" s="57"/>
      <c r="F2630" s="58"/>
      <c r="G2630" s="59"/>
      <c r="H2630" s="56"/>
      <c r="I2630" s="60" t="str">
        <f aca="false">IF(IsPro,IF($D2630="","",IFERROR(INDEX(Items!$D$5:$D$504,Q2630),"")),IF($D2630="","","PRO PLAN"))</f>
        <v/>
      </c>
      <c r="J2630" s="61" t="str">
        <f aca="false">IF(IsPro,IF($D2630="","",IF($F2630="",IFERROR(INDEX(Items!$G$5:$G$504,Q2630),0),$F2630)),"")</f>
        <v/>
      </c>
      <c r="K2630" s="61" t="str">
        <f aca="false">IF(IsPro,IF($D2630="","",ROUND(N($E2630)*J2630*(1-N($G2630)),2)),"")</f>
        <v/>
      </c>
      <c r="L2630" s="62" t="str">
        <f aca="false">IF(IsPro,IF($D2630="","",IFERROR(INDEX(Items!$F$5:$F$504,Q2630),0)),"")</f>
        <v/>
      </c>
      <c r="M2630" s="61" t="str">
        <f aca="false">IF(IsPro,IF($D2630="","",IF(AND(R2630&lt;&gt;"",INDEX(Parties!$E$5:$E$304,R2630)&lt;&gt;"",INDEX(Parties!$E$5:$E$304,R2630)&lt;&gt;HomeState),0,ROUND(K2630*L2630/2,2))),"")</f>
        <v/>
      </c>
      <c r="N2630" s="61" t="str">
        <f aca="false">IF(IsPro,IF($D2630="","",M2630),"")</f>
        <v/>
      </c>
      <c r="O2630" s="61" t="str">
        <f aca="false">IF(IsPro,IF($D2630="","",IF(AND(R2630&lt;&gt;"",INDEX(Parties!$E$5:$E$304,R2630)&lt;&gt;"",INDEX(Parties!$E$5:$E$304,R2630)&lt;&gt;HomeState),ROUND(K2630*L2630,2),0)),"")</f>
        <v/>
      </c>
      <c r="P2630" s="61" t="str">
        <f aca="false">IF(IsPro,IF($D2630="","",K2630+M2630+N2630+O2630),"")</f>
        <v/>
      </c>
      <c r="Q2630" s="60" t="str">
        <f aca="false">IF(IsPro,IF($D2630="","",IFERROR(MATCH($D2630,Items!$A$5:$A$504,0),"")),"")</f>
        <v/>
      </c>
      <c r="R2630" s="60" t="str">
        <f aca="false">IF(IsPro,IF($C2630="","",IFERROR(MATCH($C2630,Parties!$A$5:$A$304,0),"")),"")</f>
        <v/>
      </c>
      <c r="S2630" s="61" t="str">
        <f aca="false">IF(IsPro,IF($D2630="","",IF(OR($H2630="",$H2630="Credit"),0,P2630)),"")</f>
        <v/>
      </c>
    </row>
    <row r="2631" customFormat="false" ht="15" hidden="false" customHeight="false" outlineLevel="0" collapsed="false">
      <c r="A2631" s="55"/>
      <c r="B2631" s="56"/>
      <c r="C2631" s="56"/>
      <c r="D2631" s="56"/>
      <c r="E2631" s="57"/>
      <c r="F2631" s="58"/>
      <c r="G2631" s="59"/>
      <c r="H2631" s="56"/>
      <c r="I2631" s="60" t="str">
        <f aca="false">IF(IsPro,IF($D2631="","",IFERROR(INDEX(Items!$D$5:$D$504,Q2631),"")),IF($D2631="","","PRO PLAN"))</f>
        <v/>
      </c>
      <c r="J2631" s="61" t="str">
        <f aca="false">IF(IsPro,IF($D2631="","",IF($F2631="",IFERROR(INDEX(Items!$G$5:$G$504,Q2631),0),$F2631)),"")</f>
        <v/>
      </c>
      <c r="K2631" s="61" t="str">
        <f aca="false">IF(IsPro,IF($D2631="","",ROUND(N($E2631)*J2631*(1-N($G2631)),2)),"")</f>
        <v/>
      </c>
      <c r="L2631" s="62" t="str">
        <f aca="false">IF(IsPro,IF($D2631="","",IFERROR(INDEX(Items!$F$5:$F$504,Q2631),0)),"")</f>
        <v/>
      </c>
      <c r="M2631" s="61" t="str">
        <f aca="false">IF(IsPro,IF($D2631="","",IF(AND(R2631&lt;&gt;"",INDEX(Parties!$E$5:$E$304,R2631)&lt;&gt;"",INDEX(Parties!$E$5:$E$304,R2631)&lt;&gt;HomeState),0,ROUND(K2631*L2631/2,2))),"")</f>
        <v/>
      </c>
      <c r="N2631" s="61" t="str">
        <f aca="false">IF(IsPro,IF($D2631="","",M2631),"")</f>
        <v/>
      </c>
      <c r="O2631" s="61" t="str">
        <f aca="false">IF(IsPro,IF($D2631="","",IF(AND(R2631&lt;&gt;"",INDEX(Parties!$E$5:$E$304,R2631)&lt;&gt;"",INDEX(Parties!$E$5:$E$304,R2631)&lt;&gt;HomeState),ROUND(K2631*L2631,2),0)),"")</f>
        <v/>
      </c>
      <c r="P2631" s="61" t="str">
        <f aca="false">IF(IsPro,IF($D2631="","",K2631+M2631+N2631+O2631),"")</f>
        <v/>
      </c>
      <c r="Q2631" s="60" t="str">
        <f aca="false">IF(IsPro,IF($D2631="","",IFERROR(MATCH($D2631,Items!$A$5:$A$504,0),"")),"")</f>
        <v/>
      </c>
      <c r="R2631" s="60" t="str">
        <f aca="false">IF(IsPro,IF($C2631="","",IFERROR(MATCH($C2631,Parties!$A$5:$A$304,0),"")),"")</f>
        <v/>
      </c>
      <c r="S2631" s="61" t="str">
        <f aca="false">IF(IsPro,IF($D2631="","",IF(OR($H2631="",$H2631="Credit"),0,P2631)),"")</f>
        <v/>
      </c>
    </row>
    <row r="2632" customFormat="false" ht="15" hidden="false" customHeight="false" outlineLevel="0" collapsed="false">
      <c r="A2632" s="55"/>
      <c r="B2632" s="56"/>
      <c r="C2632" s="56"/>
      <c r="D2632" s="56"/>
      <c r="E2632" s="57"/>
      <c r="F2632" s="58"/>
      <c r="G2632" s="59"/>
      <c r="H2632" s="56"/>
      <c r="I2632" s="60" t="str">
        <f aca="false">IF(IsPro,IF($D2632="","",IFERROR(INDEX(Items!$D$5:$D$504,Q2632),"")),IF($D2632="","","PRO PLAN"))</f>
        <v/>
      </c>
      <c r="J2632" s="61" t="str">
        <f aca="false">IF(IsPro,IF($D2632="","",IF($F2632="",IFERROR(INDEX(Items!$G$5:$G$504,Q2632),0),$F2632)),"")</f>
        <v/>
      </c>
      <c r="K2632" s="61" t="str">
        <f aca="false">IF(IsPro,IF($D2632="","",ROUND(N($E2632)*J2632*(1-N($G2632)),2)),"")</f>
        <v/>
      </c>
      <c r="L2632" s="62" t="str">
        <f aca="false">IF(IsPro,IF($D2632="","",IFERROR(INDEX(Items!$F$5:$F$504,Q2632),0)),"")</f>
        <v/>
      </c>
      <c r="M2632" s="61" t="str">
        <f aca="false">IF(IsPro,IF($D2632="","",IF(AND(R2632&lt;&gt;"",INDEX(Parties!$E$5:$E$304,R2632)&lt;&gt;"",INDEX(Parties!$E$5:$E$304,R2632)&lt;&gt;HomeState),0,ROUND(K2632*L2632/2,2))),"")</f>
        <v/>
      </c>
      <c r="N2632" s="61" t="str">
        <f aca="false">IF(IsPro,IF($D2632="","",M2632),"")</f>
        <v/>
      </c>
      <c r="O2632" s="61" t="str">
        <f aca="false">IF(IsPro,IF($D2632="","",IF(AND(R2632&lt;&gt;"",INDEX(Parties!$E$5:$E$304,R2632)&lt;&gt;"",INDEX(Parties!$E$5:$E$304,R2632)&lt;&gt;HomeState),ROUND(K2632*L2632,2),0)),"")</f>
        <v/>
      </c>
      <c r="P2632" s="61" t="str">
        <f aca="false">IF(IsPro,IF($D2632="","",K2632+M2632+N2632+O2632),"")</f>
        <v/>
      </c>
      <c r="Q2632" s="60" t="str">
        <f aca="false">IF(IsPro,IF($D2632="","",IFERROR(MATCH($D2632,Items!$A$5:$A$504,0),"")),"")</f>
        <v/>
      </c>
      <c r="R2632" s="60" t="str">
        <f aca="false">IF(IsPro,IF($C2632="","",IFERROR(MATCH($C2632,Parties!$A$5:$A$304,0),"")),"")</f>
        <v/>
      </c>
      <c r="S2632" s="61" t="str">
        <f aca="false">IF(IsPro,IF($D2632="","",IF(OR($H2632="",$H2632="Credit"),0,P2632)),"")</f>
        <v/>
      </c>
    </row>
    <row r="2633" customFormat="false" ht="15" hidden="false" customHeight="false" outlineLevel="0" collapsed="false">
      <c r="A2633" s="55"/>
      <c r="B2633" s="56"/>
      <c r="C2633" s="56"/>
      <c r="D2633" s="56"/>
      <c r="E2633" s="57"/>
      <c r="F2633" s="58"/>
      <c r="G2633" s="59"/>
      <c r="H2633" s="56"/>
      <c r="I2633" s="60" t="str">
        <f aca="false">IF(IsPro,IF($D2633="","",IFERROR(INDEX(Items!$D$5:$D$504,Q2633),"")),IF($D2633="","","PRO PLAN"))</f>
        <v/>
      </c>
      <c r="J2633" s="61" t="str">
        <f aca="false">IF(IsPro,IF($D2633="","",IF($F2633="",IFERROR(INDEX(Items!$G$5:$G$504,Q2633),0),$F2633)),"")</f>
        <v/>
      </c>
      <c r="K2633" s="61" t="str">
        <f aca="false">IF(IsPro,IF($D2633="","",ROUND(N($E2633)*J2633*(1-N($G2633)),2)),"")</f>
        <v/>
      </c>
      <c r="L2633" s="62" t="str">
        <f aca="false">IF(IsPro,IF($D2633="","",IFERROR(INDEX(Items!$F$5:$F$504,Q2633),0)),"")</f>
        <v/>
      </c>
      <c r="M2633" s="61" t="str">
        <f aca="false">IF(IsPro,IF($D2633="","",IF(AND(R2633&lt;&gt;"",INDEX(Parties!$E$5:$E$304,R2633)&lt;&gt;"",INDEX(Parties!$E$5:$E$304,R2633)&lt;&gt;HomeState),0,ROUND(K2633*L2633/2,2))),"")</f>
        <v/>
      </c>
      <c r="N2633" s="61" t="str">
        <f aca="false">IF(IsPro,IF($D2633="","",M2633),"")</f>
        <v/>
      </c>
      <c r="O2633" s="61" t="str">
        <f aca="false">IF(IsPro,IF($D2633="","",IF(AND(R2633&lt;&gt;"",INDEX(Parties!$E$5:$E$304,R2633)&lt;&gt;"",INDEX(Parties!$E$5:$E$304,R2633)&lt;&gt;HomeState),ROUND(K2633*L2633,2),0)),"")</f>
        <v/>
      </c>
      <c r="P2633" s="61" t="str">
        <f aca="false">IF(IsPro,IF($D2633="","",K2633+M2633+N2633+O2633),"")</f>
        <v/>
      </c>
      <c r="Q2633" s="60" t="str">
        <f aca="false">IF(IsPro,IF($D2633="","",IFERROR(MATCH($D2633,Items!$A$5:$A$504,0),"")),"")</f>
        <v/>
      </c>
      <c r="R2633" s="60" t="str">
        <f aca="false">IF(IsPro,IF($C2633="","",IFERROR(MATCH($C2633,Parties!$A$5:$A$304,0),"")),"")</f>
        <v/>
      </c>
      <c r="S2633" s="61" t="str">
        <f aca="false">IF(IsPro,IF($D2633="","",IF(OR($H2633="",$H2633="Credit"),0,P2633)),"")</f>
        <v/>
      </c>
    </row>
    <row r="2634" customFormat="false" ht="15" hidden="false" customHeight="false" outlineLevel="0" collapsed="false">
      <c r="A2634" s="55"/>
      <c r="B2634" s="56"/>
      <c r="C2634" s="56"/>
      <c r="D2634" s="56"/>
      <c r="E2634" s="57"/>
      <c r="F2634" s="58"/>
      <c r="G2634" s="59"/>
      <c r="H2634" s="56"/>
      <c r="I2634" s="60" t="str">
        <f aca="false">IF(IsPro,IF($D2634="","",IFERROR(INDEX(Items!$D$5:$D$504,Q2634),"")),IF($D2634="","","PRO PLAN"))</f>
        <v/>
      </c>
      <c r="J2634" s="61" t="str">
        <f aca="false">IF(IsPro,IF($D2634="","",IF($F2634="",IFERROR(INDEX(Items!$G$5:$G$504,Q2634),0),$F2634)),"")</f>
        <v/>
      </c>
      <c r="K2634" s="61" t="str">
        <f aca="false">IF(IsPro,IF($D2634="","",ROUND(N($E2634)*J2634*(1-N($G2634)),2)),"")</f>
        <v/>
      </c>
      <c r="L2634" s="62" t="str">
        <f aca="false">IF(IsPro,IF($D2634="","",IFERROR(INDEX(Items!$F$5:$F$504,Q2634),0)),"")</f>
        <v/>
      </c>
      <c r="M2634" s="61" t="str">
        <f aca="false">IF(IsPro,IF($D2634="","",IF(AND(R2634&lt;&gt;"",INDEX(Parties!$E$5:$E$304,R2634)&lt;&gt;"",INDEX(Parties!$E$5:$E$304,R2634)&lt;&gt;HomeState),0,ROUND(K2634*L2634/2,2))),"")</f>
        <v/>
      </c>
      <c r="N2634" s="61" t="str">
        <f aca="false">IF(IsPro,IF($D2634="","",M2634),"")</f>
        <v/>
      </c>
      <c r="O2634" s="61" t="str">
        <f aca="false">IF(IsPro,IF($D2634="","",IF(AND(R2634&lt;&gt;"",INDEX(Parties!$E$5:$E$304,R2634)&lt;&gt;"",INDEX(Parties!$E$5:$E$304,R2634)&lt;&gt;HomeState),ROUND(K2634*L2634,2),0)),"")</f>
        <v/>
      </c>
      <c r="P2634" s="61" t="str">
        <f aca="false">IF(IsPro,IF($D2634="","",K2634+M2634+N2634+O2634),"")</f>
        <v/>
      </c>
      <c r="Q2634" s="60" t="str">
        <f aca="false">IF(IsPro,IF($D2634="","",IFERROR(MATCH($D2634,Items!$A$5:$A$504,0),"")),"")</f>
        <v/>
      </c>
      <c r="R2634" s="60" t="str">
        <f aca="false">IF(IsPro,IF($C2634="","",IFERROR(MATCH($C2634,Parties!$A$5:$A$304,0),"")),"")</f>
        <v/>
      </c>
      <c r="S2634" s="61" t="str">
        <f aca="false">IF(IsPro,IF($D2634="","",IF(OR($H2634="",$H2634="Credit"),0,P2634)),"")</f>
        <v/>
      </c>
    </row>
    <row r="2635" customFormat="false" ht="15" hidden="false" customHeight="false" outlineLevel="0" collapsed="false">
      <c r="A2635" s="55"/>
      <c r="B2635" s="56"/>
      <c r="C2635" s="56"/>
      <c r="D2635" s="56"/>
      <c r="E2635" s="57"/>
      <c r="F2635" s="58"/>
      <c r="G2635" s="59"/>
      <c r="H2635" s="56"/>
      <c r="I2635" s="60" t="str">
        <f aca="false">IF(IsPro,IF($D2635="","",IFERROR(INDEX(Items!$D$5:$D$504,Q2635),"")),IF($D2635="","","PRO PLAN"))</f>
        <v/>
      </c>
      <c r="J2635" s="61" t="str">
        <f aca="false">IF(IsPro,IF($D2635="","",IF($F2635="",IFERROR(INDEX(Items!$G$5:$G$504,Q2635),0),$F2635)),"")</f>
        <v/>
      </c>
      <c r="K2635" s="61" t="str">
        <f aca="false">IF(IsPro,IF($D2635="","",ROUND(N($E2635)*J2635*(1-N($G2635)),2)),"")</f>
        <v/>
      </c>
      <c r="L2635" s="62" t="str">
        <f aca="false">IF(IsPro,IF($D2635="","",IFERROR(INDEX(Items!$F$5:$F$504,Q2635),0)),"")</f>
        <v/>
      </c>
      <c r="M2635" s="61" t="str">
        <f aca="false">IF(IsPro,IF($D2635="","",IF(AND(R2635&lt;&gt;"",INDEX(Parties!$E$5:$E$304,R2635)&lt;&gt;"",INDEX(Parties!$E$5:$E$304,R2635)&lt;&gt;HomeState),0,ROUND(K2635*L2635/2,2))),"")</f>
        <v/>
      </c>
      <c r="N2635" s="61" t="str">
        <f aca="false">IF(IsPro,IF($D2635="","",M2635),"")</f>
        <v/>
      </c>
      <c r="O2635" s="61" t="str">
        <f aca="false">IF(IsPro,IF($D2635="","",IF(AND(R2635&lt;&gt;"",INDEX(Parties!$E$5:$E$304,R2635)&lt;&gt;"",INDEX(Parties!$E$5:$E$304,R2635)&lt;&gt;HomeState),ROUND(K2635*L2635,2),0)),"")</f>
        <v/>
      </c>
      <c r="P2635" s="61" t="str">
        <f aca="false">IF(IsPro,IF($D2635="","",K2635+M2635+N2635+O2635),"")</f>
        <v/>
      </c>
      <c r="Q2635" s="60" t="str">
        <f aca="false">IF(IsPro,IF($D2635="","",IFERROR(MATCH($D2635,Items!$A$5:$A$504,0),"")),"")</f>
        <v/>
      </c>
      <c r="R2635" s="60" t="str">
        <f aca="false">IF(IsPro,IF($C2635="","",IFERROR(MATCH($C2635,Parties!$A$5:$A$304,0),"")),"")</f>
        <v/>
      </c>
      <c r="S2635" s="61" t="str">
        <f aca="false">IF(IsPro,IF($D2635="","",IF(OR($H2635="",$H2635="Credit"),0,P2635)),"")</f>
        <v/>
      </c>
    </row>
    <row r="2636" customFormat="false" ht="15" hidden="false" customHeight="false" outlineLevel="0" collapsed="false">
      <c r="A2636" s="55"/>
      <c r="B2636" s="56"/>
      <c r="C2636" s="56"/>
      <c r="D2636" s="56"/>
      <c r="E2636" s="57"/>
      <c r="F2636" s="58"/>
      <c r="G2636" s="59"/>
      <c r="H2636" s="56"/>
      <c r="I2636" s="60" t="str">
        <f aca="false">IF(IsPro,IF($D2636="","",IFERROR(INDEX(Items!$D$5:$D$504,Q2636),"")),IF($D2636="","","PRO PLAN"))</f>
        <v/>
      </c>
      <c r="J2636" s="61" t="str">
        <f aca="false">IF(IsPro,IF($D2636="","",IF($F2636="",IFERROR(INDEX(Items!$G$5:$G$504,Q2636),0),$F2636)),"")</f>
        <v/>
      </c>
      <c r="K2636" s="61" t="str">
        <f aca="false">IF(IsPro,IF($D2636="","",ROUND(N($E2636)*J2636*(1-N($G2636)),2)),"")</f>
        <v/>
      </c>
      <c r="L2636" s="62" t="str">
        <f aca="false">IF(IsPro,IF($D2636="","",IFERROR(INDEX(Items!$F$5:$F$504,Q2636),0)),"")</f>
        <v/>
      </c>
      <c r="M2636" s="61" t="str">
        <f aca="false">IF(IsPro,IF($D2636="","",IF(AND(R2636&lt;&gt;"",INDEX(Parties!$E$5:$E$304,R2636)&lt;&gt;"",INDEX(Parties!$E$5:$E$304,R2636)&lt;&gt;HomeState),0,ROUND(K2636*L2636/2,2))),"")</f>
        <v/>
      </c>
      <c r="N2636" s="61" t="str">
        <f aca="false">IF(IsPro,IF($D2636="","",M2636),"")</f>
        <v/>
      </c>
      <c r="O2636" s="61" t="str">
        <f aca="false">IF(IsPro,IF($D2636="","",IF(AND(R2636&lt;&gt;"",INDEX(Parties!$E$5:$E$304,R2636)&lt;&gt;"",INDEX(Parties!$E$5:$E$304,R2636)&lt;&gt;HomeState),ROUND(K2636*L2636,2),0)),"")</f>
        <v/>
      </c>
      <c r="P2636" s="61" t="str">
        <f aca="false">IF(IsPro,IF($D2636="","",K2636+M2636+N2636+O2636),"")</f>
        <v/>
      </c>
      <c r="Q2636" s="60" t="str">
        <f aca="false">IF(IsPro,IF($D2636="","",IFERROR(MATCH($D2636,Items!$A$5:$A$504,0),"")),"")</f>
        <v/>
      </c>
      <c r="R2636" s="60" t="str">
        <f aca="false">IF(IsPro,IF($C2636="","",IFERROR(MATCH($C2636,Parties!$A$5:$A$304,0),"")),"")</f>
        <v/>
      </c>
      <c r="S2636" s="61" t="str">
        <f aca="false">IF(IsPro,IF($D2636="","",IF(OR($H2636="",$H2636="Credit"),0,P2636)),"")</f>
        <v/>
      </c>
    </row>
    <row r="2637" customFormat="false" ht="15" hidden="false" customHeight="false" outlineLevel="0" collapsed="false">
      <c r="A2637" s="55"/>
      <c r="B2637" s="56"/>
      <c r="C2637" s="56"/>
      <c r="D2637" s="56"/>
      <c r="E2637" s="57"/>
      <c r="F2637" s="58"/>
      <c r="G2637" s="59"/>
      <c r="H2637" s="56"/>
      <c r="I2637" s="60" t="str">
        <f aca="false">IF(IsPro,IF($D2637="","",IFERROR(INDEX(Items!$D$5:$D$504,Q2637),"")),IF($D2637="","","PRO PLAN"))</f>
        <v/>
      </c>
      <c r="J2637" s="61" t="str">
        <f aca="false">IF(IsPro,IF($D2637="","",IF($F2637="",IFERROR(INDEX(Items!$G$5:$G$504,Q2637),0),$F2637)),"")</f>
        <v/>
      </c>
      <c r="K2637" s="61" t="str">
        <f aca="false">IF(IsPro,IF($D2637="","",ROUND(N($E2637)*J2637*(1-N($G2637)),2)),"")</f>
        <v/>
      </c>
      <c r="L2637" s="62" t="str">
        <f aca="false">IF(IsPro,IF($D2637="","",IFERROR(INDEX(Items!$F$5:$F$504,Q2637),0)),"")</f>
        <v/>
      </c>
      <c r="M2637" s="61" t="str">
        <f aca="false">IF(IsPro,IF($D2637="","",IF(AND(R2637&lt;&gt;"",INDEX(Parties!$E$5:$E$304,R2637)&lt;&gt;"",INDEX(Parties!$E$5:$E$304,R2637)&lt;&gt;HomeState),0,ROUND(K2637*L2637/2,2))),"")</f>
        <v/>
      </c>
      <c r="N2637" s="61" t="str">
        <f aca="false">IF(IsPro,IF($D2637="","",M2637),"")</f>
        <v/>
      </c>
      <c r="O2637" s="61" t="str">
        <f aca="false">IF(IsPro,IF($D2637="","",IF(AND(R2637&lt;&gt;"",INDEX(Parties!$E$5:$E$304,R2637)&lt;&gt;"",INDEX(Parties!$E$5:$E$304,R2637)&lt;&gt;HomeState),ROUND(K2637*L2637,2),0)),"")</f>
        <v/>
      </c>
      <c r="P2637" s="61" t="str">
        <f aca="false">IF(IsPro,IF($D2637="","",K2637+M2637+N2637+O2637),"")</f>
        <v/>
      </c>
      <c r="Q2637" s="60" t="str">
        <f aca="false">IF(IsPro,IF($D2637="","",IFERROR(MATCH($D2637,Items!$A$5:$A$504,0),"")),"")</f>
        <v/>
      </c>
      <c r="R2637" s="60" t="str">
        <f aca="false">IF(IsPro,IF($C2637="","",IFERROR(MATCH($C2637,Parties!$A$5:$A$304,0),"")),"")</f>
        <v/>
      </c>
      <c r="S2637" s="61" t="str">
        <f aca="false">IF(IsPro,IF($D2637="","",IF(OR($H2637="",$H2637="Credit"),0,P2637)),"")</f>
        <v/>
      </c>
    </row>
    <row r="2638" customFormat="false" ht="15" hidden="false" customHeight="false" outlineLevel="0" collapsed="false">
      <c r="A2638" s="55"/>
      <c r="B2638" s="56"/>
      <c r="C2638" s="56"/>
      <c r="D2638" s="56"/>
      <c r="E2638" s="57"/>
      <c r="F2638" s="58"/>
      <c r="G2638" s="59"/>
      <c r="H2638" s="56"/>
      <c r="I2638" s="60" t="str">
        <f aca="false">IF(IsPro,IF($D2638="","",IFERROR(INDEX(Items!$D$5:$D$504,Q2638),"")),IF($D2638="","","PRO PLAN"))</f>
        <v/>
      </c>
      <c r="J2638" s="61" t="str">
        <f aca="false">IF(IsPro,IF($D2638="","",IF($F2638="",IFERROR(INDEX(Items!$G$5:$G$504,Q2638),0),$F2638)),"")</f>
        <v/>
      </c>
      <c r="K2638" s="61" t="str">
        <f aca="false">IF(IsPro,IF($D2638="","",ROUND(N($E2638)*J2638*(1-N($G2638)),2)),"")</f>
        <v/>
      </c>
      <c r="L2638" s="62" t="str">
        <f aca="false">IF(IsPro,IF($D2638="","",IFERROR(INDEX(Items!$F$5:$F$504,Q2638),0)),"")</f>
        <v/>
      </c>
      <c r="M2638" s="61" t="str">
        <f aca="false">IF(IsPro,IF($D2638="","",IF(AND(R2638&lt;&gt;"",INDEX(Parties!$E$5:$E$304,R2638)&lt;&gt;"",INDEX(Parties!$E$5:$E$304,R2638)&lt;&gt;HomeState),0,ROUND(K2638*L2638/2,2))),"")</f>
        <v/>
      </c>
      <c r="N2638" s="61" t="str">
        <f aca="false">IF(IsPro,IF($D2638="","",M2638),"")</f>
        <v/>
      </c>
      <c r="O2638" s="61" t="str">
        <f aca="false">IF(IsPro,IF($D2638="","",IF(AND(R2638&lt;&gt;"",INDEX(Parties!$E$5:$E$304,R2638)&lt;&gt;"",INDEX(Parties!$E$5:$E$304,R2638)&lt;&gt;HomeState),ROUND(K2638*L2638,2),0)),"")</f>
        <v/>
      </c>
      <c r="P2638" s="61" t="str">
        <f aca="false">IF(IsPro,IF($D2638="","",K2638+M2638+N2638+O2638),"")</f>
        <v/>
      </c>
      <c r="Q2638" s="60" t="str">
        <f aca="false">IF(IsPro,IF($D2638="","",IFERROR(MATCH($D2638,Items!$A$5:$A$504,0),"")),"")</f>
        <v/>
      </c>
      <c r="R2638" s="60" t="str">
        <f aca="false">IF(IsPro,IF($C2638="","",IFERROR(MATCH($C2638,Parties!$A$5:$A$304,0),"")),"")</f>
        <v/>
      </c>
      <c r="S2638" s="61" t="str">
        <f aca="false">IF(IsPro,IF($D2638="","",IF(OR($H2638="",$H2638="Credit"),0,P2638)),"")</f>
        <v/>
      </c>
    </row>
    <row r="2639" customFormat="false" ht="15" hidden="false" customHeight="false" outlineLevel="0" collapsed="false">
      <c r="A2639" s="55"/>
      <c r="B2639" s="56"/>
      <c r="C2639" s="56"/>
      <c r="D2639" s="56"/>
      <c r="E2639" s="57"/>
      <c r="F2639" s="58"/>
      <c r="G2639" s="59"/>
      <c r="H2639" s="56"/>
      <c r="I2639" s="60" t="str">
        <f aca="false">IF(IsPro,IF($D2639="","",IFERROR(INDEX(Items!$D$5:$D$504,Q2639),"")),IF($D2639="","","PRO PLAN"))</f>
        <v/>
      </c>
      <c r="J2639" s="61" t="str">
        <f aca="false">IF(IsPro,IF($D2639="","",IF($F2639="",IFERROR(INDEX(Items!$G$5:$G$504,Q2639),0),$F2639)),"")</f>
        <v/>
      </c>
      <c r="K2639" s="61" t="str">
        <f aca="false">IF(IsPro,IF($D2639="","",ROUND(N($E2639)*J2639*(1-N($G2639)),2)),"")</f>
        <v/>
      </c>
      <c r="L2639" s="62" t="str">
        <f aca="false">IF(IsPro,IF($D2639="","",IFERROR(INDEX(Items!$F$5:$F$504,Q2639),0)),"")</f>
        <v/>
      </c>
      <c r="M2639" s="61" t="str">
        <f aca="false">IF(IsPro,IF($D2639="","",IF(AND(R2639&lt;&gt;"",INDEX(Parties!$E$5:$E$304,R2639)&lt;&gt;"",INDEX(Parties!$E$5:$E$304,R2639)&lt;&gt;HomeState),0,ROUND(K2639*L2639/2,2))),"")</f>
        <v/>
      </c>
      <c r="N2639" s="61" t="str">
        <f aca="false">IF(IsPro,IF($D2639="","",M2639),"")</f>
        <v/>
      </c>
      <c r="O2639" s="61" t="str">
        <f aca="false">IF(IsPro,IF($D2639="","",IF(AND(R2639&lt;&gt;"",INDEX(Parties!$E$5:$E$304,R2639)&lt;&gt;"",INDEX(Parties!$E$5:$E$304,R2639)&lt;&gt;HomeState),ROUND(K2639*L2639,2),0)),"")</f>
        <v/>
      </c>
      <c r="P2639" s="61" t="str">
        <f aca="false">IF(IsPro,IF($D2639="","",K2639+M2639+N2639+O2639),"")</f>
        <v/>
      </c>
      <c r="Q2639" s="60" t="str">
        <f aca="false">IF(IsPro,IF($D2639="","",IFERROR(MATCH($D2639,Items!$A$5:$A$504,0),"")),"")</f>
        <v/>
      </c>
      <c r="R2639" s="60" t="str">
        <f aca="false">IF(IsPro,IF($C2639="","",IFERROR(MATCH($C2639,Parties!$A$5:$A$304,0),"")),"")</f>
        <v/>
      </c>
      <c r="S2639" s="61" t="str">
        <f aca="false">IF(IsPro,IF($D2639="","",IF(OR($H2639="",$H2639="Credit"),0,P2639)),"")</f>
        <v/>
      </c>
    </row>
    <row r="2640" customFormat="false" ht="15" hidden="false" customHeight="false" outlineLevel="0" collapsed="false">
      <c r="A2640" s="55"/>
      <c r="B2640" s="56"/>
      <c r="C2640" s="56"/>
      <c r="D2640" s="56"/>
      <c r="E2640" s="57"/>
      <c r="F2640" s="58"/>
      <c r="G2640" s="59"/>
      <c r="H2640" s="56"/>
      <c r="I2640" s="60" t="str">
        <f aca="false">IF(IsPro,IF($D2640="","",IFERROR(INDEX(Items!$D$5:$D$504,Q2640),"")),IF($D2640="","","PRO PLAN"))</f>
        <v/>
      </c>
      <c r="J2640" s="61" t="str">
        <f aca="false">IF(IsPro,IF($D2640="","",IF($F2640="",IFERROR(INDEX(Items!$G$5:$G$504,Q2640),0),$F2640)),"")</f>
        <v/>
      </c>
      <c r="K2640" s="61" t="str">
        <f aca="false">IF(IsPro,IF($D2640="","",ROUND(N($E2640)*J2640*(1-N($G2640)),2)),"")</f>
        <v/>
      </c>
      <c r="L2640" s="62" t="str">
        <f aca="false">IF(IsPro,IF($D2640="","",IFERROR(INDEX(Items!$F$5:$F$504,Q2640),0)),"")</f>
        <v/>
      </c>
      <c r="M2640" s="61" t="str">
        <f aca="false">IF(IsPro,IF($D2640="","",IF(AND(R2640&lt;&gt;"",INDEX(Parties!$E$5:$E$304,R2640)&lt;&gt;"",INDEX(Parties!$E$5:$E$304,R2640)&lt;&gt;HomeState),0,ROUND(K2640*L2640/2,2))),"")</f>
        <v/>
      </c>
      <c r="N2640" s="61" t="str">
        <f aca="false">IF(IsPro,IF($D2640="","",M2640),"")</f>
        <v/>
      </c>
      <c r="O2640" s="61" t="str">
        <f aca="false">IF(IsPro,IF($D2640="","",IF(AND(R2640&lt;&gt;"",INDEX(Parties!$E$5:$E$304,R2640)&lt;&gt;"",INDEX(Parties!$E$5:$E$304,R2640)&lt;&gt;HomeState),ROUND(K2640*L2640,2),0)),"")</f>
        <v/>
      </c>
      <c r="P2640" s="61" t="str">
        <f aca="false">IF(IsPro,IF($D2640="","",K2640+M2640+N2640+O2640),"")</f>
        <v/>
      </c>
      <c r="Q2640" s="60" t="str">
        <f aca="false">IF(IsPro,IF($D2640="","",IFERROR(MATCH($D2640,Items!$A$5:$A$504,0),"")),"")</f>
        <v/>
      </c>
      <c r="R2640" s="60" t="str">
        <f aca="false">IF(IsPro,IF($C2640="","",IFERROR(MATCH($C2640,Parties!$A$5:$A$304,0),"")),"")</f>
        <v/>
      </c>
      <c r="S2640" s="61" t="str">
        <f aca="false">IF(IsPro,IF($D2640="","",IF(OR($H2640="",$H2640="Credit"),0,P2640)),"")</f>
        <v/>
      </c>
    </row>
    <row r="2641" customFormat="false" ht="15" hidden="false" customHeight="false" outlineLevel="0" collapsed="false">
      <c r="A2641" s="55"/>
      <c r="B2641" s="56"/>
      <c r="C2641" s="56"/>
      <c r="D2641" s="56"/>
      <c r="E2641" s="57"/>
      <c r="F2641" s="58"/>
      <c r="G2641" s="59"/>
      <c r="H2641" s="56"/>
      <c r="I2641" s="60" t="str">
        <f aca="false">IF(IsPro,IF($D2641="","",IFERROR(INDEX(Items!$D$5:$D$504,Q2641),"")),IF($D2641="","","PRO PLAN"))</f>
        <v/>
      </c>
      <c r="J2641" s="61" t="str">
        <f aca="false">IF(IsPro,IF($D2641="","",IF($F2641="",IFERROR(INDEX(Items!$G$5:$G$504,Q2641),0),$F2641)),"")</f>
        <v/>
      </c>
      <c r="K2641" s="61" t="str">
        <f aca="false">IF(IsPro,IF($D2641="","",ROUND(N($E2641)*J2641*(1-N($G2641)),2)),"")</f>
        <v/>
      </c>
      <c r="L2641" s="62" t="str">
        <f aca="false">IF(IsPro,IF($D2641="","",IFERROR(INDEX(Items!$F$5:$F$504,Q2641),0)),"")</f>
        <v/>
      </c>
      <c r="M2641" s="61" t="str">
        <f aca="false">IF(IsPro,IF($D2641="","",IF(AND(R2641&lt;&gt;"",INDEX(Parties!$E$5:$E$304,R2641)&lt;&gt;"",INDEX(Parties!$E$5:$E$304,R2641)&lt;&gt;HomeState),0,ROUND(K2641*L2641/2,2))),"")</f>
        <v/>
      </c>
      <c r="N2641" s="61" t="str">
        <f aca="false">IF(IsPro,IF($D2641="","",M2641),"")</f>
        <v/>
      </c>
      <c r="O2641" s="61" t="str">
        <f aca="false">IF(IsPro,IF($D2641="","",IF(AND(R2641&lt;&gt;"",INDEX(Parties!$E$5:$E$304,R2641)&lt;&gt;"",INDEX(Parties!$E$5:$E$304,R2641)&lt;&gt;HomeState),ROUND(K2641*L2641,2),0)),"")</f>
        <v/>
      </c>
      <c r="P2641" s="61" t="str">
        <f aca="false">IF(IsPro,IF($D2641="","",K2641+M2641+N2641+O2641),"")</f>
        <v/>
      </c>
      <c r="Q2641" s="60" t="str">
        <f aca="false">IF(IsPro,IF($D2641="","",IFERROR(MATCH($D2641,Items!$A$5:$A$504,0),"")),"")</f>
        <v/>
      </c>
      <c r="R2641" s="60" t="str">
        <f aca="false">IF(IsPro,IF($C2641="","",IFERROR(MATCH($C2641,Parties!$A$5:$A$304,0),"")),"")</f>
        <v/>
      </c>
      <c r="S2641" s="61" t="str">
        <f aca="false">IF(IsPro,IF($D2641="","",IF(OR($H2641="",$H2641="Credit"),0,P2641)),"")</f>
        <v/>
      </c>
    </row>
    <row r="2642" customFormat="false" ht="15" hidden="false" customHeight="false" outlineLevel="0" collapsed="false">
      <c r="A2642" s="55"/>
      <c r="B2642" s="56"/>
      <c r="C2642" s="56"/>
      <c r="D2642" s="56"/>
      <c r="E2642" s="57"/>
      <c r="F2642" s="58"/>
      <c r="G2642" s="59"/>
      <c r="H2642" s="56"/>
      <c r="I2642" s="60" t="str">
        <f aca="false">IF(IsPro,IF($D2642="","",IFERROR(INDEX(Items!$D$5:$D$504,Q2642),"")),IF($D2642="","","PRO PLAN"))</f>
        <v/>
      </c>
      <c r="J2642" s="61" t="str">
        <f aca="false">IF(IsPro,IF($D2642="","",IF($F2642="",IFERROR(INDEX(Items!$G$5:$G$504,Q2642),0),$F2642)),"")</f>
        <v/>
      </c>
      <c r="K2642" s="61" t="str">
        <f aca="false">IF(IsPro,IF($D2642="","",ROUND(N($E2642)*J2642*(1-N($G2642)),2)),"")</f>
        <v/>
      </c>
      <c r="L2642" s="62" t="str">
        <f aca="false">IF(IsPro,IF($D2642="","",IFERROR(INDEX(Items!$F$5:$F$504,Q2642),0)),"")</f>
        <v/>
      </c>
      <c r="M2642" s="61" t="str">
        <f aca="false">IF(IsPro,IF($D2642="","",IF(AND(R2642&lt;&gt;"",INDEX(Parties!$E$5:$E$304,R2642)&lt;&gt;"",INDEX(Parties!$E$5:$E$304,R2642)&lt;&gt;HomeState),0,ROUND(K2642*L2642/2,2))),"")</f>
        <v/>
      </c>
      <c r="N2642" s="61" t="str">
        <f aca="false">IF(IsPro,IF($D2642="","",M2642),"")</f>
        <v/>
      </c>
      <c r="O2642" s="61" t="str">
        <f aca="false">IF(IsPro,IF($D2642="","",IF(AND(R2642&lt;&gt;"",INDEX(Parties!$E$5:$E$304,R2642)&lt;&gt;"",INDEX(Parties!$E$5:$E$304,R2642)&lt;&gt;HomeState),ROUND(K2642*L2642,2),0)),"")</f>
        <v/>
      </c>
      <c r="P2642" s="61" t="str">
        <f aca="false">IF(IsPro,IF($D2642="","",K2642+M2642+N2642+O2642),"")</f>
        <v/>
      </c>
      <c r="Q2642" s="60" t="str">
        <f aca="false">IF(IsPro,IF($D2642="","",IFERROR(MATCH($D2642,Items!$A$5:$A$504,0),"")),"")</f>
        <v/>
      </c>
      <c r="R2642" s="60" t="str">
        <f aca="false">IF(IsPro,IF($C2642="","",IFERROR(MATCH($C2642,Parties!$A$5:$A$304,0),"")),"")</f>
        <v/>
      </c>
      <c r="S2642" s="61" t="str">
        <f aca="false">IF(IsPro,IF($D2642="","",IF(OR($H2642="",$H2642="Credit"),0,P2642)),"")</f>
        <v/>
      </c>
    </row>
    <row r="2643" customFormat="false" ht="15" hidden="false" customHeight="false" outlineLevel="0" collapsed="false">
      <c r="A2643" s="55"/>
      <c r="B2643" s="56"/>
      <c r="C2643" s="56"/>
      <c r="D2643" s="56"/>
      <c r="E2643" s="57"/>
      <c r="F2643" s="58"/>
      <c r="G2643" s="59"/>
      <c r="H2643" s="56"/>
      <c r="I2643" s="60" t="str">
        <f aca="false">IF(IsPro,IF($D2643="","",IFERROR(INDEX(Items!$D$5:$D$504,Q2643),"")),IF($D2643="","","PRO PLAN"))</f>
        <v/>
      </c>
      <c r="J2643" s="61" t="str">
        <f aca="false">IF(IsPro,IF($D2643="","",IF($F2643="",IFERROR(INDEX(Items!$G$5:$G$504,Q2643),0),$F2643)),"")</f>
        <v/>
      </c>
      <c r="K2643" s="61" t="str">
        <f aca="false">IF(IsPro,IF($D2643="","",ROUND(N($E2643)*J2643*(1-N($G2643)),2)),"")</f>
        <v/>
      </c>
      <c r="L2643" s="62" t="str">
        <f aca="false">IF(IsPro,IF($D2643="","",IFERROR(INDEX(Items!$F$5:$F$504,Q2643),0)),"")</f>
        <v/>
      </c>
      <c r="M2643" s="61" t="str">
        <f aca="false">IF(IsPro,IF($D2643="","",IF(AND(R2643&lt;&gt;"",INDEX(Parties!$E$5:$E$304,R2643)&lt;&gt;"",INDEX(Parties!$E$5:$E$304,R2643)&lt;&gt;HomeState),0,ROUND(K2643*L2643/2,2))),"")</f>
        <v/>
      </c>
      <c r="N2643" s="61" t="str">
        <f aca="false">IF(IsPro,IF($D2643="","",M2643),"")</f>
        <v/>
      </c>
      <c r="O2643" s="61" t="str">
        <f aca="false">IF(IsPro,IF($D2643="","",IF(AND(R2643&lt;&gt;"",INDEX(Parties!$E$5:$E$304,R2643)&lt;&gt;"",INDEX(Parties!$E$5:$E$304,R2643)&lt;&gt;HomeState),ROUND(K2643*L2643,2),0)),"")</f>
        <v/>
      </c>
      <c r="P2643" s="61" t="str">
        <f aca="false">IF(IsPro,IF($D2643="","",K2643+M2643+N2643+O2643),"")</f>
        <v/>
      </c>
      <c r="Q2643" s="60" t="str">
        <f aca="false">IF(IsPro,IF($D2643="","",IFERROR(MATCH($D2643,Items!$A$5:$A$504,0),"")),"")</f>
        <v/>
      </c>
      <c r="R2643" s="60" t="str">
        <f aca="false">IF(IsPro,IF($C2643="","",IFERROR(MATCH($C2643,Parties!$A$5:$A$304,0),"")),"")</f>
        <v/>
      </c>
      <c r="S2643" s="61" t="str">
        <f aca="false">IF(IsPro,IF($D2643="","",IF(OR($H2643="",$H2643="Credit"),0,P2643)),"")</f>
        <v/>
      </c>
    </row>
    <row r="2644" customFormat="false" ht="15" hidden="false" customHeight="false" outlineLevel="0" collapsed="false">
      <c r="A2644" s="55"/>
      <c r="B2644" s="56"/>
      <c r="C2644" s="56"/>
      <c r="D2644" s="56"/>
      <c r="E2644" s="57"/>
      <c r="F2644" s="58"/>
      <c r="G2644" s="59"/>
      <c r="H2644" s="56"/>
      <c r="I2644" s="60" t="str">
        <f aca="false">IF(IsPro,IF($D2644="","",IFERROR(INDEX(Items!$D$5:$D$504,Q2644),"")),IF($D2644="","","PRO PLAN"))</f>
        <v/>
      </c>
      <c r="J2644" s="61" t="str">
        <f aca="false">IF(IsPro,IF($D2644="","",IF($F2644="",IFERROR(INDEX(Items!$G$5:$G$504,Q2644),0),$F2644)),"")</f>
        <v/>
      </c>
      <c r="K2644" s="61" t="str">
        <f aca="false">IF(IsPro,IF($D2644="","",ROUND(N($E2644)*J2644*(1-N($G2644)),2)),"")</f>
        <v/>
      </c>
      <c r="L2644" s="62" t="str">
        <f aca="false">IF(IsPro,IF($D2644="","",IFERROR(INDEX(Items!$F$5:$F$504,Q2644),0)),"")</f>
        <v/>
      </c>
      <c r="M2644" s="61" t="str">
        <f aca="false">IF(IsPro,IF($D2644="","",IF(AND(R2644&lt;&gt;"",INDEX(Parties!$E$5:$E$304,R2644)&lt;&gt;"",INDEX(Parties!$E$5:$E$304,R2644)&lt;&gt;HomeState),0,ROUND(K2644*L2644/2,2))),"")</f>
        <v/>
      </c>
      <c r="N2644" s="61" t="str">
        <f aca="false">IF(IsPro,IF($D2644="","",M2644),"")</f>
        <v/>
      </c>
      <c r="O2644" s="61" t="str">
        <f aca="false">IF(IsPro,IF($D2644="","",IF(AND(R2644&lt;&gt;"",INDEX(Parties!$E$5:$E$304,R2644)&lt;&gt;"",INDEX(Parties!$E$5:$E$304,R2644)&lt;&gt;HomeState),ROUND(K2644*L2644,2),0)),"")</f>
        <v/>
      </c>
      <c r="P2644" s="61" t="str">
        <f aca="false">IF(IsPro,IF($D2644="","",K2644+M2644+N2644+O2644),"")</f>
        <v/>
      </c>
      <c r="Q2644" s="60" t="str">
        <f aca="false">IF(IsPro,IF($D2644="","",IFERROR(MATCH($D2644,Items!$A$5:$A$504,0),"")),"")</f>
        <v/>
      </c>
      <c r="R2644" s="60" t="str">
        <f aca="false">IF(IsPro,IF($C2644="","",IFERROR(MATCH($C2644,Parties!$A$5:$A$304,0),"")),"")</f>
        <v/>
      </c>
      <c r="S2644" s="61" t="str">
        <f aca="false">IF(IsPro,IF($D2644="","",IF(OR($H2644="",$H2644="Credit"),0,P2644)),"")</f>
        <v/>
      </c>
    </row>
    <row r="2645" customFormat="false" ht="15" hidden="false" customHeight="false" outlineLevel="0" collapsed="false">
      <c r="A2645" s="55"/>
      <c r="B2645" s="56"/>
      <c r="C2645" s="56"/>
      <c r="D2645" s="56"/>
      <c r="E2645" s="57"/>
      <c r="F2645" s="58"/>
      <c r="G2645" s="59"/>
      <c r="H2645" s="56"/>
      <c r="I2645" s="60" t="str">
        <f aca="false">IF(IsPro,IF($D2645="","",IFERROR(INDEX(Items!$D$5:$D$504,Q2645),"")),IF($D2645="","","PRO PLAN"))</f>
        <v/>
      </c>
      <c r="J2645" s="61" t="str">
        <f aca="false">IF(IsPro,IF($D2645="","",IF($F2645="",IFERROR(INDEX(Items!$G$5:$G$504,Q2645),0),$F2645)),"")</f>
        <v/>
      </c>
      <c r="K2645" s="61" t="str">
        <f aca="false">IF(IsPro,IF($D2645="","",ROUND(N($E2645)*J2645*(1-N($G2645)),2)),"")</f>
        <v/>
      </c>
      <c r="L2645" s="62" t="str">
        <f aca="false">IF(IsPro,IF($D2645="","",IFERROR(INDEX(Items!$F$5:$F$504,Q2645),0)),"")</f>
        <v/>
      </c>
      <c r="M2645" s="61" t="str">
        <f aca="false">IF(IsPro,IF($D2645="","",IF(AND(R2645&lt;&gt;"",INDEX(Parties!$E$5:$E$304,R2645)&lt;&gt;"",INDEX(Parties!$E$5:$E$304,R2645)&lt;&gt;HomeState),0,ROUND(K2645*L2645/2,2))),"")</f>
        <v/>
      </c>
      <c r="N2645" s="61" t="str">
        <f aca="false">IF(IsPro,IF($D2645="","",M2645),"")</f>
        <v/>
      </c>
      <c r="O2645" s="61" t="str">
        <f aca="false">IF(IsPro,IF($D2645="","",IF(AND(R2645&lt;&gt;"",INDEX(Parties!$E$5:$E$304,R2645)&lt;&gt;"",INDEX(Parties!$E$5:$E$304,R2645)&lt;&gt;HomeState),ROUND(K2645*L2645,2),0)),"")</f>
        <v/>
      </c>
      <c r="P2645" s="61" t="str">
        <f aca="false">IF(IsPro,IF($D2645="","",K2645+M2645+N2645+O2645),"")</f>
        <v/>
      </c>
      <c r="Q2645" s="60" t="str">
        <f aca="false">IF(IsPro,IF($D2645="","",IFERROR(MATCH($D2645,Items!$A$5:$A$504,0),"")),"")</f>
        <v/>
      </c>
      <c r="R2645" s="60" t="str">
        <f aca="false">IF(IsPro,IF($C2645="","",IFERROR(MATCH($C2645,Parties!$A$5:$A$304,0),"")),"")</f>
        <v/>
      </c>
      <c r="S2645" s="61" t="str">
        <f aca="false">IF(IsPro,IF($D2645="","",IF(OR($H2645="",$H2645="Credit"),0,P2645)),"")</f>
        <v/>
      </c>
    </row>
    <row r="2646" customFormat="false" ht="15" hidden="false" customHeight="false" outlineLevel="0" collapsed="false">
      <c r="A2646" s="55"/>
      <c r="B2646" s="56"/>
      <c r="C2646" s="56"/>
      <c r="D2646" s="56"/>
      <c r="E2646" s="57"/>
      <c r="F2646" s="58"/>
      <c r="G2646" s="59"/>
      <c r="H2646" s="56"/>
      <c r="I2646" s="60" t="str">
        <f aca="false">IF(IsPro,IF($D2646="","",IFERROR(INDEX(Items!$D$5:$D$504,Q2646),"")),IF($D2646="","","PRO PLAN"))</f>
        <v/>
      </c>
      <c r="J2646" s="61" t="str">
        <f aca="false">IF(IsPro,IF($D2646="","",IF($F2646="",IFERROR(INDEX(Items!$G$5:$G$504,Q2646),0),$F2646)),"")</f>
        <v/>
      </c>
      <c r="K2646" s="61" t="str">
        <f aca="false">IF(IsPro,IF($D2646="","",ROUND(N($E2646)*J2646*(1-N($G2646)),2)),"")</f>
        <v/>
      </c>
      <c r="L2646" s="62" t="str">
        <f aca="false">IF(IsPro,IF($D2646="","",IFERROR(INDEX(Items!$F$5:$F$504,Q2646),0)),"")</f>
        <v/>
      </c>
      <c r="M2646" s="61" t="str">
        <f aca="false">IF(IsPro,IF($D2646="","",IF(AND(R2646&lt;&gt;"",INDEX(Parties!$E$5:$E$304,R2646)&lt;&gt;"",INDEX(Parties!$E$5:$E$304,R2646)&lt;&gt;HomeState),0,ROUND(K2646*L2646/2,2))),"")</f>
        <v/>
      </c>
      <c r="N2646" s="61" t="str">
        <f aca="false">IF(IsPro,IF($D2646="","",M2646),"")</f>
        <v/>
      </c>
      <c r="O2646" s="61" t="str">
        <f aca="false">IF(IsPro,IF($D2646="","",IF(AND(R2646&lt;&gt;"",INDEX(Parties!$E$5:$E$304,R2646)&lt;&gt;"",INDEX(Parties!$E$5:$E$304,R2646)&lt;&gt;HomeState),ROUND(K2646*L2646,2),0)),"")</f>
        <v/>
      </c>
      <c r="P2646" s="61" t="str">
        <f aca="false">IF(IsPro,IF($D2646="","",K2646+M2646+N2646+O2646),"")</f>
        <v/>
      </c>
      <c r="Q2646" s="60" t="str">
        <f aca="false">IF(IsPro,IF($D2646="","",IFERROR(MATCH($D2646,Items!$A$5:$A$504,0),"")),"")</f>
        <v/>
      </c>
      <c r="R2646" s="60" t="str">
        <f aca="false">IF(IsPro,IF($C2646="","",IFERROR(MATCH($C2646,Parties!$A$5:$A$304,0),"")),"")</f>
        <v/>
      </c>
      <c r="S2646" s="61" t="str">
        <f aca="false">IF(IsPro,IF($D2646="","",IF(OR($H2646="",$H2646="Credit"),0,P2646)),"")</f>
        <v/>
      </c>
    </row>
    <row r="2647" customFormat="false" ht="15" hidden="false" customHeight="false" outlineLevel="0" collapsed="false">
      <c r="A2647" s="55"/>
      <c r="B2647" s="56"/>
      <c r="C2647" s="56"/>
      <c r="D2647" s="56"/>
      <c r="E2647" s="57"/>
      <c r="F2647" s="58"/>
      <c r="G2647" s="59"/>
      <c r="H2647" s="56"/>
      <c r="I2647" s="60" t="str">
        <f aca="false">IF(IsPro,IF($D2647="","",IFERROR(INDEX(Items!$D$5:$D$504,Q2647),"")),IF($D2647="","","PRO PLAN"))</f>
        <v/>
      </c>
      <c r="J2647" s="61" t="str">
        <f aca="false">IF(IsPro,IF($D2647="","",IF($F2647="",IFERROR(INDEX(Items!$G$5:$G$504,Q2647),0),$F2647)),"")</f>
        <v/>
      </c>
      <c r="K2647" s="61" t="str">
        <f aca="false">IF(IsPro,IF($D2647="","",ROUND(N($E2647)*J2647*(1-N($G2647)),2)),"")</f>
        <v/>
      </c>
      <c r="L2647" s="62" t="str">
        <f aca="false">IF(IsPro,IF($D2647="","",IFERROR(INDEX(Items!$F$5:$F$504,Q2647),0)),"")</f>
        <v/>
      </c>
      <c r="M2647" s="61" t="str">
        <f aca="false">IF(IsPro,IF($D2647="","",IF(AND(R2647&lt;&gt;"",INDEX(Parties!$E$5:$E$304,R2647)&lt;&gt;"",INDEX(Parties!$E$5:$E$304,R2647)&lt;&gt;HomeState),0,ROUND(K2647*L2647/2,2))),"")</f>
        <v/>
      </c>
      <c r="N2647" s="61" t="str">
        <f aca="false">IF(IsPro,IF($D2647="","",M2647),"")</f>
        <v/>
      </c>
      <c r="O2647" s="61" t="str">
        <f aca="false">IF(IsPro,IF($D2647="","",IF(AND(R2647&lt;&gt;"",INDEX(Parties!$E$5:$E$304,R2647)&lt;&gt;"",INDEX(Parties!$E$5:$E$304,R2647)&lt;&gt;HomeState),ROUND(K2647*L2647,2),0)),"")</f>
        <v/>
      </c>
      <c r="P2647" s="61" t="str">
        <f aca="false">IF(IsPro,IF($D2647="","",K2647+M2647+N2647+O2647),"")</f>
        <v/>
      </c>
      <c r="Q2647" s="60" t="str">
        <f aca="false">IF(IsPro,IF($D2647="","",IFERROR(MATCH($D2647,Items!$A$5:$A$504,0),"")),"")</f>
        <v/>
      </c>
      <c r="R2647" s="60" t="str">
        <f aca="false">IF(IsPro,IF($C2647="","",IFERROR(MATCH($C2647,Parties!$A$5:$A$304,0),"")),"")</f>
        <v/>
      </c>
      <c r="S2647" s="61" t="str">
        <f aca="false">IF(IsPro,IF($D2647="","",IF(OR($H2647="",$H2647="Credit"),0,P2647)),"")</f>
        <v/>
      </c>
    </row>
    <row r="2648" customFormat="false" ht="15" hidden="false" customHeight="false" outlineLevel="0" collapsed="false">
      <c r="A2648" s="55"/>
      <c r="B2648" s="56"/>
      <c r="C2648" s="56"/>
      <c r="D2648" s="56"/>
      <c r="E2648" s="57"/>
      <c r="F2648" s="58"/>
      <c r="G2648" s="59"/>
      <c r="H2648" s="56"/>
      <c r="I2648" s="60" t="str">
        <f aca="false">IF(IsPro,IF($D2648="","",IFERROR(INDEX(Items!$D$5:$D$504,Q2648),"")),IF($D2648="","","PRO PLAN"))</f>
        <v/>
      </c>
      <c r="J2648" s="61" t="str">
        <f aca="false">IF(IsPro,IF($D2648="","",IF($F2648="",IFERROR(INDEX(Items!$G$5:$G$504,Q2648),0),$F2648)),"")</f>
        <v/>
      </c>
      <c r="K2648" s="61" t="str">
        <f aca="false">IF(IsPro,IF($D2648="","",ROUND(N($E2648)*J2648*(1-N($G2648)),2)),"")</f>
        <v/>
      </c>
      <c r="L2648" s="62" t="str">
        <f aca="false">IF(IsPro,IF($D2648="","",IFERROR(INDEX(Items!$F$5:$F$504,Q2648),0)),"")</f>
        <v/>
      </c>
      <c r="M2648" s="61" t="str">
        <f aca="false">IF(IsPro,IF($D2648="","",IF(AND(R2648&lt;&gt;"",INDEX(Parties!$E$5:$E$304,R2648)&lt;&gt;"",INDEX(Parties!$E$5:$E$304,R2648)&lt;&gt;HomeState),0,ROUND(K2648*L2648/2,2))),"")</f>
        <v/>
      </c>
      <c r="N2648" s="61" t="str">
        <f aca="false">IF(IsPro,IF($D2648="","",M2648),"")</f>
        <v/>
      </c>
      <c r="O2648" s="61" t="str">
        <f aca="false">IF(IsPro,IF($D2648="","",IF(AND(R2648&lt;&gt;"",INDEX(Parties!$E$5:$E$304,R2648)&lt;&gt;"",INDEX(Parties!$E$5:$E$304,R2648)&lt;&gt;HomeState),ROUND(K2648*L2648,2),0)),"")</f>
        <v/>
      </c>
      <c r="P2648" s="61" t="str">
        <f aca="false">IF(IsPro,IF($D2648="","",K2648+M2648+N2648+O2648),"")</f>
        <v/>
      </c>
      <c r="Q2648" s="60" t="str">
        <f aca="false">IF(IsPro,IF($D2648="","",IFERROR(MATCH($D2648,Items!$A$5:$A$504,0),"")),"")</f>
        <v/>
      </c>
      <c r="R2648" s="60" t="str">
        <f aca="false">IF(IsPro,IF($C2648="","",IFERROR(MATCH($C2648,Parties!$A$5:$A$304,0),"")),"")</f>
        <v/>
      </c>
      <c r="S2648" s="61" t="str">
        <f aca="false">IF(IsPro,IF($D2648="","",IF(OR($H2648="",$H2648="Credit"),0,P2648)),"")</f>
        <v/>
      </c>
    </row>
    <row r="2649" customFormat="false" ht="15" hidden="false" customHeight="false" outlineLevel="0" collapsed="false">
      <c r="A2649" s="55"/>
      <c r="B2649" s="56"/>
      <c r="C2649" s="56"/>
      <c r="D2649" s="56"/>
      <c r="E2649" s="57"/>
      <c r="F2649" s="58"/>
      <c r="G2649" s="59"/>
      <c r="H2649" s="56"/>
      <c r="I2649" s="60" t="str">
        <f aca="false">IF(IsPro,IF($D2649="","",IFERROR(INDEX(Items!$D$5:$D$504,Q2649),"")),IF($D2649="","","PRO PLAN"))</f>
        <v/>
      </c>
      <c r="J2649" s="61" t="str">
        <f aca="false">IF(IsPro,IF($D2649="","",IF($F2649="",IFERROR(INDEX(Items!$G$5:$G$504,Q2649),0),$F2649)),"")</f>
        <v/>
      </c>
      <c r="K2649" s="61" t="str">
        <f aca="false">IF(IsPro,IF($D2649="","",ROUND(N($E2649)*J2649*(1-N($G2649)),2)),"")</f>
        <v/>
      </c>
      <c r="L2649" s="62" t="str">
        <f aca="false">IF(IsPro,IF($D2649="","",IFERROR(INDEX(Items!$F$5:$F$504,Q2649),0)),"")</f>
        <v/>
      </c>
      <c r="M2649" s="61" t="str">
        <f aca="false">IF(IsPro,IF($D2649="","",IF(AND(R2649&lt;&gt;"",INDEX(Parties!$E$5:$E$304,R2649)&lt;&gt;"",INDEX(Parties!$E$5:$E$304,R2649)&lt;&gt;HomeState),0,ROUND(K2649*L2649/2,2))),"")</f>
        <v/>
      </c>
      <c r="N2649" s="61" t="str">
        <f aca="false">IF(IsPro,IF($D2649="","",M2649),"")</f>
        <v/>
      </c>
      <c r="O2649" s="61" t="str">
        <f aca="false">IF(IsPro,IF($D2649="","",IF(AND(R2649&lt;&gt;"",INDEX(Parties!$E$5:$E$304,R2649)&lt;&gt;"",INDEX(Parties!$E$5:$E$304,R2649)&lt;&gt;HomeState),ROUND(K2649*L2649,2),0)),"")</f>
        <v/>
      </c>
      <c r="P2649" s="61" t="str">
        <f aca="false">IF(IsPro,IF($D2649="","",K2649+M2649+N2649+O2649),"")</f>
        <v/>
      </c>
      <c r="Q2649" s="60" t="str">
        <f aca="false">IF(IsPro,IF($D2649="","",IFERROR(MATCH($D2649,Items!$A$5:$A$504,0),"")),"")</f>
        <v/>
      </c>
      <c r="R2649" s="60" t="str">
        <f aca="false">IF(IsPro,IF($C2649="","",IFERROR(MATCH($C2649,Parties!$A$5:$A$304,0),"")),"")</f>
        <v/>
      </c>
      <c r="S2649" s="61" t="str">
        <f aca="false">IF(IsPro,IF($D2649="","",IF(OR($H2649="",$H2649="Credit"),0,P2649)),"")</f>
        <v/>
      </c>
    </row>
    <row r="2650" customFormat="false" ht="15" hidden="false" customHeight="false" outlineLevel="0" collapsed="false">
      <c r="A2650" s="55"/>
      <c r="B2650" s="56"/>
      <c r="C2650" s="56"/>
      <c r="D2650" s="56"/>
      <c r="E2650" s="57"/>
      <c r="F2650" s="58"/>
      <c r="G2650" s="59"/>
      <c r="H2650" s="56"/>
      <c r="I2650" s="60" t="str">
        <f aca="false">IF(IsPro,IF($D2650="","",IFERROR(INDEX(Items!$D$5:$D$504,Q2650),"")),IF($D2650="","","PRO PLAN"))</f>
        <v/>
      </c>
      <c r="J2650" s="61" t="str">
        <f aca="false">IF(IsPro,IF($D2650="","",IF($F2650="",IFERROR(INDEX(Items!$G$5:$G$504,Q2650),0),$F2650)),"")</f>
        <v/>
      </c>
      <c r="K2650" s="61" t="str">
        <f aca="false">IF(IsPro,IF($D2650="","",ROUND(N($E2650)*J2650*(1-N($G2650)),2)),"")</f>
        <v/>
      </c>
      <c r="L2650" s="62" t="str">
        <f aca="false">IF(IsPro,IF($D2650="","",IFERROR(INDEX(Items!$F$5:$F$504,Q2650),0)),"")</f>
        <v/>
      </c>
      <c r="M2650" s="61" t="str">
        <f aca="false">IF(IsPro,IF($D2650="","",IF(AND(R2650&lt;&gt;"",INDEX(Parties!$E$5:$E$304,R2650)&lt;&gt;"",INDEX(Parties!$E$5:$E$304,R2650)&lt;&gt;HomeState),0,ROUND(K2650*L2650/2,2))),"")</f>
        <v/>
      </c>
      <c r="N2650" s="61" t="str">
        <f aca="false">IF(IsPro,IF($D2650="","",M2650),"")</f>
        <v/>
      </c>
      <c r="O2650" s="61" t="str">
        <f aca="false">IF(IsPro,IF($D2650="","",IF(AND(R2650&lt;&gt;"",INDEX(Parties!$E$5:$E$304,R2650)&lt;&gt;"",INDEX(Parties!$E$5:$E$304,R2650)&lt;&gt;HomeState),ROUND(K2650*L2650,2),0)),"")</f>
        <v/>
      </c>
      <c r="P2650" s="61" t="str">
        <f aca="false">IF(IsPro,IF($D2650="","",K2650+M2650+N2650+O2650),"")</f>
        <v/>
      </c>
      <c r="Q2650" s="60" t="str">
        <f aca="false">IF(IsPro,IF($D2650="","",IFERROR(MATCH($D2650,Items!$A$5:$A$504,0),"")),"")</f>
        <v/>
      </c>
      <c r="R2650" s="60" t="str">
        <f aca="false">IF(IsPro,IF($C2650="","",IFERROR(MATCH($C2650,Parties!$A$5:$A$304,0),"")),"")</f>
        <v/>
      </c>
      <c r="S2650" s="61" t="str">
        <f aca="false">IF(IsPro,IF($D2650="","",IF(OR($H2650="",$H2650="Credit"),0,P2650)),"")</f>
        <v/>
      </c>
    </row>
    <row r="2651" customFormat="false" ht="15" hidden="false" customHeight="false" outlineLevel="0" collapsed="false">
      <c r="A2651" s="55"/>
      <c r="B2651" s="56"/>
      <c r="C2651" s="56"/>
      <c r="D2651" s="56"/>
      <c r="E2651" s="57"/>
      <c r="F2651" s="58"/>
      <c r="G2651" s="59"/>
      <c r="H2651" s="56"/>
      <c r="I2651" s="60" t="str">
        <f aca="false">IF(IsPro,IF($D2651="","",IFERROR(INDEX(Items!$D$5:$D$504,Q2651),"")),IF($D2651="","","PRO PLAN"))</f>
        <v/>
      </c>
      <c r="J2651" s="61" t="str">
        <f aca="false">IF(IsPro,IF($D2651="","",IF($F2651="",IFERROR(INDEX(Items!$G$5:$G$504,Q2651),0),$F2651)),"")</f>
        <v/>
      </c>
      <c r="K2651" s="61" t="str">
        <f aca="false">IF(IsPro,IF($D2651="","",ROUND(N($E2651)*J2651*(1-N($G2651)),2)),"")</f>
        <v/>
      </c>
      <c r="L2651" s="62" t="str">
        <f aca="false">IF(IsPro,IF($D2651="","",IFERROR(INDEX(Items!$F$5:$F$504,Q2651),0)),"")</f>
        <v/>
      </c>
      <c r="M2651" s="61" t="str">
        <f aca="false">IF(IsPro,IF($D2651="","",IF(AND(R2651&lt;&gt;"",INDEX(Parties!$E$5:$E$304,R2651)&lt;&gt;"",INDEX(Parties!$E$5:$E$304,R2651)&lt;&gt;HomeState),0,ROUND(K2651*L2651/2,2))),"")</f>
        <v/>
      </c>
      <c r="N2651" s="61" t="str">
        <f aca="false">IF(IsPro,IF($D2651="","",M2651),"")</f>
        <v/>
      </c>
      <c r="O2651" s="61" t="str">
        <f aca="false">IF(IsPro,IF($D2651="","",IF(AND(R2651&lt;&gt;"",INDEX(Parties!$E$5:$E$304,R2651)&lt;&gt;"",INDEX(Parties!$E$5:$E$304,R2651)&lt;&gt;HomeState),ROUND(K2651*L2651,2),0)),"")</f>
        <v/>
      </c>
      <c r="P2651" s="61" t="str">
        <f aca="false">IF(IsPro,IF($D2651="","",K2651+M2651+N2651+O2651),"")</f>
        <v/>
      </c>
      <c r="Q2651" s="60" t="str">
        <f aca="false">IF(IsPro,IF($D2651="","",IFERROR(MATCH($D2651,Items!$A$5:$A$504,0),"")),"")</f>
        <v/>
      </c>
      <c r="R2651" s="60" t="str">
        <f aca="false">IF(IsPro,IF($C2651="","",IFERROR(MATCH($C2651,Parties!$A$5:$A$304,0),"")),"")</f>
        <v/>
      </c>
      <c r="S2651" s="61" t="str">
        <f aca="false">IF(IsPro,IF($D2651="","",IF(OR($H2651="",$H2651="Credit"),0,P2651)),"")</f>
        <v/>
      </c>
    </row>
    <row r="2652" customFormat="false" ht="15" hidden="false" customHeight="false" outlineLevel="0" collapsed="false">
      <c r="A2652" s="55"/>
      <c r="B2652" s="56"/>
      <c r="C2652" s="56"/>
      <c r="D2652" s="56"/>
      <c r="E2652" s="57"/>
      <c r="F2652" s="58"/>
      <c r="G2652" s="59"/>
      <c r="H2652" s="56"/>
      <c r="I2652" s="60" t="str">
        <f aca="false">IF(IsPro,IF($D2652="","",IFERROR(INDEX(Items!$D$5:$D$504,Q2652),"")),IF($D2652="","","PRO PLAN"))</f>
        <v/>
      </c>
      <c r="J2652" s="61" t="str">
        <f aca="false">IF(IsPro,IF($D2652="","",IF($F2652="",IFERROR(INDEX(Items!$G$5:$G$504,Q2652),0),$F2652)),"")</f>
        <v/>
      </c>
      <c r="K2652" s="61" t="str">
        <f aca="false">IF(IsPro,IF($D2652="","",ROUND(N($E2652)*J2652*(1-N($G2652)),2)),"")</f>
        <v/>
      </c>
      <c r="L2652" s="62" t="str">
        <f aca="false">IF(IsPro,IF($D2652="","",IFERROR(INDEX(Items!$F$5:$F$504,Q2652),0)),"")</f>
        <v/>
      </c>
      <c r="M2652" s="61" t="str">
        <f aca="false">IF(IsPro,IF($D2652="","",IF(AND(R2652&lt;&gt;"",INDEX(Parties!$E$5:$E$304,R2652)&lt;&gt;"",INDEX(Parties!$E$5:$E$304,R2652)&lt;&gt;HomeState),0,ROUND(K2652*L2652/2,2))),"")</f>
        <v/>
      </c>
      <c r="N2652" s="61" t="str">
        <f aca="false">IF(IsPro,IF($D2652="","",M2652),"")</f>
        <v/>
      </c>
      <c r="O2652" s="61" t="str">
        <f aca="false">IF(IsPro,IF($D2652="","",IF(AND(R2652&lt;&gt;"",INDEX(Parties!$E$5:$E$304,R2652)&lt;&gt;"",INDEX(Parties!$E$5:$E$304,R2652)&lt;&gt;HomeState),ROUND(K2652*L2652,2),0)),"")</f>
        <v/>
      </c>
      <c r="P2652" s="61" t="str">
        <f aca="false">IF(IsPro,IF($D2652="","",K2652+M2652+N2652+O2652),"")</f>
        <v/>
      </c>
      <c r="Q2652" s="60" t="str">
        <f aca="false">IF(IsPro,IF($D2652="","",IFERROR(MATCH($D2652,Items!$A$5:$A$504,0),"")),"")</f>
        <v/>
      </c>
      <c r="R2652" s="60" t="str">
        <f aca="false">IF(IsPro,IF($C2652="","",IFERROR(MATCH($C2652,Parties!$A$5:$A$304,0),"")),"")</f>
        <v/>
      </c>
      <c r="S2652" s="61" t="str">
        <f aca="false">IF(IsPro,IF($D2652="","",IF(OR($H2652="",$H2652="Credit"),0,P2652)),"")</f>
        <v/>
      </c>
    </row>
    <row r="2653" customFormat="false" ht="15" hidden="false" customHeight="false" outlineLevel="0" collapsed="false">
      <c r="A2653" s="55"/>
      <c r="B2653" s="56"/>
      <c r="C2653" s="56"/>
      <c r="D2653" s="56"/>
      <c r="E2653" s="57"/>
      <c r="F2653" s="58"/>
      <c r="G2653" s="59"/>
      <c r="H2653" s="56"/>
      <c r="I2653" s="60" t="str">
        <f aca="false">IF(IsPro,IF($D2653="","",IFERROR(INDEX(Items!$D$5:$D$504,Q2653),"")),IF($D2653="","","PRO PLAN"))</f>
        <v/>
      </c>
      <c r="J2653" s="61" t="str">
        <f aca="false">IF(IsPro,IF($D2653="","",IF($F2653="",IFERROR(INDEX(Items!$G$5:$G$504,Q2653),0),$F2653)),"")</f>
        <v/>
      </c>
      <c r="K2653" s="61" t="str">
        <f aca="false">IF(IsPro,IF($D2653="","",ROUND(N($E2653)*J2653*(1-N($G2653)),2)),"")</f>
        <v/>
      </c>
      <c r="L2653" s="62" t="str">
        <f aca="false">IF(IsPro,IF($D2653="","",IFERROR(INDEX(Items!$F$5:$F$504,Q2653),0)),"")</f>
        <v/>
      </c>
      <c r="M2653" s="61" t="str">
        <f aca="false">IF(IsPro,IF($D2653="","",IF(AND(R2653&lt;&gt;"",INDEX(Parties!$E$5:$E$304,R2653)&lt;&gt;"",INDEX(Parties!$E$5:$E$304,R2653)&lt;&gt;HomeState),0,ROUND(K2653*L2653/2,2))),"")</f>
        <v/>
      </c>
      <c r="N2653" s="61" t="str">
        <f aca="false">IF(IsPro,IF($D2653="","",M2653),"")</f>
        <v/>
      </c>
      <c r="O2653" s="61" t="str">
        <f aca="false">IF(IsPro,IF($D2653="","",IF(AND(R2653&lt;&gt;"",INDEX(Parties!$E$5:$E$304,R2653)&lt;&gt;"",INDEX(Parties!$E$5:$E$304,R2653)&lt;&gt;HomeState),ROUND(K2653*L2653,2),0)),"")</f>
        <v/>
      </c>
      <c r="P2653" s="61" t="str">
        <f aca="false">IF(IsPro,IF($D2653="","",K2653+M2653+N2653+O2653),"")</f>
        <v/>
      </c>
      <c r="Q2653" s="60" t="str">
        <f aca="false">IF(IsPro,IF($D2653="","",IFERROR(MATCH($D2653,Items!$A$5:$A$504,0),"")),"")</f>
        <v/>
      </c>
      <c r="R2653" s="60" t="str">
        <f aca="false">IF(IsPro,IF($C2653="","",IFERROR(MATCH($C2653,Parties!$A$5:$A$304,0),"")),"")</f>
        <v/>
      </c>
      <c r="S2653" s="61" t="str">
        <f aca="false">IF(IsPro,IF($D2653="","",IF(OR($H2653="",$H2653="Credit"),0,P2653)),"")</f>
        <v/>
      </c>
    </row>
    <row r="2654" customFormat="false" ht="15" hidden="false" customHeight="false" outlineLevel="0" collapsed="false">
      <c r="A2654" s="55"/>
      <c r="B2654" s="56"/>
      <c r="C2654" s="56"/>
      <c r="D2654" s="56"/>
      <c r="E2654" s="57"/>
      <c r="F2654" s="58"/>
      <c r="G2654" s="59"/>
      <c r="H2654" s="56"/>
      <c r="I2654" s="60" t="str">
        <f aca="false">IF(IsPro,IF($D2654="","",IFERROR(INDEX(Items!$D$5:$D$504,Q2654),"")),IF($D2654="","","PRO PLAN"))</f>
        <v/>
      </c>
      <c r="J2654" s="61" t="str">
        <f aca="false">IF(IsPro,IF($D2654="","",IF($F2654="",IFERROR(INDEX(Items!$G$5:$G$504,Q2654),0),$F2654)),"")</f>
        <v/>
      </c>
      <c r="K2654" s="61" t="str">
        <f aca="false">IF(IsPro,IF($D2654="","",ROUND(N($E2654)*J2654*(1-N($G2654)),2)),"")</f>
        <v/>
      </c>
      <c r="L2654" s="62" t="str">
        <f aca="false">IF(IsPro,IF($D2654="","",IFERROR(INDEX(Items!$F$5:$F$504,Q2654),0)),"")</f>
        <v/>
      </c>
      <c r="M2654" s="61" t="str">
        <f aca="false">IF(IsPro,IF($D2654="","",IF(AND(R2654&lt;&gt;"",INDEX(Parties!$E$5:$E$304,R2654)&lt;&gt;"",INDEX(Parties!$E$5:$E$304,R2654)&lt;&gt;HomeState),0,ROUND(K2654*L2654/2,2))),"")</f>
        <v/>
      </c>
      <c r="N2654" s="61" t="str">
        <f aca="false">IF(IsPro,IF($D2654="","",M2654),"")</f>
        <v/>
      </c>
      <c r="O2654" s="61" t="str">
        <f aca="false">IF(IsPro,IF($D2654="","",IF(AND(R2654&lt;&gt;"",INDEX(Parties!$E$5:$E$304,R2654)&lt;&gt;"",INDEX(Parties!$E$5:$E$304,R2654)&lt;&gt;HomeState),ROUND(K2654*L2654,2),0)),"")</f>
        <v/>
      </c>
      <c r="P2654" s="61" t="str">
        <f aca="false">IF(IsPro,IF($D2654="","",K2654+M2654+N2654+O2654),"")</f>
        <v/>
      </c>
      <c r="Q2654" s="60" t="str">
        <f aca="false">IF(IsPro,IF($D2654="","",IFERROR(MATCH($D2654,Items!$A$5:$A$504,0),"")),"")</f>
        <v/>
      </c>
      <c r="R2654" s="60" t="str">
        <f aca="false">IF(IsPro,IF($C2654="","",IFERROR(MATCH($C2654,Parties!$A$5:$A$304,0),"")),"")</f>
        <v/>
      </c>
      <c r="S2654" s="61" t="str">
        <f aca="false">IF(IsPro,IF($D2654="","",IF(OR($H2654="",$H2654="Credit"),0,P2654)),"")</f>
        <v/>
      </c>
    </row>
    <row r="2655" customFormat="false" ht="15" hidden="false" customHeight="false" outlineLevel="0" collapsed="false">
      <c r="A2655" s="55"/>
      <c r="B2655" s="56"/>
      <c r="C2655" s="56"/>
      <c r="D2655" s="56"/>
      <c r="E2655" s="57"/>
      <c r="F2655" s="58"/>
      <c r="G2655" s="59"/>
      <c r="H2655" s="56"/>
      <c r="I2655" s="60" t="str">
        <f aca="false">IF(IsPro,IF($D2655="","",IFERROR(INDEX(Items!$D$5:$D$504,Q2655),"")),IF($D2655="","","PRO PLAN"))</f>
        <v/>
      </c>
      <c r="J2655" s="61" t="str">
        <f aca="false">IF(IsPro,IF($D2655="","",IF($F2655="",IFERROR(INDEX(Items!$G$5:$G$504,Q2655),0),$F2655)),"")</f>
        <v/>
      </c>
      <c r="K2655" s="61" t="str">
        <f aca="false">IF(IsPro,IF($D2655="","",ROUND(N($E2655)*J2655*(1-N($G2655)),2)),"")</f>
        <v/>
      </c>
      <c r="L2655" s="62" t="str">
        <f aca="false">IF(IsPro,IF($D2655="","",IFERROR(INDEX(Items!$F$5:$F$504,Q2655),0)),"")</f>
        <v/>
      </c>
      <c r="M2655" s="61" t="str">
        <f aca="false">IF(IsPro,IF($D2655="","",IF(AND(R2655&lt;&gt;"",INDEX(Parties!$E$5:$E$304,R2655)&lt;&gt;"",INDEX(Parties!$E$5:$E$304,R2655)&lt;&gt;HomeState),0,ROUND(K2655*L2655/2,2))),"")</f>
        <v/>
      </c>
      <c r="N2655" s="61" t="str">
        <f aca="false">IF(IsPro,IF($D2655="","",M2655),"")</f>
        <v/>
      </c>
      <c r="O2655" s="61" t="str">
        <f aca="false">IF(IsPro,IF($D2655="","",IF(AND(R2655&lt;&gt;"",INDEX(Parties!$E$5:$E$304,R2655)&lt;&gt;"",INDEX(Parties!$E$5:$E$304,R2655)&lt;&gt;HomeState),ROUND(K2655*L2655,2),0)),"")</f>
        <v/>
      </c>
      <c r="P2655" s="61" t="str">
        <f aca="false">IF(IsPro,IF($D2655="","",K2655+M2655+N2655+O2655),"")</f>
        <v/>
      </c>
      <c r="Q2655" s="60" t="str">
        <f aca="false">IF(IsPro,IF($D2655="","",IFERROR(MATCH($D2655,Items!$A$5:$A$504,0),"")),"")</f>
        <v/>
      </c>
      <c r="R2655" s="60" t="str">
        <f aca="false">IF(IsPro,IF($C2655="","",IFERROR(MATCH($C2655,Parties!$A$5:$A$304,0),"")),"")</f>
        <v/>
      </c>
      <c r="S2655" s="61" t="str">
        <f aca="false">IF(IsPro,IF($D2655="","",IF(OR($H2655="",$H2655="Credit"),0,P2655)),"")</f>
        <v/>
      </c>
    </row>
    <row r="2656" customFormat="false" ht="15" hidden="false" customHeight="false" outlineLevel="0" collapsed="false">
      <c r="A2656" s="55"/>
      <c r="B2656" s="56"/>
      <c r="C2656" s="56"/>
      <c r="D2656" s="56"/>
      <c r="E2656" s="57"/>
      <c r="F2656" s="58"/>
      <c r="G2656" s="59"/>
      <c r="H2656" s="56"/>
      <c r="I2656" s="60" t="str">
        <f aca="false">IF(IsPro,IF($D2656="","",IFERROR(INDEX(Items!$D$5:$D$504,Q2656),"")),IF($D2656="","","PRO PLAN"))</f>
        <v/>
      </c>
      <c r="J2656" s="61" t="str">
        <f aca="false">IF(IsPro,IF($D2656="","",IF($F2656="",IFERROR(INDEX(Items!$G$5:$G$504,Q2656),0),$F2656)),"")</f>
        <v/>
      </c>
      <c r="K2656" s="61" t="str">
        <f aca="false">IF(IsPro,IF($D2656="","",ROUND(N($E2656)*J2656*(1-N($G2656)),2)),"")</f>
        <v/>
      </c>
      <c r="L2656" s="62" t="str">
        <f aca="false">IF(IsPro,IF($D2656="","",IFERROR(INDEX(Items!$F$5:$F$504,Q2656),0)),"")</f>
        <v/>
      </c>
      <c r="M2656" s="61" t="str">
        <f aca="false">IF(IsPro,IF($D2656="","",IF(AND(R2656&lt;&gt;"",INDEX(Parties!$E$5:$E$304,R2656)&lt;&gt;"",INDEX(Parties!$E$5:$E$304,R2656)&lt;&gt;HomeState),0,ROUND(K2656*L2656/2,2))),"")</f>
        <v/>
      </c>
      <c r="N2656" s="61" t="str">
        <f aca="false">IF(IsPro,IF($D2656="","",M2656),"")</f>
        <v/>
      </c>
      <c r="O2656" s="61" t="str">
        <f aca="false">IF(IsPro,IF($D2656="","",IF(AND(R2656&lt;&gt;"",INDEX(Parties!$E$5:$E$304,R2656)&lt;&gt;"",INDEX(Parties!$E$5:$E$304,R2656)&lt;&gt;HomeState),ROUND(K2656*L2656,2),0)),"")</f>
        <v/>
      </c>
      <c r="P2656" s="61" t="str">
        <f aca="false">IF(IsPro,IF($D2656="","",K2656+M2656+N2656+O2656),"")</f>
        <v/>
      </c>
      <c r="Q2656" s="60" t="str">
        <f aca="false">IF(IsPro,IF($D2656="","",IFERROR(MATCH($D2656,Items!$A$5:$A$504,0),"")),"")</f>
        <v/>
      </c>
      <c r="R2656" s="60" t="str">
        <f aca="false">IF(IsPro,IF($C2656="","",IFERROR(MATCH($C2656,Parties!$A$5:$A$304,0),"")),"")</f>
        <v/>
      </c>
      <c r="S2656" s="61" t="str">
        <f aca="false">IF(IsPro,IF($D2656="","",IF(OR($H2656="",$H2656="Credit"),0,P2656)),"")</f>
        <v/>
      </c>
    </row>
    <row r="2657" customFormat="false" ht="15" hidden="false" customHeight="false" outlineLevel="0" collapsed="false">
      <c r="A2657" s="55"/>
      <c r="B2657" s="56"/>
      <c r="C2657" s="56"/>
      <c r="D2657" s="56"/>
      <c r="E2657" s="57"/>
      <c r="F2657" s="58"/>
      <c r="G2657" s="59"/>
      <c r="H2657" s="56"/>
      <c r="I2657" s="60" t="str">
        <f aca="false">IF(IsPro,IF($D2657="","",IFERROR(INDEX(Items!$D$5:$D$504,Q2657),"")),IF($D2657="","","PRO PLAN"))</f>
        <v/>
      </c>
      <c r="J2657" s="61" t="str">
        <f aca="false">IF(IsPro,IF($D2657="","",IF($F2657="",IFERROR(INDEX(Items!$G$5:$G$504,Q2657),0),$F2657)),"")</f>
        <v/>
      </c>
      <c r="K2657" s="61" t="str">
        <f aca="false">IF(IsPro,IF($D2657="","",ROUND(N($E2657)*J2657*(1-N($G2657)),2)),"")</f>
        <v/>
      </c>
      <c r="L2657" s="62" t="str">
        <f aca="false">IF(IsPro,IF($D2657="","",IFERROR(INDEX(Items!$F$5:$F$504,Q2657),0)),"")</f>
        <v/>
      </c>
      <c r="M2657" s="61" t="str">
        <f aca="false">IF(IsPro,IF($D2657="","",IF(AND(R2657&lt;&gt;"",INDEX(Parties!$E$5:$E$304,R2657)&lt;&gt;"",INDEX(Parties!$E$5:$E$304,R2657)&lt;&gt;HomeState),0,ROUND(K2657*L2657/2,2))),"")</f>
        <v/>
      </c>
      <c r="N2657" s="61" t="str">
        <f aca="false">IF(IsPro,IF($D2657="","",M2657),"")</f>
        <v/>
      </c>
      <c r="O2657" s="61" t="str">
        <f aca="false">IF(IsPro,IF($D2657="","",IF(AND(R2657&lt;&gt;"",INDEX(Parties!$E$5:$E$304,R2657)&lt;&gt;"",INDEX(Parties!$E$5:$E$304,R2657)&lt;&gt;HomeState),ROUND(K2657*L2657,2),0)),"")</f>
        <v/>
      </c>
      <c r="P2657" s="61" t="str">
        <f aca="false">IF(IsPro,IF($D2657="","",K2657+M2657+N2657+O2657),"")</f>
        <v/>
      </c>
      <c r="Q2657" s="60" t="str">
        <f aca="false">IF(IsPro,IF($D2657="","",IFERROR(MATCH($D2657,Items!$A$5:$A$504,0),"")),"")</f>
        <v/>
      </c>
      <c r="R2657" s="60" t="str">
        <f aca="false">IF(IsPro,IF($C2657="","",IFERROR(MATCH($C2657,Parties!$A$5:$A$304,0),"")),"")</f>
        <v/>
      </c>
      <c r="S2657" s="61" t="str">
        <f aca="false">IF(IsPro,IF($D2657="","",IF(OR($H2657="",$H2657="Credit"),0,P2657)),"")</f>
        <v/>
      </c>
    </row>
    <row r="2658" customFormat="false" ht="15" hidden="false" customHeight="false" outlineLevel="0" collapsed="false">
      <c r="A2658" s="55"/>
      <c r="B2658" s="56"/>
      <c r="C2658" s="56"/>
      <c r="D2658" s="56"/>
      <c r="E2658" s="57"/>
      <c r="F2658" s="58"/>
      <c r="G2658" s="59"/>
      <c r="H2658" s="56"/>
      <c r="I2658" s="60" t="str">
        <f aca="false">IF(IsPro,IF($D2658="","",IFERROR(INDEX(Items!$D$5:$D$504,Q2658),"")),IF($D2658="","","PRO PLAN"))</f>
        <v/>
      </c>
      <c r="J2658" s="61" t="str">
        <f aca="false">IF(IsPro,IF($D2658="","",IF($F2658="",IFERROR(INDEX(Items!$G$5:$G$504,Q2658),0),$F2658)),"")</f>
        <v/>
      </c>
      <c r="K2658" s="61" t="str">
        <f aca="false">IF(IsPro,IF($D2658="","",ROUND(N($E2658)*J2658*(1-N($G2658)),2)),"")</f>
        <v/>
      </c>
      <c r="L2658" s="62" t="str">
        <f aca="false">IF(IsPro,IF($D2658="","",IFERROR(INDEX(Items!$F$5:$F$504,Q2658),0)),"")</f>
        <v/>
      </c>
      <c r="M2658" s="61" t="str">
        <f aca="false">IF(IsPro,IF($D2658="","",IF(AND(R2658&lt;&gt;"",INDEX(Parties!$E$5:$E$304,R2658)&lt;&gt;"",INDEX(Parties!$E$5:$E$304,R2658)&lt;&gt;HomeState),0,ROUND(K2658*L2658/2,2))),"")</f>
        <v/>
      </c>
      <c r="N2658" s="61" t="str">
        <f aca="false">IF(IsPro,IF($D2658="","",M2658),"")</f>
        <v/>
      </c>
      <c r="O2658" s="61" t="str">
        <f aca="false">IF(IsPro,IF($D2658="","",IF(AND(R2658&lt;&gt;"",INDEX(Parties!$E$5:$E$304,R2658)&lt;&gt;"",INDEX(Parties!$E$5:$E$304,R2658)&lt;&gt;HomeState),ROUND(K2658*L2658,2),0)),"")</f>
        <v/>
      </c>
      <c r="P2658" s="61" t="str">
        <f aca="false">IF(IsPro,IF($D2658="","",K2658+M2658+N2658+O2658),"")</f>
        <v/>
      </c>
      <c r="Q2658" s="60" t="str">
        <f aca="false">IF(IsPro,IF($D2658="","",IFERROR(MATCH($D2658,Items!$A$5:$A$504,0),"")),"")</f>
        <v/>
      </c>
      <c r="R2658" s="60" t="str">
        <f aca="false">IF(IsPro,IF($C2658="","",IFERROR(MATCH($C2658,Parties!$A$5:$A$304,0),"")),"")</f>
        <v/>
      </c>
      <c r="S2658" s="61" t="str">
        <f aca="false">IF(IsPro,IF($D2658="","",IF(OR($H2658="",$H2658="Credit"),0,P2658)),"")</f>
        <v/>
      </c>
    </row>
    <row r="2659" customFormat="false" ht="15" hidden="false" customHeight="false" outlineLevel="0" collapsed="false">
      <c r="A2659" s="55"/>
      <c r="B2659" s="56"/>
      <c r="C2659" s="56"/>
      <c r="D2659" s="56"/>
      <c r="E2659" s="57"/>
      <c r="F2659" s="58"/>
      <c r="G2659" s="59"/>
      <c r="H2659" s="56"/>
      <c r="I2659" s="60" t="str">
        <f aca="false">IF(IsPro,IF($D2659="","",IFERROR(INDEX(Items!$D$5:$D$504,Q2659),"")),IF($D2659="","","PRO PLAN"))</f>
        <v/>
      </c>
      <c r="J2659" s="61" t="str">
        <f aca="false">IF(IsPro,IF($D2659="","",IF($F2659="",IFERROR(INDEX(Items!$G$5:$G$504,Q2659),0),$F2659)),"")</f>
        <v/>
      </c>
      <c r="K2659" s="61" t="str">
        <f aca="false">IF(IsPro,IF($D2659="","",ROUND(N($E2659)*J2659*(1-N($G2659)),2)),"")</f>
        <v/>
      </c>
      <c r="L2659" s="62" t="str">
        <f aca="false">IF(IsPro,IF($D2659="","",IFERROR(INDEX(Items!$F$5:$F$504,Q2659),0)),"")</f>
        <v/>
      </c>
      <c r="M2659" s="61" t="str">
        <f aca="false">IF(IsPro,IF($D2659="","",IF(AND(R2659&lt;&gt;"",INDEX(Parties!$E$5:$E$304,R2659)&lt;&gt;"",INDEX(Parties!$E$5:$E$304,R2659)&lt;&gt;HomeState),0,ROUND(K2659*L2659/2,2))),"")</f>
        <v/>
      </c>
      <c r="N2659" s="61" t="str">
        <f aca="false">IF(IsPro,IF($D2659="","",M2659),"")</f>
        <v/>
      </c>
      <c r="O2659" s="61" t="str">
        <f aca="false">IF(IsPro,IF($D2659="","",IF(AND(R2659&lt;&gt;"",INDEX(Parties!$E$5:$E$304,R2659)&lt;&gt;"",INDEX(Parties!$E$5:$E$304,R2659)&lt;&gt;HomeState),ROUND(K2659*L2659,2),0)),"")</f>
        <v/>
      </c>
      <c r="P2659" s="61" t="str">
        <f aca="false">IF(IsPro,IF($D2659="","",K2659+M2659+N2659+O2659),"")</f>
        <v/>
      </c>
      <c r="Q2659" s="60" t="str">
        <f aca="false">IF(IsPro,IF($D2659="","",IFERROR(MATCH($D2659,Items!$A$5:$A$504,0),"")),"")</f>
        <v/>
      </c>
      <c r="R2659" s="60" t="str">
        <f aca="false">IF(IsPro,IF($C2659="","",IFERROR(MATCH($C2659,Parties!$A$5:$A$304,0),"")),"")</f>
        <v/>
      </c>
      <c r="S2659" s="61" t="str">
        <f aca="false">IF(IsPro,IF($D2659="","",IF(OR($H2659="",$H2659="Credit"),0,P2659)),"")</f>
        <v/>
      </c>
    </row>
    <row r="2660" customFormat="false" ht="15" hidden="false" customHeight="false" outlineLevel="0" collapsed="false">
      <c r="A2660" s="55"/>
      <c r="B2660" s="56"/>
      <c r="C2660" s="56"/>
      <c r="D2660" s="56"/>
      <c r="E2660" s="57"/>
      <c r="F2660" s="58"/>
      <c r="G2660" s="59"/>
      <c r="H2660" s="56"/>
      <c r="I2660" s="60" t="str">
        <f aca="false">IF(IsPro,IF($D2660="","",IFERROR(INDEX(Items!$D$5:$D$504,Q2660),"")),IF($D2660="","","PRO PLAN"))</f>
        <v/>
      </c>
      <c r="J2660" s="61" t="str">
        <f aca="false">IF(IsPro,IF($D2660="","",IF($F2660="",IFERROR(INDEX(Items!$G$5:$G$504,Q2660),0),$F2660)),"")</f>
        <v/>
      </c>
      <c r="K2660" s="61" t="str">
        <f aca="false">IF(IsPro,IF($D2660="","",ROUND(N($E2660)*J2660*(1-N($G2660)),2)),"")</f>
        <v/>
      </c>
      <c r="L2660" s="62" t="str">
        <f aca="false">IF(IsPro,IF($D2660="","",IFERROR(INDEX(Items!$F$5:$F$504,Q2660),0)),"")</f>
        <v/>
      </c>
      <c r="M2660" s="61" t="str">
        <f aca="false">IF(IsPro,IF($D2660="","",IF(AND(R2660&lt;&gt;"",INDEX(Parties!$E$5:$E$304,R2660)&lt;&gt;"",INDEX(Parties!$E$5:$E$304,R2660)&lt;&gt;HomeState),0,ROUND(K2660*L2660/2,2))),"")</f>
        <v/>
      </c>
      <c r="N2660" s="61" t="str">
        <f aca="false">IF(IsPro,IF($D2660="","",M2660),"")</f>
        <v/>
      </c>
      <c r="O2660" s="61" t="str">
        <f aca="false">IF(IsPro,IF($D2660="","",IF(AND(R2660&lt;&gt;"",INDEX(Parties!$E$5:$E$304,R2660)&lt;&gt;"",INDEX(Parties!$E$5:$E$304,R2660)&lt;&gt;HomeState),ROUND(K2660*L2660,2),0)),"")</f>
        <v/>
      </c>
      <c r="P2660" s="61" t="str">
        <f aca="false">IF(IsPro,IF($D2660="","",K2660+M2660+N2660+O2660),"")</f>
        <v/>
      </c>
      <c r="Q2660" s="60" t="str">
        <f aca="false">IF(IsPro,IF($D2660="","",IFERROR(MATCH($D2660,Items!$A$5:$A$504,0),"")),"")</f>
        <v/>
      </c>
      <c r="R2660" s="60" t="str">
        <f aca="false">IF(IsPro,IF($C2660="","",IFERROR(MATCH($C2660,Parties!$A$5:$A$304,0),"")),"")</f>
        <v/>
      </c>
      <c r="S2660" s="61" t="str">
        <f aca="false">IF(IsPro,IF($D2660="","",IF(OR($H2660="",$H2660="Credit"),0,P2660)),"")</f>
        <v/>
      </c>
    </row>
    <row r="2661" customFormat="false" ht="15" hidden="false" customHeight="false" outlineLevel="0" collapsed="false">
      <c r="A2661" s="55"/>
      <c r="B2661" s="56"/>
      <c r="C2661" s="56"/>
      <c r="D2661" s="56"/>
      <c r="E2661" s="57"/>
      <c r="F2661" s="58"/>
      <c r="G2661" s="59"/>
      <c r="H2661" s="56"/>
      <c r="I2661" s="60" t="str">
        <f aca="false">IF(IsPro,IF($D2661="","",IFERROR(INDEX(Items!$D$5:$D$504,Q2661),"")),IF($D2661="","","PRO PLAN"))</f>
        <v/>
      </c>
      <c r="J2661" s="61" t="str">
        <f aca="false">IF(IsPro,IF($D2661="","",IF($F2661="",IFERROR(INDEX(Items!$G$5:$G$504,Q2661),0),$F2661)),"")</f>
        <v/>
      </c>
      <c r="K2661" s="61" t="str">
        <f aca="false">IF(IsPro,IF($D2661="","",ROUND(N($E2661)*J2661*(1-N($G2661)),2)),"")</f>
        <v/>
      </c>
      <c r="L2661" s="62" t="str">
        <f aca="false">IF(IsPro,IF($D2661="","",IFERROR(INDEX(Items!$F$5:$F$504,Q2661),0)),"")</f>
        <v/>
      </c>
      <c r="M2661" s="61" t="str">
        <f aca="false">IF(IsPro,IF($D2661="","",IF(AND(R2661&lt;&gt;"",INDEX(Parties!$E$5:$E$304,R2661)&lt;&gt;"",INDEX(Parties!$E$5:$E$304,R2661)&lt;&gt;HomeState),0,ROUND(K2661*L2661/2,2))),"")</f>
        <v/>
      </c>
      <c r="N2661" s="61" t="str">
        <f aca="false">IF(IsPro,IF($D2661="","",M2661),"")</f>
        <v/>
      </c>
      <c r="O2661" s="61" t="str">
        <f aca="false">IF(IsPro,IF($D2661="","",IF(AND(R2661&lt;&gt;"",INDEX(Parties!$E$5:$E$304,R2661)&lt;&gt;"",INDEX(Parties!$E$5:$E$304,R2661)&lt;&gt;HomeState),ROUND(K2661*L2661,2),0)),"")</f>
        <v/>
      </c>
      <c r="P2661" s="61" t="str">
        <f aca="false">IF(IsPro,IF($D2661="","",K2661+M2661+N2661+O2661),"")</f>
        <v/>
      </c>
      <c r="Q2661" s="60" t="str">
        <f aca="false">IF(IsPro,IF($D2661="","",IFERROR(MATCH($D2661,Items!$A$5:$A$504,0),"")),"")</f>
        <v/>
      </c>
      <c r="R2661" s="60" t="str">
        <f aca="false">IF(IsPro,IF($C2661="","",IFERROR(MATCH($C2661,Parties!$A$5:$A$304,0),"")),"")</f>
        <v/>
      </c>
      <c r="S2661" s="61" t="str">
        <f aca="false">IF(IsPro,IF($D2661="","",IF(OR($H2661="",$H2661="Credit"),0,P2661)),"")</f>
        <v/>
      </c>
    </row>
    <row r="2662" customFormat="false" ht="15" hidden="false" customHeight="false" outlineLevel="0" collapsed="false">
      <c r="A2662" s="55"/>
      <c r="B2662" s="56"/>
      <c r="C2662" s="56"/>
      <c r="D2662" s="56"/>
      <c r="E2662" s="57"/>
      <c r="F2662" s="58"/>
      <c r="G2662" s="59"/>
      <c r="H2662" s="56"/>
      <c r="I2662" s="60" t="str">
        <f aca="false">IF(IsPro,IF($D2662="","",IFERROR(INDEX(Items!$D$5:$D$504,Q2662),"")),IF($D2662="","","PRO PLAN"))</f>
        <v/>
      </c>
      <c r="J2662" s="61" t="str">
        <f aca="false">IF(IsPro,IF($D2662="","",IF($F2662="",IFERROR(INDEX(Items!$G$5:$G$504,Q2662),0),$F2662)),"")</f>
        <v/>
      </c>
      <c r="K2662" s="61" t="str">
        <f aca="false">IF(IsPro,IF($D2662="","",ROUND(N($E2662)*J2662*(1-N($G2662)),2)),"")</f>
        <v/>
      </c>
      <c r="L2662" s="62" t="str">
        <f aca="false">IF(IsPro,IF($D2662="","",IFERROR(INDEX(Items!$F$5:$F$504,Q2662),0)),"")</f>
        <v/>
      </c>
      <c r="M2662" s="61" t="str">
        <f aca="false">IF(IsPro,IF($D2662="","",IF(AND(R2662&lt;&gt;"",INDEX(Parties!$E$5:$E$304,R2662)&lt;&gt;"",INDEX(Parties!$E$5:$E$304,R2662)&lt;&gt;HomeState),0,ROUND(K2662*L2662/2,2))),"")</f>
        <v/>
      </c>
      <c r="N2662" s="61" t="str">
        <f aca="false">IF(IsPro,IF($D2662="","",M2662),"")</f>
        <v/>
      </c>
      <c r="O2662" s="61" t="str">
        <f aca="false">IF(IsPro,IF($D2662="","",IF(AND(R2662&lt;&gt;"",INDEX(Parties!$E$5:$E$304,R2662)&lt;&gt;"",INDEX(Parties!$E$5:$E$304,R2662)&lt;&gt;HomeState),ROUND(K2662*L2662,2),0)),"")</f>
        <v/>
      </c>
      <c r="P2662" s="61" t="str">
        <f aca="false">IF(IsPro,IF($D2662="","",K2662+M2662+N2662+O2662),"")</f>
        <v/>
      </c>
      <c r="Q2662" s="60" t="str">
        <f aca="false">IF(IsPro,IF($D2662="","",IFERROR(MATCH($D2662,Items!$A$5:$A$504,0),"")),"")</f>
        <v/>
      </c>
      <c r="R2662" s="60" t="str">
        <f aca="false">IF(IsPro,IF($C2662="","",IFERROR(MATCH($C2662,Parties!$A$5:$A$304,0),"")),"")</f>
        <v/>
      </c>
      <c r="S2662" s="61" t="str">
        <f aca="false">IF(IsPro,IF($D2662="","",IF(OR($H2662="",$H2662="Credit"),0,P2662)),"")</f>
        <v/>
      </c>
    </row>
    <row r="2663" customFormat="false" ht="15" hidden="false" customHeight="false" outlineLevel="0" collapsed="false">
      <c r="A2663" s="55"/>
      <c r="B2663" s="56"/>
      <c r="C2663" s="56"/>
      <c r="D2663" s="56"/>
      <c r="E2663" s="57"/>
      <c r="F2663" s="58"/>
      <c r="G2663" s="59"/>
      <c r="H2663" s="56"/>
      <c r="I2663" s="60" t="str">
        <f aca="false">IF(IsPro,IF($D2663="","",IFERROR(INDEX(Items!$D$5:$D$504,Q2663),"")),IF($D2663="","","PRO PLAN"))</f>
        <v/>
      </c>
      <c r="J2663" s="61" t="str">
        <f aca="false">IF(IsPro,IF($D2663="","",IF($F2663="",IFERROR(INDEX(Items!$G$5:$G$504,Q2663),0),$F2663)),"")</f>
        <v/>
      </c>
      <c r="K2663" s="61" t="str">
        <f aca="false">IF(IsPro,IF($D2663="","",ROUND(N($E2663)*J2663*(1-N($G2663)),2)),"")</f>
        <v/>
      </c>
      <c r="L2663" s="62" t="str">
        <f aca="false">IF(IsPro,IF($D2663="","",IFERROR(INDEX(Items!$F$5:$F$504,Q2663),0)),"")</f>
        <v/>
      </c>
      <c r="M2663" s="61" t="str">
        <f aca="false">IF(IsPro,IF($D2663="","",IF(AND(R2663&lt;&gt;"",INDEX(Parties!$E$5:$E$304,R2663)&lt;&gt;"",INDEX(Parties!$E$5:$E$304,R2663)&lt;&gt;HomeState),0,ROUND(K2663*L2663/2,2))),"")</f>
        <v/>
      </c>
      <c r="N2663" s="61" t="str">
        <f aca="false">IF(IsPro,IF($D2663="","",M2663),"")</f>
        <v/>
      </c>
      <c r="O2663" s="61" t="str">
        <f aca="false">IF(IsPro,IF($D2663="","",IF(AND(R2663&lt;&gt;"",INDEX(Parties!$E$5:$E$304,R2663)&lt;&gt;"",INDEX(Parties!$E$5:$E$304,R2663)&lt;&gt;HomeState),ROUND(K2663*L2663,2),0)),"")</f>
        <v/>
      </c>
      <c r="P2663" s="61" t="str">
        <f aca="false">IF(IsPro,IF($D2663="","",K2663+M2663+N2663+O2663),"")</f>
        <v/>
      </c>
      <c r="Q2663" s="60" t="str">
        <f aca="false">IF(IsPro,IF($D2663="","",IFERROR(MATCH($D2663,Items!$A$5:$A$504,0),"")),"")</f>
        <v/>
      </c>
      <c r="R2663" s="60" t="str">
        <f aca="false">IF(IsPro,IF($C2663="","",IFERROR(MATCH($C2663,Parties!$A$5:$A$304,0),"")),"")</f>
        <v/>
      </c>
      <c r="S2663" s="61" t="str">
        <f aca="false">IF(IsPro,IF($D2663="","",IF(OR($H2663="",$H2663="Credit"),0,P2663)),"")</f>
        <v/>
      </c>
    </row>
    <row r="2664" customFormat="false" ht="15" hidden="false" customHeight="false" outlineLevel="0" collapsed="false">
      <c r="A2664" s="55"/>
      <c r="B2664" s="56"/>
      <c r="C2664" s="56"/>
      <c r="D2664" s="56"/>
      <c r="E2664" s="57"/>
      <c r="F2664" s="58"/>
      <c r="G2664" s="59"/>
      <c r="H2664" s="56"/>
      <c r="I2664" s="60" t="str">
        <f aca="false">IF(IsPro,IF($D2664="","",IFERROR(INDEX(Items!$D$5:$D$504,Q2664),"")),IF($D2664="","","PRO PLAN"))</f>
        <v/>
      </c>
      <c r="J2664" s="61" t="str">
        <f aca="false">IF(IsPro,IF($D2664="","",IF($F2664="",IFERROR(INDEX(Items!$G$5:$G$504,Q2664),0),$F2664)),"")</f>
        <v/>
      </c>
      <c r="K2664" s="61" t="str">
        <f aca="false">IF(IsPro,IF($D2664="","",ROUND(N($E2664)*J2664*(1-N($G2664)),2)),"")</f>
        <v/>
      </c>
      <c r="L2664" s="62" t="str">
        <f aca="false">IF(IsPro,IF($D2664="","",IFERROR(INDEX(Items!$F$5:$F$504,Q2664),0)),"")</f>
        <v/>
      </c>
      <c r="M2664" s="61" t="str">
        <f aca="false">IF(IsPro,IF($D2664="","",IF(AND(R2664&lt;&gt;"",INDEX(Parties!$E$5:$E$304,R2664)&lt;&gt;"",INDEX(Parties!$E$5:$E$304,R2664)&lt;&gt;HomeState),0,ROUND(K2664*L2664/2,2))),"")</f>
        <v/>
      </c>
      <c r="N2664" s="61" t="str">
        <f aca="false">IF(IsPro,IF($D2664="","",M2664),"")</f>
        <v/>
      </c>
      <c r="O2664" s="61" t="str">
        <f aca="false">IF(IsPro,IF($D2664="","",IF(AND(R2664&lt;&gt;"",INDEX(Parties!$E$5:$E$304,R2664)&lt;&gt;"",INDEX(Parties!$E$5:$E$304,R2664)&lt;&gt;HomeState),ROUND(K2664*L2664,2),0)),"")</f>
        <v/>
      </c>
      <c r="P2664" s="61" t="str">
        <f aca="false">IF(IsPro,IF($D2664="","",K2664+M2664+N2664+O2664),"")</f>
        <v/>
      </c>
      <c r="Q2664" s="60" t="str">
        <f aca="false">IF(IsPro,IF($D2664="","",IFERROR(MATCH($D2664,Items!$A$5:$A$504,0),"")),"")</f>
        <v/>
      </c>
      <c r="R2664" s="60" t="str">
        <f aca="false">IF(IsPro,IF($C2664="","",IFERROR(MATCH($C2664,Parties!$A$5:$A$304,0),"")),"")</f>
        <v/>
      </c>
      <c r="S2664" s="61" t="str">
        <f aca="false">IF(IsPro,IF($D2664="","",IF(OR($H2664="",$H2664="Credit"),0,P2664)),"")</f>
        <v/>
      </c>
    </row>
    <row r="2665" customFormat="false" ht="15" hidden="false" customHeight="false" outlineLevel="0" collapsed="false">
      <c r="A2665" s="55"/>
      <c r="B2665" s="56"/>
      <c r="C2665" s="56"/>
      <c r="D2665" s="56"/>
      <c r="E2665" s="57"/>
      <c r="F2665" s="58"/>
      <c r="G2665" s="59"/>
      <c r="H2665" s="56"/>
      <c r="I2665" s="60" t="str">
        <f aca="false">IF(IsPro,IF($D2665="","",IFERROR(INDEX(Items!$D$5:$D$504,Q2665),"")),IF($D2665="","","PRO PLAN"))</f>
        <v/>
      </c>
      <c r="J2665" s="61" t="str">
        <f aca="false">IF(IsPro,IF($D2665="","",IF($F2665="",IFERROR(INDEX(Items!$G$5:$G$504,Q2665),0),$F2665)),"")</f>
        <v/>
      </c>
      <c r="K2665" s="61" t="str">
        <f aca="false">IF(IsPro,IF($D2665="","",ROUND(N($E2665)*J2665*(1-N($G2665)),2)),"")</f>
        <v/>
      </c>
      <c r="L2665" s="62" t="str">
        <f aca="false">IF(IsPro,IF($D2665="","",IFERROR(INDEX(Items!$F$5:$F$504,Q2665),0)),"")</f>
        <v/>
      </c>
      <c r="M2665" s="61" t="str">
        <f aca="false">IF(IsPro,IF($D2665="","",IF(AND(R2665&lt;&gt;"",INDEX(Parties!$E$5:$E$304,R2665)&lt;&gt;"",INDEX(Parties!$E$5:$E$304,R2665)&lt;&gt;HomeState),0,ROUND(K2665*L2665/2,2))),"")</f>
        <v/>
      </c>
      <c r="N2665" s="61" t="str">
        <f aca="false">IF(IsPro,IF($D2665="","",M2665),"")</f>
        <v/>
      </c>
      <c r="O2665" s="61" t="str">
        <f aca="false">IF(IsPro,IF($D2665="","",IF(AND(R2665&lt;&gt;"",INDEX(Parties!$E$5:$E$304,R2665)&lt;&gt;"",INDEX(Parties!$E$5:$E$304,R2665)&lt;&gt;HomeState),ROUND(K2665*L2665,2),0)),"")</f>
        <v/>
      </c>
      <c r="P2665" s="61" t="str">
        <f aca="false">IF(IsPro,IF($D2665="","",K2665+M2665+N2665+O2665),"")</f>
        <v/>
      </c>
      <c r="Q2665" s="60" t="str">
        <f aca="false">IF(IsPro,IF($D2665="","",IFERROR(MATCH($D2665,Items!$A$5:$A$504,0),"")),"")</f>
        <v/>
      </c>
      <c r="R2665" s="60" t="str">
        <f aca="false">IF(IsPro,IF($C2665="","",IFERROR(MATCH($C2665,Parties!$A$5:$A$304,0),"")),"")</f>
        <v/>
      </c>
      <c r="S2665" s="61" t="str">
        <f aca="false">IF(IsPro,IF($D2665="","",IF(OR($H2665="",$H2665="Credit"),0,P2665)),"")</f>
        <v/>
      </c>
    </row>
    <row r="2666" customFormat="false" ht="15" hidden="false" customHeight="false" outlineLevel="0" collapsed="false">
      <c r="A2666" s="55"/>
      <c r="B2666" s="56"/>
      <c r="C2666" s="56"/>
      <c r="D2666" s="56"/>
      <c r="E2666" s="57"/>
      <c r="F2666" s="58"/>
      <c r="G2666" s="59"/>
      <c r="H2666" s="56"/>
      <c r="I2666" s="60" t="str">
        <f aca="false">IF(IsPro,IF($D2666="","",IFERROR(INDEX(Items!$D$5:$D$504,Q2666),"")),IF($D2666="","","PRO PLAN"))</f>
        <v/>
      </c>
      <c r="J2666" s="61" t="str">
        <f aca="false">IF(IsPro,IF($D2666="","",IF($F2666="",IFERROR(INDEX(Items!$G$5:$G$504,Q2666),0),$F2666)),"")</f>
        <v/>
      </c>
      <c r="K2666" s="61" t="str">
        <f aca="false">IF(IsPro,IF($D2666="","",ROUND(N($E2666)*J2666*(1-N($G2666)),2)),"")</f>
        <v/>
      </c>
      <c r="L2666" s="62" t="str">
        <f aca="false">IF(IsPro,IF($D2666="","",IFERROR(INDEX(Items!$F$5:$F$504,Q2666),0)),"")</f>
        <v/>
      </c>
      <c r="M2666" s="61" t="str">
        <f aca="false">IF(IsPro,IF($D2666="","",IF(AND(R2666&lt;&gt;"",INDEX(Parties!$E$5:$E$304,R2666)&lt;&gt;"",INDEX(Parties!$E$5:$E$304,R2666)&lt;&gt;HomeState),0,ROUND(K2666*L2666/2,2))),"")</f>
        <v/>
      </c>
      <c r="N2666" s="61" t="str">
        <f aca="false">IF(IsPro,IF($D2666="","",M2666),"")</f>
        <v/>
      </c>
      <c r="O2666" s="61" t="str">
        <f aca="false">IF(IsPro,IF($D2666="","",IF(AND(R2666&lt;&gt;"",INDEX(Parties!$E$5:$E$304,R2666)&lt;&gt;"",INDEX(Parties!$E$5:$E$304,R2666)&lt;&gt;HomeState),ROUND(K2666*L2666,2),0)),"")</f>
        <v/>
      </c>
      <c r="P2666" s="61" t="str">
        <f aca="false">IF(IsPro,IF($D2666="","",K2666+M2666+N2666+O2666),"")</f>
        <v/>
      </c>
      <c r="Q2666" s="60" t="str">
        <f aca="false">IF(IsPro,IF($D2666="","",IFERROR(MATCH($D2666,Items!$A$5:$A$504,0),"")),"")</f>
        <v/>
      </c>
      <c r="R2666" s="60" t="str">
        <f aca="false">IF(IsPro,IF($C2666="","",IFERROR(MATCH($C2666,Parties!$A$5:$A$304,0),"")),"")</f>
        <v/>
      </c>
      <c r="S2666" s="61" t="str">
        <f aca="false">IF(IsPro,IF($D2666="","",IF(OR($H2666="",$H2666="Credit"),0,P2666)),"")</f>
        <v/>
      </c>
    </row>
    <row r="2667" customFormat="false" ht="15" hidden="false" customHeight="false" outlineLevel="0" collapsed="false">
      <c r="A2667" s="55"/>
      <c r="B2667" s="56"/>
      <c r="C2667" s="56"/>
      <c r="D2667" s="56"/>
      <c r="E2667" s="57"/>
      <c r="F2667" s="58"/>
      <c r="G2667" s="59"/>
      <c r="H2667" s="56"/>
      <c r="I2667" s="60" t="str">
        <f aca="false">IF(IsPro,IF($D2667="","",IFERROR(INDEX(Items!$D$5:$D$504,Q2667),"")),IF($D2667="","","PRO PLAN"))</f>
        <v/>
      </c>
      <c r="J2667" s="61" t="str">
        <f aca="false">IF(IsPro,IF($D2667="","",IF($F2667="",IFERROR(INDEX(Items!$G$5:$G$504,Q2667),0),$F2667)),"")</f>
        <v/>
      </c>
      <c r="K2667" s="61" t="str">
        <f aca="false">IF(IsPro,IF($D2667="","",ROUND(N($E2667)*J2667*(1-N($G2667)),2)),"")</f>
        <v/>
      </c>
      <c r="L2667" s="62" t="str">
        <f aca="false">IF(IsPro,IF($D2667="","",IFERROR(INDEX(Items!$F$5:$F$504,Q2667),0)),"")</f>
        <v/>
      </c>
      <c r="M2667" s="61" t="str">
        <f aca="false">IF(IsPro,IF($D2667="","",IF(AND(R2667&lt;&gt;"",INDEX(Parties!$E$5:$E$304,R2667)&lt;&gt;"",INDEX(Parties!$E$5:$E$304,R2667)&lt;&gt;HomeState),0,ROUND(K2667*L2667/2,2))),"")</f>
        <v/>
      </c>
      <c r="N2667" s="61" t="str">
        <f aca="false">IF(IsPro,IF($D2667="","",M2667),"")</f>
        <v/>
      </c>
      <c r="O2667" s="61" t="str">
        <f aca="false">IF(IsPro,IF($D2667="","",IF(AND(R2667&lt;&gt;"",INDEX(Parties!$E$5:$E$304,R2667)&lt;&gt;"",INDEX(Parties!$E$5:$E$304,R2667)&lt;&gt;HomeState),ROUND(K2667*L2667,2),0)),"")</f>
        <v/>
      </c>
      <c r="P2667" s="61" t="str">
        <f aca="false">IF(IsPro,IF($D2667="","",K2667+M2667+N2667+O2667),"")</f>
        <v/>
      </c>
      <c r="Q2667" s="60" t="str">
        <f aca="false">IF(IsPro,IF($D2667="","",IFERROR(MATCH($D2667,Items!$A$5:$A$504,0),"")),"")</f>
        <v/>
      </c>
      <c r="R2667" s="60" t="str">
        <f aca="false">IF(IsPro,IF($C2667="","",IFERROR(MATCH($C2667,Parties!$A$5:$A$304,0),"")),"")</f>
        <v/>
      </c>
      <c r="S2667" s="61" t="str">
        <f aca="false">IF(IsPro,IF($D2667="","",IF(OR($H2667="",$H2667="Credit"),0,P2667)),"")</f>
        <v/>
      </c>
    </row>
    <row r="2668" customFormat="false" ht="15" hidden="false" customHeight="false" outlineLevel="0" collapsed="false">
      <c r="A2668" s="55"/>
      <c r="B2668" s="56"/>
      <c r="C2668" s="56"/>
      <c r="D2668" s="56"/>
      <c r="E2668" s="57"/>
      <c r="F2668" s="58"/>
      <c r="G2668" s="59"/>
      <c r="H2668" s="56"/>
      <c r="I2668" s="60" t="str">
        <f aca="false">IF(IsPro,IF($D2668="","",IFERROR(INDEX(Items!$D$5:$D$504,Q2668),"")),IF($D2668="","","PRO PLAN"))</f>
        <v/>
      </c>
      <c r="J2668" s="61" t="str">
        <f aca="false">IF(IsPro,IF($D2668="","",IF($F2668="",IFERROR(INDEX(Items!$G$5:$G$504,Q2668),0),$F2668)),"")</f>
        <v/>
      </c>
      <c r="K2668" s="61" t="str">
        <f aca="false">IF(IsPro,IF($D2668="","",ROUND(N($E2668)*J2668*(1-N($G2668)),2)),"")</f>
        <v/>
      </c>
      <c r="L2668" s="62" t="str">
        <f aca="false">IF(IsPro,IF($D2668="","",IFERROR(INDEX(Items!$F$5:$F$504,Q2668),0)),"")</f>
        <v/>
      </c>
      <c r="M2668" s="61" t="str">
        <f aca="false">IF(IsPro,IF($D2668="","",IF(AND(R2668&lt;&gt;"",INDEX(Parties!$E$5:$E$304,R2668)&lt;&gt;"",INDEX(Parties!$E$5:$E$304,R2668)&lt;&gt;HomeState),0,ROUND(K2668*L2668/2,2))),"")</f>
        <v/>
      </c>
      <c r="N2668" s="61" t="str">
        <f aca="false">IF(IsPro,IF($D2668="","",M2668),"")</f>
        <v/>
      </c>
      <c r="O2668" s="61" t="str">
        <f aca="false">IF(IsPro,IF($D2668="","",IF(AND(R2668&lt;&gt;"",INDEX(Parties!$E$5:$E$304,R2668)&lt;&gt;"",INDEX(Parties!$E$5:$E$304,R2668)&lt;&gt;HomeState),ROUND(K2668*L2668,2),0)),"")</f>
        <v/>
      </c>
      <c r="P2668" s="61" t="str">
        <f aca="false">IF(IsPro,IF($D2668="","",K2668+M2668+N2668+O2668),"")</f>
        <v/>
      </c>
      <c r="Q2668" s="60" t="str">
        <f aca="false">IF(IsPro,IF($D2668="","",IFERROR(MATCH($D2668,Items!$A$5:$A$504,0),"")),"")</f>
        <v/>
      </c>
      <c r="R2668" s="60" t="str">
        <f aca="false">IF(IsPro,IF($C2668="","",IFERROR(MATCH($C2668,Parties!$A$5:$A$304,0),"")),"")</f>
        <v/>
      </c>
      <c r="S2668" s="61" t="str">
        <f aca="false">IF(IsPro,IF($D2668="","",IF(OR($H2668="",$H2668="Credit"),0,P2668)),"")</f>
        <v/>
      </c>
    </row>
    <row r="2669" customFormat="false" ht="15" hidden="false" customHeight="false" outlineLevel="0" collapsed="false">
      <c r="A2669" s="55"/>
      <c r="B2669" s="56"/>
      <c r="C2669" s="56"/>
      <c r="D2669" s="56"/>
      <c r="E2669" s="57"/>
      <c r="F2669" s="58"/>
      <c r="G2669" s="59"/>
      <c r="H2669" s="56"/>
      <c r="I2669" s="60" t="str">
        <f aca="false">IF(IsPro,IF($D2669="","",IFERROR(INDEX(Items!$D$5:$D$504,Q2669),"")),IF($D2669="","","PRO PLAN"))</f>
        <v/>
      </c>
      <c r="J2669" s="61" t="str">
        <f aca="false">IF(IsPro,IF($D2669="","",IF($F2669="",IFERROR(INDEX(Items!$G$5:$G$504,Q2669),0),$F2669)),"")</f>
        <v/>
      </c>
      <c r="K2669" s="61" t="str">
        <f aca="false">IF(IsPro,IF($D2669="","",ROUND(N($E2669)*J2669*(1-N($G2669)),2)),"")</f>
        <v/>
      </c>
      <c r="L2669" s="62" t="str">
        <f aca="false">IF(IsPro,IF($D2669="","",IFERROR(INDEX(Items!$F$5:$F$504,Q2669),0)),"")</f>
        <v/>
      </c>
      <c r="M2669" s="61" t="str">
        <f aca="false">IF(IsPro,IF($D2669="","",IF(AND(R2669&lt;&gt;"",INDEX(Parties!$E$5:$E$304,R2669)&lt;&gt;"",INDEX(Parties!$E$5:$E$304,R2669)&lt;&gt;HomeState),0,ROUND(K2669*L2669/2,2))),"")</f>
        <v/>
      </c>
      <c r="N2669" s="61" t="str">
        <f aca="false">IF(IsPro,IF($D2669="","",M2669),"")</f>
        <v/>
      </c>
      <c r="O2669" s="61" t="str">
        <f aca="false">IF(IsPro,IF($D2669="","",IF(AND(R2669&lt;&gt;"",INDEX(Parties!$E$5:$E$304,R2669)&lt;&gt;"",INDEX(Parties!$E$5:$E$304,R2669)&lt;&gt;HomeState),ROUND(K2669*L2669,2),0)),"")</f>
        <v/>
      </c>
      <c r="P2669" s="61" t="str">
        <f aca="false">IF(IsPro,IF($D2669="","",K2669+M2669+N2669+O2669),"")</f>
        <v/>
      </c>
      <c r="Q2669" s="60" t="str">
        <f aca="false">IF(IsPro,IF($D2669="","",IFERROR(MATCH($D2669,Items!$A$5:$A$504,0),"")),"")</f>
        <v/>
      </c>
      <c r="R2669" s="60" t="str">
        <f aca="false">IF(IsPro,IF($C2669="","",IFERROR(MATCH($C2669,Parties!$A$5:$A$304,0),"")),"")</f>
        <v/>
      </c>
      <c r="S2669" s="61" t="str">
        <f aca="false">IF(IsPro,IF($D2669="","",IF(OR($H2669="",$H2669="Credit"),0,P2669)),"")</f>
        <v/>
      </c>
    </row>
    <row r="2670" customFormat="false" ht="15" hidden="false" customHeight="false" outlineLevel="0" collapsed="false">
      <c r="A2670" s="55"/>
      <c r="B2670" s="56"/>
      <c r="C2670" s="56"/>
      <c r="D2670" s="56"/>
      <c r="E2670" s="57"/>
      <c r="F2670" s="58"/>
      <c r="G2670" s="59"/>
      <c r="H2670" s="56"/>
      <c r="I2670" s="60" t="str">
        <f aca="false">IF(IsPro,IF($D2670="","",IFERROR(INDEX(Items!$D$5:$D$504,Q2670),"")),IF($D2670="","","PRO PLAN"))</f>
        <v/>
      </c>
      <c r="J2670" s="61" t="str">
        <f aca="false">IF(IsPro,IF($D2670="","",IF($F2670="",IFERROR(INDEX(Items!$G$5:$G$504,Q2670),0),$F2670)),"")</f>
        <v/>
      </c>
      <c r="K2670" s="61" t="str">
        <f aca="false">IF(IsPro,IF($D2670="","",ROUND(N($E2670)*J2670*(1-N($G2670)),2)),"")</f>
        <v/>
      </c>
      <c r="L2670" s="62" t="str">
        <f aca="false">IF(IsPro,IF($D2670="","",IFERROR(INDEX(Items!$F$5:$F$504,Q2670),0)),"")</f>
        <v/>
      </c>
      <c r="M2670" s="61" t="str">
        <f aca="false">IF(IsPro,IF($D2670="","",IF(AND(R2670&lt;&gt;"",INDEX(Parties!$E$5:$E$304,R2670)&lt;&gt;"",INDEX(Parties!$E$5:$E$304,R2670)&lt;&gt;HomeState),0,ROUND(K2670*L2670/2,2))),"")</f>
        <v/>
      </c>
      <c r="N2670" s="61" t="str">
        <f aca="false">IF(IsPro,IF($D2670="","",M2670),"")</f>
        <v/>
      </c>
      <c r="O2670" s="61" t="str">
        <f aca="false">IF(IsPro,IF($D2670="","",IF(AND(R2670&lt;&gt;"",INDEX(Parties!$E$5:$E$304,R2670)&lt;&gt;"",INDEX(Parties!$E$5:$E$304,R2670)&lt;&gt;HomeState),ROUND(K2670*L2670,2),0)),"")</f>
        <v/>
      </c>
      <c r="P2670" s="61" t="str">
        <f aca="false">IF(IsPro,IF($D2670="","",K2670+M2670+N2670+O2670),"")</f>
        <v/>
      </c>
      <c r="Q2670" s="60" t="str">
        <f aca="false">IF(IsPro,IF($D2670="","",IFERROR(MATCH($D2670,Items!$A$5:$A$504,0),"")),"")</f>
        <v/>
      </c>
      <c r="R2670" s="60" t="str">
        <f aca="false">IF(IsPro,IF($C2670="","",IFERROR(MATCH($C2670,Parties!$A$5:$A$304,0),"")),"")</f>
        <v/>
      </c>
      <c r="S2670" s="61" t="str">
        <f aca="false">IF(IsPro,IF($D2670="","",IF(OR($H2670="",$H2670="Credit"),0,P2670)),"")</f>
        <v/>
      </c>
    </row>
    <row r="2671" customFormat="false" ht="15" hidden="false" customHeight="false" outlineLevel="0" collapsed="false">
      <c r="A2671" s="55"/>
      <c r="B2671" s="56"/>
      <c r="C2671" s="56"/>
      <c r="D2671" s="56"/>
      <c r="E2671" s="57"/>
      <c r="F2671" s="58"/>
      <c r="G2671" s="59"/>
      <c r="H2671" s="56"/>
      <c r="I2671" s="60" t="str">
        <f aca="false">IF(IsPro,IF($D2671="","",IFERROR(INDEX(Items!$D$5:$D$504,Q2671),"")),IF($D2671="","","PRO PLAN"))</f>
        <v/>
      </c>
      <c r="J2671" s="61" t="str">
        <f aca="false">IF(IsPro,IF($D2671="","",IF($F2671="",IFERROR(INDEX(Items!$G$5:$G$504,Q2671),0),$F2671)),"")</f>
        <v/>
      </c>
      <c r="K2671" s="61" t="str">
        <f aca="false">IF(IsPro,IF($D2671="","",ROUND(N($E2671)*J2671*(1-N($G2671)),2)),"")</f>
        <v/>
      </c>
      <c r="L2671" s="62" t="str">
        <f aca="false">IF(IsPro,IF($D2671="","",IFERROR(INDEX(Items!$F$5:$F$504,Q2671),0)),"")</f>
        <v/>
      </c>
      <c r="M2671" s="61" t="str">
        <f aca="false">IF(IsPro,IF($D2671="","",IF(AND(R2671&lt;&gt;"",INDEX(Parties!$E$5:$E$304,R2671)&lt;&gt;"",INDEX(Parties!$E$5:$E$304,R2671)&lt;&gt;HomeState),0,ROUND(K2671*L2671/2,2))),"")</f>
        <v/>
      </c>
      <c r="N2671" s="61" t="str">
        <f aca="false">IF(IsPro,IF($D2671="","",M2671),"")</f>
        <v/>
      </c>
      <c r="O2671" s="61" t="str">
        <f aca="false">IF(IsPro,IF($D2671="","",IF(AND(R2671&lt;&gt;"",INDEX(Parties!$E$5:$E$304,R2671)&lt;&gt;"",INDEX(Parties!$E$5:$E$304,R2671)&lt;&gt;HomeState),ROUND(K2671*L2671,2),0)),"")</f>
        <v/>
      </c>
      <c r="P2671" s="61" t="str">
        <f aca="false">IF(IsPro,IF($D2671="","",K2671+M2671+N2671+O2671),"")</f>
        <v/>
      </c>
      <c r="Q2671" s="60" t="str">
        <f aca="false">IF(IsPro,IF($D2671="","",IFERROR(MATCH($D2671,Items!$A$5:$A$504,0),"")),"")</f>
        <v/>
      </c>
      <c r="R2671" s="60" t="str">
        <f aca="false">IF(IsPro,IF($C2671="","",IFERROR(MATCH($C2671,Parties!$A$5:$A$304,0),"")),"")</f>
        <v/>
      </c>
      <c r="S2671" s="61" t="str">
        <f aca="false">IF(IsPro,IF($D2671="","",IF(OR($H2671="",$H2671="Credit"),0,P2671)),"")</f>
        <v/>
      </c>
    </row>
    <row r="2672" customFormat="false" ht="15" hidden="false" customHeight="false" outlineLevel="0" collapsed="false">
      <c r="A2672" s="55"/>
      <c r="B2672" s="56"/>
      <c r="C2672" s="56"/>
      <c r="D2672" s="56"/>
      <c r="E2672" s="57"/>
      <c r="F2672" s="58"/>
      <c r="G2672" s="59"/>
      <c r="H2672" s="56"/>
      <c r="I2672" s="60" t="str">
        <f aca="false">IF(IsPro,IF($D2672="","",IFERROR(INDEX(Items!$D$5:$D$504,Q2672),"")),IF($D2672="","","PRO PLAN"))</f>
        <v/>
      </c>
      <c r="J2672" s="61" t="str">
        <f aca="false">IF(IsPro,IF($D2672="","",IF($F2672="",IFERROR(INDEX(Items!$G$5:$G$504,Q2672),0),$F2672)),"")</f>
        <v/>
      </c>
      <c r="K2672" s="61" t="str">
        <f aca="false">IF(IsPro,IF($D2672="","",ROUND(N($E2672)*J2672*(1-N($G2672)),2)),"")</f>
        <v/>
      </c>
      <c r="L2672" s="62" t="str">
        <f aca="false">IF(IsPro,IF($D2672="","",IFERROR(INDEX(Items!$F$5:$F$504,Q2672),0)),"")</f>
        <v/>
      </c>
      <c r="M2672" s="61" t="str">
        <f aca="false">IF(IsPro,IF($D2672="","",IF(AND(R2672&lt;&gt;"",INDEX(Parties!$E$5:$E$304,R2672)&lt;&gt;"",INDEX(Parties!$E$5:$E$304,R2672)&lt;&gt;HomeState),0,ROUND(K2672*L2672/2,2))),"")</f>
        <v/>
      </c>
      <c r="N2672" s="61" t="str">
        <f aca="false">IF(IsPro,IF($D2672="","",M2672),"")</f>
        <v/>
      </c>
      <c r="O2672" s="61" t="str">
        <f aca="false">IF(IsPro,IF($D2672="","",IF(AND(R2672&lt;&gt;"",INDEX(Parties!$E$5:$E$304,R2672)&lt;&gt;"",INDEX(Parties!$E$5:$E$304,R2672)&lt;&gt;HomeState),ROUND(K2672*L2672,2),0)),"")</f>
        <v/>
      </c>
      <c r="P2672" s="61" t="str">
        <f aca="false">IF(IsPro,IF($D2672="","",K2672+M2672+N2672+O2672),"")</f>
        <v/>
      </c>
      <c r="Q2672" s="60" t="str">
        <f aca="false">IF(IsPro,IF($D2672="","",IFERROR(MATCH($D2672,Items!$A$5:$A$504,0),"")),"")</f>
        <v/>
      </c>
      <c r="R2672" s="60" t="str">
        <f aca="false">IF(IsPro,IF($C2672="","",IFERROR(MATCH($C2672,Parties!$A$5:$A$304,0),"")),"")</f>
        <v/>
      </c>
      <c r="S2672" s="61" t="str">
        <f aca="false">IF(IsPro,IF($D2672="","",IF(OR($H2672="",$H2672="Credit"),0,P2672)),"")</f>
        <v/>
      </c>
    </row>
    <row r="2673" customFormat="false" ht="15" hidden="false" customHeight="false" outlineLevel="0" collapsed="false">
      <c r="A2673" s="55"/>
      <c r="B2673" s="56"/>
      <c r="C2673" s="56"/>
      <c r="D2673" s="56"/>
      <c r="E2673" s="57"/>
      <c r="F2673" s="58"/>
      <c r="G2673" s="59"/>
      <c r="H2673" s="56"/>
      <c r="I2673" s="60" t="str">
        <f aca="false">IF(IsPro,IF($D2673="","",IFERROR(INDEX(Items!$D$5:$D$504,Q2673),"")),IF($D2673="","","PRO PLAN"))</f>
        <v/>
      </c>
      <c r="J2673" s="61" t="str">
        <f aca="false">IF(IsPro,IF($D2673="","",IF($F2673="",IFERROR(INDEX(Items!$G$5:$G$504,Q2673),0),$F2673)),"")</f>
        <v/>
      </c>
      <c r="K2673" s="61" t="str">
        <f aca="false">IF(IsPro,IF($D2673="","",ROUND(N($E2673)*J2673*(1-N($G2673)),2)),"")</f>
        <v/>
      </c>
      <c r="L2673" s="62" t="str">
        <f aca="false">IF(IsPro,IF($D2673="","",IFERROR(INDEX(Items!$F$5:$F$504,Q2673),0)),"")</f>
        <v/>
      </c>
      <c r="M2673" s="61" t="str">
        <f aca="false">IF(IsPro,IF($D2673="","",IF(AND(R2673&lt;&gt;"",INDEX(Parties!$E$5:$E$304,R2673)&lt;&gt;"",INDEX(Parties!$E$5:$E$304,R2673)&lt;&gt;HomeState),0,ROUND(K2673*L2673/2,2))),"")</f>
        <v/>
      </c>
      <c r="N2673" s="61" t="str">
        <f aca="false">IF(IsPro,IF($D2673="","",M2673),"")</f>
        <v/>
      </c>
      <c r="O2673" s="61" t="str">
        <f aca="false">IF(IsPro,IF($D2673="","",IF(AND(R2673&lt;&gt;"",INDEX(Parties!$E$5:$E$304,R2673)&lt;&gt;"",INDEX(Parties!$E$5:$E$304,R2673)&lt;&gt;HomeState),ROUND(K2673*L2673,2),0)),"")</f>
        <v/>
      </c>
      <c r="P2673" s="61" t="str">
        <f aca="false">IF(IsPro,IF($D2673="","",K2673+M2673+N2673+O2673),"")</f>
        <v/>
      </c>
      <c r="Q2673" s="60" t="str">
        <f aca="false">IF(IsPro,IF($D2673="","",IFERROR(MATCH($D2673,Items!$A$5:$A$504,0),"")),"")</f>
        <v/>
      </c>
      <c r="R2673" s="60" t="str">
        <f aca="false">IF(IsPro,IF($C2673="","",IFERROR(MATCH($C2673,Parties!$A$5:$A$304,0),"")),"")</f>
        <v/>
      </c>
      <c r="S2673" s="61" t="str">
        <f aca="false">IF(IsPro,IF($D2673="","",IF(OR($H2673="",$H2673="Credit"),0,P2673)),"")</f>
        <v/>
      </c>
    </row>
    <row r="2674" customFormat="false" ht="15" hidden="false" customHeight="false" outlineLevel="0" collapsed="false">
      <c r="A2674" s="55"/>
      <c r="B2674" s="56"/>
      <c r="C2674" s="56"/>
      <c r="D2674" s="56"/>
      <c r="E2674" s="57"/>
      <c r="F2674" s="58"/>
      <c r="G2674" s="59"/>
      <c r="H2674" s="56"/>
      <c r="I2674" s="60" t="str">
        <f aca="false">IF(IsPro,IF($D2674="","",IFERROR(INDEX(Items!$D$5:$D$504,Q2674),"")),IF($D2674="","","PRO PLAN"))</f>
        <v/>
      </c>
      <c r="J2674" s="61" t="str">
        <f aca="false">IF(IsPro,IF($D2674="","",IF($F2674="",IFERROR(INDEX(Items!$G$5:$G$504,Q2674),0),$F2674)),"")</f>
        <v/>
      </c>
      <c r="K2674" s="61" t="str">
        <f aca="false">IF(IsPro,IF($D2674="","",ROUND(N($E2674)*J2674*(1-N($G2674)),2)),"")</f>
        <v/>
      </c>
      <c r="L2674" s="62" t="str">
        <f aca="false">IF(IsPro,IF($D2674="","",IFERROR(INDEX(Items!$F$5:$F$504,Q2674),0)),"")</f>
        <v/>
      </c>
      <c r="M2674" s="61" t="str">
        <f aca="false">IF(IsPro,IF($D2674="","",IF(AND(R2674&lt;&gt;"",INDEX(Parties!$E$5:$E$304,R2674)&lt;&gt;"",INDEX(Parties!$E$5:$E$304,R2674)&lt;&gt;HomeState),0,ROUND(K2674*L2674/2,2))),"")</f>
        <v/>
      </c>
      <c r="N2674" s="61" t="str">
        <f aca="false">IF(IsPro,IF($D2674="","",M2674),"")</f>
        <v/>
      </c>
      <c r="O2674" s="61" t="str">
        <f aca="false">IF(IsPro,IF($D2674="","",IF(AND(R2674&lt;&gt;"",INDEX(Parties!$E$5:$E$304,R2674)&lt;&gt;"",INDEX(Parties!$E$5:$E$304,R2674)&lt;&gt;HomeState),ROUND(K2674*L2674,2),0)),"")</f>
        <v/>
      </c>
      <c r="P2674" s="61" t="str">
        <f aca="false">IF(IsPro,IF($D2674="","",K2674+M2674+N2674+O2674),"")</f>
        <v/>
      </c>
      <c r="Q2674" s="60" t="str">
        <f aca="false">IF(IsPro,IF($D2674="","",IFERROR(MATCH($D2674,Items!$A$5:$A$504,0),"")),"")</f>
        <v/>
      </c>
      <c r="R2674" s="60" t="str">
        <f aca="false">IF(IsPro,IF($C2674="","",IFERROR(MATCH($C2674,Parties!$A$5:$A$304,0),"")),"")</f>
        <v/>
      </c>
      <c r="S2674" s="61" t="str">
        <f aca="false">IF(IsPro,IF($D2674="","",IF(OR($H2674="",$H2674="Credit"),0,P2674)),"")</f>
        <v/>
      </c>
    </row>
    <row r="2675" customFormat="false" ht="15" hidden="false" customHeight="false" outlineLevel="0" collapsed="false">
      <c r="A2675" s="55"/>
      <c r="B2675" s="56"/>
      <c r="C2675" s="56"/>
      <c r="D2675" s="56"/>
      <c r="E2675" s="57"/>
      <c r="F2675" s="58"/>
      <c r="G2675" s="59"/>
      <c r="H2675" s="56"/>
      <c r="I2675" s="60" t="str">
        <f aca="false">IF(IsPro,IF($D2675="","",IFERROR(INDEX(Items!$D$5:$D$504,Q2675),"")),IF($D2675="","","PRO PLAN"))</f>
        <v/>
      </c>
      <c r="J2675" s="61" t="str">
        <f aca="false">IF(IsPro,IF($D2675="","",IF($F2675="",IFERROR(INDEX(Items!$G$5:$G$504,Q2675),0),$F2675)),"")</f>
        <v/>
      </c>
      <c r="K2675" s="61" t="str">
        <f aca="false">IF(IsPro,IF($D2675="","",ROUND(N($E2675)*J2675*(1-N($G2675)),2)),"")</f>
        <v/>
      </c>
      <c r="L2675" s="62" t="str">
        <f aca="false">IF(IsPro,IF($D2675="","",IFERROR(INDEX(Items!$F$5:$F$504,Q2675),0)),"")</f>
        <v/>
      </c>
      <c r="M2675" s="61" t="str">
        <f aca="false">IF(IsPro,IF($D2675="","",IF(AND(R2675&lt;&gt;"",INDEX(Parties!$E$5:$E$304,R2675)&lt;&gt;"",INDEX(Parties!$E$5:$E$304,R2675)&lt;&gt;HomeState),0,ROUND(K2675*L2675/2,2))),"")</f>
        <v/>
      </c>
      <c r="N2675" s="61" t="str">
        <f aca="false">IF(IsPro,IF($D2675="","",M2675),"")</f>
        <v/>
      </c>
      <c r="O2675" s="61" t="str">
        <f aca="false">IF(IsPro,IF($D2675="","",IF(AND(R2675&lt;&gt;"",INDEX(Parties!$E$5:$E$304,R2675)&lt;&gt;"",INDEX(Parties!$E$5:$E$304,R2675)&lt;&gt;HomeState),ROUND(K2675*L2675,2),0)),"")</f>
        <v/>
      </c>
      <c r="P2675" s="61" t="str">
        <f aca="false">IF(IsPro,IF($D2675="","",K2675+M2675+N2675+O2675),"")</f>
        <v/>
      </c>
      <c r="Q2675" s="60" t="str">
        <f aca="false">IF(IsPro,IF($D2675="","",IFERROR(MATCH($D2675,Items!$A$5:$A$504,0),"")),"")</f>
        <v/>
      </c>
      <c r="R2675" s="60" t="str">
        <f aca="false">IF(IsPro,IF($C2675="","",IFERROR(MATCH($C2675,Parties!$A$5:$A$304,0),"")),"")</f>
        <v/>
      </c>
      <c r="S2675" s="61" t="str">
        <f aca="false">IF(IsPro,IF($D2675="","",IF(OR($H2675="",$H2675="Credit"),0,P2675)),"")</f>
        <v/>
      </c>
    </row>
    <row r="2676" customFormat="false" ht="15" hidden="false" customHeight="false" outlineLevel="0" collapsed="false">
      <c r="A2676" s="55"/>
      <c r="B2676" s="56"/>
      <c r="C2676" s="56"/>
      <c r="D2676" s="56"/>
      <c r="E2676" s="57"/>
      <c r="F2676" s="58"/>
      <c r="G2676" s="59"/>
      <c r="H2676" s="56"/>
      <c r="I2676" s="60" t="str">
        <f aca="false">IF(IsPro,IF($D2676="","",IFERROR(INDEX(Items!$D$5:$D$504,Q2676),"")),IF($D2676="","","PRO PLAN"))</f>
        <v/>
      </c>
      <c r="J2676" s="61" t="str">
        <f aca="false">IF(IsPro,IF($D2676="","",IF($F2676="",IFERROR(INDEX(Items!$G$5:$G$504,Q2676),0),$F2676)),"")</f>
        <v/>
      </c>
      <c r="K2676" s="61" t="str">
        <f aca="false">IF(IsPro,IF($D2676="","",ROUND(N($E2676)*J2676*(1-N($G2676)),2)),"")</f>
        <v/>
      </c>
      <c r="L2676" s="62" t="str">
        <f aca="false">IF(IsPro,IF($D2676="","",IFERROR(INDEX(Items!$F$5:$F$504,Q2676),0)),"")</f>
        <v/>
      </c>
      <c r="M2676" s="61" t="str">
        <f aca="false">IF(IsPro,IF($D2676="","",IF(AND(R2676&lt;&gt;"",INDEX(Parties!$E$5:$E$304,R2676)&lt;&gt;"",INDEX(Parties!$E$5:$E$304,R2676)&lt;&gt;HomeState),0,ROUND(K2676*L2676/2,2))),"")</f>
        <v/>
      </c>
      <c r="N2676" s="61" t="str">
        <f aca="false">IF(IsPro,IF($D2676="","",M2676),"")</f>
        <v/>
      </c>
      <c r="O2676" s="61" t="str">
        <f aca="false">IF(IsPro,IF($D2676="","",IF(AND(R2676&lt;&gt;"",INDEX(Parties!$E$5:$E$304,R2676)&lt;&gt;"",INDEX(Parties!$E$5:$E$304,R2676)&lt;&gt;HomeState),ROUND(K2676*L2676,2),0)),"")</f>
        <v/>
      </c>
      <c r="P2676" s="61" t="str">
        <f aca="false">IF(IsPro,IF($D2676="","",K2676+M2676+N2676+O2676),"")</f>
        <v/>
      </c>
      <c r="Q2676" s="60" t="str">
        <f aca="false">IF(IsPro,IF($D2676="","",IFERROR(MATCH($D2676,Items!$A$5:$A$504,0),"")),"")</f>
        <v/>
      </c>
      <c r="R2676" s="60" t="str">
        <f aca="false">IF(IsPro,IF($C2676="","",IFERROR(MATCH($C2676,Parties!$A$5:$A$304,0),"")),"")</f>
        <v/>
      </c>
      <c r="S2676" s="61" t="str">
        <f aca="false">IF(IsPro,IF($D2676="","",IF(OR($H2676="",$H2676="Credit"),0,P2676)),"")</f>
        <v/>
      </c>
    </row>
    <row r="2677" customFormat="false" ht="15" hidden="false" customHeight="false" outlineLevel="0" collapsed="false">
      <c r="A2677" s="55"/>
      <c r="B2677" s="56"/>
      <c r="C2677" s="56"/>
      <c r="D2677" s="56"/>
      <c r="E2677" s="57"/>
      <c r="F2677" s="58"/>
      <c r="G2677" s="59"/>
      <c r="H2677" s="56"/>
      <c r="I2677" s="60" t="str">
        <f aca="false">IF(IsPro,IF($D2677="","",IFERROR(INDEX(Items!$D$5:$D$504,Q2677),"")),IF($D2677="","","PRO PLAN"))</f>
        <v/>
      </c>
      <c r="J2677" s="61" t="str">
        <f aca="false">IF(IsPro,IF($D2677="","",IF($F2677="",IFERROR(INDEX(Items!$G$5:$G$504,Q2677),0),$F2677)),"")</f>
        <v/>
      </c>
      <c r="K2677" s="61" t="str">
        <f aca="false">IF(IsPro,IF($D2677="","",ROUND(N($E2677)*J2677*(1-N($G2677)),2)),"")</f>
        <v/>
      </c>
      <c r="L2677" s="62" t="str">
        <f aca="false">IF(IsPro,IF($D2677="","",IFERROR(INDEX(Items!$F$5:$F$504,Q2677),0)),"")</f>
        <v/>
      </c>
      <c r="M2677" s="61" t="str">
        <f aca="false">IF(IsPro,IF($D2677="","",IF(AND(R2677&lt;&gt;"",INDEX(Parties!$E$5:$E$304,R2677)&lt;&gt;"",INDEX(Parties!$E$5:$E$304,R2677)&lt;&gt;HomeState),0,ROUND(K2677*L2677/2,2))),"")</f>
        <v/>
      </c>
      <c r="N2677" s="61" t="str">
        <f aca="false">IF(IsPro,IF($D2677="","",M2677),"")</f>
        <v/>
      </c>
      <c r="O2677" s="61" t="str">
        <f aca="false">IF(IsPro,IF($D2677="","",IF(AND(R2677&lt;&gt;"",INDEX(Parties!$E$5:$E$304,R2677)&lt;&gt;"",INDEX(Parties!$E$5:$E$304,R2677)&lt;&gt;HomeState),ROUND(K2677*L2677,2),0)),"")</f>
        <v/>
      </c>
      <c r="P2677" s="61" t="str">
        <f aca="false">IF(IsPro,IF($D2677="","",K2677+M2677+N2677+O2677),"")</f>
        <v/>
      </c>
      <c r="Q2677" s="60" t="str">
        <f aca="false">IF(IsPro,IF($D2677="","",IFERROR(MATCH($D2677,Items!$A$5:$A$504,0),"")),"")</f>
        <v/>
      </c>
      <c r="R2677" s="60" t="str">
        <f aca="false">IF(IsPro,IF($C2677="","",IFERROR(MATCH($C2677,Parties!$A$5:$A$304,0),"")),"")</f>
        <v/>
      </c>
      <c r="S2677" s="61" t="str">
        <f aca="false">IF(IsPro,IF($D2677="","",IF(OR($H2677="",$H2677="Credit"),0,P2677)),"")</f>
        <v/>
      </c>
    </row>
    <row r="2678" customFormat="false" ht="15" hidden="false" customHeight="false" outlineLevel="0" collapsed="false">
      <c r="A2678" s="55"/>
      <c r="B2678" s="56"/>
      <c r="C2678" s="56"/>
      <c r="D2678" s="56"/>
      <c r="E2678" s="57"/>
      <c r="F2678" s="58"/>
      <c r="G2678" s="59"/>
      <c r="H2678" s="56"/>
      <c r="I2678" s="60" t="str">
        <f aca="false">IF(IsPro,IF($D2678="","",IFERROR(INDEX(Items!$D$5:$D$504,Q2678),"")),IF($D2678="","","PRO PLAN"))</f>
        <v/>
      </c>
      <c r="J2678" s="61" t="str">
        <f aca="false">IF(IsPro,IF($D2678="","",IF($F2678="",IFERROR(INDEX(Items!$G$5:$G$504,Q2678),0),$F2678)),"")</f>
        <v/>
      </c>
      <c r="K2678" s="61" t="str">
        <f aca="false">IF(IsPro,IF($D2678="","",ROUND(N($E2678)*J2678*(1-N($G2678)),2)),"")</f>
        <v/>
      </c>
      <c r="L2678" s="62" t="str">
        <f aca="false">IF(IsPro,IF($D2678="","",IFERROR(INDEX(Items!$F$5:$F$504,Q2678),0)),"")</f>
        <v/>
      </c>
      <c r="M2678" s="61" t="str">
        <f aca="false">IF(IsPro,IF($D2678="","",IF(AND(R2678&lt;&gt;"",INDEX(Parties!$E$5:$E$304,R2678)&lt;&gt;"",INDEX(Parties!$E$5:$E$304,R2678)&lt;&gt;HomeState),0,ROUND(K2678*L2678/2,2))),"")</f>
        <v/>
      </c>
      <c r="N2678" s="61" t="str">
        <f aca="false">IF(IsPro,IF($D2678="","",M2678),"")</f>
        <v/>
      </c>
      <c r="O2678" s="61" t="str">
        <f aca="false">IF(IsPro,IF($D2678="","",IF(AND(R2678&lt;&gt;"",INDEX(Parties!$E$5:$E$304,R2678)&lt;&gt;"",INDEX(Parties!$E$5:$E$304,R2678)&lt;&gt;HomeState),ROUND(K2678*L2678,2),0)),"")</f>
        <v/>
      </c>
      <c r="P2678" s="61" t="str">
        <f aca="false">IF(IsPro,IF($D2678="","",K2678+M2678+N2678+O2678),"")</f>
        <v/>
      </c>
      <c r="Q2678" s="60" t="str">
        <f aca="false">IF(IsPro,IF($D2678="","",IFERROR(MATCH($D2678,Items!$A$5:$A$504,0),"")),"")</f>
        <v/>
      </c>
      <c r="R2678" s="60" t="str">
        <f aca="false">IF(IsPro,IF($C2678="","",IFERROR(MATCH($C2678,Parties!$A$5:$A$304,0),"")),"")</f>
        <v/>
      </c>
      <c r="S2678" s="61" t="str">
        <f aca="false">IF(IsPro,IF($D2678="","",IF(OR($H2678="",$H2678="Credit"),0,P2678)),"")</f>
        <v/>
      </c>
    </row>
    <row r="2679" customFormat="false" ht="15" hidden="false" customHeight="false" outlineLevel="0" collapsed="false">
      <c r="A2679" s="55"/>
      <c r="B2679" s="56"/>
      <c r="C2679" s="56"/>
      <c r="D2679" s="56"/>
      <c r="E2679" s="57"/>
      <c r="F2679" s="58"/>
      <c r="G2679" s="59"/>
      <c r="H2679" s="56"/>
      <c r="I2679" s="60" t="str">
        <f aca="false">IF(IsPro,IF($D2679="","",IFERROR(INDEX(Items!$D$5:$D$504,Q2679),"")),IF($D2679="","","PRO PLAN"))</f>
        <v/>
      </c>
      <c r="J2679" s="61" t="str">
        <f aca="false">IF(IsPro,IF($D2679="","",IF($F2679="",IFERROR(INDEX(Items!$G$5:$G$504,Q2679),0),$F2679)),"")</f>
        <v/>
      </c>
      <c r="K2679" s="61" t="str">
        <f aca="false">IF(IsPro,IF($D2679="","",ROUND(N($E2679)*J2679*(1-N($G2679)),2)),"")</f>
        <v/>
      </c>
      <c r="L2679" s="62" t="str">
        <f aca="false">IF(IsPro,IF($D2679="","",IFERROR(INDEX(Items!$F$5:$F$504,Q2679),0)),"")</f>
        <v/>
      </c>
      <c r="M2679" s="61" t="str">
        <f aca="false">IF(IsPro,IF($D2679="","",IF(AND(R2679&lt;&gt;"",INDEX(Parties!$E$5:$E$304,R2679)&lt;&gt;"",INDEX(Parties!$E$5:$E$304,R2679)&lt;&gt;HomeState),0,ROUND(K2679*L2679/2,2))),"")</f>
        <v/>
      </c>
      <c r="N2679" s="61" t="str">
        <f aca="false">IF(IsPro,IF($D2679="","",M2679),"")</f>
        <v/>
      </c>
      <c r="O2679" s="61" t="str">
        <f aca="false">IF(IsPro,IF($D2679="","",IF(AND(R2679&lt;&gt;"",INDEX(Parties!$E$5:$E$304,R2679)&lt;&gt;"",INDEX(Parties!$E$5:$E$304,R2679)&lt;&gt;HomeState),ROUND(K2679*L2679,2),0)),"")</f>
        <v/>
      </c>
      <c r="P2679" s="61" t="str">
        <f aca="false">IF(IsPro,IF($D2679="","",K2679+M2679+N2679+O2679),"")</f>
        <v/>
      </c>
      <c r="Q2679" s="60" t="str">
        <f aca="false">IF(IsPro,IF($D2679="","",IFERROR(MATCH($D2679,Items!$A$5:$A$504,0),"")),"")</f>
        <v/>
      </c>
      <c r="R2679" s="60" t="str">
        <f aca="false">IF(IsPro,IF($C2679="","",IFERROR(MATCH($C2679,Parties!$A$5:$A$304,0),"")),"")</f>
        <v/>
      </c>
      <c r="S2679" s="61" t="str">
        <f aca="false">IF(IsPro,IF($D2679="","",IF(OR($H2679="",$H2679="Credit"),0,P2679)),"")</f>
        <v/>
      </c>
    </row>
    <row r="2680" customFormat="false" ht="15" hidden="false" customHeight="false" outlineLevel="0" collapsed="false">
      <c r="A2680" s="55"/>
      <c r="B2680" s="56"/>
      <c r="C2680" s="56"/>
      <c r="D2680" s="56"/>
      <c r="E2680" s="57"/>
      <c r="F2680" s="58"/>
      <c r="G2680" s="59"/>
      <c r="H2680" s="56"/>
      <c r="I2680" s="60" t="str">
        <f aca="false">IF(IsPro,IF($D2680="","",IFERROR(INDEX(Items!$D$5:$D$504,Q2680),"")),IF($D2680="","","PRO PLAN"))</f>
        <v/>
      </c>
      <c r="J2680" s="61" t="str">
        <f aca="false">IF(IsPro,IF($D2680="","",IF($F2680="",IFERROR(INDEX(Items!$G$5:$G$504,Q2680),0),$F2680)),"")</f>
        <v/>
      </c>
      <c r="K2680" s="61" t="str">
        <f aca="false">IF(IsPro,IF($D2680="","",ROUND(N($E2680)*J2680*(1-N($G2680)),2)),"")</f>
        <v/>
      </c>
      <c r="L2680" s="62" t="str">
        <f aca="false">IF(IsPro,IF($D2680="","",IFERROR(INDEX(Items!$F$5:$F$504,Q2680),0)),"")</f>
        <v/>
      </c>
      <c r="M2680" s="61" t="str">
        <f aca="false">IF(IsPro,IF($D2680="","",IF(AND(R2680&lt;&gt;"",INDEX(Parties!$E$5:$E$304,R2680)&lt;&gt;"",INDEX(Parties!$E$5:$E$304,R2680)&lt;&gt;HomeState),0,ROUND(K2680*L2680/2,2))),"")</f>
        <v/>
      </c>
      <c r="N2680" s="61" t="str">
        <f aca="false">IF(IsPro,IF($D2680="","",M2680),"")</f>
        <v/>
      </c>
      <c r="O2680" s="61" t="str">
        <f aca="false">IF(IsPro,IF($D2680="","",IF(AND(R2680&lt;&gt;"",INDEX(Parties!$E$5:$E$304,R2680)&lt;&gt;"",INDEX(Parties!$E$5:$E$304,R2680)&lt;&gt;HomeState),ROUND(K2680*L2680,2),0)),"")</f>
        <v/>
      </c>
      <c r="P2680" s="61" t="str">
        <f aca="false">IF(IsPro,IF($D2680="","",K2680+M2680+N2680+O2680),"")</f>
        <v/>
      </c>
      <c r="Q2680" s="60" t="str">
        <f aca="false">IF(IsPro,IF($D2680="","",IFERROR(MATCH($D2680,Items!$A$5:$A$504,0),"")),"")</f>
        <v/>
      </c>
      <c r="R2680" s="60" t="str">
        <f aca="false">IF(IsPro,IF($C2680="","",IFERROR(MATCH($C2680,Parties!$A$5:$A$304,0),"")),"")</f>
        <v/>
      </c>
      <c r="S2680" s="61" t="str">
        <f aca="false">IF(IsPro,IF($D2680="","",IF(OR($H2680="",$H2680="Credit"),0,P2680)),"")</f>
        <v/>
      </c>
    </row>
    <row r="2681" customFormat="false" ht="15" hidden="false" customHeight="false" outlineLevel="0" collapsed="false">
      <c r="A2681" s="55"/>
      <c r="B2681" s="56"/>
      <c r="C2681" s="56"/>
      <c r="D2681" s="56"/>
      <c r="E2681" s="57"/>
      <c r="F2681" s="58"/>
      <c r="G2681" s="59"/>
      <c r="H2681" s="56"/>
      <c r="I2681" s="60" t="str">
        <f aca="false">IF(IsPro,IF($D2681="","",IFERROR(INDEX(Items!$D$5:$D$504,Q2681),"")),IF($D2681="","","PRO PLAN"))</f>
        <v/>
      </c>
      <c r="J2681" s="61" t="str">
        <f aca="false">IF(IsPro,IF($D2681="","",IF($F2681="",IFERROR(INDEX(Items!$G$5:$G$504,Q2681),0),$F2681)),"")</f>
        <v/>
      </c>
      <c r="K2681" s="61" t="str">
        <f aca="false">IF(IsPro,IF($D2681="","",ROUND(N($E2681)*J2681*(1-N($G2681)),2)),"")</f>
        <v/>
      </c>
      <c r="L2681" s="62" t="str">
        <f aca="false">IF(IsPro,IF($D2681="","",IFERROR(INDEX(Items!$F$5:$F$504,Q2681),0)),"")</f>
        <v/>
      </c>
      <c r="M2681" s="61" t="str">
        <f aca="false">IF(IsPro,IF($D2681="","",IF(AND(R2681&lt;&gt;"",INDEX(Parties!$E$5:$E$304,R2681)&lt;&gt;"",INDEX(Parties!$E$5:$E$304,R2681)&lt;&gt;HomeState),0,ROUND(K2681*L2681/2,2))),"")</f>
        <v/>
      </c>
      <c r="N2681" s="61" t="str">
        <f aca="false">IF(IsPro,IF($D2681="","",M2681),"")</f>
        <v/>
      </c>
      <c r="O2681" s="61" t="str">
        <f aca="false">IF(IsPro,IF($D2681="","",IF(AND(R2681&lt;&gt;"",INDEX(Parties!$E$5:$E$304,R2681)&lt;&gt;"",INDEX(Parties!$E$5:$E$304,R2681)&lt;&gt;HomeState),ROUND(K2681*L2681,2),0)),"")</f>
        <v/>
      </c>
      <c r="P2681" s="61" t="str">
        <f aca="false">IF(IsPro,IF($D2681="","",K2681+M2681+N2681+O2681),"")</f>
        <v/>
      </c>
      <c r="Q2681" s="60" t="str">
        <f aca="false">IF(IsPro,IF($D2681="","",IFERROR(MATCH($D2681,Items!$A$5:$A$504,0),"")),"")</f>
        <v/>
      </c>
      <c r="R2681" s="60" t="str">
        <f aca="false">IF(IsPro,IF($C2681="","",IFERROR(MATCH($C2681,Parties!$A$5:$A$304,0),"")),"")</f>
        <v/>
      </c>
      <c r="S2681" s="61" t="str">
        <f aca="false">IF(IsPro,IF($D2681="","",IF(OR($H2681="",$H2681="Credit"),0,P2681)),"")</f>
        <v/>
      </c>
    </row>
    <row r="2682" customFormat="false" ht="15" hidden="false" customHeight="false" outlineLevel="0" collapsed="false">
      <c r="A2682" s="55"/>
      <c r="B2682" s="56"/>
      <c r="C2682" s="56"/>
      <c r="D2682" s="56"/>
      <c r="E2682" s="57"/>
      <c r="F2682" s="58"/>
      <c r="G2682" s="59"/>
      <c r="H2682" s="56"/>
      <c r="I2682" s="60" t="str">
        <f aca="false">IF(IsPro,IF($D2682="","",IFERROR(INDEX(Items!$D$5:$D$504,Q2682),"")),IF($D2682="","","PRO PLAN"))</f>
        <v/>
      </c>
      <c r="J2682" s="61" t="str">
        <f aca="false">IF(IsPro,IF($D2682="","",IF($F2682="",IFERROR(INDEX(Items!$G$5:$G$504,Q2682),0),$F2682)),"")</f>
        <v/>
      </c>
      <c r="K2682" s="61" t="str">
        <f aca="false">IF(IsPro,IF($D2682="","",ROUND(N($E2682)*J2682*(1-N($G2682)),2)),"")</f>
        <v/>
      </c>
      <c r="L2682" s="62" t="str">
        <f aca="false">IF(IsPro,IF($D2682="","",IFERROR(INDEX(Items!$F$5:$F$504,Q2682),0)),"")</f>
        <v/>
      </c>
      <c r="M2682" s="61" t="str">
        <f aca="false">IF(IsPro,IF($D2682="","",IF(AND(R2682&lt;&gt;"",INDEX(Parties!$E$5:$E$304,R2682)&lt;&gt;"",INDEX(Parties!$E$5:$E$304,R2682)&lt;&gt;HomeState),0,ROUND(K2682*L2682/2,2))),"")</f>
        <v/>
      </c>
      <c r="N2682" s="61" t="str">
        <f aca="false">IF(IsPro,IF($D2682="","",M2682),"")</f>
        <v/>
      </c>
      <c r="O2682" s="61" t="str">
        <f aca="false">IF(IsPro,IF($D2682="","",IF(AND(R2682&lt;&gt;"",INDEX(Parties!$E$5:$E$304,R2682)&lt;&gt;"",INDEX(Parties!$E$5:$E$304,R2682)&lt;&gt;HomeState),ROUND(K2682*L2682,2),0)),"")</f>
        <v/>
      </c>
      <c r="P2682" s="61" t="str">
        <f aca="false">IF(IsPro,IF($D2682="","",K2682+M2682+N2682+O2682),"")</f>
        <v/>
      </c>
      <c r="Q2682" s="60" t="str">
        <f aca="false">IF(IsPro,IF($D2682="","",IFERROR(MATCH($D2682,Items!$A$5:$A$504,0),"")),"")</f>
        <v/>
      </c>
      <c r="R2682" s="60" t="str">
        <f aca="false">IF(IsPro,IF($C2682="","",IFERROR(MATCH($C2682,Parties!$A$5:$A$304,0),"")),"")</f>
        <v/>
      </c>
      <c r="S2682" s="61" t="str">
        <f aca="false">IF(IsPro,IF($D2682="","",IF(OR($H2682="",$H2682="Credit"),0,P2682)),"")</f>
        <v/>
      </c>
    </row>
    <row r="2683" customFormat="false" ht="15" hidden="false" customHeight="false" outlineLevel="0" collapsed="false">
      <c r="A2683" s="55"/>
      <c r="B2683" s="56"/>
      <c r="C2683" s="56"/>
      <c r="D2683" s="56"/>
      <c r="E2683" s="57"/>
      <c r="F2683" s="58"/>
      <c r="G2683" s="59"/>
      <c r="H2683" s="56"/>
      <c r="I2683" s="60" t="str">
        <f aca="false">IF(IsPro,IF($D2683="","",IFERROR(INDEX(Items!$D$5:$D$504,Q2683),"")),IF($D2683="","","PRO PLAN"))</f>
        <v/>
      </c>
      <c r="J2683" s="61" t="str">
        <f aca="false">IF(IsPro,IF($D2683="","",IF($F2683="",IFERROR(INDEX(Items!$G$5:$G$504,Q2683),0),$F2683)),"")</f>
        <v/>
      </c>
      <c r="K2683" s="61" t="str">
        <f aca="false">IF(IsPro,IF($D2683="","",ROUND(N($E2683)*J2683*(1-N($G2683)),2)),"")</f>
        <v/>
      </c>
      <c r="L2683" s="62" t="str">
        <f aca="false">IF(IsPro,IF($D2683="","",IFERROR(INDEX(Items!$F$5:$F$504,Q2683),0)),"")</f>
        <v/>
      </c>
      <c r="M2683" s="61" t="str">
        <f aca="false">IF(IsPro,IF($D2683="","",IF(AND(R2683&lt;&gt;"",INDEX(Parties!$E$5:$E$304,R2683)&lt;&gt;"",INDEX(Parties!$E$5:$E$304,R2683)&lt;&gt;HomeState),0,ROUND(K2683*L2683/2,2))),"")</f>
        <v/>
      </c>
      <c r="N2683" s="61" t="str">
        <f aca="false">IF(IsPro,IF($D2683="","",M2683),"")</f>
        <v/>
      </c>
      <c r="O2683" s="61" t="str">
        <f aca="false">IF(IsPro,IF($D2683="","",IF(AND(R2683&lt;&gt;"",INDEX(Parties!$E$5:$E$304,R2683)&lt;&gt;"",INDEX(Parties!$E$5:$E$304,R2683)&lt;&gt;HomeState),ROUND(K2683*L2683,2),0)),"")</f>
        <v/>
      </c>
      <c r="P2683" s="61" t="str">
        <f aca="false">IF(IsPro,IF($D2683="","",K2683+M2683+N2683+O2683),"")</f>
        <v/>
      </c>
      <c r="Q2683" s="60" t="str">
        <f aca="false">IF(IsPro,IF($D2683="","",IFERROR(MATCH($D2683,Items!$A$5:$A$504,0),"")),"")</f>
        <v/>
      </c>
      <c r="R2683" s="60" t="str">
        <f aca="false">IF(IsPro,IF($C2683="","",IFERROR(MATCH($C2683,Parties!$A$5:$A$304,0),"")),"")</f>
        <v/>
      </c>
      <c r="S2683" s="61" t="str">
        <f aca="false">IF(IsPro,IF($D2683="","",IF(OR($H2683="",$H2683="Credit"),0,P2683)),"")</f>
        <v/>
      </c>
    </row>
    <row r="2684" customFormat="false" ht="15" hidden="false" customHeight="false" outlineLevel="0" collapsed="false">
      <c r="A2684" s="55"/>
      <c r="B2684" s="56"/>
      <c r="C2684" s="56"/>
      <c r="D2684" s="56"/>
      <c r="E2684" s="57"/>
      <c r="F2684" s="58"/>
      <c r="G2684" s="59"/>
      <c r="H2684" s="56"/>
      <c r="I2684" s="60" t="str">
        <f aca="false">IF(IsPro,IF($D2684="","",IFERROR(INDEX(Items!$D$5:$D$504,Q2684),"")),IF($D2684="","","PRO PLAN"))</f>
        <v/>
      </c>
      <c r="J2684" s="61" t="str">
        <f aca="false">IF(IsPro,IF($D2684="","",IF($F2684="",IFERROR(INDEX(Items!$G$5:$G$504,Q2684),0),$F2684)),"")</f>
        <v/>
      </c>
      <c r="K2684" s="61" t="str">
        <f aca="false">IF(IsPro,IF($D2684="","",ROUND(N($E2684)*J2684*(1-N($G2684)),2)),"")</f>
        <v/>
      </c>
      <c r="L2684" s="62" t="str">
        <f aca="false">IF(IsPro,IF($D2684="","",IFERROR(INDEX(Items!$F$5:$F$504,Q2684),0)),"")</f>
        <v/>
      </c>
      <c r="M2684" s="61" t="str">
        <f aca="false">IF(IsPro,IF($D2684="","",IF(AND(R2684&lt;&gt;"",INDEX(Parties!$E$5:$E$304,R2684)&lt;&gt;"",INDEX(Parties!$E$5:$E$304,R2684)&lt;&gt;HomeState),0,ROUND(K2684*L2684/2,2))),"")</f>
        <v/>
      </c>
      <c r="N2684" s="61" t="str">
        <f aca="false">IF(IsPro,IF($D2684="","",M2684),"")</f>
        <v/>
      </c>
      <c r="O2684" s="61" t="str">
        <f aca="false">IF(IsPro,IF($D2684="","",IF(AND(R2684&lt;&gt;"",INDEX(Parties!$E$5:$E$304,R2684)&lt;&gt;"",INDEX(Parties!$E$5:$E$304,R2684)&lt;&gt;HomeState),ROUND(K2684*L2684,2),0)),"")</f>
        <v/>
      </c>
      <c r="P2684" s="61" t="str">
        <f aca="false">IF(IsPro,IF($D2684="","",K2684+M2684+N2684+O2684),"")</f>
        <v/>
      </c>
      <c r="Q2684" s="60" t="str">
        <f aca="false">IF(IsPro,IF($D2684="","",IFERROR(MATCH($D2684,Items!$A$5:$A$504,0),"")),"")</f>
        <v/>
      </c>
      <c r="R2684" s="60" t="str">
        <f aca="false">IF(IsPro,IF($C2684="","",IFERROR(MATCH($C2684,Parties!$A$5:$A$304,0),"")),"")</f>
        <v/>
      </c>
      <c r="S2684" s="61" t="str">
        <f aca="false">IF(IsPro,IF($D2684="","",IF(OR($H2684="",$H2684="Credit"),0,P2684)),"")</f>
        <v/>
      </c>
    </row>
    <row r="2685" customFormat="false" ht="15" hidden="false" customHeight="false" outlineLevel="0" collapsed="false">
      <c r="A2685" s="55"/>
      <c r="B2685" s="56"/>
      <c r="C2685" s="56"/>
      <c r="D2685" s="56"/>
      <c r="E2685" s="57"/>
      <c r="F2685" s="58"/>
      <c r="G2685" s="59"/>
      <c r="H2685" s="56"/>
      <c r="I2685" s="60" t="str">
        <f aca="false">IF(IsPro,IF($D2685="","",IFERROR(INDEX(Items!$D$5:$D$504,Q2685),"")),IF($D2685="","","PRO PLAN"))</f>
        <v/>
      </c>
      <c r="J2685" s="61" t="str">
        <f aca="false">IF(IsPro,IF($D2685="","",IF($F2685="",IFERROR(INDEX(Items!$G$5:$G$504,Q2685),0),$F2685)),"")</f>
        <v/>
      </c>
      <c r="K2685" s="61" t="str">
        <f aca="false">IF(IsPro,IF($D2685="","",ROUND(N($E2685)*J2685*(1-N($G2685)),2)),"")</f>
        <v/>
      </c>
      <c r="L2685" s="62" t="str">
        <f aca="false">IF(IsPro,IF($D2685="","",IFERROR(INDEX(Items!$F$5:$F$504,Q2685),0)),"")</f>
        <v/>
      </c>
      <c r="M2685" s="61" t="str">
        <f aca="false">IF(IsPro,IF($D2685="","",IF(AND(R2685&lt;&gt;"",INDEX(Parties!$E$5:$E$304,R2685)&lt;&gt;"",INDEX(Parties!$E$5:$E$304,R2685)&lt;&gt;HomeState),0,ROUND(K2685*L2685/2,2))),"")</f>
        <v/>
      </c>
      <c r="N2685" s="61" t="str">
        <f aca="false">IF(IsPro,IF($D2685="","",M2685),"")</f>
        <v/>
      </c>
      <c r="O2685" s="61" t="str">
        <f aca="false">IF(IsPro,IF($D2685="","",IF(AND(R2685&lt;&gt;"",INDEX(Parties!$E$5:$E$304,R2685)&lt;&gt;"",INDEX(Parties!$E$5:$E$304,R2685)&lt;&gt;HomeState),ROUND(K2685*L2685,2),0)),"")</f>
        <v/>
      </c>
      <c r="P2685" s="61" t="str">
        <f aca="false">IF(IsPro,IF($D2685="","",K2685+M2685+N2685+O2685),"")</f>
        <v/>
      </c>
      <c r="Q2685" s="60" t="str">
        <f aca="false">IF(IsPro,IF($D2685="","",IFERROR(MATCH($D2685,Items!$A$5:$A$504,0),"")),"")</f>
        <v/>
      </c>
      <c r="R2685" s="60" t="str">
        <f aca="false">IF(IsPro,IF($C2685="","",IFERROR(MATCH($C2685,Parties!$A$5:$A$304,0),"")),"")</f>
        <v/>
      </c>
      <c r="S2685" s="61" t="str">
        <f aca="false">IF(IsPro,IF($D2685="","",IF(OR($H2685="",$H2685="Credit"),0,P2685)),"")</f>
        <v/>
      </c>
    </row>
    <row r="2686" customFormat="false" ht="15" hidden="false" customHeight="false" outlineLevel="0" collapsed="false">
      <c r="A2686" s="55"/>
      <c r="B2686" s="56"/>
      <c r="C2686" s="56"/>
      <c r="D2686" s="56"/>
      <c r="E2686" s="57"/>
      <c r="F2686" s="58"/>
      <c r="G2686" s="59"/>
      <c r="H2686" s="56"/>
      <c r="I2686" s="60" t="str">
        <f aca="false">IF(IsPro,IF($D2686="","",IFERROR(INDEX(Items!$D$5:$D$504,Q2686),"")),IF($D2686="","","PRO PLAN"))</f>
        <v/>
      </c>
      <c r="J2686" s="61" t="str">
        <f aca="false">IF(IsPro,IF($D2686="","",IF($F2686="",IFERROR(INDEX(Items!$G$5:$G$504,Q2686),0),$F2686)),"")</f>
        <v/>
      </c>
      <c r="K2686" s="61" t="str">
        <f aca="false">IF(IsPro,IF($D2686="","",ROUND(N($E2686)*J2686*(1-N($G2686)),2)),"")</f>
        <v/>
      </c>
      <c r="L2686" s="62" t="str">
        <f aca="false">IF(IsPro,IF($D2686="","",IFERROR(INDEX(Items!$F$5:$F$504,Q2686),0)),"")</f>
        <v/>
      </c>
      <c r="M2686" s="61" t="str">
        <f aca="false">IF(IsPro,IF($D2686="","",IF(AND(R2686&lt;&gt;"",INDEX(Parties!$E$5:$E$304,R2686)&lt;&gt;"",INDEX(Parties!$E$5:$E$304,R2686)&lt;&gt;HomeState),0,ROUND(K2686*L2686/2,2))),"")</f>
        <v/>
      </c>
      <c r="N2686" s="61" t="str">
        <f aca="false">IF(IsPro,IF($D2686="","",M2686),"")</f>
        <v/>
      </c>
      <c r="O2686" s="61" t="str">
        <f aca="false">IF(IsPro,IF($D2686="","",IF(AND(R2686&lt;&gt;"",INDEX(Parties!$E$5:$E$304,R2686)&lt;&gt;"",INDEX(Parties!$E$5:$E$304,R2686)&lt;&gt;HomeState),ROUND(K2686*L2686,2),0)),"")</f>
        <v/>
      </c>
      <c r="P2686" s="61" t="str">
        <f aca="false">IF(IsPro,IF($D2686="","",K2686+M2686+N2686+O2686),"")</f>
        <v/>
      </c>
      <c r="Q2686" s="60" t="str">
        <f aca="false">IF(IsPro,IF($D2686="","",IFERROR(MATCH($D2686,Items!$A$5:$A$504,0),"")),"")</f>
        <v/>
      </c>
      <c r="R2686" s="60" t="str">
        <f aca="false">IF(IsPro,IF($C2686="","",IFERROR(MATCH($C2686,Parties!$A$5:$A$304,0),"")),"")</f>
        <v/>
      </c>
      <c r="S2686" s="61" t="str">
        <f aca="false">IF(IsPro,IF($D2686="","",IF(OR($H2686="",$H2686="Credit"),0,P2686)),"")</f>
        <v/>
      </c>
    </row>
    <row r="2687" customFormat="false" ht="15" hidden="false" customHeight="false" outlineLevel="0" collapsed="false">
      <c r="A2687" s="55"/>
      <c r="B2687" s="56"/>
      <c r="C2687" s="56"/>
      <c r="D2687" s="56"/>
      <c r="E2687" s="57"/>
      <c r="F2687" s="58"/>
      <c r="G2687" s="59"/>
      <c r="H2687" s="56"/>
      <c r="I2687" s="60" t="str">
        <f aca="false">IF(IsPro,IF($D2687="","",IFERROR(INDEX(Items!$D$5:$D$504,Q2687),"")),IF($D2687="","","PRO PLAN"))</f>
        <v/>
      </c>
      <c r="J2687" s="61" t="str">
        <f aca="false">IF(IsPro,IF($D2687="","",IF($F2687="",IFERROR(INDEX(Items!$G$5:$G$504,Q2687),0),$F2687)),"")</f>
        <v/>
      </c>
      <c r="K2687" s="61" t="str">
        <f aca="false">IF(IsPro,IF($D2687="","",ROUND(N($E2687)*J2687*(1-N($G2687)),2)),"")</f>
        <v/>
      </c>
      <c r="L2687" s="62" t="str">
        <f aca="false">IF(IsPro,IF($D2687="","",IFERROR(INDEX(Items!$F$5:$F$504,Q2687),0)),"")</f>
        <v/>
      </c>
      <c r="M2687" s="61" t="str">
        <f aca="false">IF(IsPro,IF($D2687="","",IF(AND(R2687&lt;&gt;"",INDEX(Parties!$E$5:$E$304,R2687)&lt;&gt;"",INDEX(Parties!$E$5:$E$304,R2687)&lt;&gt;HomeState),0,ROUND(K2687*L2687/2,2))),"")</f>
        <v/>
      </c>
      <c r="N2687" s="61" t="str">
        <f aca="false">IF(IsPro,IF($D2687="","",M2687),"")</f>
        <v/>
      </c>
      <c r="O2687" s="61" t="str">
        <f aca="false">IF(IsPro,IF($D2687="","",IF(AND(R2687&lt;&gt;"",INDEX(Parties!$E$5:$E$304,R2687)&lt;&gt;"",INDEX(Parties!$E$5:$E$304,R2687)&lt;&gt;HomeState),ROUND(K2687*L2687,2),0)),"")</f>
        <v/>
      </c>
      <c r="P2687" s="61" t="str">
        <f aca="false">IF(IsPro,IF($D2687="","",K2687+M2687+N2687+O2687),"")</f>
        <v/>
      </c>
      <c r="Q2687" s="60" t="str">
        <f aca="false">IF(IsPro,IF($D2687="","",IFERROR(MATCH($D2687,Items!$A$5:$A$504,0),"")),"")</f>
        <v/>
      </c>
      <c r="R2687" s="60" t="str">
        <f aca="false">IF(IsPro,IF($C2687="","",IFERROR(MATCH($C2687,Parties!$A$5:$A$304,0),"")),"")</f>
        <v/>
      </c>
      <c r="S2687" s="61" t="str">
        <f aca="false">IF(IsPro,IF($D2687="","",IF(OR($H2687="",$H2687="Credit"),0,P2687)),"")</f>
        <v/>
      </c>
    </row>
    <row r="2688" customFormat="false" ht="15" hidden="false" customHeight="false" outlineLevel="0" collapsed="false">
      <c r="A2688" s="55"/>
      <c r="B2688" s="56"/>
      <c r="C2688" s="56"/>
      <c r="D2688" s="56"/>
      <c r="E2688" s="57"/>
      <c r="F2688" s="58"/>
      <c r="G2688" s="59"/>
      <c r="H2688" s="56"/>
      <c r="I2688" s="60" t="str">
        <f aca="false">IF(IsPro,IF($D2688="","",IFERROR(INDEX(Items!$D$5:$D$504,Q2688),"")),IF($D2688="","","PRO PLAN"))</f>
        <v/>
      </c>
      <c r="J2688" s="61" t="str">
        <f aca="false">IF(IsPro,IF($D2688="","",IF($F2688="",IFERROR(INDEX(Items!$G$5:$G$504,Q2688),0),$F2688)),"")</f>
        <v/>
      </c>
      <c r="K2688" s="61" t="str">
        <f aca="false">IF(IsPro,IF($D2688="","",ROUND(N($E2688)*J2688*(1-N($G2688)),2)),"")</f>
        <v/>
      </c>
      <c r="L2688" s="62" t="str">
        <f aca="false">IF(IsPro,IF($D2688="","",IFERROR(INDEX(Items!$F$5:$F$504,Q2688),0)),"")</f>
        <v/>
      </c>
      <c r="M2688" s="61" t="str">
        <f aca="false">IF(IsPro,IF($D2688="","",IF(AND(R2688&lt;&gt;"",INDEX(Parties!$E$5:$E$304,R2688)&lt;&gt;"",INDEX(Parties!$E$5:$E$304,R2688)&lt;&gt;HomeState),0,ROUND(K2688*L2688/2,2))),"")</f>
        <v/>
      </c>
      <c r="N2688" s="61" t="str">
        <f aca="false">IF(IsPro,IF($D2688="","",M2688),"")</f>
        <v/>
      </c>
      <c r="O2688" s="61" t="str">
        <f aca="false">IF(IsPro,IF($D2688="","",IF(AND(R2688&lt;&gt;"",INDEX(Parties!$E$5:$E$304,R2688)&lt;&gt;"",INDEX(Parties!$E$5:$E$304,R2688)&lt;&gt;HomeState),ROUND(K2688*L2688,2),0)),"")</f>
        <v/>
      </c>
      <c r="P2688" s="61" t="str">
        <f aca="false">IF(IsPro,IF($D2688="","",K2688+M2688+N2688+O2688),"")</f>
        <v/>
      </c>
      <c r="Q2688" s="60" t="str">
        <f aca="false">IF(IsPro,IF($D2688="","",IFERROR(MATCH($D2688,Items!$A$5:$A$504,0),"")),"")</f>
        <v/>
      </c>
      <c r="R2688" s="60" t="str">
        <f aca="false">IF(IsPro,IF($C2688="","",IFERROR(MATCH($C2688,Parties!$A$5:$A$304,0),"")),"")</f>
        <v/>
      </c>
      <c r="S2688" s="61" t="str">
        <f aca="false">IF(IsPro,IF($D2688="","",IF(OR($H2688="",$H2688="Credit"),0,P2688)),"")</f>
        <v/>
      </c>
    </row>
    <row r="2689" customFormat="false" ht="15" hidden="false" customHeight="false" outlineLevel="0" collapsed="false">
      <c r="A2689" s="55"/>
      <c r="B2689" s="56"/>
      <c r="C2689" s="56"/>
      <c r="D2689" s="56"/>
      <c r="E2689" s="57"/>
      <c r="F2689" s="58"/>
      <c r="G2689" s="59"/>
      <c r="H2689" s="56"/>
      <c r="I2689" s="60" t="str">
        <f aca="false">IF(IsPro,IF($D2689="","",IFERROR(INDEX(Items!$D$5:$D$504,Q2689),"")),IF($D2689="","","PRO PLAN"))</f>
        <v/>
      </c>
      <c r="J2689" s="61" t="str">
        <f aca="false">IF(IsPro,IF($D2689="","",IF($F2689="",IFERROR(INDEX(Items!$G$5:$G$504,Q2689),0),$F2689)),"")</f>
        <v/>
      </c>
      <c r="K2689" s="61" t="str">
        <f aca="false">IF(IsPro,IF($D2689="","",ROUND(N($E2689)*J2689*(1-N($G2689)),2)),"")</f>
        <v/>
      </c>
      <c r="L2689" s="62" t="str">
        <f aca="false">IF(IsPro,IF($D2689="","",IFERROR(INDEX(Items!$F$5:$F$504,Q2689),0)),"")</f>
        <v/>
      </c>
      <c r="M2689" s="61" t="str">
        <f aca="false">IF(IsPro,IF($D2689="","",IF(AND(R2689&lt;&gt;"",INDEX(Parties!$E$5:$E$304,R2689)&lt;&gt;"",INDEX(Parties!$E$5:$E$304,R2689)&lt;&gt;HomeState),0,ROUND(K2689*L2689/2,2))),"")</f>
        <v/>
      </c>
      <c r="N2689" s="61" t="str">
        <f aca="false">IF(IsPro,IF($D2689="","",M2689),"")</f>
        <v/>
      </c>
      <c r="O2689" s="61" t="str">
        <f aca="false">IF(IsPro,IF($D2689="","",IF(AND(R2689&lt;&gt;"",INDEX(Parties!$E$5:$E$304,R2689)&lt;&gt;"",INDEX(Parties!$E$5:$E$304,R2689)&lt;&gt;HomeState),ROUND(K2689*L2689,2),0)),"")</f>
        <v/>
      </c>
      <c r="P2689" s="61" t="str">
        <f aca="false">IF(IsPro,IF($D2689="","",K2689+M2689+N2689+O2689),"")</f>
        <v/>
      </c>
      <c r="Q2689" s="60" t="str">
        <f aca="false">IF(IsPro,IF($D2689="","",IFERROR(MATCH($D2689,Items!$A$5:$A$504,0),"")),"")</f>
        <v/>
      </c>
      <c r="R2689" s="60" t="str">
        <f aca="false">IF(IsPro,IF($C2689="","",IFERROR(MATCH($C2689,Parties!$A$5:$A$304,0),"")),"")</f>
        <v/>
      </c>
      <c r="S2689" s="61" t="str">
        <f aca="false">IF(IsPro,IF($D2689="","",IF(OR($H2689="",$H2689="Credit"),0,P2689)),"")</f>
        <v/>
      </c>
    </row>
    <row r="2690" customFormat="false" ht="15" hidden="false" customHeight="false" outlineLevel="0" collapsed="false">
      <c r="A2690" s="55"/>
      <c r="B2690" s="56"/>
      <c r="C2690" s="56"/>
      <c r="D2690" s="56"/>
      <c r="E2690" s="57"/>
      <c r="F2690" s="58"/>
      <c r="G2690" s="59"/>
      <c r="H2690" s="56"/>
      <c r="I2690" s="60" t="str">
        <f aca="false">IF(IsPro,IF($D2690="","",IFERROR(INDEX(Items!$D$5:$D$504,Q2690),"")),IF($D2690="","","PRO PLAN"))</f>
        <v/>
      </c>
      <c r="J2690" s="61" t="str">
        <f aca="false">IF(IsPro,IF($D2690="","",IF($F2690="",IFERROR(INDEX(Items!$G$5:$G$504,Q2690),0),$F2690)),"")</f>
        <v/>
      </c>
      <c r="K2690" s="61" t="str">
        <f aca="false">IF(IsPro,IF($D2690="","",ROUND(N($E2690)*J2690*(1-N($G2690)),2)),"")</f>
        <v/>
      </c>
      <c r="L2690" s="62" t="str">
        <f aca="false">IF(IsPro,IF($D2690="","",IFERROR(INDEX(Items!$F$5:$F$504,Q2690),0)),"")</f>
        <v/>
      </c>
      <c r="M2690" s="61" t="str">
        <f aca="false">IF(IsPro,IF($D2690="","",IF(AND(R2690&lt;&gt;"",INDEX(Parties!$E$5:$E$304,R2690)&lt;&gt;"",INDEX(Parties!$E$5:$E$304,R2690)&lt;&gt;HomeState),0,ROUND(K2690*L2690/2,2))),"")</f>
        <v/>
      </c>
      <c r="N2690" s="61" t="str">
        <f aca="false">IF(IsPro,IF($D2690="","",M2690),"")</f>
        <v/>
      </c>
      <c r="O2690" s="61" t="str">
        <f aca="false">IF(IsPro,IF($D2690="","",IF(AND(R2690&lt;&gt;"",INDEX(Parties!$E$5:$E$304,R2690)&lt;&gt;"",INDEX(Parties!$E$5:$E$304,R2690)&lt;&gt;HomeState),ROUND(K2690*L2690,2),0)),"")</f>
        <v/>
      </c>
      <c r="P2690" s="61" t="str">
        <f aca="false">IF(IsPro,IF($D2690="","",K2690+M2690+N2690+O2690),"")</f>
        <v/>
      </c>
      <c r="Q2690" s="60" t="str">
        <f aca="false">IF(IsPro,IF($D2690="","",IFERROR(MATCH($D2690,Items!$A$5:$A$504,0),"")),"")</f>
        <v/>
      </c>
      <c r="R2690" s="60" t="str">
        <f aca="false">IF(IsPro,IF($C2690="","",IFERROR(MATCH($C2690,Parties!$A$5:$A$304,0),"")),"")</f>
        <v/>
      </c>
      <c r="S2690" s="61" t="str">
        <f aca="false">IF(IsPro,IF($D2690="","",IF(OR($H2690="",$H2690="Credit"),0,P2690)),"")</f>
        <v/>
      </c>
    </row>
    <row r="2691" customFormat="false" ht="15" hidden="false" customHeight="false" outlineLevel="0" collapsed="false">
      <c r="A2691" s="55"/>
      <c r="B2691" s="56"/>
      <c r="C2691" s="56"/>
      <c r="D2691" s="56"/>
      <c r="E2691" s="57"/>
      <c r="F2691" s="58"/>
      <c r="G2691" s="59"/>
      <c r="H2691" s="56"/>
      <c r="I2691" s="60" t="str">
        <f aca="false">IF(IsPro,IF($D2691="","",IFERROR(INDEX(Items!$D$5:$D$504,Q2691),"")),IF($D2691="","","PRO PLAN"))</f>
        <v/>
      </c>
      <c r="J2691" s="61" t="str">
        <f aca="false">IF(IsPro,IF($D2691="","",IF($F2691="",IFERROR(INDEX(Items!$G$5:$G$504,Q2691),0),$F2691)),"")</f>
        <v/>
      </c>
      <c r="K2691" s="61" t="str">
        <f aca="false">IF(IsPro,IF($D2691="","",ROUND(N($E2691)*J2691*(1-N($G2691)),2)),"")</f>
        <v/>
      </c>
      <c r="L2691" s="62" t="str">
        <f aca="false">IF(IsPro,IF($D2691="","",IFERROR(INDEX(Items!$F$5:$F$504,Q2691),0)),"")</f>
        <v/>
      </c>
      <c r="M2691" s="61" t="str">
        <f aca="false">IF(IsPro,IF($D2691="","",IF(AND(R2691&lt;&gt;"",INDEX(Parties!$E$5:$E$304,R2691)&lt;&gt;"",INDEX(Parties!$E$5:$E$304,R2691)&lt;&gt;HomeState),0,ROUND(K2691*L2691/2,2))),"")</f>
        <v/>
      </c>
      <c r="N2691" s="61" t="str">
        <f aca="false">IF(IsPro,IF($D2691="","",M2691),"")</f>
        <v/>
      </c>
      <c r="O2691" s="61" t="str">
        <f aca="false">IF(IsPro,IF($D2691="","",IF(AND(R2691&lt;&gt;"",INDEX(Parties!$E$5:$E$304,R2691)&lt;&gt;"",INDEX(Parties!$E$5:$E$304,R2691)&lt;&gt;HomeState),ROUND(K2691*L2691,2),0)),"")</f>
        <v/>
      </c>
      <c r="P2691" s="61" t="str">
        <f aca="false">IF(IsPro,IF($D2691="","",K2691+M2691+N2691+O2691),"")</f>
        <v/>
      </c>
      <c r="Q2691" s="60" t="str">
        <f aca="false">IF(IsPro,IF($D2691="","",IFERROR(MATCH($D2691,Items!$A$5:$A$504,0),"")),"")</f>
        <v/>
      </c>
      <c r="R2691" s="60" t="str">
        <f aca="false">IF(IsPro,IF($C2691="","",IFERROR(MATCH($C2691,Parties!$A$5:$A$304,0),"")),"")</f>
        <v/>
      </c>
      <c r="S2691" s="61" t="str">
        <f aca="false">IF(IsPro,IF($D2691="","",IF(OR($H2691="",$H2691="Credit"),0,P2691)),"")</f>
        <v/>
      </c>
    </row>
    <row r="2692" customFormat="false" ht="15" hidden="false" customHeight="false" outlineLevel="0" collapsed="false">
      <c r="A2692" s="55"/>
      <c r="B2692" s="56"/>
      <c r="C2692" s="56"/>
      <c r="D2692" s="56"/>
      <c r="E2692" s="57"/>
      <c r="F2692" s="58"/>
      <c r="G2692" s="59"/>
      <c r="H2692" s="56"/>
      <c r="I2692" s="60" t="str">
        <f aca="false">IF(IsPro,IF($D2692="","",IFERROR(INDEX(Items!$D$5:$D$504,Q2692),"")),IF($D2692="","","PRO PLAN"))</f>
        <v/>
      </c>
      <c r="J2692" s="61" t="str">
        <f aca="false">IF(IsPro,IF($D2692="","",IF($F2692="",IFERROR(INDEX(Items!$G$5:$G$504,Q2692),0),$F2692)),"")</f>
        <v/>
      </c>
      <c r="K2692" s="61" t="str">
        <f aca="false">IF(IsPro,IF($D2692="","",ROUND(N($E2692)*J2692*(1-N($G2692)),2)),"")</f>
        <v/>
      </c>
      <c r="L2692" s="62" t="str">
        <f aca="false">IF(IsPro,IF($D2692="","",IFERROR(INDEX(Items!$F$5:$F$504,Q2692),0)),"")</f>
        <v/>
      </c>
      <c r="M2692" s="61" t="str">
        <f aca="false">IF(IsPro,IF($D2692="","",IF(AND(R2692&lt;&gt;"",INDEX(Parties!$E$5:$E$304,R2692)&lt;&gt;"",INDEX(Parties!$E$5:$E$304,R2692)&lt;&gt;HomeState),0,ROUND(K2692*L2692/2,2))),"")</f>
        <v/>
      </c>
      <c r="N2692" s="61" t="str">
        <f aca="false">IF(IsPro,IF($D2692="","",M2692),"")</f>
        <v/>
      </c>
      <c r="O2692" s="61" t="str">
        <f aca="false">IF(IsPro,IF($D2692="","",IF(AND(R2692&lt;&gt;"",INDEX(Parties!$E$5:$E$304,R2692)&lt;&gt;"",INDEX(Parties!$E$5:$E$304,R2692)&lt;&gt;HomeState),ROUND(K2692*L2692,2),0)),"")</f>
        <v/>
      </c>
      <c r="P2692" s="61" t="str">
        <f aca="false">IF(IsPro,IF($D2692="","",K2692+M2692+N2692+O2692),"")</f>
        <v/>
      </c>
      <c r="Q2692" s="60" t="str">
        <f aca="false">IF(IsPro,IF($D2692="","",IFERROR(MATCH($D2692,Items!$A$5:$A$504,0),"")),"")</f>
        <v/>
      </c>
      <c r="R2692" s="60" t="str">
        <f aca="false">IF(IsPro,IF($C2692="","",IFERROR(MATCH($C2692,Parties!$A$5:$A$304,0),"")),"")</f>
        <v/>
      </c>
      <c r="S2692" s="61" t="str">
        <f aca="false">IF(IsPro,IF($D2692="","",IF(OR($H2692="",$H2692="Credit"),0,P2692)),"")</f>
        <v/>
      </c>
    </row>
    <row r="2693" customFormat="false" ht="15" hidden="false" customHeight="false" outlineLevel="0" collapsed="false">
      <c r="A2693" s="55"/>
      <c r="B2693" s="56"/>
      <c r="C2693" s="56"/>
      <c r="D2693" s="56"/>
      <c r="E2693" s="57"/>
      <c r="F2693" s="58"/>
      <c r="G2693" s="59"/>
      <c r="H2693" s="56"/>
      <c r="I2693" s="60" t="str">
        <f aca="false">IF(IsPro,IF($D2693="","",IFERROR(INDEX(Items!$D$5:$D$504,Q2693),"")),IF($D2693="","","PRO PLAN"))</f>
        <v/>
      </c>
      <c r="J2693" s="61" t="str">
        <f aca="false">IF(IsPro,IF($D2693="","",IF($F2693="",IFERROR(INDEX(Items!$G$5:$G$504,Q2693),0),$F2693)),"")</f>
        <v/>
      </c>
      <c r="K2693" s="61" t="str">
        <f aca="false">IF(IsPro,IF($D2693="","",ROUND(N($E2693)*J2693*(1-N($G2693)),2)),"")</f>
        <v/>
      </c>
      <c r="L2693" s="62" t="str">
        <f aca="false">IF(IsPro,IF($D2693="","",IFERROR(INDEX(Items!$F$5:$F$504,Q2693),0)),"")</f>
        <v/>
      </c>
      <c r="M2693" s="61" t="str">
        <f aca="false">IF(IsPro,IF($D2693="","",IF(AND(R2693&lt;&gt;"",INDEX(Parties!$E$5:$E$304,R2693)&lt;&gt;"",INDEX(Parties!$E$5:$E$304,R2693)&lt;&gt;HomeState),0,ROUND(K2693*L2693/2,2))),"")</f>
        <v/>
      </c>
      <c r="N2693" s="61" t="str">
        <f aca="false">IF(IsPro,IF($D2693="","",M2693),"")</f>
        <v/>
      </c>
      <c r="O2693" s="61" t="str">
        <f aca="false">IF(IsPro,IF($D2693="","",IF(AND(R2693&lt;&gt;"",INDEX(Parties!$E$5:$E$304,R2693)&lt;&gt;"",INDEX(Parties!$E$5:$E$304,R2693)&lt;&gt;HomeState),ROUND(K2693*L2693,2),0)),"")</f>
        <v/>
      </c>
      <c r="P2693" s="61" t="str">
        <f aca="false">IF(IsPro,IF($D2693="","",K2693+M2693+N2693+O2693),"")</f>
        <v/>
      </c>
      <c r="Q2693" s="60" t="str">
        <f aca="false">IF(IsPro,IF($D2693="","",IFERROR(MATCH($D2693,Items!$A$5:$A$504,0),"")),"")</f>
        <v/>
      </c>
      <c r="R2693" s="60" t="str">
        <f aca="false">IF(IsPro,IF($C2693="","",IFERROR(MATCH($C2693,Parties!$A$5:$A$304,0),"")),"")</f>
        <v/>
      </c>
      <c r="S2693" s="61" t="str">
        <f aca="false">IF(IsPro,IF($D2693="","",IF(OR($H2693="",$H2693="Credit"),0,P2693)),"")</f>
        <v/>
      </c>
    </row>
    <row r="2694" customFormat="false" ht="15" hidden="false" customHeight="false" outlineLevel="0" collapsed="false">
      <c r="A2694" s="55"/>
      <c r="B2694" s="56"/>
      <c r="C2694" s="56"/>
      <c r="D2694" s="56"/>
      <c r="E2694" s="57"/>
      <c r="F2694" s="58"/>
      <c r="G2694" s="59"/>
      <c r="H2694" s="56"/>
      <c r="I2694" s="60" t="str">
        <f aca="false">IF(IsPro,IF($D2694="","",IFERROR(INDEX(Items!$D$5:$D$504,Q2694),"")),IF($D2694="","","PRO PLAN"))</f>
        <v/>
      </c>
      <c r="J2694" s="61" t="str">
        <f aca="false">IF(IsPro,IF($D2694="","",IF($F2694="",IFERROR(INDEX(Items!$G$5:$G$504,Q2694),0),$F2694)),"")</f>
        <v/>
      </c>
      <c r="K2694" s="61" t="str">
        <f aca="false">IF(IsPro,IF($D2694="","",ROUND(N($E2694)*J2694*(1-N($G2694)),2)),"")</f>
        <v/>
      </c>
      <c r="L2694" s="62" t="str">
        <f aca="false">IF(IsPro,IF($D2694="","",IFERROR(INDEX(Items!$F$5:$F$504,Q2694),0)),"")</f>
        <v/>
      </c>
      <c r="M2694" s="61" t="str">
        <f aca="false">IF(IsPro,IF($D2694="","",IF(AND(R2694&lt;&gt;"",INDEX(Parties!$E$5:$E$304,R2694)&lt;&gt;"",INDEX(Parties!$E$5:$E$304,R2694)&lt;&gt;HomeState),0,ROUND(K2694*L2694/2,2))),"")</f>
        <v/>
      </c>
      <c r="N2694" s="61" t="str">
        <f aca="false">IF(IsPro,IF($D2694="","",M2694),"")</f>
        <v/>
      </c>
      <c r="O2694" s="61" t="str">
        <f aca="false">IF(IsPro,IF($D2694="","",IF(AND(R2694&lt;&gt;"",INDEX(Parties!$E$5:$E$304,R2694)&lt;&gt;"",INDEX(Parties!$E$5:$E$304,R2694)&lt;&gt;HomeState),ROUND(K2694*L2694,2),0)),"")</f>
        <v/>
      </c>
      <c r="P2694" s="61" t="str">
        <f aca="false">IF(IsPro,IF($D2694="","",K2694+M2694+N2694+O2694),"")</f>
        <v/>
      </c>
      <c r="Q2694" s="60" t="str">
        <f aca="false">IF(IsPro,IF($D2694="","",IFERROR(MATCH($D2694,Items!$A$5:$A$504,0),"")),"")</f>
        <v/>
      </c>
      <c r="R2694" s="60" t="str">
        <f aca="false">IF(IsPro,IF($C2694="","",IFERROR(MATCH($C2694,Parties!$A$5:$A$304,0),"")),"")</f>
        <v/>
      </c>
      <c r="S2694" s="61" t="str">
        <f aca="false">IF(IsPro,IF($D2694="","",IF(OR($H2694="",$H2694="Credit"),0,P2694)),"")</f>
        <v/>
      </c>
    </row>
    <row r="2695" customFormat="false" ht="15" hidden="false" customHeight="false" outlineLevel="0" collapsed="false">
      <c r="A2695" s="55"/>
      <c r="B2695" s="56"/>
      <c r="C2695" s="56"/>
      <c r="D2695" s="56"/>
      <c r="E2695" s="57"/>
      <c r="F2695" s="58"/>
      <c r="G2695" s="59"/>
      <c r="H2695" s="56"/>
      <c r="I2695" s="60" t="str">
        <f aca="false">IF(IsPro,IF($D2695="","",IFERROR(INDEX(Items!$D$5:$D$504,Q2695),"")),IF($D2695="","","PRO PLAN"))</f>
        <v/>
      </c>
      <c r="J2695" s="61" t="str">
        <f aca="false">IF(IsPro,IF($D2695="","",IF($F2695="",IFERROR(INDEX(Items!$G$5:$G$504,Q2695),0),$F2695)),"")</f>
        <v/>
      </c>
      <c r="K2695" s="61" t="str">
        <f aca="false">IF(IsPro,IF($D2695="","",ROUND(N($E2695)*J2695*(1-N($G2695)),2)),"")</f>
        <v/>
      </c>
      <c r="L2695" s="62" t="str">
        <f aca="false">IF(IsPro,IF($D2695="","",IFERROR(INDEX(Items!$F$5:$F$504,Q2695),0)),"")</f>
        <v/>
      </c>
      <c r="M2695" s="61" t="str">
        <f aca="false">IF(IsPro,IF($D2695="","",IF(AND(R2695&lt;&gt;"",INDEX(Parties!$E$5:$E$304,R2695)&lt;&gt;"",INDEX(Parties!$E$5:$E$304,R2695)&lt;&gt;HomeState),0,ROUND(K2695*L2695/2,2))),"")</f>
        <v/>
      </c>
      <c r="N2695" s="61" t="str">
        <f aca="false">IF(IsPro,IF($D2695="","",M2695),"")</f>
        <v/>
      </c>
      <c r="O2695" s="61" t="str">
        <f aca="false">IF(IsPro,IF($D2695="","",IF(AND(R2695&lt;&gt;"",INDEX(Parties!$E$5:$E$304,R2695)&lt;&gt;"",INDEX(Parties!$E$5:$E$304,R2695)&lt;&gt;HomeState),ROUND(K2695*L2695,2),0)),"")</f>
        <v/>
      </c>
      <c r="P2695" s="61" t="str">
        <f aca="false">IF(IsPro,IF($D2695="","",K2695+M2695+N2695+O2695),"")</f>
        <v/>
      </c>
      <c r="Q2695" s="60" t="str">
        <f aca="false">IF(IsPro,IF($D2695="","",IFERROR(MATCH($D2695,Items!$A$5:$A$504,0),"")),"")</f>
        <v/>
      </c>
      <c r="R2695" s="60" t="str">
        <f aca="false">IF(IsPro,IF($C2695="","",IFERROR(MATCH($C2695,Parties!$A$5:$A$304,0),"")),"")</f>
        <v/>
      </c>
      <c r="S2695" s="61" t="str">
        <f aca="false">IF(IsPro,IF($D2695="","",IF(OR($H2695="",$H2695="Credit"),0,P2695)),"")</f>
        <v/>
      </c>
    </row>
    <row r="2696" customFormat="false" ht="15" hidden="false" customHeight="false" outlineLevel="0" collapsed="false">
      <c r="A2696" s="55"/>
      <c r="B2696" s="56"/>
      <c r="C2696" s="56"/>
      <c r="D2696" s="56"/>
      <c r="E2696" s="57"/>
      <c r="F2696" s="58"/>
      <c r="G2696" s="59"/>
      <c r="H2696" s="56"/>
      <c r="I2696" s="60" t="str">
        <f aca="false">IF(IsPro,IF($D2696="","",IFERROR(INDEX(Items!$D$5:$D$504,Q2696),"")),IF($D2696="","","PRO PLAN"))</f>
        <v/>
      </c>
      <c r="J2696" s="61" t="str">
        <f aca="false">IF(IsPro,IF($D2696="","",IF($F2696="",IFERROR(INDEX(Items!$G$5:$G$504,Q2696),0),$F2696)),"")</f>
        <v/>
      </c>
      <c r="K2696" s="61" t="str">
        <f aca="false">IF(IsPro,IF($D2696="","",ROUND(N($E2696)*J2696*(1-N($G2696)),2)),"")</f>
        <v/>
      </c>
      <c r="L2696" s="62" t="str">
        <f aca="false">IF(IsPro,IF($D2696="","",IFERROR(INDEX(Items!$F$5:$F$504,Q2696),0)),"")</f>
        <v/>
      </c>
      <c r="M2696" s="61" t="str">
        <f aca="false">IF(IsPro,IF($D2696="","",IF(AND(R2696&lt;&gt;"",INDEX(Parties!$E$5:$E$304,R2696)&lt;&gt;"",INDEX(Parties!$E$5:$E$304,R2696)&lt;&gt;HomeState),0,ROUND(K2696*L2696/2,2))),"")</f>
        <v/>
      </c>
      <c r="N2696" s="61" t="str">
        <f aca="false">IF(IsPro,IF($D2696="","",M2696),"")</f>
        <v/>
      </c>
      <c r="O2696" s="61" t="str">
        <f aca="false">IF(IsPro,IF($D2696="","",IF(AND(R2696&lt;&gt;"",INDEX(Parties!$E$5:$E$304,R2696)&lt;&gt;"",INDEX(Parties!$E$5:$E$304,R2696)&lt;&gt;HomeState),ROUND(K2696*L2696,2),0)),"")</f>
        <v/>
      </c>
      <c r="P2696" s="61" t="str">
        <f aca="false">IF(IsPro,IF($D2696="","",K2696+M2696+N2696+O2696),"")</f>
        <v/>
      </c>
      <c r="Q2696" s="60" t="str">
        <f aca="false">IF(IsPro,IF($D2696="","",IFERROR(MATCH($D2696,Items!$A$5:$A$504,0),"")),"")</f>
        <v/>
      </c>
      <c r="R2696" s="60" t="str">
        <f aca="false">IF(IsPro,IF($C2696="","",IFERROR(MATCH($C2696,Parties!$A$5:$A$304,0),"")),"")</f>
        <v/>
      </c>
      <c r="S2696" s="61" t="str">
        <f aca="false">IF(IsPro,IF($D2696="","",IF(OR($H2696="",$H2696="Credit"),0,P2696)),"")</f>
        <v/>
      </c>
    </row>
    <row r="2697" customFormat="false" ht="15" hidden="false" customHeight="false" outlineLevel="0" collapsed="false">
      <c r="A2697" s="55"/>
      <c r="B2697" s="56"/>
      <c r="C2697" s="56"/>
      <c r="D2697" s="56"/>
      <c r="E2697" s="57"/>
      <c r="F2697" s="58"/>
      <c r="G2697" s="59"/>
      <c r="H2697" s="56"/>
      <c r="I2697" s="60" t="str">
        <f aca="false">IF(IsPro,IF($D2697="","",IFERROR(INDEX(Items!$D$5:$D$504,Q2697),"")),IF($D2697="","","PRO PLAN"))</f>
        <v/>
      </c>
      <c r="J2697" s="61" t="str">
        <f aca="false">IF(IsPro,IF($D2697="","",IF($F2697="",IFERROR(INDEX(Items!$G$5:$G$504,Q2697),0),$F2697)),"")</f>
        <v/>
      </c>
      <c r="K2697" s="61" t="str">
        <f aca="false">IF(IsPro,IF($D2697="","",ROUND(N($E2697)*J2697*(1-N($G2697)),2)),"")</f>
        <v/>
      </c>
      <c r="L2697" s="62" t="str">
        <f aca="false">IF(IsPro,IF($D2697="","",IFERROR(INDEX(Items!$F$5:$F$504,Q2697),0)),"")</f>
        <v/>
      </c>
      <c r="M2697" s="61" t="str">
        <f aca="false">IF(IsPro,IF($D2697="","",IF(AND(R2697&lt;&gt;"",INDEX(Parties!$E$5:$E$304,R2697)&lt;&gt;"",INDEX(Parties!$E$5:$E$304,R2697)&lt;&gt;HomeState),0,ROUND(K2697*L2697/2,2))),"")</f>
        <v/>
      </c>
      <c r="N2697" s="61" t="str">
        <f aca="false">IF(IsPro,IF($D2697="","",M2697),"")</f>
        <v/>
      </c>
      <c r="O2697" s="61" t="str">
        <f aca="false">IF(IsPro,IF($D2697="","",IF(AND(R2697&lt;&gt;"",INDEX(Parties!$E$5:$E$304,R2697)&lt;&gt;"",INDEX(Parties!$E$5:$E$304,R2697)&lt;&gt;HomeState),ROUND(K2697*L2697,2),0)),"")</f>
        <v/>
      </c>
      <c r="P2697" s="61" t="str">
        <f aca="false">IF(IsPro,IF($D2697="","",K2697+M2697+N2697+O2697),"")</f>
        <v/>
      </c>
      <c r="Q2697" s="60" t="str">
        <f aca="false">IF(IsPro,IF($D2697="","",IFERROR(MATCH($D2697,Items!$A$5:$A$504,0),"")),"")</f>
        <v/>
      </c>
      <c r="R2697" s="60" t="str">
        <f aca="false">IF(IsPro,IF($C2697="","",IFERROR(MATCH($C2697,Parties!$A$5:$A$304,0),"")),"")</f>
        <v/>
      </c>
      <c r="S2697" s="61" t="str">
        <f aca="false">IF(IsPro,IF($D2697="","",IF(OR($H2697="",$H2697="Credit"),0,P2697)),"")</f>
        <v/>
      </c>
    </row>
    <row r="2698" customFormat="false" ht="15" hidden="false" customHeight="false" outlineLevel="0" collapsed="false">
      <c r="A2698" s="55"/>
      <c r="B2698" s="56"/>
      <c r="C2698" s="56"/>
      <c r="D2698" s="56"/>
      <c r="E2698" s="57"/>
      <c r="F2698" s="58"/>
      <c r="G2698" s="59"/>
      <c r="H2698" s="56"/>
      <c r="I2698" s="60" t="str">
        <f aca="false">IF(IsPro,IF($D2698="","",IFERROR(INDEX(Items!$D$5:$D$504,Q2698),"")),IF($D2698="","","PRO PLAN"))</f>
        <v/>
      </c>
      <c r="J2698" s="61" t="str">
        <f aca="false">IF(IsPro,IF($D2698="","",IF($F2698="",IFERROR(INDEX(Items!$G$5:$G$504,Q2698),0),$F2698)),"")</f>
        <v/>
      </c>
      <c r="K2698" s="61" t="str">
        <f aca="false">IF(IsPro,IF($D2698="","",ROUND(N($E2698)*J2698*(1-N($G2698)),2)),"")</f>
        <v/>
      </c>
      <c r="L2698" s="62" t="str">
        <f aca="false">IF(IsPro,IF($D2698="","",IFERROR(INDEX(Items!$F$5:$F$504,Q2698),0)),"")</f>
        <v/>
      </c>
      <c r="M2698" s="61" t="str">
        <f aca="false">IF(IsPro,IF($D2698="","",IF(AND(R2698&lt;&gt;"",INDEX(Parties!$E$5:$E$304,R2698)&lt;&gt;"",INDEX(Parties!$E$5:$E$304,R2698)&lt;&gt;HomeState),0,ROUND(K2698*L2698/2,2))),"")</f>
        <v/>
      </c>
      <c r="N2698" s="61" t="str">
        <f aca="false">IF(IsPro,IF($D2698="","",M2698),"")</f>
        <v/>
      </c>
      <c r="O2698" s="61" t="str">
        <f aca="false">IF(IsPro,IF($D2698="","",IF(AND(R2698&lt;&gt;"",INDEX(Parties!$E$5:$E$304,R2698)&lt;&gt;"",INDEX(Parties!$E$5:$E$304,R2698)&lt;&gt;HomeState),ROUND(K2698*L2698,2),0)),"")</f>
        <v/>
      </c>
      <c r="P2698" s="61" t="str">
        <f aca="false">IF(IsPro,IF($D2698="","",K2698+M2698+N2698+O2698),"")</f>
        <v/>
      </c>
      <c r="Q2698" s="60" t="str">
        <f aca="false">IF(IsPro,IF($D2698="","",IFERROR(MATCH($D2698,Items!$A$5:$A$504,0),"")),"")</f>
        <v/>
      </c>
      <c r="R2698" s="60" t="str">
        <f aca="false">IF(IsPro,IF($C2698="","",IFERROR(MATCH($C2698,Parties!$A$5:$A$304,0),"")),"")</f>
        <v/>
      </c>
      <c r="S2698" s="61" t="str">
        <f aca="false">IF(IsPro,IF($D2698="","",IF(OR($H2698="",$H2698="Credit"),0,P2698)),"")</f>
        <v/>
      </c>
    </row>
    <row r="2699" customFormat="false" ht="15" hidden="false" customHeight="false" outlineLevel="0" collapsed="false">
      <c r="A2699" s="55"/>
      <c r="B2699" s="56"/>
      <c r="C2699" s="56"/>
      <c r="D2699" s="56"/>
      <c r="E2699" s="57"/>
      <c r="F2699" s="58"/>
      <c r="G2699" s="59"/>
      <c r="H2699" s="56"/>
      <c r="I2699" s="60" t="str">
        <f aca="false">IF(IsPro,IF($D2699="","",IFERROR(INDEX(Items!$D$5:$D$504,Q2699),"")),IF($D2699="","","PRO PLAN"))</f>
        <v/>
      </c>
      <c r="J2699" s="61" t="str">
        <f aca="false">IF(IsPro,IF($D2699="","",IF($F2699="",IFERROR(INDEX(Items!$G$5:$G$504,Q2699),0),$F2699)),"")</f>
        <v/>
      </c>
      <c r="K2699" s="61" t="str">
        <f aca="false">IF(IsPro,IF($D2699="","",ROUND(N($E2699)*J2699*(1-N($G2699)),2)),"")</f>
        <v/>
      </c>
      <c r="L2699" s="62" t="str">
        <f aca="false">IF(IsPro,IF($D2699="","",IFERROR(INDEX(Items!$F$5:$F$504,Q2699),0)),"")</f>
        <v/>
      </c>
      <c r="M2699" s="61" t="str">
        <f aca="false">IF(IsPro,IF($D2699="","",IF(AND(R2699&lt;&gt;"",INDEX(Parties!$E$5:$E$304,R2699)&lt;&gt;"",INDEX(Parties!$E$5:$E$304,R2699)&lt;&gt;HomeState),0,ROUND(K2699*L2699/2,2))),"")</f>
        <v/>
      </c>
      <c r="N2699" s="61" t="str">
        <f aca="false">IF(IsPro,IF($D2699="","",M2699),"")</f>
        <v/>
      </c>
      <c r="O2699" s="61" t="str">
        <f aca="false">IF(IsPro,IF($D2699="","",IF(AND(R2699&lt;&gt;"",INDEX(Parties!$E$5:$E$304,R2699)&lt;&gt;"",INDEX(Parties!$E$5:$E$304,R2699)&lt;&gt;HomeState),ROUND(K2699*L2699,2),0)),"")</f>
        <v/>
      </c>
      <c r="P2699" s="61" t="str">
        <f aca="false">IF(IsPro,IF($D2699="","",K2699+M2699+N2699+O2699),"")</f>
        <v/>
      </c>
      <c r="Q2699" s="60" t="str">
        <f aca="false">IF(IsPro,IF($D2699="","",IFERROR(MATCH($D2699,Items!$A$5:$A$504,0),"")),"")</f>
        <v/>
      </c>
      <c r="R2699" s="60" t="str">
        <f aca="false">IF(IsPro,IF($C2699="","",IFERROR(MATCH($C2699,Parties!$A$5:$A$304,0),"")),"")</f>
        <v/>
      </c>
      <c r="S2699" s="61" t="str">
        <f aca="false">IF(IsPro,IF($D2699="","",IF(OR($H2699="",$H2699="Credit"),0,P2699)),"")</f>
        <v/>
      </c>
    </row>
    <row r="2700" customFormat="false" ht="15" hidden="false" customHeight="false" outlineLevel="0" collapsed="false">
      <c r="A2700" s="55"/>
      <c r="B2700" s="56"/>
      <c r="C2700" s="56"/>
      <c r="D2700" s="56"/>
      <c r="E2700" s="57"/>
      <c r="F2700" s="58"/>
      <c r="G2700" s="59"/>
      <c r="H2700" s="56"/>
      <c r="I2700" s="60" t="str">
        <f aca="false">IF(IsPro,IF($D2700="","",IFERROR(INDEX(Items!$D$5:$D$504,Q2700),"")),IF($D2700="","","PRO PLAN"))</f>
        <v/>
      </c>
      <c r="J2700" s="61" t="str">
        <f aca="false">IF(IsPro,IF($D2700="","",IF($F2700="",IFERROR(INDEX(Items!$G$5:$G$504,Q2700),0),$F2700)),"")</f>
        <v/>
      </c>
      <c r="K2700" s="61" t="str">
        <f aca="false">IF(IsPro,IF($D2700="","",ROUND(N($E2700)*J2700*(1-N($G2700)),2)),"")</f>
        <v/>
      </c>
      <c r="L2700" s="62" t="str">
        <f aca="false">IF(IsPro,IF($D2700="","",IFERROR(INDEX(Items!$F$5:$F$504,Q2700),0)),"")</f>
        <v/>
      </c>
      <c r="M2700" s="61" t="str">
        <f aca="false">IF(IsPro,IF($D2700="","",IF(AND(R2700&lt;&gt;"",INDEX(Parties!$E$5:$E$304,R2700)&lt;&gt;"",INDEX(Parties!$E$5:$E$304,R2700)&lt;&gt;HomeState),0,ROUND(K2700*L2700/2,2))),"")</f>
        <v/>
      </c>
      <c r="N2700" s="61" t="str">
        <f aca="false">IF(IsPro,IF($D2700="","",M2700),"")</f>
        <v/>
      </c>
      <c r="O2700" s="61" t="str">
        <f aca="false">IF(IsPro,IF($D2700="","",IF(AND(R2700&lt;&gt;"",INDEX(Parties!$E$5:$E$304,R2700)&lt;&gt;"",INDEX(Parties!$E$5:$E$304,R2700)&lt;&gt;HomeState),ROUND(K2700*L2700,2),0)),"")</f>
        <v/>
      </c>
      <c r="P2700" s="61" t="str">
        <f aca="false">IF(IsPro,IF($D2700="","",K2700+M2700+N2700+O2700),"")</f>
        <v/>
      </c>
      <c r="Q2700" s="60" t="str">
        <f aca="false">IF(IsPro,IF($D2700="","",IFERROR(MATCH($D2700,Items!$A$5:$A$504,0),"")),"")</f>
        <v/>
      </c>
      <c r="R2700" s="60" t="str">
        <f aca="false">IF(IsPro,IF($C2700="","",IFERROR(MATCH($C2700,Parties!$A$5:$A$304,0),"")),"")</f>
        <v/>
      </c>
      <c r="S2700" s="61" t="str">
        <f aca="false">IF(IsPro,IF($D2700="","",IF(OR($H2700="",$H2700="Credit"),0,P2700)),"")</f>
        <v/>
      </c>
    </row>
    <row r="2701" customFormat="false" ht="15" hidden="false" customHeight="false" outlineLevel="0" collapsed="false">
      <c r="A2701" s="55"/>
      <c r="B2701" s="56"/>
      <c r="C2701" s="56"/>
      <c r="D2701" s="56"/>
      <c r="E2701" s="57"/>
      <c r="F2701" s="58"/>
      <c r="G2701" s="59"/>
      <c r="H2701" s="56"/>
      <c r="I2701" s="60" t="str">
        <f aca="false">IF(IsPro,IF($D2701="","",IFERROR(INDEX(Items!$D$5:$D$504,Q2701),"")),IF($D2701="","","PRO PLAN"))</f>
        <v/>
      </c>
      <c r="J2701" s="61" t="str">
        <f aca="false">IF(IsPro,IF($D2701="","",IF($F2701="",IFERROR(INDEX(Items!$G$5:$G$504,Q2701),0),$F2701)),"")</f>
        <v/>
      </c>
      <c r="K2701" s="61" t="str">
        <f aca="false">IF(IsPro,IF($D2701="","",ROUND(N($E2701)*J2701*(1-N($G2701)),2)),"")</f>
        <v/>
      </c>
      <c r="L2701" s="62" t="str">
        <f aca="false">IF(IsPro,IF($D2701="","",IFERROR(INDEX(Items!$F$5:$F$504,Q2701),0)),"")</f>
        <v/>
      </c>
      <c r="M2701" s="61" t="str">
        <f aca="false">IF(IsPro,IF($D2701="","",IF(AND(R2701&lt;&gt;"",INDEX(Parties!$E$5:$E$304,R2701)&lt;&gt;"",INDEX(Parties!$E$5:$E$304,R2701)&lt;&gt;HomeState),0,ROUND(K2701*L2701/2,2))),"")</f>
        <v/>
      </c>
      <c r="N2701" s="61" t="str">
        <f aca="false">IF(IsPro,IF($D2701="","",M2701),"")</f>
        <v/>
      </c>
      <c r="O2701" s="61" t="str">
        <f aca="false">IF(IsPro,IF($D2701="","",IF(AND(R2701&lt;&gt;"",INDEX(Parties!$E$5:$E$304,R2701)&lt;&gt;"",INDEX(Parties!$E$5:$E$304,R2701)&lt;&gt;HomeState),ROUND(K2701*L2701,2),0)),"")</f>
        <v/>
      </c>
      <c r="P2701" s="61" t="str">
        <f aca="false">IF(IsPro,IF($D2701="","",K2701+M2701+N2701+O2701),"")</f>
        <v/>
      </c>
      <c r="Q2701" s="60" t="str">
        <f aca="false">IF(IsPro,IF($D2701="","",IFERROR(MATCH($D2701,Items!$A$5:$A$504,0),"")),"")</f>
        <v/>
      </c>
      <c r="R2701" s="60" t="str">
        <f aca="false">IF(IsPro,IF($C2701="","",IFERROR(MATCH($C2701,Parties!$A$5:$A$304,0),"")),"")</f>
        <v/>
      </c>
      <c r="S2701" s="61" t="str">
        <f aca="false">IF(IsPro,IF($D2701="","",IF(OR($H2701="",$H2701="Credit"),0,P2701)),"")</f>
        <v/>
      </c>
    </row>
    <row r="2702" customFormat="false" ht="15" hidden="false" customHeight="false" outlineLevel="0" collapsed="false">
      <c r="A2702" s="55"/>
      <c r="B2702" s="56"/>
      <c r="C2702" s="56"/>
      <c r="D2702" s="56"/>
      <c r="E2702" s="57"/>
      <c r="F2702" s="58"/>
      <c r="G2702" s="59"/>
      <c r="H2702" s="56"/>
      <c r="I2702" s="60" t="str">
        <f aca="false">IF(IsPro,IF($D2702="","",IFERROR(INDEX(Items!$D$5:$D$504,Q2702),"")),IF($D2702="","","PRO PLAN"))</f>
        <v/>
      </c>
      <c r="J2702" s="61" t="str">
        <f aca="false">IF(IsPro,IF($D2702="","",IF($F2702="",IFERROR(INDEX(Items!$G$5:$G$504,Q2702),0),$F2702)),"")</f>
        <v/>
      </c>
      <c r="K2702" s="61" t="str">
        <f aca="false">IF(IsPro,IF($D2702="","",ROUND(N($E2702)*J2702*(1-N($G2702)),2)),"")</f>
        <v/>
      </c>
      <c r="L2702" s="62" t="str">
        <f aca="false">IF(IsPro,IF($D2702="","",IFERROR(INDEX(Items!$F$5:$F$504,Q2702),0)),"")</f>
        <v/>
      </c>
      <c r="M2702" s="61" t="str">
        <f aca="false">IF(IsPro,IF($D2702="","",IF(AND(R2702&lt;&gt;"",INDEX(Parties!$E$5:$E$304,R2702)&lt;&gt;"",INDEX(Parties!$E$5:$E$304,R2702)&lt;&gt;HomeState),0,ROUND(K2702*L2702/2,2))),"")</f>
        <v/>
      </c>
      <c r="N2702" s="61" t="str">
        <f aca="false">IF(IsPro,IF($D2702="","",M2702),"")</f>
        <v/>
      </c>
      <c r="O2702" s="61" t="str">
        <f aca="false">IF(IsPro,IF($D2702="","",IF(AND(R2702&lt;&gt;"",INDEX(Parties!$E$5:$E$304,R2702)&lt;&gt;"",INDEX(Parties!$E$5:$E$304,R2702)&lt;&gt;HomeState),ROUND(K2702*L2702,2),0)),"")</f>
        <v/>
      </c>
      <c r="P2702" s="61" t="str">
        <f aca="false">IF(IsPro,IF($D2702="","",K2702+M2702+N2702+O2702),"")</f>
        <v/>
      </c>
      <c r="Q2702" s="60" t="str">
        <f aca="false">IF(IsPro,IF($D2702="","",IFERROR(MATCH($D2702,Items!$A$5:$A$504,0),"")),"")</f>
        <v/>
      </c>
      <c r="R2702" s="60" t="str">
        <f aca="false">IF(IsPro,IF($C2702="","",IFERROR(MATCH($C2702,Parties!$A$5:$A$304,0),"")),"")</f>
        <v/>
      </c>
      <c r="S2702" s="61" t="str">
        <f aca="false">IF(IsPro,IF($D2702="","",IF(OR($H2702="",$H2702="Credit"),0,P2702)),"")</f>
        <v/>
      </c>
    </row>
    <row r="2703" customFormat="false" ht="15" hidden="false" customHeight="false" outlineLevel="0" collapsed="false">
      <c r="A2703" s="55"/>
      <c r="B2703" s="56"/>
      <c r="C2703" s="56"/>
      <c r="D2703" s="56"/>
      <c r="E2703" s="57"/>
      <c r="F2703" s="58"/>
      <c r="G2703" s="59"/>
      <c r="H2703" s="56"/>
      <c r="I2703" s="60" t="str">
        <f aca="false">IF(IsPro,IF($D2703="","",IFERROR(INDEX(Items!$D$5:$D$504,Q2703),"")),IF($D2703="","","PRO PLAN"))</f>
        <v/>
      </c>
      <c r="J2703" s="61" t="str">
        <f aca="false">IF(IsPro,IF($D2703="","",IF($F2703="",IFERROR(INDEX(Items!$G$5:$G$504,Q2703),0),$F2703)),"")</f>
        <v/>
      </c>
      <c r="K2703" s="61" t="str">
        <f aca="false">IF(IsPro,IF($D2703="","",ROUND(N($E2703)*J2703*(1-N($G2703)),2)),"")</f>
        <v/>
      </c>
      <c r="L2703" s="62" t="str">
        <f aca="false">IF(IsPro,IF($D2703="","",IFERROR(INDEX(Items!$F$5:$F$504,Q2703),0)),"")</f>
        <v/>
      </c>
      <c r="M2703" s="61" t="str">
        <f aca="false">IF(IsPro,IF($D2703="","",IF(AND(R2703&lt;&gt;"",INDEX(Parties!$E$5:$E$304,R2703)&lt;&gt;"",INDEX(Parties!$E$5:$E$304,R2703)&lt;&gt;HomeState),0,ROUND(K2703*L2703/2,2))),"")</f>
        <v/>
      </c>
      <c r="N2703" s="61" t="str">
        <f aca="false">IF(IsPro,IF($D2703="","",M2703),"")</f>
        <v/>
      </c>
      <c r="O2703" s="61" t="str">
        <f aca="false">IF(IsPro,IF($D2703="","",IF(AND(R2703&lt;&gt;"",INDEX(Parties!$E$5:$E$304,R2703)&lt;&gt;"",INDEX(Parties!$E$5:$E$304,R2703)&lt;&gt;HomeState),ROUND(K2703*L2703,2),0)),"")</f>
        <v/>
      </c>
      <c r="P2703" s="61" t="str">
        <f aca="false">IF(IsPro,IF($D2703="","",K2703+M2703+N2703+O2703),"")</f>
        <v/>
      </c>
      <c r="Q2703" s="60" t="str">
        <f aca="false">IF(IsPro,IF($D2703="","",IFERROR(MATCH($D2703,Items!$A$5:$A$504,0),"")),"")</f>
        <v/>
      </c>
      <c r="R2703" s="60" t="str">
        <f aca="false">IF(IsPro,IF($C2703="","",IFERROR(MATCH($C2703,Parties!$A$5:$A$304,0),"")),"")</f>
        <v/>
      </c>
      <c r="S2703" s="61" t="str">
        <f aca="false">IF(IsPro,IF($D2703="","",IF(OR($H2703="",$H2703="Credit"),0,P2703)),"")</f>
        <v/>
      </c>
    </row>
    <row r="2704" customFormat="false" ht="15" hidden="false" customHeight="false" outlineLevel="0" collapsed="false">
      <c r="A2704" s="55"/>
      <c r="B2704" s="56"/>
      <c r="C2704" s="56"/>
      <c r="D2704" s="56"/>
      <c r="E2704" s="57"/>
      <c r="F2704" s="58"/>
      <c r="G2704" s="59"/>
      <c r="H2704" s="56"/>
      <c r="I2704" s="60" t="str">
        <f aca="false">IF(IsPro,IF($D2704="","",IFERROR(INDEX(Items!$D$5:$D$504,Q2704),"")),IF($D2704="","","PRO PLAN"))</f>
        <v/>
      </c>
      <c r="J2704" s="61" t="str">
        <f aca="false">IF(IsPro,IF($D2704="","",IF($F2704="",IFERROR(INDEX(Items!$G$5:$G$504,Q2704),0),$F2704)),"")</f>
        <v/>
      </c>
      <c r="K2704" s="61" t="str">
        <f aca="false">IF(IsPro,IF($D2704="","",ROUND(N($E2704)*J2704*(1-N($G2704)),2)),"")</f>
        <v/>
      </c>
      <c r="L2704" s="62" t="str">
        <f aca="false">IF(IsPro,IF($D2704="","",IFERROR(INDEX(Items!$F$5:$F$504,Q2704),0)),"")</f>
        <v/>
      </c>
      <c r="M2704" s="61" t="str">
        <f aca="false">IF(IsPro,IF($D2704="","",IF(AND(R2704&lt;&gt;"",INDEX(Parties!$E$5:$E$304,R2704)&lt;&gt;"",INDEX(Parties!$E$5:$E$304,R2704)&lt;&gt;HomeState),0,ROUND(K2704*L2704/2,2))),"")</f>
        <v/>
      </c>
      <c r="N2704" s="61" t="str">
        <f aca="false">IF(IsPro,IF($D2704="","",M2704),"")</f>
        <v/>
      </c>
      <c r="O2704" s="61" t="str">
        <f aca="false">IF(IsPro,IF($D2704="","",IF(AND(R2704&lt;&gt;"",INDEX(Parties!$E$5:$E$304,R2704)&lt;&gt;"",INDEX(Parties!$E$5:$E$304,R2704)&lt;&gt;HomeState),ROUND(K2704*L2704,2),0)),"")</f>
        <v/>
      </c>
      <c r="P2704" s="61" t="str">
        <f aca="false">IF(IsPro,IF($D2704="","",K2704+M2704+N2704+O2704),"")</f>
        <v/>
      </c>
      <c r="Q2704" s="60" t="str">
        <f aca="false">IF(IsPro,IF($D2704="","",IFERROR(MATCH($D2704,Items!$A$5:$A$504,0),"")),"")</f>
        <v/>
      </c>
      <c r="R2704" s="60" t="str">
        <f aca="false">IF(IsPro,IF($C2704="","",IFERROR(MATCH($C2704,Parties!$A$5:$A$304,0),"")),"")</f>
        <v/>
      </c>
      <c r="S2704" s="61" t="str">
        <f aca="false">IF(IsPro,IF($D2704="","",IF(OR($H2704="",$H2704="Credit"),0,P2704)),"")</f>
        <v/>
      </c>
    </row>
    <row r="2705" customFormat="false" ht="15" hidden="false" customHeight="false" outlineLevel="0" collapsed="false">
      <c r="A2705" s="55"/>
      <c r="B2705" s="56"/>
      <c r="C2705" s="56"/>
      <c r="D2705" s="56"/>
      <c r="E2705" s="57"/>
      <c r="F2705" s="58"/>
      <c r="G2705" s="59"/>
      <c r="H2705" s="56"/>
      <c r="I2705" s="60" t="str">
        <f aca="false">IF(IsPro,IF($D2705="","",IFERROR(INDEX(Items!$D$5:$D$504,Q2705),"")),IF($D2705="","","PRO PLAN"))</f>
        <v/>
      </c>
      <c r="J2705" s="61" t="str">
        <f aca="false">IF(IsPro,IF($D2705="","",IF($F2705="",IFERROR(INDEX(Items!$G$5:$G$504,Q2705),0),$F2705)),"")</f>
        <v/>
      </c>
      <c r="K2705" s="61" t="str">
        <f aca="false">IF(IsPro,IF($D2705="","",ROUND(N($E2705)*J2705*(1-N($G2705)),2)),"")</f>
        <v/>
      </c>
      <c r="L2705" s="62" t="str">
        <f aca="false">IF(IsPro,IF($D2705="","",IFERROR(INDEX(Items!$F$5:$F$504,Q2705),0)),"")</f>
        <v/>
      </c>
      <c r="M2705" s="61" t="str">
        <f aca="false">IF(IsPro,IF($D2705="","",IF(AND(R2705&lt;&gt;"",INDEX(Parties!$E$5:$E$304,R2705)&lt;&gt;"",INDEX(Parties!$E$5:$E$304,R2705)&lt;&gt;HomeState),0,ROUND(K2705*L2705/2,2))),"")</f>
        <v/>
      </c>
      <c r="N2705" s="61" t="str">
        <f aca="false">IF(IsPro,IF($D2705="","",M2705),"")</f>
        <v/>
      </c>
      <c r="O2705" s="61" t="str">
        <f aca="false">IF(IsPro,IF($D2705="","",IF(AND(R2705&lt;&gt;"",INDEX(Parties!$E$5:$E$304,R2705)&lt;&gt;"",INDEX(Parties!$E$5:$E$304,R2705)&lt;&gt;HomeState),ROUND(K2705*L2705,2),0)),"")</f>
        <v/>
      </c>
      <c r="P2705" s="61" t="str">
        <f aca="false">IF(IsPro,IF($D2705="","",K2705+M2705+N2705+O2705),"")</f>
        <v/>
      </c>
      <c r="Q2705" s="60" t="str">
        <f aca="false">IF(IsPro,IF($D2705="","",IFERROR(MATCH($D2705,Items!$A$5:$A$504,0),"")),"")</f>
        <v/>
      </c>
      <c r="R2705" s="60" t="str">
        <f aca="false">IF(IsPro,IF($C2705="","",IFERROR(MATCH($C2705,Parties!$A$5:$A$304,0),"")),"")</f>
        <v/>
      </c>
      <c r="S2705" s="61" t="str">
        <f aca="false">IF(IsPro,IF($D2705="","",IF(OR($H2705="",$H2705="Credit"),0,P2705)),"")</f>
        <v/>
      </c>
    </row>
    <row r="2706" customFormat="false" ht="15" hidden="false" customHeight="false" outlineLevel="0" collapsed="false">
      <c r="A2706" s="55"/>
      <c r="B2706" s="56"/>
      <c r="C2706" s="56"/>
      <c r="D2706" s="56"/>
      <c r="E2706" s="57"/>
      <c r="F2706" s="58"/>
      <c r="G2706" s="59"/>
      <c r="H2706" s="56"/>
      <c r="I2706" s="60" t="str">
        <f aca="false">IF(IsPro,IF($D2706="","",IFERROR(INDEX(Items!$D$5:$D$504,Q2706),"")),IF($D2706="","","PRO PLAN"))</f>
        <v/>
      </c>
      <c r="J2706" s="61" t="str">
        <f aca="false">IF(IsPro,IF($D2706="","",IF($F2706="",IFERROR(INDEX(Items!$G$5:$G$504,Q2706),0),$F2706)),"")</f>
        <v/>
      </c>
      <c r="K2706" s="61" t="str">
        <f aca="false">IF(IsPro,IF($D2706="","",ROUND(N($E2706)*J2706*(1-N($G2706)),2)),"")</f>
        <v/>
      </c>
      <c r="L2706" s="62" t="str">
        <f aca="false">IF(IsPro,IF($D2706="","",IFERROR(INDEX(Items!$F$5:$F$504,Q2706),0)),"")</f>
        <v/>
      </c>
      <c r="M2706" s="61" t="str">
        <f aca="false">IF(IsPro,IF($D2706="","",IF(AND(R2706&lt;&gt;"",INDEX(Parties!$E$5:$E$304,R2706)&lt;&gt;"",INDEX(Parties!$E$5:$E$304,R2706)&lt;&gt;HomeState),0,ROUND(K2706*L2706/2,2))),"")</f>
        <v/>
      </c>
      <c r="N2706" s="61" t="str">
        <f aca="false">IF(IsPro,IF($D2706="","",M2706),"")</f>
        <v/>
      </c>
      <c r="O2706" s="61" t="str">
        <f aca="false">IF(IsPro,IF($D2706="","",IF(AND(R2706&lt;&gt;"",INDEX(Parties!$E$5:$E$304,R2706)&lt;&gt;"",INDEX(Parties!$E$5:$E$304,R2706)&lt;&gt;HomeState),ROUND(K2706*L2706,2),0)),"")</f>
        <v/>
      </c>
      <c r="P2706" s="61" t="str">
        <f aca="false">IF(IsPro,IF($D2706="","",K2706+M2706+N2706+O2706),"")</f>
        <v/>
      </c>
      <c r="Q2706" s="60" t="str">
        <f aca="false">IF(IsPro,IF($D2706="","",IFERROR(MATCH($D2706,Items!$A$5:$A$504,0),"")),"")</f>
        <v/>
      </c>
      <c r="R2706" s="60" t="str">
        <f aca="false">IF(IsPro,IF($C2706="","",IFERROR(MATCH($C2706,Parties!$A$5:$A$304,0),"")),"")</f>
        <v/>
      </c>
      <c r="S2706" s="61" t="str">
        <f aca="false">IF(IsPro,IF($D2706="","",IF(OR($H2706="",$H2706="Credit"),0,P2706)),"")</f>
        <v/>
      </c>
    </row>
    <row r="2707" customFormat="false" ht="15" hidden="false" customHeight="false" outlineLevel="0" collapsed="false">
      <c r="A2707" s="55"/>
      <c r="B2707" s="56"/>
      <c r="C2707" s="56"/>
      <c r="D2707" s="56"/>
      <c r="E2707" s="57"/>
      <c r="F2707" s="58"/>
      <c r="G2707" s="59"/>
      <c r="H2707" s="56"/>
      <c r="I2707" s="60" t="str">
        <f aca="false">IF(IsPro,IF($D2707="","",IFERROR(INDEX(Items!$D$5:$D$504,Q2707),"")),IF($D2707="","","PRO PLAN"))</f>
        <v/>
      </c>
      <c r="J2707" s="61" t="str">
        <f aca="false">IF(IsPro,IF($D2707="","",IF($F2707="",IFERROR(INDEX(Items!$G$5:$G$504,Q2707),0),$F2707)),"")</f>
        <v/>
      </c>
      <c r="K2707" s="61" t="str">
        <f aca="false">IF(IsPro,IF($D2707="","",ROUND(N($E2707)*J2707*(1-N($G2707)),2)),"")</f>
        <v/>
      </c>
      <c r="L2707" s="62" t="str">
        <f aca="false">IF(IsPro,IF($D2707="","",IFERROR(INDEX(Items!$F$5:$F$504,Q2707),0)),"")</f>
        <v/>
      </c>
      <c r="M2707" s="61" t="str">
        <f aca="false">IF(IsPro,IF($D2707="","",IF(AND(R2707&lt;&gt;"",INDEX(Parties!$E$5:$E$304,R2707)&lt;&gt;"",INDEX(Parties!$E$5:$E$304,R2707)&lt;&gt;HomeState),0,ROUND(K2707*L2707/2,2))),"")</f>
        <v/>
      </c>
      <c r="N2707" s="61" t="str">
        <f aca="false">IF(IsPro,IF($D2707="","",M2707),"")</f>
        <v/>
      </c>
      <c r="O2707" s="61" t="str">
        <f aca="false">IF(IsPro,IF($D2707="","",IF(AND(R2707&lt;&gt;"",INDEX(Parties!$E$5:$E$304,R2707)&lt;&gt;"",INDEX(Parties!$E$5:$E$304,R2707)&lt;&gt;HomeState),ROUND(K2707*L2707,2),0)),"")</f>
        <v/>
      </c>
      <c r="P2707" s="61" t="str">
        <f aca="false">IF(IsPro,IF($D2707="","",K2707+M2707+N2707+O2707),"")</f>
        <v/>
      </c>
      <c r="Q2707" s="60" t="str">
        <f aca="false">IF(IsPro,IF($D2707="","",IFERROR(MATCH($D2707,Items!$A$5:$A$504,0),"")),"")</f>
        <v/>
      </c>
      <c r="R2707" s="60" t="str">
        <f aca="false">IF(IsPro,IF($C2707="","",IFERROR(MATCH($C2707,Parties!$A$5:$A$304,0),"")),"")</f>
        <v/>
      </c>
      <c r="S2707" s="61" t="str">
        <f aca="false">IF(IsPro,IF($D2707="","",IF(OR($H2707="",$H2707="Credit"),0,P2707)),"")</f>
        <v/>
      </c>
    </row>
    <row r="2708" customFormat="false" ht="15" hidden="false" customHeight="false" outlineLevel="0" collapsed="false">
      <c r="A2708" s="55"/>
      <c r="B2708" s="56"/>
      <c r="C2708" s="56"/>
      <c r="D2708" s="56"/>
      <c r="E2708" s="57"/>
      <c r="F2708" s="58"/>
      <c r="G2708" s="59"/>
      <c r="H2708" s="56"/>
      <c r="I2708" s="60" t="str">
        <f aca="false">IF(IsPro,IF($D2708="","",IFERROR(INDEX(Items!$D$5:$D$504,Q2708),"")),IF($D2708="","","PRO PLAN"))</f>
        <v/>
      </c>
      <c r="J2708" s="61" t="str">
        <f aca="false">IF(IsPro,IF($D2708="","",IF($F2708="",IFERROR(INDEX(Items!$G$5:$G$504,Q2708),0),$F2708)),"")</f>
        <v/>
      </c>
      <c r="K2708" s="61" t="str">
        <f aca="false">IF(IsPro,IF($D2708="","",ROUND(N($E2708)*J2708*(1-N($G2708)),2)),"")</f>
        <v/>
      </c>
      <c r="L2708" s="62" t="str">
        <f aca="false">IF(IsPro,IF($D2708="","",IFERROR(INDEX(Items!$F$5:$F$504,Q2708),0)),"")</f>
        <v/>
      </c>
      <c r="M2708" s="61" t="str">
        <f aca="false">IF(IsPro,IF($D2708="","",IF(AND(R2708&lt;&gt;"",INDEX(Parties!$E$5:$E$304,R2708)&lt;&gt;"",INDEX(Parties!$E$5:$E$304,R2708)&lt;&gt;HomeState),0,ROUND(K2708*L2708/2,2))),"")</f>
        <v/>
      </c>
      <c r="N2708" s="61" t="str">
        <f aca="false">IF(IsPro,IF($D2708="","",M2708),"")</f>
        <v/>
      </c>
      <c r="O2708" s="61" t="str">
        <f aca="false">IF(IsPro,IF($D2708="","",IF(AND(R2708&lt;&gt;"",INDEX(Parties!$E$5:$E$304,R2708)&lt;&gt;"",INDEX(Parties!$E$5:$E$304,R2708)&lt;&gt;HomeState),ROUND(K2708*L2708,2),0)),"")</f>
        <v/>
      </c>
      <c r="P2708" s="61" t="str">
        <f aca="false">IF(IsPro,IF($D2708="","",K2708+M2708+N2708+O2708),"")</f>
        <v/>
      </c>
      <c r="Q2708" s="60" t="str">
        <f aca="false">IF(IsPro,IF($D2708="","",IFERROR(MATCH($D2708,Items!$A$5:$A$504,0),"")),"")</f>
        <v/>
      </c>
      <c r="R2708" s="60" t="str">
        <f aca="false">IF(IsPro,IF($C2708="","",IFERROR(MATCH($C2708,Parties!$A$5:$A$304,0),"")),"")</f>
        <v/>
      </c>
      <c r="S2708" s="61" t="str">
        <f aca="false">IF(IsPro,IF($D2708="","",IF(OR($H2708="",$H2708="Credit"),0,P2708)),"")</f>
        <v/>
      </c>
    </row>
    <row r="2709" customFormat="false" ht="15" hidden="false" customHeight="false" outlineLevel="0" collapsed="false">
      <c r="A2709" s="55"/>
      <c r="B2709" s="56"/>
      <c r="C2709" s="56"/>
      <c r="D2709" s="56"/>
      <c r="E2709" s="57"/>
      <c r="F2709" s="58"/>
      <c r="G2709" s="59"/>
      <c r="H2709" s="56"/>
      <c r="I2709" s="60" t="str">
        <f aca="false">IF(IsPro,IF($D2709="","",IFERROR(INDEX(Items!$D$5:$D$504,Q2709),"")),IF($D2709="","","PRO PLAN"))</f>
        <v/>
      </c>
      <c r="J2709" s="61" t="str">
        <f aca="false">IF(IsPro,IF($D2709="","",IF($F2709="",IFERROR(INDEX(Items!$G$5:$G$504,Q2709),0),$F2709)),"")</f>
        <v/>
      </c>
      <c r="K2709" s="61" t="str">
        <f aca="false">IF(IsPro,IF($D2709="","",ROUND(N($E2709)*J2709*(1-N($G2709)),2)),"")</f>
        <v/>
      </c>
      <c r="L2709" s="62" t="str">
        <f aca="false">IF(IsPro,IF($D2709="","",IFERROR(INDEX(Items!$F$5:$F$504,Q2709),0)),"")</f>
        <v/>
      </c>
      <c r="M2709" s="61" t="str">
        <f aca="false">IF(IsPro,IF($D2709="","",IF(AND(R2709&lt;&gt;"",INDEX(Parties!$E$5:$E$304,R2709)&lt;&gt;"",INDEX(Parties!$E$5:$E$304,R2709)&lt;&gt;HomeState),0,ROUND(K2709*L2709/2,2))),"")</f>
        <v/>
      </c>
      <c r="N2709" s="61" t="str">
        <f aca="false">IF(IsPro,IF($D2709="","",M2709),"")</f>
        <v/>
      </c>
      <c r="O2709" s="61" t="str">
        <f aca="false">IF(IsPro,IF($D2709="","",IF(AND(R2709&lt;&gt;"",INDEX(Parties!$E$5:$E$304,R2709)&lt;&gt;"",INDEX(Parties!$E$5:$E$304,R2709)&lt;&gt;HomeState),ROUND(K2709*L2709,2),0)),"")</f>
        <v/>
      </c>
      <c r="P2709" s="61" t="str">
        <f aca="false">IF(IsPro,IF($D2709="","",K2709+M2709+N2709+O2709),"")</f>
        <v/>
      </c>
      <c r="Q2709" s="60" t="str">
        <f aca="false">IF(IsPro,IF($D2709="","",IFERROR(MATCH($D2709,Items!$A$5:$A$504,0),"")),"")</f>
        <v/>
      </c>
      <c r="R2709" s="60" t="str">
        <f aca="false">IF(IsPro,IF($C2709="","",IFERROR(MATCH($C2709,Parties!$A$5:$A$304,0),"")),"")</f>
        <v/>
      </c>
      <c r="S2709" s="61" t="str">
        <f aca="false">IF(IsPro,IF($D2709="","",IF(OR($H2709="",$H2709="Credit"),0,P2709)),"")</f>
        <v/>
      </c>
    </row>
    <row r="2710" customFormat="false" ht="15" hidden="false" customHeight="false" outlineLevel="0" collapsed="false">
      <c r="A2710" s="55"/>
      <c r="B2710" s="56"/>
      <c r="C2710" s="56"/>
      <c r="D2710" s="56"/>
      <c r="E2710" s="57"/>
      <c r="F2710" s="58"/>
      <c r="G2710" s="59"/>
      <c r="H2710" s="56"/>
      <c r="I2710" s="60" t="str">
        <f aca="false">IF(IsPro,IF($D2710="","",IFERROR(INDEX(Items!$D$5:$D$504,Q2710),"")),IF($D2710="","","PRO PLAN"))</f>
        <v/>
      </c>
      <c r="J2710" s="61" t="str">
        <f aca="false">IF(IsPro,IF($D2710="","",IF($F2710="",IFERROR(INDEX(Items!$G$5:$G$504,Q2710),0),$F2710)),"")</f>
        <v/>
      </c>
      <c r="K2710" s="61" t="str">
        <f aca="false">IF(IsPro,IF($D2710="","",ROUND(N($E2710)*J2710*(1-N($G2710)),2)),"")</f>
        <v/>
      </c>
      <c r="L2710" s="62" t="str">
        <f aca="false">IF(IsPro,IF($D2710="","",IFERROR(INDEX(Items!$F$5:$F$504,Q2710),0)),"")</f>
        <v/>
      </c>
      <c r="M2710" s="61" t="str">
        <f aca="false">IF(IsPro,IF($D2710="","",IF(AND(R2710&lt;&gt;"",INDEX(Parties!$E$5:$E$304,R2710)&lt;&gt;"",INDEX(Parties!$E$5:$E$304,R2710)&lt;&gt;HomeState),0,ROUND(K2710*L2710/2,2))),"")</f>
        <v/>
      </c>
      <c r="N2710" s="61" t="str">
        <f aca="false">IF(IsPro,IF($D2710="","",M2710),"")</f>
        <v/>
      </c>
      <c r="O2710" s="61" t="str">
        <f aca="false">IF(IsPro,IF($D2710="","",IF(AND(R2710&lt;&gt;"",INDEX(Parties!$E$5:$E$304,R2710)&lt;&gt;"",INDEX(Parties!$E$5:$E$304,R2710)&lt;&gt;HomeState),ROUND(K2710*L2710,2),0)),"")</f>
        <v/>
      </c>
      <c r="P2710" s="61" t="str">
        <f aca="false">IF(IsPro,IF($D2710="","",K2710+M2710+N2710+O2710),"")</f>
        <v/>
      </c>
      <c r="Q2710" s="60" t="str">
        <f aca="false">IF(IsPro,IF($D2710="","",IFERROR(MATCH($D2710,Items!$A$5:$A$504,0),"")),"")</f>
        <v/>
      </c>
      <c r="R2710" s="60" t="str">
        <f aca="false">IF(IsPro,IF($C2710="","",IFERROR(MATCH($C2710,Parties!$A$5:$A$304,0),"")),"")</f>
        <v/>
      </c>
      <c r="S2710" s="61" t="str">
        <f aca="false">IF(IsPro,IF($D2710="","",IF(OR($H2710="",$H2710="Credit"),0,P2710)),"")</f>
        <v/>
      </c>
    </row>
    <row r="2711" customFormat="false" ht="15" hidden="false" customHeight="false" outlineLevel="0" collapsed="false">
      <c r="A2711" s="55"/>
      <c r="B2711" s="56"/>
      <c r="C2711" s="56"/>
      <c r="D2711" s="56"/>
      <c r="E2711" s="57"/>
      <c r="F2711" s="58"/>
      <c r="G2711" s="59"/>
      <c r="H2711" s="56"/>
      <c r="I2711" s="60" t="str">
        <f aca="false">IF(IsPro,IF($D2711="","",IFERROR(INDEX(Items!$D$5:$D$504,Q2711),"")),IF($D2711="","","PRO PLAN"))</f>
        <v/>
      </c>
      <c r="J2711" s="61" t="str">
        <f aca="false">IF(IsPro,IF($D2711="","",IF($F2711="",IFERROR(INDEX(Items!$G$5:$G$504,Q2711),0),$F2711)),"")</f>
        <v/>
      </c>
      <c r="K2711" s="61" t="str">
        <f aca="false">IF(IsPro,IF($D2711="","",ROUND(N($E2711)*J2711*(1-N($G2711)),2)),"")</f>
        <v/>
      </c>
      <c r="L2711" s="62" t="str">
        <f aca="false">IF(IsPro,IF($D2711="","",IFERROR(INDEX(Items!$F$5:$F$504,Q2711),0)),"")</f>
        <v/>
      </c>
      <c r="M2711" s="61" t="str">
        <f aca="false">IF(IsPro,IF($D2711="","",IF(AND(R2711&lt;&gt;"",INDEX(Parties!$E$5:$E$304,R2711)&lt;&gt;"",INDEX(Parties!$E$5:$E$304,R2711)&lt;&gt;HomeState),0,ROUND(K2711*L2711/2,2))),"")</f>
        <v/>
      </c>
      <c r="N2711" s="61" t="str">
        <f aca="false">IF(IsPro,IF($D2711="","",M2711),"")</f>
        <v/>
      </c>
      <c r="O2711" s="61" t="str">
        <f aca="false">IF(IsPro,IF($D2711="","",IF(AND(R2711&lt;&gt;"",INDEX(Parties!$E$5:$E$304,R2711)&lt;&gt;"",INDEX(Parties!$E$5:$E$304,R2711)&lt;&gt;HomeState),ROUND(K2711*L2711,2),0)),"")</f>
        <v/>
      </c>
      <c r="P2711" s="61" t="str">
        <f aca="false">IF(IsPro,IF($D2711="","",K2711+M2711+N2711+O2711),"")</f>
        <v/>
      </c>
      <c r="Q2711" s="60" t="str">
        <f aca="false">IF(IsPro,IF($D2711="","",IFERROR(MATCH($D2711,Items!$A$5:$A$504,0),"")),"")</f>
        <v/>
      </c>
      <c r="R2711" s="60" t="str">
        <f aca="false">IF(IsPro,IF($C2711="","",IFERROR(MATCH($C2711,Parties!$A$5:$A$304,0),"")),"")</f>
        <v/>
      </c>
      <c r="S2711" s="61" t="str">
        <f aca="false">IF(IsPro,IF($D2711="","",IF(OR($H2711="",$H2711="Credit"),0,P2711)),"")</f>
        <v/>
      </c>
    </row>
    <row r="2712" customFormat="false" ht="15" hidden="false" customHeight="false" outlineLevel="0" collapsed="false">
      <c r="A2712" s="55"/>
      <c r="B2712" s="56"/>
      <c r="C2712" s="56"/>
      <c r="D2712" s="56"/>
      <c r="E2712" s="57"/>
      <c r="F2712" s="58"/>
      <c r="G2712" s="59"/>
      <c r="H2712" s="56"/>
      <c r="I2712" s="60" t="str">
        <f aca="false">IF(IsPro,IF($D2712="","",IFERROR(INDEX(Items!$D$5:$D$504,Q2712),"")),IF($D2712="","","PRO PLAN"))</f>
        <v/>
      </c>
      <c r="J2712" s="61" t="str">
        <f aca="false">IF(IsPro,IF($D2712="","",IF($F2712="",IFERROR(INDEX(Items!$G$5:$G$504,Q2712),0),$F2712)),"")</f>
        <v/>
      </c>
      <c r="K2712" s="61" t="str">
        <f aca="false">IF(IsPro,IF($D2712="","",ROUND(N($E2712)*J2712*(1-N($G2712)),2)),"")</f>
        <v/>
      </c>
      <c r="L2712" s="62" t="str">
        <f aca="false">IF(IsPro,IF($D2712="","",IFERROR(INDEX(Items!$F$5:$F$504,Q2712),0)),"")</f>
        <v/>
      </c>
      <c r="M2712" s="61" t="str">
        <f aca="false">IF(IsPro,IF($D2712="","",IF(AND(R2712&lt;&gt;"",INDEX(Parties!$E$5:$E$304,R2712)&lt;&gt;"",INDEX(Parties!$E$5:$E$304,R2712)&lt;&gt;HomeState),0,ROUND(K2712*L2712/2,2))),"")</f>
        <v/>
      </c>
      <c r="N2712" s="61" t="str">
        <f aca="false">IF(IsPro,IF($D2712="","",M2712),"")</f>
        <v/>
      </c>
      <c r="O2712" s="61" t="str">
        <f aca="false">IF(IsPro,IF($D2712="","",IF(AND(R2712&lt;&gt;"",INDEX(Parties!$E$5:$E$304,R2712)&lt;&gt;"",INDEX(Parties!$E$5:$E$304,R2712)&lt;&gt;HomeState),ROUND(K2712*L2712,2),0)),"")</f>
        <v/>
      </c>
      <c r="P2712" s="61" t="str">
        <f aca="false">IF(IsPro,IF($D2712="","",K2712+M2712+N2712+O2712),"")</f>
        <v/>
      </c>
      <c r="Q2712" s="60" t="str">
        <f aca="false">IF(IsPro,IF($D2712="","",IFERROR(MATCH($D2712,Items!$A$5:$A$504,0),"")),"")</f>
        <v/>
      </c>
      <c r="R2712" s="60" t="str">
        <f aca="false">IF(IsPro,IF($C2712="","",IFERROR(MATCH($C2712,Parties!$A$5:$A$304,0),"")),"")</f>
        <v/>
      </c>
      <c r="S2712" s="61" t="str">
        <f aca="false">IF(IsPro,IF($D2712="","",IF(OR($H2712="",$H2712="Credit"),0,P2712)),"")</f>
        <v/>
      </c>
    </row>
    <row r="2713" customFormat="false" ht="15" hidden="false" customHeight="false" outlineLevel="0" collapsed="false">
      <c r="A2713" s="55"/>
      <c r="B2713" s="56"/>
      <c r="C2713" s="56"/>
      <c r="D2713" s="56"/>
      <c r="E2713" s="57"/>
      <c r="F2713" s="58"/>
      <c r="G2713" s="59"/>
      <c r="H2713" s="56"/>
      <c r="I2713" s="60" t="str">
        <f aca="false">IF(IsPro,IF($D2713="","",IFERROR(INDEX(Items!$D$5:$D$504,Q2713),"")),IF($D2713="","","PRO PLAN"))</f>
        <v/>
      </c>
      <c r="J2713" s="61" t="str">
        <f aca="false">IF(IsPro,IF($D2713="","",IF($F2713="",IFERROR(INDEX(Items!$G$5:$G$504,Q2713),0),$F2713)),"")</f>
        <v/>
      </c>
      <c r="K2713" s="61" t="str">
        <f aca="false">IF(IsPro,IF($D2713="","",ROUND(N($E2713)*J2713*(1-N($G2713)),2)),"")</f>
        <v/>
      </c>
      <c r="L2713" s="62" t="str">
        <f aca="false">IF(IsPro,IF($D2713="","",IFERROR(INDEX(Items!$F$5:$F$504,Q2713),0)),"")</f>
        <v/>
      </c>
      <c r="M2713" s="61" t="str">
        <f aca="false">IF(IsPro,IF($D2713="","",IF(AND(R2713&lt;&gt;"",INDEX(Parties!$E$5:$E$304,R2713)&lt;&gt;"",INDEX(Parties!$E$5:$E$304,R2713)&lt;&gt;HomeState),0,ROUND(K2713*L2713/2,2))),"")</f>
        <v/>
      </c>
      <c r="N2713" s="61" t="str">
        <f aca="false">IF(IsPro,IF($D2713="","",M2713),"")</f>
        <v/>
      </c>
      <c r="O2713" s="61" t="str">
        <f aca="false">IF(IsPro,IF($D2713="","",IF(AND(R2713&lt;&gt;"",INDEX(Parties!$E$5:$E$304,R2713)&lt;&gt;"",INDEX(Parties!$E$5:$E$304,R2713)&lt;&gt;HomeState),ROUND(K2713*L2713,2),0)),"")</f>
        <v/>
      </c>
      <c r="P2713" s="61" t="str">
        <f aca="false">IF(IsPro,IF($D2713="","",K2713+M2713+N2713+O2713),"")</f>
        <v/>
      </c>
      <c r="Q2713" s="60" t="str">
        <f aca="false">IF(IsPro,IF($D2713="","",IFERROR(MATCH($D2713,Items!$A$5:$A$504,0),"")),"")</f>
        <v/>
      </c>
      <c r="R2713" s="60" t="str">
        <f aca="false">IF(IsPro,IF($C2713="","",IFERROR(MATCH($C2713,Parties!$A$5:$A$304,0),"")),"")</f>
        <v/>
      </c>
      <c r="S2713" s="61" t="str">
        <f aca="false">IF(IsPro,IF($D2713="","",IF(OR($H2713="",$H2713="Credit"),0,P2713)),"")</f>
        <v/>
      </c>
    </row>
    <row r="2714" customFormat="false" ht="15" hidden="false" customHeight="false" outlineLevel="0" collapsed="false">
      <c r="A2714" s="55"/>
      <c r="B2714" s="56"/>
      <c r="C2714" s="56"/>
      <c r="D2714" s="56"/>
      <c r="E2714" s="57"/>
      <c r="F2714" s="58"/>
      <c r="G2714" s="59"/>
      <c r="H2714" s="56"/>
      <c r="I2714" s="60" t="str">
        <f aca="false">IF(IsPro,IF($D2714="","",IFERROR(INDEX(Items!$D$5:$D$504,Q2714),"")),IF($D2714="","","PRO PLAN"))</f>
        <v/>
      </c>
      <c r="J2714" s="61" t="str">
        <f aca="false">IF(IsPro,IF($D2714="","",IF($F2714="",IFERROR(INDEX(Items!$G$5:$G$504,Q2714),0),$F2714)),"")</f>
        <v/>
      </c>
      <c r="K2714" s="61" t="str">
        <f aca="false">IF(IsPro,IF($D2714="","",ROUND(N($E2714)*J2714*(1-N($G2714)),2)),"")</f>
        <v/>
      </c>
      <c r="L2714" s="62" t="str">
        <f aca="false">IF(IsPro,IF($D2714="","",IFERROR(INDEX(Items!$F$5:$F$504,Q2714),0)),"")</f>
        <v/>
      </c>
      <c r="M2714" s="61" t="str">
        <f aca="false">IF(IsPro,IF($D2714="","",IF(AND(R2714&lt;&gt;"",INDEX(Parties!$E$5:$E$304,R2714)&lt;&gt;"",INDEX(Parties!$E$5:$E$304,R2714)&lt;&gt;HomeState),0,ROUND(K2714*L2714/2,2))),"")</f>
        <v/>
      </c>
      <c r="N2714" s="61" t="str">
        <f aca="false">IF(IsPro,IF($D2714="","",M2714),"")</f>
        <v/>
      </c>
      <c r="O2714" s="61" t="str">
        <f aca="false">IF(IsPro,IF($D2714="","",IF(AND(R2714&lt;&gt;"",INDEX(Parties!$E$5:$E$304,R2714)&lt;&gt;"",INDEX(Parties!$E$5:$E$304,R2714)&lt;&gt;HomeState),ROUND(K2714*L2714,2),0)),"")</f>
        <v/>
      </c>
      <c r="P2714" s="61" t="str">
        <f aca="false">IF(IsPro,IF($D2714="","",K2714+M2714+N2714+O2714),"")</f>
        <v/>
      </c>
      <c r="Q2714" s="60" t="str">
        <f aca="false">IF(IsPro,IF($D2714="","",IFERROR(MATCH($D2714,Items!$A$5:$A$504,0),"")),"")</f>
        <v/>
      </c>
      <c r="R2714" s="60" t="str">
        <f aca="false">IF(IsPro,IF($C2714="","",IFERROR(MATCH($C2714,Parties!$A$5:$A$304,0),"")),"")</f>
        <v/>
      </c>
      <c r="S2714" s="61" t="str">
        <f aca="false">IF(IsPro,IF($D2714="","",IF(OR($H2714="",$H2714="Credit"),0,P2714)),"")</f>
        <v/>
      </c>
    </row>
    <row r="2715" customFormat="false" ht="15" hidden="false" customHeight="false" outlineLevel="0" collapsed="false">
      <c r="A2715" s="55"/>
      <c r="B2715" s="56"/>
      <c r="C2715" s="56"/>
      <c r="D2715" s="56"/>
      <c r="E2715" s="57"/>
      <c r="F2715" s="58"/>
      <c r="G2715" s="59"/>
      <c r="H2715" s="56"/>
      <c r="I2715" s="60" t="str">
        <f aca="false">IF(IsPro,IF($D2715="","",IFERROR(INDEX(Items!$D$5:$D$504,Q2715),"")),IF($D2715="","","PRO PLAN"))</f>
        <v/>
      </c>
      <c r="J2715" s="61" t="str">
        <f aca="false">IF(IsPro,IF($D2715="","",IF($F2715="",IFERROR(INDEX(Items!$G$5:$G$504,Q2715),0),$F2715)),"")</f>
        <v/>
      </c>
      <c r="K2715" s="61" t="str">
        <f aca="false">IF(IsPro,IF($D2715="","",ROUND(N($E2715)*J2715*(1-N($G2715)),2)),"")</f>
        <v/>
      </c>
      <c r="L2715" s="62" t="str">
        <f aca="false">IF(IsPro,IF($D2715="","",IFERROR(INDEX(Items!$F$5:$F$504,Q2715),0)),"")</f>
        <v/>
      </c>
      <c r="M2715" s="61" t="str">
        <f aca="false">IF(IsPro,IF($D2715="","",IF(AND(R2715&lt;&gt;"",INDEX(Parties!$E$5:$E$304,R2715)&lt;&gt;"",INDEX(Parties!$E$5:$E$304,R2715)&lt;&gt;HomeState),0,ROUND(K2715*L2715/2,2))),"")</f>
        <v/>
      </c>
      <c r="N2715" s="61" t="str">
        <f aca="false">IF(IsPro,IF($D2715="","",M2715),"")</f>
        <v/>
      </c>
      <c r="O2715" s="61" t="str">
        <f aca="false">IF(IsPro,IF($D2715="","",IF(AND(R2715&lt;&gt;"",INDEX(Parties!$E$5:$E$304,R2715)&lt;&gt;"",INDEX(Parties!$E$5:$E$304,R2715)&lt;&gt;HomeState),ROUND(K2715*L2715,2),0)),"")</f>
        <v/>
      </c>
      <c r="P2715" s="61" t="str">
        <f aca="false">IF(IsPro,IF($D2715="","",K2715+M2715+N2715+O2715),"")</f>
        <v/>
      </c>
      <c r="Q2715" s="60" t="str">
        <f aca="false">IF(IsPro,IF($D2715="","",IFERROR(MATCH($D2715,Items!$A$5:$A$504,0),"")),"")</f>
        <v/>
      </c>
      <c r="R2715" s="60" t="str">
        <f aca="false">IF(IsPro,IF($C2715="","",IFERROR(MATCH($C2715,Parties!$A$5:$A$304,0),"")),"")</f>
        <v/>
      </c>
      <c r="S2715" s="61" t="str">
        <f aca="false">IF(IsPro,IF($D2715="","",IF(OR($H2715="",$H2715="Credit"),0,P2715)),"")</f>
        <v/>
      </c>
    </row>
    <row r="2716" customFormat="false" ht="15" hidden="false" customHeight="false" outlineLevel="0" collapsed="false">
      <c r="A2716" s="55"/>
      <c r="B2716" s="56"/>
      <c r="C2716" s="56"/>
      <c r="D2716" s="56"/>
      <c r="E2716" s="57"/>
      <c r="F2716" s="58"/>
      <c r="G2716" s="59"/>
      <c r="H2716" s="56"/>
      <c r="I2716" s="60" t="str">
        <f aca="false">IF(IsPro,IF($D2716="","",IFERROR(INDEX(Items!$D$5:$D$504,Q2716),"")),IF($D2716="","","PRO PLAN"))</f>
        <v/>
      </c>
      <c r="J2716" s="61" t="str">
        <f aca="false">IF(IsPro,IF($D2716="","",IF($F2716="",IFERROR(INDEX(Items!$G$5:$G$504,Q2716),0),$F2716)),"")</f>
        <v/>
      </c>
      <c r="K2716" s="61" t="str">
        <f aca="false">IF(IsPro,IF($D2716="","",ROUND(N($E2716)*J2716*(1-N($G2716)),2)),"")</f>
        <v/>
      </c>
      <c r="L2716" s="62" t="str">
        <f aca="false">IF(IsPro,IF($D2716="","",IFERROR(INDEX(Items!$F$5:$F$504,Q2716),0)),"")</f>
        <v/>
      </c>
      <c r="M2716" s="61" t="str">
        <f aca="false">IF(IsPro,IF($D2716="","",IF(AND(R2716&lt;&gt;"",INDEX(Parties!$E$5:$E$304,R2716)&lt;&gt;"",INDEX(Parties!$E$5:$E$304,R2716)&lt;&gt;HomeState),0,ROUND(K2716*L2716/2,2))),"")</f>
        <v/>
      </c>
      <c r="N2716" s="61" t="str">
        <f aca="false">IF(IsPro,IF($D2716="","",M2716),"")</f>
        <v/>
      </c>
      <c r="O2716" s="61" t="str">
        <f aca="false">IF(IsPro,IF($D2716="","",IF(AND(R2716&lt;&gt;"",INDEX(Parties!$E$5:$E$304,R2716)&lt;&gt;"",INDEX(Parties!$E$5:$E$304,R2716)&lt;&gt;HomeState),ROUND(K2716*L2716,2),0)),"")</f>
        <v/>
      </c>
      <c r="P2716" s="61" t="str">
        <f aca="false">IF(IsPro,IF($D2716="","",K2716+M2716+N2716+O2716),"")</f>
        <v/>
      </c>
      <c r="Q2716" s="60" t="str">
        <f aca="false">IF(IsPro,IF($D2716="","",IFERROR(MATCH($D2716,Items!$A$5:$A$504,0),"")),"")</f>
        <v/>
      </c>
      <c r="R2716" s="60" t="str">
        <f aca="false">IF(IsPro,IF($C2716="","",IFERROR(MATCH($C2716,Parties!$A$5:$A$304,0),"")),"")</f>
        <v/>
      </c>
      <c r="S2716" s="61" t="str">
        <f aca="false">IF(IsPro,IF($D2716="","",IF(OR($H2716="",$H2716="Credit"),0,P2716)),"")</f>
        <v/>
      </c>
    </row>
    <row r="2717" customFormat="false" ht="15" hidden="false" customHeight="false" outlineLevel="0" collapsed="false">
      <c r="A2717" s="55"/>
      <c r="B2717" s="56"/>
      <c r="C2717" s="56"/>
      <c r="D2717" s="56"/>
      <c r="E2717" s="57"/>
      <c r="F2717" s="58"/>
      <c r="G2717" s="59"/>
      <c r="H2717" s="56"/>
      <c r="I2717" s="60" t="str">
        <f aca="false">IF(IsPro,IF($D2717="","",IFERROR(INDEX(Items!$D$5:$D$504,Q2717),"")),IF($D2717="","","PRO PLAN"))</f>
        <v/>
      </c>
      <c r="J2717" s="61" t="str">
        <f aca="false">IF(IsPro,IF($D2717="","",IF($F2717="",IFERROR(INDEX(Items!$G$5:$G$504,Q2717),0),$F2717)),"")</f>
        <v/>
      </c>
      <c r="K2717" s="61" t="str">
        <f aca="false">IF(IsPro,IF($D2717="","",ROUND(N($E2717)*J2717*(1-N($G2717)),2)),"")</f>
        <v/>
      </c>
      <c r="L2717" s="62" t="str">
        <f aca="false">IF(IsPro,IF($D2717="","",IFERROR(INDEX(Items!$F$5:$F$504,Q2717),0)),"")</f>
        <v/>
      </c>
      <c r="M2717" s="61" t="str">
        <f aca="false">IF(IsPro,IF($D2717="","",IF(AND(R2717&lt;&gt;"",INDEX(Parties!$E$5:$E$304,R2717)&lt;&gt;"",INDEX(Parties!$E$5:$E$304,R2717)&lt;&gt;HomeState),0,ROUND(K2717*L2717/2,2))),"")</f>
        <v/>
      </c>
      <c r="N2717" s="61" t="str">
        <f aca="false">IF(IsPro,IF($D2717="","",M2717),"")</f>
        <v/>
      </c>
      <c r="O2717" s="61" t="str">
        <f aca="false">IF(IsPro,IF($D2717="","",IF(AND(R2717&lt;&gt;"",INDEX(Parties!$E$5:$E$304,R2717)&lt;&gt;"",INDEX(Parties!$E$5:$E$304,R2717)&lt;&gt;HomeState),ROUND(K2717*L2717,2),0)),"")</f>
        <v/>
      </c>
      <c r="P2717" s="61" t="str">
        <f aca="false">IF(IsPro,IF($D2717="","",K2717+M2717+N2717+O2717),"")</f>
        <v/>
      </c>
      <c r="Q2717" s="60" t="str">
        <f aca="false">IF(IsPro,IF($D2717="","",IFERROR(MATCH($D2717,Items!$A$5:$A$504,0),"")),"")</f>
        <v/>
      </c>
      <c r="R2717" s="60" t="str">
        <f aca="false">IF(IsPro,IF($C2717="","",IFERROR(MATCH($C2717,Parties!$A$5:$A$304,0),"")),"")</f>
        <v/>
      </c>
      <c r="S2717" s="61" t="str">
        <f aca="false">IF(IsPro,IF($D2717="","",IF(OR($H2717="",$H2717="Credit"),0,P2717)),"")</f>
        <v/>
      </c>
    </row>
    <row r="2718" customFormat="false" ht="15" hidden="false" customHeight="false" outlineLevel="0" collapsed="false">
      <c r="A2718" s="55"/>
      <c r="B2718" s="56"/>
      <c r="C2718" s="56"/>
      <c r="D2718" s="56"/>
      <c r="E2718" s="57"/>
      <c r="F2718" s="58"/>
      <c r="G2718" s="59"/>
      <c r="H2718" s="56"/>
      <c r="I2718" s="60" t="str">
        <f aca="false">IF(IsPro,IF($D2718="","",IFERROR(INDEX(Items!$D$5:$D$504,Q2718),"")),IF($D2718="","","PRO PLAN"))</f>
        <v/>
      </c>
      <c r="J2718" s="61" t="str">
        <f aca="false">IF(IsPro,IF($D2718="","",IF($F2718="",IFERROR(INDEX(Items!$G$5:$G$504,Q2718),0),$F2718)),"")</f>
        <v/>
      </c>
      <c r="K2718" s="61" t="str">
        <f aca="false">IF(IsPro,IF($D2718="","",ROUND(N($E2718)*J2718*(1-N($G2718)),2)),"")</f>
        <v/>
      </c>
      <c r="L2718" s="62" t="str">
        <f aca="false">IF(IsPro,IF($D2718="","",IFERROR(INDEX(Items!$F$5:$F$504,Q2718),0)),"")</f>
        <v/>
      </c>
      <c r="M2718" s="61" t="str">
        <f aca="false">IF(IsPro,IF($D2718="","",IF(AND(R2718&lt;&gt;"",INDEX(Parties!$E$5:$E$304,R2718)&lt;&gt;"",INDEX(Parties!$E$5:$E$304,R2718)&lt;&gt;HomeState),0,ROUND(K2718*L2718/2,2))),"")</f>
        <v/>
      </c>
      <c r="N2718" s="61" t="str">
        <f aca="false">IF(IsPro,IF($D2718="","",M2718),"")</f>
        <v/>
      </c>
      <c r="O2718" s="61" t="str">
        <f aca="false">IF(IsPro,IF($D2718="","",IF(AND(R2718&lt;&gt;"",INDEX(Parties!$E$5:$E$304,R2718)&lt;&gt;"",INDEX(Parties!$E$5:$E$304,R2718)&lt;&gt;HomeState),ROUND(K2718*L2718,2),0)),"")</f>
        <v/>
      </c>
      <c r="P2718" s="61" t="str">
        <f aca="false">IF(IsPro,IF($D2718="","",K2718+M2718+N2718+O2718),"")</f>
        <v/>
      </c>
      <c r="Q2718" s="60" t="str">
        <f aca="false">IF(IsPro,IF($D2718="","",IFERROR(MATCH($D2718,Items!$A$5:$A$504,0),"")),"")</f>
        <v/>
      </c>
      <c r="R2718" s="60" t="str">
        <f aca="false">IF(IsPro,IF($C2718="","",IFERROR(MATCH($C2718,Parties!$A$5:$A$304,0),"")),"")</f>
        <v/>
      </c>
      <c r="S2718" s="61" t="str">
        <f aca="false">IF(IsPro,IF($D2718="","",IF(OR($H2718="",$H2718="Credit"),0,P2718)),"")</f>
        <v/>
      </c>
    </row>
    <row r="2719" customFormat="false" ht="15" hidden="false" customHeight="false" outlineLevel="0" collapsed="false">
      <c r="A2719" s="55"/>
      <c r="B2719" s="56"/>
      <c r="C2719" s="56"/>
      <c r="D2719" s="56"/>
      <c r="E2719" s="57"/>
      <c r="F2719" s="58"/>
      <c r="G2719" s="59"/>
      <c r="H2719" s="56"/>
      <c r="I2719" s="60" t="str">
        <f aca="false">IF(IsPro,IF($D2719="","",IFERROR(INDEX(Items!$D$5:$D$504,Q2719),"")),IF($D2719="","","PRO PLAN"))</f>
        <v/>
      </c>
      <c r="J2719" s="61" t="str">
        <f aca="false">IF(IsPro,IF($D2719="","",IF($F2719="",IFERROR(INDEX(Items!$G$5:$G$504,Q2719),0),$F2719)),"")</f>
        <v/>
      </c>
      <c r="K2719" s="61" t="str">
        <f aca="false">IF(IsPro,IF($D2719="","",ROUND(N($E2719)*J2719*(1-N($G2719)),2)),"")</f>
        <v/>
      </c>
      <c r="L2719" s="62" t="str">
        <f aca="false">IF(IsPro,IF($D2719="","",IFERROR(INDEX(Items!$F$5:$F$504,Q2719),0)),"")</f>
        <v/>
      </c>
      <c r="M2719" s="61" t="str">
        <f aca="false">IF(IsPro,IF($D2719="","",IF(AND(R2719&lt;&gt;"",INDEX(Parties!$E$5:$E$304,R2719)&lt;&gt;"",INDEX(Parties!$E$5:$E$304,R2719)&lt;&gt;HomeState),0,ROUND(K2719*L2719/2,2))),"")</f>
        <v/>
      </c>
      <c r="N2719" s="61" t="str">
        <f aca="false">IF(IsPro,IF($D2719="","",M2719),"")</f>
        <v/>
      </c>
      <c r="O2719" s="61" t="str">
        <f aca="false">IF(IsPro,IF($D2719="","",IF(AND(R2719&lt;&gt;"",INDEX(Parties!$E$5:$E$304,R2719)&lt;&gt;"",INDEX(Parties!$E$5:$E$304,R2719)&lt;&gt;HomeState),ROUND(K2719*L2719,2),0)),"")</f>
        <v/>
      </c>
      <c r="P2719" s="61" t="str">
        <f aca="false">IF(IsPro,IF($D2719="","",K2719+M2719+N2719+O2719),"")</f>
        <v/>
      </c>
      <c r="Q2719" s="60" t="str">
        <f aca="false">IF(IsPro,IF($D2719="","",IFERROR(MATCH($D2719,Items!$A$5:$A$504,0),"")),"")</f>
        <v/>
      </c>
      <c r="R2719" s="60" t="str">
        <f aca="false">IF(IsPro,IF($C2719="","",IFERROR(MATCH($C2719,Parties!$A$5:$A$304,0),"")),"")</f>
        <v/>
      </c>
      <c r="S2719" s="61" t="str">
        <f aca="false">IF(IsPro,IF($D2719="","",IF(OR($H2719="",$H2719="Credit"),0,P2719)),"")</f>
        <v/>
      </c>
    </row>
    <row r="2720" customFormat="false" ht="15" hidden="false" customHeight="false" outlineLevel="0" collapsed="false">
      <c r="A2720" s="55"/>
      <c r="B2720" s="56"/>
      <c r="C2720" s="56"/>
      <c r="D2720" s="56"/>
      <c r="E2720" s="57"/>
      <c r="F2720" s="58"/>
      <c r="G2720" s="59"/>
      <c r="H2720" s="56"/>
      <c r="I2720" s="60" t="str">
        <f aca="false">IF(IsPro,IF($D2720="","",IFERROR(INDEX(Items!$D$5:$D$504,Q2720),"")),IF($D2720="","","PRO PLAN"))</f>
        <v/>
      </c>
      <c r="J2720" s="61" t="str">
        <f aca="false">IF(IsPro,IF($D2720="","",IF($F2720="",IFERROR(INDEX(Items!$G$5:$G$504,Q2720),0),$F2720)),"")</f>
        <v/>
      </c>
      <c r="K2720" s="61" t="str">
        <f aca="false">IF(IsPro,IF($D2720="","",ROUND(N($E2720)*J2720*(1-N($G2720)),2)),"")</f>
        <v/>
      </c>
      <c r="L2720" s="62" t="str">
        <f aca="false">IF(IsPro,IF($D2720="","",IFERROR(INDEX(Items!$F$5:$F$504,Q2720),0)),"")</f>
        <v/>
      </c>
      <c r="M2720" s="61" t="str">
        <f aca="false">IF(IsPro,IF($D2720="","",IF(AND(R2720&lt;&gt;"",INDEX(Parties!$E$5:$E$304,R2720)&lt;&gt;"",INDEX(Parties!$E$5:$E$304,R2720)&lt;&gt;HomeState),0,ROUND(K2720*L2720/2,2))),"")</f>
        <v/>
      </c>
      <c r="N2720" s="61" t="str">
        <f aca="false">IF(IsPro,IF($D2720="","",M2720),"")</f>
        <v/>
      </c>
      <c r="O2720" s="61" t="str">
        <f aca="false">IF(IsPro,IF($D2720="","",IF(AND(R2720&lt;&gt;"",INDEX(Parties!$E$5:$E$304,R2720)&lt;&gt;"",INDEX(Parties!$E$5:$E$304,R2720)&lt;&gt;HomeState),ROUND(K2720*L2720,2),0)),"")</f>
        <v/>
      </c>
      <c r="P2720" s="61" t="str">
        <f aca="false">IF(IsPro,IF($D2720="","",K2720+M2720+N2720+O2720),"")</f>
        <v/>
      </c>
      <c r="Q2720" s="60" t="str">
        <f aca="false">IF(IsPro,IF($D2720="","",IFERROR(MATCH($D2720,Items!$A$5:$A$504,0),"")),"")</f>
        <v/>
      </c>
      <c r="R2720" s="60" t="str">
        <f aca="false">IF(IsPro,IF($C2720="","",IFERROR(MATCH($C2720,Parties!$A$5:$A$304,0),"")),"")</f>
        <v/>
      </c>
      <c r="S2720" s="61" t="str">
        <f aca="false">IF(IsPro,IF($D2720="","",IF(OR($H2720="",$H2720="Credit"),0,P2720)),"")</f>
        <v/>
      </c>
    </row>
    <row r="2721" customFormat="false" ht="15" hidden="false" customHeight="false" outlineLevel="0" collapsed="false">
      <c r="A2721" s="55"/>
      <c r="B2721" s="56"/>
      <c r="C2721" s="56"/>
      <c r="D2721" s="56"/>
      <c r="E2721" s="57"/>
      <c r="F2721" s="58"/>
      <c r="G2721" s="59"/>
      <c r="H2721" s="56"/>
      <c r="I2721" s="60" t="str">
        <f aca="false">IF(IsPro,IF($D2721="","",IFERROR(INDEX(Items!$D$5:$D$504,Q2721),"")),IF($D2721="","","PRO PLAN"))</f>
        <v/>
      </c>
      <c r="J2721" s="61" t="str">
        <f aca="false">IF(IsPro,IF($D2721="","",IF($F2721="",IFERROR(INDEX(Items!$G$5:$G$504,Q2721),0),$F2721)),"")</f>
        <v/>
      </c>
      <c r="K2721" s="61" t="str">
        <f aca="false">IF(IsPro,IF($D2721="","",ROUND(N($E2721)*J2721*(1-N($G2721)),2)),"")</f>
        <v/>
      </c>
      <c r="L2721" s="62" t="str">
        <f aca="false">IF(IsPro,IF($D2721="","",IFERROR(INDEX(Items!$F$5:$F$504,Q2721),0)),"")</f>
        <v/>
      </c>
      <c r="M2721" s="61" t="str">
        <f aca="false">IF(IsPro,IF($D2721="","",IF(AND(R2721&lt;&gt;"",INDEX(Parties!$E$5:$E$304,R2721)&lt;&gt;"",INDEX(Parties!$E$5:$E$304,R2721)&lt;&gt;HomeState),0,ROUND(K2721*L2721/2,2))),"")</f>
        <v/>
      </c>
      <c r="N2721" s="61" t="str">
        <f aca="false">IF(IsPro,IF($D2721="","",M2721),"")</f>
        <v/>
      </c>
      <c r="O2721" s="61" t="str">
        <f aca="false">IF(IsPro,IF($D2721="","",IF(AND(R2721&lt;&gt;"",INDEX(Parties!$E$5:$E$304,R2721)&lt;&gt;"",INDEX(Parties!$E$5:$E$304,R2721)&lt;&gt;HomeState),ROUND(K2721*L2721,2),0)),"")</f>
        <v/>
      </c>
      <c r="P2721" s="61" t="str">
        <f aca="false">IF(IsPro,IF($D2721="","",K2721+M2721+N2721+O2721),"")</f>
        <v/>
      </c>
      <c r="Q2721" s="60" t="str">
        <f aca="false">IF(IsPro,IF($D2721="","",IFERROR(MATCH($D2721,Items!$A$5:$A$504,0),"")),"")</f>
        <v/>
      </c>
      <c r="R2721" s="60" t="str">
        <f aca="false">IF(IsPro,IF($C2721="","",IFERROR(MATCH($C2721,Parties!$A$5:$A$304,0),"")),"")</f>
        <v/>
      </c>
      <c r="S2721" s="61" t="str">
        <f aca="false">IF(IsPro,IF($D2721="","",IF(OR($H2721="",$H2721="Credit"),0,P2721)),"")</f>
        <v/>
      </c>
    </row>
    <row r="2722" customFormat="false" ht="15" hidden="false" customHeight="false" outlineLevel="0" collapsed="false">
      <c r="A2722" s="55"/>
      <c r="B2722" s="56"/>
      <c r="C2722" s="56"/>
      <c r="D2722" s="56"/>
      <c r="E2722" s="57"/>
      <c r="F2722" s="58"/>
      <c r="G2722" s="59"/>
      <c r="H2722" s="56"/>
      <c r="I2722" s="60" t="str">
        <f aca="false">IF(IsPro,IF($D2722="","",IFERROR(INDEX(Items!$D$5:$D$504,Q2722),"")),IF($D2722="","","PRO PLAN"))</f>
        <v/>
      </c>
      <c r="J2722" s="61" t="str">
        <f aca="false">IF(IsPro,IF($D2722="","",IF($F2722="",IFERROR(INDEX(Items!$G$5:$G$504,Q2722),0),$F2722)),"")</f>
        <v/>
      </c>
      <c r="K2722" s="61" t="str">
        <f aca="false">IF(IsPro,IF($D2722="","",ROUND(N($E2722)*J2722*(1-N($G2722)),2)),"")</f>
        <v/>
      </c>
      <c r="L2722" s="62" t="str">
        <f aca="false">IF(IsPro,IF($D2722="","",IFERROR(INDEX(Items!$F$5:$F$504,Q2722),0)),"")</f>
        <v/>
      </c>
      <c r="M2722" s="61" t="str">
        <f aca="false">IF(IsPro,IF($D2722="","",IF(AND(R2722&lt;&gt;"",INDEX(Parties!$E$5:$E$304,R2722)&lt;&gt;"",INDEX(Parties!$E$5:$E$304,R2722)&lt;&gt;HomeState),0,ROUND(K2722*L2722/2,2))),"")</f>
        <v/>
      </c>
      <c r="N2722" s="61" t="str">
        <f aca="false">IF(IsPro,IF($D2722="","",M2722),"")</f>
        <v/>
      </c>
      <c r="O2722" s="61" t="str">
        <f aca="false">IF(IsPro,IF($D2722="","",IF(AND(R2722&lt;&gt;"",INDEX(Parties!$E$5:$E$304,R2722)&lt;&gt;"",INDEX(Parties!$E$5:$E$304,R2722)&lt;&gt;HomeState),ROUND(K2722*L2722,2),0)),"")</f>
        <v/>
      </c>
      <c r="P2722" s="61" t="str">
        <f aca="false">IF(IsPro,IF($D2722="","",K2722+M2722+N2722+O2722),"")</f>
        <v/>
      </c>
      <c r="Q2722" s="60" t="str">
        <f aca="false">IF(IsPro,IF($D2722="","",IFERROR(MATCH($D2722,Items!$A$5:$A$504,0),"")),"")</f>
        <v/>
      </c>
      <c r="R2722" s="60" t="str">
        <f aca="false">IF(IsPro,IF($C2722="","",IFERROR(MATCH($C2722,Parties!$A$5:$A$304,0),"")),"")</f>
        <v/>
      </c>
      <c r="S2722" s="61" t="str">
        <f aca="false">IF(IsPro,IF($D2722="","",IF(OR($H2722="",$H2722="Credit"),0,P2722)),"")</f>
        <v/>
      </c>
    </row>
    <row r="2723" customFormat="false" ht="15" hidden="false" customHeight="false" outlineLevel="0" collapsed="false">
      <c r="A2723" s="55"/>
      <c r="B2723" s="56"/>
      <c r="C2723" s="56"/>
      <c r="D2723" s="56"/>
      <c r="E2723" s="57"/>
      <c r="F2723" s="58"/>
      <c r="G2723" s="59"/>
      <c r="H2723" s="56"/>
      <c r="I2723" s="60" t="str">
        <f aca="false">IF(IsPro,IF($D2723="","",IFERROR(INDEX(Items!$D$5:$D$504,Q2723),"")),IF($D2723="","","PRO PLAN"))</f>
        <v/>
      </c>
      <c r="J2723" s="61" t="str">
        <f aca="false">IF(IsPro,IF($D2723="","",IF($F2723="",IFERROR(INDEX(Items!$G$5:$G$504,Q2723),0),$F2723)),"")</f>
        <v/>
      </c>
      <c r="K2723" s="61" t="str">
        <f aca="false">IF(IsPro,IF($D2723="","",ROUND(N($E2723)*J2723*(1-N($G2723)),2)),"")</f>
        <v/>
      </c>
      <c r="L2723" s="62" t="str">
        <f aca="false">IF(IsPro,IF($D2723="","",IFERROR(INDEX(Items!$F$5:$F$504,Q2723),0)),"")</f>
        <v/>
      </c>
      <c r="M2723" s="61" t="str">
        <f aca="false">IF(IsPro,IF($D2723="","",IF(AND(R2723&lt;&gt;"",INDEX(Parties!$E$5:$E$304,R2723)&lt;&gt;"",INDEX(Parties!$E$5:$E$304,R2723)&lt;&gt;HomeState),0,ROUND(K2723*L2723/2,2))),"")</f>
        <v/>
      </c>
      <c r="N2723" s="61" t="str">
        <f aca="false">IF(IsPro,IF($D2723="","",M2723),"")</f>
        <v/>
      </c>
      <c r="O2723" s="61" t="str">
        <f aca="false">IF(IsPro,IF($D2723="","",IF(AND(R2723&lt;&gt;"",INDEX(Parties!$E$5:$E$304,R2723)&lt;&gt;"",INDEX(Parties!$E$5:$E$304,R2723)&lt;&gt;HomeState),ROUND(K2723*L2723,2),0)),"")</f>
        <v/>
      </c>
      <c r="P2723" s="61" t="str">
        <f aca="false">IF(IsPro,IF($D2723="","",K2723+M2723+N2723+O2723),"")</f>
        <v/>
      </c>
      <c r="Q2723" s="60" t="str">
        <f aca="false">IF(IsPro,IF($D2723="","",IFERROR(MATCH($D2723,Items!$A$5:$A$504,0),"")),"")</f>
        <v/>
      </c>
      <c r="R2723" s="60" t="str">
        <f aca="false">IF(IsPro,IF($C2723="","",IFERROR(MATCH($C2723,Parties!$A$5:$A$304,0),"")),"")</f>
        <v/>
      </c>
      <c r="S2723" s="61" t="str">
        <f aca="false">IF(IsPro,IF($D2723="","",IF(OR($H2723="",$H2723="Credit"),0,P2723)),"")</f>
        <v/>
      </c>
    </row>
    <row r="2724" customFormat="false" ht="15" hidden="false" customHeight="false" outlineLevel="0" collapsed="false">
      <c r="A2724" s="55"/>
      <c r="B2724" s="56"/>
      <c r="C2724" s="56"/>
      <c r="D2724" s="56"/>
      <c r="E2724" s="57"/>
      <c r="F2724" s="58"/>
      <c r="G2724" s="59"/>
      <c r="H2724" s="56"/>
      <c r="I2724" s="60" t="str">
        <f aca="false">IF(IsPro,IF($D2724="","",IFERROR(INDEX(Items!$D$5:$D$504,Q2724),"")),IF($D2724="","","PRO PLAN"))</f>
        <v/>
      </c>
      <c r="J2724" s="61" t="str">
        <f aca="false">IF(IsPro,IF($D2724="","",IF($F2724="",IFERROR(INDEX(Items!$G$5:$G$504,Q2724),0),$F2724)),"")</f>
        <v/>
      </c>
      <c r="K2724" s="61" t="str">
        <f aca="false">IF(IsPro,IF($D2724="","",ROUND(N($E2724)*J2724*(1-N($G2724)),2)),"")</f>
        <v/>
      </c>
      <c r="L2724" s="62" t="str">
        <f aca="false">IF(IsPro,IF($D2724="","",IFERROR(INDEX(Items!$F$5:$F$504,Q2724),0)),"")</f>
        <v/>
      </c>
      <c r="M2724" s="61" t="str">
        <f aca="false">IF(IsPro,IF($D2724="","",IF(AND(R2724&lt;&gt;"",INDEX(Parties!$E$5:$E$304,R2724)&lt;&gt;"",INDEX(Parties!$E$5:$E$304,R2724)&lt;&gt;HomeState),0,ROUND(K2724*L2724/2,2))),"")</f>
        <v/>
      </c>
      <c r="N2724" s="61" t="str">
        <f aca="false">IF(IsPro,IF($D2724="","",M2724),"")</f>
        <v/>
      </c>
      <c r="O2724" s="61" t="str">
        <f aca="false">IF(IsPro,IF($D2724="","",IF(AND(R2724&lt;&gt;"",INDEX(Parties!$E$5:$E$304,R2724)&lt;&gt;"",INDEX(Parties!$E$5:$E$304,R2724)&lt;&gt;HomeState),ROUND(K2724*L2724,2),0)),"")</f>
        <v/>
      </c>
      <c r="P2724" s="61" t="str">
        <f aca="false">IF(IsPro,IF($D2724="","",K2724+M2724+N2724+O2724),"")</f>
        <v/>
      </c>
      <c r="Q2724" s="60" t="str">
        <f aca="false">IF(IsPro,IF($D2724="","",IFERROR(MATCH($D2724,Items!$A$5:$A$504,0),"")),"")</f>
        <v/>
      </c>
      <c r="R2724" s="60" t="str">
        <f aca="false">IF(IsPro,IF($C2724="","",IFERROR(MATCH($C2724,Parties!$A$5:$A$304,0),"")),"")</f>
        <v/>
      </c>
      <c r="S2724" s="61" t="str">
        <f aca="false">IF(IsPro,IF($D2724="","",IF(OR($H2724="",$H2724="Credit"),0,P2724)),"")</f>
        <v/>
      </c>
    </row>
    <row r="2725" customFormat="false" ht="15" hidden="false" customHeight="false" outlineLevel="0" collapsed="false">
      <c r="A2725" s="55"/>
      <c r="B2725" s="56"/>
      <c r="C2725" s="56"/>
      <c r="D2725" s="56"/>
      <c r="E2725" s="57"/>
      <c r="F2725" s="58"/>
      <c r="G2725" s="59"/>
      <c r="H2725" s="56"/>
      <c r="I2725" s="60" t="str">
        <f aca="false">IF(IsPro,IF($D2725="","",IFERROR(INDEX(Items!$D$5:$D$504,Q2725),"")),IF($D2725="","","PRO PLAN"))</f>
        <v/>
      </c>
      <c r="J2725" s="61" t="str">
        <f aca="false">IF(IsPro,IF($D2725="","",IF($F2725="",IFERROR(INDEX(Items!$G$5:$G$504,Q2725),0),$F2725)),"")</f>
        <v/>
      </c>
      <c r="K2725" s="61" t="str">
        <f aca="false">IF(IsPro,IF($D2725="","",ROUND(N($E2725)*J2725*(1-N($G2725)),2)),"")</f>
        <v/>
      </c>
      <c r="L2725" s="62" t="str">
        <f aca="false">IF(IsPro,IF($D2725="","",IFERROR(INDEX(Items!$F$5:$F$504,Q2725),0)),"")</f>
        <v/>
      </c>
      <c r="M2725" s="61" t="str">
        <f aca="false">IF(IsPro,IF($D2725="","",IF(AND(R2725&lt;&gt;"",INDEX(Parties!$E$5:$E$304,R2725)&lt;&gt;"",INDEX(Parties!$E$5:$E$304,R2725)&lt;&gt;HomeState),0,ROUND(K2725*L2725/2,2))),"")</f>
        <v/>
      </c>
      <c r="N2725" s="61" t="str">
        <f aca="false">IF(IsPro,IF($D2725="","",M2725),"")</f>
        <v/>
      </c>
      <c r="O2725" s="61" t="str">
        <f aca="false">IF(IsPro,IF($D2725="","",IF(AND(R2725&lt;&gt;"",INDEX(Parties!$E$5:$E$304,R2725)&lt;&gt;"",INDEX(Parties!$E$5:$E$304,R2725)&lt;&gt;HomeState),ROUND(K2725*L2725,2),0)),"")</f>
        <v/>
      </c>
      <c r="P2725" s="61" t="str">
        <f aca="false">IF(IsPro,IF($D2725="","",K2725+M2725+N2725+O2725),"")</f>
        <v/>
      </c>
      <c r="Q2725" s="60" t="str">
        <f aca="false">IF(IsPro,IF($D2725="","",IFERROR(MATCH($D2725,Items!$A$5:$A$504,0),"")),"")</f>
        <v/>
      </c>
      <c r="R2725" s="60" t="str">
        <f aca="false">IF(IsPro,IF($C2725="","",IFERROR(MATCH($C2725,Parties!$A$5:$A$304,0),"")),"")</f>
        <v/>
      </c>
      <c r="S2725" s="61" t="str">
        <f aca="false">IF(IsPro,IF($D2725="","",IF(OR($H2725="",$H2725="Credit"),0,P2725)),"")</f>
        <v/>
      </c>
    </row>
    <row r="2726" customFormat="false" ht="15" hidden="false" customHeight="false" outlineLevel="0" collapsed="false">
      <c r="A2726" s="55"/>
      <c r="B2726" s="56"/>
      <c r="C2726" s="56"/>
      <c r="D2726" s="56"/>
      <c r="E2726" s="57"/>
      <c r="F2726" s="58"/>
      <c r="G2726" s="59"/>
      <c r="H2726" s="56"/>
      <c r="I2726" s="60" t="str">
        <f aca="false">IF(IsPro,IF($D2726="","",IFERROR(INDEX(Items!$D$5:$D$504,Q2726),"")),IF($D2726="","","PRO PLAN"))</f>
        <v/>
      </c>
      <c r="J2726" s="61" t="str">
        <f aca="false">IF(IsPro,IF($D2726="","",IF($F2726="",IFERROR(INDEX(Items!$G$5:$G$504,Q2726),0),$F2726)),"")</f>
        <v/>
      </c>
      <c r="K2726" s="61" t="str">
        <f aca="false">IF(IsPro,IF($D2726="","",ROUND(N($E2726)*J2726*(1-N($G2726)),2)),"")</f>
        <v/>
      </c>
      <c r="L2726" s="62" t="str">
        <f aca="false">IF(IsPro,IF($D2726="","",IFERROR(INDEX(Items!$F$5:$F$504,Q2726),0)),"")</f>
        <v/>
      </c>
      <c r="M2726" s="61" t="str">
        <f aca="false">IF(IsPro,IF($D2726="","",IF(AND(R2726&lt;&gt;"",INDEX(Parties!$E$5:$E$304,R2726)&lt;&gt;"",INDEX(Parties!$E$5:$E$304,R2726)&lt;&gt;HomeState),0,ROUND(K2726*L2726/2,2))),"")</f>
        <v/>
      </c>
      <c r="N2726" s="61" t="str">
        <f aca="false">IF(IsPro,IF($D2726="","",M2726),"")</f>
        <v/>
      </c>
      <c r="O2726" s="61" t="str">
        <f aca="false">IF(IsPro,IF($D2726="","",IF(AND(R2726&lt;&gt;"",INDEX(Parties!$E$5:$E$304,R2726)&lt;&gt;"",INDEX(Parties!$E$5:$E$304,R2726)&lt;&gt;HomeState),ROUND(K2726*L2726,2),0)),"")</f>
        <v/>
      </c>
      <c r="P2726" s="61" t="str">
        <f aca="false">IF(IsPro,IF($D2726="","",K2726+M2726+N2726+O2726),"")</f>
        <v/>
      </c>
      <c r="Q2726" s="60" t="str">
        <f aca="false">IF(IsPro,IF($D2726="","",IFERROR(MATCH($D2726,Items!$A$5:$A$504,0),"")),"")</f>
        <v/>
      </c>
      <c r="R2726" s="60" t="str">
        <f aca="false">IF(IsPro,IF($C2726="","",IFERROR(MATCH($C2726,Parties!$A$5:$A$304,0),"")),"")</f>
        <v/>
      </c>
      <c r="S2726" s="61" t="str">
        <f aca="false">IF(IsPro,IF($D2726="","",IF(OR($H2726="",$H2726="Credit"),0,P2726)),"")</f>
        <v/>
      </c>
    </row>
    <row r="2727" customFormat="false" ht="15" hidden="false" customHeight="false" outlineLevel="0" collapsed="false">
      <c r="A2727" s="55"/>
      <c r="B2727" s="56"/>
      <c r="C2727" s="56"/>
      <c r="D2727" s="56"/>
      <c r="E2727" s="57"/>
      <c r="F2727" s="58"/>
      <c r="G2727" s="59"/>
      <c r="H2727" s="56"/>
      <c r="I2727" s="60" t="str">
        <f aca="false">IF(IsPro,IF($D2727="","",IFERROR(INDEX(Items!$D$5:$D$504,Q2727),"")),IF($D2727="","","PRO PLAN"))</f>
        <v/>
      </c>
      <c r="J2727" s="61" t="str">
        <f aca="false">IF(IsPro,IF($D2727="","",IF($F2727="",IFERROR(INDEX(Items!$G$5:$G$504,Q2727),0),$F2727)),"")</f>
        <v/>
      </c>
      <c r="K2727" s="61" t="str">
        <f aca="false">IF(IsPro,IF($D2727="","",ROUND(N($E2727)*J2727*(1-N($G2727)),2)),"")</f>
        <v/>
      </c>
      <c r="L2727" s="62" t="str">
        <f aca="false">IF(IsPro,IF($D2727="","",IFERROR(INDEX(Items!$F$5:$F$504,Q2727),0)),"")</f>
        <v/>
      </c>
      <c r="M2727" s="61" t="str">
        <f aca="false">IF(IsPro,IF($D2727="","",IF(AND(R2727&lt;&gt;"",INDEX(Parties!$E$5:$E$304,R2727)&lt;&gt;"",INDEX(Parties!$E$5:$E$304,R2727)&lt;&gt;HomeState),0,ROUND(K2727*L2727/2,2))),"")</f>
        <v/>
      </c>
      <c r="N2727" s="61" t="str">
        <f aca="false">IF(IsPro,IF($D2727="","",M2727),"")</f>
        <v/>
      </c>
      <c r="O2727" s="61" t="str">
        <f aca="false">IF(IsPro,IF($D2727="","",IF(AND(R2727&lt;&gt;"",INDEX(Parties!$E$5:$E$304,R2727)&lt;&gt;"",INDEX(Parties!$E$5:$E$304,R2727)&lt;&gt;HomeState),ROUND(K2727*L2727,2),0)),"")</f>
        <v/>
      </c>
      <c r="P2727" s="61" t="str">
        <f aca="false">IF(IsPro,IF($D2727="","",K2727+M2727+N2727+O2727),"")</f>
        <v/>
      </c>
      <c r="Q2727" s="60" t="str">
        <f aca="false">IF(IsPro,IF($D2727="","",IFERROR(MATCH($D2727,Items!$A$5:$A$504,0),"")),"")</f>
        <v/>
      </c>
      <c r="R2727" s="60" t="str">
        <f aca="false">IF(IsPro,IF($C2727="","",IFERROR(MATCH($C2727,Parties!$A$5:$A$304,0),"")),"")</f>
        <v/>
      </c>
      <c r="S2727" s="61" t="str">
        <f aca="false">IF(IsPro,IF($D2727="","",IF(OR($H2727="",$H2727="Credit"),0,P2727)),"")</f>
        <v/>
      </c>
    </row>
    <row r="2728" customFormat="false" ht="15" hidden="false" customHeight="false" outlineLevel="0" collapsed="false">
      <c r="A2728" s="55"/>
      <c r="B2728" s="56"/>
      <c r="C2728" s="56"/>
      <c r="D2728" s="56"/>
      <c r="E2728" s="57"/>
      <c r="F2728" s="58"/>
      <c r="G2728" s="59"/>
      <c r="H2728" s="56"/>
      <c r="I2728" s="60" t="str">
        <f aca="false">IF(IsPro,IF($D2728="","",IFERROR(INDEX(Items!$D$5:$D$504,Q2728),"")),IF($D2728="","","PRO PLAN"))</f>
        <v/>
      </c>
      <c r="J2728" s="61" t="str">
        <f aca="false">IF(IsPro,IF($D2728="","",IF($F2728="",IFERROR(INDEX(Items!$G$5:$G$504,Q2728),0),$F2728)),"")</f>
        <v/>
      </c>
      <c r="K2728" s="61" t="str">
        <f aca="false">IF(IsPro,IF($D2728="","",ROUND(N($E2728)*J2728*(1-N($G2728)),2)),"")</f>
        <v/>
      </c>
      <c r="L2728" s="62" t="str">
        <f aca="false">IF(IsPro,IF($D2728="","",IFERROR(INDEX(Items!$F$5:$F$504,Q2728),0)),"")</f>
        <v/>
      </c>
      <c r="M2728" s="61" t="str">
        <f aca="false">IF(IsPro,IF($D2728="","",IF(AND(R2728&lt;&gt;"",INDEX(Parties!$E$5:$E$304,R2728)&lt;&gt;"",INDEX(Parties!$E$5:$E$304,R2728)&lt;&gt;HomeState),0,ROUND(K2728*L2728/2,2))),"")</f>
        <v/>
      </c>
      <c r="N2728" s="61" t="str">
        <f aca="false">IF(IsPro,IF($D2728="","",M2728),"")</f>
        <v/>
      </c>
      <c r="O2728" s="61" t="str">
        <f aca="false">IF(IsPro,IF($D2728="","",IF(AND(R2728&lt;&gt;"",INDEX(Parties!$E$5:$E$304,R2728)&lt;&gt;"",INDEX(Parties!$E$5:$E$304,R2728)&lt;&gt;HomeState),ROUND(K2728*L2728,2),0)),"")</f>
        <v/>
      </c>
      <c r="P2728" s="61" t="str">
        <f aca="false">IF(IsPro,IF($D2728="","",K2728+M2728+N2728+O2728),"")</f>
        <v/>
      </c>
      <c r="Q2728" s="60" t="str">
        <f aca="false">IF(IsPro,IF($D2728="","",IFERROR(MATCH($D2728,Items!$A$5:$A$504,0),"")),"")</f>
        <v/>
      </c>
      <c r="R2728" s="60" t="str">
        <f aca="false">IF(IsPro,IF($C2728="","",IFERROR(MATCH($C2728,Parties!$A$5:$A$304,0),"")),"")</f>
        <v/>
      </c>
      <c r="S2728" s="61" t="str">
        <f aca="false">IF(IsPro,IF($D2728="","",IF(OR($H2728="",$H2728="Credit"),0,P2728)),"")</f>
        <v/>
      </c>
    </row>
    <row r="2729" customFormat="false" ht="15" hidden="false" customHeight="false" outlineLevel="0" collapsed="false">
      <c r="A2729" s="55"/>
      <c r="B2729" s="56"/>
      <c r="C2729" s="56"/>
      <c r="D2729" s="56"/>
      <c r="E2729" s="57"/>
      <c r="F2729" s="58"/>
      <c r="G2729" s="59"/>
      <c r="H2729" s="56"/>
      <c r="I2729" s="60" t="str">
        <f aca="false">IF(IsPro,IF($D2729="","",IFERROR(INDEX(Items!$D$5:$D$504,Q2729),"")),IF($D2729="","","PRO PLAN"))</f>
        <v/>
      </c>
      <c r="J2729" s="61" t="str">
        <f aca="false">IF(IsPro,IF($D2729="","",IF($F2729="",IFERROR(INDEX(Items!$G$5:$G$504,Q2729),0),$F2729)),"")</f>
        <v/>
      </c>
      <c r="K2729" s="61" t="str">
        <f aca="false">IF(IsPro,IF($D2729="","",ROUND(N($E2729)*J2729*(1-N($G2729)),2)),"")</f>
        <v/>
      </c>
      <c r="L2729" s="62" t="str">
        <f aca="false">IF(IsPro,IF($D2729="","",IFERROR(INDEX(Items!$F$5:$F$504,Q2729),0)),"")</f>
        <v/>
      </c>
      <c r="M2729" s="61" t="str">
        <f aca="false">IF(IsPro,IF($D2729="","",IF(AND(R2729&lt;&gt;"",INDEX(Parties!$E$5:$E$304,R2729)&lt;&gt;"",INDEX(Parties!$E$5:$E$304,R2729)&lt;&gt;HomeState),0,ROUND(K2729*L2729/2,2))),"")</f>
        <v/>
      </c>
      <c r="N2729" s="61" t="str">
        <f aca="false">IF(IsPro,IF($D2729="","",M2729),"")</f>
        <v/>
      </c>
      <c r="O2729" s="61" t="str">
        <f aca="false">IF(IsPro,IF($D2729="","",IF(AND(R2729&lt;&gt;"",INDEX(Parties!$E$5:$E$304,R2729)&lt;&gt;"",INDEX(Parties!$E$5:$E$304,R2729)&lt;&gt;HomeState),ROUND(K2729*L2729,2),0)),"")</f>
        <v/>
      </c>
      <c r="P2729" s="61" t="str">
        <f aca="false">IF(IsPro,IF($D2729="","",K2729+M2729+N2729+O2729),"")</f>
        <v/>
      </c>
      <c r="Q2729" s="60" t="str">
        <f aca="false">IF(IsPro,IF($D2729="","",IFERROR(MATCH($D2729,Items!$A$5:$A$504,0),"")),"")</f>
        <v/>
      </c>
      <c r="R2729" s="60" t="str">
        <f aca="false">IF(IsPro,IF($C2729="","",IFERROR(MATCH($C2729,Parties!$A$5:$A$304,0),"")),"")</f>
        <v/>
      </c>
      <c r="S2729" s="61" t="str">
        <f aca="false">IF(IsPro,IF($D2729="","",IF(OR($H2729="",$H2729="Credit"),0,P2729)),"")</f>
        <v/>
      </c>
    </row>
    <row r="2730" customFormat="false" ht="15" hidden="false" customHeight="false" outlineLevel="0" collapsed="false">
      <c r="A2730" s="55"/>
      <c r="B2730" s="56"/>
      <c r="C2730" s="56"/>
      <c r="D2730" s="56"/>
      <c r="E2730" s="57"/>
      <c r="F2730" s="58"/>
      <c r="G2730" s="59"/>
      <c r="H2730" s="56"/>
      <c r="I2730" s="60" t="str">
        <f aca="false">IF(IsPro,IF($D2730="","",IFERROR(INDEX(Items!$D$5:$D$504,Q2730),"")),IF($D2730="","","PRO PLAN"))</f>
        <v/>
      </c>
      <c r="J2730" s="61" t="str">
        <f aca="false">IF(IsPro,IF($D2730="","",IF($F2730="",IFERROR(INDEX(Items!$G$5:$G$504,Q2730),0),$F2730)),"")</f>
        <v/>
      </c>
      <c r="K2730" s="61" t="str">
        <f aca="false">IF(IsPro,IF($D2730="","",ROUND(N($E2730)*J2730*(1-N($G2730)),2)),"")</f>
        <v/>
      </c>
      <c r="L2730" s="62" t="str">
        <f aca="false">IF(IsPro,IF($D2730="","",IFERROR(INDEX(Items!$F$5:$F$504,Q2730),0)),"")</f>
        <v/>
      </c>
      <c r="M2730" s="61" t="str">
        <f aca="false">IF(IsPro,IF($D2730="","",IF(AND(R2730&lt;&gt;"",INDEX(Parties!$E$5:$E$304,R2730)&lt;&gt;"",INDEX(Parties!$E$5:$E$304,R2730)&lt;&gt;HomeState),0,ROUND(K2730*L2730/2,2))),"")</f>
        <v/>
      </c>
      <c r="N2730" s="61" t="str">
        <f aca="false">IF(IsPro,IF($D2730="","",M2730),"")</f>
        <v/>
      </c>
      <c r="O2730" s="61" t="str">
        <f aca="false">IF(IsPro,IF($D2730="","",IF(AND(R2730&lt;&gt;"",INDEX(Parties!$E$5:$E$304,R2730)&lt;&gt;"",INDEX(Parties!$E$5:$E$304,R2730)&lt;&gt;HomeState),ROUND(K2730*L2730,2),0)),"")</f>
        <v/>
      </c>
      <c r="P2730" s="61" t="str">
        <f aca="false">IF(IsPro,IF($D2730="","",K2730+M2730+N2730+O2730),"")</f>
        <v/>
      </c>
      <c r="Q2730" s="60" t="str">
        <f aca="false">IF(IsPro,IF($D2730="","",IFERROR(MATCH($D2730,Items!$A$5:$A$504,0),"")),"")</f>
        <v/>
      </c>
      <c r="R2730" s="60" t="str">
        <f aca="false">IF(IsPro,IF($C2730="","",IFERROR(MATCH($C2730,Parties!$A$5:$A$304,0),"")),"")</f>
        <v/>
      </c>
      <c r="S2730" s="61" t="str">
        <f aca="false">IF(IsPro,IF($D2730="","",IF(OR($H2730="",$H2730="Credit"),0,P2730)),"")</f>
        <v/>
      </c>
    </row>
    <row r="2731" customFormat="false" ht="15" hidden="false" customHeight="false" outlineLevel="0" collapsed="false">
      <c r="A2731" s="55"/>
      <c r="B2731" s="56"/>
      <c r="C2731" s="56"/>
      <c r="D2731" s="56"/>
      <c r="E2731" s="57"/>
      <c r="F2731" s="58"/>
      <c r="G2731" s="59"/>
      <c r="H2731" s="56"/>
      <c r="I2731" s="60" t="str">
        <f aca="false">IF(IsPro,IF($D2731="","",IFERROR(INDEX(Items!$D$5:$D$504,Q2731),"")),IF($D2731="","","PRO PLAN"))</f>
        <v/>
      </c>
      <c r="J2731" s="61" t="str">
        <f aca="false">IF(IsPro,IF($D2731="","",IF($F2731="",IFERROR(INDEX(Items!$G$5:$G$504,Q2731),0),$F2731)),"")</f>
        <v/>
      </c>
      <c r="K2731" s="61" t="str">
        <f aca="false">IF(IsPro,IF($D2731="","",ROUND(N($E2731)*J2731*(1-N($G2731)),2)),"")</f>
        <v/>
      </c>
      <c r="L2731" s="62" t="str">
        <f aca="false">IF(IsPro,IF($D2731="","",IFERROR(INDEX(Items!$F$5:$F$504,Q2731),0)),"")</f>
        <v/>
      </c>
      <c r="M2731" s="61" t="str">
        <f aca="false">IF(IsPro,IF($D2731="","",IF(AND(R2731&lt;&gt;"",INDEX(Parties!$E$5:$E$304,R2731)&lt;&gt;"",INDEX(Parties!$E$5:$E$304,R2731)&lt;&gt;HomeState),0,ROUND(K2731*L2731/2,2))),"")</f>
        <v/>
      </c>
      <c r="N2731" s="61" t="str">
        <f aca="false">IF(IsPro,IF($D2731="","",M2731),"")</f>
        <v/>
      </c>
      <c r="O2731" s="61" t="str">
        <f aca="false">IF(IsPro,IF($D2731="","",IF(AND(R2731&lt;&gt;"",INDEX(Parties!$E$5:$E$304,R2731)&lt;&gt;"",INDEX(Parties!$E$5:$E$304,R2731)&lt;&gt;HomeState),ROUND(K2731*L2731,2),0)),"")</f>
        <v/>
      </c>
      <c r="P2731" s="61" t="str">
        <f aca="false">IF(IsPro,IF($D2731="","",K2731+M2731+N2731+O2731),"")</f>
        <v/>
      </c>
      <c r="Q2731" s="60" t="str">
        <f aca="false">IF(IsPro,IF($D2731="","",IFERROR(MATCH($D2731,Items!$A$5:$A$504,0),"")),"")</f>
        <v/>
      </c>
      <c r="R2731" s="60" t="str">
        <f aca="false">IF(IsPro,IF($C2731="","",IFERROR(MATCH($C2731,Parties!$A$5:$A$304,0),"")),"")</f>
        <v/>
      </c>
      <c r="S2731" s="61" t="str">
        <f aca="false">IF(IsPro,IF($D2731="","",IF(OR($H2731="",$H2731="Credit"),0,P2731)),"")</f>
        <v/>
      </c>
    </row>
    <row r="2732" customFormat="false" ht="15" hidden="false" customHeight="false" outlineLevel="0" collapsed="false">
      <c r="A2732" s="55"/>
      <c r="B2732" s="56"/>
      <c r="C2732" s="56"/>
      <c r="D2732" s="56"/>
      <c r="E2732" s="57"/>
      <c r="F2732" s="58"/>
      <c r="G2732" s="59"/>
      <c r="H2732" s="56"/>
      <c r="I2732" s="60" t="str">
        <f aca="false">IF(IsPro,IF($D2732="","",IFERROR(INDEX(Items!$D$5:$D$504,Q2732),"")),IF($D2732="","","PRO PLAN"))</f>
        <v/>
      </c>
      <c r="J2732" s="61" t="str">
        <f aca="false">IF(IsPro,IF($D2732="","",IF($F2732="",IFERROR(INDEX(Items!$G$5:$G$504,Q2732),0),$F2732)),"")</f>
        <v/>
      </c>
      <c r="K2732" s="61" t="str">
        <f aca="false">IF(IsPro,IF($D2732="","",ROUND(N($E2732)*J2732*(1-N($G2732)),2)),"")</f>
        <v/>
      </c>
      <c r="L2732" s="62" t="str">
        <f aca="false">IF(IsPro,IF($D2732="","",IFERROR(INDEX(Items!$F$5:$F$504,Q2732),0)),"")</f>
        <v/>
      </c>
      <c r="M2732" s="61" t="str">
        <f aca="false">IF(IsPro,IF($D2732="","",IF(AND(R2732&lt;&gt;"",INDEX(Parties!$E$5:$E$304,R2732)&lt;&gt;"",INDEX(Parties!$E$5:$E$304,R2732)&lt;&gt;HomeState),0,ROUND(K2732*L2732/2,2))),"")</f>
        <v/>
      </c>
      <c r="N2732" s="61" t="str">
        <f aca="false">IF(IsPro,IF($D2732="","",M2732),"")</f>
        <v/>
      </c>
      <c r="O2732" s="61" t="str">
        <f aca="false">IF(IsPro,IF($D2732="","",IF(AND(R2732&lt;&gt;"",INDEX(Parties!$E$5:$E$304,R2732)&lt;&gt;"",INDEX(Parties!$E$5:$E$304,R2732)&lt;&gt;HomeState),ROUND(K2732*L2732,2),0)),"")</f>
        <v/>
      </c>
      <c r="P2732" s="61" t="str">
        <f aca="false">IF(IsPro,IF($D2732="","",K2732+M2732+N2732+O2732),"")</f>
        <v/>
      </c>
      <c r="Q2732" s="60" t="str">
        <f aca="false">IF(IsPro,IF($D2732="","",IFERROR(MATCH($D2732,Items!$A$5:$A$504,0),"")),"")</f>
        <v/>
      </c>
      <c r="R2732" s="60" t="str">
        <f aca="false">IF(IsPro,IF($C2732="","",IFERROR(MATCH($C2732,Parties!$A$5:$A$304,0),"")),"")</f>
        <v/>
      </c>
      <c r="S2732" s="61" t="str">
        <f aca="false">IF(IsPro,IF($D2732="","",IF(OR($H2732="",$H2732="Credit"),0,P2732)),"")</f>
        <v/>
      </c>
    </row>
    <row r="2733" customFormat="false" ht="15" hidden="false" customHeight="false" outlineLevel="0" collapsed="false">
      <c r="A2733" s="55"/>
      <c r="B2733" s="56"/>
      <c r="C2733" s="56"/>
      <c r="D2733" s="56"/>
      <c r="E2733" s="57"/>
      <c r="F2733" s="58"/>
      <c r="G2733" s="59"/>
      <c r="H2733" s="56"/>
      <c r="I2733" s="60" t="str">
        <f aca="false">IF(IsPro,IF($D2733="","",IFERROR(INDEX(Items!$D$5:$D$504,Q2733),"")),IF($D2733="","","PRO PLAN"))</f>
        <v/>
      </c>
      <c r="J2733" s="61" t="str">
        <f aca="false">IF(IsPro,IF($D2733="","",IF($F2733="",IFERROR(INDEX(Items!$G$5:$G$504,Q2733),0),$F2733)),"")</f>
        <v/>
      </c>
      <c r="K2733" s="61" t="str">
        <f aca="false">IF(IsPro,IF($D2733="","",ROUND(N($E2733)*J2733*(1-N($G2733)),2)),"")</f>
        <v/>
      </c>
      <c r="L2733" s="62" t="str">
        <f aca="false">IF(IsPro,IF($D2733="","",IFERROR(INDEX(Items!$F$5:$F$504,Q2733),0)),"")</f>
        <v/>
      </c>
      <c r="M2733" s="61" t="str">
        <f aca="false">IF(IsPro,IF($D2733="","",IF(AND(R2733&lt;&gt;"",INDEX(Parties!$E$5:$E$304,R2733)&lt;&gt;"",INDEX(Parties!$E$5:$E$304,R2733)&lt;&gt;HomeState),0,ROUND(K2733*L2733/2,2))),"")</f>
        <v/>
      </c>
      <c r="N2733" s="61" t="str">
        <f aca="false">IF(IsPro,IF($D2733="","",M2733),"")</f>
        <v/>
      </c>
      <c r="O2733" s="61" t="str">
        <f aca="false">IF(IsPro,IF($D2733="","",IF(AND(R2733&lt;&gt;"",INDEX(Parties!$E$5:$E$304,R2733)&lt;&gt;"",INDEX(Parties!$E$5:$E$304,R2733)&lt;&gt;HomeState),ROUND(K2733*L2733,2),0)),"")</f>
        <v/>
      </c>
      <c r="P2733" s="61" t="str">
        <f aca="false">IF(IsPro,IF($D2733="","",K2733+M2733+N2733+O2733),"")</f>
        <v/>
      </c>
      <c r="Q2733" s="60" t="str">
        <f aca="false">IF(IsPro,IF($D2733="","",IFERROR(MATCH($D2733,Items!$A$5:$A$504,0),"")),"")</f>
        <v/>
      </c>
      <c r="R2733" s="60" t="str">
        <f aca="false">IF(IsPro,IF($C2733="","",IFERROR(MATCH($C2733,Parties!$A$5:$A$304,0),"")),"")</f>
        <v/>
      </c>
      <c r="S2733" s="61" t="str">
        <f aca="false">IF(IsPro,IF($D2733="","",IF(OR($H2733="",$H2733="Credit"),0,P2733)),"")</f>
        <v/>
      </c>
    </row>
    <row r="2734" customFormat="false" ht="15" hidden="false" customHeight="false" outlineLevel="0" collapsed="false">
      <c r="A2734" s="55"/>
      <c r="B2734" s="56"/>
      <c r="C2734" s="56"/>
      <c r="D2734" s="56"/>
      <c r="E2734" s="57"/>
      <c r="F2734" s="58"/>
      <c r="G2734" s="59"/>
      <c r="H2734" s="56"/>
      <c r="I2734" s="60" t="str">
        <f aca="false">IF(IsPro,IF($D2734="","",IFERROR(INDEX(Items!$D$5:$D$504,Q2734),"")),IF($D2734="","","PRO PLAN"))</f>
        <v/>
      </c>
      <c r="J2734" s="61" t="str">
        <f aca="false">IF(IsPro,IF($D2734="","",IF($F2734="",IFERROR(INDEX(Items!$G$5:$G$504,Q2734),0),$F2734)),"")</f>
        <v/>
      </c>
      <c r="K2734" s="61" t="str">
        <f aca="false">IF(IsPro,IF($D2734="","",ROUND(N($E2734)*J2734*(1-N($G2734)),2)),"")</f>
        <v/>
      </c>
      <c r="L2734" s="62" t="str">
        <f aca="false">IF(IsPro,IF($D2734="","",IFERROR(INDEX(Items!$F$5:$F$504,Q2734),0)),"")</f>
        <v/>
      </c>
      <c r="M2734" s="61" t="str">
        <f aca="false">IF(IsPro,IF($D2734="","",IF(AND(R2734&lt;&gt;"",INDEX(Parties!$E$5:$E$304,R2734)&lt;&gt;"",INDEX(Parties!$E$5:$E$304,R2734)&lt;&gt;HomeState),0,ROUND(K2734*L2734/2,2))),"")</f>
        <v/>
      </c>
      <c r="N2734" s="61" t="str">
        <f aca="false">IF(IsPro,IF($D2734="","",M2734),"")</f>
        <v/>
      </c>
      <c r="O2734" s="61" t="str">
        <f aca="false">IF(IsPro,IF($D2734="","",IF(AND(R2734&lt;&gt;"",INDEX(Parties!$E$5:$E$304,R2734)&lt;&gt;"",INDEX(Parties!$E$5:$E$304,R2734)&lt;&gt;HomeState),ROUND(K2734*L2734,2),0)),"")</f>
        <v/>
      </c>
      <c r="P2734" s="61" t="str">
        <f aca="false">IF(IsPro,IF($D2734="","",K2734+M2734+N2734+O2734),"")</f>
        <v/>
      </c>
      <c r="Q2734" s="60" t="str">
        <f aca="false">IF(IsPro,IF($D2734="","",IFERROR(MATCH($D2734,Items!$A$5:$A$504,0),"")),"")</f>
        <v/>
      </c>
      <c r="R2734" s="60" t="str">
        <f aca="false">IF(IsPro,IF($C2734="","",IFERROR(MATCH($C2734,Parties!$A$5:$A$304,0),"")),"")</f>
        <v/>
      </c>
      <c r="S2734" s="61" t="str">
        <f aca="false">IF(IsPro,IF($D2734="","",IF(OR($H2734="",$H2734="Credit"),0,P2734)),"")</f>
        <v/>
      </c>
    </row>
    <row r="2735" customFormat="false" ht="15" hidden="false" customHeight="false" outlineLevel="0" collapsed="false">
      <c r="A2735" s="55"/>
      <c r="B2735" s="56"/>
      <c r="C2735" s="56"/>
      <c r="D2735" s="56"/>
      <c r="E2735" s="57"/>
      <c r="F2735" s="58"/>
      <c r="G2735" s="59"/>
      <c r="H2735" s="56"/>
      <c r="I2735" s="60" t="str">
        <f aca="false">IF(IsPro,IF($D2735="","",IFERROR(INDEX(Items!$D$5:$D$504,Q2735),"")),IF($D2735="","","PRO PLAN"))</f>
        <v/>
      </c>
      <c r="J2735" s="61" t="str">
        <f aca="false">IF(IsPro,IF($D2735="","",IF($F2735="",IFERROR(INDEX(Items!$G$5:$G$504,Q2735),0),$F2735)),"")</f>
        <v/>
      </c>
      <c r="K2735" s="61" t="str">
        <f aca="false">IF(IsPro,IF($D2735="","",ROUND(N($E2735)*J2735*(1-N($G2735)),2)),"")</f>
        <v/>
      </c>
      <c r="L2735" s="62" t="str">
        <f aca="false">IF(IsPro,IF($D2735="","",IFERROR(INDEX(Items!$F$5:$F$504,Q2735),0)),"")</f>
        <v/>
      </c>
      <c r="M2735" s="61" t="str">
        <f aca="false">IF(IsPro,IF($D2735="","",IF(AND(R2735&lt;&gt;"",INDEX(Parties!$E$5:$E$304,R2735)&lt;&gt;"",INDEX(Parties!$E$5:$E$304,R2735)&lt;&gt;HomeState),0,ROUND(K2735*L2735/2,2))),"")</f>
        <v/>
      </c>
      <c r="N2735" s="61" t="str">
        <f aca="false">IF(IsPro,IF($D2735="","",M2735),"")</f>
        <v/>
      </c>
      <c r="O2735" s="61" t="str">
        <f aca="false">IF(IsPro,IF($D2735="","",IF(AND(R2735&lt;&gt;"",INDEX(Parties!$E$5:$E$304,R2735)&lt;&gt;"",INDEX(Parties!$E$5:$E$304,R2735)&lt;&gt;HomeState),ROUND(K2735*L2735,2),0)),"")</f>
        <v/>
      </c>
      <c r="P2735" s="61" t="str">
        <f aca="false">IF(IsPro,IF($D2735="","",K2735+M2735+N2735+O2735),"")</f>
        <v/>
      </c>
      <c r="Q2735" s="60" t="str">
        <f aca="false">IF(IsPro,IF($D2735="","",IFERROR(MATCH($D2735,Items!$A$5:$A$504,0),"")),"")</f>
        <v/>
      </c>
      <c r="R2735" s="60" t="str">
        <f aca="false">IF(IsPro,IF($C2735="","",IFERROR(MATCH($C2735,Parties!$A$5:$A$304,0),"")),"")</f>
        <v/>
      </c>
      <c r="S2735" s="61" t="str">
        <f aca="false">IF(IsPro,IF($D2735="","",IF(OR($H2735="",$H2735="Credit"),0,P2735)),"")</f>
        <v/>
      </c>
    </row>
    <row r="2736" customFormat="false" ht="15" hidden="false" customHeight="false" outlineLevel="0" collapsed="false">
      <c r="A2736" s="55"/>
      <c r="B2736" s="56"/>
      <c r="C2736" s="56"/>
      <c r="D2736" s="56"/>
      <c r="E2736" s="57"/>
      <c r="F2736" s="58"/>
      <c r="G2736" s="59"/>
      <c r="H2736" s="56"/>
      <c r="I2736" s="60" t="str">
        <f aca="false">IF(IsPro,IF($D2736="","",IFERROR(INDEX(Items!$D$5:$D$504,Q2736),"")),IF($D2736="","","PRO PLAN"))</f>
        <v/>
      </c>
      <c r="J2736" s="61" t="str">
        <f aca="false">IF(IsPro,IF($D2736="","",IF($F2736="",IFERROR(INDEX(Items!$G$5:$G$504,Q2736),0),$F2736)),"")</f>
        <v/>
      </c>
      <c r="K2736" s="61" t="str">
        <f aca="false">IF(IsPro,IF($D2736="","",ROUND(N($E2736)*J2736*(1-N($G2736)),2)),"")</f>
        <v/>
      </c>
      <c r="L2736" s="62" t="str">
        <f aca="false">IF(IsPro,IF($D2736="","",IFERROR(INDEX(Items!$F$5:$F$504,Q2736),0)),"")</f>
        <v/>
      </c>
      <c r="M2736" s="61" t="str">
        <f aca="false">IF(IsPro,IF($D2736="","",IF(AND(R2736&lt;&gt;"",INDEX(Parties!$E$5:$E$304,R2736)&lt;&gt;"",INDEX(Parties!$E$5:$E$304,R2736)&lt;&gt;HomeState),0,ROUND(K2736*L2736/2,2))),"")</f>
        <v/>
      </c>
      <c r="N2736" s="61" t="str">
        <f aca="false">IF(IsPro,IF($D2736="","",M2736),"")</f>
        <v/>
      </c>
      <c r="O2736" s="61" t="str">
        <f aca="false">IF(IsPro,IF($D2736="","",IF(AND(R2736&lt;&gt;"",INDEX(Parties!$E$5:$E$304,R2736)&lt;&gt;"",INDEX(Parties!$E$5:$E$304,R2736)&lt;&gt;HomeState),ROUND(K2736*L2736,2),0)),"")</f>
        <v/>
      </c>
      <c r="P2736" s="61" t="str">
        <f aca="false">IF(IsPro,IF($D2736="","",K2736+M2736+N2736+O2736),"")</f>
        <v/>
      </c>
      <c r="Q2736" s="60" t="str">
        <f aca="false">IF(IsPro,IF($D2736="","",IFERROR(MATCH($D2736,Items!$A$5:$A$504,0),"")),"")</f>
        <v/>
      </c>
      <c r="R2736" s="60" t="str">
        <f aca="false">IF(IsPro,IF($C2736="","",IFERROR(MATCH($C2736,Parties!$A$5:$A$304,0),"")),"")</f>
        <v/>
      </c>
      <c r="S2736" s="61" t="str">
        <f aca="false">IF(IsPro,IF($D2736="","",IF(OR($H2736="",$H2736="Credit"),0,P2736)),"")</f>
        <v/>
      </c>
    </row>
    <row r="2737" customFormat="false" ht="15" hidden="false" customHeight="false" outlineLevel="0" collapsed="false">
      <c r="A2737" s="55"/>
      <c r="B2737" s="56"/>
      <c r="C2737" s="56"/>
      <c r="D2737" s="56"/>
      <c r="E2737" s="57"/>
      <c r="F2737" s="58"/>
      <c r="G2737" s="59"/>
      <c r="H2737" s="56"/>
      <c r="I2737" s="60" t="str">
        <f aca="false">IF(IsPro,IF($D2737="","",IFERROR(INDEX(Items!$D$5:$D$504,Q2737),"")),IF($D2737="","","PRO PLAN"))</f>
        <v/>
      </c>
      <c r="J2737" s="61" t="str">
        <f aca="false">IF(IsPro,IF($D2737="","",IF($F2737="",IFERROR(INDEX(Items!$G$5:$G$504,Q2737),0),$F2737)),"")</f>
        <v/>
      </c>
      <c r="K2737" s="61" t="str">
        <f aca="false">IF(IsPro,IF($D2737="","",ROUND(N($E2737)*J2737*(1-N($G2737)),2)),"")</f>
        <v/>
      </c>
      <c r="L2737" s="62" t="str">
        <f aca="false">IF(IsPro,IF($D2737="","",IFERROR(INDEX(Items!$F$5:$F$504,Q2737),0)),"")</f>
        <v/>
      </c>
      <c r="M2737" s="61" t="str">
        <f aca="false">IF(IsPro,IF($D2737="","",IF(AND(R2737&lt;&gt;"",INDEX(Parties!$E$5:$E$304,R2737)&lt;&gt;"",INDEX(Parties!$E$5:$E$304,R2737)&lt;&gt;HomeState),0,ROUND(K2737*L2737/2,2))),"")</f>
        <v/>
      </c>
      <c r="N2737" s="61" t="str">
        <f aca="false">IF(IsPro,IF($D2737="","",M2737),"")</f>
        <v/>
      </c>
      <c r="O2737" s="61" t="str">
        <f aca="false">IF(IsPro,IF($D2737="","",IF(AND(R2737&lt;&gt;"",INDEX(Parties!$E$5:$E$304,R2737)&lt;&gt;"",INDEX(Parties!$E$5:$E$304,R2737)&lt;&gt;HomeState),ROUND(K2737*L2737,2),0)),"")</f>
        <v/>
      </c>
      <c r="P2737" s="61" t="str">
        <f aca="false">IF(IsPro,IF($D2737="","",K2737+M2737+N2737+O2737),"")</f>
        <v/>
      </c>
      <c r="Q2737" s="60" t="str">
        <f aca="false">IF(IsPro,IF($D2737="","",IFERROR(MATCH($D2737,Items!$A$5:$A$504,0),"")),"")</f>
        <v/>
      </c>
      <c r="R2737" s="60" t="str">
        <f aca="false">IF(IsPro,IF($C2737="","",IFERROR(MATCH($C2737,Parties!$A$5:$A$304,0),"")),"")</f>
        <v/>
      </c>
      <c r="S2737" s="61" t="str">
        <f aca="false">IF(IsPro,IF($D2737="","",IF(OR($H2737="",$H2737="Credit"),0,P2737)),"")</f>
        <v/>
      </c>
    </row>
    <row r="2738" customFormat="false" ht="15" hidden="false" customHeight="false" outlineLevel="0" collapsed="false">
      <c r="A2738" s="55"/>
      <c r="B2738" s="56"/>
      <c r="C2738" s="56"/>
      <c r="D2738" s="56"/>
      <c r="E2738" s="57"/>
      <c r="F2738" s="58"/>
      <c r="G2738" s="59"/>
      <c r="H2738" s="56"/>
      <c r="I2738" s="60" t="str">
        <f aca="false">IF(IsPro,IF($D2738="","",IFERROR(INDEX(Items!$D$5:$D$504,Q2738),"")),IF($D2738="","","PRO PLAN"))</f>
        <v/>
      </c>
      <c r="J2738" s="61" t="str">
        <f aca="false">IF(IsPro,IF($D2738="","",IF($F2738="",IFERROR(INDEX(Items!$G$5:$G$504,Q2738),0),$F2738)),"")</f>
        <v/>
      </c>
      <c r="K2738" s="61" t="str">
        <f aca="false">IF(IsPro,IF($D2738="","",ROUND(N($E2738)*J2738*(1-N($G2738)),2)),"")</f>
        <v/>
      </c>
      <c r="L2738" s="62" t="str">
        <f aca="false">IF(IsPro,IF($D2738="","",IFERROR(INDEX(Items!$F$5:$F$504,Q2738),0)),"")</f>
        <v/>
      </c>
      <c r="M2738" s="61" t="str">
        <f aca="false">IF(IsPro,IF($D2738="","",IF(AND(R2738&lt;&gt;"",INDEX(Parties!$E$5:$E$304,R2738)&lt;&gt;"",INDEX(Parties!$E$5:$E$304,R2738)&lt;&gt;HomeState),0,ROUND(K2738*L2738/2,2))),"")</f>
        <v/>
      </c>
      <c r="N2738" s="61" t="str">
        <f aca="false">IF(IsPro,IF($D2738="","",M2738),"")</f>
        <v/>
      </c>
      <c r="O2738" s="61" t="str">
        <f aca="false">IF(IsPro,IF($D2738="","",IF(AND(R2738&lt;&gt;"",INDEX(Parties!$E$5:$E$304,R2738)&lt;&gt;"",INDEX(Parties!$E$5:$E$304,R2738)&lt;&gt;HomeState),ROUND(K2738*L2738,2),0)),"")</f>
        <v/>
      </c>
      <c r="P2738" s="61" t="str">
        <f aca="false">IF(IsPro,IF($D2738="","",K2738+M2738+N2738+O2738),"")</f>
        <v/>
      </c>
      <c r="Q2738" s="60" t="str">
        <f aca="false">IF(IsPro,IF($D2738="","",IFERROR(MATCH($D2738,Items!$A$5:$A$504,0),"")),"")</f>
        <v/>
      </c>
      <c r="R2738" s="60" t="str">
        <f aca="false">IF(IsPro,IF($C2738="","",IFERROR(MATCH($C2738,Parties!$A$5:$A$304,0),"")),"")</f>
        <v/>
      </c>
      <c r="S2738" s="61" t="str">
        <f aca="false">IF(IsPro,IF($D2738="","",IF(OR($H2738="",$H2738="Credit"),0,P2738)),"")</f>
        <v/>
      </c>
    </row>
    <row r="2739" customFormat="false" ht="15" hidden="false" customHeight="false" outlineLevel="0" collapsed="false">
      <c r="A2739" s="55"/>
      <c r="B2739" s="56"/>
      <c r="C2739" s="56"/>
      <c r="D2739" s="56"/>
      <c r="E2739" s="57"/>
      <c r="F2739" s="58"/>
      <c r="G2739" s="59"/>
      <c r="H2739" s="56"/>
      <c r="I2739" s="60" t="str">
        <f aca="false">IF(IsPro,IF($D2739="","",IFERROR(INDEX(Items!$D$5:$D$504,Q2739),"")),IF($D2739="","","PRO PLAN"))</f>
        <v/>
      </c>
      <c r="J2739" s="61" t="str">
        <f aca="false">IF(IsPro,IF($D2739="","",IF($F2739="",IFERROR(INDEX(Items!$G$5:$G$504,Q2739),0),$F2739)),"")</f>
        <v/>
      </c>
      <c r="K2739" s="61" t="str">
        <f aca="false">IF(IsPro,IF($D2739="","",ROUND(N($E2739)*J2739*(1-N($G2739)),2)),"")</f>
        <v/>
      </c>
      <c r="L2739" s="62" t="str">
        <f aca="false">IF(IsPro,IF($D2739="","",IFERROR(INDEX(Items!$F$5:$F$504,Q2739),0)),"")</f>
        <v/>
      </c>
      <c r="M2739" s="61" t="str">
        <f aca="false">IF(IsPro,IF($D2739="","",IF(AND(R2739&lt;&gt;"",INDEX(Parties!$E$5:$E$304,R2739)&lt;&gt;"",INDEX(Parties!$E$5:$E$304,R2739)&lt;&gt;HomeState),0,ROUND(K2739*L2739/2,2))),"")</f>
        <v/>
      </c>
      <c r="N2739" s="61" t="str">
        <f aca="false">IF(IsPro,IF($D2739="","",M2739),"")</f>
        <v/>
      </c>
      <c r="O2739" s="61" t="str">
        <f aca="false">IF(IsPro,IF($D2739="","",IF(AND(R2739&lt;&gt;"",INDEX(Parties!$E$5:$E$304,R2739)&lt;&gt;"",INDEX(Parties!$E$5:$E$304,R2739)&lt;&gt;HomeState),ROUND(K2739*L2739,2),0)),"")</f>
        <v/>
      </c>
      <c r="P2739" s="61" t="str">
        <f aca="false">IF(IsPro,IF($D2739="","",K2739+M2739+N2739+O2739),"")</f>
        <v/>
      </c>
      <c r="Q2739" s="60" t="str">
        <f aca="false">IF(IsPro,IF($D2739="","",IFERROR(MATCH($D2739,Items!$A$5:$A$504,0),"")),"")</f>
        <v/>
      </c>
      <c r="R2739" s="60" t="str">
        <f aca="false">IF(IsPro,IF($C2739="","",IFERROR(MATCH($C2739,Parties!$A$5:$A$304,0),"")),"")</f>
        <v/>
      </c>
      <c r="S2739" s="61" t="str">
        <f aca="false">IF(IsPro,IF($D2739="","",IF(OR($H2739="",$H2739="Credit"),0,P2739)),"")</f>
        <v/>
      </c>
    </row>
    <row r="2740" customFormat="false" ht="15" hidden="false" customHeight="false" outlineLevel="0" collapsed="false">
      <c r="A2740" s="55"/>
      <c r="B2740" s="56"/>
      <c r="C2740" s="56"/>
      <c r="D2740" s="56"/>
      <c r="E2740" s="57"/>
      <c r="F2740" s="58"/>
      <c r="G2740" s="59"/>
      <c r="H2740" s="56"/>
      <c r="I2740" s="60" t="str">
        <f aca="false">IF(IsPro,IF($D2740="","",IFERROR(INDEX(Items!$D$5:$D$504,Q2740),"")),IF($D2740="","","PRO PLAN"))</f>
        <v/>
      </c>
      <c r="J2740" s="61" t="str">
        <f aca="false">IF(IsPro,IF($D2740="","",IF($F2740="",IFERROR(INDEX(Items!$G$5:$G$504,Q2740),0),$F2740)),"")</f>
        <v/>
      </c>
      <c r="K2740" s="61" t="str">
        <f aca="false">IF(IsPro,IF($D2740="","",ROUND(N($E2740)*J2740*(1-N($G2740)),2)),"")</f>
        <v/>
      </c>
      <c r="L2740" s="62" t="str">
        <f aca="false">IF(IsPro,IF($D2740="","",IFERROR(INDEX(Items!$F$5:$F$504,Q2740),0)),"")</f>
        <v/>
      </c>
      <c r="M2740" s="61" t="str">
        <f aca="false">IF(IsPro,IF($D2740="","",IF(AND(R2740&lt;&gt;"",INDEX(Parties!$E$5:$E$304,R2740)&lt;&gt;"",INDEX(Parties!$E$5:$E$304,R2740)&lt;&gt;HomeState),0,ROUND(K2740*L2740/2,2))),"")</f>
        <v/>
      </c>
      <c r="N2740" s="61" t="str">
        <f aca="false">IF(IsPro,IF($D2740="","",M2740),"")</f>
        <v/>
      </c>
      <c r="O2740" s="61" t="str">
        <f aca="false">IF(IsPro,IF($D2740="","",IF(AND(R2740&lt;&gt;"",INDEX(Parties!$E$5:$E$304,R2740)&lt;&gt;"",INDEX(Parties!$E$5:$E$304,R2740)&lt;&gt;HomeState),ROUND(K2740*L2740,2),0)),"")</f>
        <v/>
      </c>
      <c r="P2740" s="61" t="str">
        <f aca="false">IF(IsPro,IF($D2740="","",K2740+M2740+N2740+O2740),"")</f>
        <v/>
      </c>
      <c r="Q2740" s="60" t="str">
        <f aca="false">IF(IsPro,IF($D2740="","",IFERROR(MATCH($D2740,Items!$A$5:$A$504,0),"")),"")</f>
        <v/>
      </c>
      <c r="R2740" s="60" t="str">
        <f aca="false">IF(IsPro,IF($C2740="","",IFERROR(MATCH($C2740,Parties!$A$5:$A$304,0),"")),"")</f>
        <v/>
      </c>
      <c r="S2740" s="61" t="str">
        <f aca="false">IF(IsPro,IF($D2740="","",IF(OR($H2740="",$H2740="Credit"),0,P2740)),"")</f>
        <v/>
      </c>
    </row>
    <row r="2741" customFormat="false" ht="15" hidden="false" customHeight="false" outlineLevel="0" collapsed="false">
      <c r="A2741" s="55"/>
      <c r="B2741" s="56"/>
      <c r="C2741" s="56"/>
      <c r="D2741" s="56"/>
      <c r="E2741" s="57"/>
      <c r="F2741" s="58"/>
      <c r="G2741" s="59"/>
      <c r="H2741" s="56"/>
      <c r="I2741" s="60" t="str">
        <f aca="false">IF(IsPro,IF($D2741="","",IFERROR(INDEX(Items!$D$5:$D$504,Q2741),"")),IF($D2741="","","PRO PLAN"))</f>
        <v/>
      </c>
      <c r="J2741" s="61" t="str">
        <f aca="false">IF(IsPro,IF($D2741="","",IF($F2741="",IFERROR(INDEX(Items!$G$5:$G$504,Q2741),0),$F2741)),"")</f>
        <v/>
      </c>
      <c r="K2741" s="61" t="str">
        <f aca="false">IF(IsPro,IF($D2741="","",ROUND(N($E2741)*J2741*(1-N($G2741)),2)),"")</f>
        <v/>
      </c>
      <c r="L2741" s="62" t="str">
        <f aca="false">IF(IsPro,IF($D2741="","",IFERROR(INDEX(Items!$F$5:$F$504,Q2741),0)),"")</f>
        <v/>
      </c>
      <c r="M2741" s="61" t="str">
        <f aca="false">IF(IsPro,IF($D2741="","",IF(AND(R2741&lt;&gt;"",INDEX(Parties!$E$5:$E$304,R2741)&lt;&gt;"",INDEX(Parties!$E$5:$E$304,R2741)&lt;&gt;HomeState),0,ROUND(K2741*L2741/2,2))),"")</f>
        <v/>
      </c>
      <c r="N2741" s="61" t="str">
        <f aca="false">IF(IsPro,IF($D2741="","",M2741),"")</f>
        <v/>
      </c>
      <c r="O2741" s="61" t="str">
        <f aca="false">IF(IsPro,IF($D2741="","",IF(AND(R2741&lt;&gt;"",INDEX(Parties!$E$5:$E$304,R2741)&lt;&gt;"",INDEX(Parties!$E$5:$E$304,R2741)&lt;&gt;HomeState),ROUND(K2741*L2741,2),0)),"")</f>
        <v/>
      </c>
      <c r="P2741" s="61" t="str">
        <f aca="false">IF(IsPro,IF($D2741="","",K2741+M2741+N2741+O2741),"")</f>
        <v/>
      </c>
      <c r="Q2741" s="60" t="str">
        <f aca="false">IF(IsPro,IF($D2741="","",IFERROR(MATCH($D2741,Items!$A$5:$A$504,0),"")),"")</f>
        <v/>
      </c>
      <c r="R2741" s="60" t="str">
        <f aca="false">IF(IsPro,IF($C2741="","",IFERROR(MATCH($C2741,Parties!$A$5:$A$304,0),"")),"")</f>
        <v/>
      </c>
      <c r="S2741" s="61" t="str">
        <f aca="false">IF(IsPro,IF($D2741="","",IF(OR($H2741="",$H2741="Credit"),0,P2741)),"")</f>
        <v/>
      </c>
    </row>
    <row r="2742" customFormat="false" ht="15" hidden="false" customHeight="false" outlineLevel="0" collapsed="false">
      <c r="A2742" s="55"/>
      <c r="B2742" s="56"/>
      <c r="C2742" s="56"/>
      <c r="D2742" s="56"/>
      <c r="E2742" s="57"/>
      <c r="F2742" s="58"/>
      <c r="G2742" s="59"/>
      <c r="H2742" s="56"/>
      <c r="I2742" s="60" t="str">
        <f aca="false">IF(IsPro,IF($D2742="","",IFERROR(INDEX(Items!$D$5:$D$504,Q2742),"")),IF($D2742="","","PRO PLAN"))</f>
        <v/>
      </c>
      <c r="J2742" s="61" t="str">
        <f aca="false">IF(IsPro,IF($D2742="","",IF($F2742="",IFERROR(INDEX(Items!$G$5:$G$504,Q2742),0),$F2742)),"")</f>
        <v/>
      </c>
      <c r="K2742" s="61" t="str">
        <f aca="false">IF(IsPro,IF($D2742="","",ROUND(N($E2742)*J2742*(1-N($G2742)),2)),"")</f>
        <v/>
      </c>
      <c r="L2742" s="62" t="str">
        <f aca="false">IF(IsPro,IF($D2742="","",IFERROR(INDEX(Items!$F$5:$F$504,Q2742),0)),"")</f>
        <v/>
      </c>
      <c r="M2742" s="61" t="str">
        <f aca="false">IF(IsPro,IF($D2742="","",IF(AND(R2742&lt;&gt;"",INDEX(Parties!$E$5:$E$304,R2742)&lt;&gt;"",INDEX(Parties!$E$5:$E$304,R2742)&lt;&gt;HomeState),0,ROUND(K2742*L2742/2,2))),"")</f>
        <v/>
      </c>
      <c r="N2742" s="61" t="str">
        <f aca="false">IF(IsPro,IF($D2742="","",M2742),"")</f>
        <v/>
      </c>
      <c r="O2742" s="61" t="str">
        <f aca="false">IF(IsPro,IF($D2742="","",IF(AND(R2742&lt;&gt;"",INDEX(Parties!$E$5:$E$304,R2742)&lt;&gt;"",INDEX(Parties!$E$5:$E$304,R2742)&lt;&gt;HomeState),ROUND(K2742*L2742,2),0)),"")</f>
        <v/>
      </c>
      <c r="P2742" s="61" t="str">
        <f aca="false">IF(IsPro,IF($D2742="","",K2742+M2742+N2742+O2742),"")</f>
        <v/>
      </c>
      <c r="Q2742" s="60" t="str">
        <f aca="false">IF(IsPro,IF($D2742="","",IFERROR(MATCH($D2742,Items!$A$5:$A$504,0),"")),"")</f>
        <v/>
      </c>
      <c r="R2742" s="60" t="str">
        <f aca="false">IF(IsPro,IF($C2742="","",IFERROR(MATCH($C2742,Parties!$A$5:$A$304,0),"")),"")</f>
        <v/>
      </c>
      <c r="S2742" s="61" t="str">
        <f aca="false">IF(IsPro,IF($D2742="","",IF(OR($H2742="",$H2742="Credit"),0,P2742)),"")</f>
        <v/>
      </c>
    </row>
    <row r="2743" customFormat="false" ht="15" hidden="false" customHeight="false" outlineLevel="0" collapsed="false">
      <c r="A2743" s="55"/>
      <c r="B2743" s="56"/>
      <c r="C2743" s="56"/>
      <c r="D2743" s="56"/>
      <c r="E2743" s="57"/>
      <c r="F2743" s="58"/>
      <c r="G2743" s="59"/>
      <c r="H2743" s="56"/>
      <c r="I2743" s="60" t="str">
        <f aca="false">IF(IsPro,IF($D2743="","",IFERROR(INDEX(Items!$D$5:$D$504,Q2743),"")),IF($D2743="","","PRO PLAN"))</f>
        <v/>
      </c>
      <c r="J2743" s="61" t="str">
        <f aca="false">IF(IsPro,IF($D2743="","",IF($F2743="",IFERROR(INDEX(Items!$G$5:$G$504,Q2743),0),$F2743)),"")</f>
        <v/>
      </c>
      <c r="K2743" s="61" t="str">
        <f aca="false">IF(IsPro,IF($D2743="","",ROUND(N($E2743)*J2743*(1-N($G2743)),2)),"")</f>
        <v/>
      </c>
      <c r="L2743" s="62" t="str">
        <f aca="false">IF(IsPro,IF($D2743="","",IFERROR(INDEX(Items!$F$5:$F$504,Q2743),0)),"")</f>
        <v/>
      </c>
      <c r="M2743" s="61" t="str">
        <f aca="false">IF(IsPro,IF($D2743="","",IF(AND(R2743&lt;&gt;"",INDEX(Parties!$E$5:$E$304,R2743)&lt;&gt;"",INDEX(Parties!$E$5:$E$304,R2743)&lt;&gt;HomeState),0,ROUND(K2743*L2743/2,2))),"")</f>
        <v/>
      </c>
      <c r="N2743" s="61" t="str">
        <f aca="false">IF(IsPro,IF($D2743="","",M2743),"")</f>
        <v/>
      </c>
      <c r="O2743" s="61" t="str">
        <f aca="false">IF(IsPro,IF($D2743="","",IF(AND(R2743&lt;&gt;"",INDEX(Parties!$E$5:$E$304,R2743)&lt;&gt;"",INDEX(Parties!$E$5:$E$304,R2743)&lt;&gt;HomeState),ROUND(K2743*L2743,2),0)),"")</f>
        <v/>
      </c>
      <c r="P2743" s="61" t="str">
        <f aca="false">IF(IsPro,IF($D2743="","",K2743+M2743+N2743+O2743),"")</f>
        <v/>
      </c>
      <c r="Q2743" s="60" t="str">
        <f aca="false">IF(IsPro,IF($D2743="","",IFERROR(MATCH($D2743,Items!$A$5:$A$504,0),"")),"")</f>
        <v/>
      </c>
      <c r="R2743" s="60" t="str">
        <f aca="false">IF(IsPro,IF($C2743="","",IFERROR(MATCH($C2743,Parties!$A$5:$A$304,0),"")),"")</f>
        <v/>
      </c>
      <c r="S2743" s="61" t="str">
        <f aca="false">IF(IsPro,IF($D2743="","",IF(OR($H2743="",$H2743="Credit"),0,P2743)),"")</f>
        <v/>
      </c>
    </row>
    <row r="2744" customFormat="false" ht="15" hidden="false" customHeight="false" outlineLevel="0" collapsed="false">
      <c r="A2744" s="55"/>
      <c r="B2744" s="56"/>
      <c r="C2744" s="56"/>
      <c r="D2744" s="56"/>
      <c r="E2744" s="57"/>
      <c r="F2744" s="58"/>
      <c r="G2744" s="59"/>
      <c r="H2744" s="56"/>
      <c r="I2744" s="60" t="str">
        <f aca="false">IF(IsPro,IF($D2744="","",IFERROR(INDEX(Items!$D$5:$D$504,Q2744),"")),IF($D2744="","","PRO PLAN"))</f>
        <v/>
      </c>
      <c r="J2744" s="61" t="str">
        <f aca="false">IF(IsPro,IF($D2744="","",IF($F2744="",IFERROR(INDEX(Items!$G$5:$G$504,Q2744),0),$F2744)),"")</f>
        <v/>
      </c>
      <c r="K2744" s="61" t="str">
        <f aca="false">IF(IsPro,IF($D2744="","",ROUND(N($E2744)*J2744*(1-N($G2744)),2)),"")</f>
        <v/>
      </c>
      <c r="L2744" s="62" t="str">
        <f aca="false">IF(IsPro,IF($D2744="","",IFERROR(INDEX(Items!$F$5:$F$504,Q2744),0)),"")</f>
        <v/>
      </c>
      <c r="M2744" s="61" t="str">
        <f aca="false">IF(IsPro,IF($D2744="","",IF(AND(R2744&lt;&gt;"",INDEX(Parties!$E$5:$E$304,R2744)&lt;&gt;"",INDEX(Parties!$E$5:$E$304,R2744)&lt;&gt;HomeState),0,ROUND(K2744*L2744/2,2))),"")</f>
        <v/>
      </c>
      <c r="N2744" s="61" t="str">
        <f aca="false">IF(IsPro,IF($D2744="","",M2744),"")</f>
        <v/>
      </c>
      <c r="O2744" s="61" t="str">
        <f aca="false">IF(IsPro,IF($D2744="","",IF(AND(R2744&lt;&gt;"",INDEX(Parties!$E$5:$E$304,R2744)&lt;&gt;"",INDEX(Parties!$E$5:$E$304,R2744)&lt;&gt;HomeState),ROUND(K2744*L2744,2),0)),"")</f>
        <v/>
      </c>
      <c r="P2744" s="61" t="str">
        <f aca="false">IF(IsPro,IF($D2744="","",K2744+M2744+N2744+O2744),"")</f>
        <v/>
      </c>
      <c r="Q2744" s="60" t="str">
        <f aca="false">IF(IsPro,IF($D2744="","",IFERROR(MATCH($D2744,Items!$A$5:$A$504,0),"")),"")</f>
        <v/>
      </c>
      <c r="R2744" s="60" t="str">
        <f aca="false">IF(IsPro,IF($C2744="","",IFERROR(MATCH($C2744,Parties!$A$5:$A$304,0),"")),"")</f>
        <v/>
      </c>
      <c r="S2744" s="61" t="str">
        <f aca="false">IF(IsPro,IF($D2744="","",IF(OR($H2744="",$H2744="Credit"),0,P2744)),"")</f>
        <v/>
      </c>
    </row>
    <row r="2745" customFormat="false" ht="15" hidden="false" customHeight="false" outlineLevel="0" collapsed="false">
      <c r="A2745" s="55"/>
      <c r="B2745" s="56"/>
      <c r="C2745" s="56"/>
      <c r="D2745" s="56"/>
      <c r="E2745" s="57"/>
      <c r="F2745" s="58"/>
      <c r="G2745" s="59"/>
      <c r="H2745" s="56"/>
      <c r="I2745" s="60" t="str">
        <f aca="false">IF(IsPro,IF($D2745="","",IFERROR(INDEX(Items!$D$5:$D$504,Q2745),"")),IF($D2745="","","PRO PLAN"))</f>
        <v/>
      </c>
      <c r="J2745" s="61" t="str">
        <f aca="false">IF(IsPro,IF($D2745="","",IF($F2745="",IFERROR(INDEX(Items!$G$5:$G$504,Q2745),0),$F2745)),"")</f>
        <v/>
      </c>
      <c r="K2745" s="61" t="str">
        <f aca="false">IF(IsPro,IF($D2745="","",ROUND(N($E2745)*J2745*(1-N($G2745)),2)),"")</f>
        <v/>
      </c>
      <c r="L2745" s="62" t="str">
        <f aca="false">IF(IsPro,IF($D2745="","",IFERROR(INDEX(Items!$F$5:$F$504,Q2745),0)),"")</f>
        <v/>
      </c>
      <c r="M2745" s="61" t="str">
        <f aca="false">IF(IsPro,IF($D2745="","",IF(AND(R2745&lt;&gt;"",INDEX(Parties!$E$5:$E$304,R2745)&lt;&gt;"",INDEX(Parties!$E$5:$E$304,R2745)&lt;&gt;HomeState),0,ROUND(K2745*L2745/2,2))),"")</f>
        <v/>
      </c>
      <c r="N2745" s="61" t="str">
        <f aca="false">IF(IsPro,IF($D2745="","",M2745),"")</f>
        <v/>
      </c>
      <c r="O2745" s="61" t="str">
        <f aca="false">IF(IsPro,IF($D2745="","",IF(AND(R2745&lt;&gt;"",INDEX(Parties!$E$5:$E$304,R2745)&lt;&gt;"",INDEX(Parties!$E$5:$E$304,R2745)&lt;&gt;HomeState),ROUND(K2745*L2745,2),0)),"")</f>
        <v/>
      </c>
      <c r="P2745" s="61" t="str">
        <f aca="false">IF(IsPro,IF($D2745="","",K2745+M2745+N2745+O2745),"")</f>
        <v/>
      </c>
      <c r="Q2745" s="60" t="str">
        <f aca="false">IF(IsPro,IF($D2745="","",IFERROR(MATCH($D2745,Items!$A$5:$A$504,0),"")),"")</f>
        <v/>
      </c>
      <c r="R2745" s="60" t="str">
        <f aca="false">IF(IsPro,IF($C2745="","",IFERROR(MATCH($C2745,Parties!$A$5:$A$304,0),"")),"")</f>
        <v/>
      </c>
      <c r="S2745" s="61" t="str">
        <f aca="false">IF(IsPro,IF($D2745="","",IF(OR($H2745="",$H2745="Credit"),0,P2745)),"")</f>
        <v/>
      </c>
    </row>
    <row r="2746" customFormat="false" ht="15" hidden="false" customHeight="false" outlineLevel="0" collapsed="false">
      <c r="A2746" s="55"/>
      <c r="B2746" s="56"/>
      <c r="C2746" s="56"/>
      <c r="D2746" s="56"/>
      <c r="E2746" s="57"/>
      <c r="F2746" s="58"/>
      <c r="G2746" s="59"/>
      <c r="H2746" s="56"/>
      <c r="I2746" s="60" t="str">
        <f aca="false">IF(IsPro,IF($D2746="","",IFERROR(INDEX(Items!$D$5:$D$504,Q2746),"")),IF($D2746="","","PRO PLAN"))</f>
        <v/>
      </c>
      <c r="J2746" s="61" t="str">
        <f aca="false">IF(IsPro,IF($D2746="","",IF($F2746="",IFERROR(INDEX(Items!$G$5:$G$504,Q2746),0),$F2746)),"")</f>
        <v/>
      </c>
      <c r="K2746" s="61" t="str">
        <f aca="false">IF(IsPro,IF($D2746="","",ROUND(N($E2746)*J2746*(1-N($G2746)),2)),"")</f>
        <v/>
      </c>
      <c r="L2746" s="62" t="str">
        <f aca="false">IF(IsPro,IF($D2746="","",IFERROR(INDEX(Items!$F$5:$F$504,Q2746),0)),"")</f>
        <v/>
      </c>
      <c r="M2746" s="61" t="str">
        <f aca="false">IF(IsPro,IF($D2746="","",IF(AND(R2746&lt;&gt;"",INDEX(Parties!$E$5:$E$304,R2746)&lt;&gt;"",INDEX(Parties!$E$5:$E$304,R2746)&lt;&gt;HomeState),0,ROUND(K2746*L2746/2,2))),"")</f>
        <v/>
      </c>
      <c r="N2746" s="61" t="str">
        <f aca="false">IF(IsPro,IF($D2746="","",M2746),"")</f>
        <v/>
      </c>
      <c r="O2746" s="61" t="str">
        <f aca="false">IF(IsPro,IF($D2746="","",IF(AND(R2746&lt;&gt;"",INDEX(Parties!$E$5:$E$304,R2746)&lt;&gt;"",INDEX(Parties!$E$5:$E$304,R2746)&lt;&gt;HomeState),ROUND(K2746*L2746,2),0)),"")</f>
        <v/>
      </c>
      <c r="P2746" s="61" t="str">
        <f aca="false">IF(IsPro,IF($D2746="","",K2746+M2746+N2746+O2746),"")</f>
        <v/>
      </c>
      <c r="Q2746" s="60" t="str">
        <f aca="false">IF(IsPro,IF($D2746="","",IFERROR(MATCH($D2746,Items!$A$5:$A$504,0),"")),"")</f>
        <v/>
      </c>
      <c r="R2746" s="60" t="str">
        <f aca="false">IF(IsPro,IF($C2746="","",IFERROR(MATCH($C2746,Parties!$A$5:$A$304,0),"")),"")</f>
        <v/>
      </c>
      <c r="S2746" s="61" t="str">
        <f aca="false">IF(IsPro,IF($D2746="","",IF(OR($H2746="",$H2746="Credit"),0,P2746)),"")</f>
        <v/>
      </c>
    </row>
    <row r="2747" customFormat="false" ht="15" hidden="false" customHeight="false" outlineLevel="0" collapsed="false">
      <c r="A2747" s="55"/>
      <c r="B2747" s="56"/>
      <c r="C2747" s="56"/>
      <c r="D2747" s="56"/>
      <c r="E2747" s="57"/>
      <c r="F2747" s="58"/>
      <c r="G2747" s="59"/>
      <c r="H2747" s="56"/>
      <c r="I2747" s="60" t="str">
        <f aca="false">IF(IsPro,IF($D2747="","",IFERROR(INDEX(Items!$D$5:$D$504,Q2747),"")),IF($D2747="","","PRO PLAN"))</f>
        <v/>
      </c>
      <c r="J2747" s="61" t="str">
        <f aca="false">IF(IsPro,IF($D2747="","",IF($F2747="",IFERROR(INDEX(Items!$G$5:$G$504,Q2747),0),$F2747)),"")</f>
        <v/>
      </c>
      <c r="K2747" s="61" t="str">
        <f aca="false">IF(IsPro,IF($D2747="","",ROUND(N($E2747)*J2747*(1-N($G2747)),2)),"")</f>
        <v/>
      </c>
      <c r="L2747" s="62" t="str">
        <f aca="false">IF(IsPro,IF($D2747="","",IFERROR(INDEX(Items!$F$5:$F$504,Q2747),0)),"")</f>
        <v/>
      </c>
      <c r="M2747" s="61" t="str">
        <f aca="false">IF(IsPro,IF($D2747="","",IF(AND(R2747&lt;&gt;"",INDEX(Parties!$E$5:$E$304,R2747)&lt;&gt;"",INDEX(Parties!$E$5:$E$304,R2747)&lt;&gt;HomeState),0,ROUND(K2747*L2747/2,2))),"")</f>
        <v/>
      </c>
      <c r="N2747" s="61" t="str">
        <f aca="false">IF(IsPro,IF($D2747="","",M2747),"")</f>
        <v/>
      </c>
      <c r="O2747" s="61" t="str">
        <f aca="false">IF(IsPro,IF($D2747="","",IF(AND(R2747&lt;&gt;"",INDEX(Parties!$E$5:$E$304,R2747)&lt;&gt;"",INDEX(Parties!$E$5:$E$304,R2747)&lt;&gt;HomeState),ROUND(K2747*L2747,2),0)),"")</f>
        <v/>
      </c>
      <c r="P2747" s="61" t="str">
        <f aca="false">IF(IsPro,IF($D2747="","",K2747+M2747+N2747+O2747),"")</f>
        <v/>
      </c>
      <c r="Q2747" s="60" t="str">
        <f aca="false">IF(IsPro,IF($D2747="","",IFERROR(MATCH($D2747,Items!$A$5:$A$504,0),"")),"")</f>
        <v/>
      </c>
      <c r="R2747" s="60" t="str">
        <f aca="false">IF(IsPro,IF($C2747="","",IFERROR(MATCH($C2747,Parties!$A$5:$A$304,0),"")),"")</f>
        <v/>
      </c>
      <c r="S2747" s="61" t="str">
        <f aca="false">IF(IsPro,IF($D2747="","",IF(OR($H2747="",$H2747="Credit"),0,P2747)),"")</f>
        <v/>
      </c>
    </row>
    <row r="2748" customFormat="false" ht="15" hidden="false" customHeight="false" outlineLevel="0" collapsed="false">
      <c r="A2748" s="55"/>
      <c r="B2748" s="56"/>
      <c r="C2748" s="56"/>
      <c r="D2748" s="56"/>
      <c r="E2748" s="57"/>
      <c r="F2748" s="58"/>
      <c r="G2748" s="59"/>
      <c r="H2748" s="56"/>
      <c r="I2748" s="60" t="str">
        <f aca="false">IF(IsPro,IF($D2748="","",IFERROR(INDEX(Items!$D$5:$D$504,Q2748),"")),IF($D2748="","","PRO PLAN"))</f>
        <v/>
      </c>
      <c r="J2748" s="61" t="str">
        <f aca="false">IF(IsPro,IF($D2748="","",IF($F2748="",IFERROR(INDEX(Items!$G$5:$G$504,Q2748),0),$F2748)),"")</f>
        <v/>
      </c>
      <c r="K2748" s="61" t="str">
        <f aca="false">IF(IsPro,IF($D2748="","",ROUND(N($E2748)*J2748*(1-N($G2748)),2)),"")</f>
        <v/>
      </c>
      <c r="L2748" s="62" t="str">
        <f aca="false">IF(IsPro,IF($D2748="","",IFERROR(INDEX(Items!$F$5:$F$504,Q2748),0)),"")</f>
        <v/>
      </c>
      <c r="M2748" s="61" t="str">
        <f aca="false">IF(IsPro,IF($D2748="","",IF(AND(R2748&lt;&gt;"",INDEX(Parties!$E$5:$E$304,R2748)&lt;&gt;"",INDEX(Parties!$E$5:$E$304,R2748)&lt;&gt;HomeState),0,ROUND(K2748*L2748/2,2))),"")</f>
        <v/>
      </c>
      <c r="N2748" s="61" t="str">
        <f aca="false">IF(IsPro,IF($D2748="","",M2748),"")</f>
        <v/>
      </c>
      <c r="O2748" s="61" t="str">
        <f aca="false">IF(IsPro,IF($D2748="","",IF(AND(R2748&lt;&gt;"",INDEX(Parties!$E$5:$E$304,R2748)&lt;&gt;"",INDEX(Parties!$E$5:$E$304,R2748)&lt;&gt;HomeState),ROUND(K2748*L2748,2),0)),"")</f>
        <v/>
      </c>
      <c r="P2748" s="61" t="str">
        <f aca="false">IF(IsPro,IF($D2748="","",K2748+M2748+N2748+O2748),"")</f>
        <v/>
      </c>
      <c r="Q2748" s="60" t="str">
        <f aca="false">IF(IsPro,IF($D2748="","",IFERROR(MATCH($D2748,Items!$A$5:$A$504,0),"")),"")</f>
        <v/>
      </c>
      <c r="R2748" s="60" t="str">
        <f aca="false">IF(IsPro,IF($C2748="","",IFERROR(MATCH($C2748,Parties!$A$5:$A$304,0),"")),"")</f>
        <v/>
      </c>
      <c r="S2748" s="61" t="str">
        <f aca="false">IF(IsPro,IF($D2748="","",IF(OR($H2748="",$H2748="Credit"),0,P2748)),"")</f>
        <v/>
      </c>
    </row>
    <row r="2749" customFormat="false" ht="15" hidden="false" customHeight="false" outlineLevel="0" collapsed="false">
      <c r="A2749" s="55"/>
      <c r="B2749" s="56"/>
      <c r="C2749" s="56"/>
      <c r="D2749" s="56"/>
      <c r="E2749" s="57"/>
      <c r="F2749" s="58"/>
      <c r="G2749" s="59"/>
      <c r="H2749" s="56"/>
      <c r="I2749" s="60" t="str">
        <f aca="false">IF(IsPro,IF($D2749="","",IFERROR(INDEX(Items!$D$5:$D$504,Q2749),"")),IF($D2749="","","PRO PLAN"))</f>
        <v/>
      </c>
      <c r="J2749" s="61" t="str">
        <f aca="false">IF(IsPro,IF($D2749="","",IF($F2749="",IFERROR(INDEX(Items!$G$5:$G$504,Q2749),0),$F2749)),"")</f>
        <v/>
      </c>
      <c r="K2749" s="61" t="str">
        <f aca="false">IF(IsPro,IF($D2749="","",ROUND(N($E2749)*J2749*(1-N($G2749)),2)),"")</f>
        <v/>
      </c>
      <c r="L2749" s="62" t="str">
        <f aca="false">IF(IsPro,IF($D2749="","",IFERROR(INDEX(Items!$F$5:$F$504,Q2749),0)),"")</f>
        <v/>
      </c>
      <c r="M2749" s="61" t="str">
        <f aca="false">IF(IsPro,IF($D2749="","",IF(AND(R2749&lt;&gt;"",INDEX(Parties!$E$5:$E$304,R2749)&lt;&gt;"",INDEX(Parties!$E$5:$E$304,R2749)&lt;&gt;HomeState),0,ROUND(K2749*L2749/2,2))),"")</f>
        <v/>
      </c>
      <c r="N2749" s="61" t="str">
        <f aca="false">IF(IsPro,IF($D2749="","",M2749),"")</f>
        <v/>
      </c>
      <c r="O2749" s="61" t="str">
        <f aca="false">IF(IsPro,IF($D2749="","",IF(AND(R2749&lt;&gt;"",INDEX(Parties!$E$5:$E$304,R2749)&lt;&gt;"",INDEX(Parties!$E$5:$E$304,R2749)&lt;&gt;HomeState),ROUND(K2749*L2749,2),0)),"")</f>
        <v/>
      </c>
      <c r="P2749" s="61" t="str">
        <f aca="false">IF(IsPro,IF($D2749="","",K2749+M2749+N2749+O2749),"")</f>
        <v/>
      </c>
      <c r="Q2749" s="60" t="str">
        <f aca="false">IF(IsPro,IF($D2749="","",IFERROR(MATCH($D2749,Items!$A$5:$A$504,0),"")),"")</f>
        <v/>
      </c>
      <c r="R2749" s="60" t="str">
        <f aca="false">IF(IsPro,IF($C2749="","",IFERROR(MATCH($C2749,Parties!$A$5:$A$304,0),"")),"")</f>
        <v/>
      </c>
      <c r="S2749" s="61" t="str">
        <f aca="false">IF(IsPro,IF($D2749="","",IF(OR($H2749="",$H2749="Credit"),0,P2749)),"")</f>
        <v/>
      </c>
    </row>
    <row r="2750" customFormat="false" ht="15" hidden="false" customHeight="false" outlineLevel="0" collapsed="false">
      <c r="A2750" s="55"/>
      <c r="B2750" s="56"/>
      <c r="C2750" s="56"/>
      <c r="D2750" s="56"/>
      <c r="E2750" s="57"/>
      <c r="F2750" s="58"/>
      <c r="G2750" s="59"/>
      <c r="H2750" s="56"/>
      <c r="I2750" s="60" t="str">
        <f aca="false">IF(IsPro,IF($D2750="","",IFERROR(INDEX(Items!$D$5:$D$504,Q2750),"")),IF($D2750="","","PRO PLAN"))</f>
        <v/>
      </c>
      <c r="J2750" s="61" t="str">
        <f aca="false">IF(IsPro,IF($D2750="","",IF($F2750="",IFERROR(INDEX(Items!$G$5:$G$504,Q2750),0),$F2750)),"")</f>
        <v/>
      </c>
      <c r="K2750" s="61" t="str">
        <f aca="false">IF(IsPro,IF($D2750="","",ROUND(N($E2750)*J2750*(1-N($G2750)),2)),"")</f>
        <v/>
      </c>
      <c r="L2750" s="62" t="str">
        <f aca="false">IF(IsPro,IF($D2750="","",IFERROR(INDEX(Items!$F$5:$F$504,Q2750),0)),"")</f>
        <v/>
      </c>
      <c r="M2750" s="61" t="str">
        <f aca="false">IF(IsPro,IF($D2750="","",IF(AND(R2750&lt;&gt;"",INDEX(Parties!$E$5:$E$304,R2750)&lt;&gt;"",INDEX(Parties!$E$5:$E$304,R2750)&lt;&gt;HomeState),0,ROUND(K2750*L2750/2,2))),"")</f>
        <v/>
      </c>
      <c r="N2750" s="61" t="str">
        <f aca="false">IF(IsPro,IF($D2750="","",M2750),"")</f>
        <v/>
      </c>
      <c r="O2750" s="61" t="str">
        <f aca="false">IF(IsPro,IF($D2750="","",IF(AND(R2750&lt;&gt;"",INDEX(Parties!$E$5:$E$304,R2750)&lt;&gt;"",INDEX(Parties!$E$5:$E$304,R2750)&lt;&gt;HomeState),ROUND(K2750*L2750,2),0)),"")</f>
        <v/>
      </c>
      <c r="P2750" s="61" t="str">
        <f aca="false">IF(IsPro,IF($D2750="","",K2750+M2750+N2750+O2750),"")</f>
        <v/>
      </c>
      <c r="Q2750" s="60" t="str">
        <f aca="false">IF(IsPro,IF($D2750="","",IFERROR(MATCH($D2750,Items!$A$5:$A$504,0),"")),"")</f>
        <v/>
      </c>
      <c r="R2750" s="60" t="str">
        <f aca="false">IF(IsPro,IF($C2750="","",IFERROR(MATCH($C2750,Parties!$A$5:$A$304,0),"")),"")</f>
        <v/>
      </c>
      <c r="S2750" s="61" t="str">
        <f aca="false">IF(IsPro,IF($D2750="","",IF(OR($H2750="",$H2750="Credit"),0,P2750)),"")</f>
        <v/>
      </c>
    </row>
    <row r="2751" customFormat="false" ht="15" hidden="false" customHeight="false" outlineLevel="0" collapsed="false">
      <c r="A2751" s="55"/>
      <c r="B2751" s="56"/>
      <c r="C2751" s="56"/>
      <c r="D2751" s="56"/>
      <c r="E2751" s="57"/>
      <c r="F2751" s="58"/>
      <c r="G2751" s="59"/>
      <c r="H2751" s="56"/>
      <c r="I2751" s="60" t="str">
        <f aca="false">IF(IsPro,IF($D2751="","",IFERROR(INDEX(Items!$D$5:$D$504,Q2751),"")),IF($D2751="","","PRO PLAN"))</f>
        <v/>
      </c>
      <c r="J2751" s="61" t="str">
        <f aca="false">IF(IsPro,IF($D2751="","",IF($F2751="",IFERROR(INDEX(Items!$G$5:$G$504,Q2751),0),$F2751)),"")</f>
        <v/>
      </c>
      <c r="K2751" s="61" t="str">
        <f aca="false">IF(IsPro,IF($D2751="","",ROUND(N($E2751)*J2751*(1-N($G2751)),2)),"")</f>
        <v/>
      </c>
      <c r="L2751" s="62" t="str">
        <f aca="false">IF(IsPro,IF($D2751="","",IFERROR(INDEX(Items!$F$5:$F$504,Q2751),0)),"")</f>
        <v/>
      </c>
      <c r="M2751" s="61" t="str">
        <f aca="false">IF(IsPro,IF($D2751="","",IF(AND(R2751&lt;&gt;"",INDEX(Parties!$E$5:$E$304,R2751)&lt;&gt;"",INDEX(Parties!$E$5:$E$304,R2751)&lt;&gt;HomeState),0,ROUND(K2751*L2751/2,2))),"")</f>
        <v/>
      </c>
      <c r="N2751" s="61" t="str">
        <f aca="false">IF(IsPro,IF($D2751="","",M2751),"")</f>
        <v/>
      </c>
      <c r="O2751" s="61" t="str">
        <f aca="false">IF(IsPro,IF($D2751="","",IF(AND(R2751&lt;&gt;"",INDEX(Parties!$E$5:$E$304,R2751)&lt;&gt;"",INDEX(Parties!$E$5:$E$304,R2751)&lt;&gt;HomeState),ROUND(K2751*L2751,2),0)),"")</f>
        <v/>
      </c>
      <c r="P2751" s="61" t="str">
        <f aca="false">IF(IsPro,IF($D2751="","",K2751+M2751+N2751+O2751),"")</f>
        <v/>
      </c>
      <c r="Q2751" s="60" t="str">
        <f aca="false">IF(IsPro,IF($D2751="","",IFERROR(MATCH($D2751,Items!$A$5:$A$504,0),"")),"")</f>
        <v/>
      </c>
      <c r="R2751" s="60" t="str">
        <f aca="false">IF(IsPro,IF($C2751="","",IFERROR(MATCH($C2751,Parties!$A$5:$A$304,0),"")),"")</f>
        <v/>
      </c>
      <c r="S2751" s="61" t="str">
        <f aca="false">IF(IsPro,IF($D2751="","",IF(OR($H2751="",$H2751="Credit"),0,P2751)),"")</f>
        <v/>
      </c>
    </row>
    <row r="2752" customFormat="false" ht="15" hidden="false" customHeight="false" outlineLevel="0" collapsed="false">
      <c r="A2752" s="55"/>
      <c r="B2752" s="56"/>
      <c r="C2752" s="56"/>
      <c r="D2752" s="56"/>
      <c r="E2752" s="57"/>
      <c r="F2752" s="58"/>
      <c r="G2752" s="59"/>
      <c r="H2752" s="56"/>
      <c r="I2752" s="60" t="str">
        <f aca="false">IF(IsPro,IF($D2752="","",IFERROR(INDEX(Items!$D$5:$D$504,Q2752),"")),IF($D2752="","","PRO PLAN"))</f>
        <v/>
      </c>
      <c r="J2752" s="61" t="str">
        <f aca="false">IF(IsPro,IF($D2752="","",IF($F2752="",IFERROR(INDEX(Items!$G$5:$G$504,Q2752),0),$F2752)),"")</f>
        <v/>
      </c>
      <c r="K2752" s="61" t="str">
        <f aca="false">IF(IsPro,IF($D2752="","",ROUND(N($E2752)*J2752*(1-N($G2752)),2)),"")</f>
        <v/>
      </c>
      <c r="L2752" s="62" t="str">
        <f aca="false">IF(IsPro,IF($D2752="","",IFERROR(INDEX(Items!$F$5:$F$504,Q2752),0)),"")</f>
        <v/>
      </c>
      <c r="M2752" s="61" t="str">
        <f aca="false">IF(IsPro,IF($D2752="","",IF(AND(R2752&lt;&gt;"",INDEX(Parties!$E$5:$E$304,R2752)&lt;&gt;"",INDEX(Parties!$E$5:$E$304,R2752)&lt;&gt;HomeState),0,ROUND(K2752*L2752/2,2))),"")</f>
        <v/>
      </c>
      <c r="N2752" s="61" t="str">
        <f aca="false">IF(IsPro,IF($D2752="","",M2752),"")</f>
        <v/>
      </c>
      <c r="O2752" s="61" t="str">
        <f aca="false">IF(IsPro,IF($D2752="","",IF(AND(R2752&lt;&gt;"",INDEX(Parties!$E$5:$E$304,R2752)&lt;&gt;"",INDEX(Parties!$E$5:$E$304,R2752)&lt;&gt;HomeState),ROUND(K2752*L2752,2),0)),"")</f>
        <v/>
      </c>
      <c r="P2752" s="61" t="str">
        <f aca="false">IF(IsPro,IF($D2752="","",K2752+M2752+N2752+O2752),"")</f>
        <v/>
      </c>
      <c r="Q2752" s="60" t="str">
        <f aca="false">IF(IsPro,IF($D2752="","",IFERROR(MATCH($D2752,Items!$A$5:$A$504,0),"")),"")</f>
        <v/>
      </c>
      <c r="R2752" s="60" t="str">
        <f aca="false">IF(IsPro,IF($C2752="","",IFERROR(MATCH($C2752,Parties!$A$5:$A$304,0),"")),"")</f>
        <v/>
      </c>
      <c r="S2752" s="61" t="str">
        <f aca="false">IF(IsPro,IF($D2752="","",IF(OR($H2752="",$H2752="Credit"),0,P2752)),"")</f>
        <v/>
      </c>
    </row>
    <row r="2753" customFormat="false" ht="15" hidden="false" customHeight="false" outlineLevel="0" collapsed="false">
      <c r="A2753" s="55"/>
      <c r="B2753" s="56"/>
      <c r="C2753" s="56"/>
      <c r="D2753" s="56"/>
      <c r="E2753" s="57"/>
      <c r="F2753" s="58"/>
      <c r="G2753" s="59"/>
      <c r="H2753" s="56"/>
      <c r="I2753" s="60" t="str">
        <f aca="false">IF(IsPro,IF($D2753="","",IFERROR(INDEX(Items!$D$5:$D$504,Q2753),"")),IF($D2753="","","PRO PLAN"))</f>
        <v/>
      </c>
      <c r="J2753" s="61" t="str">
        <f aca="false">IF(IsPro,IF($D2753="","",IF($F2753="",IFERROR(INDEX(Items!$G$5:$G$504,Q2753),0),$F2753)),"")</f>
        <v/>
      </c>
      <c r="K2753" s="61" t="str">
        <f aca="false">IF(IsPro,IF($D2753="","",ROUND(N($E2753)*J2753*(1-N($G2753)),2)),"")</f>
        <v/>
      </c>
      <c r="L2753" s="62" t="str">
        <f aca="false">IF(IsPro,IF($D2753="","",IFERROR(INDEX(Items!$F$5:$F$504,Q2753),0)),"")</f>
        <v/>
      </c>
      <c r="M2753" s="61" t="str">
        <f aca="false">IF(IsPro,IF($D2753="","",IF(AND(R2753&lt;&gt;"",INDEX(Parties!$E$5:$E$304,R2753)&lt;&gt;"",INDEX(Parties!$E$5:$E$304,R2753)&lt;&gt;HomeState),0,ROUND(K2753*L2753/2,2))),"")</f>
        <v/>
      </c>
      <c r="N2753" s="61" t="str">
        <f aca="false">IF(IsPro,IF($D2753="","",M2753),"")</f>
        <v/>
      </c>
      <c r="O2753" s="61" t="str">
        <f aca="false">IF(IsPro,IF($D2753="","",IF(AND(R2753&lt;&gt;"",INDEX(Parties!$E$5:$E$304,R2753)&lt;&gt;"",INDEX(Parties!$E$5:$E$304,R2753)&lt;&gt;HomeState),ROUND(K2753*L2753,2),0)),"")</f>
        <v/>
      </c>
      <c r="P2753" s="61" t="str">
        <f aca="false">IF(IsPro,IF($D2753="","",K2753+M2753+N2753+O2753),"")</f>
        <v/>
      </c>
      <c r="Q2753" s="60" t="str">
        <f aca="false">IF(IsPro,IF($D2753="","",IFERROR(MATCH($D2753,Items!$A$5:$A$504,0),"")),"")</f>
        <v/>
      </c>
      <c r="R2753" s="60" t="str">
        <f aca="false">IF(IsPro,IF($C2753="","",IFERROR(MATCH($C2753,Parties!$A$5:$A$304,0),"")),"")</f>
        <v/>
      </c>
      <c r="S2753" s="61" t="str">
        <f aca="false">IF(IsPro,IF($D2753="","",IF(OR($H2753="",$H2753="Credit"),0,P2753)),"")</f>
        <v/>
      </c>
    </row>
    <row r="2754" customFormat="false" ht="15" hidden="false" customHeight="false" outlineLevel="0" collapsed="false">
      <c r="A2754" s="55"/>
      <c r="B2754" s="56"/>
      <c r="C2754" s="56"/>
      <c r="D2754" s="56"/>
      <c r="E2754" s="57"/>
      <c r="F2754" s="58"/>
      <c r="G2754" s="59"/>
      <c r="H2754" s="56"/>
      <c r="I2754" s="60" t="str">
        <f aca="false">IF(IsPro,IF($D2754="","",IFERROR(INDEX(Items!$D$5:$D$504,Q2754),"")),IF($D2754="","","PRO PLAN"))</f>
        <v/>
      </c>
      <c r="J2754" s="61" t="str">
        <f aca="false">IF(IsPro,IF($D2754="","",IF($F2754="",IFERROR(INDEX(Items!$G$5:$G$504,Q2754),0),$F2754)),"")</f>
        <v/>
      </c>
      <c r="K2754" s="61" t="str">
        <f aca="false">IF(IsPro,IF($D2754="","",ROUND(N($E2754)*J2754*(1-N($G2754)),2)),"")</f>
        <v/>
      </c>
      <c r="L2754" s="62" t="str">
        <f aca="false">IF(IsPro,IF($D2754="","",IFERROR(INDEX(Items!$F$5:$F$504,Q2754),0)),"")</f>
        <v/>
      </c>
      <c r="M2754" s="61" t="str">
        <f aca="false">IF(IsPro,IF($D2754="","",IF(AND(R2754&lt;&gt;"",INDEX(Parties!$E$5:$E$304,R2754)&lt;&gt;"",INDEX(Parties!$E$5:$E$304,R2754)&lt;&gt;HomeState),0,ROUND(K2754*L2754/2,2))),"")</f>
        <v/>
      </c>
      <c r="N2754" s="61" t="str">
        <f aca="false">IF(IsPro,IF($D2754="","",M2754),"")</f>
        <v/>
      </c>
      <c r="O2754" s="61" t="str">
        <f aca="false">IF(IsPro,IF($D2754="","",IF(AND(R2754&lt;&gt;"",INDEX(Parties!$E$5:$E$304,R2754)&lt;&gt;"",INDEX(Parties!$E$5:$E$304,R2754)&lt;&gt;HomeState),ROUND(K2754*L2754,2),0)),"")</f>
        <v/>
      </c>
      <c r="P2754" s="61" t="str">
        <f aca="false">IF(IsPro,IF($D2754="","",K2754+M2754+N2754+O2754),"")</f>
        <v/>
      </c>
      <c r="Q2754" s="60" t="str">
        <f aca="false">IF(IsPro,IF($D2754="","",IFERROR(MATCH($D2754,Items!$A$5:$A$504,0),"")),"")</f>
        <v/>
      </c>
      <c r="R2754" s="60" t="str">
        <f aca="false">IF(IsPro,IF($C2754="","",IFERROR(MATCH($C2754,Parties!$A$5:$A$304,0),"")),"")</f>
        <v/>
      </c>
      <c r="S2754" s="61" t="str">
        <f aca="false">IF(IsPro,IF($D2754="","",IF(OR($H2754="",$H2754="Credit"),0,P2754)),"")</f>
        <v/>
      </c>
    </row>
    <row r="2755" customFormat="false" ht="15" hidden="false" customHeight="false" outlineLevel="0" collapsed="false">
      <c r="A2755" s="55"/>
      <c r="B2755" s="56"/>
      <c r="C2755" s="56"/>
      <c r="D2755" s="56"/>
      <c r="E2755" s="57"/>
      <c r="F2755" s="58"/>
      <c r="G2755" s="59"/>
      <c r="H2755" s="56"/>
      <c r="I2755" s="60" t="str">
        <f aca="false">IF(IsPro,IF($D2755="","",IFERROR(INDEX(Items!$D$5:$D$504,Q2755),"")),IF($D2755="","","PRO PLAN"))</f>
        <v/>
      </c>
      <c r="J2755" s="61" t="str">
        <f aca="false">IF(IsPro,IF($D2755="","",IF($F2755="",IFERROR(INDEX(Items!$G$5:$G$504,Q2755),0),$F2755)),"")</f>
        <v/>
      </c>
      <c r="K2755" s="61" t="str">
        <f aca="false">IF(IsPro,IF($D2755="","",ROUND(N($E2755)*J2755*(1-N($G2755)),2)),"")</f>
        <v/>
      </c>
      <c r="L2755" s="62" t="str">
        <f aca="false">IF(IsPro,IF($D2755="","",IFERROR(INDEX(Items!$F$5:$F$504,Q2755),0)),"")</f>
        <v/>
      </c>
      <c r="M2755" s="61" t="str">
        <f aca="false">IF(IsPro,IF($D2755="","",IF(AND(R2755&lt;&gt;"",INDEX(Parties!$E$5:$E$304,R2755)&lt;&gt;"",INDEX(Parties!$E$5:$E$304,R2755)&lt;&gt;HomeState),0,ROUND(K2755*L2755/2,2))),"")</f>
        <v/>
      </c>
      <c r="N2755" s="61" t="str">
        <f aca="false">IF(IsPro,IF($D2755="","",M2755),"")</f>
        <v/>
      </c>
      <c r="O2755" s="61" t="str">
        <f aca="false">IF(IsPro,IF($D2755="","",IF(AND(R2755&lt;&gt;"",INDEX(Parties!$E$5:$E$304,R2755)&lt;&gt;"",INDEX(Parties!$E$5:$E$304,R2755)&lt;&gt;HomeState),ROUND(K2755*L2755,2),0)),"")</f>
        <v/>
      </c>
      <c r="P2755" s="61" t="str">
        <f aca="false">IF(IsPro,IF($D2755="","",K2755+M2755+N2755+O2755),"")</f>
        <v/>
      </c>
      <c r="Q2755" s="60" t="str">
        <f aca="false">IF(IsPro,IF($D2755="","",IFERROR(MATCH($D2755,Items!$A$5:$A$504,0),"")),"")</f>
        <v/>
      </c>
      <c r="R2755" s="60" t="str">
        <f aca="false">IF(IsPro,IF($C2755="","",IFERROR(MATCH($C2755,Parties!$A$5:$A$304,0),"")),"")</f>
        <v/>
      </c>
      <c r="S2755" s="61" t="str">
        <f aca="false">IF(IsPro,IF($D2755="","",IF(OR($H2755="",$H2755="Credit"),0,P2755)),"")</f>
        <v/>
      </c>
    </row>
    <row r="2756" customFormat="false" ht="15" hidden="false" customHeight="false" outlineLevel="0" collapsed="false">
      <c r="A2756" s="55"/>
      <c r="B2756" s="56"/>
      <c r="C2756" s="56"/>
      <c r="D2756" s="56"/>
      <c r="E2756" s="57"/>
      <c r="F2756" s="58"/>
      <c r="G2756" s="59"/>
      <c r="H2756" s="56"/>
      <c r="I2756" s="60" t="str">
        <f aca="false">IF(IsPro,IF($D2756="","",IFERROR(INDEX(Items!$D$5:$D$504,Q2756),"")),IF($D2756="","","PRO PLAN"))</f>
        <v/>
      </c>
      <c r="J2756" s="61" t="str">
        <f aca="false">IF(IsPro,IF($D2756="","",IF($F2756="",IFERROR(INDEX(Items!$G$5:$G$504,Q2756),0),$F2756)),"")</f>
        <v/>
      </c>
      <c r="K2756" s="61" t="str">
        <f aca="false">IF(IsPro,IF($D2756="","",ROUND(N($E2756)*J2756*(1-N($G2756)),2)),"")</f>
        <v/>
      </c>
      <c r="L2756" s="62" t="str">
        <f aca="false">IF(IsPro,IF($D2756="","",IFERROR(INDEX(Items!$F$5:$F$504,Q2756),0)),"")</f>
        <v/>
      </c>
      <c r="M2756" s="61" t="str">
        <f aca="false">IF(IsPro,IF($D2756="","",IF(AND(R2756&lt;&gt;"",INDEX(Parties!$E$5:$E$304,R2756)&lt;&gt;"",INDEX(Parties!$E$5:$E$304,R2756)&lt;&gt;HomeState),0,ROUND(K2756*L2756/2,2))),"")</f>
        <v/>
      </c>
      <c r="N2756" s="61" t="str">
        <f aca="false">IF(IsPro,IF($D2756="","",M2756),"")</f>
        <v/>
      </c>
      <c r="O2756" s="61" t="str">
        <f aca="false">IF(IsPro,IF($D2756="","",IF(AND(R2756&lt;&gt;"",INDEX(Parties!$E$5:$E$304,R2756)&lt;&gt;"",INDEX(Parties!$E$5:$E$304,R2756)&lt;&gt;HomeState),ROUND(K2756*L2756,2),0)),"")</f>
        <v/>
      </c>
      <c r="P2756" s="61" t="str">
        <f aca="false">IF(IsPro,IF($D2756="","",K2756+M2756+N2756+O2756),"")</f>
        <v/>
      </c>
      <c r="Q2756" s="60" t="str">
        <f aca="false">IF(IsPro,IF($D2756="","",IFERROR(MATCH($D2756,Items!$A$5:$A$504,0),"")),"")</f>
        <v/>
      </c>
      <c r="R2756" s="60" t="str">
        <f aca="false">IF(IsPro,IF($C2756="","",IFERROR(MATCH($C2756,Parties!$A$5:$A$304,0),"")),"")</f>
        <v/>
      </c>
      <c r="S2756" s="61" t="str">
        <f aca="false">IF(IsPro,IF($D2756="","",IF(OR($H2756="",$H2756="Credit"),0,P2756)),"")</f>
        <v/>
      </c>
    </row>
    <row r="2757" customFormat="false" ht="15" hidden="false" customHeight="false" outlineLevel="0" collapsed="false">
      <c r="A2757" s="55"/>
      <c r="B2757" s="56"/>
      <c r="C2757" s="56"/>
      <c r="D2757" s="56"/>
      <c r="E2757" s="57"/>
      <c r="F2757" s="58"/>
      <c r="G2757" s="59"/>
      <c r="H2757" s="56"/>
      <c r="I2757" s="60" t="str">
        <f aca="false">IF(IsPro,IF($D2757="","",IFERROR(INDEX(Items!$D$5:$D$504,Q2757),"")),IF($D2757="","","PRO PLAN"))</f>
        <v/>
      </c>
      <c r="J2757" s="61" t="str">
        <f aca="false">IF(IsPro,IF($D2757="","",IF($F2757="",IFERROR(INDEX(Items!$G$5:$G$504,Q2757),0),$F2757)),"")</f>
        <v/>
      </c>
      <c r="K2757" s="61" t="str">
        <f aca="false">IF(IsPro,IF($D2757="","",ROUND(N($E2757)*J2757*(1-N($G2757)),2)),"")</f>
        <v/>
      </c>
      <c r="L2757" s="62" t="str">
        <f aca="false">IF(IsPro,IF($D2757="","",IFERROR(INDEX(Items!$F$5:$F$504,Q2757),0)),"")</f>
        <v/>
      </c>
      <c r="M2757" s="61" t="str">
        <f aca="false">IF(IsPro,IF($D2757="","",IF(AND(R2757&lt;&gt;"",INDEX(Parties!$E$5:$E$304,R2757)&lt;&gt;"",INDEX(Parties!$E$5:$E$304,R2757)&lt;&gt;HomeState),0,ROUND(K2757*L2757/2,2))),"")</f>
        <v/>
      </c>
      <c r="N2757" s="61" t="str">
        <f aca="false">IF(IsPro,IF($D2757="","",M2757),"")</f>
        <v/>
      </c>
      <c r="O2757" s="61" t="str">
        <f aca="false">IF(IsPro,IF($D2757="","",IF(AND(R2757&lt;&gt;"",INDEX(Parties!$E$5:$E$304,R2757)&lt;&gt;"",INDEX(Parties!$E$5:$E$304,R2757)&lt;&gt;HomeState),ROUND(K2757*L2757,2),0)),"")</f>
        <v/>
      </c>
      <c r="P2757" s="61" t="str">
        <f aca="false">IF(IsPro,IF($D2757="","",K2757+M2757+N2757+O2757),"")</f>
        <v/>
      </c>
      <c r="Q2757" s="60" t="str">
        <f aca="false">IF(IsPro,IF($D2757="","",IFERROR(MATCH($D2757,Items!$A$5:$A$504,0),"")),"")</f>
        <v/>
      </c>
      <c r="R2757" s="60" t="str">
        <f aca="false">IF(IsPro,IF($C2757="","",IFERROR(MATCH($C2757,Parties!$A$5:$A$304,0),"")),"")</f>
        <v/>
      </c>
      <c r="S2757" s="61" t="str">
        <f aca="false">IF(IsPro,IF($D2757="","",IF(OR($H2757="",$H2757="Credit"),0,P2757)),"")</f>
        <v/>
      </c>
    </row>
    <row r="2758" customFormat="false" ht="15" hidden="false" customHeight="false" outlineLevel="0" collapsed="false">
      <c r="A2758" s="55"/>
      <c r="B2758" s="56"/>
      <c r="C2758" s="56"/>
      <c r="D2758" s="56"/>
      <c r="E2758" s="57"/>
      <c r="F2758" s="58"/>
      <c r="G2758" s="59"/>
      <c r="H2758" s="56"/>
      <c r="I2758" s="60" t="str">
        <f aca="false">IF(IsPro,IF($D2758="","",IFERROR(INDEX(Items!$D$5:$D$504,Q2758),"")),IF($D2758="","","PRO PLAN"))</f>
        <v/>
      </c>
      <c r="J2758" s="61" t="str">
        <f aca="false">IF(IsPro,IF($D2758="","",IF($F2758="",IFERROR(INDEX(Items!$G$5:$G$504,Q2758),0),$F2758)),"")</f>
        <v/>
      </c>
      <c r="K2758" s="61" t="str">
        <f aca="false">IF(IsPro,IF($D2758="","",ROUND(N($E2758)*J2758*(1-N($G2758)),2)),"")</f>
        <v/>
      </c>
      <c r="L2758" s="62" t="str">
        <f aca="false">IF(IsPro,IF($D2758="","",IFERROR(INDEX(Items!$F$5:$F$504,Q2758),0)),"")</f>
        <v/>
      </c>
      <c r="M2758" s="61" t="str">
        <f aca="false">IF(IsPro,IF($D2758="","",IF(AND(R2758&lt;&gt;"",INDEX(Parties!$E$5:$E$304,R2758)&lt;&gt;"",INDEX(Parties!$E$5:$E$304,R2758)&lt;&gt;HomeState),0,ROUND(K2758*L2758/2,2))),"")</f>
        <v/>
      </c>
      <c r="N2758" s="61" t="str">
        <f aca="false">IF(IsPro,IF($D2758="","",M2758),"")</f>
        <v/>
      </c>
      <c r="O2758" s="61" t="str">
        <f aca="false">IF(IsPro,IF($D2758="","",IF(AND(R2758&lt;&gt;"",INDEX(Parties!$E$5:$E$304,R2758)&lt;&gt;"",INDEX(Parties!$E$5:$E$304,R2758)&lt;&gt;HomeState),ROUND(K2758*L2758,2),0)),"")</f>
        <v/>
      </c>
      <c r="P2758" s="61" t="str">
        <f aca="false">IF(IsPro,IF($D2758="","",K2758+M2758+N2758+O2758),"")</f>
        <v/>
      </c>
      <c r="Q2758" s="60" t="str">
        <f aca="false">IF(IsPro,IF($D2758="","",IFERROR(MATCH($D2758,Items!$A$5:$A$504,0),"")),"")</f>
        <v/>
      </c>
      <c r="R2758" s="60" t="str">
        <f aca="false">IF(IsPro,IF($C2758="","",IFERROR(MATCH($C2758,Parties!$A$5:$A$304,0),"")),"")</f>
        <v/>
      </c>
      <c r="S2758" s="61" t="str">
        <f aca="false">IF(IsPro,IF($D2758="","",IF(OR($H2758="",$H2758="Credit"),0,P2758)),"")</f>
        <v/>
      </c>
    </row>
    <row r="2759" customFormat="false" ht="15" hidden="false" customHeight="false" outlineLevel="0" collapsed="false">
      <c r="A2759" s="55"/>
      <c r="B2759" s="56"/>
      <c r="C2759" s="56"/>
      <c r="D2759" s="56"/>
      <c r="E2759" s="57"/>
      <c r="F2759" s="58"/>
      <c r="G2759" s="59"/>
      <c r="H2759" s="56"/>
      <c r="I2759" s="60" t="str">
        <f aca="false">IF(IsPro,IF($D2759="","",IFERROR(INDEX(Items!$D$5:$D$504,Q2759),"")),IF($D2759="","","PRO PLAN"))</f>
        <v/>
      </c>
      <c r="J2759" s="61" t="str">
        <f aca="false">IF(IsPro,IF($D2759="","",IF($F2759="",IFERROR(INDEX(Items!$G$5:$G$504,Q2759),0),$F2759)),"")</f>
        <v/>
      </c>
      <c r="K2759" s="61" t="str">
        <f aca="false">IF(IsPro,IF($D2759="","",ROUND(N($E2759)*J2759*(1-N($G2759)),2)),"")</f>
        <v/>
      </c>
      <c r="L2759" s="62" t="str">
        <f aca="false">IF(IsPro,IF($D2759="","",IFERROR(INDEX(Items!$F$5:$F$504,Q2759),0)),"")</f>
        <v/>
      </c>
      <c r="M2759" s="61" t="str">
        <f aca="false">IF(IsPro,IF($D2759="","",IF(AND(R2759&lt;&gt;"",INDEX(Parties!$E$5:$E$304,R2759)&lt;&gt;"",INDEX(Parties!$E$5:$E$304,R2759)&lt;&gt;HomeState),0,ROUND(K2759*L2759/2,2))),"")</f>
        <v/>
      </c>
      <c r="N2759" s="61" t="str">
        <f aca="false">IF(IsPro,IF($D2759="","",M2759),"")</f>
        <v/>
      </c>
      <c r="O2759" s="61" t="str">
        <f aca="false">IF(IsPro,IF($D2759="","",IF(AND(R2759&lt;&gt;"",INDEX(Parties!$E$5:$E$304,R2759)&lt;&gt;"",INDEX(Parties!$E$5:$E$304,R2759)&lt;&gt;HomeState),ROUND(K2759*L2759,2),0)),"")</f>
        <v/>
      </c>
      <c r="P2759" s="61" t="str">
        <f aca="false">IF(IsPro,IF($D2759="","",K2759+M2759+N2759+O2759),"")</f>
        <v/>
      </c>
      <c r="Q2759" s="60" t="str">
        <f aca="false">IF(IsPro,IF($D2759="","",IFERROR(MATCH($D2759,Items!$A$5:$A$504,0),"")),"")</f>
        <v/>
      </c>
      <c r="R2759" s="60" t="str">
        <f aca="false">IF(IsPro,IF($C2759="","",IFERROR(MATCH($C2759,Parties!$A$5:$A$304,0),"")),"")</f>
        <v/>
      </c>
      <c r="S2759" s="61" t="str">
        <f aca="false">IF(IsPro,IF($D2759="","",IF(OR($H2759="",$H2759="Credit"),0,P2759)),"")</f>
        <v/>
      </c>
    </row>
    <row r="2760" customFormat="false" ht="15" hidden="false" customHeight="false" outlineLevel="0" collapsed="false">
      <c r="A2760" s="55"/>
      <c r="B2760" s="56"/>
      <c r="C2760" s="56"/>
      <c r="D2760" s="56"/>
      <c r="E2760" s="57"/>
      <c r="F2760" s="58"/>
      <c r="G2760" s="59"/>
      <c r="H2760" s="56"/>
      <c r="I2760" s="60" t="str">
        <f aca="false">IF(IsPro,IF($D2760="","",IFERROR(INDEX(Items!$D$5:$D$504,Q2760),"")),IF($D2760="","","PRO PLAN"))</f>
        <v/>
      </c>
      <c r="J2760" s="61" t="str">
        <f aca="false">IF(IsPro,IF($D2760="","",IF($F2760="",IFERROR(INDEX(Items!$G$5:$G$504,Q2760),0),$F2760)),"")</f>
        <v/>
      </c>
      <c r="K2760" s="61" t="str">
        <f aca="false">IF(IsPro,IF($D2760="","",ROUND(N($E2760)*J2760*(1-N($G2760)),2)),"")</f>
        <v/>
      </c>
      <c r="L2760" s="62" t="str">
        <f aca="false">IF(IsPro,IF($D2760="","",IFERROR(INDEX(Items!$F$5:$F$504,Q2760),0)),"")</f>
        <v/>
      </c>
      <c r="M2760" s="61" t="str">
        <f aca="false">IF(IsPro,IF($D2760="","",IF(AND(R2760&lt;&gt;"",INDEX(Parties!$E$5:$E$304,R2760)&lt;&gt;"",INDEX(Parties!$E$5:$E$304,R2760)&lt;&gt;HomeState),0,ROUND(K2760*L2760/2,2))),"")</f>
        <v/>
      </c>
      <c r="N2760" s="61" t="str">
        <f aca="false">IF(IsPro,IF($D2760="","",M2760),"")</f>
        <v/>
      </c>
      <c r="O2760" s="61" t="str">
        <f aca="false">IF(IsPro,IF($D2760="","",IF(AND(R2760&lt;&gt;"",INDEX(Parties!$E$5:$E$304,R2760)&lt;&gt;"",INDEX(Parties!$E$5:$E$304,R2760)&lt;&gt;HomeState),ROUND(K2760*L2760,2),0)),"")</f>
        <v/>
      </c>
      <c r="P2760" s="61" t="str">
        <f aca="false">IF(IsPro,IF($D2760="","",K2760+M2760+N2760+O2760),"")</f>
        <v/>
      </c>
      <c r="Q2760" s="60" t="str">
        <f aca="false">IF(IsPro,IF($D2760="","",IFERROR(MATCH($D2760,Items!$A$5:$A$504,0),"")),"")</f>
        <v/>
      </c>
      <c r="R2760" s="60" t="str">
        <f aca="false">IF(IsPro,IF($C2760="","",IFERROR(MATCH($C2760,Parties!$A$5:$A$304,0),"")),"")</f>
        <v/>
      </c>
      <c r="S2760" s="61" t="str">
        <f aca="false">IF(IsPro,IF($D2760="","",IF(OR($H2760="",$H2760="Credit"),0,P2760)),"")</f>
        <v/>
      </c>
    </row>
    <row r="2761" customFormat="false" ht="15" hidden="false" customHeight="false" outlineLevel="0" collapsed="false">
      <c r="A2761" s="55"/>
      <c r="B2761" s="56"/>
      <c r="C2761" s="56"/>
      <c r="D2761" s="56"/>
      <c r="E2761" s="57"/>
      <c r="F2761" s="58"/>
      <c r="G2761" s="59"/>
      <c r="H2761" s="56"/>
      <c r="I2761" s="60" t="str">
        <f aca="false">IF(IsPro,IF($D2761="","",IFERROR(INDEX(Items!$D$5:$D$504,Q2761),"")),IF($D2761="","","PRO PLAN"))</f>
        <v/>
      </c>
      <c r="J2761" s="61" t="str">
        <f aca="false">IF(IsPro,IF($D2761="","",IF($F2761="",IFERROR(INDEX(Items!$G$5:$G$504,Q2761),0),$F2761)),"")</f>
        <v/>
      </c>
      <c r="K2761" s="61" t="str">
        <f aca="false">IF(IsPro,IF($D2761="","",ROUND(N($E2761)*J2761*(1-N($G2761)),2)),"")</f>
        <v/>
      </c>
      <c r="L2761" s="62" t="str">
        <f aca="false">IF(IsPro,IF($D2761="","",IFERROR(INDEX(Items!$F$5:$F$504,Q2761),0)),"")</f>
        <v/>
      </c>
      <c r="M2761" s="61" t="str">
        <f aca="false">IF(IsPro,IF($D2761="","",IF(AND(R2761&lt;&gt;"",INDEX(Parties!$E$5:$E$304,R2761)&lt;&gt;"",INDEX(Parties!$E$5:$E$304,R2761)&lt;&gt;HomeState),0,ROUND(K2761*L2761/2,2))),"")</f>
        <v/>
      </c>
      <c r="N2761" s="61" t="str">
        <f aca="false">IF(IsPro,IF($D2761="","",M2761),"")</f>
        <v/>
      </c>
      <c r="O2761" s="61" t="str">
        <f aca="false">IF(IsPro,IF($D2761="","",IF(AND(R2761&lt;&gt;"",INDEX(Parties!$E$5:$E$304,R2761)&lt;&gt;"",INDEX(Parties!$E$5:$E$304,R2761)&lt;&gt;HomeState),ROUND(K2761*L2761,2),0)),"")</f>
        <v/>
      </c>
      <c r="P2761" s="61" t="str">
        <f aca="false">IF(IsPro,IF($D2761="","",K2761+M2761+N2761+O2761),"")</f>
        <v/>
      </c>
      <c r="Q2761" s="60" t="str">
        <f aca="false">IF(IsPro,IF($D2761="","",IFERROR(MATCH($D2761,Items!$A$5:$A$504,0),"")),"")</f>
        <v/>
      </c>
      <c r="R2761" s="60" t="str">
        <f aca="false">IF(IsPro,IF($C2761="","",IFERROR(MATCH($C2761,Parties!$A$5:$A$304,0),"")),"")</f>
        <v/>
      </c>
      <c r="S2761" s="61" t="str">
        <f aca="false">IF(IsPro,IF($D2761="","",IF(OR($H2761="",$H2761="Credit"),0,P2761)),"")</f>
        <v/>
      </c>
    </row>
    <row r="2762" customFormat="false" ht="15" hidden="false" customHeight="false" outlineLevel="0" collapsed="false">
      <c r="A2762" s="55"/>
      <c r="B2762" s="56"/>
      <c r="C2762" s="56"/>
      <c r="D2762" s="56"/>
      <c r="E2762" s="57"/>
      <c r="F2762" s="58"/>
      <c r="G2762" s="59"/>
      <c r="H2762" s="56"/>
      <c r="I2762" s="60" t="str">
        <f aca="false">IF(IsPro,IF($D2762="","",IFERROR(INDEX(Items!$D$5:$D$504,Q2762),"")),IF($D2762="","","PRO PLAN"))</f>
        <v/>
      </c>
      <c r="J2762" s="61" t="str">
        <f aca="false">IF(IsPro,IF($D2762="","",IF($F2762="",IFERROR(INDEX(Items!$G$5:$G$504,Q2762),0),$F2762)),"")</f>
        <v/>
      </c>
      <c r="K2762" s="61" t="str">
        <f aca="false">IF(IsPro,IF($D2762="","",ROUND(N($E2762)*J2762*(1-N($G2762)),2)),"")</f>
        <v/>
      </c>
      <c r="L2762" s="62" t="str">
        <f aca="false">IF(IsPro,IF($D2762="","",IFERROR(INDEX(Items!$F$5:$F$504,Q2762),0)),"")</f>
        <v/>
      </c>
      <c r="M2762" s="61" t="str">
        <f aca="false">IF(IsPro,IF($D2762="","",IF(AND(R2762&lt;&gt;"",INDEX(Parties!$E$5:$E$304,R2762)&lt;&gt;"",INDEX(Parties!$E$5:$E$304,R2762)&lt;&gt;HomeState),0,ROUND(K2762*L2762/2,2))),"")</f>
        <v/>
      </c>
      <c r="N2762" s="61" t="str">
        <f aca="false">IF(IsPro,IF($D2762="","",M2762),"")</f>
        <v/>
      </c>
      <c r="O2762" s="61" t="str">
        <f aca="false">IF(IsPro,IF($D2762="","",IF(AND(R2762&lt;&gt;"",INDEX(Parties!$E$5:$E$304,R2762)&lt;&gt;"",INDEX(Parties!$E$5:$E$304,R2762)&lt;&gt;HomeState),ROUND(K2762*L2762,2),0)),"")</f>
        <v/>
      </c>
      <c r="P2762" s="61" t="str">
        <f aca="false">IF(IsPro,IF($D2762="","",K2762+M2762+N2762+O2762),"")</f>
        <v/>
      </c>
      <c r="Q2762" s="60" t="str">
        <f aca="false">IF(IsPro,IF($D2762="","",IFERROR(MATCH($D2762,Items!$A$5:$A$504,0),"")),"")</f>
        <v/>
      </c>
      <c r="R2762" s="60" t="str">
        <f aca="false">IF(IsPro,IF($C2762="","",IFERROR(MATCH($C2762,Parties!$A$5:$A$304,0),"")),"")</f>
        <v/>
      </c>
      <c r="S2762" s="61" t="str">
        <f aca="false">IF(IsPro,IF($D2762="","",IF(OR($H2762="",$H2762="Credit"),0,P2762)),"")</f>
        <v/>
      </c>
    </row>
    <row r="2763" customFormat="false" ht="15" hidden="false" customHeight="false" outlineLevel="0" collapsed="false">
      <c r="A2763" s="55"/>
      <c r="B2763" s="56"/>
      <c r="C2763" s="56"/>
      <c r="D2763" s="56"/>
      <c r="E2763" s="57"/>
      <c r="F2763" s="58"/>
      <c r="G2763" s="59"/>
      <c r="H2763" s="56"/>
      <c r="I2763" s="60" t="str">
        <f aca="false">IF(IsPro,IF($D2763="","",IFERROR(INDEX(Items!$D$5:$D$504,Q2763),"")),IF($D2763="","","PRO PLAN"))</f>
        <v/>
      </c>
      <c r="J2763" s="61" t="str">
        <f aca="false">IF(IsPro,IF($D2763="","",IF($F2763="",IFERROR(INDEX(Items!$G$5:$G$504,Q2763),0),$F2763)),"")</f>
        <v/>
      </c>
      <c r="K2763" s="61" t="str">
        <f aca="false">IF(IsPro,IF($D2763="","",ROUND(N($E2763)*J2763*(1-N($G2763)),2)),"")</f>
        <v/>
      </c>
      <c r="L2763" s="62" t="str">
        <f aca="false">IF(IsPro,IF($D2763="","",IFERROR(INDEX(Items!$F$5:$F$504,Q2763),0)),"")</f>
        <v/>
      </c>
      <c r="M2763" s="61" t="str">
        <f aca="false">IF(IsPro,IF($D2763="","",IF(AND(R2763&lt;&gt;"",INDEX(Parties!$E$5:$E$304,R2763)&lt;&gt;"",INDEX(Parties!$E$5:$E$304,R2763)&lt;&gt;HomeState),0,ROUND(K2763*L2763/2,2))),"")</f>
        <v/>
      </c>
      <c r="N2763" s="61" t="str">
        <f aca="false">IF(IsPro,IF($D2763="","",M2763),"")</f>
        <v/>
      </c>
      <c r="O2763" s="61" t="str">
        <f aca="false">IF(IsPro,IF($D2763="","",IF(AND(R2763&lt;&gt;"",INDEX(Parties!$E$5:$E$304,R2763)&lt;&gt;"",INDEX(Parties!$E$5:$E$304,R2763)&lt;&gt;HomeState),ROUND(K2763*L2763,2),0)),"")</f>
        <v/>
      </c>
      <c r="P2763" s="61" t="str">
        <f aca="false">IF(IsPro,IF($D2763="","",K2763+M2763+N2763+O2763),"")</f>
        <v/>
      </c>
      <c r="Q2763" s="60" t="str">
        <f aca="false">IF(IsPro,IF($D2763="","",IFERROR(MATCH($D2763,Items!$A$5:$A$504,0),"")),"")</f>
        <v/>
      </c>
      <c r="R2763" s="60" t="str">
        <f aca="false">IF(IsPro,IF($C2763="","",IFERROR(MATCH($C2763,Parties!$A$5:$A$304,0),"")),"")</f>
        <v/>
      </c>
      <c r="S2763" s="61" t="str">
        <f aca="false">IF(IsPro,IF($D2763="","",IF(OR($H2763="",$H2763="Credit"),0,P2763)),"")</f>
        <v/>
      </c>
    </row>
    <row r="2764" customFormat="false" ht="15" hidden="false" customHeight="false" outlineLevel="0" collapsed="false">
      <c r="A2764" s="55"/>
      <c r="B2764" s="56"/>
      <c r="C2764" s="56"/>
      <c r="D2764" s="56"/>
      <c r="E2764" s="57"/>
      <c r="F2764" s="58"/>
      <c r="G2764" s="59"/>
      <c r="H2764" s="56"/>
      <c r="I2764" s="60" t="str">
        <f aca="false">IF(IsPro,IF($D2764="","",IFERROR(INDEX(Items!$D$5:$D$504,Q2764),"")),IF($D2764="","","PRO PLAN"))</f>
        <v/>
      </c>
      <c r="J2764" s="61" t="str">
        <f aca="false">IF(IsPro,IF($D2764="","",IF($F2764="",IFERROR(INDEX(Items!$G$5:$G$504,Q2764),0),$F2764)),"")</f>
        <v/>
      </c>
      <c r="K2764" s="61" t="str">
        <f aca="false">IF(IsPro,IF($D2764="","",ROUND(N($E2764)*J2764*(1-N($G2764)),2)),"")</f>
        <v/>
      </c>
      <c r="L2764" s="62" t="str">
        <f aca="false">IF(IsPro,IF($D2764="","",IFERROR(INDEX(Items!$F$5:$F$504,Q2764),0)),"")</f>
        <v/>
      </c>
      <c r="M2764" s="61" t="str">
        <f aca="false">IF(IsPro,IF($D2764="","",IF(AND(R2764&lt;&gt;"",INDEX(Parties!$E$5:$E$304,R2764)&lt;&gt;"",INDEX(Parties!$E$5:$E$304,R2764)&lt;&gt;HomeState),0,ROUND(K2764*L2764/2,2))),"")</f>
        <v/>
      </c>
      <c r="N2764" s="61" t="str">
        <f aca="false">IF(IsPro,IF($D2764="","",M2764),"")</f>
        <v/>
      </c>
      <c r="O2764" s="61" t="str">
        <f aca="false">IF(IsPro,IF($D2764="","",IF(AND(R2764&lt;&gt;"",INDEX(Parties!$E$5:$E$304,R2764)&lt;&gt;"",INDEX(Parties!$E$5:$E$304,R2764)&lt;&gt;HomeState),ROUND(K2764*L2764,2),0)),"")</f>
        <v/>
      </c>
      <c r="P2764" s="61" t="str">
        <f aca="false">IF(IsPro,IF($D2764="","",K2764+M2764+N2764+O2764),"")</f>
        <v/>
      </c>
      <c r="Q2764" s="60" t="str">
        <f aca="false">IF(IsPro,IF($D2764="","",IFERROR(MATCH($D2764,Items!$A$5:$A$504,0),"")),"")</f>
        <v/>
      </c>
      <c r="R2764" s="60" t="str">
        <f aca="false">IF(IsPro,IF($C2764="","",IFERROR(MATCH($C2764,Parties!$A$5:$A$304,0),"")),"")</f>
        <v/>
      </c>
      <c r="S2764" s="61" t="str">
        <f aca="false">IF(IsPro,IF($D2764="","",IF(OR($H2764="",$H2764="Credit"),0,P2764)),"")</f>
        <v/>
      </c>
    </row>
    <row r="2765" customFormat="false" ht="15" hidden="false" customHeight="false" outlineLevel="0" collapsed="false">
      <c r="A2765" s="55"/>
      <c r="B2765" s="56"/>
      <c r="C2765" s="56"/>
      <c r="D2765" s="56"/>
      <c r="E2765" s="57"/>
      <c r="F2765" s="58"/>
      <c r="G2765" s="59"/>
      <c r="H2765" s="56"/>
      <c r="I2765" s="60" t="str">
        <f aca="false">IF(IsPro,IF($D2765="","",IFERROR(INDEX(Items!$D$5:$D$504,Q2765),"")),IF($D2765="","","PRO PLAN"))</f>
        <v/>
      </c>
      <c r="J2765" s="61" t="str">
        <f aca="false">IF(IsPro,IF($D2765="","",IF($F2765="",IFERROR(INDEX(Items!$G$5:$G$504,Q2765),0),$F2765)),"")</f>
        <v/>
      </c>
      <c r="K2765" s="61" t="str">
        <f aca="false">IF(IsPro,IF($D2765="","",ROUND(N($E2765)*J2765*(1-N($G2765)),2)),"")</f>
        <v/>
      </c>
      <c r="L2765" s="62" t="str">
        <f aca="false">IF(IsPro,IF($D2765="","",IFERROR(INDEX(Items!$F$5:$F$504,Q2765),0)),"")</f>
        <v/>
      </c>
      <c r="M2765" s="61" t="str">
        <f aca="false">IF(IsPro,IF($D2765="","",IF(AND(R2765&lt;&gt;"",INDEX(Parties!$E$5:$E$304,R2765)&lt;&gt;"",INDEX(Parties!$E$5:$E$304,R2765)&lt;&gt;HomeState),0,ROUND(K2765*L2765/2,2))),"")</f>
        <v/>
      </c>
      <c r="N2765" s="61" t="str">
        <f aca="false">IF(IsPro,IF($D2765="","",M2765),"")</f>
        <v/>
      </c>
      <c r="O2765" s="61" t="str">
        <f aca="false">IF(IsPro,IF($D2765="","",IF(AND(R2765&lt;&gt;"",INDEX(Parties!$E$5:$E$304,R2765)&lt;&gt;"",INDEX(Parties!$E$5:$E$304,R2765)&lt;&gt;HomeState),ROUND(K2765*L2765,2),0)),"")</f>
        <v/>
      </c>
      <c r="P2765" s="61" t="str">
        <f aca="false">IF(IsPro,IF($D2765="","",K2765+M2765+N2765+O2765),"")</f>
        <v/>
      </c>
      <c r="Q2765" s="60" t="str">
        <f aca="false">IF(IsPro,IF($D2765="","",IFERROR(MATCH($D2765,Items!$A$5:$A$504,0),"")),"")</f>
        <v/>
      </c>
      <c r="R2765" s="60" t="str">
        <f aca="false">IF(IsPro,IF($C2765="","",IFERROR(MATCH($C2765,Parties!$A$5:$A$304,0),"")),"")</f>
        <v/>
      </c>
      <c r="S2765" s="61" t="str">
        <f aca="false">IF(IsPro,IF($D2765="","",IF(OR($H2765="",$H2765="Credit"),0,P2765)),"")</f>
        <v/>
      </c>
    </row>
    <row r="2766" customFormat="false" ht="15" hidden="false" customHeight="false" outlineLevel="0" collapsed="false">
      <c r="A2766" s="55"/>
      <c r="B2766" s="56"/>
      <c r="C2766" s="56"/>
      <c r="D2766" s="56"/>
      <c r="E2766" s="57"/>
      <c r="F2766" s="58"/>
      <c r="G2766" s="59"/>
      <c r="H2766" s="56"/>
      <c r="I2766" s="60" t="str">
        <f aca="false">IF(IsPro,IF($D2766="","",IFERROR(INDEX(Items!$D$5:$D$504,Q2766),"")),IF($D2766="","","PRO PLAN"))</f>
        <v/>
      </c>
      <c r="J2766" s="61" t="str">
        <f aca="false">IF(IsPro,IF($D2766="","",IF($F2766="",IFERROR(INDEX(Items!$G$5:$G$504,Q2766),0),$F2766)),"")</f>
        <v/>
      </c>
      <c r="K2766" s="61" t="str">
        <f aca="false">IF(IsPro,IF($D2766="","",ROUND(N($E2766)*J2766*(1-N($G2766)),2)),"")</f>
        <v/>
      </c>
      <c r="L2766" s="62" t="str">
        <f aca="false">IF(IsPro,IF($D2766="","",IFERROR(INDEX(Items!$F$5:$F$504,Q2766),0)),"")</f>
        <v/>
      </c>
      <c r="M2766" s="61" t="str">
        <f aca="false">IF(IsPro,IF($D2766="","",IF(AND(R2766&lt;&gt;"",INDEX(Parties!$E$5:$E$304,R2766)&lt;&gt;"",INDEX(Parties!$E$5:$E$304,R2766)&lt;&gt;HomeState),0,ROUND(K2766*L2766/2,2))),"")</f>
        <v/>
      </c>
      <c r="N2766" s="61" t="str">
        <f aca="false">IF(IsPro,IF($D2766="","",M2766),"")</f>
        <v/>
      </c>
      <c r="O2766" s="61" t="str">
        <f aca="false">IF(IsPro,IF($D2766="","",IF(AND(R2766&lt;&gt;"",INDEX(Parties!$E$5:$E$304,R2766)&lt;&gt;"",INDEX(Parties!$E$5:$E$304,R2766)&lt;&gt;HomeState),ROUND(K2766*L2766,2),0)),"")</f>
        <v/>
      </c>
      <c r="P2766" s="61" t="str">
        <f aca="false">IF(IsPro,IF($D2766="","",K2766+M2766+N2766+O2766),"")</f>
        <v/>
      </c>
      <c r="Q2766" s="60" t="str">
        <f aca="false">IF(IsPro,IF($D2766="","",IFERROR(MATCH($D2766,Items!$A$5:$A$504,0),"")),"")</f>
        <v/>
      </c>
      <c r="R2766" s="60" t="str">
        <f aca="false">IF(IsPro,IF($C2766="","",IFERROR(MATCH($C2766,Parties!$A$5:$A$304,0),"")),"")</f>
        <v/>
      </c>
      <c r="S2766" s="61" t="str">
        <f aca="false">IF(IsPro,IF($D2766="","",IF(OR($H2766="",$H2766="Credit"),0,P2766)),"")</f>
        <v/>
      </c>
    </row>
    <row r="2767" customFormat="false" ht="15" hidden="false" customHeight="false" outlineLevel="0" collapsed="false">
      <c r="A2767" s="55"/>
      <c r="B2767" s="56"/>
      <c r="C2767" s="56"/>
      <c r="D2767" s="56"/>
      <c r="E2767" s="57"/>
      <c r="F2767" s="58"/>
      <c r="G2767" s="59"/>
      <c r="H2767" s="56"/>
      <c r="I2767" s="60" t="str">
        <f aca="false">IF(IsPro,IF($D2767="","",IFERROR(INDEX(Items!$D$5:$D$504,Q2767),"")),IF($D2767="","","PRO PLAN"))</f>
        <v/>
      </c>
      <c r="J2767" s="61" t="str">
        <f aca="false">IF(IsPro,IF($D2767="","",IF($F2767="",IFERROR(INDEX(Items!$G$5:$G$504,Q2767),0),$F2767)),"")</f>
        <v/>
      </c>
      <c r="K2767" s="61" t="str">
        <f aca="false">IF(IsPro,IF($D2767="","",ROUND(N($E2767)*J2767*(1-N($G2767)),2)),"")</f>
        <v/>
      </c>
      <c r="L2767" s="62" t="str">
        <f aca="false">IF(IsPro,IF($D2767="","",IFERROR(INDEX(Items!$F$5:$F$504,Q2767),0)),"")</f>
        <v/>
      </c>
      <c r="M2767" s="61" t="str">
        <f aca="false">IF(IsPro,IF($D2767="","",IF(AND(R2767&lt;&gt;"",INDEX(Parties!$E$5:$E$304,R2767)&lt;&gt;"",INDEX(Parties!$E$5:$E$304,R2767)&lt;&gt;HomeState),0,ROUND(K2767*L2767/2,2))),"")</f>
        <v/>
      </c>
      <c r="N2767" s="61" t="str">
        <f aca="false">IF(IsPro,IF($D2767="","",M2767),"")</f>
        <v/>
      </c>
      <c r="O2767" s="61" t="str">
        <f aca="false">IF(IsPro,IF($D2767="","",IF(AND(R2767&lt;&gt;"",INDEX(Parties!$E$5:$E$304,R2767)&lt;&gt;"",INDEX(Parties!$E$5:$E$304,R2767)&lt;&gt;HomeState),ROUND(K2767*L2767,2),0)),"")</f>
        <v/>
      </c>
      <c r="P2767" s="61" t="str">
        <f aca="false">IF(IsPro,IF($D2767="","",K2767+M2767+N2767+O2767),"")</f>
        <v/>
      </c>
      <c r="Q2767" s="60" t="str">
        <f aca="false">IF(IsPro,IF($D2767="","",IFERROR(MATCH($D2767,Items!$A$5:$A$504,0),"")),"")</f>
        <v/>
      </c>
      <c r="R2767" s="60" t="str">
        <f aca="false">IF(IsPro,IF($C2767="","",IFERROR(MATCH($C2767,Parties!$A$5:$A$304,0),"")),"")</f>
        <v/>
      </c>
      <c r="S2767" s="61" t="str">
        <f aca="false">IF(IsPro,IF($D2767="","",IF(OR($H2767="",$H2767="Credit"),0,P2767)),"")</f>
        <v/>
      </c>
    </row>
    <row r="2768" customFormat="false" ht="15" hidden="false" customHeight="false" outlineLevel="0" collapsed="false">
      <c r="A2768" s="55"/>
      <c r="B2768" s="56"/>
      <c r="C2768" s="56"/>
      <c r="D2768" s="56"/>
      <c r="E2768" s="57"/>
      <c r="F2768" s="58"/>
      <c r="G2768" s="59"/>
      <c r="H2768" s="56"/>
      <c r="I2768" s="60" t="str">
        <f aca="false">IF(IsPro,IF($D2768="","",IFERROR(INDEX(Items!$D$5:$D$504,Q2768),"")),IF($D2768="","","PRO PLAN"))</f>
        <v/>
      </c>
      <c r="J2768" s="61" t="str">
        <f aca="false">IF(IsPro,IF($D2768="","",IF($F2768="",IFERROR(INDEX(Items!$G$5:$G$504,Q2768),0),$F2768)),"")</f>
        <v/>
      </c>
      <c r="K2768" s="61" t="str">
        <f aca="false">IF(IsPro,IF($D2768="","",ROUND(N($E2768)*J2768*(1-N($G2768)),2)),"")</f>
        <v/>
      </c>
      <c r="L2768" s="62" t="str">
        <f aca="false">IF(IsPro,IF($D2768="","",IFERROR(INDEX(Items!$F$5:$F$504,Q2768),0)),"")</f>
        <v/>
      </c>
      <c r="M2768" s="61" t="str">
        <f aca="false">IF(IsPro,IF($D2768="","",IF(AND(R2768&lt;&gt;"",INDEX(Parties!$E$5:$E$304,R2768)&lt;&gt;"",INDEX(Parties!$E$5:$E$304,R2768)&lt;&gt;HomeState),0,ROUND(K2768*L2768/2,2))),"")</f>
        <v/>
      </c>
      <c r="N2768" s="61" t="str">
        <f aca="false">IF(IsPro,IF($D2768="","",M2768),"")</f>
        <v/>
      </c>
      <c r="O2768" s="61" t="str">
        <f aca="false">IF(IsPro,IF($D2768="","",IF(AND(R2768&lt;&gt;"",INDEX(Parties!$E$5:$E$304,R2768)&lt;&gt;"",INDEX(Parties!$E$5:$E$304,R2768)&lt;&gt;HomeState),ROUND(K2768*L2768,2),0)),"")</f>
        <v/>
      </c>
      <c r="P2768" s="61" t="str">
        <f aca="false">IF(IsPro,IF($D2768="","",K2768+M2768+N2768+O2768),"")</f>
        <v/>
      </c>
      <c r="Q2768" s="60" t="str">
        <f aca="false">IF(IsPro,IF($D2768="","",IFERROR(MATCH($D2768,Items!$A$5:$A$504,0),"")),"")</f>
        <v/>
      </c>
      <c r="R2768" s="60" t="str">
        <f aca="false">IF(IsPro,IF($C2768="","",IFERROR(MATCH($C2768,Parties!$A$5:$A$304,0),"")),"")</f>
        <v/>
      </c>
      <c r="S2768" s="61" t="str">
        <f aca="false">IF(IsPro,IF($D2768="","",IF(OR($H2768="",$H2768="Credit"),0,P2768)),"")</f>
        <v/>
      </c>
    </row>
    <row r="2769" customFormat="false" ht="15" hidden="false" customHeight="false" outlineLevel="0" collapsed="false">
      <c r="A2769" s="55"/>
      <c r="B2769" s="56"/>
      <c r="C2769" s="56"/>
      <c r="D2769" s="56"/>
      <c r="E2769" s="57"/>
      <c r="F2769" s="58"/>
      <c r="G2769" s="59"/>
      <c r="H2769" s="56"/>
      <c r="I2769" s="60" t="str">
        <f aca="false">IF(IsPro,IF($D2769="","",IFERROR(INDEX(Items!$D$5:$D$504,Q2769),"")),IF($D2769="","","PRO PLAN"))</f>
        <v/>
      </c>
      <c r="J2769" s="61" t="str">
        <f aca="false">IF(IsPro,IF($D2769="","",IF($F2769="",IFERROR(INDEX(Items!$G$5:$G$504,Q2769),0),$F2769)),"")</f>
        <v/>
      </c>
      <c r="K2769" s="61" t="str">
        <f aca="false">IF(IsPro,IF($D2769="","",ROUND(N($E2769)*J2769*(1-N($G2769)),2)),"")</f>
        <v/>
      </c>
      <c r="L2769" s="62" t="str">
        <f aca="false">IF(IsPro,IF($D2769="","",IFERROR(INDEX(Items!$F$5:$F$504,Q2769),0)),"")</f>
        <v/>
      </c>
      <c r="M2769" s="61" t="str">
        <f aca="false">IF(IsPro,IF($D2769="","",IF(AND(R2769&lt;&gt;"",INDEX(Parties!$E$5:$E$304,R2769)&lt;&gt;"",INDEX(Parties!$E$5:$E$304,R2769)&lt;&gt;HomeState),0,ROUND(K2769*L2769/2,2))),"")</f>
        <v/>
      </c>
      <c r="N2769" s="61" t="str">
        <f aca="false">IF(IsPro,IF($D2769="","",M2769),"")</f>
        <v/>
      </c>
      <c r="O2769" s="61" t="str">
        <f aca="false">IF(IsPro,IF($D2769="","",IF(AND(R2769&lt;&gt;"",INDEX(Parties!$E$5:$E$304,R2769)&lt;&gt;"",INDEX(Parties!$E$5:$E$304,R2769)&lt;&gt;HomeState),ROUND(K2769*L2769,2),0)),"")</f>
        <v/>
      </c>
      <c r="P2769" s="61" t="str">
        <f aca="false">IF(IsPro,IF($D2769="","",K2769+M2769+N2769+O2769),"")</f>
        <v/>
      </c>
      <c r="Q2769" s="60" t="str">
        <f aca="false">IF(IsPro,IF($D2769="","",IFERROR(MATCH($D2769,Items!$A$5:$A$504,0),"")),"")</f>
        <v/>
      </c>
      <c r="R2769" s="60" t="str">
        <f aca="false">IF(IsPro,IF($C2769="","",IFERROR(MATCH($C2769,Parties!$A$5:$A$304,0),"")),"")</f>
        <v/>
      </c>
      <c r="S2769" s="61" t="str">
        <f aca="false">IF(IsPro,IF($D2769="","",IF(OR($H2769="",$H2769="Credit"),0,P2769)),"")</f>
        <v/>
      </c>
    </row>
    <row r="2770" customFormat="false" ht="15" hidden="false" customHeight="false" outlineLevel="0" collapsed="false">
      <c r="A2770" s="55"/>
      <c r="B2770" s="56"/>
      <c r="C2770" s="56"/>
      <c r="D2770" s="56"/>
      <c r="E2770" s="57"/>
      <c r="F2770" s="58"/>
      <c r="G2770" s="59"/>
      <c r="H2770" s="56"/>
      <c r="I2770" s="60" t="str">
        <f aca="false">IF(IsPro,IF($D2770="","",IFERROR(INDEX(Items!$D$5:$D$504,Q2770),"")),IF($D2770="","","PRO PLAN"))</f>
        <v/>
      </c>
      <c r="J2770" s="61" t="str">
        <f aca="false">IF(IsPro,IF($D2770="","",IF($F2770="",IFERROR(INDEX(Items!$G$5:$G$504,Q2770),0),$F2770)),"")</f>
        <v/>
      </c>
      <c r="K2770" s="61" t="str">
        <f aca="false">IF(IsPro,IF($D2770="","",ROUND(N($E2770)*J2770*(1-N($G2770)),2)),"")</f>
        <v/>
      </c>
      <c r="L2770" s="62" t="str">
        <f aca="false">IF(IsPro,IF($D2770="","",IFERROR(INDEX(Items!$F$5:$F$504,Q2770),0)),"")</f>
        <v/>
      </c>
      <c r="M2770" s="61" t="str">
        <f aca="false">IF(IsPro,IF($D2770="","",IF(AND(R2770&lt;&gt;"",INDEX(Parties!$E$5:$E$304,R2770)&lt;&gt;"",INDEX(Parties!$E$5:$E$304,R2770)&lt;&gt;HomeState),0,ROUND(K2770*L2770/2,2))),"")</f>
        <v/>
      </c>
      <c r="N2770" s="61" t="str">
        <f aca="false">IF(IsPro,IF($D2770="","",M2770),"")</f>
        <v/>
      </c>
      <c r="O2770" s="61" t="str">
        <f aca="false">IF(IsPro,IF($D2770="","",IF(AND(R2770&lt;&gt;"",INDEX(Parties!$E$5:$E$304,R2770)&lt;&gt;"",INDEX(Parties!$E$5:$E$304,R2770)&lt;&gt;HomeState),ROUND(K2770*L2770,2),0)),"")</f>
        <v/>
      </c>
      <c r="P2770" s="61" t="str">
        <f aca="false">IF(IsPro,IF($D2770="","",K2770+M2770+N2770+O2770),"")</f>
        <v/>
      </c>
      <c r="Q2770" s="60" t="str">
        <f aca="false">IF(IsPro,IF($D2770="","",IFERROR(MATCH($D2770,Items!$A$5:$A$504,0),"")),"")</f>
        <v/>
      </c>
      <c r="R2770" s="60" t="str">
        <f aca="false">IF(IsPro,IF($C2770="","",IFERROR(MATCH($C2770,Parties!$A$5:$A$304,0),"")),"")</f>
        <v/>
      </c>
      <c r="S2770" s="61" t="str">
        <f aca="false">IF(IsPro,IF($D2770="","",IF(OR($H2770="",$H2770="Credit"),0,P2770)),"")</f>
        <v/>
      </c>
    </row>
    <row r="2771" customFormat="false" ht="15" hidden="false" customHeight="false" outlineLevel="0" collapsed="false">
      <c r="A2771" s="55"/>
      <c r="B2771" s="56"/>
      <c r="C2771" s="56"/>
      <c r="D2771" s="56"/>
      <c r="E2771" s="57"/>
      <c r="F2771" s="58"/>
      <c r="G2771" s="59"/>
      <c r="H2771" s="56"/>
      <c r="I2771" s="60" t="str">
        <f aca="false">IF(IsPro,IF($D2771="","",IFERROR(INDEX(Items!$D$5:$D$504,Q2771),"")),IF($D2771="","","PRO PLAN"))</f>
        <v/>
      </c>
      <c r="J2771" s="61" t="str">
        <f aca="false">IF(IsPro,IF($D2771="","",IF($F2771="",IFERROR(INDEX(Items!$G$5:$G$504,Q2771),0),$F2771)),"")</f>
        <v/>
      </c>
      <c r="K2771" s="61" t="str">
        <f aca="false">IF(IsPro,IF($D2771="","",ROUND(N($E2771)*J2771*(1-N($G2771)),2)),"")</f>
        <v/>
      </c>
      <c r="L2771" s="62" t="str">
        <f aca="false">IF(IsPro,IF($D2771="","",IFERROR(INDEX(Items!$F$5:$F$504,Q2771),0)),"")</f>
        <v/>
      </c>
      <c r="M2771" s="61" t="str">
        <f aca="false">IF(IsPro,IF($D2771="","",IF(AND(R2771&lt;&gt;"",INDEX(Parties!$E$5:$E$304,R2771)&lt;&gt;"",INDEX(Parties!$E$5:$E$304,R2771)&lt;&gt;HomeState),0,ROUND(K2771*L2771/2,2))),"")</f>
        <v/>
      </c>
      <c r="N2771" s="61" t="str">
        <f aca="false">IF(IsPro,IF($D2771="","",M2771),"")</f>
        <v/>
      </c>
      <c r="O2771" s="61" t="str">
        <f aca="false">IF(IsPro,IF($D2771="","",IF(AND(R2771&lt;&gt;"",INDEX(Parties!$E$5:$E$304,R2771)&lt;&gt;"",INDEX(Parties!$E$5:$E$304,R2771)&lt;&gt;HomeState),ROUND(K2771*L2771,2),0)),"")</f>
        <v/>
      </c>
      <c r="P2771" s="61" t="str">
        <f aca="false">IF(IsPro,IF($D2771="","",K2771+M2771+N2771+O2771),"")</f>
        <v/>
      </c>
      <c r="Q2771" s="60" t="str">
        <f aca="false">IF(IsPro,IF($D2771="","",IFERROR(MATCH($D2771,Items!$A$5:$A$504,0),"")),"")</f>
        <v/>
      </c>
      <c r="R2771" s="60" t="str">
        <f aca="false">IF(IsPro,IF($C2771="","",IFERROR(MATCH($C2771,Parties!$A$5:$A$304,0),"")),"")</f>
        <v/>
      </c>
      <c r="S2771" s="61" t="str">
        <f aca="false">IF(IsPro,IF($D2771="","",IF(OR($H2771="",$H2771="Credit"),0,P2771)),"")</f>
        <v/>
      </c>
    </row>
    <row r="2772" customFormat="false" ht="15" hidden="false" customHeight="false" outlineLevel="0" collapsed="false">
      <c r="A2772" s="55"/>
      <c r="B2772" s="56"/>
      <c r="C2772" s="56"/>
      <c r="D2772" s="56"/>
      <c r="E2772" s="57"/>
      <c r="F2772" s="58"/>
      <c r="G2772" s="59"/>
      <c r="H2772" s="56"/>
      <c r="I2772" s="60" t="str">
        <f aca="false">IF(IsPro,IF($D2772="","",IFERROR(INDEX(Items!$D$5:$D$504,Q2772),"")),IF($D2772="","","PRO PLAN"))</f>
        <v/>
      </c>
      <c r="J2772" s="61" t="str">
        <f aca="false">IF(IsPro,IF($D2772="","",IF($F2772="",IFERROR(INDEX(Items!$G$5:$G$504,Q2772),0),$F2772)),"")</f>
        <v/>
      </c>
      <c r="K2772" s="61" t="str">
        <f aca="false">IF(IsPro,IF($D2772="","",ROUND(N($E2772)*J2772*(1-N($G2772)),2)),"")</f>
        <v/>
      </c>
      <c r="L2772" s="62" t="str">
        <f aca="false">IF(IsPro,IF($D2772="","",IFERROR(INDEX(Items!$F$5:$F$504,Q2772),0)),"")</f>
        <v/>
      </c>
      <c r="M2772" s="61" t="str">
        <f aca="false">IF(IsPro,IF($D2772="","",IF(AND(R2772&lt;&gt;"",INDEX(Parties!$E$5:$E$304,R2772)&lt;&gt;"",INDEX(Parties!$E$5:$E$304,R2772)&lt;&gt;HomeState),0,ROUND(K2772*L2772/2,2))),"")</f>
        <v/>
      </c>
      <c r="N2772" s="61" t="str">
        <f aca="false">IF(IsPro,IF($D2772="","",M2772),"")</f>
        <v/>
      </c>
      <c r="O2772" s="61" t="str">
        <f aca="false">IF(IsPro,IF($D2772="","",IF(AND(R2772&lt;&gt;"",INDEX(Parties!$E$5:$E$304,R2772)&lt;&gt;"",INDEX(Parties!$E$5:$E$304,R2772)&lt;&gt;HomeState),ROUND(K2772*L2772,2),0)),"")</f>
        <v/>
      </c>
      <c r="P2772" s="61" t="str">
        <f aca="false">IF(IsPro,IF($D2772="","",K2772+M2772+N2772+O2772),"")</f>
        <v/>
      </c>
      <c r="Q2772" s="60" t="str">
        <f aca="false">IF(IsPro,IF($D2772="","",IFERROR(MATCH($D2772,Items!$A$5:$A$504,0),"")),"")</f>
        <v/>
      </c>
      <c r="R2772" s="60" t="str">
        <f aca="false">IF(IsPro,IF($C2772="","",IFERROR(MATCH($C2772,Parties!$A$5:$A$304,0),"")),"")</f>
        <v/>
      </c>
      <c r="S2772" s="61" t="str">
        <f aca="false">IF(IsPro,IF($D2772="","",IF(OR($H2772="",$H2772="Credit"),0,P2772)),"")</f>
        <v/>
      </c>
    </row>
    <row r="2773" customFormat="false" ht="15" hidden="false" customHeight="false" outlineLevel="0" collapsed="false">
      <c r="A2773" s="55"/>
      <c r="B2773" s="56"/>
      <c r="C2773" s="56"/>
      <c r="D2773" s="56"/>
      <c r="E2773" s="57"/>
      <c r="F2773" s="58"/>
      <c r="G2773" s="59"/>
      <c r="H2773" s="56"/>
      <c r="I2773" s="60" t="str">
        <f aca="false">IF(IsPro,IF($D2773="","",IFERROR(INDEX(Items!$D$5:$D$504,Q2773),"")),IF($D2773="","","PRO PLAN"))</f>
        <v/>
      </c>
      <c r="J2773" s="61" t="str">
        <f aca="false">IF(IsPro,IF($D2773="","",IF($F2773="",IFERROR(INDEX(Items!$G$5:$G$504,Q2773),0),$F2773)),"")</f>
        <v/>
      </c>
      <c r="K2773" s="61" t="str">
        <f aca="false">IF(IsPro,IF($D2773="","",ROUND(N($E2773)*J2773*(1-N($G2773)),2)),"")</f>
        <v/>
      </c>
      <c r="L2773" s="62" t="str">
        <f aca="false">IF(IsPro,IF($D2773="","",IFERROR(INDEX(Items!$F$5:$F$504,Q2773),0)),"")</f>
        <v/>
      </c>
      <c r="M2773" s="61" t="str">
        <f aca="false">IF(IsPro,IF($D2773="","",IF(AND(R2773&lt;&gt;"",INDEX(Parties!$E$5:$E$304,R2773)&lt;&gt;"",INDEX(Parties!$E$5:$E$304,R2773)&lt;&gt;HomeState),0,ROUND(K2773*L2773/2,2))),"")</f>
        <v/>
      </c>
      <c r="N2773" s="61" t="str">
        <f aca="false">IF(IsPro,IF($D2773="","",M2773),"")</f>
        <v/>
      </c>
      <c r="O2773" s="61" t="str">
        <f aca="false">IF(IsPro,IF($D2773="","",IF(AND(R2773&lt;&gt;"",INDEX(Parties!$E$5:$E$304,R2773)&lt;&gt;"",INDEX(Parties!$E$5:$E$304,R2773)&lt;&gt;HomeState),ROUND(K2773*L2773,2),0)),"")</f>
        <v/>
      </c>
      <c r="P2773" s="61" t="str">
        <f aca="false">IF(IsPro,IF($D2773="","",K2773+M2773+N2773+O2773),"")</f>
        <v/>
      </c>
      <c r="Q2773" s="60" t="str">
        <f aca="false">IF(IsPro,IF($D2773="","",IFERROR(MATCH($D2773,Items!$A$5:$A$504,0),"")),"")</f>
        <v/>
      </c>
      <c r="R2773" s="60" t="str">
        <f aca="false">IF(IsPro,IF($C2773="","",IFERROR(MATCH($C2773,Parties!$A$5:$A$304,0),"")),"")</f>
        <v/>
      </c>
      <c r="S2773" s="61" t="str">
        <f aca="false">IF(IsPro,IF($D2773="","",IF(OR($H2773="",$H2773="Credit"),0,P2773)),"")</f>
        <v/>
      </c>
    </row>
    <row r="2774" customFormat="false" ht="15" hidden="false" customHeight="false" outlineLevel="0" collapsed="false">
      <c r="A2774" s="55"/>
      <c r="B2774" s="56"/>
      <c r="C2774" s="56"/>
      <c r="D2774" s="56"/>
      <c r="E2774" s="57"/>
      <c r="F2774" s="58"/>
      <c r="G2774" s="59"/>
      <c r="H2774" s="56"/>
      <c r="I2774" s="60" t="str">
        <f aca="false">IF(IsPro,IF($D2774="","",IFERROR(INDEX(Items!$D$5:$D$504,Q2774),"")),IF($D2774="","","PRO PLAN"))</f>
        <v/>
      </c>
      <c r="J2774" s="61" t="str">
        <f aca="false">IF(IsPro,IF($D2774="","",IF($F2774="",IFERROR(INDEX(Items!$G$5:$G$504,Q2774),0),$F2774)),"")</f>
        <v/>
      </c>
      <c r="K2774" s="61" t="str">
        <f aca="false">IF(IsPro,IF($D2774="","",ROUND(N($E2774)*J2774*(1-N($G2774)),2)),"")</f>
        <v/>
      </c>
      <c r="L2774" s="62" t="str">
        <f aca="false">IF(IsPro,IF($D2774="","",IFERROR(INDEX(Items!$F$5:$F$504,Q2774),0)),"")</f>
        <v/>
      </c>
      <c r="M2774" s="61" t="str">
        <f aca="false">IF(IsPro,IF($D2774="","",IF(AND(R2774&lt;&gt;"",INDEX(Parties!$E$5:$E$304,R2774)&lt;&gt;"",INDEX(Parties!$E$5:$E$304,R2774)&lt;&gt;HomeState),0,ROUND(K2774*L2774/2,2))),"")</f>
        <v/>
      </c>
      <c r="N2774" s="61" t="str">
        <f aca="false">IF(IsPro,IF($D2774="","",M2774),"")</f>
        <v/>
      </c>
      <c r="O2774" s="61" t="str">
        <f aca="false">IF(IsPro,IF($D2774="","",IF(AND(R2774&lt;&gt;"",INDEX(Parties!$E$5:$E$304,R2774)&lt;&gt;"",INDEX(Parties!$E$5:$E$304,R2774)&lt;&gt;HomeState),ROUND(K2774*L2774,2),0)),"")</f>
        <v/>
      </c>
      <c r="P2774" s="61" t="str">
        <f aca="false">IF(IsPro,IF($D2774="","",K2774+M2774+N2774+O2774),"")</f>
        <v/>
      </c>
      <c r="Q2774" s="60" t="str">
        <f aca="false">IF(IsPro,IF($D2774="","",IFERROR(MATCH($D2774,Items!$A$5:$A$504,0),"")),"")</f>
        <v/>
      </c>
      <c r="R2774" s="60" t="str">
        <f aca="false">IF(IsPro,IF($C2774="","",IFERROR(MATCH($C2774,Parties!$A$5:$A$304,0),"")),"")</f>
        <v/>
      </c>
      <c r="S2774" s="61" t="str">
        <f aca="false">IF(IsPro,IF($D2774="","",IF(OR($H2774="",$H2774="Credit"),0,P2774)),"")</f>
        <v/>
      </c>
    </row>
    <row r="2775" customFormat="false" ht="15" hidden="false" customHeight="false" outlineLevel="0" collapsed="false">
      <c r="A2775" s="55"/>
      <c r="B2775" s="56"/>
      <c r="C2775" s="56"/>
      <c r="D2775" s="56"/>
      <c r="E2775" s="57"/>
      <c r="F2775" s="58"/>
      <c r="G2775" s="59"/>
      <c r="H2775" s="56"/>
      <c r="I2775" s="60" t="str">
        <f aca="false">IF(IsPro,IF($D2775="","",IFERROR(INDEX(Items!$D$5:$D$504,Q2775),"")),IF($D2775="","","PRO PLAN"))</f>
        <v/>
      </c>
      <c r="J2775" s="61" t="str">
        <f aca="false">IF(IsPro,IF($D2775="","",IF($F2775="",IFERROR(INDEX(Items!$G$5:$G$504,Q2775),0),$F2775)),"")</f>
        <v/>
      </c>
      <c r="K2775" s="61" t="str">
        <f aca="false">IF(IsPro,IF($D2775="","",ROUND(N($E2775)*J2775*(1-N($G2775)),2)),"")</f>
        <v/>
      </c>
      <c r="L2775" s="62" t="str">
        <f aca="false">IF(IsPro,IF($D2775="","",IFERROR(INDEX(Items!$F$5:$F$504,Q2775),0)),"")</f>
        <v/>
      </c>
      <c r="M2775" s="61" t="str">
        <f aca="false">IF(IsPro,IF($D2775="","",IF(AND(R2775&lt;&gt;"",INDEX(Parties!$E$5:$E$304,R2775)&lt;&gt;"",INDEX(Parties!$E$5:$E$304,R2775)&lt;&gt;HomeState),0,ROUND(K2775*L2775/2,2))),"")</f>
        <v/>
      </c>
      <c r="N2775" s="61" t="str">
        <f aca="false">IF(IsPro,IF($D2775="","",M2775),"")</f>
        <v/>
      </c>
      <c r="O2775" s="61" t="str">
        <f aca="false">IF(IsPro,IF($D2775="","",IF(AND(R2775&lt;&gt;"",INDEX(Parties!$E$5:$E$304,R2775)&lt;&gt;"",INDEX(Parties!$E$5:$E$304,R2775)&lt;&gt;HomeState),ROUND(K2775*L2775,2),0)),"")</f>
        <v/>
      </c>
      <c r="P2775" s="61" t="str">
        <f aca="false">IF(IsPro,IF($D2775="","",K2775+M2775+N2775+O2775),"")</f>
        <v/>
      </c>
      <c r="Q2775" s="60" t="str">
        <f aca="false">IF(IsPro,IF($D2775="","",IFERROR(MATCH($D2775,Items!$A$5:$A$504,0),"")),"")</f>
        <v/>
      </c>
      <c r="R2775" s="60" t="str">
        <f aca="false">IF(IsPro,IF($C2775="","",IFERROR(MATCH($C2775,Parties!$A$5:$A$304,0),"")),"")</f>
        <v/>
      </c>
      <c r="S2775" s="61" t="str">
        <f aca="false">IF(IsPro,IF($D2775="","",IF(OR($H2775="",$H2775="Credit"),0,P2775)),"")</f>
        <v/>
      </c>
    </row>
    <row r="2776" customFormat="false" ht="15" hidden="false" customHeight="false" outlineLevel="0" collapsed="false">
      <c r="A2776" s="55"/>
      <c r="B2776" s="56"/>
      <c r="C2776" s="56"/>
      <c r="D2776" s="56"/>
      <c r="E2776" s="57"/>
      <c r="F2776" s="58"/>
      <c r="G2776" s="59"/>
      <c r="H2776" s="56"/>
      <c r="I2776" s="60" t="str">
        <f aca="false">IF(IsPro,IF($D2776="","",IFERROR(INDEX(Items!$D$5:$D$504,Q2776),"")),IF($D2776="","","PRO PLAN"))</f>
        <v/>
      </c>
      <c r="J2776" s="61" t="str">
        <f aca="false">IF(IsPro,IF($D2776="","",IF($F2776="",IFERROR(INDEX(Items!$G$5:$G$504,Q2776),0),$F2776)),"")</f>
        <v/>
      </c>
      <c r="K2776" s="61" t="str">
        <f aca="false">IF(IsPro,IF($D2776="","",ROUND(N($E2776)*J2776*(1-N($G2776)),2)),"")</f>
        <v/>
      </c>
      <c r="L2776" s="62" t="str">
        <f aca="false">IF(IsPro,IF($D2776="","",IFERROR(INDEX(Items!$F$5:$F$504,Q2776),0)),"")</f>
        <v/>
      </c>
      <c r="M2776" s="61" t="str">
        <f aca="false">IF(IsPro,IF($D2776="","",IF(AND(R2776&lt;&gt;"",INDEX(Parties!$E$5:$E$304,R2776)&lt;&gt;"",INDEX(Parties!$E$5:$E$304,R2776)&lt;&gt;HomeState),0,ROUND(K2776*L2776/2,2))),"")</f>
        <v/>
      </c>
      <c r="N2776" s="61" t="str">
        <f aca="false">IF(IsPro,IF($D2776="","",M2776),"")</f>
        <v/>
      </c>
      <c r="O2776" s="61" t="str">
        <f aca="false">IF(IsPro,IF($D2776="","",IF(AND(R2776&lt;&gt;"",INDEX(Parties!$E$5:$E$304,R2776)&lt;&gt;"",INDEX(Parties!$E$5:$E$304,R2776)&lt;&gt;HomeState),ROUND(K2776*L2776,2),0)),"")</f>
        <v/>
      </c>
      <c r="P2776" s="61" t="str">
        <f aca="false">IF(IsPro,IF($D2776="","",K2776+M2776+N2776+O2776),"")</f>
        <v/>
      </c>
      <c r="Q2776" s="60" t="str">
        <f aca="false">IF(IsPro,IF($D2776="","",IFERROR(MATCH($D2776,Items!$A$5:$A$504,0),"")),"")</f>
        <v/>
      </c>
      <c r="R2776" s="60" t="str">
        <f aca="false">IF(IsPro,IF($C2776="","",IFERROR(MATCH($C2776,Parties!$A$5:$A$304,0),"")),"")</f>
        <v/>
      </c>
      <c r="S2776" s="61" t="str">
        <f aca="false">IF(IsPro,IF($D2776="","",IF(OR($H2776="",$H2776="Credit"),0,P2776)),"")</f>
        <v/>
      </c>
    </row>
    <row r="2777" customFormat="false" ht="15" hidden="false" customHeight="false" outlineLevel="0" collapsed="false">
      <c r="A2777" s="55"/>
      <c r="B2777" s="56"/>
      <c r="C2777" s="56"/>
      <c r="D2777" s="56"/>
      <c r="E2777" s="57"/>
      <c r="F2777" s="58"/>
      <c r="G2777" s="59"/>
      <c r="H2777" s="56"/>
      <c r="I2777" s="60" t="str">
        <f aca="false">IF(IsPro,IF($D2777="","",IFERROR(INDEX(Items!$D$5:$D$504,Q2777),"")),IF($D2777="","","PRO PLAN"))</f>
        <v/>
      </c>
      <c r="J2777" s="61" t="str">
        <f aca="false">IF(IsPro,IF($D2777="","",IF($F2777="",IFERROR(INDEX(Items!$G$5:$G$504,Q2777),0),$F2777)),"")</f>
        <v/>
      </c>
      <c r="K2777" s="61" t="str">
        <f aca="false">IF(IsPro,IF($D2777="","",ROUND(N($E2777)*J2777*(1-N($G2777)),2)),"")</f>
        <v/>
      </c>
      <c r="L2777" s="62" t="str">
        <f aca="false">IF(IsPro,IF($D2777="","",IFERROR(INDEX(Items!$F$5:$F$504,Q2777),0)),"")</f>
        <v/>
      </c>
      <c r="M2777" s="61" t="str">
        <f aca="false">IF(IsPro,IF($D2777="","",IF(AND(R2777&lt;&gt;"",INDEX(Parties!$E$5:$E$304,R2777)&lt;&gt;"",INDEX(Parties!$E$5:$E$304,R2777)&lt;&gt;HomeState),0,ROUND(K2777*L2777/2,2))),"")</f>
        <v/>
      </c>
      <c r="N2777" s="61" t="str">
        <f aca="false">IF(IsPro,IF($D2777="","",M2777),"")</f>
        <v/>
      </c>
      <c r="O2777" s="61" t="str">
        <f aca="false">IF(IsPro,IF($D2777="","",IF(AND(R2777&lt;&gt;"",INDEX(Parties!$E$5:$E$304,R2777)&lt;&gt;"",INDEX(Parties!$E$5:$E$304,R2777)&lt;&gt;HomeState),ROUND(K2777*L2777,2),0)),"")</f>
        <v/>
      </c>
      <c r="P2777" s="61" t="str">
        <f aca="false">IF(IsPro,IF($D2777="","",K2777+M2777+N2777+O2777),"")</f>
        <v/>
      </c>
      <c r="Q2777" s="60" t="str">
        <f aca="false">IF(IsPro,IF($D2777="","",IFERROR(MATCH($D2777,Items!$A$5:$A$504,0),"")),"")</f>
        <v/>
      </c>
      <c r="R2777" s="60" t="str">
        <f aca="false">IF(IsPro,IF($C2777="","",IFERROR(MATCH($C2777,Parties!$A$5:$A$304,0),"")),"")</f>
        <v/>
      </c>
      <c r="S2777" s="61" t="str">
        <f aca="false">IF(IsPro,IF($D2777="","",IF(OR($H2777="",$H2777="Credit"),0,P2777)),"")</f>
        <v/>
      </c>
    </row>
    <row r="2778" customFormat="false" ht="15" hidden="false" customHeight="false" outlineLevel="0" collapsed="false">
      <c r="A2778" s="55"/>
      <c r="B2778" s="56"/>
      <c r="C2778" s="56"/>
      <c r="D2778" s="56"/>
      <c r="E2778" s="57"/>
      <c r="F2778" s="58"/>
      <c r="G2778" s="59"/>
      <c r="H2778" s="56"/>
      <c r="I2778" s="60" t="str">
        <f aca="false">IF(IsPro,IF($D2778="","",IFERROR(INDEX(Items!$D$5:$D$504,Q2778),"")),IF($D2778="","","PRO PLAN"))</f>
        <v/>
      </c>
      <c r="J2778" s="61" t="str">
        <f aca="false">IF(IsPro,IF($D2778="","",IF($F2778="",IFERROR(INDEX(Items!$G$5:$G$504,Q2778),0),$F2778)),"")</f>
        <v/>
      </c>
      <c r="K2778" s="61" t="str">
        <f aca="false">IF(IsPro,IF($D2778="","",ROUND(N($E2778)*J2778*(1-N($G2778)),2)),"")</f>
        <v/>
      </c>
      <c r="L2778" s="62" t="str">
        <f aca="false">IF(IsPro,IF($D2778="","",IFERROR(INDEX(Items!$F$5:$F$504,Q2778),0)),"")</f>
        <v/>
      </c>
      <c r="M2778" s="61" t="str">
        <f aca="false">IF(IsPro,IF($D2778="","",IF(AND(R2778&lt;&gt;"",INDEX(Parties!$E$5:$E$304,R2778)&lt;&gt;"",INDEX(Parties!$E$5:$E$304,R2778)&lt;&gt;HomeState),0,ROUND(K2778*L2778/2,2))),"")</f>
        <v/>
      </c>
      <c r="N2778" s="61" t="str">
        <f aca="false">IF(IsPro,IF($D2778="","",M2778),"")</f>
        <v/>
      </c>
      <c r="O2778" s="61" t="str">
        <f aca="false">IF(IsPro,IF($D2778="","",IF(AND(R2778&lt;&gt;"",INDEX(Parties!$E$5:$E$304,R2778)&lt;&gt;"",INDEX(Parties!$E$5:$E$304,R2778)&lt;&gt;HomeState),ROUND(K2778*L2778,2),0)),"")</f>
        <v/>
      </c>
      <c r="P2778" s="61" t="str">
        <f aca="false">IF(IsPro,IF($D2778="","",K2778+M2778+N2778+O2778),"")</f>
        <v/>
      </c>
      <c r="Q2778" s="60" t="str">
        <f aca="false">IF(IsPro,IF($D2778="","",IFERROR(MATCH($D2778,Items!$A$5:$A$504,0),"")),"")</f>
        <v/>
      </c>
      <c r="R2778" s="60" t="str">
        <f aca="false">IF(IsPro,IF($C2778="","",IFERROR(MATCH($C2778,Parties!$A$5:$A$304,0),"")),"")</f>
        <v/>
      </c>
      <c r="S2778" s="61" t="str">
        <f aca="false">IF(IsPro,IF($D2778="","",IF(OR($H2778="",$H2778="Credit"),0,P2778)),"")</f>
        <v/>
      </c>
    </row>
    <row r="2779" customFormat="false" ht="15" hidden="false" customHeight="false" outlineLevel="0" collapsed="false">
      <c r="A2779" s="55"/>
      <c r="B2779" s="56"/>
      <c r="C2779" s="56"/>
      <c r="D2779" s="56"/>
      <c r="E2779" s="57"/>
      <c r="F2779" s="58"/>
      <c r="G2779" s="59"/>
      <c r="H2779" s="56"/>
      <c r="I2779" s="60" t="str">
        <f aca="false">IF(IsPro,IF($D2779="","",IFERROR(INDEX(Items!$D$5:$D$504,Q2779),"")),IF($D2779="","","PRO PLAN"))</f>
        <v/>
      </c>
      <c r="J2779" s="61" t="str">
        <f aca="false">IF(IsPro,IF($D2779="","",IF($F2779="",IFERROR(INDEX(Items!$G$5:$G$504,Q2779),0),$F2779)),"")</f>
        <v/>
      </c>
      <c r="K2779" s="61" t="str">
        <f aca="false">IF(IsPro,IF($D2779="","",ROUND(N($E2779)*J2779*(1-N($G2779)),2)),"")</f>
        <v/>
      </c>
      <c r="L2779" s="62" t="str">
        <f aca="false">IF(IsPro,IF($D2779="","",IFERROR(INDEX(Items!$F$5:$F$504,Q2779),0)),"")</f>
        <v/>
      </c>
      <c r="M2779" s="61" t="str">
        <f aca="false">IF(IsPro,IF($D2779="","",IF(AND(R2779&lt;&gt;"",INDEX(Parties!$E$5:$E$304,R2779)&lt;&gt;"",INDEX(Parties!$E$5:$E$304,R2779)&lt;&gt;HomeState),0,ROUND(K2779*L2779/2,2))),"")</f>
        <v/>
      </c>
      <c r="N2779" s="61" t="str">
        <f aca="false">IF(IsPro,IF($D2779="","",M2779),"")</f>
        <v/>
      </c>
      <c r="O2779" s="61" t="str">
        <f aca="false">IF(IsPro,IF($D2779="","",IF(AND(R2779&lt;&gt;"",INDEX(Parties!$E$5:$E$304,R2779)&lt;&gt;"",INDEX(Parties!$E$5:$E$304,R2779)&lt;&gt;HomeState),ROUND(K2779*L2779,2),0)),"")</f>
        <v/>
      </c>
      <c r="P2779" s="61" t="str">
        <f aca="false">IF(IsPro,IF($D2779="","",K2779+M2779+N2779+O2779),"")</f>
        <v/>
      </c>
      <c r="Q2779" s="60" t="str">
        <f aca="false">IF(IsPro,IF($D2779="","",IFERROR(MATCH($D2779,Items!$A$5:$A$504,0),"")),"")</f>
        <v/>
      </c>
      <c r="R2779" s="60" t="str">
        <f aca="false">IF(IsPro,IF($C2779="","",IFERROR(MATCH($C2779,Parties!$A$5:$A$304,0),"")),"")</f>
        <v/>
      </c>
      <c r="S2779" s="61" t="str">
        <f aca="false">IF(IsPro,IF($D2779="","",IF(OR($H2779="",$H2779="Credit"),0,P2779)),"")</f>
        <v/>
      </c>
    </row>
    <row r="2780" customFormat="false" ht="15" hidden="false" customHeight="false" outlineLevel="0" collapsed="false">
      <c r="A2780" s="55"/>
      <c r="B2780" s="56"/>
      <c r="C2780" s="56"/>
      <c r="D2780" s="56"/>
      <c r="E2780" s="57"/>
      <c r="F2780" s="58"/>
      <c r="G2780" s="59"/>
      <c r="H2780" s="56"/>
      <c r="I2780" s="60" t="str">
        <f aca="false">IF(IsPro,IF($D2780="","",IFERROR(INDEX(Items!$D$5:$D$504,Q2780),"")),IF($D2780="","","PRO PLAN"))</f>
        <v/>
      </c>
      <c r="J2780" s="61" t="str">
        <f aca="false">IF(IsPro,IF($D2780="","",IF($F2780="",IFERROR(INDEX(Items!$G$5:$G$504,Q2780),0),$F2780)),"")</f>
        <v/>
      </c>
      <c r="K2780" s="61" t="str">
        <f aca="false">IF(IsPro,IF($D2780="","",ROUND(N($E2780)*J2780*(1-N($G2780)),2)),"")</f>
        <v/>
      </c>
      <c r="L2780" s="62" t="str">
        <f aca="false">IF(IsPro,IF($D2780="","",IFERROR(INDEX(Items!$F$5:$F$504,Q2780),0)),"")</f>
        <v/>
      </c>
      <c r="M2780" s="61" t="str">
        <f aca="false">IF(IsPro,IF($D2780="","",IF(AND(R2780&lt;&gt;"",INDEX(Parties!$E$5:$E$304,R2780)&lt;&gt;"",INDEX(Parties!$E$5:$E$304,R2780)&lt;&gt;HomeState),0,ROUND(K2780*L2780/2,2))),"")</f>
        <v/>
      </c>
      <c r="N2780" s="61" t="str">
        <f aca="false">IF(IsPro,IF($D2780="","",M2780),"")</f>
        <v/>
      </c>
      <c r="O2780" s="61" t="str">
        <f aca="false">IF(IsPro,IF($D2780="","",IF(AND(R2780&lt;&gt;"",INDEX(Parties!$E$5:$E$304,R2780)&lt;&gt;"",INDEX(Parties!$E$5:$E$304,R2780)&lt;&gt;HomeState),ROUND(K2780*L2780,2),0)),"")</f>
        <v/>
      </c>
      <c r="P2780" s="61" t="str">
        <f aca="false">IF(IsPro,IF($D2780="","",K2780+M2780+N2780+O2780),"")</f>
        <v/>
      </c>
      <c r="Q2780" s="60" t="str">
        <f aca="false">IF(IsPro,IF($D2780="","",IFERROR(MATCH($D2780,Items!$A$5:$A$504,0),"")),"")</f>
        <v/>
      </c>
      <c r="R2780" s="60" t="str">
        <f aca="false">IF(IsPro,IF($C2780="","",IFERROR(MATCH($C2780,Parties!$A$5:$A$304,0),"")),"")</f>
        <v/>
      </c>
      <c r="S2780" s="61" t="str">
        <f aca="false">IF(IsPro,IF($D2780="","",IF(OR($H2780="",$H2780="Credit"),0,P2780)),"")</f>
        <v/>
      </c>
    </row>
    <row r="2781" customFormat="false" ht="15" hidden="false" customHeight="false" outlineLevel="0" collapsed="false">
      <c r="A2781" s="55"/>
      <c r="B2781" s="56"/>
      <c r="C2781" s="56"/>
      <c r="D2781" s="56"/>
      <c r="E2781" s="57"/>
      <c r="F2781" s="58"/>
      <c r="G2781" s="59"/>
      <c r="H2781" s="56"/>
      <c r="I2781" s="60" t="str">
        <f aca="false">IF(IsPro,IF($D2781="","",IFERROR(INDEX(Items!$D$5:$D$504,Q2781),"")),IF($D2781="","","PRO PLAN"))</f>
        <v/>
      </c>
      <c r="J2781" s="61" t="str">
        <f aca="false">IF(IsPro,IF($D2781="","",IF($F2781="",IFERROR(INDEX(Items!$G$5:$G$504,Q2781),0),$F2781)),"")</f>
        <v/>
      </c>
      <c r="K2781" s="61" t="str">
        <f aca="false">IF(IsPro,IF($D2781="","",ROUND(N($E2781)*J2781*(1-N($G2781)),2)),"")</f>
        <v/>
      </c>
      <c r="L2781" s="62" t="str">
        <f aca="false">IF(IsPro,IF($D2781="","",IFERROR(INDEX(Items!$F$5:$F$504,Q2781),0)),"")</f>
        <v/>
      </c>
      <c r="M2781" s="61" t="str">
        <f aca="false">IF(IsPro,IF($D2781="","",IF(AND(R2781&lt;&gt;"",INDEX(Parties!$E$5:$E$304,R2781)&lt;&gt;"",INDEX(Parties!$E$5:$E$304,R2781)&lt;&gt;HomeState),0,ROUND(K2781*L2781/2,2))),"")</f>
        <v/>
      </c>
      <c r="N2781" s="61" t="str">
        <f aca="false">IF(IsPro,IF($D2781="","",M2781),"")</f>
        <v/>
      </c>
      <c r="O2781" s="61" t="str">
        <f aca="false">IF(IsPro,IF($D2781="","",IF(AND(R2781&lt;&gt;"",INDEX(Parties!$E$5:$E$304,R2781)&lt;&gt;"",INDEX(Parties!$E$5:$E$304,R2781)&lt;&gt;HomeState),ROUND(K2781*L2781,2),0)),"")</f>
        <v/>
      </c>
      <c r="P2781" s="61" t="str">
        <f aca="false">IF(IsPro,IF($D2781="","",K2781+M2781+N2781+O2781),"")</f>
        <v/>
      </c>
      <c r="Q2781" s="60" t="str">
        <f aca="false">IF(IsPro,IF($D2781="","",IFERROR(MATCH($D2781,Items!$A$5:$A$504,0),"")),"")</f>
        <v/>
      </c>
      <c r="R2781" s="60" t="str">
        <f aca="false">IF(IsPro,IF($C2781="","",IFERROR(MATCH($C2781,Parties!$A$5:$A$304,0),"")),"")</f>
        <v/>
      </c>
      <c r="S2781" s="61" t="str">
        <f aca="false">IF(IsPro,IF($D2781="","",IF(OR($H2781="",$H2781="Credit"),0,P2781)),"")</f>
        <v/>
      </c>
    </row>
    <row r="2782" customFormat="false" ht="15" hidden="false" customHeight="false" outlineLevel="0" collapsed="false">
      <c r="A2782" s="55"/>
      <c r="B2782" s="56"/>
      <c r="C2782" s="56"/>
      <c r="D2782" s="56"/>
      <c r="E2782" s="57"/>
      <c r="F2782" s="58"/>
      <c r="G2782" s="59"/>
      <c r="H2782" s="56"/>
      <c r="I2782" s="60" t="str">
        <f aca="false">IF(IsPro,IF($D2782="","",IFERROR(INDEX(Items!$D$5:$D$504,Q2782),"")),IF($D2782="","","PRO PLAN"))</f>
        <v/>
      </c>
      <c r="J2782" s="61" t="str">
        <f aca="false">IF(IsPro,IF($D2782="","",IF($F2782="",IFERROR(INDEX(Items!$G$5:$G$504,Q2782),0),$F2782)),"")</f>
        <v/>
      </c>
      <c r="K2782" s="61" t="str">
        <f aca="false">IF(IsPro,IF($D2782="","",ROUND(N($E2782)*J2782*(1-N($G2782)),2)),"")</f>
        <v/>
      </c>
      <c r="L2782" s="62" t="str">
        <f aca="false">IF(IsPro,IF($D2782="","",IFERROR(INDEX(Items!$F$5:$F$504,Q2782),0)),"")</f>
        <v/>
      </c>
      <c r="M2782" s="61" t="str">
        <f aca="false">IF(IsPro,IF($D2782="","",IF(AND(R2782&lt;&gt;"",INDEX(Parties!$E$5:$E$304,R2782)&lt;&gt;"",INDEX(Parties!$E$5:$E$304,R2782)&lt;&gt;HomeState),0,ROUND(K2782*L2782/2,2))),"")</f>
        <v/>
      </c>
      <c r="N2782" s="61" t="str">
        <f aca="false">IF(IsPro,IF($D2782="","",M2782),"")</f>
        <v/>
      </c>
      <c r="O2782" s="61" t="str">
        <f aca="false">IF(IsPro,IF($D2782="","",IF(AND(R2782&lt;&gt;"",INDEX(Parties!$E$5:$E$304,R2782)&lt;&gt;"",INDEX(Parties!$E$5:$E$304,R2782)&lt;&gt;HomeState),ROUND(K2782*L2782,2),0)),"")</f>
        <v/>
      </c>
      <c r="P2782" s="61" t="str">
        <f aca="false">IF(IsPro,IF($D2782="","",K2782+M2782+N2782+O2782),"")</f>
        <v/>
      </c>
      <c r="Q2782" s="60" t="str">
        <f aca="false">IF(IsPro,IF($D2782="","",IFERROR(MATCH($D2782,Items!$A$5:$A$504,0),"")),"")</f>
        <v/>
      </c>
      <c r="R2782" s="60" t="str">
        <f aca="false">IF(IsPro,IF($C2782="","",IFERROR(MATCH($C2782,Parties!$A$5:$A$304,0),"")),"")</f>
        <v/>
      </c>
      <c r="S2782" s="61" t="str">
        <f aca="false">IF(IsPro,IF($D2782="","",IF(OR($H2782="",$H2782="Credit"),0,P2782)),"")</f>
        <v/>
      </c>
    </row>
    <row r="2783" customFormat="false" ht="15" hidden="false" customHeight="false" outlineLevel="0" collapsed="false">
      <c r="A2783" s="55"/>
      <c r="B2783" s="56"/>
      <c r="C2783" s="56"/>
      <c r="D2783" s="56"/>
      <c r="E2783" s="57"/>
      <c r="F2783" s="58"/>
      <c r="G2783" s="59"/>
      <c r="H2783" s="56"/>
      <c r="I2783" s="60" t="str">
        <f aca="false">IF(IsPro,IF($D2783="","",IFERROR(INDEX(Items!$D$5:$D$504,Q2783),"")),IF($D2783="","","PRO PLAN"))</f>
        <v/>
      </c>
      <c r="J2783" s="61" t="str">
        <f aca="false">IF(IsPro,IF($D2783="","",IF($F2783="",IFERROR(INDEX(Items!$G$5:$G$504,Q2783),0),$F2783)),"")</f>
        <v/>
      </c>
      <c r="K2783" s="61" t="str">
        <f aca="false">IF(IsPro,IF($D2783="","",ROUND(N($E2783)*J2783*(1-N($G2783)),2)),"")</f>
        <v/>
      </c>
      <c r="L2783" s="62" t="str">
        <f aca="false">IF(IsPro,IF($D2783="","",IFERROR(INDEX(Items!$F$5:$F$504,Q2783),0)),"")</f>
        <v/>
      </c>
      <c r="M2783" s="61" t="str">
        <f aca="false">IF(IsPro,IF($D2783="","",IF(AND(R2783&lt;&gt;"",INDEX(Parties!$E$5:$E$304,R2783)&lt;&gt;"",INDEX(Parties!$E$5:$E$304,R2783)&lt;&gt;HomeState),0,ROUND(K2783*L2783/2,2))),"")</f>
        <v/>
      </c>
      <c r="N2783" s="61" t="str">
        <f aca="false">IF(IsPro,IF($D2783="","",M2783),"")</f>
        <v/>
      </c>
      <c r="O2783" s="61" t="str">
        <f aca="false">IF(IsPro,IF($D2783="","",IF(AND(R2783&lt;&gt;"",INDEX(Parties!$E$5:$E$304,R2783)&lt;&gt;"",INDEX(Parties!$E$5:$E$304,R2783)&lt;&gt;HomeState),ROUND(K2783*L2783,2),0)),"")</f>
        <v/>
      </c>
      <c r="P2783" s="61" t="str">
        <f aca="false">IF(IsPro,IF($D2783="","",K2783+M2783+N2783+O2783),"")</f>
        <v/>
      </c>
      <c r="Q2783" s="60" t="str">
        <f aca="false">IF(IsPro,IF($D2783="","",IFERROR(MATCH($D2783,Items!$A$5:$A$504,0),"")),"")</f>
        <v/>
      </c>
      <c r="R2783" s="60" t="str">
        <f aca="false">IF(IsPro,IF($C2783="","",IFERROR(MATCH($C2783,Parties!$A$5:$A$304,0),"")),"")</f>
        <v/>
      </c>
      <c r="S2783" s="61" t="str">
        <f aca="false">IF(IsPro,IF($D2783="","",IF(OR($H2783="",$H2783="Credit"),0,P2783)),"")</f>
        <v/>
      </c>
    </row>
    <row r="2784" customFormat="false" ht="15" hidden="false" customHeight="false" outlineLevel="0" collapsed="false">
      <c r="A2784" s="55"/>
      <c r="B2784" s="56"/>
      <c r="C2784" s="56"/>
      <c r="D2784" s="56"/>
      <c r="E2784" s="57"/>
      <c r="F2784" s="58"/>
      <c r="G2784" s="59"/>
      <c r="H2784" s="56"/>
      <c r="I2784" s="60" t="str">
        <f aca="false">IF(IsPro,IF($D2784="","",IFERROR(INDEX(Items!$D$5:$D$504,Q2784),"")),IF($D2784="","","PRO PLAN"))</f>
        <v/>
      </c>
      <c r="J2784" s="61" t="str">
        <f aca="false">IF(IsPro,IF($D2784="","",IF($F2784="",IFERROR(INDEX(Items!$G$5:$G$504,Q2784),0),$F2784)),"")</f>
        <v/>
      </c>
      <c r="K2784" s="61" t="str">
        <f aca="false">IF(IsPro,IF($D2784="","",ROUND(N($E2784)*J2784*(1-N($G2784)),2)),"")</f>
        <v/>
      </c>
      <c r="L2784" s="62" t="str">
        <f aca="false">IF(IsPro,IF($D2784="","",IFERROR(INDEX(Items!$F$5:$F$504,Q2784),0)),"")</f>
        <v/>
      </c>
      <c r="M2784" s="61" t="str">
        <f aca="false">IF(IsPro,IF($D2784="","",IF(AND(R2784&lt;&gt;"",INDEX(Parties!$E$5:$E$304,R2784)&lt;&gt;"",INDEX(Parties!$E$5:$E$304,R2784)&lt;&gt;HomeState),0,ROUND(K2784*L2784/2,2))),"")</f>
        <v/>
      </c>
      <c r="N2784" s="61" t="str">
        <f aca="false">IF(IsPro,IF($D2784="","",M2784),"")</f>
        <v/>
      </c>
      <c r="O2784" s="61" t="str">
        <f aca="false">IF(IsPro,IF($D2784="","",IF(AND(R2784&lt;&gt;"",INDEX(Parties!$E$5:$E$304,R2784)&lt;&gt;"",INDEX(Parties!$E$5:$E$304,R2784)&lt;&gt;HomeState),ROUND(K2784*L2784,2),0)),"")</f>
        <v/>
      </c>
      <c r="P2784" s="61" t="str">
        <f aca="false">IF(IsPro,IF($D2784="","",K2784+M2784+N2784+O2784),"")</f>
        <v/>
      </c>
      <c r="Q2784" s="60" t="str">
        <f aca="false">IF(IsPro,IF($D2784="","",IFERROR(MATCH($D2784,Items!$A$5:$A$504,0),"")),"")</f>
        <v/>
      </c>
      <c r="R2784" s="60" t="str">
        <f aca="false">IF(IsPro,IF($C2784="","",IFERROR(MATCH($C2784,Parties!$A$5:$A$304,0),"")),"")</f>
        <v/>
      </c>
      <c r="S2784" s="61" t="str">
        <f aca="false">IF(IsPro,IF($D2784="","",IF(OR($H2784="",$H2784="Credit"),0,P2784)),"")</f>
        <v/>
      </c>
    </row>
    <row r="2785" customFormat="false" ht="15" hidden="false" customHeight="false" outlineLevel="0" collapsed="false">
      <c r="A2785" s="55"/>
      <c r="B2785" s="56"/>
      <c r="C2785" s="56"/>
      <c r="D2785" s="56"/>
      <c r="E2785" s="57"/>
      <c r="F2785" s="58"/>
      <c r="G2785" s="59"/>
      <c r="H2785" s="56"/>
      <c r="I2785" s="60" t="str">
        <f aca="false">IF(IsPro,IF($D2785="","",IFERROR(INDEX(Items!$D$5:$D$504,Q2785),"")),IF($D2785="","","PRO PLAN"))</f>
        <v/>
      </c>
      <c r="J2785" s="61" t="str">
        <f aca="false">IF(IsPro,IF($D2785="","",IF($F2785="",IFERROR(INDEX(Items!$G$5:$G$504,Q2785),0),$F2785)),"")</f>
        <v/>
      </c>
      <c r="K2785" s="61" t="str">
        <f aca="false">IF(IsPro,IF($D2785="","",ROUND(N($E2785)*J2785*(1-N($G2785)),2)),"")</f>
        <v/>
      </c>
      <c r="L2785" s="62" t="str">
        <f aca="false">IF(IsPro,IF($D2785="","",IFERROR(INDEX(Items!$F$5:$F$504,Q2785),0)),"")</f>
        <v/>
      </c>
      <c r="M2785" s="61" t="str">
        <f aca="false">IF(IsPro,IF($D2785="","",IF(AND(R2785&lt;&gt;"",INDEX(Parties!$E$5:$E$304,R2785)&lt;&gt;"",INDEX(Parties!$E$5:$E$304,R2785)&lt;&gt;HomeState),0,ROUND(K2785*L2785/2,2))),"")</f>
        <v/>
      </c>
      <c r="N2785" s="61" t="str">
        <f aca="false">IF(IsPro,IF($D2785="","",M2785),"")</f>
        <v/>
      </c>
      <c r="O2785" s="61" t="str">
        <f aca="false">IF(IsPro,IF($D2785="","",IF(AND(R2785&lt;&gt;"",INDEX(Parties!$E$5:$E$304,R2785)&lt;&gt;"",INDEX(Parties!$E$5:$E$304,R2785)&lt;&gt;HomeState),ROUND(K2785*L2785,2),0)),"")</f>
        <v/>
      </c>
      <c r="P2785" s="61" t="str">
        <f aca="false">IF(IsPro,IF($D2785="","",K2785+M2785+N2785+O2785),"")</f>
        <v/>
      </c>
      <c r="Q2785" s="60" t="str">
        <f aca="false">IF(IsPro,IF($D2785="","",IFERROR(MATCH($D2785,Items!$A$5:$A$504,0),"")),"")</f>
        <v/>
      </c>
      <c r="R2785" s="60" t="str">
        <f aca="false">IF(IsPro,IF($C2785="","",IFERROR(MATCH($C2785,Parties!$A$5:$A$304,0),"")),"")</f>
        <v/>
      </c>
      <c r="S2785" s="61" t="str">
        <f aca="false">IF(IsPro,IF($D2785="","",IF(OR($H2785="",$H2785="Credit"),0,P2785)),"")</f>
        <v/>
      </c>
    </row>
    <row r="2786" customFormat="false" ht="15" hidden="false" customHeight="false" outlineLevel="0" collapsed="false">
      <c r="A2786" s="55"/>
      <c r="B2786" s="56"/>
      <c r="C2786" s="56"/>
      <c r="D2786" s="56"/>
      <c r="E2786" s="57"/>
      <c r="F2786" s="58"/>
      <c r="G2786" s="59"/>
      <c r="H2786" s="56"/>
      <c r="I2786" s="60" t="str">
        <f aca="false">IF(IsPro,IF($D2786="","",IFERROR(INDEX(Items!$D$5:$D$504,Q2786),"")),IF($D2786="","","PRO PLAN"))</f>
        <v/>
      </c>
      <c r="J2786" s="61" t="str">
        <f aca="false">IF(IsPro,IF($D2786="","",IF($F2786="",IFERROR(INDEX(Items!$G$5:$G$504,Q2786),0),$F2786)),"")</f>
        <v/>
      </c>
      <c r="K2786" s="61" t="str">
        <f aca="false">IF(IsPro,IF($D2786="","",ROUND(N($E2786)*J2786*(1-N($G2786)),2)),"")</f>
        <v/>
      </c>
      <c r="L2786" s="62" t="str">
        <f aca="false">IF(IsPro,IF($D2786="","",IFERROR(INDEX(Items!$F$5:$F$504,Q2786),0)),"")</f>
        <v/>
      </c>
      <c r="M2786" s="61" t="str">
        <f aca="false">IF(IsPro,IF($D2786="","",IF(AND(R2786&lt;&gt;"",INDEX(Parties!$E$5:$E$304,R2786)&lt;&gt;"",INDEX(Parties!$E$5:$E$304,R2786)&lt;&gt;HomeState),0,ROUND(K2786*L2786/2,2))),"")</f>
        <v/>
      </c>
      <c r="N2786" s="61" t="str">
        <f aca="false">IF(IsPro,IF($D2786="","",M2786),"")</f>
        <v/>
      </c>
      <c r="O2786" s="61" t="str">
        <f aca="false">IF(IsPro,IF($D2786="","",IF(AND(R2786&lt;&gt;"",INDEX(Parties!$E$5:$E$304,R2786)&lt;&gt;"",INDEX(Parties!$E$5:$E$304,R2786)&lt;&gt;HomeState),ROUND(K2786*L2786,2),0)),"")</f>
        <v/>
      </c>
      <c r="P2786" s="61" t="str">
        <f aca="false">IF(IsPro,IF($D2786="","",K2786+M2786+N2786+O2786),"")</f>
        <v/>
      </c>
      <c r="Q2786" s="60" t="str">
        <f aca="false">IF(IsPro,IF($D2786="","",IFERROR(MATCH($D2786,Items!$A$5:$A$504,0),"")),"")</f>
        <v/>
      </c>
      <c r="R2786" s="60" t="str">
        <f aca="false">IF(IsPro,IF($C2786="","",IFERROR(MATCH($C2786,Parties!$A$5:$A$304,0),"")),"")</f>
        <v/>
      </c>
      <c r="S2786" s="61" t="str">
        <f aca="false">IF(IsPro,IF($D2786="","",IF(OR($H2786="",$H2786="Credit"),0,P2786)),"")</f>
        <v/>
      </c>
    </row>
    <row r="2787" customFormat="false" ht="15" hidden="false" customHeight="false" outlineLevel="0" collapsed="false">
      <c r="A2787" s="55"/>
      <c r="B2787" s="56"/>
      <c r="C2787" s="56"/>
      <c r="D2787" s="56"/>
      <c r="E2787" s="57"/>
      <c r="F2787" s="58"/>
      <c r="G2787" s="59"/>
      <c r="H2787" s="56"/>
      <c r="I2787" s="60" t="str">
        <f aca="false">IF(IsPro,IF($D2787="","",IFERROR(INDEX(Items!$D$5:$D$504,Q2787),"")),IF($D2787="","","PRO PLAN"))</f>
        <v/>
      </c>
      <c r="J2787" s="61" t="str">
        <f aca="false">IF(IsPro,IF($D2787="","",IF($F2787="",IFERROR(INDEX(Items!$G$5:$G$504,Q2787),0),$F2787)),"")</f>
        <v/>
      </c>
      <c r="K2787" s="61" t="str">
        <f aca="false">IF(IsPro,IF($D2787="","",ROUND(N($E2787)*J2787*(1-N($G2787)),2)),"")</f>
        <v/>
      </c>
      <c r="L2787" s="62" t="str">
        <f aca="false">IF(IsPro,IF($D2787="","",IFERROR(INDEX(Items!$F$5:$F$504,Q2787),0)),"")</f>
        <v/>
      </c>
      <c r="M2787" s="61" t="str">
        <f aca="false">IF(IsPro,IF($D2787="","",IF(AND(R2787&lt;&gt;"",INDEX(Parties!$E$5:$E$304,R2787)&lt;&gt;"",INDEX(Parties!$E$5:$E$304,R2787)&lt;&gt;HomeState),0,ROUND(K2787*L2787/2,2))),"")</f>
        <v/>
      </c>
      <c r="N2787" s="61" t="str">
        <f aca="false">IF(IsPro,IF($D2787="","",M2787),"")</f>
        <v/>
      </c>
      <c r="O2787" s="61" t="str">
        <f aca="false">IF(IsPro,IF($D2787="","",IF(AND(R2787&lt;&gt;"",INDEX(Parties!$E$5:$E$304,R2787)&lt;&gt;"",INDEX(Parties!$E$5:$E$304,R2787)&lt;&gt;HomeState),ROUND(K2787*L2787,2),0)),"")</f>
        <v/>
      </c>
      <c r="P2787" s="61" t="str">
        <f aca="false">IF(IsPro,IF($D2787="","",K2787+M2787+N2787+O2787),"")</f>
        <v/>
      </c>
      <c r="Q2787" s="60" t="str">
        <f aca="false">IF(IsPro,IF($D2787="","",IFERROR(MATCH($D2787,Items!$A$5:$A$504,0),"")),"")</f>
        <v/>
      </c>
      <c r="R2787" s="60" t="str">
        <f aca="false">IF(IsPro,IF($C2787="","",IFERROR(MATCH($C2787,Parties!$A$5:$A$304,0),"")),"")</f>
        <v/>
      </c>
      <c r="S2787" s="61" t="str">
        <f aca="false">IF(IsPro,IF($D2787="","",IF(OR($H2787="",$H2787="Credit"),0,P2787)),"")</f>
        <v/>
      </c>
    </row>
    <row r="2788" customFormat="false" ht="15" hidden="false" customHeight="false" outlineLevel="0" collapsed="false">
      <c r="A2788" s="55"/>
      <c r="B2788" s="56"/>
      <c r="C2788" s="56"/>
      <c r="D2788" s="56"/>
      <c r="E2788" s="57"/>
      <c r="F2788" s="58"/>
      <c r="G2788" s="59"/>
      <c r="H2788" s="56"/>
      <c r="I2788" s="60" t="str">
        <f aca="false">IF(IsPro,IF($D2788="","",IFERROR(INDEX(Items!$D$5:$D$504,Q2788),"")),IF($D2788="","","PRO PLAN"))</f>
        <v/>
      </c>
      <c r="J2788" s="61" t="str">
        <f aca="false">IF(IsPro,IF($D2788="","",IF($F2788="",IFERROR(INDEX(Items!$G$5:$G$504,Q2788),0),$F2788)),"")</f>
        <v/>
      </c>
      <c r="K2788" s="61" t="str">
        <f aca="false">IF(IsPro,IF($D2788="","",ROUND(N($E2788)*J2788*(1-N($G2788)),2)),"")</f>
        <v/>
      </c>
      <c r="L2788" s="62" t="str">
        <f aca="false">IF(IsPro,IF($D2788="","",IFERROR(INDEX(Items!$F$5:$F$504,Q2788),0)),"")</f>
        <v/>
      </c>
      <c r="M2788" s="61" t="str">
        <f aca="false">IF(IsPro,IF($D2788="","",IF(AND(R2788&lt;&gt;"",INDEX(Parties!$E$5:$E$304,R2788)&lt;&gt;"",INDEX(Parties!$E$5:$E$304,R2788)&lt;&gt;HomeState),0,ROUND(K2788*L2788/2,2))),"")</f>
        <v/>
      </c>
      <c r="N2788" s="61" t="str">
        <f aca="false">IF(IsPro,IF($D2788="","",M2788),"")</f>
        <v/>
      </c>
      <c r="O2788" s="61" t="str">
        <f aca="false">IF(IsPro,IF($D2788="","",IF(AND(R2788&lt;&gt;"",INDEX(Parties!$E$5:$E$304,R2788)&lt;&gt;"",INDEX(Parties!$E$5:$E$304,R2788)&lt;&gt;HomeState),ROUND(K2788*L2788,2),0)),"")</f>
        <v/>
      </c>
      <c r="P2788" s="61" t="str">
        <f aca="false">IF(IsPro,IF($D2788="","",K2788+M2788+N2788+O2788),"")</f>
        <v/>
      </c>
      <c r="Q2788" s="60" t="str">
        <f aca="false">IF(IsPro,IF($D2788="","",IFERROR(MATCH($D2788,Items!$A$5:$A$504,0),"")),"")</f>
        <v/>
      </c>
      <c r="R2788" s="60" t="str">
        <f aca="false">IF(IsPro,IF($C2788="","",IFERROR(MATCH($C2788,Parties!$A$5:$A$304,0),"")),"")</f>
        <v/>
      </c>
      <c r="S2788" s="61" t="str">
        <f aca="false">IF(IsPro,IF($D2788="","",IF(OR($H2788="",$H2788="Credit"),0,P2788)),"")</f>
        <v/>
      </c>
    </row>
    <row r="2789" customFormat="false" ht="15" hidden="false" customHeight="false" outlineLevel="0" collapsed="false">
      <c r="A2789" s="55"/>
      <c r="B2789" s="56"/>
      <c r="C2789" s="56"/>
      <c r="D2789" s="56"/>
      <c r="E2789" s="57"/>
      <c r="F2789" s="58"/>
      <c r="G2789" s="59"/>
      <c r="H2789" s="56"/>
      <c r="I2789" s="60" t="str">
        <f aca="false">IF(IsPro,IF($D2789="","",IFERROR(INDEX(Items!$D$5:$D$504,Q2789),"")),IF($D2789="","","PRO PLAN"))</f>
        <v/>
      </c>
      <c r="J2789" s="61" t="str">
        <f aca="false">IF(IsPro,IF($D2789="","",IF($F2789="",IFERROR(INDEX(Items!$G$5:$G$504,Q2789),0),$F2789)),"")</f>
        <v/>
      </c>
      <c r="K2789" s="61" t="str">
        <f aca="false">IF(IsPro,IF($D2789="","",ROUND(N($E2789)*J2789*(1-N($G2789)),2)),"")</f>
        <v/>
      </c>
      <c r="L2789" s="62" t="str">
        <f aca="false">IF(IsPro,IF($D2789="","",IFERROR(INDEX(Items!$F$5:$F$504,Q2789),0)),"")</f>
        <v/>
      </c>
      <c r="M2789" s="61" t="str">
        <f aca="false">IF(IsPro,IF($D2789="","",IF(AND(R2789&lt;&gt;"",INDEX(Parties!$E$5:$E$304,R2789)&lt;&gt;"",INDEX(Parties!$E$5:$E$304,R2789)&lt;&gt;HomeState),0,ROUND(K2789*L2789/2,2))),"")</f>
        <v/>
      </c>
      <c r="N2789" s="61" t="str">
        <f aca="false">IF(IsPro,IF($D2789="","",M2789),"")</f>
        <v/>
      </c>
      <c r="O2789" s="61" t="str">
        <f aca="false">IF(IsPro,IF($D2789="","",IF(AND(R2789&lt;&gt;"",INDEX(Parties!$E$5:$E$304,R2789)&lt;&gt;"",INDEX(Parties!$E$5:$E$304,R2789)&lt;&gt;HomeState),ROUND(K2789*L2789,2),0)),"")</f>
        <v/>
      </c>
      <c r="P2789" s="61" t="str">
        <f aca="false">IF(IsPro,IF($D2789="","",K2789+M2789+N2789+O2789),"")</f>
        <v/>
      </c>
      <c r="Q2789" s="60" t="str">
        <f aca="false">IF(IsPro,IF($D2789="","",IFERROR(MATCH($D2789,Items!$A$5:$A$504,0),"")),"")</f>
        <v/>
      </c>
      <c r="R2789" s="60" t="str">
        <f aca="false">IF(IsPro,IF($C2789="","",IFERROR(MATCH($C2789,Parties!$A$5:$A$304,0),"")),"")</f>
        <v/>
      </c>
      <c r="S2789" s="61" t="str">
        <f aca="false">IF(IsPro,IF($D2789="","",IF(OR($H2789="",$H2789="Credit"),0,P2789)),"")</f>
        <v/>
      </c>
    </row>
    <row r="2790" customFormat="false" ht="15" hidden="false" customHeight="false" outlineLevel="0" collapsed="false">
      <c r="A2790" s="55"/>
      <c r="B2790" s="56"/>
      <c r="C2790" s="56"/>
      <c r="D2790" s="56"/>
      <c r="E2790" s="57"/>
      <c r="F2790" s="58"/>
      <c r="G2790" s="59"/>
      <c r="H2790" s="56"/>
      <c r="I2790" s="60" t="str">
        <f aca="false">IF(IsPro,IF($D2790="","",IFERROR(INDEX(Items!$D$5:$D$504,Q2790),"")),IF($D2790="","","PRO PLAN"))</f>
        <v/>
      </c>
      <c r="J2790" s="61" t="str">
        <f aca="false">IF(IsPro,IF($D2790="","",IF($F2790="",IFERROR(INDEX(Items!$G$5:$G$504,Q2790),0),$F2790)),"")</f>
        <v/>
      </c>
      <c r="K2790" s="61" t="str">
        <f aca="false">IF(IsPro,IF($D2790="","",ROUND(N($E2790)*J2790*(1-N($G2790)),2)),"")</f>
        <v/>
      </c>
      <c r="L2790" s="62" t="str">
        <f aca="false">IF(IsPro,IF($D2790="","",IFERROR(INDEX(Items!$F$5:$F$504,Q2790),0)),"")</f>
        <v/>
      </c>
      <c r="M2790" s="61" t="str">
        <f aca="false">IF(IsPro,IF($D2790="","",IF(AND(R2790&lt;&gt;"",INDEX(Parties!$E$5:$E$304,R2790)&lt;&gt;"",INDEX(Parties!$E$5:$E$304,R2790)&lt;&gt;HomeState),0,ROUND(K2790*L2790/2,2))),"")</f>
        <v/>
      </c>
      <c r="N2790" s="61" t="str">
        <f aca="false">IF(IsPro,IF($D2790="","",M2790),"")</f>
        <v/>
      </c>
      <c r="O2790" s="61" t="str">
        <f aca="false">IF(IsPro,IF($D2790="","",IF(AND(R2790&lt;&gt;"",INDEX(Parties!$E$5:$E$304,R2790)&lt;&gt;"",INDEX(Parties!$E$5:$E$304,R2790)&lt;&gt;HomeState),ROUND(K2790*L2790,2),0)),"")</f>
        <v/>
      </c>
      <c r="P2790" s="61" t="str">
        <f aca="false">IF(IsPro,IF($D2790="","",K2790+M2790+N2790+O2790),"")</f>
        <v/>
      </c>
      <c r="Q2790" s="60" t="str">
        <f aca="false">IF(IsPro,IF($D2790="","",IFERROR(MATCH($D2790,Items!$A$5:$A$504,0),"")),"")</f>
        <v/>
      </c>
      <c r="R2790" s="60" t="str">
        <f aca="false">IF(IsPro,IF($C2790="","",IFERROR(MATCH($C2790,Parties!$A$5:$A$304,0),"")),"")</f>
        <v/>
      </c>
      <c r="S2790" s="61" t="str">
        <f aca="false">IF(IsPro,IF($D2790="","",IF(OR($H2790="",$H2790="Credit"),0,P2790)),"")</f>
        <v/>
      </c>
    </row>
    <row r="2791" customFormat="false" ht="15" hidden="false" customHeight="false" outlineLevel="0" collapsed="false">
      <c r="A2791" s="55"/>
      <c r="B2791" s="56"/>
      <c r="C2791" s="56"/>
      <c r="D2791" s="56"/>
      <c r="E2791" s="57"/>
      <c r="F2791" s="58"/>
      <c r="G2791" s="59"/>
      <c r="H2791" s="56"/>
      <c r="I2791" s="60" t="str">
        <f aca="false">IF(IsPro,IF($D2791="","",IFERROR(INDEX(Items!$D$5:$D$504,Q2791),"")),IF($D2791="","","PRO PLAN"))</f>
        <v/>
      </c>
      <c r="J2791" s="61" t="str">
        <f aca="false">IF(IsPro,IF($D2791="","",IF($F2791="",IFERROR(INDEX(Items!$G$5:$G$504,Q2791),0),$F2791)),"")</f>
        <v/>
      </c>
      <c r="K2791" s="61" t="str">
        <f aca="false">IF(IsPro,IF($D2791="","",ROUND(N($E2791)*J2791*(1-N($G2791)),2)),"")</f>
        <v/>
      </c>
      <c r="L2791" s="62" t="str">
        <f aca="false">IF(IsPro,IF($D2791="","",IFERROR(INDEX(Items!$F$5:$F$504,Q2791),0)),"")</f>
        <v/>
      </c>
      <c r="M2791" s="61" t="str">
        <f aca="false">IF(IsPro,IF($D2791="","",IF(AND(R2791&lt;&gt;"",INDEX(Parties!$E$5:$E$304,R2791)&lt;&gt;"",INDEX(Parties!$E$5:$E$304,R2791)&lt;&gt;HomeState),0,ROUND(K2791*L2791/2,2))),"")</f>
        <v/>
      </c>
      <c r="N2791" s="61" t="str">
        <f aca="false">IF(IsPro,IF($D2791="","",M2791),"")</f>
        <v/>
      </c>
      <c r="O2791" s="61" t="str">
        <f aca="false">IF(IsPro,IF($D2791="","",IF(AND(R2791&lt;&gt;"",INDEX(Parties!$E$5:$E$304,R2791)&lt;&gt;"",INDEX(Parties!$E$5:$E$304,R2791)&lt;&gt;HomeState),ROUND(K2791*L2791,2),0)),"")</f>
        <v/>
      </c>
      <c r="P2791" s="61" t="str">
        <f aca="false">IF(IsPro,IF($D2791="","",K2791+M2791+N2791+O2791),"")</f>
        <v/>
      </c>
      <c r="Q2791" s="60" t="str">
        <f aca="false">IF(IsPro,IF($D2791="","",IFERROR(MATCH($D2791,Items!$A$5:$A$504,0),"")),"")</f>
        <v/>
      </c>
      <c r="R2791" s="60" t="str">
        <f aca="false">IF(IsPro,IF($C2791="","",IFERROR(MATCH($C2791,Parties!$A$5:$A$304,0),"")),"")</f>
        <v/>
      </c>
      <c r="S2791" s="61" t="str">
        <f aca="false">IF(IsPro,IF($D2791="","",IF(OR($H2791="",$H2791="Credit"),0,P2791)),"")</f>
        <v/>
      </c>
    </row>
    <row r="2792" customFormat="false" ht="15" hidden="false" customHeight="false" outlineLevel="0" collapsed="false">
      <c r="A2792" s="55"/>
      <c r="B2792" s="56"/>
      <c r="C2792" s="56"/>
      <c r="D2792" s="56"/>
      <c r="E2792" s="57"/>
      <c r="F2792" s="58"/>
      <c r="G2792" s="59"/>
      <c r="H2792" s="56"/>
      <c r="I2792" s="60" t="str">
        <f aca="false">IF(IsPro,IF($D2792="","",IFERROR(INDEX(Items!$D$5:$D$504,Q2792),"")),IF($D2792="","","PRO PLAN"))</f>
        <v/>
      </c>
      <c r="J2792" s="61" t="str">
        <f aca="false">IF(IsPro,IF($D2792="","",IF($F2792="",IFERROR(INDEX(Items!$G$5:$G$504,Q2792),0),$F2792)),"")</f>
        <v/>
      </c>
      <c r="K2792" s="61" t="str">
        <f aca="false">IF(IsPro,IF($D2792="","",ROUND(N($E2792)*J2792*(1-N($G2792)),2)),"")</f>
        <v/>
      </c>
      <c r="L2792" s="62" t="str">
        <f aca="false">IF(IsPro,IF($D2792="","",IFERROR(INDEX(Items!$F$5:$F$504,Q2792),0)),"")</f>
        <v/>
      </c>
      <c r="M2792" s="61" t="str">
        <f aca="false">IF(IsPro,IF($D2792="","",IF(AND(R2792&lt;&gt;"",INDEX(Parties!$E$5:$E$304,R2792)&lt;&gt;"",INDEX(Parties!$E$5:$E$304,R2792)&lt;&gt;HomeState),0,ROUND(K2792*L2792/2,2))),"")</f>
        <v/>
      </c>
      <c r="N2792" s="61" t="str">
        <f aca="false">IF(IsPro,IF($D2792="","",M2792),"")</f>
        <v/>
      </c>
      <c r="O2792" s="61" t="str">
        <f aca="false">IF(IsPro,IF($D2792="","",IF(AND(R2792&lt;&gt;"",INDEX(Parties!$E$5:$E$304,R2792)&lt;&gt;"",INDEX(Parties!$E$5:$E$304,R2792)&lt;&gt;HomeState),ROUND(K2792*L2792,2),0)),"")</f>
        <v/>
      </c>
      <c r="P2792" s="61" t="str">
        <f aca="false">IF(IsPro,IF($D2792="","",K2792+M2792+N2792+O2792),"")</f>
        <v/>
      </c>
      <c r="Q2792" s="60" t="str">
        <f aca="false">IF(IsPro,IF($D2792="","",IFERROR(MATCH($D2792,Items!$A$5:$A$504,0),"")),"")</f>
        <v/>
      </c>
      <c r="R2792" s="60" t="str">
        <f aca="false">IF(IsPro,IF($C2792="","",IFERROR(MATCH($C2792,Parties!$A$5:$A$304,0),"")),"")</f>
        <v/>
      </c>
      <c r="S2792" s="61" t="str">
        <f aca="false">IF(IsPro,IF($D2792="","",IF(OR($H2792="",$H2792="Credit"),0,P2792)),"")</f>
        <v/>
      </c>
    </row>
    <row r="2793" customFormat="false" ht="15" hidden="false" customHeight="false" outlineLevel="0" collapsed="false">
      <c r="A2793" s="55"/>
      <c r="B2793" s="56"/>
      <c r="C2793" s="56"/>
      <c r="D2793" s="56"/>
      <c r="E2793" s="57"/>
      <c r="F2793" s="58"/>
      <c r="G2793" s="59"/>
      <c r="H2793" s="56"/>
      <c r="I2793" s="60" t="str">
        <f aca="false">IF(IsPro,IF($D2793="","",IFERROR(INDEX(Items!$D$5:$D$504,Q2793),"")),IF($D2793="","","PRO PLAN"))</f>
        <v/>
      </c>
      <c r="J2793" s="61" t="str">
        <f aca="false">IF(IsPro,IF($D2793="","",IF($F2793="",IFERROR(INDEX(Items!$G$5:$G$504,Q2793),0),$F2793)),"")</f>
        <v/>
      </c>
      <c r="K2793" s="61" t="str">
        <f aca="false">IF(IsPro,IF($D2793="","",ROUND(N($E2793)*J2793*(1-N($G2793)),2)),"")</f>
        <v/>
      </c>
      <c r="L2793" s="62" t="str">
        <f aca="false">IF(IsPro,IF($D2793="","",IFERROR(INDEX(Items!$F$5:$F$504,Q2793),0)),"")</f>
        <v/>
      </c>
      <c r="M2793" s="61" t="str">
        <f aca="false">IF(IsPro,IF($D2793="","",IF(AND(R2793&lt;&gt;"",INDEX(Parties!$E$5:$E$304,R2793)&lt;&gt;"",INDEX(Parties!$E$5:$E$304,R2793)&lt;&gt;HomeState),0,ROUND(K2793*L2793/2,2))),"")</f>
        <v/>
      </c>
      <c r="N2793" s="61" t="str">
        <f aca="false">IF(IsPro,IF($D2793="","",M2793),"")</f>
        <v/>
      </c>
      <c r="O2793" s="61" t="str">
        <f aca="false">IF(IsPro,IF($D2793="","",IF(AND(R2793&lt;&gt;"",INDEX(Parties!$E$5:$E$304,R2793)&lt;&gt;"",INDEX(Parties!$E$5:$E$304,R2793)&lt;&gt;HomeState),ROUND(K2793*L2793,2),0)),"")</f>
        <v/>
      </c>
      <c r="P2793" s="61" t="str">
        <f aca="false">IF(IsPro,IF($D2793="","",K2793+M2793+N2793+O2793),"")</f>
        <v/>
      </c>
      <c r="Q2793" s="60" t="str">
        <f aca="false">IF(IsPro,IF($D2793="","",IFERROR(MATCH($D2793,Items!$A$5:$A$504,0),"")),"")</f>
        <v/>
      </c>
      <c r="R2793" s="60" t="str">
        <f aca="false">IF(IsPro,IF($C2793="","",IFERROR(MATCH($C2793,Parties!$A$5:$A$304,0),"")),"")</f>
        <v/>
      </c>
      <c r="S2793" s="61" t="str">
        <f aca="false">IF(IsPro,IF($D2793="","",IF(OR($H2793="",$H2793="Credit"),0,P2793)),"")</f>
        <v/>
      </c>
    </row>
    <row r="2794" customFormat="false" ht="15" hidden="false" customHeight="false" outlineLevel="0" collapsed="false">
      <c r="A2794" s="55"/>
      <c r="B2794" s="56"/>
      <c r="C2794" s="56"/>
      <c r="D2794" s="56"/>
      <c r="E2794" s="57"/>
      <c r="F2794" s="58"/>
      <c r="G2794" s="59"/>
      <c r="H2794" s="56"/>
      <c r="I2794" s="60" t="str">
        <f aca="false">IF(IsPro,IF($D2794="","",IFERROR(INDEX(Items!$D$5:$D$504,Q2794),"")),IF($D2794="","","PRO PLAN"))</f>
        <v/>
      </c>
      <c r="J2794" s="61" t="str">
        <f aca="false">IF(IsPro,IF($D2794="","",IF($F2794="",IFERROR(INDEX(Items!$G$5:$G$504,Q2794),0),$F2794)),"")</f>
        <v/>
      </c>
      <c r="K2794" s="61" t="str">
        <f aca="false">IF(IsPro,IF($D2794="","",ROUND(N($E2794)*J2794*(1-N($G2794)),2)),"")</f>
        <v/>
      </c>
      <c r="L2794" s="62" t="str">
        <f aca="false">IF(IsPro,IF($D2794="","",IFERROR(INDEX(Items!$F$5:$F$504,Q2794),0)),"")</f>
        <v/>
      </c>
      <c r="M2794" s="61" t="str">
        <f aca="false">IF(IsPro,IF($D2794="","",IF(AND(R2794&lt;&gt;"",INDEX(Parties!$E$5:$E$304,R2794)&lt;&gt;"",INDEX(Parties!$E$5:$E$304,R2794)&lt;&gt;HomeState),0,ROUND(K2794*L2794/2,2))),"")</f>
        <v/>
      </c>
      <c r="N2794" s="61" t="str">
        <f aca="false">IF(IsPro,IF($D2794="","",M2794),"")</f>
        <v/>
      </c>
      <c r="O2794" s="61" t="str">
        <f aca="false">IF(IsPro,IF($D2794="","",IF(AND(R2794&lt;&gt;"",INDEX(Parties!$E$5:$E$304,R2794)&lt;&gt;"",INDEX(Parties!$E$5:$E$304,R2794)&lt;&gt;HomeState),ROUND(K2794*L2794,2),0)),"")</f>
        <v/>
      </c>
      <c r="P2794" s="61" t="str">
        <f aca="false">IF(IsPro,IF($D2794="","",K2794+M2794+N2794+O2794),"")</f>
        <v/>
      </c>
      <c r="Q2794" s="60" t="str">
        <f aca="false">IF(IsPro,IF($D2794="","",IFERROR(MATCH($D2794,Items!$A$5:$A$504,0),"")),"")</f>
        <v/>
      </c>
      <c r="R2794" s="60" t="str">
        <f aca="false">IF(IsPro,IF($C2794="","",IFERROR(MATCH($C2794,Parties!$A$5:$A$304,0),"")),"")</f>
        <v/>
      </c>
      <c r="S2794" s="61" t="str">
        <f aca="false">IF(IsPro,IF($D2794="","",IF(OR($H2794="",$H2794="Credit"),0,P2794)),"")</f>
        <v/>
      </c>
    </row>
    <row r="2795" customFormat="false" ht="15" hidden="false" customHeight="false" outlineLevel="0" collapsed="false">
      <c r="A2795" s="55"/>
      <c r="B2795" s="56"/>
      <c r="C2795" s="56"/>
      <c r="D2795" s="56"/>
      <c r="E2795" s="57"/>
      <c r="F2795" s="58"/>
      <c r="G2795" s="59"/>
      <c r="H2795" s="56"/>
      <c r="I2795" s="60" t="str">
        <f aca="false">IF(IsPro,IF($D2795="","",IFERROR(INDEX(Items!$D$5:$D$504,Q2795),"")),IF($D2795="","","PRO PLAN"))</f>
        <v/>
      </c>
      <c r="J2795" s="61" t="str">
        <f aca="false">IF(IsPro,IF($D2795="","",IF($F2795="",IFERROR(INDEX(Items!$G$5:$G$504,Q2795),0),$F2795)),"")</f>
        <v/>
      </c>
      <c r="K2795" s="61" t="str">
        <f aca="false">IF(IsPro,IF($D2795="","",ROUND(N($E2795)*J2795*(1-N($G2795)),2)),"")</f>
        <v/>
      </c>
      <c r="L2795" s="62" t="str">
        <f aca="false">IF(IsPro,IF($D2795="","",IFERROR(INDEX(Items!$F$5:$F$504,Q2795),0)),"")</f>
        <v/>
      </c>
      <c r="M2795" s="61" t="str">
        <f aca="false">IF(IsPro,IF($D2795="","",IF(AND(R2795&lt;&gt;"",INDEX(Parties!$E$5:$E$304,R2795)&lt;&gt;"",INDEX(Parties!$E$5:$E$304,R2795)&lt;&gt;HomeState),0,ROUND(K2795*L2795/2,2))),"")</f>
        <v/>
      </c>
      <c r="N2795" s="61" t="str">
        <f aca="false">IF(IsPro,IF($D2795="","",M2795),"")</f>
        <v/>
      </c>
      <c r="O2795" s="61" t="str">
        <f aca="false">IF(IsPro,IF($D2795="","",IF(AND(R2795&lt;&gt;"",INDEX(Parties!$E$5:$E$304,R2795)&lt;&gt;"",INDEX(Parties!$E$5:$E$304,R2795)&lt;&gt;HomeState),ROUND(K2795*L2795,2),0)),"")</f>
        <v/>
      </c>
      <c r="P2795" s="61" t="str">
        <f aca="false">IF(IsPro,IF($D2795="","",K2795+M2795+N2795+O2795),"")</f>
        <v/>
      </c>
      <c r="Q2795" s="60" t="str">
        <f aca="false">IF(IsPro,IF($D2795="","",IFERROR(MATCH($D2795,Items!$A$5:$A$504,0),"")),"")</f>
        <v/>
      </c>
      <c r="R2795" s="60" t="str">
        <f aca="false">IF(IsPro,IF($C2795="","",IFERROR(MATCH($C2795,Parties!$A$5:$A$304,0),"")),"")</f>
        <v/>
      </c>
      <c r="S2795" s="61" t="str">
        <f aca="false">IF(IsPro,IF($D2795="","",IF(OR($H2795="",$H2795="Credit"),0,P2795)),"")</f>
        <v/>
      </c>
    </row>
    <row r="2796" customFormat="false" ht="15" hidden="false" customHeight="false" outlineLevel="0" collapsed="false">
      <c r="A2796" s="55"/>
      <c r="B2796" s="56"/>
      <c r="C2796" s="56"/>
      <c r="D2796" s="56"/>
      <c r="E2796" s="57"/>
      <c r="F2796" s="58"/>
      <c r="G2796" s="59"/>
      <c r="H2796" s="56"/>
      <c r="I2796" s="60" t="str">
        <f aca="false">IF(IsPro,IF($D2796="","",IFERROR(INDEX(Items!$D$5:$D$504,Q2796),"")),IF($D2796="","","PRO PLAN"))</f>
        <v/>
      </c>
      <c r="J2796" s="61" t="str">
        <f aca="false">IF(IsPro,IF($D2796="","",IF($F2796="",IFERROR(INDEX(Items!$G$5:$G$504,Q2796),0),$F2796)),"")</f>
        <v/>
      </c>
      <c r="K2796" s="61" t="str">
        <f aca="false">IF(IsPro,IF($D2796="","",ROUND(N($E2796)*J2796*(1-N($G2796)),2)),"")</f>
        <v/>
      </c>
      <c r="L2796" s="62" t="str">
        <f aca="false">IF(IsPro,IF($D2796="","",IFERROR(INDEX(Items!$F$5:$F$504,Q2796),0)),"")</f>
        <v/>
      </c>
      <c r="M2796" s="61" t="str">
        <f aca="false">IF(IsPro,IF($D2796="","",IF(AND(R2796&lt;&gt;"",INDEX(Parties!$E$5:$E$304,R2796)&lt;&gt;"",INDEX(Parties!$E$5:$E$304,R2796)&lt;&gt;HomeState),0,ROUND(K2796*L2796/2,2))),"")</f>
        <v/>
      </c>
      <c r="N2796" s="61" t="str">
        <f aca="false">IF(IsPro,IF($D2796="","",M2796),"")</f>
        <v/>
      </c>
      <c r="O2796" s="61" t="str">
        <f aca="false">IF(IsPro,IF($D2796="","",IF(AND(R2796&lt;&gt;"",INDEX(Parties!$E$5:$E$304,R2796)&lt;&gt;"",INDEX(Parties!$E$5:$E$304,R2796)&lt;&gt;HomeState),ROUND(K2796*L2796,2),0)),"")</f>
        <v/>
      </c>
      <c r="P2796" s="61" t="str">
        <f aca="false">IF(IsPro,IF($D2796="","",K2796+M2796+N2796+O2796),"")</f>
        <v/>
      </c>
      <c r="Q2796" s="60" t="str">
        <f aca="false">IF(IsPro,IF($D2796="","",IFERROR(MATCH($D2796,Items!$A$5:$A$504,0),"")),"")</f>
        <v/>
      </c>
      <c r="R2796" s="60" t="str">
        <f aca="false">IF(IsPro,IF($C2796="","",IFERROR(MATCH($C2796,Parties!$A$5:$A$304,0),"")),"")</f>
        <v/>
      </c>
      <c r="S2796" s="61" t="str">
        <f aca="false">IF(IsPro,IF($D2796="","",IF(OR($H2796="",$H2796="Credit"),0,P2796)),"")</f>
        <v/>
      </c>
    </row>
    <row r="2797" customFormat="false" ht="15" hidden="false" customHeight="false" outlineLevel="0" collapsed="false">
      <c r="A2797" s="55"/>
      <c r="B2797" s="56"/>
      <c r="C2797" s="56"/>
      <c r="D2797" s="56"/>
      <c r="E2797" s="57"/>
      <c r="F2797" s="58"/>
      <c r="G2797" s="59"/>
      <c r="H2797" s="56"/>
      <c r="I2797" s="60" t="str">
        <f aca="false">IF(IsPro,IF($D2797="","",IFERROR(INDEX(Items!$D$5:$D$504,Q2797),"")),IF($D2797="","","PRO PLAN"))</f>
        <v/>
      </c>
      <c r="J2797" s="61" t="str">
        <f aca="false">IF(IsPro,IF($D2797="","",IF($F2797="",IFERROR(INDEX(Items!$G$5:$G$504,Q2797),0),$F2797)),"")</f>
        <v/>
      </c>
      <c r="K2797" s="61" t="str">
        <f aca="false">IF(IsPro,IF($D2797="","",ROUND(N($E2797)*J2797*(1-N($G2797)),2)),"")</f>
        <v/>
      </c>
      <c r="L2797" s="62" t="str">
        <f aca="false">IF(IsPro,IF($D2797="","",IFERROR(INDEX(Items!$F$5:$F$504,Q2797),0)),"")</f>
        <v/>
      </c>
      <c r="M2797" s="61" t="str">
        <f aca="false">IF(IsPro,IF($D2797="","",IF(AND(R2797&lt;&gt;"",INDEX(Parties!$E$5:$E$304,R2797)&lt;&gt;"",INDEX(Parties!$E$5:$E$304,R2797)&lt;&gt;HomeState),0,ROUND(K2797*L2797/2,2))),"")</f>
        <v/>
      </c>
      <c r="N2797" s="61" t="str">
        <f aca="false">IF(IsPro,IF($D2797="","",M2797),"")</f>
        <v/>
      </c>
      <c r="O2797" s="61" t="str">
        <f aca="false">IF(IsPro,IF($D2797="","",IF(AND(R2797&lt;&gt;"",INDEX(Parties!$E$5:$E$304,R2797)&lt;&gt;"",INDEX(Parties!$E$5:$E$304,R2797)&lt;&gt;HomeState),ROUND(K2797*L2797,2),0)),"")</f>
        <v/>
      </c>
      <c r="P2797" s="61" t="str">
        <f aca="false">IF(IsPro,IF($D2797="","",K2797+M2797+N2797+O2797),"")</f>
        <v/>
      </c>
      <c r="Q2797" s="60" t="str">
        <f aca="false">IF(IsPro,IF($D2797="","",IFERROR(MATCH($D2797,Items!$A$5:$A$504,0),"")),"")</f>
        <v/>
      </c>
      <c r="R2797" s="60" t="str">
        <f aca="false">IF(IsPro,IF($C2797="","",IFERROR(MATCH($C2797,Parties!$A$5:$A$304,0),"")),"")</f>
        <v/>
      </c>
      <c r="S2797" s="61" t="str">
        <f aca="false">IF(IsPro,IF($D2797="","",IF(OR($H2797="",$H2797="Credit"),0,P2797)),"")</f>
        <v/>
      </c>
    </row>
    <row r="2798" customFormat="false" ht="15" hidden="false" customHeight="false" outlineLevel="0" collapsed="false">
      <c r="A2798" s="55"/>
      <c r="B2798" s="56"/>
      <c r="C2798" s="56"/>
      <c r="D2798" s="56"/>
      <c r="E2798" s="57"/>
      <c r="F2798" s="58"/>
      <c r="G2798" s="59"/>
      <c r="H2798" s="56"/>
      <c r="I2798" s="60" t="str">
        <f aca="false">IF(IsPro,IF($D2798="","",IFERROR(INDEX(Items!$D$5:$D$504,Q2798),"")),IF($D2798="","","PRO PLAN"))</f>
        <v/>
      </c>
      <c r="J2798" s="61" t="str">
        <f aca="false">IF(IsPro,IF($D2798="","",IF($F2798="",IFERROR(INDEX(Items!$G$5:$G$504,Q2798),0),$F2798)),"")</f>
        <v/>
      </c>
      <c r="K2798" s="61" t="str">
        <f aca="false">IF(IsPro,IF($D2798="","",ROUND(N($E2798)*J2798*(1-N($G2798)),2)),"")</f>
        <v/>
      </c>
      <c r="L2798" s="62" t="str">
        <f aca="false">IF(IsPro,IF($D2798="","",IFERROR(INDEX(Items!$F$5:$F$504,Q2798),0)),"")</f>
        <v/>
      </c>
      <c r="M2798" s="61" t="str">
        <f aca="false">IF(IsPro,IF($D2798="","",IF(AND(R2798&lt;&gt;"",INDEX(Parties!$E$5:$E$304,R2798)&lt;&gt;"",INDEX(Parties!$E$5:$E$304,R2798)&lt;&gt;HomeState),0,ROUND(K2798*L2798/2,2))),"")</f>
        <v/>
      </c>
      <c r="N2798" s="61" t="str">
        <f aca="false">IF(IsPro,IF($D2798="","",M2798),"")</f>
        <v/>
      </c>
      <c r="O2798" s="61" t="str">
        <f aca="false">IF(IsPro,IF($D2798="","",IF(AND(R2798&lt;&gt;"",INDEX(Parties!$E$5:$E$304,R2798)&lt;&gt;"",INDEX(Parties!$E$5:$E$304,R2798)&lt;&gt;HomeState),ROUND(K2798*L2798,2),0)),"")</f>
        <v/>
      </c>
      <c r="P2798" s="61" t="str">
        <f aca="false">IF(IsPro,IF($D2798="","",K2798+M2798+N2798+O2798),"")</f>
        <v/>
      </c>
      <c r="Q2798" s="60" t="str">
        <f aca="false">IF(IsPro,IF($D2798="","",IFERROR(MATCH($D2798,Items!$A$5:$A$504,0),"")),"")</f>
        <v/>
      </c>
      <c r="R2798" s="60" t="str">
        <f aca="false">IF(IsPro,IF($C2798="","",IFERROR(MATCH($C2798,Parties!$A$5:$A$304,0),"")),"")</f>
        <v/>
      </c>
      <c r="S2798" s="61" t="str">
        <f aca="false">IF(IsPro,IF($D2798="","",IF(OR($H2798="",$H2798="Credit"),0,P2798)),"")</f>
        <v/>
      </c>
    </row>
    <row r="2799" customFormat="false" ht="15" hidden="false" customHeight="false" outlineLevel="0" collapsed="false">
      <c r="A2799" s="55"/>
      <c r="B2799" s="56"/>
      <c r="C2799" s="56"/>
      <c r="D2799" s="56"/>
      <c r="E2799" s="57"/>
      <c r="F2799" s="58"/>
      <c r="G2799" s="59"/>
      <c r="H2799" s="56"/>
      <c r="I2799" s="60" t="str">
        <f aca="false">IF(IsPro,IF($D2799="","",IFERROR(INDEX(Items!$D$5:$D$504,Q2799),"")),IF($D2799="","","PRO PLAN"))</f>
        <v/>
      </c>
      <c r="J2799" s="61" t="str">
        <f aca="false">IF(IsPro,IF($D2799="","",IF($F2799="",IFERROR(INDEX(Items!$G$5:$G$504,Q2799),0),$F2799)),"")</f>
        <v/>
      </c>
      <c r="K2799" s="61" t="str">
        <f aca="false">IF(IsPro,IF($D2799="","",ROUND(N($E2799)*J2799*(1-N($G2799)),2)),"")</f>
        <v/>
      </c>
      <c r="L2799" s="62" t="str">
        <f aca="false">IF(IsPro,IF($D2799="","",IFERROR(INDEX(Items!$F$5:$F$504,Q2799),0)),"")</f>
        <v/>
      </c>
      <c r="M2799" s="61" t="str">
        <f aca="false">IF(IsPro,IF($D2799="","",IF(AND(R2799&lt;&gt;"",INDEX(Parties!$E$5:$E$304,R2799)&lt;&gt;"",INDEX(Parties!$E$5:$E$304,R2799)&lt;&gt;HomeState),0,ROUND(K2799*L2799/2,2))),"")</f>
        <v/>
      </c>
      <c r="N2799" s="61" t="str">
        <f aca="false">IF(IsPro,IF($D2799="","",M2799),"")</f>
        <v/>
      </c>
      <c r="O2799" s="61" t="str">
        <f aca="false">IF(IsPro,IF($D2799="","",IF(AND(R2799&lt;&gt;"",INDEX(Parties!$E$5:$E$304,R2799)&lt;&gt;"",INDEX(Parties!$E$5:$E$304,R2799)&lt;&gt;HomeState),ROUND(K2799*L2799,2),0)),"")</f>
        <v/>
      </c>
      <c r="P2799" s="61" t="str">
        <f aca="false">IF(IsPro,IF($D2799="","",K2799+M2799+N2799+O2799),"")</f>
        <v/>
      </c>
      <c r="Q2799" s="60" t="str">
        <f aca="false">IF(IsPro,IF($D2799="","",IFERROR(MATCH($D2799,Items!$A$5:$A$504,0),"")),"")</f>
        <v/>
      </c>
      <c r="R2799" s="60" t="str">
        <f aca="false">IF(IsPro,IF($C2799="","",IFERROR(MATCH($C2799,Parties!$A$5:$A$304,0),"")),"")</f>
        <v/>
      </c>
      <c r="S2799" s="61" t="str">
        <f aca="false">IF(IsPro,IF($D2799="","",IF(OR($H2799="",$H2799="Credit"),0,P2799)),"")</f>
        <v/>
      </c>
    </row>
    <row r="2800" customFormat="false" ht="15" hidden="false" customHeight="false" outlineLevel="0" collapsed="false">
      <c r="A2800" s="55"/>
      <c r="B2800" s="56"/>
      <c r="C2800" s="56"/>
      <c r="D2800" s="56"/>
      <c r="E2800" s="57"/>
      <c r="F2800" s="58"/>
      <c r="G2800" s="59"/>
      <c r="H2800" s="56"/>
      <c r="I2800" s="60" t="str">
        <f aca="false">IF(IsPro,IF($D2800="","",IFERROR(INDEX(Items!$D$5:$D$504,Q2800),"")),IF($D2800="","","PRO PLAN"))</f>
        <v/>
      </c>
      <c r="J2800" s="61" t="str">
        <f aca="false">IF(IsPro,IF($D2800="","",IF($F2800="",IFERROR(INDEX(Items!$G$5:$G$504,Q2800),0),$F2800)),"")</f>
        <v/>
      </c>
      <c r="K2800" s="61" t="str">
        <f aca="false">IF(IsPro,IF($D2800="","",ROUND(N($E2800)*J2800*(1-N($G2800)),2)),"")</f>
        <v/>
      </c>
      <c r="L2800" s="62" t="str">
        <f aca="false">IF(IsPro,IF($D2800="","",IFERROR(INDEX(Items!$F$5:$F$504,Q2800),0)),"")</f>
        <v/>
      </c>
      <c r="M2800" s="61" t="str">
        <f aca="false">IF(IsPro,IF($D2800="","",IF(AND(R2800&lt;&gt;"",INDEX(Parties!$E$5:$E$304,R2800)&lt;&gt;"",INDEX(Parties!$E$5:$E$304,R2800)&lt;&gt;HomeState),0,ROUND(K2800*L2800/2,2))),"")</f>
        <v/>
      </c>
      <c r="N2800" s="61" t="str">
        <f aca="false">IF(IsPro,IF($D2800="","",M2800),"")</f>
        <v/>
      </c>
      <c r="O2800" s="61" t="str">
        <f aca="false">IF(IsPro,IF($D2800="","",IF(AND(R2800&lt;&gt;"",INDEX(Parties!$E$5:$E$304,R2800)&lt;&gt;"",INDEX(Parties!$E$5:$E$304,R2800)&lt;&gt;HomeState),ROUND(K2800*L2800,2),0)),"")</f>
        <v/>
      </c>
      <c r="P2800" s="61" t="str">
        <f aca="false">IF(IsPro,IF($D2800="","",K2800+M2800+N2800+O2800),"")</f>
        <v/>
      </c>
      <c r="Q2800" s="60" t="str">
        <f aca="false">IF(IsPro,IF($D2800="","",IFERROR(MATCH($D2800,Items!$A$5:$A$504,0),"")),"")</f>
        <v/>
      </c>
      <c r="R2800" s="60" t="str">
        <f aca="false">IF(IsPro,IF($C2800="","",IFERROR(MATCH($C2800,Parties!$A$5:$A$304,0),"")),"")</f>
        <v/>
      </c>
      <c r="S2800" s="61" t="str">
        <f aca="false">IF(IsPro,IF($D2800="","",IF(OR($H2800="",$H2800="Credit"),0,P2800)),"")</f>
        <v/>
      </c>
    </row>
    <row r="2801" customFormat="false" ht="15" hidden="false" customHeight="false" outlineLevel="0" collapsed="false">
      <c r="A2801" s="55"/>
      <c r="B2801" s="56"/>
      <c r="C2801" s="56"/>
      <c r="D2801" s="56"/>
      <c r="E2801" s="57"/>
      <c r="F2801" s="58"/>
      <c r="G2801" s="59"/>
      <c r="H2801" s="56"/>
      <c r="I2801" s="60" t="str">
        <f aca="false">IF(IsPro,IF($D2801="","",IFERROR(INDEX(Items!$D$5:$D$504,Q2801),"")),IF($D2801="","","PRO PLAN"))</f>
        <v/>
      </c>
      <c r="J2801" s="61" t="str">
        <f aca="false">IF(IsPro,IF($D2801="","",IF($F2801="",IFERROR(INDEX(Items!$G$5:$G$504,Q2801),0),$F2801)),"")</f>
        <v/>
      </c>
      <c r="K2801" s="61" t="str">
        <f aca="false">IF(IsPro,IF($D2801="","",ROUND(N($E2801)*J2801*(1-N($G2801)),2)),"")</f>
        <v/>
      </c>
      <c r="L2801" s="62" t="str">
        <f aca="false">IF(IsPro,IF($D2801="","",IFERROR(INDEX(Items!$F$5:$F$504,Q2801),0)),"")</f>
        <v/>
      </c>
      <c r="M2801" s="61" t="str">
        <f aca="false">IF(IsPro,IF($D2801="","",IF(AND(R2801&lt;&gt;"",INDEX(Parties!$E$5:$E$304,R2801)&lt;&gt;"",INDEX(Parties!$E$5:$E$304,R2801)&lt;&gt;HomeState),0,ROUND(K2801*L2801/2,2))),"")</f>
        <v/>
      </c>
      <c r="N2801" s="61" t="str">
        <f aca="false">IF(IsPro,IF($D2801="","",M2801),"")</f>
        <v/>
      </c>
      <c r="O2801" s="61" t="str">
        <f aca="false">IF(IsPro,IF($D2801="","",IF(AND(R2801&lt;&gt;"",INDEX(Parties!$E$5:$E$304,R2801)&lt;&gt;"",INDEX(Parties!$E$5:$E$304,R2801)&lt;&gt;HomeState),ROUND(K2801*L2801,2),0)),"")</f>
        <v/>
      </c>
      <c r="P2801" s="61" t="str">
        <f aca="false">IF(IsPro,IF($D2801="","",K2801+M2801+N2801+O2801),"")</f>
        <v/>
      </c>
      <c r="Q2801" s="60" t="str">
        <f aca="false">IF(IsPro,IF($D2801="","",IFERROR(MATCH($D2801,Items!$A$5:$A$504,0),"")),"")</f>
        <v/>
      </c>
      <c r="R2801" s="60" t="str">
        <f aca="false">IF(IsPro,IF($C2801="","",IFERROR(MATCH($C2801,Parties!$A$5:$A$304,0),"")),"")</f>
        <v/>
      </c>
      <c r="S2801" s="61" t="str">
        <f aca="false">IF(IsPro,IF($D2801="","",IF(OR($H2801="",$H2801="Credit"),0,P2801)),"")</f>
        <v/>
      </c>
    </row>
    <row r="2802" customFormat="false" ht="15" hidden="false" customHeight="false" outlineLevel="0" collapsed="false">
      <c r="A2802" s="55"/>
      <c r="B2802" s="56"/>
      <c r="C2802" s="56"/>
      <c r="D2802" s="56"/>
      <c r="E2802" s="57"/>
      <c r="F2802" s="58"/>
      <c r="G2802" s="59"/>
      <c r="H2802" s="56"/>
      <c r="I2802" s="60" t="str">
        <f aca="false">IF(IsPro,IF($D2802="","",IFERROR(INDEX(Items!$D$5:$D$504,Q2802),"")),IF($D2802="","","PRO PLAN"))</f>
        <v/>
      </c>
      <c r="J2802" s="61" t="str">
        <f aca="false">IF(IsPro,IF($D2802="","",IF($F2802="",IFERROR(INDEX(Items!$G$5:$G$504,Q2802),0),$F2802)),"")</f>
        <v/>
      </c>
      <c r="K2802" s="61" t="str">
        <f aca="false">IF(IsPro,IF($D2802="","",ROUND(N($E2802)*J2802*(1-N($G2802)),2)),"")</f>
        <v/>
      </c>
      <c r="L2802" s="62" t="str">
        <f aca="false">IF(IsPro,IF($D2802="","",IFERROR(INDEX(Items!$F$5:$F$504,Q2802),0)),"")</f>
        <v/>
      </c>
      <c r="M2802" s="61" t="str">
        <f aca="false">IF(IsPro,IF($D2802="","",IF(AND(R2802&lt;&gt;"",INDEX(Parties!$E$5:$E$304,R2802)&lt;&gt;"",INDEX(Parties!$E$5:$E$304,R2802)&lt;&gt;HomeState),0,ROUND(K2802*L2802/2,2))),"")</f>
        <v/>
      </c>
      <c r="N2802" s="61" t="str">
        <f aca="false">IF(IsPro,IF($D2802="","",M2802),"")</f>
        <v/>
      </c>
      <c r="O2802" s="61" t="str">
        <f aca="false">IF(IsPro,IF($D2802="","",IF(AND(R2802&lt;&gt;"",INDEX(Parties!$E$5:$E$304,R2802)&lt;&gt;"",INDEX(Parties!$E$5:$E$304,R2802)&lt;&gt;HomeState),ROUND(K2802*L2802,2),0)),"")</f>
        <v/>
      </c>
      <c r="P2802" s="61" t="str">
        <f aca="false">IF(IsPro,IF($D2802="","",K2802+M2802+N2802+O2802),"")</f>
        <v/>
      </c>
      <c r="Q2802" s="60" t="str">
        <f aca="false">IF(IsPro,IF($D2802="","",IFERROR(MATCH($D2802,Items!$A$5:$A$504,0),"")),"")</f>
        <v/>
      </c>
      <c r="R2802" s="60" t="str">
        <f aca="false">IF(IsPro,IF($C2802="","",IFERROR(MATCH($C2802,Parties!$A$5:$A$304,0),"")),"")</f>
        <v/>
      </c>
      <c r="S2802" s="61" t="str">
        <f aca="false">IF(IsPro,IF($D2802="","",IF(OR($H2802="",$H2802="Credit"),0,P2802)),"")</f>
        <v/>
      </c>
    </row>
    <row r="2803" customFormat="false" ht="15" hidden="false" customHeight="false" outlineLevel="0" collapsed="false">
      <c r="A2803" s="55"/>
      <c r="B2803" s="56"/>
      <c r="C2803" s="56"/>
      <c r="D2803" s="56"/>
      <c r="E2803" s="57"/>
      <c r="F2803" s="58"/>
      <c r="G2803" s="59"/>
      <c r="H2803" s="56"/>
      <c r="I2803" s="60" t="str">
        <f aca="false">IF(IsPro,IF($D2803="","",IFERROR(INDEX(Items!$D$5:$D$504,Q2803),"")),IF($D2803="","","PRO PLAN"))</f>
        <v/>
      </c>
      <c r="J2803" s="61" t="str">
        <f aca="false">IF(IsPro,IF($D2803="","",IF($F2803="",IFERROR(INDEX(Items!$G$5:$G$504,Q2803),0),$F2803)),"")</f>
        <v/>
      </c>
      <c r="K2803" s="61" t="str">
        <f aca="false">IF(IsPro,IF($D2803="","",ROUND(N($E2803)*J2803*(1-N($G2803)),2)),"")</f>
        <v/>
      </c>
      <c r="L2803" s="62" t="str">
        <f aca="false">IF(IsPro,IF($D2803="","",IFERROR(INDEX(Items!$F$5:$F$504,Q2803),0)),"")</f>
        <v/>
      </c>
      <c r="M2803" s="61" t="str">
        <f aca="false">IF(IsPro,IF($D2803="","",IF(AND(R2803&lt;&gt;"",INDEX(Parties!$E$5:$E$304,R2803)&lt;&gt;"",INDEX(Parties!$E$5:$E$304,R2803)&lt;&gt;HomeState),0,ROUND(K2803*L2803/2,2))),"")</f>
        <v/>
      </c>
      <c r="N2803" s="61" t="str">
        <f aca="false">IF(IsPro,IF($D2803="","",M2803),"")</f>
        <v/>
      </c>
      <c r="O2803" s="61" t="str">
        <f aca="false">IF(IsPro,IF($D2803="","",IF(AND(R2803&lt;&gt;"",INDEX(Parties!$E$5:$E$304,R2803)&lt;&gt;"",INDEX(Parties!$E$5:$E$304,R2803)&lt;&gt;HomeState),ROUND(K2803*L2803,2),0)),"")</f>
        <v/>
      </c>
      <c r="P2803" s="61" t="str">
        <f aca="false">IF(IsPro,IF($D2803="","",K2803+M2803+N2803+O2803),"")</f>
        <v/>
      </c>
      <c r="Q2803" s="60" t="str">
        <f aca="false">IF(IsPro,IF($D2803="","",IFERROR(MATCH($D2803,Items!$A$5:$A$504,0),"")),"")</f>
        <v/>
      </c>
      <c r="R2803" s="60" t="str">
        <f aca="false">IF(IsPro,IF($C2803="","",IFERROR(MATCH($C2803,Parties!$A$5:$A$304,0),"")),"")</f>
        <v/>
      </c>
      <c r="S2803" s="61" t="str">
        <f aca="false">IF(IsPro,IF($D2803="","",IF(OR($H2803="",$H2803="Credit"),0,P2803)),"")</f>
        <v/>
      </c>
    </row>
    <row r="2804" customFormat="false" ht="15" hidden="false" customHeight="false" outlineLevel="0" collapsed="false">
      <c r="A2804" s="55"/>
      <c r="B2804" s="56"/>
      <c r="C2804" s="56"/>
      <c r="D2804" s="56"/>
      <c r="E2804" s="57"/>
      <c r="F2804" s="58"/>
      <c r="G2804" s="59"/>
      <c r="H2804" s="56"/>
      <c r="I2804" s="60" t="str">
        <f aca="false">IF(IsPro,IF($D2804="","",IFERROR(INDEX(Items!$D$5:$D$504,Q2804),"")),IF($D2804="","","PRO PLAN"))</f>
        <v/>
      </c>
      <c r="J2804" s="61" t="str">
        <f aca="false">IF(IsPro,IF($D2804="","",IF($F2804="",IFERROR(INDEX(Items!$G$5:$G$504,Q2804),0),$F2804)),"")</f>
        <v/>
      </c>
      <c r="K2804" s="61" t="str">
        <f aca="false">IF(IsPro,IF($D2804="","",ROUND(N($E2804)*J2804*(1-N($G2804)),2)),"")</f>
        <v/>
      </c>
      <c r="L2804" s="62" t="str">
        <f aca="false">IF(IsPro,IF($D2804="","",IFERROR(INDEX(Items!$F$5:$F$504,Q2804),0)),"")</f>
        <v/>
      </c>
      <c r="M2804" s="61" t="str">
        <f aca="false">IF(IsPro,IF($D2804="","",IF(AND(R2804&lt;&gt;"",INDEX(Parties!$E$5:$E$304,R2804)&lt;&gt;"",INDEX(Parties!$E$5:$E$304,R2804)&lt;&gt;HomeState),0,ROUND(K2804*L2804/2,2))),"")</f>
        <v/>
      </c>
      <c r="N2804" s="61" t="str">
        <f aca="false">IF(IsPro,IF($D2804="","",M2804),"")</f>
        <v/>
      </c>
      <c r="O2804" s="61" t="str">
        <f aca="false">IF(IsPro,IF($D2804="","",IF(AND(R2804&lt;&gt;"",INDEX(Parties!$E$5:$E$304,R2804)&lt;&gt;"",INDEX(Parties!$E$5:$E$304,R2804)&lt;&gt;HomeState),ROUND(K2804*L2804,2),0)),"")</f>
        <v/>
      </c>
      <c r="P2804" s="61" t="str">
        <f aca="false">IF(IsPro,IF($D2804="","",K2804+M2804+N2804+O2804),"")</f>
        <v/>
      </c>
      <c r="Q2804" s="60" t="str">
        <f aca="false">IF(IsPro,IF($D2804="","",IFERROR(MATCH($D2804,Items!$A$5:$A$504,0),"")),"")</f>
        <v/>
      </c>
      <c r="R2804" s="60" t="str">
        <f aca="false">IF(IsPro,IF($C2804="","",IFERROR(MATCH($C2804,Parties!$A$5:$A$304,0),"")),"")</f>
        <v/>
      </c>
      <c r="S2804" s="61" t="str">
        <f aca="false">IF(IsPro,IF($D2804="","",IF(OR($H2804="",$H2804="Credit"),0,P2804)),"")</f>
        <v/>
      </c>
    </row>
    <row r="2805" customFormat="false" ht="15" hidden="false" customHeight="false" outlineLevel="0" collapsed="false">
      <c r="A2805" s="55"/>
      <c r="B2805" s="56"/>
      <c r="C2805" s="56"/>
      <c r="D2805" s="56"/>
      <c r="E2805" s="57"/>
      <c r="F2805" s="58"/>
      <c r="G2805" s="59"/>
      <c r="H2805" s="56"/>
      <c r="I2805" s="60" t="str">
        <f aca="false">IF(IsPro,IF($D2805="","",IFERROR(INDEX(Items!$D$5:$D$504,Q2805),"")),IF($D2805="","","PRO PLAN"))</f>
        <v/>
      </c>
      <c r="J2805" s="61" t="str">
        <f aca="false">IF(IsPro,IF($D2805="","",IF($F2805="",IFERROR(INDEX(Items!$G$5:$G$504,Q2805),0),$F2805)),"")</f>
        <v/>
      </c>
      <c r="K2805" s="61" t="str">
        <f aca="false">IF(IsPro,IF($D2805="","",ROUND(N($E2805)*J2805*(1-N($G2805)),2)),"")</f>
        <v/>
      </c>
      <c r="L2805" s="62" t="str">
        <f aca="false">IF(IsPro,IF($D2805="","",IFERROR(INDEX(Items!$F$5:$F$504,Q2805),0)),"")</f>
        <v/>
      </c>
      <c r="M2805" s="61" t="str">
        <f aca="false">IF(IsPro,IF($D2805="","",IF(AND(R2805&lt;&gt;"",INDEX(Parties!$E$5:$E$304,R2805)&lt;&gt;"",INDEX(Parties!$E$5:$E$304,R2805)&lt;&gt;HomeState),0,ROUND(K2805*L2805/2,2))),"")</f>
        <v/>
      </c>
      <c r="N2805" s="61" t="str">
        <f aca="false">IF(IsPro,IF($D2805="","",M2805),"")</f>
        <v/>
      </c>
      <c r="O2805" s="61" t="str">
        <f aca="false">IF(IsPro,IF($D2805="","",IF(AND(R2805&lt;&gt;"",INDEX(Parties!$E$5:$E$304,R2805)&lt;&gt;"",INDEX(Parties!$E$5:$E$304,R2805)&lt;&gt;HomeState),ROUND(K2805*L2805,2),0)),"")</f>
        <v/>
      </c>
      <c r="P2805" s="61" t="str">
        <f aca="false">IF(IsPro,IF($D2805="","",K2805+M2805+N2805+O2805),"")</f>
        <v/>
      </c>
      <c r="Q2805" s="60" t="str">
        <f aca="false">IF(IsPro,IF($D2805="","",IFERROR(MATCH($D2805,Items!$A$5:$A$504,0),"")),"")</f>
        <v/>
      </c>
      <c r="R2805" s="60" t="str">
        <f aca="false">IF(IsPro,IF($C2805="","",IFERROR(MATCH($C2805,Parties!$A$5:$A$304,0),"")),"")</f>
        <v/>
      </c>
      <c r="S2805" s="61" t="str">
        <f aca="false">IF(IsPro,IF($D2805="","",IF(OR($H2805="",$H2805="Credit"),0,P2805)),"")</f>
        <v/>
      </c>
    </row>
    <row r="2806" customFormat="false" ht="15" hidden="false" customHeight="false" outlineLevel="0" collapsed="false">
      <c r="A2806" s="55"/>
      <c r="B2806" s="56"/>
      <c r="C2806" s="56"/>
      <c r="D2806" s="56"/>
      <c r="E2806" s="57"/>
      <c r="F2806" s="58"/>
      <c r="G2806" s="59"/>
      <c r="H2806" s="56"/>
      <c r="I2806" s="60" t="str">
        <f aca="false">IF(IsPro,IF($D2806="","",IFERROR(INDEX(Items!$D$5:$D$504,Q2806),"")),IF($D2806="","","PRO PLAN"))</f>
        <v/>
      </c>
      <c r="J2806" s="61" t="str">
        <f aca="false">IF(IsPro,IF($D2806="","",IF($F2806="",IFERROR(INDEX(Items!$G$5:$G$504,Q2806),0),$F2806)),"")</f>
        <v/>
      </c>
      <c r="K2806" s="61" t="str">
        <f aca="false">IF(IsPro,IF($D2806="","",ROUND(N($E2806)*J2806*(1-N($G2806)),2)),"")</f>
        <v/>
      </c>
      <c r="L2806" s="62" t="str">
        <f aca="false">IF(IsPro,IF($D2806="","",IFERROR(INDEX(Items!$F$5:$F$504,Q2806),0)),"")</f>
        <v/>
      </c>
      <c r="M2806" s="61" t="str">
        <f aca="false">IF(IsPro,IF($D2806="","",IF(AND(R2806&lt;&gt;"",INDEX(Parties!$E$5:$E$304,R2806)&lt;&gt;"",INDEX(Parties!$E$5:$E$304,R2806)&lt;&gt;HomeState),0,ROUND(K2806*L2806/2,2))),"")</f>
        <v/>
      </c>
      <c r="N2806" s="61" t="str">
        <f aca="false">IF(IsPro,IF($D2806="","",M2806),"")</f>
        <v/>
      </c>
      <c r="O2806" s="61" t="str">
        <f aca="false">IF(IsPro,IF($D2806="","",IF(AND(R2806&lt;&gt;"",INDEX(Parties!$E$5:$E$304,R2806)&lt;&gt;"",INDEX(Parties!$E$5:$E$304,R2806)&lt;&gt;HomeState),ROUND(K2806*L2806,2),0)),"")</f>
        <v/>
      </c>
      <c r="P2806" s="61" t="str">
        <f aca="false">IF(IsPro,IF($D2806="","",K2806+M2806+N2806+O2806),"")</f>
        <v/>
      </c>
      <c r="Q2806" s="60" t="str">
        <f aca="false">IF(IsPro,IF($D2806="","",IFERROR(MATCH($D2806,Items!$A$5:$A$504,0),"")),"")</f>
        <v/>
      </c>
      <c r="R2806" s="60" t="str">
        <f aca="false">IF(IsPro,IF($C2806="","",IFERROR(MATCH($C2806,Parties!$A$5:$A$304,0),"")),"")</f>
        <v/>
      </c>
      <c r="S2806" s="61" t="str">
        <f aca="false">IF(IsPro,IF($D2806="","",IF(OR($H2806="",$H2806="Credit"),0,P2806)),"")</f>
        <v/>
      </c>
    </row>
    <row r="2807" customFormat="false" ht="15" hidden="false" customHeight="false" outlineLevel="0" collapsed="false">
      <c r="A2807" s="55"/>
      <c r="B2807" s="56"/>
      <c r="C2807" s="56"/>
      <c r="D2807" s="56"/>
      <c r="E2807" s="57"/>
      <c r="F2807" s="58"/>
      <c r="G2807" s="59"/>
      <c r="H2807" s="56"/>
      <c r="I2807" s="60" t="str">
        <f aca="false">IF(IsPro,IF($D2807="","",IFERROR(INDEX(Items!$D$5:$D$504,Q2807),"")),IF($D2807="","","PRO PLAN"))</f>
        <v/>
      </c>
      <c r="J2807" s="61" t="str">
        <f aca="false">IF(IsPro,IF($D2807="","",IF($F2807="",IFERROR(INDEX(Items!$G$5:$G$504,Q2807),0),$F2807)),"")</f>
        <v/>
      </c>
      <c r="K2807" s="61" t="str">
        <f aca="false">IF(IsPro,IF($D2807="","",ROUND(N($E2807)*J2807*(1-N($G2807)),2)),"")</f>
        <v/>
      </c>
      <c r="L2807" s="62" t="str">
        <f aca="false">IF(IsPro,IF($D2807="","",IFERROR(INDEX(Items!$F$5:$F$504,Q2807),0)),"")</f>
        <v/>
      </c>
      <c r="M2807" s="61" t="str">
        <f aca="false">IF(IsPro,IF($D2807="","",IF(AND(R2807&lt;&gt;"",INDEX(Parties!$E$5:$E$304,R2807)&lt;&gt;"",INDEX(Parties!$E$5:$E$304,R2807)&lt;&gt;HomeState),0,ROUND(K2807*L2807/2,2))),"")</f>
        <v/>
      </c>
      <c r="N2807" s="61" t="str">
        <f aca="false">IF(IsPro,IF($D2807="","",M2807),"")</f>
        <v/>
      </c>
      <c r="O2807" s="61" t="str">
        <f aca="false">IF(IsPro,IF($D2807="","",IF(AND(R2807&lt;&gt;"",INDEX(Parties!$E$5:$E$304,R2807)&lt;&gt;"",INDEX(Parties!$E$5:$E$304,R2807)&lt;&gt;HomeState),ROUND(K2807*L2807,2),0)),"")</f>
        <v/>
      </c>
      <c r="P2807" s="61" t="str">
        <f aca="false">IF(IsPro,IF($D2807="","",K2807+M2807+N2807+O2807),"")</f>
        <v/>
      </c>
      <c r="Q2807" s="60" t="str">
        <f aca="false">IF(IsPro,IF($D2807="","",IFERROR(MATCH($D2807,Items!$A$5:$A$504,0),"")),"")</f>
        <v/>
      </c>
      <c r="R2807" s="60" t="str">
        <f aca="false">IF(IsPro,IF($C2807="","",IFERROR(MATCH($C2807,Parties!$A$5:$A$304,0),"")),"")</f>
        <v/>
      </c>
      <c r="S2807" s="61" t="str">
        <f aca="false">IF(IsPro,IF($D2807="","",IF(OR($H2807="",$H2807="Credit"),0,P2807)),"")</f>
        <v/>
      </c>
    </row>
    <row r="2808" customFormat="false" ht="15" hidden="false" customHeight="false" outlineLevel="0" collapsed="false">
      <c r="A2808" s="55"/>
      <c r="B2808" s="56"/>
      <c r="C2808" s="56"/>
      <c r="D2808" s="56"/>
      <c r="E2808" s="57"/>
      <c r="F2808" s="58"/>
      <c r="G2808" s="59"/>
      <c r="H2808" s="56"/>
      <c r="I2808" s="60" t="str">
        <f aca="false">IF(IsPro,IF($D2808="","",IFERROR(INDEX(Items!$D$5:$D$504,Q2808),"")),IF($D2808="","","PRO PLAN"))</f>
        <v/>
      </c>
      <c r="J2808" s="61" t="str">
        <f aca="false">IF(IsPro,IF($D2808="","",IF($F2808="",IFERROR(INDEX(Items!$G$5:$G$504,Q2808),0),$F2808)),"")</f>
        <v/>
      </c>
      <c r="K2808" s="61" t="str">
        <f aca="false">IF(IsPro,IF($D2808="","",ROUND(N($E2808)*J2808*(1-N($G2808)),2)),"")</f>
        <v/>
      </c>
      <c r="L2808" s="62" t="str">
        <f aca="false">IF(IsPro,IF($D2808="","",IFERROR(INDEX(Items!$F$5:$F$504,Q2808),0)),"")</f>
        <v/>
      </c>
      <c r="M2808" s="61" t="str">
        <f aca="false">IF(IsPro,IF($D2808="","",IF(AND(R2808&lt;&gt;"",INDEX(Parties!$E$5:$E$304,R2808)&lt;&gt;"",INDEX(Parties!$E$5:$E$304,R2808)&lt;&gt;HomeState),0,ROUND(K2808*L2808/2,2))),"")</f>
        <v/>
      </c>
      <c r="N2808" s="61" t="str">
        <f aca="false">IF(IsPro,IF($D2808="","",M2808),"")</f>
        <v/>
      </c>
      <c r="O2808" s="61" t="str">
        <f aca="false">IF(IsPro,IF($D2808="","",IF(AND(R2808&lt;&gt;"",INDEX(Parties!$E$5:$E$304,R2808)&lt;&gt;"",INDEX(Parties!$E$5:$E$304,R2808)&lt;&gt;HomeState),ROUND(K2808*L2808,2),0)),"")</f>
        <v/>
      </c>
      <c r="P2808" s="61" t="str">
        <f aca="false">IF(IsPro,IF($D2808="","",K2808+M2808+N2808+O2808),"")</f>
        <v/>
      </c>
      <c r="Q2808" s="60" t="str">
        <f aca="false">IF(IsPro,IF($D2808="","",IFERROR(MATCH($D2808,Items!$A$5:$A$504,0),"")),"")</f>
        <v/>
      </c>
      <c r="R2808" s="60" t="str">
        <f aca="false">IF(IsPro,IF($C2808="","",IFERROR(MATCH($C2808,Parties!$A$5:$A$304,0),"")),"")</f>
        <v/>
      </c>
      <c r="S2808" s="61" t="str">
        <f aca="false">IF(IsPro,IF($D2808="","",IF(OR($H2808="",$H2808="Credit"),0,P2808)),"")</f>
        <v/>
      </c>
    </row>
    <row r="2809" customFormat="false" ht="15" hidden="false" customHeight="false" outlineLevel="0" collapsed="false">
      <c r="A2809" s="55"/>
      <c r="B2809" s="56"/>
      <c r="C2809" s="56"/>
      <c r="D2809" s="56"/>
      <c r="E2809" s="57"/>
      <c r="F2809" s="58"/>
      <c r="G2809" s="59"/>
      <c r="H2809" s="56"/>
      <c r="I2809" s="60" t="str">
        <f aca="false">IF(IsPro,IF($D2809="","",IFERROR(INDEX(Items!$D$5:$D$504,Q2809),"")),IF($D2809="","","PRO PLAN"))</f>
        <v/>
      </c>
      <c r="J2809" s="61" t="str">
        <f aca="false">IF(IsPro,IF($D2809="","",IF($F2809="",IFERROR(INDEX(Items!$G$5:$G$504,Q2809),0),$F2809)),"")</f>
        <v/>
      </c>
      <c r="K2809" s="61" t="str">
        <f aca="false">IF(IsPro,IF($D2809="","",ROUND(N($E2809)*J2809*(1-N($G2809)),2)),"")</f>
        <v/>
      </c>
      <c r="L2809" s="62" t="str">
        <f aca="false">IF(IsPro,IF($D2809="","",IFERROR(INDEX(Items!$F$5:$F$504,Q2809),0)),"")</f>
        <v/>
      </c>
      <c r="M2809" s="61" t="str">
        <f aca="false">IF(IsPro,IF($D2809="","",IF(AND(R2809&lt;&gt;"",INDEX(Parties!$E$5:$E$304,R2809)&lt;&gt;"",INDEX(Parties!$E$5:$E$304,R2809)&lt;&gt;HomeState),0,ROUND(K2809*L2809/2,2))),"")</f>
        <v/>
      </c>
      <c r="N2809" s="61" t="str">
        <f aca="false">IF(IsPro,IF($D2809="","",M2809),"")</f>
        <v/>
      </c>
      <c r="O2809" s="61" t="str">
        <f aca="false">IF(IsPro,IF($D2809="","",IF(AND(R2809&lt;&gt;"",INDEX(Parties!$E$5:$E$304,R2809)&lt;&gt;"",INDEX(Parties!$E$5:$E$304,R2809)&lt;&gt;HomeState),ROUND(K2809*L2809,2),0)),"")</f>
        <v/>
      </c>
      <c r="P2809" s="61" t="str">
        <f aca="false">IF(IsPro,IF($D2809="","",K2809+M2809+N2809+O2809),"")</f>
        <v/>
      </c>
      <c r="Q2809" s="60" t="str">
        <f aca="false">IF(IsPro,IF($D2809="","",IFERROR(MATCH($D2809,Items!$A$5:$A$504,0),"")),"")</f>
        <v/>
      </c>
      <c r="R2809" s="60" t="str">
        <f aca="false">IF(IsPro,IF($C2809="","",IFERROR(MATCH($C2809,Parties!$A$5:$A$304,0),"")),"")</f>
        <v/>
      </c>
      <c r="S2809" s="61" t="str">
        <f aca="false">IF(IsPro,IF($D2809="","",IF(OR($H2809="",$H2809="Credit"),0,P2809)),"")</f>
        <v/>
      </c>
    </row>
    <row r="2810" customFormat="false" ht="15" hidden="false" customHeight="false" outlineLevel="0" collapsed="false">
      <c r="A2810" s="55"/>
      <c r="B2810" s="56"/>
      <c r="C2810" s="56"/>
      <c r="D2810" s="56"/>
      <c r="E2810" s="57"/>
      <c r="F2810" s="58"/>
      <c r="G2810" s="59"/>
      <c r="H2810" s="56"/>
      <c r="I2810" s="60" t="str">
        <f aca="false">IF(IsPro,IF($D2810="","",IFERROR(INDEX(Items!$D$5:$D$504,Q2810),"")),IF($D2810="","","PRO PLAN"))</f>
        <v/>
      </c>
      <c r="J2810" s="61" t="str">
        <f aca="false">IF(IsPro,IF($D2810="","",IF($F2810="",IFERROR(INDEX(Items!$G$5:$G$504,Q2810),0),$F2810)),"")</f>
        <v/>
      </c>
      <c r="K2810" s="61" t="str">
        <f aca="false">IF(IsPro,IF($D2810="","",ROUND(N($E2810)*J2810*(1-N($G2810)),2)),"")</f>
        <v/>
      </c>
      <c r="L2810" s="62" t="str">
        <f aca="false">IF(IsPro,IF($D2810="","",IFERROR(INDEX(Items!$F$5:$F$504,Q2810),0)),"")</f>
        <v/>
      </c>
      <c r="M2810" s="61" t="str">
        <f aca="false">IF(IsPro,IF($D2810="","",IF(AND(R2810&lt;&gt;"",INDEX(Parties!$E$5:$E$304,R2810)&lt;&gt;"",INDEX(Parties!$E$5:$E$304,R2810)&lt;&gt;HomeState),0,ROUND(K2810*L2810/2,2))),"")</f>
        <v/>
      </c>
      <c r="N2810" s="61" t="str">
        <f aca="false">IF(IsPro,IF($D2810="","",M2810),"")</f>
        <v/>
      </c>
      <c r="O2810" s="61" t="str">
        <f aca="false">IF(IsPro,IF($D2810="","",IF(AND(R2810&lt;&gt;"",INDEX(Parties!$E$5:$E$304,R2810)&lt;&gt;"",INDEX(Parties!$E$5:$E$304,R2810)&lt;&gt;HomeState),ROUND(K2810*L2810,2),0)),"")</f>
        <v/>
      </c>
      <c r="P2810" s="61" t="str">
        <f aca="false">IF(IsPro,IF($D2810="","",K2810+M2810+N2810+O2810),"")</f>
        <v/>
      </c>
      <c r="Q2810" s="60" t="str">
        <f aca="false">IF(IsPro,IF($D2810="","",IFERROR(MATCH($D2810,Items!$A$5:$A$504,0),"")),"")</f>
        <v/>
      </c>
      <c r="R2810" s="60" t="str">
        <f aca="false">IF(IsPro,IF($C2810="","",IFERROR(MATCH($C2810,Parties!$A$5:$A$304,0),"")),"")</f>
        <v/>
      </c>
      <c r="S2810" s="61" t="str">
        <f aca="false">IF(IsPro,IF($D2810="","",IF(OR($H2810="",$H2810="Credit"),0,P2810)),"")</f>
        <v/>
      </c>
    </row>
    <row r="2811" customFormat="false" ht="15" hidden="false" customHeight="false" outlineLevel="0" collapsed="false">
      <c r="A2811" s="55"/>
      <c r="B2811" s="56"/>
      <c r="C2811" s="56"/>
      <c r="D2811" s="56"/>
      <c r="E2811" s="57"/>
      <c r="F2811" s="58"/>
      <c r="G2811" s="59"/>
      <c r="H2811" s="56"/>
      <c r="I2811" s="60" t="str">
        <f aca="false">IF(IsPro,IF($D2811="","",IFERROR(INDEX(Items!$D$5:$D$504,Q2811),"")),IF($D2811="","","PRO PLAN"))</f>
        <v/>
      </c>
      <c r="J2811" s="61" t="str">
        <f aca="false">IF(IsPro,IF($D2811="","",IF($F2811="",IFERROR(INDEX(Items!$G$5:$G$504,Q2811),0),$F2811)),"")</f>
        <v/>
      </c>
      <c r="K2811" s="61" t="str">
        <f aca="false">IF(IsPro,IF($D2811="","",ROUND(N($E2811)*J2811*(1-N($G2811)),2)),"")</f>
        <v/>
      </c>
      <c r="L2811" s="62" t="str">
        <f aca="false">IF(IsPro,IF($D2811="","",IFERROR(INDEX(Items!$F$5:$F$504,Q2811),0)),"")</f>
        <v/>
      </c>
      <c r="M2811" s="61" t="str">
        <f aca="false">IF(IsPro,IF($D2811="","",IF(AND(R2811&lt;&gt;"",INDEX(Parties!$E$5:$E$304,R2811)&lt;&gt;"",INDEX(Parties!$E$5:$E$304,R2811)&lt;&gt;HomeState),0,ROUND(K2811*L2811/2,2))),"")</f>
        <v/>
      </c>
      <c r="N2811" s="61" t="str">
        <f aca="false">IF(IsPro,IF($D2811="","",M2811),"")</f>
        <v/>
      </c>
      <c r="O2811" s="61" t="str">
        <f aca="false">IF(IsPro,IF($D2811="","",IF(AND(R2811&lt;&gt;"",INDEX(Parties!$E$5:$E$304,R2811)&lt;&gt;"",INDEX(Parties!$E$5:$E$304,R2811)&lt;&gt;HomeState),ROUND(K2811*L2811,2),0)),"")</f>
        <v/>
      </c>
      <c r="P2811" s="61" t="str">
        <f aca="false">IF(IsPro,IF($D2811="","",K2811+M2811+N2811+O2811),"")</f>
        <v/>
      </c>
      <c r="Q2811" s="60" t="str">
        <f aca="false">IF(IsPro,IF($D2811="","",IFERROR(MATCH($D2811,Items!$A$5:$A$504,0),"")),"")</f>
        <v/>
      </c>
      <c r="R2811" s="60" t="str">
        <f aca="false">IF(IsPro,IF($C2811="","",IFERROR(MATCH($C2811,Parties!$A$5:$A$304,0),"")),"")</f>
        <v/>
      </c>
      <c r="S2811" s="61" t="str">
        <f aca="false">IF(IsPro,IF($D2811="","",IF(OR($H2811="",$H2811="Credit"),0,P2811)),"")</f>
        <v/>
      </c>
    </row>
    <row r="2812" customFormat="false" ht="15" hidden="false" customHeight="false" outlineLevel="0" collapsed="false">
      <c r="A2812" s="55"/>
      <c r="B2812" s="56"/>
      <c r="C2812" s="56"/>
      <c r="D2812" s="56"/>
      <c r="E2812" s="57"/>
      <c r="F2812" s="58"/>
      <c r="G2812" s="59"/>
      <c r="H2812" s="56"/>
      <c r="I2812" s="60" t="str">
        <f aca="false">IF(IsPro,IF($D2812="","",IFERROR(INDEX(Items!$D$5:$D$504,Q2812),"")),IF($D2812="","","PRO PLAN"))</f>
        <v/>
      </c>
      <c r="J2812" s="61" t="str">
        <f aca="false">IF(IsPro,IF($D2812="","",IF($F2812="",IFERROR(INDEX(Items!$G$5:$G$504,Q2812),0),$F2812)),"")</f>
        <v/>
      </c>
      <c r="K2812" s="61" t="str">
        <f aca="false">IF(IsPro,IF($D2812="","",ROUND(N($E2812)*J2812*(1-N($G2812)),2)),"")</f>
        <v/>
      </c>
      <c r="L2812" s="62" t="str">
        <f aca="false">IF(IsPro,IF($D2812="","",IFERROR(INDEX(Items!$F$5:$F$504,Q2812),0)),"")</f>
        <v/>
      </c>
      <c r="M2812" s="61" t="str">
        <f aca="false">IF(IsPro,IF($D2812="","",IF(AND(R2812&lt;&gt;"",INDEX(Parties!$E$5:$E$304,R2812)&lt;&gt;"",INDEX(Parties!$E$5:$E$304,R2812)&lt;&gt;HomeState),0,ROUND(K2812*L2812/2,2))),"")</f>
        <v/>
      </c>
      <c r="N2812" s="61" t="str">
        <f aca="false">IF(IsPro,IF($D2812="","",M2812),"")</f>
        <v/>
      </c>
      <c r="O2812" s="61" t="str">
        <f aca="false">IF(IsPro,IF($D2812="","",IF(AND(R2812&lt;&gt;"",INDEX(Parties!$E$5:$E$304,R2812)&lt;&gt;"",INDEX(Parties!$E$5:$E$304,R2812)&lt;&gt;HomeState),ROUND(K2812*L2812,2),0)),"")</f>
        <v/>
      </c>
      <c r="P2812" s="61" t="str">
        <f aca="false">IF(IsPro,IF($D2812="","",K2812+M2812+N2812+O2812),"")</f>
        <v/>
      </c>
      <c r="Q2812" s="60" t="str">
        <f aca="false">IF(IsPro,IF($D2812="","",IFERROR(MATCH($D2812,Items!$A$5:$A$504,0),"")),"")</f>
        <v/>
      </c>
      <c r="R2812" s="60" t="str">
        <f aca="false">IF(IsPro,IF($C2812="","",IFERROR(MATCH($C2812,Parties!$A$5:$A$304,0),"")),"")</f>
        <v/>
      </c>
      <c r="S2812" s="61" t="str">
        <f aca="false">IF(IsPro,IF($D2812="","",IF(OR($H2812="",$H2812="Credit"),0,P2812)),"")</f>
        <v/>
      </c>
    </row>
    <row r="2813" customFormat="false" ht="15" hidden="false" customHeight="false" outlineLevel="0" collapsed="false">
      <c r="A2813" s="55"/>
      <c r="B2813" s="56"/>
      <c r="C2813" s="56"/>
      <c r="D2813" s="56"/>
      <c r="E2813" s="57"/>
      <c r="F2813" s="58"/>
      <c r="G2813" s="59"/>
      <c r="H2813" s="56"/>
      <c r="I2813" s="60" t="str">
        <f aca="false">IF(IsPro,IF($D2813="","",IFERROR(INDEX(Items!$D$5:$D$504,Q2813),"")),IF($D2813="","","PRO PLAN"))</f>
        <v/>
      </c>
      <c r="J2813" s="61" t="str">
        <f aca="false">IF(IsPro,IF($D2813="","",IF($F2813="",IFERROR(INDEX(Items!$G$5:$G$504,Q2813),0),$F2813)),"")</f>
        <v/>
      </c>
      <c r="K2813" s="61" t="str">
        <f aca="false">IF(IsPro,IF($D2813="","",ROUND(N($E2813)*J2813*(1-N($G2813)),2)),"")</f>
        <v/>
      </c>
      <c r="L2813" s="62" t="str">
        <f aca="false">IF(IsPro,IF($D2813="","",IFERROR(INDEX(Items!$F$5:$F$504,Q2813),0)),"")</f>
        <v/>
      </c>
      <c r="M2813" s="61" t="str">
        <f aca="false">IF(IsPro,IF($D2813="","",IF(AND(R2813&lt;&gt;"",INDEX(Parties!$E$5:$E$304,R2813)&lt;&gt;"",INDEX(Parties!$E$5:$E$304,R2813)&lt;&gt;HomeState),0,ROUND(K2813*L2813/2,2))),"")</f>
        <v/>
      </c>
      <c r="N2813" s="61" t="str">
        <f aca="false">IF(IsPro,IF($D2813="","",M2813),"")</f>
        <v/>
      </c>
      <c r="O2813" s="61" t="str">
        <f aca="false">IF(IsPro,IF($D2813="","",IF(AND(R2813&lt;&gt;"",INDEX(Parties!$E$5:$E$304,R2813)&lt;&gt;"",INDEX(Parties!$E$5:$E$304,R2813)&lt;&gt;HomeState),ROUND(K2813*L2813,2),0)),"")</f>
        <v/>
      </c>
      <c r="P2813" s="61" t="str">
        <f aca="false">IF(IsPro,IF($D2813="","",K2813+M2813+N2813+O2813),"")</f>
        <v/>
      </c>
      <c r="Q2813" s="60" t="str">
        <f aca="false">IF(IsPro,IF($D2813="","",IFERROR(MATCH($D2813,Items!$A$5:$A$504,0),"")),"")</f>
        <v/>
      </c>
      <c r="R2813" s="60" t="str">
        <f aca="false">IF(IsPro,IF($C2813="","",IFERROR(MATCH($C2813,Parties!$A$5:$A$304,0),"")),"")</f>
        <v/>
      </c>
      <c r="S2813" s="61" t="str">
        <f aca="false">IF(IsPro,IF($D2813="","",IF(OR($H2813="",$H2813="Credit"),0,P2813)),"")</f>
        <v/>
      </c>
    </row>
    <row r="2814" customFormat="false" ht="15" hidden="false" customHeight="false" outlineLevel="0" collapsed="false">
      <c r="A2814" s="55"/>
      <c r="B2814" s="56"/>
      <c r="C2814" s="56"/>
      <c r="D2814" s="56"/>
      <c r="E2814" s="57"/>
      <c r="F2814" s="58"/>
      <c r="G2814" s="59"/>
      <c r="H2814" s="56"/>
      <c r="I2814" s="60" t="str">
        <f aca="false">IF(IsPro,IF($D2814="","",IFERROR(INDEX(Items!$D$5:$D$504,Q2814),"")),IF($D2814="","","PRO PLAN"))</f>
        <v/>
      </c>
      <c r="J2814" s="61" t="str">
        <f aca="false">IF(IsPro,IF($D2814="","",IF($F2814="",IFERROR(INDEX(Items!$G$5:$G$504,Q2814),0),$F2814)),"")</f>
        <v/>
      </c>
      <c r="K2814" s="61" t="str">
        <f aca="false">IF(IsPro,IF($D2814="","",ROUND(N($E2814)*J2814*(1-N($G2814)),2)),"")</f>
        <v/>
      </c>
      <c r="L2814" s="62" t="str">
        <f aca="false">IF(IsPro,IF($D2814="","",IFERROR(INDEX(Items!$F$5:$F$504,Q2814),0)),"")</f>
        <v/>
      </c>
      <c r="M2814" s="61" t="str">
        <f aca="false">IF(IsPro,IF($D2814="","",IF(AND(R2814&lt;&gt;"",INDEX(Parties!$E$5:$E$304,R2814)&lt;&gt;"",INDEX(Parties!$E$5:$E$304,R2814)&lt;&gt;HomeState),0,ROUND(K2814*L2814/2,2))),"")</f>
        <v/>
      </c>
      <c r="N2814" s="61" t="str">
        <f aca="false">IF(IsPro,IF($D2814="","",M2814),"")</f>
        <v/>
      </c>
      <c r="O2814" s="61" t="str">
        <f aca="false">IF(IsPro,IF($D2814="","",IF(AND(R2814&lt;&gt;"",INDEX(Parties!$E$5:$E$304,R2814)&lt;&gt;"",INDEX(Parties!$E$5:$E$304,R2814)&lt;&gt;HomeState),ROUND(K2814*L2814,2),0)),"")</f>
        <v/>
      </c>
      <c r="P2814" s="61" t="str">
        <f aca="false">IF(IsPro,IF($D2814="","",K2814+M2814+N2814+O2814),"")</f>
        <v/>
      </c>
      <c r="Q2814" s="60" t="str">
        <f aca="false">IF(IsPro,IF($D2814="","",IFERROR(MATCH($D2814,Items!$A$5:$A$504,0),"")),"")</f>
        <v/>
      </c>
      <c r="R2814" s="60" t="str">
        <f aca="false">IF(IsPro,IF($C2814="","",IFERROR(MATCH($C2814,Parties!$A$5:$A$304,0),"")),"")</f>
        <v/>
      </c>
      <c r="S2814" s="61" t="str">
        <f aca="false">IF(IsPro,IF($D2814="","",IF(OR($H2814="",$H2814="Credit"),0,P2814)),"")</f>
        <v/>
      </c>
    </row>
    <row r="2815" customFormat="false" ht="15" hidden="false" customHeight="false" outlineLevel="0" collapsed="false">
      <c r="A2815" s="55"/>
      <c r="B2815" s="56"/>
      <c r="C2815" s="56"/>
      <c r="D2815" s="56"/>
      <c r="E2815" s="57"/>
      <c r="F2815" s="58"/>
      <c r="G2815" s="59"/>
      <c r="H2815" s="56"/>
      <c r="I2815" s="60" t="str">
        <f aca="false">IF(IsPro,IF($D2815="","",IFERROR(INDEX(Items!$D$5:$D$504,Q2815),"")),IF($D2815="","","PRO PLAN"))</f>
        <v/>
      </c>
      <c r="J2815" s="61" t="str">
        <f aca="false">IF(IsPro,IF($D2815="","",IF($F2815="",IFERROR(INDEX(Items!$G$5:$G$504,Q2815),0),$F2815)),"")</f>
        <v/>
      </c>
      <c r="K2815" s="61" t="str">
        <f aca="false">IF(IsPro,IF($D2815="","",ROUND(N($E2815)*J2815*(1-N($G2815)),2)),"")</f>
        <v/>
      </c>
      <c r="L2815" s="62" t="str">
        <f aca="false">IF(IsPro,IF($D2815="","",IFERROR(INDEX(Items!$F$5:$F$504,Q2815),0)),"")</f>
        <v/>
      </c>
      <c r="M2815" s="61" t="str">
        <f aca="false">IF(IsPro,IF($D2815="","",IF(AND(R2815&lt;&gt;"",INDEX(Parties!$E$5:$E$304,R2815)&lt;&gt;"",INDEX(Parties!$E$5:$E$304,R2815)&lt;&gt;HomeState),0,ROUND(K2815*L2815/2,2))),"")</f>
        <v/>
      </c>
      <c r="N2815" s="61" t="str">
        <f aca="false">IF(IsPro,IF($D2815="","",M2815),"")</f>
        <v/>
      </c>
      <c r="O2815" s="61" t="str">
        <f aca="false">IF(IsPro,IF($D2815="","",IF(AND(R2815&lt;&gt;"",INDEX(Parties!$E$5:$E$304,R2815)&lt;&gt;"",INDEX(Parties!$E$5:$E$304,R2815)&lt;&gt;HomeState),ROUND(K2815*L2815,2),0)),"")</f>
        <v/>
      </c>
      <c r="P2815" s="61" t="str">
        <f aca="false">IF(IsPro,IF($D2815="","",K2815+M2815+N2815+O2815),"")</f>
        <v/>
      </c>
      <c r="Q2815" s="60" t="str">
        <f aca="false">IF(IsPro,IF($D2815="","",IFERROR(MATCH($D2815,Items!$A$5:$A$504,0),"")),"")</f>
        <v/>
      </c>
      <c r="R2815" s="60" t="str">
        <f aca="false">IF(IsPro,IF($C2815="","",IFERROR(MATCH($C2815,Parties!$A$5:$A$304,0),"")),"")</f>
        <v/>
      </c>
      <c r="S2815" s="61" t="str">
        <f aca="false">IF(IsPro,IF($D2815="","",IF(OR($H2815="",$H2815="Credit"),0,P2815)),"")</f>
        <v/>
      </c>
    </row>
    <row r="2816" customFormat="false" ht="15" hidden="false" customHeight="false" outlineLevel="0" collapsed="false">
      <c r="A2816" s="55"/>
      <c r="B2816" s="56"/>
      <c r="C2816" s="56"/>
      <c r="D2816" s="56"/>
      <c r="E2816" s="57"/>
      <c r="F2816" s="58"/>
      <c r="G2816" s="59"/>
      <c r="H2816" s="56"/>
      <c r="I2816" s="60" t="str">
        <f aca="false">IF(IsPro,IF($D2816="","",IFERROR(INDEX(Items!$D$5:$D$504,Q2816),"")),IF($D2816="","","PRO PLAN"))</f>
        <v/>
      </c>
      <c r="J2816" s="61" t="str">
        <f aca="false">IF(IsPro,IF($D2816="","",IF($F2816="",IFERROR(INDEX(Items!$G$5:$G$504,Q2816),0),$F2816)),"")</f>
        <v/>
      </c>
      <c r="K2816" s="61" t="str">
        <f aca="false">IF(IsPro,IF($D2816="","",ROUND(N($E2816)*J2816*(1-N($G2816)),2)),"")</f>
        <v/>
      </c>
      <c r="L2816" s="62" t="str">
        <f aca="false">IF(IsPro,IF($D2816="","",IFERROR(INDEX(Items!$F$5:$F$504,Q2816),0)),"")</f>
        <v/>
      </c>
      <c r="M2816" s="61" t="str">
        <f aca="false">IF(IsPro,IF($D2816="","",IF(AND(R2816&lt;&gt;"",INDEX(Parties!$E$5:$E$304,R2816)&lt;&gt;"",INDEX(Parties!$E$5:$E$304,R2816)&lt;&gt;HomeState),0,ROUND(K2816*L2816/2,2))),"")</f>
        <v/>
      </c>
      <c r="N2816" s="61" t="str">
        <f aca="false">IF(IsPro,IF($D2816="","",M2816),"")</f>
        <v/>
      </c>
      <c r="O2816" s="61" t="str">
        <f aca="false">IF(IsPro,IF($D2816="","",IF(AND(R2816&lt;&gt;"",INDEX(Parties!$E$5:$E$304,R2816)&lt;&gt;"",INDEX(Parties!$E$5:$E$304,R2816)&lt;&gt;HomeState),ROUND(K2816*L2816,2),0)),"")</f>
        <v/>
      </c>
      <c r="P2816" s="61" t="str">
        <f aca="false">IF(IsPro,IF($D2816="","",K2816+M2816+N2816+O2816),"")</f>
        <v/>
      </c>
      <c r="Q2816" s="60" t="str">
        <f aca="false">IF(IsPro,IF($D2816="","",IFERROR(MATCH($D2816,Items!$A$5:$A$504,0),"")),"")</f>
        <v/>
      </c>
      <c r="R2816" s="60" t="str">
        <f aca="false">IF(IsPro,IF($C2816="","",IFERROR(MATCH($C2816,Parties!$A$5:$A$304,0),"")),"")</f>
        <v/>
      </c>
      <c r="S2816" s="61" t="str">
        <f aca="false">IF(IsPro,IF($D2816="","",IF(OR($H2816="",$H2816="Credit"),0,P2816)),"")</f>
        <v/>
      </c>
    </row>
    <row r="2817" customFormat="false" ht="15" hidden="false" customHeight="false" outlineLevel="0" collapsed="false">
      <c r="A2817" s="55"/>
      <c r="B2817" s="56"/>
      <c r="C2817" s="56"/>
      <c r="D2817" s="56"/>
      <c r="E2817" s="57"/>
      <c r="F2817" s="58"/>
      <c r="G2817" s="59"/>
      <c r="H2817" s="56"/>
      <c r="I2817" s="60" t="str">
        <f aca="false">IF(IsPro,IF($D2817="","",IFERROR(INDEX(Items!$D$5:$D$504,Q2817),"")),IF($D2817="","","PRO PLAN"))</f>
        <v/>
      </c>
      <c r="J2817" s="61" t="str">
        <f aca="false">IF(IsPro,IF($D2817="","",IF($F2817="",IFERROR(INDEX(Items!$G$5:$G$504,Q2817),0),$F2817)),"")</f>
        <v/>
      </c>
      <c r="K2817" s="61" t="str">
        <f aca="false">IF(IsPro,IF($D2817="","",ROUND(N($E2817)*J2817*(1-N($G2817)),2)),"")</f>
        <v/>
      </c>
      <c r="L2817" s="62" t="str">
        <f aca="false">IF(IsPro,IF($D2817="","",IFERROR(INDEX(Items!$F$5:$F$504,Q2817),0)),"")</f>
        <v/>
      </c>
      <c r="M2817" s="61" t="str">
        <f aca="false">IF(IsPro,IF($D2817="","",IF(AND(R2817&lt;&gt;"",INDEX(Parties!$E$5:$E$304,R2817)&lt;&gt;"",INDEX(Parties!$E$5:$E$304,R2817)&lt;&gt;HomeState),0,ROUND(K2817*L2817/2,2))),"")</f>
        <v/>
      </c>
      <c r="N2817" s="61" t="str">
        <f aca="false">IF(IsPro,IF($D2817="","",M2817),"")</f>
        <v/>
      </c>
      <c r="O2817" s="61" t="str">
        <f aca="false">IF(IsPro,IF($D2817="","",IF(AND(R2817&lt;&gt;"",INDEX(Parties!$E$5:$E$304,R2817)&lt;&gt;"",INDEX(Parties!$E$5:$E$304,R2817)&lt;&gt;HomeState),ROUND(K2817*L2817,2),0)),"")</f>
        <v/>
      </c>
      <c r="P2817" s="61" t="str">
        <f aca="false">IF(IsPro,IF($D2817="","",K2817+M2817+N2817+O2817),"")</f>
        <v/>
      </c>
      <c r="Q2817" s="60" t="str">
        <f aca="false">IF(IsPro,IF($D2817="","",IFERROR(MATCH($D2817,Items!$A$5:$A$504,0),"")),"")</f>
        <v/>
      </c>
      <c r="R2817" s="60" t="str">
        <f aca="false">IF(IsPro,IF($C2817="","",IFERROR(MATCH($C2817,Parties!$A$5:$A$304,0),"")),"")</f>
        <v/>
      </c>
      <c r="S2817" s="61" t="str">
        <f aca="false">IF(IsPro,IF($D2817="","",IF(OR($H2817="",$H2817="Credit"),0,P2817)),"")</f>
        <v/>
      </c>
    </row>
    <row r="2818" customFormat="false" ht="15" hidden="false" customHeight="false" outlineLevel="0" collapsed="false">
      <c r="A2818" s="55"/>
      <c r="B2818" s="56"/>
      <c r="C2818" s="56"/>
      <c r="D2818" s="56"/>
      <c r="E2818" s="57"/>
      <c r="F2818" s="58"/>
      <c r="G2818" s="59"/>
      <c r="H2818" s="56"/>
      <c r="I2818" s="60" t="str">
        <f aca="false">IF(IsPro,IF($D2818="","",IFERROR(INDEX(Items!$D$5:$D$504,Q2818),"")),IF($D2818="","","PRO PLAN"))</f>
        <v/>
      </c>
      <c r="J2818" s="61" t="str">
        <f aca="false">IF(IsPro,IF($D2818="","",IF($F2818="",IFERROR(INDEX(Items!$G$5:$G$504,Q2818),0),$F2818)),"")</f>
        <v/>
      </c>
      <c r="K2818" s="61" t="str">
        <f aca="false">IF(IsPro,IF($D2818="","",ROUND(N($E2818)*J2818*(1-N($G2818)),2)),"")</f>
        <v/>
      </c>
      <c r="L2818" s="62" t="str">
        <f aca="false">IF(IsPro,IF($D2818="","",IFERROR(INDEX(Items!$F$5:$F$504,Q2818),0)),"")</f>
        <v/>
      </c>
      <c r="M2818" s="61" t="str">
        <f aca="false">IF(IsPro,IF($D2818="","",IF(AND(R2818&lt;&gt;"",INDEX(Parties!$E$5:$E$304,R2818)&lt;&gt;"",INDEX(Parties!$E$5:$E$304,R2818)&lt;&gt;HomeState),0,ROUND(K2818*L2818/2,2))),"")</f>
        <v/>
      </c>
      <c r="N2818" s="61" t="str">
        <f aca="false">IF(IsPro,IF($D2818="","",M2818),"")</f>
        <v/>
      </c>
      <c r="O2818" s="61" t="str">
        <f aca="false">IF(IsPro,IF($D2818="","",IF(AND(R2818&lt;&gt;"",INDEX(Parties!$E$5:$E$304,R2818)&lt;&gt;"",INDEX(Parties!$E$5:$E$304,R2818)&lt;&gt;HomeState),ROUND(K2818*L2818,2),0)),"")</f>
        <v/>
      </c>
      <c r="P2818" s="61" t="str">
        <f aca="false">IF(IsPro,IF($D2818="","",K2818+M2818+N2818+O2818),"")</f>
        <v/>
      </c>
      <c r="Q2818" s="60" t="str">
        <f aca="false">IF(IsPro,IF($D2818="","",IFERROR(MATCH($D2818,Items!$A$5:$A$504,0),"")),"")</f>
        <v/>
      </c>
      <c r="R2818" s="60" t="str">
        <f aca="false">IF(IsPro,IF($C2818="","",IFERROR(MATCH($C2818,Parties!$A$5:$A$304,0),"")),"")</f>
        <v/>
      </c>
      <c r="S2818" s="61" t="str">
        <f aca="false">IF(IsPro,IF($D2818="","",IF(OR($H2818="",$H2818="Credit"),0,P2818)),"")</f>
        <v/>
      </c>
    </row>
    <row r="2819" customFormat="false" ht="15" hidden="false" customHeight="false" outlineLevel="0" collapsed="false">
      <c r="A2819" s="55"/>
      <c r="B2819" s="56"/>
      <c r="C2819" s="56"/>
      <c r="D2819" s="56"/>
      <c r="E2819" s="57"/>
      <c r="F2819" s="58"/>
      <c r="G2819" s="59"/>
      <c r="H2819" s="56"/>
      <c r="I2819" s="60" t="str">
        <f aca="false">IF(IsPro,IF($D2819="","",IFERROR(INDEX(Items!$D$5:$D$504,Q2819),"")),IF($D2819="","","PRO PLAN"))</f>
        <v/>
      </c>
      <c r="J2819" s="61" t="str">
        <f aca="false">IF(IsPro,IF($D2819="","",IF($F2819="",IFERROR(INDEX(Items!$G$5:$G$504,Q2819),0),$F2819)),"")</f>
        <v/>
      </c>
      <c r="K2819" s="61" t="str">
        <f aca="false">IF(IsPro,IF($D2819="","",ROUND(N($E2819)*J2819*(1-N($G2819)),2)),"")</f>
        <v/>
      </c>
      <c r="L2819" s="62" t="str">
        <f aca="false">IF(IsPro,IF($D2819="","",IFERROR(INDEX(Items!$F$5:$F$504,Q2819),0)),"")</f>
        <v/>
      </c>
      <c r="M2819" s="61" t="str">
        <f aca="false">IF(IsPro,IF($D2819="","",IF(AND(R2819&lt;&gt;"",INDEX(Parties!$E$5:$E$304,R2819)&lt;&gt;"",INDEX(Parties!$E$5:$E$304,R2819)&lt;&gt;HomeState),0,ROUND(K2819*L2819/2,2))),"")</f>
        <v/>
      </c>
      <c r="N2819" s="61" t="str">
        <f aca="false">IF(IsPro,IF($D2819="","",M2819),"")</f>
        <v/>
      </c>
      <c r="O2819" s="61" t="str">
        <f aca="false">IF(IsPro,IF($D2819="","",IF(AND(R2819&lt;&gt;"",INDEX(Parties!$E$5:$E$304,R2819)&lt;&gt;"",INDEX(Parties!$E$5:$E$304,R2819)&lt;&gt;HomeState),ROUND(K2819*L2819,2),0)),"")</f>
        <v/>
      </c>
      <c r="P2819" s="61" t="str">
        <f aca="false">IF(IsPro,IF($D2819="","",K2819+M2819+N2819+O2819),"")</f>
        <v/>
      </c>
      <c r="Q2819" s="60" t="str">
        <f aca="false">IF(IsPro,IF($D2819="","",IFERROR(MATCH($D2819,Items!$A$5:$A$504,0),"")),"")</f>
        <v/>
      </c>
      <c r="R2819" s="60" t="str">
        <f aca="false">IF(IsPro,IF($C2819="","",IFERROR(MATCH($C2819,Parties!$A$5:$A$304,0),"")),"")</f>
        <v/>
      </c>
      <c r="S2819" s="61" t="str">
        <f aca="false">IF(IsPro,IF($D2819="","",IF(OR($H2819="",$H2819="Credit"),0,P2819)),"")</f>
        <v/>
      </c>
    </row>
    <row r="2820" customFormat="false" ht="15" hidden="false" customHeight="false" outlineLevel="0" collapsed="false">
      <c r="A2820" s="55"/>
      <c r="B2820" s="56"/>
      <c r="C2820" s="56"/>
      <c r="D2820" s="56"/>
      <c r="E2820" s="57"/>
      <c r="F2820" s="58"/>
      <c r="G2820" s="59"/>
      <c r="H2820" s="56"/>
      <c r="I2820" s="60" t="str">
        <f aca="false">IF(IsPro,IF($D2820="","",IFERROR(INDEX(Items!$D$5:$D$504,Q2820),"")),IF($D2820="","","PRO PLAN"))</f>
        <v/>
      </c>
      <c r="J2820" s="61" t="str">
        <f aca="false">IF(IsPro,IF($D2820="","",IF($F2820="",IFERROR(INDEX(Items!$G$5:$G$504,Q2820),0),$F2820)),"")</f>
        <v/>
      </c>
      <c r="K2820" s="61" t="str">
        <f aca="false">IF(IsPro,IF($D2820="","",ROUND(N($E2820)*J2820*(1-N($G2820)),2)),"")</f>
        <v/>
      </c>
      <c r="L2820" s="62" t="str">
        <f aca="false">IF(IsPro,IF($D2820="","",IFERROR(INDEX(Items!$F$5:$F$504,Q2820),0)),"")</f>
        <v/>
      </c>
      <c r="M2820" s="61" t="str">
        <f aca="false">IF(IsPro,IF($D2820="","",IF(AND(R2820&lt;&gt;"",INDEX(Parties!$E$5:$E$304,R2820)&lt;&gt;"",INDEX(Parties!$E$5:$E$304,R2820)&lt;&gt;HomeState),0,ROUND(K2820*L2820/2,2))),"")</f>
        <v/>
      </c>
      <c r="N2820" s="61" t="str">
        <f aca="false">IF(IsPro,IF($D2820="","",M2820),"")</f>
        <v/>
      </c>
      <c r="O2820" s="61" t="str">
        <f aca="false">IF(IsPro,IF($D2820="","",IF(AND(R2820&lt;&gt;"",INDEX(Parties!$E$5:$E$304,R2820)&lt;&gt;"",INDEX(Parties!$E$5:$E$304,R2820)&lt;&gt;HomeState),ROUND(K2820*L2820,2),0)),"")</f>
        <v/>
      </c>
      <c r="P2820" s="61" t="str">
        <f aca="false">IF(IsPro,IF($D2820="","",K2820+M2820+N2820+O2820),"")</f>
        <v/>
      </c>
      <c r="Q2820" s="60" t="str">
        <f aca="false">IF(IsPro,IF($D2820="","",IFERROR(MATCH($D2820,Items!$A$5:$A$504,0),"")),"")</f>
        <v/>
      </c>
      <c r="R2820" s="60" t="str">
        <f aca="false">IF(IsPro,IF($C2820="","",IFERROR(MATCH($C2820,Parties!$A$5:$A$304,0),"")),"")</f>
        <v/>
      </c>
      <c r="S2820" s="61" t="str">
        <f aca="false">IF(IsPro,IF($D2820="","",IF(OR($H2820="",$H2820="Credit"),0,P2820)),"")</f>
        <v/>
      </c>
    </row>
    <row r="2821" customFormat="false" ht="15" hidden="false" customHeight="false" outlineLevel="0" collapsed="false">
      <c r="A2821" s="55"/>
      <c r="B2821" s="56"/>
      <c r="C2821" s="56"/>
      <c r="D2821" s="56"/>
      <c r="E2821" s="57"/>
      <c r="F2821" s="58"/>
      <c r="G2821" s="59"/>
      <c r="H2821" s="56"/>
      <c r="I2821" s="60" t="str">
        <f aca="false">IF(IsPro,IF($D2821="","",IFERROR(INDEX(Items!$D$5:$D$504,Q2821),"")),IF($D2821="","","PRO PLAN"))</f>
        <v/>
      </c>
      <c r="J2821" s="61" t="str">
        <f aca="false">IF(IsPro,IF($D2821="","",IF($F2821="",IFERROR(INDEX(Items!$G$5:$G$504,Q2821),0),$F2821)),"")</f>
        <v/>
      </c>
      <c r="K2821" s="61" t="str">
        <f aca="false">IF(IsPro,IF($D2821="","",ROUND(N($E2821)*J2821*(1-N($G2821)),2)),"")</f>
        <v/>
      </c>
      <c r="L2821" s="62" t="str">
        <f aca="false">IF(IsPro,IF($D2821="","",IFERROR(INDEX(Items!$F$5:$F$504,Q2821),0)),"")</f>
        <v/>
      </c>
      <c r="M2821" s="61" t="str">
        <f aca="false">IF(IsPro,IF($D2821="","",IF(AND(R2821&lt;&gt;"",INDEX(Parties!$E$5:$E$304,R2821)&lt;&gt;"",INDEX(Parties!$E$5:$E$304,R2821)&lt;&gt;HomeState),0,ROUND(K2821*L2821/2,2))),"")</f>
        <v/>
      </c>
      <c r="N2821" s="61" t="str">
        <f aca="false">IF(IsPro,IF($D2821="","",M2821),"")</f>
        <v/>
      </c>
      <c r="O2821" s="61" t="str">
        <f aca="false">IF(IsPro,IF($D2821="","",IF(AND(R2821&lt;&gt;"",INDEX(Parties!$E$5:$E$304,R2821)&lt;&gt;"",INDEX(Parties!$E$5:$E$304,R2821)&lt;&gt;HomeState),ROUND(K2821*L2821,2),0)),"")</f>
        <v/>
      </c>
      <c r="P2821" s="61" t="str">
        <f aca="false">IF(IsPro,IF($D2821="","",K2821+M2821+N2821+O2821),"")</f>
        <v/>
      </c>
      <c r="Q2821" s="60" t="str">
        <f aca="false">IF(IsPro,IF($D2821="","",IFERROR(MATCH($D2821,Items!$A$5:$A$504,0),"")),"")</f>
        <v/>
      </c>
      <c r="R2821" s="60" t="str">
        <f aca="false">IF(IsPro,IF($C2821="","",IFERROR(MATCH($C2821,Parties!$A$5:$A$304,0),"")),"")</f>
        <v/>
      </c>
      <c r="S2821" s="61" t="str">
        <f aca="false">IF(IsPro,IF($D2821="","",IF(OR($H2821="",$H2821="Credit"),0,P2821)),"")</f>
        <v/>
      </c>
    </row>
    <row r="2822" customFormat="false" ht="15" hidden="false" customHeight="false" outlineLevel="0" collapsed="false">
      <c r="A2822" s="55"/>
      <c r="B2822" s="56"/>
      <c r="C2822" s="56"/>
      <c r="D2822" s="56"/>
      <c r="E2822" s="57"/>
      <c r="F2822" s="58"/>
      <c r="G2822" s="59"/>
      <c r="H2822" s="56"/>
      <c r="I2822" s="60" t="str">
        <f aca="false">IF(IsPro,IF($D2822="","",IFERROR(INDEX(Items!$D$5:$D$504,Q2822),"")),IF($D2822="","","PRO PLAN"))</f>
        <v/>
      </c>
      <c r="J2822" s="61" t="str">
        <f aca="false">IF(IsPro,IF($D2822="","",IF($F2822="",IFERROR(INDEX(Items!$G$5:$G$504,Q2822),0),$F2822)),"")</f>
        <v/>
      </c>
      <c r="K2822" s="61" t="str">
        <f aca="false">IF(IsPro,IF($D2822="","",ROUND(N($E2822)*J2822*(1-N($G2822)),2)),"")</f>
        <v/>
      </c>
      <c r="L2822" s="62" t="str">
        <f aca="false">IF(IsPro,IF($D2822="","",IFERROR(INDEX(Items!$F$5:$F$504,Q2822),0)),"")</f>
        <v/>
      </c>
      <c r="M2822" s="61" t="str">
        <f aca="false">IF(IsPro,IF($D2822="","",IF(AND(R2822&lt;&gt;"",INDEX(Parties!$E$5:$E$304,R2822)&lt;&gt;"",INDEX(Parties!$E$5:$E$304,R2822)&lt;&gt;HomeState),0,ROUND(K2822*L2822/2,2))),"")</f>
        <v/>
      </c>
      <c r="N2822" s="61" t="str">
        <f aca="false">IF(IsPro,IF($D2822="","",M2822),"")</f>
        <v/>
      </c>
      <c r="O2822" s="61" t="str">
        <f aca="false">IF(IsPro,IF($D2822="","",IF(AND(R2822&lt;&gt;"",INDEX(Parties!$E$5:$E$304,R2822)&lt;&gt;"",INDEX(Parties!$E$5:$E$304,R2822)&lt;&gt;HomeState),ROUND(K2822*L2822,2),0)),"")</f>
        <v/>
      </c>
      <c r="P2822" s="61" t="str">
        <f aca="false">IF(IsPro,IF($D2822="","",K2822+M2822+N2822+O2822),"")</f>
        <v/>
      </c>
      <c r="Q2822" s="60" t="str">
        <f aca="false">IF(IsPro,IF($D2822="","",IFERROR(MATCH($D2822,Items!$A$5:$A$504,0),"")),"")</f>
        <v/>
      </c>
      <c r="R2822" s="60" t="str">
        <f aca="false">IF(IsPro,IF($C2822="","",IFERROR(MATCH($C2822,Parties!$A$5:$A$304,0),"")),"")</f>
        <v/>
      </c>
      <c r="S2822" s="61" t="str">
        <f aca="false">IF(IsPro,IF($D2822="","",IF(OR($H2822="",$H2822="Credit"),0,P2822)),"")</f>
        <v/>
      </c>
    </row>
    <row r="2823" customFormat="false" ht="15" hidden="false" customHeight="false" outlineLevel="0" collapsed="false">
      <c r="A2823" s="55"/>
      <c r="B2823" s="56"/>
      <c r="C2823" s="56"/>
      <c r="D2823" s="56"/>
      <c r="E2823" s="57"/>
      <c r="F2823" s="58"/>
      <c r="G2823" s="59"/>
      <c r="H2823" s="56"/>
      <c r="I2823" s="60" t="str">
        <f aca="false">IF(IsPro,IF($D2823="","",IFERROR(INDEX(Items!$D$5:$D$504,Q2823),"")),IF($D2823="","","PRO PLAN"))</f>
        <v/>
      </c>
      <c r="J2823" s="61" t="str">
        <f aca="false">IF(IsPro,IF($D2823="","",IF($F2823="",IFERROR(INDEX(Items!$G$5:$G$504,Q2823),0),$F2823)),"")</f>
        <v/>
      </c>
      <c r="K2823" s="61" t="str">
        <f aca="false">IF(IsPro,IF($D2823="","",ROUND(N($E2823)*J2823*(1-N($G2823)),2)),"")</f>
        <v/>
      </c>
      <c r="L2823" s="62" t="str">
        <f aca="false">IF(IsPro,IF($D2823="","",IFERROR(INDEX(Items!$F$5:$F$504,Q2823),0)),"")</f>
        <v/>
      </c>
      <c r="M2823" s="61" t="str">
        <f aca="false">IF(IsPro,IF($D2823="","",IF(AND(R2823&lt;&gt;"",INDEX(Parties!$E$5:$E$304,R2823)&lt;&gt;"",INDEX(Parties!$E$5:$E$304,R2823)&lt;&gt;HomeState),0,ROUND(K2823*L2823/2,2))),"")</f>
        <v/>
      </c>
      <c r="N2823" s="61" t="str">
        <f aca="false">IF(IsPro,IF($D2823="","",M2823),"")</f>
        <v/>
      </c>
      <c r="O2823" s="61" t="str">
        <f aca="false">IF(IsPro,IF($D2823="","",IF(AND(R2823&lt;&gt;"",INDEX(Parties!$E$5:$E$304,R2823)&lt;&gt;"",INDEX(Parties!$E$5:$E$304,R2823)&lt;&gt;HomeState),ROUND(K2823*L2823,2),0)),"")</f>
        <v/>
      </c>
      <c r="P2823" s="61" t="str">
        <f aca="false">IF(IsPro,IF($D2823="","",K2823+M2823+N2823+O2823),"")</f>
        <v/>
      </c>
      <c r="Q2823" s="60" t="str">
        <f aca="false">IF(IsPro,IF($D2823="","",IFERROR(MATCH($D2823,Items!$A$5:$A$504,0),"")),"")</f>
        <v/>
      </c>
      <c r="R2823" s="60" t="str">
        <f aca="false">IF(IsPro,IF($C2823="","",IFERROR(MATCH($C2823,Parties!$A$5:$A$304,0),"")),"")</f>
        <v/>
      </c>
      <c r="S2823" s="61" t="str">
        <f aca="false">IF(IsPro,IF($D2823="","",IF(OR($H2823="",$H2823="Credit"),0,P2823)),"")</f>
        <v/>
      </c>
    </row>
    <row r="2824" customFormat="false" ht="15" hidden="false" customHeight="false" outlineLevel="0" collapsed="false">
      <c r="A2824" s="55"/>
      <c r="B2824" s="56"/>
      <c r="C2824" s="56"/>
      <c r="D2824" s="56"/>
      <c r="E2824" s="57"/>
      <c r="F2824" s="58"/>
      <c r="G2824" s="59"/>
      <c r="H2824" s="56"/>
      <c r="I2824" s="60" t="str">
        <f aca="false">IF(IsPro,IF($D2824="","",IFERROR(INDEX(Items!$D$5:$D$504,Q2824),"")),IF($D2824="","","PRO PLAN"))</f>
        <v/>
      </c>
      <c r="J2824" s="61" t="str">
        <f aca="false">IF(IsPro,IF($D2824="","",IF($F2824="",IFERROR(INDEX(Items!$G$5:$G$504,Q2824),0),$F2824)),"")</f>
        <v/>
      </c>
      <c r="K2824" s="61" t="str">
        <f aca="false">IF(IsPro,IF($D2824="","",ROUND(N($E2824)*J2824*(1-N($G2824)),2)),"")</f>
        <v/>
      </c>
      <c r="L2824" s="62" t="str">
        <f aca="false">IF(IsPro,IF($D2824="","",IFERROR(INDEX(Items!$F$5:$F$504,Q2824),0)),"")</f>
        <v/>
      </c>
      <c r="M2824" s="61" t="str">
        <f aca="false">IF(IsPro,IF($D2824="","",IF(AND(R2824&lt;&gt;"",INDEX(Parties!$E$5:$E$304,R2824)&lt;&gt;"",INDEX(Parties!$E$5:$E$304,R2824)&lt;&gt;HomeState),0,ROUND(K2824*L2824/2,2))),"")</f>
        <v/>
      </c>
      <c r="N2824" s="61" t="str">
        <f aca="false">IF(IsPro,IF($D2824="","",M2824),"")</f>
        <v/>
      </c>
      <c r="O2824" s="61" t="str">
        <f aca="false">IF(IsPro,IF($D2824="","",IF(AND(R2824&lt;&gt;"",INDEX(Parties!$E$5:$E$304,R2824)&lt;&gt;"",INDEX(Parties!$E$5:$E$304,R2824)&lt;&gt;HomeState),ROUND(K2824*L2824,2),0)),"")</f>
        <v/>
      </c>
      <c r="P2824" s="61" t="str">
        <f aca="false">IF(IsPro,IF($D2824="","",K2824+M2824+N2824+O2824),"")</f>
        <v/>
      </c>
      <c r="Q2824" s="60" t="str">
        <f aca="false">IF(IsPro,IF($D2824="","",IFERROR(MATCH($D2824,Items!$A$5:$A$504,0),"")),"")</f>
        <v/>
      </c>
      <c r="R2824" s="60" t="str">
        <f aca="false">IF(IsPro,IF($C2824="","",IFERROR(MATCH($C2824,Parties!$A$5:$A$304,0),"")),"")</f>
        <v/>
      </c>
      <c r="S2824" s="61" t="str">
        <f aca="false">IF(IsPro,IF($D2824="","",IF(OR($H2824="",$H2824="Credit"),0,P2824)),"")</f>
        <v/>
      </c>
    </row>
    <row r="2825" customFormat="false" ht="15" hidden="false" customHeight="false" outlineLevel="0" collapsed="false">
      <c r="A2825" s="55"/>
      <c r="B2825" s="56"/>
      <c r="C2825" s="56"/>
      <c r="D2825" s="56"/>
      <c r="E2825" s="57"/>
      <c r="F2825" s="58"/>
      <c r="G2825" s="59"/>
      <c r="H2825" s="56"/>
      <c r="I2825" s="60" t="str">
        <f aca="false">IF(IsPro,IF($D2825="","",IFERROR(INDEX(Items!$D$5:$D$504,Q2825),"")),IF($D2825="","","PRO PLAN"))</f>
        <v/>
      </c>
      <c r="J2825" s="61" t="str">
        <f aca="false">IF(IsPro,IF($D2825="","",IF($F2825="",IFERROR(INDEX(Items!$G$5:$G$504,Q2825),0),$F2825)),"")</f>
        <v/>
      </c>
      <c r="K2825" s="61" t="str">
        <f aca="false">IF(IsPro,IF($D2825="","",ROUND(N($E2825)*J2825*(1-N($G2825)),2)),"")</f>
        <v/>
      </c>
      <c r="L2825" s="62" t="str">
        <f aca="false">IF(IsPro,IF($D2825="","",IFERROR(INDEX(Items!$F$5:$F$504,Q2825),0)),"")</f>
        <v/>
      </c>
      <c r="M2825" s="61" t="str">
        <f aca="false">IF(IsPro,IF($D2825="","",IF(AND(R2825&lt;&gt;"",INDEX(Parties!$E$5:$E$304,R2825)&lt;&gt;"",INDEX(Parties!$E$5:$E$304,R2825)&lt;&gt;HomeState),0,ROUND(K2825*L2825/2,2))),"")</f>
        <v/>
      </c>
      <c r="N2825" s="61" t="str">
        <f aca="false">IF(IsPro,IF($D2825="","",M2825),"")</f>
        <v/>
      </c>
      <c r="O2825" s="61" t="str">
        <f aca="false">IF(IsPro,IF($D2825="","",IF(AND(R2825&lt;&gt;"",INDEX(Parties!$E$5:$E$304,R2825)&lt;&gt;"",INDEX(Parties!$E$5:$E$304,R2825)&lt;&gt;HomeState),ROUND(K2825*L2825,2),0)),"")</f>
        <v/>
      </c>
      <c r="P2825" s="61" t="str">
        <f aca="false">IF(IsPro,IF($D2825="","",K2825+M2825+N2825+O2825),"")</f>
        <v/>
      </c>
      <c r="Q2825" s="60" t="str">
        <f aca="false">IF(IsPro,IF($D2825="","",IFERROR(MATCH($D2825,Items!$A$5:$A$504,0),"")),"")</f>
        <v/>
      </c>
      <c r="R2825" s="60" t="str">
        <f aca="false">IF(IsPro,IF($C2825="","",IFERROR(MATCH($C2825,Parties!$A$5:$A$304,0),"")),"")</f>
        <v/>
      </c>
      <c r="S2825" s="61" t="str">
        <f aca="false">IF(IsPro,IF($D2825="","",IF(OR($H2825="",$H2825="Credit"),0,P2825)),"")</f>
        <v/>
      </c>
    </row>
    <row r="2826" customFormat="false" ht="15" hidden="false" customHeight="false" outlineLevel="0" collapsed="false">
      <c r="A2826" s="55"/>
      <c r="B2826" s="56"/>
      <c r="C2826" s="56"/>
      <c r="D2826" s="56"/>
      <c r="E2826" s="57"/>
      <c r="F2826" s="58"/>
      <c r="G2826" s="59"/>
      <c r="H2826" s="56"/>
      <c r="I2826" s="60" t="str">
        <f aca="false">IF(IsPro,IF($D2826="","",IFERROR(INDEX(Items!$D$5:$D$504,Q2826),"")),IF($D2826="","","PRO PLAN"))</f>
        <v/>
      </c>
      <c r="J2826" s="61" t="str">
        <f aca="false">IF(IsPro,IF($D2826="","",IF($F2826="",IFERROR(INDEX(Items!$G$5:$G$504,Q2826),0),$F2826)),"")</f>
        <v/>
      </c>
      <c r="K2826" s="61" t="str">
        <f aca="false">IF(IsPro,IF($D2826="","",ROUND(N($E2826)*J2826*(1-N($G2826)),2)),"")</f>
        <v/>
      </c>
      <c r="L2826" s="62" t="str">
        <f aca="false">IF(IsPro,IF($D2826="","",IFERROR(INDEX(Items!$F$5:$F$504,Q2826),0)),"")</f>
        <v/>
      </c>
      <c r="M2826" s="61" t="str">
        <f aca="false">IF(IsPro,IF($D2826="","",IF(AND(R2826&lt;&gt;"",INDEX(Parties!$E$5:$E$304,R2826)&lt;&gt;"",INDEX(Parties!$E$5:$E$304,R2826)&lt;&gt;HomeState),0,ROUND(K2826*L2826/2,2))),"")</f>
        <v/>
      </c>
      <c r="N2826" s="61" t="str">
        <f aca="false">IF(IsPro,IF($D2826="","",M2826),"")</f>
        <v/>
      </c>
      <c r="O2826" s="61" t="str">
        <f aca="false">IF(IsPro,IF($D2826="","",IF(AND(R2826&lt;&gt;"",INDEX(Parties!$E$5:$E$304,R2826)&lt;&gt;"",INDEX(Parties!$E$5:$E$304,R2826)&lt;&gt;HomeState),ROUND(K2826*L2826,2),0)),"")</f>
        <v/>
      </c>
      <c r="P2826" s="61" t="str">
        <f aca="false">IF(IsPro,IF($D2826="","",K2826+M2826+N2826+O2826),"")</f>
        <v/>
      </c>
      <c r="Q2826" s="60" t="str">
        <f aca="false">IF(IsPro,IF($D2826="","",IFERROR(MATCH($D2826,Items!$A$5:$A$504,0),"")),"")</f>
        <v/>
      </c>
      <c r="R2826" s="60" t="str">
        <f aca="false">IF(IsPro,IF($C2826="","",IFERROR(MATCH($C2826,Parties!$A$5:$A$304,0),"")),"")</f>
        <v/>
      </c>
      <c r="S2826" s="61" t="str">
        <f aca="false">IF(IsPro,IF($D2826="","",IF(OR($H2826="",$H2826="Credit"),0,P2826)),"")</f>
        <v/>
      </c>
    </row>
    <row r="2827" customFormat="false" ht="15" hidden="false" customHeight="false" outlineLevel="0" collapsed="false">
      <c r="A2827" s="55"/>
      <c r="B2827" s="56"/>
      <c r="C2827" s="56"/>
      <c r="D2827" s="56"/>
      <c r="E2827" s="57"/>
      <c r="F2827" s="58"/>
      <c r="G2827" s="59"/>
      <c r="H2827" s="56"/>
      <c r="I2827" s="60" t="str">
        <f aca="false">IF(IsPro,IF($D2827="","",IFERROR(INDEX(Items!$D$5:$D$504,Q2827),"")),IF($D2827="","","PRO PLAN"))</f>
        <v/>
      </c>
      <c r="J2827" s="61" t="str">
        <f aca="false">IF(IsPro,IF($D2827="","",IF($F2827="",IFERROR(INDEX(Items!$G$5:$G$504,Q2827),0),$F2827)),"")</f>
        <v/>
      </c>
      <c r="K2827" s="61" t="str">
        <f aca="false">IF(IsPro,IF($D2827="","",ROUND(N($E2827)*J2827*(1-N($G2827)),2)),"")</f>
        <v/>
      </c>
      <c r="L2827" s="62" t="str">
        <f aca="false">IF(IsPro,IF($D2827="","",IFERROR(INDEX(Items!$F$5:$F$504,Q2827),0)),"")</f>
        <v/>
      </c>
      <c r="M2827" s="61" t="str">
        <f aca="false">IF(IsPro,IF($D2827="","",IF(AND(R2827&lt;&gt;"",INDEX(Parties!$E$5:$E$304,R2827)&lt;&gt;"",INDEX(Parties!$E$5:$E$304,R2827)&lt;&gt;HomeState),0,ROUND(K2827*L2827/2,2))),"")</f>
        <v/>
      </c>
      <c r="N2827" s="61" t="str">
        <f aca="false">IF(IsPro,IF($D2827="","",M2827),"")</f>
        <v/>
      </c>
      <c r="O2827" s="61" t="str">
        <f aca="false">IF(IsPro,IF($D2827="","",IF(AND(R2827&lt;&gt;"",INDEX(Parties!$E$5:$E$304,R2827)&lt;&gt;"",INDEX(Parties!$E$5:$E$304,R2827)&lt;&gt;HomeState),ROUND(K2827*L2827,2),0)),"")</f>
        <v/>
      </c>
      <c r="P2827" s="61" t="str">
        <f aca="false">IF(IsPro,IF($D2827="","",K2827+M2827+N2827+O2827),"")</f>
        <v/>
      </c>
      <c r="Q2827" s="60" t="str">
        <f aca="false">IF(IsPro,IF($D2827="","",IFERROR(MATCH($D2827,Items!$A$5:$A$504,0),"")),"")</f>
        <v/>
      </c>
      <c r="R2827" s="60" t="str">
        <f aca="false">IF(IsPro,IF($C2827="","",IFERROR(MATCH($C2827,Parties!$A$5:$A$304,0),"")),"")</f>
        <v/>
      </c>
      <c r="S2827" s="61" t="str">
        <f aca="false">IF(IsPro,IF($D2827="","",IF(OR($H2827="",$H2827="Credit"),0,P2827)),"")</f>
        <v/>
      </c>
    </row>
    <row r="2828" customFormat="false" ht="15" hidden="false" customHeight="false" outlineLevel="0" collapsed="false">
      <c r="A2828" s="55"/>
      <c r="B2828" s="56"/>
      <c r="C2828" s="56"/>
      <c r="D2828" s="56"/>
      <c r="E2828" s="57"/>
      <c r="F2828" s="58"/>
      <c r="G2828" s="59"/>
      <c r="H2828" s="56"/>
      <c r="I2828" s="60" t="str">
        <f aca="false">IF(IsPro,IF($D2828="","",IFERROR(INDEX(Items!$D$5:$D$504,Q2828),"")),IF($D2828="","","PRO PLAN"))</f>
        <v/>
      </c>
      <c r="J2828" s="61" t="str">
        <f aca="false">IF(IsPro,IF($D2828="","",IF($F2828="",IFERROR(INDEX(Items!$G$5:$G$504,Q2828),0),$F2828)),"")</f>
        <v/>
      </c>
      <c r="K2828" s="61" t="str">
        <f aca="false">IF(IsPro,IF($D2828="","",ROUND(N($E2828)*J2828*(1-N($G2828)),2)),"")</f>
        <v/>
      </c>
      <c r="L2828" s="62" t="str">
        <f aca="false">IF(IsPro,IF($D2828="","",IFERROR(INDEX(Items!$F$5:$F$504,Q2828),0)),"")</f>
        <v/>
      </c>
      <c r="M2828" s="61" t="str">
        <f aca="false">IF(IsPro,IF($D2828="","",IF(AND(R2828&lt;&gt;"",INDEX(Parties!$E$5:$E$304,R2828)&lt;&gt;"",INDEX(Parties!$E$5:$E$304,R2828)&lt;&gt;HomeState),0,ROUND(K2828*L2828/2,2))),"")</f>
        <v/>
      </c>
      <c r="N2828" s="61" t="str">
        <f aca="false">IF(IsPro,IF($D2828="","",M2828),"")</f>
        <v/>
      </c>
      <c r="O2828" s="61" t="str">
        <f aca="false">IF(IsPro,IF($D2828="","",IF(AND(R2828&lt;&gt;"",INDEX(Parties!$E$5:$E$304,R2828)&lt;&gt;"",INDEX(Parties!$E$5:$E$304,R2828)&lt;&gt;HomeState),ROUND(K2828*L2828,2),0)),"")</f>
        <v/>
      </c>
      <c r="P2828" s="61" t="str">
        <f aca="false">IF(IsPro,IF($D2828="","",K2828+M2828+N2828+O2828),"")</f>
        <v/>
      </c>
      <c r="Q2828" s="60" t="str">
        <f aca="false">IF(IsPro,IF($D2828="","",IFERROR(MATCH($D2828,Items!$A$5:$A$504,0),"")),"")</f>
        <v/>
      </c>
      <c r="R2828" s="60" t="str">
        <f aca="false">IF(IsPro,IF($C2828="","",IFERROR(MATCH($C2828,Parties!$A$5:$A$304,0),"")),"")</f>
        <v/>
      </c>
      <c r="S2828" s="61" t="str">
        <f aca="false">IF(IsPro,IF($D2828="","",IF(OR($H2828="",$H2828="Credit"),0,P2828)),"")</f>
        <v/>
      </c>
    </row>
    <row r="2829" customFormat="false" ht="15" hidden="false" customHeight="false" outlineLevel="0" collapsed="false">
      <c r="A2829" s="55"/>
      <c r="B2829" s="56"/>
      <c r="C2829" s="56"/>
      <c r="D2829" s="56"/>
      <c r="E2829" s="57"/>
      <c r="F2829" s="58"/>
      <c r="G2829" s="59"/>
      <c r="H2829" s="56"/>
      <c r="I2829" s="60" t="str">
        <f aca="false">IF(IsPro,IF($D2829="","",IFERROR(INDEX(Items!$D$5:$D$504,Q2829),"")),IF($D2829="","","PRO PLAN"))</f>
        <v/>
      </c>
      <c r="J2829" s="61" t="str">
        <f aca="false">IF(IsPro,IF($D2829="","",IF($F2829="",IFERROR(INDEX(Items!$G$5:$G$504,Q2829),0),$F2829)),"")</f>
        <v/>
      </c>
      <c r="K2829" s="61" t="str">
        <f aca="false">IF(IsPro,IF($D2829="","",ROUND(N($E2829)*J2829*(1-N($G2829)),2)),"")</f>
        <v/>
      </c>
      <c r="L2829" s="62" t="str">
        <f aca="false">IF(IsPro,IF($D2829="","",IFERROR(INDEX(Items!$F$5:$F$504,Q2829),0)),"")</f>
        <v/>
      </c>
      <c r="M2829" s="61" t="str">
        <f aca="false">IF(IsPro,IF($D2829="","",IF(AND(R2829&lt;&gt;"",INDEX(Parties!$E$5:$E$304,R2829)&lt;&gt;"",INDEX(Parties!$E$5:$E$304,R2829)&lt;&gt;HomeState),0,ROUND(K2829*L2829/2,2))),"")</f>
        <v/>
      </c>
      <c r="N2829" s="61" t="str">
        <f aca="false">IF(IsPro,IF($D2829="","",M2829),"")</f>
        <v/>
      </c>
      <c r="O2829" s="61" t="str">
        <f aca="false">IF(IsPro,IF($D2829="","",IF(AND(R2829&lt;&gt;"",INDEX(Parties!$E$5:$E$304,R2829)&lt;&gt;"",INDEX(Parties!$E$5:$E$304,R2829)&lt;&gt;HomeState),ROUND(K2829*L2829,2),0)),"")</f>
        <v/>
      </c>
      <c r="P2829" s="61" t="str">
        <f aca="false">IF(IsPro,IF($D2829="","",K2829+M2829+N2829+O2829),"")</f>
        <v/>
      </c>
      <c r="Q2829" s="60" t="str">
        <f aca="false">IF(IsPro,IF($D2829="","",IFERROR(MATCH($D2829,Items!$A$5:$A$504,0),"")),"")</f>
        <v/>
      </c>
      <c r="R2829" s="60" t="str">
        <f aca="false">IF(IsPro,IF($C2829="","",IFERROR(MATCH($C2829,Parties!$A$5:$A$304,0),"")),"")</f>
        <v/>
      </c>
      <c r="S2829" s="61" t="str">
        <f aca="false">IF(IsPro,IF($D2829="","",IF(OR($H2829="",$H2829="Credit"),0,P2829)),"")</f>
        <v/>
      </c>
    </row>
    <row r="2830" customFormat="false" ht="15" hidden="false" customHeight="false" outlineLevel="0" collapsed="false">
      <c r="A2830" s="55"/>
      <c r="B2830" s="56"/>
      <c r="C2830" s="56"/>
      <c r="D2830" s="56"/>
      <c r="E2830" s="57"/>
      <c r="F2830" s="58"/>
      <c r="G2830" s="59"/>
      <c r="H2830" s="56"/>
      <c r="I2830" s="60" t="str">
        <f aca="false">IF(IsPro,IF($D2830="","",IFERROR(INDEX(Items!$D$5:$D$504,Q2830),"")),IF($D2830="","","PRO PLAN"))</f>
        <v/>
      </c>
      <c r="J2830" s="61" t="str">
        <f aca="false">IF(IsPro,IF($D2830="","",IF($F2830="",IFERROR(INDEX(Items!$G$5:$G$504,Q2830),0),$F2830)),"")</f>
        <v/>
      </c>
      <c r="K2830" s="61" t="str">
        <f aca="false">IF(IsPro,IF($D2830="","",ROUND(N($E2830)*J2830*(1-N($G2830)),2)),"")</f>
        <v/>
      </c>
      <c r="L2830" s="62" t="str">
        <f aca="false">IF(IsPro,IF($D2830="","",IFERROR(INDEX(Items!$F$5:$F$504,Q2830),0)),"")</f>
        <v/>
      </c>
      <c r="M2830" s="61" t="str">
        <f aca="false">IF(IsPro,IF($D2830="","",IF(AND(R2830&lt;&gt;"",INDEX(Parties!$E$5:$E$304,R2830)&lt;&gt;"",INDEX(Parties!$E$5:$E$304,R2830)&lt;&gt;HomeState),0,ROUND(K2830*L2830/2,2))),"")</f>
        <v/>
      </c>
      <c r="N2830" s="61" t="str">
        <f aca="false">IF(IsPro,IF($D2830="","",M2830),"")</f>
        <v/>
      </c>
      <c r="O2830" s="61" t="str">
        <f aca="false">IF(IsPro,IF($D2830="","",IF(AND(R2830&lt;&gt;"",INDEX(Parties!$E$5:$E$304,R2830)&lt;&gt;"",INDEX(Parties!$E$5:$E$304,R2830)&lt;&gt;HomeState),ROUND(K2830*L2830,2),0)),"")</f>
        <v/>
      </c>
      <c r="P2830" s="61" t="str">
        <f aca="false">IF(IsPro,IF($D2830="","",K2830+M2830+N2830+O2830),"")</f>
        <v/>
      </c>
      <c r="Q2830" s="60" t="str">
        <f aca="false">IF(IsPro,IF($D2830="","",IFERROR(MATCH($D2830,Items!$A$5:$A$504,0),"")),"")</f>
        <v/>
      </c>
      <c r="R2830" s="60" t="str">
        <f aca="false">IF(IsPro,IF($C2830="","",IFERROR(MATCH($C2830,Parties!$A$5:$A$304,0),"")),"")</f>
        <v/>
      </c>
      <c r="S2830" s="61" t="str">
        <f aca="false">IF(IsPro,IF($D2830="","",IF(OR($H2830="",$H2830="Credit"),0,P2830)),"")</f>
        <v/>
      </c>
    </row>
    <row r="2831" customFormat="false" ht="15" hidden="false" customHeight="false" outlineLevel="0" collapsed="false">
      <c r="A2831" s="55"/>
      <c r="B2831" s="56"/>
      <c r="C2831" s="56"/>
      <c r="D2831" s="56"/>
      <c r="E2831" s="57"/>
      <c r="F2831" s="58"/>
      <c r="G2831" s="59"/>
      <c r="H2831" s="56"/>
      <c r="I2831" s="60" t="str">
        <f aca="false">IF(IsPro,IF($D2831="","",IFERROR(INDEX(Items!$D$5:$D$504,Q2831),"")),IF($D2831="","","PRO PLAN"))</f>
        <v/>
      </c>
      <c r="J2831" s="61" t="str">
        <f aca="false">IF(IsPro,IF($D2831="","",IF($F2831="",IFERROR(INDEX(Items!$G$5:$G$504,Q2831),0),$F2831)),"")</f>
        <v/>
      </c>
      <c r="K2831" s="61" t="str">
        <f aca="false">IF(IsPro,IF($D2831="","",ROUND(N($E2831)*J2831*(1-N($G2831)),2)),"")</f>
        <v/>
      </c>
      <c r="L2831" s="62" t="str">
        <f aca="false">IF(IsPro,IF($D2831="","",IFERROR(INDEX(Items!$F$5:$F$504,Q2831),0)),"")</f>
        <v/>
      </c>
      <c r="M2831" s="61" t="str">
        <f aca="false">IF(IsPro,IF($D2831="","",IF(AND(R2831&lt;&gt;"",INDEX(Parties!$E$5:$E$304,R2831)&lt;&gt;"",INDEX(Parties!$E$5:$E$304,R2831)&lt;&gt;HomeState),0,ROUND(K2831*L2831/2,2))),"")</f>
        <v/>
      </c>
      <c r="N2831" s="61" t="str">
        <f aca="false">IF(IsPro,IF($D2831="","",M2831),"")</f>
        <v/>
      </c>
      <c r="O2831" s="61" t="str">
        <f aca="false">IF(IsPro,IF($D2831="","",IF(AND(R2831&lt;&gt;"",INDEX(Parties!$E$5:$E$304,R2831)&lt;&gt;"",INDEX(Parties!$E$5:$E$304,R2831)&lt;&gt;HomeState),ROUND(K2831*L2831,2),0)),"")</f>
        <v/>
      </c>
      <c r="P2831" s="61" t="str">
        <f aca="false">IF(IsPro,IF($D2831="","",K2831+M2831+N2831+O2831),"")</f>
        <v/>
      </c>
      <c r="Q2831" s="60" t="str">
        <f aca="false">IF(IsPro,IF($D2831="","",IFERROR(MATCH($D2831,Items!$A$5:$A$504,0),"")),"")</f>
        <v/>
      </c>
      <c r="R2831" s="60" t="str">
        <f aca="false">IF(IsPro,IF($C2831="","",IFERROR(MATCH($C2831,Parties!$A$5:$A$304,0),"")),"")</f>
        <v/>
      </c>
      <c r="S2831" s="61" t="str">
        <f aca="false">IF(IsPro,IF($D2831="","",IF(OR($H2831="",$H2831="Credit"),0,P2831)),"")</f>
        <v/>
      </c>
    </row>
    <row r="2832" customFormat="false" ht="15" hidden="false" customHeight="false" outlineLevel="0" collapsed="false">
      <c r="A2832" s="55"/>
      <c r="B2832" s="56"/>
      <c r="C2832" s="56"/>
      <c r="D2832" s="56"/>
      <c r="E2832" s="57"/>
      <c r="F2832" s="58"/>
      <c r="G2832" s="59"/>
      <c r="H2832" s="56"/>
      <c r="I2832" s="60" t="str">
        <f aca="false">IF(IsPro,IF($D2832="","",IFERROR(INDEX(Items!$D$5:$D$504,Q2832),"")),IF($D2832="","","PRO PLAN"))</f>
        <v/>
      </c>
      <c r="J2832" s="61" t="str">
        <f aca="false">IF(IsPro,IF($D2832="","",IF($F2832="",IFERROR(INDEX(Items!$G$5:$G$504,Q2832),0),$F2832)),"")</f>
        <v/>
      </c>
      <c r="K2832" s="61" t="str">
        <f aca="false">IF(IsPro,IF($D2832="","",ROUND(N($E2832)*J2832*(1-N($G2832)),2)),"")</f>
        <v/>
      </c>
      <c r="L2832" s="62" t="str">
        <f aca="false">IF(IsPro,IF($D2832="","",IFERROR(INDEX(Items!$F$5:$F$504,Q2832),0)),"")</f>
        <v/>
      </c>
      <c r="M2832" s="61" t="str">
        <f aca="false">IF(IsPro,IF($D2832="","",IF(AND(R2832&lt;&gt;"",INDEX(Parties!$E$5:$E$304,R2832)&lt;&gt;"",INDEX(Parties!$E$5:$E$304,R2832)&lt;&gt;HomeState),0,ROUND(K2832*L2832/2,2))),"")</f>
        <v/>
      </c>
      <c r="N2832" s="61" t="str">
        <f aca="false">IF(IsPro,IF($D2832="","",M2832),"")</f>
        <v/>
      </c>
      <c r="O2832" s="61" t="str">
        <f aca="false">IF(IsPro,IF($D2832="","",IF(AND(R2832&lt;&gt;"",INDEX(Parties!$E$5:$E$304,R2832)&lt;&gt;"",INDEX(Parties!$E$5:$E$304,R2832)&lt;&gt;HomeState),ROUND(K2832*L2832,2),0)),"")</f>
        <v/>
      </c>
      <c r="P2832" s="61" t="str">
        <f aca="false">IF(IsPro,IF($D2832="","",K2832+M2832+N2832+O2832),"")</f>
        <v/>
      </c>
      <c r="Q2832" s="60" t="str">
        <f aca="false">IF(IsPro,IF($D2832="","",IFERROR(MATCH($D2832,Items!$A$5:$A$504,0),"")),"")</f>
        <v/>
      </c>
      <c r="R2832" s="60" t="str">
        <f aca="false">IF(IsPro,IF($C2832="","",IFERROR(MATCH($C2832,Parties!$A$5:$A$304,0),"")),"")</f>
        <v/>
      </c>
      <c r="S2832" s="61" t="str">
        <f aca="false">IF(IsPro,IF($D2832="","",IF(OR($H2832="",$H2832="Credit"),0,P2832)),"")</f>
        <v/>
      </c>
    </row>
    <row r="2833" customFormat="false" ht="15" hidden="false" customHeight="false" outlineLevel="0" collapsed="false">
      <c r="A2833" s="55"/>
      <c r="B2833" s="56"/>
      <c r="C2833" s="56"/>
      <c r="D2833" s="56"/>
      <c r="E2833" s="57"/>
      <c r="F2833" s="58"/>
      <c r="G2833" s="59"/>
      <c r="H2833" s="56"/>
      <c r="I2833" s="60" t="str">
        <f aca="false">IF(IsPro,IF($D2833="","",IFERROR(INDEX(Items!$D$5:$D$504,Q2833),"")),IF($D2833="","","PRO PLAN"))</f>
        <v/>
      </c>
      <c r="J2833" s="61" t="str">
        <f aca="false">IF(IsPro,IF($D2833="","",IF($F2833="",IFERROR(INDEX(Items!$G$5:$G$504,Q2833),0),$F2833)),"")</f>
        <v/>
      </c>
      <c r="K2833" s="61" t="str">
        <f aca="false">IF(IsPro,IF($D2833="","",ROUND(N($E2833)*J2833*(1-N($G2833)),2)),"")</f>
        <v/>
      </c>
      <c r="L2833" s="62" t="str">
        <f aca="false">IF(IsPro,IF($D2833="","",IFERROR(INDEX(Items!$F$5:$F$504,Q2833),0)),"")</f>
        <v/>
      </c>
      <c r="M2833" s="61" t="str">
        <f aca="false">IF(IsPro,IF($D2833="","",IF(AND(R2833&lt;&gt;"",INDEX(Parties!$E$5:$E$304,R2833)&lt;&gt;"",INDEX(Parties!$E$5:$E$304,R2833)&lt;&gt;HomeState),0,ROUND(K2833*L2833/2,2))),"")</f>
        <v/>
      </c>
      <c r="N2833" s="61" t="str">
        <f aca="false">IF(IsPro,IF($D2833="","",M2833),"")</f>
        <v/>
      </c>
      <c r="O2833" s="61" t="str">
        <f aca="false">IF(IsPro,IF($D2833="","",IF(AND(R2833&lt;&gt;"",INDEX(Parties!$E$5:$E$304,R2833)&lt;&gt;"",INDEX(Parties!$E$5:$E$304,R2833)&lt;&gt;HomeState),ROUND(K2833*L2833,2),0)),"")</f>
        <v/>
      </c>
      <c r="P2833" s="61" t="str">
        <f aca="false">IF(IsPro,IF($D2833="","",K2833+M2833+N2833+O2833),"")</f>
        <v/>
      </c>
      <c r="Q2833" s="60" t="str">
        <f aca="false">IF(IsPro,IF($D2833="","",IFERROR(MATCH($D2833,Items!$A$5:$A$504,0),"")),"")</f>
        <v/>
      </c>
      <c r="R2833" s="60" t="str">
        <f aca="false">IF(IsPro,IF($C2833="","",IFERROR(MATCH($C2833,Parties!$A$5:$A$304,0),"")),"")</f>
        <v/>
      </c>
      <c r="S2833" s="61" t="str">
        <f aca="false">IF(IsPro,IF($D2833="","",IF(OR($H2833="",$H2833="Credit"),0,P2833)),"")</f>
        <v/>
      </c>
    </row>
    <row r="2834" customFormat="false" ht="15" hidden="false" customHeight="false" outlineLevel="0" collapsed="false">
      <c r="A2834" s="55"/>
      <c r="B2834" s="56"/>
      <c r="C2834" s="56"/>
      <c r="D2834" s="56"/>
      <c r="E2834" s="57"/>
      <c r="F2834" s="58"/>
      <c r="G2834" s="59"/>
      <c r="H2834" s="56"/>
      <c r="I2834" s="60" t="str">
        <f aca="false">IF(IsPro,IF($D2834="","",IFERROR(INDEX(Items!$D$5:$D$504,Q2834),"")),IF($D2834="","","PRO PLAN"))</f>
        <v/>
      </c>
      <c r="J2834" s="61" t="str">
        <f aca="false">IF(IsPro,IF($D2834="","",IF($F2834="",IFERROR(INDEX(Items!$G$5:$G$504,Q2834),0),$F2834)),"")</f>
        <v/>
      </c>
      <c r="K2834" s="61" t="str">
        <f aca="false">IF(IsPro,IF($D2834="","",ROUND(N($E2834)*J2834*(1-N($G2834)),2)),"")</f>
        <v/>
      </c>
      <c r="L2834" s="62" t="str">
        <f aca="false">IF(IsPro,IF($D2834="","",IFERROR(INDEX(Items!$F$5:$F$504,Q2834),0)),"")</f>
        <v/>
      </c>
      <c r="M2834" s="61" t="str">
        <f aca="false">IF(IsPro,IF($D2834="","",IF(AND(R2834&lt;&gt;"",INDEX(Parties!$E$5:$E$304,R2834)&lt;&gt;"",INDEX(Parties!$E$5:$E$304,R2834)&lt;&gt;HomeState),0,ROUND(K2834*L2834/2,2))),"")</f>
        <v/>
      </c>
      <c r="N2834" s="61" t="str">
        <f aca="false">IF(IsPro,IF($D2834="","",M2834),"")</f>
        <v/>
      </c>
      <c r="O2834" s="61" t="str">
        <f aca="false">IF(IsPro,IF($D2834="","",IF(AND(R2834&lt;&gt;"",INDEX(Parties!$E$5:$E$304,R2834)&lt;&gt;"",INDEX(Parties!$E$5:$E$304,R2834)&lt;&gt;HomeState),ROUND(K2834*L2834,2),0)),"")</f>
        <v/>
      </c>
      <c r="P2834" s="61" t="str">
        <f aca="false">IF(IsPro,IF($D2834="","",K2834+M2834+N2834+O2834),"")</f>
        <v/>
      </c>
      <c r="Q2834" s="60" t="str">
        <f aca="false">IF(IsPro,IF($D2834="","",IFERROR(MATCH($D2834,Items!$A$5:$A$504,0),"")),"")</f>
        <v/>
      </c>
      <c r="R2834" s="60" t="str">
        <f aca="false">IF(IsPro,IF($C2834="","",IFERROR(MATCH($C2834,Parties!$A$5:$A$304,0),"")),"")</f>
        <v/>
      </c>
      <c r="S2834" s="61" t="str">
        <f aca="false">IF(IsPro,IF($D2834="","",IF(OR($H2834="",$H2834="Credit"),0,P2834)),"")</f>
        <v/>
      </c>
    </row>
    <row r="2835" customFormat="false" ht="15" hidden="false" customHeight="false" outlineLevel="0" collapsed="false">
      <c r="A2835" s="55"/>
      <c r="B2835" s="56"/>
      <c r="C2835" s="56"/>
      <c r="D2835" s="56"/>
      <c r="E2835" s="57"/>
      <c r="F2835" s="58"/>
      <c r="G2835" s="59"/>
      <c r="H2835" s="56"/>
      <c r="I2835" s="60" t="str">
        <f aca="false">IF(IsPro,IF($D2835="","",IFERROR(INDEX(Items!$D$5:$D$504,Q2835),"")),IF($D2835="","","PRO PLAN"))</f>
        <v/>
      </c>
      <c r="J2835" s="61" t="str">
        <f aca="false">IF(IsPro,IF($D2835="","",IF($F2835="",IFERROR(INDEX(Items!$G$5:$G$504,Q2835),0),$F2835)),"")</f>
        <v/>
      </c>
      <c r="K2835" s="61" t="str">
        <f aca="false">IF(IsPro,IF($D2835="","",ROUND(N($E2835)*J2835*(1-N($G2835)),2)),"")</f>
        <v/>
      </c>
      <c r="L2835" s="62" t="str">
        <f aca="false">IF(IsPro,IF($D2835="","",IFERROR(INDEX(Items!$F$5:$F$504,Q2835),0)),"")</f>
        <v/>
      </c>
      <c r="M2835" s="61" t="str">
        <f aca="false">IF(IsPro,IF($D2835="","",IF(AND(R2835&lt;&gt;"",INDEX(Parties!$E$5:$E$304,R2835)&lt;&gt;"",INDEX(Parties!$E$5:$E$304,R2835)&lt;&gt;HomeState),0,ROUND(K2835*L2835/2,2))),"")</f>
        <v/>
      </c>
      <c r="N2835" s="61" t="str">
        <f aca="false">IF(IsPro,IF($D2835="","",M2835),"")</f>
        <v/>
      </c>
      <c r="O2835" s="61" t="str">
        <f aca="false">IF(IsPro,IF($D2835="","",IF(AND(R2835&lt;&gt;"",INDEX(Parties!$E$5:$E$304,R2835)&lt;&gt;"",INDEX(Parties!$E$5:$E$304,R2835)&lt;&gt;HomeState),ROUND(K2835*L2835,2),0)),"")</f>
        <v/>
      </c>
      <c r="P2835" s="61" t="str">
        <f aca="false">IF(IsPro,IF($D2835="","",K2835+M2835+N2835+O2835),"")</f>
        <v/>
      </c>
      <c r="Q2835" s="60" t="str">
        <f aca="false">IF(IsPro,IF($D2835="","",IFERROR(MATCH($D2835,Items!$A$5:$A$504,0),"")),"")</f>
        <v/>
      </c>
      <c r="R2835" s="60" t="str">
        <f aca="false">IF(IsPro,IF($C2835="","",IFERROR(MATCH($C2835,Parties!$A$5:$A$304,0),"")),"")</f>
        <v/>
      </c>
      <c r="S2835" s="61" t="str">
        <f aca="false">IF(IsPro,IF($D2835="","",IF(OR($H2835="",$H2835="Credit"),0,P2835)),"")</f>
        <v/>
      </c>
    </row>
    <row r="2836" customFormat="false" ht="15" hidden="false" customHeight="false" outlineLevel="0" collapsed="false">
      <c r="A2836" s="55"/>
      <c r="B2836" s="56"/>
      <c r="C2836" s="56"/>
      <c r="D2836" s="56"/>
      <c r="E2836" s="57"/>
      <c r="F2836" s="58"/>
      <c r="G2836" s="59"/>
      <c r="H2836" s="56"/>
      <c r="I2836" s="60" t="str">
        <f aca="false">IF(IsPro,IF($D2836="","",IFERROR(INDEX(Items!$D$5:$D$504,Q2836),"")),IF($D2836="","","PRO PLAN"))</f>
        <v/>
      </c>
      <c r="J2836" s="61" t="str">
        <f aca="false">IF(IsPro,IF($D2836="","",IF($F2836="",IFERROR(INDEX(Items!$G$5:$G$504,Q2836),0),$F2836)),"")</f>
        <v/>
      </c>
      <c r="K2836" s="61" t="str">
        <f aca="false">IF(IsPro,IF($D2836="","",ROUND(N($E2836)*J2836*(1-N($G2836)),2)),"")</f>
        <v/>
      </c>
      <c r="L2836" s="62" t="str">
        <f aca="false">IF(IsPro,IF($D2836="","",IFERROR(INDEX(Items!$F$5:$F$504,Q2836),0)),"")</f>
        <v/>
      </c>
      <c r="M2836" s="61" t="str">
        <f aca="false">IF(IsPro,IF($D2836="","",IF(AND(R2836&lt;&gt;"",INDEX(Parties!$E$5:$E$304,R2836)&lt;&gt;"",INDEX(Parties!$E$5:$E$304,R2836)&lt;&gt;HomeState),0,ROUND(K2836*L2836/2,2))),"")</f>
        <v/>
      </c>
      <c r="N2836" s="61" t="str">
        <f aca="false">IF(IsPro,IF($D2836="","",M2836),"")</f>
        <v/>
      </c>
      <c r="O2836" s="61" t="str">
        <f aca="false">IF(IsPro,IF($D2836="","",IF(AND(R2836&lt;&gt;"",INDEX(Parties!$E$5:$E$304,R2836)&lt;&gt;"",INDEX(Parties!$E$5:$E$304,R2836)&lt;&gt;HomeState),ROUND(K2836*L2836,2),0)),"")</f>
        <v/>
      </c>
      <c r="P2836" s="61" t="str">
        <f aca="false">IF(IsPro,IF($D2836="","",K2836+M2836+N2836+O2836),"")</f>
        <v/>
      </c>
      <c r="Q2836" s="60" t="str">
        <f aca="false">IF(IsPro,IF($D2836="","",IFERROR(MATCH($D2836,Items!$A$5:$A$504,0),"")),"")</f>
        <v/>
      </c>
      <c r="R2836" s="60" t="str">
        <f aca="false">IF(IsPro,IF($C2836="","",IFERROR(MATCH($C2836,Parties!$A$5:$A$304,0),"")),"")</f>
        <v/>
      </c>
      <c r="S2836" s="61" t="str">
        <f aca="false">IF(IsPro,IF($D2836="","",IF(OR($H2836="",$H2836="Credit"),0,P2836)),"")</f>
        <v/>
      </c>
    </row>
    <row r="2837" customFormat="false" ht="15" hidden="false" customHeight="false" outlineLevel="0" collapsed="false">
      <c r="A2837" s="55"/>
      <c r="B2837" s="56"/>
      <c r="C2837" s="56"/>
      <c r="D2837" s="56"/>
      <c r="E2837" s="57"/>
      <c r="F2837" s="58"/>
      <c r="G2837" s="59"/>
      <c r="H2837" s="56"/>
      <c r="I2837" s="60" t="str">
        <f aca="false">IF(IsPro,IF($D2837="","",IFERROR(INDEX(Items!$D$5:$D$504,Q2837),"")),IF($D2837="","","PRO PLAN"))</f>
        <v/>
      </c>
      <c r="J2837" s="61" t="str">
        <f aca="false">IF(IsPro,IF($D2837="","",IF($F2837="",IFERROR(INDEX(Items!$G$5:$G$504,Q2837),0),$F2837)),"")</f>
        <v/>
      </c>
      <c r="K2837" s="61" t="str">
        <f aca="false">IF(IsPro,IF($D2837="","",ROUND(N($E2837)*J2837*(1-N($G2837)),2)),"")</f>
        <v/>
      </c>
      <c r="L2837" s="62" t="str">
        <f aca="false">IF(IsPro,IF($D2837="","",IFERROR(INDEX(Items!$F$5:$F$504,Q2837),0)),"")</f>
        <v/>
      </c>
      <c r="M2837" s="61" t="str">
        <f aca="false">IF(IsPro,IF($D2837="","",IF(AND(R2837&lt;&gt;"",INDEX(Parties!$E$5:$E$304,R2837)&lt;&gt;"",INDEX(Parties!$E$5:$E$304,R2837)&lt;&gt;HomeState),0,ROUND(K2837*L2837/2,2))),"")</f>
        <v/>
      </c>
      <c r="N2837" s="61" t="str">
        <f aca="false">IF(IsPro,IF($D2837="","",M2837),"")</f>
        <v/>
      </c>
      <c r="O2837" s="61" t="str">
        <f aca="false">IF(IsPro,IF($D2837="","",IF(AND(R2837&lt;&gt;"",INDEX(Parties!$E$5:$E$304,R2837)&lt;&gt;"",INDEX(Parties!$E$5:$E$304,R2837)&lt;&gt;HomeState),ROUND(K2837*L2837,2),0)),"")</f>
        <v/>
      </c>
      <c r="P2837" s="61" t="str">
        <f aca="false">IF(IsPro,IF($D2837="","",K2837+M2837+N2837+O2837),"")</f>
        <v/>
      </c>
      <c r="Q2837" s="60" t="str">
        <f aca="false">IF(IsPro,IF($D2837="","",IFERROR(MATCH($D2837,Items!$A$5:$A$504,0),"")),"")</f>
        <v/>
      </c>
      <c r="R2837" s="60" t="str">
        <f aca="false">IF(IsPro,IF($C2837="","",IFERROR(MATCH($C2837,Parties!$A$5:$A$304,0),"")),"")</f>
        <v/>
      </c>
      <c r="S2837" s="61" t="str">
        <f aca="false">IF(IsPro,IF($D2837="","",IF(OR($H2837="",$H2837="Credit"),0,P2837)),"")</f>
        <v/>
      </c>
    </row>
    <row r="2838" customFormat="false" ht="15" hidden="false" customHeight="false" outlineLevel="0" collapsed="false">
      <c r="A2838" s="55"/>
      <c r="B2838" s="56"/>
      <c r="C2838" s="56"/>
      <c r="D2838" s="56"/>
      <c r="E2838" s="57"/>
      <c r="F2838" s="58"/>
      <c r="G2838" s="59"/>
      <c r="H2838" s="56"/>
      <c r="I2838" s="60" t="str">
        <f aca="false">IF(IsPro,IF($D2838="","",IFERROR(INDEX(Items!$D$5:$D$504,Q2838),"")),IF($D2838="","","PRO PLAN"))</f>
        <v/>
      </c>
      <c r="J2838" s="61" t="str">
        <f aca="false">IF(IsPro,IF($D2838="","",IF($F2838="",IFERROR(INDEX(Items!$G$5:$G$504,Q2838),0),$F2838)),"")</f>
        <v/>
      </c>
      <c r="K2838" s="61" t="str">
        <f aca="false">IF(IsPro,IF($D2838="","",ROUND(N($E2838)*J2838*(1-N($G2838)),2)),"")</f>
        <v/>
      </c>
      <c r="L2838" s="62" t="str">
        <f aca="false">IF(IsPro,IF($D2838="","",IFERROR(INDEX(Items!$F$5:$F$504,Q2838),0)),"")</f>
        <v/>
      </c>
      <c r="M2838" s="61" t="str">
        <f aca="false">IF(IsPro,IF($D2838="","",IF(AND(R2838&lt;&gt;"",INDEX(Parties!$E$5:$E$304,R2838)&lt;&gt;"",INDEX(Parties!$E$5:$E$304,R2838)&lt;&gt;HomeState),0,ROUND(K2838*L2838/2,2))),"")</f>
        <v/>
      </c>
      <c r="N2838" s="61" t="str">
        <f aca="false">IF(IsPro,IF($D2838="","",M2838),"")</f>
        <v/>
      </c>
      <c r="O2838" s="61" t="str">
        <f aca="false">IF(IsPro,IF($D2838="","",IF(AND(R2838&lt;&gt;"",INDEX(Parties!$E$5:$E$304,R2838)&lt;&gt;"",INDEX(Parties!$E$5:$E$304,R2838)&lt;&gt;HomeState),ROUND(K2838*L2838,2),0)),"")</f>
        <v/>
      </c>
      <c r="P2838" s="61" t="str">
        <f aca="false">IF(IsPro,IF($D2838="","",K2838+M2838+N2838+O2838),"")</f>
        <v/>
      </c>
      <c r="Q2838" s="60" t="str">
        <f aca="false">IF(IsPro,IF($D2838="","",IFERROR(MATCH($D2838,Items!$A$5:$A$504,0),"")),"")</f>
        <v/>
      </c>
      <c r="R2838" s="60" t="str">
        <f aca="false">IF(IsPro,IF($C2838="","",IFERROR(MATCH($C2838,Parties!$A$5:$A$304,0),"")),"")</f>
        <v/>
      </c>
      <c r="S2838" s="61" t="str">
        <f aca="false">IF(IsPro,IF($D2838="","",IF(OR($H2838="",$H2838="Credit"),0,P2838)),"")</f>
        <v/>
      </c>
    </row>
    <row r="2839" customFormat="false" ht="15" hidden="false" customHeight="false" outlineLevel="0" collapsed="false">
      <c r="A2839" s="55"/>
      <c r="B2839" s="56"/>
      <c r="C2839" s="56"/>
      <c r="D2839" s="56"/>
      <c r="E2839" s="57"/>
      <c r="F2839" s="58"/>
      <c r="G2839" s="59"/>
      <c r="H2839" s="56"/>
      <c r="I2839" s="60" t="str">
        <f aca="false">IF(IsPro,IF($D2839="","",IFERROR(INDEX(Items!$D$5:$D$504,Q2839),"")),IF($D2839="","","PRO PLAN"))</f>
        <v/>
      </c>
      <c r="J2839" s="61" t="str">
        <f aca="false">IF(IsPro,IF($D2839="","",IF($F2839="",IFERROR(INDEX(Items!$G$5:$G$504,Q2839),0),$F2839)),"")</f>
        <v/>
      </c>
      <c r="K2839" s="61" t="str">
        <f aca="false">IF(IsPro,IF($D2839="","",ROUND(N($E2839)*J2839*(1-N($G2839)),2)),"")</f>
        <v/>
      </c>
      <c r="L2839" s="62" t="str">
        <f aca="false">IF(IsPro,IF($D2839="","",IFERROR(INDEX(Items!$F$5:$F$504,Q2839),0)),"")</f>
        <v/>
      </c>
      <c r="M2839" s="61" t="str">
        <f aca="false">IF(IsPro,IF($D2839="","",IF(AND(R2839&lt;&gt;"",INDEX(Parties!$E$5:$E$304,R2839)&lt;&gt;"",INDEX(Parties!$E$5:$E$304,R2839)&lt;&gt;HomeState),0,ROUND(K2839*L2839/2,2))),"")</f>
        <v/>
      </c>
      <c r="N2839" s="61" t="str">
        <f aca="false">IF(IsPro,IF($D2839="","",M2839),"")</f>
        <v/>
      </c>
      <c r="O2839" s="61" t="str">
        <f aca="false">IF(IsPro,IF($D2839="","",IF(AND(R2839&lt;&gt;"",INDEX(Parties!$E$5:$E$304,R2839)&lt;&gt;"",INDEX(Parties!$E$5:$E$304,R2839)&lt;&gt;HomeState),ROUND(K2839*L2839,2),0)),"")</f>
        <v/>
      </c>
      <c r="P2839" s="61" t="str">
        <f aca="false">IF(IsPro,IF($D2839="","",K2839+M2839+N2839+O2839),"")</f>
        <v/>
      </c>
      <c r="Q2839" s="60" t="str">
        <f aca="false">IF(IsPro,IF($D2839="","",IFERROR(MATCH($D2839,Items!$A$5:$A$504,0),"")),"")</f>
        <v/>
      </c>
      <c r="R2839" s="60" t="str">
        <f aca="false">IF(IsPro,IF($C2839="","",IFERROR(MATCH($C2839,Parties!$A$5:$A$304,0),"")),"")</f>
        <v/>
      </c>
      <c r="S2839" s="61" t="str">
        <f aca="false">IF(IsPro,IF($D2839="","",IF(OR($H2839="",$H2839="Credit"),0,P2839)),"")</f>
        <v/>
      </c>
    </row>
    <row r="2840" customFormat="false" ht="15" hidden="false" customHeight="false" outlineLevel="0" collapsed="false">
      <c r="A2840" s="55"/>
      <c r="B2840" s="56"/>
      <c r="C2840" s="56"/>
      <c r="D2840" s="56"/>
      <c r="E2840" s="57"/>
      <c r="F2840" s="58"/>
      <c r="G2840" s="59"/>
      <c r="H2840" s="56"/>
      <c r="I2840" s="60" t="str">
        <f aca="false">IF(IsPro,IF($D2840="","",IFERROR(INDEX(Items!$D$5:$D$504,Q2840),"")),IF($D2840="","","PRO PLAN"))</f>
        <v/>
      </c>
      <c r="J2840" s="61" t="str">
        <f aca="false">IF(IsPro,IF($D2840="","",IF($F2840="",IFERROR(INDEX(Items!$G$5:$G$504,Q2840),0),$F2840)),"")</f>
        <v/>
      </c>
      <c r="K2840" s="61" t="str">
        <f aca="false">IF(IsPro,IF($D2840="","",ROUND(N($E2840)*J2840*(1-N($G2840)),2)),"")</f>
        <v/>
      </c>
      <c r="L2840" s="62" t="str">
        <f aca="false">IF(IsPro,IF($D2840="","",IFERROR(INDEX(Items!$F$5:$F$504,Q2840),0)),"")</f>
        <v/>
      </c>
      <c r="M2840" s="61" t="str">
        <f aca="false">IF(IsPro,IF($D2840="","",IF(AND(R2840&lt;&gt;"",INDEX(Parties!$E$5:$E$304,R2840)&lt;&gt;"",INDEX(Parties!$E$5:$E$304,R2840)&lt;&gt;HomeState),0,ROUND(K2840*L2840/2,2))),"")</f>
        <v/>
      </c>
      <c r="N2840" s="61" t="str">
        <f aca="false">IF(IsPro,IF($D2840="","",M2840),"")</f>
        <v/>
      </c>
      <c r="O2840" s="61" t="str">
        <f aca="false">IF(IsPro,IF($D2840="","",IF(AND(R2840&lt;&gt;"",INDEX(Parties!$E$5:$E$304,R2840)&lt;&gt;"",INDEX(Parties!$E$5:$E$304,R2840)&lt;&gt;HomeState),ROUND(K2840*L2840,2),0)),"")</f>
        <v/>
      </c>
      <c r="P2840" s="61" t="str">
        <f aca="false">IF(IsPro,IF($D2840="","",K2840+M2840+N2840+O2840),"")</f>
        <v/>
      </c>
      <c r="Q2840" s="60" t="str">
        <f aca="false">IF(IsPro,IF($D2840="","",IFERROR(MATCH($D2840,Items!$A$5:$A$504,0),"")),"")</f>
        <v/>
      </c>
      <c r="R2840" s="60" t="str">
        <f aca="false">IF(IsPro,IF($C2840="","",IFERROR(MATCH($C2840,Parties!$A$5:$A$304,0),"")),"")</f>
        <v/>
      </c>
      <c r="S2840" s="61" t="str">
        <f aca="false">IF(IsPro,IF($D2840="","",IF(OR($H2840="",$H2840="Credit"),0,P2840)),"")</f>
        <v/>
      </c>
    </row>
    <row r="2841" customFormat="false" ht="15" hidden="false" customHeight="false" outlineLevel="0" collapsed="false">
      <c r="A2841" s="55"/>
      <c r="B2841" s="56"/>
      <c r="C2841" s="56"/>
      <c r="D2841" s="56"/>
      <c r="E2841" s="57"/>
      <c r="F2841" s="58"/>
      <c r="G2841" s="59"/>
      <c r="H2841" s="56"/>
      <c r="I2841" s="60" t="str">
        <f aca="false">IF(IsPro,IF($D2841="","",IFERROR(INDEX(Items!$D$5:$D$504,Q2841),"")),IF($D2841="","","PRO PLAN"))</f>
        <v/>
      </c>
      <c r="J2841" s="61" t="str">
        <f aca="false">IF(IsPro,IF($D2841="","",IF($F2841="",IFERROR(INDEX(Items!$G$5:$G$504,Q2841),0),$F2841)),"")</f>
        <v/>
      </c>
      <c r="K2841" s="61" t="str">
        <f aca="false">IF(IsPro,IF($D2841="","",ROUND(N($E2841)*J2841*(1-N($G2841)),2)),"")</f>
        <v/>
      </c>
      <c r="L2841" s="62" t="str">
        <f aca="false">IF(IsPro,IF($D2841="","",IFERROR(INDEX(Items!$F$5:$F$504,Q2841),0)),"")</f>
        <v/>
      </c>
      <c r="M2841" s="61" t="str">
        <f aca="false">IF(IsPro,IF($D2841="","",IF(AND(R2841&lt;&gt;"",INDEX(Parties!$E$5:$E$304,R2841)&lt;&gt;"",INDEX(Parties!$E$5:$E$304,R2841)&lt;&gt;HomeState),0,ROUND(K2841*L2841/2,2))),"")</f>
        <v/>
      </c>
      <c r="N2841" s="61" t="str">
        <f aca="false">IF(IsPro,IF($D2841="","",M2841),"")</f>
        <v/>
      </c>
      <c r="O2841" s="61" t="str">
        <f aca="false">IF(IsPro,IF($D2841="","",IF(AND(R2841&lt;&gt;"",INDEX(Parties!$E$5:$E$304,R2841)&lt;&gt;"",INDEX(Parties!$E$5:$E$304,R2841)&lt;&gt;HomeState),ROUND(K2841*L2841,2),0)),"")</f>
        <v/>
      </c>
      <c r="P2841" s="61" t="str">
        <f aca="false">IF(IsPro,IF($D2841="","",K2841+M2841+N2841+O2841),"")</f>
        <v/>
      </c>
      <c r="Q2841" s="60" t="str">
        <f aca="false">IF(IsPro,IF($D2841="","",IFERROR(MATCH($D2841,Items!$A$5:$A$504,0),"")),"")</f>
        <v/>
      </c>
      <c r="R2841" s="60" t="str">
        <f aca="false">IF(IsPro,IF($C2841="","",IFERROR(MATCH($C2841,Parties!$A$5:$A$304,0),"")),"")</f>
        <v/>
      </c>
      <c r="S2841" s="61" t="str">
        <f aca="false">IF(IsPro,IF($D2841="","",IF(OR($H2841="",$H2841="Credit"),0,P2841)),"")</f>
        <v/>
      </c>
    </row>
    <row r="2842" customFormat="false" ht="15" hidden="false" customHeight="false" outlineLevel="0" collapsed="false">
      <c r="A2842" s="55"/>
      <c r="B2842" s="56"/>
      <c r="C2842" s="56"/>
      <c r="D2842" s="56"/>
      <c r="E2842" s="57"/>
      <c r="F2842" s="58"/>
      <c r="G2842" s="59"/>
      <c r="H2842" s="56"/>
      <c r="I2842" s="60" t="str">
        <f aca="false">IF(IsPro,IF($D2842="","",IFERROR(INDEX(Items!$D$5:$D$504,Q2842),"")),IF($D2842="","","PRO PLAN"))</f>
        <v/>
      </c>
      <c r="J2842" s="61" t="str">
        <f aca="false">IF(IsPro,IF($D2842="","",IF($F2842="",IFERROR(INDEX(Items!$G$5:$G$504,Q2842),0),$F2842)),"")</f>
        <v/>
      </c>
      <c r="K2842" s="61" t="str">
        <f aca="false">IF(IsPro,IF($D2842="","",ROUND(N($E2842)*J2842*(1-N($G2842)),2)),"")</f>
        <v/>
      </c>
      <c r="L2842" s="62" t="str">
        <f aca="false">IF(IsPro,IF($D2842="","",IFERROR(INDEX(Items!$F$5:$F$504,Q2842),0)),"")</f>
        <v/>
      </c>
      <c r="M2842" s="61" t="str">
        <f aca="false">IF(IsPro,IF($D2842="","",IF(AND(R2842&lt;&gt;"",INDEX(Parties!$E$5:$E$304,R2842)&lt;&gt;"",INDEX(Parties!$E$5:$E$304,R2842)&lt;&gt;HomeState),0,ROUND(K2842*L2842/2,2))),"")</f>
        <v/>
      </c>
      <c r="N2842" s="61" t="str">
        <f aca="false">IF(IsPro,IF($D2842="","",M2842),"")</f>
        <v/>
      </c>
      <c r="O2842" s="61" t="str">
        <f aca="false">IF(IsPro,IF($D2842="","",IF(AND(R2842&lt;&gt;"",INDEX(Parties!$E$5:$E$304,R2842)&lt;&gt;"",INDEX(Parties!$E$5:$E$304,R2842)&lt;&gt;HomeState),ROUND(K2842*L2842,2),0)),"")</f>
        <v/>
      </c>
      <c r="P2842" s="61" t="str">
        <f aca="false">IF(IsPro,IF($D2842="","",K2842+M2842+N2842+O2842),"")</f>
        <v/>
      </c>
      <c r="Q2842" s="60" t="str">
        <f aca="false">IF(IsPro,IF($D2842="","",IFERROR(MATCH($D2842,Items!$A$5:$A$504,0),"")),"")</f>
        <v/>
      </c>
      <c r="R2842" s="60" t="str">
        <f aca="false">IF(IsPro,IF($C2842="","",IFERROR(MATCH($C2842,Parties!$A$5:$A$304,0),"")),"")</f>
        <v/>
      </c>
      <c r="S2842" s="61" t="str">
        <f aca="false">IF(IsPro,IF($D2842="","",IF(OR($H2842="",$H2842="Credit"),0,P2842)),"")</f>
        <v/>
      </c>
    </row>
    <row r="2843" customFormat="false" ht="15" hidden="false" customHeight="false" outlineLevel="0" collapsed="false">
      <c r="A2843" s="55"/>
      <c r="B2843" s="56"/>
      <c r="C2843" s="56"/>
      <c r="D2843" s="56"/>
      <c r="E2843" s="57"/>
      <c r="F2843" s="58"/>
      <c r="G2843" s="59"/>
      <c r="H2843" s="56"/>
      <c r="I2843" s="60" t="str">
        <f aca="false">IF(IsPro,IF($D2843="","",IFERROR(INDEX(Items!$D$5:$D$504,Q2843),"")),IF($D2843="","","PRO PLAN"))</f>
        <v/>
      </c>
      <c r="J2843" s="61" t="str">
        <f aca="false">IF(IsPro,IF($D2843="","",IF($F2843="",IFERROR(INDEX(Items!$G$5:$G$504,Q2843),0),$F2843)),"")</f>
        <v/>
      </c>
      <c r="K2843" s="61" t="str">
        <f aca="false">IF(IsPro,IF($D2843="","",ROUND(N($E2843)*J2843*(1-N($G2843)),2)),"")</f>
        <v/>
      </c>
      <c r="L2843" s="62" t="str">
        <f aca="false">IF(IsPro,IF($D2843="","",IFERROR(INDEX(Items!$F$5:$F$504,Q2843),0)),"")</f>
        <v/>
      </c>
      <c r="M2843" s="61" t="str">
        <f aca="false">IF(IsPro,IF($D2843="","",IF(AND(R2843&lt;&gt;"",INDEX(Parties!$E$5:$E$304,R2843)&lt;&gt;"",INDEX(Parties!$E$5:$E$304,R2843)&lt;&gt;HomeState),0,ROUND(K2843*L2843/2,2))),"")</f>
        <v/>
      </c>
      <c r="N2843" s="61" t="str">
        <f aca="false">IF(IsPro,IF($D2843="","",M2843),"")</f>
        <v/>
      </c>
      <c r="O2843" s="61" t="str">
        <f aca="false">IF(IsPro,IF($D2843="","",IF(AND(R2843&lt;&gt;"",INDEX(Parties!$E$5:$E$304,R2843)&lt;&gt;"",INDEX(Parties!$E$5:$E$304,R2843)&lt;&gt;HomeState),ROUND(K2843*L2843,2),0)),"")</f>
        <v/>
      </c>
      <c r="P2843" s="61" t="str">
        <f aca="false">IF(IsPro,IF($D2843="","",K2843+M2843+N2843+O2843),"")</f>
        <v/>
      </c>
      <c r="Q2843" s="60" t="str">
        <f aca="false">IF(IsPro,IF($D2843="","",IFERROR(MATCH($D2843,Items!$A$5:$A$504,0),"")),"")</f>
        <v/>
      </c>
      <c r="R2843" s="60" t="str">
        <f aca="false">IF(IsPro,IF($C2843="","",IFERROR(MATCH($C2843,Parties!$A$5:$A$304,0),"")),"")</f>
        <v/>
      </c>
      <c r="S2843" s="61" t="str">
        <f aca="false">IF(IsPro,IF($D2843="","",IF(OR($H2843="",$H2843="Credit"),0,P2843)),"")</f>
        <v/>
      </c>
    </row>
    <row r="2844" customFormat="false" ht="15" hidden="false" customHeight="false" outlineLevel="0" collapsed="false">
      <c r="A2844" s="55"/>
      <c r="B2844" s="56"/>
      <c r="C2844" s="56"/>
      <c r="D2844" s="56"/>
      <c r="E2844" s="57"/>
      <c r="F2844" s="58"/>
      <c r="G2844" s="59"/>
      <c r="H2844" s="56"/>
      <c r="I2844" s="60" t="str">
        <f aca="false">IF(IsPro,IF($D2844="","",IFERROR(INDEX(Items!$D$5:$D$504,Q2844),"")),IF($D2844="","","PRO PLAN"))</f>
        <v/>
      </c>
      <c r="J2844" s="61" t="str">
        <f aca="false">IF(IsPro,IF($D2844="","",IF($F2844="",IFERROR(INDEX(Items!$G$5:$G$504,Q2844),0),$F2844)),"")</f>
        <v/>
      </c>
      <c r="K2844" s="61" t="str">
        <f aca="false">IF(IsPro,IF($D2844="","",ROUND(N($E2844)*J2844*(1-N($G2844)),2)),"")</f>
        <v/>
      </c>
      <c r="L2844" s="62" t="str">
        <f aca="false">IF(IsPro,IF($D2844="","",IFERROR(INDEX(Items!$F$5:$F$504,Q2844),0)),"")</f>
        <v/>
      </c>
      <c r="M2844" s="61" t="str">
        <f aca="false">IF(IsPro,IF($D2844="","",IF(AND(R2844&lt;&gt;"",INDEX(Parties!$E$5:$E$304,R2844)&lt;&gt;"",INDEX(Parties!$E$5:$E$304,R2844)&lt;&gt;HomeState),0,ROUND(K2844*L2844/2,2))),"")</f>
        <v/>
      </c>
      <c r="N2844" s="61" t="str">
        <f aca="false">IF(IsPro,IF($D2844="","",M2844),"")</f>
        <v/>
      </c>
      <c r="O2844" s="61" t="str">
        <f aca="false">IF(IsPro,IF($D2844="","",IF(AND(R2844&lt;&gt;"",INDEX(Parties!$E$5:$E$304,R2844)&lt;&gt;"",INDEX(Parties!$E$5:$E$304,R2844)&lt;&gt;HomeState),ROUND(K2844*L2844,2),0)),"")</f>
        <v/>
      </c>
      <c r="P2844" s="61" t="str">
        <f aca="false">IF(IsPro,IF($D2844="","",K2844+M2844+N2844+O2844),"")</f>
        <v/>
      </c>
      <c r="Q2844" s="60" t="str">
        <f aca="false">IF(IsPro,IF($D2844="","",IFERROR(MATCH($D2844,Items!$A$5:$A$504,0),"")),"")</f>
        <v/>
      </c>
      <c r="R2844" s="60" t="str">
        <f aca="false">IF(IsPro,IF($C2844="","",IFERROR(MATCH($C2844,Parties!$A$5:$A$304,0),"")),"")</f>
        <v/>
      </c>
      <c r="S2844" s="61" t="str">
        <f aca="false">IF(IsPro,IF($D2844="","",IF(OR($H2844="",$H2844="Credit"),0,P2844)),"")</f>
        <v/>
      </c>
    </row>
    <row r="2845" customFormat="false" ht="15" hidden="false" customHeight="false" outlineLevel="0" collapsed="false">
      <c r="A2845" s="55"/>
      <c r="B2845" s="56"/>
      <c r="C2845" s="56"/>
      <c r="D2845" s="56"/>
      <c r="E2845" s="57"/>
      <c r="F2845" s="58"/>
      <c r="G2845" s="59"/>
      <c r="H2845" s="56"/>
      <c r="I2845" s="60" t="str">
        <f aca="false">IF(IsPro,IF($D2845="","",IFERROR(INDEX(Items!$D$5:$D$504,Q2845),"")),IF($D2845="","","PRO PLAN"))</f>
        <v/>
      </c>
      <c r="J2845" s="61" t="str">
        <f aca="false">IF(IsPro,IF($D2845="","",IF($F2845="",IFERROR(INDEX(Items!$G$5:$G$504,Q2845),0),$F2845)),"")</f>
        <v/>
      </c>
      <c r="K2845" s="61" t="str">
        <f aca="false">IF(IsPro,IF($D2845="","",ROUND(N($E2845)*J2845*(1-N($G2845)),2)),"")</f>
        <v/>
      </c>
      <c r="L2845" s="62" t="str">
        <f aca="false">IF(IsPro,IF($D2845="","",IFERROR(INDEX(Items!$F$5:$F$504,Q2845),0)),"")</f>
        <v/>
      </c>
      <c r="M2845" s="61" t="str">
        <f aca="false">IF(IsPro,IF($D2845="","",IF(AND(R2845&lt;&gt;"",INDEX(Parties!$E$5:$E$304,R2845)&lt;&gt;"",INDEX(Parties!$E$5:$E$304,R2845)&lt;&gt;HomeState),0,ROUND(K2845*L2845/2,2))),"")</f>
        <v/>
      </c>
      <c r="N2845" s="61" t="str">
        <f aca="false">IF(IsPro,IF($D2845="","",M2845),"")</f>
        <v/>
      </c>
      <c r="O2845" s="61" t="str">
        <f aca="false">IF(IsPro,IF($D2845="","",IF(AND(R2845&lt;&gt;"",INDEX(Parties!$E$5:$E$304,R2845)&lt;&gt;"",INDEX(Parties!$E$5:$E$304,R2845)&lt;&gt;HomeState),ROUND(K2845*L2845,2),0)),"")</f>
        <v/>
      </c>
      <c r="P2845" s="61" t="str">
        <f aca="false">IF(IsPro,IF($D2845="","",K2845+M2845+N2845+O2845),"")</f>
        <v/>
      </c>
      <c r="Q2845" s="60" t="str">
        <f aca="false">IF(IsPro,IF($D2845="","",IFERROR(MATCH($D2845,Items!$A$5:$A$504,0),"")),"")</f>
        <v/>
      </c>
      <c r="R2845" s="60" t="str">
        <f aca="false">IF(IsPro,IF($C2845="","",IFERROR(MATCH($C2845,Parties!$A$5:$A$304,0),"")),"")</f>
        <v/>
      </c>
      <c r="S2845" s="61" t="str">
        <f aca="false">IF(IsPro,IF($D2845="","",IF(OR($H2845="",$H2845="Credit"),0,P2845)),"")</f>
        <v/>
      </c>
    </row>
    <row r="2846" customFormat="false" ht="15" hidden="false" customHeight="false" outlineLevel="0" collapsed="false">
      <c r="A2846" s="55"/>
      <c r="B2846" s="56"/>
      <c r="C2846" s="56"/>
      <c r="D2846" s="56"/>
      <c r="E2846" s="57"/>
      <c r="F2846" s="58"/>
      <c r="G2846" s="59"/>
      <c r="H2846" s="56"/>
      <c r="I2846" s="60" t="str">
        <f aca="false">IF(IsPro,IF($D2846="","",IFERROR(INDEX(Items!$D$5:$D$504,Q2846),"")),IF($D2846="","","PRO PLAN"))</f>
        <v/>
      </c>
      <c r="J2846" s="61" t="str">
        <f aca="false">IF(IsPro,IF($D2846="","",IF($F2846="",IFERROR(INDEX(Items!$G$5:$G$504,Q2846),0),$F2846)),"")</f>
        <v/>
      </c>
      <c r="K2846" s="61" t="str">
        <f aca="false">IF(IsPro,IF($D2846="","",ROUND(N($E2846)*J2846*(1-N($G2846)),2)),"")</f>
        <v/>
      </c>
      <c r="L2846" s="62" t="str">
        <f aca="false">IF(IsPro,IF($D2846="","",IFERROR(INDEX(Items!$F$5:$F$504,Q2846),0)),"")</f>
        <v/>
      </c>
      <c r="M2846" s="61" t="str">
        <f aca="false">IF(IsPro,IF($D2846="","",IF(AND(R2846&lt;&gt;"",INDEX(Parties!$E$5:$E$304,R2846)&lt;&gt;"",INDEX(Parties!$E$5:$E$304,R2846)&lt;&gt;HomeState),0,ROUND(K2846*L2846/2,2))),"")</f>
        <v/>
      </c>
      <c r="N2846" s="61" t="str">
        <f aca="false">IF(IsPro,IF($D2846="","",M2846),"")</f>
        <v/>
      </c>
      <c r="O2846" s="61" t="str">
        <f aca="false">IF(IsPro,IF($D2846="","",IF(AND(R2846&lt;&gt;"",INDEX(Parties!$E$5:$E$304,R2846)&lt;&gt;"",INDEX(Parties!$E$5:$E$304,R2846)&lt;&gt;HomeState),ROUND(K2846*L2846,2),0)),"")</f>
        <v/>
      </c>
      <c r="P2846" s="61" t="str">
        <f aca="false">IF(IsPro,IF($D2846="","",K2846+M2846+N2846+O2846),"")</f>
        <v/>
      </c>
      <c r="Q2846" s="60" t="str">
        <f aca="false">IF(IsPro,IF($D2846="","",IFERROR(MATCH($D2846,Items!$A$5:$A$504,0),"")),"")</f>
        <v/>
      </c>
      <c r="R2846" s="60" t="str">
        <f aca="false">IF(IsPro,IF($C2846="","",IFERROR(MATCH($C2846,Parties!$A$5:$A$304,0),"")),"")</f>
        <v/>
      </c>
      <c r="S2846" s="61" t="str">
        <f aca="false">IF(IsPro,IF($D2846="","",IF(OR($H2846="",$H2846="Credit"),0,P2846)),"")</f>
        <v/>
      </c>
    </row>
    <row r="2847" customFormat="false" ht="15" hidden="false" customHeight="false" outlineLevel="0" collapsed="false">
      <c r="A2847" s="55"/>
      <c r="B2847" s="56"/>
      <c r="C2847" s="56"/>
      <c r="D2847" s="56"/>
      <c r="E2847" s="57"/>
      <c r="F2847" s="58"/>
      <c r="G2847" s="59"/>
      <c r="H2847" s="56"/>
      <c r="I2847" s="60" t="str">
        <f aca="false">IF(IsPro,IF($D2847="","",IFERROR(INDEX(Items!$D$5:$D$504,Q2847),"")),IF($D2847="","","PRO PLAN"))</f>
        <v/>
      </c>
      <c r="J2847" s="61" t="str">
        <f aca="false">IF(IsPro,IF($D2847="","",IF($F2847="",IFERROR(INDEX(Items!$G$5:$G$504,Q2847),0),$F2847)),"")</f>
        <v/>
      </c>
      <c r="K2847" s="61" t="str">
        <f aca="false">IF(IsPro,IF($D2847="","",ROUND(N($E2847)*J2847*(1-N($G2847)),2)),"")</f>
        <v/>
      </c>
      <c r="L2847" s="62" t="str">
        <f aca="false">IF(IsPro,IF($D2847="","",IFERROR(INDEX(Items!$F$5:$F$504,Q2847),0)),"")</f>
        <v/>
      </c>
      <c r="M2847" s="61" t="str">
        <f aca="false">IF(IsPro,IF($D2847="","",IF(AND(R2847&lt;&gt;"",INDEX(Parties!$E$5:$E$304,R2847)&lt;&gt;"",INDEX(Parties!$E$5:$E$304,R2847)&lt;&gt;HomeState),0,ROUND(K2847*L2847/2,2))),"")</f>
        <v/>
      </c>
      <c r="N2847" s="61" t="str">
        <f aca="false">IF(IsPro,IF($D2847="","",M2847),"")</f>
        <v/>
      </c>
      <c r="O2847" s="61" t="str">
        <f aca="false">IF(IsPro,IF($D2847="","",IF(AND(R2847&lt;&gt;"",INDEX(Parties!$E$5:$E$304,R2847)&lt;&gt;"",INDEX(Parties!$E$5:$E$304,R2847)&lt;&gt;HomeState),ROUND(K2847*L2847,2),0)),"")</f>
        <v/>
      </c>
      <c r="P2847" s="61" t="str">
        <f aca="false">IF(IsPro,IF($D2847="","",K2847+M2847+N2847+O2847),"")</f>
        <v/>
      </c>
      <c r="Q2847" s="60" t="str">
        <f aca="false">IF(IsPro,IF($D2847="","",IFERROR(MATCH($D2847,Items!$A$5:$A$504,0),"")),"")</f>
        <v/>
      </c>
      <c r="R2847" s="60" t="str">
        <f aca="false">IF(IsPro,IF($C2847="","",IFERROR(MATCH($C2847,Parties!$A$5:$A$304,0),"")),"")</f>
        <v/>
      </c>
      <c r="S2847" s="61" t="str">
        <f aca="false">IF(IsPro,IF($D2847="","",IF(OR($H2847="",$H2847="Credit"),0,P2847)),"")</f>
        <v/>
      </c>
    </row>
    <row r="2848" customFormat="false" ht="15" hidden="false" customHeight="false" outlineLevel="0" collapsed="false">
      <c r="A2848" s="55"/>
      <c r="B2848" s="56"/>
      <c r="C2848" s="56"/>
      <c r="D2848" s="56"/>
      <c r="E2848" s="57"/>
      <c r="F2848" s="58"/>
      <c r="G2848" s="59"/>
      <c r="H2848" s="56"/>
      <c r="I2848" s="60" t="str">
        <f aca="false">IF(IsPro,IF($D2848="","",IFERROR(INDEX(Items!$D$5:$D$504,Q2848),"")),IF($D2848="","","PRO PLAN"))</f>
        <v/>
      </c>
      <c r="J2848" s="61" t="str">
        <f aca="false">IF(IsPro,IF($D2848="","",IF($F2848="",IFERROR(INDEX(Items!$G$5:$G$504,Q2848),0),$F2848)),"")</f>
        <v/>
      </c>
      <c r="K2848" s="61" t="str">
        <f aca="false">IF(IsPro,IF($D2848="","",ROUND(N($E2848)*J2848*(1-N($G2848)),2)),"")</f>
        <v/>
      </c>
      <c r="L2848" s="62" t="str">
        <f aca="false">IF(IsPro,IF($D2848="","",IFERROR(INDEX(Items!$F$5:$F$504,Q2848),0)),"")</f>
        <v/>
      </c>
      <c r="M2848" s="61" t="str">
        <f aca="false">IF(IsPro,IF($D2848="","",IF(AND(R2848&lt;&gt;"",INDEX(Parties!$E$5:$E$304,R2848)&lt;&gt;"",INDEX(Parties!$E$5:$E$304,R2848)&lt;&gt;HomeState),0,ROUND(K2848*L2848/2,2))),"")</f>
        <v/>
      </c>
      <c r="N2848" s="61" t="str">
        <f aca="false">IF(IsPro,IF($D2848="","",M2848),"")</f>
        <v/>
      </c>
      <c r="O2848" s="61" t="str">
        <f aca="false">IF(IsPro,IF($D2848="","",IF(AND(R2848&lt;&gt;"",INDEX(Parties!$E$5:$E$304,R2848)&lt;&gt;"",INDEX(Parties!$E$5:$E$304,R2848)&lt;&gt;HomeState),ROUND(K2848*L2848,2),0)),"")</f>
        <v/>
      </c>
      <c r="P2848" s="61" t="str">
        <f aca="false">IF(IsPro,IF($D2848="","",K2848+M2848+N2848+O2848),"")</f>
        <v/>
      </c>
      <c r="Q2848" s="60" t="str">
        <f aca="false">IF(IsPro,IF($D2848="","",IFERROR(MATCH($D2848,Items!$A$5:$A$504,0),"")),"")</f>
        <v/>
      </c>
      <c r="R2848" s="60" t="str">
        <f aca="false">IF(IsPro,IF($C2848="","",IFERROR(MATCH($C2848,Parties!$A$5:$A$304,0),"")),"")</f>
        <v/>
      </c>
      <c r="S2848" s="61" t="str">
        <f aca="false">IF(IsPro,IF($D2848="","",IF(OR($H2848="",$H2848="Credit"),0,P2848)),"")</f>
        <v/>
      </c>
    </row>
    <row r="2849" customFormat="false" ht="15" hidden="false" customHeight="false" outlineLevel="0" collapsed="false">
      <c r="A2849" s="55"/>
      <c r="B2849" s="56"/>
      <c r="C2849" s="56"/>
      <c r="D2849" s="56"/>
      <c r="E2849" s="57"/>
      <c r="F2849" s="58"/>
      <c r="G2849" s="59"/>
      <c r="H2849" s="56"/>
      <c r="I2849" s="60" t="str">
        <f aca="false">IF(IsPro,IF($D2849="","",IFERROR(INDEX(Items!$D$5:$D$504,Q2849),"")),IF($D2849="","","PRO PLAN"))</f>
        <v/>
      </c>
      <c r="J2849" s="61" t="str">
        <f aca="false">IF(IsPro,IF($D2849="","",IF($F2849="",IFERROR(INDEX(Items!$G$5:$G$504,Q2849),0),$F2849)),"")</f>
        <v/>
      </c>
      <c r="K2849" s="61" t="str">
        <f aca="false">IF(IsPro,IF($D2849="","",ROUND(N($E2849)*J2849*(1-N($G2849)),2)),"")</f>
        <v/>
      </c>
      <c r="L2849" s="62" t="str">
        <f aca="false">IF(IsPro,IF($D2849="","",IFERROR(INDEX(Items!$F$5:$F$504,Q2849),0)),"")</f>
        <v/>
      </c>
      <c r="M2849" s="61" t="str">
        <f aca="false">IF(IsPro,IF($D2849="","",IF(AND(R2849&lt;&gt;"",INDEX(Parties!$E$5:$E$304,R2849)&lt;&gt;"",INDEX(Parties!$E$5:$E$304,R2849)&lt;&gt;HomeState),0,ROUND(K2849*L2849/2,2))),"")</f>
        <v/>
      </c>
      <c r="N2849" s="61" t="str">
        <f aca="false">IF(IsPro,IF($D2849="","",M2849),"")</f>
        <v/>
      </c>
      <c r="O2849" s="61" t="str">
        <f aca="false">IF(IsPro,IF($D2849="","",IF(AND(R2849&lt;&gt;"",INDEX(Parties!$E$5:$E$304,R2849)&lt;&gt;"",INDEX(Parties!$E$5:$E$304,R2849)&lt;&gt;HomeState),ROUND(K2849*L2849,2),0)),"")</f>
        <v/>
      </c>
      <c r="P2849" s="61" t="str">
        <f aca="false">IF(IsPro,IF($D2849="","",K2849+M2849+N2849+O2849),"")</f>
        <v/>
      </c>
      <c r="Q2849" s="60" t="str">
        <f aca="false">IF(IsPro,IF($D2849="","",IFERROR(MATCH($D2849,Items!$A$5:$A$504,0),"")),"")</f>
        <v/>
      </c>
      <c r="R2849" s="60" t="str">
        <f aca="false">IF(IsPro,IF($C2849="","",IFERROR(MATCH($C2849,Parties!$A$5:$A$304,0),"")),"")</f>
        <v/>
      </c>
      <c r="S2849" s="61" t="str">
        <f aca="false">IF(IsPro,IF($D2849="","",IF(OR($H2849="",$H2849="Credit"),0,P2849)),"")</f>
        <v/>
      </c>
    </row>
    <row r="2850" customFormat="false" ht="15" hidden="false" customHeight="false" outlineLevel="0" collapsed="false">
      <c r="A2850" s="55"/>
      <c r="B2850" s="56"/>
      <c r="C2850" s="56"/>
      <c r="D2850" s="56"/>
      <c r="E2850" s="57"/>
      <c r="F2850" s="58"/>
      <c r="G2850" s="59"/>
      <c r="H2850" s="56"/>
      <c r="I2850" s="60" t="str">
        <f aca="false">IF(IsPro,IF($D2850="","",IFERROR(INDEX(Items!$D$5:$D$504,Q2850),"")),IF($D2850="","","PRO PLAN"))</f>
        <v/>
      </c>
      <c r="J2850" s="61" t="str">
        <f aca="false">IF(IsPro,IF($D2850="","",IF($F2850="",IFERROR(INDEX(Items!$G$5:$G$504,Q2850),0),$F2850)),"")</f>
        <v/>
      </c>
      <c r="K2850" s="61" t="str">
        <f aca="false">IF(IsPro,IF($D2850="","",ROUND(N($E2850)*J2850*(1-N($G2850)),2)),"")</f>
        <v/>
      </c>
      <c r="L2850" s="62" t="str">
        <f aca="false">IF(IsPro,IF($D2850="","",IFERROR(INDEX(Items!$F$5:$F$504,Q2850),0)),"")</f>
        <v/>
      </c>
      <c r="M2850" s="61" t="str">
        <f aca="false">IF(IsPro,IF($D2850="","",IF(AND(R2850&lt;&gt;"",INDEX(Parties!$E$5:$E$304,R2850)&lt;&gt;"",INDEX(Parties!$E$5:$E$304,R2850)&lt;&gt;HomeState),0,ROUND(K2850*L2850/2,2))),"")</f>
        <v/>
      </c>
      <c r="N2850" s="61" t="str">
        <f aca="false">IF(IsPro,IF($D2850="","",M2850),"")</f>
        <v/>
      </c>
      <c r="O2850" s="61" t="str">
        <f aca="false">IF(IsPro,IF($D2850="","",IF(AND(R2850&lt;&gt;"",INDEX(Parties!$E$5:$E$304,R2850)&lt;&gt;"",INDEX(Parties!$E$5:$E$304,R2850)&lt;&gt;HomeState),ROUND(K2850*L2850,2),0)),"")</f>
        <v/>
      </c>
      <c r="P2850" s="61" t="str">
        <f aca="false">IF(IsPro,IF($D2850="","",K2850+M2850+N2850+O2850),"")</f>
        <v/>
      </c>
      <c r="Q2850" s="60" t="str">
        <f aca="false">IF(IsPro,IF($D2850="","",IFERROR(MATCH($D2850,Items!$A$5:$A$504,0),"")),"")</f>
        <v/>
      </c>
      <c r="R2850" s="60" t="str">
        <f aca="false">IF(IsPro,IF($C2850="","",IFERROR(MATCH($C2850,Parties!$A$5:$A$304,0),"")),"")</f>
        <v/>
      </c>
      <c r="S2850" s="61" t="str">
        <f aca="false">IF(IsPro,IF($D2850="","",IF(OR($H2850="",$H2850="Credit"),0,P2850)),"")</f>
        <v/>
      </c>
    </row>
    <row r="2851" customFormat="false" ht="15" hidden="false" customHeight="false" outlineLevel="0" collapsed="false">
      <c r="A2851" s="55"/>
      <c r="B2851" s="56"/>
      <c r="C2851" s="56"/>
      <c r="D2851" s="56"/>
      <c r="E2851" s="57"/>
      <c r="F2851" s="58"/>
      <c r="G2851" s="59"/>
      <c r="H2851" s="56"/>
      <c r="I2851" s="60" t="str">
        <f aca="false">IF(IsPro,IF($D2851="","",IFERROR(INDEX(Items!$D$5:$D$504,Q2851),"")),IF($D2851="","","PRO PLAN"))</f>
        <v/>
      </c>
      <c r="J2851" s="61" t="str">
        <f aca="false">IF(IsPro,IF($D2851="","",IF($F2851="",IFERROR(INDEX(Items!$G$5:$G$504,Q2851),0),$F2851)),"")</f>
        <v/>
      </c>
      <c r="K2851" s="61" t="str">
        <f aca="false">IF(IsPro,IF($D2851="","",ROUND(N($E2851)*J2851*(1-N($G2851)),2)),"")</f>
        <v/>
      </c>
      <c r="L2851" s="62" t="str">
        <f aca="false">IF(IsPro,IF($D2851="","",IFERROR(INDEX(Items!$F$5:$F$504,Q2851),0)),"")</f>
        <v/>
      </c>
      <c r="M2851" s="61" t="str">
        <f aca="false">IF(IsPro,IF($D2851="","",IF(AND(R2851&lt;&gt;"",INDEX(Parties!$E$5:$E$304,R2851)&lt;&gt;"",INDEX(Parties!$E$5:$E$304,R2851)&lt;&gt;HomeState),0,ROUND(K2851*L2851/2,2))),"")</f>
        <v/>
      </c>
      <c r="N2851" s="61" t="str">
        <f aca="false">IF(IsPro,IF($D2851="","",M2851),"")</f>
        <v/>
      </c>
      <c r="O2851" s="61" t="str">
        <f aca="false">IF(IsPro,IF($D2851="","",IF(AND(R2851&lt;&gt;"",INDEX(Parties!$E$5:$E$304,R2851)&lt;&gt;"",INDEX(Parties!$E$5:$E$304,R2851)&lt;&gt;HomeState),ROUND(K2851*L2851,2),0)),"")</f>
        <v/>
      </c>
      <c r="P2851" s="61" t="str">
        <f aca="false">IF(IsPro,IF($D2851="","",K2851+M2851+N2851+O2851),"")</f>
        <v/>
      </c>
      <c r="Q2851" s="60" t="str">
        <f aca="false">IF(IsPro,IF($D2851="","",IFERROR(MATCH($D2851,Items!$A$5:$A$504,0),"")),"")</f>
        <v/>
      </c>
      <c r="R2851" s="60" t="str">
        <f aca="false">IF(IsPro,IF($C2851="","",IFERROR(MATCH($C2851,Parties!$A$5:$A$304,0),"")),"")</f>
        <v/>
      </c>
      <c r="S2851" s="61" t="str">
        <f aca="false">IF(IsPro,IF($D2851="","",IF(OR($H2851="",$H2851="Credit"),0,P2851)),"")</f>
        <v/>
      </c>
    </row>
    <row r="2852" customFormat="false" ht="15" hidden="false" customHeight="false" outlineLevel="0" collapsed="false">
      <c r="A2852" s="55"/>
      <c r="B2852" s="56"/>
      <c r="C2852" s="56"/>
      <c r="D2852" s="56"/>
      <c r="E2852" s="57"/>
      <c r="F2852" s="58"/>
      <c r="G2852" s="59"/>
      <c r="H2852" s="56"/>
      <c r="I2852" s="60" t="str">
        <f aca="false">IF(IsPro,IF($D2852="","",IFERROR(INDEX(Items!$D$5:$D$504,Q2852),"")),IF($D2852="","","PRO PLAN"))</f>
        <v/>
      </c>
      <c r="J2852" s="61" t="str">
        <f aca="false">IF(IsPro,IF($D2852="","",IF($F2852="",IFERROR(INDEX(Items!$G$5:$G$504,Q2852),0),$F2852)),"")</f>
        <v/>
      </c>
      <c r="K2852" s="61" t="str">
        <f aca="false">IF(IsPro,IF($D2852="","",ROUND(N($E2852)*J2852*(1-N($G2852)),2)),"")</f>
        <v/>
      </c>
      <c r="L2852" s="62" t="str">
        <f aca="false">IF(IsPro,IF($D2852="","",IFERROR(INDEX(Items!$F$5:$F$504,Q2852),0)),"")</f>
        <v/>
      </c>
      <c r="M2852" s="61" t="str">
        <f aca="false">IF(IsPro,IF($D2852="","",IF(AND(R2852&lt;&gt;"",INDEX(Parties!$E$5:$E$304,R2852)&lt;&gt;"",INDEX(Parties!$E$5:$E$304,R2852)&lt;&gt;HomeState),0,ROUND(K2852*L2852/2,2))),"")</f>
        <v/>
      </c>
      <c r="N2852" s="61" t="str">
        <f aca="false">IF(IsPro,IF($D2852="","",M2852),"")</f>
        <v/>
      </c>
      <c r="O2852" s="61" t="str">
        <f aca="false">IF(IsPro,IF($D2852="","",IF(AND(R2852&lt;&gt;"",INDEX(Parties!$E$5:$E$304,R2852)&lt;&gt;"",INDEX(Parties!$E$5:$E$304,R2852)&lt;&gt;HomeState),ROUND(K2852*L2852,2),0)),"")</f>
        <v/>
      </c>
      <c r="P2852" s="61" t="str">
        <f aca="false">IF(IsPro,IF($D2852="","",K2852+M2852+N2852+O2852),"")</f>
        <v/>
      </c>
      <c r="Q2852" s="60" t="str">
        <f aca="false">IF(IsPro,IF($D2852="","",IFERROR(MATCH($D2852,Items!$A$5:$A$504,0),"")),"")</f>
        <v/>
      </c>
      <c r="R2852" s="60" t="str">
        <f aca="false">IF(IsPro,IF($C2852="","",IFERROR(MATCH($C2852,Parties!$A$5:$A$304,0),"")),"")</f>
        <v/>
      </c>
      <c r="S2852" s="61" t="str">
        <f aca="false">IF(IsPro,IF($D2852="","",IF(OR($H2852="",$H2852="Credit"),0,P2852)),"")</f>
        <v/>
      </c>
    </row>
    <row r="2853" customFormat="false" ht="15" hidden="false" customHeight="false" outlineLevel="0" collapsed="false">
      <c r="A2853" s="55"/>
      <c r="B2853" s="56"/>
      <c r="C2853" s="56"/>
      <c r="D2853" s="56"/>
      <c r="E2853" s="57"/>
      <c r="F2853" s="58"/>
      <c r="G2853" s="59"/>
      <c r="H2853" s="56"/>
      <c r="I2853" s="60" t="str">
        <f aca="false">IF(IsPro,IF($D2853="","",IFERROR(INDEX(Items!$D$5:$D$504,Q2853),"")),IF($D2853="","","PRO PLAN"))</f>
        <v/>
      </c>
      <c r="J2853" s="61" t="str">
        <f aca="false">IF(IsPro,IF($D2853="","",IF($F2853="",IFERROR(INDEX(Items!$G$5:$G$504,Q2853),0),$F2853)),"")</f>
        <v/>
      </c>
      <c r="K2853" s="61" t="str">
        <f aca="false">IF(IsPro,IF($D2853="","",ROUND(N($E2853)*J2853*(1-N($G2853)),2)),"")</f>
        <v/>
      </c>
      <c r="L2853" s="62" t="str">
        <f aca="false">IF(IsPro,IF($D2853="","",IFERROR(INDEX(Items!$F$5:$F$504,Q2853),0)),"")</f>
        <v/>
      </c>
      <c r="M2853" s="61" t="str">
        <f aca="false">IF(IsPro,IF($D2853="","",IF(AND(R2853&lt;&gt;"",INDEX(Parties!$E$5:$E$304,R2853)&lt;&gt;"",INDEX(Parties!$E$5:$E$304,R2853)&lt;&gt;HomeState),0,ROUND(K2853*L2853/2,2))),"")</f>
        <v/>
      </c>
      <c r="N2853" s="61" t="str">
        <f aca="false">IF(IsPro,IF($D2853="","",M2853),"")</f>
        <v/>
      </c>
      <c r="O2853" s="61" t="str">
        <f aca="false">IF(IsPro,IF($D2853="","",IF(AND(R2853&lt;&gt;"",INDEX(Parties!$E$5:$E$304,R2853)&lt;&gt;"",INDEX(Parties!$E$5:$E$304,R2853)&lt;&gt;HomeState),ROUND(K2853*L2853,2),0)),"")</f>
        <v/>
      </c>
      <c r="P2853" s="61" t="str">
        <f aca="false">IF(IsPro,IF($D2853="","",K2853+M2853+N2853+O2853),"")</f>
        <v/>
      </c>
      <c r="Q2853" s="60" t="str">
        <f aca="false">IF(IsPro,IF($D2853="","",IFERROR(MATCH($D2853,Items!$A$5:$A$504,0),"")),"")</f>
        <v/>
      </c>
      <c r="R2853" s="60" t="str">
        <f aca="false">IF(IsPro,IF($C2853="","",IFERROR(MATCH($C2853,Parties!$A$5:$A$304,0),"")),"")</f>
        <v/>
      </c>
      <c r="S2853" s="61" t="str">
        <f aca="false">IF(IsPro,IF($D2853="","",IF(OR($H2853="",$H2853="Credit"),0,P2853)),"")</f>
        <v/>
      </c>
    </row>
    <row r="2854" customFormat="false" ht="15" hidden="false" customHeight="false" outlineLevel="0" collapsed="false">
      <c r="A2854" s="55"/>
      <c r="B2854" s="56"/>
      <c r="C2854" s="56"/>
      <c r="D2854" s="56"/>
      <c r="E2854" s="57"/>
      <c r="F2854" s="58"/>
      <c r="G2854" s="59"/>
      <c r="H2854" s="56"/>
      <c r="I2854" s="60" t="str">
        <f aca="false">IF(IsPro,IF($D2854="","",IFERROR(INDEX(Items!$D$5:$D$504,Q2854),"")),IF($D2854="","","PRO PLAN"))</f>
        <v/>
      </c>
      <c r="J2854" s="61" t="str">
        <f aca="false">IF(IsPro,IF($D2854="","",IF($F2854="",IFERROR(INDEX(Items!$G$5:$G$504,Q2854),0),$F2854)),"")</f>
        <v/>
      </c>
      <c r="K2854" s="61" t="str">
        <f aca="false">IF(IsPro,IF($D2854="","",ROUND(N($E2854)*J2854*(1-N($G2854)),2)),"")</f>
        <v/>
      </c>
      <c r="L2854" s="62" t="str">
        <f aca="false">IF(IsPro,IF($D2854="","",IFERROR(INDEX(Items!$F$5:$F$504,Q2854),0)),"")</f>
        <v/>
      </c>
      <c r="M2854" s="61" t="str">
        <f aca="false">IF(IsPro,IF($D2854="","",IF(AND(R2854&lt;&gt;"",INDEX(Parties!$E$5:$E$304,R2854)&lt;&gt;"",INDEX(Parties!$E$5:$E$304,R2854)&lt;&gt;HomeState),0,ROUND(K2854*L2854/2,2))),"")</f>
        <v/>
      </c>
      <c r="N2854" s="61" t="str">
        <f aca="false">IF(IsPro,IF($D2854="","",M2854),"")</f>
        <v/>
      </c>
      <c r="O2854" s="61" t="str">
        <f aca="false">IF(IsPro,IF($D2854="","",IF(AND(R2854&lt;&gt;"",INDEX(Parties!$E$5:$E$304,R2854)&lt;&gt;"",INDEX(Parties!$E$5:$E$304,R2854)&lt;&gt;HomeState),ROUND(K2854*L2854,2),0)),"")</f>
        <v/>
      </c>
      <c r="P2854" s="61" t="str">
        <f aca="false">IF(IsPro,IF($D2854="","",K2854+M2854+N2854+O2854),"")</f>
        <v/>
      </c>
      <c r="Q2854" s="60" t="str">
        <f aca="false">IF(IsPro,IF($D2854="","",IFERROR(MATCH($D2854,Items!$A$5:$A$504,0),"")),"")</f>
        <v/>
      </c>
      <c r="R2854" s="60" t="str">
        <f aca="false">IF(IsPro,IF($C2854="","",IFERROR(MATCH($C2854,Parties!$A$5:$A$304,0),"")),"")</f>
        <v/>
      </c>
      <c r="S2854" s="61" t="str">
        <f aca="false">IF(IsPro,IF($D2854="","",IF(OR($H2854="",$H2854="Credit"),0,P2854)),"")</f>
        <v/>
      </c>
    </row>
    <row r="2855" customFormat="false" ht="15" hidden="false" customHeight="false" outlineLevel="0" collapsed="false">
      <c r="A2855" s="55"/>
      <c r="B2855" s="56"/>
      <c r="C2855" s="56"/>
      <c r="D2855" s="56"/>
      <c r="E2855" s="57"/>
      <c r="F2855" s="58"/>
      <c r="G2855" s="59"/>
      <c r="H2855" s="56"/>
      <c r="I2855" s="60" t="str">
        <f aca="false">IF(IsPro,IF($D2855="","",IFERROR(INDEX(Items!$D$5:$D$504,Q2855),"")),IF($D2855="","","PRO PLAN"))</f>
        <v/>
      </c>
      <c r="J2855" s="61" t="str">
        <f aca="false">IF(IsPro,IF($D2855="","",IF($F2855="",IFERROR(INDEX(Items!$G$5:$G$504,Q2855),0),$F2855)),"")</f>
        <v/>
      </c>
      <c r="K2855" s="61" t="str">
        <f aca="false">IF(IsPro,IF($D2855="","",ROUND(N($E2855)*J2855*(1-N($G2855)),2)),"")</f>
        <v/>
      </c>
      <c r="L2855" s="62" t="str">
        <f aca="false">IF(IsPro,IF($D2855="","",IFERROR(INDEX(Items!$F$5:$F$504,Q2855),0)),"")</f>
        <v/>
      </c>
      <c r="M2855" s="61" t="str">
        <f aca="false">IF(IsPro,IF($D2855="","",IF(AND(R2855&lt;&gt;"",INDEX(Parties!$E$5:$E$304,R2855)&lt;&gt;"",INDEX(Parties!$E$5:$E$304,R2855)&lt;&gt;HomeState),0,ROUND(K2855*L2855/2,2))),"")</f>
        <v/>
      </c>
      <c r="N2855" s="61" t="str">
        <f aca="false">IF(IsPro,IF($D2855="","",M2855),"")</f>
        <v/>
      </c>
      <c r="O2855" s="61" t="str">
        <f aca="false">IF(IsPro,IF($D2855="","",IF(AND(R2855&lt;&gt;"",INDEX(Parties!$E$5:$E$304,R2855)&lt;&gt;"",INDEX(Parties!$E$5:$E$304,R2855)&lt;&gt;HomeState),ROUND(K2855*L2855,2),0)),"")</f>
        <v/>
      </c>
      <c r="P2855" s="61" t="str">
        <f aca="false">IF(IsPro,IF($D2855="","",K2855+M2855+N2855+O2855),"")</f>
        <v/>
      </c>
      <c r="Q2855" s="60" t="str">
        <f aca="false">IF(IsPro,IF($D2855="","",IFERROR(MATCH($D2855,Items!$A$5:$A$504,0),"")),"")</f>
        <v/>
      </c>
      <c r="R2855" s="60" t="str">
        <f aca="false">IF(IsPro,IF($C2855="","",IFERROR(MATCH($C2855,Parties!$A$5:$A$304,0),"")),"")</f>
        <v/>
      </c>
      <c r="S2855" s="61" t="str">
        <f aca="false">IF(IsPro,IF($D2855="","",IF(OR($H2855="",$H2855="Credit"),0,P2855)),"")</f>
        <v/>
      </c>
    </row>
    <row r="2856" customFormat="false" ht="15" hidden="false" customHeight="false" outlineLevel="0" collapsed="false">
      <c r="A2856" s="55"/>
      <c r="B2856" s="56"/>
      <c r="C2856" s="56"/>
      <c r="D2856" s="56"/>
      <c r="E2856" s="57"/>
      <c r="F2856" s="58"/>
      <c r="G2856" s="59"/>
      <c r="H2856" s="56"/>
      <c r="I2856" s="60" t="str">
        <f aca="false">IF(IsPro,IF($D2856="","",IFERROR(INDEX(Items!$D$5:$D$504,Q2856),"")),IF($D2856="","","PRO PLAN"))</f>
        <v/>
      </c>
      <c r="J2856" s="61" t="str">
        <f aca="false">IF(IsPro,IF($D2856="","",IF($F2856="",IFERROR(INDEX(Items!$G$5:$G$504,Q2856),0),$F2856)),"")</f>
        <v/>
      </c>
      <c r="K2856" s="61" t="str">
        <f aca="false">IF(IsPro,IF($D2856="","",ROUND(N($E2856)*J2856*(1-N($G2856)),2)),"")</f>
        <v/>
      </c>
      <c r="L2856" s="62" t="str">
        <f aca="false">IF(IsPro,IF($D2856="","",IFERROR(INDEX(Items!$F$5:$F$504,Q2856),0)),"")</f>
        <v/>
      </c>
      <c r="M2856" s="61" t="str">
        <f aca="false">IF(IsPro,IF($D2856="","",IF(AND(R2856&lt;&gt;"",INDEX(Parties!$E$5:$E$304,R2856)&lt;&gt;"",INDEX(Parties!$E$5:$E$304,R2856)&lt;&gt;HomeState),0,ROUND(K2856*L2856/2,2))),"")</f>
        <v/>
      </c>
      <c r="N2856" s="61" t="str">
        <f aca="false">IF(IsPro,IF($D2856="","",M2856),"")</f>
        <v/>
      </c>
      <c r="O2856" s="61" t="str">
        <f aca="false">IF(IsPro,IF($D2856="","",IF(AND(R2856&lt;&gt;"",INDEX(Parties!$E$5:$E$304,R2856)&lt;&gt;"",INDEX(Parties!$E$5:$E$304,R2856)&lt;&gt;HomeState),ROUND(K2856*L2856,2),0)),"")</f>
        <v/>
      </c>
      <c r="P2856" s="61" t="str">
        <f aca="false">IF(IsPro,IF($D2856="","",K2856+M2856+N2856+O2856),"")</f>
        <v/>
      </c>
      <c r="Q2856" s="60" t="str">
        <f aca="false">IF(IsPro,IF($D2856="","",IFERROR(MATCH($D2856,Items!$A$5:$A$504,0),"")),"")</f>
        <v/>
      </c>
      <c r="R2856" s="60" t="str">
        <f aca="false">IF(IsPro,IF($C2856="","",IFERROR(MATCH($C2856,Parties!$A$5:$A$304,0),"")),"")</f>
        <v/>
      </c>
      <c r="S2856" s="61" t="str">
        <f aca="false">IF(IsPro,IF($D2856="","",IF(OR($H2856="",$H2856="Credit"),0,P2856)),"")</f>
        <v/>
      </c>
    </row>
    <row r="2857" customFormat="false" ht="15" hidden="false" customHeight="false" outlineLevel="0" collapsed="false">
      <c r="A2857" s="55"/>
      <c r="B2857" s="56"/>
      <c r="C2857" s="56"/>
      <c r="D2857" s="56"/>
      <c r="E2857" s="57"/>
      <c r="F2857" s="58"/>
      <c r="G2857" s="59"/>
      <c r="H2857" s="56"/>
      <c r="I2857" s="60" t="str">
        <f aca="false">IF(IsPro,IF($D2857="","",IFERROR(INDEX(Items!$D$5:$D$504,Q2857),"")),IF($D2857="","","PRO PLAN"))</f>
        <v/>
      </c>
      <c r="J2857" s="61" t="str">
        <f aca="false">IF(IsPro,IF($D2857="","",IF($F2857="",IFERROR(INDEX(Items!$G$5:$G$504,Q2857),0),$F2857)),"")</f>
        <v/>
      </c>
      <c r="K2857" s="61" t="str">
        <f aca="false">IF(IsPro,IF($D2857="","",ROUND(N($E2857)*J2857*(1-N($G2857)),2)),"")</f>
        <v/>
      </c>
      <c r="L2857" s="62" t="str">
        <f aca="false">IF(IsPro,IF($D2857="","",IFERROR(INDEX(Items!$F$5:$F$504,Q2857),0)),"")</f>
        <v/>
      </c>
      <c r="M2857" s="61" t="str">
        <f aca="false">IF(IsPro,IF($D2857="","",IF(AND(R2857&lt;&gt;"",INDEX(Parties!$E$5:$E$304,R2857)&lt;&gt;"",INDEX(Parties!$E$5:$E$304,R2857)&lt;&gt;HomeState),0,ROUND(K2857*L2857/2,2))),"")</f>
        <v/>
      </c>
      <c r="N2857" s="61" t="str">
        <f aca="false">IF(IsPro,IF($D2857="","",M2857),"")</f>
        <v/>
      </c>
      <c r="O2857" s="61" t="str">
        <f aca="false">IF(IsPro,IF($D2857="","",IF(AND(R2857&lt;&gt;"",INDEX(Parties!$E$5:$E$304,R2857)&lt;&gt;"",INDEX(Parties!$E$5:$E$304,R2857)&lt;&gt;HomeState),ROUND(K2857*L2857,2),0)),"")</f>
        <v/>
      </c>
      <c r="P2857" s="61" t="str">
        <f aca="false">IF(IsPro,IF($D2857="","",K2857+M2857+N2857+O2857),"")</f>
        <v/>
      </c>
      <c r="Q2857" s="60" t="str">
        <f aca="false">IF(IsPro,IF($D2857="","",IFERROR(MATCH($D2857,Items!$A$5:$A$504,0),"")),"")</f>
        <v/>
      </c>
      <c r="R2857" s="60" t="str">
        <f aca="false">IF(IsPro,IF($C2857="","",IFERROR(MATCH($C2857,Parties!$A$5:$A$304,0),"")),"")</f>
        <v/>
      </c>
      <c r="S2857" s="61" t="str">
        <f aca="false">IF(IsPro,IF($D2857="","",IF(OR($H2857="",$H2857="Credit"),0,P2857)),"")</f>
        <v/>
      </c>
    </row>
    <row r="2858" customFormat="false" ht="15" hidden="false" customHeight="false" outlineLevel="0" collapsed="false">
      <c r="A2858" s="55"/>
      <c r="B2858" s="56"/>
      <c r="C2858" s="56"/>
      <c r="D2858" s="56"/>
      <c r="E2858" s="57"/>
      <c r="F2858" s="58"/>
      <c r="G2858" s="59"/>
      <c r="H2858" s="56"/>
      <c r="I2858" s="60" t="str">
        <f aca="false">IF(IsPro,IF($D2858="","",IFERROR(INDEX(Items!$D$5:$D$504,Q2858),"")),IF($D2858="","","PRO PLAN"))</f>
        <v/>
      </c>
      <c r="J2858" s="61" t="str">
        <f aca="false">IF(IsPro,IF($D2858="","",IF($F2858="",IFERROR(INDEX(Items!$G$5:$G$504,Q2858),0),$F2858)),"")</f>
        <v/>
      </c>
      <c r="K2858" s="61" t="str">
        <f aca="false">IF(IsPro,IF($D2858="","",ROUND(N($E2858)*J2858*(1-N($G2858)),2)),"")</f>
        <v/>
      </c>
      <c r="L2858" s="62" t="str">
        <f aca="false">IF(IsPro,IF($D2858="","",IFERROR(INDEX(Items!$F$5:$F$504,Q2858),0)),"")</f>
        <v/>
      </c>
      <c r="M2858" s="61" t="str">
        <f aca="false">IF(IsPro,IF($D2858="","",IF(AND(R2858&lt;&gt;"",INDEX(Parties!$E$5:$E$304,R2858)&lt;&gt;"",INDEX(Parties!$E$5:$E$304,R2858)&lt;&gt;HomeState),0,ROUND(K2858*L2858/2,2))),"")</f>
        <v/>
      </c>
      <c r="N2858" s="61" t="str">
        <f aca="false">IF(IsPro,IF($D2858="","",M2858),"")</f>
        <v/>
      </c>
      <c r="O2858" s="61" t="str">
        <f aca="false">IF(IsPro,IF($D2858="","",IF(AND(R2858&lt;&gt;"",INDEX(Parties!$E$5:$E$304,R2858)&lt;&gt;"",INDEX(Parties!$E$5:$E$304,R2858)&lt;&gt;HomeState),ROUND(K2858*L2858,2),0)),"")</f>
        <v/>
      </c>
      <c r="P2858" s="61" t="str">
        <f aca="false">IF(IsPro,IF($D2858="","",K2858+M2858+N2858+O2858),"")</f>
        <v/>
      </c>
      <c r="Q2858" s="60" t="str">
        <f aca="false">IF(IsPro,IF($D2858="","",IFERROR(MATCH($D2858,Items!$A$5:$A$504,0),"")),"")</f>
        <v/>
      </c>
      <c r="R2858" s="60" t="str">
        <f aca="false">IF(IsPro,IF($C2858="","",IFERROR(MATCH($C2858,Parties!$A$5:$A$304,0),"")),"")</f>
        <v/>
      </c>
      <c r="S2858" s="61" t="str">
        <f aca="false">IF(IsPro,IF($D2858="","",IF(OR($H2858="",$H2858="Credit"),0,P2858)),"")</f>
        <v/>
      </c>
    </row>
    <row r="2859" customFormat="false" ht="15" hidden="false" customHeight="false" outlineLevel="0" collapsed="false">
      <c r="A2859" s="55"/>
      <c r="B2859" s="56"/>
      <c r="C2859" s="56"/>
      <c r="D2859" s="56"/>
      <c r="E2859" s="57"/>
      <c r="F2859" s="58"/>
      <c r="G2859" s="59"/>
      <c r="H2859" s="56"/>
      <c r="I2859" s="60" t="str">
        <f aca="false">IF(IsPro,IF($D2859="","",IFERROR(INDEX(Items!$D$5:$D$504,Q2859),"")),IF($D2859="","","PRO PLAN"))</f>
        <v/>
      </c>
      <c r="J2859" s="61" t="str">
        <f aca="false">IF(IsPro,IF($D2859="","",IF($F2859="",IFERROR(INDEX(Items!$G$5:$G$504,Q2859),0),$F2859)),"")</f>
        <v/>
      </c>
      <c r="K2859" s="61" t="str">
        <f aca="false">IF(IsPro,IF($D2859="","",ROUND(N($E2859)*J2859*(1-N($G2859)),2)),"")</f>
        <v/>
      </c>
      <c r="L2859" s="62" t="str">
        <f aca="false">IF(IsPro,IF($D2859="","",IFERROR(INDEX(Items!$F$5:$F$504,Q2859),0)),"")</f>
        <v/>
      </c>
      <c r="M2859" s="61" t="str">
        <f aca="false">IF(IsPro,IF($D2859="","",IF(AND(R2859&lt;&gt;"",INDEX(Parties!$E$5:$E$304,R2859)&lt;&gt;"",INDEX(Parties!$E$5:$E$304,R2859)&lt;&gt;HomeState),0,ROUND(K2859*L2859/2,2))),"")</f>
        <v/>
      </c>
      <c r="N2859" s="61" t="str">
        <f aca="false">IF(IsPro,IF($D2859="","",M2859),"")</f>
        <v/>
      </c>
      <c r="O2859" s="61" t="str">
        <f aca="false">IF(IsPro,IF($D2859="","",IF(AND(R2859&lt;&gt;"",INDEX(Parties!$E$5:$E$304,R2859)&lt;&gt;"",INDEX(Parties!$E$5:$E$304,R2859)&lt;&gt;HomeState),ROUND(K2859*L2859,2),0)),"")</f>
        <v/>
      </c>
      <c r="P2859" s="61" t="str">
        <f aca="false">IF(IsPro,IF($D2859="","",K2859+M2859+N2859+O2859),"")</f>
        <v/>
      </c>
      <c r="Q2859" s="60" t="str">
        <f aca="false">IF(IsPro,IF($D2859="","",IFERROR(MATCH($D2859,Items!$A$5:$A$504,0),"")),"")</f>
        <v/>
      </c>
      <c r="R2859" s="60" t="str">
        <f aca="false">IF(IsPro,IF($C2859="","",IFERROR(MATCH($C2859,Parties!$A$5:$A$304,0),"")),"")</f>
        <v/>
      </c>
      <c r="S2859" s="61" t="str">
        <f aca="false">IF(IsPro,IF($D2859="","",IF(OR($H2859="",$H2859="Credit"),0,P2859)),"")</f>
        <v/>
      </c>
    </row>
    <row r="2860" customFormat="false" ht="15" hidden="false" customHeight="false" outlineLevel="0" collapsed="false">
      <c r="A2860" s="55"/>
      <c r="B2860" s="56"/>
      <c r="C2860" s="56"/>
      <c r="D2860" s="56"/>
      <c r="E2860" s="57"/>
      <c r="F2860" s="58"/>
      <c r="G2860" s="59"/>
      <c r="H2860" s="56"/>
      <c r="I2860" s="60" t="str">
        <f aca="false">IF(IsPro,IF($D2860="","",IFERROR(INDEX(Items!$D$5:$D$504,Q2860),"")),IF($D2860="","","PRO PLAN"))</f>
        <v/>
      </c>
      <c r="J2860" s="61" t="str">
        <f aca="false">IF(IsPro,IF($D2860="","",IF($F2860="",IFERROR(INDEX(Items!$G$5:$G$504,Q2860),0),$F2860)),"")</f>
        <v/>
      </c>
      <c r="K2860" s="61" t="str">
        <f aca="false">IF(IsPro,IF($D2860="","",ROUND(N($E2860)*J2860*(1-N($G2860)),2)),"")</f>
        <v/>
      </c>
      <c r="L2860" s="62" t="str">
        <f aca="false">IF(IsPro,IF($D2860="","",IFERROR(INDEX(Items!$F$5:$F$504,Q2860),0)),"")</f>
        <v/>
      </c>
      <c r="M2860" s="61" t="str">
        <f aca="false">IF(IsPro,IF($D2860="","",IF(AND(R2860&lt;&gt;"",INDEX(Parties!$E$5:$E$304,R2860)&lt;&gt;"",INDEX(Parties!$E$5:$E$304,R2860)&lt;&gt;HomeState),0,ROUND(K2860*L2860/2,2))),"")</f>
        <v/>
      </c>
      <c r="N2860" s="61" t="str">
        <f aca="false">IF(IsPro,IF($D2860="","",M2860),"")</f>
        <v/>
      </c>
      <c r="O2860" s="61" t="str">
        <f aca="false">IF(IsPro,IF($D2860="","",IF(AND(R2860&lt;&gt;"",INDEX(Parties!$E$5:$E$304,R2860)&lt;&gt;"",INDEX(Parties!$E$5:$E$304,R2860)&lt;&gt;HomeState),ROUND(K2860*L2860,2),0)),"")</f>
        <v/>
      </c>
      <c r="P2860" s="61" t="str">
        <f aca="false">IF(IsPro,IF($D2860="","",K2860+M2860+N2860+O2860),"")</f>
        <v/>
      </c>
      <c r="Q2860" s="60" t="str">
        <f aca="false">IF(IsPro,IF($D2860="","",IFERROR(MATCH($D2860,Items!$A$5:$A$504,0),"")),"")</f>
        <v/>
      </c>
      <c r="R2860" s="60" t="str">
        <f aca="false">IF(IsPro,IF($C2860="","",IFERROR(MATCH($C2860,Parties!$A$5:$A$304,0),"")),"")</f>
        <v/>
      </c>
      <c r="S2860" s="61" t="str">
        <f aca="false">IF(IsPro,IF($D2860="","",IF(OR($H2860="",$H2860="Credit"),0,P2860)),"")</f>
        <v/>
      </c>
    </row>
    <row r="2861" customFormat="false" ht="15" hidden="false" customHeight="false" outlineLevel="0" collapsed="false">
      <c r="A2861" s="55"/>
      <c r="B2861" s="56"/>
      <c r="C2861" s="56"/>
      <c r="D2861" s="56"/>
      <c r="E2861" s="57"/>
      <c r="F2861" s="58"/>
      <c r="G2861" s="59"/>
      <c r="H2861" s="56"/>
      <c r="I2861" s="60" t="str">
        <f aca="false">IF(IsPro,IF($D2861="","",IFERROR(INDEX(Items!$D$5:$D$504,Q2861),"")),IF($D2861="","","PRO PLAN"))</f>
        <v/>
      </c>
      <c r="J2861" s="61" t="str">
        <f aca="false">IF(IsPro,IF($D2861="","",IF($F2861="",IFERROR(INDEX(Items!$G$5:$G$504,Q2861),0),$F2861)),"")</f>
        <v/>
      </c>
      <c r="K2861" s="61" t="str">
        <f aca="false">IF(IsPro,IF($D2861="","",ROUND(N($E2861)*J2861*(1-N($G2861)),2)),"")</f>
        <v/>
      </c>
      <c r="L2861" s="62" t="str">
        <f aca="false">IF(IsPro,IF($D2861="","",IFERROR(INDEX(Items!$F$5:$F$504,Q2861),0)),"")</f>
        <v/>
      </c>
      <c r="M2861" s="61" t="str">
        <f aca="false">IF(IsPro,IF($D2861="","",IF(AND(R2861&lt;&gt;"",INDEX(Parties!$E$5:$E$304,R2861)&lt;&gt;"",INDEX(Parties!$E$5:$E$304,R2861)&lt;&gt;HomeState),0,ROUND(K2861*L2861/2,2))),"")</f>
        <v/>
      </c>
      <c r="N2861" s="61" t="str">
        <f aca="false">IF(IsPro,IF($D2861="","",M2861),"")</f>
        <v/>
      </c>
      <c r="O2861" s="61" t="str">
        <f aca="false">IF(IsPro,IF($D2861="","",IF(AND(R2861&lt;&gt;"",INDEX(Parties!$E$5:$E$304,R2861)&lt;&gt;"",INDEX(Parties!$E$5:$E$304,R2861)&lt;&gt;HomeState),ROUND(K2861*L2861,2),0)),"")</f>
        <v/>
      </c>
      <c r="P2861" s="61" t="str">
        <f aca="false">IF(IsPro,IF($D2861="","",K2861+M2861+N2861+O2861),"")</f>
        <v/>
      </c>
      <c r="Q2861" s="60" t="str">
        <f aca="false">IF(IsPro,IF($D2861="","",IFERROR(MATCH($D2861,Items!$A$5:$A$504,0),"")),"")</f>
        <v/>
      </c>
      <c r="R2861" s="60" t="str">
        <f aca="false">IF(IsPro,IF($C2861="","",IFERROR(MATCH($C2861,Parties!$A$5:$A$304,0),"")),"")</f>
        <v/>
      </c>
      <c r="S2861" s="61" t="str">
        <f aca="false">IF(IsPro,IF($D2861="","",IF(OR($H2861="",$H2861="Credit"),0,P2861)),"")</f>
        <v/>
      </c>
    </row>
    <row r="2862" customFormat="false" ht="15" hidden="false" customHeight="false" outlineLevel="0" collapsed="false">
      <c r="A2862" s="55"/>
      <c r="B2862" s="56"/>
      <c r="C2862" s="56"/>
      <c r="D2862" s="56"/>
      <c r="E2862" s="57"/>
      <c r="F2862" s="58"/>
      <c r="G2862" s="59"/>
      <c r="H2862" s="56"/>
      <c r="I2862" s="60" t="str">
        <f aca="false">IF(IsPro,IF($D2862="","",IFERROR(INDEX(Items!$D$5:$D$504,Q2862),"")),IF($D2862="","","PRO PLAN"))</f>
        <v/>
      </c>
      <c r="J2862" s="61" t="str">
        <f aca="false">IF(IsPro,IF($D2862="","",IF($F2862="",IFERROR(INDEX(Items!$G$5:$G$504,Q2862),0),$F2862)),"")</f>
        <v/>
      </c>
      <c r="K2862" s="61" t="str">
        <f aca="false">IF(IsPro,IF($D2862="","",ROUND(N($E2862)*J2862*(1-N($G2862)),2)),"")</f>
        <v/>
      </c>
      <c r="L2862" s="62" t="str">
        <f aca="false">IF(IsPro,IF($D2862="","",IFERROR(INDEX(Items!$F$5:$F$504,Q2862),0)),"")</f>
        <v/>
      </c>
      <c r="M2862" s="61" t="str">
        <f aca="false">IF(IsPro,IF($D2862="","",IF(AND(R2862&lt;&gt;"",INDEX(Parties!$E$5:$E$304,R2862)&lt;&gt;"",INDEX(Parties!$E$5:$E$304,R2862)&lt;&gt;HomeState),0,ROUND(K2862*L2862/2,2))),"")</f>
        <v/>
      </c>
      <c r="N2862" s="61" t="str">
        <f aca="false">IF(IsPro,IF($D2862="","",M2862),"")</f>
        <v/>
      </c>
      <c r="O2862" s="61" t="str">
        <f aca="false">IF(IsPro,IF($D2862="","",IF(AND(R2862&lt;&gt;"",INDEX(Parties!$E$5:$E$304,R2862)&lt;&gt;"",INDEX(Parties!$E$5:$E$304,R2862)&lt;&gt;HomeState),ROUND(K2862*L2862,2),0)),"")</f>
        <v/>
      </c>
      <c r="P2862" s="61" t="str">
        <f aca="false">IF(IsPro,IF($D2862="","",K2862+M2862+N2862+O2862),"")</f>
        <v/>
      </c>
      <c r="Q2862" s="60" t="str">
        <f aca="false">IF(IsPro,IF($D2862="","",IFERROR(MATCH($D2862,Items!$A$5:$A$504,0),"")),"")</f>
        <v/>
      </c>
      <c r="R2862" s="60" t="str">
        <f aca="false">IF(IsPro,IF($C2862="","",IFERROR(MATCH($C2862,Parties!$A$5:$A$304,0),"")),"")</f>
        <v/>
      </c>
      <c r="S2862" s="61" t="str">
        <f aca="false">IF(IsPro,IF($D2862="","",IF(OR($H2862="",$H2862="Credit"),0,P2862)),"")</f>
        <v/>
      </c>
    </row>
    <row r="2863" customFormat="false" ht="15" hidden="false" customHeight="false" outlineLevel="0" collapsed="false">
      <c r="A2863" s="55"/>
      <c r="B2863" s="56"/>
      <c r="C2863" s="56"/>
      <c r="D2863" s="56"/>
      <c r="E2863" s="57"/>
      <c r="F2863" s="58"/>
      <c r="G2863" s="59"/>
      <c r="H2863" s="56"/>
      <c r="I2863" s="60" t="str">
        <f aca="false">IF(IsPro,IF($D2863="","",IFERROR(INDEX(Items!$D$5:$D$504,Q2863),"")),IF($D2863="","","PRO PLAN"))</f>
        <v/>
      </c>
      <c r="J2863" s="61" t="str">
        <f aca="false">IF(IsPro,IF($D2863="","",IF($F2863="",IFERROR(INDEX(Items!$G$5:$G$504,Q2863),0),$F2863)),"")</f>
        <v/>
      </c>
      <c r="K2863" s="61" t="str">
        <f aca="false">IF(IsPro,IF($D2863="","",ROUND(N($E2863)*J2863*(1-N($G2863)),2)),"")</f>
        <v/>
      </c>
      <c r="L2863" s="62" t="str">
        <f aca="false">IF(IsPro,IF($D2863="","",IFERROR(INDEX(Items!$F$5:$F$504,Q2863),0)),"")</f>
        <v/>
      </c>
      <c r="M2863" s="61" t="str">
        <f aca="false">IF(IsPro,IF($D2863="","",IF(AND(R2863&lt;&gt;"",INDEX(Parties!$E$5:$E$304,R2863)&lt;&gt;"",INDEX(Parties!$E$5:$E$304,R2863)&lt;&gt;HomeState),0,ROUND(K2863*L2863/2,2))),"")</f>
        <v/>
      </c>
      <c r="N2863" s="61" t="str">
        <f aca="false">IF(IsPro,IF($D2863="","",M2863),"")</f>
        <v/>
      </c>
      <c r="O2863" s="61" t="str">
        <f aca="false">IF(IsPro,IF($D2863="","",IF(AND(R2863&lt;&gt;"",INDEX(Parties!$E$5:$E$304,R2863)&lt;&gt;"",INDEX(Parties!$E$5:$E$304,R2863)&lt;&gt;HomeState),ROUND(K2863*L2863,2),0)),"")</f>
        <v/>
      </c>
      <c r="P2863" s="61" t="str">
        <f aca="false">IF(IsPro,IF($D2863="","",K2863+M2863+N2863+O2863),"")</f>
        <v/>
      </c>
      <c r="Q2863" s="60" t="str">
        <f aca="false">IF(IsPro,IF($D2863="","",IFERROR(MATCH($D2863,Items!$A$5:$A$504,0),"")),"")</f>
        <v/>
      </c>
      <c r="R2863" s="60" t="str">
        <f aca="false">IF(IsPro,IF($C2863="","",IFERROR(MATCH($C2863,Parties!$A$5:$A$304,0),"")),"")</f>
        <v/>
      </c>
      <c r="S2863" s="61" t="str">
        <f aca="false">IF(IsPro,IF($D2863="","",IF(OR($H2863="",$H2863="Credit"),0,P2863)),"")</f>
        <v/>
      </c>
    </row>
    <row r="2864" customFormat="false" ht="15" hidden="false" customHeight="false" outlineLevel="0" collapsed="false">
      <c r="A2864" s="55"/>
      <c r="B2864" s="56"/>
      <c r="C2864" s="56"/>
      <c r="D2864" s="56"/>
      <c r="E2864" s="57"/>
      <c r="F2864" s="58"/>
      <c r="G2864" s="59"/>
      <c r="H2864" s="56"/>
      <c r="I2864" s="60" t="str">
        <f aca="false">IF(IsPro,IF($D2864="","",IFERROR(INDEX(Items!$D$5:$D$504,Q2864),"")),IF($D2864="","","PRO PLAN"))</f>
        <v/>
      </c>
      <c r="J2864" s="61" t="str">
        <f aca="false">IF(IsPro,IF($D2864="","",IF($F2864="",IFERROR(INDEX(Items!$G$5:$G$504,Q2864),0),$F2864)),"")</f>
        <v/>
      </c>
      <c r="K2864" s="61" t="str">
        <f aca="false">IF(IsPro,IF($D2864="","",ROUND(N($E2864)*J2864*(1-N($G2864)),2)),"")</f>
        <v/>
      </c>
      <c r="L2864" s="62" t="str">
        <f aca="false">IF(IsPro,IF($D2864="","",IFERROR(INDEX(Items!$F$5:$F$504,Q2864),0)),"")</f>
        <v/>
      </c>
      <c r="M2864" s="61" t="str">
        <f aca="false">IF(IsPro,IF($D2864="","",IF(AND(R2864&lt;&gt;"",INDEX(Parties!$E$5:$E$304,R2864)&lt;&gt;"",INDEX(Parties!$E$5:$E$304,R2864)&lt;&gt;HomeState),0,ROUND(K2864*L2864/2,2))),"")</f>
        <v/>
      </c>
      <c r="N2864" s="61" t="str">
        <f aca="false">IF(IsPro,IF($D2864="","",M2864),"")</f>
        <v/>
      </c>
      <c r="O2864" s="61" t="str">
        <f aca="false">IF(IsPro,IF($D2864="","",IF(AND(R2864&lt;&gt;"",INDEX(Parties!$E$5:$E$304,R2864)&lt;&gt;"",INDEX(Parties!$E$5:$E$304,R2864)&lt;&gt;HomeState),ROUND(K2864*L2864,2),0)),"")</f>
        <v/>
      </c>
      <c r="P2864" s="61" t="str">
        <f aca="false">IF(IsPro,IF($D2864="","",K2864+M2864+N2864+O2864),"")</f>
        <v/>
      </c>
      <c r="Q2864" s="60" t="str">
        <f aca="false">IF(IsPro,IF($D2864="","",IFERROR(MATCH($D2864,Items!$A$5:$A$504,0),"")),"")</f>
        <v/>
      </c>
      <c r="R2864" s="60" t="str">
        <f aca="false">IF(IsPro,IF($C2864="","",IFERROR(MATCH($C2864,Parties!$A$5:$A$304,0),"")),"")</f>
        <v/>
      </c>
      <c r="S2864" s="61" t="str">
        <f aca="false">IF(IsPro,IF($D2864="","",IF(OR($H2864="",$H2864="Credit"),0,P2864)),"")</f>
        <v/>
      </c>
    </row>
    <row r="2865" customFormat="false" ht="15" hidden="false" customHeight="false" outlineLevel="0" collapsed="false">
      <c r="A2865" s="55"/>
      <c r="B2865" s="56"/>
      <c r="C2865" s="56"/>
      <c r="D2865" s="56"/>
      <c r="E2865" s="57"/>
      <c r="F2865" s="58"/>
      <c r="G2865" s="59"/>
      <c r="H2865" s="56"/>
      <c r="I2865" s="60" t="str">
        <f aca="false">IF(IsPro,IF($D2865="","",IFERROR(INDEX(Items!$D$5:$D$504,Q2865),"")),IF($D2865="","","PRO PLAN"))</f>
        <v/>
      </c>
      <c r="J2865" s="61" t="str">
        <f aca="false">IF(IsPro,IF($D2865="","",IF($F2865="",IFERROR(INDEX(Items!$G$5:$G$504,Q2865),0),$F2865)),"")</f>
        <v/>
      </c>
      <c r="K2865" s="61" t="str">
        <f aca="false">IF(IsPro,IF($D2865="","",ROUND(N($E2865)*J2865*(1-N($G2865)),2)),"")</f>
        <v/>
      </c>
      <c r="L2865" s="62" t="str">
        <f aca="false">IF(IsPro,IF($D2865="","",IFERROR(INDEX(Items!$F$5:$F$504,Q2865),0)),"")</f>
        <v/>
      </c>
      <c r="M2865" s="61" t="str">
        <f aca="false">IF(IsPro,IF($D2865="","",IF(AND(R2865&lt;&gt;"",INDEX(Parties!$E$5:$E$304,R2865)&lt;&gt;"",INDEX(Parties!$E$5:$E$304,R2865)&lt;&gt;HomeState),0,ROUND(K2865*L2865/2,2))),"")</f>
        <v/>
      </c>
      <c r="N2865" s="61" t="str">
        <f aca="false">IF(IsPro,IF($D2865="","",M2865),"")</f>
        <v/>
      </c>
      <c r="O2865" s="61" t="str">
        <f aca="false">IF(IsPro,IF($D2865="","",IF(AND(R2865&lt;&gt;"",INDEX(Parties!$E$5:$E$304,R2865)&lt;&gt;"",INDEX(Parties!$E$5:$E$304,R2865)&lt;&gt;HomeState),ROUND(K2865*L2865,2),0)),"")</f>
        <v/>
      </c>
      <c r="P2865" s="61" t="str">
        <f aca="false">IF(IsPro,IF($D2865="","",K2865+M2865+N2865+O2865),"")</f>
        <v/>
      </c>
      <c r="Q2865" s="60" t="str">
        <f aca="false">IF(IsPro,IF($D2865="","",IFERROR(MATCH($D2865,Items!$A$5:$A$504,0),"")),"")</f>
        <v/>
      </c>
      <c r="R2865" s="60" t="str">
        <f aca="false">IF(IsPro,IF($C2865="","",IFERROR(MATCH($C2865,Parties!$A$5:$A$304,0),"")),"")</f>
        <v/>
      </c>
      <c r="S2865" s="61" t="str">
        <f aca="false">IF(IsPro,IF($D2865="","",IF(OR($H2865="",$H2865="Credit"),0,P2865)),"")</f>
        <v/>
      </c>
    </row>
    <row r="2866" customFormat="false" ht="15" hidden="false" customHeight="false" outlineLevel="0" collapsed="false">
      <c r="A2866" s="55"/>
      <c r="B2866" s="56"/>
      <c r="C2866" s="56"/>
      <c r="D2866" s="56"/>
      <c r="E2866" s="57"/>
      <c r="F2866" s="58"/>
      <c r="G2866" s="59"/>
      <c r="H2866" s="56"/>
      <c r="I2866" s="60" t="str">
        <f aca="false">IF(IsPro,IF($D2866="","",IFERROR(INDEX(Items!$D$5:$D$504,Q2866),"")),IF($D2866="","","PRO PLAN"))</f>
        <v/>
      </c>
      <c r="J2866" s="61" t="str">
        <f aca="false">IF(IsPro,IF($D2866="","",IF($F2866="",IFERROR(INDEX(Items!$G$5:$G$504,Q2866),0),$F2866)),"")</f>
        <v/>
      </c>
      <c r="K2866" s="61" t="str">
        <f aca="false">IF(IsPro,IF($D2866="","",ROUND(N($E2866)*J2866*(1-N($G2866)),2)),"")</f>
        <v/>
      </c>
      <c r="L2866" s="62" t="str">
        <f aca="false">IF(IsPro,IF($D2866="","",IFERROR(INDEX(Items!$F$5:$F$504,Q2866),0)),"")</f>
        <v/>
      </c>
      <c r="M2866" s="61" t="str">
        <f aca="false">IF(IsPro,IF($D2866="","",IF(AND(R2866&lt;&gt;"",INDEX(Parties!$E$5:$E$304,R2866)&lt;&gt;"",INDEX(Parties!$E$5:$E$304,R2866)&lt;&gt;HomeState),0,ROUND(K2866*L2866/2,2))),"")</f>
        <v/>
      </c>
      <c r="N2866" s="61" t="str">
        <f aca="false">IF(IsPro,IF($D2866="","",M2866),"")</f>
        <v/>
      </c>
      <c r="O2866" s="61" t="str">
        <f aca="false">IF(IsPro,IF($D2866="","",IF(AND(R2866&lt;&gt;"",INDEX(Parties!$E$5:$E$304,R2866)&lt;&gt;"",INDEX(Parties!$E$5:$E$304,R2866)&lt;&gt;HomeState),ROUND(K2866*L2866,2),0)),"")</f>
        <v/>
      </c>
      <c r="P2866" s="61" t="str">
        <f aca="false">IF(IsPro,IF($D2866="","",K2866+M2866+N2866+O2866),"")</f>
        <v/>
      </c>
      <c r="Q2866" s="60" t="str">
        <f aca="false">IF(IsPro,IF($D2866="","",IFERROR(MATCH($D2866,Items!$A$5:$A$504,0),"")),"")</f>
        <v/>
      </c>
      <c r="R2866" s="60" t="str">
        <f aca="false">IF(IsPro,IF($C2866="","",IFERROR(MATCH($C2866,Parties!$A$5:$A$304,0),"")),"")</f>
        <v/>
      </c>
      <c r="S2866" s="61" t="str">
        <f aca="false">IF(IsPro,IF($D2866="","",IF(OR($H2866="",$H2866="Credit"),0,P2866)),"")</f>
        <v/>
      </c>
    </row>
    <row r="2867" customFormat="false" ht="15" hidden="false" customHeight="false" outlineLevel="0" collapsed="false">
      <c r="A2867" s="55"/>
      <c r="B2867" s="56"/>
      <c r="C2867" s="56"/>
      <c r="D2867" s="56"/>
      <c r="E2867" s="57"/>
      <c r="F2867" s="58"/>
      <c r="G2867" s="59"/>
      <c r="H2867" s="56"/>
      <c r="I2867" s="60" t="str">
        <f aca="false">IF(IsPro,IF($D2867="","",IFERROR(INDEX(Items!$D$5:$D$504,Q2867),"")),IF($D2867="","","PRO PLAN"))</f>
        <v/>
      </c>
      <c r="J2867" s="61" t="str">
        <f aca="false">IF(IsPro,IF($D2867="","",IF($F2867="",IFERROR(INDEX(Items!$G$5:$G$504,Q2867),0),$F2867)),"")</f>
        <v/>
      </c>
      <c r="K2867" s="61" t="str">
        <f aca="false">IF(IsPro,IF($D2867="","",ROUND(N($E2867)*J2867*(1-N($G2867)),2)),"")</f>
        <v/>
      </c>
      <c r="L2867" s="62" t="str">
        <f aca="false">IF(IsPro,IF($D2867="","",IFERROR(INDEX(Items!$F$5:$F$504,Q2867),0)),"")</f>
        <v/>
      </c>
      <c r="M2867" s="61" t="str">
        <f aca="false">IF(IsPro,IF($D2867="","",IF(AND(R2867&lt;&gt;"",INDEX(Parties!$E$5:$E$304,R2867)&lt;&gt;"",INDEX(Parties!$E$5:$E$304,R2867)&lt;&gt;HomeState),0,ROUND(K2867*L2867/2,2))),"")</f>
        <v/>
      </c>
      <c r="N2867" s="61" t="str">
        <f aca="false">IF(IsPro,IF($D2867="","",M2867),"")</f>
        <v/>
      </c>
      <c r="O2867" s="61" t="str">
        <f aca="false">IF(IsPro,IF($D2867="","",IF(AND(R2867&lt;&gt;"",INDEX(Parties!$E$5:$E$304,R2867)&lt;&gt;"",INDEX(Parties!$E$5:$E$304,R2867)&lt;&gt;HomeState),ROUND(K2867*L2867,2),0)),"")</f>
        <v/>
      </c>
      <c r="P2867" s="61" t="str">
        <f aca="false">IF(IsPro,IF($D2867="","",K2867+M2867+N2867+O2867),"")</f>
        <v/>
      </c>
      <c r="Q2867" s="60" t="str">
        <f aca="false">IF(IsPro,IF($D2867="","",IFERROR(MATCH($D2867,Items!$A$5:$A$504,0),"")),"")</f>
        <v/>
      </c>
      <c r="R2867" s="60" t="str">
        <f aca="false">IF(IsPro,IF($C2867="","",IFERROR(MATCH($C2867,Parties!$A$5:$A$304,0),"")),"")</f>
        <v/>
      </c>
      <c r="S2867" s="61" t="str">
        <f aca="false">IF(IsPro,IF($D2867="","",IF(OR($H2867="",$H2867="Credit"),0,P2867)),"")</f>
        <v/>
      </c>
    </row>
    <row r="2868" customFormat="false" ht="15" hidden="false" customHeight="false" outlineLevel="0" collapsed="false">
      <c r="A2868" s="55"/>
      <c r="B2868" s="56"/>
      <c r="C2868" s="56"/>
      <c r="D2868" s="56"/>
      <c r="E2868" s="57"/>
      <c r="F2868" s="58"/>
      <c r="G2868" s="59"/>
      <c r="H2868" s="56"/>
      <c r="I2868" s="60" t="str">
        <f aca="false">IF(IsPro,IF($D2868="","",IFERROR(INDEX(Items!$D$5:$D$504,Q2868),"")),IF($D2868="","","PRO PLAN"))</f>
        <v/>
      </c>
      <c r="J2868" s="61" t="str">
        <f aca="false">IF(IsPro,IF($D2868="","",IF($F2868="",IFERROR(INDEX(Items!$G$5:$G$504,Q2868),0),$F2868)),"")</f>
        <v/>
      </c>
      <c r="K2868" s="61" t="str">
        <f aca="false">IF(IsPro,IF($D2868="","",ROUND(N($E2868)*J2868*(1-N($G2868)),2)),"")</f>
        <v/>
      </c>
      <c r="L2868" s="62" t="str">
        <f aca="false">IF(IsPro,IF($D2868="","",IFERROR(INDEX(Items!$F$5:$F$504,Q2868),0)),"")</f>
        <v/>
      </c>
      <c r="M2868" s="61" t="str">
        <f aca="false">IF(IsPro,IF($D2868="","",IF(AND(R2868&lt;&gt;"",INDEX(Parties!$E$5:$E$304,R2868)&lt;&gt;"",INDEX(Parties!$E$5:$E$304,R2868)&lt;&gt;HomeState),0,ROUND(K2868*L2868/2,2))),"")</f>
        <v/>
      </c>
      <c r="N2868" s="61" t="str">
        <f aca="false">IF(IsPro,IF($D2868="","",M2868),"")</f>
        <v/>
      </c>
      <c r="O2868" s="61" t="str">
        <f aca="false">IF(IsPro,IF($D2868="","",IF(AND(R2868&lt;&gt;"",INDEX(Parties!$E$5:$E$304,R2868)&lt;&gt;"",INDEX(Parties!$E$5:$E$304,R2868)&lt;&gt;HomeState),ROUND(K2868*L2868,2),0)),"")</f>
        <v/>
      </c>
      <c r="P2868" s="61" t="str">
        <f aca="false">IF(IsPro,IF($D2868="","",K2868+M2868+N2868+O2868),"")</f>
        <v/>
      </c>
      <c r="Q2868" s="60" t="str">
        <f aca="false">IF(IsPro,IF($D2868="","",IFERROR(MATCH($D2868,Items!$A$5:$A$504,0),"")),"")</f>
        <v/>
      </c>
      <c r="R2868" s="60" t="str">
        <f aca="false">IF(IsPro,IF($C2868="","",IFERROR(MATCH($C2868,Parties!$A$5:$A$304,0),"")),"")</f>
        <v/>
      </c>
      <c r="S2868" s="61" t="str">
        <f aca="false">IF(IsPro,IF($D2868="","",IF(OR($H2868="",$H2868="Credit"),0,P2868)),"")</f>
        <v/>
      </c>
    </row>
    <row r="2869" customFormat="false" ht="15" hidden="false" customHeight="false" outlineLevel="0" collapsed="false">
      <c r="A2869" s="55"/>
      <c r="B2869" s="56"/>
      <c r="C2869" s="56"/>
      <c r="D2869" s="56"/>
      <c r="E2869" s="57"/>
      <c r="F2869" s="58"/>
      <c r="G2869" s="59"/>
      <c r="H2869" s="56"/>
      <c r="I2869" s="60" t="str">
        <f aca="false">IF(IsPro,IF($D2869="","",IFERROR(INDEX(Items!$D$5:$D$504,Q2869),"")),IF($D2869="","","PRO PLAN"))</f>
        <v/>
      </c>
      <c r="J2869" s="61" t="str">
        <f aca="false">IF(IsPro,IF($D2869="","",IF($F2869="",IFERROR(INDEX(Items!$G$5:$G$504,Q2869),0),$F2869)),"")</f>
        <v/>
      </c>
      <c r="K2869" s="61" t="str">
        <f aca="false">IF(IsPro,IF($D2869="","",ROUND(N($E2869)*J2869*(1-N($G2869)),2)),"")</f>
        <v/>
      </c>
      <c r="L2869" s="62" t="str">
        <f aca="false">IF(IsPro,IF($D2869="","",IFERROR(INDEX(Items!$F$5:$F$504,Q2869),0)),"")</f>
        <v/>
      </c>
      <c r="M2869" s="61" t="str">
        <f aca="false">IF(IsPro,IF($D2869="","",IF(AND(R2869&lt;&gt;"",INDEX(Parties!$E$5:$E$304,R2869)&lt;&gt;"",INDEX(Parties!$E$5:$E$304,R2869)&lt;&gt;HomeState),0,ROUND(K2869*L2869/2,2))),"")</f>
        <v/>
      </c>
      <c r="N2869" s="61" t="str">
        <f aca="false">IF(IsPro,IF($D2869="","",M2869),"")</f>
        <v/>
      </c>
      <c r="O2869" s="61" t="str">
        <f aca="false">IF(IsPro,IF($D2869="","",IF(AND(R2869&lt;&gt;"",INDEX(Parties!$E$5:$E$304,R2869)&lt;&gt;"",INDEX(Parties!$E$5:$E$304,R2869)&lt;&gt;HomeState),ROUND(K2869*L2869,2),0)),"")</f>
        <v/>
      </c>
      <c r="P2869" s="61" t="str">
        <f aca="false">IF(IsPro,IF($D2869="","",K2869+M2869+N2869+O2869),"")</f>
        <v/>
      </c>
      <c r="Q2869" s="60" t="str">
        <f aca="false">IF(IsPro,IF($D2869="","",IFERROR(MATCH($D2869,Items!$A$5:$A$504,0),"")),"")</f>
        <v/>
      </c>
      <c r="R2869" s="60" t="str">
        <f aca="false">IF(IsPro,IF($C2869="","",IFERROR(MATCH($C2869,Parties!$A$5:$A$304,0),"")),"")</f>
        <v/>
      </c>
      <c r="S2869" s="61" t="str">
        <f aca="false">IF(IsPro,IF($D2869="","",IF(OR($H2869="",$H2869="Credit"),0,P2869)),"")</f>
        <v/>
      </c>
    </row>
    <row r="2870" customFormat="false" ht="15" hidden="false" customHeight="false" outlineLevel="0" collapsed="false">
      <c r="A2870" s="55"/>
      <c r="B2870" s="56"/>
      <c r="C2870" s="56"/>
      <c r="D2870" s="56"/>
      <c r="E2870" s="57"/>
      <c r="F2870" s="58"/>
      <c r="G2870" s="59"/>
      <c r="H2870" s="56"/>
      <c r="I2870" s="60" t="str">
        <f aca="false">IF(IsPro,IF($D2870="","",IFERROR(INDEX(Items!$D$5:$D$504,Q2870),"")),IF($D2870="","","PRO PLAN"))</f>
        <v/>
      </c>
      <c r="J2870" s="61" t="str">
        <f aca="false">IF(IsPro,IF($D2870="","",IF($F2870="",IFERROR(INDEX(Items!$G$5:$G$504,Q2870),0),$F2870)),"")</f>
        <v/>
      </c>
      <c r="K2870" s="61" t="str">
        <f aca="false">IF(IsPro,IF($D2870="","",ROUND(N($E2870)*J2870*(1-N($G2870)),2)),"")</f>
        <v/>
      </c>
      <c r="L2870" s="62" t="str">
        <f aca="false">IF(IsPro,IF($D2870="","",IFERROR(INDEX(Items!$F$5:$F$504,Q2870),0)),"")</f>
        <v/>
      </c>
      <c r="M2870" s="61" t="str">
        <f aca="false">IF(IsPro,IF($D2870="","",IF(AND(R2870&lt;&gt;"",INDEX(Parties!$E$5:$E$304,R2870)&lt;&gt;"",INDEX(Parties!$E$5:$E$304,R2870)&lt;&gt;HomeState),0,ROUND(K2870*L2870/2,2))),"")</f>
        <v/>
      </c>
      <c r="N2870" s="61" t="str">
        <f aca="false">IF(IsPro,IF($D2870="","",M2870),"")</f>
        <v/>
      </c>
      <c r="O2870" s="61" t="str">
        <f aca="false">IF(IsPro,IF($D2870="","",IF(AND(R2870&lt;&gt;"",INDEX(Parties!$E$5:$E$304,R2870)&lt;&gt;"",INDEX(Parties!$E$5:$E$304,R2870)&lt;&gt;HomeState),ROUND(K2870*L2870,2),0)),"")</f>
        <v/>
      </c>
      <c r="P2870" s="61" t="str">
        <f aca="false">IF(IsPro,IF($D2870="","",K2870+M2870+N2870+O2870),"")</f>
        <v/>
      </c>
      <c r="Q2870" s="60" t="str">
        <f aca="false">IF(IsPro,IF($D2870="","",IFERROR(MATCH($D2870,Items!$A$5:$A$504,0),"")),"")</f>
        <v/>
      </c>
      <c r="R2870" s="60" t="str">
        <f aca="false">IF(IsPro,IF($C2870="","",IFERROR(MATCH($C2870,Parties!$A$5:$A$304,0),"")),"")</f>
        <v/>
      </c>
      <c r="S2870" s="61" t="str">
        <f aca="false">IF(IsPro,IF($D2870="","",IF(OR($H2870="",$H2870="Credit"),0,P2870)),"")</f>
        <v/>
      </c>
    </row>
    <row r="2871" customFormat="false" ht="15" hidden="false" customHeight="false" outlineLevel="0" collapsed="false">
      <c r="A2871" s="55"/>
      <c r="B2871" s="56"/>
      <c r="C2871" s="56"/>
      <c r="D2871" s="56"/>
      <c r="E2871" s="57"/>
      <c r="F2871" s="58"/>
      <c r="G2871" s="59"/>
      <c r="H2871" s="56"/>
      <c r="I2871" s="60" t="str">
        <f aca="false">IF(IsPro,IF($D2871="","",IFERROR(INDEX(Items!$D$5:$D$504,Q2871),"")),IF($D2871="","","PRO PLAN"))</f>
        <v/>
      </c>
      <c r="J2871" s="61" t="str">
        <f aca="false">IF(IsPro,IF($D2871="","",IF($F2871="",IFERROR(INDEX(Items!$G$5:$G$504,Q2871),0),$F2871)),"")</f>
        <v/>
      </c>
      <c r="K2871" s="61" t="str">
        <f aca="false">IF(IsPro,IF($D2871="","",ROUND(N($E2871)*J2871*(1-N($G2871)),2)),"")</f>
        <v/>
      </c>
      <c r="L2871" s="62" t="str">
        <f aca="false">IF(IsPro,IF($D2871="","",IFERROR(INDEX(Items!$F$5:$F$504,Q2871),0)),"")</f>
        <v/>
      </c>
      <c r="M2871" s="61" t="str">
        <f aca="false">IF(IsPro,IF($D2871="","",IF(AND(R2871&lt;&gt;"",INDEX(Parties!$E$5:$E$304,R2871)&lt;&gt;"",INDEX(Parties!$E$5:$E$304,R2871)&lt;&gt;HomeState),0,ROUND(K2871*L2871/2,2))),"")</f>
        <v/>
      </c>
      <c r="N2871" s="61" t="str">
        <f aca="false">IF(IsPro,IF($D2871="","",M2871),"")</f>
        <v/>
      </c>
      <c r="O2871" s="61" t="str">
        <f aca="false">IF(IsPro,IF($D2871="","",IF(AND(R2871&lt;&gt;"",INDEX(Parties!$E$5:$E$304,R2871)&lt;&gt;"",INDEX(Parties!$E$5:$E$304,R2871)&lt;&gt;HomeState),ROUND(K2871*L2871,2),0)),"")</f>
        <v/>
      </c>
      <c r="P2871" s="61" t="str">
        <f aca="false">IF(IsPro,IF($D2871="","",K2871+M2871+N2871+O2871),"")</f>
        <v/>
      </c>
      <c r="Q2871" s="60" t="str">
        <f aca="false">IF(IsPro,IF($D2871="","",IFERROR(MATCH($D2871,Items!$A$5:$A$504,0),"")),"")</f>
        <v/>
      </c>
      <c r="R2871" s="60" t="str">
        <f aca="false">IF(IsPro,IF($C2871="","",IFERROR(MATCH($C2871,Parties!$A$5:$A$304,0),"")),"")</f>
        <v/>
      </c>
      <c r="S2871" s="61" t="str">
        <f aca="false">IF(IsPro,IF($D2871="","",IF(OR($H2871="",$H2871="Credit"),0,P2871)),"")</f>
        <v/>
      </c>
    </row>
    <row r="2872" customFormat="false" ht="15" hidden="false" customHeight="false" outlineLevel="0" collapsed="false">
      <c r="A2872" s="55"/>
      <c r="B2872" s="56"/>
      <c r="C2872" s="56"/>
      <c r="D2872" s="56"/>
      <c r="E2872" s="57"/>
      <c r="F2872" s="58"/>
      <c r="G2872" s="59"/>
      <c r="H2872" s="56"/>
      <c r="I2872" s="60" t="str">
        <f aca="false">IF(IsPro,IF($D2872="","",IFERROR(INDEX(Items!$D$5:$D$504,Q2872),"")),IF($D2872="","","PRO PLAN"))</f>
        <v/>
      </c>
      <c r="J2872" s="61" t="str">
        <f aca="false">IF(IsPro,IF($D2872="","",IF($F2872="",IFERROR(INDEX(Items!$G$5:$G$504,Q2872),0),$F2872)),"")</f>
        <v/>
      </c>
      <c r="K2872" s="61" t="str">
        <f aca="false">IF(IsPro,IF($D2872="","",ROUND(N($E2872)*J2872*(1-N($G2872)),2)),"")</f>
        <v/>
      </c>
      <c r="L2872" s="62" t="str">
        <f aca="false">IF(IsPro,IF($D2872="","",IFERROR(INDEX(Items!$F$5:$F$504,Q2872),0)),"")</f>
        <v/>
      </c>
      <c r="M2872" s="61" t="str">
        <f aca="false">IF(IsPro,IF($D2872="","",IF(AND(R2872&lt;&gt;"",INDEX(Parties!$E$5:$E$304,R2872)&lt;&gt;"",INDEX(Parties!$E$5:$E$304,R2872)&lt;&gt;HomeState),0,ROUND(K2872*L2872/2,2))),"")</f>
        <v/>
      </c>
      <c r="N2872" s="61" t="str">
        <f aca="false">IF(IsPro,IF($D2872="","",M2872),"")</f>
        <v/>
      </c>
      <c r="O2872" s="61" t="str">
        <f aca="false">IF(IsPro,IF($D2872="","",IF(AND(R2872&lt;&gt;"",INDEX(Parties!$E$5:$E$304,R2872)&lt;&gt;"",INDEX(Parties!$E$5:$E$304,R2872)&lt;&gt;HomeState),ROUND(K2872*L2872,2),0)),"")</f>
        <v/>
      </c>
      <c r="P2872" s="61" t="str">
        <f aca="false">IF(IsPro,IF($D2872="","",K2872+M2872+N2872+O2872),"")</f>
        <v/>
      </c>
      <c r="Q2872" s="60" t="str">
        <f aca="false">IF(IsPro,IF($D2872="","",IFERROR(MATCH($D2872,Items!$A$5:$A$504,0),"")),"")</f>
        <v/>
      </c>
      <c r="R2872" s="60" t="str">
        <f aca="false">IF(IsPro,IF($C2872="","",IFERROR(MATCH($C2872,Parties!$A$5:$A$304,0),"")),"")</f>
        <v/>
      </c>
      <c r="S2872" s="61" t="str">
        <f aca="false">IF(IsPro,IF($D2872="","",IF(OR($H2872="",$H2872="Credit"),0,P2872)),"")</f>
        <v/>
      </c>
    </row>
    <row r="2873" customFormat="false" ht="15" hidden="false" customHeight="false" outlineLevel="0" collapsed="false">
      <c r="A2873" s="55"/>
      <c r="B2873" s="56"/>
      <c r="C2873" s="56"/>
      <c r="D2873" s="56"/>
      <c r="E2873" s="57"/>
      <c r="F2873" s="58"/>
      <c r="G2873" s="59"/>
      <c r="H2873" s="56"/>
      <c r="I2873" s="60" t="str">
        <f aca="false">IF(IsPro,IF($D2873="","",IFERROR(INDEX(Items!$D$5:$D$504,Q2873),"")),IF($D2873="","","PRO PLAN"))</f>
        <v/>
      </c>
      <c r="J2873" s="61" t="str">
        <f aca="false">IF(IsPro,IF($D2873="","",IF($F2873="",IFERROR(INDEX(Items!$G$5:$G$504,Q2873),0),$F2873)),"")</f>
        <v/>
      </c>
      <c r="K2873" s="61" t="str">
        <f aca="false">IF(IsPro,IF($D2873="","",ROUND(N($E2873)*J2873*(1-N($G2873)),2)),"")</f>
        <v/>
      </c>
      <c r="L2873" s="62" t="str">
        <f aca="false">IF(IsPro,IF($D2873="","",IFERROR(INDEX(Items!$F$5:$F$504,Q2873),0)),"")</f>
        <v/>
      </c>
      <c r="M2873" s="61" t="str">
        <f aca="false">IF(IsPro,IF($D2873="","",IF(AND(R2873&lt;&gt;"",INDEX(Parties!$E$5:$E$304,R2873)&lt;&gt;"",INDEX(Parties!$E$5:$E$304,R2873)&lt;&gt;HomeState),0,ROUND(K2873*L2873/2,2))),"")</f>
        <v/>
      </c>
      <c r="N2873" s="61" t="str">
        <f aca="false">IF(IsPro,IF($D2873="","",M2873),"")</f>
        <v/>
      </c>
      <c r="O2873" s="61" t="str">
        <f aca="false">IF(IsPro,IF($D2873="","",IF(AND(R2873&lt;&gt;"",INDEX(Parties!$E$5:$E$304,R2873)&lt;&gt;"",INDEX(Parties!$E$5:$E$304,R2873)&lt;&gt;HomeState),ROUND(K2873*L2873,2),0)),"")</f>
        <v/>
      </c>
      <c r="P2873" s="61" t="str">
        <f aca="false">IF(IsPro,IF($D2873="","",K2873+M2873+N2873+O2873),"")</f>
        <v/>
      </c>
      <c r="Q2873" s="60" t="str">
        <f aca="false">IF(IsPro,IF($D2873="","",IFERROR(MATCH($D2873,Items!$A$5:$A$504,0),"")),"")</f>
        <v/>
      </c>
      <c r="R2873" s="60" t="str">
        <f aca="false">IF(IsPro,IF($C2873="","",IFERROR(MATCH($C2873,Parties!$A$5:$A$304,0),"")),"")</f>
        <v/>
      </c>
      <c r="S2873" s="61" t="str">
        <f aca="false">IF(IsPro,IF($D2873="","",IF(OR($H2873="",$H2873="Credit"),0,P2873)),"")</f>
        <v/>
      </c>
    </row>
    <row r="2874" customFormat="false" ht="15" hidden="false" customHeight="false" outlineLevel="0" collapsed="false">
      <c r="A2874" s="55"/>
      <c r="B2874" s="56"/>
      <c r="C2874" s="56"/>
      <c r="D2874" s="56"/>
      <c r="E2874" s="57"/>
      <c r="F2874" s="58"/>
      <c r="G2874" s="59"/>
      <c r="H2874" s="56"/>
      <c r="I2874" s="60" t="str">
        <f aca="false">IF(IsPro,IF($D2874="","",IFERROR(INDEX(Items!$D$5:$D$504,Q2874),"")),IF($D2874="","","PRO PLAN"))</f>
        <v/>
      </c>
      <c r="J2874" s="61" t="str">
        <f aca="false">IF(IsPro,IF($D2874="","",IF($F2874="",IFERROR(INDEX(Items!$G$5:$G$504,Q2874),0),$F2874)),"")</f>
        <v/>
      </c>
      <c r="K2874" s="61" t="str">
        <f aca="false">IF(IsPro,IF($D2874="","",ROUND(N($E2874)*J2874*(1-N($G2874)),2)),"")</f>
        <v/>
      </c>
      <c r="L2874" s="62" t="str">
        <f aca="false">IF(IsPro,IF($D2874="","",IFERROR(INDEX(Items!$F$5:$F$504,Q2874),0)),"")</f>
        <v/>
      </c>
      <c r="M2874" s="61" t="str">
        <f aca="false">IF(IsPro,IF($D2874="","",IF(AND(R2874&lt;&gt;"",INDEX(Parties!$E$5:$E$304,R2874)&lt;&gt;"",INDEX(Parties!$E$5:$E$304,R2874)&lt;&gt;HomeState),0,ROUND(K2874*L2874/2,2))),"")</f>
        <v/>
      </c>
      <c r="N2874" s="61" t="str">
        <f aca="false">IF(IsPro,IF($D2874="","",M2874),"")</f>
        <v/>
      </c>
      <c r="O2874" s="61" t="str">
        <f aca="false">IF(IsPro,IF($D2874="","",IF(AND(R2874&lt;&gt;"",INDEX(Parties!$E$5:$E$304,R2874)&lt;&gt;"",INDEX(Parties!$E$5:$E$304,R2874)&lt;&gt;HomeState),ROUND(K2874*L2874,2),0)),"")</f>
        <v/>
      </c>
      <c r="P2874" s="61" t="str">
        <f aca="false">IF(IsPro,IF($D2874="","",K2874+M2874+N2874+O2874),"")</f>
        <v/>
      </c>
      <c r="Q2874" s="60" t="str">
        <f aca="false">IF(IsPro,IF($D2874="","",IFERROR(MATCH($D2874,Items!$A$5:$A$504,0),"")),"")</f>
        <v/>
      </c>
      <c r="R2874" s="60" t="str">
        <f aca="false">IF(IsPro,IF($C2874="","",IFERROR(MATCH($C2874,Parties!$A$5:$A$304,0),"")),"")</f>
        <v/>
      </c>
      <c r="S2874" s="61" t="str">
        <f aca="false">IF(IsPro,IF($D2874="","",IF(OR($H2874="",$H2874="Credit"),0,P2874)),"")</f>
        <v/>
      </c>
    </row>
    <row r="2875" customFormat="false" ht="15" hidden="false" customHeight="false" outlineLevel="0" collapsed="false">
      <c r="A2875" s="55"/>
      <c r="B2875" s="56"/>
      <c r="C2875" s="56"/>
      <c r="D2875" s="56"/>
      <c r="E2875" s="57"/>
      <c r="F2875" s="58"/>
      <c r="G2875" s="59"/>
      <c r="H2875" s="56"/>
      <c r="I2875" s="60" t="str">
        <f aca="false">IF(IsPro,IF($D2875="","",IFERROR(INDEX(Items!$D$5:$D$504,Q2875),"")),IF($D2875="","","PRO PLAN"))</f>
        <v/>
      </c>
      <c r="J2875" s="61" t="str">
        <f aca="false">IF(IsPro,IF($D2875="","",IF($F2875="",IFERROR(INDEX(Items!$G$5:$G$504,Q2875),0),$F2875)),"")</f>
        <v/>
      </c>
      <c r="K2875" s="61" t="str">
        <f aca="false">IF(IsPro,IF($D2875="","",ROUND(N($E2875)*J2875*(1-N($G2875)),2)),"")</f>
        <v/>
      </c>
      <c r="L2875" s="62" t="str">
        <f aca="false">IF(IsPro,IF($D2875="","",IFERROR(INDEX(Items!$F$5:$F$504,Q2875),0)),"")</f>
        <v/>
      </c>
      <c r="M2875" s="61" t="str">
        <f aca="false">IF(IsPro,IF($D2875="","",IF(AND(R2875&lt;&gt;"",INDEX(Parties!$E$5:$E$304,R2875)&lt;&gt;"",INDEX(Parties!$E$5:$E$304,R2875)&lt;&gt;HomeState),0,ROUND(K2875*L2875/2,2))),"")</f>
        <v/>
      </c>
      <c r="N2875" s="61" t="str">
        <f aca="false">IF(IsPro,IF($D2875="","",M2875),"")</f>
        <v/>
      </c>
      <c r="O2875" s="61" t="str">
        <f aca="false">IF(IsPro,IF($D2875="","",IF(AND(R2875&lt;&gt;"",INDEX(Parties!$E$5:$E$304,R2875)&lt;&gt;"",INDEX(Parties!$E$5:$E$304,R2875)&lt;&gt;HomeState),ROUND(K2875*L2875,2),0)),"")</f>
        <v/>
      </c>
      <c r="P2875" s="61" t="str">
        <f aca="false">IF(IsPro,IF($D2875="","",K2875+M2875+N2875+O2875),"")</f>
        <v/>
      </c>
      <c r="Q2875" s="60" t="str">
        <f aca="false">IF(IsPro,IF($D2875="","",IFERROR(MATCH($D2875,Items!$A$5:$A$504,0),"")),"")</f>
        <v/>
      </c>
      <c r="R2875" s="60" t="str">
        <f aca="false">IF(IsPro,IF($C2875="","",IFERROR(MATCH($C2875,Parties!$A$5:$A$304,0),"")),"")</f>
        <v/>
      </c>
      <c r="S2875" s="61" t="str">
        <f aca="false">IF(IsPro,IF($D2875="","",IF(OR($H2875="",$H2875="Credit"),0,P2875)),"")</f>
        <v/>
      </c>
    </row>
    <row r="2876" customFormat="false" ht="15" hidden="false" customHeight="false" outlineLevel="0" collapsed="false">
      <c r="A2876" s="55"/>
      <c r="B2876" s="56"/>
      <c r="C2876" s="56"/>
      <c r="D2876" s="56"/>
      <c r="E2876" s="57"/>
      <c r="F2876" s="58"/>
      <c r="G2876" s="59"/>
      <c r="H2876" s="56"/>
      <c r="I2876" s="60" t="str">
        <f aca="false">IF(IsPro,IF($D2876="","",IFERROR(INDEX(Items!$D$5:$D$504,Q2876),"")),IF($D2876="","","PRO PLAN"))</f>
        <v/>
      </c>
      <c r="J2876" s="61" t="str">
        <f aca="false">IF(IsPro,IF($D2876="","",IF($F2876="",IFERROR(INDEX(Items!$G$5:$G$504,Q2876),0),$F2876)),"")</f>
        <v/>
      </c>
      <c r="K2876" s="61" t="str">
        <f aca="false">IF(IsPro,IF($D2876="","",ROUND(N($E2876)*J2876*(1-N($G2876)),2)),"")</f>
        <v/>
      </c>
      <c r="L2876" s="62" t="str">
        <f aca="false">IF(IsPro,IF($D2876="","",IFERROR(INDEX(Items!$F$5:$F$504,Q2876),0)),"")</f>
        <v/>
      </c>
      <c r="M2876" s="61" t="str">
        <f aca="false">IF(IsPro,IF($D2876="","",IF(AND(R2876&lt;&gt;"",INDEX(Parties!$E$5:$E$304,R2876)&lt;&gt;"",INDEX(Parties!$E$5:$E$304,R2876)&lt;&gt;HomeState),0,ROUND(K2876*L2876/2,2))),"")</f>
        <v/>
      </c>
      <c r="N2876" s="61" t="str">
        <f aca="false">IF(IsPro,IF($D2876="","",M2876),"")</f>
        <v/>
      </c>
      <c r="O2876" s="61" t="str">
        <f aca="false">IF(IsPro,IF($D2876="","",IF(AND(R2876&lt;&gt;"",INDEX(Parties!$E$5:$E$304,R2876)&lt;&gt;"",INDEX(Parties!$E$5:$E$304,R2876)&lt;&gt;HomeState),ROUND(K2876*L2876,2),0)),"")</f>
        <v/>
      </c>
      <c r="P2876" s="61" t="str">
        <f aca="false">IF(IsPro,IF($D2876="","",K2876+M2876+N2876+O2876),"")</f>
        <v/>
      </c>
      <c r="Q2876" s="60" t="str">
        <f aca="false">IF(IsPro,IF($D2876="","",IFERROR(MATCH($D2876,Items!$A$5:$A$504,0),"")),"")</f>
        <v/>
      </c>
      <c r="R2876" s="60" t="str">
        <f aca="false">IF(IsPro,IF($C2876="","",IFERROR(MATCH($C2876,Parties!$A$5:$A$304,0),"")),"")</f>
        <v/>
      </c>
      <c r="S2876" s="61" t="str">
        <f aca="false">IF(IsPro,IF($D2876="","",IF(OR($H2876="",$H2876="Credit"),0,P2876)),"")</f>
        <v/>
      </c>
    </row>
    <row r="2877" customFormat="false" ht="15" hidden="false" customHeight="false" outlineLevel="0" collapsed="false">
      <c r="A2877" s="55"/>
      <c r="B2877" s="56"/>
      <c r="C2877" s="56"/>
      <c r="D2877" s="56"/>
      <c r="E2877" s="57"/>
      <c r="F2877" s="58"/>
      <c r="G2877" s="59"/>
      <c r="H2877" s="56"/>
      <c r="I2877" s="60" t="str">
        <f aca="false">IF(IsPro,IF($D2877="","",IFERROR(INDEX(Items!$D$5:$D$504,Q2877),"")),IF($D2877="","","PRO PLAN"))</f>
        <v/>
      </c>
      <c r="J2877" s="61" t="str">
        <f aca="false">IF(IsPro,IF($D2877="","",IF($F2877="",IFERROR(INDEX(Items!$G$5:$G$504,Q2877),0),$F2877)),"")</f>
        <v/>
      </c>
      <c r="K2877" s="61" t="str">
        <f aca="false">IF(IsPro,IF($D2877="","",ROUND(N($E2877)*J2877*(1-N($G2877)),2)),"")</f>
        <v/>
      </c>
      <c r="L2877" s="62" t="str">
        <f aca="false">IF(IsPro,IF($D2877="","",IFERROR(INDEX(Items!$F$5:$F$504,Q2877),0)),"")</f>
        <v/>
      </c>
      <c r="M2877" s="61" t="str">
        <f aca="false">IF(IsPro,IF($D2877="","",IF(AND(R2877&lt;&gt;"",INDEX(Parties!$E$5:$E$304,R2877)&lt;&gt;"",INDEX(Parties!$E$5:$E$304,R2877)&lt;&gt;HomeState),0,ROUND(K2877*L2877/2,2))),"")</f>
        <v/>
      </c>
      <c r="N2877" s="61" t="str">
        <f aca="false">IF(IsPro,IF($D2877="","",M2877),"")</f>
        <v/>
      </c>
      <c r="O2877" s="61" t="str">
        <f aca="false">IF(IsPro,IF($D2877="","",IF(AND(R2877&lt;&gt;"",INDEX(Parties!$E$5:$E$304,R2877)&lt;&gt;"",INDEX(Parties!$E$5:$E$304,R2877)&lt;&gt;HomeState),ROUND(K2877*L2877,2),0)),"")</f>
        <v/>
      </c>
      <c r="P2877" s="61" t="str">
        <f aca="false">IF(IsPro,IF($D2877="","",K2877+M2877+N2877+O2877),"")</f>
        <v/>
      </c>
      <c r="Q2877" s="60" t="str">
        <f aca="false">IF(IsPro,IF($D2877="","",IFERROR(MATCH($D2877,Items!$A$5:$A$504,0),"")),"")</f>
        <v/>
      </c>
      <c r="R2877" s="60" t="str">
        <f aca="false">IF(IsPro,IF($C2877="","",IFERROR(MATCH($C2877,Parties!$A$5:$A$304,0),"")),"")</f>
        <v/>
      </c>
      <c r="S2877" s="61" t="str">
        <f aca="false">IF(IsPro,IF($D2877="","",IF(OR($H2877="",$H2877="Credit"),0,P2877)),"")</f>
        <v/>
      </c>
    </row>
    <row r="2878" customFormat="false" ht="15" hidden="false" customHeight="false" outlineLevel="0" collapsed="false">
      <c r="A2878" s="55"/>
      <c r="B2878" s="56"/>
      <c r="C2878" s="56"/>
      <c r="D2878" s="56"/>
      <c r="E2878" s="57"/>
      <c r="F2878" s="58"/>
      <c r="G2878" s="59"/>
      <c r="H2878" s="56"/>
      <c r="I2878" s="60" t="str">
        <f aca="false">IF(IsPro,IF($D2878="","",IFERROR(INDEX(Items!$D$5:$D$504,Q2878),"")),IF($D2878="","","PRO PLAN"))</f>
        <v/>
      </c>
      <c r="J2878" s="61" t="str">
        <f aca="false">IF(IsPro,IF($D2878="","",IF($F2878="",IFERROR(INDEX(Items!$G$5:$G$504,Q2878),0),$F2878)),"")</f>
        <v/>
      </c>
      <c r="K2878" s="61" t="str">
        <f aca="false">IF(IsPro,IF($D2878="","",ROUND(N($E2878)*J2878*(1-N($G2878)),2)),"")</f>
        <v/>
      </c>
      <c r="L2878" s="62" t="str">
        <f aca="false">IF(IsPro,IF($D2878="","",IFERROR(INDEX(Items!$F$5:$F$504,Q2878),0)),"")</f>
        <v/>
      </c>
      <c r="M2878" s="61" t="str">
        <f aca="false">IF(IsPro,IF($D2878="","",IF(AND(R2878&lt;&gt;"",INDEX(Parties!$E$5:$E$304,R2878)&lt;&gt;"",INDEX(Parties!$E$5:$E$304,R2878)&lt;&gt;HomeState),0,ROUND(K2878*L2878/2,2))),"")</f>
        <v/>
      </c>
      <c r="N2878" s="61" t="str">
        <f aca="false">IF(IsPro,IF($D2878="","",M2878),"")</f>
        <v/>
      </c>
      <c r="O2878" s="61" t="str">
        <f aca="false">IF(IsPro,IF($D2878="","",IF(AND(R2878&lt;&gt;"",INDEX(Parties!$E$5:$E$304,R2878)&lt;&gt;"",INDEX(Parties!$E$5:$E$304,R2878)&lt;&gt;HomeState),ROUND(K2878*L2878,2),0)),"")</f>
        <v/>
      </c>
      <c r="P2878" s="61" t="str">
        <f aca="false">IF(IsPro,IF($D2878="","",K2878+M2878+N2878+O2878),"")</f>
        <v/>
      </c>
      <c r="Q2878" s="60" t="str">
        <f aca="false">IF(IsPro,IF($D2878="","",IFERROR(MATCH($D2878,Items!$A$5:$A$504,0),"")),"")</f>
        <v/>
      </c>
      <c r="R2878" s="60" t="str">
        <f aca="false">IF(IsPro,IF($C2878="","",IFERROR(MATCH($C2878,Parties!$A$5:$A$304,0),"")),"")</f>
        <v/>
      </c>
      <c r="S2878" s="61" t="str">
        <f aca="false">IF(IsPro,IF($D2878="","",IF(OR($H2878="",$H2878="Credit"),0,P2878)),"")</f>
        <v/>
      </c>
    </row>
    <row r="2879" customFormat="false" ht="15" hidden="false" customHeight="false" outlineLevel="0" collapsed="false">
      <c r="A2879" s="55"/>
      <c r="B2879" s="56"/>
      <c r="C2879" s="56"/>
      <c r="D2879" s="56"/>
      <c r="E2879" s="57"/>
      <c r="F2879" s="58"/>
      <c r="G2879" s="59"/>
      <c r="H2879" s="56"/>
      <c r="I2879" s="60" t="str">
        <f aca="false">IF(IsPro,IF($D2879="","",IFERROR(INDEX(Items!$D$5:$D$504,Q2879),"")),IF($D2879="","","PRO PLAN"))</f>
        <v/>
      </c>
      <c r="J2879" s="61" t="str">
        <f aca="false">IF(IsPro,IF($D2879="","",IF($F2879="",IFERROR(INDEX(Items!$G$5:$G$504,Q2879),0),$F2879)),"")</f>
        <v/>
      </c>
      <c r="K2879" s="61" t="str">
        <f aca="false">IF(IsPro,IF($D2879="","",ROUND(N($E2879)*J2879*(1-N($G2879)),2)),"")</f>
        <v/>
      </c>
      <c r="L2879" s="62" t="str">
        <f aca="false">IF(IsPro,IF($D2879="","",IFERROR(INDEX(Items!$F$5:$F$504,Q2879),0)),"")</f>
        <v/>
      </c>
      <c r="M2879" s="61" t="str">
        <f aca="false">IF(IsPro,IF($D2879="","",IF(AND(R2879&lt;&gt;"",INDEX(Parties!$E$5:$E$304,R2879)&lt;&gt;"",INDEX(Parties!$E$5:$E$304,R2879)&lt;&gt;HomeState),0,ROUND(K2879*L2879/2,2))),"")</f>
        <v/>
      </c>
      <c r="N2879" s="61" t="str">
        <f aca="false">IF(IsPro,IF($D2879="","",M2879),"")</f>
        <v/>
      </c>
      <c r="O2879" s="61" t="str">
        <f aca="false">IF(IsPro,IF($D2879="","",IF(AND(R2879&lt;&gt;"",INDEX(Parties!$E$5:$E$304,R2879)&lt;&gt;"",INDEX(Parties!$E$5:$E$304,R2879)&lt;&gt;HomeState),ROUND(K2879*L2879,2),0)),"")</f>
        <v/>
      </c>
      <c r="P2879" s="61" t="str">
        <f aca="false">IF(IsPro,IF($D2879="","",K2879+M2879+N2879+O2879),"")</f>
        <v/>
      </c>
      <c r="Q2879" s="60" t="str">
        <f aca="false">IF(IsPro,IF($D2879="","",IFERROR(MATCH($D2879,Items!$A$5:$A$504,0),"")),"")</f>
        <v/>
      </c>
      <c r="R2879" s="60" t="str">
        <f aca="false">IF(IsPro,IF($C2879="","",IFERROR(MATCH($C2879,Parties!$A$5:$A$304,0),"")),"")</f>
        <v/>
      </c>
      <c r="S2879" s="61" t="str">
        <f aca="false">IF(IsPro,IF($D2879="","",IF(OR($H2879="",$H2879="Credit"),0,P2879)),"")</f>
        <v/>
      </c>
    </row>
    <row r="2880" customFormat="false" ht="15" hidden="false" customHeight="false" outlineLevel="0" collapsed="false">
      <c r="A2880" s="55"/>
      <c r="B2880" s="56"/>
      <c r="C2880" s="56"/>
      <c r="D2880" s="56"/>
      <c r="E2880" s="57"/>
      <c r="F2880" s="58"/>
      <c r="G2880" s="59"/>
      <c r="H2880" s="56"/>
      <c r="I2880" s="60" t="str">
        <f aca="false">IF(IsPro,IF($D2880="","",IFERROR(INDEX(Items!$D$5:$D$504,Q2880),"")),IF($D2880="","","PRO PLAN"))</f>
        <v/>
      </c>
      <c r="J2880" s="61" t="str">
        <f aca="false">IF(IsPro,IF($D2880="","",IF($F2880="",IFERROR(INDEX(Items!$G$5:$G$504,Q2880),0),$F2880)),"")</f>
        <v/>
      </c>
      <c r="K2880" s="61" t="str">
        <f aca="false">IF(IsPro,IF($D2880="","",ROUND(N($E2880)*J2880*(1-N($G2880)),2)),"")</f>
        <v/>
      </c>
      <c r="L2880" s="62" t="str">
        <f aca="false">IF(IsPro,IF($D2880="","",IFERROR(INDEX(Items!$F$5:$F$504,Q2880),0)),"")</f>
        <v/>
      </c>
      <c r="M2880" s="61" t="str">
        <f aca="false">IF(IsPro,IF($D2880="","",IF(AND(R2880&lt;&gt;"",INDEX(Parties!$E$5:$E$304,R2880)&lt;&gt;"",INDEX(Parties!$E$5:$E$304,R2880)&lt;&gt;HomeState),0,ROUND(K2880*L2880/2,2))),"")</f>
        <v/>
      </c>
      <c r="N2880" s="61" t="str">
        <f aca="false">IF(IsPro,IF($D2880="","",M2880),"")</f>
        <v/>
      </c>
      <c r="O2880" s="61" t="str">
        <f aca="false">IF(IsPro,IF($D2880="","",IF(AND(R2880&lt;&gt;"",INDEX(Parties!$E$5:$E$304,R2880)&lt;&gt;"",INDEX(Parties!$E$5:$E$304,R2880)&lt;&gt;HomeState),ROUND(K2880*L2880,2),0)),"")</f>
        <v/>
      </c>
      <c r="P2880" s="61" t="str">
        <f aca="false">IF(IsPro,IF($D2880="","",K2880+M2880+N2880+O2880),"")</f>
        <v/>
      </c>
      <c r="Q2880" s="60" t="str">
        <f aca="false">IF(IsPro,IF($D2880="","",IFERROR(MATCH($D2880,Items!$A$5:$A$504,0),"")),"")</f>
        <v/>
      </c>
      <c r="R2880" s="60" t="str">
        <f aca="false">IF(IsPro,IF($C2880="","",IFERROR(MATCH($C2880,Parties!$A$5:$A$304,0),"")),"")</f>
        <v/>
      </c>
      <c r="S2880" s="61" t="str">
        <f aca="false">IF(IsPro,IF($D2880="","",IF(OR($H2880="",$H2880="Credit"),0,P2880)),"")</f>
        <v/>
      </c>
    </row>
    <row r="2881" customFormat="false" ht="15" hidden="false" customHeight="false" outlineLevel="0" collapsed="false">
      <c r="A2881" s="55"/>
      <c r="B2881" s="56"/>
      <c r="C2881" s="56"/>
      <c r="D2881" s="56"/>
      <c r="E2881" s="57"/>
      <c r="F2881" s="58"/>
      <c r="G2881" s="59"/>
      <c r="H2881" s="56"/>
      <c r="I2881" s="60" t="str">
        <f aca="false">IF(IsPro,IF($D2881="","",IFERROR(INDEX(Items!$D$5:$D$504,Q2881),"")),IF($D2881="","","PRO PLAN"))</f>
        <v/>
      </c>
      <c r="J2881" s="61" t="str">
        <f aca="false">IF(IsPro,IF($D2881="","",IF($F2881="",IFERROR(INDEX(Items!$G$5:$G$504,Q2881),0),$F2881)),"")</f>
        <v/>
      </c>
      <c r="K2881" s="61" t="str">
        <f aca="false">IF(IsPro,IF($D2881="","",ROUND(N($E2881)*J2881*(1-N($G2881)),2)),"")</f>
        <v/>
      </c>
      <c r="L2881" s="62" t="str">
        <f aca="false">IF(IsPro,IF($D2881="","",IFERROR(INDEX(Items!$F$5:$F$504,Q2881),0)),"")</f>
        <v/>
      </c>
      <c r="M2881" s="61" t="str">
        <f aca="false">IF(IsPro,IF($D2881="","",IF(AND(R2881&lt;&gt;"",INDEX(Parties!$E$5:$E$304,R2881)&lt;&gt;"",INDEX(Parties!$E$5:$E$304,R2881)&lt;&gt;HomeState),0,ROUND(K2881*L2881/2,2))),"")</f>
        <v/>
      </c>
      <c r="N2881" s="61" t="str">
        <f aca="false">IF(IsPro,IF($D2881="","",M2881),"")</f>
        <v/>
      </c>
      <c r="O2881" s="61" t="str">
        <f aca="false">IF(IsPro,IF($D2881="","",IF(AND(R2881&lt;&gt;"",INDEX(Parties!$E$5:$E$304,R2881)&lt;&gt;"",INDEX(Parties!$E$5:$E$304,R2881)&lt;&gt;HomeState),ROUND(K2881*L2881,2),0)),"")</f>
        <v/>
      </c>
      <c r="P2881" s="61" t="str">
        <f aca="false">IF(IsPro,IF($D2881="","",K2881+M2881+N2881+O2881),"")</f>
        <v/>
      </c>
      <c r="Q2881" s="60" t="str">
        <f aca="false">IF(IsPro,IF($D2881="","",IFERROR(MATCH($D2881,Items!$A$5:$A$504,0),"")),"")</f>
        <v/>
      </c>
      <c r="R2881" s="60" t="str">
        <f aca="false">IF(IsPro,IF($C2881="","",IFERROR(MATCH($C2881,Parties!$A$5:$A$304,0),"")),"")</f>
        <v/>
      </c>
      <c r="S2881" s="61" t="str">
        <f aca="false">IF(IsPro,IF($D2881="","",IF(OR($H2881="",$H2881="Credit"),0,P2881)),"")</f>
        <v/>
      </c>
    </row>
    <row r="2882" customFormat="false" ht="15" hidden="false" customHeight="false" outlineLevel="0" collapsed="false">
      <c r="A2882" s="55"/>
      <c r="B2882" s="56"/>
      <c r="C2882" s="56"/>
      <c r="D2882" s="56"/>
      <c r="E2882" s="57"/>
      <c r="F2882" s="58"/>
      <c r="G2882" s="59"/>
      <c r="H2882" s="56"/>
      <c r="I2882" s="60" t="str">
        <f aca="false">IF(IsPro,IF($D2882="","",IFERROR(INDEX(Items!$D$5:$D$504,Q2882),"")),IF($D2882="","","PRO PLAN"))</f>
        <v/>
      </c>
      <c r="J2882" s="61" t="str">
        <f aca="false">IF(IsPro,IF($D2882="","",IF($F2882="",IFERROR(INDEX(Items!$G$5:$G$504,Q2882),0),$F2882)),"")</f>
        <v/>
      </c>
      <c r="K2882" s="61" t="str">
        <f aca="false">IF(IsPro,IF($D2882="","",ROUND(N($E2882)*J2882*(1-N($G2882)),2)),"")</f>
        <v/>
      </c>
      <c r="L2882" s="62" t="str">
        <f aca="false">IF(IsPro,IF($D2882="","",IFERROR(INDEX(Items!$F$5:$F$504,Q2882),0)),"")</f>
        <v/>
      </c>
      <c r="M2882" s="61" t="str">
        <f aca="false">IF(IsPro,IF($D2882="","",IF(AND(R2882&lt;&gt;"",INDEX(Parties!$E$5:$E$304,R2882)&lt;&gt;"",INDEX(Parties!$E$5:$E$304,R2882)&lt;&gt;HomeState),0,ROUND(K2882*L2882/2,2))),"")</f>
        <v/>
      </c>
      <c r="N2882" s="61" t="str">
        <f aca="false">IF(IsPro,IF($D2882="","",M2882),"")</f>
        <v/>
      </c>
      <c r="O2882" s="61" t="str">
        <f aca="false">IF(IsPro,IF($D2882="","",IF(AND(R2882&lt;&gt;"",INDEX(Parties!$E$5:$E$304,R2882)&lt;&gt;"",INDEX(Parties!$E$5:$E$304,R2882)&lt;&gt;HomeState),ROUND(K2882*L2882,2),0)),"")</f>
        <v/>
      </c>
      <c r="P2882" s="61" t="str">
        <f aca="false">IF(IsPro,IF($D2882="","",K2882+M2882+N2882+O2882),"")</f>
        <v/>
      </c>
      <c r="Q2882" s="60" t="str">
        <f aca="false">IF(IsPro,IF($D2882="","",IFERROR(MATCH($D2882,Items!$A$5:$A$504,0),"")),"")</f>
        <v/>
      </c>
      <c r="R2882" s="60" t="str">
        <f aca="false">IF(IsPro,IF($C2882="","",IFERROR(MATCH($C2882,Parties!$A$5:$A$304,0),"")),"")</f>
        <v/>
      </c>
      <c r="S2882" s="61" t="str">
        <f aca="false">IF(IsPro,IF($D2882="","",IF(OR($H2882="",$H2882="Credit"),0,P2882)),"")</f>
        <v/>
      </c>
    </row>
    <row r="2883" customFormat="false" ht="15" hidden="false" customHeight="false" outlineLevel="0" collapsed="false">
      <c r="A2883" s="55"/>
      <c r="B2883" s="56"/>
      <c r="C2883" s="56"/>
      <c r="D2883" s="56"/>
      <c r="E2883" s="57"/>
      <c r="F2883" s="58"/>
      <c r="G2883" s="59"/>
      <c r="H2883" s="56"/>
      <c r="I2883" s="60" t="str">
        <f aca="false">IF(IsPro,IF($D2883="","",IFERROR(INDEX(Items!$D$5:$D$504,Q2883),"")),IF($D2883="","","PRO PLAN"))</f>
        <v/>
      </c>
      <c r="J2883" s="61" t="str">
        <f aca="false">IF(IsPro,IF($D2883="","",IF($F2883="",IFERROR(INDEX(Items!$G$5:$G$504,Q2883),0),$F2883)),"")</f>
        <v/>
      </c>
      <c r="K2883" s="61" t="str">
        <f aca="false">IF(IsPro,IF($D2883="","",ROUND(N($E2883)*J2883*(1-N($G2883)),2)),"")</f>
        <v/>
      </c>
      <c r="L2883" s="62" t="str">
        <f aca="false">IF(IsPro,IF($D2883="","",IFERROR(INDEX(Items!$F$5:$F$504,Q2883),0)),"")</f>
        <v/>
      </c>
      <c r="M2883" s="61" t="str">
        <f aca="false">IF(IsPro,IF($D2883="","",IF(AND(R2883&lt;&gt;"",INDEX(Parties!$E$5:$E$304,R2883)&lt;&gt;"",INDEX(Parties!$E$5:$E$304,R2883)&lt;&gt;HomeState),0,ROUND(K2883*L2883/2,2))),"")</f>
        <v/>
      </c>
      <c r="N2883" s="61" t="str">
        <f aca="false">IF(IsPro,IF($D2883="","",M2883),"")</f>
        <v/>
      </c>
      <c r="O2883" s="61" t="str">
        <f aca="false">IF(IsPro,IF($D2883="","",IF(AND(R2883&lt;&gt;"",INDEX(Parties!$E$5:$E$304,R2883)&lt;&gt;"",INDEX(Parties!$E$5:$E$304,R2883)&lt;&gt;HomeState),ROUND(K2883*L2883,2),0)),"")</f>
        <v/>
      </c>
      <c r="P2883" s="61" t="str">
        <f aca="false">IF(IsPro,IF($D2883="","",K2883+M2883+N2883+O2883),"")</f>
        <v/>
      </c>
      <c r="Q2883" s="60" t="str">
        <f aca="false">IF(IsPro,IF($D2883="","",IFERROR(MATCH($D2883,Items!$A$5:$A$504,0),"")),"")</f>
        <v/>
      </c>
      <c r="R2883" s="60" t="str">
        <f aca="false">IF(IsPro,IF($C2883="","",IFERROR(MATCH($C2883,Parties!$A$5:$A$304,0),"")),"")</f>
        <v/>
      </c>
      <c r="S2883" s="61" t="str">
        <f aca="false">IF(IsPro,IF($D2883="","",IF(OR($H2883="",$H2883="Credit"),0,P2883)),"")</f>
        <v/>
      </c>
    </row>
    <row r="2884" customFormat="false" ht="15" hidden="false" customHeight="false" outlineLevel="0" collapsed="false">
      <c r="A2884" s="55"/>
      <c r="B2884" s="56"/>
      <c r="C2884" s="56"/>
      <c r="D2884" s="56"/>
      <c r="E2884" s="57"/>
      <c r="F2884" s="58"/>
      <c r="G2884" s="59"/>
      <c r="H2884" s="56"/>
      <c r="I2884" s="60" t="str">
        <f aca="false">IF(IsPro,IF($D2884="","",IFERROR(INDEX(Items!$D$5:$D$504,Q2884),"")),IF($D2884="","","PRO PLAN"))</f>
        <v/>
      </c>
      <c r="J2884" s="61" t="str">
        <f aca="false">IF(IsPro,IF($D2884="","",IF($F2884="",IFERROR(INDEX(Items!$G$5:$G$504,Q2884),0),$F2884)),"")</f>
        <v/>
      </c>
      <c r="K2884" s="61" t="str">
        <f aca="false">IF(IsPro,IF($D2884="","",ROUND(N($E2884)*J2884*(1-N($G2884)),2)),"")</f>
        <v/>
      </c>
      <c r="L2884" s="62" t="str">
        <f aca="false">IF(IsPro,IF($D2884="","",IFERROR(INDEX(Items!$F$5:$F$504,Q2884),0)),"")</f>
        <v/>
      </c>
      <c r="M2884" s="61" t="str">
        <f aca="false">IF(IsPro,IF($D2884="","",IF(AND(R2884&lt;&gt;"",INDEX(Parties!$E$5:$E$304,R2884)&lt;&gt;"",INDEX(Parties!$E$5:$E$304,R2884)&lt;&gt;HomeState),0,ROUND(K2884*L2884/2,2))),"")</f>
        <v/>
      </c>
      <c r="N2884" s="61" t="str">
        <f aca="false">IF(IsPro,IF($D2884="","",M2884),"")</f>
        <v/>
      </c>
      <c r="O2884" s="61" t="str">
        <f aca="false">IF(IsPro,IF($D2884="","",IF(AND(R2884&lt;&gt;"",INDEX(Parties!$E$5:$E$304,R2884)&lt;&gt;"",INDEX(Parties!$E$5:$E$304,R2884)&lt;&gt;HomeState),ROUND(K2884*L2884,2),0)),"")</f>
        <v/>
      </c>
      <c r="P2884" s="61" t="str">
        <f aca="false">IF(IsPro,IF($D2884="","",K2884+M2884+N2884+O2884),"")</f>
        <v/>
      </c>
      <c r="Q2884" s="60" t="str">
        <f aca="false">IF(IsPro,IF($D2884="","",IFERROR(MATCH($D2884,Items!$A$5:$A$504,0),"")),"")</f>
        <v/>
      </c>
      <c r="R2884" s="60" t="str">
        <f aca="false">IF(IsPro,IF($C2884="","",IFERROR(MATCH($C2884,Parties!$A$5:$A$304,0),"")),"")</f>
        <v/>
      </c>
      <c r="S2884" s="61" t="str">
        <f aca="false">IF(IsPro,IF($D2884="","",IF(OR($H2884="",$H2884="Credit"),0,P2884)),"")</f>
        <v/>
      </c>
    </row>
    <row r="2885" customFormat="false" ht="15" hidden="false" customHeight="false" outlineLevel="0" collapsed="false">
      <c r="A2885" s="55"/>
      <c r="B2885" s="56"/>
      <c r="C2885" s="56"/>
      <c r="D2885" s="56"/>
      <c r="E2885" s="57"/>
      <c r="F2885" s="58"/>
      <c r="G2885" s="59"/>
      <c r="H2885" s="56"/>
      <c r="I2885" s="60" t="str">
        <f aca="false">IF(IsPro,IF($D2885="","",IFERROR(INDEX(Items!$D$5:$D$504,Q2885),"")),IF($D2885="","","PRO PLAN"))</f>
        <v/>
      </c>
      <c r="J2885" s="61" t="str">
        <f aca="false">IF(IsPro,IF($D2885="","",IF($F2885="",IFERROR(INDEX(Items!$G$5:$G$504,Q2885),0),$F2885)),"")</f>
        <v/>
      </c>
      <c r="K2885" s="61" t="str">
        <f aca="false">IF(IsPro,IF($D2885="","",ROUND(N($E2885)*J2885*(1-N($G2885)),2)),"")</f>
        <v/>
      </c>
      <c r="L2885" s="62" t="str">
        <f aca="false">IF(IsPro,IF($D2885="","",IFERROR(INDEX(Items!$F$5:$F$504,Q2885),0)),"")</f>
        <v/>
      </c>
      <c r="M2885" s="61" t="str">
        <f aca="false">IF(IsPro,IF($D2885="","",IF(AND(R2885&lt;&gt;"",INDEX(Parties!$E$5:$E$304,R2885)&lt;&gt;"",INDEX(Parties!$E$5:$E$304,R2885)&lt;&gt;HomeState),0,ROUND(K2885*L2885/2,2))),"")</f>
        <v/>
      </c>
      <c r="N2885" s="61" t="str">
        <f aca="false">IF(IsPro,IF($D2885="","",M2885),"")</f>
        <v/>
      </c>
      <c r="O2885" s="61" t="str">
        <f aca="false">IF(IsPro,IF($D2885="","",IF(AND(R2885&lt;&gt;"",INDEX(Parties!$E$5:$E$304,R2885)&lt;&gt;"",INDEX(Parties!$E$5:$E$304,R2885)&lt;&gt;HomeState),ROUND(K2885*L2885,2),0)),"")</f>
        <v/>
      </c>
      <c r="P2885" s="61" t="str">
        <f aca="false">IF(IsPro,IF($D2885="","",K2885+M2885+N2885+O2885),"")</f>
        <v/>
      </c>
      <c r="Q2885" s="60" t="str">
        <f aca="false">IF(IsPro,IF($D2885="","",IFERROR(MATCH($D2885,Items!$A$5:$A$504,0),"")),"")</f>
        <v/>
      </c>
      <c r="R2885" s="60" t="str">
        <f aca="false">IF(IsPro,IF($C2885="","",IFERROR(MATCH($C2885,Parties!$A$5:$A$304,0),"")),"")</f>
        <v/>
      </c>
      <c r="S2885" s="61" t="str">
        <f aca="false">IF(IsPro,IF($D2885="","",IF(OR($H2885="",$H2885="Credit"),0,P2885)),"")</f>
        <v/>
      </c>
    </row>
    <row r="2886" customFormat="false" ht="15" hidden="false" customHeight="false" outlineLevel="0" collapsed="false">
      <c r="A2886" s="55"/>
      <c r="B2886" s="56"/>
      <c r="C2886" s="56"/>
      <c r="D2886" s="56"/>
      <c r="E2886" s="57"/>
      <c r="F2886" s="58"/>
      <c r="G2886" s="59"/>
      <c r="H2886" s="56"/>
      <c r="I2886" s="60" t="str">
        <f aca="false">IF(IsPro,IF($D2886="","",IFERROR(INDEX(Items!$D$5:$D$504,Q2886),"")),IF($D2886="","","PRO PLAN"))</f>
        <v/>
      </c>
      <c r="J2886" s="61" t="str">
        <f aca="false">IF(IsPro,IF($D2886="","",IF($F2886="",IFERROR(INDEX(Items!$G$5:$G$504,Q2886),0),$F2886)),"")</f>
        <v/>
      </c>
      <c r="K2886" s="61" t="str">
        <f aca="false">IF(IsPro,IF($D2886="","",ROUND(N($E2886)*J2886*(1-N($G2886)),2)),"")</f>
        <v/>
      </c>
      <c r="L2886" s="62" t="str">
        <f aca="false">IF(IsPro,IF($D2886="","",IFERROR(INDEX(Items!$F$5:$F$504,Q2886),0)),"")</f>
        <v/>
      </c>
      <c r="M2886" s="61" t="str">
        <f aca="false">IF(IsPro,IF($D2886="","",IF(AND(R2886&lt;&gt;"",INDEX(Parties!$E$5:$E$304,R2886)&lt;&gt;"",INDEX(Parties!$E$5:$E$304,R2886)&lt;&gt;HomeState),0,ROUND(K2886*L2886/2,2))),"")</f>
        <v/>
      </c>
      <c r="N2886" s="61" t="str">
        <f aca="false">IF(IsPro,IF($D2886="","",M2886),"")</f>
        <v/>
      </c>
      <c r="O2886" s="61" t="str">
        <f aca="false">IF(IsPro,IF($D2886="","",IF(AND(R2886&lt;&gt;"",INDEX(Parties!$E$5:$E$304,R2886)&lt;&gt;"",INDEX(Parties!$E$5:$E$304,R2886)&lt;&gt;HomeState),ROUND(K2886*L2886,2),0)),"")</f>
        <v/>
      </c>
      <c r="P2886" s="61" t="str">
        <f aca="false">IF(IsPro,IF($D2886="","",K2886+M2886+N2886+O2886),"")</f>
        <v/>
      </c>
      <c r="Q2886" s="60" t="str">
        <f aca="false">IF(IsPro,IF($D2886="","",IFERROR(MATCH($D2886,Items!$A$5:$A$504,0),"")),"")</f>
        <v/>
      </c>
      <c r="R2886" s="60" t="str">
        <f aca="false">IF(IsPro,IF($C2886="","",IFERROR(MATCH($C2886,Parties!$A$5:$A$304,0),"")),"")</f>
        <v/>
      </c>
      <c r="S2886" s="61" t="str">
        <f aca="false">IF(IsPro,IF($D2886="","",IF(OR($H2886="",$H2886="Credit"),0,P2886)),"")</f>
        <v/>
      </c>
    </row>
    <row r="2887" customFormat="false" ht="15" hidden="false" customHeight="false" outlineLevel="0" collapsed="false">
      <c r="A2887" s="55"/>
      <c r="B2887" s="56"/>
      <c r="C2887" s="56"/>
      <c r="D2887" s="56"/>
      <c r="E2887" s="57"/>
      <c r="F2887" s="58"/>
      <c r="G2887" s="59"/>
      <c r="H2887" s="56"/>
      <c r="I2887" s="60" t="str">
        <f aca="false">IF(IsPro,IF($D2887="","",IFERROR(INDEX(Items!$D$5:$D$504,Q2887),"")),IF($D2887="","","PRO PLAN"))</f>
        <v/>
      </c>
      <c r="J2887" s="61" t="str">
        <f aca="false">IF(IsPro,IF($D2887="","",IF($F2887="",IFERROR(INDEX(Items!$G$5:$G$504,Q2887),0),$F2887)),"")</f>
        <v/>
      </c>
      <c r="K2887" s="61" t="str">
        <f aca="false">IF(IsPro,IF($D2887="","",ROUND(N($E2887)*J2887*(1-N($G2887)),2)),"")</f>
        <v/>
      </c>
      <c r="L2887" s="62" t="str">
        <f aca="false">IF(IsPro,IF($D2887="","",IFERROR(INDEX(Items!$F$5:$F$504,Q2887),0)),"")</f>
        <v/>
      </c>
      <c r="M2887" s="61" t="str">
        <f aca="false">IF(IsPro,IF($D2887="","",IF(AND(R2887&lt;&gt;"",INDEX(Parties!$E$5:$E$304,R2887)&lt;&gt;"",INDEX(Parties!$E$5:$E$304,R2887)&lt;&gt;HomeState),0,ROUND(K2887*L2887/2,2))),"")</f>
        <v/>
      </c>
      <c r="N2887" s="61" t="str">
        <f aca="false">IF(IsPro,IF($D2887="","",M2887),"")</f>
        <v/>
      </c>
      <c r="O2887" s="61" t="str">
        <f aca="false">IF(IsPro,IF($D2887="","",IF(AND(R2887&lt;&gt;"",INDEX(Parties!$E$5:$E$304,R2887)&lt;&gt;"",INDEX(Parties!$E$5:$E$304,R2887)&lt;&gt;HomeState),ROUND(K2887*L2887,2),0)),"")</f>
        <v/>
      </c>
      <c r="P2887" s="61" t="str">
        <f aca="false">IF(IsPro,IF($D2887="","",K2887+M2887+N2887+O2887),"")</f>
        <v/>
      </c>
      <c r="Q2887" s="60" t="str">
        <f aca="false">IF(IsPro,IF($D2887="","",IFERROR(MATCH($D2887,Items!$A$5:$A$504,0),"")),"")</f>
        <v/>
      </c>
      <c r="R2887" s="60" t="str">
        <f aca="false">IF(IsPro,IF($C2887="","",IFERROR(MATCH($C2887,Parties!$A$5:$A$304,0),"")),"")</f>
        <v/>
      </c>
      <c r="S2887" s="61" t="str">
        <f aca="false">IF(IsPro,IF($D2887="","",IF(OR($H2887="",$H2887="Credit"),0,P2887)),"")</f>
        <v/>
      </c>
    </row>
    <row r="2888" customFormat="false" ht="15" hidden="false" customHeight="false" outlineLevel="0" collapsed="false">
      <c r="A2888" s="55"/>
      <c r="B2888" s="56"/>
      <c r="C2888" s="56"/>
      <c r="D2888" s="56"/>
      <c r="E2888" s="57"/>
      <c r="F2888" s="58"/>
      <c r="G2888" s="59"/>
      <c r="H2888" s="56"/>
      <c r="I2888" s="60" t="str">
        <f aca="false">IF(IsPro,IF($D2888="","",IFERROR(INDEX(Items!$D$5:$D$504,Q2888),"")),IF($D2888="","","PRO PLAN"))</f>
        <v/>
      </c>
      <c r="J2888" s="61" t="str">
        <f aca="false">IF(IsPro,IF($D2888="","",IF($F2888="",IFERROR(INDEX(Items!$G$5:$G$504,Q2888),0),$F2888)),"")</f>
        <v/>
      </c>
      <c r="K2888" s="61" t="str">
        <f aca="false">IF(IsPro,IF($D2888="","",ROUND(N($E2888)*J2888*(1-N($G2888)),2)),"")</f>
        <v/>
      </c>
      <c r="L2888" s="62" t="str">
        <f aca="false">IF(IsPro,IF($D2888="","",IFERROR(INDEX(Items!$F$5:$F$504,Q2888),0)),"")</f>
        <v/>
      </c>
      <c r="M2888" s="61" t="str">
        <f aca="false">IF(IsPro,IF($D2888="","",IF(AND(R2888&lt;&gt;"",INDEX(Parties!$E$5:$E$304,R2888)&lt;&gt;"",INDEX(Parties!$E$5:$E$304,R2888)&lt;&gt;HomeState),0,ROUND(K2888*L2888/2,2))),"")</f>
        <v/>
      </c>
      <c r="N2888" s="61" t="str">
        <f aca="false">IF(IsPro,IF($D2888="","",M2888),"")</f>
        <v/>
      </c>
      <c r="O2888" s="61" t="str">
        <f aca="false">IF(IsPro,IF($D2888="","",IF(AND(R2888&lt;&gt;"",INDEX(Parties!$E$5:$E$304,R2888)&lt;&gt;"",INDEX(Parties!$E$5:$E$304,R2888)&lt;&gt;HomeState),ROUND(K2888*L2888,2),0)),"")</f>
        <v/>
      </c>
      <c r="P2888" s="61" t="str">
        <f aca="false">IF(IsPro,IF($D2888="","",K2888+M2888+N2888+O2888),"")</f>
        <v/>
      </c>
      <c r="Q2888" s="60" t="str">
        <f aca="false">IF(IsPro,IF($D2888="","",IFERROR(MATCH($D2888,Items!$A$5:$A$504,0),"")),"")</f>
        <v/>
      </c>
      <c r="R2888" s="60" t="str">
        <f aca="false">IF(IsPro,IF($C2888="","",IFERROR(MATCH($C2888,Parties!$A$5:$A$304,0),"")),"")</f>
        <v/>
      </c>
      <c r="S2888" s="61" t="str">
        <f aca="false">IF(IsPro,IF($D2888="","",IF(OR($H2888="",$H2888="Credit"),0,P2888)),"")</f>
        <v/>
      </c>
    </row>
    <row r="2889" customFormat="false" ht="15" hidden="false" customHeight="false" outlineLevel="0" collapsed="false">
      <c r="A2889" s="55"/>
      <c r="B2889" s="56"/>
      <c r="C2889" s="56"/>
      <c r="D2889" s="56"/>
      <c r="E2889" s="57"/>
      <c r="F2889" s="58"/>
      <c r="G2889" s="59"/>
      <c r="H2889" s="56"/>
      <c r="I2889" s="60" t="str">
        <f aca="false">IF(IsPro,IF($D2889="","",IFERROR(INDEX(Items!$D$5:$D$504,Q2889),"")),IF($D2889="","","PRO PLAN"))</f>
        <v/>
      </c>
      <c r="J2889" s="61" t="str">
        <f aca="false">IF(IsPro,IF($D2889="","",IF($F2889="",IFERROR(INDEX(Items!$G$5:$G$504,Q2889),0),$F2889)),"")</f>
        <v/>
      </c>
      <c r="K2889" s="61" t="str">
        <f aca="false">IF(IsPro,IF($D2889="","",ROUND(N($E2889)*J2889*(1-N($G2889)),2)),"")</f>
        <v/>
      </c>
      <c r="L2889" s="62" t="str">
        <f aca="false">IF(IsPro,IF($D2889="","",IFERROR(INDEX(Items!$F$5:$F$504,Q2889),0)),"")</f>
        <v/>
      </c>
      <c r="M2889" s="61" t="str">
        <f aca="false">IF(IsPro,IF($D2889="","",IF(AND(R2889&lt;&gt;"",INDEX(Parties!$E$5:$E$304,R2889)&lt;&gt;"",INDEX(Parties!$E$5:$E$304,R2889)&lt;&gt;HomeState),0,ROUND(K2889*L2889/2,2))),"")</f>
        <v/>
      </c>
      <c r="N2889" s="61" t="str">
        <f aca="false">IF(IsPro,IF($D2889="","",M2889),"")</f>
        <v/>
      </c>
      <c r="O2889" s="61" t="str">
        <f aca="false">IF(IsPro,IF($D2889="","",IF(AND(R2889&lt;&gt;"",INDEX(Parties!$E$5:$E$304,R2889)&lt;&gt;"",INDEX(Parties!$E$5:$E$304,R2889)&lt;&gt;HomeState),ROUND(K2889*L2889,2),0)),"")</f>
        <v/>
      </c>
      <c r="P2889" s="61" t="str">
        <f aca="false">IF(IsPro,IF($D2889="","",K2889+M2889+N2889+O2889),"")</f>
        <v/>
      </c>
      <c r="Q2889" s="60" t="str">
        <f aca="false">IF(IsPro,IF($D2889="","",IFERROR(MATCH($D2889,Items!$A$5:$A$504,0),"")),"")</f>
        <v/>
      </c>
      <c r="R2889" s="60" t="str">
        <f aca="false">IF(IsPro,IF($C2889="","",IFERROR(MATCH($C2889,Parties!$A$5:$A$304,0),"")),"")</f>
        <v/>
      </c>
      <c r="S2889" s="61" t="str">
        <f aca="false">IF(IsPro,IF($D2889="","",IF(OR($H2889="",$H2889="Credit"),0,P2889)),"")</f>
        <v/>
      </c>
    </row>
    <row r="2890" customFormat="false" ht="15" hidden="false" customHeight="false" outlineLevel="0" collapsed="false">
      <c r="A2890" s="55"/>
      <c r="B2890" s="56"/>
      <c r="C2890" s="56"/>
      <c r="D2890" s="56"/>
      <c r="E2890" s="57"/>
      <c r="F2890" s="58"/>
      <c r="G2890" s="59"/>
      <c r="H2890" s="56"/>
      <c r="I2890" s="60" t="str">
        <f aca="false">IF(IsPro,IF($D2890="","",IFERROR(INDEX(Items!$D$5:$D$504,Q2890),"")),IF($D2890="","","PRO PLAN"))</f>
        <v/>
      </c>
      <c r="J2890" s="61" t="str">
        <f aca="false">IF(IsPro,IF($D2890="","",IF($F2890="",IFERROR(INDEX(Items!$G$5:$G$504,Q2890),0),$F2890)),"")</f>
        <v/>
      </c>
      <c r="K2890" s="61" t="str">
        <f aca="false">IF(IsPro,IF($D2890="","",ROUND(N($E2890)*J2890*(1-N($G2890)),2)),"")</f>
        <v/>
      </c>
      <c r="L2890" s="62" t="str">
        <f aca="false">IF(IsPro,IF($D2890="","",IFERROR(INDEX(Items!$F$5:$F$504,Q2890),0)),"")</f>
        <v/>
      </c>
      <c r="M2890" s="61" t="str">
        <f aca="false">IF(IsPro,IF($D2890="","",IF(AND(R2890&lt;&gt;"",INDEX(Parties!$E$5:$E$304,R2890)&lt;&gt;"",INDEX(Parties!$E$5:$E$304,R2890)&lt;&gt;HomeState),0,ROUND(K2890*L2890/2,2))),"")</f>
        <v/>
      </c>
      <c r="N2890" s="61" t="str">
        <f aca="false">IF(IsPro,IF($D2890="","",M2890),"")</f>
        <v/>
      </c>
      <c r="O2890" s="61" t="str">
        <f aca="false">IF(IsPro,IF($D2890="","",IF(AND(R2890&lt;&gt;"",INDEX(Parties!$E$5:$E$304,R2890)&lt;&gt;"",INDEX(Parties!$E$5:$E$304,R2890)&lt;&gt;HomeState),ROUND(K2890*L2890,2),0)),"")</f>
        <v/>
      </c>
      <c r="P2890" s="61" t="str">
        <f aca="false">IF(IsPro,IF($D2890="","",K2890+M2890+N2890+O2890),"")</f>
        <v/>
      </c>
      <c r="Q2890" s="60" t="str">
        <f aca="false">IF(IsPro,IF($D2890="","",IFERROR(MATCH($D2890,Items!$A$5:$A$504,0),"")),"")</f>
        <v/>
      </c>
      <c r="R2890" s="60" t="str">
        <f aca="false">IF(IsPro,IF($C2890="","",IFERROR(MATCH($C2890,Parties!$A$5:$A$304,0),"")),"")</f>
        <v/>
      </c>
      <c r="S2890" s="61" t="str">
        <f aca="false">IF(IsPro,IF($D2890="","",IF(OR($H2890="",$H2890="Credit"),0,P2890)),"")</f>
        <v/>
      </c>
    </row>
    <row r="2891" customFormat="false" ht="15" hidden="false" customHeight="false" outlineLevel="0" collapsed="false">
      <c r="A2891" s="55"/>
      <c r="B2891" s="56"/>
      <c r="C2891" s="56"/>
      <c r="D2891" s="56"/>
      <c r="E2891" s="57"/>
      <c r="F2891" s="58"/>
      <c r="G2891" s="59"/>
      <c r="H2891" s="56"/>
      <c r="I2891" s="60" t="str">
        <f aca="false">IF(IsPro,IF($D2891="","",IFERROR(INDEX(Items!$D$5:$D$504,Q2891),"")),IF($D2891="","","PRO PLAN"))</f>
        <v/>
      </c>
      <c r="J2891" s="61" t="str">
        <f aca="false">IF(IsPro,IF($D2891="","",IF($F2891="",IFERROR(INDEX(Items!$G$5:$G$504,Q2891),0),$F2891)),"")</f>
        <v/>
      </c>
      <c r="K2891" s="61" t="str">
        <f aca="false">IF(IsPro,IF($D2891="","",ROUND(N($E2891)*J2891*(1-N($G2891)),2)),"")</f>
        <v/>
      </c>
      <c r="L2891" s="62" t="str">
        <f aca="false">IF(IsPro,IF($D2891="","",IFERROR(INDEX(Items!$F$5:$F$504,Q2891),0)),"")</f>
        <v/>
      </c>
      <c r="M2891" s="61" t="str">
        <f aca="false">IF(IsPro,IF($D2891="","",IF(AND(R2891&lt;&gt;"",INDEX(Parties!$E$5:$E$304,R2891)&lt;&gt;"",INDEX(Parties!$E$5:$E$304,R2891)&lt;&gt;HomeState),0,ROUND(K2891*L2891/2,2))),"")</f>
        <v/>
      </c>
      <c r="N2891" s="61" t="str">
        <f aca="false">IF(IsPro,IF($D2891="","",M2891),"")</f>
        <v/>
      </c>
      <c r="O2891" s="61" t="str">
        <f aca="false">IF(IsPro,IF($D2891="","",IF(AND(R2891&lt;&gt;"",INDEX(Parties!$E$5:$E$304,R2891)&lt;&gt;"",INDEX(Parties!$E$5:$E$304,R2891)&lt;&gt;HomeState),ROUND(K2891*L2891,2),0)),"")</f>
        <v/>
      </c>
      <c r="P2891" s="61" t="str">
        <f aca="false">IF(IsPro,IF($D2891="","",K2891+M2891+N2891+O2891),"")</f>
        <v/>
      </c>
      <c r="Q2891" s="60" t="str">
        <f aca="false">IF(IsPro,IF($D2891="","",IFERROR(MATCH($D2891,Items!$A$5:$A$504,0),"")),"")</f>
        <v/>
      </c>
      <c r="R2891" s="60" t="str">
        <f aca="false">IF(IsPro,IF($C2891="","",IFERROR(MATCH($C2891,Parties!$A$5:$A$304,0),"")),"")</f>
        <v/>
      </c>
      <c r="S2891" s="61" t="str">
        <f aca="false">IF(IsPro,IF($D2891="","",IF(OR($H2891="",$H2891="Credit"),0,P2891)),"")</f>
        <v/>
      </c>
    </row>
    <row r="2892" customFormat="false" ht="15" hidden="false" customHeight="false" outlineLevel="0" collapsed="false">
      <c r="A2892" s="55"/>
      <c r="B2892" s="56"/>
      <c r="C2892" s="56"/>
      <c r="D2892" s="56"/>
      <c r="E2892" s="57"/>
      <c r="F2892" s="58"/>
      <c r="G2892" s="59"/>
      <c r="H2892" s="56"/>
      <c r="I2892" s="60" t="str">
        <f aca="false">IF(IsPro,IF($D2892="","",IFERROR(INDEX(Items!$D$5:$D$504,Q2892),"")),IF($D2892="","","PRO PLAN"))</f>
        <v/>
      </c>
      <c r="J2892" s="61" t="str">
        <f aca="false">IF(IsPro,IF($D2892="","",IF($F2892="",IFERROR(INDEX(Items!$G$5:$G$504,Q2892),0),$F2892)),"")</f>
        <v/>
      </c>
      <c r="K2892" s="61" t="str">
        <f aca="false">IF(IsPro,IF($D2892="","",ROUND(N($E2892)*J2892*(1-N($G2892)),2)),"")</f>
        <v/>
      </c>
      <c r="L2892" s="62" t="str">
        <f aca="false">IF(IsPro,IF($D2892="","",IFERROR(INDEX(Items!$F$5:$F$504,Q2892),0)),"")</f>
        <v/>
      </c>
      <c r="M2892" s="61" t="str">
        <f aca="false">IF(IsPro,IF($D2892="","",IF(AND(R2892&lt;&gt;"",INDEX(Parties!$E$5:$E$304,R2892)&lt;&gt;"",INDEX(Parties!$E$5:$E$304,R2892)&lt;&gt;HomeState),0,ROUND(K2892*L2892/2,2))),"")</f>
        <v/>
      </c>
      <c r="N2892" s="61" t="str">
        <f aca="false">IF(IsPro,IF($D2892="","",M2892),"")</f>
        <v/>
      </c>
      <c r="O2892" s="61" t="str">
        <f aca="false">IF(IsPro,IF($D2892="","",IF(AND(R2892&lt;&gt;"",INDEX(Parties!$E$5:$E$304,R2892)&lt;&gt;"",INDEX(Parties!$E$5:$E$304,R2892)&lt;&gt;HomeState),ROUND(K2892*L2892,2),0)),"")</f>
        <v/>
      </c>
      <c r="P2892" s="61" t="str">
        <f aca="false">IF(IsPro,IF($D2892="","",K2892+M2892+N2892+O2892),"")</f>
        <v/>
      </c>
      <c r="Q2892" s="60" t="str">
        <f aca="false">IF(IsPro,IF($D2892="","",IFERROR(MATCH($D2892,Items!$A$5:$A$504,0),"")),"")</f>
        <v/>
      </c>
      <c r="R2892" s="60" t="str">
        <f aca="false">IF(IsPro,IF($C2892="","",IFERROR(MATCH($C2892,Parties!$A$5:$A$304,0),"")),"")</f>
        <v/>
      </c>
      <c r="S2892" s="61" t="str">
        <f aca="false">IF(IsPro,IF($D2892="","",IF(OR($H2892="",$H2892="Credit"),0,P2892)),"")</f>
        <v/>
      </c>
    </row>
    <row r="2893" customFormat="false" ht="15" hidden="false" customHeight="false" outlineLevel="0" collapsed="false">
      <c r="A2893" s="55"/>
      <c r="B2893" s="56"/>
      <c r="C2893" s="56"/>
      <c r="D2893" s="56"/>
      <c r="E2893" s="57"/>
      <c r="F2893" s="58"/>
      <c r="G2893" s="59"/>
      <c r="H2893" s="56"/>
      <c r="I2893" s="60" t="str">
        <f aca="false">IF(IsPro,IF($D2893="","",IFERROR(INDEX(Items!$D$5:$D$504,Q2893),"")),IF($D2893="","","PRO PLAN"))</f>
        <v/>
      </c>
      <c r="J2893" s="61" t="str">
        <f aca="false">IF(IsPro,IF($D2893="","",IF($F2893="",IFERROR(INDEX(Items!$G$5:$G$504,Q2893),0),$F2893)),"")</f>
        <v/>
      </c>
      <c r="K2893" s="61" t="str">
        <f aca="false">IF(IsPro,IF($D2893="","",ROUND(N($E2893)*J2893*(1-N($G2893)),2)),"")</f>
        <v/>
      </c>
      <c r="L2893" s="62" t="str">
        <f aca="false">IF(IsPro,IF($D2893="","",IFERROR(INDEX(Items!$F$5:$F$504,Q2893),0)),"")</f>
        <v/>
      </c>
      <c r="M2893" s="61" t="str">
        <f aca="false">IF(IsPro,IF($D2893="","",IF(AND(R2893&lt;&gt;"",INDEX(Parties!$E$5:$E$304,R2893)&lt;&gt;"",INDEX(Parties!$E$5:$E$304,R2893)&lt;&gt;HomeState),0,ROUND(K2893*L2893/2,2))),"")</f>
        <v/>
      </c>
      <c r="N2893" s="61" t="str">
        <f aca="false">IF(IsPro,IF($D2893="","",M2893),"")</f>
        <v/>
      </c>
      <c r="O2893" s="61" t="str">
        <f aca="false">IF(IsPro,IF($D2893="","",IF(AND(R2893&lt;&gt;"",INDEX(Parties!$E$5:$E$304,R2893)&lt;&gt;"",INDEX(Parties!$E$5:$E$304,R2893)&lt;&gt;HomeState),ROUND(K2893*L2893,2),0)),"")</f>
        <v/>
      </c>
      <c r="P2893" s="61" t="str">
        <f aca="false">IF(IsPro,IF($D2893="","",K2893+M2893+N2893+O2893),"")</f>
        <v/>
      </c>
      <c r="Q2893" s="60" t="str">
        <f aca="false">IF(IsPro,IF($D2893="","",IFERROR(MATCH($D2893,Items!$A$5:$A$504,0),"")),"")</f>
        <v/>
      </c>
      <c r="R2893" s="60" t="str">
        <f aca="false">IF(IsPro,IF($C2893="","",IFERROR(MATCH($C2893,Parties!$A$5:$A$304,0),"")),"")</f>
        <v/>
      </c>
      <c r="S2893" s="61" t="str">
        <f aca="false">IF(IsPro,IF($D2893="","",IF(OR($H2893="",$H2893="Credit"),0,P2893)),"")</f>
        <v/>
      </c>
    </row>
    <row r="2894" customFormat="false" ht="15" hidden="false" customHeight="false" outlineLevel="0" collapsed="false">
      <c r="A2894" s="55"/>
      <c r="B2894" s="56"/>
      <c r="C2894" s="56"/>
      <c r="D2894" s="56"/>
      <c r="E2894" s="57"/>
      <c r="F2894" s="58"/>
      <c r="G2894" s="59"/>
      <c r="H2894" s="56"/>
      <c r="I2894" s="60" t="str">
        <f aca="false">IF(IsPro,IF($D2894="","",IFERROR(INDEX(Items!$D$5:$D$504,Q2894),"")),IF($D2894="","","PRO PLAN"))</f>
        <v/>
      </c>
      <c r="J2894" s="61" t="str">
        <f aca="false">IF(IsPro,IF($D2894="","",IF($F2894="",IFERROR(INDEX(Items!$G$5:$G$504,Q2894),0),$F2894)),"")</f>
        <v/>
      </c>
      <c r="K2894" s="61" t="str">
        <f aca="false">IF(IsPro,IF($D2894="","",ROUND(N($E2894)*J2894*(1-N($G2894)),2)),"")</f>
        <v/>
      </c>
      <c r="L2894" s="62" t="str">
        <f aca="false">IF(IsPro,IF($D2894="","",IFERROR(INDEX(Items!$F$5:$F$504,Q2894),0)),"")</f>
        <v/>
      </c>
      <c r="M2894" s="61" t="str">
        <f aca="false">IF(IsPro,IF($D2894="","",IF(AND(R2894&lt;&gt;"",INDEX(Parties!$E$5:$E$304,R2894)&lt;&gt;"",INDEX(Parties!$E$5:$E$304,R2894)&lt;&gt;HomeState),0,ROUND(K2894*L2894/2,2))),"")</f>
        <v/>
      </c>
      <c r="N2894" s="61" t="str">
        <f aca="false">IF(IsPro,IF($D2894="","",M2894),"")</f>
        <v/>
      </c>
      <c r="O2894" s="61" t="str">
        <f aca="false">IF(IsPro,IF($D2894="","",IF(AND(R2894&lt;&gt;"",INDEX(Parties!$E$5:$E$304,R2894)&lt;&gt;"",INDEX(Parties!$E$5:$E$304,R2894)&lt;&gt;HomeState),ROUND(K2894*L2894,2),0)),"")</f>
        <v/>
      </c>
      <c r="P2894" s="61" t="str">
        <f aca="false">IF(IsPro,IF($D2894="","",K2894+M2894+N2894+O2894),"")</f>
        <v/>
      </c>
      <c r="Q2894" s="60" t="str">
        <f aca="false">IF(IsPro,IF($D2894="","",IFERROR(MATCH($D2894,Items!$A$5:$A$504,0),"")),"")</f>
        <v/>
      </c>
      <c r="R2894" s="60" t="str">
        <f aca="false">IF(IsPro,IF($C2894="","",IFERROR(MATCH($C2894,Parties!$A$5:$A$304,0),"")),"")</f>
        <v/>
      </c>
      <c r="S2894" s="61" t="str">
        <f aca="false">IF(IsPro,IF($D2894="","",IF(OR($H2894="",$H2894="Credit"),0,P2894)),"")</f>
        <v/>
      </c>
    </row>
    <row r="2895" customFormat="false" ht="15" hidden="false" customHeight="false" outlineLevel="0" collapsed="false">
      <c r="A2895" s="55"/>
      <c r="B2895" s="56"/>
      <c r="C2895" s="56"/>
      <c r="D2895" s="56"/>
      <c r="E2895" s="57"/>
      <c r="F2895" s="58"/>
      <c r="G2895" s="59"/>
      <c r="H2895" s="56"/>
      <c r="I2895" s="60" t="str">
        <f aca="false">IF(IsPro,IF($D2895="","",IFERROR(INDEX(Items!$D$5:$D$504,Q2895),"")),IF($D2895="","","PRO PLAN"))</f>
        <v/>
      </c>
      <c r="J2895" s="61" t="str">
        <f aca="false">IF(IsPro,IF($D2895="","",IF($F2895="",IFERROR(INDEX(Items!$G$5:$G$504,Q2895),0),$F2895)),"")</f>
        <v/>
      </c>
      <c r="K2895" s="61" t="str">
        <f aca="false">IF(IsPro,IF($D2895="","",ROUND(N($E2895)*J2895*(1-N($G2895)),2)),"")</f>
        <v/>
      </c>
      <c r="L2895" s="62" t="str">
        <f aca="false">IF(IsPro,IF($D2895="","",IFERROR(INDEX(Items!$F$5:$F$504,Q2895),0)),"")</f>
        <v/>
      </c>
      <c r="M2895" s="61" t="str">
        <f aca="false">IF(IsPro,IF($D2895="","",IF(AND(R2895&lt;&gt;"",INDEX(Parties!$E$5:$E$304,R2895)&lt;&gt;"",INDEX(Parties!$E$5:$E$304,R2895)&lt;&gt;HomeState),0,ROUND(K2895*L2895/2,2))),"")</f>
        <v/>
      </c>
      <c r="N2895" s="61" t="str">
        <f aca="false">IF(IsPro,IF($D2895="","",M2895),"")</f>
        <v/>
      </c>
      <c r="O2895" s="61" t="str">
        <f aca="false">IF(IsPro,IF($D2895="","",IF(AND(R2895&lt;&gt;"",INDEX(Parties!$E$5:$E$304,R2895)&lt;&gt;"",INDEX(Parties!$E$5:$E$304,R2895)&lt;&gt;HomeState),ROUND(K2895*L2895,2),0)),"")</f>
        <v/>
      </c>
      <c r="P2895" s="61" t="str">
        <f aca="false">IF(IsPro,IF($D2895="","",K2895+M2895+N2895+O2895),"")</f>
        <v/>
      </c>
      <c r="Q2895" s="60" t="str">
        <f aca="false">IF(IsPro,IF($D2895="","",IFERROR(MATCH($D2895,Items!$A$5:$A$504,0),"")),"")</f>
        <v/>
      </c>
      <c r="R2895" s="60" t="str">
        <f aca="false">IF(IsPro,IF($C2895="","",IFERROR(MATCH($C2895,Parties!$A$5:$A$304,0),"")),"")</f>
        <v/>
      </c>
      <c r="S2895" s="61" t="str">
        <f aca="false">IF(IsPro,IF($D2895="","",IF(OR($H2895="",$H2895="Credit"),0,P2895)),"")</f>
        <v/>
      </c>
    </row>
    <row r="2896" customFormat="false" ht="15" hidden="false" customHeight="false" outlineLevel="0" collapsed="false">
      <c r="A2896" s="55"/>
      <c r="B2896" s="56"/>
      <c r="C2896" s="56"/>
      <c r="D2896" s="56"/>
      <c r="E2896" s="57"/>
      <c r="F2896" s="58"/>
      <c r="G2896" s="59"/>
      <c r="H2896" s="56"/>
      <c r="I2896" s="60" t="str">
        <f aca="false">IF(IsPro,IF($D2896="","",IFERROR(INDEX(Items!$D$5:$D$504,Q2896),"")),IF($D2896="","","PRO PLAN"))</f>
        <v/>
      </c>
      <c r="J2896" s="61" t="str">
        <f aca="false">IF(IsPro,IF($D2896="","",IF($F2896="",IFERROR(INDEX(Items!$G$5:$G$504,Q2896),0),$F2896)),"")</f>
        <v/>
      </c>
      <c r="K2896" s="61" t="str">
        <f aca="false">IF(IsPro,IF($D2896="","",ROUND(N($E2896)*J2896*(1-N($G2896)),2)),"")</f>
        <v/>
      </c>
      <c r="L2896" s="62" t="str">
        <f aca="false">IF(IsPro,IF($D2896="","",IFERROR(INDEX(Items!$F$5:$F$504,Q2896),0)),"")</f>
        <v/>
      </c>
      <c r="M2896" s="61" t="str">
        <f aca="false">IF(IsPro,IF($D2896="","",IF(AND(R2896&lt;&gt;"",INDEX(Parties!$E$5:$E$304,R2896)&lt;&gt;"",INDEX(Parties!$E$5:$E$304,R2896)&lt;&gt;HomeState),0,ROUND(K2896*L2896/2,2))),"")</f>
        <v/>
      </c>
      <c r="N2896" s="61" t="str">
        <f aca="false">IF(IsPro,IF($D2896="","",M2896),"")</f>
        <v/>
      </c>
      <c r="O2896" s="61" t="str">
        <f aca="false">IF(IsPro,IF($D2896="","",IF(AND(R2896&lt;&gt;"",INDEX(Parties!$E$5:$E$304,R2896)&lt;&gt;"",INDEX(Parties!$E$5:$E$304,R2896)&lt;&gt;HomeState),ROUND(K2896*L2896,2),0)),"")</f>
        <v/>
      </c>
      <c r="P2896" s="61" t="str">
        <f aca="false">IF(IsPro,IF($D2896="","",K2896+M2896+N2896+O2896),"")</f>
        <v/>
      </c>
      <c r="Q2896" s="60" t="str">
        <f aca="false">IF(IsPro,IF($D2896="","",IFERROR(MATCH($D2896,Items!$A$5:$A$504,0),"")),"")</f>
        <v/>
      </c>
      <c r="R2896" s="60" t="str">
        <f aca="false">IF(IsPro,IF($C2896="","",IFERROR(MATCH($C2896,Parties!$A$5:$A$304,0),"")),"")</f>
        <v/>
      </c>
      <c r="S2896" s="61" t="str">
        <f aca="false">IF(IsPro,IF($D2896="","",IF(OR($H2896="",$H2896="Credit"),0,P2896)),"")</f>
        <v/>
      </c>
    </row>
    <row r="2897" customFormat="false" ht="15" hidden="false" customHeight="false" outlineLevel="0" collapsed="false">
      <c r="A2897" s="55"/>
      <c r="B2897" s="56"/>
      <c r="C2897" s="56"/>
      <c r="D2897" s="56"/>
      <c r="E2897" s="57"/>
      <c r="F2897" s="58"/>
      <c r="G2897" s="59"/>
      <c r="H2897" s="56"/>
      <c r="I2897" s="60" t="str">
        <f aca="false">IF(IsPro,IF($D2897="","",IFERROR(INDEX(Items!$D$5:$D$504,Q2897),"")),IF($D2897="","","PRO PLAN"))</f>
        <v/>
      </c>
      <c r="J2897" s="61" t="str">
        <f aca="false">IF(IsPro,IF($D2897="","",IF($F2897="",IFERROR(INDEX(Items!$G$5:$G$504,Q2897),0),$F2897)),"")</f>
        <v/>
      </c>
      <c r="K2897" s="61" t="str">
        <f aca="false">IF(IsPro,IF($D2897="","",ROUND(N($E2897)*J2897*(1-N($G2897)),2)),"")</f>
        <v/>
      </c>
      <c r="L2897" s="62" t="str">
        <f aca="false">IF(IsPro,IF($D2897="","",IFERROR(INDEX(Items!$F$5:$F$504,Q2897),0)),"")</f>
        <v/>
      </c>
      <c r="M2897" s="61" t="str">
        <f aca="false">IF(IsPro,IF($D2897="","",IF(AND(R2897&lt;&gt;"",INDEX(Parties!$E$5:$E$304,R2897)&lt;&gt;"",INDEX(Parties!$E$5:$E$304,R2897)&lt;&gt;HomeState),0,ROUND(K2897*L2897/2,2))),"")</f>
        <v/>
      </c>
      <c r="N2897" s="61" t="str">
        <f aca="false">IF(IsPro,IF($D2897="","",M2897),"")</f>
        <v/>
      </c>
      <c r="O2897" s="61" t="str">
        <f aca="false">IF(IsPro,IF($D2897="","",IF(AND(R2897&lt;&gt;"",INDEX(Parties!$E$5:$E$304,R2897)&lt;&gt;"",INDEX(Parties!$E$5:$E$304,R2897)&lt;&gt;HomeState),ROUND(K2897*L2897,2),0)),"")</f>
        <v/>
      </c>
      <c r="P2897" s="61" t="str">
        <f aca="false">IF(IsPro,IF($D2897="","",K2897+M2897+N2897+O2897),"")</f>
        <v/>
      </c>
      <c r="Q2897" s="60" t="str">
        <f aca="false">IF(IsPro,IF($D2897="","",IFERROR(MATCH($D2897,Items!$A$5:$A$504,0),"")),"")</f>
        <v/>
      </c>
      <c r="R2897" s="60" t="str">
        <f aca="false">IF(IsPro,IF($C2897="","",IFERROR(MATCH($C2897,Parties!$A$5:$A$304,0),"")),"")</f>
        <v/>
      </c>
      <c r="S2897" s="61" t="str">
        <f aca="false">IF(IsPro,IF($D2897="","",IF(OR($H2897="",$H2897="Credit"),0,P2897)),"")</f>
        <v/>
      </c>
    </row>
    <row r="2898" customFormat="false" ht="15" hidden="false" customHeight="false" outlineLevel="0" collapsed="false">
      <c r="A2898" s="55"/>
      <c r="B2898" s="56"/>
      <c r="C2898" s="56"/>
      <c r="D2898" s="56"/>
      <c r="E2898" s="57"/>
      <c r="F2898" s="58"/>
      <c r="G2898" s="59"/>
      <c r="H2898" s="56"/>
      <c r="I2898" s="60" t="str">
        <f aca="false">IF(IsPro,IF($D2898="","",IFERROR(INDEX(Items!$D$5:$D$504,Q2898),"")),IF($D2898="","","PRO PLAN"))</f>
        <v/>
      </c>
      <c r="J2898" s="61" t="str">
        <f aca="false">IF(IsPro,IF($D2898="","",IF($F2898="",IFERROR(INDEX(Items!$G$5:$G$504,Q2898),0),$F2898)),"")</f>
        <v/>
      </c>
      <c r="K2898" s="61" t="str">
        <f aca="false">IF(IsPro,IF($D2898="","",ROUND(N($E2898)*J2898*(1-N($G2898)),2)),"")</f>
        <v/>
      </c>
      <c r="L2898" s="62" t="str">
        <f aca="false">IF(IsPro,IF($D2898="","",IFERROR(INDEX(Items!$F$5:$F$504,Q2898),0)),"")</f>
        <v/>
      </c>
      <c r="M2898" s="61" t="str">
        <f aca="false">IF(IsPro,IF($D2898="","",IF(AND(R2898&lt;&gt;"",INDEX(Parties!$E$5:$E$304,R2898)&lt;&gt;"",INDEX(Parties!$E$5:$E$304,R2898)&lt;&gt;HomeState),0,ROUND(K2898*L2898/2,2))),"")</f>
        <v/>
      </c>
      <c r="N2898" s="61" t="str">
        <f aca="false">IF(IsPro,IF($D2898="","",M2898),"")</f>
        <v/>
      </c>
      <c r="O2898" s="61" t="str">
        <f aca="false">IF(IsPro,IF($D2898="","",IF(AND(R2898&lt;&gt;"",INDEX(Parties!$E$5:$E$304,R2898)&lt;&gt;"",INDEX(Parties!$E$5:$E$304,R2898)&lt;&gt;HomeState),ROUND(K2898*L2898,2),0)),"")</f>
        <v/>
      </c>
      <c r="P2898" s="61" t="str">
        <f aca="false">IF(IsPro,IF($D2898="","",K2898+M2898+N2898+O2898),"")</f>
        <v/>
      </c>
      <c r="Q2898" s="60" t="str">
        <f aca="false">IF(IsPro,IF($D2898="","",IFERROR(MATCH($D2898,Items!$A$5:$A$504,0),"")),"")</f>
        <v/>
      </c>
      <c r="R2898" s="60" t="str">
        <f aca="false">IF(IsPro,IF($C2898="","",IFERROR(MATCH($C2898,Parties!$A$5:$A$304,0),"")),"")</f>
        <v/>
      </c>
      <c r="S2898" s="61" t="str">
        <f aca="false">IF(IsPro,IF($D2898="","",IF(OR($H2898="",$H2898="Credit"),0,P2898)),"")</f>
        <v/>
      </c>
    </row>
    <row r="2899" customFormat="false" ht="15" hidden="false" customHeight="false" outlineLevel="0" collapsed="false">
      <c r="A2899" s="55"/>
      <c r="B2899" s="56"/>
      <c r="C2899" s="56"/>
      <c r="D2899" s="56"/>
      <c r="E2899" s="57"/>
      <c r="F2899" s="58"/>
      <c r="G2899" s="59"/>
      <c r="H2899" s="56"/>
      <c r="I2899" s="60" t="str">
        <f aca="false">IF(IsPro,IF($D2899="","",IFERROR(INDEX(Items!$D$5:$D$504,Q2899),"")),IF($D2899="","","PRO PLAN"))</f>
        <v/>
      </c>
      <c r="J2899" s="61" t="str">
        <f aca="false">IF(IsPro,IF($D2899="","",IF($F2899="",IFERROR(INDEX(Items!$G$5:$G$504,Q2899),0),$F2899)),"")</f>
        <v/>
      </c>
      <c r="K2899" s="61" t="str">
        <f aca="false">IF(IsPro,IF($D2899="","",ROUND(N($E2899)*J2899*(1-N($G2899)),2)),"")</f>
        <v/>
      </c>
      <c r="L2899" s="62" t="str">
        <f aca="false">IF(IsPro,IF($D2899="","",IFERROR(INDEX(Items!$F$5:$F$504,Q2899),0)),"")</f>
        <v/>
      </c>
      <c r="M2899" s="61" t="str">
        <f aca="false">IF(IsPro,IF($D2899="","",IF(AND(R2899&lt;&gt;"",INDEX(Parties!$E$5:$E$304,R2899)&lt;&gt;"",INDEX(Parties!$E$5:$E$304,R2899)&lt;&gt;HomeState),0,ROUND(K2899*L2899/2,2))),"")</f>
        <v/>
      </c>
      <c r="N2899" s="61" t="str">
        <f aca="false">IF(IsPro,IF($D2899="","",M2899),"")</f>
        <v/>
      </c>
      <c r="O2899" s="61" t="str">
        <f aca="false">IF(IsPro,IF($D2899="","",IF(AND(R2899&lt;&gt;"",INDEX(Parties!$E$5:$E$304,R2899)&lt;&gt;"",INDEX(Parties!$E$5:$E$304,R2899)&lt;&gt;HomeState),ROUND(K2899*L2899,2),0)),"")</f>
        <v/>
      </c>
      <c r="P2899" s="61" t="str">
        <f aca="false">IF(IsPro,IF($D2899="","",K2899+M2899+N2899+O2899),"")</f>
        <v/>
      </c>
      <c r="Q2899" s="60" t="str">
        <f aca="false">IF(IsPro,IF($D2899="","",IFERROR(MATCH($D2899,Items!$A$5:$A$504,0),"")),"")</f>
        <v/>
      </c>
      <c r="R2899" s="60" t="str">
        <f aca="false">IF(IsPro,IF($C2899="","",IFERROR(MATCH($C2899,Parties!$A$5:$A$304,0),"")),"")</f>
        <v/>
      </c>
      <c r="S2899" s="61" t="str">
        <f aca="false">IF(IsPro,IF($D2899="","",IF(OR($H2899="",$H2899="Credit"),0,P2899)),"")</f>
        <v/>
      </c>
    </row>
    <row r="2900" customFormat="false" ht="15" hidden="false" customHeight="false" outlineLevel="0" collapsed="false">
      <c r="A2900" s="55"/>
      <c r="B2900" s="56"/>
      <c r="C2900" s="56"/>
      <c r="D2900" s="56"/>
      <c r="E2900" s="57"/>
      <c r="F2900" s="58"/>
      <c r="G2900" s="59"/>
      <c r="H2900" s="56"/>
      <c r="I2900" s="60" t="str">
        <f aca="false">IF(IsPro,IF($D2900="","",IFERROR(INDEX(Items!$D$5:$D$504,Q2900),"")),IF($D2900="","","PRO PLAN"))</f>
        <v/>
      </c>
      <c r="J2900" s="61" t="str">
        <f aca="false">IF(IsPro,IF($D2900="","",IF($F2900="",IFERROR(INDEX(Items!$G$5:$G$504,Q2900),0),$F2900)),"")</f>
        <v/>
      </c>
      <c r="K2900" s="61" t="str">
        <f aca="false">IF(IsPro,IF($D2900="","",ROUND(N($E2900)*J2900*(1-N($G2900)),2)),"")</f>
        <v/>
      </c>
      <c r="L2900" s="62" t="str">
        <f aca="false">IF(IsPro,IF($D2900="","",IFERROR(INDEX(Items!$F$5:$F$504,Q2900),0)),"")</f>
        <v/>
      </c>
      <c r="M2900" s="61" t="str">
        <f aca="false">IF(IsPro,IF($D2900="","",IF(AND(R2900&lt;&gt;"",INDEX(Parties!$E$5:$E$304,R2900)&lt;&gt;"",INDEX(Parties!$E$5:$E$304,R2900)&lt;&gt;HomeState),0,ROUND(K2900*L2900/2,2))),"")</f>
        <v/>
      </c>
      <c r="N2900" s="61" t="str">
        <f aca="false">IF(IsPro,IF($D2900="","",M2900),"")</f>
        <v/>
      </c>
      <c r="O2900" s="61" t="str">
        <f aca="false">IF(IsPro,IF($D2900="","",IF(AND(R2900&lt;&gt;"",INDEX(Parties!$E$5:$E$304,R2900)&lt;&gt;"",INDEX(Parties!$E$5:$E$304,R2900)&lt;&gt;HomeState),ROUND(K2900*L2900,2),0)),"")</f>
        <v/>
      </c>
      <c r="P2900" s="61" t="str">
        <f aca="false">IF(IsPro,IF($D2900="","",K2900+M2900+N2900+O2900),"")</f>
        <v/>
      </c>
      <c r="Q2900" s="60" t="str">
        <f aca="false">IF(IsPro,IF($D2900="","",IFERROR(MATCH($D2900,Items!$A$5:$A$504,0),"")),"")</f>
        <v/>
      </c>
      <c r="R2900" s="60" t="str">
        <f aca="false">IF(IsPro,IF($C2900="","",IFERROR(MATCH($C2900,Parties!$A$5:$A$304,0),"")),"")</f>
        <v/>
      </c>
      <c r="S2900" s="61" t="str">
        <f aca="false">IF(IsPro,IF($D2900="","",IF(OR($H2900="",$H2900="Credit"),0,P2900)),"")</f>
        <v/>
      </c>
    </row>
    <row r="2901" customFormat="false" ht="15" hidden="false" customHeight="false" outlineLevel="0" collapsed="false">
      <c r="A2901" s="55"/>
      <c r="B2901" s="56"/>
      <c r="C2901" s="56"/>
      <c r="D2901" s="56"/>
      <c r="E2901" s="57"/>
      <c r="F2901" s="58"/>
      <c r="G2901" s="59"/>
      <c r="H2901" s="56"/>
      <c r="I2901" s="60" t="str">
        <f aca="false">IF(IsPro,IF($D2901="","",IFERROR(INDEX(Items!$D$5:$D$504,Q2901),"")),IF($D2901="","","PRO PLAN"))</f>
        <v/>
      </c>
      <c r="J2901" s="61" t="str">
        <f aca="false">IF(IsPro,IF($D2901="","",IF($F2901="",IFERROR(INDEX(Items!$G$5:$G$504,Q2901),0),$F2901)),"")</f>
        <v/>
      </c>
      <c r="K2901" s="61" t="str">
        <f aca="false">IF(IsPro,IF($D2901="","",ROUND(N($E2901)*J2901*(1-N($G2901)),2)),"")</f>
        <v/>
      </c>
      <c r="L2901" s="62" t="str">
        <f aca="false">IF(IsPro,IF($D2901="","",IFERROR(INDEX(Items!$F$5:$F$504,Q2901),0)),"")</f>
        <v/>
      </c>
      <c r="M2901" s="61" t="str">
        <f aca="false">IF(IsPro,IF($D2901="","",IF(AND(R2901&lt;&gt;"",INDEX(Parties!$E$5:$E$304,R2901)&lt;&gt;"",INDEX(Parties!$E$5:$E$304,R2901)&lt;&gt;HomeState),0,ROUND(K2901*L2901/2,2))),"")</f>
        <v/>
      </c>
      <c r="N2901" s="61" t="str">
        <f aca="false">IF(IsPro,IF($D2901="","",M2901),"")</f>
        <v/>
      </c>
      <c r="O2901" s="61" t="str">
        <f aca="false">IF(IsPro,IF($D2901="","",IF(AND(R2901&lt;&gt;"",INDEX(Parties!$E$5:$E$304,R2901)&lt;&gt;"",INDEX(Parties!$E$5:$E$304,R2901)&lt;&gt;HomeState),ROUND(K2901*L2901,2),0)),"")</f>
        <v/>
      </c>
      <c r="P2901" s="61" t="str">
        <f aca="false">IF(IsPro,IF($D2901="","",K2901+M2901+N2901+O2901),"")</f>
        <v/>
      </c>
      <c r="Q2901" s="60" t="str">
        <f aca="false">IF(IsPro,IF($D2901="","",IFERROR(MATCH($D2901,Items!$A$5:$A$504,0),"")),"")</f>
        <v/>
      </c>
      <c r="R2901" s="60" t="str">
        <f aca="false">IF(IsPro,IF($C2901="","",IFERROR(MATCH($C2901,Parties!$A$5:$A$304,0),"")),"")</f>
        <v/>
      </c>
      <c r="S2901" s="61" t="str">
        <f aca="false">IF(IsPro,IF($D2901="","",IF(OR($H2901="",$H2901="Credit"),0,P2901)),"")</f>
        <v/>
      </c>
    </row>
    <row r="2902" customFormat="false" ht="15" hidden="false" customHeight="false" outlineLevel="0" collapsed="false">
      <c r="A2902" s="55"/>
      <c r="B2902" s="56"/>
      <c r="C2902" s="56"/>
      <c r="D2902" s="56"/>
      <c r="E2902" s="57"/>
      <c r="F2902" s="58"/>
      <c r="G2902" s="59"/>
      <c r="H2902" s="56"/>
      <c r="I2902" s="60" t="str">
        <f aca="false">IF(IsPro,IF($D2902="","",IFERROR(INDEX(Items!$D$5:$D$504,Q2902),"")),IF($D2902="","","PRO PLAN"))</f>
        <v/>
      </c>
      <c r="J2902" s="61" t="str">
        <f aca="false">IF(IsPro,IF($D2902="","",IF($F2902="",IFERROR(INDEX(Items!$G$5:$G$504,Q2902),0),$F2902)),"")</f>
        <v/>
      </c>
      <c r="K2902" s="61" t="str">
        <f aca="false">IF(IsPro,IF($D2902="","",ROUND(N($E2902)*J2902*(1-N($G2902)),2)),"")</f>
        <v/>
      </c>
      <c r="L2902" s="62" t="str">
        <f aca="false">IF(IsPro,IF($D2902="","",IFERROR(INDEX(Items!$F$5:$F$504,Q2902),0)),"")</f>
        <v/>
      </c>
      <c r="M2902" s="61" t="str">
        <f aca="false">IF(IsPro,IF($D2902="","",IF(AND(R2902&lt;&gt;"",INDEX(Parties!$E$5:$E$304,R2902)&lt;&gt;"",INDEX(Parties!$E$5:$E$304,R2902)&lt;&gt;HomeState),0,ROUND(K2902*L2902/2,2))),"")</f>
        <v/>
      </c>
      <c r="N2902" s="61" t="str">
        <f aca="false">IF(IsPro,IF($D2902="","",M2902),"")</f>
        <v/>
      </c>
      <c r="O2902" s="61" t="str">
        <f aca="false">IF(IsPro,IF($D2902="","",IF(AND(R2902&lt;&gt;"",INDEX(Parties!$E$5:$E$304,R2902)&lt;&gt;"",INDEX(Parties!$E$5:$E$304,R2902)&lt;&gt;HomeState),ROUND(K2902*L2902,2),0)),"")</f>
        <v/>
      </c>
      <c r="P2902" s="61" t="str">
        <f aca="false">IF(IsPro,IF($D2902="","",K2902+M2902+N2902+O2902),"")</f>
        <v/>
      </c>
      <c r="Q2902" s="60" t="str">
        <f aca="false">IF(IsPro,IF($D2902="","",IFERROR(MATCH($D2902,Items!$A$5:$A$504,0),"")),"")</f>
        <v/>
      </c>
      <c r="R2902" s="60" t="str">
        <f aca="false">IF(IsPro,IF($C2902="","",IFERROR(MATCH($C2902,Parties!$A$5:$A$304,0),"")),"")</f>
        <v/>
      </c>
      <c r="S2902" s="61" t="str">
        <f aca="false">IF(IsPro,IF($D2902="","",IF(OR($H2902="",$H2902="Credit"),0,P2902)),"")</f>
        <v/>
      </c>
    </row>
    <row r="2903" customFormat="false" ht="15" hidden="false" customHeight="false" outlineLevel="0" collapsed="false">
      <c r="A2903" s="55"/>
      <c r="B2903" s="56"/>
      <c r="C2903" s="56"/>
      <c r="D2903" s="56"/>
      <c r="E2903" s="57"/>
      <c r="F2903" s="58"/>
      <c r="G2903" s="59"/>
      <c r="H2903" s="56"/>
      <c r="I2903" s="60" t="str">
        <f aca="false">IF(IsPro,IF($D2903="","",IFERROR(INDEX(Items!$D$5:$D$504,Q2903),"")),IF($D2903="","","PRO PLAN"))</f>
        <v/>
      </c>
      <c r="J2903" s="61" t="str">
        <f aca="false">IF(IsPro,IF($D2903="","",IF($F2903="",IFERROR(INDEX(Items!$G$5:$G$504,Q2903),0),$F2903)),"")</f>
        <v/>
      </c>
      <c r="K2903" s="61" t="str">
        <f aca="false">IF(IsPro,IF($D2903="","",ROUND(N($E2903)*J2903*(1-N($G2903)),2)),"")</f>
        <v/>
      </c>
      <c r="L2903" s="62" t="str">
        <f aca="false">IF(IsPro,IF($D2903="","",IFERROR(INDEX(Items!$F$5:$F$504,Q2903),0)),"")</f>
        <v/>
      </c>
      <c r="M2903" s="61" t="str">
        <f aca="false">IF(IsPro,IF($D2903="","",IF(AND(R2903&lt;&gt;"",INDEX(Parties!$E$5:$E$304,R2903)&lt;&gt;"",INDEX(Parties!$E$5:$E$304,R2903)&lt;&gt;HomeState),0,ROUND(K2903*L2903/2,2))),"")</f>
        <v/>
      </c>
      <c r="N2903" s="61" t="str">
        <f aca="false">IF(IsPro,IF($D2903="","",M2903),"")</f>
        <v/>
      </c>
      <c r="O2903" s="61" t="str">
        <f aca="false">IF(IsPro,IF($D2903="","",IF(AND(R2903&lt;&gt;"",INDEX(Parties!$E$5:$E$304,R2903)&lt;&gt;"",INDEX(Parties!$E$5:$E$304,R2903)&lt;&gt;HomeState),ROUND(K2903*L2903,2),0)),"")</f>
        <v/>
      </c>
      <c r="P2903" s="61" t="str">
        <f aca="false">IF(IsPro,IF($D2903="","",K2903+M2903+N2903+O2903),"")</f>
        <v/>
      </c>
      <c r="Q2903" s="60" t="str">
        <f aca="false">IF(IsPro,IF($D2903="","",IFERROR(MATCH($D2903,Items!$A$5:$A$504,0),"")),"")</f>
        <v/>
      </c>
      <c r="R2903" s="60" t="str">
        <f aca="false">IF(IsPro,IF($C2903="","",IFERROR(MATCH($C2903,Parties!$A$5:$A$304,0),"")),"")</f>
        <v/>
      </c>
      <c r="S2903" s="61" t="str">
        <f aca="false">IF(IsPro,IF($D2903="","",IF(OR($H2903="",$H2903="Credit"),0,P2903)),"")</f>
        <v/>
      </c>
    </row>
    <row r="2904" customFormat="false" ht="15" hidden="false" customHeight="false" outlineLevel="0" collapsed="false">
      <c r="A2904" s="55"/>
      <c r="B2904" s="56"/>
      <c r="C2904" s="56"/>
      <c r="D2904" s="56"/>
      <c r="E2904" s="57"/>
      <c r="F2904" s="58"/>
      <c r="G2904" s="59"/>
      <c r="H2904" s="56"/>
      <c r="I2904" s="60" t="str">
        <f aca="false">IF(IsPro,IF($D2904="","",IFERROR(INDEX(Items!$D$5:$D$504,Q2904),"")),IF($D2904="","","PRO PLAN"))</f>
        <v/>
      </c>
      <c r="J2904" s="61" t="str">
        <f aca="false">IF(IsPro,IF($D2904="","",IF($F2904="",IFERROR(INDEX(Items!$G$5:$G$504,Q2904),0),$F2904)),"")</f>
        <v/>
      </c>
      <c r="K2904" s="61" t="str">
        <f aca="false">IF(IsPro,IF($D2904="","",ROUND(N($E2904)*J2904*(1-N($G2904)),2)),"")</f>
        <v/>
      </c>
      <c r="L2904" s="62" t="str">
        <f aca="false">IF(IsPro,IF($D2904="","",IFERROR(INDEX(Items!$F$5:$F$504,Q2904),0)),"")</f>
        <v/>
      </c>
      <c r="M2904" s="61" t="str">
        <f aca="false">IF(IsPro,IF($D2904="","",IF(AND(R2904&lt;&gt;"",INDEX(Parties!$E$5:$E$304,R2904)&lt;&gt;"",INDEX(Parties!$E$5:$E$304,R2904)&lt;&gt;HomeState),0,ROUND(K2904*L2904/2,2))),"")</f>
        <v/>
      </c>
      <c r="N2904" s="61" t="str">
        <f aca="false">IF(IsPro,IF($D2904="","",M2904),"")</f>
        <v/>
      </c>
      <c r="O2904" s="61" t="str">
        <f aca="false">IF(IsPro,IF($D2904="","",IF(AND(R2904&lt;&gt;"",INDEX(Parties!$E$5:$E$304,R2904)&lt;&gt;"",INDEX(Parties!$E$5:$E$304,R2904)&lt;&gt;HomeState),ROUND(K2904*L2904,2),0)),"")</f>
        <v/>
      </c>
      <c r="P2904" s="61" t="str">
        <f aca="false">IF(IsPro,IF($D2904="","",K2904+M2904+N2904+O2904),"")</f>
        <v/>
      </c>
      <c r="Q2904" s="60" t="str">
        <f aca="false">IF(IsPro,IF($D2904="","",IFERROR(MATCH($D2904,Items!$A$5:$A$504,0),"")),"")</f>
        <v/>
      </c>
      <c r="R2904" s="60" t="str">
        <f aca="false">IF(IsPro,IF($C2904="","",IFERROR(MATCH($C2904,Parties!$A$5:$A$304,0),"")),"")</f>
        <v/>
      </c>
      <c r="S2904" s="61" t="str">
        <f aca="false">IF(IsPro,IF($D2904="","",IF(OR($H2904="",$H2904="Credit"),0,P2904)),"")</f>
        <v/>
      </c>
    </row>
    <row r="2905" customFormat="false" ht="15" hidden="false" customHeight="false" outlineLevel="0" collapsed="false">
      <c r="A2905" s="55"/>
      <c r="B2905" s="56"/>
      <c r="C2905" s="56"/>
      <c r="D2905" s="56"/>
      <c r="E2905" s="57"/>
      <c r="F2905" s="58"/>
      <c r="G2905" s="59"/>
      <c r="H2905" s="56"/>
      <c r="I2905" s="60" t="str">
        <f aca="false">IF(IsPro,IF($D2905="","",IFERROR(INDEX(Items!$D$5:$D$504,Q2905),"")),IF($D2905="","","PRO PLAN"))</f>
        <v/>
      </c>
      <c r="J2905" s="61" t="str">
        <f aca="false">IF(IsPro,IF($D2905="","",IF($F2905="",IFERROR(INDEX(Items!$G$5:$G$504,Q2905),0),$F2905)),"")</f>
        <v/>
      </c>
      <c r="K2905" s="61" t="str">
        <f aca="false">IF(IsPro,IF($D2905="","",ROUND(N($E2905)*J2905*(1-N($G2905)),2)),"")</f>
        <v/>
      </c>
      <c r="L2905" s="62" t="str">
        <f aca="false">IF(IsPro,IF($D2905="","",IFERROR(INDEX(Items!$F$5:$F$504,Q2905),0)),"")</f>
        <v/>
      </c>
      <c r="M2905" s="61" t="str">
        <f aca="false">IF(IsPro,IF($D2905="","",IF(AND(R2905&lt;&gt;"",INDEX(Parties!$E$5:$E$304,R2905)&lt;&gt;"",INDEX(Parties!$E$5:$E$304,R2905)&lt;&gt;HomeState),0,ROUND(K2905*L2905/2,2))),"")</f>
        <v/>
      </c>
      <c r="N2905" s="61" t="str">
        <f aca="false">IF(IsPro,IF($D2905="","",M2905),"")</f>
        <v/>
      </c>
      <c r="O2905" s="61" t="str">
        <f aca="false">IF(IsPro,IF($D2905="","",IF(AND(R2905&lt;&gt;"",INDEX(Parties!$E$5:$E$304,R2905)&lt;&gt;"",INDEX(Parties!$E$5:$E$304,R2905)&lt;&gt;HomeState),ROUND(K2905*L2905,2),0)),"")</f>
        <v/>
      </c>
      <c r="P2905" s="61" t="str">
        <f aca="false">IF(IsPro,IF($D2905="","",K2905+M2905+N2905+O2905),"")</f>
        <v/>
      </c>
      <c r="Q2905" s="60" t="str">
        <f aca="false">IF(IsPro,IF($D2905="","",IFERROR(MATCH($D2905,Items!$A$5:$A$504,0),"")),"")</f>
        <v/>
      </c>
      <c r="R2905" s="60" t="str">
        <f aca="false">IF(IsPro,IF($C2905="","",IFERROR(MATCH($C2905,Parties!$A$5:$A$304,0),"")),"")</f>
        <v/>
      </c>
      <c r="S2905" s="61" t="str">
        <f aca="false">IF(IsPro,IF($D2905="","",IF(OR($H2905="",$H2905="Credit"),0,P2905)),"")</f>
        <v/>
      </c>
    </row>
    <row r="2906" customFormat="false" ht="15" hidden="false" customHeight="false" outlineLevel="0" collapsed="false">
      <c r="A2906" s="55"/>
      <c r="B2906" s="56"/>
      <c r="C2906" s="56"/>
      <c r="D2906" s="56"/>
      <c r="E2906" s="57"/>
      <c r="F2906" s="58"/>
      <c r="G2906" s="59"/>
      <c r="H2906" s="56"/>
      <c r="I2906" s="60" t="str">
        <f aca="false">IF(IsPro,IF($D2906="","",IFERROR(INDEX(Items!$D$5:$D$504,Q2906),"")),IF($D2906="","","PRO PLAN"))</f>
        <v/>
      </c>
      <c r="J2906" s="61" t="str">
        <f aca="false">IF(IsPro,IF($D2906="","",IF($F2906="",IFERROR(INDEX(Items!$G$5:$G$504,Q2906),0),$F2906)),"")</f>
        <v/>
      </c>
      <c r="K2906" s="61" t="str">
        <f aca="false">IF(IsPro,IF($D2906="","",ROUND(N($E2906)*J2906*(1-N($G2906)),2)),"")</f>
        <v/>
      </c>
      <c r="L2906" s="62" t="str">
        <f aca="false">IF(IsPro,IF($D2906="","",IFERROR(INDEX(Items!$F$5:$F$504,Q2906),0)),"")</f>
        <v/>
      </c>
      <c r="M2906" s="61" t="str">
        <f aca="false">IF(IsPro,IF($D2906="","",IF(AND(R2906&lt;&gt;"",INDEX(Parties!$E$5:$E$304,R2906)&lt;&gt;"",INDEX(Parties!$E$5:$E$304,R2906)&lt;&gt;HomeState),0,ROUND(K2906*L2906/2,2))),"")</f>
        <v/>
      </c>
      <c r="N2906" s="61" t="str">
        <f aca="false">IF(IsPro,IF($D2906="","",M2906),"")</f>
        <v/>
      </c>
      <c r="O2906" s="61" t="str">
        <f aca="false">IF(IsPro,IF($D2906="","",IF(AND(R2906&lt;&gt;"",INDEX(Parties!$E$5:$E$304,R2906)&lt;&gt;"",INDEX(Parties!$E$5:$E$304,R2906)&lt;&gt;HomeState),ROUND(K2906*L2906,2),0)),"")</f>
        <v/>
      </c>
      <c r="P2906" s="61" t="str">
        <f aca="false">IF(IsPro,IF($D2906="","",K2906+M2906+N2906+O2906),"")</f>
        <v/>
      </c>
      <c r="Q2906" s="60" t="str">
        <f aca="false">IF(IsPro,IF($D2906="","",IFERROR(MATCH($D2906,Items!$A$5:$A$504,0),"")),"")</f>
        <v/>
      </c>
      <c r="R2906" s="60" t="str">
        <f aca="false">IF(IsPro,IF($C2906="","",IFERROR(MATCH($C2906,Parties!$A$5:$A$304,0),"")),"")</f>
        <v/>
      </c>
      <c r="S2906" s="61" t="str">
        <f aca="false">IF(IsPro,IF($D2906="","",IF(OR($H2906="",$H2906="Credit"),0,P2906)),"")</f>
        <v/>
      </c>
    </row>
    <row r="2907" customFormat="false" ht="15" hidden="false" customHeight="false" outlineLevel="0" collapsed="false">
      <c r="A2907" s="55"/>
      <c r="B2907" s="56"/>
      <c r="C2907" s="56"/>
      <c r="D2907" s="56"/>
      <c r="E2907" s="57"/>
      <c r="F2907" s="58"/>
      <c r="G2907" s="59"/>
      <c r="H2907" s="56"/>
      <c r="I2907" s="60" t="str">
        <f aca="false">IF(IsPro,IF($D2907="","",IFERROR(INDEX(Items!$D$5:$D$504,Q2907),"")),IF($D2907="","","PRO PLAN"))</f>
        <v/>
      </c>
      <c r="J2907" s="61" t="str">
        <f aca="false">IF(IsPro,IF($D2907="","",IF($F2907="",IFERROR(INDEX(Items!$G$5:$G$504,Q2907),0),$F2907)),"")</f>
        <v/>
      </c>
      <c r="K2907" s="61" t="str">
        <f aca="false">IF(IsPro,IF($D2907="","",ROUND(N($E2907)*J2907*(1-N($G2907)),2)),"")</f>
        <v/>
      </c>
      <c r="L2907" s="62" t="str">
        <f aca="false">IF(IsPro,IF($D2907="","",IFERROR(INDEX(Items!$F$5:$F$504,Q2907),0)),"")</f>
        <v/>
      </c>
      <c r="M2907" s="61" t="str">
        <f aca="false">IF(IsPro,IF($D2907="","",IF(AND(R2907&lt;&gt;"",INDEX(Parties!$E$5:$E$304,R2907)&lt;&gt;"",INDEX(Parties!$E$5:$E$304,R2907)&lt;&gt;HomeState),0,ROUND(K2907*L2907/2,2))),"")</f>
        <v/>
      </c>
      <c r="N2907" s="61" t="str">
        <f aca="false">IF(IsPro,IF($D2907="","",M2907),"")</f>
        <v/>
      </c>
      <c r="O2907" s="61" t="str">
        <f aca="false">IF(IsPro,IF($D2907="","",IF(AND(R2907&lt;&gt;"",INDEX(Parties!$E$5:$E$304,R2907)&lt;&gt;"",INDEX(Parties!$E$5:$E$304,R2907)&lt;&gt;HomeState),ROUND(K2907*L2907,2),0)),"")</f>
        <v/>
      </c>
      <c r="P2907" s="61" t="str">
        <f aca="false">IF(IsPro,IF($D2907="","",K2907+M2907+N2907+O2907),"")</f>
        <v/>
      </c>
      <c r="Q2907" s="60" t="str">
        <f aca="false">IF(IsPro,IF($D2907="","",IFERROR(MATCH($D2907,Items!$A$5:$A$504,0),"")),"")</f>
        <v/>
      </c>
      <c r="R2907" s="60" t="str">
        <f aca="false">IF(IsPro,IF($C2907="","",IFERROR(MATCH($C2907,Parties!$A$5:$A$304,0),"")),"")</f>
        <v/>
      </c>
      <c r="S2907" s="61" t="str">
        <f aca="false">IF(IsPro,IF($D2907="","",IF(OR($H2907="",$H2907="Credit"),0,P2907)),"")</f>
        <v/>
      </c>
    </row>
    <row r="2908" customFormat="false" ht="15" hidden="false" customHeight="false" outlineLevel="0" collapsed="false">
      <c r="A2908" s="55"/>
      <c r="B2908" s="56"/>
      <c r="C2908" s="56"/>
      <c r="D2908" s="56"/>
      <c r="E2908" s="57"/>
      <c r="F2908" s="58"/>
      <c r="G2908" s="59"/>
      <c r="H2908" s="56"/>
      <c r="I2908" s="60" t="str">
        <f aca="false">IF(IsPro,IF($D2908="","",IFERROR(INDEX(Items!$D$5:$D$504,Q2908),"")),IF($D2908="","","PRO PLAN"))</f>
        <v/>
      </c>
      <c r="J2908" s="61" t="str">
        <f aca="false">IF(IsPro,IF($D2908="","",IF($F2908="",IFERROR(INDEX(Items!$G$5:$G$504,Q2908),0),$F2908)),"")</f>
        <v/>
      </c>
      <c r="K2908" s="61" t="str">
        <f aca="false">IF(IsPro,IF($D2908="","",ROUND(N($E2908)*J2908*(1-N($G2908)),2)),"")</f>
        <v/>
      </c>
      <c r="L2908" s="62" t="str">
        <f aca="false">IF(IsPro,IF($D2908="","",IFERROR(INDEX(Items!$F$5:$F$504,Q2908),0)),"")</f>
        <v/>
      </c>
      <c r="M2908" s="61" t="str">
        <f aca="false">IF(IsPro,IF($D2908="","",IF(AND(R2908&lt;&gt;"",INDEX(Parties!$E$5:$E$304,R2908)&lt;&gt;"",INDEX(Parties!$E$5:$E$304,R2908)&lt;&gt;HomeState),0,ROUND(K2908*L2908/2,2))),"")</f>
        <v/>
      </c>
      <c r="N2908" s="61" t="str">
        <f aca="false">IF(IsPro,IF($D2908="","",M2908),"")</f>
        <v/>
      </c>
      <c r="O2908" s="61" t="str">
        <f aca="false">IF(IsPro,IF($D2908="","",IF(AND(R2908&lt;&gt;"",INDEX(Parties!$E$5:$E$304,R2908)&lt;&gt;"",INDEX(Parties!$E$5:$E$304,R2908)&lt;&gt;HomeState),ROUND(K2908*L2908,2),0)),"")</f>
        <v/>
      </c>
      <c r="P2908" s="61" t="str">
        <f aca="false">IF(IsPro,IF($D2908="","",K2908+M2908+N2908+O2908),"")</f>
        <v/>
      </c>
      <c r="Q2908" s="60" t="str">
        <f aca="false">IF(IsPro,IF($D2908="","",IFERROR(MATCH($D2908,Items!$A$5:$A$504,0),"")),"")</f>
        <v/>
      </c>
      <c r="R2908" s="60" t="str">
        <f aca="false">IF(IsPro,IF($C2908="","",IFERROR(MATCH($C2908,Parties!$A$5:$A$304,0),"")),"")</f>
        <v/>
      </c>
      <c r="S2908" s="61" t="str">
        <f aca="false">IF(IsPro,IF($D2908="","",IF(OR($H2908="",$H2908="Credit"),0,P2908)),"")</f>
        <v/>
      </c>
    </row>
    <row r="2909" customFormat="false" ht="15" hidden="false" customHeight="false" outlineLevel="0" collapsed="false">
      <c r="A2909" s="55"/>
      <c r="B2909" s="56"/>
      <c r="C2909" s="56"/>
      <c r="D2909" s="56"/>
      <c r="E2909" s="57"/>
      <c r="F2909" s="58"/>
      <c r="G2909" s="59"/>
      <c r="H2909" s="56"/>
      <c r="I2909" s="60" t="str">
        <f aca="false">IF(IsPro,IF($D2909="","",IFERROR(INDEX(Items!$D$5:$D$504,Q2909),"")),IF($D2909="","","PRO PLAN"))</f>
        <v/>
      </c>
      <c r="J2909" s="61" t="str">
        <f aca="false">IF(IsPro,IF($D2909="","",IF($F2909="",IFERROR(INDEX(Items!$G$5:$G$504,Q2909),0),$F2909)),"")</f>
        <v/>
      </c>
      <c r="K2909" s="61" t="str">
        <f aca="false">IF(IsPro,IF($D2909="","",ROUND(N($E2909)*J2909*(1-N($G2909)),2)),"")</f>
        <v/>
      </c>
      <c r="L2909" s="62" t="str">
        <f aca="false">IF(IsPro,IF($D2909="","",IFERROR(INDEX(Items!$F$5:$F$504,Q2909),0)),"")</f>
        <v/>
      </c>
      <c r="M2909" s="61" t="str">
        <f aca="false">IF(IsPro,IF($D2909="","",IF(AND(R2909&lt;&gt;"",INDEX(Parties!$E$5:$E$304,R2909)&lt;&gt;"",INDEX(Parties!$E$5:$E$304,R2909)&lt;&gt;HomeState),0,ROUND(K2909*L2909/2,2))),"")</f>
        <v/>
      </c>
      <c r="N2909" s="61" t="str">
        <f aca="false">IF(IsPro,IF($D2909="","",M2909),"")</f>
        <v/>
      </c>
      <c r="O2909" s="61" t="str">
        <f aca="false">IF(IsPro,IF($D2909="","",IF(AND(R2909&lt;&gt;"",INDEX(Parties!$E$5:$E$304,R2909)&lt;&gt;"",INDEX(Parties!$E$5:$E$304,R2909)&lt;&gt;HomeState),ROUND(K2909*L2909,2),0)),"")</f>
        <v/>
      </c>
      <c r="P2909" s="61" t="str">
        <f aca="false">IF(IsPro,IF($D2909="","",K2909+M2909+N2909+O2909),"")</f>
        <v/>
      </c>
      <c r="Q2909" s="60" t="str">
        <f aca="false">IF(IsPro,IF($D2909="","",IFERROR(MATCH($D2909,Items!$A$5:$A$504,0),"")),"")</f>
        <v/>
      </c>
      <c r="R2909" s="60" t="str">
        <f aca="false">IF(IsPro,IF($C2909="","",IFERROR(MATCH($C2909,Parties!$A$5:$A$304,0),"")),"")</f>
        <v/>
      </c>
      <c r="S2909" s="61" t="str">
        <f aca="false">IF(IsPro,IF($D2909="","",IF(OR($H2909="",$H2909="Credit"),0,P2909)),"")</f>
        <v/>
      </c>
    </row>
    <row r="2910" customFormat="false" ht="15" hidden="false" customHeight="false" outlineLevel="0" collapsed="false">
      <c r="A2910" s="55"/>
      <c r="B2910" s="56"/>
      <c r="C2910" s="56"/>
      <c r="D2910" s="56"/>
      <c r="E2910" s="57"/>
      <c r="F2910" s="58"/>
      <c r="G2910" s="59"/>
      <c r="H2910" s="56"/>
      <c r="I2910" s="60" t="str">
        <f aca="false">IF(IsPro,IF($D2910="","",IFERROR(INDEX(Items!$D$5:$D$504,Q2910),"")),IF($D2910="","","PRO PLAN"))</f>
        <v/>
      </c>
      <c r="J2910" s="61" t="str">
        <f aca="false">IF(IsPro,IF($D2910="","",IF($F2910="",IFERROR(INDEX(Items!$G$5:$G$504,Q2910),0),$F2910)),"")</f>
        <v/>
      </c>
      <c r="K2910" s="61" t="str">
        <f aca="false">IF(IsPro,IF($D2910="","",ROUND(N($E2910)*J2910*(1-N($G2910)),2)),"")</f>
        <v/>
      </c>
      <c r="L2910" s="62" t="str">
        <f aca="false">IF(IsPro,IF($D2910="","",IFERROR(INDEX(Items!$F$5:$F$504,Q2910),0)),"")</f>
        <v/>
      </c>
      <c r="M2910" s="61" t="str">
        <f aca="false">IF(IsPro,IF($D2910="","",IF(AND(R2910&lt;&gt;"",INDEX(Parties!$E$5:$E$304,R2910)&lt;&gt;"",INDEX(Parties!$E$5:$E$304,R2910)&lt;&gt;HomeState),0,ROUND(K2910*L2910/2,2))),"")</f>
        <v/>
      </c>
      <c r="N2910" s="61" t="str">
        <f aca="false">IF(IsPro,IF($D2910="","",M2910),"")</f>
        <v/>
      </c>
      <c r="O2910" s="61" t="str">
        <f aca="false">IF(IsPro,IF($D2910="","",IF(AND(R2910&lt;&gt;"",INDEX(Parties!$E$5:$E$304,R2910)&lt;&gt;"",INDEX(Parties!$E$5:$E$304,R2910)&lt;&gt;HomeState),ROUND(K2910*L2910,2),0)),"")</f>
        <v/>
      </c>
      <c r="P2910" s="61" t="str">
        <f aca="false">IF(IsPro,IF($D2910="","",K2910+M2910+N2910+O2910),"")</f>
        <v/>
      </c>
      <c r="Q2910" s="60" t="str">
        <f aca="false">IF(IsPro,IF($D2910="","",IFERROR(MATCH($D2910,Items!$A$5:$A$504,0),"")),"")</f>
        <v/>
      </c>
      <c r="R2910" s="60" t="str">
        <f aca="false">IF(IsPro,IF($C2910="","",IFERROR(MATCH($C2910,Parties!$A$5:$A$304,0),"")),"")</f>
        <v/>
      </c>
      <c r="S2910" s="61" t="str">
        <f aca="false">IF(IsPro,IF($D2910="","",IF(OR($H2910="",$H2910="Credit"),0,P2910)),"")</f>
        <v/>
      </c>
    </row>
    <row r="2911" customFormat="false" ht="15" hidden="false" customHeight="false" outlineLevel="0" collapsed="false">
      <c r="A2911" s="55"/>
      <c r="B2911" s="56"/>
      <c r="C2911" s="56"/>
      <c r="D2911" s="56"/>
      <c r="E2911" s="57"/>
      <c r="F2911" s="58"/>
      <c r="G2911" s="59"/>
      <c r="H2911" s="56"/>
      <c r="I2911" s="60" t="str">
        <f aca="false">IF(IsPro,IF($D2911="","",IFERROR(INDEX(Items!$D$5:$D$504,Q2911),"")),IF($D2911="","","PRO PLAN"))</f>
        <v/>
      </c>
      <c r="J2911" s="61" t="str">
        <f aca="false">IF(IsPro,IF($D2911="","",IF($F2911="",IFERROR(INDEX(Items!$G$5:$G$504,Q2911),0),$F2911)),"")</f>
        <v/>
      </c>
      <c r="K2911" s="61" t="str">
        <f aca="false">IF(IsPro,IF($D2911="","",ROUND(N($E2911)*J2911*(1-N($G2911)),2)),"")</f>
        <v/>
      </c>
      <c r="L2911" s="62" t="str">
        <f aca="false">IF(IsPro,IF($D2911="","",IFERROR(INDEX(Items!$F$5:$F$504,Q2911),0)),"")</f>
        <v/>
      </c>
      <c r="M2911" s="61" t="str">
        <f aca="false">IF(IsPro,IF($D2911="","",IF(AND(R2911&lt;&gt;"",INDEX(Parties!$E$5:$E$304,R2911)&lt;&gt;"",INDEX(Parties!$E$5:$E$304,R2911)&lt;&gt;HomeState),0,ROUND(K2911*L2911/2,2))),"")</f>
        <v/>
      </c>
      <c r="N2911" s="61" t="str">
        <f aca="false">IF(IsPro,IF($D2911="","",M2911),"")</f>
        <v/>
      </c>
      <c r="O2911" s="61" t="str">
        <f aca="false">IF(IsPro,IF($D2911="","",IF(AND(R2911&lt;&gt;"",INDEX(Parties!$E$5:$E$304,R2911)&lt;&gt;"",INDEX(Parties!$E$5:$E$304,R2911)&lt;&gt;HomeState),ROUND(K2911*L2911,2),0)),"")</f>
        <v/>
      </c>
      <c r="P2911" s="61" t="str">
        <f aca="false">IF(IsPro,IF($D2911="","",K2911+M2911+N2911+O2911),"")</f>
        <v/>
      </c>
      <c r="Q2911" s="60" t="str">
        <f aca="false">IF(IsPro,IF($D2911="","",IFERROR(MATCH($D2911,Items!$A$5:$A$504,0),"")),"")</f>
        <v/>
      </c>
      <c r="R2911" s="60" t="str">
        <f aca="false">IF(IsPro,IF($C2911="","",IFERROR(MATCH($C2911,Parties!$A$5:$A$304,0),"")),"")</f>
        <v/>
      </c>
      <c r="S2911" s="61" t="str">
        <f aca="false">IF(IsPro,IF($D2911="","",IF(OR($H2911="",$H2911="Credit"),0,P2911)),"")</f>
        <v/>
      </c>
    </row>
    <row r="2912" customFormat="false" ht="15" hidden="false" customHeight="false" outlineLevel="0" collapsed="false">
      <c r="A2912" s="55"/>
      <c r="B2912" s="56"/>
      <c r="C2912" s="56"/>
      <c r="D2912" s="56"/>
      <c r="E2912" s="57"/>
      <c r="F2912" s="58"/>
      <c r="G2912" s="59"/>
      <c r="H2912" s="56"/>
      <c r="I2912" s="60" t="str">
        <f aca="false">IF(IsPro,IF($D2912="","",IFERROR(INDEX(Items!$D$5:$D$504,Q2912),"")),IF($D2912="","","PRO PLAN"))</f>
        <v/>
      </c>
      <c r="J2912" s="61" t="str">
        <f aca="false">IF(IsPro,IF($D2912="","",IF($F2912="",IFERROR(INDEX(Items!$G$5:$G$504,Q2912),0),$F2912)),"")</f>
        <v/>
      </c>
      <c r="K2912" s="61" t="str">
        <f aca="false">IF(IsPro,IF($D2912="","",ROUND(N($E2912)*J2912*(1-N($G2912)),2)),"")</f>
        <v/>
      </c>
      <c r="L2912" s="62" t="str">
        <f aca="false">IF(IsPro,IF($D2912="","",IFERROR(INDEX(Items!$F$5:$F$504,Q2912),0)),"")</f>
        <v/>
      </c>
      <c r="M2912" s="61" t="str">
        <f aca="false">IF(IsPro,IF($D2912="","",IF(AND(R2912&lt;&gt;"",INDEX(Parties!$E$5:$E$304,R2912)&lt;&gt;"",INDEX(Parties!$E$5:$E$304,R2912)&lt;&gt;HomeState),0,ROUND(K2912*L2912/2,2))),"")</f>
        <v/>
      </c>
      <c r="N2912" s="61" t="str">
        <f aca="false">IF(IsPro,IF($D2912="","",M2912),"")</f>
        <v/>
      </c>
      <c r="O2912" s="61" t="str">
        <f aca="false">IF(IsPro,IF($D2912="","",IF(AND(R2912&lt;&gt;"",INDEX(Parties!$E$5:$E$304,R2912)&lt;&gt;"",INDEX(Parties!$E$5:$E$304,R2912)&lt;&gt;HomeState),ROUND(K2912*L2912,2),0)),"")</f>
        <v/>
      </c>
      <c r="P2912" s="61" t="str">
        <f aca="false">IF(IsPro,IF($D2912="","",K2912+M2912+N2912+O2912),"")</f>
        <v/>
      </c>
      <c r="Q2912" s="60" t="str">
        <f aca="false">IF(IsPro,IF($D2912="","",IFERROR(MATCH($D2912,Items!$A$5:$A$504,0),"")),"")</f>
        <v/>
      </c>
      <c r="R2912" s="60" t="str">
        <f aca="false">IF(IsPro,IF($C2912="","",IFERROR(MATCH($C2912,Parties!$A$5:$A$304,0),"")),"")</f>
        <v/>
      </c>
      <c r="S2912" s="61" t="str">
        <f aca="false">IF(IsPro,IF($D2912="","",IF(OR($H2912="",$H2912="Credit"),0,P2912)),"")</f>
        <v/>
      </c>
    </row>
    <row r="2913" customFormat="false" ht="15" hidden="false" customHeight="false" outlineLevel="0" collapsed="false">
      <c r="A2913" s="55"/>
      <c r="B2913" s="56"/>
      <c r="C2913" s="56"/>
      <c r="D2913" s="56"/>
      <c r="E2913" s="57"/>
      <c r="F2913" s="58"/>
      <c r="G2913" s="59"/>
      <c r="H2913" s="56"/>
      <c r="I2913" s="60" t="str">
        <f aca="false">IF(IsPro,IF($D2913="","",IFERROR(INDEX(Items!$D$5:$D$504,Q2913),"")),IF($D2913="","","PRO PLAN"))</f>
        <v/>
      </c>
      <c r="J2913" s="61" t="str">
        <f aca="false">IF(IsPro,IF($D2913="","",IF($F2913="",IFERROR(INDEX(Items!$G$5:$G$504,Q2913),0),$F2913)),"")</f>
        <v/>
      </c>
      <c r="K2913" s="61" t="str">
        <f aca="false">IF(IsPro,IF($D2913="","",ROUND(N($E2913)*J2913*(1-N($G2913)),2)),"")</f>
        <v/>
      </c>
      <c r="L2913" s="62" t="str">
        <f aca="false">IF(IsPro,IF($D2913="","",IFERROR(INDEX(Items!$F$5:$F$504,Q2913),0)),"")</f>
        <v/>
      </c>
      <c r="M2913" s="61" t="str">
        <f aca="false">IF(IsPro,IF($D2913="","",IF(AND(R2913&lt;&gt;"",INDEX(Parties!$E$5:$E$304,R2913)&lt;&gt;"",INDEX(Parties!$E$5:$E$304,R2913)&lt;&gt;HomeState),0,ROUND(K2913*L2913/2,2))),"")</f>
        <v/>
      </c>
      <c r="N2913" s="61" t="str">
        <f aca="false">IF(IsPro,IF($D2913="","",M2913),"")</f>
        <v/>
      </c>
      <c r="O2913" s="61" t="str">
        <f aca="false">IF(IsPro,IF($D2913="","",IF(AND(R2913&lt;&gt;"",INDEX(Parties!$E$5:$E$304,R2913)&lt;&gt;"",INDEX(Parties!$E$5:$E$304,R2913)&lt;&gt;HomeState),ROUND(K2913*L2913,2),0)),"")</f>
        <v/>
      </c>
      <c r="P2913" s="61" t="str">
        <f aca="false">IF(IsPro,IF($D2913="","",K2913+M2913+N2913+O2913),"")</f>
        <v/>
      </c>
      <c r="Q2913" s="60" t="str">
        <f aca="false">IF(IsPro,IF($D2913="","",IFERROR(MATCH($D2913,Items!$A$5:$A$504,0),"")),"")</f>
        <v/>
      </c>
      <c r="R2913" s="60" t="str">
        <f aca="false">IF(IsPro,IF($C2913="","",IFERROR(MATCH($C2913,Parties!$A$5:$A$304,0),"")),"")</f>
        <v/>
      </c>
      <c r="S2913" s="61" t="str">
        <f aca="false">IF(IsPro,IF($D2913="","",IF(OR($H2913="",$H2913="Credit"),0,P2913)),"")</f>
        <v/>
      </c>
    </row>
    <row r="2914" customFormat="false" ht="15" hidden="false" customHeight="false" outlineLevel="0" collapsed="false">
      <c r="A2914" s="55"/>
      <c r="B2914" s="56"/>
      <c r="C2914" s="56"/>
      <c r="D2914" s="56"/>
      <c r="E2914" s="57"/>
      <c r="F2914" s="58"/>
      <c r="G2914" s="59"/>
      <c r="H2914" s="56"/>
      <c r="I2914" s="60" t="str">
        <f aca="false">IF(IsPro,IF($D2914="","",IFERROR(INDEX(Items!$D$5:$D$504,Q2914),"")),IF($D2914="","","PRO PLAN"))</f>
        <v/>
      </c>
      <c r="J2914" s="61" t="str">
        <f aca="false">IF(IsPro,IF($D2914="","",IF($F2914="",IFERROR(INDEX(Items!$G$5:$G$504,Q2914),0),$F2914)),"")</f>
        <v/>
      </c>
      <c r="K2914" s="61" t="str">
        <f aca="false">IF(IsPro,IF($D2914="","",ROUND(N($E2914)*J2914*(1-N($G2914)),2)),"")</f>
        <v/>
      </c>
      <c r="L2914" s="62" t="str">
        <f aca="false">IF(IsPro,IF($D2914="","",IFERROR(INDEX(Items!$F$5:$F$504,Q2914),0)),"")</f>
        <v/>
      </c>
      <c r="M2914" s="61" t="str">
        <f aca="false">IF(IsPro,IF($D2914="","",IF(AND(R2914&lt;&gt;"",INDEX(Parties!$E$5:$E$304,R2914)&lt;&gt;"",INDEX(Parties!$E$5:$E$304,R2914)&lt;&gt;HomeState),0,ROUND(K2914*L2914/2,2))),"")</f>
        <v/>
      </c>
      <c r="N2914" s="61" t="str">
        <f aca="false">IF(IsPro,IF($D2914="","",M2914),"")</f>
        <v/>
      </c>
      <c r="O2914" s="61" t="str">
        <f aca="false">IF(IsPro,IF($D2914="","",IF(AND(R2914&lt;&gt;"",INDEX(Parties!$E$5:$E$304,R2914)&lt;&gt;"",INDEX(Parties!$E$5:$E$304,R2914)&lt;&gt;HomeState),ROUND(K2914*L2914,2),0)),"")</f>
        <v/>
      </c>
      <c r="P2914" s="61" t="str">
        <f aca="false">IF(IsPro,IF($D2914="","",K2914+M2914+N2914+O2914),"")</f>
        <v/>
      </c>
      <c r="Q2914" s="60" t="str">
        <f aca="false">IF(IsPro,IF($D2914="","",IFERROR(MATCH($D2914,Items!$A$5:$A$504,0),"")),"")</f>
        <v/>
      </c>
      <c r="R2914" s="60" t="str">
        <f aca="false">IF(IsPro,IF($C2914="","",IFERROR(MATCH($C2914,Parties!$A$5:$A$304,0),"")),"")</f>
        <v/>
      </c>
      <c r="S2914" s="61" t="str">
        <f aca="false">IF(IsPro,IF($D2914="","",IF(OR($H2914="",$H2914="Credit"),0,P2914)),"")</f>
        <v/>
      </c>
    </row>
    <row r="2915" customFormat="false" ht="15" hidden="false" customHeight="false" outlineLevel="0" collapsed="false">
      <c r="A2915" s="55"/>
      <c r="B2915" s="56"/>
      <c r="C2915" s="56"/>
      <c r="D2915" s="56"/>
      <c r="E2915" s="57"/>
      <c r="F2915" s="58"/>
      <c r="G2915" s="59"/>
      <c r="H2915" s="56"/>
      <c r="I2915" s="60" t="str">
        <f aca="false">IF(IsPro,IF($D2915="","",IFERROR(INDEX(Items!$D$5:$D$504,Q2915),"")),IF($D2915="","","PRO PLAN"))</f>
        <v/>
      </c>
      <c r="J2915" s="61" t="str">
        <f aca="false">IF(IsPro,IF($D2915="","",IF($F2915="",IFERROR(INDEX(Items!$G$5:$G$504,Q2915),0),$F2915)),"")</f>
        <v/>
      </c>
      <c r="K2915" s="61" t="str">
        <f aca="false">IF(IsPro,IF($D2915="","",ROUND(N($E2915)*J2915*(1-N($G2915)),2)),"")</f>
        <v/>
      </c>
      <c r="L2915" s="62" t="str">
        <f aca="false">IF(IsPro,IF($D2915="","",IFERROR(INDEX(Items!$F$5:$F$504,Q2915),0)),"")</f>
        <v/>
      </c>
      <c r="M2915" s="61" t="str">
        <f aca="false">IF(IsPro,IF($D2915="","",IF(AND(R2915&lt;&gt;"",INDEX(Parties!$E$5:$E$304,R2915)&lt;&gt;"",INDEX(Parties!$E$5:$E$304,R2915)&lt;&gt;HomeState),0,ROUND(K2915*L2915/2,2))),"")</f>
        <v/>
      </c>
      <c r="N2915" s="61" t="str">
        <f aca="false">IF(IsPro,IF($D2915="","",M2915),"")</f>
        <v/>
      </c>
      <c r="O2915" s="61" t="str">
        <f aca="false">IF(IsPro,IF($D2915="","",IF(AND(R2915&lt;&gt;"",INDEX(Parties!$E$5:$E$304,R2915)&lt;&gt;"",INDEX(Parties!$E$5:$E$304,R2915)&lt;&gt;HomeState),ROUND(K2915*L2915,2),0)),"")</f>
        <v/>
      </c>
      <c r="P2915" s="61" t="str">
        <f aca="false">IF(IsPro,IF($D2915="","",K2915+M2915+N2915+O2915),"")</f>
        <v/>
      </c>
      <c r="Q2915" s="60" t="str">
        <f aca="false">IF(IsPro,IF($D2915="","",IFERROR(MATCH($D2915,Items!$A$5:$A$504,0),"")),"")</f>
        <v/>
      </c>
      <c r="R2915" s="60" t="str">
        <f aca="false">IF(IsPro,IF($C2915="","",IFERROR(MATCH($C2915,Parties!$A$5:$A$304,0),"")),"")</f>
        <v/>
      </c>
      <c r="S2915" s="61" t="str">
        <f aca="false">IF(IsPro,IF($D2915="","",IF(OR($H2915="",$H2915="Credit"),0,P2915)),"")</f>
        <v/>
      </c>
    </row>
    <row r="2916" customFormat="false" ht="15" hidden="false" customHeight="false" outlineLevel="0" collapsed="false">
      <c r="A2916" s="55"/>
      <c r="B2916" s="56"/>
      <c r="C2916" s="56"/>
      <c r="D2916" s="56"/>
      <c r="E2916" s="57"/>
      <c r="F2916" s="58"/>
      <c r="G2916" s="59"/>
      <c r="H2916" s="56"/>
      <c r="I2916" s="60" t="str">
        <f aca="false">IF(IsPro,IF($D2916="","",IFERROR(INDEX(Items!$D$5:$D$504,Q2916),"")),IF($D2916="","","PRO PLAN"))</f>
        <v/>
      </c>
      <c r="J2916" s="61" t="str">
        <f aca="false">IF(IsPro,IF($D2916="","",IF($F2916="",IFERROR(INDEX(Items!$G$5:$G$504,Q2916),0),$F2916)),"")</f>
        <v/>
      </c>
      <c r="K2916" s="61" t="str">
        <f aca="false">IF(IsPro,IF($D2916="","",ROUND(N($E2916)*J2916*(1-N($G2916)),2)),"")</f>
        <v/>
      </c>
      <c r="L2916" s="62" t="str">
        <f aca="false">IF(IsPro,IF($D2916="","",IFERROR(INDEX(Items!$F$5:$F$504,Q2916),0)),"")</f>
        <v/>
      </c>
      <c r="M2916" s="61" t="str">
        <f aca="false">IF(IsPro,IF($D2916="","",IF(AND(R2916&lt;&gt;"",INDEX(Parties!$E$5:$E$304,R2916)&lt;&gt;"",INDEX(Parties!$E$5:$E$304,R2916)&lt;&gt;HomeState),0,ROUND(K2916*L2916/2,2))),"")</f>
        <v/>
      </c>
      <c r="N2916" s="61" t="str">
        <f aca="false">IF(IsPro,IF($D2916="","",M2916),"")</f>
        <v/>
      </c>
      <c r="O2916" s="61" t="str">
        <f aca="false">IF(IsPro,IF($D2916="","",IF(AND(R2916&lt;&gt;"",INDEX(Parties!$E$5:$E$304,R2916)&lt;&gt;"",INDEX(Parties!$E$5:$E$304,R2916)&lt;&gt;HomeState),ROUND(K2916*L2916,2),0)),"")</f>
        <v/>
      </c>
      <c r="P2916" s="61" t="str">
        <f aca="false">IF(IsPro,IF($D2916="","",K2916+M2916+N2916+O2916),"")</f>
        <v/>
      </c>
      <c r="Q2916" s="60" t="str">
        <f aca="false">IF(IsPro,IF($D2916="","",IFERROR(MATCH($D2916,Items!$A$5:$A$504,0),"")),"")</f>
        <v/>
      </c>
      <c r="R2916" s="60" t="str">
        <f aca="false">IF(IsPro,IF($C2916="","",IFERROR(MATCH($C2916,Parties!$A$5:$A$304,0),"")),"")</f>
        <v/>
      </c>
      <c r="S2916" s="61" t="str">
        <f aca="false">IF(IsPro,IF($D2916="","",IF(OR($H2916="",$H2916="Credit"),0,P2916)),"")</f>
        <v/>
      </c>
    </row>
    <row r="2917" customFormat="false" ht="15" hidden="false" customHeight="false" outlineLevel="0" collapsed="false">
      <c r="A2917" s="55"/>
      <c r="B2917" s="56"/>
      <c r="C2917" s="56"/>
      <c r="D2917" s="56"/>
      <c r="E2917" s="57"/>
      <c r="F2917" s="58"/>
      <c r="G2917" s="59"/>
      <c r="H2917" s="56"/>
      <c r="I2917" s="60" t="str">
        <f aca="false">IF(IsPro,IF($D2917="","",IFERROR(INDEX(Items!$D$5:$D$504,Q2917),"")),IF($D2917="","","PRO PLAN"))</f>
        <v/>
      </c>
      <c r="J2917" s="61" t="str">
        <f aca="false">IF(IsPro,IF($D2917="","",IF($F2917="",IFERROR(INDEX(Items!$G$5:$G$504,Q2917),0),$F2917)),"")</f>
        <v/>
      </c>
      <c r="K2917" s="61" t="str">
        <f aca="false">IF(IsPro,IF($D2917="","",ROUND(N($E2917)*J2917*(1-N($G2917)),2)),"")</f>
        <v/>
      </c>
      <c r="L2917" s="62" t="str">
        <f aca="false">IF(IsPro,IF($D2917="","",IFERROR(INDEX(Items!$F$5:$F$504,Q2917),0)),"")</f>
        <v/>
      </c>
      <c r="M2917" s="61" t="str">
        <f aca="false">IF(IsPro,IF($D2917="","",IF(AND(R2917&lt;&gt;"",INDEX(Parties!$E$5:$E$304,R2917)&lt;&gt;"",INDEX(Parties!$E$5:$E$304,R2917)&lt;&gt;HomeState),0,ROUND(K2917*L2917/2,2))),"")</f>
        <v/>
      </c>
      <c r="N2917" s="61" t="str">
        <f aca="false">IF(IsPro,IF($D2917="","",M2917),"")</f>
        <v/>
      </c>
      <c r="O2917" s="61" t="str">
        <f aca="false">IF(IsPro,IF($D2917="","",IF(AND(R2917&lt;&gt;"",INDEX(Parties!$E$5:$E$304,R2917)&lt;&gt;"",INDEX(Parties!$E$5:$E$304,R2917)&lt;&gt;HomeState),ROUND(K2917*L2917,2),0)),"")</f>
        <v/>
      </c>
      <c r="P2917" s="61" t="str">
        <f aca="false">IF(IsPro,IF($D2917="","",K2917+M2917+N2917+O2917),"")</f>
        <v/>
      </c>
      <c r="Q2917" s="60" t="str">
        <f aca="false">IF(IsPro,IF($D2917="","",IFERROR(MATCH($D2917,Items!$A$5:$A$504,0),"")),"")</f>
        <v/>
      </c>
      <c r="R2917" s="60" t="str">
        <f aca="false">IF(IsPro,IF($C2917="","",IFERROR(MATCH($C2917,Parties!$A$5:$A$304,0),"")),"")</f>
        <v/>
      </c>
      <c r="S2917" s="61" t="str">
        <f aca="false">IF(IsPro,IF($D2917="","",IF(OR($H2917="",$H2917="Credit"),0,P2917)),"")</f>
        <v/>
      </c>
    </row>
    <row r="2918" customFormat="false" ht="15" hidden="false" customHeight="false" outlineLevel="0" collapsed="false">
      <c r="A2918" s="55"/>
      <c r="B2918" s="56"/>
      <c r="C2918" s="56"/>
      <c r="D2918" s="56"/>
      <c r="E2918" s="57"/>
      <c r="F2918" s="58"/>
      <c r="G2918" s="59"/>
      <c r="H2918" s="56"/>
      <c r="I2918" s="60" t="str">
        <f aca="false">IF(IsPro,IF($D2918="","",IFERROR(INDEX(Items!$D$5:$D$504,Q2918),"")),IF($D2918="","","PRO PLAN"))</f>
        <v/>
      </c>
      <c r="J2918" s="61" t="str">
        <f aca="false">IF(IsPro,IF($D2918="","",IF($F2918="",IFERROR(INDEX(Items!$G$5:$G$504,Q2918),0),$F2918)),"")</f>
        <v/>
      </c>
      <c r="K2918" s="61" t="str">
        <f aca="false">IF(IsPro,IF($D2918="","",ROUND(N($E2918)*J2918*(1-N($G2918)),2)),"")</f>
        <v/>
      </c>
      <c r="L2918" s="62" t="str">
        <f aca="false">IF(IsPro,IF($D2918="","",IFERROR(INDEX(Items!$F$5:$F$504,Q2918),0)),"")</f>
        <v/>
      </c>
      <c r="M2918" s="61" t="str">
        <f aca="false">IF(IsPro,IF($D2918="","",IF(AND(R2918&lt;&gt;"",INDEX(Parties!$E$5:$E$304,R2918)&lt;&gt;"",INDEX(Parties!$E$5:$E$304,R2918)&lt;&gt;HomeState),0,ROUND(K2918*L2918/2,2))),"")</f>
        <v/>
      </c>
      <c r="N2918" s="61" t="str">
        <f aca="false">IF(IsPro,IF($D2918="","",M2918),"")</f>
        <v/>
      </c>
      <c r="O2918" s="61" t="str">
        <f aca="false">IF(IsPro,IF($D2918="","",IF(AND(R2918&lt;&gt;"",INDEX(Parties!$E$5:$E$304,R2918)&lt;&gt;"",INDEX(Parties!$E$5:$E$304,R2918)&lt;&gt;HomeState),ROUND(K2918*L2918,2),0)),"")</f>
        <v/>
      </c>
      <c r="P2918" s="61" t="str">
        <f aca="false">IF(IsPro,IF($D2918="","",K2918+M2918+N2918+O2918),"")</f>
        <v/>
      </c>
      <c r="Q2918" s="60" t="str">
        <f aca="false">IF(IsPro,IF($D2918="","",IFERROR(MATCH($D2918,Items!$A$5:$A$504,0),"")),"")</f>
        <v/>
      </c>
      <c r="R2918" s="60" t="str">
        <f aca="false">IF(IsPro,IF($C2918="","",IFERROR(MATCH($C2918,Parties!$A$5:$A$304,0),"")),"")</f>
        <v/>
      </c>
      <c r="S2918" s="61" t="str">
        <f aca="false">IF(IsPro,IF($D2918="","",IF(OR($H2918="",$H2918="Credit"),0,P2918)),"")</f>
        <v/>
      </c>
    </row>
    <row r="2919" customFormat="false" ht="15" hidden="false" customHeight="false" outlineLevel="0" collapsed="false">
      <c r="A2919" s="55"/>
      <c r="B2919" s="56"/>
      <c r="C2919" s="56"/>
      <c r="D2919" s="56"/>
      <c r="E2919" s="57"/>
      <c r="F2919" s="58"/>
      <c r="G2919" s="59"/>
      <c r="H2919" s="56"/>
      <c r="I2919" s="60" t="str">
        <f aca="false">IF(IsPro,IF($D2919="","",IFERROR(INDEX(Items!$D$5:$D$504,Q2919),"")),IF($D2919="","","PRO PLAN"))</f>
        <v/>
      </c>
      <c r="J2919" s="61" t="str">
        <f aca="false">IF(IsPro,IF($D2919="","",IF($F2919="",IFERROR(INDEX(Items!$G$5:$G$504,Q2919),0),$F2919)),"")</f>
        <v/>
      </c>
      <c r="K2919" s="61" t="str">
        <f aca="false">IF(IsPro,IF($D2919="","",ROUND(N($E2919)*J2919*(1-N($G2919)),2)),"")</f>
        <v/>
      </c>
      <c r="L2919" s="62" t="str">
        <f aca="false">IF(IsPro,IF($D2919="","",IFERROR(INDEX(Items!$F$5:$F$504,Q2919),0)),"")</f>
        <v/>
      </c>
      <c r="M2919" s="61" t="str">
        <f aca="false">IF(IsPro,IF($D2919="","",IF(AND(R2919&lt;&gt;"",INDEX(Parties!$E$5:$E$304,R2919)&lt;&gt;"",INDEX(Parties!$E$5:$E$304,R2919)&lt;&gt;HomeState),0,ROUND(K2919*L2919/2,2))),"")</f>
        <v/>
      </c>
      <c r="N2919" s="61" t="str">
        <f aca="false">IF(IsPro,IF($D2919="","",M2919),"")</f>
        <v/>
      </c>
      <c r="O2919" s="61" t="str">
        <f aca="false">IF(IsPro,IF($D2919="","",IF(AND(R2919&lt;&gt;"",INDEX(Parties!$E$5:$E$304,R2919)&lt;&gt;"",INDEX(Parties!$E$5:$E$304,R2919)&lt;&gt;HomeState),ROUND(K2919*L2919,2),0)),"")</f>
        <v/>
      </c>
      <c r="P2919" s="61" t="str">
        <f aca="false">IF(IsPro,IF($D2919="","",K2919+M2919+N2919+O2919),"")</f>
        <v/>
      </c>
      <c r="Q2919" s="60" t="str">
        <f aca="false">IF(IsPro,IF($D2919="","",IFERROR(MATCH($D2919,Items!$A$5:$A$504,0),"")),"")</f>
        <v/>
      </c>
      <c r="R2919" s="60" t="str">
        <f aca="false">IF(IsPro,IF($C2919="","",IFERROR(MATCH($C2919,Parties!$A$5:$A$304,0),"")),"")</f>
        <v/>
      </c>
      <c r="S2919" s="61" t="str">
        <f aca="false">IF(IsPro,IF($D2919="","",IF(OR($H2919="",$H2919="Credit"),0,P2919)),"")</f>
        <v/>
      </c>
    </row>
    <row r="2920" customFormat="false" ht="15" hidden="false" customHeight="false" outlineLevel="0" collapsed="false">
      <c r="A2920" s="55"/>
      <c r="B2920" s="56"/>
      <c r="C2920" s="56"/>
      <c r="D2920" s="56"/>
      <c r="E2920" s="57"/>
      <c r="F2920" s="58"/>
      <c r="G2920" s="59"/>
      <c r="H2920" s="56"/>
      <c r="I2920" s="60" t="str">
        <f aca="false">IF(IsPro,IF($D2920="","",IFERROR(INDEX(Items!$D$5:$D$504,Q2920),"")),IF($D2920="","","PRO PLAN"))</f>
        <v/>
      </c>
      <c r="J2920" s="61" t="str">
        <f aca="false">IF(IsPro,IF($D2920="","",IF($F2920="",IFERROR(INDEX(Items!$G$5:$G$504,Q2920),0),$F2920)),"")</f>
        <v/>
      </c>
      <c r="K2920" s="61" t="str">
        <f aca="false">IF(IsPro,IF($D2920="","",ROUND(N($E2920)*J2920*(1-N($G2920)),2)),"")</f>
        <v/>
      </c>
      <c r="L2920" s="62" t="str">
        <f aca="false">IF(IsPro,IF($D2920="","",IFERROR(INDEX(Items!$F$5:$F$504,Q2920),0)),"")</f>
        <v/>
      </c>
      <c r="M2920" s="61" t="str">
        <f aca="false">IF(IsPro,IF($D2920="","",IF(AND(R2920&lt;&gt;"",INDEX(Parties!$E$5:$E$304,R2920)&lt;&gt;"",INDEX(Parties!$E$5:$E$304,R2920)&lt;&gt;HomeState),0,ROUND(K2920*L2920/2,2))),"")</f>
        <v/>
      </c>
      <c r="N2920" s="61" t="str">
        <f aca="false">IF(IsPro,IF($D2920="","",M2920),"")</f>
        <v/>
      </c>
      <c r="O2920" s="61" t="str">
        <f aca="false">IF(IsPro,IF($D2920="","",IF(AND(R2920&lt;&gt;"",INDEX(Parties!$E$5:$E$304,R2920)&lt;&gt;"",INDEX(Parties!$E$5:$E$304,R2920)&lt;&gt;HomeState),ROUND(K2920*L2920,2),0)),"")</f>
        <v/>
      </c>
      <c r="P2920" s="61" t="str">
        <f aca="false">IF(IsPro,IF($D2920="","",K2920+M2920+N2920+O2920),"")</f>
        <v/>
      </c>
      <c r="Q2920" s="60" t="str">
        <f aca="false">IF(IsPro,IF($D2920="","",IFERROR(MATCH($D2920,Items!$A$5:$A$504,0),"")),"")</f>
        <v/>
      </c>
      <c r="R2920" s="60" t="str">
        <f aca="false">IF(IsPro,IF($C2920="","",IFERROR(MATCH($C2920,Parties!$A$5:$A$304,0),"")),"")</f>
        <v/>
      </c>
      <c r="S2920" s="61" t="str">
        <f aca="false">IF(IsPro,IF($D2920="","",IF(OR($H2920="",$H2920="Credit"),0,P2920)),"")</f>
        <v/>
      </c>
    </row>
    <row r="2921" customFormat="false" ht="15" hidden="false" customHeight="false" outlineLevel="0" collapsed="false">
      <c r="A2921" s="55"/>
      <c r="B2921" s="56"/>
      <c r="C2921" s="56"/>
      <c r="D2921" s="56"/>
      <c r="E2921" s="57"/>
      <c r="F2921" s="58"/>
      <c r="G2921" s="59"/>
      <c r="H2921" s="56"/>
      <c r="I2921" s="60" t="str">
        <f aca="false">IF(IsPro,IF($D2921="","",IFERROR(INDEX(Items!$D$5:$D$504,Q2921),"")),IF($D2921="","","PRO PLAN"))</f>
        <v/>
      </c>
      <c r="J2921" s="61" t="str">
        <f aca="false">IF(IsPro,IF($D2921="","",IF($F2921="",IFERROR(INDEX(Items!$G$5:$G$504,Q2921),0),$F2921)),"")</f>
        <v/>
      </c>
      <c r="K2921" s="61" t="str">
        <f aca="false">IF(IsPro,IF($D2921="","",ROUND(N($E2921)*J2921*(1-N($G2921)),2)),"")</f>
        <v/>
      </c>
      <c r="L2921" s="62" t="str">
        <f aca="false">IF(IsPro,IF($D2921="","",IFERROR(INDEX(Items!$F$5:$F$504,Q2921),0)),"")</f>
        <v/>
      </c>
      <c r="M2921" s="61" t="str">
        <f aca="false">IF(IsPro,IF($D2921="","",IF(AND(R2921&lt;&gt;"",INDEX(Parties!$E$5:$E$304,R2921)&lt;&gt;"",INDEX(Parties!$E$5:$E$304,R2921)&lt;&gt;HomeState),0,ROUND(K2921*L2921/2,2))),"")</f>
        <v/>
      </c>
      <c r="N2921" s="61" t="str">
        <f aca="false">IF(IsPro,IF($D2921="","",M2921),"")</f>
        <v/>
      </c>
      <c r="O2921" s="61" t="str">
        <f aca="false">IF(IsPro,IF($D2921="","",IF(AND(R2921&lt;&gt;"",INDEX(Parties!$E$5:$E$304,R2921)&lt;&gt;"",INDEX(Parties!$E$5:$E$304,R2921)&lt;&gt;HomeState),ROUND(K2921*L2921,2),0)),"")</f>
        <v/>
      </c>
      <c r="P2921" s="61" t="str">
        <f aca="false">IF(IsPro,IF($D2921="","",K2921+M2921+N2921+O2921),"")</f>
        <v/>
      </c>
      <c r="Q2921" s="60" t="str">
        <f aca="false">IF(IsPro,IF($D2921="","",IFERROR(MATCH($D2921,Items!$A$5:$A$504,0),"")),"")</f>
        <v/>
      </c>
      <c r="R2921" s="60" t="str">
        <f aca="false">IF(IsPro,IF($C2921="","",IFERROR(MATCH($C2921,Parties!$A$5:$A$304,0),"")),"")</f>
        <v/>
      </c>
      <c r="S2921" s="61" t="str">
        <f aca="false">IF(IsPro,IF($D2921="","",IF(OR($H2921="",$H2921="Credit"),0,P2921)),"")</f>
        <v/>
      </c>
    </row>
    <row r="2922" customFormat="false" ht="15" hidden="false" customHeight="false" outlineLevel="0" collapsed="false">
      <c r="A2922" s="55"/>
      <c r="B2922" s="56"/>
      <c r="C2922" s="56"/>
      <c r="D2922" s="56"/>
      <c r="E2922" s="57"/>
      <c r="F2922" s="58"/>
      <c r="G2922" s="59"/>
      <c r="H2922" s="56"/>
      <c r="I2922" s="60" t="str">
        <f aca="false">IF(IsPro,IF($D2922="","",IFERROR(INDEX(Items!$D$5:$D$504,Q2922),"")),IF($D2922="","","PRO PLAN"))</f>
        <v/>
      </c>
      <c r="J2922" s="61" t="str">
        <f aca="false">IF(IsPro,IF($D2922="","",IF($F2922="",IFERROR(INDEX(Items!$G$5:$G$504,Q2922),0),$F2922)),"")</f>
        <v/>
      </c>
      <c r="K2922" s="61" t="str">
        <f aca="false">IF(IsPro,IF($D2922="","",ROUND(N($E2922)*J2922*(1-N($G2922)),2)),"")</f>
        <v/>
      </c>
      <c r="L2922" s="62" t="str">
        <f aca="false">IF(IsPro,IF($D2922="","",IFERROR(INDEX(Items!$F$5:$F$504,Q2922),0)),"")</f>
        <v/>
      </c>
      <c r="M2922" s="61" t="str">
        <f aca="false">IF(IsPro,IF($D2922="","",IF(AND(R2922&lt;&gt;"",INDEX(Parties!$E$5:$E$304,R2922)&lt;&gt;"",INDEX(Parties!$E$5:$E$304,R2922)&lt;&gt;HomeState),0,ROUND(K2922*L2922/2,2))),"")</f>
        <v/>
      </c>
      <c r="N2922" s="61" t="str">
        <f aca="false">IF(IsPro,IF($D2922="","",M2922),"")</f>
        <v/>
      </c>
      <c r="O2922" s="61" t="str">
        <f aca="false">IF(IsPro,IF($D2922="","",IF(AND(R2922&lt;&gt;"",INDEX(Parties!$E$5:$E$304,R2922)&lt;&gt;"",INDEX(Parties!$E$5:$E$304,R2922)&lt;&gt;HomeState),ROUND(K2922*L2922,2),0)),"")</f>
        <v/>
      </c>
      <c r="P2922" s="61" t="str">
        <f aca="false">IF(IsPro,IF($D2922="","",K2922+M2922+N2922+O2922),"")</f>
        <v/>
      </c>
      <c r="Q2922" s="60" t="str">
        <f aca="false">IF(IsPro,IF($D2922="","",IFERROR(MATCH($D2922,Items!$A$5:$A$504,0),"")),"")</f>
        <v/>
      </c>
      <c r="R2922" s="60" t="str">
        <f aca="false">IF(IsPro,IF($C2922="","",IFERROR(MATCH($C2922,Parties!$A$5:$A$304,0),"")),"")</f>
        <v/>
      </c>
      <c r="S2922" s="61" t="str">
        <f aca="false">IF(IsPro,IF($D2922="","",IF(OR($H2922="",$H2922="Credit"),0,P2922)),"")</f>
        <v/>
      </c>
    </row>
    <row r="2923" customFormat="false" ht="15" hidden="false" customHeight="false" outlineLevel="0" collapsed="false">
      <c r="A2923" s="55"/>
      <c r="B2923" s="56"/>
      <c r="C2923" s="56"/>
      <c r="D2923" s="56"/>
      <c r="E2923" s="57"/>
      <c r="F2923" s="58"/>
      <c r="G2923" s="59"/>
      <c r="H2923" s="56"/>
      <c r="I2923" s="60" t="str">
        <f aca="false">IF(IsPro,IF($D2923="","",IFERROR(INDEX(Items!$D$5:$D$504,Q2923),"")),IF($D2923="","","PRO PLAN"))</f>
        <v/>
      </c>
      <c r="J2923" s="61" t="str">
        <f aca="false">IF(IsPro,IF($D2923="","",IF($F2923="",IFERROR(INDEX(Items!$G$5:$G$504,Q2923),0),$F2923)),"")</f>
        <v/>
      </c>
      <c r="K2923" s="61" t="str">
        <f aca="false">IF(IsPro,IF($D2923="","",ROUND(N($E2923)*J2923*(1-N($G2923)),2)),"")</f>
        <v/>
      </c>
      <c r="L2923" s="62" t="str">
        <f aca="false">IF(IsPro,IF($D2923="","",IFERROR(INDEX(Items!$F$5:$F$504,Q2923),0)),"")</f>
        <v/>
      </c>
      <c r="M2923" s="61" t="str">
        <f aca="false">IF(IsPro,IF($D2923="","",IF(AND(R2923&lt;&gt;"",INDEX(Parties!$E$5:$E$304,R2923)&lt;&gt;"",INDEX(Parties!$E$5:$E$304,R2923)&lt;&gt;HomeState),0,ROUND(K2923*L2923/2,2))),"")</f>
        <v/>
      </c>
      <c r="N2923" s="61" t="str">
        <f aca="false">IF(IsPro,IF($D2923="","",M2923),"")</f>
        <v/>
      </c>
      <c r="O2923" s="61" t="str">
        <f aca="false">IF(IsPro,IF($D2923="","",IF(AND(R2923&lt;&gt;"",INDEX(Parties!$E$5:$E$304,R2923)&lt;&gt;"",INDEX(Parties!$E$5:$E$304,R2923)&lt;&gt;HomeState),ROUND(K2923*L2923,2),0)),"")</f>
        <v/>
      </c>
      <c r="P2923" s="61" t="str">
        <f aca="false">IF(IsPro,IF($D2923="","",K2923+M2923+N2923+O2923),"")</f>
        <v/>
      </c>
      <c r="Q2923" s="60" t="str">
        <f aca="false">IF(IsPro,IF($D2923="","",IFERROR(MATCH($D2923,Items!$A$5:$A$504,0),"")),"")</f>
        <v/>
      </c>
      <c r="R2923" s="60" t="str">
        <f aca="false">IF(IsPro,IF($C2923="","",IFERROR(MATCH($C2923,Parties!$A$5:$A$304,0),"")),"")</f>
        <v/>
      </c>
      <c r="S2923" s="61" t="str">
        <f aca="false">IF(IsPro,IF($D2923="","",IF(OR($H2923="",$H2923="Credit"),0,P2923)),"")</f>
        <v/>
      </c>
    </row>
    <row r="2924" customFormat="false" ht="15" hidden="false" customHeight="false" outlineLevel="0" collapsed="false">
      <c r="A2924" s="55"/>
      <c r="B2924" s="56"/>
      <c r="C2924" s="56"/>
      <c r="D2924" s="56"/>
      <c r="E2924" s="57"/>
      <c r="F2924" s="58"/>
      <c r="G2924" s="59"/>
      <c r="H2924" s="56"/>
      <c r="I2924" s="60" t="str">
        <f aca="false">IF(IsPro,IF($D2924="","",IFERROR(INDEX(Items!$D$5:$D$504,Q2924),"")),IF($D2924="","","PRO PLAN"))</f>
        <v/>
      </c>
      <c r="J2924" s="61" t="str">
        <f aca="false">IF(IsPro,IF($D2924="","",IF($F2924="",IFERROR(INDEX(Items!$G$5:$G$504,Q2924),0),$F2924)),"")</f>
        <v/>
      </c>
      <c r="K2924" s="61" t="str">
        <f aca="false">IF(IsPro,IF($D2924="","",ROUND(N($E2924)*J2924*(1-N($G2924)),2)),"")</f>
        <v/>
      </c>
      <c r="L2924" s="62" t="str">
        <f aca="false">IF(IsPro,IF($D2924="","",IFERROR(INDEX(Items!$F$5:$F$504,Q2924),0)),"")</f>
        <v/>
      </c>
      <c r="M2924" s="61" t="str">
        <f aca="false">IF(IsPro,IF($D2924="","",IF(AND(R2924&lt;&gt;"",INDEX(Parties!$E$5:$E$304,R2924)&lt;&gt;"",INDEX(Parties!$E$5:$E$304,R2924)&lt;&gt;HomeState),0,ROUND(K2924*L2924/2,2))),"")</f>
        <v/>
      </c>
      <c r="N2924" s="61" t="str">
        <f aca="false">IF(IsPro,IF($D2924="","",M2924),"")</f>
        <v/>
      </c>
      <c r="O2924" s="61" t="str">
        <f aca="false">IF(IsPro,IF($D2924="","",IF(AND(R2924&lt;&gt;"",INDEX(Parties!$E$5:$E$304,R2924)&lt;&gt;"",INDEX(Parties!$E$5:$E$304,R2924)&lt;&gt;HomeState),ROUND(K2924*L2924,2),0)),"")</f>
        <v/>
      </c>
      <c r="P2924" s="61" t="str">
        <f aca="false">IF(IsPro,IF($D2924="","",K2924+M2924+N2924+O2924),"")</f>
        <v/>
      </c>
      <c r="Q2924" s="60" t="str">
        <f aca="false">IF(IsPro,IF($D2924="","",IFERROR(MATCH($D2924,Items!$A$5:$A$504,0),"")),"")</f>
        <v/>
      </c>
      <c r="R2924" s="60" t="str">
        <f aca="false">IF(IsPro,IF($C2924="","",IFERROR(MATCH($C2924,Parties!$A$5:$A$304,0),"")),"")</f>
        <v/>
      </c>
      <c r="S2924" s="61" t="str">
        <f aca="false">IF(IsPro,IF($D2924="","",IF(OR($H2924="",$H2924="Credit"),0,P2924)),"")</f>
        <v/>
      </c>
    </row>
    <row r="2925" customFormat="false" ht="15" hidden="false" customHeight="false" outlineLevel="0" collapsed="false">
      <c r="A2925" s="55"/>
      <c r="B2925" s="56"/>
      <c r="C2925" s="56"/>
      <c r="D2925" s="56"/>
      <c r="E2925" s="57"/>
      <c r="F2925" s="58"/>
      <c r="G2925" s="59"/>
      <c r="H2925" s="56"/>
      <c r="I2925" s="60" t="str">
        <f aca="false">IF(IsPro,IF($D2925="","",IFERROR(INDEX(Items!$D$5:$D$504,Q2925),"")),IF($D2925="","","PRO PLAN"))</f>
        <v/>
      </c>
      <c r="J2925" s="61" t="str">
        <f aca="false">IF(IsPro,IF($D2925="","",IF($F2925="",IFERROR(INDEX(Items!$G$5:$G$504,Q2925),0),$F2925)),"")</f>
        <v/>
      </c>
      <c r="K2925" s="61" t="str">
        <f aca="false">IF(IsPro,IF($D2925="","",ROUND(N($E2925)*J2925*(1-N($G2925)),2)),"")</f>
        <v/>
      </c>
      <c r="L2925" s="62" t="str">
        <f aca="false">IF(IsPro,IF($D2925="","",IFERROR(INDEX(Items!$F$5:$F$504,Q2925),0)),"")</f>
        <v/>
      </c>
      <c r="M2925" s="61" t="str">
        <f aca="false">IF(IsPro,IF($D2925="","",IF(AND(R2925&lt;&gt;"",INDEX(Parties!$E$5:$E$304,R2925)&lt;&gt;"",INDEX(Parties!$E$5:$E$304,R2925)&lt;&gt;HomeState),0,ROUND(K2925*L2925/2,2))),"")</f>
        <v/>
      </c>
      <c r="N2925" s="61" t="str">
        <f aca="false">IF(IsPro,IF($D2925="","",M2925),"")</f>
        <v/>
      </c>
      <c r="O2925" s="61" t="str">
        <f aca="false">IF(IsPro,IF($D2925="","",IF(AND(R2925&lt;&gt;"",INDEX(Parties!$E$5:$E$304,R2925)&lt;&gt;"",INDEX(Parties!$E$5:$E$304,R2925)&lt;&gt;HomeState),ROUND(K2925*L2925,2),0)),"")</f>
        <v/>
      </c>
      <c r="P2925" s="61" t="str">
        <f aca="false">IF(IsPro,IF($D2925="","",K2925+M2925+N2925+O2925),"")</f>
        <v/>
      </c>
      <c r="Q2925" s="60" t="str">
        <f aca="false">IF(IsPro,IF($D2925="","",IFERROR(MATCH($D2925,Items!$A$5:$A$504,0),"")),"")</f>
        <v/>
      </c>
      <c r="R2925" s="60" t="str">
        <f aca="false">IF(IsPro,IF($C2925="","",IFERROR(MATCH($C2925,Parties!$A$5:$A$304,0),"")),"")</f>
        <v/>
      </c>
      <c r="S2925" s="61" t="str">
        <f aca="false">IF(IsPro,IF($D2925="","",IF(OR($H2925="",$H2925="Credit"),0,P2925)),"")</f>
        <v/>
      </c>
    </row>
    <row r="2926" customFormat="false" ht="15" hidden="false" customHeight="false" outlineLevel="0" collapsed="false">
      <c r="A2926" s="55"/>
      <c r="B2926" s="56"/>
      <c r="C2926" s="56"/>
      <c r="D2926" s="56"/>
      <c r="E2926" s="57"/>
      <c r="F2926" s="58"/>
      <c r="G2926" s="59"/>
      <c r="H2926" s="56"/>
      <c r="I2926" s="60" t="str">
        <f aca="false">IF(IsPro,IF($D2926="","",IFERROR(INDEX(Items!$D$5:$D$504,Q2926),"")),IF($D2926="","","PRO PLAN"))</f>
        <v/>
      </c>
      <c r="J2926" s="61" t="str">
        <f aca="false">IF(IsPro,IF($D2926="","",IF($F2926="",IFERROR(INDEX(Items!$G$5:$G$504,Q2926),0),$F2926)),"")</f>
        <v/>
      </c>
      <c r="K2926" s="61" t="str">
        <f aca="false">IF(IsPro,IF($D2926="","",ROUND(N($E2926)*J2926*(1-N($G2926)),2)),"")</f>
        <v/>
      </c>
      <c r="L2926" s="62" t="str">
        <f aca="false">IF(IsPro,IF($D2926="","",IFERROR(INDEX(Items!$F$5:$F$504,Q2926),0)),"")</f>
        <v/>
      </c>
      <c r="M2926" s="61" t="str">
        <f aca="false">IF(IsPro,IF($D2926="","",IF(AND(R2926&lt;&gt;"",INDEX(Parties!$E$5:$E$304,R2926)&lt;&gt;"",INDEX(Parties!$E$5:$E$304,R2926)&lt;&gt;HomeState),0,ROUND(K2926*L2926/2,2))),"")</f>
        <v/>
      </c>
      <c r="N2926" s="61" t="str">
        <f aca="false">IF(IsPro,IF($D2926="","",M2926),"")</f>
        <v/>
      </c>
      <c r="O2926" s="61" t="str">
        <f aca="false">IF(IsPro,IF($D2926="","",IF(AND(R2926&lt;&gt;"",INDEX(Parties!$E$5:$E$304,R2926)&lt;&gt;"",INDEX(Parties!$E$5:$E$304,R2926)&lt;&gt;HomeState),ROUND(K2926*L2926,2),0)),"")</f>
        <v/>
      </c>
      <c r="P2926" s="61" t="str">
        <f aca="false">IF(IsPro,IF($D2926="","",K2926+M2926+N2926+O2926),"")</f>
        <v/>
      </c>
      <c r="Q2926" s="60" t="str">
        <f aca="false">IF(IsPro,IF($D2926="","",IFERROR(MATCH($D2926,Items!$A$5:$A$504,0),"")),"")</f>
        <v/>
      </c>
      <c r="R2926" s="60" t="str">
        <f aca="false">IF(IsPro,IF($C2926="","",IFERROR(MATCH($C2926,Parties!$A$5:$A$304,0),"")),"")</f>
        <v/>
      </c>
      <c r="S2926" s="61" t="str">
        <f aca="false">IF(IsPro,IF($D2926="","",IF(OR($H2926="",$H2926="Credit"),0,P2926)),"")</f>
        <v/>
      </c>
    </row>
    <row r="2927" customFormat="false" ht="15" hidden="false" customHeight="false" outlineLevel="0" collapsed="false">
      <c r="A2927" s="55"/>
      <c r="B2927" s="56"/>
      <c r="C2927" s="56"/>
      <c r="D2927" s="56"/>
      <c r="E2927" s="57"/>
      <c r="F2927" s="58"/>
      <c r="G2927" s="59"/>
      <c r="H2927" s="56"/>
      <c r="I2927" s="60" t="str">
        <f aca="false">IF(IsPro,IF($D2927="","",IFERROR(INDEX(Items!$D$5:$D$504,Q2927),"")),IF($D2927="","","PRO PLAN"))</f>
        <v/>
      </c>
      <c r="J2927" s="61" t="str">
        <f aca="false">IF(IsPro,IF($D2927="","",IF($F2927="",IFERROR(INDEX(Items!$G$5:$G$504,Q2927),0),$F2927)),"")</f>
        <v/>
      </c>
      <c r="K2927" s="61" t="str">
        <f aca="false">IF(IsPro,IF($D2927="","",ROUND(N($E2927)*J2927*(1-N($G2927)),2)),"")</f>
        <v/>
      </c>
      <c r="L2927" s="62" t="str">
        <f aca="false">IF(IsPro,IF($D2927="","",IFERROR(INDEX(Items!$F$5:$F$504,Q2927),0)),"")</f>
        <v/>
      </c>
      <c r="M2927" s="61" t="str">
        <f aca="false">IF(IsPro,IF($D2927="","",IF(AND(R2927&lt;&gt;"",INDEX(Parties!$E$5:$E$304,R2927)&lt;&gt;"",INDEX(Parties!$E$5:$E$304,R2927)&lt;&gt;HomeState),0,ROUND(K2927*L2927/2,2))),"")</f>
        <v/>
      </c>
      <c r="N2927" s="61" t="str">
        <f aca="false">IF(IsPro,IF($D2927="","",M2927),"")</f>
        <v/>
      </c>
      <c r="O2927" s="61" t="str">
        <f aca="false">IF(IsPro,IF($D2927="","",IF(AND(R2927&lt;&gt;"",INDEX(Parties!$E$5:$E$304,R2927)&lt;&gt;"",INDEX(Parties!$E$5:$E$304,R2927)&lt;&gt;HomeState),ROUND(K2927*L2927,2),0)),"")</f>
        <v/>
      </c>
      <c r="P2927" s="61" t="str">
        <f aca="false">IF(IsPro,IF($D2927="","",K2927+M2927+N2927+O2927),"")</f>
        <v/>
      </c>
      <c r="Q2927" s="60" t="str">
        <f aca="false">IF(IsPro,IF($D2927="","",IFERROR(MATCH($D2927,Items!$A$5:$A$504,0),"")),"")</f>
        <v/>
      </c>
      <c r="R2927" s="60" t="str">
        <f aca="false">IF(IsPro,IF($C2927="","",IFERROR(MATCH($C2927,Parties!$A$5:$A$304,0),"")),"")</f>
        <v/>
      </c>
      <c r="S2927" s="61" t="str">
        <f aca="false">IF(IsPro,IF($D2927="","",IF(OR($H2927="",$H2927="Credit"),0,P2927)),"")</f>
        <v/>
      </c>
    </row>
    <row r="2928" customFormat="false" ht="15" hidden="false" customHeight="false" outlineLevel="0" collapsed="false">
      <c r="A2928" s="55"/>
      <c r="B2928" s="56"/>
      <c r="C2928" s="56"/>
      <c r="D2928" s="56"/>
      <c r="E2928" s="57"/>
      <c r="F2928" s="58"/>
      <c r="G2928" s="59"/>
      <c r="H2928" s="56"/>
      <c r="I2928" s="60" t="str">
        <f aca="false">IF(IsPro,IF($D2928="","",IFERROR(INDEX(Items!$D$5:$D$504,Q2928),"")),IF($D2928="","","PRO PLAN"))</f>
        <v/>
      </c>
      <c r="J2928" s="61" t="str">
        <f aca="false">IF(IsPro,IF($D2928="","",IF($F2928="",IFERROR(INDEX(Items!$G$5:$G$504,Q2928),0),$F2928)),"")</f>
        <v/>
      </c>
      <c r="K2928" s="61" t="str">
        <f aca="false">IF(IsPro,IF($D2928="","",ROUND(N($E2928)*J2928*(1-N($G2928)),2)),"")</f>
        <v/>
      </c>
      <c r="L2928" s="62" t="str">
        <f aca="false">IF(IsPro,IF($D2928="","",IFERROR(INDEX(Items!$F$5:$F$504,Q2928),0)),"")</f>
        <v/>
      </c>
      <c r="M2928" s="61" t="str">
        <f aca="false">IF(IsPro,IF($D2928="","",IF(AND(R2928&lt;&gt;"",INDEX(Parties!$E$5:$E$304,R2928)&lt;&gt;"",INDEX(Parties!$E$5:$E$304,R2928)&lt;&gt;HomeState),0,ROUND(K2928*L2928/2,2))),"")</f>
        <v/>
      </c>
      <c r="N2928" s="61" t="str">
        <f aca="false">IF(IsPro,IF($D2928="","",M2928),"")</f>
        <v/>
      </c>
      <c r="O2928" s="61" t="str">
        <f aca="false">IF(IsPro,IF($D2928="","",IF(AND(R2928&lt;&gt;"",INDEX(Parties!$E$5:$E$304,R2928)&lt;&gt;"",INDEX(Parties!$E$5:$E$304,R2928)&lt;&gt;HomeState),ROUND(K2928*L2928,2),0)),"")</f>
        <v/>
      </c>
      <c r="P2928" s="61" t="str">
        <f aca="false">IF(IsPro,IF($D2928="","",K2928+M2928+N2928+O2928),"")</f>
        <v/>
      </c>
      <c r="Q2928" s="60" t="str">
        <f aca="false">IF(IsPro,IF($D2928="","",IFERROR(MATCH($D2928,Items!$A$5:$A$504,0),"")),"")</f>
        <v/>
      </c>
      <c r="R2928" s="60" t="str">
        <f aca="false">IF(IsPro,IF($C2928="","",IFERROR(MATCH($C2928,Parties!$A$5:$A$304,0),"")),"")</f>
        <v/>
      </c>
      <c r="S2928" s="61" t="str">
        <f aca="false">IF(IsPro,IF($D2928="","",IF(OR($H2928="",$H2928="Credit"),0,P2928)),"")</f>
        <v/>
      </c>
    </row>
    <row r="2929" customFormat="false" ht="15" hidden="false" customHeight="false" outlineLevel="0" collapsed="false">
      <c r="A2929" s="55"/>
      <c r="B2929" s="56"/>
      <c r="C2929" s="56"/>
      <c r="D2929" s="56"/>
      <c r="E2929" s="57"/>
      <c r="F2929" s="58"/>
      <c r="G2929" s="59"/>
      <c r="H2929" s="56"/>
      <c r="I2929" s="60" t="str">
        <f aca="false">IF(IsPro,IF($D2929="","",IFERROR(INDEX(Items!$D$5:$D$504,Q2929),"")),IF($D2929="","","PRO PLAN"))</f>
        <v/>
      </c>
      <c r="J2929" s="61" t="str">
        <f aca="false">IF(IsPro,IF($D2929="","",IF($F2929="",IFERROR(INDEX(Items!$G$5:$G$504,Q2929),0),$F2929)),"")</f>
        <v/>
      </c>
      <c r="K2929" s="61" t="str">
        <f aca="false">IF(IsPro,IF($D2929="","",ROUND(N($E2929)*J2929*(1-N($G2929)),2)),"")</f>
        <v/>
      </c>
      <c r="L2929" s="62" t="str">
        <f aca="false">IF(IsPro,IF($D2929="","",IFERROR(INDEX(Items!$F$5:$F$504,Q2929),0)),"")</f>
        <v/>
      </c>
      <c r="M2929" s="61" t="str">
        <f aca="false">IF(IsPro,IF($D2929="","",IF(AND(R2929&lt;&gt;"",INDEX(Parties!$E$5:$E$304,R2929)&lt;&gt;"",INDEX(Parties!$E$5:$E$304,R2929)&lt;&gt;HomeState),0,ROUND(K2929*L2929/2,2))),"")</f>
        <v/>
      </c>
      <c r="N2929" s="61" t="str">
        <f aca="false">IF(IsPro,IF($D2929="","",M2929),"")</f>
        <v/>
      </c>
      <c r="O2929" s="61" t="str">
        <f aca="false">IF(IsPro,IF($D2929="","",IF(AND(R2929&lt;&gt;"",INDEX(Parties!$E$5:$E$304,R2929)&lt;&gt;"",INDEX(Parties!$E$5:$E$304,R2929)&lt;&gt;HomeState),ROUND(K2929*L2929,2),0)),"")</f>
        <v/>
      </c>
      <c r="P2929" s="61" t="str">
        <f aca="false">IF(IsPro,IF($D2929="","",K2929+M2929+N2929+O2929),"")</f>
        <v/>
      </c>
      <c r="Q2929" s="60" t="str">
        <f aca="false">IF(IsPro,IF($D2929="","",IFERROR(MATCH($D2929,Items!$A$5:$A$504,0),"")),"")</f>
        <v/>
      </c>
      <c r="R2929" s="60" t="str">
        <f aca="false">IF(IsPro,IF($C2929="","",IFERROR(MATCH($C2929,Parties!$A$5:$A$304,0),"")),"")</f>
        <v/>
      </c>
      <c r="S2929" s="61" t="str">
        <f aca="false">IF(IsPro,IF($D2929="","",IF(OR($H2929="",$H2929="Credit"),0,P2929)),"")</f>
        <v/>
      </c>
    </row>
    <row r="2930" customFormat="false" ht="15" hidden="false" customHeight="false" outlineLevel="0" collapsed="false">
      <c r="A2930" s="55"/>
      <c r="B2930" s="56"/>
      <c r="C2930" s="56"/>
      <c r="D2930" s="56"/>
      <c r="E2930" s="57"/>
      <c r="F2930" s="58"/>
      <c r="G2930" s="59"/>
      <c r="H2930" s="56"/>
      <c r="I2930" s="60" t="str">
        <f aca="false">IF(IsPro,IF($D2930="","",IFERROR(INDEX(Items!$D$5:$D$504,Q2930),"")),IF($D2930="","","PRO PLAN"))</f>
        <v/>
      </c>
      <c r="J2930" s="61" t="str">
        <f aca="false">IF(IsPro,IF($D2930="","",IF($F2930="",IFERROR(INDEX(Items!$G$5:$G$504,Q2930),0),$F2930)),"")</f>
        <v/>
      </c>
      <c r="K2930" s="61" t="str">
        <f aca="false">IF(IsPro,IF($D2930="","",ROUND(N($E2930)*J2930*(1-N($G2930)),2)),"")</f>
        <v/>
      </c>
      <c r="L2930" s="62" t="str">
        <f aca="false">IF(IsPro,IF($D2930="","",IFERROR(INDEX(Items!$F$5:$F$504,Q2930),0)),"")</f>
        <v/>
      </c>
      <c r="M2930" s="61" t="str">
        <f aca="false">IF(IsPro,IF($D2930="","",IF(AND(R2930&lt;&gt;"",INDEX(Parties!$E$5:$E$304,R2930)&lt;&gt;"",INDEX(Parties!$E$5:$E$304,R2930)&lt;&gt;HomeState),0,ROUND(K2930*L2930/2,2))),"")</f>
        <v/>
      </c>
      <c r="N2930" s="61" t="str">
        <f aca="false">IF(IsPro,IF($D2930="","",M2930),"")</f>
        <v/>
      </c>
      <c r="O2930" s="61" t="str">
        <f aca="false">IF(IsPro,IF($D2930="","",IF(AND(R2930&lt;&gt;"",INDEX(Parties!$E$5:$E$304,R2930)&lt;&gt;"",INDEX(Parties!$E$5:$E$304,R2930)&lt;&gt;HomeState),ROUND(K2930*L2930,2),0)),"")</f>
        <v/>
      </c>
      <c r="P2930" s="61" t="str">
        <f aca="false">IF(IsPro,IF($D2930="","",K2930+M2930+N2930+O2930),"")</f>
        <v/>
      </c>
      <c r="Q2930" s="60" t="str">
        <f aca="false">IF(IsPro,IF($D2930="","",IFERROR(MATCH($D2930,Items!$A$5:$A$504,0),"")),"")</f>
        <v/>
      </c>
      <c r="R2930" s="60" t="str">
        <f aca="false">IF(IsPro,IF($C2930="","",IFERROR(MATCH($C2930,Parties!$A$5:$A$304,0),"")),"")</f>
        <v/>
      </c>
      <c r="S2930" s="61" t="str">
        <f aca="false">IF(IsPro,IF($D2930="","",IF(OR($H2930="",$H2930="Credit"),0,P2930)),"")</f>
        <v/>
      </c>
    </row>
    <row r="2931" customFormat="false" ht="15" hidden="false" customHeight="false" outlineLevel="0" collapsed="false">
      <c r="A2931" s="55"/>
      <c r="B2931" s="56"/>
      <c r="C2931" s="56"/>
      <c r="D2931" s="56"/>
      <c r="E2931" s="57"/>
      <c r="F2931" s="58"/>
      <c r="G2931" s="59"/>
      <c r="H2931" s="56"/>
      <c r="I2931" s="60" t="str">
        <f aca="false">IF(IsPro,IF($D2931="","",IFERROR(INDEX(Items!$D$5:$D$504,Q2931),"")),IF($D2931="","","PRO PLAN"))</f>
        <v/>
      </c>
      <c r="J2931" s="61" t="str">
        <f aca="false">IF(IsPro,IF($D2931="","",IF($F2931="",IFERROR(INDEX(Items!$G$5:$G$504,Q2931),0),$F2931)),"")</f>
        <v/>
      </c>
      <c r="K2931" s="61" t="str">
        <f aca="false">IF(IsPro,IF($D2931="","",ROUND(N($E2931)*J2931*(1-N($G2931)),2)),"")</f>
        <v/>
      </c>
      <c r="L2931" s="62" t="str">
        <f aca="false">IF(IsPro,IF($D2931="","",IFERROR(INDEX(Items!$F$5:$F$504,Q2931),0)),"")</f>
        <v/>
      </c>
      <c r="M2931" s="61" t="str">
        <f aca="false">IF(IsPro,IF($D2931="","",IF(AND(R2931&lt;&gt;"",INDEX(Parties!$E$5:$E$304,R2931)&lt;&gt;"",INDEX(Parties!$E$5:$E$304,R2931)&lt;&gt;HomeState),0,ROUND(K2931*L2931/2,2))),"")</f>
        <v/>
      </c>
      <c r="N2931" s="61" t="str">
        <f aca="false">IF(IsPro,IF($D2931="","",M2931),"")</f>
        <v/>
      </c>
      <c r="O2931" s="61" t="str">
        <f aca="false">IF(IsPro,IF($D2931="","",IF(AND(R2931&lt;&gt;"",INDEX(Parties!$E$5:$E$304,R2931)&lt;&gt;"",INDEX(Parties!$E$5:$E$304,R2931)&lt;&gt;HomeState),ROUND(K2931*L2931,2),0)),"")</f>
        <v/>
      </c>
      <c r="P2931" s="61" t="str">
        <f aca="false">IF(IsPro,IF($D2931="","",K2931+M2931+N2931+O2931),"")</f>
        <v/>
      </c>
      <c r="Q2931" s="60" t="str">
        <f aca="false">IF(IsPro,IF($D2931="","",IFERROR(MATCH($D2931,Items!$A$5:$A$504,0),"")),"")</f>
        <v/>
      </c>
      <c r="R2931" s="60" t="str">
        <f aca="false">IF(IsPro,IF($C2931="","",IFERROR(MATCH($C2931,Parties!$A$5:$A$304,0),"")),"")</f>
        <v/>
      </c>
      <c r="S2931" s="61" t="str">
        <f aca="false">IF(IsPro,IF($D2931="","",IF(OR($H2931="",$H2931="Credit"),0,P2931)),"")</f>
        <v/>
      </c>
    </row>
    <row r="2932" customFormat="false" ht="15" hidden="false" customHeight="false" outlineLevel="0" collapsed="false">
      <c r="A2932" s="55"/>
      <c r="B2932" s="56"/>
      <c r="C2932" s="56"/>
      <c r="D2932" s="56"/>
      <c r="E2932" s="57"/>
      <c r="F2932" s="58"/>
      <c r="G2932" s="59"/>
      <c r="H2932" s="56"/>
      <c r="I2932" s="60" t="str">
        <f aca="false">IF(IsPro,IF($D2932="","",IFERROR(INDEX(Items!$D$5:$D$504,Q2932),"")),IF($D2932="","","PRO PLAN"))</f>
        <v/>
      </c>
      <c r="J2932" s="61" t="str">
        <f aca="false">IF(IsPro,IF($D2932="","",IF($F2932="",IFERROR(INDEX(Items!$G$5:$G$504,Q2932),0),$F2932)),"")</f>
        <v/>
      </c>
      <c r="K2932" s="61" t="str">
        <f aca="false">IF(IsPro,IF($D2932="","",ROUND(N($E2932)*J2932*(1-N($G2932)),2)),"")</f>
        <v/>
      </c>
      <c r="L2932" s="62" t="str">
        <f aca="false">IF(IsPro,IF($D2932="","",IFERROR(INDEX(Items!$F$5:$F$504,Q2932),0)),"")</f>
        <v/>
      </c>
      <c r="M2932" s="61" t="str">
        <f aca="false">IF(IsPro,IF($D2932="","",IF(AND(R2932&lt;&gt;"",INDEX(Parties!$E$5:$E$304,R2932)&lt;&gt;"",INDEX(Parties!$E$5:$E$304,R2932)&lt;&gt;HomeState),0,ROUND(K2932*L2932/2,2))),"")</f>
        <v/>
      </c>
      <c r="N2932" s="61" t="str">
        <f aca="false">IF(IsPro,IF($D2932="","",M2932),"")</f>
        <v/>
      </c>
      <c r="O2932" s="61" t="str">
        <f aca="false">IF(IsPro,IF($D2932="","",IF(AND(R2932&lt;&gt;"",INDEX(Parties!$E$5:$E$304,R2932)&lt;&gt;"",INDEX(Parties!$E$5:$E$304,R2932)&lt;&gt;HomeState),ROUND(K2932*L2932,2),0)),"")</f>
        <v/>
      </c>
      <c r="P2932" s="61" t="str">
        <f aca="false">IF(IsPro,IF($D2932="","",K2932+M2932+N2932+O2932),"")</f>
        <v/>
      </c>
      <c r="Q2932" s="60" t="str">
        <f aca="false">IF(IsPro,IF($D2932="","",IFERROR(MATCH($D2932,Items!$A$5:$A$504,0),"")),"")</f>
        <v/>
      </c>
      <c r="R2932" s="60" t="str">
        <f aca="false">IF(IsPro,IF($C2932="","",IFERROR(MATCH($C2932,Parties!$A$5:$A$304,0),"")),"")</f>
        <v/>
      </c>
      <c r="S2932" s="61" t="str">
        <f aca="false">IF(IsPro,IF($D2932="","",IF(OR($H2932="",$H2932="Credit"),0,P2932)),"")</f>
        <v/>
      </c>
    </row>
    <row r="2933" customFormat="false" ht="15" hidden="false" customHeight="false" outlineLevel="0" collapsed="false">
      <c r="A2933" s="55"/>
      <c r="B2933" s="56"/>
      <c r="C2933" s="56"/>
      <c r="D2933" s="56"/>
      <c r="E2933" s="57"/>
      <c r="F2933" s="58"/>
      <c r="G2933" s="59"/>
      <c r="H2933" s="56"/>
      <c r="I2933" s="60" t="str">
        <f aca="false">IF(IsPro,IF($D2933="","",IFERROR(INDEX(Items!$D$5:$D$504,Q2933),"")),IF($D2933="","","PRO PLAN"))</f>
        <v/>
      </c>
      <c r="J2933" s="61" t="str">
        <f aca="false">IF(IsPro,IF($D2933="","",IF($F2933="",IFERROR(INDEX(Items!$G$5:$G$504,Q2933),0),$F2933)),"")</f>
        <v/>
      </c>
      <c r="K2933" s="61" t="str">
        <f aca="false">IF(IsPro,IF($D2933="","",ROUND(N($E2933)*J2933*(1-N($G2933)),2)),"")</f>
        <v/>
      </c>
      <c r="L2933" s="62" t="str">
        <f aca="false">IF(IsPro,IF($D2933="","",IFERROR(INDEX(Items!$F$5:$F$504,Q2933),0)),"")</f>
        <v/>
      </c>
      <c r="M2933" s="61" t="str">
        <f aca="false">IF(IsPro,IF($D2933="","",IF(AND(R2933&lt;&gt;"",INDEX(Parties!$E$5:$E$304,R2933)&lt;&gt;"",INDEX(Parties!$E$5:$E$304,R2933)&lt;&gt;HomeState),0,ROUND(K2933*L2933/2,2))),"")</f>
        <v/>
      </c>
      <c r="N2933" s="61" t="str">
        <f aca="false">IF(IsPro,IF($D2933="","",M2933),"")</f>
        <v/>
      </c>
      <c r="O2933" s="61" t="str">
        <f aca="false">IF(IsPro,IF($D2933="","",IF(AND(R2933&lt;&gt;"",INDEX(Parties!$E$5:$E$304,R2933)&lt;&gt;"",INDEX(Parties!$E$5:$E$304,R2933)&lt;&gt;HomeState),ROUND(K2933*L2933,2),0)),"")</f>
        <v/>
      </c>
      <c r="P2933" s="61" t="str">
        <f aca="false">IF(IsPro,IF($D2933="","",K2933+M2933+N2933+O2933),"")</f>
        <v/>
      </c>
      <c r="Q2933" s="60" t="str">
        <f aca="false">IF(IsPro,IF($D2933="","",IFERROR(MATCH($D2933,Items!$A$5:$A$504,0),"")),"")</f>
        <v/>
      </c>
      <c r="R2933" s="60" t="str">
        <f aca="false">IF(IsPro,IF($C2933="","",IFERROR(MATCH($C2933,Parties!$A$5:$A$304,0),"")),"")</f>
        <v/>
      </c>
      <c r="S2933" s="61" t="str">
        <f aca="false">IF(IsPro,IF($D2933="","",IF(OR($H2933="",$H2933="Credit"),0,P2933)),"")</f>
        <v/>
      </c>
    </row>
    <row r="2934" customFormat="false" ht="15" hidden="false" customHeight="false" outlineLevel="0" collapsed="false">
      <c r="A2934" s="55"/>
      <c r="B2934" s="56"/>
      <c r="C2934" s="56"/>
      <c r="D2934" s="56"/>
      <c r="E2934" s="57"/>
      <c r="F2934" s="58"/>
      <c r="G2934" s="59"/>
      <c r="H2934" s="56"/>
      <c r="I2934" s="60" t="str">
        <f aca="false">IF(IsPro,IF($D2934="","",IFERROR(INDEX(Items!$D$5:$D$504,Q2934),"")),IF($D2934="","","PRO PLAN"))</f>
        <v/>
      </c>
      <c r="J2934" s="61" t="str">
        <f aca="false">IF(IsPro,IF($D2934="","",IF($F2934="",IFERROR(INDEX(Items!$G$5:$G$504,Q2934),0),$F2934)),"")</f>
        <v/>
      </c>
      <c r="K2934" s="61" t="str">
        <f aca="false">IF(IsPro,IF($D2934="","",ROUND(N($E2934)*J2934*(1-N($G2934)),2)),"")</f>
        <v/>
      </c>
      <c r="L2934" s="62" t="str">
        <f aca="false">IF(IsPro,IF($D2934="","",IFERROR(INDEX(Items!$F$5:$F$504,Q2934),0)),"")</f>
        <v/>
      </c>
      <c r="M2934" s="61" t="str">
        <f aca="false">IF(IsPro,IF($D2934="","",IF(AND(R2934&lt;&gt;"",INDEX(Parties!$E$5:$E$304,R2934)&lt;&gt;"",INDEX(Parties!$E$5:$E$304,R2934)&lt;&gt;HomeState),0,ROUND(K2934*L2934/2,2))),"")</f>
        <v/>
      </c>
      <c r="N2934" s="61" t="str">
        <f aca="false">IF(IsPro,IF($D2934="","",M2934),"")</f>
        <v/>
      </c>
      <c r="O2934" s="61" t="str">
        <f aca="false">IF(IsPro,IF($D2934="","",IF(AND(R2934&lt;&gt;"",INDEX(Parties!$E$5:$E$304,R2934)&lt;&gt;"",INDEX(Parties!$E$5:$E$304,R2934)&lt;&gt;HomeState),ROUND(K2934*L2934,2),0)),"")</f>
        <v/>
      </c>
      <c r="P2934" s="61" t="str">
        <f aca="false">IF(IsPro,IF($D2934="","",K2934+M2934+N2934+O2934),"")</f>
        <v/>
      </c>
      <c r="Q2934" s="60" t="str">
        <f aca="false">IF(IsPro,IF($D2934="","",IFERROR(MATCH($D2934,Items!$A$5:$A$504,0),"")),"")</f>
        <v/>
      </c>
      <c r="R2934" s="60" t="str">
        <f aca="false">IF(IsPro,IF($C2934="","",IFERROR(MATCH($C2934,Parties!$A$5:$A$304,0),"")),"")</f>
        <v/>
      </c>
      <c r="S2934" s="61" t="str">
        <f aca="false">IF(IsPro,IF($D2934="","",IF(OR($H2934="",$H2934="Credit"),0,P2934)),"")</f>
        <v/>
      </c>
    </row>
    <row r="2935" customFormat="false" ht="15" hidden="false" customHeight="false" outlineLevel="0" collapsed="false">
      <c r="A2935" s="55"/>
      <c r="B2935" s="56"/>
      <c r="C2935" s="56"/>
      <c r="D2935" s="56"/>
      <c r="E2935" s="57"/>
      <c r="F2935" s="58"/>
      <c r="G2935" s="59"/>
      <c r="H2935" s="56"/>
      <c r="I2935" s="60" t="str">
        <f aca="false">IF(IsPro,IF($D2935="","",IFERROR(INDEX(Items!$D$5:$D$504,Q2935),"")),IF($D2935="","","PRO PLAN"))</f>
        <v/>
      </c>
      <c r="J2935" s="61" t="str">
        <f aca="false">IF(IsPro,IF($D2935="","",IF($F2935="",IFERROR(INDEX(Items!$G$5:$G$504,Q2935),0),$F2935)),"")</f>
        <v/>
      </c>
      <c r="K2935" s="61" t="str">
        <f aca="false">IF(IsPro,IF($D2935="","",ROUND(N($E2935)*J2935*(1-N($G2935)),2)),"")</f>
        <v/>
      </c>
      <c r="L2935" s="62" t="str">
        <f aca="false">IF(IsPro,IF($D2935="","",IFERROR(INDEX(Items!$F$5:$F$504,Q2935),0)),"")</f>
        <v/>
      </c>
      <c r="M2935" s="61" t="str">
        <f aca="false">IF(IsPro,IF($D2935="","",IF(AND(R2935&lt;&gt;"",INDEX(Parties!$E$5:$E$304,R2935)&lt;&gt;"",INDEX(Parties!$E$5:$E$304,R2935)&lt;&gt;HomeState),0,ROUND(K2935*L2935/2,2))),"")</f>
        <v/>
      </c>
      <c r="N2935" s="61" t="str">
        <f aca="false">IF(IsPro,IF($D2935="","",M2935),"")</f>
        <v/>
      </c>
      <c r="O2935" s="61" t="str">
        <f aca="false">IF(IsPro,IF($D2935="","",IF(AND(R2935&lt;&gt;"",INDEX(Parties!$E$5:$E$304,R2935)&lt;&gt;"",INDEX(Parties!$E$5:$E$304,R2935)&lt;&gt;HomeState),ROUND(K2935*L2935,2),0)),"")</f>
        <v/>
      </c>
      <c r="P2935" s="61" t="str">
        <f aca="false">IF(IsPro,IF($D2935="","",K2935+M2935+N2935+O2935),"")</f>
        <v/>
      </c>
      <c r="Q2935" s="60" t="str">
        <f aca="false">IF(IsPro,IF($D2935="","",IFERROR(MATCH($D2935,Items!$A$5:$A$504,0),"")),"")</f>
        <v/>
      </c>
      <c r="R2935" s="60" t="str">
        <f aca="false">IF(IsPro,IF($C2935="","",IFERROR(MATCH($C2935,Parties!$A$5:$A$304,0),"")),"")</f>
        <v/>
      </c>
      <c r="S2935" s="61" t="str">
        <f aca="false">IF(IsPro,IF($D2935="","",IF(OR($H2935="",$H2935="Credit"),0,P2935)),"")</f>
        <v/>
      </c>
    </row>
    <row r="2936" customFormat="false" ht="15" hidden="false" customHeight="false" outlineLevel="0" collapsed="false">
      <c r="A2936" s="55"/>
      <c r="B2936" s="56"/>
      <c r="C2936" s="56"/>
      <c r="D2936" s="56"/>
      <c r="E2936" s="57"/>
      <c r="F2936" s="58"/>
      <c r="G2936" s="59"/>
      <c r="H2936" s="56"/>
      <c r="I2936" s="60" t="str">
        <f aca="false">IF(IsPro,IF($D2936="","",IFERROR(INDEX(Items!$D$5:$D$504,Q2936),"")),IF($D2936="","","PRO PLAN"))</f>
        <v/>
      </c>
      <c r="J2936" s="61" t="str">
        <f aca="false">IF(IsPro,IF($D2936="","",IF($F2936="",IFERROR(INDEX(Items!$G$5:$G$504,Q2936),0),$F2936)),"")</f>
        <v/>
      </c>
      <c r="K2936" s="61" t="str">
        <f aca="false">IF(IsPro,IF($D2936="","",ROUND(N($E2936)*J2936*(1-N($G2936)),2)),"")</f>
        <v/>
      </c>
      <c r="L2936" s="62" t="str">
        <f aca="false">IF(IsPro,IF($D2936="","",IFERROR(INDEX(Items!$F$5:$F$504,Q2936),0)),"")</f>
        <v/>
      </c>
      <c r="M2936" s="61" t="str">
        <f aca="false">IF(IsPro,IF($D2936="","",IF(AND(R2936&lt;&gt;"",INDEX(Parties!$E$5:$E$304,R2936)&lt;&gt;"",INDEX(Parties!$E$5:$E$304,R2936)&lt;&gt;HomeState),0,ROUND(K2936*L2936/2,2))),"")</f>
        <v/>
      </c>
      <c r="N2936" s="61" t="str">
        <f aca="false">IF(IsPro,IF($D2936="","",M2936),"")</f>
        <v/>
      </c>
      <c r="O2936" s="61" t="str">
        <f aca="false">IF(IsPro,IF($D2936="","",IF(AND(R2936&lt;&gt;"",INDEX(Parties!$E$5:$E$304,R2936)&lt;&gt;"",INDEX(Parties!$E$5:$E$304,R2936)&lt;&gt;HomeState),ROUND(K2936*L2936,2),0)),"")</f>
        <v/>
      </c>
      <c r="P2936" s="61" t="str">
        <f aca="false">IF(IsPro,IF($D2936="","",K2936+M2936+N2936+O2936),"")</f>
        <v/>
      </c>
      <c r="Q2936" s="60" t="str">
        <f aca="false">IF(IsPro,IF($D2936="","",IFERROR(MATCH($D2936,Items!$A$5:$A$504,0),"")),"")</f>
        <v/>
      </c>
      <c r="R2936" s="60" t="str">
        <f aca="false">IF(IsPro,IF($C2936="","",IFERROR(MATCH($C2936,Parties!$A$5:$A$304,0),"")),"")</f>
        <v/>
      </c>
      <c r="S2936" s="61" t="str">
        <f aca="false">IF(IsPro,IF($D2936="","",IF(OR($H2936="",$H2936="Credit"),0,P2936)),"")</f>
        <v/>
      </c>
    </row>
    <row r="2937" customFormat="false" ht="15" hidden="false" customHeight="false" outlineLevel="0" collapsed="false">
      <c r="A2937" s="55"/>
      <c r="B2937" s="56"/>
      <c r="C2937" s="56"/>
      <c r="D2937" s="56"/>
      <c r="E2937" s="57"/>
      <c r="F2937" s="58"/>
      <c r="G2937" s="59"/>
      <c r="H2937" s="56"/>
      <c r="I2937" s="60" t="str">
        <f aca="false">IF(IsPro,IF($D2937="","",IFERROR(INDEX(Items!$D$5:$D$504,Q2937),"")),IF($D2937="","","PRO PLAN"))</f>
        <v/>
      </c>
      <c r="J2937" s="61" t="str">
        <f aca="false">IF(IsPro,IF($D2937="","",IF($F2937="",IFERROR(INDEX(Items!$G$5:$G$504,Q2937),0),$F2937)),"")</f>
        <v/>
      </c>
      <c r="K2937" s="61" t="str">
        <f aca="false">IF(IsPro,IF($D2937="","",ROUND(N($E2937)*J2937*(1-N($G2937)),2)),"")</f>
        <v/>
      </c>
      <c r="L2937" s="62" t="str">
        <f aca="false">IF(IsPro,IF($D2937="","",IFERROR(INDEX(Items!$F$5:$F$504,Q2937),0)),"")</f>
        <v/>
      </c>
      <c r="M2937" s="61" t="str">
        <f aca="false">IF(IsPro,IF($D2937="","",IF(AND(R2937&lt;&gt;"",INDEX(Parties!$E$5:$E$304,R2937)&lt;&gt;"",INDEX(Parties!$E$5:$E$304,R2937)&lt;&gt;HomeState),0,ROUND(K2937*L2937/2,2))),"")</f>
        <v/>
      </c>
      <c r="N2937" s="61" t="str">
        <f aca="false">IF(IsPro,IF($D2937="","",M2937),"")</f>
        <v/>
      </c>
      <c r="O2937" s="61" t="str">
        <f aca="false">IF(IsPro,IF($D2937="","",IF(AND(R2937&lt;&gt;"",INDEX(Parties!$E$5:$E$304,R2937)&lt;&gt;"",INDEX(Parties!$E$5:$E$304,R2937)&lt;&gt;HomeState),ROUND(K2937*L2937,2),0)),"")</f>
        <v/>
      </c>
      <c r="P2937" s="61" t="str">
        <f aca="false">IF(IsPro,IF($D2937="","",K2937+M2937+N2937+O2937),"")</f>
        <v/>
      </c>
      <c r="Q2937" s="60" t="str">
        <f aca="false">IF(IsPro,IF($D2937="","",IFERROR(MATCH($D2937,Items!$A$5:$A$504,0),"")),"")</f>
        <v/>
      </c>
      <c r="R2937" s="60" t="str">
        <f aca="false">IF(IsPro,IF($C2937="","",IFERROR(MATCH($C2937,Parties!$A$5:$A$304,0),"")),"")</f>
        <v/>
      </c>
      <c r="S2937" s="61" t="str">
        <f aca="false">IF(IsPro,IF($D2937="","",IF(OR($H2937="",$H2937="Credit"),0,P2937)),"")</f>
        <v/>
      </c>
    </row>
    <row r="2938" customFormat="false" ht="15" hidden="false" customHeight="false" outlineLevel="0" collapsed="false">
      <c r="A2938" s="55"/>
      <c r="B2938" s="56"/>
      <c r="C2938" s="56"/>
      <c r="D2938" s="56"/>
      <c r="E2938" s="57"/>
      <c r="F2938" s="58"/>
      <c r="G2938" s="59"/>
      <c r="H2938" s="56"/>
      <c r="I2938" s="60" t="str">
        <f aca="false">IF(IsPro,IF($D2938="","",IFERROR(INDEX(Items!$D$5:$D$504,Q2938),"")),IF($D2938="","","PRO PLAN"))</f>
        <v/>
      </c>
      <c r="J2938" s="61" t="str">
        <f aca="false">IF(IsPro,IF($D2938="","",IF($F2938="",IFERROR(INDEX(Items!$G$5:$G$504,Q2938),0),$F2938)),"")</f>
        <v/>
      </c>
      <c r="K2938" s="61" t="str">
        <f aca="false">IF(IsPro,IF($D2938="","",ROUND(N($E2938)*J2938*(1-N($G2938)),2)),"")</f>
        <v/>
      </c>
      <c r="L2938" s="62" t="str">
        <f aca="false">IF(IsPro,IF($D2938="","",IFERROR(INDEX(Items!$F$5:$F$504,Q2938),0)),"")</f>
        <v/>
      </c>
      <c r="M2938" s="61" t="str">
        <f aca="false">IF(IsPro,IF($D2938="","",IF(AND(R2938&lt;&gt;"",INDEX(Parties!$E$5:$E$304,R2938)&lt;&gt;"",INDEX(Parties!$E$5:$E$304,R2938)&lt;&gt;HomeState),0,ROUND(K2938*L2938/2,2))),"")</f>
        <v/>
      </c>
      <c r="N2938" s="61" t="str">
        <f aca="false">IF(IsPro,IF($D2938="","",M2938),"")</f>
        <v/>
      </c>
      <c r="O2938" s="61" t="str">
        <f aca="false">IF(IsPro,IF($D2938="","",IF(AND(R2938&lt;&gt;"",INDEX(Parties!$E$5:$E$304,R2938)&lt;&gt;"",INDEX(Parties!$E$5:$E$304,R2938)&lt;&gt;HomeState),ROUND(K2938*L2938,2),0)),"")</f>
        <v/>
      </c>
      <c r="P2938" s="61" t="str">
        <f aca="false">IF(IsPro,IF($D2938="","",K2938+M2938+N2938+O2938),"")</f>
        <v/>
      </c>
      <c r="Q2938" s="60" t="str">
        <f aca="false">IF(IsPro,IF($D2938="","",IFERROR(MATCH($D2938,Items!$A$5:$A$504,0),"")),"")</f>
        <v/>
      </c>
      <c r="R2938" s="60" t="str">
        <f aca="false">IF(IsPro,IF($C2938="","",IFERROR(MATCH($C2938,Parties!$A$5:$A$304,0),"")),"")</f>
        <v/>
      </c>
      <c r="S2938" s="61" t="str">
        <f aca="false">IF(IsPro,IF($D2938="","",IF(OR($H2938="",$H2938="Credit"),0,P2938)),"")</f>
        <v/>
      </c>
    </row>
    <row r="2939" customFormat="false" ht="15" hidden="false" customHeight="false" outlineLevel="0" collapsed="false">
      <c r="A2939" s="55"/>
      <c r="B2939" s="56"/>
      <c r="C2939" s="56"/>
      <c r="D2939" s="56"/>
      <c r="E2939" s="57"/>
      <c r="F2939" s="58"/>
      <c r="G2939" s="59"/>
      <c r="H2939" s="56"/>
      <c r="I2939" s="60" t="str">
        <f aca="false">IF(IsPro,IF($D2939="","",IFERROR(INDEX(Items!$D$5:$D$504,Q2939),"")),IF($D2939="","","PRO PLAN"))</f>
        <v/>
      </c>
      <c r="J2939" s="61" t="str">
        <f aca="false">IF(IsPro,IF($D2939="","",IF($F2939="",IFERROR(INDEX(Items!$G$5:$G$504,Q2939),0),$F2939)),"")</f>
        <v/>
      </c>
      <c r="K2939" s="61" t="str">
        <f aca="false">IF(IsPro,IF($D2939="","",ROUND(N($E2939)*J2939*(1-N($G2939)),2)),"")</f>
        <v/>
      </c>
      <c r="L2939" s="62" t="str">
        <f aca="false">IF(IsPro,IF($D2939="","",IFERROR(INDEX(Items!$F$5:$F$504,Q2939),0)),"")</f>
        <v/>
      </c>
      <c r="M2939" s="61" t="str">
        <f aca="false">IF(IsPro,IF($D2939="","",IF(AND(R2939&lt;&gt;"",INDEX(Parties!$E$5:$E$304,R2939)&lt;&gt;"",INDEX(Parties!$E$5:$E$304,R2939)&lt;&gt;HomeState),0,ROUND(K2939*L2939/2,2))),"")</f>
        <v/>
      </c>
      <c r="N2939" s="61" t="str">
        <f aca="false">IF(IsPro,IF($D2939="","",M2939),"")</f>
        <v/>
      </c>
      <c r="O2939" s="61" t="str">
        <f aca="false">IF(IsPro,IF($D2939="","",IF(AND(R2939&lt;&gt;"",INDEX(Parties!$E$5:$E$304,R2939)&lt;&gt;"",INDEX(Parties!$E$5:$E$304,R2939)&lt;&gt;HomeState),ROUND(K2939*L2939,2),0)),"")</f>
        <v/>
      </c>
      <c r="P2939" s="61" t="str">
        <f aca="false">IF(IsPro,IF($D2939="","",K2939+M2939+N2939+O2939),"")</f>
        <v/>
      </c>
      <c r="Q2939" s="60" t="str">
        <f aca="false">IF(IsPro,IF($D2939="","",IFERROR(MATCH($D2939,Items!$A$5:$A$504,0),"")),"")</f>
        <v/>
      </c>
      <c r="R2939" s="60" t="str">
        <f aca="false">IF(IsPro,IF($C2939="","",IFERROR(MATCH($C2939,Parties!$A$5:$A$304,0),"")),"")</f>
        <v/>
      </c>
      <c r="S2939" s="61" t="str">
        <f aca="false">IF(IsPro,IF($D2939="","",IF(OR($H2939="",$H2939="Credit"),0,P2939)),"")</f>
        <v/>
      </c>
    </row>
    <row r="2940" customFormat="false" ht="15" hidden="false" customHeight="false" outlineLevel="0" collapsed="false">
      <c r="A2940" s="55"/>
      <c r="B2940" s="56"/>
      <c r="C2940" s="56"/>
      <c r="D2940" s="56"/>
      <c r="E2940" s="57"/>
      <c r="F2940" s="58"/>
      <c r="G2940" s="59"/>
      <c r="H2940" s="56"/>
      <c r="I2940" s="60" t="str">
        <f aca="false">IF(IsPro,IF($D2940="","",IFERROR(INDEX(Items!$D$5:$D$504,Q2940),"")),IF($D2940="","","PRO PLAN"))</f>
        <v/>
      </c>
      <c r="J2940" s="61" t="str">
        <f aca="false">IF(IsPro,IF($D2940="","",IF($F2940="",IFERROR(INDEX(Items!$G$5:$G$504,Q2940),0),$F2940)),"")</f>
        <v/>
      </c>
      <c r="K2940" s="61" t="str">
        <f aca="false">IF(IsPro,IF($D2940="","",ROUND(N($E2940)*J2940*(1-N($G2940)),2)),"")</f>
        <v/>
      </c>
      <c r="L2940" s="62" t="str">
        <f aca="false">IF(IsPro,IF($D2940="","",IFERROR(INDEX(Items!$F$5:$F$504,Q2940),0)),"")</f>
        <v/>
      </c>
      <c r="M2940" s="61" t="str">
        <f aca="false">IF(IsPro,IF($D2940="","",IF(AND(R2940&lt;&gt;"",INDEX(Parties!$E$5:$E$304,R2940)&lt;&gt;"",INDEX(Parties!$E$5:$E$304,R2940)&lt;&gt;HomeState),0,ROUND(K2940*L2940/2,2))),"")</f>
        <v/>
      </c>
      <c r="N2940" s="61" t="str">
        <f aca="false">IF(IsPro,IF($D2940="","",M2940),"")</f>
        <v/>
      </c>
      <c r="O2940" s="61" t="str">
        <f aca="false">IF(IsPro,IF($D2940="","",IF(AND(R2940&lt;&gt;"",INDEX(Parties!$E$5:$E$304,R2940)&lt;&gt;"",INDEX(Parties!$E$5:$E$304,R2940)&lt;&gt;HomeState),ROUND(K2940*L2940,2),0)),"")</f>
        <v/>
      </c>
      <c r="P2940" s="61" t="str">
        <f aca="false">IF(IsPro,IF($D2940="","",K2940+M2940+N2940+O2940),"")</f>
        <v/>
      </c>
      <c r="Q2940" s="60" t="str">
        <f aca="false">IF(IsPro,IF($D2940="","",IFERROR(MATCH($D2940,Items!$A$5:$A$504,0),"")),"")</f>
        <v/>
      </c>
      <c r="R2940" s="60" t="str">
        <f aca="false">IF(IsPro,IF($C2940="","",IFERROR(MATCH($C2940,Parties!$A$5:$A$304,0),"")),"")</f>
        <v/>
      </c>
      <c r="S2940" s="61" t="str">
        <f aca="false">IF(IsPro,IF($D2940="","",IF(OR($H2940="",$H2940="Credit"),0,P2940)),"")</f>
        <v/>
      </c>
    </row>
    <row r="2941" customFormat="false" ht="15" hidden="false" customHeight="false" outlineLevel="0" collapsed="false">
      <c r="A2941" s="55"/>
      <c r="B2941" s="56"/>
      <c r="C2941" s="56"/>
      <c r="D2941" s="56"/>
      <c r="E2941" s="57"/>
      <c r="F2941" s="58"/>
      <c r="G2941" s="59"/>
      <c r="H2941" s="56"/>
      <c r="I2941" s="60" t="str">
        <f aca="false">IF(IsPro,IF($D2941="","",IFERROR(INDEX(Items!$D$5:$D$504,Q2941),"")),IF($D2941="","","PRO PLAN"))</f>
        <v/>
      </c>
      <c r="J2941" s="61" t="str">
        <f aca="false">IF(IsPro,IF($D2941="","",IF($F2941="",IFERROR(INDEX(Items!$G$5:$G$504,Q2941),0),$F2941)),"")</f>
        <v/>
      </c>
      <c r="K2941" s="61" t="str">
        <f aca="false">IF(IsPro,IF($D2941="","",ROUND(N($E2941)*J2941*(1-N($G2941)),2)),"")</f>
        <v/>
      </c>
      <c r="L2941" s="62" t="str">
        <f aca="false">IF(IsPro,IF($D2941="","",IFERROR(INDEX(Items!$F$5:$F$504,Q2941),0)),"")</f>
        <v/>
      </c>
      <c r="M2941" s="61" t="str">
        <f aca="false">IF(IsPro,IF($D2941="","",IF(AND(R2941&lt;&gt;"",INDEX(Parties!$E$5:$E$304,R2941)&lt;&gt;"",INDEX(Parties!$E$5:$E$304,R2941)&lt;&gt;HomeState),0,ROUND(K2941*L2941/2,2))),"")</f>
        <v/>
      </c>
      <c r="N2941" s="61" t="str">
        <f aca="false">IF(IsPro,IF($D2941="","",M2941),"")</f>
        <v/>
      </c>
      <c r="O2941" s="61" t="str">
        <f aca="false">IF(IsPro,IF($D2941="","",IF(AND(R2941&lt;&gt;"",INDEX(Parties!$E$5:$E$304,R2941)&lt;&gt;"",INDEX(Parties!$E$5:$E$304,R2941)&lt;&gt;HomeState),ROUND(K2941*L2941,2),0)),"")</f>
        <v/>
      </c>
      <c r="P2941" s="61" t="str">
        <f aca="false">IF(IsPro,IF($D2941="","",K2941+M2941+N2941+O2941),"")</f>
        <v/>
      </c>
      <c r="Q2941" s="60" t="str">
        <f aca="false">IF(IsPro,IF($D2941="","",IFERROR(MATCH($D2941,Items!$A$5:$A$504,0),"")),"")</f>
        <v/>
      </c>
      <c r="R2941" s="60" t="str">
        <f aca="false">IF(IsPro,IF($C2941="","",IFERROR(MATCH($C2941,Parties!$A$5:$A$304,0),"")),"")</f>
        <v/>
      </c>
      <c r="S2941" s="61" t="str">
        <f aca="false">IF(IsPro,IF($D2941="","",IF(OR($H2941="",$H2941="Credit"),0,P2941)),"")</f>
        <v/>
      </c>
    </row>
    <row r="2942" customFormat="false" ht="15" hidden="false" customHeight="false" outlineLevel="0" collapsed="false">
      <c r="A2942" s="55"/>
      <c r="B2942" s="56"/>
      <c r="C2942" s="56"/>
      <c r="D2942" s="56"/>
      <c r="E2942" s="57"/>
      <c r="F2942" s="58"/>
      <c r="G2942" s="59"/>
      <c r="H2942" s="56"/>
      <c r="I2942" s="60" t="str">
        <f aca="false">IF(IsPro,IF($D2942="","",IFERROR(INDEX(Items!$D$5:$D$504,Q2942),"")),IF($D2942="","","PRO PLAN"))</f>
        <v/>
      </c>
      <c r="J2942" s="61" t="str">
        <f aca="false">IF(IsPro,IF($D2942="","",IF($F2942="",IFERROR(INDEX(Items!$G$5:$G$504,Q2942),0),$F2942)),"")</f>
        <v/>
      </c>
      <c r="K2942" s="61" t="str">
        <f aca="false">IF(IsPro,IF($D2942="","",ROUND(N($E2942)*J2942*(1-N($G2942)),2)),"")</f>
        <v/>
      </c>
      <c r="L2942" s="62" t="str">
        <f aca="false">IF(IsPro,IF($D2942="","",IFERROR(INDEX(Items!$F$5:$F$504,Q2942),0)),"")</f>
        <v/>
      </c>
      <c r="M2942" s="61" t="str">
        <f aca="false">IF(IsPro,IF($D2942="","",IF(AND(R2942&lt;&gt;"",INDEX(Parties!$E$5:$E$304,R2942)&lt;&gt;"",INDEX(Parties!$E$5:$E$304,R2942)&lt;&gt;HomeState),0,ROUND(K2942*L2942/2,2))),"")</f>
        <v/>
      </c>
      <c r="N2942" s="61" t="str">
        <f aca="false">IF(IsPro,IF($D2942="","",M2942),"")</f>
        <v/>
      </c>
      <c r="O2942" s="61" t="str">
        <f aca="false">IF(IsPro,IF($D2942="","",IF(AND(R2942&lt;&gt;"",INDEX(Parties!$E$5:$E$304,R2942)&lt;&gt;"",INDEX(Parties!$E$5:$E$304,R2942)&lt;&gt;HomeState),ROUND(K2942*L2942,2),0)),"")</f>
        <v/>
      </c>
      <c r="P2942" s="61" t="str">
        <f aca="false">IF(IsPro,IF($D2942="","",K2942+M2942+N2942+O2942),"")</f>
        <v/>
      </c>
      <c r="Q2942" s="60" t="str">
        <f aca="false">IF(IsPro,IF($D2942="","",IFERROR(MATCH($D2942,Items!$A$5:$A$504,0),"")),"")</f>
        <v/>
      </c>
      <c r="R2942" s="60" t="str">
        <f aca="false">IF(IsPro,IF($C2942="","",IFERROR(MATCH($C2942,Parties!$A$5:$A$304,0),"")),"")</f>
        <v/>
      </c>
      <c r="S2942" s="61" t="str">
        <f aca="false">IF(IsPro,IF($D2942="","",IF(OR($H2942="",$H2942="Credit"),0,P2942)),"")</f>
        <v/>
      </c>
    </row>
    <row r="2943" customFormat="false" ht="15" hidden="false" customHeight="false" outlineLevel="0" collapsed="false">
      <c r="A2943" s="55"/>
      <c r="B2943" s="56"/>
      <c r="C2943" s="56"/>
      <c r="D2943" s="56"/>
      <c r="E2943" s="57"/>
      <c r="F2943" s="58"/>
      <c r="G2943" s="59"/>
      <c r="H2943" s="56"/>
      <c r="I2943" s="60" t="str">
        <f aca="false">IF(IsPro,IF($D2943="","",IFERROR(INDEX(Items!$D$5:$D$504,Q2943),"")),IF($D2943="","","PRO PLAN"))</f>
        <v/>
      </c>
      <c r="J2943" s="61" t="str">
        <f aca="false">IF(IsPro,IF($D2943="","",IF($F2943="",IFERROR(INDEX(Items!$G$5:$G$504,Q2943),0),$F2943)),"")</f>
        <v/>
      </c>
      <c r="K2943" s="61" t="str">
        <f aca="false">IF(IsPro,IF($D2943="","",ROUND(N($E2943)*J2943*(1-N($G2943)),2)),"")</f>
        <v/>
      </c>
      <c r="L2943" s="62" t="str">
        <f aca="false">IF(IsPro,IF($D2943="","",IFERROR(INDEX(Items!$F$5:$F$504,Q2943),0)),"")</f>
        <v/>
      </c>
      <c r="M2943" s="61" t="str">
        <f aca="false">IF(IsPro,IF($D2943="","",IF(AND(R2943&lt;&gt;"",INDEX(Parties!$E$5:$E$304,R2943)&lt;&gt;"",INDEX(Parties!$E$5:$E$304,R2943)&lt;&gt;HomeState),0,ROUND(K2943*L2943/2,2))),"")</f>
        <v/>
      </c>
      <c r="N2943" s="61" t="str">
        <f aca="false">IF(IsPro,IF($D2943="","",M2943),"")</f>
        <v/>
      </c>
      <c r="O2943" s="61" t="str">
        <f aca="false">IF(IsPro,IF($D2943="","",IF(AND(R2943&lt;&gt;"",INDEX(Parties!$E$5:$E$304,R2943)&lt;&gt;"",INDEX(Parties!$E$5:$E$304,R2943)&lt;&gt;HomeState),ROUND(K2943*L2943,2),0)),"")</f>
        <v/>
      </c>
      <c r="P2943" s="61" t="str">
        <f aca="false">IF(IsPro,IF($D2943="","",K2943+M2943+N2943+O2943),"")</f>
        <v/>
      </c>
      <c r="Q2943" s="60" t="str">
        <f aca="false">IF(IsPro,IF($D2943="","",IFERROR(MATCH($D2943,Items!$A$5:$A$504,0),"")),"")</f>
        <v/>
      </c>
      <c r="R2943" s="60" t="str">
        <f aca="false">IF(IsPro,IF($C2943="","",IFERROR(MATCH($C2943,Parties!$A$5:$A$304,0),"")),"")</f>
        <v/>
      </c>
      <c r="S2943" s="61" t="str">
        <f aca="false">IF(IsPro,IF($D2943="","",IF(OR($H2943="",$H2943="Credit"),0,P2943)),"")</f>
        <v/>
      </c>
    </row>
    <row r="2944" customFormat="false" ht="15" hidden="false" customHeight="false" outlineLevel="0" collapsed="false">
      <c r="A2944" s="55"/>
      <c r="B2944" s="56"/>
      <c r="C2944" s="56"/>
      <c r="D2944" s="56"/>
      <c r="E2944" s="57"/>
      <c r="F2944" s="58"/>
      <c r="G2944" s="59"/>
      <c r="H2944" s="56"/>
      <c r="I2944" s="60" t="str">
        <f aca="false">IF(IsPro,IF($D2944="","",IFERROR(INDEX(Items!$D$5:$D$504,Q2944),"")),IF($D2944="","","PRO PLAN"))</f>
        <v/>
      </c>
      <c r="J2944" s="61" t="str">
        <f aca="false">IF(IsPro,IF($D2944="","",IF($F2944="",IFERROR(INDEX(Items!$G$5:$G$504,Q2944),0),$F2944)),"")</f>
        <v/>
      </c>
      <c r="K2944" s="61" t="str">
        <f aca="false">IF(IsPro,IF($D2944="","",ROUND(N($E2944)*J2944*(1-N($G2944)),2)),"")</f>
        <v/>
      </c>
      <c r="L2944" s="62" t="str">
        <f aca="false">IF(IsPro,IF($D2944="","",IFERROR(INDEX(Items!$F$5:$F$504,Q2944),0)),"")</f>
        <v/>
      </c>
      <c r="M2944" s="61" t="str">
        <f aca="false">IF(IsPro,IF($D2944="","",IF(AND(R2944&lt;&gt;"",INDEX(Parties!$E$5:$E$304,R2944)&lt;&gt;"",INDEX(Parties!$E$5:$E$304,R2944)&lt;&gt;HomeState),0,ROUND(K2944*L2944/2,2))),"")</f>
        <v/>
      </c>
      <c r="N2944" s="61" t="str">
        <f aca="false">IF(IsPro,IF($D2944="","",M2944),"")</f>
        <v/>
      </c>
      <c r="O2944" s="61" t="str">
        <f aca="false">IF(IsPro,IF($D2944="","",IF(AND(R2944&lt;&gt;"",INDEX(Parties!$E$5:$E$304,R2944)&lt;&gt;"",INDEX(Parties!$E$5:$E$304,R2944)&lt;&gt;HomeState),ROUND(K2944*L2944,2),0)),"")</f>
        <v/>
      </c>
      <c r="P2944" s="61" t="str">
        <f aca="false">IF(IsPro,IF($D2944="","",K2944+M2944+N2944+O2944),"")</f>
        <v/>
      </c>
      <c r="Q2944" s="60" t="str">
        <f aca="false">IF(IsPro,IF($D2944="","",IFERROR(MATCH($D2944,Items!$A$5:$A$504,0),"")),"")</f>
        <v/>
      </c>
      <c r="R2944" s="60" t="str">
        <f aca="false">IF(IsPro,IF($C2944="","",IFERROR(MATCH($C2944,Parties!$A$5:$A$304,0),"")),"")</f>
        <v/>
      </c>
      <c r="S2944" s="61" t="str">
        <f aca="false">IF(IsPro,IF($D2944="","",IF(OR($H2944="",$H2944="Credit"),0,P2944)),"")</f>
        <v/>
      </c>
    </row>
    <row r="2945" customFormat="false" ht="15" hidden="false" customHeight="false" outlineLevel="0" collapsed="false">
      <c r="A2945" s="55"/>
      <c r="B2945" s="56"/>
      <c r="C2945" s="56"/>
      <c r="D2945" s="56"/>
      <c r="E2945" s="57"/>
      <c r="F2945" s="58"/>
      <c r="G2945" s="59"/>
      <c r="H2945" s="56"/>
      <c r="I2945" s="60" t="str">
        <f aca="false">IF(IsPro,IF($D2945="","",IFERROR(INDEX(Items!$D$5:$D$504,Q2945),"")),IF($D2945="","","PRO PLAN"))</f>
        <v/>
      </c>
      <c r="J2945" s="61" t="str">
        <f aca="false">IF(IsPro,IF($D2945="","",IF($F2945="",IFERROR(INDEX(Items!$G$5:$G$504,Q2945),0),$F2945)),"")</f>
        <v/>
      </c>
      <c r="K2945" s="61" t="str">
        <f aca="false">IF(IsPro,IF($D2945="","",ROUND(N($E2945)*J2945*(1-N($G2945)),2)),"")</f>
        <v/>
      </c>
      <c r="L2945" s="62" t="str">
        <f aca="false">IF(IsPro,IF($D2945="","",IFERROR(INDEX(Items!$F$5:$F$504,Q2945),0)),"")</f>
        <v/>
      </c>
      <c r="M2945" s="61" t="str">
        <f aca="false">IF(IsPro,IF($D2945="","",IF(AND(R2945&lt;&gt;"",INDEX(Parties!$E$5:$E$304,R2945)&lt;&gt;"",INDEX(Parties!$E$5:$E$304,R2945)&lt;&gt;HomeState),0,ROUND(K2945*L2945/2,2))),"")</f>
        <v/>
      </c>
      <c r="N2945" s="61" t="str">
        <f aca="false">IF(IsPro,IF($D2945="","",M2945),"")</f>
        <v/>
      </c>
      <c r="O2945" s="61" t="str">
        <f aca="false">IF(IsPro,IF($D2945="","",IF(AND(R2945&lt;&gt;"",INDEX(Parties!$E$5:$E$304,R2945)&lt;&gt;"",INDEX(Parties!$E$5:$E$304,R2945)&lt;&gt;HomeState),ROUND(K2945*L2945,2),0)),"")</f>
        <v/>
      </c>
      <c r="P2945" s="61" t="str">
        <f aca="false">IF(IsPro,IF($D2945="","",K2945+M2945+N2945+O2945),"")</f>
        <v/>
      </c>
      <c r="Q2945" s="60" t="str">
        <f aca="false">IF(IsPro,IF($D2945="","",IFERROR(MATCH($D2945,Items!$A$5:$A$504,0),"")),"")</f>
        <v/>
      </c>
      <c r="R2945" s="60" t="str">
        <f aca="false">IF(IsPro,IF($C2945="","",IFERROR(MATCH($C2945,Parties!$A$5:$A$304,0),"")),"")</f>
        <v/>
      </c>
      <c r="S2945" s="61" t="str">
        <f aca="false">IF(IsPro,IF($D2945="","",IF(OR($H2945="",$H2945="Credit"),0,P2945)),"")</f>
        <v/>
      </c>
    </row>
    <row r="2946" customFormat="false" ht="15" hidden="false" customHeight="false" outlineLevel="0" collapsed="false">
      <c r="A2946" s="55"/>
      <c r="B2946" s="56"/>
      <c r="C2946" s="56"/>
      <c r="D2946" s="56"/>
      <c r="E2946" s="57"/>
      <c r="F2946" s="58"/>
      <c r="G2946" s="59"/>
      <c r="H2946" s="56"/>
      <c r="I2946" s="60" t="str">
        <f aca="false">IF(IsPro,IF($D2946="","",IFERROR(INDEX(Items!$D$5:$D$504,Q2946),"")),IF($D2946="","","PRO PLAN"))</f>
        <v/>
      </c>
      <c r="J2946" s="61" t="str">
        <f aca="false">IF(IsPro,IF($D2946="","",IF($F2946="",IFERROR(INDEX(Items!$G$5:$G$504,Q2946),0),$F2946)),"")</f>
        <v/>
      </c>
      <c r="K2946" s="61" t="str">
        <f aca="false">IF(IsPro,IF($D2946="","",ROUND(N($E2946)*J2946*(1-N($G2946)),2)),"")</f>
        <v/>
      </c>
      <c r="L2946" s="62" t="str">
        <f aca="false">IF(IsPro,IF($D2946="","",IFERROR(INDEX(Items!$F$5:$F$504,Q2946),0)),"")</f>
        <v/>
      </c>
      <c r="M2946" s="61" t="str">
        <f aca="false">IF(IsPro,IF($D2946="","",IF(AND(R2946&lt;&gt;"",INDEX(Parties!$E$5:$E$304,R2946)&lt;&gt;"",INDEX(Parties!$E$5:$E$304,R2946)&lt;&gt;HomeState),0,ROUND(K2946*L2946/2,2))),"")</f>
        <v/>
      </c>
      <c r="N2946" s="61" t="str">
        <f aca="false">IF(IsPro,IF($D2946="","",M2946),"")</f>
        <v/>
      </c>
      <c r="O2946" s="61" t="str">
        <f aca="false">IF(IsPro,IF($D2946="","",IF(AND(R2946&lt;&gt;"",INDEX(Parties!$E$5:$E$304,R2946)&lt;&gt;"",INDEX(Parties!$E$5:$E$304,R2946)&lt;&gt;HomeState),ROUND(K2946*L2946,2),0)),"")</f>
        <v/>
      </c>
      <c r="P2946" s="61" t="str">
        <f aca="false">IF(IsPro,IF($D2946="","",K2946+M2946+N2946+O2946),"")</f>
        <v/>
      </c>
      <c r="Q2946" s="60" t="str">
        <f aca="false">IF(IsPro,IF($D2946="","",IFERROR(MATCH($D2946,Items!$A$5:$A$504,0),"")),"")</f>
        <v/>
      </c>
      <c r="R2946" s="60" t="str">
        <f aca="false">IF(IsPro,IF($C2946="","",IFERROR(MATCH($C2946,Parties!$A$5:$A$304,0),"")),"")</f>
        <v/>
      </c>
      <c r="S2946" s="61" t="str">
        <f aca="false">IF(IsPro,IF($D2946="","",IF(OR($H2946="",$H2946="Credit"),0,P2946)),"")</f>
        <v/>
      </c>
    </row>
    <row r="2947" customFormat="false" ht="15" hidden="false" customHeight="false" outlineLevel="0" collapsed="false">
      <c r="A2947" s="55"/>
      <c r="B2947" s="56"/>
      <c r="C2947" s="56"/>
      <c r="D2947" s="56"/>
      <c r="E2947" s="57"/>
      <c r="F2947" s="58"/>
      <c r="G2947" s="59"/>
      <c r="H2947" s="56"/>
      <c r="I2947" s="60" t="str">
        <f aca="false">IF(IsPro,IF($D2947="","",IFERROR(INDEX(Items!$D$5:$D$504,Q2947),"")),IF($D2947="","","PRO PLAN"))</f>
        <v/>
      </c>
      <c r="J2947" s="61" t="str">
        <f aca="false">IF(IsPro,IF($D2947="","",IF($F2947="",IFERROR(INDEX(Items!$G$5:$G$504,Q2947),0),$F2947)),"")</f>
        <v/>
      </c>
      <c r="K2947" s="61" t="str">
        <f aca="false">IF(IsPro,IF($D2947="","",ROUND(N($E2947)*J2947*(1-N($G2947)),2)),"")</f>
        <v/>
      </c>
      <c r="L2947" s="62" t="str">
        <f aca="false">IF(IsPro,IF($D2947="","",IFERROR(INDEX(Items!$F$5:$F$504,Q2947),0)),"")</f>
        <v/>
      </c>
      <c r="M2947" s="61" t="str">
        <f aca="false">IF(IsPro,IF($D2947="","",IF(AND(R2947&lt;&gt;"",INDEX(Parties!$E$5:$E$304,R2947)&lt;&gt;"",INDEX(Parties!$E$5:$E$304,R2947)&lt;&gt;HomeState),0,ROUND(K2947*L2947/2,2))),"")</f>
        <v/>
      </c>
      <c r="N2947" s="61" t="str">
        <f aca="false">IF(IsPro,IF($D2947="","",M2947),"")</f>
        <v/>
      </c>
      <c r="O2947" s="61" t="str">
        <f aca="false">IF(IsPro,IF($D2947="","",IF(AND(R2947&lt;&gt;"",INDEX(Parties!$E$5:$E$304,R2947)&lt;&gt;"",INDEX(Parties!$E$5:$E$304,R2947)&lt;&gt;HomeState),ROUND(K2947*L2947,2),0)),"")</f>
        <v/>
      </c>
      <c r="P2947" s="61" t="str">
        <f aca="false">IF(IsPro,IF($D2947="","",K2947+M2947+N2947+O2947),"")</f>
        <v/>
      </c>
      <c r="Q2947" s="60" t="str">
        <f aca="false">IF(IsPro,IF($D2947="","",IFERROR(MATCH($D2947,Items!$A$5:$A$504,0),"")),"")</f>
        <v/>
      </c>
      <c r="R2947" s="60" t="str">
        <f aca="false">IF(IsPro,IF($C2947="","",IFERROR(MATCH($C2947,Parties!$A$5:$A$304,0),"")),"")</f>
        <v/>
      </c>
      <c r="S2947" s="61" t="str">
        <f aca="false">IF(IsPro,IF($D2947="","",IF(OR($H2947="",$H2947="Credit"),0,P2947)),"")</f>
        <v/>
      </c>
    </row>
    <row r="2948" customFormat="false" ht="15" hidden="false" customHeight="false" outlineLevel="0" collapsed="false">
      <c r="A2948" s="55"/>
      <c r="B2948" s="56"/>
      <c r="C2948" s="56"/>
      <c r="D2948" s="56"/>
      <c r="E2948" s="57"/>
      <c r="F2948" s="58"/>
      <c r="G2948" s="59"/>
      <c r="H2948" s="56"/>
      <c r="I2948" s="60" t="str">
        <f aca="false">IF(IsPro,IF($D2948="","",IFERROR(INDEX(Items!$D$5:$D$504,Q2948),"")),IF($D2948="","","PRO PLAN"))</f>
        <v/>
      </c>
      <c r="J2948" s="61" t="str">
        <f aca="false">IF(IsPro,IF($D2948="","",IF($F2948="",IFERROR(INDEX(Items!$G$5:$G$504,Q2948),0),$F2948)),"")</f>
        <v/>
      </c>
      <c r="K2948" s="61" t="str">
        <f aca="false">IF(IsPro,IF($D2948="","",ROUND(N($E2948)*J2948*(1-N($G2948)),2)),"")</f>
        <v/>
      </c>
      <c r="L2948" s="62" t="str">
        <f aca="false">IF(IsPro,IF($D2948="","",IFERROR(INDEX(Items!$F$5:$F$504,Q2948),0)),"")</f>
        <v/>
      </c>
      <c r="M2948" s="61" t="str">
        <f aca="false">IF(IsPro,IF($D2948="","",IF(AND(R2948&lt;&gt;"",INDEX(Parties!$E$5:$E$304,R2948)&lt;&gt;"",INDEX(Parties!$E$5:$E$304,R2948)&lt;&gt;HomeState),0,ROUND(K2948*L2948/2,2))),"")</f>
        <v/>
      </c>
      <c r="N2948" s="61" t="str">
        <f aca="false">IF(IsPro,IF($D2948="","",M2948),"")</f>
        <v/>
      </c>
      <c r="O2948" s="61" t="str">
        <f aca="false">IF(IsPro,IF($D2948="","",IF(AND(R2948&lt;&gt;"",INDEX(Parties!$E$5:$E$304,R2948)&lt;&gt;"",INDEX(Parties!$E$5:$E$304,R2948)&lt;&gt;HomeState),ROUND(K2948*L2948,2),0)),"")</f>
        <v/>
      </c>
      <c r="P2948" s="61" t="str">
        <f aca="false">IF(IsPro,IF($D2948="","",K2948+M2948+N2948+O2948),"")</f>
        <v/>
      </c>
      <c r="Q2948" s="60" t="str">
        <f aca="false">IF(IsPro,IF($D2948="","",IFERROR(MATCH($D2948,Items!$A$5:$A$504,0),"")),"")</f>
        <v/>
      </c>
      <c r="R2948" s="60" t="str">
        <f aca="false">IF(IsPro,IF($C2948="","",IFERROR(MATCH($C2948,Parties!$A$5:$A$304,0),"")),"")</f>
        <v/>
      </c>
      <c r="S2948" s="61" t="str">
        <f aca="false">IF(IsPro,IF($D2948="","",IF(OR($H2948="",$H2948="Credit"),0,P2948)),"")</f>
        <v/>
      </c>
    </row>
    <row r="2949" customFormat="false" ht="15" hidden="false" customHeight="false" outlineLevel="0" collapsed="false">
      <c r="A2949" s="55"/>
      <c r="B2949" s="56"/>
      <c r="C2949" s="56"/>
      <c r="D2949" s="56"/>
      <c r="E2949" s="57"/>
      <c r="F2949" s="58"/>
      <c r="G2949" s="59"/>
      <c r="H2949" s="56"/>
      <c r="I2949" s="60" t="str">
        <f aca="false">IF(IsPro,IF($D2949="","",IFERROR(INDEX(Items!$D$5:$D$504,Q2949),"")),IF($D2949="","","PRO PLAN"))</f>
        <v/>
      </c>
      <c r="J2949" s="61" t="str">
        <f aca="false">IF(IsPro,IF($D2949="","",IF($F2949="",IFERROR(INDEX(Items!$G$5:$G$504,Q2949),0),$F2949)),"")</f>
        <v/>
      </c>
      <c r="K2949" s="61" t="str">
        <f aca="false">IF(IsPro,IF($D2949="","",ROUND(N($E2949)*J2949*(1-N($G2949)),2)),"")</f>
        <v/>
      </c>
      <c r="L2949" s="62" t="str">
        <f aca="false">IF(IsPro,IF($D2949="","",IFERROR(INDEX(Items!$F$5:$F$504,Q2949),0)),"")</f>
        <v/>
      </c>
      <c r="M2949" s="61" t="str">
        <f aca="false">IF(IsPro,IF($D2949="","",IF(AND(R2949&lt;&gt;"",INDEX(Parties!$E$5:$E$304,R2949)&lt;&gt;"",INDEX(Parties!$E$5:$E$304,R2949)&lt;&gt;HomeState),0,ROUND(K2949*L2949/2,2))),"")</f>
        <v/>
      </c>
      <c r="N2949" s="61" t="str">
        <f aca="false">IF(IsPro,IF($D2949="","",M2949),"")</f>
        <v/>
      </c>
      <c r="O2949" s="61" t="str">
        <f aca="false">IF(IsPro,IF($D2949="","",IF(AND(R2949&lt;&gt;"",INDEX(Parties!$E$5:$E$304,R2949)&lt;&gt;"",INDEX(Parties!$E$5:$E$304,R2949)&lt;&gt;HomeState),ROUND(K2949*L2949,2),0)),"")</f>
        <v/>
      </c>
      <c r="P2949" s="61" t="str">
        <f aca="false">IF(IsPro,IF($D2949="","",K2949+M2949+N2949+O2949),"")</f>
        <v/>
      </c>
      <c r="Q2949" s="60" t="str">
        <f aca="false">IF(IsPro,IF($D2949="","",IFERROR(MATCH($D2949,Items!$A$5:$A$504,0),"")),"")</f>
        <v/>
      </c>
      <c r="R2949" s="60" t="str">
        <f aca="false">IF(IsPro,IF($C2949="","",IFERROR(MATCH($C2949,Parties!$A$5:$A$304,0),"")),"")</f>
        <v/>
      </c>
      <c r="S2949" s="61" t="str">
        <f aca="false">IF(IsPro,IF($D2949="","",IF(OR($H2949="",$H2949="Credit"),0,P2949)),"")</f>
        <v/>
      </c>
    </row>
    <row r="2950" customFormat="false" ht="15" hidden="false" customHeight="false" outlineLevel="0" collapsed="false">
      <c r="A2950" s="55"/>
      <c r="B2950" s="56"/>
      <c r="C2950" s="56"/>
      <c r="D2950" s="56"/>
      <c r="E2950" s="57"/>
      <c r="F2950" s="58"/>
      <c r="G2950" s="59"/>
      <c r="H2950" s="56"/>
      <c r="I2950" s="60" t="str">
        <f aca="false">IF(IsPro,IF($D2950="","",IFERROR(INDEX(Items!$D$5:$D$504,Q2950),"")),IF($D2950="","","PRO PLAN"))</f>
        <v/>
      </c>
      <c r="J2950" s="61" t="str">
        <f aca="false">IF(IsPro,IF($D2950="","",IF($F2950="",IFERROR(INDEX(Items!$G$5:$G$504,Q2950),0),$F2950)),"")</f>
        <v/>
      </c>
      <c r="K2950" s="61" t="str">
        <f aca="false">IF(IsPro,IF($D2950="","",ROUND(N($E2950)*J2950*(1-N($G2950)),2)),"")</f>
        <v/>
      </c>
      <c r="L2950" s="62" t="str">
        <f aca="false">IF(IsPro,IF($D2950="","",IFERROR(INDEX(Items!$F$5:$F$504,Q2950),0)),"")</f>
        <v/>
      </c>
      <c r="M2950" s="61" t="str">
        <f aca="false">IF(IsPro,IF($D2950="","",IF(AND(R2950&lt;&gt;"",INDEX(Parties!$E$5:$E$304,R2950)&lt;&gt;"",INDEX(Parties!$E$5:$E$304,R2950)&lt;&gt;HomeState),0,ROUND(K2950*L2950/2,2))),"")</f>
        <v/>
      </c>
      <c r="N2950" s="61" t="str">
        <f aca="false">IF(IsPro,IF($D2950="","",M2950),"")</f>
        <v/>
      </c>
      <c r="O2950" s="61" t="str">
        <f aca="false">IF(IsPro,IF($D2950="","",IF(AND(R2950&lt;&gt;"",INDEX(Parties!$E$5:$E$304,R2950)&lt;&gt;"",INDEX(Parties!$E$5:$E$304,R2950)&lt;&gt;HomeState),ROUND(K2950*L2950,2),0)),"")</f>
        <v/>
      </c>
      <c r="P2950" s="61" t="str">
        <f aca="false">IF(IsPro,IF($D2950="","",K2950+M2950+N2950+O2950),"")</f>
        <v/>
      </c>
      <c r="Q2950" s="60" t="str">
        <f aca="false">IF(IsPro,IF($D2950="","",IFERROR(MATCH($D2950,Items!$A$5:$A$504,0),"")),"")</f>
        <v/>
      </c>
      <c r="R2950" s="60" t="str">
        <f aca="false">IF(IsPro,IF($C2950="","",IFERROR(MATCH($C2950,Parties!$A$5:$A$304,0),"")),"")</f>
        <v/>
      </c>
      <c r="S2950" s="61" t="str">
        <f aca="false">IF(IsPro,IF($D2950="","",IF(OR($H2950="",$H2950="Credit"),0,P2950)),"")</f>
        <v/>
      </c>
    </row>
    <row r="2951" customFormat="false" ht="15" hidden="false" customHeight="false" outlineLevel="0" collapsed="false">
      <c r="A2951" s="55"/>
      <c r="B2951" s="56"/>
      <c r="C2951" s="56"/>
      <c r="D2951" s="56"/>
      <c r="E2951" s="57"/>
      <c r="F2951" s="58"/>
      <c r="G2951" s="59"/>
      <c r="H2951" s="56"/>
      <c r="I2951" s="60" t="str">
        <f aca="false">IF(IsPro,IF($D2951="","",IFERROR(INDEX(Items!$D$5:$D$504,Q2951),"")),IF($D2951="","","PRO PLAN"))</f>
        <v/>
      </c>
      <c r="J2951" s="61" t="str">
        <f aca="false">IF(IsPro,IF($D2951="","",IF($F2951="",IFERROR(INDEX(Items!$G$5:$G$504,Q2951),0),$F2951)),"")</f>
        <v/>
      </c>
      <c r="K2951" s="61" t="str">
        <f aca="false">IF(IsPro,IF($D2951="","",ROUND(N($E2951)*J2951*(1-N($G2951)),2)),"")</f>
        <v/>
      </c>
      <c r="L2951" s="62" t="str">
        <f aca="false">IF(IsPro,IF($D2951="","",IFERROR(INDEX(Items!$F$5:$F$504,Q2951),0)),"")</f>
        <v/>
      </c>
      <c r="M2951" s="61" t="str">
        <f aca="false">IF(IsPro,IF($D2951="","",IF(AND(R2951&lt;&gt;"",INDEX(Parties!$E$5:$E$304,R2951)&lt;&gt;"",INDEX(Parties!$E$5:$E$304,R2951)&lt;&gt;HomeState),0,ROUND(K2951*L2951/2,2))),"")</f>
        <v/>
      </c>
      <c r="N2951" s="61" t="str">
        <f aca="false">IF(IsPro,IF($D2951="","",M2951),"")</f>
        <v/>
      </c>
      <c r="O2951" s="61" t="str">
        <f aca="false">IF(IsPro,IF($D2951="","",IF(AND(R2951&lt;&gt;"",INDEX(Parties!$E$5:$E$304,R2951)&lt;&gt;"",INDEX(Parties!$E$5:$E$304,R2951)&lt;&gt;HomeState),ROUND(K2951*L2951,2),0)),"")</f>
        <v/>
      </c>
      <c r="P2951" s="61" t="str">
        <f aca="false">IF(IsPro,IF($D2951="","",K2951+M2951+N2951+O2951),"")</f>
        <v/>
      </c>
      <c r="Q2951" s="60" t="str">
        <f aca="false">IF(IsPro,IF($D2951="","",IFERROR(MATCH($D2951,Items!$A$5:$A$504,0),"")),"")</f>
        <v/>
      </c>
      <c r="R2951" s="60" t="str">
        <f aca="false">IF(IsPro,IF($C2951="","",IFERROR(MATCH($C2951,Parties!$A$5:$A$304,0),"")),"")</f>
        <v/>
      </c>
      <c r="S2951" s="61" t="str">
        <f aca="false">IF(IsPro,IF($D2951="","",IF(OR($H2951="",$H2951="Credit"),0,P2951)),"")</f>
        <v/>
      </c>
    </row>
    <row r="2952" customFormat="false" ht="15" hidden="false" customHeight="false" outlineLevel="0" collapsed="false">
      <c r="A2952" s="55"/>
      <c r="B2952" s="56"/>
      <c r="C2952" s="56"/>
      <c r="D2952" s="56"/>
      <c r="E2952" s="57"/>
      <c r="F2952" s="58"/>
      <c r="G2952" s="59"/>
      <c r="H2952" s="56"/>
      <c r="I2952" s="60" t="str">
        <f aca="false">IF(IsPro,IF($D2952="","",IFERROR(INDEX(Items!$D$5:$D$504,Q2952),"")),IF($D2952="","","PRO PLAN"))</f>
        <v/>
      </c>
      <c r="J2952" s="61" t="str">
        <f aca="false">IF(IsPro,IF($D2952="","",IF($F2952="",IFERROR(INDEX(Items!$G$5:$G$504,Q2952),0),$F2952)),"")</f>
        <v/>
      </c>
      <c r="K2952" s="61" t="str">
        <f aca="false">IF(IsPro,IF($D2952="","",ROUND(N($E2952)*J2952*(1-N($G2952)),2)),"")</f>
        <v/>
      </c>
      <c r="L2952" s="62" t="str">
        <f aca="false">IF(IsPro,IF($D2952="","",IFERROR(INDEX(Items!$F$5:$F$504,Q2952),0)),"")</f>
        <v/>
      </c>
      <c r="M2952" s="61" t="str">
        <f aca="false">IF(IsPro,IF($D2952="","",IF(AND(R2952&lt;&gt;"",INDEX(Parties!$E$5:$E$304,R2952)&lt;&gt;"",INDEX(Parties!$E$5:$E$304,R2952)&lt;&gt;HomeState),0,ROUND(K2952*L2952/2,2))),"")</f>
        <v/>
      </c>
      <c r="N2952" s="61" t="str">
        <f aca="false">IF(IsPro,IF($D2952="","",M2952),"")</f>
        <v/>
      </c>
      <c r="O2952" s="61" t="str">
        <f aca="false">IF(IsPro,IF($D2952="","",IF(AND(R2952&lt;&gt;"",INDEX(Parties!$E$5:$E$304,R2952)&lt;&gt;"",INDEX(Parties!$E$5:$E$304,R2952)&lt;&gt;HomeState),ROUND(K2952*L2952,2),0)),"")</f>
        <v/>
      </c>
      <c r="P2952" s="61" t="str">
        <f aca="false">IF(IsPro,IF($D2952="","",K2952+M2952+N2952+O2952),"")</f>
        <v/>
      </c>
      <c r="Q2952" s="60" t="str">
        <f aca="false">IF(IsPro,IF($D2952="","",IFERROR(MATCH($D2952,Items!$A$5:$A$504,0),"")),"")</f>
        <v/>
      </c>
      <c r="R2952" s="60" t="str">
        <f aca="false">IF(IsPro,IF($C2952="","",IFERROR(MATCH($C2952,Parties!$A$5:$A$304,0),"")),"")</f>
        <v/>
      </c>
      <c r="S2952" s="61" t="str">
        <f aca="false">IF(IsPro,IF($D2952="","",IF(OR($H2952="",$H2952="Credit"),0,P2952)),"")</f>
        <v/>
      </c>
    </row>
    <row r="2953" customFormat="false" ht="15" hidden="false" customHeight="false" outlineLevel="0" collapsed="false">
      <c r="A2953" s="55"/>
      <c r="B2953" s="56"/>
      <c r="C2953" s="56"/>
      <c r="D2953" s="56"/>
      <c r="E2953" s="57"/>
      <c r="F2953" s="58"/>
      <c r="G2953" s="59"/>
      <c r="H2953" s="56"/>
      <c r="I2953" s="60" t="str">
        <f aca="false">IF(IsPro,IF($D2953="","",IFERROR(INDEX(Items!$D$5:$D$504,Q2953),"")),IF($D2953="","","PRO PLAN"))</f>
        <v/>
      </c>
      <c r="J2953" s="61" t="str">
        <f aca="false">IF(IsPro,IF($D2953="","",IF($F2953="",IFERROR(INDEX(Items!$G$5:$G$504,Q2953),0),$F2953)),"")</f>
        <v/>
      </c>
      <c r="K2953" s="61" t="str">
        <f aca="false">IF(IsPro,IF($D2953="","",ROUND(N($E2953)*J2953*(1-N($G2953)),2)),"")</f>
        <v/>
      </c>
      <c r="L2953" s="62" t="str">
        <f aca="false">IF(IsPro,IF($D2953="","",IFERROR(INDEX(Items!$F$5:$F$504,Q2953),0)),"")</f>
        <v/>
      </c>
      <c r="M2953" s="61" t="str">
        <f aca="false">IF(IsPro,IF($D2953="","",IF(AND(R2953&lt;&gt;"",INDEX(Parties!$E$5:$E$304,R2953)&lt;&gt;"",INDEX(Parties!$E$5:$E$304,R2953)&lt;&gt;HomeState),0,ROUND(K2953*L2953/2,2))),"")</f>
        <v/>
      </c>
      <c r="N2953" s="61" t="str">
        <f aca="false">IF(IsPro,IF($D2953="","",M2953),"")</f>
        <v/>
      </c>
      <c r="O2953" s="61" t="str">
        <f aca="false">IF(IsPro,IF($D2953="","",IF(AND(R2953&lt;&gt;"",INDEX(Parties!$E$5:$E$304,R2953)&lt;&gt;"",INDEX(Parties!$E$5:$E$304,R2953)&lt;&gt;HomeState),ROUND(K2953*L2953,2),0)),"")</f>
        <v/>
      </c>
      <c r="P2953" s="61" t="str">
        <f aca="false">IF(IsPro,IF($D2953="","",K2953+M2953+N2953+O2953),"")</f>
        <v/>
      </c>
      <c r="Q2953" s="60" t="str">
        <f aca="false">IF(IsPro,IF($D2953="","",IFERROR(MATCH($D2953,Items!$A$5:$A$504,0),"")),"")</f>
        <v/>
      </c>
      <c r="R2953" s="60" t="str">
        <f aca="false">IF(IsPro,IF($C2953="","",IFERROR(MATCH($C2953,Parties!$A$5:$A$304,0),"")),"")</f>
        <v/>
      </c>
      <c r="S2953" s="61" t="str">
        <f aca="false">IF(IsPro,IF($D2953="","",IF(OR($H2953="",$H2953="Credit"),0,P2953)),"")</f>
        <v/>
      </c>
    </row>
    <row r="2954" customFormat="false" ht="15" hidden="false" customHeight="false" outlineLevel="0" collapsed="false">
      <c r="A2954" s="55"/>
      <c r="B2954" s="56"/>
      <c r="C2954" s="56"/>
      <c r="D2954" s="56"/>
      <c r="E2954" s="57"/>
      <c r="F2954" s="58"/>
      <c r="G2954" s="59"/>
      <c r="H2954" s="56"/>
      <c r="I2954" s="60" t="str">
        <f aca="false">IF(IsPro,IF($D2954="","",IFERROR(INDEX(Items!$D$5:$D$504,Q2954),"")),IF($D2954="","","PRO PLAN"))</f>
        <v/>
      </c>
      <c r="J2954" s="61" t="str">
        <f aca="false">IF(IsPro,IF($D2954="","",IF($F2954="",IFERROR(INDEX(Items!$G$5:$G$504,Q2954),0),$F2954)),"")</f>
        <v/>
      </c>
      <c r="K2954" s="61" t="str">
        <f aca="false">IF(IsPro,IF($D2954="","",ROUND(N($E2954)*J2954*(1-N($G2954)),2)),"")</f>
        <v/>
      </c>
      <c r="L2954" s="62" t="str">
        <f aca="false">IF(IsPro,IF($D2954="","",IFERROR(INDEX(Items!$F$5:$F$504,Q2954),0)),"")</f>
        <v/>
      </c>
      <c r="M2954" s="61" t="str">
        <f aca="false">IF(IsPro,IF($D2954="","",IF(AND(R2954&lt;&gt;"",INDEX(Parties!$E$5:$E$304,R2954)&lt;&gt;"",INDEX(Parties!$E$5:$E$304,R2954)&lt;&gt;HomeState),0,ROUND(K2954*L2954/2,2))),"")</f>
        <v/>
      </c>
      <c r="N2954" s="61" t="str">
        <f aca="false">IF(IsPro,IF($D2954="","",M2954),"")</f>
        <v/>
      </c>
      <c r="O2954" s="61" t="str">
        <f aca="false">IF(IsPro,IF($D2954="","",IF(AND(R2954&lt;&gt;"",INDEX(Parties!$E$5:$E$304,R2954)&lt;&gt;"",INDEX(Parties!$E$5:$E$304,R2954)&lt;&gt;HomeState),ROUND(K2954*L2954,2),0)),"")</f>
        <v/>
      </c>
      <c r="P2954" s="61" t="str">
        <f aca="false">IF(IsPro,IF($D2954="","",K2954+M2954+N2954+O2954),"")</f>
        <v/>
      </c>
      <c r="Q2954" s="60" t="str">
        <f aca="false">IF(IsPro,IF($D2954="","",IFERROR(MATCH($D2954,Items!$A$5:$A$504,0),"")),"")</f>
        <v/>
      </c>
      <c r="R2954" s="60" t="str">
        <f aca="false">IF(IsPro,IF($C2954="","",IFERROR(MATCH($C2954,Parties!$A$5:$A$304,0),"")),"")</f>
        <v/>
      </c>
      <c r="S2954" s="61" t="str">
        <f aca="false">IF(IsPro,IF($D2954="","",IF(OR($H2954="",$H2954="Credit"),0,P2954)),"")</f>
        <v/>
      </c>
    </row>
    <row r="2955" customFormat="false" ht="15" hidden="false" customHeight="false" outlineLevel="0" collapsed="false">
      <c r="A2955" s="55"/>
      <c r="B2955" s="56"/>
      <c r="C2955" s="56"/>
      <c r="D2955" s="56"/>
      <c r="E2955" s="57"/>
      <c r="F2955" s="58"/>
      <c r="G2955" s="59"/>
      <c r="H2955" s="56"/>
      <c r="I2955" s="60" t="str">
        <f aca="false">IF(IsPro,IF($D2955="","",IFERROR(INDEX(Items!$D$5:$D$504,Q2955),"")),IF($D2955="","","PRO PLAN"))</f>
        <v/>
      </c>
      <c r="J2955" s="61" t="str">
        <f aca="false">IF(IsPro,IF($D2955="","",IF($F2955="",IFERROR(INDEX(Items!$G$5:$G$504,Q2955),0),$F2955)),"")</f>
        <v/>
      </c>
      <c r="K2955" s="61" t="str">
        <f aca="false">IF(IsPro,IF($D2955="","",ROUND(N($E2955)*J2955*(1-N($G2955)),2)),"")</f>
        <v/>
      </c>
      <c r="L2955" s="62" t="str">
        <f aca="false">IF(IsPro,IF($D2955="","",IFERROR(INDEX(Items!$F$5:$F$504,Q2955),0)),"")</f>
        <v/>
      </c>
      <c r="M2955" s="61" t="str">
        <f aca="false">IF(IsPro,IF($D2955="","",IF(AND(R2955&lt;&gt;"",INDEX(Parties!$E$5:$E$304,R2955)&lt;&gt;"",INDEX(Parties!$E$5:$E$304,R2955)&lt;&gt;HomeState),0,ROUND(K2955*L2955/2,2))),"")</f>
        <v/>
      </c>
      <c r="N2955" s="61" t="str">
        <f aca="false">IF(IsPro,IF($D2955="","",M2955),"")</f>
        <v/>
      </c>
      <c r="O2955" s="61" t="str">
        <f aca="false">IF(IsPro,IF($D2955="","",IF(AND(R2955&lt;&gt;"",INDEX(Parties!$E$5:$E$304,R2955)&lt;&gt;"",INDEX(Parties!$E$5:$E$304,R2955)&lt;&gt;HomeState),ROUND(K2955*L2955,2),0)),"")</f>
        <v/>
      </c>
      <c r="P2955" s="61" t="str">
        <f aca="false">IF(IsPro,IF($D2955="","",K2955+M2955+N2955+O2955),"")</f>
        <v/>
      </c>
      <c r="Q2955" s="60" t="str">
        <f aca="false">IF(IsPro,IF($D2955="","",IFERROR(MATCH($D2955,Items!$A$5:$A$504,0),"")),"")</f>
        <v/>
      </c>
      <c r="R2955" s="60" t="str">
        <f aca="false">IF(IsPro,IF($C2955="","",IFERROR(MATCH($C2955,Parties!$A$5:$A$304,0),"")),"")</f>
        <v/>
      </c>
      <c r="S2955" s="61" t="str">
        <f aca="false">IF(IsPro,IF($D2955="","",IF(OR($H2955="",$H2955="Credit"),0,P2955)),"")</f>
        <v/>
      </c>
    </row>
    <row r="2956" customFormat="false" ht="15" hidden="false" customHeight="false" outlineLevel="0" collapsed="false">
      <c r="A2956" s="55"/>
      <c r="B2956" s="56"/>
      <c r="C2956" s="56"/>
      <c r="D2956" s="56"/>
      <c r="E2956" s="57"/>
      <c r="F2956" s="58"/>
      <c r="G2956" s="59"/>
      <c r="H2956" s="56"/>
      <c r="I2956" s="60" t="str">
        <f aca="false">IF(IsPro,IF($D2956="","",IFERROR(INDEX(Items!$D$5:$D$504,Q2956),"")),IF($D2956="","","PRO PLAN"))</f>
        <v/>
      </c>
      <c r="J2956" s="61" t="str">
        <f aca="false">IF(IsPro,IF($D2956="","",IF($F2956="",IFERROR(INDEX(Items!$G$5:$G$504,Q2956),0),$F2956)),"")</f>
        <v/>
      </c>
      <c r="K2956" s="61" t="str">
        <f aca="false">IF(IsPro,IF($D2956="","",ROUND(N($E2956)*J2956*(1-N($G2956)),2)),"")</f>
        <v/>
      </c>
      <c r="L2956" s="62" t="str">
        <f aca="false">IF(IsPro,IF($D2956="","",IFERROR(INDEX(Items!$F$5:$F$504,Q2956),0)),"")</f>
        <v/>
      </c>
      <c r="M2956" s="61" t="str">
        <f aca="false">IF(IsPro,IF($D2956="","",IF(AND(R2956&lt;&gt;"",INDEX(Parties!$E$5:$E$304,R2956)&lt;&gt;"",INDEX(Parties!$E$5:$E$304,R2956)&lt;&gt;HomeState),0,ROUND(K2956*L2956/2,2))),"")</f>
        <v/>
      </c>
      <c r="N2956" s="61" t="str">
        <f aca="false">IF(IsPro,IF($D2956="","",M2956),"")</f>
        <v/>
      </c>
      <c r="O2956" s="61" t="str">
        <f aca="false">IF(IsPro,IF($D2956="","",IF(AND(R2956&lt;&gt;"",INDEX(Parties!$E$5:$E$304,R2956)&lt;&gt;"",INDEX(Parties!$E$5:$E$304,R2956)&lt;&gt;HomeState),ROUND(K2956*L2956,2),0)),"")</f>
        <v/>
      </c>
      <c r="P2956" s="61" t="str">
        <f aca="false">IF(IsPro,IF($D2956="","",K2956+M2956+N2956+O2956),"")</f>
        <v/>
      </c>
      <c r="Q2956" s="60" t="str">
        <f aca="false">IF(IsPro,IF($D2956="","",IFERROR(MATCH($D2956,Items!$A$5:$A$504,0),"")),"")</f>
        <v/>
      </c>
      <c r="R2956" s="60" t="str">
        <f aca="false">IF(IsPro,IF($C2956="","",IFERROR(MATCH($C2956,Parties!$A$5:$A$304,0),"")),"")</f>
        <v/>
      </c>
      <c r="S2956" s="61" t="str">
        <f aca="false">IF(IsPro,IF($D2956="","",IF(OR($H2956="",$H2956="Credit"),0,P2956)),"")</f>
        <v/>
      </c>
    </row>
    <row r="2957" customFormat="false" ht="15" hidden="false" customHeight="false" outlineLevel="0" collapsed="false">
      <c r="A2957" s="55"/>
      <c r="B2957" s="56"/>
      <c r="C2957" s="56"/>
      <c r="D2957" s="56"/>
      <c r="E2957" s="57"/>
      <c r="F2957" s="58"/>
      <c r="G2957" s="59"/>
      <c r="H2957" s="56"/>
      <c r="I2957" s="60" t="str">
        <f aca="false">IF(IsPro,IF($D2957="","",IFERROR(INDEX(Items!$D$5:$D$504,Q2957),"")),IF($D2957="","","PRO PLAN"))</f>
        <v/>
      </c>
      <c r="J2957" s="61" t="str">
        <f aca="false">IF(IsPro,IF($D2957="","",IF($F2957="",IFERROR(INDEX(Items!$G$5:$G$504,Q2957),0),$F2957)),"")</f>
        <v/>
      </c>
      <c r="K2957" s="61" t="str">
        <f aca="false">IF(IsPro,IF($D2957="","",ROUND(N($E2957)*J2957*(1-N($G2957)),2)),"")</f>
        <v/>
      </c>
      <c r="L2957" s="62" t="str">
        <f aca="false">IF(IsPro,IF($D2957="","",IFERROR(INDEX(Items!$F$5:$F$504,Q2957),0)),"")</f>
        <v/>
      </c>
      <c r="M2957" s="61" t="str">
        <f aca="false">IF(IsPro,IF($D2957="","",IF(AND(R2957&lt;&gt;"",INDEX(Parties!$E$5:$E$304,R2957)&lt;&gt;"",INDEX(Parties!$E$5:$E$304,R2957)&lt;&gt;HomeState),0,ROUND(K2957*L2957/2,2))),"")</f>
        <v/>
      </c>
      <c r="N2957" s="61" t="str">
        <f aca="false">IF(IsPro,IF($D2957="","",M2957),"")</f>
        <v/>
      </c>
      <c r="O2957" s="61" t="str">
        <f aca="false">IF(IsPro,IF($D2957="","",IF(AND(R2957&lt;&gt;"",INDEX(Parties!$E$5:$E$304,R2957)&lt;&gt;"",INDEX(Parties!$E$5:$E$304,R2957)&lt;&gt;HomeState),ROUND(K2957*L2957,2),0)),"")</f>
        <v/>
      </c>
      <c r="P2957" s="61" t="str">
        <f aca="false">IF(IsPro,IF($D2957="","",K2957+M2957+N2957+O2957),"")</f>
        <v/>
      </c>
      <c r="Q2957" s="60" t="str">
        <f aca="false">IF(IsPro,IF($D2957="","",IFERROR(MATCH($D2957,Items!$A$5:$A$504,0),"")),"")</f>
        <v/>
      </c>
      <c r="R2957" s="60" t="str">
        <f aca="false">IF(IsPro,IF($C2957="","",IFERROR(MATCH($C2957,Parties!$A$5:$A$304,0),"")),"")</f>
        <v/>
      </c>
      <c r="S2957" s="61" t="str">
        <f aca="false">IF(IsPro,IF($D2957="","",IF(OR($H2957="",$H2957="Credit"),0,P2957)),"")</f>
        <v/>
      </c>
    </row>
    <row r="2958" customFormat="false" ht="15" hidden="false" customHeight="false" outlineLevel="0" collapsed="false">
      <c r="A2958" s="55"/>
      <c r="B2958" s="56"/>
      <c r="C2958" s="56"/>
      <c r="D2958" s="56"/>
      <c r="E2958" s="57"/>
      <c r="F2958" s="58"/>
      <c r="G2958" s="59"/>
      <c r="H2958" s="56"/>
      <c r="I2958" s="60" t="str">
        <f aca="false">IF(IsPro,IF($D2958="","",IFERROR(INDEX(Items!$D$5:$D$504,Q2958),"")),IF($D2958="","","PRO PLAN"))</f>
        <v/>
      </c>
      <c r="J2958" s="61" t="str">
        <f aca="false">IF(IsPro,IF($D2958="","",IF($F2958="",IFERROR(INDEX(Items!$G$5:$G$504,Q2958),0),$F2958)),"")</f>
        <v/>
      </c>
      <c r="K2958" s="61" t="str">
        <f aca="false">IF(IsPro,IF($D2958="","",ROUND(N($E2958)*J2958*(1-N($G2958)),2)),"")</f>
        <v/>
      </c>
      <c r="L2958" s="62" t="str">
        <f aca="false">IF(IsPro,IF($D2958="","",IFERROR(INDEX(Items!$F$5:$F$504,Q2958),0)),"")</f>
        <v/>
      </c>
      <c r="M2958" s="61" t="str">
        <f aca="false">IF(IsPro,IF($D2958="","",IF(AND(R2958&lt;&gt;"",INDEX(Parties!$E$5:$E$304,R2958)&lt;&gt;"",INDEX(Parties!$E$5:$E$304,R2958)&lt;&gt;HomeState),0,ROUND(K2958*L2958/2,2))),"")</f>
        <v/>
      </c>
      <c r="N2958" s="61" t="str">
        <f aca="false">IF(IsPro,IF($D2958="","",M2958),"")</f>
        <v/>
      </c>
      <c r="O2958" s="61" t="str">
        <f aca="false">IF(IsPro,IF($D2958="","",IF(AND(R2958&lt;&gt;"",INDEX(Parties!$E$5:$E$304,R2958)&lt;&gt;"",INDEX(Parties!$E$5:$E$304,R2958)&lt;&gt;HomeState),ROUND(K2958*L2958,2),0)),"")</f>
        <v/>
      </c>
      <c r="P2958" s="61" t="str">
        <f aca="false">IF(IsPro,IF($D2958="","",K2958+M2958+N2958+O2958),"")</f>
        <v/>
      </c>
      <c r="Q2958" s="60" t="str">
        <f aca="false">IF(IsPro,IF($D2958="","",IFERROR(MATCH($D2958,Items!$A$5:$A$504,0),"")),"")</f>
        <v/>
      </c>
      <c r="R2958" s="60" t="str">
        <f aca="false">IF(IsPro,IF($C2958="","",IFERROR(MATCH($C2958,Parties!$A$5:$A$304,0),"")),"")</f>
        <v/>
      </c>
      <c r="S2958" s="61" t="str">
        <f aca="false">IF(IsPro,IF($D2958="","",IF(OR($H2958="",$H2958="Credit"),0,P2958)),"")</f>
        <v/>
      </c>
    </row>
    <row r="2959" customFormat="false" ht="15" hidden="false" customHeight="false" outlineLevel="0" collapsed="false">
      <c r="A2959" s="55"/>
      <c r="B2959" s="56"/>
      <c r="C2959" s="56"/>
      <c r="D2959" s="56"/>
      <c r="E2959" s="57"/>
      <c r="F2959" s="58"/>
      <c r="G2959" s="59"/>
      <c r="H2959" s="56"/>
      <c r="I2959" s="60" t="str">
        <f aca="false">IF(IsPro,IF($D2959="","",IFERROR(INDEX(Items!$D$5:$D$504,Q2959),"")),IF($D2959="","","PRO PLAN"))</f>
        <v/>
      </c>
      <c r="J2959" s="61" t="str">
        <f aca="false">IF(IsPro,IF($D2959="","",IF($F2959="",IFERROR(INDEX(Items!$G$5:$G$504,Q2959),0),$F2959)),"")</f>
        <v/>
      </c>
      <c r="K2959" s="61" t="str">
        <f aca="false">IF(IsPro,IF($D2959="","",ROUND(N($E2959)*J2959*(1-N($G2959)),2)),"")</f>
        <v/>
      </c>
      <c r="L2959" s="62" t="str">
        <f aca="false">IF(IsPro,IF($D2959="","",IFERROR(INDEX(Items!$F$5:$F$504,Q2959),0)),"")</f>
        <v/>
      </c>
      <c r="M2959" s="61" t="str">
        <f aca="false">IF(IsPro,IF($D2959="","",IF(AND(R2959&lt;&gt;"",INDEX(Parties!$E$5:$E$304,R2959)&lt;&gt;"",INDEX(Parties!$E$5:$E$304,R2959)&lt;&gt;HomeState),0,ROUND(K2959*L2959/2,2))),"")</f>
        <v/>
      </c>
      <c r="N2959" s="61" t="str">
        <f aca="false">IF(IsPro,IF($D2959="","",M2959),"")</f>
        <v/>
      </c>
      <c r="O2959" s="61" t="str">
        <f aca="false">IF(IsPro,IF($D2959="","",IF(AND(R2959&lt;&gt;"",INDEX(Parties!$E$5:$E$304,R2959)&lt;&gt;"",INDEX(Parties!$E$5:$E$304,R2959)&lt;&gt;HomeState),ROUND(K2959*L2959,2),0)),"")</f>
        <v/>
      </c>
      <c r="P2959" s="61" t="str">
        <f aca="false">IF(IsPro,IF($D2959="","",K2959+M2959+N2959+O2959),"")</f>
        <v/>
      </c>
      <c r="Q2959" s="60" t="str">
        <f aca="false">IF(IsPro,IF($D2959="","",IFERROR(MATCH($D2959,Items!$A$5:$A$504,0),"")),"")</f>
        <v/>
      </c>
      <c r="R2959" s="60" t="str">
        <f aca="false">IF(IsPro,IF($C2959="","",IFERROR(MATCH($C2959,Parties!$A$5:$A$304,0),"")),"")</f>
        <v/>
      </c>
      <c r="S2959" s="61" t="str">
        <f aca="false">IF(IsPro,IF($D2959="","",IF(OR($H2959="",$H2959="Credit"),0,P2959)),"")</f>
        <v/>
      </c>
    </row>
    <row r="2960" customFormat="false" ht="15" hidden="false" customHeight="false" outlineLevel="0" collapsed="false">
      <c r="A2960" s="55"/>
      <c r="B2960" s="56"/>
      <c r="C2960" s="56"/>
      <c r="D2960" s="56"/>
      <c r="E2960" s="57"/>
      <c r="F2960" s="58"/>
      <c r="G2960" s="59"/>
      <c r="H2960" s="56"/>
      <c r="I2960" s="60" t="str">
        <f aca="false">IF(IsPro,IF($D2960="","",IFERROR(INDEX(Items!$D$5:$D$504,Q2960),"")),IF($D2960="","","PRO PLAN"))</f>
        <v/>
      </c>
      <c r="J2960" s="61" t="str">
        <f aca="false">IF(IsPro,IF($D2960="","",IF($F2960="",IFERROR(INDEX(Items!$G$5:$G$504,Q2960),0),$F2960)),"")</f>
        <v/>
      </c>
      <c r="K2960" s="61" t="str">
        <f aca="false">IF(IsPro,IF($D2960="","",ROUND(N($E2960)*J2960*(1-N($G2960)),2)),"")</f>
        <v/>
      </c>
      <c r="L2960" s="62" t="str">
        <f aca="false">IF(IsPro,IF($D2960="","",IFERROR(INDEX(Items!$F$5:$F$504,Q2960),0)),"")</f>
        <v/>
      </c>
      <c r="M2960" s="61" t="str">
        <f aca="false">IF(IsPro,IF($D2960="","",IF(AND(R2960&lt;&gt;"",INDEX(Parties!$E$5:$E$304,R2960)&lt;&gt;"",INDEX(Parties!$E$5:$E$304,R2960)&lt;&gt;HomeState),0,ROUND(K2960*L2960/2,2))),"")</f>
        <v/>
      </c>
      <c r="N2960" s="61" t="str">
        <f aca="false">IF(IsPro,IF($D2960="","",M2960),"")</f>
        <v/>
      </c>
      <c r="O2960" s="61" t="str">
        <f aca="false">IF(IsPro,IF($D2960="","",IF(AND(R2960&lt;&gt;"",INDEX(Parties!$E$5:$E$304,R2960)&lt;&gt;"",INDEX(Parties!$E$5:$E$304,R2960)&lt;&gt;HomeState),ROUND(K2960*L2960,2),0)),"")</f>
        <v/>
      </c>
      <c r="P2960" s="61" t="str">
        <f aca="false">IF(IsPro,IF($D2960="","",K2960+M2960+N2960+O2960),"")</f>
        <v/>
      </c>
      <c r="Q2960" s="60" t="str">
        <f aca="false">IF(IsPro,IF($D2960="","",IFERROR(MATCH($D2960,Items!$A$5:$A$504,0),"")),"")</f>
        <v/>
      </c>
      <c r="R2960" s="60" t="str">
        <f aca="false">IF(IsPro,IF($C2960="","",IFERROR(MATCH($C2960,Parties!$A$5:$A$304,0),"")),"")</f>
        <v/>
      </c>
      <c r="S2960" s="61" t="str">
        <f aca="false">IF(IsPro,IF($D2960="","",IF(OR($H2960="",$H2960="Credit"),0,P2960)),"")</f>
        <v/>
      </c>
    </row>
    <row r="2961" customFormat="false" ht="15" hidden="false" customHeight="false" outlineLevel="0" collapsed="false">
      <c r="A2961" s="55"/>
      <c r="B2961" s="56"/>
      <c r="C2961" s="56"/>
      <c r="D2961" s="56"/>
      <c r="E2961" s="57"/>
      <c r="F2961" s="58"/>
      <c r="G2961" s="59"/>
      <c r="H2961" s="56"/>
      <c r="I2961" s="60" t="str">
        <f aca="false">IF(IsPro,IF($D2961="","",IFERROR(INDEX(Items!$D$5:$D$504,Q2961),"")),IF($D2961="","","PRO PLAN"))</f>
        <v/>
      </c>
      <c r="J2961" s="61" t="str">
        <f aca="false">IF(IsPro,IF($D2961="","",IF($F2961="",IFERROR(INDEX(Items!$G$5:$G$504,Q2961),0),$F2961)),"")</f>
        <v/>
      </c>
      <c r="K2961" s="61" t="str">
        <f aca="false">IF(IsPro,IF($D2961="","",ROUND(N($E2961)*J2961*(1-N($G2961)),2)),"")</f>
        <v/>
      </c>
      <c r="L2961" s="62" t="str">
        <f aca="false">IF(IsPro,IF($D2961="","",IFERROR(INDEX(Items!$F$5:$F$504,Q2961),0)),"")</f>
        <v/>
      </c>
      <c r="M2961" s="61" t="str">
        <f aca="false">IF(IsPro,IF($D2961="","",IF(AND(R2961&lt;&gt;"",INDEX(Parties!$E$5:$E$304,R2961)&lt;&gt;"",INDEX(Parties!$E$5:$E$304,R2961)&lt;&gt;HomeState),0,ROUND(K2961*L2961/2,2))),"")</f>
        <v/>
      </c>
      <c r="N2961" s="61" t="str">
        <f aca="false">IF(IsPro,IF($D2961="","",M2961),"")</f>
        <v/>
      </c>
      <c r="O2961" s="61" t="str">
        <f aca="false">IF(IsPro,IF($D2961="","",IF(AND(R2961&lt;&gt;"",INDEX(Parties!$E$5:$E$304,R2961)&lt;&gt;"",INDEX(Parties!$E$5:$E$304,R2961)&lt;&gt;HomeState),ROUND(K2961*L2961,2),0)),"")</f>
        <v/>
      </c>
      <c r="P2961" s="61" t="str">
        <f aca="false">IF(IsPro,IF($D2961="","",K2961+M2961+N2961+O2961),"")</f>
        <v/>
      </c>
      <c r="Q2961" s="60" t="str">
        <f aca="false">IF(IsPro,IF($D2961="","",IFERROR(MATCH($D2961,Items!$A$5:$A$504,0),"")),"")</f>
        <v/>
      </c>
      <c r="R2961" s="60" t="str">
        <f aca="false">IF(IsPro,IF($C2961="","",IFERROR(MATCH($C2961,Parties!$A$5:$A$304,0),"")),"")</f>
        <v/>
      </c>
      <c r="S2961" s="61" t="str">
        <f aca="false">IF(IsPro,IF($D2961="","",IF(OR($H2961="",$H2961="Credit"),0,P2961)),"")</f>
        <v/>
      </c>
    </row>
    <row r="2962" customFormat="false" ht="15" hidden="false" customHeight="false" outlineLevel="0" collapsed="false">
      <c r="A2962" s="55"/>
      <c r="B2962" s="56"/>
      <c r="C2962" s="56"/>
      <c r="D2962" s="56"/>
      <c r="E2962" s="57"/>
      <c r="F2962" s="58"/>
      <c r="G2962" s="59"/>
      <c r="H2962" s="56"/>
      <c r="I2962" s="60" t="str">
        <f aca="false">IF(IsPro,IF($D2962="","",IFERROR(INDEX(Items!$D$5:$D$504,Q2962),"")),IF($D2962="","","PRO PLAN"))</f>
        <v/>
      </c>
      <c r="J2962" s="61" t="str">
        <f aca="false">IF(IsPro,IF($D2962="","",IF($F2962="",IFERROR(INDEX(Items!$G$5:$G$504,Q2962),0),$F2962)),"")</f>
        <v/>
      </c>
      <c r="K2962" s="61" t="str">
        <f aca="false">IF(IsPro,IF($D2962="","",ROUND(N($E2962)*J2962*(1-N($G2962)),2)),"")</f>
        <v/>
      </c>
      <c r="L2962" s="62" t="str">
        <f aca="false">IF(IsPro,IF($D2962="","",IFERROR(INDEX(Items!$F$5:$F$504,Q2962),0)),"")</f>
        <v/>
      </c>
      <c r="M2962" s="61" t="str">
        <f aca="false">IF(IsPro,IF($D2962="","",IF(AND(R2962&lt;&gt;"",INDEX(Parties!$E$5:$E$304,R2962)&lt;&gt;"",INDEX(Parties!$E$5:$E$304,R2962)&lt;&gt;HomeState),0,ROUND(K2962*L2962/2,2))),"")</f>
        <v/>
      </c>
      <c r="N2962" s="61" t="str">
        <f aca="false">IF(IsPro,IF($D2962="","",M2962),"")</f>
        <v/>
      </c>
      <c r="O2962" s="61" t="str">
        <f aca="false">IF(IsPro,IF($D2962="","",IF(AND(R2962&lt;&gt;"",INDEX(Parties!$E$5:$E$304,R2962)&lt;&gt;"",INDEX(Parties!$E$5:$E$304,R2962)&lt;&gt;HomeState),ROUND(K2962*L2962,2),0)),"")</f>
        <v/>
      </c>
      <c r="P2962" s="61" t="str">
        <f aca="false">IF(IsPro,IF($D2962="","",K2962+M2962+N2962+O2962),"")</f>
        <v/>
      </c>
      <c r="Q2962" s="60" t="str">
        <f aca="false">IF(IsPro,IF($D2962="","",IFERROR(MATCH($D2962,Items!$A$5:$A$504,0),"")),"")</f>
        <v/>
      </c>
      <c r="R2962" s="60" t="str">
        <f aca="false">IF(IsPro,IF($C2962="","",IFERROR(MATCH($C2962,Parties!$A$5:$A$304,0),"")),"")</f>
        <v/>
      </c>
      <c r="S2962" s="61" t="str">
        <f aca="false">IF(IsPro,IF($D2962="","",IF(OR($H2962="",$H2962="Credit"),0,P2962)),"")</f>
        <v/>
      </c>
    </row>
    <row r="2963" customFormat="false" ht="15" hidden="false" customHeight="false" outlineLevel="0" collapsed="false">
      <c r="A2963" s="55"/>
      <c r="B2963" s="56"/>
      <c r="C2963" s="56"/>
      <c r="D2963" s="56"/>
      <c r="E2963" s="57"/>
      <c r="F2963" s="58"/>
      <c r="G2963" s="59"/>
      <c r="H2963" s="56"/>
      <c r="I2963" s="60" t="str">
        <f aca="false">IF(IsPro,IF($D2963="","",IFERROR(INDEX(Items!$D$5:$D$504,Q2963),"")),IF($D2963="","","PRO PLAN"))</f>
        <v/>
      </c>
      <c r="J2963" s="61" t="str">
        <f aca="false">IF(IsPro,IF($D2963="","",IF($F2963="",IFERROR(INDEX(Items!$G$5:$G$504,Q2963),0),$F2963)),"")</f>
        <v/>
      </c>
      <c r="K2963" s="61" t="str">
        <f aca="false">IF(IsPro,IF($D2963="","",ROUND(N($E2963)*J2963*(1-N($G2963)),2)),"")</f>
        <v/>
      </c>
      <c r="L2963" s="62" t="str">
        <f aca="false">IF(IsPro,IF($D2963="","",IFERROR(INDEX(Items!$F$5:$F$504,Q2963),0)),"")</f>
        <v/>
      </c>
      <c r="M2963" s="61" t="str">
        <f aca="false">IF(IsPro,IF($D2963="","",IF(AND(R2963&lt;&gt;"",INDEX(Parties!$E$5:$E$304,R2963)&lt;&gt;"",INDEX(Parties!$E$5:$E$304,R2963)&lt;&gt;HomeState),0,ROUND(K2963*L2963/2,2))),"")</f>
        <v/>
      </c>
      <c r="N2963" s="61" t="str">
        <f aca="false">IF(IsPro,IF($D2963="","",M2963),"")</f>
        <v/>
      </c>
      <c r="O2963" s="61" t="str">
        <f aca="false">IF(IsPro,IF($D2963="","",IF(AND(R2963&lt;&gt;"",INDEX(Parties!$E$5:$E$304,R2963)&lt;&gt;"",INDEX(Parties!$E$5:$E$304,R2963)&lt;&gt;HomeState),ROUND(K2963*L2963,2),0)),"")</f>
        <v/>
      </c>
      <c r="P2963" s="61" t="str">
        <f aca="false">IF(IsPro,IF($D2963="","",K2963+M2963+N2963+O2963),"")</f>
        <v/>
      </c>
      <c r="Q2963" s="60" t="str">
        <f aca="false">IF(IsPro,IF($D2963="","",IFERROR(MATCH($D2963,Items!$A$5:$A$504,0),"")),"")</f>
        <v/>
      </c>
      <c r="R2963" s="60" t="str">
        <f aca="false">IF(IsPro,IF($C2963="","",IFERROR(MATCH($C2963,Parties!$A$5:$A$304,0),"")),"")</f>
        <v/>
      </c>
      <c r="S2963" s="61" t="str">
        <f aca="false">IF(IsPro,IF($D2963="","",IF(OR($H2963="",$H2963="Credit"),0,P2963)),"")</f>
        <v/>
      </c>
    </row>
    <row r="2964" customFormat="false" ht="15" hidden="false" customHeight="false" outlineLevel="0" collapsed="false">
      <c r="A2964" s="55"/>
      <c r="B2964" s="56"/>
      <c r="C2964" s="56"/>
      <c r="D2964" s="56"/>
      <c r="E2964" s="57"/>
      <c r="F2964" s="58"/>
      <c r="G2964" s="59"/>
      <c r="H2964" s="56"/>
      <c r="I2964" s="60" t="str">
        <f aca="false">IF(IsPro,IF($D2964="","",IFERROR(INDEX(Items!$D$5:$D$504,Q2964),"")),IF($D2964="","","PRO PLAN"))</f>
        <v/>
      </c>
      <c r="J2964" s="61" t="str">
        <f aca="false">IF(IsPro,IF($D2964="","",IF($F2964="",IFERROR(INDEX(Items!$G$5:$G$504,Q2964),0),$F2964)),"")</f>
        <v/>
      </c>
      <c r="K2964" s="61" t="str">
        <f aca="false">IF(IsPro,IF($D2964="","",ROUND(N($E2964)*J2964*(1-N($G2964)),2)),"")</f>
        <v/>
      </c>
      <c r="L2964" s="62" t="str">
        <f aca="false">IF(IsPro,IF($D2964="","",IFERROR(INDEX(Items!$F$5:$F$504,Q2964),0)),"")</f>
        <v/>
      </c>
      <c r="M2964" s="61" t="str">
        <f aca="false">IF(IsPro,IF($D2964="","",IF(AND(R2964&lt;&gt;"",INDEX(Parties!$E$5:$E$304,R2964)&lt;&gt;"",INDEX(Parties!$E$5:$E$304,R2964)&lt;&gt;HomeState),0,ROUND(K2964*L2964/2,2))),"")</f>
        <v/>
      </c>
      <c r="N2964" s="61" t="str">
        <f aca="false">IF(IsPro,IF($D2964="","",M2964),"")</f>
        <v/>
      </c>
      <c r="O2964" s="61" t="str">
        <f aca="false">IF(IsPro,IF($D2964="","",IF(AND(R2964&lt;&gt;"",INDEX(Parties!$E$5:$E$304,R2964)&lt;&gt;"",INDEX(Parties!$E$5:$E$304,R2964)&lt;&gt;HomeState),ROUND(K2964*L2964,2),0)),"")</f>
        <v/>
      </c>
      <c r="P2964" s="61" t="str">
        <f aca="false">IF(IsPro,IF($D2964="","",K2964+M2964+N2964+O2964),"")</f>
        <v/>
      </c>
      <c r="Q2964" s="60" t="str">
        <f aca="false">IF(IsPro,IF($D2964="","",IFERROR(MATCH($D2964,Items!$A$5:$A$504,0),"")),"")</f>
        <v/>
      </c>
      <c r="R2964" s="60" t="str">
        <f aca="false">IF(IsPro,IF($C2964="","",IFERROR(MATCH($C2964,Parties!$A$5:$A$304,0),"")),"")</f>
        <v/>
      </c>
      <c r="S2964" s="61" t="str">
        <f aca="false">IF(IsPro,IF($D2964="","",IF(OR($H2964="",$H2964="Credit"),0,P2964)),"")</f>
        <v/>
      </c>
    </row>
    <row r="2965" customFormat="false" ht="15" hidden="false" customHeight="false" outlineLevel="0" collapsed="false">
      <c r="A2965" s="55"/>
      <c r="B2965" s="56"/>
      <c r="C2965" s="56"/>
      <c r="D2965" s="56"/>
      <c r="E2965" s="57"/>
      <c r="F2965" s="58"/>
      <c r="G2965" s="59"/>
      <c r="H2965" s="56"/>
      <c r="I2965" s="60" t="str">
        <f aca="false">IF(IsPro,IF($D2965="","",IFERROR(INDEX(Items!$D$5:$D$504,Q2965),"")),IF($D2965="","","PRO PLAN"))</f>
        <v/>
      </c>
      <c r="J2965" s="61" t="str">
        <f aca="false">IF(IsPro,IF($D2965="","",IF($F2965="",IFERROR(INDEX(Items!$G$5:$G$504,Q2965),0),$F2965)),"")</f>
        <v/>
      </c>
      <c r="K2965" s="61" t="str">
        <f aca="false">IF(IsPro,IF($D2965="","",ROUND(N($E2965)*J2965*(1-N($G2965)),2)),"")</f>
        <v/>
      </c>
      <c r="L2965" s="62" t="str">
        <f aca="false">IF(IsPro,IF($D2965="","",IFERROR(INDEX(Items!$F$5:$F$504,Q2965),0)),"")</f>
        <v/>
      </c>
      <c r="M2965" s="61" t="str">
        <f aca="false">IF(IsPro,IF($D2965="","",IF(AND(R2965&lt;&gt;"",INDEX(Parties!$E$5:$E$304,R2965)&lt;&gt;"",INDEX(Parties!$E$5:$E$304,R2965)&lt;&gt;HomeState),0,ROUND(K2965*L2965/2,2))),"")</f>
        <v/>
      </c>
      <c r="N2965" s="61" t="str">
        <f aca="false">IF(IsPro,IF($D2965="","",M2965),"")</f>
        <v/>
      </c>
      <c r="O2965" s="61" t="str">
        <f aca="false">IF(IsPro,IF($D2965="","",IF(AND(R2965&lt;&gt;"",INDEX(Parties!$E$5:$E$304,R2965)&lt;&gt;"",INDEX(Parties!$E$5:$E$304,R2965)&lt;&gt;HomeState),ROUND(K2965*L2965,2),0)),"")</f>
        <v/>
      </c>
      <c r="P2965" s="61" t="str">
        <f aca="false">IF(IsPro,IF($D2965="","",K2965+M2965+N2965+O2965),"")</f>
        <v/>
      </c>
      <c r="Q2965" s="60" t="str">
        <f aca="false">IF(IsPro,IF($D2965="","",IFERROR(MATCH($D2965,Items!$A$5:$A$504,0),"")),"")</f>
        <v/>
      </c>
      <c r="R2965" s="60" t="str">
        <f aca="false">IF(IsPro,IF($C2965="","",IFERROR(MATCH($C2965,Parties!$A$5:$A$304,0),"")),"")</f>
        <v/>
      </c>
      <c r="S2965" s="61" t="str">
        <f aca="false">IF(IsPro,IF($D2965="","",IF(OR($H2965="",$H2965="Credit"),0,P2965)),"")</f>
        <v/>
      </c>
    </row>
    <row r="2966" customFormat="false" ht="15" hidden="false" customHeight="false" outlineLevel="0" collapsed="false">
      <c r="A2966" s="55"/>
      <c r="B2966" s="56"/>
      <c r="C2966" s="56"/>
      <c r="D2966" s="56"/>
      <c r="E2966" s="57"/>
      <c r="F2966" s="58"/>
      <c r="G2966" s="59"/>
      <c r="H2966" s="56"/>
      <c r="I2966" s="60" t="str">
        <f aca="false">IF(IsPro,IF($D2966="","",IFERROR(INDEX(Items!$D$5:$D$504,Q2966),"")),IF($D2966="","","PRO PLAN"))</f>
        <v/>
      </c>
      <c r="J2966" s="61" t="str">
        <f aca="false">IF(IsPro,IF($D2966="","",IF($F2966="",IFERROR(INDEX(Items!$G$5:$G$504,Q2966),0),$F2966)),"")</f>
        <v/>
      </c>
      <c r="K2966" s="61" t="str">
        <f aca="false">IF(IsPro,IF($D2966="","",ROUND(N($E2966)*J2966*(1-N($G2966)),2)),"")</f>
        <v/>
      </c>
      <c r="L2966" s="62" t="str">
        <f aca="false">IF(IsPro,IF($D2966="","",IFERROR(INDEX(Items!$F$5:$F$504,Q2966),0)),"")</f>
        <v/>
      </c>
      <c r="M2966" s="61" t="str">
        <f aca="false">IF(IsPro,IF($D2966="","",IF(AND(R2966&lt;&gt;"",INDEX(Parties!$E$5:$E$304,R2966)&lt;&gt;"",INDEX(Parties!$E$5:$E$304,R2966)&lt;&gt;HomeState),0,ROUND(K2966*L2966/2,2))),"")</f>
        <v/>
      </c>
      <c r="N2966" s="61" t="str">
        <f aca="false">IF(IsPro,IF($D2966="","",M2966),"")</f>
        <v/>
      </c>
      <c r="O2966" s="61" t="str">
        <f aca="false">IF(IsPro,IF($D2966="","",IF(AND(R2966&lt;&gt;"",INDEX(Parties!$E$5:$E$304,R2966)&lt;&gt;"",INDEX(Parties!$E$5:$E$304,R2966)&lt;&gt;HomeState),ROUND(K2966*L2966,2),0)),"")</f>
        <v/>
      </c>
      <c r="P2966" s="61" t="str">
        <f aca="false">IF(IsPro,IF($D2966="","",K2966+M2966+N2966+O2966),"")</f>
        <v/>
      </c>
      <c r="Q2966" s="60" t="str">
        <f aca="false">IF(IsPro,IF($D2966="","",IFERROR(MATCH($D2966,Items!$A$5:$A$504,0),"")),"")</f>
        <v/>
      </c>
      <c r="R2966" s="60" t="str">
        <f aca="false">IF(IsPro,IF($C2966="","",IFERROR(MATCH($C2966,Parties!$A$5:$A$304,0),"")),"")</f>
        <v/>
      </c>
      <c r="S2966" s="61" t="str">
        <f aca="false">IF(IsPro,IF($D2966="","",IF(OR($H2966="",$H2966="Credit"),0,P2966)),"")</f>
        <v/>
      </c>
    </row>
    <row r="2967" customFormat="false" ht="15" hidden="false" customHeight="false" outlineLevel="0" collapsed="false">
      <c r="A2967" s="55"/>
      <c r="B2967" s="56"/>
      <c r="C2967" s="56"/>
      <c r="D2967" s="56"/>
      <c r="E2967" s="57"/>
      <c r="F2967" s="58"/>
      <c r="G2967" s="59"/>
      <c r="H2967" s="56"/>
      <c r="I2967" s="60" t="str">
        <f aca="false">IF(IsPro,IF($D2967="","",IFERROR(INDEX(Items!$D$5:$D$504,Q2967),"")),IF($D2967="","","PRO PLAN"))</f>
        <v/>
      </c>
      <c r="J2967" s="61" t="str">
        <f aca="false">IF(IsPro,IF($D2967="","",IF($F2967="",IFERROR(INDEX(Items!$G$5:$G$504,Q2967),0),$F2967)),"")</f>
        <v/>
      </c>
      <c r="K2967" s="61" t="str">
        <f aca="false">IF(IsPro,IF($D2967="","",ROUND(N($E2967)*J2967*(1-N($G2967)),2)),"")</f>
        <v/>
      </c>
      <c r="L2967" s="62" t="str">
        <f aca="false">IF(IsPro,IF($D2967="","",IFERROR(INDEX(Items!$F$5:$F$504,Q2967),0)),"")</f>
        <v/>
      </c>
      <c r="M2967" s="61" t="str">
        <f aca="false">IF(IsPro,IF($D2967="","",IF(AND(R2967&lt;&gt;"",INDEX(Parties!$E$5:$E$304,R2967)&lt;&gt;"",INDEX(Parties!$E$5:$E$304,R2967)&lt;&gt;HomeState),0,ROUND(K2967*L2967/2,2))),"")</f>
        <v/>
      </c>
      <c r="N2967" s="61" t="str">
        <f aca="false">IF(IsPro,IF($D2967="","",M2967),"")</f>
        <v/>
      </c>
      <c r="O2967" s="61" t="str">
        <f aca="false">IF(IsPro,IF($D2967="","",IF(AND(R2967&lt;&gt;"",INDEX(Parties!$E$5:$E$304,R2967)&lt;&gt;"",INDEX(Parties!$E$5:$E$304,R2967)&lt;&gt;HomeState),ROUND(K2967*L2967,2),0)),"")</f>
        <v/>
      </c>
      <c r="P2967" s="61" t="str">
        <f aca="false">IF(IsPro,IF($D2967="","",K2967+M2967+N2967+O2967),"")</f>
        <v/>
      </c>
      <c r="Q2967" s="60" t="str">
        <f aca="false">IF(IsPro,IF($D2967="","",IFERROR(MATCH($D2967,Items!$A$5:$A$504,0),"")),"")</f>
        <v/>
      </c>
      <c r="R2967" s="60" t="str">
        <f aca="false">IF(IsPro,IF($C2967="","",IFERROR(MATCH($C2967,Parties!$A$5:$A$304,0),"")),"")</f>
        <v/>
      </c>
      <c r="S2967" s="61" t="str">
        <f aca="false">IF(IsPro,IF($D2967="","",IF(OR($H2967="",$H2967="Credit"),0,P2967)),"")</f>
        <v/>
      </c>
    </row>
    <row r="2968" customFormat="false" ht="15" hidden="false" customHeight="false" outlineLevel="0" collapsed="false">
      <c r="A2968" s="55"/>
      <c r="B2968" s="56"/>
      <c r="C2968" s="56"/>
      <c r="D2968" s="56"/>
      <c r="E2968" s="57"/>
      <c r="F2968" s="58"/>
      <c r="G2968" s="59"/>
      <c r="H2968" s="56"/>
      <c r="I2968" s="60" t="str">
        <f aca="false">IF(IsPro,IF($D2968="","",IFERROR(INDEX(Items!$D$5:$D$504,Q2968),"")),IF($D2968="","","PRO PLAN"))</f>
        <v/>
      </c>
      <c r="J2968" s="61" t="str">
        <f aca="false">IF(IsPro,IF($D2968="","",IF($F2968="",IFERROR(INDEX(Items!$G$5:$G$504,Q2968),0),$F2968)),"")</f>
        <v/>
      </c>
      <c r="K2968" s="61" t="str">
        <f aca="false">IF(IsPro,IF($D2968="","",ROUND(N($E2968)*J2968*(1-N($G2968)),2)),"")</f>
        <v/>
      </c>
      <c r="L2968" s="62" t="str">
        <f aca="false">IF(IsPro,IF($D2968="","",IFERROR(INDEX(Items!$F$5:$F$504,Q2968),0)),"")</f>
        <v/>
      </c>
      <c r="M2968" s="61" t="str">
        <f aca="false">IF(IsPro,IF($D2968="","",IF(AND(R2968&lt;&gt;"",INDEX(Parties!$E$5:$E$304,R2968)&lt;&gt;"",INDEX(Parties!$E$5:$E$304,R2968)&lt;&gt;HomeState),0,ROUND(K2968*L2968/2,2))),"")</f>
        <v/>
      </c>
      <c r="N2968" s="61" t="str">
        <f aca="false">IF(IsPro,IF($D2968="","",M2968),"")</f>
        <v/>
      </c>
      <c r="O2968" s="61" t="str">
        <f aca="false">IF(IsPro,IF($D2968="","",IF(AND(R2968&lt;&gt;"",INDEX(Parties!$E$5:$E$304,R2968)&lt;&gt;"",INDEX(Parties!$E$5:$E$304,R2968)&lt;&gt;HomeState),ROUND(K2968*L2968,2),0)),"")</f>
        <v/>
      </c>
      <c r="P2968" s="61" t="str">
        <f aca="false">IF(IsPro,IF($D2968="","",K2968+M2968+N2968+O2968),"")</f>
        <v/>
      </c>
      <c r="Q2968" s="60" t="str">
        <f aca="false">IF(IsPro,IF($D2968="","",IFERROR(MATCH($D2968,Items!$A$5:$A$504,0),"")),"")</f>
        <v/>
      </c>
      <c r="R2968" s="60" t="str">
        <f aca="false">IF(IsPro,IF($C2968="","",IFERROR(MATCH($C2968,Parties!$A$5:$A$304,0),"")),"")</f>
        <v/>
      </c>
      <c r="S2968" s="61" t="str">
        <f aca="false">IF(IsPro,IF($D2968="","",IF(OR($H2968="",$H2968="Credit"),0,P2968)),"")</f>
        <v/>
      </c>
    </row>
    <row r="2969" customFormat="false" ht="15" hidden="false" customHeight="false" outlineLevel="0" collapsed="false">
      <c r="A2969" s="55"/>
      <c r="B2969" s="56"/>
      <c r="C2969" s="56"/>
      <c r="D2969" s="56"/>
      <c r="E2969" s="57"/>
      <c r="F2969" s="58"/>
      <c r="G2969" s="59"/>
      <c r="H2969" s="56"/>
      <c r="I2969" s="60" t="str">
        <f aca="false">IF(IsPro,IF($D2969="","",IFERROR(INDEX(Items!$D$5:$D$504,Q2969),"")),IF($D2969="","","PRO PLAN"))</f>
        <v/>
      </c>
      <c r="J2969" s="61" t="str">
        <f aca="false">IF(IsPro,IF($D2969="","",IF($F2969="",IFERROR(INDEX(Items!$G$5:$G$504,Q2969),0),$F2969)),"")</f>
        <v/>
      </c>
      <c r="K2969" s="61" t="str">
        <f aca="false">IF(IsPro,IF($D2969="","",ROUND(N($E2969)*J2969*(1-N($G2969)),2)),"")</f>
        <v/>
      </c>
      <c r="L2969" s="62" t="str">
        <f aca="false">IF(IsPro,IF($D2969="","",IFERROR(INDEX(Items!$F$5:$F$504,Q2969),0)),"")</f>
        <v/>
      </c>
      <c r="M2969" s="61" t="str">
        <f aca="false">IF(IsPro,IF($D2969="","",IF(AND(R2969&lt;&gt;"",INDEX(Parties!$E$5:$E$304,R2969)&lt;&gt;"",INDEX(Parties!$E$5:$E$304,R2969)&lt;&gt;HomeState),0,ROUND(K2969*L2969/2,2))),"")</f>
        <v/>
      </c>
      <c r="N2969" s="61" t="str">
        <f aca="false">IF(IsPro,IF($D2969="","",M2969),"")</f>
        <v/>
      </c>
      <c r="O2969" s="61" t="str">
        <f aca="false">IF(IsPro,IF($D2969="","",IF(AND(R2969&lt;&gt;"",INDEX(Parties!$E$5:$E$304,R2969)&lt;&gt;"",INDEX(Parties!$E$5:$E$304,R2969)&lt;&gt;HomeState),ROUND(K2969*L2969,2),0)),"")</f>
        <v/>
      </c>
      <c r="P2969" s="61" t="str">
        <f aca="false">IF(IsPro,IF($D2969="","",K2969+M2969+N2969+O2969),"")</f>
        <v/>
      </c>
      <c r="Q2969" s="60" t="str">
        <f aca="false">IF(IsPro,IF($D2969="","",IFERROR(MATCH($D2969,Items!$A$5:$A$504,0),"")),"")</f>
        <v/>
      </c>
      <c r="R2969" s="60" t="str">
        <f aca="false">IF(IsPro,IF($C2969="","",IFERROR(MATCH($C2969,Parties!$A$5:$A$304,0),"")),"")</f>
        <v/>
      </c>
      <c r="S2969" s="61" t="str">
        <f aca="false">IF(IsPro,IF($D2969="","",IF(OR($H2969="",$H2969="Credit"),0,P2969)),"")</f>
        <v/>
      </c>
    </row>
    <row r="2970" customFormat="false" ht="15" hidden="false" customHeight="false" outlineLevel="0" collapsed="false">
      <c r="A2970" s="55"/>
      <c r="B2970" s="56"/>
      <c r="C2970" s="56"/>
      <c r="D2970" s="56"/>
      <c r="E2970" s="57"/>
      <c r="F2970" s="58"/>
      <c r="G2970" s="59"/>
      <c r="H2970" s="56"/>
      <c r="I2970" s="60" t="str">
        <f aca="false">IF(IsPro,IF($D2970="","",IFERROR(INDEX(Items!$D$5:$D$504,Q2970),"")),IF($D2970="","","PRO PLAN"))</f>
        <v/>
      </c>
      <c r="J2970" s="61" t="str">
        <f aca="false">IF(IsPro,IF($D2970="","",IF($F2970="",IFERROR(INDEX(Items!$G$5:$G$504,Q2970),0),$F2970)),"")</f>
        <v/>
      </c>
      <c r="K2970" s="61" t="str">
        <f aca="false">IF(IsPro,IF($D2970="","",ROUND(N($E2970)*J2970*(1-N($G2970)),2)),"")</f>
        <v/>
      </c>
      <c r="L2970" s="62" t="str">
        <f aca="false">IF(IsPro,IF($D2970="","",IFERROR(INDEX(Items!$F$5:$F$504,Q2970),0)),"")</f>
        <v/>
      </c>
      <c r="M2970" s="61" t="str">
        <f aca="false">IF(IsPro,IF($D2970="","",IF(AND(R2970&lt;&gt;"",INDEX(Parties!$E$5:$E$304,R2970)&lt;&gt;"",INDEX(Parties!$E$5:$E$304,R2970)&lt;&gt;HomeState),0,ROUND(K2970*L2970/2,2))),"")</f>
        <v/>
      </c>
      <c r="N2970" s="61" t="str">
        <f aca="false">IF(IsPro,IF($D2970="","",M2970),"")</f>
        <v/>
      </c>
      <c r="O2970" s="61" t="str">
        <f aca="false">IF(IsPro,IF($D2970="","",IF(AND(R2970&lt;&gt;"",INDEX(Parties!$E$5:$E$304,R2970)&lt;&gt;"",INDEX(Parties!$E$5:$E$304,R2970)&lt;&gt;HomeState),ROUND(K2970*L2970,2),0)),"")</f>
        <v/>
      </c>
      <c r="P2970" s="61" t="str">
        <f aca="false">IF(IsPro,IF($D2970="","",K2970+M2970+N2970+O2970),"")</f>
        <v/>
      </c>
      <c r="Q2970" s="60" t="str">
        <f aca="false">IF(IsPro,IF($D2970="","",IFERROR(MATCH($D2970,Items!$A$5:$A$504,0),"")),"")</f>
        <v/>
      </c>
      <c r="R2970" s="60" t="str">
        <f aca="false">IF(IsPro,IF($C2970="","",IFERROR(MATCH($C2970,Parties!$A$5:$A$304,0),"")),"")</f>
        <v/>
      </c>
      <c r="S2970" s="61" t="str">
        <f aca="false">IF(IsPro,IF($D2970="","",IF(OR($H2970="",$H2970="Credit"),0,P2970)),"")</f>
        <v/>
      </c>
    </row>
    <row r="2971" customFormat="false" ht="15" hidden="false" customHeight="false" outlineLevel="0" collapsed="false">
      <c r="A2971" s="55"/>
      <c r="B2971" s="56"/>
      <c r="C2971" s="56"/>
      <c r="D2971" s="56"/>
      <c r="E2971" s="57"/>
      <c r="F2971" s="58"/>
      <c r="G2971" s="59"/>
      <c r="H2971" s="56"/>
      <c r="I2971" s="60" t="str">
        <f aca="false">IF(IsPro,IF($D2971="","",IFERROR(INDEX(Items!$D$5:$D$504,Q2971),"")),IF($D2971="","","PRO PLAN"))</f>
        <v/>
      </c>
      <c r="J2971" s="61" t="str">
        <f aca="false">IF(IsPro,IF($D2971="","",IF($F2971="",IFERROR(INDEX(Items!$G$5:$G$504,Q2971),0),$F2971)),"")</f>
        <v/>
      </c>
      <c r="K2971" s="61" t="str">
        <f aca="false">IF(IsPro,IF($D2971="","",ROUND(N($E2971)*J2971*(1-N($G2971)),2)),"")</f>
        <v/>
      </c>
      <c r="L2971" s="62" t="str">
        <f aca="false">IF(IsPro,IF($D2971="","",IFERROR(INDEX(Items!$F$5:$F$504,Q2971),0)),"")</f>
        <v/>
      </c>
      <c r="M2971" s="61" t="str">
        <f aca="false">IF(IsPro,IF($D2971="","",IF(AND(R2971&lt;&gt;"",INDEX(Parties!$E$5:$E$304,R2971)&lt;&gt;"",INDEX(Parties!$E$5:$E$304,R2971)&lt;&gt;HomeState),0,ROUND(K2971*L2971/2,2))),"")</f>
        <v/>
      </c>
      <c r="N2971" s="61" t="str">
        <f aca="false">IF(IsPro,IF($D2971="","",M2971),"")</f>
        <v/>
      </c>
      <c r="O2971" s="61" t="str">
        <f aca="false">IF(IsPro,IF($D2971="","",IF(AND(R2971&lt;&gt;"",INDEX(Parties!$E$5:$E$304,R2971)&lt;&gt;"",INDEX(Parties!$E$5:$E$304,R2971)&lt;&gt;HomeState),ROUND(K2971*L2971,2),0)),"")</f>
        <v/>
      </c>
      <c r="P2971" s="61" t="str">
        <f aca="false">IF(IsPro,IF($D2971="","",K2971+M2971+N2971+O2971),"")</f>
        <v/>
      </c>
      <c r="Q2971" s="60" t="str">
        <f aca="false">IF(IsPro,IF($D2971="","",IFERROR(MATCH($D2971,Items!$A$5:$A$504,0),"")),"")</f>
        <v/>
      </c>
      <c r="R2971" s="60" t="str">
        <f aca="false">IF(IsPro,IF($C2971="","",IFERROR(MATCH($C2971,Parties!$A$5:$A$304,0),"")),"")</f>
        <v/>
      </c>
      <c r="S2971" s="61" t="str">
        <f aca="false">IF(IsPro,IF($D2971="","",IF(OR($H2971="",$H2971="Credit"),0,P2971)),"")</f>
        <v/>
      </c>
    </row>
    <row r="2972" customFormat="false" ht="15" hidden="false" customHeight="false" outlineLevel="0" collapsed="false">
      <c r="A2972" s="55"/>
      <c r="B2972" s="56"/>
      <c r="C2972" s="56"/>
      <c r="D2972" s="56"/>
      <c r="E2972" s="57"/>
      <c r="F2972" s="58"/>
      <c r="G2972" s="59"/>
      <c r="H2972" s="56"/>
      <c r="I2972" s="60" t="str">
        <f aca="false">IF(IsPro,IF($D2972="","",IFERROR(INDEX(Items!$D$5:$D$504,Q2972),"")),IF($D2972="","","PRO PLAN"))</f>
        <v/>
      </c>
      <c r="J2972" s="61" t="str">
        <f aca="false">IF(IsPro,IF($D2972="","",IF($F2972="",IFERROR(INDEX(Items!$G$5:$G$504,Q2972),0),$F2972)),"")</f>
        <v/>
      </c>
      <c r="K2972" s="61" t="str">
        <f aca="false">IF(IsPro,IF($D2972="","",ROUND(N($E2972)*J2972*(1-N($G2972)),2)),"")</f>
        <v/>
      </c>
      <c r="L2972" s="62" t="str">
        <f aca="false">IF(IsPro,IF($D2972="","",IFERROR(INDEX(Items!$F$5:$F$504,Q2972),0)),"")</f>
        <v/>
      </c>
      <c r="M2972" s="61" t="str">
        <f aca="false">IF(IsPro,IF($D2972="","",IF(AND(R2972&lt;&gt;"",INDEX(Parties!$E$5:$E$304,R2972)&lt;&gt;"",INDEX(Parties!$E$5:$E$304,R2972)&lt;&gt;HomeState),0,ROUND(K2972*L2972/2,2))),"")</f>
        <v/>
      </c>
      <c r="N2972" s="61" t="str">
        <f aca="false">IF(IsPro,IF($D2972="","",M2972),"")</f>
        <v/>
      </c>
      <c r="O2972" s="61" t="str">
        <f aca="false">IF(IsPro,IF($D2972="","",IF(AND(R2972&lt;&gt;"",INDEX(Parties!$E$5:$E$304,R2972)&lt;&gt;"",INDEX(Parties!$E$5:$E$304,R2972)&lt;&gt;HomeState),ROUND(K2972*L2972,2),0)),"")</f>
        <v/>
      </c>
      <c r="P2972" s="61" t="str">
        <f aca="false">IF(IsPro,IF($D2972="","",K2972+M2972+N2972+O2972),"")</f>
        <v/>
      </c>
      <c r="Q2972" s="60" t="str">
        <f aca="false">IF(IsPro,IF($D2972="","",IFERROR(MATCH($D2972,Items!$A$5:$A$504,0),"")),"")</f>
        <v/>
      </c>
      <c r="R2972" s="60" t="str">
        <f aca="false">IF(IsPro,IF($C2972="","",IFERROR(MATCH($C2972,Parties!$A$5:$A$304,0),"")),"")</f>
        <v/>
      </c>
      <c r="S2972" s="61" t="str">
        <f aca="false">IF(IsPro,IF($D2972="","",IF(OR($H2972="",$H2972="Credit"),0,P2972)),"")</f>
        <v/>
      </c>
    </row>
    <row r="2973" customFormat="false" ht="15" hidden="false" customHeight="false" outlineLevel="0" collapsed="false">
      <c r="A2973" s="55"/>
      <c r="B2973" s="56"/>
      <c r="C2973" s="56"/>
      <c r="D2973" s="56"/>
      <c r="E2973" s="57"/>
      <c r="F2973" s="58"/>
      <c r="G2973" s="59"/>
      <c r="H2973" s="56"/>
      <c r="I2973" s="60" t="str">
        <f aca="false">IF(IsPro,IF($D2973="","",IFERROR(INDEX(Items!$D$5:$D$504,Q2973),"")),IF($D2973="","","PRO PLAN"))</f>
        <v/>
      </c>
      <c r="J2973" s="61" t="str">
        <f aca="false">IF(IsPro,IF($D2973="","",IF($F2973="",IFERROR(INDEX(Items!$G$5:$G$504,Q2973),0),$F2973)),"")</f>
        <v/>
      </c>
      <c r="K2973" s="61" t="str">
        <f aca="false">IF(IsPro,IF($D2973="","",ROUND(N($E2973)*J2973*(1-N($G2973)),2)),"")</f>
        <v/>
      </c>
      <c r="L2973" s="62" t="str">
        <f aca="false">IF(IsPro,IF($D2973="","",IFERROR(INDEX(Items!$F$5:$F$504,Q2973),0)),"")</f>
        <v/>
      </c>
      <c r="M2973" s="61" t="str">
        <f aca="false">IF(IsPro,IF($D2973="","",IF(AND(R2973&lt;&gt;"",INDEX(Parties!$E$5:$E$304,R2973)&lt;&gt;"",INDEX(Parties!$E$5:$E$304,R2973)&lt;&gt;HomeState),0,ROUND(K2973*L2973/2,2))),"")</f>
        <v/>
      </c>
      <c r="N2973" s="61" t="str">
        <f aca="false">IF(IsPro,IF($D2973="","",M2973),"")</f>
        <v/>
      </c>
      <c r="O2973" s="61" t="str">
        <f aca="false">IF(IsPro,IF($D2973="","",IF(AND(R2973&lt;&gt;"",INDEX(Parties!$E$5:$E$304,R2973)&lt;&gt;"",INDEX(Parties!$E$5:$E$304,R2973)&lt;&gt;HomeState),ROUND(K2973*L2973,2),0)),"")</f>
        <v/>
      </c>
      <c r="P2973" s="61" t="str">
        <f aca="false">IF(IsPro,IF($D2973="","",K2973+M2973+N2973+O2973),"")</f>
        <v/>
      </c>
      <c r="Q2973" s="60" t="str">
        <f aca="false">IF(IsPro,IF($D2973="","",IFERROR(MATCH($D2973,Items!$A$5:$A$504,0),"")),"")</f>
        <v/>
      </c>
      <c r="R2973" s="60" t="str">
        <f aca="false">IF(IsPro,IF($C2973="","",IFERROR(MATCH($C2973,Parties!$A$5:$A$304,0),"")),"")</f>
        <v/>
      </c>
      <c r="S2973" s="61" t="str">
        <f aca="false">IF(IsPro,IF($D2973="","",IF(OR($H2973="",$H2973="Credit"),0,P2973)),"")</f>
        <v/>
      </c>
    </row>
    <row r="2974" customFormat="false" ht="15" hidden="false" customHeight="false" outlineLevel="0" collapsed="false">
      <c r="A2974" s="55"/>
      <c r="B2974" s="56"/>
      <c r="C2974" s="56"/>
      <c r="D2974" s="56"/>
      <c r="E2974" s="57"/>
      <c r="F2974" s="58"/>
      <c r="G2974" s="59"/>
      <c r="H2974" s="56"/>
      <c r="I2974" s="60" t="str">
        <f aca="false">IF(IsPro,IF($D2974="","",IFERROR(INDEX(Items!$D$5:$D$504,Q2974),"")),IF($D2974="","","PRO PLAN"))</f>
        <v/>
      </c>
      <c r="J2974" s="61" t="str">
        <f aca="false">IF(IsPro,IF($D2974="","",IF($F2974="",IFERROR(INDEX(Items!$G$5:$G$504,Q2974),0),$F2974)),"")</f>
        <v/>
      </c>
      <c r="K2974" s="61" t="str">
        <f aca="false">IF(IsPro,IF($D2974="","",ROUND(N($E2974)*J2974*(1-N($G2974)),2)),"")</f>
        <v/>
      </c>
      <c r="L2974" s="62" t="str">
        <f aca="false">IF(IsPro,IF($D2974="","",IFERROR(INDEX(Items!$F$5:$F$504,Q2974),0)),"")</f>
        <v/>
      </c>
      <c r="M2974" s="61" t="str">
        <f aca="false">IF(IsPro,IF($D2974="","",IF(AND(R2974&lt;&gt;"",INDEX(Parties!$E$5:$E$304,R2974)&lt;&gt;"",INDEX(Parties!$E$5:$E$304,R2974)&lt;&gt;HomeState),0,ROUND(K2974*L2974/2,2))),"")</f>
        <v/>
      </c>
      <c r="N2974" s="61" t="str">
        <f aca="false">IF(IsPro,IF($D2974="","",M2974),"")</f>
        <v/>
      </c>
      <c r="O2974" s="61" t="str">
        <f aca="false">IF(IsPro,IF($D2974="","",IF(AND(R2974&lt;&gt;"",INDEX(Parties!$E$5:$E$304,R2974)&lt;&gt;"",INDEX(Parties!$E$5:$E$304,R2974)&lt;&gt;HomeState),ROUND(K2974*L2974,2),0)),"")</f>
        <v/>
      </c>
      <c r="P2974" s="61" t="str">
        <f aca="false">IF(IsPro,IF($D2974="","",K2974+M2974+N2974+O2974),"")</f>
        <v/>
      </c>
      <c r="Q2974" s="60" t="str">
        <f aca="false">IF(IsPro,IF($D2974="","",IFERROR(MATCH($D2974,Items!$A$5:$A$504,0),"")),"")</f>
        <v/>
      </c>
      <c r="R2974" s="60" t="str">
        <f aca="false">IF(IsPro,IF($C2974="","",IFERROR(MATCH($C2974,Parties!$A$5:$A$304,0),"")),"")</f>
        <v/>
      </c>
      <c r="S2974" s="61" t="str">
        <f aca="false">IF(IsPro,IF($D2974="","",IF(OR($H2974="",$H2974="Credit"),0,P2974)),"")</f>
        <v/>
      </c>
    </row>
    <row r="2975" customFormat="false" ht="15" hidden="false" customHeight="false" outlineLevel="0" collapsed="false">
      <c r="A2975" s="55"/>
      <c r="B2975" s="56"/>
      <c r="C2975" s="56"/>
      <c r="D2975" s="56"/>
      <c r="E2975" s="57"/>
      <c r="F2975" s="58"/>
      <c r="G2975" s="59"/>
      <c r="H2975" s="56"/>
      <c r="I2975" s="60" t="str">
        <f aca="false">IF(IsPro,IF($D2975="","",IFERROR(INDEX(Items!$D$5:$D$504,Q2975),"")),IF($D2975="","","PRO PLAN"))</f>
        <v/>
      </c>
      <c r="J2975" s="61" t="str">
        <f aca="false">IF(IsPro,IF($D2975="","",IF($F2975="",IFERROR(INDEX(Items!$G$5:$G$504,Q2975),0),$F2975)),"")</f>
        <v/>
      </c>
      <c r="K2975" s="61" t="str">
        <f aca="false">IF(IsPro,IF($D2975="","",ROUND(N($E2975)*J2975*(1-N($G2975)),2)),"")</f>
        <v/>
      </c>
      <c r="L2975" s="62" t="str">
        <f aca="false">IF(IsPro,IF($D2975="","",IFERROR(INDEX(Items!$F$5:$F$504,Q2975),0)),"")</f>
        <v/>
      </c>
      <c r="M2975" s="61" t="str">
        <f aca="false">IF(IsPro,IF($D2975="","",IF(AND(R2975&lt;&gt;"",INDEX(Parties!$E$5:$E$304,R2975)&lt;&gt;"",INDEX(Parties!$E$5:$E$304,R2975)&lt;&gt;HomeState),0,ROUND(K2975*L2975/2,2))),"")</f>
        <v/>
      </c>
      <c r="N2975" s="61" t="str">
        <f aca="false">IF(IsPro,IF($D2975="","",M2975),"")</f>
        <v/>
      </c>
      <c r="O2975" s="61" t="str">
        <f aca="false">IF(IsPro,IF($D2975="","",IF(AND(R2975&lt;&gt;"",INDEX(Parties!$E$5:$E$304,R2975)&lt;&gt;"",INDEX(Parties!$E$5:$E$304,R2975)&lt;&gt;HomeState),ROUND(K2975*L2975,2),0)),"")</f>
        <v/>
      </c>
      <c r="P2975" s="61" t="str">
        <f aca="false">IF(IsPro,IF($D2975="","",K2975+M2975+N2975+O2975),"")</f>
        <v/>
      </c>
      <c r="Q2975" s="60" t="str">
        <f aca="false">IF(IsPro,IF($D2975="","",IFERROR(MATCH($D2975,Items!$A$5:$A$504,0),"")),"")</f>
        <v/>
      </c>
      <c r="R2975" s="60" t="str">
        <f aca="false">IF(IsPro,IF($C2975="","",IFERROR(MATCH($C2975,Parties!$A$5:$A$304,0),"")),"")</f>
        <v/>
      </c>
      <c r="S2975" s="61" t="str">
        <f aca="false">IF(IsPro,IF($D2975="","",IF(OR($H2975="",$H2975="Credit"),0,P2975)),"")</f>
        <v/>
      </c>
    </row>
    <row r="2976" customFormat="false" ht="15" hidden="false" customHeight="false" outlineLevel="0" collapsed="false">
      <c r="A2976" s="55"/>
      <c r="B2976" s="56"/>
      <c r="C2976" s="56"/>
      <c r="D2976" s="56"/>
      <c r="E2976" s="57"/>
      <c r="F2976" s="58"/>
      <c r="G2976" s="59"/>
      <c r="H2976" s="56"/>
      <c r="I2976" s="60" t="str">
        <f aca="false">IF(IsPro,IF($D2976="","",IFERROR(INDEX(Items!$D$5:$D$504,Q2976),"")),IF($D2976="","","PRO PLAN"))</f>
        <v/>
      </c>
      <c r="J2976" s="61" t="str">
        <f aca="false">IF(IsPro,IF($D2976="","",IF($F2976="",IFERROR(INDEX(Items!$G$5:$G$504,Q2976),0),$F2976)),"")</f>
        <v/>
      </c>
      <c r="K2976" s="61" t="str">
        <f aca="false">IF(IsPro,IF($D2976="","",ROUND(N($E2976)*J2976*(1-N($G2976)),2)),"")</f>
        <v/>
      </c>
      <c r="L2976" s="62" t="str">
        <f aca="false">IF(IsPro,IF($D2976="","",IFERROR(INDEX(Items!$F$5:$F$504,Q2976),0)),"")</f>
        <v/>
      </c>
      <c r="M2976" s="61" t="str">
        <f aca="false">IF(IsPro,IF($D2976="","",IF(AND(R2976&lt;&gt;"",INDEX(Parties!$E$5:$E$304,R2976)&lt;&gt;"",INDEX(Parties!$E$5:$E$304,R2976)&lt;&gt;HomeState),0,ROUND(K2976*L2976/2,2))),"")</f>
        <v/>
      </c>
      <c r="N2976" s="61" t="str">
        <f aca="false">IF(IsPro,IF($D2976="","",M2976),"")</f>
        <v/>
      </c>
      <c r="O2976" s="61" t="str">
        <f aca="false">IF(IsPro,IF($D2976="","",IF(AND(R2976&lt;&gt;"",INDEX(Parties!$E$5:$E$304,R2976)&lt;&gt;"",INDEX(Parties!$E$5:$E$304,R2976)&lt;&gt;HomeState),ROUND(K2976*L2976,2),0)),"")</f>
        <v/>
      </c>
      <c r="P2976" s="61" t="str">
        <f aca="false">IF(IsPro,IF($D2976="","",K2976+M2976+N2976+O2976),"")</f>
        <v/>
      </c>
      <c r="Q2976" s="60" t="str">
        <f aca="false">IF(IsPro,IF($D2976="","",IFERROR(MATCH($D2976,Items!$A$5:$A$504,0),"")),"")</f>
        <v/>
      </c>
      <c r="R2976" s="60" t="str">
        <f aca="false">IF(IsPro,IF($C2976="","",IFERROR(MATCH($C2976,Parties!$A$5:$A$304,0),"")),"")</f>
        <v/>
      </c>
      <c r="S2976" s="61" t="str">
        <f aca="false">IF(IsPro,IF($D2976="","",IF(OR($H2976="",$H2976="Credit"),0,P2976)),"")</f>
        <v/>
      </c>
    </row>
    <row r="2977" customFormat="false" ht="15" hidden="false" customHeight="false" outlineLevel="0" collapsed="false">
      <c r="A2977" s="55"/>
      <c r="B2977" s="56"/>
      <c r="C2977" s="56"/>
      <c r="D2977" s="56"/>
      <c r="E2977" s="57"/>
      <c r="F2977" s="58"/>
      <c r="G2977" s="59"/>
      <c r="H2977" s="56"/>
      <c r="I2977" s="60" t="str">
        <f aca="false">IF(IsPro,IF($D2977="","",IFERROR(INDEX(Items!$D$5:$D$504,Q2977),"")),IF($D2977="","","PRO PLAN"))</f>
        <v/>
      </c>
      <c r="J2977" s="61" t="str">
        <f aca="false">IF(IsPro,IF($D2977="","",IF($F2977="",IFERROR(INDEX(Items!$G$5:$G$504,Q2977),0),$F2977)),"")</f>
        <v/>
      </c>
      <c r="K2977" s="61" t="str">
        <f aca="false">IF(IsPro,IF($D2977="","",ROUND(N($E2977)*J2977*(1-N($G2977)),2)),"")</f>
        <v/>
      </c>
      <c r="L2977" s="62" t="str">
        <f aca="false">IF(IsPro,IF($D2977="","",IFERROR(INDEX(Items!$F$5:$F$504,Q2977),0)),"")</f>
        <v/>
      </c>
      <c r="M2977" s="61" t="str">
        <f aca="false">IF(IsPro,IF($D2977="","",IF(AND(R2977&lt;&gt;"",INDEX(Parties!$E$5:$E$304,R2977)&lt;&gt;"",INDEX(Parties!$E$5:$E$304,R2977)&lt;&gt;HomeState),0,ROUND(K2977*L2977/2,2))),"")</f>
        <v/>
      </c>
      <c r="N2977" s="61" t="str">
        <f aca="false">IF(IsPro,IF($D2977="","",M2977),"")</f>
        <v/>
      </c>
      <c r="O2977" s="61" t="str">
        <f aca="false">IF(IsPro,IF($D2977="","",IF(AND(R2977&lt;&gt;"",INDEX(Parties!$E$5:$E$304,R2977)&lt;&gt;"",INDEX(Parties!$E$5:$E$304,R2977)&lt;&gt;HomeState),ROUND(K2977*L2977,2),0)),"")</f>
        <v/>
      </c>
      <c r="P2977" s="61" t="str">
        <f aca="false">IF(IsPro,IF($D2977="","",K2977+M2977+N2977+O2977),"")</f>
        <v/>
      </c>
      <c r="Q2977" s="60" t="str">
        <f aca="false">IF(IsPro,IF($D2977="","",IFERROR(MATCH($D2977,Items!$A$5:$A$504,0),"")),"")</f>
        <v/>
      </c>
      <c r="R2977" s="60" t="str">
        <f aca="false">IF(IsPro,IF($C2977="","",IFERROR(MATCH($C2977,Parties!$A$5:$A$304,0),"")),"")</f>
        <v/>
      </c>
      <c r="S2977" s="61" t="str">
        <f aca="false">IF(IsPro,IF($D2977="","",IF(OR($H2977="",$H2977="Credit"),0,P2977)),"")</f>
        <v/>
      </c>
    </row>
    <row r="2978" customFormat="false" ht="15" hidden="false" customHeight="false" outlineLevel="0" collapsed="false">
      <c r="A2978" s="55"/>
      <c r="B2978" s="56"/>
      <c r="C2978" s="56"/>
      <c r="D2978" s="56"/>
      <c r="E2978" s="57"/>
      <c r="F2978" s="58"/>
      <c r="G2978" s="59"/>
      <c r="H2978" s="56"/>
      <c r="I2978" s="60" t="str">
        <f aca="false">IF(IsPro,IF($D2978="","",IFERROR(INDEX(Items!$D$5:$D$504,Q2978),"")),IF($D2978="","","PRO PLAN"))</f>
        <v/>
      </c>
      <c r="J2978" s="61" t="str">
        <f aca="false">IF(IsPro,IF($D2978="","",IF($F2978="",IFERROR(INDEX(Items!$G$5:$G$504,Q2978),0),$F2978)),"")</f>
        <v/>
      </c>
      <c r="K2978" s="61" t="str">
        <f aca="false">IF(IsPro,IF($D2978="","",ROUND(N($E2978)*J2978*(1-N($G2978)),2)),"")</f>
        <v/>
      </c>
      <c r="L2978" s="62" t="str">
        <f aca="false">IF(IsPro,IF($D2978="","",IFERROR(INDEX(Items!$F$5:$F$504,Q2978),0)),"")</f>
        <v/>
      </c>
      <c r="M2978" s="61" t="str">
        <f aca="false">IF(IsPro,IF($D2978="","",IF(AND(R2978&lt;&gt;"",INDEX(Parties!$E$5:$E$304,R2978)&lt;&gt;"",INDEX(Parties!$E$5:$E$304,R2978)&lt;&gt;HomeState),0,ROUND(K2978*L2978/2,2))),"")</f>
        <v/>
      </c>
      <c r="N2978" s="61" t="str">
        <f aca="false">IF(IsPro,IF($D2978="","",M2978),"")</f>
        <v/>
      </c>
      <c r="O2978" s="61" t="str">
        <f aca="false">IF(IsPro,IF($D2978="","",IF(AND(R2978&lt;&gt;"",INDEX(Parties!$E$5:$E$304,R2978)&lt;&gt;"",INDEX(Parties!$E$5:$E$304,R2978)&lt;&gt;HomeState),ROUND(K2978*L2978,2),0)),"")</f>
        <v/>
      </c>
      <c r="P2978" s="61" t="str">
        <f aca="false">IF(IsPro,IF($D2978="","",K2978+M2978+N2978+O2978),"")</f>
        <v/>
      </c>
      <c r="Q2978" s="60" t="str">
        <f aca="false">IF(IsPro,IF($D2978="","",IFERROR(MATCH($D2978,Items!$A$5:$A$504,0),"")),"")</f>
        <v/>
      </c>
      <c r="R2978" s="60" t="str">
        <f aca="false">IF(IsPro,IF($C2978="","",IFERROR(MATCH($C2978,Parties!$A$5:$A$304,0),"")),"")</f>
        <v/>
      </c>
      <c r="S2978" s="61" t="str">
        <f aca="false">IF(IsPro,IF($D2978="","",IF(OR($H2978="",$H2978="Credit"),0,P2978)),"")</f>
        <v/>
      </c>
    </row>
    <row r="2979" customFormat="false" ht="15" hidden="false" customHeight="false" outlineLevel="0" collapsed="false">
      <c r="A2979" s="55"/>
      <c r="B2979" s="56"/>
      <c r="C2979" s="56"/>
      <c r="D2979" s="56"/>
      <c r="E2979" s="57"/>
      <c r="F2979" s="58"/>
      <c r="G2979" s="59"/>
      <c r="H2979" s="56"/>
      <c r="I2979" s="60" t="str">
        <f aca="false">IF(IsPro,IF($D2979="","",IFERROR(INDEX(Items!$D$5:$D$504,Q2979),"")),IF($D2979="","","PRO PLAN"))</f>
        <v/>
      </c>
      <c r="J2979" s="61" t="str">
        <f aca="false">IF(IsPro,IF($D2979="","",IF($F2979="",IFERROR(INDEX(Items!$G$5:$G$504,Q2979),0),$F2979)),"")</f>
        <v/>
      </c>
      <c r="K2979" s="61" t="str">
        <f aca="false">IF(IsPro,IF($D2979="","",ROUND(N($E2979)*J2979*(1-N($G2979)),2)),"")</f>
        <v/>
      </c>
      <c r="L2979" s="62" t="str">
        <f aca="false">IF(IsPro,IF($D2979="","",IFERROR(INDEX(Items!$F$5:$F$504,Q2979),0)),"")</f>
        <v/>
      </c>
      <c r="M2979" s="61" t="str">
        <f aca="false">IF(IsPro,IF($D2979="","",IF(AND(R2979&lt;&gt;"",INDEX(Parties!$E$5:$E$304,R2979)&lt;&gt;"",INDEX(Parties!$E$5:$E$304,R2979)&lt;&gt;HomeState),0,ROUND(K2979*L2979/2,2))),"")</f>
        <v/>
      </c>
      <c r="N2979" s="61" t="str">
        <f aca="false">IF(IsPro,IF($D2979="","",M2979),"")</f>
        <v/>
      </c>
      <c r="O2979" s="61" t="str">
        <f aca="false">IF(IsPro,IF($D2979="","",IF(AND(R2979&lt;&gt;"",INDEX(Parties!$E$5:$E$304,R2979)&lt;&gt;"",INDEX(Parties!$E$5:$E$304,R2979)&lt;&gt;HomeState),ROUND(K2979*L2979,2),0)),"")</f>
        <v/>
      </c>
      <c r="P2979" s="61" t="str">
        <f aca="false">IF(IsPro,IF($D2979="","",K2979+M2979+N2979+O2979),"")</f>
        <v/>
      </c>
      <c r="Q2979" s="60" t="str">
        <f aca="false">IF(IsPro,IF($D2979="","",IFERROR(MATCH($D2979,Items!$A$5:$A$504,0),"")),"")</f>
        <v/>
      </c>
      <c r="R2979" s="60" t="str">
        <f aca="false">IF(IsPro,IF($C2979="","",IFERROR(MATCH($C2979,Parties!$A$5:$A$304,0),"")),"")</f>
        <v/>
      </c>
      <c r="S2979" s="61" t="str">
        <f aca="false">IF(IsPro,IF($D2979="","",IF(OR($H2979="",$H2979="Credit"),0,P2979)),"")</f>
        <v/>
      </c>
    </row>
    <row r="2980" customFormat="false" ht="15" hidden="false" customHeight="false" outlineLevel="0" collapsed="false">
      <c r="A2980" s="55"/>
      <c r="B2980" s="56"/>
      <c r="C2980" s="56"/>
      <c r="D2980" s="56"/>
      <c r="E2980" s="57"/>
      <c r="F2980" s="58"/>
      <c r="G2980" s="59"/>
      <c r="H2980" s="56"/>
      <c r="I2980" s="60" t="str">
        <f aca="false">IF(IsPro,IF($D2980="","",IFERROR(INDEX(Items!$D$5:$D$504,Q2980),"")),IF($D2980="","","PRO PLAN"))</f>
        <v/>
      </c>
      <c r="J2980" s="61" t="str">
        <f aca="false">IF(IsPro,IF($D2980="","",IF($F2980="",IFERROR(INDEX(Items!$G$5:$G$504,Q2980),0),$F2980)),"")</f>
        <v/>
      </c>
      <c r="K2980" s="61" t="str">
        <f aca="false">IF(IsPro,IF($D2980="","",ROUND(N($E2980)*J2980*(1-N($G2980)),2)),"")</f>
        <v/>
      </c>
      <c r="L2980" s="62" t="str">
        <f aca="false">IF(IsPro,IF($D2980="","",IFERROR(INDEX(Items!$F$5:$F$504,Q2980),0)),"")</f>
        <v/>
      </c>
      <c r="M2980" s="61" t="str">
        <f aca="false">IF(IsPro,IF($D2980="","",IF(AND(R2980&lt;&gt;"",INDEX(Parties!$E$5:$E$304,R2980)&lt;&gt;"",INDEX(Parties!$E$5:$E$304,R2980)&lt;&gt;HomeState),0,ROUND(K2980*L2980/2,2))),"")</f>
        <v/>
      </c>
      <c r="N2980" s="61" t="str">
        <f aca="false">IF(IsPro,IF($D2980="","",M2980),"")</f>
        <v/>
      </c>
      <c r="O2980" s="61" t="str">
        <f aca="false">IF(IsPro,IF($D2980="","",IF(AND(R2980&lt;&gt;"",INDEX(Parties!$E$5:$E$304,R2980)&lt;&gt;"",INDEX(Parties!$E$5:$E$304,R2980)&lt;&gt;HomeState),ROUND(K2980*L2980,2),0)),"")</f>
        <v/>
      </c>
      <c r="P2980" s="61" t="str">
        <f aca="false">IF(IsPro,IF($D2980="","",K2980+M2980+N2980+O2980),"")</f>
        <v/>
      </c>
      <c r="Q2980" s="60" t="str">
        <f aca="false">IF(IsPro,IF($D2980="","",IFERROR(MATCH($D2980,Items!$A$5:$A$504,0),"")),"")</f>
        <v/>
      </c>
      <c r="R2980" s="60" t="str">
        <f aca="false">IF(IsPro,IF($C2980="","",IFERROR(MATCH($C2980,Parties!$A$5:$A$304,0),"")),"")</f>
        <v/>
      </c>
      <c r="S2980" s="61" t="str">
        <f aca="false">IF(IsPro,IF($D2980="","",IF(OR($H2980="",$H2980="Credit"),0,P2980)),"")</f>
        <v/>
      </c>
    </row>
    <row r="2981" customFormat="false" ht="15" hidden="false" customHeight="false" outlineLevel="0" collapsed="false">
      <c r="A2981" s="55"/>
      <c r="B2981" s="56"/>
      <c r="C2981" s="56"/>
      <c r="D2981" s="56"/>
      <c r="E2981" s="57"/>
      <c r="F2981" s="58"/>
      <c r="G2981" s="59"/>
      <c r="H2981" s="56"/>
      <c r="I2981" s="60" t="str">
        <f aca="false">IF(IsPro,IF($D2981="","",IFERROR(INDEX(Items!$D$5:$D$504,Q2981),"")),IF($D2981="","","PRO PLAN"))</f>
        <v/>
      </c>
      <c r="J2981" s="61" t="str">
        <f aca="false">IF(IsPro,IF($D2981="","",IF($F2981="",IFERROR(INDEX(Items!$G$5:$G$504,Q2981),0),$F2981)),"")</f>
        <v/>
      </c>
      <c r="K2981" s="61" t="str">
        <f aca="false">IF(IsPro,IF($D2981="","",ROUND(N($E2981)*J2981*(1-N($G2981)),2)),"")</f>
        <v/>
      </c>
      <c r="L2981" s="62" t="str">
        <f aca="false">IF(IsPro,IF($D2981="","",IFERROR(INDEX(Items!$F$5:$F$504,Q2981),0)),"")</f>
        <v/>
      </c>
      <c r="M2981" s="61" t="str">
        <f aca="false">IF(IsPro,IF($D2981="","",IF(AND(R2981&lt;&gt;"",INDEX(Parties!$E$5:$E$304,R2981)&lt;&gt;"",INDEX(Parties!$E$5:$E$304,R2981)&lt;&gt;HomeState),0,ROUND(K2981*L2981/2,2))),"")</f>
        <v/>
      </c>
      <c r="N2981" s="61" t="str">
        <f aca="false">IF(IsPro,IF($D2981="","",M2981),"")</f>
        <v/>
      </c>
      <c r="O2981" s="61" t="str">
        <f aca="false">IF(IsPro,IF($D2981="","",IF(AND(R2981&lt;&gt;"",INDEX(Parties!$E$5:$E$304,R2981)&lt;&gt;"",INDEX(Parties!$E$5:$E$304,R2981)&lt;&gt;HomeState),ROUND(K2981*L2981,2),0)),"")</f>
        <v/>
      </c>
      <c r="P2981" s="61" t="str">
        <f aca="false">IF(IsPro,IF($D2981="","",K2981+M2981+N2981+O2981),"")</f>
        <v/>
      </c>
      <c r="Q2981" s="60" t="str">
        <f aca="false">IF(IsPro,IF($D2981="","",IFERROR(MATCH($D2981,Items!$A$5:$A$504,0),"")),"")</f>
        <v/>
      </c>
      <c r="R2981" s="60" t="str">
        <f aca="false">IF(IsPro,IF($C2981="","",IFERROR(MATCH($C2981,Parties!$A$5:$A$304,0),"")),"")</f>
        <v/>
      </c>
      <c r="S2981" s="61" t="str">
        <f aca="false">IF(IsPro,IF($D2981="","",IF(OR($H2981="",$H2981="Credit"),0,P2981)),"")</f>
        <v/>
      </c>
    </row>
    <row r="2982" customFormat="false" ht="15" hidden="false" customHeight="false" outlineLevel="0" collapsed="false">
      <c r="A2982" s="55"/>
      <c r="B2982" s="56"/>
      <c r="C2982" s="56"/>
      <c r="D2982" s="56"/>
      <c r="E2982" s="57"/>
      <c r="F2982" s="58"/>
      <c r="G2982" s="59"/>
      <c r="H2982" s="56"/>
      <c r="I2982" s="60" t="str">
        <f aca="false">IF(IsPro,IF($D2982="","",IFERROR(INDEX(Items!$D$5:$D$504,Q2982),"")),IF($D2982="","","PRO PLAN"))</f>
        <v/>
      </c>
      <c r="J2982" s="61" t="str">
        <f aca="false">IF(IsPro,IF($D2982="","",IF($F2982="",IFERROR(INDEX(Items!$G$5:$G$504,Q2982),0),$F2982)),"")</f>
        <v/>
      </c>
      <c r="K2982" s="61" t="str">
        <f aca="false">IF(IsPro,IF($D2982="","",ROUND(N($E2982)*J2982*(1-N($G2982)),2)),"")</f>
        <v/>
      </c>
      <c r="L2982" s="62" t="str">
        <f aca="false">IF(IsPro,IF($D2982="","",IFERROR(INDEX(Items!$F$5:$F$504,Q2982),0)),"")</f>
        <v/>
      </c>
      <c r="M2982" s="61" t="str">
        <f aca="false">IF(IsPro,IF($D2982="","",IF(AND(R2982&lt;&gt;"",INDEX(Parties!$E$5:$E$304,R2982)&lt;&gt;"",INDEX(Parties!$E$5:$E$304,R2982)&lt;&gt;HomeState),0,ROUND(K2982*L2982/2,2))),"")</f>
        <v/>
      </c>
      <c r="N2982" s="61" t="str">
        <f aca="false">IF(IsPro,IF($D2982="","",M2982),"")</f>
        <v/>
      </c>
      <c r="O2982" s="61" t="str">
        <f aca="false">IF(IsPro,IF($D2982="","",IF(AND(R2982&lt;&gt;"",INDEX(Parties!$E$5:$E$304,R2982)&lt;&gt;"",INDEX(Parties!$E$5:$E$304,R2982)&lt;&gt;HomeState),ROUND(K2982*L2982,2),0)),"")</f>
        <v/>
      </c>
      <c r="P2982" s="61" t="str">
        <f aca="false">IF(IsPro,IF($D2982="","",K2982+M2982+N2982+O2982),"")</f>
        <v/>
      </c>
      <c r="Q2982" s="60" t="str">
        <f aca="false">IF(IsPro,IF($D2982="","",IFERROR(MATCH($D2982,Items!$A$5:$A$504,0),"")),"")</f>
        <v/>
      </c>
      <c r="R2982" s="60" t="str">
        <f aca="false">IF(IsPro,IF($C2982="","",IFERROR(MATCH($C2982,Parties!$A$5:$A$304,0),"")),"")</f>
        <v/>
      </c>
      <c r="S2982" s="61" t="str">
        <f aca="false">IF(IsPro,IF($D2982="","",IF(OR($H2982="",$H2982="Credit"),0,P2982)),"")</f>
        <v/>
      </c>
    </row>
    <row r="2983" customFormat="false" ht="15" hidden="false" customHeight="false" outlineLevel="0" collapsed="false">
      <c r="A2983" s="55"/>
      <c r="B2983" s="56"/>
      <c r="C2983" s="56"/>
      <c r="D2983" s="56"/>
      <c r="E2983" s="57"/>
      <c r="F2983" s="58"/>
      <c r="G2983" s="59"/>
      <c r="H2983" s="56"/>
      <c r="I2983" s="60" t="str">
        <f aca="false">IF(IsPro,IF($D2983="","",IFERROR(INDEX(Items!$D$5:$D$504,Q2983),"")),IF($D2983="","","PRO PLAN"))</f>
        <v/>
      </c>
      <c r="J2983" s="61" t="str">
        <f aca="false">IF(IsPro,IF($D2983="","",IF($F2983="",IFERROR(INDEX(Items!$G$5:$G$504,Q2983),0),$F2983)),"")</f>
        <v/>
      </c>
      <c r="K2983" s="61" t="str">
        <f aca="false">IF(IsPro,IF($D2983="","",ROUND(N($E2983)*J2983*(1-N($G2983)),2)),"")</f>
        <v/>
      </c>
      <c r="L2983" s="62" t="str">
        <f aca="false">IF(IsPro,IF($D2983="","",IFERROR(INDEX(Items!$F$5:$F$504,Q2983),0)),"")</f>
        <v/>
      </c>
      <c r="M2983" s="61" t="str">
        <f aca="false">IF(IsPro,IF($D2983="","",IF(AND(R2983&lt;&gt;"",INDEX(Parties!$E$5:$E$304,R2983)&lt;&gt;"",INDEX(Parties!$E$5:$E$304,R2983)&lt;&gt;HomeState),0,ROUND(K2983*L2983/2,2))),"")</f>
        <v/>
      </c>
      <c r="N2983" s="61" t="str">
        <f aca="false">IF(IsPro,IF($D2983="","",M2983),"")</f>
        <v/>
      </c>
      <c r="O2983" s="61" t="str">
        <f aca="false">IF(IsPro,IF($D2983="","",IF(AND(R2983&lt;&gt;"",INDEX(Parties!$E$5:$E$304,R2983)&lt;&gt;"",INDEX(Parties!$E$5:$E$304,R2983)&lt;&gt;HomeState),ROUND(K2983*L2983,2),0)),"")</f>
        <v/>
      </c>
      <c r="P2983" s="61" t="str">
        <f aca="false">IF(IsPro,IF($D2983="","",K2983+M2983+N2983+O2983),"")</f>
        <v/>
      </c>
      <c r="Q2983" s="60" t="str">
        <f aca="false">IF(IsPro,IF($D2983="","",IFERROR(MATCH($D2983,Items!$A$5:$A$504,0),"")),"")</f>
        <v/>
      </c>
      <c r="R2983" s="60" t="str">
        <f aca="false">IF(IsPro,IF($C2983="","",IFERROR(MATCH($C2983,Parties!$A$5:$A$304,0),"")),"")</f>
        <v/>
      </c>
      <c r="S2983" s="61" t="str">
        <f aca="false">IF(IsPro,IF($D2983="","",IF(OR($H2983="",$H2983="Credit"),0,P2983)),"")</f>
        <v/>
      </c>
    </row>
    <row r="2984" customFormat="false" ht="15" hidden="false" customHeight="false" outlineLevel="0" collapsed="false">
      <c r="A2984" s="55"/>
      <c r="B2984" s="56"/>
      <c r="C2984" s="56"/>
      <c r="D2984" s="56"/>
      <c r="E2984" s="57"/>
      <c r="F2984" s="58"/>
      <c r="G2984" s="59"/>
      <c r="H2984" s="56"/>
      <c r="I2984" s="60" t="str">
        <f aca="false">IF(IsPro,IF($D2984="","",IFERROR(INDEX(Items!$D$5:$D$504,Q2984),"")),IF($D2984="","","PRO PLAN"))</f>
        <v/>
      </c>
      <c r="J2984" s="61" t="str">
        <f aca="false">IF(IsPro,IF($D2984="","",IF($F2984="",IFERROR(INDEX(Items!$G$5:$G$504,Q2984),0),$F2984)),"")</f>
        <v/>
      </c>
      <c r="K2984" s="61" t="str">
        <f aca="false">IF(IsPro,IF($D2984="","",ROUND(N($E2984)*J2984*(1-N($G2984)),2)),"")</f>
        <v/>
      </c>
      <c r="L2984" s="62" t="str">
        <f aca="false">IF(IsPro,IF($D2984="","",IFERROR(INDEX(Items!$F$5:$F$504,Q2984),0)),"")</f>
        <v/>
      </c>
      <c r="M2984" s="61" t="str">
        <f aca="false">IF(IsPro,IF($D2984="","",IF(AND(R2984&lt;&gt;"",INDEX(Parties!$E$5:$E$304,R2984)&lt;&gt;"",INDEX(Parties!$E$5:$E$304,R2984)&lt;&gt;HomeState),0,ROUND(K2984*L2984/2,2))),"")</f>
        <v/>
      </c>
      <c r="N2984" s="61" t="str">
        <f aca="false">IF(IsPro,IF($D2984="","",M2984),"")</f>
        <v/>
      </c>
      <c r="O2984" s="61" t="str">
        <f aca="false">IF(IsPro,IF($D2984="","",IF(AND(R2984&lt;&gt;"",INDEX(Parties!$E$5:$E$304,R2984)&lt;&gt;"",INDEX(Parties!$E$5:$E$304,R2984)&lt;&gt;HomeState),ROUND(K2984*L2984,2),0)),"")</f>
        <v/>
      </c>
      <c r="P2984" s="61" t="str">
        <f aca="false">IF(IsPro,IF($D2984="","",K2984+M2984+N2984+O2984),"")</f>
        <v/>
      </c>
      <c r="Q2984" s="60" t="str">
        <f aca="false">IF(IsPro,IF($D2984="","",IFERROR(MATCH($D2984,Items!$A$5:$A$504,0),"")),"")</f>
        <v/>
      </c>
      <c r="R2984" s="60" t="str">
        <f aca="false">IF(IsPro,IF($C2984="","",IFERROR(MATCH($C2984,Parties!$A$5:$A$304,0),"")),"")</f>
        <v/>
      </c>
      <c r="S2984" s="61" t="str">
        <f aca="false">IF(IsPro,IF($D2984="","",IF(OR($H2984="",$H2984="Credit"),0,P2984)),"")</f>
        <v/>
      </c>
    </row>
    <row r="2985" customFormat="false" ht="15" hidden="false" customHeight="false" outlineLevel="0" collapsed="false">
      <c r="A2985" s="55"/>
      <c r="B2985" s="56"/>
      <c r="C2985" s="56"/>
      <c r="D2985" s="56"/>
      <c r="E2985" s="57"/>
      <c r="F2985" s="58"/>
      <c r="G2985" s="59"/>
      <c r="H2985" s="56"/>
      <c r="I2985" s="60" t="str">
        <f aca="false">IF(IsPro,IF($D2985="","",IFERROR(INDEX(Items!$D$5:$D$504,Q2985),"")),IF($D2985="","","PRO PLAN"))</f>
        <v/>
      </c>
      <c r="J2985" s="61" t="str">
        <f aca="false">IF(IsPro,IF($D2985="","",IF($F2985="",IFERROR(INDEX(Items!$G$5:$G$504,Q2985),0),$F2985)),"")</f>
        <v/>
      </c>
      <c r="K2985" s="61" t="str">
        <f aca="false">IF(IsPro,IF($D2985="","",ROUND(N($E2985)*J2985*(1-N($G2985)),2)),"")</f>
        <v/>
      </c>
      <c r="L2985" s="62" t="str">
        <f aca="false">IF(IsPro,IF($D2985="","",IFERROR(INDEX(Items!$F$5:$F$504,Q2985),0)),"")</f>
        <v/>
      </c>
      <c r="M2985" s="61" t="str">
        <f aca="false">IF(IsPro,IF($D2985="","",IF(AND(R2985&lt;&gt;"",INDEX(Parties!$E$5:$E$304,R2985)&lt;&gt;"",INDEX(Parties!$E$5:$E$304,R2985)&lt;&gt;HomeState),0,ROUND(K2985*L2985/2,2))),"")</f>
        <v/>
      </c>
      <c r="N2985" s="61" t="str">
        <f aca="false">IF(IsPro,IF($D2985="","",M2985),"")</f>
        <v/>
      </c>
      <c r="O2985" s="61" t="str">
        <f aca="false">IF(IsPro,IF($D2985="","",IF(AND(R2985&lt;&gt;"",INDEX(Parties!$E$5:$E$304,R2985)&lt;&gt;"",INDEX(Parties!$E$5:$E$304,R2985)&lt;&gt;HomeState),ROUND(K2985*L2985,2),0)),"")</f>
        <v/>
      </c>
      <c r="P2985" s="61" t="str">
        <f aca="false">IF(IsPro,IF($D2985="","",K2985+M2985+N2985+O2985),"")</f>
        <v/>
      </c>
      <c r="Q2985" s="60" t="str">
        <f aca="false">IF(IsPro,IF($D2985="","",IFERROR(MATCH($D2985,Items!$A$5:$A$504,0),"")),"")</f>
        <v/>
      </c>
      <c r="R2985" s="60" t="str">
        <f aca="false">IF(IsPro,IF($C2985="","",IFERROR(MATCH($C2985,Parties!$A$5:$A$304,0),"")),"")</f>
        <v/>
      </c>
      <c r="S2985" s="61" t="str">
        <f aca="false">IF(IsPro,IF($D2985="","",IF(OR($H2985="",$H2985="Credit"),0,P2985)),"")</f>
        <v/>
      </c>
    </row>
    <row r="2986" customFormat="false" ht="15" hidden="false" customHeight="false" outlineLevel="0" collapsed="false">
      <c r="A2986" s="55"/>
      <c r="B2986" s="56"/>
      <c r="C2986" s="56"/>
      <c r="D2986" s="56"/>
      <c r="E2986" s="57"/>
      <c r="F2986" s="58"/>
      <c r="G2986" s="59"/>
      <c r="H2986" s="56"/>
      <c r="I2986" s="60" t="str">
        <f aca="false">IF(IsPro,IF($D2986="","",IFERROR(INDEX(Items!$D$5:$D$504,Q2986),"")),IF($D2986="","","PRO PLAN"))</f>
        <v/>
      </c>
      <c r="J2986" s="61" t="str">
        <f aca="false">IF(IsPro,IF($D2986="","",IF($F2986="",IFERROR(INDEX(Items!$G$5:$G$504,Q2986),0),$F2986)),"")</f>
        <v/>
      </c>
      <c r="K2986" s="61" t="str">
        <f aca="false">IF(IsPro,IF($D2986="","",ROUND(N($E2986)*J2986*(1-N($G2986)),2)),"")</f>
        <v/>
      </c>
      <c r="L2986" s="62" t="str">
        <f aca="false">IF(IsPro,IF($D2986="","",IFERROR(INDEX(Items!$F$5:$F$504,Q2986),0)),"")</f>
        <v/>
      </c>
      <c r="M2986" s="61" t="str">
        <f aca="false">IF(IsPro,IF($D2986="","",IF(AND(R2986&lt;&gt;"",INDEX(Parties!$E$5:$E$304,R2986)&lt;&gt;"",INDEX(Parties!$E$5:$E$304,R2986)&lt;&gt;HomeState),0,ROUND(K2986*L2986/2,2))),"")</f>
        <v/>
      </c>
      <c r="N2986" s="61" t="str">
        <f aca="false">IF(IsPro,IF($D2986="","",M2986),"")</f>
        <v/>
      </c>
      <c r="O2986" s="61" t="str">
        <f aca="false">IF(IsPro,IF($D2986="","",IF(AND(R2986&lt;&gt;"",INDEX(Parties!$E$5:$E$304,R2986)&lt;&gt;"",INDEX(Parties!$E$5:$E$304,R2986)&lt;&gt;HomeState),ROUND(K2986*L2986,2),0)),"")</f>
        <v/>
      </c>
      <c r="P2986" s="61" t="str">
        <f aca="false">IF(IsPro,IF($D2986="","",K2986+M2986+N2986+O2986),"")</f>
        <v/>
      </c>
      <c r="Q2986" s="60" t="str">
        <f aca="false">IF(IsPro,IF($D2986="","",IFERROR(MATCH($D2986,Items!$A$5:$A$504,0),"")),"")</f>
        <v/>
      </c>
      <c r="R2986" s="60" t="str">
        <f aca="false">IF(IsPro,IF($C2986="","",IFERROR(MATCH($C2986,Parties!$A$5:$A$304,0),"")),"")</f>
        <v/>
      </c>
      <c r="S2986" s="61" t="str">
        <f aca="false">IF(IsPro,IF($D2986="","",IF(OR($H2986="",$H2986="Credit"),0,P2986)),"")</f>
        <v/>
      </c>
    </row>
    <row r="2987" customFormat="false" ht="15" hidden="false" customHeight="false" outlineLevel="0" collapsed="false">
      <c r="A2987" s="55"/>
      <c r="B2987" s="56"/>
      <c r="C2987" s="56"/>
      <c r="D2987" s="56"/>
      <c r="E2987" s="57"/>
      <c r="F2987" s="58"/>
      <c r="G2987" s="59"/>
      <c r="H2987" s="56"/>
      <c r="I2987" s="60" t="str">
        <f aca="false">IF(IsPro,IF($D2987="","",IFERROR(INDEX(Items!$D$5:$D$504,Q2987),"")),IF($D2987="","","PRO PLAN"))</f>
        <v/>
      </c>
      <c r="J2987" s="61" t="str">
        <f aca="false">IF(IsPro,IF($D2987="","",IF($F2987="",IFERROR(INDEX(Items!$G$5:$G$504,Q2987),0),$F2987)),"")</f>
        <v/>
      </c>
      <c r="K2987" s="61" t="str">
        <f aca="false">IF(IsPro,IF($D2987="","",ROUND(N($E2987)*J2987*(1-N($G2987)),2)),"")</f>
        <v/>
      </c>
      <c r="L2987" s="62" t="str">
        <f aca="false">IF(IsPro,IF($D2987="","",IFERROR(INDEX(Items!$F$5:$F$504,Q2987),0)),"")</f>
        <v/>
      </c>
      <c r="M2987" s="61" t="str">
        <f aca="false">IF(IsPro,IF($D2987="","",IF(AND(R2987&lt;&gt;"",INDEX(Parties!$E$5:$E$304,R2987)&lt;&gt;"",INDEX(Parties!$E$5:$E$304,R2987)&lt;&gt;HomeState),0,ROUND(K2987*L2987/2,2))),"")</f>
        <v/>
      </c>
      <c r="N2987" s="61" t="str">
        <f aca="false">IF(IsPro,IF($D2987="","",M2987),"")</f>
        <v/>
      </c>
      <c r="O2987" s="61" t="str">
        <f aca="false">IF(IsPro,IF($D2987="","",IF(AND(R2987&lt;&gt;"",INDEX(Parties!$E$5:$E$304,R2987)&lt;&gt;"",INDEX(Parties!$E$5:$E$304,R2987)&lt;&gt;HomeState),ROUND(K2987*L2987,2),0)),"")</f>
        <v/>
      </c>
      <c r="P2987" s="61" t="str">
        <f aca="false">IF(IsPro,IF($D2987="","",K2987+M2987+N2987+O2987),"")</f>
        <v/>
      </c>
      <c r="Q2987" s="60" t="str">
        <f aca="false">IF(IsPro,IF($D2987="","",IFERROR(MATCH($D2987,Items!$A$5:$A$504,0),"")),"")</f>
        <v/>
      </c>
      <c r="R2987" s="60" t="str">
        <f aca="false">IF(IsPro,IF($C2987="","",IFERROR(MATCH($C2987,Parties!$A$5:$A$304,0),"")),"")</f>
        <v/>
      </c>
      <c r="S2987" s="61" t="str">
        <f aca="false">IF(IsPro,IF($D2987="","",IF(OR($H2987="",$H2987="Credit"),0,P2987)),"")</f>
        <v/>
      </c>
    </row>
    <row r="2988" customFormat="false" ht="15" hidden="false" customHeight="false" outlineLevel="0" collapsed="false">
      <c r="A2988" s="55"/>
      <c r="B2988" s="56"/>
      <c r="C2988" s="56"/>
      <c r="D2988" s="56"/>
      <c r="E2988" s="57"/>
      <c r="F2988" s="58"/>
      <c r="G2988" s="59"/>
      <c r="H2988" s="56"/>
      <c r="I2988" s="60" t="str">
        <f aca="false">IF(IsPro,IF($D2988="","",IFERROR(INDEX(Items!$D$5:$D$504,Q2988),"")),IF($D2988="","","PRO PLAN"))</f>
        <v/>
      </c>
      <c r="J2988" s="61" t="str">
        <f aca="false">IF(IsPro,IF($D2988="","",IF($F2988="",IFERROR(INDEX(Items!$G$5:$G$504,Q2988),0),$F2988)),"")</f>
        <v/>
      </c>
      <c r="K2988" s="61" t="str">
        <f aca="false">IF(IsPro,IF($D2988="","",ROUND(N($E2988)*J2988*(1-N($G2988)),2)),"")</f>
        <v/>
      </c>
      <c r="L2988" s="62" t="str">
        <f aca="false">IF(IsPro,IF($D2988="","",IFERROR(INDEX(Items!$F$5:$F$504,Q2988),0)),"")</f>
        <v/>
      </c>
      <c r="M2988" s="61" t="str">
        <f aca="false">IF(IsPro,IF($D2988="","",IF(AND(R2988&lt;&gt;"",INDEX(Parties!$E$5:$E$304,R2988)&lt;&gt;"",INDEX(Parties!$E$5:$E$304,R2988)&lt;&gt;HomeState),0,ROUND(K2988*L2988/2,2))),"")</f>
        <v/>
      </c>
      <c r="N2988" s="61" t="str">
        <f aca="false">IF(IsPro,IF($D2988="","",M2988),"")</f>
        <v/>
      </c>
      <c r="O2988" s="61" t="str">
        <f aca="false">IF(IsPro,IF($D2988="","",IF(AND(R2988&lt;&gt;"",INDEX(Parties!$E$5:$E$304,R2988)&lt;&gt;"",INDEX(Parties!$E$5:$E$304,R2988)&lt;&gt;HomeState),ROUND(K2988*L2988,2),0)),"")</f>
        <v/>
      </c>
      <c r="P2988" s="61" t="str">
        <f aca="false">IF(IsPro,IF($D2988="","",K2988+M2988+N2988+O2988),"")</f>
        <v/>
      </c>
      <c r="Q2988" s="60" t="str">
        <f aca="false">IF(IsPro,IF($D2988="","",IFERROR(MATCH($D2988,Items!$A$5:$A$504,0),"")),"")</f>
        <v/>
      </c>
      <c r="R2988" s="60" t="str">
        <f aca="false">IF(IsPro,IF($C2988="","",IFERROR(MATCH($C2988,Parties!$A$5:$A$304,0),"")),"")</f>
        <v/>
      </c>
      <c r="S2988" s="61" t="str">
        <f aca="false">IF(IsPro,IF($D2988="","",IF(OR($H2988="",$H2988="Credit"),0,P2988)),"")</f>
        <v/>
      </c>
    </row>
    <row r="2989" customFormat="false" ht="15" hidden="false" customHeight="false" outlineLevel="0" collapsed="false">
      <c r="A2989" s="55"/>
      <c r="B2989" s="56"/>
      <c r="C2989" s="56"/>
      <c r="D2989" s="56"/>
      <c r="E2989" s="57"/>
      <c r="F2989" s="58"/>
      <c r="G2989" s="59"/>
      <c r="H2989" s="56"/>
      <c r="I2989" s="60" t="str">
        <f aca="false">IF(IsPro,IF($D2989="","",IFERROR(INDEX(Items!$D$5:$D$504,Q2989),"")),IF($D2989="","","PRO PLAN"))</f>
        <v/>
      </c>
      <c r="J2989" s="61" t="str">
        <f aca="false">IF(IsPro,IF($D2989="","",IF($F2989="",IFERROR(INDEX(Items!$G$5:$G$504,Q2989),0),$F2989)),"")</f>
        <v/>
      </c>
      <c r="K2989" s="61" t="str">
        <f aca="false">IF(IsPro,IF($D2989="","",ROUND(N($E2989)*J2989*(1-N($G2989)),2)),"")</f>
        <v/>
      </c>
      <c r="L2989" s="62" t="str">
        <f aca="false">IF(IsPro,IF($D2989="","",IFERROR(INDEX(Items!$F$5:$F$504,Q2989),0)),"")</f>
        <v/>
      </c>
      <c r="M2989" s="61" t="str">
        <f aca="false">IF(IsPro,IF($D2989="","",IF(AND(R2989&lt;&gt;"",INDEX(Parties!$E$5:$E$304,R2989)&lt;&gt;"",INDEX(Parties!$E$5:$E$304,R2989)&lt;&gt;HomeState),0,ROUND(K2989*L2989/2,2))),"")</f>
        <v/>
      </c>
      <c r="N2989" s="61" t="str">
        <f aca="false">IF(IsPro,IF($D2989="","",M2989),"")</f>
        <v/>
      </c>
      <c r="O2989" s="61" t="str">
        <f aca="false">IF(IsPro,IF($D2989="","",IF(AND(R2989&lt;&gt;"",INDEX(Parties!$E$5:$E$304,R2989)&lt;&gt;"",INDEX(Parties!$E$5:$E$304,R2989)&lt;&gt;HomeState),ROUND(K2989*L2989,2),0)),"")</f>
        <v/>
      </c>
      <c r="P2989" s="61" t="str">
        <f aca="false">IF(IsPro,IF($D2989="","",K2989+M2989+N2989+O2989),"")</f>
        <v/>
      </c>
      <c r="Q2989" s="60" t="str">
        <f aca="false">IF(IsPro,IF($D2989="","",IFERROR(MATCH($D2989,Items!$A$5:$A$504,0),"")),"")</f>
        <v/>
      </c>
      <c r="R2989" s="60" t="str">
        <f aca="false">IF(IsPro,IF($C2989="","",IFERROR(MATCH($C2989,Parties!$A$5:$A$304,0),"")),"")</f>
        <v/>
      </c>
      <c r="S2989" s="61" t="str">
        <f aca="false">IF(IsPro,IF($D2989="","",IF(OR($H2989="",$H2989="Credit"),0,P2989)),"")</f>
        <v/>
      </c>
    </row>
    <row r="2990" customFormat="false" ht="15" hidden="false" customHeight="false" outlineLevel="0" collapsed="false">
      <c r="A2990" s="55"/>
      <c r="B2990" s="56"/>
      <c r="C2990" s="56"/>
      <c r="D2990" s="56"/>
      <c r="E2990" s="57"/>
      <c r="F2990" s="58"/>
      <c r="G2990" s="59"/>
      <c r="H2990" s="56"/>
      <c r="I2990" s="60" t="str">
        <f aca="false">IF(IsPro,IF($D2990="","",IFERROR(INDEX(Items!$D$5:$D$504,Q2990),"")),IF($D2990="","","PRO PLAN"))</f>
        <v/>
      </c>
      <c r="J2990" s="61" t="str">
        <f aca="false">IF(IsPro,IF($D2990="","",IF($F2990="",IFERROR(INDEX(Items!$G$5:$G$504,Q2990),0),$F2990)),"")</f>
        <v/>
      </c>
      <c r="K2990" s="61" t="str">
        <f aca="false">IF(IsPro,IF($D2990="","",ROUND(N($E2990)*J2990*(1-N($G2990)),2)),"")</f>
        <v/>
      </c>
      <c r="L2990" s="62" t="str">
        <f aca="false">IF(IsPro,IF($D2990="","",IFERROR(INDEX(Items!$F$5:$F$504,Q2990),0)),"")</f>
        <v/>
      </c>
      <c r="M2990" s="61" t="str">
        <f aca="false">IF(IsPro,IF($D2990="","",IF(AND(R2990&lt;&gt;"",INDEX(Parties!$E$5:$E$304,R2990)&lt;&gt;"",INDEX(Parties!$E$5:$E$304,R2990)&lt;&gt;HomeState),0,ROUND(K2990*L2990/2,2))),"")</f>
        <v/>
      </c>
      <c r="N2990" s="61" t="str">
        <f aca="false">IF(IsPro,IF($D2990="","",M2990),"")</f>
        <v/>
      </c>
      <c r="O2990" s="61" t="str">
        <f aca="false">IF(IsPro,IF($D2990="","",IF(AND(R2990&lt;&gt;"",INDEX(Parties!$E$5:$E$304,R2990)&lt;&gt;"",INDEX(Parties!$E$5:$E$304,R2990)&lt;&gt;HomeState),ROUND(K2990*L2990,2),0)),"")</f>
        <v/>
      </c>
      <c r="P2990" s="61" t="str">
        <f aca="false">IF(IsPro,IF($D2990="","",K2990+M2990+N2990+O2990),"")</f>
        <v/>
      </c>
      <c r="Q2990" s="60" t="str">
        <f aca="false">IF(IsPro,IF($D2990="","",IFERROR(MATCH($D2990,Items!$A$5:$A$504,0),"")),"")</f>
        <v/>
      </c>
      <c r="R2990" s="60" t="str">
        <f aca="false">IF(IsPro,IF($C2990="","",IFERROR(MATCH($C2990,Parties!$A$5:$A$304,0),"")),"")</f>
        <v/>
      </c>
      <c r="S2990" s="61" t="str">
        <f aca="false">IF(IsPro,IF($D2990="","",IF(OR($H2990="",$H2990="Credit"),0,P2990)),"")</f>
        <v/>
      </c>
    </row>
    <row r="2991" customFormat="false" ht="15" hidden="false" customHeight="false" outlineLevel="0" collapsed="false">
      <c r="A2991" s="55"/>
      <c r="B2991" s="56"/>
      <c r="C2991" s="56"/>
      <c r="D2991" s="56"/>
      <c r="E2991" s="57"/>
      <c r="F2991" s="58"/>
      <c r="G2991" s="59"/>
      <c r="H2991" s="56"/>
      <c r="I2991" s="60" t="str">
        <f aca="false">IF(IsPro,IF($D2991="","",IFERROR(INDEX(Items!$D$5:$D$504,Q2991),"")),IF($D2991="","","PRO PLAN"))</f>
        <v/>
      </c>
      <c r="J2991" s="61" t="str">
        <f aca="false">IF(IsPro,IF($D2991="","",IF($F2991="",IFERROR(INDEX(Items!$G$5:$G$504,Q2991),0),$F2991)),"")</f>
        <v/>
      </c>
      <c r="K2991" s="61" t="str">
        <f aca="false">IF(IsPro,IF($D2991="","",ROUND(N($E2991)*J2991*(1-N($G2991)),2)),"")</f>
        <v/>
      </c>
      <c r="L2991" s="62" t="str">
        <f aca="false">IF(IsPro,IF($D2991="","",IFERROR(INDEX(Items!$F$5:$F$504,Q2991),0)),"")</f>
        <v/>
      </c>
      <c r="M2991" s="61" t="str">
        <f aca="false">IF(IsPro,IF($D2991="","",IF(AND(R2991&lt;&gt;"",INDEX(Parties!$E$5:$E$304,R2991)&lt;&gt;"",INDEX(Parties!$E$5:$E$304,R2991)&lt;&gt;HomeState),0,ROUND(K2991*L2991/2,2))),"")</f>
        <v/>
      </c>
      <c r="N2991" s="61" t="str">
        <f aca="false">IF(IsPro,IF($D2991="","",M2991),"")</f>
        <v/>
      </c>
      <c r="O2991" s="61" t="str">
        <f aca="false">IF(IsPro,IF($D2991="","",IF(AND(R2991&lt;&gt;"",INDEX(Parties!$E$5:$E$304,R2991)&lt;&gt;"",INDEX(Parties!$E$5:$E$304,R2991)&lt;&gt;HomeState),ROUND(K2991*L2991,2),0)),"")</f>
        <v/>
      </c>
      <c r="P2991" s="61" t="str">
        <f aca="false">IF(IsPro,IF($D2991="","",K2991+M2991+N2991+O2991),"")</f>
        <v/>
      </c>
      <c r="Q2991" s="60" t="str">
        <f aca="false">IF(IsPro,IF($D2991="","",IFERROR(MATCH($D2991,Items!$A$5:$A$504,0),"")),"")</f>
        <v/>
      </c>
      <c r="R2991" s="60" t="str">
        <f aca="false">IF(IsPro,IF($C2991="","",IFERROR(MATCH($C2991,Parties!$A$5:$A$304,0),"")),"")</f>
        <v/>
      </c>
      <c r="S2991" s="61" t="str">
        <f aca="false">IF(IsPro,IF($D2991="","",IF(OR($H2991="",$H2991="Credit"),0,P2991)),"")</f>
        <v/>
      </c>
    </row>
    <row r="2992" customFormat="false" ht="15" hidden="false" customHeight="false" outlineLevel="0" collapsed="false">
      <c r="A2992" s="55"/>
      <c r="B2992" s="56"/>
      <c r="C2992" s="56"/>
      <c r="D2992" s="56"/>
      <c r="E2992" s="57"/>
      <c r="F2992" s="58"/>
      <c r="G2992" s="59"/>
      <c r="H2992" s="56"/>
      <c r="I2992" s="60" t="str">
        <f aca="false">IF(IsPro,IF($D2992="","",IFERROR(INDEX(Items!$D$5:$D$504,Q2992),"")),IF($D2992="","","PRO PLAN"))</f>
        <v/>
      </c>
      <c r="J2992" s="61" t="str">
        <f aca="false">IF(IsPro,IF($D2992="","",IF($F2992="",IFERROR(INDEX(Items!$G$5:$G$504,Q2992),0),$F2992)),"")</f>
        <v/>
      </c>
      <c r="K2992" s="61" t="str">
        <f aca="false">IF(IsPro,IF($D2992="","",ROUND(N($E2992)*J2992*(1-N($G2992)),2)),"")</f>
        <v/>
      </c>
      <c r="L2992" s="62" t="str">
        <f aca="false">IF(IsPro,IF($D2992="","",IFERROR(INDEX(Items!$F$5:$F$504,Q2992),0)),"")</f>
        <v/>
      </c>
      <c r="M2992" s="61" t="str">
        <f aca="false">IF(IsPro,IF($D2992="","",IF(AND(R2992&lt;&gt;"",INDEX(Parties!$E$5:$E$304,R2992)&lt;&gt;"",INDEX(Parties!$E$5:$E$304,R2992)&lt;&gt;HomeState),0,ROUND(K2992*L2992/2,2))),"")</f>
        <v/>
      </c>
      <c r="N2992" s="61" t="str">
        <f aca="false">IF(IsPro,IF($D2992="","",M2992),"")</f>
        <v/>
      </c>
      <c r="O2992" s="61" t="str">
        <f aca="false">IF(IsPro,IF($D2992="","",IF(AND(R2992&lt;&gt;"",INDEX(Parties!$E$5:$E$304,R2992)&lt;&gt;"",INDEX(Parties!$E$5:$E$304,R2992)&lt;&gt;HomeState),ROUND(K2992*L2992,2),0)),"")</f>
        <v/>
      </c>
      <c r="P2992" s="61" t="str">
        <f aca="false">IF(IsPro,IF($D2992="","",K2992+M2992+N2992+O2992),"")</f>
        <v/>
      </c>
      <c r="Q2992" s="60" t="str">
        <f aca="false">IF(IsPro,IF($D2992="","",IFERROR(MATCH($D2992,Items!$A$5:$A$504,0),"")),"")</f>
        <v/>
      </c>
      <c r="R2992" s="60" t="str">
        <f aca="false">IF(IsPro,IF($C2992="","",IFERROR(MATCH($C2992,Parties!$A$5:$A$304,0),"")),"")</f>
        <v/>
      </c>
      <c r="S2992" s="61" t="str">
        <f aca="false">IF(IsPro,IF($D2992="","",IF(OR($H2992="",$H2992="Credit"),0,P2992)),"")</f>
        <v/>
      </c>
    </row>
    <row r="2993" customFormat="false" ht="15" hidden="false" customHeight="false" outlineLevel="0" collapsed="false">
      <c r="A2993" s="55"/>
      <c r="B2993" s="56"/>
      <c r="C2993" s="56"/>
      <c r="D2993" s="56"/>
      <c r="E2993" s="57"/>
      <c r="F2993" s="58"/>
      <c r="G2993" s="59"/>
      <c r="H2993" s="56"/>
      <c r="I2993" s="60" t="str">
        <f aca="false">IF(IsPro,IF($D2993="","",IFERROR(INDEX(Items!$D$5:$D$504,Q2993),"")),IF($D2993="","","PRO PLAN"))</f>
        <v/>
      </c>
      <c r="J2993" s="61" t="str">
        <f aca="false">IF(IsPro,IF($D2993="","",IF($F2993="",IFERROR(INDEX(Items!$G$5:$G$504,Q2993),0),$F2993)),"")</f>
        <v/>
      </c>
      <c r="K2993" s="61" t="str">
        <f aca="false">IF(IsPro,IF($D2993="","",ROUND(N($E2993)*J2993*(1-N($G2993)),2)),"")</f>
        <v/>
      </c>
      <c r="L2993" s="62" t="str">
        <f aca="false">IF(IsPro,IF($D2993="","",IFERROR(INDEX(Items!$F$5:$F$504,Q2993),0)),"")</f>
        <v/>
      </c>
      <c r="M2993" s="61" t="str">
        <f aca="false">IF(IsPro,IF($D2993="","",IF(AND(R2993&lt;&gt;"",INDEX(Parties!$E$5:$E$304,R2993)&lt;&gt;"",INDEX(Parties!$E$5:$E$304,R2993)&lt;&gt;HomeState),0,ROUND(K2993*L2993/2,2))),"")</f>
        <v/>
      </c>
      <c r="N2993" s="61" t="str">
        <f aca="false">IF(IsPro,IF($D2993="","",M2993),"")</f>
        <v/>
      </c>
      <c r="O2993" s="61" t="str">
        <f aca="false">IF(IsPro,IF($D2993="","",IF(AND(R2993&lt;&gt;"",INDEX(Parties!$E$5:$E$304,R2993)&lt;&gt;"",INDEX(Parties!$E$5:$E$304,R2993)&lt;&gt;HomeState),ROUND(K2993*L2993,2),0)),"")</f>
        <v/>
      </c>
      <c r="P2993" s="61" t="str">
        <f aca="false">IF(IsPro,IF($D2993="","",K2993+M2993+N2993+O2993),"")</f>
        <v/>
      </c>
      <c r="Q2993" s="60" t="str">
        <f aca="false">IF(IsPro,IF($D2993="","",IFERROR(MATCH($D2993,Items!$A$5:$A$504,0),"")),"")</f>
        <v/>
      </c>
      <c r="R2993" s="60" t="str">
        <f aca="false">IF(IsPro,IF($C2993="","",IFERROR(MATCH($C2993,Parties!$A$5:$A$304,0),"")),"")</f>
        <v/>
      </c>
      <c r="S2993" s="61" t="str">
        <f aca="false">IF(IsPro,IF($D2993="","",IF(OR($H2993="",$H2993="Credit"),0,P2993)),"")</f>
        <v/>
      </c>
    </row>
    <row r="2994" customFormat="false" ht="15" hidden="false" customHeight="false" outlineLevel="0" collapsed="false">
      <c r="A2994" s="55"/>
      <c r="B2994" s="56"/>
      <c r="C2994" s="56"/>
      <c r="D2994" s="56"/>
      <c r="E2994" s="57"/>
      <c r="F2994" s="58"/>
      <c r="G2994" s="59"/>
      <c r="H2994" s="56"/>
      <c r="I2994" s="60" t="str">
        <f aca="false">IF(IsPro,IF($D2994="","",IFERROR(INDEX(Items!$D$5:$D$504,Q2994),"")),IF($D2994="","","PRO PLAN"))</f>
        <v/>
      </c>
      <c r="J2994" s="61" t="str">
        <f aca="false">IF(IsPro,IF($D2994="","",IF($F2994="",IFERROR(INDEX(Items!$G$5:$G$504,Q2994),0),$F2994)),"")</f>
        <v/>
      </c>
      <c r="K2994" s="61" t="str">
        <f aca="false">IF(IsPro,IF($D2994="","",ROUND(N($E2994)*J2994*(1-N($G2994)),2)),"")</f>
        <v/>
      </c>
      <c r="L2994" s="62" t="str">
        <f aca="false">IF(IsPro,IF($D2994="","",IFERROR(INDEX(Items!$F$5:$F$504,Q2994),0)),"")</f>
        <v/>
      </c>
      <c r="M2994" s="61" t="str">
        <f aca="false">IF(IsPro,IF($D2994="","",IF(AND(R2994&lt;&gt;"",INDEX(Parties!$E$5:$E$304,R2994)&lt;&gt;"",INDEX(Parties!$E$5:$E$304,R2994)&lt;&gt;HomeState),0,ROUND(K2994*L2994/2,2))),"")</f>
        <v/>
      </c>
      <c r="N2994" s="61" t="str">
        <f aca="false">IF(IsPro,IF($D2994="","",M2994),"")</f>
        <v/>
      </c>
      <c r="O2994" s="61" t="str">
        <f aca="false">IF(IsPro,IF($D2994="","",IF(AND(R2994&lt;&gt;"",INDEX(Parties!$E$5:$E$304,R2994)&lt;&gt;"",INDEX(Parties!$E$5:$E$304,R2994)&lt;&gt;HomeState),ROUND(K2994*L2994,2),0)),"")</f>
        <v/>
      </c>
      <c r="P2994" s="61" t="str">
        <f aca="false">IF(IsPro,IF($D2994="","",K2994+M2994+N2994+O2994),"")</f>
        <v/>
      </c>
      <c r="Q2994" s="60" t="str">
        <f aca="false">IF(IsPro,IF($D2994="","",IFERROR(MATCH($D2994,Items!$A$5:$A$504,0),"")),"")</f>
        <v/>
      </c>
      <c r="R2994" s="60" t="str">
        <f aca="false">IF(IsPro,IF($C2994="","",IFERROR(MATCH($C2994,Parties!$A$5:$A$304,0),"")),"")</f>
        <v/>
      </c>
      <c r="S2994" s="61" t="str">
        <f aca="false">IF(IsPro,IF($D2994="","",IF(OR($H2994="",$H2994="Credit"),0,P2994)),"")</f>
        <v/>
      </c>
    </row>
    <row r="2995" customFormat="false" ht="15" hidden="false" customHeight="false" outlineLevel="0" collapsed="false">
      <c r="A2995" s="55"/>
      <c r="B2995" s="56"/>
      <c r="C2995" s="56"/>
      <c r="D2995" s="56"/>
      <c r="E2995" s="57"/>
      <c r="F2995" s="58"/>
      <c r="G2995" s="59"/>
      <c r="H2995" s="56"/>
      <c r="I2995" s="60" t="str">
        <f aca="false">IF(IsPro,IF($D2995="","",IFERROR(INDEX(Items!$D$5:$D$504,Q2995),"")),IF($D2995="","","PRO PLAN"))</f>
        <v/>
      </c>
      <c r="J2995" s="61" t="str">
        <f aca="false">IF(IsPro,IF($D2995="","",IF($F2995="",IFERROR(INDEX(Items!$G$5:$G$504,Q2995),0),$F2995)),"")</f>
        <v/>
      </c>
      <c r="K2995" s="61" t="str">
        <f aca="false">IF(IsPro,IF($D2995="","",ROUND(N($E2995)*J2995*(1-N($G2995)),2)),"")</f>
        <v/>
      </c>
      <c r="L2995" s="62" t="str">
        <f aca="false">IF(IsPro,IF($D2995="","",IFERROR(INDEX(Items!$F$5:$F$504,Q2995),0)),"")</f>
        <v/>
      </c>
      <c r="M2995" s="61" t="str">
        <f aca="false">IF(IsPro,IF($D2995="","",IF(AND(R2995&lt;&gt;"",INDEX(Parties!$E$5:$E$304,R2995)&lt;&gt;"",INDEX(Parties!$E$5:$E$304,R2995)&lt;&gt;HomeState),0,ROUND(K2995*L2995/2,2))),"")</f>
        <v/>
      </c>
      <c r="N2995" s="61" t="str">
        <f aca="false">IF(IsPro,IF($D2995="","",M2995),"")</f>
        <v/>
      </c>
      <c r="O2995" s="61" t="str">
        <f aca="false">IF(IsPro,IF($D2995="","",IF(AND(R2995&lt;&gt;"",INDEX(Parties!$E$5:$E$304,R2995)&lt;&gt;"",INDEX(Parties!$E$5:$E$304,R2995)&lt;&gt;HomeState),ROUND(K2995*L2995,2),0)),"")</f>
        <v/>
      </c>
      <c r="P2995" s="61" t="str">
        <f aca="false">IF(IsPro,IF($D2995="","",K2995+M2995+N2995+O2995),"")</f>
        <v/>
      </c>
      <c r="Q2995" s="60" t="str">
        <f aca="false">IF(IsPro,IF($D2995="","",IFERROR(MATCH($D2995,Items!$A$5:$A$504,0),"")),"")</f>
        <v/>
      </c>
      <c r="R2995" s="60" t="str">
        <f aca="false">IF(IsPro,IF($C2995="","",IFERROR(MATCH($C2995,Parties!$A$5:$A$304,0),"")),"")</f>
        <v/>
      </c>
      <c r="S2995" s="61" t="str">
        <f aca="false">IF(IsPro,IF($D2995="","",IF(OR($H2995="",$H2995="Credit"),0,P2995)),"")</f>
        <v/>
      </c>
    </row>
    <row r="2996" customFormat="false" ht="15" hidden="false" customHeight="false" outlineLevel="0" collapsed="false">
      <c r="A2996" s="55"/>
      <c r="B2996" s="56"/>
      <c r="C2996" s="56"/>
      <c r="D2996" s="56"/>
      <c r="E2996" s="57"/>
      <c r="F2996" s="58"/>
      <c r="G2996" s="59"/>
      <c r="H2996" s="56"/>
      <c r="I2996" s="60" t="str">
        <f aca="false">IF(IsPro,IF($D2996="","",IFERROR(INDEX(Items!$D$5:$D$504,Q2996),"")),IF($D2996="","","PRO PLAN"))</f>
        <v/>
      </c>
      <c r="J2996" s="61" t="str">
        <f aca="false">IF(IsPro,IF($D2996="","",IF($F2996="",IFERROR(INDEX(Items!$G$5:$G$504,Q2996),0),$F2996)),"")</f>
        <v/>
      </c>
      <c r="K2996" s="61" t="str">
        <f aca="false">IF(IsPro,IF($D2996="","",ROUND(N($E2996)*J2996*(1-N($G2996)),2)),"")</f>
        <v/>
      </c>
      <c r="L2996" s="62" t="str">
        <f aca="false">IF(IsPro,IF($D2996="","",IFERROR(INDEX(Items!$F$5:$F$504,Q2996),0)),"")</f>
        <v/>
      </c>
      <c r="M2996" s="61" t="str">
        <f aca="false">IF(IsPro,IF($D2996="","",IF(AND(R2996&lt;&gt;"",INDEX(Parties!$E$5:$E$304,R2996)&lt;&gt;"",INDEX(Parties!$E$5:$E$304,R2996)&lt;&gt;HomeState),0,ROUND(K2996*L2996/2,2))),"")</f>
        <v/>
      </c>
      <c r="N2996" s="61" t="str">
        <f aca="false">IF(IsPro,IF($D2996="","",M2996),"")</f>
        <v/>
      </c>
      <c r="O2996" s="61" t="str">
        <f aca="false">IF(IsPro,IF($D2996="","",IF(AND(R2996&lt;&gt;"",INDEX(Parties!$E$5:$E$304,R2996)&lt;&gt;"",INDEX(Parties!$E$5:$E$304,R2996)&lt;&gt;HomeState),ROUND(K2996*L2996,2),0)),"")</f>
        <v/>
      </c>
      <c r="P2996" s="61" t="str">
        <f aca="false">IF(IsPro,IF($D2996="","",K2996+M2996+N2996+O2996),"")</f>
        <v/>
      </c>
      <c r="Q2996" s="60" t="str">
        <f aca="false">IF(IsPro,IF($D2996="","",IFERROR(MATCH($D2996,Items!$A$5:$A$504,0),"")),"")</f>
        <v/>
      </c>
      <c r="R2996" s="60" t="str">
        <f aca="false">IF(IsPro,IF($C2996="","",IFERROR(MATCH($C2996,Parties!$A$5:$A$304,0),"")),"")</f>
        <v/>
      </c>
      <c r="S2996" s="61" t="str">
        <f aca="false">IF(IsPro,IF($D2996="","",IF(OR($H2996="",$H2996="Credit"),0,P2996)),"")</f>
        <v/>
      </c>
    </row>
    <row r="2997" customFormat="false" ht="15" hidden="false" customHeight="false" outlineLevel="0" collapsed="false">
      <c r="A2997" s="55"/>
      <c r="B2997" s="56"/>
      <c r="C2997" s="56"/>
      <c r="D2997" s="56"/>
      <c r="E2997" s="57"/>
      <c r="F2997" s="58"/>
      <c r="G2997" s="59"/>
      <c r="H2997" s="56"/>
      <c r="I2997" s="60" t="str">
        <f aca="false">IF(IsPro,IF($D2997="","",IFERROR(INDEX(Items!$D$5:$D$504,Q2997),"")),IF($D2997="","","PRO PLAN"))</f>
        <v/>
      </c>
      <c r="J2997" s="61" t="str">
        <f aca="false">IF(IsPro,IF($D2997="","",IF($F2997="",IFERROR(INDEX(Items!$G$5:$G$504,Q2997),0),$F2997)),"")</f>
        <v/>
      </c>
      <c r="K2997" s="61" t="str">
        <f aca="false">IF(IsPro,IF($D2997="","",ROUND(N($E2997)*J2997*(1-N($G2997)),2)),"")</f>
        <v/>
      </c>
      <c r="L2997" s="62" t="str">
        <f aca="false">IF(IsPro,IF($D2997="","",IFERROR(INDEX(Items!$F$5:$F$504,Q2997),0)),"")</f>
        <v/>
      </c>
      <c r="M2997" s="61" t="str">
        <f aca="false">IF(IsPro,IF($D2997="","",IF(AND(R2997&lt;&gt;"",INDEX(Parties!$E$5:$E$304,R2997)&lt;&gt;"",INDEX(Parties!$E$5:$E$304,R2997)&lt;&gt;HomeState),0,ROUND(K2997*L2997/2,2))),"")</f>
        <v/>
      </c>
      <c r="N2997" s="61" t="str">
        <f aca="false">IF(IsPro,IF($D2997="","",M2997),"")</f>
        <v/>
      </c>
      <c r="O2997" s="61" t="str">
        <f aca="false">IF(IsPro,IF($D2997="","",IF(AND(R2997&lt;&gt;"",INDEX(Parties!$E$5:$E$304,R2997)&lt;&gt;"",INDEX(Parties!$E$5:$E$304,R2997)&lt;&gt;HomeState),ROUND(K2997*L2997,2),0)),"")</f>
        <v/>
      </c>
      <c r="P2997" s="61" t="str">
        <f aca="false">IF(IsPro,IF($D2997="","",K2997+M2997+N2997+O2997),"")</f>
        <v/>
      </c>
      <c r="Q2997" s="60" t="str">
        <f aca="false">IF(IsPro,IF($D2997="","",IFERROR(MATCH($D2997,Items!$A$5:$A$504,0),"")),"")</f>
        <v/>
      </c>
      <c r="R2997" s="60" t="str">
        <f aca="false">IF(IsPro,IF($C2997="","",IFERROR(MATCH($C2997,Parties!$A$5:$A$304,0),"")),"")</f>
        <v/>
      </c>
      <c r="S2997" s="61" t="str">
        <f aca="false">IF(IsPro,IF($D2997="","",IF(OR($H2997="",$H2997="Credit"),0,P2997)),"")</f>
        <v/>
      </c>
    </row>
    <row r="2998" customFormat="false" ht="15" hidden="false" customHeight="false" outlineLevel="0" collapsed="false">
      <c r="A2998" s="55"/>
      <c r="B2998" s="56"/>
      <c r="C2998" s="56"/>
      <c r="D2998" s="56"/>
      <c r="E2998" s="57"/>
      <c r="F2998" s="58"/>
      <c r="G2998" s="59"/>
      <c r="H2998" s="56"/>
      <c r="I2998" s="60" t="str">
        <f aca="false">IF(IsPro,IF($D2998="","",IFERROR(INDEX(Items!$D$5:$D$504,Q2998),"")),IF($D2998="","","PRO PLAN"))</f>
        <v/>
      </c>
      <c r="J2998" s="61" t="str">
        <f aca="false">IF(IsPro,IF($D2998="","",IF($F2998="",IFERROR(INDEX(Items!$G$5:$G$504,Q2998),0),$F2998)),"")</f>
        <v/>
      </c>
      <c r="K2998" s="61" t="str">
        <f aca="false">IF(IsPro,IF($D2998="","",ROUND(N($E2998)*J2998*(1-N($G2998)),2)),"")</f>
        <v/>
      </c>
      <c r="L2998" s="62" t="str">
        <f aca="false">IF(IsPro,IF($D2998="","",IFERROR(INDEX(Items!$F$5:$F$504,Q2998),0)),"")</f>
        <v/>
      </c>
      <c r="M2998" s="61" t="str">
        <f aca="false">IF(IsPro,IF($D2998="","",IF(AND(R2998&lt;&gt;"",INDEX(Parties!$E$5:$E$304,R2998)&lt;&gt;"",INDEX(Parties!$E$5:$E$304,R2998)&lt;&gt;HomeState),0,ROUND(K2998*L2998/2,2))),"")</f>
        <v/>
      </c>
      <c r="N2998" s="61" t="str">
        <f aca="false">IF(IsPro,IF($D2998="","",M2998),"")</f>
        <v/>
      </c>
      <c r="O2998" s="61" t="str">
        <f aca="false">IF(IsPro,IF($D2998="","",IF(AND(R2998&lt;&gt;"",INDEX(Parties!$E$5:$E$304,R2998)&lt;&gt;"",INDEX(Parties!$E$5:$E$304,R2998)&lt;&gt;HomeState),ROUND(K2998*L2998,2),0)),"")</f>
        <v/>
      </c>
      <c r="P2998" s="61" t="str">
        <f aca="false">IF(IsPro,IF($D2998="","",K2998+M2998+N2998+O2998),"")</f>
        <v/>
      </c>
      <c r="Q2998" s="60" t="str">
        <f aca="false">IF(IsPro,IF($D2998="","",IFERROR(MATCH($D2998,Items!$A$5:$A$504,0),"")),"")</f>
        <v/>
      </c>
      <c r="R2998" s="60" t="str">
        <f aca="false">IF(IsPro,IF($C2998="","",IFERROR(MATCH($C2998,Parties!$A$5:$A$304,0),"")),"")</f>
        <v/>
      </c>
      <c r="S2998" s="61" t="str">
        <f aca="false">IF(IsPro,IF($D2998="","",IF(OR($H2998="",$H2998="Credit"),0,P2998)),"")</f>
        <v/>
      </c>
    </row>
    <row r="2999" customFormat="false" ht="15" hidden="false" customHeight="false" outlineLevel="0" collapsed="false">
      <c r="A2999" s="55"/>
      <c r="B2999" s="56"/>
      <c r="C2999" s="56"/>
      <c r="D2999" s="56"/>
      <c r="E2999" s="57"/>
      <c r="F2999" s="58"/>
      <c r="G2999" s="59"/>
      <c r="H2999" s="56"/>
      <c r="I2999" s="60" t="str">
        <f aca="false">IF(IsPro,IF($D2999="","",IFERROR(INDEX(Items!$D$5:$D$504,Q2999),"")),IF($D2999="","","PRO PLAN"))</f>
        <v/>
      </c>
      <c r="J2999" s="61" t="str">
        <f aca="false">IF(IsPro,IF($D2999="","",IF($F2999="",IFERROR(INDEX(Items!$G$5:$G$504,Q2999),0),$F2999)),"")</f>
        <v/>
      </c>
      <c r="K2999" s="61" t="str">
        <f aca="false">IF(IsPro,IF($D2999="","",ROUND(N($E2999)*J2999*(1-N($G2999)),2)),"")</f>
        <v/>
      </c>
      <c r="L2999" s="62" t="str">
        <f aca="false">IF(IsPro,IF($D2999="","",IFERROR(INDEX(Items!$F$5:$F$504,Q2999),0)),"")</f>
        <v/>
      </c>
      <c r="M2999" s="61" t="str">
        <f aca="false">IF(IsPro,IF($D2999="","",IF(AND(R2999&lt;&gt;"",INDEX(Parties!$E$5:$E$304,R2999)&lt;&gt;"",INDEX(Parties!$E$5:$E$304,R2999)&lt;&gt;HomeState),0,ROUND(K2999*L2999/2,2))),"")</f>
        <v/>
      </c>
      <c r="N2999" s="61" t="str">
        <f aca="false">IF(IsPro,IF($D2999="","",M2999),"")</f>
        <v/>
      </c>
      <c r="O2999" s="61" t="str">
        <f aca="false">IF(IsPro,IF($D2999="","",IF(AND(R2999&lt;&gt;"",INDEX(Parties!$E$5:$E$304,R2999)&lt;&gt;"",INDEX(Parties!$E$5:$E$304,R2999)&lt;&gt;HomeState),ROUND(K2999*L2999,2),0)),"")</f>
        <v/>
      </c>
      <c r="P2999" s="61" t="str">
        <f aca="false">IF(IsPro,IF($D2999="","",K2999+M2999+N2999+O2999),"")</f>
        <v/>
      </c>
      <c r="Q2999" s="60" t="str">
        <f aca="false">IF(IsPro,IF($D2999="","",IFERROR(MATCH($D2999,Items!$A$5:$A$504,0),"")),"")</f>
        <v/>
      </c>
      <c r="R2999" s="60" t="str">
        <f aca="false">IF(IsPro,IF($C2999="","",IFERROR(MATCH($C2999,Parties!$A$5:$A$304,0),"")),"")</f>
        <v/>
      </c>
      <c r="S2999" s="61" t="str">
        <f aca="false">IF(IsPro,IF($D2999="","",IF(OR($H2999="",$H2999="Credit"),0,P2999)),"")</f>
        <v/>
      </c>
    </row>
    <row r="3000" customFormat="false" ht="15" hidden="false" customHeight="false" outlineLevel="0" collapsed="false">
      <c r="A3000" s="55"/>
      <c r="B3000" s="56"/>
      <c r="C3000" s="56"/>
      <c r="D3000" s="56"/>
      <c r="E3000" s="57"/>
      <c r="F3000" s="58"/>
      <c r="G3000" s="59"/>
      <c r="H3000" s="56"/>
      <c r="I3000" s="60" t="str">
        <f aca="false">IF(IsPro,IF($D3000="","",IFERROR(INDEX(Items!$D$5:$D$504,Q3000),"")),IF($D3000="","","PRO PLAN"))</f>
        <v/>
      </c>
      <c r="J3000" s="61" t="str">
        <f aca="false">IF(IsPro,IF($D3000="","",IF($F3000="",IFERROR(INDEX(Items!$G$5:$G$504,Q3000),0),$F3000)),"")</f>
        <v/>
      </c>
      <c r="K3000" s="61" t="str">
        <f aca="false">IF(IsPro,IF($D3000="","",ROUND(N($E3000)*J3000*(1-N($G3000)),2)),"")</f>
        <v/>
      </c>
      <c r="L3000" s="62" t="str">
        <f aca="false">IF(IsPro,IF($D3000="","",IFERROR(INDEX(Items!$F$5:$F$504,Q3000),0)),"")</f>
        <v/>
      </c>
      <c r="M3000" s="61" t="str">
        <f aca="false">IF(IsPro,IF($D3000="","",IF(AND(R3000&lt;&gt;"",INDEX(Parties!$E$5:$E$304,R3000)&lt;&gt;"",INDEX(Parties!$E$5:$E$304,R3000)&lt;&gt;HomeState),0,ROUND(K3000*L3000/2,2))),"")</f>
        <v/>
      </c>
      <c r="N3000" s="61" t="str">
        <f aca="false">IF(IsPro,IF($D3000="","",M3000),"")</f>
        <v/>
      </c>
      <c r="O3000" s="61" t="str">
        <f aca="false">IF(IsPro,IF($D3000="","",IF(AND(R3000&lt;&gt;"",INDEX(Parties!$E$5:$E$304,R3000)&lt;&gt;"",INDEX(Parties!$E$5:$E$304,R3000)&lt;&gt;HomeState),ROUND(K3000*L3000,2),0)),"")</f>
        <v/>
      </c>
      <c r="P3000" s="61" t="str">
        <f aca="false">IF(IsPro,IF($D3000="","",K3000+M3000+N3000+O3000),"")</f>
        <v/>
      </c>
      <c r="Q3000" s="60" t="str">
        <f aca="false">IF(IsPro,IF($D3000="","",IFERROR(MATCH($D3000,Items!$A$5:$A$504,0),"")),"")</f>
        <v/>
      </c>
      <c r="R3000" s="60" t="str">
        <f aca="false">IF(IsPro,IF($C3000="","",IFERROR(MATCH($C3000,Parties!$A$5:$A$304,0),"")),"")</f>
        <v/>
      </c>
      <c r="S3000" s="61" t="str">
        <f aca="false">IF(IsPro,IF($D3000="","",IF(OR($H3000="",$H3000="Credit"),0,P3000)),"")</f>
        <v/>
      </c>
    </row>
    <row r="3001" customFormat="false" ht="15" hidden="false" customHeight="false" outlineLevel="0" collapsed="false">
      <c r="A3001" s="55"/>
      <c r="B3001" s="56"/>
      <c r="C3001" s="56"/>
      <c r="D3001" s="56"/>
      <c r="E3001" s="57"/>
      <c r="F3001" s="58"/>
      <c r="G3001" s="59"/>
      <c r="H3001" s="56"/>
      <c r="I3001" s="60" t="str">
        <f aca="false">IF(IsPro,IF($D3001="","",IFERROR(INDEX(Items!$D$5:$D$504,Q3001),"")),IF($D3001="","","PRO PLAN"))</f>
        <v/>
      </c>
      <c r="J3001" s="61" t="str">
        <f aca="false">IF(IsPro,IF($D3001="","",IF($F3001="",IFERROR(INDEX(Items!$G$5:$G$504,Q3001),0),$F3001)),"")</f>
        <v/>
      </c>
      <c r="K3001" s="61" t="str">
        <f aca="false">IF(IsPro,IF($D3001="","",ROUND(N($E3001)*J3001*(1-N($G3001)),2)),"")</f>
        <v/>
      </c>
      <c r="L3001" s="62" t="str">
        <f aca="false">IF(IsPro,IF($D3001="","",IFERROR(INDEX(Items!$F$5:$F$504,Q3001),0)),"")</f>
        <v/>
      </c>
      <c r="M3001" s="61" t="str">
        <f aca="false">IF(IsPro,IF($D3001="","",IF(AND(R3001&lt;&gt;"",INDEX(Parties!$E$5:$E$304,R3001)&lt;&gt;"",INDEX(Parties!$E$5:$E$304,R3001)&lt;&gt;HomeState),0,ROUND(K3001*L3001/2,2))),"")</f>
        <v/>
      </c>
      <c r="N3001" s="61" t="str">
        <f aca="false">IF(IsPro,IF($D3001="","",M3001),"")</f>
        <v/>
      </c>
      <c r="O3001" s="61" t="str">
        <f aca="false">IF(IsPro,IF($D3001="","",IF(AND(R3001&lt;&gt;"",INDEX(Parties!$E$5:$E$304,R3001)&lt;&gt;"",INDEX(Parties!$E$5:$E$304,R3001)&lt;&gt;HomeState),ROUND(K3001*L3001,2),0)),"")</f>
        <v/>
      </c>
      <c r="P3001" s="61" t="str">
        <f aca="false">IF(IsPro,IF($D3001="","",K3001+M3001+N3001+O3001),"")</f>
        <v/>
      </c>
      <c r="Q3001" s="60" t="str">
        <f aca="false">IF(IsPro,IF($D3001="","",IFERROR(MATCH($D3001,Items!$A$5:$A$504,0),"")),"")</f>
        <v/>
      </c>
      <c r="R3001" s="60" t="str">
        <f aca="false">IF(IsPro,IF($C3001="","",IFERROR(MATCH($C3001,Parties!$A$5:$A$304,0),"")),"")</f>
        <v/>
      </c>
      <c r="S3001" s="61" t="str">
        <f aca="false">IF(IsPro,IF($D3001="","",IF(OR($H3001="",$H3001="Credit"),0,P3001)),"")</f>
        <v/>
      </c>
    </row>
    <row r="3002" customFormat="false" ht="15" hidden="false" customHeight="false" outlineLevel="0" collapsed="false">
      <c r="A3002" s="55"/>
      <c r="B3002" s="56"/>
      <c r="C3002" s="56"/>
      <c r="D3002" s="56"/>
      <c r="E3002" s="57"/>
      <c r="F3002" s="58"/>
      <c r="G3002" s="59"/>
      <c r="H3002" s="56"/>
      <c r="I3002" s="60" t="str">
        <f aca="false">IF(IsPro,IF($D3002="","",IFERROR(INDEX(Items!$D$5:$D$504,Q3002),"")),IF($D3002="","","PRO PLAN"))</f>
        <v/>
      </c>
      <c r="J3002" s="61" t="str">
        <f aca="false">IF(IsPro,IF($D3002="","",IF($F3002="",IFERROR(INDEX(Items!$G$5:$G$504,Q3002),0),$F3002)),"")</f>
        <v/>
      </c>
      <c r="K3002" s="61" t="str">
        <f aca="false">IF(IsPro,IF($D3002="","",ROUND(N($E3002)*J3002*(1-N($G3002)),2)),"")</f>
        <v/>
      </c>
      <c r="L3002" s="62" t="str">
        <f aca="false">IF(IsPro,IF($D3002="","",IFERROR(INDEX(Items!$F$5:$F$504,Q3002),0)),"")</f>
        <v/>
      </c>
      <c r="M3002" s="61" t="str">
        <f aca="false">IF(IsPro,IF($D3002="","",IF(AND(R3002&lt;&gt;"",INDEX(Parties!$E$5:$E$304,R3002)&lt;&gt;"",INDEX(Parties!$E$5:$E$304,R3002)&lt;&gt;HomeState),0,ROUND(K3002*L3002/2,2))),"")</f>
        <v/>
      </c>
      <c r="N3002" s="61" t="str">
        <f aca="false">IF(IsPro,IF($D3002="","",M3002),"")</f>
        <v/>
      </c>
      <c r="O3002" s="61" t="str">
        <f aca="false">IF(IsPro,IF($D3002="","",IF(AND(R3002&lt;&gt;"",INDEX(Parties!$E$5:$E$304,R3002)&lt;&gt;"",INDEX(Parties!$E$5:$E$304,R3002)&lt;&gt;HomeState),ROUND(K3002*L3002,2),0)),"")</f>
        <v/>
      </c>
      <c r="P3002" s="61" t="str">
        <f aca="false">IF(IsPro,IF($D3002="","",K3002+M3002+N3002+O3002),"")</f>
        <v/>
      </c>
      <c r="Q3002" s="60" t="str">
        <f aca="false">IF(IsPro,IF($D3002="","",IFERROR(MATCH($D3002,Items!$A$5:$A$504,0),"")),"")</f>
        <v/>
      </c>
      <c r="R3002" s="60" t="str">
        <f aca="false">IF(IsPro,IF($C3002="","",IFERROR(MATCH($C3002,Parties!$A$5:$A$304,0),"")),"")</f>
        <v/>
      </c>
      <c r="S3002" s="61" t="str">
        <f aca="false">IF(IsPro,IF($D3002="","",IF(OR($H3002="",$H3002="Credit"),0,P3002)),"")</f>
        <v/>
      </c>
    </row>
    <row r="3003" customFormat="false" ht="15" hidden="false" customHeight="false" outlineLevel="0" collapsed="false">
      <c r="A3003" s="55"/>
      <c r="B3003" s="56"/>
      <c r="C3003" s="56"/>
      <c r="D3003" s="56"/>
      <c r="E3003" s="57"/>
      <c r="F3003" s="58"/>
      <c r="G3003" s="59"/>
      <c r="H3003" s="56"/>
      <c r="I3003" s="60" t="str">
        <f aca="false">IF(IsPro,IF($D3003="","",IFERROR(INDEX(Items!$D$5:$D$504,Q3003),"")),IF($D3003="","","PRO PLAN"))</f>
        <v/>
      </c>
      <c r="J3003" s="61" t="str">
        <f aca="false">IF(IsPro,IF($D3003="","",IF($F3003="",IFERROR(INDEX(Items!$G$5:$G$504,Q3003),0),$F3003)),"")</f>
        <v/>
      </c>
      <c r="K3003" s="61" t="str">
        <f aca="false">IF(IsPro,IF($D3003="","",ROUND(N($E3003)*J3003*(1-N($G3003)),2)),"")</f>
        <v/>
      </c>
      <c r="L3003" s="62" t="str">
        <f aca="false">IF(IsPro,IF($D3003="","",IFERROR(INDEX(Items!$F$5:$F$504,Q3003),0)),"")</f>
        <v/>
      </c>
      <c r="M3003" s="61" t="str">
        <f aca="false">IF(IsPro,IF($D3003="","",IF(AND(R3003&lt;&gt;"",INDEX(Parties!$E$5:$E$304,R3003)&lt;&gt;"",INDEX(Parties!$E$5:$E$304,R3003)&lt;&gt;HomeState),0,ROUND(K3003*L3003/2,2))),"")</f>
        <v/>
      </c>
      <c r="N3003" s="61" t="str">
        <f aca="false">IF(IsPro,IF($D3003="","",M3003),"")</f>
        <v/>
      </c>
      <c r="O3003" s="61" t="str">
        <f aca="false">IF(IsPro,IF($D3003="","",IF(AND(R3003&lt;&gt;"",INDEX(Parties!$E$5:$E$304,R3003)&lt;&gt;"",INDEX(Parties!$E$5:$E$304,R3003)&lt;&gt;HomeState),ROUND(K3003*L3003,2),0)),"")</f>
        <v/>
      </c>
      <c r="P3003" s="61" t="str">
        <f aca="false">IF(IsPro,IF($D3003="","",K3003+M3003+N3003+O3003),"")</f>
        <v/>
      </c>
      <c r="Q3003" s="60" t="str">
        <f aca="false">IF(IsPro,IF($D3003="","",IFERROR(MATCH($D3003,Items!$A$5:$A$504,0),"")),"")</f>
        <v/>
      </c>
      <c r="R3003" s="60" t="str">
        <f aca="false">IF(IsPro,IF($C3003="","",IFERROR(MATCH($C3003,Parties!$A$5:$A$304,0),"")),"")</f>
        <v/>
      </c>
      <c r="S3003" s="61" t="str">
        <f aca="false">IF(IsPro,IF($D3003="","",IF(OR($H3003="",$H3003="Credit"),0,P3003)),"")</f>
        <v/>
      </c>
    </row>
    <row r="3004" customFormat="false" ht="15" hidden="false" customHeight="false" outlineLevel="0" collapsed="false">
      <c r="A3004" s="55"/>
      <c r="B3004" s="56"/>
      <c r="C3004" s="56"/>
      <c r="D3004" s="56"/>
      <c r="E3004" s="57"/>
      <c r="F3004" s="58"/>
      <c r="G3004" s="59"/>
      <c r="H3004" s="56"/>
      <c r="I3004" s="60" t="str">
        <f aca="false">IF(IsPro,IF($D3004="","",IFERROR(INDEX(Items!$D$5:$D$504,Q3004),"")),IF($D3004="","","PRO PLAN"))</f>
        <v/>
      </c>
      <c r="J3004" s="61" t="str">
        <f aca="false">IF(IsPro,IF($D3004="","",IF($F3004="",IFERROR(INDEX(Items!$G$5:$G$504,Q3004),0),$F3004)),"")</f>
        <v/>
      </c>
      <c r="K3004" s="61" t="str">
        <f aca="false">IF(IsPro,IF($D3004="","",ROUND(N($E3004)*J3004*(1-N($G3004)),2)),"")</f>
        <v/>
      </c>
      <c r="L3004" s="62" t="str">
        <f aca="false">IF(IsPro,IF($D3004="","",IFERROR(INDEX(Items!$F$5:$F$504,Q3004),0)),"")</f>
        <v/>
      </c>
      <c r="M3004" s="61" t="str">
        <f aca="false">IF(IsPro,IF($D3004="","",IF(AND(R3004&lt;&gt;"",INDEX(Parties!$E$5:$E$304,R3004)&lt;&gt;"",INDEX(Parties!$E$5:$E$304,R3004)&lt;&gt;HomeState),0,ROUND(K3004*L3004/2,2))),"")</f>
        <v/>
      </c>
      <c r="N3004" s="61" t="str">
        <f aca="false">IF(IsPro,IF($D3004="","",M3004),"")</f>
        <v/>
      </c>
      <c r="O3004" s="61" t="str">
        <f aca="false">IF(IsPro,IF($D3004="","",IF(AND(R3004&lt;&gt;"",INDEX(Parties!$E$5:$E$304,R3004)&lt;&gt;"",INDEX(Parties!$E$5:$E$304,R3004)&lt;&gt;HomeState),ROUND(K3004*L3004,2),0)),"")</f>
        <v/>
      </c>
      <c r="P3004" s="61" t="str">
        <f aca="false">IF(IsPro,IF($D3004="","",K3004+M3004+N3004+O3004),"")</f>
        <v/>
      </c>
      <c r="Q3004" s="60" t="str">
        <f aca="false">IF(IsPro,IF($D3004="","",IFERROR(MATCH($D3004,Items!$A$5:$A$504,0),"")),"")</f>
        <v/>
      </c>
      <c r="R3004" s="60" t="str">
        <f aca="false">IF(IsPro,IF($C3004="","",IFERROR(MATCH($C3004,Parties!$A$5:$A$304,0),"")),"")</f>
        <v/>
      </c>
      <c r="S3004" s="61" t="str">
        <f aca="false">IF(IsPro,IF($D3004="","",IF(OR($H3004="",$H3004="Credit"),0,P3004)),"")</f>
        <v/>
      </c>
    </row>
  </sheetData>
  <autoFilter ref="A4:S3004"/>
  <mergeCells count="2">
    <mergeCell ref="A1:S1"/>
    <mergeCell ref="A2:S2"/>
  </mergeCells>
  <conditionalFormatting sqref="I5:I3004">
    <cfRule type="cellIs" priority="2" operator="equal" aboveAverage="0" equalAverage="0" bottom="0" percent="0" rank="0" text="" dxfId="15">
      <formula>"PRO PLAN"</formula>
    </cfRule>
  </conditionalFormatting>
  <dataValidations count="5">
    <dataValidation allowBlank="true" error="Pick a value from the list (add new masters on the master sheet first)." errorStyle="stop" operator="between" prompt="Pick a party (add new ones on the Parties sheet)" showDropDown="false" showErrorMessage="true" showInputMessage="true" sqref="C5:C3004" type="list">
      <formula1>L_Parties</formula1>
      <formula2>0</formula2>
    </dataValidation>
    <dataValidation allowBlank="true" error="Pick a value from the list (add new masters on the master sheet first)." errorStyle="stop" operator="between" prompt="Pick an item (add new ones on the Items sheet)" showDropDown="false" showErrorMessage="true" showInputMessage="true" sqref="D5:D3004" type="list">
      <formula1>L_Items</formula1>
      <formula2>0</formula2>
    </dataValidation>
    <dataValidation allowBlank="true" error="Pick a value from the list (add new masters on the master sheet first)." errorStyle="stop" operator="between" showDropDown="false" showErrorMessage="true" showInputMessage="false" sqref="H5:H3004" type="list">
      <formula1>L_PayModes</formula1>
      <formula2>0</formula2>
    </dataValidation>
    <dataValidation allowBlank="true" error="Quantity must be greater than 0 (use Adjustments for returns/losses)." errorStyle="stop" operator="greaterThan" showDropDown="false" showErrorMessage="true" showInputMessage="false" sqref="E5:E3004" type="decimal">
      <formula1>0</formula1>
      <formula2>0</formula2>
    </dataValidation>
    <dataValidation allowBlank="true" error="Enter a valid date, e.g. 15-Apr-2026 or Ctrl+; for today." errorStyle="stop" operator="greaterThan" showDropDown="false" showErrorMessage="true" showInputMessage="false" sqref="A5:A3004" type="date">
      <formula1>36526</formula1>
      <formula2>0</formula2>
    </dataValidation>
  </dataValidations>
  <hyperlinks>
    <hyperlink ref="U1" r:id="rId1" location="Dashboard!A1" display="« Ho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M3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26"/>
    <col collapsed="false" customWidth="true" hidden="false" outlineLevel="0" max="10" min="9" style="0" width="12"/>
    <col collapsed="false" customWidth="true" hidden="false" outlineLevel="0" max="11" min="11" style="0" width="18"/>
  </cols>
  <sheetData>
    <row r="1" customFormat="false" ht="27.75" hidden="false" customHeight="true" outlineLevel="0" collapsed="false">
      <c r="A1" s="49" t="s">
        <v>251</v>
      </c>
      <c r="B1" s="49"/>
      <c r="C1" s="49"/>
      <c r="D1" s="49"/>
      <c r="E1" s="49"/>
      <c r="F1" s="49"/>
      <c r="G1" s="49"/>
      <c r="H1" s="49"/>
      <c r="I1" s="49"/>
      <c r="J1" s="49"/>
      <c r="K1" s="49"/>
      <c r="M1" s="50" t="s">
        <v>43</v>
      </c>
    </row>
    <row r="2" customFormat="false" ht="15" hidden="false" customHeight="false" outlineLevel="0" collapsed="false">
      <c r="A2" s="3" t="s">
        <v>252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false" outlineLevel="0" collapsed="false">
      <c r="A3" s="51" t="s">
        <v>45</v>
      </c>
      <c r="I3" s="52" t="s">
        <v>46</v>
      </c>
    </row>
    <row r="4" customFormat="false" ht="31.5" hidden="false" customHeight="true" outlineLevel="0" collapsed="false">
      <c r="A4" s="53" t="s">
        <v>47</v>
      </c>
      <c r="B4" s="53" t="s">
        <v>253</v>
      </c>
      <c r="C4" s="53" t="s">
        <v>254</v>
      </c>
      <c r="D4" s="53" t="s">
        <v>255</v>
      </c>
      <c r="E4" s="53" t="s">
        <v>256</v>
      </c>
      <c r="F4" s="53" t="s">
        <v>257</v>
      </c>
      <c r="G4" s="53" t="s">
        <v>258</v>
      </c>
      <c r="H4" s="53" t="s">
        <v>259</v>
      </c>
      <c r="I4" s="54" t="s">
        <v>260</v>
      </c>
      <c r="J4" s="54" t="s">
        <v>261</v>
      </c>
      <c r="K4" s="54" t="s">
        <v>262</v>
      </c>
    </row>
    <row r="5" customFormat="false" ht="15" hidden="false" customHeight="false" outlineLevel="0" collapsed="false">
      <c r="A5" s="55" t="n">
        <v>46117</v>
      </c>
      <c r="B5" s="56" t="s">
        <v>263</v>
      </c>
      <c r="C5" s="56" t="s">
        <v>264</v>
      </c>
      <c r="D5" s="56"/>
      <c r="E5" s="56" t="s">
        <v>265</v>
      </c>
      <c r="F5" s="56" t="s">
        <v>74</v>
      </c>
      <c r="G5" s="58" t="n">
        <v>9000</v>
      </c>
      <c r="H5" s="56"/>
      <c r="I5" s="61" t="n">
        <f aca="false">IF(OR($C5="",N($G5)=0),"",IF(OR($C5="Receipt",$C5="Other Income",$C5="Capital In",$C5="Transfer In"),$G5,0))</f>
        <v>0</v>
      </c>
      <c r="J5" s="61" t="n">
        <f aca="false">IF(OR($C5="",N($G5)=0),"",IF(I5=0,$G5,0))</f>
        <v>9000</v>
      </c>
      <c r="K5" s="60" t="str">
        <f aca="false">IF($C5="","",IF(AND(OR($C5="Receipt",$C5="Payment"),$D5=""),"Party needed",IF(AND(OR($C5="Expense",$C5="Other Income"),$E5=""),"Head needed",IF($F5="","Account needed","OK"))))</f>
        <v>OK</v>
      </c>
    </row>
    <row r="6" customFormat="false" ht="15" hidden="false" customHeight="false" outlineLevel="0" collapsed="false">
      <c r="A6" s="55" t="n">
        <v>46117</v>
      </c>
      <c r="B6" s="56" t="s">
        <v>266</v>
      </c>
      <c r="C6" s="56" t="s">
        <v>264</v>
      </c>
      <c r="D6" s="56"/>
      <c r="E6" s="56" t="s">
        <v>267</v>
      </c>
      <c r="F6" s="56" t="s">
        <v>74</v>
      </c>
      <c r="G6" s="58" t="n">
        <v>12000</v>
      </c>
      <c r="H6" s="56"/>
      <c r="I6" s="61" t="n">
        <f aca="false">IF(OR($C6="",N($G6)=0),"",IF(OR($C6="Receipt",$C6="Other Income",$C6="Capital In",$C6="Transfer In"),$G6,0))</f>
        <v>0</v>
      </c>
      <c r="J6" s="61" t="n">
        <f aca="false">IF(OR($C6="",N($G6)=0),"",IF(I6=0,$G6,0))</f>
        <v>12000</v>
      </c>
      <c r="K6" s="60" t="str">
        <f aca="false">IF($C6="","",IF(AND(OR($C6="Receipt",$C6="Payment"),$D6=""),"Party needed",IF(AND(OR($C6="Expense",$C6="Other Income"),$E6=""),"Head needed",IF($F6="","Account needed","OK"))))</f>
        <v>OK</v>
      </c>
    </row>
    <row r="7" customFormat="false" ht="15" hidden="false" customHeight="false" outlineLevel="0" collapsed="false">
      <c r="A7" s="55" t="n">
        <v>46117</v>
      </c>
      <c r="B7" s="56" t="s">
        <v>268</v>
      </c>
      <c r="C7" s="56" t="s">
        <v>264</v>
      </c>
      <c r="D7" s="56"/>
      <c r="E7" s="56" t="s">
        <v>269</v>
      </c>
      <c r="F7" s="56" t="s">
        <v>90</v>
      </c>
      <c r="G7" s="58" t="n">
        <v>5140</v>
      </c>
      <c r="H7" s="56"/>
      <c r="I7" s="61" t="n">
        <f aca="false">IF(OR($C7="",N($G7)=0),"",IF(OR($C7="Receipt",$C7="Other Income",$C7="Capital In",$C7="Transfer In"),$G7,0))</f>
        <v>0</v>
      </c>
      <c r="J7" s="61" t="n">
        <f aca="false">IF(OR($C7="",N($G7)=0),"",IF(I7=0,$G7,0))</f>
        <v>5140</v>
      </c>
      <c r="K7" s="60" t="str">
        <f aca="false">IF($C7="","",IF(AND(OR($C7="Receipt",$C7="Payment"),$D7=""),"Party needed",IF(AND(OR($C7="Expense",$C7="Other Income"),$E7=""),"Head needed",IF($F7="","Account needed","OK"))))</f>
        <v>OK</v>
      </c>
    </row>
    <row r="8" customFormat="false" ht="15" hidden="false" customHeight="false" outlineLevel="0" collapsed="false">
      <c r="A8" s="55" t="n">
        <v>46117</v>
      </c>
      <c r="B8" s="56" t="s">
        <v>270</v>
      </c>
      <c r="C8" s="56" t="s">
        <v>264</v>
      </c>
      <c r="D8" s="56"/>
      <c r="E8" s="56" t="s">
        <v>271</v>
      </c>
      <c r="F8" s="56" t="s">
        <v>103</v>
      </c>
      <c r="G8" s="58" t="n">
        <v>6328</v>
      </c>
      <c r="H8" s="56"/>
      <c r="I8" s="61" t="n">
        <f aca="false">IF(OR($C8="",N($G8)=0),"",IF(OR($C8="Receipt",$C8="Other Income",$C8="Capital In",$C8="Transfer In"),$G8,0))</f>
        <v>0</v>
      </c>
      <c r="J8" s="61" t="n">
        <f aca="false">IF(OR($C8="",N($G8)=0),"",IF(I8=0,$G8,0))</f>
        <v>6328</v>
      </c>
      <c r="K8" s="60" t="str">
        <f aca="false">IF($C8="","",IF(AND(OR($C8="Receipt",$C8="Payment"),$D8=""),"Party needed",IF(AND(OR($C8="Expense",$C8="Other Income"),$E8=""),"Head needed",IF($F8="","Account needed","OK"))))</f>
        <v>OK</v>
      </c>
    </row>
    <row r="9" customFormat="false" ht="15" hidden="false" customHeight="false" outlineLevel="0" collapsed="false">
      <c r="A9" s="55" t="n">
        <v>46117</v>
      </c>
      <c r="B9" s="56" t="s">
        <v>272</v>
      </c>
      <c r="C9" s="56" t="s">
        <v>264</v>
      </c>
      <c r="D9" s="56"/>
      <c r="E9" s="56" t="s">
        <v>273</v>
      </c>
      <c r="F9" s="56" t="s">
        <v>90</v>
      </c>
      <c r="G9" s="58" t="n">
        <v>1199</v>
      </c>
      <c r="H9" s="56"/>
      <c r="I9" s="61" t="n">
        <f aca="false">IF(OR($C9="",N($G9)=0),"",IF(OR($C9="Receipt",$C9="Other Income",$C9="Capital In",$C9="Transfer In"),$G9,0))</f>
        <v>0</v>
      </c>
      <c r="J9" s="61" t="n">
        <f aca="false">IF(OR($C9="",N($G9)=0),"",IF(I9=0,$G9,0))</f>
        <v>1199</v>
      </c>
      <c r="K9" s="60" t="str">
        <f aca="false">IF($C9="","",IF(AND(OR($C9="Receipt",$C9="Payment"),$D9=""),"Party needed",IF(AND(OR($C9="Expense",$C9="Other Income"),$E9=""),"Head needed",IF($F9="","Account needed","OK"))))</f>
        <v>OK</v>
      </c>
    </row>
    <row r="10" customFormat="false" ht="15" hidden="false" customHeight="false" outlineLevel="0" collapsed="false">
      <c r="A10" s="55" t="n">
        <v>46122</v>
      </c>
      <c r="B10" s="56" t="s">
        <v>274</v>
      </c>
      <c r="C10" s="56" t="s">
        <v>275</v>
      </c>
      <c r="D10" s="56" t="s">
        <v>72</v>
      </c>
      <c r="E10" s="56"/>
      <c r="F10" s="56" t="s">
        <v>90</v>
      </c>
      <c r="G10" s="58" t="n">
        <v>16200</v>
      </c>
      <c r="H10" s="56" t="s">
        <v>276</v>
      </c>
      <c r="I10" s="61" t="n">
        <f aca="false">IF(OR($C10="",N($G10)=0),"",IF(OR($C10="Receipt",$C10="Other Income",$C10="Capital In",$C10="Transfer In"),$G10,0))</f>
        <v>16200</v>
      </c>
      <c r="J10" s="61" t="n">
        <f aca="false">IF(OR($C10="",N($G10)=0),"",IF(I10=0,$G10,0))</f>
        <v>0</v>
      </c>
      <c r="K10" s="60" t="str">
        <f aca="false">IF($C10="","",IF(AND(OR($C10="Receipt",$C10="Payment"),$D10=""),"Party needed",IF(AND(OR($C10="Expense",$C10="Other Income"),$E10=""),"Head needed",IF($F10="","Account needed","OK"))))</f>
        <v>OK</v>
      </c>
    </row>
    <row r="11" customFormat="false" ht="15" hidden="false" customHeight="false" outlineLevel="0" collapsed="false">
      <c r="A11" s="55" t="n">
        <v>46122</v>
      </c>
      <c r="B11" s="56" t="s">
        <v>277</v>
      </c>
      <c r="C11" s="56" t="s">
        <v>275</v>
      </c>
      <c r="D11" s="56" t="s">
        <v>88</v>
      </c>
      <c r="E11" s="56"/>
      <c r="F11" s="56" t="s">
        <v>74</v>
      </c>
      <c r="G11" s="58" t="n">
        <v>5000</v>
      </c>
      <c r="H11" s="56" t="s">
        <v>276</v>
      </c>
      <c r="I11" s="61" t="n">
        <f aca="false">IF(OR($C11="",N($G11)=0),"",IF(OR($C11="Receipt",$C11="Other Income",$C11="Capital In",$C11="Transfer In"),$G11,0))</f>
        <v>5000</v>
      </c>
      <c r="J11" s="61" t="n">
        <f aca="false">IF(OR($C11="",N($G11)=0),"",IF(I11=0,$G11,0))</f>
        <v>0</v>
      </c>
      <c r="K11" s="60" t="str">
        <f aca="false">IF($C11="","",IF(AND(OR($C11="Receipt",$C11="Payment"),$D11=""),"Party needed",IF(AND(OR($C11="Expense",$C11="Other Income"),$E11=""),"Head needed",IF($F11="","Account needed","OK"))))</f>
        <v>OK</v>
      </c>
    </row>
    <row r="12" customFormat="false" ht="15" hidden="false" customHeight="false" outlineLevel="0" collapsed="false">
      <c r="A12" s="55" t="n">
        <v>46122</v>
      </c>
      <c r="B12" s="56" t="s">
        <v>278</v>
      </c>
      <c r="C12" s="56" t="s">
        <v>275</v>
      </c>
      <c r="D12" s="56" t="s">
        <v>84</v>
      </c>
      <c r="E12" s="56"/>
      <c r="F12" s="56" t="s">
        <v>74</v>
      </c>
      <c r="G12" s="58" t="n">
        <v>3700</v>
      </c>
      <c r="H12" s="56" t="s">
        <v>276</v>
      </c>
      <c r="I12" s="61" t="n">
        <f aca="false">IF(OR($C12="",N($G12)=0),"",IF(OR($C12="Receipt",$C12="Other Income",$C12="Capital In",$C12="Transfer In"),$G12,0))</f>
        <v>3700</v>
      </c>
      <c r="J12" s="61" t="n">
        <f aca="false">IF(OR($C12="",N($G12)=0),"",IF(I12=0,$G12,0))</f>
        <v>0</v>
      </c>
      <c r="K12" s="60" t="str">
        <f aca="false">IF($C12="","",IF(AND(OR($C12="Receipt",$C12="Payment"),$D12=""),"Party needed",IF(AND(OR($C12="Expense",$C12="Other Income"),$E12=""),"Head needed",IF($F12="","Account needed","OK"))))</f>
        <v>OK</v>
      </c>
    </row>
    <row r="13" customFormat="false" ht="15" hidden="false" customHeight="false" outlineLevel="0" collapsed="false">
      <c r="A13" s="55" t="n">
        <v>46122</v>
      </c>
      <c r="B13" s="56" t="s">
        <v>279</v>
      </c>
      <c r="C13" s="56" t="s">
        <v>280</v>
      </c>
      <c r="D13" s="56" t="s">
        <v>229</v>
      </c>
      <c r="E13" s="56"/>
      <c r="F13" s="56" t="s">
        <v>74</v>
      </c>
      <c r="G13" s="58" t="n">
        <v>15000</v>
      </c>
      <c r="H13" s="56" t="s">
        <v>281</v>
      </c>
      <c r="I13" s="61" t="n">
        <f aca="false">IF(OR($C13="",N($G13)=0),"",IF(OR($C13="Receipt",$C13="Other Income",$C13="Capital In",$C13="Transfer In"),$G13,0))</f>
        <v>0</v>
      </c>
      <c r="J13" s="61" t="n">
        <f aca="false">IF(OR($C13="",N($G13)=0),"",IF(I13=0,$G13,0))</f>
        <v>15000</v>
      </c>
      <c r="K13" s="60" t="str">
        <f aca="false">IF($C13="","",IF(AND(OR($C13="Receipt",$C13="Payment"),$D13=""),"Party needed",IF(AND(OR($C13="Expense",$C13="Other Income"),$E13=""),"Head needed",IF($F13="","Account needed","OK"))))</f>
        <v>OK</v>
      </c>
    </row>
    <row r="14" customFormat="false" ht="15" hidden="false" customHeight="false" outlineLevel="0" collapsed="false">
      <c r="A14" s="55" t="n">
        <v>46122</v>
      </c>
      <c r="B14" s="56" t="s">
        <v>282</v>
      </c>
      <c r="C14" s="56" t="s">
        <v>280</v>
      </c>
      <c r="D14" s="56" t="s">
        <v>226</v>
      </c>
      <c r="E14" s="56"/>
      <c r="F14" s="56" t="s">
        <v>74</v>
      </c>
      <c r="G14" s="58" t="n">
        <v>53000</v>
      </c>
      <c r="H14" s="56" t="s">
        <v>281</v>
      </c>
      <c r="I14" s="61" t="n">
        <f aca="false">IF(OR($C14="",N($G14)=0),"",IF(OR($C14="Receipt",$C14="Other Income",$C14="Capital In",$C14="Transfer In"),$G14,0))</f>
        <v>0</v>
      </c>
      <c r="J14" s="61" t="n">
        <f aca="false">IF(OR($C14="",N($G14)=0),"",IF(I14=0,$G14,0))</f>
        <v>53000</v>
      </c>
      <c r="K14" s="60" t="str">
        <f aca="false">IF($C14="","",IF(AND(OR($C14="Receipt",$C14="Payment"),$D14=""),"Party needed",IF(AND(OR($C14="Expense",$C14="Other Income"),$E14=""),"Head needed",IF($F14="","Account needed","OK"))))</f>
        <v>OK</v>
      </c>
    </row>
    <row r="15" customFormat="false" ht="15" hidden="false" customHeight="false" outlineLevel="0" collapsed="false">
      <c r="A15" s="55" t="n">
        <v>46122</v>
      </c>
      <c r="B15" s="56" t="s">
        <v>283</v>
      </c>
      <c r="C15" s="56" t="s">
        <v>280</v>
      </c>
      <c r="D15" s="56" t="s">
        <v>84</v>
      </c>
      <c r="E15" s="56"/>
      <c r="F15" s="56" t="s">
        <v>74</v>
      </c>
      <c r="G15" s="58" t="n">
        <v>16000</v>
      </c>
      <c r="H15" s="56" t="s">
        <v>281</v>
      </c>
      <c r="I15" s="61" t="n">
        <f aca="false">IF(OR($C15="",N($G15)=0),"",IF(OR($C15="Receipt",$C15="Other Income",$C15="Capital In",$C15="Transfer In"),$G15,0))</f>
        <v>0</v>
      </c>
      <c r="J15" s="61" t="n">
        <f aca="false">IF(OR($C15="",N($G15)=0),"",IF(I15=0,$G15,0))</f>
        <v>16000</v>
      </c>
      <c r="K15" s="60" t="str">
        <f aca="false">IF($C15="","",IF(AND(OR($C15="Receipt",$C15="Payment"),$D15=""),"Party needed",IF(AND(OR($C15="Expense",$C15="Other Income"),$E15=""),"Head needed",IF($F15="","Account needed","OK"))))</f>
        <v>OK</v>
      </c>
    </row>
    <row r="16" customFormat="false" ht="15" hidden="false" customHeight="false" outlineLevel="0" collapsed="false">
      <c r="A16" s="55" t="n">
        <v>46138</v>
      </c>
      <c r="B16" s="56" t="s">
        <v>284</v>
      </c>
      <c r="C16" s="56" t="s">
        <v>285</v>
      </c>
      <c r="D16" s="56"/>
      <c r="E16" s="56"/>
      <c r="F16" s="56" t="s">
        <v>103</v>
      </c>
      <c r="G16" s="58" t="n">
        <v>45000</v>
      </c>
      <c r="H16" s="56" t="s">
        <v>286</v>
      </c>
      <c r="I16" s="61" t="n">
        <f aca="false">IF(OR($C16="",N($G16)=0),"",IF(OR($C16="Receipt",$C16="Other Income",$C16="Capital In",$C16="Transfer In"),$G16,0))</f>
        <v>0</v>
      </c>
      <c r="J16" s="61" t="n">
        <f aca="false">IF(OR($C16="",N($G16)=0),"",IF(I16=0,$G16,0))</f>
        <v>45000</v>
      </c>
      <c r="K16" s="60" t="str">
        <f aca="false">IF($C16="","",IF(AND(OR($C16="Receipt",$C16="Payment"),$D16=""),"Party needed",IF(AND(OR($C16="Expense",$C16="Other Income"),$E16=""),"Head needed",IF($F16="","Account needed","OK"))))</f>
        <v>OK</v>
      </c>
    </row>
    <row r="17" customFormat="false" ht="15" hidden="false" customHeight="false" outlineLevel="0" collapsed="false">
      <c r="A17" s="55" t="n">
        <v>46138</v>
      </c>
      <c r="B17" s="56" t="s">
        <v>284</v>
      </c>
      <c r="C17" s="56" t="s">
        <v>287</v>
      </c>
      <c r="D17" s="56"/>
      <c r="E17" s="56"/>
      <c r="F17" s="56" t="s">
        <v>74</v>
      </c>
      <c r="G17" s="58" t="n">
        <v>45000</v>
      </c>
      <c r="H17" s="56" t="s">
        <v>286</v>
      </c>
      <c r="I17" s="61" t="n">
        <f aca="false">IF(OR($C17="",N($G17)=0),"",IF(OR($C17="Receipt",$C17="Other Income",$C17="Capital In",$C17="Transfer In"),$G17,0))</f>
        <v>45000</v>
      </c>
      <c r="J17" s="61" t="n">
        <f aca="false">IF(OR($C17="",N($G17)=0),"",IF(I17=0,$G17,0))</f>
        <v>0</v>
      </c>
      <c r="K17" s="60" t="str">
        <f aca="false">IF($C17="","",IF(AND(OR($C17="Receipt",$C17="Payment"),$D17=""),"Party needed",IF(AND(OR($C17="Expense",$C17="Other Income"),$E17=""),"Head needed",IF($F17="","Account needed","OK"))))</f>
        <v>OK</v>
      </c>
    </row>
    <row r="18" customFormat="false" ht="15" hidden="false" customHeight="false" outlineLevel="0" collapsed="false">
      <c r="A18" s="55" t="n">
        <v>46138</v>
      </c>
      <c r="B18" s="56" t="s">
        <v>288</v>
      </c>
      <c r="C18" s="56" t="s">
        <v>285</v>
      </c>
      <c r="D18" s="56"/>
      <c r="E18" s="56"/>
      <c r="F18" s="56" t="s">
        <v>90</v>
      </c>
      <c r="G18" s="58" t="n">
        <v>31000</v>
      </c>
      <c r="H18" s="56" t="s">
        <v>289</v>
      </c>
      <c r="I18" s="61" t="n">
        <f aca="false">IF(OR($C18="",N($G18)=0),"",IF(OR($C18="Receipt",$C18="Other Income",$C18="Capital In",$C18="Transfer In"),$G18,0))</f>
        <v>0</v>
      </c>
      <c r="J18" s="61" t="n">
        <f aca="false">IF(OR($C18="",N($G18)=0),"",IF(I18=0,$G18,0))</f>
        <v>31000</v>
      </c>
      <c r="K18" s="60" t="str">
        <f aca="false">IF($C18="","",IF(AND(OR($C18="Receipt",$C18="Payment"),$D18=""),"Party needed",IF(AND(OR($C18="Expense",$C18="Other Income"),$E18=""),"Head needed",IF($F18="","Account needed","OK"))))</f>
        <v>OK</v>
      </c>
    </row>
    <row r="19" customFormat="false" ht="15" hidden="false" customHeight="false" outlineLevel="0" collapsed="false">
      <c r="A19" s="55" t="n">
        <v>46138</v>
      </c>
      <c r="B19" s="56" t="s">
        <v>288</v>
      </c>
      <c r="C19" s="56" t="s">
        <v>287</v>
      </c>
      <c r="D19" s="56"/>
      <c r="E19" s="56"/>
      <c r="F19" s="56" t="s">
        <v>74</v>
      </c>
      <c r="G19" s="58" t="n">
        <v>31000</v>
      </c>
      <c r="H19" s="56" t="s">
        <v>289</v>
      </c>
      <c r="I19" s="61" t="n">
        <f aca="false">IF(OR($C19="",N($G19)=0),"",IF(OR($C19="Receipt",$C19="Other Income",$C19="Capital In",$C19="Transfer In"),$G19,0))</f>
        <v>31000</v>
      </c>
      <c r="J19" s="61" t="n">
        <f aca="false">IF(OR($C19="",N($G19)=0),"",IF(I19=0,$G19,0))</f>
        <v>0</v>
      </c>
      <c r="K19" s="60" t="str">
        <f aca="false">IF($C19="","",IF(AND(OR($C19="Receipt",$C19="Payment"),$D19=""),"Party needed",IF(AND(OR($C19="Expense",$C19="Other Income"),$E19=""),"Head needed",IF($F19="","Account needed","OK"))))</f>
        <v>OK</v>
      </c>
    </row>
    <row r="20" customFormat="false" ht="15" hidden="false" customHeight="false" outlineLevel="0" collapsed="false">
      <c r="A20" s="55" t="n">
        <v>46147</v>
      </c>
      <c r="B20" s="56" t="s">
        <v>290</v>
      </c>
      <c r="C20" s="56" t="s">
        <v>264</v>
      </c>
      <c r="D20" s="56"/>
      <c r="E20" s="56" t="s">
        <v>265</v>
      </c>
      <c r="F20" s="56" t="s">
        <v>74</v>
      </c>
      <c r="G20" s="58" t="n">
        <v>9000</v>
      </c>
      <c r="H20" s="56"/>
      <c r="I20" s="61" t="n">
        <f aca="false">IF(OR($C20="",N($G20)=0),"",IF(OR($C20="Receipt",$C20="Other Income",$C20="Capital In",$C20="Transfer In"),$G20,0))</f>
        <v>0</v>
      </c>
      <c r="J20" s="61" t="n">
        <f aca="false">IF(OR($C20="",N($G20)=0),"",IF(I20=0,$G20,0))</f>
        <v>9000</v>
      </c>
      <c r="K20" s="60" t="str">
        <f aca="false">IF($C20="","",IF(AND(OR($C20="Receipt",$C20="Payment"),$D20=""),"Party needed",IF(AND(OR($C20="Expense",$C20="Other Income"),$E20=""),"Head needed",IF($F20="","Account needed","OK"))))</f>
        <v>OK</v>
      </c>
    </row>
    <row r="21" customFormat="false" ht="15" hidden="false" customHeight="false" outlineLevel="0" collapsed="false">
      <c r="A21" s="55" t="n">
        <v>46147</v>
      </c>
      <c r="B21" s="56" t="s">
        <v>291</v>
      </c>
      <c r="C21" s="56" t="s">
        <v>264</v>
      </c>
      <c r="D21" s="56"/>
      <c r="E21" s="56" t="s">
        <v>267</v>
      </c>
      <c r="F21" s="56" t="s">
        <v>74</v>
      </c>
      <c r="G21" s="58" t="n">
        <v>12000</v>
      </c>
      <c r="H21" s="56"/>
      <c r="I21" s="61" t="n">
        <f aca="false">IF(OR($C21="",N($G21)=0),"",IF(OR($C21="Receipt",$C21="Other Income",$C21="Capital In",$C21="Transfer In"),$G21,0))</f>
        <v>0</v>
      </c>
      <c r="J21" s="61" t="n">
        <f aca="false">IF(OR($C21="",N($G21)=0),"",IF(I21=0,$G21,0))</f>
        <v>12000</v>
      </c>
      <c r="K21" s="60" t="str">
        <f aca="false">IF($C21="","",IF(AND(OR($C21="Receipt",$C21="Payment"),$D21=""),"Party needed",IF(AND(OR($C21="Expense",$C21="Other Income"),$E21=""),"Head needed",IF($F21="","Account needed","OK"))))</f>
        <v>OK</v>
      </c>
    </row>
    <row r="22" customFormat="false" ht="15" hidden="false" customHeight="false" outlineLevel="0" collapsed="false">
      <c r="A22" s="55" t="n">
        <v>46147</v>
      </c>
      <c r="B22" s="56" t="s">
        <v>292</v>
      </c>
      <c r="C22" s="56" t="s">
        <v>264</v>
      </c>
      <c r="D22" s="56"/>
      <c r="E22" s="56" t="s">
        <v>269</v>
      </c>
      <c r="F22" s="56" t="s">
        <v>90</v>
      </c>
      <c r="G22" s="58" t="n">
        <v>4625</v>
      </c>
      <c r="H22" s="56"/>
      <c r="I22" s="61" t="n">
        <f aca="false">IF(OR($C22="",N($G22)=0),"",IF(OR($C22="Receipt",$C22="Other Income",$C22="Capital In",$C22="Transfer In"),$G22,0))</f>
        <v>0</v>
      </c>
      <c r="J22" s="61" t="n">
        <f aca="false">IF(OR($C22="",N($G22)=0),"",IF(I22=0,$G22,0))</f>
        <v>4625</v>
      </c>
      <c r="K22" s="60" t="str">
        <f aca="false">IF($C22="","",IF(AND(OR($C22="Receipt",$C22="Payment"),$D22=""),"Party needed",IF(AND(OR($C22="Expense",$C22="Other Income"),$E22=""),"Head needed",IF($F22="","Account needed","OK"))))</f>
        <v>OK</v>
      </c>
    </row>
    <row r="23" customFormat="false" ht="15" hidden="false" customHeight="false" outlineLevel="0" collapsed="false">
      <c r="A23" s="55" t="n">
        <v>46147</v>
      </c>
      <c r="B23" s="56" t="s">
        <v>293</v>
      </c>
      <c r="C23" s="56" t="s">
        <v>264</v>
      </c>
      <c r="D23" s="56"/>
      <c r="E23" s="56" t="s">
        <v>271</v>
      </c>
      <c r="F23" s="56" t="s">
        <v>103</v>
      </c>
      <c r="G23" s="58" t="n">
        <v>6639</v>
      </c>
      <c r="H23" s="56"/>
      <c r="I23" s="61" t="n">
        <f aca="false">IF(OR($C23="",N($G23)=0),"",IF(OR($C23="Receipt",$C23="Other Income",$C23="Capital In",$C23="Transfer In"),$G23,0))</f>
        <v>0</v>
      </c>
      <c r="J23" s="61" t="n">
        <f aca="false">IF(OR($C23="",N($G23)=0),"",IF(I23=0,$G23,0))</f>
        <v>6639</v>
      </c>
      <c r="K23" s="60" t="str">
        <f aca="false">IF($C23="","",IF(AND(OR($C23="Receipt",$C23="Payment"),$D23=""),"Party needed",IF(AND(OR($C23="Expense",$C23="Other Income"),$E23=""),"Head needed",IF($F23="","Account needed","OK"))))</f>
        <v>OK</v>
      </c>
    </row>
    <row r="24" customFormat="false" ht="15" hidden="false" customHeight="false" outlineLevel="0" collapsed="false">
      <c r="A24" s="55" t="n">
        <v>46147</v>
      </c>
      <c r="B24" s="56" t="s">
        <v>294</v>
      </c>
      <c r="C24" s="56" t="s">
        <v>264</v>
      </c>
      <c r="D24" s="56"/>
      <c r="E24" s="56" t="s">
        <v>273</v>
      </c>
      <c r="F24" s="56" t="s">
        <v>90</v>
      </c>
      <c r="G24" s="58" t="n">
        <v>1199</v>
      </c>
      <c r="H24" s="56"/>
      <c r="I24" s="61" t="n">
        <f aca="false">IF(OR($C24="",N($G24)=0),"",IF(OR($C24="Receipt",$C24="Other Income",$C24="Capital In",$C24="Transfer In"),$G24,0))</f>
        <v>0</v>
      </c>
      <c r="J24" s="61" t="n">
        <f aca="false">IF(OR($C24="",N($G24)=0),"",IF(I24=0,$G24,0))</f>
        <v>1199</v>
      </c>
      <c r="K24" s="60" t="str">
        <f aca="false">IF($C24="","",IF(AND(OR($C24="Receipt",$C24="Payment"),$D24=""),"Party needed",IF(AND(OR($C24="Expense",$C24="Other Income"),$E24=""),"Head needed",IF($F24="","Account needed","OK"))))</f>
        <v>OK</v>
      </c>
    </row>
    <row r="25" customFormat="false" ht="15" hidden="false" customHeight="false" outlineLevel="0" collapsed="false">
      <c r="A25" s="55" t="n">
        <v>46152</v>
      </c>
      <c r="B25" s="56" t="s">
        <v>295</v>
      </c>
      <c r="C25" s="56" t="s">
        <v>275</v>
      </c>
      <c r="D25" s="56" t="s">
        <v>72</v>
      </c>
      <c r="E25" s="56"/>
      <c r="F25" s="56" t="s">
        <v>90</v>
      </c>
      <c r="G25" s="58" t="n">
        <v>9300</v>
      </c>
      <c r="H25" s="56" t="s">
        <v>276</v>
      </c>
      <c r="I25" s="61" t="n">
        <f aca="false">IF(OR($C25="",N($G25)=0),"",IF(OR($C25="Receipt",$C25="Other Income",$C25="Capital In",$C25="Transfer In"),$G25,0))</f>
        <v>9300</v>
      </c>
      <c r="J25" s="61" t="n">
        <f aca="false">IF(OR($C25="",N($G25)=0),"",IF(I25=0,$G25,0))</f>
        <v>0</v>
      </c>
      <c r="K25" s="60" t="str">
        <f aca="false">IF($C25="","",IF(AND(OR($C25="Receipt",$C25="Payment"),$D25=""),"Party needed",IF(AND(OR($C25="Expense",$C25="Other Income"),$E25=""),"Head needed",IF($F25="","Account needed","OK"))))</f>
        <v>OK</v>
      </c>
    </row>
    <row r="26" customFormat="false" ht="15" hidden="false" customHeight="false" outlineLevel="0" collapsed="false">
      <c r="A26" s="55" t="n">
        <v>46152</v>
      </c>
      <c r="B26" s="56" t="s">
        <v>296</v>
      </c>
      <c r="C26" s="56" t="s">
        <v>275</v>
      </c>
      <c r="D26" s="56" t="s">
        <v>77</v>
      </c>
      <c r="E26" s="56"/>
      <c r="F26" s="56" t="s">
        <v>74</v>
      </c>
      <c r="G26" s="58" t="n">
        <v>42000</v>
      </c>
      <c r="H26" s="56" t="s">
        <v>276</v>
      </c>
      <c r="I26" s="61" t="n">
        <f aca="false">IF(OR($C26="",N($G26)=0),"",IF(OR($C26="Receipt",$C26="Other Income",$C26="Capital In",$C26="Transfer In"),$G26,0))</f>
        <v>42000</v>
      </c>
      <c r="J26" s="61" t="n">
        <f aca="false">IF(OR($C26="",N($G26)=0),"",IF(I26=0,$G26,0))</f>
        <v>0</v>
      </c>
      <c r="K26" s="60" t="str">
        <f aca="false">IF($C26="","",IF(AND(OR($C26="Receipt",$C26="Payment"),$D26=""),"Party needed",IF(AND(OR($C26="Expense",$C26="Other Income"),$E26=""),"Head needed",IF($F26="","Account needed","OK"))))</f>
        <v>OK</v>
      </c>
    </row>
    <row r="27" customFormat="false" ht="15" hidden="false" customHeight="false" outlineLevel="0" collapsed="false">
      <c r="A27" s="55" t="n">
        <v>46152</v>
      </c>
      <c r="B27" s="56" t="s">
        <v>297</v>
      </c>
      <c r="C27" s="56" t="s">
        <v>275</v>
      </c>
      <c r="D27" s="56" t="s">
        <v>81</v>
      </c>
      <c r="E27" s="56"/>
      <c r="F27" s="56" t="s">
        <v>90</v>
      </c>
      <c r="G27" s="58" t="n">
        <v>5900</v>
      </c>
      <c r="H27" s="56" t="s">
        <v>276</v>
      </c>
      <c r="I27" s="61" t="n">
        <f aca="false">IF(OR($C27="",N($G27)=0),"",IF(OR($C27="Receipt",$C27="Other Income",$C27="Capital In",$C27="Transfer In"),$G27,0))</f>
        <v>5900</v>
      </c>
      <c r="J27" s="61" t="n">
        <f aca="false">IF(OR($C27="",N($G27)=0),"",IF(I27=0,$G27,0))</f>
        <v>0</v>
      </c>
      <c r="K27" s="60" t="str">
        <f aca="false">IF($C27="","",IF(AND(OR($C27="Receipt",$C27="Payment"),$D27=""),"Party needed",IF(AND(OR($C27="Expense",$C27="Other Income"),$E27=""),"Head needed",IF($F27="","Account needed","OK"))))</f>
        <v>OK</v>
      </c>
    </row>
    <row r="28" customFormat="false" ht="15" hidden="false" customHeight="false" outlineLevel="0" collapsed="false">
      <c r="A28" s="55" t="n">
        <v>46152</v>
      </c>
      <c r="B28" s="56" t="s">
        <v>298</v>
      </c>
      <c r="C28" s="56" t="s">
        <v>275</v>
      </c>
      <c r="D28" s="56" t="s">
        <v>88</v>
      </c>
      <c r="E28" s="56"/>
      <c r="F28" s="56" t="s">
        <v>74</v>
      </c>
      <c r="G28" s="58" t="n">
        <v>16300</v>
      </c>
      <c r="H28" s="56" t="s">
        <v>276</v>
      </c>
      <c r="I28" s="61" t="n">
        <f aca="false">IF(OR($C28="",N($G28)=0),"",IF(OR($C28="Receipt",$C28="Other Income",$C28="Capital In",$C28="Transfer In"),$G28,0))</f>
        <v>16300</v>
      </c>
      <c r="J28" s="61" t="n">
        <f aca="false">IF(OR($C28="",N($G28)=0),"",IF(I28=0,$G28,0))</f>
        <v>0</v>
      </c>
      <c r="K28" s="60" t="str">
        <f aca="false">IF($C28="","",IF(AND(OR($C28="Receipt",$C28="Payment"),$D28=""),"Party needed",IF(AND(OR($C28="Expense",$C28="Other Income"),$E28=""),"Head needed",IF($F28="","Account needed","OK"))))</f>
        <v>OK</v>
      </c>
    </row>
    <row r="29" customFormat="false" ht="15" hidden="false" customHeight="false" outlineLevel="0" collapsed="false">
      <c r="A29" s="55" t="n">
        <v>46152</v>
      </c>
      <c r="B29" s="56" t="s">
        <v>299</v>
      </c>
      <c r="C29" s="56" t="s">
        <v>275</v>
      </c>
      <c r="D29" s="56" t="s">
        <v>84</v>
      </c>
      <c r="E29" s="56"/>
      <c r="F29" s="56" t="s">
        <v>90</v>
      </c>
      <c r="G29" s="58" t="n">
        <v>10600</v>
      </c>
      <c r="H29" s="56" t="s">
        <v>276</v>
      </c>
      <c r="I29" s="61" t="n">
        <f aca="false">IF(OR($C29="",N($G29)=0),"",IF(OR($C29="Receipt",$C29="Other Income",$C29="Capital In",$C29="Transfer In"),$G29,0))</f>
        <v>10600</v>
      </c>
      <c r="J29" s="61" t="n">
        <f aca="false">IF(OR($C29="",N($G29)=0),"",IF(I29=0,$G29,0))</f>
        <v>0</v>
      </c>
      <c r="K29" s="60" t="str">
        <f aca="false">IF($C29="","",IF(AND(OR($C29="Receipt",$C29="Payment"),$D29=""),"Party needed",IF(AND(OR($C29="Expense",$C29="Other Income"),$E29=""),"Head needed",IF($F29="","Account needed","OK"))))</f>
        <v>OK</v>
      </c>
    </row>
    <row r="30" customFormat="false" ht="15" hidden="false" customHeight="false" outlineLevel="0" collapsed="false">
      <c r="A30" s="55" t="n">
        <v>46152</v>
      </c>
      <c r="B30" s="56" t="s">
        <v>300</v>
      </c>
      <c r="C30" s="56" t="s">
        <v>280</v>
      </c>
      <c r="D30" s="56" t="s">
        <v>229</v>
      </c>
      <c r="E30" s="56"/>
      <c r="F30" s="56" t="s">
        <v>74</v>
      </c>
      <c r="G30" s="58" t="n">
        <v>141000</v>
      </c>
      <c r="H30" s="56" t="s">
        <v>281</v>
      </c>
      <c r="I30" s="61" t="n">
        <f aca="false">IF(OR($C30="",N($G30)=0),"",IF(OR($C30="Receipt",$C30="Other Income",$C30="Capital In",$C30="Transfer In"),$G30,0))</f>
        <v>0</v>
      </c>
      <c r="J30" s="61" t="n">
        <f aca="false">IF(OR($C30="",N($G30)=0),"",IF(I30=0,$G30,0))</f>
        <v>141000</v>
      </c>
      <c r="K30" s="60" t="str">
        <f aca="false">IF($C30="","",IF(AND(OR($C30="Receipt",$C30="Payment"),$D30=""),"Party needed",IF(AND(OR($C30="Expense",$C30="Other Income"),$E30=""),"Head needed",IF($F30="","Account needed","OK"))))</f>
        <v>OK</v>
      </c>
    </row>
    <row r="31" customFormat="false" ht="15" hidden="false" customHeight="false" outlineLevel="0" collapsed="false">
      <c r="A31" s="55" t="n">
        <v>46152</v>
      </c>
      <c r="B31" s="56" t="s">
        <v>301</v>
      </c>
      <c r="C31" s="56" t="s">
        <v>280</v>
      </c>
      <c r="D31" s="56" t="s">
        <v>226</v>
      </c>
      <c r="E31" s="56"/>
      <c r="F31" s="56" t="s">
        <v>74</v>
      </c>
      <c r="G31" s="58" t="n">
        <v>40000</v>
      </c>
      <c r="H31" s="56" t="s">
        <v>281</v>
      </c>
      <c r="I31" s="61" t="n">
        <f aca="false">IF(OR($C31="",N($G31)=0),"",IF(OR($C31="Receipt",$C31="Other Income",$C31="Capital In",$C31="Transfer In"),$G31,0))</f>
        <v>0</v>
      </c>
      <c r="J31" s="61" t="n">
        <f aca="false">IF(OR($C31="",N($G31)=0),"",IF(I31=0,$G31,0))</f>
        <v>40000</v>
      </c>
      <c r="K31" s="60" t="str">
        <f aca="false">IF($C31="","",IF(AND(OR($C31="Receipt",$C31="Payment"),$D31=""),"Party needed",IF(AND(OR($C31="Expense",$C31="Other Income"),$E31=""),"Head needed",IF($F31="","Account needed","OK"))))</f>
        <v>OK</v>
      </c>
    </row>
    <row r="32" customFormat="false" ht="15" hidden="false" customHeight="false" outlineLevel="0" collapsed="false">
      <c r="A32" s="55" t="n">
        <v>46152</v>
      </c>
      <c r="B32" s="56" t="s">
        <v>302</v>
      </c>
      <c r="C32" s="56" t="s">
        <v>280</v>
      </c>
      <c r="D32" s="56" t="s">
        <v>84</v>
      </c>
      <c r="E32" s="56"/>
      <c r="F32" s="56" t="s">
        <v>74</v>
      </c>
      <c r="G32" s="58" t="n">
        <v>33000</v>
      </c>
      <c r="H32" s="56" t="s">
        <v>281</v>
      </c>
      <c r="I32" s="61" t="n">
        <f aca="false">IF(OR($C32="",N($G32)=0),"",IF(OR($C32="Receipt",$C32="Other Income",$C32="Capital In",$C32="Transfer In"),$G32,0))</f>
        <v>0</v>
      </c>
      <c r="J32" s="61" t="n">
        <f aca="false">IF(OR($C32="",N($G32)=0),"",IF(I32=0,$G32,0))</f>
        <v>33000</v>
      </c>
      <c r="K32" s="60" t="str">
        <f aca="false">IF($C32="","",IF(AND(OR($C32="Receipt",$C32="Payment"),$D32=""),"Party needed",IF(AND(OR($C32="Expense",$C32="Other Income"),$E32=""),"Head needed",IF($F32="","Account needed","OK"))))</f>
        <v>OK</v>
      </c>
    </row>
    <row r="33" customFormat="false" ht="15" hidden="false" customHeight="false" outlineLevel="0" collapsed="false">
      <c r="A33" s="55" t="n">
        <v>46152</v>
      </c>
      <c r="B33" s="56" t="s">
        <v>303</v>
      </c>
      <c r="C33" s="56" t="s">
        <v>280</v>
      </c>
      <c r="D33" s="56" t="s">
        <v>233</v>
      </c>
      <c r="E33" s="56"/>
      <c r="F33" s="56" t="s">
        <v>74</v>
      </c>
      <c r="G33" s="58" t="n">
        <v>51000</v>
      </c>
      <c r="H33" s="56" t="s">
        <v>281</v>
      </c>
      <c r="I33" s="61" t="n">
        <f aca="false">IF(OR($C33="",N($G33)=0),"",IF(OR($C33="Receipt",$C33="Other Income",$C33="Capital In",$C33="Transfer In"),$G33,0))</f>
        <v>0</v>
      </c>
      <c r="J33" s="61" t="n">
        <f aca="false">IF(OR($C33="",N($G33)=0),"",IF(I33=0,$G33,0))</f>
        <v>51000</v>
      </c>
      <c r="K33" s="60" t="str">
        <f aca="false">IF($C33="","",IF(AND(OR($C33="Receipt",$C33="Payment"),$D33=""),"Party needed",IF(AND(OR($C33="Expense",$C33="Other Income"),$E33=""),"Head needed",IF($F33="","Account needed","OK"))))</f>
        <v>OK</v>
      </c>
    </row>
    <row r="34" customFormat="false" ht="15" hidden="false" customHeight="false" outlineLevel="0" collapsed="false">
      <c r="A34" s="55" t="n">
        <v>46168</v>
      </c>
      <c r="B34" s="56" t="s">
        <v>304</v>
      </c>
      <c r="C34" s="56" t="s">
        <v>285</v>
      </c>
      <c r="D34" s="56"/>
      <c r="E34" s="56"/>
      <c r="F34" s="56" t="s">
        <v>103</v>
      </c>
      <c r="G34" s="58" t="n">
        <v>71000</v>
      </c>
      <c r="H34" s="56" t="s">
        <v>286</v>
      </c>
      <c r="I34" s="61" t="n">
        <f aca="false">IF(OR($C34="",N($G34)=0),"",IF(OR($C34="Receipt",$C34="Other Income",$C34="Capital In",$C34="Transfer In"),$G34,0))</f>
        <v>0</v>
      </c>
      <c r="J34" s="61" t="n">
        <f aca="false">IF(OR($C34="",N($G34)=0),"",IF(I34=0,$G34,0))</f>
        <v>71000</v>
      </c>
      <c r="K34" s="60" t="str">
        <f aca="false">IF($C34="","",IF(AND(OR($C34="Receipt",$C34="Payment"),$D34=""),"Party needed",IF(AND(OR($C34="Expense",$C34="Other Income"),$E34=""),"Head needed",IF($F34="","Account needed","OK"))))</f>
        <v>OK</v>
      </c>
    </row>
    <row r="35" customFormat="false" ht="15" hidden="false" customHeight="false" outlineLevel="0" collapsed="false">
      <c r="A35" s="55" t="n">
        <v>46168</v>
      </c>
      <c r="B35" s="56" t="s">
        <v>304</v>
      </c>
      <c r="C35" s="56" t="s">
        <v>287</v>
      </c>
      <c r="D35" s="56"/>
      <c r="E35" s="56"/>
      <c r="F35" s="56" t="s">
        <v>74</v>
      </c>
      <c r="G35" s="58" t="n">
        <v>71000</v>
      </c>
      <c r="H35" s="56" t="s">
        <v>286</v>
      </c>
      <c r="I35" s="61" t="n">
        <f aca="false">IF(OR($C35="",N($G35)=0),"",IF(OR($C35="Receipt",$C35="Other Income",$C35="Capital In",$C35="Transfer In"),$G35,0))</f>
        <v>71000</v>
      </c>
      <c r="J35" s="61" t="n">
        <f aca="false">IF(OR($C35="",N($G35)=0),"",IF(I35=0,$G35,0))</f>
        <v>0</v>
      </c>
      <c r="K35" s="60" t="str">
        <f aca="false">IF($C35="","",IF(AND(OR($C35="Receipt",$C35="Payment"),$D35=""),"Party needed",IF(AND(OR($C35="Expense",$C35="Other Income"),$E35=""),"Head needed",IF($F35="","Account needed","OK"))))</f>
        <v>OK</v>
      </c>
    </row>
    <row r="36" customFormat="false" ht="15" hidden="false" customHeight="false" outlineLevel="0" collapsed="false">
      <c r="A36" s="55" t="n">
        <v>46168</v>
      </c>
      <c r="B36" s="56" t="s">
        <v>305</v>
      </c>
      <c r="C36" s="56" t="s">
        <v>285</v>
      </c>
      <c r="D36" s="56"/>
      <c r="E36" s="56"/>
      <c r="F36" s="56" t="s">
        <v>90</v>
      </c>
      <c r="G36" s="58" t="n">
        <v>49000</v>
      </c>
      <c r="H36" s="56" t="s">
        <v>289</v>
      </c>
      <c r="I36" s="61" t="n">
        <f aca="false">IF(OR($C36="",N($G36)=0),"",IF(OR($C36="Receipt",$C36="Other Income",$C36="Capital In",$C36="Transfer In"),$G36,0))</f>
        <v>0</v>
      </c>
      <c r="J36" s="61" t="n">
        <f aca="false">IF(OR($C36="",N($G36)=0),"",IF(I36=0,$G36,0))</f>
        <v>49000</v>
      </c>
      <c r="K36" s="60" t="str">
        <f aca="false">IF($C36="","",IF(AND(OR($C36="Receipt",$C36="Payment"),$D36=""),"Party needed",IF(AND(OR($C36="Expense",$C36="Other Income"),$E36=""),"Head needed",IF($F36="","Account needed","OK"))))</f>
        <v>OK</v>
      </c>
    </row>
    <row r="37" customFormat="false" ht="15" hidden="false" customHeight="false" outlineLevel="0" collapsed="false">
      <c r="A37" s="55" t="n">
        <v>46168</v>
      </c>
      <c r="B37" s="56" t="s">
        <v>305</v>
      </c>
      <c r="C37" s="56" t="s">
        <v>287</v>
      </c>
      <c r="D37" s="56"/>
      <c r="E37" s="56"/>
      <c r="F37" s="56" t="s">
        <v>74</v>
      </c>
      <c r="G37" s="58" t="n">
        <v>49000</v>
      </c>
      <c r="H37" s="56" t="s">
        <v>289</v>
      </c>
      <c r="I37" s="61" t="n">
        <f aca="false">IF(OR($C37="",N($G37)=0),"",IF(OR($C37="Receipt",$C37="Other Income",$C37="Capital In",$C37="Transfer In"),$G37,0))</f>
        <v>49000</v>
      </c>
      <c r="J37" s="61" t="n">
        <f aca="false">IF(OR($C37="",N($G37)=0),"",IF(I37=0,$G37,0))</f>
        <v>0</v>
      </c>
      <c r="K37" s="60" t="str">
        <f aca="false">IF($C37="","",IF(AND(OR($C37="Receipt",$C37="Payment"),$D37=""),"Party needed",IF(AND(OR($C37="Expense",$C37="Other Income"),$E37=""),"Head needed",IF($F37="","Account needed","OK"))))</f>
        <v>OK</v>
      </c>
    </row>
    <row r="38" customFormat="false" ht="15" hidden="false" customHeight="false" outlineLevel="0" collapsed="false">
      <c r="A38" s="55" t="n">
        <v>46178</v>
      </c>
      <c r="B38" s="56" t="s">
        <v>306</v>
      </c>
      <c r="C38" s="56" t="s">
        <v>264</v>
      </c>
      <c r="D38" s="56"/>
      <c r="E38" s="56" t="s">
        <v>265</v>
      </c>
      <c r="F38" s="56" t="s">
        <v>74</v>
      </c>
      <c r="G38" s="58" t="n">
        <v>9000</v>
      </c>
      <c r="H38" s="56"/>
      <c r="I38" s="61" t="n">
        <f aca="false">IF(OR($C38="",N($G38)=0),"",IF(OR($C38="Receipt",$C38="Other Income",$C38="Capital In",$C38="Transfer In"),$G38,0))</f>
        <v>0</v>
      </c>
      <c r="J38" s="61" t="n">
        <f aca="false">IF(OR($C38="",N($G38)=0),"",IF(I38=0,$G38,0))</f>
        <v>9000</v>
      </c>
      <c r="K38" s="60" t="str">
        <f aca="false">IF($C38="","",IF(AND(OR($C38="Receipt",$C38="Payment"),$D38=""),"Party needed",IF(AND(OR($C38="Expense",$C38="Other Income"),$E38=""),"Head needed",IF($F38="","Account needed","OK"))))</f>
        <v>OK</v>
      </c>
    </row>
    <row r="39" customFormat="false" ht="15" hidden="false" customHeight="false" outlineLevel="0" collapsed="false">
      <c r="A39" s="55" t="n">
        <v>46178</v>
      </c>
      <c r="B39" s="56" t="s">
        <v>307</v>
      </c>
      <c r="C39" s="56" t="s">
        <v>264</v>
      </c>
      <c r="D39" s="56"/>
      <c r="E39" s="56" t="s">
        <v>267</v>
      </c>
      <c r="F39" s="56" t="s">
        <v>74</v>
      </c>
      <c r="G39" s="58" t="n">
        <v>12000</v>
      </c>
      <c r="H39" s="56"/>
      <c r="I39" s="61" t="n">
        <f aca="false">IF(OR($C39="",N($G39)=0),"",IF(OR($C39="Receipt",$C39="Other Income",$C39="Capital In",$C39="Transfer In"),$G39,0))</f>
        <v>0</v>
      </c>
      <c r="J39" s="61" t="n">
        <f aca="false">IF(OR($C39="",N($G39)=0),"",IF(I39=0,$G39,0))</f>
        <v>12000</v>
      </c>
      <c r="K39" s="60" t="str">
        <f aca="false">IF($C39="","",IF(AND(OR($C39="Receipt",$C39="Payment"),$D39=""),"Party needed",IF(AND(OR($C39="Expense",$C39="Other Income"),$E39=""),"Head needed",IF($F39="","Account needed","OK"))))</f>
        <v>OK</v>
      </c>
    </row>
    <row r="40" customFormat="false" ht="15" hidden="false" customHeight="false" outlineLevel="0" collapsed="false">
      <c r="A40" s="55" t="n">
        <v>46178</v>
      </c>
      <c r="B40" s="56" t="s">
        <v>308</v>
      </c>
      <c r="C40" s="56" t="s">
        <v>264</v>
      </c>
      <c r="D40" s="56"/>
      <c r="E40" s="56" t="s">
        <v>269</v>
      </c>
      <c r="F40" s="56" t="s">
        <v>90</v>
      </c>
      <c r="G40" s="58" t="n">
        <v>3733</v>
      </c>
      <c r="H40" s="56"/>
      <c r="I40" s="61" t="n">
        <f aca="false">IF(OR($C40="",N($G40)=0),"",IF(OR($C40="Receipt",$C40="Other Income",$C40="Capital In",$C40="Transfer In"),$G40,0))</f>
        <v>0</v>
      </c>
      <c r="J40" s="61" t="n">
        <f aca="false">IF(OR($C40="",N($G40)=0),"",IF(I40=0,$G40,0))</f>
        <v>3733</v>
      </c>
      <c r="K40" s="60" t="str">
        <f aca="false">IF($C40="","",IF(AND(OR($C40="Receipt",$C40="Payment"),$D40=""),"Party needed",IF(AND(OR($C40="Expense",$C40="Other Income"),$E40=""),"Head needed",IF($F40="","Account needed","OK"))))</f>
        <v>OK</v>
      </c>
    </row>
    <row r="41" customFormat="false" ht="15" hidden="false" customHeight="false" outlineLevel="0" collapsed="false">
      <c r="A41" s="55" t="n">
        <v>46178</v>
      </c>
      <c r="B41" s="56" t="s">
        <v>309</v>
      </c>
      <c r="C41" s="56" t="s">
        <v>264</v>
      </c>
      <c r="D41" s="56"/>
      <c r="E41" s="56" t="s">
        <v>271</v>
      </c>
      <c r="F41" s="56" t="s">
        <v>103</v>
      </c>
      <c r="G41" s="58" t="n">
        <v>5186</v>
      </c>
      <c r="H41" s="56"/>
      <c r="I41" s="61" t="n">
        <f aca="false">IF(OR($C41="",N($G41)=0),"",IF(OR($C41="Receipt",$C41="Other Income",$C41="Capital In",$C41="Transfer In"),$G41,0))</f>
        <v>0</v>
      </c>
      <c r="J41" s="61" t="n">
        <f aca="false">IF(OR($C41="",N($G41)=0),"",IF(I41=0,$G41,0))</f>
        <v>5186</v>
      </c>
      <c r="K41" s="60" t="str">
        <f aca="false">IF($C41="","",IF(AND(OR($C41="Receipt",$C41="Payment"),$D41=""),"Party needed",IF(AND(OR($C41="Expense",$C41="Other Income"),$E41=""),"Head needed",IF($F41="","Account needed","OK"))))</f>
        <v>OK</v>
      </c>
    </row>
    <row r="42" customFormat="false" ht="15" hidden="false" customHeight="false" outlineLevel="0" collapsed="false">
      <c r="A42" s="55" t="n">
        <v>46178</v>
      </c>
      <c r="B42" s="56" t="s">
        <v>310</v>
      </c>
      <c r="C42" s="56" t="s">
        <v>264</v>
      </c>
      <c r="D42" s="56"/>
      <c r="E42" s="56" t="s">
        <v>273</v>
      </c>
      <c r="F42" s="56" t="s">
        <v>90</v>
      </c>
      <c r="G42" s="58" t="n">
        <v>1199</v>
      </c>
      <c r="H42" s="56"/>
      <c r="I42" s="61" t="n">
        <f aca="false">IF(OR($C42="",N($G42)=0),"",IF(OR($C42="Receipt",$C42="Other Income",$C42="Capital In",$C42="Transfer In"),$G42,0))</f>
        <v>0</v>
      </c>
      <c r="J42" s="61" t="n">
        <f aca="false">IF(OR($C42="",N($G42)=0),"",IF(I42=0,$G42,0))</f>
        <v>1199</v>
      </c>
      <c r="K42" s="60" t="str">
        <f aca="false">IF($C42="","",IF(AND(OR($C42="Receipt",$C42="Payment"),$D42=""),"Party needed",IF(AND(OR($C42="Expense",$C42="Other Income"),$E42=""),"Head needed",IF($F42="","Account needed","OK"))))</f>
        <v>OK</v>
      </c>
    </row>
    <row r="43" customFormat="false" ht="15" hidden="false" customHeight="false" outlineLevel="0" collapsed="false">
      <c r="A43" s="55" t="n">
        <v>46183</v>
      </c>
      <c r="B43" s="56" t="s">
        <v>311</v>
      </c>
      <c r="C43" s="56" t="s">
        <v>275</v>
      </c>
      <c r="D43" s="56" t="s">
        <v>72</v>
      </c>
      <c r="E43" s="56"/>
      <c r="F43" s="56" t="s">
        <v>74</v>
      </c>
      <c r="G43" s="58" t="n">
        <v>22400</v>
      </c>
      <c r="H43" s="56" t="s">
        <v>276</v>
      </c>
      <c r="I43" s="61" t="n">
        <f aca="false">IF(OR($C43="",N($G43)=0),"",IF(OR($C43="Receipt",$C43="Other Income",$C43="Capital In",$C43="Transfer In"),$G43,0))</f>
        <v>22400</v>
      </c>
      <c r="J43" s="61" t="n">
        <f aca="false">IF(OR($C43="",N($G43)=0),"",IF(I43=0,$G43,0))</f>
        <v>0</v>
      </c>
      <c r="K43" s="60" t="str">
        <f aca="false">IF($C43="","",IF(AND(OR($C43="Receipt",$C43="Payment"),$D43=""),"Party needed",IF(AND(OR($C43="Expense",$C43="Other Income"),$E43=""),"Head needed",IF($F43="","Account needed","OK"))))</f>
        <v>OK</v>
      </c>
    </row>
    <row r="44" customFormat="false" ht="15" hidden="false" customHeight="false" outlineLevel="0" collapsed="false">
      <c r="A44" s="55" t="n">
        <v>46183</v>
      </c>
      <c r="B44" s="56" t="s">
        <v>312</v>
      </c>
      <c r="C44" s="56" t="s">
        <v>275</v>
      </c>
      <c r="D44" s="56" t="s">
        <v>77</v>
      </c>
      <c r="E44" s="56"/>
      <c r="F44" s="56" t="s">
        <v>74</v>
      </c>
      <c r="G44" s="58" t="n">
        <v>20600</v>
      </c>
      <c r="H44" s="56" t="s">
        <v>276</v>
      </c>
      <c r="I44" s="61" t="n">
        <f aca="false">IF(OR($C44="",N($G44)=0),"",IF(OR($C44="Receipt",$C44="Other Income",$C44="Capital In",$C44="Transfer In"),$G44,0))</f>
        <v>20600</v>
      </c>
      <c r="J44" s="61" t="n">
        <f aca="false">IF(OR($C44="",N($G44)=0),"",IF(I44=0,$G44,0))</f>
        <v>0</v>
      </c>
      <c r="K44" s="60" t="str">
        <f aca="false">IF($C44="","",IF(AND(OR($C44="Receipt",$C44="Payment"),$D44=""),"Party needed",IF(AND(OR($C44="Expense",$C44="Other Income"),$E44=""),"Head needed",IF($F44="","Account needed","OK"))))</f>
        <v>OK</v>
      </c>
    </row>
    <row r="45" customFormat="false" ht="15" hidden="false" customHeight="false" outlineLevel="0" collapsed="false">
      <c r="A45" s="55" t="n">
        <v>46183</v>
      </c>
      <c r="B45" s="56" t="s">
        <v>313</v>
      </c>
      <c r="C45" s="56" t="s">
        <v>275</v>
      </c>
      <c r="D45" s="56" t="s">
        <v>81</v>
      </c>
      <c r="E45" s="56"/>
      <c r="F45" s="56" t="s">
        <v>74</v>
      </c>
      <c r="G45" s="58" t="n">
        <v>10600</v>
      </c>
      <c r="H45" s="56" t="s">
        <v>276</v>
      </c>
      <c r="I45" s="61" t="n">
        <f aca="false">IF(OR($C45="",N($G45)=0),"",IF(OR($C45="Receipt",$C45="Other Income",$C45="Capital In",$C45="Transfer In"),$G45,0))</f>
        <v>10600</v>
      </c>
      <c r="J45" s="61" t="n">
        <f aca="false">IF(OR($C45="",N($G45)=0),"",IF(I45=0,$G45,0))</f>
        <v>0</v>
      </c>
      <c r="K45" s="60" t="str">
        <f aca="false">IF($C45="","",IF(AND(OR($C45="Receipt",$C45="Payment"),$D45=""),"Party needed",IF(AND(OR($C45="Expense",$C45="Other Income"),$E45=""),"Head needed",IF($F45="","Account needed","OK"))))</f>
        <v>OK</v>
      </c>
    </row>
    <row r="46" customFormat="false" ht="15" hidden="false" customHeight="false" outlineLevel="0" collapsed="false">
      <c r="A46" s="55" t="n">
        <v>46183</v>
      </c>
      <c r="B46" s="56" t="s">
        <v>314</v>
      </c>
      <c r="C46" s="56" t="s">
        <v>275</v>
      </c>
      <c r="D46" s="56" t="s">
        <v>88</v>
      </c>
      <c r="E46" s="56"/>
      <c r="F46" s="56" t="s">
        <v>74</v>
      </c>
      <c r="G46" s="58" t="n">
        <v>16800</v>
      </c>
      <c r="H46" s="56" t="s">
        <v>276</v>
      </c>
      <c r="I46" s="61" t="n">
        <f aca="false">IF(OR($C46="",N($G46)=0),"",IF(OR($C46="Receipt",$C46="Other Income",$C46="Capital In",$C46="Transfer In"),$G46,0))</f>
        <v>16800</v>
      </c>
      <c r="J46" s="61" t="n">
        <f aca="false">IF(OR($C46="",N($G46)=0),"",IF(I46=0,$G46,0))</f>
        <v>0</v>
      </c>
      <c r="K46" s="60" t="str">
        <f aca="false">IF($C46="","",IF(AND(OR($C46="Receipt",$C46="Payment"),$D46=""),"Party needed",IF(AND(OR($C46="Expense",$C46="Other Income"),$E46=""),"Head needed",IF($F46="","Account needed","OK"))))</f>
        <v>OK</v>
      </c>
    </row>
    <row r="47" customFormat="false" ht="15" hidden="false" customHeight="false" outlineLevel="0" collapsed="false">
      <c r="A47" s="55" t="n">
        <v>46183</v>
      </c>
      <c r="B47" s="56" t="s">
        <v>315</v>
      </c>
      <c r="C47" s="56" t="s">
        <v>275</v>
      </c>
      <c r="D47" s="56" t="s">
        <v>84</v>
      </c>
      <c r="E47" s="56"/>
      <c r="F47" s="56" t="s">
        <v>74</v>
      </c>
      <c r="G47" s="58" t="n">
        <v>12800</v>
      </c>
      <c r="H47" s="56" t="s">
        <v>276</v>
      </c>
      <c r="I47" s="61" t="n">
        <f aca="false">IF(OR($C47="",N($G47)=0),"",IF(OR($C47="Receipt",$C47="Other Income",$C47="Capital In",$C47="Transfer In"),$G47,0))</f>
        <v>12800</v>
      </c>
      <c r="J47" s="61" t="n">
        <f aca="false">IF(OR($C47="",N($G47)=0),"",IF(I47=0,$G47,0))</f>
        <v>0</v>
      </c>
      <c r="K47" s="60" t="str">
        <f aca="false">IF($C47="","",IF(AND(OR($C47="Receipt",$C47="Payment"),$D47=""),"Party needed",IF(AND(OR($C47="Expense",$C47="Other Income"),$E47=""),"Head needed",IF($F47="","Account needed","OK"))))</f>
        <v>OK</v>
      </c>
    </row>
    <row r="48" customFormat="false" ht="15" hidden="false" customHeight="false" outlineLevel="0" collapsed="false">
      <c r="A48" s="55" t="n">
        <v>46183</v>
      </c>
      <c r="B48" s="56" t="s">
        <v>316</v>
      </c>
      <c r="C48" s="56" t="s">
        <v>280</v>
      </c>
      <c r="D48" s="56" t="s">
        <v>229</v>
      </c>
      <c r="E48" s="56"/>
      <c r="F48" s="56" t="s">
        <v>74</v>
      </c>
      <c r="G48" s="58" t="n">
        <v>66000</v>
      </c>
      <c r="H48" s="56" t="s">
        <v>281</v>
      </c>
      <c r="I48" s="61" t="n">
        <f aca="false">IF(OR($C48="",N($G48)=0),"",IF(OR($C48="Receipt",$C48="Other Income",$C48="Capital In",$C48="Transfer In"),$G48,0))</f>
        <v>0</v>
      </c>
      <c r="J48" s="61" t="n">
        <f aca="false">IF(OR($C48="",N($G48)=0),"",IF(I48=0,$G48,0))</f>
        <v>66000</v>
      </c>
      <c r="K48" s="60" t="str">
        <f aca="false">IF($C48="","",IF(AND(OR($C48="Receipt",$C48="Payment"),$D48=""),"Party needed",IF(AND(OR($C48="Expense",$C48="Other Income"),$E48=""),"Head needed",IF($F48="","Account needed","OK"))))</f>
        <v>OK</v>
      </c>
    </row>
    <row r="49" customFormat="false" ht="15" hidden="false" customHeight="false" outlineLevel="0" collapsed="false">
      <c r="A49" s="55" t="n">
        <v>46183</v>
      </c>
      <c r="B49" s="56" t="s">
        <v>317</v>
      </c>
      <c r="C49" s="56" t="s">
        <v>280</v>
      </c>
      <c r="D49" s="56" t="s">
        <v>226</v>
      </c>
      <c r="E49" s="56"/>
      <c r="F49" s="56" t="s">
        <v>74</v>
      </c>
      <c r="G49" s="58" t="n">
        <v>61000</v>
      </c>
      <c r="H49" s="56" t="s">
        <v>281</v>
      </c>
      <c r="I49" s="61" t="n">
        <f aca="false">IF(OR($C49="",N($G49)=0),"",IF(OR($C49="Receipt",$C49="Other Income",$C49="Capital In",$C49="Transfer In"),$G49,0))</f>
        <v>0</v>
      </c>
      <c r="J49" s="61" t="n">
        <f aca="false">IF(OR($C49="",N($G49)=0),"",IF(I49=0,$G49,0))</f>
        <v>61000</v>
      </c>
      <c r="K49" s="60" t="str">
        <f aca="false">IF($C49="","",IF(AND(OR($C49="Receipt",$C49="Payment"),$D49=""),"Party needed",IF(AND(OR($C49="Expense",$C49="Other Income"),$E49=""),"Head needed",IF($F49="","Account needed","OK"))))</f>
        <v>OK</v>
      </c>
    </row>
    <row r="50" customFormat="false" ht="15" hidden="false" customHeight="false" outlineLevel="0" collapsed="false">
      <c r="A50" s="55" t="n">
        <v>46183</v>
      </c>
      <c r="B50" s="56" t="s">
        <v>318</v>
      </c>
      <c r="C50" s="56" t="s">
        <v>280</v>
      </c>
      <c r="D50" s="56" t="s">
        <v>84</v>
      </c>
      <c r="E50" s="56"/>
      <c r="F50" s="56" t="s">
        <v>74</v>
      </c>
      <c r="G50" s="58" t="n">
        <v>10000</v>
      </c>
      <c r="H50" s="56" t="s">
        <v>281</v>
      </c>
      <c r="I50" s="61" t="n">
        <f aca="false">IF(OR($C50="",N($G50)=0),"",IF(OR($C50="Receipt",$C50="Other Income",$C50="Capital In",$C50="Transfer In"),$G50,0))</f>
        <v>0</v>
      </c>
      <c r="J50" s="61" t="n">
        <f aca="false">IF(OR($C50="",N($G50)=0),"",IF(I50=0,$G50,0))</f>
        <v>10000</v>
      </c>
      <c r="K50" s="60" t="str">
        <f aca="false">IF($C50="","",IF(AND(OR($C50="Receipt",$C50="Payment"),$D50=""),"Party needed",IF(AND(OR($C50="Expense",$C50="Other Income"),$E50=""),"Head needed",IF($F50="","Account needed","OK"))))</f>
        <v>OK</v>
      </c>
    </row>
    <row r="51" customFormat="false" ht="15" hidden="false" customHeight="false" outlineLevel="0" collapsed="false">
      <c r="A51" s="55" t="n">
        <v>46183</v>
      </c>
      <c r="B51" s="56" t="s">
        <v>319</v>
      </c>
      <c r="C51" s="56" t="s">
        <v>280</v>
      </c>
      <c r="D51" s="56" t="s">
        <v>233</v>
      </c>
      <c r="E51" s="56"/>
      <c r="F51" s="56" t="s">
        <v>74</v>
      </c>
      <c r="G51" s="58" t="n">
        <v>45000</v>
      </c>
      <c r="H51" s="56" t="s">
        <v>281</v>
      </c>
      <c r="I51" s="61" t="n">
        <f aca="false">IF(OR($C51="",N($G51)=0),"",IF(OR($C51="Receipt",$C51="Other Income",$C51="Capital In",$C51="Transfer In"),$G51,0))</f>
        <v>0</v>
      </c>
      <c r="J51" s="61" t="n">
        <f aca="false">IF(OR($C51="",N($G51)=0),"",IF(I51=0,$G51,0))</f>
        <v>45000</v>
      </c>
      <c r="K51" s="60" t="str">
        <f aca="false">IF($C51="","",IF(AND(OR($C51="Receipt",$C51="Payment"),$D51=""),"Party needed",IF(AND(OR($C51="Expense",$C51="Other Income"),$E51=""),"Head needed",IF($F51="","Account needed","OK"))))</f>
        <v>OK</v>
      </c>
    </row>
    <row r="52" customFormat="false" ht="15" hidden="false" customHeight="false" outlineLevel="0" collapsed="false">
      <c r="A52" s="55" t="n">
        <v>46199</v>
      </c>
      <c r="B52" s="56" t="s">
        <v>320</v>
      </c>
      <c r="C52" s="56" t="s">
        <v>285</v>
      </c>
      <c r="D52" s="56"/>
      <c r="E52" s="56"/>
      <c r="F52" s="56" t="s">
        <v>103</v>
      </c>
      <c r="G52" s="58" t="n">
        <v>69000</v>
      </c>
      <c r="H52" s="56" t="s">
        <v>286</v>
      </c>
      <c r="I52" s="61" t="n">
        <f aca="false">IF(OR($C52="",N($G52)=0),"",IF(OR($C52="Receipt",$C52="Other Income",$C52="Capital In",$C52="Transfer In"),$G52,0))</f>
        <v>0</v>
      </c>
      <c r="J52" s="61" t="n">
        <f aca="false">IF(OR($C52="",N($G52)=0),"",IF(I52=0,$G52,0))</f>
        <v>69000</v>
      </c>
      <c r="K52" s="60" t="str">
        <f aca="false">IF($C52="","",IF(AND(OR($C52="Receipt",$C52="Payment"),$D52=""),"Party needed",IF(AND(OR($C52="Expense",$C52="Other Income"),$E52=""),"Head needed",IF($F52="","Account needed","OK"))))</f>
        <v>OK</v>
      </c>
    </row>
    <row r="53" customFormat="false" ht="15" hidden="false" customHeight="false" outlineLevel="0" collapsed="false">
      <c r="A53" s="55" t="n">
        <v>46199</v>
      </c>
      <c r="B53" s="56" t="s">
        <v>320</v>
      </c>
      <c r="C53" s="56" t="s">
        <v>287</v>
      </c>
      <c r="D53" s="56"/>
      <c r="E53" s="56"/>
      <c r="F53" s="56" t="s">
        <v>74</v>
      </c>
      <c r="G53" s="58" t="n">
        <v>69000</v>
      </c>
      <c r="H53" s="56" t="s">
        <v>286</v>
      </c>
      <c r="I53" s="61" t="n">
        <f aca="false">IF(OR($C53="",N($G53)=0),"",IF(OR($C53="Receipt",$C53="Other Income",$C53="Capital In",$C53="Transfer In"),$G53,0))</f>
        <v>69000</v>
      </c>
      <c r="J53" s="61" t="n">
        <f aca="false">IF(OR($C53="",N($G53)=0),"",IF(I53=0,$G53,0))</f>
        <v>0</v>
      </c>
      <c r="K53" s="60" t="str">
        <f aca="false">IF($C53="","",IF(AND(OR($C53="Receipt",$C53="Payment"),$D53=""),"Party needed",IF(AND(OR($C53="Expense",$C53="Other Income"),$E53=""),"Head needed",IF($F53="","Account needed","OK"))))</f>
        <v>OK</v>
      </c>
    </row>
    <row r="54" customFormat="false" ht="15" hidden="false" customHeight="false" outlineLevel="0" collapsed="false">
      <c r="A54" s="55" t="n">
        <v>46199</v>
      </c>
      <c r="B54" s="56" t="s">
        <v>321</v>
      </c>
      <c r="C54" s="56" t="s">
        <v>285</v>
      </c>
      <c r="D54" s="56"/>
      <c r="E54" s="56"/>
      <c r="F54" s="56" t="s">
        <v>90</v>
      </c>
      <c r="G54" s="58" t="n">
        <v>13000</v>
      </c>
      <c r="H54" s="56" t="s">
        <v>289</v>
      </c>
      <c r="I54" s="61" t="n">
        <f aca="false">IF(OR($C54="",N($G54)=0),"",IF(OR($C54="Receipt",$C54="Other Income",$C54="Capital In",$C54="Transfer In"),$G54,0))</f>
        <v>0</v>
      </c>
      <c r="J54" s="61" t="n">
        <f aca="false">IF(OR($C54="",N($G54)=0),"",IF(I54=0,$G54,0))</f>
        <v>13000</v>
      </c>
      <c r="K54" s="60" t="str">
        <f aca="false">IF($C54="","",IF(AND(OR($C54="Receipt",$C54="Payment"),$D54=""),"Party needed",IF(AND(OR($C54="Expense",$C54="Other Income"),$E54=""),"Head needed",IF($F54="","Account needed","OK"))))</f>
        <v>OK</v>
      </c>
    </row>
    <row r="55" customFormat="false" ht="15" hidden="false" customHeight="false" outlineLevel="0" collapsed="false">
      <c r="A55" s="55" t="n">
        <v>46199</v>
      </c>
      <c r="B55" s="56" t="s">
        <v>321</v>
      </c>
      <c r="C55" s="56" t="s">
        <v>287</v>
      </c>
      <c r="D55" s="56"/>
      <c r="E55" s="56"/>
      <c r="F55" s="56" t="s">
        <v>74</v>
      </c>
      <c r="G55" s="58" t="n">
        <v>13000</v>
      </c>
      <c r="H55" s="56" t="s">
        <v>289</v>
      </c>
      <c r="I55" s="61" t="n">
        <f aca="false">IF(OR($C55="",N($G55)=0),"",IF(OR($C55="Receipt",$C55="Other Income",$C55="Capital In",$C55="Transfer In"),$G55,0))</f>
        <v>13000</v>
      </c>
      <c r="J55" s="61" t="n">
        <f aca="false">IF(OR($C55="",N($G55)=0),"",IF(I55=0,$G55,0))</f>
        <v>0</v>
      </c>
      <c r="K55" s="60" t="str">
        <f aca="false">IF($C55="","",IF(AND(OR($C55="Receipt",$C55="Payment"),$D55=""),"Party needed",IF(AND(OR($C55="Expense",$C55="Other Income"),$E55=""),"Head needed",IF($F55="","Account needed","OK"))))</f>
        <v>OK</v>
      </c>
    </row>
    <row r="56" customFormat="false" ht="15" hidden="false" customHeight="false" outlineLevel="0" collapsed="false">
      <c r="A56" s="55" t="n">
        <v>46208</v>
      </c>
      <c r="B56" s="56" t="s">
        <v>322</v>
      </c>
      <c r="C56" s="56" t="s">
        <v>264</v>
      </c>
      <c r="D56" s="56"/>
      <c r="E56" s="56" t="s">
        <v>265</v>
      </c>
      <c r="F56" s="56" t="s">
        <v>74</v>
      </c>
      <c r="G56" s="58" t="n">
        <v>9000</v>
      </c>
      <c r="H56" s="56"/>
      <c r="I56" s="61" t="n">
        <f aca="false">IF(OR($C56="",N($G56)=0),"",IF(OR($C56="Receipt",$C56="Other Income",$C56="Capital In",$C56="Transfer In"),$G56,0))</f>
        <v>0</v>
      </c>
      <c r="J56" s="61" t="n">
        <f aca="false">IF(OR($C56="",N($G56)=0),"",IF(I56=0,$G56,0))</f>
        <v>9000</v>
      </c>
      <c r="K56" s="60" t="str">
        <f aca="false">IF($C56="","",IF(AND(OR($C56="Receipt",$C56="Payment"),$D56=""),"Party needed",IF(AND(OR($C56="Expense",$C56="Other Income"),$E56=""),"Head needed",IF($F56="","Account needed","OK"))))</f>
        <v>OK</v>
      </c>
    </row>
    <row r="57" customFormat="false" ht="15" hidden="false" customHeight="false" outlineLevel="0" collapsed="false">
      <c r="A57" s="55" t="n">
        <v>46208</v>
      </c>
      <c r="B57" s="56" t="s">
        <v>323</v>
      </c>
      <c r="C57" s="56" t="s">
        <v>264</v>
      </c>
      <c r="D57" s="56"/>
      <c r="E57" s="56" t="s">
        <v>267</v>
      </c>
      <c r="F57" s="56" t="s">
        <v>74</v>
      </c>
      <c r="G57" s="58" t="n">
        <v>12000</v>
      </c>
      <c r="H57" s="56"/>
      <c r="I57" s="61" t="n">
        <f aca="false">IF(OR($C57="",N($G57)=0),"",IF(OR($C57="Receipt",$C57="Other Income",$C57="Capital In",$C57="Transfer In"),$G57,0))</f>
        <v>0</v>
      </c>
      <c r="J57" s="61" t="n">
        <f aca="false">IF(OR($C57="",N($G57)=0),"",IF(I57=0,$G57,0))</f>
        <v>12000</v>
      </c>
      <c r="K57" s="60" t="str">
        <f aca="false">IF($C57="","",IF(AND(OR($C57="Receipt",$C57="Payment"),$D57=""),"Party needed",IF(AND(OR($C57="Expense",$C57="Other Income"),$E57=""),"Head needed",IF($F57="","Account needed","OK"))))</f>
        <v>OK</v>
      </c>
    </row>
    <row r="58" customFormat="false" ht="15" hidden="false" customHeight="false" outlineLevel="0" collapsed="false">
      <c r="A58" s="55" t="n">
        <v>46208</v>
      </c>
      <c r="B58" s="56" t="s">
        <v>324</v>
      </c>
      <c r="C58" s="56" t="s">
        <v>264</v>
      </c>
      <c r="D58" s="56"/>
      <c r="E58" s="56" t="s">
        <v>269</v>
      </c>
      <c r="F58" s="56" t="s">
        <v>90</v>
      </c>
      <c r="G58" s="58" t="n">
        <v>3720</v>
      </c>
      <c r="H58" s="56"/>
      <c r="I58" s="61" t="n">
        <f aca="false">IF(OR($C58="",N($G58)=0),"",IF(OR($C58="Receipt",$C58="Other Income",$C58="Capital In",$C58="Transfer In"),$G58,0))</f>
        <v>0</v>
      </c>
      <c r="J58" s="61" t="n">
        <f aca="false">IF(OR($C58="",N($G58)=0),"",IF(I58=0,$G58,0))</f>
        <v>3720</v>
      </c>
      <c r="K58" s="60" t="str">
        <f aca="false">IF($C58="","",IF(AND(OR($C58="Receipt",$C58="Payment"),$D58=""),"Party needed",IF(AND(OR($C58="Expense",$C58="Other Income"),$E58=""),"Head needed",IF($F58="","Account needed","OK"))))</f>
        <v>OK</v>
      </c>
    </row>
    <row r="59" customFormat="false" ht="15" hidden="false" customHeight="false" outlineLevel="0" collapsed="false">
      <c r="A59" s="55" t="n">
        <v>46208</v>
      </c>
      <c r="B59" s="56" t="s">
        <v>325</v>
      </c>
      <c r="C59" s="56" t="s">
        <v>264</v>
      </c>
      <c r="D59" s="56"/>
      <c r="E59" s="56" t="s">
        <v>271</v>
      </c>
      <c r="F59" s="56" t="s">
        <v>103</v>
      </c>
      <c r="G59" s="58" t="n">
        <v>6993</v>
      </c>
      <c r="H59" s="56"/>
      <c r="I59" s="61" t="n">
        <f aca="false">IF(OR($C59="",N($G59)=0),"",IF(OR($C59="Receipt",$C59="Other Income",$C59="Capital In",$C59="Transfer In"),$G59,0))</f>
        <v>0</v>
      </c>
      <c r="J59" s="61" t="n">
        <f aca="false">IF(OR($C59="",N($G59)=0),"",IF(I59=0,$G59,0))</f>
        <v>6993</v>
      </c>
      <c r="K59" s="60" t="str">
        <f aca="false">IF($C59="","",IF(AND(OR($C59="Receipt",$C59="Payment"),$D59=""),"Party needed",IF(AND(OR($C59="Expense",$C59="Other Income"),$E59=""),"Head needed",IF($F59="","Account needed","OK"))))</f>
        <v>OK</v>
      </c>
    </row>
    <row r="60" customFormat="false" ht="15" hidden="false" customHeight="false" outlineLevel="0" collapsed="false">
      <c r="A60" s="55" t="n">
        <v>46208</v>
      </c>
      <c r="B60" s="56" t="s">
        <v>326</v>
      </c>
      <c r="C60" s="56" t="s">
        <v>264</v>
      </c>
      <c r="D60" s="56"/>
      <c r="E60" s="56" t="s">
        <v>273</v>
      </c>
      <c r="F60" s="56" t="s">
        <v>90</v>
      </c>
      <c r="G60" s="58" t="n">
        <v>1199</v>
      </c>
      <c r="H60" s="56"/>
      <c r="I60" s="61" t="n">
        <f aca="false">IF(OR($C60="",N($G60)=0),"",IF(OR($C60="Receipt",$C60="Other Income",$C60="Capital In",$C60="Transfer In"),$G60,0))</f>
        <v>0</v>
      </c>
      <c r="J60" s="61" t="n">
        <f aca="false">IF(OR($C60="",N($G60)=0),"",IF(I60=0,$G60,0))</f>
        <v>1199</v>
      </c>
      <c r="K60" s="60" t="str">
        <f aca="false">IF($C60="","",IF(AND(OR($C60="Receipt",$C60="Payment"),$D60=""),"Party needed",IF(AND(OR($C60="Expense",$C60="Other Income"),$E60=""),"Head needed",IF($F60="","Account needed","OK"))))</f>
        <v>OK</v>
      </c>
    </row>
    <row r="61" customFormat="false" ht="15" hidden="false" customHeight="false" outlineLevel="0" collapsed="false">
      <c r="A61" s="55" t="n">
        <v>46213</v>
      </c>
      <c r="B61" s="56" t="s">
        <v>327</v>
      </c>
      <c r="C61" s="56" t="s">
        <v>275</v>
      </c>
      <c r="D61" s="56" t="s">
        <v>72</v>
      </c>
      <c r="E61" s="56"/>
      <c r="F61" s="56" t="s">
        <v>90</v>
      </c>
      <c r="G61" s="58" t="n">
        <v>18300</v>
      </c>
      <c r="H61" s="56" t="s">
        <v>276</v>
      </c>
      <c r="I61" s="61" t="n">
        <f aca="false">IF(OR($C61="",N($G61)=0),"",IF(OR($C61="Receipt",$C61="Other Income",$C61="Capital In",$C61="Transfer In"),$G61,0))</f>
        <v>18300</v>
      </c>
      <c r="J61" s="61" t="n">
        <f aca="false">IF(OR($C61="",N($G61)=0),"",IF(I61=0,$G61,0))</f>
        <v>0</v>
      </c>
      <c r="K61" s="60" t="str">
        <f aca="false">IF($C61="","",IF(AND(OR($C61="Receipt",$C61="Payment"),$D61=""),"Party needed",IF(AND(OR($C61="Expense",$C61="Other Income"),$E61=""),"Head needed",IF($F61="","Account needed","OK"))))</f>
        <v>OK</v>
      </c>
    </row>
    <row r="62" customFormat="false" ht="15" hidden="false" customHeight="false" outlineLevel="0" collapsed="false">
      <c r="A62" s="55" t="n">
        <v>46213</v>
      </c>
      <c r="B62" s="56" t="s">
        <v>328</v>
      </c>
      <c r="C62" s="56" t="s">
        <v>275</v>
      </c>
      <c r="D62" s="56" t="s">
        <v>77</v>
      </c>
      <c r="E62" s="56"/>
      <c r="F62" s="56" t="s">
        <v>74</v>
      </c>
      <c r="G62" s="58" t="n">
        <v>24700</v>
      </c>
      <c r="H62" s="56" t="s">
        <v>276</v>
      </c>
      <c r="I62" s="61" t="n">
        <f aca="false">IF(OR($C62="",N($G62)=0),"",IF(OR($C62="Receipt",$C62="Other Income",$C62="Capital In",$C62="Transfer In"),$G62,0))</f>
        <v>24700</v>
      </c>
      <c r="J62" s="61" t="n">
        <f aca="false">IF(OR($C62="",N($G62)=0),"",IF(I62=0,$G62,0))</f>
        <v>0</v>
      </c>
      <c r="K62" s="60" t="str">
        <f aca="false">IF($C62="","",IF(AND(OR($C62="Receipt",$C62="Payment"),$D62=""),"Party needed",IF(AND(OR($C62="Expense",$C62="Other Income"),$E62=""),"Head needed",IF($F62="","Account needed","OK"))))</f>
        <v>OK</v>
      </c>
    </row>
    <row r="63" customFormat="false" ht="15" hidden="false" customHeight="false" outlineLevel="0" collapsed="false">
      <c r="A63" s="55" t="n">
        <v>46213</v>
      </c>
      <c r="B63" s="56" t="s">
        <v>329</v>
      </c>
      <c r="C63" s="56" t="s">
        <v>275</v>
      </c>
      <c r="D63" s="56" t="s">
        <v>81</v>
      </c>
      <c r="E63" s="56"/>
      <c r="F63" s="56" t="s">
        <v>90</v>
      </c>
      <c r="G63" s="58" t="n">
        <v>10300</v>
      </c>
      <c r="H63" s="56" t="s">
        <v>276</v>
      </c>
      <c r="I63" s="61" t="n">
        <f aca="false">IF(OR($C63="",N($G63)=0),"",IF(OR($C63="Receipt",$C63="Other Income",$C63="Capital In",$C63="Transfer In"),$G63,0))</f>
        <v>10300</v>
      </c>
      <c r="J63" s="61" t="n">
        <f aca="false">IF(OR($C63="",N($G63)=0),"",IF(I63=0,$G63,0))</f>
        <v>0</v>
      </c>
      <c r="K63" s="60" t="str">
        <f aca="false">IF($C63="","",IF(AND(OR($C63="Receipt",$C63="Payment"),$D63=""),"Party needed",IF(AND(OR($C63="Expense",$C63="Other Income"),$E63=""),"Head needed",IF($F63="","Account needed","OK"))))</f>
        <v>OK</v>
      </c>
    </row>
    <row r="64" customFormat="false" ht="15" hidden="false" customHeight="false" outlineLevel="0" collapsed="false">
      <c r="A64" s="55" t="n">
        <v>46213</v>
      </c>
      <c r="B64" s="56" t="s">
        <v>330</v>
      </c>
      <c r="C64" s="56" t="s">
        <v>275</v>
      </c>
      <c r="D64" s="56" t="s">
        <v>88</v>
      </c>
      <c r="E64" s="56"/>
      <c r="F64" s="56" t="s">
        <v>74</v>
      </c>
      <c r="G64" s="58" t="n">
        <v>28700</v>
      </c>
      <c r="H64" s="56" t="s">
        <v>276</v>
      </c>
      <c r="I64" s="61" t="n">
        <f aca="false">IF(OR($C64="",N($G64)=0),"",IF(OR($C64="Receipt",$C64="Other Income",$C64="Capital In",$C64="Transfer In"),$G64,0))</f>
        <v>28700</v>
      </c>
      <c r="J64" s="61" t="n">
        <f aca="false">IF(OR($C64="",N($G64)=0),"",IF(I64=0,$G64,0))</f>
        <v>0</v>
      </c>
      <c r="K64" s="60" t="str">
        <f aca="false">IF($C64="","",IF(AND(OR($C64="Receipt",$C64="Payment"),$D64=""),"Party needed",IF(AND(OR($C64="Expense",$C64="Other Income"),$E64=""),"Head needed",IF($F64="","Account needed","OK"))))</f>
        <v>OK</v>
      </c>
    </row>
    <row r="65" customFormat="false" ht="15" hidden="false" customHeight="false" outlineLevel="0" collapsed="false">
      <c r="A65" s="55" t="n">
        <v>46213</v>
      </c>
      <c r="B65" s="56" t="s">
        <v>331</v>
      </c>
      <c r="C65" s="56" t="s">
        <v>275</v>
      </c>
      <c r="D65" s="56" t="s">
        <v>84</v>
      </c>
      <c r="E65" s="56"/>
      <c r="F65" s="56" t="s">
        <v>90</v>
      </c>
      <c r="G65" s="58" t="n">
        <v>11700</v>
      </c>
      <c r="H65" s="56" t="s">
        <v>276</v>
      </c>
      <c r="I65" s="61" t="n">
        <f aca="false">IF(OR($C65="",N($G65)=0),"",IF(OR($C65="Receipt",$C65="Other Income",$C65="Capital In",$C65="Transfer In"),$G65,0))</f>
        <v>11700</v>
      </c>
      <c r="J65" s="61" t="n">
        <f aca="false">IF(OR($C65="",N($G65)=0),"",IF(I65=0,$G65,0))</f>
        <v>0</v>
      </c>
      <c r="K65" s="60" t="str">
        <f aca="false">IF($C65="","",IF(AND(OR($C65="Receipt",$C65="Payment"),$D65=""),"Party needed",IF(AND(OR($C65="Expense",$C65="Other Income"),$E65=""),"Head needed",IF($F65="","Account needed","OK"))))</f>
        <v>OK</v>
      </c>
    </row>
    <row r="66" customFormat="false" ht="15" hidden="false" customHeight="false" outlineLevel="0" collapsed="false">
      <c r="A66" s="55" t="n">
        <v>46213</v>
      </c>
      <c r="B66" s="56" t="s">
        <v>332</v>
      </c>
      <c r="C66" s="56" t="s">
        <v>280</v>
      </c>
      <c r="D66" s="56" t="s">
        <v>229</v>
      </c>
      <c r="E66" s="56"/>
      <c r="F66" s="56" t="s">
        <v>74</v>
      </c>
      <c r="G66" s="58" t="n">
        <v>55000</v>
      </c>
      <c r="H66" s="56" t="s">
        <v>281</v>
      </c>
      <c r="I66" s="61" t="n">
        <f aca="false">IF(OR($C66="",N($G66)=0),"",IF(OR($C66="Receipt",$C66="Other Income",$C66="Capital In",$C66="Transfer In"),$G66,0))</f>
        <v>0</v>
      </c>
      <c r="J66" s="61" t="n">
        <f aca="false">IF(OR($C66="",N($G66)=0),"",IF(I66=0,$G66,0))</f>
        <v>55000</v>
      </c>
      <c r="K66" s="60" t="str">
        <f aca="false">IF($C66="","",IF(AND(OR($C66="Receipt",$C66="Payment"),$D66=""),"Party needed",IF(AND(OR($C66="Expense",$C66="Other Income"),$E66=""),"Head needed",IF($F66="","Account needed","OK"))))</f>
        <v>OK</v>
      </c>
    </row>
    <row r="67" customFormat="false" ht="15" hidden="false" customHeight="false" outlineLevel="0" collapsed="false">
      <c r="A67" s="55" t="n">
        <v>46213</v>
      </c>
      <c r="B67" s="56" t="s">
        <v>333</v>
      </c>
      <c r="C67" s="56" t="s">
        <v>280</v>
      </c>
      <c r="D67" s="56" t="s">
        <v>226</v>
      </c>
      <c r="E67" s="56"/>
      <c r="F67" s="56" t="s">
        <v>74</v>
      </c>
      <c r="G67" s="58" t="n">
        <v>34000</v>
      </c>
      <c r="H67" s="56" t="s">
        <v>281</v>
      </c>
      <c r="I67" s="61" t="n">
        <f aca="false">IF(OR($C67="",N($G67)=0),"",IF(OR($C67="Receipt",$C67="Other Income",$C67="Capital In",$C67="Transfer In"),$G67,0))</f>
        <v>0</v>
      </c>
      <c r="J67" s="61" t="n">
        <f aca="false">IF(OR($C67="",N($G67)=0),"",IF(I67=0,$G67,0))</f>
        <v>34000</v>
      </c>
      <c r="K67" s="60" t="str">
        <f aca="false">IF($C67="","",IF(AND(OR($C67="Receipt",$C67="Payment"),$D67=""),"Party needed",IF(AND(OR($C67="Expense",$C67="Other Income"),$E67=""),"Head needed",IF($F67="","Account needed","OK"))))</f>
        <v>OK</v>
      </c>
    </row>
    <row r="68" customFormat="false" ht="15" hidden="false" customHeight="false" outlineLevel="0" collapsed="false">
      <c r="A68" s="55" t="n">
        <v>46213</v>
      </c>
      <c r="B68" s="56" t="s">
        <v>334</v>
      </c>
      <c r="C68" s="56" t="s">
        <v>280</v>
      </c>
      <c r="D68" s="56" t="s">
        <v>84</v>
      </c>
      <c r="E68" s="56"/>
      <c r="F68" s="56" t="s">
        <v>74</v>
      </c>
      <c r="G68" s="58" t="n">
        <v>2000</v>
      </c>
      <c r="H68" s="56" t="s">
        <v>281</v>
      </c>
      <c r="I68" s="61" t="n">
        <f aca="false">IF(OR($C68="",N($G68)=0),"",IF(OR($C68="Receipt",$C68="Other Income",$C68="Capital In",$C68="Transfer In"),$G68,0))</f>
        <v>0</v>
      </c>
      <c r="J68" s="61" t="n">
        <f aca="false">IF(OR($C68="",N($G68)=0),"",IF(I68=0,$G68,0))</f>
        <v>2000</v>
      </c>
      <c r="K68" s="60" t="str">
        <f aca="false">IF($C68="","",IF(AND(OR($C68="Receipt",$C68="Payment"),$D68=""),"Party needed",IF(AND(OR($C68="Expense",$C68="Other Income"),$E68=""),"Head needed",IF($F68="","Account needed","OK"))))</f>
        <v>OK</v>
      </c>
    </row>
    <row r="69" customFormat="false" ht="15" hidden="false" customHeight="false" outlineLevel="0" collapsed="false">
      <c r="A69" s="55" t="n">
        <v>46213</v>
      </c>
      <c r="B69" s="56" t="s">
        <v>335</v>
      </c>
      <c r="C69" s="56" t="s">
        <v>280</v>
      </c>
      <c r="D69" s="56" t="s">
        <v>233</v>
      </c>
      <c r="E69" s="56"/>
      <c r="F69" s="56" t="s">
        <v>74</v>
      </c>
      <c r="G69" s="58" t="n">
        <v>8000</v>
      </c>
      <c r="H69" s="56" t="s">
        <v>281</v>
      </c>
      <c r="I69" s="61" t="n">
        <f aca="false">IF(OR($C69="",N($G69)=0),"",IF(OR($C69="Receipt",$C69="Other Income",$C69="Capital In",$C69="Transfer In"),$G69,0))</f>
        <v>0</v>
      </c>
      <c r="J69" s="61" t="n">
        <f aca="false">IF(OR($C69="",N($G69)=0),"",IF(I69=0,$G69,0))</f>
        <v>8000</v>
      </c>
      <c r="K69" s="60" t="str">
        <f aca="false">IF($C69="","",IF(AND(OR($C69="Receipt",$C69="Payment"),$D69=""),"Party needed",IF(AND(OR($C69="Expense",$C69="Other Income"),$E69=""),"Head needed",IF($F69="","Account needed","OK"))))</f>
        <v>OK</v>
      </c>
    </row>
    <row r="70" customFormat="false" ht="15" hidden="false" customHeight="false" outlineLevel="0" collapsed="false">
      <c r="A70" s="55" t="n">
        <v>46229</v>
      </c>
      <c r="B70" s="56" t="s">
        <v>336</v>
      </c>
      <c r="C70" s="56" t="s">
        <v>285</v>
      </c>
      <c r="D70" s="56"/>
      <c r="E70" s="56"/>
      <c r="F70" s="56" t="s">
        <v>103</v>
      </c>
      <c r="G70" s="58" t="n">
        <v>111000</v>
      </c>
      <c r="H70" s="56" t="s">
        <v>286</v>
      </c>
      <c r="I70" s="61" t="n">
        <f aca="false">IF(OR($C70="",N($G70)=0),"",IF(OR($C70="Receipt",$C70="Other Income",$C70="Capital In",$C70="Transfer In"),$G70,0))</f>
        <v>0</v>
      </c>
      <c r="J70" s="61" t="n">
        <f aca="false">IF(OR($C70="",N($G70)=0),"",IF(I70=0,$G70,0))</f>
        <v>111000</v>
      </c>
      <c r="K70" s="60" t="str">
        <f aca="false">IF($C70="","",IF(AND(OR($C70="Receipt",$C70="Payment"),$D70=""),"Party needed",IF(AND(OR($C70="Expense",$C70="Other Income"),$E70=""),"Head needed",IF($F70="","Account needed","OK"))))</f>
        <v>OK</v>
      </c>
    </row>
    <row r="71" customFormat="false" ht="15" hidden="false" customHeight="false" outlineLevel="0" collapsed="false">
      <c r="A71" s="55" t="n">
        <v>46229</v>
      </c>
      <c r="B71" s="56" t="s">
        <v>336</v>
      </c>
      <c r="C71" s="56" t="s">
        <v>287</v>
      </c>
      <c r="D71" s="56"/>
      <c r="E71" s="56"/>
      <c r="F71" s="56" t="s">
        <v>74</v>
      </c>
      <c r="G71" s="58" t="n">
        <v>111000</v>
      </c>
      <c r="H71" s="56" t="s">
        <v>286</v>
      </c>
      <c r="I71" s="61" t="n">
        <f aca="false">IF(OR($C71="",N($G71)=0),"",IF(OR($C71="Receipt",$C71="Other Income",$C71="Capital In",$C71="Transfer In"),$G71,0))</f>
        <v>111000</v>
      </c>
      <c r="J71" s="61" t="n">
        <f aca="false">IF(OR($C71="",N($G71)=0),"",IF(I71=0,$G71,0))</f>
        <v>0</v>
      </c>
      <c r="K71" s="60" t="str">
        <f aca="false">IF($C71="","",IF(AND(OR($C71="Receipt",$C71="Payment"),$D71=""),"Party needed",IF(AND(OR($C71="Expense",$C71="Other Income"),$E71=""),"Head needed",IF($F71="","Account needed","OK"))))</f>
        <v>OK</v>
      </c>
    </row>
    <row r="72" customFormat="false" ht="15" hidden="false" customHeight="false" outlineLevel="0" collapsed="false">
      <c r="A72" s="55" t="n">
        <v>46229</v>
      </c>
      <c r="B72" s="56" t="s">
        <v>337</v>
      </c>
      <c r="C72" s="56" t="s">
        <v>285</v>
      </c>
      <c r="D72" s="56"/>
      <c r="E72" s="56"/>
      <c r="F72" s="56" t="s">
        <v>90</v>
      </c>
      <c r="G72" s="58" t="n">
        <v>50000</v>
      </c>
      <c r="H72" s="56" t="s">
        <v>289</v>
      </c>
      <c r="I72" s="61" t="n">
        <f aca="false">IF(OR($C72="",N($G72)=0),"",IF(OR($C72="Receipt",$C72="Other Income",$C72="Capital In",$C72="Transfer In"),$G72,0))</f>
        <v>0</v>
      </c>
      <c r="J72" s="61" t="n">
        <f aca="false">IF(OR($C72="",N($G72)=0),"",IF(I72=0,$G72,0))</f>
        <v>50000</v>
      </c>
      <c r="K72" s="60" t="str">
        <f aca="false">IF($C72="","",IF(AND(OR($C72="Receipt",$C72="Payment"),$D72=""),"Party needed",IF(AND(OR($C72="Expense",$C72="Other Income"),$E72=""),"Head needed",IF($F72="","Account needed","OK"))))</f>
        <v>OK</v>
      </c>
    </row>
    <row r="73" customFormat="false" ht="15" hidden="false" customHeight="false" outlineLevel="0" collapsed="false">
      <c r="A73" s="55" t="n">
        <v>46229</v>
      </c>
      <c r="B73" s="56" t="s">
        <v>337</v>
      </c>
      <c r="C73" s="56" t="s">
        <v>287</v>
      </c>
      <c r="D73" s="56"/>
      <c r="E73" s="56"/>
      <c r="F73" s="56" t="s">
        <v>74</v>
      </c>
      <c r="G73" s="58" t="n">
        <v>50000</v>
      </c>
      <c r="H73" s="56" t="s">
        <v>289</v>
      </c>
      <c r="I73" s="61" t="n">
        <f aca="false">IF(OR($C73="",N($G73)=0),"",IF(OR($C73="Receipt",$C73="Other Income",$C73="Capital In",$C73="Transfer In"),$G73,0))</f>
        <v>50000</v>
      </c>
      <c r="J73" s="61" t="n">
        <f aca="false">IF(OR($C73="",N($G73)=0),"",IF(I73=0,$G73,0))</f>
        <v>0</v>
      </c>
      <c r="K73" s="60" t="str">
        <f aca="false">IF($C73="","",IF(AND(OR($C73="Receipt",$C73="Payment"),$D73=""),"Party needed",IF(AND(OR($C73="Expense",$C73="Other Income"),$E73=""),"Head needed",IF($F73="","Account needed","OK"))))</f>
        <v>OK</v>
      </c>
    </row>
    <row r="74" customFormat="false" ht="15" hidden="false" customHeight="false" outlineLevel="0" collapsed="false">
      <c r="A74" s="55" t="n">
        <v>46235</v>
      </c>
      <c r="B74" s="56" t="s">
        <v>338</v>
      </c>
      <c r="C74" s="56" t="s">
        <v>339</v>
      </c>
      <c r="D74" s="56"/>
      <c r="E74" s="56" t="s">
        <v>340</v>
      </c>
      <c r="F74" s="56" t="s">
        <v>74</v>
      </c>
      <c r="G74" s="58" t="n">
        <v>1500</v>
      </c>
      <c r="H74" s="56" t="s">
        <v>341</v>
      </c>
      <c r="I74" s="61" t="n">
        <f aca="false">IF(OR($C74="",N($G74)=0),"",IF(OR($C74="Receipt",$C74="Other Income",$C74="Capital In",$C74="Transfer In"),$G74,0))</f>
        <v>1500</v>
      </c>
      <c r="J74" s="61" t="n">
        <f aca="false">IF(OR($C74="",N($G74)=0),"",IF(I74=0,$G74,0))</f>
        <v>0</v>
      </c>
      <c r="K74" s="60" t="str">
        <f aca="false">IF($C74="","",IF(AND(OR($C74="Receipt",$C74="Payment"),$D74=""),"Party needed",IF(AND(OR($C74="Expense",$C74="Other Income"),$E74=""),"Head needed",IF($F74="","Account needed","OK"))))</f>
        <v>OK</v>
      </c>
    </row>
    <row r="75" customFormat="false" ht="15" hidden="false" customHeight="false" outlineLevel="0" collapsed="false">
      <c r="A75" s="55" t="n">
        <v>46239</v>
      </c>
      <c r="B75" s="56" t="s">
        <v>342</v>
      </c>
      <c r="C75" s="56" t="s">
        <v>264</v>
      </c>
      <c r="D75" s="56"/>
      <c r="E75" s="56" t="s">
        <v>265</v>
      </c>
      <c r="F75" s="56" t="s">
        <v>74</v>
      </c>
      <c r="G75" s="58" t="n">
        <v>9000</v>
      </c>
      <c r="H75" s="56"/>
      <c r="I75" s="61" t="n">
        <f aca="false">IF(OR($C75="",N($G75)=0),"",IF(OR($C75="Receipt",$C75="Other Income",$C75="Capital In",$C75="Transfer In"),$G75,0))</f>
        <v>0</v>
      </c>
      <c r="J75" s="61" t="n">
        <f aca="false">IF(OR($C75="",N($G75)=0),"",IF(I75=0,$G75,0))</f>
        <v>9000</v>
      </c>
      <c r="K75" s="60" t="str">
        <f aca="false">IF($C75="","",IF(AND(OR($C75="Receipt",$C75="Payment"),$D75=""),"Party needed",IF(AND(OR($C75="Expense",$C75="Other Income"),$E75=""),"Head needed",IF($F75="","Account needed","OK"))))</f>
        <v>OK</v>
      </c>
    </row>
    <row r="76" customFormat="false" ht="15" hidden="false" customHeight="false" outlineLevel="0" collapsed="false">
      <c r="A76" s="55" t="n">
        <v>46239</v>
      </c>
      <c r="B76" s="56" t="s">
        <v>343</v>
      </c>
      <c r="C76" s="56" t="s">
        <v>264</v>
      </c>
      <c r="D76" s="56"/>
      <c r="E76" s="56" t="s">
        <v>267</v>
      </c>
      <c r="F76" s="56" t="s">
        <v>74</v>
      </c>
      <c r="G76" s="58" t="n">
        <v>12000</v>
      </c>
      <c r="H76" s="56"/>
      <c r="I76" s="61" t="n">
        <f aca="false">IF(OR($C76="",N($G76)=0),"",IF(OR($C76="Receipt",$C76="Other Income",$C76="Capital In",$C76="Transfer In"),$G76,0))</f>
        <v>0</v>
      </c>
      <c r="J76" s="61" t="n">
        <f aca="false">IF(OR($C76="",N($G76)=0),"",IF(I76=0,$G76,0))</f>
        <v>12000</v>
      </c>
      <c r="K76" s="60" t="str">
        <f aca="false">IF($C76="","",IF(AND(OR($C76="Receipt",$C76="Payment"),$D76=""),"Party needed",IF(AND(OR($C76="Expense",$C76="Other Income"),$E76=""),"Head needed",IF($F76="","Account needed","OK"))))</f>
        <v>OK</v>
      </c>
    </row>
    <row r="77" customFormat="false" ht="15" hidden="false" customHeight="false" outlineLevel="0" collapsed="false">
      <c r="A77" s="55" t="n">
        <v>46239</v>
      </c>
      <c r="B77" s="56" t="s">
        <v>344</v>
      </c>
      <c r="C77" s="56" t="s">
        <v>264</v>
      </c>
      <c r="D77" s="56"/>
      <c r="E77" s="56" t="s">
        <v>269</v>
      </c>
      <c r="F77" s="56" t="s">
        <v>90</v>
      </c>
      <c r="G77" s="58" t="n">
        <v>5128</v>
      </c>
      <c r="H77" s="56"/>
      <c r="I77" s="61" t="n">
        <f aca="false">IF(OR($C77="",N($G77)=0),"",IF(OR($C77="Receipt",$C77="Other Income",$C77="Capital In",$C77="Transfer In"),$G77,0))</f>
        <v>0</v>
      </c>
      <c r="J77" s="61" t="n">
        <f aca="false">IF(OR($C77="",N($G77)=0),"",IF(I77=0,$G77,0))</f>
        <v>5128</v>
      </c>
      <c r="K77" s="60" t="str">
        <f aca="false">IF($C77="","",IF(AND(OR($C77="Receipt",$C77="Payment"),$D77=""),"Party needed",IF(AND(OR($C77="Expense",$C77="Other Income"),$E77=""),"Head needed",IF($F77="","Account needed","OK"))))</f>
        <v>OK</v>
      </c>
    </row>
    <row r="78" customFormat="false" ht="15" hidden="false" customHeight="false" outlineLevel="0" collapsed="false">
      <c r="A78" s="55" t="n">
        <v>46239</v>
      </c>
      <c r="B78" s="56" t="s">
        <v>345</v>
      </c>
      <c r="C78" s="56" t="s">
        <v>264</v>
      </c>
      <c r="D78" s="56"/>
      <c r="E78" s="56" t="s">
        <v>271</v>
      </c>
      <c r="F78" s="56" t="s">
        <v>103</v>
      </c>
      <c r="G78" s="58" t="n">
        <v>8246</v>
      </c>
      <c r="H78" s="56"/>
      <c r="I78" s="61" t="n">
        <f aca="false">IF(OR($C78="",N($G78)=0),"",IF(OR($C78="Receipt",$C78="Other Income",$C78="Capital In",$C78="Transfer In"),$G78,0))</f>
        <v>0</v>
      </c>
      <c r="J78" s="61" t="n">
        <f aca="false">IF(OR($C78="",N($G78)=0),"",IF(I78=0,$G78,0))</f>
        <v>8246</v>
      </c>
      <c r="K78" s="60" t="str">
        <f aca="false">IF($C78="","",IF(AND(OR($C78="Receipt",$C78="Payment"),$D78=""),"Party needed",IF(AND(OR($C78="Expense",$C78="Other Income"),$E78=""),"Head needed",IF($F78="","Account needed","OK"))))</f>
        <v>OK</v>
      </c>
    </row>
    <row r="79" customFormat="false" ht="15" hidden="false" customHeight="false" outlineLevel="0" collapsed="false">
      <c r="A79" s="55" t="n">
        <v>46239</v>
      </c>
      <c r="B79" s="56" t="s">
        <v>346</v>
      </c>
      <c r="C79" s="56" t="s">
        <v>264</v>
      </c>
      <c r="D79" s="56"/>
      <c r="E79" s="56" t="s">
        <v>273</v>
      </c>
      <c r="F79" s="56" t="s">
        <v>90</v>
      </c>
      <c r="G79" s="58" t="n">
        <v>1199</v>
      </c>
      <c r="H79" s="56"/>
      <c r="I79" s="61" t="n">
        <f aca="false">IF(OR($C79="",N($G79)=0),"",IF(OR($C79="Receipt",$C79="Other Income",$C79="Capital In",$C79="Transfer In"),$G79,0))</f>
        <v>0</v>
      </c>
      <c r="J79" s="61" t="n">
        <f aca="false">IF(OR($C79="",N($G79)=0),"",IF(I79=0,$G79,0))</f>
        <v>1199</v>
      </c>
      <c r="K79" s="60" t="str">
        <f aca="false">IF($C79="","",IF(AND(OR($C79="Receipt",$C79="Payment"),$D79=""),"Party needed",IF(AND(OR($C79="Expense",$C79="Other Income"),$E79=""),"Head needed",IF($F79="","Account needed","OK"))))</f>
        <v>OK</v>
      </c>
    </row>
    <row r="80" customFormat="false" ht="15" hidden="false" customHeight="false" outlineLevel="0" collapsed="false">
      <c r="A80" s="55" t="n">
        <v>46244</v>
      </c>
      <c r="B80" s="56" t="s">
        <v>347</v>
      </c>
      <c r="C80" s="56" t="s">
        <v>275</v>
      </c>
      <c r="D80" s="56" t="s">
        <v>72</v>
      </c>
      <c r="E80" s="56"/>
      <c r="F80" s="56" t="s">
        <v>90</v>
      </c>
      <c r="G80" s="58" t="n">
        <v>17900</v>
      </c>
      <c r="H80" s="56" t="s">
        <v>276</v>
      </c>
      <c r="I80" s="61" t="n">
        <f aca="false">IF(OR($C80="",N($G80)=0),"",IF(OR($C80="Receipt",$C80="Other Income",$C80="Capital In",$C80="Transfer In"),$G80,0))</f>
        <v>17900</v>
      </c>
      <c r="J80" s="61" t="n">
        <f aca="false">IF(OR($C80="",N($G80)=0),"",IF(I80=0,$G80,0))</f>
        <v>0</v>
      </c>
      <c r="K80" s="60" t="str">
        <f aca="false">IF($C80="","",IF(AND(OR($C80="Receipt",$C80="Payment"),$D80=""),"Party needed",IF(AND(OR($C80="Expense",$C80="Other Income"),$E80=""),"Head needed",IF($F80="","Account needed","OK"))))</f>
        <v>OK</v>
      </c>
    </row>
    <row r="81" customFormat="false" ht="15" hidden="false" customHeight="false" outlineLevel="0" collapsed="false">
      <c r="A81" s="55" t="n">
        <v>46244</v>
      </c>
      <c r="B81" s="56" t="s">
        <v>348</v>
      </c>
      <c r="C81" s="56" t="s">
        <v>275</v>
      </c>
      <c r="D81" s="56" t="s">
        <v>77</v>
      </c>
      <c r="E81" s="56"/>
      <c r="F81" s="56" t="s">
        <v>74</v>
      </c>
      <c r="G81" s="58" t="n">
        <v>19500</v>
      </c>
      <c r="H81" s="56" t="s">
        <v>276</v>
      </c>
      <c r="I81" s="61" t="n">
        <f aca="false">IF(OR($C81="",N($G81)=0),"",IF(OR($C81="Receipt",$C81="Other Income",$C81="Capital In",$C81="Transfer In"),$G81,0))</f>
        <v>19500</v>
      </c>
      <c r="J81" s="61" t="n">
        <f aca="false">IF(OR($C81="",N($G81)=0),"",IF(I81=0,$G81,0))</f>
        <v>0</v>
      </c>
      <c r="K81" s="60" t="str">
        <f aca="false">IF($C81="","",IF(AND(OR($C81="Receipt",$C81="Payment"),$D81=""),"Party needed",IF(AND(OR($C81="Expense",$C81="Other Income"),$E81=""),"Head needed",IF($F81="","Account needed","OK"))))</f>
        <v>OK</v>
      </c>
    </row>
    <row r="82" customFormat="false" ht="15" hidden="false" customHeight="false" outlineLevel="0" collapsed="false">
      <c r="A82" s="55" t="n">
        <v>46244</v>
      </c>
      <c r="B82" s="56" t="s">
        <v>349</v>
      </c>
      <c r="C82" s="56" t="s">
        <v>275</v>
      </c>
      <c r="D82" s="56" t="s">
        <v>81</v>
      </c>
      <c r="E82" s="56"/>
      <c r="F82" s="56" t="s">
        <v>90</v>
      </c>
      <c r="G82" s="58" t="n">
        <v>13200</v>
      </c>
      <c r="H82" s="56" t="s">
        <v>276</v>
      </c>
      <c r="I82" s="61" t="n">
        <f aca="false">IF(OR($C82="",N($G82)=0),"",IF(OR($C82="Receipt",$C82="Other Income",$C82="Capital In",$C82="Transfer In"),$G82,0))</f>
        <v>13200</v>
      </c>
      <c r="J82" s="61" t="n">
        <f aca="false">IF(OR($C82="",N($G82)=0),"",IF(I82=0,$G82,0))</f>
        <v>0</v>
      </c>
      <c r="K82" s="60" t="str">
        <f aca="false">IF($C82="","",IF(AND(OR($C82="Receipt",$C82="Payment"),$D82=""),"Party needed",IF(AND(OR($C82="Expense",$C82="Other Income"),$E82=""),"Head needed",IF($F82="","Account needed","OK"))))</f>
        <v>OK</v>
      </c>
    </row>
    <row r="83" customFormat="false" ht="15" hidden="false" customHeight="false" outlineLevel="0" collapsed="false">
      <c r="A83" s="55" t="n">
        <v>46244</v>
      </c>
      <c r="B83" s="56" t="s">
        <v>350</v>
      </c>
      <c r="C83" s="56" t="s">
        <v>275</v>
      </c>
      <c r="D83" s="56" t="s">
        <v>88</v>
      </c>
      <c r="E83" s="56"/>
      <c r="F83" s="56" t="s">
        <v>90</v>
      </c>
      <c r="G83" s="58" t="n">
        <v>13700</v>
      </c>
      <c r="H83" s="56" t="s">
        <v>276</v>
      </c>
      <c r="I83" s="61" t="n">
        <f aca="false">IF(OR($C83="",N($G83)=0),"",IF(OR($C83="Receipt",$C83="Other Income",$C83="Capital In",$C83="Transfer In"),$G83,0))</f>
        <v>13700</v>
      </c>
      <c r="J83" s="61" t="n">
        <f aca="false">IF(OR($C83="",N($G83)=0),"",IF(I83=0,$G83,0))</f>
        <v>0</v>
      </c>
      <c r="K83" s="60" t="str">
        <f aca="false">IF($C83="","",IF(AND(OR($C83="Receipt",$C83="Payment"),$D83=""),"Party needed",IF(AND(OR($C83="Expense",$C83="Other Income"),$E83=""),"Head needed",IF($F83="","Account needed","OK"))))</f>
        <v>OK</v>
      </c>
    </row>
    <row r="84" customFormat="false" ht="15" hidden="false" customHeight="false" outlineLevel="0" collapsed="false">
      <c r="A84" s="55" t="n">
        <v>46244</v>
      </c>
      <c r="B84" s="56" t="s">
        <v>351</v>
      </c>
      <c r="C84" s="56" t="s">
        <v>275</v>
      </c>
      <c r="D84" s="56" t="s">
        <v>84</v>
      </c>
      <c r="E84" s="56"/>
      <c r="F84" s="56" t="s">
        <v>90</v>
      </c>
      <c r="G84" s="58" t="n">
        <v>13700</v>
      </c>
      <c r="H84" s="56" t="s">
        <v>276</v>
      </c>
      <c r="I84" s="61" t="n">
        <f aca="false">IF(OR($C84="",N($G84)=0),"",IF(OR($C84="Receipt",$C84="Other Income",$C84="Capital In",$C84="Transfer In"),$G84,0))</f>
        <v>13700</v>
      </c>
      <c r="J84" s="61" t="n">
        <f aca="false">IF(OR($C84="",N($G84)=0),"",IF(I84=0,$G84,0))</f>
        <v>0</v>
      </c>
      <c r="K84" s="60" t="str">
        <f aca="false">IF($C84="","",IF(AND(OR($C84="Receipt",$C84="Payment"),$D84=""),"Party needed",IF(AND(OR($C84="Expense",$C84="Other Income"),$E84=""),"Head needed",IF($F84="","Account needed","OK"))))</f>
        <v>OK</v>
      </c>
    </row>
    <row r="85" customFormat="false" ht="15" hidden="false" customHeight="false" outlineLevel="0" collapsed="false">
      <c r="A85" s="55" t="n">
        <v>46244</v>
      </c>
      <c r="B85" s="56" t="s">
        <v>352</v>
      </c>
      <c r="C85" s="56" t="s">
        <v>280</v>
      </c>
      <c r="D85" s="56" t="s">
        <v>229</v>
      </c>
      <c r="E85" s="56"/>
      <c r="F85" s="56" t="s">
        <v>74</v>
      </c>
      <c r="G85" s="58" t="n">
        <v>7000</v>
      </c>
      <c r="H85" s="56" t="s">
        <v>281</v>
      </c>
      <c r="I85" s="61" t="n">
        <f aca="false">IF(OR($C85="",N($G85)=0),"",IF(OR($C85="Receipt",$C85="Other Income",$C85="Capital In",$C85="Transfer In"),$G85,0))</f>
        <v>0</v>
      </c>
      <c r="J85" s="61" t="n">
        <f aca="false">IF(OR($C85="",N($G85)=0),"",IF(I85=0,$G85,0))</f>
        <v>7000</v>
      </c>
      <c r="K85" s="60" t="str">
        <f aca="false">IF($C85="","",IF(AND(OR($C85="Receipt",$C85="Payment"),$D85=""),"Party needed",IF(AND(OR($C85="Expense",$C85="Other Income"),$E85=""),"Head needed",IF($F85="","Account needed","OK"))))</f>
        <v>OK</v>
      </c>
    </row>
    <row r="86" customFormat="false" ht="15" hidden="false" customHeight="false" outlineLevel="0" collapsed="false">
      <c r="A86" s="55" t="n">
        <v>46244</v>
      </c>
      <c r="B86" s="56" t="s">
        <v>353</v>
      </c>
      <c r="C86" s="56" t="s">
        <v>280</v>
      </c>
      <c r="D86" s="56" t="s">
        <v>226</v>
      </c>
      <c r="E86" s="56"/>
      <c r="F86" s="56" t="s">
        <v>74</v>
      </c>
      <c r="G86" s="58" t="n">
        <v>55000</v>
      </c>
      <c r="H86" s="56" t="s">
        <v>281</v>
      </c>
      <c r="I86" s="61" t="n">
        <f aca="false">IF(OR($C86="",N($G86)=0),"",IF(OR($C86="Receipt",$C86="Other Income",$C86="Capital In",$C86="Transfer In"),$G86,0))</f>
        <v>0</v>
      </c>
      <c r="J86" s="61" t="n">
        <f aca="false">IF(OR($C86="",N($G86)=0),"",IF(I86=0,$G86,0))</f>
        <v>55000</v>
      </c>
      <c r="K86" s="60" t="str">
        <f aca="false">IF($C86="","",IF(AND(OR($C86="Receipt",$C86="Payment"),$D86=""),"Party needed",IF(AND(OR($C86="Expense",$C86="Other Income"),$E86=""),"Head needed",IF($F86="","Account needed","OK"))))</f>
        <v>OK</v>
      </c>
    </row>
    <row r="87" customFormat="false" ht="15" hidden="false" customHeight="false" outlineLevel="0" collapsed="false">
      <c r="A87" s="55" t="n">
        <v>46244</v>
      </c>
      <c r="B87" s="56" t="s">
        <v>354</v>
      </c>
      <c r="C87" s="56" t="s">
        <v>280</v>
      </c>
      <c r="D87" s="56" t="s">
        <v>84</v>
      </c>
      <c r="E87" s="56"/>
      <c r="F87" s="56" t="s">
        <v>74</v>
      </c>
      <c r="G87" s="58" t="n">
        <v>23000</v>
      </c>
      <c r="H87" s="56" t="s">
        <v>281</v>
      </c>
      <c r="I87" s="61" t="n">
        <f aca="false">IF(OR($C87="",N($G87)=0),"",IF(OR($C87="Receipt",$C87="Other Income",$C87="Capital In",$C87="Transfer In"),$G87,0))</f>
        <v>0</v>
      </c>
      <c r="J87" s="61" t="n">
        <f aca="false">IF(OR($C87="",N($G87)=0),"",IF(I87=0,$G87,0))</f>
        <v>23000</v>
      </c>
      <c r="K87" s="60" t="str">
        <f aca="false">IF($C87="","",IF(AND(OR($C87="Receipt",$C87="Payment"),$D87=""),"Party needed",IF(AND(OR($C87="Expense",$C87="Other Income"),$E87=""),"Head needed",IF($F87="","Account needed","OK"))))</f>
        <v>OK</v>
      </c>
    </row>
    <row r="88" customFormat="false" ht="15" hidden="false" customHeight="false" outlineLevel="0" collapsed="false">
      <c r="A88" s="55" t="n">
        <v>46244</v>
      </c>
      <c r="B88" s="56" t="s">
        <v>355</v>
      </c>
      <c r="C88" s="56" t="s">
        <v>280</v>
      </c>
      <c r="D88" s="56" t="s">
        <v>233</v>
      </c>
      <c r="E88" s="56"/>
      <c r="F88" s="56" t="s">
        <v>74</v>
      </c>
      <c r="G88" s="58" t="n">
        <v>24000</v>
      </c>
      <c r="H88" s="56" t="s">
        <v>281</v>
      </c>
      <c r="I88" s="61" t="n">
        <f aca="false">IF(OR($C88="",N($G88)=0),"",IF(OR($C88="Receipt",$C88="Other Income",$C88="Capital In",$C88="Transfer In"),$G88,0))</f>
        <v>0</v>
      </c>
      <c r="J88" s="61" t="n">
        <f aca="false">IF(OR($C88="",N($G88)=0),"",IF(I88=0,$G88,0))</f>
        <v>24000</v>
      </c>
      <c r="K88" s="60" t="str">
        <f aca="false">IF($C88="","",IF(AND(OR($C88="Receipt",$C88="Payment"),$D88=""),"Party needed",IF(AND(OR($C88="Expense",$C88="Other Income"),$E88=""),"Head needed",IF($F88="","Account needed","OK"))))</f>
        <v>OK</v>
      </c>
    </row>
    <row r="89" customFormat="false" ht="15" hidden="false" customHeight="false" outlineLevel="0" collapsed="false">
      <c r="A89" s="55" t="n">
        <v>46260</v>
      </c>
      <c r="B89" s="56" t="s">
        <v>356</v>
      </c>
      <c r="C89" s="56" t="s">
        <v>285</v>
      </c>
      <c r="D89" s="56"/>
      <c r="E89" s="56"/>
      <c r="F89" s="56" t="s">
        <v>103</v>
      </c>
      <c r="G89" s="58" t="n">
        <v>89000</v>
      </c>
      <c r="H89" s="56" t="s">
        <v>286</v>
      </c>
      <c r="I89" s="61" t="n">
        <f aca="false">IF(OR($C89="",N($G89)=0),"",IF(OR($C89="Receipt",$C89="Other Income",$C89="Capital In",$C89="Transfer In"),$G89,0))</f>
        <v>0</v>
      </c>
      <c r="J89" s="61" t="n">
        <f aca="false">IF(OR($C89="",N($G89)=0),"",IF(I89=0,$G89,0))</f>
        <v>89000</v>
      </c>
      <c r="K89" s="60" t="str">
        <f aca="false">IF($C89="","",IF(AND(OR($C89="Receipt",$C89="Payment"),$D89=""),"Party needed",IF(AND(OR($C89="Expense",$C89="Other Income"),$E89=""),"Head needed",IF($F89="","Account needed","OK"))))</f>
        <v>OK</v>
      </c>
    </row>
    <row r="90" customFormat="false" ht="15" hidden="false" customHeight="false" outlineLevel="0" collapsed="false">
      <c r="A90" s="55" t="n">
        <v>46260</v>
      </c>
      <c r="B90" s="56" t="s">
        <v>356</v>
      </c>
      <c r="C90" s="56" t="s">
        <v>287</v>
      </c>
      <c r="D90" s="56"/>
      <c r="E90" s="56"/>
      <c r="F90" s="56" t="s">
        <v>74</v>
      </c>
      <c r="G90" s="58" t="n">
        <v>89000</v>
      </c>
      <c r="H90" s="56" t="s">
        <v>286</v>
      </c>
      <c r="I90" s="61" t="n">
        <f aca="false">IF(OR($C90="",N($G90)=0),"",IF(OR($C90="Receipt",$C90="Other Income",$C90="Capital In",$C90="Transfer In"),$G90,0))</f>
        <v>89000</v>
      </c>
      <c r="J90" s="61" t="n">
        <f aca="false">IF(OR($C90="",N($G90)=0),"",IF(I90=0,$G90,0))</f>
        <v>0</v>
      </c>
      <c r="K90" s="60" t="str">
        <f aca="false">IF($C90="","",IF(AND(OR($C90="Receipt",$C90="Payment"),$D90=""),"Party needed",IF(AND(OR($C90="Expense",$C90="Other Income"),$E90=""),"Head needed",IF($F90="","Account needed","OK"))))</f>
        <v>OK</v>
      </c>
    </row>
    <row r="91" customFormat="false" ht="15" hidden="false" customHeight="false" outlineLevel="0" collapsed="false">
      <c r="A91" s="55" t="n">
        <v>46260</v>
      </c>
      <c r="B91" s="56" t="s">
        <v>357</v>
      </c>
      <c r="C91" s="56" t="s">
        <v>285</v>
      </c>
      <c r="D91" s="56"/>
      <c r="E91" s="56"/>
      <c r="F91" s="56" t="s">
        <v>90</v>
      </c>
      <c r="G91" s="58" t="n">
        <v>53000</v>
      </c>
      <c r="H91" s="56" t="s">
        <v>289</v>
      </c>
      <c r="I91" s="61" t="n">
        <f aca="false">IF(OR($C91="",N($G91)=0),"",IF(OR($C91="Receipt",$C91="Other Income",$C91="Capital In",$C91="Transfer In"),$G91,0))</f>
        <v>0</v>
      </c>
      <c r="J91" s="61" t="n">
        <f aca="false">IF(OR($C91="",N($G91)=0),"",IF(I91=0,$G91,0))</f>
        <v>53000</v>
      </c>
      <c r="K91" s="60" t="str">
        <f aca="false">IF($C91="","",IF(AND(OR($C91="Receipt",$C91="Payment"),$D91=""),"Party needed",IF(AND(OR($C91="Expense",$C91="Other Income"),$E91=""),"Head needed",IF($F91="","Account needed","OK"))))</f>
        <v>OK</v>
      </c>
    </row>
    <row r="92" customFormat="false" ht="15" hidden="false" customHeight="false" outlineLevel="0" collapsed="false">
      <c r="A92" s="55" t="n">
        <v>46260</v>
      </c>
      <c r="B92" s="56" t="s">
        <v>357</v>
      </c>
      <c r="C92" s="56" t="s">
        <v>287</v>
      </c>
      <c r="D92" s="56"/>
      <c r="E92" s="56"/>
      <c r="F92" s="56" t="s">
        <v>74</v>
      </c>
      <c r="G92" s="58" t="n">
        <v>53000</v>
      </c>
      <c r="H92" s="56" t="s">
        <v>289</v>
      </c>
      <c r="I92" s="61" t="n">
        <f aca="false">IF(OR($C92="",N($G92)=0),"",IF(OR($C92="Receipt",$C92="Other Income",$C92="Capital In",$C92="Transfer In"),$G92,0))</f>
        <v>53000</v>
      </c>
      <c r="J92" s="61" t="n">
        <f aca="false">IF(OR($C92="",N($G92)=0),"",IF(I92=0,$G92,0))</f>
        <v>0</v>
      </c>
      <c r="K92" s="60" t="str">
        <f aca="false">IF($C92="","",IF(AND(OR($C92="Receipt",$C92="Payment"),$D92=""),"Party needed",IF(AND(OR($C92="Expense",$C92="Other Income"),$E92=""),"Head needed",IF($F92="","Account needed","OK"))))</f>
        <v>OK</v>
      </c>
    </row>
    <row r="93" customFormat="false" ht="15" hidden="false" customHeight="false" outlineLevel="0" collapsed="false">
      <c r="A93" s="55" t="n">
        <v>46266</v>
      </c>
      <c r="B93" s="56" t="s">
        <v>358</v>
      </c>
      <c r="C93" s="56" t="s">
        <v>359</v>
      </c>
      <c r="D93" s="56"/>
      <c r="E93" s="56"/>
      <c r="F93" s="56" t="s">
        <v>74</v>
      </c>
      <c r="G93" s="58" t="n">
        <v>30000</v>
      </c>
      <c r="H93" s="56" t="s">
        <v>360</v>
      </c>
      <c r="I93" s="61" t="n">
        <f aca="false">IF(OR($C93="",N($G93)=0),"",IF(OR($C93="Receipt",$C93="Other Income",$C93="Capital In",$C93="Transfer In"),$G93,0))</f>
        <v>0</v>
      </c>
      <c r="J93" s="61" t="n">
        <f aca="false">IF(OR($C93="",N($G93)=0),"",IF(I93=0,$G93,0))</f>
        <v>30000</v>
      </c>
      <c r="K93" s="60" t="str">
        <f aca="false">IF($C93="","",IF(AND(OR($C93="Receipt",$C93="Payment"),$D93=""),"Party needed",IF(AND(OR($C93="Expense",$C93="Other Income"),$E93=""),"Head needed",IF($F93="","Account needed","OK"))))</f>
        <v>OK</v>
      </c>
    </row>
    <row r="94" customFormat="false" ht="15" hidden="false" customHeight="false" outlineLevel="0" collapsed="false">
      <c r="A94" s="55" t="n">
        <v>46270</v>
      </c>
      <c r="B94" s="56" t="s">
        <v>361</v>
      </c>
      <c r="C94" s="56" t="s">
        <v>264</v>
      </c>
      <c r="D94" s="56"/>
      <c r="E94" s="56" t="s">
        <v>265</v>
      </c>
      <c r="F94" s="56" t="s">
        <v>74</v>
      </c>
      <c r="G94" s="58" t="n">
        <v>9000</v>
      </c>
      <c r="H94" s="56"/>
      <c r="I94" s="61" t="n">
        <f aca="false">IF(OR($C94="",N($G94)=0),"",IF(OR($C94="Receipt",$C94="Other Income",$C94="Capital In",$C94="Transfer In"),$G94,0))</f>
        <v>0</v>
      </c>
      <c r="J94" s="61" t="n">
        <f aca="false">IF(OR($C94="",N($G94)=0),"",IF(I94=0,$G94,0))</f>
        <v>9000</v>
      </c>
      <c r="K94" s="60" t="str">
        <f aca="false">IF($C94="","",IF(AND(OR($C94="Receipt",$C94="Payment"),$D94=""),"Party needed",IF(AND(OR($C94="Expense",$C94="Other Income"),$E94=""),"Head needed",IF($F94="","Account needed","OK"))))</f>
        <v>OK</v>
      </c>
    </row>
    <row r="95" customFormat="false" ht="15" hidden="false" customHeight="false" outlineLevel="0" collapsed="false">
      <c r="A95" s="55" t="n">
        <v>46270</v>
      </c>
      <c r="B95" s="56" t="s">
        <v>362</v>
      </c>
      <c r="C95" s="56" t="s">
        <v>264</v>
      </c>
      <c r="D95" s="56"/>
      <c r="E95" s="56" t="s">
        <v>267</v>
      </c>
      <c r="F95" s="56" t="s">
        <v>74</v>
      </c>
      <c r="G95" s="58" t="n">
        <v>12000</v>
      </c>
      <c r="H95" s="56"/>
      <c r="I95" s="61" t="n">
        <f aca="false">IF(OR($C95="",N($G95)=0),"",IF(OR($C95="Receipt",$C95="Other Income",$C95="Capital In",$C95="Transfer In"),$G95,0))</f>
        <v>0</v>
      </c>
      <c r="J95" s="61" t="n">
        <f aca="false">IF(OR($C95="",N($G95)=0),"",IF(I95=0,$G95,0))</f>
        <v>12000</v>
      </c>
      <c r="K95" s="60" t="str">
        <f aca="false">IF($C95="","",IF(AND(OR($C95="Receipt",$C95="Payment"),$D95=""),"Party needed",IF(AND(OR($C95="Expense",$C95="Other Income"),$E95=""),"Head needed",IF($F95="","Account needed","OK"))))</f>
        <v>OK</v>
      </c>
    </row>
    <row r="96" customFormat="false" ht="15" hidden="false" customHeight="false" outlineLevel="0" collapsed="false">
      <c r="A96" s="55" t="n">
        <v>46270</v>
      </c>
      <c r="B96" s="56" t="s">
        <v>363</v>
      </c>
      <c r="C96" s="56" t="s">
        <v>264</v>
      </c>
      <c r="D96" s="56"/>
      <c r="E96" s="56" t="s">
        <v>269</v>
      </c>
      <c r="F96" s="56" t="s">
        <v>90</v>
      </c>
      <c r="G96" s="58" t="n">
        <v>3249</v>
      </c>
      <c r="H96" s="56"/>
      <c r="I96" s="61" t="n">
        <f aca="false">IF(OR($C96="",N($G96)=0),"",IF(OR($C96="Receipt",$C96="Other Income",$C96="Capital In",$C96="Transfer In"),$G96,0))</f>
        <v>0</v>
      </c>
      <c r="J96" s="61" t="n">
        <f aca="false">IF(OR($C96="",N($G96)=0),"",IF(I96=0,$G96,0))</f>
        <v>3249</v>
      </c>
      <c r="K96" s="60" t="str">
        <f aca="false">IF($C96="","",IF(AND(OR($C96="Receipt",$C96="Payment"),$D96=""),"Party needed",IF(AND(OR($C96="Expense",$C96="Other Income"),$E96=""),"Head needed",IF($F96="","Account needed","OK"))))</f>
        <v>OK</v>
      </c>
    </row>
    <row r="97" customFormat="false" ht="15" hidden="false" customHeight="false" outlineLevel="0" collapsed="false">
      <c r="A97" s="55" t="n">
        <v>46270</v>
      </c>
      <c r="B97" s="56" t="s">
        <v>364</v>
      </c>
      <c r="C97" s="56" t="s">
        <v>264</v>
      </c>
      <c r="D97" s="56"/>
      <c r="E97" s="56" t="s">
        <v>271</v>
      </c>
      <c r="F97" s="56" t="s">
        <v>103</v>
      </c>
      <c r="G97" s="58" t="n">
        <v>6415</v>
      </c>
      <c r="H97" s="56"/>
      <c r="I97" s="61" t="n">
        <f aca="false">IF(OR($C97="",N($G97)=0),"",IF(OR($C97="Receipt",$C97="Other Income",$C97="Capital In",$C97="Transfer In"),$G97,0))</f>
        <v>0</v>
      </c>
      <c r="J97" s="61" t="n">
        <f aca="false">IF(OR($C97="",N($G97)=0),"",IF(I97=0,$G97,0))</f>
        <v>6415</v>
      </c>
      <c r="K97" s="60" t="str">
        <f aca="false">IF($C97="","",IF(AND(OR($C97="Receipt",$C97="Payment"),$D97=""),"Party needed",IF(AND(OR($C97="Expense",$C97="Other Income"),$E97=""),"Head needed",IF($F97="","Account needed","OK"))))</f>
        <v>OK</v>
      </c>
    </row>
    <row r="98" customFormat="false" ht="15" hidden="false" customHeight="false" outlineLevel="0" collapsed="false">
      <c r="A98" s="55" t="n">
        <v>46270</v>
      </c>
      <c r="B98" s="56" t="s">
        <v>365</v>
      </c>
      <c r="C98" s="56" t="s">
        <v>264</v>
      </c>
      <c r="D98" s="56"/>
      <c r="E98" s="56" t="s">
        <v>273</v>
      </c>
      <c r="F98" s="56" t="s">
        <v>90</v>
      </c>
      <c r="G98" s="58" t="n">
        <v>1199</v>
      </c>
      <c r="H98" s="56"/>
      <c r="I98" s="61" t="n">
        <f aca="false">IF(OR($C98="",N($G98)=0),"",IF(OR($C98="Receipt",$C98="Other Income",$C98="Capital In",$C98="Transfer In"),$G98,0))</f>
        <v>0</v>
      </c>
      <c r="J98" s="61" t="n">
        <f aca="false">IF(OR($C98="",N($G98)=0),"",IF(I98=0,$G98,0))</f>
        <v>1199</v>
      </c>
      <c r="K98" s="60" t="str">
        <f aca="false">IF($C98="","",IF(AND(OR($C98="Receipt",$C98="Payment"),$D98=""),"Party needed",IF(AND(OR($C98="Expense",$C98="Other Income"),$E98=""),"Head needed",IF($F98="","Account needed","OK"))))</f>
        <v>OK</v>
      </c>
    </row>
    <row r="99" customFormat="false" ht="15" hidden="false" customHeight="false" outlineLevel="0" collapsed="false">
      <c r="A99" s="55" t="n">
        <v>46275</v>
      </c>
      <c r="B99" s="56" t="s">
        <v>366</v>
      </c>
      <c r="C99" s="56" t="s">
        <v>275</v>
      </c>
      <c r="D99" s="56" t="s">
        <v>72</v>
      </c>
      <c r="E99" s="56"/>
      <c r="F99" s="56" t="s">
        <v>74</v>
      </c>
      <c r="G99" s="58" t="n">
        <v>22100</v>
      </c>
      <c r="H99" s="56" t="s">
        <v>276</v>
      </c>
      <c r="I99" s="61" t="n">
        <f aca="false">IF(OR($C99="",N($G99)=0),"",IF(OR($C99="Receipt",$C99="Other Income",$C99="Capital In",$C99="Transfer In"),$G99,0))</f>
        <v>22100</v>
      </c>
      <c r="J99" s="61" t="n">
        <f aca="false">IF(OR($C99="",N($G99)=0),"",IF(I99=0,$G99,0))</f>
        <v>0</v>
      </c>
      <c r="K99" s="60" t="str">
        <f aca="false">IF($C99="","",IF(AND(OR($C99="Receipt",$C99="Payment"),$D99=""),"Party needed",IF(AND(OR($C99="Expense",$C99="Other Income"),$E99=""),"Head needed",IF($F99="","Account needed","OK"))))</f>
        <v>OK</v>
      </c>
    </row>
    <row r="100" customFormat="false" ht="15" hidden="false" customHeight="false" outlineLevel="0" collapsed="false">
      <c r="A100" s="55" t="n">
        <v>46275</v>
      </c>
      <c r="B100" s="56" t="s">
        <v>367</v>
      </c>
      <c r="C100" s="56" t="s">
        <v>275</v>
      </c>
      <c r="D100" s="56" t="s">
        <v>77</v>
      </c>
      <c r="E100" s="56"/>
      <c r="F100" s="56" t="s">
        <v>74</v>
      </c>
      <c r="G100" s="58" t="n">
        <v>12400</v>
      </c>
      <c r="H100" s="56" t="s">
        <v>276</v>
      </c>
      <c r="I100" s="61" t="n">
        <f aca="false">IF(OR($C100="",N($G100)=0),"",IF(OR($C100="Receipt",$C100="Other Income",$C100="Capital In",$C100="Transfer In"),$G100,0))</f>
        <v>12400</v>
      </c>
      <c r="J100" s="61" t="n">
        <f aca="false">IF(OR($C100="",N($G100)=0),"",IF(I100=0,$G100,0))</f>
        <v>0</v>
      </c>
      <c r="K100" s="60" t="str">
        <f aca="false">IF($C100="","",IF(AND(OR($C100="Receipt",$C100="Payment"),$D100=""),"Party needed",IF(AND(OR($C100="Expense",$C100="Other Income"),$E100=""),"Head needed",IF($F100="","Account needed","OK"))))</f>
        <v>OK</v>
      </c>
    </row>
    <row r="101" customFormat="false" ht="15" hidden="false" customHeight="false" outlineLevel="0" collapsed="false">
      <c r="A101" s="55" t="n">
        <v>46275</v>
      </c>
      <c r="B101" s="56" t="s">
        <v>368</v>
      </c>
      <c r="C101" s="56" t="s">
        <v>275</v>
      </c>
      <c r="D101" s="56" t="s">
        <v>81</v>
      </c>
      <c r="E101" s="56"/>
      <c r="F101" s="56" t="s">
        <v>74</v>
      </c>
      <c r="G101" s="58" t="n">
        <v>12800</v>
      </c>
      <c r="H101" s="56" t="s">
        <v>276</v>
      </c>
      <c r="I101" s="61" t="n">
        <f aca="false">IF(OR($C101="",N($G101)=0),"",IF(OR($C101="Receipt",$C101="Other Income",$C101="Capital In",$C101="Transfer In"),$G101,0))</f>
        <v>12800</v>
      </c>
      <c r="J101" s="61" t="n">
        <f aca="false">IF(OR($C101="",N($G101)=0),"",IF(I101=0,$G101,0))</f>
        <v>0</v>
      </c>
      <c r="K101" s="60" t="str">
        <f aca="false">IF($C101="","",IF(AND(OR($C101="Receipt",$C101="Payment"),$D101=""),"Party needed",IF(AND(OR($C101="Expense",$C101="Other Income"),$E101=""),"Head needed",IF($F101="","Account needed","OK"))))</f>
        <v>OK</v>
      </c>
    </row>
    <row r="102" customFormat="false" ht="15" hidden="false" customHeight="false" outlineLevel="0" collapsed="false">
      <c r="A102" s="55" t="n">
        <v>46275</v>
      </c>
      <c r="B102" s="56" t="s">
        <v>369</v>
      </c>
      <c r="C102" s="56" t="s">
        <v>275</v>
      </c>
      <c r="D102" s="56" t="s">
        <v>88</v>
      </c>
      <c r="E102" s="56"/>
      <c r="F102" s="56" t="s">
        <v>90</v>
      </c>
      <c r="G102" s="58" t="n">
        <v>12700</v>
      </c>
      <c r="H102" s="56" t="s">
        <v>276</v>
      </c>
      <c r="I102" s="61" t="n">
        <f aca="false">IF(OR($C102="",N($G102)=0),"",IF(OR($C102="Receipt",$C102="Other Income",$C102="Capital In",$C102="Transfer In"),$G102,0))</f>
        <v>12700</v>
      </c>
      <c r="J102" s="61" t="n">
        <f aca="false">IF(OR($C102="",N($G102)=0),"",IF(I102=0,$G102,0))</f>
        <v>0</v>
      </c>
      <c r="K102" s="60" t="str">
        <f aca="false">IF($C102="","",IF(AND(OR($C102="Receipt",$C102="Payment"),$D102=""),"Party needed",IF(AND(OR($C102="Expense",$C102="Other Income"),$E102=""),"Head needed",IF($F102="","Account needed","OK"))))</f>
        <v>OK</v>
      </c>
    </row>
    <row r="103" customFormat="false" ht="15" hidden="false" customHeight="false" outlineLevel="0" collapsed="false">
      <c r="A103" s="55" t="n">
        <v>46275</v>
      </c>
      <c r="B103" s="56" t="s">
        <v>370</v>
      </c>
      <c r="C103" s="56" t="s">
        <v>275</v>
      </c>
      <c r="D103" s="56" t="s">
        <v>84</v>
      </c>
      <c r="E103" s="56"/>
      <c r="F103" s="56" t="s">
        <v>74</v>
      </c>
      <c r="G103" s="58" t="n">
        <v>18800</v>
      </c>
      <c r="H103" s="56" t="s">
        <v>276</v>
      </c>
      <c r="I103" s="61" t="n">
        <f aca="false">IF(OR($C103="",N($G103)=0),"",IF(OR($C103="Receipt",$C103="Other Income",$C103="Capital In",$C103="Transfer In"),$G103,0))</f>
        <v>18800</v>
      </c>
      <c r="J103" s="61" t="n">
        <f aca="false">IF(OR($C103="",N($G103)=0),"",IF(I103=0,$G103,0))</f>
        <v>0</v>
      </c>
      <c r="K103" s="60" t="str">
        <f aca="false">IF($C103="","",IF(AND(OR($C103="Receipt",$C103="Payment"),$D103=""),"Party needed",IF(AND(OR($C103="Expense",$C103="Other Income"),$E103=""),"Head needed",IF($F103="","Account needed","OK"))))</f>
        <v>OK</v>
      </c>
    </row>
    <row r="104" customFormat="false" ht="15" hidden="false" customHeight="false" outlineLevel="0" collapsed="false">
      <c r="A104" s="55" t="n">
        <v>46275</v>
      </c>
      <c r="B104" s="56" t="s">
        <v>371</v>
      </c>
      <c r="C104" s="56" t="s">
        <v>280</v>
      </c>
      <c r="D104" s="56" t="s">
        <v>229</v>
      </c>
      <c r="E104" s="56"/>
      <c r="F104" s="56" t="s">
        <v>74</v>
      </c>
      <c r="G104" s="58" t="n">
        <v>85000</v>
      </c>
      <c r="H104" s="56" t="s">
        <v>281</v>
      </c>
      <c r="I104" s="61" t="n">
        <f aca="false">IF(OR($C104="",N($G104)=0),"",IF(OR($C104="Receipt",$C104="Other Income",$C104="Capital In",$C104="Transfer In"),$G104,0))</f>
        <v>0</v>
      </c>
      <c r="J104" s="61" t="n">
        <f aca="false">IF(OR($C104="",N($G104)=0),"",IF(I104=0,$G104,0))</f>
        <v>85000</v>
      </c>
      <c r="K104" s="60" t="str">
        <f aca="false">IF($C104="","",IF(AND(OR($C104="Receipt",$C104="Payment"),$D104=""),"Party needed",IF(AND(OR($C104="Expense",$C104="Other Income"),$E104=""),"Head needed",IF($F104="","Account needed","OK"))))</f>
        <v>OK</v>
      </c>
    </row>
    <row r="105" customFormat="false" ht="15" hidden="false" customHeight="false" outlineLevel="0" collapsed="false">
      <c r="A105" s="55" t="n">
        <v>46275</v>
      </c>
      <c r="B105" s="56" t="s">
        <v>372</v>
      </c>
      <c r="C105" s="56" t="s">
        <v>280</v>
      </c>
      <c r="D105" s="56" t="s">
        <v>226</v>
      </c>
      <c r="E105" s="56"/>
      <c r="F105" s="56" t="s">
        <v>74</v>
      </c>
      <c r="G105" s="58" t="n">
        <v>39000</v>
      </c>
      <c r="H105" s="56" t="s">
        <v>281</v>
      </c>
      <c r="I105" s="61" t="n">
        <f aca="false">IF(OR($C105="",N($G105)=0),"",IF(OR($C105="Receipt",$C105="Other Income",$C105="Capital In",$C105="Transfer In"),$G105,0))</f>
        <v>0</v>
      </c>
      <c r="J105" s="61" t="n">
        <f aca="false">IF(OR($C105="",N($G105)=0),"",IF(I105=0,$G105,0))</f>
        <v>39000</v>
      </c>
      <c r="K105" s="60" t="str">
        <f aca="false">IF($C105="","",IF(AND(OR($C105="Receipt",$C105="Payment"),$D105=""),"Party needed",IF(AND(OR($C105="Expense",$C105="Other Income"),$E105=""),"Head needed",IF($F105="","Account needed","OK"))))</f>
        <v>OK</v>
      </c>
    </row>
    <row r="106" customFormat="false" ht="15" hidden="false" customHeight="false" outlineLevel="0" collapsed="false">
      <c r="A106" s="55" t="n">
        <v>46275</v>
      </c>
      <c r="B106" s="56" t="s">
        <v>373</v>
      </c>
      <c r="C106" s="56" t="s">
        <v>280</v>
      </c>
      <c r="D106" s="56" t="s">
        <v>84</v>
      </c>
      <c r="E106" s="56"/>
      <c r="F106" s="56" t="s">
        <v>74</v>
      </c>
      <c r="G106" s="58" t="n">
        <v>13000</v>
      </c>
      <c r="H106" s="56" t="s">
        <v>281</v>
      </c>
      <c r="I106" s="61" t="n">
        <f aca="false">IF(OR($C106="",N($G106)=0),"",IF(OR($C106="Receipt",$C106="Other Income",$C106="Capital In",$C106="Transfer In"),$G106,0))</f>
        <v>0</v>
      </c>
      <c r="J106" s="61" t="n">
        <f aca="false">IF(OR($C106="",N($G106)=0),"",IF(I106=0,$G106,0))</f>
        <v>13000</v>
      </c>
      <c r="K106" s="60" t="str">
        <f aca="false">IF($C106="","",IF(AND(OR($C106="Receipt",$C106="Payment"),$D106=""),"Party needed",IF(AND(OR($C106="Expense",$C106="Other Income"),$E106=""),"Head needed",IF($F106="","Account needed","OK"))))</f>
        <v>OK</v>
      </c>
    </row>
    <row r="107" customFormat="false" ht="15" hidden="false" customHeight="false" outlineLevel="0" collapsed="false">
      <c r="A107" s="55" t="n">
        <v>46275</v>
      </c>
      <c r="B107" s="56" t="s">
        <v>374</v>
      </c>
      <c r="C107" s="56" t="s">
        <v>280</v>
      </c>
      <c r="D107" s="56" t="s">
        <v>233</v>
      </c>
      <c r="E107" s="56"/>
      <c r="F107" s="56" t="s">
        <v>74</v>
      </c>
      <c r="G107" s="58" t="n">
        <v>8000</v>
      </c>
      <c r="H107" s="56" t="s">
        <v>281</v>
      </c>
      <c r="I107" s="61" t="n">
        <f aca="false">IF(OR($C107="",N($G107)=0),"",IF(OR($C107="Receipt",$C107="Other Income",$C107="Capital In",$C107="Transfer In"),$G107,0))</f>
        <v>0</v>
      </c>
      <c r="J107" s="61" t="n">
        <f aca="false">IF(OR($C107="",N($G107)=0),"",IF(I107=0,$G107,0))</f>
        <v>8000</v>
      </c>
      <c r="K107" s="60" t="str">
        <f aca="false">IF($C107="","",IF(AND(OR($C107="Receipt",$C107="Payment"),$D107=""),"Party needed",IF(AND(OR($C107="Expense",$C107="Other Income"),$E107=""),"Head needed",IF($F107="","Account needed","OK"))))</f>
        <v>OK</v>
      </c>
    </row>
    <row r="108" customFormat="false" ht="15" hidden="false" customHeight="false" outlineLevel="0" collapsed="false">
      <c r="A108" s="55" t="n">
        <v>46291</v>
      </c>
      <c r="B108" s="56" t="s">
        <v>375</v>
      </c>
      <c r="C108" s="56" t="s">
        <v>285</v>
      </c>
      <c r="D108" s="56"/>
      <c r="E108" s="56"/>
      <c r="F108" s="56" t="s">
        <v>103</v>
      </c>
      <c r="G108" s="58" t="n">
        <v>82000</v>
      </c>
      <c r="H108" s="56" t="s">
        <v>286</v>
      </c>
      <c r="I108" s="61" t="n">
        <f aca="false">IF(OR($C108="",N($G108)=0),"",IF(OR($C108="Receipt",$C108="Other Income",$C108="Capital In",$C108="Transfer In"),$G108,0))</f>
        <v>0</v>
      </c>
      <c r="J108" s="61" t="n">
        <f aca="false">IF(OR($C108="",N($G108)=0),"",IF(I108=0,$G108,0))</f>
        <v>82000</v>
      </c>
      <c r="K108" s="60" t="str">
        <f aca="false">IF($C108="","",IF(AND(OR($C108="Receipt",$C108="Payment"),$D108=""),"Party needed",IF(AND(OR($C108="Expense",$C108="Other Income"),$E108=""),"Head needed",IF($F108="","Account needed","OK"))))</f>
        <v>OK</v>
      </c>
    </row>
    <row r="109" customFormat="false" ht="15" hidden="false" customHeight="false" outlineLevel="0" collapsed="false">
      <c r="A109" s="55" t="n">
        <v>46291</v>
      </c>
      <c r="B109" s="56" t="s">
        <v>375</v>
      </c>
      <c r="C109" s="56" t="s">
        <v>287</v>
      </c>
      <c r="D109" s="56"/>
      <c r="E109" s="56"/>
      <c r="F109" s="56" t="s">
        <v>74</v>
      </c>
      <c r="G109" s="58" t="n">
        <v>82000</v>
      </c>
      <c r="H109" s="56" t="s">
        <v>286</v>
      </c>
      <c r="I109" s="61" t="n">
        <f aca="false">IF(OR($C109="",N($G109)=0),"",IF(OR($C109="Receipt",$C109="Other Income",$C109="Capital In",$C109="Transfer In"),$G109,0))</f>
        <v>82000</v>
      </c>
      <c r="J109" s="61" t="n">
        <f aca="false">IF(OR($C109="",N($G109)=0),"",IF(I109=0,$G109,0))</f>
        <v>0</v>
      </c>
      <c r="K109" s="60" t="str">
        <f aca="false">IF($C109="","",IF(AND(OR($C109="Receipt",$C109="Payment"),$D109=""),"Party needed",IF(AND(OR($C109="Expense",$C109="Other Income"),$E109=""),"Head needed",IF($F109="","Account needed","OK"))))</f>
        <v>OK</v>
      </c>
    </row>
    <row r="110" customFormat="false" ht="15" hidden="false" customHeight="false" outlineLevel="0" collapsed="false">
      <c r="A110" s="55" t="n">
        <v>46291</v>
      </c>
      <c r="B110" s="56" t="s">
        <v>376</v>
      </c>
      <c r="C110" s="56" t="s">
        <v>285</v>
      </c>
      <c r="D110" s="56"/>
      <c r="E110" s="56"/>
      <c r="F110" s="56" t="s">
        <v>90</v>
      </c>
      <c r="G110" s="58" t="n">
        <v>58000</v>
      </c>
      <c r="H110" s="56" t="s">
        <v>289</v>
      </c>
      <c r="I110" s="61" t="n">
        <f aca="false">IF(OR($C110="",N($G110)=0),"",IF(OR($C110="Receipt",$C110="Other Income",$C110="Capital In",$C110="Transfer In"),$G110,0))</f>
        <v>0</v>
      </c>
      <c r="J110" s="61" t="n">
        <f aca="false">IF(OR($C110="",N($G110)=0),"",IF(I110=0,$G110,0))</f>
        <v>58000</v>
      </c>
      <c r="K110" s="60" t="str">
        <f aca="false">IF($C110="","",IF(AND(OR($C110="Receipt",$C110="Payment"),$D110=""),"Party needed",IF(AND(OR($C110="Expense",$C110="Other Income"),$E110=""),"Head needed",IF($F110="","Account needed","OK"))))</f>
        <v>OK</v>
      </c>
    </row>
    <row r="111" customFormat="false" ht="15" hidden="false" customHeight="false" outlineLevel="0" collapsed="false">
      <c r="A111" s="55" t="n">
        <v>46291</v>
      </c>
      <c r="B111" s="56" t="s">
        <v>376</v>
      </c>
      <c r="C111" s="56" t="s">
        <v>287</v>
      </c>
      <c r="D111" s="56"/>
      <c r="E111" s="56"/>
      <c r="F111" s="56" t="s">
        <v>74</v>
      </c>
      <c r="G111" s="58" t="n">
        <v>58000</v>
      </c>
      <c r="H111" s="56" t="s">
        <v>289</v>
      </c>
      <c r="I111" s="61" t="n">
        <f aca="false">IF(OR($C111="",N($G111)=0),"",IF(OR($C111="Receipt",$C111="Other Income",$C111="Capital In",$C111="Transfer In"),$G111,0))</f>
        <v>58000</v>
      </c>
      <c r="J111" s="61" t="n">
        <f aca="false">IF(OR($C111="",N($G111)=0),"",IF(I111=0,$G111,0))</f>
        <v>0</v>
      </c>
      <c r="K111" s="60" t="str">
        <f aca="false">IF($C111="","",IF(AND(OR($C111="Receipt",$C111="Payment"),$D111=""),"Party needed",IF(AND(OR($C111="Expense",$C111="Other Income"),$E111=""),"Head needed",IF($F111="","Account needed","OK"))))</f>
        <v>OK</v>
      </c>
    </row>
    <row r="112" customFormat="false" ht="15" hidden="false" customHeight="false" outlineLevel="0" collapsed="false">
      <c r="A112" s="55" t="n">
        <v>46300</v>
      </c>
      <c r="B112" s="56" t="s">
        <v>377</v>
      </c>
      <c r="C112" s="56" t="s">
        <v>264</v>
      </c>
      <c r="D112" s="56"/>
      <c r="E112" s="56" t="s">
        <v>265</v>
      </c>
      <c r="F112" s="56" t="s">
        <v>74</v>
      </c>
      <c r="G112" s="58" t="n">
        <v>9000</v>
      </c>
      <c r="H112" s="56"/>
      <c r="I112" s="61" t="n">
        <f aca="false">IF(OR($C112="",N($G112)=0),"",IF(OR($C112="Receipt",$C112="Other Income",$C112="Capital In",$C112="Transfer In"),$G112,0))</f>
        <v>0</v>
      </c>
      <c r="J112" s="61" t="n">
        <f aca="false">IF(OR($C112="",N($G112)=0),"",IF(I112=0,$G112,0))</f>
        <v>9000</v>
      </c>
      <c r="K112" s="60" t="str">
        <f aca="false">IF($C112="","",IF(AND(OR($C112="Receipt",$C112="Payment"),$D112=""),"Party needed",IF(AND(OR($C112="Expense",$C112="Other Income"),$E112=""),"Head needed",IF($F112="","Account needed","OK"))))</f>
        <v>OK</v>
      </c>
    </row>
    <row r="113" customFormat="false" ht="15" hidden="false" customHeight="false" outlineLevel="0" collapsed="false">
      <c r="A113" s="55" t="n">
        <v>46300</v>
      </c>
      <c r="B113" s="56" t="s">
        <v>378</v>
      </c>
      <c r="C113" s="56" t="s">
        <v>264</v>
      </c>
      <c r="D113" s="56"/>
      <c r="E113" s="56" t="s">
        <v>267</v>
      </c>
      <c r="F113" s="56" t="s">
        <v>74</v>
      </c>
      <c r="G113" s="58" t="n">
        <v>12000</v>
      </c>
      <c r="H113" s="56"/>
      <c r="I113" s="61" t="n">
        <f aca="false">IF(OR($C113="",N($G113)=0),"",IF(OR($C113="Receipt",$C113="Other Income",$C113="Capital In",$C113="Transfer In"),$G113,0))</f>
        <v>0</v>
      </c>
      <c r="J113" s="61" t="n">
        <f aca="false">IF(OR($C113="",N($G113)=0),"",IF(I113=0,$G113,0))</f>
        <v>12000</v>
      </c>
      <c r="K113" s="60" t="str">
        <f aca="false">IF($C113="","",IF(AND(OR($C113="Receipt",$C113="Payment"),$D113=""),"Party needed",IF(AND(OR($C113="Expense",$C113="Other Income"),$E113=""),"Head needed",IF($F113="","Account needed","OK"))))</f>
        <v>OK</v>
      </c>
    </row>
    <row r="114" customFormat="false" ht="15" hidden="false" customHeight="false" outlineLevel="0" collapsed="false">
      <c r="A114" s="55" t="n">
        <v>46300</v>
      </c>
      <c r="B114" s="56" t="s">
        <v>379</v>
      </c>
      <c r="C114" s="56" t="s">
        <v>264</v>
      </c>
      <c r="D114" s="56"/>
      <c r="E114" s="56" t="s">
        <v>269</v>
      </c>
      <c r="F114" s="56" t="s">
        <v>90</v>
      </c>
      <c r="G114" s="58" t="n">
        <v>3985</v>
      </c>
      <c r="H114" s="56"/>
      <c r="I114" s="61" t="n">
        <f aca="false">IF(OR($C114="",N($G114)=0),"",IF(OR($C114="Receipt",$C114="Other Income",$C114="Capital In",$C114="Transfer In"),$G114,0))</f>
        <v>0</v>
      </c>
      <c r="J114" s="61" t="n">
        <f aca="false">IF(OR($C114="",N($G114)=0),"",IF(I114=0,$G114,0))</f>
        <v>3985</v>
      </c>
      <c r="K114" s="60" t="str">
        <f aca="false">IF($C114="","",IF(AND(OR($C114="Receipt",$C114="Payment"),$D114=""),"Party needed",IF(AND(OR($C114="Expense",$C114="Other Income"),$E114=""),"Head needed",IF($F114="","Account needed","OK"))))</f>
        <v>OK</v>
      </c>
    </row>
    <row r="115" customFormat="false" ht="15" hidden="false" customHeight="false" outlineLevel="0" collapsed="false">
      <c r="A115" s="55" t="n">
        <v>46300</v>
      </c>
      <c r="B115" s="56" t="s">
        <v>380</v>
      </c>
      <c r="C115" s="56" t="s">
        <v>264</v>
      </c>
      <c r="D115" s="56"/>
      <c r="E115" s="56" t="s">
        <v>271</v>
      </c>
      <c r="F115" s="56" t="s">
        <v>103</v>
      </c>
      <c r="G115" s="58" t="n">
        <v>8518</v>
      </c>
      <c r="H115" s="56"/>
      <c r="I115" s="61" t="n">
        <f aca="false">IF(OR($C115="",N($G115)=0),"",IF(OR($C115="Receipt",$C115="Other Income",$C115="Capital In",$C115="Transfer In"),$G115,0))</f>
        <v>0</v>
      </c>
      <c r="J115" s="61" t="n">
        <f aca="false">IF(OR($C115="",N($G115)=0),"",IF(I115=0,$G115,0))</f>
        <v>8518</v>
      </c>
      <c r="K115" s="60" t="str">
        <f aca="false">IF($C115="","",IF(AND(OR($C115="Receipt",$C115="Payment"),$D115=""),"Party needed",IF(AND(OR($C115="Expense",$C115="Other Income"),$E115=""),"Head needed",IF($F115="","Account needed","OK"))))</f>
        <v>OK</v>
      </c>
    </row>
    <row r="116" customFormat="false" ht="15" hidden="false" customHeight="false" outlineLevel="0" collapsed="false">
      <c r="A116" s="55" t="n">
        <v>46300</v>
      </c>
      <c r="B116" s="56" t="s">
        <v>381</v>
      </c>
      <c r="C116" s="56" t="s">
        <v>264</v>
      </c>
      <c r="D116" s="56"/>
      <c r="E116" s="56" t="s">
        <v>273</v>
      </c>
      <c r="F116" s="56" t="s">
        <v>90</v>
      </c>
      <c r="G116" s="58" t="n">
        <v>1199</v>
      </c>
      <c r="H116" s="56"/>
      <c r="I116" s="61" t="n">
        <f aca="false">IF(OR($C116="",N($G116)=0),"",IF(OR($C116="Receipt",$C116="Other Income",$C116="Capital In",$C116="Transfer In"),$G116,0))</f>
        <v>0</v>
      </c>
      <c r="J116" s="61" t="n">
        <f aca="false">IF(OR($C116="",N($G116)=0),"",IF(I116=0,$G116,0))</f>
        <v>1199</v>
      </c>
      <c r="K116" s="60" t="str">
        <f aca="false">IF($C116="","",IF(AND(OR($C116="Receipt",$C116="Payment"),$D116=""),"Party needed",IF(AND(OR($C116="Expense",$C116="Other Income"),$E116=""),"Head needed",IF($F116="","Account needed","OK"))))</f>
        <v>OK</v>
      </c>
    </row>
    <row r="117" customFormat="false" ht="15" hidden="false" customHeight="false" outlineLevel="0" collapsed="false">
      <c r="A117" s="55" t="n">
        <v>46305</v>
      </c>
      <c r="B117" s="56" t="s">
        <v>382</v>
      </c>
      <c r="C117" s="56" t="s">
        <v>275</v>
      </c>
      <c r="D117" s="56" t="s">
        <v>72</v>
      </c>
      <c r="E117" s="56"/>
      <c r="F117" s="56" t="s">
        <v>90</v>
      </c>
      <c r="G117" s="58" t="n">
        <v>12700</v>
      </c>
      <c r="H117" s="56" t="s">
        <v>276</v>
      </c>
      <c r="I117" s="61" t="n">
        <f aca="false">IF(OR($C117="",N($G117)=0),"",IF(OR($C117="Receipt",$C117="Other Income",$C117="Capital In",$C117="Transfer In"),$G117,0))</f>
        <v>12700</v>
      </c>
      <c r="J117" s="61" t="n">
        <f aca="false">IF(OR($C117="",N($G117)=0),"",IF(I117=0,$G117,0))</f>
        <v>0</v>
      </c>
      <c r="K117" s="60" t="str">
        <f aca="false">IF($C117="","",IF(AND(OR($C117="Receipt",$C117="Payment"),$D117=""),"Party needed",IF(AND(OR($C117="Expense",$C117="Other Income"),$E117=""),"Head needed",IF($F117="","Account needed","OK"))))</f>
        <v>OK</v>
      </c>
    </row>
    <row r="118" customFormat="false" ht="15" hidden="false" customHeight="false" outlineLevel="0" collapsed="false">
      <c r="A118" s="55" t="n">
        <v>46305</v>
      </c>
      <c r="B118" s="56" t="s">
        <v>383</v>
      </c>
      <c r="C118" s="56" t="s">
        <v>275</v>
      </c>
      <c r="D118" s="56" t="s">
        <v>77</v>
      </c>
      <c r="E118" s="56"/>
      <c r="F118" s="56" t="s">
        <v>90</v>
      </c>
      <c r="G118" s="58" t="n">
        <v>16000</v>
      </c>
      <c r="H118" s="56" t="s">
        <v>276</v>
      </c>
      <c r="I118" s="61" t="n">
        <f aca="false">IF(OR($C118="",N($G118)=0),"",IF(OR($C118="Receipt",$C118="Other Income",$C118="Capital In",$C118="Transfer In"),$G118,0))</f>
        <v>16000</v>
      </c>
      <c r="J118" s="61" t="n">
        <f aca="false">IF(OR($C118="",N($G118)=0),"",IF(I118=0,$G118,0))</f>
        <v>0</v>
      </c>
      <c r="K118" s="60" t="str">
        <f aca="false">IF($C118="","",IF(AND(OR($C118="Receipt",$C118="Payment"),$D118=""),"Party needed",IF(AND(OR($C118="Expense",$C118="Other Income"),$E118=""),"Head needed",IF($F118="","Account needed","OK"))))</f>
        <v>OK</v>
      </c>
    </row>
    <row r="119" customFormat="false" ht="15" hidden="false" customHeight="false" outlineLevel="0" collapsed="false">
      <c r="A119" s="55" t="n">
        <v>46305</v>
      </c>
      <c r="B119" s="56" t="s">
        <v>384</v>
      </c>
      <c r="C119" s="56" t="s">
        <v>275</v>
      </c>
      <c r="D119" s="56" t="s">
        <v>81</v>
      </c>
      <c r="E119" s="56"/>
      <c r="F119" s="56" t="s">
        <v>90</v>
      </c>
      <c r="G119" s="58" t="n">
        <v>16100</v>
      </c>
      <c r="H119" s="56" t="s">
        <v>276</v>
      </c>
      <c r="I119" s="61" t="n">
        <f aca="false">IF(OR($C119="",N($G119)=0),"",IF(OR($C119="Receipt",$C119="Other Income",$C119="Capital In",$C119="Transfer In"),$G119,0))</f>
        <v>16100</v>
      </c>
      <c r="J119" s="61" t="n">
        <f aca="false">IF(OR($C119="",N($G119)=0),"",IF(I119=0,$G119,0))</f>
        <v>0</v>
      </c>
      <c r="K119" s="60" t="str">
        <f aca="false">IF($C119="","",IF(AND(OR($C119="Receipt",$C119="Payment"),$D119=""),"Party needed",IF(AND(OR($C119="Expense",$C119="Other Income"),$E119=""),"Head needed",IF($F119="","Account needed","OK"))))</f>
        <v>OK</v>
      </c>
    </row>
    <row r="120" customFormat="false" ht="15" hidden="false" customHeight="false" outlineLevel="0" collapsed="false">
      <c r="A120" s="55" t="n">
        <v>46305</v>
      </c>
      <c r="B120" s="56" t="s">
        <v>385</v>
      </c>
      <c r="C120" s="56" t="s">
        <v>275</v>
      </c>
      <c r="D120" s="56" t="s">
        <v>88</v>
      </c>
      <c r="E120" s="56"/>
      <c r="F120" s="56" t="s">
        <v>74</v>
      </c>
      <c r="G120" s="58" t="n">
        <v>22100</v>
      </c>
      <c r="H120" s="56" t="s">
        <v>276</v>
      </c>
      <c r="I120" s="61" t="n">
        <f aca="false">IF(OR($C120="",N($G120)=0),"",IF(OR($C120="Receipt",$C120="Other Income",$C120="Capital In",$C120="Transfer In"),$G120,0))</f>
        <v>22100</v>
      </c>
      <c r="J120" s="61" t="n">
        <f aca="false">IF(OR($C120="",N($G120)=0),"",IF(I120=0,$G120,0))</f>
        <v>0</v>
      </c>
      <c r="K120" s="60" t="str">
        <f aca="false">IF($C120="","",IF(AND(OR($C120="Receipt",$C120="Payment"),$D120=""),"Party needed",IF(AND(OR($C120="Expense",$C120="Other Income"),$E120=""),"Head needed",IF($F120="","Account needed","OK"))))</f>
        <v>OK</v>
      </c>
    </row>
    <row r="121" customFormat="false" ht="15" hidden="false" customHeight="false" outlineLevel="0" collapsed="false">
      <c r="A121" s="55" t="n">
        <v>46305</v>
      </c>
      <c r="B121" s="56" t="s">
        <v>386</v>
      </c>
      <c r="C121" s="56" t="s">
        <v>275</v>
      </c>
      <c r="D121" s="56" t="s">
        <v>84</v>
      </c>
      <c r="E121" s="56"/>
      <c r="F121" s="56" t="s">
        <v>90</v>
      </c>
      <c r="G121" s="58" t="n">
        <v>17700</v>
      </c>
      <c r="H121" s="56" t="s">
        <v>276</v>
      </c>
      <c r="I121" s="61" t="n">
        <f aca="false">IF(OR($C121="",N($G121)=0),"",IF(OR($C121="Receipt",$C121="Other Income",$C121="Capital In",$C121="Transfer In"),$G121,0))</f>
        <v>17700</v>
      </c>
      <c r="J121" s="61" t="n">
        <f aca="false">IF(OR($C121="",N($G121)=0),"",IF(I121=0,$G121,0))</f>
        <v>0</v>
      </c>
      <c r="K121" s="60" t="str">
        <f aca="false">IF($C121="","",IF(AND(OR($C121="Receipt",$C121="Payment"),$D121=""),"Party needed",IF(AND(OR($C121="Expense",$C121="Other Income"),$E121=""),"Head needed",IF($F121="","Account needed","OK"))))</f>
        <v>OK</v>
      </c>
    </row>
    <row r="122" customFormat="false" ht="15" hidden="false" customHeight="false" outlineLevel="0" collapsed="false">
      <c r="A122" s="55" t="n">
        <v>46305</v>
      </c>
      <c r="B122" s="56" t="s">
        <v>387</v>
      </c>
      <c r="C122" s="56" t="s">
        <v>280</v>
      </c>
      <c r="D122" s="56" t="s">
        <v>229</v>
      </c>
      <c r="E122" s="56"/>
      <c r="F122" s="56" t="s">
        <v>74</v>
      </c>
      <c r="G122" s="58" t="n">
        <v>38000</v>
      </c>
      <c r="H122" s="56" t="s">
        <v>281</v>
      </c>
      <c r="I122" s="61" t="n">
        <f aca="false">IF(OR($C122="",N($G122)=0),"",IF(OR($C122="Receipt",$C122="Other Income",$C122="Capital In",$C122="Transfer In"),$G122,0))</f>
        <v>0</v>
      </c>
      <c r="J122" s="61" t="n">
        <f aca="false">IF(OR($C122="",N($G122)=0),"",IF(I122=0,$G122,0))</f>
        <v>38000</v>
      </c>
      <c r="K122" s="60" t="str">
        <f aca="false">IF($C122="","",IF(AND(OR($C122="Receipt",$C122="Payment"),$D122=""),"Party needed",IF(AND(OR($C122="Expense",$C122="Other Income"),$E122=""),"Head needed",IF($F122="","Account needed","OK"))))</f>
        <v>OK</v>
      </c>
    </row>
    <row r="123" customFormat="false" ht="15" hidden="false" customHeight="false" outlineLevel="0" collapsed="false">
      <c r="A123" s="55" t="n">
        <v>46305</v>
      </c>
      <c r="B123" s="56" t="s">
        <v>388</v>
      </c>
      <c r="C123" s="56" t="s">
        <v>280</v>
      </c>
      <c r="D123" s="56" t="s">
        <v>226</v>
      </c>
      <c r="E123" s="56"/>
      <c r="F123" s="56" t="s">
        <v>74</v>
      </c>
      <c r="G123" s="58" t="n">
        <v>6000</v>
      </c>
      <c r="H123" s="56" t="s">
        <v>281</v>
      </c>
      <c r="I123" s="61" t="n">
        <f aca="false">IF(OR($C123="",N($G123)=0),"",IF(OR($C123="Receipt",$C123="Other Income",$C123="Capital In",$C123="Transfer In"),$G123,0))</f>
        <v>0</v>
      </c>
      <c r="J123" s="61" t="n">
        <f aca="false">IF(OR($C123="",N($G123)=0),"",IF(I123=0,$G123,0))</f>
        <v>6000</v>
      </c>
      <c r="K123" s="60" t="str">
        <f aca="false">IF($C123="","",IF(AND(OR($C123="Receipt",$C123="Payment"),$D123=""),"Party needed",IF(AND(OR($C123="Expense",$C123="Other Income"),$E123=""),"Head needed",IF($F123="","Account needed","OK"))))</f>
        <v>OK</v>
      </c>
    </row>
    <row r="124" customFormat="false" ht="15" hidden="false" customHeight="false" outlineLevel="0" collapsed="false">
      <c r="A124" s="55" t="n">
        <v>46305</v>
      </c>
      <c r="B124" s="56" t="s">
        <v>389</v>
      </c>
      <c r="C124" s="56" t="s">
        <v>280</v>
      </c>
      <c r="D124" s="56" t="s">
        <v>84</v>
      </c>
      <c r="E124" s="56"/>
      <c r="F124" s="56" t="s">
        <v>74</v>
      </c>
      <c r="G124" s="58" t="n">
        <v>45000</v>
      </c>
      <c r="H124" s="56" t="s">
        <v>281</v>
      </c>
      <c r="I124" s="61" t="n">
        <f aca="false">IF(OR($C124="",N($G124)=0),"",IF(OR($C124="Receipt",$C124="Other Income",$C124="Capital In",$C124="Transfer In"),$G124,0))</f>
        <v>0</v>
      </c>
      <c r="J124" s="61" t="n">
        <f aca="false">IF(OR($C124="",N($G124)=0),"",IF(I124=0,$G124,0))</f>
        <v>45000</v>
      </c>
      <c r="K124" s="60" t="str">
        <f aca="false">IF($C124="","",IF(AND(OR($C124="Receipt",$C124="Payment"),$D124=""),"Party needed",IF(AND(OR($C124="Expense",$C124="Other Income"),$E124=""),"Head needed",IF($F124="","Account needed","OK"))))</f>
        <v>OK</v>
      </c>
    </row>
    <row r="125" customFormat="false" ht="15" hidden="false" customHeight="false" outlineLevel="0" collapsed="false">
      <c r="A125" s="55" t="n">
        <v>46305</v>
      </c>
      <c r="B125" s="56" t="s">
        <v>390</v>
      </c>
      <c r="C125" s="56" t="s">
        <v>280</v>
      </c>
      <c r="D125" s="56" t="s">
        <v>233</v>
      </c>
      <c r="E125" s="56"/>
      <c r="F125" s="56" t="s">
        <v>74</v>
      </c>
      <c r="G125" s="58" t="n">
        <v>30000</v>
      </c>
      <c r="H125" s="56" t="s">
        <v>281</v>
      </c>
      <c r="I125" s="61" t="n">
        <f aca="false">IF(OR($C125="",N($G125)=0),"",IF(OR($C125="Receipt",$C125="Other Income",$C125="Capital In",$C125="Transfer In"),$G125,0))</f>
        <v>0</v>
      </c>
      <c r="J125" s="61" t="n">
        <f aca="false">IF(OR($C125="",N($G125)=0),"",IF(I125=0,$G125,0))</f>
        <v>30000</v>
      </c>
      <c r="K125" s="60" t="str">
        <f aca="false">IF($C125="","",IF(AND(OR($C125="Receipt",$C125="Payment"),$D125=""),"Party needed",IF(AND(OR($C125="Expense",$C125="Other Income"),$E125=""),"Head needed",IF($F125="","Account needed","OK"))))</f>
        <v>OK</v>
      </c>
    </row>
    <row r="126" customFormat="false" ht="15" hidden="false" customHeight="false" outlineLevel="0" collapsed="false">
      <c r="A126" s="55"/>
      <c r="B126" s="56"/>
      <c r="C126" s="56"/>
      <c r="D126" s="56"/>
      <c r="E126" s="56"/>
      <c r="F126" s="56"/>
      <c r="G126" s="58"/>
      <c r="H126" s="56"/>
      <c r="I126" s="61" t="str">
        <f aca="false">IF(OR($C126="",N($G126)=0),"",IF(OR($C126="Receipt",$C126="Other Income",$C126="Capital In",$C126="Transfer In"),$G126,0))</f>
        <v/>
      </c>
      <c r="J126" s="61" t="str">
        <f aca="false">IF(OR($C126="",N($G126)=0),"",IF(I126=0,$G126,0))</f>
        <v/>
      </c>
      <c r="K126" s="60" t="str">
        <f aca="false">IF($C126="","",IF(AND(OR($C126="Receipt",$C126="Payment"),$D126=""),"Party needed",IF(AND(OR($C126="Expense",$C126="Other Income"),$E126=""),"Head needed",IF($F126="","Account needed","OK"))))</f>
        <v/>
      </c>
    </row>
    <row r="127" customFormat="false" ht="15" hidden="false" customHeight="false" outlineLevel="0" collapsed="false">
      <c r="A127" s="55"/>
      <c r="B127" s="56"/>
      <c r="C127" s="56"/>
      <c r="D127" s="56"/>
      <c r="E127" s="56"/>
      <c r="F127" s="56"/>
      <c r="G127" s="58"/>
      <c r="H127" s="56"/>
      <c r="I127" s="61" t="str">
        <f aca="false">IF(OR($C127="",N($G127)=0),"",IF(OR($C127="Receipt",$C127="Other Income",$C127="Capital In",$C127="Transfer In"),$G127,0))</f>
        <v/>
      </c>
      <c r="J127" s="61" t="str">
        <f aca="false">IF(OR($C127="",N($G127)=0),"",IF(I127=0,$G127,0))</f>
        <v/>
      </c>
      <c r="K127" s="60" t="str">
        <f aca="false">IF($C127="","",IF(AND(OR($C127="Receipt",$C127="Payment"),$D127=""),"Party needed",IF(AND(OR($C127="Expense",$C127="Other Income"),$E127=""),"Head needed",IF($F127="","Account needed","OK"))))</f>
        <v/>
      </c>
    </row>
    <row r="128" customFormat="false" ht="15" hidden="false" customHeight="false" outlineLevel="0" collapsed="false">
      <c r="A128" s="55"/>
      <c r="B128" s="56"/>
      <c r="C128" s="56"/>
      <c r="D128" s="56"/>
      <c r="E128" s="56"/>
      <c r="F128" s="56"/>
      <c r="G128" s="58"/>
      <c r="H128" s="56"/>
      <c r="I128" s="61" t="str">
        <f aca="false">IF(OR($C128="",N($G128)=0),"",IF(OR($C128="Receipt",$C128="Other Income",$C128="Capital In",$C128="Transfer In"),$G128,0))</f>
        <v/>
      </c>
      <c r="J128" s="61" t="str">
        <f aca="false">IF(OR($C128="",N($G128)=0),"",IF(I128=0,$G128,0))</f>
        <v/>
      </c>
      <c r="K128" s="60" t="str">
        <f aca="false">IF($C128="","",IF(AND(OR($C128="Receipt",$C128="Payment"),$D128=""),"Party needed",IF(AND(OR($C128="Expense",$C128="Other Income"),$E128=""),"Head needed",IF($F128="","Account needed","OK"))))</f>
        <v/>
      </c>
    </row>
    <row r="129" customFormat="false" ht="15" hidden="false" customHeight="false" outlineLevel="0" collapsed="false">
      <c r="A129" s="55"/>
      <c r="B129" s="56"/>
      <c r="C129" s="56"/>
      <c r="D129" s="56"/>
      <c r="E129" s="56"/>
      <c r="F129" s="56"/>
      <c r="G129" s="58"/>
      <c r="H129" s="56"/>
      <c r="I129" s="61" t="str">
        <f aca="false">IF(OR($C129="",N($G129)=0),"",IF(OR($C129="Receipt",$C129="Other Income",$C129="Capital In",$C129="Transfer In"),$G129,0))</f>
        <v/>
      </c>
      <c r="J129" s="61" t="str">
        <f aca="false">IF(OR($C129="",N($G129)=0),"",IF(I129=0,$G129,0))</f>
        <v/>
      </c>
      <c r="K129" s="60" t="str">
        <f aca="false">IF($C129="","",IF(AND(OR($C129="Receipt",$C129="Payment"),$D129=""),"Party needed",IF(AND(OR($C129="Expense",$C129="Other Income"),$E129=""),"Head needed",IF($F129="","Account needed","OK"))))</f>
        <v/>
      </c>
    </row>
    <row r="130" customFormat="false" ht="15" hidden="false" customHeight="false" outlineLevel="0" collapsed="false">
      <c r="A130" s="55"/>
      <c r="B130" s="56"/>
      <c r="C130" s="56"/>
      <c r="D130" s="56"/>
      <c r="E130" s="56"/>
      <c r="F130" s="56"/>
      <c r="G130" s="58"/>
      <c r="H130" s="56"/>
      <c r="I130" s="61" t="str">
        <f aca="false">IF(OR($C130="",N($G130)=0),"",IF(OR($C130="Receipt",$C130="Other Income",$C130="Capital In",$C130="Transfer In"),$G130,0))</f>
        <v/>
      </c>
      <c r="J130" s="61" t="str">
        <f aca="false">IF(OR($C130="",N($G130)=0),"",IF(I130=0,$G130,0))</f>
        <v/>
      </c>
      <c r="K130" s="60" t="str">
        <f aca="false">IF($C130="","",IF(AND(OR($C130="Receipt",$C130="Payment"),$D130=""),"Party needed",IF(AND(OR($C130="Expense",$C130="Other Income"),$E130=""),"Head needed",IF($F130="","Account needed","OK"))))</f>
        <v/>
      </c>
    </row>
    <row r="131" customFormat="false" ht="15" hidden="false" customHeight="false" outlineLevel="0" collapsed="false">
      <c r="A131" s="55"/>
      <c r="B131" s="56"/>
      <c r="C131" s="56"/>
      <c r="D131" s="56"/>
      <c r="E131" s="56"/>
      <c r="F131" s="56"/>
      <c r="G131" s="58"/>
      <c r="H131" s="56"/>
      <c r="I131" s="61" t="str">
        <f aca="false">IF(OR($C131="",N($G131)=0),"",IF(OR($C131="Receipt",$C131="Other Income",$C131="Capital In",$C131="Transfer In"),$G131,0))</f>
        <v/>
      </c>
      <c r="J131" s="61" t="str">
        <f aca="false">IF(OR($C131="",N($G131)=0),"",IF(I131=0,$G131,0))</f>
        <v/>
      </c>
      <c r="K131" s="60" t="str">
        <f aca="false">IF($C131="","",IF(AND(OR($C131="Receipt",$C131="Payment"),$D131=""),"Party needed",IF(AND(OR($C131="Expense",$C131="Other Income"),$E131=""),"Head needed",IF($F131="","Account needed","OK"))))</f>
        <v/>
      </c>
    </row>
    <row r="132" customFormat="false" ht="15" hidden="false" customHeight="false" outlineLevel="0" collapsed="false">
      <c r="A132" s="55"/>
      <c r="B132" s="56"/>
      <c r="C132" s="56"/>
      <c r="D132" s="56"/>
      <c r="E132" s="56"/>
      <c r="F132" s="56"/>
      <c r="G132" s="58"/>
      <c r="H132" s="56"/>
      <c r="I132" s="61" t="str">
        <f aca="false">IF(OR($C132="",N($G132)=0),"",IF(OR($C132="Receipt",$C132="Other Income",$C132="Capital In",$C132="Transfer In"),$G132,0))</f>
        <v/>
      </c>
      <c r="J132" s="61" t="str">
        <f aca="false">IF(OR($C132="",N($G132)=0),"",IF(I132=0,$G132,0))</f>
        <v/>
      </c>
      <c r="K132" s="60" t="str">
        <f aca="false">IF($C132="","",IF(AND(OR($C132="Receipt",$C132="Payment"),$D132=""),"Party needed",IF(AND(OR($C132="Expense",$C132="Other Income"),$E132=""),"Head needed",IF($F132="","Account needed","OK"))))</f>
        <v/>
      </c>
    </row>
    <row r="133" customFormat="false" ht="15" hidden="false" customHeight="false" outlineLevel="0" collapsed="false">
      <c r="A133" s="55"/>
      <c r="B133" s="56"/>
      <c r="C133" s="56"/>
      <c r="D133" s="56"/>
      <c r="E133" s="56"/>
      <c r="F133" s="56"/>
      <c r="G133" s="58"/>
      <c r="H133" s="56"/>
      <c r="I133" s="61" t="str">
        <f aca="false">IF(OR($C133="",N($G133)=0),"",IF(OR($C133="Receipt",$C133="Other Income",$C133="Capital In",$C133="Transfer In"),$G133,0))</f>
        <v/>
      </c>
      <c r="J133" s="61" t="str">
        <f aca="false">IF(OR($C133="",N($G133)=0),"",IF(I133=0,$G133,0))</f>
        <v/>
      </c>
      <c r="K133" s="60" t="str">
        <f aca="false">IF($C133="","",IF(AND(OR($C133="Receipt",$C133="Payment"),$D133=""),"Party needed",IF(AND(OR($C133="Expense",$C133="Other Income"),$E133=""),"Head needed",IF($F133="","Account needed","OK"))))</f>
        <v/>
      </c>
    </row>
    <row r="134" customFormat="false" ht="15" hidden="false" customHeight="false" outlineLevel="0" collapsed="false">
      <c r="A134" s="55"/>
      <c r="B134" s="56"/>
      <c r="C134" s="56"/>
      <c r="D134" s="56"/>
      <c r="E134" s="56"/>
      <c r="F134" s="56"/>
      <c r="G134" s="58"/>
      <c r="H134" s="56"/>
      <c r="I134" s="61" t="str">
        <f aca="false">IF(OR($C134="",N($G134)=0),"",IF(OR($C134="Receipt",$C134="Other Income",$C134="Capital In",$C134="Transfer In"),$G134,0))</f>
        <v/>
      </c>
      <c r="J134" s="61" t="str">
        <f aca="false">IF(OR($C134="",N($G134)=0),"",IF(I134=0,$G134,0))</f>
        <v/>
      </c>
      <c r="K134" s="60" t="str">
        <f aca="false">IF($C134="","",IF(AND(OR($C134="Receipt",$C134="Payment"),$D134=""),"Party needed",IF(AND(OR($C134="Expense",$C134="Other Income"),$E134=""),"Head needed",IF($F134="","Account needed","OK"))))</f>
        <v/>
      </c>
    </row>
    <row r="135" customFormat="false" ht="15" hidden="false" customHeight="false" outlineLevel="0" collapsed="false">
      <c r="A135" s="55"/>
      <c r="B135" s="56"/>
      <c r="C135" s="56"/>
      <c r="D135" s="56"/>
      <c r="E135" s="56"/>
      <c r="F135" s="56"/>
      <c r="G135" s="58"/>
      <c r="H135" s="56"/>
      <c r="I135" s="61" t="str">
        <f aca="false">IF(OR($C135="",N($G135)=0),"",IF(OR($C135="Receipt",$C135="Other Income",$C135="Capital In",$C135="Transfer In"),$G135,0))</f>
        <v/>
      </c>
      <c r="J135" s="61" t="str">
        <f aca="false">IF(OR($C135="",N($G135)=0),"",IF(I135=0,$G135,0))</f>
        <v/>
      </c>
      <c r="K135" s="60" t="str">
        <f aca="false">IF($C135="","",IF(AND(OR($C135="Receipt",$C135="Payment"),$D135=""),"Party needed",IF(AND(OR($C135="Expense",$C135="Other Income"),$E135=""),"Head needed",IF($F135="","Account needed","OK"))))</f>
        <v/>
      </c>
    </row>
    <row r="136" customFormat="false" ht="15" hidden="false" customHeight="false" outlineLevel="0" collapsed="false">
      <c r="A136" s="55"/>
      <c r="B136" s="56"/>
      <c r="C136" s="56"/>
      <c r="D136" s="56"/>
      <c r="E136" s="56"/>
      <c r="F136" s="56"/>
      <c r="G136" s="58"/>
      <c r="H136" s="56"/>
      <c r="I136" s="61" t="str">
        <f aca="false">IF(OR($C136="",N($G136)=0),"",IF(OR($C136="Receipt",$C136="Other Income",$C136="Capital In",$C136="Transfer In"),$G136,0))</f>
        <v/>
      </c>
      <c r="J136" s="61" t="str">
        <f aca="false">IF(OR($C136="",N($G136)=0),"",IF(I136=0,$G136,0))</f>
        <v/>
      </c>
      <c r="K136" s="60" t="str">
        <f aca="false">IF($C136="","",IF(AND(OR($C136="Receipt",$C136="Payment"),$D136=""),"Party needed",IF(AND(OR($C136="Expense",$C136="Other Income"),$E136=""),"Head needed",IF($F136="","Account needed","OK"))))</f>
        <v/>
      </c>
    </row>
    <row r="137" customFormat="false" ht="15" hidden="false" customHeight="false" outlineLevel="0" collapsed="false">
      <c r="A137" s="55"/>
      <c r="B137" s="56"/>
      <c r="C137" s="56"/>
      <c r="D137" s="56"/>
      <c r="E137" s="56"/>
      <c r="F137" s="56"/>
      <c r="G137" s="58"/>
      <c r="H137" s="56"/>
      <c r="I137" s="61" t="str">
        <f aca="false">IF(OR($C137="",N($G137)=0),"",IF(OR($C137="Receipt",$C137="Other Income",$C137="Capital In",$C137="Transfer In"),$G137,0))</f>
        <v/>
      </c>
      <c r="J137" s="61" t="str">
        <f aca="false">IF(OR($C137="",N($G137)=0),"",IF(I137=0,$G137,0))</f>
        <v/>
      </c>
      <c r="K137" s="60" t="str">
        <f aca="false">IF($C137="","",IF(AND(OR($C137="Receipt",$C137="Payment"),$D137=""),"Party needed",IF(AND(OR($C137="Expense",$C137="Other Income"),$E137=""),"Head needed",IF($F137="","Account needed","OK"))))</f>
        <v/>
      </c>
    </row>
    <row r="138" customFormat="false" ht="15" hidden="false" customHeight="false" outlineLevel="0" collapsed="false">
      <c r="A138" s="55"/>
      <c r="B138" s="56"/>
      <c r="C138" s="56"/>
      <c r="D138" s="56"/>
      <c r="E138" s="56"/>
      <c r="F138" s="56"/>
      <c r="G138" s="58"/>
      <c r="H138" s="56"/>
      <c r="I138" s="61" t="str">
        <f aca="false">IF(OR($C138="",N($G138)=0),"",IF(OR($C138="Receipt",$C138="Other Income",$C138="Capital In",$C138="Transfer In"),$G138,0))</f>
        <v/>
      </c>
      <c r="J138" s="61" t="str">
        <f aca="false">IF(OR($C138="",N($G138)=0),"",IF(I138=0,$G138,0))</f>
        <v/>
      </c>
      <c r="K138" s="60" t="str">
        <f aca="false">IF($C138="","",IF(AND(OR($C138="Receipt",$C138="Payment"),$D138=""),"Party needed",IF(AND(OR($C138="Expense",$C138="Other Income"),$E138=""),"Head needed",IF($F138="","Account needed","OK"))))</f>
        <v/>
      </c>
    </row>
    <row r="139" customFormat="false" ht="15" hidden="false" customHeight="false" outlineLevel="0" collapsed="false">
      <c r="A139" s="55"/>
      <c r="B139" s="56"/>
      <c r="C139" s="56"/>
      <c r="D139" s="56"/>
      <c r="E139" s="56"/>
      <c r="F139" s="56"/>
      <c r="G139" s="58"/>
      <c r="H139" s="56"/>
      <c r="I139" s="61" t="str">
        <f aca="false">IF(OR($C139="",N($G139)=0),"",IF(OR($C139="Receipt",$C139="Other Income",$C139="Capital In",$C139="Transfer In"),$G139,0))</f>
        <v/>
      </c>
      <c r="J139" s="61" t="str">
        <f aca="false">IF(OR($C139="",N($G139)=0),"",IF(I139=0,$G139,0))</f>
        <v/>
      </c>
      <c r="K139" s="60" t="str">
        <f aca="false">IF($C139="","",IF(AND(OR($C139="Receipt",$C139="Payment"),$D139=""),"Party needed",IF(AND(OR($C139="Expense",$C139="Other Income"),$E139=""),"Head needed",IF($F139="","Account needed","OK"))))</f>
        <v/>
      </c>
    </row>
    <row r="140" customFormat="false" ht="15" hidden="false" customHeight="false" outlineLevel="0" collapsed="false">
      <c r="A140" s="55"/>
      <c r="B140" s="56"/>
      <c r="C140" s="56"/>
      <c r="D140" s="56"/>
      <c r="E140" s="56"/>
      <c r="F140" s="56"/>
      <c r="G140" s="58"/>
      <c r="H140" s="56"/>
      <c r="I140" s="61" t="str">
        <f aca="false">IF(OR($C140="",N($G140)=0),"",IF(OR($C140="Receipt",$C140="Other Income",$C140="Capital In",$C140="Transfer In"),$G140,0))</f>
        <v/>
      </c>
      <c r="J140" s="61" t="str">
        <f aca="false">IF(OR($C140="",N($G140)=0),"",IF(I140=0,$G140,0))</f>
        <v/>
      </c>
      <c r="K140" s="60" t="str">
        <f aca="false">IF($C140="","",IF(AND(OR($C140="Receipt",$C140="Payment"),$D140=""),"Party needed",IF(AND(OR($C140="Expense",$C140="Other Income"),$E140=""),"Head needed",IF($F140="","Account needed","OK"))))</f>
        <v/>
      </c>
    </row>
    <row r="141" customFormat="false" ht="15" hidden="false" customHeight="false" outlineLevel="0" collapsed="false">
      <c r="A141" s="55"/>
      <c r="B141" s="56"/>
      <c r="C141" s="56"/>
      <c r="D141" s="56"/>
      <c r="E141" s="56"/>
      <c r="F141" s="56"/>
      <c r="G141" s="58"/>
      <c r="H141" s="56"/>
      <c r="I141" s="61" t="str">
        <f aca="false">IF(OR($C141="",N($G141)=0),"",IF(OR($C141="Receipt",$C141="Other Income",$C141="Capital In",$C141="Transfer In"),$G141,0))</f>
        <v/>
      </c>
      <c r="J141" s="61" t="str">
        <f aca="false">IF(OR($C141="",N($G141)=0),"",IF(I141=0,$G141,0))</f>
        <v/>
      </c>
      <c r="K141" s="60" t="str">
        <f aca="false">IF($C141="","",IF(AND(OR($C141="Receipt",$C141="Payment"),$D141=""),"Party needed",IF(AND(OR($C141="Expense",$C141="Other Income"),$E141=""),"Head needed",IF($F141="","Account needed","OK"))))</f>
        <v/>
      </c>
    </row>
    <row r="142" customFormat="false" ht="15" hidden="false" customHeight="false" outlineLevel="0" collapsed="false">
      <c r="A142" s="55"/>
      <c r="B142" s="56"/>
      <c r="C142" s="56"/>
      <c r="D142" s="56"/>
      <c r="E142" s="56"/>
      <c r="F142" s="56"/>
      <c r="G142" s="58"/>
      <c r="H142" s="56"/>
      <c r="I142" s="61" t="str">
        <f aca="false">IF(OR($C142="",N($G142)=0),"",IF(OR($C142="Receipt",$C142="Other Income",$C142="Capital In",$C142="Transfer In"),$G142,0))</f>
        <v/>
      </c>
      <c r="J142" s="61" t="str">
        <f aca="false">IF(OR($C142="",N($G142)=0),"",IF(I142=0,$G142,0))</f>
        <v/>
      </c>
      <c r="K142" s="60" t="str">
        <f aca="false">IF($C142="","",IF(AND(OR($C142="Receipt",$C142="Payment"),$D142=""),"Party needed",IF(AND(OR($C142="Expense",$C142="Other Income"),$E142=""),"Head needed",IF($F142="","Account needed","OK"))))</f>
        <v/>
      </c>
    </row>
    <row r="143" customFormat="false" ht="15" hidden="false" customHeight="false" outlineLevel="0" collapsed="false">
      <c r="A143" s="55"/>
      <c r="B143" s="56"/>
      <c r="C143" s="56"/>
      <c r="D143" s="56"/>
      <c r="E143" s="56"/>
      <c r="F143" s="56"/>
      <c r="G143" s="58"/>
      <c r="H143" s="56"/>
      <c r="I143" s="61" t="str">
        <f aca="false">IF(OR($C143="",N($G143)=0),"",IF(OR($C143="Receipt",$C143="Other Income",$C143="Capital In",$C143="Transfer In"),$G143,0))</f>
        <v/>
      </c>
      <c r="J143" s="61" t="str">
        <f aca="false">IF(OR($C143="",N($G143)=0),"",IF(I143=0,$G143,0))</f>
        <v/>
      </c>
      <c r="K143" s="60" t="str">
        <f aca="false">IF($C143="","",IF(AND(OR($C143="Receipt",$C143="Payment"),$D143=""),"Party needed",IF(AND(OR($C143="Expense",$C143="Other Income"),$E143=""),"Head needed",IF($F143="","Account needed","OK"))))</f>
        <v/>
      </c>
    </row>
    <row r="144" customFormat="false" ht="15" hidden="false" customHeight="false" outlineLevel="0" collapsed="false">
      <c r="A144" s="55"/>
      <c r="B144" s="56"/>
      <c r="C144" s="56"/>
      <c r="D144" s="56"/>
      <c r="E144" s="56"/>
      <c r="F144" s="56"/>
      <c r="G144" s="58"/>
      <c r="H144" s="56"/>
      <c r="I144" s="61" t="str">
        <f aca="false">IF(OR($C144="",N($G144)=0),"",IF(OR($C144="Receipt",$C144="Other Income",$C144="Capital In",$C144="Transfer In"),$G144,0))</f>
        <v/>
      </c>
      <c r="J144" s="61" t="str">
        <f aca="false">IF(OR($C144="",N($G144)=0),"",IF(I144=0,$G144,0))</f>
        <v/>
      </c>
      <c r="K144" s="60" t="str">
        <f aca="false">IF($C144="","",IF(AND(OR($C144="Receipt",$C144="Payment"),$D144=""),"Party needed",IF(AND(OR($C144="Expense",$C144="Other Income"),$E144=""),"Head needed",IF($F144="","Account needed","OK"))))</f>
        <v/>
      </c>
    </row>
    <row r="145" customFormat="false" ht="15" hidden="false" customHeight="false" outlineLevel="0" collapsed="false">
      <c r="A145" s="55"/>
      <c r="B145" s="56"/>
      <c r="C145" s="56"/>
      <c r="D145" s="56"/>
      <c r="E145" s="56"/>
      <c r="F145" s="56"/>
      <c r="G145" s="58"/>
      <c r="H145" s="56"/>
      <c r="I145" s="61" t="str">
        <f aca="false">IF(OR($C145="",N($G145)=0),"",IF(OR($C145="Receipt",$C145="Other Income",$C145="Capital In",$C145="Transfer In"),$G145,0))</f>
        <v/>
      </c>
      <c r="J145" s="61" t="str">
        <f aca="false">IF(OR($C145="",N($G145)=0),"",IF(I145=0,$G145,0))</f>
        <v/>
      </c>
      <c r="K145" s="60" t="str">
        <f aca="false">IF($C145="","",IF(AND(OR($C145="Receipt",$C145="Payment"),$D145=""),"Party needed",IF(AND(OR($C145="Expense",$C145="Other Income"),$E145=""),"Head needed",IF($F145="","Account needed","OK"))))</f>
        <v/>
      </c>
    </row>
    <row r="146" customFormat="false" ht="15" hidden="false" customHeight="false" outlineLevel="0" collapsed="false">
      <c r="A146" s="55"/>
      <c r="B146" s="56"/>
      <c r="C146" s="56"/>
      <c r="D146" s="56"/>
      <c r="E146" s="56"/>
      <c r="F146" s="56"/>
      <c r="G146" s="58"/>
      <c r="H146" s="56"/>
      <c r="I146" s="61" t="str">
        <f aca="false">IF(OR($C146="",N($G146)=0),"",IF(OR($C146="Receipt",$C146="Other Income",$C146="Capital In",$C146="Transfer In"),$G146,0))</f>
        <v/>
      </c>
      <c r="J146" s="61" t="str">
        <f aca="false">IF(OR($C146="",N($G146)=0),"",IF(I146=0,$G146,0))</f>
        <v/>
      </c>
      <c r="K146" s="60" t="str">
        <f aca="false">IF($C146="","",IF(AND(OR($C146="Receipt",$C146="Payment"),$D146=""),"Party needed",IF(AND(OR($C146="Expense",$C146="Other Income"),$E146=""),"Head needed",IF($F146="","Account needed","OK"))))</f>
        <v/>
      </c>
    </row>
    <row r="147" customFormat="false" ht="15" hidden="false" customHeight="false" outlineLevel="0" collapsed="false">
      <c r="A147" s="55"/>
      <c r="B147" s="56"/>
      <c r="C147" s="56"/>
      <c r="D147" s="56"/>
      <c r="E147" s="56"/>
      <c r="F147" s="56"/>
      <c r="G147" s="58"/>
      <c r="H147" s="56"/>
      <c r="I147" s="61" t="str">
        <f aca="false">IF(OR($C147="",N($G147)=0),"",IF(OR($C147="Receipt",$C147="Other Income",$C147="Capital In",$C147="Transfer In"),$G147,0))</f>
        <v/>
      </c>
      <c r="J147" s="61" t="str">
        <f aca="false">IF(OR($C147="",N($G147)=0),"",IF(I147=0,$G147,0))</f>
        <v/>
      </c>
      <c r="K147" s="60" t="str">
        <f aca="false">IF($C147="","",IF(AND(OR($C147="Receipt",$C147="Payment"),$D147=""),"Party needed",IF(AND(OR($C147="Expense",$C147="Other Income"),$E147=""),"Head needed",IF($F147="","Account needed","OK"))))</f>
        <v/>
      </c>
    </row>
    <row r="148" customFormat="false" ht="15" hidden="false" customHeight="false" outlineLevel="0" collapsed="false">
      <c r="A148" s="55"/>
      <c r="B148" s="56"/>
      <c r="C148" s="56"/>
      <c r="D148" s="56"/>
      <c r="E148" s="56"/>
      <c r="F148" s="56"/>
      <c r="G148" s="58"/>
      <c r="H148" s="56"/>
      <c r="I148" s="61" t="str">
        <f aca="false">IF(OR($C148="",N($G148)=0),"",IF(OR($C148="Receipt",$C148="Other Income",$C148="Capital In",$C148="Transfer In"),$G148,0))</f>
        <v/>
      </c>
      <c r="J148" s="61" t="str">
        <f aca="false">IF(OR($C148="",N($G148)=0),"",IF(I148=0,$G148,0))</f>
        <v/>
      </c>
      <c r="K148" s="60" t="str">
        <f aca="false">IF($C148="","",IF(AND(OR($C148="Receipt",$C148="Payment"),$D148=""),"Party needed",IF(AND(OR($C148="Expense",$C148="Other Income"),$E148=""),"Head needed",IF($F148="","Account needed","OK"))))</f>
        <v/>
      </c>
    </row>
    <row r="149" customFormat="false" ht="15" hidden="false" customHeight="false" outlineLevel="0" collapsed="false">
      <c r="A149" s="55"/>
      <c r="B149" s="56"/>
      <c r="C149" s="56"/>
      <c r="D149" s="56"/>
      <c r="E149" s="56"/>
      <c r="F149" s="56"/>
      <c r="G149" s="58"/>
      <c r="H149" s="56"/>
      <c r="I149" s="61" t="str">
        <f aca="false">IF(OR($C149="",N($G149)=0),"",IF(OR($C149="Receipt",$C149="Other Income",$C149="Capital In",$C149="Transfer In"),$G149,0))</f>
        <v/>
      </c>
      <c r="J149" s="61" t="str">
        <f aca="false">IF(OR($C149="",N($G149)=0),"",IF(I149=0,$G149,0))</f>
        <v/>
      </c>
      <c r="K149" s="60" t="str">
        <f aca="false">IF($C149="","",IF(AND(OR($C149="Receipt",$C149="Payment"),$D149=""),"Party needed",IF(AND(OR($C149="Expense",$C149="Other Income"),$E149=""),"Head needed",IF($F149="","Account needed","OK"))))</f>
        <v/>
      </c>
    </row>
    <row r="150" customFormat="false" ht="15" hidden="false" customHeight="false" outlineLevel="0" collapsed="false">
      <c r="A150" s="55"/>
      <c r="B150" s="56"/>
      <c r="C150" s="56"/>
      <c r="D150" s="56"/>
      <c r="E150" s="56"/>
      <c r="F150" s="56"/>
      <c r="G150" s="58"/>
      <c r="H150" s="56"/>
      <c r="I150" s="61" t="str">
        <f aca="false">IF(OR($C150="",N($G150)=0),"",IF(OR($C150="Receipt",$C150="Other Income",$C150="Capital In",$C150="Transfer In"),$G150,0))</f>
        <v/>
      </c>
      <c r="J150" s="61" t="str">
        <f aca="false">IF(OR($C150="",N($G150)=0),"",IF(I150=0,$G150,0))</f>
        <v/>
      </c>
      <c r="K150" s="60" t="str">
        <f aca="false">IF($C150="","",IF(AND(OR($C150="Receipt",$C150="Payment"),$D150=""),"Party needed",IF(AND(OR($C150="Expense",$C150="Other Income"),$E150=""),"Head needed",IF($F150="","Account needed","OK"))))</f>
        <v/>
      </c>
    </row>
    <row r="151" customFormat="false" ht="15" hidden="false" customHeight="false" outlineLevel="0" collapsed="false">
      <c r="A151" s="55"/>
      <c r="B151" s="56"/>
      <c r="C151" s="56"/>
      <c r="D151" s="56"/>
      <c r="E151" s="56"/>
      <c r="F151" s="56"/>
      <c r="G151" s="58"/>
      <c r="H151" s="56"/>
      <c r="I151" s="61" t="str">
        <f aca="false">IF(OR($C151="",N($G151)=0),"",IF(OR($C151="Receipt",$C151="Other Income",$C151="Capital In",$C151="Transfer In"),$G151,0))</f>
        <v/>
      </c>
      <c r="J151" s="61" t="str">
        <f aca="false">IF(OR($C151="",N($G151)=0),"",IF(I151=0,$G151,0))</f>
        <v/>
      </c>
      <c r="K151" s="60" t="str">
        <f aca="false">IF($C151="","",IF(AND(OR($C151="Receipt",$C151="Payment"),$D151=""),"Party needed",IF(AND(OR($C151="Expense",$C151="Other Income"),$E151=""),"Head needed",IF($F151="","Account needed","OK"))))</f>
        <v/>
      </c>
    </row>
    <row r="152" customFormat="false" ht="15" hidden="false" customHeight="false" outlineLevel="0" collapsed="false">
      <c r="A152" s="55"/>
      <c r="B152" s="56"/>
      <c r="C152" s="56"/>
      <c r="D152" s="56"/>
      <c r="E152" s="56"/>
      <c r="F152" s="56"/>
      <c r="G152" s="58"/>
      <c r="H152" s="56"/>
      <c r="I152" s="61" t="str">
        <f aca="false">IF(OR($C152="",N($G152)=0),"",IF(OR($C152="Receipt",$C152="Other Income",$C152="Capital In",$C152="Transfer In"),$G152,0))</f>
        <v/>
      </c>
      <c r="J152" s="61" t="str">
        <f aca="false">IF(OR($C152="",N($G152)=0),"",IF(I152=0,$G152,0))</f>
        <v/>
      </c>
      <c r="K152" s="60" t="str">
        <f aca="false">IF($C152="","",IF(AND(OR($C152="Receipt",$C152="Payment"),$D152=""),"Party needed",IF(AND(OR($C152="Expense",$C152="Other Income"),$E152=""),"Head needed",IF($F152="","Account needed","OK"))))</f>
        <v/>
      </c>
    </row>
    <row r="153" customFormat="false" ht="15" hidden="false" customHeight="false" outlineLevel="0" collapsed="false">
      <c r="A153" s="55"/>
      <c r="B153" s="56"/>
      <c r="C153" s="56"/>
      <c r="D153" s="56"/>
      <c r="E153" s="56"/>
      <c r="F153" s="56"/>
      <c r="G153" s="58"/>
      <c r="H153" s="56"/>
      <c r="I153" s="61" t="str">
        <f aca="false">IF(OR($C153="",N($G153)=0),"",IF(OR($C153="Receipt",$C153="Other Income",$C153="Capital In",$C153="Transfer In"),$G153,0))</f>
        <v/>
      </c>
      <c r="J153" s="61" t="str">
        <f aca="false">IF(OR($C153="",N($G153)=0),"",IF(I153=0,$G153,0))</f>
        <v/>
      </c>
      <c r="K153" s="60" t="str">
        <f aca="false">IF($C153="","",IF(AND(OR($C153="Receipt",$C153="Payment"),$D153=""),"Party needed",IF(AND(OR($C153="Expense",$C153="Other Income"),$E153=""),"Head needed",IF($F153="","Account needed","OK"))))</f>
        <v/>
      </c>
    </row>
    <row r="154" customFormat="false" ht="15" hidden="false" customHeight="false" outlineLevel="0" collapsed="false">
      <c r="A154" s="55"/>
      <c r="B154" s="56"/>
      <c r="C154" s="56"/>
      <c r="D154" s="56"/>
      <c r="E154" s="56"/>
      <c r="F154" s="56"/>
      <c r="G154" s="58"/>
      <c r="H154" s="56"/>
      <c r="I154" s="61" t="str">
        <f aca="false">IF(OR($C154="",N($G154)=0),"",IF(OR($C154="Receipt",$C154="Other Income",$C154="Capital In",$C154="Transfer In"),$G154,0))</f>
        <v/>
      </c>
      <c r="J154" s="61" t="str">
        <f aca="false">IF(OR($C154="",N($G154)=0),"",IF(I154=0,$G154,0))</f>
        <v/>
      </c>
      <c r="K154" s="60" t="str">
        <f aca="false">IF($C154="","",IF(AND(OR($C154="Receipt",$C154="Payment"),$D154=""),"Party needed",IF(AND(OR($C154="Expense",$C154="Other Income"),$E154=""),"Head needed",IF($F154="","Account needed","OK"))))</f>
        <v/>
      </c>
    </row>
    <row r="155" customFormat="false" ht="15" hidden="false" customHeight="false" outlineLevel="0" collapsed="false">
      <c r="A155" s="55"/>
      <c r="B155" s="56"/>
      <c r="C155" s="56"/>
      <c r="D155" s="56"/>
      <c r="E155" s="56"/>
      <c r="F155" s="56"/>
      <c r="G155" s="58"/>
      <c r="H155" s="56"/>
      <c r="I155" s="61" t="str">
        <f aca="false">IF(OR($C155="",N($G155)=0),"",IF(OR($C155="Receipt",$C155="Other Income",$C155="Capital In",$C155="Transfer In"),$G155,0))</f>
        <v/>
      </c>
      <c r="J155" s="61" t="str">
        <f aca="false">IF(OR($C155="",N($G155)=0),"",IF(I155=0,$G155,0))</f>
        <v/>
      </c>
      <c r="K155" s="60" t="str">
        <f aca="false">IF($C155="","",IF(AND(OR($C155="Receipt",$C155="Payment"),$D155=""),"Party needed",IF(AND(OR($C155="Expense",$C155="Other Income"),$E155=""),"Head needed",IF($F155="","Account needed","OK"))))</f>
        <v/>
      </c>
    </row>
    <row r="156" customFormat="false" ht="15" hidden="false" customHeight="false" outlineLevel="0" collapsed="false">
      <c r="A156" s="55"/>
      <c r="B156" s="56"/>
      <c r="C156" s="56"/>
      <c r="D156" s="56"/>
      <c r="E156" s="56"/>
      <c r="F156" s="56"/>
      <c r="G156" s="58"/>
      <c r="H156" s="56"/>
      <c r="I156" s="61" t="str">
        <f aca="false">IF(OR($C156="",N($G156)=0),"",IF(OR($C156="Receipt",$C156="Other Income",$C156="Capital In",$C156="Transfer In"),$G156,0))</f>
        <v/>
      </c>
      <c r="J156" s="61" t="str">
        <f aca="false">IF(OR($C156="",N($G156)=0),"",IF(I156=0,$G156,0))</f>
        <v/>
      </c>
      <c r="K156" s="60" t="str">
        <f aca="false">IF($C156="","",IF(AND(OR($C156="Receipt",$C156="Payment"),$D156=""),"Party needed",IF(AND(OR($C156="Expense",$C156="Other Income"),$E156=""),"Head needed",IF($F156="","Account needed","OK"))))</f>
        <v/>
      </c>
    </row>
    <row r="157" customFormat="false" ht="15" hidden="false" customHeight="false" outlineLevel="0" collapsed="false">
      <c r="A157" s="55"/>
      <c r="B157" s="56"/>
      <c r="C157" s="56"/>
      <c r="D157" s="56"/>
      <c r="E157" s="56"/>
      <c r="F157" s="56"/>
      <c r="G157" s="58"/>
      <c r="H157" s="56"/>
      <c r="I157" s="61" t="str">
        <f aca="false">IF(OR($C157="",N($G157)=0),"",IF(OR($C157="Receipt",$C157="Other Income",$C157="Capital In",$C157="Transfer In"),$G157,0))</f>
        <v/>
      </c>
      <c r="J157" s="61" t="str">
        <f aca="false">IF(OR($C157="",N($G157)=0),"",IF(I157=0,$G157,0))</f>
        <v/>
      </c>
      <c r="K157" s="60" t="str">
        <f aca="false">IF($C157="","",IF(AND(OR($C157="Receipt",$C157="Payment"),$D157=""),"Party needed",IF(AND(OR($C157="Expense",$C157="Other Income"),$E157=""),"Head needed",IF($F157="","Account needed","OK"))))</f>
        <v/>
      </c>
    </row>
    <row r="158" customFormat="false" ht="15" hidden="false" customHeight="false" outlineLevel="0" collapsed="false">
      <c r="A158" s="55"/>
      <c r="B158" s="56"/>
      <c r="C158" s="56"/>
      <c r="D158" s="56"/>
      <c r="E158" s="56"/>
      <c r="F158" s="56"/>
      <c r="G158" s="58"/>
      <c r="H158" s="56"/>
      <c r="I158" s="61" t="str">
        <f aca="false">IF(OR($C158="",N($G158)=0),"",IF(OR($C158="Receipt",$C158="Other Income",$C158="Capital In",$C158="Transfer In"),$G158,0))</f>
        <v/>
      </c>
      <c r="J158" s="61" t="str">
        <f aca="false">IF(OR($C158="",N($G158)=0),"",IF(I158=0,$G158,0))</f>
        <v/>
      </c>
      <c r="K158" s="60" t="str">
        <f aca="false">IF($C158="","",IF(AND(OR($C158="Receipt",$C158="Payment"),$D158=""),"Party needed",IF(AND(OR($C158="Expense",$C158="Other Income"),$E158=""),"Head needed",IF($F158="","Account needed","OK"))))</f>
        <v/>
      </c>
    </row>
    <row r="159" customFormat="false" ht="15" hidden="false" customHeight="false" outlineLevel="0" collapsed="false">
      <c r="A159" s="55"/>
      <c r="B159" s="56"/>
      <c r="C159" s="56"/>
      <c r="D159" s="56"/>
      <c r="E159" s="56"/>
      <c r="F159" s="56"/>
      <c r="G159" s="58"/>
      <c r="H159" s="56"/>
      <c r="I159" s="61" t="str">
        <f aca="false">IF(OR($C159="",N($G159)=0),"",IF(OR($C159="Receipt",$C159="Other Income",$C159="Capital In",$C159="Transfer In"),$G159,0))</f>
        <v/>
      </c>
      <c r="J159" s="61" t="str">
        <f aca="false">IF(OR($C159="",N($G159)=0),"",IF(I159=0,$G159,0))</f>
        <v/>
      </c>
      <c r="K159" s="60" t="str">
        <f aca="false">IF($C159="","",IF(AND(OR($C159="Receipt",$C159="Payment"),$D159=""),"Party needed",IF(AND(OR($C159="Expense",$C159="Other Income"),$E159=""),"Head needed",IF($F159="","Account needed","OK"))))</f>
        <v/>
      </c>
    </row>
    <row r="160" customFormat="false" ht="15" hidden="false" customHeight="false" outlineLevel="0" collapsed="false">
      <c r="A160" s="55"/>
      <c r="B160" s="56"/>
      <c r="C160" s="56"/>
      <c r="D160" s="56"/>
      <c r="E160" s="56"/>
      <c r="F160" s="56"/>
      <c r="G160" s="58"/>
      <c r="H160" s="56"/>
      <c r="I160" s="61" t="str">
        <f aca="false">IF(OR($C160="",N($G160)=0),"",IF(OR($C160="Receipt",$C160="Other Income",$C160="Capital In",$C160="Transfer In"),$G160,0))</f>
        <v/>
      </c>
      <c r="J160" s="61" t="str">
        <f aca="false">IF(OR($C160="",N($G160)=0),"",IF(I160=0,$G160,0))</f>
        <v/>
      </c>
      <c r="K160" s="60" t="str">
        <f aca="false">IF($C160="","",IF(AND(OR($C160="Receipt",$C160="Payment"),$D160=""),"Party needed",IF(AND(OR($C160="Expense",$C160="Other Income"),$E160=""),"Head needed",IF($F160="","Account needed","OK"))))</f>
        <v/>
      </c>
    </row>
    <row r="161" customFormat="false" ht="15" hidden="false" customHeight="false" outlineLevel="0" collapsed="false">
      <c r="A161" s="55"/>
      <c r="B161" s="56"/>
      <c r="C161" s="56"/>
      <c r="D161" s="56"/>
      <c r="E161" s="56"/>
      <c r="F161" s="56"/>
      <c r="G161" s="58"/>
      <c r="H161" s="56"/>
      <c r="I161" s="61" t="str">
        <f aca="false">IF(OR($C161="",N($G161)=0),"",IF(OR($C161="Receipt",$C161="Other Income",$C161="Capital In",$C161="Transfer In"),$G161,0))</f>
        <v/>
      </c>
      <c r="J161" s="61" t="str">
        <f aca="false">IF(OR($C161="",N($G161)=0),"",IF(I161=0,$G161,0))</f>
        <v/>
      </c>
      <c r="K161" s="60" t="str">
        <f aca="false">IF($C161="","",IF(AND(OR($C161="Receipt",$C161="Payment"),$D161=""),"Party needed",IF(AND(OR($C161="Expense",$C161="Other Income"),$E161=""),"Head needed",IF($F161="","Account needed","OK"))))</f>
        <v/>
      </c>
    </row>
    <row r="162" customFormat="false" ht="15" hidden="false" customHeight="false" outlineLevel="0" collapsed="false">
      <c r="A162" s="55"/>
      <c r="B162" s="56"/>
      <c r="C162" s="56"/>
      <c r="D162" s="56"/>
      <c r="E162" s="56"/>
      <c r="F162" s="56"/>
      <c r="G162" s="58"/>
      <c r="H162" s="56"/>
      <c r="I162" s="61" t="str">
        <f aca="false">IF(OR($C162="",N($G162)=0),"",IF(OR($C162="Receipt",$C162="Other Income",$C162="Capital In",$C162="Transfer In"),$G162,0))</f>
        <v/>
      </c>
      <c r="J162" s="61" t="str">
        <f aca="false">IF(OR($C162="",N($G162)=0),"",IF(I162=0,$G162,0))</f>
        <v/>
      </c>
      <c r="K162" s="60" t="str">
        <f aca="false">IF($C162="","",IF(AND(OR($C162="Receipt",$C162="Payment"),$D162=""),"Party needed",IF(AND(OR($C162="Expense",$C162="Other Income"),$E162=""),"Head needed",IF($F162="","Account needed","OK"))))</f>
        <v/>
      </c>
    </row>
    <row r="163" customFormat="false" ht="15" hidden="false" customHeight="false" outlineLevel="0" collapsed="false">
      <c r="A163" s="55"/>
      <c r="B163" s="56"/>
      <c r="C163" s="56"/>
      <c r="D163" s="56"/>
      <c r="E163" s="56"/>
      <c r="F163" s="56"/>
      <c r="G163" s="58"/>
      <c r="H163" s="56"/>
      <c r="I163" s="61" t="str">
        <f aca="false">IF(OR($C163="",N($G163)=0),"",IF(OR($C163="Receipt",$C163="Other Income",$C163="Capital In",$C163="Transfer In"),$G163,0))</f>
        <v/>
      </c>
      <c r="J163" s="61" t="str">
        <f aca="false">IF(OR($C163="",N($G163)=0),"",IF(I163=0,$G163,0))</f>
        <v/>
      </c>
      <c r="K163" s="60" t="str">
        <f aca="false">IF($C163="","",IF(AND(OR($C163="Receipt",$C163="Payment"),$D163=""),"Party needed",IF(AND(OR($C163="Expense",$C163="Other Income"),$E163=""),"Head needed",IF($F163="","Account needed","OK"))))</f>
        <v/>
      </c>
    </row>
    <row r="164" customFormat="false" ht="15" hidden="false" customHeight="false" outlineLevel="0" collapsed="false">
      <c r="A164" s="55"/>
      <c r="B164" s="56"/>
      <c r="C164" s="56"/>
      <c r="D164" s="56"/>
      <c r="E164" s="56"/>
      <c r="F164" s="56"/>
      <c r="G164" s="58"/>
      <c r="H164" s="56"/>
      <c r="I164" s="61" t="str">
        <f aca="false">IF(OR($C164="",N($G164)=0),"",IF(OR($C164="Receipt",$C164="Other Income",$C164="Capital In",$C164="Transfer In"),$G164,0))</f>
        <v/>
      </c>
      <c r="J164" s="61" t="str">
        <f aca="false">IF(OR($C164="",N($G164)=0),"",IF(I164=0,$G164,0))</f>
        <v/>
      </c>
      <c r="K164" s="60" t="str">
        <f aca="false">IF($C164="","",IF(AND(OR($C164="Receipt",$C164="Payment"),$D164=""),"Party needed",IF(AND(OR($C164="Expense",$C164="Other Income"),$E164=""),"Head needed",IF($F164="","Account needed","OK"))))</f>
        <v/>
      </c>
    </row>
    <row r="165" customFormat="false" ht="15" hidden="false" customHeight="false" outlineLevel="0" collapsed="false">
      <c r="A165" s="55"/>
      <c r="B165" s="56"/>
      <c r="C165" s="56"/>
      <c r="D165" s="56"/>
      <c r="E165" s="56"/>
      <c r="F165" s="56"/>
      <c r="G165" s="58"/>
      <c r="H165" s="56"/>
      <c r="I165" s="61" t="str">
        <f aca="false">IF(OR($C165="",N($G165)=0),"",IF(OR($C165="Receipt",$C165="Other Income",$C165="Capital In",$C165="Transfer In"),$G165,0))</f>
        <v/>
      </c>
      <c r="J165" s="61" t="str">
        <f aca="false">IF(OR($C165="",N($G165)=0),"",IF(I165=0,$G165,0))</f>
        <v/>
      </c>
      <c r="K165" s="60" t="str">
        <f aca="false">IF($C165="","",IF(AND(OR($C165="Receipt",$C165="Payment"),$D165=""),"Party needed",IF(AND(OR($C165="Expense",$C165="Other Income"),$E165=""),"Head needed",IF($F165="","Account needed","OK"))))</f>
        <v/>
      </c>
    </row>
    <row r="166" customFormat="false" ht="15" hidden="false" customHeight="false" outlineLevel="0" collapsed="false">
      <c r="A166" s="55"/>
      <c r="B166" s="56"/>
      <c r="C166" s="56"/>
      <c r="D166" s="56"/>
      <c r="E166" s="56"/>
      <c r="F166" s="56"/>
      <c r="G166" s="58"/>
      <c r="H166" s="56"/>
      <c r="I166" s="61" t="str">
        <f aca="false">IF(OR($C166="",N($G166)=0),"",IF(OR($C166="Receipt",$C166="Other Income",$C166="Capital In",$C166="Transfer In"),$G166,0))</f>
        <v/>
      </c>
      <c r="J166" s="61" t="str">
        <f aca="false">IF(OR($C166="",N($G166)=0),"",IF(I166=0,$G166,0))</f>
        <v/>
      </c>
      <c r="K166" s="60" t="str">
        <f aca="false">IF($C166="","",IF(AND(OR($C166="Receipt",$C166="Payment"),$D166=""),"Party needed",IF(AND(OR($C166="Expense",$C166="Other Income"),$E166=""),"Head needed",IF($F166="","Account needed","OK"))))</f>
        <v/>
      </c>
    </row>
    <row r="167" customFormat="false" ht="15" hidden="false" customHeight="false" outlineLevel="0" collapsed="false">
      <c r="A167" s="55"/>
      <c r="B167" s="56"/>
      <c r="C167" s="56"/>
      <c r="D167" s="56"/>
      <c r="E167" s="56"/>
      <c r="F167" s="56"/>
      <c r="G167" s="58"/>
      <c r="H167" s="56"/>
      <c r="I167" s="61" t="str">
        <f aca="false">IF(OR($C167="",N($G167)=0),"",IF(OR($C167="Receipt",$C167="Other Income",$C167="Capital In",$C167="Transfer In"),$G167,0))</f>
        <v/>
      </c>
      <c r="J167" s="61" t="str">
        <f aca="false">IF(OR($C167="",N($G167)=0),"",IF(I167=0,$G167,0))</f>
        <v/>
      </c>
      <c r="K167" s="60" t="str">
        <f aca="false">IF($C167="","",IF(AND(OR($C167="Receipt",$C167="Payment"),$D167=""),"Party needed",IF(AND(OR($C167="Expense",$C167="Other Income"),$E167=""),"Head needed",IF($F167="","Account needed","OK"))))</f>
        <v/>
      </c>
    </row>
    <row r="168" customFormat="false" ht="15" hidden="false" customHeight="false" outlineLevel="0" collapsed="false">
      <c r="A168" s="55"/>
      <c r="B168" s="56"/>
      <c r="C168" s="56"/>
      <c r="D168" s="56"/>
      <c r="E168" s="56"/>
      <c r="F168" s="56"/>
      <c r="G168" s="58"/>
      <c r="H168" s="56"/>
      <c r="I168" s="61" t="str">
        <f aca="false">IF(OR($C168="",N($G168)=0),"",IF(OR($C168="Receipt",$C168="Other Income",$C168="Capital In",$C168="Transfer In"),$G168,0))</f>
        <v/>
      </c>
      <c r="J168" s="61" t="str">
        <f aca="false">IF(OR($C168="",N($G168)=0),"",IF(I168=0,$G168,0))</f>
        <v/>
      </c>
      <c r="K168" s="60" t="str">
        <f aca="false">IF($C168="","",IF(AND(OR($C168="Receipt",$C168="Payment"),$D168=""),"Party needed",IF(AND(OR($C168="Expense",$C168="Other Income"),$E168=""),"Head needed",IF($F168="","Account needed","OK"))))</f>
        <v/>
      </c>
    </row>
    <row r="169" customFormat="false" ht="15" hidden="false" customHeight="false" outlineLevel="0" collapsed="false">
      <c r="A169" s="55"/>
      <c r="B169" s="56"/>
      <c r="C169" s="56"/>
      <c r="D169" s="56"/>
      <c r="E169" s="56"/>
      <c r="F169" s="56"/>
      <c r="G169" s="58"/>
      <c r="H169" s="56"/>
      <c r="I169" s="61" t="str">
        <f aca="false">IF(OR($C169="",N($G169)=0),"",IF(OR($C169="Receipt",$C169="Other Income",$C169="Capital In",$C169="Transfer In"),$G169,0))</f>
        <v/>
      </c>
      <c r="J169" s="61" t="str">
        <f aca="false">IF(OR($C169="",N($G169)=0),"",IF(I169=0,$G169,0))</f>
        <v/>
      </c>
      <c r="K169" s="60" t="str">
        <f aca="false">IF($C169="","",IF(AND(OR($C169="Receipt",$C169="Payment"),$D169=""),"Party needed",IF(AND(OR($C169="Expense",$C169="Other Income"),$E169=""),"Head needed",IF($F169="","Account needed","OK"))))</f>
        <v/>
      </c>
    </row>
    <row r="170" customFormat="false" ht="15" hidden="false" customHeight="false" outlineLevel="0" collapsed="false">
      <c r="A170" s="55"/>
      <c r="B170" s="56"/>
      <c r="C170" s="56"/>
      <c r="D170" s="56"/>
      <c r="E170" s="56"/>
      <c r="F170" s="56"/>
      <c r="G170" s="58"/>
      <c r="H170" s="56"/>
      <c r="I170" s="61" t="str">
        <f aca="false">IF(OR($C170="",N($G170)=0),"",IF(OR($C170="Receipt",$C170="Other Income",$C170="Capital In",$C170="Transfer In"),$G170,0))</f>
        <v/>
      </c>
      <c r="J170" s="61" t="str">
        <f aca="false">IF(OR($C170="",N($G170)=0),"",IF(I170=0,$G170,0))</f>
        <v/>
      </c>
      <c r="K170" s="60" t="str">
        <f aca="false">IF($C170="","",IF(AND(OR($C170="Receipt",$C170="Payment"),$D170=""),"Party needed",IF(AND(OR($C170="Expense",$C170="Other Income"),$E170=""),"Head needed",IF($F170="","Account needed","OK"))))</f>
        <v/>
      </c>
    </row>
    <row r="171" customFormat="false" ht="15" hidden="false" customHeight="false" outlineLevel="0" collapsed="false">
      <c r="A171" s="55"/>
      <c r="B171" s="56"/>
      <c r="C171" s="56"/>
      <c r="D171" s="56"/>
      <c r="E171" s="56"/>
      <c r="F171" s="56"/>
      <c r="G171" s="58"/>
      <c r="H171" s="56"/>
      <c r="I171" s="61" t="str">
        <f aca="false">IF(OR($C171="",N($G171)=0),"",IF(OR($C171="Receipt",$C171="Other Income",$C171="Capital In",$C171="Transfer In"),$G171,0))</f>
        <v/>
      </c>
      <c r="J171" s="61" t="str">
        <f aca="false">IF(OR($C171="",N($G171)=0),"",IF(I171=0,$G171,0))</f>
        <v/>
      </c>
      <c r="K171" s="60" t="str">
        <f aca="false">IF($C171="","",IF(AND(OR($C171="Receipt",$C171="Payment"),$D171=""),"Party needed",IF(AND(OR($C171="Expense",$C171="Other Income"),$E171=""),"Head needed",IF($F171="","Account needed","OK"))))</f>
        <v/>
      </c>
    </row>
    <row r="172" customFormat="false" ht="15" hidden="false" customHeight="false" outlineLevel="0" collapsed="false">
      <c r="A172" s="55"/>
      <c r="B172" s="56"/>
      <c r="C172" s="56"/>
      <c r="D172" s="56"/>
      <c r="E172" s="56"/>
      <c r="F172" s="56"/>
      <c r="G172" s="58"/>
      <c r="H172" s="56"/>
      <c r="I172" s="61" t="str">
        <f aca="false">IF(OR($C172="",N($G172)=0),"",IF(OR($C172="Receipt",$C172="Other Income",$C172="Capital In",$C172="Transfer In"),$G172,0))</f>
        <v/>
      </c>
      <c r="J172" s="61" t="str">
        <f aca="false">IF(OR($C172="",N($G172)=0),"",IF(I172=0,$G172,0))</f>
        <v/>
      </c>
      <c r="K172" s="60" t="str">
        <f aca="false">IF($C172="","",IF(AND(OR($C172="Receipt",$C172="Payment"),$D172=""),"Party needed",IF(AND(OR($C172="Expense",$C172="Other Income"),$E172=""),"Head needed",IF($F172="","Account needed","OK"))))</f>
        <v/>
      </c>
    </row>
    <row r="173" customFormat="false" ht="15" hidden="false" customHeight="false" outlineLevel="0" collapsed="false">
      <c r="A173" s="55"/>
      <c r="B173" s="56"/>
      <c r="C173" s="56"/>
      <c r="D173" s="56"/>
      <c r="E173" s="56"/>
      <c r="F173" s="56"/>
      <c r="G173" s="58"/>
      <c r="H173" s="56"/>
      <c r="I173" s="61" t="str">
        <f aca="false">IF(OR($C173="",N($G173)=0),"",IF(OR($C173="Receipt",$C173="Other Income",$C173="Capital In",$C173="Transfer In"),$G173,0))</f>
        <v/>
      </c>
      <c r="J173" s="61" t="str">
        <f aca="false">IF(OR($C173="",N($G173)=0),"",IF(I173=0,$G173,0))</f>
        <v/>
      </c>
      <c r="K173" s="60" t="str">
        <f aca="false">IF($C173="","",IF(AND(OR($C173="Receipt",$C173="Payment"),$D173=""),"Party needed",IF(AND(OR($C173="Expense",$C173="Other Income"),$E173=""),"Head needed",IF($F173="","Account needed","OK"))))</f>
        <v/>
      </c>
    </row>
    <row r="174" customFormat="false" ht="15" hidden="false" customHeight="false" outlineLevel="0" collapsed="false">
      <c r="A174" s="55"/>
      <c r="B174" s="56"/>
      <c r="C174" s="56"/>
      <c r="D174" s="56"/>
      <c r="E174" s="56"/>
      <c r="F174" s="56"/>
      <c r="G174" s="58"/>
      <c r="H174" s="56"/>
      <c r="I174" s="61" t="str">
        <f aca="false">IF(OR($C174="",N($G174)=0),"",IF(OR($C174="Receipt",$C174="Other Income",$C174="Capital In",$C174="Transfer In"),$G174,0))</f>
        <v/>
      </c>
      <c r="J174" s="61" t="str">
        <f aca="false">IF(OR($C174="",N($G174)=0),"",IF(I174=0,$G174,0))</f>
        <v/>
      </c>
      <c r="K174" s="60" t="str">
        <f aca="false">IF($C174="","",IF(AND(OR($C174="Receipt",$C174="Payment"),$D174=""),"Party needed",IF(AND(OR($C174="Expense",$C174="Other Income"),$E174=""),"Head needed",IF($F174="","Account needed","OK"))))</f>
        <v/>
      </c>
    </row>
    <row r="175" customFormat="false" ht="15" hidden="false" customHeight="false" outlineLevel="0" collapsed="false">
      <c r="A175" s="55"/>
      <c r="B175" s="56"/>
      <c r="C175" s="56"/>
      <c r="D175" s="56"/>
      <c r="E175" s="56"/>
      <c r="F175" s="56"/>
      <c r="G175" s="58"/>
      <c r="H175" s="56"/>
      <c r="I175" s="61" t="str">
        <f aca="false">IF(OR($C175="",N($G175)=0),"",IF(OR($C175="Receipt",$C175="Other Income",$C175="Capital In",$C175="Transfer In"),$G175,0))</f>
        <v/>
      </c>
      <c r="J175" s="61" t="str">
        <f aca="false">IF(OR($C175="",N($G175)=0),"",IF(I175=0,$G175,0))</f>
        <v/>
      </c>
      <c r="K175" s="60" t="str">
        <f aca="false">IF($C175="","",IF(AND(OR($C175="Receipt",$C175="Payment"),$D175=""),"Party needed",IF(AND(OR($C175="Expense",$C175="Other Income"),$E175=""),"Head needed",IF($F175="","Account needed","OK"))))</f>
        <v/>
      </c>
    </row>
    <row r="176" customFormat="false" ht="15" hidden="false" customHeight="false" outlineLevel="0" collapsed="false">
      <c r="A176" s="55"/>
      <c r="B176" s="56"/>
      <c r="C176" s="56"/>
      <c r="D176" s="56"/>
      <c r="E176" s="56"/>
      <c r="F176" s="56"/>
      <c r="G176" s="58"/>
      <c r="H176" s="56"/>
      <c r="I176" s="61" t="str">
        <f aca="false">IF(OR($C176="",N($G176)=0),"",IF(OR($C176="Receipt",$C176="Other Income",$C176="Capital In",$C176="Transfer In"),$G176,0))</f>
        <v/>
      </c>
      <c r="J176" s="61" t="str">
        <f aca="false">IF(OR($C176="",N($G176)=0),"",IF(I176=0,$G176,0))</f>
        <v/>
      </c>
      <c r="K176" s="60" t="str">
        <f aca="false">IF($C176="","",IF(AND(OR($C176="Receipt",$C176="Payment"),$D176=""),"Party needed",IF(AND(OR($C176="Expense",$C176="Other Income"),$E176=""),"Head needed",IF($F176="","Account needed","OK"))))</f>
        <v/>
      </c>
    </row>
    <row r="177" customFormat="false" ht="15" hidden="false" customHeight="false" outlineLevel="0" collapsed="false">
      <c r="A177" s="55"/>
      <c r="B177" s="56"/>
      <c r="C177" s="56"/>
      <c r="D177" s="56"/>
      <c r="E177" s="56"/>
      <c r="F177" s="56"/>
      <c r="G177" s="58"/>
      <c r="H177" s="56"/>
      <c r="I177" s="61" t="str">
        <f aca="false">IF(OR($C177="",N($G177)=0),"",IF(OR($C177="Receipt",$C177="Other Income",$C177="Capital In",$C177="Transfer In"),$G177,0))</f>
        <v/>
      </c>
      <c r="J177" s="61" t="str">
        <f aca="false">IF(OR($C177="",N($G177)=0),"",IF(I177=0,$G177,0))</f>
        <v/>
      </c>
      <c r="K177" s="60" t="str">
        <f aca="false">IF($C177="","",IF(AND(OR($C177="Receipt",$C177="Payment"),$D177=""),"Party needed",IF(AND(OR($C177="Expense",$C177="Other Income"),$E177=""),"Head needed",IF($F177="","Account needed","OK"))))</f>
        <v/>
      </c>
    </row>
    <row r="178" customFormat="false" ht="15" hidden="false" customHeight="false" outlineLevel="0" collapsed="false">
      <c r="A178" s="55"/>
      <c r="B178" s="56"/>
      <c r="C178" s="56"/>
      <c r="D178" s="56"/>
      <c r="E178" s="56"/>
      <c r="F178" s="56"/>
      <c r="G178" s="58"/>
      <c r="H178" s="56"/>
      <c r="I178" s="61" t="str">
        <f aca="false">IF(OR($C178="",N($G178)=0),"",IF(OR($C178="Receipt",$C178="Other Income",$C178="Capital In",$C178="Transfer In"),$G178,0))</f>
        <v/>
      </c>
      <c r="J178" s="61" t="str">
        <f aca="false">IF(OR($C178="",N($G178)=0),"",IF(I178=0,$G178,0))</f>
        <v/>
      </c>
      <c r="K178" s="60" t="str">
        <f aca="false">IF($C178="","",IF(AND(OR($C178="Receipt",$C178="Payment"),$D178=""),"Party needed",IF(AND(OR($C178="Expense",$C178="Other Income"),$E178=""),"Head needed",IF($F178="","Account needed","OK"))))</f>
        <v/>
      </c>
    </row>
    <row r="179" customFormat="false" ht="15" hidden="false" customHeight="false" outlineLevel="0" collapsed="false">
      <c r="A179" s="55"/>
      <c r="B179" s="56"/>
      <c r="C179" s="56"/>
      <c r="D179" s="56"/>
      <c r="E179" s="56"/>
      <c r="F179" s="56"/>
      <c r="G179" s="58"/>
      <c r="H179" s="56"/>
      <c r="I179" s="61" t="str">
        <f aca="false">IF(OR($C179="",N($G179)=0),"",IF(OR($C179="Receipt",$C179="Other Income",$C179="Capital In",$C179="Transfer In"),$G179,0))</f>
        <v/>
      </c>
      <c r="J179" s="61" t="str">
        <f aca="false">IF(OR($C179="",N($G179)=0),"",IF(I179=0,$G179,0))</f>
        <v/>
      </c>
      <c r="K179" s="60" t="str">
        <f aca="false">IF($C179="","",IF(AND(OR($C179="Receipt",$C179="Payment"),$D179=""),"Party needed",IF(AND(OR($C179="Expense",$C179="Other Income"),$E179=""),"Head needed",IF($F179="","Account needed","OK"))))</f>
        <v/>
      </c>
    </row>
    <row r="180" customFormat="false" ht="15" hidden="false" customHeight="false" outlineLevel="0" collapsed="false">
      <c r="A180" s="55"/>
      <c r="B180" s="56"/>
      <c r="C180" s="56"/>
      <c r="D180" s="56"/>
      <c r="E180" s="56"/>
      <c r="F180" s="56"/>
      <c r="G180" s="58"/>
      <c r="H180" s="56"/>
      <c r="I180" s="61" t="str">
        <f aca="false">IF(OR($C180="",N($G180)=0),"",IF(OR($C180="Receipt",$C180="Other Income",$C180="Capital In",$C180="Transfer In"),$G180,0))</f>
        <v/>
      </c>
      <c r="J180" s="61" t="str">
        <f aca="false">IF(OR($C180="",N($G180)=0),"",IF(I180=0,$G180,0))</f>
        <v/>
      </c>
      <c r="K180" s="60" t="str">
        <f aca="false">IF($C180="","",IF(AND(OR($C180="Receipt",$C180="Payment"),$D180=""),"Party needed",IF(AND(OR($C180="Expense",$C180="Other Income"),$E180=""),"Head needed",IF($F180="","Account needed","OK"))))</f>
        <v/>
      </c>
    </row>
    <row r="181" customFormat="false" ht="15" hidden="false" customHeight="false" outlineLevel="0" collapsed="false">
      <c r="A181" s="55"/>
      <c r="B181" s="56"/>
      <c r="C181" s="56"/>
      <c r="D181" s="56"/>
      <c r="E181" s="56"/>
      <c r="F181" s="56"/>
      <c r="G181" s="58"/>
      <c r="H181" s="56"/>
      <c r="I181" s="61" t="str">
        <f aca="false">IF(OR($C181="",N($G181)=0),"",IF(OR($C181="Receipt",$C181="Other Income",$C181="Capital In",$C181="Transfer In"),$G181,0))</f>
        <v/>
      </c>
      <c r="J181" s="61" t="str">
        <f aca="false">IF(OR($C181="",N($G181)=0),"",IF(I181=0,$G181,0))</f>
        <v/>
      </c>
      <c r="K181" s="60" t="str">
        <f aca="false">IF($C181="","",IF(AND(OR($C181="Receipt",$C181="Payment"),$D181=""),"Party needed",IF(AND(OR($C181="Expense",$C181="Other Income"),$E181=""),"Head needed",IF($F181="","Account needed","OK"))))</f>
        <v/>
      </c>
    </row>
    <row r="182" customFormat="false" ht="15" hidden="false" customHeight="false" outlineLevel="0" collapsed="false">
      <c r="A182" s="55"/>
      <c r="B182" s="56"/>
      <c r="C182" s="56"/>
      <c r="D182" s="56"/>
      <c r="E182" s="56"/>
      <c r="F182" s="56"/>
      <c r="G182" s="58"/>
      <c r="H182" s="56"/>
      <c r="I182" s="61" t="str">
        <f aca="false">IF(OR($C182="",N($G182)=0),"",IF(OR($C182="Receipt",$C182="Other Income",$C182="Capital In",$C182="Transfer In"),$G182,0))</f>
        <v/>
      </c>
      <c r="J182" s="61" t="str">
        <f aca="false">IF(OR($C182="",N($G182)=0),"",IF(I182=0,$G182,0))</f>
        <v/>
      </c>
      <c r="K182" s="60" t="str">
        <f aca="false">IF($C182="","",IF(AND(OR($C182="Receipt",$C182="Payment"),$D182=""),"Party needed",IF(AND(OR($C182="Expense",$C182="Other Income"),$E182=""),"Head needed",IF($F182="","Account needed","OK"))))</f>
        <v/>
      </c>
    </row>
    <row r="183" customFormat="false" ht="15" hidden="false" customHeight="false" outlineLevel="0" collapsed="false">
      <c r="A183" s="55"/>
      <c r="B183" s="56"/>
      <c r="C183" s="56"/>
      <c r="D183" s="56"/>
      <c r="E183" s="56"/>
      <c r="F183" s="56"/>
      <c r="G183" s="58"/>
      <c r="H183" s="56"/>
      <c r="I183" s="61" t="str">
        <f aca="false">IF(OR($C183="",N($G183)=0),"",IF(OR($C183="Receipt",$C183="Other Income",$C183="Capital In",$C183="Transfer In"),$G183,0))</f>
        <v/>
      </c>
      <c r="J183" s="61" t="str">
        <f aca="false">IF(OR($C183="",N($G183)=0),"",IF(I183=0,$G183,0))</f>
        <v/>
      </c>
      <c r="K183" s="60" t="str">
        <f aca="false">IF($C183="","",IF(AND(OR($C183="Receipt",$C183="Payment"),$D183=""),"Party needed",IF(AND(OR($C183="Expense",$C183="Other Income"),$E183=""),"Head needed",IF($F183="","Account needed","OK"))))</f>
        <v/>
      </c>
    </row>
    <row r="184" customFormat="false" ht="15" hidden="false" customHeight="false" outlineLevel="0" collapsed="false">
      <c r="A184" s="55"/>
      <c r="B184" s="56"/>
      <c r="C184" s="56"/>
      <c r="D184" s="56"/>
      <c r="E184" s="56"/>
      <c r="F184" s="56"/>
      <c r="G184" s="58"/>
      <c r="H184" s="56"/>
      <c r="I184" s="61" t="str">
        <f aca="false">IF(OR($C184="",N($G184)=0),"",IF(OR($C184="Receipt",$C184="Other Income",$C184="Capital In",$C184="Transfer In"),$G184,0))</f>
        <v/>
      </c>
      <c r="J184" s="61" t="str">
        <f aca="false">IF(OR($C184="",N($G184)=0),"",IF(I184=0,$G184,0))</f>
        <v/>
      </c>
      <c r="K184" s="60" t="str">
        <f aca="false">IF($C184="","",IF(AND(OR($C184="Receipt",$C184="Payment"),$D184=""),"Party needed",IF(AND(OR($C184="Expense",$C184="Other Income"),$E184=""),"Head needed",IF($F184="","Account needed","OK"))))</f>
        <v/>
      </c>
    </row>
    <row r="185" customFormat="false" ht="15" hidden="false" customHeight="false" outlineLevel="0" collapsed="false">
      <c r="A185" s="55"/>
      <c r="B185" s="56"/>
      <c r="C185" s="56"/>
      <c r="D185" s="56"/>
      <c r="E185" s="56"/>
      <c r="F185" s="56"/>
      <c r="G185" s="58"/>
      <c r="H185" s="56"/>
      <c r="I185" s="61" t="str">
        <f aca="false">IF(OR($C185="",N($G185)=0),"",IF(OR($C185="Receipt",$C185="Other Income",$C185="Capital In",$C185="Transfer In"),$G185,0))</f>
        <v/>
      </c>
      <c r="J185" s="61" t="str">
        <f aca="false">IF(OR($C185="",N($G185)=0),"",IF(I185=0,$G185,0))</f>
        <v/>
      </c>
      <c r="K185" s="60" t="str">
        <f aca="false">IF($C185="","",IF(AND(OR($C185="Receipt",$C185="Payment"),$D185=""),"Party needed",IF(AND(OR($C185="Expense",$C185="Other Income"),$E185=""),"Head needed",IF($F185="","Account needed","OK"))))</f>
        <v/>
      </c>
    </row>
    <row r="186" customFormat="false" ht="15" hidden="false" customHeight="false" outlineLevel="0" collapsed="false">
      <c r="A186" s="55"/>
      <c r="B186" s="56"/>
      <c r="C186" s="56"/>
      <c r="D186" s="56"/>
      <c r="E186" s="56"/>
      <c r="F186" s="56"/>
      <c r="G186" s="58"/>
      <c r="H186" s="56"/>
      <c r="I186" s="61" t="str">
        <f aca="false">IF(OR($C186="",N($G186)=0),"",IF(OR($C186="Receipt",$C186="Other Income",$C186="Capital In",$C186="Transfer In"),$G186,0))</f>
        <v/>
      </c>
      <c r="J186" s="61" t="str">
        <f aca="false">IF(OR($C186="",N($G186)=0),"",IF(I186=0,$G186,0))</f>
        <v/>
      </c>
      <c r="K186" s="60" t="str">
        <f aca="false">IF($C186="","",IF(AND(OR($C186="Receipt",$C186="Payment"),$D186=""),"Party needed",IF(AND(OR($C186="Expense",$C186="Other Income"),$E186=""),"Head needed",IF($F186="","Account needed","OK"))))</f>
        <v/>
      </c>
    </row>
    <row r="187" customFormat="false" ht="15" hidden="false" customHeight="false" outlineLevel="0" collapsed="false">
      <c r="A187" s="55"/>
      <c r="B187" s="56"/>
      <c r="C187" s="56"/>
      <c r="D187" s="56"/>
      <c r="E187" s="56"/>
      <c r="F187" s="56"/>
      <c r="G187" s="58"/>
      <c r="H187" s="56"/>
      <c r="I187" s="61" t="str">
        <f aca="false">IF(OR($C187="",N($G187)=0),"",IF(OR($C187="Receipt",$C187="Other Income",$C187="Capital In",$C187="Transfer In"),$G187,0))</f>
        <v/>
      </c>
      <c r="J187" s="61" t="str">
        <f aca="false">IF(OR($C187="",N($G187)=0),"",IF(I187=0,$G187,0))</f>
        <v/>
      </c>
      <c r="K187" s="60" t="str">
        <f aca="false">IF($C187="","",IF(AND(OR($C187="Receipt",$C187="Payment"),$D187=""),"Party needed",IF(AND(OR($C187="Expense",$C187="Other Income"),$E187=""),"Head needed",IF($F187="","Account needed","OK"))))</f>
        <v/>
      </c>
    </row>
    <row r="188" customFormat="false" ht="15" hidden="false" customHeight="false" outlineLevel="0" collapsed="false">
      <c r="A188" s="55"/>
      <c r="B188" s="56"/>
      <c r="C188" s="56"/>
      <c r="D188" s="56"/>
      <c r="E188" s="56"/>
      <c r="F188" s="56"/>
      <c r="G188" s="58"/>
      <c r="H188" s="56"/>
      <c r="I188" s="61" t="str">
        <f aca="false">IF(OR($C188="",N($G188)=0),"",IF(OR($C188="Receipt",$C188="Other Income",$C188="Capital In",$C188="Transfer In"),$G188,0))</f>
        <v/>
      </c>
      <c r="J188" s="61" t="str">
        <f aca="false">IF(OR($C188="",N($G188)=0),"",IF(I188=0,$G188,0))</f>
        <v/>
      </c>
      <c r="K188" s="60" t="str">
        <f aca="false">IF($C188="","",IF(AND(OR($C188="Receipt",$C188="Payment"),$D188=""),"Party needed",IF(AND(OR($C188="Expense",$C188="Other Income"),$E188=""),"Head needed",IF($F188="","Account needed","OK"))))</f>
        <v/>
      </c>
    </row>
    <row r="189" customFormat="false" ht="15" hidden="false" customHeight="false" outlineLevel="0" collapsed="false">
      <c r="A189" s="55"/>
      <c r="B189" s="56"/>
      <c r="C189" s="56"/>
      <c r="D189" s="56"/>
      <c r="E189" s="56"/>
      <c r="F189" s="56"/>
      <c r="G189" s="58"/>
      <c r="H189" s="56"/>
      <c r="I189" s="61" t="str">
        <f aca="false">IF(OR($C189="",N($G189)=0),"",IF(OR($C189="Receipt",$C189="Other Income",$C189="Capital In",$C189="Transfer In"),$G189,0))</f>
        <v/>
      </c>
      <c r="J189" s="61" t="str">
        <f aca="false">IF(OR($C189="",N($G189)=0),"",IF(I189=0,$G189,0))</f>
        <v/>
      </c>
      <c r="K189" s="60" t="str">
        <f aca="false">IF($C189="","",IF(AND(OR($C189="Receipt",$C189="Payment"),$D189=""),"Party needed",IF(AND(OR($C189="Expense",$C189="Other Income"),$E189=""),"Head needed",IF($F189="","Account needed","OK"))))</f>
        <v/>
      </c>
    </row>
    <row r="190" customFormat="false" ht="15" hidden="false" customHeight="false" outlineLevel="0" collapsed="false">
      <c r="A190" s="55"/>
      <c r="B190" s="56"/>
      <c r="C190" s="56"/>
      <c r="D190" s="56"/>
      <c r="E190" s="56"/>
      <c r="F190" s="56"/>
      <c r="G190" s="58"/>
      <c r="H190" s="56"/>
      <c r="I190" s="61" t="str">
        <f aca="false">IF(OR($C190="",N($G190)=0),"",IF(OR($C190="Receipt",$C190="Other Income",$C190="Capital In",$C190="Transfer In"),$G190,0))</f>
        <v/>
      </c>
      <c r="J190" s="61" t="str">
        <f aca="false">IF(OR($C190="",N($G190)=0),"",IF(I190=0,$G190,0))</f>
        <v/>
      </c>
      <c r="K190" s="60" t="str">
        <f aca="false">IF($C190="","",IF(AND(OR($C190="Receipt",$C190="Payment"),$D190=""),"Party needed",IF(AND(OR($C190="Expense",$C190="Other Income"),$E190=""),"Head needed",IF($F190="","Account needed","OK"))))</f>
        <v/>
      </c>
    </row>
    <row r="191" customFormat="false" ht="15" hidden="false" customHeight="false" outlineLevel="0" collapsed="false">
      <c r="A191" s="55"/>
      <c r="B191" s="56"/>
      <c r="C191" s="56"/>
      <c r="D191" s="56"/>
      <c r="E191" s="56"/>
      <c r="F191" s="56"/>
      <c r="G191" s="58"/>
      <c r="H191" s="56"/>
      <c r="I191" s="61" t="str">
        <f aca="false">IF(OR($C191="",N($G191)=0),"",IF(OR($C191="Receipt",$C191="Other Income",$C191="Capital In",$C191="Transfer In"),$G191,0))</f>
        <v/>
      </c>
      <c r="J191" s="61" t="str">
        <f aca="false">IF(OR($C191="",N($G191)=0),"",IF(I191=0,$G191,0))</f>
        <v/>
      </c>
      <c r="K191" s="60" t="str">
        <f aca="false">IF($C191="","",IF(AND(OR($C191="Receipt",$C191="Payment"),$D191=""),"Party needed",IF(AND(OR($C191="Expense",$C191="Other Income"),$E191=""),"Head needed",IF($F191="","Account needed","OK"))))</f>
        <v/>
      </c>
    </row>
    <row r="192" customFormat="false" ht="15" hidden="false" customHeight="false" outlineLevel="0" collapsed="false">
      <c r="A192" s="55"/>
      <c r="B192" s="56"/>
      <c r="C192" s="56"/>
      <c r="D192" s="56"/>
      <c r="E192" s="56"/>
      <c r="F192" s="56"/>
      <c r="G192" s="58"/>
      <c r="H192" s="56"/>
      <c r="I192" s="61" t="str">
        <f aca="false">IF(OR($C192="",N($G192)=0),"",IF(OR($C192="Receipt",$C192="Other Income",$C192="Capital In",$C192="Transfer In"),$G192,0))</f>
        <v/>
      </c>
      <c r="J192" s="61" t="str">
        <f aca="false">IF(OR($C192="",N($G192)=0),"",IF(I192=0,$G192,0))</f>
        <v/>
      </c>
      <c r="K192" s="60" t="str">
        <f aca="false">IF($C192="","",IF(AND(OR($C192="Receipt",$C192="Payment"),$D192=""),"Party needed",IF(AND(OR($C192="Expense",$C192="Other Income"),$E192=""),"Head needed",IF($F192="","Account needed","OK"))))</f>
        <v/>
      </c>
    </row>
    <row r="193" customFormat="false" ht="15" hidden="false" customHeight="false" outlineLevel="0" collapsed="false">
      <c r="A193" s="55"/>
      <c r="B193" s="56"/>
      <c r="C193" s="56"/>
      <c r="D193" s="56"/>
      <c r="E193" s="56"/>
      <c r="F193" s="56"/>
      <c r="G193" s="58"/>
      <c r="H193" s="56"/>
      <c r="I193" s="61" t="str">
        <f aca="false">IF(OR($C193="",N($G193)=0),"",IF(OR($C193="Receipt",$C193="Other Income",$C193="Capital In",$C193="Transfer In"),$G193,0))</f>
        <v/>
      </c>
      <c r="J193" s="61" t="str">
        <f aca="false">IF(OR($C193="",N($G193)=0),"",IF(I193=0,$G193,0))</f>
        <v/>
      </c>
      <c r="K193" s="60" t="str">
        <f aca="false">IF($C193="","",IF(AND(OR($C193="Receipt",$C193="Payment"),$D193=""),"Party needed",IF(AND(OR($C193="Expense",$C193="Other Income"),$E193=""),"Head needed",IF($F193="","Account needed","OK"))))</f>
        <v/>
      </c>
    </row>
    <row r="194" customFormat="false" ht="15" hidden="false" customHeight="false" outlineLevel="0" collapsed="false">
      <c r="A194" s="55"/>
      <c r="B194" s="56"/>
      <c r="C194" s="56"/>
      <c r="D194" s="56"/>
      <c r="E194" s="56"/>
      <c r="F194" s="56"/>
      <c r="G194" s="58"/>
      <c r="H194" s="56"/>
      <c r="I194" s="61" t="str">
        <f aca="false">IF(OR($C194="",N($G194)=0),"",IF(OR($C194="Receipt",$C194="Other Income",$C194="Capital In",$C194="Transfer In"),$G194,0))</f>
        <v/>
      </c>
      <c r="J194" s="61" t="str">
        <f aca="false">IF(OR($C194="",N($G194)=0),"",IF(I194=0,$G194,0))</f>
        <v/>
      </c>
      <c r="K194" s="60" t="str">
        <f aca="false">IF($C194="","",IF(AND(OR($C194="Receipt",$C194="Payment"),$D194=""),"Party needed",IF(AND(OR($C194="Expense",$C194="Other Income"),$E194=""),"Head needed",IF($F194="","Account needed","OK"))))</f>
        <v/>
      </c>
    </row>
    <row r="195" customFormat="false" ht="15" hidden="false" customHeight="false" outlineLevel="0" collapsed="false">
      <c r="A195" s="55"/>
      <c r="B195" s="56"/>
      <c r="C195" s="56"/>
      <c r="D195" s="56"/>
      <c r="E195" s="56"/>
      <c r="F195" s="56"/>
      <c r="G195" s="58"/>
      <c r="H195" s="56"/>
      <c r="I195" s="61" t="str">
        <f aca="false">IF(OR($C195="",N($G195)=0),"",IF(OR($C195="Receipt",$C195="Other Income",$C195="Capital In",$C195="Transfer In"),$G195,0))</f>
        <v/>
      </c>
      <c r="J195" s="61" t="str">
        <f aca="false">IF(OR($C195="",N($G195)=0),"",IF(I195=0,$G195,0))</f>
        <v/>
      </c>
      <c r="K195" s="60" t="str">
        <f aca="false">IF($C195="","",IF(AND(OR($C195="Receipt",$C195="Payment"),$D195=""),"Party needed",IF(AND(OR($C195="Expense",$C195="Other Income"),$E195=""),"Head needed",IF($F195="","Account needed","OK"))))</f>
        <v/>
      </c>
    </row>
    <row r="196" customFormat="false" ht="15" hidden="false" customHeight="false" outlineLevel="0" collapsed="false">
      <c r="A196" s="55"/>
      <c r="B196" s="56"/>
      <c r="C196" s="56"/>
      <c r="D196" s="56"/>
      <c r="E196" s="56"/>
      <c r="F196" s="56"/>
      <c r="G196" s="58"/>
      <c r="H196" s="56"/>
      <c r="I196" s="61" t="str">
        <f aca="false">IF(OR($C196="",N($G196)=0),"",IF(OR($C196="Receipt",$C196="Other Income",$C196="Capital In",$C196="Transfer In"),$G196,0))</f>
        <v/>
      </c>
      <c r="J196" s="61" t="str">
        <f aca="false">IF(OR($C196="",N($G196)=0),"",IF(I196=0,$G196,0))</f>
        <v/>
      </c>
      <c r="K196" s="60" t="str">
        <f aca="false">IF($C196="","",IF(AND(OR($C196="Receipt",$C196="Payment"),$D196=""),"Party needed",IF(AND(OR($C196="Expense",$C196="Other Income"),$E196=""),"Head needed",IF($F196="","Account needed","OK"))))</f>
        <v/>
      </c>
    </row>
    <row r="197" customFormat="false" ht="15" hidden="false" customHeight="false" outlineLevel="0" collapsed="false">
      <c r="A197" s="55"/>
      <c r="B197" s="56"/>
      <c r="C197" s="56"/>
      <c r="D197" s="56"/>
      <c r="E197" s="56"/>
      <c r="F197" s="56"/>
      <c r="G197" s="58"/>
      <c r="H197" s="56"/>
      <c r="I197" s="61" t="str">
        <f aca="false">IF(OR($C197="",N($G197)=0),"",IF(OR($C197="Receipt",$C197="Other Income",$C197="Capital In",$C197="Transfer In"),$G197,0))</f>
        <v/>
      </c>
      <c r="J197" s="61" t="str">
        <f aca="false">IF(OR($C197="",N($G197)=0),"",IF(I197=0,$G197,0))</f>
        <v/>
      </c>
      <c r="K197" s="60" t="str">
        <f aca="false">IF($C197="","",IF(AND(OR($C197="Receipt",$C197="Payment"),$D197=""),"Party needed",IF(AND(OR($C197="Expense",$C197="Other Income"),$E197=""),"Head needed",IF($F197="","Account needed","OK"))))</f>
        <v/>
      </c>
    </row>
    <row r="198" customFormat="false" ht="15" hidden="false" customHeight="false" outlineLevel="0" collapsed="false">
      <c r="A198" s="55"/>
      <c r="B198" s="56"/>
      <c r="C198" s="56"/>
      <c r="D198" s="56"/>
      <c r="E198" s="56"/>
      <c r="F198" s="56"/>
      <c r="G198" s="58"/>
      <c r="H198" s="56"/>
      <c r="I198" s="61" t="str">
        <f aca="false">IF(OR($C198="",N($G198)=0),"",IF(OR($C198="Receipt",$C198="Other Income",$C198="Capital In",$C198="Transfer In"),$G198,0))</f>
        <v/>
      </c>
      <c r="J198" s="61" t="str">
        <f aca="false">IF(OR($C198="",N($G198)=0),"",IF(I198=0,$G198,0))</f>
        <v/>
      </c>
      <c r="K198" s="60" t="str">
        <f aca="false">IF($C198="","",IF(AND(OR($C198="Receipt",$C198="Payment"),$D198=""),"Party needed",IF(AND(OR($C198="Expense",$C198="Other Income"),$E198=""),"Head needed",IF($F198="","Account needed","OK"))))</f>
        <v/>
      </c>
    </row>
    <row r="199" customFormat="false" ht="15" hidden="false" customHeight="false" outlineLevel="0" collapsed="false">
      <c r="A199" s="55"/>
      <c r="B199" s="56"/>
      <c r="C199" s="56"/>
      <c r="D199" s="56"/>
      <c r="E199" s="56"/>
      <c r="F199" s="56"/>
      <c r="G199" s="58"/>
      <c r="H199" s="56"/>
      <c r="I199" s="61" t="str">
        <f aca="false">IF(OR($C199="",N($G199)=0),"",IF(OR($C199="Receipt",$C199="Other Income",$C199="Capital In",$C199="Transfer In"),$G199,0))</f>
        <v/>
      </c>
      <c r="J199" s="61" t="str">
        <f aca="false">IF(OR($C199="",N($G199)=0),"",IF(I199=0,$G199,0))</f>
        <v/>
      </c>
      <c r="K199" s="60" t="str">
        <f aca="false">IF($C199="","",IF(AND(OR($C199="Receipt",$C199="Payment"),$D199=""),"Party needed",IF(AND(OR($C199="Expense",$C199="Other Income"),$E199=""),"Head needed",IF($F199="","Account needed","OK"))))</f>
        <v/>
      </c>
    </row>
    <row r="200" customFormat="false" ht="15" hidden="false" customHeight="false" outlineLevel="0" collapsed="false">
      <c r="A200" s="55"/>
      <c r="B200" s="56"/>
      <c r="C200" s="56"/>
      <c r="D200" s="56"/>
      <c r="E200" s="56"/>
      <c r="F200" s="56"/>
      <c r="G200" s="58"/>
      <c r="H200" s="56"/>
      <c r="I200" s="61" t="str">
        <f aca="false">IF(OR($C200="",N($G200)=0),"",IF(OR($C200="Receipt",$C200="Other Income",$C200="Capital In",$C200="Transfer In"),$G200,0))</f>
        <v/>
      </c>
      <c r="J200" s="61" t="str">
        <f aca="false">IF(OR($C200="",N($G200)=0),"",IF(I200=0,$G200,0))</f>
        <v/>
      </c>
      <c r="K200" s="60" t="str">
        <f aca="false">IF($C200="","",IF(AND(OR($C200="Receipt",$C200="Payment"),$D200=""),"Party needed",IF(AND(OR($C200="Expense",$C200="Other Income"),$E200=""),"Head needed",IF($F200="","Account needed","OK"))))</f>
        <v/>
      </c>
    </row>
    <row r="201" customFormat="false" ht="15" hidden="false" customHeight="false" outlineLevel="0" collapsed="false">
      <c r="A201" s="55"/>
      <c r="B201" s="56"/>
      <c r="C201" s="56"/>
      <c r="D201" s="56"/>
      <c r="E201" s="56"/>
      <c r="F201" s="56"/>
      <c r="G201" s="58"/>
      <c r="H201" s="56"/>
      <c r="I201" s="61" t="str">
        <f aca="false">IF(OR($C201="",N($G201)=0),"",IF(OR($C201="Receipt",$C201="Other Income",$C201="Capital In",$C201="Transfer In"),$G201,0))</f>
        <v/>
      </c>
      <c r="J201" s="61" t="str">
        <f aca="false">IF(OR($C201="",N($G201)=0),"",IF(I201=0,$G201,0))</f>
        <v/>
      </c>
      <c r="K201" s="60" t="str">
        <f aca="false">IF($C201="","",IF(AND(OR($C201="Receipt",$C201="Payment"),$D201=""),"Party needed",IF(AND(OR($C201="Expense",$C201="Other Income"),$E201=""),"Head needed",IF($F201="","Account needed","OK"))))</f>
        <v/>
      </c>
    </row>
    <row r="202" customFormat="false" ht="15" hidden="false" customHeight="false" outlineLevel="0" collapsed="false">
      <c r="A202" s="55"/>
      <c r="B202" s="56"/>
      <c r="C202" s="56"/>
      <c r="D202" s="56"/>
      <c r="E202" s="56"/>
      <c r="F202" s="56"/>
      <c r="G202" s="58"/>
      <c r="H202" s="56"/>
      <c r="I202" s="61" t="str">
        <f aca="false">IF(OR($C202="",N($G202)=0),"",IF(OR($C202="Receipt",$C202="Other Income",$C202="Capital In",$C202="Transfer In"),$G202,0))</f>
        <v/>
      </c>
      <c r="J202" s="61" t="str">
        <f aca="false">IF(OR($C202="",N($G202)=0),"",IF(I202=0,$G202,0))</f>
        <v/>
      </c>
      <c r="K202" s="60" t="str">
        <f aca="false">IF($C202="","",IF(AND(OR($C202="Receipt",$C202="Payment"),$D202=""),"Party needed",IF(AND(OR($C202="Expense",$C202="Other Income"),$E202=""),"Head needed",IF($F202="","Account needed","OK"))))</f>
        <v/>
      </c>
    </row>
    <row r="203" customFormat="false" ht="15" hidden="false" customHeight="false" outlineLevel="0" collapsed="false">
      <c r="A203" s="55"/>
      <c r="B203" s="56"/>
      <c r="C203" s="56"/>
      <c r="D203" s="56"/>
      <c r="E203" s="56"/>
      <c r="F203" s="56"/>
      <c r="G203" s="58"/>
      <c r="H203" s="56"/>
      <c r="I203" s="61" t="str">
        <f aca="false">IF(OR($C203="",N($G203)=0),"",IF(OR($C203="Receipt",$C203="Other Income",$C203="Capital In",$C203="Transfer In"),$G203,0))</f>
        <v/>
      </c>
      <c r="J203" s="61" t="str">
        <f aca="false">IF(OR($C203="",N($G203)=0),"",IF(I203=0,$G203,0))</f>
        <v/>
      </c>
      <c r="K203" s="60" t="str">
        <f aca="false">IF($C203="","",IF(AND(OR($C203="Receipt",$C203="Payment"),$D203=""),"Party needed",IF(AND(OR($C203="Expense",$C203="Other Income"),$E203=""),"Head needed",IF($F203="","Account needed","OK"))))</f>
        <v/>
      </c>
    </row>
    <row r="204" customFormat="false" ht="15" hidden="false" customHeight="false" outlineLevel="0" collapsed="false">
      <c r="A204" s="55"/>
      <c r="B204" s="56"/>
      <c r="C204" s="56"/>
      <c r="D204" s="56"/>
      <c r="E204" s="56"/>
      <c r="F204" s="56"/>
      <c r="G204" s="58"/>
      <c r="H204" s="56"/>
      <c r="I204" s="61" t="str">
        <f aca="false">IF(OR($C204="",N($G204)=0),"",IF(OR($C204="Receipt",$C204="Other Income",$C204="Capital In",$C204="Transfer In"),$G204,0))</f>
        <v/>
      </c>
      <c r="J204" s="61" t="str">
        <f aca="false">IF(OR($C204="",N($G204)=0),"",IF(I204=0,$G204,0))</f>
        <v/>
      </c>
      <c r="K204" s="60" t="str">
        <f aca="false">IF($C204="","",IF(AND(OR($C204="Receipt",$C204="Payment"),$D204=""),"Party needed",IF(AND(OR($C204="Expense",$C204="Other Income"),$E204=""),"Head needed",IF($F204="","Account needed","OK"))))</f>
        <v/>
      </c>
    </row>
    <row r="205" customFormat="false" ht="15" hidden="false" customHeight="false" outlineLevel="0" collapsed="false">
      <c r="A205" s="55"/>
      <c r="B205" s="56"/>
      <c r="C205" s="56"/>
      <c r="D205" s="56"/>
      <c r="E205" s="56"/>
      <c r="F205" s="56"/>
      <c r="G205" s="58"/>
      <c r="H205" s="56"/>
      <c r="I205" s="61" t="str">
        <f aca="false">IF(IsPro,IF(OR($C205="",N($G205)=0),"",IF(OR($C205="Receipt",$C205="Other Income",$C205="Capital In",$C205="Transfer In"),$G205,0)),"")</f>
        <v/>
      </c>
      <c r="J205" s="61" t="str">
        <f aca="false">IF(IsPro,IF(OR($C205="",N($G205)=0),"",IF(I205=0,$G205,0)),"")</f>
        <v/>
      </c>
      <c r="K205" s="60" t="str">
        <f aca="false">IF(IsPro,IF($C205="","",IF(AND(OR($C205="Receipt",$C205="Payment"),$D205=""),"Party needed",IF(AND(OR($C205="Expense",$C205="Other Income"),$E205=""),"Head needed",IF($F205="","Account needed","OK")))),IF($C205="","","PRO PLAN"))</f>
        <v/>
      </c>
    </row>
    <row r="206" customFormat="false" ht="15" hidden="false" customHeight="false" outlineLevel="0" collapsed="false">
      <c r="A206" s="55"/>
      <c r="B206" s="56"/>
      <c r="C206" s="56"/>
      <c r="D206" s="56"/>
      <c r="E206" s="56"/>
      <c r="F206" s="56"/>
      <c r="G206" s="58"/>
      <c r="H206" s="56"/>
      <c r="I206" s="61" t="str">
        <f aca="false">IF(IsPro,IF(OR($C206="",N($G206)=0),"",IF(OR($C206="Receipt",$C206="Other Income",$C206="Capital In",$C206="Transfer In"),$G206,0)),"")</f>
        <v/>
      </c>
      <c r="J206" s="61" t="str">
        <f aca="false">IF(IsPro,IF(OR($C206="",N($G206)=0),"",IF(I206=0,$G206,0)),"")</f>
        <v/>
      </c>
      <c r="K206" s="60" t="str">
        <f aca="false">IF(IsPro,IF($C206="","",IF(AND(OR($C206="Receipt",$C206="Payment"),$D206=""),"Party needed",IF(AND(OR($C206="Expense",$C206="Other Income"),$E206=""),"Head needed",IF($F206="","Account needed","OK")))),IF($C206="","","PRO PLAN"))</f>
        <v/>
      </c>
    </row>
    <row r="207" customFormat="false" ht="15" hidden="false" customHeight="false" outlineLevel="0" collapsed="false">
      <c r="A207" s="55"/>
      <c r="B207" s="56"/>
      <c r="C207" s="56"/>
      <c r="D207" s="56"/>
      <c r="E207" s="56"/>
      <c r="F207" s="56"/>
      <c r="G207" s="58"/>
      <c r="H207" s="56"/>
      <c r="I207" s="61" t="str">
        <f aca="false">IF(IsPro,IF(OR($C207="",N($G207)=0),"",IF(OR($C207="Receipt",$C207="Other Income",$C207="Capital In",$C207="Transfer In"),$G207,0)),"")</f>
        <v/>
      </c>
      <c r="J207" s="61" t="str">
        <f aca="false">IF(IsPro,IF(OR($C207="",N($G207)=0),"",IF(I207=0,$G207,0)),"")</f>
        <v/>
      </c>
      <c r="K207" s="60" t="str">
        <f aca="false">IF(IsPro,IF($C207="","",IF(AND(OR($C207="Receipt",$C207="Payment"),$D207=""),"Party needed",IF(AND(OR($C207="Expense",$C207="Other Income"),$E207=""),"Head needed",IF($F207="","Account needed","OK")))),IF($C207="","","PRO PLAN"))</f>
        <v/>
      </c>
    </row>
    <row r="208" customFormat="false" ht="15" hidden="false" customHeight="false" outlineLevel="0" collapsed="false">
      <c r="A208" s="55"/>
      <c r="B208" s="56"/>
      <c r="C208" s="56"/>
      <c r="D208" s="56"/>
      <c r="E208" s="56"/>
      <c r="F208" s="56"/>
      <c r="G208" s="58"/>
      <c r="H208" s="56"/>
      <c r="I208" s="61" t="str">
        <f aca="false">IF(IsPro,IF(OR($C208="",N($G208)=0),"",IF(OR($C208="Receipt",$C208="Other Income",$C208="Capital In",$C208="Transfer In"),$G208,0)),"")</f>
        <v/>
      </c>
      <c r="J208" s="61" t="str">
        <f aca="false">IF(IsPro,IF(OR($C208="",N($G208)=0),"",IF(I208=0,$G208,0)),"")</f>
        <v/>
      </c>
      <c r="K208" s="60" t="str">
        <f aca="false">IF(IsPro,IF($C208="","",IF(AND(OR($C208="Receipt",$C208="Payment"),$D208=""),"Party needed",IF(AND(OR($C208="Expense",$C208="Other Income"),$E208=""),"Head needed",IF($F208="","Account needed","OK")))),IF($C208="","","PRO PLAN"))</f>
        <v/>
      </c>
    </row>
    <row r="209" customFormat="false" ht="15" hidden="false" customHeight="false" outlineLevel="0" collapsed="false">
      <c r="A209" s="55"/>
      <c r="B209" s="56"/>
      <c r="C209" s="56"/>
      <c r="D209" s="56"/>
      <c r="E209" s="56"/>
      <c r="F209" s="56"/>
      <c r="G209" s="58"/>
      <c r="H209" s="56"/>
      <c r="I209" s="61" t="str">
        <f aca="false">IF(IsPro,IF(OR($C209="",N($G209)=0),"",IF(OR($C209="Receipt",$C209="Other Income",$C209="Capital In",$C209="Transfer In"),$G209,0)),"")</f>
        <v/>
      </c>
      <c r="J209" s="61" t="str">
        <f aca="false">IF(IsPro,IF(OR($C209="",N($G209)=0),"",IF(I209=0,$G209,0)),"")</f>
        <v/>
      </c>
      <c r="K209" s="60" t="str">
        <f aca="false">IF(IsPro,IF($C209="","",IF(AND(OR($C209="Receipt",$C209="Payment"),$D209=""),"Party needed",IF(AND(OR($C209="Expense",$C209="Other Income"),$E209=""),"Head needed",IF($F209="","Account needed","OK")))),IF($C209="","","PRO PLAN"))</f>
        <v/>
      </c>
    </row>
    <row r="210" customFormat="false" ht="15" hidden="false" customHeight="false" outlineLevel="0" collapsed="false">
      <c r="A210" s="55"/>
      <c r="B210" s="56"/>
      <c r="C210" s="56"/>
      <c r="D210" s="56"/>
      <c r="E210" s="56"/>
      <c r="F210" s="56"/>
      <c r="G210" s="58"/>
      <c r="H210" s="56"/>
      <c r="I210" s="61" t="str">
        <f aca="false">IF(IsPro,IF(OR($C210="",N($G210)=0),"",IF(OR($C210="Receipt",$C210="Other Income",$C210="Capital In",$C210="Transfer In"),$G210,0)),"")</f>
        <v/>
      </c>
      <c r="J210" s="61" t="str">
        <f aca="false">IF(IsPro,IF(OR($C210="",N($G210)=0),"",IF(I210=0,$G210,0)),"")</f>
        <v/>
      </c>
      <c r="K210" s="60" t="str">
        <f aca="false">IF(IsPro,IF($C210="","",IF(AND(OR($C210="Receipt",$C210="Payment"),$D210=""),"Party needed",IF(AND(OR($C210="Expense",$C210="Other Income"),$E210=""),"Head needed",IF($F210="","Account needed","OK")))),IF($C210="","","PRO PLAN"))</f>
        <v/>
      </c>
    </row>
    <row r="211" customFormat="false" ht="15" hidden="false" customHeight="false" outlineLevel="0" collapsed="false">
      <c r="A211" s="55"/>
      <c r="B211" s="56"/>
      <c r="C211" s="56"/>
      <c r="D211" s="56"/>
      <c r="E211" s="56"/>
      <c r="F211" s="56"/>
      <c r="G211" s="58"/>
      <c r="H211" s="56"/>
      <c r="I211" s="61" t="str">
        <f aca="false">IF(IsPro,IF(OR($C211="",N($G211)=0),"",IF(OR($C211="Receipt",$C211="Other Income",$C211="Capital In",$C211="Transfer In"),$G211,0)),"")</f>
        <v/>
      </c>
      <c r="J211" s="61" t="str">
        <f aca="false">IF(IsPro,IF(OR($C211="",N($G211)=0),"",IF(I211=0,$G211,0)),"")</f>
        <v/>
      </c>
      <c r="K211" s="60" t="str">
        <f aca="false">IF(IsPro,IF($C211="","",IF(AND(OR($C211="Receipt",$C211="Payment"),$D211=""),"Party needed",IF(AND(OR($C211="Expense",$C211="Other Income"),$E211=""),"Head needed",IF($F211="","Account needed","OK")))),IF($C211="","","PRO PLAN"))</f>
        <v/>
      </c>
    </row>
    <row r="212" customFormat="false" ht="15" hidden="false" customHeight="false" outlineLevel="0" collapsed="false">
      <c r="A212" s="55"/>
      <c r="B212" s="56"/>
      <c r="C212" s="56"/>
      <c r="D212" s="56"/>
      <c r="E212" s="56"/>
      <c r="F212" s="56"/>
      <c r="G212" s="58"/>
      <c r="H212" s="56"/>
      <c r="I212" s="61" t="str">
        <f aca="false">IF(IsPro,IF(OR($C212="",N($G212)=0),"",IF(OR($C212="Receipt",$C212="Other Income",$C212="Capital In",$C212="Transfer In"),$G212,0)),"")</f>
        <v/>
      </c>
      <c r="J212" s="61" t="str">
        <f aca="false">IF(IsPro,IF(OR($C212="",N($G212)=0),"",IF(I212=0,$G212,0)),"")</f>
        <v/>
      </c>
      <c r="K212" s="60" t="str">
        <f aca="false">IF(IsPro,IF($C212="","",IF(AND(OR($C212="Receipt",$C212="Payment"),$D212=""),"Party needed",IF(AND(OR($C212="Expense",$C212="Other Income"),$E212=""),"Head needed",IF($F212="","Account needed","OK")))),IF($C212="","","PRO PLAN"))</f>
        <v/>
      </c>
    </row>
    <row r="213" customFormat="false" ht="15" hidden="false" customHeight="false" outlineLevel="0" collapsed="false">
      <c r="A213" s="55"/>
      <c r="B213" s="56"/>
      <c r="C213" s="56"/>
      <c r="D213" s="56"/>
      <c r="E213" s="56"/>
      <c r="F213" s="56"/>
      <c r="G213" s="58"/>
      <c r="H213" s="56"/>
      <c r="I213" s="61" t="str">
        <f aca="false">IF(IsPro,IF(OR($C213="",N($G213)=0),"",IF(OR($C213="Receipt",$C213="Other Income",$C213="Capital In",$C213="Transfer In"),$G213,0)),"")</f>
        <v/>
      </c>
      <c r="J213" s="61" t="str">
        <f aca="false">IF(IsPro,IF(OR($C213="",N($G213)=0),"",IF(I213=0,$G213,0)),"")</f>
        <v/>
      </c>
      <c r="K213" s="60" t="str">
        <f aca="false">IF(IsPro,IF($C213="","",IF(AND(OR($C213="Receipt",$C213="Payment"),$D213=""),"Party needed",IF(AND(OR($C213="Expense",$C213="Other Income"),$E213=""),"Head needed",IF($F213="","Account needed","OK")))),IF($C213="","","PRO PLAN"))</f>
        <v/>
      </c>
    </row>
    <row r="214" customFormat="false" ht="15" hidden="false" customHeight="false" outlineLevel="0" collapsed="false">
      <c r="A214" s="55"/>
      <c r="B214" s="56"/>
      <c r="C214" s="56"/>
      <c r="D214" s="56"/>
      <c r="E214" s="56"/>
      <c r="F214" s="56"/>
      <c r="G214" s="58"/>
      <c r="H214" s="56"/>
      <c r="I214" s="61" t="str">
        <f aca="false">IF(IsPro,IF(OR($C214="",N($G214)=0),"",IF(OR($C214="Receipt",$C214="Other Income",$C214="Capital In",$C214="Transfer In"),$G214,0)),"")</f>
        <v/>
      </c>
      <c r="J214" s="61" t="str">
        <f aca="false">IF(IsPro,IF(OR($C214="",N($G214)=0),"",IF(I214=0,$G214,0)),"")</f>
        <v/>
      </c>
      <c r="K214" s="60" t="str">
        <f aca="false">IF(IsPro,IF($C214="","",IF(AND(OR($C214="Receipt",$C214="Payment"),$D214=""),"Party needed",IF(AND(OR($C214="Expense",$C214="Other Income"),$E214=""),"Head needed",IF($F214="","Account needed","OK")))),IF($C214="","","PRO PLAN"))</f>
        <v/>
      </c>
    </row>
    <row r="215" customFormat="false" ht="15" hidden="false" customHeight="false" outlineLevel="0" collapsed="false">
      <c r="A215" s="55"/>
      <c r="B215" s="56"/>
      <c r="C215" s="56"/>
      <c r="D215" s="56"/>
      <c r="E215" s="56"/>
      <c r="F215" s="56"/>
      <c r="G215" s="58"/>
      <c r="H215" s="56"/>
      <c r="I215" s="61" t="str">
        <f aca="false">IF(IsPro,IF(OR($C215="",N($G215)=0),"",IF(OR($C215="Receipt",$C215="Other Income",$C215="Capital In",$C215="Transfer In"),$G215,0)),"")</f>
        <v/>
      </c>
      <c r="J215" s="61" t="str">
        <f aca="false">IF(IsPro,IF(OR($C215="",N($G215)=0),"",IF(I215=0,$G215,0)),"")</f>
        <v/>
      </c>
      <c r="K215" s="60" t="str">
        <f aca="false">IF(IsPro,IF($C215="","",IF(AND(OR($C215="Receipt",$C215="Payment"),$D215=""),"Party needed",IF(AND(OR($C215="Expense",$C215="Other Income"),$E215=""),"Head needed",IF($F215="","Account needed","OK")))),IF($C215="","","PRO PLAN"))</f>
        <v/>
      </c>
    </row>
    <row r="216" customFormat="false" ht="15" hidden="false" customHeight="false" outlineLevel="0" collapsed="false">
      <c r="A216" s="55"/>
      <c r="B216" s="56"/>
      <c r="C216" s="56"/>
      <c r="D216" s="56"/>
      <c r="E216" s="56"/>
      <c r="F216" s="56"/>
      <c r="G216" s="58"/>
      <c r="H216" s="56"/>
      <c r="I216" s="61" t="str">
        <f aca="false">IF(IsPro,IF(OR($C216="",N($G216)=0),"",IF(OR($C216="Receipt",$C216="Other Income",$C216="Capital In",$C216="Transfer In"),$G216,0)),"")</f>
        <v/>
      </c>
      <c r="J216" s="61" t="str">
        <f aca="false">IF(IsPro,IF(OR($C216="",N($G216)=0),"",IF(I216=0,$G216,0)),"")</f>
        <v/>
      </c>
      <c r="K216" s="60" t="str">
        <f aca="false">IF(IsPro,IF($C216="","",IF(AND(OR($C216="Receipt",$C216="Payment"),$D216=""),"Party needed",IF(AND(OR($C216="Expense",$C216="Other Income"),$E216=""),"Head needed",IF($F216="","Account needed","OK")))),IF($C216="","","PRO PLAN"))</f>
        <v/>
      </c>
    </row>
    <row r="217" customFormat="false" ht="15" hidden="false" customHeight="false" outlineLevel="0" collapsed="false">
      <c r="A217" s="55"/>
      <c r="B217" s="56"/>
      <c r="C217" s="56"/>
      <c r="D217" s="56"/>
      <c r="E217" s="56"/>
      <c r="F217" s="56"/>
      <c r="G217" s="58"/>
      <c r="H217" s="56"/>
      <c r="I217" s="61" t="str">
        <f aca="false">IF(IsPro,IF(OR($C217="",N($G217)=0),"",IF(OR($C217="Receipt",$C217="Other Income",$C217="Capital In",$C217="Transfer In"),$G217,0)),"")</f>
        <v/>
      </c>
      <c r="J217" s="61" t="str">
        <f aca="false">IF(IsPro,IF(OR($C217="",N($G217)=0),"",IF(I217=0,$G217,0)),"")</f>
        <v/>
      </c>
      <c r="K217" s="60" t="str">
        <f aca="false">IF(IsPro,IF($C217="","",IF(AND(OR($C217="Receipt",$C217="Payment"),$D217=""),"Party needed",IF(AND(OR($C217="Expense",$C217="Other Income"),$E217=""),"Head needed",IF($F217="","Account needed","OK")))),IF($C217="","","PRO PLAN"))</f>
        <v/>
      </c>
    </row>
    <row r="218" customFormat="false" ht="15" hidden="false" customHeight="false" outlineLevel="0" collapsed="false">
      <c r="A218" s="55"/>
      <c r="B218" s="56"/>
      <c r="C218" s="56"/>
      <c r="D218" s="56"/>
      <c r="E218" s="56"/>
      <c r="F218" s="56"/>
      <c r="G218" s="58"/>
      <c r="H218" s="56"/>
      <c r="I218" s="61" t="str">
        <f aca="false">IF(IsPro,IF(OR($C218="",N($G218)=0),"",IF(OR($C218="Receipt",$C218="Other Income",$C218="Capital In",$C218="Transfer In"),$G218,0)),"")</f>
        <v/>
      </c>
      <c r="J218" s="61" t="str">
        <f aca="false">IF(IsPro,IF(OR($C218="",N($G218)=0),"",IF(I218=0,$G218,0)),"")</f>
        <v/>
      </c>
      <c r="K218" s="60" t="str">
        <f aca="false">IF(IsPro,IF($C218="","",IF(AND(OR($C218="Receipt",$C218="Payment"),$D218=""),"Party needed",IF(AND(OR($C218="Expense",$C218="Other Income"),$E218=""),"Head needed",IF($F218="","Account needed","OK")))),IF($C218="","","PRO PLAN"))</f>
        <v/>
      </c>
    </row>
    <row r="219" customFormat="false" ht="15" hidden="false" customHeight="false" outlineLevel="0" collapsed="false">
      <c r="A219" s="55"/>
      <c r="B219" s="56"/>
      <c r="C219" s="56"/>
      <c r="D219" s="56"/>
      <c r="E219" s="56"/>
      <c r="F219" s="56"/>
      <c r="G219" s="58"/>
      <c r="H219" s="56"/>
      <c r="I219" s="61" t="str">
        <f aca="false">IF(IsPro,IF(OR($C219="",N($G219)=0),"",IF(OR($C219="Receipt",$C219="Other Income",$C219="Capital In",$C219="Transfer In"),$G219,0)),"")</f>
        <v/>
      </c>
      <c r="J219" s="61" t="str">
        <f aca="false">IF(IsPro,IF(OR($C219="",N($G219)=0),"",IF(I219=0,$G219,0)),"")</f>
        <v/>
      </c>
      <c r="K219" s="60" t="str">
        <f aca="false">IF(IsPro,IF($C219="","",IF(AND(OR($C219="Receipt",$C219="Payment"),$D219=""),"Party needed",IF(AND(OR($C219="Expense",$C219="Other Income"),$E219=""),"Head needed",IF($F219="","Account needed","OK")))),IF($C219="","","PRO PLAN"))</f>
        <v/>
      </c>
    </row>
    <row r="220" customFormat="false" ht="15" hidden="false" customHeight="false" outlineLevel="0" collapsed="false">
      <c r="A220" s="55"/>
      <c r="B220" s="56"/>
      <c r="C220" s="56"/>
      <c r="D220" s="56"/>
      <c r="E220" s="56"/>
      <c r="F220" s="56"/>
      <c r="G220" s="58"/>
      <c r="H220" s="56"/>
      <c r="I220" s="61" t="str">
        <f aca="false">IF(IsPro,IF(OR($C220="",N($G220)=0),"",IF(OR($C220="Receipt",$C220="Other Income",$C220="Capital In",$C220="Transfer In"),$G220,0)),"")</f>
        <v/>
      </c>
      <c r="J220" s="61" t="str">
        <f aca="false">IF(IsPro,IF(OR($C220="",N($G220)=0),"",IF(I220=0,$G220,0)),"")</f>
        <v/>
      </c>
      <c r="K220" s="60" t="str">
        <f aca="false">IF(IsPro,IF($C220="","",IF(AND(OR($C220="Receipt",$C220="Payment"),$D220=""),"Party needed",IF(AND(OR($C220="Expense",$C220="Other Income"),$E220=""),"Head needed",IF($F220="","Account needed","OK")))),IF($C220="","","PRO PLAN"))</f>
        <v/>
      </c>
    </row>
    <row r="221" customFormat="false" ht="15" hidden="false" customHeight="false" outlineLevel="0" collapsed="false">
      <c r="A221" s="55"/>
      <c r="B221" s="56"/>
      <c r="C221" s="56"/>
      <c r="D221" s="56"/>
      <c r="E221" s="56"/>
      <c r="F221" s="56"/>
      <c r="G221" s="58"/>
      <c r="H221" s="56"/>
      <c r="I221" s="61" t="str">
        <f aca="false">IF(IsPro,IF(OR($C221="",N($G221)=0),"",IF(OR($C221="Receipt",$C221="Other Income",$C221="Capital In",$C221="Transfer In"),$G221,0)),"")</f>
        <v/>
      </c>
      <c r="J221" s="61" t="str">
        <f aca="false">IF(IsPro,IF(OR($C221="",N($G221)=0),"",IF(I221=0,$G221,0)),"")</f>
        <v/>
      </c>
      <c r="K221" s="60" t="str">
        <f aca="false">IF(IsPro,IF($C221="","",IF(AND(OR($C221="Receipt",$C221="Payment"),$D221=""),"Party needed",IF(AND(OR($C221="Expense",$C221="Other Income"),$E221=""),"Head needed",IF($F221="","Account needed","OK")))),IF($C221="","","PRO PLAN"))</f>
        <v/>
      </c>
    </row>
    <row r="222" customFormat="false" ht="15" hidden="false" customHeight="false" outlineLevel="0" collapsed="false">
      <c r="A222" s="55"/>
      <c r="B222" s="56"/>
      <c r="C222" s="56"/>
      <c r="D222" s="56"/>
      <c r="E222" s="56"/>
      <c r="F222" s="56"/>
      <c r="G222" s="58"/>
      <c r="H222" s="56"/>
      <c r="I222" s="61" t="str">
        <f aca="false">IF(IsPro,IF(OR($C222="",N($G222)=0),"",IF(OR($C222="Receipt",$C222="Other Income",$C222="Capital In",$C222="Transfer In"),$G222,0)),"")</f>
        <v/>
      </c>
      <c r="J222" s="61" t="str">
        <f aca="false">IF(IsPro,IF(OR($C222="",N($G222)=0),"",IF(I222=0,$G222,0)),"")</f>
        <v/>
      </c>
      <c r="K222" s="60" t="str">
        <f aca="false">IF(IsPro,IF($C222="","",IF(AND(OR($C222="Receipt",$C222="Payment"),$D222=""),"Party needed",IF(AND(OR($C222="Expense",$C222="Other Income"),$E222=""),"Head needed",IF($F222="","Account needed","OK")))),IF($C222="","","PRO PLAN"))</f>
        <v/>
      </c>
    </row>
    <row r="223" customFormat="false" ht="15" hidden="false" customHeight="false" outlineLevel="0" collapsed="false">
      <c r="A223" s="55"/>
      <c r="B223" s="56"/>
      <c r="C223" s="56"/>
      <c r="D223" s="56"/>
      <c r="E223" s="56"/>
      <c r="F223" s="56"/>
      <c r="G223" s="58"/>
      <c r="H223" s="56"/>
      <c r="I223" s="61" t="str">
        <f aca="false">IF(IsPro,IF(OR($C223="",N($G223)=0),"",IF(OR($C223="Receipt",$C223="Other Income",$C223="Capital In",$C223="Transfer In"),$G223,0)),"")</f>
        <v/>
      </c>
      <c r="J223" s="61" t="str">
        <f aca="false">IF(IsPro,IF(OR($C223="",N($G223)=0),"",IF(I223=0,$G223,0)),"")</f>
        <v/>
      </c>
      <c r="K223" s="60" t="str">
        <f aca="false">IF(IsPro,IF($C223="","",IF(AND(OR($C223="Receipt",$C223="Payment"),$D223=""),"Party needed",IF(AND(OR($C223="Expense",$C223="Other Income"),$E223=""),"Head needed",IF($F223="","Account needed","OK")))),IF($C223="","","PRO PLAN"))</f>
        <v/>
      </c>
    </row>
    <row r="224" customFormat="false" ht="15" hidden="false" customHeight="false" outlineLevel="0" collapsed="false">
      <c r="A224" s="55"/>
      <c r="B224" s="56"/>
      <c r="C224" s="56"/>
      <c r="D224" s="56"/>
      <c r="E224" s="56"/>
      <c r="F224" s="56"/>
      <c r="G224" s="58"/>
      <c r="H224" s="56"/>
      <c r="I224" s="61" t="str">
        <f aca="false">IF(IsPro,IF(OR($C224="",N($G224)=0),"",IF(OR($C224="Receipt",$C224="Other Income",$C224="Capital In",$C224="Transfer In"),$G224,0)),"")</f>
        <v/>
      </c>
      <c r="J224" s="61" t="str">
        <f aca="false">IF(IsPro,IF(OR($C224="",N($G224)=0),"",IF(I224=0,$G224,0)),"")</f>
        <v/>
      </c>
      <c r="K224" s="60" t="str">
        <f aca="false">IF(IsPro,IF($C224="","",IF(AND(OR($C224="Receipt",$C224="Payment"),$D224=""),"Party needed",IF(AND(OR($C224="Expense",$C224="Other Income"),$E224=""),"Head needed",IF($F224="","Account needed","OK")))),IF($C224="","","PRO PLAN"))</f>
        <v/>
      </c>
    </row>
    <row r="225" customFormat="false" ht="15" hidden="false" customHeight="false" outlineLevel="0" collapsed="false">
      <c r="A225" s="55"/>
      <c r="B225" s="56"/>
      <c r="C225" s="56"/>
      <c r="D225" s="56"/>
      <c r="E225" s="56"/>
      <c r="F225" s="56"/>
      <c r="G225" s="58"/>
      <c r="H225" s="56"/>
      <c r="I225" s="61" t="str">
        <f aca="false">IF(IsPro,IF(OR($C225="",N($G225)=0),"",IF(OR($C225="Receipt",$C225="Other Income",$C225="Capital In",$C225="Transfer In"),$G225,0)),"")</f>
        <v/>
      </c>
      <c r="J225" s="61" t="str">
        <f aca="false">IF(IsPro,IF(OR($C225="",N($G225)=0),"",IF(I225=0,$G225,0)),"")</f>
        <v/>
      </c>
      <c r="K225" s="60" t="str">
        <f aca="false">IF(IsPro,IF($C225="","",IF(AND(OR($C225="Receipt",$C225="Payment"),$D225=""),"Party needed",IF(AND(OR($C225="Expense",$C225="Other Income"),$E225=""),"Head needed",IF($F225="","Account needed","OK")))),IF($C225="","","PRO PLAN"))</f>
        <v/>
      </c>
    </row>
    <row r="226" customFormat="false" ht="15" hidden="false" customHeight="false" outlineLevel="0" collapsed="false">
      <c r="A226" s="55"/>
      <c r="B226" s="56"/>
      <c r="C226" s="56"/>
      <c r="D226" s="56"/>
      <c r="E226" s="56"/>
      <c r="F226" s="56"/>
      <c r="G226" s="58"/>
      <c r="H226" s="56"/>
      <c r="I226" s="61" t="str">
        <f aca="false">IF(IsPro,IF(OR($C226="",N($G226)=0),"",IF(OR($C226="Receipt",$C226="Other Income",$C226="Capital In",$C226="Transfer In"),$G226,0)),"")</f>
        <v/>
      </c>
      <c r="J226" s="61" t="str">
        <f aca="false">IF(IsPro,IF(OR($C226="",N($G226)=0),"",IF(I226=0,$G226,0)),"")</f>
        <v/>
      </c>
      <c r="K226" s="60" t="str">
        <f aca="false">IF(IsPro,IF($C226="","",IF(AND(OR($C226="Receipt",$C226="Payment"),$D226=""),"Party needed",IF(AND(OR($C226="Expense",$C226="Other Income"),$E226=""),"Head needed",IF($F226="","Account needed","OK")))),IF($C226="","","PRO PLAN"))</f>
        <v/>
      </c>
    </row>
    <row r="227" customFormat="false" ht="15" hidden="false" customHeight="false" outlineLevel="0" collapsed="false">
      <c r="A227" s="55"/>
      <c r="B227" s="56"/>
      <c r="C227" s="56"/>
      <c r="D227" s="56"/>
      <c r="E227" s="56"/>
      <c r="F227" s="56"/>
      <c r="G227" s="58"/>
      <c r="H227" s="56"/>
      <c r="I227" s="61" t="str">
        <f aca="false">IF(IsPro,IF(OR($C227="",N($G227)=0),"",IF(OR($C227="Receipt",$C227="Other Income",$C227="Capital In",$C227="Transfer In"),$G227,0)),"")</f>
        <v/>
      </c>
      <c r="J227" s="61" t="str">
        <f aca="false">IF(IsPro,IF(OR($C227="",N($G227)=0),"",IF(I227=0,$G227,0)),"")</f>
        <v/>
      </c>
      <c r="K227" s="60" t="str">
        <f aca="false">IF(IsPro,IF($C227="","",IF(AND(OR($C227="Receipt",$C227="Payment"),$D227=""),"Party needed",IF(AND(OR($C227="Expense",$C227="Other Income"),$E227=""),"Head needed",IF($F227="","Account needed","OK")))),IF($C227="","","PRO PLAN"))</f>
        <v/>
      </c>
    </row>
    <row r="228" customFormat="false" ht="15" hidden="false" customHeight="false" outlineLevel="0" collapsed="false">
      <c r="A228" s="55"/>
      <c r="B228" s="56"/>
      <c r="C228" s="56"/>
      <c r="D228" s="56"/>
      <c r="E228" s="56"/>
      <c r="F228" s="56"/>
      <c r="G228" s="58"/>
      <c r="H228" s="56"/>
      <c r="I228" s="61" t="str">
        <f aca="false">IF(IsPro,IF(OR($C228="",N($G228)=0),"",IF(OR($C228="Receipt",$C228="Other Income",$C228="Capital In",$C228="Transfer In"),$G228,0)),"")</f>
        <v/>
      </c>
      <c r="J228" s="61" t="str">
        <f aca="false">IF(IsPro,IF(OR($C228="",N($G228)=0),"",IF(I228=0,$G228,0)),"")</f>
        <v/>
      </c>
      <c r="K228" s="60" t="str">
        <f aca="false">IF(IsPro,IF($C228="","",IF(AND(OR($C228="Receipt",$C228="Payment"),$D228=""),"Party needed",IF(AND(OR($C228="Expense",$C228="Other Income"),$E228=""),"Head needed",IF($F228="","Account needed","OK")))),IF($C228="","","PRO PLAN"))</f>
        <v/>
      </c>
    </row>
    <row r="229" customFormat="false" ht="15" hidden="false" customHeight="false" outlineLevel="0" collapsed="false">
      <c r="A229" s="55"/>
      <c r="B229" s="56"/>
      <c r="C229" s="56"/>
      <c r="D229" s="56"/>
      <c r="E229" s="56"/>
      <c r="F229" s="56"/>
      <c r="G229" s="58"/>
      <c r="H229" s="56"/>
      <c r="I229" s="61" t="str">
        <f aca="false">IF(IsPro,IF(OR($C229="",N($G229)=0),"",IF(OR($C229="Receipt",$C229="Other Income",$C229="Capital In",$C229="Transfer In"),$G229,0)),"")</f>
        <v/>
      </c>
      <c r="J229" s="61" t="str">
        <f aca="false">IF(IsPro,IF(OR($C229="",N($G229)=0),"",IF(I229=0,$G229,0)),"")</f>
        <v/>
      </c>
      <c r="K229" s="60" t="str">
        <f aca="false">IF(IsPro,IF($C229="","",IF(AND(OR($C229="Receipt",$C229="Payment"),$D229=""),"Party needed",IF(AND(OR($C229="Expense",$C229="Other Income"),$E229=""),"Head needed",IF($F229="","Account needed","OK")))),IF($C229="","","PRO PLAN"))</f>
        <v/>
      </c>
    </row>
    <row r="230" customFormat="false" ht="15" hidden="false" customHeight="false" outlineLevel="0" collapsed="false">
      <c r="A230" s="55"/>
      <c r="B230" s="56"/>
      <c r="C230" s="56"/>
      <c r="D230" s="56"/>
      <c r="E230" s="56"/>
      <c r="F230" s="56"/>
      <c r="G230" s="58"/>
      <c r="H230" s="56"/>
      <c r="I230" s="61" t="str">
        <f aca="false">IF(IsPro,IF(OR($C230="",N($G230)=0),"",IF(OR($C230="Receipt",$C230="Other Income",$C230="Capital In",$C230="Transfer In"),$G230,0)),"")</f>
        <v/>
      </c>
      <c r="J230" s="61" t="str">
        <f aca="false">IF(IsPro,IF(OR($C230="",N($G230)=0),"",IF(I230=0,$G230,0)),"")</f>
        <v/>
      </c>
      <c r="K230" s="60" t="str">
        <f aca="false">IF(IsPro,IF($C230="","",IF(AND(OR($C230="Receipt",$C230="Payment"),$D230=""),"Party needed",IF(AND(OR($C230="Expense",$C230="Other Income"),$E230=""),"Head needed",IF($F230="","Account needed","OK")))),IF($C230="","","PRO PLAN"))</f>
        <v/>
      </c>
    </row>
    <row r="231" customFormat="false" ht="15" hidden="false" customHeight="false" outlineLevel="0" collapsed="false">
      <c r="A231" s="55"/>
      <c r="B231" s="56"/>
      <c r="C231" s="56"/>
      <c r="D231" s="56"/>
      <c r="E231" s="56"/>
      <c r="F231" s="56"/>
      <c r="G231" s="58"/>
      <c r="H231" s="56"/>
      <c r="I231" s="61" t="str">
        <f aca="false">IF(IsPro,IF(OR($C231="",N($G231)=0),"",IF(OR($C231="Receipt",$C231="Other Income",$C231="Capital In",$C231="Transfer In"),$G231,0)),"")</f>
        <v/>
      </c>
      <c r="J231" s="61" t="str">
        <f aca="false">IF(IsPro,IF(OR($C231="",N($G231)=0),"",IF(I231=0,$G231,0)),"")</f>
        <v/>
      </c>
      <c r="K231" s="60" t="str">
        <f aca="false">IF(IsPro,IF($C231="","",IF(AND(OR($C231="Receipt",$C231="Payment"),$D231=""),"Party needed",IF(AND(OR($C231="Expense",$C231="Other Income"),$E231=""),"Head needed",IF($F231="","Account needed","OK")))),IF($C231="","","PRO PLAN"))</f>
        <v/>
      </c>
    </row>
    <row r="232" customFormat="false" ht="15" hidden="false" customHeight="false" outlineLevel="0" collapsed="false">
      <c r="A232" s="55"/>
      <c r="B232" s="56"/>
      <c r="C232" s="56"/>
      <c r="D232" s="56"/>
      <c r="E232" s="56"/>
      <c r="F232" s="56"/>
      <c r="G232" s="58"/>
      <c r="H232" s="56"/>
      <c r="I232" s="61" t="str">
        <f aca="false">IF(IsPro,IF(OR($C232="",N($G232)=0),"",IF(OR($C232="Receipt",$C232="Other Income",$C232="Capital In",$C232="Transfer In"),$G232,0)),"")</f>
        <v/>
      </c>
      <c r="J232" s="61" t="str">
        <f aca="false">IF(IsPro,IF(OR($C232="",N($G232)=0),"",IF(I232=0,$G232,0)),"")</f>
        <v/>
      </c>
      <c r="K232" s="60" t="str">
        <f aca="false">IF(IsPro,IF($C232="","",IF(AND(OR($C232="Receipt",$C232="Payment"),$D232=""),"Party needed",IF(AND(OR($C232="Expense",$C232="Other Income"),$E232=""),"Head needed",IF($F232="","Account needed","OK")))),IF($C232="","","PRO PLAN"))</f>
        <v/>
      </c>
    </row>
    <row r="233" customFormat="false" ht="15" hidden="false" customHeight="false" outlineLevel="0" collapsed="false">
      <c r="A233" s="55"/>
      <c r="B233" s="56"/>
      <c r="C233" s="56"/>
      <c r="D233" s="56"/>
      <c r="E233" s="56"/>
      <c r="F233" s="56"/>
      <c r="G233" s="58"/>
      <c r="H233" s="56"/>
      <c r="I233" s="61" t="str">
        <f aca="false">IF(IsPro,IF(OR($C233="",N($G233)=0),"",IF(OR($C233="Receipt",$C233="Other Income",$C233="Capital In",$C233="Transfer In"),$G233,0)),"")</f>
        <v/>
      </c>
      <c r="J233" s="61" t="str">
        <f aca="false">IF(IsPro,IF(OR($C233="",N($G233)=0),"",IF(I233=0,$G233,0)),"")</f>
        <v/>
      </c>
      <c r="K233" s="60" t="str">
        <f aca="false">IF(IsPro,IF($C233="","",IF(AND(OR($C233="Receipt",$C233="Payment"),$D233=""),"Party needed",IF(AND(OR($C233="Expense",$C233="Other Income"),$E233=""),"Head needed",IF($F233="","Account needed","OK")))),IF($C233="","","PRO PLAN"))</f>
        <v/>
      </c>
    </row>
    <row r="234" customFormat="false" ht="15" hidden="false" customHeight="false" outlineLevel="0" collapsed="false">
      <c r="A234" s="55"/>
      <c r="B234" s="56"/>
      <c r="C234" s="56"/>
      <c r="D234" s="56"/>
      <c r="E234" s="56"/>
      <c r="F234" s="56"/>
      <c r="G234" s="58"/>
      <c r="H234" s="56"/>
      <c r="I234" s="61" t="str">
        <f aca="false">IF(IsPro,IF(OR($C234="",N($G234)=0),"",IF(OR($C234="Receipt",$C234="Other Income",$C234="Capital In",$C234="Transfer In"),$G234,0)),"")</f>
        <v/>
      </c>
      <c r="J234" s="61" t="str">
        <f aca="false">IF(IsPro,IF(OR($C234="",N($G234)=0),"",IF(I234=0,$G234,0)),"")</f>
        <v/>
      </c>
      <c r="K234" s="60" t="str">
        <f aca="false">IF(IsPro,IF($C234="","",IF(AND(OR($C234="Receipt",$C234="Payment"),$D234=""),"Party needed",IF(AND(OR($C234="Expense",$C234="Other Income"),$E234=""),"Head needed",IF($F234="","Account needed","OK")))),IF($C234="","","PRO PLAN"))</f>
        <v/>
      </c>
    </row>
    <row r="235" customFormat="false" ht="15" hidden="false" customHeight="false" outlineLevel="0" collapsed="false">
      <c r="A235" s="55"/>
      <c r="B235" s="56"/>
      <c r="C235" s="56"/>
      <c r="D235" s="56"/>
      <c r="E235" s="56"/>
      <c r="F235" s="56"/>
      <c r="G235" s="58"/>
      <c r="H235" s="56"/>
      <c r="I235" s="61" t="str">
        <f aca="false">IF(IsPro,IF(OR($C235="",N($G235)=0),"",IF(OR($C235="Receipt",$C235="Other Income",$C235="Capital In",$C235="Transfer In"),$G235,0)),"")</f>
        <v/>
      </c>
      <c r="J235" s="61" t="str">
        <f aca="false">IF(IsPro,IF(OR($C235="",N($G235)=0),"",IF(I235=0,$G235,0)),"")</f>
        <v/>
      </c>
      <c r="K235" s="60" t="str">
        <f aca="false">IF(IsPro,IF($C235="","",IF(AND(OR($C235="Receipt",$C235="Payment"),$D235=""),"Party needed",IF(AND(OR($C235="Expense",$C235="Other Income"),$E235=""),"Head needed",IF($F235="","Account needed","OK")))),IF($C235="","","PRO PLAN"))</f>
        <v/>
      </c>
    </row>
    <row r="236" customFormat="false" ht="15" hidden="false" customHeight="false" outlineLevel="0" collapsed="false">
      <c r="A236" s="55"/>
      <c r="B236" s="56"/>
      <c r="C236" s="56"/>
      <c r="D236" s="56"/>
      <c r="E236" s="56"/>
      <c r="F236" s="56"/>
      <c r="G236" s="58"/>
      <c r="H236" s="56"/>
      <c r="I236" s="61" t="str">
        <f aca="false">IF(IsPro,IF(OR($C236="",N($G236)=0),"",IF(OR($C236="Receipt",$C236="Other Income",$C236="Capital In",$C236="Transfer In"),$G236,0)),"")</f>
        <v/>
      </c>
      <c r="J236" s="61" t="str">
        <f aca="false">IF(IsPro,IF(OR($C236="",N($G236)=0),"",IF(I236=0,$G236,0)),"")</f>
        <v/>
      </c>
      <c r="K236" s="60" t="str">
        <f aca="false">IF(IsPro,IF($C236="","",IF(AND(OR($C236="Receipt",$C236="Payment"),$D236=""),"Party needed",IF(AND(OR($C236="Expense",$C236="Other Income"),$E236=""),"Head needed",IF($F236="","Account needed","OK")))),IF($C236="","","PRO PLAN"))</f>
        <v/>
      </c>
    </row>
    <row r="237" customFormat="false" ht="15" hidden="false" customHeight="false" outlineLevel="0" collapsed="false">
      <c r="A237" s="55"/>
      <c r="B237" s="56"/>
      <c r="C237" s="56"/>
      <c r="D237" s="56"/>
      <c r="E237" s="56"/>
      <c r="F237" s="56"/>
      <c r="G237" s="58"/>
      <c r="H237" s="56"/>
      <c r="I237" s="61" t="str">
        <f aca="false">IF(IsPro,IF(OR($C237="",N($G237)=0),"",IF(OR($C237="Receipt",$C237="Other Income",$C237="Capital In",$C237="Transfer In"),$G237,0)),"")</f>
        <v/>
      </c>
      <c r="J237" s="61" t="str">
        <f aca="false">IF(IsPro,IF(OR($C237="",N($G237)=0),"",IF(I237=0,$G237,0)),"")</f>
        <v/>
      </c>
      <c r="K237" s="60" t="str">
        <f aca="false">IF(IsPro,IF($C237="","",IF(AND(OR($C237="Receipt",$C237="Payment"),$D237=""),"Party needed",IF(AND(OR($C237="Expense",$C237="Other Income"),$E237=""),"Head needed",IF($F237="","Account needed","OK")))),IF($C237="","","PRO PLAN"))</f>
        <v/>
      </c>
    </row>
    <row r="238" customFormat="false" ht="15" hidden="false" customHeight="false" outlineLevel="0" collapsed="false">
      <c r="A238" s="55"/>
      <c r="B238" s="56"/>
      <c r="C238" s="56"/>
      <c r="D238" s="56"/>
      <c r="E238" s="56"/>
      <c r="F238" s="56"/>
      <c r="G238" s="58"/>
      <c r="H238" s="56"/>
      <c r="I238" s="61" t="str">
        <f aca="false">IF(IsPro,IF(OR($C238="",N($G238)=0),"",IF(OR($C238="Receipt",$C238="Other Income",$C238="Capital In",$C238="Transfer In"),$G238,0)),"")</f>
        <v/>
      </c>
      <c r="J238" s="61" t="str">
        <f aca="false">IF(IsPro,IF(OR($C238="",N($G238)=0),"",IF(I238=0,$G238,0)),"")</f>
        <v/>
      </c>
      <c r="K238" s="60" t="str">
        <f aca="false">IF(IsPro,IF($C238="","",IF(AND(OR($C238="Receipt",$C238="Payment"),$D238=""),"Party needed",IF(AND(OR($C238="Expense",$C238="Other Income"),$E238=""),"Head needed",IF($F238="","Account needed","OK")))),IF($C238="","","PRO PLAN"))</f>
        <v/>
      </c>
    </row>
    <row r="239" customFormat="false" ht="15" hidden="false" customHeight="false" outlineLevel="0" collapsed="false">
      <c r="A239" s="55"/>
      <c r="B239" s="56"/>
      <c r="C239" s="56"/>
      <c r="D239" s="56"/>
      <c r="E239" s="56"/>
      <c r="F239" s="56"/>
      <c r="G239" s="58"/>
      <c r="H239" s="56"/>
      <c r="I239" s="61" t="str">
        <f aca="false">IF(IsPro,IF(OR($C239="",N($G239)=0),"",IF(OR($C239="Receipt",$C239="Other Income",$C239="Capital In",$C239="Transfer In"),$G239,0)),"")</f>
        <v/>
      </c>
      <c r="J239" s="61" t="str">
        <f aca="false">IF(IsPro,IF(OR($C239="",N($G239)=0),"",IF(I239=0,$G239,0)),"")</f>
        <v/>
      </c>
      <c r="K239" s="60" t="str">
        <f aca="false">IF(IsPro,IF($C239="","",IF(AND(OR($C239="Receipt",$C239="Payment"),$D239=""),"Party needed",IF(AND(OR($C239="Expense",$C239="Other Income"),$E239=""),"Head needed",IF($F239="","Account needed","OK")))),IF($C239="","","PRO PLAN"))</f>
        <v/>
      </c>
    </row>
    <row r="240" customFormat="false" ht="15" hidden="false" customHeight="false" outlineLevel="0" collapsed="false">
      <c r="A240" s="55"/>
      <c r="B240" s="56"/>
      <c r="C240" s="56"/>
      <c r="D240" s="56"/>
      <c r="E240" s="56"/>
      <c r="F240" s="56"/>
      <c r="G240" s="58"/>
      <c r="H240" s="56"/>
      <c r="I240" s="61" t="str">
        <f aca="false">IF(IsPro,IF(OR($C240="",N($G240)=0),"",IF(OR($C240="Receipt",$C240="Other Income",$C240="Capital In",$C240="Transfer In"),$G240,0)),"")</f>
        <v/>
      </c>
      <c r="J240" s="61" t="str">
        <f aca="false">IF(IsPro,IF(OR($C240="",N($G240)=0),"",IF(I240=0,$G240,0)),"")</f>
        <v/>
      </c>
      <c r="K240" s="60" t="str">
        <f aca="false">IF(IsPro,IF($C240="","",IF(AND(OR($C240="Receipt",$C240="Payment"),$D240=""),"Party needed",IF(AND(OR($C240="Expense",$C240="Other Income"),$E240=""),"Head needed",IF($F240="","Account needed","OK")))),IF($C240="","","PRO PLAN"))</f>
        <v/>
      </c>
    </row>
    <row r="241" customFormat="false" ht="15" hidden="false" customHeight="false" outlineLevel="0" collapsed="false">
      <c r="A241" s="55"/>
      <c r="B241" s="56"/>
      <c r="C241" s="56"/>
      <c r="D241" s="56"/>
      <c r="E241" s="56"/>
      <c r="F241" s="56"/>
      <c r="G241" s="58"/>
      <c r="H241" s="56"/>
      <c r="I241" s="61" t="str">
        <f aca="false">IF(IsPro,IF(OR($C241="",N($G241)=0),"",IF(OR($C241="Receipt",$C241="Other Income",$C241="Capital In",$C241="Transfer In"),$G241,0)),"")</f>
        <v/>
      </c>
      <c r="J241" s="61" t="str">
        <f aca="false">IF(IsPro,IF(OR($C241="",N($G241)=0),"",IF(I241=0,$G241,0)),"")</f>
        <v/>
      </c>
      <c r="K241" s="60" t="str">
        <f aca="false">IF(IsPro,IF($C241="","",IF(AND(OR($C241="Receipt",$C241="Payment"),$D241=""),"Party needed",IF(AND(OR($C241="Expense",$C241="Other Income"),$E241=""),"Head needed",IF($F241="","Account needed","OK")))),IF($C241="","","PRO PLAN"))</f>
        <v/>
      </c>
    </row>
    <row r="242" customFormat="false" ht="15" hidden="false" customHeight="false" outlineLevel="0" collapsed="false">
      <c r="A242" s="55"/>
      <c r="B242" s="56"/>
      <c r="C242" s="56"/>
      <c r="D242" s="56"/>
      <c r="E242" s="56"/>
      <c r="F242" s="56"/>
      <c r="G242" s="58"/>
      <c r="H242" s="56"/>
      <c r="I242" s="61" t="str">
        <f aca="false">IF(IsPro,IF(OR($C242="",N($G242)=0),"",IF(OR($C242="Receipt",$C242="Other Income",$C242="Capital In",$C242="Transfer In"),$G242,0)),"")</f>
        <v/>
      </c>
      <c r="J242" s="61" t="str">
        <f aca="false">IF(IsPro,IF(OR($C242="",N($G242)=0),"",IF(I242=0,$G242,0)),"")</f>
        <v/>
      </c>
      <c r="K242" s="60" t="str">
        <f aca="false">IF(IsPro,IF($C242="","",IF(AND(OR($C242="Receipt",$C242="Payment"),$D242=""),"Party needed",IF(AND(OR($C242="Expense",$C242="Other Income"),$E242=""),"Head needed",IF($F242="","Account needed","OK")))),IF($C242="","","PRO PLAN"))</f>
        <v/>
      </c>
    </row>
    <row r="243" customFormat="false" ht="15" hidden="false" customHeight="false" outlineLevel="0" collapsed="false">
      <c r="A243" s="55"/>
      <c r="B243" s="56"/>
      <c r="C243" s="56"/>
      <c r="D243" s="56"/>
      <c r="E243" s="56"/>
      <c r="F243" s="56"/>
      <c r="G243" s="58"/>
      <c r="H243" s="56"/>
      <c r="I243" s="61" t="str">
        <f aca="false">IF(IsPro,IF(OR($C243="",N($G243)=0),"",IF(OR($C243="Receipt",$C243="Other Income",$C243="Capital In",$C243="Transfer In"),$G243,0)),"")</f>
        <v/>
      </c>
      <c r="J243" s="61" t="str">
        <f aca="false">IF(IsPro,IF(OR($C243="",N($G243)=0),"",IF(I243=0,$G243,0)),"")</f>
        <v/>
      </c>
      <c r="K243" s="60" t="str">
        <f aca="false">IF(IsPro,IF($C243="","",IF(AND(OR($C243="Receipt",$C243="Payment"),$D243=""),"Party needed",IF(AND(OR($C243="Expense",$C243="Other Income"),$E243=""),"Head needed",IF($F243="","Account needed","OK")))),IF($C243="","","PRO PLAN"))</f>
        <v/>
      </c>
    </row>
    <row r="244" customFormat="false" ht="15" hidden="false" customHeight="false" outlineLevel="0" collapsed="false">
      <c r="A244" s="55"/>
      <c r="B244" s="56"/>
      <c r="C244" s="56"/>
      <c r="D244" s="56"/>
      <c r="E244" s="56"/>
      <c r="F244" s="56"/>
      <c r="G244" s="58"/>
      <c r="H244" s="56"/>
      <c r="I244" s="61" t="str">
        <f aca="false">IF(IsPro,IF(OR($C244="",N($G244)=0),"",IF(OR($C244="Receipt",$C244="Other Income",$C244="Capital In",$C244="Transfer In"),$G244,0)),"")</f>
        <v/>
      </c>
      <c r="J244" s="61" t="str">
        <f aca="false">IF(IsPro,IF(OR($C244="",N($G244)=0),"",IF(I244=0,$G244,0)),"")</f>
        <v/>
      </c>
      <c r="K244" s="60" t="str">
        <f aca="false">IF(IsPro,IF($C244="","",IF(AND(OR($C244="Receipt",$C244="Payment"),$D244=""),"Party needed",IF(AND(OR($C244="Expense",$C244="Other Income"),$E244=""),"Head needed",IF($F244="","Account needed","OK")))),IF($C244="","","PRO PLAN"))</f>
        <v/>
      </c>
    </row>
    <row r="245" customFormat="false" ht="15" hidden="false" customHeight="false" outlineLevel="0" collapsed="false">
      <c r="A245" s="55"/>
      <c r="B245" s="56"/>
      <c r="C245" s="56"/>
      <c r="D245" s="56"/>
      <c r="E245" s="56"/>
      <c r="F245" s="56"/>
      <c r="G245" s="58"/>
      <c r="H245" s="56"/>
      <c r="I245" s="61" t="str">
        <f aca="false">IF(IsPro,IF(OR($C245="",N($G245)=0),"",IF(OR($C245="Receipt",$C245="Other Income",$C245="Capital In",$C245="Transfer In"),$G245,0)),"")</f>
        <v/>
      </c>
      <c r="J245" s="61" t="str">
        <f aca="false">IF(IsPro,IF(OR($C245="",N($G245)=0),"",IF(I245=0,$G245,0)),"")</f>
        <v/>
      </c>
      <c r="K245" s="60" t="str">
        <f aca="false">IF(IsPro,IF($C245="","",IF(AND(OR($C245="Receipt",$C245="Payment"),$D245=""),"Party needed",IF(AND(OR($C245="Expense",$C245="Other Income"),$E245=""),"Head needed",IF($F245="","Account needed","OK")))),IF($C245="","","PRO PLAN"))</f>
        <v/>
      </c>
    </row>
    <row r="246" customFormat="false" ht="15" hidden="false" customHeight="false" outlineLevel="0" collapsed="false">
      <c r="A246" s="55"/>
      <c r="B246" s="56"/>
      <c r="C246" s="56"/>
      <c r="D246" s="56"/>
      <c r="E246" s="56"/>
      <c r="F246" s="56"/>
      <c r="G246" s="58"/>
      <c r="H246" s="56"/>
      <c r="I246" s="61" t="str">
        <f aca="false">IF(IsPro,IF(OR($C246="",N($G246)=0),"",IF(OR($C246="Receipt",$C246="Other Income",$C246="Capital In",$C246="Transfer In"),$G246,0)),"")</f>
        <v/>
      </c>
      <c r="J246" s="61" t="str">
        <f aca="false">IF(IsPro,IF(OR($C246="",N($G246)=0),"",IF(I246=0,$G246,0)),"")</f>
        <v/>
      </c>
      <c r="K246" s="60" t="str">
        <f aca="false">IF(IsPro,IF($C246="","",IF(AND(OR($C246="Receipt",$C246="Payment"),$D246=""),"Party needed",IF(AND(OR($C246="Expense",$C246="Other Income"),$E246=""),"Head needed",IF($F246="","Account needed","OK")))),IF($C246="","","PRO PLAN"))</f>
        <v/>
      </c>
    </row>
    <row r="247" customFormat="false" ht="15" hidden="false" customHeight="false" outlineLevel="0" collapsed="false">
      <c r="A247" s="55"/>
      <c r="B247" s="56"/>
      <c r="C247" s="56"/>
      <c r="D247" s="56"/>
      <c r="E247" s="56"/>
      <c r="F247" s="56"/>
      <c r="G247" s="58"/>
      <c r="H247" s="56"/>
      <c r="I247" s="61" t="str">
        <f aca="false">IF(IsPro,IF(OR($C247="",N($G247)=0),"",IF(OR($C247="Receipt",$C247="Other Income",$C247="Capital In",$C247="Transfer In"),$G247,0)),"")</f>
        <v/>
      </c>
      <c r="J247" s="61" t="str">
        <f aca="false">IF(IsPro,IF(OR($C247="",N($G247)=0),"",IF(I247=0,$G247,0)),"")</f>
        <v/>
      </c>
      <c r="K247" s="60" t="str">
        <f aca="false">IF(IsPro,IF($C247="","",IF(AND(OR($C247="Receipt",$C247="Payment"),$D247=""),"Party needed",IF(AND(OR($C247="Expense",$C247="Other Income"),$E247=""),"Head needed",IF($F247="","Account needed","OK")))),IF($C247="","","PRO PLAN"))</f>
        <v/>
      </c>
    </row>
    <row r="248" customFormat="false" ht="15" hidden="false" customHeight="false" outlineLevel="0" collapsed="false">
      <c r="A248" s="55"/>
      <c r="B248" s="56"/>
      <c r="C248" s="56"/>
      <c r="D248" s="56"/>
      <c r="E248" s="56"/>
      <c r="F248" s="56"/>
      <c r="G248" s="58"/>
      <c r="H248" s="56"/>
      <c r="I248" s="61" t="str">
        <f aca="false">IF(IsPro,IF(OR($C248="",N($G248)=0),"",IF(OR($C248="Receipt",$C248="Other Income",$C248="Capital In",$C248="Transfer In"),$G248,0)),"")</f>
        <v/>
      </c>
      <c r="J248" s="61" t="str">
        <f aca="false">IF(IsPro,IF(OR($C248="",N($G248)=0),"",IF(I248=0,$G248,0)),"")</f>
        <v/>
      </c>
      <c r="K248" s="60" t="str">
        <f aca="false">IF(IsPro,IF($C248="","",IF(AND(OR($C248="Receipt",$C248="Payment"),$D248=""),"Party needed",IF(AND(OR($C248="Expense",$C248="Other Income"),$E248=""),"Head needed",IF($F248="","Account needed","OK")))),IF($C248="","","PRO PLAN"))</f>
        <v/>
      </c>
    </row>
    <row r="249" customFormat="false" ht="15" hidden="false" customHeight="false" outlineLevel="0" collapsed="false">
      <c r="A249" s="55"/>
      <c r="B249" s="56"/>
      <c r="C249" s="56"/>
      <c r="D249" s="56"/>
      <c r="E249" s="56"/>
      <c r="F249" s="56"/>
      <c r="G249" s="58"/>
      <c r="H249" s="56"/>
      <c r="I249" s="61" t="str">
        <f aca="false">IF(IsPro,IF(OR($C249="",N($G249)=0),"",IF(OR($C249="Receipt",$C249="Other Income",$C249="Capital In",$C249="Transfer In"),$G249,0)),"")</f>
        <v/>
      </c>
      <c r="J249" s="61" t="str">
        <f aca="false">IF(IsPro,IF(OR($C249="",N($G249)=0),"",IF(I249=0,$G249,0)),"")</f>
        <v/>
      </c>
      <c r="K249" s="60" t="str">
        <f aca="false">IF(IsPro,IF($C249="","",IF(AND(OR($C249="Receipt",$C249="Payment"),$D249=""),"Party needed",IF(AND(OR($C249="Expense",$C249="Other Income"),$E249=""),"Head needed",IF($F249="","Account needed","OK")))),IF($C249="","","PRO PLAN"))</f>
        <v/>
      </c>
    </row>
    <row r="250" customFormat="false" ht="15" hidden="false" customHeight="false" outlineLevel="0" collapsed="false">
      <c r="A250" s="55"/>
      <c r="B250" s="56"/>
      <c r="C250" s="56"/>
      <c r="D250" s="56"/>
      <c r="E250" s="56"/>
      <c r="F250" s="56"/>
      <c r="G250" s="58"/>
      <c r="H250" s="56"/>
      <c r="I250" s="61" t="str">
        <f aca="false">IF(IsPro,IF(OR($C250="",N($G250)=0),"",IF(OR($C250="Receipt",$C250="Other Income",$C250="Capital In",$C250="Transfer In"),$G250,0)),"")</f>
        <v/>
      </c>
      <c r="J250" s="61" t="str">
        <f aca="false">IF(IsPro,IF(OR($C250="",N($G250)=0),"",IF(I250=0,$G250,0)),"")</f>
        <v/>
      </c>
      <c r="K250" s="60" t="str">
        <f aca="false">IF(IsPro,IF($C250="","",IF(AND(OR($C250="Receipt",$C250="Payment"),$D250=""),"Party needed",IF(AND(OR($C250="Expense",$C250="Other Income"),$E250=""),"Head needed",IF($F250="","Account needed","OK")))),IF($C250="","","PRO PLAN"))</f>
        <v/>
      </c>
    </row>
    <row r="251" customFormat="false" ht="15" hidden="false" customHeight="false" outlineLevel="0" collapsed="false">
      <c r="A251" s="55"/>
      <c r="B251" s="56"/>
      <c r="C251" s="56"/>
      <c r="D251" s="56"/>
      <c r="E251" s="56"/>
      <c r="F251" s="56"/>
      <c r="G251" s="58"/>
      <c r="H251" s="56"/>
      <c r="I251" s="61" t="str">
        <f aca="false">IF(IsPro,IF(OR($C251="",N($G251)=0),"",IF(OR($C251="Receipt",$C251="Other Income",$C251="Capital In",$C251="Transfer In"),$G251,0)),"")</f>
        <v/>
      </c>
      <c r="J251" s="61" t="str">
        <f aca="false">IF(IsPro,IF(OR($C251="",N($G251)=0),"",IF(I251=0,$G251,0)),"")</f>
        <v/>
      </c>
      <c r="K251" s="60" t="str">
        <f aca="false">IF(IsPro,IF($C251="","",IF(AND(OR($C251="Receipt",$C251="Payment"),$D251=""),"Party needed",IF(AND(OR($C251="Expense",$C251="Other Income"),$E251=""),"Head needed",IF($F251="","Account needed","OK")))),IF($C251="","","PRO PLAN"))</f>
        <v/>
      </c>
    </row>
    <row r="252" customFormat="false" ht="15" hidden="false" customHeight="false" outlineLevel="0" collapsed="false">
      <c r="A252" s="55"/>
      <c r="B252" s="56"/>
      <c r="C252" s="56"/>
      <c r="D252" s="56"/>
      <c r="E252" s="56"/>
      <c r="F252" s="56"/>
      <c r="G252" s="58"/>
      <c r="H252" s="56"/>
      <c r="I252" s="61" t="str">
        <f aca="false">IF(IsPro,IF(OR($C252="",N($G252)=0),"",IF(OR($C252="Receipt",$C252="Other Income",$C252="Capital In",$C252="Transfer In"),$G252,0)),"")</f>
        <v/>
      </c>
      <c r="J252" s="61" t="str">
        <f aca="false">IF(IsPro,IF(OR($C252="",N($G252)=0),"",IF(I252=0,$G252,0)),"")</f>
        <v/>
      </c>
      <c r="K252" s="60" t="str">
        <f aca="false">IF(IsPro,IF($C252="","",IF(AND(OR($C252="Receipt",$C252="Payment"),$D252=""),"Party needed",IF(AND(OR($C252="Expense",$C252="Other Income"),$E252=""),"Head needed",IF($F252="","Account needed","OK")))),IF($C252="","","PRO PLAN"))</f>
        <v/>
      </c>
    </row>
    <row r="253" customFormat="false" ht="15" hidden="false" customHeight="false" outlineLevel="0" collapsed="false">
      <c r="A253" s="55"/>
      <c r="B253" s="56"/>
      <c r="C253" s="56"/>
      <c r="D253" s="56"/>
      <c r="E253" s="56"/>
      <c r="F253" s="56"/>
      <c r="G253" s="58"/>
      <c r="H253" s="56"/>
      <c r="I253" s="61" t="str">
        <f aca="false">IF(IsPro,IF(OR($C253="",N($G253)=0),"",IF(OR($C253="Receipt",$C253="Other Income",$C253="Capital In",$C253="Transfer In"),$G253,0)),"")</f>
        <v/>
      </c>
      <c r="J253" s="61" t="str">
        <f aca="false">IF(IsPro,IF(OR($C253="",N($G253)=0),"",IF(I253=0,$G253,0)),"")</f>
        <v/>
      </c>
      <c r="K253" s="60" t="str">
        <f aca="false">IF(IsPro,IF($C253="","",IF(AND(OR($C253="Receipt",$C253="Payment"),$D253=""),"Party needed",IF(AND(OR($C253="Expense",$C253="Other Income"),$E253=""),"Head needed",IF($F253="","Account needed","OK")))),IF($C253="","","PRO PLAN"))</f>
        <v/>
      </c>
    </row>
    <row r="254" customFormat="false" ht="15" hidden="false" customHeight="false" outlineLevel="0" collapsed="false">
      <c r="A254" s="55"/>
      <c r="B254" s="56"/>
      <c r="C254" s="56"/>
      <c r="D254" s="56"/>
      <c r="E254" s="56"/>
      <c r="F254" s="56"/>
      <c r="G254" s="58"/>
      <c r="H254" s="56"/>
      <c r="I254" s="61" t="str">
        <f aca="false">IF(IsPro,IF(OR($C254="",N($G254)=0),"",IF(OR($C254="Receipt",$C254="Other Income",$C254="Capital In",$C254="Transfer In"),$G254,0)),"")</f>
        <v/>
      </c>
      <c r="J254" s="61" t="str">
        <f aca="false">IF(IsPro,IF(OR($C254="",N($G254)=0),"",IF(I254=0,$G254,0)),"")</f>
        <v/>
      </c>
      <c r="K254" s="60" t="str">
        <f aca="false">IF(IsPro,IF($C254="","",IF(AND(OR($C254="Receipt",$C254="Payment"),$D254=""),"Party needed",IF(AND(OR($C254="Expense",$C254="Other Income"),$E254=""),"Head needed",IF($F254="","Account needed","OK")))),IF($C254="","","PRO PLAN"))</f>
        <v/>
      </c>
    </row>
    <row r="255" customFormat="false" ht="15" hidden="false" customHeight="false" outlineLevel="0" collapsed="false">
      <c r="A255" s="55"/>
      <c r="B255" s="56"/>
      <c r="C255" s="56"/>
      <c r="D255" s="56"/>
      <c r="E255" s="56"/>
      <c r="F255" s="56"/>
      <c r="G255" s="58"/>
      <c r="H255" s="56"/>
      <c r="I255" s="61" t="str">
        <f aca="false">IF(IsPro,IF(OR($C255="",N($G255)=0),"",IF(OR($C255="Receipt",$C255="Other Income",$C255="Capital In",$C255="Transfer In"),$G255,0)),"")</f>
        <v/>
      </c>
      <c r="J255" s="61" t="str">
        <f aca="false">IF(IsPro,IF(OR($C255="",N($G255)=0),"",IF(I255=0,$G255,0)),"")</f>
        <v/>
      </c>
      <c r="K255" s="60" t="str">
        <f aca="false">IF(IsPro,IF($C255="","",IF(AND(OR($C255="Receipt",$C255="Payment"),$D255=""),"Party needed",IF(AND(OR($C255="Expense",$C255="Other Income"),$E255=""),"Head needed",IF($F255="","Account needed","OK")))),IF($C255="","","PRO PLAN"))</f>
        <v/>
      </c>
    </row>
    <row r="256" customFormat="false" ht="15" hidden="false" customHeight="false" outlineLevel="0" collapsed="false">
      <c r="A256" s="55"/>
      <c r="B256" s="56"/>
      <c r="C256" s="56"/>
      <c r="D256" s="56"/>
      <c r="E256" s="56"/>
      <c r="F256" s="56"/>
      <c r="G256" s="58"/>
      <c r="H256" s="56"/>
      <c r="I256" s="61" t="str">
        <f aca="false">IF(IsPro,IF(OR($C256="",N($G256)=0),"",IF(OR($C256="Receipt",$C256="Other Income",$C256="Capital In",$C256="Transfer In"),$G256,0)),"")</f>
        <v/>
      </c>
      <c r="J256" s="61" t="str">
        <f aca="false">IF(IsPro,IF(OR($C256="",N($G256)=0),"",IF(I256=0,$G256,0)),"")</f>
        <v/>
      </c>
      <c r="K256" s="60" t="str">
        <f aca="false">IF(IsPro,IF($C256="","",IF(AND(OR($C256="Receipt",$C256="Payment"),$D256=""),"Party needed",IF(AND(OR($C256="Expense",$C256="Other Income"),$E256=""),"Head needed",IF($F256="","Account needed","OK")))),IF($C256="","","PRO PLAN"))</f>
        <v/>
      </c>
    </row>
    <row r="257" customFormat="false" ht="15" hidden="false" customHeight="false" outlineLevel="0" collapsed="false">
      <c r="A257" s="55"/>
      <c r="B257" s="56"/>
      <c r="C257" s="56"/>
      <c r="D257" s="56"/>
      <c r="E257" s="56"/>
      <c r="F257" s="56"/>
      <c r="G257" s="58"/>
      <c r="H257" s="56"/>
      <c r="I257" s="61" t="str">
        <f aca="false">IF(IsPro,IF(OR($C257="",N($G257)=0),"",IF(OR($C257="Receipt",$C257="Other Income",$C257="Capital In",$C257="Transfer In"),$G257,0)),"")</f>
        <v/>
      </c>
      <c r="J257" s="61" t="str">
        <f aca="false">IF(IsPro,IF(OR($C257="",N($G257)=0),"",IF(I257=0,$G257,0)),"")</f>
        <v/>
      </c>
      <c r="K257" s="60" t="str">
        <f aca="false">IF(IsPro,IF($C257="","",IF(AND(OR($C257="Receipt",$C257="Payment"),$D257=""),"Party needed",IF(AND(OR($C257="Expense",$C257="Other Income"),$E257=""),"Head needed",IF($F257="","Account needed","OK")))),IF($C257="","","PRO PLAN"))</f>
        <v/>
      </c>
    </row>
    <row r="258" customFormat="false" ht="15" hidden="false" customHeight="false" outlineLevel="0" collapsed="false">
      <c r="A258" s="55"/>
      <c r="B258" s="56"/>
      <c r="C258" s="56"/>
      <c r="D258" s="56"/>
      <c r="E258" s="56"/>
      <c r="F258" s="56"/>
      <c r="G258" s="58"/>
      <c r="H258" s="56"/>
      <c r="I258" s="61" t="str">
        <f aca="false">IF(IsPro,IF(OR($C258="",N($G258)=0),"",IF(OR($C258="Receipt",$C258="Other Income",$C258="Capital In",$C258="Transfer In"),$G258,0)),"")</f>
        <v/>
      </c>
      <c r="J258" s="61" t="str">
        <f aca="false">IF(IsPro,IF(OR($C258="",N($G258)=0),"",IF(I258=0,$G258,0)),"")</f>
        <v/>
      </c>
      <c r="K258" s="60" t="str">
        <f aca="false">IF(IsPro,IF($C258="","",IF(AND(OR($C258="Receipt",$C258="Payment"),$D258=""),"Party needed",IF(AND(OR($C258="Expense",$C258="Other Income"),$E258=""),"Head needed",IF($F258="","Account needed","OK")))),IF($C258="","","PRO PLAN"))</f>
        <v/>
      </c>
    </row>
    <row r="259" customFormat="false" ht="15" hidden="false" customHeight="false" outlineLevel="0" collapsed="false">
      <c r="A259" s="55"/>
      <c r="B259" s="56"/>
      <c r="C259" s="56"/>
      <c r="D259" s="56"/>
      <c r="E259" s="56"/>
      <c r="F259" s="56"/>
      <c r="G259" s="58"/>
      <c r="H259" s="56"/>
      <c r="I259" s="61" t="str">
        <f aca="false">IF(IsPro,IF(OR($C259="",N($G259)=0),"",IF(OR($C259="Receipt",$C259="Other Income",$C259="Capital In",$C259="Transfer In"),$G259,0)),"")</f>
        <v/>
      </c>
      <c r="J259" s="61" t="str">
        <f aca="false">IF(IsPro,IF(OR($C259="",N($G259)=0),"",IF(I259=0,$G259,0)),"")</f>
        <v/>
      </c>
      <c r="K259" s="60" t="str">
        <f aca="false">IF(IsPro,IF($C259="","",IF(AND(OR($C259="Receipt",$C259="Payment"),$D259=""),"Party needed",IF(AND(OR($C259="Expense",$C259="Other Income"),$E259=""),"Head needed",IF($F259="","Account needed","OK")))),IF($C259="","","PRO PLAN"))</f>
        <v/>
      </c>
    </row>
    <row r="260" customFormat="false" ht="15" hidden="false" customHeight="false" outlineLevel="0" collapsed="false">
      <c r="A260" s="55"/>
      <c r="B260" s="56"/>
      <c r="C260" s="56"/>
      <c r="D260" s="56"/>
      <c r="E260" s="56"/>
      <c r="F260" s="56"/>
      <c r="G260" s="58"/>
      <c r="H260" s="56"/>
      <c r="I260" s="61" t="str">
        <f aca="false">IF(IsPro,IF(OR($C260="",N($G260)=0),"",IF(OR($C260="Receipt",$C260="Other Income",$C260="Capital In",$C260="Transfer In"),$G260,0)),"")</f>
        <v/>
      </c>
      <c r="J260" s="61" t="str">
        <f aca="false">IF(IsPro,IF(OR($C260="",N($G260)=0),"",IF(I260=0,$G260,0)),"")</f>
        <v/>
      </c>
      <c r="K260" s="60" t="str">
        <f aca="false">IF(IsPro,IF($C260="","",IF(AND(OR($C260="Receipt",$C260="Payment"),$D260=""),"Party needed",IF(AND(OR($C260="Expense",$C260="Other Income"),$E260=""),"Head needed",IF($F260="","Account needed","OK")))),IF($C260="","","PRO PLAN"))</f>
        <v/>
      </c>
    </row>
    <row r="261" customFormat="false" ht="15" hidden="false" customHeight="false" outlineLevel="0" collapsed="false">
      <c r="A261" s="55"/>
      <c r="B261" s="56"/>
      <c r="C261" s="56"/>
      <c r="D261" s="56"/>
      <c r="E261" s="56"/>
      <c r="F261" s="56"/>
      <c r="G261" s="58"/>
      <c r="H261" s="56"/>
      <c r="I261" s="61" t="str">
        <f aca="false">IF(IsPro,IF(OR($C261="",N($G261)=0),"",IF(OR($C261="Receipt",$C261="Other Income",$C261="Capital In",$C261="Transfer In"),$G261,0)),"")</f>
        <v/>
      </c>
      <c r="J261" s="61" t="str">
        <f aca="false">IF(IsPro,IF(OR($C261="",N($G261)=0),"",IF(I261=0,$G261,0)),"")</f>
        <v/>
      </c>
      <c r="K261" s="60" t="str">
        <f aca="false">IF(IsPro,IF($C261="","",IF(AND(OR($C261="Receipt",$C261="Payment"),$D261=""),"Party needed",IF(AND(OR($C261="Expense",$C261="Other Income"),$E261=""),"Head needed",IF($F261="","Account needed","OK")))),IF($C261="","","PRO PLAN"))</f>
        <v/>
      </c>
    </row>
    <row r="262" customFormat="false" ht="15" hidden="false" customHeight="false" outlineLevel="0" collapsed="false">
      <c r="A262" s="55"/>
      <c r="B262" s="56"/>
      <c r="C262" s="56"/>
      <c r="D262" s="56"/>
      <c r="E262" s="56"/>
      <c r="F262" s="56"/>
      <c r="G262" s="58"/>
      <c r="H262" s="56"/>
      <c r="I262" s="61" t="str">
        <f aca="false">IF(IsPro,IF(OR($C262="",N($G262)=0),"",IF(OR($C262="Receipt",$C262="Other Income",$C262="Capital In",$C262="Transfer In"),$G262,0)),"")</f>
        <v/>
      </c>
      <c r="J262" s="61" t="str">
        <f aca="false">IF(IsPro,IF(OR($C262="",N($G262)=0),"",IF(I262=0,$G262,0)),"")</f>
        <v/>
      </c>
      <c r="K262" s="60" t="str">
        <f aca="false">IF(IsPro,IF($C262="","",IF(AND(OR($C262="Receipt",$C262="Payment"),$D262=""),"Party needed",IF(AND(OR($C262="Expense",$C262="Other Income"),$E262=""),"Head needed",IF($F262="","Account needed","OK")))),IF($C262="","","PRO PLAN"))</f>
        <v/>
      </c>
    </row>
    <row r="263" customFormat="false" ht="15" hidden="false" customHeight="false" outlineLevel="0" collapsed="false">
      <c r="A263" s="55"/>
      <c r="B263" s="56"/>
      <c r="C263" s="56"/>
      <c r="D263" s="56"/>
      <c r="E263" s="56"/>
      <c r="F263" s="56"/>
      <c r="G263" s="58"/>
      <c r="H263" s="56"/>
      <c r="I263" s="61" t="str">
        <f aca="false">IF(IsPro,IF(OR($C263="",N($G263)=0),"",IF(OR($C263="Receipt",$C263="Other Income",$C263="Capital In",$C263="Transfer In"),$G263,0)),"")</f>
        <v/>
      </c>
      <c r="J263" s="61" t="str">
        <f aca="false">IF(IsPro,IF(OR($C263="",N($G263)=0),"",IF(I263=0,$G263,0)),"")</f>
        <v/>
      </c>
      <c r="K263" s="60" t="str">
        <f aca="false">IF(IsPro,IF($C263="","",IF(AND(OR($C263="Receipt",$C263="Payment"),$D263=""),"Party needed",IF(AND(OR($C263="Expense",$C263="Other Income"),$E263=""),"Head needed",IF($F263="","Account needed","OK")))),IF($C263="","","PRO PLAN"))</f>
        <v/>
      </c>
    </row>
    <row r="264" customFormat="false" ht="15" hidden="false" customHeight="false" outlineLevel="0" collapsed="false">
      <c r="A264" s="55"/>
      <c r="B264" s="56"/>
      <c r="C264" s="56"/>
      <c r="D264" s="56"/>
      <c r="E264" s="56"/>
      <c r="F264" s="56"/>
      <c r="G264" s="58"/>
      <c r="H264" s="56"/>
      <c r="I264" s="61" t="str">
        <f aca="false">IF(IsPro,IF(OR($C264="",N($G264)=0),"",IF(OR($C264="Receipt",$C264="Other Income",$C264="Capital In",$C264="Transfer In"),$G264,0)),"")</f>
        <v/>
      </c>
      <c r="J264" s="61" t="str">
        <f aca="false">IF(IsPro,IF(OR($C264="",N($G264)=0),"",IF(I264=0,$G264,0)),"")</f>
        <v/>
      </c>
      <c r="K264" s="60" t="str">
        <f aca="false">IF(IsPro,IF($C264="","",IF(AND(OR($C264="Receipt",$C264="Payment"),$D264=""),"Party needed",IF(AND(OR($C264="Expense",$C264="Other Income"),$E264=""),"Head needed",IF($F264="","Account needed","OK")))),IF($C264="","","PRO PLAN"))</f>
        <v/>
      </c>
    </row>
    <row r="265" customFormat="false" ht="15" hidden="false" customHeight="false" outlineLevel="0" collapsed="false">
      <c r="A265" s="55"/>
      <c r="B265" s="56"/>
      <c r="C265" s="56"/>
      <c r="D265" s="56"/>
      <c r="E265" s="56"/>
      <c r="F265" s="56"/>
      <c r="G265" s="58"/>
      <c r="H265" s="56"/>
      <c r="I265" s="61" t="str">
        <f aca="false">IF(IsPro,IF(OR($C265="",N($G265)=0),"",IF(OR($C265="Receipt",$C265="Other Income",$C265="Capital In",$C265="Transfer In"),$G265,0)),"")</f>
        <v/>
      </c>
      <c r="J265" s="61" t="str">
        <f aca="false">IF(IsPro,IF(OR($C265="",N($G265)=0),"",IF(I265=0,$G265,0)),"")</f>
        <v/>
      </c>
      <c r="K265" s="60" t="str">
        <f aca="false">IF(IsPro,IF($C265="","",IF(AND(OR($C265="Receipt",$C265="Payment"),$D265=""),"Party needed",IF(AND(OR($C265="Expense",$C265="Other Income"),$E265=""),"Head needed",IF($F265="","Account needed","OK")))),IF($C265="","","PRO PLAN"))</f>
        <v/>
      </c>
    </row>
    <row r="266" customFormat="false" ht="15" hidden="false" customHeight="false" outlineLevel="0" collapsed="false">
      <c r="A266" s="55"/>
      <c r="B266" s="56"/>
      <c r="C266" s="56"/>
      <c r="D266" s="56"/>
      <c r="E266" s="56"/>
      <c r="F266" s="56"/>
      <c r="G266" s="58"/>
      <c r="H266" s="56"/>
      <c r="I266" s="61" t="str">
        <f aca="false">IF(IsPro,IF(OR($C266="",N($G266)=0),"",IF(OR($C266="Receipt",$C266="Other Income",$C266="Capital In",$C266="Transfer In"),$G266,0)),"")</f>
        <v/>
      </c>
      <c r="J266" s="61" t="str">
        <f aca="false">IF(IsPro,IF(OR($C266="",N($G266)=0),"",IF(I266=0,$G266,0)),"")</f>
        <v/>
      </c>
      <c r="K266" s="60" t="str">
        <f aca="false">IF(IsPro,IF($C266="","",IF(AND(OR($C266="Receipt",$C266="Payment"),$D266=""),"Party needed",IF(AND(OR($C266="Expense",$C266="Other Income"),$E266=""),"Head needed",IF($F266="","Account needed","OK")))),IF($C266="","","PRO PLAN"))</f>
        <v/>
      </c>
    </row>
    <row r="267" customFormat="false" ht="15" hidden="false" customHeight="false" outlineLevel="0" collapsed="false">
      <c r="A267" s="55"/>
      <c r="B267" s="56"/>
      <c r="C267" s="56"/>
      <c r="D267" s="56"/>
      <c r="E267" s="56"/>
      <c r="F267" s="56"/>
      <c r="G267" s="58"/>
      <c r="H267" s="56"/>
      <c r="I267" s="61" t="str">
        <f aca="false">IF(IsPro,IF(OR($C267="",N($G267)=0),"",IF(OR($C267="Receipt",$C267="Other Income",$C267="Capital In",$C267="Transfer In"),$G267,0)),"")</f>
        <v/>
      </c>
      <c r="J267" s="61" t="str">
        <f aca="false">IF(IsPro,IF(OR($C267="",N($G267)=0),"",IF(I267=0,$G267,0)),"")</f>
        <v/>
      </c>
      <c r="K267" s="60" t="str">
        <f aca="false">IF(IsPro,IF($C267="","",IF(AND(OR($C267="Receipt",$C267="Payment"),$D267=""),"Party needed",IF(AND(OR($C267="Expense",$C267="Other Income"),$E267=""),"Head needed",IF($F267="","Account needed","OK")))),IF($C267="","","PRO PLAN"))</f>
        <v/>
      </c>
    </row>
    <row r="268" customFormat="false" ht="15" hidden="false" customHeight="false" outlineLevel="0" collapsed="false">
      <c r="A268" s="55"/>
      <c r="B268" s="56"/>
      <c r="C268" s="56"/>
      <c r="D268" s="56"/>
      <c r="E268" s="56"/>
      <c r="F268" s="56"/>
      <c r="G268" s="58"/>
      <c r="H268" s="56"/>
      <c r="I268" s="61" t="str">
        <f aca="false">IF(IsPro,IF(OR($C268="",N($G268)=0),"",IF(OR($C268="Receipt",$C268="Other Income",$C268="Capital In",$C268="Transfer In"),$G268,0)),"")</f>
        <v/>
      </c>
      <c r="J268" s="61" t="str">
        <f aca="false">IF(IsPro,IF(OR($C268="",N($G268)=0),"",IF(I268=0,$G268,0)),"")</f>
        <v/>
      </c>
      <c r="K268" s="60" t="str">
        <f aca="false">IF(IsPro,IF($C268="","",IF(AND(OR($C268="Receipt",$C268="Payment"),$D268=""),"Party needed",IF(AND(OR($C268="Expense",$C268="Other Income"),$E268=""),"Head needed",IF($F268="","Account needed","OK")))),IF($C268="","","PRO PLAN"))</f>
        <v/>
      </c>
    </row>
    <row r="269" customFormat="false" ht="15" hidden="false" customHeight="false" outlineLevel="0" collapsed="false">
      <c r="A269" s="55"/>
      <c r="B269" s="56"/>
      <c r="C269" s="56"/>
      <c r="D269" s="56"/>
      <c r="E269" s="56"/>
      <c r="F269" s="56"/>
      <c r="G269" s="58"/>
      <c r="H269" s="56"/>
      <c r="I269" s="61" t="str">
        <f aca="false">IF(IsPro,IF(OR($C269="",N($G269)=0),"",IF(OR($C269="Receipt",$C269="Other Income",$C269="Capital In",$C269="Transfer In"),$G269,0)),"")</f>
        <v/>
      </c>
      <c r="J269" s="61" t="str">
        <f aca="false">IF(IsPro,IF(OR($C269="",N($G269)=0),"",IF(I269=0,$G269,0)),"")</f>
        <v/>
      </c>
      <c r="K269" s="60" t="str">
        <f aca="false">IF(IsPro,IF($C269="","",IF(AND(OR($C269="Receipt",$C269="Payment"),$D269=""),"Party needed",IF(AND(OR($C269="Expense",$C269="Other Income"),$E269=""),"Head needed",IF($F269="","Account needed","OK")))),IF($C269="","","PRO PLAN"))</f>
        <v/>
      </c>
    </row>
    <row r="270" customFormat="false" ht="15" hidden="false" customHeight="false" outlineLevel="0" collapsed="false">
      <c r="A270" s="55"/>
      <c r="B270" s="56"/>
      <c r="C270" s="56"/>
      <c r="D270" s="56"/>
      <c r="E270" s="56"/>
      <c r="F270" s="56"/>
      <c r="G270" s="58"/>
      <c r="H270" s="56"/>
      <c r="I270" s="61" t="str">
        <f aca="false">IF(IsPro,IF(OR($C270="",N($G270)=0),"",IF(OR($C270="Receipt",$C270="Other Income",$C270="Capital In",$C270="Transfer In"),$G270,0)),"")</f>
        <v/>
      </c>
      <c r="J270" s="61" t="str">
        <f aca="false">IF(IsPro,IF(OR($C270="",N($G270)=0),"",IF(I270=0,$G270,0)),"")</f>
        <v/>
      </c>
      <c r="K270" s="60" t="str">
        <f aca="false">IF(IsPro,IF($C270="","",IF(AND(OR($C270="Receipt",$C270="Payment"),$D270=""),"Party needed",IF(AND(OR($C270="Expense",$C270="Other Income"),$E270=""),"Head needed",IF($F270="","Account needed","OK")))),IF($C270="","","PRO PLAN"))</f>
        <v/>
      </c>
    </row>
    <row r="271" customFormat="false" ht="15" hidden="false" customHeight="false" outlineLevel="0" collapsed="false">
      <c r="A271" s="55"/>
      <c r="B271" s="56"/>
      <c r="C271" s="56"/>
      <c r="D271" s="56"/>
      <c r="E271" s="56"/>
      <c r="F271" s="56"/>
      <c r="G271" s="58"/>
      <c r="H271" s="56"/>
      <c r="I271" s="61" t="str">
        <f aca="false">IF(IsPro,IF(OR($C271="",N($G271)=0),"",IF(OR($C271="Receipt",$C271="Other Income",$C271="Capital In",$C271="Transfer In"),$G271,0)),"")</f>
        <v/>
      </c>
      <c r="J271" s="61" t="str">
        <f aca="false">IF(IsPro,IF(OR($C271="",N($G271)=0),"",IF(I271=0,$G271,0)),"")</f>
        <v/>
      </c>
      <c r="K271" s="60" t="str">
        <f aca="false">IF(IsPro,IF($C271="","",IF(AND(OR($C271="Receipt",$C271="Payment"),$D271=""),"Party needed",IF(AND(OR($C271="Expense",$C271="Other Income"),$E271=""),"Head needed",IF($F271="","Account needed","OK")))),IF($C271="","","PRO PLAN"))</f>
        <v/>
      </c>
    </row>
    <row r="272" customFormat="false" ht="15" hidden="false" customHeight="false" outlineLevel="0" collapsed="false">
      <c r="A272" s="55"/>
      <c r="B272" s="56"/>
      <c r="C272" s="56"/>
      <c r="D272" s="56"/>
      <c r="E272" s="56"/>
      <c r="F272" s="56"/>
      <c r="G272" s="58"/>
      <c r="H272" s="56"/>
      <c r="I272" s="61" t="str">
        <f aca="false">IF(IsPro,IF(OR($C272="",N($G272)=0),"",IF(OR($C272="Receipt",$C272="Other Income",$C272="Capital In",$C272="Transfer In"),$G272,0)),"")</f>
        <v/>
      </c>
      <c r="J272" s="61" t="str">
        <f aca="false">IF(IsPro,IF(OR($C272="",N($G272)=0),"",IF(I272=0,$G272,0)),"")</f>
        <v/>
      </c>
      <c r="K272" s="60" t="str">
        <f aca="false">IF(IsPro,IF($C272="","",IF(AND(OR($C272="Receipt",$C272="Payment"),$D272=""),"Party needed",IF(AND(OR($C272="Expense",$C272="Other Income"),$E272=""),"Head needed",IF($F272="","Account needed","OK")))),IF($C272="","","PRO PLAN"))</f>
        <v/>
      </c>
    </row>
    <row r="273" customFormat="false" ht="15" hidden="false" customHeight="false" outlineLevel="0" collapsed="false">
      <c r="A273" s="55"/>
      <c r="B273" s="56"/>
      <c r="C273" s="56"/>
      <c r="D273" s="56"/>
      <c r="E273" s="56"/>
      <c r="F273" s="56"/>
      <c r="G273" s="58"/>
      <c r="H273" s="56"/>
      <c r="I273" s="61" t="str">
        <f aca="false">IF(IsPro,IF(OR($C273="",N($G273)=0),"",IF(OR($C273="Receipt",$C273="Other Income",$C273="Capital In",$C273="Transfer In"),$G273,0)),"")</f>
        <v/>
      </c>
      <c r="J273" s="61" t="str">
        <f aca="false">IF(IsPro,IF(OR($C273="",N($G273)=0),"",IF(I273=0,$G273,0)),"")</f>
        <v/>
      </c>
      <c r="K273" s="60" t="str">
        <f aca="false">IF(IsPro,IF($C273="","",IF(AND(OR($C273="Receipt",$C273="Payment"),$D273=""),"Party needed",IF(AND(OR($C273="Expense",$C273="Other Income"),$E273=""),"Head needed",IF($F273="","Account needed","OK")))),IF($C273="","","PRO PLAN"))</f>
        <v/>
      </c>
    </row>
    <row r="274" customFormat="false" ht="15" hidden="false" customHeight="false" outlineLevel="0" collapsed="false">
      <c r="A274" s="55"/>
      <c r="B274" s="56"/>
      <c r="C274" s="56"/>
      <c r="D274" s="56"/>
      <c r="E274" s="56"/>
      <c r="F274" s="56"/>
      <c r="G274" s="58"/>
      <c r="H274" s="56"/>
      <c r="I274" s="61" t="str">
        <f aca="false">IF(IsPro,IF(OR($C274="",N($G274)=0),"",IF(OR($C274="Receipt",$C274="Other Income",$C274="Capital In",$C274="Transfer In"),$G274,0)),"")</f>
        <v/>
      </c>
      <c r="J274" s="61" t="str">
        <f aca="false">IF(IsPro,IF(OR($C274="",N($G274)=0),"",IF(I274=0,$G274,0)),"")</f>
        <v/>
      </c>
      <c r="K274" s="60" t="str">
        <f aca="false">IF(IsPro,IF($C274="","",IF(AND(OR($C274="Receipt",$C274="Payment"),$D274=""),"Party needed",IF(AND(OR($C274="Expense",$C274="Other Income"),$E274=""),"Head needed",IF($F274="","Account needed","OK")))),IF($C274="","","PRO PLAN"))</f>
        <v/>
      </c>
    </row>
    <row r="275" customFormat="false" ht="15" hidden="false" customHeight="false" outlineLevel="0" collapsed="false">
      <c r="A275" s="55"/>
      <c r="B275" s="56"/>
      <c r="C275" s="56"/>
      <c r="D275" s="56"/>
      <c r="E275" s="56"/>
      <c r="F275" s="56"/>
      <c r="G275" s="58"/>
      <c r="H275" s="56"/>
      <c r="I275" s="61" t="str">
        <f aca="false">IF(IsPro,IF(OR($C275="",N($G275)=0),"",IF(OR($C275="Receipt",$C275="Other Income",$C275="Capital In",$C275="Transfer In"),$G275,0)),"")</f>
        <v/>
      </c>
      <c r="J275" s="61" t="str">
        <f aca="false">IF(IsPro,IF(OR($C275="",N($G275)=0),"",IF(I275=0,$G275,0)),"")</f>
        <v/>
      </c>
      <c r="K275" s="60" t="str">
        <f aca="false">IF(IsPro,IF($C275="","",IF(AND(OR($C275="Receipt",$C275="Payment"),$D275=""),"Party needed",IF(AND(OR($C275="Expense",$C275="Other Income"),$E275=""),"Head needed",IF($F275="","Account needed","OK")))),IF($C275="","","PRO PLAN"))</f>
        <v/>
      </c>
    </row>
    <row r="276" customFormat="false" ht="15" hidden="false" customHeight="false" outlineLevel="0" collapsed="false">
      <c r="A276" s="55"/>
      <c r="B276" s="56"/>
      <c r="C276" s="56"/>
      <c r="D276" s="56"/>
      <c r="E276" s="56"/>
      <c r="F276" s="56"/>
      <c r="G276" s="58"/>
      <c r="H276" s="56"/>
      <c r="I276" s="61" t="str">
        <f aca="false">IF(IsPro,IF(OR($C276="",N($G276)=0),"",IF(OR($C276="Receipt",$C276="Other Income",$C276="Capital In",$C276="Transfer In"),$G276,0)),"")</f>
        <v/>
      </c>
      <c r="J276" s="61" t="str">
        <f aca="false">IF(IsPro,IF(OR($C276="",N($G276)=0),"",IF(I276=0,$G276,0)),"")</f>
        <v/>
      </c>
      <c r="K276" s="60" t="str">
        <f aca="false">IF(IsPro,IF($C276="","",IF(AND(OR($C276="Receipt",$C276="Payment"),$D276=""),"Party needed",IF(AND(OR($C276="Expense",$C276="Other Income"),$E276=""),"Head needed",IF($F276="","Account needed","OK")))),IF($C276="","","PRO PLAN"))</f>
        <v/>
      </c>
    </row>
    <row r="277" customFormat="false" ht="15" hidden="false" customHeight="false" outlineLevel="0" collapsed="false">
      <c r="A277" s="55"/>
      <c r="B277" s="56"/>
      <c r="C277" s="56"/>
      <c r="D277" s="56"/>
      <c r="E277" s="56"/>
      <c r="F277" s="56"/>
      <c r="G277" s="58"/>
      <c r="H277" s="56"/>
      <c r="I277" s="61" t="str">
        <f aca="false">IF(IsPro,IF(OR($C277="",N($G277)=0),"",IF(OR($C277="Receipt",$C277="Other Income",$C277="Capital In",$C277="Transfer In"),$G277,0)),"")</f>
        <v/>
      </c>
      <c r="J277" s="61" t="str">
        <f aca="false">IF(IsPro,IF(OR($C277="",N($G277)=0),"",IF(I277=0,$G277,0)),"")</f>
        <v/>
      </c>
      <c r="K277" s="60" t="str">
        <f aca="false">IF(IsPro,IF($C277="","",IF(AND(OR($C277="Receipt",$C277="Payment"),$D277=""),"Party needed",IF(AND(OR($C277="Expense",$C277="Other Income"),$E277=""),"Head needed",IF($F277="","Account needed","OK")))),IF($C277="","","PRO PLAN"))</f>
        <v/>
      </c>
    </row>
    <row r="278" customFormat="false" ht="15" hidden="false" customHeight="false" outlineLevel="0" collapsed="false">
      <c r="A278" s="55"/>
      <c r="B278" s="56"/>
      <c r="C278" s="56"/>
      <c r="D278" s="56"/>
      <c r="E278" s="56"/>
      <c r="F278" s="56"/>
      <c r="G278" s="58"/>
      <c r="H278" s="56"/>
      <c r="I278" s="61" t="str">
        <f aca="false">IF(IsPro,IF(OR($C278="",N($G278)=0),"",IF(OR($C278="Receipt",$C278="Other Income",$C278="Capital In",$C278="Transfer In"),$G278,0)),"")</f>
        <v/>
      </c>
      <c r="J278" s="61" t="str">
        <f aca="false">IF(IsPro,IF(OR($C278="",N($G278)=0),"",IF(I278=0,$G278,0)),"")</f>
        <v/>
      </c>
      <c r="K278" s="60" t="str">
        <f aca="false">IF(IsPro,IF($C278="","",IF(AND(OR($C278="Receipt",$C278="Payment"),$D278=""),"Party needed",IF(AND(OR($C278="Expense",$C278="Other Income"),$E278=""),"Head needed",IF($F278="","Account needed","OK")))),IF($C278="","","PRO PLAN"))</f>
        <v/>
      </c>
    </row>
    <row r="279" customFormat="false" ht="15" hidden="false" customHeight="false" outlineLevel="0" collapsed="false">
      <c r="A279" s="55"/>
      <c r="B279" s="56"/>
      <c r="C279" s="56"/>
      <c r="D279" s="56"/>
      <c r="E279" s="56"/>
      <c r="F279" s="56"/>
      <c r="G279" s="58"/>
      <c r="H279" s="56"/>
      <c r="I279" s="61" t="str">
        <f aca="false">IF(IsPro,IF(OR($C279="",N($G279)=0),"",IF(OR($C279="Receipt",$C279="Other Income",$C279="Capital In",$C279="Transfer In"),$G279,0)),"")</f>
        <v/>
      </c>
      <c r="J279" s="61" t="str">
        <f aca="false">IF(IsPro,IF(OR($C279="",N($G279)=0),"",IF(I279=0,$G279,0)),"")</f>
        <v/>
      </c>
      <c r="K279" s="60" t="str">
        <f aca="false">IF(IsPro,IF($C279="","",IF(AND(OR($C279="Receipt",$C279="Payment"),$D279=""),"Party needed",IF(AND(OR($C279="Expense",$C279="Other Income"),$E279=""),"Head needed",IF($F279="","Account needed","OK")))),IF($C279="","","PRO PLAN"))</f>
        <v/>
      </c>
    </row>
    <row r="280" customFormat="false" ht="15" hidden="false" customHeight="false" outlineLevel="0" collapsed="false">
      <c r="A280" s="55"/>
      <c r="B280" s="56"/>
      <c r="C280" s="56"/>
      <c r="D280" s="56"/>
      <c r="E280" s="56"/>
      <c r="F280" s="56"/>
      <c r="G280" s="58"/>
      <c r="H280" s="56"/>
      <c r="I280" s="61" t="str">
        <f aca="false">IF(IsPro,IF(OR($C280="",N($G280)=0),"",IF(OR($C280="Receipt",$C280="Other Income",$C280="Capital In",$C280="Transfer In"),$G280,0)),"")</f>
        <v/>
      </c>
      <c r="J280" s="61" t="str">
        <f aca="false">IF(IsPro,IF(OR($C280="",N($G280)=0),"",IF(I280=0,$G280,0)),"")</f>
        <v/>
      </c>
      <c r="K280" s="60" t="str">
        <f aca="false">IF(IsPro,IF($C280="","",IF(AND(OR($C280="Receipt",$C280="Payment"),$D280=""),"Party needed",IF(AND(OR($C280="Expense",$C280="Other Income"),$E280=""),"Head needed",IF($F280="","Account needed","OK")))),IF($C280="","","PRO PLAN"))</f>
        <v/>
      </c>
    </row>
    <row r="281" customFormat="false" ht="15" hidden="false" customHeight="false" outlineLevel="0" collapsed="false">
      <c r="A281" s="55"/>
      <c r="B281" s="56"/>
      <c r="C281" s="56"/>
      <c r="D281" s="56"/>
      <c r="E281" s="56"/>
      <c r="F281" s="56"/>
      <c r="G281" s="58"/>
      <c r="H281" s="56"/>
      <c r="I281" s="61" t="str">
        <f aca="false">IF(IsPro,IF(OR($C281="",N($G281)=0),"",IF(OR($C281="Receipt",$C281="Other Income",$C281="Capital In",$C281="Transfer In"),$G281,0)),"")</f>
        <v/>
      </c>
      <c r="J281" s="61" t="str">
        <f aca="false">IF(IsPro,IF(OR($C281="",N($G281)=0),"",IF(I281=0,$G281,0)),"")</f>
        <v/>
      </c>
      <c r="K281" s="60" t="str">
        <f aca="false">IF(IsPro,IF($C281="","",IF(AND(OR($C281="Receipt",$C281="Payment"),$D281=""),"Party needed",IF(AND(OR($C281="Expense",$C281="Other Income"),$E281=""),"Head needed",IF($F281="","Account needed","OK")))),IF($C281="","","PRO PLAN"))</f>
        <v/>
      </c>
    </row>
    <row r="282" customFormat="false" ht="15" hidden="false" customHeight="false" outlineLevel="0" collapsed="false">
      <c r="A282" s="55"/>
      <c r="B282" s="56"/>
      <c r="C282" s="56"/>
      <c r="D282" s="56"/>
      <c r="E282" s="56"/>
      <c r="F282" s="56"/>
      <c r="G282" s="58"/>
      <c r="H282" s="56"/>
      <c r="I282" s="61" t="str">
        <f aca="false">IF(IsPro,IF(OR($C282="",N($G282)=0),"",IF(OR($C282="Receipt",$C282="Other Income",$C282="Capital In",$C282="Transfer In"),$G282,0)),"")</f>
        <v/>
      </c>
      <c r="J282" s="61" t="str">
        <f aca="false">IF(IsPro,IF(OR($C282="",N($G282)=0),"",IF(I282=0,$G282,0)),"")</f>
        <v/>
      </c>
      <c r="K282" s="60" t="str">
        <f aca="false">IF(IsPro,IF($C282="","",IF(AND(OR($C282="Receipt",$C282="Payment"),$D282=""),"Party needed",IF(AND(OR($C282="Expense",$C282="Other Income"),$E282=""),"Head needed",IF($F282="","Account needed","OK")))),IF($C282="","","PRO PLAN"))</f>
        <v/>
      </c>
    </row>
    <row r="283" customFormat="false" ht="15" hidden="false" customHeight="false" outlineLevel="0" collapsed="false">
      <c r="A283" s="55"/>
      <c r="B283" s="56"/>
      <c r="C283" s="56"/>
      <c r="D283" s="56"/>
      <c r="E283" s="56"/>
      <c r="F283" s="56"/>
      <c r="G283" s="58"/>
      <c r="H283" s="56"/>
      <c r="I283" s="61" t="str">
        <f aca="false">IF(IsPro,IF(OR($C283="",N($G283)=0),"",IF(OR($C283="Receipt",$C283="Other Income",$C283="Capital In",$C283="Transfer In"),$G283,0)),"")</f>
        <v/>
      </c>
      <c r="J283" s="61" t="str">
        <f aca="false">IF(IsPro,IF(OR($C283="",N($G283)=0),"",IF(I283=0,$G283,0)),"")</f>
        <v/>
      </c>
      <c r="K283" s="60" t="str">
        <f aca="false">IF(IsPro,IF($C283="","",IF(AND(OR($C283="Receipt",$C283="Payment"),$D283=""),"Party needed",IF(AND(OR($C283="Expense",$C283="Other Income"),$E283=""),"Head needed",IF($F283="","Account needed","OK")))),IF($C283="","","PRO PLAN"))</f>
        <v/>
      </c>
    </row>
    <row r="284" customFormat="false" ht="15" hidden="false" customHeight="false" outlineLevel="0" collapsed="false">
      <c r="A284" s="55"/>
      <c r="B284" s="56"/>
      <c r="C284" s="56"/>
      <c r="D284" s="56"/>
      <c r="E284" s="56"/>
      <c r="F284" s="56"/>
      <c r="G284" s="58"/>
      <c r="H284" s="56"/>
      <c r="I284" s="61" t="str">
        <f aca="false">IF(IsPro,IF(OR($C284="",N($G284)=0),"",IF(OR($C284="Receipt",$C284="Other Income",$C284="Capital In",$C284="Transfer In"),$G284,0)),"")</f>
        <v/>
      </c>
      <c r="J284" s="61" t="str">
        <f aca="false">IF(IsPro,IF(OR($C284="",N($G284)=0),"",IF(I284=0,$G284,0)),"")</f>
        <v/>
      </c>
      <c r="K284" s="60" t="str">
        <f aca="false">IF(IsPro,IF($C284="","",IF(AND(OR($C284="Receipt",$C284="Payment"),$D284=""),"Party needed",IF(AND(OR($C284="Expense",$C284="Other Income"),$E284=""),"Head needed",IF($F284="","Account needed","OK")))),IF($C284="","","PRO PLAN"))</f>
        <v/>
      </c>
    </row>
    <row r="285" customFormat="false" ht="15" hidden="false" customHeight="false" outlineLevel="0" collapsed="false">
      <c r="A285" s="55"/>
      <c r="B285" s="56"/>
      <c r="C285" s="56"/>
      <c r="D285" s="56"/>
      <c r="E285" s="56"/>
      <c r="F285" s="56"/>
      <c r="G285" s="58"/>
      <c r="H285" s="56"/>
      <c r="I285" s="61" t="str">
        <f aca="false">IF(IsPro,IF(OR($C285="",N($G285)=0),"",IF(OR($C285="Receipt",$C285="Other Income",$C285="Capital In",$C285="Transfer In"),$G285,0)),"")</f>
        <v/>
      </c>
      <c r="J285" s="61" t="str">
        <f aca="false">IF(IsPro,IF(OR($C285="",N($G285)=0),"",IF(I285=0,$G285,0)),"")</f>
        <v/>
      </c>
      <c r="K285" s="60" t="str">
        <f aca="false">IF(IsPro,IF($C285="","",IF(AND(OR($C285="Receipt",$C285="Payment"),$D285=""),"Party needed",IF(AND(OR($C285="Expense",$C285="Other Income"),$E285=""),"Head needed",IF($F285="","Account needed","OK")))),IF($C285="","","PRO PLAN"))</f>
        <v/>
      </c>
    </row>
    <row r="286" customFormat="false" ht="15" hidden="false" customHeight="false" outlineLevel="0" collapsed="false">
      <c r="A286" s="55"/>
      <c r="B286" s="56"/>
      <c r="C286" s="56"/>
      <c r="D286" s="56"/>
      <c r="E286" s="56"/>
      <c r="F286" s="56"/>
      <c r="G286" s="58"/>
      <c r="H286" s="56"/>
      <c r="I286" s="61" t="str">
        <f aca="false">IF(IsPro,IF(OR($C286="",N($G286)=0),"",IF(OR($C286="Receipt",$C286="Other Income",$C286="Capital In",$C286="Transfer In"),$G286,0)),"")</f>
        <v/>
      </c>
      <c r="J286" s="61" t="str">
        <f aca="false">IF(IsPro,IF(OR($C286="",N($G286)=0),"",IF(I286=0,$G286,0)),"")</f>
        <v/>
      </c>
      <c r="K286" s="60" t="str">
        <f aca="false">IF(IsPro,IF($C286="","",IF(AND(OR($C286="Receipt",$C286="Payment"),$D286=""),"Party needed",IF(AND(OR($C286="Expense",$C286="Other Income"),$E286=""),"Head needed",IF($F286="","Account needed","OK")))),IF($C286="","","PRO PLAN"))</f>
        <v/>
      </c>
    </row>
    <row r="287" customFormat="false" ht="15" hidden="false" customHeight="false" outlineLevel="0" collapsed="false">
      <c r="A287" s="55"/>
      <c r="B287" s="56"/>
      <c r="C287" s="56"/>
      <c r="D287" s="56"/>
      <c r="E287" s="56"/>
      <c r="F287" s="56"/>
      <c r="G287" s="58"/>
      <c r="H287" s="56"/>
      <c r="I287" s="61" t="str">
        <f aca="false">IF(IsPro,IF(OR($C287="",N($G287)=0),"",IF(OR($C287="Receipt",$C287="Other Income",$C287="Capital In",$C287="Transfer In"),$G287,0)),"")</f>
        <v/>
      </c>
      <c r="J287" s="61" t="str">
        <f aca="false">IF(IsPro,IF(OR($C287="",N($G287)=0),"",IF(I287=0,$G287,0)),"")</f>
        <v/>
      </c>
      <c r="K287" s="60" t="str">
        <f aca="false">IF(IsPro,IF($C287="","",IF(AND(OR($C287="Receipt",$C287="Payment"),$D287=""),"Party needed",IF(AND(OR($C287="Expense",$C287="Other Income"),$E287=""),"Head needed",IF($F287="","Account needed","OK")))),IF($C287="","","PRO PLAN"))</f>
        <v/>
      </c>
    </row>
    <row r="288" customFormat="false" ht="15" hidden="false" customHeight="false" outlineLevel="0" collapsed="false">
      <c r="A288" s="55"/>
      <c r="B288" s="56"/>
      <c r="C288" s="56"/>
      <c r="D288" s="56"/>
      <c r="E288" s="56"/>
      <c r="F288" s="56"/>
      <c r="G288" s="58"/>
      <c r="H288" s="56"/>
      <c r="I288" s="61" t="str">
        <f aca="false">IF(IsPro,IF(OR($C288="",N($G288)=0),"",IF(OR($C288="Receipt",$C288="Other Income",$C288="Capital In",$C288="Transfer In"),$G288,0)),"")</f>
        <v/>
      </c>
      <c r="J288" s="61" t="str">
        <f aca="false">IF(IsPro,IF(OR($C288="",N($G288)=0),"",IF(I288=0,$G288,0)),"")</f>
        <v/>
      </c>
      <c r="K288" s="60" t="str">
        <f aca="false">IF(IsPro,IF($C288="","",IF(AND(OR($C288="Receipt",$C288="Payment"),$D288=""),"Party needed",IF(AND(OR($C288="Expense",$C288="Other Income"),$E288=""),"Head needed",IF($F288="","Account needed","OK")))),IF($C288="","","PRO PLAN"))</f>
        <v/>
      </c>
    </row>
    <row r="289" customFormat="false" ht="15" hidden="false" customHeight="false" outlineLevel="0" collapsed="false">
      <c r="A289" s="55"/>
      <c r="B289" s="56"/>
      <c r="C289" s="56"/>
      <c r="D289" s="56"/>
      <c r="E289" s="56"/>
      <c r="F289" s="56"/>
      <c r="G289" s="58"/>
      <c r="H289" s="56"/>
      <c r="I289" s="61" t="str">
        <f aca="false">IF(IsPro,IF(OR($C289="",N($G289)=0),"",IF(OR($C289="Receipt",$C289="Other Income",$C289="Capital In",$C289="Transfer In"),$G289,0)),"")</f>
        <v/>
      </c>
      <c r="J289" s="61" t="str">
        <f aca="false">IF(IsPro,IF(OR($C289="",N($G289)=0),"",IF(I289=0,$G289,0)),"")</f>
        <v/>
      </c>
      <c r="K289" s="60" t="str">
        <f aca="false">IF(IsPro,IF($C289="","",IF(AND(OR($C289="Receipt",$C289="Payment"),$D289=""),"Party needed",IF(AND(OR($C289="Expense",$C289="Other Income"),$E289=""),"Head needed",IF($F289="","Account needed","OK")))),IF($C289="","","PRO PLAN"))</f>
        <v/>
      </c>
    </row>
    <row r="290" customFormat="false" ht="15" hidden="false" customHeight="false" outlineLevel="0" collapsed="false">
      <c r="A290" s="55"/>
      <c r="B290" s="56"/>
      <c r="C290" s="56"/>
      <c r="D290" s="56"/>
      <c r="E290" s="56"/>
      <c r="F290" s="56"/>
      <c r="G290" s="58"/>
      <c r="H290" s="56"/>
      <c r="I290" s="61" t="str">
        <f aca="false">IF(IsPro,IF(OR($C290="",N($G290)=0),"",IF(OR($C290="Receipt",$C290="Other Income",$C290="Capital In",$C290="Transfer In"),$G290,0)),"")</f>
        <v/>
      </c>
      <c r="J290" s="61" t="str">
        <f aca="false">IF(IsPro,IF(OR($C290="",N($G290)=0),"",IF(I290=0,$G290,0)),"")</f>
        <v/>
      </c>
      <c r="K290" s="60" t="str">
        <f aca="false">IF(IsPro,IF($C290="","",IF(AND(OR($C290="Receipt",$C290="Payment"),$D290=""),"Party needed",IF(AND(OR($C290="Expense",$C290="Other Income"),$E290=""),"Head needed",IF($F290="","Account needed","OK")))),IF($C290="","","PRO PLAN"))</f>
        <v/>
      </c>
    </row>
    <row r="291" customFormat="false" ht="15" hidden="false" customHeight="false" outlineLevel="0" collapsed="false">
      <c r="A291" s="55"/>
      <c r="B291" s="56"/>
      <c r="C291" s="56"/>
      <c r="D291" s="56"/>
      <c r="E291" s="56"/>
      <c r="F291" s="56"/>
      <c r="G291" s="58"/>
      <c r="H291" s="56"/>
      <c r="I291" s="61" t="str">
        <f aca="false">IF(IsPro,IF(OR($C291="",N($G291)=0),"",IF(OR($C291="Receipt",$C291="Other Income",$C291="Capital In",$C291="Transfer In"),$G291,0)),"")</f>
        <v/>
      </c>
      <c r="J291" s="61" t="str">
        <f aca="false">IF(IsPro,IF(OR($C291="",N($G291)=0),"",IF(I291=0,$G291,0)),"")</f>
        <v/>
      </c>
      <c r="K291" s="60" t="str">
        <f aca="false">IF(IsPro,IF($C291="","",IF(AND(OR($C291="Receipt",$C291="Payment"),$D291=""),"Party needed",IF(AND(OR($C291="Expense",$C291="Other Income"),$E291=""),"Head needed",IF($F291="","Account needed","OK")))),IF($C291="","","PRO PLAN"))</f>
        <v/>
      </c>
    </row>
    <row r="292" customFormat="false" ht="15" hidden="false" customHeight="false" outlineLevel="0" collapsed="false">
      <c r="A292" s="55"/>
      <c r="B292" s="56"/>
      <c r="C292" s="56"/>
      <c r="D292" s="56"/>
      <c r="E292" s="56"/>
      <c r="F292" s="56"/>
      <c r="G292" s="58"/>
      <c r="H292" s="56"/>
      <c r="I292" s="61" t="str">
        <f aca="false">IF(IsPro,IF(OR($C292="",N($G292)=0),"",IF(OR($C292="Receipt",$C292="Other Income",$C292="Capital In",$C292="Transfer In"),$G292,0)),"")</f>
        <v/>
      </c>
      <c r="J292" s="61" t="str">
        <f aca="false">IF(IsPro,IF(OR($C292="",N($G292)=0),"",IF(I292=0,$G292,0)),"")</f>
        <v/>
      </c>
      <c r="K292" s="60" t="str">
        <f aca="false">IF(IsPro,IF($C292="","",IF(AND(OR($C292="Receipt",$C292="Payment"),$D292=""),"Party needed",IF(AND(OR($C292="Expense",$C292="Other Income"),$E292=""),"Head needed",IF($F292="","Account needed","OK")))),IF($C292="","","PRO PLAN"))</f>
        <v/>
      </c>
    </row>
    <row r="293" customFormat="false" ht="15" hidden="false" customHeight="false" outlineLevel="0" collapsed="false">
      <c r="A293" s="55"/>
      <c r="B293" s="56"/>
      <c r="C293" s="56"/>
      <c r="D293" s="56"/>
      <c r="E293" s="56"/>
      <c r="F293" s="56"/>
      <c r="G293" s="58"/>
      <c r="H293" s="56"/>
      <c r="I293" s="61" t="str">
        <f aca="false">IF(IsPro,IF(OR($C293="",N($G293)=0),"",IF(OR($C293="Receipt",$C293="Other Income",$C293="Capital In",$C293="Transfer In"),$G293,0)),"")</f>
        <v/>
      </c>
      <c r="J293" s="61" t="str">
        <f aca="false">IF(IsPro,IF(OR($C293="",N($G293)=0),"",IF(I293=0,$G293,0)),"")</f>
        <v/>
      </c>
      <c r="K293" s="60" t="str">
        <f aca="false">IF(IsPro,IF($C293="","",IF(AND(OR($C293="Receipt",$C293="Payment"),$D293=""),"Party needed",IF(AND(OR($C293="Expense",$C293="Other Income"),$E293=""),"Head needed",IF($F293="","Account needed","OK")))),IF($C293="","","PRO PLAN"))</f>
        <v/>
      </c>
    </row>
    <row r="294" customFormat="false" ht="15" hidden="false" customHeight="false" outlineLevel="0" collapsed="false">
      <c r="A294" s="55"/>
      <c r="B294" s="56"/>
      <c r="C294" s="56"/>
      <c r="D294" s="56"/>
      <c r="E294" s="56"/>
      <c r="F294" s="56"/>
      <c r="G294" s="58"/>
      <c r="H294" s="56"/>
      <c r="I294" s="61" t="str">
        <f aca="false">IF(IsPro,IF(OR($C294="",N($G294)=0),"",IF(OR($C294="Receipt",$C294="Other Income",$C294="Capital In",$C294="Transfer In"),$G294,0)),"")</f>
        <v/>
      </c>
      <c r="J294" s="61" t="str">
        <f aca="false">IF(IsPro,IF(OR($C294="",N($G294)=0),"",IF(I294=0,$G294,0)),"")</f>
        <v/>
      </c>
      <c r="K294" s="60" t="str">
        <f aca="false">IF(IsPro,IF($C294="","",IF(AND(OR($C294="Receipt",$C294="Payment"),$D294=""),"Party needed",IF(AND(OR($C294="Expense",$C294="Other Income"),$E294=""),"Head needed",IF($F294="","Account needed","OK")))),IF($C294="","","PRO PLAN"))</f>
        <v/>
      </c>
    </row>
    <row r="295" customFormat="false" ht="15" hidden="false" customHeight="false" outlineLevel="0" collapsed="false">
      <c r="A295" s="55"/>
      <c r="B295" s="56"/>
      <c r="C295" s="56"/>
      <c r="D295" s="56"/>
      <c r="E295" s="56"/>
      <c r="F295" s="56"/>
      <c r="G295" s="58"/>
      <c r="H295" s="56"/>
      <c r="I295" s="61" t="str">
        <f aca="false">IF(IsPro,IF(OR($C295="",N($G295)=0),"",IF(OR($C295="Receipt",$C295="Other Income",$C295="Capital In",$C295="Transfer In"),$G295,0)),"")</f>
        <v/>
      </c>
      <c r="J295" s="61" t="str">
        <f aca="false">IF(IsPro,IF(OR($C295="",N($G295)=0),"",IF(I295=0,$G295,0)),"")</f>
        <v/>
      </c>
      <c r="K295" s="60" t="str">
        <f aca="false">IF(IsPro,IF($C295="","",IF(AND(OR($C295="Receipt",$C295="Payment"),$D295=""),"Party needed",IF(AND(OR($C295="Expense",$C295="Other Income"),$E295=""),"Head needed",IF($F295="","Account needed","OK")))),IF($C295="","","PRO PLAN"))</f>
        <v/>
      </c>
    </row>
    <row r="296" customFormat="false" ht="15" hidden="false" customHeight="false" outlineLevel="0" collapsed="false">
      <c r="A296" s="55"/>
      <c r="B296" s="56"/>
      <c r="C296" s="56"/>
      <c r="D296" s="56"/>
      <c r="E296" s="56"/>
      <c r="F296" s="56"/>
      <c r="G296" s="58"/>
      <c r="H296" s="56"/>
      <c r="I296" s="61" t="str">
        <f aca="false">IF(IsPro,IF(OR($C296="",N($G296)=0),"",IF(OR($C296="Receipt",$C296="Other Income",$C296="Capital In",$C296="Transfer In"),$G296,0)),"")</f>
        <v/>
      </c>
      <c r="J296" s="61" t="str">
        <f aca="false">IF(IsPro,IF(OR($C296="",N($G296)=0),"",IF(I296=0,$G296,0)),"")</f>
        <v/>
      </c>
      <c r="K296" s="60" t="str">
        <f aca="false">IF(IsPro,IF($C296="","",IF(AND(OR($C296="Receipt",$C296="Payment"),$D296=""),"Party needed",IF(AND(OR($C296="Expense",$C296="Other Income"),$E296=""),"Head needed",IF($F296="","Account needed","OK")))),IF($C296="","","PRO PLAN"))</f>
        <v/>
      </c>
    </row>
    <row r="297" customFormat="false" ht="15" hidden="false" customHeight="false" outlineLevel="0" collapsed="false">
      <c r="A297" s="55"/>
      <c r="B297" s="56"/>
      <c r="C297" s="56"/>
      <c r="D297" s="56"/>
      <c r="E297" s="56"/>
      <c r="F297" s="56"/>
      <c r="G297" s="58"/>
      <c r="H297" s="56"/>
      <c r="I297" s="61" t="str">
        <f aca="false">IF(IsPro,IF(OR($C297="",N($G297)=0),"",IF(OR($C297="Receipt",$C297="Other Income",$C297="Capital In",$C297="Transfer In"),$G297,0)),"")</f>
        <v/>
      </c>
      <c r="J297" s="61" t="str">
        <f aca="false">IF(IsPro,IF(OR($C297="",N($G297)=0),"",IF(I297=0,$G297,0)),"")</f>
        <v/>
      </c>
      <c r="K297" s="60" t="str">
        <f aca="false">IF(IsPro,IF($C297="","",IF(AND(OR($C297="Receipt",$C297="Payment"),$D297=""),"Party needed",IF(AND(OR($C297="Expense",$C297="Other Income"),$E297=""),"Head needed",IF($F297="","Account needed","OK")))),IF($C297="","","PRO PLAN"))</f>
        <v/>
      </c>
    </row>
    <row r="298" customFormat="false" ht="15" hidden="false" customHeight="false" outlineLevel="0" collapsed="false">
      <c r="A298" s="55"/>
      <c r="B298" s="56"/>
      <c r="C298" s="56"/>
      <c r="D298" s="56"/>
      <c r="E298" s="56"/>
      <c r="F298" s="56"/>
      <c r="G298" s="58"/>
      <c r="H298" s="56"/>
      <c r="I298" s="61" t="str">
        <f aca="false">IF(IsPro,IF(OR($C298="",N($G298)=0),"",IF(OR($C298="Receipt",$C298="Other Income",$C298="Capital In",$C298="Transfer In"),$G298,0)),"")</f>
        <v/>
      </c>
      <c r="J298" s="61" t="str">
        <f aca="false">IF(IsPro,IF(OR($C298="",N($G298)=0),"",IF(I298=0,$G298,0)),"")</f>
        <v/>
      </c>
      <c r="K298" s="60" t="str">
        <f aca="false">IF(IsPro,IF($C298="","",IF(AND(OR($C298="Receipt",$C298="Payment"),$D298=""),"Party needed",IF(AND(OR($C298="Expense",$C298="Other Income"),$E298=""),"Head needed",IF($F298="","Account needed","OK")))),IF($C298="","","PRO PLAN"))</f>
        <v/>
      </c>
    </row>
    <row r="299" customFormat="false" ht="15" hidden="false" customHeight="false" outlineLevel="0" collapsed="false">
      <c r="A299" s="55"/>
      <c r="B299" s="56"/>
      <c r="C299" s="56"/>
      <c r="D299" s="56"/>
      <c r="E299" s="56"/>
      <c r="F299" s="56"/>
      <c r="G299" s="58"/>
      <c r="H299" s="56"/>
      <c r="I299" s="61" t="str">
        <f aca="false">IF(IsPro,IF(OR($C299="",N($G299)=0),"",IF(OR($C299="Receipt",$C299="Other Income",$C299="Capital In",$C299="Transfer In"),$G299,0)),"")</f>
        <v/>
      </c>
      <c r="J299" s="61" t="str">
        <f aca="false">IF(IsPro,IF(OR($C299="",N($G299)=0),"",IF(I299=0,$G299,0)),"")</f>
        <v/>
      </c>
      <c r="K299" s="60" t="str">
        <f aca="false">IF(IsPro,IF($C299="","",IF(AND(OR($C299="Receipt",$C299="Payment"),$D299=""),"Party needed",IF(AND(OR($C299="Expense",$C299="Other Income"),$E299=""),"Head needed",IF($F299="","Account needed","OK")))),IF($C299="","","PRO PLAN"))</f>
        <v/>
      </c>
    </row>
    <row r="300" customFormat="false" ht="15" hidden="false" customHeight="false" outlineLevel="0" collapsed="false">
      <c r="A300" s="55"/>
      <c r="B300" s="56"/>
      <c r="C300" s="56"/>
      <c r="D300" s="56"/>
      <c r="E300" s="56"/>
      <c r="F300" s="56"/>
      <c r="G300" s="58"/>
      <c r="H300" s="56"/>
      <c r="I300" s="61" t="str">
        <f aca="false">IF(IsPro,IF(OR($C300="",N($G300)=0),"",IF(OR($C300="Receipt",$C300="Other Income",$C300="Capital In",$C300="Transfer In"),$G300,0)),"")</f>
        <v/>
      </c>
      <c r="J300" s="61" t="str">
        <f aca="false">IF(IsPro,IF(OR($C300="",N($G300)=0),"",IF(I300=0,$G300,0)),"")</f>
        <v/>
      </c>
      <c r="K300" s="60" t="str">
        <f aca="false">IF(IsPro,IF($C300="","",IF(AND(OR($C300="Receipt",$C300="Payment"),$D300=""),"Party needed",IF(AND(OR($C300="Expense",$C300="Other Income"),$E300=""),"Head needed",IF($F300="","Account needed","OK")))),IF($C300="","","PRO PLAN"))</f>
        <v/>
      </c>
    </row>
    <row r="301" customFormat="false" ht="15" hidden="false" customHeight="false" outlineLevel="0" collapsed="false">
      <c r="A301" s="55"/>
      <c r="B301" s="56"/>
      <c r="C301" s="56"/>
      <c r="D301" s="56"/>
      <c r="E301" s="56"/>
      <c r="F301" s="56"/>
      <c r="G301" s="58"/>
      <c r="H301" s="56"/>
      <c r="I301" s="61" t="str">
        <f aca="false">IF(IsPro,IF(OR($C301="",N($G301)=0),"",IF(OR($C301="Receipt",$C301="Other Income",$C301="Capital In",$C301="Transfer In"),$G301,0)),"")</f>
        <v/>
      </c>
      <c r="J301" s="61" t="str">
        <f aca="false">IF(IsPro,IF(OR($C301="",N($G301)=0),"",IF(I301=0,$G301,0)),"")</f>
        <v/>
      </c>
      <c r="K301" s="60" t="str">
        <f aca="false">IF(IsPro,IF($C301="","",IF(AND(OR($C301="Receipt",$C301="Payment"),$D301=""),"Party needed",IF(AND(OR($C301="Expense",$C301="Other Income"),$E301=""),"Head needed",IF($F301="","Account needed","OK")))),IF($C301="","","PRO PLAN"))</f>
        <v/>
      </c>
    </row>
    <row r="302" customFormat="false" ht="15" hidden="false" customHeight="false" outlineLevel="0" collapsed="false">
      <c r="A302" s="55"/>
      <c r="B302" s="56"/>
      <c r="C302" s="56"/>
      <c r="D302" s="56"/>
      <c r="E302" s="56"/>
      <c r="F302" s="56"/>
      <c r="G302" s="58"/>
      <c r="H302" s="56"/>
      <c r="I302" s="61" t="str">
        <f aca="false">IF(IsPro,IF(OR($C302="",N($G302)=0),"",IF(OR($C302="Receipt",$C302="Other Income",$C302="Capital In",$C302="Transfer In"),$G302,0)),"")</f>
        <v/>
      </c>
      <c r="J302" s="61" t="str">
        <f aca="false">IF(IsPro,IF(OR($C302="",N($G302)=0),"",IF(I302=0,$G302,0)),"")</f>
        <v/>
      </c>
      <c r="K302" s="60" t="str">
        <f aca="false">IF(IsPro,IF($C302="","",IF(AND(OR($C302="Receipt",$C302="Payment"),$D302=""),"Party needed",IF(AND(OR($C302="Expense",$C302="Other Income"),$E302=""),"Head needed",IF($F302="","Account needed","OK")))),IF($C302="","","PRO PLAN"))</f>
        <v/>
      </c>
    </row>
    <row r="303" customFormat="false" ht="15" hidden="false" customHeight="false" outlineLevel="0" collapsed="false">
      <c r="A303" s="55"/>
      <c r="B303" s="56"/>
      <c r="C303" s="56"/>
      <c r="D303" s="56"/>
      <c r="E303" s="56"/>
      <c r="F303" s="56"/>
      <c r="G303" s="58"/>
      <c r="H303" s="56"/>
      <c r="I303" s="61" t="str">
        <f aca="false">IF(IsPro,IF(OR($C303="",N($G303)=0),"",IF(OR($C303="Receipt",$C303="Other Income",$C303="Capital In",$C303="Transfer In"),$G303,0)),"")</f>
        <v/>
      </c>
      <c r="J303" s="61" t="str">
        <f aca="false">IF(IsPro,IF(OR($C303="",N($G303)=0),"",IF(I303=0,$G303,0)),"")</f>
        <v/>
      </c>
      <c r="K303" s="60" t="str">
        <f aca="false">IF(IsPro,IF($C303="","",IF(AND(OR($C303="Receipt",$C303="Payment"),$D303=""),"Party needed",IF(AND(OR($C303="Expense",$C303="Other Income"),$E303=""),"Head needed",IF($F303="","Account needed","OK")))),IF($C303="","","PRO PLAN"))</f>
        <v/>
      </c>
    </row>
    <row r="304" customFormat="false" ht="15" hidden="false" customHeight="false" outlineLevel="0" collapsed="false">
      <c r="A304" s="55"/>
      <c r="B304" s="56"/>
      <c r="C304" s="56"/>
      <c r="D304" s="56"/>
      <c r="E304" s="56"/>
      <c r="F304" s="56"/>
      <c r="G304" s="58"/>
      <c r="H304" s="56"/>
      <c r="I304" s="61" t="str">
        <f aca="false">IF(IsPro,IF(OR($C304="",N($G304)=0),"",IF(OR($C304="Receipt",$C304="Other Income",$C304="Capital In",$C304="Transfer In"),$G304,0)),"")</f>
        <v/>
      </c>
      <c r="J304" s="61" t="str">
        <f aca="false">IF(IsPro,IF(OR($C304="",N($G304)=0),"",IF(I304=0,$G304,0)),"")</f>
        <v/>
      </c>
      <c r="K304" s="60" t="str">
        <f aca="false">IF(IsPro,IF($C304="","",IF(AND(OR($C304="Receipt",$C304="Payment"),$D304=""),"Party needed",IF(AND(OR($C304="Expense",$C304="Other Income"),$E304=""),"Head needed",IF($F304="","Account needed","OK")))),IF($C304="","","PRO PLAN"))</f>
        <v/>
      </c>
    </row>
    <row r="305" customFormat="false" ht="15" hidden="false" customHeight="false" outlineLevel="0" collapsed="false">
      <c r="A305" s="55"/>
      <c r="B305" s="56"/>
      <c r="C305" s="56"/>
      <c r="D305" s="56"/>
      <c r="E305" s="56"/>
      <c r="F305" s="56"/>
      <c r="G305" s="58"/>
      <c r="H305" s="56"/>
      <c r="I305" s="61" t="str">
        <f aca="false">IF(IsPro,IF(OR($C305="",N($G305)=0),"",IF(OR($C305="Receipt",$C305="Other Income",$C305="Capital In",$C305="Transfer In"),$G305,0)),"")</f>
        <v/>
      </c>
      <c r="J305" s="61" t="str">
        <f aca="false">IF(IsPro,IF(OR($C305="",N($G305)=0),"",IF(I305=0,$G305,0)),"")</f>
        <v/>
      </c>
      <c r="K305" s="60" t="str">
        <f aca="false">IF(IsPro,IF($C305="","",IF(AND(OR($C305="Receipt",$C305="Payment"),$D305=""),"Party needed",IF(AND(OR($C305="Expense",$C305="Other Income"),$E305=""),"Head needed",IF($F305="","Account needed","OK")))),IF($C305="","","PRO PLAN"))</f>
        <v/>
      </c>
    </row>
    <row r="306" customFormat="false" ht="15" hidden="false" customHeight="false" outlineLevel="0" collapsed="false">
      <c r="A306" s="55"/>
      <c r="B306" s="56"/>
      <c r="C306" s="56"/>
      <c r="D306" s="56"/>
      <c r="E306" s="56"/>
      <c r="F306" s="56"/>
      <c r="G306" s="58"/>
      <c r="H306" s="56"/>
      <c r="I306" s="61" t="str">
        <f aca="false">IF(IsPro,IF(OR($C306="",N($G306)=0),"",IF(OR($C306="Receipt",$C306="Other Income",$C306="Capital In",$C306="Transfer In"),$G306,0)),"")</f>
        <v/>
      </c>
      <c r="J306" s="61" t="str">
        <f aca="false">IF(IsPro,IF(OR($C306="",N($G306)=0),"",IF(I306=0,$G306,0)),"")</f>
        <v/>
      </c>
      <c r="K306" s="60" t="str">
        <f aca="false">IF(IsPro,IF($C306="","",IF(AND(OR($C306="Receipt",$C306="Payment"),$D306=""),"Party needed",IF(AND(OR($C306="Expense",$C306="Other Income"),$E306=""),"Head needed",IF($F306="","Account needed","OK")))),IF($C306="","","PRO PLAN"))</f>
        <v/>
      </c>
    </row>
    <row r="307" customFormat="false" ht="15" hidden="false" customHeight="false" outlineLevel="0" collapsed="false">
      <c r="A307" s="55"/>
      <c r="B307" s="56"/>
      <c r="C307" s="56"/>
      <c r="D307" s="56"/>
      <c r="E307" s="56"/>
      <c r="F307" s="56"/>
      <c r="G307" s="58"/>
      <c r="H307" s="56"/>
      <c r="I307" s="61" t="str">
        <f aca="false">IF(IsPro,IF(OR($C307="",N($G307)=0),"",IF(OR($C307="Receipt",$C307="Other Income",$C307="Capital In",$C307="Transfer In"),$G307,0)),"")</f>
        <v/>
      </c>
      <c r="J307" s="61" t="str">
        <f aca="false">IF(IsPro,IF(OR($C307="",N($G307)=0),"",IF(I307=0,$G307,0)),"")</f>
        <v/>
      </c>
      <c r="K307" s="60" t="str">
        <f aca="false">IF(IsPro,IF($C307="","",IF(AND(OR($C307="Receipt",$C307="Payment"),$D307=""),"Party needed",IF(AND(OR($C307="Expense",$C307="Other Income"),$E307=""),"Head needed",IF($F307="","Account needed","OK")))),IF($C307="","","PRO PLAN"))</f>
        <v/>
      </c>
    </row>
    <row r="308" customFormat="false" ht="15" hidden="false" customHeight="false" outlineLevel="0" collapsed="false">
      <c r="A308" s="55"/>
      <c r="B308" s="56"/>
      <c r="C308" s="56"/>
      <c r="D308" s="56"/>
      <c r="E308" s="56"/>
      <c r="F308" s="56"/>
      <c r="G308" s="58"/>
      <c r="H308" s="56"/>
      <c r="I308" s="61" t="str">
        <f aca="false">IF(IsPro,IF(OR($C308="",N($G308)=0),"",IF(OR($C308="Receipt",$C308="Other Income",$C308="Capital In",$C308="Transfer In"),$G308,0)),"")</f>
        <v/>
      </c>
      <c r="J308" s="61" t="str">
        <f aca="false">IF(IsPro,IF(OR($C308="",N($G308)=0),"",IF(I308=0,$G308,0)),"")</f>
        <v/>
      </c>
      <c r="K308" s="60" t="str">
        <f aca="false">IF(IsPro,IF($C308="","",IF(AND(OR($C308="Receipt",$C308="Payment"),$D308=""),"Party needed",IF(AND(OR($C308="Expense",$C308="Other Income"),$E308=""),"Head needed",IF($F308="","Account needed","OK")))),IF($C308="","","PRO PLAN"))</f>
        <v/>
      </c>
    </row>
    <row r="309" customFormat="false" ht="15" hidden="false" customHeight="false" outlineLevel="0" collapsed="false">
      <c r="A309" s="55"/>
      <c r="B309" s="56"/>
      <c r="C309" s="56"/>
      <c r="D309" s="56"/>
      <c r="E309" s="56"/>
      <c r="F309" s="56"/>
      <c r="G309" s="58"/>
      <c r="H309" s="56"/>
      <c r="I309" s="61" t="str">
        <f aca="false">IF(IsPro,IF(OR($C309="",N($G309)=0),"",IF(OR($C309="Receipt",$C309="Other Income",$C309="Capital In",$C309="Transfer In"),$G309,0)),"")</f>
        <v/>
      </c>
      <c r="J309" s="61" t="str">
        <f aca="false">IF(IsPro,IF(OR($C309="",N($G309)=0),"",IF(I309=0,$G309,0)),"")</f>
        <v/>
      </c>
      <c r="K309" s="60" t="str">
        <f aca="false">IF(IsPro,IF($C309="","",IF(AND(OR($C309="Receipt",$C309="Payment"),$D309=""),"Party needed",IF(AND(OR($C309="Expense",$C309="Other Income"),$E309=""),"Head needed",IF($F309="","Account needed","OK")))),IF($C309="","","PRO PLAN"))</f>
        <v/>
      </c>
    </row>
    <row r="310" customFormat="false" ht="15" hidden="false" customHeight="false" outlineLevel="0" collapsed="false">
      <c r="A310" s="55"/>
      <c r="B310" s="56"/>
      <c r="C310" s="56"/>
      <c r="D310" s="56"/>
      <c r="E310" s="56"/>
      <c r="F310" s="56"/>
      <c r="G310" s="58"/>
      <c r="H310" s="56"/>
      <c r="I310" s="61" t="str">
        <f aca="false">IF(IsPro,IF(OR($C310="",N($G310)=0),"",IF(OR($C310="Receipt",$C310="Other Income",$C310="Capital In",$C310="Transfer In"),$G310,0)),"")</f>
        <v/>
      </c>
      <c r="J310" s="61" t="str">
        <f aca="false">IF(IsPro,IF(OR($C310="",N($G310)=0),"",IF(I310=0,$G310,0)),"")</f>
        <v/>
      </c>
      <c r="K310" s="60" t="str">
        <f aca="false">IF(IsPro,IF($C310="","",IF(AND(OR($C310="Receipt",$C310="Payment"),$D310=""),"Party needed",IF(AND(OR($C310="Expense",$C310="Other Income"),$E310=""),"Head needed",IF($F310="","Account needed","OK")))),IF($C310="","","PRO PLAN"))</f>
        <v/>
      </c>
    </row>
    <row r="311" customFormat="false" ht="15" hidden="false" customHeight="false" outlineLevel="0" collapsed="false">
      <c r="A311" s="55"/>
      <c r="B311" s="56"/>
      <c r="C311" s="56"/>
      <c r="D311" s="56"/>
      <c r="E311" s="56"/>
      <c r="F311" s="56"/>
      <c r="G311" s="58"/>
      <c r="H311" s="56"/>
      <c r="I311" s="61" t="str">
        <f aca="false">IF(IsPro,IF(OR($C311="",N($G311)=0),"",IF(OR($C311="Receipt",$C311="Other Income",$C311="Capital In",$C311="Transfer In"),$G311,0)),"")</f>
        <v/>
      </c>
      <c r="J311" s="61" t="str">
        <f aca="false">IF(IsPro,IF(OR($C311="",N($G311)=0),"",IF(I311=0,$G311,0)),"")</f>
        <v/>
      </c>
      <c r="K311" s="60" t="str">
        <f aca="false">IF(IsPro,IF($C311="","",IF(AND(OR($C311="Receipt",$C311="Payment"),$D311=""),"Party needed",IF(AND(OR($C311="Expense",$C311="Other Income"),$E311=""),"Head needed",IF($F311="","Account needed","OK")))),IF($C311="","","PRO PLAN"))</f>
        <v/>
      </c>
    </row>
    <row r="312" customFormat="false" ht="15" hidden="false" customHeight="false" outlineLevel="0" collapsed="false">
      <c r="A312" s="55"/>
      <c r="B312" s="56"/>
      <c r="C312" s="56"/>
      <c r="D312" s="56"/>
      <c r="E312" s="56"/>
      <c r="F312" s="56"/>
      <c r="G312" s="58"/>
      <c r="H312" s="56"/>
      <c r="I312" s="61" t="str">
        <f aca="false">IF(IsPro,IF(OR($C312="",N($G312)=0),"",IF(OR($C312="Receipt",$C312="Other Income",$C312="Capital In",$C312="Transfer In"),$G312,0)),"")</f>
        <v/>
      </c>
      <c r="J312" s="61" t="str">
        <f aca="false">IF(IsPro,IF(OR($C312="",N($G312)=0),"",IF(I312=0,$G312,0)),"")</f>
        <v/>
      </c>
      <c r="K312" s="60" t="str">
        <f aca="false">IF(IsPro,IF($C312="","",IF(AND(OR($C312="Receipt",$C312="Payment"),$D312=""),"Party needed",IF(AND(OR($C312="Expense",$C312="Other Income"),$E312=""),"Head needed",IF($F312="","Account needed","OK")))),IF($C312="","","PRO PLAN"))</f>
        <v/>
      </c>
    </row>
    <row r="313" customFormat="false" ht="15" hidden="false" customHeight="false" outlineLevel="0" collapsed="false">
      <c r="A313" s="55"/>
      <c r="B313" s="56"/>
      <c r="C313" s="56"/>
      <c r="D313" s="56"/>
      <c r="E313" s="56"/>
      <c r="F313" s="56"/>
      <c r="G313" s="58"/>
      <c r="H313" s="56"/>
      <c r="I313" s="61" t="str">
        <f aca="false">IF(IsPro,IF(OR($C313="",N($G313)=0),"",IF(OR($C313="Receipt",$C313="Other Income",$C313="Capital In",$C313="Transfer In"),$G313,0)),"")</f>
        <v/>
      </c>
      <c r="J313" s="61" t="str">
        <f aca="false">IF(IsPro,IF(OR($C313="",N($G313)=0),"",IF(I313=0,$G313,0)),"")</f>
        <v/>
      </c>
      <c r="K313" s="60" t="str">
        <f aca="false">IF(IsPro,IF($C313="","",IF(AND(OR($C313="Receipt",$C313="Payment"),$D313=""),"Party needed",IF(AND(OR($C313="Expense",$C313="Other Income"),$E313=""),"Head needed",IF($F313="","Account needed","OK")))),IF($C313="","","PRO PLAN"))</f>
        <v/>
      </c>
    </row>
    <row r="314" customFormat="false" ht="15" hidden="false" customHeight="false" outlineLevel="0" collapsed="false">
      <c r="A314" s="55"/>
      <c r="B314" s="56"/>
      <c r="C314" s="56"/>
      <c r="D314" s="56"/>
      <c r="E314" s="56"/>
      <c r="F314" s="56"/>
      <c r="G314" s="58"/>
      <c r="H314" s="56"/>
      <c r="I314" s="61" t="str">
        <f aca="false">IF(IsPro,IF(OR($C314="",N($G314)=0),"",IF(OR($C314="Receipt",$C314="Other Income",$C314="Capital In",$C314="Transfer In"),$G314,0)),"")</f>
        <v/>
      </c>
      <c r="J314" s="61" t="str">
        <f aca="false">IF(IsPro,IF(OR($C314="",N($G314)=0),"",IF(I314=0,$G314,0)),"")</f>
        <v/>
      </c>
      <c r="K314" s="60" t="str">
        <f aca="false">IF(IsPro,IF($C314="","",IF(AND(OR($C314="Receipt",$C314="Payment"),$D314=""),"Party needed",IF(AND(OR($C314="Expense",$C314="Other Income"),$E314=""),"Head needed",IF($F314="","Account needed","OK")))),IF($C314="","","PRO PLAN"))</f>
        <v/>
      </c>
    </row>
    <row r="315" customFormat="false" ht="15" hidden="false" customHeight="false" outlineLevel="0" collapsed="false">
      <c r="A315" s="55"/>
      <c r="B315" s="56"/>
      <c r="C315" s="56"/>
      <c r="D315" s="56"/>
      <c r="E315" s="56"/>
      <c r="F315" s="56"/>
      <c r="G315" s="58"/>
      <c r="H315" s="56"/>
      <c r="I315" s="61" t="str">
        <f aca="false">IF(IsPro,IF(OR($C315="",N($G315)=0),"",IF(OR($C315="Receipt",$C315="Other Income",$C315="Capital In",$C315="Transfer In"),$G315,0)),"")</f>
        <v/>
      </c>
      <c r="J315" s="61" t="str">
        <f aca="false">IF(IsPro,IF(OR($C315="",N($G315)=0),"",IF(I315=0,$G315,0)),"")</f>
        <v/>
      </c>
      <c r="K315" s="60" t="str">
        <f aca="false">IF(IsPro,IF($C315="","",IF(AND(OR($C315="Receipt",$C315="Payment"),$D315=""),"Party needed",IF(AND(OR($C315="Expense",$C315="Other Income"),$E315=""),"Head needed",IF($F315="","Account needed","OK")))),IF($C315="","","PRO PLAN"))</f>
        <v/>
      </c>
    </row>
    <row r="316" customFormat="false" ht="15" hidden="false" customHeight="false" outlineLevel="0" collapsed="false">
      <c r="A316" s="55"/>
      <c r="B316" s="56"/>
      <c r="C316" s="56"/>
      <c r="D316" s="56"/>
      <c r="E316" s="56"/>
      <c r="F316" s="56"/>
      <c r="G316" s="58"/>
      <c r="H316" s="56"/>
      <c r="I316" s="61" t="str">
        <f aca="false">IF(IsPro,IF(OR($C316="",N($G316)=0),"",IF(OR($C316="Receipt",$C316="Other Income",$C316="Capital In",$C316="Transfer In"),$G316,0)),"")</f>
        <v/>
      </c>
      <c r="J316" s="61" t="str">
        <f aca="false">IF(IsPro,IF(OR($C316="",N($G316)=0),"",IF(I316=0,$G316,0)),"")</f>
        <v/>
      </c>
      <c r="K316" s="60" t="str">
        <f aca="false">IF(IsPro,IF($C316="","",IF(AND(OR($C316="Receipt",$C316="Payment"),$D316=""),"Party needed",IF(AND(OR($C316="Expense",$C316="Other Income"),$E316=""),"Head needed",IF($F316="","Account needed","OK")))),IF($C316="","","PRO PLAN"))</f>
        <v/>
      </c>
    </row>
    <row r="317" customFormat="false" ht="15" hidden="false" customHeight="false" outlineLevel="0" collapsed="false">
      <c r="A317" s="55"/>
      <c r="B317" s="56"/>
      <c r="C317" s="56"/>
      <c r="D317" s="56"/>
      <c r="E317" s="56"/>
      <c r="F317" s="56"/>
      <c r="G317" s="58"/>
      <c r="H317" s="56"/>
      <c r="I317" s="61" t="str">
        <f aca="false">IF(IsPro,IF(OR($C317="",N($G317)=0),"",IF(OR($C317="Receipt",$C317="Other Income",$C317="Capital In",$C317="Transfer In"),$G317,0)),"")</f>
        <v/>
      </c>
      <c r="J317" s="61" t="str">
        <f aca="false">IF(IsPro,IF(OR($C317="",N($G317)=0),"",IF(I317=0,$G317,0)),"")</f>
        <v/>
      </c>
      <c r="K317" s="60" t="str">
        <f aca="false">IF(IsPro,IF($C317="","",IF(AND(OR($C317="Receipt",$C317="Payment"),$D317=""),"Party needed",IF(AND(OR($C317="Expense",$C317="Other Income"),$E317=""),"Head needed",IF($F317="","Account needed","OK")))),IF($C317="","","PRO PLAN"))</f>
        <v/>
      </c>
    </row>
    <row r="318" customFormat="false" ht="15" hidden="false" customHeight="false" outlineLevel="0" collapsed="false">
      <c r="A318" s="55"/>
      <c r="B318" s="56"/>
      <c r="C318" s="56"/>
      <c r="D318" s="56"/>
      <c r="E318" s="56"/>
      <c r="F318" s="56"/>
      <c r="G318" s="58"/>
      <c r="H318" s="56"/>
      <c r="I318" s="61" t="str">
        <f aca="false">IF(IsPro,IF(OR($C318="",N($G318)=0),"",IF(OR($C318="Receipt",$C318="Other Income",$C318="Capital In",$C318="Transfer In"),$G318,0)),"")</f>
        <v/>
      </c>
      <c r="J318" s="61" t="str">
        <f aca="false">IF(IsPro,IF(OR($C318="",N($G318)=0),"",IF(I318=0,$G318,0)),"")</f>
        <v/>
      </c>
      <c r="K318" s="60" t="str">
        <f aca="false">IF(IsPro,IF($C318="","",IF(AND(OR($C318="Receipt",$C318="Payment"),$D318=""),"Party needed",IF(AND(OR($C318="Expense",$C318="Other Income"),$E318=""),"Head needed",IF($F318="","Account needed","OK")))),IF($C318="","","PRO PLAN"))</f>
        <v/>
      </c>
    </row>
    <row r="319" customFormat="false" ht="15" hidden="false" customHeight="false" outlineLevel="0" collapsed="false">
      <c r="A319" s="55"/>
      <c r="B319" s="56"/>
      <c r="C319" s="56"/>
      <c r="D319" s="56"/>
      <c r="E319" s="56"/>
      <c r="F319" s="56"/>
      <c r="G319" s="58"/>
      <c r="H319" s="56"/>
      <c r="I319" s="61" t="str">
        <f aca="false">IF(IsPro,IF(OR($C319="",N($G319)=0),"",IF(OR($C319="Receipt",$C319="Other Income",$C319="Capital In",$C319="Transfer In"),$G319,0)),"")</f>
        <v/>
      </c>
      <c r="J319" s="61" t="str">
        <f aca="false">IF(IsPro,IF(OR($C319="",N($G319)=0),"",IF(I319=0,$G319,0)),"")</f>
        <v/>
      </c>
      <c r="K319" s="60" t="str">
        <f aca="false">IF(IsPro,IF($C319="","",IF(AND(OR($C319="Receipt",$C319="Payment"),$D319=""),"Party needed",IF(AND(OR($C319="Expense",$C319="Other Income"),$E319=""),"Head needed",IF($F319="","Account needed","OK")))),IF($C319="","","PRO PLAN"))</f>
        <v/>
      </c>
    </row>
    <row r="320" customFormat="false" ht="15" hidden="false" customHeight="false" outlineLevel="0" collapsed="false">
      <c r="A320" s="55"/>
      <c r="B320" s="56"/>
      <c r="C320" s="56"/>
      <c r="D320" s="56"/>
      <c r="E320" s="56"/>
      <c r="F320" s="56"/>
      <c r="G320" s="58"/>
      <c r="H320" s="56"/>
      <c r="I320" s="61" t="str">
        <f aca="false">IF(IsPro,IF(OR($C320="",N($G320)=0),"",IF(OR($C320="Receipt",$C320="Other Income",$C320="Capital In",$C320="Transfer In"),$G320,0)),"")</f>
        <v/>
      </c>
      <c r="J320" s="61" t="str">
        <f aca="false">IF(IsPro,IF(OR($C320="",N($G320)=0),"",IF(I320=0,$G320,0)),"")</f>
        <v/>
      </c>
      <c r="K320" s="60" t="str">
        <f aca="false">IF(IsPro,IF($C320="","",IF(AND(OR($C320="Receipt",$C320="Payment"),$D320=""),"Party needed",IF(AND(OR($C320="Expense",$C320="Other Income"),$E320=""),"Head needed",IF($F320="","Account needed","OK")))),IF($C320="","","PRO PLAN"))</f>
        <v/>
      </c>
    </row>
    <row r="321" customFormat="false" ht="15" hidden="false" customHeight="false" outlineLevel="0" collapsed="false">
      <c r="A321" s="55"/>
      <c r="B321" s="56"/>
      <c r="C321" s="56"/>
      <c r="D321" s="56"/>
      <c r="E321" s="56"/>
      <c r="F321" s="56"/>
      <c r="G321" s="58"/>
      <c r="H321" s="56"/>
      <c r="I321" s="61" t="str">
        <f aca="false">IF(IsPro,IF(OR($C321="",N($G321)=0),"",IF(OR($C321="Receipt",$C321="Other Income",$C321="Capital In",$C321="Transfer In"),$G321,0)),"")</f>
        <v/>
      </c>
      <c r="J321" s="61" t="str">
        <f aca="false">IF(IsPro,IF(OR($C321="",N($G321)=0),"",IF(I321=0,$G321,0)),"")</f>
        <v/>
      </c>
      <c r="K321" s="60" t="str">
        <f aca="false">IF(IsPro,IF($C321="","",IF(AND(OR($C321="Receipt",$C321="Payment"),$D321=""),"Party needed",IF(AND(OR($C321="Expense",$C321="Other Income"),$E321=""),"Head needed",IF($F321="","Account needed","OK")))),IF($C321="","","PRO PLAN"))</f>
        <v/>
      </c>
    </row>
    <row r="322" customFormat="false" ht="15" hidden="false" customHeight="false" outlineLevel="0" collapsed="false">
      <c r="A322" s="55"/>
      <c r="B322" s="56"/>
      <c r="C322" s="56"/>
      <c r="D322" s="56"/>
      <c r="E322" s="56"/>
      <c r="F322" s="56"/>
      <c r="G322" s="58"/>
      <c r="H322" s="56"/>
      <c r="I322" s="61" t="str">
        <f aca="false">IF(IsPro,IF(OR($C322="",N($G322)=0),"",IF(OR($C322="Receipt",$C322="Other Income",$C322="Capital In",$C322="Transfer In"),$G322,0)),"")</f>
        <v/>
      </c>
      <c r="J322" s="61" t="str">
        <f aca="false">IF(IsPro,IF(OR($C322="",N($G322)=0),"",IF(I322=0,$G322,0)),"")</f>
        <v/>
      </c>
      <c r="K322" s="60" t="str">
        <f aca="false">IF(IsPro,IF($C322="","",IF(AND(OR($C322="Receipt",$C322="Payment"),$D322=""),"Party needed",IF(AND(OR($C322="Expense",$C322="Other Income"),$E322=""),"Head needed",IF($F322="","Account needed","OK")))),IF($C322="","","PRO PLAN"))</f>
        <v/>
      </c>
    </row>
    <row r="323" customFormat="false" ht="15" hidden="false" customHeight="false" outlineLevel="0" collapsed="false">
      <c r="A323" s="55"/>
      <c r="B323" s="56"/>
      <c r="C323" s="56"/>
      <c r="D323" s="56"/>
      <c r="E323" s="56"/>
      <c r="F323" s="56"/>
      <c r="G323" s="58"/>
      <c r="H323" s="56"/>
      <c r="I323" s="61" t="str">
        <f aca="false">IF(IsPro,IF(OR($C323="",N($G323)=0),"",IF(OR($C323="Receipt",$C323="Other Income",$C323="Capital In",$C323="Transfer In"),$G323,0)),"")</f>
        <v/>
      </c>
      <c r="J323" s="61" t="str">
        <f aca="false">IF(IsPro,IF(OR($C323="",N($G323)=0),"",IF(I323=0,$G323,0)),"")</f>
        <v/>
      </c>
      <c r="K323" s="60" t="str">
        <f aca="false">IF(IsPro,IF($C323="","",IF(AND(OR($C323="Receipt",$C323="Payment"),$D323=""),"Party needed",IF(AND(OR($C323="Expense",$C323="Other Income"),$E323=""),"Head needed",IF($F323="","Account needed","OK")))),IF($C323="","","PRO PLAN"))</f>
        <v/>
      </c>
    </row>
    <row r="324" customFormat="false" ht="15" hidden="false" customHeight="false" outlineLevel="0" collapsed="false">
      <c r="A324" s="55"/>
      <c r="B324" s="56"/>
      <c r="C324" s="56"/>
      <c r="D324" s="56"/>
      <c r="E324" s="56"/>
      <c r="F324" s="56"/>
      <c r="G324" s="58"/>
      <c r="H324" s="56"/>
      <c r="I324" s="61" t="str">
        <f aca="false">IF(IsPro,IF(OR($C324="",N($G324)=0),"",IF(OR($C324="Receipt",$C324="Other Income",$C324="Capital In",$C324="Transfer In"),$G324,0)),"")</f>
        <v/>
      </c>
      <c r="J324" s="61" t="str">
        <f aca="false">IF(IsPro,IF(OR($C324="",N($G324)=0),"",IF(I324=0,$G324,0)),"")</f>
        <v/>
      </c>
      <c r="K324" s="60" t="str">
        <f aca="false">IF(IsPro,IF($C324="","",IF(AND(OR($C324="Receipt",$C324="Payment"),$D324=""),"Party needed",IF(AND(OR($C324="Expense",$C324="Other Income"),$E324=""),"Head needed",IF($F324="","Account needed","OK")))),IF($C324="","","PRO PLAN"))</f>
        <v/>
      </c>
    </row>
    <row r="325" customFormat="false" ht="15" hidden="false" customHeight="false" outlineLevel="0" collapsed="false">
      <c r="A325" s="55"/>
      <c r="B325" s="56"/>
      <c r="C325" s="56"/>
      <c r="D325" s="56"/>
      <c r="E325" s="56"/>
      <c r="F325" s="56"/>
      <c r="G325" s="58"/>
      <c r="H325" s="56"/>
      <c r="I325" s="61" t="str">
        <f aca="false">IF(IsPro,IF(OR($C325="",N($G325)=0),"",IF(OR($C325="Receipt",$C325="Other Income",$C325="Capital In",$C325="Transfer In"),$G325,0)),"")</f>
        <v/>
      </c>
      <c r="J325" s="61" t="str">
        <f aca="false">IF(IsPro,IF(OR($C325="",N($G325)=0),"",IF(I325=0,$G325,0)),"")</f>
        <v/>
      </c>
      <c r="K325" s="60" t="str">
        <f aca="false">IF(IsPro,IF($C325="","",IF(AND(OR($C325="Receipt",$C325="Payment"),$D325=""),"Party needed",IF(AND(OR($C325="Expense",$C325="Other Income"),$E325=""),"Head needed",IF($F325="","Account needed","OK")))),IF($C325="","","PRO PLAN"))</f>
        <v/>
      </c>
    </row>
    <row r="326" customFormat="false" ht="15" hidden="false" customHeight="false" outlineLevel="0" collapsed="false">
      <c r="A326" s="55"/>
      <c r="B326" s="56"/>
      <c r="C326" s="56"/>
      <c r="D326" s="56"/>
      <c r="E326" s="56"/>
      <c r="F326" s="56"/>
      <c r="G326" s="58"/>
      <c r="H326" s="56"/>
      <c r="I326" s="61" t="str">
        <f aca="false">IF(IsPro,IF(OR($C326="",N($G326)=0),"",IF(OR($C326="Receipt",$C326="Other Income",$C326="Capital In",$C326="Transfer In"),$G326,0)),"")</f>
        <v/>
      </c>
      <c r="J326" s="61" t="str">
        <f aca="false">IF(IsPro,IF(OR($C326="",N($G326)=0),"",IF(I326=0,$G326,0)),"")</f>
        <v/>
      </c>
      <c r="K326" s="60" t="str">
        <f aca="false">IF(IsPro,IF($C326="","",IF(AND(OR($C326="Receipt",$C326="Payment"),$D326=""),"Party needed",IF(AND(OR($C326="Expense",$C326="Other Income"),$E326=""),"Head needed",IF($F326="","Account needed","OK")))),IF($C326="","","PRO PLAN"))</f>
        <v/>
      </c>
    </row>
    <row r="327" customFormat="false" ht="15" hidden="false" customHeight="false" outlineLevel="0" collapsed="false">
      <c r="A327" s="55"/>
      <c r="B327" s="56"/>
      <c r="C327" s="56"/>
      <c r="D327" s="56"/>
      <c r="E327" s="56"/>
      <c r="F327" s="56"/>
      <c r="G327" s="58"/>
      <c r="H327" s="56"/>
      <c r="I327" s="61" t="str">
        <f aca="false">IF(IsPro,IF(OR($C327="",N($G327)=0),"",IF(OR($C327="Receipt",$C327="Other Income",$C327="Capital In",$C327="Transfer In"),$G327,0)),"")</f>
        <v/>
      </c>
      <c r="J327" s="61" t="str">
        <f aca="false">IF(IsPro,IF(OR($C327="",N($G327)=0),"",IF(I327=0,$G327,0)),"")</f>
        <v/>
      </c>
      <c r="K327" s="60" t="str">
        <f aca="false">IF(IsPro,IF($C327="","",IF(AND(OR($C327="Receipt",$C327="Payment"),$D327=""),"Party needed",IF(AND(OR($C327="Expense",$C327="Other Income"),$E327=""),"Head needed",IF($F327="","Account needed","OK")))),IF($C327="","","PRO PLAN"))</f>
        <v/>
      </c>
    </row>
    <row r="328" customFormat="false" ht="15" hidden="false" customHeight="false" outlineLevel="0" collapsed="false">
      <c r="A328" s="55"/>
      <c r="B328" s="56"/>
      <c r="C328" s="56"/>
      <c r="D328" s="56"/>
      <c r="E328" s="56"/>
      <c r="F328" s="56"/>
      <c r="G328" s="58"/>
      <c r="H328" s="56"/>
      <c r="I328" s="61" t="str">
        <f aca="false">IF(IsPro,IF(OR($C328="",N($G328)=0),"",IF(OR($C328="Receipt",$C328="Other Income",$C328="Capital In",$C328="Transfer In"),$G328,0)),"")</f>
        <v/>
      </c>
      <c r="J328" s="61" t="str">
        <f aca="false">IF(IsPro,IF(OR($C328="",N($G328)=0),"",IF(I328=0,$G328,0)),"")</f>
        <v/>
      </c>
      <c r="K328" s="60" t="str">
        <f aca="false">IF(IsPro,IF($C328="","",IF(AND(OR($C328="Receipt",$C328="Payment"),$D328=""),"Party needed",IF(AND(OR($C328="Expense",$C328="Other Income"),$E328=""),"Head needed",IF($F328="","Account needed","OK")))),IF($C328="","","PRO PLAN"))</f>
        <v/>
      </c>
    </row>
    <row r="329" customFormat="false" ht="15" hidden="false" customHeight="false" outlineLevel="0" collapsed="false">
      <c r="A329" s="55"/>
      <c r="B329" s="56"/>
      <c r="C329" s="56"/>
      <c r="D329" s="56"/>
      <c r="E329" s="56"/>
      <c r="F329" s="56"/>
      <c r="G329" s="58"/>
      <c r="H329" s="56"/>
      <c r="I329" s="61" t="str">
        <f aca="false">IF(IsPro,IF(OR($C329="",N($G329)=0),"",IF(OR($C329="Receipt",$C329="Other Income",$C329="Capital In",$C329="Transfer In"),$G329,0)),"")</f>
        <v/>
      </c>
      <c r="J329" s="61" t="str">
        <f aca="false">IF(IsPro,IF(OR($C329="",N($G329)=0),"",IF(I329=0,$G329,0)),"")</f>
        <v/>
      </c>
      <c r="K329" s="60" t="str">
        <f aca="false">IF(IsPro,IF($C329="","",IF(AND(OR($C329="Receipt",$C329="Payment"),$D329=""),"Party needed",IF(AND(OR($C329="Expense",$C329="Other Income"),$E329=""),"Head needed",IF($F329="","Account needed","OK")))),IF($C329="","","PRO PLAN"))</f>
        <v/>
      </c>
    </row>
    <row r="330" customFormat="false" ht="15" hidden="false" customHeight="false" outlineLevel="0" collapsed="false">
      <c r="A330" s="55"/>
      <c r="B330" s="56"/>
      <c r="C330" s="56"/>
      <c r="D330" s="56"/>
      <c r="E330" s="56"/>
      <c r="F330" s="56"/>
      <c r="G330" s="58"/>
      <c r="H330" s="56"/>
      <c r="I330" s="61" t="str">
        <f aca="false">IF(IsPro,IF(OR($C330="",N($G330)=0),"",IF(OR($C330="Receipt",$C330="Other Income",$C330="Capital In",$C330="Transfer In"),$G330,0)),"")</f>
        <v/>
      </c>
      <c r="J330" s="61" t="str">
        <f aca="false">IF(IsPro,IF(OR($C330="",N($G330)=0),"",IF(I330=0,$G330,0)),"")</f>
        <v/>
      </c>
      <c r="K330" s="60" t="str">
        <f aca="false">IF(IsPro,IF($C330="","",IF(AND(OR($C330="Receipt",$C330="Payment"),$D330=""),"Party needed",IF(AND(OR($C330="Expense",$C330="Other Income"),$E330=""),"Head needed",IF($F330="","Account needed","OK")))),IF($C330="","","PRO PLAN"))</f>
        <v/>
      </c>
    </row>
    <row r="331" customFormat="false" ht="15" hidden="false" customHeight="false" outlineLevel="0" collapsed="false">
      <c r="A331" s="55"/>
      <c r="B331" s="56"/>
      <c r="C331" s="56"/>
      <c r="D331" s="56"/>
      <c r="E331" s="56"/>
      <c r="F331" s="56"/>
      <c r="G331" s="58"/>
      <c r="H331" s="56"/>
      <c r="I331" s="61" t="str">
        <f aca="false">IF(IsPro,IF(OR($C331="",N($G331)=0),"",IF(OR($C331="Receipt",$C331="Other Income",$C331="Capital In",$C331="Transfer In"),$G331,0)),"")</f>
        <v/>
      </c>
      <c r="J331" s="61" t="str">
        <f aca="false">IF(IsPro,IF(OR($C331="",N($G331)=0),"",IF(I331=0,$G331,0)),"")</f>
        <v/>
      </c>
      <c r="K331" s="60" t="str">
        <f aca="false">IF(IsPro,IF($C331="","",IF(AND(OR($C331="Receipt",$C331="Payment"),$D331=""),"Party needed",IF(AND(OR($C331="Expense",$C331="Other Income"),$E331=""),"Head needed",IF($F331="","Account needed","OK")))),IF($C331="","","PRO PLAN"))</f>
        <v/>
      </c>
    </row>
    <row r="332" customFormat="false" ht="15" hidden="false" customHeight="false" outlineLevel="0" collapsed="false">
      <c r="A332" s="55"/>
      <c r="B332" s="56"/>
      <c r="C332" s="56"/>
      <c r="D332" s="56"/>
      <c r="E332" s="56"/>
      <c r="F332" s="56"/>
      <c r="G332" s="58"/>
      <c r="H332" s="56"/>
      <c r="I332" s="61" t="str">
        <f aca="false">IF(IsPro,IF(OR($C332="",N($G332)=0),"",IF(OR($C332="Receipt",$C332="Other Income",$C332="Capital In",$C332="Transfer In"),$G332,0)),"")</f>
        <v/>
      </c>
      <c r="J332" s="61" t="str">
        <f aca="false">IF(IsPro,IF(OR($C332="",N($G332)=0),"",IF(I332=0,$G332,0)),"")</f>
        <v/>
      </c>
      <c r="K332" s="60" t="str">
        <f aca="false">IF(IsPro,IF($C332="","",IF(AND(OR($C332="Receipt",$C332="Payment"),$D332=""),"Party needed",IF(AND(OR($C332="Expense",$C332="Other Income"),$E332=""),"Head needed",IF($F332="","Account needed","OK")))),IF($C332="","","PRO PLAN"))</f>
        <v/>
      </c>
    </row>
    <row r="333" customFormat="false" ht="15" hidden="false" customHeight="false" outlineLevel="0" collapsed="false">
      <c r="A333" s="55"/>
      <c r="B333" s="56"/>
      <c r="C333" s="56"/>
      <c r="D333" s="56"/>
      <c r="E333" s="56"/>
      <c r="F333" s="56"/>
      <c r="G333" s="58"/>
      <c r="H333" s="56"/>
      <c r="I333" s="61" t="str">
        <f aca="false">IF(IsPro,IF(OR($C333="",N($G333)=0),"",IF(OR($C333="Receipt",$C333="Other Income",$C333="Capital In",$C333="Transfer In"),$G333,0)),"")</f>
        <v/>
      </c>
      <c r="J333" s="61" t="str">
        <f aca="false">IF(IsPro,IF(OR($C333="",N($G333)=0),"",IF(I333=0,$G333,0)),"")</f>
        <v/>
      </c>
      <c r="K333" s="60" t="str">
        <f aca="false">IF(IsPro,IF($C333="","",IF(AND(OR($C333="Receipt",$C333="Payment"),$D333=""),"Party needed",IF(AND(OR($C333="Expense",$C333="Other Income"),$E333=""),"Head needed",IF($F333="","Account needed","OK")))),IF($C333="","","PRO PLAN"))</f>
        <v/>
      </c>
    </row>
    <row r="334" customFormat="false" ht="15" hidden="false" customHeight="false" outlineLevel="0" collapsed="false">
      <c r="A334" s="55"/>
      <c r="B334" s="56"/>
      <c r="C334" s="56"/>
      <c r="D334" s="56"/>
      <c r="E334" s="56"/>
      <c r="F334" s="56"/>
      <c r="G334" s="58"/>
      <c r="H334" s="56"/>
      <c r="I334" s="61" t="str">
        <f aca="false">IF(IsPro,IF(OR($C334="",N($G334)=0),"",IF(OR($C334="Receipt",$C334="Other Income",$C334="Capital In",$C334="Transfer In"),$G334,0)),"")</f>
        <v/>
      </c>
      <c r="J334" s="61" t="str">
        <f aca="false">IF(IsPro,IF(OR($C334="",N($G334)=0),"",IF(I334=0,$G334,0)),"")</f>
        <v/>
      </c>
      <c r="K334" s="60" t="str">
        <f aca="false">IF(IsPro,IF($C334="","",IF(AND(OR($C334="Receipt",$C334="Payment"),$D334=""),"Party needed",IF(AND(OR($C334="Expense",$C334="Other Income"),$E334=""),"Head needed",IF($F334="","Account needed","OK")))),IF($C334="","","PRO PLAN"))</f>
        <v/>
      </c>
    </row>
    <row r="335" customFormat="false" ht="15" hidden="false" customHeight="false" outlineLevel="0" collapsed="false">
      <c r="A335" s="55"/>
      <c r="B335" s="56"/>
      <c r="C335" s="56"/>
      <c r="D335" s="56"/>
      <c r="E335" s="56"/>
      <c r="F335" s="56"/>
      <c r="G335" s="58"/>
      <c r="H335" s="56"/>
      <c r="I335" s="61" t="str">
        <f aca="false">IF(IsPro,IF(OR($C335="",N($G335)=0),"",IF(OR($C335="Receipt",$C335="Other Income",$C335="Capital In",$C335="Transfer In"),$G335,0)),"")</f>
        <v/>
      </c>
      <c r="J335" s="61" t="str">
        <f aca="false">IF(IsPro,IF(OR($C335="",N($G335)=0),"",IF(I335=0,$G335,0)),"")</f>
        <v/>
      </c>
      <c r="K335" s="60" t="str">
        <f aca="false">IF(IsPro,IF($C335="","",IF(AND(OR($C335="Receipt",$C335="Payment"),$D335=""),"Party needed",IF(AND(OR($C335="Expense",$C335="Other Income"),$E335=""),"Head needed",IF($F335="","Account needed","OK")))),IF($C335="","","PRO PLAN"))</f>
        <v/>
      </c>
    </row>
    <row r="336" customFormat="false" ht="15" hidden="false" customHeight="false" outlineLevel="0" collapsed="false">
      <c r="A336" s="55"/>
      <c r="B336" s="56"/>
      <c r="C336" s="56"/>
      <c r="D336" s="56"/>
      <c r="E336" s="56"/>
      <c r="F336" s="56"/>
      <c r="G336" s="58"/>
      <c r="H336" s="56"/>
      <c r="I336" s="61" t="str">
        <f aca="false">IF(IsPro,IF(OR($C336="",N($G336)=0),"",IF(OR($C336="Receipt",$C336="Other Income",$C336="Capital In",$C336="Transfer In"),$G336,0)),"")</f>
        <v/>
      </c>
      <c r="J336" s="61" t="str">
        <f aca="false">IF(IsPro,IF(OR($C336="",N($G336)=0),"",IF(I336=0,$G336,0)),"")</f>
        <v/>
      </c>
      <c r="K336" s="60" t="str">
        <f aca="false">IF(IsPro,IF($C336="","",IF(AND(OR($C336="Receipt",$C336="Payment"),$D336=""),"Party needed",IF(AND(OR($C336="Expense",$C336="Other Income"),$E336=""),"Head needed",IF($F336="","Account needed","OK")))),IF($C336="","","PRO PLAN"))</f>
        <v/>
      </c>
    </row>
    <row r="337" customFormat="false" ht="15" hidden="false" customHeight="false" outlineLevel="0" collapsed="false">
      <c r="A337" s="55"/>
      <c r="B337" s="56"/>
      <c r="C337" s="56"/>
      <c r="D337" s="56"/>
      <c r="E337" s="56"/>
      <c r="F337" s="56"/>
      <c r="G337" s="58"/>
      <c r="H337" s="56"/>
      <c r="I337" s="61" t="str">
        <f aca="false">IF(IsPro,IF(OR($C337="",N($G337)=0),"",IF(OR($C337="Receipt",$C337="Other Income",$C337="Capital In",$C337="Transfer In"),$G337,0)),"")</f>
        <v/>
      </c>
      <c r="J337" s="61" t="str">
        <f aca="false">IF(IsPro,IF(OR($C337="",N($G337)=0),"",IF(I337=0,$G337,0)),"")</f>
        <v/>
      </c>
      <c r="K337" s="60" t="str">
        <f aca="false">IF(IsPro,IF($C337="","",IF(AND(OR($C337="Receipt",$C337="Payment"),$D337=""),"Party needed",IF(AND(OR($C337="Expense",$C337="Other Income"),$E337=""),"Head needed",IF($F337="","Account needed","OK")))),IF($C337="","","PRO PLAN"))</f>
        <v/>
      </c>
    </row>
    <row r="338" customFormat="false" ht="15" hidden="false" customHeight="false" outlineLevel="0" collapsed="false">
      <c r="A338" s="55"/>
      <c r="B338" s="56"/>
      <c r="C338" s="56"/>
      <c r="D338" s="56"/>
      <c r="E338" s="56"/>
      <c r="F338" s="56"/>
      <c r="G338" s="58"/>
      <c r="H338" s="56"/>
      <c r="I338" s="61" t="str">
        <f aca="false">IF(IsPro,IF(OR($C338="",N($G338)=0),"",IF(OR($C338="Receipt",$C338="Other Income",$C338="Capital In",$C338="Transfer In"),$G338,0)),"")</f>
        <v/>
      </c>
      <c r="J338" s="61" t="str">
        <f aca="false">IF(IsPro,IF(OR($C338="",N($G338)=0),"",IF(I338=0,$G338,0)),"")</f>
        <v/>
      </c>
      <c r="K338" s="60" t="str">
        <f aca="false">IF(IsPro,IF($C338="","",IF(AND(OR($C338="Receipt",$C338="Payment"),$D338=""),"Party needed",IF(AND(OR($C338="Expense",$C338="Other Income"),$E338=""),"Head needed",IF($F338="","Account needed","OK")))),IF($C338="","","PRO PLAN"))</f>
        <v/>
      </c>
    </row>
    <row r="339" customFormat="false" ht="15" hidden="false" customHeight="false" outlineLevel="0" collapsed="false">
      <c r="A339" s="55"/>
      <c r="B339" s="56"/>
      <c r="C339" s="56"/>
      <c r="D339" s="56"/>
      <c r="E339" s="56"/>
      <c r="F339" s="56"/>
      <c r="G339" s="58"/>
      <c r="H339" s="56"/>
      <c r="I339" s="61" t="str">
        <f aca="false">IF(IsPro,IF(OR($C339="",N($G339)=0),"",IF(OR($C339="Receipt",$C339="Other Income",$C339="Capital In",$C339="Transfer In"),$G339,0)),"")</f>
        <v/>
      </c>
      <c r="J339" s="61" t="str">
        <f aca="false">IF(IsPro,IF(OR($C339="",N($G339)=0),"",IF(I339=0,$G339,0)),"")</f>
        <v/>
      </c>
      <c r="K339" s="60" t="str">
        <f aca="false">IF(IsPro,IF($C339="","",IF(AND(OR($C339="Receipt",$C339="Payment"),$D339=""),"Party needed",IF(AND(OR($C339="Expense",$C339="Other Income"),$E339=""),"Head needed",IF($F339="","Account needed","OK")))),IF($C339="","","PRO PLAN"))</f>
        <v/>
      </c>
    </row>
    <row r="340" customFormat="false" ht="15" hidden="false" customHeight="false" outlineLevel="0" collapsed="false">
      <c r="A340" s="55"/>
      <c r="B340" s="56"/>
      <c r="C340" s="56"/>
      <c r="D340" s="56"/>
      <c r="E340" s="56"/>
      <c r="F340" s="56"/>
      <c r="G340" s="58"/>
      <c r="H340" s="56"/>
      <c r="I340" s="61" t="str">
        <f aca="false">IF(IsPro,IF(OR($C340="",N($G340)=0),"",IF(OR($C340="Receipt",$C340="Other Income",$C340="Capital In",$C340="Transfer In"),$G340,0)),"")</f>
        <v/>
      </c>
      <c r="J340" s="61" t="str">
        <f aca="false">IF(IsPro,IF(OR($C340="",N($G340)=0),"",IF(I340=0,$G340,0)),"")</f>
        <v/>
      </c>
      <c r="K340" s="60" t="str">
        <f aca="false">IF(IsPro,IF($C340="","",IF(AND(OR($C340="Receipt",$C340="Payment"),$D340=""),"Party needed",IF(AND(OR($C340="Expense",$C340="Other Income"),$E340=""),"Head needed",IF($F340="","Account needed","OK")))),IF($C340="","","PRO PLAN"))</f>
        <v/>
      </c>
    </row>
    <row r="341" customFormat="false" ht="15" hidden="false" customHeight="false" outlineLevel="0" collapsed="false">
      <c r="A341" s="55"/>
      <c r="B341" s="56"/>
      <c r="C341" s="56"/>
      <c r="D341" s="56"/>
      <c r="E341" s="56"/>
      <c r="F341" s="56"/>
      <c r="G341" s="58"/>
      <c r="H341" s="56"/>
      <c r="I341" s="61" t="str">
        <f aca="false">IF(IsPro,IF(OR($C341="",N($G341)=0),"",IF(OR($C341="Receipt",$C341="Other Income",$C341="Capital In",$C341="Transfer In"),$G341,0)),"")</f>
        <v/>
      </c>
      <c r="J341" s="61" t="str">
        <f aca="false">IF(IsPro,IF(OR($C341="",N($G341)=0),"",IF(I341=0,$G341,0)),"")</f>
        <v/>
      </c>
      <c r="K341" s="60" t="str">
        <f aca="false">IF(IsPro,IF($C341="","",IF(AND(OR($C341="Receipt",$C341="Payment"),$D341=""),"Party needed",IF(AND(OR($C341="Expense",$C341="Other Income"),$E341=""),"Head needed",IF($F341="","Account needed","OK")))),IF($C341="","","PRO PLAN"))</f>
        <v/>
      </c>
    </row>
    <row r="342" customFormat="false" ht="15" hidden="false" customHeight="false" outlineLevel="0" collapsed="false">
      <c r="A342" s="55"/>
      <c r="B342" s="56"/>
      <c r="C342" s="56"/>
      <c r="D342" s="56"/>
      <c r="E342" s="56"/>
      <c r="F342" s="56"/>
      <c r="G342" s="58"/>
      <c r="H342" s="56"/>
      <c r="I342" s="61" t="str">
        <f aca="false">IF(IsPro,IF(OR($C342="",N($G342)=0),"",IF(OR($C342="Receipt",$C342="Other Income",$C342="Capital In",$C342="Transfer In"),$G342,0)),"")</f>
        <v/>
      </c>
      <c r="J342" s="61" t="str">
        <f aca="false">IF(IsPro,IF(OR($C342="",N($G342)=0),"",IF(I342=0,$G342,0)),"")</f>
        <v/>
      </c>
      <c r="K342" s="60" t="str">
        <f aca="false">IF(IsPro,IF($C342="","",IF(AND(OR($C342="Receipt",$C342="Payment"),$D342=""),"Party needed",IF(AND(OR($C342="Expense",$C342="Other Income"),$E342=""),"Head needed",IF($F342="","Account needed","OK")))),IF($C342="","","PRO PLAN"))</f>
        <v/>
      </c>
    </row>
    <row r="343" customFormat="false" ht="15" hidden="false" customHeight="false" outlineLevel="0" collapsed="false">
      <c r="A343" s="55"/>
      <c r="B343" s="56"/>
      <c r="C343" s="56"/>
      <c r="D343" s="56"/>
      <c r="E343" s="56"/>
      <c r="F343" s="56"/>
      <c r="G343" s="58"/>
      <c r="H343" s="56"/>
      <c r="I343" s="61" t="str">
        <f aca="false">IF(IsPro,IF(OR($C343="",N($G343)=0),"",IF(OR($C343="Receipt",$C343="Other Income",$C343="Capital In",$C343="Transfer In"),$G343,0)),"")</f>
        <v/>
      </c>
      <c r="J343" s="61" t="str">
        <f aca="false">IF(IsPro,IF(OR($C343="",N($G343)=0),"",IF(I343=0,$G343,0)),"")</f>
        <v/>
      </c>
      <c r="K343" s="60" t="str">
        <f aca="false">IF(IsPro,IF($C343="","",IF(AND(OR($C343="Receipt",$C343="Payment"),$D343=""),"Party needed",IF(AND(OR($C343="Expense",$C343="Other Income"),$E343=""),"Head needed",IF($F343="","Account needed","OK")))),IF($C343="","","PRO PLAN"))</f>
        <v/>
      </c>
    </row>
    <row r="344" customFormat="false" ht="15" hidden="false" customHeight="false" outlineLevel="0" collapsed="false">
      <c r="A344" s="55"/>
      <c r="B344" s="56"/>
      <c r="C344" s="56"/>
      <c r="D344" s="56"/>
      <c r="E344" s="56"/>
      <c r="F344" s="56"/>
      <c r="G344" s="58"/>
      <c r="H344" s="56"/>
      <c r="I344" s="61" t="str">
        <f aca="false">IF(IsPro,IF(OR($C344="",N($G344)=0),"",IF(OR($C344="Receipt",$C344="Other Income",$C344="Capital In",$C344="Transfer In"),$G344,0)),"")</f>
        <v/>
      </c>
      <c r="J344" s="61" t="str">
        <f aca="false">IF(IsPro,IF(OR($C344="",N($G344)=0),"",IF(I344=0,$G344,0)),"")</f>
        <v/>
      </c>
      <c r="K344" s="60" t="str">
        <f aca="false">IF(IsPro,IF($C344="","",IF(AND(OR($C344="Receipt",$C344="Payment"),$D344=""),"Party needed",IF(AND(OR($C344="Expense",$C344="Other Income"),$E344=""),"Head needed",IF($F344="","Account needed","OK")))),IF($C344="","","PRO PLAN"))</f>
        <v/>
      </c>
    </row>
    <row r="345" customFormat="false" ht="15" hidden="false" customHeight="false" outlineLevel="0" collapsed="false">
      <c r="A345" s="55"/>
      <c r="B345" s="56"/>
      <c r="C345" s="56"/>
      <c r="D345" s="56"/>
      <c r="E345" s="56"/>
      <c r="F345" s="56"/>
      <c r="G345" s="58"/>
      <c r="H345" s="56"/>
      <c r="I345" s="61" t="str">
        <f aca="false">IF(IsPro,IF(OR($C345="",N($G345)=0),"",IF(OR($C345="Receipt",$C345="Other Income",$C345="Capital In",$C345="Transfer In"),$G345,0)),"")</f>
        <v/>
      </c>
      <c r="J345" s="61" t="str">
        <f aca="false">IF(IsPro,IF(OR($C345="",N($G345)=0),"",IF(I345=0,$G345,0)),"")</f>
        <v/>
      </c>
      <c r="K345" s="60" t="str">
        <f aca="false">IF(IsPro,IF($C345="","",IF(AND(OR($C345="Receipt",$C345="Payment"),$D345=""),"Party needed",IF(AND(OR($C345="Expense",$C345="Other Income"),$E345=""),"Head needed",IF($F345="","Account needed","OK")))),IF($C345="","","PRO PLAN"))</f>
        <v/>
      </c>
    </row>
    <row r="346" customFormat="false" ht="15" hidden="false" customHeight="false" outlineLevel="0" collapsed="false">
      <c r="A346" s="55"/>
      <c r="B346" s="56"/>
      <c r="C346" s="56"/>
      <c r="D346" s="56"/>
      <c r="E346" s="56"/>
      <c r="F346" s="56"/>
      <c r="G346" s="58"/>
      <c r="H346" s="56"/>
      <c r="I346" s="61" t="str">
        <f aca="false">IF(IsPro,IF(OR($C346="",N($G346)=0),"",IF(OR($C346="Receipt",$C346="Other Income",$C346="Capital In",$C346="Transfer In"),$G346,0)),"")</f>
        <v/>
      </c>
      <c r="J346" s="61" t="str">
        <f aca="false">IF(IsPro,IF(OR($C346="",N($G346)=0),"",IF(I346=0,$G346,0)),"")</f>
        <v/>
      </c>
      <c r="K346" s="60" t="str">
        <f aca="false">IF(IsPro,IF($C346="","",IF(AND(OR($C346="Receipt",$C346="Payment"),$D346=""),"Party needed",IF(AND(OR($C346="Expense",$C346="Other Income"),$E346=""),"Head needed",IF($F346="","Account needed","OK")))),IF($C346="","","PRO PLAN"))</f>
        <v/>
      </c>
    </row>
    <row r="347" customFormat="false" ht="15" hidden="false" customHeight="false" outlineLevel="0" collapsed="false">
      <c r="A347" s="55"/>
      <c r="B347" s="56"/>
      <c r="C347" s="56"/>
      <c r="D347" s="56"/>
      <c r="E347" s="56"/>
      <c r="F347" s="56"/>
      <c r="G347" s="58"/>
      <c r="H347" s="56"/>
      <c r="I347" s="61" t="str">
        <f aca="false">IF(IsPro,IF(OR($C347="",N($G347)=0),"",IF(OR($C347="Receipt",$C347="Other Income",$C347="Capital In",$C347="Transfer In"),$G347,0)),"")</f>
        <v/>
      </c>
      <c r="J347" s="61" t="str">
        <f aca="false">IF(IsPro,IF(OR($C347="",N($G347)=0),"",IF(I347=0,$G347,0)),"")</f>
        <v/>
      </c>
      <c r="K347" s="60" t="str">
        <f aca="false">IF(IsPro,IF($C347="","",IF(AND(OR($C347="Receipt",$C347="Payment"),$D347=""),"Party needed",IF(AND(OR($C347="Expense",$C347="Other Income"),$E347=""),"Head needed",IF($F347="","Account needed","OK")))),IF($C347="","","PRO PLAN"))</f>
        <v/>
      </c>
    </row>
    <row r="348" customFormat="false" ht="15" hidden="false" customHeight="false" outlineLevel="0" collapsed="false">
      <c r="A348" s="55"/>
      <c r="B348" s="56"/>
      <c r="C348" s="56"/>
      <c r="D348" s="56"/>
      <c r="E348" s="56"/>
      <c r="F348" s="56"/>
      <c r="G348" s="58"/>
      <c r="H348" s="56"/>
      <c r="I348" s="61" t="str">
        <f aca="false">IF(IsPro,IF(OR($C348="",N($G348)=0),"",IF(OR($C348="Receipt",$C348="Other Income",$C348="Capital In",$C348="Transfer In"),$G348,0)),"")</f>
        <v/>
      </c>
      <c r="J348" s="61" t="str">
        <f aca="false">IF(IsPro,IF(OR($C348="",N($G348)=0),"",IF(I348=0,$G348,0)),"")</f>
        <v/>
      </c>
      <c r="K348" s="60" t="str">
        <f aca="false">IF(IsPro,IF($C348="","",IF(AND(OR($C348="Receipt",$C348="Payment"),$D348=""),"Party needed",IF(AND(OR($C348="Expense",$C348="Other Income"),$E348=""),"Head needed",IF($F348="","Account needed","OK")))),IF($C348="","","PRO PLAN"))</f>
        <v/>
      </c>
    </row>
    <row r="349" customFormat="false" ht="15" hidden="false" customHeight="false" outlineLevel="0" collapsed="false">
      <c r="A349" s="55"/>
      <c r="B349" s="56"/>
      <c r="C349" s="56"/>
      <c r="D349" s="56"/>
      <c r="E349" s="56"/>
      <c r="F349" s="56"/>
      <c r="G349" s="58"/>
      <c r="H349" s="56"/>
      <c r="I349" s="61" t="str">
        <f aca="false">IF(IsPro,IF(OR($C349="",N($G349)=0),"",IF(OR($C349="Receipt",$C349="Other Income",$C349="Capital In",$C349="Transfer In"),$G349,0)),"")</f>
        <v/>
      </c>
      <c r="J349" s="61" t="str">
        <f aca="false">IF(IsPro,IF(OR($C349="",N($G349)=0),"",IF(I349=0,$G349,0)),"")</f>
        <v/>
      </c>
      <c r="K349" s="60" t="str">
        <f aca="false">IF(IsPro,IF($C349="","",IF(AND(OR($C349="Receipt",$C349="Payment"),$D349=""),"Party needed",IF(AND(OR($C349="Expense",$C349="Other Income"),$E349=""),"Head needed",IF($F349="","Account needed","OK")))),IF($C349="","","PRO PLAN"))</f>
        <v/>
      </c>
    </row>
    <row r="350" customFormat="false" ht="15" hidden="false" customHeight="false" outlineLevel="0" collapsed="false">
      <c r="A350" s="55"/>
      <c r="B350" s="56"/>
      <c r="C350" s="56"/>
      <c r="D350" s="56"/>
      <c r="E350" s="56"/>
      <c r="F350" s="56"/>
      <c r="G350" s="58"/>
      <c r="H350" s="56"/>
      <c r="I350" s="61" t="str">
        <f aca="false">IF(IsPro,IF(OR($C350="",N($G350)=0),"",IF(OR($C350="Receipt",$C350="Other Income",$C350="Capital In",$C350="Transfer In"),$G350,0)),"")</f>
        <v/>
      </c>
      <c r="J350" s="61" t="str">
        <f aca="false">IF(IsPro,IF(OR($C350="",N($G350)=0),"",IF(I350=0,$G350,0)),"")</f>
        <v/>
      </c>
      <c r="K350" s="60" t="str">
        <f aca="false">IF(IsPro,IF($C350="","",IF(AND(OR($C350="Receipt",$C350="Payment"),$D350=""),"Party needed",IF(AND(OR($C350="Expense",$C350="Other Income"),$E350=""),"Head needed",IF($F350="","Account needed","OK")))),IF($C350="","","PRO PLAN"))</f>
        <v/>
      </c>
    </row>
    <row r="351" customFormat="false" ht="15" hidden="false" customHeight="false" outlineLevel="0" collapsed="false">
      <c r="A351" s="55"/>
      <c r="B351" s="56"/>
      <c r="C351" s="56"/>
      <c r="D351" s="56"/>
      <c r="E351" s="56"/>
      <c r="F351" s="56"/>
      <c r="G351" s="58"/>
      <c r="H351" s="56"/>
      <c r="I351" s="61" t="str">
        <f aca="false">IF(IsPro,IF(OR($C351="",N($G351)=0),"",IF(OR($C351="Receipt",$C351="Other Income",$C351="Capital In",$C351="Transfer In"),$G351,0)),"")</f>
        <v/>
      </c>
      <c r="J351" s="61" t="str">
        <f aca="false">IF(IsPro,IF(OR($C351="",N($G351)=0),"",IF(I351=0,$G351,0)),"")</f>
        <v/>
      </c>
      <c r="K351" s="60" t="str">
        <f aca="false">IF(IsPro,IF($C351="","",IF(AND(OR($C351="Receipt",$C351="Payment"),$D351=""),"Party needed",IF(AND(OR($C351="Expense",$C351="Other Income"),$E351=""),"Head needed",IF($F351="","Account needed","OK")))),IF($C351="","","PRO PLAN"))</f>
        <v/>
      </c>
    </row>
    <row r="352" customFormat="false" ht="15" hidden="false" customHeight="false" outlineLevel="0" collapsed="false">
      <c r="A352" s="55"/>
      <c r="B352" s="56"/>
      <c r="C352" s="56"/>
      <c r="D352" s="56"/>
      <c r="E352" s="56"/>
      <c r="F352" s="56"/>
      <c r="G352" s="58"/>
      <c r="H352" s="56"/>
      <c r="I352" s="61" t="str">
        <f aca="false">IF(IsPro,IF(OR($C352="",N($G352)=0),"",IF(OR($C352="Receipt",$C352="Other Income",$C352="Capital In",$C352="Transfer In"),$G352,0)),"")</f>
        <v/>
      </c>
      <c r="J352" s="61" t="str">
        <f aca="false">IF(IsPro,IF(OR($C352="",N($G352)=0),"",IF(I352=0,$G352,0)),"")</f>
        <v/>
      </c>
      <c r="K352" s="60" t="str">
        <f aca="false">IF(IsPro,IF($C352="","",IF(AND(OR($C352="Receipt",$C352="Payment"),$D352=""),"Party needed",IF(AND(OR($C352="Expense",$C352="Other Income"),$E352=""),"Head needed",IF($F352="","Account needed","OK")))),IF($C352="","","PRO PLAN"))</f>
        <v/>
      </c>
    </row>
    <row r="353" customFormat="false" ht="15" hidden="false" customHeight="false" outlineLevel="0" collapsed="false">
      <c r="A353" s="55"/>
      <c r="B353" s="56"/>
      <c r="C353" s="56"/>
      <c r="D353" s="56"/>
      <c r="E353" s="56"/>
      <c r="F353" s="56"/>
      <c r="G353" s="58"/>
      <c r="H353" s="56"/>
      <c r="I353" s="61" t="str">
        <f aca="false">IF(IsPro,IF(OR($C353="",N($G353)=0),"",IF(OR($C353="Receipt",$C353="Other Income",$C353="Capital In",$C353="Transfer In"),$G353,0)),"")</f>
        <v/>
      </c>
      <c r="J353" s="61" t="str">
        <f aca="false">IF(IsPro,IF(OR($C353="",N($G353)=0),"",IF(I353=0,$G353,0)),"")</f>
        <v/>
      </c>
      <c r="K353" s="60" t="str">
        <f aca="false">IF(IsPro,IF($C353="","",IF(AND(OR($C353="Receipt",$C353="Payment"),$D353=""),"Party needed",IF(AND(OR($C353="Expense",$C353="Other Income"),$E353=""),"Head needed",IF($F353="","Account needed","OK")))),IF($C353="","","PRO PLAN"))</f>
        <v/>
      </c>
    </row>
    <row r="354" customFormat="false" ht="15" hidden="false" customHeight="false" outlineLevel="0" collapsed="false">
      <c r="A354" s="55"/>
      <c r="B354" s="56"/>
      <c r="C354" s="56"/>
      <c r="D354" s="56"/>
      <c r="E354" s="56"/>
      <c r="F354" s="56"/>
      <c r="G354" s="58"/>
      <c r="H354" s="56"/>
      <c r="I354" s="61" t="str">
        <f aca="false">IF(IsPro,IF(OR($C354="",N($G354)=0),"",IF(OR($C354="Receipt",$C354="Other Income",$C354="Capital In",$C354="Transfer In"),$G354,0)),"")</f>
        <v/>
      </c>
      <c r="J354" s="61" t="str">
        <f aca="false">IF(IsPro,IF(OR($C354="",N($G354)=0),"",IF(I354=0,$G354,0)),"")</f>
        <v/>
      </c>
      <c r="K354" s="60" t="str">
        <f aca="false">IF(IsPro,IF($C354="","",IF(AND(OR($C354="Receipt",$C354="Payment"),$D354=""),"Party needed",IF(AND(OR($C354="Expense",$C354="Other Income"),$E354=""),"Head needed",IF($F354="","Account needed","OK")))),IF($C354="","","PRO PLAN"))</f>
        <v/>
      </c>
    </row>
    <row r="355" customFormat="false" ht="15" hidden="false" customHeight="false" outlineLevel="0" collapsed="false">
      <c r="A355" s="55"/>
      <c r="B355" s="56"/>
      <c r="C355" s="56"/>
      <c r="D355" s="56"/>
      <c r="E355" s="56"/>
      <c r="F355" s="56"/>
      <c r="G355" s="58"/>
      <c r="H355" s="56"/>
      <c r="I355" s="61" t="str">
        <f aca="false">IF(IsPro,IF(OR($C355="",N($G355)=0),"",IF(OR($C355="Receipt",$C355="Other Income",$C355="Capital In",$C355="Transfer In"),$G355,0)),"")</f>
        <v/>
      </c>
      <c r="J355" s="61" t="str">
        <f aca="false">IF(IsPro,IF(OR($C355="",N($G355)=0),"",IF(I355=0,$G355,0)),"")</f>
        <v/>
      </c>
      <c r="K355" s="60" t="str">
        <f aca="false">IF(IsPro,IF($C355="","",IF(AND(OR($C355="Receipt",$C355="Payment"),$D355=""),"Party needed",IF(AND(OR($C355="Expense",$C355="Other Income"),$E355=""),"Head needed",IF($F355="","Account needed","OK")))),IF($C355="","","PRO PLAN"))</f>
        <v/>
      </c>
    </row>
    <row r="356" customFormat="false" ht="15" hidden="false" customHeight="false" outlineLevel="0" collapsed="false">
      <c r="A356" s="55"/>
      <c r="B356" s="56"/>
      <c r="C356" s="56"/>
      <c r="D356" s="56"/>
      <c r="E356" s="56"/>
      <c r="F356" s="56"/>
      <c r="G356" s="58"/>
      <c r="H356" s="56"/>
      <c r="I356" s="61" t="str">
        <f aca="false">IF(IsPro,IF(OR($C356="",N($G356)=0),"",IF(OR($C356="Receipt",$C356="Other Income",$C356="Capital In",$C356="Transfer In"),$G356,0)),"")</f>
        <v/>
      </c>
      <c r="J356" s="61" t="str">
        <f aca="false">IF(IsPro,IF(OR($C356="",N($G356)=0),"",IF(I356=0,$G356,0)),"")</f>
        <v/>
      </c>
      <c r="K356" s="60" t="str">
        <f aca="false">IF(IsPro,IF($C356="","",IF(AND(OR($C356="Receipt",$C356="Payment"),$D356=""),"Party needed",IF(AND(OR($C356="Expense",$C356="Other Income"),$E356=""),"Head needed",IF($F356="","Account needed","OK")))),IF($C356="","","PRO PLAN"))</f>
        <v/>
      </c>
    </row>
    <row r="357" customFormat="false" ht="15" hidden="false" customHeight="false" outlineLevel="0" collapsed="false">
      <c r="A357" s="55"/>
      <c r="B357" s="56"/>
      <c r="C357" s="56"/>
      <c r="D357" s="56"/>
      <c r="E357" s="56"/>
      <c r="F357" s="56"/>
      <c r="G357" s="58"/>
      <c r="H357" s="56"/>
      <c r="I357" s="61" t="str">
        <f aca="false">IF(IsPro,IF(OR($C357="",N($G357)=0),"",IF(OR($C357="Receipt",$C357="Other Income",$C357="Capital In",$C357="Transfer In"),$G357,0)),"")</f>
        <v/>
      </c>
      <c r="J357" s="61" t="str">
        <f aca="false">IF(IsPro,IF(OR($C357="",N($G357)=0),"",IF(I357=0,$G357,0)),"")</f>
        <v/>
      </c>
      <c r="K357" s="60" t="str">
        <f aca="false">IF(IsPro,IF($C357="","",IF(AND(OR($C357="Receipt",$C357="Payment"),$D357=""),"Party needed",IF(AND(OR($C357="Expense",$C357="Other Income"),$E357=""),"Head needed",IF($F357="","Account needed","OK")))),IF($C357="","","PRO PLAN"))</f>
        <v/>
      </c>
    </row>
    <row r="358" customFormat="false" ht="15" hidden="false" customHeight="false" outlineLevel="0" collapsed="false">
      <c r="A358" s="55"/>
      <c r="B358" s="56"/>
      <c r="C358" s="56"/>
      <c r="D358" s="56"/>
      <c r="E358" s="56"/>
      <c r="F358" s="56"/>
      <c r="G358" s="58"/>
      <c r="H358" s="56"/>
      <c r="I358" s="61" t="str">
        <f aca="false">IF(IsPro,IF(OR($C358="",N($G358)=0),"",IF(OR($C358="Receipt",$C358="Other Income",$C358="Capital In",$C358="Transfer In"),$G358,0)),"")</f>
        <v/>
      </c>
      <c r="J358" s="61" t="str">
        <f aca="false">IF(IsPro,IF(OR($C358="",N($G358)=0),"",IF(I358=0,$G358,0)),"")</f>
        <v/>
      </c>
      <c r="K358" s="60" t="str">
        <f aca="false">IF(IsPro,IF($C358="","",IF(AND(OR($C358="Receipt",$C358="Payment"),$D358=""),"Party needed",IF(AND(OR($C358="Expense",$C358="Other Income"),$E358=""),"Head needed",IF($F358="","Account needed","OK")))),IF($C358="","","PRO PLAN"))</f>
        <v/>
      </c>
    </row>
    <row r="359" customFormat="false" ht="15" hidden="false" customHeight="false" outlineLevel="0" collapsed="false">
      <c r="A359" s="55"/>
      <c r="B359" s="56"/>
      <c r="C359" s="56"/>
      <c r="D359" s="56"/>
      <c r="E359" s="56"/>
      <c r="F359" s="56"/>
      <c r="G359" s="58"/>
      <c r="H359" s="56"/>
      <c r="I359" s="61" t="str">
        <f aca="false">IF(IsPro,IF(OR($C359="",N($G359)=0),"",IF(OR($C359="Receipt",$C359="Other Income",$C359="Capital In",$C359="Transfer In"),$G359,0)),"")</f>
        <v/>
      </c>
      <c r="J359" s="61" t="str">
        <f aca="false">IF(IsPro,IF(OR($C359="",N($G359)=0),"",IF(I359=0,$G359,0)),"")</f>
        <v/>
      </c>
      <c r="K359" s="60" t="str">
        <f aca="false">IF(IsPro,IF($C359="","",IF(AND(OR($C359="Receipt",$C359="Payment"),$D359=""),"Party needed",IF(AND(OR($C359="Expense",$C359="Other Income"),$E359=""),"Head needed",IF($F359="","Account needed","OK")))),IF($C359="","","PRO PLAN"))</f>
        <v/>
      </c>
    </row>
    <row r="360" customFormat="false" ht="15" hidden="false" customHeight="false" outlineLevel="0" collapsed="false">
      <c r="A360" s="55"/>
      <c r="B360" s="56"/>
      <c r="C360" s="56"/>
      <c r="D360" s="56"/>
      <c r="E360" s="56"/>
      <c r="F360" s="56"/>
      <c r="G360" s="58"/>
      <c r="H360" s="56"/>
      <c r="I360" s="61" t="str">
        <f aca="false">IF(IsPro,IF(OR($C360="",N($G360)=0),"",IF(OR($C360="Receipt",$C360="Other Income",$C360="Capital In",$C360="Transfer In"),$G360,0)),"")</f>
        <v/>
      </c>
      <c r="J360" s="61" t="str">
        <f aca="false">IF(IsPro,IF(OR($C360="",N($G360)=0),"",IF(I360=0,$G360,0)),"")</f>
        <v/>
      </c>
      <c r="K360" s="60" t="str">
        <f aca="false">IF(IsPro,IF($C360="","",IF(AND(OR($C360="Receipt",$C360="Payment"),$D360=""),"Party needed",IF(AND(OR($C360="Expense",$C360="Other Income"),$E360=""),"Head needed",IF($F360="","Account needed","OK")))),IF($C360="","","PRO PLAN"))</f>
        <v/>
      </c>
    </row>
    <row r="361" customFormat="false" ht="15" hidden="false" customHeight="false" outlineLevel="0" collapsed="false">
      <c r="A361" s="55"/>
      <c r="B361" s="56"/>
      <c r="C361" s="56"/>
      <c r="D361" s="56"/>
      <c r="E361" s="56"/>
      <c r="F361" s="56"/>
      <c r="G361" s="58"/>
      <c r="H361" s="56"/>
      <c r="I361" s="61" t="str">
        <f aca="false">IF(IsPro,IF(OR($C361="",N($G361)=0),"",IF(OR($C361="Receipt",$C361="Other Income",$C361="Capital In",$C361="Transfer In"),$G361,0)),"")</f>
        <v/>
      </c>
      <c r="J361" s="61" t="str">
        <f aca="false">IF(IsPro,IF(OR($C361="",N($G361)=0),"",IF(I361=0,$G361,0)),"")</f>
        <v/>
      </c>
      <c r="K361" s="60" t="str">
        <f aca="false">IF(IsPro,IF($C361="","",IF(AND(OR($C361="Receipt",$C361="Payment"),$D361=""),"Party needed",IF(AND(OR($C361="Expense",$C361="Other Income"),$E361=""),"Head needed",IF($F361="","Account needed","OK")))),IF($C361="","","PRO PLAN"))</f>
        <v/>
      </c>
    </row>
    <row r="362" customFormat="false" ht="15" hidden="false" customHeight="false" outlineLevel="0" collapsed="false">
      <c r="A362" s="55"/>
      <c r="B362" s="56"/>
      <c r="C362" s="56"/>
      <c r="D362" s="56"/>
      <c r="E362" s="56"/>
      <c r="F362" s="56"/>
      <c r="G362" s="58"/>
      <c r="H362" s="56"/>
      <c r="I362" s="61" t="str">
        <f aca="false">IF(IsPro,IF(OR($C362="",N($G362)=0),"",IF(OR($C362="Receipt",$C362="Other Income",$C362="Capital In",$C362="Transfer In"),$G362,0)),"")</f>
        <v/>
      </c>
      <c r="J362" s="61" t="str">
        <f aca="false">IF(IsPro,IF(OR($C362="",N($G362)=0),"",IF(I362=0,$G362,0)),"")</f>
        <v/>
      </c>
      <c r="K362" s="60" t="str">
        <f aca="false">IF(IsPro,IF($C362="","",IF(AND(OR($C362="Receipt",$C362="Payment"),$D362=""),"Party needed",IF(AND(OR($C362="Expense",$C362="Other Income"),$E362=""),"Head needed",IF($F362="","Account needed","OK")))),IF($C362="","","PRO PLAN"))</f>
        <v/>
      </c>
    </row>
    <row r="363" customFormat="false" ht="15" hidden="false" customHeight="false" outlineLevel="0" collapsed="false">
      <c r="A363" s="55"/>
      <c r="B363" s="56"/>
      <c r="C363" s="56"/>
      <c r="D363" s="56"/>
      <c r="E363" s="56"/>
      <c r="F363" s="56"/>
      <c r="G363" s="58"/>
      <c r="H363" s="56"/>
      <c r="I363" s="61" t="str">
        <f aca="false">IF(IsPro,IF(OR($C363="",N($G363)=0),"",IF(OR($C363="Receipt",$C363="Other Income",$C363="Capital In",$C363="Transfer In"),$G363,0)),"")</f>
        <v/>
      </c>
      <c r="J363" s="61" t="str">
        <f aca="false">IF(IsPro,IF(OR($C363="",N($G363)=0),"",IF(I363=0,$G363,0)),"")</f>
        <v/>
      </c>
      <c r="K363" s="60" t="str">
        <f aca="false">IF(IsPro,IF($C363="","",IF(AND(OR($C363="Receipt",$C363="Payment"),$D363=""),"Party needed",IF(AND(OR($C363="Expense",$C363="Other Income"),$E363=""),"Head needed",IF($F363="","Account needed","OK")))),IF($C363="","","PRO PLAN"))</f>
        <v/>
      </c>
    </row>
    <row r="364" customFormat="false" ht="15" hidden="false" customHeight="false" outlineLevel="0" collapsed="false">
      <c r="A364" s="55"/>
      <c r="B364" s="56"/>
      <c r="C364" s="56"/>
      <c r="D364" s="56"/>
      <c r="E364" s="56"/>
      <c r="F364" s="56"/>
      <c r="G364" s="58"/>
      <c r="H364" s="56"/>
      <c r="I364" s="61" t="str">
        <f aca="false">IF(IsPro,IF(OR($C364="",N($G364)=0),"",IF(OR($C364="Receipt",$C364="Other Income",$C364="Capital In",$C364="Transfer In"),$G364,0)),"")</f>
        <v/>
      </c>
      <c r="J364" s="61" t="str">
        <f aca="false">IF(IsPro,IF(OR($C364="",N($G364)=0),"",IF(I364=0,$G364,0)),"")</f>
        <v/>
      </c>
      <c r="K364" s="60" t="str">
        <f aca="false">IF(IsPro,IF($C364="","",IF(AND(OR($C364="Receipt",$C364="Payment"),$D364=""),"Party needed",IF(AND(OR($C364="Expense",$C364="Other Income"),$E364=""),"Head needed",IF($F364="","Account needed","OK")))),IF($C364="","","PRO PLAN"))</f>
        <v/>
      </c>
    </row>
    <row r="365" customFormat="false" ht="15" hidden="false" customHeight="false" outlineLevel="0" collapsed="false">
      <c r="A365" s="55"/>
      <c r="B365" s="56"/>
      <c r="C365" s="56"/>
      <c r="D365" s="56"/>
      <c r="E365" s="56"/>
      <c r="F365" s="56"/>
      <c r="G365" s="58"/>
      <c r="H365" s="56"/>
      <c r="I365" s="61" t="str">
        <f aca="false">IF(IsPro,IF(OR($C365="",N($G365)=0),"",IF(OR($C365="Receipt",$C365="Other Income",$C365="Capital In",$C365="Transfer In"),$G365,0)),"")</f>
        <v/>
      </c>
      <c r="J365" s="61" t="str">
        <f aca="false">IF(IsPro,IF(OR($C365="",N($G365)=0),"",IF(I365=0,$G365,0)),"")</f>
        <v/>
      </c>
      <c r="K365" s="60" t="str">
        <f aca="false">IF(IsPro,IF($C365="","",IF(AND(OR($C365="Receipt",$C365="Payment"),$D365=""),"Party needed",IF(AND(OR($C365="Expense",$C365="Other Income"),$E365=""),"Head needed",IF($F365="","Account needed","OK")))),IF($C365="","","PRO PLAN"))</f>
        <v/>
      </c>
    </row>
    <row r="366" customFormat="false" ht="15" hidden="false" customHeight="false" outlineLevel="0" collapsed="false">
      <c r="A366" s="55"/>
      <c r="B366" s="56"/>
      <c r="C366" s="56"/>
      <c r="D366" s="56"/>
      <c r="E366" s="56"/>
      <c r="F366" s="56"/>
      <c r="G366" s="58"/>
      <c r="H366" s="56"/>
      <c r="I366" s="61" t="str">
        <f aca="false">IF(IsPro,IF(OR($C366="",N($G366)=0),"",IF(OR($C366="Receipt",$C366="Other Income",$C366="Capital In",$C366="Transfer In"),$G366,0)),"")</f>
        <v/>
      </c>
      <c r="J366" s="61" t="str">
        <f aca="false">IF(IsPro,IF(OR($C366="",N($G366)=0),"",IF(I366=0,$G366,0)),"")</f>
        <v/>
      </c>
      <c r="K366" s="60" t="str">
        <f aca="false">IF(IsPro,IF($C366="","",IF(AND(OR($C366="Receipt",$C366="Payment"),$D366=""),"Party needed",IF(AND(OR($C366="Expense",$C366="Other Income"),$E366=""),"Head needed",IF($F366="","Account needed","OK")))),IF($C366="","","PRO PLAN"))</f>
        <v/>
      </c>
    </row>
    <row r="367" customFormat="false" ht="15" hidden="false" customHeight="false" outlineLevel="0" collapsed="false">
      <c r="A367" s="55"/>
      <c r="B367" s="56"/>
      <c r="C367" s="56"/>
      <c r="D367" s="56"/>
      <c r="E367" s="56"/>
      <c r="F367" s="56"/>
      <c r="G367" s="58"/>
      <c r="H367" s="56"/>
      <c r="I367" s="61" t="str">
        <f aca="false">IF(IsPro,IF(OR($C367="",N($G367)=0),"",IF(OR($C367="Receipt",$C367="Other Income",$C367="Capital In",$C367="Transfer In"),$G367,0)),"")</f>
        <v/>
      </c>
      <c r="J367" s="61" t="str">
        <f aca="false">IF(IsPro,IF(OR($C367="",N($G367)=0),"",IF(I367=0,$G367,0)),"")</f>
        <v/>
      </c>
      <c r="K367" s="60" t="str">
        <f aca="false">IF(IsPro,IF($C367="","",IF(AND(OR($C367="Receipt",$C367="Payment"),$D367=""),"Party needed",IF(AND(OR($C367="Expense",$C367="Other Income"),$E367=""),"Head needed",IF($F367="","Account needed","OK")))),IF($C367="","","PRO PLAN"))</f>
        <v/>
      </c>
    </row>
    <row r="368" customFormat="false" ht="15" hidden="false" customHeight="false" outlineLevel="0" collapsed="false">
      <c r="A368" s="55"/>
      <c r="B368" s="56"/>
      <c r="C368" s="56"/>
      <c r="D368" s="56"/>
      <c r="E368" s="56"/>
      <c r="F368" s="56"/>
      <c r="G368" s="58"/>
      <c r="H368" s="56"/>
      <c r="I368" s="61" t="str">
        <f aca="false">IF(IsPro,IF(OR($C368="",N($G368)=0),"",IF(OR($C368="Receipt",$C368="Other Income",$C368="Capital In",$C368="Transfer In"),$G368,0)),"")</f>
        <v/>
      </c>
      <c r="J368" s="61" t="str">
        <f aca="false">IF(IsPro,IF(OR($C368="",N($G368)=0),"",IF(I368=0,$G368,0)),"")</f>
        <v/>
      </c>
      <c r="K368" s="60" t="str">
        <f aca="false">IF(IsPro,IF($C368="","",IF(AND(OR($C368="Receipt",$C368="Payment"),$D368=""),"Party needed",IF(AND(OR($C368="Expense",$C368="Other Income"),$E368=""),"Head needed",IF($F368="","Account needed","OK")))),IF($C368="","","PRO PLAN"))</f>
        <v/>
      </c>
    </row>
    <row r="369" customFormat="false" ht="15" hidden="false" customHeight="false" outlineLevel="0" collapsed="false">
      <c r="A369" s="55"/>
      <c r="B369" s="56"/>
      <c r="C369" s="56"/>
      <c r="D369" s="56"/>
      <c r="E369" s="56"/>
      <c r="F369" s="56"/>
      <c r="G369" s="58"/>
      <c r="H369" s="56"/>
      <c r="I369" s="61" t="str">
        <f aca="false">IF(IsPro,IF(OR($C369="",N($G369)=0),"",IF(OR($C369="Receipt",$C369="Other Income",$C369="Capital In",$C369="Transfer In"),$G369,0)),"")</f>
        <v/>
      </c>
      <c r="J369" s="61" t="str">
        <f aca="false">IF(IsPro,IF(OR($C369="",N($G369)=0),"",IF(I369=0,$G369,0)),"")</f>
        <v/>
      </c>
      <c r="K369" s="60" t="str">
        <f aca="false">IF(IsPro,IF($C369="","",IF(AND(OR($C369="Receipt",$C369="Payment"),$D369=""),"Party needed",IF(AND(OR($C369="Expense",$C369="Other Income"),$E369=""),"Head needed",IF($F369="","Account needed","OK")))),IF($C369="","","PRO PLAN"))</f>
        <v/>
      </c>
    </row>
    <row r="370" customFormat="false" ht="15" hidden="false" customHeight="false" outlineLevel="0" collapsed="false">
      <c r="A370" s="55"/>
      <c r="B370" s="56"/>
      <c r="C370" s="56"/>
      <c r="D370" s="56"/>
      <c r="E370" s="56"/>
      <c r="F370" s="56"/>
      <c r="G370" s="58"/>
      <c r="H370" s="56"/>
      <c r="I370" s="61" t="str">
        <f aca="false">IF(IsPro,IF(OR($C370="",N($G370)=0),"",IF(OR($C370="Receipt",$C370="Other Income",$C370="Capital In",$C370="Transfer In"),$G370,0)),"")</f>
        <v/>
      </c>
      <c r="J370" s="61" t="str">
        <f aca="false">IF(IsPro,IF(OR($C370="",N($G370)=0),"",IF(I370=0,$G370,0)),"")</f>
        <v/>
      </c>
      <c r="K370" s="60" t="str">
        <f aca="false">IF(IsPro,IF($C370="","",IF(AND(OR($C370="Receipt",$C370="Payment"),$D370=""),"Party needed",IF(AND(OR($C370="Expense",$C370="Other Income"),$E370=""),"Head needed",IF($F370="","Account needed","OK")))),IF($C370="","","PRO PLAN"))</f>
        <v/>
      </c>
    </row>
    <row r="371" customFormat="false" ht="15" hidden="false" customHeight="false" outlineLevel="0" collapsed="false">
      <c r="A371" s="55"/>
      <c r="B371" s="56"/>
      <c r="C371" s="56"/>
      <c r="D371" s="56"/>
      <c r="E371" s="56"/>
      <c r="F371" s="56"/>
      <c r="G371" s="58"/>
      <c r="H371" s="56"/>
      <c r="I371" s="61" t="str">
        <f aca="false">IF(IsPro,IF(OR($C371="",N($G371)=0),"",IF(OR($C371="Receipt",$C371="Other Income",$C371="Capital In",$C371="Transfer In"),$G371,0)),"")</f>
        <v/>
      </c>
      <c r="J371" s="61" t="str">
        <f aca="false">IF(IsPro,IF(OR($C371="",N($G371)=0),"",IF(I371=0,$G371,0)),"")</f>
        <v/>
      </c>
      <c r="K371" s="60" t="str">
        <f aca="false">IF(IsPro,IF($C371="","",IF(AND(OR($C371="Receipt",$C371="Payment"),$D371=""),"Party needed",IF(AND(OR($C371="Expense",$C371="Other Income"),$E371=""),"Head needed",IF($F371="","Account needed","OK")))),IF($C371="","","PRO PLAN"))</f>
        <v/>
      </c>
    </row>
    <row r="372" customFormat="false" ht="15" hidden="false" customHeight="false" outlineLevel="0" collapsed="false">
      <c r="A372" s="55"/>
      <c r="B372" s="56"/>
      <c r="C372" s="56"/>
      <c r="D372" s="56"/>
      <c r="E372" s="56"/>
      <c r="F372" s="56"/>
      <c r="G372" s="58"/>
      <c r="H372" s="56"/>
      <c r="I372" s="61" t="str">
        <f aca="false">IF(IsPro,IF(OR($C372="",N($G372)=0),"",IF(OR($C372="Receipt",$C372="Other Income",$C372="Capital In",$C372="Transfer In"),$G372,0)),"")</f>
        <v/>
      </c>
      <c r="J372" s="61" t="str">
        <f aca="false">IF(IsPro,IF(OR($C372="",N($G372)=0),"",IF(I372=0,$G372,0)),"")</f>
        <v/>
      </c>
      <c r="K372" s="60" t="str">
        <f aca="false">IF(IsPro,IF($C372="","",IF(AND(OR($C372="Receipt",$C372="Payment"),$D372=""),"Party needed",IF(AND(OR($C372="Expense",$C372="Other Income"),$E372=""),"Head needed",IF($F372="","Account needed","OK")))),IF($C372="","","PRO PLAN"))</f>
        <v/>
      </c>
    </row>
    <row r="373" customFormat="false" ht="15" hidden="false" customHeight="false" outlineLevel="0" collapsed="false">
      <c r="A373" s="55"/>
      <c r="B373" s="56"/>
      <c r="C373" s="56"/>
      <c r="D373" s="56"/>
      <c r="E373" s="56"/>
      <c r="F373" s="56"/>
      <c r="G373" s="58"/>
      <c r="H373" s="56"/>
      <c r="I373" s="61" t="str">
        <f aca="false">IF(IsPro,IF(OR($C373="",N($G373)=0),"",IF(OR($C373="Receipt",$C373="Other Income",$C373="Capital In",$C373="Transfer In"),$G373,0)),"")</f>
        <v/>
      </c>
      <c r="J373" s="61" t="str">
        <f aca="false">IF(IsPro,IF(OR($C373="",N($G373)=0),"",IF(I373=0,$G373,0)),"")</f>
        <v/>
      </c>
      <c r="K373" s="60" t="str">
        <f aca="false">IF(IsPro,IF($C373="","",IF(AND(OR($C373="Receipt",$C373="Payment"),$D373=""),"Party needed",IF(AND(OR($C373="Expense",$C373="Other Income"),$E373=""),"Head needed",IF($F373="","Account needed","OK")))),IF($C373="","","PRO PLAN"))</f>
        <v/>
      </c>
    </row>
    <row r="374" customFormat="false" ht="15" hidden="false" customHeight="false" outlineLevel="0" collapsed="false">
      <c r="A374" s="55"/>
      <c r="B374" s="56"/>
      <c r="C374" s="56"/>
      <c r="D374" s="56"/>
      <c r="E374" s="56"/>
      <c r="F374" s="56"/>
      <c r="G374" s="58"/>
      <c r="H374" s="56"/>
      <c r="I374" s="61" t="str">
        <f aca="false">IF(IsPro,IF(OR($C374="",N($G374)=0),"",IF(OR($C374="Receipt",$C374="Other Income",$C374="Capital In",$C374="Transfer In"),$G374,0)),"")</f>
        <v/>
      </c>
      <c r="J374" s="61" t="str">
        <f aca="false">IF(IsPro,IF(OR($C374="",N($G374)=0),"",IF(I374=0,$G374,0)),"")</f>
        <v/>
      </c>
      <c r="K374" s="60" t="str">
        <f aca="false">IF(IsPro,IF($C374="","",IF(AND(OR($C374="Receipt",$C374="Payment"),$D374=""),"Party needed",IF(AND(OR($C374="Expense",$C374="Other Income"),$E374=""),"Head needed",IF($F374="","Account needed","OK")))),IF($C374="","","PRO PLAN"))</f>
        <v/>
      </c>
    </row>
    <row r="375" customFormat="false" ht="15" hidden="false" customHeight="false" outlineLevel="0" collapsed="false">
      <c r="A375" s="55"/>
      <c r="B375" s="56"/>
      <c r="C375" s="56"/>
      <c r="D375" s="56"/>
      <c r="E375" s="56"/>
      <c r="F375" s="56"/>
      <c r="G375" s="58"/>
      <c r="H375" s="56"/>
      <c r="I375" s="61" t="str">
        <f aca="false">IF(IsPro,IF(OR($C375="",N($G375)=0),"",IF(OR($C375="Receipt",$C375="Other Income",$C375="Capital In",$C375="Transfer In"),$G375,0)),"")</f>
        <v/>
      </c>
      <c r="J375" s="61" t="str">
        <f aca="false">IF(IsPro,IF(OR($C375="",N($G375)=0),"",IF(I375=0,$G375,0)),"")</f>
        <v/>
      </c>
      <c r="K375" s="60" t="str">
        <f aca="false">IF(IsPro,IF($C375="","",IF(AND(OR($C375="Receipt",$C375="Payment"),$D375=""),"Party needed",IF(AND(OR($C375="Expense",$C375="Other Income"),$E375=""),"Head needed",IF($F375="","Account needed","OK")))),IF($C375="","","PRO PLAN"))</f>
        <v/>
      </c>
    </row>
    <row r="376" customFormat="false" ht="15" hidden="false" customHeight="false" outlineLevel="0" collapsed="false">
      <c r="A376" s="55"/>
      <c r="B376" s="56"/>
      <c r="C376" s="56"/>
      <c r="D376" s="56"/>
      <c r="E376" s="56"/>
      <c r="F376" s="56"/>
      <c r="G376" s="58"/>
      <c r="H376" s="56"/>
      <c r="I376" s="61" t="str">
        <f aca="false">IF(IsPro,IF(OR($C376="",N($G376)=0),"",IF(OR($C376="Receipt",$C376="Other Income",$C376="Capital In",$C376="Transfer In"),$G376,0)),"")</f>
        <v/>
      </c>
      <c r="J376" s="61" t="str">
        <f aca="false">IF(IsPro,IF(OR($C376="",N($G376)=0),"",IF(I376=0,$G376,0)),"")</f>
        <v/>
      </c>
      <c r="K376" s="60" t="str">
        <f aca="false">IF(IsPro,IF($C376="","",IF(AND(OR($C376="Receipt",$C376="Payment"),$D376=""),"Party needed",IF(AND(OR($C376="Expense",$C376="Other Income"),$E376=""),"Head needed",IF($F376="","Account needed","OK")))),IF($C376="","","PRO PLAN"))</f>
        <v/>
      </c>
    </row>
    <row r="377" customFormat="false" ht="15" hidden="false" customHeight="false" outlineLevel="0" collapsed="false">
      <c r="A377" s="55"/>
      <c r="B377" s="56"/>
      <c r="C377" s="56"/>
      <c r="D377" s="56"/>
      <c r="E377" s="56"/>
      <c r="F377" s="56"/>
      <c r="G377" s="58"/>
      <c r="H377" s="56"/>
      <c r="I377" s="61" t="str">
        <f aca="false">IF(IsPro,IF(OR($C377="",N($G377)=0),"",IF(OR($C377="Receipt",$C377="Other Income",$C377="Capital In",$C377="Transfer In"),$G377,0)),"")</f>
        <v/>
      </c>
      <c r="J377" s="61" t="str">
        <f aca="false">IF(IsPro,IF(OR($C377="",N($G377)=0),"",IF(I377=0,$G377,0)),"")</f>
        <v/>
      </c>
      <c r="K377" s="60" t="str">
        <f aca="false">IF(IsPro,IF($C377="","",IF(AND(OR($C377="Receipt",$C377="Payment"),$D377=""),"Party needed",IF(AND(OR($C377="Expense",$C377="Other Income"),$E377=""),"Head needed",IF($F377="","Account needed","OK")))),IF($C377="","","PRO PLAN"))</f>
        <v/>
      </c>
    </row>
    <row r="378" customFormat="false" ht="15" hidden="false" customHeight="false" outlineLevel="0" collapsed="false">
      <c r="A378" s="55"/>
      <c r="B378" s="56"/>
      <c r="C378" s="56"/>
      <c r="D378" s="56"/>
      <c r="E378" s="56"/>
      <c r="F378" s="56"/>
      <c r="G378" s="58"/>
      <c r="H378" s="56"/>
      <c r="I378" s="61" t="str">
        <f aca="false">IF(IsPro,IF(OR($C378="",N($G378)=0),"",IF(OR($C378="Receipt",$C378="Other Income",$C378="Capital In",$C378="Transfer In"),$G378,0)),"")</f>
        <v/>
      </c>
      <c r="J378" s="61" t="str">
        <f aca="false">IF(IsPro,IF(OR($C378="",N($G378)=0),"",IF(I378=0,$G378,0)),"")</f>
        <v/>
      </c>
      <c r="K378" s="60" t="str">
        <f aca="false">IF(IsPro,IF($C378="","",IF(AND(OR($C378="Receipt",$C378="Payment"),$D378=""),"Party needed",IF(AND(OR($C378="Expense",$C378="Other Income"),$E378=""),"Head needed",IF($F378="","Account needed","OK")))),IF($C378="","","PRO PLAN"))</f>
        <v/>
      </c>
    </row>
    <row r="379" customFormat="false" ht="15" hidden="false" customHeight="false" outlineLevel="0" collapsed="false">
      <c r="A379" s="55"/>
      <c r="B379" s="56"/>
      <c r="C379" s="56"/>
      <c r="D379" s="56"/>
      <c r="E379" s="56"/>
      <c r="F379" s="56"/>
      <c r="G379" s="58"/>
      <c r="H379" s="56"/>
      <c r="I379" s="61" t="str">
        <f aca="false">IF(IsPro,IF(OR($C379="",N($G379)=0),"",IF(OR($C379="Receipt",$C379="Other Income",$C379="Capital In",$C379="Transfer In"),$G379,0)),"")</f>
        <v/>
      </c>
      <c r="J379" s="61" t="str">
        <f aca="false">IF(IsPro,IF(OR($C379="",N($G379)=0),"",IF(I379=0,$G379,0)),"")</f>
        <v/>
      </c>
      <c r="K379" s="60" t="str">
        <f aca="false">IF(IsPro,IF($C379="","",IF(AND(OR($C379="Receipt",$C379="Payment"),$D379=""),"Party needed",IF(AND(OR($C379="Expense",$C379="Other Income"),$E379=""),"Head needed",IF($F379="","Account needed","OK")))),IF($C379="","","PRO PLAN"))</f>
        <v/>
      </c>
    </row>
    <row r="380" customFormat="false" ht="15" hidden="false" customHeight="false" outlineLevel="0" collapsed="false">
      <c r="A380" s="55"/>
      <c r="B380" s="56"/>
      <c r="C380" s="56"/>
      <c r="D380" s="56"/>
      <c r="E380" s="56"/>
      <c r="F380" s="56"/>
      <c r="G380" s="58"/>
      <c r="H380" s="56"/>
      <c r="I380" s="61" t="str">
        <f aca="false">IF(IsPro,IF(OR($C380="",N($G380)=0),"",IF(OR($C380="Receipt",$C380="Other Income",$C380="Capital In",$C380="Transfer In"),$G380,0)),"")</f>
        <v/>
      </c>
      <c r="J380" s="61" t="str">
        <f aca="false">IF(IsPro,IF(OR($C380="",N($G380)=0),"",IF(I380=0,$G380,0)),"")</f>
        <v/>
      </c>
      <c r="K380" s="60" t="str">
        <f aca="false">IF(IsPro,IF($C380="","",IF(AND(OR($C380="Receipt",$C380="Payment"),$D380=""),"Party needed",IF(AND(OR($C380="Expense",$C380="Other Income"),$E380=""),"Head needed",IF($F380="","Account needed","OK")))),IF($C380="","","PRO PLAN"))</f>
        <v/>
      </c>
    </row>
    <row r="381" customFormat="false" ht="15" hidden="false" customHeight="false" outlineLevel="0" collapsed="false">
      <c r="A381" s="55"/>
      <c r="B381" s="56"/>
      <c r="C381" s="56"/>
      <c r="D381" s="56"/>
      <c r="E381" s="56"/>
      <c r="F381" s="56"/>
      <c r="G381" s="58"/>
      <c r="H381" s="56"/>
      <c r="I381" s="61" t="str">
        <f aca="false">IF(IsPro,IF(OR($C381="",N($G381)=0),"",IF(OR($C381="Receipt",$C381="Other Income",$C381="Capital In",$C381="Transfer In"),$G381,0)),"")</f>
        <v/>
      </c>
      <c r="J381" s="61" t="str">
        <f aca="false">IF(IsPro,IF(OR($C381="",N($G381)=0),"",IF(I381=0,$G381,0)),"")</f>
        <v/>
      </c>
      <c r="K381" s="60" t="str">
        <f aca="false">IF(IsPro,IF($C381="","",IF(AND(OR($C381="Receipt",$C381="Payment"),$D381=""),"Party needed",IF(AND(OR($C381="Expense",$C381="Other Income"),$E381=""),"Head needed",IF($F381="","Account needed","OK")))),IF($C381="","","PRO PLAN"))</f>
        <v/>
      </c>
    </row>
    <row r="382" customFormat="false" ht="15" hidden="false" customHeight="false" outlineLevel="0" collapsed="false">
      <c r="A382" s="55"/>
      <c r="B382" s="56"/>
      <c r="C382" s="56"/>
      <c r="D382" s="56"/>
      <c r="E382" s="56"/>
      <c r="F382" s="56"/>
      <c r="G382" s="58"/>
      <c r="H382" s="56"/>
      <c r="I382" s="61" t="str">
        <f aca="false">IF(IsPro,IF(OR($C382="",N($G382)=0),"",IF(OR($C382="Receipt",$C382="Other Income",$C382="Capital In",$C382="Transfer In"),$G382,0)),"")</f>
        <v/>
      </c>
      <c r="J382" s="61" t="str">
        <f aca="false">IF(IsPro,IF(OR($C382="",N($G382)=0),"",IF(I382=0,$G382,0)),"")</f>
        <v/>
      </c>
      <c r="K382" s="60" t="str">
        <f aca="false">IF(IsPro,IF($C382="","",IF(AND(OR($C382="Receipt",$C382="Payment"),$D382=""),"Party needed",IF(AND(OR($C382="Expense",$C382="Other Income"),$E382=""),"Head needed",IF($F382="","Account needed","OK")))),IF($C382="","","PRO PLAN"))</f>
        <v/>
      </c>
    </row>
    <row r="383" customFormat="false" ht="15" hidden="false" customHeight="false" outlineLevel="0" collapsed="false">
      <c r="A383" s="55"/>
      <c r="B383" s="56"/>
      <c r="C383" s="56"/>
      <c r="D383" s="56"/>
      <c r="E383" s="56"/>
      <c r="F383" s="56"/>
      <c r="G383" s="58"/>
      <c r="H383" s="56"/>
      <c r="I383" s="61" t="str">
        <f aca="false">IF(IsPro,IF(OR($C383="",N($G383)=0),"",IF(OR($C383="Receipt",$C383="Other Income",$C383="Capital In",$C383="Transfer In"),$G383,0)),"")</f>
        <v/>
      </c>
      <c r="J383" s="61" t="str">
        <f aca="false">IF(IsPro,IF(OR($C383="",N($G383)=0),"",IF(I383=0,$G383,0)),"")</f>
        <v/>
      </c>
      <c r="K383" s="60" t="str">
        <f aca="false">IF(IsPro,IF($C383="","",IF(AND(OR($C383="Receipt",$C383="Payment"),$D383=""),"Party needed",IF(AND(OR($C383="Expense",$C383="Other Income"),$E383=""),"Head needed",IF($F383="","Account needed","OK")))),IF($C383="","","PRO PLAN"))</f>
        <v/>
      </c>
    </row>
    <row r="384" customFormat="false" ht="15" hidden="false" customHeight="false" outlineLevel="0" collapsed="false">
      <c r="A384" s="55"/>
      <c r="B384" s="56"/>
      <c r="C384" s="56"/>
      <c r="D384" s="56"/>
      <c r="E384" s="56"/>
      <c r="F384" s="56"/>
      <c r="G384" s="58"/>
      <c r="H384" s="56"/>
      <c r="I384" s="61" t="str">
        <f aca="false">IF(IsPro,IF(OR($C384="",N($G384)=0),"",IF(OR($C384="Receipt",$C384="Other Income",$C384="Capital In",$C384="Transfer In"),$G384,0)),"")</f>
        <v/>
      </c>
      <c r="J384" s="61" t="str">
        <f aca="false">IF(IsPro,IF(OR($C384="",N($G384)=0),"",IF(I384=0,$G384,0)),"")</f>
        <v/>
      </c>
      <c r="K384" s="60" t="str">
        <f aca="false">IF(IsPro,IF($C384="","",IF(AND(OR($C384="Receipt",$C384="Payment"),$D384=""),"Party needed",IF(AND(OR($C384="Expense",$C384="Other Income"),$E384=""),"Head needed",IF($F384="","Account needed","OK")))),IF($C384="","","PRO PLAN"))</f>
        <v/>
      </c>
    </row>
    <row r="385" customFormat="false" ht="15" hidden="false" customHeight="false" outlineLevel="0" collapsed="false">
      <c r="A385" s="55"/>
      <c r="B385" s="56"/>
      <c r="C385" s="56"/>
      <c r="D385" s="56"/>
      <c r="E385" s="56"/>
      <c r="F385" s="56"/>
      <c r="G385" s="58"/>
      <c r="H385" s="56"/>
      <c r="I385" s="61" t="str">
        <f aca="false">IF(IsPro,IF(OR($C385="",N($G385)=0),"",IF(OR($C385="Receipt",$C385="Other Income",$C385="Capital In",$C385="Transfer In"),$G385,0)),"")</f>
        <v/>
      </c>
      <c r="J385" s="61" t="str">
        <f aca="false">IF(IsPro,IF(OR($C385="",N($G385)=0),"",IF(I385=0,$G385,0)),"")</f>
        <v/>
      </c>
      <c r="K385" s="60" t="str">
        <f aca="false">IF(IsPro,IF($C385="","",IF(AND(OR($C385="Receipt",$C385="Payment"),$D385=""),"Party needed",IF(AND(OR($C385="Expense",$C385="Other Income"),$E385=""),"Head needed",IF($F385="","Account needed","OK")))),IF($C385="","","PRO PLAN"))</f>
        <v/>
      </c>
    </row>
    <row r="386" customFormat="false" ht="15" hidden="false" customHeight="false" outlineLevel="0" collapsed="false">
      <c r="A386" s="55"/>
      <c r="B386" s="56"/>
      <c r="C386" s="56"/>
      <c r="D386" s="56"/>
      <c r="E386" s="56"/>
      <c r="F386" s="56"/>
      <c r="G386" s="58"/>
      <c r="H386" s="56"/>
      <c r="I386" s="61" t="str">
        <f aca="false">IF(IsPro,IF(OR($C386="",N($G386)=0),"",IF(OR($C386="Receipt",$C386="Other Income",$C386="Capital In",$C386="Transfer In"),$G386,0)),"")</f>
        <v/>
      </c>
      <c r="J386" s="61" t="str">
        <f aca="false">IF(IsPro,IF(OR($C386="",N($G386)=0),"",IF(I386=0,$G386,0)),"")</f>
        <v/>
      </c>
      <c r="K386" s="60" t="str">
        <f aca="false">IF(IsPro,IF($C386="","",IF(AND(OR($C386="Receipt",$C386="Payment"),$D386=""),"Party needed",IF(AND(OR($C386="Expense",$C386="Other Income"),$E386=""),"Head needed",IF($F386="","Account needed","OK")))),IF($C386="","","PRO PLAN"))</f>
        <v/>
      </c>
    </row>
    <row r="387" customFormat="false" ht="15" hidden="false" customHeight="false" outlineLevel="0" collapsed="false">
      <c r="A387" s="55"/>
      <c r="B387" s="56"/>
      <c r="C387" s="56"/>
      <c r="D387" s="56"/>
      <c r="E387" s="56"/>
      <c r="F387" s="56"/>
      <c r="G387" s="58"/>
      <c r="H387" s="56"/>
      <c r="I387" s="61" t="str">
        <f aca="false">IF(IsPro,IF(OR($C387="",N($G387)=0),"",IF(OR($C387="Receipt",$C387="Other Income",$C387="Capital In",$C387="Transfer In"),$G387,0)),"")</f>
        <v/>
      </c>
      <c r="J387" s="61" t="str">
        <f aca="false">IF(IsPro,IF(OR($C387="",N($G387)=0),"",IF(I387=0,$G387,0)),"")</f>
        <v/>
      </c>
      <c r="K387" s="60" t="str">
        <f aca="false">IF(IsPro,IF($C387="","",IF(AND(OR($C387="Receipt",$C387="Payment"),$D387=""),"Party needed",IF(AND(OR($C387="Expense",$C387="Other Income"),$E387=""),"Head needed",IF($F387="","Account needed","OK")))),IF($C387="","","PRO PLAN"))</f>
        <v/>
      </c>
    </row>
    <row r="388" customFormat="false" ht="15" hidden="false" customHeight="false" outlineLevel="0" collapsed="false">
      <c r="A388" s="55"/>
      <c r="B388" s="56"/>
      <c r="C388" s="56"/>
      <c r="D388" s="56"/>
      <c r="E388" s="56"/>
      <c r="F388" s="56"/>
      <c r="G388" s="58"/>
      <c r="H388" s="56"/>
      <c r="I388" s="61" t="str">
        <f aca="false">IF(IsPro,IF(OR($C388="",N($G388)=0),"",IF(OR($C388="Receipt",$C388="Other Income",$C388="Capital In",$C388="Transfer In"),$G388,0)),"")</f>
        <v/>
      </c>
      <c r="J388" s="61" t="str">
        <f aca="false">IF(IsPro,IF(OR($C388="",N($G388)=0),"",IF(I388=0,$G388,0)),"")</f>
        <v/>
      </c>
      <c r="K388" s="60" t="str">
        <f aca="false">IF(IsPro,IF($C388="","",IF(AND(OR($C388="Receipt",$C388="Payment"),$D388=""),"Party needed",IF(AND(OR($C388="Expense",$C388="Other Income"),$E388=""),"Head needed",IF($F388="","Account needed","OK")))),IF($C388="","","PRO PLAN"))</f>
        <v/>
      </c>
    </row>
    <row r="389" customFormat="false" ht="15" hidden="false" customHeight="false" outlineLevel="0" collapsed="false">
      <c r="A389" s="55"/>
      <c r="B389" s="56"/>
      <c r="C389" s="56"/>
      <c r="D389" s="56"/>
      <c r="E389" s="56"/>
      <c r="F389" s="56"/>
      <c r="G389" s="58"/>
      <c r="H389" s="56"/>
      <c r="I389" s="61" t="str">
        <f aca="false">IF(IsPro,IF(OR($C389="",N($G389)=0),"",IF(OR($C389="Receipt",$C389="Other Income",$C389="Capital In",$C389="Transfer In"),$G389,0)),"")</f>
        <v/>
      </c>
      <c r="J389" s="61" t="str">
        <f aca="false">IF(IsPro,IF(OR($C389="",N($G389)=0),"",IF(I389=0,$G389,0)),"")</f>
        <v/>
      </c>
      <c r="K389" s="60" t="str">
        <f aca="false">IF(IsPro,IF($C389="","",IF(AND(OR($C389="Receipt",$C389="Payment"),$D389=""),"Party needed",IF(AND(OR($C389="Expense",$C389="Other Income"),$E389=""),"Head needed",IF($F389="","Account needed","OK")))),IF($C389="","","PRO PLAN"))</f>
        <v/>
      </c>
    </row>
    <row r="390" customFormat="false" ht="15" hidden="false" customHeight="false" outlineLevel="0" collapsed="false">
      <c r="A390" s="55"/>
      <c r="B390" s="56"/>
      <c r="C390" s="56"/>
      <c r="D390" s="56"/>
      <c r="E390" s="56"/>
      <c r="F390" s="56"/>
      <c r="G390" s="58"/>
      <c r="H390" s="56"/>
      <c r="I390" s="61" t="str">
        <f aca="false">IF(IsPro,IF(OR($C390="",N($G390)=0),"",IF(OR($C390="Receipt",$C390="Other Income",$C390="Capital In",$C390="Transfer In"),$G390,0)),"")</f>
        <v/>
      </c>
      <c r="J390" s="61" t="str">
        <f aca="false">IF(IsPro,IF(OR($C390="",N($G390)=0),"",IF(I390=0,$G390,0)),"")</f>
        <v/>
      </c>
      <c r="K390" s="60" t="str">
        <f aca="false">IF(IsPro,IF($C390="","",IF(AND(OR($C390="Receipt",$C390="Payment"),$D390=""),"Party needed",IF(AND(OR($C390="Expense",$C390="Other Income"),$E390=""),"Head needed",IF($F390="","Account needed","OK")))),IF($C390="","","PRO PLAN"))</f>
        <v/>
      </c>
    </row>
    <row r="391" customFormat="false" ht="15" hidden="false" customHeight="false" outlineLevel="0" collapsed="false">
      <c r="A391" s="55"/>
      <c r="B391" s="56"/>
      <c r="C391" s="56"/>
      <c r="D391" s="56"/>
      <c r="E391" s="56"/>
      <c r="F391" s="56"/>
      <c r="G391" s="58"/>
      <c r="H391" s="56"/>
      <c r="I391" s="61" t="str">
        <f aca="false">IF(IsPro,IF(OR($C391="",N($G391)=0),"",IF(OR($C391="Receipt",$C391="Other Income",$C391="Capital In",$C391="Transfer In"),$G391,0)),"")</f>
        <v/>
      </c>
      <c r="J391" s="61" t="str">
        <f aca="false">IF(IsPro,IF(OR($C391="",N($G391)=0),"",IF(I391=0,$G391,0)),"")</f>
        <v/>
      </c>
      <c r="K391" s="60" t="str">
        <f aca="false">IF(IsPro,IF($C391="","",IF(AND(OR($C391="Receipt",$C391="Payment"),$D391=""),"Party needed",IF(AND(OR($C391="Expense",$C391="Other Income"),$E391=""),"Head needed",IF($F391="","Account needed","OK")))),IF($C391="","","PRO PLAN"))</f>
        <v/>
      </c>
    </row>
    <row r="392" customFormat="false" ht="15" hidden="false" customHeight="false" outlineLevel="0" collapsed="false">
      <c r="A392" s="55"/>
      <c r="B392" s="56"/>
      <c r="C392" s="56"/>
      <c r="D392" s="56"/>
      <c r="E392" s="56"/>
      <c r="F392" s="56"/>
      <c r="G392" s="58"/>
      <c r="H392" s="56"/>
      <c r="I392" s="61" t="str">
        <f aca="false">IF(IsPro,IF(OR($C392="",N($G392)=0),"",IF(OR($C392="Receipt",$C392="Other Income",$C392="Capital In",$C392="Transfer In"),$G392,0)),"")</f>
        <v/>
      </c>
      <c r="J392" s="61" t="str">
        <f aca="false">IF(IsPro,IF(OR($C392="",N($G392)=0),"",IF(I392=0,$G392,0)),"")</f>
        <v/>
      </c>
      <c r="K392" s="60" t="str">
        <f aca="false">IF(IsPro,IF($C392="","",IF(AND(OR($C392="Receipt",$C392="Payment"),$D392=""),"Party needed",IF(AND(OR($C392="Expense",$C392="Other Income"),$E392=""),"Head needed",IF($F392="","Account needed","OK")))),IF($C392="","","PRO PLAN"))</f>
        <v/>
      </c>
    </row>
    <row r="393" customFormat="false" ht="15" hidden="false" customHeight="false" outlineLevel="0" collapsed="false">
      <c r="A393" s="55"/>
      <c r="B393" s="56"/>
      <c r="C393" s="56"/>
      <c r="D393" s="56"/>
      <c r="E393" s="56"/>
      <c r="F393" s="56"/>
      <c r="G393" s="58"/>
      <c r="H393" s="56"/>
      <c r="I393" s="61" t="str">
        <f aca="false">IF(IsPro,IF(OR($C393="",N($G393)=0),"",IF(OR($C393="Receipt",$C393="Other Income",$C393="Capital In",$C393="Transfer In"),$G393,0)),"")</f>
        <v/>
      </c>
      <c r="J393" s="61" t="str">
        <f aca="false">IF(IsPro,IF(OR($C393="",N($G393)=0),"",IF(I393=0,$G393,0)),"")</f>
        <v/>
      </c>
      <c r="K393" s="60" t="str">
        <f aca="false">IF(IsPro,IF($C393="","",IF(AND(OR($C393="Receipt",$C393="Payment"),$D393=""),"Party needed",IF(AND(OR($C393="Expense",$C393="Other Income"),$E393=""),"Head needed",IF($F393="","Account needed","OK")))),IF($C393="","","PRO PLAN"))</f>
        <v/>
      </c>
    </row>
    <row r="394" customFormat="false" ht="15" hidden="false" customHeight="false" outlineLevel="0" collapsed="false">
      <c r="A394" s="55"/>
      <c r="B394" s="56"/>
      <c r="C394" s="56"/>
      <c r="D394" s="56"/>
      <c r="E394" s="56"/>
      <c r="F394" s="56"/>
      <c r="G394" s="58"/>
      <c r="H394" s="56"/>
      <c r="I394" s="61" t="str">
        <f aca="false">IF(IsPro,IF(OR($C394="",N($G394)=0),"",IF(OR($C394="Receipt",$C394="Other Income",$C394="Capital In",$C394="Transfer In"),$G394,0)),"")</f>
        <v/>
      </c>
      <c r="J394" s="61" t="str">
        <f aca="false">IF(IsPro,IF(OR($C394="",N($G394)=0),"",IF(I394=0,$G394,0)),"")</f>
        <v/>
      </c>
      <c r="K394" s="60" t="str">
        <f aca="false">IF(IsPro,IF($C394="","",IF(AND(OR($C394="Receipt",$C394="Payment"),$D394=""),"Party needed",IF(AND(OR($C394="Expense",$C394="Other Income"),$E394=""),"Head needed",IF($F394="","Account needed","OK")))),IF($C394="","","PRO PLAN"))</f>
        <v/>
      </c>
    </row>
    <row r="395" customFormat="false" ht="15" hidden="false" customHeight="false" outlineLevel="0" collapsed="false">
      <c r="A395" s="55"/>
      <c r="B395" s="56"/>
      <c r="C395" s="56"/>
      <c r="D395" s="56"/>
      <c r="E395" s="56"/>
      <c r="F395" s="56"/>
      <c r="G395" s="58"/>
      <c r="H395" s="56"/>
      <c r="I395" s="61" t="str">
        <f aca="false">IF(IsPro,IF(OR($C395="",N($G395)=0),"",IF(OR($C395="Receipt",$C395="Other Income",$C395="Capital In",$C395="Transfer In"),$G395,0)),"")</f>
        <v/>
      </c>
      <c r="J395" s="61" t="str">
        <f aca="false">IF(IsPro,IF(OR($C395="",N($G395)=0),"",IF(I395=0,$G395,0)),"")</f>
        <v/>
      </c>
      <c r="K395" s="60" t="str">
        <f aca="false">IF(IsPro,IF($C395="","",IF(AND(OR($C395="Receipt",$C395="Payment"),$D395=""),"Party needed",IF(AND(OR($C395="Expense",$C395="Other Income"),$E395=""),"Head needed",IF($F395="","Account needed","OK")))),IF($C395="","","PRO PLAN"))</f>
        <v/>
      </c>
    </row>
    <row r="396" customFormat="false" ht="15" hidden="false" customHeight="false" outlineLevel="0" collapsed="false">
      <c r="A396" s="55"/>
      <c r="B396" s="56"/>
      <c r="C396" s="56"/>
      <c r="D396" s="56"/>
      <c r="E396" s="56"/>
      <c r="F396" s="56"/>
      <c r="G396" s="58"/>
      <c r="H396" s="56"/>
      <c r="I396" s="61" t="str">
        <f aca="false">IF(IsPro,IF(OR($C396="",N($G396)=0),"",IF(OR($C396="Receipt",$C396="Other Income",$C396="Capital In",$C396="Transfer In"),$G396,0)),"")</f>
        <v/>
      </c>
      <c r="J396" s="61" t="str">
        <f aca="false">IF(IsPro,IF(OR($C396="",N($G396)=0),"",IF(I396=0,$G396,0)),"")</f>
        <v/>
      </c>
      <c r="K396" s="60" t="str">
        <f aca="false">IF(IsPro,IF($C396="","",IF(AND(OR($C396="Receipt",$C396="Payment"),$D396=""),"Party needed",IF(AND(OR($C396="Expense",$C396="Other Income"),$E396=""),"Head needed",IF($F396="","Account needed","OK")))),IF($C396="","","PRO PLAN"))</f>
        <v/>
      </c>
    </row>
    <row r="397" customFormat="false" ht="15" hidden="false" customHeight="false" outlineLevel="0" collapsed="false">
      <c r="A397" s="55"/>
      <c r="B397" s="56"/>
      <c r="C397" s="56"/>
      <c r="D397" s="56"/>
      <c r="E397" s="56"/>
      <c r="F397" s="56"/>
      <c r="G397" s="58"/>
      <c r="H397" s="56"/>
      <c r="I397" s="61" t="str">
        <f aca="false">IF(IsPro,IF(OR($C397="",N($G397)=0),"",IF(OR($C397="Receipt",$C397="Other Income",$C397="Capital In",$C397="Transfer In"),$G397,0)),"")</f>
        <v/>
      </c>
      <c r="J397" s="61" t="str">
        <f aca="false">IF(IsPro,IF(OR($C397="",N($G397)=0),"",IF(I397=0,$G397,0)),"")</f>
        <v/>
      </c>
      <c r="K397" s="60" t="str">
        <f aca="false">IF(IsPro,IF($C397="","",IF(AND(OR($C397="Receipt",$C397="Payment"),$D397=""),"Party needed",IF(AND(OR($C397="Expense",$C397="Other Income"),$E397=""),"Head needed",IF($F397="","Account needed","OK")))),IF($C397="","","PRO PLAN"))</f>
        <v/>
      </c>
    </row>
    <row r="398" customFormat="false" ht="15" hidden="false" customHeight="false" outlineLevel="0" collapsed="false">
      <c r="A398" s="55"/>
      <c r="B398" s="56"/>
      <c r="C398" s="56"/>
      <c r="D398" s="56"/>
      <c r="E398" s="56"/>
      <c r="F398" s="56"/>
      <c r="G398" s="58"/>
      <c r="H398" s="56"/>
      <c r="I398" s="61" t="str">
        <f aca="false">IF(IsPro,IF(OR($C398="",N($G398)=0),"",IF(OR($C398="Receipt",$C398="Other Income",$C398="Capital In",$C398="Transfer In"),$G398,0)),"")</f>
        <v/>
      </c>
      <c r="J398" s="61" t="str">
        <f aca="false">IF(IsPro,IF(OR($C398="",N($G398)=0),"",IF(I398=0,$G398,0)),"")</f>
        <v/>
      </c>
      <c r="K398" s="60" t="str">
        <f aca="false">IF(IsPro,IF($C398="","",IF(AND(OR($C398="Receipt",$C398="Payment"),$D398=""),"Party needed",IF(AND(OR($C398="Expense",$C398="Other Income"),$E398=""),"Head needed",IF($F398="","Account needed","OK")))),IF($C398="","","PRO PLAN"))</f>
        <v/>
      </c>
    </row>
    <row r="399" customFormat="false" ht="15" hidden="false" customHeight="false" outlineLevel="0" collapsed="false">
      <c r="A399" s="55"/>
      <c r="B399" s="56"/>
      <c r="C399" s="56"/>
      <c r="D399" s="56"/>
      <c r="E399" s="56"/>
      <c r="F399" s="56"/>
      <c r="G399" s="58"/>
      <c r="H399" s="56"/>
      <c r="I399" s="61" t="str">
        <f aca="false">IF(IsPro,IF(OR($C399="",N($G399)=0),"",IF(OR($C399="Receipt",$C399="Other Income",$C399="Capital In",$C399="Transfer In"),$G399,0)),"")</f>
        <v/>
      </c>
      <c r="J399" s="61" t="str">
        <f aca="false">IF(IsPro,IF(OR($C399="",N($G399)=0),"",IF(I399=0,$G399,0)),"")</f>
        <v/>
      </c>
      <c r="K399" s="60" t="str">
        <f aca="false">IF(IsPro,IF($C399="","",IF(AND(OR($C399="Receipt",$C399="Payment"),$D399=""),"Party needed",IF(AND(OR($C399="Expense",$C399="Other Income"),$E399=""),"Head needed",IF($F399="","Account needed","OK")))),IF($C399="","","PRO PLAN"))</f>
        <v/>
      </c>
    </row>
    <row r="400" customFormat="false" ht="15" hidden="false" customHeight="false" outlineLevel="0" collapsed="false">
      <c r="A400" s="55"/>
      <c r="B400" s="56"/>
      <c r="C400" s="56"/>
      <c r="D400" s="56"/>
      <c r="E400" s="56"/>
      <c r="F400" s="56"/>
      <c r="G400" s="58"/>
      <c r="H400" s="56"/>
      <c r="I400" s="61" t="str">
        <f aca="false">IF(IsPro,IF(OR($C400="",N($G400)=0),"",IF(OR($C400="Receipt",$C400="Other Income",$C400="Capital In",$C400="Transfer In"),$G400,0)),"")</f>
        <v/>
      </c>
      <c r="J400" s="61" t="str">
        <f aca="false">IF(IsPro,IF(OR($C400="",N($G400)=0),"",IF(I400=0,$G400,0)),"")</f>
        <v/>
      </c>
      <c r="K400" s="60" t="str">
        <f aca="false">IF(IsPro,IF($C400="","",IF(AND(OR($C400="Receipt",$C400="Payment"),$D400=""),"Party needed",IF(AND(OR($C400="Expense",$C400="Other Income"),$E400=""),"Head needed",IF($F400="","Account needed","OK")))),IF($C400="","","PRO PLAN"))</f>
        <v/>
      </c>
    </row>
    <row r="401" customFormat="false" ht="15" hidden="false" customHeight="false" outlineLevel="0" collapsed="false">
      <c r="A401" s="55"/>
      <c r="B401" s="56"/>
      <c r="C401" s="56"/>
      <c r="D401" s="56"/>
      <c r="E401" s="56"/>
      <c r="F401" s="56"/>
      <c r="G401" s="58"/>
      <c r="H401" s="56"/>
      <c r="I401" s="61" t="str">
        <f aca="false">IF(IsPro,IF(OR($C401="",N($G401)=0),"",IF(OR($C401="Receipt",$C401="Other Income",$C401="Capital In",$C401="Transfer In"),$G401,0)),"")</f>
        <v/>
      </c>
      <c r="J401" s="61" t="str">
        <f aca="false">IF(IsPro,IF(OR($C401="",N($G401)=0),"",IF(I401=0,$G401,0)),"")</f>
        <v/>
      </c>
      <c r="K401" s="60" t="str">
        <f aca="false">IF(IsPro,IF($C401="","",IF(AND(OR($C401="Receipt",$C401="Payment"),$D401=""),"Party needed",IF(AND(OR($C401="Expense",$C401="Other Income"),$E401=""),"Head needed",IF($F401="","Account needed","OK")))),IF($C401="","","PRO PLAN"))</f>
        <v/>
      </c>
    </row>
    <row r="402" customFormat="false" ht="15" hidden="false" customHeight="false" outlineLevel="0" collapsed="false">
      <c r="A402" s="55"/>
      <c r="B402" s="56"/>
      <c r="C402" s="56"/>
      <c r="D402" s="56"/>
      <c r="E402" s="56"/>
      <c r="F402" s="56"/>
      <c r="G402" s="58"/>
      <c r="H402" s="56"/>
      <c r="I402" s="61" t="str">
        <f aca="false">IF(IsPro,IF(OR($C402="",N($G402)=0),"",IF(OR($C402="Receipt",$C402="Other Income",$C402="Capital In",$C402="Transfer In"),$G402,0)),"")</f>
        <v/>
      </c>
      <c r="J402" s="61" t="str">
        <f aca="false">IF(IsPro,IF(OR($C402="",N($G402)=0),"",IF(I402=0,$G402,0)),"")</f>
        <v/>
      </c>
      <c r="K402" s="60" t="str">
        <f aca="false">IF(IsPro,IF($C402="","",IF(AND(OR($C402="Receipt",$C402="Payment"),$D402=""),"Party needed",IF(AND(OR($C402="Expense",$C402="Other Income"),$E402=""),"Head needed",IF($F402="","Account needed","OK")))),IF($C402="","","PRO PLAN"))</f>
        <v/>
      </c>
    </row>
    <row r="403" customFormat="false" ht="15" hidden="false" customHeight="false" outlineLevel="0" collapsed="false">
      <c r="A403" s="55"/>
      <c r="B403" s="56"/>
      <c r="C403" s="56"/>
      <c r="D403" s="56"/>
      <c r="E403" s="56"/>
      <c r="F403" s="56"/>
      <c r="G403" s="58"/>
      <c r="H403" s="56"/>
      <c r="I403" s="61" t="str">
        <f aca="false">IF(IsPro,IF(OR($C403="",N($G403)=0),"",IF(OR($C403="Receipt",$C403="Other Income",$C403="Capital In",$C403="Transfer In"),$G403,0)),"")</f>
        <v/>
      </c>
      <c r="J403" s="61" t="str">
        <f aca="false">IF(IsPro,IF(OR($C403="",N($G403)=0),"",IF(I403=0,$G403,0)),"")</f>
        <v/>
      </c>
      <c r="K403" s="60" t="str">
        <f aca="false">IF(IsPro,IF($C403="","",IF(AND(OR($C403="Receipt",$C403="Payment"),$D403=""),"Party needed",IF(AND(OR($C403="Expense",$C403="Other Income"),$E403=""),"Head needed",IF($F403="","Account needed","OK")))),IF($C403="","","PRO PLAN"))</f>
        <v/>
      </c>
    </row>
    <row r="404" customFormat="false" ht="15" hidden="false" customHeight="false" outlineLevel="0" collapsed="false">
      <c r="A404" s="55"/>
      <c r="B404" s="56"/>
      <c r="C404" s="56"/>
      <c r="D404" s="56"/>
      <c r="E404" s="56"/>
      <c r="F404" s="56"/>
      <c r="G404" s="58"/>
      <c r="H404" s="56"/>
      <c r="I404" s="61" t="str">
        <f aca="false">IF(IsPro,IF(OR($C404="",N($G404)=0),"",IF(OR($C404="Receipt",$C404="Other Income",$C404="Capital In",$C404="Transfer In"),$G404,0)),"")</f>
        <v/>
      </c>
      <c r="J404" s="61" t="str">
        <f aca="false">IF(IsPro,IF(OR($C404="",N($G404)=0),"",IF(I404=0,$G404,0)),"")</f>
        <v/>
      </c>
      <c r="K404" s="60" t="str">
        <f aca="false">IF(IsPro,IF($C404="","",IF(AND(OR($C404="Receipt",$C404="Payment"),$D404=""),"Party needed",IF(AND(OR($C404="Expense",$C404="Other Income"),$E404=""),"Head needed",IF($F404="","Account needed","OK")))),IF($C404="","","PRO PLAN"))</f>
        <v/>
      </c>
    </row>
    <row r="405" customFormat="false" ht="15" hidden="false" customHeight="false" outlineLevel="0" collapsed="false">
      <c r="A405" s="55"/>
      <c r="B405" s="56"/>
      <c r="C405" s="56"/>
      <c r="D405" s="56"/>
      <c r="E405" s="56"/>
      <c r="F405" s="56"/>
      <c r="G405" s="58"/>
      <c r="H405" s="56"/>
      <c r="I405" s="61" t="str">
        <f aca="false">IF(IsPro,IF(OR($C405="",N($G405)=0),"",IF(OR($C405="Receipt",$C405="Other Income",$C405="Capital In",$C405="Transfer In"),$G405,0)),"")</f>
        <v/>
      </c>
      <c r="J405" s="61" t="str">
        <f aca="false">IF(IsPro,IF(OR($C405="",N($G405)=0),"",IF(I405=0,$G405,0)),"")</f>
        <v/>
      </c>
      <c r="K405" s="60" t="str">
        <f aca="false">IF(IsPro,IF($C405="","",IF(AND(OR($C405="Receipt",$C405="Payment"),$D405=""),"Party needed",IF(AND(OR($C405="Expense",$C405="Other Income"),$E405=""),"Head needed",IF($F405="","Account needed","OK")))),IF($C405="","","PRO PLAN"))</f>
        <v/>
      </c>
    </row>
    <row r="406" customFormat="false" ht="15" hidden="false" customHeight="false" outlineLevel="0" collapsed="false">
      <c r="A406" s="55"/>
      <c r="B406" s="56"/>
      <c r="C406" s="56"/>
      <c r="D406" s="56"/>
      <c r="E406" s="56"/>
      <c r="F406" s="56"/>
      <c r="G406" s="58"/>
      <c r="H406" s="56"/>
      <c r="I406" s="61" t="str">
        <f aca="false">IF(IsPro,IF(OR($C406="",N($G406)=0),"",IF(OR($C406="Receipt",$C406="Other Income",$C406="Capital In",$C406="Transfer In"),$G406,0)),"")</f>
        <v/>
      </c>
      <c r="J406" s="61" t="str">
        <f aca="false">IF(IsPro,IF(OR($C406="",N($G406)=0),"",IF(I406=0,$G406,0)),"")</f>
        <v/>
      </c>
      <c r="K406" s="60" t="str">
        <f aca="false">IF(IsPro,IF($C406="","",IF(AND(OR($C406="Receipt",$C406="Payment"),$D406=""),"Party needed",IF(AND(OR($C406="Expense",$C406="Other Income"),$E406=""),"Head needed",IF($F406="","Account needed","OK")))),IF($C406="","","PRO PLAN"))</f>
        <v/>
      </c>
    </row>
    <row r="407" customFormat="false" ht="15" hidden="false" customHeight="false" outlineLevel="0" collapsed="false">
      <c r="A407" s="55"/>
      <c r="B407" s="56"/>
      <c r="C407" s="56"/>
      <c r="D407" s="56"/>
      <c r="E407" s="56"/>
      <c r="F407" s="56"/>
      <c r="G407" s="58"/>
      <c r="H407" s="56"/>
      <c r="I407" s="61" t="str">
        <f aca="false">IF(IsPro,IF(OR($C407="",N($G407)=0),"",IF(OR($C407="Receipt",$C407="Other Income",$C407="Capital In",$C407="Transfer In"),$G407,0)),"")</f>
        <v/>
      </c>
      <c r="J407" s="61" t="str">
        <f aca="false">IF(IsPro,IF(OR($C407="",N($G407)=0),"",IF(I407=0,$G407,0)),"")</f>
        <v/>
      </c>
      <c r="K407" s="60" t="str">
        <f aca="false">IF(IsPro,IF($C407="","",IF(AND(OR($C407="Receipt",$C407="Payment"),$D407=""),"Party needed",IF(AND(OR($C407="Expense",$C407="Other Income"),$E407=""),"Head needed",IF($F407="","Account needed","OK")))),IF($C407="","","PRO PLAN"))</f>
        <v/>
      </c>
    </row>
    <row r="408" customFormat="false" ht="15" hidden="false" customHeight="false" outlineLevel="0" collapsed="false">
      <c r="A408" s="55"/>
      <c r="B408" s="56"/>
      <c r="C408" s="56"/>
      <c r="D408" s="56"/>
      <c r="E408" s="56"/>
      <c r="F408" s="56"/>
      <c r="G408" s="58"/>
      <c r="H408" s="56"/>
      <c r="I408" s="61" t="str">
        <f aca="false">IF(IsPro,IF(OR($C408="",N($G408)=0),"",IF(OR($C408="Receipt",$C408="Other Income",$C408="Capital In",$C408="Transfer In"),$G408,0)),"")</f>
        <v/>
      </c>
      <c r="J408" s="61" t="str">
        <f aca="false">IF(IsPro,IF(OR($C408="",N($G408)=0),"",IF(I408=0,$G408,0)),"")</f>
        <v/>
      </c>
      <c r="K408" s="60" t="str">
        <f aca="false">IF(IsPro,IF($C408="","",IF(AND(OR($C408="Receipt",$C408="Payment"),$D408=""),"Party needed",IF(AND(OR($C408="Expense",$C408="Other Income"),$E408=""),"Head needed",IF($F408="","Account needed","OK")))),IF($C408="","","PRO PLAN"))</f>
        <v/>
      </c>
    </row>
    <row r="409" customFormat="false" ht="15" hidden="false" customHeight="false" outlineLevel="0" collapsed="false">
      <c r="A409" s="55"/>
      <c r="B409" s="56"/>
      <c r="C409" s="56"/>
      <c r="D409" s="56"/>
      <c r="E409" s="56"/>
      <c r="F409" s="56"/>
      <c r="G409" s="58"/>
      <c r="H409" s="56"/>
      <c r="I409" s="61" t="str">
        <f aca="false">IF(IsPro,IF(OR($C409="",N($G409)=0),"",IF(OR($C409="Receipt",$C409="Other Income",$C409="Capital In",$C409="Transfer In"),$G409,0)),"")</f>
        <v/>
      </c>
      <c r="J409" s="61" t="str">
        <f aca="false">IF(IsPro,IF(OR($C409="",N($G409)=0),"",IF(I409=0,$G409,0)),"")</f>
        <v/>
      </c>
      <c r="K409" s="60" t="str">
        <f aca="false">IF(IsPro,IF($C409="","",IF(AND(OR($C409="Receipt",$C409="Payment"),$D409=""),"Party needed",IF(AND(OR($C409="Expense",$C409="Other Income"),$E409=""),"Head needed",IF($F409="","Account needed","OK")))),IF($C409="","","PRO PLAN"))</f>
        <v/>
      </c>
    </row>
    <row r="410" customFormat="false" ht="15" hidden="false" customHeight="false" outlineLevel="0" collapsed="false">
      <c r="A410" s="55"/>
      <c r="B410" s="56"/>
      <c r="C410" s="56"/>
      <c r="D410" s="56"/>
      <c r="E410" s="56"/>
      <c r="F410" s="56"/>
      <c r="G410" s="58"/>
      <c r="H410" s="56"/>
      <c r="I410" s="61" t="str">
        <f aca="false">IF(IsPro,IF(OR($C410="",N($G410)=0),"",IF(OR($C410="Receipt",$C410="Other Income",$C410="Capital In",$C410="Transfer In"),$G410,0)),"")</f>
        <v/>
      </c>
      <c r="J410" s="61" t="str">
        <f aca="false">IF(IsPro,IF(OR($C410="",N($G410)=0),"",IF(I410=0,$G410,0)),"")</f>
        <v/>
      </c>
      <c r="K410" s="60" t="str">
        <f aca="false">IF(IsPro,IF($C410="","",IF(AND(OR($C410="Receipt",$C410="Payment"),$D410=""),"Party needed",IF(AND(OR($C410="Expense",$C410="Other Income"),$E410=""),"Head needed",IF($F410="","Account needed","OK")))),IF($C410="","","PRO PLAN"))</f>
        <v/>
      </c>
    </row>
    <row r="411" customFormat="false" ht="15" hidden="false" customHeight="false" outlineLevel="0" collapsed="false">
      <c r="A411" s="55"/>
      <c r="B411" s="56"/>
      <c r="C411" s="56"/>
      <c r="D411" s="56"/>
      <c r="E411" s="56"/>
      <c r="F411" s="56"/>
      <c r="G411" s="58"/>
      <c r="H411" s="56"/>
      <c r="I411" s="61" t="str">
        <f aca="false">IF(IsPro,IF(OR($C411="",N($G411)=0),"",IF(OR($C411="Receipt",$C411="Other Income",$C411="Capital In",$C411="Transfer In"),$G411,0)),"")</f>
        <v/>
      </c>
      <c r="J411" s="61" t="str">
        <f aca="false">IF(IsPro,IF(OR($C411="",N($G411)=0),"",IF(I411=0,$G411,0)),"")</f>
        <v/>
      </c>
      <c r="K411" s="60" t="str">
        <f aca="false">IF(IsPro,IF($C411="","",IF(AND(OR($C411="Receipt",$C411="Payment"),$D411=""),"Party needed",IF(AND(OR($C411="Expense",$C411="Other Income"),$E411=""),"Head needed",IF($F411="","Account needed","OK")))),IF($C411="","","PRO PLAN"))</f>
        <v/>
      </c>
    </row>
    <row r="412" customFormat="false" ht="15" hidden="false" customHeight="false" outlineLevel="0" collapsed="false">
      <c r="A412" s="55"/>
      <c r="B412" s="56"/>
      <c r="C412" s="56"/>
      <c r="D412" s="56"/>
      <c r="E412" s="56"/>
      <c r="F412" s="56"/>
      <c r="G412" s="58"/>
      <c r="H412" s="56"/>
      <c r="I412" s="61" t="str">
        <f aca="false">IF(IsPro,IF(OR($C412="",N($G412)=0),"",IF(OR($C412="Receipt",$C412="Other Income",$C412="Capital In",$C412="Transfer In"),$G412,0)),"")</f>
        <v/>
      </c>
      <c r="J412" s="61" t="str">
        <f aca="false">IF(IsPro,IF(OR($C412="",N($G412)=0),"",IF(I412=0,$G412,0)),"")</f>
        <v/>
      </c>
      <c r="K412" s="60" t="str">
        <f aca="false">IF(IsPro,IF($C412="","",IF(AND(OR($C412="Receipt",$C412="Payment"),$D412=""),"Party needed",IF(AND(OR($C412="Expense",$C412="Other Income"),$E412=""),"Head needed",IF($F412="","Account needed","OK")))),IF($C412="","","PRO PLAN"))</f>
        <v/>
      </c>
    </row>
    <row r="413" customFormat="false" ht="15" hidden="false" customHeight="false" outlineLevel="0" collapsed="false">
      <c r="A413" s="55"/>
      <c r="B413" s="56"/>
      <c r="C413" s="56"/>
      <c r="D413" s="56"/>
      <c r="E413" s="56"/>
      <c r="F413" s="56"/>
      <c r="G413" s="58"/>
      <c r="H413" s="56"/>
      <c r="I413" s="61" t="str">
        <f aca="false">IF(IsPro,IF(OR($C413="",N($G413)=0),"",IF(OR($C413="Receipt",$C413="Other Income",$C413="Capital In",$C413="Transfer In"),$G413,0)),"")</f>
        <v/>
      </c>
      <c r="J413" s="61" t="str">
        <f aca="false">IF(IsPro,IF(OR($C413="",N($G413)=0),"",IF(I413=0,$G413,0)),"")</f>
        <v/>
      </c>
      <c r="K413" s="60" t="str">
        <f aca="false">IF(IsPro,IF($C413="","",IF(AND(OR($C413="Receipt",$C413="Payment"),$D413=""),"Party needed",IF(AND(OR($C413="Expense",$C413="Other Income"),$E413=""),"Head needed",IF($F413="","Account needed","OK")))),IF($C413="","","PRO PLAN"))</f>
        <v/>
      </c>
    </row>
    <row r="414" customFormat="false" ht="15" hidden="false" customHeight="false" outlineLevel="0" collapsed="false">
      <c r="A414" s="55"/>
      <c r="B414" s="56"/>
      <c r="C414" s="56"/>
      <c r="D414" s="56"/>
      <c r="E414" s="56"/>
      <c r="F414" s="56"/>
      <c r="G414" s="58"/>
      <c r="H414" s="56"/>
      <c r="I414" s="61" t="str">
        <f aca="false">IF(IsPro,IF(OR($C414="",N($G414)=0),"",IF(OR($C414="Receipt",$C414="Other Income",$C414="Capital In",$C414="Transfer In"),$G414,0)),"")</f>
        <v/>
      </c>
      <c r="J414" s="61" t="str">
        <f aca="false">IF(IsPro,IF(OR($C414="",N($G414)=0),"",IF(I414=0,$G414,0)),"")</f>
        <v/>
      </c>
      <c r="K414" s="60" t="str">
        <f aca="false">IF(IsPro,IF($C414="","",IF(AND(OR($C414="Receipt",$C414="Payment"),$D414=""),"Party needed",IF(AND(OR($C414="Expense",$C414="Other Income"),$E414=""),"Head needed",IF($F414="","Account needed","OK")))),IF($C414="","","PRO PLAN"))</f>
        <v/>
      </c>
    </row>
    <row r="415" customFormat="false" ht="15" hidden="false" customHeight="false" outlineLevel="0" collapsed="false">
      <c r="A415" s="55"/>
      <c r="B415" s="56"/>
      <c r="C415" s="56"/>
      <c r="D415" s="56"/>
      <c r="E415" s="56"/>
      <c r="F415" s="56"/>
      <c r="G415" s="58"/>
      <c r="H415" s="56"/>
      <c r="I415" s="61" t="str">
        <f aca="false">IF(IsPro,IF(OR($C415="",N($G415)=0),"",IF(OR($C415="Receipt",$C415="Other Income",$C415="Capital In",$C415="Transfer In"),$G415,0)),"")</f>
        <v/>
      </c>
      <c r="J415" s="61" t="str">
        <f aca="false">IF(IsPro,IF(OR($C415="",N($G415)=0),"",IF(I415=0,$G415,0)),"")</f>
        <v/>
      </c>
      <c r="K415" s="60" t="str">
        <f aca="false">IF(IsPro,IF($C415="","",IF(AND(OR($C415="Receipt",$C415="Payment"),$D415=""),"Party needed",IF(AND(OR($C415="Expense",$C415="Other Income"),$E415=""),"Head needed",IF($F415="","Account needed","OK")))),IF($C415="","","PRO PLAN"))</f>
        <v/>
      </c>
    </row>
    <row r="416" customFormat="false" ht="15" hidden="false" customHeight="false" outlineLevel="0" collapsed="false">
      <c r="A416" s="55"/>
      <c r="B416" s="56"/>
      <c r="C416" s="56"/>
      <c r="D416" s="56"/>
      <c r="E416" s="56"/>
      <c r="F416" s="56"/>
      <c r="G416" s="58"/>
      <c r="H416" s="56"/>
      <c r="I416" s="61" t="str">
        <f aca="false">IF(IsPro,IF(OR($C416="",N($G416)=0),"",IF(OR($C416="Receipt",$C416="Other Income",$C416="Capital In",$C416="Transfer In"),$G416,0)),"")</f>
        <v/>
      </c>
      <c r="J416" s="61" t="str">
        <f aca="false">IF(IsPro,IF(OR($C416="",N($G416)=0),"",IF(I416=0,$G416,0)),"")</f>
        <v/>
      </c>
      <c r="K416" s="60" t="str">
        <f aca="false">IF(IsPro,IF($C416="","",IF(AND(OR($C416="Receipt",$C416="Payment"),$D416=""),"Party needed",IF(AND(OR($C416="Expense",$C416="Other Income"),$E416=""),"Head needed",IF($F416="","Account needed","OK")))),IF($C416="","","PRO PLAN"))</f>
        <v/>
      </c>
    </row>
    <row r="417" customFormat="false" ht="15" hidden="false" customHeight="false" outlineLevel="0" collapsed="false">
      <c r="A417" s="55"/>
      <c r="B417" s="56"/>
      <c r="C417" s="56"/>
      <c r="D417" s="56"/>
      <c r="E417" s="56"/>
      <c r="F417" s="56"/>
      <c r="G417" s="58"/>
      <c r="H417" s="56"/>
      <c r="I417" s="61" t="str">
        <f aca="false">IF(IsPro,IF(OR($C417="",N($G417)=0),"",IF(OR($C417="Receipt",$C417="Other Income",$C417="Capital In",$C417="Transfer In"),$G417,0)),"")</f>
        <v/>
      </c>
      <c r="J417" s="61" t="str">
        <f aca="false">IF(IsPro,IF(OR($C417="",N($G417)=0),"",IF(I417=0,$G417,0)),"")</f>
        <v/>
      </c>
      <c r="K417" s="60" t="str">
        <f aca="false">IF(IsPro,IF($C417="","",IF(AND(OR($C417="Receipt",$C417="Payment"),$D417=""),"Party needed",IF(AND(OR($C417="Expense",$C417="Other Income"),$E417=""),"Head needed",IF($F417="","Account needed","OK")))),IF($C417="","","PRO PLAN"))</f>
        <v/>
      </c>
    </row>
    <row r="418" customFormat="false" ht="15" hidden="false" customHeight="false" outlineLevel="0" collapsed="false">
      <c r="A418" s="55"/>
      <c r="B418" s="56"/>
      <c r="C418" s="56"/>
      <c r="D418" s="56"/>
      <c r="E418" s="56"/>
      <c r="F418" s="56"/>
      <c r="G418" s="58"/>
      <c r="H418" s="56"/>
      <c r="I418" s="61" t="str">
        <f aca="false">IF(IsPro,IF(OR($C418="",N($G418)=0),"",IF(OR($C418="Receipt",$C418="Other Income",$C418="Capital In",$C418="Transfer In"),$G418,0)),"")</f>
        <v/>
      </c>
      <c r="J418" s="61" t="str">
        <f aca="false">IF(IsPro,IF(OR($C418="",N($G418)=0),"",IF(I418=0,$G418,0)),"")</f>
        <v/>
      </c>
      <c r="K418" s="60" t="str">
        <f aca="false">IF(IsPro,IF($C418="","",IF(AND(OR($C418="Receipt",$C418="Payment"),$D418=""),"Party needed",IF(AND(OR($C418="Expense",$C418="Other Income"),$E418=""),"Head needed",IF($F418="","Account needed","OK")))),IF($C418="","","PRO PLAN"))</f>
        <v/>
      </c>
    </row>
    <row r="419" customFormat="false" ht="15" hidden="false" customHeight="false" outlineLevel="0" collapsed="false">
      <c r="A419" s="55"/>
      <c r="B419" s="56"/>
      <c r="C419" s="56"/>
      <c r="D419" s="56"/>
      <c r="E419" s="56"/>
      <c r="F419" s="56"/>
      <c r="G419" s="58"/>
      <c r="H419" s="56"/>
      <c r="I419" s="61" t="str">
        <f aca="false">IF(IsPro,IF(OR($C419="",N($G419)=0),"",IF(OR($C419="Receipt",$C419="Other Income",$C419="Capital In",$C419="Transfer In"),$G419,0)),"")</f>
        <v/>
      </c>
      <c r="J419" s="61" t="str">
        <f aca="false">IF(IsPro,IF(OR($C419="",N($G419)=0),"",IF(I419=0,$G419,0)),"")</f>
        <v/>
      </c>
      <c r="K419" s="60" t="str">
        <f aca="false">IF(IsPro,IF($C419="","",IF(AND(OR($C419="Receipt",$C419="Payment"),$D419=""),"Party needed",IF(AND(OR($C419="Expense",$C419="Other Income"),$E419=""),"Head needed",IF($F419="","Account needed","OK")))),IF($C419="","","PRO PLAN"))</f>
        <v/>
      </c>
    </row>
    <row r="420" customFormat="false" ht="15" hidden="false" customHeight="false" outlineLevel="0" collapsed="false">
      <c r="A420" s="55"/>
      <c r="B420" s="56"/>
      <c r="C420" s="56"/>
      <c r="D420" s="56"/>
      <c r="E420" s="56"/>
      <c r="F420" s="56"/>
      <c r="G420" s="58"/>
      <c r="H420" s="56"/>
      <c r="I420" s="61" t="str">
        <f aca="false">IF(IsPro,IF(OR($C420="",N($G420)=0),"",IF(OR($C420="Receipt",$C420="Other Income",$C420="Capital In",$C420="Transfer In"),$G420,0)),"")</f>
        <v/>
      </c>
      <c r="J420" s="61" t="str">
        <f aca="false">IF(IsPro,IF(OR($C420="",N($G420)=0),"",IF(I420=0,$G420,0)),"")</f>
        <v/>
      </c>
      <c r="K420" s="60" t="str">
        <f aca="false">IF(IsPro,IF($C420="","",IF(AND(OR($C420="Receipt",$C420="Payment"),$D420=""),"Party needed",IF(AND(OR($C420="Expense",$C420="Other Income"),$E420=""),"Head needed",IF($F420="","Account needed","OK")))),IF($C420="","","PRO PLAN"))</f>
        <v/>
      </c>
    </row>
    <row r="421" customFormat="false" ht="15" hidden="false" customHeight="false" outlineLevel="0" collapsed="false">
      <c r="A421" s="55"/>
      <c r="B421" s="56"/>
      <c r="C421" s="56"/>
      <c r="D421" s="56"/>
      <c r="E421" s="56"/>
      <c r="F421" s="56"/>
      <c r="G421" s="58"/>
      <c r="H421" s="56"/>
      <c r="I421" s="61" t="str">
        <f aca="false">IF(IsPro,IF(OR($C421="",N($G421)=0),"",IF(OR($C421="Receipt",$C421="Other Income",$C421="Capital In",$C421="Transfer In"),$G421,0)),"")</f>
        <v/>
      </c>
      <c r="J421" s="61" t="str">
        <f aca="false">IF(IsPro,IF(OR($C421="",N($G421)=0),"",IF(I421=0,$G421,0)),"")</f>
        <v/>
      </c>
      <c r="K421" s="60" t="str">
        <f aca="false">IF(IsPro,IF($C421="","",IF(AND(OR($C421="Receipt",$C421="Payment"),$D421=""),"Party needed",IF(AND(OR($C421="Expense",$C421="Other Income"),$E421=""),"Head needed",IF($F421="","Account needed","OK")))),IF($C421="","","PRO PLAN"))</f>
        <v/>
      </c>
    </row>
    <row r="422" customFormat="false" ht="15" hidden="false" customHeight="false" outlineLevel="0" collapsed="false">
      <c r="A422" s="55"/>
      <c r="B422" s="56"/>
      <c r="C422" s="56"/>
      <c r="D422" s="56"/>
      <c r="E422" s="56"/>
      <c r="F422" s="56"/>
      <c r="G422" s="58"/>
      <c r="H422" s="56"/>
      <c r="I422" s="61" t="str">
        <f aca="false">IF(IsPro,IF(OR($C422="",N($G422)=0),"",IF(OR($C422="Receipt",$C422="Other Income",$C422="Capital In",$C422="Transfer In"),$G422,0)),"")</f>
        <v/>
      </c>
      <c r="J422" s="61" t="str">
        <f aca="false">IF(IsPro,IF(OR($C422="",N($G422)=0),"",IF(I422=0,$G422,0)),"")</f>
        <v/>
      </c>
      <c r="K422" s="60" t="str">
        <f aca="false">IF(IsPro,IF($C422="","",IF(AND(OR($C422="Receipt",$C422="Payment"),$D422=""),"Party needed",IF(AND(OR($C422="Expense",$C422="Other Income"),$E422=""),"Head needed",IF($F422="","Account needed","OK")))),IF($C422="","","PRO PLAN"))</f>
        <v/>
      </c>
    </row>
    <row r="423" customFormat="false" ht="15" hidden="false" customHeight="false" outlineLevel="0" collapsed="false">
      <c r="A423" s="55"/>
      <c r="B423" s="56"/>
      <c r="C423" s="56"/>
      <c r="D423" s="56"/>
      <c r="E423" s="56"/>
      <c r="F423" s="56"/>
      <c r="G423" s="58"/>
      <c r="H423" s="56"/>
      <c r="I423" s="61" t="str">
        <f aca="false">IF(IsPro,IF(OR($C423="",N($G423)=0),"",IF(OR($C423="Receipt",$C423="Other Income",$C423="Capital In",$C423="Transfer In"),$G423,0)),"")</f>
        <v/>
      </c>
      <c r="J423" s="61" t="str">
        <f aca="false">IF(IsPro,IF(OR($C423="",N($G423)=0),"",IF(I423=0,$G423,0)),"")</f>
        <v/>
      </c>
      <c r="K423" s="60" t="str">
        <f aca="false">IF(IsPro,IF($C423="","",IF(AND(OR($C423="Receipt",$C423="Payment"),$D423=""),"Party needed",IF(AND(OR($C423="Expense",$C423="Other Income"),$E423=""),"Head needed",IF($F423="","Account needed","OK")))),IF($C423="","","PRO PLAN"))</f>
        <v/>
      </c>
    </row>
    <row r="424" customFormat="false" ht="15" hidden="false" customHeight="false" outlineLevel="0" collapsed="false">
      <c r="A424" s="55"/>
      <c r="B424" s="56"/>
      <c r="C424" s="56"/>
      <c r="D424" s="56"/>
      <c r="E424" s="56"/>
      <c r="F424" s="56"/>
      <c r="G424" s="58"/>
      <c r="H424" s="56"/>
      <c r="I424" s="61" t="str">
        <f aca="false">IF(IsPro,IF(OR($C424="",N($G424)=0),"",IF(OR($C424="Receipt",$C424="Other Income",$C424="Capital In",$C424="Transfer In"),$G424,0)),"")</f>
        <v/>
      </c>
      <c r="J424" s="61" t="str">
        <f aca="false">IF(IsPro,IF(OR($C424="",N($G424)=0),"",IF(I424=0,$G424,0)),"")</f>
        <v/>
      </c>
      <c r="K424" s="60" t="str">
        <f aca="false">IF(IsPro,IF($C424="","",IF(AND(OR($C424="Receipt",$C424="Payment"),$D424=""),"Party needed",IF(AND(OR($C424="Expense",$C424="Other Income"),$E424=""),"Head needed",IF($F424="","Account needed","OK")))),IF($C424="","","PRO PLAN"))</f>
        <v/>
      </c>
    </row>
    <row r="425" customFormat="false" ht="15" hidden="false" customHeight="false" outlineLevel="0" collapsed="false">
      <c r="A425" s="55"/>
      <c r="B425" s="56"/>
      <c r="C425" s="56"/>
      <c r="D425" s="56"/>
      <c r="E425" s="56"/>
      <c r="F425" s="56"/>
      <c r="G425" s="58"/>
      <c r="H425" s="56"/>
      <c r="I425" s="61" t="str">
        <f aca="false">IF(IsPro,IF(OR($C425="",N($G425)=0),"",IF(OR($C425="Receipt",$C425="Other Income",$C425="Capital In",$C425="Transfer In"),$G425,0)),"")</f>
        <v/>
      </c>
      <c r="J425" s="61" t="str">
        <f aca="false">IF(IsPro,IF(OR($C425="",N($G425)=0),"",IF(I425=0,$G425,0)),"")</f>
        <v/>
      </c>
      <c r="K425" s="60" t="str">
        <f aca="false">IF(IsPro,IF($C425="","",IF(AND(OR($C425="Receipt",$C425="Payment"),$D425=""),"Party needed",IF(AND(OR($C425="Expense",$C425="Other Income"),$E425=""),"Head needed",IF($F425="","Account needed","OK")))),IF($C425="","","PRO PLAN"))</f>
        <v/>
      </c>
    </row>
    <row r="426" customFormat="false" ht="15" hidden="false" customHeight="false" outlineLevel="0" collapsed="false">
      <c r="A426" s="55"/>
      <c r="B426" s="56"/>
      <c r="C426" s="56"/>
      <c r="D426" s="56"/>
      <c r="E426" s="56"/>
      <c r="F426" s="56"/>
      <c r="G426" s="58"/>
      <c r="H426" s="56"/>
      <c r="I426" s="61" t="str">
        <f aca="false">IF(IsPro,IF(OR($C426="",N($G426)=0),"",IF(OR($C426="Receipt",$C426="Other Income",$C426="Capital In",$C426="Transfer In"),$G426,0)),"")</f>
        <v/>
      </c>
      <c r="J426" s="61" t="str">
        <f aca="false">IF(IsPro,IF(OR($C426="",N($G426)=0),"",IF(I426=0,$G426,0)),"")</f>
        <v/>
      </c>
      <c r="K426" s="60" t="str">
        <f aca="false">IF(IsPro,IF($C426="","",IF(AND(OR($C426="Receipt",$C426="Payment"),$D426=""),"Party needed",IF(AND(OR($C426="Expense",$C426="Other Income"),$E426=""),"Head needed",IF($F426="","Account needed","OK")))),IF($C426="","","PRO PLAN"))</f>
        <v/>
      </c>
    </row>
    <row r="427" customFormat="false" ht="15" hidden="false" customHeight="false" outlineLevel="0" collapsed="false">
      <c r="A427" s="55"/>
      <c r="B427" s="56"/>
      <c r="C427" s="56"/>
      <c r="D427" s="56"/>
      <c r="E427" s="56"/>
      <c r="F427" s="56"/>
      <c r="G427" s="58"/>
      <c r="H427" s="56"/>
      <c r="I427" s="61" t="str">
        <f aca="false">IF(IsPro,IF(OR($C427="",N($G427)=0),"",IF(OR($C427="Receipt",$C427="Other Income",$C427="Capital In",$C427="Transfer In"),$G427,0)),"")</f>
        <v/>
      </c>
      <c r="J427" s="61" t="str">
        <f aca="false">IF(IsPro,IF(OR($C427="",N($G427)=0),"",IF(I427=0,$G427,0)),"")</f>
        <v/>
      </c>
      <c r="K427" s="60" t="str">
        <f aca="false">IF(IsPro,IF($C427="","",IF(AND(OR($C427="Receipt",$C427="Payment"),$D427=""),"Party needed",IF(AND(OR($C427="Expense",$C427="Other Income"),$E427=""),"Head needed",IF($F427="","Account needed","OK")))),IF($C427="","","PRO PLAN"))</f>
        <v/>
      </c>
    </row>
    <row r="428" customFormat="false" ht="15" hidden="false" customHeight="false" outlineLevel="0" collapsed="false">
      <c r="A428" s="55"/>
      <c r="B428" s="56"/>
      <c r="C428" s="56"/>
      <c r="D428" s="56"/>
      <c r="E428" s="56"/>
      <c r="F428" s="56"/>
      <c r="G428" s="58"/>
      <c r="H428" s="56"/>
      <c r="I428" s="61" t="str">
        <f aca="false">IF(IsPro,IF(OR($C428="",N($G428)=0),"",IF(OR($C428="Receipt",$C428="Other Income",$C428="Capital In",$C428="Transfer In"),$G428,0)),"")</f>
        <v/>
      </c>
      <c r="J428" s="61" t="str">
        <f aca="false">IF(IsPro,IF(OR($C428="",N($G428)=0),"",IF(I428=0,$G428,0)),"")</f>
        <v/>
      </c>
      <c r="K428" s="60" t="str">
        <f aca="false">IF(IsPro,IF($C428="","",IF(AND(OR($C428="Receipt",$C428="Payment"),$D428=""),"Party needed",IF(AND(OR($C428="Expense",$C428="Other Income"),$E428=""),"Head needed",IF($F428="","Account needed","OK")))),IF($C428="","","PRO PLAN"))</f>
        <v/>
      </c>
    </row>
    <row r="429" customFormat="false" ht="15" hidden="false" customHeight="false" outlineLevel="0" collapsed="false">
      <c r="A429" s="55"/>
      <c r="B429" s="56"/>
      <c r="C429" s="56"/>
      <c r="D429" s="56"/>
      <c r="E429" s="56"/>
      <c r="F429" s="56"/>
      <c r="G429" s="58"/>
      <c r="H429" s="56"/>
      <c r="I429" s="61" t="str">
        <f aca="false">IF(IsPro,IF(OR($C429="",N($G429)=0),"",IF(OR($C429="Receipt",$C429="Other Income",$C429="Capital In",$C429="Transfer In"),$G429,0)),"")</f>
        <v/>
      </c>
      <c r="J429" s="61" t="str">
        <f aca="false">IF(IsPro,IF(OR($C429="",N($G429)=0),"",IF(I429=0,$G429,0)),"")</f>
        <v/>
      </c>
      <c r="K429" s="60" t="str">
        <f aca="false">IF(IsPro,IF($C429="","",IF(AND(OR($C429="Receipt",$C429="Payment"),$D429=""),"Party needed",IF(AND(OR($C429="Expense",$C429="Other Income"),$E429=""),"Head needed",IF($F429="","Account needed","OK")))),IF($C429="","","PRO PLAN"))</f>
        <v/>
      </c>
    </row>
    <row r="430" customFormat="false" ht="15" hidden="false" customHeight="false" outlineLevel="0" collapsed="false">
      <c r="A430" s="55"/>
      <c r="B430" s="56"/>
      <c r="C430" s="56"/>
      <c r="D430" s="56"/>
      <c r="E430" s="56"/>
      <c r="F430" s="56"/>
      <c r="G430" s="58"/>
      <c r="H430" s="56"/>
      <c r="I430" s="61" t="str">
        <f aca="false">IF(IsPro,IF(OR($C430="",N($G430)=0),"",IF(OR($C430="Receipt",$C430="Other Income",$C430="Capital In",$C430="Transfer In"),$G430,0)),"")</f>
        <v/>
      </c>
      <c r="J430" s="61" t="str">
        <f aca="false">IF(IsPro,IF(OR($C430="",N($G430)=0),"",IF(I430=0,$G430,0)),"")</f>
        <v/>
      </c>
      <c r="K430" s="60" t="str">
        <f aca="false">IF(IsPro,IF($C430="","",IF(AND(OR($C430="Receipt",$C430="Payment"),$D430=""),"Party needed",IF(AND(OR($C430="Expense",$C430="Other Income"),$E430=""),"Head needed",IF($F430="","Account needed","OK")))),IF($C430="","","PRO PLAN"))</f>
        <v/>
      </c>
    </row>
    <row r="431" customFormat="false" ht="15" hidden="false" customHeight="false" outlineLevel="0" collapsed="false">
      <c r="A431" s="55"/>
      <c r="B431" s="56"/>
      <c r="C431" s="56"/>
      <c r="D431" s="56"/>
      <c r="E431" s="56"/>
      <c r="F431" s="56"/>
      <c r="G431" s="58"/>
      <c r="H431" s="56"/>
      <c r="I431" s="61" t="str">
        <f aca="false">IF(IsPro,IF(OR($C431="",N($G431)=0),"",IF(OR($C431="Receipt",$C431="Other Income",$C431="Capital In",$C431="Transfer In"),$G431,0)),"")</f>
        <v/>
      </c>
      <c r="J431" s="61" t="str">
        <f aca="false">IF(IsPro,IF(OR($C431="",N($G431)=0),"",IF(I431=0,$G431,0)),"")</f>
        <v/>
      </c>
      <c r="K431" s="60" t="str">
        <f aca="false">IF(IsPro,IF($C431="","",IF(AND(OR($C431="Receipt",$C431="Payment"),$D431=""),"Party needed",IF(AND(OR($C431="Expense",$C431="Other Income"),$E431=""),"Head needed",IF($F431="","Account needed","OK")))),IF($C431="","","PRO PLAN"))</f>
        <v/>
      </c>
    </row>
    <row r="432" customFormat="false" ht="15" hidden="false" customHeight="false" outlineLevel="0" collapsed="false">
      <c r="A432" s="55"/>
      <c r="B432" s="56"/>
      <c r="C432" s="56"/>
      <c r="D432" s="56"/>
      <c r="E432" s="56"/>
      <c r="F432" s="56"/>
      <c r="G432" s="58"/>
      <c r="H432" s="56"/>
      <c r="I432" s="61" t="str">
        <f aca="false">IF(IsPro,IF(OR($C432="",N($G432)=0),"",IF(OR($C432="Receipt",$C432="Other Income",$C432="Capital In",$C432="Transfer In"),$G432,0)),"")</f>
        <v/>
      </c>
      <c r="J432" s="61" t="str">
        <f aca="false">IF(IsPro,IF(OR($C432="",N($G432)=0),"",IF(I432=0,$G432,0)),"")</f>
        <v/>
      </c>
      <c r="K432" s="60" t="str">
        <f aca="false">IF(IsPro,IF($C432="","",IF(AND(OR($C432="Receipt",$C432="Payment"),$D432=""),"Party needed",IF(AND(OR($C432="Expense",$C432="Other Income"),$E432=""),"Head needed",IF($F432="","Account needed","OK")))),IF($C432="","","PRO PLAN"))</f>
        <v/>
      </c>
    </row>
    <row r="433" customFormat="false" ht="15" hidden="false" customHeight="false" outlineLevel="0" collapsed="false">
      <c r="A433" s="55"/>
      <c r="B433" s="56"/>
      <c r="C433" s="56"/>
      <c r="D433" s="56"/>
      <c r="E433" s="56"/>
      <c r="F433" s="56"/>
      <c r="G433" s="58"/>
      <c r="H433" s="56"/>
      <c r="I433" s="61" t="str">
        <f aca="false">IF(IsPro,IF(OR($C433="",N($G433)=0),"",IF(OR($C433="Receipt",$C433="Other Income",$C433="Capital In",$C433="Transfer In"),$G433,0)),"")</f>
        <v/>
      </c>
      <c r="J433" s="61" t="str">
        <f aca="false">IF(IsPro,IF(OR($C433="",N($G433)=0),"",IF(I433=0,$G433,0)),"")</f>
        <v/>
      </c>
      <c r="K433" s="60" t="str">
        <f aca="false">IF(IsPro,IF($C433="","",IF(AND(OR($C433="Receipt",$C433="Payment"),$D433=""),"Party needed",IF(AND(OR($C433="Expense",$C433="Other Income"),$E433=""),"Head needed",IF($F433="","Account needed","OK")))),IF($C433="","","PRO PLAN"))</f>
        <v/>
      </c>
    </row>
    <row r="434" customFormat="false" ht="15" hidden="false" customHeight="false" outlineLevel="0" collapsed="false">
      <c r="A434" s="55"/>
      <c r="B434" s="56"/>
      <c r="C434" s="56"/>
      <c r="D434" s="56"/>
      <c r="E434" s="56"/>
      <c r="F434" s="56"/>
      <c r="G434" s="58"/>
      <c r="H434" s="56"/>
      <c r="I434" s="61" t="str">
        <f aca="false">IF(IsPro,IF(OR($C434="",N($G434)=0),"",IF(OR($C434="Receipt",$C434="Other Income",$C434="Capital In",$C434="Transfer In"),$G434,0)),"")</f>
        <v/>
      </c>
      <c r="J434" s="61" t="str">
        <f aca="false">IF(IsPro,IF(OR($C434="",N($G434)=0),"",IF(I434=0,$G434,0)),"")</f>
        <v/>
      </c>
      <c r="K434" s="60" t="str">
        <f aca="false">IF(IsPro,IF($C434="","",IF(AND(OR($C434="Receipt",$C434="Payment"),$D434=""),"Party needed",IF(AND(OR($C434="Expense",$C434="Other Income"),$E434=""),"Head needed",IF($F434="","Account needed","OK")))),IF($C434="","","PRO PLAN"))</f>
        <v/>
      </c>
    </row>
    <row r="435" customFormat="false" ht="15" hidden="false" customHeight="false" outlineLevel="0" collapsed="false">
      <c r="A435" s="55"/>
      <c r="B435" s="56"/>
      <c r="C435" s="56"/>
      <c r="D435" s="56"/>
      <c r="E435" s="56"/>
      <c r="F435" s="56"/>
      <c r="G435" s="58"/>
      <c r="H435" s="56"/>
      <c r="I435" s="61" t="str">
        <f aca="false">IF(IsPro,IF(OR($C435="",N($G435)=0),"",IF(OR($C435="Receipt",$C435="Other Income",$C435="Capital In",$C435="Transfer In"),$G435,0)),"")</f>
        <v/>
      </c>
      <c r="J435" s="61" t="str">
        <f aca="false">IF(IsPro,IF(OR($C435="",N($G435)=0),"",IF(I435=0,$G435,0)),"")</f>
        <v/>
      </c>
      <c r="K435" s="60" t="str">
        <f aca="false">IF(IsPro,IF($C435="","",IF(AND(OR($C435="Receipt",$C435="Payment"),$D435=""),"Party needed",IF(AND(OR($C435="Expense",$C435="Other Income"),$E435=""),"Head needed",IF($F435="","Account needed","OK")))),IF($C435="","","PRO PLAN"))</f>
        <v/>
      </c>
    </row>
    <row r="436" customFormat="false" ht="15" hidden="false" customHeight="false" outlineLevel="0" collapsed="false">
      <c r="A436" s="55"/>
      <c r="B436" s="56"/>
      <c r="C436" s="56"/>
      <c r="D436" s="56"/>
      <c r="E436" s="56"/>
      <c r="F436" s="56"/>
      <c r="G436" s="58"/>
      <c r="H436" s="56"/>
      <c r="I436" s="61" t="str">
        <f aca="false">IF(IsPro,IF(OR($C436="",N($G436)=0),"",IF(OR($C436="Receipt",$C436="Other Income",$C436="Capital In",$C436="Transfer In"),$G436,0)),"")</f>
        <v/>
      </c>
      <c r="J436" s="61" t="str">
        <f aca="false">IF(IsPro,IF(OR($C436="",N($G436)=0),"",IF(I436=0,$G436,0)),"")</f>
        <v/>
      </c>
      <c r="K436" s="60" t="str">
        <f aca="false">IF(IsPro,IF($C436="","",IF(AND(OR($C436="Receipt",$C436="Payment"),$D436=""),"Party needed",IF(AND(OR($C436="Expense",$C436="Other Income"),$E436=""),"Head needed",IF($F436="","Account needed","OK")))),IF($C436="","","PRO PLAN"))</f>
        <v/>
      </c>
    </row>
    <row r="437" customFormat="false" ht="15" hidden="false" customHeight="false" outlineLevel="0" collapsed="false">
      <c r="A437" s="55"/>
      <c r="B437" s="56"/>
      <c r="C437" s="56"/>
      <c r="D437" s="56"/>
      <c r="E437" s="56"/>
      <c r="F437" s="56"/>
      <c r="G437" s="58"/>
      <c r="H437" s="56"/>
      <c r="I437" s="61" t="str">
        <f aca="false">IF(IsPro,IF(OR($C437="",N($G437)=0),"",IF(OR($C437="Receipt",$C437="Other Income",$C437="Capital In",$C437="Transfer In"),$G437,0)),"")</f>
        <v/>
      </c>
      <c r="J437" s="61" t="str">
        <f aca="false">IF(IsPro,IF(OR($C437="",N($G437)=0),"",IF(I437=0,$G437,0)),"")</f>
        <v/>
      </c>
      <c r="K437" s="60" t="str">
        <f aca="false">IF(IsPro,IF($C437="","",IF(AND(OR($C437="Receipt",$C437="Payment"),$D437=""),"Party needed",IF(AND(OR($C437="Expense",$C437="Other Income"),$E437=""),"Head needed",IF($F437="","Account needed","OK")))),IF($C437="","","PRO PLAN"))</f>
        <v/>
      </c>
    </row>
    <row r="438" customFormat="false" ht="15" hidden="false" customHeight="false" outlineLevel="0" collapsed="false">
      <c r="A438" s="55"/>
      <c r="B438" s="56"/>
      <c r="C438" s="56"/>
      <c r="D438" s="56"/>
      <c r="E438" s="56"/>
      <c r="F438" s="56"/>
      <c r="G438" s="58"/>
      <c r="H438" s="56"/>
      <c r="I438" s="61" t="str">
        <f aca="false">IF(IsPro,IF(OR($C438="",N($G438)=0),"",IF(OR($C438="Receipt",$C438="Other Income",$C438="Capital In",$C438="Transfer In"),$G438,0)),"")</f>
        <v/>
      </c>
      <c r="J438" s="61" t="str">
        <f aca="false">IF(IsPro,IF(OR($C438="",N($G438)=0),"",IF(I438=0,$G438,0)),"")</f>
        <v/>
      </c>
      <c r="K438" s="60" t="str">
        <f aca="false">IF(IsPro,IF($C438="","",IF(AND(OR($C438="Receipt",$C438="Payment"),$D438=""),"Party needed",IF(AND(OR($C438="Expense",$C438="Other Income"),$E438=""),"Head needed",IF($F438="","Account needed","OK")))),IF($C438="","","PRO PLAN"))</f>
        <v/>
      </c>
    </row>
    <row r="439" customFormat="false" ht="15" hidden="false" customHeight="false" outlineLevel="0" collapsed="false">
      <c r="A439" s="55"/>
      <c r="B439" s="56"/>
      <c r="C439" s="56"/>
      <c r="D439" s="56"/>
      <c r="E439" s="56"/>
      <c r="F439" s="56"/>
      <c r="G439" s="58"/>
      <c r="H439" s="56"/>
      <c r="I439" s="61" t="str">
        <f aca="false">IF(IsPro,IF(OR($C439="",N($G439)=0),"",IF(OR($C439="Receipt",$C439="Other Income",$C439="Capital In",$C439="Transfer In"),$G439,0)),"")</f>
        <v/>
      </c>
      <c r="J439" s="61" t="str">
        <f aca="false">IF(IsPro,IF(OR($C439="",N($G439)=0),"",IF(I439=0,$G439,0)),"")</f>
        <v/>
      </c>
      <c r="K439" s="60" t="str">
        <f aca="false">IF(IsPro,IF($C439="","",IF(AND(OR($C439="Receipt",$C439="Payment"),$D439=""),"Party needed",IF(AND(OR($C439="Expense",$C439="Other Income"),$E439=""),"Head needed",IF($F439="","Account needed","OK")))),IF($C439="","","PRO PLAN"))</f>
        <v/>
      </c>
    </row>
    <row r="440" customFormat="false" ht="15" hidden="false" customHeight="false" outlineLevel="0" collapsed="false">
      <c r="A440" s="55"/>
      <c r="B440" s="56"/>
      <c r="C440" s="56"/>
      <c r="D440" s="56"/>
      <c r="E440" s="56"/>
      <c r="F440" s="56"/>
      <c r="G440" s="58"/>
      <c r="H440" s="56"/>
      <c r="I440" s="61" t="str">
        <f aca="false">IF(IsPro,IF(OR($C440="",N($G440)=0),"",IF(OR($C440="Receipt",$C440="Other Income",$C440="Capital In",$C440="Transfer In"),$G440,0)),"")</f>
        <v/>
      </c>
      <c r="J440" s="61" t="str">
        <f aca="false">IF(IsPro,IF(OR($C440="",N($G440)=0),"",IF(I440=0,$G440,0)),"")</f>
        <v/>
      </c>
      <c r="K440" s="60" t="str">
        <f aca="false">IF(IsPro,IF($C440="","",IF(AND(OR($C440="Receipt",$C440="Payment"),$D440=""),"Party needed",IF(AND(OR($C440="Expense",$C440="Other Income"),$E440=""),"Head needed",IF($F440="","Account needed","OK")))),IF($C440="","","PRO PLAN"))</f>
        <v/>
      </c>
    </row>
    <row r="441" customFormat="false" ht="15" hidden="false" customHeight="false" outlineLevel="0" collapsed="false">
      <c r="A441" s="55"/>
      <c r="B441" s="56"/>
      <c r="C441" s="56"/>
      <c r="D441" s="56"/>
      <c r="E441" s="56"/>
      <c r="F441" s="56"/>
      <c r="G441" s="58"/>
      <c r="H441" s="56"/>
      <c r="I441" s="61" t="str">
        <f aca="false">IF(IsPro,IF(OR($C441="",N($G441)=0),"",IF(OR($C441="Receipt",$C441="Other Income",$C441="Capital In",$C441="Transfer In"),$G441,0)),"")</f>
        <v/>
      </c>
      <c r="J441" s="61" t="str">
        <f aca="false">IF(IsPro,IF(OR($C441="",N($G441)=0),"",IF(I441=0,$G441,0)),"")</f>
        <v/>
      </c>
      <c r="K441" s="60" t="str">
        <f aca="false">IF(IsPro,IF($C441="","",IF(AND(OR($C441="Receipt",$C441="Payment"),$D441=""),"Party needed",IF(AND(OR($C441="Expense",$C441="Other Income"),$E441=""),"Head needed",IF($F441="","Account needed","OK")))),IF($C441="","","PRO PLAN"))</f>
        <v/>
      </c>
    </row>
    <row r="442" customFormat="false" ht="15" hidden="false" customHeight="false" outlineLevel="0" collapsed="false">
      <c r="A442" s="55"/>
      <c r="B442" s="56"/>
      <c r="C442" s="56"/>
      <c r="D442" s="56"/>
      <c r="E442" s="56"/>
      <c r="F442" s="56"/>
      <c r="G442" s="58"/>
      <c r="H442" s="56"/>
      <c r="I442" s="61" t="str">
        <f aca="false">IF(IsPro,IF(OR($C442="",N($G442)=0),"",IF(OR($C442="Receipt",$C442="Other Income",$C442="Capital In",$C442="Transfer In"),$G442,0)),"")</f>
        <v/>
      </c>
      <c r="J442" s="61" t="str">
        <f aca="false">IF(IsPro,IF(OR($C442="",N($G442)=0),"",IF(I442=0,$G442,0)),"")</f>
        <v/>
      </c>
      <c r="K442" s="60" t="str">
        <f aca="false">IF(IsPro,IF($C442="","",IF(AND(OR($C442="Receipt",$C442="Payment"),$D442=""),"Party needed",IF(AND(OR($C442="Expense",$C442="Other Income"),$E442=""),"Head needed",IF($F442="","Account needed","OK")))),IF($C442="","","PRO PLAN"))</f>
        <v/>
      </c>
    </row>
    <row r="443" customFormat="false" ht="15" hidden="false" customHeight="false" outlineLevel="0" collapsed="false">
      <c r="A443" s="55"/>
      <c r="B443" s="56"/>
      <c r="C443" s="56"/>
      <c r="D443" s="56"/>
      <c r="E443" s="56"/>
      <c r="F443" s="56"/>
      <c r="G443" s="58"/>
      <c r="H443" s="56"/>
      <c r="I443" s="61" t="str">
        <f aca="false">IF(IsPro,IF(OR($C443="",N($G443)=0),"",IF(OR($C443="Receipt",$C443="Other Income",$C443="Capital In",$C443="Transfer In"),$G443,0)),"")</f>
        <v/>
      </c>
      <c r="J443" s="61" t="str">
        <f aca="false">IF(IsPro,IF(OR($C443="",N($G443)=0),"",IF(I443=0,$G443,0)),"")</f>
        <v/>
      </c>
      <c r="K443" s="60" t="str">
        <f aca="false">IF(IsPro,IF($C443="","",IF(AND(OR($C443="Receipt",$C443="Payment"),$D443=""),"Party needed",IF(AND(OR($C443="Expense",$C443="Other Income"),$E443=""),"Head needed",IF($F443="","Account needed","OK")))),IF($C443="","","PRO PLAN"))</f>
        <v/>
      </c>
    </row>
    <row r="444" customFormat="false" ht="15" hidden="false" customHeight="false" outlineLevel="0" collapsed="false">
      <c r="A444" s="55"/>
      <c r="B444" s="56"/>
      <c r="C444" s="56"/>
      <c r="D444" s="56"/>
      <c r="E444" s="56"/>
      <c r="F444" s="56"/>
      <c r="G444" s="58"/>
      <c r="H444" s="56"/>
      <c r="I444" s="61" t="str">
        <f aca="false">IF(IsPro,IF(OR($C444="",N($G444)=0),"",IF(OR($C444="Receipt",$C444="Other Income",$C444="Capital In",$C444="Transfer In"),$G444,0)),"")</f>
        <v/>
      </c>
      <c r="J444" s="61" t="str">
        <f aca="false">IF(IsPro,IF(OR($C444="",N($G444)=0),"",IF(I444=0,$G444,0)),"")</f>
        <v/>
      </c>
      <c r="K444" s="60" t="str">
        <f aca="false">IF(IsPro,IF($C444="","",IF(AND(OR($C444="Receipt",$C444="Payment"),$D444=""),"Party needed",IF(AND(OR($C444="Expense",$C444="Other Income"),$E444=""),"Head needed",IF($F444="","Account needed","OK")))),IF($C444="","","PRO PLAN"))</f>
        <v/>
      </c>
    </row>
    <row r="445" customFormat="false" ht="15" hidden="false" customHeight="false" outlineLevel="0" collapsed="false">
      <c r="A445" s="55"/>
      <c r="B445" s="56"/>
      <c r="C445" s="56"/>
      <c r="D445" s="56"/>
      <c r="E445" s="56"/>
      <c r="F445" s="56"/>
      <c r="G445" s="58"/>
      <c r="H445" s="56"/>
      <c r="I445" s="61" t="str">
        <f aca="false">IF(IsPro,IF(OR($C445="",N($G445)=0),"",IF(OR($C445="Receipt",$C445="Other Income",$C445="Capital In",$C445="Transfer In"),$G445,0)),"")</f>
        <v/>
      </c>
      <c r="J445" s="61" t="str">
        <f aca="false">IF(IsPro,IF(OR($C445="",N($G445)=0),"",IF(I445=0,$G445,0)),"")</f>
        <v/>
      </c>
      <c r="K445" s="60" t="str">
        <f aca="false">IF(IsPro,IF($C445="","",IF(AND(OR($C445="Receipt",$C445="Payment"),$D445=""),"Party needed",IF(AND(OR($C445="Expense",$C445="Other Income"),$E445=""),"Head needed",IF($F445="","Account needed","OK")))),IF($C445="","","PRO PLAN"))</f>
        <v/>
      </c>
    </row>
    <row r="446" customFormat="false" ht="15" hidden="false" customHeight="false" outlineLevel="0" collapsed="false">
      <c r="A446" s="55"/>
      <c r="B446" s="56"/>
      <c r="C446" s="56"/>
      <c r="D446" s="56"/>
      <c r="E446" s="56"/>
      <c r="F446" s="56"/>
      <c r="G446" s="58"/>
      <c r="H446" s="56"/>
      <c r="I446" s="61" t="str">
        <f aca="false">IF(IsPro,IF(OR($C446="",N($G446)=0),"",IF(OR($C446="Receipt",$C446="Other Income",$C446="Capital In",$C446="Transfer In"),$G446,0)),"")</f>
        <v/>
      </c>
      <c r="J446" s="61" t="str">
        <f aca="false">IF(IsPro,IF(OR($C446="",N($G446)=0),"",IF(I446=0,$G446,0)),"")</f>
        <v/>
      </c>
      <c r="K446" s="60" t="str">
        <f aca="false">IF(IsPro,IF($C446="","",IF(AND(OR($C446="Receipt",$C446="Payment"),$D446=""),"Party needed",IF(AND(OR($C446="Expense",$C446="Other Income"),$E446=""),"Head needed",IF($F446="","Account needed","OK")))),IF($C446="","","PRO PLAN"))</f>
        <v/>
      </c>
    </row>
    <row r="447" customFormat="false" ht="15" hidden="false" customHeight="false" outlineLevel="0" collapsed="false">
      <c r="A447" s="55"/>
      <c r="B447" s="56"/>
      <c r="C447" s="56"/>
      <c r="D447" s="56"/>
      <c r="E447" s="56"/>
      <c r="F447" s="56"/>
      <c r="G447" s="58"/>
      <c r="H447" s="56"/>
      <c r="I447" s="61" t="str">
        <f aca="false">IF(IsPro,IF(OR($C447="",N($G447)=0),"",IF(OR($C447="Receipt",$C447="Other Income",$C447="Capital In",$C447="Transfer In"),$G447,0)),"")</f>
        <v/>
      </c>
      <c r="J447" s="61" t="str">
        <f aca="false">IF(IsPro,IF(OR($C447="",N($G447)=0),"",IF(I447=0,$G447,0)),"")</f>
        <v/>
      </c>
      <c r="K447" s="60" t="str">
        <f aca="false">IF(IsPro,IF($C447="","",IF(AND(OR($C447="Receipt",$C447="Payment"),$D447=""),"Party needed",IF(AND(OR($C447="Expense",$C447="Other Income"),$E447=""),"Head needed",IF($F447="","Account needed","OK")))),IF($C447="","","PRO PLAN"))</f>
        <v/>
      </c>
    </row>
    <row r="448" customFormat="false" ht="15" hidden="false" customHeight="false" outlineLevel="0" collapsed="false">
      <c r="A448" s="55"/>
      <c r="B448" s="56"/>
      <c r="C448" s="56"/>
      <c r="D448" s="56"/>
      <c r="E448" s="56"/>
      <c r="F448" s="56"/>
      <c r="G448" s="58"/>
      <c r="H448" s="56"/>
      <c r="I448" s="61" t="str">
        <f aca="false">IF(IsPro,IF(OR($C448="",N($G448)=0),"",IF(OR($C448="Receipt",$C448="Other Income",$C448="Capital In",$C448="Transfer In"),$G448,0)),"")</f>
        <v/>
      </c>
      <c r="J448" s="61" t="str">
        <f aca="false">IF(IsPro,IF(OR($C448="",N($G448)=0),"",IF(I448=0,$G448,0)),"")</f>
        <v/>
      </c>
      <c r="K448" s="60" t="str">
        <f aca="false">IF(IsPro,IF($C448="","",IF(AND(OR($C448="Receipt",$C448="Payment"),$D448=""),"Party needed",IF(AND(OR($C448="Expense",$C448="Other Income"),$E448=""),"Head needed",IF($F448="","Account needed","OK")))),IF($C448="","","PRO PLAN"))</f>
        <v/>
      </c>
    </row>
    <row r="449" customFormat="false" ht="15" hidden="false" customHeight="false" outlineLevel="0" collapsed="false">
      <c r="A449" s="55"/>
      <c r="B449" s="56"/>
      <c r="C449" s="56"/>
      <c r="D449" s="56"/>
      <c r="E449" s="56"/>
      <c r="F449" s="56"/>
      <c r="G449" s="58"/>
      <c r="H449" s="56"/>
      <c r="I449" s="61" t="str">
        <f aca="false">IF(IsPro,IF(OR($C449="",N($G449)=0),"",IF(OR($C449="Receipt",$C449="Other Income",$C449="Capital In",$C449="Transfer In"),$G449,0)),"")</f>
        <v/>
      </c>
      <c r="J449" s="61" t="str">
        <f aca="false">IF(IsPro,IF(OR($C449="",N($G449)=0),"",IF(I449=0,$G449,0)),"")</f>
        <v/>
      </c>
      <c r="K449" s="60" t="str">
        <f aca="false">IF(IsPro,IF($C449="","",IF(AND(OR($C449="Receipt",$C449="Payment"),$D449=""),"Party needed",IF(AND(OR($C449="Expense",$C449="Other Income"),$E449=""),"Head needed",IF($F449="","Account needed","OK")))),IF($C449="","","PRO PLAN"))</f>
        <v/>
      </c>
    </row>
    <row r="450" customFormat="false" ht="15" hidden="false" customHeight="false" outlineLevel="0" collapsed="false">
      <c r="A450" s="55"/>
      <c r="B450" s="56"/>
      <c r="C450" s="56"/>
      <c r="D450" s="56"/>
      <c r="E450" s="56"/>
      <c r="F450" s="56"/>
      <c r="G450" s="58"/>
      <c r="H450" s="56"/>
      <c r="I450" s="61" t="str">
        <f aca="false">IF(IsPro,IF(OR($C450="",N($G450)=0),"",IF(OR($C450="Receipt",$C450="Other Income",$C450="Capital In",$C450="Transfer In"),$G450,0)),"")</f>
        <v/>
      </c>
      <c r="J450" s="61" t="str">
        <f aca="false">IF(IsPro,IF(OR($C450="",N($G450)=0),"",IF(I450=0,$G450,0)),"")</f>
        <v/>
      </c>
      <c r="K450" s="60" t="str">
        <f aca="false">IF(IsPro,IF($C450="","",IF(AND(OR($C450="Receipt",$C450="Payment"),$D450=""),"Party needed",IF(AND(OR($C450="Expense",$C450="Other Income"),$E450=""),"Head needed",IF($F450="","Account needed","OK")))),IF($C450="","","PRO PLAN"))</f>
        <v/>
      </c>
    </row>
    <row r="451" customFormat="false" ht="15" hidden="false" customHeight="false" outlineLevel="0" collapsed="false">
      <c r="A451" s="55"/>
      <c r="B451" s="56"/>
      <c r="C451" s="56"/>
      <c r="D451" s="56"/>
      <c r="E451" s="56"/>
      <c r="F451" s="56"/>
      <c r="G451" s="58"/>
      <c r="H451" s="56"/>
      <c r="I451" s="61" t="str">
        <f aca="false">IF(IsPro,IF(OR($C451="",N($G451)=0),"",IF(OR($C451="Receipt",$C451="Other Income",$C451="Capital In",$C451="Transfer In"),$G451,0)),"")</f>
        <v/>
      </c>
      <c r="J451" s="61" t="str">
        <f aca="false">IF(IsPro,IF(OR($C451="",N($G451)=0),"",IF(I451=0,$G451,0)),"")</f>
        <v/>
      </c>
      <c r="K451" s="60" t="str">
        <f aca="false">IF(IsPro,IF($C451="","",IF(AND(OR($C451="Receipt",$C451="Payment"),$D451=""),"Party needed",IF(AND(OR($C451="Expense",$C451="Other Income"),$E451=""),"Head needed",IF($F451="","Account needed","OK")))),IF($C451="","","PRO PLAN"))</f>
        <v/>
      </c>
    </row>
    <row r="452" customFormat="false" ht="15" hidden="false" customHeight="false" outlineLevel="0" collapsed="false">
      <c r="A452" s="55"/>
      <c r="B452" s="56"/>
      <c r="C452" s="56"/>
      <c r="D452" s="56"/>
      <c r="E452" s="56"/>
      <c r="F452" s="56"/>
      <c r="G452" s="58"/>
      <c r="H452" s="56"/>
      <c r="I452" s="61" t="str">
        <f aca="false">IF(IsPro,IF(OR($C452="",N($G452)=0),"",IF(OR($C452="Receipt",$C452="Other Income",$C452="Capital In",$C452="Transfer In"),$G452,0)),"")</f>
        <v/>
      </c>
      <c r="J452" s="61" t="str">
        <f aca="false">IF(IsPro,IF(OR($C452="",N($G452)=0),"",IF(I452=0,$G452,0)),"")</f>
        <v/>
      </c>
      <c r="K452" s="60" t="str">
        <f aca="false">IF(IsPro,IF($C452="","",IF(AND(OR($C452="Receipt",$C452="Payment"),$D452=""),"Party needed",IF(AND(OR($C452="Expense",$C452="Other Income"),$E452=""),"Head needed",IF($F452="","Account needed","OK")))),IF($C452="","","PRO PLAN"))</f>
        <v/>
      </c>
    </row>
    <row r="453" customFormat="false" ht="15" hidden="false" customHeight="false" outlineLevel="0" collapsed="false">
      <c r="A453" s="55"/>
      <c r="B453" s="56"/>
      <c r="C453" s="56"/>
      <c r="D453" s="56"/>
      <c r="E453" s="56"/>
      <c r="F453" s="56"/>
      <c r="G453" s="58"/>
      <c r="H453" s="56"/>
      <c r="I453" s="61" t="str">
        <f aca="false">IF(IsPro,IF(OR($C453="",N($G453)=0),"",IF(OR($C453="Receipt",$C453="Other Income",$C453="Capital In",$C453="Transfer In"),$G453,0)),"")</f>
        <v/>
      </c>
      <c r="J453" s="61" t="str">
        <f aca="false">IF(IsPro,IF(OR($C453="",N($G453)=0),"",IF(I453=0,$G453,0)),"")</f>
        <v/>
      </c>
      <c r="K453" s="60" t="str">
        <f aca="false">IF(IsPro,IF($C453="","",IF(AND(OR($C453="Receipt",$C453="Payment"),$D453=""),"Party needed",IF(AND(OR($C453="Expense",$C453="Other Income"),$E453=""),"Head needed",IF($F453="","Account needed","OK")))),IF($C453="","","PRO PLAN"))</f>
        <v/>
      </c>
    </row>
    <row r="454" customFormat="false" ht="15" hidden="false" customHeight="false" outlineLevel="0" collapsed="false">
      <c r="A454" s="55"/>
      <c r="B454" s="56"/>
      <c r="C454" s="56"/>
      <c r="D454" s="56"/>
      <c r="E454" s="56"/>
      <c r="F454" s="56"/>
      <c r="G454" s="58"/>
      <c r="H454" s="56"/>
      <c r="I454" s="61" t="str">
        <f aca="false">IF(IsPro,IF(OR($C454="",N($G454)=0),"",IF(OR($C454="Receipt",$C454="Other Income",$C454="Capital In",$C454="Transfer In"),$G454,0)),"")</f>
        <v/>
      </c>
      <c r="J454" s="61" t="str">
        <f aca="false">IF(IsPro,IF(OR($C454="",N($G454)=0),"",IF(I454=0,$G454,0)),"")</f>
        <v/>
      </c>
      <c r="K454" s="60" t="str">
        <f aca="false">IF(IsPro,IF($C454="","",IF(AND(OR($C454="Receipt",$C454="Payment"),$D454=""),"Party needed",IF(AND(OR($C454="Expense",$C454="Other Income"),$E454=""),"Head needed",IF($F454="","Account needed","OK")))),IF($C454="","","PRO PLAN"))</f>
        <v/>
      </c>
    </row>
    <row r="455" customFormat="false" ht="15" hidden="false" customHeight="false" outlineLevel="0" collapsed="false">
      <c r="A455" s="55"/>
      <c r="B455" s="56"/>
      <c r="C455" s="56"/>
      <c r="D455" s="56"/>
      <c r="E455" s="56"/>
      <c r="F455" s="56"/>
      <c r="G455" s="58"/>
      <c r="H455" s="56"/>
      <c r="I455" s="61" t="str">
        <f aca="false">IF(IsPro,IF(OR($C455="",N($G455)=0),"",IF(OR($C455="Receipt",$C455="Other Income",$C455="Capital In",$C455="Transfer In"),$G455,0)),"")</f>
        <v/>
      </c>
      <c r="J455" s="61" t="str">
        <f aca="false">IF(IsPro,IF(OR($C455="",N($G455)=0),"",IF(I455=0,$G455,0)),"")</f>
        <v/>
      </c>
      <c r="K455" s="60" t="str">
        <f aca="false">IF(IsPro,IF($C455="","",IF(AND(OR($C455="Receipt",$C455="Payment"),$D455=""),"Party needed",IF(AND(OR($C455="Expense",$C455="Other Income"),$E455=""),"Head needed",IF($F455="","Account needed","OK")))),IF($C455="","","PRO PLAN"))</f>
        <v/>
      </c>
    </row>
    <row r="456" customFormat="false" ht="15" hidden="false" customHeight="false" outlineLevel="0" collapsed="false">
      <c r="A456" s="55"/>
      <c r="B456" s="56"/>
      <c r="C456" s="56"/>
      <c r="D456" s="56"/>
      <c r="E456" s="56"/>
      <c r="F456" s="56"/>
      <c r="G456" s="58"/>
      <c r="H456" s="56"/>
      <c r="I456" s="61" t="str">
        <f aca="false">IF(IsPro,IF(OR($C456="",N($G456)=0),"",IF(OR($C456="Receipt",$C456="Other Income",$C456="Capital In",$C456="Transfer In"),$G456,0)),"")</f>
        <v/>
      </c>
      <c r="J456" s="61" t="str">
        <f aca="false">IF(IsPro,IF(OR($C456="",N($G456)=0),"",IF(I456=0,$G456,0)),"")</f>
        <v/>
      </c>
      <c r="K456" s="60" t="str">
        <f aca="false">IF(IsPro,IF($C456="","",IF(AND(OR($C456="Receipt",$C456="Payment"),$D456=""),"Party needed",IF(AND(OR($C456="Expense",$C456="Other Income"),$E456=""),"Head needed",IF($F456="","Account needed","OK")))),IF($C456="","","PRO PLAN"))</f>
        <v/>
      </c>
    </row>
    <row r="457" customFormat="false" ht="15" hidden="false" customHeight="false" outlineLevel="0" collapsed="false">
      <c r="A457" s="55"/>
      <c r="B457" s="56"/>
      <c r="C457" s="56"/>
      <c r="D457" s="56"/>
      <c r="E457" s="56"/>
      <c r="F457" s="56"/>
      <c r="G457" s="58"/>
      <c r="H457" s="56"/>
      <c r="I457" s="61" t="str">
        <f aca="false">IF(IsPro,IF(OR($C457="",N($G457)=0),"",IF(OR($C457="Receipt",$C457="Other Income",$C457="Capital In",$C457="Transfer In"),$G457,0)),"")</f>
        <v/>
      </c>
      <c r="J457" s="61" t="str">
        <f aca="false">IF(IsPro,IF(OR($C457="",N($G457)=0),"",IF(I457=0,$G457,0)),"")</f>
        <v/>
      </c>
      <c r="K457" s="60" t="str">
        <f aca="false">IF(IsPro,IF($C457="","",IF(AND(OR($C457="Receipt",$C457="Payment"),$D457=""),"Party needed",IF(AND(OR($C457="Expense",$C457="Other Income"),$E457=""),"Head needed",IF($F457="","Account needed","OK")))),IF($C457="","","PRO PLAN"))</f>
        <v/>
      </c>
    </row>
    <row r="458" customFormat="false" ht="15" hidden="false" customHeight="false" outlineLevel="0" collapsed="false">
      <c r="A458" s="55"/>
      <c r="B458" s="56"/>
      <c r="C458" s="56"/>
      <c r="D458" s="56"/>
      <c r="E458" s="56"/>
      <c r="F458" s="56"/>
      <c r="G458" s="58"/>
      <c r="H458" s="56"/>
      <c r="I458" s="61" t="str">
        <f aca="false">IF(IsPro,IF(OR($C458="",N($G458)=0),"",IF(OR($C458="Receipt",$C458="Other Income",$C458="Capital In",$C458="Transfer In"),$G458,0)),"")</f>
        <v/>
      </c>
      <c r="J458" s="61" t="str">
        <f aca="false">IF(IsPro,IF(OR($C458="",N($G458)=0),"",IF(I458=0,$G458,0)),"")</f>
        <v/>
      </c>
      <c r="K458" s="60" t="str">
        <f aca="false">IF(IsPro,IF($C458="","",IF(AND(OR($C458="Receipt",$C458="Payment"),$D458=""),"Party needed",IF(AND(OR($C458="Expense",$C458="Other Income"),$E458=""),"Head needed",IF($F458="","Account needed","OK")))),IF($C458="","","PRO PLAN"))</f>
        <v/>
      </c>
    </row>
    <row r="459" customFormat="false" ht="15" hidden="false" customHeight="false" outlineLevel="0" collapsed="false">
      <c r="A459" s="55"/>
      <c r="B459" s="56"/>
      <c r="C459" s="56"/>
      <c r="D459" s="56"/>
      <c r="E459" s="56"/>
      <c r="F459" s="56"/>
      <c r="G459" s="58"/>
      <c r="H459" s="56"/>
      <c r="I459" s="61" t="str">
        <f aca="false">IF(IsPro,IF(OR($C459="",N($G459)=0),"",IF(OR($C459="Receipt",$C459="Other Income",$C459="Capital In",$C459="Transfer In"),$G459,0)),"")</f>
        <v/>
      </c>
      <c r="J459" s="61" t="str">
        <f aca="false">IF(IsPro,IF(OR($C459="",N($G459)=0),"",IF(I459=0,$G459,0)),"")</f>
        <v/>
      </c>
      <c r="K459" s="60" t="str">
        <f aca="false">IF(IsPro,IF($C459="","",IF(AND(OR($C459="Receipt",$C459="Payment"),$D459=""),"Party needed",IF(AND(OR($C459="Expense",$C459="Other Income"),$E459=""),"Head needed",IF($F459="","Account needed","OK")))),IF($C459="","","PRO PLAN"))</f>
        <v/>
      </c>
    </row>
    <row r="460" customFormat="false" ht="15" hidden="false" customHeight="false" outlineLevel="0" collapsed="false">
      <c r="A460" s="55"/>
      <c r="B460" s="56"/>
      <c r="C460" s="56"/>
      <c r="D460" s="56"/>
      <c r="E460" s="56"/>
      <c r="F460" s="56"/>
      <c r="G460" s="58"/>
      <c r="H460" s="56"/>
      <c r="I460" s="61" t="str">
        <f aca="false">IF(IsPro,IF(OR($C460="",N($G460)=0),"",IF(OR($C460="Receipt",$C460="Other Income",$C460="Capital In",$C460="Transfer In"),$G460,0)),"")</f>
        <v/>
      </c>
      <c r="J460" s="61" t="str">
        <f aca="false">IF(IsPro,IF(OR($C460="",N($G460)=0),"",IF(I460=0,$G460,0)),"")</f>
        <v/>
      </c>
      <c r="K460" s="60" t="str">
        <f aca="false">IF(IsPro,IF($C460="","",IF(AND(OR($C460="Receipt",$C460="Payment"),$D460=""),"Party needed",IF(AND(OR($C460="Expense",$C460="Other Income"),$E460=""),"Head needed",IF($F460="","Account needed","OK")))),IF($C460="","","PRO PLAN"))</f>
        <v/>
      </c>
    </row>
    <row r="461" customFormat="false" ht="15" hidden="false" customHeight="false" outlineLevel="0" collapsed="false">
      <c r="A461" s="55"/>
      <c r="B461" s="56"/>
      <c r="C461" s="56"/>
      <c r="D461" s="56"/>
      <c r="E461" s="56"/>
      <c r="F461" s="56"/>
      <c r="G461" s="58"/>
      <c r="H461" s="56"/>
      <c r="I461" s="61" t="str">
        <f aca="false">IF(IsPro,IF(OR($C461="",N($G461)=0),"",IF(OR($C461="Receipt",$C461="Other Income",$C461="Capital In",$C461="Transfer In"),$G461,0)),"")</f>
        <v/>
      </c>
      <c r="J461" s="61" t="str">
        <f aca="false">IF(IsPro,IF(OR($C461="",N($G461)=0),"",IF(I461=0,$G461,0)),"")</f>
        <v/>
      </c>
      <c r="K461" s="60" t="str">
        <f aca="false">IF(IsPro,IF($C461="","",IF(AND(OR($C461="Receipt",$C461="Payment"),$D461=""),"Party needed",IF(AND(OR($C461="Expense",$C461="Other Income"),$E461=""),"Head needed",IF($F461="","Account needed","OK")))),IF($C461="","","PRO PLAN"))</f>
        <v/>
      </c>
    </row>
    <row r="462" customFormat="false" ht="15" hidden="false" customHeight="false" outlineLevel="0" collapsed="false">
      <c r="A462" s="55"/>
      <c r="B462" s="56"/>
      <c r="C462" s="56"/>
      <c r="D462" s="56"/>
      <c r="E462" s="56"/>
      <c r="F462" s="56"/>
      <c r="G462" s="58"/>
      <c r="H462" s="56"/>
      <c r="I462" s="61" t="str">
        <f aca="false">IF(IsPro,IF(OR($C462="",N($G462)=0),"",IF(OR($C462="Receipt",$C462="Other Income",$C462="Capital In",$C462="Transfer In"),$G462,0)),"")</f>
        <v/>
      </c>
      <c r="J462" s="61" t="str">
        <f aca="false">IF(IsPro,IF(OR($C462="",N($G462)=0),"",IF(I462=0,$G462,0)),"")</f>
        <v/>
      </c>
      <c r="K462" s="60" t="str">
        <f aca="false">IF(IsPro,IF($C462="","",IF(AND(OR($C462="Receipt",$C462="Payment"),$D462=""),"Party needed",IF(AND(OR($C462="Expense",$C462="Other Income"),$E462=""),"Head needed",IF($F462="","Account needed","OK")))),IF($C462="","","PRO PLAN"))</f>
        <v/>
      </c>
    </row>
    <row r="463" customFormat="false" ht="15" hidden="false" customHeight="false" outlineLevel="0" collapsed="false">
      <c r="A463" s="55"/>
      <c r="B463" s="56"/>
      <c r="C463" s="56"/>
      <c r="D463" s="56"/>
      <c r="E463" s="56"/>
      <c r="F463" s="56"/>
      <c r="G463" s="58"/>
      <c r="H463" s="56"/>
      <c r="I463" s="61" t="str">
        <f aca="false">IF(IsPro,IF(OR($C463="",N($G463)=0),"",IF(OR($C463="Receipt",$C463="Other Income",$C463="Capital In",$C463="Transfer In"),$G463,0)),"")</f>
        <v/>
      </c>
      <c r="J463" s="61" t="str">
        <f aca="false">IF(IsPro,IF(OR($C463="",N($G463)=0),"",IF(I463=0,$G463,0)),"")</f>
        <v/>
      </c>
      <c r="K463" s="60" t="str">
        <f aca="false">IF(IsPro,IF($C463="","",IF(AND(OR($C463="Receipt",$C463="Payment"),$D463=""),"Party needed",IF(AND(OR($C463="Expense",$C463="Other Income"),$E463=""),"Head needed",IF($F463="","Account needed","OK")))),IF($C463="","","PRO PLAN"))</f>
        <v/>
      </c>
    </row>
    <row r="464" customFormat="false" ht="15" hidden="false" customHeight="false" outlineLevel="0" collapsed="false">
      <c r="A464" s="55"/>
      <c r="B464" s="56"/>
      <c r="C464" s="56"/>
      <c r="D464" s="56"/>
      <c r="E464" s="56"/>
      <c r="F464" s="56"/>
      <c r="G464" s="58"/>
      <c r="H464" s="56"/>
      <c r="I464" s="61" t="str">
        <f aca="false">IF(IsPro,IF(OR($C464="",N($G464)=0),"",IF(OR($C464="Receipt",$C464="Other Income",$C464="Capital In",$C464="Transfer In"),$G464,0)),"")</f>
        <v/>
      </c>
      <c r="J464" s="61" t="str">
        <f aca="false">IF(IsPro,IF(OR($C464="",N($G464)=0),"",IF(I464=0,$G464,0)),"")</f>
        <v/>
      </c>
      <c r="K464" s="60" t="str">
        <f aca="false">IF(IsPro,IF($C464="","",IF(AND(OR($C464="Receipt",$C464="Payment"),$D464=""),"Party needed",IF(AND(OR($C464="Expense",$C464="Other Income"),$E464=""),"Head needed",IF($F464="","Account needed","OK")))),IF($C464="","","PRO PLAN"))</f>
        <v/>
      </c>
    </row>
    <row r="465" customFormat="false" ht="15" hidden="false" customHeight="false" outlineLevel="0" collapsed="false">
      <c r="A465" s="55"/>
      <c r="B465" s="56"/>
      <c r="C465" s="56"/>
      <c r="D465" s="56"/>
      <c r="E465" s="56"/>
      <c r="F465" s="56"/>
      <c r="G465" s="58"/>
      <c r="H465" s="56"/>
      <c r="I465" s="61" t="str">
        <f aca="false">IF(IsPro,IF(OR($C465="",N($G465)=0),"",IF(OR($C465="Receipt",$C465="Other Income",$C465="Capital In",$C465="Transfer In"),$G465,0)),"")</f>
        <v/>
      </c>
      <c r="J465" s="61" t="str">
        <f aca="false">IF(IsPro,IF(OR($C465="",N($G465)=0),"",IF(I465=0,$G465,0)),"")</f>
        <v/>
      </c>
      <c r="K465" s="60" t="str">
        <f aca="false">IF(IsPro,IF($C465="","",IF(AND(OR($C465="Receipt",$C465="Payment"),$D465=""),"Party needed",IF(AND(OR($C465="Expense",$C465="Other Income"),$E465=""),"Head needed",IF($F465="","Account needed","OK")))),IF($C465="","","PRO PLAN"))</f>
        <v/>
      </c>
    </row>
    <row r="466" customFormat="false" ht="15" hidden="false" customHeight="false" outlineLevel="0" collapsed="false">
      <c r="A466" s="55"/>
      <c r="B466" s="56"/>
      <c r="C466" s="56"/>
      <c r="D466" s="56"/>
      <c r="E466" s="56"/>
      <c r="F466" s="56"/>
      <c r="G466" s="58"/>
      <c r="H466" s="56"/>
      <c r="I466" s="61" t="str">
        <f aca="false">IF(IsPro,IF(OR($C466="",N($G466)=0),"",IF(OR($C466="Receipt",$C466="Other Income",$C466="Capital In",$C466="Transfer In"),$G466,0)),"")</f>
        <v/>
      </c>
      <c r="J466" s="61" t="str">
        <f aca="false">IF(IsPro,IF(OR($C466="",N($G466)=0),"",IF(I466=0,$G466,0)),"")</f>
        <v/>
      </c>
      <c r="K466" s="60" t="str">
        <f aca="false">IF(IsPro,IF($C466="","",IF(AND(OR($C466="Receipt",$C466="Payment"),$D466=""),"Party needed",IF(AND(OR($C466="Expense",$C466="Other Income"),$E466=""),"Head needed",IF($F466="","Account needed","OK")))),IF($C466="","","PRO PLAN"))</f>
        <v/>
      </c>
    </row>
    <row r="467" customFormat="false" ht="15" hidden="false" customHeight="false" outlineLevel="0" collapsed="false">
      <c r="A467" s="55"/>
      <c r="B467" s="56"/>
      <c r="C467" s="56"/>
      <c r="D467" s="56"/>
      <c r="E467" s="56"/>
      <c r="F467" s="56"/>
      <c r="G467" s="58"/>
      <c r="H467" s="56"/>
      <c r="I467" s="61" t="str">
        <f aca="false">IF(IsPro,IF(OR($C467="",N($G467)=0),"",IF(OR($C467="Receipt",$C467="Other Income",$C467="Capital In",$C467="Transfer In"),$G467,0)),"")</f>
        <v/>
      </c>
      <c r="J467" s="61" t="str">
        <f aca="false">IF(IsPro,IF(OR($C467="",N($G467)=0),"",IF(I467=0,$G467,0)),"")</f>
        <v/>
      </c>
      <c r="K467" s="60" t="str">
        <f aca="false">IF(IsPro,IF($C467="","",IF(AND(OR($C467="Receipt",$C467="Payment"),$D467=""),"Party needed",IF(AND(OR($C467="Expense",$C467="Other Income"),$E467=""),"Head needed",IF($F467="","Account needed","OK")))),IF($C467="","","PRO PLAN"))</f>
        <v/>
      </c>
    </row>
    <row r="468" customFormat="false" ht="15" hidden="false" customHeight="false" outlineLevel="0" collapsed="false">
      <c r="A468" s="55"/>
      <c r="B468" s="56"/>
      <c r="C468" s="56"/>
      <c r="D468" s="56"/>
      <c r="E468" s="56"/>
      <c r="F468" s="56"/>
      <c r="G468" s="58"/>
      <c r="H468" s="56"/>
      <c r="I468" s="61" t="str">
        <f aca="false">IF(IsPro,IF(OR($C468="",N($G468)=0),"",IF(OR($C468="Receipt",$C468="Other Income",$C468="Capital In",$C468="Transfer In"),$G468,0)),"")</f>
        <v/>
      </c>
      <c r="J468" s="61" t="str">
        <f aca="false">IF(IsPro,IF(OR($C468="",N($G468)=0),"",IF(I468=0,$G468,0)),"")</f>
        <v/>
      </c>
      <c r="K468" s="60" t="str">
        <f aca="false">IF(IsPro,IF($C468="","",IF(AND(OR($C468="Receipt",$C468="Payment"),$D468=""),"Party needed",IF(AND(OR($C468="Expense",$C468="Other Income"),$E468=""),"Head needed",IF($F468="","Account needed","OK")))),IF($C468="","","PRO PLAN"))</f>
        <v/>
      </c>
    </row>
    <row r="469" customFormat="false" ht="15" hidden="false" customHeight="false" outlineLevel="0" collapsed="false">
      <c r="A469" s="55"/>
      <c r="B469" s="56"/>
      <c r="C469" s="56"/>
      <c r="D469" s="56"/>
      <c r="E469" s="56"/>
      <c r="F469" s="56"/>
      <c r="G469" s="58"/>
      <c r="H469" s="56"/>
      <c r="I469" s="61" t="str">
        <f aca="false">IF(IsPro,IF(OR($C469="",N($G469)=0),"",IF(OR($C469="Receipt",$C469="Other Income",$C469="Capital In",$C469="Transfer In"),$G469,0)),"")</f>
        <v/>
      </c>
      <c r="J469" s="61" t="str">
        <f aca="false">IF(IsPro,IF(OR($C469="",N($G469)=0),"",IF(I469=0,$G469,0)),"")</f>
        <v/>
      </c>
      <c r="K469" s="60" t="str">
        <f aca="false">IF(IsPro,IF($C469="","",IF(AND(OR($C469="Receipt",$C469="Payment"),$D469=""),"Party needed",IF(AND(OR($C469="Expense",$C469="Other Income"),$E469=""),"Head needed",IF($F469="","Account needed","OK")))),IF($C469="","","PRO PLAN"))</f>
        <v/>
      </c>
    </row>
    <row r="470" customFormat="false" ht="15" hidden="false" customHeight="false" outlineLevel="0" collapsed="false">
      <c r="A470" s="55"/>
      <c r="B470" s="56"/>
      <c r="C470" s="56"/>
      <c r="D470" s="56"/>
      <c r="E470" s="56"/>
      <c r="F470" s="56"/>
      <c r="G470" s="58"/>
      <c r="H470" s="56"/>
      <c r="I470" s="61" t="str">
        <f aca="false">IF(IsPro,IF(OR($C470="",N($G470)=0),"",IF(OR($C470="Receipt",$C470="Other Income",$C470="Capital In",$C470="Transfer In"),$G470,0)),"")</f>
        <v/>
      </c>
      <c r="J470" s="61" t="str">
        <f aca="false">IF(IsPro,IF(OR($C470="",N($G470)=0),"",IF(I470=0,$G470,0)),"")</f>
        <v/>
      </c>
      <c r="K470" s="60" t="str">
        <f aca="false">IF(IsPro,IF($C470="","",IF(AND(OR($C470="Receipt",$C470="Payment"),$D470=""),"Party needed",IF(AND(OR($C470="Expense",$C470="Other Income"),$E470=""),"Head needed",IF($F470="","Account needed","OK")))),IF($C470="","","PRO PLAN"))</f>
        <v/>
      </c>
    </row>
    <row r="471" customFormat="false" ht="15" hidden="false" customHeight="false" outlineLevel="0" collapsed="false">
      <c r="A471" s="55"/>
      <c r="B471" s="56"/>
      <c r="C471" s="56"/>
      <c r="D471" s="56"/>
      <c r="E471" s="56"/>
      <c r="F471" s="56"/>
      <c r="G471" s="58"/>
      <c r="H471" s="56"/>
      <c r="I471" s="61" t="str">
        <f aca="false">IF(IsPro,IF(OR($C471="",N($G471)=0),"",IF(OR($C471="Receipt",$C471="Other Income",$C471="Capital In",$C471="Transfer In"),$G471,0)),"")</f>
        <v/>
      </c>
      <c r="J471" s="61" t="str">
        <f aca="false">IF(IsPro,IF(OR($C471="",N($G471)=0),"",IF(I471=0,$G471,0)),"")</f>
        <v/>
      </c>
      <c r="K471" s="60" t="str">
        <f aca="false">IF(IsPro,IF($C471="","",IF(AND(OR($C471="Receipt",$C471="Payment"),$D471=""),"Party needed",IF(AND(OR($C471="Expense",$C471="Other Income"),$E471=""),"Head needed",IF($F471="","Account needed","OK")))),IF($C471="","","PRO PLAN"))</f>
        <v/>
      </c>
    </row>
    <row r="472" customFormat="false" ht="15" hidden="false" customHeight="false" outlineLevel="0" collapsed="false">
      <c r="A472" s="55"/>
      <c r="B472" s="56"/>
      <c r="C472" s="56"/>
      <c r="D472" s="56"/>
      <c r="E472" s="56"/>
      <c r="F472" s="56"/>
      <c r="G472" s="58"/>
      <c r="H472" s="56"/>
      <c r="I472" s="61" t="str">
        <f aca="false">IF(IsPro,IF(OR($C472="",N($G472)=0),"",IF(OR($C472="Receipt",$C472="Other Income",$C472="Capital In",$C472="Transfer In"),$G472,0)),"")</f>
        <v/>
      </c>
      <c r="J472" s="61" t="str">
        <f aca="false">IF(IsPro,IF(OR($C472="",N($G472)=0),"",IF(I472=0,$G472,0)),"")</f>
        <v/>
      </c>
      <c r="K472" s="60" t="str">
        <f aca="false">IF(IsPro,IF($C472="","",IF(AND(OR($C472="Receipt",$C472="Payment"),$D472=""),"Party needed",IF(AND(OR($C472="Expense",$C472="Other Income"),$E472=""),"Head needed",IF($F472="","Account needed","OK")))),IF($C472="","","PRO PLAN"))</f>
        <v/>
      </c>
    </row>
    <row r="473" customFormat="false" ht="15" hidden="false" customHeight="false" outlineLevel="0" collapsed="false">
      <c r="A473" s="55"/>
      <c r="B473" s="56"/>
      <c r="C473" s="56"/>
      <c r="D473" s="56"/>
      <c r="E473" s="56"/>
      <c r="F473" s="56"/>
      <c r="G473" s="58"/>
      <c r="H473" s="56"/>
      <c r="I473" s="61" t="str">
        <f aca="false">IF(IsPro,IF(OR($C473="",N($G473)=0),"",IF(OR($C473="Receipt",$C473="Other Income",$C473="Capital In",$C473="Transfer In"),$G473,0)),"")</f>
        <v/>
      </c>
      <c r="J473" s="61" t="str">
        <f aca="false">IF(IsPro,IF(OR($C473="",N($G473)=0),"",IF(I473=0,$G473,0)),"")</f>
        <v/>
      </c>
      <c r="K473" s="60" t="str">
        <f aca="false">IF(IsPro,IF($C473="","",IF(AND(OR($C473="Receipt",$C473="Payment"),$D473=""),"Party needed",IF(AND(OR($C473="Expense",$C473="Other Income"),$E473=""),"Head needed",IF($F473="","Account needed","OK")))),IF($C473="","","PRO PLAN"))</f>
        <v/>
      </c>
    </row>
    <row r="474" customFormat="false" ht="15" hidden="false" customHeight="false" outlineLevel="0" collapsed="false">
      <c r="A474" s="55"/>
      <c r="B474" s="56"/>
      <c r="C474" s="56"/>
      <c r="D474" s="56"/>
      <c r="E474" s="56"/>
      <c r="F474" s="56"/>
      <c r="G474" s="58"/>
      <c r="H474" s="56"/>
      <c r="I474" s="61" t="str">
        <f aca="false">IF(IsPro,IF(OR($C474="",N($G474)=0),"",IF(OR($C474="Receipt",$C474="Other Income",$C474="Capital In",$C474="Transfer In"),$G474,0)),"")</f>
        <v/>
      </c>
      <c r="J474" s="61" t="str">
        <f aca="false">IF(IsPro,IF(OR($C474="",N($G474)=0),"",IF(I474=0,$G474,0)),"")</f>
        <v/>
      </c>
      <c r="K474" s="60" t="str">
        <f aca="false">IF(IsPro,IF($C474="","",IF(AND(OR($C474="Receipt",$C474="Payment"),$D474=""),"Party needed",IF(AND(OR($C474="Expense",$C474="Other Income"),$E474=""),"Head needed",IF($F474="","Account needed","OK")))),IF($C474="","","PRO PLAN"))</f>
        <v/>
      </c>
    </row>
    <row r="475" customFormat="false" ht="15" hidden="false" customHeight="false" outlineLevel="0" collapsed="false">
      <c r="A475" s="55"/>
      <c r="B475" s="56"/>
      <c r="C475" s="56"/>
      <c r="D475" s="56"/>
      <c r="E475" s="56"/>
      <c r="F475" s="56"/>
      <c r="G475" s="58"/>
      <c r="H475" s="56"/>
      <c r="I475" s="61" t="str">
        <f aca="false">IF(IsPro,IF(OR($C475="",N($G475)=0),"",IF(OR($C475="Receipt",$C475="Other Income",$C475="Capital In",$C475="Transfer In"),$G475,0)),"")</f>
        <v/>
      </c>
      <c r="J475" s="61" t="str">
        <f aca="false">IF(IsPro,IF(OR($C475="",N($G475)=0),"",IF(I475=0,$G475,0)),"")</f>
        <v/>
      </c>
      <c r="K475" s="60" t="str">
        <f aca="false">IF(IsPro,IF($C475="","",IF(AND(OR($C475="Receipt",$C475="Payment"),$D475=""),"Party needed",IF(AND(OR($C475="Expense",$C475="Other Income"),$E475=""),"Head needed",IF($F475="","Account needed","OK")))),IF($C475="","","PRO PLAN"))</f>
        <v/>
      </c>
    </row>
    <row r="476" customFormat="false" ht="15" hidden="false" customHeight="false" outlineLevel="0" collapsed="false">
      <c r="A476" s="55"/>
      <c r="B476" s="56"/>
      <c r="C476" s="56"/>
      <c r="D476" s="56"/>
      <c r="E476" s="56"/>
      <c r="F476" s="56"/>
      <c r="G476" s="58"/>
      <c r="H476" s="56"/>
      <c r="I476" s="61" t="str">
        <f aca="false">IF(IsPro,IF(OR($C476="",N($G476)=0),"",IF(OR($C476="Receipt",$C476="Other Income",$C476="Capital In",$C476="Transfer In"),$G476,0)),"")</f>
        <v/>
      </c>
      <c r="J476" s="61" t="str">
        <f aca="false">IF(IsPro,IF(OR($C476="",N($G476)=0),"",IF(I476=0,$G476,0)),"")</f>
        <v/>
      </c>
      <c r="K476" s="60" t="str">
        <f aca="false">IF(IsPro,IF($C476="","",IF(AND(OR($C476="Receipt",$C476="Payment"),$D476=""),"Party needed",IF(AND(OR($C476="Expense",$C476="Other Income"),$E476=""),"Head needed",IF($F476="","Account needed","OK")))),IF($C476="","","PRO PLAN"))</f>
        <v/>
      </c>
    </row>
    <row r="477" customFormat="false" ht="15" hidden="false" customHeight="false" outlineLevel="0" collapsed="false">
      <c r="A477" s="55"/>
      <c r="B477" s="56"/>
      <c r="C477" s="56"/>
      <c r="D477" s="56"/>
      <c r="E477" s="56"/>
      <c r="F477" s="56"/>
      <c r="G477" s="58"/>
      <c r="H477" s="56"/>
      <c r="I477" s="61" t="str">
        <f aca="false">IF(IsPro,IF(OR($C477="",N($G477)=0),"",IF(OR($C477="Receipt",$C477="Other Income",$C477="Capital In",$C477="Transfer In"),$G477,0)),"")</f>
        <v/>
      </c>
      <c r="J477" s="61" t="str">
        <f aca="false">IF(IsPro,IF(OR($C477="",N($G477)=0),"",IF(I477=0,$G477,0)),"")</f>
        <v/>
      </c>
      <c r="K477" s="60" t="str">
        <f aca="false">IF(IsPro,IF($C477="","",IF(AND(OR($C477="Receipt",$C477="Payment"),$D477=""),"Party needed",IF(AND(OR($C477="Expense",$C477="Other Income"),$E477=""),"Head needed",IF($F477="","Account needed","OK")))),IF($C477="","","PRO PLAN"))</f>
        <v/>
      </c>
    </row>
    <row r="478" customFormat="false" ht="15" hidden="false" customHeight="false" outlineLevel="0" collapsed="false">
      <c r="A478" s="55"/>
      <c r="B478" s="56"/>
      <c r="C478" s="56"/>
      <c r="D478" s="56"/>
      <c r="E478" s="56"/>
      <c r="F478" s="56"/>
      <c r="G478" s="58"/>
      <c r="H478" s="56"/>
      <c r="I478" s="61" t="str">
        <f aca="false">IF(IsPro,IF(OR($C478="",N($G478)=0),"",IF(OR($C478="Receipt",$C478="Other Income",$C478="Capital In",$C478="Transfer In"),$G478,0)),"")</f>
        <v/>
      </c>
      <c r="J478" s="61" t="str">
        <f aca="false">IF(IsPro,IF(OR($C478="",N($G478)=0),"",IF(I478=0,$G478,0)),"")</f>
        <v/>
      </c>
      <c r="K478" s="60" t="str">
        <f aca="false">IF(IsPro,IF($C478="","",IF(AND(OR($C478="Receipt",$C478="Payment"),$D478=""),"Party needed",IF(AND(OR($C478="Expense",$C478="Other Income"),$E478=""),"Head needed",IF($F478="","Account needed","OK")))),IF($C478="","","PRO PLAN"))</f>
        <v/>
      </c>
    </row>
    <row r="479" customFormat="false" ht="15" hidden="false" customHeight="false" outlineLevel="0" collapsed="false">
      <c r="A479" s="55"/>
      <c r="B479" s="56"/>
      <c r="C479" s="56"/>
      <c r="D479" s="56"/>
      <c r="E479" s="56"/>
      <c r="F479" s="56"/>
      <c r="G479" s="58"/>
      <c r="H479" s="56"/>
      <c r="I479" s="61" t="str">
        <f aca="false">IF(IsPro,IF(OR($C479="",N($G479)=0),"",IF(OR($C479="Receipt",$C479="Other Income",$C479="Capital In",$C479="Transfer In"),$G479,0)),"")</f>
        <v/>
      </c>
      <c r="J479" s="61" t="str">
        <f aca="false">IF(IsPro,IF(OR($C479="",N($G479)=0),"",IF(I479=0,$G479,0)),"")</f>
        <v/>
      </c>
      <c r="K479" s="60" t="str">
        <f aca="false">IF(IsPro,IF($C479="","",IF(AND(OR($C479="Receipt",$C479="Payment"),$D479=""),"Party needed",IF(AND(OR($C479="Expense",$C479="Other Income"),$E479=""),"Head needed",IF($F479="","Account needed","OK")))),IF($C479="","","PRO PLAN"))</f>
        <v/>
      </c>
    </row>
    <row r="480" customFormat="false" ht="15" hidden="false" customHeight="false" outlineLevel="0" collapsed="false">
      <c r="A480" s="55"/>
      <c r="B480" s="56"/>
      <c r="C480" s="56"/>
      <c r="D480" s="56"/>
      <c r="E480" s="56"/>
      <c r="F480" s="56"/>
      <c r="G480" s="58"/>
      <c r="H480" s="56"/>
      <c r="I480" s="61" t="str">
        <f aca="false">IF(IsPro,IF(OR($C480="",N($G480)=0),"",IF(OR($C480="Receipt",$C480="Other Income",$C480="Capital In",$C480="Transfer In"),$G480,0)),"")</f>
        <v/>
      </c>
      <c r="J480" s="61" t="str">
        <f aca="false">IF(IsPro,IF(OR($C480="",N($G480)=0),"",IF(I480=0,$G480,0)),"")</f>
        <v/>
      </c>
      <c r="K480" s="60" t="str">
        <f aca="false">IF(IsPro,IF($C480="","",IF(AND(OR($C480="Receipt",$C480="Payment"),$D480=""),"Party needed",IF(AND(OR($C480="Expense",$C480="Other Income"),$E480=""),"Head needed",IF($F480="","Account needed","OK")))),IF($C480="","","PRO PLAN"))</f>
        <v/>
      </c>
    </row>
    <row r="481" customFormat="false" ht="15" hidden="false" customHeight="false" outlineLevel="0" collapsed="false">
      <c r="A481" s="55"/>
      <c r="B481" s="56"/>
      <c r="C481" s="56"/>
      <c r="D481" s="56"/>
      <c r="E481" s="56"/>
      <c r="F481" s="56"/>
      <c r="G481" s="58"/>
      <c r="H481" s="56"/>
      <c r="I481" s="61" t="str">
        <f aca="false">IF(IsPro,IF(OR($C481="",N($G481)=0),"",IF(OR($C481="Receipt",$C481="Other Income",$C481="Capital In",$C481="Transfer In"),$G481,0)),"")</f>
        <v/>
      </c>
      <c r="J481" s="61" t="str">
        <f aca="false">IF(IsPro,IF(OR($C481="",N($G481)=0),"",IF(I481=0,$G481,0)),"")</f>
        <v/>
      </c>
      <c r="K481" s="60" t="str">
        <f aca="false">IF(IsPro,IF($C481="","",IF(AND(OR($C481="Receipt",$C481="Payment"),$D481=""),"Party needed",IF(AND(OR($C481="Expense",$C481="Other Income"),$E481=""),"Head needed",IF($F481="","Account needed","OK")))),IF($C481="","","PRO PLAN"))</f>
        <v/>
      </c>
    </row>
    <row r="482" customFormat="false" ht="15" hidden="false" customHeight="false" outlineLevel="0" collapsed="false">
      <c r="A482" s="55"/>
      <c r="B482" s="56"/>
      <c r="C482" s="56"/>
      <c r="D482" s="56"/>
      <c r="E482" s="56"/>
      <c r="F482" s="56"/>
      <c r="G482" s="58"/>
      <c r="H482" s="56"/>
      <c r="I482" s="61" t="str">
        <f aca="false">IF(IsPro,IF(OR($C482="",N($G482)=0),"",IF(OR($C482="Receipt",$C482="Other Income",$C482="Capital In",$C482="Transfer In"),$G482,0)),"")</f>
        <v/>
      </c>
      <c r="J482" s="61" t="str">
        <f aca="false">IF(IsPro,IF(OR($C482="",N($G482)=0),"",IF(I482=0,$G482,0)),"")</f>
        <v/>
      </c>
      <c r="K482" s="60" t="str">
        <f aca="false">IF(IsPro,IF($C482="","",IF(AND(OR($C482="Receipt",$C482="Payment"),$D482=""),"Party needed",IF(AND(OR($C482="Expense",$C482="Other Income"),$E482=""),"Head needed",IF($F482="","Account needed","OK")))),IF($C482="","","PRO PLAN"))</f>
        <v/>
      </c>
    </row>
    <row r="483" customFormat="false" ht="15" hidden="false" customHeight="false" outlineLevel="0" collapsed="false">
      <c r="A483" s="55"/>
      <c r="B483" s="56"/>
      <c r="C483" s="56"/>
      <c r="D483" s="56"/>
      <c r="E483" s="56"/>
      <c r="F483" s="56"/>
      <c r="G483" s="58"/>
      <c r="H483" s="56"/>
      <c r="I483" s="61" t="str">
        <f aca="false">IF(IsPro,IF(OR($C483="",N($G483)=0),"",IF(OR($C483="Receipt",$C483="Other Income",$C483="Capital In",$C483="Transfer In"),$G483,0)),"")</f>
        <v/>
      </c>
      <c r="J483" s="61" t="str">
        <f aca="false">IF(IsPro,IF(OR($C483="",N($G483)=0),"",IF(I483=0,$G483,0)),"")</f>
        <v/>
      </c>
      <c r="K483" s="60" t="str">
        <f aca="false">IF(IsPro,IF($C483="","",IF(AND(OR($C483="Receipt",$C483="Payment"),$D483=""),"Party needed",IF(AND(OR($C483="Expense",$C483="Other Income"),$E483=""),"Head needed",IF($F483="","Account needed","OK")))),IF($C483="","","PRO PLAN"))</f>
        <v/>
      </c>
    </row>
    <row r="484" customFormat="false" ht="15" hidden="false" customHeight="false" outlineLevel="0" collapsed="false">
      <c r="A484" s="55"/>
      <c r="B484" s="56"/>
      <c r="C484" s="56"/>
      <c r="D484" s="56"/>
      <c r="E484" s="56"/>
      <c r="F484" s="56"/>
      <c r="G484" s="58"/>
      <c r="H484" s="56"/>
      <c r="I484" s="61" t="str">
        <f aca="false">IF(IsPro,IF(OR($C484="",N($G484)=0),"",IF(OR($C484="Receipt",$C484="Other Income",$C484="Capital In",$C484="Transfer In"),$G484,0)),"")</f>
        <v/>
      </c>
      <c r="J484" s="61" t="str">
        <f aca="false">IF(IsPro,IF(OR($C484="",N($G484)=0),"",IF(I484=0,$G484,0)),"")</f>
        <v/>
      </c>
      <c r="K484" s="60" t="str">
        <f aca="false">IF(IsPro,IF($C484="","",IF(AND(OR($C484="Receipt",$C484="Payment"),$D484=""),"Party needed",IF(AND(OR($C484="Expense",$C484="Other Income"),$E484=""),"Head needed",IF($F484="","Account needed","OK")))),IF($C484="","","PRO PLAN"))</f>
        <v/>
      </c>
    </row>
    <row r="485" customFormat="false" ht="15" hidden="false" customHeight="false" outlineLevel="0" collapsed="false">
      <c r="A485" s="55"/>
      <c r="B485" s="56"/>
      <c r="C485" s="56"/>
      <c r="D485" s="56"/>
      <c r="E485" s="56"/>
      <c r="F485" s="56"/>
      <c r="G485" s="58"/>
      <c r="H485" s="56"/>
      <c r="I485" s="61" t="str">
        <f aca="false">IF(IsPro,IF(OR($C485="",N($G485)=0),"",IF(OR($C485="Receipt",$C485="Other Income",$C485="Capital In",$C485="Transfer In"),$G485,0)),"")</f>
        <v/>
      </c>
      <c r="J485" s="61" t="str">
        <f aca="false">IF(IsPro,IF(OR($C485="",N($G485)=0),"",IF(I485=0,$G485,0)),"")</f>
        <v/>
      </c>
      <c r="K485" s="60" t="str">
        <f aca="false">IF(IsPro,IF($C485="","",IF(AND(OR($C485="Receipt",$C485="Payment"),$D485=""),"Party needed",IF(AND(OR($C485="Expense",$C485="Other Income"),$E485=""),"Head needed",IF($F485="","Account needed","OK")))),IF($C485="","","PRO PLAN"))</f>
        <v/>
      </c>
    </row>
    <row r="486" customFormat="false" ht="15" hidden="false" customHeight="false" outlineLevel="0" collapsed="false">
      <c r="A486" s="55"/>
      <c r="B486" s="56"/>
      <c r="C486" s="56"/>
      <c r="D486" s="56"/>
      <c r="E486" s="56"/>
      <c r="F486" s="56"/>
      <c r="G486" s="58"/>
      <c r="H486" s="56"/>
      <c r="I486" s="61" t="str">
        <f aca="false">IF(IsPro,IF(OR($C486="",N($G486)=0),"",IF(OR($C486="Receipt",$C486="Other Income",$C486="Capital In",$C486="Transfer In"),$G486,0)),"")</f>
        <v/>
      </c>
      <c r="J486" s="61" t="str">
        <f aca="false">IF(IsPro,IF(OR($C486="",N($G486)=0),"",IF(I486=0,$G486,0)),"")</f>
        <v/>
      </c>
      <c r="K486" s="60" t="str">
        <f aca="false">IF(IsPro,IF($C486="","",IF(AND(OR($C486="Receipt",$C486="Payment"),$D486=""),"Party needed",IF(AND(OR($C486="Expense",$C486="Other Income"),$E486=""),"Head needed",IF($F486="","Account needed","OK")))),IF($C486="","","PRO PLAN"))</f>
        <v/>
      </c>
    </row>
    <row r="487" customFormat="false" ht="15" hidden="false" customHeight="false" outlineLevel="0" collapsed="false">
      <c r="A487" s="55"/>
      <c r="B487" s="56"/>
      <c r="C487" s="56"/>
      <c r="D487" s="56"/>
      <c r="E487" s="56"/>
      <c r="F487" s="56"/>
      <c r="G487" s="58"/>
      <c r="H487" s="56"/>
      <c r="I487" s="61" t="str">
        <f aca="false">IF(IsPro,IF(OR($C487="",N($G487)=0),"",IF(OR($C487="Receipt",$C487="Other Income",$C487="Capital In",$C487="Transfer In"),$G487,0)),"")</f>
        <v/>
      </c>
      <c r="J487" s="61" t="str">
        <f aca="false">IF(IsPro,IF(OR($C487="",N($G487)=0),"",IF(I487=0,$G487,0)),"")</f>
        <v/>
      </c>
      <c r="K487" s="60" t="str">
        <f aca="false">IF(IsPro,IF($C487="","",IF(AND(OR($C487="Receipt",$C487="Payment"),$D487=""),"Party needed",IF(AND(OR($C487="Expense",$C487="Other Income"),$E487=""),"Head needed",IF($F487="","Account needed","OK")))),IF($C487="","","PRO PLAN"))</f>
        <v/>
      </c>
    </row>
    <row r="488" customFormat="false" ht="15" hidden="false" customHeight="false" outlineLevel="0" collapsed="false">
      <c r="A488" s="55"/>
      <c r="B488" s="56"/>
      <c r="C488" s="56"/>
      <c r="D488" s="56"/>
      <c r="E488" s="56"/>
      <c r="F488" s="56"/>
      <c r="G488" s="58"/>
      <c r="H488" s="56"/>
      <c r="I488" s="61" t="str">
        <f aca="false">IF(IsPro,IF(OR($C488="",N($G488)=0),"",IF(OR($C488="Receipt",$C488="Other Income",$C488="Capital In",$C488="Transfer In"),$G488,0)),"")</f>
        <v/>
      </c>
      <c r="J488" s="61" t="str">
        <f aca="false">IF(IsPro,IF(OR($C488="",N($G488)=0),"",IF(I488=0,$G488,0)),"")</f>
        <v/>
      </c>
      <c r="K488" s="60" t="str">
        <f aca="false">IF(IsPro,IF($C488="","",IF(AND(OR($C488="Receipt",$C488="Payment"),$D488=""),"Party needed",IF(AND(OR($C488="Expense",$C488="Other Income"),$E488=""),"Head needed",IF($F488="","Account needed","OK")))),IF($C488="","","PRO PLAN"))</f>
        <v/>
      </c>
    </row>
    <row r="489" customFormat="false" ht="15" hidden="false" customHeight="false" outlineLevel="0" collapsed="false">
      <c r="A489" s="55"/>
      <c r="B489" s="56"/>
      <c r="C489" s="56"/>
      <c r="D489" s="56"/>
      <c r="E489" s="56"/>
      <c r="F489" s="56"/>
      <c r="G489" s="58"/>
      <c r="H489" s="56"/>
      <c r="I489" s="61" t="str">
        <f aca="false">IF(IsPro,IF(OR($C489="",N($G489)=0),"",IF(OR($C489="Receipt",$C489="Other Income",$C489="Capital In",$C489="Transfer In"),$G489,0)),"")</f>
        <v/>
      </c>
      <c r="J489" s="61" t="str">
        <f aca="false">IF(IsPro,IF(OR($C489="",N($G489)=0),"",IF(I489=0,$G489,0)),"")</f>
        <v/>
      </c>
      <c r="K489" s="60" t="str">
        <f aca="false">IF(IsPro,IF($C489="","",IF(AND(OR($C489="Receipt",$C489="Payment"),$D489=""),"Party needed",IF(AND(OR($C489="Expense",$C489="Other Income"),$E489=""),"Head needed",IF($F489="","Account needed","OK")))),IF($C489="","","PRO PLAN"))</f>
        <v/>
      </c>
    </row>
    <row r="490" customFormat="false" ht="15" hidden="false" customHeight="false" outlineLevel="0" collapsed="false">
      <c r="A490" s="55"/>
      <c r="B490" s="56"/>
      <c r="C490" s="56"/>
      <c r="D490" s="56"/>
      <c r="E490" s="56"/>
      <c r="F490" s="56"/>
      <c r="G490" s="58"/>
      <c r="H490" s="56"/>
      <c r="I490" s="61" t="str">
        <f aca="false">IF(IsPro,IF(OR($C490="",N($G490)=0),"",IF(OR($C490="Receipt",$C490="Other Income",$C490="Capital In",$C490="Transfer In"),$G490,0)),"")</f>
        <v/>
      </c>
      <c r="J490" s="61" t="str">
        <f aca="false">IF(IsPro,IF(OR($C490="",N($G490)=0),"",IF(I490=0,$G490,0)),"")</f>
        <v/>
      </c>
      <c r="K490" s="60" t="str">
        <f aca="false">IF(IsPro,IF($C490="","",IF(AND(OR($C490="Receipt",$C490="Payment"),$D490=""),"Party needed",IF(AND(OR($C490="Expense",$C490="Other Income"),$E490=""),"Head needed",IF($F490="","Account needed","OK")))),IF($C490="","","PRO PLAN"))</f>
        <v/>
      </c>
    </row>
    <row r="491" customFormat="false" ht="15" hidden="false" customHeight="false" outlineLevel="0" collapsed="false">
      <c r="A491" s="55"/>
      <c r="B491" s="56"/>
      <c r="C491" s="56"/>
      <c r="D491" s="56"/>
      <c r="E491" s="56"/>
      <c r="F491" s="56"/>
      <c r="G491" s="58"/>
      <c r="H491" s="56"/>
      <c r="I491" s="61" t="str">
        <f aca="false">IF(IsPro,IF(OR($C491="",N($G491)=0),"",IF(OR($C491="Receipt",$C491="Other Income",$C491="Capital In",$C491="Transfer In"),$G491,0)),"")</f>
        <v/>
      </c>
      <c r="J491" s="61" t="str">
        <f aca="false">IF(IsPro,IF(OR($C491="",N($G491)=0),"",IF(I491=0,$G491,0)),"")</f>
        <v/>
      </c>
      <c r="K491" s="60" t="str">
        <f aca="false">IF(IsPro,IF($C491="","",IF(AND(OR($C491="Receipt",$C491="Payment"),$D491=""),"Party needed",IF(AND(OR($C491="Expense",$C491="Other Income"),$E491=""),"Head needed",IF($F491="","Account needed","OK")))),IF($C491="","","PRO PLAN"))</f>
        <v/>
      </c>
    </row>
    <row r="492" customFormat="false" ht="15" hidden="false" customHeight="false" outlineLevel="0" collapsed="false">
      <c r="A492" s="55"/>
      <c r="B492" s="56"/>
      <c r="C492" s="56"/>
      <c r="D492" s="56"/>
      <c r="E492" s="56"/>
      <c r="F492" s="56"/>
      <c r="G492" s="58"/>
      <c r="H492" s="56"/>
      <c r="I492" s="61" t="str">
        <f aca="false">IF(IsPro,IF(OR($C492="",N($G492)=0),"",IF(OR($C492="Receipt",$C492="Other Income",$C492="Capital In",$C492="Transfer In"),$G492,0)),"")</f>
        <v/>
      </c>
      <c r="J492" s="61" t="str">
        <f aca="false">IF(IsPro,IF(OR($C492="",N($G492)=0),"",IF(I492=0,$G492,0)),"")</f>
        <v/>
      </c>
      <c r="K492" s="60" t="str">
        <f aca="false">IF(IsPro,IF($C492="","",IF(AND(OR($C492="Receipt",$C492="Payment"),$D492=""),"Party needed",IF(AND(OR($C492="Expense",$C492="Other Income"),$E492=""),"Head needed",IF($F492="","Account needed","OK")))),IF($C492="","","PRO PLAN"))</f>
        <v/>
      </c>
    </row>
    <row r="493" customFormat="false" ht="15" hidden="false" customHeight="false" outlineLevel="0" collapsed="false">
      <c r="A493" s="55"/>
      <c r="B493" s="56"/>
      <c r="C493" s="56"/>
      <c r="D493" s="56"/>
      <c r="E493" s="56"/>
      <c r="F493" s="56"/>
      <c r="G493" s="58"/>
      <c r="H493" s="56"/>
      <c r="I493" s="61" t="str">
        <f aca="false">IF(IsPro,IF(OR($C493="",N($G493)=0),"",IF(OR($C493="Receipt",$C493="Other Income",$C493="Capital In",$C493="Transfer In"),$G493,0)),"")</f>
        <v/>
      </c>
      <c r="J493" s="61" t="str">
        <f aca="false">IF(IsPro,IF(OR($C493="",N($G493)=0),"",IF(I493=0,$G493,0)),"")</f>
        <v/>
      </c>
      <c r="K493" s="60" t="str">
        <f aca="false">IF(IsPro,IF($C493="","",IF(AND(OR($C493="Receipt",$C493="Payment"),$D493=""),"Party needed",IF(AND(OR($C493="Expense",$C493="Other Income"),$E493=""),"Head needed",IF($F493="","Account needed","OK")))),IF($C493="","","PRO PLAN"))</f>
        <v/>
      </c>
    </row>
    <row r="494" customFormat="false" ht="15" hidden="false" customHeight="false" outlineLevel="0" collapsed="false">
      <c r="A494" s="55"/>
      <c r="B494" s="56"/>
      <c r="C494" s="56"/>
      <c r="D494" s="56"/>
      <c r="E494" s="56"/>
      <c r="F494" s="56"/>
      <c r="G494" s="58"/>
      <c r="H494" s="56"/>
      <c r="I494" s="61" t="str">
        <f aca="false">IF(IsPro,IF(OR($C494="",N($G494)=0),"",IF(OR($C494="Receipt",$C494="Other Income",$C494="Capital In",$C494="Transfer In"),$G494,0)),"")</f>
        <v/>
      </c>
      <c r="J494" s="61" t="str">
        <f aca="false">IF(IsPro,IF(OR($C494="",N($G494)=0),"",IF(I494=0,$G494,0)),"")</f>
        <v/>
      </c>
      <c r="K494" s="60" t="str">
        <f aca="false">IF(IsPro,IF($C494="","",IF(AND(OR($C494="Receipt",$C494="Payment"),$D494=""),"Party needed",IF(AND(OR($C494="Expense",$C494="Other Income"),$E494=""),"Head needed",IF($F494="","Account needed","OK")))),IF($C494="","","PRO PLAN"))</f>
        <v/>
      </c>
    </row>
    <row r="495" customFormat="false" ht="15" hidden="false" customHeight="false" outlineLevel="0" collapsed="false">
      <c r="A495" s="55"/>
      <c r="B495" s="56"/>
      <c r="C495" s="56"/>
      <c r="D495" s="56"/>
      <c r="E495" s="56"/>
      <c r="F495" s="56"/>
      <c r="G495" s="58"/>
      <c r="H495" s="56"/>
      <c r="I495" s="61" t="str">
        <f aca="false">IF(IsPro,IF(OR($C495="",N($G495)=0),"",IF(OR($C495="Receipt",$C495="Other Income",$C495="Capital In",$C495="Transfer In"),$G495,0)),"")</f>
        <v/>
      </c>
      <c r="J495" s="61" t="str">
        <f aca="false">IF(IsPro,IF(OR($C495="",N($G495)=0),"",IF(I495=0,$G495,0)),"")</f>
        <v/>
      </c>
      <c r="K495" s="60" t="str">
        <f aca="false">IF(IsPro,IF($C495="","",IF(AND(OR($C495="Receipt",$C495="Payment"),$D495=""),"Party needed",IF(AND(OR($C495="Expense",$C495="Other Income"),$E495=""),"Head needed",IF($F495="","Account needed","OK")))),IF($C495="","","PRO PLAN"))</f>
        <v/>
      </c>
    </row>
    <row r="496" customFormat="false" ht="15" hidden="false" customHeight="false" outlineLevel="0" collapsed="false">
      <c r="A496" s="55"/>
      <c r="B496" s="56"/>
      <c r="C496" s="56"/>
      <c r="D496" s="56"/>
      <c r="E496" s="56"/>
      <c r="F496" s="56"/>
      <c r="G496" s="58"/>
      <c r="H496" s="56"/>
      <c r="I496" s="61" t="str">
        <f aca="false">IF(IsPro,IF(OR($C496="",N($G496)=0),"",IF(OR($C496="Receipt",$C496="Other Income",$C496="Capital In",$C496="Transfer In"),$G496,0)),"")</f>
        <v/>
      </c>
      <c r="J496" s="61" t="str">
        <f aca="false">IF(IsPro,IF(OR($C496="",N($G496)=0),"",IF(I496=0,$G496,0)),"")</f>
        <v/>
      </c>
      <c r="K496" s="60" t="str">
        <f aca="false">IF(IsPro,IF($C496="","",IF(AND(OR($C496="Receipt",$C496="Payment"),$D496=""),"Party needed",IF(AND(OR($C496="Expense",$C496="Other Income"),$E496=""),"Head needed",IF($F496="","Account needed","OK")))),IF($C496="","","PRO PLAN"))</f>
        <v/>
      </c>
    </row>
    <row r="497" customFormat="false" ht="15" hidden="false" customHeight="false" outlineLevel="0" collapsed="false">
      <c r="A497" s="55"/>
      <c r="B497" s="56"/>
      <c r="C497" s="56"/>
      <c r="D497" s="56"/>
      <c r="E497" s="56"/>
      <c r="F497" s="56"/>
      <c r="G497" s="58"/>
      <c r="H497" s="56"/>
      <c r="I497" s="61" t="str">
        <f aca="false">IF(IsPro,IF(OR($C497="",N($G497)=0),"",IF(OR($C497="Receipt",$C497="Other Income",$C497="Capital In",$C497="Transfer In"),$G497,0)),"")</f>
        <v/>
      </c>
      <c r="J497" s="61" t="str">
        <f aca="false">IF(IsPro,IF(OR($C497="",N($G497)=0),"",IF(I497=0,$G497,0)),"")</f>
        <v/>
      </c>
      <c r="K497" s="60" t="str">
        <f aca="false">IF(IsPro,IF($C497="","",IF(AND(OR($C497="Receipt",$C497="Payment"),$D497=""),"Party needed",IF(AND(OR($C497="Expense",$C497="Other Income"),$E497=""),"Head needed",IF($F497="","Account needed","OK")))),IF($C497="","","PRO PLAN"))</f>
        <v/>
      </c>
    </row>
    <row r="498" customFormat="false" ht="15" hidden="false" customHeight="false" outlineLevel="0" collapsed="false">
      <c r="A498" s="55"/>
      <c r="B498" s="56"/>
      <c r="C498" s="56"/>
      <c r="D498" s="56"/>
      <c r="E498" s="56"/>
      <c r="F498" s="56"/>
      <c r="G498" s="58"/>
      <c r="H498" s="56"/>
      <c r="I498" s="61" t="str">
        <f aca="false">IF(IsPro,IF(OR($C498="",N($G498)=0),"",IF(OR($C498="Receipt",$C498="Other Income",$C498="Capital In",$C498="Transfer In"),$G498,0)),"")</f>
        <v/>
      </c>
      <c r="J498" s="61" t="str">
        <f aca="false">IF(IsPro,IF(OR($C498="",N($G498)=0),"",IF(I498=0,$G498,0)),"")</f>
        <v/>
      </c>
      <c r="K498" s="60" t="str">
        <f aca="false">IF(IsPro,IF($C498="","",IF(AND(OR($C498="Receipt",$C498="Payment"),$D498=""),"Party needed",IF(AND(OR($C498="Expense",$C498="Other Income"),$E498=""),"Head needed",IF($F498="","Account needed","OK")))),IF($C498="","","PRO PLAN"))</f>
        <v/>
      </c>
    </row>
    <row r="499" customFormat="false" ht="15" hidden="false" customHeight="false" outlineLevel="0" collapsed="false">
      <c r="A499" s="55"/>
      <c r="B499" s="56"/>
      <c r="C499" s="56"/>
      <c r="D499" s="56"/>
      <c r="E499" s="56"/>
      <c r="F499" s="56"/>
      <c r="G499" s="58"/>
      <c r="H499" s="56"/>
      <c r="I499" s="61" t="str">
        <f aca="false">IF(IsPro,IF(OR($C499="",N($G499)=0),"",IF(OR($C499="Receipt",$C499="Other Income",$C499="Capital In",$C499="Transfer In"),$G499,0)),"")</f>
        <v/>
      </c>
      <c r="J499" s="61" t="str">
        <f aca="false">IF(IsPro,IF(OR($C499="",N($G499)=0),"",IF(I499=0,$G499,0)),"")</f>
        <v/>
      </c>
      <c r="K499" s="60" t="str">
        <f aca="false">IF(IsPro,IF($C499="","",IF(AND(OR($C499="Receipt",$C499="Payment"),$D499=""),"Party needed",IF(AND(OR($C499="Expense",$C499="Other Income"),$E499=""),"Head needed",IF($F499="","Account needed","OK")))),IF($C499="","","PRO PLAN"))</f>
        <v/>
      </c>
    </row>
    <row r="500" customFormat="false" ht="15" hidden="false" customHeight="false" outlineLevel="0" collapsed="false">
      <c r="A500" s="55"/>
      <c r="B500" s="56"/>
      <c r="C500" s="56"/>
      <c r="D500" s="56"/>
      <c r="E500" s="56"/>
      <c r="F500" s="56"/>
      <c r="G500" s="58"/>
      <c r="H500" s="56"/>
      <c r="I500" s="61" t="str">
        <f aca="false">IF(IsPro,IF(OR($C500="",N($G500)=0),"",IF(OR($C500="Receipt",$C500="Other Income",$C500="Capital In",$C500="Transfer In"),$G500,0)),"")</f>
        <v/>
      </c>
      <c r="J500" s="61" t="str">
        <f aca="false">IF(IsPro,IF(OR($C500="",N($G500)=0),"",IF(I500=0,$G500,0)),"")</f>
        <v/>
      </c>
      <c r="K500" s="60" t="str">
        <f aca="false">IF(IsPro,IF($C500="","",IF(AND(OR($C500="Receipt",$C500="Payment"),$D500=""),"Party needed",IF(AND(OR($C500="Expense",$C500="Other Income"),$E500=""),"Head needed",IF($F500="","Account needed","OK")))),IF($C500="","","PRO PLAN"))</f>
        <v/>
      </c>
    </row>
    <row r="501" customFormat="false" ht="15" hidden="false" customHeight="false" outlineLevel="0" collapsed="false">
      <c r="A501" s="55"/>
      <c r="B501" s="56"/>
      <c r="C501" s="56"/>
      <c r="D501" s="56"/>
      <c r="E501" s="56"/>
      <c r="F501" s="56"/>
      <c r="G501" s="58"/>
      <c r="H501" s="56"/>
      <c r="I501" s="61" t="str">
        <f aca="false">IF(IsPro,IF(OR($C501="",N($G501)=0),"",IF(OR($C501="Receipt",$C501="Other Income",$C501="Capital In",$C501="Transfer In"),$G501,0)),"")</f>
        <v/>
      </c>
      <c r="J501" s="61" t="str">
        <f aca="false">IF(IsPro,IF(OR($C501="",N($G501)=0),"",IF(I501=0,$G501,0)),"")</f>
        <v/>
      </c>
      <c r="K501" s="60" t="str">
        <f aca="false">IF(IsPro,IF($C501="","",IF(AND(OR($C501="Receipt",$C501="Payment"),$D501=""),"Party needed",IF(AND(OR($C501="Expense",$C501="Other Income"),$E501=""),"Head needed",IF($F501="","Account needed","OK")))),IF($C501="","","PRO PLAN"))</f>
        <v/>
      </c>
    </row>
    <row r="502" customFormat="false" ht="15" hidden="false" customHeight="false" outlineLevel="0" collapsed="false">
      <c r="A502" s="55"/>
      <c r="B502" s="56"/>
      <c r="C502" s="56"/>
      <c r="D502" s="56"/>
      <c r="E502" s="56"/>
      <c r="F502" s="56"/>
      <c r="G502" s="58"/>
      <c r="H502" s="56"/>
      <c r="I502" s="61" t="str">
        <f aca="false">IF(IsPro,IF(OR($C502="",N($G502)=0),"",IF(OR($C502="Receipt",$C502="Other Income",$C502="Capital In",$C502="Transfer In"),$G502,0)),"")</f>
        <v/>
      </c>
      <c r="J502" s="61" t="str">
        <f aca="false">IF(IsPro,IF(OR($C502="",N($G502)=0),"",IF(I502=0,$G502,0)),"")</f>
        <v/>
      </c>
      <c r="K502" s="60" t="str">
        <f aca="false">IF(IsPro,IF($C502="","",IF(AND(OR($C502="Receipt",$C502="Payment"),$D502=""),"Party needed",IF(AND(OR($C502="Expense",$C502="Other Income"),$E502=""),"Head needed",IF($F502="","Account needed","OK")))),IF($C502="","","PRO PLAN"))</f>
        <v/>
      </c>
    </row>
    <row r="503" customFormat="false" ht="15" hidden="false" customHeight="false" outlineLevel="0" collapsed="false">
      <c r="A503" s="55"/>
      <c r="B503" s="56"/>
      <c r="C503" s="56"/>
      <c r="D503" s="56"/>
      <c r="E503" s="56"/>
      <c r="F503" s="56"/>
      <c r="G503" s="58"/>
      <c r="H503" s="56"/>
      <c r="I503" s="61" t="str">
        <f aca="false">IF(IsPro,IF(OR($C503="",N($G503)=0),"",IF(OR($C503="Receipt",$C503="Other Income",$C503="Capital In",$C503="Transfer In"),$G503,0)),"")</f>
        <v/>
      </c>
      <c r="J503" s="61" t="str">
        <f aca="false">IF(IsPro,IF(OR($C503="",N($G503)=0),"",IF(I503=0,$G503,0)),"")</f>
        <v/>
      </c>
      <c r="K503" s="60" t="str">
        <f aca="false">IF(IsPro,IF($C503="","",IF(AND(OR($C503="Receipt",$C503="Payment"),$D503=""),"Party needed",IF(AND(OR($C503="Expense",$C503="Other Income"),$E503=""),"Head needed",IF($F503="","Account needed","OK")))),IF($C503="","","PRO PLAN"))</f>
        <v/>
      </c>
    </row>
    <row r="504" customFormat="false" ht="15" hidden="false" customHeight="false" outlineLevel="0" collapsed="false">
      <c r="A504" s="55"/>
      <c r="B504" s="56"/>
      <c r="C504" s="56"/>
      <c r="D504" s="56"/>
      <c r="E504" s="56"/>
      <c r="F504" s="56"/>
      <c r="G504" s="58"/>
      <c r="H504" s="56"/>
      <c r="I504" s="61" t="str">
        <f aca="false">IF(IsPro,IF(OR($C504="",N($G504)=0),"",IF(OR($C504="Receipt",$C504="Other Income",$C504="Capital In",$C504="Transfer In"),$G504,0)),"")</f>
        <v/>
      </c>
      <c r="J504" s="61" t="str">
        <f aca="false">IF(IsPro,IF(OR($C504="",N($G504)=0),"",IF(I504=0,$G504,0)),"")</f>
        <v/>
      </c>
      <c r="K504" s="60" t="str">
        <f aca="false">IF(IsPro,IF($C504="","",IF(AND(OR($C504="Receipt",$C504="Payment"),$D504=""),"Party needed",IF(AND(OR($C504="Expense",$C504="Other Income"),$E504=""),"Head needed",IF($F504="","Account needed","OK")))),IF($C504="","","PRO PLAN"))</f>
        <v/>
      </c>
    </row>
    <row r="505" customFormat="false" ht="15" hidden="false" customHeight="false" outlineLevel="0" collapsed="false">
      <c r="A505" s="55"/>
      <c r="B505" s="56"/>
      <c r="C505" s="56"/>
      <c r="D505" s="56"/>
      <c r="E505" s="56"/>
      <c r="F505" s="56"/>
      <c r="G505" s="58"/>
      <c r="H505" s="56"/>
      <c r="I505" s="61" t="str">
        <f aca="false">IF(IsPro,IF(OR($C505="",N($G505)=0),"",IF(OR($C505="Receipt",$C505="Other Income",$C505="Capital In",$C505="Transfer In"),$G505,0)),"")</f>
        <v/>
      </c>
      <c r="J505" s="61" t="str">
        <f aca="false">IF(IsPro,IF(OR($C505="",N($G505)=0),"",IF(I505=0,$G505,0)),"")</f>
        <v/>
      </c>
      <c r="K505" s="60" t="str">
        <f aca="false">IF(IsPro,IF($C505="","",IF(AND(OR($C505="Receipt",$C505="Payment"),$D505=""),"Party needed",IF(AND(OR($C505="Expense",$C505="Other Income"),$E505=""),"Head needed",IF($F505="","Account needed","OK")))),IF($C505="","","PRO PLAN"))</f>
        <v/>
      </c>
    </row>
    <row r="506" customFormat="false" ht="15" hidden="false" customHeight="false" outlineLevel="0" collapsed="false">
      <c r="A506" s="55"/>
      <c r="B506" s="56"/>
      <c r="C506" s="56"/>
      <c r="D506" s="56"/>
      <c r="E506" s="56"/>
      <c r="F506" s="56"/>
      <c r="G506" s="58"/>
      <c r="H506" s="56"/>
      <c r="I506" s="61" t="str">
        <f aca="false">IF(IsPro,IF(OR($C506="",N($G506)=0),"",IF(OR($C506="Receipt",$C506="Other Income",$C506="Capital In",$C506="Transfer In"),$G506,0)),"")</f>
        <v/>
      </c>
      <c r="J506" s="61" t="str">
        <f aca="false">IF(IsPro,IF(OR($C506="",N($G506)=0),"",IF(I506=0,$G506,0)),"")</f>
        <v/>
      </c>
      <c r="K506" s="60" t="str">
        <f aca="false">IF(IsPro,IF($C506="","",IF(AND(OR($C506="Receipt",$C506="Payment"),$D506=""),"Party needed",IF(AND(OR($C506="Expense",$C506="Other Income"),$E506=""),"Head needed",IF($F506="","Account needed","OK")))),IF($C506="","","PRO PLAN"))</f>
        <v/>
      </c>
    </row>
    <row r="507" customFormat="false" ht="15" hidden="false" customHeight="false" outlineLevel="0" collapsed="false">
      <c r="A507" s="55"/>
      <c r="B507" s="56"/>
      <c r="C507" s="56"/>
      <c r="D507" s="56"/>
      <c r="E507" s="56"/>
      <c r="F507" s="56"/>
      <c r="G507" s="58"/>
      <c r="H507" s="56"/>
      <c r="I507" s="61" t="str">
        <f aca="false">IF(IsPro,IF(OR($C507="",N($G507)=0),"",IF(OR($C507="Receipt",$C507="Other Income",$C507="Capital In",$C507="Transfer In"),$G507,0)),"")</f>
        <v/>
      </c>
      <c r="J507" s="61" t="str">
        <f aca="false">IF(IsPro,IF(OR($C507="",N($G507)=0),"",IF(I507=0,$G507,0)),"")</f>
        <v/>
      </c>
      <c r="K507" s="60" t="str">
        <f aca="false">IF(IsPro,IF($C507="","",IF(AND(OR($C507="Receipt",$C507="Payment"),$D507=""),"Party needed",IF(AND(OR($C507="Expense",$C507="Other Income"),$E507=""),"Head needed",IF($F507="","Account needed","OK")))),IF($C507="","","PRO PLAN"))</f>
        <v/>
      </c>
    </row>
    <row r="508" customFormat="false" ht="15" hidden="false" customHeight="false" outlineLevel="0" collapsed="false">
      <c r="A508" s="55"/>
      <c r="B508" s="56"/>
      <c r="C508" s="56"/>
      <c r="D508" s="56"/>
      <c r="E508" s="56"/>
      <c r="F508" s="56"/>
      <c r="G508" s="58"/>
      <c r="H508" s="56"/>
      <c r="I508" s="61" t="str">
        <f aca="false">IF(IsPro,IF(OR($C508="",N($G508)=0),"",IF(OR($C508="Receipt",$C508="Other Income",$C508="Capital In",$C508="Transfer In"),$G508,0)),"")</f>
        <v/>
      </c>
      <c r="J508" s="61" t="str">
        <f aca="false">IF(IsPro,IF(OR($C508="",N($G508)=0),"",IF(I508=0,$G508,0)),"")</f>
        <v/>
      </c>
      <c r="K508" s="60" t="str">
        <f aca="false">IF(IsPro,IF($C508="","",IF(AND(OR($C508="Receipt",$C508="Payment"),$D508=""),"Party needed",IF(AND(OR($C508="Expense",$C508="Other Income"),$E508=""),"Head needed",IF($F508="","Account needed","OK")))),IF($C508="","","PRO PLAN"))</f>
        <v/>
      </c>
    </row>
    <row r="509" customFormat="false" ht="15" hidden="false" customHeight="false" outlineLevel="0" collapsed="false">
      <c r="A509" s="55"/>
      <c r="B509" s="56"/>
      <c r="C509" s="56"/>
      <c r="D509" s="56"/>
      <c r="E509" s="56"/>
      <c r="F509" s="56"/>
      <c r="G509" s="58"/>
      <c r="H509" s="56"/>
      <c r="I509" s="61" t="str">
        <f aca="false">IF(IsPro,IF(OR($C509="",N($G509)=0),"",IF(OR($C509="Receipt",$C509="Other Income",$C509="Capital In",$C509="Transfer In"),$G509,0)),"")</f>
        <v/>
      </c>
      <c r="J509" s="61" t="str">
        <f aca="false">IF(IsPro,IF(OR($C509="",N($G509)=0),"",IF(I509=0,$G509,0)),"")</f>
        <v/>
      </c>
      <c r="K509" s="60" t="str">
        <f aca="false">IF(IsPro,IF($C509="","",IF(AND(OR($C509="Receipt",$C509="Payment"),$D509=""),"Party needed",IF(AND(OR($C509="Expense",$C509="Other Income"),$E509=""),"Head needed",IF($F509="","Account needed","OK")))),IF($C509="","","PRO PLAN"))</f>
        <v/>
      </c>
    </row>
    <row r="510" customFormat="false" ht="15" hidden="false" customHeight="false" outlineLevel="0" collapsed="false">
      <c r="A510" s="55"/>
      <c r="B510" s="56"/>
      <c r="C510" s="56"/>
      <c r="D510" s="56"/>
      <c r="E510" s="56"/>
      <c r="F510" s="56"/>
      <c r="G510" s="58"/>
      <c r="H510" s="56"/>
      <c r="I510" s="61" t="str">
        <f aca="false">IF(IsPro,IF(OR($C510="",N($G510)=0),"",IF(OR($C510="Receipt",$C510="Other Income",$C510="Capital In",$C510="Transfer In"),$G510,0)),"")</f>
        <v/>
      </c>
      <c r="J510" s="61" t="str">
        <f aca="false">IF(IsPro,IF(OR($C510="",N($G510)=0),"",IF(I510=0,$G510,0)),"")</f>
        <v/>
      </c>
      <c r="K510" s="60" t="str">
        <f aca="false">IF(IsPro,IF($C510="","",IF(AND(OR($C510="Receipt",$C510="Payment"),$D510=""),"Party needed",IF(AND(OR($C510="Expense",$C510="Other Income"),$E510=""),"Head needed",IF($F510="","Account needed","OK")))),IF($C510="","","PRO PLAN"))</f>
        <v/>
      </c>
    </row>
    <row r="511" customFormat="false" ht="15" hidden="false" customHeight="false" outlineLevel="0" collapsed="false">
      <c r="A511" s="55"/>
      <c r="B511" s="56"/>
      <c r="C511" s="56"/>
      <c r="D511" s="56"/>
      <c r="E511" s="56"/>
      <c r="F511" s="56"/>
      <c r="G511" s="58"/>
      <c r="H511" s="56"/>
      <c r="I511" s="61" t="str">
        <f aca="false">IF(IsPro,IF(OR($C511="",N($G511)=0),"",IF(OR($C511="Receipt",$C511="Other Income",$C511="Capital In",$C511="Transfer In"),$G511,0)),"")</f>
        <v/>
      </c>
      <c r="J511" s="61" t="str">
        <f aca="false">IF(IsPro,IF(OR($C511="",N($G511)=0),"",IF(I511=0,$G511,0)),"")</f>
        <v/>
      </c>
      <c r="K511" s="60" t="str">
        <f aca="false">IF(IsPro,IF($C511="","",IF(AND(OR($C511="Receipt",$C511="Payment"),$D511=""),"Party needed",IF(AND(OR($C511="Expense",$C511="Other Income"),$E511=""),"Head needed",IF($F511="","Account needed","OK")))),IF($C511="","","PRO PLAN"))</f>
        <v/>
      </c>
    </row>
    <row r="512" customFormat="false" ht="15" hidden="false" customHeight="false" outlineLevel="0" collapsed="false">
      <c r="A512" s="55"/>
      <c r="B512" s="56"/>
      <c r="C512" s="56"/>
      <c r="D512" s="56"/>
      <c r="E512" s="56"/>
      <c r="F512" s="56"/>
      <c r="G512" s="58"/>
      <c r="H512" s="56"/>
      <c r="I512" s="61" t="str">
        <f aca="false">IF(IsPro,IF(OR($C512="",N($G512)=0),"",IF(OR($C512="Receipt",$C512="Other Income",$C512="Capital In",$C512="Transfer In"),$G512,0)),"")</f>
        <v/>
      </c>
      <c r="J512" s="61" t="str">
        <f aca="false">IF(IsPro,IF(OR($C512="",N($G512)=0),"",IF(I512=0,$G512,0)),"")</f>
        <v/>
      </c>
      <c r="K512" s="60" t="str">
        <f aca="false">IF(IsPro,IF($C512="","",IF(AND(OR($C512="Receipt",$C512="Payment"),$D512=""),"Party needed",IF(AND(OR($C512="Expense",$C512="Other Income"),$E512=""),"Head needed",IF($F512="","Account needed","OK")))),IF($C512="","","PRO PLAN"))</f>
        <v/>
      </c>
    </row>
    <row r="513" customFormat="false" ht="15" hidden="false" customHeight="false" outlineLevel="0" collapsed="false">
      <c r="A513" s="55"/>
      <c r="B513" s="56"/>
      <c r="C513" s="56"/>
      <c r="D513" s="56"/>
      <c r="E513" s="56"/>
      <c r="F513" s="56"/>
      <c r="G513" s="58"/>
      <c r="H513" s="56"/>
      <c r="I513" s="61" t="str">
        <f aca="false">IF(IsPro,IF(OR($C513="",N($G513)=0),"",IF(OR($C513="Receipt",$C513="Other Income",$C513="Capital In",$C513="Transfer In"),$G513,0)),"")</f>
        <v/>
      </c>
      <c r="J513" s="61" t="str">
        <f aca="false">IF(IsPro,IF(OR($C513="",N($G513)=0),"",IF(I513=0,$G513,0)),"")</f>
        <v/>
      </c>
      <c r="K513" s="60" t="str">
        <f aca="false">IF(IsPro,IF($C513="","",IF(AND(OR($C513="Receipt",$C513="Payment"),$D513=""),"Party needed",IF(AND(OR($C513="Expense",$C513="Other Income"),$E513=""),"Head needed",IF($F513="","Account needed","OK")))),IF($C513="","","PRO PLAN"))</f>
        <v/>
      </c>
    </row>
    <row r="514" customFormat="false" ht="15" hidden="false" customHeight="false" outlineLevel="0" collapsed="false">
      <c r="A514" s="55"/>
      <c r="B514" s="56"/>
      <c r="C514" s="56"/>
      <c r="D514" s="56"/>
      <c r="E514" s="56"/>
      <c r="F514" s="56"/>
      <c r="G514" s="58"/>
      <c r="H514" s="56"/>
      <c r="I514" s="61" t="str">
        <f aca="false">IF(IsPro,IF(OR($C514="",N($G514)=0),"",IF(OR($C514="Receipt",$C514="Other Income",$C514="Capital In",$C514="Transfer In"),$G514,0)),"")</f>
        <v/>
      </c>
      <c r="J514" s="61" t="str">
        <f aca="false">IF(IsPro,IF(OR($C514="",N($G514)=0),"",IF(I514=0,$G514,0)),"")</f>
        <v/>
      </c>
      <c r="K514" s="60" t="str">
        <f aca="false">IF(IsPro,IF($C514="","",IF(AND(OR($C514="Receipt",$C514="Payment"),$D514=""),"Party needed",IF(AND(OR($C514="Expense",$C514="Other Income"),$E514=""),"Head needed",IF($F514="","Account needed","OK")))),IF($C514="","","PRO PLAN"))</f>
        <v/>
      </c>
    </row>
    <row r="515" customFormat="false" ht="15" hidden="false" customHeight="false" outlineLevel="0" collapsed="false">
      <c r="A515" s="55"/>
      <c r="B515" s="56"/>
      <c r="C515" s="56"/>
      <c r="D515" s="56"/>
      <c r="E515" s="56"/>
      <c r="F515" s="56"/>
      <c r="G515" s="58"/>
      <c r="H515" s="56"/>
      <c r="I515" s="61" t="str">
        <f aca="false">IF(IsPro,IF(OR($C515="",N($G515)=0),"",IF(OR($C515="Receipt",$C515="Other Income",$C515="Capital In",$C515="Transfer In"),$G515,0)),"")</f>
        <v/>
      </c>
      <c r="J515" s="61" t="str">
        <f aca="false">IF(IsPro,IF(OR($C515="",N($G515)=0),"",IF(I515=0,$G515,0)),"")</f>
        <v/>
      </c>
      <c r="K515" s="60" t="str">
        <f aca="false">IF(IsPro,IF($C515="","",IF(AND(OR($C515="Receipt",$C515="Payment"),$D515=""),"Party needed",IF(AND(OR($C515="Expense",$C515="Other Income"),$E515=""),"Head needed",IF($F515="","Account needed","OK")))),IF($C515="","","PRO PLAN"))</f>
        <v/>
      </c>
    </row>
    <row r="516" customFormat="false" ht="15" hidden="false" customHeight="false" outlineLevel="0" collapsed="false">
      <c r="A516" s="55"/>
      <c r="B516" s="56"/>
      <c r="C516" s="56"/>
      <c r="D516" s="56"/>
      <c r="E516" s="56"/>
      <c r="F516" s="56"/>
      <c r="G516" s="58"/>
      <c r="H516" s="56"/>
      <c r="I516" s="61" t="str">
        <f aca="false">IF(IsPro,IF(OR($C516="",N($G516)=0),"",IF(OR($C516="Receipt",$C516="Other Income",$C516="Capital In",$C516="Transfer In"),$G516,0)),"")</f>
        <v/>
      </c>
      <c r="J516" s="61" t="str">
        <f aca="false">IF(IsPro,IF(OR($C516="",N($G516)=0),"",IF(I516=0,$G516,0)),"")</f>
        <v/>
      </c>
      <c r="K516" s="60" t="str">
        <f aca="false">IF(IsPro,IF($C516="","",IF(AND(OR($C516="Receipt",$C516="Payment"),$D516=""),"Party needed",IF(AND(OR($C516="Expense",$C516="Other Income"),$E516=""),"Head needed",IF($F516="","Account needed","OK")))),IF($C516="","","PRO PLAN"))</f>
        <v/>
      </c>
    </row>
    <row r="517" customFormat="false" ht="15" hidden="false" customHeight="false" outlineLevel="0" collapsed="false">
      <c r="A517" s="55"/>
      <c r="B517" s="56"/>
      <c r="C517" s="56"/>
      <c r="D517" s="56"/>
      <c r="E517" s="56"/>
      <c r="F517" s="56"/>
      <c r="G517" s="58"/>
      <c r="H517" s="56"/>
      <c r="I517" s="61" t="str">
        <f aca="false">IF(IsPro,IF(OR($C517="",N($G517)=0),"",IF(OR($C517="Receipt",$C517="Other Income",$C517="Capital In",$C517="Transfer In"),$G517,0)),"")</f>
        <v/>
      </c>
      <c r="J517" s="61" t="str">
        <f aca="false">IF(IsPro,IF(OR($C517="",N($G517)=0),"",IF(I517=0,$G517,0)),"")</f>
        <v/>
      </c>
      <c r="K517" s="60" t="str">
        <f aca="false">IF(IsPro,IF($C517="","",IF(AND(OR($C517="Receipt",$C517="Payment"),$D517=""),"Party needed",IF(AND(OR($C517="Expense",$C517="Other Income"),$E517=""),"Head needed",IF($F517="","Account needed","OK")))),IF($C517="","","PRO PLAN"))</f>
        <v/>
      </c>
    </row>
    <row r="518" customFormat="false" ht="15" hidden="false" customHeight="false" outlineLevel="0" collapsed="false">
      <c r="A518" s="55"/>
      <c r="B518" s="56"/>
      <c r="C518" s="56"/>
      <c r="D518" s="56"/>
      <c r="E518" s="56"/>
      <c r="F518" s="56"/>
      <c r="G518" s="58"/>
      <c r="H518" s="56"/>
      <c r="I518" s="61" t="str">
        <f aca="false">IF(IsPro,IF(OR($C518="",N($G518)=0),"",IF(OR($C518="Receipt",$C518="Other Income",$C518="Capital In",$C518="Transfer In"),$G518,0)),"")</f>
        <v/>
      </c>
      <c r="J518" s="61" t="str">
        <f aca="false">IF(IsPro,IF(OR($C518="",N($G518)=0),"",IF(I518=0,$G518,0)),"")</f>
        <v/>
      </c>
      <c r="K518" s="60" t="str">
        <f aca="false">IF(IsPro,IF($C518="","",IF(AND(OR($C518="Receipt",$C518="Payment"),$D518=""),"Party needed",IF(AND(OR($C518="Expense",$C518="Other Income"),$E518=""),"Head needed",IF($F518="","Account needed","OK")))),IF($C518="","","PRO PLAN"))</f>
        <v/>
      </c>
    </row>
    <row r="519" customFormat="false" ht="15" hidden="false" customHeight="false" outlineLevel="0" collapsed="false">
      <c r="A519" s="55"/>
      <c r="B519" s="56"/>
      <c r="C519" s="56"/>
      <c r="D519" s="56"/>
      <c r="E519" s="56"/>
      <c r="F519" s="56"/>
      <c r="G519" s="58"/>
      <c r="H519" s="56"/>
      <c r="I519" s="61" t="str">
        <f aca="false">IF(IsPro,IF(OR($C519="",N($G519)=0),"",IF(OR($C519="Receipt",$C519="Other Income",$C519="Capital In",$C519="Transfer In"),$G519,0)),"")</f>
        <v/>
      </c>
      <c r="J519" s="61" t="str">
        <f aca="false">IF(IsPro,IF(OR($C519="",N($G519)=0),"",IF(I519=0,$G519,0)),"")</f>
        <v/>
      </c>
      <c r="K519" s="60" t="str">
        <f aca="false">IF(IsPro,IF($C519="","",IF(AND(OR($C519="Receipt",$C519="Payment"),$D519=""),"Party needed",IF(AND(OR($C519="Expense",$C519="Other Income"),$E519=""),"Head needed",IF($F519="","Account needed","OK")))),IF($C519="","","PRO PLAN"))</f>
        <v/>
      </c>
    </row>
    <row r="520" customFormat="false" ht="15" hidden="false" customHeight="false" outlineLevel="0" collapsed="false">
      <c r="A520" s="55"/>
      <c r="B520" s="56"/>
      <c r="C520" s="56"/>
      <c r="D520" s="56"/>
      <c r="E520" s="56"/>
      <c r="F520" s="56"/>
      <c r="G520" s="58"/>
      <c r="H520" s="56"/>
      <c r="I520" s="61" t="str">
        <f aca="false">IF(IsPro,IF(OR($C520="",N($G520)=0),"",IF(OR($C520="Receipt",$C520="Other Income",$C520="Capital In",$C520="Transfer In"),$G520,0)),"")</f>
        <v/>
      </c>
      <c r="J520" s="61" t="str">
        <f aca="false">IF(IsPro,IF(OR($C520="",N($G520)=0),"",IF(I520=0,$G520,0)),"")</f>
        <v/>
      </c>
      <c r="K520" s="60" t="str">
        <f aca="false">IF(IsPro,IF($C520="","",IF(AND(OR($C520="Receipt",$C520="Payment"),$D520=""),"Party needed",IF(AND(OR($C520="Expense",$C520="Other Income"),$E520=""),"Head needed",IF($F520="","Account needed","OK")))),IF($C520="","","PRO PLAN"))</f>
        <v/>
      </c>
    </row>
    <row r="521" customFormat="false" ht="15" hidden="false" customHeight="false" outlineLevel="0" collapsed="false">
      <c r="A521" s="55"/>
      <c r="B521" s="56"/>
      <c r="C521" s="56"/>
      <c r="D521" s="56"/>
      <c r="E521" s="56"/>
      <c r="F521" s="56"/>
      <c r="G521" s="58"/>
      <c r="H521" s="56"/>
      <c r="I521" s="61" t="str">
        <f aca="false">IF(IsPro,IF(OR($C521="",N($G521)=0),"",IF(OR($C521="Receipt",$C521="Other Income",$C521="Capital In",$C521="Transfer In"),$G521,0)),"")</f>
        <v/>
      </c>
      <c r="J521" s="61" t="str">
        <f aca="false">IF(IsPro,IF(OR($C521="",N($G521)=0),"",IF(I521=0,$G521,0)),"")</f>
        <v/>
      </c>
      <c r="K521" s="60" t="str">
        <f aca="false">IF(IsPro,IF($C521="","",IF(AND(OR($C521="Receipt",$C521="Payment"),$D521=""),"Party needed",IF(AND(OR($C521="Expense",$C521="Other Income"),$E521=""),"Head needed",IF($F521="","Account needed","OK")))),IF($C521="","","PRO PLAN"))</f>
        <v/>
      </c>
    </row>
    <row r="522" customFormat="false" ht="15" hidden="false" customHeight="false" outlineLevel="0" collapsed="false">
      <c r="A522" s="55"/>
      <c r="B522" s="56"/>
      <c r="C522" s="56"/>
      <c r="D522" s="56"/>
      <c r="E522" s="56"/>
      <c r="F522" s="56"/>
      <c r="G522" s="58"/>
      <c r="H522" s="56"/>
      <c r="I522" s="61" t="str">
        <f aca="false">IF(IsPro,IF(OR($C522="",N($G522)=0),"",IF(OR($C522="Receipt",$C522="Other Income",$C522="Capital In",$C522="Transfer In"),$G522,0)),"")</f>
        <v/>
      </c>
      <c r="J522" s="61" t="str">
        <f aca="false">IF(IsPro,IF(OR($C522="",N($G522)=0),"",IF(I522=0,$G522,0)),"")</f>
        <v/>
      </c>
      <c r="K522" s="60" t="str">
        <f aca="false">IF(IsPro,IF($C522="","",IF(AND(OR($C522="Receipt",$C522="Payment"),$D522=""),"Party needed",IF(AND(OR($C522="Expense",$C522="Other Income"),$E522=""),"Head needed",IF($F522="","Account needed","OK")))),IF($C522="","","PRO PLAN"))</f>
        <v/>
      </c>
    </row>
    <row r="523" customFormat="false" ht="15" hidden="false" customHeight="false" outlineLevel="0" collapsed="false">
      <c r="A523" s="55"/>
      <c r="B523" s="56"/>
      <c r="C523" s="56"/>
      <c r="D523" s="56"/>
      <c r="E523" s="56"/>
      <c r="F523" s="56"/>
      <c r="G523" s="58"/>
      <c r="H523" s="56"/>
      <c r="I523" s="61" t="str">
        <f aca="false">IF(IsPro,IF(OR($C523="",N($G523)=0),"",IF(OR($C523="Receipt",$C523="Other Income",$C523="Capital In",$C523="Transfer In"),$G523,0)),"")</f>
        <v/>
      </c>
      <c r="J523" s="61" t="str">
        <f aca="false">IF(IsPro,IF(OR($C523="",N($G523)=0),"",IF(I523=0,$G523,0)),"")</f>
        <v/>
      </c>
      <c r="K523" s="60" t="str">
        <f aca="false">IF(IsPro,IF($C523="","",IF(AND(OR($C523="Receipt",$C523="Payment"),$D523=""),"Party needed",IF(AND(OR($C523="Expense",$C523="Other Income"),$E523=""),"Head needed",IF($F523="","Account needed","OK")))),IF($C523="","","PRO PLAN"))</f>
        <v/>
      </c>
    </row>
    <row r="524" customFormat="false" ht="15" hidden="false" customHeight="false" outlineLevel="0" collapsed="false">
      <c r="A524" s="55"/>
      <c r="B524" s="56"/>
      <c r="C524" s="56"/>
      <c r="D524" s="56"/>
      <c r="E524" s="56"/>
      <c r="F524" s="56"/>
      <c r="G524" s="58"/>
      <c r="H524" s="56"/>
      <c r="I524" s="61" t="str">
        <f aca="false">IF(IsPro,IF(OR($C524="",N($G524)=0),"",IF(OR($C524="Receipt",$C524="Other Income",$C524="Capital In",$C524="Transfer In"),$G524,0)),"")</f>
        <v/>
      </c>
      <c r="J524" s="61" t="str">
        <f aca="false">IF(IsPro,IF(OR($C524="",N($G524)=0),"",IF(I524=0,$G524,0)),"")</f>
        <v/>
      </c>
      <c r="K524" s="60" t="str">
        <f aca="false">IF(IsPro,IF($C524="","",IF(AND(OR($C524="Receipt",$C524="Payment"),$D524=""),"Party needed",IF(AND(OR($C524="Expense",$C524="Other Income"),$E524=""),"Head needed",IF($F524="","Account needed","OK")))),IF($C524="","","PRO PLAN"))</f>
        <v/>
      </c>
    </row>
    <row r="525" customFormat="false" ht="15" hidden="false" customHeight="false" outlineLevel="0" collapsed="false">
      <c r="A525" s="55"/>
      <c r="B525" s="56"/>
      <c r="C525" s="56"/>
      <c r="D525" s="56"/>
      <c r="E525" s="56"/>
      <c r="F525" s="56"/>
      <c r="G525" s="58"/>
      <c r="H525" s="56"/>
      <c r="I525" s="61" t="str">
        <f aca="false">IF(IsPro,IF(OR($C525="",N($G525)=0),"",IF(OR($C525="Receipt",$C525="Other Income",$C525="Capital In",$C525="Transfer In"),$G525,0)),"")</f>
        <v/>
      </c>
      <c r="J525" s="61" t="str">
        <f aca="false">IF(IsPro,IF(OR($C525="",N($G525)=0),"",IF(I525=0,$G525,0)),"")</f>
        <v/>
      </c>
      <c r="K525" s="60" t="str">
        <f aca="false">IF(IsPro,IF($C525="","",IF(AND(OR($C525="Receipt",$C525="Payment"),$D525=""),"Party needed",IF(AND(OR($C525="Expense",$C525="Other Income"),$E525=""),"Head needed",IF($F525="","Account needed","OK")))),IF($C525="","","PRO PLAN"))</f>
        <v/>
      </c>
    </row>
    <row r="526" customFormat="false" ht="15" hidden="false" customHeight="false" outlineLevel="0" collapsed="false">
      <c r="A526" s="55"/>
      <c r="B526" s="56"/>
      <c r="C526" s="56"/>
      <c r="D526" s="56"/>
      <c r="E526" s="56"/>
      <c r="F526" s="56"/>
      <c r="G526" s="58"/>
      <c r="H526" s="56"/>
      <c r="I526" s="61" t="str">
        <f aca="false">IF(IsPro,IF(OR($C526="",N($G526)=0),"",IF(OR($C526="Receipt",$C526="Other Income",$C526="Capital In",$C526="Transfer In"),$G526,0)),"")</f>
        <v/>
      </c>
      <c r="J526" s="61" t="str">
        <f aca="false">IF(IsPro,IF(OR($C526="",N($G526)=0),"",IF(I526=0,$G526,0)),"")</f>
        <v/>
      </c>
      <c r="K526" s="60" t="str">
        <f aca="false">IF(IsPro,IF($C526="","",IF(AND(OR($C526="Receipt",$C526="Payment"),$D526=""),"Party needed",IF(AND(OR($C526="Expense",$C526="Other Income"),$E526=""),"Head needed",IF($F526="","Account needed","OK")))),IF($C526="","","PRO PLAN"))</f>
        <v/>
      </c>
    </row>
    <row r="527" customFormat="false" ht="15" hidden="false" customHeight="false" outlineLevel="0" collapsed="false">
      <c r="A527" s="55"/>
      <c r="B527" s="56"/>
      <c r="C527" s="56"/>
      <c r="D527" s="56"/>
      <c r="E527" s="56"/>
      <c r="F527" s="56"/>
      <c r="G527" s="58"/>
      <c r="H527" s="56"/>
      <c r="I527" s="61" t="str">
        <f aca="false">IF(IsPro,IF(OR($C527="",N($G527)=0),"",IF(OR($C527="Receipt",$C527="Other Income",$C527="Capital In",$C527="Transfer In"),$G527,0)),"")</f>
        <v/>
      </c>
      <c r="J527" s="61" t="str">
        <f aca="false">IF(IsPro,IF(OR($C527="",N($G527)=0),"",IF(I527=0,$G527,0)),"")</f>
        <v/>
      </c>
      <c r="K527" s="60" t="str">
        <f aca="false">IF(IsPro,IF($C527="","",IF(AND(OR($C527="Receipt",$C527="Payment"),$D527=""),"Party needed",IF(AND(OR($C527="Expense",$C527="Other Income"),$E527=""),"Head needed",IF($F527="","Account needed","OK")))),IF($C527="","","PRO PLAN"))</f>
        <v/>
      </c>
    </row>
    <row r="528" customFormat="false" ht="15" hidden="false" customHeight="false" outlineLevel="0" collapsed="false">
      <c r="A528" s="55"/>
      <c r="B528" s="56"/>
      <c r="C528" s="56"/>
      <c r="D528" s="56"/>
      <c r="E528" s="56"/>
      <c r="F528" s="56"/>
      <c r="G528" s="58"/>
      <c r="H528" s="56"/>
      <c r="I528" s="61" t="str">
        <f aca="false">IF(IsPro,IF(OR($C528="",N($G528)=0),"",IF(OR($C528="Receipt",$C528="Other Income",$C528="Capital In",$C528="Transfer In"),$G528,0)),"")</f>
        <v/>
      </c>
      <c r="J528" s="61" t="str">
        <f aca="false">IF(IsPro,IF(OR($C528="",N($G528)=0),"",IF(I528=0,$G528,0)),"")</f>
        <v/>
      </c>
      <c r="K528" s="60" t="str">
        <f aca="false">IF(IsPro,IF($C528="","",IF(AND(OR($C528="Receipt",$C528="Payment"),$D528=""),"Party needed",IF(AND(OR($C528="Expense",$C528="Other Income"),$E528=""),"Head needed",IF($F528="","Account needed","OK")))),IF($C528="","","PRO PLAN"))</f>
        <v/>
      </c>
    </row>
    <row r="529" customFormat="false" ht="15" hidden="false" customHeight="false" outlineLevel="0" collapsed="false">
      <c r="A529" s="55"/>
      <c r="B529" s="56"/>
      <c r="C529" s="56"/>
      <c r="D529" s="56"/>
      <c r="E529" s="56"/>
      <c r="F529" s="56"/>
      <c r="G529" s="58"/>
      <c r="H529" s="56"/>
      <c r="I529" s="61" t="str">
        <f aca="false">IF(IsPro,IF(OR($C529="",N($G529)=0),"",IF(OR($C529="Receipt",$C529="Other Income",$C529="Capital In",$C529="Transfer In"),$G529,0)),"")</f>
        <v/>
      </c>
      <c r="J529" s="61" t="str">
        <f aca="false">IF(IsPro,IF(OR($C529="",N($G529)=0),"",IF(I529=0,$G529,0)),"")</f>
        <v/>
      </c>
      <c r="K529" s="60" t="str">
        <f aca="false">IF(IsPro,IF($C529="","",IF(AND(OR($C529="Receipt",$C529="Payment"),$D529=""),"Party needed",IF(AND(OR($C529="Expense",$C529="Other Income"),$E529=""),"Head needed",IF($F529="","Account needed","OK")))),IF($C529="","","PRO PLAN"))</f>
        <v/>
      </c>
    </row>
    <row r="530" customFormat="false" ht="15" hidden="false" customHeight="false" outlineLevel="0" collapsed="false">
      <c r="A530" s="55"/>
      <c r="B530" s="56"/>
      <c r="C530" s="56"/>
      <c r="D530" s="56"/>
      <c r="E530" s="56"/>
      <c r="F530" s="56"/>
      <c r="G530" s="58"/>
      <c r="H530" s="56"/>
      <c r="I530" s="61" t="str">
        <f aca="false">IF(IsPro,IF(OR($C530="",N($G530)=0),"",IF(OR($C530="Receipt",$C530="Other Income",$C530="Capital In",$C530="Transfer In"),$G530,0)),"")</f>
        <v/>
      </c>
      <c r="J530" s="61" t="str">
        <f aca="false">IF(IsPro,IF(OR($C530="",N($G530)=0),"",IF(I530=0,$G530,0)),"")</f>
        <v/>
      </c>
      <c r="K530" s="60" t="str">
        <f aca="false">IF(IsPro,IF($C530="","",IF(AND(OR($C530="Receipt",$C530="Payment"),$D530=""),"Party needed",IF(AND(OR($C530="Expense",$C530="Other Income"),$E530=""),"Head needed",IF($F530="","Account needed","OK")))),IF($C530="","","PRO PLAN"))</f>
        <v/>
      </c>
    </row>
    <row r="531" customFormat="false" ht="15" hidden="false" customHeight="false" outlineLevel="0" collapsed="false">
      <c r="A531" s="55"/>
      <c r="B531" s="56"/>
      <c r="C531" s="56"/>
      <c r="D531" s="56"/>
      <c r="E531" s="56"/>
      <c r="F531" s="56"/>
      <c r="G531" s="58"/>
      <c r="H531" s="56"/>
      <c r="I531" s="61" t="str">
        <f aca="false">IF(IsPro,IF(OR($C531="",N($G531)=0),"",IF(OR($C531="Receipt",$C531="Other Income",$C531="Capital In",$C531="Transfer In"),$G531,0)),"")</f>
        <v/>
      </c>
      <c r="J531" s="61" t="str">
        <f aca="false">IF(IsPro,IF(OR($C531="",N($G531)=0),"",IF(I531=0,$G531,0)),"")</f>
        <v/>
      </c>
      <c r="K531" s="60" t="str">
        <f aca="false">IF(IsPro,IF($C531="","",IF(AND(OR($C531="Receipt",$C531="Payment"),$D531=""),"Party needed",IF(AND(OR($C531="Expense",$C531="Other Income"),$E531=""),"Head needed",IF($F531="","Account needed","OK")))),IF($C531="","","PRO PLAN"))</f>
        <v/>
      </c>
    </row>
    <row r="532" customFormat="false" ht="15" hidden="false" customHeight="false" outlineLevel="0" collapsed="false">
      <c r="A532" s="55"/>
      <c r="B532" s="56"/>
      <c r="C532" s="56"/>
      <c r="D532" s="56"/>
      <c r="E532" s="56"/>
      <c r="F532" s="56"/>
      <c r="G532" s="58"/>
      <c r="H532" s="56"/>
      <c r="I532" s="61" t="str">
        <f aca="false">IF(IsPro,IF(OR($C532="",N($G532)=0),"",IF(OR($C532="Receipt",$C532="Other Income",$C532="Capital In",$C532="Transfer In"),$G532,0)),"")</f>
        <v/>
      </c>
      <c r="J532" s="61" t="str">
        <f aca="false">IF(IsPro,IF(OR($C532="",N($G532)=0),"",IF(I532=0,$G532,0)),"")</f>
        <v/>
      </c>
      <c r="K532" s="60" t="str">
        <f aca="false">IF(IsPro,IF($C532="","",IF(AND(OR($C532="Receipt",$C532="Payment"),$D532=""),"Party needed",IF(AND(OR($C532="Expense",$C532="Other Income"),$E532=""),"Head needed",IF($F532="","Account needed","OK")))),IF($C532="","","PRO PLAN"))</f>
        <v/>
      </c>
    </row>
    <row r="533" customFormat="false" ht="15" hidden="false" customHeight="false" outlineLevel="0" collapsed="false">
      <c r="A533" s="55"/>
      <c r="B533" s="56"/>
      <c r="C533" s="56"/>
      <c r="D533" s="56"/>
      <c r="E533" s="56"/>
      <c r="F533" s="56"/>
      <c r="G533" s="58"/>
      <c r="H533" s="56"/>
      <c r="I533" s="61" t="str">
        <f aca="false">IF(IsPro,IF(OR($C533="",N($G533)=0),"",IF(OR($C533="Receipt",$C533="Other Income",$C533="Capital In",$C533="Transfer In"),$G533,0)),"")</f>
        <v/>
      </c>
      <c r="J533" s="61" t="str">
        <f aca="false">IF(IsPro,IF(OR($C533="",N($G533)=0),"",IF(I533=0,$G533,0)),"")</f>
        <v/>
      </c>
      <c r="K533" s="60" t="str">
        <f aca="false">IF(IsPro,IF($C533="","",IF(AND(OR($C533="Receipt",$C533="Payment"),$D533=""),"Party needed",IF(AND(OR($C533="Expense",$C533="Other Income"),$E533=""),"Head needed",IF($F533="","Account needed","OK")))),IF($C533="","","PRO PLAN"))</f>
        <v/>
      </c>
    </row>
    <row r="534" customFormat="false" ht="15" hidden="false" customHeight="false" outlineLevel="0" collapsed="false">
      <c r="A534" s="55"/>
      <c r="B534" s="56"/>
      <c r="C534" s="56"/>
      <c r="D534" s="56"/>
      <c r="E534" s="56"/>
      <c r="F534" s="56"/>
      <c r="G534" s="58"/>
      <c r="H534" s="56"/>
      <c r="I534" s="61" t="str">
        <f aca="false">IF(IsPro,IF(OR($C534="",N($G534)=0),"",IF(OR($C534="Receipt",$C534="Other Income",$C534="Capital In",$C534="Transfer In"),$G534,0)),"")</f>
        <v/>
      </c>
      <c r="J534" s="61" t="str">
        <f aca="false">IF(IsPro,IF(OR($C534="",N($G534)=0),"",IF(I534=0,$G534,0)),"")</f>
        <v/>
      </c>
      <c r="K534" s="60" t="str">
        <f aca="false">IF(IsPro,IF($C534="","",IF(AND(OR($C534="Receipt",$C534="Payment"),$D534=""),"Party needed",IF(AND(OR($C534="Expense",$C534="Other Income"),$E534=""),"Head needed",IF($F534="","Account needed","OK")))),IF($C534="","","PRO PLAN"))</f>
        <v/>
      </c>
    </row>
    <row r="535" customFormat="false" ht="15" hidden="false" customHeight="false" outlineLevel="0" collapsed="false">
      <c r="A535" s="55"/>
      <c r="B535" s="56"/>
      <c r="C535" s="56"/>
      <c r="D535" s="56"/>
      <c r="E535" s="56"/>
      <c r="F535" s="56"/>
      <c r="G535" s="58"/>
      <c r="H535" s="56"/>
      <c r="I535" s="61" t="str">
        <f aca="false">IF(IsPro,IF(OR($C535="",N($G535)=0),"",IF(OR($C535="Receipt",$C535="Other Income",$C535="Capital In",$C535="Transfer In"),$G535,0)),"")</f>
        <v/>
      </c>
      <c r="J535" s="61" t="str">
        <f aca="false">IF(IsPro,IF(OR($C535="",N($G535)=0),"",IF(I535=0,$G535,0)),"")</f>
        <v/>
      </c>
      <c r="K535" s="60" t="str">
        <f aca="false">IF(IsPro,IF($C535="","",IF(AND(OR($C535="Receipt",$C535="Payment"),$D535=""),"Party needed",IF(AND(OR($C535="Expense",$C535="Other Income"),$E535=""),"Head needed",IF($F535="","Account needed","OK")))),IF($C535="","","PRO PLAN"))</f>
        <v/>
      </c>
    </row>
    <row r="536" customFormat="false" ht="15" hidden="false" customHeight="false" outlineLevel="0" collapsed="false">
      <c r="A536" s="55"/>
      <c r="B536" s="56"/>
      <c r="C536" s="56"/>
      <c r="D536" s="56"/>
      <c r="E536" s="56"/>
      <c r="F536" s="56"/>
      <c r="G536" s="58"/>
      <c r="H536" s="56"/>
      <c r="I536" s="61" t="str">
        <f aca="false">IF(IsPro,IF(OR($C536="",N($G536)=0),"",IF(OR($C536="Receipt",$C536="Other Income",$C536="Capital In",$C536="Transfer In"),$G536,0)),"")</f>
        <v/>
      </c>
      <c r="J536" s="61" t="str">
        <f aca="false">IF(IsPro,IF(OR($C536="",N($G536)=0),"",IF(I536=0,$G536,0)),"")</f>
        <v/>
      </c>
      <c r="K536" s="60" t="str">
        <f aca="false">IF(IsPro,IF($C536="","",IF(AND(OR($C536="Receipt",$C536="Payment"),$D536=""),"Party needed",IF(AND(OR($C536="Expense",$C536="Other Income"),$E536=""),"Head needed",IF($F536="","Account needed","OK")))),IF($C536="","","PRO PLAN"))</f>
        <v/>
      </c>
    </row>
    <row r="537" customFormat="false" ht="15" hidden="false" customHeight="false" outlineLevel="0" collapsed="false">
      <c r="A537" s="55"/>
      <c r="B537" s="56"/>
      <c r="C537" s="56"/>
      <c r="D537" s="56"/>
      <c r="E537" s="56"/>
      <c r="F537" s="56"/>
      <c r="G537" s="58"/>
      <c r="H537" s="56"/>
      <c r="I537" s="61" t="str">
        <f aca="false">IF(IsPro,IF(OR($C537="",N($G537)=0),"",IF(OR($C537="Receipt",$C537="Other Income",$C537="Capital In",$C537="Transfer In"),$G537,0)),"")</f>
        <v/>
      </c>
      <c r="J537" s="61" t="str">
        <f aca="false">IF(IsPro,IF(OR($C537="",N($G537)=0),"",IF(I537=0,$G537,0)),"")</f>
        <v/>
      </c>
      <c r="K537" s="60" t="str">
        <f aca="false">IF(IsPro,IF($C537="","",IF(AND(OR($C537="Receipt",$C537="Payment"),$D537=""),"Party needed",IF(AND(OR($C537="Expense",$C537="Other Income"),$E537=""),"Head needed",IF($F537="","Account needed","OK")))),IF($C537="","","PRO PLAN"))</f>
        <v/>
      </c>
    </row>
    <row r="538" customFormat="false" ht="15" hidden="false" customHeight="false" outlineLevel="0" collapsed="false">
      <c r="A538" s="55"/>
      <c r="B538" s="56"/>
      <c r="C538" s="56"/>
      <c r="D538" s="56"/>
      <c r="E538" s="56"/>
      <c r="F538" s="56"/>
      <c r="G538" s="58"/>
      <c r="H538" s="56"/>
      <c r="I538" s="61" t="str">
        <f aca="false">IF(IsPro,IF(OR($C538="",N($G538)=0),"",IF(OR($C538="Receipt",$C538="Other Income",$C538="Capital In",$C538="Transfer In"),$G538,0)),"")</f>
        <v/>
      </c>
      <c r="J538" s="61" t="str">
        <f aca="false">IF(IsPro,IF(OR($C538="",N($G538)=0),"",IF(I538=0,$G538,0)),"")</f>
        <v/>
      </c>
      <c r="K538" s="60" t="str">
        <f aca="false">IF(IsPro,IF($C538="","",IF(AND(OR($C538="Receipt",$C538="Payment"),$D538=""),"Party needed",IF(AND(OR($C538="Expense",$C538="Other Income"),$E538=""),"Head needed",IF($F538="","Account needed","OK")))),IF($C538="","","PRO PLAN"))</f>
        <v/>
      </c>
    </row>
    <row r="539" customFormat="false" ht="15" hidden="false" customHeight="false" outlineLevel="0" collapsed="false">
      <c r="A539" s="55"/>
      <c r="B539" s="56"/>
      <c r="C539" s="56"/>
      <c r="D539" s="56"/>
      <c r="E539" s="56"/>
      <c r="F539" s="56"/>
      <c r="G539" s="58"/>
      <c r="H539" s="56"/>
      <c r="I539" s="61" t="str">
        <f aca="false">IF(IsPro,IF(OR($C539="",N($G539)=0),"",IF(OR($C539="Receipt",$C539="Other Income",$C539="Capital In",$C539="Transfer In"),$G539,0)),"")</f>
        <v/>
      </c>
      <c r="J539" s="61" t="str">
        <f aca="false">IF(IsPro,IF(OR($C539="",N($G539)=0),"",IF(I539=0,$G539,0)),"")</f>
        <v/>
      </c>
      <c r="K539" s="60" t="str">
        <f aca="false">IF(IsPro,IF($C539="","",IF(AND(OR($C539="Receipt",$C539="Payment"),$D539=""),"Party needed",IF(AND(OR($C539="Expense",$C539="Other Income"),$E539=""),"Head needed",IF($F539="","Account needed","OK")))),IF($C539="","","PRO PLAN"))</f>
        <v/>
      </c>
    </row>
    <row r="540" customFormat="false" ht="15" hidden="false" customHeight="false" outlineLevel="0" collapsed="false">
      <c r="A540" s="55"/>
      <c r="B540" s="56"/>
      <c r="C540" s="56"/>
      <c r="D540" s="56"/>
      <c r="E540" s="56"/>
      <c r="F540" s="56"/>
      <c r="G540" s="58"/>
      <c r="H540" s="56"/>
      <c r="I540" s="61" t="str">
        <f aca="false">IF(IsPro,IF(OR($C540="",N($G540)=0),"",IF(OR($C540="Receipt",$C540="Other Income",$C540="Capital In",$C540="Transfer In"),$G540,0)),"")</f>
        <v/>
      </c>
      <c r="J540" s="61" t="str">
        <f aca="false">IF(IsPro,IF(OR($C540="",N($G540)=0),"",IF(I540=0,$G540,0)),"")</f>
        <v/>
      </c>
      <c r="K540" s="60" t="str">
        <f aca="false">IF(IsPro,IF($C540="","",IF(AND(OR($C540="Receipt",$C540="Payment"),$D540=""),"Party needed",IF(AND(OR($C540="Expense",$C540="Other Income"),$E540=""),"Head needed",IF($F540="","Account needed","OK")))),IF($C540="","","PRO PLAN"))</f>
        <v/>
      </c>
    </row>
    <row r="541" customFormat="false" ht="15" hidden="false" customHeight="false" outlineLevel="0" collapsed="false">
      <c r="A541" s="55"/>
      <c r="B541" s="56"/>
      <c r="C541" s="56"/>
      <c r="D541" s="56"/>
      <c r="E541" s="56"/>
      <c r="F541" s="56"/>
      <c r="G541" s="58"/>
      <c r="H541" s="56"/>
      <c r="I541" s="61" t="str">
        <f aca="false">IF(IsPro,IF(OR($C541="",N($G541)=0),"",IF(OR($C541="Receipt",$C541="Other Income",$C541="Capital In",$C541="Transfer In"),$G541,0)),"")</f>
        <v/>
      </c>
      <c r="J541" s="61" t="str">
        <f aca="false">IF(IsPro,IF(OR($C541="",N($G541)=0),"",IF(I541=0,$G541,0)),"")</f>
        <v/>
      </c>
      <c r="K541" s="60" t="str">
        <f aca="false">IF(IsPro,IF($C541="","",IF(AND(OR($C541="Receipt",$C541="Payment"),$D541=""),"Party needed",IF(AND(OR($C541="Expense",$C541="Other Income"),$E541=""),"Head needed",IF($F541="","Account needed","OK")))),IF($C541="","","PRO PLAN"))</f>
        <v/>
      </c>
    </row>
    <row r="542" customFormat="false" ht="15" hidden="false" customHeight="false" outlineLevel="0" collapsed="false">
      <c r="A542" s="55"/>
      <c r="B542" s="56"/>
      <c r="C542" s="56"/>
      <c r="D542" s="56"/>
      <c r="E542" s="56"/>
      <c r="F542" s="56"/>
      <c r="G542" s="58"/>
      <c r="H542" s="56"/>
      <c r="I542" s="61" t="str">
        <f aca="false">IF(IsPro,IF(OR($C542="",N($G542)=0),"",IF(OR($C542="Receipt",$C542="Other Income",$C542="Capital In",$C542="Transfer In"),$G542,0)),"")</f>
        <v/>
      </c>
      <c r="J542" s="61" t="str">
        <f aca="false">IF(IsPro,IF(OR($C542="",N($G542)=0),"",IF(I542=0,$G542,0)),"")</f>
        <v/>
      </c>
      <c r="K542" s="60" t="str">
        <f aca="false">IF(IsPro,IF($C542="","",IF(AND(OR($C542="Receipt",$C542="Payment"),$D542=""),"Party needed",IF(AND(OR($C542="Expense",$C542="Other Income"),$E542=""),"Head needed",IF($F542="","Account needed","OK")))),IF($C542="","","PRO PLAN"))</f>
        <v/>
      </c>
    </row>
    <row r="543" customFormat="false" ht="15" hidden="false" customHeight="false" outlineLevel="0" collapsed="false">
      <c r="A543" s="55"/>
      <c r="B543" s="56"/>
      <c r="C543" s="56"/>
      <c r="D543" s="56"/>
      <c r="E543" s="56"/>
      <c r="F543" s="56"/>
      <c r="G543" s="58"/>
      <c r="H543" s="56"/>
      <c r="I543" s="61" t="str">
        <f aca="false">IF(IsPro,IF(OR($C543="",N($G543)=0),"",IF(OR($C543="Receipt",$C543="Other Income",$C543="Capital In",$C543="Transfer In"),$G543,0)),"")</f>
        <v/>
      </c>
      <c r="J543" s="61" t="str">
        <f aca="false">IF(IsPro,IF(OR($C543="",N($G543)=0),"",IF(I543=0,$G543,0)),"")</f>
        <v/>
      </c>
      <c r="K543" s="60" t="str">
        <f aca="false">IF(IsPro,IF($C543="","",IF(AND(OR($C543="Receipt",$C543="Payment"),$D543=""),"Party needed",IF(AND(OR($C543="Expense",$C543="Other Income"),$E543=""),"Head needed",IF($F543="","Account needed","OK")))),IF($C543="","","PRO PLAN"))</f>
        <v/>
      </c>
    </row>
    <row r="544" customFormat="false" ht="15" hidden="false" customHeight="false" outlineLevel="0" collapsed="false">
      <c r="A544" s="55"/>
      <c r="B544" s="56"/>
      <c r="C544" s="56"/>
      <c r="D544" s="56"/>
      <c r="E544" s="56"/>
      <c r="F544" s="56"/>
      <c r="G544" s="58"/>
      <c r="H544" s="56"/>
      <c r="I544" s="61" t="str">
        <f aca="false">IF(IsPro,IF(OR($C544="",N($G544)=0),"",IF(OR($C544="Receipt",$C544="Other Income",$C544="Capital In",$C544="Transfer In"),$G544,0)),"")</f>
        <v/>
      </c>
      <c r="J544" s="61" t="str">
        <f aca="false">IF(IsPro,IF(OR($C544="",N($G544)=0),"",IF(I544=0,$G544,0)),"")</f>
        <v/>
      </c>
      <c r="K544" s="60" t="str">
        <f aca="false">IF(IsPro,IF($C544="","",IF(AND(OR($C544="Receipt",$C544="Payment"),$D544=""),"Party needed",IF(AND(OR($C544="Expense",$C544="Other Income"),$E544=""),"Head needed",IF($F544="","Account needed","OK")))),IF($C544="","","PRO PLAN"))</f>
        <v/>
      </c>
    </row>
    <row r="545" customFormat="false" ht="15" hidden="false" customHeight="false" outlineLevel="0" collapsed="false">
      <c r="A545" s="55"/>
      <c r="B545" s="56"/>
      <c r="C545" s="56"/>
      <c r="D545" s="56"/>
      <c r="E545" s="56"/>
      <c r="F545" s="56"/>
      <c r="G545" s="58"/>
      <c r="H545" s="56"/>
      <c r="I545" s="61" t="str">
        <f aca="false">IF(IsPro,IF(OR($C545="",N($G545)=0),"",IF(OR($C545="Receipt",$C545="Other Income",$C545="Capital In",$C545="Transfer In"),$G545,0)),"")</f>
        <v/>
      </c>
      <c r="J545" s="61" t="str">
        <f aca="false">IF(IsPro,IF(OR($C545="",N($G545)=0),"",IF(I545=0,$G545,0)),"")</f>
        <v/>
      </c>
      <c r="K545" s="60" t="str">
        <f aca="false">IF(IsPro,IF($C545="","",IF(AND(OR($C545="Receipt",$C545="Payment"),$D545=""),"Party needed",IF(AND(OR($C545="Expense",$C545="Other Income"),$E545=""),"Head needed",IF($F545="","Account needed","OK")))),IF($C545="","","PRO PLAN"))</f>
        <v/>
      </c>
    </row>
    <row r="546" customFormat="false" ht="15" hidden="false" customHeight="false" outlineLevel="0" collapsed="false">
      <c r="A546" s="55"/>
      <c r="B546" s="56"/>
      <c r="C546" s="56"/>
      <c r="D546" s="56"/>
      <c r="E546" s="56"/>
      <c r="F546" s="56"/>
      <c r="G546" s="58"/>
      <c r="H546" s="56"/>
      <c r="I546" s="61" t="str">
        <f aca="false">IF(IsPro,IF(OR($C546="",N($G546)=0),"",IF(OR($C546="Receipt",$C546="Other Income",$C546="Capital In",$C546="Transfer In"),$G546,0)),"")</f>
        <v/>
      </c>
      <c r="J546" s="61" t="str">
        <f aca="false">IF(IsPro,IF(OR($C546="",N($G546)=0),"",IF(I546=0,$G546,0)),"")</f>
        <v/>
      </c>
      <c r="K546" s="60" t="str">
        <f aca="false">IF(IsPro,IF($C546="","",IF(AND(OR($C546="Receipt",$C546="Payment"),$D546=""),"Party needed",IF(AND(OR($C546="Expense",$C546="Other Income"),$E546=""),"Head needed",IF($F546="","Account needed","OK")))),IF($C546="","","PRO PLAN"))</f>
        <v/>
      </c>
    </row>
    <row r="547" customFormat="false" ht="15" hidden="false" customHeight="false" outlineLevel="0" collapsed="false">
      <c r="A547" s="55"/>
      <c r="B547" s="56"/>
      <c r="C547" s="56"/>
      <c r="D547" s="56"/>
      <c r="E547" s="56"/>
      <c r="F547" s="56"/>
      <c r="G547" s="58"/>
      <c r="H547" s="56"/>
      <c r="I547" s="61" t="str">
        <f aca="false">IF(IsPro,IF(OR($C547="",N($G547)=0),"",IF(OR($C547="Receipt",$C547="Other Income",$C547="Capital In",$C547="Transfer In"),$G547,0)),"")</f>
        <v/>
      </c>
      <c r="J547" s="61" t="str">
        <f aca="false">IF(IsPro,IF(OR($C547="",N($G547)=0),"",IF(I547=0,$G547,0)),"")</f>
        <v/>
      </c>
      <c r="K547" s="60" t="str">
        <f aca="false">IF(IsPro,IF($C547="","",IF(AND(OR($C547="Receipt",$C547="Payment"),$D547=""),"Party needed",IF(AND(OR($C547="Expense",$C547="Other Income"),$E547=""),"Head needed",IF($F547="","Account needed","OK")))),IF($C547="","","PRO PLAN"))</f>
        <v/>
      </c>
    </row>
    <row r="548" customFormat="false" ht="15" hidden="false" customHeight="false" outlineLevel="0" collapsed="false">
      <c r="A548" s="55"/>
      <c r="B548" s="56"/>
      <c r="C548" s="56"/>
      <c r="D548" s="56"/>
      <c r="E548" s="56"/>
      <c r="F548" s="56"/>
      <c r="G548" s="58"/>
      <c r="H548" s="56"/>
      <c r="I548" s="61" t="str">
        <f aca="false">IF(IsPro,IF(OR($C548="",N($G548)=0),"",IF(OR($C548="Receipt",$C548="Other Income",$C548="Capital In",$C548="Transfer In"),$G548,0)),"")</f>
        <v/>
      </c>
      <c r="J548" s="61" t="str">
        <f aca="false">IF(IsPro,IF(OR($C548="",N($G548)=0),"",IF(I548=0,$G548,0)),"")</f>
        <v/>
      </c>
      <c r="K548" s="60" t="str">
        <f aca="false">IF(IsPro,IF($C548="","",IF(AND(OR($C548="Receipt",$C548="Payment"),$D548=""),"Party needed",IF(AND(OR($C548="Expense",$C548="Other Income"),$E548=""),"Head needed",IF($F548="","Account needed","OK")))),IF($C548="","","PRO PLAN"))</f>
        <v/>
      </c>
    </row>
    <row r="549" customFormat="false" ht="15" hidden="false" customHeight="false" outlineLevel="0" collapsed="false">
      <c r="A549" s="55"/>
      <c r="B549" s="56"/>
      <c r="C549" s="56"/>
      <c r="D549" s="56"/>
      <c r="E549" s="56"/>
      <c r="F549" s="56"/>
      <c r="G549" s="58"/>
      <c r="H549" s="56"/>
      <c r="I549" s="61" t="str">
        <f aca="false">IF(IsPro,IF(OR($C549="",N($G549)=0),"",IF(OR($C549="Receipt",$C549="Other Income",$C549="Capital In",$C549="Transfer In"),$G549,0)),"")</f>
        <v/>
      </c>
      <c r="J549" s="61" t="str">
        <f aca="false">IF(IsPro,IF(OR($C549="",N($G549)=0),"",IF(I549=0,$G549,0)),"")</f>
        <v/>
      </c>
      <c r="K549" s="60" t="str">
        <f aca="false">IF(IsPro,IF($C549="","",IF(AND(OR($C549="Receipt",$C549="Payment"),$D549=""),"Party needed",IF(AND(OR($C549="Expense",$C549="Other Income"),$E549=""),"Head needed",IF($F549="","Account needed","OK")))),IF($C549="","","PRO PLAN"))</f>
        <v/>
      </c>
    </row>
    <row r="550" customFormat="false" ht="15" hidden="false" customHeight="false" outlineLevel="0" collapsed="false">
      <c r="A550" s="55"/>
      <c r="B550" s="56"/>
      <c r="C550" s="56"/>
      <c r="D550" s="56"/>
      <c r="E550" s="56"/>
      <c r="F550" s="56"/>
      <c r="G550" s="58"/>
      <c r="H550" s="56"/>
      <c r="I550" s="61" t="str">
        <f aca="false">IF(IsPro,IF(OR($C550="",N($G550)=0),"",IF(OR($C550="Receipt",$C550="Other Income",$C550="Capital In",$C550="Transfer In"),$G550,0)),"")</f>
        <v/>
      </c>
      <c r="J550" s="61" t="str">
        <f aca="false">IF(IsPro,IF(OR($C550="",N($G550)=0),"",IF(I550=0,$G550,0)),"")</f>
        <v/>
      </c>
      <c r="K550" s="60" t="str">
        <f aca="false">IF(IsPro,IF($C550="","",IF(AND(OR($C550="Receipt",$C550="Payment"),$D550=""),"Party needed",IF(AND(OR($C550="Expense",$C550="Other Income"),$E550=""),"Head needed",IF($F550="","Account needed","OK")))),IF($C550="","","PRO PLAN"))</f>
        <v/>
      </c>
    </row>
    <row r="551" customFormat="false" ht="15" hidden="false" customHeight="false" outlineLevel="0" collapsed="false">
      <c r="A551" s="55"/>
      <c r="B551" s="56"/>
      <c r="C551" s="56"/>
      <c r="D551" s="56"/>
      <c r="E551" s="56"/>
      <c r="F551" s="56"/>
      <c r="G551" s="58"/>
      <c r="H551" s="56"/>
      <c r="I551" s="61" t="str">
        <f aca="false">IF(IsPro,IF(OR($C551="",N($G551)=0),"",IF(OR($C551="Receipt",$C551="Other Income",$C551="Capital In",$C551="Transfer In"),$G551,0)),"")</f>
        <v/>
      </c>
      <c r="J551" s="61" t="str">
        <f aca="false">IF(IsPro,IF(OR($C551="",N($G551)=0),"",IF(I551=0,$G551,0)),"")</f>
        <v/>
      </c>
      <c r="K551" s="60" t="str">
        <f aca="false">IF(IsPro,IF($C551="","",IF(AND(OR($C551="Receipt",$C551="Payment"),$D551=""),"Party needed",IF(AND(OR($C551="Expense",$C551="Other Income"),$E551=""),"Head needed",IF($F551="","Account needed","OK")))),IF($C551="","","PRO PLAN"))</f>
        <v/>
      </c>
    </row>
    <row r="552" customFormat="false" ht="15" hidden="false" customHeight="false" outlineLevel="0" collapsed="false">
      <c r="A552" s="55"/>
      <c r="B552" s="56"/>
      <c r="C552" s="56"/>
      <c r="D552" s="56"/>
      <c r="E552" s="56"/>
      <c r="F552" s="56"/>
      <c r="G552" s="58"/>
      <c r="H552" s="56"/>
      <c r="I552" s="61" t="str">
        <f aca="false">IF(IsPro,IF(OR($C552="",N($G552)=0),"",IF(OR($C552="Receipt",$C552="Other Income",$C552="Capital In",$C552="Transfer In"),$G552,0)),"")</f>
        <v/>
      </c>
      <c r="J552" s="61" t="str">
        <f aca="false">IF(IsPro,IF(OR($C552="",N($G552)=0),"",IF(I552=0,$G552,0)),"")</f>
        <v/>
      </c>
      <c r="K552" s="60" t="str">
        <f aca="false">IF(IsPro,IF($C552="","",IF(AND(OR($C552="Receipt",$C552="Payment"),$D552=""),"Party needed",IF(AND(OR($C552="Expense",$C552="Other Income"),$E552=""),"Head needed",IF($F552="","Account needed","OK")))),IF($C552="","","PRO PLAN"))</f>
        <v/>
      </c>
    </row>
    <row r="553" customFormat="false" ht="15" hidden="false" customHeight="false" outlineLevel="0" collapsed="false">
      <c r="A553" s="55"/>
      <c r="B553" s="56"/>
      <c r="C553" s="56"/>
      <c r="D553" s="56"/>
      <c r="E553" s="56"/>
      <c r="F553" s="56"/>
      <c r="G553" s="58"/>
      <c r="H553" s="56"/>
      <c r="I553" s="61" t="str">
        <f aca="false">IF(IsPro,IF(OR($C553="",N($G553)=0),"",IF(OR($C553="Receipt",$C553="Other Income",$C553="Capital In",$C553="Transfer In"),$G553,0)),"")</f>
        <v/>
      </c>
      <c r="J553" s="61" t="str">
        <f aca="false">IF(IsPro,IF(OR($C553="",N($G553)=0),"",IF(I553=0,$G553,0)),"")</f>
        <v/>
      </c>
      <c r="K553" s="60" t="str">
        <f aca="false">IF(IsPro,IF($C553="","",IF(AND(OR($C553="Receipt",$C553="Payment"),$D553=""),"Party needed",IF(AND(OR($C553="Expense",$C553="Other Income"),$E553=""),"Head needed",IF($F553="","Account needed","OK")))),IF($C553="","","PRO PLAN"))</f>
        <v/>
      </c>
    </row>
    <row r="554" customFormat="false" ht="15" hidden="false" customHeight="false" outlineLevel="0" collapsed="false">
      <c r="A554" s="55"/>
      <c r="B554" s="56"/>
      <c r="C554" s="56"/>
      <c r="D554" s="56"/>
      <c r="E554" s="56"/>
      <c r="F554" s="56"/>
      <c r="G554" s="58"/>
      <c r="H554" s="56"/>
      <c r="I554" s="61" t="str">
        <f aca="false">IF(IsPro,IF(OR($C554="",N($G554)=0),"",IF(OR($C554="Receipt",$C554="Other Income",$C554="Capital In",$C554="Transfer In"),$G554,0)),"")</f>
        <v/>
      </c>
      <c r="J554" s="61" t="str">
        <f aca="false">IF(IsPro,IF(OR($C554="",N($G554)=0),"",IF(I554=0,$G554,0)),"")</f>
        <v/>
      </c>
      <c r="K554" s="60" t="str">
        <f aca="false">IF(IsPro,IF($C554="","",IF(AND(OR($C554="Receipt",$C554="Payment"),$D554=""),"Party needed",IF(AND(OR($C554="Expense",$C554="Other Income"),$E554=""),"Head needed",IF($F554="","Account needed","OK")))),IF($C554="","","PRO PLAN"))</f>
        <v/>
      </c>
    </row>
    <row r="555" customFormat="false" ht="15" hidden="false" customHeight="false" outlineLevel="0" collapsed="false">
      <c r="A555" s="55"/>
      <c r="B555" s="56"/>
      <c r="C555" s="56"/>
      <c r="D555" s="56"/>
      <c r="E555" s="56"/>
      <c r="F555" s="56"/>
      <c r="G555" s="58"/>
      <c r="H555" s="56"/>
      <c r="I555" s="61" t="str">
        <f aca="false">IF(IsPro,IF(OR($C555="",N($G555)=0),"",IF(OR($C555="Receipt",$C555="Other Income",$C555="Capital In",$C555="Transfer In"),$G555,0)),"")</f>
        <v/>
      </c>
      <c r="J555" s="61" t="str">
        <f aca="false">IF(IsPro,IF(OR($C555="",N($G555)=0),"",IF(I555=0,$G555,0)),"")</f>
        <v/>
      </c>
      <c r="K555" s="60" t="str">
        <f aca="false">IF(IsPro,IF($C555="","",IF(AND(OR($C555="Receipt",$C555="Payment"),$D555=""),"Party needed",IF(AND(OR($C555="Expense",$C555="Other Income"),$E555=""),"Head needed",IF($F555="","Account needed","OK")))),IF($C555="","","PRO PLAN"))</f>
        <v/>
      </c>
    </row>
    <row r="556" customFormat="false" ht="15" hidden="false" customHeight="false" outlineLevel="0" collapsed="false">
      <c r="A556" s="55"/>
      <c r="B556" s="56"/>
      <c r="C556" s="56"/>
      <c r="D556" s="56"/>
      <c r="E556" s="56"/>
      <c r="F556" s="56"/>
      <c r="G556" s="58"/>
      <c r="H556" s="56"/>
      <c r="I556" s="61" t="str">
        <f aca="false">IF(IsPro,IF(OR($C556="",N($G556)=0),"",IF(OR($C556="Receipt",$C556="Other Income",$C556="Capital In",$C556="Transfer In"),$G556,0)),"")</f>
        <v/>
      </c>
      <c r="J556" s="61" t="str">
        <f aca="false">IF(IsPro,IF(OR($C556="",N($G556)=0),"",IF(I556=0,$G556,0)),"")</f>
        <v/>
      </c>
      <c r="K556" s="60" t="str">
        <f aca="false">IF(IsPro,IF($C556="","",IF(AND(OR($C556="Receipt",$C556="Payment"),$D556=""),"Party needed",IF(AND(OR($C556="Expense",$C556="Other Income"),$E556=""),"Head needed",IF($F556="","Account needed","OK")))),IF($C556="","","PRO PLAN"))</f>
        <v/>
      </c>
    </row>
    <row r="557" customFormat="false" ht="15" hidden="false" customHeight="false" outlineLevel="0" collapsed="false">
      <c r="A557" s="55"/>
      <c r="B557" s="56"/>
      <c r="C557" s="56"/>
      <c r="D557" s="56"/>
      <c r="E557" s="56"/>
      <c r="F557" s="56"/>
      <c r="G557" s="58"/>
      <c r="H557" s="56"/>
      <c r="I557" s="61" t="str">
        <f aca="false">IF(IsPro,IF(OR($C557="",N($G557)=0),"",IF(OR($C557="Receipt",$C557="Other Income",$C557="Capital In",$C557="Transfer In"),$G557,0)),"")</f>
        <v/>
      </c>
      <c r="J557" s="61" t="str">
        <f aca="false">IF(IsPro,IF(OR($C557="",N($G557)=0),"",IF(I557=0,$G557,0)),"")</f>
        <v/>
      </c>
      <c r="K557" s="60" t="str">
        <f aca="false">IF(IsPro,IF($C557="","",IF(AND(OR($C557="Receipt",$C557="Payment"),$D557=""),"Party needed",IF(AND(OR($C557="Expense",$C557="Other Income"),$E557=""),"Head needed",IF($F557="","Account needed","OK")))),IF($C557="","","PRO PLAN"))</f>
        <v/>
      </c>
    </row>
    <row r="558" customFormat="false" ht="15" hidden="false" customHeight="false" outlineLevel="0" collapsed="false">
      <c r="A558" s="55"/>
      <c r="B558" s="56"/>
      <c r="C558" s="56"/>
      <c r="D558" s="56"/>
      <c r="E558" s="56"/>
      <c r="F558" s="56"/>
      <c r="G558" s="58"/>
      <c r="H558" s="56"/>
      <c r="I558" s="61" t="str">
        <f aca="false">IF(IsPro,IF(OR($C558="",N($G558)=0),"",IF(OR($C558="Receipt",$C558="Other Income",$C558="Capital In",$C558="Transfer In"),$G558,0)),"")</f>
        <v/>
      </c>
      <c r="J558" s="61" t="str">
        <f aca="false">IF(IsPro,IF(OR($C558="",N($G558)=0),"",IF(I558=0,$G558,0)),"")</f>
        <v/>
      </c>
      <c r="K558" s="60" t="str">
        <f aca="false">IF(IsPro,IF($C558="","",IF(AND(OR($C558="Receipt",$C558="Payment"),$D558=""),"Party needed",IF(AND(OR($C558="Expense",$C558="Other Income"),$E558=""),"Head needed",IF($F558="","Account needed","OK")))),IF($C558="","","PRO PLAN"))</f>
        <v/>
      </c>
    </row>
    <row r="559" customFormat="false" ht="15" hidden="false" customHeight="false" outlineLevel="0" collapsed="false">
      <c r="A559" s="55"/>
      <c r="B559" s="56"/>
      <c r="C559" s="56"/>
      <c r="D559" s="56"/>
      <c r="E559" s="56"/>
      <c r="F559" s="56"/>
      <c r="G559" s="58"/>
      <c r="H559" s="56"/>
      <c r="I559" s="61" t="str">
        <f aca="false">IF(IsPro,IF(OR($C559="",N($G559)=0),"",IF(OR($C559="Receipt",$C559="Other Income",$C559="Capital In",$C559="Transfer In"),$G559,0)),"")</f>
        <v/>
      </c>
      <c r="J559" s="61" t="str">
        <f aca="false">IF(IsPro,IF(OR($C559="",N($G559)=0),"",IF(I559=0,$G559,0)),"")</f>
        <v/>
      </c>
      <c r="K559" s="60" t="str">
        <f aca="false">IF(IsPro,IF($C559="","",IF(AND(OR($C559="Receipt",$C559="Payment"),$D559=""),"Party needed",IF(AND(OR($C559="Expense",$C559="Other Income"),$E559=""),"Head needed",IF($F559="","Account needed","OK")))),IF($C559="","","PRO PLAN"))</f>
        <v/>
      </c>
    </row>
    <row r="560" customFormat="false" ht="15" hidden="false" customHeight="false" outlineLevel="0" collapsed="false">
      <c r="A560" s="55"/>
      <c r="B560" s="56"/>
      <c r="C560" s="56"/>
      <c r="D560" s="56"/>
      <c r="E560" s="56"/>
      <c r="F560" s="56"/>
      <c r="G560" s="58"/>
      <c r="H560" s="56"/>
      <c r="I560" s="61" t="str">
        <f aca="false">IF(IsPro,IF(OR($C560="",N($G560)=0),"",IF(OR($C560="Receipt",$C560="Other Income",$C560="Capital In",$C560="Transfer In"),$G560,0)),"")</f>
        <v/>
      </c>
      <c r="J560" s="61" t="str">
        <f aca="false">IF(IsPro,IF(OR($C560="",N($G560)=0),"",IF(I560=0,$G560,0)),"")</f>
        <v/>
      </c>
      <c r="K560" s="60" t="str">
        <f aca="false">IF(IsPro,IF($C560="","",IF(AND(OR($C560="Receipt",$C560="Payment"),$D560=""),"Party needed",IF(AND(OR($C560="Expense",$C560="Other Income"),$E560=""),"Head needed",IF($F560="","Account needed","OK")))),IF($C560="","","PRO PLAN"))</f>
        <v/>
      </c>
    </row>
    <row r="561" customFormat="false" ht="15" hidden="false" customHeight="false" outlineLevel="0" collapsed="false">
      <c r="A561" s="55"/>
      <c r="B561" s="56"/>
      <c r="C561" s="56"/>
      <c r="D561" s="56"/>
      <c r="E561" s="56"/>
      <c r="F561" s="56"/>
      <c r="G561" s="58"/>
      <c r="H561" s="56"/>
      <c r="I561" s="61" t="str">
        <f aca="false">IF(IsPro,IF(OR($C561="",N($G561)=0),"",IF(OR($C561="Receipt",$C561="Other Income",$C561="Capital In",$C561="Transfer In"),$G561,0)),"")</f>
        <v/>
      </c>
      <c r="J561" s="61" t="str">
        <f aca="false">IF(IsPro,IF(OR($C561="",N($G561)=0),"",IF(I561=0,$G561,0)),"")</f>
        <v/>
      </c>
      <c r="K561" s="60" t="str">
        <f aca="false">IF(IsPro,IF($C561="","",IF(AND(OR($C561="Receipt",$C561="Payment"),$D561=""),"Party needed",IF(AND(OR($C561="Expense",$C561="Other Income"),$E561=""),"Head needed",IF($F561="","Account needed","OK")))),IF($C561="","","PRO PLAN"))</f>
        <v/>
      </c>
    </row>
    <row r="562" customFormat="false" ht="15" hidden="false" customHeight="false" outlineLevel="0" collapsed="false">
      <c r="A562" s="55"/>
      <c r="B562" s="56"/>
      <c r="C562" s="56"/>
      <c r="D562" s="56"/>
      <c r="E562" s="56"/>
      <c r="F562" s="56"/>
      <c r="G562" s="58"/>
      <c r="H562" s="56"/>
      <c r="I562" s="61" t="str">
        <f aca="false">IF(IsPro,IF(OR($C562="",N($G562)=0),"",IF(OR($C562="Receipt",$C562="Other Income",$C562="Capital In",$C562="Transfer In"),$G562,0)),"")</f>
        <v/>
      </c>
      <c r="J562" s="61" t="str">
        <f aca="false">IF(IsPro,IF(OR($C562="",N($G562)=0),"",IF(I562=0,$G562,0)),"")</f>
        <v/>
      </c>
      <c r="K562" s="60" t="str">
        <f aca="false">IF(IsPro,IF($C562="","",IF(AND(OR($C562="Receipt",$C562="Payment"),$D562=""),"Party needed",IF(AND(OR($C562="Expense",$C562="Other Income"),$E562=""),"Head needed",IF($F562="","Account needed","OK")))),IF($C562="","","PRO PLAN"))</f>
        <v/>
      </c>
    </row>
    <row r="563" customFormat="false" ht="15" hidden="false" customHeight="false" outlineLevel="0" collapsed="false">
      <c r="A563" s="55"/>
      <c r="B563" s="56"/>
      <c r="C563" s="56"/>
      <c r="D563" s="56"/>
      <c r="E563" s="56"/>
      <c r="F563" s="56"/>
      <c r="G563" s="58"/>
      <c r="H563" s="56"/>
      <c r="I563" s="61" t="str">
        <f aca="false">IF(IsPro,IF(OR($C563="",N($G563)=0),"",IF(OR($C563="Receipt",$C563="Other Income",$C563="Capital In",$C563="Transfer In"),$G563,0)),"")</f>
        <v/>
      </c>
      <c r="J563" s="61" t="str">
        <f aca="false">IF(IsPro,IF(OR($C563="",N($G563)=0),"",IF(I563=0,$G563,0)),"")</f>
        <v/>
      </c>
      <c r="K563" s="60" t="str">
        <f aca="false">IF(IsPro,IF($C563="","",IF(AND(OR($C563="Receipt",$C563="Payment"),$D563=""),"Party needed",IF(AND(OR($C563="Expense",$C563="Other Income"),$E563=""),"Head needed",IF($F563="","Account needed","OK")))),IF($C563="","","PRO PLAN"))</f>
        <v/>
      </c>
    </row>
    <row r="564" customFormat="false" ht="15" hidden="false" customHeight="false" outlineLevel="0" collapsed="false">
      <c r="A564" s="55"/>
      <c r="B564" s="56"/>
      <c r="C564" s="56"/>
      <c r="D564" s="56"/>
      <c r="E564" s="56"/>
      <c r="F564" s="56"/>
      <c r="G564" s="58"/>
      <c r="H564" s="56"/>
      <c r="I564" s="61" t="str">
        <f aca="false">IF(IsPro,IF(OR($C564="",N($G564)=0),"",IF(OR($C564="Receipt",$C564="Other Income",$C564="Capital In",$C564="Transfer In"),$G564,0)),"")</f>
        <v/>
      </c>
      <c r="J564" s="61" t="str">
        <f aca="false">IF(IsPro,IF(OR($C564="",N($G564)=0),"",IF(I564=0,$G564,0)),"")</f>
        <v/>
      </c>
      <c r="K564" s="60" t="str">
        <f aca="false">IF(IsPro,IF($C564="","",IF(AND(OR($C564="Receipt",$C564="Payment"),$D564=""),"Party needed",IF(AND(OR($C564="Expense",$C564="Other Income"),$E564=""),"Head needed",IF($F564="","Account needed","OK")))),IF($C564="","","PRO PLAN"))</f>
        <v/>
      </c>
    </row>
    <row r="565" customFormat="false" ht="15" hidden="false" customHeight="false" outlineLevel="0" collapsed="false">
      <c r="A565" s="55"/>
      <c r="B565" s="56"/>
      <c r="C565" s="56"/>
      <c r="D565" s="56"/>
      <c r="E565" s="56"/>
      <c r="F565" s="56"/>
      <c r="G565" s="58"/>
      <c r="H565" s="56"/>
      <c r="I565" s="61" t="str">
        <f aca="false">IF(IsPro,IF(OR($C565="",N($G565)=0),"",IF(OR($C565="Receipt",$C565="Other Income",$C565="Capital In",$C565="Transfer In"),$G565,0)),"")</f>
        <v/>
      </c>
      <c r="J565" s="61" t="str">
        <f aca="false">IF(IsPro,IF(OR($C565="",N($G565)=0),"",IF(I565=0,$G565,0)),"")</f>
        <v/>
      </c>
      <c r="K565" s="60" t="str">
        <f aca="false">IF(IsPro,IF($C565="","",IF(AND(OR($C565="Receipt",$C565="Payment"),$D565=""),"Party needed",IF(AND(OR($C565="Expense",$C565="Other Income"),$E565=""),"Head needed",IF($F565="","Account needed","OK")))),IF($C565="","","PRO PLAN"))</f>
        <v/>
      </c>
    </row>
    <row r="566" customFormat="false" ht="15" hidden="false" customHeight="false" outlineLevel="0" collapsed="false">
      <c r="A566" s="55"/>
      <c r="B566" s="56"/>
      <c r="C566" s="56"/>
      <c r="D566" s="56"/>
      <c r="E566" s="56"/>
      <c r="F566" s="56"/>
      <c r="G566" s="58"/>
      <c r="H566" s="56"/>
      <c r="I566" s="61" t="str">
        <f aca="false">IF(IsPro,IF(OR($C566="",N($G566)=0),"",IF(OR($C566="Receipt",$C566="Other Income",$C566="Capital In",$C566="Transfer In"),$G566,0)),"")</f>
        <v/>
      </c>
      <c r="J566" s="61" t="str">
        <f aca="false">IF(IsPro,IF(OR($C566="",N($G566)=0),"",IF(I566=0,$G566,0)),"")</f>
        <v/>
      </c>
      <c r="K566" s="60" t="str">
        <f aca="false">IF(IsPro,IF($C566="","",IF(AND(OR($C566="Receipt",$C566="Payment"),$D566=""),"Party needed",IF(AND(OR($C566="Expense",$C566="Other Income"),$E566=""),"Head needed",IF($F566="","Account needed","OK")))),IF($C566="","","PRO PLAN"))</f>
        <v/>
      </c>
    </row>
    <row r="567" customFormat="false" ht="15" hidden="false" customHeight="false" outlineLevel="0" collapsed="false">
      <c r="A567" s="55"/>
      <c r="B567" s="56"/>
      <c r="C567" s="56"/>
      <c r="D567" s="56"/>
      <c r="E567" s="56"/>
      <c r="F567" s="56"/>
      <c r="G567" s="58"/>
      <c r="H567" s="56"/>
      <c r="I567" s="61" t="str">
        <f aca="false">IF(IsPro,IF(OR($C567="",N($G567)=0),"",IF(OR($C567="Receipt",$C567="Other Income",$C567="Capital In",$C567="Transfer In"),$G567,0)),"")</f>
        <v/>
      </c>
      <c r="J567" s="61" t="str">
        <f aca="false">IF(IsPro,IF(OR($C567="",N($G567)=0),"",IF(I567=0,$G567,0)),"")</f>
        <v/>
      </c>
      <c r="K567" s="60" t="str">
        <f aca="false">IF(IsPro,IF($C567="","",IF(AND(OR($C567="Receipt",$C567="Payment"),$D567=""),"Party needed",IF(AND(OR($C567="Expense",$C567="Other Income"),$E567=""),"Head needed",IF($F567="","Account needed","OK")))),IF($C567="","","PRO PLAN"))</f>
        <v/>
      </c>
    </row>
    <row r="568" customFormat="false" ht="15" hidden="false" customHeight="false" outlineLevel="0" collapsed="false">
      <c r="A568" s="55"/>
      <c r="B568" s="56"/>
      <c r="C568" s="56"/>
      <c r="D568" s="56"/>
      <c r="E568" s="56"/>
      <c r="F568" s="56"/>
      <c r="G568" s="58"/>
      <c r="H568" s="56"/>
      <c r="I568" s="61" t="str">
        <f aca="false">IF(IsPro,IF(OR($C568="",N($G568)=0),"",IF(OR($C568="Receipt",$C568="Other Income",$C568="Capital In",$C568="Transfer In"),$G568,0)),"")</f>
        <v/>
      </c>
      <c r="J568" s="61" t="str">
        <f aca="false">IF(IsPro,IF(OR($C568="",N($G568)=0),"",IF(I568=0,$G568,0)),"")</f>
        <v/>
      </c>
      <c r="K568" s="60" t="str">
        <f aca="false">IF(IsPro,IF($C568="","",IF(AND(OR($C568="Receipt",$C568="Payment"),$D568=""),"Party needed",IF(AND(OR($C568="Expense",$C568="Other Income"),$E568=""),"Head needed",IF($F568="","Account needed","OK")))),IF($C568="","","PRO PLAN"))</f>
        <v/>
      </c>
    </row>
    <row r="569" customFormat="false" ht="15" hidden="false" customHeight="false" outlineLevel="0" collapsed="false">
      <c r="A569" s="55"/>
      <c r="B569" s="56"/>
      <c r="C569" s="56"/>
      <c r="D569" s="56"/>
      <c r="E569" s="56"/>
      <c r="F569" s="56"/>
      <c r="G569" s="58"/>
      <c r="H569" s="56"/>
      <c r="I569" s="61" t="str">
        <f aca="false">IF(IsPro,IF(OR($C569="",N($G569)=0),"",IF(OR($C569="Receipt",$C569="Other Income",$C569="Capital In",$C569="Transfer In"),$G569,0)),"")</f>
        <v/>
      </c>
      <c r="J569" s="61" t="str">
        <f aca="false">IF(IsPro,IF(OR($C569="",N($G569)=0),"",IF(I569=0,$G569,0)),"")</f>
        <v/>
      </c>
      <c r="K569" s="60" t="str">
        <f aca="false">IF(IsPro,IF($C569="","",IF(AND(OR($C569="Receipt",$C569="Payment"),$D569=""),"Party needed",IF(AND(OR($C569="Expense",$C569="Other Income"),$E569=""),"Head needed",IF($F569="","Account needed","OK")))),IF($C569="","","PRO PLAN"))</f>
        <v/>
      </c>
    </row>
    <row r="570" customFormat="false" ht="15" hidden="false" customHeight="false" outlineLevel="0" collapsed="false">
      <c r="A570" s="55"/>
      <c r="B570" s="56"/>
      <c r="C570" s="56"/>
      <c r="D570" s="56"/>
      <c r="E570" s="56"/>
      <c r="F570" s="56"/>
      <c r="G570" s="58"/>
      <c r="H570" s="56"/>
      <c r="I570" s="61" t="str">
        <f aca="false">IF(IsPro,IF(OR($C570="",N($G570)=0),"",IF(OR($C570="Receipt",$C570="Other Income",$C570="Capital In",$C570="Transfer In"),$G570,0)),"")</f>
        <v/>
      </c>
      <c r="J570" s="61" t="str">
        <f aca="false">IF(IsPro,IF(OR($C570="",N($G570)=0),"",IF(I570=0,$G570,0)),"")</f>
        <v/>
      </c>
      <c r="K570" s="60" t="str">
        <f aca="false">IF(IsPro,IF($C570="","",IF(AND(OR($C570="Receipt",$C570="Payment"),$D570=""),"Party needed",IF(AND(OR($C570="Expense",$C570="Other Income"),$E570=""),"Head needed",IF($F570="","Account needed","OK")))),IF($C570="","","PRO PLAN"))</f>
        <v/>
      </c>
    </row>
    <row r="571" customFormat="false" ht="15" hidden="false" customHeight="false" outlineLevel="0" collapsed="false">
      <c r="A571" s="55"/>
      <c r="B571" s="56"/>
      <c r="C571" s="56"/>
      <c r="D571" s="56"/>
      <c r="E571" s="56"/>
      <c r="F571" s="56"/>
      <c r="G571" s="58"/>
      <c r="H571" s="56"/>
      <c r="I571" s="61" t="str">
        <f aca="false">IF(IsPro,IF(OR($C571="",N($G571)=0),"",IF(OR($C571="Receipt",$C571="Other Income",$C571="Capital In",$C571="Transfer In"),$G571,0)),"")</f>
        <v/>
      </c>
      <c r="J571" s="61" t="str">
        <f aca="false">IF(IsPro,IF(OR($C571="",N($G571)=0),"",IF(I571=0,$G571,0)),"")</f>
        <v/>
      </c>
      <c r="K571" s="60" t="str">
        <f aca="false">IF(IsPro,IF($C571="","",IF(AND(OR($C571="Receipt",$C571="Payment"),$D571=""),"Party needed",IF(AND(OR($C571="Expense",$C571="Other Income"),$E571=""),"Head needed",IF($F571="","Account needed","OK")))),IF($C571="","","PRO PLAN"))</f>
        <v/>
      </c>
    </row>
    <row r="572" customFormat="false" ht="15" hidden="false" customHeight="false" outlineLevel="0" collapsed="false">
      <c r="A572" s="55"/>
      <c r="B572" s="56"/>
      <c r="C572" s="56"/>
      <c r="D572" s="56"/>
      <c r="E572" s="56"/>
      <c r="F572" s="56"/>
      <c r="G572" s="58"/>
      <c r="H572" s="56"/>
      <c r="I572" s="61" t="str">
        <f aca="false">IF(IsPro,IF(OR($C572="",N($G572)=0),"",IF(OR($C572="Receipt",$C572="Other Income",$C572="Capital In",$C572="Transfer In"),$G572,0)),"")</f>
        <v/>
      </c>
      <c r="J572" s="61" t="str">
        <f aca="false">IF(IsPro,IF(OR($C572="",N($G572)=0),"",IF(I572=0,$G572,0)),"")</f>
        <v/>
      </c>
      <c r="K572" s="60" t="str">
        <f aca="false">IF(IsPro,IF($C572="","",IF(AND(OR($C572="Receipt",$C572="Payment"),$D572=""),"Party needed",IF(AND(OR($C572="Expense",$C572="Other Income"),$E572=""),"Head needed",IF($F572="","Account needed","OK")))),IF($C572="","","PRO PLAN"))</f>
        <v/>
      </c>
    </row>
    <row r="573" customFormat="false" ht="15" hidden="false" customHeight="false" outlineLevel="0" collapsed="false">
      <c r="A573" s="55"/>
      <c r="B573" s="56"/>
      <c r="C573" s="56"/>
      <c r="D573" s="56"/>
      <c r="E573" s="56"/>
      <c r="F573" s="56"/>
      <c r="G573" s="58"/>
      <c r="H573" s="56"/>
      <c r="I573" s="61" t="str">
        <f aca="false">IF(IsPro,IF(OR($C573="",N($G573)=0),"",IF(OR($C573="Receipt",$C573="Other Income",$C573="Capital In",$C573="Transfer In"),$G573,0)),"")</f>
        <v/>
      </c>
      <c r="J573" s="61" t="str">
        <f aca="false">IF(IsPro,IF(OR($C573="",N($G573)=0),"",IF(I573=0,$G573,0)),"")</f>
        <v/>
      </c>
      <c r="K573" s="60" t="str">
        <f aca="false">IF(IsPro,IF($C573="","",IF(AND(OR($C573="Receipt",$C573="Payment"),$D573=""),"Party needed",IF(AND(OR($C573="Expense",$C573="Other Income"),$E573=""),"Head needed",IF($F573="","Account needed","OK")))),IF($C573="","","PRO PLAN"))</f>
        <v/>
      </c>
    </row>
    <row r="574" customFormat="false" ht="15" hidden="false" customHeight="false" outlineLevel="0" collapsed="false">
      <c r="A574" s="55"/>
      <c r="B574" s="56"/>
      <c r="C574" s="56"/>
      <c r="D574" s="56"/>
      <c r="E574" s="56"/>
      <c r="F574" s="56"/>
      <c r="G574" s="58"/>
      <c r="H574" s="56"/>
      <c r="I574" s="61" t="str">
        <f aca="false">IF(IsPro,IF(OR($C574="",N($G574)=0),"",IF(OR($C574="Receipt",$C574="Other Income",$C574="Capital In",$C574="Transfer In"),$G574,0)),"")</f>
        <v/>
      </c>
      <c r="J574" s="61" t="str">
        <f aca="false">IF(IsPro,IF(OR($C574="",N($G574)=0),"",IF(I574=0,$G574,0)),"")</f>
        <v/>
      </c>
      <c r="K574" s="60" t="str">
        <f aca="false">IF(IsPro,IF($C574="","",IF(AND(OR($C574="Receipt",$C574="Payment"),$D574=""),"Party needed",IF(AND(OR($C574="Expense",$C574="Other Income"),$E574=""),"Head needed",IF($F574="","Account needed","OK")))),IF($C574="","","PRO PLAN"))</f>
        <v/>
      </c>
    </row>
    <row r="575" customFormat="false" ht="15" hidden="false" customHeight="false" outlineLevel="0" collapsed="false">
      <c r="A575" s="55"/>
      <c r="B575" s="56"/>
      <c r="C575" s="56"/>
      <c r="D575" s="56"/>
      <c r="E575" s="56"/>
      <c r="F575" s="56"/>
      <c r="G575" s="58"/>
      <c r="H575" s="56"/>
      <c r="I575" s="61" t="str">
        <f aca="false">IF(IsPro,IF(OR($C575="",N($G575)=0),"",IF(OR($C575="Receipt",$C575="Other Income",$C575="Capital In",$C575="Transfer In"),$G575,0)),"")</f>
        <v/>
      </c>
      <c r="J575" s="61" t="str">
        <f aca="false">IF(IsPro,IF(OR($C575="",N($G575)=0),"",IF(I575=0,$G575,0)),"")</f>
        <v/>
      </c>
      <c r="K575" s="60" t="str">
        <f aca="false">IF(IsPro,IF($C575="","",IF(AND(OR($C575="Receipt",$C575="Payment"),$D575=""),"Party needed",IF(AND(OR($C575="Expense",$C575="Other Income"),$E575=""),"Head needed",IF($F575="","Account needed","OK")))),IF($C575="","","PRO PLAN"))</f>
        <v/>
      </c>
    </row>
    <row r="576" customFormat="false" ht="15" hidden="false" customHeight="false" outlineLevel="0" collapsed="false">
      <c r="A576" s="55"/>
      <c r="B576" s="56"/>
      <c r="C576" s="56"/>
      <c r="D576" s="56"/>
      <c r="E576" s="56"/>
      <c r="F576" s="56"/>
      <c r="G576" s="58"/>
      <c r="H576" s="56"/>
      <c r="I576" s="61" t="str">
        <f aca="false">IF(IsPro,IF(OR($C576="",N($G576)=0),"",IF(OR($C576="Receipt",$C576="Other Income",$C576="Capital In",$C576="Transfer In"),$G576,0)),"")</f>
        <v/>
      </c>
      <c r="J576" s="61" t="str">
        <f aca="false">IF(IsPro,IF(OR($C576="",N($G576)=0),"",IF(I576=0,$G576,0)),"")</f>
        <v/>
      </c>
      <c r="K576" s="60" t="str">
        <f aca="false">IF(IsPro,IF($C576="","",IF(AND(OR($C576="Receipt",$C576="Payment"),$D576=""),"Party needed",IF(AND(OR($C576="Expense",$C576="Other Income"),$E576=""),"Head needed",IF($F576="","Account needed","OK")))),IF($C576="","","PRO PLAN"))</f>
        <v/>
      </c>
    </row>
    <row r="577" customFormat="false" ht="15" hidden="false" customHeight="false" outlineLevel="0" collapsed="false">
      <c r="A577" s="55"/>
      <c r="B577" s="56"/>
      <c r="C577" s="56"/>
      <c r="D577" s="56"/>
      <c r="E577" s="56"/>
      <c r="F577" s="56"/>
      <c r="G577" s="58"/>
      <c r="H577" s="56"/>
      <c r="I577" s="61" t="str">
        <f aca="false">IF(IsPro,IF(OR($C577="",N($G577)=0),"",IF(OR($C577="Receipt",$C577="Other Income",$C577="Capital In",$C577="Transfer In"),$G577,0)),"")</f>
        <v/>
      </c>
      <c r="J577" s="61" t="str">
        <f aca="false">IF(IsPro,IF(OR($C577="",N($G577)=0),"",IF(I577=0,$G577,0)),"")</f>
        <v/>
      </c>
      <c r="K577" s="60" t="str">
        <f aca="false">IF(IsPro,IF($C577="","",IF(AND(OR($C577="Receipt",$C577="Payment"),$D577=""),"Party needed",IF(AND(OR($C577="Expense",$C577="Other Income"),$E577=""),"Head needed",IF($F577="","Account needed","OK")))),IF($C577="","","PRO PLAN"))</f>
        <v/>
      </c>
    </row>
    <row r="578" customFormat="false" ht="15" hidden="false" customHeight="false" outlineLevel="0" collapsed="false">
      <c r="A578" s="55"/>
      <c r="B578" s="56"/>
      <c r="C578" s="56"/>
      <c r="D578" s="56"/>
      <c r="E578" s="56"/>
      <c r="F578" s="56"/>
      <c r="G578" s="58"/>
      <c r="H578" s="56"/>
      <c r="I578" s="61" t="str">
        <f aca="false">IF(IsPro,IF(OR($C578="",N($G578)=0),"",IF(OR($C578="Receipt",$C578="Other Income",$C578="Capital In",$C578="Transfer In"),$G578,0)),"")</f>
        <v/>
      </c>
      <c r="J578" s="61" t="str">
        <f aca="false">IF(IsPro,IF(OR($C578="",N($G578)=0),"",IF(I578=0,$G578,0)),"")</f>
        <v/>
      </c>
      <c r="K578" s="60" t="str">
        <f aca="false">IF(IsPro,IF($C578="","",IF(AND(OR($C578="Receipt",$C578="Payment"),$D578=""),"Party needed",IF(AND(OR($C578="Expense",$C578="Other Income"),$E578=""),"Head needed",IF($F578="","Account needed","OK")))),IF($C578="","","PRO PLAN"))</f>
        <v/>
      </c>
    </row>
    <row r="579" customFormat="false" ht="15" hidden="false" customHeight="false" outlineLevel="0" collapsed="false">
      <c r="A579" s="55"/>
      <c r="B579" s="56"/>
      <c r="C579" s="56"/>
      <c r="D579" s="56"/>
      <c r="E579" s="56"/>
      <c r="F579" s="56"/>
      <c r="G579" s="58"/>
      <c r="H579" s="56"/>
      <c r="I579" s="61" t="str">
        <f aca="false">IF(IsPro,IF(OR($C579="",N($G579)=0),"",IF(OR($C579="Receipt",$C579="Other Income",$C579="Capital In",$C579="Transfer In"),$G579,0)),"")</f>
        <v/>
      </c>
      <c r="J579" s="61" t="str">
        <f aca="false">IF(IsPro,IF(OR($C579="",N($G579)=0),"",IF(I579=0,$G579,0)),"")</f>
        <v/>
      </c>
      <c r="K579" s="60" t="str">
        <f aca="false">IF(IsPro,IF($C579="","",IF(AND(OR($C579="Receipt",$C579="Payment"),$D579=""),"Party needed",IF(AND(OR($C579="Expense",$C579="Other Income"),$E579=""),"Head needed",IF($F579="","Account needed","OK")))),IF($C579="","","PRO PLAN"))</f>
        <v/>
      </c>
    </row>
    <row r="580" customFormat="false" ht="15" hidden="false" customHeight="false" outlineLevel="0" collapsed="false">
      <c r="A580" s="55"/>
      <c r="B580" s="56"/>
      <c r="C580" s="56"/>
      <c r="D580" s="56"/>
      <c r="E580" s="56"/>
      <c r="F580" s="56"/>
      <c r="G580" s="58"/>
      <c r="H580" s="56"/>
      <c r="I580" s="61" t="str">
        <f aca="false">IF(IsPro,IF(OR($C580="",N($G580)=0),"",IF(OR($C580="Receipt",$C580="Other Income",$C580="Capital In",$C580="Transfer In"),$G580,0)),"")</f>
        <v/>
      </c>
      <c r="J580" s="61" t="str">
        <f aca="false">IF(IsPro,IF(OR($C580="",N($G580)=0),"",IF(I580=0,$G580,0)),"")</f>
        <v/>
      </c>
      <c r="K580" s="60" t="str">
        <f aca="false">IF(IsPro,IF($C580="","",IF(AND(OR($C580="Receipt",$C580="Payment"),$D580=""),"Party needed",IF(AND(OR($C580="Expense",$C580="Other Income"),$E580=""),"Head needed",IF($F580="","Account needed","OK")))),IF($C580="","","PRO PLAN"))</f>
        <v/>
      </c>
    </row>
    <row r="581" customFormat="false" ht="15" hidden="false" customHeight="false" outlineLevel="0" collapsed="false">
      <c r="A581" s="55"/>
      <c r="B581" s="56"/>
      <c r="C581" s="56"/>
      <c r="D581" s="56"/>
      <c r="E581" s="56"/>
      <c r="F581" s="56"/>
      <c r="G581" s="58"/>
      <c r="H581" s="56"/>
      <c r="I581" s="61" t="str">
        <f aca="false">IF(IsPro,IF(OR($C581="",N($G581)=0),"",IF(OR($C581="Receipt",$C581="Other Income",$C581="Capital In",$C581="Transfer In"),$G581,0)),"")</f>
        <v/>
      </c>
      <c r="J581" s="61" t="str">
        <f aca="false">IF(IsPro,IF(OR($C581="",N($G581)=0),"",IF(I581=0,$G581,0)),"")</f>
        <v/>
      </c>
      <c r="K581" s="60" t="str">
        <f aca="false">IF(IsPro,IF($C581="","",IF(AND(OR($C581="Receipt",$C581="Payment"),$D581=""),"Party needed",IF(AND(OR($C581="Expense",$C581="Other Income"),$E581=""),"Head needed",IF($F581="","Account needed","OK")))),IF($C581="","","PRO PLAN"))</f>
        <v/>
      </c>
    </row>
    <row r="582" customFormat="false" ht="15" hidden="false" customHeight="false" outlineLevel="0" collapsed="false">
      <c r="A582" s="55"/>
      <c r="B582" s="56"/>
      <c r="C582" s="56"/>
      <c r="D582" s="56"/>
      <c r="E582" s="56"/>
      <c r="F582" s="56"/>
      <c r="G582" s="58"/>
      <c r="H582" s="56"/>
      <c r="I582" s="61" t="str">
        <f aca="false">IF(IsPro,IF(OR($C582="",N($G582)=0),"",IF(OR($C582="Receipt",$C582="Other Income",$C582="Capital In",$C582="Transfer In"),$G582,0)),"")</f>
        <v/>
      </c>
      <c r="J582" s="61" t="str">
        <f aca="false">IF(IsPro,IF(OR($C582="",N($G582)=0),"",IF(I582=0,$G582,0)),"")</f>
        <v/>
      </c>
      <c r="K582" s="60" t="str">
        <f aca="false">IF(IsPro,IF($C582="","",IF(AND(OR($C582="Receipt",$C582="Payment"),$D582=""),"Party needed",IF(AND(OR($C582="Expense",$C582="Other Income"),$E582=""),"Head needed",IF($F582="","Account needed","OK")))),IF($C582="","","PRO PLAN"))</f>
        <v/>
      </c>
    </row>
    <row r="583" customFormat="false" ht="15" hidden="false" customHeight="false" outlineLevel="0" collapsed="false">
      <c r="A583" s="55"/>
      <c r="B583" s="56"/>
      <c r="C583" s="56"/>
      <c r="D583" s="56"/>
      <c r="E583" s="56"/>
      <c r="F583" s="56"/>
      <c r="G583" s="58"/>
      <c r="H583" s="56"/>
      <c r="I583" s="61" t="str">
        <f aca="false">IF(IsPro,IF(OR($C583="",N($G583)=0),"",IF(OR($C583="Receipt",$C583="Other Income",$C583="Capital In",$C583="Transfer In"),$G583,0)),"")</f>
        <v/>
      </c>
      <c r="J583" s="61" t="str">
        <f aca="false">IF(IsPro,IF(OR($C583="",N($G583)=0),"",IF(I583=0,$G583,0)),"")</f>
        <v/>
      </c>
      <c r="K583" s="60" t="str">
        <f aca="false">IF(IsPro,IF($C583="","",IF(AND(OR($C583="Receipt",$C583="Payment"),$D583=""),"Party needed",IF(AND(OR($C583="Expense",$C583="Other Income"),$E583=""),"Head needed",IF($F583="","Account needed","OK")))),IF($C583="","","PRO PLAN"))</f>
        <v/>
      </c>
    </row>
    <row r="584" customFormat="false" ht="15" hidden="false" customHeight="false" outlineLevel="0" collapsed="false">
      <c r="A584" s="55"/>
      <c r="B584" s="56"/>
      <c r="C584" s="56"/>
      <c r="D584" s="56"/>
      <c r="E584" s="56"/>
      <c r="F584" s="56"/>
      <c r="G584" s="58"/>
      <c r="H584" s="56"/>
      <c r="I584" s="61" t="str">
        <f aca="false">IF(IsPro,IF(OR($C584="",N($G584)=0),"",IF(OR($C584="Receipt",$C584="Other Income",$C584="Capital In",$C584="Transfer In"),$G584,0)),"")</f>
        <v/>
      </c>
      <c r="J584" s="61" t="str">
        <f aca="false">IF(IsPro,IF(OR($C584="",N($G584)=0),"",IF(I584=0,$G584,0)),"")</f>
        <v/>
      </c>
      <c r="K584" s="60" t="str">
        <f aca="false">IF(IsPro,IF($C584="","",IF(AND(OR($C584="Receipt",$C584="Payment"),$D584=""),"Party needed",IF(AND(OR($C584="Expense",$C584="Other Income"),$E584=""),"Head needed",IF($F584="","Account needed","OK")))),IF($C584="","","PRO PLAN"))</f>
        <v/>
      </c>
    </row>
    <row r="585" customFormat="false" ht="15" hidden="false" customHeight="false" outlineLevel="0" collapsed="false">
      <c r="A585" s="55"/>
      <c r="B585" s="56"/>
      <c r="C585" s="56"/>
      <c r="D585" s="56"/>
      <c r="E585" s="56"/>
      <c r="F585" s="56"/>
      <c r="G585" s="58"/>
      <c r="H585" s="56"/>
      <c r="I585" s="61" t="str">
        <f aca="false">IF(IsPro,IF(OR($C585="",N($G585)=0),"",IF(OR($C585="Receipt",$C585="Other Income",$C585="Capital In",$C585="Transfer In"),$G585,0)),"")</f>
        <v/>
      </c>
      <c r="J585" s="61" t="str">
        <f aca="false">IF(IsPro,IF(OR($C585="",N($G585)=0),"",IF(I585=0,$G585,0)),"")</f>
        <v/>
      </c>
      <c r="K585" s="60" t="str">
        <f aca="false">IF(IsPro,IF($C585="","",IF(AND(OR($C585="Receipt",$C585="Payment"),$D585=""),"Party needed",IF(AND(OR($C585="Expense",$C585="Other Income"),$E585=""),"Head needed",IF($F585="","Account needed","OK")))),IF($C585="","","PRO PLAN"))</f>
        <v/>
      </c>
    </row>
    <row r="586" customFormat="false" ht="15" hidden="false" customHeight="false" outlineLevel="0" collapsed="false">
      <c r="A586" s="55"/>
      <c r="B586" s="56"/>
      <c r="C586" s="56"/>
      <c r="D586" s="56"/>
      <c r="E586" s="56"/>
      <c r="F586" s="56"/>
      <c r="G586" s="58"/>
      <c r="H586" s="56"/>
      <c r="I586" s="61" t="str">
        <f aca="false">IF(IsPro,IF(OR($C586="",N($G586)=0),"",IF(OR($C586="Receipt",$C586="Other Income",$C586="Capital In",$C586="Transfer In"),$G586,0)),"")</f>
        <v/>
      </c>
      <c r="J586" s="61" t="str">
        <f aca="false">IF(IsPro,IF(OR($C586="",N($G586)=0),"",IF(I586=0,$G586,0)),"")</f>
        <v/>
      </c>
      <c r="K586" s="60" t="str">
        <f aca="false">IF(IsPro,IF($C586="","",IF(AND(OR($C586="Receipt",$C586="Payment"),$D586=""),"Party needed",IF(AND(OR($C586="Expense",$C586="Other Income"),$E586=""),"Head needed",IF($F586="","Account needed","OK")))),IF($C586="","","PRO PLAN"))</f>
        <v/>
      </c>
    </row>
    <row r="587" customFormat="false" ht="15" hidden="false" customHeight="false" outlineLevel="0" collapsed="false">
      <c r="A587" s="55"/>
      <c r="B587" s="56"/>
      <c r="C587" s="56"/>
      <c r="D587" s="56"/>
      <c r="E587" s="56"/>
      <c r="F587" s="56"/>
      <c r="G587" s="58"/>
      <c r="H587" s="56"/>
      <c r="I587" s="61" t="str">
        <f aca="false">IF(IsPro,IF(OR($C587="",N($G587)=0),"",IF(OR($C587="Receipt",$C587="Other Income",$C587="Capital In",$C587="Transfer In"),$G587,0)),"")</f>
        <v/>
      </c>
      <c r="J587" s="61" t="str">
        <f aca="false">IF(IsPro,IF(OR($C587="",N($G587)=0),"",IF(I587=0,$G587,0)),"")</f>
        <v/>
      </c>
      <c r="K587" s="60" t="str">
        <f aca="false">IF(IsPro,IF($C587="","",IF(AND(OR($C587="Receipt",$C587="Payment"),$D587=""),"Party needed",IF(AND(OR($C587="Expense",$C587="Other Income"),$E587=""),"Head needed",IF($F587="","Account needed","OK")))),IF($C587="","","PRO PLAN"))</f>
        <v/>
      </c>
    </row>
    <row r="588" customFormat="false" ht="15" hidden="false" customHeight="false" outlineLevel="0" collapsed="false">
      <c r="A588" s="55"/>
      <c r="B588" s="56"/>
      <c r="C588" s="56"/>
      <c r="D588" s="56"/>
      <c r="E588" s="56"/>
      <c r="F588" s="56"/>
      <c r="G588" s="58"/>
      <c r="H588" s="56"/>
      <c r="I588" s="61" t="str">
        <f aca="false">IF(IsPro,IF(OR($C588="",N($G588)=0),"",IF(OR($C588="Receipt",$C588="Other Income",$C588="Capital In",$C588="Transfer In"),$G588,0)),"")</f>
        <v/>
      </c>
      <c r="J588" s="61" t="str">
        <f aca="false">IF(IsPro,IF(OR($C588="",N($G588)=0),"",IF(I588=0,$G588,0)),"")</f>
        <v/>
      </c>
      <c r="K588" s="60" t="str">
        <f aca="false">IF(IsPro,IF($C588="","",IF(AND(OR($C588="Receipt",$C588="Payment"),$D588=""),"Party needed",IF(AND(OR($C588="Expense",$C588="Other Income"),$E588=""),"Head needed",IF($F588="","Account needed","OK")))),IF($C588="","","PRO PLAN"))</f>
        <v/>
      </c>
    </row>
    <row r="589" customFormat="false" ht="15" hidden="false" customHeight="false" outlineLevel="0" collapsed="false">
      <c r="A589" s="55"/>
      <c r="B589" s="56"/>
      <c r="C589" s="56"/>
      <c r="D589" s="56"/>
      <c r="E589" s="56"/>
      <c r="F589" s="56"/>
      <c r="G589" s="58"/>
      <c r="H589" s="56"/>
      <c r="I589" s="61" t="str">
        <f aca="false">IF(IsPro,IF(OR($C589="",N($G589)=0),"",IF(OR($C589="Receipt",$C589="Other Income",$C589="Capital In",$C589="Transfer In"),$G589,0)),"")</f>
        <v/>
      </c>
      <c r="J589" s="61" t="str">
        <f aca="false">IF(IsPro,IF(OR($C589="",N($G589)=0),"",IF(I589=0,$G589,0)),"")</f>
        <v/>
      </c>
      <c r="K589" s="60" t="str">
        <f aca="false">IF(IsPro,IF($C589="","",IF(AND(OR($C589="Receipt",$C589="Payment"),$D589=""),"Party needed",IF(AND(OR($C589="Expense",$C589="Other Income"),$E589=""),"Head needed",IF($F589="","Account needed","OK")))),IF($C589="","","PRO PLAN"))</f>
        <v/>
      </c>
    </row>
    <row r="590" customFormat="false" ht="15" hidden="false" customHeight="false" outlineLevel="0" collapsed="false">
      <c r="A590" s="55"/>
      <c r="B590" s="56"/>
      <c r="C590" s="56"/>
      <c r="D590" s="56"/>
      <c r="E590" s="56"/>
      <c r="F590" s="56"/>
      <c r="G590" s="58"/>
      <c r="H590" s="56"/>
      <c r="I590" s="61" t="str">
        <f aca="false">IF(IsPro,IF(OR($C590="",N($G590)=0),"",IF(OR($C590="Receipt",$C590="Other Income",$C590="Capital In",$C590="Transfer In"),$G590,0)),"")</f>
        <v/>
      </c>
      <c r="J590" s="61" t="str">
        <f aca="false">IF(IsPro,IF(OR($C590="",N($G590)=0),"",IF(I590=0,$G590,0)),"")</f>
        <v/>
      </c>
      <c r="K590" s="60" t="str">
        <f aca="false">IF(IsPro,IF($C590="","",IF(AND(OR($C590="Receipt",$C590="Payment"),$D590=""),"Party needed",IF(AND(OR($C590="Expense",$C590="Other Income"),$E590=""),"Head needed",IF($F590="","Account needed","OK")))),IF($C590="","","PRO PLAN"))</f>
        <v/>
      </c>
    </row>
    <row r="591" customFormat="false" ht="15" hidden="false" customHeight="false" outlineLevel="0" collapsed="false">
      <c r="A591" s="55"/>
      <c r="B591" s="56"/>
      <c r="C591" s="56"/>
      <c r="D591" s="56"/>
      <c r="E591" s="56"/>
      <c r="F591" s="56"/>
      <c r="G591" s="58"/>
      <c r="H591" s="56"/>
      <c r="I591" s="61" t="str">
        <f aca="false">IF(IsPro,IF(OR($C591="",N($G591)=0),"",IF(OR($C591="Receipt",$C591="Other Income",$C591="Capital In",$C591="Transfer In"),$G591,0)),"")</f>
        <v/>
      </c>
      <c r="J591" s="61" t="str">
        <f aca="false">IF(IsPro,IF(OR($C591="",N($G591)=0),"",IF(I591=0,$G591,0)),"")</f>
        <v/>
      </c>
      <c r="K591" s="60" t="str">
        <f aca="false">IF(IsPro,IF($C591="","",IF(AND(OR($C591="Receipt",$C591="Payment"),$D591=""),"Party needed",IF(AND(OR($C591="Expense",$C591="Other Income"),$E591=""),"Head needed",IF($F591="","Account needed","OK")))),IF($C591="","","PRO PLAN"))</f>
        <v/>
      </c>
    </row>
    <row r="592" customFormat="false" ht="15" hidden="false" customHeight="false" outlineLevel="0" collapsed="false">
      <c r="A592" s="55"/>
      <c r="B592" s="56"/>
      <c r="C592" s="56"/>
      <c r="D592" s="56"/>
      <c r="E592" s="56"/>
      <c r="F592" s="56"/>
      <c r="G592" s="58"/>
      <c r="H592" s="56"/>
      <c r="I592" s="61" t="str">
        <f aca="false">IF(IsPro,IF(OR($C592="",N($G592)=0),"",IF(OR($C592="Receipt",$C592="Other Income",$C592="Capital In",$C592="Transfer In"),$G592,0)),"")</f>
        <v/>
      </c>
      <c r="J592" s="61" t="str">
        <f aca="false">IF(IsPro,IF(OR($C592="",N($G592)=0),"",IF(I592=0,$G592,0)),"")</f>
        <v/>
      </c>
      <c r="K592" s="60" t="str">
        <f aca="false">IF(IsPro,IF($C592="","",IF(AND(OR($C592="Receipt",$C592="Payment"),$D592=""),"Party needed",IF(AND(OR($C592="Expense",$C592="Other Income"),$E592=""),"Head needed",IF($F592="","Account needed","OK")))),IF($C592="","","PRO PLAN"))</f>
        <v/>
      </c>
    </row>
    <row r="593" customFormat="false" ht="15" hidden="false" customHeight="false" outlineLevel="0" collapsed="false">
      <c r="A593" s="55"/>
      <c r="B593" s="56"/>
      <c r="C593" s="56"/>
      <c r="D593" s="56"/>
      <c r="E593" s="56"/>
      <c r="F593" s="56"/>
      <c r="G593" s="58"/>
      <c r="H593" s="56"/>
      <c r="I593" s="61" t="str">
        <f aca="false">IF(IsPro,IF(OR($C593="",N($G593)=0),"",IF(OR($C593="Receipt",$C593="Other Income",$C593="Capital In",$C593="Transfer In"),$G593,0)),"")</f>
        <v/>
      </c>
      <c r="J593" s="61" t="str">
        <f aca="false">IF(IsPro,IF(OR($C593="",N($G593)=0),"",IF(I593=0,$G593,0)),"")</f>
        <v/>
      </c>
      <c r="K593" s="60" t="str">
        <f aca="false">IF(IsPro,IF($C593="","",IF(AND(OR($C593="Receipt",$C593="Payment"),$D593=""),"Party needed",IF(AND(OR($C593="Expense",$C593="Other Income"),$E593=""),"Head needed",IF($F593="","Account needed","OK")))),IF($C593="","","PRO PLAN"))</f>
        <v/>
      </c>
    </row>
    <row r="594" customFormat="false" ht="15" hidden="false" customHeight="false" outlineLevel="0" collapsed="false">
      <c r="A594" s="55"/>
      <c r="B594" s="56"/>
      <c r="C594" s="56"/>
      <c r="D594" s="56"/>
      <c r="E594" s="56"/>
      <c r="F594" s="56"/>
      <c r="G594" s="58"/>
      <c r="H594" s="56"/>
      <c r="I594" s="61" t="str">
        <f aca="false">IF(IsPro,IF(OR($C594="",N($G594)=0),"",IF(OR($C594="Receipt",$C594="Other Income",$C594="Capital In",$C594="Transfer In"),$G594,0)),"")</f>
        <v/>
      </c>
      <c r="J594" s="61" t="str">
        <f aca="false">IF(IsPro,IF(OR($C594="",N($G594)=0),"",IF(I594=0,$G594,0)),"")</f>
        <v/>
      </c>
      <c r="K594" s="60" t="str">
        <f aca="false">IF(IsPro,IF($C594="","",IF(AND(OR($C594="Receipt",$C594="Payment"),$D594=""),"Party needed",IF(AND(OR($C594="Expense",$C594="Other Income"),$E594=""),"Head needed",IF($F594="","Account needed","OK")))),IF($C594="","","PRO PLAN"))</f>
        <v/>
      </c>
    </row>
    <row r="595" customFormat="false" ht="15" hidden="false" customHeight="false" outlineLevel="0" collapsed="false">
      <c r="A595" s="55"/>
      <c r="B595" s="56"/>
      <c r="C595" s="56"/>
      <c r="D595" s="56"/>
      <c r="E595" s="56"/>
      <c r="F595" s="56"/>
      <c r="G595" s="58"/>
      <c r="H595" s="56"/>
      <c r="I595" s="61" t="str">
        <f aca="false">IF(IsPro,IF(OR($C595="",N($G595)=0),"",IF(OR($C595="Receipt",$C595="Other Income",$C595="Capital In",$C595="Transfer In"),$G595,0)),"")</f>
        <v/>
      </c>
      <c r="J595" s="61" t="str">
        <f aca="false">IF(IsPro,IF(OR($C595="",N($G595)=0),"",IF(I595=0,$G595,0)),"")</f>
        <v/>
      </c>
      <c r="K595" s="60" t="str">
        <f aca="false">IF(IsPro,IF($C595="","",IF(AND(OR($C595="Receipt",$C595="Payment"),$D595=""),"Party needed",IF(AND(OR($C595="Expense",$C595="Other Income"),$E595=""),"Head needed",IF($F595="","Account needed","OK")))),IF($C595="","","PRO PLAN"))</f>
        <v/>
      </c>
    </row>
    <row r="596" customFormat="false" ht="15" hidden="false" customHeight="false" outlineLevel="0" collapsed="false">
      <c r="A596" s="55"/>
      <c r="B596" s="56"/>
      <c r="C596" s="56"/>
      <c r="D596" s="56"/>
      <c r="E596" s="56"/>
      <c r="F596" s="56"/>
      <c r="G596" s="58"/>
      <c r="H596" s="56"/>
      <c r="I596" s="61" t="str">
        <f aca="false">IF(IsPro,IF(OR($C596="",N($G596)=0),"",IF(OR($C596="Receipt",$C596="Other Income",$C596="Capital In",$C596="Transfer In"),$G596,0)),"")</f>
        <v/>
      </c>
      <c r="J596" s="61" t="str">
        <f aca="false">IF(IsPro,IF(OR($C596="",N($G596)=0),"",IF(I596=0,$G596,0)),"")</f>
        <v/>
      </c>
      <c r="K596" s="60" t="str">
        <f aca="false">IF(IsPro,IF($C596="","",IF(AND(OR($C596="Receipt",$C596="Payment"),$D596=""),"Party needed",IF(AND(OR($C596="Expense",$C596="Other Income"),$E596=""),"Head needed",IF($F596="","Account needed","OK")))),IF($C596="","","PRO PLAN"))</f>
        <v/>
      </c>
    </row>
    <row r="597" customFormat="false" ht="15" hidden="false" customHeight="false" outlineLevel="0" collapsed="false">
      <c r="A597" s="55"/>
      <c r="B597" s="56"/>
      <c r="C597" s="56"/>
      <c r="D597" s="56"/>
      <c r="E597" s="56"/>
      <c r="F597" s="56"/>
      <c r="G597" s="58"/>
      <c r="H597" s="56"/>
      <c r="I597" s="61" t="str">
        <f aca="false">IF(IsPro,IF(OR($C597="",N($G597)=0),"",IF(OR($C597="Receipt",$C597="Other Income",$C597="Capital In",$C597="Transfer In"),$G597,0)),"")</f>
        <v/>
      </c>
      <c r="J597" s="61" t="str">
        <f aca="false">IF(IsPro,IF(OR($C597="",N($G597)=0),"",IF(I597=0,$G597,0)),"")</f>
        <v/>
      </c>
      <c r="K597" s="60" t="str">
        <f aca="false">IF(IsPro,IF($C597="","",IF(AND(OR($C597="Receipt",$C597="Payment"),$D597=""),"Party needed",IF(AND(OR($C597="Expense",$C597="Other Income"),$E597=""),"Head needed",IF($F597="","Account needed","OK")))),IF($C597="","","PRO PLAN"))</f>
        <v/>
      </c>
    </row>
    <row r="598" customFormat="false" ht="15" hidden="false" customHeight="false" outlineLevel="0" collapsed="false">
      <c r="A598" s="55"/>
      <c r="B598" s="56"/>
      <c r="C598" s="56"/>
      <c r="D598" s="56"/>
      <c r="E598" s="56"/>
      <c r="F598" s="56"/>
      <c r="G598" s="58"/>
      <c r="H598" s="56"/>
      <c r="I598" s="61" t="str">
        <f aca="false">IF(IsPro,IF(OR($C598="",N($G598)=0),"",IF(OR($C598="Receipt",$C598="Other Income",$C598="Capital In",$C598="Transfer In"),$G598,0)),"")</f>
        <v/>
      </c>
      <c r="J598" s="61" t="str">
        <f aca="false">IF(IsPro,IF(OR($C598="",N($G598)=0),"",IF(I598=0,$G598,0)),"")</f>
        <v/>
      </c>
      <c r="K598" s="60" t="str">
        <f aca="false">IF(IsPro,IF($C598="","",IF(AND(OR($C598="Receipt",$C598="Payment"),$D598=""),"Party needed",IF(AND(OR($C598="Expense",$C598="Other Income"),$E598=""),"Head needed",IF($F598="","Account needed","OK")))),IF($C598="","","PRO PLAN"))</f>
        <v/>
      </c>
    </row>
    <row r="599" customFormat="false" ht="15" hidden="false" customHeight="false" outlineLevel="0" collapsed="false">
      <c r="A599" s="55"/>
      <c r="B599" s="56"/>
      <c r="C599" s="56"/>
      <c r="D599" s="56"/>
      <c r="E599" s="56"/>
      <c r="F599" s="56"/>
      <c r="G599" s="58"/>
      <c r="H599" s="56"/>
      <c r="I599" s="61" t="str">
        <f aca="false">IF(IsPro,IF(OR($C599="",N($G599)=0),"",IF(OR($C599="Receipt",$C599="Other Income",$C599="Capital In",$C599="Transfer In"),$G599,0)),"")</f>
        <v/>
      </c>
      <c r="J599" s="61" t="str">
        <f aca="false">IF(IsPro,IF(OR($C599="",N($G599)=0),"",IF(I599=0,$G599,0)),"")</f>
        <v/>
      </c>
      <c r="K599" s="60" t="str">
        <f aca="false">IF(IsPro,IF($C599="","",IF(AND(OR($C599="Receipt",$C599="Payment"),$D599=""),"Party needed",IF(AND(OR($C599="Expense",$C599="Other Income"),$E599=""),"Head needed",IF($F599="","Account needed","OK")))),IF($C599="","","PRO PLAN"))</f>
        <v/>
      </c>
    </row>
    <row r="600" customFormat="false" ht="15" hidden="false" customHeight="false" outlineLevel="0" collapsed="false">
      <c r="A600" s="55"/>
      <c r="B600" s="56"/>
      <c r="C600" s="56"/>
      <c r="D600" s="56"/>
      <c r="E600" s="56"/>
      <c r="F600" s="56"/>
      <c r="G600" s="58"/>
      <c r="H600" s="56"/>
      <c r="I600" s="61" t="str">
        <f aca="false">IF(IsPro,IF(OR($C600="",N($G600)=0),"",IF(OR($C600="Receipt",$C600="Other Income",$C600="Capital In",$C600="Transfer In"),$G600,0)),"")</f>
        <v/>
      </c>
      <c r="J600" s="61" t="str">
        <f aca="false">IF(IsPro,IF(OR($C600="",N($G600)=0),"",IF(I600=0,$G600,0)),"")</f>
        <v/>
      </c>
      <c r="K600" s="60" t="str">
        <f aca="false">IF(IsPro,IF($C600="","",IF(AND(OR($C600="Receipt",$C600="Payment"),$D600=""),"Party needed",IF(AND(OR($C600="Expense",$C600="Other Income"),$E600=""),"Head needed",IF($F600="","Account needed","OK")))),IF($C600="","","PRO PLAN"))</f>
        <v/>
      </c>
    </row>
    <row r="601" customFormat="false" ht="15" hidden="false" customHeight="false" outlineLevel="0" collapsed="false">
      <c r="A601" s="55"/>
      <c r="B601" s="56"/>
      <c r="C601" s="56"/>
      <c r="D601" s="56"/>
      <c r="E601" s="56"/>
      <c r="F601" s="56"/>
      <c r="G601" s="58"/>
      <c r="H601" s="56"/>
      <c r="I601" s="61" t="str">
        <f aca="false">IF(IsPro,IF(OR($C601="",N($G601)=0),"",IF(OR($C601="Receipt",$C601="Other Income",$C601="Capital In",$C601="Transfer In"),$G601,0)),"")</f>
        <v/>
      </c>
      <c r="J601" s="61" t="str">
        <f aca="false">IF(IsPro,IF(OR($C601="",N($G601)=0),"",IF(I601=0,$G601,0)),"")</f>
        <v/>
      </c>
      <c r="K601" s="60" t="str">
        <f aca="false">IF(IsPro,IF($C601="","",IF(AND(OR($C601="Receipt",$C601="Payment"),$D601=""),"Party needed",IF(AND(OR($C601="Expense",$C601="Other Income"),$E601=""),"Head needed",IF($F601="","Account needed","OK")))),IF($C601="","","PRO PLAN"))</f>
        <v/>
      </c>
    </row>
    <row r="602" customFormat="false" ht="15" hidden="false" customHeight="false" outlineLevel="0" collapsed="false">
      <c r="A602" s="55"/>
      <c r="B602" s="56"/>
      <c r="C602" s="56"/>
      <c r="D602" s="56"/>
      <c r="E602" s="56"/>
      <c r="F602" s="56"/>
      <c r="G602" s="58"/>
      <c r="H602" s="56"/>
      <c r="I602" s="61" t="str">
        <f aca="false">IF(IsPro,IF(OR($C602="",N($G602)=0),"",IF(OR($C602="Receipt",$C602="Other Income",$C602="Capital In",$C602="Transfer In"),$G602,0)),"")</f>
        <v/>
      </c>
      <c r="J602" s="61" t="str">
        <f aca="false">IF(IsPro,IF(OR($C602="",N($G602)=0),"",IF(I602=0,$G602,0)),"")</f>
        <v/>
      </c>
      <c r="K602" s="60" t="str">
        <f aca="false">IF(IsPro,IF($C602="","",IF(AND(OR($C602="Receipt",$C602="Payment"),$D602=""),"Party needed",IF(AND(OR($C602="Expense",$C602="Other Income"),$E602=""),"Head needed",IF($F602="","Account needed","OK")))),IF($C602="","","PRO PLAN"))</f>
        <v/>
      </c>
    </row>
    <row r="603" customFormat="false" ht="15" hidden="false" customHeight="false" outlineLevel="0" collapsed="false">
      <c r="A603" s="55"/>
      <c r="B603" s="56"/>
      <c r="C603" s="56"/>
      <c r="D603" s="56"/>
      <c r="E603" s="56"/>
      <c r="F603" s="56"/>
      <c r="G603" s="58"/>
      <c r="H603" s="56"/>
      <c r="I603" s="61" t="str">
        <f aca="false">IF(IsPro,IF(OR($C603="",N($G603)=0),"",IF(OR($C603="Receipt",$C603="Other Income",$C603="Capital In",$C603="Transfer In"),$G603,0)),"")</f>
        <v/>
      </c>
      <c r="J603" s="61" t="str">
        <f aca="false">IF(IsPro,IF(OR($C603="",N($G603)=0),"",IF(I603=0,$G603,0)),"")</f>
        <v/>
      </c>
      <c r="K603" s="60" t="str">
        <f aca="false">IF(IsPro,IF($C603="","",IF(AND(OR($C603="Receipt",$C603="Payment"),$D603=""),"Party needed",IF(AND(OR($C603="Expense",$C603="Other Income"),$E603=""),"Head needed",IF($F603="","Account needed","OK")))),IF($C603="","","PRO PLAN"))</f>
        <v/>
      </c>
    </row>
    <row r="604" customFormat="false" ht="15" hidden="false" customHeight="false" outlineLevel="0" collapsed="false">
      <c r="A604" s="55"/>
      <c r="B604" s="56"/>
      <c r="C604" s="56"/>
      <c r="D604" s="56"/>
      <c r="E604" s="56"/>
      <c r="F604" s="56"/>
      <c r="G604" s="58"/>
      <c r="H604" s="56"/>
      <c r="I604" s="61" t="str">
        <f aca="false">IF(IsPro,IF(OR($C604="",N($G604)=0),"",IF(OR($C604="Receipt",$C604="Other Income",$C604="Capital In",$C604="Transfer In"),$G604,0)),"")</f>
        <v/>
      </c>
      <c r="J604" s="61" t="str">
        <f aca="false">IF(IsPro,IF(OR($C604="",N($G604)=0),"",IF(I604=0,$G604,0)),"")</f>
        <v/>
      </c>
      <c r="K604" s="60" t="str">
        <f aca="false">IF(IsPro,IF($C604="","",IF(AND(OR($C604="Receipt",$C604="Payment"),$D604=""),"Party needed",IF(AND(OR($C604="Expense",$C604="Other Income"),$E604=""),"Head needed",IF($F604="","Account needed","OK")))),IF($C604="","","PRO PLAN"))</f>
        <v/>
      </c>
    </row>
    <row r="605" customFormat="false" ht="15" hidden="false" customHeight="false" outlineLevel="0" collapsed="false">
      <c r="A605" s="55"/>
      <c r="B605" s="56"/>
      <c r="C605" s="56"/>
      <c r="D605" s="56"/>
      <c r="E605" s="56"/>
      <c r="F605" s="56"/>
      <c r="G605" s="58"/>
      <c r="H605" s="56"/>
      <c r="I605" s="61" t="str">
        <f aca="false">IF(IsPro,IF(OR($C605="",N($G605)=0),"",IF(OR($C605="Receipt",$C605="Other Income",$C605="Capital In",$C605="Transfer In"),$G605,0)),"")</f>
        <v/>
      </c>
      <c r="J605" s="61" t="str">
        <f aca="false">IF(IsPro,IF(OR($C605="",N($G605)=0),"",IF(I605=0,$G605,0)),"")</f>
        <v/>
      </c>
      <c r="K605" s="60" t="str">
        <f aca="false">IF(IsPro,IF($C605="","",IF(AND(OR($C605="Receipt",$C605="Payment"),$D605=""),"Party needed",IF(AND(OR($C605="Expense",$C605="Other Income"),$E605=""),"Head needed",IF($F605="","Account needed","OK")))),IF($C605="","","PRO PLAN"))</f>
        <v/>
      </c>
    </row>
    <row r="606" customFormat="false" ht="15" hidden="false" customHeight="false" outlineLevel="0" collapsed="false">
      <c r="A606" s="55"/>
      <c r="B606" s="56"/>
      <c r="C606" s="56"/>
      <c r="D606" s="56"/>
      <c r="E606" s="56"/>
      <c r="F606" s="56"/>
      <c r="G606" s="58"/>
      <c r="H606" s="56"/>
      <c r="I606" s="61" t="str">
        <f aca="false">IF(IsPro,IF(OR($C606="",N($G606)=0),"",IF(OR($C606="Receipt",$C606="Other Income",$C606="Capital In",$C606="Transfer In"),$G606,0)),"")</f>
        <v/>
      </c>
      <c r="J606" s="61" t="str">
        <f aca="false">IF(IsPro,IF(OR($C606="",N($G606)=0),"",IF(I606=0,$G606,0)),"")</f>
        <v/>
      </c>
      <c r="K606" s="60" t="str">
        <f aca="false">IF(IsPro,IF($C606="","",IF(AND(OR($C606="Receipt",$C606="Payment"),$D606=""),"Party needed",IF(AND(OR($C606="Expense",$C606="Other Income"),$E606=""),"Head needed",IF($F606="","Account needed","OK")))),IF($C606="","","PRO PLAN"))</f>
        <v/>
      </c>
    </row>
    <row r="607" customFormat="false" ht="15" hidden="false" customHeight="false" outlineLevel="0" collapsed="false">
      <c r="A607" s="55"/>
      <c r="B607" s="56"/>
      <c r="C607" s="56"/>
      <c r="D607" s="56"/>
      <c r="E607" s="56"/>
      <c r="F607" s="56"/>
      <c r="G607" s="58"/>
      <c r="H607" s="56"/>
      <c r="I607" s="61" t="str">
        <f aca="false">IF(IsPro,IF(OR($C607="",N($G607)=0),"",IF(OR($C607="Receipt",$C607="Other Income",$C607="Capital In",$C607="Transfer In"),$G607,0)),"")</f>
        <v/>
      </c>
      <c r="J607" s="61" t="str">
        <f aca="false">IF(IsPro,IF(OR($C607="",N($G607)=0),"",IF(I607=0,$G607,0)),"")</f>
        <v/>
      </c>
      <c r="K607" s="60" t="str">
        <f aca="false">IF(IsPro,IF($C607="","",IF(AND(OR($C607="Receipt",$C607="Payment"),$D607=""),"Party needed",IF(AND(OR($C607="Expense",$C607="Other Income"),$E607=""),"Head needed",IF($F607="","Account needed","OK")))),IF($C607="","","PRO PLAN"))</f>
        <v/>
      </c>
    </row>
    <row r="608" customFormat="false" ht="15" hidden="false" customHeight="false" outlineLevel="0" collapsed="false">
      <c r="A608" s="55"/>
      <c r="B608" s="56"/>
      <c r="C608" s="56"/>
      <c r="D608" s="56"/>
      <c r="E608" s="56"/>
      <c r="F608" s="56"/>
      <c r="G608" s="58"/>
      <c r="H608" s="56"/>
      <c r="I608" s="61" t="str">
        <f aca="false">IF(IsPro,IF(OR($C608="",N($G608)=0),"",IF(OR($C608="Receipt",$C608="Other Income",$C608="Capital In",$C608="Transfer In"),$G608,0)),"")</f>
        <v/>
      </c>
      <c r="J608" s="61" t="str">
        <f aca="false">IF(IsPro,IF(OR($C608="",N($G608)=0),"",IF(I608=0,$G608,0)),"")</f>
        <v/>
      </c>
      <c r="K608" s="60" t="str">
        <f aca="false">IF(IsPro,IF($C608="","",IF(AND(OR($C608="Receipt",$C608="Payment"),$D608=""),"Party needed",IF(AND(OR($C608="Expense",$C608="Other Income"),$E608=""),"Head needed",IF($F608="","Account needed","OK")))),IF($C608="","","PRO PLAN"))</f>
        <v/>
      </c>
    </row>
    <row r="609" customFormat="false" ht="15" hidden="false" customHeight="false" outlineLevel="0" collapsed="false">
      <c r="A609" s="55"/>
      <c r="B609" s="56"/>
      <c r="C609" s="56"/>
      <c r="D609" s="56"/>
      <c r="E609" s="56"/>
      <c r="F609" s="56"/>
      <c r="G609" s="58"/>
      <c r="H609" s="56"/>
      <c r="I609" s="61" t="str">
        <f aca="false">IF(IsPro,IF(OR($C609="",N($G609)=0),"",IF(OR($C609="Receipt",$C609="Other Income",$C609="Capital In",$C609="Transfer In"),$G609,0)),"")</f>
        <v/>
      </c>
      <c r="J609" s="61" t="str">
        <f aca="false">IF(IsPro,IF(OR($C609="",N($G609)=0),"",IF(I609=0,$G609,0)),"")</f>
        <v/>
      </c>
      <c r="K609" s="60" t="str">
        <f aca="false">IF(IsPro,IF($C609="","",IF(AND(OR($C609="Receipt",$C609="Payment"),$D609=""),"Party needed",IF(AND(OR($C609="Expense",$C609="Other Income"),$E609=""),"Head needed",IF($F609="","Account needed","OK")))),IF($C609="","","PRO PLAN"))</f>
        <v/>
      </c>
    </row>
    <row r="610" customFormat="false" ht="15" hidden="false" customHeight="false" outlineLevel="0" collapsed="false">
      <c r="A610" s="55"/>
      <c r="B610" s="56"/>
      <c r="C610" s="56"/>
      <c r="D610" s="56"/>
      <c r="E610" s="56"/>
      <c r="F610" s="56"/>
      <c r="G610" s="58"/>
      <c r="H610" s="56"/>
      <c r="I610" s="61" t="str">
        <f aca="false">IF(IsPro,IF(OR($C610="",N($G610)=0),"",IF(OR($C610="Receipt",$C610="Other Income",$C610="Capital In",$C610="Transfer In"),$G610,0)),"")</f>
        <v/>
      </c>
      <c r="J610" s="61" t="str">
        <f aca="false">IF(IsPro,IF(OR($C610="",N($G610)=0),"",IF(I610=0,$G610,0)),"")</f>
        <v/>
      </c>
      <c r="K610" s="60" t="str">
        <f aca="false">IF(IsPro,IF($C610="","",IF(AND(OR($C610="Receipt",$C610="Payment"),$D610=""),"Party needed",IF(AND(OR($C610="Expense",$C610="Other Income"),$E610=""),"Head needed",IF($F610="","Account needed","OK")))),IF($C610="","","PRO PLAN"))</f>
        <v/>
      </c>
    </row>
    <row r="611" customFormat="false" ht="15" hidden="false" customHeight="false" outlineLevel="0" collapsed="false">
      <c r="A611" s="55"/>
      <c r="B611" s="56"/>
      <c r="C611" s="56"/>
      <c r="D611" s="56"/>
      <c r="E611" s="56"/>
      <c r="F611" s="56"/>
      <c r="G611" s="58"/>
      <c r="H611" s="56"/>
      <c r="I611" s="61" t="str">
        <f aca="false">IF(IsPro,IF(OR($C611="",N($G611)=0),"",IF(OR($C611="Receipt",$C611="Other Income",$C611="Capital In",$C611="Transfer In"),$G611,0)),"")</f>
        <v/>
      </c>
      <c r="J611" s="61" t="str">
        <f aca="false">IF(IsPro,IF(OR($C611="",N($G611)=0),"",IF(I611=0,$G611,0)),"")</f>
        <v/>
      </c>
      <c r="K611" s="60" t="str">
        <f aca="false">IF(IsPro,IF($C611="","",IF(AND(OR($C611="Receipt",$C611="Payment"),$D611=""),"Party needed",IF(AND(OR($C611="Expense",$C611="Other Income"),$E611=""),"Head needed",IF($F611="","Account needed","OK")))),IF($C611="","","PRO PLAN"))</f>
        <v/>
      </c>
    </row>
    <row r="612" customFormat="false" ht="15" hidden="false" customHeight="false" outlineLevel="0" collapsed="false">
      <c r="A612" s="55"/>
      <c r="B612" s="56"/>
      <c r="C612" s="56"/>
      <c r="D612" s="56"/>
      <c r="E612" s="56"/>
      <c r="F612" s="56"/>
      <c r="G612" s="58"/>
      <c r="H612" s="56"/>
      <c r="I612" s="61" t="str">
        <f aca="false">IF(IsPro,IF(OR($C612="",N($G612)=0),"",IF(OR($C612="Receipt",$C612="Other Income",$C612="Capital In",$C612="Transfer In"),$G612,0)),"")</f>
        <v/>
      </c>
      <c r="J612" s="61" t="str">
        <f aca="false">IF(IsPro,IF(OR($C612="",N($G612)=0),"",IF(I612=0,$G612,0)),"")</f>
        <v/>
      </c>
      <c r="K612" s="60" t="str">
        <f aca="false">IF(IsPro,IF($C612="","",IF(AND(OR($C612="Receipt",$C612="Payment"),$D612=""),"Party needed",IF(AND(OR($C612="Expense",$C612="Other Income"),$E612=""),"Head needed",IF($F612="","Account needed","OK")))),IF($C612="","","PRO PLAN"))</f>
        <v/>
      </c>
    </row>
    <row r="613" customFormat="false" ht="15" hidden="false" customHeight="false" outlineLevel="0" collapsed="false">
      <c r="A613" s="55"/>
      <c r="B613" s="56"/>
      <c r="C613" s="56"/>
      <c r="D613" s="56"/>
      <c r="E613" s="56"/>
      <c r="F613" s="56"/>
      <c r="G613" s="58"/>
      <c r="H613" s="56"/>
      <c r="I613" s="61" t="str">
        <f aca="false">IF(IsPro,IF(OR($C613="",N($G613)=0),"",IF(OR($C613="Receipt",$C613="Other Income",$C613="Capital In",$C613="Transfer In"),$G613,0)),"")</f>
        <v/>
      </c>
      <c r="J613" s="61" t="str">
        <f aca="false">IF(IsPro,IF(OR($C613="",N($G613)=0),"",IF(I613=0,$G613,0)),"")</f>
        <v/>
      </c>
      <c r="K613" s="60" t="str">
        <f aca="false">IF(IsPro,IF($C613="","",IF(AND(OR($C613="Receipt",$C613="Payment"),$D613=""),"Party needed",IF(AND(OR($C613="Expense",$C613="Other Income"),$E613=""),"Head needed",IF($F613="","Account needed","OK")))),IF($C613="","","PRO PLAN"))</f>
        <v/>
      </c>
    </row>
    <row r="614" customFormat="false" ht="15" hidden="false" customHeight="false" outlineLevel="0" collapsed="false">
      <c r="A614" s="55"/>
      <c r="B614" s="56"/>
      <c r="C614" s="56"/>
      <c r="D614" s="56"/>
      <c r="E614" s="56"/>
      <c r="F614" s="56"/>
      <c r="G614" s="58"/>
      <c r="H614" s="56"/>
      <c r="I614" s="61" t="str">
        <f aca="false">IF(IsPro,IF(OR($C614="",N($G614)=0),"",IF(OR($C614="Receipt",$C614="Other Income",$C614="Capital In",$C614="Transfer In"),$G614,0)),"")</f>
        <v/>
      </c>
      <c r="J614" s="61" t="str">
        <f aca="false">IF(IsPro,IF(OR($C614="",N($G614)=0),"",IF(I614=0,$G614,0)),"")</f>
        <v/>
      </c>
      <c r="K614" s="60" t="str">
        <f aca="false">IF(IsPro,IF($C614="","",IF(AND(OR($C614="Receipt",$C614="Payment"),$D614=""),"Party needed",IF(AND(OR($C614="Expense",$C614="Other Income"),$E614=""),"Head needed",IF($F614="","Account needed","OK")))),IF($C614="","","PRO PLAN"))</f>
        <v/>
      </c>
    </row>
    <row r="615" customFormat="false" ht="15" hidden="false" customHeight="false" outlineLevel="0" collapsed="false">
      <c r="A615" s="55"/>
      <c r="B615" s="56"/>
      <c r="C615" s="56"/>
      <c r="D615" s="56"/>
      <c r="E615" s="56"/>
      <c r="F615" s="56"/>
      <c r="G615" s="58"/>
      <c r="H615" s="56"/>
      <c r="I615" s="61" t="str">
        <f aca="false">IF(IsPro,IF(OR($C615="",N($G615)=0),"",IF(OR($C615="Receipt",$C615="Other Income",$C615="Capital In",$C615="Transfer In"),$G615,0)),"")</f>
        <v/>
      </c>
      <c r="J615" s="61" t="str">
        <f aca="false">IF(IsPro,IF(OR($C615="",N($G615)=0),"",IF(I615=0,$G615,0)),"")</f>
        <v/>
      </c>
      <c r="K615" s="60" t="str">
        <f aca="false">IF(IsPro,IF($C615="","",IF(AND(OR($C615="Receipt",$C615="Payment"),$D615=""),"Party needed",IF(AND(OR($C615="Expense",$C615="Other Income"),$E615=""),"Head needed",IF($F615="","Account needed","OK")))),IF($C615="","","PRO PLAN"))</f>
        <v/>
      </c>
    </row>
    <row r="616" customFormat="false" ht="15" hidden="false" customHeight="false" outlineLevel="0" collapsed="false">
      <c r="A616" s="55"/>
      <c r="B616" s="56"/>
      <c r="C616" s="56"/>
      <c r="D616" s="56"/>
      <c r="E616" s="56"/>
      <c r="F616" s="56"/>
      <c r="G616" s="58"/>
      <c r="H616" s="56"/>
      <c r="I616" s="61" t="str">
        <f aca="false">IF(IsPro,IF(OR($C616="",N($G616)=0),"",IF(OR($C616="Receipt",$C616="Other Income",$C616="Capital In",$C616="Transfer In"),$G616,0)),"")</f>
        <v/>
      </c>
      <c r="J616" s="61" t="str">
        <f aca="false">IF(IsPro,IF(OR($C616="",N($G616)=0),"",IF(I616=0,$G616,0)),"")</f>
        <v/>
      </c>
      <c r="K616" s="60" t="str">
        <f aca="false">IF(IsPro,IF($C616="","",IF(AND(OR($C616="Receipt",$C616="Payment"),$D616=""),"Party needed",IF(AND(OR($C616="Expense",$C616="Other Income"),$E616=""),"Head needed",IF($F616="","Account needed","OK")))),IF($C616="","","PRO PLAN"))</f>
        <v/>
      </c>
    </row>
    <row r="617" customFormat="false" ht="15" hidden="false" customHeight="false" outlineLevel="0" collapsed="false">
      <c r="A617" s="55"/>
      <c r="B617" s="56"/>
      <c r="C617" s="56"/>
      <c r="D617" s="56"/>
      <c r="E617" s="56"/>
      <c r="F617" s="56"/>
      <c r="G617" s="58"/>
      <c r="H617" s="56"/>
      <c r="I617" s="61" t="str">
        <f aca="false">IF(IsPro,IF(OR($C617="",N($G617)=0),"",IF(OR($C617="Receipt",$C617="Other Income",$C617="Capital In",$C617="Transfer In"),$G617,0)),"")</f>
        <v/>
      </c>
      <c r="J617" s="61" t="str">
        <f aca="false">IF(IsPro,IF(OR($C617="",N($G617)=0),"",IF(I617=0,$G617,0)),"")</f>
        <v/>
      </c>
      <c r="K617" s="60" t="str">
        <f aca="false">IF(IsPro,IF($C617="","",IF(AND(OR($C617="Receipt",$C617="Payment"),$D617=""),"Party needed",IF(AND(OR($C617="Expense",$C617="Other Income"),$E617=""),"Head needed",IF($F617="","Account needed","OK")))),IF($C617="","","PRO PLAN"))</f>
        <v/>
      </c>
    </row>
    <row r="618" customFormat="false" ht="15" hidden="false" customHeight="false" outlineLevel="0" collapsed="false">
      <c r="A618" s="55"/>
      <c r="B618" s="56"/>
      <c r="C618" s="56"/>
      <c r="D618" s="56"/>
      <c r="E618" s="56"/>
      <c r="F618" s="56"/>
      <c r="G618" s="58"/>
      <c r="H618" s="56"/>
      <c r="I618" s="61" t="str">
        <f aca="false">IF(IsPro,IF(OR($C618="",N($G618)=0),"",IF(OR($C618="Receipt",$C618="Other Income",$C618="Capital In",$C618="Transfer In"),$G618,0)),"")</f>
        <v/>
      </c>
      <c r="J618" s="61" t="str">
        <f aca="false">IF(IsPro,IF(OR($C618="",N($G618)=0),"",IF(I618=0,$G618,0)),"")</f>
        <v/>
      </c>
      <c r="K618" s="60" t="str">
        <f aca="false">IF(IsPro,IF($C618="","",IF(AND(OR($C618="Receipt",$C618="Payment"),$D618=""),"Party needed",IF(AND(OR($C618="Expense",$C618="Other Income"),$E618=""),"Head needed",IF($F618="","Account needed","OK")))),IF($C618="","","PRO PLAN"))</f>
        <v/>
      </c>
    </row>
    <row r="619" customFormat="false" ht="15" hidden="false" customHeight="false" outlineLevel="0" collapsed="false">
      <c r="A619" s="55"/>
      <c r="B619" s="56"/>
      <c r="C619" s="56"/>
      <c r="D619" s="56"/>
      <c r="E619" s="56"/>
      <c r="F619" s="56"/>
      <c r="G619" s="58"/>
      <c r="H619" s="56"/>
      <c r="I619" s="61" t="str">
        <f aca="false">IF(IsPro,IF(OR($C619="",N($G619)=0),"",IF(OR($C619="Receipt",$C619="Other Income",$C619="Capital In",$C619="Transfer In"),$G619,0)),"")</f>
        <v/>
      </c>
      <c r="J619" s="61" t="str">
        <f aca="false">IF(IsPro,IF(OR($C619="",N($G619)=0),"",IF(I619=0,$G619,0)),"")</f>
        <v/>
      </c>
      <c r="K619" s="60" t="str">
        <f aca="false">IF(IsPro,IF($C619="","",IF(AND(OR($C619="Receipt",$C619="Payment"),$D619=""),"Party needed",IF(AND(OR($C619="Expense",$C619="Other Income"),$E619=""),"Head needed",IF($F619="","Account needed","OK")))),IF($C619="","","PRO PLAN"))</f>
        <v/>
      </c>
    </row>
    <row r="620" customFormat="false" ht="15" hidden="false" customHeight="false" outlineLevel="0" collapsed="false">
      <c r="A620" s="55"/>
      <c r="B620" s="56"/>
      <c r="C620" s="56"/>
      <c r="D620" s="56"/>
      <c r="E620" s="56"/>
      <c r="F620" s="56"/>
      <c r="G620" s="58"/>
      <c r="H620" s="56"/>
      <c r="I620" s="61" t="str">
        <f aca="false">IF(IsPro,IF(OR($C620="",N($G620)=0),"",IF(OR($C620="Receipt",$C620="Other Income",$C620="Capital In",$C620="Transfer In"),$G620,0)),"")</f>
        <v/>
      </c>
      <c r="J620" s="61" t="str">
        <f aca="false">IF(IsPro,IF(OR($C620="",N($G620)=0),"",IF(I620=0,$G620,0)),"")</f>
        <v/>
      </c>
      <c r="K620" s="60" t="str">
        <f aca="false">IF(IsPro,IF($C620="","",IF(AND(OR($C620="Receipt",$C620="Payment"),$D620=""),"Party needed",IF(AND(OR($C620="Expense",$C620="Other Income"),$E620=""),"Head needed",IF($F620="","Account needed","OK")))),IF($C620="","","PRO PLAN"))</f>
        <v/>
      </c>
    </row>
    <row r="621" customFormat="false" ht="15" hidden="false" customHeight="false" outlineLevel="0" collapsed="false">
      <c r="A621" s="55"/>
      <c r="B621" s="56"/>
      <c r="C621" s="56"/>
      <c r="D621" s="56"/>
      <c r="E621" s="56"/>
      <c r="F621" s="56"/>
      <c r="G621" s="58"/>
      <c r="H621" s="56"/>
      <c r="I621" s="61" t="str">
        <f aca="false">IF(IsPro,IF(OR($C621="",N($G621)=0),"",IF(OR($C621="Receipt",$C621="Other Income",$C621="Capital In",$C621="Transfer In"),$G621,0)),"")</f>
        <v/>
      </c>
      <c r="J621" s="61" t="str">
        <f aca="false">IF(IsPro,IF(OR($C621="",N($G621)=0),"",IF(I621=0,$G621,0)),"")</f>
        <v/>
      </c>
      <c r="K621" s="60" t="str">
        <f aca="false">IF(IsPro,IF($C621="","",IF(AND(OR($C621="Receipt",$C621="Payment"),$D621=""),"Party needed",IF(AND(OR($C621="Expense",$C621="Other Income"),$E621=""),"Head needed",IF($F621="","Account needed","OK")))),IF($C621="","","PRO PLAN"))</f>
        <v/>
      </c>
    </row>
    <row r="622" customFormat="false" ht="15" hidden="false" customHeight="false" outlineLevel="0" collapsed="false">
      <c r="A622" s="55"/>
      <c r="B622" s="56"/>
      <c r="C622" s="56"/>
      <c r="D622" s="56"/>
      <c r="E622" s="56"/>
      <c r="F622" s="56"/>
      <c r="G622" s="58"/>
      <c r="H622" s="56"/>
      <c r="I622" s="61" t="str">
        <f aca="false">IF(IsPro,IF(OR($C622="",N($G622)=0),"",IF(OR($C622="Receipt",$C622="Other Income",$C622="Capital In",$C622="Transfer In"),$G622,0)),"")</f>
        <v/>
      </c>
      <c r="J622" s="61" t="str">
        <f aca="false">IF(IsPro,IF(OR($C622="",N($G622)=0),"",IF(I622=0,$G622,0)),"")</f>
        <v/>
      </c>
      <c r="K622" s="60" t="str">
        <f aca="false">IF(IsPro,IF($C622="","",IF(AND(OR($C622="Receipt",$C622="Payment"),$D622=""),"Party needed",IF(AND(OR($C622="Expense",$C622="Other Income"),$E622=""),"Head needed",IF($F622="","Account needed","OK")))),IF($C622="","","PRO PLAN"))</f>
        <v/>
      </c>
    </row>
    <row r="623" customFormat="false" ht="15" hidden="false" customHeight="false" outlineLevel="0" collapsed="false">
      <c r="A623" s="55"/>
      <c r="B623" s="56"/>
      <c r="C623" s="56"/>
      <c r="D623" s="56"/>
      <c r="E623" s="56"/>
      <c r="F623" s="56"/>
      <c r="G623" s="58"/>
      <c r="H623" s="56"/>
      <c r="I623" s="61" t="str">
        <f aca="false">IF(IsPro,IF(OR($C623="",N($G623)=0),"",IF(OR($C623="Receipt",$C623="Other Income",$C623="Capital In",$C623="Transfer In"),$G623,0)),"")</f>
        <v/>
      </c>
      <c r="J623" s="61" t="str">
        <f aca="false">IF(IsPro,IF(OR($C623="",N($G623)=0),"",IF(I623=0,$G623,0)),"")</f>
        <v/>
      </c>
      <c r="K623" s="60" t="str">
        <f aca="false">IF(IsPro,IF($C623="","",IF(AND(OR($C623="Receipt",$C623="Payment"),$D623=""),"Party needed",IF(AND(OR($C623="Expense",$C623="Other Income"),$E623=""),"Head needed",IF($F623="","Account needed","OK")))),IF($C623="","","PRO PLAN"))</f>
        <v/>
      </c>
    </row>
    <row r="624" customFormat="false" ht="15" hidden="false" customHeight="false" outlineLevel="0" collapsed="false">
      <c r="A624" s="55"/>
      <c r="B624" s="56"/>
      <c r="C624" s="56"/>
      <c r="D624" s="56"/>
      <c r="E624" s="56"/>
      <c r="F624" s="56"/>
      <c r="G624" s="58"/>
      <c r="H624" s="56"/>
      <c r="I624" s="61" t="str">
        <f aca="false">IF(IsPro,IF(OR($C624="",N($G624)=0),"",IF(OR($C624="Receipt",$C624="Other Income",$C624="Capital In",$C624="Transfer In"),$G624,0)),"")</f>
        <v/>
      </c>
      <c r="J624" s="61" t="str">
        <f aca="false">IF(IsPro,IF(OR($C624="",N($G624)=0),"",IF(I624=0,$G624,0)),"")</f>
        <v/>
      </c>
      <c r="K624" s="60" t="str">
        <f aca="false">IF(IsPro,IF($C624="","",IF(AND(OR($C624="Receipt",$C624="Payment"),$D624=""),"Party needed",IF(AND(OR($C624="Expense",$C624="Other Income"),$E624=""),"Head needed",IF($F624="","Account needed","OK")))),IF($C624="","","PRO PLAN"))</f>
        <v/>
      </c>
    </row>
    <row r="625" customFormat="false" ht="15" hidden="false" customHeight="false" outlineLevel="0" collapsed="false">
      <c r="A625" s="55"/>
      <c r="B625" s="56"/>
      <c r="C625" s="56"/>
      <c r="D625" s="56"/>
      <c r="E625" s="56"/>
      <c r="F625" s="56"/>
      <c r="G625" s="58"/>
      <c r="H625" s="56"/>
      <c r="I625" s="61" t="str">
        <f aca="false">IF(IsPro,IF(OR($C625="",N($G625)=0),"",IF(OR($C625="Receipt",$C625="Other Income",$C625="Capital In",$C625="Transfer In"),$G625,0)),"")</f>
        <v/>
      </c>
      <c r="J625" s="61" t="str">
        <f aca="false">IF(IsPro,IF(OR($C625="",N($G625)=0),"",IF(I625=0,$G625,0)),"")</f>
        <v/>
      </c>
      <c r="K625" s="60" t="str">
        <f aca="false">IF(IsPro,IF($C625="","",IF(AND(OR($C625="Receipt",$C625="Payment"),$D625=""),"Party needed",IF(AND(OR($C625="Expense",$C625="Other Income"),$E625=""),"Head needed",IF($F625="","Account needed","OK")))),IF($C625="","","PRO PLAN"))</f>
        <v/>
      </c>
    </row>
    <row r="626" customFormat="false" ht="15" hidden="false" customHeight="false" outlineLevel="0" collapsed="false">
      <c r="A626" s="55"/>
      <c r="B626" s="56"/>
      <c r="C626" s="56"/>
      <c r="D626" s="56"/>
      <c r="E626" s="56"/>
      <c r="F626" s="56"/>
      <c r="G626" s="58"/>
      <c r="H626" s="56"/>
      <c r="I626" s="61" t="str">
        <f aca="false">IF(IsPro,IF(OR($C626="",N($G626)=0),"",IF(OR($C626="Receipt",$C626="Other Income",$C626="Capital In",$C626="Transfer In"),$G626,0)),"")</f>
        <v/>
      </c>
      <c r="J626" s="61" t="str">
        <f aca="false">IF(IsPro,IF(OR($C626="",N($G626)=0),"",IF(I626=0,$G626,0)),"")</f>
        <v/>
      </c>
      <c r="K626" s="60" t="str">
        <f aca="false">IF(IsPro,IF($C626="","",IF(AND(OR($C626="Receipt",$C626="Payment"),$D626=""),"Party needed",IF(AND(OR($C626="Expense",$C626="Other Income"),$E626=""),"Head needed",IF($F626="","Account needed","OK")))),IF($C626="","","PRO PLAN"))</f>
        <v/>
      </c>
    </row>
    <row r="627" customFormat="false" ht="15" hidden="false" customHeight="false" outlineLevel="0" collapsed="false">
      <c r="A627" s="55"/>
      <c r="B627" s="56"/>
      <c r="C627" s="56"/>
      <c r="D627" s="56"/>
      <c r="E627" s="56"/>
      <c r="F627" s="56"/>
      <c r="G627" s="58"/>
      <c r="H627" s="56"/>
      <c r="I627" s="61" t="str">
        <f aca="false">IF(IsPro,IF(OR($C627="",N($G627)=0),"",IF(OR($C627="Receipt",$C627="Other Income",$C627="Capital In",$C627="Transfer In"),$G627,0)),"")</f>
        <v/>
      </c>
      <c r="J627" s="61" t="str">
        <f aca="false">IF(IsPro,IF(OR($C627="",N($G627)=0),"",IF(I627=0,$G627,0)),"")</f>
        <v/>
      </c>
      <c r="K627" s="60" t="str">
        <f aca="false">IF(IsPro,IF($C627="","",IF(AND(OR($C627="Receipt",$C627="Payment"),$D627=""),"Party needed",IF(AND(OR($C627="Expense",$C627="Other Income"),$E627=""),"Head needed",IF($F627="","Account needed","OK")))),IF($C627="","","PRO PLAN"))</f>
        <v/>
      </c>
    </row>
    <row r="628" customFormat="false" ht="15" hidden="false" customHeight="false" outlineLevel="0" collapsed="false">
      <c r="A628" s="55"/>
      <c r="B628" s="56"/>
      <c r="C628" s="56"/>
      <c r="D628" s="56"/>
      <c r="E628" s="56"/>
      <c r="F628" s="56"/>
      <c r="G628" s="58"/>
      <c r="H628" s="56"/>
      <c r="I628" s="61" t="str">
        <f aca="false">IF(IsPro,IF(OR($C628="",N($G628)=0),"",IF(OR($C628="Receipt",$C628="Other Income",$C628="Capital In",$C628="Transfer In"),$G628,0)),"")</f>
        <v/>
      </c>
      <c r="J628" s="61" t="str">
        <f aca="false">IF(IsPro,IF(OR($C628="",N($G628)=0),"",IF(I628=0,$G628,0)),"")</f>
        <v/>
      </c>
      <c r="K628" s="60" t="str">
        <f aca="false">IF(IsPro,IF($C628="","",IF(AND(OR($C628="Receipt",$C628="Payment"),$D628=""),"Party needed",IF(AND(OR($C628="Expense",$C628="Other Income"),$E628=""),"Head needed",IF($F628="","Account needed","OK")))),IF($C628="","","PRO PLAN"))</f>
        <v/>
      </c>
    </row>
    <row r="629" customFormat="false" ht="15" hidden="false" customHeight="false" outlineLevel="0" collapsed="false">
      <c r="A629" s="55"/>
      <c r="B629" s="56"/>
      <c r="C629" s="56"/>
      <c r="D629" s="56"/>
      <c r="E629" s="56"/>
      <c r="F629" s="56"/>
      <c r="G629" s="58"/>
      <c r="H629" s="56"/>
      <c r="I629" s="61" t="str">
        <f aca="false">IF(IsPro,IF(OR($C629="",N($G629)=0),"",IF(OR($C629="Receipt",$C629="Other Income",$C629="Capital In",$C629="Transfer In"),$G629,0)),"")</f>
        <v/>
      </c>
      <c r="J629" s="61" t="str">
        <f aca="false">IF(IsPro,IF(OR($C629="",N($G629)=0),"",IF(I629=0,$G629,0)),"")</f>
        <v/>
      </c>
      <c r="K629" s="60" t="str">
        <f aca="false">IF(IsPro,IF($C629="","",IF(AND(OR($C629="Receipt",$C629="Payment"),$D629=""),"Party needed",IF(AND(OR($C629="Expense",$C629="Other Income"),$E629=""),"Head needed",IF($F629="","Account needed","OK")))),IF($C629="","","PRO PLAN"))</f>
        <v/>
      </c>
    </row>
    <row r="630" customFormat="false" ht="15" hidden="false" customHeight="false" outlineLevel="0" collapsed="false">
      <c r="A630" s="55"/>
      <c r="B630" s="56"/>
      <c r="C630" s="56"/>
      <c r="D630" s="56"/>
      <c r="E630" s="56"/>
      <c r="F630" s="56"/>
      <c r="G630" s="58"/>
      <c r="H630" s="56"/>
      <c r="I630" s="61" t="str">
        <f aca="false">IF(IsPro,IF(OR($C630="",N($G630)=0),"",IF(OR($C630="Receipt",$C630="Other Income",$C630="Capital In",$C630="Transfer In"),$G630,0)),"")</f>
        <v/>
      </c>
      <c r="J630" s="61" t="str">
        <f aca="false">IF(IsPro,IF(OR($C630="",N($G630)=0),"",IF(I630=0,$G630,0)),"")</f>
        <v/>
      </c>
      <c r="K630" s="60" t="str">
        <f aca="false">IF(IsPro,IF($C630="","",IF(AND(OR($C630="Receipt",$C630="Payment"),$D630=""),"Party needed",IF(AND(OR($C630="Expense",$C630="Other Income"),$E630=""),"Head needed",IF($F630="","Account needed","OK")))),IF($C630="","","PRO PLAN"))</f>
        <v/>
      </c>
    </row>
    <row r="631" customFormat="false" ht="15" hidden="false" customHeight="false" outlineLevel="0" collapsed="false">
      <c r="A631" s="55"/>
      <c r="B631" s="56"/>
      <c r="C631" s="56"/>
      <c r="D631" s="56"/>
      <c r="E631" s="56"/>
      <c r="F631" s="56"/>
      <c r="G631" s="58"/>
      <c r="H631" s="56"/>
      <c r="I631" s="61" t="str">
        <f aca="false">IF(IsPro,IF(OR($C631="",N($G631)=0),"",IF(OR($C631="Receipt",$C631="Other Income",$C631="Capital In",$C631="Transfer In"),$G631,0)),"")</f>
        <v/>
      </c>
      <c r="J631" s="61" t="str">
        <f aca="false">IF(IsPro,IF(OR($C631="",N($G631)=0),"",IF(I631=0,$G631,0)),"")</f>
        <v/>
      </c>
      <c r="K631" s="60" t="str">
        <f aca="false">IF(IsPro,IF($C631="","",IF(AND(OR($C631="Receipt",$C631="Payment"),$D631=""),"Party needed",IF(AND(OR($C631="Expense",$C631="Other Income"),$E631=""),"Head needed",IF($F631="","Account needed","OK")))),IF($C631="","","PRO PLAN"))</f>
        <v/>
      </c>
    </row>
    <row r="632" customFormat="false" ht="15" hidden="false" customHeight="false" outlineLevel="0" collapsed="false">
      <c r="A632" s="55"/>
      <c r="B632" s="56"/>
      <c r="C632" s="56"/>
      <c r="D632" s="56"/>
      <c r="E632" s="56"/>
      <c r="F632" s="56"/>
      <c r="G632" s="58"/>
      <c r="H632" s="56"/>
      <c r="I632" s="61" t="str">
        <f aca="false">IF(IsPro,IF(OR($C632="",N($G632)=0),"",IF(OR($C632="Receipt",$C632="Other Income",$C632="Capital In",$C632="Transfer In"),$G632,0)),"")</f>
        <v/>
      </c>
      <c r="J632" s="61" t="str">
        <f aca="false">IF(IsPro,IF(OR($C632="",N($G632)=0),"",IF(I632=0,$G632,0)),"")</f>
        <v/>
      </c>
      <c r="K632" s="60" t="str">
        <f aca="false">IF(IsPro,IF($C632="","",IF(AND(OR($C632="Receipt",$C632="Payment"),$D632=""),"Party needed",IF(AND(OR($C632="Expense",$C632="Other Income"),$E632=""),"Head needed",IF($F632="","Account needed","OK")))),IF($C632="","","PRO PLAN"))</f>
        <v/>
      </c>
    </row>
    <row r="633" customFormat="false" ht="15" hidden="false" customHeight="false" outlineLevel="0" collapsed="false">
      <c r="A633" s="55"/>
      <c r="B633" s="56"/>
      <c r="C633" s="56"/>
      <c r="D633" s="56"/>
      <c r="E633" s="56"/>
      <c r="F633" s="56"/>
      <c r="G633" s="58"/>
      <c r="H633" s="56"/>
      <c r="I633" s="61" t="str">
        <f aca="false">IF(IsPro,IF(OR($C633="",N($G633)=0),"",IF(OR($C633="Receipt",$C633="Other Income",$C633="Capital In",$C633="Transfer In"),$G633,0)),"")</f>
        <v/>
      </c>
      <c r="J633" s="61" t="str">
        <f aca="false">IF(IsPro,IF(OR($C633="",N($G633)=0),"",IF(I633=0,$G633,0)),"")</f>
        <v/>
      </c>
      <c r="K633" s="60" t="str">
        <f aca="false">IF(IsPro,IF($C633="","",IF(AND(OR($C633="Receipt",$C633="Payment"),$D633=""),"Party needed",IF(AND(OR($C633="Expense",$C633="Other Income"),$E633=""),"Head needed",IF($F633="","Account needed","OK")))),IF($C633="","","PRO PLAN"))</f>
        <v/>
      </c>
    </row>
    <row r="634" customFormat="false" ht="15" hidden="false" customHeight="false" outlineLevel="0" collapsed="false">
      <c r="A634" s="55"/>
      <c r="B634" s="56"/>
      <c r="C634" s="56"/>
      <c r="D634" s="56"/>
      <c r="E634" s="56"/>
      <c r="F634" s="56"/>
      <c r="G634" s="58"/>
      <c r="H634" s="56"/>
      <c r="I634" s="61" t="str">
        <f aca="false">IF(IsPro,IF(OR($C634="",N($G634)=0),"",IF(OR($C634="Receipt",$C634="Other Income",$C634="Capital In",$C634="Transfer In"),$G634,0)),"")</f>
        <v/>
      </c>
      <c r="J634" s="61" t="str">
        <f aca="false">IF(IsPro,IF(OR($C634="",N($G634)=0),"",IF(I634=0,$G634,0)),"")</f>
        <v/>
      </c>
      <c r="K634" s="60" t="str">
        <f aca="false">IF(IsPro,IF($C634="","",IF(AND(OR($C634="Receipt",$C634="Payment"),$D634=""),"Party needed",IF(AND(OR($C634="Expense",$C634="Other Income"),$E634=""),"Head needed",IF($F634="","Account needed","OK")))),IF($C634="","","PRO PLAN"))</f>
        <v/>
      </c>
    </row>
    <row r="635" customFormat="false" ht="15" hidden="false" customHeight="false" outlineLevel="0" collapsed="false">
      <c r="A635" s="55"/>
      <c r="B635" s="56"/>
      <c r="C635" s="56"/>
      <c r="D635" s="56"/>
      <c r="E635" s="56"/>
      <c r="F635" s="56"/>
      <c r="G635" s="58"/>
      <c r="H635" s="56"/>
      <c r="I635" s="61" t="str">
        <f aca="false">IF(IsPro,IF(OR($C635="",N($G635)=0),"",IF(OR($C635="Receipt",$C635="Other Income",$C635="Capital In",$C635="Transfer In"),$G635,0)),"")</f>
        <v/>
      </c>
      <c r="J635" s="61" t="str">
        <f aca="false">IF(IsPro,IF(OR($C635="",N($G635)=0),"",IF(I635=0,$G635,0)),"")</f>
        <v/>
      </c>
      <c r="K635" s="60" t="str">
        <f aca="false">IF(IsPro,IF($C635="","",IF(AND(OR($C635="Receipt",$C635="Payment"),$D635=""),"Party needed",IF(AND(OR($C635="Expense",$C635="Other Income"),$E635=""),"Head needed",IF($F635="","Account needed","OK")))),IF($C635="","","PRO PLAN"))</f>
        <v/>
      </c>
    </row>
    <row r="636" customFormat="false" ht="15" hidden="false" customHeight="false" outlineLevel="0" collapsed="false">
      <c r="A636" s="55"/>
      <c r="B636" s="56"/>
      <c r="C636" s="56"/>
      <c r="D636" s="56"/>
      <c r="E636" s="56"/>
      <c r="F636" s="56"/>
      <c r="G636" s="58"/>
      <c r="H636" s="56"/>
      <c r="I636" s="61" t="str">
        <f aca="false">IF(IsPro,IF(OR($C636="",N($G636)=0),"",IF(OR($C636="Receipt",$C636="Other Income",$C636="Capital In",$C636="Transfer In"),$G636,0)),"")</f>
        <v/>
      </c>
      <c r="J636" s="61" t="str">
        <f aca="false">IF(IsPro,IF(OR($C636="",N($G636)=0),"",IF(I636=0,$G636,0)),"")</f>
        <v/>
      </c>
      <c r="K636" s="60" t="str">
        <f aca="false">IF(IsPro,IF($C636="","",IF(AND(OR($C636="Receipt",$C636="Payment"),$D636=""),"Party needed",IF(AND(OR($C636="Expense",$C636="Other Income"),$E636=""),"Head needed",IF($F636="","Account needed","OK")))),IF($C636="","","PRO PLAN"))</f>
        <v/>
      </c>
    </row>
    <row r="637" customFormat="false" ht="15" hidden="false" customHeight="false" outlineLevel="0" collapsed="false">
      <c r="A637" s="55"/>
      <c r="B637" s="56"/>
      <c r="C637" s="56"/>
      <c r="D637" s="56"/>
      <c r="E637" s="56"/>
      <c r="F637" s="56"/>
      <c r="G637" s="58"/>
      <c r="H637" s="56"/>
      <c r="I637" s="61" t="str">
        <f aca="false">IF(IsPro,IF(OR($C637="",N($G637)=0),"",IF(OR($C637="Receipt",$C637="Other Income",$C637="Capital In",$C637="Transfer In"),$G637,0)),"")</f>
        <v/>
      </c>
      <c r="J637" s="61" t="str">
        <f aca="false">IF(IsPro,IF(OR($C637="",N($G637)=0),"",IF(I637=0,$G637,0)),"")</f>
        <v/>
      </c>
      <c r="K637" s="60" t="str">
        <f aca="false">IF(IsPro,IF($C637="","",IF(AND(OR($C637="Receipt",$C637="Payment"),$D637=""),"Party needed",IF(AND(OR($C637="Expense",$C637="Other Income"),$E637=""),"Head needed",IF($F637="","Account needed","OK")))),IF($C637="","","PRO PLAN"))</f>
        <v/>
      </c>
    </row>
    <row r="638" customFormat="false" ht="15" hidden="false" customHeight="false" outlineLevel="0" collapsed="false">
      <c r="A638" s="55"/>
      <c r="B638" s="56"/>
      <c r="C638" s="56"/>
      <c r="D638" s="56"/>
      <c r="E638" s="56"/>
      <c r="F638" s="56"/>
      <c r="G638" s="58"/>
      <c r="H638" s="56"/>
      <c r="I638" s="61" t="str">
        <f aca="false">IF(IsPro,IF(OR($C638="",N($G638)=0),"",IF(OR($C638="Receipt",$C638="Other Income",$C638="Capital In",$C638="Transfer In"),$G638,0)),"")</f>
        <v/>
      </c>
      <c r="J638" s="61" t="str">
        <f aca="false">IF(IsPro,IF(OR($C638="",N($G638)=0),"",IF(I638=0,$G638,0)),"")</f>
        <v/>
      </c>
      <c r="K638" s="60" t="str">
        <f aca="false">IF(IsPro,IF($C638="","",IF(AND(OR($C638="Receipt",$C638="Payment"),$D638=""),"Party needed",IF(AND(OR($C638="Expense",$C638="Other Income"),$E638=""),"Head needed",IF($F638="","Account needed","OK")))),IF($C638="","","PRO PLAN"))</f>
        <v/>
      </c>
    </row>
    <row r="639" customFormat="false" ht="15" hidden="false" customHeight="false" outlineLevel="0" collapsed="false">
      <c r="A639" s="55"/>
      <c r="B639" s="56"/>
      <c r="C639" s="56"/>
      <c r="D639" s="56"/>
      <c r="E639" s="56"/>
      <c r="F639" s="56"/>
      <c r="G639" s="58"/>
      <c r="H639" s="56"/>
      <c r="I639" s="61" t="str">
        <f aca="false">IF(IsPro,IF(OR($C639="",N($G639)=0),"",IF(OR($C639="Receipt",$C639="Other Income",$C639="Capital In",$C639="Transfer In"),$G639,0)),"")</f>
        <v/>
      </c>
      <c r="J639" s="61" t="str">
        <f aca="false">IF(IsPro,IF(OR($C639="",N($G639)=0),"",IF(I639=0,$G639,0)),"")</f>
        <v/>
      </c>
      <c r="K639" s="60" t="str">
        <f aca="false">IF(IsPro,IF($C639="","",IF(AND(OR($C639="Receipt",$C639="Payment"),$D639=""),"Party needed",IF(AND(OR($C639="Expense",$C639="Other Income"),$E639=""),"Head needed",IF($F639="","Account needed","OK")))),IF($C639="","","PRO PLAN"))</f>
        <v/>
      </c>
    </row>
    <row r="640" customFormat="false" ht="15" hidden="false" customHeight="false" outlineLevel="0" collapsed="false">
      <c r="A640" s="55"/>
      <c r="B640" s="56"/>
      <c r="C640" s="56"/>
      <c r="D640" s="56"/>
      <c r="E640" s="56"/>
      <c r="F640" s="56"/>
      <c r="G640" s="58"/>
      <c r="H640" s="56"/>
      <c r="I640" s="61" t="str">
        <f aca="false">IF(IsPro,IF(OR($C640="",N($G640)=0),"",IF(OR($C640="Receipt",$C640="Other Income",$C640="Capital In",$C640="Transfer In"),$G640,0)),"")</f>
        <v/>
      </c>
      <c r="J640" s="61" t="str">
        <f aca="false">IF(IsPro,IF(OR($C640="",N($G640)=0),"",IF(I640=0,$G640,0)),"")</f>
        <v/>
      </c>
      <c r="K640" s="60" t="str">
        <f aca="false">IF(IsPro,IF($C640="","",IF(AND(OR($C640="Receipt",$C640="Payment"),$D640=""),"Party needed",IF(AND(OR($C640="Expense",$C640="Other Income"),$E640=""),"Head needed",IF($F640="","Account needed","OK")))),IF($C640="","","PRO PLAN"))</f>
        <v/>
      </c>
    </row>
    <row r="641" customFormat="false" ht="15" hidden="false" customHeight="false" outlineLevel="0" collapsed="false">
      <c r="A641" s="55"/>
      <c r="B641" s="56"/>
      <c r="C641" s="56"/>
      <c r="D641" s="56"/>
      <c r="E641" s="56"/>
      <c r="F641" s="56"/>
      <c r="G641" s="58"/>
      <c r="H641" s="56"/>
      <c r="I641" s="61" t="str">
        <f aca="false">IF(IsPro,IF(OR($C641="",N($G641)=0),"",IF(OR($C641="Receipt",$C641="Other Income",$C641="Capital In",$C641="Transfer In"),$G641,0)),"")</f>
        <v/>
      </c>
      <c r="J641" s="61" t="str">
        <f aca="false">IF(IsPro,IF(OR($C641="",N($G641)=0),"",IF(I641=0,$G641,0)),"")</f>
        <v/>
      </c>
      <c r="K641" s="60" t="str">
        <f aca="false">IF(IsPro,IF($C641="","",IF(AND(OR($C641="Receipt",$C641="Payment"),$D641=""),"Party needed",IF(AND(OR($C641="Expense",$C641="Other Income"),$E641=""),"Head needed",IF($F641="","Account needed","OK")))),IF($C641="","","PRO PLAN"))</f>
        <v/>
      </c>
    </row>
    <row r="642" customFormat="false" ht="15" hidden="false" customHeight="false" outlineLevel="0" collapsed="false">
      <c r="A642" s="55"/>
      <c r="B642" s="56"/>
      <c r="C642" s="56"/>
      <c r="D642" s="56"/>
      <c r="E642" s="56"/>
      <c r="F642" s="56"/>
      <c r="G642" s="58"/>
      <c r="H642" s="56"/>
      <c r="I642" s="61" t="str">
        <f aca="false">IF(IsPro,IF(OR($C642="",N($G642)=0),"",IF(OR($C642="Receipt",$C642="Other Income",$C642="Capital In",$C642="Transfer In"),$G642,0)),"")</f>
        <v/>
      </c>
      <c r="J642" s="61" t="str">
        <f aca="false">IF(IsPro,IF(OR($C642="",N($G642)=0),"",IF(I642=0,$G642,0)),"")</f>
        <v/>
      </c>
      <c r="K642" s="60" t="str">
        <f aca="false">IF(IsPro,IF($C642="","",IF(AND(OR($C642="Receipt",$C642="Payment"),$D642=""),"Party needed",IF(AND(OR($C642="Expense",$C642="Other Income"),$E642=""),"Head needed",IF($F642="","Account needed","OK")))),IF($C642="","","PRO PLAN"))</f>
        <v/>
      </c>
    </row>
    <row r="643" customFormat="false" ht="15" hidden="false" customHeight="false" outlineLevel="0" collapsed="false">
      <c r="A643" s="55"/>
      <c r="B643" s="56"/>
      <c r="C643" s="56"/>
      <c r="D643" s="56"/>
      <c r="E643" s="56"/>
      <c r="F643" s="56"/>
      <c r="G643" s="58"/>
      <c r="H643" s="56"/>
      <c r="I643" s="61" t="str">
        <f aca="false">IF(IsPro,IF(OR($C643="",N($G643)=0),"",IF(OR($C643="Receipt",$C643="Other Income",$C643="Capital In",$C643="Transfer In"),$G643,0)),"")</f>
        <v/>
      </c>
      <c r="J643" s="61" t="str">
        <f aca="false">IF(IsPro,IF(OR($C643="",N($G643)=0),"",IF(I643=0,$G643,0)),"")</f>
        <v/>
      </c>
      <c r="K643" s="60" t="str">
        <f aca="false">IF(IsPro,IF($C643="","",IF(AND(OR($C643="Receipt",$C643="Payment"),$D643=""),"Party needed",IF(AND(OR($C643="Expense",$C643="Other Income"),$E643=""),"Head needed",IF($F643="","Account needed","OK")))),IF($C643="","","PRO PLAN"))</f>
        <v/>
      </c>
    </row>
    <row r="644" customFormat="false" ht="15" hidden="false" customHeight="false" outlineLevel="0" collapsed="false">
      <c r="A644" s="55"/>
      <c r="B644" s="56"/>
      <c r="C644" s="56"/>
      <c r="D644" s="56"/>
      <c r="E644" s="56"/>
      <c r="F644" s="56"/>
      <c r="G644" s="58"/>
      <c r="H644" s="56"/>
      <c r="I644" s="61" t="str">
        <f aca="false">IF(IsPro,IF(OR($C644="",N($G644)=0),"",IF(OR($C644="Receipt",$C644="Other Income",$C644="Capital In",$C644="Transfer In"),$G644,0)),"")</f>
        <v/>
      </c>
      <c r="J644" s="61" t="str">
        <f aca="false">IF(IsPro,IF(OR($C644="",N($G644)=0),"",IF(I644=0,$G644,0)),"")</f>
        <v/>
      </c>
      <c r="K644" s="60" t="str">
        <f aca="false">IF(IsPro,IF($C644="","",IF(AND(OR($C644="Receipt",$C644="Payment"),$D644=""),"Party needed",IF(AND(OR($C644="Expense",$C644="Other Income"),$E644=""),"Head needed",IF($F644="","Account needed","OK")))),IF($C644="","","PRO PLAN"))</f>
        <v/>
      </c>
    </row>
    <row r="645" customFormat="false" ht="15" hidden="false" customHeight="false" outlineLevel="0" collapsed="false">
      <c r="A645" s="55"/>
      <c r="B645" s="56"/>
      <c r="C645" s="56"/>
      <c r="D645" s="56"/>
      <c r="E645" s="56"/>
      <c r="F645" s="56"/>
      <c r="G645" s="58"/>
      <c r="H645" s="56"/>
      <c r="I645" s="61" t="str">
        <f aca="false">IF(IsPro,IF(OR($C645="",N($G645)=0),"",IF(OR($C645="Receipt",$C645="Other Income",$C645="Capital In",$C645="Transfer In"),$G645,0)),"")</f>
        <v/>
      </c>
      <c r="J645" s="61" t="str">
        <f aca="false">IF(IsPro,IF(OR($C645="",N($G645)=0),"",IF(I645=0,$G645,0)),"")</f>
        <v/>
      </c>
      <c r="K645" s="60" t="str">
        <f aca="false">IF(IsPro,IF($C645="","",IF(AND(OR($C645="Receipt",$C645="Payment"),$D645=""),"Party needed",IF(AND(OR($C645="Expense",$C645="Other Income"),$E645=""),"Head needed",IF($F645="","Account needed","OK")))),IF($C645="","","PRO PLAN"))</f>
        <v/>
      </c>
    </row>
    <row r="646" customFormat="false" ht="15" hidden="false" customHeight="false" outlineLevel="0" collapsed="false">
      <c r="A646" s="55"/>
      <c r="B646" s="56"/>
      <c r="C646" s="56"/>
      <c r="D646" s="56"/>
      <c r="E646" s="56"/>
      <c r="F646" s="56"/>
      <c r="G646" s="58"/>
      <c r="H646" s="56"/>
      <c r="I646" s="61" t="str">
        <f aca="false">IF(IsPro,IF(OR($C646="",N($G646)=0),"",IF(OR($C646="Receipt",$C646="Other Income",$C646="Capital In",$C646="Transfer In"),$G646,0)),"")</f>
        <v/>
      </c>
      <c r="J646" s="61" t="str">
        <f aca="false">IF(IsPro,IF(OR($C646="",N($G646)=0),"",IF(I646=0,$G646,0)),"")</f>
        <v/>
      </c>
      <c r="K646" s="60" t="str">
        <f aca="false">IF(IsPro,IF($C646="","",IF(AND(OR($C646="Receipt",$C646="Payment"),$D646=""),"Party needed",IF(AND(OR($C646="Expense",$C646="Other Income"),$E646=""),"Head needed",IF($F646="","Account needed","OK")))),IF($C646="","","PRO PLAN"))</f>
        <v/>
      </c>
    </row>
    <row r="647" customFormat="false" ht="15" hidden="false" customHeight="false" outlineLevel="0" collapsed="false">
      <c r="A647" s="55"/>
      <c r="B647" s="56"/>
      <c r="C647" s="56"/>
      <c r="D647" s="56"/>
      <c r="E647" s="56"/>
      <c r="F647" s="56"/>
      <c r="G647" s="58"/>
      <c r="H647" s="56"/>
      <c r="I647" s="61" t="str">
        <f aca="false">IF(IsPro,IF(OR($C647="",N($G647)=0),"",IF(OR($C647="Receipt",$C647="Other Income",$C647="Capital In",$C647="Transfer In"),$G647,0)),"")</f>
        <v/>
      </c>
      <c r="J647" s="61" t="str">
        <f aca="false">IF(IsPro,IF(OR($C647="",N($G647)=0),"",IF(I647=0,$G647,0)),"")</f>
        <v/>
      </c>
      <c r="K647" s="60" t="str">
        <f aca="false">IF(IsPro,IF($C647="","",IF(AND(OR($C647="Receipt",$C647="Payment"),$D647=""),"Party needed",IF(AND(OR($C647="Expense",$C647="Other Income"),$E647=""),"Head needed",IF($F647="","Account needed","OK")))),IF($C647="","","PRO PLAN"))</f>
        <v/>
      </c>
    </row>
    <row r="648" customFormat="false" ht="15" hidden="false" customHeight="false" outlineLevel="0" collapsed="false">
      <c r="A648" s="55"/>
      <c r="B648" s="56"/>
      <c r="C648" s="56"/>
      <c r="D648" s="56"/>
      <c r="E648" s="56"/>
      <c r="F648" s="56"/>
      <c r="G648" s="58"/>
      <c r="H648" s="56"/>
      <c r="I648" s="61" t="str">
        <f aca="false">IF(IsPro,IF(OR($C648="",N($G648)=0),"",IF(OR($C648="Receipt",$C648="Other Income",$C648="Capital In",$C648="Transfer In"),$G648,0)),"")</f>
        <v/>
      </c>
      <c r="J648" s="61" t="str">
        <f aca="false">IF(IsPro,IF(OR($C648="",N($G648)=0),"",IF(I648=0,$G648,0)),"")</f>
        <v/>
      </c>
      <c r="K648" s="60" t="str">
        <f aca="false">IF(IsPro,IF($C648="","",IF(AND(OR($C648="Receipt",$C648="Payment"),$D648=""),"Party needed",IF(AND(OR($C648="Expense",$C648="Other Income"),$E648=""),"Head needed",IF($F648="","Account needed","OK")))),IF($C648="","","PRO PLAN"))</f>
        <v/>
      </c>
    </row>
    <row r="649" customFormat="false" ht="15" hidden="false" customHeight="false" outlineLevel="0" collapsed="false">
      <c r="A649" s="55"/>
      <c r="B649" s="56"/>
      <c r="C649" s="56"/>
      <c r="D649" s="56"/>
      <c r="E649" s="56"/>
      <c r="F649" s="56"/>
      <c r="G649" s="58"/>
      <c r="H649" s="56"/>
      <c r="I649" s="61" t="str">
        <f aca="false">IF(IsPro,IF(OR($C649="",N($G649)=0),"",IF(OR($C649="Receipt",$C649="Other Income",$C649="Capital In",$C649="Transfer In"),$G649,0)),"")</f>
        <v/>
      </c>
      <c r="J649" s="61" t="str">
        <f aca="false">IF(IsPro,IF(OR($C649="",N($G649)=0),"",IF(I649=0,$G649,0)),"")</f>
        <v/>
      </c>
      <c r="K649" s="60" t="str">
        <f aca="false">IF(IsPro,IF($C649="","",IF(AND(OR($C649="Receipt",$C649="Payment"),$D649=""),"Party needed",IF(AND(OR($C649="Expense",$C649="Other Income"),$E649=""),"Head needed",IF($F649="","Account needed","OK")))),IF($C649="","","PRO PLAN"))</f>
        <v/>
      </c>
    </row>
    <row r="650" customFormat="false" ht="15" hidden="false" customHeight="false" outlineLevel="0" collapsed="false">
      <c r="A650" s="55"/>
      <c r="B650" s="56"/>
      <c r="C650" s="56"/>
      <c r="D650" s="56"/>
      <c r="E650" s="56"/>
      <c r="F650" s="56"/>
      <c r="G650" s="58"/>
      <c r="H650" s="56"/>
      <c r="I650" s="61" t="str">
        <f aca="false">IF(IsPro,IF(OR($C650="",N($G650)=0),"",IF(OR($C650="Receipt",$C650="Other Income",$C650="Capital In",$C650="Transfer In"),$G650,0)),"")</f>
        <v/>
      </c>
      <c r="J650" s="61" t="str">
        <f aca="false">IF(IsPro,IF(OR($C650="",N($G650)=0),"",IF(I650=0,$G650,0)),"")</f>
        <v/>
      </c>
      <c r="K650" s="60" t="str">
        <f aca="false">IF(IsPro,IF($C650="","",IF(AND(OR($C650="Receipt",$C650="Payment"),$D650=""),"Party needed",IF(AND(OR($C650="Expense",$C650="Other Income"),$E650=""),"Head needed",IF($F650="","Account needed","OK")))),IF($C650="","","PRO PLAN"))</f>
        <v/>
      </c>
    </row>
    <row r="651" customFormat="false" ht="15" hidden="false" customHeight="false" outlineLevel="0" collapsed="false">
      <c r="A651" s="55"/>
      <c r="B651" s="56"/>
      <c r="C651" s="56"/>
      <c r="D651" s="56"/>
      <c r="E651" s="56"/>
      <c r="F651" s="56"/>
      <c r="G651" s="58"/>
      <c r="H651" s="56"/>
      <c r="I651" s="61" t="str">
        <f aca="false">IF(IsPro,IF(OR($C651="",N($G651)=0),"",IF(OR($C651="Receipt",$C651="Other Income",$C651="Capital In",$C651="Transfer In"),$G651,0)),"")</f>
        <v/>
      </c>
      <c r="J651" s="61" t="str">
        <f aca="false">IF(IsPro,IF(OR($C651="",N($G651)=0),"",IF(I651=0,$G651,0)),"")</f>
        <v/>
      </c>
      <c r="K651" s="60" t="str">
        <f aca="false">IF(IsPro,IF($C651="","",IF(AND(OR($C651="Receipt",$C651="Payment"),$D651=""),"Party needed",IF(AND(OR($C651="Expense",$C651="Other Income"),$E651=""),"Head needed",IF($F651="","Account needed","OK")))),IF($C651="","","PRO PLAN"))</f>
        <v/>
      </c>
    </row>
    <row r="652" customFormat="false" ht="15" hidden="false" customHeight="false" outlineLevel="0" collapsed="false">
      <c r="A652" s="55"/>
      <c r="B652" s="56"/>
      <c r="C652" s="56"/>
      <c r="D652" s="56"/>
      <c r="E652" s="56"/>
      <c r="F652" s="56"/>
      <c r="G652" s="58"/>
      <c r="H652" s="56"/>
      <c r="I652" s="61" t="str">
        <f aca="false">IF(IsPro,IF(OR($C652="",N($G652)=0),"",IF(OR($C652="Receipt",$C652="Other Income",$C652="Capital In",$C652="Transfer In"),$G652,0)),"")</f>
        <v/>
      </c>
      <c r="J652" s="61" t="str">
        <f aca="false">IF(IsPro,IF(OR($C652="",N($G652)=0),"",IF(I652=0,$G652,0)),"")</f>
        <v/>
      </c>
      <c r="K652" s="60" t="str">
        <f aca="false">IF(IsPro,IF($C652="","",IF(AND(OR($C652="Receipt",$C652="Payment"),$D652=""),"Party needed",IF(AND(OR($C652="Expense",$C652="Other Income"),$E652=""),"Head needed",IF($F652="","Account needed","OK")))),IF($C652="","","PRO PLAN"))</f>
        <v/>
      </c>
    </row>
    <row r="653" customFormat="false" ht="15" hidden="false" customHeight="false" outlineLevel="0" collapsed="false">
      <c r="A653" s="55"/>
      <c r="B653" s="56"/>
      <c r="C653" s="56"/>
      <c r="D653" s="56"/>
      <c r="E653" s="56"/>
      <c r="F653" s="56"/>
      <c r="G653" s="58"/>
      <c r="H653" s="56"/>
      <c r="I653" s="61" t="str">
        <f aca="false">IF(IsPro,IF(OR($C653="",N($G653)=0),"",IF(OR($C653="Receipt",$C653="Other Income",$C653="Capital In",$C653="Transfer In"),$G653,0)),"")</f>
        <v/>
      </c>
      <c r="J653" s="61" t="str">
        <f aca="false">IF(IsPro,IF(OR($C653="",N($G653)=0),"",IF(I653=0,$G653,0)),"")</f>
        <v/>
      </c>
      <c r="K653" s="60" t="str">
        <f aca="false">IF(IsPro,IF($C653="","",IF(AND(OR($C653="Receipt",$C653="Payment"),$D653=""),"Party needed",IF(AND(OR($C653="Expense",$C653="Other Income"),$E653=""),"Head needed",IF($F653="","Account needed","OK")))),IF($C653="","","PRO PLAN"))</f>
        <v/>
      </c>
    </row>
    <row r="654" customFormat="false" ht="15" hidden="false" customHeight="false" outlineLevel="0" collapsed="false">
      <c r="A654" s="55"/>
      <c r="B654" s="56"/>
      <c r="C654" s="56"/>
      <c r="D654" s="56"/>
      <c r="E654" s="56"/>
      <c r="F654" s="56"/>
      <c r="G654" s="58"/>
      <c r="H654" s="56"/>
      <c r="I654" s="61" t="str">
        <f aca="false">IF(IsPro,IF(OR($C654="",N($G654)=0),"",IF(OR($C654="Receipt",$C654="Other Income",$C654="Capital In",$C654="Transfer In"),$G654,0)),"")</f>
        <v/>
      </c>
      <c r="J654" s="61" t="str">
        <f aca="false">IF(IsPro,IF(OR($C654="",N($G654)=0),"",IF(I654=0,$G654,0)),"")</f>
        <v/>
      </c>
      <c r="K654" s="60" t="str">
        <f aca="false">IF(IsPro,IF($C654="","",IF(AND(OR($C654="Receipt",$C654="Payment"),$D654=""),"Party needed",IF(AND(OR($C654="Expense",$C654="Other Income"),$E654=""),"Head needed",IF($F654="","Account needed","OK")))),IF($C654="","","PRO PLAN"))</f>
        <v/>
      </c>
    </row>
    <row r="655" customFormat="false" ht="15" hidden="false" customHeight="false" outlineLevel="0" collapsed="false">
      <c r="A655" s="55"/>
      <c r="B655" s="56"/>
      <c r="C655" s="56"/>
      <c r="D655" s="56"/>
      <c r="E655" s="56"/>
      <c r="F655" s="56"/>
      <c r="G655" s="58"/>
      <c r="H655" s="56"/>
      <c r="I655" s="61" t="str">
        <f aca="false">IF(IsPro,IF(OR($C655="",N($G655)=0),"",IF(OR($C655="Receipt",$C655="Other Income",$C655="Capital In",$C655="Transfer In"),$G655,0)),"")</f>
        <v/>
      </c>
      <c r="J655" s="61" t="str">
        <f aca="false">IF(IsPro,IF(OR($C655="",N($G655)=0),"",IF(I655=0,$G655,0)),"")</f>
        <v/>
      </c>
      <c r="K655" s="60" t="str">
        <f aca="false">IF(IsPro,IF($C655="","",IF(AND(OR($C655="Receipt",$C655="Payment"),$D655=""),"Party needed",IF(AND(OR($C655="Expense",$C655="Other Income"),$E655=""),"Head needed",IF($F655="","Account needed","OK")))),IF($C655="","","PRO PLAN"))</f>
        <v/>
      </c>
    </row>
    <row r="656" customFormat="false" ht="15" hidden="false" customHeight="false" outlineLevel="0" collapsed="false">
      <c r="A656" s="55"/>
      <c r="B656" s="56"/>
      <c r="C656" s="56"/>
      <c r="D656" s="56"/>
      <c r="E656" s="56"/>
      <c r="F656" s="56"/>
      <c r="G656" s="58"/>
      <c r="H656" s="56"/>
      <c r="I656" s="61" t="str">
        <f aca="false">IF(IsPro,IF(OR($C656="",N($G656)=0),"",IF(OR($C656="Receipt",$C656="Other Income",$C656="Capital In",$C656="Transfer In"),$G656,0)),"")</f>
        <v/>
      </c>
      <c r="J656" s="61" t="str">
        <f aca="false">IF(IsPro,IF(OR($C656="",N($G656)=0),"",IF(I656=0,$G656,0)),"")</f>
        <v/>
      </c>
      <c r="K656" s="60" t="str">
        <f aca="false">IF(IsPro,IF($C656="","",IF(AND(OR($C656="Receipt",$C656="Payment"),$D656=""),"Party needed",IF(AND(OR($C656="Expense",$C656="Other Income"),$E656=""),"Head needed",IF($F656="","Account needed","OK")))),IF($C656="","","PRO PLAN"))</f>
        <v/>
      </c>
    </row>
    <row r="657" customFormat="false" ht="15" hidden="false" customHeight="false" outlineLevel="0" collapsed="false">
      <c r="A657" s="55"/>
      <c r="B657" s="56"/>
      <c r="C657" s="56"/>
      <c r="D657" s="56"/>
      <c r="E657" s="56"/>
      <c r="F657" s="56"/>
      <c r="G657" s="58"/>
      <c r="H657" s="56"/>
      <c r="I657" s="61" t="str">
        <f aca="false">IF(IsPro,IF(OR($C657="",N($G657)=0),"",IF(OR($C657="Receipt",$C657="Other Income",$C657="Capital In",$C657="Transfer In"),$G657,0)),"")</f>
        <v/>
      </c>
      <c r="J657" s="61" t="str">
        <f aca="false">IF(IsPro,IF(OR($C657="",N($G657)=0),"",IF(I657=0,$G657,0)),"")</f>
        <v/>
      </c>
      <c r="K657" s="60" t="str">
        <f aca="false">IF(IsPro,IF($C657="","",IF(AND(OR($C657="Receipt",$C657="Payment"),$D657=""),"Party needed",IF(AND(OR($C657="Expense",$C657="Other Income"),$E657=""),"Head needed",IF($F657="","Account needed","OK")))),IF($C657="","","PRO PLAN"))</f>
        <v/>
      </c>
    </row>
    <row r="658" customFormat="false" ht="15" hidden="false" customHeight="false" outlineLevel="0" collapsed="false">
      <c r="A658" s="55"/>
      <c r="B658" s="56"/>
      <c r="C658" s="56"/>
      <c r="D658" s="56"/>
      <c r="E658" s="56"/>
      <c r="F658" s="56"/>
      <c r="G658" s="58"/>
      <c r="H658" s="56"/>
      <c r="I658" s="61" t="str">
        <f aca="false">IF(IsPro,IF(OR($C658="",N($G658)=0),"",IF(OR($C658="Receipt",$C658="Other Income",$C658="Capital In",$C658="Transfer In"),$G658,0)),"")</f>
        <v/>
      </c>
      <c r="J658" s="61" t="str">
        <f aca="false">IF(IsPro,IF(OR($C658="",N($G658)=0),"",IF(I658=0,$G658,0)),"")</f>
        <v/>
      </c>
      <c r="K658" s="60" t="str">
        <f aca="false">IF(IsPro,IF($C658="","",IF(AND(OR($C658="Receipt",$C658="Payment"),$D658=""),"Party needed",IF(AND(OR($C658="Expense",$C658="Other Income"),$E658=""),"Head needed",IF($F658="","Account needed","OK")))),IF($C658="","","PRO PLAN"))</f>
        <v/>
      </c>
    </row>
    <row r="659" customFormat="false" ht="15" hidden="false" customHeight="false" outlineLevel="0" collapsed="false">
      <c r="A659" s="55"/>
      <c r="B659" s="56"/>
      <c r="C659" s="56"/>
      <c r="D659" s="56"/>
      <c r="E659" s="56"/>
      <c r="F659" s="56"/>
      <c r="G659" s="58"/>
      <c r="H659" s="56"/>
      <c r="I659" s="61" t="str">
        <f aca="false">IF(IsPro,IF(OR($C659="",N($G659)=0),"",IF(OR($C659="Receipt",$C659="Other Income",$C659="Capital In",$C659="Transfer In"),$G659,0)),"")</f>
        <v/>
      </c>
      <c r="J659" s="61" t="str">
        <f aca="false">IF(IsPro,IF(OR($C659="",N($G659)=0),"",IF(I659=0,$G659,0)),"")</f>
        <v/>
      </c>
      <c r="K659" s="60" t="str">
        <f aca="false">IF(IsPro,IF($C659="","",IF(AND(OR($C659="Receipt",$C659="Payment"),$D659=""),"Party needed",IF(AND(OR($C659="Expense",$C659="Other Income"),$E659=""),"Head needed",IF($F659="","Account needed","OK")))),IF($C659="","","PRO PLAN"))</f>
        <v/>
      </c>
    </row>
    <row r="660" customFormat="false" ht="15" hidden="false" customHeight="false" outlineLevel="0" collapsed="false">
      <c r="A660" s="55"/>
      <c r="B660" s="56"/>
      <c r="C660" s="56"/>
      <c r="D660" s="56"/>
      <c r="E660" s="56"/>
      <c r="F660" s="56"/>
      <c r="G660" s="58"/>
      <c r="H660" s="56"/>
      <c r="I660" s="61" t="str">
        <f aca="false">IF(IsPro,IF(OR($C660="",N($G660)=0),"",IF(OR($C660="Receipt",$C660="Other Income",$C660="Capital In",$C660="Transfer In"),$G660,0)),"")</f>
        <v/>
      </c>
      <c r="J660" s="61" t="str">
        <f aca="false">IF(IsPro,IF(OR($C660="",N($G660)=0),"",IF(I660=0,$G660,0)),"")</f>
        <v/>
      </c>
      <c r="K660" s="60" t="str">
        <f aca="false">IF(IsPro,IF($C660="","",IF(AND(OR($C660="Receipt",$C660="Payment"),$D660=""),"Party needed",IF(AND(OR($C660="Expense",$C660="Other Income"),$E660=""),"Head needed",IF($F660="","Account needed","OK")))),IF($C660="","","PRO PLAN"))</f>
        <v/>
      </c>
    </row>
    <row r="661" customFormat="false" ht="15" hidden="false" customHeight="false" outlineLevel="0" collapsed="false">
      <c r="A661" s="55"/>
      <c r="B661" s="56"/>
      <c r="C661" s="56"/>
      <c r="D661" s="56"/>
      <c r="E661" s="56"/>
      <c r="F661" s="56"/>
      <c r="G661" s="58"/>
      <c r="H661" s="56"/>
      <c r="I661" s="61" t="str">
        <f aca="false">IF(IsPro,IF(OR($C661="",N($G661)=0),"",IF(OR($C661="Receipt",$C661="Other Income",$C661="Capital In",$C661="Transfer In"),$G661,0)),"")</f>
        <v/>
      </c>
      <c r="J661" s="61" t="str">
        <f aca="false">IF(IsPro,IF(OR($C661="",N($G661)=0),"",IF(I661=0,$G661,0)),"")</f>
        <v/>
      </c>
      <c r="K661" s="60" t="str">
        <f aca="false">IF(IsPro,IF($C661="","",IF(AND(OR($C661="Receipt",$C661="Payment"),$D661=""),"Party needed",IF(AND(OR($C661="Expense",$C661="Other Income"),$E661=""),"Head needed",IF($F661="","Account needed","OK")))),IF($C661="","","PRO PLAN"))</f>
        <v/>
      </c>
    </row>
    <row r="662" customFormat="false" ht="15" hidden="false" customHeight="false" outlineLevel="0" collapsed="false">
      <c r="A662" s="55"/>
      <c r="B662" s="56"/>
      <c r="C662" s="56"/>
      <c r="D662" s="56"/>
      <c r="E662" s="56"/>
      <c r="F662" s="56"/>
      <c r="G662" s="58"/>
      <c r="H662" s="56"/>
      <c r="I662" s="61" t="str">
        <f aca="false">IF(IsPro,IF(OR($C662="",N($G662)=0),"",IF(OR($C662="Receipt",$C662="Other Income",$C662="Capital In",$C662="Transfer In"),$G662,0)),"")</f>
        <v/>
      </c>
      <c r="J662" s="61" t="str">
        <f aca="false">IF(IsPro,IF(OR($C662="",N($G662)=0),"",IF(I662=0,$G662,0)),"")</f>
        <v/>
      </c>
      <c r="K662" s="60" t="str">
        <f aca="false">IF(IsPro,IF($C662="","",IF(AND(OR($C662="Receipt",$C662="Payment"),$D662=""),"Party needed",IF(AND(OR($C662="Expense",$C662="Other Income"),$E662=""),"Head needed",IF($F662="","Account needed","OK")))),IF($C662="","","PRO PLAN"))</f>
        <v/>
      </c>
    </row>
    <row r="663" customFormat="false" ht="15" hidden="false" customHeight="false" outlineLevel="0" collapsed="false">
      <c r="A663" s="55"/>
      <c r="B663" s="56"/>
      <c r="C663" s="56"/>
      <c r="D663" s="56"/>
      <c r="E663" s="56"/>
      <c r="F663" s="56"/>
      <c r="G663" s="58"/>
      <c r="H663" s="56"/>
      <c r="I663" s="61" t="str">
        <f aca="false">IF(IsPro,IF(OR($C663="",N($G663)=0),"",IF(OR($C663="Receipt",$C663="Other Income",$C663="Capital In",$C663="Transfer In"),$G663,0)),"")</f>
        <v/>
      </c>
      <c r="J663" s="61" t="str">
        <f aca="false">IF(IsPro,IF(OR($C663="",N($G663)=0),"",IF(I663=0,$G663,0)),"")</f>
        <v/>
      </c>
      <c r="K663" s="60" t="str">
        <f aca="false">IF(IsPro,IF($C663="","",IF(AND(OR($C663="Receipt",$C663="Payment"),$D663=""),"Party needed",IF(AND(OR($C663="Expense",$C663="Other Income"),$E663=""),"Head needed",IF($F663="","Account needed","OK")))),IF($C663="","","PRO PLAN"))</f>
        <v/>
      </c>
    </row>
    <row r="664" customFormat="false" ht="15" hidden="false" customHeight="false" outlineLevel="0" collapsed="false">
      <c r="A664" s="55"/>
      <c r="B664" s="56"/>
      <c r="C664" s="56"/>
      <c r="D664" s="56"/>
      <c r="E664" s="56"/>
      <c r="F664" s="56"/>
      <c r="G664" s="58"/>
      <c r="H664" s="56"/>
      <c r="I664" s="61" t="str">
        <f aca="false">IF(IsPro,IF(OR($C664="",N($G664)=0),"",IF(OR($C664="Receipt",$C664="Other Income",$C664="Capital In",$C664="Transfer In"),$G664,0)),"")</f>
        <v/>
      </c>
      <c r="J664" s="61" t="str">
        <f aca="false">IF(IsPro,IF(OR($C664="",N($G664)=0),"",IF(I664=0,$G664,0)),"")</f>
        <v/>
      </c>
      <c r="K664" s="60" t="str">
        <f aca="false">IF(IsPro,IF($C664="","",IF(AND(OR($C664="Receipt",$C664="Payment"),$D664=""),"Party needed",IF(AND(OR($C664="Expense",$C664="Other Income"),$E664=""),"Head needed",IF($F664="","Account needed","OK")))),IF($C664="","","PRO PLAN"))</f>
        <v/>
      </c>
    </row>
    <row r="665" customFormat="false" ht="15" hidden="false" customHeight="false" outlineLevel="0" collapsed="false">
      <c r="A665" s="55"/>
      <c r="B665" s="56"/>
      <c r="C665" s="56"/>
      <c r="D665" s="56"/>
      <c r="E665" s="56"/>
      <c r="F665" s="56"/>
      <c r="G665" s="58"/>
      <c r="H665" s="56"/>
      <c r="I665" s="61" t="str">
        <f aca="false">IF(IsPro,IF(OR($C665="",N($G665)=0),"",IF(OR($C665="Receipt",$C665="Other Income",$C665="Capital In",$C665="Transfer In"),$G665,0)),"")</f>
        <v/>
      </c>
      <c r="J665" s="61" t="str">
        <f aca="false">IF(IsPro,IF(OR($C665="",N($G665)=0),"",IF(I665=0,$G665,0)),"")</f>
        <v/>
      </c>
      <c r="K665" s="60" t="str">
        <f aca="false">IF(IsPro,IF($C665="","",IF(AND(OR($C665="Receipt",$C665="Payment"),$D665=""),"Party needed",IF(AND(OR($C665="Expense",$C665="Other Income"),$E665=""),"Head needed",IF($F665="","Account needed","OK")))),IF($C665="","","PRO PLAN"))</f>
        <v/>
      </c>
    </row>
    <row r="666" customFormat="false" ht="15" hidden="false" customHeight="false" outlineLevel="0" collapsed="false">
      <c r="A666" s="55"/>
      <c r="B666" s="56"/>
      <c r="C666" s="56"/>
      <c r="D666" s="56"/>
      <c r="E666" s="56"/>
      <c r="F666" s="56"/>
      <c r="G666" s="58"/>
      <c r="H666" s="56"/>
      <c r="I666" s="61" t="str">
        <f aca="false">IF(IsPro,IF(OR($C666="",N($G666)=0),"",IF(OR($C666="Receipt",$C666="Other Income",$C666="Capital In",$C666="Transfer In"),$G666,0)),"")</f>
        <v/>
      </c>
      <c r="J666" s="61" t="str">
        <f aca="false">IF(IsPro,IF(OR($C666="",N($G666)=0),"",IF(I666=0,$G666,0)),"")</f>
        <v/>
      </c>
      <c r="K666" s="60" t="str">
        <f aca="false">IF(IsPro,IF($C666="","",IF(AND(OR($C666="Receipt",$C666="Payment"),$D666=""),"Party needed",IF(AND(OR($C666="Expense",$C666="Other Income"),$E666=""),"Head needed",IF($F666="","Account needed","OK")))),IF($C666="","","PRO PLAN"))</f>
        <v/>
      </c>
    </row>
    <row r="667" customFormat="false" ht="15" hidden="false" customHeight="false" outlineLevel="0" collapsed="false">
      <c r="A667" s="55"/>
      <c r="B667" s="56"/>
      <c r="C667" s="56"/>
      <c r="D667" s="56"/>
      <c r="E667" s="56"/>
      <c r="F667" s="56"/>
      <c r="G667" s="58"/>
      <c r="H667" s="56"/>
      <c r="I667" s="61" t="str">
        <f aca="false">IF(IsPro,IF(OR($C667="",N($G667)=0),"",IF(OR($C667="Receipt",$C667="Other Income",$C667="Capital In",$C667="Transfer In"),$G667,0)),"")</f>
        <v/>
      </c>
      <c r="J667" s="61" t="str">
        <f aca="false">IF(IsPro,IF(OR($C667="",N($G667)=0),"",IF(I667=0,$G667,0)),"")</f>
        <v/>
      </c>
      <c r="K667" s="60" t="str">
        <f aca="false">IF(IsPro,IF($C667="","",IF(AND(OR($C667="Receipt",$C667="Payment"),$D667=""),"Party needed",IF(AND(OR($C667="Expense",$C667="Other Income"),$E667=""),"Head needed",IF($F667="","Account needed","OK")))),IF($C667="","","PRO PLAN"))</f>
        <v/>
      </c>
    </row>
    <row r="668" customFormat="false" ht="15" hidden="false" customHeight="false" outlineLevel="0" collapsed="false">
      <c r="A668" s="55"/>
      <c r="B668" s="56"/>
      <c r="C668" s="56"/>
      <c r="D668" s="56"/>
      <c r="E668" s="56"/>
      <c r="F668" s="56"/>
      <c r="G668" s="58"/>
      <c r="H668" s="56"/>
      <c r="I668" s="61" t="str">
        <f aca="false">IF(IsPro,IF(OR($C668="",N($G668)=0),"",IF(OR($C668="Receipt",$C668="Other Income",$C668="Capital In",$C668="Transfer In"),$G668,0)),"")</f>
        <v/>
      </c>
      <c r="J668" s="61" t="str">
        <f aca="false">IF(IsPro,IF(OR($C668="",N($G668)=0),"",IF(I668=0,$G668,0)),"")</f>
        <v/>
      </c>
      <c r="K668" s="60" t="str">
        <f aca="false">IF(IsPro,IF($C668="","",IF(AND(OR($C668="Receipt",$C668="Payment"),$D668=""),"Party needed",IF(AND(OR($C668="Expense",$C668="Other Income"),$E668=""),"Head needed",IF($F668="","Account needed","OK")))),IF($C668="","","PRO PLAN"))</f>
        <v/>
      </c>
    </row>
    <row r="669" customFormat="false" ht="15" hidden="false" customHeight="false" outlineLevel="0" collapsed="false">
      <c r="A669" s="55"/>
      <c r="B669" s="56"/>
      <c r="C669" s="56"/>
      <c r="D669" s="56"/>
      <c r="E669" s="56"/>
      <c r="F669" s="56"/>
      <c r="G669" s="58"/>
      <c r="H669" s="56"/>
      <c r="I669" s="61" t="str">
        <f aca="false">IF(IsPro,IF(OR($C669="",N($G669)=0),"",IF(OR($C669="Receipt",$C669="Other Income",$C669="Capital In",$C669="Transfer In"),$G669,0)),"")</f>
        <v/>
      </c>
      <c r="J669" s="61" t="str">
        <f aca="false">IF(IsPro,IF(OR($C669="",N($G669)=0),"",IF(I669=0,$G669,0)),"")</f>
        <v/>
      </c>
      <c r="K669" s="60" t="str">
        <f aca="false">IF(IsPro,IF($C669="","",IF(AND(OR($C669="Receipt",$C669="Payment"),$D669=""),"Party needed",IF(AND(OR($C669="Expense",$C669="Other Income"),$E669=""),"Head needed",IF($F669="","Account needed","OK")))),IF($C669="","","PRO PLAN"))</f>
        <v/>
      </c>
    </row>
    <row r="670" customFormat="false" ht="15" hidden="false" customHeight="false" outlineLevel="0" collapsed="false">
      <c r="A670" s="55"/>
      <c r="B670" s="56"/>
      <c r="C670" s="56"/>
      <c r="D670" s="56"/>
      <c r="E670" s="56"/>
      <c r="F670" s="56"/>
      <c r="G670" s="58"/>
      <c r="H670" s="56"/>
      <c r="I670" s="61" t="str">
        <f aca="false">IF(IsPro,IF(OR($C670="",N($G670)=0),"",IF(OR($C670="Receipt",$C670="Other Income",$C670="Capital In",$C670="Transfer In"),$G670,0)),"")</f>
        <v/>
      </c>
      <c r="J670" s="61" t="str">
        <f aca="false">IF(IsPro,IF(OR($C670="",N($G670)=0),"",IF(I670=0,$G670,0)),"")</f>
        <v/>
      </c>
      <c r="K670" s="60" t="str">
        <f aca="false">IF(IsPro,IF($C670="","",IF(AND(OR($C670="Receipt",$C670="Payment"),$D670=""),"Party needed",IF(AND(OR($C670="Expense",$C670="Other Income"),$E670=""),"Head needed",IF($F670="","Account needed","OK")))),IF($C670="","","PRO PLAN"))</f>
        <v/>
      </c>
    </row>
    <row r="671" customFormat="false" ht="15" hidden="false" customHeight="false" outlineLevel="0" collapsed="false">
      <c r="A671" s="55"/>
      <c r="B671" s="56"/>
      <c r="C671" s="56"/>
      <c r="D671" s="56"/>
      <c r="E671" s="56"/>
      <c r="F671" s="56"/>
      <c r="G671" s="58"/>
      <c r="H671" s="56"/>
      <c r="I671" s="61" t="str">
        <f aca="false">IF(IsPro,IF(OR($C671="",N($G671)=0),"",IF(OR($C671="Receipt",$C671="Other Income",$C671="Capital In",$C671="Transfer In"),$G671,0)),"")</f>
        <v/>
      </c>
      <c r="J671" s="61" t="str">
        <f aca="false">IF(IsPro,IF(OR($C671="",N($G671)=0),"",IF(I671=0,$G671,0)),"")</f>
        <v/>
      </c>
      <c r="K671" s="60" t="str">
        <f aca="false">IF(IsPro,IF($C671="","",IF(AND(OR($C671="Receipt",$C671="Payment"),$D671=""),"Party needed",IF(AND(OR($C671="Expense",$C671="Other Income"),$E671=""),"Head needed",IF($F671="","Account needed","OK")))),IF($C671="","","PRO PLAN"))</f>
        <v/>
      </c>
    </row>
    <row r="672" customFormat="false" ht="15" hidden="false" customHeight="false" outlineLevel="0" collapsed="false">
      <c r="A672" s="55"/>
      <c r="B672" s="56"/>
      <c r="C672" s="56"/>
      <c r="D672" s="56"/>
      <c r="E672" s="56"/>
      <c r="F672" s="56"/>
      <c r="G672" s="58"/>
      <c r="H672" s="56"/>
      <c r="I672" s="61" t="str">
        <f aca="false">IF(IsPro,IF(OR($C672="",N($G672)=0),"",IF(OR($C672="Receipt",$C672="Other Income",$C672="Capital In",$C672="Transfer In"),$G672,0)),"")</f>
        <v/>
      </c>
      <c r="J672" s="61" t="str">
        <f aca="false">IF(IsPro,IF(OR($C672="",N($G672)=0),"",IF(I672=0,$G672,0)),"")</f>
        <v/>
      </c>
      <c r="K672" s="60" t="str">
        <f aca="false">IF(IsPro,IF($C672="","",IF(AND(OR($C672="Receipt",$C672="Payment"),$D672=""),"Party needed",IF(AND(OR($C672="Expense",$C672="Other Income"),$E672=""),"Head needed",IF($F672="","Account needed","OK")))),IF($C672="","","PRO PLAN"))</f>
        <v/>
      </c>
    </row>
    <row r="673" customFormat="false" ht="15" hidden="false" customHeight="false" outlineLevel="0" collapsed="false">
      <c r="A673" s="55"/>
      <c r="B673" s="56"/>
      <c r="C673" s="56"/>
      <c r="D673" s="56"/>
      <c r="E673" s="56"/>
      <c r="F673" s="56"/>
      <c r="G673" s="58"/>
      <c r="H673" s="56"/>
      <c r="I673" s="61" t="str">
        <f aca="false">IF(IsPro,IF(OR($C673="",N($G673)=0),"",IF(OR($C673="Receipt",$C673="Other Income",$C673="Capital In",$C673="Transfer In"),$G673,0)),"")</f>
        <v/>
      </c>
      <c r="J673" s="61" t="str">
        <f aca="false">IF(IsPro,IF(OR($C673="",N($G673)=0),"",IF(I673=0,$G673,0)),"")</f>
        <v/>
      </c>
      <c r="K673" s="60" t="str">
        <f aca="false">IF(IsPro,IF($C673="","",IF(AND(OR($C673="Receipt",$C673="Payment"),$D673=""),"Party needed",IF(AND(OR($C673="Expense",$C673="Other Income"),$E673=""),"Head needed",IF($F673="","Account needed","OK")))),IF($C673="","","PRO PLAN"))</f>
        <v/>
      </c>
    </row>
    <row r="674" customFormat="false" ht="15" hidden="false" customHeight="false" outlineLevel="0" collapsed="false">
      <c r="A674" s="55"/>
      <c r="B674" s="56"/>
      <c r="C674" s="56"/>
      <c r="D674" s="56"/>
      <c r="E674" s="56"/>
      <c r="F674" s="56"/>
      <c r="G674" s="58"/>
      <c r="H674" s="56"/>
      <c r="I674" s="61" t="str">
        <f aca="false">IF(IsPro,IF(OR($C674="",N($G674)=0),"",IF(OR($C674="Receipt",$C674="Other Income",$C674="Capital In",$C674="Transfer In"),$G674,0)),"")</f>
        <v/>
      </c>
      <c r="J674" s="61" t="str">
        <f aca="false">IF(IsPro,IF(OR($C674="",N($G674)=0),"",IF(I674=0,$G674,0)),"")</f>
        <v/>
      </c>
      <c r="K674" s="60" t="str">
        <f aca="false">IF(IsPro,IF($C674="","",IF(AND(OR($C674="Receipt",$C674="Payment"),$D674=""),"Party needed",IF(AND(OR($C674="Expense",$C674="Other Income"),$E674=""),"Head needed",IF($F674="","Account needed","OK")))),IF($C674="","","PRO PLAN"))</f>
        <v/>
      </c>
    </row>
    <row r="675" customFormat="false" ht="15" hidden="false" customHeight="false" outlineLevel="0" collapsed="false">
      <c r="A675" s="55"/>
      <c r="B675" s="56"/>
      <c r="C675" s="56"/>
      <c r="D675" s="56"/>
      <c r="E675" s="56"/>
      <c r="F675" s="56"/>
      <c r="G675" s="58"/>
      <c r="H675" s="56"/>
      <c r="I675" s="61" t="str">
        <f aca="false">IF(IsPro,IF(OR($C675="",N($G675)=0),"",IF(OR($C675="Receipt",$C675="Other Income",$C675="Capital In",$C675="Transfer In"),$G675,0)),"")</f>
        <v/>
      </c>
      <c r="J675" s="61" t="str">
        <f aca="false">IF(IsPro,IF(OR($C675="",N($G675)=0),"",IF(I675=0,$G675,0)),"")</f>
        <v/>
      </c>
      <c r="K675" s="60" t="str">
        <f aca="false">IF(IsPro,IF($C675="","",IF(AND(OR($C675="Receipt",$C675="Payment"),$D675=""),"Party needed",IF(AND(OR($C675="Expense",$C675="Other Income"),$E675=""),"Head needed",IF($F675="","Account needed","OK")))),IF($C675="","","PRO PLAN"))</f>
        <v/>
      </c>
    </row>
    <row r="676" customFormat="false" ht="15" hidden="false" customHeight="false" outlineLevel="0" collapsed="false">
      <c r="A676" s="55"/>
      <c r="B676" s="56"/>
      <c r="C676" s="56"/>
      <c r="D676" s="56"/>
      <c r="E676" s="56"/>
      <c r="F676" s="56"/>
      <c r="G676" s="58"/>
      <c r="H676" s="56"/>
      <c r="I676" s="61" t="str">
        <f aca="false">IF(IsPro,IF(OR($C676="",N($G676)=0),"",IF(OR($C676="Receipt",$C676="Other Income",$C676="Capital In",$C676="Transfer In"),$G676,0)),"")</f>
        <v/>
      </c>
      <c r="J676" s="61" t="str">
        <f aca="false">IF(IsPro,IF(OR($C676="",N($G676)=0),"",IF(I676=0,$G676,0)),"")</f>
        <v/>
      </c>
      <c r="K676" s="60" t="str">
        <f aca="false">IF(IsPro,IF($C676="","",IF(AND(OR($C676="Receipt",$C676="Payment"),$D676=""),"Party needed",IF(AND(OR($C676="Expense",$C676="Other Income"),$E676=""),"Head needed",IF($F676="","Account needed","OK")))),IF($C676="","","PRO PLAN"))</f>
        <v/>
      </c>
    </row>
    <row r="677" customFormat="false" ht="15" hidden="false" customHeight="false" outlineLevel="0" collapsed="false">
      <c r="A677" s="55"/>
      <c r="B677" s="56"/>
      <c r="C677" s="56"/>
      <c r="D677" s="56"/>
      <c r="E677" s="56"/>
      <c r="F677" s="56"/>
      <c r="G677" s="58"/>
      <c r="H677" s="56"/>
      <c r="I677" s="61" t="str">
        <f aca="false">IF(IsPro,IF(OR($C677="",N($G677)=0),"",IF(OR($C677="Receipt",$C677="Other Income",$C677="Capital In",$C677="Transfer In"),$G677,0)),"")</f>
        <v/>
      </c>
      <c r="J677" s="61" t="str">
        <f aca="false">IF(IsPro,IF(OR($C677="",N($G677)=0),"",IF(I677=0,$G677,0)),"")</f>
        <v/>
      </c>
      <c r="K677" s="60" t="str">
        <f aca="false">IF(IsPro,IF($C677="","",IF(AND(OR($C677="Receipt",$C677="Payment"),$D677=""),"Party needed",IF(AND(OR($C677="Expense",$C677="Other Income"),$E677=""),"Head needed",IF($F677="","Account needed","OK")))),IF($C677="","","PRO PLAN"))</f>
        <v/>
      </c>
    </row>
    <row r="678" customFormat="false" ht="15" hidden="false" customHeight="false" outlineLevel="0" collapsed="false">
      <c r="A678" s="55"/>
      <c r="B678" s="56"/>
      <c r="C678" s="56"/>
      <c r="D678" s="56"/>
      <c r="E678" s="56"/>
      <c r="F678" s="56"/>
      <c r="G678" s="58"/>
      <c r="H678" s="56"/>
      <c r="I678" s="61" t="str">
        <f aca="false">IF(IsPro,IF(OR($C678="",N($G678)=0),"",IF(OR($C678="Receipt",$C678="Other Income",$C678="Capital In",$C678="Transfer In"),$G678,0)),"")</f>
        <v/>
      </c>
      <c r="J678" s="61" t="str">
        <f aca="false">IF(IsPro,IF(OR($C678="",N($G678)=0),"",IF(I678=0,$G678,0)),"")</f>
        <v/>
      </c>
      <c r="K678" s="60" t="str">
        <f aca="false">IF(IsPro,IF($C678="","",IF(AND(OR($C678="Receipt",$C678="Payment"),$D678=""),"Party needed",IF(AND(OR($C678="Expense",$C678="Other Income"),$E678=""),"Head needed",IF($F678="","Account needed","OK")))),IF($C678="","","PRO PLAN"))</f>
        <v/>
      </c>
    </row>
    <row r="679" customFormat="false" ht="15" hidden="false" customHeight="false" outlineLevel="0" collapsed="false">
      <c r="A679" s="55"/>
      <c r="B679" s="56"/>
      <c r="C679" s="56"/>
      <c r="D679" s="56"/>
      <c r="E679" s="56"/>
      <c r="F679" s="56"/>
      <c r="G679" s="58"/>
      <c r="H679" s="56"/>
      <c r="I679" s="61" t="str">
        <f aca="false">IF(IsPro,IF(OR($C679="",N($G679)=0),"",IF(OR($C679="Receipt",$C679="Other Income",$C679="Capital In",$C679="Transfer In"),$G679,0)),"")</f>
        <v/>
      </c>
      <c r="J679" s="61" t="str">
        <f aca="false">IF(IsPro,IF(OR($C679="",N($G679)=0),"",IF(I679=0,$G679,0)),"")</f>
        <v/>
      </c>
      <c r="K679" s="60" t="str">
        <f aca="false">IF(IsPro,IF($C679="","",IF(AND(OR($C679="Receipt",$C679="Payment"),$D679=""),"Party needed",IF(AND(OR($C679="Expense",$C679="Other Income"),$E679=""),"Head needed",IF($F679="","Account needed","OK")))),IF($C679="","","PRO PLAN"))</f>
        <v/>
      </c>
    </row>
    <row r="680" customFormat="false" ht="15" hidden="false" customHeight="false" outlineLevel="0" collapsed="false">
      <c r="A680" s="55"/>
      <c r="B680" s="56"/>
      <c r="C680" s="56"/>
      <c r="D680" s="56"/>
      <c r="E680" s="56"/>
      <c r="F680" s="56"/>
      <c r="G680" s="58"/>
      <c r="H680" s="56"/>
      <c r="I680" s="61" t="str">
        <f aca="false">IF(IsPro,IF(OR($C680="",N($G680)=0),"",IF(OR($C680="Receipt",$C680="Other Income",$C680="Capital In",$C680="Transfer In"),$G680,0)),"")</f>
        <v/>
      </c>
      <c r="J680" s="61" t="str">
        <f aca="false">IF(IsPro,IF(OR($C680="",N($G680)=0),"",IF(I680=0,$G680,0)),"")</f>
        <v/>
      </c>
      <c r="K680" s="60" t="str">
        <f aca="false">IF(IsPro,IF($C680="","",IF(AND(OR($C680="Receipt",$C680="Payment"),$D680=""),"Party needed",IF(AND(OR($C680="Expense",$C680="Other Income"),$E680=""),"Head needed",IF($F680="","Account needed","OK")))),IF($C680="","","PRO PLAN"))</f>
        <v/>
      </c>
    </row>
    <row r="681" customFormat="false" ht="15" hidden="false" customHeight="false" outlineLevel="0" collapsed="false">
      <c r="A681" s="55"/>
      <c r="B681" s="56"/>
      <c r="C681" s="56"/>
      <c r="D681" s="56"/>
      <c r="E681" s="56"/>
      <c r="F681" s="56"/>
      <c r="G681" s="58"/>
      <c r="H681" s="56"/>
      <c r="I681" s="61" t="str">
        <f aca="false">IF(IsPro,IF(OR($C681="",N($G681)=0),"",IF(OR($C681="Receipt",$C681="Other Income",$C681="Capital In",$C681="Transfer In"),$G681,0)),"")</f>
        <v/>
      </c>
      <c r="J681" s="61" t="str">
        <f aca="false">IF(IsPro,IF(OR($C681="",N($G681)=0),"",IF(I681=0,$G681,0)),"")</f>
        <v/>
      </c>
      <c r="K681" s="60" t="str">
        <f aca="false">IF(IsPro,IF($C681="","",IF(AND(OR($C681="Receipt",$C681="Payment"),$D681=""),"Party needed",IF(AND(OR($C681="Expense",$C681="Other Income"),$E681=""),"Head needed",IF($F681="","Account needed","OK")))),IF($C681="","","PRO PLAN"))</f>
        <v/>
      </c>
    </row>
    <row r="682" customFormat="false" ht="15" hidden="false" customHeight="false" outlineLevel="0" collapsed="false">
      <c r="A682" s="55"/>
      <c r="B682" s="56"/>
      <c r="C682" s="56"/>
      <c r="D682" s="56"/>
      <c r="E682" s="56"/>
      <c r="F682" s="56"/>
      <c r="G682" s="58"/>
      <c r="H682" s="56"/>
      <c r="I682" s="61" t="str">
        <f aca="false">IF(IsPro,IF(OR($C682="",N($G682)=0),"",IF(OR($C682="Receipt",$C682="Other Income",$C682="Capital In",$C682="Transfer In"),$G682,0)),"")</f>
        <v/>
      </c>
      <c r="J682" s="61" t="str">
        <f aca="false">IF(IsPro,IF(OR($C682="",N($G682)=0),"",IF(I682=0,$G682,0)),"")</f>
        <v/>
      </c>
      <c r="K682" s="60" t="str">
        <f aca="false">IF(IsPro,IF($C682="","",IF(AND(OR($C682="Receipt",$C682="Payment"),$D682=""),"Party needed",IF(AND(OR($C682="Expense",$C682="Other Income"),$E682=""),"Head needed",IF($F682="","Account needed","OK")))),IF($C682="","","PRO PLAN"))</f>
        <v/>
      </c>
    </row>
    <row r="683" customFormat="false" ht="15" hidden="false" customHeight="false" outlineLevel="0" collapsed="false">
      <c r="A683" s="55"/>
      <c r="B683" s="56"/>
      <c r="C683" s="56"/>
      <c r="D683" s="56"/>
      <c r="E683" s="56"/>
      <c r="F683" s="56"/>
      <c r="G683" s="58"/>
      <c r="H683" s="56"/>
      <c r="I683" s="61" t="str">
        <f aca="false">IF(IsPro,IF(OR($C683="",N($G683)=0),"",IF(OR($C683="Receipt",$C683="Other Income",$C683="Capital In",$C683="Transfer In"),$G683,0)),"")</f>
        <v/>
      </c>
      <c r="J683" s="61" t="str">
        <f aca="false">IF(IsPro,IF(OR($C683="",N($G683)=0),"",IF(I683=0,$G683,0)),"")</f>
        <v/>
      </c>
      <c r="K683" s="60" t="str">
        <f aca="false">IF(IsPro,IF($C683="","",IF(AND(OR($C683="Receipt",$C683="Payment"),$D683=""),"Party needed",IF(AND(OR($C683="Expense",$C683="Other Income"),$E683=""),"Head needed",IF($F683="","Account needed","OK")))),IF($C683="","","PRO PLAN"))</f>
        <v/>
      </c>
    </row>
    <row r="684" customFormat="false" ht="15" hidden="false" customHeight="false" outlineLevel="0" collapsed="false">
      <c r="A684" s="55"/>
      <c r="B684" s="56"/>
      <c r="C684" s="56"/>
      <c r="D684" s="56"/>
      <c r="E684" s="56"/>
      <c r="F684" s="56"/>
      <c r="G684" s="58"/>
      <c r="H684" s="56"/>
      <c r="I684" s="61" t="str">
        <f aca="false">IF(IsPro,IF(OR($C684="",N($G684)=0),"",IF(OR($C684="Receipt",$C684="Other Income",$C684="Capital In",$C684="Transfer In"),$G684,0)),"")</f>
        <v/>
      </c>
      <c r="J684" s="61" t="str">
        <f aca="false">IF(IsPro,IF(OR($C684="",N($G684)=0),"",IF(I684=0,$G684,0)),"")</f>
        <v/>
      </c>
      <c r="K684" s="60" t="str">
        <f aca="false">IF(IsPro,IF($C684="","",IF(AND(OR($C684="Receipt",$C684="Payment"),$D684=""),"Party needed",IF(AND(OR($C684="Expense",$C684="Other Income"),$E684=""),"Head needed",IF($F684="","Account needed","OK")))),IF($C684="","","PRO PLAN"))</f>
        <v/>
      </c>
    </row>
    <row r="685" customFormat="false" ht="15" hidden="false" customHeight="false" outlineLevel="0" collapsed="false">
      <c r="A685" s="55"/>
      <c r="B685" s="56"/>
      <c r="C685" s="56"/>
      <c r="D685" s="56"/>
      <c r="E685" s="56"/>
      <c r="F685" s="56"/>
      <c r="G685" s="58"/>
      <c r="H685" s="56"/>
      <c r="I685" s="61" t="str">
        <f aca="false">IF(IsPro,IF(OR($C685="",N($G685)=0),"",IF(OR($C685="Receipt",$C685="Other Income",$C685="Capital In",$C685="Transfer In"),$G685,0)),"")</f>
        <v/>
      </c>
      <c r="J685" s="61" t="str">
        <f aca="false">IF(IsPro,IF(OR($C685="",N($G685)=0),"",IF(I685=0,$G685,0)),"")</f>
        <v/>
      </c>
      <c r="K685" s="60" t="str">
        <f aca="false">IF(IsPro,IF($C685="","",IF(AND(OR($C685="Receipt",$C685="Payment"),$D685=""),"Party needed",IF(AND(OR($C685="Expense",$C685="Other Income"),$E685=""),"Head needed",IF($F685="","Account needed","OK")))),IF($C685="","","PRO PLAN"))</f>
        <v/>
      </c>
    </row>
    <row r="686" customFormat="false" ht="15" hidden="false" customHeight="false" outlineLevel="0" collapsed="false">
      <c r="A686" s="55"/>
      <c r="B686" s="56"/>
      <c r="C686" s="56"/>
      <c r="D686" s="56"/>
      <c r="E686" s="56"/>
      <c r="F686" s="56"/>
      <c r="G686" s="58"/>
      <c r="H686" s="56"/>
      <c r="I686" s="61" t="str">
        <f aca="false">IF(IsPro,IF(OR($C686="",N($G686)=0),"",IF(OR($C686="Receipt",$C686="Other Income",$C686="Capital In",$C686="Transfer In"),$G686,0)),"")</f>
        <v/>
      </c>
      <c r="J686" s="61" t="str">
        <f aca="false">IF(IsPro,IF(OR($C686="",N($G686)=0),"",IF(I686=0,$G686,0)),"")</f>
        <v/>
      </c>
      <c r="K686" s="60" t="str">
        <f aca="false">IF(IsPro,IF($C686="","",IF(AND(OR($C686="Receipt",$C686="Payment"),$D686=""),"Party needed",IF(AND(OR($C686="Expense",$C686="Other Income"),$E686=""),"Head needed",IF($F686="","Account needed","OK")))),IF($C686="","","PRO PLAN"))</f>
        <v/>
      </c>
    </row>
    <row r="687" customFormat="false" ht="15" hidden="false" customHeight="false" outlineLevel="0" collapsed="false">
      <c r="A687" s="55"/>
      <c r="B687" s="56"/>
      <c r="C687" s="56"/>
      <c r="D687" s="56"/>
      <c r="E687" s="56"/>
      <c r="F687" s="56"/>
      <c r="G687" s="58"/>
      <c r="H687" s="56"/>
      <c r="I687" s="61" t="str">
        <f aca="false">IF(IsPro,IF(OR($C687="",N($G687)=0),"",IF(OR($C687="Receipt",$C687="Other Income",$C687="Capital In",$C687="Transfer In"),$G687,0)),"")</f>
        <v/>
      </c>
      <c r="J687" s="61" t="str">
        <f aca="false">IF(IsPro,IF(OR($C687="",N($G687)=0),"",IF(I687=0,$G687,0)),"")</f>
        <v/>
      </c>
      <c r="K687" s="60" t="str">
        <f aca="false">IF(IsPro,IF($C687="","",IF(AND(OR($C687="Receipt",$C687="Payment"),$D687=""),"Party needed",IF(AND(OR($C687="Expense",$C687="Other Income"),$E687=""),"Head needed",IF($F687="","Account needed","OK")))),IF($C687="","","PRO PLAN"))</f>
        <v/>
      </c>
    </row>
    <row r="688" customFormat="false" ht="15" hidden="false" customHeight="false" outlineLevel="0" collapsed="false">
      <c r="A688" s="55"/>
      <c r="B688" s="56"/>
      <c r="C688" s="56"/>
      <c r="D688" s="56"/>
      <c r="E688" s="56"/>
      <c r="F688" s="56"/>
      <c r="G688" s="58"/>
      <c r="H688" s="56"/>
      <c r="I688" s="61" t="str">
        <f aca="false">IF(IsPro,IF(OR($C688="",N($G688)=0),"",IF(OR($C688="Receipt",$C688="Other Income",$C688="Capital In",$C688="Transfer In"),$G688,0)),"")</f>
        <v/>
      </c>
      <c r="J688" s="61" t="str">
        <f aca="false">IF(IsPro,IF(OR($C688="",N($G688)=0),"",IF(I688=0,$G688,0)),"")</f>
        <v/>
      </c>
      <c r="K688" s="60" t="str">
        <f aca="false">IF(IsPro,IF($C688="","",IF(AND(OR($C688="Receipt",$C688="Payment"),$D688=""),"Party needed",IF(AND(OR($C688="Expense",$C688="Other Income"),$E688=""),"Head needed",IF($F688="","Account needed","OK")))),IF($C688="","","PRO PLAN"))</f>
        <v/>
      </c>
    </row>
    <row r="689" customFormat="false" ht="15" hidden="false" customHeight="false" outlineLevel="0" collapsed="false">
      <c r="A689" s="55"/>
      <c r="B689" s="56"/>
      <c r="C689" s="56"/>
      <c r="D689" s="56"/>
      <c r="E689" s="56"/>
      <c r="F689" s="56"/>
      <c r="G689" s="58"/>
      <c r="H689" s="56"/>
      <c r="I689" s="61" t="str">
        <f aca="false">IF(IsPro,IF(OR($C689="",N($G689)=0),"",IF(OR($C689="Receipt",$C689="Other Income",$C689="Capital In",$C689="Transfer In"),$G689,0)),"")</f>
        <v/>
      </c>
      <c r="J689" s="61" t="str">
        <f aca="false">IF(IsPro,IF(OR($C689="",N($G689)=0),"",IF(I689=0,$G689,0)),"")</f>
        <v/>
      </c>
      <c r="K689" s="60" t="str">
        <f aca="false">IF(IsPro,IF($C689="","",IF(AND(OR($C689="Receipt",$C689="Payment"),$D689=""),"Party needed",IF(AND(OR($C689="Expense",$C689="Other Income"),$E689=""),"Head needed",IF($F689="","Account needed","OK")))),IF($C689="","","PRO PLAN"))</f>
        <v/>
      </c>
    </row>
    <row r="690" customFormat="false" ht="15" hidden="false" customHeight="false" outlineLevel="0" collapsed="false">
      <c r="A690" s="55"/>
      <c r="B690" s="56"/>
      <c r="C690" s="56"/>
      <c r="D690" s="56"/>
      <c r="E690" s="56"/>
      <c r="F690" s="56"/>
      <c r="G690" s="58"/>
      <c r="H690" s="56"/>
      <c r="I690" s="61" t="str">
        <f aca="false">IF(IsPro,IF(OR($C690="",N($G690)=0),"",IF(OR($C690="Receipt",$C690="Other Income",$C690="Capital In",$C690="Transfer In"),$G690,0)),"")</f>
        <v/>
      </c>
      <c r="J690" s="61" t="str">
        <f aca="false">IF(IsPro,IF(OR($C690="",N($G690)=0),"",IF(I690=0,$G690,0)),"")</f>
        <v/>
      </c>
      <c r="K690" s="60" t="str">
        <f aca="false">IF(IsPro,IF($C690="","",IF(AND(OR($C690="Receipt",$C690="Payment"),$D690=""),"Party needed",IF(AND(OR($C690="Expense",$C690="Other Income"),$E690=""),"Head needed",IF($F690="","Account needed","OK")))),IF($C690="","","PRO PLAN"))</f>
        <v/>
      </c>
    </row>
    <row r="691" customFormat="false" ht="15" hidden="false" customHeight="false" outlineLevel="0" collapsed="false">
      <c r="A691" s="55"/>
      <c r="B691" s="56"/>
      <c r="C691" s="56"/>
      <c r="D691" s="56"/>
      <c r="E691" s="56"/>
      <c r="F691" s="56"/>
      <c r="G691" s="58"/>
      <c r="H691" s="56"/>
      <c r="I691" s="61" t="str">
        <f aca="false">IF(IsPro,IF(OR($C691="",N($G691)=0),"",IF(OR($C691="Receipt",$C691="Other Income",$C691="Capital In",$C691="Transfer In"),$G691,0)),"")</f>
        <v/>
      </c>
      <c r="J691" s="61" t="str">
        <f aca="false">IF(IsPro,IF(OR($C691="",N($G691)=0),"",IF(I691=0,$G691,0)),"")</f>
        <v/>
      </c>
      <c r="K691" s="60" t="str">
        <f aca="false">IF(IsPro,IF($C691="","",IF(AND(OR($C691="Receipt",$C691="Payment"),$D691=""),"Party needed",IF(AND(OR($C691="Expense",$C691="Other Income"),$E691=""),"Head needed",IF($F691="","Account needed","OK")))),IF($C691="","","PRO PLAN"))</f>
        <v/>
      </c>
    </row>
    <row r="692" customFormat="false" ht="15" hidden="false" customHeight="false" outlineLevel="0" collapsed="false">
      <c r="A692" s="55"/>
      <c r="B692" s="56"/>
      <c r="C692" s="56"/>
      <c r="D692" s="56"/>
      <c r="E692" s="56"/>
      <c r="F692" s="56"/>
      <c r="G692" s="58"/>
      <c r="H692" s="56"/>
      <c r="I692" s="61" t="str">
        <f aca="false">IF(IsPro,IF(OR($C692="",N($G692)=0),"",IF(OR($C692="Receipt",$C692="Other Income",$C692="Capital In",$C692="Transfer In"),$G692,0)),"")</f>
        <v/>
      </c>
      <c r="J692" s="61" t="str">
        <f aca="false">IF(IsPro,IF(OR($C692="",N($G692)=0),"",IF(I692=0,$G692,0)),"")</f>
        <v/>
      </c>
      <c r="K692" s="60" t="str">
        <f aca="false">IF(IsPro,IF($C692="","",IF(AND(OR($C692="Receipt",$C692="Payment"),$D692=""),"Party needed",IF(AND(OR($C692="Expense",$C692="Other Income"),$E692=""),"Head needed",IF($F692="","Account needed","OK")))),IF($C692="","","PRO PLAN"))</f>
        <v/>
      </c>
    </row>
    <row r="693" customFormat="false" ht="15" hidden="false" customHeight="false" outlineLevel="0" collapsed="false">
      <c r="A693" s="55"/>
      <c r="B693" s="56"/>
      <c r="C693" s="56"/>
      <c r="D693" s="56"/>
      <c r="E693" s="56"/>
      <c r="F693" s="56"/>
      <c r="G693" s="58"/>
      <c r="H693" s="56"/>
      <c r="I693" s="61" t="str">
        <f aca="false">IF(IsPro,IF(OR($C693="",N($G693)=0),"",IF(OR($C693="Receipt",$C693="Other Income",$C693="Capital In",$C693="Transfer In"),$G693,0)),"")</f>
        <v/>
      </c>
      <c r="J693" s="61" t="str">
        <f aca="false">IF(IsPro,IF(OR($C693="",N($G693)=0),"",IF(I693=0,$G693,0)),"")</f>
        <v/>
      </c>
      <c r="K693" s="60" t="str">
        <f aca="false">IF(IsPro,IF($C693="","",IF(AND(OR($C693="Receipt",$C693="Payment"),$D693=""),"Party needed",IF(AND(OR($C693="Expense",$C693="Other Income"),$E693=""),"Head needed",IF($F693="","Account needed","OK")))),IF($C693="","","PRO PLAN"))</f>
        <v/>
      </c>
    </row>
    <row r="694" customFormat="false" ht="15" hidden="false" customHeight="false" outlineLevel="0" collapsed="false">
      <c r="A694" s="55"/>
      <c r="B694" s="56"/>
      <c r="C694" s="56"/>
      <c r="D694" s="56"/>
      <c r="E694" s="56"/>
      <c r="F694" s="56"/>
      <c r="G694" s="58"/>
      <c r="H694" s="56"/>
      <c r="I694" s="61" t="str">
        <f aca="false">IF(IsPro,IF(OR($C694="",N($G694)=0),"",IF(OR($C694="Receipt",$C694="Other Income",$C694="Capital In",$C694="Transfer In"),$G694,0)),"")</f>
        <v/>
      </c>
      <c r="J694" s="61" t="str">
        <f aca="false">IF(IsPro,IF(OR($C694="",N($G694)=0),"",IF(I694=0,$G694,0)),"")</f>
        <v/>
      </c>
      <c r="K694" s="60" t="str">
        <f aca="false">IF(IsPro,IF($C694="","",IF(AND(OR($C694="Receipt",$C694="Payment"),$D694=""),"Party needed",IF(AND(OR($C694="Expense",$C694="Other Income"),$E694=""),"Head needed",IF($F694="","Account needed","OK")))),IF($C694="","","PRO PLAN"))</f>
        <v/>
      </c>
    </row>
    <row r="695" customFormat="false" ht="15" hidden="false" customHeight="false" outlineLevel="0" collapsed="false">
      <c r="A695" s="55"/>
      <c r="B695" s="56"/>
      <c r="C695" s="56"/>
      <c r="D695" s="56"/>
      <c r="E695" s="56"/>
      <c r="F695" s="56"/>
      <c r="G695" s="58"/>
      <c r="H695" s="56"/>
      <c r="I695" s="61" t="str">
        <f aca="false">IF(IsPro,IF(OR($C695="",N($G695)=0),"",IF(OR($C695="Receipt",$C695="Other Income",$C695="Capital In",$C695="Transfer In"),$G695,0)),"")</f>
        <v/>
      </c>
      <c r="J695" s="61" t="str">
        <f aca="false">IF(IsPro,IF(OR($C695="",N($G695)=0),"",IF(I695=0,$G695,0)),"")</f>
        <v/>
      </c>
      <c r="K695" s="60" t="str">
        <f aca="false">IF(IsPro,IF($C695="","",IF(AND(OR($C695="Receipt",$C695="Payment"),$D695=""),"Party needed",IF(AND(OR($C695="Expense",$C695="Other Income"),$E695=""),"Head needed",IF($F695="","Account needed","OK")))),IF($C695="","","PRO PLAN"))</f>
        <v/>
      </c>
    </row>
    <row r="696" customFormat="false" ht="15" hidden="false" customHeight="false" outlineLevel="0" collapsed="false">
      <c r="A696" s="55"/>
      <c r="B696" s="56"/>
      <c r="C696" s="56"/>
      <c r="D696" s="56"/>
      <c r="E696" s="56"/>
      <c r="F696" s="56"/>
      <c r="G696" s="58"/>
      <c r="H696" s="56"/>
      <c r="I696" s="61" t="str">
        <f aca="false">IF(IsPro,IF(OR($C696="",N($G696)=0),"",IF(OR($C696="Receipt",$C696="Other Income",$C696="Capital In",$C696="Transfer In"),$G696,0)),"")</f>
        <v/>
      </c>
      <c r="J696" s="61" t="str">
        <f aca="false">IF(IsPro,IF(OR($C696="",N($G696)=0),"",IF(I696=0,$G696,0)),"")</f>
        <v/>
      </c>
      <c r="K696" s="60" t="str">
        <f aca="false">IF(IsPro,IF($C696="","",IF(AND(OR($C696="Receipt",$C696="Payment"),$D696=""),"Party needed",IF(AND(OR($C696="Expense",$C696="Other Income"),$E696=""),"Head needed",IF($F696="","Account needed","OK")))),IF($C696="","","PRO PLAN"))</f>
        <v/>
      </c>
    </row>
    <row r="697" customFormat="false" ht="15" hidden="false" customHeight="false" outlineLevel="0" collapsed="false">
      <c r="A697" s="55"/>
      <c r="B697" s="56"/>
      <c r="C697" s="56"/>
      <c r="D697" s="56"/>
      <c r="E697" s="56"/>
      <c r="F697" s="56"/>
      <c r="G697" s="58"/>
      <c r="H697" s="56"/>
      <c r="I697" s="61" t="str">
        <f aca="false">IF(IsPro,IF(OR($C697="",N($G697)=0),"",IF(OR($C697="Receipt",$C697="Other Income",$C697="Capital In",$C697="Transfer In"),$G697,0)),"")</f>
        <v/>
      </c>
      <c r="J697" s="61" t="str">
        <f aca="false">IF(IsPro,IF(OR($C697="",N($G697)=0),"",IF(I697=0,$G697,0)),"")</f>
        <v/>
      </c>
      <c r="K697" s="60" t="str">
        <f aca="false">IF(IsPro,IF($C697="","",IF(AND(OR($C697="Receipt",$C697="Payment"),$D697=""),"Party needed",IF(AND(OR($C697="Expense",$C697="Other Income"),$E697=""),"Head needed",IF($F697="","Account needed","OK")))),IF($C697="","","PRO PLAN"))</f>
        <v/>
      </c>
    </row>
    <row r="698" customFormat="false" ht="15" hidden="false" customHeight="false" outlineLevel="0" collapsed="false">
      <c r="A698" s="55"/>
      <c r="B698" s="56"/>
      <c r="C698" s="56"/>
      <c r="D698" s="56"/>
      <c r="E698" s="56"/>
      <c r="F698" s="56"/>
      <c r="G698" s="58"/>
      <c r="H698" s="56"/>
      <c r="I698" s="61" t="str">
        <f aca="false">IF(IsPro,IF(OR($C698="",N($G698)=0),"",IF(OR($C698="Receipt",$C698="Other Income",$C698="Capital In",$C698="Transfer In"),$G698,0)),"")</f>
        <v/>
      </c>
      <c r="J698" s="61" t="str">
        <f aca="false">IF(IsPro,IF(OR($C698="",N($G698)=0),"",IF(I698=0,$G698,0)),"")</f>
        <v/>
      </c>
      <c r="K698" s="60" t="str">
        <f aca="false">IF(IsPro,IF($C698="","",IF(AND(OR($C698="Receipt",$C698="Payment"),$D698=""),"Party needed",IF(AND(OR($C698="Expense",$C698="Other Income"),$E698=""),"Head needed",IF($F698="","Account needed","OK")))),IF($C698="","","PRO PLAN"))</f>
        <v/>
      </c>
    </row>
    <row r="699" customFormat="false" ht="15" hidden="false" customHeight="false" outlineLevel="0" collapsed="false">
      <c r="A699" s="55"/>
      <c r="B699" s="56"/>
      <c r="C699" s="56"/>
      <c r="D699" s="56"/>
      <c r="E699" s="56"/>
      <c r="F699" s="56"/>
      <c r="G699" s="58"/>
      <c r="H699" s="56"/>
      <c r="I699" s="61" t="str">
        <f aca="false">IF(IsPro,IF(OR($C699="",N($G699)=0),"",IF(OR($C699="Receipt",$C699="Other Income",$C699="Capital In",$C699="Transfer In"),$G699,0)),"")</f>
        <v/>
      </c>
      <c r="J699" s="61" t="str">
        <f aca="false">IF(IsPro,IF(OR($C699="",N($G699)=0),"",IF(I699=0,$G699,0)),"")</f>
        <v/>
      </c>
      <c r="K699" s="60" t="str">
        <f aca="false">IF(IsPro,IF($C699="","",IF(AND(OR($C699="Receipt",$C699="Payment"),$D699=""),"Party needed",IF(AND(OR($C699="Expense",$C699="Other Income"),$E699=""),"Head needed",IF($F699="","Account needed","OK")))),IF($C699="","","PRO PLAN"))</f>
        <v/>
      </c>
    </row>
    <row r="700" customFormat="false" ht="15" hidden="false" customHeight="false" outlineLevel="0" collapsed="false">
      <c r="A700" s="55"/>
      <c r="B700" s="56"/>
      <c r="C700" s="56"/>
      <c r="D700" s="56"/>
      <c r="E700" s="56"/>
      <c r="F700" s="56"/>
      <c r="G700" s="58"/>
      <c r="H700" s="56"/>
      <c r="I700" s="61" t="str">
        <f aca="false">IF(IsPro,IF(OR($C700="",N($G700)=0),"",IF(OR($C700="Receipt",$C700="Other Income",$C700="Capital In",$C700="Transfer In"),$G700,0)),"")</f>
        <v/>
      </c>
      <c r="J700" s="61" t="str">
        <f aca="false">IF(IsPro,IF(OR($C700="",N($G700)=0),"",IF(I700=0,$G700,0)),"")</f>
        <v/>
      </c>
      <c r="K700" s="60" t="str">
        <f aca="false">IF(IsPro,IF($C700="","",IF(AND(OR($C700="Receipt",$C700="Payment"),$D700=""),"Party needed",IF(AND(OR($C700="Expense",$C700="Other Income"),$E700=""),"Head needed",IF($F700="","Account needed","OK")))),IF($C700="","","PRO PLAN"))</f>
        <v/>
      </c>
    </row>
    <row r="701" customFormat="false" ht="15" hidden="false" customHeight="false" outlineLevel="0" collapsed="false">
      <c r="A701" s="55"/>
      <c r="B701" s="56"/>
      <c r="C701" s="56"/>
      <c r="D701" s="56"/>
      <c r="E701" s="56"/>
      <c r="F701" s="56"/>
      <c r="G701" s="58"/>
      <c r="H701" s="56"/>
      <c r="I701" s="61" t="str">
        <f aca="false">IF(IsPro,IF(OR($C701="",N($G701)=0),"",IF(OR($C701="Receipt",$C701="Other Income",$C701="Capital In",$C701="Transfer In"),$G701,0)),"")</f>
        <v/>
      </c>
      <c r="J701" s="61" t="str">
        <f aca="false">IF(IsPro,IF(OR($C701="",N($G701)=0),"",IF(I701=0,$G701,0)),"")</f>
        <v/>
      </c>
      <c r="K701" s="60" t="str">
        <f aca="false">IF(IsPro,IF($C701="","",IF(AND(OR($C701="Receipt",$C701="Payment"),$D701=""),"Party needed",IF(AND(OR($C701="Expense",$C701="Other Income"),$E701=""),"Head needed",IF($F701="","Account needed","OK")))),IF($C701="","","PRO PLAN"))</f>
        <v/>
      </c>
    </row>
    <row r="702" customFormat="false" ht="15" hidden="false" customHeight="false" outlineLevel="0" collapsed="false">
      <c r="A702" s="55"/>
      <c r="B702" s="56"/>
      <c r="C702" s="56"/>
      <c r="D702" s="56"/>
      <c r="E702" s="56"/>
      <c r="F702" s="56"/>
      <c r="G702" s="58"/>
      <c r="H702" s="56"/>
      <c r="I702" s="61" t="str">
        <f aca="false">IF(IsPro,IF(OR($C702="",N($G702)=0),"",IF(OR($C702="Receipt",$C702="Other Income",$C702="Capital In",$C702="Transfer In"),$G702,0)),"")</f>
        <v/>
      </c>
      <c r="J702" s="61" t="str">
        <f aca="false">IF(IsPro,IF(OR($C702="",N($G702)=0),"",IF(I702=0,$G702,0)),"")</f>
        <v/>
      </c>
      <c r="K702" s="60" t="str">
        <f aca="false">IF(IsPro,IF($C702="","",IF(AND(OR($C702="Receipt",$C702="Payment"),$D702=""),"Party needed",IF(AND(OR($C702="Expense",$C702="Other Income"),$E702=""),"Head needed",IF($F702="","Account needed","OK")))),IF($C702="","","PRO PLAN"))</f>
        <v/>
      </c>
    </row>
    <row r="703" customFormat="false" ht="15" hidden="false" customHeight="false" outlineLevel="0" collapsed="false">
      <c r="A703" s="55"/>
      <c r="B703" s="56"/>
      <c r="C703" s="56"/>
      <c r="D703" s="56"/>
      <c r="E703" s="56"/>
      <c r="F703" s="56"/>
      <c r="G703" s="58"/>
      <c r="H703" s="56"/>
      <c r="I703" s="61" t="str">
        <f aca="false">IF(IsPro,IF(OR($C703="",N($G703)=0),"",IF(OR($C703="Receipt",$C703="Other Income",$C703="Capital In",$C703="Transfer In"),$G703,0)),"")</f>
        <v/>
      </c>
      <c r="J703" s="61" t="str">
        <f aca="false">IF(IsPro,IF(OR($C703="",N($G703)=0),"",IF(I703=0,$G703,0)),"")</f>
        <v/>
      </c>
      <c r="K703" s="60" t="str">
        <f aca="false">IF(IsPro,IF($C703="","",IF(AND(OR($C703="Receipt",$C703="Payment"),$D703=""),"Party needed",IF(AND(OR($C703="Expense",$C703="Other Income"),$E703=""),"Head needed",IF($F703="","Account needed","OK")))),IF($C703="","","PRO PLAN"))</f>
        <v/>
      </c>
    </row>
    <row r="704" customFormat="false" ht="15" hidden="false" customHeight="false" outlineLevel="0" collapsed="false">
      <c r="A704" s="55"/>
      <c r="B704" s="56"/>
      <c r="C704" s="56"/>
      <c r="D704" s="56"/>
      <c r="E704" s="56"/>
      <c r="F704" s="56"/>
      <c r="G704" s="58"/>
      <c r="H704" s="56"/>
      <c r="I704" s="61" t="str">
        <f aca="false">IF(IsPro,IF(OR($C704="",N($G704)=0),"",IF(OR($C704="Receipt",$C704="Other Income",$C704="Capital In",$C704="Transfer In"),$G704,0)),"")</f>
        <v/>
      </c>
      <c r="J704" s="61" t="str">
        <f aca="false">IF(IsPro,IF(OR($C704="",N($G704)=0),"",IF(I704=0,$G704,0)),"")</f>
        <v/>
      </c>
      <c r="K704" s="60" t="str">
        <f aca="false">IF(IsPro,IF($C704="","",IF(AND(OR($C704="Receipt",$C704="Payment"),$D704=""),"Party needed",IF(AND(OR($C704="Expense",$C704="Other Income"),$E704=""),"Head needed",IF($F704="","Account needed","OK")))),IF($C704="","","PRO PLAN"))</f>
        <v/>
      </c>
    </row>
    <row r="705" customFormat="false" ht="15" hidden="false" customHeight="false" outlineLevel="0" collapsed="false">
      <c r="A705" s="55"/>
      <c r="B705" s="56"/>
      <c r="C705" s="56"/>
      <c r="D705" s="56"/>
      <c r="E705" s="56"/>
      <c r="F705" s="56"/>
      <c r="G705" s="58"/>
      <c r="H705" s="56"/>
      <c r="I705" s="61" t="str">
        <f aca="false">IF(IsPro,IF(OR($C705="",N($G705)=0),"",IF(OR($C705="Receipt",$C705="Other Income",$C705="Capital In",$C705="Transfer In"),$G705,0)),"")</f>
        <v/>
      </c>
      <c r="J705" s="61" t="str">
        <f aca="false">IF(IsPro,IF(OR($C705="",N($G705)=0),"",IF(I705=0,$G705,0)),"")</f>
        <v/>
      </c>
      <c r="K705" s="60" t="str">
        <f aca="false">IF(IsPro,IF($C705="","",IF(AND(OR($C705="Receipt",$C705="Payment"),$D705=""),"Party needed",IF(AND(OR($C705="Expense",$C705="Other Income"),$E705=""),"Head needed",IF($F705="","Account needed","OK")))),IF($C705="","","PRO PLAN"))</f>
        <v/>
      </c>
    </row>
    <row r="706" customFormat="false" ht="15" hidden="false" customHeight="false" outlineLevel="0" collapsed="false">
      <c r="A706" s="55"/>
      <c r="B706" s="56"/>
      <c r="C706" s="56"/>
      <c r="D706" s="56"/>
      <c r="E706" s="56"/>
      <c r="F706" s="56"/>
      <c r="G706" s="58"/>
      <c r="H706" s="56"/>
      <c r="I706" s="61" t="str">
        <f aca="false">IF(IsPro,IF(OR($C706="",N($G706)=0),"",IF(OR($C706="Receipt",$C706="Other Income",$C706="Capital In",$C706="Transfer In"),$G706,0)),"")</f>
        <v/>
      </c>
      <c r="J706" s="61" t="str">
        <f aca="false">IF(IsPro,IF(OR($C706="",N($G706)=0),"",IF(I706=0,$G706,0)),"")</f>
        <v/>
      </c>
      <c r="K706" s="60" t="str">
        <f aca="false">IF(IsPro,IF($C706="","",IF(AND(OR($C706="Receipt",$C706="Payment"),$D706=""),"Party needed",IF(AND(OR($C706="Expense",$C706="Other Income"),$E706=""),"Head needed",IF($F706="","Account needed","OK")))),IF($C706="","","PRO PLAN"))</f>
        <v/>
      </c>
    </row>
    <row r="707" customFormat="false" ht="15" hidden="false" customHeight="false" outlineLevel="0" collapsed="false">
      <c r="A707" s="55"/>
      <c r="B707" s="56"/>
      <c r="C707" s="56"/>
      <c r="D707" s="56"/>
      <c r="E707" s="56"/>
      <c r="F707" s="56"/>
      <c r="G707" s="58"/>
      <c r="H707" s="56"/>
      <c r="I707" s="61" t="str">
        <f aca="false">IF(IsPro,IF(OR($C707="",N($G707)=0),"",IF(OR($C707="Receipt",$C707="Other Income",$C707="Capital In",$C707="Transfer In"),$G707,0)),"")</f>
        <v/>
      </c>
      <c r="J707" s="61" t="str">
        <f aca="false">IF(IsPro,IF(OR($C707="",N($G707)=0),"",IF(I707=0,$G707,0)),"")</f>
        <v/>
      </c>
      <c r="K707" s="60" t="str">
        <f aca="false">IF(IsPro,IF($C707="","",IF(AND(OR($C707="Receipt",$C707="Payment"),$D707=""),"Party needed",IF(AND(OR($C707="Expense",$C707="Other Income"),$E707=""),"Head needed",IF($F707="","Account needed","OK")))),IF($C707="","","PRO PLAN"))</f>
        <v/>
      </c>
    </row>
    <row r="708" customFormat="false" ht="15" hidden="false" customHeight="false" outlineLevel="0" collapsed="false">
      <c r="A708" s="55"/>
      <c r="B708" s="56"/>
      <c r="C708" s="56"/>
      <c r="D708" s="56"/>
      <c r="E708" s="56"/>
      <c r="F708" s="56"/>
      <c r="G708" s="58"/>
      <c r="H708" s="56"/>
      <c r="I708" s="61" t="str">
        <f aca="false">IF(IsPro,IF(OR($C708="",N($G708)=0),"",IF(OR($C708="Receipt",$C708="Other Income",$C708="Capital In",$C708="Transfer In"),$G708,0)),"")</f>
        <v/>
      </c>
      <c r="J708" s="61" t="str">
        <f aca="false">IF(IsPro,IF(OR($C708="",N($G708)=0),"",IF(I708=0,$G708,0)),"")</f>
        <v/>
      </c>
      <c r="K708" s="60" t="str">
        <f aca="false">IF(IsPro,IF($C708="","",IF(AND(OR($C708="Receipt",$C708="Payment"),$D708=""),"Party needed",IF(AND(OR($C708="Expense",$C708="Other Income"),$E708=""),"Head needed",IF($F708="","Account needed","OK")))),IF($C708="","","PRO PLAN"))</f>
        <v/>
      </c>
    </row>
    <row r="709" customFormat="false" ht="15" hidden="false" customHeight="false" outlineLevel="0" collapsed="false">
      <c r="A709" s="55"/>
      <c r="B709" s="56"/>
      <c r="C709" s="56"/>
      <c r="D709" s="56"/>
      <c r="E709" s="56"/>
      <c r="F709" s="56"/>
      <c r="G709" s="58"/>
      <c r="H709" s="56"/>
      <c r="I709" s="61" t="str">
        <f aca="false">IF(IsPro,IF(OR($C709="",N($G709)=0),"",IF(OR($C709="Receipt",$C709="Other Income",$C709="Capital In",$C709="Transfer In"),$G709,0)),"")</f>
        <v/>
      </c>
      <c r="J709" s="61" t="str">
        <f aca="false">IF(IsPro,IF(OR($C709="",N($G709)=0),"",IF(I709=0,$G709,0)),"")</f>
        <v/>
      </c>
      <c r="K709" s="60" t="str">
        <f aca="false">IF(IsPro,IF($C709="","",IF(AND(OR($C709="Receipt",$C709="Payment"),$D709=""),"Party needed",IF(AND(OR($C709="Expense",$C709="Other Income"),$E709=""),"Head needed",IF($F709="","Account needed","OK")))),IF($C709="","","PRO PLAN"))</f>
        <v/>
      </c>
    </row>
    <row r="710" customFormat="false" ht="15" hidden="false" customHeight="false" outlineLevel="0" collapsed="false">
      <c r="A710" s="55"/>
      <c r="B710" s="56"/>
      <c r="C710" s="56"/>
      <c r="D710" s="56"/>
      <c r="E710" s="56"/>
      <c r="F710" s="56"/>
      <c r="G710" s="58"/>
      <c r="H710" s="56"/>
      <c r="I710" s="61" t="str">
        <f aca="false">IF(IsPro,IF(OR($C710="",N($G710)=0),"",IF(OR($C710="Receipt",$C710="Other Income",$C710="Capital In",$C710="Transfer In"),$G710,0)),"")</f>
        <v/>
      </c>
      <c r="J710" s="61" t="str">
        <f aca="false">IF(IsPro,IF(OR($C710="",N($G710)=0),"",IF(I710=0,$G710,0)),"")</f>
        <v/>
      </c>
      <c r="K710" s="60" t="str">
        <f aca="false">IF(IsPro,IF($C710="","",IF(AND(OR($C710="Receipt",$C710="Payment"),$D710=""),"Party needed",IF(AND(OR($C710="Expense",$C710="Other Income"),$E710=""),"Head needed",IF($F710="","Account needed","OK")))),IF($C710="","","PRO PLAN"))</f>
        <v/>
      </c>
    </row>
    <row r="711" customFormat="false" ht="15" hidden="false" customHeight="false" outlineLevel="0" collapsed="false">
      <c r="A711" s="55"/>
      <c r="B711" s="56"/>
      <c r="C711" s="56"/>
      <c r="D711" s="56"/>
      <c r="E711" s="56"/>
      <c r="F711" s="56"/>
      <c r="G711" s="58"/>
      <c r="H711" s="56"/>
      <c r="I711" s="61" t="str">
        <f aca="false">IF(IsPro,IF(OR($C711="",N($G711)=0),"",IF(OR($C711="Receipt",$C711="Other Income",$C711="Capital In",$C711="Transfer In"),$G711,0)),"")</f>
        <v/>
      </c>
      <c r="J711" s="61" t="str">
        <f aca="false">IF(IsPro,IF(OR($C711="",N($G711)=0),"",IF(I711=0,$G711,0)),"")</f>
        <v/>
      </c>
      <c r="K711" s="60" t="str">
        <f aca="false">IF(IsPro,IF($C711="","",IF(AND(OR($C711="Receipt",$C711="Payment"),$D711=""),"Party needed",IF(AND(OR($C711="Expense",$C711="Other Income"),$E711=""),"Head needed",IF($F711="","Account needed","OK")))),IF($C711="","","PRO PLAN"))</f>
        <v/>
      </c>
    </row>
    <row r="712" customFormat="false" ht="15" hidden="false" customHeight="false" outlineLevel="0" collapsed="false">
      <c r="A712" s="55"/>
      <c r="B712" s="56"/>
      <c r="C712" s="56"/>
      <c r="D712" s="56"/>
      <c r="E712" s="56"/>
      <c r="F712" s="56"/>
      <c r="G712" s="58"/>
      <c r="H712" s="56"/>
      <c r="I712" s="61" t="str">
        <f aca="false">IF(IsPro,IF(OR($C712="",N($G712)=0),"",IF(OR($C712="Receipt",$C712="Other Income",$C712="Capital In",$C712="Transfer In"),$G712,0)),"")</f>
        <v/>
      </c>
      <c r="J712" s="61" t="str">
        <f aca="false">IF(IsPro,IF(OR($C712="",N($G712)=0),"",IF(I712=0,$G712,0)),"")</f>
        <v/>
      </c>
      <c r="K712" s="60" t="str">
        <f aca="false">IF(IsPro,IF($C712="","",IF(AND(OR($C712="Receipt",$C712="Payment"),$D712=""),"Party needed",IF(AND(OR($C712="Expense",$C712="Other Income"),$E712=""),"Head needed",IF($F712="","Account needed","OK")))),IF($C712="","","PRO PLAN"))</f>
        <v/>
      </c>
    </row>
    <row r="713" customFormat="false" ht="15" hidden="false" customHeight="false" outlineLevel="0" collapsed="false">
      <c r="A713" s="55"/>
      <c r="B713" s="56"/>
      <c r="C713" s="56"/>
      <c r="D713" s="56"/>
      <c r="E713" s="56"/>
      <c r="F713" s="56"/>
      <c r="G713" s="58"/>
      <c r="H713" s="56"/>
      <c r="I713" s="61" t="str">
        <f aca="false">IF(IsPro,IF(OR($C713="",N($G713)=0),"",IF(OR($C713="Receipt",$C713="Other Income",$C713="Capital In",$C713="Transfer In"),$G713,0)),"")</f>
        <v/>
      </c>
      <c r="J713" s="61" t="str">
        <f aca="false">IF(IsPro,IF(OR($C713="",N($G713)=0),"",IF(I713=0,$G713,0)),"")</f>
        <v/>
      </c>
      <c r="K713" s="60" t="str">
        <f aca="false">IF(IsPro,IF($C713="","",IF(AND(OR($C713="Receipt",$C713="Payment"),$D713=""),"Party needed",IF(AND(OR($C713="Expense",$C713="Other Income"),$E713=""),"Head needed",IF($F713="","Account needed","OK")))),IF($C713="","","PRO PLAN"))</f>
        <v/>
      </c>
    </row>
    <row r="714" customFormat="false" ht="15" hidden="false" customHeight="false" outlineLevel="0" collapsed="false">
      <c r="A714" s="55"/>
      <c r="B714" s="56"/>
      <c r="C714" s="56"/>
      <c r="D714" s="56"/>
      <c r="E714" s="56"/>
      <c r="F714" s="56"/>
      <c r="G714" s="58"/>
      <c r="H714" s="56"/>
      <c r="I714" s="61" t="str">
        <f aca="false">IF(IsPro,IF(OR($C714="",N($G714)=0),"",IF(OR($C714="Receipt",$C714="Other Income",$C714="Capital In",$C714="Transfer In"),$G714,0)),"")</f>
        <v/>
      </c>
      <c r="J714" s="61" t="str">
        <f aca="false">IF(IsPro,IF(OR($C714="",N($G714)=0),"",IF(I714=0,$G714,0)),"")</f>
        <v/>
      </c>
      <c r="K714" s="60" t="str">
        <f aca="false">IF(IsPro,IF($C714="","",IF(AND(OR($C714="Receipt",$C714="Payment"),$D714=""),"Party needed",IF(AND(OR($C714="Expense",$C714="Other Income"),$E714=""),"Head needed",IF($F714="","Account needed","OK")))),IF($C714="","","PRO PLAN"))</f>
        <v/>
      </c>
    </row>
    <row r="715" customFormat="false" ht="15" hidden="false" customHeight="false" outlineLevel="0" collapsed="false">
      <c r="A715" s="55"/>
      <c r="B715" s="56"/>
      <c r="C715" s="56"/>
      <c r="D715" s="56"/>
      <c r="E715" s="56"/>
      <c r="F715" s="56"/>
      <c r="G715" s="58"/>
      <c r="H715" s="56"/>
      <c r="I715" s="61" t="str">
        <f aca="false">IF(IsPro,IF(OR($C715="",N($G715)=0),"",IF(OR($C715="Receipt",$C715="Other Income",$C715="Capital In",$C715="Transfer In"),$G715,0)),"")</f>
        <v/>
      </c>
      <c r="J715" s="61" t="str">
        <f aca="false">IF(IsPro,IF(OR($C715="",N($G715)=0),"",IF(I715=0,$G715,0)),"")</f>
        <v/>
      </c>
      <c r="K715" s="60" t="str">
        <f aca="false">IF(IsPro,IF($C715="","",IF(AND(OR($C715="Receipt",$C715="Payment"),$D715=""),"Party needed",IF(AND(OR($C715="Expense",$C715="Other Income"),$E715=""),"Head needed",IF($F715="","Account needed","OK")))),IF($C715="","","PRO PLAN"))</f>
        <v/>
      </c>
    </row>
    <row r="716" customFormat="false" ht="15" hidden="false" customHeight="false" outlineLevel="0" collapsed="false">
      <c r="A716" s="55"/>
      <c r="B716" s="56"/>
      <c r="C716" s="56"/>
      <c r="D716" s="56"/>
      <c r="E716" s="56"/>
      <c r="F716" s="56"/>
      <c r="G716" s="58"/>
      <c r="H716" s="56"/>
      <c r="I716" s="61" t="str">
        <f aca="false">IF(IsPro,IF(OR($C716="",N($G716)=0),"",IF(OR($C716="Receipt",$C716="Other Income",$C716="Capital In",$C716="Transfer In"),$G716,0)),"")</f>
        <v/>
      </c>
      <c r="J716" s="61" t="str">
        <f aca="false">IF(IsPro,IF(OR($C716="",N($G716)=0),"",IF(I716=0,$G716,0)),"")</f>
        <v/>
      </c>
      <c r="K716" s="60" t="str">
        <f aca="false">IF(IsPro,IF($C716="","",IF(AND(OR($C716="Receipt",$C716="Payment"),$D716=""),"Party needed",IF(AND(OR($C716="Expense",$C716="Other Income"),$E716=""),"Head needed",IF($F716="","Account needed","OK")))),IF($C716="","","PRO PLAN"))</f>
        <v/>
      </c>
    </row>
    <row r="717" customFormat="false" ht="15" hidden="false" customHeight="false" outlineLevel="0" collapsed="false">
      <c r="A717" s="55"/>
      <c r="B717" s="56"/>
      <c r="C717" s="56"/>
      <c r="D717" s="56"/>
      <c r="E717" s="56"/>
      <c r="F717" s="56"/>
      <c r="G717" s="58"/>
      <c r="H717" s="56"/>
      <c r="I717" s="61" t="str">
        <f aca="false">IF(IsPro,IF(OR($C717="",N($G717)=0),"",IF(OR($C717="Receipt",$C717="Other Income",$C717="Capital In",$C717="Transfer In"),$G717,0)),"")</f>
        <v/>
      </c>
      <c r="J717" s="61" t="str">
        <f aca="false">IF(IsPro,IF(OR($C717="",N($G717)=0),"",IF(I717=0,$G717,0)),"")</f>
        <v/>
      </c>
      <c r="K717" s="60" t="str">
        <f aca="false">IF(IsPro,IF($C717="","",IF(AND(OR($C717="Receipt",$C717="Payment"),$D717=""),"Party needed",IF(AND(OR($C717="Expense",$C717="Other Income"),$E717=""),"Head needed",IF($F717="","Account needed","OK")))),IF($C717="","","PRO PLAN"))</f>
        <v/>
      </c>
    </row>
    <row r="718" customFormat="false" ht="15" hidden="false" customHeight="false" outlineLevel="0" collapsed="false">
      <c r="A718" s="55"/>
      <c r="B718" s="56"/>
      <c r="C718" s="56"/>
      <c r="D718" s="56"/>
      <c r="E718" s="56"/>
      <c r="F718" s="56"/>
      <c r="G718" s="58"/>
      <c r="H718" s="56"/>
      <c r="I718" s="61" t="str">
        <f aca="false">IF(IsPro,IF(OR($C718="",N($G718)=0),"",IF(OR($C718="Receipt",$C718="Other Income",$C718="Capital In",$C718="Transfer In"),$G718,0)),"")</f>
        <v/>
      </c>
      <c r="J718" s="61" t="str">
        <f aca="false">IF(IsPro,IF(OR($C718="",N($G718)=0),"",IF(I718=0,$G718,0)),"")</f>
        <v/>
      </c>
      <c r="K718" s="60" t="str">
        <f aca="false">IF(IsPro,IF($C718="","",IF(AND(OR($C718="Receipt",$C718="Payment"),$D718=""),"Party needed",IF(AND(OR($C718="Expense",$C718="Other Income"),$E718=""),"Head needed",IF($F718="","Account needed","OK")))),IF($C718="","","PRO PLAN"))</f>
        <v/>
      </c>
    </row>
    <row r="719" customFormat="false" ht="15" hidden="false" customHeight="false" outlineLevel="0" collapsed="false">
      <c r="A719" s="55"/>
      <c r="B719" s="56"/>
      <c r="C719" s="56"/>
      <c r="D719" s="56"/>
      <c r="E719" s="56"/>
      <c r="F719" s="56"/>
      <c r="G719" s="58"/>
      <c r="H719" s="56"/>
      <c r="I719" s="61" t="str">
        <f aca="false">IF(IsPro,IF(OR($C719="",N($G719)=0),"",IF(OR($C719="Receipt",$C719="Other Income",$C719="Capital In",$C719="Transfer In"),$G719,0)),"")</f>
        <v/>
      </c>
      <c r="J719" s="61" t="str">
        <f aca="false">IF(IsPro,IF(OR($C719="",N($G719)=0),"",IF(I719=0,$G719,0)),"")</f>
        <v/>
      </c>
      <c r="K719" s="60" t="str">
        <f aca="false">IF(IsPro,IF($C719="","",IF(AND(OR($C719="Receipt",$C719="Payment"),$D719=""),"Party needed",IF(AND(OR($C719="Expense",$C719="Other Income"),$E719=""),"Head needed",IF($F719="","Account needed","OK")))),IF($C719="","","PRO PLAN"))</f>
        <v/>
      </c>
    </row>
    <row r="720" customFormat="false" ht="15" hidden="false" customHeight="false" outlineLevel="0" collapsed="false">
      <c r="A720" s="55"/>
      <c r="B720" s="56"/>
      <c r="C720" s="56"/>
      <c r="D720" s="56"/>
      <c r="E720" s="56"/>
      <c r="F720" s="56"/>
      <c r="G720" s="58"/>
      <c r="H720" s="56"/>
      <c r="I720" s="61" t="str">
        <f aca="false">IF(IsPro,IF(OR($C720="",N($G720)=0),"",IF(OR($C720="Receipt",$C720="Other Income",$C720="Capital In",$C720="Transfer In"),$G720,0)),"")</f>
        <v/>
      </c>
      <c r="J720" s="61" t="str">
        <f aca="false">IF(IsPro,IF(OR($C720="",N($G720)=0),"",IF(I720=0,$G720,0)),"")</f>
        <v/>
      </c>
      <c r="K720" s="60" t="str">
        <f aca="false">IF(IsPro,IF($C720="","",IF(AND(OR($C720="Receipt",$C720="Payment"),$D720=""),"Party needed",IF(AND(OR($C720="Expense",$C720="Other Income"),$E720=""),"Head needed",IF($F720="","Account needed","OK")))),IF($C720="","","PRO PLAN"))</f>
        <v/>
      </c>
    </row>
    <row r="721" customFormat="false" ht="15" hidden="false" customHeight="false" outlineLevel="0" collapsed="false">
      <c r="A721" s="55"/>
      <c r="B721" s="56"/>
      <c r="C721" s="56"/>
      <c r="D721" s="56"/>
      <c r="E721" s="56"/>
      <c r="F721" s="56"/>
      <c r="G721" s="58"/>
      <c r="H721" s="56"/>
      <c r="I721" s="61" t="str">
        <f aca="false">IF(IsPro,IF(OR($C721="",N($G721)=0),"",IF(OR($C721="Receipt",$C721="Other Income",$C721="Capital In",$C721="Transfer In"),$G721,0)),"")</f>
        <v/>
      </c>
      <c r="J721" s="61" t="str">
        <f aca="false">IF(IsPro,IF(OR($C721="",N($G721)=0),"",IF(I721=0,$G721,0)),"")</f>
        <v/>
      </c>
      <c r="K721" s="60" t="str">
        <f aca="false">IF(IsPro,IF($C721="","",IF(AND(OR($C721="Receipt",$C721="Payment"),$D721=""),"Party needed",IF(AND(OR($C721="Expense",$C721="Other Income"),$E721=""),"Head needed",IF($F721="","Account needed","OK")))),IF($C721="","","PRO PLAN"))</f>
        <v/>
      </c>
    </row>
    <row r="722" customFormat="false" ht="15" hidden="false" customHeight="false" outlineLevel="0" collapsed="false">
      <c r="A722" s="55"/>
      <c r="B722" s="56"/>
      <c r="C722" s="56"/>
      <c r="D722" s="56"/>
      <c r="E722" s="56"/>
      <c r="F722" s="56"/>
      <c r="G722" s="58"/>
      <c r="H722" s="56"/>
      <c r="I722" s="61" t="str">
        <f aca="false">IF(IsPro,IF(OR($C722="",N($G722)=0),"",IF(OR($C722="Receipt",$C722="Other Income",$C722="Capital In",$C722="Transfer In"),$G722,0)),"")</f>
        <v/>
      </c>
      <c r="J722" s="61" t="str">
        <f aca="false">IF(IsPro,IF(OR($C722="",N($G722)=0),"",IF(I722=0,$G722,0)),"")</f>
        <v/>
      </c>
      <c r="K722" s="60" t="str">
        <f aca="false">IF(IsPro,IF($C722="","",IF(AND(OR($C722="Receipt",$C722="Payment"),$D722=""),"Party needed",IF(AND(OR($C722="Expense",$C722="Other Income"),$E722=""),"Head needed",IF($F722="","Account needed","OK")))),IF($C722="","","PRO PLAN"))</f>
        <v/>
      </c>
    </row>
    <row r="723" customFormat="false" ht="15" hidden="false" customHeight="false" outlineLevel="0" collapsed="false">
      <c r="A723" s="55"/>
      <c r="B723" s="56"/>
      <c r="C723" s="56"/>
      <c r="D723" s="56"/>
      <c r="E723" s="56"/>
      <c r="F723" s="56"/>
      <c r="G723" s="58"/>
      <c r="H723" s="56"/>
      <c r="I723" s="61" t="str">
        <f aca="false">IF(IsPro,IF(OR($C723="",N($G723)=0),"",IF(OR($C723="Receipt",$C723="Other Income",$C723="Capital In",$C723="Transfer In"),$G723,0)),"")</f>
        <v/>
      </c>
      <c r="J723" s="61" t="str">
        <f aca="false">IF(IsPro,IF(OR($C723="",N($G723)=0),"",IF(I723=0,$G723,0)),"")</f>
        <v/>
      </c>
      <c r="K723" s="60" t="str">
        <f aca="false">IF(IsPro,IF($C723="","",IF(AND(OR($C723="Receipt",$C723="Payment"),$D723=""),"Party needed",IF(AND(OR($C723="Expense",$C723="Other Income"),$E723=""),"Head needed",IF($F723="","Account needed","OK")))),IF($C723="","","PRO PLAN"))</f>
        <v/>
      </c>
    </row>
    <row r="724" customFormat="false" ht="15" hidden="false" customHeight="false" outlineLevel="0" collapsed="false">
      <c r="A724" s="55"/>
      <c r="B724" s="56"/>
      <c r="C724" s="56"/>
      <c r="D724" s="56"/>
      <c r="E724" s="56"/>
      <c r="F724" s="56"/>
      <c r="G724" s="58"/>
      <c r="H724" s="56"/>
      <c r="I724" s="61" t="str">
        <f aca="false">IF(IsPro,IF(OR($C724="",N($G724)=0),"",IF(OR($C724="Receipt",$C724="Other Income",$C724="Capital In",$C724="Transfer In"),$G724,0)),"")</f>
        <v/>
      </c>
      <c r="J724" s="61" t="str">
        <f aca="false">IF(IsPro,IF(OR($C724="",N($G724)=0),"",IF(I724=0,$G724,0)),"")</f>
        <v/>
      </c>
      <c r="K724" s="60" t="str">
        <f aca="false">IF(IsPro,IF($C724="","",IF(AND(OR($C724="Receipt",$C724="Payment"),$D724=""),"Party needed",IF(AND(OR($C724="Expense",$C724="Other Income"),$E724=""),"Head needed",IF($F724="","Account needed","OK")))),IF($C724="","","PRO PLAN"))</f>
        <v/>
      </c>
    </row>
    <row r="725" customFormat="false" ht="15" hidden="false" customHeight="false" outlineLevel="0" collapsed="false">
      <c r="A725" s="55"/>
      <c r="B725" s="56"/>
      <c r="C725" s="56"/>
      <c r="D725" s="56"/>
      <c r="E725" s="56"/>
      <c r="F725" s="56"/>
      <c r="G725" s="58"/>
      <c r="H725" s="56"/>
      <c r="I725" s="61" t="str">
        <f aca="false">IF(IsPro,IF(OR($C725="",N($G725)=0),"",IF(OR($C725="Receipt",$C725="Other Income",$C725="Capital In",$C725="Transfer In"),$G725,0)),"")</f>
        <v/>
      </c>
      <c r="J725" s="61" t="str">
        <f aca="false">IF(IsPro,IF(OR($C725="",N($G725)=0),"",IF(I725=0,$G725,0)),"")</f>
        <v/>
      </c>
      <c r="K725" s="60" t="str">
        <f aca="false">IF(IsPro,IF($C725="","",IF(AND(OR($C725="Receipt",$C725="Payment"),$D725=""),"Party needed",IF(AND(OR($C725="Expense",$C725="Other Income"),$E725=""),"Head needed",IF($F725="","Account needed","OK")))),IF($C725="","","PRO PLAN"))</f>
        <v/>
      </c>
    </row>
    <row r="726" customFormat="false" ht="15" hidden="false" customHeight="false" outlineLevel="0" collapsed="false">
      <c r="A726" s="55"/>
      <c r="B726" s="56"/>
      <c r="C726" s="56"/>
      <c r="D726" s="56"/>
      <c r="E726" s="56"/>
      <c r="F726" s="56"/>
      <c r="G726" s="58"/>
      <c r="H726" s="56"/>
      <c r="I726" s="61" t="str">
        <f aca="false">IF(IsPro,IF(OR($C726="",N($G726)=0),"",IF(OR($C726="Receipt",$C726="Other Income",$C726="Capital In",$C726="Transfer In"),$G726,0)),"")</f>
        <v/>
      </c>
      <c r="J726" s="61" t="str">
        <f aca="false">IF(IsPro,IF(OR($C726="",N($G726)=0),"",IF(I726=0,$G726,0)),"")</f>
        <v/>
      </c>
      <c r="K726" s="60" t="str">
        <f aca="false">IF(IsPro,IF($C726="","",IF(AND(OR($C726="Receipt",$C726="Payment"),$D726=""),"Party needed",IF(AND(OR($C726="Expense",$C726="Other Income"),$E726=""),"Head needed",IF($F726="","Account needed","OK")))),IF($C726="","","PRO PLAN"))</f>
        <v/>
      </c>
    </row>
    <row r="727" customFormat="false" ht="15" hidden="false" customHeight="false" outlineLevel="0" collapsed="false">
      <c r="A727" s="55"/>
      <c r="B727" s="56"/>
      <c r="C727" s="56"/>
      <c r="D727" s="56"/>
      <c r="E727" s="56"/>
      <c r="F727" s="56"/>
      <c r="G727" s="58"/>
      <c r="H727" s="56"/>
      <c r="I727" s="61" t="str">
        <f aca="false">IF(IsPro,IF(OR($C727="",N($G727)=0),"",IF(OR($C727="Receipt",$C727="Other Income",$C727="Capital In",$C727="Transfer In"),$G727,0)),"")</f>
        <v/>
      </c>
      <c r="J727" s="61" t="str">
        <f aca="false">IF(IsPro,IF(OR($C727="",N($G727)=0),"",IF(I727=0,$G727,0)),"")</f>
        <v/>
      </c>
      <c r="K727" s="60" t="str">
        <f aca="false">IF(IsPro,IF($C727="","",IF(AND(OR($C727="Receipt",$C727="Payment"),$D727=""),"Party needed",IF(AND(OR($C727="Expense",$C727="Other Income"),$E727=""),"Head needed",IF($F727="","Account needed","OK")))),IF($C727="","","PRO PLAN"))</f>
        <v/>
      </c>
    </row>
    <row r="728" customFormat="false" ht="15" hidden="false" customHeight="false" outlineLevel="0" collapsed="false">
      <c r="A728" s="55"/>
      <c r="B728" s="56"/>
      <c r="C728" s="56"/>
      <c r="D728" s="56"/>
      <c r="E728" s="56"/>
      <c r="F728" s="56"/>
      <c r="G728" s="58"/>
      <c r="H728" s="56"/>
      <c r="I728" s="61" t="str">
        <f aca="false">IF(IsPro,IF(OR($C728="",N($G728)=0),"",IF(OR($C728="Receipt",$C728="Other Income",$C728="Capital In",$C728="Transfer In"),$G728,0)),"")</f>
        <v/>
      </c>
      <c r="J728" s="61" t="str">
        <f aca="false">IF(IsPro,IF(OR($C728="",N($G728)=0),"",IF(I728=0,$G728,0)),"")</f>
        <v/>
      </c>
      <c r="K728" s="60" t="str">
        <f aca="false">IF(IsPro,IF($C728="","",IF(AND(OR($C728="Receipt",$C728="Payment"),$D728=""),"Party needed",IF(AND(OR($C728="Expense",$C728="Other Income"),$E728=""),"Head needed",IF($F728="","Account needed","OK")))),IF($C728="","","PRO PLAN"))</f>
        <v/>
      </c>
    </row>
    <row r="729" customFormat="false" ht="15" hidden="false" customHeight="false" outlineLevel="0" collapsed="false">
      <c r="A729" s="55"/>
      <c r="B729" s="56"/>
      <c r="C729" s="56"/>
      <c r="D729" s="56"/>
      <c r="E729" s="56"/>
      <c r="F729" s="56"/>
      <c r="G729" s="58"/>
      <c r="H729" s="56"/>
      <c r="I729" s="61" t="str">
        <f aca="false">IF(IsPro,IF(OR($C729="",N($G729)=0),"",IF(OR($C729="Receipt",$C729="Other Income",$C729="Capital In",$C729="Transfer In"),$G729,0)),"")</f>
        <v/>
      </c>
      <c r="J729" s="61" t="str">
        <f aca="false">IF(IsPro,IF(OR($C729="",N($G729)=0),"",IF(I729=0,$G729,0)),"")</f>
        <v/>
      </c>
      <c r="K729" s="60" t="str">
        <f aca="false">IF(IsPro,IF($C729="","",IF(AND(OR($C729="Receipt",$C729="Payment"),$D729=""),"Party needed",IF(AND(OR($C729="Expense",$C729="Other Income"),$E729=""),"Head needed",IF($F729="","Account needed","OK")))),IF($C729="","","PRO PLAN"))</f>
        <v/>
      </c>
    </row>
    <row r="730" customFormat="false" ht="15" hidden="false" customHeight="false" outlineLevel="0" collapsed="false">
      <c r="A730" s="55"/>
      <c r="B730" s="56"/>
      <c r="C730" s="56"/>
      <c r="D730" s="56"/>
      <c r="E730" s="56"/>
      <c r="F730" s="56"/>
      <c r="G730" s="58"/>
      <c r="H730" s="56"/>
      <c r="I730" s="61" t="str">
        <f aca="false">IF(IsPro,IF(OR($C730="",N($G730)=0),"",IF(OR($C730="Receipt",$C730="Other Income",$C730="Capital In",$C730="Transfer In"),$G730,0)),"")</f>
        <v/>
      </c>
      <c r="J730" s="61" t="str">
        <f aca="false">IF(IsPro,IF(OR($C730="",N($G730)=0),"",IF(I730=0,$G730,0)),"")</f>
        <v/>
      </c>
      <c r="K730" s="60" t="str">
        <f aca="false">IF(IsPro,IF($C730="","",IF(AND(OR($C730="Receipt",$C730="Payment"),$D730=""),"Party needed",IF(AND(OR($C730="Expense",$C730="Other Income"),$E730=""),"Head needed",IF($F730="","Account needed","OK")))),IF($C730="","","PRO PLAN"))</f>
        <v/>
      </c>
    </row>
    <row r="731" customFormat="false" ht="15" hidden="false" customHeight="false" outlineLevel="0" collapsed="false">
      <c r="A731" s="55"/>
      <c r="B731" s="56"/>
      <c r="C731" s="56"/>
      <c r="D731" s="56"/>
      <c r="E731" s="56"/>
      <c r="F731" s="56"/>
      <c r="G731" s="58"/>
      <c r="H731" s="56"/>
      <c r="I731" s="61" t="str">
        <f aca="false">IF(IsPro,IF(OR($C731="",N($G731)=0),"",IF(OR($C731="Receipt",$C731="Other Income",$C731="Capital In",$C731="Transfer In"),$G731,0)),"")</f>
        <v/>
      </c>
      <c r="J731" s="61" t="str">
        <f aca="false">IF(IsPro,IF(OR($C731="",N($G731)=0),"",IF(I731=0,$G731,0)),"")</f>
        <v/>
      </c>
      <c r="K731" s="60" t="str">
        <f aca="false">IF(IsPro,IF($C731="","",IF(AND(OR($C731="Receipt",$C731="Payment"),$D731=""),"Party needed",IF(AND(OR($C731="Expense",$C731="Other Income"),$E731=""),"Head needed",IF($F731="","Account needed","OK")))),IF($C731="","","PRO PLAN"))</f>
        <v/>
      </c>
    </row>
    <row r="732" customFormat="false" ht="15" hidden="false" customHeight="false" outlineLevel="0" collapsed="false">
      <c r="A732" s="55"/>
      <c r="B732" s="56"/>
      <c r="C732" s="56"/>
      <c r="D732" s="56"/>
      <c r="E732" s="56"/>
      <c r="F732" s="56"/>
      <c r="G732" s="58"/>
      <c r="H732" s="56"/>
      <c r="I732" s="61" t="str">
        <f aca="false">IF(IsPro,IF(OR($C732="",N($G732)=0),"",IF(OR($C732="Receipt",$C732="Other Income",$C732="Capital In",$C732="Transfer In"),$G732,0)),"")</f>
        <v/>
      </c>
      <c r="J732" s="61" t="str">
        <f aca="false">IF(IsPro,IF(OR($C732="",N($G732)=0),"",IF(I732=0,$G732,0)),"")</f>
        <v/>
      </c>
      <c r="K732" s="60" t="str">
        <f aca="false">IF(IsPro,IF($C732="","",IF(AND(OR($C732="Receipt",$C732="Payment"),$D732=""),"Party needed",IF(AND(OR($C732="Expense",$C732="Other Income"),$E732=""),"Head needed",IF($F732="","Account needed","OK")))),IF($C732="","","PRO PLAN"))</f>
        <v/>
      </c>
    </row>
    <row r="733" customFormat="false" ht="15" hidden="false" customHeight="false" outlineLevel="0" collapsed="false">
      <c r="A733" s="55"/>
      <c r="B733" s="56"/>
      <c r="C733" s="56"/>
      <c r="D733" s="56"/>
      <c r="E733" s="56"/>
      <c r="F733" s="56"/>
      <c r="G733" s="58"/>
      <c r="H733" s="56"/>
      <c r="I733" s="61" t="str">
        <f aca="false">IF(IsPro,IF(OR($C733="",N($G733)=0),"",IF(OR($C733="Receipt",$C733="Other Income",$C733="Capital In",$C733="Transfer In"),$G733,0)),"")</f>
        <v/>
      </c>
      <c r="J733" s="61" t="str">
        <f aca="false">IF(IsPro,IF(OR($C733="",N($G733)=0),"",IF(I733=0,$G733,0)),"")</f>
        <v/>
      </c>
      <c r="K733" s="60" t="str">
        <f aca="false">IF(IsPro,IF($C733="","",IF(AND(OR($C733="Receipt",$C733="Payment"),$D733=""),"Party needed",IF(AND(OR($C733="Expense",$C733="Other Income"),$E733=""),"Head needed",IF($F733="","Account needed","OK")))),IF($C733="","","PRO PLAN"))</f>
        <v/>
      </c>
    </row>
    <row r="734" customFormat="false" ht="15" hidden="false" customHeight="false" outlineLevel="0" collapsed="false">
      <c r="A734" s="55"/>
      <c r="B734" s="56"/>
      <c r="C734" s="56"/>
      <c r="D734" s="56"/>
      <c r="E734" s="56"/>
      <c r="F734" s="56"/>
      <c r="G734" s="58"/>
      <c r="H734" s="56"/>
      <c r="I734" s="61" t="str">
        <f aca="false">IF(IsPro,IF(OR($C734="",N($G734)=0),"",IF(OR($C734="Receipt",$C734="Other Income",$C734="Capital In",$C734="Transfer In"),$G734,0)),"")</f>
        <v/>
      </c>
      <c r="J734" s="61" t="str">
        <f aca="false">IF(IsPro,IF(OR($C734="",N($G734)=0),"",IF(I734=0,$G734,0)),"")</f>
        <v/>
      </c>
      <c r="K734" s="60" t="str">
        <f aca="false">IF(IsPro,IF($C734="","",IF(AND(OR($C734="Receipt",$C734="Payment"),$D734=""),"Party needed",IF(AND(OR($C734="Expense",$C734="Other Income"),$E734=""),"Head needed",IF($F734="","Account needed","OK")))),IF($C734="","","PRO PLAN"))</f>
        <v/>
      </c>
    </row>
    <row r="735" customFormat="false" ht="15" hidden="false" customHeight="false" outlineLevel="0" collapsed="false">
      <c r="A735" s="55"/>
      <c r="B735" s="56"/>
      <c r="C735" s="56"/>
      <c r="D735" s="56"/>
      <c r="E735" s="56"/>
      <c r="F735" s="56"/>
      <c r="G735" s="58"/>
      <c r="H735" s="56"/>
      <c r="I735" s="61" t="str">
        <f aca="false">IF(IsPro,IF(OR($C735="",N($G735)=0),"",IF(OR($C735="Receipt",$C735="Other Income",$C735="Capital In",$C735="Transfer In"),$G735,0)),"")</f>
        <v/>
      </c>
      <c r="J735" s="61" t="str">
        <f aca="false">IF(IsPro,IF(OR($C735="",N($G735)=0),"",IF(I735=0,$G735,0)),"")</f>
        <v/>
      </c>
      <c r="K735" s="60" t="str">
        <f aca="false">IF(IsPro,IF($C735="","",IF(AND(OR($C735="Receipt",$C735="Payment"),$D735=""),"Party needed",IF(AND(OR($C735="Expense",$C735="Other Income"),$E735=""),"Head needed",IF($F735="","Account needed","OK")))),IF($C735="","","PRO PLAN"))</f>
        <v/>
      </c>
    </row>
    <row r="736" customFormat="false" ht="15" hidden="false" customHeight="false" outlineLevel="0" collapsed="false">
      <c r="A736" s="55"/>
      <c r="B736" s="56"/>
      <c r="C736" s="56"/>
      <c r="D736" s="56"/>
      <c r="E736" s="56"/>
      <c r="F736" s="56"/>
      <c r="G736" s="58"/>
      <c r="H736" s="56"/>
      <c r="I736" s="61" t="str">
        <f aca="false">IF(IsPro,IF(OR($C736="",N($G736)=0),"",IF(OR($C736="Receipt",$C736="Other Income",$C736="Capital In",$C736="Transfer In"),$G736,0)),"")</f>
        <v/>
      </c>
      <c r="J736" s="61" t="str">
        <f aca="false">IF(IsPro,IF(OR($C736="",N($G736)=0),"",IF(I736=0,$G736,0)),"")</f>
        <v/>
      </c>
      <c r="K736" s="60" t="str">
        <f aca="false">IF(IsPro,IF($C736="","",IF(AND(OR($C736="Receipt",$C736="Payment"),$D736=""),"Party needed",IF(AND(OR($C736="Expense",$C736="Other Income"),$E736=""),"Head needed",IF($F736="","Account needed","OK")))),IF($C736="","","PRO PLAN"))</f>
        <v/>
      </c>
    </row>
    <row r="737" customFormat="false" ht="15" hidden="false" customHeight="false" outlineLevel="0" collapsed="false">
      <c r="A737" s="55"/>
      <c r="B737" s="56"/>
      <c r="C737" s="56"/>
      <c r="D737" s="56"/>
      <c r="E737" s="56"/>
      <c r="F737" s="56"/>
      <c r="G737" s="58"/>
      <c r="H737" s="56"/>
      <c r="I737" s="61" t="str">
        <f aca="false">IF(IsPro,IF(OR($C737="",N($G737)=0),"",IF(OR($C737="Receipt",$C737="Other Income",$C737="Capital In",$C737="Transfer In"),$G737,0)),"")</f>
        <v/>
      </c>
      <c r="J737" s="61" t="str">
        <f aca="false">IF(IsPro,IF(OR($C737="",N($G737)=0),"",IF(I737=0,$G737,0)),"")</f>
        <v/>
      </c>
      <c r="K737" s="60" t="str">
        <f aca="false">IF(IsPro,IF($C737="","",IF(AND(OR($C737="Receipt",$C737="Payment"),$D737=""),"Party needed",IF(AND(OR($C737="Expense",$C737="Other Income"),$E737=""),"Head needed",IF($F737="","Account needed","OK")))),IF($C737="","","PRO PLAN"))</f>
        <v/>
      </c>
    </row>
    <row r="738" customFormat="false" ht="15" hidden="false" customHeight="false" outlineLevel="0" collapsed="false">
      <c r="A738" s="55"/>
      <c r="B738" s="56"/>
      <c r="C738" s="56"/>
      <c r="D738" s="56"/>
      <c r="E738" s="56"/>
      <c r="F738" s="56"/>
      <c r="G738" s="58"/>
      <c r="H738" s="56"/>
      <c r="I738" s="61" t="str">
        <f aca="false">IF(IsPro,IF(OR($C738="",N($G738)=0),"",IF(OR($C738="Receipt",$C738="Other Income",$C738="Capital In",$C738="Transfer In"),$G738,0)),"")</f>
        <v/>
      </c>
      <c r="J738" s="61" t="str">
        <f aca="false">IF(IsPro,IF(OR($C738="",N($G738)=0),"",IF(I738=0,$G738,0)),"")</f>
        <v/>
      </c>
      <c r="K738" s="60" t="str">
        <f aca="false">IF(IsPro,IF($C738="","",IF(AND(OR($C738="Receipt",$C738="Payment"),$D738=""),"Party needed",IF(AND(OR($C738="Expense",$C738="Other Income"),$E738=""),"Head needed",IF($F738="","Account needed","OK")))),IF($C738="","","PRO PLAN"))</f>
        <v/>
      </c>
    </row>
    <row r="739" customFormat="false" ht="15" hidden="false" customHeight="false" outlineLevel="0" collapsed="false">
      <c r="A739" s="55"/>
      <c r="B739" s="56"/>
      <c r="C739" s="56"/>
      <c r="D739" s="56"/>
      <c r="E739" s="56"/>
      <c r="F739" s="56"/>
      <c r="G739" s="58"/>
      <c r="H739" s="56"/>
      <c r="I739" s="61" t="str">
        <f aca="false">IF(IsPro,IF(OR($C739="",N($G739)=0),"",IF(OR($C739="Receipt",$C739="Other Income",$C739="Capital In",$C739="Transfer In"),$G739,0)),"")</f>
        <v/>
      </c>
      <c r="J739" s="61" t="str">
        <f aca="false">IF(IsPro,IF(OR($C739="",N($G739)=0),"",IF(I739=0,$G739,0)),"")</f>
        <v/>
      </c>
      <c r="K739" s="60" t="str">
        <f aca="false">IF(IsPro,IF($C739="","",IF(AND(OR($C739="Receipt",$C739="Payment"),$D739=""),"Party needed",IF(AND(OR($C739="Expense",$C739="Other Income"),$E739=""),"Head needed",IF($F739="","Account needed","OK")))),IF($C739="","","PRO PLAN"))</f>
        <v/>
      </c>
    </row>
    <row r="740" customFormat="false" ht="15" hidden="false" customHeight="false" outlineLevel="0" collapsed="false">
      <c r="A740" s="55"/>
      <c r="B740" s="56"/>
      <c r="C740" s="56"/>
      <c r="D740" s="56"/>
      <c r="E740" s="56"/>
      <c r="F740" s="56"/>
      <c r="G740" s="58"/>
      <c r="H740" s="56"/>
      <c r="I740" s="61" t="str">
        <f aca="false">IF(IsPro,IF(OR($C740="",N($G740)=0),"",IF(OR($C740="Receipt",$C740="Other Income",$C740="Capital In",$C740="Transfer In"),$G740,0)),"")</f>
        <v/>
      </c>
      <c r="J740" s="61" t="str">
        <f aca="false">IF(IsPro,IF(OR($C740="",N($G740)=0),"",IF(I740=0,$G740,0)),"")</f>
        <v/>
      </c>
      <c r="K740" s="60" t="str">
        <f aca="false">IF(IsPro,IF($C740="","",IF(AND(OR($C740="Receipt",$C740="Payment"),$D740=""),"Party needed",IF(AND(OR($C740="Expense",$C740="Other Income"),$E740=""),"Head needed",IF($F740="","Account needed","OK")))),IF($C740="","","PRO PLAN"))</f>
        <v/>
      </c>
    </row>
    <row r="741" customFormat="false" ht="15" hidden="false" customHeight="false" outlineLevel="0" collapsed="false">
      <c r="A741" s="55"/>
      <c r="B741" s="56"/>
      <c r="C741" s="56"/>
      <c r="D741" s="56"/>
      <c r="E741" s="56"/>
      <c r="F741" s="56"/>
      <c r="G741" s="58"/>
      <c r="H741" s="56"/>
      <c r="I741" s="61" t="str">
        <f aca="false">IF(IsPro,IF(OR($C741="",N($G741)=0),"",IF(OR($C741="Receipt",$C741="Other Income",$C741="Capital In",$C741="Transfer In"),$G741,0)),"")</f>
        <v/>
      </c>
      <c r="J741" s="61" t="str">
        <f aca="false">IF(IsPro,IF(OR($C741="",N($G741)=0),"",IF(I741=0,$G741,0)),"")</f>
        <v/>
      </c>
      <c r="K741" s="60" t="str">
        <f aca="false">IF(IsPro,IF($C741="","",IF(AND(OR($C741="Receipt",$C741="Payment"),$D741=""),"Party needed",IF(AND(OR($C741="Expense",$C741="Other Income"),$E741=""),"Head needed",IF($F741="","Account needed","OK")))),IF($C741="","","PRO PLAN"))</f>
        <v/>
      </c>
    </row>
    <row r="742" customFormat="false" ht="15" hidden="false" customHeight="false" outlineLevel="0" collapsed="false">
      <c r="A742" s="55"/>
      <c r="B742" s="56"/>
      <c r="C742" s="56"/>
      <c r="D742" s="56"/>
      <c r="E742" s="56"/>
      <c r="F742" s="56"/>
      <c r="G742" s="58"/>
      <c r="H742" s="56"/>
      <c r="I742" s="61" t="str">
        <f aca="false">IF(IsPro,IF(OR($C742="",N($G742)=0),"",IF(OR($C742="Receipt",$C742="Other Income",$C742="Capital In",$C742="Transfer In"),$G742,0)),"")</f>
        <v/>
      </c>
      <c r="J742" s="61" t="str">
        <f aca="false">IF(IsPro,IF(OR($C742="",N($G742)=0),"",IF(I742=0,$G742,0)),"")</f>
        <v/>
      </c>
      <c r="K742" s="60" t="str">
        <f aca="false">IF(IsPro,IF($C742="","",IF(AND(OR($C742="Receipt",$C742="Payment"),$D742=""),"Party needed",IF(AND(OR($C742="Expense",$C742="Other Income"),$E742=""),"Head needed",IF($F742="","Account needed","OK")))),IF($C742="","","PRO PLAN"))</f>
        <v/>
      </c>
    </row>
    <row r="743" customFormat="false" ht="15" hidden="false" customHeight="false" outlineLevel="0" collapsed="false">
      <c r="A743" s="55"/>
      <c r="B743" s="56"/>
      <c r="C743" s="56"/>
      <c r="D743" s="56"/>
      <c r="E743" s="56"/>
      <c r="F743" s="56"/>
      <c r="G743" s="58"/>
      <c r="H743" s="56"/>
      <c r="I743" s="61" t="str">
        <f aca="false">IF(IsPro,IF(OR($C743="",N($G743)=0),"",IF(OR($C743="Receipt",$C743="Other Income",$C743="Capital In",$C743="Transfer In"),$G743,0)),"")</f>
        <v/>
      </c>
      <c r="J743" s="61" t="str">
        <f aca="false">IF(IsPro,IF(OR($C743="",N($G743)=0),"",IF(I743=0,$G743,0)),"")</f>
        <v/>
      </c>
      <c r="K743" s="60" t="str">
        <f aca="false">IF(IsPro,IF($C743="","",IF(AND(OR($C743="Receipt",$C743="Payment"),$D743=""),"Party needed",IF(AND(OR($C743="Expense",$C743="Other Income"),$E743=""),"Head needed",IF($F743="","Account needed","OK")))),IF($C743="","","PRO PLAN"))</f>
        <v/>
      </c>
    </row>
    <row r="744" customFormat="false" ht="15" hidden="false" customHeight="false" outlineLevel="0" collapsed="false">
      <c r="A744" s="55"/>
      <c r="B744" s="56"/>
      <c r="C744" s="56"/>
      <c r="D744" s="56"/>
      <c r="E744" s="56"/>
      <c r="F744" s="56"/>
      <c r="G744" s="58"/>
      <c r="H744" s="56"/>
      <c r="I744" s="61" t="str">
        <f aca="false">IF(IsPro,IF(OR($C744="",N($G744)=0),"",IF(OR($C744="Receipt",$C744="Other Income",$C744="Capital In",$C744="Transfer In"),$G744,0)),"")</f>
        <v/>
      </c>
      <c r="J744" s="61" t="str">
        <f aca="false">IF(IsPro,IF(OR($C744="",N($G744)=0),"",IF(I744=0,$G744,0)),"")</f>
        <v/>
      </c>
      <c r="K744" s="60" t="str">
        <f aca="false">IF(IsPro,IF($C744="","",IF(AND(OR($C744="Receipt",$C744="Payment"),$D744=""),"Party needed",IF(AND(OR($C744="Expense",$C744="Other Income"),$E744=""),"Head needed",IF($F744="","Account needed","OK")))),IF($C744="","","PRO PLAN"))</f>
        <v/>
      </c>
    </row>
    <row r="745" customFormat="false" ht="15" hidden="false" customHeight="false" outlineLevel="0" collapsed="false">
      <c r="A745" s="55"/>
      <c r="B745" s="56"/>
      <c r="C745" s="56"/>
      <c r="D745" s="56"/>
      <c r="E745" s="56"/>
      <c r="F745" s="56"/>
      <c r="G745" s="58"/>
      <c r="H745" s="56"/>
      <c r="I745" s="61" t="str">
        <f aca="false">IF(IsPro,IF(OR($C745="",N($G745)=0),"",IF(OR($C745="Receipt",$C745="Other Income",$C745="Capital In",$C745="Transfer In"),$G745,0)),"")</f>
        <v/>
      </c>
      <c r="J745" s="61" t="str">
        <f aca="false">IF(IsPro,IF(OR($C745="",N($G745)=0),"",IF(I745=0,$G745,0)),"")</f>
        <v/>
      </c>
      <c r="K745" s="60" t="str">
        <f aca="false">IF(IsPro,IF($C745="","",IF(AND(OR($C745="Receipt",$C745="Payment"),$D745=""),"Party needed",IF(AND(OR($C745="Expense",$C745="Other Income"),$E745=""),"Head needed",IF($F745="","Account needed","OK")))),IF($C745="","","PRO PLAN"))</f>
        <v/>
      </c>
    </row>
    <row r="746" customFormat="false" ht="15" hidden="false" customHeight="false" outlineLevel="0" collapsed="false">
      <c r="A746" s="55"/>
      <c r="B746" s="56"/>
      <c r="C746" s="56"/>
      <c r="D746" s="56"/>
      <c r="E746" s="56"/>
      <c r="F746" s="56"/>
      <c r="G746" s="58"/>
      <c r="H746" s="56"/>
      <c r="I746" s="61" t="str">
        <f aca="false">IF(IsPro,IF(OR($C746="",N($G746)=0),"",IF(OR($C746="Receipt",$C746="Other Income",$C746="Capital In",$C746="Transfer In"),$G746,0)),"")</f>
        <v/>
      </c>
      <c r="J746" s="61" t="str">
        <f aca="false">IF(IsPro,IF(OR($C746="",N($G746)=0),"",IF(I746=0,$G746,0)),"")</f>
        <v/>
      </c>
      <c r="K746" s="60" t="str">
        <f aca="false">IF(IsPro,IF($C746="","",IF(AND(OR($C746="Receipt",$C746="Payment"),$D746=""),"Party needed",IF(AND(OR($C746="Expense",$C746="Other Income"),$E746=""),"Head needed",IF($F746="","Account needed","OK")))),IF($C746="","","PRO PLAN"))</f>
        <v/>
      </c>
    </row>
    <row r="747" customFormat="false" ht="15" hidden="false" customHeight="false" outlineLevel="0" collapsed="false">
      <c r="A747" s="55"/>
      <c r="B747" s="56"/>
      <c r="C747" s="56"/>
      <c r="D747" s="56"/>
      <c r="E747" s="56"/>
      <c r="F747" s="56"/>
      <c r="G747" s="58"/>
      <c r="H747" s="56"/>
      <c r="I747" s="61" t="str">
        <f aca="false">IF(IsPro,IF(OR($C747="",N($G747)=0),"",IF(OR($C747="Receipt",$C747="Other Income",$C747="Capital In",$C747="Transfer In"),$G747,0)),"")</f>
        <v/>
      </c>
      <c r="J747" s="61" t="str">
        <f aca="false">IF(IsPro,IF(OR($C747="",N($G747)=0),"",IF(I747=0,$G747,0)),"")</f>
        <v/>
      </c>
      <c r="K747" s="60" t="str">
        <f aca="false">IF(IsPro,IF($C747="","",IF(AND(OR($C747="Receipt",$C747="Payment"),$D747=""),"Party needed",IF(AND(OR($C747="Expense",$C747="Other Income"),$E747=""),"Head needed",IF($F747="","Account needed","OK")))),IF($C747="","","PRO PLAN"))</f>
        <v/>
      </c>
    </row>
    <row r="748" customFormat="false" ht="15" hidden="false" customHeight="false" outlineLevel="0" collapsed="false">
      <c r="A748" s="55"/>
      <c r="B748" s="56"/>
      <c r="C748" s="56"/>
      <c r="D748" s="56"/>
      <c r="E748" s="56"/>
      <c r="F748" s="56"/>
      <c r="G748" s="58"/>
      <c r="H748" s="56"/>
      <c r="I748" s="61" t="str">
        <f aca="false">IF(IsPro,IF(OR($C748="",N($G748)=0),"",IF(OR($C748="Receipt",$C748="Other Income",$C748="Capital In",$C748="Transfer In"),$G748,0)),"")</f>
        <v/>
      </c>
      <c r="J748" s="61" t="str">
        <f aca="false">IF(IsPro,IF(OR($C748="",N($G748)=0),"",IF(I748=0,$G748,0)),"")</f>
        <v/>
      </c>
      <c r="K748" s="60" t="str">
        <f aca="false">IF(IsPro,IF($C748="","",IF(AND(OR($C748="Receipt",$C748="Payment"),$D748=""),"Party needed",IF(AND(OR($C748="Expense",$C748="Other Income"),$E748=""),"Head needed",IF($F748="","Account needed","OK")))),IF($C748="","","PRO PLAN"))</f>
        <v/>
      </c>
    </row>
    <row r="749" customFormat="false" ht="15" hidden="false" customHeight="false" outlineLevel="0" collapsed="false">
      <c r="A749" s="55"/>
      <c r="B749" s="56"/>
      <c r="C749" s="56"/>
      <c r="D749" s="56"/>
      <c r="E749" s="56"/>
      <c r="F749" s="56"/>
      <c r="G749" s="58"/>
      <c r="H749" s="56"/>
      <c r="I749" s="61" t="str">
        <f aca="false">IF(IsPro,IF(OR($C749="",N($G749)=0),"",IF(OR($C749="Receipt",$C749="Other Income",$C749="Capital In",$C749="Transfer In"),$G749,0)),"")</f>
        <v/>
      </c>
      <c r="J749" s="61" t="str">
        <f aca="false">IF(IsPro,IF(OR($C749="",N($G749)=0),"",IF(I749=0,$G749,0)),"")</f>
        <v/>
      </c>
      <c r="K749" s="60" t="str">
        <f aca="false">IF(IsPro,IF($C749="","",IF(AND(OR($C749="Receipt",$C749="Payment"),$D749=""),"Party needed",IF(AND(OR($C749="Expense",$C749="Other Income"),$E749=""),"Head needed",IF($F749="","Account needed","OK")))),IF($C749="","","PRO PLAN"))</f>
        <v/>
      </c>
    </row>
    <row r="750" customFormat="false" ht="15" hidden="false" customHeight="false" outlineLevel="0" collapsed="false">
      <c r="A750" s="55"/>
      <c r="B750" s="56"/>
      <c r="C750" s="56"/>
      <c r="D750" s="56"/>
      <c r="E750" s="56"/>
      <c r="F750" s="56"/>
      <c r="G750" s="58"/>
      <c r="H750" s="56"/>
      <c r="I750" s="61" t="str">
        <f aca="false">IF(IsPro,IF(OR($C750="",N($G750)=0),"",IF(OR($C750="Receipt",$C750="Other Income",$C750="Capital In",$C750="Transfer In"),$G750,0)),"")</f>
        <v/>
      </c>
      <c r="J750" s="61" t="str">
        <f aca="false">IF(IsPro,IF(OR($C750="",N($G750)=0),"",IF(I750=0,$G750,0)),"")</f>
        <v/>
      </c>
      <c r="K750" s="60" t="str">
        <f aca="false">IF(IsPro,IF($C750="","",IF(AND(OR($C750="Receipt",$C750="Payment"),$D750=""),"Party needed",IF(AND(OR($C750="Expense",$C750="Other Income"),$E750=""),"Head needed",IF($F750="","Account needed","OK")))),IF($C750="","","PRO PLAN"))</f>
        <v/>
      </c>
    </row>
    <row r="751" customFormat="false" ht="15" hidden="false" customHeight="false" outlineLevel="0" collapsed="false">
      <c r="A751" s="55"/>
      <c r="B751" s="56"/>
      <c r="C751" s="56"/>
      <c r="D751" s="56"/>
      <c r="E751" s="56"/>
      <c r="F751" s="56"/>
      <c r="G751" s="58"/>
      <c r="H751" s="56"/>
      <c r="I751" s="61" t="str">
        <f aca="false">IF(IsPro,IF(OR($C751="",N($G751)=0),"",IF(OR($C751="Receipt",$C751="Other Income",$C751="Capital In",$C751="Transfer In"),$G751,0)),"")</f>
        <v/>
      </c>
      <c r="J751" s="61" t="str">
        <f aca="false">IF(IsPro,IF(OR($C751="",N($G751)=0),"",IF(I751=0,$G751,0)),"")</f>
        <v/>
      </c>
      <c r="K751" s="60" t="str">
        <f aca="false">IF(IsPro,IF($C751="","",IF(AND(OR($C751="Receipt",$C751="Payment"),$D751=""),"Party needed",IF(AND(OR($C751="Expense",$C751="Other Income"),$E751=""),"Head needed",IF($F751="","Account needed","OK")))),IF($C751="","","PRO PLAN"))</f>
        <v/>
      </c>
    </row>
    <row r="752" customFormat="false" ht="15" hidden="false" customHeight="false" outlineLevel="0" collapsed="false">
      <c r="A752" s="55"/>
      <c r="B752" s="56"/>
      <c r="C752" s="56"/>
      <c r="D752" s="56"/>
      <c r="E752" s="56"/>
      <c r="F752" s="56"/>
      <c r="G752" s="58"/>
      <c r="H752" s="56"/>
      <c r="I752" s="61" t="str">
        <f aca="false">IF(IsPro,IF(OR($C752="",N($G752)=0),"",IF(OR($C752="Receipt",$C752="Other Income",$C752="Capital In",$C752="Transfer In"),$G752,0)),"")</f>
        <v/>
      </c>
      <c r="J752" s="61" t="str">
        <f aca="false">IF(IsPro,IF(OR($C752="",N($G752)=0),"",IF(I752=0,$G752,0)),"")</f>
        <v/>
      </c>
      <c r="K752" s="60" t="str">
        <f aca="false">IF(IsPro,IF($C752="","",IF(AND(OR($C752="Receipt",$C752="Payment"),$D752=""),"Party needed",IF(AND(OR($C752="Expense",$C752="Other Income"),$E752=""),"Head needed",IF($F752="","Account needed","OK")))),IF($C752="","","PRO PLAN"))</f>
        <v/>
      </c>
    </row>
    <row r="753" customFormat="false" ht="15" hidden="false" customHeight="false" outlineLevel="0" collapsed="false">
      <c r="A753" s="55"/>
      <c r="B753" s="56"/>
      <c r="C753" s="56"/>
      <c r="D753" s="56"/>
      <c r="E753" s="56"/>
      <c r="F753" s="56"/>
      <c r="G753" s="58"/>
      <c r="H753" s="56"/>
      <c r="I753" s="61" t="str">
        <f aca="false">IF(IsPro,IF(OR($C753="",N($G753)=0),"",IF(OR($C753="Receipt",$C753="Other Income",$C753="Capital In",$C753="Transfer In"),$G753,0)),"")</f>
        <v/>
      </c>
      <c r="J753" s="61" t="str">
        <f aca="false">IF(IsPro,IF(OR($C753="",N($G753)=0),"",IF(I753=0,$G753,0)),"")</f>
        <v/>
      </c>
      <c r="K753" s="60" t="str">
        <f aca="false">IF(IsPro,IF($C753="","",IF(AND(OR($C753="Receipt",$C753="Payment"),$D753=""),"Party needed",IF(AND(OR($C753="Expense",$C753="Other Income"),$E753=""),"Head needed",IF($F753="","Account needed","OK")))),IF($C753="","","PRO PLAN"))</f>
        <v/>
      </c>
    </row>
    <row r="754" customFormat="false" ht="15" hidden="false" customHeight="false" outlineLevel="0" collapsed="false">
      <c r="A754" s="55"/>
      <c r="B754" s="56"/>
      <c r="C754" s="56"/>
      <c r="D754" s="56"/>
      <c r="E754" s="56"/>
      <c r="F754" s="56"/>
      <c r="G754" s="58"/>
      <c r="H754" s="56"/>
      <c r="I754" s="61" t="str">
        <f aca="false">IF(IsPro,IF(OR($C754="",N($G754)=0),"",IF(OR($C754="Receipt",$C754="Other Income",$C754="Capital In",$C754="Transfer In"),$G754,0)),"")</f>
        <v/>
      </c>
      <c r="J754" s="61" t="str">
        <f aca="false">IF(IsPro,IF(OR($C754="",N($G754)=0),"",IF(I754=0,$G754,0)),"")</f>
        <v/>
      </c>
      <c r="K754" s="60" t="str">
        <f aca="false">IF(IsPro,IF($C754="","",IF(AND(OR($C754="Receipt",$C754="Payment"),$D754=""),"Party needed",IF(AND(OR($C754="Expense",$C754="Other Income"),$E754=""),"Head needed",IF($F754="","Account needed","OK")))),IF($C754="","","PRO PLAN"))</f>
        <v/>
      </c>
    </row>
    <row r="755" customFormat="false" ht="15" hidden="false" customHeight="false" outlineLevel="0" collapsed="false">
      <c r="A755" s="55"/>
      <c r="B755" s="56"/>
      <c r="C755" s="56"/>
      <c r="D755" s="56"/>
      <c r="E755" s="56"/>
      <c r="F755" s="56"/>
      <c r="G755" s="58"/>
      <c r="H755" s="56"/>
      <c r="I755" s="61" t="str">
        <f aca="false">IF(IsPro,IF(OR($C755="",N($G755)=0),"",IF(OR($C755="Receipt",$C755="Other Income",$C755="Capital In",$C755="Transfer In"),$G755,0)),"")</f>
        <v/>
      </c>
      <c r="J755" s="61" t="str">
        <f aca="false">IF(IsPro,IF(OR($C755="",N($G755)=0),"",IF(I755=0,$G755,0)),"")</f>
        <v/>
      </c>
      <c r="K755" s="60" t="str">
        <f aca="false">IF(IsPro,IF($C755="","",IF(AND(OR($C755="Receipt",$C755="Payment"),$D755=""),"Party needed",IF(AND(OR($C755="Expense",$C755="Other Income"),$E755=""),"Head needed",IF($F755="","Account needed","OK")))),IF($C755="","","PRO PLAN"))</f>
        <v/>
      </c>
    </row>
    <row r="756" customFormat="false" ht="15" hidden="false" customHeight="false" outlineLevel="0" collapsed="false">
      <c r="A756" s="55"/>
      <c r="B756" s="56"/>
      <c r="C756" s="56"/>
      <c r="D756" s="56"/>
      <c r="E756" s="56"/>
      <c r="F756" s="56"/>
      <c r="G756" s="58"/>
      <c r="H756" s="56"/>
      <c r="I756" s="61" t="str">
        <f aca="false">IF(IsPro,IF(OR($C756="",N($G756)=0),"",IF(OR($C756="Receipt",$C756="Other Income",$C756="Capital In",$C756="Transfer In"),$G756,0)),"")</f>
        <v/>
      </c>
      <c r="J756" s="61" t="str">
        <f aca="false">IF(IsPro,IF(OR($C756="",N($G756)=0),"",IF(I756=0,$G756,0)),"")</f>
        <v/>
      </c>
      <c r="K756" s="60" t="str">
        <f aca="false">IF(IsPro,IF($C756="","",IF(AND(OR($C756="Receipt",$C756="Payment"),$D756=""),"Party needed",IF(AND(OR($C756="Expense",$C756="Other Income"),$E756=""),"Head needed",IF($F756="","Account needed","OK")))),IF($C756="","","PRO PLAN"))</f>
        <v/>
      </c>
    </row>
    <row r="757" customFormat="false" ht="15" hidden="false" customHeight="false" outlineLevel="0" collapsed="false">
      <c r="A757" s="55"/>
      <c r="B757" s="56"/>
      <c r="C757" s="56"/>
      <c r="D757" s="56"/>
      <c r="E757" s="56"/>
      <c r="F757" s="56"/>
      <c r="G757" s="58"/>
      <c r="H757" s="56"/>
      <c r="I757" s="61" t="str">
        <f aca="false">IF(IsPro,IF(OR($C757="",N($G757)=0),"",IF(OR($C757="Receipt",$C757="Other Income",$C757="Capital In",$C757="Transfer In"),$G757,0)),"")</f>
        <v/>
      </c>
      <c r="J757" s="61" t="str">
        <f aca="false">IF(IsPro,IF(OR($C757="",N($G757)=0),"",IF(I757=0,$G757,0)),"")</f>
        <v/>
      </c>
      <c r="K757" s="60" t="str">
        <f aca="false">IF(IsPro,IF($C757="","",IF(AND(OR($C757="Receipt",$C757="Payment"),$D757=""),"Party needed",IF(AND(OR($C757="Expense",$C757="Other Income"),$E757=""),"Head needed",IF($F757="","Account needed","OK")))),IF($C757="","","PRO PLAN"))</f>
        <v/>
      </c>
    </row>
    <row r="758" customFormat="false" ht="15" hidden="false" customHeight="false" outlineLevel="0" collapsed="false">
      <c r="A758" s="55"/>
      <c r="B758" s="56"/>
      <c r="C758" s="56"/>
      <c r="D758" s="56"/>
      <c r="E758" s="56"/>
      <c r="F758" s="56"/>
      <c r="G758" s="58"/>
      <c r="H758" s="56"/>
      <c r="I758" s="61" t="str">
        <f aca="false">IF(IsPro,IF(OR($C758="",N($G758)=0),"",IF(OR($C758="Receipt",$C758="Other Income",$C758="Capital In",$C758="Transfer In"),$G758,0)),"")</f>
        <v/>
      </c>
      <c r="J758" s="61" t="str">
        <f aca="false">IF(IsPro,IF(OR($C758="",N($G758)=0),"",IF(I758=0,$G758,0)),"")</f>
        <v/>
      </c>
      <c r="K758" s="60" t="str">
        <f aca="false">IF(IsPro,IF($C758="","",IF(AND(OR($C758="Receipt",$C758="Payment"),$D758=""),"Party needed",IF(AND(OR($C758="Expense",$C758="Other Income"),$E758=""),"Head needed",IF($F758="","Account needed","OK")))),IF($C758="","","PRO PLAN"))</f>
        <v/>
      </c>
    </row>
    <row r="759" customFormat="false" ht="15" hidden="false" customHeight="false" outlineLevel="0" collapsed="false">
      <c r="A759" s="55"/>
      <c r="B759" s="56"/>
      <c r="C759" s="56"/>
      <c r="D759" s="56"/>
      <c r="E759" s="56"/>
      <c r="F759" s="56"/>
      <c r="G759" s="58"/>
      <c r="H759" s="56"/>
      <c r="I759" s="61" t="str">
        <f aca="false">IF(IsPro,IF(OR($C759="",N($G759)=0),"",IF(OR($C759="Receipt",$C759="Other Income",$C759="Capital In",$C759="Transfer In"),$G759,0)),"")</f>
        <v/>
      </c>
      <c r="J759" s="61" t="str">
        <f aca="false">IF(IsPro,IF(OR($C759="",N($G759)=0),"",IF(I759=0,$G759,0)),"")</f>
        <v/>
      </c>
      <c r="K759" s="60" t="str">
        <f aca="false">IF(IsPro,IF($C759="","",IF(AND(OR($C759="Receipt",$C759="Payment"),$D759=""),"Party needed",IF(AND(OR($C759="Expense",$C759="Other Income"),$E759=""),"Head needed",IF($F759="","Account needed","OK")))),IF($C759="","","PRO PLAN"))</f>
        <v/>
      </c>
    </row>
    <row r="760" customFormat="false" ht="15" hidden="false" customHeight="false" outlineLevel="0" collapsed="false">
      <c r="A760" s="55"/>
      <c r="B760" s="56"/>
      <c r="C760" s="56"/>
      <c r="D760" s="56"/>
      <c r="E760" s="56"/>
      <c r="F760" s="56"/>
      <c r="G760" s="58"/>
      <c r="H760" s="56"/>
      <c r="I760" s="61" t="str">
        <f aca="false">IF(IsPro,IF(OR($C760="",N($G760)=0),"",IF(OR($C760="Receipt",$C760="Other Income",$C760="Capital In",$C760="Transfer In"),$G760,0)),"")</f>
        <v/>
      </c>
      <c r="J760" s="61" t="str">
        <f aca="false">IF(IsPro,IF(OR($C760="",N($G760)=0),"",IF(I760=0,$G760,0)),"")</f>
        <v/>
      </c>
      <c r="K760" s="60" t="str">
        <f aca="false">IF(IsPro,IF($C760="","",IF(AND(OR($C760="Receipt",$C760="Payment"),$D760=""),"Party needed",IF(AND(OR($C760="Expense",$C760="Other Income"),$E760=""),"Head needed",IF($F760="","Account needed","OK")))),IF($C760="","","PRO PLAN"))</f>
        <v/>
      </c>
    </row>
    <row r="761" customFormat="false" ht="15" hidden="false" customHeight="false" outlineLevel="0" collapsed="false">
      <c r="A761" s="55"/>
      <c r="B761" s="56"/>
      <c r="C761" s="56"/>
      <c r="D761" s="56"/>
      <c r="E761" s="56"/>
      <c r="F761" s="56"/>
      <c r="G761" s="58"/>
      <c r="H761" s="56"/>
      <c r="I761" s="61" t="str">
        <f aca="false">IF(IsPro,IF(OR($C761="",N($G761)=0),"",IF(OR($C761="Receipt",$C761="Other Income",$C761="Capital In",$C761="Transfer In"),$G761,0)),"")</f>
        <v/>
      </c>
      <c r="J761" s="61" t="str">
        <f aca="false">IF(IsPro,IF(OR($C761="",N($G761)=0),"",IF(I761=0,$G761,0)),"")</f>
        <v/>
      </c>
      <c r="K761" s="60" t="str">
        <f aca="false">IF(IsPro,IF($C761="","",IF(AND(OR($C761="Receipt",$C761="Payment"),$D761=""),"Party needed",IF(AND(OR($C761="Expense",$C761="Other Income"),$E761=""),"Head needed",IF($F761="","Account needed","OK")))),IF($C761="","","PRO PLAN"))</f>
        <v/>
      </c>
    </row>
    <row r="762" customFormat="false" ht="15" hidden="false" customHeight="false" outlineLevel="0" collapsed="false">
      <c r="A762" s="55"/>
      <c r="B762" s="56"/>
      <c r="C762" s="56"/>
      <c r="D762" s="56"/>
      <c r="E762" s="56"/>
      <c r="F762" s="56"/>
      <c r="G762" s="58"/>
      <c r="H762" s="56"/>
      <c r="I762" s="61" t="str">
        <f aca="false">IF(IsPro,IF(OR($C762="",N($G762)=0),"",IF(OR($C762="Receipt",$C762="Other Income",$C762="Capital In",$C762="Transfer In"),$G762,0)),"")</f>
        <v/>
      </c>
      <c r="J762" s="61" t="str">
        <f aca="false">IF(IsPro,IF(OR($C762="",N($G762)=0),"",IF(I762=0,$G762,0)),"")</f>
        <v/>
      </c>
      <c r="K762" s="60" t="str">
        <f aca="false">IF(IsPro,IF($C762="","",IF(AND(OR($C762="Receipt",$C762="Payment"),$D762=""),"Party needed",IF(AND(OR($C762="Expense",$C762="Other Income"),$E762=""),"Head needed",IF($F762="","Account needed","OK")))),IF($C762="","","PRO PLAN"))</f>
        <v/>
      </c>
    </row>
    <row r="763" customFormat="false" ht="15" hidden="false" customHeight="false" outlineLevel="0" collapsed="false">
      <c r="A763" s="55"/>
      <c r="B763" s="56"/>
      <c r="C763" s="56"/>
      <c r="D763" s="56"/>
      <c r="E763" s="56"/>
      <c r="F763" s="56"/>
      <c r="G763" s="58"/>
      <c r="H763" s="56"/>
      <c r="I763" s="61" t="str">
        <f aca="false">IF(IsPro,IF(OR($C763="",N($G763)=0),"",IF(OR($C763="Receipt",$C763="Other Income",$C763="Capital In",$C763="Transfer In"),$G763,0)),"")</f>
        <v/>
      </c>
      <c r="J763" s="61" t="str">
        <f aca="false">IF(IsPro,IF(OR($C763="",N($G763)=0),"",IF(I763=0,$G763,0)),"")</f>
        <v/>
      </c>
      <c r="K763" s="60" t="str">
        <f aca="false">IF(IsPro,IF($C763="","",IF(AND(OR($C763="Receipt",$C763="Payment"),$D763=""),"Party needed",IF(AND(OR($C763="Expense",$C763="Other Income"),$E763=""),"Head needed",IF($F763="","Account needed","OK")))),IF($C763="","","PRO PLAN"))</f>
        <v/>
      </c>
    </row>
    <row r="764" customFormat="false" ht="15" hidden="false" customHeight="false" outlineLevel="0" collapsed="false">
      <c r="A764" s="55"/>
      <c r="B764" s="56"/>
      <c r="C764" s="56"/>
      <c r="D764" s="56"/>
      <c r="E764" s="56"/>
      <c r="F764" s="56"/>
      <c r="G764" s="58"/>
      <c r="H764" s="56"/>
      <c r="I764" s="61" t="str">
        <f aca="false">IF(IsPro,IF(OR($C764="",N($G764)=0),"",IF(OR($C764="Receipt",$C764="Other Income",$C764="Capital In",$C764="Transfer In"),$G764,0)),"")</f>
        <v/>
      </c>
      <c r="J764" s="61" t="str">
        <f aca="false">IF(IsPro,IF(OR($C764="",N($G764)=0),"",IF(I764=0,$G764,0)),"")</f>
        <v/>
      </c>
      <c r="K764" s="60" t="str">
        <f aca="false">IF(IsPro,IF($C764="","",IF(AND(OR($C764="Receipt",$C764="Payment"),$D764=""),"Party needed",IF(AND(OR($C764="Expense",$C764="Other Income"),$E764=""),"Head needed",IF($F764="","Account needed","OK")))),IF($C764="","","PRO PLAN"))</f>
        <v/>
      </c>
    </row>
    <row r="765" customFormat="false" ht="15" hidden="false" customHeight="false" outlineLevel="0" collapsed="false">
      <c r="A765" s="55"/>
      <c r="B765" s="56"/>
      <c r="C765" s="56"/>
      <c r="D765" s="56"/>
      <c r="E765" s="56"/>
      <c r="F765" s="56"/>
      <c r="G765" s="58"/>
      <c r="H765" s="56"/>
      <c r="I765" s="61" t="str">
        <f aca="false">IF(IsPro,IF(OR($C765="",N($G765)=0),"",IF(OR($C765="Receipt",$C765="Other Income",$C765="Capital In",$C765="Transfer In"),$G765,0)),"")</f>
        <v/>
      </c>
      <c r="J765" s="61" t="str">
        <f aca="false">IF(IsPro,IF(OR($C765="",N($G765)=0),"",IF(I765=0,$G765,0)),"")</f>
        <v/>
      </c>
      <c r="K765" s="60" t="str">
        <f aca="false">IF(IsPro,IF($C765="","",IF(AND(OR($C765="Receipt",$C765="Payment"),$D765=""),"Party needed",IF(AND(OR($C765="Expense",$C765="Other Income"),$E765=""),"Head needed",IF($F765="","Account needed","OK")))),IF($C765="","","PRO PLAN"))</f>
        <v/>
      </c>
    </row>
    <row r="766" customFormat="false" ht="15" hidden="false" customHeight="false" outlineLevel="0" collapsed="false">
      <c r="A766" s="55"/>
      <c r="B766" s="56"/>
      <c r="C766" s="56"/>
      <c r="D766" s="56"/>
      <c r="E766" s="56"/>
      <c r="F766" s="56"/>
      <c r="G766" s="58"/>
      <c r="H766" s="56"/>
      <c r="I766" s="61" t="str">
        <f aca="false">IF(IsPro,IF(OR($C766="",N($G766)=0),"",IF(OR($C766="Receipt",$C766="Other Income",$C766="Capital In",$C766="Transfer In"),$G766,0)),"")</f>
        <v/>
      </c>
      <c r="J766" s="61" t="str">
        <f aca="false">IF(IsPro,IF(OR($C766="",N($G766)=0),"",IF(I766=0,$G766,0)),"")</f>
        <v/>
      </c>
      <c r="K766" s="60" t="str">
        <f aca="false">IF(IsPro,IF($C766="","",IF(AND(OR($C766="Receipt",$C766="Payment"),$D766=""),"Party needed",IF(AND(OR($C766="Expense",$C766="Other Income"),$E766=""),"Head needed",IF($F766="","Account needed","OK")))),IF($C766="","","PRO PLAN"))</f>
        <v/>
      </c>
    </row>
    <row r="767" customFormat="false" ht="15" hidden="false" customHeight="false" outlineLevel="0" collapsed="false">
      <c r="A767" s="55"/>
      <c r="B767" s="56"/>
      <c r="C767" s="56"/>
      <c r="D767" s="56"/>
      <c r="E767" s="56"/>
      <c r="F767" s="56"/>
      <c r="G767" s="58"/>
      <c r="H767" s="56"/>
      <c r="I767" s="61" t="str">
        <f aca="false">IF(IsPro,IF(OR($C767="",N($G767)=0),"",IF(OR($C767="Receipt",$C767="Other Income",$C767="Capital In",$C767="Transfer In"),$G767,0)),"")</f>
        <v/>
      </c>
      <c r="J767" s="61" t="str">
        <f aca="false">IF(IsPro,IF(OR($C767="",N($G767)=0),"",IF(I767=0,$G767,0)),"")</f>
        <v/>
      </c>
      <c r="K767" s="60" t="str">
        <f aca="false">IF(IsPro,IF($C767="","",IF(AND(OR($C767="Receipt",$C767="Payment"),$D767=""),"Party needed",IF(AND(OR($C767="Expense",$C767="Other Income"),$E767=""),"Head needed",IF($F767="","Account needed","OK")))),IF($C767="","","PRO PLAN"))</f>
        <v/>
      </c>
    </row>
    <row r="768" customFormat="false" ht="15" hidden="false" customHeight="false" outlineLevel="0" collapsed="false">
      <c r="A768" s="55"/>
      <c r="B768" s="56"/>
      <c r="C768" s="56"/>
      <c r="D768" s="56"/>
      <c r="E768" s="56"/>
      <c r="F768" s="56"/>
      <c r="G768" s="58"/>
      <c r="H768" s="56"/>
      <c r="I768" s="61" t="str">
        <f aca="false">IF(IsPro,IF(OR($C768="",N($G768)=0),"",IF(OR($C768="Receipt",$C768="Other Income",$C768="Capital In",$C768="Transfer In"),$G768,0)),"")</f>
        <v/>
      </c>
      <c r="J768" s="61" t="str">
        <f aca="false">IF(IsPro,IF(OR($C768="",N($G768)=0),"",IF(I768=0,$G768,0)),"")</f>
        <v/>
      </c>
      <c r="K768" s="60" t="str">
        <f aca="false">IF(IsPro,IF($C768="","",IF(AND(OR($C768="Receipt",$C768="Payment"),$D768=""),"Party needed",IF(AND(OR($C768="Expense",$C768="Other Income"),$E768=""),"Head needed",IF($F768="","Account needed","OK")))),IF($C768="","","PRO PLAN"))</f>
        <v/>
      </c>
    </row>
    <row r="769" customFormat="false" ht="15" hidden="false" customHeight="false" outlineLevel="0" collapsed="false">
      <c r="A769" s="55"/>
      <c r="B769" s="56"/>
      <c r="C769" s="56"/>
      <c r="D769" s="56"/>
      <c r="E769" s="56"/>
      <c r="F769" s="56"/>
      <c r="G769" s="58"/>
      <c r="H769" s="56"/>
      <c r="I769" s="61" t="str">
        <f aca="false">IF(IsPro,IF(OR($C769="",N($G769)=0),"",IF(OR($C769="Receipt",$C769="Other Income",$C769="Capital In",$C769="Transfer In"),$G769,0)),"")</f>
        <v/>
      </c>
      <c r="J769" s="61" t="str">
        <f aca="false">IF(IsPro,IF(OR($C769="",N($G769)=0),"",IF(I769=0,$G769,0)),"")</f>
        <v/>
      </c>
      <c r="K769" s="60" t="str">
        <f aca="false">IF(IsPro,IF($C769="","",IF(AND(OR($C769="Receipt",$C769="Payment"),$D769=""),"Party needed",IF(AND(OR($C769="Expense",$C769="Other Income"),$E769=""),"Head needed",IF($F769="","Account needed","OK")))),IF($C769="","","PRO PLAN"))</f>
        <v/>
      </c>
    </row>
    <row r="770" customFormat="false" ht="15" hidden="false" customHeight="false" outlineLevel="0" collapsed="false">
      <c r="A770" s="55"/>
      <c r="B770" s="56"/>
      <c r="C770" s="56"/>
      <c r="D770" s="56"/>
      <c r="E770" s="56"/>
      <c r="F770" s="56"/>
      <c r="G770" s="58"/>
      <c r="H770" s="56"/>
      <c r="I770" s="61" t="str">
        <f aca="false">IF(IsPro,IF(OR($C770="",N($G770)=0),"",IF(OR($C770="Receipt",$C770="Other Income",$C770="Capital In",$C770="Transfer In"),$G770,0)),"")</f>
        <v/>
      </c>
      <c r="J770" s="61" t="str">
        <f aca="false">IF(IsPro,IF(OR($C770="",N($G770)=0),"",IF(I770=0,$G770,0)),"")</f>
        <v/>
      </c>
      <c r="K770" s="60" t="str">
        <f aca="false">IF(IsPro,IF($C770="","",IF(AND(OR($C770="Receipt",$C770="Payment"),$D770=""),"Party needed",IF(AND(OR($C770="Expense",$C770="Other Income"),$E770=""),"Head needed",IF($F770="","Account needed","OK")))),IF($C770="","","PRO PLAN"))</f>
        <v/>
      </c>
    </row>
    <row r="771" customFormat="false" ht="15" hidden="false" customHeight="false" outlineLevel="0" collapsed="false">
      <c r="A771" s="55"/>
      <c r="B771" s="56"/>
      <c r="C771" s="56"/>
      <c r="D771" s="56"/>
      <c r="E771" s="56"/>
      <c r="F771" s="56"/>
      <c r="G771" s="58"/>
      <c r="H771" s="56"/>
      <c r="I771" s="61" t="str">
        <f aca="false">IF(IsPro,IF(OR($C771="",N($G771)=0),"",IF(OR($C771="Receipt",$C771="Other Income",$C771="Capital In",$C771="Transfer In"),$G771,0)),"")</f>
        <v/>
      </c>
      <c r="J771" s="61" t="str">
        <f aca="false">IF(IsPro,IF(OR($C771="",N($G771)=0),"",IF(I771=0,$G771,0)),"")</f>
        <v/>
      </c>
      <c r="K771" s="60" t="str">
        <f aca="false">IF(IsPro,IF($C771="","",IF(AND(OR($C771="Receipt",$C771="Payment"),$D771=""),"Party needed",IF(AND(OR($C771="Expense",$C771="Other Income"),$E771=""),"Head needed",IF($F771="","Account needed","OK")))),IF($C771="","","PRO PLAN"))</f>
        <v/>
      </c>
    </row>
    <row r="772" customFormat="false" ht="15" hidden="false" customHeight="false" outlineLevel="0" collapsed="false">
      <c r="A772" s="55"/>
      <c r="B772" s="56"/>
      <c r="C772" s="56"/>
      <c r="D772" s="56"/>
      <c r="E772" s="56"/>
      <c r="F772" s="56"/>
      <c r="G772" s="58"/>
      <c r="H772" s="56"/>
      <c r="I772" s="61" t="str">
        <f aca="false">IF(IsPro,IF(OR($C772="",N($G772)=0),"",IF(OR($C772="Receipt",$C772="Other Income",$C772="Capital In",$C772="Transfer In"),$G772,0)),"")</f>
        <v/>
      </c>
      <c r="J772" s="61" t="str">
        <f aca="false">IF(IsPro,IF(OR($C772="",N($G772)=0),"",IF(I772=0,$G772,0)),"")</f>
        <v/>
      </c>
      <c r="K772" s="60" t="str">
        <f aca="false">IF(IsPro,IF($C772="","",IF(AND(OR($C772="Receipt",$C772="Payment"),$D772=""),"Party needed",IF(AND(OR($C772="Expense",$C772="Other Income"),$E772=""),"Head needed",IF($F772="","Account needed","OK")))),IF($C772="","","PRO PLAN"))</f>
        <v/>
      </c>
    </row>
    <row r="773" customFormat="false" ht="15" hidden="false" customHeight="false" outlineLevel="0" collapsed="false">
      <c r="A773" s="55"/>
      <c r="B773" s="56"/>
      <c r="C773" s="56"/>
      <c r="D773" s="56"/>
      <c r="E773" s="56"/>
      <c r="F773" s="56"/>
      <c r="G773" s="58"/>
      <c r="H773" s="56"/>
      <c r="I773" s="61" t="str">
        <f aca="false">IF(IsPro,IF(OR($C773="",N($G773)=0),"",IF(OR($C773="Receipt",$C773="Other Income",$C773="Capital In",$C773="Transfer In"),$G773,0)),"")</f>
        <v/>
      </c>
      <c r="J773" s="61" t="str">
        <f aca="false">IF(IsPro,IF(OR($C773="",N($G773)=0),"",IF(I773=0,$G773,0)),"")</f>
        <v/>
      </c>
      <c r="K773" s="60" t="str">
        <f aca="false">IF(IsPro,IF($C773="","",IF(AND(OR($C773="Receipt",$C773="Payment"),$D773=""),"Party needed",IF(AND(OR($C773="Expense",$C773="Other Income"),$E773=""),"Head needed",IF($F773="","Account needed","OK")))),IF($C773="","","PRO PLAN"))</f>
        <v/>
      </c>
    </row>
    <row r="774" customFormat="false" ht="15" hidden="false" customHeight="false" outlineLevel="0" collapsed="false">
      <c r="A774" s="55"/>
      <c r="B774" s="56"/>
      <c r="C774" s="56"/>
      <c r="D774" s="56"/>
      <c r="E774" s="56"/>
      <c r="F774" s="56"/>
      <c r="G774" s="58"/>
      <c r="H774" s="56"/>
      <c r="I774" s="61" t="str">
        <f aca="false">IF(IsPro,IF(OR($C774="",N($G774)=0),"",IF(OR($C774="Receipt",$C774="Other Income",$C774="Capital In",$C774="Transfer In"),$G774,0)),"")</f>
        <v/>
      </c>
      <c r="J774" s="61" t="str">
        <f aca="false">IF(IsPro,IF(OR($C774="",N($G774)=0),"",IF(I774=0,$G774,0)),"")</f>
        <v/>
      </c>
      <c r="K774" s="60" t="str">
        <f aca="false">IF(IsPro,IF($C774="","",IF(AND(OR($C774="Receipt",$C774="Payment"),$D774=""),"Party needed",IF(AND(OR($C774="Expense",$C774="Other Income"),$E774=""),"Head needed",IF($F774="","Account needed","OK")))),IF($C774="","","PRO PLAN"))</f>
        <v/>
      </c>
    </row>
    <row r="775" customFormat="false" ht="15" hidden="false" customHeight="false" outlineLevel="0" collapsed="false">
      <c r="A775" s="55"/>
      <c r="B775" s="56"/>
      <c r="C775" s="56"/>
      <c r="D775" s="56"/>
      <c r="E775" s="56"/>
      <c r="F775" s="56"/>
      <c r="G775" s="58"/>
      <c r="H775" s="56"/>
      <c r="I775" s="61" t="str">
        <f aca="false">IF(IsPro,IF(OR($C775="",N($G775)=0),"",IF(OR($C775="Receipt",$C775="Other Income",$C775="Capital In",$C775="Transfer In"),$G775,0)),"")</f>
        <v/>
      </c>
      <c r="J775" s="61" t="str">
        <f aca="false">IF(IsPro,IF(OR($C775="",N($G775)=0),"",IF(I775=0,$G775,0)),"")</f>
        <v/>
      </c>
      <c r="K775" s="60" t="str">
        <f aca="false">IF(IsPro,IF($C775="","",IF(AND(OR($C775="Receipt",$C775="Payment"),$D775=""),"Party needed",IF(AND(OR($C775="Expense",$C775="Other Income"),$E775=""),"Head needed",IF($F775="","Account needed","OK")))),IF($C775="","","PRO PLAN"))</f>
        <v/>
      </c>
    </row>
    <row r="776" customFormat="false" ht="15" hidden="false" customHeight="false" outlineLevel="0" collapsed="false">
      <c r="A776" s="55"/>
      <c r="B776" s="56"/>
      <c r="C776" s="56"/>
      <c r="D776" s="56"/>
      <c r="E776" s="56"/>
      <c r="F776" s="56"/>
      <c r="G776" s="58"/>
      <c r="H776" s="56"/>
      <c r="I776" s="61" t="str">
        <f aca="false">IF(IsPro,IF(OR($C776="",N($G776)=0),"",IF(OR($C776="Receipt",$C776="Other Income",$C776="Capital In",$C776="Transfer In"),$G776,0)),"")</f>
        <v/>
      </c>
      <c r="J776" s="61" t="str">
        <f aca="false">IF(IsPro,IF(OR($C776="",N($G776)=0),"",IF(I776=0,$G776,0)),"")</f>
        <v/>
      </c>
      <c r="K776" s="60" t="str">
        <f aca="false">IF(IsPro,IF($C776="","",IF(AND(OR($C776="Receipt",$C776="Payment"),$D776=""),"Party needed",IF(AND(OR($C776="Expense",$C776="Other Income"),$E776=""),"Head needed",IF($F776="","Account needed","OK")))),IF($C776="","","PRO PLAN"))</f>
        <v/>
      </c>
    </row>
    <row r="777" customFormat="false" ht="15" hidden="false" customHeight="false" outlineLevel="0" collapsed="false">
      <c r="A777" s="55"/>
      <c r="B777" s="56"/>
      <c r="C777" s="56"/>
      <c r="D777" s="56"/>
      <c r="E777" s="56"/>
      <c r="F777" s="56"/>
      <c r="G777" s="58"/>
      <c r="H777" s="56"/>
      <c r="I777" s="61" t="str">
        <f aca="false">IF(IsPro,IF(OR($C777="",N($G777)=0),"",IF(OR($C777="Receipt",$C777="Other Income",$C777="Capital In",$C777="Transfer In"),$G777,0)),"")</f>
        <v/>
      </c>
      <c r="J777" s="61" t="str">
        <f aca="false">IF(IsPro,IF(OR($C777="",N($G777)=0),"",IF(I777=0,$G777,0)),"")</f>
        <v/>
      </c>
      <c r="K777" s="60" t="str">
        <f aca="false">IF(IsPro,IF($C777="","",IF(AND(OR($C777="Receipt",$C777="Payment"),$D777=""),"Party needed",IF(AND(OR($C777="Expense",$C777="Other Income"),$E777=""),"Head needed",IF($F777="","Account needed","OK")))),IF($C777="","","PRO PLAN"))</f>
        <v/>
      </c>
    </row>
    <row r="778" customFormat="false" ht="15" hidden="false" customHeight="false" outlineLevel="0" collapsed="false">
      <c r="A778" s="55"/>
      <c r="B778" s="56"/>
      <c r="C778" s="56"/>
      <c r="D778" s="56"/>
      <c r="E778" s="56"/>
      <c r="F778" s="56"/>
      <c r="G778" s="58"/>
      <c r="H778" s="56"/>
      <c r="I778" s="61" t="str">
        <f aca="false">IF(IsPro,IF(OR($C778="",N($G778)=0),"",IF(OR($C778="Receipt",$C778="Other Income",$C778="Capital In",$C778="Transfer In"),$G778,0)),"")</f>
        <v/>
      </c>
      <c r="J778" s="61" t="str">
        <f aca="false">IF(IsPro,IF(OR($C778="",N($G778)=0),"",IF(I778=0,$G778,0)),"")</f>
        <v/>
      </c>
      <c r="K778" s="60" t="str">
        <f aca="false">IF(IsPro,IF($C778="","",IF(AND(OR($C778="Receipt",$C778="Payment"),$D778=""),"Party needed",IF(AND(OR($C778="Expense",$C778="Other Income"),$E778=""),"Head needed",IF($F778="","Account needed","OK")))),IF($C778="","","PRO PLAN"))</f>
        <v/>
      </c>
    </row>
    <row r="779" customFormat="false" ht="15" hidden="false" customHeight="false" outlineLevel="0" collapsed="false">
      <c r="A779" s="55"/>
      <c r="B779" s="56"/>
      <c r="C779" s="56"/>
      <c r="D779" s="56"/>
      <c r="E779" s="56"/>
      <c r="F779" s="56"/>
      <c r="G779" s="58"/>
      <c r="H779" s="56"/>
      <c r="I779" s="61" t="str">
        <f aca="false">IF(IsPro,IF(OR($C779="",N($G779)=0),"",IF(OR($C779="Receipt",$C779="Other Income",$C779="Capital In",$C779="Transfer In"),$G779,0)),"")</f>
        <v/>
      </c>
      <c r="J779" s="61" t="str">
        <f aca="false">IF(IsPro,IF(OR($C779="",N($G779)=0),"",IF(I779=0,$G779,0)),"")</f>
        <v/>
      </c>
      <c r="K779" s="60" t="str">
        <f aca="false">IF(IsPro,IF($C779="","",IF(AND(OR($C779="Receipt",$C779="Payment"),$D779=""),"Party needed",IF(AND(OR($C779="Expense",$C779="Other Income"),$E779=""),"Head needed",IF($F779="","Account needed","OK")))),IF($C779="","","PRO PLAN"))</f>
        <v/>
      </c>
    </row>
    <row r="780" customFormat="false" ht="15" hidden="false" customHeight="false" outlineLevel="0" collapsed="false">
      <c r="A780" s="55"/>
      <c r="B780" s="56"/>
      <c r="C780" s="56"/>
      <c r="D780" s="56"/>
      <c r="E780" s="56"/>
      <c r="F780" s="56"/>
      <c r="G780" s="58"/>
      <c r="H780" s="56"/>
      <c r="I780" s="61" t="str">
        <f aca="false">IF(IsPro,IF(OR($C780="",N($G780)=0),"",IF(OR($C780="Receipt",$C780="Other Income",$C780="Capital In",$C780="Transfer In"),$G780,0)),"")</f>
        <v/>
      </c>
      <c r="J780" s="61" t="str">
        <f aca="false">IF(IsPro,IF(OR($C780="",N($G780)=0),"",IF(I780=0,$G780,0)),"")</f>
        <v/>
      </c>
      <c r="K780" s="60" t="str">
        <f aca="false">IF(IsPro,IF($C780="","",IF(AND(OR($C780="Receipt",$C780="Payment"),$D780=""),"Party needed",IF(AND(OR($C780="Expense",$C780="Other Income"),$E780=""),"Head needed",IF($F780="","Account needed","OK")))),IF($C780="","","PRO PLAN"))</f>
        <v/>
      </c>
    </row>
    <row r="781" customFormat="false" ht="15" hidden="false" customHeight="false" outlineLevel="0" collapsed="false">
      <c r="A781" s="55"/>
      <c r="B781" s="56"/>
      <c r="C781" s="56"/>
      <c r="D781" s="56"/>
      <c r="E781" s="56"/>
      <c r="F781" s="56"/>
      <c r="G781" s="58"/>
      <c r="H781" s="56"/>
      <c r="I781" s="61" t="str">
        <f aca="false">IF(IsPro,IF(OR($C781="",N($G781)=0),"",IF(OR($C781="Receipt",$C781="Other Income",$C781="Capital In",$C781="Transfer In"),$G781,0)),"")</f>
        <v/>
      </c>
      <c r="J781" s="61" t="str">
        <f aca="false">IF(IsPro,IF(OR($C781="",N($G781)=0),"",IF(I781=0,$G781,0)),"")</f>
        <v/>
      </c>
      <c r="K781" s="60" t="str">
        <f aca="false">IF(IsPro,IF($C781="","",IF(AND(OR($C781="Receipt",$C781="Payment"),$D781=""),"Party needed",IF(AND(OR($C781="Expense",$C781="Other Income"),$E781=""),"Head needed",IF($F781="","Account needed","OK")))),IF($C781="","","PRO PLAN"))</f>
        <v/>
      </c>
    </row>
    <row r="782" customFormat="false" ht="15" hidden="false" customHeight="false" outlineLevel="0" collapsed="false">
      <c r="A782" s="55"/>
      <c r="B782" s="56"/>
      <c r="C782" s="56"/>
      <c r="D782" s="56"/>
      <c r="E782" s="56"/>
      <c r="F782" s="56"/>
      <c r="G782" s="58"/>
      <c r="H782" s="56"/>
      <c r="I782" s="61" t="str">
        <f aca="false">IF(IsPro,IF(OR($C782="",N($G782)=0),"",IF(OR($C782="Receipt",$C782="Other Income",$C782="Capital In",$C782="Transfer In"),$G782,0)),"")</f>
        <v/>
      </c>
      <c r="J782" s="61" t="str">
        <f aca="false">IF(IsPro,IF(OR($C782="",N($G782)=0),"",IF(I782=0,$G782,0)),"")</f>
        <v/>
      </c>
      <c r="K782" s="60" t="str">
        <f aca="false">IF(IsPro,IF($C782="","",IF(AND(OR($C782="Receipt",$C782="Payment"),$D782=""),"Party needed",IF(AND(OR($C782="Expense",$C782="Other Income"),$E782=""),"Head needed",IF($F782="","Account needed","OK")))),IF($C782="","","PRO PLAN"))</f>
        <v/>
      </c>
    </row>
    <row r="783" customFormat="false" ht="15" hidden="false" customHeight="false" outlineLevel="0" collapsed="false">
      <c r="A783" s="55"/>
      <c r="B783" s="56"/>
      <c r="C783" s="56"/>
      <c r="D783" s="56"/>
      <c r="E783" s="56"/>
      <c r="F783" s="56"/>
      <c r="G783" s="58"/>
      <c r="H783" s="56"/>
      <c r="I783" s="61" t="str">
        <f aca="false">IF(IsPro,IF(OR($C783="",N($G783)=0),"",IF(OR($C783="Receipt",$C783="Other Income",$C783="Capital In",$C783="Transfer In"),$G783,0)),"")</f>
        <v/>
      </c>
      <c r="J783" s="61" t="str">
        <f aca="false">IF(IsPro,IF(OR($C783="",N($G783)=0),"",IF(I783=0,$G783,0)),"")</f>
        <v/>
      </c>
      <c r="K783" s="60" t="str">
        <f aca="false">IF(IsPro,IF($C783="","",IF(AND(OR($C783="Receipt",$C783="Payment"),$D783=""),"Party needed",IF(AND(OR($C783="Expense",$C783="Other Income"),$E783=""),"Head needed",IF($F783="","Account needed","OK")))),IF($C783="","","PRO PLAN"))</f>
        <v/>
      </c>
    </row>
    <row r="784" customFormat="false" ht="15" hidden="false" customHeight="false" outlineLevel="0" collapsed="false">
      <c r="A784" s="55"/>
      <c r="B784" s="56"/>
      <c r="C784" s="56"/>
      <c r="D784" s="56"/>
      <c r="E784" s="56"/>
      <c r="F784" s="56"/>
      <c r="G784" s="58"/>
      <c r="H784" s="56"/>
      <c r="I784" s="61" t="str">
        <f aca="false">IF(IsPro,IF(OR($C784="",N($G784)=0),"",IF(OR($C784="Receipt",$C784="Other Income",$C784="Capital In",$C784="Transfer In"),$G784,0)),"")</f>
        <v/>
      </c>
      <c r="J784" s="61" t="str">
        <f aca="false">IF(IsPro,IF(OR($C784="",N($G784)=0),"",IF(I784=0,$G784,0)),"")</f>
        <v/>
      </c>
      <c r="K784" s="60" t="str">
        <f aca="false">IF(IsPro,IF($C784="","",IF(AND(OR($C784="Receipt",$C784="Payment"),$D784=""),"Party needed",IF(AND(OR($C784="Expense",$C784="Other Income"),$E784=""),"Head needed",IF($F784="","Account needed","OK")))),IF($C784="","","PRO PLAN"))</f>
        <v/>
      </c>
    </row>
    <row r="785" customFormat="false" ht="15" hidden="false" customHeight="false" outlineLevel="0" collapsed="false">
      <c r="A785" s="55"/>
      <c r="B785" s="56"/>
      <c r="C785" s="56"/>
      <c r="D785" s="56"/>
      <c r="E785" s="56"/>
      <c r="F785" s="56"/>
      <c r="G785" s="58"/>
      <c r="H785" s="56"/>
      <c r="I785" s="61" t="str">
        <f aca="false">IF(IsPro,IF(OR($C785="",N($G785)=0),"",IF(OR($C785="Receipt",$C785="Other Income",$C785="Capital In",$C785="Transfer In"),$G785,0)),"")</f>
        <v/>
      </c>
      <c r="J785" s="61" t="str">
        <f aca="false">IF(IsPro,IF(OR($C785="",N($G785)=0),"",IF(I785=0,$G785,0)),"")</f>
        <v/>
      </c>
      <c r="K785" s="60" t="str">
        <f aca="false">IF(IsPro,IF($C785="","",IF(AND(OR($C785="Receipt",$C785="Payment"),$D785=""),"Party needed",IF(AND(OR($C785="Expense",$C785="Other Income"),$E785=""),"Head needed",IF($F785="","Account needed","OK")))),IF($C785="","","PRO PLAN"))</f>
        <v/>
      </c>
    </row>
    <row r="786" customFormat="false" ht="15" hidden="false" customHeight="false" outlineLevel="0" collapsed="false">
      <c r="A786" s="55"/>
      <c r="B786" s="56"/>
      <c r="C786" s="56"/>
      <c r="D786" s="56"/>
      <c r="E786" s="56"/>
      <c r="F786" s="56"/>
      <c r="G786" s="58"/>
      <c r="H786" s="56"/>
      <c r="I786" s="61" t="str">
        <f aca="false">IF(IsPro,IF(OR($C786="",N($G786)=0),"",IF(OR($C786="Receipt",$C786="Other Income",$C786="Capital In",$C786="Transfer In"),$G786,0)),"")</f>
        <v/>
      </c>
      <c r="J786" s="61" t="str">
        <f aca="false">IF(IsPro,IF(OR($C786="",N($G786)=0),"",IF(I786=0,$G786,0)),"")</f>
        <v/>
      </c>
      <c r="K786" s="60" t="str">
        <f aca="false">IF(IsPro,IF($C786="","",IF(AND(OR($C786="Receipt",$C786="Payment"),$D786=""),"Party needed",IF(AND(OR($C786="Expense",$C786="Other Income"),$E786=""),"Head needed",IF($F786="","Account needed","OK")))),IF($C786="","","PRO PLAN"))</f>
        <v/>
      </c>
    </row>
    <row r="787" customFormat="false" ht="15" hidden="false" customHeight="false" outlineLevel="0" collapsed="false">
      <c r="A787" s="55"/>
      <c r="B787" s="56"/>
      <c r="C787" s="56"/>
      <c r="D787" s="56"/>
      <c r="E787" s="56"/>
      <c r="F787" s="56"/>
      <c r="G787" s="58"/>
      <c r="H787" s="56"/>
      <c r="I787" s="61" t="str">
        <f aca="false">IF(IsPro,IF(OR($C787="",N($G787)=0),"",IF(OR($C787="Receipt",$C787="Other Income",$C787="Capital In",$C787="Transfer In"),$G787,0)),"")</f>
        <v/>
      </c>
      <c r="J787" s="61" t="str">
        <f aca="false">IF(IsPro,IF(OR($C787="",N($G787)=0),"",IF(I787=0,$G787,0)),"")</f>
        <v/>
      </c>
      <c r="K787" s="60" t="str">
        <f aca="false">IF(IsPro,IF($C787="","",IF(AND(OR($C787="Receipt",$C787="Payment"),$D787=""),"Party needed",IF(AND(OR($C787="Expense",$C787="Other Income"),$E787=""),"Head needed",IF($F787="","Account needed","OK")))),IF($C787="","","PRO PLAN"))</f>
        <v/>
      </c>
    </row>
    <row r="788" customFormat="false" ht="15" hidden="false" customHeight="false" outlineLevel="0" collapsed="false">
      <c r="A788" s="55"/>
      <c r="B788" s="56"/>
      <c r="C788" s="56"/>
      <c r="D788" s="56"/>
      <c r="E788" s="56"/>
      <c r="F788" s="56"/>
      <c r="G788" s="58"/>
      <c r="H788" s="56"/>
      <c r="I788" s="61" t="str">
        <f aca="false">IF(IsPro,IF(OR($C788="",N($G788)=0),"",IF(OR($C788="Receipt",$C788="Other Income",$C788="Capital In",$C788="Transfer In"),$G788,0)),"")</f>
        <v/>
      </c>
      <c r="J788" s="61" t="str">
        <f aca="false">IF(IsPro,IF(OR($C788="",N($G788)=0),"",IF(I788=0,$G788,0)),"")</f>
        <v/>
      </c>
      <c r="K788" s="60" t="str">
        <f aca="false">IF(IsPro,IF($C788="","",IF(AND(OR($C788="Receipt",$C788="Payment"),$D788=""),"Party needed",IF(AND(OR($C788="Expense",$C788="Other Income"),$E788=""),"Head needed",IF($F788="","Account needed","OK")))),IF($C788="","","PRO PLAN"))</f>
        <v/>
      </c>
    </row>
    <row r="789" customFormat="false" ht="15" hidden="false" customHeight="false" outlineLevel="0" collapsed="false">
      <c r="A789" s="55"/>
      <c r="B789" s="56"/>
      <c r="C789" s="56"/>
      <c r="D789" s="56"/>
      <c r="E789" s="56"/>
      <c r="F789" s="56"/>
      <c r="G789" s="58"/>
      <c r="H789" s="56"/>
      <c r="I789" s="61" t="str">
        <f aca="false">IF(IsPro,IF(OR($C789="",N($G789)=0),"",IF(OR($C789="Receipt",$C789="Other Income",$C789="Capital In",$C789="Transfer In"),$G789,0)),"")</f>
        <v/>
      </c>
      <c r="J789" s="61" t="str">
        <f aca="false">IF(IsPro,IF(OR($C789="",N($G789)=0),"",IF(I789=0,$G789,0)),"")</f>
        <v/>
      </c>
      <c r="K789" s="60" t="str">
        <f aca="false">IF(IsPro,IF($C789="","",IF(AND(OR($C789="Receipt",$C789="Payment"),$D789=""),"Party needed",IF(AND(OR($C789="Expense",$C789="Other Income"),$E789=""),"Head needed",IF($F789="","Account needed","OK")))),IF($C789="","","PRO PLAN"))</f>
        <v/>
      </c>
    </row>
    <row r="790" customFormat="false" ht="15" hidden="false" customHeight="false" outlineLevel="0" collapsed="false">
      <c r="A790" s="55"/>
      <c r="B790" s="56"/>
      <c r="C790" s="56"/>
      <c r="D790" s="56"/>
      <c r="E790" s="56"/>
      <c r="F790" s="56"/>
      <c r="G790" s="58"/>
      <c r="H790" s="56"/>
      <c r="I790" s="61" t="str">
        <f aca="false">IF(IsPro,IF(OR($C790="",N($G790)=0),"",IF(OR($C790="Receipt",$C790="Other Income",$C790="Capital In",$C790="Transfer In"),$G790,0)),"")</f>
        <v/>
      </c>
      <c r="J790" s="61" t="str">
        <f aca="false">IF(IsPro,IF(OR($C790="",N($G790)=0),"",IF(I790=0,$G790,0)),"")</f>
        <v/>
      </c>
      <c r="K790" s="60" t="str">
        <f aca="false">IF(IsPro,IF($C790="","",IF(AND(OR($C790="Receipt",$C790="Payment"),$D790=""),"Party needed",IF(AND(OR($C790="Expense",$C790="Other Income"),$E790=""),"Head needed",IF($F790="","Account needed","OK")))),IF($C790="","","PRO PLAN"))</f>
        <v/>
      </c>
    </row>
    <row r="791" customFormat="false" ht="15" hidden="false" customHeight="false" outlineLevel="0" collapsed="false">
      <c r="A791" s="55"/>
      <c r="B791" s="56"/>
      <c r="C791" s="56"/>
      <c r="D791" s="56"/>
      <c r="E791" s="56"/>
      <c r="F791" s="56"/>
      <c r="G791" s="58"/>
      <c r="H791" s="56"/>
      <c r="I791" s="61" t="str">
        <f aca="false">IF(IsPro,IF(OR($C791="",N($G791)=0),"",IF(OR($C791="Receipt",$C791="Other Income",$C791="Capital In",$C791="Transfer In"),$G791,0)),"")</f>
        <v/>
      </c>
      <c r="J791" s="61" t="str">
        <f aca="false">IF(IsPro,IF(OR($C791="",N($G791)=0),"",IF(I791=0,$G791,0)),"")</f>
        <v/>
      </c>
      <c r="K791" s="60" t="str">
        <f aca="false">IF(IsPro,IF($C791="","",IF(AND(OR($C791="Receipt",$C791="Payment"),$D791=""),"Party needed",IF(AND(OR($C791="Expense",$C791="Other Income"),$E791=""),"Head needed",IF($F791="","Account needed","OK")))),IF($C791="","","PRO PLAN"))</f>
        <v/>
      </c>
    </row>
    <row r="792" customFormat="false" ht="15" hidden="false" customHeight="false" outlineLevel="0" collapsed="false">
      <c r="A792" s="55"/>
      <c r="B792" s="56"/>
      <c r="C792" s="56"/>
      <c r="D792" s="56"/>
      <c r="E792" s="56"/>
      <c r="F792" s="56"/>
      <c r="G792" s="58"/>
      <c r="H792" s="56"/>
      <c r="I792" s="61" t="str">
        <f aca="false">IF(IsPro,IF(OR($C792="",N($G792)=0),"",IF(OR($C792="Receipt",$C792="Other Income",$C792="Capital In",$C792="Transfer In"),$G792,0)),"")</f>
        <v/>
      </c>
      <c r="J792" s="61" t="str">
        <f aca="false">IF(IsPro,IF(OR($C792="",N($G792)=0),"",IF(I792=0,$G792,0)),"")</f>
        <v/>
      </c>
      <c r="K792" s="60" t="str">
        <f aca="false">IF(IsPro,IF($C792="","",IF(AND(OR($C792="Receipt",$C792="Payment"),$D792=""),"Party needed",IF(AND(OR($C792="Expense",$C792="Other Income"),$E792=""),"Head needed",IF($F792="","Account needed","OK")))),IF($C792="","","PRO PLAN"))</f>
        <v/>
      </c>
    </row>
    <row r="793" customFormat="false" ht="15" hidden="false" customHeight="false" outlineLevel="0" collapsed="false">
      <c r="A793" s="55"/>
      <c r="B793" s="56"/>
      <c r="C793" s="56"/>
      <c r="D793" s="56"/>
      <c r="E793" s="56"/>
      <c r="F793" s="56"/>
      <c r="G793" s="58"/>
      <c r="H793" s="56"/>
      <c r="I793" s="61" t="str">
        <f aca="false">IF(IsPro,IF(OR($C793="",N($G793)=0),"",IF(OR($C793="Receipt",$C793="Other Income",$C793="Capital In",$C793="Transfer In"),$G793,0)),"")</f>
        <v/>
      </c>
      <c r="J793" s="61" t="str">
        <f aca="false">IF(IsPro,IF(OR($C793="",N($G793)=0),"",IF(I793=0,$G793,0)),"")</f>
        <v/>
      </c>
      <c r="K793" s="60" t="str">
        <f aca="false">IF(IsPro,IF($C793="","",IF(AND(OR($C793="Receipt",$C793="Payment"),$D793=""),"Party needed",IF(AND(OR($C793="Expense",$C793="Other Income"),$E793=""),"Head needed",IF($F793="","Account needed","OK")))),IF($C793="","","PRO PLAN"))</f>
        <v/>
      </c>
    </row>
    <row r="794" customFormat="false" ht="15" hidden="false" customHeight="false" outlineLevel="0" collapsed="false">
      <c r="A794" s="55"/>
      <c r="B794" s="56"/>
      <c r="C794" s="56"/>
      <c r="D794" s="56"/>
      <c r="E794" s="56"/>
      <c r="F794" s="56"/>
      <c r="G794" s="58"/>
      <c r="H794" s="56"/>
      <c r="I794" s="61" t="str">
        <f aca="false">IF(IsPro,IF(OR($C794="",N($G794)=0),"",IF(OR($C794="Receipt",$C794="Other Income",$C794="Capital In",$C794="Transfer In"),$G794,0)),"")</f>
        <v/>
      </c>
      <c r="J794" s="61" t="str">
        <f aca="false">IF(IsPro,IF(OR($C794="",N($G794)=0),"",IF(I794=0,$G794,0)),"")</f>
        <v/>
      </c>
      <c r="K794" s="60" t="str">
        <f aca="false">IF(IsPro,IF($C794="","",IF(AND(OR($C794="Receipt",$C794="Payment"),$D794=""),"Party needed",IF(AND(OR($C794="Expense",$C794="Other Income"),$E794=""),"Head needed",IF($F794="","Account needed","OK")))),IF($C794="","","PRO PLAN"))</f>
        <v/>
      </c>
    </row>
    <row r="795" customFormat="false" ht="15" hidden="false" customHeight="false" outlineLevel="0" collapsed="false">
      <c r="A795" s="55"/>
      <c r="B795" s="56"/>
      <c r="C795" s="56"/>
      <c r="D795" s="56"/>
      <c r="E795" s="56"/>
      <c r="F795" s="56"/>
      <c r="G795" s="58"/>
      <c r="H795" s="56"/>
      <c r="I795" s="61" t="str">
        <f aca="false">IF(IsPro,IF(OR($C795="",N($G795)=0),"",IF(OR($C795="Receipt",$C795="Other Income",$C795="Capital In",$C795="Transfer In"),$G795,0)),"")</f>
        <v/>
      </c>
      <c r="J795" s="61" t="str">
        <f aca="false">IF(IsPro,IF(OR($C795="",N($G795)=0),"",IF(I795=0,$G795,0)),"")</f>
        <v/>
      </c>
      <c r="K795" s="60" t="str">
        <f aca="false">IF(IsPro,IF($C795="","",IF(AND(OR($C795="Receipt",$C795="Payment"),$D795=""),"Party needed",IF(AND(OR($C795="Expense",$C795="Other Income"),$E795=""),"Head needed",IF($F795="","Account needed","OK")))),IF($C795="","","PRO PLAN"))</f>
        <v/>
      </c>
    </row>
    <row r="796" customFormat="false" ht="15" hidden="false" customHeight="false" outlineLevel="0" collapsed="false">
      <c r="A796" s="55"/>
      <c r="B796" s="56"/>
      <c r="C796" s="56"/>
      <c r="D796" s="56"/>
      <c r="E796" s="56"/>
      <c r="F796" s="56"/>
      <c r="G796" s="58"/>
      <c r="H796" s="56"/>
      <c r="I796" s="61" t="str">
        <f aca="false">IF(IsPro,IF(OR($C796="",N($G796)=0),"",IF(OR($C796="Receipt",$C796="Other Income",$C796="Capital In",$C796="Transfer In"),$G796,0)),"")</f>
        <v/>
      </c>
      <c r="J796" s="61" t="str">
        <f aca="false">IF(IsPro,IF(OR($C796="",N($G796)=0),"",IF(I796=0,$G796,0)),"")</f>
        <v/>
      </c>
      <c r="K796" s="60" t="str">
        <f aca="false">IF(IsPro,IF($C796="","",IF(AND(OR($C796="Receipt",$C796="Payment"),$D796=""),"Party needed",IF(AND(OR($C796="Expense",$C796="Other Income"),$E796=""),"Head needed",IF($F796="","Account needed","OK")))),IF($C796="","","PRO PLAN"))</f>
        <v/>
      </c>
    </row>
    <row r="797" customFormat="false" ht="15" hidden="false" customHeight="false" outlineLevel="0" collapsed="false">
      <c r="A797" s="55"/>
      <c r="B797" s="56"/>
      <c r="C797" s="56"/>
      <c r="D797" s="56"/>
      <c r="E797" s="56"/>
      <c r="F797" s="56"/>
      <c r="G797" s="58"/>
      <c r="H797" s="56"/>
      <c r="I797" s="61" t="str">
        <f aca="false">IF(IsPro,IF(OR($C797="",N($G797)=0),"",IF(OR($C797="Receipt",$C797="Other Income",$C797="Capital In",$C797="Transfer In"),$G797,0)),"")</f>
        <v/>
      </c>
      <c r="J797" s="61" t="str">
        <f aca="false">IF(IsPro,IF(OR($C797="",N($G797)=0),"",IF(I797=0,$G797,0)),"")</f>
        <v/>
      </c>
      <c r="K797" s="60" t="str">
        <f aca="false">IF(IsPro,IF($C797="","",IF(AND(OR($C797="Receipt",$C797="Payment"),$D797=""),"Party needed",IF(AND(OR($C797="Expense",$C797="Other Income"),$E797=""),"Head needed",IF($F797="","Account needed","OK")))),IF($C797="","","PRO PLAN"))</f>
        <v/>
      </c>
    </row>
    <row r="798" customFormat="false" ht="15" hidden="false" customHeight="false" outlineLevel="0" collapsed="false">
      <c r="A798" s="55"/>
      <c r="B798" s="56"/>
      <c r="C798" s="56"/>
      <c r="D798" s="56"/>
      <c r="E798" s="56"/>
      <c r="F798" s="56"/>
      <c r="G798" s="58"/>
      <c r="H798" s="56"/>
      <c r="I798" s="61" t="str">
        <f aca="false">IF(IsPro,IF(OR($C798="",N($G798)=0),"",IF(OR($C798="Receipt",$C798="Other Income",$C798="Capital In",$C798="Transfer In"),$G798,0)),"")</f>
        <v/>
      </c>
      <c r="J798" s="61" t="str">
        <f aca="false">IF(IsPro,IF(OR($C798="",N($G798)=0),"",IF(I798=0,$G798,0)),"")</f>
        <v/>
      </c>
      <c r="K798" s="60" t="str">
        <f aca="false">IF(IsPro,IF($C798="","",IF(AND(OR($C798="Receipt",$C798="Payment"),$D798=""),"Party needed",IF(AND(OR($C798="Expense",$C798="Other Income"),$E798=""),"Head needed",IF($F798="","Account needed","OK")))),IF($C798="","","PRO PLAN"))</f>
        <v/>
      </c>
    </row>
    <row r="799" customFormat="false" ht="15" hidden="false" customHeight="false" outlineLevel="0" collapsed="false">
      <c r="A799" s="55"/>
      <c r="B799" s="56"/>
      <c r="C799" s="56"/>
      <c r="D799" s="56"/>
      <c r="E799" s="56"/>
      <c r="F799" s="56"/>
      <c r="G799" s="58"/>
      <c r="H799" s="56"/>
      <c r="I799" s="61" t="str">
        <f aca="false">IF(IsPro,IF(OR($C799="",N($G799)=0),"",IF(OR($C799="Receipt",$C799="Other Income",$C799="Capital In",$C799="Transfer In"),$G799,0)),"")</f>
        <v/>
      </c>
      <c r="J799" s="61" t="str">
        <f aca="false">IF(IsPro,IF(OR($C799="",N($G799)=0),"",IF(I799=0,$G799,0)),"")</f>
        <v/>
      </c>
      <c r="K799" s="60" t="str">
        <f aca="false">IF(IsPro,IF($C799="","",IF(AND(OR($C799="Receipt",$C799="Payment"),$D799=""),"Party needed",IF(AND(OR($C799="Expense",$C799="Other Income"),$E799=""),"Head needed",IF($F799="","Account needed","OK")))),IF($C799="","","PRO PLAN"))</f>
        <v/>
      </c>
    </row>
    <row r="800" customFormat="false" ht="15" hidden="false" customHeight="false" outlineLevel="0" collapsed="false">
      <c r="A800" s="55"/>
      <c r="B800" s="56"/>
      <c r="C800" s="56"/>
      <c r="D800" s="56"/>
      <c r="E800" s="56"/>
      <c r="F800" s="56"/>
      <c r="G800" s="58"/>
      <c r="H800" s="56"/>
      <c r="I800" s="61" t="str">
        <f aca="false">IF(IsPro,IF(OR($C800="",N($G800)=0),"",IF(OR($C800="Receipt",$C800="Other Income",$C800="Capital In",$C800="Transfer In"),$G800,0)),"")</f>
        <v/>
      </c>
      <c r="J800" s="61" t="str">
        <f aca="false">IF(IsPro,IF(OR($C800="",N($G800)=0),"",IF(I800=0,$G800,0)),"")</f>
        <v/>
      </c>
      <c r="K800" s="60" t="str">
        <f aca="false">IF(IsPro,IF($C800="","",IF(AND(OR($C800="Receipt",$C800="Payment"),$D800=""),"Party needed",IF(AND(OR($C800="Expense",$C800="Other Income"),$E800=""),"Head needed",IF($F800="","Account needed","OK")))),IF($C800="","","PRO PLAN"))</f>
        <v/>
      </c>
    </row>
    <row r="801" customFormat="false" ht="15" hidden="false" customHeight="false" outlineLevel="0" collapsed="false">
      <c r="A801" s="55"/>
      <c r="B801" s="56"/>
      <c r="C801" s="56"/>
      <c r="D801" s="56"/>
      <c r="E801" s="56"/>
      <c r="F801" s="56"/>
      <c r="G801" s="58"/>
      <c r="H801" s="56"/>
      <c r="I801" s="61" t="str">
        <f aca="false">IF(IsPro,IF(OR($C801="",N($G801)=0),"",IF(OR($C801="Receipt",$C801="Other Income",$C801="Capital In",$C801="Transfer In"),$G801,0)),"")</f>
        <v/>
      </c>
      <c r="J801" s="61" t="str">
        <f aca="false">IF(IsPro,IF(OR($C801="",N($G801)=0),"",IF(I801=0,$G801,0)),"")</f>
        <v/>
      </c>
      <c r="K801" s="60" t="str">
        <f aca="false">IF(IsPro,IF($C801="","",IF(AND(OR($C801="Receipt",$C801="Payment"),$D801=""),"Party needed",IF(AND(OR($C801="Expense",$C801="Other Income"),$E801=""),"Head needed",IF($F801="","Account needed","OK")))),IF($C801="","","PRO PLAN"))</f>
        <v/>
      </c>
    </row>
    <row r="802" customFormat="false" ht="15" hidden="false" customHeight="false" outlineLevel="0" collapsed="false">
      <c r="A802" s="55"/>
      <c r="B802" s="56"/>
      <c r="C802" s="56"/>
      <c r="D802" s="56"/>
      <c r="E802" s="56"/>
      <c r="F802" s="56"/>
      <c r="G802" s="58"/>
      <c r="H802" s="56"/>
      <c r="I802" s="61" t="str">
        <f aca="false">IF(IsPro,IF(OR($C802="",N($G802)=0),"",IF(OR($C802="Receipt",$C802="Other Income",$C802="Capital In",$C802="Transfer In"),$G802,0)),"")</f>
        <v/>
      </c>
      <c r="J802" s="61" t="str">
        <f aca="false">IF(IsPro,IF(OR($C802="",N($G802)=0),"",IF(I802=0,$G802,0)),"")</f>
        <v/>
      </c>
      <c r="K802" s="60" t="str">
        <f aca="false">IF(IsPro,IF($C802="","",IF(AND(OR($C802="Receipt",$C802="Payment"),$D802=""),"Party needed",IF(AND(OR($C802="Expense",$C802="Other Income"),$E802=""),"Head needed",IF($F802="","Account needed","OK")))),IF($C802="","","PRO PLAN"))</f>
        <v/>
      </c>
    </row>
    <row r="803" customFormat="false" ht="15" hidden="false" customHeight="false" outlineLevel="0" collapsed="false">
      <c r="A803" s="55"/>
      <c r="B803" s="56"/>
      <c r="C803" s="56"/>
      <c r="D803" s="56"/>
      <c r="E803" s="56"/>
      <c r="F803" s="56"/>
      <c r="G803" s="58"/>
      <c r="H803" s="56"/>
      <c r="I803" s="61" t="str">
        <f aca="false">IF(IsPro,IF(OR($C803="",N($G803)=0),"",IF(OR($C803="Receipt",$C803="Other Income",$C803="Capital In",$C803="Transfer In"),$G803,0)),"")</f>
        <v/>
      </c>
      <c r="J803" s="61" t="str">
        <f aca="false">IF(IsPro,IF(OR($C803="",N($G803)=0),"",IF(I803=0,$G803,0)),"")</f>
        <v/>
      </c>
      <c r="K803" s="60" t="str">
        <f aca="false">IF(IsPro,IF($C803="","",IF(AND(OR($C803="Receipt",$C803="Payment"),$D803=""),"Party needed",IF(AND(OR($C803="Expense",$C803="Other Income"),$E803=""),"Head needed",IF($F803="","Account needed","OK")))),IF($C803="","","PRO PLAN"))</f>
        <v/>
      </c>
    </row>
    <row r="804" customFormat="false" ht="15" hidden="false" customHeight="false" outlineLevel="0" collapsed="false">
      <c r="A804" s="55"/>
      <c r="B804" s="56"/>
      <c r="C804" s="56"/>
      <c r="D804" s="56"/>
      <c r="E804" s="56"/>
      <c r="F804" s="56"/>
      <c r="G804" s="58"/>
      <c r="H804" s="56"/>
      <c r="I804" s="61" t="str">
        <f aca="false">IF(IsPro,IF(OR($C804="",N($G804)=0),"",IF(OR($C804="Receipt",$C804="Other Income",$C804="Capital In",$C804="Transfer In"),$G804,0)),"")</f>
        <v/>
      </c>
      <c r="J804" s="61" t="str">
        <f aca="false">IF(IsPro,IF(OR($C804="",N($G804)=0),"",IF(I804=0,$G804,0)),"")</f>
        <v/>
      </c>
      <c r="K804" s="60" t="str">
        <f aca="false">IF(IsPro,IF($C804="","",IF(AND(OR($C804="Receipt",$C804="Payment"),$D804=""),"Party needed",IF(AND(OR($C804="Expense",$C804="Other Income"),$E804=""),"Head needed",IF($F804="","Account needed","OK")))),IF($C804="","","PRO PLAN"))</f>
        <v/>
      </c>
    </row>
    <row r="805" customFormat="false" ht="15" hidden="false" customHeight="false" outlineLevel="0" collapsed="false">
      <c r="A805" s="55"/>
      <c r="B805" s="56"/>
      <c r="C805" s="56"/>
      <c r="D805" s="56"/>
      <c r="E805" s="56"/>
      <c r="F805" s="56"/>
      <c r="G805" s="58"/>
      <c r="H805" s="56"/>
      <c r="I805" s="61" t="str">
        <f aca="false">IF(IsPro,IF(OR($C805="",N($G805)=0),"",IF(OR($C805="Receipt",$C805="Other Income",$C805="Capital In",$C805="Transfer In"),$G805,0)),"")</f>
        <v/>
      </c>
      <c r="J805" s="61" t="str">
        <f aca="false">IF(IsPro,IF(OR($C805="",N($G805)=0),"",IF(I805=0,$G805,0)),"")</f>
        <v/>
      </c>
      <c r="K805" s="60" t="str">
        <f aca="false">IF(IsPro,IF($C805="","",IF(AND(OR($C805="Receipt",$C805="Payment"),$D805=""),"Party needed",IF(AND(OR($C805="Expense",$C805="Other Income"),$E805=""),"Head needed",IF($F805="","Account needed","OK")))),IF($C805="","","PRO PLAN"))</f>
        <v/>
      </c>
    </row>
    <row r="806" customFormat="false" ht="15" hidden="false" customHeight="false" outlineLevel="0" collapsed="false">
      <c r="A806" s="55"/>
      <c r="B806" s="56"/>
      <c r="C806" s="56"/>
      <c r="D806" s="56"/>
      <c r="E806" s="56"/>
      <c r="F806" s="56"/>
      <c r="G806" s="58"/>
      <c r="H806" s="56"/>
      <c r="I806" s="61" t="str">
        <f aca="false">IF(IsPro,IF(OR($C806="",N($G806)=0),"",IF(OR($C806="Receipt",$C806="Other Income",$C806="Capital In",$C806="Transfer In"),$G806,0)),"")</f>
        <v/>
      </c>
      <c r="J806" s="61" t="str">
        <f aca="false">IF(IsPro,IF(OR($C806="",N($G806)=0),"",IF(I806=0,$G806,0)),"")</f>
        <v/>
      </c>
      <c r="K806" s="60" t="str">
        <f aca="false">IF(IsPro,IF($C806="","",IF(AND(OR($C806="Receipt",$C806="Payment"),$D806=""),"Party needed",IF(AND(OR($C806="Expense",$C806="Other Income"),$E806=""),"Head needed",IF($F806="","Account needed","OK")))),IF($C806="","","PRO PLAN"))</f>
        <v/>
      </c>
    </row>
    <row r="807" customFormat="false" ht="15" hidden="false" customHeight="false" outlineLevel="0" collapsed="false">
      <c r="A807" s="55"/>
      <c r="B807" s="56"/>
      <c r="C807" s="56"/>
      <c r="D807" s="56"/>
      <c r="E807" s="56"/>
      <c r="F807" s="56"/>
      <c r="G807" s="58"/>
      <c r="H807" s="56"/>
      <c r="I807" s="61" t="str">
        <f aca="false">IF(IsPro,IF(OR($C807="",N($G807)=0),"",IF(OR($C807="Receipt",$C807="Other Income",$C807="Capital In",$C807="Transfer In"),$G807,0)),"")</f>
        <v/>
      </c>
      <c r="J807" s="61" t="str">
        <f aca="false">IF(IsPro,IF(OR($C807="",N($G807)=0),"",IF(I807=0,$G807,0)),"")</f>
        <v/>
      </c>
      <c r="K807" s="60" t="str">
        <f aca="false">IF(IsPro,IF($C807="","",IF(AND(OR($C807="Receipt",$C807="Payment"),$D807=""),"Party needed",IF(AND(OR($C807="Expense",$C807="Other Income"),$E807=""),"Head needed",IF($F807="","Account needed","OK")))),IF($C807="","","PRO PLAN"))</f>
        <v/>
      </c>
    </row>
    <row r="808" customFormat="false" ht="15" hidden="false" customHeight="false" outlineLevel="0" collapsed="false">
      <c r="A808" s="55"/>
      <c r="B808" s="56"/>
      <c r="C808" s="56"/>
      <c r="D808" s="56"/>
      <c r="E808" s="56"/>
      <c r="F808" s="56"/>
      <c r="G808" s="58"/>
      <c r="H808" s="56"/>
      <c r="I808" s="61" t="str">
        <f aca="false">IF(IsPro,IF(OR($C808="",N($G808)=0),"",IF(OR($C808="Receipt",$C808="Other Income",$C808="Capital In",$C808="Transfer In"),$G808,0)),"")</f>
        <v/>
      </c>
      <c r="J808" s="61" t="str">
        <f aca="false">IF(IsPro,IF(OR($C808="",N($G808)=0),"",IF(I808=0,$G808,0)),"")</f>
        <v/>
      </c>
      <c r="K808" s="60" t="str">
        <f aca="false">IF(IsPro,IF($C808="","",IF(AND(OR($C808="Receipt",$C808="Payment"),$D808=""),"Party needed",IF(AND(OR($C808="Expense",$C808="Other Income"),$E808=""),"Head needed",IF($F808="","Account needed","OK")))),IF($C808="","","PRO PLAN"))</f>
        <v/>
      </c>
    </row>
    <row r="809" customFormat="false" ht="15" hidden="false" customHeight="false" outlineLevel="0" collapsed="false">
      <c r="A809" s="55"/>
      <c r="B809" s="56"/>
      <c r="C809" s="56"/>
      <c r="D809" s="56"/>
      <c r="E809" s="56"/>
      <c r="F809" s="56"/>
      <c r="G809" s="58"/>
      <c r="H809" s="56"/>
      <c r="I809" s="61" t="str">
        <f aca="false">IF(IsPro,IF(OR($C809="",N($G809)=0),"",IF(OR($C809="Receipt",$C809="Other Income",$C809="Capital In",$C809="Transfer In"),$G809,0)),"")</f>
        <v/>
      </c>
      <c r="J809" s="61" t="str">
        <f aca="false">IF(IsPro,IF(OR($C809="",N($G809)=0),"",IF(I809=0,$G809,0)),"")</f>
        <v/>
      </c>
      <c r="K809" s="60" t="str">
        <f aca="false">IF(IsPro,IF($C809="","",IF(AND(OR($C809="Receipt",$C809="Payment"),$D809=""),"Party needed",IF(AND(OR($C809="Expense",$C809="Other Income"),$E809=""),"Head needed",IF($F809="","Account needed","OK")))),IF($C809="","","PRO PLAN"))</f>
        <v/>
      </c>
    </row>
    <row r="810" customFormat="false" ht="15" hidden="false" customHeight="false" outlineLevel="0" collapsed="false">
      <c r="A810" s="55"/>
      <c r="B810" s="56"/>
      <c r="C810" s="56"/>
      <c r="D810" s="56"/>
      <c r="E810" s="56"/>
      <c r="F810" s="56"/>
      <c r="G810" s="58"/>
      <c r="H810" s="56"/>
      <c r="I810" s="61" t="str">
        <f aca="false">IF(IsPro,IF(OR($C810="",N($G810)=0),"",IF(OR($C810="Receipt",$C810="Other Income",$C810="Capital In",$C810="Transfer In"),$G810,0)),"")</f>
        <v/>
      </c>
      <c r="J810" s="61" t="str">
        <f aca="false">IF(IsPro,IF(OR($C810="",N($G810)=0),"",IF(I810=0,$G810,0)),"")</f>
        <v/>
      </c>
      <c r="K810" s="60" t="str">
        <f aca="false">IF(IsPro,IF($C810="","",IF(AND(OR($C810="Receipt",$C810="Payment"),$D810=""),"Party needed",IF(AND(OR($C810="Expense",$C810="Other Income"),$E810=""),"Head needed",IF($F810="","Account needed","OK")))),IF($C810="","","PRO PLAN"))</f>
        <v/>
      </c>
    </row>
    <row r="811" customFormat="false" ht="15" hidden="false" customHeight="false" outlineLevel="0" collapsed="false">
      <c r="A811" s="55"/>
      <c r="B811" s="56"/>
      <c r="C811" s="56"/>
      <c r="D811" s="56"/>
      <c r="E811" s="56"/>
      <c r="F811" s="56"/>
      <c r="G811" s="58"/>
      <c r="H811" s="56"/>
      <c r="I811" s="61" t="str">
        <f aca="false">IF(IsPro,IF(OR($C811="",N($G811)=0),"",IF(OR($C811="Receipt",$C811="Other Income",$C811="Capital In",$C811="Transfer In"),$G811,0)),"")</f>
        <v/>
      </c>
      <c r="J811" s="61" t="str">
        <f aca="false">IF(IsPro,IF(OR($C811="",N($G811)=0),"",IF(I811=0,$G811,0)),"")</f>
        <v/>
      </c>
      <c r="K811" s="60" t="str">
        <f aca="false">IF(IsPro,IF($C811="","",IF(AND(OR($C811="Receipt",$C811="Payment"),$D811=""),"Party needed",IF(AND(OR($C811="Expense",$C811="Other Income"),$E811=""),"Head needed",IF($F811="","Account needed","OK")))),IF($C811="","","PRO PLAN"))</f>
        <v/>
      </c>
    </row>
    <row r="812" customFormat="false" ht="15" hidden="false" customHeight="false" outlineLevel="0" collapsed="false">
      <c r="A812" s="55"/>
      <c r="B812" s="56"/>
      <c r="C812" s="56"/>
      <c r="D812" s="56"/>
      <c r="E812" s="56"/>
      <c r="F812" s="56"/>
      <c r="G812" s="58"/>
      <c r="H812" s="56"/>
      <c r="I812" s="61" t="str">
        <f aca="false">IF(IsPro,IF(OR($C812="",N($G812)=0),"",IF(OR($C812="Receipt",$C812="Other Income",$C812="Capital In",$C812="Transfer In"),$G812,0)),"")</f>
        <v/>
      </c>
      <c r="J812" s="61" t="str">
        <f aca="false">IF(IsPro,IF(OR($C812="",N($G812)=0),"",IF(I812=0,$G812,0)),"")</f>
        <v/>
      </c>
      <c r="K812" s="60" t="str">
        <f aca="false">IF(IsPro,IF($C812="","",IF(AND(OR($C812="Receipt",$C812="Payment"),$D812=""),"Party needed",IF(AND(OR($C812="Expense",$C812="Other Income"),$E812=""),"Head needed",IF($F812="","Account needed","OK")))),IF($C812="","","PRO PLAN"))</f>
        <v/>
      </c>
    </row>
    <row r="813" customFormat="false" ht="15" hidden="false" customHeight="false" outlineLevel="0" collapsed="false">
      <c r="A813" s="55"/>
      <c r="B813" s="56"/>
      <c r="C813" s="56"/>
      <c r="D813" s="56"/>
      <c r="E813" s="56"/>
      <c r="F813" s="56"/>
      <c r="G813" s="58"/>
      <c r="H813" s="56"/>
      <c r="I813" s="61" t="str">
        <f aca="false">IF(IsPro,IF(OR($C813="",N($G813)=0),"",IF(OR($C813="Receipt",$C813="Other Income",$C813="Capital In",$C813="Transfer In"),$G813,0)),"")</f>
        <v/>
      </c>
      <c r="J813" s="61" t="str">
        <f aca="false">IF(IsPro,IF(OR($C813="",N($G813)=0),"",IF(I813=0,$G813,0)),"")</f>
        <v/>
      </c>
      <c r="K813" s="60" t="str">
        <f aca="false">IF(IsPro,IF($C813="","",IF(AND(OR($C813="Receipt",$C813="Payment"),$D813=""),"Party needed",IF(AND(OR($C813="Expense",$C813="Other Income"),$E813=""),"Head needed",IF($F813="","Account needed","OK")))),IF($C813="","","PRO PLAN"))</f>
        <v/>
      </c>
    </row>
    <row r="814" customFormat="false" ht="15" hidden="false" customHeight="false" outlineLevel="0" collapsed="false">
      <c r="A814" s="55"/>
      <c r="B814" s="56"/>
      <c r="C814" s="56"/>
      <c r="D814" s="56"/>
      <c r="E814" s="56"/>
      <c r="F814" s="56"/>
      <c r="G814" s="58"/>
      <c r="H814" s="56"/>
      <c r="I814" s="61" t="str">
        <f aca="false">IF(IsPro,IF(OR($C814="",N($G814)=0),"",IF(OR($C814="Receipt",$C814="Other Income",$C814="Capital In",$C814="Transfer In"),$G814,0)),"")</f>
        <v/>
      </c>
      <c r="J814" s="61" t="str">
        <f aca="false">IF(IsPro,IF(OR($C814="",N($G814)=0),"",IF(I814=0,$G814,0)),"")</f>
        <v/>
      </c>
      <c r="K814" s="60" t="str">
        <f aca="false">IF(IsPro,IF($C814="","",IF(AND(OR($C814="Receipt",$C814="Payment"),$D814=""),"Party needed",IF(AND(OR($C814="Expense",$C814="Other Income"),$E814=""),"Head needed",IF($F814="","Account needed","OK")))),IF($C814="","","PRO PLAN"))</f>
        <v/>
      </c>
    </row>
    <row r="815" customFormat="false" ht="15" hidden="false" customHeight="false" outlineLevel="0" collapsed="false">
      <c r="A815" s="55"/>
      <c r="B815" s="56"/>
      <c r="C815" s="56"/>
      <c r="D815" s="56"/>
      <c r="E815" s="56"/>
      <c r="F815" s="56"/>
      <c r="G815" s="58"/>
      <c r="H815" s="56"/>
      <c r="I815" s="61" t="str">
        <f aca="false">IF(IsPro,IF(OR($C815="",N($G815)=0),"",IF(OR($C815="Receipt",$C815="Other Income",$C815="Capital In",$C815="Transfer In"),$G815,0)),"")</f>
        <v/>
      </c>
      <c r="J815" s="61" t="str">
        <f aca="false">IF(IsPro,IF(OR($C815="",N($G815)=0),"",IF(I815=0,$G815,0)),"")</f>
        <v/>
      </c>
      <c r="K815" s="60" t="str">
        <f aca="false">IF(IsPro,IF($C815="","",IF(AND(OR($C815="Receipt",$C815="Payment"),$D815=""),"Party needed",IF(AND(OR($C815="Expense",$C815="Other Income"),$E815=""),"Head needed",IF($F815="","Account needed","OK")))),IF($C815="","","PRO PLAN"))</f>
        <v/>
      </c>
    </row>
    <row r="816" customFormat="false" ht="15" hidden="false" customHeight="false" outlineLevel="0" collapsed="false">
      <c r="A816" s="55"/>
      <c r="B816" s="56"/>
      <c r="C816" s="56"/>
      <c r="D816" s="56"/>
      <c r="E816" s="56"/>
      <c r="F816" s="56"/>
      <c r="G816" s="58"/>
      <c r="H816" s="56"/>
      <c r="I816" s="61" t="str">
        <f aca="false">IF(IsPro,IF(OR($C816="",N($G816)=0),"",IF(OR($C816="Receipt",$C816="Other Income",$C816="Capital In",$C816="Transfer In"),$G816,0)),"")</f>
        <v/>
      </c>
      <c r="J816" s="61" t="str">
        <f aca="false">IF(IsPro,IF(OR($C816="",N($G816)=0),"",IF(I816=0,$G816,0)),"")</f>
        <v/>
      </c>
      <c r="K816" s="60" t="str">
        <f aca="false">IF(IsPro,IF($C816="","",IF(AND(OR($C816="Receipt",$C816="Payment"),$D816=""),"Party needed",IF(AND(OR($C816="Expense",$C816="Other Income"),$E816=""),"Head needed",IF($F816="","Account needed","OK")))),IF($C816="","","PRO PLAN"))</f>
        <v/>
      </c>
    </row>
    <row r="817" customFormat="false" ht="15" hidden="false" customHeight="false" outlineLevel="0" collapsed="false">
      <c r="A817" s="55"/>
      <c r="B817" s="56"/>
      <c r="C817" s="56"/>
      <c r="D817" s="56"/>
      <c r="E817" s="56"/>
      <c r="F817" s="56"/>
      <c r="G817" s="58"/>
      <c r="H817" s="56"/>
      <c r="I817" s="61" t="str">
        <f aca="false">IF(IsPro,IF(OR($C817="",N($G817)=0),"",IF(OR($C817="Receipt",$C817="Other Income",$C817="Capital In",$C817="Transfer In"),$G817,0)),"")</f>
        <v/>
      </c>
      <c r="J817" s="61" t="str">
        <f aca="false">IF(IsPro,IF(OR($C817="",N($G817)=0),"",IF(I817=0,$G817,0)),"")</f>
        <v/>
      </c>
      <c r="K817" s="60" t="str">
        <f aca="false">IF(IsPro,IF($C817="","",IF(AND(OR($C817="Receipt",$C817="Payment"),$D817=""),"Party needed",IF(AND(OR($C817="Expense",$C817="Other Income"),$E817=""),"Head needed",IF($F817="","Account needed","OK")))),IF($C817="","","PRO PLAN"))</f>
        <v/>
      </c>
    </row>
    <row r="818" customFormat="false" ht="15" hidden="false" customHeight="false" outlineLevel="0" collapsed="false">
      <c r="A818" s="55"/>
      <c r="B818" s="56"/>
      <c r="C818" s="56"/>
      <c r="D818" s="56"/>
      <c r="E818" s="56"/>
      <c r="F818" s="56"/>
      <c r="G818" s="58"/>
      <c r="H818" s="56"/>
      <c r="I818" s="61" t="str">
        <f aca="false">IF(IsPro,IF(OR($C818="",N($G818)=0),"",IF(OR($C818="Receipt",$C818="Other Income",$C818="Capital In",$C818="Transfer In"),$G818,0)),"")</f>
        <v/>
      </c>
      <c r="J818" s="61" t="str">
        <f aca="false">IF(IsPro,IF(OR($C818="",N($G818)=0),"",IF(I818=0,$G818,0)),"")</f>
        <v/>
      </c>
      <c r="K818" s="60" t="str">
        <f aca="false">IF(IsPro,IF($C818="","",IF(AND(OR($C818="Receipt",$C818="Payment"),$D818=""),"Party needed",IF(AND(OR($C818="Expense",$C818="Other Income"),$E818=""),"Head needed",IF($F818="","Account needed","OK")))),IF($C818="","","PRO PLAN"))</f>
        <v/>
      </c>
    </row>
    <row r="819" customFormat="false" ht="15" hidden="false" customHeight="false" outlineLevel="0" collapsed="false">
      <c r="A819" s="55"/>
      <c r="B819" s="56"/>
      <c r="C819" s="56"/>
      <c r="D819" s="56"/>
      <c r="E819" s="56"/>
      <c r="F819" s="56"/>
      <c r="G819" s="58"/>
      <c r="H819" s="56"/>
      <c r="I819" s="61" t="str">
        <f aca="false">IF(IsPro,IF(OR($C819="",N($G819)=0),"",IF(OR($C819="Receipt",$C819="Other Income",$C819="Capital In",$C819="Transfer In"),$G819,0)),"")</f>
        <v/>
      </c>
      <c r="J819" s="61" t="str">
        <f aca="false">IF(IsPro,IF(OR($C819="",N($G819)=0),"",IF(I819=0,$G819,0)),"")</f>
        <v/>
      </c>
      <c r="K819" s="60" t="str">
        <f aca="false">IF(IsPro,IF($C819="","",IF(AND(OR($C819="Receipt",$C819="Payment"),$D819=""),"Party needed",IF(AND(OR($C819="Expense",$C819="Other Income"),$E819=""),"Head needed",IF($F819="","Account needed","OK")))),IF($C819="","","PRO PLAN"))</f>
        <v/>
      </c>
    </row>
    <row r="820" customFormat="false" ht="15" hidden="false" customHeight="false" outlineLevel="0" collapsed="false">
      <c r="A820" s="55"/>
      <c r="B820" s="56"/>
      <c r="C820" s="56"/>
      <c r="D820" s="56"/>
      <c r="E820" s="56"/>
      <c r="F820" s="56"/>
      <c r="G820" s="58"/>
      <c r="H820" s="56"/>
      <c r="I820" s="61" t="str">
        <f aca="false">IF(IsPro,IF(OR($C820="",N($G820)=0),"",IF(OR($C820="Receipt",$C820="Other Income",$C820="Capital In",$C820="Transfer In"),$G820,0)),"")</f>
        <v/>
      </c>
      <c r="J820" s="61" t="str">
        <f aca="false">IF(IsPro,IF(OR($C820="",N($G820)=0),"",IF(I820=0,$G820,0)),"")</f>
        <v/>
      </c>
      <c r="K820" s="60" t="str">
        <f aca="false">IF(IsPro,IF($C820="","",IF(AND(OR($C820="Receipt",$C820="Payment"),$D820=""),"Party needed",IF(AND(OR($C820="Expense",$C820="Other Income"),$E820=""),"Head needed",IF($F820="","Account needed","OK")))),IF($C820="","","PRO PLAN"))</f>
        <v/>
      </c>
    </row>
    <row r="821" customFormat="false" ht="15" hidden="false" customHeight="false" outlineLevel="0" collapsed="false">
      <c r="A821" s="55"/>
      <c r="B821" s="56"/>
      <c r="C821" s="56"/>
      <c r="D821" s="56"/>
      <c r="E821" s="56"/>
      <c r="F821" s="56"/>
      <c r="G821" s="58"/>
      <c r="H821" s="56"/>
      <c r="I821" s="61" t="str">
        <f aca="false">IF(IsPro,IF(OR($C821="",N($G821)=0),"",IF(OR($C821="Receipt",$C821="Other Income",$C821="Capital In",$C821="Transfer In"),$G821,0)),"")</f>
        <v/>
      </c>
      <c r="J821" s="61" t="str">
        <f aca="false">IF(IsPro,IF(OR($C821="",N($G821)=0),"",IF(I821=0,$G821,0)),"")</f>
        <v/>
      </c>
      <c r="K821" s="60" t="str">
        <f aca="false">IF(IsPro,IF($C821="","",IF(AND(OR($C821="Receipt",$C821="Payment"),$D821=""),"Party needed",IF(AND(OR($C821="Expense",$C821="Other Income"),$E821=""),"Head needed",IF($F821="","Account needed","OK")))),IF($C821="","","PRO PLAN"))</f>
        <v/>
      </c>
    </row>
    <row r="822" customFormat="false" ht="15" hidden="false" customHeight="false" outlineLevel="0" collapsed="false">
      <c r="A822" s="55"/>
      <c r="B822" s="56"/>
      <c r="C822" s="56"/>
      <c r="D822" s="56"/>
      <c r="E822" s="56"/>
      <c r="F822" s="56"/>
      <c r="G822" s="58"/>
      <c r="H822" s="56"/>
      <c r="I822" s="61" t="str">
        <f aca="false">IF(IsPro,IF(OR($C822="",N($G822)=0),"",IF(OR($C822="Receipt",$C822="Other Income",$C822="Capital In",$C822="Transfer In"),$G822,0)),"")</f>
        <v/>
      </c>
      <c r="J822" s="61" t="str">
        <f aca="false">IF(IsPro,IF(OR($C822="",N($G822)=0),"",IF(I822=0,$G822,0)),"")</f>
        <v/>
      </c>
      <c r="K822" s="60" t="str">
        <f aca="false">IF(IsPro,IF($C822="","",IF(AND(OR($C822="Receipt",$C822="Payment"),$D822=""),"Party needed",IF(AND(OR($C822="Expense",$C822="Other Income"),$E822=""),"Head needed",IF($F822="","Account needed","OK")))),IF($C822="","","PRO PLAN"))</f>
        <v/>
      </c>
    </row>
    <row r="823" customFormat="false" ht="15" hidden="false" customHeight="false" outlineLevel="0" collapsed="false">
      <c r="A823" s="55"/>
      <c r="B823" s="56"/>
      <c r="C823" s="56"/>
      <c r="D823" s="56"/>
      <c r="E823" s="56"/>
      <c r="F823" s="56"/>
      <c r="G823" s="58"/>
      <c r="H823" s="56"/>
      <c r="I823" s="61" t="str">
        <f aca="false">IF(IsPro,IF(OR($C823="",N($G823)=0),"",IF(OR($C823="Receipt",$C823="Other Income",$C823="Capital In",$C823="Transfer In"),$G823,0)),"")</f>
        <v/>
      </c>
      <c r="J823" s="61" t="str">
        <f aca="false">IF(IsPro,IF(OR($C823="",N($G823)=0),"",IF(I823=0,$G823,0)),"")</f>
        <v/>
      </c>
      <c r="K823" s="60" t="str">
        <f aca="false">IF(IsPro,IF($C823="","",IF(AND(OR($C823="Receipt",$C823="Payment"),$D823=""),"Party needed",IF(AND(OR($C823="Expense",$C823="Other Income"),$E823=""),"Head needed",IF($F823="","Account needed","OK")))),IF($C823="","","PRO PLAN"))</f>
        <v/>
      </c>
    </row>
    <row r="824" customFormat="false" ht="15" hidden="false" customHeight="false" outlineLevel="0" collapsed="false">
      <c r="A824" s="55"/>
      <c r="B824" s="56"/>
      <c r="C824" s="56"/>
      <c r="D824" s="56"/>
      <c r="E824" s="56"/>
      <c r="F824" s="56"/>
      <c r="G824" s="58"/>
      <c r="H824" s="56"/>
      <c r="I824" s="61" t="str">
        <f aca="false">IF(IsPro,IF(OR($C824="",N($G824)=0),"",IF(OR($C824="Receipt",$C824="Other Income",$C824="Capital In",$C824="Transfer In"),$G824,0)),"")</f>
        <v/>
      </c>
      <c r="J824" s="61" t="str">
        <f aca="false">IF(IsPro,IF(OR($C824="",N($G824)=0),"",IF(I824=0,$G824,0)),"")</f>
        <v/>
      </c>
      <c r="K824" s="60" t="str">
        <f aca="false">IF(IsPro,IF($C824="","",IF(AND(OR($C824="Receipt",$C824="Payment"),$D824=""),"Party needed",IF(AND(OR($C824="Expense",$C824="Other Income"),$E824=""),"Head needed",IF($F824="","Account needed","OK")))),IF($C824="","","PRO PLAN"))</f>
        <v/>
      </c>
    </row>
    <row r="825" customFormat="false" ht="15" hidden="false" customHeight="false" outlineLevel="0" collapsed="false">
      <c r="A825" s="55"/>
      <c r="B825" s="56"/>
      <c r="C825" s="56"/>
      <c r="D825" s="56"/>
      <c r="E825" s="56"/>
      <c r="F825" s="56"/>
      <c r="G825" s="58"/>
      <c r="H825" s="56"/>
      <c r="I825" s="61" t="str">
        <f aca="false">IF(IsPro,IF(OR($C825="",N($G825)=0),"",IF(OR($C825="Receipt",$C825="Other Income",$C825="Capital In",$C825="Transfer In"),$G825,0)),"")</f>
        <v/>
      </c>
      <c r="J825" s="61" t="str">
        <f aca="false">IF(IsPro,IF(OR($C825="",N($G825)=0),"",IF(I825=0,$G825,0)),"")</f>
        <v/>
      </c>
      <c r="K825" s="60" t="str">
        <f aca="false">IF(IsPro,IF($C825="","",IF(AND(OR($C825="Receipt",$C825="Payment"),$D825=""),"Party needed",IF(AND(OR($C825="Expense",$C825="Other Income"),$E825=""),"Head needed",IF($F825="","Account needed","OK")))),IF($C825="","","PRO PLAN"))</f>
        <v/>
      </c>
    </row>
    <row r="826" customFormat="false" ht="15" hidden="false" customHeight="false" outlineLevel="0" collapsed="false">
      <c r="A826" s="55"/>
      <c r="B826" s="56"/>
      <c r="C826" s="56"/>
      <c r="D826" s="56"/>
      <c r="E826" s="56"/>
      <c r="F826" s="56"/>
      <c r="G826" s="58"/>
      <c r="H826" s="56"/>
      <c r="I826" s="61" t="str">
        <f aca="false">IF(IsPro,IF(OR($C826="",N($G826)=0),"",IF(OR($C826="Receipt",$C826="Other Income",$C826="Capital In",$C826="Transfer In"),$G826,0)),"")</f>
        <v/>
      </c>
      <c r="J826" s="61" t="str">
        <f aca="false">IF(IsPro,IF(OR($C826="",N($G826)=0),"",IF(I826=0,$G826,0)),"")</f>
        <v/>
      </c>
      <c r="K826" s="60" t="str">
        <f aca="false">IF(IsPro,IF($C826="","",IF(AND(OR($C826="Receipt",$C826="Payment"),$D826=""),"Party needed",IF(AND(OR($C826="Expense",$C826="Other Income"),$E826=""),"Head needed",IF($F826="","Account needed","OK")))),IF($C826="","","PRO PLAN"))</f>
        <v/>
      </c>
    </row>
    <row r="827" customFormat="false" ht="15" hidden="false" customHeight="false" outlineLevel="0" collapsed="false">
      <c r="A827" s="55"/>
      <c r="B827" s="56"/>
      <c r="C827" s="56"/>
      <c r="D827" s="56"/>
      <c r="E827" s="56"/>
      <c r="F827" s="56"/>
      <c r="G827" s="58"/>
      <c r="H827" s="56"/>
      <c r="I827" s="61" t="str">
        <f aca="false">IF(IsPro,IF(OR($C827="",N($G827)=0),"",IF(OR($C827="Receipt",$C827="Other Income",$C827="Capital In",$C827="Transfer In"),$G827,0)),"")</f>
        <v/>
      </c>
      <c r="J827" s="61" t="str">
        <f aca="false">IF(IsPro,IF(OR($C827="",N($G827)=0),"",IF(I827=0,$G827,0)),"")</f>
        <v/>
      </c>
      <c r="K827" s="60" t="str">
        <f aca="false">IF(IsPro,IF($C827="","",IF(AND(OR($C827="Receipt",$C827="Payment"),$D827=""),"Party needed",IF(AND(OR($C827="Expense",$C827="Other Income"),$E827=""),"Head needed",IF($F827="","Account needed","OK")))),IF($C827="","","PRO PLAN"))</f>
        <v/>
      </c>
    </row>
    <row r="828" customFormat="false" ht="15" hidden="false" customHeight="false" outlineLevel="0" collapsed="false">
      <c r="A828" s="55"/>
      <c r="B828" s="56"/>
      <c r="C828" s="56"/>
      <c r="D828" s="56"/>
      <c r="E828" s="56"/>
      <c r="F828" s="56"/>
      <c r="G828" s="58"/>
      <c r="H828" s="56"/>
      <c r="I828" s="61" t="str">
        <f aca="false">IF(IsPro,IF(OR($C828="",N($G828)=0),"",IF(OR($C828="Receipt",$C828="Other Income",$C828="Capital In",$C828="Transfer In"),$G828,0)),"")</f>
        <v/>
      </c>
      <c r="J828" s="61" t="str">
        <f aca="false">IF(IsPro,IF(OR($C828="",N($G828)=0),"",IF(I828=0,$G828,0)),"")</f>
        <v/>
      </c>
      <c r="K828" s="60" t="str">
        <f aca="false">IF(IsPro,IF($C828="","",IF(AND(OR($C828="Receipt",$C828="Payment"),$D828=""),"Party needed",IF(AND(OR($C828="Expense",$C828="Other Income"),$E828=""),"Head needed",IF($F828="","Account needed","OK")))),IF($C828="","","PRO PLAN"))</f>
        <v/>
      </c>
    </row>
    <row r="829" customFormat="false" ht="15" hidden="false" customHeight="false" outlineLevel="0" collapsed="false">
      <c r="A829" s="55"/>
      <c r="B829" s="56"/>
      <c r="C829" s="56"/>
      <c r="D829" s="56"/>
      <c r="E829" s="56"/>
      <c r="F829" s="56"/>
      <c r="G829" s="58"/>
      <c r="H829" s="56"/>
      <c r="I829" s="61" t="str">
        <f aca="false">IF(IsPro,IF(OR($C829="",N($G829)=0),"",IF(OR($C829="Receipt",$C829="Other Income",$C829="Capital In",$C829="Transfer In"),$G829,0)),"")</f>
        <v/>
      </c>
      <c r="J829" s="61" t="str">
        <f aca="false">IF(IsPro,IF(OR($C829="",N($G829)=0),"",IF(I829=0,$G829,0)),"")</f>
        <v/>
      </c>
      <c r="K829" s="60" t="str">
        <f aca="false">IF(IsPro,IF($C829="","",IF(AND(OR($C829="Receipt",$C829="Payment"),$D829=""),"Party needed",IF(AND(OR($C829="Expense",$C829="Other Income"),$E829=""),"Head needed",IF($F829="","Account needed","OK")))),IF($C829="","","PRO PLAN"))</f>
        <v/>
      </c>
    </row>
    <row r="830" customFormat="false" ht="15" hidden="false" customHeight="false" outlineLevel="0" collapsed="false">
      <c r="A830" s="55"/>
      <c r="B830" s="56"/>
      <c r="C830" s="56"/>
      <c r="D830" s="56"/>
      <c r="E830" s="56"/>
      <c r="F830" s="56"/>
      <c r="G830" s="58"/>
      <c r="H830" s="56"/>
      <c r="I830" s="61" t="str">
        <f aca="false">IF(IsPro,IF(OR($C830="",N($G830)=0),"",IF(OR($C830="Receipt",$C830="Other Income",$C830="Capital In",$C830="Transfer In"),$G830,0)),"")</f>
        <v/>
      </c>
      <c r="J830" s="61" t="str">
        <f aca="false">IF(IsPro,IF(OR($C830="",N($G830)=0),"",IF(I830=0,$G830,0)),"")</f>
        <v/>
      </c>
      <c r="K830" s="60" t="str">
        <f aca="false">IF(IsPro,IF($C830="","",IF(AND(OR($C830="Receipt",$C830="Payment"),$D830=""),"Party needed",IF(AND(OR($C830="Expense",$C830="Other Income"),$E830=""),"Head needed",IF($F830="","Account needed","OK")))),IF($C830="","","PRO PLAN"))</f>
        <v/>
      </c>
    </row>
    <row r="831" customFormat="false" ht="15" hidden="false" customHeight="false" outlineLevel="0" collapsed="false">
      <c r="A831" s="55"/>
      <c r="B831" s="56"/>
      <c r="C831" s="56"/>
      <c r="D831" s="56"/>
      <c r="E831" s="56"/>
      <c r="F831" s="56"/>
      <c r="G831" s="58"/>
      <c r="H831" s="56"/>
      <c r="I831" s="61" t="str">
        <f aca="false">IF(IsPro,IF(OR($C831="",N($G831)=0),"",IF(OR($C831="Receipt",$C831="Other Income",$C831="Capital In",$C831="Transfer In"),$G831,0)),"")</f>
        <v/>
      </c>
      <c r="J831" s="61" t="str">
        <f aca="false">IF(IsPro,IF(OR($C831="",N($G831)=0),"",IF(I831=0,$G831,0)),"")</f>
        <v/>
      </c>
      <c r="K831" s="60" t="str">
        <f aca="false">IF(IsPro,IF($C831="","",IF(AND(OR($C831="Receipt",$C831="Payment"),$D831=""),"Party needed",IF(AND(OR($C831="Expense",$C831="Other Income"),$E831=""),"Head needed",IF($F831="","Account needed","OK")))),IF($C831="","","PRO PLAN"))</f>
        <v/>
      </c>
    </row>
    <row r="832" customFormat="false" ht="15" hidden="false" customHeight="false" outlineLevel="0" collapsed="false">
      <c r="A832" s="55"/>
      <c r="B832" s="56"/>
      <c r="C832" s="56"/>
      <c r="D832" s="56"/>
      <c r="E832" s="56"/>
      <c r="F832" s="56"/>
      <c r="G832" s="58"/>
      <c r="H832" s="56"/>
      <c r="I832" s="61" t="str">
        <f aca="false">IF(IsPro,IF(OR($C832="",N($G832)=0),"",IF(OR($C832="Receipt",$C832="Other Income",$C832="Capital In",$C832="Transfer In"),$G832,0)),"")</f>
        <v/>
      </c>
      <c r="J832" s="61" t="str">
        <f aca="false">IF(IsPro,IF(OR($C832="",N($G832)=0),"",IF(I832=0,$G832,0)),"")</f>
        <v/>
      </c>
      <c r="K832" s="60" t="str">
        <f aca="false">IF(IsPro,IF($C832="","",IF(AND(OR($C832="Receipt",$C832="Payment"),$D832=""),"Party needed",IF(AND(OR($C832="Expense",$C832="Other Income"),$E832=""),"Head needed",IF($F832="","Account needed","OK")))),IF($C832="","","PRO PLAN"))</f>
        <v/>
      </c>
    </row>
    <row r="833" customFormat="false" ht="15" hidden="false" customHeight="false" outlineLevel="0" collapsed="false">
      <c r="A833" s="55"/>
      <c r="B833" s="56"/>
      <c r="C833" s="56"/>
      <c r="D833" s="56"/>
      <c r="E833" s="56"/>
      <c r="F833" s="56"/>
      <c r="G833" s="58"/>
      <c r="H833" s="56"/>
      <c r="I833" s="61" t="str">
        <f aca="false">IF(IsPro,IF(OR($C833="",N($G833)=0),"",IF(OR($C833="Receipt",$C833="Other Income",$C833="Capital In",$C833="Transfer In"),$G833,0)),"")</f>
        <v/>
      </c>
      <c r="J833" s="61" t="str">
        <f aca="false">IF(IsPro,IF(OR($C833="",N($G833)=0),"",IF(I833=0,$G833,0)),"")</f>
        <v/>
      </c>
      <c r="K833" s="60" t="str">
        <f aca="false">IF(IsPro,IF($C833="","",IF(AND(OR($C833="Receipt",$C833="Payment"),$D833=""),"Party needed",IF(AND(OR($C833="Expense",$C833="Other Income"),$E833=""),"Head needed",IF($F833="","Account needed","OK")))),IF($C833="","","PRO PLAN"))</f>
        <v/>
      </c>
    </row>
    <row r="834" customFormat="false" ht="15" hidden="false" customHeight="false" outlineLevel="0" collapsed="false">
      <c r="A834" s="55"/>
      <c r="B834" s="56"/>
      <c r="C834" s="56"/>
      <c r="D834" s="56"/>
      <c r="E834" s="56"/>
      <c r="F834" s="56"/>
      <c r="G834" s="58"/>
      <c r="H834" s="56"/>
      <c r="I834" s="61" t="str">
        <f aca="false">IF(IsPro,IF(OR($C834="",N($G834)=0),"",IF(OR($C834="Receipt",$C834="Other Income",$C834="Capital In",$C834="Transfer In"),$G834,0)),"")</f>
        <v/>
      </c>
      <c r="J834" s="61" t="str">
        <f aca="false">IF(IsPro,IF(OR($C834="",N($G834)=0),"",IF(I834=0,$G834,0)),"")</f>
        <v/>
      </c>
      <c r="K834" s="60" t="str">
        <f aca="false">IF(IsPro,IF($C834="","",IF(AND(OR($C834="Receipt",$C834="Payment"),$D834=""),"Party needed",IF(AND(OR($C834="Expense",$C834="Other Income"),$E834=""),"Head needed",IF($F834="","Account needed","OK")))),IF($C834="","","PRO PLAN"))</f>
        <v/>
      </c>
    </row>
    <row r="835" customFormat="false" ht="15" hidden="false" customHeight="false" outlineLevel="0" collapsed="false">
      <c r="A835" s="55"/>
      <c r="B835" s="56"/>
      <c r="C835" s="56"/>
      <c r="D835" s="56"/>
      <c r="E835" s="56"/>
      <c r="F835" s="56"/>
      <c r="G835" s="58"/>
      <c r="H835" s="56"/>
      <c r="I835" s="61" t="str">
        <f aca="false">IF(IsPro,IF(OR($C835="",N($G835)=0),"",IF(OR($C835="Receipt",$C835="Other Income",$C835="Capital In",$C835="Transfer In"),$G835,0)),"")</f>
        <v/>
      </c>
      <c r="J835" s="61" t="str">
        <f aca="false">IF(IsPro,IF(OR($C835="",N($G835)=0),"",IF(I835=0,$G835,0)),"")</f>
        <v/>
      </c>
      <c r="K835" s="60" t="str">
        <f aca="false">IF(IsPro,IF($C835="","",IF(AND(OR($C835="Receipt",$C835="Payment"),$D835=""),"Party needed",IF(AND(OR($C835="Expense",$C835="Other Income"),$E835=""),"Head needed",IF($F835="","Account needed","OK")))),IF($C835="","","PRO PLAN"))</f>
        <v/>
      </c>
    </row>
    <row r="836" customFormat="false" ht="15" hidden="false" customHeight="false" outlineLevel="0" collapsed="false">
      <c r="A836" s="55"/>
      <c r="B836" s="56"/>
      <c r="C836" s="56"/>
      <c r="D836" s="56"/>
      <c r="E836" s="56"/>
      <c r="F836" s="56"/>
      <c r="G836" s="58"/>
      <c r="H836" s="56"/>
      <c r="I836" s="61" t="str">
        <f aca="false">IF(IsPro,IF(OR($C836="",N($G836)=0),"",IF(OR($C836="Receipt",$C836="Other Income",$C836="Capital In",$C836="Transfer In"),$G836,0)),"")</f>
        <v/>
      </c>
      <c r="J836" s="61" t="str">
        <f aca="false">IF(IsPro,IF(OR($C836="",N($G836)=0),"",IF(I836=0,$G836,0)),"")</f>
        <v/>
      </c>
      <c r="K836" s="60" t="str">
        <f aca="false">IF(IsPro,IF($C836="","",IF(AND(OR($C836="Receipt",$C836="Payment"),$D836=""),"Party needed",IF(AND(OR($C836="Expense",$C836="Other Income"),$E836=""),"Head needed",IF($F836="","Account needed","OK")))),IF($C836="","","PRO PLAN"))</f>
        <v/>
      </c>
    </row>
    <row r="837" customFormat="false" ht="15" hidden="false" customHeight="false" outlineLevel="0" collapsed="false">
      <c r="A837" s="55"/>
      <c r="B837" s="56"/>
      <c r="C837" s="56"/>
      <c r="D837" s="56"/>
      <c r="E837" s="56"/>
      <c r="F837" s="56"/>
      <c r="G837" s="58"/>
      <c r="H837" s="56"/>
      <c r="I837" s="61" t="str">
        <f aca="false">IF(IsPro,IF(OR($C837="",N($G837)=0),"",IF(OR($C837="Receipt",$C837="Other Income",$C837="Capital In",$C837="Transfer In"),$G837,0)),"")</f>
        <v/>
      </c>
      <c r="J837" s="61" t="str">
        <f aca="false">IF(IsPro,IF(OR($C837="",N($G837)=0),"",IF(I837=0,$G837,0)),"")</f>
        <v/>
      </c>
      <c r="K837" s="60" t="str">
        <f aca="false">IF(IsPro,IF($C837="","",IF(AND(OR($C837="Receipt",$C837="Payment"),$D837=""),"Party needed",IF(AND(OR($C837="Expense",$C837="Other Income"),$E837=""),"Head needed",IF($F837="","Account needed","OK")))),IF($C837="","","PRO PLAN"))</f>
        <v/>
      </c>
    </row>
    <row r="838" customFormat="false" ht="15" hidden="false" customHeight="false" outlineLevel="0" collapsed="false">
      <c r="A838" s="55"/>
      <c r="B838" s="56"/>
      <c r="C838" s="56"/>
      <c r="D838" s="56"/>
      <c r="E838" s="56"/>
      <c r="F838" s="56"/>
      <c r="G838" s="58"/>
      <c r="H838" s="56"/>
      <c r="I838" s="61" t="str">
        <f aca="false">IF(IsPro,IF(OR($C838="",N($G838)=0),"",IF(OR($C838="Receipt",$C838="Other Income",$C838="Capital In",$C838="Transfer In"),$G838,0)),"")</f>
        <v/>
      </c>
      <c r="J838" s="61" t="str">
        <f aca="false">IF(IsPro,IF(OR($C838="",N($G838)=0),"",IF(I838=0,$G838,0)),"")</f>
        <v/>
      </c>
      <c r="K838" s="60" t="str">
        <f aca="false">IF(IsPro,IF($C838="","",IF(AND(OR($C838="Receipt",$C838="Payment"),$D838=""),"Party needed",IF(AND(OR($C838="Expense",$C838="Other Income"),$E838=""),"Head needed",IF($F838="","Account needed","OK")))),IF($C838="","","PRO PLAN"))</f>
        <v/>
      </c>
    </row>
    <row r="839" customFormat="false" ht="15" hidden="false" customHeight="false" outlineLevel="0" collapsed="false">
      <c r="A839" s="55"/>
      <c r="B839" s="56"/>
      <c r="C839" s="56"/>
      <c r="D839" s="56"/>
      <c r="E839" s="56"/>
      <c r="F839" s="56"/>
      <c r="G839" s="58"/>
      <c r="H839" s="56"/>
      <c r="I839" s="61" t="str">
        <f aca="false">IF(IsPro,IF(OR($C839="",N($G839)=0),"",IF(OR($C839="Receipt",$C839="Other Income",$C839="Capital In",$C839="Transfer In"),$G839,0)),"")</f>
        <v/>
      </c>
      <c r="J839" s="61" t="str">
        <f aca="false">IF(IsPro,IF(OR($C839="",N($G839)=0),"",IF(I839=0,$G839,0)),"")</f>
        <v/>
      </c>
      <c r="K839" s="60" t="str">
        <f aca="false">IF(IsPro,IF($C839="","",IF(AND(OR($C839="Receipt",$C839="Payment"),$D839=""),"Party needed",IF(AND(OR($C839="Expense",$C839="Other Income"),$E839=""),"Head needed",IF($F839="","Account needed","OK")))),IF($C839="","","PRO PLAN"))</f>
        <v/>
      </c>
    </row>
    <row r="840" customFormat="false" ht="15" hidden="false" customHeight="false" outlineLevel="0" collapsed="false">
      <c r="A840" s="55"/>
      <c r="B840" s="56"/>
      <c r="C840" s="56"/>
      <c r="D840" s="56"/>
      <c r="E840" s="56"/>
      <c r="F840" s="56"/>
      <c r="G840" s="58"/>
      <c r="H840" s="56"/>
      <c r="I840" s="61" t="str">
        <f aca="false">IF(IsPro,IF(OR($C840="",N($G840)=0),"",IF(OR($C840="Receipt",$C840="Other Income",$C840="Capital In",$C840="Transfer In"),$G840,0)),"")</f>
        <v/>
      </c>
      <c r="J840" s="61" t="str">
        <f aca="false">IF(IsPro,IF(OR($C840="",N($G840)=0),"",IF(I840=0,$G840,0)),"")</f>
        <v/>
      </c>
      <c r="K840" s="60" t="str">
        <f aca="false">IF(IsPro,IF($C840="","",IF(AND(OR($C840="Receipt",$C840="Payment"),$D840=""),"Party needed",IF(AND(OR($C840="Expense",$C840="Other Income"),$E840=""),"Head needed",IF($F840="","Account needed","OK")))),IF($C840="","","PRO PLAN"))</f>
        <v/>
      </c>
    </row>
    <row r="841" customFormat="false" ht="15" hidden="false" customHeight="false" outlineLevel="0" collapsed="false">
      <c r="A841" s="55"/>
      <c r="B841" s="56"/>
      <c r="C841" s="56"/>
      <c r="D841" s="56"/>
      <c r="E841" s="56"/>
      <c r="F841" s="56"/>
      <c r="G841" s="58"/>
      <c r="H841" s="56"/>
      <c r="I841" s="61" t="str">
        <f aca="false">IF(IsPro,IF(OR($C841="",N($G841)=0),"",IF(OR($C841="Receipt",$C841="Other Income",$C841="Capital In",$C841="Transfer In"),$G841,0)),"")</f>
        <v/>
      </c>
      <c r="J841" s="61" t="str">
        <f aca="false">IF(IsPro,IF(OR($C841="",N($G841)=0),"",IF(I841=0,$G841,0)),"")</f>
        <v/>
      </c>
      <c r="K841" s="60" t="str">
        <f aca="false">IF(IsPro,IF($C841="","",IF(AND(OR($C841="Receipt",$C841="Payment"),$D841=""),"Party needed",IF(AND(OR($C841="Expense",$C841="Other Income"),$E841=""),"Head needed",IF($F841="","Account needed","OK")))),IF($C841="","","PRO PLAN"))</f>
        <v/>
      </c>
    </row>
    <row r="842" customFormat="false" ht="15" hidden="false" customHeight="false" outlineLevel="0" collapsed="false">
      <c r="A842" s="55"/>
      <c r="B842" s="56"/>
      <c r="C842" s="56"/>
      <c r="D842" s="56"/>
      <c r="E842" s="56"/>
      <c r="F842" s="56"/>
      <c r="G842" s="58"/>
      <c r="H842" s="56"/>
      <c r="I842" s="61" t="str">
        <f aca="false">IF(IsPro,IF(OR($C842="",N($G842)=0),"",IF(OR($C842="Receipt",$C842="Other Income",$C842="Capital In",$C842="Transfer In"),$G842,0)),"")</f>
        <v/>
      </c>
      <c r="J842" s="61" t="str">
        <f aca="false">IF(IsPro,IF(OR($C842="",N($G842)=0),"",IF(I842=0,$G842,0)),"")</f>
        <v/>
      </c>
      <c r="K842" s="60" t="str">
        <f aca="false">IF(IsPro,IF($C842="","",IF(AND(OR($C842="Receipt",$C842="Payment"),$D842=""),"Party needed",IF(AND(OR($C842="Expense",$C842="Other Income"),$E842=""),"Head needed",IF($F842="","Account needed","OK")))),IF($C842="","","PRO PLAN"))</f>
        <v/>
      </c>
    </row>
    <row r="843" customFormat="false" ht="15" hidden="false" customHeight="false" outlineLevel="0" collapsed="false">
      <c r="A843" s="55"/>
      <c r="B843" s="56"/>
      <c r="C843" s="56"/>
      <c r="D843" s="56"/>
      <c r="E843" s="56"/>
      <c r="F843" s="56"/>
      <c r="G843" s="58"/>
      <c r="H843" s="56"/>
      <c r="I843" s="61" t="str">
        <f aca="false">IF(IsPro,IF(OR($C843="",N($G843)=0),"",IF(OR($C843="Receipt",$C843="Other Income",$C843="Capital In",$C843="Transfer In"),$G843,0)),"")</f>
        <v/>
      </c>
      <c r="J843" s="61" t="str">
        <f aca="false">IF(IsPro,IF(OR($C843="",N($G843)=0),"",IF(I843=0,$G843,0)),"")</f>
        <v/>
      </c>
      <c r="K843" s="60" t="str">
        <f aca="false">IF(IsPro,IF($C843="","",IF(AND(OR($C843="Receipt",$C843="Payment"),$D843=""),"Party needed",IF(AND(OR($C843="Expense",$C843="Other Income"),$E843=""),"Head needed",IF($F843="","Account needed","OK")))),IF($C843="","","PRO PLAN"))</f>
        <v/>
      </c>
    </row>
    <row r="844" customFormat="false" ht="15" hidden="false" customHeight="false" outlineLevel="0" collapsed="false">
      <c r="A844" s="55"/>
      <c r="B844" s="56"/>
      <c r="C844" s="56"/>
      <c r="D844" s="56"/>
      <c r="E844" s="56"/>
      <c r="F844" s="56"/>
      <c r="G844" s="58"/>
      <c r="H844" s="56"/>
      <c r="I844" s="61" t="str">
        <f aca="false">IF(IsPro,IF(OR($C844="",N($G844)=0),"",IF(OR($C844="Receipt",$C844="Other Income",$C844="Capital In",$C844="Transfer In"),$G844,0)),"")</f>
        <v/>
      </c>
      <c r="J844" s="61" t="str">
        <f aca="false">IF(IsPro,IF(OR($C844="",N($G844)=0),"",IF(I844=0,$G844,0)),"")</f>
        <v/>
      </c>
      <c r="K844" s="60" t="str">
        <f aca="false">IF(IsPro,IF($C844="","",IF(AND(OR($C844="Receipt",$C844="Payment"),$D844=""),"Party needed",IF(AND(OR($C844="Expense",$C844="Other Income"),$E844=""),"Head needed",IF($F844="","Account needed","OK")))),IF($C844="","","PRO PLAN"))</f>
        <v/>
      </c>
    </row>
    <row r="845" customFormat="false" ht="15" hidden="false" customHeight="false" outlineLevel="0" collapsed="false">
      <c r="A845" s="55"/>
      <c r="B845" s="56"/>
      <c r="C845" s="56"/>
      <c r="D845" s="56"/>
      <c r="E845" s="56"/>
      <c r="F845" s="56"/>
      <c r="G845" s="58"/>
      <c r="H845" s="56"/>
      <c r="I845" s="61" t="str">
        <f aca="false">IF(IsPro,IF(OR($C845="",N($G845)=0),"",IF(OR($C845="Receipt",$C845="Other Income",$C845="Capital In",$C845="Transfer In"),$G845,0)),"")</f>
        <v/>
      </c>
      <c r="J845" s="61" t="str">
        <f aca="false">IF(IsPro,IF(OR($C845="",N($G845)=0),"",IF(I845=0,$G845,0)),"")</f>
        <v/>
      </c>
      <c r="K845" s="60" t="str">
        <f aca="false">IF(IsPro,IF($C845="","",IF(AND(OR($C845="Receipt",$C845="Payment"),$D845=""),"Party needed",IF(AND(OR($C845="Expense",$C845="Other Income"),$E845=""),"Head needed",IF($F845="","Account needed","OK")))),IF($C845="","","PRO PLAN"))</f>
        <v/>
      </c>
    </row>
    <row r="846" customFormat="false" ht="15" hidden="false" customHeight="false" outlineLevel="0" collapsed="false">
      <c r="A846" s="55"/>
      <c r="B846" s="56"/>
      <c r="C846" s="56"/>
      <c r="D846" s="56"/>
      <c r="E846" s="56"/>
      <c r="F846" s="56"/>
      <c r="G846" s="58"/>
      <c r="H846" s="56"/>
      <c r="I846" s="61" t="str">
        <f aca="false">IF(IsPro,IF(OR($C846="",N($G846)=0),"",IF(OR($C846="Receipt",$C846="Other Income",$C846="Capital In",$C846="Transfer In"),$G846,0)),"")</f>
        <v/>
      </c>
      <c r="J846" s="61" t="str">
        <f aca="false">IF(IsPro,IF(OR($C846="",N($G846)=0),"",IF(I846=0,$G846,0)),"")</f>
        <v/>
      </c>
      <c r="K846" s="60" t="str">
        <f aca="false">IF(IsPro,IF($C846="","",IF(AND(OR($C846="Receipt",$C846="Payment"),$D846=""),"Party needed",IF(AND(OR($C846="Expense",$C846="Other Income"),$E846=""),"Head needed",IF($F846="","Account needed","OK")))),IF($C846="","","PRO PLAN"))</f>
        <v/>
      </c>
    </row>
    <row r="847" customFormat="false" ht="15" hidden="false" customHeight="false" outlineLevel="0" collapsed="false">
      <c r="A847" s="55"/>
      <c r="B847" s="56"/>
      <c r="C847" s="56"/>
      <c r="D847" s="56"/>
      <c r="E847" s="56"/>
      <c r="F847" s="56"/>
      <c r="G847" s="58"/>
      <c r="H847" s="56"/>
      <c r="I847" s="61" t="str">
        <f aca="false">IF(IsPro,IF(OR($C847="",N($G847)=0),"",IF(OR($C847="Receipt",$C847="Other Income",$C847="Capital In",$C847="Transfer In"),$G847,0)),"")</f>
        <v/>
      </c>
      <c r="J847" s="61" t="str">
        <f aca="false">IF(IsPro,IF(OR($C847="",N($G847)=0),"",IF(I847=0,$G847,0)),"")</f>
        <v/>
      </c>
      <c r="K847" s="60" t="str">
        <f aca="false">IF(IsPro,IF($C847="","",IF(AND(OR($C847="Receipt",$C847="Payment"),$D847=""),"Party needed",IF(AND(OR($C847="Expense",$C847="Other Income"),$E847=""),"Head needed",IF($F847="","Account needed","OK")))),IF($C847="","","PRO PLAN"))</f>
        <v/>
      </c>
    </row>
    <row r="848" customFormat="false" ht="15" hidden="false" customHeight="false" outlineLevel="0" collapsed="false">
      <c r="A848" s="55"/>
      <c r="B848" s="56"/>
      <c r="C848" s="56"/>
      <c r="D848" s="56"/>
      <c r="E848" s="56"/>
      <c r="F848" s="56"/>
      <c r="G848" s="58"/>
      <c r="H848" s="56"/>
      <c r="I848" s="61" t="str">
        <f aca="false">IF(IsPro,IF(OR($C848="",N($G848)=0),"",IF(OR($C848="Receipt",$C848="Other Income",$C848="Capital In",$C848="Transfer In"),$G848,0)),"")</f>
        <v/>
      </c>
      <c r="J848" s="61" t="str">
        <f aca="false">IF(IsPro,IF(OR($C848="",N($G848)=0),"",IF(I848=0,$G848,0)),"")</f>
        <v/>
      </c>
      <c r="K848" s="60" t="str">
        <f aca="false">IF(IsPro,IF($C848="","",IF(AND(OR($C848="Receipt",$C848="Payment"),$D848=""),"Party needed",IF(AND(OR($C848="Expense",$C848="Other Income"),$E848=""),"Head needed",IF($F848="","Account needed","OK")))),IF($C848="","","PRO PLAN"))</f>
        <v/>
      </c>
    </row>
    <row r="849" customFormat="false" ht="15" hidden="false" customHeight="false" outlineLevel="0" collapsed="false">
      <c r="A849" s="55"/>
      <c r="B849" s="56"/>
      <c r="C849" s="56"/>
      <c r="D849" s="56"/>
      <c r="E849" s="56"/>
      <c r="F849" s="56"/>
      <c r="G849" s="58"/>
      <c r="H849" s="56"/>
      <c r="I849" s="61" t="str">
        <f aca="false">IF(IsPro,IF(OR($C849="",N($G849)=0),"",IF(OR($C849="Receipt",$C849="Other Income",$C849="Capital In",$C849="Transfer In"),$G849,0)),"")</f>
        <v/>
      </c>
      <c r="J849" s="61" t="str">
        <f aca="false">IF(IsPro,IF(OR($C849="",N($G849)=0),"",IF(I849=0,$G849,0)),"")</f>
        <v/>
      </c>
      <c r="K849" s="60" t="str">
        <f aca="false">IF(IsPro,IF($C849="","",IF(AND(OR($C849="Receipt",$C849="Payment"),$D849=""),"Party needed",IF(AND(OR($C849="Expense",$C849="Other Income"),$E849=""),"Head needed",IF($F849="","Account needed","OK")))),IF($C849="","","PRO PLAN"))</f>
        <v/>
      </c>
    </row>
    <row r="850" customFormat="false" ht="15" hidden="false" customHeight="false" outlineLevel="0" collapsed="false">
      <c r="A850" s="55"/>
      <c r="B850" s="56"/>
      <c r="C850" s="56"/>
      <c r="D850" s="56"/>
      <c r="E850" s="56"/>
      <c r="F850" s="56"/>
      <c r="G850" s="58"/>
      <c r="H850" s="56"/>
      <c r="I850" s="61" t="str">
        <f aca="false">IF(IsPro,IF(OR($C850="",N($G850)=0),"",IF(OR($C850="Receipt",$C850="Other Income",$C850="Capital In",$C850="Transfer In"),$G850,0)),"")</f>
        <v/>
      </c>
      <c r="J850" s="61" t="str">
        <f aca="false">IF(IsPro,IF(OR($C850="",N($G850)=0),"",IF(I850=0,$G850,0)),"")</f>
        <v/>
      </c>
      <c r="K850" s="60" t="str">
        <f aca="false">IF(IsPro,IF($C850="","",IF(AND(OR($C850="Receipt",$C850="Payment"),$D850=""),"Party needed",IF(AND(OR($C850="Expense",$C850="Other Income"),$E850=""),"Head needed",IF($F850="","Account needed","OK")))),IF($C850="","","PRO PLAN"))</f>
        <v/>
      </c>
    </row>
    <row r="851" customFormat="false" ht="15" hidden="false" customHeight="false" outlineLevel="0" collapsed="false">
      <c r="A851" s="55"/>
      <c r="B851" s="56"/>
      <c r="C851" s="56"/>
      <c r="D851" s="56"/>
      <c r="E851" s="56"/>
      <c r="F851" s="56"/>
      <c r="G851" s="58"/>
      <c r="H851" s="56"/>
      <c r="I851" s="61" t="str">
        <f aca="false">IF(IsPro,IF(OR($C851="",N($G851)=0),"",IF(OR($C851="Receipt",$C851="Other Income",$C851="Capital In",$C851="Transfer In"),$G851,0)),"")</f>
        <v/>
      </c>
      <c r="J851" s="61" t="str">
        <f aca="false">IF(IsPro,IF(OR($C851="",N($G851)=0),"",IF(I851=0,$G851,0)),"")</f>
        <v/>
      </c>
      <c r="K851" s="60" t="str">
        <f aca="false">IF(IsPro,IF($C851="","",IF(AND(OR($C851="Receipt",$C851="Payment"),$D851=""),"Party needed",IF(AND(OR($C851="Expense",$C851="Other Income"),$E851=""),"Head needed",IF($F851="","Account needed","OK")))),IF($C851="","","PRO PLAN"))</f>
        <v/>
      </c>
    </row>
    <row r="852" customFormat="false" ht="15" hidden="false" customHeight="false" outlineLevel="0" collapsed="false">
      <c r="A852" s="55"/>
      <c r="B852" s="56"/>
      <c r="C852" s="56"/>
      <c r="D852" s="56"/>
      <c r="E852" s="56"/>
      <c r="F852" s="56"/>
      <c r="G852" s="58"/>
      <c r="H852" s="56"/>
      <c r="I852" s="61" t="str">
        <f aca="false">IF(IsPro,IF(OR($C852="",N($G852)=0),"",IF(OR($C852="Receipt",$C852="Other Income",$C852="Capital In",$C852="Transfer In"),$G852,0)),"")</f>
        <v/>
      </c>
      <c r="J852" s="61" t="str">
        <f aca="false">IF(IsPro,IF(OR($C852="",N($G852)=0),"",IF(I852=0,$G852,0)),"")</f>
        <v/>
      </c>
      <c r="K852" s="60" t="str">
        <f aca="false">IF(IsPro,IF($C852="","",IF(AND(OR($C852="Receipt",$C852="Payment"),$D852=""),"Party needed",IF(AND(OR($C852="Expense",$C852="Other Income"),$E852=""),"Head needed",IF($F852="","Account needed","OK")))),IF($C852="","","PRO PLAN"))</f>
        <v/>
      </c>
    </row>
    <row r="853" customFormat="false" ht="15" hidden="false" customHeight="false" outlineLevel="0" collapsed="false">
      <c r="A853" s="55"/>
      <c r="B853" s="56"/>
      <c r="C853" s="56"/>
      <c r="D853" s="56"/>
      <c r="E853" s="56"/>
      <c r="F853" s="56"/>
      <c r="G853" s="58"/>
      <c r="H853" s="56"/>
      <c r="I853" s="61" t="str">
        <f aca="false">IF(IsPro,IF(OR($C853="",N($G853)=0),"",IF(OR($C853="Receipt",$C853="Other Income",$C853="Capital In",$C853="Transfer In"),$G853,0)),"")</f>
        <v/>
      </c>
      <c r="J853" s="61" t="str">
        <f aca="false">IF(IsPro,IF(OR($C853="",N($G853)=0),"",IF(I853=0,$G853,0)),"")</f>
        <v/>
      </c>
      <c r="K853" s="60" t="str">
        <f aca="false">IF(IsPro,IF($C853="","",IF(AND(OR($C853="Receipt",$C853="Payment"),$D853=""),"Party needed",IF(AND(OR($C853="Expense",$C853="Other Income"),$E853=""),"Head needed",IF($F853="","Account needed","OK")))),IF($C853="","","PRO PLAN"))</f>
        <v/>
      </c>
    </row>
    <row r="854" customFormat="false" ht="15" hidden="false" customHeight="false" outlineLevel="0" collapsed="false">
      <c r="A854" s="55"/>
      <c r="B854" s="56"/>
      <c r="C854" s="56"/>
      <c r="D854" s="56"/>
      <c r="E854" s="56"/>
      <c r="F854" s="56"/>
      <c r="G854" s="58"/>
      <c r="H854" s="56"/>
      <c r="I854" s="61" t="str">
        <f aca="false">IF(IsPro,IF(OR($C854="",N($G854)=0),"",IF(OR($C854="Receipt",$C854="Other Income",$C854="Capital In",$C854="Transfer In"),$G854,0)),"")</f>
        <v/>
      </c>
      <c r="J854" s="61" t="str">
        <f aca="false">IF(IsPro,IF(OR($C854="",N($G854)=0),"",IF(I854=0,$G854,0)),"")</f>
        <v/>
      </c>
      <c r="K854" s="60" t="str">
        <f aca="false">IF(IsPro,IF($C854="","",IF(AND(OR($C854="Receipt",$C854="Payment"),$D854=""),"Party needed",IF(AND(OR($C854="Expense",$C854="Other Income"),$E854=""),"Head needed",IF($F854="","Account needed","OK")))),IF($C854="","","PRO PLAN"))</f>
        <v/>
      </c>
    </row>
    <row r="855" customFormat="false" ht="15" hidden="false" customHeight="false" outlineLevel="0" collapsed="false">
      <c r="A855" s="55"/>
      <c r="B855" s="56"/>
      <c r="C855" s="56"/>
      <c r="D855" s="56"/>
      <c r="E855" s="56"/>
      <c r="F855" s="56"/>
      <c r="G855" s="58"/>
      <c r="H855" s="56"/>
      <c r="I855" s="61" t="str">
        <f aca="false">IF(IsPro,IF(OR($C855="",N($G855)=0),"",IF(OR($C855="Receipt",$C855="Other Income",$C855="Capital In",$C855="Transfer In"),$G855,0)),"")</f>
        <v/>
      </c>
      <c r="J855" s="61" t="str">
        <f aca="false">IF(IsPro,IF(OR($C855="",N($G855)=0),"",IF(I855=0,$G855,0)),"")</f>
        <v/>
      </c>
      <c r="K855" s="60" t="str">
        <f aca="false">IF(IsPro,IF($C855="","",IF(AND(OR($C855="Receipt",$C855="Payment"),$D855=""),"Party needed",IF(AND(OR($C855="Expense",$C855="Other Income"),$E855=""),"Head needed",IF($F855="","Account needed","OK")))),IF($C855="","","PRO PLAN"))</f>
        <v/>
      </c>
    </row>
    <row r="856" customFormat="false" ht="15" hidden="false" customHeight="false" outlineLevel="0" collapsed="false">
      <c r="A856" s="55"/>
      <c r="B856" s="56"/>
      <c r="C856" s="56"/>
      <c r="D856" s="56"/>
      <c r="E856" s="56"/>
      <c r="F856" s="56"/>
      <c r="G856" s="58"/>
      <c r="H856" s="56"/>
      <c r="I856" s="61" t="str">
        <f aca="false">IF(IsPro,IF(OR($C856="",N($G856)=0),"",IF(OR($C856="Receipt",$C856="Other Income",$C856="Capital In",$C856="Transfer In"),$G856,0)),"")</f>
        <v/>
      </c>
      <c r="J856" s="61" t="str">
        <f aca="false">IF(IsPro,IF(OR($C856="",N($G856)=0),"",IF(I856=0,$G856,0)),"")</f>
        <v/>
      </c>
      <c r="K856" s="60" t="str">
        <f aca="false">IF(IsPro,IF($C856="","",IF(AND(OR($C856="Receipt",$C856="Payment"),$D856=""),"Party needed",IF(AND(OR($C856="Expense",$C856="Other Income"),$E856=""),"Head needed",IF($F856="","Account needed","OK")))),IF($C856="","","PRO PLAN"))</f>
        <v/>
      </c>
    </row>
    <row r="857" customFormat="false" ht="15" hidden="false" customHeight="false" outlineLevel="0" collapsed="false">
      <c r="A857" s="55"/>
      <c r="B857" s="56"/>
      <c r="C857" s="56"/>
      <c r="D857" s="56"/>
      <c r="E857" s="56"/>
      <c r="F857" s="56"/>
      <c r="G857" s="58"/>
      <c r="H857" s="56"/>
      <c r="I857" s="61" t="str">
        <f aca="false">IF(IsPro,IF(OR($C857="",N($G857)=0),"",IF(OR($C857="Receipt",$C857="Other Income",$C857="Capital In",$C857="Transfer In"),$G857,0)),"")</f>
        <v/>
      </c>
      <c r="J857" s="61" t="str">
        <f aca="false">IF(IsPro,IF(OR($C857="",N($G857)=0),"",IF(I857=0,$G857,0)),"")</f>
        <v/>
      </c>
      <c r="K857" s="60" t="str">
        <f aca="false">IF(IsPro,IF($C857="","",IF(AND(OR($C857="Receipt",$C857="Payment"),$D857=""),"Party needed",IF(AND(OR($C857="Expense",$C857="Other Income"),$E857=""),"Head needed",IF($F857="","Account needed","OK")))),IF($C857="","","PRO PLAN"))</f>
        <v/>
      </c>
    </row>
    <row r="858" customFormat="false" ht="15" hidden="false" customHeight="false" outlineLevel="0" collapsed="false">
      <c r="A858" s="55"/>
      <c r="B858" s="56"/>
      <c r="C858" s="56"/>
      <c r="D858" s="56"/>
      <c r="E858" s="56"/>
      <c r="F858" s="56"/>
      <c r="G858" s="58"/>
      <c r="H858" s="56"/>
      <c r="I858" s="61" t="str">
        <f aca="false">IF(IsPro,IF(OR($C858="",N($G858)=0),"",IF(OR($C858="Receipt",$C858="Other Income",$C858="Capital In",$C858="Transfer In"),$G858,0)),"")</f>
        <v/>
      </c>
      <c r="J858" s="61" t="str">
        <f aca="false">IF(IsPro,IF(OR($C858="",N($G858)=0),"",IF(I858=0,$G858,0)),"")</f>
        <v/>
      </c>
      <c r="K858" s="60" t="str">
        <f aca="false">IF(IsPro,IF($C858="","",IF(AND(OR($C858="Receipt",$C858="Payment"),$D858=""),"Party needed",IF(AND(OR($C858="Expense",$C858="Other Income"),$E858=""),"Head needed",IF($F858="","Account needed","OK")))),IF($C858="","","PRO PLAN"))</f>
        <v/>
      </c>
    </row>
    <row r="859" customFormat="false" ht="15" hidden="false" customHeight="false" outlineLevel="0" collapsed="false">
      <c r="A859" s="55"/>
      <c r="B859" s="56"/>
      <c r="C859" s="56"/>
      <c r="D859" s="56"/>
      <c r="E859" s="56"/>
      <c r="F859" s="56"/>
      <c r="G859" s="58"/>
      <c r="H859" s="56"/>
      <c r="I859" s="61" t="str">
        <f aca="false">IF(IsPro,IF(OR($C859="",N($G859)=0),"",IF(OR($C859="Receipt",$C859="Other Income",$C859="Capital In",$C859="Transfer In"),$G859,0)),"")</f>
        <v/>
      </c>
      <c r="J859" s="61" t="str">
        <f aca="false">IF(IsPro,IF(OR($C859="",N($G859)=0),"",IF(I859=0,$G859,0)),"")</f>
        <v/>
      </c>
      <c r="K859" s="60" t="str">
        <f aca="false">IF(IsPro,IF($C859="","",IF(AND(OR($C859="Receipt",$C859="Payment"),$D859=""),"Party needed",IF(AND(OR($C859="Expense",$C859="Other Income"),$E859=""),"Head needed",IF($F859="","Account needed","OK")))),IF($C859="","","PRO PLAN"))</f>
        <v/>
      </c>
    </row>
    <row r="860" customFormat="false" ht="15" hidden="false" customHeight="false" outlineLevel="0" collapsed="false">
      <c r="A860" s="55"/>
      <c r="B860" s="56"/>
      <c r="C860" s="56"/>
      <c r="D860" s="56"/>
      <c r="E860" s="56"/>
      <c r="F860" s="56"/>
      <c r="G860" s="58"/>
      <c r="H860" s="56"/>
      <c r="I860" s="61" t="str">
        <f aca="false">IF(IsPro,IF(OR($C860="",N($G860)=0),"",IF(OR($C860="Receipt",$C860="Other Income",$C860="Capital In",$C860="Transfer In"),$G860,0)),"")</f>
        <v/>
      </c>
      <c r="J860" s="61" t="str">
        <f aca="false">IF(IsPro,IF(OR($C860="",N($G860)=0),"",IF(I860=0,$G860,0)),"")</f>
        <v/>
      </c>
      <c r="K860" s="60" t="str">
        <f aca="false">IF(IsPro,IF($C860="","",IF(AND(OR($C860="Receipt",$C860="Payment"),$D860=""),"Party needed",IF(AND(OR($C860="Expense",$C860="Other Income"),$E860=""),"Head needed",IF($F860="","Account needed","OK")))),IF($C860="","","PRO PLAN"))</f>
        <v/>
      </c>
    </row>
    <row r="861" customFormat="false" ht="15" hidden="false" customHeight="false" outlineLevel="0" collapsed="false">
      <c r="A861" s="55"/>
      <c r="B861" s="56"/>
      <c r="C861" s="56"/>
      <c r="D861" s="56"/>
      <c r="E861" s="56"/>
      <c r="F861" s="56"/>
      <c r="G861" s="58"/>
      <c r="H861" s="56"/>
      <c r="I861" s="61" t="str">
        <f aca="false">IF(IsPro,IF(OR($C861="",N($G861)=0),"",IF(OR($C861="Receipt",$C861="Other Income",$C861="Capital In",$C861="Transfer In"),$G861,0)),"")</f>
        <v/>
      </c>
      <c r="J861" s="61" t="str">
        <f aca="false">IF(IsPro,IF(OR($C861="",N($G861)=0),"",IF(I861=0,$G861,0)),"")</f>
        <v/>
      </c>
      <c r="K861" s="60" t="str">
        <f aca="false">IF(IsPro,IF($C861="","",IF(AND(OR($C861="Receipt",$C861="Payment"),$D861=""),"Party needed",IF(AND(OR($C861="Expense",$C861="Other Income"),$E861=""),"Head needed",IF($F861="","Account needed","OK")))),IF($C861="","","PRO PLAN"))</f>
        <v/>
      </c>
    </row>
    <row r="862" customFormat="false" ht="15" hidden="false" customHeight="false" outlineLevel="0" collapsed="false">
      <c r="A862" s="55"/>
      <c r="B862" s="56"/>
      <c r="C862" s="56"/>
      <c r="D862" s="56"/>
      <c r="E862" s="56"/>
      <c r="F862" s="56"/>
      <c r="G862" s="58"/>
      <c r="H862" s="56"/>
      <c r="I862" s="61" t="str">
        <f aca="false">IF(IsPro,IF(OR($C862="",N($G862)=0),"",IF(OR($C862="Receipt",$C862="Other Income",$C862="Capital In",$C862="Transfer In"),$G862,0)),"")</f>
        <v/>
      </c>
      <c r="J862" s="61" t="str">
        <f aca="false">IF(IsPro,IF(OR($C862="",N($G862)=0),"",IF(I862=0,$G862,0)),"")</f>
        <v/>
      </c>
      <c r="K862" s="60" t="str">
        <f aca="false">IF(IsPro,IF($C862="","",IF(AND(OR($C862="Receipt",$C862="Payment"),$D862=""),"Party needed",IF(AND(OR($C862="Expense",$C862="Other Income"),$E862=""),"Head needed",IF($F862="","Account needed","OK")))),IF($C862="","","PRO PLAN"))</f>
        <v/>
      </c>
    </row>
    <row r="863" customFormat="false" ht="15" hidden="false" customHeight="false" outlineLevel="0" collapsed="false">
      <c r="A863" s="55"/>
      <c r="B863" s="56"/>
      <c r="C863" s="56"/>
      <c r="D863" s="56"/>
      <c r="E863" s="56"/>
      <c r="F863" s="56"/>
      <c r="G863" s="58"/>
      <c r="H863" s="56"/>
      <c r="I863" s="61" t="str">
        <f aca="false">IF(IsPro,IF(OR($C863="",N($G863)=0),"",IF(OR($C863="Receipt",$C863="Other Income",$C863="Capital In",$C863="Transfer In"),$G863,0)),"")</f>
        <v/>
      </c>
      <c r="J863" s="61" t="str">
        <f aca="false">IF(IsPro,IF(OR($C863="",N($G863)=0),"",IF(I863=0,$G863,0)),"")</f>
        <v/>
      </c>
      <c r="K863" s="60" t="str">
        <f aca="false">IF(IsPro,IF($C863="","",IF(AND(OR($C863="Receipt",$C863="Payment"),$D863=""),"Party needed",IF(AND(OR($C863="Expense",$C863="Other Income"),$E863=""),"Head needed",IF($F863="","Account needed","OK")))),IF($C863="","","PRO PLAN"))</f>
        <v/>
      </c>
    </row>
    <row r="864" customFormat="false" ht="15" hidden="false" customHeight="false" outlineLevel="0" collapsed="false">
      <c r="A864" s="55"/>
      <c r="B864" s="56"/>
      <c r="C864" s="56"/>
      <c r="D864" s="56"/>
      <c r="E864" s="56"/>
      <c r="F864" s="56"/>
      <c r="G864" s="58"/>
      <c r="H864" s="56"/>
      <c r="I864" s="61" t="str">
        <f aca="false">IF(IsPro,IF(OR($C864="",N($G864)=0),"",IF(OR($C864="Receipt",$C864="Other Income",$C864="Capital In",$C864="Transfer In"),$G864,0)),"")</f>
        <v/>
      </c>
      <c r="J864" s="61" t="str">
        <f aca="false">IF(IsPro,IF(OR($C864="",N($G864)=0),"",IF(I864=0,$G864,0)),"")</f>
        <v/>
      </c>
      <c r="K864" s="60" t="str">
        <f aca="false">IF(IsPro,IF($C864="","",IF(AND(OR($C864="Receipt",$C864="Payment"),$D864=""),"Party needed",IF(AND(OR($C864="Expense",$C864="Other Income"),$E864=""),"Head needed",IF($F864="","Account needed","OK")))),IF($C864="","","PRO PLAN"))</f>
        <v/>
      </c>
    </row>
    <row r="865" customFormat="false" ht="15" hidden="false" customHeight="false" outlineLevel="0" collapsed="false">
      <c r="A865" s="55"/>
      <c r="B865" s="56"/>
      <c r="C865" s="56"/>
      <c r="D865" s="56"/>
      <c r="E865" s="56"/>
      <c r="F865" s="56"/>
      <c r="G865" s="58"/>
      <c r="H865" s="56"/>
      <c r="I865" s="61" t="str">
        <f aca="false">IF(IsPro,IF(OR($C865="",N($G865)=0),"",IF(OR($C865="Receipt",$C865="Other Income",$C865="Capital In",$C865="Transfer In"),$G865,0)),"")</f>
        <v/>
      </c>
      <c r="J865" s="61" t="str">
        <f aca="false">IF(IsPro,IF(OR($C865="",N($G865)=0),"",IF(I865=0,$G865,0)),"")</f>
        <v/>
      </c>
      <c r="K865" s="60" t="str">
        <f aca="false">IF(IsPro,IF($C865="","",IF(AND(OR($C865="Receipt",$C865="Payment"),$D865=""),"Party needed",IF(AND(OR($C865="Expense",$C865="Other Income"),$E865=""),"Head needed",IF($F865="","Account needed","OK")))),IF($C865="","","PRO PLAN"))</f>
        <v/>
      </c>
    </row>
    <row r="866" customFormat="false" ht="15" hidden="false" customHeight="false" outlineLevel="0" collapsed="false">
      <c r="A866" s="55"/>
      <c r="B866" s="56"/>
      <c r="C866" s="56"/>
      <c r="D866" s="56"/>
      <c r="E866" s="56"/>
      <c r="F866" s="56"/>
      <c r="G866" s="58"/>
      <c r="H866" s="56"/>
      <c r="I866" s="61" t="str">
        <f aca="false">IF(IsPro,IF(OR($C866="",N($G866)=0),"",IF(OR($C866="Receipt",$C866="Other Income",$C866="Capital In",$C866="Transfer In"),$G866,0)),"")</f>
        <v/>
      </c>
      <c r="J866" s="61" t="str">
        <f aca="false">IF(IsPro,IF(OR($C866="",N($G866)=0),"",IF(I866=0,$G866,0)),"")</f>
        <v/>
      </c>
      <c r="K866" s="60" t="str">
        <f aca="false">IF(IsPro,IF($C866="","",IF(AND(OR($C866="Receipt",$C866="Payment"),$D866=""),"Party needed",IF(AND(OR($C866="Expense",$C866="Other Income"),$E866=""),"Head needed",IF($F866="","Account needed","OK")))),IF($C866="","","PRO PLAN"))</f>
        <v/>
      </c>
    </row>
    <row r="867" customFormat="false" ht="15" hidden="false" customHeight="false" outlineLevel="0" collapsed="false">
      <c r="A867" s="55"/>
      <c r="B867" s="56"/>
      <c r="C867" s="56"/>
      <c r="D867" s="56"/>
      <c r="E867" s="56"/>
      <c r="F867" s="56"/>
      <c r="G867" s="58"/>
      <c r="H867" s="56"/>
      <c r="I867" s="61" t="str">
        <f aca="false">IF(IsPro,IF(OR($C867="",N($G867)=0),"",IF(OR($C867="Receipt",$C867="Other Income",$C867="Capital In",$C867="Transfer In"),$G867,0)),"")</f>
        <v/>
      </c>
      <c r="J867" s="61" t="str">
        <f aca="false">IF(IsPro,IF(OR($C867="",N($G867)=0),"",IF(I867=0,$G867,0)),"")</f>
        <v/>
      </c>
      <c r="K867" s="60" t="str">
        <f aca="false">IF(IsPro,IF($C867="","",IF(AND(OR($C867="Receipt",$C867="Payment"),$D867=""),"Party needed",IF(AND(OR($C867="Expense",$C867="Other Income"),$E867=""),"Head needed",IF($F867="","Account needed","OK")))),IF($C867="","","PRO PLAN"))</f>
        <v/>
      </c>
    </row>
    <row r="868" customFormat="false" ht="15" hidden="false" customHeight="false" outlineLevel="0" collapsed="false">
      <c r="A868" s="55"/>
      <c r="B868" s="56"/>
      <c r="C868" s="56"/>
      <c r="D868" s="56"/>
      <c r="E868" s="56"/>
      <c r="F868" s="56"/>
      <c r="G868" s="58"/>
      <c r="H868" s="56"/>
      <c r="I868" s="61" t="str">
        <f aca="false">IF(IsPro,IF(OR($C868="",N($G868)=0),"",IF(OR($C868="Receipt",$C868="Other Income",$C868="Capital In",$C868="Transfer In"),$G868,0)),"")</f>
        <v/>
      </c>
      <c r="J868" s="61" t="str">
        <f aca="false">IF(IsPro,IF(OR($C868="",N($G868)=0),"",IF(I868=0,$G868,0)),"")</f>
        <v/>
      </c>
      <c r="K868" s="60" t="str">
        <f aca="false">IF(IsPro,IF($C868="","",IF(AND(OR($C868="Receipt",$C868="Payment"),$D868=""),"Party needed",IF(AND(OR($C868="Expense",$C868="Other Income"),$E868=""),"Head needed",IF($F868="","Account needed","OK")))),IF($C868="","","PRO PLAN"))</f>
        <v/>
      </c>
    </row>
    <row r="869" customFormat="false" ht="15" hidden="false" customHeight="false" outlineLevel="0" collapsed="false">
      <c r="A869" s="55"/>
      <c r="B869" s="56"/>
      <c r="C869" s="56"/>
      <c r="D869" s="56"/>
      <c r="E869" s="56"/>
      <c r="F869" s="56"/>
      <c r="G869" s="58"/>
      <c r="H869" s="56"/>
      <c r="I869" s="61" t="str">
        <f aca="false">IF(IsPro,IF(OR($C869="",N($G869)=0),"",IF(OR($C869="Receipt",$C869="Other Income",$C869="Capital In",$C869="Transfer In"),$G869,0)),"")</f>
        <v/>
      </c>
      <c r="J869" s="61" t="str">
        <f aca="false">IF(IsPro,IF(OR($C869="",N($G869)=0),"",IF(I869=0,$G869,0)),"")</f>
        <v/>
      </c>
      <c r="K869" s="60" t="str">
        <f aca="false">IF(IsPro,IF($C869="","",IF(AND(OR($C869="Receipt",$C869="Payment"),$D869=""),"Party needed",IF(AND(OR($C869="Expense",$C869="Other Income"),$E869=""),"Head needed",IF($F869="","Account needed","OK")))),IF($C869="","","PRO PLAN"))</f>
        <v/>
      </c>
    </row>
    <row r="870" customFormat="false" ht="15" hidden="false" customHeight="false" outlineLevel="0" collapsed="false">
      <c r="A870" s="55"/>
      <c r="B870" s="56"/>
      <c r="C870" s="56"/>
      <c r="D870" s="56"/>
      <c r="E870" s="56"/>
      <c r="F870" s="56"/>
      <c r="G870" s="58"/>
      <c r="H870" s="56"/>
      <c r="I870" s="61" t="str">
        <f aca="false">IF(IsPro,IF(OR($C870="",N($G870)=0),"",IF(OR($C870="Receipt",$C870="Other Income",$C870="Capital In",$C870="Transfer In"),$G870,0)),"")</f>
        <v/>
      </c>
      <c r="J870" s="61" t="str">
        <f aca="false">IF(IsPro,IF(OR($C870="",N($G870)=0),"",IF(I870=0,$G870,0)),"")</f>
        <v/>
      </c>
      <c r="K870" s="60" t="str">
        <f aca="false">IF(IsPro,IF($C870="","",IF(AND(OR($C870="Receipt",$C870="Payment"),$D870=""),"Party needed",IF(AND(OR($C870="Expense",$C870="Other Income"),$E870=""),"Head needed",IF($F870="","Account needed","OK")))),IF($C870="","","PRO PLAN"))</f>
        <v/>
      </c>
    </row>
    <row r="871" customFormat="false" ht="15" hidden="false" customHeight="false" outlineLevel="0" collapsed="false">
      <c r="A871" s="55"/>
      <c r="B871" s="56"/>
      <c r="C871" s="56"/>
      <c r="D871" s="56"/>
      <c r="E871" s="56"/>
      <c r="F871" s="56"/>
      <c r="G871" s="58"/>
      <c r="H871" s="56"/>
      <c r="I871" s="61" t="str">
        <f aca="false">IF(IsPro,IF(OR($C871="",N($G871)=0),"",IF(OR($C871="Receipt",$C871="Other Income",$C871="Capital In",$C871="Transfer In"),$G871,0)),"")</f>
        <v/>
      </c>
      <c r="J871" s="61" t="str">
        <f aca="false">IF(IsPro,IF(OR($C871="",N($G871)=0),"",IF(I871=0,$G871,0)),"")</f>
        <v/>
      </c>
      <c r="K871" s="60" t="str">
        <f aca="false">IF(IsPro,IF($C871="","",IF(AND(OR($C871="Receipt",$C871="Payment"),$D871=""),"Party needed",IF(AND(OR($C871="Expense",$C871="Other Income"),$E871=""),"Head needed",IF($F871="","Account needed","OK")))),IF($C871="","","PRO PLAN"))</f>
        <v/>
      </c>
    </row>
    <row r="872" customFormat="false" ht="15" hidden="false" customHeight="false" outlineLevel="0" collapsed="false">
      <c r="A872" s="55"/>
      <c r="B872" s="56"/>
      <c r="C872" s="56"/>
      <c r="D872" s="56"/>
      <c r="E872" s="56"/>
      <c r="F872" s="56"/>
      <c r="G872" s="58"/>
      <c r="H872" s="56"/>
      <c r="I872" s="61" t="str">
        <f aca="false">IF(IsPro,IF(OR($C872="",N($G872)=0),"",IF(OR($C872="Receipt",$C872="Other Income",$C872="Capital In",$C872="Transfer In"),$G872,0)),"")</f>
        <v/>
      </c>
      <c r="J872" s="61" t="str">
        <f aca="false">IF(IsPro,IF(OR($C872="",N($G872)=0),"",IF(I872=0,$G872,0)),"")</f>
        <v/>
      </c>
      <c r="K872" s="60" t="str">
        <f aca="false">IF(IsPro,IF($C872="","",IF(AND(OR($C872="Receipt",$C872="Payment"),$D872=""),"Party needed",IF(AND(OR($C872="Expense",$C872="Other Income"),$E872=""),"Head needed",IF($F872="","Account needed","OK")))),IF($C872="","","PRO PLAN"))</f>
        <v/>
      </c>
    </row>
    <row r="873" customFormat="false" ht="15" hidden="false" customHeight="false" outlineLevel="0" collapsed="false">
      <c r="A873" s="55"/>
      <c r="B873" s="56"/>
      <c r="C873" s="56"/>
      <c r="D873" s="56"/>
      <c r="E873" s="56"/>
      <c r="F873" s="56"/>
      <c r="G873" s="58"/>
      <c r="H873" s="56"/>
      <c r="I873" s="61" t="str">
        <f aca="false">IF(IsPro,IF(OR($C873="",N($G873)=0),"",IF(OR($C873="Receipt",$C873="Other Income",$C873="Capital In",$C873="Transfer In"),$G873,0)),"")</f>
        <v/>
      </c>
      <c r="J873" s="61" t="str">
        <f aca="false">IF(IsPro,IF(OR($C873="",N($G873)=0),"",IF(I873=0,$G873,0)),"")</f>
        <v/>
      </c>
      <c r="K873" s="60" t="str">
        <f aca="false">IF(IsPro,IF($C873="","",IF(AND(OR($C873="Receipt",$C873="Payment"),$D873=""),"Party needed",IF(AND(OR($C873="Expense",$C873="Other Income"),$E873=""),"Head needed",IF($F873="","Account needed","OK")))),IF($C873="","","PRO PLAN"))</f>
        <v/>
      </c>
    </row>
    <row r="874" customFormat="false" ht="15" hidden="false" customHeight="false" outlineLevel="0" collapsed="false">
      <c r="A874" s="55"/>
      <c r="B874" s="56"/>
      <c r="C874" s="56"/>
      <c r="D874" s="56"/>
      <c r="E874" s="56"/>
      <c r="F874" s="56"/>
      <c r="G874" s="58"/>
      <c r="H874" s="56"/>
      <c r="I874" s="61" t="str">
        <f aca="false">IF(IsPro,IF(OR($C874="",N($G874)=0),"",IF(OR($C874="Receipt",$C874="Other Income",$C874="Capital In",$C874="Transfer In"),$G874,0)),"")</f>
        <v/>
      </c>
      <c r="J874" s="61" t="str">
        <f aca="false">IF(IsPro,IF(OR($C874="",N($G874)=0),"",IF(I874=0,$G874,0)),"")</f>
        <v/>
      </c>
      <c r="K874" s="60" t="str">
        <f aca="false">IF(IsPro,IF($C874="","",IF(AND(OR($C874="Receipt",$C874="Payment"),$D874=""),"Party needed",IF(AND(OR($C874="Expense",$C874="Other Income"),$E874=""),"Head needed",IF($F874="","Account needed","OK")))),IF($C874="","","PRO PLAN"))</f>
        <v/>
      </c>
    </row>
    <row r="875" customFormat="false" ht="15" hidden="false" customHeight="false" outlineLevel="0" collapsed="false">
      <c r="A875" s="55"/>
      <c r="B875" s="56"/>
      <c r="C875" s="56"/>
      <c r="D875" s="56"/>
      <c r="E875" s="56"/>
      <c r="F875" s="56"/>
      <c r="G875" s="58"/>
      <c r="H875" s="56"/>
      <c r="I875" s="61" t="str">
        <f aca="false">IF(IsPro,IF(OR($C875="",N($G875)=0),"",IF(OR($C875="Receipt",$C875="Other Income",$C875="Capital In",$C875="Transfer In"),$G875,0)),"")</f>
        <v/>
      </c>
      <c r="J875" s="61" t="str">
        <f aca="false">IF(IsPro,IF(OR($C875="",N($G875)=0),"",IF(I875=0,$G875,0)),"")</f>
        <v/>
      </c>
      <c r="K875" s="60" t="str">
        <f aca="false">IF(IsPro,IF($C875="","",IF(AND(OR($C875="Receipt",$C875="Payment"),$D875=""),"Party needed",IF(AND(OR($C875="Expense",$C875="Other Income"),$E875=""),"Head needed",IF($F875="","Account needed","OK")))),IF($C875="","","PRO PLAN"))</f>
        <v/>
      </c>
    </row>
    <row r="876" customFormat="false" ht="15" hidden="false" customHeight="false" outlineLevel="0" collapsed="false">
      <c r="A876" s="55"/>
      <c r="B876" s="56"/>
      <c r="C876" s="56"/>
      <c r="D876" s="56"/>
      <c r="E876" s="56"/>
      <c r="F876" s="56"/>
      <c r="G876" s="58"/>
      <c r="H876" s="56"/>
      <c r="I876" s="61" t="str">
        <f aca="false">IF(IsPro,IF(OR($C876="",N($G876)=0),"",IF(OR($C876="Receipt",$C876="Other Income",$C876="Capital In",$C876="Transfer In"),$G876,0)),"")</f>
        <v/>
      </c>
      <c r="J876" s="61" t="str">
        <f aca="false">IF(IsPro,IF(OR($C876="",N($G876)=0),"",IF(I876=0,$G876,0)),"")</f>
        <v/>
      </c>
      <c r="K876" s="60" t="str">
        <f aca="false">IF(IsPro,IF($C876="","",IF(AND(OR($C876="Receipt",$C876="Payment"),$D876=""),"Party needed",IF(AND(OR($C876="Expense",$C876="Other Income"),$E876=""),"Head needed",IF($F876="","Account needed","OK")))),IF($C876="","","PRO PLAN"))</f>
        <v/>
      </c>
    </row>
    <row r="877" customFormat="false" ht="15" hidden="false" customHeight="false" outlineLevel="0" collapsed="false">
      <c r="A877" s="55"/>
      <c r="B877" s="56"/>
      <c r="C877" s="56"/>
      <c r="D877" s="56"/>
      <c r="E877" s="56"/>
      <c r="F877" s="56"/>
      <c r="G877" s="58"/>
      <c r="H877" s="56"/>
      <c r="I877" s="61" t="str">
        <f aca="false">IF(IsPro,IF(OR($C877="",N($G877)=0),"",IF(OR($C877="Receipt",$C877="Other Income",$C877="Capital In",$C877="Transfer In"),$G877,0)),"")</f>
        <v/>
      </c>
      <c r="J877" s="61" t="str">
        <f aca="false">IF(IsPro,IF(OR($C877="",N($G877)=0),"",IF(I877=0,$G877,0)),"")</f>
        <v/>
      </c>
      <c r="K877" s="60" t="str">
        <f aca="false">IF(IsPro,IF($C877="","",IF(AND(OR($C877="Receipt",$C877="Payment"),$D877=""),"Party needed",IF(AND(OR($C877="Expense",$C877="Other Income"),$E877=""),"Head needed",IF($F877="","Account needed","OK")))),IF($C877="","","PRO PLAN"))</f>
        <v/>
      </c>
    </row>
    <row r="878" customFormat="false" ht="15" hidden="false" customHeight="false" outlineLevel="0" collapsed="false">
      <c r="A878" s="55"/>
      <c r="B878" s="56"/>
      <c r="C878" s="56"/>
      <c r="D878" s="56"/>
      <c r="E878" s="56"/>
      <c r="F878" s="56"/>
      <c r="G878" s="58"/>
      <c r="H878" s="56"/>
      <c r="I878" s="61" t="str">
        <f aca="false">IF(IsPro,IF(OR($C878="",N($G878)=0),"",IF(OR($C878="Receipt",$C878="Other Income",$C878="Capital In",$C878="Transfer In"),$G878,0)),"")</f>
        <v/>
      </c>
      <c r="J878" s="61" t="str">
        <f aca="false">IF(IsPro,IF(OR($C878="",N($G878)=0),"",IF(I878=0,$G878,0)),"")</f>
        <v/>
      </c>
      <c r="K878" s="60" t="str">
        <f aca="false">IF(IsPro,IF($C878="","",IF(AND(OR($C878="Receipt",$C878="Payment"),$D878=""),"Party needed",IF(AND(OR($C878="Expense",$C878="Other Income"),$E878=""),"Head needed",IF($F878="","Account needed","OK")))),IF($C878="","","PRO PLAN"))</f>
        <v/>
      </c>
    </row>
    <row r="879" customFormat="false" ht="15" hidden="false" customHeight="false" outlineLevel="0" collapsed="false">
      <c r="A879" s="55"/>
      <c r="B879" s="56"/>
      <c r="C879" s="56"/>
      <c r="D879" s="56"/>
      <c r="E879" s="56"/>
      <c r="F879" s="56"/>
      <c r="G879" s="58"/>
      <c r="H879" s="56"/>
      <c r="I879" s="61" t="str">
        <f aca="false">IF(IsPro,IF(OR($C879="",N($G879)=0),"",IF(OR($C879="Receipt",$C879="Other Income",$C879="Capital In",$C879="Transfer In"),$G879,0)),"")</f>
        <v/>
      </c>
      <c r="J879" s="61" t="str">
        <f aca="false">IF(IsPro,IF(OR($C879="",N($G879)=0),"",IF(I879=0,$G879,0)),"")</f>
        <v/>
      </c>
      <c r="K879" s="60" t="str">
        <f aca="false">IF(IsPro,IF($C879="","",IF(AND(OR($C879="Receipt",$C879="Payment"),$D879=""),"Party needed",IF(AND(OR($C879="Expense",$C879="Other Income"),$E879=""),"Head needed",IF($F879="","Account needed","OK")))),IF($C879="","","PRO PLAN"))</f>
        <v/>
      </c>
    </row>
    <row r="880" customFormat="false" ht="15" hidden="false" customHeight="false" outlineLevel="0" collapsed="false">
      <c r="A880" s="55"/>
      <c r="B880" s="56"/>
      <c r="C880" s="56"/>
      <c r="D880" s="56"/>
      <c r="E880" s="56"/>
      <c r="F880" s="56"/>
      <c r="G880" s="58"/>
      <c r="H880" s="56"/>
      <c r="I880" s="61" t="str">
        <f aca="false">IF(IsPro,IF(OR($C880="",N($G880)=0),"",IF(OR($C880="Receipt",$C880="Other Income",$C880="Capital In",$C880="Transfer In"),$G880,0)),"")</f>
        <v/>
      </c>
      <c r="J880" s="61" t="str">
        <f aca="false">IF(IsPro,IF(OR($C880="",N($G880)=0),"",IF(I880=0,$G880,0)),"")</f>
        <v/>
      </c>
      <c r="K880" s="60" t="str">
        <f aca="false">IF(IsPro,IF($C880="","",IF(AND(OR($C880="Receipt",$C880="Payment"),$D880=""),"Party needed",IF(AND(OR($C880="Expense",$C880="Other Income"),$E880=""),"Head needed",IF($F880="","Account needed","OK")))),IF($C880="","","PRO PLAN"))</f>
        <v/>
      </c>
    </row>
    <row r="881" customFormat="false" ht="15" hidden="false" customHeight="false" outlineLevel="0" collapsed="false">
      <c r="A881" s="55"/>
      <c r="B881" s="56"/>
      <c r="C881" s="56"/>
      <c r="D881" s="56"/>
      <c r="E881" s="56"/>
      <c r="F881" s="56"/>
      <c r="G881" s="58"/>
      <c r="H881" s="56"/>
      <c r="I881" s="61" t="str">
        <f aca="false">IF(IsPro,IF(OR($C881="",N($G881)=0),"",IF(OR($C881="Receipt",$C881="Other Income",$C881="Capital In",$C881="Transfer In"),$G881,0)),"")</f>
        <v/>
      </c>
      <c r="J881" s="61" t="str">
        <f aca="false">IF(IsPro,IF(OR($C881="",N($G881)=0),"",IF(I881=0,$G881,0)),"")</f>
        <v/>
      </c>
      <c r="K881" s="60" t="str">
        <f aca="false">IF(IsPro,IF($C881="","",IF(AND(OR($C881="Receipt",$C881="Payment"),$D881=""),"Party needed",IF(AND(OR($C881="Expense",$C881="Other Income"),$E881=""),"Head needed",IF($F881="","Account needed","OK")))),IF($C881="","","PRO PLAN"))</f>
        <v/>
      </c>
    </row>
    <row r="882" customFormat="false" ht="15" hidden="false" customHeight="false" outlineLevel="0" collapsed="false">
      <c r="A882" s="55"/>
      <c r="B882" s="56"/>
      <c r="C882" s="56"/>
      <c r="D882" s="56"/>
      <c r="E882" s="56"/>
      <c r="F882" s="56"/>
      <c r="G882" s="58"/>
      <c r="H882" s="56"/>
      <c r="I882" s="61" t="str">
        <f aca="false">IF(IsPro,IF(OR($C882="",N($G882)=0),"",IF(OR($C882="Receipt",$C882="Other Income",$C882="Capital In",$C882="Transfer In"),$G882,0)),"")</f>
        <v/>
      </c>
      <c r="J882" s="61" t="str">
        <f aca="false">IF(IsPro,IF(OR($C882="",N($G882)=0),"",IF(I882=0,$G882,0)),"")</f>
        <v/>
      </c>
      <c r="K882" s="60" t="str">
        <f aca="false">IF(IsPro,IF($C882="","",IF(AND(OR($C882="Receipt",$C882="Payment"),$D882=""),"Party needed",IF(AND(OR($C882="Expense",$C882="Other Income"),$E882=""),"Head needed",IF($F882="","Account needed","OK")))),IF($C882="","","PRO PLAN"))</f>
        <v/>
      </c>
    </row>
    <row r="883" customFormat="false" ht="15" hidden="false" customHeight="false" outlineLevel="0" collapsed="false">
      <c r="A883" s="55"/>
      <c r="B883" s="56"/>
      <c r="C883" s="56"/>
      <c r="D883" s="56"/>
      <c r="E883" s="56"/>
      <c r="F883" s="56"/>
      <c r="G883" s="58"/>
      <c r="H883" s="56"/>
      <c r="I883" s="61" t="str">
        <f aca="false">IF(IsPro,IF(OR($C883="",N($G883)=0),"",IF(OR($C883="Receipt",$C883="Other Income",$C883="Capital In",$C883="Transfer In"),$G883,0)),"")</f>
        <v/>
      </c>
      <c r="J883" s="61" t="str">
        <f aca="false">IF(IsPro,IF(OR($C883="",N($G883)=0),"",IF(I883=0,$G883,0)),"")</f>
        <v/>
      </c>
      <c r="K883" s="60" t="str">
        <f aca="false">IF(IsPro,IF($C883="","",IF(AND(OR($C883="Receipt",$C883="Payment"),$D883=""),"Party needed",IF(AND(OR($C883="Expense",$C883="Other Income"),$E883=""),"Head needed",IF($F883="","Account needed","OK")))),IF($C883="","","PRO PLAN"))</f>
        <v/>
      </c>
    </row>
    <row r="884" customFormat="false" ht="15" hidden="false" customHeight="false" outlineLevel="0" collapsed="false">
      <c r="A884" s="55"/>
      <c r="B884" s="56"/>
      <c r="C884" s="56"/>
      <c r="D884" s="56"/>
      <c r="E884" s="56"/>
      <c r="F884" s="56"/>
      <c r="G884" s="58"/>
      <c r="H884" s="56"/>
      <c r="I884" s="61" t="str">
        <f aca="false">IF(IsPro,IF(OR($C884="",N($G884)=0),"",IF(OR($C884="Receipt",$C884="Other Income",$C884="Capital In",$C884="Transfer In"),$G884,0)),"")</f>
        <v/>
      </c>
      <c r="J884" s="61" t="str">
        <f aca="false">IF(IsPro,IF(OR($C884="",N($G884)=0),"",IF(I884=0,$G884,0)),"")</f>
        <v/>
      </c>
      <c r="K884" s="60" t="str">
        <f aca="false">IF(IsPro,IF($C884="","",IF(AND(OR($C884="Receipt",$C884="Payment"),$D884=""),"Party needed",IF(AND(OR($C884="Expense",$C884="Other Income"),$E884=""),"Head needed",IF($F884="","Account needed","OK")))),IF($C884="","","PRO PLAN"))</f>
        <v/>
      </c>
    </row>
    <row r="885" customFormat="false" ht="15" hidden="false" customHeight="false" outlineLevel="0" collapsed="false">
      <c r="A885" s="55"/>
      <c r="B885" s="56"/>
      <c r="C885" s="56"/>
      <c r="D885" s="56"/>
      <c r="E885" s="56"/>
      <c r="F885" s="56"/>
      <c r="G885" s="58"/>
      <c r="H885" s="56"/>
      <c r="I885" s="61" t="str">
        <f aca="false">IF(IsPro,IF(OR($C885="",N($G885)=0),"",IF(OR($C885="Receipt",$C885="Other Income",$C885="Capital In",$C885="Transfer In"),$G885,0)),"")</f>
        <v/>
      </c>
      <c r="J885" s="61" t="str">
        <f aca="false">IF(IsPro,IF(OR($C885="",N($G885)=0),"",IF(I885=0,$G885,0)),"")</f>
        <v/>
      </c>
      <c r="K885" s="60" t="str">
        <f aca="false">IF(IsPro,IF($C885="","",IF(AND(OR($C885="Receipt",$C885="Payment"),$D885=""),"Party needed",IF(AND(OR($C885="Expense",$C885="Other Income"),$E885=""),"Head needed",IF($F885="","Account needed","OK")))),IF($C885="","","PRO PLAN"))</f>
        <v/>
      </c>
    </row>
    <row r="886" customFormat="false" ht="15" hidden="false" customHeight="false" outlineLevel="0" collapsed="false">
      <c r="A886" s="55"/>
      <c r="B886" s="56"/>
      <c r="C886" s="56"/>
      <c r="D886" s="56"/>
      <c r="E886" s="56"/>
      <c r="F886" s="56"/>
      <c r="G886" s="58"/>
      <c r="H886" s="56"/>
      <c r="I886" s="61" t="str">
        <f aca="false">IF(IsPro,IF(OR($C886="",N($G886)=0),"",IF(OR($C886="Receipt",$C886="Other Income",$C886="Capital In",$C886="Transfer In"),$G886,0)),"")</f>
        <v/>
      </c>
      <c r="J886" s="61" t="str">
        <f aca="false">IF(IsPro,IF(OR($C886="",N($G886)=0),"",IF(I886=0,$G886,0)),"")</f>
        <v/>
      </c>
      <c r="K886" s="60" t="str">
        <f aca="false">IF(IsPro,IF($C886="","",IF(AND(OR($C886="Receipt",$C886="Payment"),$D886=""),"Party needed",IF(AND(OR($C886="Expense",$C886="Other Income"),$E886=""),"Head needed",IF($F886="","Account needed","OK")))),IF($C886="","","PRO PLAN"))</f>
        <v/>
      </c>
    </row>
    <row r="887" customFormat="false" ht="15" hidden="false" customHeight="false" outlineLevel="0" collapsed="false">
      <c r="A887" s="55"/>
      <c r="B887" s="56"/>
      <c r="C887" s="56"/>
      <c r="D887" s="56"/>
      <c r="E887" s="56"/>
      <c r="F887" s="56"/>
      <c r="G887" s="58"/>
      <c r="H887" s="56"/>
      <c r="I887" s="61" t="str">
        <f aca="false">IF(IsPro,IF(OR($C887="",N($G887)=0),"",IF(OR($C887="Receipt",$C887="Other Income",$C887="Capital In",$C887="Transfer In"),$G887,0)),"")</f>
        <v/>
      </c>
      <c r="J887" s="61" t="str">
        <f aca="false">IF(IsPro,IF(OR($C887="",N($G887)=0),"",IF(I887=0,$G887,0)),"")</f>
        <v/>
      </c>
      <c r="K887" s="60" t="str">
        <f aca="false">IF(IsPro,IF($C887="","",IF(AND(OR($C887="Receipt",$C887="Payment"),$D887=""),"Party needed",IF(AND(OR($C887="Expense",$C887="Other Income"),$E887=""),"Head needed",IF($F887="","Account needed","OK")))),IF($C887="","","PRO PLAN"))</f>
        <v/>
      </c>
    </row>
    <row r="888" customFormat="false" ht="15" hidden="false" customHeight="false" outlineLevel="0" collapsed="false">
      <c r="A888" s="55"/>
      <c r="B888" s="56"/>
      <c r="C888" s="56"/>
      <c r="D888" s="56"/>
      <c r="E888" s="56"/>
      <c r="F888" s="56"/>
      <c r="G888" s="58"/>
      <c r="H888" s="56"/>
      <c r="I888" s="61" t="str">
        <f aca="false">IF(IsPro,IF(OR($C888="",N($G888)=0),"",IF(OR($C888="Receipt",$C888="Other Income",$C888="Capital In",$C888="Transfer In"),$G888,0)),"")</f>
        <v/>
      </c>
      <c r="J888" s="61" t="str">
        <f aca="false">IF(IsPro,IF(OR($C888="",N($G888)=0),"",IF(I888=0,$G888,0)),"")</f>
        <v/>
      </c>
      <c r="K888" s="60" t="str">
        <f aca="false">IF(IsPro,IF($C888="","",IF(AND(OR($C888="Receipt",$C888="Payment"),$D888=""),"Party needed",IF(AND(OR($C888="Expense",$C888="Other Income"),$E888=""),"Head needed",IF($F888="","Account needed","OK")))),IF($C888="","","PRO PLAN"))</f>
        <v/>
      </c>
    </row>
    <row r="889" customFormat="false" ht="15" hidden="false" customHeight="false" outlineLevel="0" collapsed="false">
      <c r="A889" s="55"/>
      <c r="B889" s="56"/>
      <c r="C889" s="56"/>
      <c r="D889" s="56"/>
      <c r="E889" s="56"/>
      <c r="F889" s="56"/>
      <c r="G889" s="58"/>
      <c r="H889" s="56"/>
      <c r="I889" s="61" t="str">
        <f aca="false">IF(IsPro,IF(OR($C889="",N($G889)=0),"",IF(OR($C889="Receipt",$C889="Other Income",$C889="Capital In",$C889="Transfer In"),$G889,0)),"")</f>
        <v/>
      </c>
      <c r="J889" s="61" t="str">
        <f aca="false">IF(IsPro,IF(OR($C889="",N($G889)=0),"",IF(I889=0,$G889,0)),"")</f>
        <v/>
      </c>
      <c r="K889" s="60" t="str">
        <f aca="false">IF(IsPro,IF($C889="","",IF(AND(OR($C889="Receipt",$C889="Payment"),$D889=""),"Party needed",IF(AND(OR($C889="Expense",$C889="Other Income"),$E889=""),"Head needed",IF($F889="","Account needed","OK")))),IF($C889="","","PRO PLAN"))</f>
        <v/>
      </c>
    </row>
    <row r="890" customFormat="false" ht="15" hidden="false" customHeight="false" outlineLevel="0" collapsed="false">
      <c r="A890" s="55"/>
      <c r="B890" s="56"/>
      <c r="C890" s="56"/>
      <c r="D890" s="56"/>
      <c r="E890" s="56"/>
      <c r="F890" s="56"/>
      <c r="G890" s="58"/>
      <c r="H890" s="56"/>
      <c r="I890" s="61" t="str">
        <f aca="false">IF(IsPro,IF(OR($C890="",N($G890)=0),"",IF(OR($C890="Receipt",$C890="Other Income",$C890="Capital In",$C890="Transfer In"),$G890,0)),"")</f>
        <v/>
      </c>
      <c r="J890" s="61" t="str">
        <f aca="false">IF(IsPro,IF(OR($C890="",N($G890)=0),"",IF(I890=0,$G890,0)),"")</f>
        <v/>
      </c>
      <c r="K890" s="60" t="str">
        <f aca="false">IF(IsPro,IF($C890="","",IF(AND(OR($C890="Receipt",$C890="Payment"),$D890=""),"Party needed",IF(AND(OR($C890="Expense",$C890="Other Income"),$E890=""),"Head needed",IF($F890="","Account needed","OK")))),IF($C890="","","PRO PLAN"))</f>
        <v/>
      </c>
    </row>
    <row r="891" customFormat="false" ht="15" hidden="false" customHeight="false" outlineLevel="0" collapsed="false">
      <c r="A891" s="55"/>
      <c r="B891" s="56"/>
      <c r="C891" s="56"/>
      <c r="D891" s="56"/>
      <c r="E891" s="56"/>
      <c r="F891" s="56"/>
      <c r="G891" s="58"/>
      <c r="H891" s="56"/>
      <c r="I891" s="61" t="str">
        <f aca="false">IF(IsPro,IF(OR($C891="",N($G891)=0),"",IF(OR($C891="Receipt",$C891="Other Income",$C891="Capital In",$C891="Transfer In"),$G891,0)),"")</f>
        <v/>
      </c>
      <c r="J891" s="61" t="str">
        <f aca="false">IF(IsPro,IF(OR($C891="",N($G891)=0),"",IF(I891=0,$G891,0)),"")</f>
        <v/>
      </c>
      <c r="K891" s="60" t="str">
        <f aca="false">IF(IsPro,IF($C891="","",IF(AND(OR($C891="Receipt",$C891="Payment"),$D891=""),"Party needed",IF(AND(OR($C891="Expense",$C891="Other Income"),$E891=""),"Head needed",IF($F891="","Account needed","OK")))),IF($C891="","","PRO PLAN"))</f>
        <v/>
      </c>
    </row>
    <row r="892" customFormat="false" ht="15" hidden="false" customHeight="false" outlineLevel="0" collapsed="false">
      <c r="A892" s="55"/>
      <c r="B892" s="56"/>
      <c r="C892" s="56"/>
      <c r="D892" s="56"/>
      <c r="E892" s="56"/>
      <c r="F892" s="56"/>
      <c r="G892" s="58"/>
      <c r="H892" s="56"/>
      <c r="I892" s="61" t="str">
        <f aca="false">IF(IsPro,IF(OR($C892="",N($G892)=0),"",IF(OR($C892="Receipt",$C892="Other Income",$C892="Capital In",$C892="Transfer In"),$G892,0)),"")</f>
        <v/>
      </c>
      <c r="J892" s="61" t="str">
        <f aca="false">IF(IsPro,IF(OR($C892="",N($G892)=0),"",IF(I892=0,$G892,0)),"")</f>
        <v/>
      </c>
      <c r="K892" s="60" t="str">
        <f aca="false">IF(IsPro,IF($C892="","",IF(AND(OR($C892="Receipt",$C892="Payment"),$D892=""),"Party needed",IF(AND(OR($C892="Expense",$C892="Other Income"),$E892=""),"Head needed",IF($F892="","Account needed","OK")))),IF($C892="","","PRO PLAN"))</f>
        <v/>
      </c>
    </row>
    <row r="893" customFormat="false" ht="15" hidden="false" customHeight="false" outlineLevel="0" collapsed="false">
      <c r="A893" s="55"/>
      <c r="B893" s="56"/>
      <c r="C893" s="56"/>
      <c r="D893" s="56"/>
      <c r="E893" s="56"/>
      <c r="F893" s="56"/>
      <c r="G893" s="58"/>
      <c r="H893" s="56"/>
      <c r="I893" s="61" t="str">
        <f aca="false">IF(IsPro,IF(OR($C893="",N($G893)=0),"",IF(OR($C893="Receipt",$C893="Other Income",$C893="Capital In",$C893="Transfer In"),$G893,0)),"")</f>
        <v/>
      </c>
      <c r="J893" s="61" t="str">
        <f aca="false">IF(IsPro,IF(OR($C893="",N($G893)=0),"",IF(I893=0,$G893,0)),"")</f>
        <v/>
      </c>
      <c r="K893" s="60" t="str">
        <f aca="false">IF(IsPro,IF($C893="","",IF(AND(OR($C893="Receipt",$C893="Payment"),$D893=""),"Party needed",IF(AND(OR($C893="Expense",$C893="Other Income"),$E893=""),"Head needed",IF($F893="","Account needed","OK")))),IF($C893="","","PRO PLAN"))</f>
        <v/>
      </c>
    </row>
    <row r="894" customFormat="false" ht="15" hidden="false" customHeight="false" outlineLevel="0" collapsed="false">
      <c r="A894" s="55"/>
      <c r="B894" s="56"/>
      <c r="C894" s="56"/>
      <c r="D894" s="56"/>
      <c r="E894" s="56"/>
      <c r="F894" s="56"/>
      <c r="G894" s="58"/>
      <c r="H894" s="56"/>
      <c r="I894" s="61" t="str">
        <f aca="false">IF(IsPro,IF(OR($C894="",N($G894)=0),"",IF(OR($C894="Receipt",$C894="Other Income",$C894="Capital In",$C894="Transfer In"),$G894,0)),"")</f>
        <v/>
      </c>
      <c r="J894" s="61" t="str">
        <f aca="false">IF(IsPro,IF(OR($C894="",N($G894)=0),"",IF(I894=0,$G894,0)),"")</f>
        <v/>
      </c>
      <c r="K894" s="60" t="str">
        <f aca="false">IF(IsPro,IF($C894="","",IF(AND(OR($C894="Receipt",$C894="Payment"),$D894=""),"Party needed",IF(AND(OR($C894="Expense",$C894="Other Income"),$E894=""),"Head needed",IF($F894="","Account needed","OK")))),IF($C894="","","PRO PLAN"))</f>
        <v/>
      </c>
    </row>
    <row r="895" customFormat="false" ht="15" hidden="false" customHeight="false" outlineLevel="0" collapsed="false">
      <c r="A895" s="55"/>
      <c r="B895" s="56"/>
      <c r="C895" s="56"/>
      <c r="D895" s="56"/>
      <c r="E895" s="56"/>
      <c r="F895" s="56"/>
      <c r="G895" s="58"/>
      <c r="H895" s="56"/>
      <c r="I895" s="61" t="str">
        <f aca="false">IF(IsPro,IF(OR($C895="",N($G895)=0),"",IF(OR($C895="Receipt",$C895="Other Income",$C895="Capital In",$C895="Transfer In"),$G895,0)),"")</f>
        <v/>
      </c>
      <c r="J895" s="61" t="str">
        <f aca="false">IF(IsPro,IF(OR($C895="",N($G895)=0),"",IF(I895=0,$G895,0)),"")</f>
        <v/>
      </c>
      <c r="K895" s="60" t="str">
        <f aca="false">IF(IsPro,IF($C895="","",IF(AND(OR($C895="Receipt",$C895="Payment"),$D895=""),"Party needed",IF(AND(OR($C895="Expense",$C895="Other Income"),$E895=""),"Head needed",IF($F895="","Account needed","OK")))),IF($C895="","","PRO PLAN"))</f>
        <v/>
      </c>
    </row>
    <row r="896" customFormat="false" ht="15" hidden="false" customHeight="false" outlineLevel="0" collapsed="false">
      <c r="A896" s="55"/>
      <c r="B896" s="56"/>
      <c r="C896" s="56"/>
      <c r="D896" s="56"/>
      <c r="E896" s="56"/>
      <c r="F896" s="56"/>
      <c r="G896" s="58"/>
      <c r="H896" s="56"/>
      <c r="I896" s="61" t="str">
        <f aca="false">IF(IsPro,IF(OR($C896="",N($G896)=0),"",IF(OR($C896="Receipt",$C896="Other Income",$C896="Capital In",$C896="Transfer In"),$G896,0)),"")</f>
        <v/>
      </c>
      <c r="J896" s="61" t="str">
        <f aca="false">IF(IsPro,IF(OR($C896="",N($G896)=0),"",IF(I896=0,$G896,0)),"")</f>
        <v/>
      </c>
      <c r="K896" s="60" t="str">
        <f aca="false">IF(IsPro,IF($C896="","",IF(AND(OR($C896="Receipt",$C896="Payment"),$D896=""),"Party needed",IF(AND(OR($C896="Expense",$C896="Other Income"),$E896=""),"Head needed",IF($F896="","Account needed","OK")))),IF($C896="","","PRO PLAN"))</f>
        <v/>
      </c>
    </row>
    <row r="897" customFormat="false" ht="15" hidden="false" customHeight="false" outlineLevel="0" collapsed="false">
      <c r="A897" s="55"/>
      <c r="B897" s="56"/>
      <c r="C897" s="56"/>
      <c r="D897" s="56"/>
      <c r="E897" s="56"/>
      <c r="F897" s="56"/>
      <c r="G897" s="58"/>
      <c r="H897" s="56"/>
      <c r="I897" s="61" t="str">
        <f aca="false">IF(IsPro,IF(OR($C897="",N($G897)=0),"",IF(OR($C897="Receipt",$C897="Other Income",$C897="Capital In",$C897="Transfer In"),$G897,0)),"")</f>
        <v/>
      </c>
      <c r="J897" s="61" t="str">
        <f aca="false">IF(IsPro,IF(OR($C897="",N($G897)=0),"",IF(I897=0,$G897,0)),"")</f>
        <v/>
      </c>
      <c r="K897" s="60" t="str">
        <f aca="false">IF(IsPro,IF($C897="","",IF(AND(OR($C897="Receipt",$C897="Payment"),$D897=""),"Party needed",IF(AND(OR($C897="Expense",$C897="Other Income"),$E897=""),"Head needed",IF($F897="","Account needed","OK")))),IF($C897="","","PRO PLAN"))</f>
        <v/>
      </c>
    </row>
    <row r="898" customFormat="false" ht="15" hidden="false" customHeight="false" outlineLevel="0" collapsed="false">
      <c r="A898" s="55"/>
      <c r="B898" s="56"/>
      <c r="C898" s="56"/>
      <c r="D898" s="56"/>
      <c r="E898" s="56"/>
      <c r="F898" s="56"/>
      <c r="G898" s="58"/>
      <c r="H898" s="56"/>
      <c r="I898" s="61" t="str">
        <f aca="false">IF(IsPro,IF(OR($C898="",N($G898)=0),"",IF(OR($C898="Receipt",$C898="Other Income",$C898="Capital In",$C898="Transfer In"),$G898,0)),"")</f>
        <v/>
      </c>
      <c r="J898" s="61" t="str">
        <f aca="false">IF(IsPro,IF(OR($C898="",N($G898)=0),"",IF(I898=0,$G898,0)),"")</f>
        <v/>
      </c>
      <c r="K898" s="60" t="str">
        <f aca="false">IF(IsPro,IF($C898="","",IF(AND(OR($C898="Receipt",$C898="Payment"),$D898=""),"Party needed",IF(AND(OR($C898="Expense",$C898="Other Income"),$E898=""),"Head needed",IF($F898="","Account needed","OK")))),IF($C898="","","PRO PLAN"))</f>
        <v/>
      </c>
    </row>
    <row r="899" customFormat="false" ht="15" hidden="false" customHeight="false" outlineLevel="0" collapsed="false">
      <c r="A899" s="55"/>
      <c r="B899" s="56"/>
      <c r="C899" s="56"/>
      <c r="D899" s="56"/>
      <c r="E899" s="56"/>
      <c r="F899" s="56"/>
      <c r="G899" s="58"/>
      <c r="H899" s="56"/>
      <c r="I899" s="61" t="str">
        <f aca="false">IF(IsPro,IF(OR($C899="",N($G899)=0),"",IF(OR($C899="Receipt",$C899="Other Income",$C899="Capital In",$C899="Transfer In"),$G899,0)),"")</f>
        <v/>
      </c>
      <c r="J899" s="61" t="str">
        <f aca="false">IF(IsPro,IF(OR($C899="",N($G899)=0),"",IF(I899=0,$G899,0)),"")</f>
        <v/>
      </c>
      <c r="K899" s="60" t="str">
        <f aca="false">IF(IsPro,IF($C899="","",IF(AND(OR($C899="Receipt",$C899="Payment"),$D899=""),"Party needed",IF(AND(OR($C899="Expense",$C899="Other Income"),$E899=""),"Head needed",IF($F899="","Account needed","OK")))),IF($C899="","","PRO PLAN"))</f>
        <v/>
      </c>
    </row>
    <row r="900" customFormat="false" ht="15" hidden="false" customHeight="false" outlineLevel="0" collapsed="false">
      <c r="A900" s="55"/>
      <c r="B900" s="56"/>
      <c r="C900" s="56"/>
      <c r="D900" s="56"/>
      <c r="E900" s="56"/>
      <c r="F900" s="56"/>
      <c r="G900" s="58"/>
      <c r="H900" s="56"/>
      <c r="I900" s="61" t="str">
        <f aca="false">IF(IsPro,IF(OR($C900="",N($G900)=0),"",IF(OR($C900="Receipt",$C900="Other Income",$C900="Capital In",$C900="Transfer In"),$G900,0)),"")</f>
        <v/>
      </c>
      <c r="J900" s="61" t="str">
        <f aca="false">IF(IsPro,IF(OR($C900="",N($G900)=0),"",IF(I900=0,$G900,0)),"")</f>
        <v/>
      </c>
      <c r="K900" s="60" t="str">
        <f aca="false">IF(IsPro,IF($C900="","",IF(AND(OR($C900="Receipt",$C900="Payment"),$D900=""),"Party needed",IF(AND(OR($C900="Expense",$C900="Other Income"),$E900=""),"Head needed",IF($F900="","Account needed","OK")))),IF($C900="","","PRO PLAN"))</f>
        <v/>
      </c>
    </row>
    <row r="901" customFormat="false" ht="15" hidden="false" customHeight="false" outlineLevel="0" collapsed="false">
      <c r="A901" s="55"/>
      <c r="B901" s="56"/>
      <c r="C901" s="56"/>
      <c r="D901" s="56"/>
      <c r="E901" s="56"/>
      <c r="F901" s="56"/>
      <c r="G901" s="58"/>
      <c r="H901" s="56"/>
      <c r="I901" s="61" t="str">
        <f aca="false">IF(IsPro,IF(OR($C901="",N($G901)=0),"",IF(OR($C901="Receipt",$C901="Other Income",$C901="Capital In",$C901="Transfer In"),$G901,0)),"")</f>
        <v/>
      </c>
      <c r="J901" s="61" t="str">
        <f aca="false">IF(IsPro,IF(OR($C901="",N($G901)=0),"",IF(I901=0,$G901,0)),"")</f>
        <v/>
      </c>
      <c r="K901" s="60" t="str">
        <f aca="false">IF(IsPro,IF($C901="","",IF(AND(OR($C901="Receipt",$C901="Payment"),$D901=""),"Party needed",IF(AND(OR($C901="Expense",$C901="Other Income"),$E901=""),"Head needed",IF($F901="","Account needed","OK")))),IF($C901="","","PRO PLAN"))</f>
        <v/>
      </c>
    </row>
    <row r="902" customFormat="false" ht="15" hidden="false" customHeight="false" outlineLevel="0" collapsed="false">
      <c r="A902" s="55"/>
      <c r="B902" s="56"/>
      <c r="C902" s="56"/>
      <c r="D902" s="56"/>
      <c r="E902" s="56"/>
      <c r="F902" s="56"/>
      <c r="G902" s="58"/>
      <c r="H902" s="56"/>
      <c r="I902" s="61" t="str">
        <f aca="false">IF(IsPro,IF(OR($C902="",N($G902)=0),"",IF(OR($C902="Receipt",$C902="Other Income",$C902="Capital In",$C902="Transfer In"),$G902,0)),"")</f>
        <v/>
      </c>
      <c r="J902" s="61" t="str">
        <f aca="false">IF(IsPro,IF(OR($C902="",N($G902)=0),"",IF(I902=0,$G902,0)),"")</f>
        <v/>
      </c>
      <c r="K902" s="60" t="str">
        <f aca="false">IF(IsPro,IF($C902="","",IF(AND(OR($C902="Receipt",$C902="Payment"),$D902=""),"Party needed",IF(AND(OR($C902="Expense",$C902="Other Income"),$E902=""),"Head needed",IF($F902="","Account needed","OK")))),IF($C902="","","PRO PLAN"))</f>
        <v/>
      </c>
    </row>
    <row r="903" customFormat="false" ht="15" hidden="false" customHeight="false" outlineLevel="0" collapsed="false">
      <c r="A903" s="55"/>
      <c r="B903" s="56"/>
      <c r="C903" s="56"/>
      <c r="D903" s="56"/>
      <c r="E903" s="56"/>
      <c r="F903" s="56"/>
      <c r="G903" s="58"/>
      <c r="H903" s="56"/>
      <c r="I903" s="61" t="str">
        <f aca="false">IF(IsPro,IF(OR($C903="",N($G903)=0),"",IF(OR($C903="Receipt",$C903="Other Income",$C903="Capital In",$C903="Transfer In"),$G903,0)),"")</f>
        <v/>
      </c>
      <c r="J903" s="61" t="str">
        <f aca="false">IF(IsPro,IF(OR($C903="",N($G903)=0),"",IF(I903=0,$G903,0)),"")</f>
        <v/>
      </c>
      <c r="K903" s="60" t="str">
        <f aca="false">IF(IsPro,IF($C903="","",IF(AND(OR($C903="Receipt",$C903="Payment"),$D903=""),"Party needed",IF(AND(OR($C903="Expense",$C903="Other Income"),$E903=""),"Head needed",IF($F903="","Account needed","OK")))),IF($C903="","","PRO PLAN"))</f>
        <v/>
      </c>
    </row>
    <row r="904" customFormat="false" ht="15" hidden="false" customHeight="false" outlineLevel="0" collapsed="false">
      <c r="A904" s="55"/>
      <c r="B904" s="56"/>
      <c r="C904" s="56"/>
      <c r="D904" s="56"/>
      <c r="E904" s="56"/>
      <c r="F904" s="56"/>
      <c r="G904" s="58"/>
      <c r="H904" s="56"/>
      <c r="I904" s="61" t="str">
        <f aca="false">IF(IsPro,IF(OR($C904="",N($G904)=0),"",IF(OR($C904="Receipt",$C904="Other Income",$C904="Capital In",$C904="Transfer In"),$G904,0)),"")</f>
        <v/>
      </c>
      <c r="J904" s="61" t="str">
        <f aca="false">IF(IsPro,IF(OR($C904="",N($G904)=0),"",IF(I904=0,$G904,0)),"")</f>
        <v/>
      </c>
      <c r="K904" s="60" t="str">
        <f aca="false">IF(IsPro,IF($C904="","",IF(AND(OR($C904="Receipt",$C904="Payment"),$D904=""),"Party needed",IF(AND(OR($C904="Expense",$C904="Other Income"),$E904=""),"Head needed",IF($F904="","Account needed","OK")))),IF($C904="","","PRO PLAN"))</f>
        <v/>
      </c>
    </row>
    <row r="905" customFormat="false" ht="15" hidden="false" customHeight="false" outlineLevel="0" collapsed="false">
      <c r="A905" s="55"/>
      <c r="B905" s="56"/>
      <c r="C905" s="56"/>
      <c r="D905" s="56"/>
      <c r="E905" s="56"/>
      <c r="F905" s="56"/>
      <c r="G905" s="58"/>
      <c r="H905" s="56"/>
      <c r="I905" s="61" t="str">
        <f aca="false">IF(IsPro,IF(OR($C905="",N($G905)=0),"",IF(OR($C905="Receipt",$C905="Other Income",$C905="Capital In",$C905="Transfer In"),$G905,0)),"")</f>
        <v/>
      </c>
      <c r="J905" s="61" t="str">
        <f aca="false">IF(IsPro,IF(OR($C905="",N($G905)=0),"",IF(I905=0,$G905,0)),"")</f>
        <v/>
      </c>
      <c r="K905" s="60" t="str">
        <f aca="false">IF(IsPro,IF($C905="","",IF(AND(OR($C905="Receipt",$C905="Payment"),$D905=""),"Party needed",IF(AND(OR($C905="Expense",$C905="Other Income"),$E905=""),"Head needed",IF($F905="","Account needed","OK")))),IF($C905="","","PRO PLAN"))</f>
        <v/>
      </c>
    </row>
    <row r="906" customFormat="false" ht="15" hidden="false" customHeight="false" outlineLevel="0" collapsed="false">
      <c r="A906" s="55"/>
      <c r="B906" s="56"/>
      <c r="C906" s="56"/>
      <c r="D906" s="56"/>
      <c r="E906" s="56"/>
      <c r="F906" s="56"/>
      <c r="G906" s="58"/>
      <c r="H906" s="56"/>
      <c r="I906" s="61" t="str">
        <f aca="false">IF(IsPro,IF(OR($C906="",N($G906)=0),"",IF(OR($C906="Receipt",$C906="Other Income",$C906="Capital In",$C906="Transfer In"),$G906,0)),"")</f>
        <v/>
      </c>
      <c r="J906" s="61" t="str">
        <f aca="false">IF(IsPro,IF(OR($C906="",N($G906)=0),"",IF(I906=0,$G906,0)),"")</f>
        <v/>
      </c>
      <c r="K906" s="60" t="str">
        <f aca="false">IF(IsPro,IF($C906="","",IF(AND(OR($C906="Receipt",$C906="Payment"),$D906=""),"Party needed",IF(AND(OR($C906="Expense",$C906="Other Income"),$E906=""),"Head needed",IF($F906="","Account needed","OK")))),IF($C906="","","PRO PLAN"))</f>
        <v/>
      </c>
    </row>
    <row r="907" customFormat="false" ht="15" hidden="false" customHeight="false" outlineLevel="0" collapsed="false">
      <c r="A907" s="55"/>
      <c r="B907" s="56"/>
      <c r="C907" s="56"/>
      <c r="D907" s="56"/>
      <c r="E907" s="56"/>
      <c r="F907" s="56"/>
      <c r="G907" s="58"/>
      <c r="H907" s="56"/>
      <c r="I907" s="61" t="str">
        <f aca="false">IF(IsPro,IF(OR($C907="",N($G907)=0),"",IF(OR($C907="Receipt",$C907="Other Income",$C907="Capital In",$C907="Transfer In"),$G907,0)),"")</f>
        <v/>
      </c>
      <c r="J907" s="61" t="str">
        <f aca="false">IF(IsPro,IF(OR($C907="",N($G907)=0),"",IF(I907=0,$G907,0)),"")</f>
        <v/>
      </c>
      <c r="K907" s="60" t="str">
        <f aca="false">IF(IsPro,IF($C907="","",IF(AND(OR($C907="Receipt",$C907="Payment"),$D907=""),"Party needed",IF(AND(OR($C907="Expense",$C907="Other Income"),$E907=""),"Head needed",IF($F907="","Account needed","OK")))),IF($C907="","","PRO PLAN"))</f>
        <v/>
      </c>
    </row>
    <row r="908" customFormat="false" ht="15" hidden="false" customHeight="false" outlineLevel="0" collapsed="false">
      <c r="A908" s="55"/>
      <c r="B908" s="56"/>
      <c r="C908" s="56"/>
      <c r="D908" s="56"/>
      <c r="E908" s="56"/>
      <c r="F908" s="56"/>
      <c r="G908" s="58"/>
      <c r="H908" s="56"/>
      <c r="I908" s="61" t="str">
        <f aca="false">IF(IsPro,IF(OR($C908="",N($G908)=0),"",IF(OR($C908="Receipt",$C908="Other Income",$C908="Capital In",$C908="Transfer In"),$G908,0)),"")</f>
        <v/>
      </c>
      <c r="J908" s="61" t="str">
        <f aca="false">IF(IsPro,IF(OR($C908="",N($G908)=0),"",IF(I908=0,$G908,0)),"")</f>
        <v/>
      </c>
      <c r="K908" s="60" t="str">
        <f aca="false">IF(IsPro,IF($C908="","",IF(AND(OR($C908="Receipt",$C908="Payment"),$D908=""),"Party needed",IF(AND(OR($C908="Expense",$C908="Other Income"),$E908=""),"Head needed",IF($F908="","Account needed","OK")))),IF($C908="","","PRO PLAN"))</f>
        <v/>
      </c>
    </row>
    <row r="909" customFormat="false" ht="15" hidden="false" customHeight="false" outlineLevel="0" collapsed="false">
      <c r="A909" s="55"/>
      <c r="B909" s="56"/>
      <c r="C909" s="56"/>
      <c r="D909" s="56"/>
      <c r="E909" s="56"/>
      <c r="F909" s="56"/>
      <c r="G909" s="58"/>
      <c r="H909" s="56"/>
      <c r="I909" s="61" t="str">
        <f aca="false">IF(IsPro,IF(OR($C909="",N($G909)=0),"",IF(OR($C909="Receipt",$C909="Other Income",$C909="Capital In",$C909="Transfer In"),$G909,0)),"")</f>
        <v/>
      </c>
      <c r="J909" s="61" t="str">
        <f aca="false">IF(IsPro,IF(OR($C909="",N($G909)=0),"",IF(I909=0,$G909,0)),"")</f>
        <v/>
      </c>
      <c r="K909" s="60" t="str">
        <f aca="false">IF(IsPro,IF($C909="","",IF(AND(OR($C909="Receipt",$C909="Payment"),$D909=""),"Party needed",IF(AND(OR($C909="Expense",$C909="Other Income"),$E909=""),"Head needed",IF($F909="","Account needed","OK")))),IF($C909="","","PRO PLAN"))</f>
        <v/>
      </c>
    </row>
    <row r="910" customFormat="false" ht="15" hidden="false" customHeight="false" outlineLevel="0" collapsed="false">
      <c r="A910" s="55"/>
      <c r="B910" s="56"/>
      <c r="C910" s="56"/>
      <c r="D910" s="56"/>
      <c r="E910" s="56"/>
      <c r="F910" s="56"/>
      <c r="G910" s="58"/>
      <c r="H910" s="56"/>
      <c r="I910" s="61" t="str">
        <f aca="false">IF(IsPro,IF(OR($C910="",N($G910)=0),"",IF(OR($C910="Receipt",$C910="Other Income",$C910="Capital In",$C910="Transfer In"),$G910,0)),"")</f>
        <v/>
      </c>
      <c r="J910" s="61" t="str">
        <f aca="false">IF(IsPro,IF(OR($C910="",N($G910)=0),"",IF(I910=0,$G910,0)),"")</f>
        <v/>
      </c>
      <c r="K910" s="60" t="str">
        <f aca="false">IF(IsPro,IF($C910="","",IF(AND(OR($C910="Receipt",$C910="Payment"),$D910=""),"Party needed",IF(AND(OR($C910="Expense",$C910="Other Income"),$E910=""),"Head needed",IF($F910="","Account needed","OK")))),IF($C910="","","PRO PLAN"))</f>
        <v/>
      </c>
    </row>
    <row r="911" customFormat="false" ht="15" hidden="false" customHeight="false" outlineLevel="0" collapsed="false">
      <c r="A911" s="55"/>
      <c r="B911" s="56"/>
      <c r="C911" s="56"/>
      <c r="D911" s="56"/>
      <c r="E911" s="56"/>
      <c r="F911" s="56"/>
      <c r="G911" s="58"/>
      <c r="H911" s="56"/>
      <c r="I911" s="61" t="str">
        <f aca="false">IF(IsPro,IF(OR($C911="",N($G911)=0),"",IF(OR($C911="Receipt",$C911="Other Income",$C911="Capital In",$C911="Transfer In"),$G911,0)),"")</f>
        <v/>
      </c>
      <c r="J911" s="61" t="str">
        <f aca="false">IF(IsPro,IF(OR($C911="",N($G911)=0),"",IF(I911=0,$G911,0)),"")</f>
        <v/>
      </c>
      <c r="K911" s="60" t="str">
        <f aca="false">IF(IsPro,IF($C911="","",IF(AND(OR($C911="Receipt",$C911="Payment"),$D911=""),"Party needed",IF(AND(OR($C911="Expense",$C911="Other Income"),$E911=""),"Head needed",IF($F911="","Account needed","OK")))),IF($C911="","","PRO PLAN"))</f>
        <v/>
      </c>
    </row>
    <row r="912" customFormat="false" ht="15" hidden="false" customHeight="false" outlineLevel="0" collapsed="false">
      <c r="A912" s="55"/>
      <c r="B912" s="56"/>
      <c r="C912" s="56"/>
      <c r="D912" s="56"/>
      <c r="E912" s="56"/>
      <c r="F912" s="56"/>
      <c r="G912" s="58"/>
      <c r="H912" s="56"/>
      <c r="I912" s="61" t="str">
        <f aca="false">IF(IsPro,IF(OR($C912="",N($G912)=0),"",IF(OR($C912="Receipt",$C912="Other Income",$C912="Capital In",$C912="Transfer In"),$G912,0)),"")</f>
        <v/>
      </c>
      <c r="J912" s="61" t="str">
        <f aca="false">IF(IsPro,IF(OR($C912="",N($G912)=0),"",IF(I912=0,$G912,0)),"")</f>
        <v/>
      </c>
      <c r="K912" s="60" t="str">
        <f aca="false">IF(IsPro,IF($C912="","",IF(AND(OR($C912="Receipt",$C912="Payment"),$D912=""),"Party needed",IF(AND(OR($C912="Expense",$C912="Other Income"),$E912=""),"Head needed",IF($F912="","Account needed","OK")))),IF($C912="","","PRO PLAN"))</f>
        <v/>
      </c>
    </row>
    <row r="913" customFormat="false" ht="15" hidden="false" customHeight="false" outlineLevel="0" collapsed="false">
      <c r="A913" s="55"/>
      <c r="B913" s="56"/>
      <c r="C913" s="56"/>
      <c r="D913" s="56"/>
      <c r="E913" s="56"/>
      <c r="F913" s="56"/>
      <c r="G913" s="58"/>
      <c r="H913" s="56"/>
      <c r="I913" s="61" t="str">
        <f aca="false">IF(IsPro,IF(OR($C913="",N($G913)=0),"",IF(OR($C913="Receipt",$C913="Other Income",$C913="Capital In",$C913="Transfer In"),$G913,0)),"")</f>
        <v/>
      </c>
      <c r="J913" s="61" t="str">
        <f aca="false">IF(IsPro,IF(OR($C913="",N($G913)=0),"",IF(I913=0,$G913,0)),"")</f>
        <v/>
      </c>
      <c r="K913" s="60" t="str">
        <f aca="false">IF(IsPro,IF($C913="","",IF(AND(OR($C913="Receipt",$C913="Payment"),$D913=""),"Party needed",IF(AND(OR($C913="Expense",$C913="Other Income"),$E913=""),"Head needed",IF($F913="","Account needed","OK")))),IF($C913="","","PRO PLAN"))</f>
        <v/>
      </c>
    </row>
    <row r="914" customFormat="false" ht="15" hidden="false" customHeight="false" outlineLevel="0" collapsed="false">
      <c r="A914" s="55"/>
      <c r="B914" s="56"/>
      <c r="C914" s="56"/>
      <c r="D914" s="56"/>
      <c r="E914" s="56"/>
      <c r="F914" s="56"/>
      <c r="G914" s="58"/>
      <c r="H914" s="56"/>
      <c r="I914" s="61" t="str">
        <f aca="false">IF(IsPro,IF(OR($C914="",N($G914)=0),"",IF(OR($C914="Receipt",$C914="Other Income",$C914="Capital In",$C914="Transfer In"),$G914,0)),"")</f>
        <v/>
      </c>
      <c r="J914" s="61" t="str">
        <f aca="false">IF(IsPro,IF(OR($C914="",N($G914)=0),"",IF(I914=0,$G914,0)),"")</f>
        <v/>
      </c>
      <c r="K914" s="60" t="str">
        <f aca="false">IF(IsPro,IF($C914="","",IF(AND(OR($C914="Receipt",$C914="Payment"),$D914=""),"Party needed",IF(AND(OR($C914="Expense",$C914="Other Income"),$E914=""),"Head needed",IF($F914="","Account needed","OK")))),IF($C914="","","PRO PLAN"))</f>
        <v/>
      </c>
    </row>
    <row r="915" customFormat="false" ht="15" hidden="false" customHeight="false" outlineLevel="0" collapsed="false">
      <c r="A915" s="55"/>
      <c r="B915" s="56"/>
      <c r="C915" s="56"/>
      <c r="D915" s="56"/>
      <c r="E915" s="56"/>
      <c r="F915" s="56"/>
      <c r="G915" s="58"/>
      <c r="H915" s="56"/>
      <c r="I915" s="61" t="str">
        <f aca="false">IF(IsPro,IF(OR($C915="",N($G915)=0),"",IF(OR($C915="Receipt",$C915="Other Income",$C915="Capital In",$C915="Transfer In"),$G915,0)),"")</f>
        <v/>
      </c>
      <c r="J915" s="61" t="str">
        <f aca="false">IF(IsPro,IF(OR($C915="",N($G915)=0),"",IF(I915=0,$G915,0)),"")</f>
        <v/>
      </c>
      <c r="K915" s="60" t="str">
        <f aca="false">IF(IsPro,IF($C915="","",IF(AND(OR($C915="Receipt",$C915="Payment"),$D915=""),"Party needed",IF(AND(OR($C915="Expense",$C915="Other Income"),$E915=""),"Head needed",IF($F915="","Account needed","OK")))),IF($C915="","","PRO PLAN"))</f>
        <v/>
      </c>
    </row>
    <row r="916" customFormat="false" ht="15" hidden="false" customHeight="false" outlineLevel="0" collapsed="false">
      <c r="A916" s="55"/>
      <c r="B916" s="56"/>
      <c r="C916" s="56"/>
      <c r="D916" s="56"/>
      <c r="E916" s="56"/>
      <c r="F916" s="56"/>
      <c r="G916" s="58"/>
      <c r="H916" s="56"/>
      <c r="I916" s="61" t="str">
        <f aca="false">IF(IsPro,IF(OR($C916="",N($G916)=0),"",IF(OR($C916="Receipt",$C916="Other Income",$C916="Capital In",$C916="Transfer In"),$G916,0)),"")</f>
        <v/>
      </c>
      <c r="J916" s="61" t="str">
        <f aca="false">IF(IsPro,IF(OR($C916="",N($G916)=0),"",IF(I916=0,$G916,0)),"")</f>
        <v/>
      </c>
      <c r="K916" s="60" t="str">
        <f aca="false">IF(IsPro,IF($C916="","",IF(AND(OR($C916="Receipt",$C916="Payment"),$D916=""),"Party needed",IF(AND(OR($C916="Expense",$C916="Other Income"),$E916=""),"Head needed",IF($F916="","Account needed","OK")))),IF($C916="","","PRO PLAN"))</f>
        <v/>
      </c>
    </row>
    <row r="917" customFormat="false" ht="15" hidden="false" customHeight="false" outlineLevel="0" collapsed="false">
      <c r="A917" s="55"/>
      <c r="B917" s="56"/>
      <c r="C917" s="56"/>
      <c r="D917" s="56"/>
      <c r="E917" s="56"/>
      <c r="F917" s="56"/>
      <c r="G917" s="58"/>
      <c r="H917" s="56"/>
      <c r="I917" s="61" t="str">
        <f aca="false">IF(IsPro,IF(OR($C917="",N($G917)=0),"",IF(OR($C917="Receipt",$C917="Other Income",$C917="Capital In",$C917="Transfer In"),$G917,0)),"")</f>
        <v/>
      </c>
      <c r="J917" s="61" t="str">
        <f aca="false">IF(IsPro,IF(OR($C917="",N($G917)=0),"",IF(I917=0,$G917,0)),"")</f>
        <v/>
      </c>
      <c r="K917" s="60" t="str">
        <f aca="false">IF(IsPro,IF($C917="","",IF(AND(OR($C917="Receipt",$C917="Payment"),$D917=""),"Party needed",IF(AND(OR($C917="Expense",$C917="Other Income"),$E917=""),"Head needed",IF($F917="","Account needed","OK")))),IF($C917="","","PRO PLAN"))</f>
        <v/>
      </c>
    </row>
    <row r="918" customFormat="false" ht="15" hidden="false" customHeight="false" outlineLevel="0" collapsed="false">
      <c r="A918" s="55"/>
      <c r="B918" s="56"/>
      <c r="C918" s="56"/>
      <c r="D918" s="56"/>
      <c r="E918" s="56"/>
      <c r="F918" s="56"/>
      <c r="G918" s="58"/>
      <c r="H918" s="56"/>
      <c r="I918" s="61" t="str">
        <f aca="false">IF(IsPro,IF(OR($C918="",N($G918)=0),"",IF(OR($C918="Receipt",$C918="Other Income",$C918="Capital In",$C918="Transfer In"),$G918,0)),"")</f>
        <v/>
      </c>
      <c r="J918" s="61" t="str">
        <f aca="false">IF(IsPro,IF(OR($C918="",N($G918)=0),"",IF(I918=0,$G918,0)),"")</f>
        <v/>
      </c>
      <c r="K918" s="60" t="str">
        <f aca="false">IF(IsPro,IF($C918="","",IF(AND(OR($C918="Receipt",$C918="Payment"),$D918=""),"Party needed",IF(AND(OR($C918="Expense",$C918="Other Income"),$E918=""),"Head needed",IF($F918="","Account needed","OK")))),IF($C918="","","PRO PLAN"))</f>
        <v/>
      </c>
    </row>
    <row r="919" customFormat="false" ht="15" hidden="false" customHeight="false" outlineLevel="0" collapsed="false">
      <c r="A919" s="55"/>
      <c r="B919" s="56"/>
      <c r="C919" s="56"/>
      <c r="D919" s="56"/>
      <c r="E919" s="56"/>
      <c r="F919" s="56"/>
      <c r="G919" s="58"/>
      <c r="H919" s="56"/>
      <c r="I919" s="61" t="str">
        <f aca="false">IF(IsPro,IF(OR($C919="",N($G919)=0),"",IF(OR($C919="Receipt",$C919="Other Income",$C919="Capital In",$C919="Transfer In"),$G919,0)),"")</f>
        <v/>
      </c>
      <c r="J919" s="61" t="str">
        <f aca="false">IF(IsPro,IF(OR($C919="",N($G919)=0),"",IF(I919=0,$G919,0)),"")</f>
        <v/>
      </c>
      <c r="K919" s="60" t="str">
        <f aca="false">IF(IsPro,IF($C919="","",IF(AND(OR($C919="Receipt",$C919="Payment"),$D919=""),"Party needed",IF(AND(OR($C919="Expense",$C919="Other Income"),$E919=""),"Head needed",IF($F919="","Account needed","OK")))),IF($C919="","","PRO PLAN"))</f>
        <v/>
      </c>
    </row>
    <row r="920" customFormat="false" ht="15" hidden="false" customHeight="false" outlineLevel="0" collapsed="false">
      <c r="A920" s="55"/>
      <c r="B920" s="56"/>
      <c r="C920" s="56"/>
      <c r="D920" s="56"/>
      <c r="E920" s="56"/>
      <c r="F920" s="56"/>
      <c r="G920" s="58"/>
      <c r="H920" s="56"/>
      <c r="I920" s="61" t="str">
        <f aca="false">IF(IsPro,IF(OR($C920="",N($G920)=0),"",IF(OR($C920="Receipt",$C920="Other Income",$C920="Capital In",$C920="Transfer In"),$G920,0)),"")</f>
        <v/>
      </c>
      <c r="J920" s="61" t="str">
        <f aca="false">IF(IsPro,IF(OR($C920="",N($G920)=0),"",IF(I920=0,$G920,0)),"")</f>
        <v/>
      </c>
      <c r="K920" s="60" t="str">
        <f aca="false">IF(IsPro,IF($C920="","",IF(AND(OR($C920="Receipt",$C920="Payment"),$D920=""),"Party needed",IF(AND(OR($C920="Expense",$C920="Other Income"),$E920=""),"Head needed",IF($F920="","Account needed","OK")))),IF($C920="","","PRO PLAN"))</f>
        <v/>
      </c>
    </row>
    <row r="921" customFormat="false" ht="15" hidden="false" customHeight="false" outlineLevel="0" collapsed="false">
      <c r="A921" s="55"/>
      <c r="B921" s="56"/>
      <c r="C921" s="56"/>
      <c r="D921" s="56"/>
      <c r="E921" s="56"/>
      <c r="F921" s="56"/>
      <c r="G921" s="58"/>
      <c r="H921" s="56"/>
      <c r="I921" s="61" t="str">
        <f aca="false">IF(IsPro,IF(OR($C921="",N($G921)=0),"",IF(OR($C921="Receipt",$C921="Other Income",$C921="Capital In",$C921="Transfer In"),$G921,0)),"")</f>
        <v/>
      </c>
      <c r="J921" s="61" t="str">
        <f aca="false">IF(IsPro,IF(OR($C921="",N($G921)=0),"",IF(I921=0,$G921,0)),"")</f>
        <v/>
      </c>
      <c r="K921" s="60" t="str">
        <f aca="false">IF(IsPro,IF($C921="","",IF(AND(OR($C921="Receipt",$C921="Payment"),$D921=""),"Party needed",IF(AND(OR($C921="Expense",$C921="Other Income"),$E921=""),"Head needed",IF($F921="","Account needed","OK")))),IF($C921="","","PRO PLAN"))</f>
        <v/>
      </c>
    </row>
    <row r="922" customFormat="false" ht="15" hidden="false" customHeight="false" outlineLevel="0" collapsed="false">
      <c r="A922" s="55"/>
      <c r="B922" s="56"/>
      <c r="C922" s="56"/>
      <c r="D922" s="56"/>
      <c r="E922" s="56"/>
      <c r="F922" s="56"/>
      <c r="G922" s="58"/>
      <c r="H922" s="56"/>
      <c r="I922" s="61" t="str">
        <f aca="false">IF(IsPro,IF(OR($C922="",N($G922)=0),"",IF(OR($C922="Receipt",$C922="Other Income",$C922="Capital In",$C922="Transfer In"),$G922,0)),"")</f>
        <v/>
      </c>
      <c r="J922" s="61" t="str">
        <f aca="false">IF(IsPro,IF(OR($C922="",N($G922)=0),"",IF(I922=0,$G922,0)),"")</f>
        <v/>
      </c>
      <c r="K922" s="60" t="str">
        <f aca="false">IF(IsPro,IF($C922="","",IF(AND(OR($C922="Receipt",$C922="Payment"),$D922=""),"Party needed",IF(AND(OR($C922="Expense",$C922="Other Income"),$E922=""),"Head needed",IF($F922="","Account needed","OK")))),IF($C922="","","PRO PLAN"))</f>
        <v/>
      </c>
    </row>
    <row r="923" customFormat="false" ht="15" hidden="false" customHeight="false" outlineLevel="0" collapsed="false">
      <c r="A923" s="55"/>
      <c r="B923" s="56"/>
      <c r="C923" s="56"/>
      <c r="D923" s="56"/>
      <c r="E923" s="56"/>
      <c r="F923" s="56"/>
      <c r="G923" s="58"/>
      <c r="H923" s="56"/>
      <c r="I923" s="61" t="str">
        <f aca="false">IF(IsPro,IF(OR($C923="",N($G923)=0),"",IF(OR($C923="Receipt",$C923="Other Income",$C923="Capital In",$C923="Transfer In"),$G923,0)),"")</f>
        <v/>
      </c>
      <c r="J923" s="61" t="str">
        <f aca="false">IF(IsPro,IF(OR($C923="",N($G923)=0),"",IF(I923=0,$G923,0)),"")</f>
        <v/>
      </c>
      <c r="K923" s="60" t="str">
        <f aca="false">IF(IsPro,IF($C923="","",IF(AND(OR($C923="Receipt",$C923="Payment"),$D923=""),"Party needed",IF(AND(OR($C923="Expense",$C923="Other Income"),$E923=""),"Head needed",IF($F923="","Account needed","OK")))),IF($C923="","","PRO PLAN"))</f>
        <v/>
      </c>
    </row>
    <row r="924" customFormat="false" ht="15" hidden="false" customHeight="false" outlineLevel="0" collapsed="false">
      <c r="A924" s="55"/>
      <c r="B924" s="56"/>
      <c r="C924" s="56"/>
      <c r="D924" s="56"/>
      <c r="E924" s="56"/>
      <c r="F924" s="56"/>
      <c r="G924" s="58"/>
      <c r="H924" s="56"/>
      <c r="I924" s="61" t="str">
        <f aca="false">IF(IsPro,IF(OR($C924="",N($G924)=0),"",IF(OR($C924="Receipt",$C924="Other Income",$C924="Capital In",$C924="Transfer In"),$G924,0)),"")</f>
        <v/>
      </c>
      <c r="J924" s="61" t="str">
        <f aca="false">IF(IsPro,IF(OR($C924="",N($G924)=0),"",IF(I924=0,$G924,0)),"")</f>
        <v/>
      </c>
      <c r="K924" s="60" t="str">
        <f aca="false">IF(IsPro,IF($C924="","",IF(AND(OR($C924="Receipt",$C924="Payment"),$D924=""),"Party needed",IF(AND(OR($C924="Expense",$C924="Other Income"),$E924=""),"Head needed",IF($F924="","Account needed","OK")))),IF($C924="","","PRO PLAN"))</f>
        <v/>
      </c>
    </row>
    <row r="925" customFormat="false" ht="15" hidden="false" customHeight="false" outlineLevel="0" collapsed="false">
      <c r="A925" s="55"/>
      <c r="B925" s="56"/>
      <c r="C925" s="56"/>
      <c r="D925" s="56"/>
      <c r="E925" s="56"/>
      <c r="F925" s="56"/>
      <c r="G925" s="58"/>
      <c r="H925" s="56"/>
      <c r="I925" s="61" t="str">
        <f aca="false">IF(IsPro,IF(OR($C925="",N($G925)=0),"",IF(OR($C925="Receipt",$C925="Other Income",$C925="Capital In",$C925="Transfer In"),$G925,0)),"")</f>
        <v/>
      </c>
      <c r="J925" s="61" t="str">
        <f aca="false">IF(IsPro,IF(OR($C925="",N($G925)=0),"",IF(I925=0,$G925,0)),"")</f>
        <v/>
      </c>
      <c r="K925" s="60" t="str">
        <f aca="false">IF(IsPro,IF($C925="","",IF(AND(OR($C925="Receipt",$C925="Payment"),$D925=""),"Party needed",IF(AND(OR($C925="Expense",$C925="Other Income"),$E925=""),"Head needed",IF($F925="","Account needed","OK")))),IF($C925="","","PRO PLAN"))</f>
        <v/>
      </c>
    </row>
    <row r="926" customFormat="false" ht="15" hidden="false" customHeight="false" outlineLevel="0" collapsed="false">
      <c r="A926" s="55"/>
      <c r="B926" s="56"/>
      <c r="C926" s="56"/>
      <c r="D926" s="56"/>
      <c r="E926" s="56"/>
      <c r="F926" s="56"/>
      <c r="G926" s="58"/>
      <c r="H926" s="56"/>
      <c r="I926" s="61" t="str">
        <f aca="false">IF(IsPro,IF(OR($C926="",N($G926)=0),"",IF(OR($C926="Receipt",$C926="Other Income",$C926="Capital In",$C926="Transfer In"),$G926,0)),"")</f>
        <v/>
      </c>
      <c r="J926" s="61" t="str">
        <f aca="false">IF(IsPro,IF(OR($C926="",N($G926)=0),"",IF(I926=0,$G926,0)),"")</f>
        <v/>
      </c>
      <c r="K926" s="60" t="str">
        <f aca="false">IF(IsPro,IF($C926="","",IF(AND(OR($C926="Receipt",$C926="Payment"),$D926=""),"Party needed",IF(AND(OR($C926="Expense",$C926="Other Income"),$E926=""),"Head needed",IF($F926="","Account needed","OK")))),IF($C926="","","PRO PLAN"))</f>
        <v/>
      </c>
    </row>
    <row r="927" customFormat="false" ht="15" hidden="false" customHeight="false" outlineLevel="0" collapsed="false">
      <c r="A927" s="55"/>
      <c r="B927" s="56"/>
      <c r="C927" s="56"/>
      <c r="D927" s="56"/>
      <c r="E927" s="56"/>
      <c r="F927" s="56"/>
      <c r="G927" s="58"/>
      <c r="H927" s="56"/>
      <c r="I927" s="61" t="str">
        <f aca="false">IF(IsPro,IF(OR($C927="",N($G927)=0),"",IF(OR($C927="Receipt",$C927="Other Income",$C927="Capital In",$C927="Transfer In"),$G927,0)),"")</f>
        <v/>
      </c>
      <c r="J927" s="61" t="str">
        <f aca="false">IF(IsPro,IF(OR($C927="",N($G927)=0),"",IF(I927=0,$G927,0)),"")</f>
        <v/>
      </c>
      <c r="K927" s="60" t="str">
        <f aca="false">IF(IsPro,IF($C927="","",IF(AND(OR($C927="Receipt",$C927="Payment"),$D927=""),"Party needed",IF(AND(OR($C927="Expense",$C927="Other Income"),$E927=""),"Head needed",IF($F927="","Account needed","OK")))),IF($C927="","","PRO PLAN"))</f>
        <v/>
      </c>
    </row>
    <row r="928" customFormat="false" ht="15" hidden="false" customHeight="false" outlineLevel="0" collapsed="false">
      <c r="A928" s="55"/>
      <c r="B928" s="56"/>
      <c r="C928" s="56"/>
      <c r="D928" s="56"/>
      <c r="E928" s="56"/>
      <c r="F928" s="56"/>
      <c r="G928" s="58"/>
      <c r="H928" s="56"/>
      <c r="I928" s="61" t="str">
        <f aca="false">IF(IsPro,IF(OR($C928="",N($G928)=0),"",IF(OR($C928="Receipt",$C928="Other Income",$C928="Capital In",$C928="Transfer In"),$G928,0)),"")</f>
        <v/>
      </c>
      <c r="J928" s="61" t="str">
        <f aca="false">IF(IsPro,IF(OR($C928="",N($G928)=0),"",IF(I928=0,$G928,0)),"")</f>
        <v/>
      </c>
      <c r="K928" s="60" t="str">
        <f aca="false">IF(IsPro,IF($C928="","",IF(AND(OR($C928="Receipt",$C928="Payment"),$D928=""),"Party needed",IF(AND(OR($C928="Expense",$C928="Other Income"),$E928=""),"Head needed",IF($F928="","Account needed","OK")))),IF($C928="","","PRO PLAN"))</f>
        <v/>
      </c>
    </row>
    <row r="929" customFormat="false" ht="15" hidden="false" customHeight="false" outlineLevel="0" collapsed="false">
      <c r="A929" s="55"/>
      <c r="B929" s="56"/>
      <c r="C929" s="56"/>
      <c r="D929" s="56"/>
      <c r="E929" s="56"/>
      <c r="F929" s="56"/>
      <c r="G929" s="58"/>
      <c r="H929" s="56"/>
      <c r="I929" s="61" t="str">
        <f aca="false">IF(IsPro,IF(OR($C929="",N($G929)=0),"",IF(OR($C929="Receipt",$C929="Other Income",$C929="Capital In",$C929="Transfer In"),$G929,0)),"")</f>
        <v/>
      </c>
      <c r="J929" s="61" t="str">
        <f aca="false">IF(IsPro,IF(OR($C929="",N($G929)=0),"",IF(I929=0,$G929,0)),"")</f>
        <v/>
      </c>
      <c r="K929" s="60" t="str">
        <f aca="false">IF(IsPro,IF($C929="","",IF(AND(OR($C929="Receipt",$C929="Payment"),$D929=""),"Party needed",IF(AND(OR($C929="Expense",$C929="Other Income"),$E929=""),"Head needed",IF($F929="","Account needed","OK")))),IF($C929="","","PRO PLAN"))</f>
        <v/>
      </c>
    </row>
    <row r="930" customFormat="false" ht="15" hidden="false" customHeight="false" outlineLevel="0" collapsed="false">
      <c r="A930" s="55"/>
      <c r="B930" s="56"/>
      <c r="C930" s="56"/>
      <c r="D930" s="56"/>
      <c r="E930" s="56"/>
      <c r="F930" s="56"/>
      <c r="G930" s="58"/>
      <c r="H930" s="56"/>
      <c r="I930" s="61" t="str">
        <f aca="false">IF(IsPro,IF(OR($C930="",N($G930)=0),"",IF(OR($C930="Receipt",$C930="Other Income",$C930="Capital In",$C930="Transfer In"),$G930,0)),"")</f>
        <v/>
      </c>
      <c r="J930" s="61" t="str">
        <f aca="false">IF(IsPro,IF(OR($C930="",N($G930)=0),"",IF(I930=0,$G930,0)),"")</f>
        <v/>
      </c>
      <c r="K930" s="60" t="str">
        <f aca="false">IF(IsPro,IF($C930="","",IF(AND(OR($C930="Receipt",$C930="Payment"),$D930=""),"Party needed",IF(AND(OR($C930="Expense",$C930="Other Income"),$E930=""),"Head needed",IF($F930="","Account needed","OK")))),IF($C930="","","PRO PLAN"))</f>
        <v/>
      </c>
    </row>
    <row r="931" customFormat="false" ht="15" hidden="false" customHeight="false" outlineLevel="0" collapsed="false">
      <c r="A931" s="55"/>
      <c r="B931" s="56"/>
      <c r="C931" s="56"/>
      <c r="D931" s="56"/>
      <c r="E931" s="56"/>
      <c r="F931" s="56"/>
      <c r="G931" s="58"/>
      <c r="H931" s="56"/>
      <c r="I931" s="61" t="str">
        <f aca="false">IF(IsPro,IF(OR($C931="",N($G931)=0),"",IF(OR($C931="Receipt",$C931="Other Income",$C931="Capital In",$C931="Transfer In"),$G931,0)),"")</f>
        <v/>
      </c>
      <c r="J931" s="61" t="str">
        <f aca="false">IF(IsPro,IF(OR($C931="",N($G931)=0),"",IF(I931=0,$G931,0)),"")</f>
        <v/>
      </c>
      <c r="K931" s="60" t="str">
        <f aca="false">IF(IsPro,IF($C931="","",IF(AND(OR($C931="Receipt",$C931="Payment"),$D931=""),"Party needed",IF(AND(OR($C931="Expense",$C931="Other Income"),$E931=""),"Head needed",IF($F931="","Account needed","OK")))),IF($C931="","","PRO PLAN"))</f>
        <v/>
      </c>
    </row>
    <row r="932" customFormat="false" ht="15" hidden="false" customHeight="false" outlineLevel="0" collapsed="false">
      <c r="A932" s="55"/>
      <c r="B932" s="56"/>
      <c r="C932" s="56"/>
      <c r="D932" s="56"/>
      <c r="E932" s="56"/>
      <c r="F932" s="56"/>
      <c r="G932" s="58"/>
      <c r="H932" s="56"/>
      <c r="I932" s="61" t="str">
        <f aca="false">IF(IsPro,IF(OR($C932="",N($G932)=0),"",IF(OR($C932="Receipt",$C932="Other Income",$C932="Capital In",$C932="Transfer In"),$G932,0)),"")</f>
        <v/>
      </c>
      <c r="J932" s="61" t="str">
        <f aca="false">IF(IsPro,IF(OR($C932="",N($G932)=0),"",IF(I932=0,$G932,0)),"")</f>
        <v/>
      </c>
      <c r="K932" s="60" t="str">
        <f aca="false">IF(IsPro,IF($C932="","",IF(AND(OR($C932="Receipt",$C932="Payment"),$D932=""),"Party needed",IF(AND(OR($C932="Expense",$C932="Other Income"),$E932=""),"Head needed",IF($F932="","Account needed","OK")))),IF($C932="","","PRO PLAN"))</f>
        <v/>
      </c>
    </row>
    <row r="933" customFormat="false" ht="15" hidden="false" customHeight="false" outlineLevel="0" collapsed="false">
      <c r="A933" s="55"/>
      <c r="B933" s="56"/>
      <c r="C933" s="56"/>
      <c r="D933" s="56"/>
      <c r="E933" s="56"/>
      <c r="F933" s="56"/>
      <c r="G933" s="58"/>
      <c r="H933" s="56"/>
      <c r="I933" s="61" t="str">
        <f aca="false">IF(IsPro,IF(OR($C933="",N($G933)=0),"",IF(OR($C933="Receipt",$C933="Other Income",$C933="Capital In",$C933="Transfer In"),$G933,0)),"")</f>
        <v/>
      </c>
      <c r="J933" s="61" t="str">
        <f aca="false">IF(IsPro,IF(OR($C933="",N($G933)=0),"",IF(I933=0,$G933,0)),"")</f>
        <v/>
      </c>
      <c r="K933" s="60" t="str">
        <f aca="false">IF(IsPro,IF($C933="","",IF(AND(OR($C933="Receipt",$C933="Payment"),$D933=""),"Party needed",IF(AND(OR($C933="Expense",$C933="Other Income"),$E933=""),"Head needed",IF($F933="","Account needed","OK")))),IF($C933="","","PRO PLAN"))</f>
        <v/>
      </c>
    </row>
    <row r="934" customFormat="false" ht="15" hidden="false" customHeight="false" outlineLevel="0" collapsed="false">
      <c r="A934" s="55"/>
      <c r="B934" s="56"/>
      <c r="C934" s="56"/>
      <c r="D934" s="56"/>
      <c r="E934" s="56"/>
      <c r="F934" s="56"/>
      <c r="G934" s="58"/>
      <c r="H934" s="56"/>
      <c r="I934" s="61" t="str">
        <f aca="false">IF(IsPro,IF(OR($C934="",N($G934)=0),"",IF(OR($C934="Receipt",$C934="Other Income",$C934="Capital In",$C934="Transfer In"),$G934,0)),"")</f>
        <v/>
      </c>
      <c r="J934" s="61" t="str">
        <f aca="false">IF(IsPro,IF(OR($C934="",N($G934)=0),"",IF(I934=0,$G934,0)),"")</f>
        <v/>
      </c>
      <c r="K934" s="60" t="str">
        <f aca="false">IF(IsPro,IF($C934="","",IF(AND(OR($C934="Receipt",$C934="Payment"),$D934=""),"Party needed",IF(AND(OR($C934="Expense",$C934="Other Income"),$E934=""),"Head needed",IF($F934="","Account needed","OK")))),IF($C934="","","PRO PLAN"))</f>
        <v/>
      </c>
    </row>
    <row r="935" customFormat="false" ht="15" hidden="false" customHeight="false" outlineLevel="0" collapsed="false">
      <c r="A935" s="55"/>
      <c r="B935" s="56"/>
      <c r="C935" s="56"/>
      <c r="D935" s="56"/>
      <c r="E935" s="56"/>
      <c r="F935" s="56"/>
      <c r="G935" s="58"/>
      <c r="H935" s="56"/>
      <c r="I935" s="61" t="str">
        <f aca="false">IF(IsPro,IF(OR($C935="",N($G935)=0),"",IF(OR($C935="Receipt",$C935="Other Income",$C935="Capital In",$C935="Transfer In"),$G935,0)),"")</f>
        <v/>
      </c>
      <c r="J935" s="61" t="str">
        <f aca="false">IF(IsPro,IF(OR($C935="",N($G935)=0),"",IF(I935=0,$G935,0)),"")</f>
        <v/>
      </c>
      <c r="K935" s="60" t="str">
        <f aca="false">IF(IsPro,IF($C935="","",IF(AND(OR($C935="Receipt",$C935="Payment"),$D935=""),"Party needed",IF(AND(OR($C935="Expense",$C935="Other Income"),$E935=""),"Head needed",IF($F935="","Account needed","OK")))),IF($C935="","","PRO PLAN"))</f>
        <v/>
      </c>
    </row>
    <row r="936" customFormat="false" ht="15" hidden="false" customHeight="false" outlineLevel="0" collapsed="false">
      <c r="A936" s="55"/>
      <c r="B936" s="56"/>
      <c r="C936" s="56"/>
      <c r="D936" s="56"/>
      <c r="E936" s="56"/>
      <c r="F936" s="56"/>
      <c r="G936" s="58"/>
      <c r="H936" s="56"/>
      <c r="I936" s="61" t="str">
        <f aca="false">IF(IsPro,IF(OR($C936="",N($G936)=0),"",IF(OR($C936="Receipt",$C936="Other Income",$C936="Capital In",$C936="Transfer In"),$G936,0)),"")</f>
        <v/>
      </c>
      <c r="J936" s="61" t="str">
        <f aca="false">IF(IsPro,IF(OR($C936="",N($G936)=0),"",IF(I936=0,$G936,0)),"")</f>
        <v/>
      </c>
      <c r="K936" s="60" t="str">
        <f aca="false">IF(IsPro,IF($C936="","",IF(AND(OR($C936="Receipt",$C936="Payment"),$D936=""),"Party needed",IF(AND(OR($C936="Expense",$C936="Other Income"),$E936=""),"Head needed",IF($F936="","Account needed","OK")))),IF($C936="","","PRO PLAN"))</f>
        <v/>
      </c>
    </row>
    <row r="937" customFormat="false" ht="15" hidden="false" customHeight="false" outlineLevel="0" collapsed="false">
      <c r="A937" s="55"/>
      <c r="B937" s="56"/>
      <c r="C937" s="56"/>
      <c r="D937" s="56"/>
      <c r="E937" s="56"/>
      <c r="F937" s="56"/>
      <c r="G937" s="58"/>
      <c r="H937" s="56"/>
      <c r="I937" s="61" t="str">
        <f aca="false">IF(IsPro,IF(OR($C937="",N($G937)=0),"",IF(OR($C937="Receipt",$C937="Other Income",$C937="Capital In",$C937="Transfer In"),$G937,0)),"")</f>
        <v/>
      </c>
      <c r="J937" s="61" t="str">
        <f aca="false">IF(IsPro,IF(OR($C937="",N($G937)=0),"",IF(I937=0,$G937,0)),"")</f>
        <v/>
      </c>
      <c r="K937" s="60" t="str">
        <f aca="false">IF(IsPro,IF($C937="","",IF(AND(OR($C937="Receipt",$C937="Payment"),$D937=""),"Party needed",IF(AND(OR($C937="Expense",$C937="Other Income"),$E937=""),"Head needed",IF($F937="","Account needed","OK")))),IF($C937="","","PRO PLAN"))</f>
        <v/>
      </c>
    </row>
    <row r="938" customFormat="false" ht="15" hidden="false" customHeight="false" outlineLevel="0" collapsed="false">
      <c r="A938" s="55"/>
      <c r="B938" s="56"/>
      <c r="C938" s="56"/>
      <c r="D938" s="56"/>
      <c r="E938" s="56"/>
      <c r="F938" s="56"/>
      <c r="G938" s="58"/>
      <c r="H938" s="56"/>
      <c r="I938" s="61" t="str">
        <f aca="false">IF(IsPro,IF(OR($C938="",N($G938)=0),"",IF(OR($C938="Receipt",$C938="Other Income",$C938="Capital In",$C938="Transfer In"),$G938,0)),"")</f>
        <v/>
      </c>
      <c r="J938" s="61" t="str">
        <f aca="false">IF(IsPro,IF(OR($C938="",N($G938)=0),"",IF(I938=0,$G938,0)),"")</f>
        <v/>
      </c>
      <c r="K938" s="60" t="str">
        <f aca="false">IF(IsPro,IF($C938="","",IF(AND(OR($C938="Receipt",$C938="Payment"),$D938=""),"Party needed",IF(AND(OR($C938="Expense",$C938="Other Income"),$E938=""),"Head needed",IF($F938="","Account needed","OK")))),IF($C938="","","PRO PLAN"))</f>
        <v/>
      </c>
    </row>
    <row r="939" customFormat="false" ht="15" hidden="false" customHeight="false" outlineLevel="0" collapsed="false">
      <c r="A939" s="55"/>
      <c r="B939" s="56"/>
      <c r="C939" s="56"/>
      <c r="D939" s="56"/>
      <c r="E939" s="56"/>
      <c r="F939" s="56"/>
      <c r="G939" s="58"/>
      <c r="H939" s="56"/>
      <c r="I939" s="61" t="str">
        <f aca="false">IF(IsPro,IF(OR($C939="",N($G939)=0),"",IF(OR($C939="Receipt",$C939="Other Income",$C939="Capital In",$C939="Transfer In"),$G939,0)),"")</f>
        <v/>
      </c>
      <c r="J939" s="61" t="str">
        <f aca="false">IF(IsPro,IF(OR($C939="",N($G939)=0),"",IF(I939=0,$G939,0)),"")</f>
        <v/>
      </c>
      <c r="K939" s="60" t="str">
        <f aca="false">IF(IsPro,IF($C939="","",IF(AND(OR($C939="Receipt",$C939="Payment"),$D939=""),"Party needed",IF(AND(OR($C939="Expense",$C939="Other Income"),$E939=""),"Head needed",IF($F939="","Account needed","OK")))),IF($C939="","","PRO PLAN"))</f>
        <v/>
      </c>
    </row>
    <row r="940" customFormat="false" ht="15" hidden="false" customHeight="false" outlineLevel="0" collapsed="false">
      <c r="A940" s="55"/>
      <c r="B940" s="56"/>
      <c r="C940" s="56"/>
      <c r="D940" s="56"/>
      <c r="E940" s="56"/>
      <c r="F940" s="56"/>
      <c r="G940" s="58"/>
      <c r="H940" s="56"/>
      <c r="I940" s="61" t="str">
        <f aca="false">IF(IsPro,IF(OR($C940="",N($G940)=0),"",IF(OR($C940="Receipt",$C940="Other Income",$C940="Capital In",$C940="Transfer In"),$G940,0)),"")</f>
        <v/>
      </c>
      <c r="J940" s="61" t="str">
        <f aca="false">IF(IsPro,IF(OR($C940="",N($G940)=0),"",IF(I940=0,$G940,0)),"")</f>
        <v/>
      </c>
      <c r="K940" s="60" t="str">
        <f aca="false">IF(IsPro,IF($C940="","",IF(AND(OR($C940="Receipt",$C940="Payment"),$D940=""),"Party needed",IF(AND(OR($C940="Expense",$C940="Other Income"),$E940=""),"Head needed",IF($F940="","Account needed","OK")))),IF($C940="","","PRO PLAN"))</f>
        <v/>
      </c>
    </row>
    <row r="941" customFormat="false" ht="15" hidden="false" customHeight="false" outlineLevel="0" collapsed="false">
      <c r="A941" s="55"/>
      <c r="B941" s="56"/>
      <c r="C941" s="56"/>
      <c r="D941" s="56"/>
      <c r="E941" s="56"/>
      <c r="F941" s="56"/>
      <c r="G941" s="58"/>
      <c r="H941" s="56"/>
      <c r="I941" s="61" t="str">
        <f aca="false">IF(IsPro,IF(OR($C941="",N($G941)=0),"",IF(OR($C941="Receipt",$C941="Other Income",$C941="Capital In",$C941="Transfer In"),$G941,0)),"")</f>
        <v/>
      </c>
      <c r="J941" s="61" t="str">
        <f aca="false">IF(IsPro,IF(OR($C941="",N($G941)=0),"",IF(I941=0,$G941,0)),"")</f>
        <v/>
      </c>
      <c r="K941" s="60" t="str">
        <f aca="false">IF(IsPro,IF($C941="","",IF(AND(OR($C941="Receipt",$C941="Payment"),$D941=""),"Party needed",IF(AND(OR($C941="Expense",$C941="Other Income"),$E941=""),"Head needed",IF($F941="","Account needed","OK")))),IF($C941="","","PRO PLAN"))</f>
        <v/>
      </c>
    </row>
    <row r="942" customFormat="false" ht="15" hidden="false" customHeight="false" outlineLevel="0" collapsed="false">
      <c r="A942" s="55"/>
      <c r="B942" s="56"/>
      <c r="C942" s="56"/>
      <c r="D942" s="56"/>
      <c r="E942" s="56"/>
      <c r="F942" s="56"/>
      <c r="G942" s="58"/>
      <c r="H942" s="56"/>
      <c r="I942" s="61" t="str">
        <f aca="false">IF(IsPro,IF(OR($C942="",N($G942)=0),"",IF(OR($C942="Receipt",$C942="Other Income",$C942="Capital In",$C942="Transfer In"),$G942,0)),"")</f>
        <v/>
      </c>
      <c r="J942" s="61" t="str">
        <f aca="false">IF(IsPro,IF(OR($C942="",N($G942)=0),"",IF(I942=0,$G942,0)),"")</f>
        <v/>
      </c>
      <c r="K942" s="60" t="str">
        <f aca="false">IF(IsPro,IF($C942="","",IF(AND(OR($C942="Receipt",$C942="Payment"),$D942=""),"Party needed",IF(AND(OR($C942="Expense",$C942="Other Income"),$E942=""),"Head needed",IF($F942="","Account needed","OK")))),IF($C942="","","PRO PLAN"))</f>
        <v/>
      </c>
    </row>
    <row r="943" customFormat="false" ht="15" hidden="false" customHeight="false" outlineLevel="0" collapsed="false">
      <c r="A943" s="55"/>
      <c r="B943" s="56"/>
      <c r="C943" s="56"/>
      <c r="D943" s="56"/>
      <c r="E943" s="56"/>
      <c r="F943" s="56"/>
      <c r="G943" s="58"/>
      <c r="H943" s="56"/>
      <c r="I943" s="61" t="str">
        <f aca="false">IF(IsPro,IF(OR($C943="",N($G943)=0),"",IF(OR($C943="Receipt",$C943="Other Income",$C943="Capital In",$C943="Transfer In"),$G943,0)),"")</f>
        <v/>
      </c>
      <c r="J943" s="61" t="str">
        <f aca="false">IF(IsPro,IF(OR($C943="",N($G943)=0),"",IF(I943=0,$G943,0)),"")</f>
        <v/>
      </c>
      <c r="K943" s="60" t="str">
        <f aca="false">IF(IsPro,IF($C943="","",IF(AND(OR($C943="Receipt",$C943="Payment"),$D943=""),"Party needed",IF(AND(OR($C943="Expense",$C943="Other Income"),$E943=""),"Head needed",IF($F943="","Account needed","OK")))),IF($C943="","","PRO PLAN"))</f>
        <v/>
      </c>
    </row>
    <row r="944" customFormat="false" ht="15" hidden="false" customHeight="false" outlineLevel="0" collapsed="false">
      <c r="A944" s="55"/>
      <c r="B944" s="56"/>
      <c r="C944" s="56"/>
      <c r="D944" s="56"/>
      <c r="E944" s="56"/>
      <c r="F944" s="56"/>
      <c r="G944" s="58"/>
      <c r="H944" s="56"/>
      <c r="I944" s="61" t="str">
        <f aca="false">IF(IsPro,IF(OR($C944="",N($G944)=0),"",IF(OR($C944="Receipt",$C944="Other Income",$C944="Capital In",$C944="Transfer In"),$G944,0)),"")</f>
        <v/>
      </c>
      <c r="J944" s="61" t="str">
        <f aca="false">IF(IsPro,IF(OR($C944="",N($G944)=0),"",IF(I944=0,$G944,0)),"")</f>
        <v/>
      </c>
      <c r="K944" s="60" t="str">
        <f aca="false">IF(IsPro,IF($C944="","",IF(AND(OR($C944="Receipt",$C944="Payment"),$D944=""),"Party needed",IF(AND(OR($C944="Expense",$C944="Other Income"),$E944=""),"Head needed",IF($F944="","Account needed","OK")))),IF($C944="","","PRO PLAN"))</f>
        <v/>
      </c>
    </row>
    <row r="945" customFormat="false" ht="15" hidden="false" customHeight="false" outlineLevel="0" collapsed="false">
      <c r="A945" s="55"/>
      <c r="B945" s="56"/>
      <c r="C945" s="56"/>
      <c r="D945" s="56"/>
      <c r="E945" s="56"/>
      <c r="F945" s="56"/>
      <c r="G945" s="58"/>
      <c r="H945" s="56"/>
      <c r="I945" s="61" t="str">
        <f aca="false">IF(IsPro,IF(OR($C945="",N($G945)=0),"",IF(OR($C945="Receipt",$C945="Other Income",$C945="Capital In",$C945="Transfer In"),$G945,0)),"")</f>
        <v/>
      </c>
      <c r="J945" s="61" t="str">
        <f aca="false">IF(IsPro,IF(OR($C945="",N($G945)=0),"",IF(I945=0,$G945,0)),"")</f>
        <v/>
      </c>
      <c r="K945" s="60" t="str">
        <f aca="false">IF(IsPro,IF($C945="","",IF(AND(OR($C945="Receipt",$C945="Payment"),$D945=""),"Party needed",IF(AND(OR($C945="Expense",$C945="Other Income"),$E945=""),"Head needed",IF($F945="","Account needed","OK")))),IF($C945="","","PRO PLAN"))</f>
        <v/>
      </c>
    </row>
    <row r="946" customFormat="false" ht="15" hidden="false" customHeight="false" outlineLevel="0" collapsed="false">
      <c r="A946" s="55"/>
      <c r="B946" s="56"/>
      <c r="C946" s="56"/>
      <c r="D946" s="56"/>
      <c r="E946" s="56"/>
      <c r="F946" s="56"/>
      <c r="G946" s="58"/>
      <c r="H946" s="56"/>
      <c r="I946" s="61" t="str">
        <f aca="false">IF(IsPro,IF(OR($C946="",N($G946)=0),"",IF(OR($C946="Receipt",$C946="Other Income",$C946="Capital In",$C946="Transfer In"),$G946,0)),"")</f>
        <v/>
      </c>
      <c r="J946" s="61" t="str">
        <f aca="false">IF(IsPro,IF(OR($C946="",N($G946)=0),"",IF(I946=0,$G946,0)),"")</f>
        <v/>
      </c>
      <c r="K946" s="60" t="str">
        <f aca="false">IF(IsPro,IF($C946="","",IF(AND(OR($C946="Receipt",$C946="Payment"),$D946=""),"Party needed",IF(AND(OR($C946="Expense",$C946="Other Income"),$E946=""),"Head needed",IF($F946="","Account needed","OK")))),IF($C946="","","PRO PLAN"))</f>
        <v/>
      </c>
    </row>
    <row r="947" customFormat="false" ht="15" hidden="false" customHeight="false" outlineLevel="0" collapsed="false">
      <c r="A947" s="55"/>
      <c r="B947" s="56"/>
      <c r="C947" s="56"/>
      <c r="D947" s="56"/>
      <c r="E947" s="56"/>
      <c r="F947" s="56"/>
      <c r="G947" s="58"/>
      <c r="H947" s="56"/>
      <c r="I947" s="61" t="str">
        <f aca="false">IF(IsPro,IF(OR($C947="",N($G947)=0),"",IF(OR($C947="Receipt",$C947="Other Income",$C947="Capital In",$C947="Transfer In"),$G947,0)),"")</f>
        <v/>
      </c>
      <c r="J947" s="61" t="str">
        <f aca="false">IF(IsPro,IF(OR($C947="",N($G947)=0),"",IF(I947=0,$G947,0)),"")</f>
        <v/>
      </c>
      <c r="K947" s="60" t="str">
        <f aca="false">IF(IsPro,IF($C947="","",IF(AND(OR($C947="Receipt",$C947="Payment"),$D947=""),"Party needed",IF(AND(OR($C947="Expense",$C947="Other Income"),$E947=""),"Head needed",IF($F947="","Account needed","OK")))),IF($C947="","","PRO PLAN"))</f>
        <v/>
      </c>
    </row>
    <row r="948" customFormat="false" ht="15" hidden="false" customHeight="false" outlineLevel="0" collapsed="false">
      <c r="A948" s="55"/>
      <c r="B948" s="56"/>
      <c r="C948" s="56"/>
      <c r="D948" s="56"/>
      <c r="E948" s="56"/>
      <c r="F948" s="56"/>
      <c r="G948" s="58"/>
      <c r="H948" s="56"/>
      <c r="I948" s="61" t="str">
        <f aca="false">IF(IsPro,IF(OR($C948="",N($G948)=0),"",IF(OR($C948="Receipt",$C948="Other Income",$C948="Capital In",$C948="Transfer In"),$G948,0)),"")</f>
        <v/>
      </c>
      <c r="J948" s="61" t="str">
        <f aca="false">IF(IsPro,IF(OR($C948="",N($G948)=0),"",IF(I948=0,$G948,0)),"")</f>
        <v/>
      </c>
      <c r="K948" s="60" t="str">
        <f aca="false">IF(IsPro,IF($C948="","",IF(AND(OR($C948="Receipt",$C948="Payment"),$D948=""),"Party needed",IF(AND(OR($C948="Expense",$C948="Other Income"),$E948=""),"Head needed",IF($F948="","Account needed","OK")))),IF($C948="","","PRO PLAN"))</f>
        <v/>
      </c>
    </row>
    <row r="949" customFormat="false" ht="15" hidden="false" customHeight="false" outlineLevel="0" collapsed="false">
      <c r="A949" s="55"/>
      <c r="B949" s="56"/>
      <c r="C949" s="56"/>
      <c r="D949" s="56"/>
      <c r="E949" s="56"/>
      <c r="F949" s="56"/>
      <c r="G949" s="58"/>
      <c r="H949" s="56"/>
      <c r="I949" s="61" t="str">
        <f aca="false">IF(IsPro,IF(OR($C949="",N($G949)=0),"",IF(OR($C949="Receipt",$C949="Other Income",$C949="Capital In",$C949="Transfer In"),$G949,0)),"")</f>
        <v/>
      </c>
      <c r="J949" s="61" t="str">
        <f aca="false">IF(IsPro,IF(OR($C949="",N($G949)=0),"",IF(I949=0,$G949,0)),"")</f>
        <v/>
      </c>
      <c r="K949" s="60" t="str">
        <f aca="false">IF(IsPro,IF($C949="","",IF(AND(OR($C949="Receipt",$C949="Payment"),$D949=""),"Party needed",IF(AND(OR($C949="Expense",$C949="Other Income"),$E949=""),"Head needed",IF($F949="","Account needed","OK")))),IF($C949="","","PRO PLAN"))</f>
        <v/>
      </c>
    </row>
    <row r="950" customFormat="false" ht="15" hidden="false" customHeight="false" outlineLevel="0" collapsed="false">
      <c r="A950" s="55"/>
      <c r="B950" s="56"/>
      <c r="C950" s="56"/>
      <c r="D950" s="56"/>
      <c r="E950" s="56"/>
      <c r="F950" s="56"/>
      <c r="G950" s="58"/>
      <c r="H950" s="56"/>
      <c r="I950" s="61" t="str">
        <f aca="false">IF(IsPro,IF(OR($C950="",N($G950)=0),"",IF(OR($C950="Receipt",$C950="Other Income",$C950="Capital In",$C950="Transfer In"),$G950,0)),"")</f>
        <v/>
      </c>
      <c r="J950" s="61" t="str">
        <f aca="false">IF(IsPro,IF(OR($C950="",N($G950)=0),"",IF(I950=0,$G950,0)),"")</f>
        <v/>
      </c>
      <c r="K950" s="60" t="str">
        <f aca="false">IF(IsPro,IF($C950="","",IF(AND(OR($C950="Receipt",$C950="Payment"),$D950=""),"Party needed",IF(AND(OR($C950="Expense",$C950="Other Income"),$E950=""),"Head needed",IF($F950="","Account needed","OK")))),IF($C950="","","PRO PLAN"))</f>
        <v/>
      </c>
    </row>
    <row r="951" customFormat="false" ht="15" hidden="false" customHeight="false" outlineLevel="0" collapsed="false">
      <c r="A951" s="55"/>
      <c r="B951" s="56"/>
      <c r="C951" s="56"/>
      <c r="D951" s="56"/>
      <c r="E951" s="56"/>
      <c r="F951" s="56"/>
      <c r="G951" s="58"/>
      <c r="H951" s="56"/>
      <c r="I951" s="61" t="str">
        <f aca="false">IF(IsPro,IF(OR($C951="",N($G951)=0),"",IF(OR($C951="Receipt",$C951="Other Income",$C951="Capital In",$C951="Transfer In"),$G951,0)),"")</f>
        <v/>
      </c>
      <c r="J951" s="61" t="str">
        <f aca="false">IF(IsPro,IF(OR($C951="",N($G951)=0),"",IF(I951=0,$G951,0)),"")</f>
        <v/>
      </c>
      <c r="K951" s="60" t="str">
        <f aca="false">IF(IsPro,IF($C951="","",IF(AND(OR($C951="Receipt",$C951="Payment"),$D951=""),"Party needed",IF(AND(OR($C951="Expense",$C951="Other Income"),$E951=""),"Head needed",IF($F951="","Account needed","OK")))),IF($C951="","","PRO PLAN"))</f>
        <v/>
      </c>
    </row>
    <row r="952" customFormat="false" ht="15" hidden="false" customHeight="false" outlineLevel="0" collapsed="false">
      <c r="A952" s="55"/>
      <c r="B952" s="56"/>
      <c r="C952" s="56"/>
      <c r="D952" s="56"/>
      <c r="E952" s="56"/>
      <c r="F952" s="56"/>
      <c r="G952" s="58"/>
      <c r="H952" s="56"/>
      <c r="I952" s="61" t="str">
        <f aca="false">IF(IsPro,IF(OR($C952="",N($G952)=0),"",IF(OR($C952="Receipt",$C952="Other Income",$C952="Capital In",$C952="Transfer In"),$G952,0)),"")</f>
        <v/>
      </c>
      <c r="J952" s="61" t="str">
        <f aca="false">IF(IsPro,IF(OR($C952="",N($G952)=0),"",IF(I952=0,$G952,0)),"")</f>
        <v/>
      </c>
      <c r="K952" s="60" t="str">
        <f aca="false">IF(IsPro,IF($C952="","",IF(AND(OR($C952="Receipt",$C952="Payment"),$D952=""),"Party needed",IF(AND(OR($C952="Expense",$C952="Other Income"),$E952=""),"Head needed",IF($F952="","Account needed","OK")))),IF($C952="","","PRO PLAN"))</f>
        <v/>
      </c>
    </row>
    <row r="953" customFormat="false" ht="15" hidden="false" customHeight="false" outlineLevel="0" collapsed="false">
      <c r="A953" s="55"/>
      <c r="B953" s="56"/>
      <c r="C953" s="56"/>
      <c r="D953" s="56"/>
      <c r="E953" s="56"/>
      <c r="F953" s="56"/>
      <c r="G953" s="58"/>
      <c r="H953" s="56"/>
      <c r="I953" s="61" t="str">
        <f aca="false">IF(IsPro,IF(OR($C953="",N($G953)=0),"",IF(OR($C953="Receipt",$C953="Other Income",$C953="Capital In",$C953="Transfer In"),$G953,0)),"")</f>
        <v/>
      </c>
      <c r="J953" s="61" t="str">
        <f aca="false">IF(IsPro,IF(OR($C953="",N($G953)=0),"",IF(I953=0,$G953,0)),"")</f>
        <v/>
      </c>
      <c r="K953" s="60" t="str">
        <f aca="false">IF(IsPro,IF($C953="","",IF(AND(OR($C953="Receipt",$C953="Payment"),$D953=""),"Party needed",IF(AND(OR($C953="Expense",$C953="Other Income"),$E953=""),"Head needed",IF($F953="","Account needed","OK")))),IF($C953="","","PRO PLAN"))</f>
        <v/>
      </c>
    </row>
    <row r="954" customFormat="false" ht="15" hidden="false" customHeight="false" outlineLevel="0" collapsed="false">
      <c r="A954" s="55"/>
      <c r="B954" s="56"/>
      <c r="C954" s="56"/>
      <c r="D954" s="56"/>
      <c r="E954" s="56"/>
      <c r="F954" s="56"/>
      <c r="G954" s="58"/>
      <c r="H954" s="56"/>
      <c r="I954" s="61" t="str">
        <f aca="false">IF(IsPro,IF(OR($C954="",N($G954)=0),"",IF(OR($C954="Receipt",$C954="Other Income",$C954="Capital In",$C954="Transfer In"),$G954,0)),"")</f>
        <v/>
      </c>
      <c r="J954" s="61" t="str">
        <f aca="false">IF(IsPro,IF(OR($C954="",N($G954)=0),"",IF(I954=0,$G954,0)),"")</f>
        <v/>
      </c>
      <c r="K954" s="60" t="str">
        <f aca="false">IF(IsPro,IF($C954="","",IF(AND(OR($C954="Receipt",$C954="Payment"),$D954=""),"Party needed",IF(AND(OR($C954="Expense",$C954="Other Income"),$E954=""),"Head needed",IF($F954="","Account needed","OK")))),IF($C954="","","PRO PLAN"))</f>
        <v/>
      </c>
    </row>
    <row r="955" customFormat="false" ht="15" hidden="false" customHeight="false" outlineLevel="0" collapsed="false">
      <c r="A955" s="55"/>
      <c r="B955" s="56"/>
      <c r="C955" s="56"/>
      <c r="D955" s="56"/>
      <c r="E955" s="56"/>
      <c r="F955" s="56"/>
      <c r="G955" s="58"/>
      <c r="H955" s="56"/>
      <c r="I955" s="61" t="str">
        <f aca="false">IF(IsPro,IF(OR($C955="",N($G955)=0),"",IF(OR($C955="Receipt",$C955="Other Income",$C955="Capital In",$C955="Transfer In"),$G955,0)),"")</f>
        <v/>
      </c>
      <c r="J955" s="61" t="str">
        <f aca="false">IF(IsPro,IF(OR($C955="",N($G955)=0),"",IF(I955=0,$G955,0)),"")</f>
        <v/>
      </c>
      <c r="K955" s="60" t="str">
        <f aca="false">IF(IsPro,IF($C955="","",IF(AND(OR($C955="Receipt",$C955="Payment"),$D955=""),"Party needed",IF(AND(OR($C955="Expense",$C955="Other Income"),$E955=""),"Head needed",IF($F955="","Account needed","OK")))),IF($C955="","","PRO PLAN"))</f>
        <v/>
      </c>
    </row>
    <row r="956" customFormat="false" ht="15" hidden="false" customHeight="false" outlineLevel="0" collapsed="false">
      <c r="A956" s="55"/>
      <c r="B956" s="56"/>
      <c r="C956" s="56"/>
      <c r="D956" s="56"/>
      <c r="E956" s="56"/>
      <c r="F956" s="56"/>
      <c r="G956" s="58"/>
      <c r="H956" s="56"/>
      <c r="I956" s="61" t="str">
        <f aca="false">IF(IsPro,IF(OR($C956="",N($G956)=0),"",IF(OR($C956="Receipt",$C956="Other Income",$C956="Capital In",$C956="Transfer In"),$G956,0)),"")</f>
        <v/>
      </c>
      <c r="J956" s="61" t="str">
        <f aca="false">IF(IsPro,IF(OR($C956="",N($G956)=0),"",IF(I956=0,$G956,0)),"")</f>
        <v/>
      </c>
      <c r="K956" s="60" t="str">
        <f aca="false">IF(IsPro,IF($C956="","",IF(AND(OR($C956="Receipt",$C956="Payment"),$D956=""),"Party needed",IF(AND(OR($C956="Expense",$C956="Other Income"),$E956=""),"Head needed",IF($F956="","Account needed","OK")))),IF($C956="","","PRO PLAN"))</f>
        <v/>
      </c>
    </row>
    <row r="957" customFormat="false" ht="15" hidden="false" customHeight="false" outlineLevel="0" collapsed="false">
      <c r="A957" s="55"/>
      <c r="B957" s="56"/>
      <c r="C957" s="56"/>
      <c r="D957" s="56"/>
      <c r="E957" s="56"/>
      <c r="F957" s="56"/>
      <c r="G957" s="58"/>
      <c r="H957" s="56"/>
      <c r="I957" s="61" t="str">
        <f aca="false">IF(IsPro,IF(OR($C957="",N($G957)=0),"",IF(OR($C957="Receipt",$C957="Other Income",$C957="Capital In",$C957="Transfer In"),$G957,0)),"")</f>
        <v/>
      </c>
      <c r="J957" s="61" t="str">
        <f aca="false">IF(IsPro,IF(OR($C957="",N($G957)=0),"",IF(I957=0,$G957,0)),"")</f>
        <v/>
      </c>
      <c r="K957" s="60" t="str">
        <f aca="false">IF(IsPro,IF($C957="","",IF(AND(OR($C957="Receipt",$C957="Payment"),$D957=""),"Party needed",IF(AND(OR($C957="Expense",$C957="Other Income"),$E957=""),"Head needed",IF($F957="","Account needed","OK")))),IF($C957="","","PRO PLAN"))</f>
        <v/>
      </c>
    </row>
    <row r="958" customFormat="false" ht="15" hidden="false" customHeight="false" outlineLevel="0" collapsed="false">
      <c r="A958" s="55"/>
      <c r="B958" s="56"/>
      <c r="C958" s="56"/>
      <c r="D958" s="56"/>
      <c r="E958" s="56"/>
      <c r="F958" s="56"/>
      <c r="G958" s="58"/>
      <c r="H958" s="56"/>
      <c r="I958" s="61" t="str">
        <f aca="false">IF(IsPro,IF(OR($C958="",N($G958)=0),"",IF(OR($C958="Receipt",$C958="Other Income",$C958="Capital In",$C958="Transfer In"),$G958,0)),"")</f>
        <v/>
      </c>
      <c r="J958" s="61" t="str">
        <f aca="false">IF(IsPro,IF(OR($C958="",N($G958)=0),"",IF(I958=0,$G958,0)),"")</f>
        <v/>
      </c>
      <c r="K958" s="60" t="str">
        <f aca="false">IF(IsPro,IF($C958="","",IF(AND(OR($C958="Receipt",$C958="Payment"),$D958=""),"Party needed",IF(AND(OR($C958="Expense",$C958="Other Income"),$E958=""),"Head needed",IF($F958="","Account needed","OK")))),IF($C958="","","PRO PLAN"))</f>
        <v/>
      </c>
    </row>
    <row r="959" customFormat="false" ht="15" hidden="false" customHeight="false" outlineLevel="0" collapsed="false">
      <c r="A959" s="55"/>
      <c r="B959" s="56"/>
      <c r="C959" s="56"/>
      <c r="D959" s="56"/>
      <c r="E959" s="56"/>
      <c r="F959" s="56"/>
      <c r="G959" s="58"/>
      <c r="H959" s="56"/>
      <c r="I959" s="61" t="str">
        <f aca="false">IF(IsPro,IF(OR($C959="",N($G959)=0),"",IF(OR($C959="Receipt",$C959="Other Income",$C959="Capital In",$C959="Transfer In"),$G959,0)),"")</f>
        <v/>
      </c>
      <c r="J959" s="61" t="str">
        <f aca="false">IF(IsPro,IF(OR($C959="",N($G959)=0),"",IF(I959=0,$G959,0)),"")</f>
        <v/>
      </c>
      <c r="K959" s="60" t="str">
        <f aca="false">IF(IsPro,IF($C959="","",IF(AND(OR($C959="Receipt",$C959="Payment"),$D959=""),"Party needed",IF(AND(OR($C959="Expense",$C959="Other Income"),$E959=""),"Head needed",IF($F959="","Account needed","OK")))),IF($C959="","","PRO PLAN"))</f>
        <v/>
      </c>
    </row>
    <row r="960" customFormat="false" ht="15" hidden="false" customHeight="false" outlineLevel="0" collapsed="false">
      <c r="A960" s="55"/>
      <c r="B960" s="56"/>
      <c r="C960" s="56"/>
      <c r="D960" s="56"/>
      <c r="E960" s="56"/>
      <c r="F960" s="56"/>
      <c r="G960" s="58"/>
      <c r="H960" s="56"/>
      <c r="I960" s="61" t="str">
        <f aca="false">IF(IsPro,IF(OR($C960="",N($G960)=0),"",IF(OR($C960="Receipt",$C960="Other Income",$C960="Capital In",$C960="Transfer In"),$G960,0)),"")</f>
        <v/>
      </c>
      <c r="J960" s="61" t="str">
        <f aca="false">IF(IsPro,IF(OR($C960="",N($G960)=0),"",IF(I960=0,$G960,0)),"")</f>
        <v/>
      </c>
      <c r="K960" s="60" t="str">
        <f aca="false">IF(IsPro,IF($C960="","",IF(AND(OR($C960="Receipt",$C960="Payment"),$D960=""),"Party needed",IF(AND(OR($C960="Expense",$C960="Other Income"),$E960=""),"Head needed",IF($F960="","Account needed","OK")))),IF($C960="","","PRO PLAN"))</f>
        <v/>
      </c>
    </row>
    <row r="961" customFormat="false" ht="15" hidden="false" customHeight="false" outlineLevel="0" collapsed="false">
      <c r="A961" s="55"/>
      <c r="B961" s="56"/>
      <c r="C961" s="56"/>
      <c r="D961" s="56"/>
      <c r="E961" s="56"/>
      <c r="F961" s="56"/>
      <c r="G961" s="58"/>
      <c r="H961" s="56"/>
      <c r="I961" s="61" t="str">
        <f aca="false">IF(IsPro,IF(OR($C961="",N($G961)=0),"",IF(OR($C961="Receipt",$C961="Other Income",$C961="Capital In",$C961="Transfer In"),$G961,0)),"")</f>
        <v/>
      </c>
      <c r="J961" s="61" t="str">
        <f aca="false">IF(IsPro,IF(OR($C961="",N($G961)=0),"",IF(I961=0,$G961,0)),"")</f>
        <v/>
      </c>
      <c r="K961" s="60" t="str">
        <f aca="false">IF(IsPro,IF($C961="","",IF(AND(OR($C961="Receipt",$C961="Payment"),$D961=""),"Party needed",IF(AND(OR($C961="Expense",$C961="Other Income"),$E961=""),"Head needed",IF($F961="","Account needed","OK")))),IF($C961="","","PRO PLAN"))</f>
        <v/>
      </c>
    </row>
    <row r="962" customFormat="false" ht="15" hidden="false" customHeight="false" outlineLevel="0" collapsed="false">
      <c r="A962" s="55"/>
      <c r="B962" s="56"/>
      <c r="C962" s="56"/>
      <c r="D962" s="56"/>
      <c r="E962" s="56"/>
      <c r="F962" s="56"/>
      <c r="G962" s="58"/>
      <c r="H962" s="56"/>
      <c r="I962" s="61" t="str">
        <f aca="false">IF(IsPro,IF(OR($C962="",N($G962)=0),"",IF(OR($C962="Receipt",$C962="Other Income",$C962="Capital In",$C962="Transfer In"),$G962,0)),"")</f>
        <v/>
      </c>
      <c r="J962" s="61" t="str">
        <f aca="false">IF(IsPro,IF(OR($C962="",N($G962)=0),"",IF(I962=0,$G962,0)),"")</f>
        <v/>
      </c>
      <c r="K962" s="60" t="str">
        <f aca="false">IF(IsPro,IF($C962="","",IF(AND(OR($C962="Receipt",$C962="Payment"),$D962=""),"Party needed",IF(AND(OR($C962="Expense",$C962="Other Income"),$E962=""),"Head needed",IF($F962="","Account needed","OK")))),IF($C962="","","PRO PLAN"))</f>
        <v/>
      </c>
    </row>
    <row r="963" customFormat="false" ht="15" hidden="false" customHeight="false" outlineLevel="0" collapsed="false">
      <c r="A963" s="55"/>
      <c r="B963" s="56"/>
      <c r="C963" s="56"/>
      <c r="D963" s="56"/>
      <c r="E963" s="56"/>
      <c r="F963" s="56"/>
      <c r="G963" s="58"/>
      <c r="H963" s="56"/>
      <c r="I963" s="61" t="str">
        <f aca="false">IF(IsPro,IF(OR($C963="",N($G963)=0),"",IF(OR($C963="Receipt",$C963="Other Income",$C963="Capital In",$C963="Transfer In"),$G963,0)),"")</f>
        <v/>
      </c>
      <c r="J963" s="61" t="str">
        <f aca="false">IF(IsPro,IF(OR($C963="",N($G963)=0),"",IF(I963=0,$G963,0)),"")</f>
        <v/>
      </c>
      <c r="K963" s="60" t="str">
        <f aca="false">IF(IsPro,IF($C963="","",IF(AND(OR($C963="Receipt",$C963="Payment"),$D963=""),"Party needed",IF(AND(OR($C963="Expense",$C963="Other Income"),$E963=""),"Head needed",IF($F963="","Account needed","OK")))),IF($C963="","","PRO PLAN"))</f>
        <v/>
      </c>
    </row>
    <row r="964" customFormat="false" ht="15" hidden="false" customHeight="false" outlineLevel="0" collapsed="false">
      <c r="A964" s="55"/>
      <c r="B964" s="56"/>
      <c r="C964" s="56"/>
      <c r="D964" s="56"/>
      <c r="E964" s="56"/>
      <c r="F964" s="56"/>
      <c r="G964" s="58"/>
      <c r="H964" s="56"/>
      <c r="I964" s="61" t="str">
        <f aca="false">IF(IsPro,IF(OR($C964="",N($G964)=0),"",IF(OR($C964="Receipt",$C964="Other Income",$C964="Capital In",$C964="Transfer In"),$G964,0)),"")</f>
        <v/>
      </c>
      <c r="J964" s="61" t="str">
        <f aca="false">IF(IsPro,IF(OR($C964="",N($G964)=0),"",IF(I964=0,$G964,0)),"")</f>
        <v/>
      </c>
      <c r="K964" s="60" t="str">
        <f aca="false">IF(IsPro,IF($C964="","",IF(AND(OR($C964="Receipt",$C964="Payment"),$D964=""),"Party needed",IF(AND(OR($C964="Expense",$C964="Other Income"),$E964=""),"Head needed",IF($F964="","Account needed","OK")))),IF($C964="","","PRO PLAN"))</f>
        <v/>
      </c>
    </row>
    <row r="965" customFormat="false" ht="15" hidden="false" customHeight="false" outlineLevel="0" collapsed="false">
      <c r="A965" s="55"/>
      <c r="B965" s="56"/>
      <c r="C965" s="56"/>
      <c r="D965" s="56"/>
      <c r="E965" s="56"/>
      <c r="F965" s="56"/>
      <c r="G965" s="58"/>
      <c r="H965" s="56"/>
      <c r="I965" s="61" t="str">
        <f aca="false">IF(IsPro,IF(OR($C965="",N($G965)=0),"",IF(OR($C965="Receipt",$C965="Other Income",$C965="Capital In",$C965="Transfer In"),$G965,0)),"")</f>
        <v/>
      </c>
      <c r="J965" s="61" t="str">
        <f aca="false">IF(IsPro,IF(OR($C965="",N($G965)=0),"",IF(I965=0,$G965,0)),"")</f>
        <v/>
      </c>
      <c r="K965" s="60" t="str">
        <f aca="false">IF(IsPro,IF($C965="","",IF(AND(OR($C965="Receipt",$C965="Payment"),$D965=""),"Party needed",IF(AND(OR($C965="Expense",$C965="Other Income"),$E965=""),"Head needed",IF($F965="","Account needed","OK")))),IF($C965="","","PRO PLAN"))</f>
        <v/>
      </c>
    </row>
    <row r="966" customFormat="false" ht="15" hidden="false" customHeight="false" outlineLevel="0" collapsed="false">
      <c r="A966" s="55"/>
      <c r="B966" s="56"/>
      <c r="C966" s="56"/>
      <c r="D966" s="56"/>
      <c r="E966" s="56"/>
      <c r="F966" s="56"/>
      <c r="G966" s="58"/>
      <c r="H966" s="56"/>
      <c r="I966" s="61" t="str">
        <f aca="false">IF(IsPro,IF(OR($C966="",N($G966)=0),"",IF(OR($C966="Receipt",$C966="Other Income",$C966="Capital In",$C966="Transfer In"),$G966,0)),"")</f>
        <v/>
      </c>
      <c r="J966" s="61" t="str">
        <f aca="false">IF(IsPro,IF(OR($C966="",N($G966)=0),"",IF(I966=0,$G966,0)),"")</f>
        <v/>
      </c>
      <c r="K966" s="60" t="str">
        <f aca="false">IF(IsPro,IF($C966="","",IF(AND(OR($C966="Receipt",$C966="Payment"),$D966=""),"Party needed",IF(AND(OR($C966="Expense",$C966="Other Income"),$E966=""),"Head needed",IF($F966="","Account needed","OK")))),IF($C966="","","PRO PLAN"))</f>
        <v/>
      </c>
    </row>
    <row r="967" customFormat="false" ht="15" hidden="false" customHeight="false" outlineLevel="0" collapsed="false">
      <c r="A967" s="55"/>
      <c r="B967" s="56"/>
      <c r="C967" s="56"/>
      <c r="D967" s="56"/>
      <c r="E967" s="56"/>
      <c r="F967" s="56"/>
      <c r="G967" s="58"/>
      <c r="H967" s="56"/>
      <c r="I967" s="61" t="str">
        <f aca="false">IF(IsPro,IF(OR($C967="",N($G967)=0),"",IF(OR($C967="Receipt",$C967="Other Income",$C967="Capital In",$C967="Transfer In"),$G967,0)),"")</f>
        <v/>
      </c>
      <c r="J967" s="61" t="str">
        <f aca="false">IF(IsPro,IF(OR($C967="",N($G967)=0),"",IF(I967=0,$G967,0)),"")</f>
        <v/>
      </c>
      <c r="K967" s="60" t="str">
        <f aca="false">IF(IsPro,IF($C967="","",IF(AND(OR($C967="Receipt",$C967="Payment"),$D967=""),"Party needed",IF(AND(OR($C967="Expense",$C967="Other Income"),$E967=""),"Head needed",IF($F967="","Account needed","OK")))),IF($C967="","","PRO PLAN"))</f>
        <v/>
      </c>
    </row>
    <row r="968" customFormat="false" ht="15" hidden="false" customHeight="false" outlineLevel="0" collapsed="false">
      <c r="A968" s="55"/>
      <c r="B968" s="56"/>
      <c r="C968" s="56"/>
      <c r="D968" s="56"/>
      <c r="E968" s="56"/>
      <c r="F968" s="56"/>
      <c r="G968" s="58"/>
      <c r="H968" s="56"/>
      <c r="I968" s="61" t="str">
        <f aca="false">IF(IsPro,IF(OR($C968="",N($G968)=0),"",IF(OR($C968="Receipt",$C968="Other Income",$C968="Capital In",$C968="Transfer In"),$G968,0)),"")</f>
        <v/>
      </c>
      <c r="J968" s="61" t="str">
        <f aca="false">IF(IsPro,IF(OR($C968="",N($G968)=0),"",IF(I968=0,$G968,0)),"")</f>
        <v/>
      </c>
      <c r="K968" s="60" t="str">
        <f aca="false">IF(IsPro,IF($C968="","",IF(AND(OR($C968="Receipt",$C968="Payment"),$D968=""),"Party needed",IF(AND(OR($C968="Expense",$C968="Other Income"),$E968=""),"Head needed",IF($F968="","Account needed","OK")))),IF($C968="","","PRO PLAN"))</f>
        <v/>
      </c>
    </row>
    <row r="969" customFormat="false" ht="15" hidden="false" customHeight="false" outlineLevel="0" collapsed="false">
      <c r="A969" s="55"/>
      <c r="B969" s="56"/>
      <c r="C969" s="56"/>
      <c r="D969" s="56"/>
      <c r="E969" s="56"/>
      <c r="F969" s="56"/>
      <c r="G969" s="58"/>
      <c r="H969" s="56"/>
      <c r="I969" s="61" t="str">
        <f aca="false">IF(IsPro,IF(OR($C969="",N($G969)=0),"",IF(OR($C969="Receipt",$C969="Other Income",$C969="Capital In",$C969="Transfer In"),$G969,0)),"")</f>
        <v/>
      </c>
      <c r="J969" s="61" t="str">
        <f aca="false">IF(IsPro,IF(OR($C969="",N($G969)=0),"",IF(I969=0,$G969,0)),"")</f>
        <v/>
      </c>
      <c r="K969" s="60" t="str">
        <f aca="false">IF(IsPro,IF($C969="","",IF(AND(OR($C969="Receipt",$C969="Payment"),$D969=""),"Party needed",IF(AND(OR($C969="Expense",$C969="Other Income"),$E969=""),"Head needed",IF($F969="","Account needed","OK")))),IF($C969="","","PRO PLAN"))</f>
        <v/>
      </c>
    </row>
    <row r="970" customFormat="false" ht="15" hidden="false" customHeight="false" outlineLevel="0" collapsed="false">
      <c r="A970" s="55"/>
      <c r="B970" s="56"/>
      <c r="C970" s="56"/>
      <c r="D970" s="56"/>
      <c r="E970" s="56"/>
      <c r="F970" s="56"/>
      <c r="G970" s="58"/>
      <c r="H970" s="56"/>
      <c r="I970" s="61" t="str">
        <f aca="false">IF(IsPro,IF(OR($C970="",N($G970)=0),"",IF(OR($C970="Receipt",$C970="Other Income",$C970="Capital In",$C970="Transfer In"),$G970,0)),"")</f>
        <v/>
      </c>
      <c r="J970" s="61" t="str">
        <f aca="false">IF(IsPro,IF(OR($C970="",N($G970)=0),"",IF(I970=0,$G970,0)),"")</f>
        <v/>
      </c>
      <c r="K970" s="60" t="str">
        <f aca="false">IF(IsPro,IF($C970="","",IF(AND(OR($C970="Receipt",$C970="Payment"),$D970=""),"Party needed",IF(AND(OR($C970="Expense",$C970="Other Income"),$E970=""),"Head needed",IF($F970="","Account needed","OK")))),IF($C970="","","PRO PLAN"))</f>
        <v/>
      </c>
    </row>
    <row r="971" customFormat="false" ht="15" hidden="false" customHeight="false" outlineLevel="0" collapsed="false">
      <c r="A971" s="55"/>
      <c r="B971" s="56"/>
      <c r="C971" s="56"/>
      <c r="D971" s="56"/>
      <c r="E971" s="56"/>
      <c r="F971" s="56"/>
      <c r="G971" s="58"/>
      <c r="H971" s="56"/>
      <c r="I971" s="61" t="str">
        <f aca="false">IF(IsPro,IF(OR($C971="",N($G971)=0),"",IF(OR($C971="Receipt",$C971="Other Income",$C971="Capital In",$C971="Transfer In"),$G971,0)),"")</f>
        <v/>
      </c>
      <c r="J971" s="61" t="str">
        <f aca="false">IF(IsPro,IF(OR($C971="",N($G971)=0),"",IF(I971=0,$G971,0)),"")</f>
        <v/>
      </c>
      <c r="K971" s="60" t="str">
        <f aca="false">IF(IsPro,IF($C971="","",IF(AND(OR($C971="Receipt",$C971="Payment"),$D971=""),"Party needed",IF(AND(OR($C971="Expense",$C971="Other Income"),$E971=""),"Head needed",IF($F971="","Account needed","OK")))),IF($C971="","","PRO PLAN"))</f>
        <v/>
      </c>
    </row>
    <row r="972" customFormat="false" ht="15" hidden="false" customHeight="false" outlineLevel="0" collapsed="false">
      <c r="A972" s="55"/>
      <c r="B972" s="56"/>
      <c r="C972" s="56"/>
      <c r="D972" s="56"/>
      <c r="E972" s="56"/>
      <c r="F972" s="56"/>
      <c r="G972" s="58"/>
      <c r="H972" s="56"/>
      <c r="I972" s="61" t="str">
        <f aca="false">IF(IsPro,IF(OR($C972="",N($G972)=0),"",IF(OR($C972="Receipt",$C972="Other Income",$C972="Capital In",$C972="Transfer In"),$G972,0)),"")</f>
        <v/>
      </c>
      <c r="J972" s="61" t="str">
        <f aca="false">IF(IsPro,IF(OR($C972="",N($G972)=0),"",IF(I972=0,$G972,0)),"")</f>
        <v/>
      </c>
      <c r="K972" s="60" t="str">
        <f aca="false">IF(IsPro,IF($C972="","",IF(AND(OR($C972="Receipt",$C972="Payment"),$D972=""),"Party needed",IF(AND(OR($C972="Expense",$C972="Other Income"),$E972=""),"Head needed",IF($F972="","Account needed","OK")))),IF($C972="","","PRO PLAN"))</f>
        <v/>
      </c>
    </row>
    <row r="973" customFormat="false" ht="15" hidden="false" customHeight="false" outlineLevel="0" collapsed="false">
      <c r="A973" s="55"/>
      <c r="B973" s="56"/>
      <c r="C973" s="56"/>
      <c r="D973" s="56"/>
      <c r="E973" s="56"/>
      <c r="F973" s="56"/>
      <c r="G973" s="58"/>
      <c r="H973" s="56"/>
      <c r="I973" s="61" t="str">
        <f aca="false">IF(IsPro,IF(OR($C973="",N($G973)=0),"",IF(OR($C973="Receipt",$C973="Other Income",$C973="Capital In",$C973="Transfer In"),$G973,0)),"")</f>
        <v/>
      </c>
      <c r="J973" s="61" t="str">
        <f aca="false">IF(IsPro,IF(OR($C973="",N($G973)=0),"",IF(I973=0,$G973,0)),"")</f>
        <v/>
      </c>
      <c r="K973" s="60" t="str">
        <f aca="false">IF(IsPro,IF($C973="","",IF(AND(OR($C973="Receipt",$C973="Payment"),$D973=""),"Party needed",IF(AND(OR($C973="Expense",$C973="Other Income"),$E973=""),"Head needed",IF($F973="","Account needed","OK")))),IF($C973="","","PRO PLAN"))</f>
        <v/>
      </c>
    </row>
    <row r="974" customFormat="false" ht="15" hidden="false" customHeight="false" outlineLevel="0" collapsed="false">
      <c r="A974" s="55"/>
      <c r="B974" s="56"/>
      <c r="C974" s="56"/>
      <c r="D974" s="56"/>
      <c r="E974" s="56"/>
      <c r="F974" s="56"/>
      <c r="G974" s="58"/>
      <c r="H974" s="56"/>
      <c r="I974" s="61" t="str">
        <f aca="false">IF(IsPro,IF(OR($C974="",N($G974)=0),"",IF(OR($C974="Receipt",$C974="Other Income",$C974="Capital In",$C974="Transfer In"),$G974,0)),"")</f>
        <v/>
      </c>
      <c r="J974" s="61" t="str">
        <f aca="false">IF(IsPro,IF(OR($C974="",N($G974)=0),"",IF(I974=0,$G974,0)),"")</f>
        <v/>
      </c>
      <c r="K974" s="60" t="str">
        <f aca="false">IF(IsPro,IF($C974="","",IF(AND(OR($C974="Receipt",$C974="Payment"),$D974=""),"Party needed",IF(AND(OR($C974="Expense",$C974="Other Income"),$E974=""),"Head needed",IF($F974="","Account needed","OK")))),IF($C974="","","PRO PLAN"))</f>
        <v/>
      </c>
    </row>
    <row r="975" customFormat="false" ht="15" hidden="false" customHeight="false" outlineLevel="0" collapsed="false">
      <c r="A975" s="55"/>
      <c r="B975" s="56"/>
      <c r="C975" s="56"/>
      <c r="D975" s="56"/>
      <c r="E975" s="56"/>
      <c r="F975" s="56"/>
      <c r="G975" s="58"/>
      <c r="H975" s="56"/>
      <c r="I975" s="61" t="str">
        <f aca="false">IF(IsPro,IF(OR($C975="",N($G975)=0),"",IF(OR($C975="Receipt",$C975="Other Income",$C975="Capital In",$C975="Transfer In"),$G975,0)),"")</f>
        <v/>
      </c>
      <c r="J975" s="61" t="str">
        <f aca="false">IF(IsPro,IF(OR($C975="",N($G975)=0),"",IF(I975=0,$G975,0)),"")</f>
        <v/>
      </c>
      <c r="K975" s="60" t="str">
        <f aca="false">IF(IsPro,IF($C975="","",IF(AND(OR($C975="Receipt",$C975="Payment"),$D975=""),"Party needed",IF(AND(OR($C975="Expense",$C975="Other Income"),$E975=""),"Head needed",IF($F975="","Account needed","OK")))),IF($C975="","","PRO PLAN"))</f>
        <v/>
      </c>
    </row>
    <row r="976" customFormat="false" ht="15" hidden="false" customHeight="false" outlineLevel="0" collapsed="false">
      <c r="A976" s="55"/>
      <c r="B976" s="56"/>
      <c r="C976" s="56"/>
      <c r="D976" s="56"/>
      <c r="E976" s="56"/>
      <c r="F976" s="56"/>
      <c r="G976" s="58"/>
      <c r="H976" s="56"/>
      <c r="I976" s="61" t="str">
        <f aca="false">IF(IsPro,IF(OR($C976="",N($G976)=0),"",IF(OR($C976="Receipt",$C976="Other Income",$C976="Capital In",$C976="Transfer In"),$G976,0)),"")</f>
        <v/>
      </c>
      <c r="J976" s="61" t="str">
        <f aca="false">IF(IsPro,IF(OR($C976="",N($G976)=0),"",IF(I976=0,$G976,0)),"")</f>
        <v/>
      </c>
      <c r="K976" s="60" t="str">
        <f aca="false">IF(IsPro,IF($C976="","",IF(AND(OR($C976="Receipt",$C976="Payment"),$D976=""),"Party needed",IF(AND(OR($C976="Expense",$C976="Other Income"),$E976=""),"Head needed",IF($F976="","Account needed","OK")))),IF($C976="","","PRO PLAN"))</f>
        <v/>
      </c>
    </row>
    <row r="977" customFormat="false" ht="15" hidden="false" customHeight="false" outlineLevel="0" collapsed="false">
      <c r="A977" s="55"/>
      <c r="B977" s="56"/>
      <c r="C977" s="56"/>
      <c r="D977" s="56"/>
      <c r="E977" s="56"/>
      <c r="F977" s="56"/>
      <c r="G977" s="58"/>
      <c r="H977" s="56"/>
      <c r="I977" s="61" t="str">
        <f aca="false">IF(IsPro,IF(OR($C977="",N($G977)=0),"",IF(OR($C977="Receipt",$C977="Other Income",$C977="Capital In",$C977="Transfer In"),$G977,0)),"")</f>
        <v/>
      </c>
      <c r="J977" s="61" t="str">
        <f aca="false">IF(IsPro,IF(OR($C977="",N($G977)=0),"",IF(I977=0,$G977,0)),"")</f>
        <v/>
      </c>
      <c r="K977" s="60" t="str">
        <f aca="false">IF(IsPro,IF($C977="","",IF(AND(OR($C977="Receipt",$C977="Payment"),$D977=""),"Party needed",IF(AND(OR($C977="Expense",$C977="Other Income"),$E977=""),"Head needed",IF($F977="","Account needed","OK")))),IF($C977="","","PRO PLAN"))</f>
        <v/>
      </c>
    </row>
    <row r="978" customFormat="false" ht="15" hidden="false" customHeight="false" outlineLevel="0" collapsed="false">
      <c r="A978" s="55"/>
      <c r="B978" s="56"/>
      <c r="C978" s="56"/>
      <c r="D978" s="56"/>
      <c r="E978" s="56"/>
      <c r="F978" s="56"/>
      <c r="G978" s="58"/>
      <c r="H978" s="56"/>
      <c r="I978" s="61" t="str">
        <f aca="false">IF(IsPro,IF(OR($C978="",N($G978)=0),"",IF(OR($C978="Receipt",$C978="Other Income",$C978="Capital In",$C978="Transfer In"),$G978,0)),"")</f>
        <v/>
      </c>
      <c r="J978" s="61" t="str">
        <f aca="false">IF(IsPro,IF(OR($C978="",N($G978)=0),"",IF(I978=0,$G978,0)),"")</f>
        <v/>
      </c>
      <c r="K978" s="60" t="str">
        <f aca="false">IF(IsPro,IF($C978="","",IF(AND(OR($C978="Receipt",$C978="Payment"),$D978=""),"Party needed",IF(AND(OR($C978="Expense",$C978="Other Income"),$E978=""),"Head needed",IF($F978="","Account needed","OK")))),IF($C978="","","PRO PLAN"))</f>
        <v/>
      </c>
    </row>
    <row r="979" customFormat="false" ht="15" hidden="false" customHeight="false" outlineLevel="0" collapsed="false">
      <c r="A979" s="55"/>
      <c r="B979" s="56"/>
      <c r="C979" s="56"/>
      <c r="D979" s="56"/>
      <c r="E979" s="56"/>
      <c r="F979" s="56"/>
      <c r="G979" s="58"/>
      <c r="H979" s="56"/>
      <c r="I979" s="61" t="str">
        <f aca="false">IF(IsPro,IF(OR($C979="",N($G979)=0),"",IF(OR($C979="Receipt",$C979="Other Income",$C979="Capital In",$C979="Transfer In"),$G979,0)),"")</f>
        <v/>
      </c>
      <c r="J979" s="61" t="str">
        <f aca="false">IF(IsPro,IF(OR($C979="",N($G979)=0),"",IF(I979=0,$G979,0)),"")</f>
        <v/>
      </c>
      <c r="K979" s="60" t="str">
        <f aca="false">IF(IsPro,IF($C979="","",IF(AND(OR($C979="Receipt",$C979="Payment"),$D979=""),"Party needed",IF(AND(OR($C979="Expense",$C979="Other Income"),$E979=""),"Head needed",IF($F979="","Account needed","OK")))),IF($C979="","","PRO PLAN"))</f>
        <v/>
      </c>
    </row>
    <row r="980" customFormat="false" ht="15" hidden="false" customHeight="false" outlineLevel="0" collapsed="false">
      <c r="A980" s="55"/>
      <c r="B980" s="56"/>
      <c r="C980" s="56"/>
      <c r="D980" s="56"/>
      <c r="E980" s="56"/>
      <c r="F980" s="56"/>
      <c r="G980" s="58"/>
      <c r="H980" s="56"/>
      <c r="I980" s="61" t="str">
        <f aca="false">IF(IsPro,IF(OR($C980="",N($G980)=0),"",IF(OR($C980="Receipt",$C980="Other Income",$C980="Capital In",$C980="Transfer In"),$G980,0)),"")</f>
        <v/>
      </c>
      <c r="J980" s="61" t="str">
        <f aca="false">IF(IsPro,IF(OR($C980="",N($G980)=0),"",IF(I980=0,$G980,0)),"")</f>
        <v/>
      </c>
      <c r="K980" s="60" t="str">
        <f aca="false">IF(IsPro,IF($C980="","",IF(AND(OR($C980="Receipt",$C980="Payment"),$D980=""),"Party needed",IF(AND(OR($C980="Expense",$C980="Other Income"),$E980=""),"Head needed",IF($F980="","Account needed","OK")))),IF($C980="","","PRO PLAN"))</f>
        <v/>
      </c>
    </row>
    <row r="981" customFormat="false" ht="15" hidden="false" customHeight="false" outlineLevel="0" collapsed="false">
      <c r="A981" s="55"/>
      <c r="B981" s="56"/>
      <c r="C981" s="56"/>
      <c r="D981" s="56"/>
      <c r="E981" s="56"/>
      <c r="F981" s="56"/>
      <c r="G981" s="58"/>
      <c r="H981" s="56"/>
      <c r="I981" s="61" t="str">
        <f aca="false">IF(IsPro,IF(OR($C981="",N($G981)=0),"",IF(OR($C981="Receipt",$C981="Other Income",$C981="Capital In",$C981="Transfer In"),$G981,0)),"")</f>
        <v/>
      </c>
      <c r="J981" s="61" t="str">
        <f aca="false">IF(IsPro,IF(OR($C981="",N($G981)=0),"",IF(I981=0,$G981,0)),"")</f>
        <v/>
      </c>
      <c r="K981" s="60" t="str">
        <f aca="false">IF(IsPro,IF($C981="","",IF(AND(OR($C981="Receipt",$C981="Payment"),$D981=""),"Party needed",IF(AND(OR($C981="Expense",$C981="Other Income"),$E981=""),"Head needed",IF($F981="","Account needed","OK")))),IF($C981="","","PRO PLAN"))</f>
        <v/>
      </c>
    </row>
    <row r="982" customFormat="false" ht="15" hidden="false" customHeight="false" outlineLevel="0" collapsed="false">
      <c r="A982" s="55"/>
      <c r="B982" s="56"/>
      <c r="C982" s="56"/>
      <c r="D982" s="56"/>
      <c r="E982" s="56"/>
      <c r="F982" s="56"/>
      <c r="G982" s="58"/>
      <c r="H982" s="56"/>
      <c r="I982" s="61" t="str">
        <f aca="false">IF(IsPro,IF(OR($C982="",N($G982)=0),"",IF(OR($C982="Receipt",$C982="Other Income",$C982="Capital In",$C982="Transfer In"),$G982,0)),"")</f>
        <v/>
      </c>
      <c r="J982" s="61" t="str">
        <f aca="false">IF(IsPro,IF(OR($C982="",N($G982)=0),"",IF(I982=0,$G982,0)),"")</f>
        <v/>
      </c>
      <c r="K982" s="60" t="str">
        <f aca="false">IF(IsPro,IF($C982="","",IF(AND(OR($C982="Receipt",$C982="Payment"),$D982=""),"Party needed",IF(AND(OR($C982="Expense",$C982="Other Income"),$E982=""),"Head needed",IF($F982="","Account needed","OK")))),IF($C982="","","PRO PLAN"))</f>
        <v/>
      </c>
    </row>
    <row r="983" customFormat="false" ht="15" hidden="false" customHeight="false" outlineLevel="0" collapsed="false">
      <c r="A983" s="55"/>
      <c r="B983" s="56"/>
      <c r="C983" s="56"/>
      <c r="D983" s="56"/>
      <c r="E983" s="56"/>
      <c r="F983" s="56"/>
      <c r="G983" s="58"/>
      <c r="H983" s="56"/>
      <c r="I983" s="61" t="str">
        <f aca="false">IF(IsPro,IF(OR($C983="",N($G983)=0),"",IF(OR($C983="Receipt",$C983="Other Income",$C983="Capital In",$C983="Transfer In"),$G983,0)),"")</f>
        <v/>
      </c>
      <c r="J983" s="61" t="str">
        <f aca="false">IF(IsPro,IF(OR($C983="",N($G983)=0),"",IF(I983=0,$G983,0)),"")</f>
        <v/>
      </c>
      <c r="K983" s="60" t="str">
        <f aca="false">IF(IsPro,IF($C983="","",IF(AND(OR($C983="Receipt",$C983="Payment"),$D983=""),"Party needed",IF(AND(OR($C983="Expense",$C983="Other Income"),$E983=""),"Head needed",IF($F983="","Account needed","OK")))),IF($C983="","","PRO PLAN"))</f>
        <v/>
      </c>
    </row>
    <row r="984" customFormat="false" ht="15" hidden="false" customHeight="false" outlineLevel="0" collapsed="false">
      <c r="A984" s="55"/>
      <c r="B984" s="56"/>
      <c r="C984" s="56"/>
      <c r="D984" s="56"/>
      <c r="E984" s="56"/>
      <c r="F984" s="56"/>
      <c r="G984" s="58"/>
      <c r="H984" s="56"/>
      <c r="I984" s="61" t="str">
        <f aca="false">IF(IsPro,IF(OR($C984="",N($G984)=0),"",IF(OR($C984="Receipt",$C984="Other Income",$C984="Capital In",$C984="Transfer In"),$G984,0)),"")</f>
        <v/>
      </c>
      <c r="J984" s="61" t="str">
        <f aca="false">IF(IsPro,IF(OR($C984="",N($G984)=0),"",IF(I984=0,$G984,0)),"")</f>
        <v/>
      </c>
      <c r="K984" s="60" t="str">
        <f aca="false">IF(IsPro,IF($C984="","",IF(AND(OR($C984="Receipt",$C984="Payment"),$D984=""),"Party needed",IF(AND(OR($C984="Expense",$C984="Other Income"),$E984=""),"Head needed",IF($F984="","Account needed","OK")))),IF($C984="","","PRO PLAN"))</f>
        <v/>
      </c>
    </row>
    <row r="985" customFormat="false" ht="15" hidden="false" customHeight="false" outlineLevel="0" collapsed="false">
      <c r="A985" s="55"/>
      <c r="B985" s="56"/>
      <c r="C985" s="56"/>
      <c r="D985" s="56"/>
      <c r="E985" s="56"/>
      <c r="F985" s="56"/>
      <c r="G985" s="58"/>
      <c r="H985" s="56"/>
      <c r="I985" s="61" t="str">
        <f aca="false">IF(IsPro,IF(OR($C985="",N($G985)=0),"",IF(OR($C985="Receipt",$C985="Other Income",$C985="Capital In",$C985="Transfer In"),$G985,0)),"")</f>
        <v/>
      </c>
      <c r="J985" s="61" t="str">
        <f aca="false">IF(IsPro,IF(OR($C985="",N($G985)=0),"",IF(I985=0,$G985,0)),"")</f>
        <v/>
      </c>
      <c r="K985" s="60" t="str">
        <f aca="false">IF(IsPro,IF($C985="","",IF(AND(OR($C985="Receipt",$C985="Payment"),$D985=""),"Party needed",IF(AND(OR($C985="Expense",$C985="Other Income"),$E985=""),"Head needed",IF($F985="","Account needed","OK")))),IF($C985="","","PRO PLAN"))</f>
        <v/>
      </c>
    </row>
    <row r="986" customFormat="false" ht="15" hidden="false" customHeight="false" outlineLevel="0" collapsed="false">
      <c r="A986" s="55"/>
      <c r="B986" s="56"/>
      <c r="C986" s="56"/>
      <c r="D986" s="56"/>
      <c r="E986" s="56"/>
      <c r="F986" s="56"/>
      <c r="G986" s="58"/>
      <c r="H986" s="56"/>
      <c r="I986" s="61" t="str">
        <f aca="false">IF(IsPro,IF(OR($C986="",N($G986)=0),"",IF(OR($C986="Receipt",$C986="Other Income",$C986="Capital In",$C986="Transfer In"),$G986,0)),"")</f>
        <v/>
      </c>
      <c r="J986" s="61" t="str">
        <f aca="false">IF(IsPro,IF(OR($C986="",N($G986)=0),"",IF(I986=0,$G986,0)),"")</f>
        <v/>
      </c>
      <c r="K986" s="60" t="str">
        <f aca="false">IF(IsPro,IF($C986="","",IF(AND(OR($C986="Receipt",$C986="Payment"),$D986=""),"Party needed",IF(AND(OR($C986="Expense",$C986="Other Income"),$E986=""),"Head needed",IF($F986="","Account needed","OK")))),IF($C986="","","PRO PLAN"))</f>
        <v/>
      </c>
    </row>
    <row r="987" customFormat="false" ht="15" hidden="false" customHeight="false" outlineLevel="0" collapsed="false">
      <c r="A987" s="55"/>
      <c r="B987" s="56"/>
      <c r="C987" s="56"/>
      <c r="D987" s="56"/>
      <c r="E987" s="56"/>
      <c r="F987" s="56"/>
      <c r="G987" s="58"/>
      <c r="H987" s="56"/>
      <c r="I987" s="61" t="str">
        <f aca="false">IF(IsPro,IF(OR($C987="",N($G987)=0),"",IF(OR($C987="Receipt",$C987="Other Income",$C987="Capital In",$C987="Transfer In"),$G987,0)),"")</f>
        <v/>
      </c>
      <c r="J987" s="61" t="str">
        <f aca="false">IF(IsPro,IF(OR($C987="",N($G987)=0),"",IF(I987=0,$G987,0)),"")</f>
        <v/>
      </c>
      <c r="K987" s="60" t="str">
        <f aca="false">IF(IsPro,IF($C987="","",IF(AND(OR($C987="Receipt",$C987="Payment"),$D987=""),"Party needed",IF(AND(OR($C987="Expense",$C987="Other Income"),$E987=""),"Head needed",IF($F987="","Account needed","OK")))),IF($C987="","","PRO PLAN"))</f>
        <v/>
      </c>
    </row>
    <row r="988" customFormat="false" ht="15" hidden="false" customHeight="false" outlineLevel="0" collapsed="false">
      <c r="A988" s="55"/>
      <c r="B988" s="56"/>
      <c r="C988" s="56"/>
      <c r="D988" s="56"/>
      <c r="E988" s="56"/>
      <c r="F988" s="56"/>
      <c r="G988" s="58"/>
      <c r="H988" s="56"/>
      <c r="I988" s="61" t="str">
        <f aca="false">IF(IsPro,IF(OR($C988="",N($G988)=0),"",IF(OR($C988="Receipt",$C988="Other Income",$C988="Capital In",$C988="Transfer In"),$G988,0)),"")</f>
        <v/>
      </c>
      <c r="J988" s="61" t="str">
        <f aca="false">IF(IsPro,IF(OR($C988="",N($G988)=0),"",IF(I988=0,$G988,0)),"")</f>
        <v/>
      </c>
      <c r="K988" s="60" t="str">
        <f aca="false">IF(IsPro,IF($C988="","",IF(AND(OR($C988="Receipt",$C988="Payment"),$D988=""),"Party needed",IF(AND(OR($C988="Expense",$C988="Other Income"),$E988=""),"Head needed",IF($F988="","Account needed","OK")))),IF($C988="","","PRO PLAN"))</f>
        <v/>
      </c>
    </row>
    <row r="989" customFormat="false" ht="15" hidden="false" customHeight="false" outlineLevel="0" collapsed="false">
      <c r="A989" s="55"/>
      <c r="B989" s="56"/>
      <c r="C989" s="56"/>
      <c r="D989" s="56"/>
      <c r="E989" s="56"/>
      <c r="F989" s="56"/>
      <c r="G989" s="58"/>
      <c r="H989" s="56"/>
      <c r="I989" s="61" t="str">
        <f aca="false">IF(IsPro,IF(OR($C989="",N($G989)=0),"",IF(OR($C989="Receipt",$C989="Other Income",$C989="Capital In",$C989="Transfer In"),$G989,0)),"")</f>
        <v/>
      </c>
      <c r="J989" s="61" t="str">
        <f aca="false">IF(IsPro,IF(OR($C989="",N($G989)=0),"",IF(I989=0,$G989,0)),"")</f>
        <v/>
      </c>
      <c r="K989" s="60" t="str">
        <f aca="false">IF(IsPro,IF($C989="","",IF(AND(OR($C989="Receipt",$C989="Payment"),$D989=""),"Party needed",IF(AND(OR($C989="Expense",$C989="Other Income"),$E989=""),"Head needed",IF($F989="","Account needed","OK")))),IF($C989="","","PRO PLAN"))</f>
        <v/>
      </c>
    </row>
    <row r="990" customFormat="false" ht="15" hidden="false" customHeight="false" outlineLevel="0" collapsed="false">
      <c r="A990" s="55"/>
      <c r="B990" s="56"/>
      <c r="C990" s="56"/>
      <c r="D990" s="56"/>
      <c r="E990" s="56"/>
      <c r="F990" s="56"/>
      <c r="G990" s="58"/>
      <c r="H990" s="56"/>
      <c r="I990" s="61" t="str">
        <f aca="false">IF(IsPro,IF(OR($C990="",N($G990)=0),"",IF(OR($C990="Receipt",$C990="Other Income",$C990="Capital In",$C990="Transfer In"),$G990,0)),"")</f>
        <v/>
      </c>
      <c r="J990" s="61" t="str">
        <f aca="false">IF(IsPro,IF(OR($C990="",N($G990)=0),"",IF(I990=0,$G990,0)),"")</f>
        <v/>
      </c>
      <c r="K990" s="60" t="str">
        <f aca="false">IF(IsPro,IF($C990="","",IF(AND(OR($C990="Receipt",$C990="Payment"),$D990=""),"Party needed",IF(AND(OR($C990="Expense",$C990="Other Income"),$E990=""),"Head needed",IF($F990="","Account needed","OK")))),IF($C990="","","PRO PLAN"))</f>
        <v/>
      </c>
    </row>
    <row r="991" customFormat="false" ht="15" hidden="false" customHeight="false" outlineLevel="0" collapsed="false">
      <c r="A991" s="55"/>
      <c r="B991" s="56"/>
      <c r="C991" s="56"/>
      <c r="D991" s="56"/>
      <c r="E991" s="56"/>
      <c r="F991" s="56"/>
      <c r="G991" s="58"/>
      <c r="H991" s="56"/>
      <c r="I991" s="61" t="str">
        <f aca="false">IF(IsPro,IF(OR($C991="",N($G991)=0),"",IF(OR($C991="Receipt",$C991="Other Income",$C991="Capital In",$C991="Transfer In"),$G991,0)),"")</f>
        <v/>
      </c>
      <c r="J991" s="61" t="str">
        <f aca="false">IF(IsPro,IF(OR($C991="",N($G991)=0),"",IF(I991=0,$G991,0)),"")</f>
        <v/>
      </c>
      <c r="K991" s="60" t="str">
        <f aca="false">IF(IsPro,IF($C991="","",IF(AND(OR($C991="Receipt",$C991="Payment"),$D991=""),"Party needed",IF(AND(OR($C991="Expense",$C991="Other Income"),$E991=""),"Head needed",IF($F991="","Account needed","OK")))),IF($C991="","","PRO PLAN"))</f>
        <v/>
      </c>
    </row>
    <row r="992" customFormat="false" ht="15" hidden="false" customHeight="false" outlineLevel="0" collapsed="false">
      <c r="A992" s="55"/>
      <c r="B992" s="56"/>
      <c r="C992" s="56"/>
      <c r="D992" s="56"/>
      <c r="E992" s="56"/>
      <c r="F992" s="56"/>
      <c r="G992" s="58"/>
      <c r="H992" s="56"/>
      <c r="I992" s="61" t="str">
        <f aca="false">IF(IsPro,IF(OR($C992="",N($G992)=0),"",IF(OR($C992="Receipt",$C992="Other Income",$C992="Capital In",$C992="Transfer In"),$G992,0)),"")</f>
        <v/>
      </c>
      <c r="J992" s="61" t="str">
        <f aca="false">IF(IsPro,IF(OR($C992="",N($G992)=0),"",IF(I992=0,$G992,0)),"")</f>
        <v/>
      </c>
      <c r="K992" s="60" t="str">
        <f aca="false">IF(IsPro,IF($C992="","",IF(AND(OR($C992="Receipt",$C992="Payment"),$D992=""),"Party needed",IF(AND(OR($C992="Expense",$C992="Other Income"),$E992=""),"Head needed",IF($F992="","Account needed","OK")))),IF($C992="","","PRO PLAN"))</f>
        <v/>
      </c>
    </row>
    <row r="993" customFormat="false" ht="15" hidden="false" customHeight="false" outlineLevel="0" collapsed="false">
      <c r="A993" s="55"/>
      <c r="B993" s="56"/>
      <c r="C993" s="56"/>
      <c r="D993" s="56"/>
      <c r="E993" s="56"/>
      <c r="F993" s="56"/>
      <c r="G993" s="58"/>
      <c r="H993" s="56"/>
      <c r="I993" s="61" t="str">
        <f aca="false">IF(IsPro,IF(OR($C993="",N($G993)=0),"",IF(OR($C993="Receipt",$C993="Other Income",$C993="Capital In",$C993="Transfer In"),$G993,0)),"")</f>
        <v/>
      </c>
      <c r="J993" s="61" t="str">
        <f aca="false">IF(IsPro,IF(OR($C993="",N($G993)=0),"",IF(I993=0,$G993,0)),"")</f>
        <v/>
      </c>
      <c r="K993" s="60" t="str">
        <f aca="false">IF(IsPro,IF($C993="","",IF(AND(OR($C993="Receipt",$C993="Payment"),$D993=""),"Party needed",IF(AND(OR($C993="Expense",$C993="Other Income"),$E993=""),"Head needed",IF($F993="","Account needed","OK")))),IF($C993="","","PRO PLAN"))</f>
        <v/>
      </c>
    </row>
    <row r="994" customFormat="false" ht="15" hidden="false" customHeight="false" outlineLevel="0" collapsed="false">
      <c r="A994" s="55"/>
      <c r="B994" s="56"/>
      <c r="C994" s="56"/>
      <c r="D994" s="56"/>
      <c r="E994" s="56"/>
      <c r="F994" s="56"/>
      <c r="G994" s="58"/>
      <c r="H994" s="56"/>
      <c r="I994" s="61" t="str">
        <f aca="false">IF(IsPro,IF(OR($C994="",N($G994)=0),"",IF(OR($C994="Receipt",$C994="Other Income",$C994="Capital In",$C994="Transfer In"),$G994,0)),"")</f>
        <v/>
      </c>
      <c r="J994" s="61" t="str">
        <f aca="false">IF(IsPro,IF(OR($C994="",N($G994)=0),"",IF(I994=0,$G994,0)),"")</f>
        <v/>
      </c>
      <c r="K994" s="60" t="str">
        <f aca="false">IF(IsPro,IF($C994="","",IF(AND(OR($C994="Receipt",$C994="Payment"),$D994=""),"Party needed",IF(AND(OR($C994="Expense",$C994="Other Income"),$E994=""),"Head needed",IF($F994="","Account needed","OK")))),IF($C994="","","PRO PLAN"))</f>
        <v/>
      </c>
    </row>
    <row r="995" customFormat="false" ht="15" hidden="false" customHeight="false" outlineLevel="0" collapsed="false">
      <c r="A995" s="55"/>
      <c r="B995" s="56"/>
      <c r="C995" s="56"/>
      <c r="D995" s="56"/>
      <c r="E995" s="56"/>
      <c r="F995" s="56"/>
      <c r="G995" s="58"/>
      <c r="H995" s="56"/>
      <c r="I995" s="61" t="str">
        <f aca="false">IF(IsPro,IF(OR($C995="",N($G995)=0),"",IF(OR($C995="Receipt",$C995="Other Income",$C995="Capital In",$C995="Transfer In"),$G995,0)),"")</f>
        <v/>
      </c>
      <c r="J995" s="61" t="str">
        <f aca="false">IF(IsPro,IF(OR($C995="",N($G995)=0),"",IF(I995=0,$G995,0)),"")</f>
        <v/>
      </c>
      <c r="K995" s="60" t="str">
        <f aca="false">IF(IsPro,IF($C995="","",IF(AND(OR($C995="Receipt",$C995="Payment"),$D995=""),"Party needed",IF(AND(OR($C995="Expense",$C995="Other Income"),$E995=""),"Head needed",IF($F995="","Account needed","OK")))),IF($C995="","","PRO PLAN"))</f>
        <v/>
      </c>
    </row>
    <row r="996" customFormat="false" ht="15" hidden="false" customHeight="false" outlineLevel="0" collapsed="false">
      <c r="A996" s="55"/>
      <c r="B996" s="56"/>
      <c r="C996" s="56"/>
      <c r="D996" s="56"/>
      <c r="E996" s="56"/>
      <c r="F996" s="56"/>
      <c r="G996" s="58"/>
      <c r="H996" s="56"/>
      <c r="I996" s="61" t="str">
        <f aca="false">IF(IsPro,IF(OR($C996="",N($G996)=0),"",IF(OR($C996="Receipt",$C996="Other Income",$C996="Capital In",$C996="Transfer In"),$G996,0)),"")</f>
        <v/>
      </c>
      <c r="J996" s="61" t="str">
        <f aca="false">IF(IsPro,IF(OR($C996="",N($G996)=0),"",IF(I996=0,$G996,0)),"")</f>
        <v/>
      </c>
      <c r="K996" s="60" t="str">
        <f aca="false">IF(IsPro,IF($C996="","",IF(AND(OR($C996="Receipt",$C996="Payment"),$D996=""),"Party needed",IF(AND(OR($C996="Expense",$C996="Other Income"),$E996=""),"Head needed",IF($F996="","Account needed","OK")))),IF($C996="","","PRO PLAN"))</f>
        <v/>
      </c>
    </row>
    <row r="997" customFormat="false" ht="15" hidden="false" customHeight="false" outlineLevel="0" collapsed="false">
      <c r="A997" s="55"/>
      <c r="B997" s="56"/>
      <c r="C997" s="56"/>
      <c r="D997" s="56"/>
      <c r="E997" s="56"/>
      <c r="F997" s="56"/>
      <c r="G997" s="58"/>
      <c r="H997" s="56"/>
      <c r="I997" s="61" t="str">
        <f aca="false">IF(IsPro,IF(OR($C997="",N($G997)=0),"",IF(OR($C997="Receipt",$C997="Other Income",$C997="Capital In",$C997="Transfer In"),$G997,0)),"")</f>
        <v/>
      </c>
      <c r="J997" s="61" t="str">
        <f aca="false">IF(IsPro,IF(OR($C997="",N($G997)=0),"",IF(I997=0,$G997,0)),"")</f>
        <v/>
      </c>
      <c r="K997" s="60" t="str">
        <f aca="false">IF(IsPro,IF($C997="","",IF(AND(OR($C997="Receipt",$C997="Payment"),$D997=""),"Party needed",IF(AND(OR($C997="Expense",$C997="Other Income"),$E997=""),"Head needed",IF($F997="","Account needed","OK")))),IF($C997="","","PRO PLAN"))</f>
        <v/>
      </c>
    </row>
    <row r="998" customFormat="false" ht="15" hidden="false" customHeight="false" outlineLevel="0" collapsed="false">
      <c r="A998" s="55"/>
      <c r="B998" s="56"/>
      <c r="C998" s="56"/>
      <c r="D998" s="56"/>
      <c r="E998" s="56"/>
      <c r="F998" s="56"/>
      <c r="G998" s="58"/>
      <c r="H998" s="56"/>
      <c r="I998" s="61" t="str">
        <f aca="false">IF(IsPro,IF(OR($C998="",N($G998)=0),"",IF(OR($C998="Receipt",$C998="Other Income",$C998="Capital In",$C998="Transfer In"),$G998,0)),"")</f>
        <v/>
      </c>
      <c r="J998" s="61" t="str">
        <f aca="false">IF(IsPro,IF(OR($C998="",N($G998)=0),"",IF(I998=0,$G998,0)),"")</f>
        <v/>
      </c>
      <c r="K998" s="60" t="str">
        <f aca="false">IF(IsPro,IF($C998="","",IF(AND(OR($C998="Receipt",$C998="Payment"),$D998=""),"Party needed",IF(AND(OR($C998="Expense",$C998="Other Income"),$E998=""),"Head needed",IF($F998="","Account needed","OK")))),IF($C998="","","PRO PLAN"))</f>
        <v/>
      </c>
    </row>
    <row r="999" customFormat="false" ht="15" hidden="false" customHeight="false" outlineLevel="0" collapsed="false">
      <c r="A999" s="55"/>
      <c r="B999" s="56"/>
      <c r="C999" s="56"/>
      <c r="D999" s="56"/>
      <c r="E999" s="56"/>
      <c r="F999" s="56"/>
      <c r="G999" s="58"/>
      <c r="H999" s="56"/>
      <c r="I999" s="61" t="str">
        <f aca="false">IF(IsPro,IF(OR($C999="",N($G999)=0),"",IF(OR($C999="Receipt",$C999="Other Income",$C999="Capital In",$C999="Transfer In"),$G999,0)),"")</f>
        <v/>
      </c>
      <c r="J999" s="61" t="str">
        <f aca="false">IF(IsPro,IF(OR($C999="",N($G999)=0),"",IF(I999=0,$G999,0)),"")</f>
        <v/>
      </c>
      <c r="K999" s="60" t="str">
        <f aca="false">IF(IsPro,IF($C999="","",IF(AND(OR($C999="Receipt",$C999="Payment"),$D999=""),"Party needed",IF(AND(OR($C999="Expense",$C999="Other Income"),$E999=""),"Head needed",IF($F999="","Account needed","OK")))),IF($C999="","","PRO PLAN"))</f>
        <v/>
      </c>
    </row>
    <row r="1000" customFormat="false" ht="15" hidden="false" customHeight="false" outlineLevel="0" collapsed="false">
      <c r="A1000" s="55"/>
      <c r="B1000" s="56"/>
      <c r="C1000" s="56"/>
      <c r="D1000" s="56"/>
      <c r="E1000" s="56"/>
      <c r="F1000" s="56"/>
      <c r="G1000" s="58"/>
      <c r="H1000" s="56"/>
      <c r="I1000" s="61" t="str">
        <f aca="false">IF(IsPro,IF(OR($C1000="",N($G1000)=0),"",IF(OR($C1000="Receipt",$C1000="Other Income",$C1000="Capital In",$C1000="Transfer In"),$G1000,0)),"")</f>
        <v/>
      </c>
      <c r="J1000" s="61" t="str">
        <f aca="false">IF(IsPro,IF(OR($C1000="",N($G1000)=0),"",IF(I1000=0,$G1000,0)),"")</f>
        <v/>
      </c>
      <c r="K1000" s="60" t="str">
        <f aca="false">IF(IsPro,IF($C1000="","",IF(AND(OR($C1000="Receipt",$C1000="Payment"),$D1000=""),"Party needed",IF(AND(OR($C1000="Expense",$C1000="Other Income"),$E1000=""),"Head needed",IF($F1000="","Account needed","OK")))),IF($C1000="","","PRO PLAN"))</f>
        <v/>
      </c>
    </row>
    <row r="1001" customFormat="false" ht="15" hidden="false" customHeight="false" outlineLevel="0" collapsed="false">
      <c r="A1001" s="55"/>
      <c r="B1001" s="56"/>
      <c r="C1001" s="56"/>
      <c r="D1001" s="56"/>
      <c r="E1001" s="56"/>
      <c r="F1001" s="56"/>
      <c r="G1001" s="58"/>
      <c r="H1001" s="56"/>
      <c r="I1001" s="61" t="str">
        <f aca="false">IF(IsPro,IF(OR($C1001="",N($G1001)=0),"",IF(OR($C1001="Receipt",$C1001="Other Income",$C1001="Capital In",$C1001="Transfer In"),$G1001,0)),"")</f>
        <v/>
      </c>
      <c r="J1001" s="61" t="str">
        <f aca="false">IF(IsPro,IF(OR($C1001="",N($G1001)=0),"",IF(I1001=0,$G1001,0)),"")</f>
        <v/>
      </c>
      <c r="K1001" s="60" t="str">
        <f aca="false">IF(IsPro,IF($C1001="","",IF(AND(OR($C1001="Receipt",$C1001="Payment"),$D1001=""),"Party needed",IF(AND(OR($C1001="Expense",$C1001="Other Income"),$E1001=""),"Head needed",IF($F1001="","Account needed","OK")))),IF($C1001="","","PRO PLAN"))</f>
        <v/>
      </c>
    </row>
    <row r="1002" customFormat="false" ht="15" hidden="false" customHeight="false" outlineLevel="0" collapsed="false">
      <c r="A1002" s="55"/>
      <c r="B1002" s="56"/>
      <c r="C1002" s="56"/>
      <c r="D1002" s="56"/>
      <c r="E1002" s="56"/>
      <c r="F1002" s="56"/>
      <c r="G1002" s="58"/>
      <c r="H1002" s="56"/>
      <c r="I1002" s="61" t="str">
        <f aca="false">IF(IsPro,IF(OR($C1002="",N($G1002)=0),"",IF(OR($C1002="Receipt",$C1002="Other Income",$C1002="Capital In",$C1002="Transfer In"),$G1002,0)),"")</f>
        <v/>
      </c>
      <c r="J1002" s="61" t="str">
        <f aca="false">IF(IsPro,IF(OR($C1002="",N($G1002)=0),"",IF(I1002=0,$G1002,0)),"")</f>
        <v/>
      </c>
      <c r="K1002" s="60" t="str">
        <f aca="false">IF(IsPro,IF($C1002="","",IF(AND(OR($C1002="Receipt",$C1002="Payment"),$D1002=""),"Party needed",IF(AND(OR($C1002="Expense",$C1002="Other Income"),$E1002=""),"Head needed",IF($F1002="","Account needed","OK")))),IF($C1002="","","PRO PLAN"))</f>
        <v/>
      </c>
    </row>
    <row r="1003" customFormat="false" ht="15" hidden="false" customHeight="false" outlineLevel="0" collapsed="false">
      <c r="A1003" s="55"/>
      <c r="B1003" s="56"/>
      <c r="C1003" s="56"/>
      <c r="D1003" s="56"/>
      <c r="E1003" s="56"/>
      <c r="F1003" s="56"/>
      <c r="G1003" s="58"/>
      <c r="H1003" s="56"/>
      <c r="I1003" s="61" t="str">
        <f aca="false">IF(IsPro,IF(OR($C1003="",N($G1003)=0),"",IF(OR($C1003="Receipt",$C1003="Other Income",$C1003="Capital In",$C1003="Transfer In"),$G1003,0)),"")</f>
        <v/>
      </c>
      <c r="J1003" s="61" t="str">
        <f aca="false">IF(IsPro,IF(OR($C1003="",N($G1003)=0),"",IF(I1003=0,$G1003,0)),"")</f>
        <v/>
      </c>
      <c r="K1003" s="60" t="str">
        <f aca="false">IF(IsPro,IF($C1003="","",IF(AND(OR($C1003="Receipt",$C1003="Payment"),$D1003=""),"Party needed",IF(AND(OR($C1003="Expense",$C1003="Other Income"),$E1003=""),"Head needed",IF($F1003="","Account needed","OK")))),IF($C1003="","","PRO PLAN"))</f>
        <v/>
      </c>
    </row>
    <row r="1004" customFormat="false" ht="15" hidden="false" customHeight="false" outlineLevel="0" collapsed="false">
      <c r="A1004" s="55"/>
      <c r="B1004" s="56"/>
      <c r="C1004" s="56"/>
      <c r="D1004" s="56"/>
      <c r="E1004" s="56"/>
      <c r="F1004" s="56"/>
      <c r="G1004" s="58"/>
      <c r="H1004" s="56"/>
      <c r="I1004" s="61" t="str">
        <f aca="false">IF(IsPro,IF(OR($C1004="",N($G1004)=0),"",IF(OR($C1004="Receipt",$C1004="Other Income",$C1004="Capital In",$C1004="Transfer In"),$G1004,0)),"")</f>
        <v/>
      </c>
      <c r="J1004" s="61" t="str">
        <f aca="false">IF(IsPro,IF(OR($C1004="",N($G1004)=0),"",IF(I1004=0,$G1004,0)),"")</f>
        <v/>
      </c>
      <c r="K1004" s="60" t="str">
        <f aca="false">IF(IsPro,IF($C1004="","",IF(AND(OR($C1004="Receipt",$C1004="Payment"),$D1004=""),"Party needed",IF(AND(OR($C1004="Expense",$C1004="Other Income"),$E1004=""),"Head needed",IF($F1004="","Account needed","OK")))),IF($C1004="","","PRO PLAN"))</f>
        <v/>
      </c>
    </row>
    <row r="1005" customFormat="false" ht="15" hidden="false" customHeight="false" outlineLevel="0" collapsed="false">
      <c r="A1005" s="55"/>
      <c r="B1005" s="56"/>
      <c r="C1005" s="56"/>
      <c r="D1005" s="56"/>
      <c r="E1005" s="56"/>
      <c r="F1005" s="56"/>
      <c r="G1005" s="58"/>
      <c r="H1005" s="56"/>
      <c r="I1005" s="61" t="str">
        <f aca="false">IF(IsPro,IF(OR($C1005="",N($G1005)=0),"",IF(OR($C1005="Receipt",$C1005="Other Income",$C1005="Capital In",$C1005="Transfer In"),$G1005,0)),"")</f>
        <v/>
      </c>
      <c r="J1005" s="61" t="str">
        <f aca="false">IF(IsPro,IF(OR($C1005="",N($G1005)=0),"",IF(I1005=0,$G1005,0)),"")</f>
        <v/>
      </c>
      <c r="K1005" s="60" t="str">
        <f aca="false">IF(IsPro,IF($C1005="","",IF(AND(OR($C1005="Receipt",$C1005="Payment"),$D1005=""),"Party needed",IF(AND(OR($C1005="Expense",$C1005="Other Income"),$E1005=""),"Head needed",IF($F1005="","Account needed","OK")))),IF($C1005="","","PRO PLAN"))</f>
        <v/>
      </c>
    </row>
    <row r="1006" customFormat="false" ht="15" hidden="false" customHeight="false" outlineLevel="0" collapsed="false">
      <c r="A1006" s="55"/>
      <c r="B1006" s="56"/>
      <c r="C1006" s="56"/>
      <c r="D1006" s="56"/>
      <c r="E1006" s="56"/>
      <c r="F1006" s="56"/>
      <c r="G1006" s="58"/>
      <c r="H1006" s="56"/>
      <c r="I1006" s="61" t="str">
        <f aca="false">IF(IsPro,IF(OR($C1006="",N($G1006)=0),"",IF(OR($C1006="Receipt",$C1006="Other Income",$C1006="Capital In",$C1006="Transfer In"),$G1006,0)),"")</f>
        <v/>
      </c>
      <c r="J1006" s="61" t="str">
        <f aca="false">IF(IsPro,IF(OR($C1006="",N($G1006)=0),"",IF(I1006=0,$G1006,0)),"")</f>
        <v/>
      </c>
      <c r="K1006" s="60" t="str">
        <f aca="false">IF(IsPro,IF($C1006="","",IF(AND(OR($C1006="Receipt",$C1006="Payment"),$D1006=""),"Party needed",IF(AND(OR($C1006="Expense",$C1006="Other Income"),$E1006=""),"Head needed",IF($F1006="","Account needed","OK")))),IF($C1006="","","PRO PLAN"))</f>
        <v/>
      </c>
    </row>
    <row r="1007" customFormat="false" ht="15" hidden="false" customHeight="false" outlineLevel="0" collapsed="false">
      <c r="A1007" s="55"/>
      <c r="B1007" s="56"/>
      <c r="C1007" s="56"/>
      <c r="D1007" s="56"/>
      <c r="E1007" s="56"/>
      <c r="F1007" s="56"/>
      <c r="G1007" s="58"/>
      <c r="H1007" s="56"/>
      <c r="I1007" s="61" t="str">
        <f aca="false">IF(IsPro,IF(OR($C1007="",N($G1007)=0),"",IF(OR($C1007="Receipt",$C1007="Other Income",$C1007="Capital In",$C1007="Transfer In"),$G1007,0)),"")</f>
        <v/>
      </c>
      <c r="J1007" s="61" t="str">
        <f aca="false">IF(IsPro,IF(OR($C1007="",N($G1007)=0),"",IF(I1007=0,$G1007,0)),"")</f>
        <v/>
      </c>
      <c r="K1007" s="60" t="str">
        <f aca="false">IF(IsPro,IF($C1007="","",IF(AND(OR($C1007="Receipt",$C1007="Payment"),$D1007=""),"Party needed",IF(AND(OR($C1007="Expense",$C1007="Other Income"),$E1007=""),"Head needed",IF($F1007="","Account needed","OK")))),IF($C1007="","","PRO PLAN"))</f>
        <v/>
      </c>
    </row>
    <row r="1008" customFormat="false" ht="15" hidden="false" customHeight="false" outlineLevel="0" collapsed="false">
      <c r="A1008" s="55"/>
      <c r="B1008" s="56"/>
      <c r="C1008" s="56"/>
      <c r="D1008" s="56"/>
      <c r="E1008" s="56"/>
      <c r="F1008" s="56"/>
      <c r="G1008" s="58"/>
      <c r="H1008" s="56"/>
      <c r="I1008" s="61" t="str">
        <f aca="false">IF(IsPro,IF(OR($C1008="",N($G1008)=0),"",IF(OR($C1008="Receipt",$C1008="Other Income",$C1008="Capital In",$C1008="Transfer In"),$G1008,0)),"")</f>
        <v/>
      </c>
      <c r="J1008" s="61" t="str">
        <f aca="false">IF(IsPro,IF(OR($C1008="",N($G1008)=0),"",IF(I1008=0,$G1008,0)),"")</f>
        <v/>
      </c>
      <c r="K1008" s="60" t="str">
        <f aca="false">IF(IsPro,IF($C1008="","",IF(AND(OR($C1008="Receipt",$C1008="Payment"),$D1008=""),"Party needed",IF(AND(OR($C1008="Expense",$C1008="Other Income"),$E1008=""),"Head needed",IF($F1008="","Account needed","OK")))),IF($C1008="","","PRO PLAN"))</f>
        <v/>
      </c>
    </row>
    <row r="1009" customFormat="false" ht="15" hidden="false" customHeight="false" outlineLevel="0" collapsed="false">
      <c r="A1009" s="55"/>
      <c r="B1009" s="56"/>
      <c r="C1009" s="56"/>
      <c r="D1009" s="56"/>
      <c r="E1009" s="56"/>
      <c r="F1009" s="56"/>
      <c r="G1009" s="58"/>
      <c r="H1009" s="56"/>
      <c r="I1009" s="61" t="str">
        <f aca="false">IF(IsPro,IF(OR($C1009="",N($G1009)=0),"",IF(OR($C1009="Receipt",$C1009="Other Income",$C1009="Capital In",$C1009="Transfer In"),$G1009,0)),"")</f>
        <v/>
      </c>
      <c r="J1009" s="61" t="str">
        <f aca="false">IF(IsPro,IF(OR($C1009="",N($G1009)=0),"",IF(I1009=0,$G1009,0)),"")</f>
        <v/>
      </c>
      <c r="K1009" s="60" t="str">
        <f aca="false">IF(IsPro,IF($C1009="","",IF(AND(OR($C1009="Receipt",$C1009="Payment"),$D1009=""),"Party needed",IF(AND(OR($C1009="Expense",$C1009="Other Income"),$E1009=""),"Head needed",IF($F1009="","Account needed","OK")))),IF($C1009="","","PRO PLAN"))</f>
        <v/>
      </c>
    </row>
    <row r="1010" customFormat="false" ht="15" hidden="false" customHeight="false" outlineLevel="0" collapsed="false">
      <c r="A1010" s="55"/>
      <c r="B1010" s="56"/>
      <c r="C1010" s="56"/>
      <c r="D1010" s="56"/>
      <c r="E1010" s="56"/>
      <c r="F1010" s="56"/>
      <c r="G1010" s="58"/>
      <c r="H1010" s="56"/>
      <c r="I1010" s="61" t="str">
        <f aca="false">IF(IsPro,IF(OR($C1010="",N($G1010)=0),"",IF(OR($C1010="Receipt",$C1010="Other Income",$C1010="Capital In",$C1010="Transfer In"),$G1010,0)),"")</f>
        <v/>
      </c>
      <c r="J1010" s="61" t="str">
        <f aca="false">IF(IsPro,IF(OR($C1010="",N($G1010)=0),"",IF(I1010=0,$G1010,0)),"")</f>
        <v/>
      </c>
      <c r="K1010" s="60" t="str">
        <f aca="false">IF(IsPro,IF($C1010="","",IF(AND(OR($C1010="Receipt",$C1010="Payment"),$D1010=""),"Party needed",IF(AND(OR($C1010="Expense",$C1010="Other Income"),$E1010=""),"Head needed",IF($F1010="","Account needed","OK")))),IF($C1010="","","PRO PLAN"))</f>
        <v/>
      </c>
    </row>
    <row r="1011" customFormat="false" ht="15" hidden="false" customHeight="false" outlineLevel="0" collapsed="false">
      <c r="A1011" s="55"/>
      <c r="B1011" s="56"/>
      <c r="C1011" s="56"/>
      <c r="D1011" s="56"/>
      <c r="E1011" s="56"/>
      <c r="F1011" s="56"/>
      <c r="G1011" s="58"/>
      <c r="H1011" s="56"/>
      <c r="I1011" s="61" t="str">
        <f aca="false">IF(IsPro,IF(OR($C1011="",N($G1011)=0),"",IF(OR($C1011="Receipt",$C1011="Other Income",$C1011="Capital In",$C1011="Transfer In"),$G1011,0)),"")</f>
        <v/>
      </c>
      <c r="J1011" s="61" t="str">
        <f aca="false">IF(IsPro,IF(OR($C1011="",N($G1011)=0),"",IF(I1011=0,$G1011,0)),"")</f>
        <v/>
      </c>
      <c r="K1011" s="60" t="str">
        <f aca="false">IF(IsPro,IF($C1011="","",IF(AND(OR($C1011="Receipt",$C1011="Payment"),$D1011=""),"Party needed",IF(AND(OR($C1011="Expense",$C1011="Other Income"),$E1011=""),"Head needed",IF($F1011="","Account needed","OK")))),IF($C1011="","","PRO PLAN"))</f>
        <v/>
      </c>
    </row>
    <row r="1012" customFormat="false" ht="15" hidden="false" customHeight="false" outlineLevel="0" collapsed="false">
      <c r="A1012" s="55"/>
      <c r="B1012" s="56"/>
      <c r="C1012" s="56"/>
      <c r="D1012" s="56"/>
      <c r="E1012" s="56"/>
      <c r="F1012" s="56"/>
      <c r="G1012" s="58"/>
      <c r="H1012" s="56"/>
      <c r="I1012" s="61" t="str">
        <f aca="false">IF(IsPro,IF(OR($C1012="",N($G1012)=0),"",IF(OR($C1012="Receipt",$C1012="Other Income",$C1012="Capital In",$C1012="Transfer In"),$G1012,0)),"")</f>
        <v/>
      </c>
      <c r="J1012" s="61" t="str">
        <f aca="false">IF(IsPro,IF(OR($C1012="",N($G1012)=0),"",IF(I1012=0,$G1012,0)),"")</f>
        <v/>
      </c>
      <c r="K1012" s="60" t="str">
        <f aca="false">IF(IsPro,IF($C1012="","",IF(AND(OR($C1012="Receipt",$C1012="Payment"),$D1012=""),"Party needed",IF(AND(OR($C1012="Expense",$C1012="Other Income"),$E1012=""),"Head needed",IF($F1012="","Account needed","OK")))),IF($C1012="","","PRO PLAN"))</f>
        <v/>
      </c>
    </row>
    <row r="1013" customFormat="false" ht="15" hidden="false" customHeight="false" outlineLevel="0" collapsed="false">
      <c r="A1013" s="55"/>
      <c r="B1013" s="56"/>
      <c r="C1013" s="56"/>
      <c r="D1013" s="56"/>
      <c r="E1013" s="56"/>
      <c r="F1013" s="56"/>
      <c r="G1013" s="58"/>
      <c r="H1013" s="56"/>
      <c r="I1013" s="61" t="str">
        <f aca="false">IF(IsPro,IF(OR($C1013="",N($G1013)=0),"",IF(OR($C1013="Receipt",$C1013="Other Income",$C1013="Capital In",$C1013="Transfer In"),$G1013,0)),"")</f>
        <v/>
      </c>
      <c r="J1013" s="61" t="str">
        <f aca="false">IF(IsPro,IF(OR($C1013="",N($G1013)=0),"",IF(I1013=0,$G1013,0)),"")</f>
        <v/>
      </c>
      <c r="K1013" s="60" t="str">
        <f aca="false">IF(IsPro,IF($C1013="","",IF(AND(OR($C1013="Receipt",$C1013="Payment"),$D1013=""),"Party needed",IF(AND(OR($C1013="Expense",$C1013="Other Income"),$E1013=""),"Head needed",IF($F1013="","Account needed","OK")))),IF($C1013="","","PRO PLAN"))</f>
        <v/>
      </c>
    </row>
    <row r="1014" customFormat="false" ht="15" hidden="false" customHeight="false" outlineLevel="0" collapsed="false">
      <c r="A1014" s="55"/>
      <c r="B1014" s="56"/>
      <c r="C1014" s="56"/>
      <c r="D1014" s="56"/>
      <c r="E1014" s="56"/>
      <c r="F1014" s="56"/>
      <c r="G1014" s="58"/>
      <c r="H1014" s="56"/>
      <c r="I1014" s="61" t="str">
        <f aca="false">IF(IsPro,IF(OR($C1014="",N($G1014)=0),"",IF(OR($C1014="Receipt",$C1014="Other Income",$C1014="Capital In",$C1014="Transfer In"),$G1014,0)),"")</f>
        <v/>
      </c>
      <c r="J1014" s="61" t="str">
        <f aca="false">IF(IsPro,IF(OR($C1014="",N($G1014)=0),"",IF(I1014=0,$G1014,0)),"")</f>
        <v/>
      </c>
      <c r="K1014" s="60" t="str">
        <f aca="false">IF(IsPro,IF($C1014="","",IF(AND(OR($C1014="Receipt",$C1014="Payment"),$D1014=""),"Party needed",IF(AND(OR($C1014="Expense",$C1014="Other Income"),$E1014=""),"Head needed",IF($F1014="","Account needed","OK")))),IF($C1014="","","PRO PLAN"))</f>
        <v/>
      </c>
    </row>
    <row r="1015" customFormat="false" ht="15" hidden="false" customHeight="false" outlineLevel="0" collapsed="false">
      <c r="A1015" s="55"/>
      <c r="B1015" s="56"/>
      <c r="C1015" s="56"/>
      <c r="D1015" s="56"/>
      <c r="E1015" s="56"/>
      <c r="F1015" s="56"/>
      <c r="G1015" s="58"/>
      <c r="H1015" s="56"/>
      <c r="I1015" s="61" t="str">
        <f aca="false">IF(IsPro,IF(OR($C1015="",N($G1015)=0),"",IF(OR($C1015="Receipt",$C1015="Other Income",$C1015="Capital In",$C1015="Transfer In"),$G1015,0)),"")</f>
        <v/>
      </c>
      <c r="J1015" s="61" t="str">
        <f aca="false">IF(IsPro,IF(OR($C1015="",N($G1015)=0),"",IF(I1015=0,$G1015,0)),"")</f>
        <v/>
      </c>
      <c r="K1015" s="60" t="str">
        <f aca="false">IF(IsPro,IF($C1015="","",IF(AND(OR($C1015="Receipt",$C1015="Payment"),$D1015=""),"Party needed",IF(AND(OR($C1015="Expense",$C1015="Other Income"),$E1015=""),"Head needed",IF($F1015="","Account needed","OK")))),IF($C1015="","","PRO PLAN"))</f>
        <v/>
      </c>
    </row>
    <row r="1016" customFormat="false" ht="15" hidden="false" customHeight="false" outlineLevel="0" collapsed="false">
      <c r="A1016" s="55"/>
      <c r="B1016" s="56"/>
      <c r="C1016" s="56"/>
      <c r="D1016" s="56"/>
      <c r="E1016" s="56"/>
      <c r="F1016" s="56"/>
      <c r="G1016" s="58"/>
      <c r="H1016" s="56"/>
      <c r="I1016" s="61" t="str">
        <f aca="false">IF(IsPro,IF(OR($C1016="",N($G1016)=0),"",IF(OR($C1016="Receipt",$C1016="Other Income",$C1016="Capital In",$C1016="Transfer In"),$G1016,0)),"")</f>
        <v/>
      </c>
      <c r="J1016" s="61" t="str">
        <f aca="false">IF(IsPro,IF(OR($C1016="",N($G1016)=0),"",IF(I1016=0,$G1016,0)),"")</f>
        <v/>
      </c>
      <c r="K1016" s="60" t="str">
        <f aca="false">IF(IsPro,IF($C1016="","",IF(AND(OR($C1016="Receipt",$C1016="Payment"),$D1016=""),"Party needed",IF(AND(OR($C1016="Expense",$C1016="Other Income"),$E1016=""),"Head needed",IF($F1016="","Account needed","OK")))),IF($C1016="","","PRO PLAN"))</f>
        <v/>
      </c>
    </row>
    <row r="1017" customFormat="false" ht="15" hidden="false" customHeight="false" outlineLevel="0" collapsed="false">
      <c r="A1017" s="55"/>
      <c r="B1017" s="56"/>
      <c r="C1017" s="56"/>
      <c r="D1017" s="56"/>
      <c r="E1017" s="56"/>
      <c r="F1017" s="56"/>
      <c r="G1017" s="58"/>
      <c r="H1017" s="56"/>
      <c r="I1017" s="61" t="str">
        <f aca="false">IF(IsPro,IF(OR($C1017="",N($G1017)=0),"",IF(OR($C1017="Receipt",$C1017="Other Income",$C1017="Capital In",$C1017="Transfer In"),$G1017,0)),"")</f>
        <v/>
      </c>
      <c r="J1017" s="61" t="str">
        <f aca="false">IF(IsPro,IF(OR($C1017="",N($G1017)=0),"",IF(I1017=0,$G1017,0)),"")</f>
        <v/>
      </c>
      <c r="K1017" s="60" t="str">
        <f aca="false">IF(IsPro,IF($C1017="","",IF(AND(OR($C1017="Receipt",$C1017="Payment"),$D1017=""),"Party needed",IF(AND(OR($C1017="Expense",$C1017="Other Income"),$E1017=""),"Head needed",IF($F1017="","Account needed","OK")))),IF($C1017="","","PRO PLAN"))</f>
        <v/>
      </c>
    </row>
    <row r="1018" customFormat="false" ht="15" hidden="false" customHeight="false" outlineLevel="0" collapsed="false">
      <c r="A1018" s="55"/>
      <c r="B1018" s="56"/>
      <c r="C1018" s="56"/>
      <c r="D1018" s="56"/>
      <c r="E1018" s="56"/>
      <c r="F1018" s="56"/>
      <c r="G1018" s="58"/>
      <c r="H1018" s="56"/>
      <c r="I1018" s="61" t="str">
        <f aca="false">IF(IsPro,IF(OR($C1018="",N($G1018)=0),"",IF(OR($C1018="Receipt",$C1018="Other Income",$C1018="Capital In",$C1018="Transfer In"),$G1018,0)),"")</f>
        <v/>
      </c>
      <c r="J1018" s="61" t="str">
        <f aca="false">IF(IsPro,IF(OR($C1018="",N($G1018)=0),"",IF(I1018=0,$G1018,0)),"")</f>
        <v/>
      </c>
      <c r="K1018" s="60" t="str">
        <f aca="false">IF(IsPro,IF($C1018="","",IF(AND(OR($C1018="Receipt",$C1018="Payment"),$D1018=""),"Party needed",IF(AND(OR($C1018="Expense",$C1018="Other Income"),$E1018=""),"Head needed",IF($F1018="","Account needed","OK")))),IF($C1018="","","PRO PLAN"))</f>
        <v/>
      </c>
    </row>
    <row r="1019" customFormat="false" ht="15" hidden="false" customHeight="false" outlineLevel="0" collapsed="false">
      <c r="A1019" s="55"/>
      <c r="B1019" s="56"/>
      <c r="C1019" s="56"/>
      <c r="D1019" s="56"/>
      <c r="E1019" s="56"/>
      <c r="F1019" s="56"/>
      <c r="G1019" s="58"/>
      <c r="H1019" s="56"/>
      <c r="I1019" s="61" t="str">
        <f aca="false">IF(IsPro,IF(OR($C1019="",N($G1019)=0),"",IF(OR($C1019="Receipt",$C1019="Other Income",$C1019="Capital In",$C1019="Transfer In"),$G1019,0)),"")</f>
        <v/>
      </c>
      <c r="J1019" s="61" t="str">
        <f aca="false">IF(IsPro,IF(OR($C1019="",N($G1019)=0),"",IF(I1019=0,$G1019,0)),"")</f>
        <v/>
      </c>
      <c r="K1019" s="60" t="str">
        <f aca="false">IF(IsPro,IF($C1019="","",IF(AND(OR($C1019="Receipt",$C1019="Payment"),$D1019=""),"Party needed",IF(AND(OR($C1019="Expense",$C1019="Other Income"),$E1019=""),"Head needed",IF($F1019="","Account needed","OK")))),IF($C1019="","","PRO PLAN"))</f>
        <v/>
      </c>
    </row>
    <row r="1020" customFormat="false" ht="15" hidden="false" customHeight="false" outlineLevel="0" collapsed="false">
      <c r="A1020" s="55"/>
      <c r="B1020" s="56"/>
      <c r="C1020" s="56"/>
      <c r="D1020" s="56"/>
      <c r="E1020" s="56"/>
      <c r="F1020" s="56"/>
      <c r="G1020" s="58"/>
      <c r="H1020" s="56"/>
      <c r="I1020" s="61" t="str">
        <f aca="false">IF(IsPro,IF(OR($C1020="",N($G1020)=0),"",IF(OR($C1020="Receipt",$C1020="Other Income",$C1020="Capital In",$C1020="Transfer In"),$G1020,0)),"")</f>
        <v/>
      </c>
      <c r="J1020" s="61" t="str">
        <f aca="false">IF(IsPro,IF(OR($C1020="",N($G1020)=0),"",IF(I1020=0,$G1020,0)),"")</f>
        <v/>
      </c>
      <c r="K1020" s="60" t="str">
        <f aca="false">IF(IsPro,IF($C1020="","",IF(AND(OR($C1020="Receipt",$C1020="Payment"),$D1020=""),"Party needed",IF(AND(OR($C1020="Expense",$C1020="Other Income"),$E1020=""),"Head needed",IF($F1020="","Account needed","OK")))),IF($C1020="","","PRO PLAN"))</f>
        <v/>
      </c>
    </row>
    <row r="1021" customFormat="false" ht="15" hidden="false" customHeight="false" outlineLevel="0" collapsed="false">
      <c r="A1021" s="55"/>
      <c r="B1021" s="56"/>
      <c r="C1021" s="56"/>
      <c r="D1021" s="56"/>
      <c r="E1021" s="56"/>
      <c r="F1021" s="56"/>
      <c r="G1021" s="58"/>
      <c r="H1021" s="56"/>
      <c r="I1021" s="61" t="str">
        <f aca="false">IF(IsPro,IF(OR($C1021="",N($G1021)=0),"",IF(OR($C1021="Receipt",$C1021="Other Income",$C1021="Capital In",$C1021="Transfer In"),$G1021,0)),"")</f>
        <v/>
      </c>
      <c r="J1021" s="61" t="str">
        <f aca="false">IF(IsPro,IF(OR($C1021="",N($G1021)=0),"",IF(I1021=0,$G1021,0)),"")</f>
        <v/>
      </c>
      <c r="K1021" s="60" t="str">
        <f aca="false">IF(IsPro,IF($C1021="","",IF(AND(OR($C1021="Receipt",$C1021="Payment"),$D1021=""),"Party needed",IF(AND(OR($C1021="Expense",$C1021="Other Income"),$E1021=""),"Head needed",IF($F1021="","Account needed","OK")))),IF($C1021="","","PRO PLAN"))</f>
        <v/>
      </c>
    </row>
    <row r="1022" customFormat="false" ht="15" hidden="false" customHeight="false" outlineLevel="0" collapsed="false">
      <c r="A1022" s="55"/>
      <c r="B1022" s="56"/>
      <c r="C1022" s="56"/>
      <c r="D1022" s="56"/>
      <c r="E1022" s="56"/>
      <c r="F1022" s="56"/>
      <c r="G1022" s="58"/>
      <c r="H1022" s="56"/>
      <c r="I1022" s="61" t="str">
        <f aca="false">IF(IsPro,IF(OR($C1022="",N($G1022)=0),"",IF(OR($C1022="Receipt",$C1022="Other Income",$C1022="Capital In",$C1022="Transfer In"),$G1022,0)),"")</f>
        <v/>
      </c>
      <c r="J1022" s="61" t="str">
        <f aca="false">IF(IsPro,IF(OR($C1022="",N($G1022)=0),"",IF(I1022=0,$G1022,0)),"")</f>
        <v/>
      </c>
      <c r="K1022" s="60" t="str">
        <f aca="false">IF(IsPro,IF($C1022="","",IF(AND(OR($C1022="Receipt",$C1022="Payment"),$D1022=""),"Party needed",IF(AND(OR($C1022="Expense",$C1022="Other Income"),$E1022=""),"Head needed",IF($F1022="","Account needed","OK")))),IF($C1022="","","PRO PLAN"))</f>
        <v/>
      </c>
    </row>
    <row r="1023" customFormat="false" ht="15" hidden="false" customHeight="false" outlineLevel="0" collapsed="false">
      <c r="A1023" s="55"/>
      <c r="B1023" s="56"/>
      <c r="C1023" s="56"/>
      <c r="D1023" s="56"/>
      <c r="E1023" s="56"/>
      <c r="F1023" s="56"/>
      <c r="G1023" s="58"/>
      <c r="H1023" s="56"/>
      <c r="I1023" s="61" t="str">
        <f aca="false">IF(IsPro,IF(OR($C1023="",N($G1023)=0),"",IF(OR($C1023="Receipt",$C1023="Other Income",$C1023="Capital In",$C1023="Transfer In"),$G1023,0)),"")</f>
        <v/>
      </c>
      <c r="J1023" s="61" t="str">
        <f aca="false">IF(IsPro,IF(OR($C1023="",N($G1023)=0),"",IF(I1023=0,$G1023,0)),"")</f>
        <v/>
      </c>
      <c r="K1023" s="60" t="str">
        <f aca="false">IF(IsPro,IF($C1023="","",IF(AND(OR($C1023="Receipt",$C1023="Payment"),$D1023=""),"Party needed",IF(AND(OR($C1023="Expense",$C1023="Other Income"),$E1023=""),"Head needed",IF($F1023="","Account needed","OK")))),IF($C1023="","","PRO PLAN"))</f>
        <v/>
      </c>
    </row>
    <row r="1024" customFormat="false" ht="15" hidden="false" customHeight="false" outlineLevel="0" collapsed="false">
      <c r="A1024" s="55"/>
      <c r="B1024" s="56"/>
      <c r="C1024" s="56"/>
      <c r="D1024" s="56"/>
      <c r="E1024" s="56"/>
      <c r="F1024" s="56"/>
      <c r="G1024" s="58"/>
      <c r="H1024" s="56"/>
      <c r="I1024" s="61" t="str">
        <f aca="false">IF(IsPro,IF(OR($C1024="",N($G1024)=0),"",IF(OR($C1024="Receipt",$C1024="Other Income",$C1024="Capital In",$C1024="Transfer In"),$G1024,0)),"")</f>
        <v/>
      </c>
      <c r="J1024" s="61" t="str">
        <f aca="false">IF(IsPro,IF(OR($C1024="",N($G1024)=0),"",IF(I1024=0,$G1024,0)),"")</f>
        <v/>
      </c>
      <c r="K1024" s="60" t="str">
        <f aca="false">IF(IsPro,IF($C1024="","",IF(AND(OR($C1024="Receipt",$C1024="Payment"),$D1024=""),"Party needed",IF(AND(OR($C1024="Expense",$C1024="Other Income"),$E1024=""),"Head needed",IF($F1024="","Account needed","OK")))),IF($C1024="","","PRO PLAN"))</f>
        <v/>
      </c>
    </row>
    <row r="1025" customFormat="false" ht="15" hidden="false" customHeight="false" outlineLevel="0" collapsed="false">
      <c r="A1025" s="55"/>
      <c r="B1025" s="56"/>
      <c r="C1025" s="56"/>
      <c r="D1025" s="56"/>
      <c r="E1025" s="56"/>
      <c r="F1025" s="56"/>
      <c r="G1025" s="58"/>
      <c r="H1025" s="56"/>
      <c r="I1025" s="61" t="str">
        <f aca="false">IF(IsPro,IF(OR($C1025="",N($G1025)=0),"",IF(OR($C1025="Receipt",$C1025="Other Income",$C1025="Capital In",$C1025="Transfer In"),$G1025,0)),"")</f>
        <v/>
      </c>
      <c r="J1025" s="61" t="str">
        <f aca="false">IF(IsPro,IF(OR($C1025="",N($G1025)=0),"",IF(I1025=0,$G1025,0)),"")</f>
        <v/>
      </c>
      <c r="K1025" s="60" t="str">
        <f aca="false">IF(IsPro,IF($C1025="","",IF(AND(OR($C1025="Receipt",$C1025="Payment"),$D1025=""),"Party needed",IF(AND(OR($C1025="Expense",$C1025="Other Income"),$E1025=""),"Head needed",IF($F1025="","Account needed","OK")))),IF($C1025="","","PRO PLAN"))</f>
        <v/>
      </c>
    </row>
    <row r="1026" customFormat="false" ht="15" hidden="false" customHeight="false" outlineLevel="0" collapsed="false">
      <c r="A1026" s="55"/>
      <c r="B1026" s="56"/>
      <c r="C1026" s="56"/>
      <c r="D1026" s="56"/>
      <c r="E1026" s="56"/>
      <c r="F1026" s="56"/>
      <c r="G1026" s="58"/>
      <c r="H1026" s="56"/>
      <c r="I1026" s="61" t="str">
        <f aca="false">IF(IsPro,IF(OR($C1026="",N($G1026)=0),"",IF(OR($C1026="Receipt",$C1026="Other Income",$C1026="Capital In",$C1026="Transfer In"),$G1026,0)),"")</f>
        <v/>
      </c>
      <c r="J1026" s="61" t="str">
        <f aca="false">IF(IsPro,IF(OR($C1026="",N($G1026)=0),"",IF(I1026=0,$G1026,0)),"")</f>
        <v/>
      </c>
      <c r="K1026" s="60" t="str">
        <f aca="false">IF(IsPro,IF($C1026="","",IF(AND(OR($C1026="Receipt",$C1026="Payment"),$D1026=""),"Party needed",IF(AND(OR($C1026="Expense",$C1026="Other Income"),$E1026=""),"Head needed",IF($F1026="","Account needed","OK")))),IF($C1026="","","PRO PLAN"))</f>
        <v/>
      </c>
    </row>
    <row r="1027" customFormat="false" ht="15" hidden="false" customHeight="false" outlineLevel="0" collapsed="false">
      <c r="A1027" s="55"/>
      <c r="B1027" s="56"/>
      <c r="C1027" s="56"/>
      <c r="D1027" s="56"/>
      <c r="E1027" s="56"/>
      <c r="F1027" s="56"/>
      <c r="G1027" s="58"/>
      <c r="H1027" s="56"/>
      <c r="I1027" s="61" t="str">
        <f aca="false">IF(IsPro,IF(OR($C1027="",N($G1027)=0),"",IF(OR($C1027="Receipt",$C1027="Other Income",$C1027="Capital In",$C1027="Transfer In"),$G1027,0)),"")</f>
        <v/>
      </c>
      <c r="J1027" s="61" t="str">
        <f aca="false">IF(IsPro,IF(OR($C1027="",N($G1027)=0),"",IF(I1027=0,$G1027,0)),"")</f>
        <v/>
      </c>
      <c r="K1027" s="60" t="str">
        <f aca="false">IF(IsPro,IF($C1027="","",IF(AND(OR($C1027="Receipt",$C1027="Payment"),$D1027=""),"Party needed",IF(AND(OR($C1027="Expense",$C1027="Other Income"),$E1027=""),"Head needed",IF($F1027="","Account needed","OK")))),IF($C1027="","","PRO PLAN"))</f>
        <v/>
      </c>
    </row>
    <row r="1028" customFormat="false" ht="15" hidden="false" customHeight="false" outlineLevel="0" collapsed="false">
      <c r="A1028" s="55"/>
      <c r="B1028" s="56"/>
      <c r="C1028" s="56"/>
      <c r="D1028" s="56"/>
      <c r="E1028" s="56"/>
      <c r="F1028" s="56"/>
      <c r="G1028" s="58"/>
      <c r="H1028" s="56"/>
      <c r="I1028" s="61" t="str">
        <f aca="false">IF(IsPro,IF(OR($C1028="",N($G1028)=0),"",IF(OR($C1028="Receipt",$C1028="Other Income",$C1028="Capital In",$C1028="Transfer In"),$G1028,0)),"")</f>
        <v/>
      </c>
      <c r="J1028" s="61" t="str">
        <f aca="false">IF(IsPro,IF(OR($C1028="",N($G1028)=0),"",IF(I1028=0,$G1028,0)),"")</f>
        <v/>
      </c>
      <c r="K1028" s="60" t="str">
        <f aca="false">IF(IsPro,IF($C1028="","",IF(AND(OR($C1028="Receipt",$C1028="Payment"),$D1028=""),"Party needed",IF(AND(OR($C1028="Expense",$C1028="Other Income"),$E1028=""),"Head needed",IF($F1028="","Account needed","OK")))),IF($C1028="","","PRO PLAN"))</f>
        <v/>
      </c>
    </row>
    <row r="1029" customFormat="false" ht="15" hidden="false" customHeight="false" outlineLevel="0" collapsed="false">
      <c r="A1029" s="55"/>
      <c r="B1029" s="56"/>
      <c r="C1029" s="56"/>
      <c r="D1029" s="56"/>
      <c r="E1029" s="56"/>
      <c r="F1029" s="56"/>
      <c r="G1029" s="58"/>
      <c r="H1029" s="56"/>
      <c r="I1029" s="61" t="str">
        <f aca="false">IF(IsPro,IF(OR($C1029="",N($G1029)=0),"",IF(OR($C1029="Receipt",$C1029="Other Income",$C1029="Capital In",$C1029="Transfer In"),$G1029,0)),"")</f>
        <v/>
      </c>
      <c r="J1029" s="61" t="str">
        <f aca="false">IF(IsPro,IF(OR($C1029="",N($G1029)=0),"",IF(I1029=0,$G1029,0)),"")</f>
        <v/>
      </c>
      <c r="K1029" s="60" t="str">
        <f aca="false">IF(IsPro,IF($C1029="","",IF(AND(OR($C1029="Receipt",$C1029="Payment"),$D1029=""),"Party needed",IF(AND(OR($C1029="Expense",$C1029="Other Income"),$E1029=""),"Head needed",IF($F1029="","Account needed","OK")))),IF($C1029="","","PRO PLAN"))</f>
        <v/>
      </c>
    </row>
    <row r="1030" customFormat="false" ht="15" hidden="false" customHeight="false" outlineLevel="0" collapsed="false">
      <c r="A1030" s="55"/>
      <c r="B1030" s="56"/>
      <c r="C1030" s="56"/>
      <c r="D1030" s="56"/>
      <c r="E1030" s="56"/>
      <c r="F1030" s="56"/>
      <c r="G1030" s="58"/>
      <c r="H1030" s="56"/>
      <c r="I1030" s="61" t="str">
        <f aca="false">IF(IsPro,IF(OR($C1030="",N($G1030)=0),"",IF(OR($C1030="Receipt",$C1030="Other Income",$C1030="Capital In",$C1030="Transfer In"),$G1030,0)),"")</f>
        <v/>
      </c>
      <c r="J1030" s="61" t="str">
        <f aca="false">IF(IsPro,IF(OR($C1030="",N($G1030)=0),"",IF(I1030=0,$G1030,0)),"")</f>
        <v/>
      </c>
      <c r="K1030" s="60" t="str">
        <f aca="false">IF(IsPro,IF($C1030="","",IF(AND(OR($C1030="Receipt",$C1030="Payment"),$D1030=""),"Party needed",IF(AND(OR($C1030="Expense",$C1030="Other Income"),$E1030=""),"Head needed",IF($F1030="","Account needed","OK")))),IF($C1030="","","PRO PLAN"))</f>
        <v/>
      </c>
    </row>
    <row r="1031" customFormat="false" ht="15" hidden="false" customHeight="false" outlineLevel="0" collapsed="false">
      <c r="A1031" s="55"/>
      <c r="B1031" s="56"/>
      <c r="C1031" s="56"/>
      <c r="D1031" s="56"/>
      <c r="E1031" s="56"/>
      <c r="F1031" s="56"/>
      <c r="G1031" s="58"/>
      <c r="H1031" s="56"/>
      <c r="I1031" s="61" t="str">
        <f aca="false">IF(IsPro,IF(OR($C1031="",N($G1031)=0),"",IF(OR($C1031="Receipt",$C1031="Other Income",$C1031="Capital In",$C1031="Transfer In"),$G1031,0)),"")</f>
        <v/>
      </c>
      <c r="J1031" s="61" t="str">
        <f aca="false">IF(IsPro,IF(OR($C1031="",N($G1031)=0),"",IF(I1031=0,$G1031,0)),"")</f>
        <v/>
      </c>
      <c r="K1031" s="60" t="str">
        <f aca="false">IF(IsPro,IF($C1031="","",IF(AND(OR($C1031="Receipt",$C1031="Payment"),$D1031=""),"Party needed",IF(AND(OR($C1031="Expense",$C1031="Other Income"),$E1031=""),"Head needed",IF($F1031="","Account needed","OK")))),IF($C1031="","","PRO PLAN"))</f>
        <v/>
      </c>
    </row>
    <row r="1032" customFormat="false" ht="15" hidden="false" customHeight="false" outlineLevel="0" collapsed="false">
      <c r="A1032" s="55"/>
      <c r="B1032" s="56"/>
      <c r="C1032" s="56"/>
      <c r="D1032" s="56"/>
      <c r="E1032" s="56"/>
      <c r="F1032" s="56"/>
      <c r="G1032" s="58"/>
      <c r="H1032" s="56"/>
      <c r="I1032" s="61" t="str">
        <f aca="false">IF(IsPro,IF(OR($C1032="",N($G1032)=0),"",IF(OR($C1032="Receipt",$C1032="Other Income",$C1032="Capital In",$C1032="Transfer In"),$G1032,0)),"")</f>
        <v/>
      </c>
      <c r="J1032" s="61" t="str">
        <f aca="false">IF(IsPro,IF(OR($C1032="",N($G1032)=0),"",IF(I1032=0,$G1032,0)),"")</f>
        <v/>
      </c>
      <c r="K1032" s="60" t="str">
        <f aca="false">IF(IsPro,IF($C1032="","",IF(AND(OR($C1032="Receipt",$C1032="Payment"),$D1032=""),"Party needed",IF(AND(OR($C1032="Expense",$C1032="Other Income"),$E1032=""),"Head needed",IF($F1032="","Account needed","OK")))),IF($C1032="","","PRO PLAN"))</f>
        <v/>
      </c>
    </row>
    <row r="1033" customFormat="false" ht="15" hidden="false" customHeight="false" outlineLevel="0" collapsed="false">
      <c r="A1033" s="55"/>
      <c r="B1033" s="56"/>
      <c r="C1033" s="56"/>
      <c r="D1033" s="56"/>
      <c r="E1033" s="56"/>
      <c r="F1033" s="56"/>
      <c r="G1033" s="58"/>
      <c r="H1033" s="56"/>
      <c r="I1033" s="61" t="str">
        <f aca="false">IF(IsPro,IF(OR($C1033="",N($G1033)=0),"",IF(OR($C1033="Receipt",$C1033="Other Income",$C1033="Capital In",$C1033="Transfer In"),$G1033,0)),"")</f>
        <v/>
      </c>
      <c r="J1033" s="61" t="str">
        <f aca="false">IF(IsPro,IF(OR($C1033="",N($G1033)=0),"",IF(I1033=0,$G1033,0)),"")</f>
        <v/>
      </c>
      <c r="K1033" s="60" t="str">
        <f aca="false">IF(IsPro,IF($C1033="","",IF(AND(OR($C1033="Receipt",$C1033="Payment"),$D1033=""),"Party needed",IF(AND(OR($C1033="Expense",$C1033="Other Income"),$E1033=""),"Head needed",IF($F1033="","Account needed","OK")))),IF($C1033="","","PRO PLAN"))</f>
        <v/>
      </c>
    </row>
    <row r="1034" customFormat="false" ht="15" hidden="false" customHeight="false" outlineLevel="0" collapsed="false">
      <c r="A1034" s="55"/>
      <c r="B1034" s="56"/>
      <c r="C1034" s="56"/>
      <c r="D1034" s="56"/>
      <c r="E1034" s="56"/>
      <c r="F1034" s="56"/>
      <c r="G1034" s="58"/>
      <c r="H1034" s="56"/>
      <c r="I1034" s="61" t="str">
        <f aca="false">IF(IsPro,IF(OR($C1034="",N($G1034)=0),"",IF(OR($C1034="Receipt",$C1034="Other Income",$C1034="Capital In",$C1034="Transfer In"),$G1034,0)),"")</f>
        <v/>
      </c>
      <c r="J1034" s="61" t="str">
        <f aca="false">IF(IsPro,IF(OR($C1034="",N($G1034)=0),"",IF(I1034=0,$G1034,0)),"")</f>
        <v/>
      </c>
      <c r="K1034" s="60" t="str">
        <f aca="false">IF(IsPro,IF($C1034="","",IF(AND(OR($C1034="Receipt",$C1034="Payment"),$D1034=""),"Party needed",IF(AND(OR($C1034="Expense",$C1034="Other Income"),$E1034=""),"Head needed",IF($F1034="","Account needed","OK")))),IF($C1034="","","PRO PLAN"))</f>
        <v/>
      </c>
    </row>
    <row r="1035" customFormat="false" ht="15" hidden="false" customHeight="false" outlineLevel="0" collapsed="false">
      <c r="A1035" s="55"/>
      <c r="B1035" s="56"/>
      <c r="C1035" s="56"/>
      <c r="D1035" s="56"/>
      <c r="E1035" s="56"/>
      <c r="F1035" s="56"/>
      <c r="G1035" s="58"/>
      <c r="H1035" s="56"/>
      <c r="I1035" s="61" t="str">
        <f aca="false">IF(IsPro,IF(OR($C1035="",N($G1035)=0),"",IF(OR($C1035="Receipt",$C1035="Other Income",$C1035="Capital In",$C1035="Transfer In"),$G1035,0)),"")</f>
        <v/>
      </c>
      <c r="J1035" s="61" t="str">
        <f aca="false">IF(IsPro,IF(OR($C1035="",N($G1035)=0),"",IF(I1035=0,$G1035,0)),"")</f>
        <v/>
      </c>
      <c r="K1035" s="60" t="str">
        <f aca="false">IF(IsPro,IF($C1035="","",IF(AND(OR($C1035="Receipt",$C1035="Payment"),$D1035=""),"Party needed",IF(AND(OR($C1035="Expense",$C1035="Other Income"),$E1035=""),"Head needed",IF($F1035="","Account needed","OK")))),IF($C1035="","","PRO PLAN"))</f>
        <v/>
      </c>
    </row>
    <row r="1036" customFormat="false" ht="15" hidden="false" customHeight="false" outlineLevel="0" collapsed="false">
      <c r="A1036" s="55"/>
      <c r="B1036" s="56"/>
      <c r="C1036" s="56"/>
      <c r="D1036" s="56"/>
      <c r="E1036" s="56"/>
      <c r="F1036" s="56"/>
      <c r="G1036" s="58"/>
      <c r="H1036" s="56"/>
      <c r="I1036" s="61" t="str">
        <f aca="false">IF(IsPro,IF(OR($C1036="",N($G1036)=0),"",IF(OR($C1036="Receipt",$C1036="Other Income",$C1036="Capital In",$C1036="Transfer In"),$G1036,0)),"")</f>
        <v/>
      </c>
      <c r="J1036" s="61" t="str">
        <f aca="false">IF(IsPro,IF(OR($C1036="",N($G1036)=0),"",IF(I1036=0,$G1036,0)),"")</f>
        <v/>
      </c>
      <c r="K1036" s="60" t="str">
        <f aca="false">IF(IsPro,IF($C1036="","",IF(AND(OR($C1036="Receipt",$C1036="Payment"),$D1036=""),"Party needed",IF(AND(OR($C1036="Expense",$C1036="Other Income"),$E1036=""),"Head needed",IF($F1036="","Account needed","OK")))),IF($C1036="","","PRO PLAN"))</f>
        <v/>
      </c>
    </row>
    <row r="1037" customFormat="false" ht="15" hidden="false" customHeight="false" outlineLevel="0" collapsed="false">
      <c r="A1037" s="55"/>
      <c r="B1037" s="56"/>
      <c r="C1037" s="56"/>
      <c r="D1037" s="56"/>
      <c r="E1037" s="56"/>
      <c r="F1037" s="56"/>
      <c r="G1037" s="58"/>
      <c r="H1037" s="56"/>
      <c r="I1037" s="61" t="str">
        <f aca="false">IF(IsPro,IF(OR($C1037="",N($G1037)=0),"",IF(OR($C1037="Receipt",$C1037="Other Income",$C1037="Capital In",$C1037="Transfer In"),$G1037,0)),"")</f>
        <v/>
      </c>
      <c r="J1037" s="61" t="str">
        <f aca="false">IF(IsPro,IF(OR($C1037="",N($G1037)=0),"",IF(I1037=0,$G1037,0)),"")</f>
        <v/>
      </c>
      <c r="K1037" s="60" t="str">
        <f aca="false">IF(IsPro,IF($C1037="","",IF(AND(OR($C1037="Receipt",$C1037="Payment"),$D1037=""),"Party needed",IF(AND(OR($C1037="Expense",$C1037="Other Income"),$E1037=""),"Head needed",IF($F1037="","Account needed","OK")))),IF($C1037="","","PRO PLAN"))</f>
        <v/>
      </c>
    </row>
    <row r="1038" customFormat="false" ht="15" hidden="false" customHeight="false" outlineLevel="0" collapsed="false">
      <c r="A1038" s="55"/>
      <c r="B1038" s="56"/>
      <c r="C1038" s="56"/>
      <c r="D1038" s="56"/>
      <c r="E1038" s="56"/>
      <c r="F1038" s="56"/>
      <c r="G1038" s="58"/>
      <c r="H1038" s="56"/>
      <c r="I1038" s="61" t="str">
        <f aca="false">IF(IsPro,IF(OR($C1038="",N($G1038)=0),"",IF(OR($C1038="Receipt",$C1038="Other Income",$C1038="Capital In",$C1038="Transfer In"),$G1038,0)),"")</f>
        <v/>
      </c>
      <c r="J1038" s="61" t="str">
        <f aca="false">IF(IsPro,IF(OR($C1038="",N($G1038)=0),"",IF(I1038=0,$G1038,0)),"")</f>
        <v/>
      </c>
      <c r="K1038" s="60" t="str">
        <f aca="false">IF(IsPro,IF($C1038="","",IF(AND(OR($C1038="Receipt",$C1038="Payment"),$D1038=""),"Party needed",IF(AND(OR($C1038="Expense",$C1038="Other Income"),$E1038=""),"Head needed",IF($F1038="","Account needed","OK")))),IF($C1038="","","PRO PLAN"))</f>
        <v/>
      </c>
    </row>
    <row r="1039" customFormat="false" ht="15" hidden="false" customHeight="false" outlineLevel="0" collapsed="false">
      <c r="A1039" s="55"/>
      <c r="B1039" s="56"/>
      <c r="C1039" s="56"/>
      <c r="D1039" s="56"/>
      <c r="E1039" s="56"/>
      <c r="F1039" s="56"/>
      <c r="G1039" s="58"/>
      <c r="H1039" s="56"/>
      <c r="I1039" s="61" t="str">
        <f aca="false">IF(IsPro,IF(OR($C1039="",N($G1039)=0),"",IF(OR($C1039="Receipt",$C1039="Other Income",$C1039="Capital In",$C1039="Transfer In"),$G1039,0)),"")</f>
        <v/>
      </c>
      <c r="J1039" s="61" t="str">
        <f aca="false">IF(IsPro,IF(OR($C1039="",N($G1039)=0),"",IF(I1039=0,$G1039,0)),"")</f>
        <v/>
      </c>
      <c r="K1039" s="60" t="str">
        <f aca="false">IF(IsPro,IF($C1039="","",IF(AND(OR($C1039="Receipt",$C1039="Payment"),$D1039=""),"Party needed",IF(AND(OR($C1039="Expense",$C1039="Other Income"),$E1039=""),"Head needed",IF($F1039="","Account needed","OK")))),IF($C1039="","","PRO PLAN"))</f>
        <v/>
      </c>
    </row>
    <row r="1040" customFormat="false" ht="15" hidden="false" customHeight="false" outlineLevel="0" collapsed="false">
      <c r="A1040" s="55"/>
      <c r="B1040" s="56"/>
      <c r="C1040" s="56"/>
      <c r="D1040" s="56"/>
      <c r="E1040" s="56"/>
      <c r="F1040" s="56"/>
      <c r="G1040" s="58"/>
      <c r="H1040" s="56"/>
      <c r="I1040" s="61" t="str">
        <f aca="false">IF(IsPro,IF(OR($C1040="",N($G1040)=0),"",IF(OR($C1040="Receipt",$C1040="Other Income",$C1040="Capital In",$C1040="Transfer In"),$G1040,0)),"")</f>
        <v/>
      </c>
      <c r="J1040" s="61" t="str">
        <f aca="false">IF(IsPro,IF(OR($C1040="",N($G1040)=0),"",IF(I1040=0,$G1040,0)),"")</f>
        <v/>
      </c>
      <c r="K1040" s="60" t="str">
        <f aca="false">IF(IsPro,IF($C1040="","",IF(AND(OR($C1040="Receipt",$C1040="Payment"),$D1040=""),"Party needed",IF(AND(OR($C1040="Expense",$C1040="Other Income"),$E1040=""),"Head needed",IF($F1040="","Account needed","OK")))),IF($C1040="","","PRO PLAN"))</f>
        <v/>
      </c>
    </row>
    <row r="1041" customFormat="false" ht="15" hidden="false" customHeight="false" outlineLevel="0" collapsed="false">
      <c r="A1041" s="55"/>
      <c r="B1041" s="56"/>
      <c r="C1041" s="56"/>
      <c r="D1041" s="56"/>
      <c r="E1041" s="56"/>
      <c r="F1041" s="56"/>
      <c r="G1041" s="58"/>
      <c r="H1041" s="56"/>
      <c r="I1041" s="61" t="str">
        <f aca="false">IF(IsPro,IF(OR($C1041="",N($G1041)=0),"",IF(OR($C1041="Receipt",$C1041="Other Income",$C1041="Capital In",$C1041="Transfer In"),$G1041,0)),"")</f>
        <v/>
      </c>
      <c r="J1041" s="61" t="str">
        <f aca="false">IF(IsPro,IF(OR($C1041="",N($G1041)=0),"",IF(I1041=0,$G1041,0)),"")</f>
        <v/>
      </c>
      <c r="K1041" s="60" t="str">
        <f aca="false">IF(IsPro,IF($C1041="","",IF(AND(OR($C1041="Receipt",$C1041="Payment"),$D1041=""),"Party needed",IF(AND(OR($C1041="Expense",$C1041="Other Income"),$E1041=""),"Head needed",IF($F1041="","Account needed","OK")))),IF($C1041="","","PRO PLAN"))</f>
        <v/>
      </c>
    </row>
    <row r="1042" customFormat="false" ht="15" hidden="false" customHeight="false" outlineLevel="0" collapsed="false">
      <c r="A1042" s="55"/>
      <c r="B1042" s="56"/>
      <c r="C1042" s="56"/>
      <c r="D1042" s="56"/>
      <c r="E1042" s="56"/>
      <c r="F1042" s="56"/>
      <c r="G1042" s="58"/>
      <c r="H1042" s="56"/>
      <c r="I1042" s="61" t="str">
        <f aca="false">IF(IsPro,IF(OR($C1042="",N($G1042)=0),"",IF(OR($C1042="Receipt",$C1042="Other Income",$C1042="Capital In",$C1042="Transfer In"),$G1042,0)),"")</f>
        <v/>
      </c>
      <c r="J1042" s="61" t="str">
        <f aca="false">IF(IsPro,IF(OR($C1042="",N($G1042)=0),"",IF(I1042=0,$G1042,0)),"")</f>
        <v/>
      </c>
      <c r="K1042" s="60" t="str">
        <f aca="false">IF(IsPro,IF($C1042="","",IF(AND(OR($C1042="Receipt",$C1042="Payment"),$D1042=""),"Party needed",IF(AND(OR($C1042="Expense",$C1042="Other Income"),$E1042=""),"Head needed",IF($F1042="","Account needed","OK")))),IF($C1042="","","PRO PLAN"))</f>
        <v/>
      </c>
    </row>
    <row r="1043" customFormat="false" ht="15" hidden="false" customHeight="false" outlineLevel="0" collapsed="false">
      <c r="A1043" s="55"/>
      <c r="B1043" s="56"/>
      <c r="C1043" s="56"/>
      <c r="D1043" s="56"/>
      <c r="E1043" s="56"/>
      <c r="F1043" s="56"/>
      <c r="G1043" s="58"/>
      <c r="H1043" s="56"/>
      <c r="I1043" s="61" t="str">
        <f aca="false">IF(IsPro,IF(OR($C1043="",N($G1043)=0),"",IF(OR($C1043="Receipt",$C1043="Other Income",$C1043="Capital In",$C1043="Transfer In"),$G1043,0)),"")</f>
        <v/>
      </c>
      <c r="J1043" s="61" t="str">
        <f aca="false">IF(IsPro,IF(OR($C1043="",N($G1043)=0),"",IF(I1043=0,$G1043,0)),"")</f>
        <v/>
      </c>
      <c r="K1043" s="60" t="str">
        <f aca="false">IF(IsPro,IF($C1043="","",IF(AND(OR($C1043="Receipt",$C1043="Payment"),$D1043=""),"Party needed",IF(AND(OR($C1043="Expense",$C1043="Other Income"),$E1043=""),"Head needed",IF($F1043="","Account needed","OK")))),IF($C1043="","","PRO PLAN"))</f>
        <v/>
      </c>
    </row>
    <row r="1044" customFormat="false" ht="15" hidden="false" customHeight="false" outlineLevel="0" collapsed="false">
      <c r="A1044" s="55"/>
      <c r="B1044" s="56"/>
      <c r="C1044" s="56"/>
      <c r="D1044" s="56"/>
      <c r="E1044" s="56"/>
      <c r="F1044" s="56"/>
      <c r="G1044" s="58"/>
      <c r="H1044" s="56"/>
      <c r="I1044" s="61" t="str">
        <f aca="false">IF(IsPro,IF(OR($C1044="",N($G1044)=0),"",IF(OR($C1044="Receipt",$C1044="Other Income",$C1044="Capital In",$C1044="Transfer In"),$G1044,0)),"")</f>
        <v/>
      </c>
      <c r="J1044" s="61" t="str">
        <f aca="false">IF(IsPro,IF(OR($C1044="",N($G1044)=0),"",IF(I1044=0,$G1044,0)),"")</f>
        <v/>
      </c>
      <c r="K1044" s="60" t="str">
        <f aca="false">IF(IsPro,IF($C1044="","",IF(AND(OR($C1044="Receipt",$C1044="Payment"),$D1044=""),"Party needed",IF(AND(OR($C1044="Expense",$C1044="Other Income"),$E1044=""),"Head needed",IF($F1044="","Account needed","OK")))),IF($C1044="","","PRO PLAN"))</f>
        <v/>
      </c>
    </row>
    <row r="1045" customFormat="false" ht="15" hidden="false" customHeight="false" outlineLevel="0" collapsed="false">
      <c r="A1045" s="55"/>
      <c r="B1045" s="56"/>
      <c r="C1045" s="56"/>
      <c r="D1045" s="56"/>
      <c r="E1045" s="56"/>
      <c r="F1045" s="56"/>
      <c r="G1045" s="58"/>
      <c r="H1045" s="56"/>
      <c r="I1045" s="61" t="str">
        <f aca="false">IF(IsPro,IF(OR($C1045="",N($G1045)=0),"",IF(OR($C1045="Receipt",$C1045="Other Income",$C1045="Capital In",$C1045="Transfer In"),$G1045,0)),"")</f>
        <v/>
      </c>
      <c r="J1045" s="61" t="str">
        <f aca="false">IF(IsPro,IF(OR($C1045="",N($G1045)=0),"",IF(I1045=0,$G1045,0)),"")</f>
        <v/>
      </c>
      <c r="K1045" s="60" t="str">
        <f aca="false">IF(IsPro,IF($C1045="","",IF(AND(OR($C1045="Receipt",$C1045="Payment"),$D1045=""),"Party needed",IF(AND(OR($C1045="Expense",$C1045="Other Income"),$E1045=""),"Head needed",IF($F1045="","Account needed","OK")))),IF($C1045="","","PRO PLAN"))</f>
        <v/>
      </c>
    </row>
    <row r="1046" customFormat="false" ht="15" hidden="false" customHeight="false" outlineLevel="0" collapsed="false">
      <c r="A1046" s="55"/>
      <c r="B1046" s="56"/>
      <c r="C1046" s="56"/>
      <c r="D1046" s="56"/>
      <c r="E1046" s="56"/>
      <c r="F1046" s="56"/>
      <c r="G1046" s="58"/>
      <c r="H1046" s="56"/>
      <c r="I1046" s="61" t="str">
        <f aca="false">IF(IsPro,IF(OR($C1046="",N($G1046)=0),"",IF(OR($C1046="Receipt",$C1046="Other Income",$C1046="Capital In",$C1046="Transfer In"),$G1046,0)),"")</f>
        <v/>
      </c>
      <c r="J1046" s="61" t="str">
        <f aca="false">IF(IsPro,IF(OR($C1046="",N($G1046)=0),"",IF(I1046=0,$G1046,0)),"")</f>
        <v/>
      </c>
      <c r="K1046" s="60" t="str">
        <f aca="false">IF(IsPro,IF($C1046="","",IF(AND(OR($C1046="Receipt",$C1046="Payment"),$D1046=""),"Party needed",IF(AND(OR($C1046="Expense",$C1046="Other Income"),$E1046=""),"Head needed",IF($F1046="","Account needed","OK")))),IF($C1046="","","PRO PLAN"))</f>
        <v/>
      </c>
    </row>
    <row r="1047" customFormat="false" ht="15" hidden="false" customHeight="false" outlineLevel="0" collapsed="false">
      <c r="A1047" s="55"/>
      <c r="B1047" s="56"/>
      <c r="C1047" s="56"/>
      <c r="D1047" s="56"/>
      <c r="E1047" s="56"/>
      <c r="F1047" s="56"/>
      <c r="G1047" s="58"/>
      <c r="H1047" s="56"/>
      <c r="I1047" s="61" t="str">
        <f aca="false">IF(IsPro,IF(OR($C1047="",N($G1047)=0),"",IF(OR($C1047="Receipt",$C1047="Other Income",$C1047="Capital In",$C1047="Transfer In"),$G1047,0)),"")</f>
        <v/>
      </c>
      <c r="J1047" s="61" t="str">
        <f aca="false">IF(IsPro,IF(OR($C1047="",N($G1047)=0),"",IF(I1047=0,$G1047,0)),"")</f>
        <v/>
      </c>
      <c r="K1047" s="60" t="str">
        <f aca="false">IF(IsPro,IF($C1047="","",IF(AND(OR($C1047="Receipt",$C1047="Payment"),$D1047=""),"Party needed",IF(AND(OR($C1047="Expense",$C1047="Other Income"),$E1047=""),"Head needed",IF($F1047="","Account needed","OK")))),IF($C1047="","","PRO PLAN"))</f>
        <v/>
      </c>
    </row>
    <row r="1048" customFormat="false" ht="15" hidden="false" customHeight="false" outlineLevel="0" collapsed="false">
      <c r="A1048" s="55"/>
      <c r="B1048" s="56"/>
      <c r="C1048" s="56"/>
      <c r="D1048" s="56"/>
      <c r="E1048" s="56"/>
      <c r="F1048" s="56"/>
      <c r="G1048" s="58"/>
      <c r="H1048" s="56"/>
      <c r="I1048" s="61" t="str">
        <f aca="false">IF(IsPro,IF(OR($C1048="",N($G1048)=0),"",IF(OR($C1048="Receipt",$C1048="Other Income",$C1048="Capital In",$C1048="Transfer In"),$G1048,0)),"")</f>
        <v/>
      </c>
      <c r="J1048" s="61" t="str">
        <f aca="false">IF(IsPro,IF(OR($C1048="",N($G1048)=0),"",IF(I1048=0,$G1048,0)),"")</f>
        <v/>
      </c>
      <c r="K1048" s="60" t="str">
        <f aca="false">IF(IsPro,IF($C1048="","",IF(AND(OR($C1048="Receipt",$C1048="Payment"),$D1048=""),"Party needed",IF(AND(OR($C1048="Expense",$C1048="Other Income"),$E1048=""),"Head needed",IF($F1048="","Account needed","OK")))),IF($C1048="","","PRO PLAN"))</f>
        <v/>
      </c>
    </row>
    <row r="1049" customFormat="false" ht="15" hidden="false" customHeight="false" outlineLevel="0" collapsed="false">
      <c r="A1049" s="55"/>
      <c r="B1049" s="56"/>
      <c r="C1049" s="56"/>
      <c r="D1049" s="56"/>
      <c r="E1049" s="56"/>
      <c r="F1049" s="56"/>
      <c r="G1049" s="58"/>
      <c r="H1049" s="56"/>
      <c r="I1049" s="61" t="str">
        <f aca="false">IF(IsPro,IF(OR($C1049="",N($G1049)=0),"",IF(OR($C1049="Receipt",$C1049="Other Income",$C1049="Capital In",$C1049="Transfer In"),$G1049,0)),"")</f>
        <v/>
      </c>
      <c r="J1049" s="61" t="str">
        <f aca="false">IF(IsPro,IF(OR($C1049="",N($G1049)=0),"",IF(I1049=0,$G1049,0)),"")</f>
        <v/>
      </c>
      <c r="K1049" s="60" t="str">
        <f aca="false">IF(IsPro,IF($C1049="","",IF(AND(OR($C1049="Receipt",$C1049="Payment"),$D1049=""),"Party needed",IF(AND(OR($C1049="Expense",$C1049="Other Income"),$E1049=""),"Head needed",IF($F1049="","Account needed","OK")))),IF($C1049="","","PRO PLAN"))</f>
        <v/>
      </c>
    </row>
    <row r="1050" customFormat="false" ht="15" hidden="false" customHeight="false" outlineLevel="0" collapsed="false">
      <c r="A1050" s="55"/>
      <c r="B1050" s="56"/>
      <c r="C1050" s="56"/>
      <c r="D1050" s="56"/>
      <c r="E1050" s="56"/>
      <c r="F1050" s="56"/>
      <c r="G1050" s="58"/>
      <c r="H1050" s="56"/>
      <c r="I1050" s="61" t="str">
        <f aca="false">IF(IsPro,IF(OR($C1050="",N($G1050)=0),"",IF(OR($C1050="Receipt",$C1050="Other Income",$C1050="Capital In",$C1050="Transfer In"),$G1050,0)),"")</f>
        <v/>
      </c>
      <c r="J1050" s="61" t="str">
        <f aca="false">IF(IsPro,IF(OR($C1050="",N($G1050)=0),"",IF(I1050=0,$G1050,0)),"")</f>
        <v/>
      </c>
      <c r="K1050" s="60" t="str">
        <f aca="false">IF(IsPro,IF($C1050="","",IF(AND(OR($C1050="Receipt",$C1050="Payment"),$D1050=""),"Party needed",IF(AND(OR($C1050="Expense",$C1050="Other Income"),$E1050=""),"Head needed",IF($F1050="","Account needed","OK")))),IF($C1050="","","PRO PLAN"))</f>
        <v/>
      </c>
    </row>
    <row r="1051" customFormat="false" ht="15" hidden="false" customHeight="false" outlineLevel="0" collapsed="false">
      <c r="A1051" s="55"/>
      <c r="B1051" s="56"/>
      <c r="C1051" s="56"/>
      <c r="D1051" s="56"/>
      <c r="E1051" s="56"/>
      <c r="F1051" s="56"/>
      <c r="G1051" s="58"/>
      <c r="H1051" s="56"/>
      <c r="I1051" s="61" t="str">
        <f aca="false">IF(IsPro,IF(OR($C1051="",N($G1051)=0),"",IF(OR($C1051="Receipt",$C1051="Other Income",$C1051="Capital In",$C1051="Transfer In"),$G1051,0)),"")</f>
        <v/>
      </c>
      <c r="J1051" s="61" t="str">
        <f aca="false">IF(IsPro,IF(OR($C1051="",N($G1051)=0),"",IF(I1051=0,$G1051,0)),"")</f>
        <v/>
      </c>
      <c r="K1051" s="60" t="str">
        <f aca="false">IF(IsPro,IF($C1051="","",IF(AND(OR($C1051="Receipt",$C1051="Payment"),$D1051=""),"Party needed",IF(AND(OR($C1051="Expense",$C1051="Other Income"),$E1051=""),"Head needed",IF($F1051="","Account needed","OK")))),IF($C1051="","","PRO PLAN"))</f>
        <v/>
      </c>
    </row>
    <row r="1052" customFormat="false" ht="15" hidden="false" customHeight="false" outlineLevel="0" collapsed="false">
      <c r="A1052" s="55"/>
      <c r="B1052" s="56"/>
      <c r="C1052" s="56"/>
      <c r="D1052" s="56"/>
      <c r="E1052" s="56"/>
      <c r="F1052" s="56"/>
      <c r="G1052" s="58"/>
      <c r="H1052" s="56"/>
      <c r="I1052" s="61" t="str">
        <f aca="false">IF(IsPro,IF(OR($C1052="",N($G1052)=0),"",IF(OR($C1052="Receipt",$C1052="Other Income",$C1052="Capital In",$C1052="Transfer In"),$G1052,0)),"")</f>
        <v/>
      </c>
      <c r="J1052" s="61" t="str">
        <f aca="false">IF(IsPro,IF(OR($C1052="",N($G1052)=0),"",IF(I1052=0,$G1052,0)),"")</f>
        <v/>
      </c>
      <c r="K1052" s="60" t="str">
        <f aca="false">IF(IsPro,IF($C1052="","",IF(AND(OR($C1052="Receipt",$C1052="Payment"),$D1052=""),"Party needed",IF(AND(OR($C1052="Expense",$C1052="Other Income"),$E1052=""),"Head needed",IF($F1052="","Account needed","OK")))),IF($C1052="","","PRO PLAN"))</f>
        <v/>
      </c>
    </row>
    <row r="1053" customFormat="false" ht="15" hidden="false" customHeight="false" outlineLevel="0" collapsed="false">
      <c r="A1053" s="55"/>
      <c r="B1053" s="56"/>
      <c r="C1053" s="56"/>
      <c r="D1053" s="56"/>
      <c r="E1053" s="56"/>
      <c r="F1053" s="56"/>
      <c r="G1053" s="58"/>
      <c r="H1053" s="56"/>
      <c r="I1053" s="61" t="str">
        <f aca="false">IF(IsPro,IF(OR($C1053="",N($G1053)=0),"",IF(OR($C1053="Receipt",$C1053="Other Income",$C1053="Capital In",$C1053="Transfer In"),$G1053,0)),"")</f>
        <v/>
      </c>
      <c r="J1053" s="61" t="str">
        <f aca="false">IF(IsPro,IF(OR($C1053="",N($G1053)=0),"",IF(I1053=0,$G1053,0)),"")</f>
        <v/>
      </c>
      <c r="K1053" s="60" t="str">
        <f aca="false">IF(IsPro,IF($C1053="","",IF(AND(OR($C1053="Receipt",$C1053="Payment"),$D1053=""),"Party needed",IF(AND(OR($C1053="Expense",$C1053="Other Income"),$E1053=""),"Head needed",IF($F1053="","Account needed","OK")))),IF($C1053="","","PRO PLAN"))</f>
        <v/>
      </c>
    </row>
    <row r="1054" customFormat="false" ht="15" hidden="false" customHeight="false" outlineLevel="0" collapsed="false">
      <c r="A1054" s="55"/>
      <c r="B1054" s="56"/>
      <c r="C1054" s="56"/>
      <c r="D1054" s="56"/>
      <c r="E1054" s="56"/>
      <c r="F1054" s="56"/>
      <c r="G1054" s="58"/>
      <c r="H1054" s="56"/>
      <c r="I1054" s="61" t="str">
        <f aca="false">IF(IsPro,IF(OR($C1054="",N($G1054)=0),"",IF(OR($C1054="Receipt",$C1054="Other Income",$C1054="Capital In",$C1054="Transfer In"),$G1054,0)),"")</f>
        <v/>
      </c>
      <c r="J1054" s="61" t="str">
        <f aca="false">IF(IsPro,IF(OR($C1054="",N($G1054)=0),"",IF(I1054=0,$G1054,0)),"")</f>
        <v/>
      </c>
      <c r="K1054" s="60" t="str">
        <f aca="false">IF(IsPro,IF($C1054="","",IF(AND(OR($C1054="Receipt",$C1054="Payment"),$D1054=""),"Party needed",IF(AND(OR($C1054="Expense",$C1054="Other Income"),$E1054=""),"Head needed",IF($F1054="","Account needed","OK")))),IF($C1054="","","PRO PLAN"))</f>
        <v/>
      </c>
    </row>
    <row r="1055" customFormat="false" ht="15" hidden="false" customHeight="false" outlineLevel="0" collapsed="false">
      <c r="A1055" s="55"/>
      <c r="B1055" s="56"/>
      <c r="C1055" s="56"/>
      <c r="D1055" s="56"/>
      <c r="E1055" s="56"/>
      <c r="F1055" s="56"/>
      <c r="G1055" s="58"/>
      <c r="H1055" s="56"/>
      <c r="I1055" s="61" t="str">
        <f aca="false">IF(IsPro,IF(OR($C1055="",N($G1055)=0),"",IF(OR($C1055="Receipt",$C1055="Other Income",$C1055="Capital In",$C1055="Transfer In"),$G1055,0)),"")</f>
        <v/>
      </c>
      <c r="J1055" s="61" t="str">
        <f aca="false">IF(IsPro,IF(OR($C1055="",N($G1055)=0),"",IF(I1055=0,$G1055,0)),"")</f>
        <v/>
      </c>
      <c r="K1055" s="60" t="str">
        <f aca="false">IF(IsPro,IF($C1055="","",IF(AND(OR($C1055="Receipt",$C1055="Payment"),$D1055=""),"Party needed",IF(AND(OR($C1055="Expense",$C1055="Other Income"),$E1055=""),"Head needed",IF($F1055="","Account needed","OK")))),IF($C1055="","","PRO PLAN"))</f>
        <v/>
      </c>
    </row>
    <row r="1056" customFormat="false" ht="15" hidden="false" customHeight="false" outlineLevel="0" collapsed="false">
      <c r="A1056" s="55"/>
      <c r="B1056" s="56"/>
      <c r="C1056" s="56"/>
      <c r="D1056" s="56"/>
      <c r="E1056" s="56"/>
      <c r="F1056" s="56"/>
      <c r="G1056" s="58"/>
      <c r="H1056" s="56"/>
      <c r="I1056" s="61" t="str">
        <f aca="false">IF(IsPro,IF(OR($C1056="",N($G1056)=0),"",IF(OR($C1056="Receipt",$C1056="Other Income",$C1056="Capital In",$C1056="Transfer In"),$G1056,0)),"")</f>
        <v/>
      </c>
      <c r="J1056" s="61" t="str">
        <f aca="false">IF(IsPro,IF(OR($C1056="",N($G1056)=0),"",IF(I1056=0,$G1056,0)),"")</f>
        <v/>
      </c>
      <c r="K1056" s="60" t="str">
        <f aca="false">IF(IsPro,IF($C1056="","",IF(AND(OR($C1056="Receipt",$C1056="Payment"),$D1056=""),"Party needed",IF(AND(OR($C1056="Expense",$C1056="Other Income"),$E1056=""),"Head needed",IF($F1056="","Account needed","OK")))),IF($C1056="","","PRO PLAN"))</f>
        <v/>
      </c>
    </row>
    <row r="1057" customFormat="false" ht="15" hidden="false" customHeight="false" outlineLevel="0" collapsed="false">
      <c r="A1057" s="55"/>
      <c r="B1057" s="56"/>
      <c r="C1057" s="56"/>
      <c r="D1057" s="56"/>
      <c r="E1057" s="56"/>
      <c r="F1057" s="56"/>
      <c r="G1057" s="58"/>
      <c r="H1057" s="56"/>
      <c r="I1057" s="61" t="str">
        <f aca="false">IF(IsPro,IF(OR($C1057="",N($G1057)=0),"",IF(OR($C1057="Receipt",$C1057="Other Income",$C1057="Capital In",$C1057="Transfer In"),$G1057,0)),"")</f>
        <v/>
      </c>
      <c r="J1057" s="61" t="str">
        <f aca="false">IF(IsPro,IF(OR($C1057="",N($G1057)=0),"",IF(I1057=0,$G1057,0)),"")</f>
        <v/>
      </c>
      <c r="K1057" s="60" t="str">
        <f aca="false">IF(IsPro,IF($C1057="","",IF(AND(OR($C1057="Receipt",$C1057="Payment"),$D1057=""),"Party needed",IF(AND(OR($C1057="Expense",$C1057="Other Income"),$E1057=""),"Head needed",IF($F1057="","Account needed","OK")))),IF($C1057="","","PRO PLAN"))</f>
        <v/>
      </c>
    </row>
    <row r="1058" customFormat="false" ht="15" hidden="false" customHeight="false" outlineLevel="0" collapsed="false">
      <c r="A1058" s="55"/>
      <c r="B1058" s="56"/>
      <c r="C1058" s="56"/>
      <c r="D1058" s="56"/>
      <c r="E1058" s="56"/>
      <c r="F1058" s="56"/>
      <c r="G1058" s="58"/>
      <c r="H1058" s="56"/>
      <c r="I1058" s="61" t="str">
        <f aca="false">IF(IsPro,IF(OR($C1058="",N($G1058)=0),"",IF(OR($C1058="Receipt",$C1058="Other Income",$C1058="Capital In",$C1058="Transfer In"),$G1058,0)),"")</f>
        <v/>
      </c>
      <c r="J1058" s="61" t="str">
        <f aca="false">IF(IsPro,IF(OR($C1058="",N($G1058)=0),"",IF(I1058=0,$G1058,0)),"")</f>
        <v/>
      </c>
      <c r="K1058" s="60" t="str">
        <f aca="false">IF(IsPro,IF($C1058="","",IF(AND(OR($C1058="Receipt",$C1058="Payment"),$D1058=""),"Party needed",IF(AND(OR($C1058="Expense",$C1058="Other Income"),$E1058=""),"Head needed",IF($F1058="","Account needed","OK")))),IF($C1058="","","PRO PLAN"))</f>
        <v/>
      </c>
    </row>
    <row r="1059" customFormat="false" ht="15" hidden="false" customHeight="false" outlineLevel="0" collapsed="false">
      <c r="A1059" s="55"/>
      <c r="B1059" s="56"/>
      <c r="C1059" s="56"/>
      <c r="D1059" s="56"/>
      <c r="E1059" s="56"/>
      <c r="F1059" s="56"/>
      <c r="G1059" s="58"/>
      <c r="H1059" s="56"/>
      <c r="I1059" s="61" t="str">
        <f aca="false">IF(IsPro,IF(OR($C1059="",N($G1059)=0),"",IF(OR($C1059="Receipt",$C1059="Other Income",$C1059="Capital In",$C1059="Transfer In"),$G1059,0)),"")</f>
        <v/>
      </c>
      <c r="J1059" s="61" t="str">
        <f aca="false">IF(IsPro,IF(OR($C1059="",N($G1059)=0),"",IF(I1059=0,$G1059,0)),"")</f>
        <v/>
      </c>
      <c r="K1059" s="60" t="str">
        <f aca="false">IF(IsPro,IF($C1059="","",IF(AND(OR($C1059="Receipt",$C1059="Payment"),$D1059=""),"Party needed",IF(AND(OR($C1059="Expense",$C1059="Other Income"),$E1059=""),"Head needed",IF($F1059="","Account needed","OK")))),IF($C1059="","","PRO PLAN"))</f>
        <v/>
      </c>
    </row>
    <row r="1060" customFormat="false" ht="15" hidden="false" customHeight="false" outlineLevel="0" collapsed="false">
      <c r="A1060" s="55"/>
      <c r="B1060" s="56"/>
      <c r="C1060" s="56"/>
      <c r="D1060" s="56"/>
      <c r="E1060" s="56"/>
      <c r="F1060" s="56"/>
      <c r="G1060" s="58"/>
      <c r="H1060" s="56"/>
      <c r="I1060" s="61" t="str">
        <f aca="false">IF(IsPro,IF(OR($C1060="",N($G1060)=0),"",IF(OR($C1060="Receipt",$C1060="Other Income",$C1060="Capital In",$C1060="Transfer In"),$G1060,0)),"")</f>
        <v/>
      </c>
      <c r="J1060" s="61" t="str">
        <f aca="false">IF(IsPro,IF(OR($C1060="",N($G1060)=0),"",IF(I1060=0,$G1060,0)),"")</f>
        <v/>
      </c>
      <c r="K1060" s="60" t="str">
        <f aca="false">IF(IsPro,IF($C1060="","",IF(AND(OR($C1060="Receipt",$C1060="Payment"),$D1060=""),"Party needed",IF(AND(OR($C1060="Expense",$C1060="Other Income"),$E1060=""),"Head needed",IF($F1060="","Account needed","OK")))),IF($C1060="","","PRO PLAN"))</f>
        <v/>
      </c>
    </row>
    <row r="1061" customFormat="false" ht="15" hidden="false" customHeight="false" outlineLevel="0" collapsed="false">
      <c r="A1061" s="55"/>
      <c r="B1061" s="56"/>
      <c r="C1061" s="56"/>
      <c r="D1061" s="56"/>
      <c r="E1061" s="56"/>
      <c r="F1061" s="56"/>
      <c r="G1061" s="58"/>
      <c r="H1061" s="56"/>
      <c r="I1061" s="61" t="str">
        <f aca="false">IF(IsPro,IF(OR($C1061="",N($G1061)=0),"",IF(OR($C1061="Receipt",$C1061="Other Income",$C1061="Capital In",$C1061="Transfer In"),$G1061,0)),"")</f>
        <v/>
      </c>
      <c r="J1061" s="61" t="str">
        <f aca="false">IF(IsPro,IF(OR($C1061="",N($G1061)=0),"",IF(I1061=0,$G1061,0)),"")</f>
        <v/>
      </c>
      <c r="K1061" s="60" t="str">
        <f aca="false">IF(IsPro,IF($C1061="","",IF(AND(OR($C1061="Receipt",$C1061="Payment"),$D1061=""),"Party needed",IF(AND(OR($C1061="Expense",$C1061="Other Income"),$E1061=""),"Head needed",IF($F1061="","Account needed","OK")))),IF($C1061="","","PRO PLAN"))</f>
        <v/>
      </c>
    </row>
    <row r="1062" customFormat="false" ht="15" hidden="false" customHeight="false" outlineLevel="0" collapsed="false">
      <c r="A1062" s="55"/>
      <c r="B1062" s="56"/>
      <c r="C1062" s="56"/>
      <c r="D1062" s="56"/>
      <c r="E1062" s="56"/>
      <c r="F1062" s="56"/>
      <c r="G1062" s="58"/>
      <c r="H1062" s="56"/>
      <c r="I1062" s="61" t="str">
        <f aca="false">IF(IsPro,IF(OR($C1062="",N($G1062)=0),"",IF(OR($C1062="Receipt",$C1062="Other Income",$C1062="Capital In",$C1062="Transfer In"),$G1062,0)),"")</f>
        <v/>
      </c>
      <c r="J1062" s="61" t="str">
        <f aca="false">IF(IsPro,IF(OR($C1062="",N($G1062)=0),"",IF(I1062=0,$G1062,0)),"")</f>
        <v/>
      </c>
      <c r="K1062" s="60" t="str">
        <f aca="false">IF(IsPro,IF($C1062="","",IF(AND(OR($C1062="Receipt",$C1062="Payment"),$D1062=""),"Party needed",IF(AND(OR($C1062="Expense",$C1062="Other Income"),$E1062=""),"Head needed",IF($F1062="","Account needed","OK")))),IF($C1062="","","PRO PLAN"))</f>
        <v/>
      </c>
    </row>
    <row r="1063" customFormat="false" ht="15" hidden="false" customHeight="false" outlineLevel="0" collapsed="false">
      <c r="A1063" s="55"/>
      <c r="B1063" s="56"/>
      <c r="C1063" s="56"/>
      <c r="D1063" s="56"/>
      <c r="E1063" s="56"/>
      <c r="F1063" s="56"/>
      <c r="G1063" s="58"/>
      <c r="H1063" s="56"/>
      <c r="I1063" s="61" t="str">
        <f aca="false">IF(IsPro,IF(OR($C1063="",N($G1063)=0),"",IF(OR($C1063="Receipt",$C1063="Other Income",$C1063="Capital In",$C1063="Transfer In"),$G1063,0)),"")</f>
        <v/>
      </c>
      <c r="J1063" s="61" t="str">
        <f aca="false">IF(IsPro,IF(OR($C1063="",N($G1063)=0),"",IF(I1063=0,$G1063,0)),"")</f>
        <v/>
      </c>
      <c r="K1063" s="60" t="str">
        <f aca="false">IF(IsPro,IF($C1063="","",IF(AND(OR($C1063="Receipt",$C1063="Payment"),$D1063=""),"Party needed",IF(AND(OR($C1063="Expense",$C1063="Other Income"),$E1063=""),"Head needed",IF($F1063="","Account needed","OK")))),IF($C1063="","","PRO PLAN"))</f>
        <v/>
      </c>
    </row>
    <row r="1064" customFormat="false" ht="15" hidden="false" customHeight="false" outlineLevel="0" collapsed="false">
      <c r="A1064" s="55"/>
      <c r="B1064" s="56"/>
      <c r="C1064" s="56"/>
      <c r="D1064" s="56"/>
      <c r="E1064" s="56"/>
      <c r="F1064" s="56"/>
      <c r="G1064" s="58"/>
      <c r="H1064" s="56"/>
      <c r="I1064" s="61" t="str">
        <f aca="false">IF(IsPro,IF(OR($C1064="",N($G1064)=0),"",IF(OR($C1064="Receipt",$C1064="Other Income",$C1064="Capital In",$C1064="Transfer In"),$G1064,0)),"")</f>
        <v/>
      </c>
      <c r="J1064" s="61" t="str">
        <f aca="false">IF(IsPro,IF(OR($C1064="",N($G1064)=0),"",IF(I1064=0,$G1064,0)),"")</f>
        <v/>
      </c>
      <c r="K1064" s="60" t="str">
        <f aca="false">IF(IsPro,IF($C1064="","",IF(AND(OR($C1064="Receipt",$C1064="Payment"),$D1064=""),"Party needed",IF(AND(OR($C1064="Expense",$C1064="Other Income"),$E1064=""),"Head needed",IF($F1064="","Account needed","OK")))),IF($C1064="","","PRO PLAN"))</f>
        <v/>
      </c>
    </row>
    <row r="1065" customFormat="false" ht="15" hidden="false" customHeight="false" outlineLevel="0" collapsed="false">
      <c r="A1065" s="55"/>
      <c r="B1065" s="56"/>
      <c r="C1065" s="56"/>
      <c r="D1065" s="56"/>
      <c r="E1065" s="56"/>
      <c r="F1065" s="56"/>
      <c r="G1065" s="58"/>
      <c r="H1065" s="56"/>
      <c r="I1065" s="61" t="str">
        <f aca="false">IF(IsPro,IF(OR($C1065="",N($G1065)=0),"",IF(OR($C1065="Receipt",$C1065="Other Income",$C1065="Capital In",$C1065="Transfer In"),$G1065,0)),"")</f>
        <v/>
      </c>
      <c r="J1065" s="61" t="str">
        <f aca="false">IF(IsPro,IF(OR($C1065="",N($G1065)=0),"",IF(I1065=0,$G1065,0)),"")</f>
        <v/>
      </c>
      <c r="K1065" s="60" t="str">
        <f aca="false">IF(IsPro,IF($C1065="","",IF(AND(OR($C1065="Receipt",$C1065="Payment"),$D1065=""),"Party needed",IF(AND(OR($C1065="Expense",$C1065="Other Income"),$E1065=""),"Head needed",IF($F1065="","Account needed","OK")))),IF($C1065="","","PRO PLAN"))</f>
        <v/>
      </c>
    </row>
    <row r="1066" customFormat="false" ht="15" hidden="false" customHeight="false" outlineLevel="0" collapsed="false">
      <c r="A1066" s="55"/>
      <c r="B1066" s="56"/>
      <c r="C1066" s="56"/>
      <c r="D1066" s="56"/>
      <c r="E1066" s="56"/>
      <c r="F1066" s="56"/>
      <c r="G1066" s="58"/>
      <c r="H1066" s="56"/>
      <c r="I1066" s="61" t="str">
        <f aca="false">IF(IsPro,IF(OR($C1066="",N($G1066)=0),"",IF(OR($C1066="Receipt",$C1066="Other Income",$C1066="Capital In",$C1066="Transfer In"),$G1066,0)),"")</f>
        <v/>
      </c>
      <c r="J1066" s="61" t="str">
        <f aca="false">IF(IsPro,IF(OR($C1066="",N($G1066)=0),"",IF(I1066=0,$G1066,0)),"")</f>
        <v/>
      </c>
      <c r="K1066" s="60" t="str">
        <f aca="false">IF(IsPro,IF($C1066="","",IF(AND(OR($C1066="Receipt",$C1066="Payment"),$D1066=""),"Party needed",IF(AND(OR($C1066="Expense",$C1066="Other Income"),$E1066=""),"Head needed",IF($F1066="","Account needed","OK")))),IF($C1066="","","PRO PLAN"))</f>
        <v/>
      </c>
    </row>
    <row r="1067" customFormat="false" ht="15" hidden="false" customHeight="false" outlineLevel="0" collapsed="false">
      <c r="A1067" s="55"/>
      <c r="B1067" s="56"/>
      <c r="C1067" s="56"/>
      <c r="D1067" s="56"/>
      <c r="E1067" s="56"/>
      <c r="F1067" s="56"/>
      <c r="G1067" s="58"/>
      <c r="H1067" s="56"/>
      <c r="I1067" s="61" t="str">
        <f aca="false">IF(IsPro,IF(OR($C1067="",N($G1067)=0),"",IF(OR($C1067="Receipt",$C1067="Other Income",$C1067="Capital In",$C1067="Transfer In"),$G1067,0)),"")</f>
        <v/>
      </c>
      <c r="J1067" s="61" t="str">
        <f aca="false">IF(IsPro,IF(OR($C1067="",N($G1067)=0),"",IF(I1067=0,$G1067,0)),"")</f>
        <v/>
      </c>
      <c r="K1067" s="60" t="str">
        <f aca="false">IF(IsPro,IF($C1067="","",IF(AND(OR($C1067="Receipt",$C1067="Payment"),$D1067=""),"Party needed",IF(AND(OR($C1067="Expense",$C1067="Other Income"),$E1067=""),"Head needed",IF($F1067="","Account needed","OK")))),IF($C1067="","","PRO PLAN"))</f>
        <v/>
      </c>
    </row>
    <row r="1068" customFormat="false" ht="15" hidden="false" customHeight="false" outlineLevel="0" collapsed="false">
      <c r="A1068" s="55"/>
      <c r="B1068" s="56"/>
      <c r="C1068" s="56"/>
      <c r="D1068" s="56"/>
      <c r="E1068" s="56"/>
      <c r="F1068" s="56"/>
      <c r="G1068" s="58"/>
      <c r="H1068" s="56"/>
      <c r="I1068" s="61" t="str">
        <f aca="false">IF(IsPro,IF(OR($C1068="",N($G1068)=0),"",IF(OR($C1068="Receipt",$C1068="Other Income",$C1068="Capital In",$C1068="Transfer In"),$G1068,0)),"")</f>
        <v/>
      </c>
      <c r="J1068" s="61" t="str">
        <f aca="false">IF(IsPro,IF(OR($C1068="",N($G1068)=0),"",IF(I1068=0,$G1068,0)),"")</f>
        <v/>
      </c>
      <c r="K1068" s="60" t="str">
        <f aca="false">IF(IsPro,IF($C1068="","",IF(AND(OR($C1068="Receipt",$C1068="Payment"),$D1068=""),"Party needed",IF(AND(OR($C1068="Expense",$C1068="Other Income"),$E1068=""),"Head needed",IF($F1068="","Account needed","OK")))),IF($C1068="","","PRO PLAN"))</f>
        <v/>
      </c>
    </row>
    <row r="1069" customFormat="false" ht="15" hidden="false" customHeight="false" outlineLevel="0" collapsed="false">
      <c r="A1069" s="55"/>
      <c r="B1069" s="56"/>
      <c r="C1069" s="56"/>
      <c r="D1069" s="56"/>
      <c r="E1069" s="56"/>
      <c r="F1069" s="56"/>
      <c r="G1069" s="58"/>
      <c r="H1069" s="56"/>
      <c r="I1069" s="61" t="str">
        <f aca="false">IF(IsPro,IF(OR($C1069="",N($G1069)=0),"",IF(OR($C1069="Receipt",$C1069="Other Income",$C1069="Capital In",$C1069="Transfer In"),$G1069,0)),"")</f>
        <v/>
      </c>
      <c r="J1069" s="61" t="str">
        <f aca="false">IF(IsPro,IF(OR($C1069="",N($G1069)=0),"",IF(I1069=0,$G1069,0)),"")</f>
        <v/>
      </c>
      <c r="K1069" s="60" t="str">
        <f aca="false">IF(IsPro,IF($C1069="","",IF(AND(OR($C1069="Receipt",$C1069="Payment"),$D1069=""),"Party needed",IF(AND(OR($C1069="Expense",$C1069="Other Income"),$E1069=""),"Head needed",IF($F1069="","Account needed","OK")))),IF($C1069="","","PRO PLAN"))</f>
        <v/>
      </c>
    </row>
    <row r="1070" customFormat="false" ht="15" hidden="false" customHeight="false" outlineLevel="0" collapsed="false">
      <c r="A1070" s="55"/>
      <c r="B1070" s="56"/>
      <c r="C1070" s="56"/>
      <c r="D1070" s="56"/>
      <c r="E1070" s="56"/>
      <c r="F1070" s="56"/>
      <c r="G1070" s="58"/>
      <c r="H1070" s="56"/>
      <c r="I1070" s="61" t="str">
        <f aca="false">IF(IsPro,IF(OR($C1070="",N($G1070)=0),"",IF(OR($C1070="Receipt",$C1070="Other Income",$C1070="Capital In",$C1070="Transfer In"),$G1070,0)),"")</f>
        <v/>
      </c>
      <c r="J1070" s="61" t="str">
        <f aca="false">IF(IsPro,IF(OR($C1070="",N($G1070)=0),"",IF(I1070=0,$G1070,0)),"")</f>
        <v/>
      </c>
      <c r="K1070" s="60" t="str">
        <f aca="false">IF(IsPro,IF($C1070="","",IF(AND(OR($C1070="Receipt",$C1070="Payment"),$D1070=""),"Party needed",IF(AND(OR($C1070="Expense",$C1070="Other Income"),$E1070=""),"Head needed",IF($F1070="","Account needed","OK")))),IF($C1070="","","PRO PLAN"))</f>
        <v/>
      </c>
    </row>
    <row r="1071" customFormat="false" ht="15" hidden="false" customHeight="false" outlineLevel="0" collapsed="false">
      <c r="A1071" s="55"/>
      <c r="B1071" s="56"/>
      <c r="C1071" s="56"/>
      <c r="D1071" s="56"/>
      <c r="E1071" s="56"/>
      <c r="F1071" s="56"/>
      <c r="G1071" s="58"/>
      <c r="H1071" s="56"/>
      <c r="I1071" s="61" t="str">
        <f aca="false">IF(IsPro,IF(OR($C1071="",N($G1071)=0),"",IF(OR($C1071="Receipt",$C1071="Other Income",$C1071="Capital In",$C1071="Transfer In"),$G1071,0)),"")</f>
        <v/>
      </c>
      <c r="J1071" s="61" t="str">
        <f aca="false">IF(IsPro,IF(OR($C1071="",N($G1071)=0),"",IF(I1071=0,$G1071,0)),"")</f>
        <v/>
      </c>
      <c r="K1071" s="60" t="str">
        <f aca="false">IF(IsPro,IF($C1071="","",IF(AND(OR($C1071="Receipt",$C1071="Payment"),$D1071=""),"Party needed",IF(AND(OR($C1071="Expense",$C1071="Other Income"),$E1071=""),"Head needed",IF($F1071="","Account needed","OK")))),IF($C1071="","","PRO PLAN"))</f>
        <v/>
      </c>
    </row>
    <row r="1072" customFormat="false" ht="15" hidden="false" customHeight="false" outlineLevel="0" collapsed="false">
      <c r="A1072" s="55"/>
      <c r="B1072" s="56"/>
      <c r="C1072" s="56"/>
      <c r="D1072" s="56"/>
      <c r="E1072" s="56"/>
      <c r="F1072" s="56"/>
      <c r="G1072" s="58"/>
      <c r="H1072" s="56"/>
      <c r="I1072" s="61" t="str">
        <f aca="false">IF(IsPro,IF(OR($C1072="",N($G1072)=0),"",IF(OR($C1072="Receipt",$C1072="Other Income",$C1072="Capital In",$C1072="Transfer In"),$G1072,0)),"")</f>
        <v/>
      </c>
      <c r="J1072" s="61" t="str">
        <f aca="false">IF(IsPro,IF(OR($C1072="",N($G1072)=0),"",IF(I1072=0,$G1072,0)),"")</f>
        <v/>
      </c>
      <c r="K1072" s="60" t="str">
        <f aca="false">IF(IsPro,IF($C1072="","",IF(AND(OR($C1072="Receipt",$C1072="Payment"),$D1072=""),"Party needed",IF(AND(OR($C1072="Expense",$C1072="Other Income"),$E1072=""),"Head needed",IF($F1072="","Account needed","OK")))),IF($C1072="","","PRO PLAN"))</f>
        <v/>
      </c>
    </row>
    <row r="1073" customFormat="false" ht="15" hidden="false" customHeight="false" outlineLevel="0" collapsed="false">
      <c r="A1073" s="55"/>
      <c r="B1073" s="56"/>
      <c r="C1073" s="56"/>
      <c r="D1073" s="56"/>
      <c r="E1073" s="56"/>
      <c r="F1073" s="56"/>
      <c r="G1073" s="58"/>
      <c r="H1073" s="56"/>
      <c r="I1073" s="61" t="str">
        <f aca="false">IF(IsPro,IF(OR($C1073="",N($G1073)=0),"",IF(OR($C1073="Receipt",$C1073="Other Income",$C1073="Capital In",$C1073="Transfer In"),$G1073,0)),"")</f>
        <v/>
      </c>
      <c r="J1073" s="61" t="str">
        <f aca="false">IF(IsPro,IF(OR($C1073="",N($G1073)=0),"",IF(I1073=0,$G1073,0)),"")</f>
        <v/>
      </c>
      <c r="K1073" s="60" t="str">
        <f aca="false">IF(IsPro,IF($C1073="","",IF(AND(OR($C1073="Receipt",$C1073="Payment"),$D1073=""),"Party needed",IF(AND(OR($C1073="Expense",$C1073="Other Income"),$E1073=""),"Head needed",IF($F1073="","Account needed","OK")))),IF($C1073="","","PRO PLAN"))</f>
        <v/>
      </c>
    </row>
    <row r="1074" customFormat="false" ht="15" hidden="false" customHeight="false" outlineLevel="0" collapsed="false">
      <c r="A1074" s="55"/>
      <c r="B1074" s="56"/>
      <c r="C1074" s="56"/>
      <c r="D1074" s="56"/>
      <c r="E1074" s="56"/>
      <c r="F1074" s="56"/>
      <c r="G1074" s="58"/>
      <c r="H1074" s="56"/>
      <c r="I1074" s="61" t="str">
        <f aca="false">IF(IsPro,IF(OR($C1074="",N($G1074)=0),"",IF(OR($C1074="Receipt",$C1074="Other Income",$C1074="Capital In",$C1074="Transfer In"),$G1074,0)),"")</f>
        <v/>
      </c>
      <c r="J1074" s="61" t="str">
        <f aca="false">IF(IsPro,IF(OR($C1074="",N($G1074)=0),"",IF(I1074=0,$G1074,0)),"")</f>
        <v/>
      </c>
      <c r="K1074" s="60" t="str">
        <f aca="false">IF(IsPro,IF($C1074="","",IF(AND(OR($C1074="Receipt",$C1074="Payment"),$D1074=""),"Party needed",IF(AND(OR($C1074="Expense",$C1074="Other Income"),$E1074=""),"Head needed",IF($F1074="","Account needed","OK")))),IF($C1074="","","PRO PLAN"))</f>
        <v/>
      </c>
    </row>
    <row r="1075" customFormat="false" ht="15" hidden="false" customHeight="false" outlineLevel="0" collapsed="false">
      <c r="A1075" s="55"/>
      <c r="B1075" s="56"/>
      <c r="C1075" s="56"/>
      <c r="D1075" s="56"/>
      <c r="E1075" s="56"/>
      <c r="F1075" s="56"/>
      <c r="G1075" s="58"/>
      <c r="H1075" s="56"/>
      <c r="I1075" s="61" t="str">
        <f aca="false">IF(IsPro,IF(OR($C1075="",N($G1075)=0),"",IF(OR($C1075="Receipt",$C1075="Other Income",$C1075="Capital In",$C1075="Transfer In"),$G1075,0)),"")</f>
        <v/>
      </c>
      <c r="J1075" s="61" t="str">
        <f aca="false">IF(IsPro,IF(OR($C1075="",N($G1075)=0),"",IF(I1075=0,$G1075,0)),"")</f>
        <v/>
      </c>
      <c r="K1075" s="60" t="str">
        <f aca="false">IF(IsPro,IF($C1075="","",IF(AND(OR($C1075="Receipt",$C1075="Payment"),$D1075=""),"Party needed",IF(AND(OR($C1075="Expense",$C1075="Other Income"),$E1075=""),"Head needed",IF($F1075="","Account needed","OK")))),IF($C1075="","","PRO PLAN"))</f>
        <v/>
      </c>
    </row>
    <row r="1076" customFormat="false" ht="15" hidden="false" customHeight="false" outlineLevel="0" collapsed="false">
      <c r="A1076" s="55"/>
      <c r="B1076" s="56"/>
      <c r="C1076" s="56"/>
      <c r="D1076" s="56"/>
      <c r="E1076" s="56"/>
      <c r="F1076" s="56"/>
      <c r="G1076" s="58"/>
      <c r="H1076" s="56"/>
      <c r="I1076" s="61" t="str">
        <f aca="false">IF(IsPro,IF(OR($C1076="",N($G1076)=0),"",IF(OR($C1076="Receipt",$C1076="Other Income",$C1076="Capital In",$C1076="Transfer In"),$G1076,0)),"")</f>
        <v/>
      </c>
      <c r="J1076" s="61" t="str">
        <f aca="false">IF(IsPro,IF(OR($C1076="",N($G1076)=0),"",IF(I1076=0,$G1076,0)),"")</f>
        <v/>
      </c>
      <c r="K1076" s="60" t="str">
        <f aca="false">IF(IsPro,IF($C1076="","",IF(AND(OR($C1076="Receipt",$C1076="Payment"),$D1076=""),"Party needed",IF(AND(OR($C1076="Expense",$C1076="Other Income"),$E1076=""),"Head needed",IF($F1076="","Account needed","OK")))),IF($C1076="","","PRO PLAN"))</f>
        <v/>
      </c>
    </row>
    <row r="1077" customFormat="false" ht="15" hidden="false" customHeight="false" outlineLevel="0" collapsed="false">
      <c r="A1077" s="55"/>
      <c r="B1077" s="56"/>
      <c r="C1077" s="56"/>
      <c r="D1077" s="56"/>
      <c r="E1077" s="56"/>
      <c r="F1077" s="56"/>
      <c r="G1077" s="58"/>
      <c r="H1077" s="56"/>
      <c r="I1077" s="61" t="str">
        <f aca="false">IF(IsPro,IF(OR($C1077="",N($G1077)=0),"",IF(OR($C1077="Receipt",$C1077="Other Income",$C1077="Capital In",$C1077="Transfer In"),$G1077,0)),"")</f>
        <v/>
      </c>
      <c r="J1077" s="61" t="str">
        <f aca="false">IF(IsPro,IF(OR($C1077="",N($G1077)=0),"",IF(I1077=0,$G1077,0)),"")</f>
        <v/>
      </c>
      <c r="K1077" s="60" t="str">
        <f aca="false">IF(IsPro,IF($C1077="","",IF(AND(OR($C1077="Receipt",$C1077="Payment"),$D1077=""),"Party needed",IF(AND(OR($C1077="Expense",$C1077="Other Income"),$E1077=""),"Head needed",IF($F1077="","Account needed","OK")))),IF($C1077="","","PRO PLAN"))</f>
        <v/>
      </c>
    </row>
    <row r="1078" customFormat="false" ht="15" hidden="false" customHeight="false" outlineLevel="0" collapsed="false">
      <c r="A1078" s="55"/>
      <c r="B1078" s="56"/>
      <c r="C1078" s="56"/>
      <c r="D1078" s="56"/>
      <c r="E1078" s="56"/>
      <c r="F1078" s="56"/>
      <c r="G1078" s="58"/>
      <c r="H1078" s="56"/>
      <c r="I1078" s="61" t="str">
        <f aca="false">IF(IsPro,IF(OR($C1078="",N($G1078)=0),"",IF(OR($C1078="Receipt",$C1078="Other Income",$C1078="Capital In",$C1078="Transfer In"),$G1078,0)),"")</f>
        <v/>
      </c>
      <c r="J1078" s="61" t="str">
        <f aca="false">IF(IsPro,IF(OR($C1078="",N($G1078)=0),"",IF(I1078=0,$G1078,0)),"")</f>
        <v/>
      </c>
      <c r="K1078" s="60" t="str">
        <f aca="false">IF(IsPro,IF($C1078="","",IF(AND(OR($C1078="Receipt",$C1078="Payment"),$D1078=""),"Party needed",IF(AND(OR($C1078="Expense",$C1078="Other Income"),$E1078=""),"Head needed",IF($F1078="","Account needed","OK")))),IF($C1078="","","PRO PLAN"))</f>
        <v/>
      </c>
    </row>
    <row r="1079" customFormat="false" ht="15" hidden="false" customHeight="false" outlineLevel="0" collapsed="false">
      <c r="A1079" s="55"/>
      <c r="B1079" s="56"/>
      <c r="C1079" s="56"/>
      <c r="D1079" s="56"/>
      <c r="E1079" s="56"/>
      <c r="F1079" s="56"/>
      <c r="G1079" s="58"/>
      <c r="H1079" s="56"/>
      <c r="I1079" s="61" t="str">
        <f aca="false">IF(IsPro,IF(OR($C1079="",N($G1079)=0),"",IF(OR($C1079="Receipt",$C1079="Other Income",$C1079="Capital In",$C1079="Transfer In"),$G1079,0)),"")</f>
        <v/>
      </c>
      <c r="J1079" s="61" t="str">
        <f aca="false">IF(IsPro,IF(OR($C1079="",N($G1079)=0),"",IF(I1079=0,$G1079,0)),"")</f>
        <v/>
      </c>
      <c r="K1079" s="60" t="str">
        <f aca="false">IF(IsPro,IF($C1079="","",IF(AND(OR($C1079="Receipt",$C1079="Payment"),$D1079=""),"Party needed",IF(AND(OR($C1079="Expense",$C1079="Other Income"),$E1079=""),"Head needed",IF($F1079="","Account needed","OK")))),IF($C1079="","","PRO PLAN"))</f>
        <v/>
      </c>
    </row>
    <row r="1080" customFormat="false" ht="15" hidden="false" customHeight="false" outlineLevel="0" collapsed="false">
      <c r="A1080" s="55"/>
      <c r="B1080" s="56"/>
      <c r="C1080" s="56"/>
      <c r="D1080" s="56"/>
      <c r="E1080" s="56"/>
      <c r="F1080" s="56"/>
      <c r="G1080" s="58"/>
      <c r="H1080" s="56"/>
      <c r="I1080" s="61" t="str">
        <f aca="false">IF(IsPro,IF(OR($C1080="",N($G1080)=0),"",IF(OR($C1080="Receipt",$C1080="Other Income",$C1080="Capital In",$C1080="Transfer In"),$G1080,0)),"")</f>
        <v/>
      </c>
      <c r="J1080" s="61" t="str">
        <f aca="false">IF(IsPro,IF(OR($C1080="",N($G1080)=0),"",IF(I1080=0,$G1080,0)),"")</f>
        <v/>
      </c>
      <c r="K1080" s="60" t="str">
        <f aca="false">IF(IsPro,IF($C1080="","",IF(AND(OR($C1080="Receipt",$C1080="Payment"),$D1080=""),"Party needed",IF(AND(OR($C1080="Expense",$C1080="Other Income"),$E1080=""),"Head needed",IF($F1080="","Account needed","OK")))),IF($C1080="","","PRO PLAN"))</f>
        <v/>
      </c>
    </row>
    <row r="1081" customFormat="false" ht="15" hidden="false" customHeight="false" outlineLevel="0" collapsed="false">
      <c r="A1081" s="55"/>
      <c r="B1081" s="56"/>
      <c r="C1081" s="56"/>
      <c r="D1081" s="56"/>
      <c r="E1081" s="56"/>
      <c r="F1081" s="56"/>
      <c r="G1081" s="58"/>
      <c r="H1081" s="56"/>
      <c r="I1081" s="61" t="str">
        <f aca="false">IF(IsPro,IF(OR($C1081="",N($G1081)=0),"",IF(OR($C1081="Receipt",$C1081="Other Income",$C1081="Capital In",$C1081="Transfer In"),$G1081,0)),"")</f>
        <v/>
      </c>
      <c r="J1081" s="61" t="str">
        <f aca="false">IF(IsPro,IF(OR($C1081="",N($G1081)=0),"",IF(I1081=0,$G1081,0)),"")</f>
        <v/>
      </c>
      <c r="K1081" s="60" t="str">
        <f aca="false">IF(IsPro,IF($C1081="","",IF(AND(OR($C1081="Receipt",$C1081="Payment"),$D1081=""),"Party needed",IF(AND(OR($C1081="Expense",$C1081="Other Income"),$E1081=""),"Head needed",IF($F1081="","Account needed","OK")))),IF($C1081="","","PRO PLAN"))</f>
        <v/>
      </c>
    </row>
    <row r="1082" customFormat="false" ht="15" hidden="false" customHeight="false" outlineLevel="0" collapsed="false">
      <c r="A1082" s="55"/>
      <c r="B1082" s="56"/>
      <c r="C1082" s="56"/>
      <c r="D1082" s="56"/>
      <c r="E1082" s="56"/>
      <c r="F1082" s="56"/>
      <c r="G1082" s="58"/>
      <c r="H1082" s="56"/>
      <c r="I1082" s="61" t="str">
        <f aca="false">IF(IsPro,IF(OR($C1082="",N($G1082)=0),"",IF(OR($C1082="Receipt",$C1082="Other Income",$C1082="Capital In",$C1082="Transfer In"),$G1082,0)),"")</f>
        <v/>
      </c>
      <c r="J1082" s="61" t="str">
        <f aca="false">IF(IsPro,IF(OR($C1082="",N($G1082)=0),"",IF(I1082=0,$G1082,0)),"")</f>
        <v/>
      </c>
      <c r="K1082" s="60" t="str">
        <f aca="false">IF(IsPro,IF($C1082="","",IF(AND(OR($C1082="Receipt",$C1082="Payment"),$D1082=""),"Party needed",IF(AND(OR($C1082="Expense",$C1082="Other Income"),$E1082=""),"Head needed",IF($F1082="","Account needed","OK")))),IF($C1082="","","PRO PLAN"))</f>
        <v/>
      </c>
    </row>
    <row r="1083" customFormat="false" ht="15" hidden="false" customHeight="false" outlineLevel="0" collapsed="false">
      <c r="A1083" s="55"/>
      <c r="B1083" s="56"/>
      <c r="C1083" s="56"/>
      <c r="D1083" s="56"/>
      <c r="E1083" s="56"/>
      <c r="F1083" s="56"/>
      <c r="G1083" s="58"/>
      <c r="H1083" s="56"/>
      <c r="I1083" s="61" t="str">
        <f aca="false">IF(IsPro,IF(OR($C1083="",N($G1083)=0),"",IF(OR($C1083="Receipt",$C1083="Other Income",$C1083="Capital In",$C1083="Transfer In"),$G1083,0)),"")</f>
        <v/>
      </c>
      <c r="J1083" s="61" t="str">
        <f aca="false">IF(IsPro,IF(OR($C1083="",N($G1083)=0),"",IF(I1083=0,$G1083,0)),"")</f>
        <v/>
      </c>
      <c r="K1083" s="60" t="str">
        <f aca="false">IF(IsPro,IF($C1083="","",IF(AND(OR($C1083="Receipt",$C1083="Payment"),$D1083=""),"Party needed",IF(AND(OR($C1083="Expense",$C1083="Other Income"),$E1083=""),"Head needed",IF($F1083="","Account needed","OK")))),IF($C1083="","","PRO PLAN"))</f>
        <v/>
      </c>
    </row>
    <row r="1084" customFormat="false" ht="15" hidden="false" customHeight="false" outlineLevel="0" collapsed="false">
      <c r="A1084" s="55"/>
      <c r="B1084" s="56"/>
      <c r="C1084" s="56"/>
      <c r="D1084" s="56"/>
      <c r="E1084" s="56"/>
      <c r="F1084" s="56"/>
      <c r="G1084" s="58"/>
      <c r="H1084" s="56"/>
      <c r="I1084" s="61" t="str">
        <f aca="false">IF(IsPro,IF(OR($C1084="",N($G1084)=0),"",IF(OR($C1084="Receipt",$C1084="Other Income",$C1084="Capital In",$C1084="Transfer In"),$G1084,0)),"")</f>
        <v/>
      </c>
      <c r="J1084" s="61" t="str">
        <f aca="false">IF(IsPro,IF(OR($C1084="",N($G1084)=0),"",IF(I1084=0,$G1084,0)),"")</f>
        <v/>
      </c>
      <c r="K1084" s="60" t="str">
        <f aca="false">IF(IsPro,IF($C1084="","",IF(AND(OR($C1084="Receipt",$C1084="Payment"),$D1084=""),"Party needed",IF(AND(OR($C1084="Expense",$C1084="Other Income"),$E1084=""),"Head needed",IF($F1084="","Account needed","OK")))),IF($C1084="","","PRO PLAN"))</f>
        <v/>
      </c>
    </row>
    <row r="1085" customFormat="false" ht="15" hidden="false" customHeight="false" outlineLevel="0" collapsed="false">
      <c r="A1085" s="55"/>
      <c r="B1085" s="56"/>
      <c r="C1085" s="56"/>
      <c r="D1085" s="56"/>
      <c r="E1085" s="56"/>
      <c r="F1085" s="56"/>
      <c r="G1085" s="58"/>
      <c r="H1085" s="56"/>
      <c r="I1085" s="61" t="str">
        <f aca="false">IF(IsPro,IF(OR($C1085="",N($G1085)=0),"",IF(OR($C1085="Receipt",$C1085="Other Income",$C1085="Capital In",$C1085="Transfer In"),$G1085,0)),"")</f>
        <v/>
      </c>
      <c r="J1085" s="61" t="str">
        <f aca="false">IF(IsPro,IF(OR($C1085="",N($G1085)=0),"",IF(I1085=0,$G1085,0)),"")</f>
        <v/>
      </c>
      <c r="K1085" s="60" t="str">
        <f aca="false">IF(IsPro,IF($C1085="","",IF(AND(OR($C1085="Receipt",$C1085="Payment"),$D1085=""),"Party needed",IF(AND(OR($C1085="Expense",$C1085="Other Income"),$E1085=""),"Head needed",IF($F1085="","Account needed","OK")))),IF($C1085="","","PRO PLAN"))</f>
        <v/>
      </c>
    </row>
    <row r="1086" customFormat="false" ht="15" hidden="false" customHeight="false" outlineLevel="0" collapsed="false">
      <c r="A1086" s="55"/>
      <c r="B1086" s="56"/>
      <c r="C1086" s="56"/>
      <c r="D1086" s="56"/>
      <c r="E1086" s="56"/>
      <c r="F1086" s="56"/>
      <c r="G1086" s="58"/>
      <c r="H1086" s="56"/>
      <c r="I1086" s="61" t="str">
        <f aca="false">IF(IsPro,IF(OR($C1086="",N($G1086)=0),"",IF(OR($C1086="Receipt",$C1086="Other Income",$C1086="Capital In",$C1086="Transfer In"),$G1086,0)),"")</f>
        <v/>
      </c>
      <c r="J1086" s="61" t="str">
        <f aca="false">IF(IsPro,IF(OR($C1086="",N($G1086)=0),"",IF(I1086=0,$G1086,0)),"")</f>
        <v/>
      </c>
      <c r="K1086" s="60" t="str">
        <f aca="false">IF(IsPro,IF($C1086="","",IF(AND(OR($C1086="Receipt",$C1086="Payment"),$D1086=""),"Party needed",IF(AND(OR($C1086="Expense",$C1086="Other Income"),$E1086=""),"Head needed",IF($F1086="","Account needed","OK")))),IF($C1086="","","PRO PLAN"))</f>
        <v/>
      </c>
    </row>
    <row r="1087" customFormat="false" ht="15" hidden="false" customHeight="false" outlineLevel="0" collapsed="false">
      <c r="A1087" s="55"/>
      <c r="B1087" s="56"/>
      <c r="C1087" s="56"/>
      <c r="D1087" s="56"/>
      <c r="E1087" s="56"/>
      <c r="F1087" s="56"/>
      <c r="G1087" s="58"/>
      <c r="H1087" s="56"/>
      <c r="I1087" s="61" t="str">
        <f aca="false">IF(IsPro,IF(OR($C1087="",N($G1087)=0),"",IF(OR($C1087="Receipt",$C1087="Other Income",$C1087="Capital In",$C1087="Transfer In"),$G1087,0)),"")</f>
        <v/>
      </c>
      <c r="J1087" s="61" t="str">
        <f aca="false">IF(IsPro,IF(OR($C1087="",N($G1087)=0),"",IF(I1087=0,$G1087,0)),"")</f>
        <v/>
      </c>
      <c r="K1087" s="60" t="str">
        <f aca="false">IF(IsPro,IF($C1087="","",IF(AND(OR($C1087="Receipt",$C1087="Payment"),$D1087=""),"Party needed",IF(AND(OR($C1087="Expense",$C1087="Other Income"),$E1087=""),"Head needed",IF($F1087="","Account needed","OK")))),IF($C1087="","","PRO PLAN"))</f>
        <v/>
      </c>
    </row>
    <row r="1088" customFormat="false" ht="15" hidden="false" customHeight="false" outlineLevel="0" collapsed="false">
      <c r="A1088" s="55"/>
      <c r="B1088" s="56"/>
      <c r="C1088" s="56"/>
      <c r="D1088" s="56"/>
      <c r="E1088" s="56"/>
      <c r="F1088" s="56"/>
      <c r="G1088" s="58"/>
      <c r="H1088" s="56"/>
      <c r="I1088" s="61" t="str">
        <f aca="false">IF(IsPro,IF(OR($C1088="",N($G1088)=0),"",IF(OR($C1088="Receipt",$C1088="Other Income",$C1088="Capital In",$C1088="Transfer In"),$G1088,0)),"")</f>
        <v/>
      </c>
      <c r="J1088" s="61" t="str">
        <f aca="false">IF(IsPro,IF(OR($C1088="",N($G1088)=0),"",IF(I1088=0,$G1088,0)),"")</f>
        <v/>
      </c>
      <c r="K1088" s="60" t="str">
        <f aca="false">IF(IsPro,IF($C1088="","",IF(AND(OR($C1088="Receipt",$C1088="Payment"),$D1088=""),"Party needed",IF(AND(OR($C1088="Expense",$C1088="Other Income"),$E1088=""),"Head needed",IF($F1088="","Account needed","OK")))),IF($C1088="","","PRO PLAN"))</f>
        <v/>
      </c>
    </row>
    <row r="1089" customFormat="false" ht="15" hidden="false" customHeight="false" outlineLevel="0" collapsed="false">
      <c r="A1089" s="55"/>
      <c r="B1089" s="56"/>
      <c r="C1089" s="56"/>
      <c r="D1089" s="56"/>
      <c r="E1089" s="56"/>
      <c r="F1089" s="56"/>
      <c r="G1089" s="58"/>
      <c r="H1089" s="56"/>
      <c r="I1089" s="61" t="str">
        <f aca="false">IF(IsPro,IF(OR($C1089="",N($G1089)=0),"",IF(OR($C1089="Receipt",$C1089="Other Income",$C1089="Capital In",$C1089="Transfer In"),$G1089,0)),"")</f>
        <v/>
      </c>
      <c r="J1089" s="61" t="str">
        <f aca="false">IF(IsPro,IF(OR($C1089="",N($G1089)=0),"",IF(I1089=0,$G1089,0)),"")</f>
        <v/>
      </c>
      <c r="K1089" s="60" t="str">
        <f aca="false">IF(IsPro,IF($C1089="","",IF(AND(OR($C1089="Receipt",$C1089="Payment"),$D1089=""),"Party needed",IF(AND(OR($C1089="Expense",$C1089="Other Income"),$E1089=""),"Head needed",IF($F1089="","Account needed","OK")))),IF($C1089="","","PRO PLAN"))</f>
        <v/>
      </c>
    </row>
    <row r="1090" customFormat="false" ht="15" hidden="false" customHeight="false" outlineLevel="0" collapsed="false">
      <c r="A1090" s="55"/>
      <c r="B1090" s="56"/>
      <c r="C1090" s="56"/>
      <c r="D1090" s="56"/>
      <c r="E1090" s="56"/>
      <c r="F1090" s="56"/>
      <c r="G1090" s="58"/>
      <c r="H1090" s="56"/>
      <c r="I1090" s="61" t="str">
        <f aca="false">IF(IsPro,IF(OR($C1090="",N($G1090)=0),"",IF(OR($C1090="Receipt",$C1090="Other Income",$C1090="Capital In",$C1090="Transfer In"),$G1090,0)),"")</f>
        <v/>
      </c>
      <c r="J1090" s="61" t="str">
        <f aca="false">IF(IsPro,IF(OR($C1090="",N($G1090)=0),"",IF(I1090=0,$G1090,0)),"")</f>
        <v/>
      </c>
      <c r="K1090" s="60" t="str">
        <f aca="false">IF(IsPro,IF($C1090="","",IF(AND(OR($C1090="Receipt",$C1090="Payment"),$D1090=""),"Party needed",IF(AND(OR($C1090="Expense",$C1090="Other Income"),$E1090=""),"Head needed",IF($F1090="","Account needed","OK")))),IF($C1090="","","PRO PLAN"))</f>
        <v/>
      </c>
    </row>
    <row r="1091" customFormat="false" ht="15" hidden="false" customHeight="false" outlineLevel="0" collapsed="false">
      <c r="A1091" s="55"/>
      <c r="B1091" s="56"/>
      <c r="C1091" s="56"/>
      <c r="D1091" s="56"/>
      <c r="E1091" s="56"/>
      <c r="F1091" s="56"/>
      <c r="G1091" s="58"/>
      <c r="H1091" s="56"/>
      <c r="I1091" s="61" t="str">
        <f aca="false">IF(IsPro,IF(OR($C1091="",N($G1091)=0),"",IF(OR($C1091="Receipt",$C1091="Other Income",$C1091="Capital In",$C1091="Transfer In"),$G1091,0)),"")</f>
        <v/>
      </c>
      <c r="J1091" s="61" t="str">
        <f aca="false">IF(IsPro,IF(OR($C1091="",N($G1091)=0),"",IF(I1091=0,$G1091,0)),"")</f>
        <v/>
      </c>
      <c r="K1091" s="60" t="str">
        <f aca="false">IF(IsPro,IF($C1091="","",IF(AND(OR($C1091="Receipt",$C1091="Payment"),$D1091=""),"Party needed",IF(AND(OR($C1091="Expense",$C1091="Other Income"),$E1091=""),"Head needed",IF($F1091="","Account needed","OK")))),IF($C1091="","","PRO PLAN"))</f>
        <v/>
      </c>
    </row>
    <row r="1092" customFormat="false" ht="15" hidden="false" customHeight="false" outlineLevel="0" collapsed="false">
      <c r="A1092" s="55"/>
      <c r="B1092" s="56"/>
      <c r="C1092" s="56"/>
      <c r="D1092" s="56"/>
      <c r="E1092" s="56"/>
      <c r="F1092" s="56"/>
      <c r="G1092" s="58"/>
      <c r="H1092" s="56"/>
      <c r="I1092" s="61" t="str">
        <f aca="false">IF(IsPro,IF(OR($C1092="",N($G1092)=0),"",IF(OR($C1092="Receipt",$C1092="Other Income",$C1092="Capital In",$C1092="Transfer In"),$G1092,0)),"")</f>
        <v/>
      </c>
      <c r="J1092" s="61" t="str">
        <f aca="false">IF(IsPro,IF(OR($C1092="",N($G1092)=0),"",IF(I1092=0,$G1092,0)),"")</f>
        <v/>
      </c>
      <c r="K1092" s="60" t="str">
        <f aca="false">IF(IsPro,IF($C1092="","",IF(AND(OR($C1092="Receipt",$C1092="Payment"),$D1092=""),"Party needed",IF(AND(OR($C1092="Expense",$C1092="Other Income"),$E1092=""),"Head needed",IF($F1092="","Account needed","OK")))),IF($C1092="","","PRO PLAN"))</f>
        <v/>
      </c>
    </row>
    <row r="1093" customFormat="false" ht="15" hidden="false" customHeight="false" outlineLevel="0" collapsed="false">
      <c r="A1093" s="55"/>
      <c r="B1093" s="56"/>
      <c r="C1093" s="56"/>
      <c r="D1093" s="56"/>
      <c r="E1093" s="56"/>
      <c r="F1093" s="56"/>
      <c r="G1093" s="58"/>
      <c r="H1093" s="56"/>
      <c r="I1093" s="61" t="str">
        <f aca="false">IF(IsPro,IF(OR($C1093="",N($G1093)=0),"",IF(OR($C1093="Receipt",$C1093="Other Income",$C1093="Capital In",$C1093="Transfer In"),$G1093,0)),"")</f>
        <v/>
      </c>
      <c r="J1093" s="61" t="str">
        <f aca="false">IF(IsPro,IF(OR($C1093="",N($G1093)=0),"",IF(I1093=0,$G1093,0)),"")</f>
        <v/>
      </c>
      <c r="K1093" s="60" t="str">
        <f aca="false">IF(IsPro,IF($C1093="","",IF(AND(OR($C1093="Receipt",$C1093="Payment"),$D1093=""),"Party needed",IF(AND(OR($C1093="Expense",$C1093="Other Income"),$E1093=""),"Head needed",IF($F1093="","Account needed","OK")))),IF($C1093="","","PRO PLAN"))</f>
        <v/>
      </c>
    </row>
    <row r="1094" customFormat="false" ht="15" hidden="false" customHeight="false" outlineLevel="0" collapsed="false">
      <c r="A1094" s="55"/>
      <c r="B1094" s="56"/>
      <c r="C1094" s="56"/>
      <c r="D1094" s="56"/>
      <c r="E1094" s="56"/>
      <c r="F1094" s="56"/>
      <c r="G1094" s="58"/>
      <c r="H1094" s="56"/>
      <c r="I1094" s="61" t="str">
        <f aca="false">IF(IsPro,IF(OR($C1094="",N($G1094)=0),"",IF(OR($C1094="Receipt",$C1094="Other Income",$C1094="Capital In",$C1094="Transfer In"),$G1094,0)),"")</f>
        <v/>
      </c>
      <c r="J1094" s="61" t="str">
        <f aca="false">IF(IsPro,IF(OR($C1094="",N($G1094)=0),"",IF(I1094=0,$G1094,0)),"")</f>
        <v/>
      </c>
      <c r="K1094" s="60" t="str">
        <f aca="false">IF(IsPro,IF($C1094="","",IF(AND(OR($C1094="Receipt",$C1094="Payment"),$D1094=""),"Party needed",IF(AND(OR($C1094="Expense",$C1094="Other Income"),$E1094=""),"Head needed",IF($F1094="","Account needed","OK")))),IF($C1094="","","PRO PLAN"))</f>
        <v/>
      </c>
    </row>
    <row r="1095" customFormat="false" ht="15" hidden="false" customHeight="false" outlineLevel="0" collapsed="false">
      <c r="A1095" s="55"/>
      <c r="B1095" s="56"/>
      <c r="C1095" s="56"/>
      <c r="D1095" s="56"/>
      <c r="E1095" s="56"/>
      <c r="F1095" s="56"/>
      <c r="G1095" s="58"/>
      <c r="H1095" s="56"/>
      <c r="I1095" s="61" t="str">
        <f aca="false">IF(IsPro,IF(OR($C1095="",N($G1095)=0),"",IF(OR($C1095="Receipt",$C1095="Other Income",$C1095="Capital In",$C1095="Transfer In"),$G1095,0)),"")</f>
        <v/>
      </c>
      <c r="J1095" s="61" t="str">
        <f aca="false">IF(IsPro,IF(OR($C1095="",N($G1095)=0),"",IF(I1095=0,$G1095,0)),"")</f>
        <v/>
      </c>
      <c r="K1095" s="60" t="str">
        <f aca="false">IF(IsPro,IF($C1095="","",IF(AND(OR($C1095="Receipt",$C1095="Payment"),$D1095=""),"Party needed",IF(AND(OR($C1095="Expense",$C1095="Other Income"),$E1095=""),"Head needed",IF($F1095="","Account needed","OK")))),IF($C1095="","","PRO PLAN"))</f>
        <v/>
      </c>
    </row>
    <row r="1096" customFormat="false" ht="15" hidden="false" customHeight="false" outlineLevel="0" collapsed="false">
      <c r="A1096" s="55"/>
      <c r="B1096" s="56"/>
      <c r="C1096" s="56"/>
      <c r="D1096" s="56"/>
      <c r="E1096" s="56"/>
      <c r="F1096" s="56"/>
      <c r="G1096" s="58"/>
      <c r="H1096" s="56"/>
      <c r="I1096" s="61" t="str">
        <f aca="false">IF(IsPro,IF(OR($C1096="",N($G1096)=0),"",IF(OR($C1096="Receipt",$C1096="Other Income",$C1096="Capital In",$C1096="Transfer In"),$G1096,0)),"")</f>
        <v/>
      </c>
      <c r="J1096" s="61" t="str">
        <f aca="false">IF(IsPro,IF(OR($C1096="",N($G1096)=0),"",IF(I1096=0,$G1096,0)),"")</f>
        <v/>
      </c>
      <c r="K1096" s="60" t="str">
        <f aca="false">IF(IsPro,IF($C1096="","",IF(AND(OR($C1096="Receipt",$C1096="Payment"),$D1096=""),"Party needed",IF(AND(OR($C1096="Expense",$C1096="Other Income"),$E1096=""),"Head needed",IF($F1096="","Account needed","OK")))),IF($C1096="","","PRO PLAN"))</f>
        <v/>
      </c>
    </row>
    <row r="1097" customFormat="false" ht="15" hidden="false" customHeight="false" outlineLevel="0" collapsed="false">
      <c r="A1097" s="55"/>
      <c r="B1097" s="56"/>
      <c r="C1097" s="56"/>
      <c r="D1097" s="56"/>
      <c r="E1097" s="56"/>
      <c r="F1097" s="56"/>
      <c r="G1097" s="58"/>
      <c r="H1097" s="56"/>
      <c r="I1097" s="61" t="str">
        <f aca="false">IF(IsPro,IF(OR($C1097="",N($G1097)=0),"",IF(OR($C1097="Receipt",$C1097="Other Income",$C1097="Capital In",$C1097="Transfer In"),$G1097,0)),"")</f>
        <v/>
      </c>
      <c r="J1097" s="61" t="str">
        <f aca="false">IF(IsPro,IF(OR($C1097="",N($G1097)=0),"",IF(I1097=0,$G1097,0)),"")</f>
        <v/>
      </c>
      <c r="K1097" s="60" t="str">
        <f aca="false">IF(IsPro,IF($C1097="","",IF(AND(OR($C1097="Receipt",$C1097="Payment"),$D1097=""),"Party needed",IF(AND(OR($C1097="Expense",$C1097="Other Income"),$E1097=""),"Head needed",IF($F1097="","Account needed","OK")))),IF($C1097="","","PRO PLAN"))</f>
        <v/>
      </c>
    </row>
    <row r="1098" customFormat="false" ht="15" hidden="false" customHeight="false" outlineLevel="0" collapsed="false">
      <c r="A1098" s="55"/>
      <c r="B1098" s="56"/>
      <c r="C1098" s="56"/>
      <c r="D1098" s="56"/>
      <c r="E1098" s="56"/>
      <c r="F1098" s="56"/>
      <c r="G1098" s="58"/>
      <c r="H1098" s="56"/>
      <c r="I1098" s="61" t="str">
        <f aca="false">IF(IsPro,IF(OR($C1098="",N($G1098)=0),"",IF(OR($C1098="Receipt",$C1098="Other Income",$C1098="Capital In",$C1098="Transfer In"),$G1098,0)),"")</f>
        <v/>
      </c>
      <c r="J1098" s="61" t="str">
        <f aca="false">IF(IsPro,IF(OR($C1098="",N($G1098)=0),"",IF(I1098=0,$G1098,0)),"")</f>
        <v/>
      </c>
      <c r="K1098" s="60" t="str">
        <f aca="false">IF(IsPro,IF($C1098="","",IF(AND(OR($C1098="Receipt",$C1098="Payment"),$D1098=""),"Party needed",IF(AND(OR($C1098="Expense",$C1098="Other Income"),$E1098=""),"Head needed",IF($F1098="","Account needed","OK")))),IF($C1098="","","PRO PLAN"))</f>
        <v/>
      </c>
    </row>
    <row r="1099" customFormat="false" ht="15" hidden="false" customHeight="false" outlineLevel="0" collapsed="false">
      <c r="A1099" s="55"/>
      <c r="B1099" s="56"/>
      <c r="C1099" s="56"/>
      <c r="D1099" s="56"/>
      <c r="E1099" s="56"/>
      <c r="F1099" s="56"/>
      <c r="G1099" s="58"/>
      <c r="H1099" s="56"/>
      <c r="I1099" s="61" t="str">
        <f aca="false">IF(IsPro,IF(OR($C1099="",N($G1099)=0),"",IF(OR($C1099="Receipt",$C1099="Other Income",$C1099="Capital In",$C1099="Transfer In"),$G1099,0)),"")</f>
        <v/>
      </c>
      <c r="J1099" s="61" t="str">
        <f aca="false">IF(IsPro,IF(OR($C1099="",N($G1099)=0),"",IF(I1099=0,$G1099,0)),"")</f>
        <v/>
      </c>
      <c r="K1099" s="60" t="str">
        <f aca="false">IF(IsPro,IF($C1099="","",IF(AND(OR($C1099="Receipt",$C1099="Payment"),$D1099=""),"Party needed",IF(AND(OR($C1099="Expense",$C1099="Other Income"),$E1099=""),"Head needed",IF($F1099="","Account needed","OK")))),IF($C1099="","","PRO PLAN"))</f>
        <v/>
      </c>
    </row>
    <row r="1100" customFormat="false" ht="15" hidden="false" customHeight="false" outlineLevel="0" collapsed="false">
      <c r="A1100" s="55"/>
      <c r="B1100" s="56"/>
      <c r="C1100" s="56"/>
      <c r="D1100" s="56"/>
      <c r="E1100" s="56"/>
      <c r="F1100" s="56"/>
      <c r="G1100" s="58"/>
      <c r="H1100" s="56"/>
      <c r="I1100" s="61" t="str">
        <f aca="false">IF(IsPro,IF(OR($C1100="",N($G1100)=0),"",IF(OR($C1100="Receipt",$C1100="Other Income",$C1100="Capital In",$C1100="Transfer In"),$G1100,0)),"")</f>
        <v/>
      </c>
      <c r="J1100" s="61" t="str">
        <f aca="false">IF(IsPro,IF(OR($C1100="",N($G1100)=0),"",IF(I1100=0,$G1100,0)),"")</f>
        <v/>
      </c>
      <c r="K1100" s="60" t="str">
        <f aca="false">IF(IsPro,IF($C1100="","",IF(AND(OR($C1100="Receipt",$C1100="Payment"),$D1100=""),"Party needed",IF(AND(OR($C1100="Expense",$C1100="Other Income"),$E1100=""),"Head needed",IF($F1100="","Account needed","OK")))),IF($C1100="","","PRO PLAN"))</f>
        <v/>
      </c>
    </row>
    <row r="1101" customFormat="false" ht="15" hidden="false" customHeight="false" outlineLevel="0" collapsed="false">
      <c r="A1101" s="55"/>
      <c r="B1101" s="56"/>
      <c r="C1101" s="56"/>
      <c r="D1101" s="56"/>
      <c r="E1101" s="56"/>
      <c r="F1101" s="56"/>
      <c r="G1101" s="58"/>
      <c r="H1101" s="56"/>
      <c r="I1101" s="61" t="str">
        <f aca="false">IF(IsPro,IF(OR($C1101="",N($G1101)=0),"",IF(OR($C1101="Receipt",$C1101="Other Income",$C1101="Capital In",$C1101="Transfer In"),$G1101,0)),"")</f>
        <v/>
      </c>
      <c r="J1101" s="61" t="str">
        <f aca="false">IF(IsPro,IF(OR($C1101="",N($G1101)=0),"",IF(I1101=0,$G1101,0)),"")</f>
        <v/>
      </c>
      <c r="K1101" s="60" t="str">
        <f aca="false">IF(IsPro,IF($C1101="","",IF(AND(OR($C1101="Receipt",$C1101="Payment"),$D1101=""),"Party needed",IF(AND(OR($C1101="Expense",$C1101="Other Income"),$E1101=""),"Head needed",IF($F1101="","Account needed","OK")))),IF($C1101="","","PRO PLAN"))</f>
        <v/>
      </c>
    </row>
    <row r="1102" customFormat="false" ht="15" hidden="false" customHeight="false" outlineLevel="0" collapsed="false">
      <c r="A1102" s="55"/>
      <c r="B1102" s="56"/>
      <c r="C1102" s="56"/>
      <c r="D1102" s="56"/>
      <c r="E1102" s="56"/>
      <c r="F1102" s="56"/>
      <c r="G1102" s="58"/>
      <c r="H1102" s="56"/>
      <c r="I1102" s="61" t="str">
        <f aca="false">IF(IsPro,IF(OR($C1102="",N($G1102)=0),"",IF(OR($C1102="Receipt",$C1102="Other Income",$C1102="Capital In",$C1102="Transfer In"),$G1102,0)),"")</f>
        <v/>
      </c>
      <c r="J1102" s="61" t="str">
        <f aca="false">IF(IsPro,IF(OR($C1102="",N($G1102)=0),"",IF(I1102=0,$G1102,0)),"")</f>
        <v/>
      </c>
      <c r="K1102" s="60" t="str">
        <f aca="false">IF(IsPro,IF($C1102="","",IF(AND(OR($C1102="Receipt",$C1102="Payment"),$D1102=""),"Party needed",IF(AND(OR($C1102="Expense",$C1102="Other Income"),$E1102=""),"Head needed",IF($F1102="","Account needed","OK")))),IF($C1102="","","PRO PLAN"))</f>
        <v/>
      </c>
    </row>
    <row r="1103" customFormat="false" ht="15" hidden="false" customHeight="false" outlineLevel="0" collapsed="false">
      <c r="A1103" s="55"/>
      <c r="B1103" s="56"/>
      <c r="C1103" s="56"/>
      <c r="D1103" s="56"/>
      <c r="E1103" s="56"/>
      <c r="F1103" s="56"/>
      <c r="G1103" s="58"/>
      <c r="H1103" s="56"/>
      <c r="I1103" s="61" t="str">
        <f aca="false">IF(IsPro,IF(OR($C1103="",N($G1103)=0),"",IF(OR($C1103="Receipt",$C1103="Other Income",$C1103="Capital In",$C1103="Transfer In"),$G1103,0)),"")</f>
        <v/>
      </c>
      <c r="J1103" s="61" t="str">
        <f aca="false">IF(IsPro,IF(OR($C1103="",N($G1103)=0),"",IF(I1103=0,$G1103,0)),"")</f>
        <v/>
      </c>
      <c r="K1103" s="60" t="str">
        <f aca="false">IF(IsPro,IF($C1103="","",IF(AND(OR($C1103="Receipt",$C1103="Payment"),$D1103=""),"Party needed",IF(AND(OR($C1103="Expense",$C1103="Other Income"),$E1103=""),"Head needed",IF($F1103="","Account needed","OK")))),IF($C1103="","","PRO PLAN"))</f>
        <v/>
      </c>
    </row>
    <row r="1104" customFormat="false" ht="15" hidden="false" customHeight="false" outlineLevel="0" collapsed="false">
      <c r="A1104" s="55"/>
      <c r="B1104" s="56"/>
      <c r="C1104" s="56"/>
      <c r="D1104" s="56"/>
      <c r="E1104" s="56"/>
      <c r="F1104" s="56"/>
      <c r="G1104" s="58"/>
      <c r="H1104" s="56"/>
      <c r="I1104" s="61" t="str">
        <f aca="false">IF(IsPro,IF(OR($C1104="",N($G1104)=0),"",IF(OR($C1104="Receipt",$C1104="Other Income",$C1104="Capital In",$C1104="Transfer In"),$G1104,0)),"")</f>
        <v/>
      </c>
      <c r="J1104" s="61" t="str">
        <f aca="false">IF(IsPro,IF(OR($C1104="",N($G1104)=0),"",IF(I1104=0,$G1104,0)),"")</f>
        <v/>
      </c>
      <c r="K1104" s="60" t="str">
        <f aca="false">IF(IsPro,IF($C1104="","",IF(AND(OR($C1104="Receipt",$C1104="Payment"),$D1104=""),"Party needed",IF(AND(OR($C1104="Expense",$C1104="Other Income"),$E1104=""),"Head needed",IF($F1104="","Account needed","OK")))),IF($C1104="","","PRO PLAN"))</f>
        <v/>
      </c>
    </row>
    <row r="1105" customFormat="false" ht="15" hidden="false" customHeight="false" outlineLevel="0" collapsed="false">
      <c r="A1105" s="55"/>
      <c r="B1105" s="56"/>
      <c r="C1105" s="56"/>
      <c r="D1105" s="56"/>
      <c r="E1105" s="56"/>
      <c r="F1105" s="56"/>
      <c r="G1105" s="58"/>
      <c r="H1105" s="56"/>
      <c r="I1105" s="61" t="str">
        <f aca="false">IF(IsPro,IF(OR($C1105="",N($G1105)=0),"",IF(OR($C1105="Receipt",$C1105="Other Income",$C1105="Capital In",$C1105="Transfer In"),$G1105,0)),"")</f>
        <v/>
      </c>
      <c r="J1105" s="61" t="str">
        <f aca="false">IF(IsPro,IF(OR($C1105="",N($G1105)=0),"",IF(I1105=0,$G1105,0)),"")</f>
        <v/>
      </c>
      <c r="K1105" s="60" t="str">
        <f aca="false">IF(IsPro,IF($C1105="","",IF(AND(OR($C1105="Receipt",$C1105="Payment"),$D1105=""),"Party needed",IF(AND(OR($C1105="Expense",$C1105="Other Income"),$E1105=""),"Head needed",IF($F1105="","Account needed","OK")))),IF($C1105="","","PRO PLAN"))</f>
        <v/>
      </c>
    </row>
    <row r="1106" customFormat="false" ht="15" hidden="false" customHeight="false" outlineLevel="0" collapsed="false">
      <c r="A1106" s="55"/>
      <c r="B1106" s="56"/>
      <c r="C1106" s="56"/>
      <c r="D1106" s="56"/>
      <c r="E1106" s="56"/>
      <c r="F1106" s="56"/>
      <c r="G1106" s="58"/>
      <c r="H1106" s="56"/>
      <c r="I1106" s="61" t="str">
        <f aca="false">IF(IsPro,IF(OR($C1106="",N($G1106)=0),"",IF(OR($C1106="Receipt",$C1106="Other Income",$C1106="Capital In",$C1106="Transfer In"),$G1106,0)),"")</f>
        <v/>
      </c>
      <c r="J1106" s="61" t="str">
        <f aca="false">IF(IsPro,IF(OR($C1106="",N($G1106)=0),"",IF(I1106=0,$G1106,0)),"")</f>
        <v/>
      </c>
      <c r="K1106" s="60" t="str">
        <f aca="false">IF(IsPro,IF($C1106="","",IF(AND(OR($C1106="Receipt",$C1106="Payment"),$D1106=""),"Party needed",IF(AND(OR($C1106="Expense",$C1106="Other Income"),$E1106=""),"Head needed",IF($F1106="","Account needed","OK")))),IF($C1106="","","PRO PLAN"))</f>
        <v/>
      </c>
    </row>
    <row r="1107" customFormat="false" ht="15" hidden="false" customHeight="false" outlineLevel="0" collapsed="false">
      <c r="A1107" s="55"/>
      <c r="B1107" s="56"/>
      <c r="C1107" s="56"/>
      <c r="D1107" s="56"/>
      <c r="E1107" s="56"/>
      <c r="F1107" s="56"/>
      <c r="G1107" s="58"/>
      <c r="H1107" s="56"/>
      <c r="I1107" s="61" t="str">
        <f aca="false">IF(IsPro,IF(OR($C1107="",N($G1107)=0),"",IF(OR($C1107="Receipt",$C1107="Other Income",$C1107="Capital In",$C1107="Transfer In"),$G1107,0)),"")</f>
        <v/>
      </c>
      <c r="J1107" s="61" t="str">
        <f aca="false">IF(IsPro,IF(OR($C1107="",N($G1107)=0),"",IF(I1107=0,$G1107,0)),"")</f>
        <v/>
      </c>
      <c r="K1107" s="60" t="str">
        <f aca="false">IF(IsPro,IF($C1107="","",IF(AND(OR($C1107="Receipt",$C1107="Payment"),$D1107=""),"Party needed",IF(AND(OR($C1107="Expense",$C1107="Other Income"),$E1107=""),"Head needed",IF($F1107="","Account needed","OK")))),IF($C1107="","","PRO PLAN"))</f>
        <v/>
      </c>
    </row>
    <row r="1108" customFormat="false" ht="15" hidden="false" customHeight="false" outlineLevel="0" collapsed="false">
      <c r="A1108" s="55"/>
      <c r="B1108" s="56"/>
      <c r="C1108" s="56"/>
      <c r="D1108" s="56"/>
      <c r="E1108" s="56"/>
      <c r="F1108" s="56"/>
      <c r="G1108" s="58"/>
      <c r="H1108" s="56"/>
      <c r="I1108" s="61" t="str">
        <f aca="false">IF(IsPro,IF(OR($C1108="",N($G1108)=0),"",IF(OR($C1108="Receipt",$C1108="Other Income",$C1108="Capital In",$C1108="Transfer In"),$G1108,0)),"")</f>
        <v/>
      </c>
      <c r="J1108" s="61" t="str">
        <f aca="false">IF(IsPro,IF(OR($C1108="",N($G1108)=0),"",IF(I1108=0,$G1108,0)),"")</f>
        <v/>
      </c>
      <c r="K1108" s="60" t="str">
        <f aca="false">IF(IsPro,IF($C1108="","",IF(AND(OR($C1108="Receipt",$C1108="Payment"),$D1108=""),"Party needed",IF(AND(OR($C1108="Expense",$C1108="Other Income"),$E1108=""),"Head needed",IF($F1108="","Account needed","OK")))),IF($C1108="","","PRO PLAN"))</f>
        <v/>
      </c>
    </row>
    <row r="1109" customFormat="false" ht="15" hidden="false" customHeight="false" outlineLevel="0" collapsed="false">
      <c r="A1109" s="55"/>
      <c r="B1109" s="56"/>
      <c r="C1109" s="56"/>
      <c r="D1109" s="56"/>
      <c r="E1109" s="56"/>
      <c r="F1109" s="56"/>
      <c r="G1109" s="58"/>
      <c r="H1109" s="56"/>
      <c r="I1109" s="61" t="str">
        <f aca="false">IF(IsPro,IF(OR($C1109="",N($G1109)=0),"",IF(OR($C1109="Receipt",$C1109="Other Income",$C1109="Capital In",$C1109="Transfer In"),$G1109,0)),"")</f>
        <v/>
      </c>
      <c r="J1109" s="61" t="str">
        <f aca="false">IF(IsPro,IF(OR($C1109="",N($G1109)=0),"",IF(I1109=0,$G1109,0)),"")</f>
        <v/>
      </c>
      <c r="K1109" s="60" t="str">
        <f aca="false">IF(IsPro,IF($C1109="","",IF(AND(OR($C1109="Receipt",$C1109="Payment"),$D1109=""),"Party needed",IF(AND(OR($C1109="Expense",$C1109="Other Income"),$E1109=""),"Head needed",IF($F1109="","Account needed","OK")))),IF($C1109="","","PRO PLAN"))</f>
        <v/>
      </c>
    </row>
    <row r="1110" customFormat="false" ht="15" hidden="false" customHeight="false" outlineLevel="0" collapsed="false">
      <c r="A1110" s="55"/>
      <c r="B1110" s="56"/>
      <c r="C1110" s="56"/>
      <c r="D1110" s="56"/>
      <c r="E1110" s="56"/>
      <c r="F1110" s="56"/>
      <c r="G1110" s="58"/>
      <c r="H1110" s="56"/>
      <c r="I1110" s="61" t="str">
        <f aca="false">IF(IsPro,IF(OR($C1110="",N($G1110)=0),"",IF(OR($C1110="Receipt",$C1110="Other Income",$C1110="Capital In",$C1110="Transfer In"),$G1110,0)),"")</f>
        <v/>
      </c>
      <c r="J1110" s="61" t="str">
        <f aca="false">IF(IsPro,IF(OR($C1110="",N($G1110)=0),"",IF(I1110=0,$G1110,0)),"")</f>
        <v/>
      </c>
      <c r="K1110" s="60" t="str">
        <f aca="false">IF(IsPro,IF($C1110="","",IF(AND(OR($C1110="Receipt",$C1110="Payment"),$D1110=""),"Party needed",IF(AND(OR($C1110="Expense",$C1110="Other Income"),$E1110=""),"Head needed",IF($F1110="","Account needed","OK")))),IF($C1110="","","PRO PLAN"))</f>
        <v/>
      </c>
    </row>
    <row r="1111" customFormat="false" ht="15" hidden="false" customHeight="false" outlineLevel="0" collapsed="false">
      <c r="A1111" s="55"/>
      <c r="B1111" s="56"/>
      <c r="C1111" s="56"/>
      <c r="D1111" s="56"/>
      <c r="E1111" s="56"/>
      <c r="F1111" s="56"/>
      <c r="G1111" s="58"/>
      <c r="H1111" s="56"/>
      <c r="I1111" s="61" t="str">
        <f aca="false">IF(IsPro,IF(OR($C1111="",N($G1111)=0),"",IF(OR($C1111="Receipt",$C1111="Other Income",$C1111="Capital In",$C1111="Transfer In"),$G1111,0)),"")</f>
        <v/>
      </c>
      <c r="J1111" s="61" t="str">
        <f aca="false">IF(IsPro,IF(OR($C1111="",N($G1111)=0),"",IF(I1111=0,$G1111,0)),"")</f>
        <v/>
      </c>
      <c r="K1111" s="60" t="str">
        <f aca="false">IF(IsPro,IF($C1111="","",IF(AND(OR($C1111="Receipt",$C1111="Payment"),$D1111=""),"Party needed",IF(AND(OR($C1111="Expense",$C1111="Other Income"),$E1111=""),"Head needed",IF($F1111="","Account needed","OK")))),IF($C1111="","","PRO PLAN"))</f>
        <v/>
      </c>
    </row>
    <row r="1112" customFormat="false" ht="15" hidden="false" customHeight="false" outlineLevel="0" collapsed="false">
      <c r="A1112" s="55"/>
      <c r="B1112" s="56"/>
      <c r="C1112" s="56"/>
      <c r="D1112" s="56"/>
      <c r="E1112" s="56"/>
      <c r="F1112" s="56"/>
      <c r="G1112" s="58"/>
      <c r="H1112" s="56"/>
      <c r="I1112" s="61" t="str">
        <f aca="false">IF(IsPro,IF(OR($C1112="",N($G1112)=0),"",IF(OR($C1112="Receipt",$C1112="Other Income",$C1112="Capital In",$C1112="Transfer In"),$G1112,0)),"")</f>
        <v/>
      </c>
      <c r="J1112" s="61" t="str">
        <f aca="false">IF(IsPro,IF(OR($C1112="",N($G1112)=0),"",IF(I1112=0,$G1112,0)),"")</f>
        <v/>
      </c>
      <c r="K1112" s="60" t="str">
        <f aca="false">IF(IsPro,IF($C1112="","",IF(AND(OR($C1112="Receipt",$C1112="Payment"),$D1112=""),"Party needed",IF(AND(OR($C1112="Expense",$C1112="Other Income"),$E1112=""),"Head needed",IF($F1112="","Account needed","OK")))),IF($C1112="","","PRO PLAN"))</f>
        <v/>
      </c>
    </row>
    <row r="1113" customFormat="false" ht="15" hidden="false" customHeight="false" outlineLevel="0" collapsed="false">
      <c r="A1113" s="55"/>
      <c r="B1113" s="56"/>
      <c r="C1113" s="56"/>
      <c r="D1113" s="56"/>
      <c r="E1113" s="56"/>
      <c r="F1113" s="56"/>
      <c r="G1113" s="58"/>
      <c r="H1113" s="56"/>
      <c r="I1113" s="61" t="str">
        <f aca="false">IF(IsPro,IF(OR($C1113="",N($G1113)=0),"",IF(OR($C1113="Receipt",$C1113="Other Income",$C1113="Capital In",$C1113="Transfer In"),$G1113,0)),"")</f>
        <v/>
      </c>
      <c r="J1113" s="61" t="str">
        <f aca="false">IF(IsPro,IF(OR($C1113="",N($G1113)=0),"",IF(I1113=0,$G1113,0)),"")</f>
        <v/>
      </c>
      <c r="K1113" s="60" t="str">
        <f aca="false">IF(IsPro,IF($C1113="","",IF(AND(OR($C1113="Receipt",$C1113="Payment"),$D1113=""),"Party needed",IF(AND(OR($C1113="Expense",$C1113="Other Income"),$E1113=""),"Head needed",IF($F1113="","Account needed","OK")))),IF($C1113="","","PRO PLAN"))</f>
        <v/>
      </c>
    </row>
    <row r="1114" customFormat="false" ht="15" hidden="false" customHeight="false" outlineLevel="0" collapsed="false">
      <c r="A1114" s="55"/>
      <c r="B1114" s="56"/>
      <c r="C1114" s="56"/>
      <c r="D1114" s="56"/>
      <c r="E1114" s="56"/>
      <c r="F1114" s="56"/>
      <c r="G1114" s="58"/>
      <c r="H1114" s="56"/>
      <c r="I1114" s="61" t="str">
        <f aca="false">IF(IsPro,IF(OR($C1114="",N($G1114)=0),"",IF(OR($C1114="Receipt",$C1114="Other Income",$C1114="Capital In",$C1114="Transfer In"),$G1114,0)),"")</f>
        <v/>
      </c>
      <c r="J1114" s="61" t="str">
        <f aca="false">IF(IsPro,IF(OR($C1114="",N($G1114)=0),"",IF(I1114=0,$G1114,0)),"")</f>
        <v/>
      </c>
      <c r="K1114" s="60" t="str">
        <f aca="false">IF(IsPro,IF($C1114="","",IF(AND(OR($C1114="Receipt",$C1114="Payment"),$D1114=""),"Party needed",IF(AND(OR($C1114="Expense",$C1114="Other Income"),$E1114=""),"Head needed",IF($F1114="","Account needed","OK")))),IF($C1114="","","PRO PLAN"))</f>
        <v/>
      </c>
    </row>
    <row r="1115" customFormat="false" ht="15" hidden="false" customHeight="false" outlineLevel="0" collapsed="false">
      <c r="A1115" s="55"/>
      <c r="B1115" s="56"/>
      <c r="C1115" s="56"/>
      <c r="D1115" s="56"/>
      <c r="E1115" s="56"/>
      <c r="F1115" s="56"/>
      <c r="G1115" s="58"/>
      <c r="H1115" s="56"/>
      <c r="I1115" s="61" t="str">
        <f aca="false">IF(IsPro,IF(OR($C1115="",N($G1115)=0),"",IF(OR($C1115="Receipt",$C1115="Other Income",$C1115="Capital In",$C1115="Transfer In"),$G1115,0)),"")</f>
        <v/>
      </c>
      <c r="J1115" s="61" t="str">
        <f aca="false">IF(IsPro,IF(OR($C1115="",N($G1115)=0),"",IF(I1115=0,$G1115,0)),"")</f>
        <v/>
      </c>
      <c r="K1115" s="60" t="str">
        <f aca="false">IF(IsPro,IF($C1115="","",IF(AND(OR($C1115="Receipt",$C1115="Payment"),$D1115=""),"Party needed",IF(AND(OR($C1115="Expense",$C1115="Other Income"),$E1115=""),"Head needed",IF($F1115="","Account needed","OK")))),IF($C1115="","","PRO PLAN"))</f>
        <v/>
      </c>
    </row>
    <row r="1116" customFormat="false" ht="15" hidden="false" customHeight="false" outlineLevel="0" collapsed="false">
      <c r="A1116" s="55"/>
      <c r="B1116" s="56"/>
      <c r="C1116" s="56"/>
      <c r="D1116" s="56"/>
      <c r="E1116" s="56"/>
      <c r="F1116" s="56"/>
      <c r="G1116" s="58"/>
      <c r="H1116" s="56"/>
      <c r="I1116" s="61" t="str">
        <f aca="false">IF(IsPro,IF(OR($C1116="",N($G1116)=0),"",IF(OR($C1116="Receipt",$C1116="Other Income",$C1116="Capital In",$C1116="Transfer In"),$G1116,0)),"")</f>
        <v/>
      </c>
      <c r="J1116" s="61" t="str">
        <f aca="false">IF(IsPro,IF(OR($C1116="",N($G1116)=0),"",IF(I1116=0,$G1116,0)),"")</f>
        <v/>
      </c>
      <c r="K1116" s="60" t="str">
        <f aca="false">IF(IsPro,IF($C1116="","",IF(AND(OR($C1116="Receipt",$C1116="Payment"),$D1116=""),"Party needed",IF(AND(OR($C1116="Expense",$C1116="Other Income"),$E1116=""),"Head needed",IF($F1116="","Account needed","OK")))),IF($C1116="","","PRO PLAN"))</f>
        <v/>
      </c>
    </row>
    <row r="1117" customFormat="false" ht="15" hidden="false" customHeight="false" outlineLevel="0" collapsed="false">
      <c r="A1117" s="55"/>
      <c r="B1117" s="56"/>
      <c r="C1117" s="56"/>
      <c r="D1117" s="56"/>
      <c r="E1117" s="56"/>
      <c r="F1117" s="56"/>
      <c r="G1117" s="58"/>
      <c r="H1117" s="56"/>
      <c r="I1117" s="61" t="str">
        <f aca="false">IF(IsPro,IF(OR($C1117="",N($G1117)=0),"",IF(OR($C1117="Receipt",$C1117="Other Income",$C1117="Capital In",$C1117="Transfer In"),$G1117,0)),"")</f>
        <v/>
      </c>
      <c r="J1117" s="61" t="str">
        <f aca="false">IF(IsPro,IF(OR($C1117="",N($G1117)=0),"",IF(I1117=0,$G1117,0)),"")</f>
        <v/>
      </c>
      <c r="K1117" s="60" t="str">
        <f aca="false">IF(IsPro,IF($C1117="","",IF(AND(OR($C1117="Receipt",$C1117="Payment"),$D1117=""),"Party needed",IF(AND(OR($C1117="Expense",$C1117="Other Income"),$E1117=""),"Head needed",IF($F1117="","Account needed","OK")))),IF($C1117="","","PRO PLAN"))</f>
        <v/>
      </c>
    </row>
    <row r="1118" customFormat="false" ht="15" hidden="false" customHeight="false" outlineLevel="0" collapsed="false">
      <c r="A1118" s="55"/>
      <c r="B1118" s="56"/>
      <c r="C1118" s="56"/>
      <c r="D1118" s="56"/>
      <c r="E1118" s="56"/>
      <c r="F1118" s="56"/>
      <c r="G1118" s="58"/>
      <c r="H1118" s="56"/>
      <c r="I1118" s="61" t="str">
        <f aca="false">IF(IsPro,IF(OR($C1118="",N($G1118)=0),"",IF(OR($C1118="Receipt",$C1118="Other Income",$C1118="Capital In",$C1118="Transfer In"),$G1118,0)),"")</f>
        <v/>
      </c>
      <c r="J1118" s="61" t="str">
        <f aca="false">IF(IsPro,IF(OR($C1118="",N($G1118)=0),"",IF(I1118=0,$G1118,0)),"")</f>
        <v/>
      </c>
      <c r="K1118" s="60" t="str">
        <f aca="false">IF(IsPro,IF($C1118="","",IF(AND(OR($C1118="Receipt",$C1118="Payment"),$D1118=""),"Party needed",IF(AND(OR($C1118="Expense",$C1118="Other Income"),$E1118=""),"Head needed",IF($F1118="","Account needed","OK")))),IF($C1118="","","PRO PLAN"))</f>
        <v/>
      </c>
    </row>
    <row r="1119" customFormat="false" ht="15" hidden="false" customHeight="false" outlineLevel="0" collapsed="false">
      <c r="A1119" s="55"/>
      <c r="B1119" s="56"/>
      <c r="C1119" s="56"/>
      <c r="D1119" s="56"/>
      <c r="E1119" s="56"/>
      <c r="F1119" s="56"/>
      <c r="G1119" s="58"/>
      <c r="H1119" s="56"/>
      <c r="I1119" s="61" t="str">
        <f aca="false">IF(IsPro,IF(OR($C1119="",N($G1119)=0),"",IF(OR($C1119="Receipt",$C1119="Other Income",$C1119="Capital In",$C1119="Transfer In"),$G1119,0)),"")</f>
        <v/>
      </c>
      <c r="J1119" s="61" t="str">
        <f aca="false">IF(IsPro,IF(OR($C1119="",N($G1119)=0),"",IF(I1119=0,$G1119,0)),"")</f>
        <v/>
      </c>
      <c r="K1119" s="60" t="str">
        <f aca="false">IF(IsPro,IF($C1119="","",IF(AND(OR($C1119="Receipt",$C1119="Payment"),$D1119=""),"Party needed",IF(AND(OR($C1119="Expense",$C1119="Other Income"),$E1119=""),"Head needed",IF($F1119="","Account needed","OK")))),IF($C1119="","","PRO PLAN"))</f>
        <v/>
      </c>
    </row>
    <row r="1120" customFormat="false" ht="15" hidden="false" customHeight="false" outlineLevel="0" collapsed="false">
      <c r="A1120" s="55"/>
      <c r="B1120" s="56"/>
      <c r="C1120" s="56"/>
      <c r="D1120" s="56"/>
      <c r="E1120" s="56"/>
      <c r="F1120" s="56"/>
      <c r="G1120" s="58"/>
      <c r="H1120" s="56"/>
      <c r="I1120" s="61" t="str">
        <f aca="false">IF(IsPro,IF(OR($C1120="",N($G1120)=0),"",IF(OR($C1120="Receipt",$C1120="Other Income",$C1120="Capital In",$C1120="Transfer In"),$G1120,0)),"")</f>
        <v/>
      </c>
      <c r="J1120" s="61" t="str">
        <f aca="false">IF(IsPro,IF(OR($C1120="",N($G1120)=0),"",IF(I1120=0,$G1120,0)),"")</f>
        <v/>
      </c>
      <c r="K1120" s="60" t="str">
        <f aca="false">IF(IsPro,IF($C1120="","",IF(AND(OR($C1120="Receipt",$C1120="Payment"),$D1120=""),"Party needed",IF(AND(OR($C1120="Expense",$C1120="Other Income"),$E1120=""),"Head needed",IF($F1120="","Account needed","OK")))),IF($C1120="","","PRO PLAN"))</f>
        <v/>
      </c>
    </row>
    <row r="1121" customFormat="false" ht="15" hidden="false" customHeight="false" outlineLevel="0" collapsed="false">
      <c r="A1121" s="55"/>
      <c r="B1121" s="56"/>
      <c r="C1121" s="56"/>
      <c r="D1121" s="56"/>
      <c r="E1121" s="56"/>
      <c r="F1121" s="56"/>
      <c r="G1121" s="58"/>
      <c r="H1121" s="56"/>
      <c r="I1121" s="61" t="str">
        <f aca="false">IF(IsPro,IF(OR($C1121="",N($G1121)=0),"",IF(OR($C1121="Receipt",$C1121="Other Income",$C1121="Capital In",$C1121="Transfer In"),$G1121,0)),"")</f>
        <v/>
      </c>
      <c r="J1121" s="61" t="str">
        <f aca="false">IF(IsPro,IF(OR($C1121="",N($G1121)=0),"",IF(I1121=0,$G1121,0)),"")</f>
        <v/>
      </c>
      <c r="K1121" s="60" t="str">
        <f aca="false">IF(IsPro,IF($C1121="","",IF(AND(OR($C1121="Receipt",$C1121="Payment"),$D1121=""),"Party needed",IF(AND(OR($C1121="Expense",$C1121="Other Income"),$E1121=""),"Head needed",IF($F1121="","Account needed","OK")))),IF($C1121="","","PRO PLAN"))</f>
        <v/>
      </c>
    </row>
    <row r="1122" customFormat="false" ht="15" hidden="false" customHeight="false" outlineLevel="0" collapsed="false">
      <c r="A1122" s="55"/>
      <c r="B1122" s="56"/>
      <c r="C1122" s="56"/>
      <c r="D1122" s="56"/>
      <c r="E1122" s="56"/>
      <c r="F1122" s="56"/>
      <c r="G1122" s="58"/>
      <c r="H1122" s="56"/>
      <c r="I1122" s="61" t="str">
        <f aca="false">IF(IsPro,IF(OR($C1122="",N($G1122)=0),"",IF(OR($C1122="Receipt",$C1122="Other Income",$C1122="Capital In",$C1122="Transfer In"),$G1122,0)),"")</f>
        <v/>
      </c>
      <c r="J1122" s="61" t="str">
        <f aca="false">IF(IsPro,IF(OR($C1122="",N($G1122)=0),"",IF(I1122=0,$G1122,0)),"")</f>
        <v/>
      </c>
      <c r="K1122" s="60" t="str">
        <f aca="false">IF(IsPro,IF($C1122="","",IF(AND(OR($C1122="Receipt",$C1122="Payment"),$D1122=""),"Party needed",IF(AND(OR($C1122="Expense",$C1122="Other Income"),$E1122=""),"Head needed",IF($F1122="","Account needed","OK")))),IF($C1122="","","PRO PLAN"))</f>
        <v/>
      </c>
    </row>
    <row r="1123" customFormat="false" ht="15" hidden="false" customHeight="false" outlineLevel="0" collapsed="false">
      <c r="A1123" s="55"/>
      <c r="B1123" s="56"/>
      <c r="C1123" s="56"/>
      <c r="D1123" s="56"/>
      <c r="E1123" s="56"/>
      <c r="F1123" s="56"/>
      <c r="G1123" s="58"/>
      <c r="H1123" s="56"/>
      <c r="I1123" s="61" t="str">
        <f aca="false">IF(IsPro,IF(OR($C1123="",N($G1123)=0),"",IF(OR($C1123="Receipt",$C1123="Other Income",$C1123="Capital In",$C1123="Transfer In"),$G1123,0)),"")</f>
        <v/>
      </c>
      <c r="J1123" s="61" t="str">
        <f aca="false">IF(IsPro,IF(OR($C1123="",N($G1123)=0),"",IF(I1123=0,$G1123,0)),"")</f>
        <v/>
      </c>
      <c r="K1123" s="60" t="str">
        <f aca="false">IF(IsPro,IF($C1123="","",IF(AND(OR($C1123="Receipt",$C1123="Payment"),$D1123=""),"Party needed",IF(AND(OR($C1123="Expense",$C1123="Other Income"),$E1123=""),"Head needed",IF($F1123="","Account needed","OK")))),IF($C1123="","","PRO PLAN"))</f>
        <v/>
      </c>
    </row>
    <row r="1124" customFormat="false" ht="15" hidden="false" customHeight="false" outlineLevel="0" collapsed="false">
      <c r="A1124" s="55"/>
      <c r="B1124" s="56"/>
      <c r="C1124" s="56"/>
      <c r="D1124" s="56"/>
      <c r="E1124" s="56"/>
      <c r="F1124" s="56"/>
      <c r="G1124" s="58"/>
      <c r="H1124" s="56"/>
      <c r="I1124" s="61" t="str">
        <f aca="false">IF(IsPro,IF(OR($C1124="",N($G1124)=0),"",IF(OR($C1124="Receipt",$C1124="Other Income",$C1124="Capital In",$C1124="Transfer In"),$G1124,0)),"")</f>
        <v/>
      </c>
      <c r="J1124" s="61" t="str">
        <f aca="false">IF(IsPro,IF(OR($C1124="",N($G1124)=0),"",IF(I1124=0,$G1124,0)),"")</f>
        <v/>
      </c>
      <c r="K1124" s="60" t="str">
        <f aca="false">IF(IsPro,IF($C1124="","",IF(AND(OR($C1124="Receipt",$C1124="Payment"),$D1124=""),"Party needed",IF(AND(OR($C1124="Expense",$C1124="Other Income"),$E1124=""),"Head needed",IF($F1124="","Account needed","OK")))),IF($C1124="","","PRO PLAN"))</f>
        <v/>
      </c>
    </row>
    <row r="1125" customFormat="false" ht="15" hidden="false" customHeight="false" outlineLevel="0" collapsed="false">
      <c r="A1125" s="55"/>
      <c r="B1125" s="56"/>
      <c r="C1125" s="56"/>
      <c r="D1125" s="56"/>
      <c r="E1125" s="56"/>
      <c r="F1125" s="56"/>
      <c r="G1125" s="58"/>
      <c r="H1125" s="56"/>
      <c r="I1125" s="61" t="str">
        <f aca="false">IF(IsPro,IF(OR($C1125="",N($G1125)=0),"",IF(OR($C1125="Receipt",$C1125="Other Income",$C1125="Capital In",$C1125="Transfer In"),$G1125,0)),"")</f>
        <v/>
      </c>
      <c r="J1125" s="61" t="str">
        <f aca="false">IF(IsPro,IF(OR($C1125="",N($G1125)=0),"",IF(I1125=0,$G1125,0)),"")</f>
        <v/>
      </c>
      <c r="K1125" s="60" t="str">
        <f aca="false">IF(IsPro,IF($C1125="","",IF(AND(OR($C1125="Receipt",$C1125="Payment"),$D1125=""),"Party needed",IF(AND(OR($C1125="Expense",$C1125="Other Income"),$E1125=""),"Head needed",IF($F1125="","Account needed","OK")))),IF($C1125="","","PRO PLAN"))</f>
        <v/>
      </c>
    </row>
    <row r="1126" customFormat="false" ht="15" hidden="false" customHeight="false" outlineLevel="0" collapsed="false">
      <c r="A1126" s="55"/>
      <c r="B1126" s="56"/>
      <c r="C1126" s="56"/>
      <c r="D1126" s="56"/>
      <c r="E1126" s="56"/>
      <c r="F1126" s="56"/>
      <c r="G1126" s="58"/>
      <c r="H1126" s="56"/>
      <c r="I1126" s="61" t="str">
        <f aca="false">IF(IsPro,IF(OR($C1126="",N($G1126)=0),"",IF(OR($C1126="Receipt",$C1126="Other Income",$C1126="Capital In",$C1126="Transfer In"),$G1126,0)),"")</f>
        <v/>
      </c>
      <c r="J1126" s="61" t="str">
        <f aca="false">IF(IsPro,IF(OR($C1126="",N($G1126)=0),"",IF(I1126=0,$G1126,0)),"")</f>
        <v/>
      </c>
      <c r="K1126" s="60" t="str">
        <f aca="false">IF(IsPro,IF($C1126="","",IF(AND(OR($C1126="Receipt",$C1126="Payment"),$D1126=""),"Party needed",IF(AND(OR($C1126="Expense",$C1126="Other Income"),$E1126=""),"Head needed",IF($F1126="","Account needed","OK")))),IF($C1126="","","PRO PLAN"))</f>
        <v/>
      </c>
    </row>
    <row r="1127" customFormat="false" ht="15" hidden="false" customHeight="false" outlineLevel="0" collapsed="false">
      <c r="A1127" s="55"/>
      <c r="B1127" s="56"/>
      <c r="C1127" s="56"/>
      <c r="D1127" s="56"/>
      <c r="E1127" s="56"/>
      <c r="F1127" s="56"/>
      <c r="G1127" s="58"/>
      <c r="H1127" s="56"/>
      <c r="I1127" s="61" t="str">
        <f aca="false">IF(IsPro,IF(OR($C1127="",N($G1127)=0),"",IF(OR($C1127="Receipt",$C1127="Other Income",$C1127="Capital In",$C1127="Transfer In"),$G1127,0)),"")</f>
        <v/>
      </c>
      <c r="J1127" s="61" t="str">
        <f aca="false">IF(IsPro,IF(OR($C1127="",N($G1127)=0),"",IF(I1127=0,$G1127,0)),"")</f>
        <v/>
      </c>
      <c r="K1127" s="60" t="str">
        <f aca="false">IF(IsPro,IF($C1127="","",IF(AND(OR($C1127="Receipt",$C1127="Payment"),$D1127=""),"Party needed",IF(AND(OR($C1127="Expense",$C1127="Other Income"),$E1127=""),"Head needed",IF($F1127="","Account needed","OK")))),IF($C1127="","","PRO PLAN"))</f>
        <v/>
      </c>
    </row>
    <row r="1128" customFormat="false" ht="15" hidden="false" customHeight="false" outlineLevel="0" collapsed="false">
      <c r="A1128" s="55"/>
      <c r="B1128" s="56"/>
      <c r="C1128" s="56"/>
      <c r="D1128" s="56"/>
      <c r="E1128" s="56"/>
      <c r="F1128" s="56"/>
      <c r="G1128" s="58"/>
      <c r="H1128" s="56"/>
      <c r="I1128" s="61" t="str">
        <f aca="false">IF(IsPro,IF(OR($C1128="",N($G1128)=0),"",IF(OR($C1128="Receipt",$C1128="Other Income",$C1128="Capital In",$C1128="Transfer In"),$G1128,0)),"")</f>
        <v/>
      </c>
      <c r="J1128" s="61" t="str">
        <f aca="false">IF(IsPro,IF(OR($C1128="",N($G1128)=0),"",IF(I1128=0,$G1128,0)),"")</f>
        <v/>
      </c>
      <c r="K1128" s="60" t="str">
        <f aca="false">IF(IsPro,IF($C1128="","",IF(AND(OR($C1128="Receipt",$C1128="Payment"),$D1128=""),"Party needed",IF(AND(OR($C1128="Expense",$C1128="Other Income"),$E1128=""),"Head needed",IF($F1128="","Account needed","OK")))),IF($C1128="","","PRO PLAN"))</f>
        <v/>
      </c>
    </row>
    <row r="1129" customFormat="false" ht="15" hidden="false" customHeight="false" outlineLevel="0" collapsed="false">
      <c r="A1129" s="55"/>
      <c r="B1129" s="56"/>
      <c r="C1129" s="56"/>
      <c r="D1129" s="56"/>
      <c r="E1129" s="56"/>
      <c r="F1129" s="56"/>
      <c r="G1129" s="58"/>
      <c r="H1129" s="56"/>
      <c r="I1129" s="61" t="str">
        <f aca="false">IF(IsPro,IF(OR($C1129="",N($G1129)=0),"",IF(OR($C1129="Receipt",$C1129="Other Income",$C1129="Capital In",$C1129="Transfer In"),$G1129,0)),"")</f>
        <v/>
      </c>
      <c r="J1129" s="61" t="str">
        <f aca="false">IF(IsPro,IF(OR($C1129="",N($G1129)=0),"",IF(I1129=0,$G1129,0)),"")</f>
        <v/>
      </c>
      <c r="K1129" s="60" t="str">
        <f aca="false">IF(IsPro,IF($C1129="","",IF(AND(OR($C1129="Receipt",$C1129="Payment"),$D1129=""),"Party needed",IF(AND(OR($C1129="Expense",$C1129="Other Income"),$E1129=""),"Head needed",IF($F1129="","Account needed","OK")))),IF($C1129="","","PRO PLAN"))</f>
        <v/>
      </c>
    </row>
    <row r="1130" customFormat="false" ht="15" hidden="false" customHeight="false" outlineLevel="0" collapsed="false">
      <c r="A1130" s="55"/>
      <c r="B1130" s="56"/>
      <c r="C1130" s="56"/>
      <c r="D1130" s="56"/>
      <c r="E1130" s="56"/>
      <c r="F1130" s="56"/>
      <c r="G1130" s="58"/>
      <c r="H1130" s="56"/>
      <c r="I1130" s="61" t="str">
        <f aca="false">IF(IsPro,IF(OR($C1130="",N($G1130)=0),"",IF(OR($C1130="Receipt",$C1130="Other Income",$C1130="Capital In",$C1130="Transfer In"),$G1130,0)),"")</f>
        <v/>
      </c>
      <c r="J1130" s="61" t="str">
        <f aca="false">IF(IsPro,IF(OR($C1130="",N($G1130)=0),"",IF(I1130=0,$G1130,0)),"")</f>
        <v/>
      </c>
      <c r="K1130" s="60" t="str">
        <f aca="false">IF(IsPro,IF($C1130="","",IF(AND(OR($C1130="Receipt",$C1130="Payment"),$D1130=""),"Party needed",IF(AND(OR($C1130="Expense",$C1130="Other Income"),$E1130=""),"Head needed",IF($F1130="","Account needed","OK")))),IF($C1130="","","PRO PLAN"))</f>
        <v/>
      </c>
    </row>
    <row r="1131" customFormat="false" ht="15" hidden="false" customHeight="false" outlineLevel="0" collapsed="false">
      <c r="A1131" s="55"/>
      <c r="B1131" s="56"/>
      <c r="C1131" s="56"/>
      <c r="D1131" s="56"/>
      <c r="E1131" s="56"/>
      <c r="F1131" s="56"/>
      <c r="G1131" s="58"/>
      <c r="H1131" s="56"/>
      <c r="I1131" s="61" t="str">
        <f aca="false">IF(IsPro,IF(OR($C1131="",N($G1131)=0),"",IF(OR($C1131="Receipt",$C1131="Other Income",$C1131="Capital In",$C1131="Transfer In"),$G1131,0)),"")</f>
        <v/>
      </c>
      <c r="J1131" s="61" t="str">
        <f aca="false">IF(IsPro,IF(OR($C1131="",N($G1131)=0),"",IF(I1131=0,$G1131,0)),"")</f>
        <v/>
      </c>
      <c r="K1131" s="60" t="str">
        <f aca="false">IF(IsPro,IF($C1131="","",IF(AND(OR($C1131="Receipt",$C1131="Payment"),$D1131=""),"Party needed",IF(AND(OR($C1131="Expense",$C1131="Other Income"),$E1131=""),"Head needed",IF($F1131="","Account needed","OK")))),IF($C1131="","","PRO PLAN"))</f>
        <v/>
      </c>
    </row>
    <row r="1132" customFormat="false" ht="15" hidden="false" customHeight="false" outlineLevel="0" collapsed="false">
      <c r="A1132" s="55"/>
      <c r="B1132" s="56"/>
      <c r="C1132" s="56"/>
      <c r="D1132" s="56"/>
      <c r="E1132" s="56"/>
      <c r="F1132" s="56"/>
      <c r="G1132" s="58"/>
      <c r="H1132" s="56"/>
      <c r="I1132" s="61" t="str">
        <f aca="false">IF(IsPro,IF(OR($C1132="",N($G1132)=0),"",IF(OR($C1132="Receipt",$C1132="Other Income",$C1132="Capital In",$C1132="Transfer In"),$G1132,0)),"")</f>
        <v/>
      </c>
      <c r="J1132" s="61" t="str">
        <f aca="false">IF(IsPro,IF(OR($C1132="",N($G1132)=0),"",IF(I1132=0,$G1132,0)),"")</f>
        <v/>
      </c>
      <c r="K1132" s="60" t="str">
        <f aca="false">IF(IsPro,IF($C1132="","",IF(AND(OR($C1132="Receipt",$C1132="Payment"),$D1132=""),"Party needed",IF(AND(OR($C1132="Expense",$C1132="Other Income"),$E1132=""),"Head needed",IF($F1132="","Account needed","OK")))),IF($C1132="","","PRO PLAN"))</f>
        <v/>
      </c>
    </row>
    <row r="1133" customFormat="false" ht="15" hidden="false" customHeight="false" outlineLevel="0" collapsed="false">
      <c r="A1133" s="55"/>
      <c r="B1133" s="56"/>
      <c r="C1133" s="56"/>
      <c r="D1133" s="56"/>
      <c r="E1133" s="56"/>
      <c r="F1133" s="56"/>
      <c r="G1133" s="58"/>
      <c r="H1133" s="56"/>
      <c r="I1133" s="61" t="str">
        <f aca="false">IF(IsPro,IF(OR($C1133="",N($G1133)=0),"",IF(OR($C1133="Receipt",$C1133="Other Income",$C1133="Capital In",$C1133="Transfer In"),$G1133,0)),"")</f>
        <v/>
      </c>
      <c r="J1133" s="61" t="str">
        <f aca="false">IF(IsPro,IF(OR($C1133="",N($G1133)=0),"",IF(I1133=0,$G1133,0)),"")</f>
        <v/>
      </c>
      <c r="K1133" s="60" t="str">
        <f aca="false">IF(IsPro,IF($C1133="","",IF(AND(OR($C1133="Receipt",$C1133="Payment"),$D1133=""),"Party needed",IF(AND(OR($C1133="Expense",$C1133="Other Income"),$E1133=""),"Head needed",IF($F1133="","Account needed","OK")))),IF($C1133="","","PRO PLAN"))</f>
        <v/>
      </c>
    </row>
    <row r="1134" customFormat="false" ht="15" hidden="false" customHeight="false" outlineLevel="0" collapsed="false">
      <c r="A1134" s="55"/>
      <c r="B1134" s="56"/>
      <c r="C1134" s="56"/>
      <c r="D1134" s="56"/>
      <c r="E1134" s="56"/>
      <c r="F1134" s="56"/>
      <c r="G1134" s="58"/>
      <c r="H1134" s="56"/>
      <c r="I1134" s="61" t="str">
        <f aca="false">IF(IsPro,IF(OR($C1134="",N($G1134)=0),"",IF(OR($C1134="Receipt",$C1134="Other Income",$C1134="Capital In",$C1134="Transfer In"),$G1134,0)),"")</f>
        <v/>
      </c>
      <c r="J1134" s="61" t="str">
        <f aca="false">IF(IsPro,IF(OR($C1134="",N($G1134)=0),"",IF(I1134=0,$G1134,0)),"")</f>
        <v/>
      </c>
      <c r="K1134" s="60" t="str">
        <f aca="false">IF(IsPro,IF($C1134="","",IF(AND(OR($C1134="Receipt",$C1134="Payment"),$D1134=""),"Party needed",IF(AND(OR($C1134="Expense",$C1134="Other Income"),$E1134=""),"Head needed",IF($F1134="","Account needed","OK")))),IF($C1134="","","PRO PLAN"))</f>
        <v/>
      </c>
    </row>
    <row r="1135" customFormat="false" ht="15" hidden="false" customHeight="false" outlineLevel="0" collapsed="false">
      <c r="A1135" s="55"/>
      <c r="B1135" s="56"/>
      <c r="C1135" s="56"/>
      <c r="D1135" s="56"/>
      <c r="E1135" s="56"/>
      <c r="F1135" s="56"/>
      <c r="G1135" s="58"/>
      <c r="H1135" s="56"/>
      <c r="I1135" s="61" t="str">
        <f aca="false">IF(IsPro,IF(OR($C1135="",N($G1135)=0),"",IF(OR($C1135="Receipt",$C1135="Other Income",$C1135="Capital In",$C1135="Transfer In"),$G1135,0)),"")</f>
        <v/>
      </c>
      <c r="J1135" s="61" t="str">
        <f aca="false">IF(IsPro,IF(OR($C1135="",N($G1135)=0),"",IF(I1135=0,$G1135,0)),"")</f>
        <v/>
      </c>
      <c r="K1135" s="60" t="str">
        <f aca="false">IF(IsPro,IF($C1135="","",IF(AND(OR($C1135="Receipt",$C1135="Payment"),$D1135=""),"Party needed",IF(AND(OR($C1135="Expense",$C1135="Other Income"),$E1135=""),"Head needed",IF($F1135="","Account needed","OK")))),IF($C1135="","","PRO PLAN"))</f>
        <v/>
      </c>
    </row>
    <row r="1136" customFormat="false" ht="15" hidden="false" customHeight="false" outlineLevel="0" collapsed="false">
      <c r="A1136" s="55"/>
      <c r="B1136" s="56"/>
      <c r="C1136" s="56"/>
      <c r="D1136" s="56"/>
      <c r="E1136" s="56"/>
      <c r="F1136" s="56"/>
      <c r="G1136" s="58"/>
      <c r="H1136" s="56"/>
      <c r="I1136" s="61" t="str">
        <f aca="false">IF(IsPro,IF(OR($C1136="",N($G1136)=0),"",IF(OR($C1136="Receipt",$C1136="Other Income",$C1136="Capital In",$C1136="Transfer In"),$G1136,0)),"")</f>
        <v/>
      </c>
      <c r="J1136" s="61" t="str">
        <f aca="false">IF(IsPro,IF(OR($C1136="",N($G1136)=0),"",IF(I1136=0,$G1136,0)),"")</f>
        <v/>
      </c>
      <c r="K1136" s="60" t="str">
        <f aca="false">IF(IsPro,IF($C1136="","",IF(AND(OR($C1136="Receipt",$C1136="Payment"),$D1136=""),"Party needed",IF(AND(OR($C1136="Expense",$C1136="Other Income"),$E1136=""),"Head needed",IF($F1136="","Account needed","OK")))),IF($C1136="","","PRO PLAN"))</f>
        <v/>
      </c>
    </row>
    <row r="1137" customFormat="false" ht="15" hidden="false" customHeight="false" outlineLevel="0" collapsed="false">
      <c r="A1137" s="55"/>
      <c r="B1137" s="56"/>
      <c r="C1137" s="56"/>
      <c r="D1137" s="56"/>
      <c r="E1137" s="56"/>
      <c r="F1137" s="56"/>
      <c r="G1137" s="58"/>
      <c r="H1137" s="56"/>
      <c r="I1137" s="61" t="str">
        <f aca="false">IF(IsPro,IF(OR($C1137="",N($G1137)=0),"",IF(OR($C1137="Receipt",$C1137="Other Income",$C1137="Capital In",$C1137="Transfer In"),$G1137,0)),"")</f>
        <v/>
      </c>
      <c r="J1137" s="61" t="str">
        <f aca="false">IF(IsPro,IF(OR($C1137="",N($G1137)=0),"",IF(I1137=0,$G1137,0)),"")</f>
        <v/>
      </c>
      <c r="K1137" s="60" t="str">
        <f aca="false">IF(IsPro,IF($C1137="","",IF(AND(OR($C1137="Receipt",$C1137="Payment"),$D1137=""),"Party needed",IF(AND(OR($C1137="Expense",$C1137="Other Income"),$E1137=""),"Head needed",IF($F1137="","Account needed","OK")))),IF($C1137="","","PRO PLAN"))</f>
        <v/>
      </c>
    </row>
    <row r="1138" customFormat="false" ht="15" hidden="false" customHeight="false" outlineLevel="0" collapsed="false">
      <c r="A1138" s="55"/>
      <c r="B1138" s="56"/>
      <c r="C1138" s="56"/>
      <c r="D1138" s="56"/>
      <c r="E1138" s="56"/>
      <c r="F1138" s="56"/>
      <c r="G1138" s="58"/>
      <c r="H1138" s="56"/>
      <c r="I1138" s="61" t="str">
        <f aca="false">IF(IsPro,IF(OR($C1138="",N($G1138)=0),"",IF(OR($C1138="Receipt",$C1138="Other Income",$C1138="Capital In",$C1138="Transfer In"),$G1138,0)),"")</f>
        <v/>
      </c>
      <c r="J1138" s="61" t="str">
        <f aca="false">IF(IsPro,IF(OR($C1138="",N($G1138)=0),"",IF(I1138=0,$G1138,0)),"")</f>
        <v/>
      </c>
      <c r="K1138" s="60" t="str">
        <f aca="false">IF(IsPro,IF($C1138="","",IF(AND(OR($C1138="Receipt",$C1138="Payment"),$D1138=""),"Party needed",IF(AND(OR($C1138="Expense",$C1138="Other Income"),$E1138=""),"Head needed",IF($F1138="","Account needed","OK")))),IF($C1138="","","PRO PLAN"))</f>
        <v/>
      </c>
    </row>
    <row r="1139" customFormat="false" ht="15" hidden="false" customHeight="false" outlineLevel="0" collapsed="false">
      <c r="A1139" s="55"/>
      <c r="B1139" s="56"/>
      <c r="C1139" s="56"/>
      <c r="D1139" s="56"/>
      <c r="E1139" s="56"/>
      <c r="F1139" s="56"/>
      <c r="G1139" s="58"/>
      <c r="H1139" s="56"/>
      <c r="I1139" s="61" t="str">
        <f aca="false">IF(IsPro,IF(OR($C1139="",N($G1139)=0),"",IF(OR($C1139="Receipt",$C1139="Other Income",$C1139="Capital In",$C1139="Transfer In"),$G1139,0)),"")</f>
        <v/>
      </c>
      <c r="J1139" s="61" t="str">
        <f aca="false">IF(IsPro,IF(OR($C1139="",N($G1139)=0),"",IF(I1139=0,$G1139,0)),"")</f>
        <v/>
      </c>
      <c r="K1139" s="60" t="str">
        <f aca="false">IF(IsPro,IF($C1139="","",IF(AND(OR($C1139="Receipt",$C1139="Payment"),$D1139=""),"Party needed",IF(AND(OR($C1139="Expense",$C1139="Other Income"),$E1139=""),"Head needed",IF($F1139="","Account needed","OK")))),IF($C1139="","","PRO PLAN"))</f>
        <v/>
      </c>
    </row>
    <row r="1140" customFormat="false" ht="15" hidden="false" customHeight="false" outlineLevel="0" collapsed="false">
      <c r="A1140" s="55"/>
      <c r="B1140" s="56"/>
      <c r="C1140" s="56"/>
      <c r="D1140" s="56"/>
      <c r="E1140" s="56"/>
      <c r="F1140" s="56"/>
      <c r="G1140" s="58"/>
      <c r="H1140" s="56"/>
      <c r="I1140" s="61" t="str">
        <f aca="false">IF(IsPro,IF(OR($C1140="",N($G1140)=0),"",IF(OR($C1140="Receipt",$C1140="Other Income",$C1140="Capital In",$C1140="Transfer In"),$G1140,0)),"")</f>
        <v/>
      </c>
      <c r="J1140" s="61" t="str">
        <f aca="false">IF(IsPro,IF(OR($C1140="",N($G1140)=0),"",IF(I1140=0,$G1140,0)),"")</f>
        <v/>
      </c>
      <c r="K1140" s="60" t="str">
        <f aca="false">IF(IsPro,IF($C1140="","",IF(AND(OR($C1140="Receipt",$C1140="Payment"),$D1140=""),"Party needed",IF(AND(OR($C1140="Expense",$C1140="Other Income"),$E1140=""),"Head needed",IF($F1140="","Account needed","OK")))),IF($C1140="","","PRO PLAN"))</f>
        <v/>
      </c>
    </row>
    <row r="1141" customFormat="false" ht="15" hidden="false" customHeight="false" outlineLevel="0" collapsed="false">
      <c r="A1141" s="55"/>
      <c r="B1141" s="56"/>
      <c r="C1141" s="56"/>
      <c r="D1141" s="56"/>
      <c r="E1141" s="56"/>
      <c r="F1141" s="56"/>
      <c r="G1141" s="58"/>
      <c r="H1141" s="56"/>
      <c r="I1141" s="61" t="str">
        <f aca="false">IF(IsPro,IF(OR($C1141="",N($G1141)=0),"",IF(OR($C1141="Receipt",$C1141="Other Income",$C1141="Capital In",$C1141="Transfer In"),$G1141,0)),"")</f>
        <v/>
      </c>
      <c r="J1141" s="61" t="str">
        <f aca="false">IF(IsPro,IF(OR($C1141="",N($G1141)=0),"",IF(I1141=0,$G1141,0)),"")</f>
        <v/>
      </c>
      <c r="K1141" s="60" t="str">
        <f aca="false">IF(IsPro,IF($C1141="","",IF(AND(OR($C1141="Receipt",$C1141="Payment"),$D1141=""),"Party needed",IF(AND(OR($C1141="Expense",$C1141="Other Income"),$E1141=""),"Head needed",IF($F1141="","Account needed","OK")))),IF($C1141="","","PRO PLAN"))</f>
        <v/>
      </c>
    </row>
    <row r="1142" customFormat="false" ht="15" hidden="false" customHeight="false" outlineLevel="0" collapsed="false">
      <c r="A1142" s="55"/>
      <c r="B1142" s="56"/>
      <c r="C1142" s="56"/>
      <c r="D1142" s="56"/>
      <c r="E1142" s="56"/>
      <c r="F1142" s="56"/>
      <c r="G1142" s="58"/>
      <c r="H1142" s="56"/>
      <c r="I1142" s="61" t="str">
        <f aca="false">IF(IsPro,IF(OR($C1142="",N($G1142)=0),"",IF(OR($C1142="Receipt",$C1142="Other Income",$C1142="Capital In",$C1142="Transfer In"),$G1142,0)),"")</f>
        <v/>
      </c>
      <c r="J1142" s="61" t="str">
        <f aca="false">IF(IsPro,IF(OR($C1142="",N($G1142)=0),"",IF(I1142=0,$G1142,0)),"")</f>
        <v/>
      </c>
      <c r="K1142" s="60" t="str">
        <f aca="false">IF(IsPro,IF($C1142="","",IF(AND(OR($C1142="Receipt",$C1142="Payment"),$D1142=""),"Party needed",IF(AND(OR($C1142="Expense",$C1142="Other Income"),$E1142=""),"Head needed",IF($F1142="","Account needed","OK")))),IF($C1142="","","PRO PLAN"))</f>
        <v/>
      </c>
    </row>
    <row r="1143" customFormat="false" ht="15" hidden="false" customHeight="false" outlineLevel="0" collapsed="false">
      <c r="A1143" s="55"/>
      <c r="B1143" s="56"/>
      <c r="C1143" s="56"/>
      <c r="D1143" s="56"/>
      <c r="E1143" s="56"/>
      <c r="F1143" s="56"/>
      <c r="G1143" s="58"/>
      <c r="H1143" s="56"/>
      <c r="I1143" s="61" t="str">
        <f aca="false">IF(IsPro,IF(OR($C1143="",N($G1143)=0),"",IF(OR($C1143="Receipt",$C1143="Other Income",$C1143="Capital In",$C1143="Transfer In"),$G1143,0)),"")</f>
        <v/>
      </c>
      <c r="J1143" s="61" t="str">
        <f aca="false">IF(IsPro,IF(OR($C1143="",N($G1143)=0),"",IF(I1143=0,$G1143,0)),"")</f>
        <v/>
      </c>
      <c r="K1143" s="60" t="str">
        <f aca="false">IF(IsPro,IF($C1143="","",IF(AND(OR($C1143="Receipt",$C1143="Payment"),$D1143=""),"Party needed",IF(AND(OR($C1143="Expense",$C1143="Other Income"),$E1143=""),"Head needed",IF($F1143="","Account needed","OK")))),IF($C1143="","","PRO PLAN"))</f>
        <v/>
      </c>
    </row>
    <row r="1144" customFormat="false" ht="15" hidden="false" customHeight="false" outlineLevel="0" collapsed="false">
      <c r="A1144" s="55"/>
      <c r="B1144" s="56"/>
      <c r="C1144" s="56"/>
      <c r="D1144" s="56"/>
      <c r="E1144" s="56"/>
      <c r="F1144" s="56"/>
      <c r="G1144" s="58"/>
      <c r="H1144" s="56"/>
      <c r="I1144" s="61" t="str">
        <f aca="false">IF(IsPro,IF(OR($C1144="",N($G1144)=0),"",IF(OR($C1144="Receipt",$C1144="Other Income",$C1144="Capital In",$C1144="Transfer In"),$G1144,0)),"")</f>
        <v/>
      </c>
      <c r="J1144" s="61" t="str">
        <f aca="false">IF(IsPro,IF(OR($C1144="",N($G1144)=0),"",IF(I1144=0,$G1144,0)),"")</f>
        <v/>
      </c>
      <c r="K1144" s="60" t="str">
        <f aca="false">IF(IsPro,IF($C1144="","",IF(AND(OR($C1144="Receipt",$C1144="Payment"),$D1144=""),"Party needed",IF(AND(OR($C1144="Expense",$C1144="Other Income"),$E1144=""),"Head needed",IF($F1144="","Account needed","OK")))),IF($C1144="","","PRO PLAN"))</f>
        <v/>
      </c>
    </row>
    <row r="1145" customFormat="false" ht="15" hidden="false" customHeight="false" outlineLevel="0" collapsed="false">
      <c r="A1145" s="55"/>
      <c r="B1145" s="56"/>
      <c r="C1145" s="56"/>
      <c r="D1145" s="56"/>
      <c r="E1145" s="56"/>
      <c r="F1145" s="56"/>
      <c r="G1145" s="58"/>
      <c r="H1145" s="56"/>
      <c r="I1145" s="61" t="str">
        <f aca="false">IF(IsPro,IF(OR($C1145="",N($G1145)=0),"",IF(OR($C1145="Receipt",$C1145="Other Income",$C1145="Capital In",$C1145="Transfer In"),$G1145,0)),"")</f>
        <v/>
      </c>
      <c r="J1145" s="61" t="str">
        <f aca="false">IF(IsPro,IF(OR($C1145="",N($G1145)=0),"",IF(I1145=0,$G1145,0)),"")</f>
        <v/>
      </c>
      <c r="K1145" s="60" t="str">
        <f aca="false">IF(IsPro,IF($C1145="","",IF(AND(OR($C1145="Receipt",$C1145="Payment"),$D1145=""),"Party needed",IF(AND(OR($C1145="Expense",$C1145="Other Income"),$E1145=""),"Head needed",IF($F1145="","Account needed","OK")))),IF($C1145="","","PRO PLAN"))</f>
        <v/>
      </c>
    </row>
    <row r="1146" customFormat="false" ht="15" hidden="false" customHeight="false" outlineLevel="0" collapsed="false">
      <c r="A1146" s="55"/>
      <c r="B1146" s="56"/>
      <c r="C1146" s="56"/>
      <c r="D1146" s="56"/>
      <c r="E1146" s="56"/>
      <c r="F1146" s="56"/>
      <c r="G1146" s="58"/>
      <c r="H1146" s="56"/>
      <c r="I1146" s="61" t="str">
        <f aca="false">IF(IsPro,IF(OR($C1146="",N($G1146)=0),"",IF(OR($C1146="Receipt",$C1146="Other Income",$C1146="Capital In",$C1146="Transfer In"),$G1146,0)),"")</f>
        <v/>
      </c>
      <c r="J1146" s="61" t="str">
        <f aca="false">IF(IsPro,IF(OR($C1146="",N($G1146)=0),"",IF(I1146=0,$G1146,0)),"")</f>
        <v/>
      </c>
      <c r="K1146" s="60" t="str">
        <f aca="false">IF(IsPro,IF($C1146="","",IF(AND(OR($C1146="Receipt",$C1146="Payment"),$D1146=""),"Party needed",IF(AND(OR($C1146="Expense",$C1146="Other Income"),$E1146=""),"Head needed",IF($F1146="","Account needed","OK")))),IF($C1146="","","PRO PLAN"))</f>
        <v/>
      </c>
    </row>
    <row r="1147" customFormat="false" ht="15" hidden="false" customHeight="false" outlineLevel="0" collapsed="false">
      <c r="A1147" s="55"/>
      <c r="B1147" s="56"/>
      <c r="C1147" s="56"/>
      <c r="D1147" s="56"/>
      <c r="E1147" s="56"/>
      <c r="F1147" s="56"/>
      <c r="G1147" s="58"/>
      <c r="H1147" s="56"/>
      <c r="I1147" s="61" t="str">
        <f aca="false">IF(IsPro,IF(OR($C1147="",N($G1147)=0),"",IF(OR($C1147="Receipt",$C1147="Other Income",$C1147="Capital In",$C1147="Transfer In"),$G1147,0)),"")</f>
        <v/>
      </c>
      <c r="J1147" s="61" t="str">
        <f aca="false">IF(IsPro,IF(OR($C1147="",N($G1147)=0),"",IF(I1147=0,$G1147,0)),"")</f>
        <v/>
      </c>
      <c r="K1147" s="60" t="str">
        <f aca="false">IF(IsPro,IF($C1147="","",IF(AND(OR($C1147="Receipt",$C1147="Payment"),$D1147=""),"Party needed",IF(AND(OR($C1147="Expense",$C1147="Other Income"),$E1147=""),"Head needed",IF($F1147="","Account needed","OK")))),IF($C1147="","","PRO PLAN"))</f>
        <v/>
      </c>
    </row>
    <row r="1148" customFormat="false" ht="15" hidden="false" customHeight="false" outlineLevel="0" collapsed="false">
      <c r="A1148" s="55"/>
      <c r="B1148" s="56"/>
      <c r="C1148" s="56"/>
      <c r="D1148" s="56"/>
      <c r="E1148" s="56"/>
      <c r="F1148" s="56"/>
      <c r="G1148" s="58"/>
      <c r="H1148" s="56"/>
      <c r="I1148" s="61" t="str">
        <f aca="false">IF(IsPro,IF(OR($C1148="",N($G1148)=0),"",IF(OR($C1148="Receipt",$C1148="Other Income",$C1148="Capital In",$C1148="Transfer In"),$G1148,0)),"")</f>
        <v/>
      </c>
      <c r="J1148" s="61" t="str">
        <f aca="false">IF(IsPro,IF(OR($C1148="",N($G1148)=0),"",IF(I1148=0,$G1148,0)),"")</f>
        <v/>
      </c>
      <c r="K1148" s="60" t="str">
        <f aca="false">IF(IsPro,IF($C1148="","",IF(AND(OR($C1148="Receipt",$C1148="Payment"),$D1148=""),"Party needed",IF(AND(OR($C1148="Expense",$C1148="Other Income"),$E1148=""),"Head needed",IF($F1148="","Account needed","OK")))),IF($C1148="","","PRO PLAN"))</f>
        <v/>
      </c>
    </row>
    <row r="1149" customFormat="false" ht="15" hidden="false" customHeight="false" outlineLevel="0" collapsed="false">
      <c r="A1149" s="55"/>
      <c r="B1149" s="56"/>
      <c r="C1149" s="56"/>
      <c r="D1149" s="56"/>
      <c r="E1149" s="56"/>
      <c r="F1149" s="56"/>
      <c r="G1149" s="58"/>
      <c r="H1149" s="56"/>
      <c r="I1149" s="61" t="str">
        <f aca="false">IF(IsPro,IF(OR($C1149="",N($G1149)=0),"",IF(OR($C1149="Receipt",$C1149="Other Income",$C1149="Capital In",$C1149="Transfer In"),$G1149,0)),"")</f>
        <v/>
      </c>
      <c r="J1149" s="61" t="str">
        <f aca="false">IF(IsPro,IF(OR($C1149="",N($G1149)=0),"",IF(I1149=0,$G1149,0)),"")</f>
        <v/>
      </c>
      <c r="K1149" s="60" t="str">
        <f aca="false">IF(IsPro,IF($C1149="","",IF(AND(OR($C1149="Receipt",$C1149="Payment"),$D1149=""),"Party needed",IF(AND(OR($C1149="Expense",$C1149="Other Income"),$E1149=""),"Head needed",IF($F1149="","Account needed","OK")))),IF($C1149="","","PRO PLAN"))</f>
        <v/>
      </c>
    </row>
    <row r="1150" customFormat="false" ht="15" hidden="false" customHeight="false" outlineLevel="0" collapsed="false">
      <c r="A1150" s="55"/>
      <c r="B1150" s="56"/>
      <c r="C1150" s="56"/>
      <c r="D1150" s="56"/>
      <c r="E1150" s="56"/>
      <c r="F1150" s="56"/>
      <c r="G1150" s="58"/>
      <c r="H1150" s="56"/>
      <c r="I1150" s="61" t="str">
        <f aca="false">IF(IsPro,IF(OR($C1150="",N($G1150)=0),"",IF(OR($C1150="Receipt",$C1150="Other Income",$C1150="Capital In",$C1150="Transfer In"),$G1150,0)),"")</f>
        <v/>
      </c>
      <c r="J1150" s="61" t="str">
        <f aca="false">IF(IsPro,IF(OR($C1150="",N($G1150)=0),"",IF(I1150=0,$G1150,0)),"")</f>
        <v/>
      </c>
      <c r="K1150" s="60" t="str">
        <f aca="false">IF(IsPro,IF($C1150="","",IF(AND(OR($C1150="Receipt",$C1150="Payment"),$D1150=""),"Party needed",IF(AND(OR($C1150="Expense",$C1150="Other Income"),$E1150=""),"Head needed",IF($F1150="","Account needed","OK")))),IF($C1150="","","PRO PLAN"))</f>
        <v/>
      </c>
    </row>
    <row r="1151" customFormat="false" ht="15" hidden="false" customHeight="false" outlineLevel="0" collapsed="false">
      <c r="A1151" s="55"/>
      <c r="B1151" s="56"/>
      <c r="C1151" s="56"/>
      <c r="D1151" s="56"/>
      <c r="E1151" s="56"/>
      <c r="F1151" s="56"/>
      <c r="G1151" s="58"/>
      <c r="H1151" s="56"/>
      <c r="I1151" s="61" t="str">
        <f aca="false">IF(IsPro,IF(OR($C1151="",N($G1151)=0),"",IF(OR($C1151="Receipt",$C1151="Other Income",$C1151="Capital In",$C1151="Transfer In"),$G1151,0)),"")</f>
        <v/>
      </c>
      <c r="J1151" s="61" t="str">
        <f aca="false">IF(IsPro,IF(OR($C1151="",N($G1151)=0),"",IF(I1151=0,$G1151,0)),"")</f>
        <v/>
      </c>
      <c r="K1151" s="60" t="str">
        <f aca="false">IF(IsPro,IF($C1151="","",IF(AND(OR($C1151="Receipt",$C1151="Payment"),$D1151=""),"Party needed",IF(AND(OR($C1151="Expense",$C1151="Other Income"),$E1151=""),"Head needed",IF($F1151="","Account needed","OK")))),IF($C1151="","","PRO PLAN"))</f>
        <v/>
      </c>
    </row>
    <row r="1152" customFormat="false" ht="15" hidden="false" customHeight="false" outlineLevel="0" collapsed="false">
      <c r="A1152" s="55"/>
      <c r="B1152" s="56"/>
      <c r="C1152" s="56"/>
      <c r="D1152" s="56"/>
      <c r="E1152" s="56"/>
      <c r="F1152" s="56"/>
      <c r="G1152" s="58"/>
      <c r="H1152" s="56"/>
      <c r="I1152" s="61" t="str">
        <f aca="false">IF(IsPro,IF(OR($C1152="",N($G1152)=0),"",IF(OR($C1152="Receipt",$C1152="Other Income",$C1152="Capital In",$C1152="Transfer In"),$G1152,0)),"")</f>
        <v/>
      </c>
      <c r="J1152" s="61" t="str">
        <f aca="false">IF(IsPro,IF(OR($C1152="",N($G1152)=0),"",IF(I1152=0,$G1152,0)),"")</f>
        <v/>
      </c>
      <c r="K1152" s="60" t="str">
        <f aca="false">IF(IsPro,IF($C1152="","",IF(AND(OR($C1152="Receipt",$C1152="Payment"),$D1152=""),"Party needed",IF(AND(OR($C1152="Expense",$C1152="Other Income"),$E1152=""),"Head needed",IF($F1152="","Account needed","OK")))),IF($C1152="","","PRO PLAN"))</f>
        <v/>
      </c>
    </row>
    <row r="1153" customFormat="false" ht="15" hidden="false" customHeight="false" outlineLevel="0" collapsed="false">
      <c r="A1153" s="55"/>
      <c r="B1153" s="56"/>
      <c r="C1153" s="56"/>
      <c r="D1153" s="56"/>
      <c r="E1153" s="56"/>
      <c r="F1153" s="56"/>
      <c r="G1153" s="58"/>
      <c r="H1153" s="56"/>
      <c r="I1153" s="61" t="str">
        <f aca="false">IF(IsPro,IF(OR($C1153="",N($G1153)=0),"",IF(OR($C1153="Receipt",$C1153="Other Income",$C1153="Capital In",$C1153="Transfer In"),$G1153,0)),"")</f>
        <v/>
      </c>
      <c r="J1153" s="61" t="str">
        <f aca="false">IF(IsPro,IF(OR($C1153="",N($G1153)=0),"",IF(I1153=0,$G1153,0)),"")</f>
        <v/>
      </c>
      <c r="K1153" s="60" t="str">
        <f aca="false">IF(IsPro,IF($C1153="","",IF(AND(OR($C1153="Receipt",$C1153="Payment"),$D1153=""),"Party needed",IF(AND(OR($C1153="Expense",$C1153="Other Income"),$E1153=""),"Head needed",IF($F1153="","Account needed","OK")))),IF($C1153="","","PRO PLAN"))</f>
        <v/>
      </c>
    </row>
    <row r="1154" customFormat="false" ht="15" hidden="false" customHeight="false" outlineLevel="0" collapsed="false">
      <c r="A1154" s="55"/>
      <c r="B1154" s="56"/>
      <c r="C1154" s="56"/>
      <c r="D1154" s="56"/>
      <c r="E1154" s="56"/>
      <c r="F1154" s="56"/>
      <c r="G1154" s="58"/>
      <c r="H1154" s="56"/>
      <c r="I1154" s="61" t="str">
        <f aca="false">IF(IsPro,IF(OR($C1154="",N($G1154)=0),"",IF(OR($C1154="Receipt",$C1154="Other Income",$C1154="Capital In",$C1154="Transfer In"),$G1154,0)),"")</f>
        <v/>
      </c>
      <c r="J1154" s="61" t="str">
        <f aca="false">IF(IsPro,IF(OR($C1154="",N($G1154)=0),"",IF(I1154=0,$G1154,0)),"")</f>
        <v/>
      </c>
      <c r="K1154" s="60" t="str">
        <f aca="false">IF(IsPro,IF($C1154="","",IF(AND(OR($C1154="Receipt",$C1154="Payment"),$D1154=""),"Party needed",IF(AND(OR($C1154="Expense",$C1154="Other Income"),$E1154=""),"Head needed",IF($F1154="","Account needed","OK")))),IF($C1154="","","PRO PLAN"))</f>
        <v/>
      </c>
    </row>
    <row r="1155" customFormat="false" ht="15" hidden="false" customHeight="false" outlineLevel="0" collapsed="false">
      <c r="A1155" s="55"/>
      <c r="B1155" s="56"/>
      <c r="C1155" s="56"/>
      <c r="D1155" s="56"/>
      <c r="E1155" s="56"/>
      <c r="F1155" s="56"/>
      <c r="G1155" s="58"/>
      <c r="H1155" s="56"/>
      <c r="I1155" s="61" t="str">
        <f aca="false">IF(IsPro,IF(OR($C1155="",N($G1155)=0),"",IF(OR($C1155="Receipt",$C1155="Other Income",$C1155="Capital In",$C1155="Transfer In"),$G1155,0)),"")</f>
        <v/>
      </c>
      <c r="J1155" s="61" t="str">
        <f aca="false">IF(IsPro,IF(OR($C1155="",N($G1155)=0),"",IF(I1155=0,$G1155,0)),"")</f>
        <v/>
      </c>
      <c r="K1155" s="60" t="str">
        <f aca="false">IF(IsPro,IF($C1155="","",IF(AND(OR($C1155="Receipt",$C1155="Payment"),$D1155=""),"Party needed",IF(AND(OR($C1155="Expense",$C1155="Other Income"),$E1155=""),"Head needed",IF($F1155="","Account needed","OK")))),IF($C1155="","","PRO PLAN"))</f>
        <v/>
      </c>
    </row>
    <row r="1156" customFormat="false" ht="15" hidden="false" customHeight="false" outlineLevel="0" collapsed="false">
      <c r="A1156" s="55"/>
      <c r="B1156" s="56"/>
      <c r="C1156" s="56"/>
      <c r="D1156" s="56"/>
      <c r="E1156" s="56"/>
      <c r="F1156" s="56"/>
      <c r="G1156" s="58"/>
      <c r="H1156" s="56"/>
      <c r="I1156" s="61" t="str">
        <f aca="false">IF(IsPro,IF(OR($C1156="",N($G1156)=0),"",IF(OR($C1156="Receipt",$C1156="Other Income",$C1156="Capital In",$C1156="Transfer In"),$G1156,0)),"")</f>
        <v/>
      </c>
      <c r="J1156" s="61" t="str">
        <f aca="false">IF(IsPro,IF(OR($C1156="",N($G1156)=0),"",IF(I1156=0,$G1156,0)),"")</f>
        <v/>
      </c>
      <c r="K1156" s="60" t="str">
        <f aca="false">IF(IsPro,IF($C1156="","",IF(AND(OR($C1156="Receipt",$C1156="Payment"),$D1156=""),"Party needed",IF(AND(OR($C1156="Expense",$C1156="Other Income"),$E1156=""),"Head needed",IF($F1156="","Account needed","OK")))),IF($C1156="","","PRO PLAN"))</f>
        <v/>
      </c>
    </row>
    <row r="1157" customFormat="false" ht="15" hidden="false" customHeight="false" outlineLevel="0" collapsed="false">
      <c r="A1157" s="55"/>
      <c r="B1157" s="56"/>
      <c r="C1157" s="56"/>
      <c r="D1157" s="56"/>
      <c r="E1157" s="56"/>
      <c r="F1157" s="56"/>
      <c r="G1157" s="58"/>
      <c r="H1157" s="56"/>
      <c r="I1157" s="61" t="str">
        <f aca="false">IF(IsPro,IF(OR($C1157="",N($G1157)=0),"",IF(OR($C1157="Receipt",$C1157="Other Income",$C1157="Capital In",$C1157="Transfer In"),$G1157,0)),"")</f>
        <v/>
      </c>
      <c r="J1157" s="61" t="str">
        <f aca="false">IF(IsPro,IF(OR($C1157="",N($G1157)=0),"",IF(I1157=0,$G1157,0)),"")</f>
        <v/>
      </c>
      <c r="K1157" s="60" t="str">
        <f aca="false">IF(IsPro,IF($C1157="","",IF(AND(OR($C1157="Receipt",$C1157="Payment"),$D1157=""),"Party needed",IF(AND(OR($C1157="Expense",$C1157="Other Income"),$E1157=""),"Head needed",IF($F1157="","Account needed","OK")))),IF($C1157="","","PRO PLAN"))</f>
        <v/>
      </c>
    </row>
    <row r="1158" customFormat="false" ht="15" hidden="false" customHeight="false" outlineLevel="0" collapsed="false">
      <c r="A1158" s="55"/>
      <c r="B1158" s="56"/>
      <c r="C1158" s="56"/>
      <c r="D1158" s="56"/>
      <c r="E1158" s="56"/>
      <c r="F1158" s="56"/>
      <c r="G1158" s="58"/>
      <c r="H1158" s="56"/>
      <c r="I1158" s="61" t="str">
        <f aca="false">IF(IsPro,IF(OR($C1158="",N($G1158)=0),"",IF(OR($C1158="Receipt",$C1158="Other Income",$C1158="Capital In",$C1158="Transfer In"),$G1158,0)),"")</f>
        <v/>
      </c>
      <c r="J1158" s="61" t="str">
        <f aca="false">IF(IsPro,IF(OR($C1158="",N($G1158)=0),"",IF(I1158=0,$G1158,0)),"")</f>
        <v/>
      </c>
      <c r="K1158" s="60" t="str">
        <f aca="false">IF(IsPro,IF($C1158="","",IF(AND(OR($C1158="Receipt",$C1158="Payment"),$D1158=""),"Party needed",IF(AND(OR($C1158="Expense",$C1158="Other Income"),$E1158=""),"Head needed",IF($F1158="","Account needed","OK")))),IF($C1158="","","PRO PLAN"))</f>
        <v/>
      </c>
    </row>
    <row r="1159" customFormat="false" ht="15" hidden="false" customHeight="false" outlineLevel="0" collapsed="false">
      <c r="A1159" s="55"/>
      <c r="B1159" s="56"/>
      <c r="C1159" s="56"/>
      <c r="D1159" s="56"/>
      <c r="E1159" s="56"/>
      <c r="F1159" s="56"/>
      <c r="G1159" s="58"/>
      <c r="H1159" s="56"/>
      <c r="I1159" s="61" t="str">
        <f aca="false">IF(IsPro,IF(OR($C1159="",N($G1159)=0),"",IF(OR($C1159="Receipt",$C1159="Other Income",$C1159="Capital In",$C1159="Transfer In"),$G1159,0)),"")</f>
        <v/>
      </c>
      <c r="J1159" s="61" t="str">
        <f aca="false">IF(IsPro,IF(OR($C1159="",N($G1159)=0),"",IF(I1159=0,$G1159,0)),"")</f>
        <v/>
      </c>
      <c r="K1159" s="60" t="str">
        <f aca="false">IF(IsPro,IF($C1159="","",IF(AND(OR($C1159="Receipt",$C1159="Payment"),$D1159=""),"Party needed",IF(AND(OR($C1159="Expense",$C1159="Other Income"),$E1159=""),"Head needed",IF($F1159="","Account needed","OK")))),IF($C1159="","","PRO PLAN"))</f>
        <v/>
      </c>
    </row>
    <row r="1160" customFormat="false" ht="15" hidden="false" customHeight="false" outlineLevel="0" collapsed="false">
      <c r="A1160" s="55"/>
      <c r="B1160" s="56"/>
      <c r="C1160" s="56"/>
      <c r="D1160" s="56"/>
      <c r="E1160" s="56"/>
      <c r="F1160" s="56"/>
      <c r="G1160" s="58"/>
      <c r="H1160" s="56"/>
      <c r="I1160" s="61" t="str">
        <f aca="false">IF(IsPro,IF(OR($C1160="",N($G1160)=0),"",IF(OR($C1160="Receipt",$C1160="Other Income",$C1160="Capital In",$C1160="Transfer In"),$G1160,0)),"")</f>
        <v/>
      </c>
      <c r="J1160" s="61" t="str">
        <f aca="false">IF(IsPro,IF(OR($C1160="",N($G1160)=0),"",IF(I1160=0,$G1160,0)),"")</f>
        <v/>
      </c>
      <c r="K1160" s="60" t="str">
        <f aca="false">IF(IsPro,IF($C1160="","",IF(AND(OR($C1160="Receipt",$C1160="Payment"),$D1160=""),"Party needed",IF(AND(OR($C1160="Expense",$C1160="Other Income"),$E1160=""),"Head needed",IF($F1160="","Account needed","OK")))),IF($C1160="","","PRO PLAN"))</f>
        <v/>
      </c>
    </row>
    <row r="1161" customFormat="false" ht="15" hidden="false" customHeight="false" outlineLevel="0" collapsed="false">
      <c r="A1161" s="55"/>
      <c r="B1161" s="56"/>
      <c r="C1161" s="56"/>
      <c r="D1161" s="56"/>
      <c r="E1161" s="56"/>
      <c r="F1161" s="56"/>
      <c r="G1161" s="58"/>
      <c r="H1161" s="56"/>
      <c r="I1161" s="61" t="str">
        <f aca="false">IF(IsPro,IF(OR($C1161="",N($G1161)=0),"",IF(OR($C1161="Receipt",$C1161="Other Income",$C1161="Capital In",$C1161="Transfer In"),$G1161,0)),"")</f>
        <v/>
      </c>
      <c r="J1161" s="61" t="str">
        <f aca="false">IF(IsPro,IF(OR($C1161="",N($G1161)=0),"",IF(I1161=0,$G1161,0)),"")</f>
        <v/>
      </c>
      <c r="K1161" s="60" t="str">
        <f aca="false">IF(IsPro,IF($C1161="","",IF(AND(OR($C1161="Receipt",$C1161="Payment"),$D1161=""),"Party needed",IF(AND(OR($C1161="Expense",$C1161="Other Income"),$E1161=""),"Head needed",IF($F1161="","Account needed","OK")))),IF($C1161="","","PRO PLAN"))</f>
        <v/>
      </c>
    </row>
    <row r="1162" customFormat="false" ht="15" hidden="false" customHeight="false" outlineLevel="0" collapsed="false">
      <c r="A1162" s="55"/>
      <c r="B1162" s="56"/>
      <c r="C1162" s="56"/>
      <c r="D1162" s="56"/>
      <c r="E1162" s="56"/>
      <c r="F1162" s="56"/>
      <c r="G1162" s="58"/>
      <c r="H1162" s="56"/>
      <c r="I1162" s="61" t="str">
        <f aca="false">IF(IsPro,IF(OR($C1162="",N($G1162)=0),"",IF(OR($C1162="Receipt",$C1162="Other Income",$C1162="Capital In",$C1162="Transfer In"),$G1162,0)),"")</f>
        <v/>
      </c>
      <c r="J1162" s="61" t="str">
        <f aca="false">IF(IsPro,IF(OR($C1162="",N($G1162)=0),"",IF(I1162=0,$G1162,0)),"")</f>
        <v/>
      </c>
      <c r="K1162" s="60" t="str">
        <f aca="false">IF(IsPro,IF($C1162="","",IF(AND(OR($C1162="Receipt",$C1162="Payment"),$D1162=""),"Party needed",IF(AND(OR($C1162="Expense",$C1162="Other Income"),$E1162=""),"Head needed",IF($F1162="","Account needed","OK")))),IF($C1162="","","PRO PLAN"))</f>
        <v/>
      </c>
    </row>
    <row r="1163" customFormat="false" ht="15" hidden="false" customHeight="false" outlineLevel="0" collapsed="false">
      <c r="A1163" s="55"/>
      <c r="B1163" s="56"/>
      <c r="C1163" s="56"/>
      <c r="D1163" s="56"/>
      <c r="E1163" s="56"/>
      <c r="F1163" s="56"/>
      <c r="G1163" s="58"/>
      <c r="H1163" s="56"/>
      <c r="I1163" s="61" t="str">
        <f aca="false">IF(IsPro,IF(OR($C1163="",N($G1163)=0),"",IF(OR($C1163="Receipt",$C1163="Other Income",$C1163="Capital In",$C1163="Transfer In"),$G1163,0)),"")</f>
        <v/>
      </c>
      <c r="J1163" s="61" t="str">
        <f aca="false">IF(IsPro,IF(OR($C1163="",N($G1163)=0),"",IF(I1163=0,$G1163,0)),"")</f>
        <v/>
      </c>
      <c r="K1163" s="60" t="str">
        <f aca="false">IF(IsPro,IF($C1163="","",IF(AND(OR($C1163="Receipt",$C1163="Payment"),$D1163=""),"Party needed",IF(AND(OR($C1163="Expense",$C1163="Other Income"),$E1163=""),"Head needed",IF($F1163="","Account needed","OK")))),IF($C1163="","","PRO PLAN"))</f>
        <v/>
      </c>
    </row>
    <row r="1164" customFormat="false" ht="15" hidden="false" customHeight="false" outlineLevel="0" collapsed="false">
      <c r="A1164" s="55"/>
      <c r="B1164" s="56"/>
      <c r="C1164" s="56"/>
      <c r="D1164" s="56"/>
      <c r="E1164" s="56"/>
      <c r="F1164" s="56"/>
      <c r="G1164" s="58"/>
      <c r="H1164" s="56"/>
      <c r="I1164" s="61" t="str">
        <f aca="false">IF(IsPro,IF(OR($C1164="",N($G1164)=0),"",IF(OR($C1164="Receipt",$C1164="Other Income",$C1164="Capital In",$C1164="Transfer In"),$G1164,0)),"")</f>
        <v/>
      </c>
      <c r="J1164" s="61" t="str">
        <f aca="false">IF(IsPro,IF(OR($C1164="",N($G1164)=0),"",IF(I1164=0,$G1164,0)),"")</f>
        <v/>
      </c>
      <c r="K1164" s="60" t="str">
        <f aca="false">IF(IsPro,IF($C1164="","",IF(AND(OR($C1164="Receipt",$C1164="Payment"),$D1164=""),"Party needed",IF(AND(OR($C1164="Expense",$C1164="Other Income"),$E1164=""),"Head needed",IF($F1164="","Account needed","OK")))),IF($C1164="","","PRO PLAN"))</f>
        <v/>
      </c>
    </row>
    <row r="1165" customFormat="false" ht="15" hidden="false" customHeight="false" outlineLevel="0" collapsed="false">
      <c r="A1165" s="55"/>
      <c r="B1165" s="56"/>
      <c r="C1165" s="56"/>
      <c r="D1165" s="56"/>
      <c r="E1165" s="56"/>
      <c r="F1165" s="56"/>
      <c r="G1165" s="58"/>
      <c r="H1165" s="56"/>
      <c r="I1165" s="61" t="str">
        <f aca="false">IF(IsPro,IF(OR($C1165="",N($G1165)=0),"",IF(OR($C1165="Receipt",$C1165="Other Income",$C1165="Capital In",$C1165="Transfer In"),$G1165,0)),"")</f>
        <v/>
      </c>
      <c r="J1165" s="61" t="str">
        <f aca="false">IF(IsPro,IF(OR($C1165="",N($G1165)=0),"",IF(I1165=0,$G1165,0)),"")</f>
        <v/>
      </c>
      <c r="K1165" s="60" t="str">
        <f aca="false">IF(IsPro,IF($C1165="","",IF(AND(OR($C1165="Receipt",$C1165="Payment"),$D1165=""),"Party needed",IF(AND(OR($C1165="Expense",$C1165="Other Income"),$E1165=""),"Head needed",IF($F1165="","Account needed","OK")))),IF($C1165="","","PRO PLAN"))</f>
        <v/>
      </c>
    </row>
    <row r="1166" customFormat="false" ht="15" hidden="false" customHeight="false" outlineLevel="0" collapsed="false">
      <c r="A1166" s="55"/>
      <c r="B1166" s="56"/>
      <c r="C1166" s="56"/>
      <c r="D1166" s="56"/>
      <c r="E1166" s="56"/>
      <c r="F1166" s="56"/>
      <c r="G1166" s="58"/>
      <c r="H1166" s="56"/>
      <c r="I1166" s="61" t="str">
        <f aca="false">IF(IsPro,IF(OR($C1166="",N($G1166)=0),"",IF(OR($C1166="Receipt",$C1166="Other Income",$C1166="Capital In",$C1166="Transfer In"),$G1166,0)),"")</f>
        <v/>
      </c>
      <c r="J1166" s="61" t="str">
        <f aca="false">IF(IsPro,IF(OR($C1166="",N($G1166)=0),"",IF(I1166=0,$G1166,0)),"")</f>
        <v/>
      </c>
      <c r="K1166" s="60" t="str">
        <f aca="false">IF(IsPro,IF($C1166="","",IF(AND(OR($C1166="Receipt",$C1166="Payment"),$D1166=""),"Party needed",IF(AND(OR($C1166="Expense",$C1166="Other Income"),$E1166=""),"Head needed",IF($F1166="","Account needed","OK")))),IF($C1166="","","PRO PLAN"))</f>
        <v/>
      </c>
    </row>
    <row r="1167" customFormat="false" ht="15" hidden="false" customHeight="false" outlineLevel="0" collapsed="false">
      <c r="A1167" s="55"/>
      <c r="B1167" s="56"/>
      <c r="C1167" s="56"/>
      <c r="D1167" s="56"/>
      <c r="E1167" s="56"/>
      <c r="F1167" s="56"/>
      <c r="G1167" s="58"/>
      <c r="H1167" s="56"/>
      <c r="I1167" s="61" t="str">
        <f aca="false">IF(IsPro,IF(OR($C1167="",N($G1167)=0),"",IF(OR($C1167="Receipt",$C1167="Other Income",$C1167="Capital In",$C1167="Transfer In"),$G1167,0)),"")</f>
        <v/>
      </c>
      <c r="J1167" s="61" t="str">
        <f aca="false">IF(IsPro,IF(OR($C1167="",N($G1167)=0),"",IF(I1167=0,$G1167,0)),"")</f>
        <v/>
      </c>
      <c r="K1167" s="60" t="str">
        <f aca="false">IF(IsPro,IF($C1167="","",IF(AND(OR($C1167="Receipt",$C1167="Payment"),$D1167=""),"Party needed",IF(AND(OR($C1167="Expense",$C1167="Other Income"),$E1167=""),"Head needed",IF($F1167="","Account needed","OK")))),IF($C1167="","","PRO PLAN"))</f>
        <v/>
      </c>
    </row>
    <row r="1168" customFormat="false" ht="15" hidden="false" customHeight="false" outlineLevel="0" collapsed="false">
      <c r="A1168" s="55"/>
      <c r="B1168" s="56"/>
      <c r="C1168" s="56"/>
      <c r="D1168" s="56"/>
      <c r="E1168" s="56"/>
      <c r="F1168" s="56"/>
      <c r="G1168" s="58"/>
      <c r="H1168" s="56"/>
      <c r="I1168" s="61" t="str">
        <f aca="false">IF(IsPro,IF(OR($C1168="",N($G1168)=0),"",IF(OR($C1168="Receipt",$C1168="Other Income",$C1168="Capital In",$C1168="Transfer In"),$G1168,0)),"")</f>
        <v/>
      </c>
      <c r="J1168" s="61" t="str">
        <f aca="false">IF(IsPro,IF(OR($C1168="",N($G1168)=0),"",IF(I1168=0,$G1168,0)),"")</f>
        <v/>
      </c>
      <c r="K1168" s="60" t="str">
        <f aca="false">IF(IsPro,IF($C1168="","",IF(AND(OR($C1168="Receipt",$C1168="Payment"),$D1168=""),"Party needed",IF(AND(OR($C1168="Expense",$C1168="Other Income"),$E1168=""),"Head needed",IF($F1168="","Account needed","OK")))),IF($C1168="","","PRO PLAN"))</f>
        <v/>
      </c>
    </row>
    <row r="1169" customFormat="false" ht="15" hidden="false" customHeight="false" outlineLevel="0" collapsed="false">
      <c r="A1169" s="55"/>
      <c r="B1169" s="56"/>
      <c r="C1169" s="56"/>
      <c r="D1169" s="56"/>
      <c r="E1169" s="56"/>
      <c r="F1169" s="56"/>
      <c r="G1169" s="58"/>
      <c r="H1169" s="56"/>
      <c r="I1169" s="61" t="str">
        <f aca="false">IF(IsPro,IF(OR($C1169="",N($G1169)=0),"",IF(OR($C1169="Receipt",$C1169="Other Income",$C1169="Capital In",$C1169="Transfer In"),$G1169,0)),"")</f>
        <v/>
      </c>
      <c r="J1169" s="61" t="str">
        <f aca="false">IF(IsPro,IF(OR($C1169="",N($G1169)=0),"",IF(I1169=0,$G1169,0)),"")</f>
        <v/>
      </c>
      <c r="K1169" s="60" t="str">
        <f aca="false">IF(IsPro,IF($C1169="","",IF(AND(OR($C1169="Receipt",$C1169="Payment"),$D1169=""),"Party needed",IF(AND(OR($C1169="Expense",$C1169="Other Income"),$E1169=""),"Head needed",IF($F1169="","Account needed","OK")))),IF($C1169="","","PRO PLAN"))</f>
        <v/>
      </c>
    </row>
    <row r="1170" customFormat="false" ht="15" hidden="false" customHeight="false" outlineLevel="0" collapsed="false">
      <c r="A1170" s="55"/>
      <c r="B1170" s="56"/>
      <c r="C1170" s="56"/>
      <c r="D1170" s="56"/>
      <c r="E1170" s="56"/>
      <c r="F1170" s="56"/>
      <c r="G1170" s="58"/>
      <c r="H1170" s="56"/>
      <c r="I1170" s="61" t="str">
        <f aca="false">IF(IsPro,IF(OR($C1170="",N($G1170)=0),"",IF(OR($C1170="Receipt",$C1170="Other Income",$C1170="Capital In",$C1170="Transfer In"),$G1170,0)),"")</f>
        <v/>
      </c>
      <c r="J1170" s="61" t="str">
        <f aca="false">IF(IsPro,IF(OR($C1170="",N($G1170)=0),"",IF(I1170=0,$G1170,0)),"")</f>
        <v/>
      </c>
      <c r="K1170" s="60" t="str">
        <f aca="false">IF(IsPro,IF($C1170="","",IF(AND(OR($C1170="Receipt",$C1170="Payment"),$D1170=""),"Party needed",IF(AND(OR($C1170="Expense",$C1170="Other Income"),$E1170=""),"Head needed",IF($F1170="","Account needed","OK")))),IF($C1170="","","PRO PLAN"))</f>
        <v/>
      </c>
    </row>
    <row r="1171" customFormat="false" ht="15" hidden="false" customHeight="false" outlineLevel="0" collapsed="false">
      <c r="A1171" s="55"/>
      <c r="B1171" s="56"/>
      <c r="C1171" s="56"/>
      <c r="D1171" s="56"/>
      <c r="E1171" s="56"/>
      <c r="F1171" s="56"/>
      <c r="G1171" s="58"/>
      <c r="H1171" s="56"/>
      <c r="I1171" s="61" t="str">
        <f aca="false">IF(IsPro,IF(OR($C1171="",N($G1171)=0),"",IF(OR($C1171="Receipt",$C1171="Other Income",$C1171="Capital In",$C1171="Transfer In"),$G1171,0)),"")</f>
        <v/>
      </c>
      <c r="J1171" s="61" t="str">
        <f aca="false">IF(IsPro,IF(OR($C1171="",N($G1171)=0),"",IF(I1171=0,$G1171,0)),"")</f>
        <v/>
      </c>
      <c r="K1171" s="60" t="str">
        <f aca="false">IF(IsPro,IF($C1171="","",IF(AND(OR($C1171="Receipt",$C1171="Payment"),$D1171=""),"Party needed",IF(AND(OR($C1171="Expense",$C1171="Other Income"),$E1171=""),"Head needed",IF($F1171="","Account needed","OK")))),IF($C1171="","","PRO PLAN"))</f>
        <v/>
      </c>
    </row>
    <row r="1172" customFormat="false" ht="15" hidden="false" customHeight="false" outlineLevel="0" collapsed="false">
      <c r="A1172" s="55"/>
      <c r="B1172" s="56"/>
      <c r="C1172" s="56"/>
      <c r="D1172" s="56"/>
      <c r="E1172" s="56"/>
      <c r="F1172" s="56"/>
      <c r="G1172" s="58"/>
      <c r="H1172" s="56"/>
      <c r="I1172" s="61" t="str">
        <f aca="false">IF(IsPro,IF(OR($C1172="",N($G1172)=0),"",IF(OR($C1172="Receipt",$C1172="Other Income",$C1172="Capital In",$C1172="Transfer In"),$G1172,0)),"")</f>
        <v/>
      </c>
      <c r="J1172" s="61" t="str">
        <f aca="false">IF(IsPro,IF(OR($C1172="",N($G1172)=0),"",IF(I1172=0,$G1172,0)),"")</f>
        <v/>
      </c>
      <c r="K1172" s="60" t="str">
        <f aca="false">IF(IsPro,IF($C1172="","",IF(AND(OR($C1172="Receipt",$C1172="Payment"),$D1172=""),"Party needed",IF(AND(OR($C1172="Expense",$C1172="Other Income"),$E1172=""),"Head needed",IF($F1172="","Account needed","OK")))),IF($C1172="","","PRO PLAN"))</f>
        <v/>
      </c>
    </row>
    <row r="1173" customFormat="false" ht="15" hidden="false" customHeight="false" outlineLevel="0" collapsed="false">
      <c r="A1173" s="55"/>
      <c r="B1173" s="56"/>
      <c r="C1173" s="56"/>
      <c r="D1173" s="56"/>
      <c r="E1173" s="56"/>
      <c r="F1173" s="56"/>
      <c r="G1173" s="58"/>
      <c r="H1173" s="56"/>
      <c r="I1173" s="61" t="str">
        <f aca="false">IF(IsPro,IF(OR($C1173="",N($G1173)=0),"",IF(OR($C1173="Receipt",$C1173="Other Income",$C1173="Capital In",$C1173="Transfer In"),$G1173,0)),"")</f>
        <v/>
      </c>
      <c r="J1173" s="61" t="str">
        <f aca="false">IF(IsPro,IF(OR($C1173="",N($G1173)=0),"",IF(I1173=0,$G1173,0)),"")</f>
        <v/>
      </c>
      <c r="K1173" s="60" t="str">
        <f aca="false">IF(IsPro,IF($C1173="","",IF(AND(OR($C1173="Receipt",$C1173="Payment"),$D1173=""),"Party needed",IF(AND(OR($C1173="Expense",$C1173="Other Income"),$E1173=""),"Head needed",IF($F1173="","Account needed","OK")))),IF($C1173="","","PRO PLAN"))</f>
        <v/>
      </c>
    </row>
    <row r="1174" customFormat="false" ht="15" hidden="false" customHeight="false" outlineLevel="0" collapsed="false">
      <c r="A1174" s="55"/>
      <c r="B1174" s="56"/>
      <c r="C1174" s="56"/>
      <c r="D1174" s="56"/>
      <c r="E1174" s="56"/>
      <c r="F1174" s="56"/>
      <c r="G1174" s="58"/>
      <c r="H1174" s="56"/>
      <c r="I1174" s="61" t="str">
        <f aca="false">IF(IsPro,IF(OR($C1174="",N($G1174)=0),"",IF(OR($C1174="Receipt",$C1174="Other Income",$C1174="Capital In",$C1174="Transfer In"),$G1174,0)),"")</f>
        <v/>
      </c>
      <c r="J1174" s="61" t="str">
        <f aca="false">IF(IsPro,IF(OR($C1174="",N($G1174)=0),"",IF(I1174=0,$G1174,0)),"")</f>
        <v/>
      </c>
      <c r="K1174" s="60" t="str">
        <f aca="false">IF(IsPro,IF($C1174="","",IF(AND(OR($C1174="Receipt",$C1174="Payment"),$D1174=""),"Party needed",IF(AND(OR($C1174="Expense",$C1174="Other Income"),$E1174=""),"Head needed",IF($F1174="","Account needed","OK")))),IF($C1174="","","PRO PLAN"))</f>
        <v/>
      </c>
    </row>
    <row r="1175" customFormat="false" ht="15" hidden="false" customHeight="false" outlineLevel="0" collapsed="false">
      <c r="A1175" s="55"/>
      <c r="B1175" s="56"/>
      <c r="C1175" s="56"/>
      <c r="D1175" s="56"/>
      <c r="E1175" s="56"/>
      <c r="F1175" s="56"/>
      <c r="G1175" s="58"/>
      <c r="H1175" s="56"/>
      <c r="I1175" s="61" t="str">
        <f aca="false">IF(IsPro,IF(OR($C1175="",N($G1175)=0),"",IF(OR($C1175="Receipt",$C1175="Other Income",$C1175="Capital In",$C1175="Transfer In"),$G1175,0)),"")</f>
        <v/>
      </c>
      <c r="J1175" s="61" t="str">
        <f aca="false">IF(IsPro,IF(OR($C1175="",N($G1175)=0),"",IF(I1175=0,$G1175,0)),"")</f>
        <v/>
      </c>
      <c r="K1175" s="60" t="str">
        <f aca="false">IF(IsPro,IF($C1175="","",IF(AND(OR($C1175="Receipt",$C1175="Payment"),$D1175=""),"Party needed",IF(AND(OR($C1175="Expense",$C1175="Other Income"),$E1175=""),"Head needed",IF($F1175="","Account needed","OK")))),IF($C1175="","","PRO PLAN"))</f>
        <v/>
      </c>
    </row>
    <row r="1176" customFormat="false" ht="15" hidden="false" customHeight="false" outlineLevel="0" collapsed="false">
      <c r="A1176" s="55"/>
      <c r="B1176" s="56"/>
      <c r="C1176" s="56"/>
      <c r="D1176" s="56"/>
      <c r="E1176" s="56"/>
      <c r="F1176" s="56"/>
      <c r="G1176" s="58"/>
      <c r="H1176" s="56"/>
      <c r="I1176" s="61" t="str">
        <f aca="false">IF(IsPro,IF(OR($C1176="",N($G1176)=0),"",IF(OR($C1176="Receipt",$C1176="Other Income",$C1176="Capital In",$C1176="Transfer In"),$G1176,0)),"")</f>
        <v/>
      </c>
      <c r="J1176" s="61" t="str">
        <f aca="false">IF(IsPro,IF(OR($C1176="",N($G1176)=0),"",IF(I1176=0,$G1176,0)),"")</f>
        <v/>
      </c>
      <c r="K1176" s="60" t="str">
        <f aca="false">IF(IsPro,IF($C1176="","",IF(AND(OR($C1176="Receipt",$C1176="Payment"),$D1176=""),"Party needed",IF(AND(OR($C1176="Expense",$C1176="Other Income"),$E1176=""),"Head needed",IF($F1176="","Account needed","OK")))),IF($C1176="","","PRO PLAN"))</f>
        <v/>
      </c>
    </row>
    <row r="1177" customFormat="false" ht="15" hidden="false" customHeight="false" outlineLevel="0" collapsed="false">
      <c r="A1177" s="55"/>
      <c r="B1177" s="56"/>
      <c r="C1177" s="56"/>
      <c r="D1177" s="56"/>
      <c r="E1177" s="56"/>
      <c r="F1177" s="56"/>
      <c r="G1177" s="58"/>
      <c r="H1177" s="56"/>
      <c r="I1177" s="61" t="str">
        <f aca="false">IF(IsPro,IF(OR($C1177="",N($G1177)=0),"",IF(OR($C1177="Receipt",$C1177="Other Income",$C1177="Capital In",$C1177="Transfer In"),$G1177,0)),"")</f>
        <v/>
      </c>
      <c r="J1177" s="61" t="str">
        <f aca="false">IF(IsPro,IF(OR($C1177="",N($G1177)=0),"",IF(I1177=0,$G1177,0)),"")</f>
        <v/>
      </c>
      <c r="K1177" s="60" t="str">
        <f aca="false">IF(IsPro,IF($C1177="","",IF(AND(OR($C1177="Receipt",$C1177="Payment"),$D1177=""),"Party needed",IF(AND(OR($C1177="Expense",$C1177="Other Income"),$E1177=""),"Head needed",IF($F1177="","Account needed","OK")))),IF($C1177="","","PRO PLAN"))</f>
        <v/>
      </c>
    </row>
    <row r="1178" customFormat="false" ht="15" hidden="false" customHeight="false" outlineLevel="0" collapsed="false">
      <c r="A1178" s="55"/>
      <c r="B1178" s="56"/>
      <c r="C1178" s="56"/>
      <c r="D1178" s="56"/>
      <c r="E1178" s="56"/>
      <c r="F1178" s="56"/>
      <c r="G1178" s="58"/>
      <c r="H1178" s="56"/>
      <c r="I1178" s="61" t="str">
        <f aca="false">IF(IsPro,IF(OR($C1178="",N($G1178)=0),"",IF(OR($C1178="Receipt",$C1178="Other Income",$C1178="Capital In",$C1178="Transfer In"),$G1178,0)),"")</f>
        <v/>
      </c>
      <c r="J1178" s="61" t="str">
        <f aca="false">IF(IsPro,IF(OR($C1178="",N($G1178)=0),"",IF(I1178=0,$G1178,0)),"")</f>
        <v/>
      </c>
      <c r="K1178" s="60" t="str">
        <f aca="false">IF(IsPro,IF($C1178="","",IF(AND(OR($C1178="Receipt",$C1178="Payment"),$D1178=""),"Party needed",IF(AND(OR($C1178="Expense",$C1178="Other Income"),$E1178=""),"Head needed",IF($F1178="","Account needed","OK")))),IF($C1178="","","PRO PLAN"))</f>
        <v/>
      </c>
    </row>
    <row r="1179" customFormat="false" ht="15" hidden="false" customHeight="false" outlineLevel="0" collapsed="false">
      <c r="A1179" s="55"/>
      <c r="B1179" s="56"/>
      <c r="C1179" s="56"/>
      <c r="D1179" s="56"/>
      <c r="E1179" s="56"/>
      <c r="F1179" s="56"/>
      <c r="G1179" s="58"/>
      <c r="H1179" s="56"/>
      <c r="I1179" s="61" t="str">
        <f aca="false">IF(IsPro,IF(OR($C1179="",N($G1179)=0),"",IF(OR($C1179="Receipt",$C1179="Other Income",$C1179="Capital In",$C1179="Transfer In"),$G1179,0)),"")</f>
        <v/>
      </c>
      <c r="J1179" s="61" t="str">
        <f aca="false">IF(IsPro,IF(OR($C1179="",N($G1179)=0),"",IF(I1179=0,$G1179,0)),"")</f>
        <v/>
      </c>
      <c r="K1179" s="60" t="str">
        <f aca="false">IF(IsPro,IF($C1179="","",IF(AND(OR($C1179="Receipt",$C1179="Payment"),$D1179=""),"Party needed",IF(AND(OR($C1179="Expense",$C1179="Other Income"),$E1179=""),"Head needed",IF($F1179="","Account needed","OK")))),IF($C1179="","","PRO PLAN"))</f>
        <v/>
      </c>
    </row>
    <row r="1180" customFormat="false" ht="15" hidden="false" customHeight="false" outlineLevel="0" collapsed="false">
      <c r="A1180" s="55"/>
      <c r="B1180" s="56"/>
      <c r="C1180" s="56"/>
      <c r="D1180" s="56"/>
      <c r="E1180" s="56"/>
      <c r="F1180" s="56"/>
      <c r="G1180" s="58"/>
      <c r="H1180" s="56"/>
      <c r="I1180" s="61" t="str">
        <f aca="false">IF(IsPro,IF(OR($C1180="",N($G1180)=0),"",IF(OR($C1180="Receipt",$C1180="Other Income",$C1180="Capital In",$C1180="Transfer In"),$G1180,0)),"")</f>
        <v/>
      </c>
      <c r="J1180" s="61" t="str">
        <f aca="false">IF(IsPro,IF(OR($C1180="",N($G1180)=0),"",IF(I1180=0,$G1180,0)),"")</f>
        <v/>
      </c>
      <c r="K1180" s="60" t="str">
        <f aca="false">IF(IsPro,IF($C1180="","",IF(AND(OR($C1180="Receipt",$C1180="Payment"),$D1180=""),"Party needed",IF(AND(OR($C1180="Expense",$C1180="Other Income"),$E1180=""),"Head needed",IF($F1180="","Account needed","OK")))),IF($C1180="","","PRO PLAN"))</f>
        <v/>
      </c>
    </row>
    <row r="1181" customFormat="false" ht="15" hidden="false" customHeight="false" outlineLevel="0" collapsed="false">
      <c r="A1181" s="55"/>
      <c r="B1181" s="56"/>
      <c r="C1181" s="56"/>
      <c r="D1181" s="56"/>
      <c r="E1181" s="56"/>
      <c r="F1181" s="56"/>
      <c r="G1181" s="58"/>
      <c r="H1181" s="56"/>
      <c r="I1181" s="61" t="str">
        <f aca="false">IF(IsPro,IF(OR($C1181="",N($G1181)=0),"",IF(OR($C1181="Receipt",$C1181="Other Income",$C1181="Capital In",$C1181="Transfer In"),$G1181,0)),"")</f>
        <v/>
      </c>
      <c r="J1181" s="61" t="str">
        <f aca="false">IF(IsPro,IF(OR($C1181="",N($G1181)=0),"",IF(I1181=0,$G1181,0)),"")</f>
        <v/>
      </c>
      <c r="K1181" s="60" t="str">
        <f aca="false">IF(IsPro,IF($C1181="","",IF(AND(OR($C1181="Receipt",$C1181="Payment"),$D1181=""),"Party needed",IF(AND(OR($C1181="Expense",$C1181="Other Income"),$E1181=""),"Head needed",IF($F1181="","Account needed","OK")))),IF($C1181="","","PRO PLAN"))</f>
        <v/>
      </c>
    </row>
    <row r="1182" customFormat="false" ht="15" hidden="false" customHeight="false" outlineLevel="0" collapsed="false">
      <c r="A1182" s="55"/>
      <c r="B1182" s="56"/>
      <c r="C1182" s="56"/>
      <c r="D1182" s="56"/>
      <c r="E1182" s="56"/>
      <c r="F1182" s="56"/>
      <c r="G1182" s="58"/>
      <c r="H1182" s="56"/>
      <c r="I1182" s="61" t="str">
        <f aca="false">IF(IsPro,IF(OR($C1182="",N($G1182)=0),"",IF(OR($C1182="Receipt",$C1182="Other Income",$C1182="Capital In",$C1182="Transfer In"),$G1182,0)),"")</f>
        <v/>
      </c>
      <c r="J1182" s="61" t="str">
        <f aca="false">IF(IsPro,IF(OR($C1182="",N($G1182)=0),"",IF(I1182=0,$G1182,0)),"")</f>
        <v/>
      </c>
      <c r="K1182" s="60" t="str">
        <f aca="false">IF(IsPro,IF($C1182="","",IF(AND(OR($C1182="Receipt",$C1182="Payment"),$D1182=""),"Party needed",IF(AND(OR($C1182="Expense",$C1182="Other Income"),$E1182=""),"Head needed",IF($F1182="","Account needed","OK")))),IF($C1182="","","PRO PLAN"))</f>
        <v/>
      </c>
    </row>
    <row r="1183" customFormat="false" ht="15" hidden="false" customHeight="false" outlineLevel="0" collapsed="false">
      <c r="A1183" s="55"/>
      <c r="B1183" s="56"/>
      <c r="C1183" s="56"/>
      <c r="D1183" s="56"/>
      <c r="E1183" s="56"/>
      <c r="F1183" s="56"/>
      <c r="G1183" s="58"/>
      <c r="H1183" s="56"/>
      <c r="I1183" s="61" t="str">
        <f aca="false">IF(IsPro,IF(OR($C1183="",N($G1183)=0),"",IF(OR($C1183="Receipt",$C1183="Other Income",$C1183="Capital In",$C1183="Transfer In"),$G1183,0)),"")</f>
        <v/>
      </c>
      <c r="J1183" s="61" t="str">
        <f aca="false">IF(IsPro,IF(OR($C1183="",N($G1183)=0),"",IF(I1183=0,$G1183,0)),"")</f>
        <v/>
      </c>
      <c r="K1183" s="60" t="str">
        <f aca="false">IF(IsPro,IF($C1183="","",IF(AND(OR($C1183="Receipt",$C1183="Payment"),$D1183=""),"Party needed",IF(AND(OR($C1183="Expense",$C1183="Other Income"),$E1183=""),"Head needed",IF($F1183="","Account needed","OK")))),IF($C1183="","","PRO PLAN"))</f>
        <v/>
      </c>
    </row>
    <row r="1184" customFormat="false" ht="15" hidden="false" customHeight="false" outlineLevel="0" collapsed="false">
      <c r="A1184" s="55"/>
      <c r="B1184" s="56"/>
      <c r="C1184" s="56"/>
      <c r="D1184" s="56"/>
      <c r="E1184" s="56"/>
      <c r="F1184" s="56"/>
      <c r="G1184" s="58"/>
      <c r="H1184" s="56"/>
      <c r="I1184" s="61" t="str">
        <f aca="false">IF(IsPro,IF(OR($C1184="",N($G1184)=0),"",IF(OR($C1184="Receipt",$C1184="Other Income",$C1184="Capital In",$C1184="Transfer In"),$G1184,0)),"")</f>
        <v/>
      </c>
      <c r="J1184" s="61" t="str">
        <f aca="false">IF(IsPro,IF(OR($C1184="",N($G1184)=0),"",IF(I1184=0,$G1184,0)),"")</f>
        <v/>
      </c>
      <c r="K1184" s="60" t="str">
        <f aca="false">IF(IsPro,IF($C1184="","",IF(AND(OR($C1184="Receipt",$C1184="Payment"),$D1184=""),"Party needed",IF(AND(OR($C1184="Expense",$C1184="Other Income"),$E1184=""),"Head needed",IF($F1184="","Account needed","OK")))),IF($C1184="","","PRO PLAN"))</f>
        <v/>
      </c>
    </row>
    <row r="1185" customFormat="false" ht="15" hidden="false" customHeight="false" outlineLevel="0" collapsed="false">
      <c r="A1185" s="55"/>
      <c r="B1185" s="56"/>
      <c r="C1185" s="56"/>
      <c r="D1185" s="56"/>
      <c r="E1185" s="56"/>
      <c r="F1185" s="56"/>
      <c r="G1185" s="58"/>
      <c r="H1185" s="56"/>
      <c r="I1185" s="61" t="str">
        <f aca="false">IF(IsPro,IF(OR($C1185="",N($G1185)=0),"",IF(OR($C1185="Receipt",$C1185="Other Income",$C1185="Capital In",$C1185="Transfer In"),$G1185,0)),"")</f>
        <v/>
      </c>
      <c r="J1185" s="61" t="str">
        <f aca="false">IF(IsPro,IF(OR($C1185="",N($G1185)=0),"",IF(I1185=0,$G1185,0)),"")</f>
        <v/>
      </c>
      <c r="K1185" s="60" t="str">
        <f aca="false">IF(IsPro,IF($C1185="","",IF(AND(OR($C1185="Receipt",$C1185="Payment"),$D1185=""),"Party needed",IF(AND(OR($C1185="Expense",$C1185="Other Income"),$E1185=""),"Head needed",IF($F1185="","Account needed","OK")))),IF($C1185="","","PRO PLAN"))</f>
        <v/>
      </c>
    </row>
    <row r="1186" customFormat="false" ht="15" hidden="false" customHeight="false" outlineLevel="0" collapsed="false">
      <c r="A1186" s="55"/>
      <c r="B1186" s="56"/>
      <c r="C1186" s="56"/>
      <c r="D1186" s="56"/>
      <c r="E1186" s="56"/>
      <c r="F1186" s="56"/>
      <c r="G1186" s="58"/>
      <c r="H1186" s="56"/>
      <c r="I1186" s="61" t="str">
        <f aca="false">IF(IsPro,IF(OR($C1186="",N($G1186)=0),"",IF(OR($C1186="Receipt",$C1186="Other Income",$C1186="Capital In",$C1186="Transfer In"),$G1186,0)),"")</f>
        <v/>
      </c>
      <c r="J1186" s="61" t="str">
        <f aca="false">IF(IsPro,IF(OR($C1186="",N($G1186)=0),"",IF(I1186=0,$G1186,0)),"")</f>
        <v/>
      </c>
      <c r="K1186" s="60" t="str">
        <f aca="false">IF(IsPro,IF($C1186="","",IF(AND(OR($C1186="Receipt",$C1186="Payment"),$D1186=""),"Party needed",IF(AND(OR($C1186="Expense",$C1186="Other Income"),$E1186=""),"Head needed",IF($F1186="","Account needed","OK")))),IF($C1186="","","PRO PLAN"))</f>
        <v/>
      </c>
    </row>
    <row r="1187" customFormat="false" ht="15" hidden="false" customHeight="false" outlineLevel="0" collapsed="false">
      <c r="A1187" s="55"/>
      <c r="B1187" s="56"/>
      <c r="C1187" s="56"/>
      <c r="D1187" s="56"/>
      <c r="E1187" s="56"/>
      <c r="F1187" s="56"/>
      <c r="G1187" s="58"/>
      <c r="H1187" s="56"/>
      <c r="I1187" s="61" t="str">
        <f aca="false">IF(IsPro,IF(OR($C1187="",N($G1187)=0),"",IF(OR($C1187="Receipt",$C1187="Other Income",$C1187="Capital In",$C1187="Transfer In"),$G1187,0)),"")</f>
        <v/>
      </c>
      <c r="J1187" s="61" t="str">
        <f aca="false">IF(IsPro,IF(OR($C1187="",N($G1187)=0),"",IF(I1187=0,$G1187,0)),"")</f>
        <v/>
      </c>
      <c r="K1187" s="60" t="str">
        <f aca="false">IF(IsPro,IF($C1187="","",IF(AND(OR($C1187="Receipt",$C1187="Payment"),$D1187=""),"Party needed",IF(AND(OR($C1187="Expense",$C1187="Other Income"),$E1187=""),"Head needed",IF($F1187="","Account needed","OK")))),IF($C1187="","","PRO PLAN"))</f>
        <v/>
      </c>
    </row>
    <row r="1188" customFormat="false" ht="15" hidden="false" customHeight="false" outlineLevel="0" collapsed="false">
      <c r="A1188" s="55"/>
      <c r="B1188" s="56"/>
      <c r="C1188" s="56"/>
      <c r="D1188" s="56"/>
      <c r="E1188" s="56"/>
      <c r="F1188" s="56"/>
      <c r="G1188" s="58"/>
      <c r="H1188" s="56"/>
      <c r="I1188" s="61" t="str">
        <f aca="false">IF(IsPro,IF(OR($C1188="",N($G1188)=0),"",IF(OR($C1188="Receipt",$C1188="Other Income",$C1188="Capital In",$C1188="Transfer In"),$G1188,0)),"")</f>
        <v/>
      </c>
      <c r="J1188" s="61" t="str">
        <f aca="false">IF(IsPro,IF(OR($C1188="",N($G1188)=0),"",IF(I1188=0,$G1188,0)),"")</f>
        <v/>
      </c>
      <c r="K1188" s="60" t="str">
        <f aca="false">IF(IsPro,IF($C1188="","",IF(AND(OR($C1188="Receipt",$C1188="Payment"),$D1188=""),"Party needed",IF(AND(OR($C1188="Expense",$C1188="Other Income"),$E1188=""),"Head needed",IF($F1188="","Account needed","OK")))),IF($C1188="","","PRO PLAN"))</f>
        <v/>
      </c>
    </row>
    <row r="1189" customFormat="false" ht="15" hidden="false" customHeight="false" outlineLevel="0" collapsed="false">
      <c r="A1189" s="55"/>
      <c r="B1189" s="56"/>
      <c r="C1189" s="56"/>
      <c r="D1189" s="56"/>
      <c r="E1189" s="56"/>
      <c r="F1189" s="56"/>
      <c r="G1189" s="58"/>
      <c r="H1189" s="56"/>
      <c r="I1189" s="61" t="str">
        <f aca="false">IF(IsPro,IF(OR($C1189="",N($G1189)=0),"",IF(OR($C1189="Receipt",$C1189="Other Income",$C1189="Capital In",$C1189="Transfer In"),$G1189,0)),"")</f>
        <v/>
      </c>
      <c r="J1189" s="61" t="str">
        <f aca="false">IF(IsPro,IF(OR($C1189="",N($G1189)=0),"",IF(I1189=0,$G1189,0)),"")</f>
        <v/>
      </c>
      <c r="K1189" s="60" t="str">
        <f aca="false">IF(IsPro,IF($C1189="","",IF(AND(OR($C1189="Receipt",$C1189="Payment"),$D1189=""),"Party needed",IF(AND(OR($C1189="Expense",$C1189="Other Income"),$E1189=""),"Head needed",IF($F1189="","Account needed","OK")))),IF($C1189="","","PRO PLAN"))</f>
        <v/>
      </c>
    </row>
    <row r="1190" customFormat="false" ht="15" hidden="false" customHeight="false" outlineLevel="0" collapsed="false">
      <c r="A1190" s="55"/>
      <c r="B1190" s="56"/>
      <c r="C1190" s="56"/>
      <c r="D1190" s="56"/>
      <c r="E1190" s="56"/>
      <c r="F1190" s="56"/>
      <c r="G1190" s="58"/>
      <c r="H1190" s="56"/>
      <c r="I1190" s="61" t="str">
        <f aca="false">IF(IsPro,IF(OR($C1190="",N($G1190)=0),"",IF(OR($C1190="Receipt",$C1190="Other Income",$C1190="Capital In",$C1190="Transfer In"),$G1190,0)),"")</f>
        <v/>
      </c>
      <c r="J1190" s="61" t="str">
        <f aca="false">IF(IsPro,IF(OR($C1190="",N($G1190)=0),"",IF(I1190=0,$G1190,0)),"")</f>
        <v/>
      </c>
      <c r="K1190" s="60" t="str">
        <f aca="false">IF(IsPro,IF($C1190="","",IF(AND(OR($C1190="Receipt",$C1190="Payment"),$D1190=""),"Party needed",IF(AND(OR($C1190="Expense",$C1190="Other Income"),$E1190=""),"Head needed",IF($F1190="","Account needed","OK")))),IF($C1190="","","PRO PLAN"))</f>
        <v/>
      </c>
    </row>
    <row r="1191" customFormat="false" ht="15" hidden="false" customHeight="false" outlineLevel="0" collapsed="false">
      <c r="A1191" s="55"/>
      <c r="B1191" s="56"/>
      <c r="C1191" s="56"/>
      <c r="D1191" s="56"/>
      <c r="E1191" s="56"/>
      <c r="F1191" s="56"/>
      <c r="G1191" s="58"/>
      <c r="H1191" s="56"/>
      <c r="I1191" s="61" t="str">
        <f aca="false">IF(IsPro,IF(OR($C1191="",N($G1191)=0),"",IF(OR($C1191="Receipt",$C1191="Other Income",$C1191="Capital In",$C1191="Transfer In"),$G1191,0)),"")</f>
        <v/>
      </c>
      <c r="J1191" s="61" t="str">
        <f aca="false">IF(IsPro,IF(OR($C1191="",N($G1191)=0),"",IF(I1191=0,$G1191,0)),"")</f>
        <v/>
      </c>
      <c r="K1191" s="60" t="str">
        <f aca="false">IF(IsPro,IF($C1191="","",IF(AND(OR($C1191="Receipt",$C1191="Payment"),$D1191=""),"Party needed",IF(AND(OR($C1191="Expense",$C1191="Other Income"),$E1191=""),"Head needed",IF($F1191="","Account needed","OK")))),IF($C1191="","","PRO PLAN"))</f>
        <v/>
      </c>
    </row>
    <row r="1192" customFormat="false" ht="15" hidden="false" customHeight="false" outlineLevel="0" collapsed="false">
      <c r="A1192" s="55"/>
      <c r="B1192" s="56"/>
      <c r="C1192" s="56"/>
      <c r="D1192" s="56"/>
      <c r="E1192" s="56"/>
      <c r="F1192" s="56"/>
      <c r="G1192" s="58"/>
      <c r="H1192" s="56"/>
      <c r="I1192" s="61" t="str">
        <f aca="false">IF(IsPro,IF(OR($C1192="",N($G1192)=0),"",IF(OR($C1192="Receipt",$C1192="Other Income",$C1192="Capital In",$C1192="Transfer In"),$G1192,0)),"")</f>
        <v/>
      </c>
      <c r="J1192" s="61" t="str">
        <f aca="false">IF(IsPro,IF(OR($C1192="",N($G1192)=0),"",IF(I1192=0,$G1192,0)),"")</f>
        <v/>
      </c>
      <c r="K1192" s="60" t="str">
        <f aca="false">IF(IsPro,IF($C1192="","",IF(AND(OR($C1192="Receipt",$C1192="Payment"),$D1192=""),"Party needed",IF(AND(OR($C1192="Expense",$C1192="Other Income"),$E1192=""),"Head needed",IF($F1192="","Account needed","OK")))),IF($C1192="","","PRO PLAN"))</f>
        <v/>
      </c>
    </row>
    <row r="1193" customFormat="false" ht="15" hidden="false" customHeight="false" outlineLevel="0" collapsed="false">
      <c r="A1193" s="55"/>
      <c r="B1193" s="56"/>
      <c r="C1193" s="56"/>
      <c r="D1193" s="56"/>
      <c r="E1193" s="56"/>
      <c r="F1193" s="56"/>
      <c r="G1193" s="58"/>
      <c r="H1193" s="56"/>
      <c r="I1193" s="61" t="str">
        <f aca="false">IF(IsPro,IF(OR($C1193="",N($G1193)=0),"",IF(OR($C1193="Receipt",$C1193="Other Income",$C1193="Capital In",$C1193="Transfer In"),$G1193,0)),"")</f>
        <v/>
      </c>
      <c r="J1193" s="61" t="str">
        <f aca="false">IF(IsPro,IF(OR($C1193="",N($G1193)=0),"",IF(I1193=0,$G1193,0)),"")</f>
        <v/>
      </c>
      <c r="K1193" s="60" t="str">
        <f aca="false">IF(IsPro,IF($C1193="","",IF(AND(OR($C1193="Receipt",$C1193="Payment"),$D1193=""),"Party needed",IF(AND(OR($C1193="Expense",$C1193="Other Income"),$E1193=""),"Head needed",IF($F1193="","Account needed","OK")))),IF($C1193="","","PRO PLAN"))</f>
        <v/>
      </c>
    </row>
    <row r="1194" customFormat="false" ht="15" hidden="false" customHeight="false" outlineLevel="0" collapsed="false">
      <c r="A1194" s="55"/>
      <c r="B1194" s="56"/>
      <c r="C1194" s="56"/>
      <c r="D1194" s="56"/>
      <c r="E1194" s="56"/>
      <c r="F1194" s="56"/>
      <c r="G1194" s="58"/>
      <c r="H1194" s="56"/>
      <c r="I1194" s="61" t="str">
        <f aca="false">IF(IsPro,IF(OR($C1194="",N($G1194)=0),"",IF(OR($C1194="Receipt",$C1194="Other Income",$C1194="Capital In",$C1194="Transfer In"),$G1194,0)),"")</f>
        <v/>
      </c>
      <c r="J1194" s="61" t="str">
        <f aca="false">IF(IsPro,IF(OR($C1194="",N($G1194)=0),"",IF(I1194=0,$G1194,0)),"")</f>
        <v/>
      </c>
      <c r="K1194" s="60" t="str">
        <f aca="false">IF(IsPro,IF($C1194="","",IF(AND(OR($C1194="Receipt",$C1194="Payment"),$D1194=""),"Party needed",IF(AND(OR($C1194="Expense",$C1194="Other Income"),$E1194=""),"Head needed",IF($F1194="","Account needed","OK")))),IF($C1194="","","PRO PLAN"))</f>
        <v/>
      </c>
    </row>
    <row r="1195" customFormat="false" ht="15" hidden="false" customHeight="false" outlineLevel="0" collapsed="false">
      <c r="A1195" s="55"/>
      <c r="B1195" s="56"/>
      <c r="C1195" s="56"/>
      <c r="D1195" s="56"/>
      <c r="E1195" s="56"/>
      <c r="F1195" s="56"/>
      <c r="G1195" s="58"/>
      <c r="H1195" s="56"/>
      <c r="I1195" s="61" t="str">
        <f aca="false">IF(IsPro,IF(OR($C1195="",N($G1195)=0),"",IF(OR($C1195="Receipt",$C1195="Other Income",$C1195="Capital In",$C1195="Transfer In"),$G1195,0)),"")</f>
        <v/>
      </c>
      <c r="J1195" s="61" t="str">
        <f aca="false">IF(IsPro,IF(OR($C1195="",N($G1195)=0),"",IF(I1195=0,$G1195,0)),"")</f>
        <v/>
      </c>
      <c r="K1195" s="60" t="str">
        <f aca="false">IF(IsPro,IF($C1195="","",IF(AND(OR($C1195="Receipt",$C1195="Payment"),$D1195=""),"Party needed",IF(AND(OR($C1195="Expense",$C1195="Other Income"),$E1195=""),"Head needed",IF($F1195="","Account needed","OK")))),IF($C1195="","","PRO PLAN"))</f>
        <v/>
      </c>
    </row>
    <row r="1196" customFormat="false" ht="15" hidden="false" customHeight="false" outlineLevel="0" collapsed="false">
      <c r="A1196" s="55"/>
      <c r="B1196" s="56"/>
      <c r="C1196" s="56"/>
      <c r="D1196" s="56"/>
      <c r="E1196" s="56"/>
      <c r="F1196" s="56"/>
      <c r="G1196" s="58"/>
      <c r="H1196" s="56"/>
      <c r="I1196" s="61" t="str">
        <f aca="false">IF(IsPro,IF(OR($C1196="",N($G1196)=0),"",IF(OR($C1196="Receipt",$C1196="Other Income",$C1196="Capital In",$C1196="Transfer In"),$G1196,0)),"")</f>
        <v/>
      </c>
      <c r="J1196" s="61" t="str">
        <f aca="false">IF(IsPro,IF(OR($C1196="",N($G1196)=0),"",IF(I1196=0,$G1196,0)),"")</f>
        <v/>
      </c>
      <c r="K1196" s="60" t="str">
        <f aca="false">IF(IsPro,IF($C1196="","",IF(AND(OR($C1196="Receipt",$C1196="Payment"),$D1196=""),"Party needed",IF(AND(OR($C1196="Expense",$C1196="Other Income"),$E1196=""),"Head needed",IF($F1196="","Account needed","OK")))),IF($C1196="","","PRO PLAN"))</f>
        <v/>
      </c>
    </row>
    <row r="1197" customFormat="false" ht="15" hidden="false" customHeight="false" outlineLevel="0" collapsed="false">
      <c r="A1197" s="55"/>
      <c r="B1197" s="56"/>
      <c r="C1197" s="56"/>
      <c r="D1197" s="56"/>
      <c r="E1197" s="56"/>
      <c r="F1197" s="56"/>
      <c r="G1197" s="58"/>
      <c r="H1197" s="56"/>
      <c r="I1197" s="61" t="str">
        <f aca="false">IF(IsPro,IF(OR($C1197="",N($G1197)=0),"",IF(OR($C1197="Receipt",$C1197="Other Income",$C1197="Capital In",$C1197="Transfer In"),$G1197,0)),"")</f>
        <v/>
      </c>
      <c r="J1197" s="61" t="str">
        <f aca="false">IF(IsPro,IF(OR($C1197="",N($G1197)=0),"",IF(I1197=0,$G1197,0)),"")</f>
        <v/>
      </c>
      <c r="K1197" s="60" t="str">
        <f aca="false">IF(IsPro,IF($C1197="","",IF(AND(OR($C1197="Receipt",$C1197="Payment"),$D1197=""),"Party needed",IF(AND(OR($C1197="Expense",$C1197="Other Income"),$E1197=""),"Head needed",IF($F1197="","Account needed","OK")))),IF($C1197="","","PRO PLAN"))</f>
        <v/>
      </c>
    </row>
    <row r="1198" customFormat="false" ht="15" hidden="false" customHeight="false" outlineLevel="0" collapsed="false">
      <c r="A1198" s="55"/>
      <c r="B1198" s="56"/>
      <c r="C1198" s="56"/>
      <c r="D1198" s="56"/>
      <c r="E1198" s="56"/>
      <c r="F1198" s="56"/>
      <c r="G1198" s="58"/>
      <c r="H1198" s="56"/>
      <c r="I1198" s="61" t="str">
        <f aca="false">IF(IsPro,IF(OR($C1198="",N($G1198)=0),"",IF(OR($C1198="Receipt",$C1198="Other Income",$C1198="Capital In",$C1198="Transfer In"),$G1198,0)),"")</f>
        <v/>
      </c>
      <c r="J1198" s="61" t="str">
        <f aca="false">IF(IsPro,IF(OR($C1198="",N($G1198)=0),"",IF(I1198=0,$G1198,0)),"")</f>
        <v/>
      </c>
      <c r="K1198" s="60" t="str">
        <f aca="false">IF(IsPro,IF($C1198="","",IF(AND(OR($C1198="Receipt",$C1198="Payment"),$D1198=""),"Party needed",IF(AND(OR($C1198="Expense",$C1198="Other Income"),$E1198=""),"Head needed",IF($F1198="","Account needed","OK")))),IF($C1198="","","PRO PLAN"))</f>
        <v/>
      </c>
    </row>
    <row r="1199" customFormat="false" ht="15" hidden="false" customHeight="false" outlineLevel="0" collapsed="false">
      <c r="A1199" s="55"/>
      <c r="B1199" s="56"/>
      <c r="C1199" s="56"/>
      <c r="D1199" s="56"/>
      <c r="E1199" s="56"/>
      <c r="F1199" s="56"/>
      <c r="G1199" s="58"/>
      <c r="H1199" s="56"/>
      <c r="I1199" s="61" t="str">
        <f aca="false">IF(IsPro,IF(OR($C1199="",N($G1199)=0),"",IF(OR($C1199="Receipt",$C1199="Other Income",$C1199="Capital In",$C1199="Transfer In"),$G1199,0)),"")</f>
        <v/>
      </c>
      <c r="J1199" s="61" t="str">
        <f aca="false">IF(IsPro,IF(OR($C1199="",N($G1199)=0),"",IF(I1199=0,$G1199,0)),"")</f>
        <v/>
      </c>
      <c r="K1199" s="60" t="str">
        <f aca="false">IF(IsPro,IF($C1199="","",IF(AND(OR($C1199="Receipt",$C1199="Payment"),$D1199=""),"Party needed",IF(AND(OR($C1199="Expense",$C1199="Other Income"),$E1199=""),"Head needed",IF($F1199="","Account needed","OK")))),IF($C1199="","","PRO PLAN"))</f>
        <v/>
      </c>
    </row>
    <row r="1200" customFormat="false" ht="15" hidden="false" customHeight="false" outlineLevel="0" collapsed="false">
      <c r="A1200" s="55"/>
      <c r="B1200" s="56"/>
      <c r="C1200" s="56"/>
      <c r="D1200" s="56"/>
      <c r="E1200" s="56"/>
      <c r="F1200" s="56"/>
      <c r="G1200" s="58"/>
      <c r="H1200" s="56"/>
      <c r="I1200" s="61" t="str">
        <f aca="false">IF(IsPro,IF(OR($C1200="",N($G1200)=0),"",IF(OR($C1200="Receipt",$C1200="Other Income",$C1200="Capital In",$C1200="Transfer In"),$G1200,0)),"")</f>
        <v/>
      </c>
      <c r="J1200" s="61" t="str">
        <f aca="false">IF(IsPro,IF(OR($C1200="",N($G1200)=0),"",IF(I1200=0,$G1200,0)),"")</f>
        <v/>
      </c>
      <c r="K1200" s="60" t="str">
        <f aca="false">IF(IsPro,IF($C1200="","",IF(AND(OR($C1200="Receipt",$C1200="Payment"),$D1200=""),"Party needed",IF(AND(OR($C1200="Expense",$C1200="Other Income"),$E1200=""),"Head needed",IF($F1200="","Account needed","OK")))),IF($C1200="","","PRO PLAN"))</f>
        <v/>
      </c>
    </row>
    <row r="1201" customFormat="false" ht="15" hidden="false" customHeight="false" outlineLevel="0" collapsed="false">
      <c r="A1201" s="55"/>
      <c r="B1201" s="56"/>
      <c r="C1201" s="56"/>
      <c r="D1201" s="56"/>
      <c r="E1201" s="56"/>
      <c r="F1201" s="56"/>
      <c r="G1201" s="58"/>
      <c r="H1201" s="56"/>
      <c r="I1201" s="61" t="str">
        <f aca="false">IF(IsPro,IF(OR($C1201="",N($G1201)=0),"",IF(OR($C1201="Receipt",$C1201="Other Income",$C1201="Capital In",$C1201="Transfer In"),$G1201,0)),"")</f>
        <v/>
      </c>
      <c r="J1201" s="61" t="str">
        <f aca="false">IF(IsPro,IF(OR($C1201="",N($G1201)=0),"",IF(I1201=0,$G1201,0)),"")</f>
        <v/>
      </c>
      <c r="K1201" s="60" t="str">
        <f aca="false">IF(IsPro,IF($C1201="","",IF(AND(OR($C1201="Receipt",$C1201="Payment"),$D1201=""),"Party needed",IF(AND(OR($C1201="Expense",$C1201="Other Income"),$E1201=""),"Head needed",IF($F1201="","Account needed","OK")))),IF($C1201="","","PRO PLAN"))</f>
        <v/>
      </c>
    </row>
    <row r="1202" customFormat="false" ht="15" hidden="false" customHeight="false" outlineLevel="0" collapsed="false">
      <c r="A1202" s="55"/>
      <c r="B1202" s="56"/>
      <c r="C1202" s="56"/>
      <c r="D1202" s="56"/>
      <c r="E1202" s="56"/>
      <c r="F1202" s="56"/>
      <c r="G1202" s="58"/>
      <c r="H1202" s="56"/>
      <c r="I1202" s="61" t="str">
        <f aca="false">IF(IsPro,IF(OR($C1202="",N($G1202)=0),"",IF(OR($C1202="Receipt",$C1202="Other Income",$C1202="Capital In",$C1202="Transfer In"),$G1202,0)),"")</f>
        <v/>
      </c>
      <c r="J1202" s="61" t="str">
        <f aca="false">IF(IsPro,IF(OR($C1202="",N($G1202)=0),"",IF(I1202=0,$G1202,0)),"")</f>
        <v/>
      </c>
      <c r="K1202" s="60" t="str">
        <f aca="false">IF(IsPro,IF($C1202="","",IF(AND(OR($C1202="Receipt",$C1202="Payment"),$D1202=""),"Party needed",IF(AND(OR($C1202="Expense",$C1202="Other Income"),$E1202=""),"Head needed",IF($F1202="","Account needed","OK")))),IF($C1202="","","PRO PLAN"))</f>
        <v/>
      </c>
    </row>
    <row r="1203" customFormat="false" ht="15" hidden="false" customHeight="false" outlineLevel="0" collapsed="false">
      <c r="A1203" s="55"/>
      <c r="B1203" s="56"/>
      <c r="C1203" s="56"/>
      <c r="D1203" s="56"/>
      <c r="E1203" s="56"/>
      <c r="F1203" s="56"/>
      <c r="G1203" s="58"/>
      <c r="H1203" s="56"/>
      <c r="I1203" s="61" t="str">
        <f aca="false">IF(IsPro,IF(OR($C1203="",N($G1203)=0),"",IF(OR($C1203="Receipt",$C1203="Other Income",$C1203="Capital In",$C1203="Transfer In"),$G1203,0)),"")</f>
        <v/>
      </c>
      <c r="J1203" s="61" t="str">
        <f aca="false">IF(IsPro,IF(OR($C1203="",N($G1203)=0),"",IF(I1203=0,$G1203,0)),"")</f>
        <v/>
      </c>
      <c r="K1203" s="60" t="str">
        <f aca="false">IF(IsPro,IF($C1203="","",IF(AND(OR($C1203="Receipt",$C1203="Payment"),$D1203=""),"Party needed",IF(AND(OR($C1203="Expense",$C1203="Other Income"),$E1203=""),"Head needed",IF($F1203="","Account needed","OK")))),IF($C1203="","","PRO PLAN"))</f>
        <v/>
      </c>
    </row>
    <row r="1204" customFormat="false" ht="15" hidden="false" customHeight="false" outlineLevel="0" collapsed="false">
      <c r="A1204" s="55"/>
      <c r="B1204" s="56"/>
      <c r="C1204" s="56"/>
      <c r="D1204" s="56"/>
      <c r="E1204" s="56"/>
      <c r="F1204" s="56"/>
      <c r="G1204" s="58"/>
      <c r="H1204" s="56"/>
      <c r="I1204" s="61" t="str">
        <f aca="false">IF(IsPro,IF(OR($C1204="",N($G1204)=0),"",IF(OR($C1204="Receipt",$C1204="Other Income",$C1204="Capital In",$C1204="Transfer In"),$G1204,0)),"")</f>
        <v/>
      </c>
      <c r="J1204" s="61" t="str">
        <f aca="false">IF(IsPro,IF(OR($C1204="",N($G1204)=0),"",IF(I1204=0,$G1204,0)),"")</f>
        <v/>
      </c>
      <c r="K1204" s="60" t="str">
        <f aca="false">IF(IsPro,IF($C1204="","",IF(AND(OR($C1204="Receipt",$C1204="Payment"),$D1204=""),"Party needed",IF(AND(OR($C1204="Expense",$C1204="Other Income"),$E1204=""),"Head needed",IF($F1204="","Account needed","OK")))),IF($C1204="","","PRO PLAN"))</f>
        <v/>
      </c>
    </row>
    <row r="1205" customFormat="false" ht="15" hidden="false" customHeight="false" outlineLevel="0" collapsed="false">
      <c r="A1205" s="55"/>
      <c r="B1205" s="56"/>
      <c r="C1205" s="56"/>
      <c r="D1205" s="56"/>
      <c r="E1205" s="56"/>
      <c r="F1205" s="56"/>
      <c r="G1205" s="58"/>
      <c r="H1205" s="56"/>
      <c r="I1205" s="61" t="str">
        <f aca="false">IF(IsPro,IF(OR($C1205="",N($G1205)=0),"",IF(OR($C1205="Receipt",$C1205="Other Income",$C1205="Capital In",$C1205="Transfer In"),$G1205,0)),"")</f>
        <v/>
      </c>
      <c r="J1205" s="61" t="str">
        <f aca="false">IF(IsPro,IF(OR($C1205="",N($G1205)=0),"",IF(I1205=0,$G1205,0)),"")</f>
        <v/>
      </c>
      <c r="K1205" s="60" t="str">
        <f aca="false">IF(IsPro,IF($C1205="","",IF(AND(OR($C1205="Receipt",$C1205="Payment"),$D1205=""),"Party needed",IF(AND(OR($C1205="Expense",$C1205="Other Income"),$E1205=""),"Head needed",IF($F1205="","Account needed","OK")))),IF($C1205="","","PRO PLAN"))</f>
        <v/>
      </c>
    </row>
    <row r="1206" customFormat="false" ht="15" hidden="false" customHeight="false" outlineLevel="0" collapsed="false">
      <c r="A1206" s="55"/>
      <c r="B1206" s="56"/>
      <c r="C1206" s="56"/>
      <c r="D1206" s="56"/>
      <c r="E1206" s="56"/>
      <c r="F1206" s="56"/>
      <c r="G1206" s="58"/>
      <c r="H1206" s="56"/>
      <c r="I1206" s="61" t="str">
        <f aca="false">IF(IsPro,IF(OR($C1206="",N($G1206)=0),"",IF(OR($C1206="Receipt",$C1206="Other Income",$C1206="Capital In",$C1206="Transfer In"),$G1206,0)),"")</f>
        <v/>
      </c>
      <c r="J1206" s="61" t="str">
        <f aca="false">IF(IsPro,IF(OR($C1206="",N($G1206)=0),"",IF(I1206=0,$G1206,0)),"")</f>
        <v/>
      </c>
      <c r="K1206" s="60" t="str">
        <f aca="false">IF(IsPro,IF($C1206="","",IF(AND(OR($C1206="Receipt",$C1206="Payment"),$D1206=""),"Party needed",IF(AND(OR($C1206="Expense",$C1206="Other Income"),$E1206=""),"Head needed",IF($F1206="","Account needed","OK")))),IF($C1206="","","PRO PLAN"))</f>
        <v/>
      </c>
    </row>
    <row r="1207" customFormat="false" ht="15" hidden="false" customHeight="false" outlineLevel="0" collapsed="false">
      <c r="A1207" s="55"/>
      <c r="B1207" s="56"/>
      <c r="C1207" s="56"/>
      <c r="D1207" s="56"/>
      <c r="E1207" s="56"/>
      <c r="F1207" s="56"/>
      <c r="G1207" s="58"/>
      <c r="H1207" s="56"/>
      <c r="I1207" s="61" t="str">
        <f aca="false">IF(IsPro,IF(OR($C1207="",N($G1207)=0),"",IF(OR($C1207="Receipt",$C1207="Other Income",$C1207="Capital In",$C1207="Transfer In"),$G1207,0)),"")</f>
        <v/>
      </c>
      <c r="J1207" s="61" t="str">
        <f aca="false">IF(IsPro,IF(OR($C1207="",N($G1207)=0),"",IF(I1207=0,$G1207,0)),"")</f>
        <v/>
      </c>
      <c r="K1207" s="60" t="str">
        <f aca="false">IF(IsPro,IF($C1207="","",IF(AND(OR($C1207="Receipt",$C1207="Payment"),$D1207=""),"Party needed",IF(AND(OR($C1207="Expense",$C1207="Other Income"),$E1207=""),"Head needed",IF($F1207="","Account needed","OK")))),IF($C1207="","","PRO PLAN"))</f>
        <v/>
      </c>
    </row>
    <row r="1208" customFormat="false" ht="15" hidden="false" customHeight="false" outlineLevel="0" collapsed="false">
      <c r="A1208" s="55"/>
      <c r="B1208" s="56"/>
      <c r="C1208" s="56"/>
      <c r="D1208" s="56"/>
      <c r="E1208" s="56"/>
      <c r="F1208" s="56"/>
      <c r="G1208" s="58"/>
      <c r="H1208" s="56"/>
      <c r="I1208" s="61" t="str">
        <f aca="false">IF(IsPro,IF(OR($C1208="",N($G1208)=0),"",IF(OR($C1208="Receipt",$C1208="Other Income",$C1208="Capital In",$C1208="Transfer In"),$G1208,0)),"")</f>
        <v/>
      </c>
      <c r="J1208" s="61" t="str">
        <f aca="false">IF(IsPro,IF(OR($C1208="",N($G1208)=0),"",IF(I1208=0,$G1208,0)),"")</f>
        <v/>
      </c>
      <c r="K1208" s="60" t="str">
        <f aca="false">IF(IsPro,IF($C1208="","",IF(AND(OR($C1208="Receipt",$C1208="Payment"),$D1208=""),"Party needed",IF(AND(OR($C1208="Expense",$C1208="Other Income"),$E1208=""),"Head needed",IF($F1208="","Account needed","OK")))),IF($C1208="","","PRO PLAN"))</f>
        <v/>
      </c>
    </row>
    <row r="1209" customFormat="false" ht="15" hidden="false" customHeight="false" outlineLevel="0" collapsed="false">
      <c r="A1209" s="55"/>
      <c r="B1209" s="56"/>
      <c r="C1209" s="56"/>
      <c r="D1209" s="56"/>
      <c r="E1209" s="56"/>
      <c r="F1209" s="56"/>
      <c r="G1209" s="58"/>
      <c r="H1209" s="56"/>
      <c r="I1209" s="61" t="str">
        <f aca="false">IF(IsPro,IF(OR($C1209="",N($G1209)=0),"",IF(OR($C1209="Receipt",$C1209="Other Income",$C1209="Capital In",$C1209="Transfer In"),$G1209,0)),"")</f>
        <v/>
      </c>
      <c r="J1209" s="61" t="str">
        <f aca="false">IF(IsPro,IF(OR($C1209="",N($G1209)=0),"",IF(I1209=0,$G1209,0)),"")</f>
        <v/>
      </c>
      <c r="K1209" s="60" t="str">
        <f aca="false">IF(IsPro,IF($C1209="","",IF(AND(OR($C1209="Receipt",$C1209="Payment"),$D1209=""),"Party needed",IF(AND(OR($C1209="Expense",$C1209="Other Income"),$E1209=""),"Head needed",IF($F1209="","Account needed","OK")))),IF($C1209="","","PRO PLAN"))</f>
        <v/>
      </c>
    </row>
    <row r="1210" customFormat="false" ht="15" hidden="false" customHeight="false" outlineLevel="0" collapsed="false">
      <c r="A1210" s="55"/>
      <c r="B1210" s="56"/>
      <c r="C1210" s="56"/>
      <c r="D1210" s="56"/>
      <c r="E1210" s="56"/>
      <c r="F1210" s="56"/>
      <c r="G1210" s="58"/>
      <c r="H1210" s="56"/>
      <c r="I1210" s="61" t="str">
        <f aca="false">IF(IsPro,IF(OR($C1210="",N($G1210)=0),"",IF(OR($C1210="Receipt",$C1210="Other Income",$C1210="Capital In",$C1210="Transfer In"),$G1210,0)),"")</f>
        <v/>
      </c>
      <c r="J1210" s="61" t="str">
        <f aca="false">IF(IsPro,IF(OR($C1210="",N($G1210)=0),"",IF(I1210=0,$G1210,0)),"")</f>
        <v/>
      </c>
      <c r="K1210" s="60" t="str">
        <f aca="false">IF(IsPro,IF($C1210="","",IF(AND(OR($C1210="Receipt",$C1210="Payment"),$D1210=""),"Party needed",IF(AND(OR($C1210="Expense",$C1210="Other Income"),$E1210=""),"Head needed",IF($F1210="","Account needed","OK")))),IF($C1210="","","PRO PLAN"))</f>
        <v/>
      </c>
    </row>
    <row r="1211" customFormat="false" ht="15" hidden="false" customHeight="false" outlineLevel="0" collapsed="false">
      <c r="A1211" s="55"/>
      <c r="B1211" s="56"/>
      <c r="C1211" s="56"/>
      <c r="D1211" s="56"/>
      <c r="E1211" s="56"/>
      <c r="F1211" s="56"/>
      <c r="G1211" s="58"/>
      <c r="H1211" s="56"/>
      <c r="I1211" s="61" t="str">
        <f aca="false">IF(IsPro,IF(OR($C1211="",N($G1211)=0),"",IF(OR($C1211="Receipt",$C1211="Other Income",$C1211="Capital In",$C1211="Transfer In"),$G1211,0)),"")</f>
        <v/>
      </c>
      <c r="J1211" s="61" t="str">
        <f aca="false">IF(IsPro,IF(OR($C1211="",N($G1211)=0),"",IF(I1211=0,$G1211,0)),"")</f>
        <v/>
      </c>
      <c r="K1211" s="60" t="str">
        <f aca="false">IF(IsPro,IF($C1211="","",IF(AND(OR($C1211="Receipt",$C1211="Payment"),$D1211=""),"Party needed",IF(AND(OR($C1211="Expense",$C1211="Other Income"),$E1211=""),"Head needed",IF($F1211="","Account needed","OK")))),IF($C1211="","","PRO PLAN"))</f>
        <v/>
      </c>
    </row>
    <row r="1212" customFormat="false" ht="15" hidden="false" customHeight="false" outlineLevel="0" collapsed="false">
      <c r="A1212" s="55"/>
      <c r="B1212" s="56"/>
      <c r="C1212" s="56"/>
      <c r="D1212" s="56"/>
      <c r="E1212" s="56"/>
      <c r="F1212" s="56"/>
      <c r="G1212" s="58"/>
      <c r="H1212" s="56"/>
      <c r="I1212" s="61" t="str">
        <f aca="false">IF(IsPro,IF(OR($C1212="",N($G1212)=0),"",IF(OR($C1212="Receipt",$C1212="Other Income",$C1212="Capital In",$C1212="Transfer In"),$G1212,0)),"")</f>
        <v/>
      </c>
      <c r="J1212" s="61" t="str">
        <f aca="false">IF(IsPro,IF(OR($C1212="",N($G1212)=0),"",IF(I1212=0,$G1212,0)),"")</f>
        <v/>
      </c>
      <c r="K1212" s="60" t="str">
        <f aca="false">IF(IsPro,IF($C1212="","",IF(AND(OR($C1212="Receipt",$C1212="Payment"),$D1212=""),"Party needed",IF(AND(OR($C1212="Expense",$C1212="Other Income"),$E1212=""),"Head needed",IF($F1212="","Account needed","OK")))),IF($C1212="","","PRO PLAN"))</f>
        <v/>
      </c>
    </row>
    <row r="1213" customFormat="false" ht="15" hidden="false" customHeight="false" outlineLevel="0" collapsed="false">
      <c r="A1213" s="55"/>
      <c r="B1213" s="56"/>
      <c r="C1213" s="56"/>
      <c r="D1213" s="56"/>
      <c r="E1213" s="56"/>
      <c r="F1213" s="56"/>
      <c r="G1213" s="58"/>
      <c r="H1213" s="56"/>
      <c r="I1213" s="61" t="str">
        <f aca="false">IF(IsPro,IF(OR($C1213="",N($G1213)=0),"",IF(OR($C1213="Receipt",$C1213="Other Income",$C1213="Capital In",$C1213="Transfer In"),$G1213,0)),"")</f>
        <v/>
      </c>
      <c r="J1213" s="61" t="str">
        <f aca="false">IF(IsPro,IF(OR($C1213="",N($G1213)=0),"",IF(I1213=0,$G1213,0)),"")</f>
        <v/>
      </c>
      <c r="K1213" s="60" t="str">
        <f aca="false">IF(IsPro,IF($C1213="","",IF(AND(OR($C1213="Receipt",$C1213="Payment"),$D1213=""),"Party needed",IF(AND(OR($C1213="Expense",$C1213="Other Income"),$E1213=""),"Head needed",IF($F1213="","Account needed","OK")))),IF($C1213="","","PRO PLAN"))</f>
        <v/>
      </c>
    </row>
    <row r="1214" customFormat="false" ht="15" hidden="false" customHeight="false" outlineLevel="0" collapsed="false">
      <c r="A1214" s="55"/>
      <c r="B1214" s="56"/>
      <c r="C1214" s="56"/>
      <c r="D1214" s="56"/>
      <c r="E1214" s="56"/>
      <c r="F1214" s="56"/>
      <c r="G1214" s="58"/>
      <c r="H1214" s="56"/>
      <c r="I1214" s="61" t="str">
        <f aca="false">IF(IsPro,IF(OR($C1214="",N($G1214)=0),"",IF(OR($C1214="Receipt",$C1214="Other Income",$C1214="Capital In",$C1214="Transfer In"),$G1214,0)),"")</f>
        <v/>
      </c>
      <c r="J1214" s="61" t="str">
        <f aca="false">IF(IsPro,IF(OR($C1214="",N($G1214)=0),"",IF(I1214=0,$G1214,0)),"")</f>
        <v/>
      </c>
      <c r="K1214" s="60" t="str">
        <f aca="false">IF(IsPro,IF($C1214="","",IF(AND(OR($C1214="Receipt",$C1214="Payment"),$D1214=""),"Party needed",IF(AND(OR($C1214="Expense",$C1214="Other Income"),$E1214=""),"Head needed",IF($F1214="","Account needed","OK")))),IF($C1214="","","PRO PLAN"))</f>
        <v/>
      </c>
    </row>
    <row r="1215" customFormat="false" ht="15" hidden="false" customHeight="false" outlineLevel="0" collapsed="false">
      <c r="A1215" s="55"/>
      <c r="B1215" s="56"/>
      <c r="C1215" s="56"/>
      <c r="D1215" s="56"/>
      <c r="E1215" s="56"/>
      <c r="F1215" s="56"/>
      <c r="G1215" s="58"/>
      <c r="H1215" s="56"/>
      <c r="I1215" s="61" t="str">
        <f aca="false">IF(IsPro,IF(OR($C1215="",N($G1215)=0),"",IF(OR($C1215="Receipt",$C1215="Other Income",$C1215="Capital In",$C1215="Transfer In"),$G1215,0)),"")</f>
        <v/>
      </c>
      <c r="J1215" s="61" t="str">
        <f aca="false">IF(IsPro,IF(OR($C1215="",N($G1215)=0),"",IF(I1215=0,$G1215,0)),"")</f>
        <v/>
      </c>
      <c r="K1215" s="60" t="str">
        <f aca="false">IF(IsPro,IF($C1215="","",IF(AND(OR($C1215="Receipt",$C1215="Payment"),$D1215=""),"Party needed",IF(AND(OR($C1215="Expense",$C1215="Other Income"),$E1215=""),"Head needed",IF($F1215="","Account needed","OK")))),IF($C1215="","","PRO PLAN"))</f>
        <v/>
      </c>
    </row>
    <row r="1216" customFormat="false" ht="15" hidden="false" customHeight="false" outlineLevel="0" collapsed="false">
      <c r="A1216" s="55"/>
      <c r="B1216" s="56"/>
      <c r="C1216" s="56"/>
      <c r="D1216" s="56"/>
      <c r="E1216" s="56"/>
      <c r="F1216" s="56"/>
      <c r="G1216" s="58"/>
      <c r="H1216" s="56"/>
      <c r="I1216" s="61" t="str">
        <f aca="false">IF(IsPro,IF(OR($C1216="",N($G1216)=0),"",IF(OR($C1216="Receipt",$C1216="Other Income",$C1216="Capital In",$C1216="Transfer In"),$G1216,0)),"")</f>
        <v/>
      </c>
      <c r="J1216" s="61" t="str">
        <f aca="false">IF(IsPro,IF(OR($C1216="",N($G1216)=0),"",IF(I1216=0,$G1216,0)),"")</f>
        <v/>
      </c>
      <c r="K1216" s="60" t="str">
        <f aca="false">IF(IsPro,IF($C1216="","",IF(AND(OR($C1216="Receipt",$C1216="Payment"),$D1216=""),"Party needed",IF(AND(OR($C1216="Expense",$C1216="Other Income"),$E1216=""),"Head needed",IF($F1216="","Account needed","OK")))),IF($C1216="","","PRO PLAN"))</f>
        <v/>
      </c>
    </row>
    <row r="1217" customFormat="false" ht="15" hidden="false" customHeight="false" outlineLevel="0" collapsed="false">
      <c r="A1217" s="55"/>
      <c r="B1217" s="56"/>
      <c r="C1217" s="56"/>
      <c r="D1217" s="56"/>
      <c r="E1217" s="56"/>
      <c r="F1217" s="56"/>
      <c r="G1217" s="58"/>
      <c r="H1217" s="56"/>
      <c r="I1217" s="61" t="str">
        <f aca="false">IF(IsPro,IF(OR($C1217="",N($G1217)=0),"",IF(OR($C1217="Receipt",$C1217="Other Income",$C1217="Capital In",$C1217="Transfer In"),$G1217,0)),"")</f>
        <v/>
      </c>
      <c r="J1217" s="61" t="str">
        <f aca="false">IF(IsPro,IF(OR($C1217="",N($G1217)=0),"",IF(I1217=0,$G1217,0)),"")</f>
        <v/>
      </c>
      <c r="K1217" s="60" t="str">
        <f aca="false">IF(IsPro,IF($C1217="","",IF(AND(OR($C1217="Receipt",$C1217="Payment"),$D1217=""),"Party needed",IF(AND(OR($C1217="Expense",$C1217="Other Income"),$E1217=""),"Head needed",IF($F1217="","Account needed","OK")))),IF($C1217="","","PRO PLAN"))</f>
        <v/>
      </c>
    </row>
    <row r="1218" customFormat="false" ht="15" hidden="false" customHeight="false" outlineLevel="0" collapsed="false">
      <c r="A1218" s="55"/>
      <c r="B1218" s="56"/>
      <c r="C1218" s="56"/>
      <c r="D1218" s="56"/>
      <c r="E1218" s="56"/>
      <c r="F1218" s="56"/>
      <c r="G1218" s="58"/>
      <c r="H1218" s="56"/>
      <c r="I1218" s="61" t="str">
        <f aca="false">IF(IsPro,IF(OR($C1218="",N($G1218)=0),"",IF(OR($C1218="Receipt",$C1218="Other Income",$C1218="Capital In",$C1218="Transfer In"),$G1218,0)),"")</f>
        <v/>
      </c>
      <c r="J1218" s="61" t="str">
        <f aca="false">IF(IsPro,IF(OR($C1218="",N($G1218)=0),"",IF(I1218=0,$G1218,0)),"")</f>
        <v/>
      </c>
      <c r="K1218" s="60" t="str">
        <f aca="false">IF(IsPro,IF($C1218="","",IF(AND(OR($C1218="Receipt",$C1218="Payment"),$D1218=""),"Party needed",IF(AND(OR($C1218="Expense",$C1218="Other Income"),$E1218=""),"Head needed",IF($F1218="","Account needed","OK")))),IF($C1218="","","PRO PLAN"))</f>
        <v/>
      </c>
    </row>
    <row r="1219" customFormat="false" ht="15" hidden="false" customHeight="false" outlineLevel="0" collapsed="false">
      <c r="A1219" s="55"/>
      <c r="B1219" s="56"/>
      <c r="C1219" s="56"/>
      <c r="D1219" s="56"/>
      <c r="E1219" s="56"/>
      <c r="F1219" s="56"/>
      <c r="G1219" s="58"/>
      <c r="H1219" s="56"/>
      <c r="I1219" s="61" t="str">
        <f aca="false">IF(IsPro,IF(OR($C1219="",N($G1219)=0),"",IF(OR($C1219="Receipt",$C1219="Other Income",$C1219="Capital In",$C1219="Transfer In"),$G1219,0)),"")</f>
        <v/>
      </c>
      <c r="J1219" s="61" t="str">
        <f aca="false">IF(IsPro,IF(OR($C1219="",N($G1219)=0),"",IF(I1219=0,$G1219,0)),"")</f>
        <v/>
      </c>
      <c r="K1219" s="60" t="str">
        <f aca="false">IF(IsPro,IF($C1219="","",IF(AND(OR($C1219="Receipt",$C1219="Payment"),$D1219=""),"Party needed",IF(AND(OR($C1219="Expense",$C1219="Other Income"),$E1219=""),"Head needed",IF($F1219="","Account needed","OK")))),IF($C1219="","","PRO PLAN"))</f>
        <v/>
      </c>
    </row>
    <row r="1220" customFormat="false" ht="15" hidden="false" customHeight="false" outlineLevel="0" collapsed="false">
      <c r="A1220" s="55"/>
      <c r="B1220" s="56"/>
      <c r="C1220" s="56"/>
      <c r="D1220" s="56"/>
      <c r="E1220" s="56"/>
      <c r="F1220" s="56"/>
      <c r="G1220" s="58"/>
      <c r="H1220" s="56"/>
      <c r="I1220" s="61" t="str">
        <f aca="false">IF(IsPro,IF(OR($C1220="",N($G1220)=0),"",IF(OR($C1220="Receipt",$C1220="Other Income",$C1220="Capital In",$C1220="Transfer In"),$G1220,0)),"")</f>
        <v/>
      </c>
      <c r="J1220" s="61" t="str">
        <f aca="false">IF(IsPro,IF(OR($C1220="",N($G1220)=0),"",IF(I1220=0,$G1220,0)),"")</f>
        <v/>
      </c>
      <c r="K1220" s="60" t="str">
        <f aca="false">IF(IsPro,IF($C1220="","",IF(AND(OR($C1220="Receipt",$C1220="Payment"),$D1220=""),"Party needed",IF(AND(OR($C1220="Expense",$C1220="Other Income"),$E1220=""),"Head needed",IF($F1220="","Account needed","OK")))),IF($C1220="","","PRO PLAN"))</f>
        <v/>
      </c>
    </row>
    <row r="1221" customFormat="false" ht="15" hidden="false" customHeight="false" outlineLevel="0" collapsed="false">
      <c r="A1221" s="55"/>
      <c r="B1221" s="56"/>
      <c r="C1221" s="56"/>
      <c r="D1221" s="56"/>
      <c r="E1221" s="56"/>
      <c r="F1221" s="56"/>
      <c r="G1221" s="58"/>
      <c r="H1221" s="56"/>
      <c r="I1221" s="61" t="str">
        <f aca="false">IF(IsPro,IF(OR($C1221="",N($G1221)=0),"",IF(OR($C1221="Receipt",$C1221="Other Income",$C1221="Capital In",$C1221="Transfer In"),$G1221,0)),"")</f>
        <v/>
      </c>
      <c r="J1221" s="61" t="str">
        <f aca="false">IF(IsPro,IF(OR($C1221="",N($G1221)=0),"",IF(I1221=0,$G1221,0)),"")</f>
        <v/>
      </c>
      <c r="K1221" s="60" t="str">
        <f aca="false">IF(IsPro,IF($C1221="","",IF(AND(OR($C1221="Receipt",$C1221="Payment"),$D1221=""),"Party needed",IF(AND(OR($C1221="Expense",$C1221="Other Income"),$E1221=""),"Head needed",IF($F1221="","Account needed","OK")))),IF($C1221="","","PRO PLAN"))</f>
        <v/>
      </c>
    </row>
    <row r="1222" customFormat="false" ht="15" hidden="false" customHeight="false" outlineLevel="0" collapsed="false">
      <c r="A1222" s="55"/>
      <c r="B1222" s="56"/>
      <c r="C1222" s="56"/>
      <c r="D1222" s="56"/>
      <c r="E1222" s="56"/>
      <c r="F1222" s="56"/>
      <c r="G1222" s="58"/>
      <c r="H1222" s="56"/>
      <c r="I1222" s="61" t="str">
        <f aca="false">IF(IsPro,IF(OR($C1222="",N($G1222)=0),"",IF(OR($C1222="Receipt",$C1222="Other Income",$C1222="Capital In",$C1222="Transfer In"),$G1222,0)),"")</f>
        <v/>
      </c>
      <c r="J1222" s="61" t="str">
        <f aca="false">IF(IsPro,IF(OR($C1222="",N($G1222)=0),"",IF(I1222=0,$G1222,0)),"")</f>
        <v/>
      </c>
      <c r="K1222" s="60" t="str">
        <f aca="false">IF(IsPro,IF($C1222="","",IF(AND(OR($C1222="Receipt",$C1222="Payment"),$D1222=""),"Party needed",IF(AND(OR($C1222="Expense",$C1222="Other Income"),$E1222=""),"Head needed",IF($F1222="","Account needed","OK")))),IF($C1222="","","PRO PLAN"))</f>
        <v/>
      </c>
    </row>
    <row r="1223" customFormat="false" ht="15" hidden="false" customHeight="false" outlineLevel="0" collapsed="false">
      <c r="A1223" s="55"/>
      <c r="B1223" s="56"/>
      <c r="C1223" s="56"/>
      <c r="D1223" s="56"/>
      <c r="E1223" s="56"/>
      <c r="F1223" s="56"/>
      <c r="G1223" s="58"/>
      <c r="H1223" s="56"/>
      <c r="I1223" s="61" t="str">
        <f aca="false">IF(IsPro,IF(OR($C1223="",N($G1223)=0),"",IF(OR($C1223="Receipt",$C1223="Other Income",$C1223="Capital In",$C1223="Transfer In"),$G1223,0)),"")</f>
        <v/>
      </c>
      <c r="J1223" s="61" t="str">
        <f aca="false">IF(IsPro,IF(OR($C1223="",N($G1223)=0),"",IF(I1223=0,$G1223,0)),"")</f>
        <v/>
      </c>
      <c r="K1223" s="60" t="str">
        <f aca="false">IF(IsPro,IF($C1223="","",IF(AND(OR($C1223="Receipt",$C1223="Payment"),$D1223=""),"Party needed",IF(AND(OR($C1223="Expense",$C1223="Other Income"),$E1223=""),"Head needed",IF($F1223="","Account needed","OK")))),IF($C1223="","","PRO PLAN"))</f>
        <v/>
      </c>
    </row>
    <row r="1224" customFormat="false" ht="15" hidden="false" customHeight="false" outlineLevel="0" collapsed="false">
      <c r="A1224" s="55"/>
      <c r="B1224" s="56"/>
      <c r="C1224" s="56"/>
      <c r="D1224" s="56"/>
      <c r="E1224" s="56"/>
      <c r="F1224" s="56"/>
      <c r="G1224" s="58"/>
      <c r="H1224" s="56"/>
      <c r="I1224" s="61" t="str">
        <f aca="false">IF(IsPro,IF(OR($C1224="",N($G1224)=0),"",IF(OR($C1224="Receipt",$C1224="Other Income",$C1224="Capital In",$C1224="Transfer In"),$G1224,0)),"")</f>
        <v/>
      </c>
      <c r="J1224" s="61" t="str">
        <f aca="false">IF(IsPro,IF(OR($C1224="",N($G1224)=0),"",IF(I1224=0,$G1224,0)),"")</f>
        <v/>
      </c>
      <c r="K1224" s="60" t="str">
        <f aca="false">IF(IsPro,IF($C1224="","",IF(AND(OR($C1224="Receipt",$C1224="Payment"),$D1224=""),"Party needed",IF(AND(OR($C1224="Expense",$C1224="Other Income"),$E1224=""),"Head needed",IF($F1224="","Account needed","OK")))),IF($C1224="","","PRO PLAN"))</f>
        <v/>
      </c>
    </row>
    <row r="1225" customFormat="false" ht="15" hidden="false" customHeight="false" outlineLevel="0" collapsed="false">
      <c r="A1225" s="55"/>
      <c r="B1225" s="56"/>
      <c r="C1225" s="56"/>
      <c r="D1225" s="56"/>
      <c r="E1225" s="56"/>
      <c r="F1225" s="56"/>
      <c r="G1225" s="58"/>
      <c r="H1225" s="56"/>
      <c r="I1225" s="61" t="str">
        <f aca="false">IF(IsPro,IF(OR($C1225="",N($G1225)=0),"",IF(OR($C1225="Receipt",$C1225="Other Income",$C1225="Capital In",$C1225="Transfer In"),$G1225,0)),"")</f>
        <v/>
      </c>
      <c r="J1225" s="61" t="str">
        <f aca="false">IF(IsPro,IF(OR($C1225="",N($G1225)=0),"",IF(I1225=0,$G1225,0)),"")</f>
        <v/>
      </c>
      <c r="K1225" s="60" t="str">
        <f aca="false">IF(IsPro,IF($C1225="","",IF(AND(OR($C1225="Receipt",$C1225="Payment"),$D1225=""),"Party needed",IF(AND(OR($C1225="Expense",$C1225="Other Income"),$E1225=""),"Head needed",IF($F1225="","Account needed","OK")))),IF($C1225="","","PRO PLAN"))</f>
        <v/>
      </c>
    </row>
    <row r="1226" customFormat="false" ht="15" hidden="false" customHeight="false" outlineLevel="0" collapsed="false">
      <c r="A1226" s="55"/>
      <c r="B1226" s="56"/>
      <c r="C1226" s="56"/>
      <c r="D1226" s="56"/>
      <c r="E1226" s="56"/>
      <c r="F1226" s="56"/>
      <c r="G1226" s="58"/>
      <c r="H1226" s="56"/>
      <c r="I1226" s="61" t="str">
        <f aca="false">IF(IsPro,IF(OR($C1226="",N($G1226)=0),"",IF(OR($C1226="Receipt",$C1226="Other Income",$C1226="Capital In",$C1226="Transfer In"),$G1226,0)),"")</f>
        <v/>
      </c>
      <c r="J1226" s="61" t="str">
        <f aca="false">IF(IsPro,IF(OR($C1226="",N($G1226)=0),"",IF(I1226=0,$G1226,0)),"")</f>
        <v/>
      </c>
      <c r="K1226" s="60" t="str">
        <f aca="false">IF(IsPro,IF($C1226="","",IF(AND(OR($C1226="Receipt",$C1226="Payment"),$D1226=""),"Party needed",IF(AND(OR($C1226="Expense",$C1226="Other Income"),$E1226=""),"Head needed",IF($F1226="","Account needed","OK")))),IF($C1226="","","PRO PLAN"))</f>
        <v/>
      </c>
    </row>
    <row r="1227" customFormat="false" ht="15" hidden="false" customHeight="false" outlineLevel="0" collapsed="false">
      <c r="A1227" s="55"/>
      <c r="B1227" s="56"/>
      <c r="C1227" s="56"/>
      <c r="D1227" s="56"/>
      <c r="E1227" s="56"/>
      <c r="F1227" s="56"/>
      <c r="G1227" s="58"/>
      <c r="H1227" s="56"/>
      <c r="I1227" s="61" t="str">
        <f aca="false">IF(IsPro,IF(OR($C1227="",N($G1227)=0),"",IF(OR($C1227="Receipt",$C1227="Other Income",$C1227="Capital In",$C1227="Transfer In"),$G1227,0)),"")</f>
        <v/>
      </c>
      <c r="J1227" s="61" t="str">
        <f aca="false">IF(IsPro,IF(OR($C1227="",N($G1227)=0),"",IF(I1227=0,$G1227,0)),"")</f>
        <v/>
      </c>
      <c r="K1227" s="60" t="str">
        <f aca="false">IF(IsPro,IF($C1227="","",IF(AND(OR($C1227="Receipt",$C1227="Payment"),$D1227=""),"Party needed",IF(AND(OR($C1227="Expense",$C1227="Other Income"),$E1227=""),"Head needed",IF($F1227="","Account needed","OK")))),IF($C1227="","","PRO PLAN"))</f>
        <v/>
      </c>
    </row>
    <row r="1228" customFormat="false" ht="15" hidden="false" customHeight="false" outlineLevel="0" collapsed="false">
      <c r="A1228" s="55"/>
      <c r="B1228" s="56"/>
      <c r="C1228" s="56"/>
      <c r="D1228" s="56"/>
      <c r="E1228" s="56"/>
      <c r="F1228" s="56"/>
      <c r="G1228" s="58"/>
      <c r="H1228" s="56"/>
      <c r="I1228" s="61" t="str">
        <f aca="false">IF(IsPro,IF(OR($C1228="",N($G1228)=0),"",IF(OR($C1228="Receipt",$C1228="Other Income",$C1228="Capital In",$C1228="Transfer In"),$G1228,0)),"")</f>
        <v/>
      </c>
      <c r="J1228" s="61" t="str">
        <f aca="false">IF(IsPro,IF(OR($C1228="",N($G1228)=0),"",IF(I1228=0,$G1228,0)),"")</f>
        <v/>
      </c>
      <c r="K1228" s="60" t="str">
        <f aca="false">IF(IsPro,IF($C1228="","",IF(AND(OR($C1228="Receipt",$C1228="Payment"),$D1228=""),"Party needed",IF(AND(OR($C1228="Expense",$C1228="Other Income"),$E1228=""),"Head needed",IF($F1228="","Account needed","OK")))),IF($C1228="","","PRO PLAN"))</f>
        <v/>
      </c>
    </row>
    <row r="1229" customFormat="false" ht="15" hidden="false" customHeight="false" outlineLevel="0" collapsed="false">
      <c r="A1229" s="55"/>
      <c r="B1229" s="56"/>
      <c r="C1229" s="56"/>
      <c r="D1229" s="56"/>
      <c r="E1229" s="56"/>
      <c r="F1229" s="56"/>
      <c r="G1229" s="58"/>
      <c r="H1229" s="56"/>
      <c r="I1229" s="61" t="str">
        <f aca="false">IF(IsPro,IF(OR($C1229="",N($G1229)=0),"",IF(OR($C1229="Receipt",$C1229="Other Income",$C1229="Capital In",$C1229="Transfer In"),$G1229,0)),"")</f>
        <v/>
      </c>
      <c r="J1229" s="61" t="str">
        <f aca="false">IF(IsPro,IF(OR($C1229="",N($G1229)=0),"",IF(I1229=0,$G1229,0)),"")</f>
        <v/>
      </c>
      <c r="K1229" s="60" t="str">
        <f aca="false">IF(IsPro,IF($C1229="","",IF(AND(OR($C1229="Receipt",$C1229="Payment"),$D1229=""),"Party needed",IF(AND(OR($C1229="Expense",$C1229="Other Income"),$E1229=""),"Head needed",IF($F1229="","Account needed","OK")))),IF($C1229="","","PRO PLAN"))</f>
        <v/>
      </c>
    </row>
    <row r="1230" customFormat="false" ht="15" hidden="false" customHeight="false" outlineLevel="0" collapsed="false">
      <c r="A1230" s="55"/>
      <c r="B1230" s="56"/>
      <c r="C1230" s="56"/>
      <c r="D1230" s="56"/>
      <c r="E1230" s="56"/>
      <c r="F1230" s="56"/>
      <c r="G1230" s="58"/>
      <c r="H1230" s="56"/>
      <c r="I1230" s="61" t="str">
        <f aca="false">IF(IsPro,IF(OR($C1230="",N($G1230)=0),"",IF(OR($C1230="Receipt",$C1230="Other Income",$C1230="Capital In",$C1230="Transfer In"),$G1230,0)),"")</f>
        <v/>
      </c>
      <c r="J1230" s="61" t="str">
        <f aca="false">IF(IsPro,IF(OR($C1230="",N($G1230)=0),"",IF(I1230=0,$G1230,0)),"")</f>
        <v/>
      </c>
      <c r="K1230" s="60" t="str">
        <f aca="false">IF(IsPro,IF($C1230="","",IF(AND(OR($C1230="Receipt",$C1230="Payment"),$D1230=""),"Party needed",IF(AND(OR($C1230="Expense",$C1230="Other Income"),$E1230=""),"Head needed",IF($F1230="","Account needed","OK")))),IF($C1230="","","PRO PLAN"))</f>
        <v/>
      </c>
    </row>
    <row r="1231" customFormat="false" ht="15" hidden="false" customHeight="false" outlineLevel="0" collapsed="false">
      <c r="A1231" s="55"/>
      <c r="B1231" s="56"/>
      <c r="C1231" s="56"/>
      <c r="D1231" s="56"/>
      <c r="E1231" s="56"/>
      <c r="F1231" s="56"/>
      <c r="G1231" s="58"/>
      <c r="H1231" s="56"/>
      <c r="I1231" s="61" t="str">
        <f aca="false">IF(IsPro,IF(OR($C1231="",N($G1231)=0),"",IF(OR($C1231="Receipt",$C1231="Other Income",$C1231="Capital In",$C1231="Transfer In"),$G1231,0)),"")</f>
        <v/>
      </c>
      <c r="J1231" s="61" t="str">
        <f aca="false">IF(IsPro,IF(OR($C1231="",N($G1231)=0),"",IF(I1231=0,$G1231,0)),"")</f>
        <v/>
      </c>
      <c r="K1231" s="60" t="str">
        <f aca="false">IF(IsPro,IF($C1231="","",IF(AND(OR($C1231="Receipt",$C1231="Payment"),$D1231=""),"Party needed",IF(AND(OR($C1231="Expense",$C1231="Other Income"),$E1231=""),"Head needed",IF($F1231="","Account needed","OK")))),IF($C1231="","","PRO PLAN"))</f>
        <v/>
      </c>
    </row>
    <row r="1232" customFormat="false" ht="15" hidden="false" customHeight="false" outlineLevel="0" collapsed="false">
      <c r="A1232" s="55"/>
      <c r="B1232" s="56"/>
      <c r="C1232" s="56"/>
      <c r="D1232" s="56"/>
      <c r="E1232" s="56"/>
      <c r="F1232" s="56"/>
      <c r="G1232" s="58"/>
      <c r="H1232" s="56"/>
      <c r="I1232" s="61" t="str">
        <f aca="false">IF(IsPro,IF(OR($C1232="",N($G1232)=0),"",IF(OR($C1232="Receipt",$C1232="Other Income",$C1232="Capital In",$C1232="Transfer In"),$G1232,0)),"")</f>
        <v/>
      </c>
      <c r="J1232" s="61" t="str">
        <f aca="false">IF(IsPro,IF(OR($C1232="",N($G1232)=0),"",IF(I1232=0,$G1232,0)),"")</f>
        <v/>
      </c>
      <c r="K1232" s="60" t="str">
        <f aca="false">IF(IsPro,IF($C1232="","",IF(AND(OR($C1232="Receipt",$C1232="Payment"),$D1232=""),"Party needed",IF(AND(OR($C1232="Expense",$C1232="Other Income"),$E1232=""),"Head needed",IF($F1232="","Account needed","OK")))),IF($C1232="","","PRO PLAN"))</f>
        <v/>
      </c>
    </row>
    <row r="1233" customFormat="false" ht="15" hidden="false" customHeight="false" outlineLevel="0" collapsed="false">
      <c r="A1233" s="55"/>
      <c r="B1233" s="56"/>
      <c r="C1233" s="56"/>
      <c r="D1233" s="56"/>
      <c r="E1233" s="56"/>
      <c r="F1233" s="56"/>
      <c r="G1233" s="58"/>
      <c r="H1233" s="56"/>
      <c r="I1233" s="61" t="str">
        <f aca="false">IF(IsPro,IF(OR($C1233="",N($G1233)=0),"",IF(OR($C1233="Receipt",$C1233="Other Income",$C1233="Capital In",$C1233="Transfer In"),$G1233,0)),"")</f>
        <v/>
      </c>
      <c r="J1233" s="61" t="str">
        <f aca="false">IF(IsPro,IF(OR($C1233="",N($G1233)=0),"",IF(I1233=0,$G1233,0)),"")</f>
        <v/>
      </c>
      <c r="K1233" s="60" t="str">
        <f aca="false">IF(IsPro,IF($C1233="","",IF(AND(OR($C1233="Receipt",$C1233="Payment"),$D1233=""),"Party needed",IF(AND(OR($C1233="Expense",$C1233="Other Income"),$E1233=""),"Head needed",IF($F1233="","Account needed","OK")))),IF($C1233="","","PRO PLAN"))</f>
        <v/>
      </c>
    </row>
    <row r="1234" customFormat="false" ht="15" hidden="false" customHeight="false" outlineLevel="0" collapsed="false">
      <c r="A1234" s="55"/>
      <c r="B1234" s="56"/>
      <c r="C1234" s="56"/>
      <c r="D1234" s="56"/>
      <c r="E1234" s="56"/>
      <c r="F1234" s="56"/>
      <c r="G1234" s="58"/>
      <c r="H1234" s="56"/>
      <c r="I1234" s="61" t="str">
        <f aca="false">IF(IsPro,IF(OR($C1234="",N($G1234)=0),"",IF(OR($C1234="Receipt",$C1234="Other Income",$C1234="Capital In",$C1234="Transfer In"),$G1234,0)),"")</f>
        <v/>
      </c>
      <c r="J1234" s="61" t="str">
        <f aca="false">IF(IsPro,IF(OR($C1234="",N($G1234)=0),"",IF(I1234=0,$G1234,0)),"")</f>
        <v/>
      </c>
      <c r="K1234" s="60" t="str">
        <f aca="false">IF(IsPro,IF($C1234="","",IF(AND(OR($C1234="Receipt",$C1234="Payment"),$D1234=""),"Party needed",IF(AND(OR($C1234="Expense",$C1234="Other Income"),$E1234=""),"Head needed",IF($F1234="","Account needed","OK")))),IF($C1234="","","PRO PLAN"))</f>
        <v/>
      </c>
    </row>
    <row r="1235" customFormat="false" ht="15" hidden="false" customHeight="false" outlineLevel="0" collapsed="false">
      <c r="A1235" s="55"/>
      <c r="B1235" s="56"/>
      <c r="C1235" s="56"/>
      <c r="D1235" s="56"/>
      <c r="E1235" s="56"/>
      <c r="F1235" s="56"/>
      <c r="G1235" s="58"/>
      <c r="H1235" s="56"/>
      <c r="I1235" s="61" t="str">
        <f aca="false">IF(IsPro,IF(OR($C1235="",N($G1235)=0),"",IF(OR($C1235="Receipt",$C1235="Other Income",$C1235="Capital In",$C1235="Transfer In"),$G1235,0)),"")</f>
        <v/>
      </c>
      <c r="J1235" s="61" t="str">
        <f aca="false">IF(IsPro,IF(OR($C1235="",N($G1235)=0),"",IF(I1235=0,$G1235,0)),"")</f>
        <v/>
      </c>
      <c r="K1235" s="60" t="str">
        <f aca="false">IF(IsPro,IF($C1235="","",IF(AND(OR($C1235="Receipt",$C1235="Payment"),$D1235=""),"Party needed",IF(AND(OR($C1235="Expense",$C1235="Other Income"),$E1235=""),"Head needed",IF($F1235="","Account needed","OK")))),IF($C1235="","","PRO PLAN"))</f>
        <v/>
      </c>
    </row>
    <row r="1236" customFormat="false" ht="15" hidden="false" customHeight="false" outlineLevel="0" collapsed="false">
      <c r="A1236" s="55"/>
      <c r="B1236" s="56"/>
      <c r="C1236" s="56"/>
      <c r="D1236" s="56"/>
      <c r="E1236" s="56"/>
      <c r="F1236" s="56"/>
      <c r="G1236" s="58"/>
      <c r="H1236" s="56"/>
      <c r="I1236" s="61" t="str">
        <f aca="false">IF(IsPro,IF(OR($C1236="",N($G1236)=0),"",IF(OR($C1236="Receipt",$C1236="Other Income",$C1236="Capital In",$C1236="Transfer In"),$G1236,0)),"")</f>
        <v/>
      </c>
      <c r="J1236" s="61" t="str">
        <f aca="false">IF(IsPro,IF(OR($C1236="",N($G1236)=0),"",IF(I1236=0,$G1236,0)),"")</f>
        <v/>
      </c>
      <c r="K1236" s="60" t="str">
        <f aca="false">IF(IsPro,IF($C1236="","",IF(AND(OR($C1236="Receipt",$C1236="Payment"),$D1236=""),"Party needed",IF(AND(OR($C1236="Expense",$C1236="Other Income"),$E1236=""),"Head needed",IF($F1236="","Account needed","OK")))),IF($C1236="","","PRO PLAN"))</f>
        <v/>
      </c>
    </row>
    <row r="1237" customFormat="false" ht="15" hidden="false" customHeight="false" outlineLevel="0" collapsed="false">
      <c r="A1237" s="55"/>
      <c r="B1237" s="56"/>
      <c r="C1237" s="56"/>
      <c r="D1237" s="56"/>
      <c r="E1237" s="56"/>
      <c r="F1237" s="56"/>
      <c r="G1237" s="58"/>
      <c r="H1237" s="56"/>
      <c r="I1237" s="61" t="str">
        <f aca="false">IF(IsPro,IF(OR($C1237="",N($G1237)=0),"",IF(OR($C1237="Receipt",$C1237="Other Income",$C1237="Capital In",$C1237="Transfer In"),$G1237,0)),"")</f>
        <v/>
      </c>
      <c r="J1237" s="61" t="str">
        <f aca="false">IF(IsPro,IF(OR($C1237="",N($G1237)=0),"",IF(I1237=0,$G1237,0)),"")</f>
        <v/>
      </c>
      <c r="K1237" s="60" t="str">
        <f aca="false">IF(IsPro,IF($C1237="","",IF(AND(OR($C1237="Receipt",$C1237="Payment"),$D1237=""),"Party needed",IF(AND(OR($C1237="Expense",$C1237="Other Income"),$E1237=""),"Head needed",IF($F1237="","Account needed","OK")))),IF($C1237="","","PRO PLAN"))</f>
        <v/>
      </c>
    </row>
    <row r="1238" customFormat="false" ht="15" hidden="false" customHeight="false" outlineLevel="0" collapsed="false">
      <c r="A1238" s="55"/>
      <c r="B1238" s="56"/>
      <c r="C1238" s="56"/>
      <c r="D1238" s="56"/>
      <c r="E1238" s="56"/>
      <c r="F1238" s="56"/>
      <c r="G1238" s="58"/>
      <c r="H1238" s="56"/>
      <c r="I1238" s="61" t="str">
        <f aca="false">IF(IsPro,IF(OR($C1238="",N($G1238)=0),"",IF(OR($C1238="Receipt",$C1238="Other Income",$C1238="Capital In",$C1238="Transfer In"),$G1238,0)),"")</f>
        <v/>
      </c>
      <c r="J1238" s="61" t="str">
        <f aca="false">IF(IsPro,IF(OR($C1238="",N($G1238)=0),"",IF(I1238=0,$G1238,0)),"")</f>
        <v/>
      </c>
      <c r="K1238" s="60" t="str">
        <f aca="false">IF(IsPro,IF($C1238="","",IF(AND(OR($C1238="Receipt",$C1238="Payment"),$D1238=""),"Party needed",IF(AND(OR($C1238="Expense",$C1238="Other Income"),$E1238=""),"Head needed",IF($F1238="","Account needed","OK")))),IF($C1238="","","PRO PLAN"))</f>
        <v/>
      </c>
    </row>
    <row r="1239" customFormat="false" ht="15" hidden="false" customHeight="false" outlineLevel="0" collapsed="false">
      <c r="A1239" s="55"/>
      <c r="B1239" s="56"/>
      <c r="C1239" s="56"/>
      <c r="D1239" s="56"/>
      <c r="E1239" s="56"/>
      <c r="F1239" s="56"/>
      <c r="G1239" s="58"/>
      <c r="H1239" s="56"/>
      <c r="I1239" s="61" t="str">
        <f aca="false">IF(IsPro,IF(OR($C1239="",N($G1239)=0),"",IF(OR($C1239="Receipt",$C1239="Other Income",$C1239="Capital In",$C1239="Transfer In"),$G1239,0)),"")</f>
        <v/>
      </c>
      <c r="J1239" s="61" t="str">
        <f aca="false">IF(IsPro,IF(OR($C1239="",N($G1239)=0),"",IF(I1239=0,$G1239,0)),"")</f>
        <v/>
      </c>
      <c r="K1239" s="60" t="str">
        <f aca="false">IF(IsPro,IF($C1239="","",IF(AND(OR($C1239="Receipt",$C1239="Payment"),$D1239=""),"Party needed",IF(AND(OR($C1239="Expense",$C1239="Other Income"),$E1239=""),"Head needed",IF($F1239="","Account needed","OK")))),IF($C1239="","","PRO PLAN"))</f>
        <v/>
      </c>
    </row>
    <row r="1240" customFormat="false" ht="15" hidden="false" customHeight="false" outlineLevel="0" collapsed="false">
      <c r="A1240" s="55"/>
      <c r="B1240" s="56"/>
      <c r="C1240" s="56"/>
      <c r="D1240" s="56"/>
      <c r="E1240" s="56"/>
      <c r="F1240" s="56"/>
      <c r="G1240" s="58"/>
      <c r="H1240" s="56"/>
      <c r="I1240" s="61" t="str">
        <f aca="false">IF(IsPro,IF(OR($C1240="",N($G1240)=0),"",IF(OR($C1240="Receipt",$C1240="Other Income",$C1240="Capital In",$C1240="Transfer In"),$G1240,0)),"")</f>
        <v/>
      </c>
      <c r="J1240" s="61" t="str">
        <f aca="false">IF(IsPro,IF(OR($C1240="",N($G1240)=0),"",IF(I1240=0,$G1240,0)),"")</f>
        <v/>
      </c>
      <c r="K1240" s="60" t="str">
        <f aca="false">IF(IsPro,IF($C1240="","",IF(AND(OR($C1240="Receipt",$C1240="Payment"),$D1240=""),"Party needed",IF(AND(OR($C1240="Expense",$C1240="Other Income"),$E1240=""),"Head needed",IF($F1240="","Account needed","OK")))),IF($C1240="","","PRO PLAN"))</f>
        <v/>
      </c>
    </row>
    <row r="1241" customFormat="false" ht="15" hidden="false" customHeight="false" outlineLevel="0" collapsed="false">
      <c r="A1241" s="55"/>
      <c r="B1241" s="56"/>
      <c r="C1241" s="56"/>
      <c r="D1241" s="56"/>
      <c r="E1241" s="56"/>
      <c r="F1241" s="56"/>
      <c r="G1241" s="58"/>
      <c r="H1241" s="56"/>
      <c r="I1241" s="61" t="str">
        <f aca="false">IF(IsPro,IF(OR($C1241="",N($G1241)=0),"",IF(OR($C1241="Receipt",$C1241="Other Income",$C1241="Capital In",$C1241="Transfer In"),$G1241,0)),"")</f>
        <v/>
      </c>
      <c r="J1241" s="61" t="str">
        <f aca="false">IF(IsPro,IF(OR($C1241="",N($G1241)=0),"",IF(I1241=0,$G1241,0)),"")</f>
        <v/>
      </c>
      <c r="K1241" s="60" t="str">
        <f aca="false">IF(IsPro,IF($C1241="","",IF(AND(OR($C1241="Receipt",$C1241="Payment"),$D1241=""),"Party needed",IF(AND(OR($C1241="Expense",$C1241="Other Income"),$E1241=""),"Head needed",IF($F1241="","Account needed","OK")))),IF($C1241="","","PRO PLAN"))</f>
        <v/>
      </c>
    </row>
    <row r="1242" customFormat="false" ht="15" hidden="false" customHeight="false" outlineLevel="0" collapsed="false">
      <c r="A1242" s="55"/>
      <c r="B1242" s="56"/>
      <c r="C1242" s="56"/>
      <c r="D1242" s="56"/>
      <c r="E1242" s="56"/>
      <c r="F1242" s="56"/>
      <c r="G1242" s="58"/>
      <c r="H1242" s="56"/>
      <c r="I1242" s="61" t="str">
        <f aca="false">IF(IsPro,IF(OR($C1242="",N($G1242)=0),"",IF(OR($C1242="Receipt",$C1242="Other Income",$C1242="Capital In",$C1242="Transfer In"),$G1242,0)),"")</f>
        <v/>
      </c>
      <c r="J1242" s="61" t="str">
        <f aca="false">IF(IsPro,IF(OR($C1242="",N($G1242)=0),"",IF(I1242=0,$G1242,0)),"")</f>
        <v/>
      </c>
      <c r="K1242" s="60" t="str">
        <f aca="false">IF(IsPro,IF($C1242="","",IF(AND(OR($C1242="Receipt",$C1242="Payment"),$D1242=""),"Party needed",IF(AND(OR($C1242="Expense",$C1242="Other Income"),$E1242=""),"Head needed",IF($F1242="","Account needed","OK")))),IF($C1242="","","PRO PLAN"))</f>
        <v/>
      </c>
    </row>
    <row r="1243" customFormat="false" ht="15" hidden="false" customHeight="false" outlineLevel="0" collapsed="false">
      <c r="A1243" s="55"/>
      <c r="B1243" s="56"/>
      <c r="C1243" s="56"/>
      <c r="D1243" s="56"/>
      <c r="E1243" s="56"/>
      <c r="F1243" s="56"/>
      <c r="G1243" s="58"/>
      <c r="H1243" s="56"/>
      <c r="I1243" s="61" t="str">
        <f aca="false">IF(IsPro,IF(OR($C1243="",N($G1243)=0),"",IF(OR($C1243="Receipt",$C1243="Other Income",$C1243="Capital In",$C1243="Transfer In"),$G1243,0)),"")</f>
        <v/>
      </c>
      <c r="J1243" s="61" t="str">
        <f aca="false">IF(IsPro,IF(OR($C1243="",N($G1243)=0),"",IF(I1243=0,$G1243,0)),"")</f>
        <v/>
      </c>
      <c r="K1243" s="60" t="str">
        <f aca="false">IF(IsPro,IF($C1243="","",IF(AND(OR($C1243="Receipt",$C1243="Payment"),$D1243=""),"Party needed",IF(AND(OR($C1243="Expense",$C1243="Other Income"),$E1243=""),"Head needed",IF($F1243="","Account needed","OK")))),IF($C1243="","","PRO PLAN"))</f>
        <v/>
      </c>
    </row>
    <row r="1244" customFormat="false" ht="15" hidden="false" customHeight="false" outlineLevel="0" collapsed="false">
      <c r="A1244" s="55"/>
      <c r="B1244" s="56"/>
      <c r="C1244" s="56"/>
      <c r="D1244" s="56"/>
      <c r="E1244" s="56"/>
      <c r="F1244" s="56"/>
      <c r="G1244" s="58"/>
      <c r="H1244" s="56"/>
      <c r="I1244" s="61" t="str">
        <f aca="false">IF(IsPro,IF(OR($C1244="",N($G1244)=0),"",IF(OR($C1244="Receipt",$C1244="Other Income",$C1244="Capital In",$C1244="Transfer In"),$G1244,0)),"")</f>
        <v/>
      </c>
      <c r="J1244" s="61" t="str">
        <f aca="false">IF(IsPro,IF(OR($C1244="",N($G1244)=0),"",IF(I1244=0,$G1244,0)),"")</f>
        <v/>
      </c>
      <c r="K1244" s="60" t="str">
        <f aca="false">IF(IsPro,IF($C1244="","",IF(AND(OR($C1244="Receipt",$C1244="Payment"),$D1244=""),"Party needed",IF(AND(OR($C1244="Expense",$C1244="Other Income"),$E1244=""),"Head needed",IF($F1244="","Account needed","OK")))),IF($C1244="","","PRO PLAN"))</f>
        <v/>
      </c>
    </row>
    <row r="1245" customFormat="false" ht="15" hidden="false" customHeight="false" outlineLevel="0" collapsed="false">
      <c r="A1245" s="55"/>
      <c r="B1245" s="56"/>
      <c r="C1245" s="56"/>
      <c r="D1245" s="56"/>
      <c r="E1245" s="56"/>
      <c r="F1245" s="56"/>
      <c r="G1245" s="58"/>
      <c r="H1245" s="56"/>
      <c r="I1245" s="61" t="str">
        <f aca="false">IF(IsPro,IF(OR($C1245="",N($G1245)=0),"",IF(OR($C1245="Receipt",$C1245="Other Income",$C1245="Capital In",$C1245="Transfer In"),$G1245,0)),"")</f>
        <v/>
      </c>
      <c r="J1245" s="61" t="str">
        <f aca="false">IF(IsPro,IF(OR($C1245="",N($G1245)=0),"",IF(I1245=0,$G1245,0)),"")</f>
        <v/>
      </c>
      <c r="K1245" s="60" t="str">
        <f aca="false">IF(IsPro,IF($C1245="","",IF(AND(OR($C1245="Receipt",$C1245="Payment"),$D1245=""),"Party needed",IF(AND(OR($C1245="Expense",$C1245="Other Income"),$E1245=""),"Head needed",IF($F1245="","Account needed","OK")))),IF($C1245="","","PRO PLAN"))</f>
        <v/>
      </c>
    </row>
    <row r="1246" customFormat="false" ht="15" hidden="false" customHeight="false" outlineLevel="0" collapsed="false">
      <c r="A1246" s="55"/>
      <c r="B1246" s="56"/>
      <c r="C1246" s="56"/>
      <c r="D1246" s="56"/>
      <c r="E1246" s="56"/>
      <c r="F1246" s="56"/>
      <c r="G1246" s="58"/>
      <c r="H1246" s="56"/>
      <c r="I1246" s="61" t="str">
        <f aca="false">IF(IsPro,IF(OR($C1246="",N($G1246)=0),"",IF(OR($C1246="Receipt",$C1246="Other Income",$C1246="Capital In",$C1246="Transfer In"),$G1246,0)),"")</f>
        <v/>
      </c>
      <c r="J1246" s="61" t="str">
        <f aca="false">IF(IsPro,IF(OR($C1246="",N($G1246)=0),"",IF(I1246=0,$G1246,0)),"")</f>
        <v/>
      </c>
      <c r="K1246" s="60" t="str">
        <f aca="false">IF(IsPro,IF($C1246="","",IF(AND(OR($C1246="Receipt",$C1246="Payment"),$D1246=""),"Party needed",IF(AND(OR($C1246="Expense",$C1246="Other Income"),$E1246=""),"Head needed",IF($F1246="","Account needed","OK")))),IF($C1246="","","PRO PLAN"))</f>
        <v/>
      </c>
    </row>
    <row r="1247" customFormat="false" ht="15" hidden="false" customHeight="false" outlineLevel="0" collapsed="false">
      <c r="A1247" s="55"/>
      <c r="B1247" s="56"/>
      <c r="C1247" s="56"/>
      <c r="D1247" s="56"/>
      <c r="E1247" s="56"/>
      <c r="F1247" s="56"/>
      <c r="G1247" s="58"/>
      <c r="H1247" s="56"/>
      <c r="I1247" s="61" t="str">
        <f aca="false">IF(IsPro,IF(OR($C1247="",N($G1247)=0),"",IF(OR($C1247="Receipt",$C1247="Other Income",$C1247="Capital In",$C1247="Transfer In"),$G1247,0)),"")</f>
        <v/>
      </c>
      <c r="J1247" s="61" t="str">
        <f aca="false">IF(IsPro,IF(OR($C1247="",N($G1247)=0),"",IF(I1247=0,$G1247,0)),"")</f>
        <v/>
      </c>
      <c r="K1247" s="60" t="str">
        <f aca="false">IF(IsPro,IF($C1247="","",IF(AND(OR($C1247="Receipt",$C1247="Payment"),$D1247=""),"Party needed",IF(AND(OR($C1247="Expense",$C1247="Other Income"),$E1247=""),"Head needed",IF($F1247="","Account needed","OK")))),IF($C1247="","","PRO PLAN"))</f>
        <v/>
      </c>
    </row>
    <row r="1248" customFormat="false" ht="15" hidden="false" customHeight="false" outlineLevel="0" collapsed="false">
      <c r="A1248" s="55"/>
      <c r="B1248" s="56"/>
      <c r="C1248" s="56"/>
      <c r="D1248" s="56"/>
      <c r="E1248" s="56"/>
      <c r="F1248" s="56"/>
      <c r="G1248" s="58"/>
      <c r="H1248" s="56"/>
      <c r="I1248" s="61" t="str">
        <f aca="false">IF(IsPro,IF(OR($C1248="",N($G1248)=0),"",IF(OR($C1248="Receipt",$C1248="Other Income",$C1248="Capital In",$C1248="Transfer In"),$G1248,0)),"")</f>
        <v/>
      </c>
      <c r="J1248" s="61" t="str">
        <f aca="false">IF(IsPro,IF(OR($C1248="",N($G1248)=0),"",IF(I1248=0,$G1248,0)),"")</f>
        <v/>
      </c>
      <c r="K1248" s="60" t="str">
        <f aca="false">IF(IsPro,IF($C1248="","",IF(AND(OR($C1248="Receipt",$C1248="Payment"),$D1248=""),"Party needed",IF(AND(OR($C1248="Expense",$C1248="Other Income"),$E1248=""),"Head needed",IF($F1248="","Account needed","OK")))),IF($C1248="","","PRO PLAN"))</f>
        <v/>
      </c>
    </row>
    <row r="1249" customFormat="false" ht="15" hidden="false" customHeight="false" outlineLevel="0" collapsed="false">
      <c r="A1249" s="55"/>
      <c r="B1249" s="56"/>
      <c r="C1249" s="56"/>
      <c r="D1249" s="56"/>
      <c r="E1249" s="56"/>
      <c r="F1249" s="56"/>
      <c r="G1249" s="58"/>
      <c r="H1249" s="56"/>
      <c r="I1249" s="61" t="str">
        <f aca="false">IF(IsPro,IF(OR($C1249="",N($G1249)=0),"",IF(OR($C1249="Receipt",$C1249="Other Income",$C1249="Capital In",$C1249="Transfer In"),$G1249,0)),"")</f>
        <v/>
      </c>
      <c r="J1249" s="61" t="str">
        <f aca="false">IF(IsPro,IF(OR($C1249="",N($G1249)=0),"",IF(I1249=0,$G1249,0)),"")</f>
        <v/>
      </c>
      <c r="K1249" s="60" t="str">
        <f aca="false">IF(IsPro,IF($C1249="","",IF(AND(OR($C1249="Receipt",$C1249="Payment"),$D1249=""),"Party needed",IF(AND(OR($C1249="Expense",$C1249="Other Income"),$E1249=""),"Head needed",IF($F1249="","Account needed","OK")))),IF($C1249="","","PRO PLAN"))</f>
        <v/>
      </c>
    </row>
    <row r="1250" customFormat="false" ht="15" hidden="false" customHeight="false" outlineLevel="0" collapsed="false">
      <c r="A1250" s="55"/>
      <c r="B1250" s="56"/>
      <c r="C1250" s="56"/>
      <c r="D1250" s="56"/>
      <c r="E1250" s="56"/>
      <c r="F1250" s="56"/>
      <c r="G1250" s="58"/>
      <c r="H1250" s="56"/>
      <c r="I1250" s="61" t="str">
        <f aca="false">IF(IsPro,IF(OR($C1250="",N($G1250)=0),"",IF(OR($C1250="Receipt",$C1250="Other Income",$C1250="Capital In",$C1250="Transfer In"),$G1250,0)),"")</f>
        <v/>
      </c>
      <c r="J1250" s="61" t="str">
        <f aca="false">IF(IsPro,IF(OR($C1250="",N($G1250)=0),"",IF(I1250=0,$G1250,0)),"")</f>
        <v/>
      </c>
      <c r="K1250" s="60" t="str">
        <f aca="false">IF(IsPro,IF($C1250="","",IF(AND(OR($C1250="Receipt",$C1250="Payment"),$D1250=""),"Party needed",IF(AND(OR($C1250="Expense",$C1250="Other Income"),$E1250=""),"Head needed",IF($F1250="","Account needed","OK")))),IF($C1250="","","PRO PLAN"))</f>
        <v/>
      </c>
    </row>
    <row r="1251" customFormat="false" ht="15" hidden="false" customHeight="false" outlineLevel="0" collapsed="false">
      <c r="A1251" s="55"/>
      <c r="B1251" s="56"/>
      <c r="C1251" s="56"/>
      <c r="D1251" s="56"/>
      <c r="E1251" s="56"/>
      <c r="F1251" s="56"/>
      <c r="G1251" s="58"/>
      <c r="H1251" s="56"/>
      <c r="I1251" s="61" t="str">
        <f aca="false">IF(IsPro,IF(OR($C1251="",N($G1251)=0),"",IF(OR($C1251="Receipt",$C1251="Other Income",$C1251="Capital In",$C1251="Transfer In"),$G1251,0)),"")</f>
        <v/>
      </c>
      <c r="J1251" s="61" t="str">
        <f aca="false">IF(IsPro,IF(OR($C1251="",N($G1251)=0),"",IF(I1251=0,$G1251,0)),"")</f>
        <v/>
      </c>
      <c r="K1251" s="60" t="str">
        <f aca="false">IF(IsPro,IF($C1251="","",IF(AND(OR($C1251="Receipt",$C1251="Payment"),$D1251=""),"Party needed",IF(AND(OR($C1251="Expense",$C1251="Other Income"),$E1251=""),"Head needed",IF($F1251="","Account needed","OK")))),IF($C1251="","","PRO PLAN"))</f>
        <v/>
      </c>
    </row>
    <row r="1252" customFormat="false" ht="15" hidden="false" customHeight="false" outlineLevel="0" collapsed="false">
      <c r="A1252" s="55"/>
      <c r="B1252" s="56"/>
      <c r="C1252" s="56"/>
      <c r="D1252" s="56"/>
      <c r="E1252" s="56"/>
      <c r="F1252" s="56"/>
      <c r="G1252" s="58"/>
      <c r="H1252" s="56"/>
      <c r="I1252" s="61" t="str">
        <f aca="false">IF(IsPro,IF(OR($C1252="",N($G1252)=0),"",IF(OR($C1252="Receipt",$C1252="Other Income",$C1252="Capital In",$C1252="Transfer In"),$G1252,0)),"")</f>
        <v/>
      </c>
      <c r="J1252" s="61" t="str">
        <f aca="false">IF(IsPro,IF(OR($C1252="",N($G1252)=0),"",IF(I1252=0,$G1252,0)),"")</f>
        <v/>
      </c>
      <c r="K1252" s="60" t="str">
        <f aca="false">IF(IsPro,IF($C1252="","",IF(AND(OR($C1252="Receipt",$C1252="Payment"),$D1252=""),"Party needed",IF(AND(OR($C1252="Expense",$C1252="Other Income"),$E1252=""),"Head needed",IF($F1252="","Account needed","OK")))),IF($C1252="","","PRO PLAN"))</f>
        <v/>
      </c>
    </row>
    <row r="1253" customFormat="false" ht="15" hidden="false" customHeight="false" outlineLevel="0" collapsed="false">
      <c r="A1253" s="55"/>
      <c r="B1253" s="56"/>
      <c r="C1253" s="56"/>
      <c r="D1253" s="56"/>
      <c r="E1253" s="56"/>
      <c r="F1253" s="56"/>
      <c r="G1253" s="58"/>
      <c r="H1253" s="56"/>
      <c r="I1253" s="61" t="str">
        <f aca="false">IF(IsPro,IF(OR($C1253="",N($G1253)=0),"",IF(OR($C1253="Receipt",$C1253="Other Income",$C1253="Capital In",$C1253="Transfer In"),$G1253,0)),"")</f>
        <v/>
      </c>
      <c r="J1253" s="61" t="str">
        <f aca="false">IF(IsPro,IF(OR($C1253="",N($G1253)=0),"",IF(I1253=0,$G1253,0)),"")</f>
        <v/>
      </c>
      <c r="K1253" s="60" t="str">
        <f aca="false">IF(IsPro,IF($C1253="","",IF(AND(OR($C1253="Receipt",$C1253="Payment"),$D1253=""),"Party needed",IF(AND(OR($C1253="Expense",$C1253="Other Income"),$E1253=""),"Head needed",IF($F1253="","Account needed","OK")))),IF($C1253="","","PRO PLAN"))</f>
        <v/>
      </c>
    </row>
    <row r="1254" customFormat="false" ht="15" hidden="false" customHeight="false" outlineLevel="0" collapsed="false">
      <c r="A1254" s="55"/>
      <c r="B1254" s="56"/>
      <c r="C1254" s="56"/>
      <c r="D1254" s="56"/>
      <c r="E1254" s="56"/>
      <c r="F1254" s="56"/>
      <c r="G1254" s="58"/>
      <c r="H1254" s="56"/>
      <c r="I1254" s="61" t="str">
        <f aca="false">IF(IsPro,IF(OR($C1254="",N($G1254)=0),"",IF(OR($C1254="Receipt",$C1254="Other Income",$C1254="Capital In",$C1254="Transfer In"),$G1254,0)),"")</f>
        <v/>
      </c>
      <c r="J1254" s="61" t="str">
        <f aca="false">IF(IsPro,IF(OR($C1254="",N($G1254)=0),"",IF(I1254=0,$G1254,0)),"")</f>
        <v/>
      </c>
      <c r="K1254" s="60" t="str">
        <f aca="false">IF(IsPro,IF($C1254="","",IF(AND(OR($C1254="Receipt",$C1254="Payment"),$D1254=""),"Party needed",IF(AND(OR($C1254="Expense",$C1254="Other Income"),$E1254=""),"Head needed",IF($F1254="","Account needed","OK")))),IF($C1254="","","PRO PLAN"))</f>
        <v/>
      </c>
    </row>
    <row r="1255" customFormat="false" ht="15" hidden="false" customHeight="false" outlineLevel="0" collapsed="false">
      <c r="A1255" s="55"/>
      <c r="B1255" s="56"/>
      <c r="C1255" s="56"/>
      <c r="D1255" s="56"/>
      <c r="E1255" s="56"/>
      <c r="F1255" s="56"/>
      <c r="G1255" s="58"/>
      <c r="H1255" s="56"/>
      <c r="I1255" s="61" t="str">
        <f aca="false">IF(IsPro,IF(OR($C1255="",N($G1255)=0),"",IF(OR($C1255="Receipt",$C1255="Other Income",$C1255="Capital In",$C1255="Transfer In"),$G1255,0)),"")</f>
        <v/>
      </c>
      <c r="J1255" s="61" t="str">
        <f aca="false">IF(IsPro,IF(OR($C1255="",N($G1255)=0),"",IF(I1255=0,$G1255,0)),"")</f>
        <v/>
      </c>
      <c r="K1255" s="60" t="str">
        <f aca="false">IF(IsPro,IF($C1255="","",IF(AND(OR($C1255="Receipt",$C1255="Payment"),$D1255=""),"Party needed",IF(AND(OR($C1255="Expense",$C1255="Other Income"),$E1255=""),"Head needed",IF($F1255="","Account needed","OK")))),IF($C1255="","","PRO PLAN"))</f>
        <v/>
      </c>
    </row>
    <row r="1256" customFormat="false" ht="15" hidden="false" customHeight="false" outlineLevel="0" collapsed="false">
      <c r="A1256" s="55"/>
      <c r="B1256" s="56"/>
      <c r="C1256" s="56"/>
      <c r="D1256" s="56"/>
      <c r="E1256" s="56"/>
      <c r="F1256" s="56"/>
      <c r="G1256" s="58"/>
      <c r="H1256" s="56"/>
      <c r="I1256" s="61" t="str">
        <f aca="false">IF(IsPro,IF(OR($C1256="",N($G1256)=0),"",IF(OR($C1256="Receipt",$C1256="Other Income",$C1256="Capital In",$C1256="Transfer In"),$G1256,0)),"")</f>
        <v/>
      </c>
      <c r="J1256" s="61" t="str">
        <f aca="false">IF(IsPro,IF(OR($C1256="",N($G1256)=0),"",IF(I1256=0,$G1256,0)),"")</f>
        <v/>
      </c>
      <c r="K1256" s="60" t="str">
        <f aca="false">IF(IsPro,IF($C1256="","",IF(AND(OR($C1256="Receipt",$C1256="Payment"),$D1256=""),"Party needed",IF(AND(OR($C1256="Expense",$C1256="Other Income"),$E1256=""),"Head needed",IF($F1256="","Account needed","OK")))),IF($C1256="","","PRO PLAN"))</f>
        <v/>
      </c>
    </row>
    <row r="1257" customFormat="false" ht="15" hidden="false" customHeight="false" outlineLevel="0" collapsed="false">
      <c r="A1257" s="55"/>
      <c r="B1257" s="56"/>
      <c r="C1257" s="56"/>
      <c r="D1257" s="56"/>
      <c r="E1257" s="56"/>
      <c r="F1257" s="56"/>
      <c r="G1257" s="58"/>
      <c r="H1257" s="56"/>
      <c r="I1257" s="61" t="str">
        <f aca="false">IF(IsPro,IF(OR($C1257="",N($G1257)=0),"",IF(OR($C1257="Receipt",$C1257="Other Income",$C1257="Capital In",$C1257="Transfer In"),$G1257,0)),"")</f>
        <v/>
      </c>
      <c r="J1257" s="61" t="str">
        <f aca="false">IF(IsPro,IF(OR($C1257="",N($G1257)=0),"",IF(I1257=0,$G1257,0)),"")</f>
        <v/>
      </c>
      <c r="K1257" s="60" t="str">
        <f aca="false">IF(IsPro,IF($C1257="","",IF(AND(OR($C1257="Receipt",$C1257="Payment"),$D1257=""),"Party needed",IF(AND(OR($C1257="Expense",$C1257="Other Income"),$E1257=""),"Head needed",IF($F1257="","Account needed","OK")))),IF($C1257="","","PRO PLAN"))</f>
        <v/>
      </c>
    </row>
    <row r="1258" customFormat="false" ht="15" hidden="false" customHeight="false" outlineLevel="0" collapsed="false">
      <c r="A1258" s="55"/>
      <c r="B1258" s="56"/>
      <c r="C1258" s="56"/>
      <c r="D1258" s="56"/>
      <c r="E1258" s="56"/>
      <c r="F1258" s="56"/>
      <c r="G1258" s="58"/>
      <c r="H1258" s="56"/>
      <c r="I1258" s="61" t="str">
        <f aca="false">IF(IsPro,IF(OR($C1258="",N($G1258)=0),"",IF(OR($C1258="Receipt",$C1258="Other Income",$C1258="Capital In",$C1258="Transfer In"),$G1258,0)),"")</f>
        <v/>
      </c>
      <c r="J1258" s="61" t="str">
        <f aca="false">IF(IsPro,IF(OR($C1258="",N($G1258)=0),"",IF(I1258=0,$G1258,0)),"")</f>
        <v/>
      </c>
      <c r="K1258" s="60" t="str">
        <f aca="false">IF(IsPro,IF($C1258="","",IF(AND(OR($C1258="Receipt",$C1258="Payment"),$D1258=""),"Party needed",IF(AND(OR($C1258="Expense",$C1258="Other Income"),$E1258=""),"Head needed",IF($F1258="","Account needed","OK")))),IF($C1258="","","PRO PLAN"))</f>
        <v/>
      </c>
    </row>
    <row r="1259" customFormat="false" ht="15" hidden="false" customHeight="false" outlineLevel="0" collapsed="false">
      <c r="A1259" s="55"/>
      <c r="B1259" s="56"/>
      <c r="C1259" s="56"/>
      <c r="D1259" s="56"/>
      <c r="E1259" s="56"/>
      <c r="F1259" s="56"/>
      <c r="G1259" s="58"/>
      <c r="H1259" s="56"/>
      <c r="I1259" s="61" t="str">
        <f aca="false">IF(IsPro,IF(OR($C1259="",N($G1259)=0),"",IF(OR($C1259="Receipt",$C1259="Other Income",$C1259="Capital In",$C1259="Transfer In"),$G1259,0)),"")</f>
        <v/>
      </c>
      <c r="J1259" s="61" t="str">
        <f aca="false">IF(IsPro,IF(OR($C1259="",N($G1259)=0),"",IF(I1259=0,$G1259,0)),"")</f>
        <v/>
      </c>
      <c r="K1259" s="60" t="str">
        <f aca="false">IF(IsPro,IF($C1259="","",IF(AND(OR($C1259="Receipt",$C1259="Payment"),$D1259=""),"Party needed",IF(AND(OR($C1259="Expense",$C1259="Other Income"),$E1259=""),"Head needed",IF($F1259="","Account needed","OK")))),IF($C1259="","","PRO PLAN"))</f>
        <v/>
      </c>
    </row>
    <row r="1260" customFormat="false" ht="15" hidden="false" customHeight="false" outlineLevel="0" collapsed="false">
      <c r="A1260" s="55"/>
      <c r="B1260" s="56"/>
      <c r="C1260" s="56"/>
      <c r="D1260" s="56"/>
      <c r="E1260" s="56"/>
      <c r="F1260" s="56"/>
      <c r="G1260" s="58"/>
      <c r="H1260" s="56"/>
      <c r="I1260" s="61" t="str">
        <f aca="false">IF(IsPro,IF(OR($C1260="",N($G1260)=0),"",IF(OR($C1260="Receipt",$C1260="Other Income",$C1260="Capital In",$C1260="Transfer In"),$G1260,0)),"")</f>
        <v/>
      </c>
      <c r="J1260" s="61" t="str">
        <f aca="false">IF(IsPro,IF(OR($C1260="",N($G1260)=0),"",IF(I1260=0,$G1260,0)),"")</f>
        <v/>
      </c>
      <c r="K1260" s="60" t="str">
        <f aca="false">IF(IsPro,IF($C1260="","",IF(AND(OR($C1260="Receipt",$C1260="Payment"),$D1260=""),"Party needed",IF(AND(OR($C1260="Expense",$C1260="Other Income"),$E1260=""),"Head needed",IF($F1260="","Account needed","OK")))),IF($C1260="","","PRO PLAN"))</f>
        <v/>
      </c>
    </row>
    <row r="1261" customFormat="false" ht="15" hidden="false" customHeight="false" outlineLevel="0" collapsed="false">
      <c r="A1261" s="55"/>
      <c r="B1261" s="56"/>
      <c r="C1261" s="56"/>
      <c r="D1261" s="56"/>
      <c r="E1261" s="56"/>
      <c r="F1261" s="56"/>
      <c r="G1261" s="58"/>
      <c r="H1261" s="56"/>
      <c r="I1261" s="61" t="str">
        <f aca="false">IF(IsPro,IF(OR($C1261="",N($G1261)=0),"",IF(OR($C1261="Receipt",$C1261="Other Income",$C1261="Capital In",$C1261="Transfer In"),$G1261,0)),"")</f>
        <v/>
      </c>
      <c r="J1261" s="61" t="str">
        <f aca="false">IF(IsPro,IF(OR($C1261="",N($G1261)=0),"",IF(I1261=0,$G1261,0)),"")</f>
        <v/>
      </c>
      <c r="K1261" s="60" t="str">
        <f aca="false">IF(IsPro,IF($C1261="","",IF(AND(OR($C1261="Receipt",$C1261="Payment"),$D1261=""),"Party needed",IF(AND(OR($C1261="Expense",$C1261="Other Income"),$E1261=""),"Head needed",IF($F1261="","Account needed","OK")))),IF($C1261="","","PRO PLAN"))</f>
        <v/>
      </c>
    </row>
    <row r="1262" customFormat="false" ht="15" hidden="false" customHeight="false" outlineLevel="0" collapsed="false">
      <c r="A1262" s="55"/>
      <c r="B1262" s="56"/>
      <c r="C1262" s="56"/>
      <c r="D1262" s="56"/>
      <c r="E1262" s="56"/>
      <c r="F1262" s="56"/>
      <c r="G1262" s="58"/>
      <c r="H1262" s="56"/>
      <c r="I1262" s="61" t="str">
        <f aca="false">IF(IsPro,IF(OR($C1262="",N($G1262)=0),"",IF(OR($C1262="Receipt",$C1262="Other Income",$C1262="Capital In",$C1262="Transfer In"),$G1262,0)),"")</f>
        <v/>
      </c>
      <c r="J1262" s="61" t="str">
        <f aca="false">IF(IsPro,IF(OR($C1262="",N($G1262)=0),"",IF(I1262=0,$G1262,0)),"")</f>
        <v/>
      </c>
      <c r="K1262" s="60" t="str">
        <f aca="false">IF(IsPro,IF($C1262="","",IF(AND(OR($C1262="Receipt",$C1262="Payment"),$D1262=""),"Party needed",IF(AND(OR($C1262="Expense",$C1262="Other Income"),$E1262=""),"Head needed",IF($F1262="","Account needed","OK")))),IF($C1262="","","PRO PLAN"))</f>
        <v/>
      </c>
    </row>
    <row r="1263" customFormat="false" ht="15" hidden="false" customHeight="false" outlineLevel="0" collapsed="false">
      <c r="A1263" s="55"/>
      <c r="B1263" s="56"/>
      <c r="C1263" s="56"/>
      <c r="D1263" s="56"/>
      <c r="E1263" s="56"/>
      <c r="F1263" s="56"/>
      <c r="G1263" s="58"/>
      <c r="H1263" s="56"/>
      <c r="I1263" s="61" t="str">
        <f aca="false">IF(IsPro,IF(OR($C1263="",N($G1263)=0),"",IF(OR($C1263="Receipt",$C1263="Other Income",$C1263="Capital In",$C1263="Transfer In"),$G1263,0)),"")</f>
        <v/>
      </c>
      <c r="J1263" s="61" t="str">
        <f aca="false">IF(IsPro,IF(OR($C1263="",N($G1263)=0),"",IF(I1263=0,$G1263,0)),"")</f>
        <v/>
      </c>
      <c r="K1263" s="60" t="str">
        <f aca="false">IF(IsPro,IF($C1263="","",IF(AND(OR($C1263="Receipt",$C1263="Payment"),$D1263=""),"Party needed",IF(AND(OR($C1263="Expense",$C1263="Other Income"),$E1263=""),"Head needed",IF($F1263="","Account needed","OK")))),IF($C1263="","","PRO PLAN"))</f>
        <v/>
      </c>
    </row>
    <row r="1264" customFormat="false" ht="15" hidden="false" customHeight="false" outlineLevel="0" collapsed="false">
      <c r="A1264" s="55"/>
      <c r="B1264" s="56"/>
      <c r="C1264" s="56"/>
      <c r="D1264" s="56"/>
      <c r="E1264" s="56"/>
      <c r="F1264" s="56"/>
      <c r="G1264" s="58"/>
      <c r="H1264" s="56"/>
      <c r="I1264" s="61" t="str">
        <f aca="false">IF(IsPro,IF(OR($C1264="",N($G1264)=0),"",IF(OR($C1264="Receipt",$C1264="Other Income",$C1264="Capital In",$C1264="Transfer In"),$G1264,0)),"")</f>
        <v/>
      </c>
      <c r="J1264" s="61" t="str">
        <f aca="false">IF(IsPro,IF(OR($C1264="",N($G1264)=0),"",IF(I1264=0,$G1264,0)),"")</f>
        <v/>
      </c>
      <c r="K1264" s="60" t="str">
        <f aca="false">IF(IsPro,IF($C1264="","",IF(AND(OR($C1264="Receipt",$C1264="Payment"),$D1264=""),"Party needed",IF(AND(OR($C1264="Expense",$C1264="Other Income"),$E1264=""),"Head needed",IF($F1264="","Account needed","OK")))),IF($C1264="","","PRO PLAN"))</f>
        <v/>
      </c>
    </row>
    <row r="1265" customFormat="false" ht="15" hidden="false" customHeight="false" outlineLevel="0" collapsed="false">
      <c r="A1265" s="55"/>
      <c r="B1265" s="56"/>
      <c r="C1265" s="56"/>
      <c r="D1265" s="56"/>
      <c r="E1265" s="56"/>
      <c r="F1265" s="56"/>
      <c r="G1265" s="58"/>
      <c r="H1265" s="56"/>
      <c r="I1265" s="61" t="str">
        <f aca="false">IF(IsPro,IF(OR($C1265="",N($G1265)=0),"",IF(OR($C1265="Receipt",$C1265="Other Income",$C1265="Capital In",$C1265="Transfer In"),$G1265,0)),"")</f>
        <v/>
      </c>
      <c r="J1265" s="61" t="str">
        <f aca="false">IF(IsPro,IF(OR($C1265="",N($G1265)=0),"",IF(I1265=0,$G1265,0)),"")</f>
        <v/>
      </c>
      <c r="K1265" s="60" t="str">
        <f aca="false">IF(IsPro,IF($C1265="","",IF(AND(OR($C1265="Receipt",$C1265="Payment"),$D1265=""),"Party needed",IF(AND(OR($C1265="Expense",$C1265="Other Income"),$E1265=""),"Head needed",IF($F1265="","Account needed","OK")))),IF($C1265="","","PRO PLAN"))</f>
        <v/>
      </c>
    </row>
    <row r="1266" customFormat="false" ht="15" hidden="false" customHeight="false" outlineLevel="0" collapsed="false">
      <c r="A1266" s="55"/>
      <c r="B1266" s="56"/>
      <c r="C1266" s="56"/>
      <c r="D1266" s="56"/>
      <c r="E1266" s="56"/>
      <c r="F1266" s="56"/>
      <c r="G1266" s="58"/>
      <c r="H1266" s="56"/>
      <c r="I1266" s="61" t="str">
        <f aca="false">IF(IsPro,IF(OR($C1266="",N($G1266)=0),"",IF(OR($C1266="Receipt",$C1266="Other Income",$C1266="Capital In",$C1266="Transfer In"),$G1266,0)),"")</f>
        <v/>
      </c>
      <c r="J1266" s="61" t="str">
        <f aca="false">IF(IsPro,IF(OR($C1266="",N($G1266)=0),"",IF(I1266=0,$G1266,0)),"")</f>
        <v/>
      </c>
      <c r="K1266" s="60" t="str">
        <f aca="false">IF(IsPro,IF($C1266="","",IF(AND(OR($C1266="Receipt",$C1266="Payment"),$D1266=""),"Party needed",IF(AND(OR($C1266="Expense",$C1266="Other Income"),$E1266=""),"Head needed",IF($F1266="","Account needed","OK")))),IF($C1266="","","PRO PLAN"))</f>
        <v/>
      </c>
    </row>
    <row r="1267" customFormat="false" ht="15" hidden="false" customHeight="false" outlineLevel="0" collapsed="false">
      <c r="A1267" s="55"/>
      <c r="B1267" s="56"/>
      <c r="C1267" s="56"/>
      <c r="D1267" s="56"/>
      <c r="E1267" s="56"/>
      <c r="F1267" s="56"/>
      <c r="G1267" s="58"/>
      <c r="H1267" s="56"/>
      <c r="I1267" s="61" t="str">
        <f aca="false">IF(IsPro,IF(OR($C1267="",N($G1267)=0),"",IF(OR($C1267="Receipt",$C1267="Other Income",$C1267="Capital In",$C1267="Transfer In"),$G1267,0)),"")</f>
        <v/>
      </c>
      <c r="J1267" s="61" t="str">
        <f aca="false">IF(IsPro,IF(OR($C1267="",N($G1267)=0),"",IF(I1267=0,$G1267,0)),"")</f>
        <v/>
      </c>
      <c r="K1267" s="60" t="str">
        <f aca="false">IF(IsPro,IF($C1267="","",IF(AND(OR($C1267="Receipt",$C1267="Payment"),$D1267=""),"Party needed",IF(AND(OR($C1267="Expense",$C1267="Other Income"),$E1267=""),"Head needed",IF($F1267="","Account needed","OK")))),IF($C1267="","","PRO PLAN"))</f>
        <v/>
      </c>
    </row>
    <row r="1268" customFormat="false" ht="15" hidden="false" customHeight="false" outlineLevel="0" collapsed="false">
      <c r="A1268" s="55"/>
      <c r="B1268" s="56"/>
      <c r="C1268" s="56"/>
      <c r="D1268" s="56"/>
      <c r="E1268" s="56"/>
      <c r="F1268" s="56"/>
      <c r="G1268" s="58"/>
      <c r="H1268" s="56"/>
      <c r="I1268" s="61" t="str">
        <f aca="false">IF(IsPro,IF(OR($C1268="",N($G1268)=0),"",IF(OR($C1268="Receipt",$C1268="Other Income",$C1268="Capital In",$C1268="Transfer In"),$G1268,0)),"")</f>
        <v/>
      </c>
      <c r="J1268" s="61" t="str">
        <f aca="false">IF(IsPro,IF(OR($C1268="",N($G1268)=0),"",IF(I1268=0,$G1268,0)),"")</f>
        <v/>
      </c>
      <c r="K1268" s="60" t="str">
        <f aca="false">IF(IsPro,IF($C1268="","",IF(AND(OR($C1268="Receipt",$C1268="Payment"),$D1268=""),"Party needed",IF(AND(OR($C1268="Expense",$C1268="Other Income"),$E1268=""),"Head needed",IF($F1268="","Account needed","OK")))),IF($C1268="","","PRO PLAN"))</f>
        <v/>
      </c>
    </row>
    <row r="1269" customFormat="false" ht="15" hidden="false" customHeight="false" outlineLevel="0" collapsed="false">
      <c r="A1269" s="55"/>
      <c r="B1269" s="56"/>
      <c r="C1269" s="56"/>
      <c r="D1269" s="56"/>
      <c r="E1269" s="56"/>
      <c r="F1269" s="56"/>
      <c r="G1269" s="58"/>
      <c r="H1269" s="56"/>
      <c r="I1269" s="61" t="str">
        <f aca="false">IF(IsPro,IF(OR($C1269="",N($G1269)=0),"",IF(OR($C1269="Receipt",$C1269="Other Income",$C1269="Capital In",$C1269="Transfer In"),$G1269,0)),"")</f>
        <v/>
      </c>
      <c r="J1269" s="61" t="str">
        <f aca="false">IF(IsPro,IF(OR($C1269="",N($G1269)=0),"",IF(I1269=0,$G1269,0)),"")</f>
        <v/>
      </c>
      <c r="K1269" s="60" t="str">
        <f aca="false">IF(IsPro,IF($C1269="","",IF(AND(OR($C1269="Receipt",$C1269="Payment"),$D1269=""),"Party needed",IF(AND(OR($C1269="Expense",$C1269="Other Income"),$E1269=""),"Head needed",IF($F1269="","Account needed","OK")))),IF($C1269="","","PRO PLAN"))</f>
        <v/>
      </c>
    </row>
    <row r="1270" customFormat="false" ht="15" hidden="false" customHeight="false" outlineLevel="0" collapsed="false">
      <c r="A1270" s="55"/>
      <c r="B1270" s="56"/>
      <c r="C1270" s="56"/>
      <c r="D1270" s="56"/>
      <c r="E1270" s="56"/>
      <c r="F1270" s="56"/>
      <c r="G1270" s="58"/>
      <c r="H1270" s="56"/>
      <c r="I1270" s="61" t="str">
        <f aca="false">IF(IsPro,IF(OR($C1270="",N($G1270)=0),"",IF(OR($C1270="Receipt",$C1270="Other Income",$C1270="Capital In",$C1270="Transfer In"),$G1270,0)),"")</f>
        <v/>
      </c>
      <c r="J1270" s="61" t="str">
        <f aca="false">IF(IsPro,IF(OR($C1270="",N($G1270)=0),"",IF(I1270=0,$G1270,0)),"")</f>
        <v/>
      </c>
      <c r="K1270" s="60" t="str">
        <f aca="false">IF(IsPro,IF($C1270="","",IF(AND(OR($C1270="Receipt",$C1270="Payment"),$D1270=""),"Party needed",IF(AND(OR($C1270="Expense",$C1270="Other Income"),$E1270=""),"Head needed",IF($F1270="","Account needed","OK")))),IF($C1270="","","PRO PLAN"))</f>
        <v/>
      </c>
    </row>
    <row r="1271" customFormat="false" ht="15" hidden="false" customHeight="false" outlineLevel="0" collapsed="false">
      <c r="A1271" s="55"/>
      <c r="B1271" s="56"/>
      <c r="C1271" s="56"/>
      <c r="D1271" s="56"/>
      <c r="E1271" s="56"/>
      <c r="F1271" s="56"/>
      <c r="G1271" s="58"/>
      <c r="H1271" s="56"/>
      <c r="I1271" s="61" t="str">
        <f aca="false">IF(IsPro,IF(OR($C1271="",N($G1271)=0),"",IF(OR($C1271="Receipt",$C1271="Other Income",$C1271="Capital In",$C1271="Transfer In"),$G1271,0)),"")</f>
        <v/>
      </c>
      <c r="J1271" s="61" t="str">
        <f aca="false">IF(IsPro,IF(OR($C1271="",N($G1271)=0),"",IF(I1271=0,$G1271,0)),"")</f>
        <v/>
      </c>
      <c r="K1271" s="60" t="str">
        <f aca="false">IF(IsPro,IF($C1271="","",IF(AND(OR($C1271="Receipt",$C1271="Payment"),$D1271=""),"Party needed",IF(AND(OR($C1271="Expense",$C1271="Other Income"),$E1271=""),"Head needed",IF($F1271="","Account needed","OK")))),IF($C1271="","","PRO PLAN"))</f>
        <v/>
      </c>
    </row>
    <row r="1272" customFormat="false" ht="15" hidden="false" customHeight="false" outlineLevel="0" collapsed="false">
      <c r="A1272" s="55"/>
      <c r="B1272" s="56"/>
      <c r="C1272" s="56"/>
      <c r="D1272" s="56"/>
      <c r="E1272" s="56"/>
      <c r="F1272" s="56"/>
      <c r="G1272" s="58"/>
      <c r="H1272" s="56"/>
      <c r="I1272" s="61" t="str">
        <f aca="false">IF(IsPro,IF(OR($C1272="",N($G1272)=0),"",IF(OR($C1272="Receipt",$C1272="Other Income",$C1272="Capital In",$C1272="Transfer In"),$G1272,0)),"")</f>
        <v/>
      </c>
      <c r="J1272" s="61" t="str">
        <f aca="false">IF(IsPro,IF(OR($C1272="",N($G1272)=0),"",IF(I1272=0,$G1272,0)),"")</f>
        <v/>
      </c>
      <c r="K1272" s="60" t="str">
        <f aca="false">IF(IsPro,IF($C1272="","",IF(AND(OR($C1272="Receipt",$C1272="Payment"),$D1272=""),"Party needed",IF(AND(OR($C1272="Expense",$C1272="Other Income"),$E1272=""),"Head needed",IF($F1272="","Account needed","OK")))),IF($C1272="","","PRO PLAN"))</f>
        <v/>
      </c>
    </row>
    <row r="1273" customFormat="false" ht="15" hidden="false" customHeight="false" outlineLevel="0" collapsed="false">
      <c r="A1273" s="55"/>
      <c r="B1273" s="56"/>
      <c r="C1273" s="56"/>
      <c r="D1273" s="56"/>
      <c r="E1273" s="56"/>
      <c r="F1273" s="56"/>
      <c r="G1273" s="58"/>
      <c r="H1273" s="56"/>
      <c r="I1273" s="61" t="str">
        <f aca="false">IF(IsPro,IF(OR($C1273="",N($G1273)=0),"",IF(OR($C1273="Receipt",$C1273="Other Income",$C1273="Capital In",$C1273="Transfer In"),$G1273,0)),"")</f>
        <v/>
      </c>
      <c r="J1273" s="61" t="str">
        <f aca="false">IF(IsPro,IF(OR($C1273="",N($G1273)=0),"",IF(I1273=0,$G1273,0)),"")</f>
        <v/>
      </c>
      <c r="K1273" s="60" t="str">
        <f aca="false">IF(IsPro,IF($C1273="","",IF(AND(OR($C1273="Receipt",$C1273="Payment"),$D1273=""),"Party needed",IF(AND(OR($C1273="Expense",$C1273="Other Income"),$E1273=""),"Head needed",IF($F1273="","Account needed","OK")))),IF($C1273="","","PRO PLAN"))</f>
        <v/>
      </c>
    </row>
    <row r="1274" customFormat="false" ht="15" hidden="false" customHeight="false" outlineLevel="0" collapsed="false">
      <c r="A1274" s="55"/>
      <c r="B1274" s="56"/>
      <c r="C1274" s="56"/>
      <c r="D1274" s="56"/>
      <c r="E1274" s="56"/>
      <c r="F1274" s="56"/>
      <c r="G1274" s="58"/>
      <c r="H1274" s="56"/>
      <c r="I1274" s="61" t="str">
        <f aca="false">IF(IsPro,IF(OR($C1274="",N($G1274)=0),"",IF(OR($C1274="Receipt",$C1274="Other Income",$C1274="Capital In",$C1274="Transfer In"),$G1274,0)),"")</f>
        <v/>
      </c>
      <c r="J1274" s="61" t="str">
        <f aca="false">IF(IsPro,IF(OR($C1274="",N($G1274)=0),"",IF(I1274=0,$G1274,0)),"")</f>
        <v/>
      </c>
      <c r="K1274" s="60" t="str">
        <f aca="false">IF(IsPro,IF($C1274="","",IF(AND(OR($C1274="Receipt",$C1274="Payment"),$D1274=""),"Party needed",IF(AND(OR($C1274="Expense",$C1274="Other Income"),$E1274=""),"Head needed",IF($F1274="","Account needed","OK")))),IF($C1274="","","PRO PLAN"))</f>
        <v/>
      </c>
    </row>
    <row r="1275" customFormat="false" ht="15" hidden="false" customHeight="false" outlineLevel="0" collapsed="false">
      <c r="A1275" s="55"/>
      <c r="B1275" s="56"/>
      <c r="C1275" s="56"/>
      <c r="D1275" s="56"/>
      <c r="E1275" s="56"/>
      <c r="F1275" s="56"/>
      <c r="G1275" s="58"/>
      <c r="H1275" s="56"/>
      <c r="I1275" s="61" t="str">
        <f aca="false">IF(IsPro,IF(OR($C1275="",N($G1275)=0),"",IF(OR($C1275="Receipt",$C1275="Other Income",$C1275="Capital In",$C1275="Transfer In"),$G1275,0)),"")</f>
        <v/>
      </c>
      <c r="J1275" s="61" t="str">
        <f aca="false">IF(IsPro,IF(OR($C1275="",N($G1275)=0),"",IF(I1275=0,$G1275,0)),"")</f>
        <v/>
      </c>
      <c r="K1275" s="60" t="str">
        <f aca="false">IF(IsPro,IF($C1275="","",IF(AND(OR($C1275="Receipt",$C1275="Payment"),$D1275=""),"Party needed",IF(AND(OR($C1275="Expense",$C1275="Other Income"),$E1275=""),"Head needed",IF($F1275="","Account needed","OK")))),IF($C1275="","","PRO PLAN"))</f>
        <v/>
      </c>
    </row>
    <row r="1276" customFormat="false" ht="15" hidden="false" customHeight="false" outlineLevel="0" collapsed="false">
      <c r="A1276" s="55"/>
      <c r="B1276" s="56"/>
      <c r="C1276" s="56"/>
      <c r="D1276" s="56"/>
      <c r="E1276" s="56"/>
      <c r="F1276" s="56"/>
      <c r="G1276" s="58"/>
      <c r="H1276" s="56"/>
      <c r="I1276" s="61" t="str">
        <f aca="false">IF(IsPro,IF(OR($C1276="",N($G1276)=0),"",IF(OR($C1276="Receipt",$C1276="Other Income",$C1276="Capital In",$C1276="Transfer In"),$G1276,0)),"")</f>
        <v/>
      </c>
      <c r="J1276" s="61" t="str">
        <f aca="false">IF(IsPro,IF(OR($C1276="",N($G1276)=0),"",IF(I1276=0,$G1276,0)),"")</f>
        <v/>
      </c>
      <c r="K1276" s="60" t="str">
        <f aca="false">IF(IsPro,IF($C1276="","",IF(AND(OR($C1276="Receipt",$C1276="Payment"),$D1276=""),"Party needed",IF(AND(OR($C1276="Expense",$C1276="Other Income"),$E1276=""),"Head needed",IF($F1276="","Account needed","OK")))),IF($C1276="","","PRO PLAN"))</f>
        <v/>
      </c>
    </row>
    <row r="1277" customFormat="false" ht="15" hidden="false" customHeight="false" outlineLevel="0" collapsed="false">
      <c r="A1277" s="55"/>
      <c r="B1277" s="56"/>
      <c r="C1277" s="56"/>
      <c r="D1277" s="56"/>
      <c r="E1277" s="56"/>
      <c r="F1277" s="56"/>
      <c r="G1277" s="58"/>
      <c r="H1277" s="56"/>
      <c r="I1277" s="61" t="str">
        <f aca="false">IF(IsPro,IF(OR($C1277="",N($G1277)=0),"",IF(OR($C1277="Receipt",$C1277="Other Income",$C1277="Capital In",$C1277="Transfer In"),$G1277,0)),"")</f>
        <v/>
      </c>
      <c r="J1277" s="61" t="str">
        <f aca="false">IF(IsPro,IF(OR($C1277="",N($G1277)=0),"",IF(I1277=0,$G1277,0)),"")</f>
        <v/>
      </c>
      <c r="K1277" s="60" t="str">
        <f aca="false">IF(IsPro,IF($C1277="","",IF(AND(OR($C1277="Receipt",$C1277="Payment"),$D1277=""),"Party needed",IF(AND(OR($C1277="Expense",$C1277="Other Income"),$E1277=""),"Head needed",IF($F1277="","Account needed","OK")))),IF($C1277="","","PRO PLAN"))</f>
        <v/>
      </c>
    </row>
    <row r="1278" customFormat="false" ht="15" hidden="false" customHeight="false" outlineLevel="0" collapsed="false">
      <c r="A1278" s="55"/>
      <c r="B1278" s="56"/>
      <c r="C1278" s="56"/>
      <c r="D1278" s="56"/>
      <c r="E1278" s="56"/>
      <c r="F1278" s="56"/>
      <c r="G1278" s="58"/>
      <c r="H1278" s="56"/>
      <c r="I1278" s="61" t="str">
        <f aca="false">IF(IsPro,IF(OR($C1278="",N($G1278)=0),"",IF(OR($C1278="Receipt",$C1278="Other Income",$C1278="Capital In",$C1278="Transfer In"),$G1278,0)),"")</f>
        <v/>
      </c>
      <c r="J1278" s="61" t="str">
        <f aca="false">IF(IsPro,IF(OR($C1278="",N($G1278)=0),"",IF(I1278=0,$G1278,0)),"")</f>
        <v/>
      </c>
      <c r="K1278" s="60" t="str">
        <f aca="false">IF(IsPro,IF($C1278="","",IF(AND(OR($C1278="Receipt",$C1278="Payment"),$D1278=""),"Party needed",IF(AND(OR($C1278="Expense",$C1278="Other Income"),$E1278=""),"Head needed",IF($F1278="","Account needed","OK")))),IF($C1278="","","PRO PLAN"))</f>
        <v/>
      </c>
    </row>
    <row r="1279" customFormat="false" ht="15" hidden="false" customHeight="false" outlineLevel="0" collapsed="false">
      <c r="A1279" s="55"/>
      <c r="B1279" s="56"/>
      <c r="C1279" s="56"/>
      <c r="D1279" s="56"/>
      <c r="E1279" s="56"/>
      <c r="F1279" s="56"/>
      <c r="G1279" s="58"/>
      <c r="H1279" s="56"/>
      <c r="I1279" s="61" t="str">
        <f aca="false">IF(IsPro,IF(OR($C1279="",N($G1279)=0),"",IF(OR($C1279="Receipt",$C1279="Other Income",$C1279="Capital In",$C1279="Transfer In"),$G1279,0)),"")</f>
        <v/>
      </c>
      <c r="J1279" s="61" t="str">
        <f aca="false">IF(IsPro,IF(OR($C1279="",N($G1279)=0),"",IF(I1279=0,$G1279,0)),"")</f>
        <v/>
      </c>
      <c r="K1279" s="60" t="str">
        <f aca="false">IF(IsPro,IF($C1279="","",IF(AND(OR($C1279="Receipt",$C1279="Payment"),$D1279=""),"Party needed",IF(AND(OR($C1279="Expense",$C1279="Other Income"),$E1279=""),"Head needed",IF($F1279="","Account needed","OK")))),IF($C1279="","","PRO PLAN"))</f>
        <v/>
      </c>
    </row>
    <row r="1280" customFormat="false" ht="15" hidden="false" customHeight="false" outlineLevel="0" collapsed="false">
      <c r="A1280" s="55"/>
      <c r="B1280" s="56"/>
      <c r="C1280" s="56"/>
      <c r="D1280" s="56"/>
      <c r="E1280" s="56"/>
      <c r="F1280" s="56"/>
      <c r="G1280" s="58"/>
      <c r="H1280" s="56"/>
      <c r="I1280" s="61" t="str">
        <f aca="false">IF(IsPro,IF(OR($C1280="",N($G1280)=0),"",IF(OR($C1280="Receipt",$C1280="Other Income",$C1280="Capital In",$C1280="Transfer In"),$G1280,0)),"")</f>
        <v/>
      </c>
      <c r="J1280" s="61" t="str">
        <f aca="false">IF(IsPro,IF(OR($C1280="",N($G1280)=0),"",IF(I1280=0,$G1280,0)),"")</f>
        <v/>
      </c>
      <c r="K1280" s="60" t="str">
        <f aca="false">IF(IsPro,IF($C1280="","",IF(AND(OR($C1280="Receipt",$C1280="Payment"),$D1280=""),"Party needed",IF(AND(OR($C1280="Expense",$C1280="Other Income"),$E1280=""),"Head needed",IF($F1280="","Account needed","OK")))),IF($C1280="","","PRO PLAN"))</f>
        <v/>
      </c>
    </row>
    <row r="1281" customFormat="false" ht="15" hidden="false" customHeight="false" outlineLevel="0" collapsed="false">
      <c r="A1281" s="55"/>
      <c r="B1281" s="56"/>
      <c r="C1281" s="56"/>
      <c r="D1281" s="56"/>
      <c r="E1281" s="56"/>
      <c r="F1281" s="56"/>
      <c r="G1281" s="58"/>
      <c r="H1281" s="56"/>
      <c r="I1281" s="61" t="str">
        <f aca="false">IF(IsPro,IF(OR($C1281="",N($G1281)=0),"",IF(OR($C1281="Receipt",$C1281="Other Income",$C1281="Capital In",$C1281="Transfer In"),$G1281,0)),"")</f>
        <v/>
      </c>
      <c r="J1281" s="61" t="str">
        <f aca="false">IF(IsPro,IF(OR($C1281="",N($G1281)=0),"",IF(I1281=0,$G1281,0)),"")</f>
        <v/>
      </c>
      <c r="K1281" s="60" t="str">
        <f aca="false">IF(IsPro,IF($C1281="","",IF(AND(OR($C1281="Receipt",$C1281="Payment"),$D1281=""),"Party needed",IF(AND(OR($C1281="Expense",$C1281="Other Income"),$E1281=""),"Head needed",IF($F1281="","Account needed","OK")))),IF($C1281="","","PRO PLAN"))</f>
        <v/>
      </c>
    </row>
    <row r="1282" customFormat="false" ht="15" hidden="false" customHeight="false" outlineLevel="0" collapsed="false">
      <c r="A1282" s="55"/>
      <c r="B1282" s="56"/>
      <c r="C1282" s="56"/>
      <c r="D1282" s="56"/>
      <c r="E1282" s="56"/>
      <c r="F1282" s="56"/>
      <c r="G1282" s="58"/>
      <c r="H1282" s="56"/>
      <c r="I1282" s="61" t="str">
        <f aca="false">IF(IsPro,IF(OR($C1282="",N($G1282)=0),"",IF(OR($C1282="Receipt",$C1282="Other Income",$C1282="Capital In",$C1282="Transfer In"),$G1282,0)),"")</f>
        <v/>
      </c>
      <c r="J1282" s="61" t="str">
        <f aca="false">IF(IsPro,IF(OR($C1282="",N($G1282)=0),"",IF(I1282=0,$G1282,0)),"")</f>
        <v/>
      </c>
      <c r="K1282" s="60" t="str">
        <f aca="false">IF(IsPro,IF($C1282="","",IF(AND(OR($C1282="Receipt",$C1282="Payment"),$D1282=""),"Party needed",IF(AND(OR($C1282="Expense",$C1282="Other Income"),$E1282=""),"Head needed",IF($F1282="","Account needed","OK")))),IF($C1282="","","PRO PLAN"))</f>
        <v/>
      </c>
    </row>
    <row r="1283" customFormat="false" ht="15" hidden="false" customHeight="false" outlineLevel="0" collapsed="false">
      <c r="A1283" s="55"/>
      <c r="B1283" s="56"/>
      <c r="C1283" s="56"/>
      <c r="D1283" s="56"/>
      <c r="E1283" s="56"/>
      <c r="F1283" s="56"/>
      <c r="G1283" s="58"/>
      <c r="H1283" s="56"/>
      <c r="I1283" s="61" t="str">
        <f aca="false">IF(IsPro,IF(OR($C1283="",N($G1283)=0),"",IF(OR($C1283="Receipt",$C1283="Other Income",$C1283="Capital In",$C1283="Transfer In"),$G1283,0)),"")</f>
        <v/>
      </c>
      <c r="J1283" s="61" t="str">
        <f aca="false">IF(IsPro,IF(OR($C1283="",N($G1283)=0),"",IF(I1283=0,$G1283,0)),"")</f>
        <v/>
      </c>
      <c r="K1283" s="60" t="str">
        <f aca="false">IF(IsPro,IF($C1283="","",IF(AND(OR($C1283="Receipt",$C1283="Payment"),$D1283=""),"Party needed",IF(AND(OR($C1283="Expense",$C1283="Other Income"),$E1283=""),"Head needed",IF($F1283="","Account needed","OK")))),IF($C1283="","","PRO PLAN"))</f>
        <v/>
      </c>
    </row>
    <row r="1284" customFormat="false" ht="15" hidden="false" customHeight="false" outlineLevel="0" collapsed="false">
      <c r="A1284" s="55"/>
      <c r="B1284" s="56"/>
      <c r="C1284" s="56"/>
      <c r="D1284" s="56"/>
      <c r="E1284" s="56"/>
      <c r="F1284" s="56"/>
      <c r="G1284" s="58"/>
      <c r="H1284" s="56"/>
      <c r="I1284" s="61" t="str">
        <f aca="false">IF(IsPro,IF(OR($C1284="",N($G1284)=0),"",IF(OR($C1284="Receipt",$C1284="Other Income",$C1284="Capital In",$C1284="Transfer In"),$G1284,0)),"")</f>
        <v/>
      </c>
      <c r="J1284" s="61" t="str">
        <f aca="false">IF(IsPro,IF(OR($C1284="",N($G1284)=0),"",IF(I1284=0,$G1284,0)),"")</f>
        <v/>
      </c>
      <c r="K1284" s="60" t="str">
        <f aca="false">IF(IsPro,IF($C1284="","",IF(AND(OR($C1284="Receipt",$C1284="Payment"),$D1284=""),"Party needed",IF(AND(OR($C1284="Expense",$C1284="Other Income"),$E1284=""),"Head needed",IF($F1284="","Account needed","OK")))),IF($C1284="","","PRO PLAN"))</f>
        <v/>
      </c>
    </row>
    <row r="1285" customFormat="false" ht="15" hidden="false" customHeight="false" outlineLevel="0" collapsed="false">
      <c r="A1285" s="55"/>
      <c r="B1285" s="56"/>
      <c r="C1285" s="56"/>
      <c r="D1285" s="56"/>
      <c r="E1285" s="56"/>
      <c r="F1285" s="56"/>
      <c r="G1285" s="58"/>
      <c r="H1285" s="56"/>
      <c r="I1285" s="61" t="str">
        <f aca="false">IF(IsPro,IF(OR($C1285="",N($G1285)=0),"",IF(OR($C1285="Receipt",$C1285="Other Income",$C1285="Capital In",$C1285="Transfer In"),$G1285,0)),"")</f>
        <v/>
      </c>
      <c r="J1285" s="61" t="str">
        <f aca="false">IF(IsPro,IF(OR($C1285="",N($G1285)=0),"",IF(I1285=0,$G1285,0)),"")</f>
        <v/>
      </c>
      <c r="K1285" s="60" t="str">
        <f aca="false">IF(IsPro,IF($C1285="","",IF(AND(OR($C1285="Receipt",$C1285="Payment"),$D1285=""),"Party needed",IF(AND(OR($C1285="Expense",$C1285="Other Income"),$E1285=""),"Head needed",IF($F1285="","Account needed","OK")))),IF($C1285="","","PRO PLAN"))</f>
        <v/>
      </c>
    </row>
    <row r="1286" customFormat="false" ht="15" hidden="false" customHeight="false" outlineLevel="0" collapsed="false">
      <c r="A1286" s="55"/>
      <c r="B1286" s="56"/>
      <c r="C1286" s="56"/>
      <c r="D1286" s="56"/>
      <c r="E1286" s="56"/>
      <c r="F1286" s="56"/>
      <c r="G1286" s="58"/>
      <c r="H1286" s="56"/>
      <c r="I1286" s="61" t="str">
        <f aca="false">IF(IsPro,IF(OR($C1286="",N($G1286)=0),"",IF(OR($C1286="Receipt",$C1286="Other Income",$C1286="Capital In",$C1286="Transfer In"),$G1286,0)),"")</f>
        <v/>
      </c>
      <c r="J1286" s="61" t="str">
        <f aca="false">IF(IsPro,IF(OR($C1286="",N($G1286)=0),"",IF(I1286=0,$G1286,0)),"")</f>
        <v/>
      </c>
      <c r="K1286" s="60" t="str">
        <f aca="false">IF(IsPro,IF($C1286="","",IF(AND(OR($C1286="Receipt",$C1286="Payment"),$D1286=""),"Party needed",IF(AND(OR($C1286="Expense",$C1286="Other Income"),$E1286=""),"Head needed",IF($F1286="","Account needed","OK")))),IF($C1286="","","PRO PLAN"))</f>
        <v/>
      </c>
    </row>
    <row r="1287" customFormat="false" ht="15" hidden="false" customHeight="false" outlineLevel="0" collapsed="false">
      <c r="A1287" s="55"/>
      <c r="B1287" s="56"/>
      <c r="C1287" s="56"/>
      <c r="D1287" s="56"/>
      <c r="E1287" s="56"/>
      <c r="F1287" s="56"/>
      <c r="G1287" s="58"/>
      <c r="H1287" s="56"/>
      <c r="I1287" s="61" t="str">
        <f aca="false">IF(IsPro,IF(OR($C1287="",N($G1287)=0),"",IF(OR($C1287="Receipt",$C1287="Other Income",$C1287="Capital In",$C1287="Transfer In"),$G1287,0)),"")</f>
        <v/>
      </c>
      <c r="J1287" s="61" t="str">
        <f aca="false">IF(IsPro,IF(OR($C1287="",N($G1287)=0),"",IF(I1287=0,$G1287,0)),"")</f>
        <v/>
      </c>
      <c r="K1287" s="60" t="str">
        <f aca="false">IF(IsPro,IF($C1287="","",IF(AND(OR($C1287="Receipt",$C1287="Payment"),$D1287=""),"Party needed",IF(AND(OR($C1287="Expense",$C1287="Other Income"),$E1287=""),"Head needed",IF($F1287="","Account needed","OK")))),IF($C1287="","","PRO PLAN"))</f>
        <v/>
      </c>
    </row>
    <row r="1288" customFormat="false" ht="15" hidden="false" customHeight="false" outlineLevel="0" collapsed="false">
      <c r="A1288" s="55"/>
      <c r="B1288" s="56"/>
      <c r="C1288" s="56"/>
      <c r="D1288" s="56"/>
      <c r="E1288" s="56"/>
      <c r="F1288" s="56"/>
      <c r="G1288" s="58"/>
      <c r="H1288" s="56"/>
      <c r="I1288" s="61" t="str">
        <f aca="false">IF(IsPro,IF(OR($C1288="",N($G1288)=0),"",IF(OR($C1288="Receipt",$C1288="Other Income",$C1288="Capital In",$C1288="Transfer In"),$G1288,0)),"")</f>
        <v/>
      </c>
      <c r="J1288" s="61" t="str">
        <f aca="false">IF(IsPro,IF(OR($C1288="",N($G1288)=0),"",IF(I1288=0,$G1288,0)),"")</f>
        <v/>
      </c>
      <c r="K1288" s="60" t="str">
        <f aca="false">IF(IsPro,IF($C1288="","",IF(AND(OR($C1288="Receipt",$C1288="Payment"),$D1288=""),"Party needed",IF(AND(OR($C1288="Expense",$C1288="Other Income"),$E1288=""),"Head needed",IF($F1288="","Account needed","OK")))),IF($C1288="","","PRO PLAN"))</f>
        <v/>
      </c>
    </row>
    <row r="1289" customFormat="false" ht="15" hidden="false" customHeight="false" outlineLevel="0" collapsed="false">
      <c r="A1289" s="55"/>
      <c r="B1289" s="56"/>
      <c r="C1289" s="56"/>
      <c r="D1289" s="56"/>
      <c r="E1289" s="56"/>
      <c r="F1289" s="56"/>
      <c r="G1289" s="58"/>
      <c r="H1289" s="56"/>
      <c r="I1289" s="61" t="str">
        <f aca="false">IF(IsPro,IF(OR($C1289="",N($G1289)=0),"",IF(OR($C1289="Receipt",$C1289="Other Income",$C1289="Capital In",$C1289="Transfer In"),$G1289,0)),"")</f>
        <v/>
      </c>
      <c r="J1289" s="61" t="str">
        <f aca="false">IF(IsPro,IF(OR($C1289="",N($G1289)=0),"",IF(I1289=0,$G1289,0)),"")</f>
        <v/>
      </c>
      <c r="K1289" s="60" t="str">
        <f aca="false">IF(IsPro,IF($C1289="","",IF(AND(OR($C1289="Receipt",$C1289="Payment"),$D1289=""),"Party needed",IF(AND(OR($C1289="Expense",$C1289="Other Income"),$E1289=""),"Head needed",IF($F1289="","Account needed","OK")))),IF($C1289="","","PRO PLAN"))</f>
        <v/>
      </c>
    </row>
    <row r="1290" customFormat="false" ht="15" hidden="false" customHeight="false" outlineLevel="0" collapsed="false">
      <c r="A1290" s="55"/>
      <c r="B1290" s="56"/>
      <c r="C1290" s="56"/>
      <c r="D1290" s="56"/>
      <c r="E1290" s="56"/>
      <c r="F1290" s="56"/>
      <c r="G1290" s="58"/>
      <c r="H1290" s="56"/>
      <c r="I1290" s="61" t="str">
        <f aca="false">IF(IsPro,IF(OR($C1290="",N($G1290)=0),"",IF(OR($C1290="Receipt",$C1290="Other Income",$C1290="Capital In",$C1290="Transfer In"),$G1290,0)),"")</f>
        <v/>
      </c>
      <c r="J1290" s="61" t="str">
        <f aca="false">IF(IsPro,IF(OR($C1290="",N($G1290)=0),"",IF(I1290=0,$G1290,0)),"")</f>
        <v/>
      </c>
      <c r="K1290" s="60" t="str">
        <f aca="false">IF(IsPro,IF($C1290="","",IF(AND(OR($C1290="Receipt",$C1290="Payment"),$D1290=""),"Party needed",IF(AND(OR($C1290="Expense",$C1290="Other Income"),$E1290=""),"Head needed",IF($F1290="","Account needed","OK")))),IF($C1290="","","PRO PLAN"))</f>
        <v/>
      </c>
    </row>
    <row r="1291" customFormat="false" ht="15" hidden="false" customHeight="false" outlineLevel="0" collapsed="false">
      <c r="A1291" s="55"/>
      <c r="B1291" s="56"/>
      <c r="C1291" s="56"/>
      <c r="D1291" s="56"/>
      <c r="E1291" s="56"/>
      <c r="F1291" s="56"/>
      <c r="G1291" s="58"/>
      <c r="H1291" s="56"/>
      <c r="I1291" s="61" t="str">
        <f aca="false">IF(IsPro,IF(OR($C1291="",N($G1291)=0),"",IF(OR($C1291="Receipt",$C1291="Other Income",$C1291="Capital In",$C1291="Transfer In"),$G1291,0)),"")</f>
        <v/>
      </c>
      <c r="J1291" s="61" t="str">
        <f aca="false">IF(IsPro,IF(OR($C1291="",N($G1291)=0),"",IF(I1291=0,$G1291,0)),"")</f>
        <v/>
      </c>
      <c r="K1291" s="60" t="str">
        <f aca="false">IF(IsPro,IF($C1291="","",IF(AND(OR($C1291="Receipt",$C1291="Payment"),$D1291=""),"Party needed",IF(AND(OR($C1291="Expense",$C1291="Other Income"),$E1291=""),"Head needed",IF($F1291="","Account needed","OK")))),IF($C1291="","","PRO PLAN"))</f>
        <v/>
      </c>
    </row>
    <row r="1292" customFormat="false" ht="15" hidden="false" customHeight="false" outlineLevel="0" collapsed="false">
      <c r="A1292" s="55"/>
      <c r="B1292" s="56"/>
      <c r="C1292" s="56"/>
      <c r="D1292" s="56"/>
      <c r="E1292" s="56"/>
      <c r="F1292" s="56"/>
      <c r="G1292" s="58"/>
      <c r="H1292" s="56"/>
      <c r="I1292" s="61" t="str">
        <f aca="false">IF(IsPro,IF(OR($C1292="",N($G1292)=0),"",IF(OR($C1292="Receipt",$C1292="Other Income",$C1292="Capital In",$C1292="Transfer In"),$G1292,0)),"")</f>
        <v/>
      </c>
      <c r="J1292" s="61" t="str">
        <f aca="false">IF(IsPro,IF(OR($C1292="",N($G1292)=0),"",IF(I1292=0,$G1292,0)),"")</f>
        <v/>
      </c>
      <c r="K1292" s="60" t="str">
        <f aca="false">IF(IsPro,IF($C1292="","",IF(AND(OR($C1292="Receipt",$C1292="Payment"),$D1292=""),"Party needed",IF(AND(OR($C1292="Expense",$C1292="Other Income"),$E1292=""),"Head needed",IF($F1292="","Account needed","OK")))),IF($C1292="","","PRO PLAN"))</f>
        <v/>
      </c>
    </row>
    <row r="1293" customFormat="false" ht="15" hidden="false" customHeight="false" outlineLevel="0" collapsed="false">
      <c r="A1293" s="55"/>
      <c r="B1293" s="56"/>
      <c r="C1293" s="56"/>
      <c r="D1293" s="56"/>
      <c r="E1293" s="56"/>
      <c r="F1293" s="56"/>
      <c r="G1293" s="58"/>
      <c r="H1293" s="56"/>
      <c r="I1293" s="61" t="str">
        <f aca="false">IF(IsPro,IF(OR($C1293="",N($G1293)=0),"",IF(OR($C1293="Receipt",$C1293="Other Income",$C1293="Capital In",$C1293="Transfer In"),$G1293,0)),"")</f>
        <v/>
      </c>
      <c r="J1293" s="61" t="str">
        <f aca="false">IF(IsPro,IF(OR($C1293="",N($G1293)=0),"",IF(I1293=0,$G1293,0)),"")</f>
        <v/>
      </c>
      <c r="K1293" s="60" t="str">
        <f aca="false">IF(IsPro,IF($C1293="","",IF(AND(OR($C1293="Receipt",$C1293="Payment"),$D1293=""),"Party needed",IF(AND(OR($C1293="Expense",$C1293="Other Income"),$E1293=""),"Head needed",IF($F1293="","Account needed","OK")))),IF($C1293="","","PRO PLAN"))</f>
        <v/>
      </c>
    </row>
    <row r="1294" customFormat="false" ht="15" hidden="false" customHeight="false" outlineLevel="0" collapsed="false">
      <c r="A1294" s="55"/>
      <c r="B1294" s="56"/>
      <c r="C1294" s="56"/>
      <c r="D1294" s="56"/>
      <c r="E1294" s="56"/>
      <c r="F1294" s="56"/>
      <c r="G1294" s="58"/>
      <c r="H1294" s="56"/>
      <c r="I1294" s="61" t="str">
        <f aca="false">IF(IsPro,IF(OR($C1294="",N($G1294)=0),"",IF(OR($C1294="Receipt",$C1294="Other Income",$C1294="Capital In",$C1294="Transfer In"),$G1294,0)),"")</f>
        <v/>
      </c>
      <c r="J1294" s="61" t="str">
        <f aca="false">IF(IsPro,IF(OR($C1294="",N($G1294)=0),"",IF(I1294=0,$G1294,0)),"")</f>
        <v/>
      </c>
      <c r="K1294" s="60" t="str">
        <f aca="false">IF(IsPro,IF($C1294="","",IF(AND(OR($C1294="Receipt",$C1294="Payment"),$D1294=""),"Party needed",IF(AND(OR($C1294="Expense",$C1294="Other Income"),$E1294=""),"Head needed",IF($F1294="","Account needed","OK")))),IF($C1294="","","PRO PLAN"))</f>
        <v/>
      </c>
    </row>
    <row r="1295" customFormat="false" ht="15" hidden="false" customHeight="false" outlineLevel="0" collapsed="false">
      <c r="A1295" s="55"/>
      <c r="B1295" s="56"/>
      <c r="C1295" s="56"/>
      <c r="D1295" s="56"/>
      <c r="E1295" s="56"/>
      <c r="F1295" s="56"/>
      <c r="G1295" s="58"/>
      <c r="H1295" s="56"/>
      <c r="I1295" s="61" t="str">
        <f aca="false">IF(IsPro,IF(OR($C1295="",N($G1295)=0),"",IF(OR($C1295="Receipt",$C1295="Other Income",$C1295="Capital In",$C1295="Transfer In"),$G1295,0)),"")</f>
        <v/>
      </c>
      <c r="J1295" s="61" t="str">
        <f aca="false">IF(IsPro,IF(OR($C1295="",N($G1295)=0),"",IF(I1295=0,$G1295,0)),"")</f>
        <v/>
      </c>
      <c r="K1295" s="60" t="str">
        <f aca="false">IF(IsPro,IF($C1295="","",IF(AND(OR($C1295="Receipt",$C1295="Payment"),$D1295=""),"Party needed",IF(AND(OR($C1295="Expense",$C1295="Other Income"),$E1295=""),"Head needed",IF($F1295="","Account needed","OK")))),IF($C1295="","","PRO PLAN"))</f>
        <v/>
      </c>
    </row>
    <row r="1296" customFormat="false" ht="15" hidden="false" customHeight="false" outlineLevel="0" collapsed="false">
      <c r="A1296" s="55"/>
      <c r="B1296" s="56"/>
      <c r="C1296" s="56"/>
      <c r="D1296" s="56"/>
      <c r="E1296" s="56"/>
      <c r="F1296" s="56"/>
      <c r="G1296" s="58"/>
      <c r="H1296" s="56"/>
      <c r="I1296" s="61" t="str">
        <f aca="false">IF(IsPro,IF(OR($C1296="",N($G1296)=0),"",IF(OR($C1296="Receipt",$C1296="Other Income",$C1296="Capital In",$C1296="Transfer In"),$G1296,0)),"")</f>
        <v/>
      </c>
      <c r="J1296" s="61" t="str">
        <f aca="false">IF(IsPro,IF(OR($C1296="",N($G1296)=0),"",IF(I1296=0,$G1296,0)),"")</f>
        <v/>
      </c>
      <c r="K1296" s="60" t="str">
        <f aca="false">IF(IsPro,IF($C1296="","",IF(AND(OR($C1296="Receipt",$C1296="Payment"),$D1296=""),"Party needed",IF(AND(OR($C1296="Expense",$C1296="Other Income"),$E1296=""),"Head needed",IF($F1296="","Account needed","OK")))),IF($C1296="","","PRO PLAN"))</f>
        <v/>
      </c>
    </row>
    <row r="1297" customFormat="false" ht="15" hidden="false" customHeight="false" outlineLevel="0" collapsed="false">
      <c r="A1297" s="55"/>
      <c r="B1297" s="56"/>
      <c r="C1297" s="56"/>
      <c r="D1297" s="56"/>
      <c r="E1297" s="56"/>
      <c r="F1297" s="56"/>
      <c r="G1297" s="58"/>
      <c r="H1297" s="56"/>
      <c r="I1297" s="61" t="str">
        <f aca="false">IF(IsPro,IF(OR($C1297="",N($G1297)=0),"",IF(OR($C1297="Receipt",$C1297="Other Income",$C1297="Capital In",$C1297="Transfer In"),$G1297,0)),"")</f>
        <v/>
      </c>
      <c r="J1297" s="61" t="str">
        <f aca="false">IF(IsPro,IF(OR($C1297="",N($G1297)=0),"",IF(I1297=0,$G1297,0)),"")</f>
        <v/>
      </c>
      <c r="K1297" s="60" t="str">
        <f aca="false">IF(IsPro,IF($C1297="","",IF(AND(OR($C1297="Receipt",$C1297="Payment"),$D1297=""),"Party needed",IF(AND(OR($C1297="Expense",$C1297="Other Income"),$E1297=""),"Head needed",IF($F1297="","Account needed","OK")))),IF($C1297="","","PRO PLAN"))</f>
        <v/>
      </c>
    </row>
    <row r="1298" customFormat="false" ht="15" hidden="false" customHeight="false" outlineLevel="0" collapsed="false">
      <c r="A1298" s="55"/>
      <c r="B1298" s="56"/>
      <c r="C1298" s="56"/>
      <c r="D1298" s="56"/>
      <c r="E1298" s="56"/>
      <c r="F1298" s="56"/>
      <c r="G1298" s="58"/>
      <c r="H1298" s="56"/>
      <c r="I1298" s="61" t="str">
        <f aca="false">IF(IsPro,IF(OR($C1298="",N($G1298)=0),"",IF(OR($C1298="Receipt",$C1298="Other Income",$C1298="Capital In",$C1298="Transfer In"),$G1298,0)),"")</f>
        <v/>
      </c>
      <c r="J1298" s="61" t="str">
        <f aca="false">IF(IsPro,IF(OR($C1298="",N($G1298)=0),"",IF(I1298=0,$G1298,0)),"")</f>
        <v/>
      </c>
      <c r="K1298" s="60" t="str">
        <f aca="false">IF(IsPro,IF($C1298="","",IF(AND(OR($C1298="Receipt",$C1298="Payment"),$D1298=""),"Party needed",IF(AND(OR($C1298="Expense",$C1298="Other Income"),$E1298=""),"Head needed",IF($F1298="","Account needed","OK")))),IF($C1298="","","PRO PLAN"))</f>
        <v/>
      </c>
    </row>
    <row r="1299" customFormat="false" ht="15" hidden="false" customHeight="false" outlineLevel="0" collapsed="false">
      <c r="A1299" s="55"/>
      <c r="B1299" s="56"/>
      <c r="C1299" s="56"/>
      <c r="D1299" s="56"/>
      <c r="E1299" s="56"/>
      <c r="F1299" s="56"/>
      <c r="G1299" s="58"/>
      <c r="H1299" s="56"/>
      <c r="I1299" s="61" t="str">
        <f aca="false">IF(IsPro,IF(OR($C1299="",N($G1299)=0),"",IF(OR($C1299="Receipt",$C1299="Other Income",$C1299="Capital In",$C1299="Transfer In"),$G1299,0)),"")</f>
        <v/>
      </c>
      <c r="J1299" s="61" t="str">
        <f aca="false">IF(IsPro,IF(OR($C1299="",N($G1299)=0),"",IF(I1299=0,$G1299,0)),"")</f>
        <v/>
      </c>
      <c r="K1299" s="60" t="str">
        <f aca="false">IF(IsPro,IF($C1299="","",IF(AND(OR($C1299="Receipt",$C1299="Payment"),$D1299=""),"Party needed",IF(AND(OR($C1299="Expense",$C1299="Other Income"),$E1299=""),"Head needed",IF($F1299="","Account needed","OK")))),IF($C1299="","","PRO PLAN"))</f>
        <v/>
      </c>
    </row>
    <row r="1300" customFormat="false" ht="15" hidden="false" customHeight="false" outlineLevel="0" collapsed="false">
      <c r="A1300" s="55"/>
      <c r="B1300" s="56"/>
      <c r="C1300" s="56"/>
      <c r="D1300" s="56"/>
      <c r="E1300" s="56"/>
      <c r="F1300" s="56"/>
      <c r="G1300" s="58"/>
      <c r="H1300" s="56"/>
      <c r="I1300" s="61" t="str">
        <f aca="false">IF(IsPro,IF(OR($C1300="",N($G1300)=0),"",IF(OR($C1300="Receipt",$C1300="Other Income",$C1300="Capital In",$C1300="Transfer In"),$G1300,0)),"")</f>
        <v/>
      </c>
      <c r="J1300" s="61" t="str">
        <f aca="false">IF(IsPro,IF(OR($C1300="",N($G1300)=0),"",IF(I1300=0,$G1300,0)),"")</f>
        <v/>
      </c>
      <c r="K1300" s="60" t="str">
        <f aca="false">IF(IsPro,IF($C1300="","",IF(AND(OR($C1300="Receipt",$C1300="Payment"),$D1300=""),"Party needed",IF(AND(OR($C1300="Expense",$C1300="Other Income"),$E1300=""),"Head needed",IF($F1300="","Account needed","OK")))),IF($C1300="","","PRO PLAN"))</f>
        <v/>
      </c>
    </row>
    <row r="1301" customFormat="false" ht="15" hidden="false" customHeight="false" outlineLevel="0" collapsed="false">
      <c r="A1301" s="55"/>
      <c r="B1301" s="56"/>
      <c r="C1301" s="56"/>
      <c r="D1301" s="56"/>
      <c r="E1301" s="56"/>
      <c r="F1301" s="56"/>
      <c r="G1301" s="58"/>
      <c r="H1301" s="56"/>
      <c r="I1301" s="61" t="str">
        <f aca="false">IF(IsPro,IF(OR($C1301="",N($G1301)=0),"",IF(OR($C1301="Receipt",$C1301="Other Income",$C1301="Capital In",$C1301="Transfer In"),$G1301,0)),"")</f>
        <v/>
      </c>
      <c r="J1301" s="61" t="str">
        <f aca="false">IF(IsPro,IF(OR($C1301="",N($G1301)=0),"",IF(I1301=0,$G1301,0)),"")</f>
        <v/>
      </c>
      <c r="K1301" s="60" t="str">
        <f aca="false">IF(IsPro,IF($C1301="","",IF(AND(OR($C1301="Receipt",$C1301="Payment"),$D1301=""),"Party needed",IF(AND(OR($C1301="Expense",$C1301="Other Income"),$E1301=""),"Head needed",IF($F1301="","Account needed","OK")))),IF($C1301="","","PRO PLAN"))</f>
        <v/>
      </c>
    </row>
    <row r="1302" customFormat="false" ht="15" hidden="false" customHeight="false" outlineLevel="0" collapsed="false">
      <c r="A1302" s="55"/>
      <c r="B1302" s="56"/>
      <c r="C1302" s="56"/>
      <c r="D1302" s="56"/>
      <c r="E1302" s="56"/>
      <c r="F1302" s="56"/>
      <c r="G1302" s="58"/>
      <c r="H1302" s="56"/>
      <c r="I1302" s="61" t="str">
        <f aca="false">IF(IsPro,IF(OR($C1302="",N($G1302)=0),"",IF(OR($C1302="Receipt",$C1302="Other Income",$C1302="Capital In",$C1302="Transfer In"),$G1302,0)),"")</f>
        <v/>
      </c>
      <c r="J1302" s="61" t="str">
        <f aca="false">IF(IsPro,IF(OR($C1302="",N($G1302)=0),"",IF(I1302=0,$G1302,0)),"")</f>
        <v/>
      </c>
      <c r="K1302" s="60" t="str">
        <f aca="false">IF(IsPro,IF($C1302="","",IF(AND(OR($C1302="Receipt",$C1302="Payment"),$D1302=""),"Party needed",IF(AND(OR($C1302="Expense",$C1302="Other Income"),$E1302=""),"Head needed",IF($F1302="","Account needed","OK")))),IF($C1302="","","PRO PLAN"))</f>
        <v/>
      </c>
    </row>
    <row r="1303" customFormat="false" ht="15" hidden="false" customHeight="false" outlineLevel="0" collapsed="false">
      <c r="A1303" s="55"/>
      <c r="B1303" s="56"/>
      <c r="C1303" s="56"/>
      <c r="D1303" s="56"/>
      <c r="E1303" s="56"/>
      <c r="F1303" s="56"/>
      <c r="G1303" s="58"/>
      <c r="H1303" s="56"/>
      <c r="I1303" s="61" t="str">
        <f aca="false">IF(IsPro,IF(OR($C1303="",N($G1303)=0),"",IF(OR($C1303="Receipt",$C1303="Other Income",$C1303="Capital In",$C1303="Transfer In"),$G1303,0)),"")</f>
        <v/>
      </c>
      <c r="J1303" s="61" t="str">
        <f aca="false">IF(IsPro,IF(OR($C1303="",N($G1303)=0),"",IF(I1303=0,$G1303,0)),"")</f>
        <v/>
      </c>
      <c r="K1303" s="60" t="str">
        <f aca="false">IF(IsPro,IF($C1303="","",IF(AND(OR($C1303="Receipt",$C1303="Payment"),$D1303=""),"Party needed",IF(AND(OR($C1303="Expense",$C1303="Other Income"),$E1303=""),"Head needed",IF($F1303="","Account needed","OK")))),IF($C1303="","","PRO PLAN"))</f>
        <v/>
      </c>
    </row>
    <row r="1304" customFormat="false" ht="15" hidden="false" customHeight="false" outlineLevel="0" collapsed="false">
      <c r="A1304" s="55"/>
      <c r="B1304" s="56"/>
      <c r="C1304" s="56"/>
      <c r="D1304" s="56"/>
      <c r="E1304" s="56"/>
      <c r="F1304" s="56"/>
      <c r="G1304" s="58"/>
      <c r="H1304" s="56"/>
      <c r="I1304" s="61" t="str">
        <f aca="false">IF(IsPro,IF(OR($C1304="",N($G1304)=0),"",IF(OR($C1304="Receipt",$C1304="Other Income",$C1304="Capital In",$C1304="Transfer In"),$G1304,0)),"")</f>
        <v/>
      </c>
      <c r="J1304" s="61" t="str">
        <f aca="false">IF(IsPro,IF(OR($C1304="",N($G1304)=0),"",IF(I1304=0,$G1304,0)),"")</f>
        <v/>
      </c>
      <c r="K1304" s="60" t="str">
        <f aca="false">IF(IsPro,IF($C1304="","",IF(AND(OR($C1304="Receipt",$C1304="Payment"),$D1304=""),"Party needed",IF(AND(OR($C1304="Expense",$C1304="Other Income"),$E1304=""),"Head needed",IF($F1304="","Account needed","OK")))),IF($C1304="","","PRO PLAN"))</f>
        <v/>
      </c>
    </row>
    <row r="1305" customFormat="false" ht="15" hidden="false" customHeight="false" outlineLevel="0" collapsed="false">
      <c r="A1305" s="55"/>
      <c r="B1305" s="56"/>
      <c r="C1305" s="56"/>
      <c r="D1305" s="56"/>
      <c r="E1305" s="56"/>
      <c r="F1305" s="56"/>
      <c r="G1305" s="58"/>
      <c r="H1305" s="56"/>
      <c r="I1305" s="61" t="str">
        <f aca="false">IF(IsPro,IF(OR($C1305="",N($G1305)=0),"",IF(OR($C1305="Receipt",$C1305="Other Income",$C1305="Capital In",$C1305="Transfer In"),$G1305,0)),"")</f>
        <v/>
      </c>
      <c r="J1305" s="61" t="str">
        <f aca="false">IF(IsPro,IF(OR($C1305="",N($G1305)=0),"",IF(I1305=0,$G1305,0)),"")</f>
        <v/>
      </c>
      <c r="K1305" s="60" t="str">
        <f aca="false">IF(IsPro,IF($C1305="","",IF(AND(OR($C1305="Receipt",$C1305="Payment"),$D1305=""),"Party needed",IF(AND(OR($C1305="Expense",$C1305="Other Income"),$E1305=""),"Head needed",IF($F1305="","Account needed","OK")))),IF($C1305="","","PRO PLAN"))</f>
        <v/>
      </c>
    </row>
    <row r="1306" customFormat="false" ht="15" hidden="false" customHeight="false" outlineLevel="0" collapsed="false">
      <c r="A1306" s="55"/>
      <c r="B1306" s="56"/>
      <c r="C1306" s="56"/>
      <c r="D1306" s="56"/>
      <c r="E1306" s="56"/>
      <c r="F1306" s="56"/>
      <c r="G1306" s="58"/>
      <c r="H1306" s="56"/>
      <c r="I1306" s="61" t="str">
        <f aca="false">IF(IsPro,IF(OR($C1306="",N($G1306)=0),"",IF(OR($C1306="Receipt",$C1306="Other Income",$C1306="Capital In",$C1306="Transfer In"),$G1306,0)),"")</f>
        <v/>
      </c>
      <c r="J1306" s="61" t="str">
        <f aca="false">IF(IsPro,IF(OR($C1306="",N($G1306)=0),"",IF(I1306=0,$G1306,0)),"")</f>
        <v/>
      </c>
      <c r="K1306" s="60" t="str">
        <f aca="false">IF(IsPro,IF($C1306="","",IF(AND(OR($C1306="Receipt",$C1306="Payment"),$D1306=""),"Party needed",IF(AND(OR($C1306="Expense",$C1306="Other Income"),$E1306=""),"Head needed",IF($F1306="","Account needed","OK")))),IF($C1306="","","PRO PLAN"))</f>
        <v/>
      </c>
    </row>
    <row r="1307" customFormat="false" ht="15" hidden="false" customHeight="false" outlineLevel="0" collapsed="false">
      <c r="A1307" s="55"/>
      <c r="B1307" s="56"/>
      <c r="C1307" s="56"/>
      <c r="D1307" s="56"/>
      <c r="E1307" s="56"/>
      <c r="F1307" s="56"/>
      <c r="G1307" s="58"/>
      <c r="H1307" s="56"/>
      <c r="I1307" s="61" t="str">
        <f aca="false">IF(IsPro,IF(OR($C1307="",N($G1307)=0),"",IF(OR($C1307="Receipt",$C1307="Other Income",$C1307="Capital In",$C1307="Transfer In"),$G1307,0)),"")</f>
        <v/>
      </c>
      <c r="J1307" s="61" t="str">
        <f aca="false">IF(IsPro,IF(OR($C1307="",N($G1307)=0),"",IF(I1307=0,$G1307,0)),"")</f>
        <v/>
      </c>
      <c r="K1307" s="60" t="str">
        <f aca="false">IF(IsPro,IF($C1307="","",IF(AND(OR($C1307="Receipt",$C1307="Payment"),$D1307=""),"Party needed",IF(AND(OR($C1307="Expense",$C1307="Other Income"),$E1307=""),"Head needed",IF($F1307="","Account needed","OK")))),IF($C1307="","","PRO PLAN"))</f>
        <v/>
      </c>
    </row>
    <row r="1308" customFormat="false" ht="15" hidden="false" customHeight="false" outlineLevel="0" collapsed="false">
      <c r="A1308" s="55"/>
      <c r="B1308" s="56"/>
      <c r="C1308" s="56"/>
      <c r="D1308" s="56"/>
      <c r="E1308" s="56"/>
      <c r="F1308" s="56"/>
      <c r="G1308" s="58"/>
      <c r="H1308" s="56"/>
      <c r="I1308" s="61" t="str">
        <f aca="false">IF(IsPro,IF(OR($C1308="",N($G1308)=0),"",IF(OR($C1308="Receipt",$C1308="Other Income",$C1308="Capital In",$C1308="Transfer In"),$G1308,0)),"")</f>
        <v/>
      </c>
      <c r="J1308" s="61" t="str">
        <f aca="false">IF(IsPro,IF(OR($C1308="",N($G1308)=0),"",IF(I1308=0,$G1308,0)),"")</f>
        <v/>
      </c>
      <c r="K1308" s="60" t="str">
        <f aca="false">IF(IsPro,IF($C1308="","",IF(AND(OR($C1308="Receipt",$C1308="Payment"),$D1308=""),"Party needed",IF(AND(OR($C1308="Expense",$C1308="Other Income"),$E1308=""),"Head needed",IF($F1308="","Account needed","OK")))),IF($C1308="","","PRO PLAN"))</f>
        <v/>
      </c>
    </row>
    <row r="1309" customFormat="false" ht="15" hidden="false" customHeight="false" outlineLevel="0" collapsed="false">
      <c r="A1309" s="55"/>
      <c r="B1309" s="56"/>
      <c r="C1309" s="56"/>
      <c r="D1309" s="56"/>
      <c r="E1309" s="56"/>
      <c r="F1309" s="56"/>
      <c r="G1309" s="58"/>
      <c r="H1309" s="56"/>
      <c r="I1309" s="61" t="str">
        <f aca="false">IF(IsPro,IF(OR($C1309="",N($G1309)=0),"",IF(OR($C1309="Receipt",$C1309="Other Income",$C1309="Capital In",$C1309="Transfer In"),$G1309,0)),"")</f>
        <v/>
      </c>
      <c r="J1309" s="61" t="str">
        <f aca="false">IF(IsPro,IF(OR($C1309="",N($G1309)=0),"",IF(I1309=0,$G1309,0)),"")</f>
        <v/>
      </c>
      <c r="K1309" s="60" t="str">
        <f aca="false">IF(IsPro,IF($C1309="","",IF(AND(OR($C1309="Receipt",$C1309="Payment"),$D1309=""),"Party needed",IF(AND(OR($C1309="Expense",$C1309="Other Income"),$E1309=""),"Head needed",IF($F1309="","Account needed","OK")))),IF($C1309="","","PRO PLAN"))</f>
        <v/>
      </c>
    </row>
    <row r="1310" customFormat="false" ht="15" hidden="false" customHeight="false" outlineLevel="0" collapsed="false">
      <c r="A1310" s="55"/>
      <c r="B1310" s="56"/>
      <c r="C1310" s="56"/>
      <c r="D1310" s="56"/>
      <c r="E1310" s="56"/>
      <c r="F1310" s="56"/>
      <c r="G1310" s="58"/>
      <c r="H1310" s="56"/>
      <c r="I1310" s="61" t="str">
        <f aca="false">IF(IsPro,IF(OR($C1310="",N($G1310)=0),"",IF(OR($C1310="Receipt",$C1310="Other Income",$C1310="Capital In",$C1310="Transfer In"),$G1310,0)),"")</f>
        <v/>
      </c>
      <c r="J1310" s="61" t="str">
        <f aca="false">IF(IsPro,IF(OR($C1310="",N($G1310)=0),"",IF(I1310=0,$G1310,0)),"")</f>
        <v/>
      </c>
      <c r="K1310" s="60" t="str">
        <f aca="false">IF(IsPro,IF($C1310="","",IF(AND(OR($C1310="Receipt",$C1310="Payment"),$D1310=""),"Party needed",IF(AND(OR($C1310="Expense",$C1310="Other Income"),$E1310=""),"Head needed",IF($F1310="","Account needed","OK")))),IF($C1310="","","PRO PLAN"))</f>
        <v/>
      </c>
    </row>
    <row r="1311" customFormat="false" ht="15" hidden="false" customHeight="false" outlineLevel="0" collapsed="false">
      <c r="A1311" s="55"/>
      <c r="B1311" s="56"/>
      <c r="C1311" s="56"/>
      <c r="D1311" s="56"/>
      <c r="E1311" s="56"/>
      <c r="F1311" s="56"/>
      <c r="G1311" s="58"/>
      <c r="H1311" s="56"/>
      <c r="I1311" s="61" t="str">
        <f aca="false">IF(IsPro,IF(OR($C1311="",N($G1311)=0),"",IF(OR($C1311="Receipt",$C1311="Other Income",$C1311="Capital In",$C1311="Transfer In"),$G1311,0)),"")</f>
        <v/>
      </c>
      <c r="J1311" s="61" t="str">
        <f aca="false">IF(IsPro,IF(OR($C1311="",N($G1311)=0),"",IF(I1311=0,$G1311,0)),"")</f>
        <v/>
      </c>
      <c r="K1311" s="60" t="str">
        <f aca="false">IF(IsPro,IF($C1311="","",IF(AND(OR($C1311="Receipt",$C1311="Payment"),$D1311=""),"Party needed",IF(AND(OR($C1311="Expense",$C1311="Other Income"),$E1311=""),"Head needed",IF($F1311="","Account needed","OK")))),IF($C1311="","","PRO PLAN"))</f>
        <v/>
      </c>
    </row>
    <row r="1312" customFormat="false" ht="15" hidden="false" customHeight="false" outlineLevel="0" collapsed="false">
      <c r="A1312" s="55"/>
      <c r="B1312" s="56"/>
      <c r="C1312" s="56"/>
      <c r="D1312" s="56"/>
      <c r="E1312" s="56"/>
      <c r="F1312" s="56"/>
      <c r="G1312" s="58"/>
      <c r="H1312" s="56"/>
      <c r="I1312" s="61" t="str">
        <f aca="false">IF(IsPro,IF(OR($C1312="",N($G1312)=0),"",IF(OR($C1312="Receipt",$C1312="Other Income",$C1312="Capital In",$C1312="Transfer In"),$G1312,0)),"")</f>
        <v/>
      </c>
      <c r="J1312" s="61" t="str">
        <f aca="false">IF(IsPro,IF(OR($C1312="",N($G1312)=0),"",IF(I1312=0,$G1312,0)),"")</f>
        <v/>
      </c>
      <c r="K1312" s="60" t="str">
        <f aca="false">IF(IsPro,IF($C1312="","",IF(AND(OR($C1312="Receipt",$C1312="Payment"),$D1312=""),"Party needed",IF(AND(OR($C1312="Expense",$C1312="Other Income"),$E1312=""),"Head needed",IF($F1312="","Account needed","OK")))),IF($C1312="","","PRO PLAN"))</f>
        <v/>
      </c>
    </row>
    <row r="1313" customFormat="false" ht="15" hidden="false" customHeight="false" outlineLevel="0" collapsed="false">
      <c r="A1313" s="55"/>
      <c r="B1313" s="56"/>
      <c r="C1313" s="56"/>
      <c r="D1313" s="56"/>
      <c r="E1313" s="56"/>
      <c r="F1313" s="56"/>
      <c r="G1313" s="58"/>
      <c r="H1313" s="56"/>
      <c r="I1313" s="61" t="str">
        <f aca="false">IF(IsPro,IF(OR($C1313="",N($G1313)=0),"",IF(OR($C1313="Receipt",$C1313="Other Income",$C1313="Capital In",$C1313="Transfer In"),$G1313,0)),"")</f>
        <v/>
      </c>
      <c r="J1313" s="61" t="str">
        <f aca="false">IF(IsPro,IF(OR($C1313="",N($G1313)=0),"",IF(I1313=0,$G1313,0)),"")</f>
        <v/>
      </c>
      <c r="K1313" s="60" t="str">
        <f aca="false">IF(IsPro,IF($C1313="","",IF(AND(OR($C1313="Receipt",$C1313="Payment"),$D1313=""),"Party needed",IF(AND(OR($C1313="Expense",$C1313="Other Income"),$E1313=""),"Head needed",IF($F1313="","Account needed","OK")))),IF($C1313="","","PRO PLAN"))</f>
        <v/>
      </c>
    </row>
    <row r="1314" customFormat="false" ht="15" hidden="false" customHeight="false" outlineLevel="0" collapsed="false">
      <c r="A1314" s="55"/>
      <c r="B1314" s="56"/>
      <c r="C1314" s="56"/>
      <c r="D1314" s="56"/>
      <c r="E1314" s="56"/>
      <c r="F1314" s="56"/>
      <c r="G1314" s="58"/>
      <c r="H1314" s="56"/>
      <c r="I1314" s="61" t="str">
        <f aca="false">IF(IsPro,IF(OR($C1314="",N($G1314)=0),"",IF(OR($C1314="Receipt",$C1314="Other Income",$C1314="Capital In",$C1314="Transfer In"),$G1314,0)),"")</f>
        <v/>
      </c>
      <c r="J1314" s="61" t="str">
        <f aca="false">IF(IsPro,IF(OR($C1314="",N($G1314)=0),"",IF(I1314=0,$G1314,0)),"")</f>
        <v/>
      </c>
      <c r="K1314" s="60" t="str">
        <f aca="false">IF(IsPro,IF($C1314="","",IF(AND(OR($C1314="Receipt",$C1314="Payment"),$D1314=""),"Party needed",IF(AND(OR($C1314="Expense",$C1314="Other Income"),$E1314=""),"Head needed",IF($F1314="","Account needed","OK")))),IF($C1314="","","PRO PLAN"))</f>
        <v/>
      </c>
    </row>
    <row r="1315" customFormat="false" ht="15" hidden="false" customHeight="false" outlineLevel="0" collapsed="false">
      <c r="A1315" s="55"/>
      <c r="B1315" s="56"/>
      <c r="C1315" s="56"/>
      <c r="D1315" s="56"/>
      <c r="E1315" s="56"/>
      <c r="F1315" s="56"/>
      <c r="G1315" s="58"/>
      <c r="H1315" s="56"/>
      <c r="I1315" s="61" t="str">
        <f aca="false">IF(IsPro,IF(OR($C1315="",N($G1315)=0),"",IF(OR($C1315="Receipt",$C1315="Other Income",$C1315="Capital In",$C1315="Transfer In"),$G1315,0)),"")</f>
        <v/>
      </c>
      <c r="J1315" s="61" t="str">
        <f aca="false">IF(IsPro,IF(OR($C1315="",N($G1315)=0),"",IF(I1315=0,$G1315,0)),"")</f>
        <v/>
      </c>
      <c r="K1315" s="60" t="str">
        <f aca="false">IF(IsPro,IF($C1315="","",IF(AND(OR($C1315="Receipt",$C1315="Payment"),$D1315=""),"Party needed",IF(AND(OR($C1315="Expense",$C1315="Other Income"),$E1315=""),"Head needed",IF($F1315="","Account needed","OK")))),IF($C1315="","","PRO PLAN"))</f>
        <v/>
      </c>
    </row>
    <row r="1316" customFormat="false" ht="15" hidden="false" customHeight="false" outlineLevel="0" collapsed="false">
      <c r="A1316" s="55"/>
      <c r="B1316" s="56"/>
      <c r="C1316" s="56"/>
      <c r="D1316" s="56"/>
      <c r="E1316" s="56"/>
      <c r="F1316" s="56"/>
      <c r="G1316" s="58"/>
      <c r="H1316" s="56"/>
      <c r="I1316" s="61" t="str">
        <f aca="false">IF(IsPro,IF(OR($C1316="",N($G1316)=0),"",IF(OR($C1316="Receipt",$C1316="Other Income",$C1316="Capital In",$C1316="Transfer In"),$G1316,0)),"")</f>
        <v/>
      </c>
      <c r="J1316" s="61" t="str">
        <f aca="false">IF(IsPro,IF(OR($C1316="",N($G1316)=0),"",IF(I1316=0,$G1316,0)),"")</f>
        <v/>
      </c>
      <c r="K1316" s="60" t="str">
        <f aca="false">IF(IsPro,IF($C1316="","",IF(AND(OR($C1316="Receipt",$C1316="Payment"),$D1316=""),"Party needed",IF(AND(OR($C1316="Expense",$C1316="Other Income"),$E1316=""),"Head needed",IF($F1316="","Account needed","OK")))),IF($C1316="","","PRO PLAN"))</f>
        <v/>
      </c>
    </row>
    <row r="1317" customFormat="false" ht="15" hidden="false" customHeight="false" outlineLevel="0" collapsed="false">
      <c r="A1317" s="55"/>
      <c r="B1317" s="56"/>
      <c r="C1317" s="56"/>
      <c r="D1317" s="56"/>
      <c r="E1317" s="56"/>
      <c r="F1317" s="56"/>
      <c r="G1317" s="58"/>
      <c r="H1317" s="56"/>
      <c r="I1317" s="61" t="str">
        <f aca="false">IF(IsPro,IF(OR($C1317="",N($G1317)=0),"",IF(OR($C1317="Receipt",$C1317="Other Income",$C1317="Capital In",$C1317="Transfer In"),$G1317,0)),"")</f>
        <v/>
      </c>
      <c r="J1317" s="61" t="str">
        <f aca="false">IF(IsPro,IF(OR($C1317="",N($G1317)=0),"",IF(I1317=0,$G1317,0)),"")</f>
        <v/>
      </c>
      <c r="K1317" s="60" t="str">
        <f aca="false">IF(IsPro,IF($C1317="","",IF(AND(OR($C1317="Receipt",$C1317="Payment"),$D1317=""),"Party needed",IF(AND(OR($C1317="Expense",$C1317="Other Income"),$E1317=""),"Head needed",IF($F1317="","Account needed","OK")))),IF($C1317="","","PRO PLAN"))</f>
        <v/>
      </c>
    </row>
    <row r="1318" customFormat="false" ht="15" hidden="false" customHeight="false" outlineLevel="0" collapsed="false">
      <c r="A1318" s="55"/>
      <c r="B1318" s="56"/>
      <c r="C1318" s="56"/>
      <c r="D1318" s="56"/>
      <c r="E1318" s="56"/>
      <c r="F1318" s="56"/>
      <c r="G1318" s="58"/>
      <c r="H1318" s="56"/>
      <c r="I1318" s="61" t="str">
        <f aca="false">IF(IsPro,IF(OR($C1318="",N($G1318)=0),"",IF(OR($C1318="Receipt",$C1318="Other Income",$C1318="Capital In",$C1318="Transfer In"),$G1318,0)),"")</f>
        <v/>
      </c>
      <c r="J1318" s="61" t="str">
        <f aca="false">IF(IsPro,IF(OR($C1318="",N($G1318)=0),"",IF(I1318=0,$G1318,0)),"")</f>
        <v/>
      </c>
      <c r="K1318" s="60" t="str">
        <f aca="false">IF(IsPro,IF($C1318="","",IF(AND(OR($C1318="Receipt",$C1318="Payment"),$D1318=""),"Party needed",IF(AND(OR($C1318="Expense",$C1318="Other Income"),$E1318=""),"Head needed",IF($F1318="","Account needed","OK")))),IF($C1318="","","PRO PLAN"))</f>
        <v/>
      </c>
    </row>
    <row r="1319" customFormat="false" ht="15" hidden="false" customHeight="false" outlineLevel="0" collapsed="false">
      <c r="A1319" s="55"/>
      <c r="B1319" s="56"/>
      <c r="C1319" s="56"/>
      <c r="D1319" s="56"/>
      <c r="E1319" s="56"/>
      <c r="F1319" s="56"/>
      <c r="G1319" s="58"/>
      <c r="H1319" s="56"/>
      <c r="I1319" s="61" t="str">
        <f aca="false">IF(IsPro,IF(OR($C1319="",N($G1319)=0),"",IF(OR($C1319="Receipt",$C1319="Other Income",$C1319="Capital In",$C1319="Transfer In"),$G1319,0)),"")</f>
        <v/>
      </c>
      <c r="J1319" s="61" t="str">
        <f aca="false">IF(IsPro,IF(OR($C1319="",N($G1319)=0),"",IF(I1319=0,$G1319,0)),"")</f>
        <v/>
      </c>
      <c r="K1319" s="60" t="str">
        <f aca="false">IF(IsPro,IF($C1319="","",IF(AND(OR($C1319="Receipt",$C1319="Payment"),$D1319=""),"Party needed",IF(AND(OR($C1319="Expense",$C1319="Other Income"),$E1319=""),"Head needed",IF($F1319="","Account needed","OK")))),IF($C1319="","","PRO PLAN"))</f>
        <v/>
      </c>
    </row>
    <row r="1320" customFormat="false" ht="15" hidden="false" customHeight="false" outlineLevel="0" collapsed="false">
      <c r="A1320" s="55"/>
      <c r="B1320" s="56"/>
      <c r="C1320" s="56"/>
      <c r="D1320" s="56"/>
      <c r="E1320" s="56"/>
      <c r="F1320" s="56"/>
      <c r="G1320" s="58"/>
      <c r="H1320" s="56"/>
      <c r="I1320" s="61" t="str">
        <f aca="false">IF(IsPro,IF(OR($C1320="",N($G1320)=0),"",IF(OR($C1320="Receipt",$C1320="Other Income",$C1320="Capital In",$C1320="Transfer In"),$G1320,0)),"")</f>
        <v/>
      </c>
      <c r="J1320" s="61" t="str">
        <f aca="false">IF(IsPro,IF(OR($C1320="",N($G1320)=0),"",IF(I1320=0,$G1320,0)),"")</f>
        <v/>
      </c>
      <c r="K1320" s="60" t="str">
        <f aca="false">IF(IsPro,IF($C1320="","",IF(AND(OR($C1320="Receipt",$C1320="Payment"),$D1320=""),"Party needed",IF(AND(OR($C1320="Expense",$C1320="Other Income"),$E1320=""),"Head needed",IF($F1320="","Account needed","OK")))),IF($C1320="","","PRO PLAN"))</f>
        <v/>
      </c>
    </row>
    <row r="1321" customFormat="false" ht="15" hidden="false" customHeight="false" outlineLevel="0" collapsed="false">
      <c r="A1321" s="55"/>
      <c r="B1321" s="56"/>
      <c r="C1321" s="56"/>
      <c r="D1321" s="56"/>
      <c r="E1321" s="56"/>
      <c r="F1321" s="56"/>
      <c r="G1321" s="58"/>
      <c r="H1321" s="56"/>
      <c r="I1321" s="61" t="str">
        <f aca="false">IF(IsPro,IF(OR($C1321="",N($G1321)=0),"",IF(OR($C1321="Receipt",$C1321="Other Income",$C1321="Capital In",$C1321="Transfer In"),$G1321,0)),"")</f>
        <v/>
      </c>
      <c r="J1321" s="61" t="str">
        <f aca="false">IF(IsPro,IF(OR($C1321="",N($G1321)=0),"",IF(I1321=0,$G1321,0)),"")</f>
        <v/>
      </c>
      <c r="K1321" s="60" t="str">
        <f aca="false">IF(IsPro,IF($C1321="","",IF(AND(OR($C1321="Receipt",$C1321="Payment"),$D1321=""),"Party needed",IF(AND(OR($C1321="Expense",$C1321="Other Income"),$E1321=""),"Head needed",IF($F1321="","Account needed","OK")))),IF($C1321="","","PRO PLAN"))</f>
        <v/>
      </c>
    </row>
    <row r="1322" customFormat="false" ht="15" hidden="false" customHeight="false" outlineLevel="0" collapsed="false">
      <c r="A1322" s="55"/>
      <c r="B1322" s="56"/>
      <c r="C1322" s="56"/>
      <c r="D1322" s="56"/>
      <c r="E1322" s="56"/>
      <c r="F1322" s="56"/>
      <c r="G1322" s="58"/>
      <c r="H1322" s="56"/>
      <c r="I1322" s="61" t="str">
        <f aca="false">IF(IsPro,IF(OR($C1322="",N($G1322)=0),"",IF(OR($C1322="Receipt",$C1322="Other Income",$C1322="Capital In",$C1322="Transfer In"),$G1322,0)),"")</f>
        <v/>
      </c>
      <c r="J1322" s="61" t="str">
        <f aca="false">IF(IsPro,IF(OR($C1322="",N($G1322)=0),"",IF(I1322=0,$G1322,0)),"")</f>
        <v/>
      </c>
      <c r="K1322" s="60" t="str">
        <f aca="false">IF(IsPro,IF($C1322="","",IF(AND(OR($C1322="Receipt",$C1322="Payment"),$D1322=""),"Party needed",IF(AND(OR($C1322="Expense",$C1322="Other Income"),$E1322=""),"Head needed",IF($F1322="","Account needed","OK")))),IF($C1322="","","PRO PLAN"))</f>
        <v/>
      </c>
    </row>
    <row r="1323" customFormat="false" ht="15" hidden="false" customHeight="false" outlineLevel="0" collapsed="false">
      <c r="A1323" s="55"/>
      <c r="B1323" s="56"/>
      <c r="C1323" s="56"/>
      <c r="D1323" s="56"/>
      <c r="E1323" s="56"/>
      <c r="F1323" s="56"/>
      <c r="G1323" s="58"/>
      <c r="H1323" s="56"/>
      <c r="I1323" s="61" t="str">
        <f aca="false">IF(IsPro,IF(OR($C1323="",N($G1323)=0),"",IF(OR($C1323="Receipt",$C1323="Other Income",$C1323="Capital In",$C1323="Transfer In"),$G1323,0)),"")</f>
        <v/>
      </c>
      <c r="J1323" s="61" t="str">
        <f aca="false">IF(IsPro,IF(OR($C1323="",N($G1323)=0),"",IF(I1323=0,$G1323,0)),"")</f>
        <v/>
      </c>
      <c r="K1323" s="60" t="str">
        <f aca="false">IF(IsPro,IF($C1323="","",IF(AND(OR($C1323="Receipt",$C1323="Payment"),$D1323=""),"Party needed",IF(AND(OR($C1323="Expense",$C1323="Other Income"),$E1323=""),"Head needed",IF($F1323="","Account needed","OK")))),IF($C1323="","","PRO PLAN"))</f>
        <v/>
      </c>
    </row>
    <row r="1324" customFormat="false" ht="15" hidden="false" customHeight="false" outlineLevel="0" collapsed="false">
      <c r="A1324" s="55"/>
      <c r="B1324" s="56"/>
      <c r="C1324" s="56"/>
      <c r="D1324" s="56"/>
      <c r="E1324" s="56"/>
      <c r="F1324" s="56"/>
      <c r="G1324" s="58"/>
      <c r="H1324" s="56"/>
      <c r="I1324" s="61" t="str">
        <f aca="false">IF(IsPro,IF(OR($C1324="",N($G1324)=0),"",IF(OR($C1324="Receipt",$C1324="Other Income",$C1324="Capital In",$C1324="Transfer In"),$G1324,0)),"")</f>
        <v/>
      </c>
      <c r="J1324" s="61" t="str">
        <f aca="false">IF(IsPro,IF(OR($C1324="",N($G1324)=0),"",IF(I1324=0,$G1324,0)),"")</f>
        <v/>
      </c>
      <c r="K1324" s="60" t="str">
        <f aca="false">IF(IsPro,IF($C1324="","",IF(AND(OR($C1324="Receipt",$C1324="Payment"),$D1324=""),"Party needed",IF(AND(OR($C1324="Expense",$C1324="Other Income"),$E1324=""),"Head needed",IF($F1324="","Account needed","OK")))),IF($C1324="","","PRO PLAN"))</f>
        <v/>
      </c>
    </row>
    <row r="1325" customFormat="false" ht="15" hidden="false" customHeight="false" outlineLevel="0" collapsed="false">
      <c r="A1325" s="55"/>
      <c r="B1325" s="56"/>
      <c r="C1325" s="56"/>
      <c r="D1325" s="56"/>
      <c r="E1325" s="56"/>
      <c r="F1325" s="56"/>
      <c r="G1325" s="58"/>
      <c r="H1325" s="56"/>
      <c r="I1325" s="61" t="str">
        <f aca="false">IF(IsPro,IF(OR($C1325="",N($G1325)=0),"",IF(OR($C1325="Receipt",$C1325="Other Income",$C1325="Capital In",$C1325="Transfer In"),$G1325,0)),"")</f>
        <v/>
      </c>
      <c r="J1325" s="61" t="str">
        <f aca="false">IF(IsPro,IF(OR($C1325="",N($G1325)=0),"",IF(I1325=0,$G1325,0)),"")</f>
        <v/>
      </c>
      <c r="K1325" s="60" t="str">
        <f aca="false">IF(IsPro,IF($C1325="","",IF(AND(OR($C1325="Receipt",$C1325="Payment"),$D1325=""),"Party needed",IF(AND(OR($C1325="Expense",$C1325="Other Income"),$E1325=""),"Head needed",IF($F1325="","Account needed","OK")))),IF($C1325="","","PRO PLAN"))</f>
        <v/>
      </c>
    </row>
    <row r="1326" customFormat="false" ht="15" hidden="false" customHeight="false" outlineLevel="0" collapsed="false">
      <c r="A1326" s="55"/>
      <c r="B1326" s="56"/>
      <c r="C1326" s="56"/>
      <c r="D1326" s="56"/>
      <c r="E1326" s="56"/>
      <c r="F1326" s="56"/>
      <c r="G1326" s="58"/>
      <c r="H1326" s="56"/>
      <c r="I1326" s="61" t="str">
        <f aca="false">IF(IsPro,IF(OR($C1326="",N($G1326)=0),"",IF(OR($C1326="Receipt",$C1326="Other Income",$C1326="Capital In",$C1326="Transfer In"),$G1326,0)),"")</f>
        <v/>
      </c>
      <c r="J1326" s="61" t="str">
        <f aca="false">IF(IsPro,IF(OR($C1326="",N($G1326)=0),"",IF(I1326=0,$G1326,0)),"")</f>
        <v/>
      </c>
      <c r="K1326" s="60" t="str">
        <f aca="false">IF(IsPro,IF($C1326="","",IF(AND(OR($C1326="Receipt",$C1326="Payment"),$D1326=""),"Party needed",IF(AND(OR($C1326="Expense",$C1326="Other Income"),$E1326=""),"Head needed",IF($F1326="","Account needed","OK")))),IF($C1326="","","PRO PLAN"))</f>
        <v/>
      </c>
    </row>
    <row r="1327" customFormat="false" ht="15" hidden="false" customHeight="false" outlineLevel="0" collapsed="false">
      <c r="A1327" s="55"/>
      <c r="B1327" s="56"/>
      <c r="C1327" s="56"/>
      <c r="D1327" s="56"/>
      <c r="E1327" s="56"/>
      <c r="F1327" s="56"/>
      <c r="G1327" s="58"/>
      <c r="H1327" s="56"/>
      <c r="I1327" s="61" t="str">
        <f aca="false">IF(IsPro,IF(OR($C1327="",N($G1327)=0),"",IF(OR($C1327="Receipt",$C1327="Other Income",$C1327="Capital In",$C1327="Transfer In"),$G1327,0)),"")</f>
        <v/>
      </c>
      <c r="J1327" s="61" t="str">
        <f aca="false">IF(IsPro,IF(OR($C1327="",N($G1327)=0),"",IF(I1327=0,$G1327,0)),"")</f>
        <v/>
      </c>
      <c r="K1327" s="60" t="str">
        <f aca="false">IF(IsPro,IF($C1327="","",IF(AND(OR($C1327="Receipt",$C1327="Payment"),$D1327=""),"Party needed",IF(AND(OR($C1327="Expense",$C1327="Other Income"),$E1327=""),"Head needed",IF($F1327="","Account needed","OK")))),IF($C1327="","","PRO PLAN"))</f>
        <v/>
      </c>
    </row>
    <row r="1328" customFormat="false" ht="15" hidden="false" customHeight="false" outlineLevel="0" collapsed="false">
      <c r="A1328" s="55"/>
      <c r="B1328" s="56"/>
      <c r="C1328" s="56"/>
      <c r="D1328" s="56"/>
      <c r="E1328" s="56"/>
      <c r="F1328" s="56"/>
      <c r="G1328" s="58"/>
      <c r="H1328" s="56"/>
      <c r="I1328" s="61" t="str">
        <f aca="false">IF(IsPro,IF(OR($C1328="",N($G1328)=0),"",IF(OR($C1328="Receipt",$C1328="Other Income",$C1328="Capital In",$C1328="Transfer In"),$G1328,0)),"")</f>
        <v/>
      </c>
      <c r="J1328" s="61" t="str">
        <f aca="false">IF(IsPro,IF(OR($C1328="",N($G1328)=0),"",IF(I1328=0,$G1328,0)),"")</f>
        <v/>
      </c>
      <c r="K1328" s="60" t="str">
        <f aca="false">IF(IsPro,IF($C1328="","",IF(AND(OR($C1328="Receipt",$C1328="Payment"),$D1328=""),"Party needed",IF(AND(OR($C1328="Expense",$C1328="Other Income"),$E1328=""),"Head needed",IF($F1328="","Account needed","OK")))),IF($C1328="","","PRO PLAN"))</f>
        <v/>
      </c>
    </row>
    <row r="1329" customFormat="false" ht="15" hidden="false" customHeight="false" outlineLevel="0" collapsed="false">
      <c r="A1329" s="55"/>
      <c r="B1329" s="56"/>
      <c r="C1329" s="56"/>
      <c r="D1329" s="56"/>
      <c r="E1329" s="56"/>
      <c r="F1329" s="56"/>
      <c r="G1329" s="58"/>
      <c r="H1329" s="56"/>
      <c r="I1329" s="61" t="str">
        <f aca="false">IF(IsPro,IF(OR($C1329="",N($G1329)=0),"",IF(OR($C1329="Receipt",$C1329="Other Income",$C1329="Capital In",$C1329="Transfer In"),$G1329,0)),"")</f>
        <v/>
      </c>
      <c r="J1329" s="61" t="str">
        <f aca="false">IF(IsPro,IF(OR($C1329="",N($G1329)=0),"",IF(I1329=0,$G1329,0)),"")</f>
        <v/>
      </c>
      <c r="K1329" s="60" t="str">
        <f aca="false">IF(IsPro,IF($C1329="","",IF(AND(OR($C1329="Receipt",$C1329="Payment"),$D1329=""),"Party needed",IF(AND(OR($C1329="Expense",$C1329="Other Income"),$E1329=""),"Head needed",IF($F1329="","Account needed","OK")))),IF($C1329="","","PRO PLAN"))</f>
        <v/>
      </c>
    </row>
    <row r="1330" customFormat="false" ht="15" hidden="false" customHeight="false" outlineLevel="0" collapsed="false">
      <c r="A1330" s="55"/>
      <c r="B1330" s="56"/>
      <c r="C1330" s="56"/>
      <c r="D1330" s="56"/>
      <c r="E1330" s="56"/>
      <c r="F1330" s="56"/>
      <c r="G1330" s="58"/>
      <c r="H1330" s="56"/>
      <c r="I1330" s="61" t="str">
        <f aca="false">IF(IsPro,IF(OR($C1330="",N($G1330)=0),"",IF(OR($C1330="Receipt",$C1330="Other Income",$C1330="Capital In",$C1330="Transfer In"),$G1330,0)),"")</f>
        <v/>
      </c>
      <c r="J1330" s="61" t="str">
        <f aca="false">IF(IsPro,IF(OR($C1330="",N($G1330)=0),"",IF(I1330=0,$G1330,0)),"")</f>
        <v/>
      </c>
      <c r="K1330" s="60" t="str">
        <f aca="false">IF(IsPro,IF($C1330="","",IF(AND(OR($C1330="Receipt",$C1330="Payment"),$D1330=""),"Party needed",IF(AND(OR($C1330="Expense",$C1330="Other Income"),$E1330=""),"Head needed",IF($F1330="","Account needed","OK")))),IF($C1330="","","PRO PLAN"))</f>
        <v/>
      </c>
    </row>
    <row r="1331" customFormat="false" ht="15" hidden="false" customHeight="false" outlineLevel="0" collapsed="false">
      <c r="A1331" s="55"/>
      <c r="B1331" s="56"/>
      <c r="C1331" s="56"/>
      <c r="D1331" s="56"/>
      <c r="E1331" s="56"/>
      <c r="F1331" s="56"/>
      <c r="G1331" s="58"/>
      <c r="H1331" s="56"/>
      <c r="I1331" s="61" t="str">
        <f aca="false">IF(IsPro,IF(OR($C1331="",N($G1331)=0),"",IF(OR($C1331="Receipt",$C1331="Other Income",$C1331="Capital In",$C1331="Transfer In"),$G1331,0)),"")</f>
        <v/>
      </c>
      <c r="J1331" s="61" t="str">
        <f aca="false">IF(IsPro,IF(OR($C1331="",N($G1331)=0),"",IF(I1331=0,$G1331,0)),"")</f>
        <v/>
      </c>
      <c r="K1331" s="60" t="str">
        <f aca="false">IF(IsPro,IF($C1331="","",IF(AND(OR($C1331="Receipt",$C1331="Payment"),$D1331=""),"Party needed",IF(AND(OR($C1331="Expense",$C1331="Other Income"),$E1331=""),"Head needed",IF($F1331="","Account needed","OK")))),IF($C1331="","","PRO PLAN"))</f>
        <v/>
      </c>
    </row>
    <row r="1332" customFormat="false" ht="15" hidden="false" customHeight="false" outlineLevel="0" collapsed="false">
      <c r="A1332" s="55"/>
      <c r="B1332" s="56"/>
      <c r="C1332" s="56"/>
      <c r="D1332" s="56"/>
      <c r="E1332" s="56"/>
      <c r="F1332" s="56"/>
      <c r="G1332" s="58"/>
      <c r="H1332" s="56"/>
      <c r="I1332" s="61" t="str">
        <f aca="false">IF(IsPro,IF(OR($C1332="",N($G1332)=0),"",IF(OR($C1332="Receipt",$C1332="Other Income",$C1332="Capital In",$C1332="Transfer In"),$G1332,0)),"")</f>
        <v/>
      </c>
      <c r="J1332" s="61" t="str">
        <f aca="false">IF(IsPro,IF(OR($C1332="",N($G1332)=0),"",IF(I1332=0,$G1332,0)),"")</f>
        <v/>
      </c>
      <c r="K1332" s="60" t="str">
        <f aca="false">IF(IsPro,IF($C1332="","",IF(AND(OR($C1332="Receipt",$C1332="Payment"),$D1332=""),"Party needed",IF(AND(OR($C1332="Expense",$C1332="Other Income"),$E1332=""),"Head needed",IF($F1332="","Account needed","OK")))),IF($C1332="","","PRO PLAN"))</f>
        <v/>
      </c>
    </row>
    <row r="1333" customFormat="false" ht="15" hidden="false" customHeight="false" outlineLevel="0" collapsed="false">
      <c r="A1333" s="55"/>
      <c r="B1333" s="56"/>
      <c r="C1333" s="56"/>
      <c r="D1333" s="56"/>
      <c r="E1333" s="56"/>
      <c r="F1333" s="56"/>
      <c r="G1333" s="58"/>
      <c r="H1333" s="56"/>
      <c r="I1333" s="61" t="str">
        <f aca="false">IF(IsPro,IF(OR($C1333="",N($G1333)=0),"",IF(OR($C1333="Receipt",$C1333="Other Income",$C1333="Capital In",$C1333="Transfer In"),$G1333,0)),"")</f>
        <v/>
      </c>
      <c r="J1333" s="61" t="str">
        <f aca="false">IF(IsPro,IF(OR($C1333="",N($G1333)=0),"",IF(I1333=0,$G1333,0)),"")</f>
        <v/>
      </c>
      <c r="K1333" s="60" t="str">
        <f aca="false">IF(IsPro,IF($C1333="","",IF(AND(OR($C1333="Receipt",$C1333="Payment"),$D1333=""),"Party needed",IF(AND(OR($C1333="Expense",$C1333="Other Income"),$E1333=""),"Head needed",IF($F1333="","Account needed","OK")))),IF($C1333="","","PRO PLAN"))</f>
        <v/>
      </c>
    </row>
    <row r="1334" customFormat="false" ht="15" hidden="false" customHeight="false" outlineLevel="0" collapsed="false">
      <c r="A1334" s="55"/>
      <c r="B1334" s="56"/>
      <c r="C1334" s="56"/>
      <c r="D1334" s="56"/>
      <c r="E1334" s="56"/>
      <c r="F1334" s="56"/>
      <c r="G1334" s="58"/>
      <c r="H1334" s="56"/>
      <c r="I1334" s="61" t="str">
        <f aca="false">IF(IsPro,IF(OR($C1334="",N($G1334)=0),"",IF(OR($C1334="Receipt",$C1334="Other Income",$C1334="Capital In",$C1334="Transfer In"),$G1334,0)),"")</f>
        <v/>
      </c>
      <c r="J1334" s="61" t="str">
        <f aca="false">IF(IsPro,IF(OR($C1334="",N($G1334)=0),"",IF(I1334=0,$G1334,0)),"")</f>
        <v/>
      </c>
      <c r="K1334" s="60" t="str">
        <f aca="false">IF(IsPro,IF($C1334="","",IF(AND(OR($C1334="Receipt",$C1334="Payment"),$D1334=""),"Party needed",IF(AND(OR($C1334="Expense",$C1334="Other Income"),$E1334=""),"Head needed",IF($F1334="","Account needed","OK")))),IF($C1334="","","PRO PLAN"))</f>
        <v/>
      </c>
    </row>
    <row r="1335" customFormat="false" ht="15" hidden="false" customHeight="false" outlineLevel="0" collapsed="false">
      <c r="A1335" s="55"/>
      <c r="B1335" s="56"/>
      <c r="C1335" s="56"/>
      <c r="D1335" s="56"/>
      <c r="E1335" s="56"/>
      <c r="F1335" s="56"/>
      <c r="G1335" s="58"/>
      <c r="H1335" s="56"/>
      <c r="I1335" s="61" t="str">
        <f aca="false">IF(IsPro,IF(OR($C1335="",N($G1335)=0),"",IF(OR($C1335="Receipt",$C1335="Other Income",$C1335="Capital In",$C1335="Transfer In"),$G1335,0)),"")</f>
        <v/>
      </c>
      <c r="J1335" s="61" t="str">
        <f aca="false">IF(IsPro,IF(OR($C1335="",N($G1335)=0),"",IF(I1335=0,$G1335,0)),"")</f>
        <v/>
      </c>
      <c r="K1335" s="60" t="str">
        <f aca="false">IF(IsPro,IF($C1335="","",IF(AND(OR($C1335="Receipt",$C1335="Payment"),$D1335=""),"Party needed",IF(AND(OR($C1335="Expense",$C1335="Other Income"),$E1335=""),"Head needed",IF($F1335="","Account needed","OK")))),IF($C1335="","","PRO PLAN"))</f>
        <v/>
      </c>
    </row>
    <row r="1336" customFormat="false" ht="15" hidden="false" customHeight="false" outlineLevel="0" collapsed="false">
      <c r="A1336" s="55"/>
      <c r="B1336" s="56"/>
      <c r="C1336" s="56"/>
      <c r="D1336" s="56"/>
      <c r="E1336" s="56"/>
      <c r="F1336" s="56"/>
      <c r="G1336" s="58"/>
      <c r="H1336" s="56"/>
      <c r="I1336" s="61" t="str">
        <f aca="false">IF(IsPro,IF(OR($C1336="",N($G1336)=0),"",IF(OR($C1336="Receipt",$C1336="Other Income",$C1336="Capital In",$C1336="Transfer In"),$G1336,0)),"")</f>
        <v/>
      </c>
      <c r="J1336" s="61" t="str">
        <f aca="false">IF(IsPro,IF(OR($C1336="",N($G1336)=0),"",IF(I1336=0,$G1336,0)),"")</f>
        <v/>
      </c>
      <c r="K1336" s="60" t="str">
        <f aca="false">IF(IsPro,IF($C1336="","",IF(AND(OR($C1336="Receipt",$C1336="Payment"),$D1336=""),"Party needed",IF(AND(OR($C1336="Expense",$C1336="Other Income"),$E1336=""),"Head needed",IF($F1336="","Account needed","OK")))),IF($C1336="","","PRO PLAN"))</f>
        <v/>
      </c>
    </row>
    <row r="1337" customFormat="false" ht="15" hidden="false" customHeight="false" outlineLevel="0" collapsed="false">
      <c r="A1337" s="55"/>
      <c r="B1337" s="56"/>
      <c r="C1337" s="56"/>
      <c r="D1337" s="56"/>
      <c r="E1337" s="56"/>
      <c r="F1337" s="56"/>
      <c r="G1337" s="58"/>
      <c r="H1337" s="56"/>
      <c r="I1337" s="61" t="str">
        <f aca="false">IF(IsPro,IF(OR($C1337="",N($G1337)=0),"",IF(OR($C1337="Receipt",$C1337="Other Income",$C1337="Capital In",$C1337="Transfer In"),$G1337,0)),"")</f>
        <v/>
      </c>
      <c r="J1337" s="61" t="str">
        <f aca="false">IF(IsPro,IF(OR($C1337="",N($G1337)=0),"",IF(I1337=0,$G1337,0)),"")</f>
        <v/>
      </c>
      <c r="K1337" s="60" t="str">
        <f aca="false">IF(IsPro,IF($C1337="","",IF(AND(OR($C1337="Receipt",$C1337="Payment"),$D1337=""),"Party needed",IF(AND(OR($C1337="Expense",$C1337="Other Income"),$E1337=""),"Head needed",IF($F1337="","Account needed","OK")))),IF($C1337="","","PRO PLAN"))</f>
        <v/>
      </c>
    </row>
    <row r="1338" customFormat="false" ht="15" hidden="false" customHeight="false" outlineLevel="0" collapsed="false">
      <c r="A1338" s="55"/>
      <c r="B1338" s="56"/>
      <c r="C1338" s="56"/>
      <c r="D1338" s="56"/>
      <c r="E1338" s="56"/>
      <c r="F1338" s="56"/>
      <c r="G1338" s="58"/>
      <c r="H1338" s="56"/>
      <c r="I1338" s="61" t="str">
        <f aca="false">IF(IsPro,IF(OR($C1338="",N($G1338)=0),"",IF(OR($C1338="Receipt",$C1338="Other Income",$C1338="Capital In",$C1338="Transfer In"),$G1338,0)),"")</f>
        <v/>
      </c>
      <c r="J1338" s="61" t="str">
        <f aca="false">IF(IsPro,IF(OR($C1338="",N($G1338)=0),"",IF(I1338=0,$G1338,0)),"")</f>
        <v/>
      </c>
      <c r="K1338" s="60" t="str">
        <f aca="false">IF(IsPro,IF($C1338="","",IF(AND(OR($C1338="Receipt",$C1338="Payment"),$D1338=""),"Party needed",IF(AND(OR($C1338="Expense",$C1338="Other Income"),$E1338=""),"Head needed",IF($F1338="","Account needed","OK")))),IF($C1338="","","PRO PLAN"))</f>
        <v/>
      </c>
    </row>
    <row r="1339" customFormat="false" ht="15" hidden="false" customHeight="false" outlineLevel="0" collapsed="false">
      <c r="A1339" s="55"/>
      <c r="B1339" s="56"/>
      <c r="C1339" s="56"/>
      <c r="D1339" s="56"/>
      <c r="E1339" s="56"/>
      <c r="F1339" s="56"/>
      <c r="G1339" s="58"/>
      <c r="H1339" s="56"/>
      <c r="I1339" s="61" t="str">
        <f aca="false">IF(IsPro,IF(OR($C1339="",N($G1339)=0),"",IF(OR($C1339="Receipt",$C1339="Other Income",$C1339="Capital In",$C1339="Transfer In"),$G1339,0)),"")</f>
        <v/>
      </c>
      <c r="J1339" s="61" t="str">
        <f aca="false">IF(IsPro,IF(OR($C1339="",N($G1339)=0),"",IF(I1339=0,$G1339,0)),"")</f>
        <v/>
      </c>
      <c r="K1339" s="60" t="str">
        <f aca="false">IF(IsPro,IF($C1339="","",IF(AND(OR($C1339="Receipt",$C1339="Payment"),$D1339=""),"Party needed",IF(AND(OR($C1339="Expense",$C1339="Other Income"),$E1339=""),"Head needed",IF($F1339="","Account needed","OK")))),IF($C1339="","","PRO PLAN"))</f>
        <v/>
      </c>
    </row>
    <row r="1340" customFormat="false" ht="15" hidden="false" customHeight="false" outlineLevel="0" collapsed="false">
      <c r="A1340" s="55"/>
      <c r="B1340" s="56"/>
      <c r="C1340" s="56"/>
      <c r="D1340" s="56"/>
      <c r="E1340" s="56"/>
      <c r="F1340" s="56"/>
      <c r="G1340" s="58"/>
      <c r="H1340" s="56"/>
      <c r="I1340" s="61" t="str">
        <f aca="false">IF(IsPro,IF(OR($C1340="",N($G1340)=0),"",IF(OR($C1340="Receipt",$C1340="Other Income",$C1340="Capital In",$C1340="Transfer In"),$G1340,0)),"")</f>
        <v/>
      </c>
      <c r="J1340" s="61" t="str">
        <f aca="false">IF(IsPro,IF(OR($C1340="",N($G1340)=0),"",IF(I1340=0,$G1340,0)),"")</f>
        <v/>
      </c>
      <c r="K1340" s="60" t="str">
        <f aca="false">IF(IsPro,IF($C1340="","",IF(AND(OR($C1340="Receipt",$C1340="Payment"),$D1340=""),"Party needed",IF(AND(OR($C1340="Expense",$C1340="Other Income"),$E1340=""),"Head needed",IF($F1340="","Account needed","OK")))),IF($C1340="","","PRO PLAN"))</f>
        <v/>
      </c>
    </row>
    <row r="1341" customFormat="false" ht="15" hidden="false" customHeight="false" outlineLevel="0" collapsed="false">
      <c r="A1341" s="55"/>
      <c r="B1341" s="56"/>
      <c r="C1341" s="56"/>
      <c r="D1341" s="56"/>
      <c r="E1341" s="56"/>
      <c r="F1341" s="56"/>
      <c r="G1341" s="58"/>
      <c r="H1341" s="56"/>
      <c r="I1341" s="61" t="str">
        <f aca="false">IF(IsPro,IF(OR($C1341="",N($G1341)=0),"",IF(OR($C1341="Receipt",$C1341="Other Income",$C1341="Capital In",$C1341="Transfer In"),$G1341,0)),"")</f>
        <v/>
      </c>
      <c r="J1341" s="61" t="str">
        <f aca="false">IF(IsPro,IF(OR($C1341="",N($G1341)=0),"",IF(I1341=0,$G1341,0)),"")</f>
        <v/>
      </c>
      <c r="K1341" s="60" t="str">
        <f aca="false">IF(IsPro,IF($C1341="","",IF(AND(OR($C1341="Receipt",$C1341="Payment"),$D1341=""),"Party needed",IF(AND(OR($C1341="Expense",$C1341="Other Income"),$E1341=""),"Head needed",IF($F1341="","Account needed","OK")))),IF($C1341="","","PRO PLAN"))</f>
        <v/>
      </c>
    </row>
    <row r="1342" customFormat="false" ht="15" hidden="false" customHeight="false" outlineLevel="0" collapsed="false">
      <c r="A1342" s="55"/>
      <c r="B1342" s="56"/>
      <c r="C1342" s="56"/>
      <c r="D1342" s="56"/>
      <c r="E1342" s="56"/>
      <c r="F1342" s="56"/>
      <c r="G1342" s="58"/>
      <c r="H1342" s="56"/>
      <c r="I1342" s="61" t="str">
        <f aca="false">IF(IsPro,IF(OR($C1342="",N($G1342)=0),"",IF(OR($C1342="Receipt",$C1342="Other Income",$C1342="Capital In",$C1342="Transfer In"),$G1342,0)),"")</f>
        <v/>
      </c>
      <c r="J1342" s="61" t="str">
        <f aca="false">IF(IsPro,IF(OR($C1342="",N($G1342)=0),"",IF(I1342=0,$G1342,0)),"")</f>
        <v/>
      </c>
      <c r="K1342" s="60" t="str">
        <f aca="false">IF(IsPro,IF($C1342="","",IF(AND(OR($C1342="Receipt",$C1342="Payment"),$D1342=""),"Party needed",IF(AND(OR($C1342="Expense",$C1342="Other Income"),$E1342=""),"Head needed",IF($F1342="","Account needed","OK")))),IF($C1342="","","PRO PLAN"))</f>
        <v/>
      </c>
    </row>
    <row r="1343" customFormat="false" ht="15" hidden="false" customHeight="false" outlineLevel="0" collapsed="false">
      <c r="A1343" s="55"/>
      <c r="B1343" s="56"/>
      <c r="C1343" s="56"/>
      <c r="D1343" s="56"/>
      <c r="E1343" s="56"/>
      <c r="F1343" s="56"/>
      <c r="G1343" s="58"/>
      <c r="H1343" s="56"/>
      <c r="I1343" s="61" t="str">
        <f aca="false">IF(IsPro,IF(OR($C1343="",N($G1343)=0),"",IF(OR($C1343="Receipt",$C1343="Other Income",$C1343="Capital In",$C1343="Transfer In"),$G1343,0)),"")</f>
        <v/>
      </c>
      <c r="J1343" s="61" t="str">
        <f aca="false">IF(IsPro,IF(OR($C1343="",N($G1343)=0),"",IF(I1343=0,$G1343,0)),"")</f>
        <v/>
      </c>
      <c r="K1343" s="60" t="str">
        <f aca="false">IF(IsPro,IF($C1343="","",IF(AND(OR($C1343="Receipt",$C1343="Payment"),$D1343=""),"Party needed",IF(AND(OR($C1343="Expense",$C1343="Other Income"),$E1343=""),"Head needed",IF($F1343="","Account needed","OK")))),IF($C1343="","","PRO PLAN"))</f>
        <v/>
      </c>
    </row>
    <row r="1344" customFormat="false" ht="15" hidden="false" customHeight="false" outlineLevel="0" collapsed="false">
      <c r="A1344" s="55"/>
      <c r="B1344" s="56"/>
      <c r="C1344" s="56"/>
      <c r="D1344" s="56"/>
      <c r="E1344" s="56"/>
      <c r="F1344" s="56"/>
      <c r="G1344" s="58"/>
      <c r="H1344" s="56"/>
      <c r="I1344" s="61" t="str">
        <f aca="false">IF(IsPro,IF(OR($C1344="",N($G1344)=0),"",IF(OR($C1344="Receipt",$C1344="Other Income",$C1344="Capital In",$C1344="Transfer In"),$G1344,0)),"")</f>
        <v/>
      </c>
      <c r="J1344" s="61" t="str">
        <f aca="false">IF(IsPro,IF(OR($C1344="",N($G1344)=0),"",IF(I1344=0,$G1344,0)),"")</f>
        <v/>
      </c>
      <c r="K1344" s="60" t="str">
        <f aca="false">IF(IsPro,IF($C1344="","",IF(AND(OR($C1344="Receipt",$C1344="Payment"),$D1344=""),"Party needed",IF(AND(OR($C1344="Expense",$C1344="Other Income"),$E1344=""),"Head needed",IF($F1344="","Account needed","OK")))),IF($C1344="","","PRO PLAN"))</f>
        <v/>
      </c>
    </row>
    <row r="1345" customFormat="false" ht="15" hidden="false" customHeight="false" outlineLevel="0" collapsed="false">
      <c r="A1345" s="55"/>
      <c r="B1345" s="56"/>
      <c r="C1345" s="56"/>
      <c r="D1345" s="56"/>
      <c r="E1345" s="56"/>
      <c r="F1345" s="56"/>
      <c r="G1345" s="58"/>
      <c r="H1345" s="56"/>
      <c r="I1345" s="61" t="str">
        <f aca="false">IF(IsPro,IF(OR($C1345="",N($G1345)=0),"",IF(OR($C1345="Receipt",$C1345="Other Income",$C1345="Capital In",$C1345="Transfer In"),$G1345,0)),"")</f>
        <v/>
      </c>
      <c r="J1345" s="61" t="str">
        <f aca="false">IF(IsPro,IF(OR($C1345="",N($G1345)=0),"",IF(I1345=0,$G1345,0)),"")</f>
        <v/>
      </c>
      <c r="K1345" s="60" t="str">
        <f aca="false">IF(IsPro,IF($C1345="","",IF(AND(OR($C1345="Receipt",$C1345="Payment"),$D1345=""),"Party needed",IF(AND(OR($C1345="Expense",$C1345="Other Income"),$E1345=""),"Head needed",IF($F1345="","Account needed","OK")))),IF($C1345="","","PRO PLAN"))</f>
        <v/>
      </c>
    </row>
    <row r="1346" customFormat="false" ht="15" hidden="false" customHeight="false" outlineLevel="0" collapsed="false">
      <c r="A1346" s="55"/>
      <c r="B1346" s="56"/>
      <c r="C1346" s="56"/>
      <c r="D1346" s="56"/>
      <c r="E1346" s="56"/>
      <c r="F1346" s="56"/>
      <c r="G1346" s="58"/>
      <c r="H1346" s="56"/>
      <c r="I1346" s="61" t="str">
        <f aca="false">IF(IsPro,IF(OR($C1346="",N($G1346)=0),"",IF(OR($C1346="Receipt",$C1346="Other Income",$C1346="Capital In",$C1346="Transfer In"),$G1346,0)),"")</f>
        <v/>
      </c>
      <c r="J1346" s="61" t="str">
        <f aca="false">IF(IsPro,IF(OR($C1346="",N($G1346)=0),"",IF(I1346=0,$G1346,0)),"")</f>
        <v/>
      </c>
      <c r="K1346" s="60" t="str">
        <f aca="false">IF(IsPro,IF($C1346="","",IF(AND(OR($C1346="Receipt",$C1346="Payment"),$D1346=""),"Party needed",IF(AND(OR($C1346="Expense",$C1346="Other Income"),$E1346=""),"Head needed",IF($F1346="","Account needed","OK")))),IF($C1346="","","PRO PLAN"))</f>
        <v/>
      </c>
    </row>
    <row r="1347" customFormat="false" ht="15" hidden="false" customHeight="false" outlineLevel="0" collapsed="false">
      <c r="A1347" s="55"/>
      <c r="B1347" s="56"/>
      <c r="C1347" s="56"/>
      <c r="D1347" s="56"/>
      <c r="E1347" s="56"/>
      <c r="F1347" s="56"/>
      <c r="G1347" s="58"/>
      <c r="H1347" s="56"/>
      <c r="I1347" s="61" t="str">
        <f aca="false">IF(IsPro,IF(OR($C1347="",N($G1347)=0),"",IF(OR($C1347="Receipt",$C1347="Other Income",$C1347="Capital In",$C1347="Transfer In"),$G1347,0)),"")</f>
        <v/>
      </c>
      <c r="J1347" s="61" t="str">
        <f aca="false">IF(IsPro,IF(OR($C1347="",N($G1347)=0),"",IF(I1347=0,$G1347,0)),"")</f>
        <v/>
      </c>
      <c r="K1347" s="60" t="str">
        <f aca="false">IF(IsPro,IF($C1347="","",IF(AND(OR($C1347="Receipt",$C1347="Payment"),$D1347=""),"Party needed",IF(AND(OR($C1347="Expense",$C1347="Other Income"),$E1347=""),"Head needed",IF($F1347="","Account needed","OK")))),IF($C1347="","","PRO PLAN"))</f>
        <v/>
      </c>
    </row>
    <row r="1348" customFormat="false" ht="15" hidden="false" customHeight="false" outlineLevel="0" collapsed="false">
      <c r="A1348" s="55"/>
      <c r="B1348" s="56"/>
      <c r="C1348" s="56"/>
      <c r="D1348" s="56"/>
      <c r="E1348" s="56"/>
      <c r="F1348" s="56"/>
      <c r="G1348" s="58"/>
      <c r="H1348" s="56"/>
      <c r="I1348" s="61" t="str">
        <f aca="false">IF(IsPro,IF(OR($C1348="",N($G1348)=0),"",IF(OR($C1348="Receipt",$C1348="Other Income",$C1348="Capital In",$C1348="Transfer In"),$G1348,0)),"")</f>
        <v/>
      </c>
      <c r="J1348" s="61" t="str">
        <f aca="false">IF(IsPro,IF(OR($C1348="",N($G1348)=0),"",IF(I1348=0,$G1348,0)),"")</f>
        <v/>
      </c>
      <c r="K1348" s="60" t="str">
        <f aca="false">IF(IsPro,IF($C1348="","",IF(AND(OR($C1348="Receipt",$C1348="Payment"),$D1348=""),"Party needed",IF(AND(OR($C1348="Expense",$C1348="Other Income"),$E1348=""),"Head needed",IF($F1348="","Account needed","OK")))),IF($C1348="","","PRO PLAN"))</f>
        <v/>
      </c>
    </row>
    <row r="1349" customFormat="false" ht="15" hidden="false" customHeight="false" outlineLevel="0" collapsed="false">
      <c r="A1349" s="55"/>
      <c r="B1349" s="56"/>
      <c r="C1349" s="56"/>
      <c r="D1349" s="56"/>
      <c r="E1349" s="56"/>
      <c r="F1349" s="56"/>
      <c r="G1349" s="58"/>
      <c r="H1349" s="56"/>
      <c r="I1349" s="61" t="str">
        <f aca="false">IF(IsPro,IF(OR($C1349="",N($G1349)=0),"",IF(OR($C1349="Receipt",$C1349="Other Income",$C1349="Capital In",$C1349="Transfer In"),$G1349,0)),"")</f>
        <v/>
      </c>
      <c r="J1349" s="61" t="str">
        <f aca="false">IF(IsPro,IF(OR($C1349="",N($G1349)=0),"",IF(I1349=0,$G1349,0)),"")</f>
        <v/>
      </c>
      <c r="K1349" s="60" t="str">
        <f aca="false">IF(IsPro,IF($C1349="","",IF(AND(OR($C1349="Receipt",$C1349="Payment"),$D1349=""),"Party needed",IF(AND(OR($C1349="Expense",$C1349="Other Income"),$E1349=""),"Head needed",IF($F1349="","Account needed","OK")))),IF($C1349="","","PRO PLAN"))</f>
        <v/>
      </c>
    </row>
    <row r="1350" customFormat="false" ht="15" hidden="false" customHeight="false" outlineLevel="0" collapsed="false">
      <c r="A1350" s="55"/>
      <c r="B1350" s="56"/>
      <c r="C1350" s="56"/>
      <c r="D1350" s="56"/>
      <c r="E1350" s="56"/>
      <c r="F1350" s="56"/>
      <c r="G1350" s="58"/>
      <c r="H1350" s="56"/>
      <c r="I1350" s="61" t="str">
        <f aca="false">IF(IsPro,IF(OR($C1350="",N($G1350)=0),"",IF(OR($C1350="Receipt",$C1350="Other Income",$C1350="Capital In",$C1350="Transfer In"),$G1350,0)),"")</f>
        <v/>
      </c>
      <c r="J1350" s="61" t="str">
        <f aca="false">IF(IsPro,IF(OR($C1350="",N($G1350)=0),"",IF(I1350=0,$G1350,0)),"")</f>
        <v/>
      </c>
      <c r="K1350" s="60" t="str">
        <f aca="false">IF(IsPro,IF($C1350="","",IF(AND(OR($C1350="Receipt",$C1350="Payment"),$D1350=""),"Party needed",IF(AND(OR($C1350="Expense",$C1350="Other Income"),$E1350=""),"Head needed",IF($F1350="","Account needed","OK")))),IF($C1350="","","PRO PLAN"))</f>
        <v/>
      </c>
    </row>
    <row r="1351" customFormat="false" ht="15" hidden="false" customHeight="false" outlineLevel="0" collapsed="false">
      <c r="A1351" s="55"/>
      <c r="B1351" s="56"/>
      <c r="C1351" s="56"/>
      <c r="D1351" s="56"/>
      <c r="E1351" s="56"/>
      <c r="F1351" s="56"/>
      <c r="G1351" s="58"/>
      <c r="H1351" s="56"/>
      <c r="I1351" s="61" t="str">
        <f aca="false">IF(IsPro,IF(OR($C1351="",N($G1351)=0),"",IF(OR($C1351="Receipt",$C1351="Other Income",$C1351="Capital In",$C1351="Transfer In"),$G1351,0)),"")</f>
        <v/>
      </c>
      <c r="J1351" s="61" t="str">
        <f aca="false">IF(IsPro,IF(OR($C1351="",N($G1351)=0),"",IF(I1351=0,$G1351,0)),"")</f>
        <v/>
      </c>
      <c r="K1351" s="60" t="str">
        <f aca="false">IF(IsPro,IF($C1351="","",IF(AND(OR($C1351="Receipt",$C1351="Payment"),$D1351=""),"Party needed",IF(AND(OR($C1351="Expense",$C1351="Other Income"),$E1351=""),"Head needed",IF($F1351="","Account needed","OK")))),IF($C1351="","","PRO PLAN"))</f>
        <v/>
      </c>
    </row>
    <row r="1352" customFormat="false" ht="15" hidden="false" customHeight="false" outlineLevel="0" collapsed="false">
      <c r="A1352" s="55"/>
      <c r="B1352" s="56"/>
      <c r="C1352" s="56"/>
      <c r="D1352" s="56"/>
      <c r="E1352" s="56"/>
      <c r="F1352" s="56"/>
      <c r="G1352" s="58"/>
      <c r="H1352" s="56"/>
      <c r="I1352" s="61" t="str">
        <f aca="false">IF(IsPro,IF(OR($C1352="",N($G1352)=0),"",IF(OR($C1352="Receipt",$C1352="Other Income",$C1352="Capital In",$C1352="Transfer In"),$G1352,0)),"")</f>
        <v/>
      </c>
      <c r="J1352" s="61" t="str">
        <f aca="false">IF(IsPro,IF(OR($C1352="",N($G1352)=0),"",IF(I1352=0,$G1352,0)),"")</f>
        <v/>
      </c>
      <c r="K1352" s="60" t="str">
        <f aca="false">IF(IsPro,IF($C1352="","",IF(AND(OR($C1352="Receipt",$C1352="Payment"),$D1352=""),"Party needed",IF(AND(OR($C1352="Expense",$C1352="Other Income"),$E1352=""),"Head needed",IF($F1352="","Account needed","OK")))),IF($C1352="","","PRO PLAN"))</f>
        <v/>
      </c>
    </row>
    <row r="1353" customFormat="false" ht="15" hidden="false" customHeight="false" outlineLevel="0" collapsed="false">
      <c r="A1353" s="55"/>
      <c r="B1353" s="56"/>
      <c r="C1353" s="56"/>
      <c r="D1353" s="56"/>
      <c r="E1353" s="56"/>
      <c r="F1353" s="56"/>
      <c r="G1353" s="58"/>
      <c r="H1353" s="56"/>
      <c r="I1353" s="61" t="str">
        <f aca="false">IF(IsPro,IF(OR($C1353="",N($G1353)=0),"",IF(OR($C1353="Receipt",$C1353="Other Income",$C1353="Capital In",$C1353="Transfer In"),$G1353,0)),"")</f>
        <v/>
      </c>
      <c r="J1353" s="61" t="str">
        <f aca="false">IF(IsPro,IF(OR($C1353="",N($G1353)=0),"",IF(I1353=0,$G1353,0)),"")</f>
        <v/>
      </c>
      <c r="K1353" s="60" t="str">
        <f aca="false">IF(IsPro,IF($C1353="","",IF(AND(OR($C1353="Receipt",$C1353="Payment"),$D1353=""),"Party needed",IF(AND(OR($C1353="Expense",$C1353="Other Income"),$E1353=""),"Head needed",IF($F1353="","Account needed","OK")))),IF($C1353="","","PRO PLAN"))</f>
        <v/>
      </c>
    </row>
    <row r="1354" customFormat="false" ht="15" hidden="false" customHeight="false" outlineLevel="0" collapsed="false">
      <c r="A1354" s="55"/>
      <c r="B1354" s="56"/>
      <c r="C1354" s="56"/>
      <c r="D1354" s="56"/>
      <c r="E1354" s="56"/>
      <c r="F1354" s="56"/>
      <c r="G1354" s="58"/>
      <c r="H1354" s="56"/>
      <c r="I1354" s="61" t="str">
        <f aca="false">IF(IsPro,IF(OR($C1354="",N($G1354)=0),"",IF(OR($C1354="Receipt",$C1354="Other Income",$C1354="Capital In",$C1354="Transfer In"),$G1354,0)),"")</f>
        <v/>
      </c>
      <c r="J1354" s="61" t="str">
        <f aca="false">IF(IsPro,IF(OR($C1354="",N($G1354)=0),"",IF(I1354=0,$G1354,0)),"")</f>
        <v/>
      </c>
      <c r="K1354" s="60" t="str">
        <f aca="false">IF(IsPro,IF($C1354="","",IF(AND(OR($C1354="Receipt",$C1354="Payment"),$D1354=""),"Party needed",IF(AND(OR($C1354="Expense",$C1354="Other Income"),$E1354=""),"Head needed",IF($F1354="","Account needed","OK")))),IF($C1354="","","PRO PLAN"))</f>
        <v/>
      </c>
    </row>
    <row r="1355" customFormat="false" ht="15" hidden="false" customHeight="false" outlineLevel="0" collapsed="false">
      <c r="A1355" s="55"/>
      <c r="B1355" s="56"/>
      <c r="C1355" s="56"/>
      <c r="D1355" s="56"/>
      <c r="E1355" s="56"/>
      <c r="F1355" s="56"/>
      <c r="G1355" s="58"/>
      <c r="H1355" s="56"/>
      <c r="I1355" s="61" t="str">
        <f aca="false">IF(IsPro,IF(OR($C1355="",N($G1355)=0),"",IF(OR($C1355="Receipt",$C1355="Other Income",$C1355="Capital In",$C1355="Transfer In"),$G1355,0)),"")</f>
        <v/>
      </c>
      <c r="J1355" s="61" t="str">
        <f aca="false">IF(IsPro,IF(OR($C1355="",N($G1355)=0),"",IF(I1355=0,$G1355,0)),"")</f>
        <v/>
      </c>
      <c r="K1355" s="60" t="str">
        <f aca="false">IF(IsPro,IF($C1355="","",IF(AND(OR($C1355="Receipt",$C1355="Payment"),$D1355=""),"Party needed",IF(AND(OR($C1355="Expense",$C1355="Other Income"),$E1355=""),"Head needed",IF($F1355="","Account needed","OK")))),IF($C1355="","","PRO PLAN"))</f>
        <v/>
      </c>
    </row>
    <row r="1356" customFormat="false" ht="15" hidden="false" customHeight="false" outlineLevel="0" collapsed="false">
      <c r="A1356" s="55"/>
      <c r="B1356" s="56"/>
      <c r="C1356" s="56"/>
      <c r="D1356" s="56"/>
      <c r="E1356" s="56"/>
      <c r="F1356" s="56"/>
      <c r="G1356" s="58"/>
      <c r="H1356" s="56"/>
      <c r="I1356" s="61" t="str">
        <f aca="false">IF(IsPro,IF(OR($C1356="",N($G1356)=0),"",IF(OR($C1356="Receipt",$C1356="Other Income",$C1356="Capital In",$C1356="Transfer In"),$G1356,0)),"")</f>
        <v/>
      </c>
      <c r="J1356" s="61" t="str">
        <f aca="false">IF(IsPro,IF(OR($C1356="",N($G1356)=0),"",IF(I1356=0,$G1356,0)),"")</f>
        <v/>
      </c>
      <c r="K1356" s="60" t="str">
        <f aca="false">IF(IsPro,IF($C1356="","",IF(AND(OR($C1356="Receipt",$C1356="Payment"),$D1356=""),"Party needed",IF(AND(OR($C1356="Expense",$C1356="Other Income"),$E1356=""),"Head needed",IF($F1356="","Account needed","OK")))),IF($C1356="","","PRO PLAN"))</f>
        <v/>
      </c>
    </row>
    <row r="1357" customFormat="false" ht="15" hidden="false" customHeight="false" outlineLevel="0" collapsed="false">
      <c r="A1357" s="55"/>
      <c r="B1357" s="56"/>
      <c r="C1357" s="56"/>
      <c r="D1357" s="56"/>
      <c r="E1357" s="56"/>
      <c r="F1357" s="56"/>
      <c r="G1357" s="58"/>
      <c r="H1357" s="56"/>
      <c r="I1357" s="61" t="str">
        <f aca="false">IF(IsPro,IF(OR($C1357="",N($G1357)=0),"",IF(OR($C1357="Receipt",$C1357="Other Income",$C1357="Capital In",$C1357="Transfer In"),$G1357,0)),"")</f>
        <v/>
      </c>
      <c r="J1357" s="61" t="str">
        <f aca="false">IF(IsPro,IF(OR($C1357="",N($G1357)=0),"",IF(I1357=0,$G1357,0)),"")</f>
        <v/>
      </c>
      <c r="K1357" s="60" t="str">
        <f aca="false">IF(IsPro,IF($C1357="","",IF(AND(OR($C1357="Receipt",$C1357="Payment"),$D1357=""),"Party needed",IF(AND(OR($C1357="Expense",$C1357="Other Income"),$E1357=""),"Head needed",IF($F1357="","Account needed","OK")))),IF($C1357="","","PRO PLAN"))</f>
        <v/>
      </c>
    </row>
    <row r="1358" customFormat="false" ht="15" hidden="false" customHeight="false" outlineLevel="0" collapsed="false">
      <c r="A1358" s="55"/>
      <c r="B1358" s="56"/>
      <c r="C1358" s="56"/>
      <c r="D1358" s="56"/>
      <c r="E1358" s="56"/>
      <c r="F1358" s="56"/>
      <c r="G1358" s="58"/>
      <c r="H1358" s="56"/>
      <c r="I1358" s="61" t="str">
        <f aca="false">IF(IsPro,IF(OR($C1358="",N($G1358)=0),"",IF(OR($C1358="Receipt",$C1358="Other Income",$C1358="Capital In",$C1358="Transfer In"),$G1358,0)),"")</f>
        <v/>
      </c>
      <c r="J1358" s="61" t="str">
        <f aca="false">IF(IsPro,IF(OR($C1358="",N($G1358)=0),"",IF(I1358=0,$G1358,0)),"")</f>
        <v/>
      </c>
      <c r="K1358" s="60" t="str">
        <f aca="false">IF(IsPro,IF($C1358="","",IF(AND(OR($C1358="Receipt",$C1358="Payment"),$D1358=""),"Party needed",IF(AND(OR($C1358="Expense",$C1358="Other Income"),$E1358=""),"Head needed",IF($F1358="","Account needed","OK")))),IF($C1358="","","PRO PLAN"))</f>
        <v/>
      </c>
    </row>
    <row r="1359" customFormat="false" ht="15" hidden="false" customHeight="false" outlineLevel="0" collapsed="false">
      <c r="A1359" s="55"/>
      <c r="B1359" s="56"/>
      <c r="C1359" s="56"/>
      <c r="D1359" s="56"/>
      <c r="E1359" s="56"/>
      <c r="F1359" s="56"/>
      <c r="G1359" s="58"/>
      <c r="H1359" s="56"/>
      <c r="I1359" s="61" t="str">
        <f aca="false">IF(IsPro,IF(OR($C1359="",N($G1359)=0),"",IF(OR($C1359="Receipt",$C1359="Other Income",$C1359="Capital In",$C1359="Transfer In"),$G1359,0)),"")</f>
        <v/>
      </c>
      <c r="J1359" s="61" t="str">
        <f aca="false">IF(IsPro,IF(OR($C1359="",N($G1359)=0),"",IF(I1359=0,$G1359,0)),"")</f>
        <v/>
      </c>
      <c r="K1359" s="60" t="str">
        <f aca="false">IF(IsPro,IF($C1359="","",IF(AND(OR($C1359="Receipt",$C1359="Payment"),$D1359=""),"Party needed",IF(AND(OR($C1359="Expense",$C1359="Other Income"),$E1359=""),"Head needed",IF($F1359="","Account needed","OK")))),IF($C1359="","","PRO PLAN"))</f>
        <v/>
      </c>
    </row>
    <row r="1360" customFormat="false" ht="15" hidden="false" customHeight="false" outlineLevel="0" collapsed="false">
      <c r="A1360" s="55"/>
      <c r="B1360" s="56"/>
      <c r="C1360" s="56"/>
      <c r="D1360" s="56"/>
      <c r="E1360" s="56"/>
      <c r="F1360" s="56"/>
      <c r="G1360" s="58"/>
      <c r="H1360" s="56"/>
      <c r="I1360" s="61" t="str">
        <f aca="false">IF(IsPro,IF(OR($C1360="",N($G1360)=0),"",IF(OR($C1360="Receipt",$C1360="Other Income",$C1360="Capital In",$C1360="Transfer In"),$G1360,0)),"")</f>
        <v/>
      </c>
      <c r="J1360" s="61" t="str">
        <f aca="false">IF(IsPro,IF(OR($C1360="",N($G1360)=0),"",IF(I1360=0,$G1360,0)),"")</f>
        <v/>
      </c>
      <c r="K1360" s="60" t="str">
        <f aca="false">IF(IsPro,IF($C1360="","",IF(AND(OR($C1360="Receipt",$C1360="Payment"),$D1360=""),"Party needed",IF(AND(OR($C1360="Expense",$C1360="Other Income"),$E1360=""),"Head needed",IF($F1360="","Account needed","OK")))),IF($C1360="","","PRO PLAN"))</f>
        <v/>
      </c>
    </row>
    <row r="1361" customFormat="false" ht="15" hidden="false" customHeight="false" outlineLevel="0" collapsed="false">
      <c r="A1361" s="55"/>
      <c r="B1361" s="56"/>
      <c r="C1361" s="56"/>
      <c r="D1361" s="56"/>
      <c r="E1361" s="56"/>
      <c r="F1361" s="56"/>
      <c r="G1361" s="58"/>
      <c r="H1361" s="56"/>
      <c r="I1361" s="61" t="str">
        <f aca="false">IF(IsPro,IF(OR($C1361="",N($G1361)=0),"",IF(OR($C1361="Receipt",$C1361="Other Income",$C1361="Capital In",$C1361="Transfer In"),$G1361,0)),"")</f>
        <v/>
      </c>
      <c r="J1361" s="61" t="str">
        <f aca="false">IF(IsPro,IF(OR($C1361="",N($G1361)=0),"",IF(I1361=0,$G1361,0)),"")</f>
        <v/>
      </c>
      <c r="K1361" s="60" t="str">
        <f aca="false">IF(IsPro,IF($C1361="","",IF(AND(OR($C1361="Receipt",$C1361="Payment"),$D1361=""),"Party needed",IF(AND(OR($C1361="Expense",$C1361="Other Income"),$E1361=""),"Head needed",IF($F1361="","Account needed","OK")))),IF($C1361="","","PRO PLAN"))</f>
        <v/>
      </c>
    </row>
    <row r="1362" customFormat="false" ht="15" hidden="false" customHeight="false" outlineLevel="0" collapsed="false">
      <c r="A1362" s="55"/>
      <c r="B1362" s="56"/>
      <c r="C1362" s="56"/>
      <c r="D1362" s="56"/>
      <c r="E1362" s="56"/>
      <c r="F1362" s="56"/>
      <c r="G1362" s="58"/>
      <c r="H1362" s="56"/>
      <c r="I1362" s="61" t="str">
        <f aca="false">IF(IsPro,IF(OR($C1362="",N($G1362)=0),"",IF(OR($C1362="Receipt",$C1362="Other Income",$C1362="Capital In",$C1362="Transfer In"),$G1362,0)),"")</f>
        <v/>
      </c>
      <c r="J1362" s="61" t="str">
        <f aca="false">IF(IsPro,IF(OR($C1362="",N($G1362)=0),"",IF(I1362=0,$G1362,0)),"")</f>
        <v/>
      </c>
      <c r="K1362" s="60" t="str">
        <f aca="false">IF(IsPro,IF($C1362="","",IF(AND(OR($C1362="Receipt",$C1362="Payment"),$D1362=""),"Party needed",IF(AND(OR($C1362="Expense",$C1362="Other Income"),$E1362=""),"Head needed",IF($F1362="","Account needed","OK")))),IF($C1362="","","PRO PLAN"))</f>
        <v/>
      </c>
    </row>
    <row r="1363" customFormat="false" ht="15" hidden="false" customHeight="false" outlineLevel="0" collapsed="false">
      <c r="A1363" s="55"/>
      <c r="B1363" s="56"/>
      <c r="C1363" s="56"/>
      <c r="D1363" s="56"/>
      <c r="E1363" s="56"/>
      <c r="F1363" s="56"/>
      <c r="G1363" s="58"/>
      <c r="H1363" s="56"/>
      <c r="I1363" s="61" t="str">
        <f aca="false">IF(IsPro,IF(OR($C1363="",N($G1363)=0),"",IF(OR($C1363="Receipt",$C1363="Other Income",$C1363="Capital In",$C1363="Transfer In"),$G1363,0)),"")</f>
        <v/>
      </c>
      <c r="J1363" s="61" t="str">
        <f aca="false">IF(IsPro,IF(OR($C1363="",N($G1363)=0),"",IF(I1363=0,$G1363,0)),"")</f>
        <v/>
      </c>
      <c r="K1363" s="60" t="str">
        <f aca="false">IF(IsPro,IF($C1363="","",IF(AND(OR($C1363="Receipt",$C1363="Payment"),$D1363=""),"Party needed",IF(AND(OR($C1363="Expense",$C1363="Other Income"),$E1363=""),"Head needed",IF($F1363="","Account needed","OK")))),IF($C1363="","","PRO PLAN"))</f>
        <v/>
      </c>
    </row>
    <row r="1364" customFormat="false" ht="15" hidden="false" customHeight="false" outlineLevel="0" collapsed="false">
      <c r="A1364" s="55"/>
      <c r="B1364" s="56"/>
      <c r="C1364" s="56"/>
      <c r="D1364" s="56"/>
      <c r="E1364" s="56"/>
      <c r="F1364" s="56"/>
      <c r="G1364" s="58"/>
      <c r="H1364" s="56"/>
      <c r="I1364" s="61" t="str">
        <f aca="false">IF(IsPro,IF(OR($C1364="",N($G1364)=0),"",IF(OR($C1364="Receipt",$C1364="Other Income",$C1364="Capital In",$C1364="Transfer In"),$G1364,0)),"")</f>
        <v/>
      </c>
      <c r="J1364" s="61" t="str">
        <f aca="false">IF(IsPro,IF(OR($C1364="",N($G1364)=0),"",IF(I1364=0,$G1364,0)),"")</f>
        <v/>
      </c>
      <c r="K1364" s="60" t="str">
        <f aca="false">IF(IsPro,IF($C1364="","",IF(AND(OR($C1364="Receipt",$C1364="Payment"),$D1364=""),"Party needed",IF(AND(OR($C1364="Expense",$C1364="Other Income"),$E1364=""),"Head needed",IF($F1364="","Account needed","OK")))),IF($C1364="","","PRO PLAN"))</f>
        <v/>
      </c>
    </row>
    <row r="1365" customFormat="false" ht="15" hidden="false" customHeight="false" outlineLevel="0" collapsed="false">
      <c r="A1365" s="55"/>
      <c r="B1365" s="56"/>
      <c r="C1365" s="56"/>
      <c r="D1365" s="56"/>
      <c r="E1365" s="56"/>
      <c r="F1365" s="56"/>
      <c r="G1365" s="58"/>
      <c r="H1365" s="56"/>
      <c r="I1365" s="61" t="str">
        <f aca="false">IF(IsPro,IF(OR($C1365="",N($G1365)=0),"",IF(OR($C1365="Receipt",$C1365="Other Income",$C1365="Capital In",$C1365="Transfer In"),$G1365,0)),"")</f>
        <v/>
      </c>
      <c r="J1365" s="61" t="str">
        <f aca="false">IF(IsPro,IF(OR($C1365="",N($G1365)=0),"",IF(I1365=0,$G1365,0)),"")</f>
        <v/>
      </c>
      <c r="K1365" s="60" t="str">
        <f aca="false">IF(IsPro,IF($C1365="","",IF(AND(OR($C1365="Receipt",$C1365="Payment"),$D1365=""),"Party needed",IF(AND(OR($C1365="Expense",$C1365="Other Income"),$E1365=""),"Head needed",IF($F1365="","Account needed","OK")))),IF($C1365="","","PRO PLAN"))</f>
        <v/>
      </c>
    </row>
    <row r="1366" customFormat="false" ht="15" hidden="false" customHeight="false" outlineLevel="0" collapsed="false">
      <c r="A1366" s="55"/>
      <c r="B1366" s="56"/>
      <c r="C1366" s="56"/>
      <c r="D1366" s="56"/>
      <c r="E1366" s="56"/>
      <c r="F1366" s="56"/>
      <c r="G1366" s="58"/>
      <c r="H1366" s="56"/>
      <c r="I1366" s="61" t="str">
        <f aca="false">IF(IsPro,IF(OR($C1366="",N($G1366)=0),"",IF(OR($C1366="Receipt",$C1366="Other Income",$C1366="Capital In",$C1366="Transfer In"),$G1366,0)),"")</f>
        <v/>
      </c>
      <c r="J1366" s="61" t="str">
        <f aca="false">IF(IsPro,IF(OR($C1366="",N($G1366)=0),"",IF(I1366=0,$G1366,0)),"")</f>
        <v/>
      </c>
      <c r="K1366" s="60" t="str">
        <f aca="false">IF(IsPro,IF($C1366="","",IF(AND(OR($C1366="Receipt",$C1366="Payment"),$D1366=""),"Party needed",IF(AND(OR($C1366="Expense",$C1366="Other Income"),$E1366=""),"Head needed",IF($F1366="","Account needed","OK")))),IF($C1366="","","PRO PLAN"))</f>
        <v/>
      </c>
    </row>
    <row r="1367" customFormat="false" ht="15" hidden="false" customHeight="false" outlineLevel="0" collapsed="false">
      <c r="A1367" s="55"/>
      <c r="B1367" s="56"/>
      <c r="C1367" s="56"/>
      <c r="D1367" s="56"/>
      <c r="E1367" s="56"/>
      <c r="F1367" s="56"/>
      <c r="G1367" s="58"/>
      <c r="H1367" s="56"/>
      <c r="I1367" s="61" t="str">
        <f aca="false">IF(IsPro,IF(OR($C1367="",N($G1367)=0),"",IF(OR($C1367="Receipt",$C1367="Other Income",$C1367="Capital In",$C1367="Transfer In"),$G1367,0)),"")</f>
        <v/>
      </c>
      <c r="J1367" s="61" t="str">
        <f aca="false">IF(IsPro,IF(OR($C1367="",N($G1367)=0),"",IF(I1367=0,$G1367,0)),"")</f>
        <v/>
      </c>
      <c r="K1367" s="60" t="str">
        <f aca="false">IF(IsPro,IF($C1367="","",IF(AND(OR($C1367="Receipt",$C1367="Payment"),$D1367=""),"Party needed",IF(AND(OR($C1367="Expense",$C1367="Other Income"),$E1367=""),"Head needed",IF($F1367="","Account needed","OK")))),IF($C1367="","","PRO PLAN"))</f>
        <v/>
      </c>
    </row>
    <row r="1368" customFormat="false" ht="15" hidden="false" customHeight="false" outlineLevel="0" collapsed="false">
      <c r="A1368" s="55"/>
      <c r="B1368" s="56"/>
      <c r="C1368" s="56"/>
      <c r="D1368" s="56"/>
      <c r="E1368" s="56"/>
      <c r="F1368" s="56"/>
      <c r="G1368" s="58"/>
      <c r="H1368" s="56"/>
      <c r="I1368" s="61" t="str">
        <f aca="false">IF(IsPro,IF(OR($C1368="",N($G1368)=0),"",IF(OR($C1368="Receipt",$C1368="Other Income",$C1368="Capital In",$C1368="Transfer In"),$G1368,0)),"")</f>
        <v/>
      </c>
      <c r="J1368" s="61" t="str">
        <f aca="false">IF(IsPro,IF(OR($C1368="",N($G1368)=0),"",IF(I1368=0,$G1368,0)),"")</f>
        <v/>
      </c>
      <c r="K1368" s="60" t="str">
        <f aca="false">IF(IsPro,IF($C1368="","",IF(AND(OR($C1368="Receipt",$C1368="Payment"),$D1368=""),"Party needed",IF(AND(OR($C1368="Expense",$C1368="Other Income"),$E1368=""),"Head needed",IF($F1368="","Account needed","OK")))),IF($C1368="","","PRO PLAN"))</f>
        <v/>
      </c>
    </row>
    <row r="1369" customFormat="false" ht="15" hidden="false" customHeight="false" outlineLevel="0" collapsed="false">
      <c r="A1369" s="55"/>
      <c r="B1369" s="56"/>
      <c r="C1369" s="56"/>
      <c r="D1369" s="56"/>
      <c r="E1369" s="56"/>
      <c r="F1369" s="56"/>
      <c r="G1369" s="58"/>
      <c r="H1369" s="56"/>
      <c r="I1369" s="61" t="str">
        <f aca="false">IF(IsPro,IF(OR($C1369="",N($G1369)=0),"",IF(OR($C1369="Receipt",$C1369="Other Income",$C1369="Capital In",$C1369="Transfer In"),$G1369,0)),"")</f>
        <v/>
      </c>
      <c r="J1369" s="61" t="str">
        <f aca="false">IF(IsPro,IF(OR($C1369="",N($G1369)=0),"",IF(I1369=0,$G1369,0)),"")</f>
        <v/>
      </c>
      <c r="K1369" s="60" t="str">
        <f aca="false">IF(IsPro,IF($C1369="","",IF(AND(OR($C1369="Receipt",$C1369="Payment"),$D1369=""),"Party needed",IF(AND(OR($C1369="Expense",$C1369="Other Income"),$E1369=""),"Head needed",IF($F1369="","Account needed","OK")))),IF($C1369="","","PRO PLAN"))</f>
        <v/>
      </c>
    </row>
    <row r="1370" customFormat="false" ht="15" hidden="false" customHeight="false" outlineLevel="0" collapsed="false">
      <c r="A1370" s="55"/>
      <c r="B1370" s="56"/>
      <c r="C1370" s="56"/>
      <c r="D1370" s="56"/>
      <c r="E1370" s="56"/>
      <c r="F1370" s="56"/>
      <c r="G1370" s="58"/>
      <c r="H1370" s="56"/>
      <c r="I1370" s="61" t="str">
        <f aca="false">IF(IsPro,IF(OR($C1370="",N($G1370)=0),"",IF(OR($C1370="Receipt",$C1370="Other Income",$C1370="Capital In",$C1370="Transfer In"),$G1370,0)),"")</f>
        <v/>
      </c>
      <c r="J1370" s="61" t="str">
        <f aca="false">IF(IsPro,IF(OR($C1370="",N($G1370)=0),"",IF(I1370=0,$G1370,0)),"")</f>
        <v/>
      </c>
      <c r="K1370" s="60" t="str">
        <f aca="false">IF(IsPro,IF($C1370="","",IF(AND(OR($C1370="Receipt",$C1370="Payment"),$D1370=""),"Party needed",IF(AND(OR($C1370="Expense",$C1370="Other Income"),$E1370=""),"Head needed",IF($F1370="","Account needed","OK")))),IF($C1370="","","PRO PLAN"))</f>
        <v/>
      </c>
    </row>
    <row r="1371" customFormat="false" ht="15" hidden="false" customHeight="false" outlineLevel="0" collapsed="false">
      <c r="A1371" s="55"/>
      <c r="B1371" s="56"/>
      <c r="C1371" s="56"/>
      <c r="D1371" s="56"/>
      <c r="E1371" s="56"/>
      <c r="F1371" s="56"/>
      <c r="G1371" s="58"/>
      <c r="H1371" s="56"/>
      <c r="I1371" s="61" t="str">
        <f aca="false">IF(IsPro,IF(OR($C1371="",N($G1371)=0),"",IF(OR($C1371="Receipt",$C1371="Other Income",$C1371="Capital In",$C1371="Transfer In"),$G1371,0)),"")</f>
        <v/>
      </c>
      <c r="J1371" s="61" t="str">
        <f aca="false">IF(IsPro,IF(OR($C1371="",N($G1371)=0),"",IF(I1371=0,$G1371,0)),"")</f>
        <v/>
      </c>
      <c r="K1371" s="60" t="str">
        <f aca="false">IF(IsPro,IF($C1371="","",IF(AND(OR($C1371="Receipt",$C1371="Payment"),$D1371=""),"Party needed",IF(AND(OR($C1371="Expense",$C1371="Other Income"),$E1371=""),"Head needed",IF($F1371="","Account needed","OK")))),IF($C1371="","","PRO PLAN"))</f>
        <v/>
      </c>
    </row>
    <row r="1372" customFormat="false" ht="15" hidden="false" customHeight="false" outlineLevel="0" collapsed="false">
      <c r="A1372" s="55"/>
      <c r="B1372" s="56"/>
      <c r="C1372" s="56"/>
      <c r="D1372" s="56"/>
      <c r="E1372" s="56"/>
      <c r="F1372" s="56"/>
      <c r="G1372" s="58"/>
      <c r="H1372" s="56"/>
      <c r="I1372" s="61" t="str">
        <f aca="false">IF(IsPro,IF(OR($C1372="",N($G1372)=0),"",IF(OR($C1372="Receipt",$C1372="Other Income",$C1372="Capital In",$C1372="Transfer In"),$G1372,0)),"")</f>
        <v/>
      </c>
      <c r="J1372" s="61" t="str">
        <f aca="false">IF(IsPro,IF(OR($C1372="",N($G1372)=0),"",IF(I1372=0,$G1372,0)),"")</f>
        <v/>
      </c>
      <c r="K1372" s="60" t="str">
        <f aca="false">IF(IsPro,IF($C1372="","",IF(AND(OR($C1372="Receipt",$C1372="Payment"),$D1372=""),"Party needed",IF(AND(OR($C1372="Expense",$C1372="Other Income"),$E1372=""),"Head needed",IF($F1372="","Account needed","OK")))),IF($C1372="","","PRO PLAN"))</f>
        <v/>
      </c>
    </row>
    <row r="1373" customFormat="false" ht="15" hidden="false" customHeight="false" outlineLevel="0" collapsed="false">
      <c r="A1373" s="55"/>
      <c r="B1373" s="56"/>
      <c r="C1373" s="56"/>
      <c r="D1373" s="56"/>
      <c r="E1373" s="56"/>
      <c r="F1373" s="56"/>
      <c r="G1373" s="58"/>
      <c r="H1373" s="56"/>
      <c r="I1373" s="61" t="str">
        <f aca="false">IF(IsPro,IF(OR($C1373="",N($G1373)=0),"",IF(OR($C1373="Receipt",$C1373="Other Income",$C1373="Capital In",$C1373="Transfer In"),$G1373,0)),"")</f>
        <v/>
      </c>
      <c r="J1373" s="61" t="str">
        <f aca="false">IF(IsPro,IF(OR($C1373="",N($G1373)=0),"",IF(I1373=0,$G1373,0)),"")</f>
        <v/>
      </c>
      <c r="K1373" s="60" t="str">
        <f aca="false">IF(IsPro,IF($C1373="","",IF(AND(OR($C1373="Receipt",$C1373="Payment"),$D1373=""),"Party needed",IF(AND(OR($C1373="Expense",$C1373="Other Income"),$E1373=""),"Head needed",IF($F1373="","Account needed","OK")))),IF($C1373="","","PRO PLAN"))</f>
        <v/>
      </c>
    </row>
    <row r="1374" customFormat="false" ht="15" hidden="false" customHeight="false" outlineLevel="0" collapsed="false">
      <c r="A1374" s="55"/>
      <c r="B1374" s="56"/>
      <c r="C1374" s="56"/>
      <c r="D1374" s="56"/>
      <c r="E1374" s="56"/>
      <c r="F1374" s="56"/>
      <c r="G1374" s="58"/>
      <c r="H1374" s="56"/>
      <c r="I1374" s="61" t="str">
        <f aca="false">IF(IsPro,IF(OR($C1374="",N($G1374)=0),"",IF(OR($C1374="Receipt",$C1374="Other Income",$C1374="Capital In",$C1374="Transfer In"),$G1374,0)),"")</f>
        <v/>
      </c>
      <c r="J1374" s="61" t="str">
        <f aca="false">IF(IsPro,IF(OR($C1374="",N($G1374)=0),"",IF(I1374=0,$G1374,0)),"")</f>
        <v/>
      </c>
      <c r="K1374" s="60" t="str">
        <f aca="false">IF(IsPro,IF($C1374="","",IF(AND(OR($C1374="Receipt",$C1374="Payment"),$D1374=""),"Party needed",IF(AND(OR($C1374="Expense",$C1374="Other Income"),$E1374=""),"Head needed",IF($F1374="","Account needed","OK")))),IF($C1374="","","PRO PLAN"))</f>
        <v/>
      </c>
    </row>
    <row r="1375" customFormat="false" ht="15" hidden="false" customHeight="false" outlineLevel="0" collapsed="false">
      <c r="A1375" s="55"/>
      <c r="B1375" s="56"/>
      <c r="C1375" s="56"/>
      <c r="D1375" s="56"/>
      <c r="E1375" s="56"/>
      <c r="F1375" s="56"/>
      <c r="G1375" s="58"/>
      <c r="H1375" s="56"/>
      <c r="I1375" s="61" t="str">
        <f aca="false">IF(IsPro,IF(OR($C1375="",N($G1375)=0),"",IF(OR($C1375="Receipt",$C1375="Other Income",$C1375="Capital In",$C1375="Transfer In"),$G1375,0)),"")</f>
        <v/>
      </c>
      <c r="J1375" s="61" t="str">
        <f aca="false">IF(IsPro,IF(OR($C1375="",N($G1375)=0),"",IF(I1375=0,$G1375,0)),"")</f>
        <v/>
      </c>
      <c r="K1375" s="60" t="str">
        <f aca="false">IF(IsPro,IF($C1375="","",IF(AND(OR($C1375="Receipt",$C1375="Payment"),$D1375=""),"Party needed",IF(AND(OR($C1375="Expense",$C1375="Other Income"),$E1375=""),"Head needed",IF($F1375="","Account needed","OK")))),IF($C1375="","","PRO PLAN"))</f>
        <v/>
      </c>
    </row>
    <row r="1376" customFormat="false" ht="15" hidden="false" customHeight="false" outlineLevel="0" collapsed="false">
      <c r="A1376" s="55"/>
      <c r="B1376" s="56"/>
      <c r="C1376" s="56"/>
      <c r="D1376" s="56"/>
      <c r="E1376" s="56"/>
      <c r="F1376" s="56"/>
      <c r="G1376" s="58"/>
      <c r="H1376" s="56"/>
      <c r="I1376" s="61" t="str">
        <f aca="false">IF(IsPro,IF(OR($C1376="",N($G1376)=0),"",IF(OR($C1376="Receipt",$C1376="Other Income",$C1376="Capital In",$C1376="Transfer In"),$G1376,0)),"")</f>
        <v/>
      </c>
      <c r="J1376" s="61" t="str">
        <f aca="false">IF(IsPro,IF(OR($C1376="",N($G1376)=0),"",IF(I1376=0,$G1376,0)),"")</f>
        <v/>
      </c>
      <c r="K1376" s="60" t="str">
        <f aca="false">IF(IsPro,IF($C1376="","",IF(AND(OR($C1376="Receipt",$C1376="Payment"),$D1376=""),"Party needed",IF(AND(OR($C1376="Expense",$C1376="Other Income"),$E1376=""),"Head needed",IF($F1376="","Account needed","OK")))),IF($C1376="","","PRO PLAN"))</f>
        <v/>
      </c>
    </row>
    <row r="1377" customFormat="false" ht="15" hidden="false" customHeight="false" outlineLevel="0" collapsed="false">
      <c r="A1377" s="55"/>
      <c r="B1377" s="56"/>
      <c r="C1377" s="56"/>
      <c r="D1377" s="56"/>
      <c r="E1377" s="56"/>
      <c r="F1377" s="56"/>
      <c r="G1377" s="58"/>
      <c r="H1377" s="56"/>
      <c r="I1377" s="61" t="str">
        <f aca="false">IF(IsPro,IF(OR($C1377="",N($G1377)=0),"",IF(OR($C1377="Receipt",$C1377="Other Income",$C1377="Capital In",$C1377="Transfer In"),$G1377,0)),"")</f>
        <v/>
      </c>
      <c r="J1377" s="61" t="str">
        <f aca="false">IF(IsPro,IF(OR($C1377="",N($G1377)=0),"",IF(I1377=0,$G1377,0)),"")</f>
        <v/>
      </c>
      <c r="K1377" s="60" t="str">
        <f aca="false">IF(IsPro,IF($C1377="","",IF(AND(OR($C1377="Receipt",$C1377="Payment"),$D1377=""),"Party needed",IF(AND(OR($C1377="Expense",$C1377="Other Income"),$E1377=""),"Head needed",IF($F1377="","Account needed","OK")))),IF($C1377="","","PRO PLAN"))</f>
        <v/>
      </c>
    </row>
    <row r="1378" customFormat="false" ht="15" hidden="false" customHeight="false" outlineLevel="0" collapsed="false">
      <c r="A1378" s="55"/>
      <c r="B1378" s="56"/>
      <c r="C1378" s="56"/>
      <c r="D1378" s="56"/>
      <c r="E1378" s="56"/>
      <c r="F1378" s="56"/>
      <c r="G1378" s="58"/>
      <c r="H1378" s="56"/>
      <c r="I1378" s="61" t="str">
        <f aca="false">IF(IsPro,IF(OR($C1378="",N($G1378)=0),"",IF(OR($C1378="Receipt",$C1378="Other Income",$C1378="Capital In",$C1378="Transfer In"),$G1378,0)),"")</f>
        <v/>
      </c>
      <c r="J1378" s="61" t="str">
        <f aca="false">IF(IsPro,IF(OR($C1378="",N($G1378)=0),"",IF(I1378=0,$G1378,0)),"")</f>
        <v/>
      </c>
      <c r="K1378" s="60" t="str">
        <f aca="false">IF(IsPro,IF($C1378="","",IF(AND(OR($C1378="Receipt",$C1378="Payment"),$D1378=""),"Party needed",IF(AND(OR($C1378="Expense",$C1378="Other Income"),$E1378=""),"Head needed",IF($F1378="","Account needed","OK")))),IF($C1378="","","PRO PLAN"))</f>
        <v/>
      </c>
    </row>
    <row r="1379" customFormat="false" ht="15" hidden="false" customHeight="false" outlineLevel="0" collapsed="false">
      <c r="A1379" s="55"/>
      <c r="B1379" s="56"/>
      <c r="C1379" s="56"/>
      <c r="D1379" s="56"/>
      <c r="E1379" s="56"/>
      <c r="F1379" s="56"/>
      <c r="G1379" s="58"/>
      <c r="H1379" s="56"/>
      <c r="I1379" s="61" t="str">
        <f aca="false">IF(IsPro,IF(OR($C1379="",N($G1379)=0),"",IF(OR($C1379="Receipt",$C1379="Other Income",$C1379="Capital In",$C1379="Transfer In"),$G1379,0)),"")</f>
        <v/>
      </c>
      <c r="J1379" s="61" t="str">
        <f aca="false">IF(IsPro,IF(OR($C1379="",N($G1379)=0),"",IF(I1379=0,$G1379,0)),"")</f>
        <v/>
      </c>
      <c r="K1379" s="60" t="str">
        <f aca="false">IF(IsPro,IF($C1379="","",IF(AND(OR($C1379="Receipt",$C1379="Payment"),$D1379=""),"Party needed",IF(AND(OR($C1379="Expense",$C1379="Other Income"),$E1379=""),"Head needed",IF($F1379="","Account needed","OK")))),IF($C1379="","","PRO PLAN"))</f>
        <v/>
      </c>
    </row>
    <row r="1380" customFormat="false" ht="15" hidden="false" customHeight="false" outlineLevel="0" collapsed="false">
      <c r="A1380" s="55"/>
      <c r="B1380" s="56"/>
      <c r="C1380" s="56"/>
      <c r="D1380" s="56"/>
      <c r="E1380" s="56"/>
      <c r="F1380" s="56"/>
      <c r="G1380" s="58"/>
      <c r="H1380" s="56"/>
      <c r="I1380" s="61" t="str">
        <f aca="false">IF(IsPro,IF(OR($C1380="",N($G1380)=0),"",IF(OR($C1380="Receipt",$C1380="Other Income",$C1380="Capital In",$C1380="Transfer In"),$G1380,0)),"")</f>
        <v/>
      </c>
      <c r="J1380" s="61" t="str">
        <f aca="false">IF(IsPro,IF(OR($C1380="",N($G1380)=0),"",IF(I1380=0,$G1380,0)),"")</f>
        <v/>
      </c>
      <c r="K1380" s="60" t="str">
        <f aca="false">IF(IsPro,IF($C1380="","",IF(AND(OR($C1380="Receipt",$C1380="Payment"),$D1380=""),"Party needed",IF(AND(OR($C1380="Expense",$C1380="Other Income"),$E1380=""),"Head needed",IF($F1380="","Account needed","OK")))),IF($C1380="","","PRO PLAN"))</f>
        <v/>
      </c>
    </row>
    <row r="1381" customFormat="false" ht="15" hidden="false" customHeight="false" outlineLevel="0" collapsed="false">
      <c r="A1381" s="55"/>
      <c r="B1381" s="56"/>
      <c r="C1381" s="56"/>
      <c r="D1381" s="56"/>
      <c r="E1381" s="56"/>
      <c r="F1381" s="56"/>
      <c r="G1381" s="58"/>
      <c r="H1381" s="56"/>
      <c r="I1381" s="61" t="str">
        <f aca="false">IF(IsPro,IF(OR($C1381="",N($G1381)=0),"",IF(OR($C1381="Receipt",$C1381="Other Income",$C1381="Capital In",$C1381="Transfer In"),$G1381,0)),"")</f>
        <v/>
      </c>
      <c r="J1381" s="61" t="str">
        <f aca="false">IF(IsPro,IF(OR($C1381="",N($G1381)=0),"",IF(I1381=0,$G1381,0)),"")</f>
        <v/>
      </c>
      <c r="K1381" s="60" t="str">
        <f aca="false">IF(IsPro,IF($C1381="","",IF(AND(OR($C1381="Receipt",$C1381="Payment"),$D1381=""),"Party needed",IF(AND(OR($C1381="Expense",$C1381="Other Income"),$E1381=""),"Head needed",IF($F1381="","Account needed","OK")))),IF($C1381="","","PRO PLAN"))</f>
        <v/>
      </c>
    </row>
    <row r="1382" customFormat="false" ht="15" hidden="false" customHeight="false" outlineLevel="0" collapsed="false">
      <c r="A1382" s="55"/>
      <c r="B1382" s="56"/>
      <c r="C1382" s="56"/>
      <c r="D1382" s="56"/>
      <c r="E1382" s="56"/>
      <c r="F1382" s="56"/>
      <c r="G1382" s="58"/>
      <c r="H1382" s="56"/>
      <c r="I1382" s="61" t="str">
        <f aca="false">IF(IsPro,IF(OR($C1382="",N($G1382)=0),"",IF(OR($C1382="Receipt",$C1382="Other Income",$C1382="Capital In",$C1382="Transfer In"),$G1382,0)),"")</f>
        <v/>
      </c>
      <c r="J1382" s="61" t="str">
        <f aca="false">IF(IsPro,IF(OR($C1382="",N($G1382)=0),"",IF(I1382=0,$G1382,0)),"")</f>
        <v/>
      </c>
      <c r="K1382" s="60" t="str">
        <f aca="false">IF(IsPro,IF($C1382="","",IF(AND(OR($C1382="Receipt",$C1382="Payment"),$D1382=""),"Party needed",IF(AND(OR($C1382="Expense",$C1382="Other Income"),$E1382=""),"Head needed",IF($F1382="","Account needed","OK")))),IF($C1382="","","PRO PLAN"))</f>
        <v/>
      </c>
    </row>
    <row r="1383" customFormat="false" ht="15" hidden="false" customHeight="false" outlineLevel="0" collapsed="false">
      <c r="A1383" s="55"/>
      <c r="B1383" s="56"/>
      <c r="C1383" s="56"/>
      <c r="D1383" s="56"/>
      <c r="E1383" s="56"/>
      <c r="F1383" s="56"/>
      <c r="G1383" s="58"/>
      <c r="H1383" s="56"/>
      <c r="I1383" s="61" t="str">
        <f aca="false">IF(IsPro,IF(OR($C1383="",N($G1383)=0),"",IF(OR($C1383="Receipt",$C1383="Other Income",$C1383="Capital In",$C1383="Transfer In"),$G1383,0)),"")</f>
        <v/>
      </c>
      <c r="J1383" s="61" t="str">
        <f aca="false">IF(IsPro,IF(OR($C1383="",N($G1383)=0),"",IF(I1383=0,$G1383,0)),"")</f>
        <v/>
      </c>
      <c r="K1383" s="60" t="str">
        <f aca="false">IF(IsPro,IF($C1383="","",IF(AND(OR($C1383="Receipt",$C1383="Payment"),$D1383=""),"Party needed",IF(AND(OR($C1383="Expense",$C1383="Other Income"),$E1383=""),"Head needed",IF($F1383="","Account needed","OK")))),IF($C1383="","","PRO PLAN"))</f>
        <v/>
      </c>
    </row>
    <row r="1384" customFormat="false" ht="15" hidden="false" customHeight="false" outlineLevel="0" collapsed="false">
      <c r="A1384" s="55"/>
      <c r="B1384" s="56"/>
      <c r="C1384" s="56"/>
      <c r="D1384" s="56"/>
      <c r="E1384" s="56"/>
      <c r="F1384" s="56"/>
      <c r="G1384" s="58"/>
      <c r="H1384" s="56"/>
      <c r="I1384" s="61" t="str">
        <f aca="false">IF(IsPro,IF(OR($C1384="",N($G1384)=0),"",IF(OR($C1384="Receipt",$C1384="Other Income",$C1384="Capital In",$C1384="Transfer In"),$G1384,0)),"")</f>
        <v/>
      </c>
      <c r="J1384" s="61" t="str">
        <f aca="false">IF(IsPro,IF(OR($C1384="",N($G1384)=0),"",IF(I1384=0,$G1384,0)),"")</f>
        <v/>
      </c>
      <c r="K1384" s="60" t="str">
        <f aca="false">IF(IsPro,IF($C1384="","",IF(AND(OR($C1384="Receipt",$C1384="Payment"),$D1384=""),"Party needed",IF(AND(OR($C1384="Expense",$C1384="Other Income"),$E1384=""),"Head needed",IF($F1384="","Account needed","OK")))),IF($C1384="","","PRO PLAN"))</f>
        <v/>
      </c>
    </row>
    <row r="1385" customFormat="false" ht="15" hidden="false" customHeight="false" outlineLevel="0" collapsed="false">
      <c r="A1385" s="55"/>
      <c r="B1385" s="56"/>
      <c r="C1385" s="56"/>
      <c r="D1385" s="56"/>
      <c r="E1385" s="56"/>
      <c r="F1385" s="56"/>
      <c r="G1385" s="58"/>
      <c r="H1385" s="56"/>
      <c r="I1385" s="61" t="str">
        <f aca="false">IF(IsPro,IF(OR($C1385="",N($G1385)=0),"",IF(OR($C1385="Receipt",$C1385="Other Income",$C1385="Capital In",$C1385="Transfer In"),$G1385,0)),"")</f>
        <v/>
      </c>
      <c r="J1385" s="61" t="str">
        <f aca="false">IF(IsPro,IF(OR($C1385="",N($G1385)=0),"",IF(I1385=0,$G1385,0)),"")</f>
        <v/>
      </c>
      <c r="K1385" s="60" t="str">
        <f aca="false">IF(IsPro,IF($C1385="","",IF(AND(OR($C1385="Receipt",$C1385="Payment"),$D1385=""),"Party needed",IF(AND(OR($C1385="Expense",$C1385="Other Income"),$E1385=""),"Head needed",IF($F1385="","Account needed","OK")))),IF($C1385="","","PRO PLAN"))</f>
        <v/>
      </c>
    </row>
    <row r="1386" customFormat="false" ht="15" hidden="false" customHeight="false" outlineLevel="0" collapsed="false">
      <c r="A1386" s="55"/>
      <c r="B1386" s="56"/>
      <c r="C1386" s="56"/>
      <c r="D1386" s="56"/>
      <c r="E1386" s="56"/>
      <c r="F1386" s="56"/>
      <c r="G1386" s="58"/>
      <c r="H1386" s="56"/>
      <c r="I1386" s="61" t="str">
        <f aca="false">IF(IsPro,IF(OR($C1386="",N($G1386)=0),"",IF(OR($C1386="Receipt",$C1386="Other Income",$C1386="Capital In",$C1386="Transfer In"),$G1386,0)),"")</f>
        <v/>
      </c>
      <c r="J1386" s="61" t="str">
        <f aca="false">IF(IsPro,IF(OR($C1386="",N($G1386)=0),"",IF(I1386=0,$G1386,0)),"")</f>
        <v/>
      </c>
      <c r="K1386" s="60" t="str">
        <f aca="false">IF(IsPro,IF($C1386="","",IF(AND(OR($C1386="Receipt",$C1386="Payment"),$D1386=""),"Party needed",IF(AND(OR($C1386="Expense",$C1386="Other Income"),$E1386=""),"Head needed",IF($F1386="","Account needed","OK")))),IF($C1386="","","PRO PLAN"))</f>
        <v/>
      </c>
    </row>
    <row r="1387" customFormat="false" ht="15" hidden="false" customHeight="false" outlineLevel="0" collapsed="false">
      <c r="A1387" s="55"/>
      <c r="B1387" s="56"/>
      <c r="C1387" s="56"/>
      <c r="D1387" s="56"/>
      <c r="E1387" s="56"/>
      <c r="F1387" s="56"/>
      <c r="G1387" s="58"/>
      <c r="H1387" s="56"/>
      <c r="I1387" s="61" t="str">
        <f aca="false">IF(IsPro,IF(OR($C1387="",N($G1387)=0),"",IF(OR($C1387="Receipt",$C1387="Other Income",$C1387="Capital In",$C1387="Transfer In"),$G1387,0)),"")</f>
        <v/>
      </c>
      <c r="J1387" s="61" t="str">
        <f aca="false">IF(IsPro,IF(OR($C1387="",N($G1387)=0),"",IF(I1387=0,$G1387,0)),"")</f>
        <v/>
      </c>
      <c r="K1387" s="60" t="str">
        <f aca="false">IF(IsPro,IF($C1387="","",IF(AND(OR($C1387="Receipt",$C1387="Payment"),$D1387=""),"Party needed",IF(AND(OR($C1387="Expense",$C1387="Other Income"),$E1387=""),"Head needed",IF($F1387="","Account needed","OK")))),IF($C1387="","","PRO PLAN"))</f>
        <v/>
      </c>
    </row>
    <row r="1388" customFormat="false" ht="15" hidden="false" customHeight="false" outlineLevel="0" collapsed="false">
      <c r="A1388" s="55"/>
      <c r="B1388" s="56"/>
      <c r="C1388" s="56"/>
      <c r="D1388" s="56"/>
      <c r="E1388" s="56"/>
      <c r="F1388" s="56"/>
      <c r="G1388" s="58"/>
      <c r="H1388" s="56"/>
      <c r="I1388" s="61" t="str">
        <f aca="false">IF(IsPro,IF(OR($C1388="",N($G1388)=0),"",IF(OR($C1388="Receipt",$C1388="Other Income",$C1388="Capital In",$C1388="Transfer In"),$G1388,0)),"")</f>
        <v/>
      </c>
      <c r="J1388" s="61" t="str">
        <f aca="false">IF(IsPro,IF(OR($C1388="",N($G1388)=0),"",IF(I1388=0,$G1388,0)),"")</f>
        <v/>
      </c>
      <c r="K1388" s="60" t="str">
        <f aca="false">IF(IsPro,IF($C1388="","",IF(AND(OR($C1388="Receipt",$C1388="Payment"),$D1388=""),"Party needed",IF(AND(OR($C1388="Expense",$C1388="Other Income"),$E1388=""),"Head needed",IF($F1388="","Account needed","OK")))),IF($C1388="","","PRO PLAN"))</f>
        <v/>
      </c>
    </row>
    <row r="1389" customFormat="false" ht="15" hidden="false" customHeight="false" outlineLevel="0" collapsed="false">
      <c r="A1389" s="55"/>
      <c r="B1389" s="56"/>
      <c r="C1389" s="56"/>
      <c r="D1389" s="56"/>
      <c r="E1389" s="56"/>
      <c r="F1389" s="56"/>
      <c r="G1389" s="58"/>
      <c r="H1389" s="56"/>
      <c r="I1389" s="61" t="str">
        <f aca="false">IF(IsPro,IF(OR($C1389="",N($G1389)=0),"",IF(OR($C1389="Receipt",$C1389="Other Income",$C1389="Capital In",$C1389="Transfer In"),$G1389,0)),"")</f>
        <v/>
      </c>
      <c r="J1389" s="61" t="str">
        <f aca="false">IF(IsPro,IF(OR($C1389="",N($G1389)=0),"",IF(I1389=0,$G1389,0)),"")</f>
        <v/>
      </c>
      <c r="K1389" s="60" t="str">
        <f aca="false">IF(IsPro,IF($C1389="","",IF(AND(OR($C1389="Receipt",$C1389="Payment"),$D1389=""),"Party needed",IF(AND(OR($C1389="Expense",$C1389="Other Income"),$E1389=""),"Head needed",IF($F1389="","Account needed","OK")))),IF($C1389="","","PRO PLAN"))</f>
        <v/>
      </c>
    </row>
    <row r="1390" customFormat="false" ht="15" hidden="false" customHeight="false" outlineLevel="0" collapsed="false">
      <c r="A1390" s="55"/>
      <c r="B1390" s="56"/>
      <c r="C1390" s="56"/>
      <c r="D1390" s="56"/>
      <c r="E1390" s="56"/>
      <c r="F1390" s="56"/>
      <c r="G1390" s="58"/>
      <c r="H1390" s="56"/>
      <c r="I1390" s="61" t="str">
        <f aca="false">IF(IsPro,IF(OR($C1390="",N($G1390)=0),"",IF(OR($C1390="Receipt",$C1390="Other Income",$C1390="Capital In",$C1390="Transfer In"),$G1390,0)),"")</f>
        <v/>
      </c>
      <c r="J1390" s="61" t="str">
        <f aca="false">IF(IsPro,IF(OR($C1390="",N($G1390)=0),"",IF(I1390=0,$G1390,0)),"")</f>
        <v/>
      </c>
      <c r="K1390" s="60" t="str">
        <f aca="false">IF(IsPro,IF($C1390="","",IF(AND(OR($C1390="Receipt",$C1390="Payment"),$D1390=""),"Party needed",IF(AND(OR($C1390="Expense",$C1390="Other Income"),$E1390=""),"Head needed",IF($F1390="","Account needed","OK")))),IF($C1390="","","PRO PLAN"))</f>
        <v/>
      </c>
    </row>
    <row r="1391" customFormat="false" ht="15" hidden="false" customHeight="false" outlineLevel="0" collapsed="false">
      <c r="A1391" s="55"/>
      <c r="B1391" s="56"/>
      <c r="C1391" s="56"/>
      <c r="D1391" s="56"/>
      <c r="E1391" s="56"/>
      <c r="F1391" s="56"/>
      <c r="G1391" s="58"/>
      <c r="H1391" s="56"/>
      <c r="I1391" s="61" t="str">
        <f aca="false">IF(IsPro,IF(OR($C1391="",N($G1391)=0),"",IF(OR($C1391="Receipt",$C1391="Other Income",$C1391="Capital In",$C1391="Transfer In"),$G1391,0)),"")</f>
        <v/>
      </c>
      <c r="J1391" s="61" t="str">
        <f aca="false">IF(IsPro,IF(OR($C1391="",N($G1391)=0),"",IF(I1391=0,$G1391,0)),"")</f>
        <v/>
      </c>
      <c r="K1391" s="60" t="str">
        <f aca="false">IF(IsPro,IF($C1391="","",IF(AND(OR($C1391="Receipt",$C1391="Payment"),$D1391=""),"Party needed",IF(AND(OR($C1391="Expense",$C1391="Other Income"),$E1391=""),"Head needed",IF($F1391="","Account needed","OK")))),IF($C1391="","","PRO PLAN"))</f>
        <v/>
      </c>
    </row>
    <row r="1392" customFormat="false" ht="15" hidden="false" customHeight="false" outlineLevel="0" collapsed="false">
      <c r="A1392" s="55"/>
      <c r="B1392" s="56"/>
      <c r="C1392" s="56"/>
      <c r="D1392" s="56"/>
      <c r="E1392" s="56"/>
      <c r="F1392" s="56"/>
      <c r="G1392" s="58"/>
      <c r="H1392" s="56"/>
      <c r="I1392" s="61" t="str">
        <f aca="false">IF(IsPro,IF(OR($C1392="",N($G1392)=0),"",IF(OR($C1392="Receipt",$C1392="Other Income",$C1392="Capital In",$C1392="Transfer In"),$G1392,0)),"")</f>
        <v/>
      </c>
      <c r="J1392" s="61" t="str">
        <f aca="false">IF(IsPro,IF(OR($C1392="",N($G1392)=0),"",IF(I1392=0,$G1392,0)),"")</f>
        <v/>
      </c>
      <c r="K1392" s="60" t="str">
        <f aca="false">IF(IsPro,IF($C1392="","",IF(AND(OR($C1392="Receipt",$C1392="Payment"),$D1392=""),"Party needed",IF(AND(OR($C1392="Expense",$C1392="Other Income"),$E1392=""),"Head needed",IF($F1392="","Account needed","OK")))),IF($C1392="","","PRO PLAN"))</f>
        <v/>
      </c>
    </row>
    <row r="1393" customFormat="false" ht="15" hidden="false" customHeight="false" outlineLevel="0" collapsed="false">
      <c r="A1393" s="55"/>
      <c r="B1393" s="56"/>
      <c r="C1393" s="56"/>
      <c r="D1393" s="56"/>
      <c r="E1393" s="56"/>
      <c r="F1393" s="56"/>
      <c r="G1393" s="58"/>
      <c r="H1393" s="56"/>
      <c r="I1393" s="61" t="str">
        <f aca="false">IF(IsPro,IF(OR($C1393="",N($G1393)=0),"",IF(OR($C1393="Receipt",$C1393="Other Income",$C1393="Capital In",$C1393="Transfer In"),$G1393,0)),"")</f>
        <v/>
      </c>
      <c r="J1393" s="61" t="str">
        <f aca="false">IF(IsPro,IF(OR($C1393="",N($G1393)=0),"",IF(I1393=0,$G1393,0)),"")</f>
        <v/>
      </c>
      <c r="K1393" s="60" t="str">
        <f aca="false">IF(IsPro,IF($C1393="","",IF(AND(OR($C1393="Receipt",$C1393="Payment"),$D1393=""),"Party needed",IF(AND(OR($C1393="Expense",$C1393="Other Income"),$E1393=""),"Head needed",IF($F1393="","Account needed","OK")))),IF($C1393="","","PRO PLAN"))</f>
        <v/>
      </c>
    </row>
    <row r="1394" customFormat="false" ht="15" hidden="false" customHeight="false" outlineLevel="0" collapsed="false">
      <c r="A1394" s="55"/>
      <c r="B1394" s="56"/>
      <c r="C1394" s="56"/>
      <c r="D1394" s="56"/>
      <c r="E1394" s="56"/>
      <c r="F1394" s="56"/>
      <c r="G1394" s="58"/>
      <c r="H1394" s="56"/>
      <c r="I1394" s="61" t="str">
        <f aca="false">IF(IsPro,IF(OR($C1394="",N($G1394)=0),"",IF(OR($C1394="Receipt",$C1394="Other Income",$C1394="Capital In",$C1394="Transfer In"),$G1394,0)),"")</f>
        <v/>
      </c>
      <c r="J1394" s="61" t="str">
        <f aca="false">IF(IsPro,IF(OR($C1394="",N($G1394)=0),"",IF(I1394=0,$G1394,0)),"")</f>
        <v/>
      </c>
      <c r="K1394" s="60" t="str">
        <f aca="false">IF(IsPro,IF($C1394="","",IF(AND(OR($C1394="Receipt",$C1394="Payment"),$D1394=""),"Party needed",IF(AND(OR($C1394="Expense",$C1394="Other Income"),$E1394=""),"Head needed",IF($F1394="","Account needed","OK")))),IF($C1394="","","PRO PLAN"))</f>
        <v/>
      </c>
    </row>
    <row r="1395" customFormat="false" ht="15" hidden="false" customHeight="false" outlineLevel="0" collapsed="false">
      <c r="A1395" s="55"/>
      <c r="B1395" s="56"/>
      <c r="C1395" s="56"/>
      <c r="D1395" s="56"/>
      <c r="E1395" s="56"/>
      <c r="F1395" s="56"/>
      <c r="G1395" s="58"/>
      <c r="H1395" s="56"/>
      <c r="I1395" s="61" t="str">
        <f aca="false">IF(IsPro,IF(OR($C1395="",N($G1395)=0),"",IF(OR($C1395="Receipt",$C1395="Other Income",$C1395="Capital In",$C1395="Transfer In"),$G1395,0)),"")</f>
        <v/>
      </c>
      <c r="J1395" s="61" t="str">
        <f aca="false">IF(IsPro,IF(OR($C1395="",N($G1395)=0),"",IF(I1395=0,$G1395,0)),"")</f>
        <v/>
      </c>
      <c r="K1395" s="60" t="str">
        <f aca="false">IF(IsPro,IF($C1395="","",IF(AND(OR($C1395="Receipt",$C1395="Payment"),$D1395=""),"Party needed",IF(AND(OR($C1395="Expense",$C1395="Other Income"),$E1395=""),"Head needed",IF($F1395="","Account needed","OK")))),IF($C1395="","","PRO PLAN"))</f>
        <v/>
      </c>
    </row>
    <row r="1396" customFormat="false" ht="15" hidden="false" customHeight="false" outlineLevel="0" collapsed="false">
      <c r="A1396" s="55"/>
      <c r="B1396" s="56"/>
      <c r="C1396" s="56"/>
      <c r="D1396" s="56"/>
      <c r="E1396" s="56"/>
      <c r="F1396" s="56"/>
      <c r="G1396" s="58"/>
      <c r="H1396" s="56"/>
      <c r="I1396" s="61" t="str">
        <f aca="false">IF(IsPro,IF(OR($C1396="",N($G1396)=0),"",IF(OR($C1396="Receipt",$C1396="Other Income",$C1396="Capital In",$C1396="Transfer In"),$G1396,0)),"")</f>
        <v/>
      </c>
      <c r="J1396" s="61" t="str">
        <f aca="false">IF(IsPro,IF(OR($C1396="",N($G1396)=0),"",IF(I1396=0,$G1396,0)),"")</f>
        <v/>
      </c>
      <c r="K1396" s="60" t="str">
        <f aca="false">IF(IsPro,IF($C1396="","",IF(AND(OR($C1396="Receipt",$C1396="Payment"),$D1396=""),"Party needed",IF(AND(OR($C1396="Expense",$C1396="Other Income"),$E1396=""),"Head needed",IF($F1396="","Account needed","OK")))),IF($C1396="","","PRO PLAN"))</f>
        <v/>
      </c>
    </row>
    <row r="1397" customFormat="false" ht="15" hidden="false" customHeight="false" outlineLevel="0" collapsed="false">
      <c r="A1397" s="55"/>
      <c r="B1397" s="56"/>
      <c r="C1397" s="56"/>
      <c r="D1397" s="56"/>
      <c r="E1397" s="56"/>
      <c r="F1397" s="56"/>
      <c r="G1397" s="58"/>
      <c r="H1397" s="56"/>
      <c r="I1397" s="61" t="str">
        <f aca="false">IF(IsPro,IF(OR($C1397="",N($G1397)=0),"",IF(OR($C1397="Receipt",$C1397="Other Income",$C1397="Capital In",$C1397="Transfer In"),$G1397,0)),"")</f>
        <v/>
      </c>
      <c r="J1397" s="61" t="str">
        <f aca="false">IF(IsPro,IF(OR($C1397="",N($G1397)=0),"",IF(I1397=0,$G1397,0)),"")</f>
        <v/>
      </c>
      <c r="K1397" s="60" t="str">
        <f aca="false">IF(IsPro,IF($C1397="","",IF(AND(OR($C1397="Receipt",$C1397="Payment"),$D1397=""),"Party needed",IF(AND(OR($C1397="Expense",$C1397="Other Income"),$E1397=""),"Head needed",IF($F1397="","Account needed","OK")))),IF($C1397="","","PRO PLAN"))</f>
        <v/>
      </c>
    </row>
    <row r="1398" customFormat="false" ht="15" hidden="false" customHeight="false" outlineLevel="0" collapsed="false">
      <c r="A1398" s="55"/>
      <c r="B1398" s="56"/>
      <c r="C1398" s="56"/>
      <c r="D1398" s="56"/>
      <c r="E1398" s="56"/>
      <c r="F1398" s="56"/>
      <c r="G1398" s="58"/>
      <c r="H1398" s="56"/>
      <c r="I1398" s="61" t="str">
        <f aca="false">IF(IsPro,IF(OR($C1398="",N($G1398)=0),"",IF(OR($C1398="Receipt",$C1398="Other Income",$C1398="Capital In",$C1398="Transfer In"),$G1398,0)),"")</f>
        <v/>
      </c>
      <c r="J1398" s="61" t="str">
        <f aca="false">IF(IsPro,IF(OR($C1398="",N($G1398)=0),"",IF(I1398=0,$G1398,0)),"")</f>
        <v/>
      </c>
      <c r="K1398" s="60" t="str">
        <f aca="false">IF(IsPro,IF($C1398="","",IF(AND(OR($C1398="Receipt",$C1398="Payment"),$D1398=""),"Party needed",IF(AND(OR($C1398="Expense",$C1398="Other Income"),$E1398=""),"Head needed",IF($F1398="","Account needed","OK")))),IF($C1398="","","PRO PLAN"))</f>
        <v/>
      </c>
    </row>
    <row r="1399" customFormat="false" ht="15" hidden="false" customHeight="false" outlineLevel="0" collapsed="false">
      <c r="A1399" s="55"/>
      <c r="B1399" s="56"/>
      <c r="C1399" s="56"/>
      <c r="D1399" s="56"/>
      <c r="E1399" s="56"/>
      <c r="F1399" s="56"/>
      <c r="G1399" s="58"/>
      <c r="H1399" s="56"/>
      <c r="I1399" s="61" t="str">
        <f aca="false">IF(IsPro,IF(OR($C1399="",N($G1399)=0),"",IF(OR($C1399="Receipt",$C1399="Other Income",$C1399="Capital In",$C1399="Transfer In"),$G1399,0)),"")</f>
        <v/>
      </c>
      <c r="J1399" s="61" t="str">
        <f aca="false">IF(IsPro,IF(OR($C1399="",N($G1399)=0),"",IF(I1399=0,$G1399,0)),"")</f>
        <v/>
      </c>
      <c r="K1399" s="60" t="str">
        <f aca="false">IF(IsPro,IF($C1399="","",IF(AND(OR($C1399="Receipt",$C1399="Payment"),$D1399=""),"Party needed",IF(AND(OR($C1399="Expense",$C1399="Other Income"),$E1399=""),"Head needed",IF($F1399="","Account needed","OK")))),IF($C1399="","","PRO PLAN"))</f>
        <v/>
      </c>
    </row>
    <row r="1400" customFormat="false" ht="15" hidden="false" customHeight="false" outlineLevel="0" collapsed="false">
      <c r="A1400" s="55"/>
      <c r="B1400" s="56"/>
      <c r="C1400" s="56"/>
      <c r="D1400" s="56"/>
      <c r="E1400" s="56"/>
      <c r="F1400" s="56"/>
      <c r="G1400" s="58"/>
      <c r="H1400" s="56"/>
      <c r="I1400" s="61" t="str">
        <f aca="false">IF(IsPro,IF(OR($C1400="",N($G1400)=0),"",IF(OR($C1400="Receipt",$C1400="Other Income",$C1400="Capital In",$C1400="Transfer In"),$G1400,0)),"")</f>
        <v/>
      </c>
      <c r="J1400" s="61" t="str">
        <f aca="false">IF(IsPro,IF(OR($C1400="",N($G1400)=0),"",IF(I1400=0,$G1400,0)),"")</f>
        <v/>
      </c>
      <c r="K1400" s="60" t="str">
        <f aca="false">IF(IsPro,IF($C1400="","",IF(AND(OR($C1400="Receipt",$C1400="Payment"),$D1400=""),"Party needed",IF(AND(OR($C1400="Expense",$C1400="Other Income"),$E1400=""),"Head needed",IF($F1400="","Account needed","OK")))),IF($C1400="","","PRO PLAN"))</f>
        <v/>
      </c>
    </row>
    <row r="1401" customFormat="false" ht="15" hidden="false" customHeight="false" outlineLevel="0" collapsed="false">
      <c r="A1401" s="55"/>
      <c r="B1401" s="56"/>
      <c r="C1401" s="56"/>
      <c r="D1401" s="56"/>
      <c r="E1401" s="56"/>
      <c r="F1401" s="56"/>
      <c r="G1401" s="58"/>
      <c r="H1401" s="56"/>
      <c r="I1401" s="61" t="str">
        <f aca="false">IF(IsPro,IF(OR($C1401="",N($G1401)=0),"",IF(OR($C1401="Receipt",$C1401="Other Income",$C1401="Capital In",$C1401="Transfer In"),$G1401,0)),"")</f>
        <v/>
      </c>
      <c r="J1401" s="61" t="str">
        <f aca="false">IF(IsPro,IF(OR($C1401="",N($G1401)=0),"",IF(I1401=0,$G1401,0)),"")</f>
        <v/>
      </c>
      <c r="K1401" s="60" t="str">
        <f aca="false">IF(IsPro,IF($C1401="","",IF(AND(OR($C1401="Receipt",$C1401="Payment"),$D1401=""),"Party needed",IF(AND(OR($C1401="Expense",$C1401="Other Income"),$E1401=""),"Head needed",IF($F1401="","Account needed","OK")))),IF($C1401="","","PRO PLAN"))</f>
        <v/>
      </c>
    </row>
    <row r="1402" customFormat="false" ht="15" hidden="false" customHeight="false" outlineLevel="0" collapsed="false">
      <c r="A1402" s="55"/>
      <c r="B1402" s="56"/>
      <c r="C1402" s="56"/>
      <c r="D1402" s="56"/>
      <c r="E1402" s="56"/>
      <c r="F1402" s="56"/>
      <c r="G1402" s="58"/>
      <c r="H1402" s="56"/>
      <c r="I1402" s="61" t="str">
        <f aca="false">IF(IsPro,IF(OR($C1402="",N($G1402)=0),"",IF(OR($C1402="Receipt",$C1402="Other Income",$C1402="Capital In",$C1402="Transfer In"),$G1402,0)),"")</f>
        <v/>
      </c>
      <c r="J1402" s="61" t="str">
        <f aca="false">IF(IsPro,IF(OR($C1402="",N($G1402)=0),"",IF(I1402=0,$G1402,0)),"")</f>
        <v/>
      </c>
      <c r="K1402" s="60" t="str">
        <f aca="false">IF(IsPro,IF($C1402="","",IF(AND(OR($C1402="Receipt",$C1402="Payment"),$D1402=""),"Party needed",IF(AND(OR($C1402="Expense",$C1402="Other Income"),$E1402=""),"Head needed",IF($F1402="","Account needed","OK")))),IF($C1402="","","PRO PLAN"))</f>
        <v/>
      </c>
    </row>
    <row r="1403" customFormat="false" ht="15" hidden="false" customHeight="false" outlineLevel="0" collapsed="false">
      <c r="A1403" s="55"/>
      <c r="B1403" s="56"/>
      <c r="C1403" s="56"/>
      <c r="D1403" s="56"/>
      <c r="E1403" s="56"/>
      <c r="F1403" s="56"/>
      <c r="G1403" s="58"/>
      <c r="H1403" s="56"/>
      <c r="I1403" s="61" t="str">
        <f aca="false">IF(IsPro,IF(OR($C1403="",N($G1403)=0),"",IF(OR($C1403="Receipt",$C1403="Other Income",$C1403="Capital In",$C1403="Transfer In"),$G1403,0)),"")</f>
        <v/>
      </c>
      <c r="J1403" s="61" t="str">
        <f aca="false">IF(IsPro,IF(OR($C1403="",N($G1403)=0),"",IF(I1403=0,$G1403,0)),"")</f>
        <v/>
      </c>
      <c r="K1403" s="60" t="str">
        <f aca="false">IF(IsPro,IF($C1403="","",IF(AND(OR($C1403="Receipt",$C1403="Payment"),$D1403=""),"Party needed",IF(AND(OR($C1403="Expense",$C1403="Other Income"),$E1403=""),"Head needed",IF($F1403="","Account needed","OK")))),IF($C1403="","","PRO PLAN"))</f>
        <v/>
      </c>
    </row>
    <row r="1404" customFormat="false" ht="15" hidden="false" customHeight="false" outlineLevel="0" collapsed="false">
      <c r="A1404" s="55"/>
      <c r="B1404" s="56"/>
      <c r="C1404" s="56"/>
      <c r="D1404" s="56"/>
      <c r="E1404" s="56"/>
      <c r="F1404" s="56"/>
      <c r="G1404" s="58"/>
      <c r="H1404" s="56"/>
      <c r="I1404" s="61" t="str">
        <f aca="false">IF(IsPro,IF(OR($C1404="",N($G1404)=0),"",IF(OR($C1404="Receipt",$C1404="Other Income",$C1404="Capital In",$C1404="Transfer In"),$G1404,0)),"")</f>
        <v/>
      </c>
      <c r="J1404" s="61" t="str">
        <f aca="false">IF(IsPro,IF(OR($C1404="",N($G1404)=0),"",IF(I1404=0,$G1404,0)),"")</f>
        <v/>
      </c>
      <c r="K1404" s="60" t="str">
        <f aca="false">IF(IsPro,IF($C1404="","",IF(AND(OR($C1404="Receipt",$C1404="Payment"),$D1404=""),"Party needed",IF(AND(OR($C1404="Expense",$C1404="Other Income"),$E1404=""),"Head needed",IF($F1404="","Account needed","OK")))),IF($C1404="","","PRO PLAN"))</f>
        <v/>
      </c>
    </row>
    <row r="1405" customFormat="false" ht="15" hidden="false" customHeight="false" outlineLevel="0" collapsed="false">
      <c r="A1405" s="55"/>
      <c r="B1405" s="56"/>
      <c r="C1405" s="56"/>
      <c r="D1405" s="56"/>
      <c r="E1405" s="56"/>
      <c r="F1405" s="56"/>
      <c r="G1405" s="58"/>
      <c r="H1405" s="56"/>
      <c r="I1405" s="61" t="str">
        <f aca="false">IF(IsPro,IF(OR($C1405="",N($G1405)=0),"",IF(OR($C1405="Receipt",$C1405="Other Income",$C1405="Capital In",$C1405="Transfer In"),$G1405,0)),"")</f>
        <v/>
      </c>
      <c r="J1405" s="61" t="str">
        <f aca="false">IF(IsPro,IF(OR($C1405="",N($G1405)=0),"",IF(I1405=0,$G1405,0)),"")</f>
        <v/>
      </c>
      <c r="K1405" s="60" t="str">
        <f aca="false">IF(IsPro,IF($C1405="","",IF(AND(OR($C1405="Receipt",$C1405="Payment"),$D1405=""),"Party needed",IF(AND(OR($C1405="Expense",$C1405="Other Income"),$E1405=""),"Head needed",IF($F1405="","Account needed","OK")))),IF($C1405="","","PRO PLAN"))</f>
        <v/>
      </c>
    </row>
    <row r="1406" customFormat="false" ht="15" hidden="false" customHeight="false" outlineLevel="0" collapsed="false">
      <c r="A1406" s="55"/>
      <c r="B1406" s="56"/>
      <c r="C1406" s="56"/>
      <c r="D1406" s="56"/>
      <c r="E1406" s="56"/>
      <c r="F1406" s="56"/>
      <c r="G1406" s="58"/>
      <c r="H1406" s="56"/>
      <c r="I1406" s="61" t="str">
        <f aca="false">IF(IsPro,IF(OR($C1406="",N($G1406)=0),"",IF(OR($C1406="Receipt",$C1406="Other Income",$C1406="Capital In",$C1406="Transfer In"),$G1406,0)),"")</f>
        <v/>
      </c>
      <c r="J1406" s="61" t="str">
        <f aca="false">IF(IsPro,IF(OR($C1406="",N($G1406)=0),"",IF(I1406=0,$G1406,0)),"")</f>
        <v/>
      </c>
      <c r="K1406" s="60" t="str">
        <f aca="false">IF(IsPro,IF($C1406="","",IF(AND(OR($C1406="Receipt",$C1406="Payment"),$D1406=""),"Party needed",IF(AND(OR($C1406="Expense",$C1406="Other Income"),$E1406=""),"Head needed",IF($F1406="","Account needed","OK")))),IF($C1406="","","PRO PLAN"))</f>
        <v/>
      </c>
    </row>
    <row r="1407" customFormat="false" ht="15" hidden="false" customHeight="false" outlineLevel="0" collapsed="false">
      <c r="A1407" s="55"/>
      <c r="B1407" s="56"/>
      <c r="C1407" s="56"/>
      <c r="D1407" s="56"/>
      <c r="E1407" s="56"/>
      <c r="F1407" s="56"/>
      <c r="G1407" s="58"/>
      <c r="H1407" s="56"/>
      <c r="I1407" s="61" t="str">
        <f aca="false">IF(IsPro,IF(OR($C1407="",N($G1407)=0),"",IF(OR($C1407="Receipt",$C1407="Other Income",$C1407="Capital In",$C1407="Transfer In"),$G1407,0)),"")</f>
        <v/>
      </c>
      <c r="J1407" s="61" t="str">
        <f aca="false">IF(IsPro,IF(OR($C1407="",N($G1407)=0),"",IF(I1407=0,$G1407,0)),"")</f>
        <v/>
      </c>
      <c r="K1407" s="60" t="str">
        <f aca="false">IF(IsPro,IF($C1407="","",IF(AND(OR($C1407="Receipt",$C1407="Payment"),$D1407=""),"Party needed",IF(AND(OR($C1407="Expense",$C1407="Other Income"),$E1407=""),"Head needed",IF($F1407="","Account needed","OK")))),IF($C1407="","","PRO PLAN"))</f>
        <v/>
      </c>
    </row>
    <row r="1408" customFormat="false" ht="15" hidden="false" customHeight="false" outlineLevel="0" collapsed="false">
      <c r="A1408" s="55"/>
      <c r="B1408" s="56"/>
      <c r="C1408" s="56"/>
      <c r="D1408" s="56"/>
      <c r="E1408" s="56"/>
      <c r="F1408" s="56"/>
      <c r="G1408" s="58"/>
      <c r="H1408" s="56"/>
      <c r="I1408" s="61" t="str">
        <f aca="false">IF(IsPro,IF(OR($C1408="",N($G1408)=0),"",IF(OR($C1408="Receipt",$C1408="Other Income",$C1408="Capital In",$C1408="Transfer In"),$G1408,0)),"")</f>
        <v/>
      </c>
      <c r="J1408" s="61" t="str">
        <f aca="false">IF(IsPro,IF(OR($C1408="",N($G1408)=0),"",IF(I1408=0,$G1408,0)),"")</f>
        <v/>
      </c>
      <c r="K1408" s="60" t="str">
        <f aca="false">IF(IsPro,IF($C1408="","",IF(AND(OR($C1408="Receipt",$C1408="Payment"),$D1408=""),"Party needed",IF(AND(OR($C1408="Expense",$C1408="Other Income"),$E1408=""),"Head needed",IF($F1408="","Account needed","OK")))),IF($C1408="","","PRO PLAN"))</f>
        <v/>
      </c>
    </row>
    <row r="1409" customFormat="false" ht="15" hidden="false" customHeight="false" outlineLevel="0" collapsed="false">
      <c r="A1409" s="55"/>
      <c r="B1409" s="56"/>
      <c r="C1409" s="56"/>
      <c r="D1409" s="56"/>
      <c r="E1409" s="56"/>
      <c r="F1409" s="56"/>
      <c r="G1409" s="58"/>
      <c r="H1409" s="56"/>
      <c r="I1409" s="61" t="str">
        <f aca="false">IF(IsPro,IF(OR($C1409="",N($G1409)=0),"",IF(OR($C1409="Receipt",$C1409="Other Income",$C1409="Capital In",$C1409="Transfer In"),$G1409,0)),"")</f>
        <v/>
      </c>
      <c r="J1409" s="61" t="str">
        <f aca="false">IF(IsPro,IF(OR($C1409="",N($G1409)=0),"",IF(I1409=0,$G1409,0)),"")</f>
        <v/>
      </c>
      <c r="K1409" s="60" t="str">
        <f aca="false">IF(IsPro,IF($C1409="","",IF(AND(OR($C1409="Receipt",$C1409="Payment"),$D1409=""),"Party needed",IF(AND(OR($C1409="Expense",$C1409="Other Income"),$E1409=""),"Head needed",IF($F1409="","Account needed","OK")))),IF($C1409="","","PRO PLAN"))</f>
        <v/>
      </c>
    </row>
    <row r="1410" customFormat="false" ht="15" hidden="false" customHeight="false" outlineLevel="0" collapsed="false">
      <c r="A1410" s="55"/>
      <c r="B1410" s="56"/>
      <c r="C1410" s="56"/>
      <c r="D1410" s="56"/>
      <c r="E1410" s="56"/>
      <c r="F1410" s="56"/>
      <c r="G1410" s="58"/>
      <c r="H1410" s="56"/>
      <c r="I1410" s="61" t="str">
        <f aca="false">IF(IsPro,IF(OR($C1410="",N($G1410)=0),"",IF(OR($C1410="Receipt",$C1410="Other Income",$C1410="Capital In",$C1410="Transfer In"),$G1410,0)),"")</f>
        <v/>
      </c>
      <c r="J1410" s="61" t="str">
        <f aca="false">IF(IsPro,IF(OR($C1410="",N($G1410)=0),"",IF(I1410=0,$G1410,0)),"")</f>
        <v/>
      </c>
      <c r="K1410" s="60" t="str">
        <f aca="false">IF(IsPro,IF($C1410="","",IF(AND(OR($C1410="Receipt",$C1410="Payment"),$D1410=""),"Party needed",IF(AND(OR($C1410="Expense",$C1410="Other Income"),$E1410=""),"Head needed",IF($F1410="","Account needed","OK")))),IF($C1410="","","PRO PLAN"))</f>
        <v/>
      </c>
    </row>
    <row r="1411" customFormat="false" ht="15" hidden="false" customHeight="false" outlineLevel="0" collapsed="false">
      <c r="A1411" s="55"/>
      <c r="B1411" s="56"/>
      <c r="C1411" s="56"/>
      <c r="D1411" s="56"/>
      <c r="E1411" s="56"/>
      <c r="F1411" s="56"/>
      <c r="G1411" s="58"/>
      <c r="H1411" s="56"/>
      <c r="I1411" s="61" t="str">
        <f aca="false">IF(IsPro,IF(OR($C1411="",N($G1411)=0),"",IF(OR($C1411="Receipt",$C1411="Other Income",$C1411="Capital In",$C1411="Transfer In"),$G1411,0)),"")</f>
        <v/>
      </c>
      <c r="J1411" s="61" t="str">
        <f aca="false">IF(IsPro,IF(OR($C1411="",N($G1411)=0),"",IF(I1411=0,$G1411,0)),"")</f>
        <v/>
      </c>
      <c r="K1411" s="60" t="str">
        <f aca="false">IF(IsPro,IF($C1411="","",IF(AND(OR($C1411="Receipt",$C1411="Payment"),$D1411=""),"Party needed",IF(AND(OR($C1411="Expense",$C1411="Other Income"),$E1411=""),"Head needed",IF($F1411="","Account needed","OK")))),IF($C1411="","","PRO PLAN"))</f>
        <v/>
      </c>
    </row>
    <row r="1412" customFormat="false" ht="15" hidden="false" customHeight="false" outlineLevel="0" collapsed="false">
      <c r="A1412" s="55"/>
      <c r="B1412" s="56"/>
      <c r="C1412" s="56"/>
      <c r="D1412" s="56"/>
      <c r="E1412" s="56"/>
      <c r="F1412" s="56"/>
      <c r="G1412" s="58"/>
      <c r="H1412" s="56"/>
      <c r="I1412" s="61" t="str">
        <f aca="false">IF(IsPro,IF(OR($C1412="",N($G1412)=0),"",IF(OR($C1412="Receipt",$C1412="Other Income",$C1412="Capital In",$C1412="Transfer In"),$G1412,0)),"")</f>
        <v/>
      </c>
      <c r="J1412" s="61" t="str">
        <f aca="false">IF(IsPro,IF(OR($C1412="",N($G1412)=0),"",IF(I1412=0,$G1412,0)),"")</f>
        <v/>
      </c>
      <c r="K1412" s="60" t="str">
        <f aca="false">IF(IsPro,IF($C1412="","",IF(AND(OR($C1412="Receipt",$C1412="Payment"),$D1412=""),"Party needed",IF(AND(OR($C1412="Expense",$C1412="Other Income"),$E1412=""),"Head needed",IF($F1412="","Account needed","OK")))),IF($C1412="","","PRO PLAN"))</f>
        <v/>
      </c>
    </row>
    <row r="1413" customFormat="false" ht="15" hidden="false" customHeight="false" outlineLevel="0" collapsed="false">
      <c r="A1413" s="55"/>
      <c r="B1413" s="56"/>
      <c r="C1413" s="56"/>
      <c r="D1413" s="56"/>
      <c r="E1413" s="56"/>
      <c r="F1413" s="56"/>
      <c r="G1413" s="58"/>
      <c r="H1413" s="56"/>
      <c r="I1413" s="61" t="str">
        <f aca="false">IF(IsPro,IF(OR($C1413="",N($G1413)=0),"",IF(OR($C1413="Receipt",$C1413="Other Income",$C1413="Capital In",$C1413="Transfer In"),$G1413,0)),"")</f>
        <v/>
      </c>
      <c r="J1413" s="61" t="str">
        <f aca="false">IF(IsPro,IF(OR($C1413="",N($G1413)=0),"",IF(I1413=0,$G1413,0)),"")</f>
        <v/>
      </c>
      <c r="K1413" s="60" t="str">
        <f aca="false">IF(IsPro,IF($C1413="","",IF(AND(OR($C1413="Receipt",$C1413="Payment"),$D1413=""),"Party needed",IF(AND(OR($C1413="Expense",$C1413="Other Income"),$E1413=""),"Head needed",IF($F1413="","Account needed","OK")))),IF($C1413="","","PRO PLAN"))</f>
        <v/>
      </c>
    </row>
    <row r="1414" customFormat="false" ht="15" hidden="false" customHeight="false" outlineLevel="0" collapsed="false">
      <c r="A1414" s="55"/>
      <c r="B1414" s="56"/>
      <c r="C1414" s="56"/>
      <c r="D1414" s="56"/>
      <c r="E1414" s="56"/>
      <c r="F1414" s="56"/>
      <c r="G1414" s="58"/>
      <c r="H1414" s="56"/>
      <c r="I1414" s="61" t="str">
        <f aca="false">IF(IsPro,IF(OR($C1414="",N($G1414)=0),"",IF(OR($C1414="Receipt",$C1414="Other Income",$C1414="Capital In",$C1414="Transfer In"),$G1414,0)),"")</f>
        <v/>
      </c>
      <c r="J1414" s="61" t="str">
        <f aca="false">IF(IsPro,IF(OR($C1414="",N($G1414)=0),"",IF(I1414=0,$G1414,0)),"")</f>
        <v/>
      </c>
      <c r="K1414" s="60" t="str">
        <f aca="false">IF(IsPro,IF($C1414="","",IF(AND(OR($C1414="Receipt",$C1414="Payment"),$D1414=""),"Party needed",IF(AND(OR($C1414="Expense",$C1414="Other Income"),$E1414=""),"Head needed",IF($F1414="","Account needed","OK")))),IF($C1414="","","PRO PLAN"))</f>
        <v/>
      </c>
    </row>
    <row r="1415" customFormat="false" ht="15" hidden="false" customHeight="false" outlineLevel="0" collapsed="false">
      <c r="A1415" s="55"/>
      <c r="B1415" s="56"/>
      <c r="C1415" s="56"/>
      <c r="D1415" s="56"/>
      <c r="E1415" s="56"/>
      <c r="F1415" s="56"/>
      <c r="G1415" s="58"/>
      <c r="H1415" s="56"/>
      <c r="I1415" s="61" t="str">
        <f aca="false">IF(IsPro,IF(OR($C1415="",N($G1415)=0),"",IF(OR($C1415="Receipt",$C1415="Other Income",$C1415="Capital In",$C1415="Transfer In"),$G1415,0)),"")</f>
        <v/>
      </c>
      <c r="J1415" s="61" t="str">
        <f aca="false">IF(IsPro,IF(OR($C1415="",N($G1415)=0),"",IF(I1415=0,$G1415,0)),"")</f>
        <v/>
      </c>
      <c r="K1415" s="60" t="str">
        <f aca="false">IF(IsPro,IF($C1415="","",IF(AND(OR($C1415="Receipt",$C1415="Payment"),$D1415=""),"Party needed",IF(AND(OR($C1415="Expense",$C1415="Other Income"),$E1415=""),"Head needed",IF($F1415="","Account needed","OK")))),IF($C1415="","","PRO PLAN"))</f>
        <v/>
      </c>
    </row>
    <row r="1416" customFormat="false" ht="15" hidden="false" customHeight="false" outlineLevel="0" collapsed="false">
      <c r="A1416" s="55"/>
      <c r="B1416" s="56"/>
      <c r="C1416" s="56"/>
      <c r="D1416" s="56"/>
      <c r="E1416" s="56"/>
      <c r="F1416" s="56"/>
      <c r="G1416" s="58"/>
      <c r="H1416" s="56"/>
      <c r="I1416" s="61" t="str">
        <f aca="false">IF(IsPro,IF(OR($C1416="",N($G1416)=0),"",IF(OR($C1416="Receipt",$C1416="Other Income",$C1416="Capital In",$C1416="Transfer In"),$G1416,0)),"")</f>
        <v/>
      </c>
      <c r="J1416" s="61" t="str">
        <f aca="false">IF(IsPro,IF(OR($C1416="",N($G1416)=0),"",IF(I1416=0,$G1416,0)),"")</f>
        <v/>
      </c>
      <c r="K1416" s="60" t="str">
        <f aca="false">IF(IsPro,IF($C1416="","",IF(AND(OR($C1416="Receipt",$C1416="Payment"),$D1416=""),"Party needed",IF(AND(OR($C1416="Expense",$C1416="Other Income"),$E1416=""),"Head needed",IF($F1416="","Account needed","OK")))),IF($C1416="","","PRO PLAN"))</f>
        <v/>
      </c>
    </row>
    <row r="1417" customFormat="false" ht="15" hidden="false" customHeight="false" outlineLevel="0" collapsed="false">
      <c r="A1417" s="55"/>
      <c r="B1417" s="56"/>
      <c r="C1417" s="56"/>
      <c r="D1417" s="56"/>
      <c r="E1417" s="56"/>
      <c r="F1417" s="56"/>
      <c r="G1417" s="58"/>
      <c r="H1417" s="56"/>
      <c r="I1417" s="61" t="str">
        <f aca="false">IF(IsPro,IF(OR($C1417="",N($G1417)=0),"",IF(OR($C1417="Receipt",$C1417="Other Income",$C1417="Capital In",$C1417="Transfer In"),$G1417,0)),"")</f>
        <v/>
      </c>
      <c r="J1417" s="61" t="str">
        <f aca="false">IF(IsPro,IF(OR($C1417="",N($G1417)=0),"",IF(I1417=0,$G1417,0)),"")</f>
        <v/>
      </c>
      <c r="K1417" s="60" t="str">
        <f aca="false">IF(IsPro,IF($C1417="","",IF(AND(OR($C1417="Receipt",$C1417="Payment"),$D1417=""),"Party needed",IF(AND(OR($C1417="Expense",$C1417="Other Income"),$E1417=""),"Head needed",IF($F1417="","Account needed","OK")))),IF($C1417="","","PRO PLAN"))</f>
        <v/>
      </c>
    </row>
    <row r="1418" customFormat="false" ht="15" hidden="false" customHeight="false" outlineLevel="0" collapsed="false">
      <c r="A1418" s="55"/>
      <c r="B1418" s="56"/>
      <c r="C1418" s="56"/>
      <c r="D1418" s="56"/>
      <c r="E1418" s="56"/>
      <c r="F1418" s="56"/>
      <c r="G1418" s="58"/>
      <c r="H1418" s="56"/>
      <c r="I1418" s="61" t="str">
        <f aca="false">IF(IsPro,IF(OR($C1418="",N($G1418)=0),"",IF(OR($C1418="Receipt",$C1418="Other Income",$C1418="Capital In",$C1418="Transfer In"),$G1418,0)),"")</f>
        <v/>
      </c>
      <c r="J1418" s="61" t="str">
        <f aca="false">IF(IsPro,IF(OR($C1418="",N($G1418)=0),"",IF(I1418=0,$G1418,0)),"")</f>
        <v/>
      </c>
      <c r="K1418" s="60" t="str">
        <f aca="false">IF(IsPro,IF($C1418="","",IF(AND(OR($C1418="Receipt",$C1418="Payment"),$D1418=""),"Party needed",IF(AND(OR($C1418="Expense",$C1418="Other Income"),$E1418=""),"Head needed",IF($F1418="","Account needed","OK")))),IF($C1418="","","PRO PLAN"))</f>
        <v/>
      </c>
    </row>
    <row r="1419" customFormat="false" ht="15" hidden="false" customHeight="false" outlineLevel="0" collapsed="false">
      <c r="A1419" s="55"/>
      <c r="B1419" s="56"/>
      <c r="C1419" s="56"/>
      <c r="D1419" s="56"/>
      <c r="E1419" s="56"/>
      <c r="F1419" s="56"/>
      <c r="G1419" s="58"/>
      <c r="H1419" s="56"/>
      <c r="I1419" s="61" t="str">
        <f aca="false">IF(IsPro,IF(OR($C1419="",N($G1419)=0),"",IF(OR($C1419="Receipt",$C1419="Other Income",$C1419="Capital In",$C1419="Transfer In"),$G1419,0)),"")</f>
        <v/>
      </c>
      <c r="J1419" s="61" t="str">
        <f aca="false">IF(IsPro,IF(OR($C1419="",N($G1419)=0),"",IF(I1419=0,$G1419,0)),"")</f>
        <v/>
      </c>
      <c r="K1419" s="60" t="str">
        <f aca="false">IF(IsPro,IF($C1419="","",IF(AND(OR($C1419="Receipt",$C1419="Payment"),$D1419=""),"Party needed",IF(AND(OR($C1419="Expense",$C1419="Other Income"),$E1419=""),"Head needed",IF($F1419="","Account needed","OK")))),IF($C1419="","","PRO PLAN"))</f>
        <v/>
      </c>
    </row>
    <row r="1420" customFormat="false" ht="15" hidden="false" customHeight="false" outlineLevel="0" collapsed="false">
      <c r="A1420" s="55"/>
      <c r="B1420" s="56"/>
      <c r="C1420" s="56"/>
      <c r="D1420" s="56"/>
      <c r="E1420" s="56"/>
      <c r="F1420" s="56"/>
      <c r="G1420" s="58"/>
      <c r="H1420" s="56"/>
      <c r="I1420" s="61" t="str">
        <f aca="false">IF(IsPro,IF(OR($C1420="",N($G1420)=0),"",IF(OR($C1420="Receipt",$C1420="Other Income",$C1420="Capital In",$C1420="Transfer In"),$G1420,0)),"")</f>
        <v/>
      </c>
      <c r="J1420" s="61" t="str">
        <f aca="false">IF(IsPro,IF(OR($C1420="",N($G1420)=0),"",IF(I1420=0,$G1420,0)),"")</f>
        <v/>
      </c>
      <c r="K1420" s="60" t="str">
        <f aca="false">IF(IsPro,IF($C1420="","",IF(AND(OR($C1420="Receipt",$C1420="Payment"),$D1420=""),"Party needed",IF(AND(OR($C1420="Expense",$C1420="Other Income"),$E1420=""),"Head needed",IF($F1420="","Account needed","OK")))),IF($C1420="","","PRO PLAN"))</f>
        <v/>
      </c>
    </row>
    <row r="1421" customFormat="false" ht="15" hidden="false" customHeight="false" outlineLevel="0" collapsed="false">
      <c r="A1421" s="55"/>
      <c r="B1421" s="56"/>
      <c r="C1421" s="56"/>
      <c r="D1421" s="56"/>
      <c r="E1421" s="56"/>
      <c r="F1421" s="56"/>
      <c r="G1421" s="58"/>
      <c r="H1421" s="56"/>
      <c r="I1421" s="61" t="str">
        <f aca="false">IF(IsPro,IF(OR($C1421="",N($G1421)=0),"",IF(OR($C1421="Receipt",$C1421="Other Income",$C1421="Capital In",$C1421="Transfer In"),$G1421,0)),"")</f>
        <v/>
      </c>
      <c r="J1421" s="61" t="str">
        <f aca="false">IF(IsPro,IF(OR($C1421="",N($G1421)=0),"",IF(I1421=0,$G1421,0)),"")</f>
        <v/>
      </c>
      <c r="K1421" s="60" t="str">
        <f aca="false">IF(IsPro,IF($C1421="","",IF(AND(OR($C1421="Receipt",$C1421="Payment"),$D1421=""),"Party needed",IF(AND(OR($C1421="Expense",$C1421="Other Income"),$E1421=""),"Head needed",IF($F1421="","Account needed","OK")))),IF($C1421="","","PRO PLAN"))</f>
        <v/>
      </c>
    </row>
    <row r="1422" customFormat="false" ht="15" hidden="false" customHeight="false" outlineLevel="0" collapsed="false">
      <c r="A1422" s="55"/>
      <c r="B1422" s="56"/>
      <c r="C1422" s="56"/>
      <c r="D1422" s="56"/>
      <c r="E1422" s="56"/>
      <c r="F1422" s="56"/>
      <c r="G1422" s="58"/>
      <c r="H1422" s="56"/>
      <c r="I1422" s="61" t="str">
        <f aca="false">IF(IsPro,IF(OR($C1422="",N($G1422)=0),"",IF(OR($C1422="Receipt",$C1422="Other Income",$C1422="Capital In",$C1422="Transfer In"),$G1422,0)),"")</f>
        <v/>
      </c>
      <c r="J1422" s="61" t="str">
        <f aca="false">IF(IsPro,IF(OR($C1422="",N($G1422)=0),"",IF(I1422=0,$G1422,0)),"")</f>
        <v/>
      </c>
      <c r="K1422" s="60" t="str">
        <f aca="false">IF(IsPro,IF($C1422="","",IF(AND(OR($C1422="Receipt",$C1422="Payment"),$D1422=""),"Party needed",IF(AND(OR($C1422="Expense",$C1422="Other Income"),$E1422=""),"Head needed",IF($F1422="","Account needed","OK")))),IF($C1422="","","PRO PLAN"))</f>
        <v/>
      </c>
    </row>
    <row r="1423" customFormat="false" ht="15" hidden="false" customHeight="false" outlineLevel="0" collapsed="false">
      <c r="A1423" s="55"/>
      <c r="B1423" s="56"/>
      <c r="C1423" s="56"/>
      <c r="D1423" s="56"/>
      <c r="E1423" s="56"/>
      <c r="F1423" s="56"/>
      <c r="G1423" s="58"/>
      <c r="H1423" s="56"/>
      <c r="I1423" s="61" t="str">
        <f aca="false">IF(IsPro,IF(OR($C1423="",N($G1423)=0),"",IF(OR($C1423="Receipt",$C1423="Other Income",$C1423="Capital In",$C1423="Transfer In"),$G1423,0)),"")</f>
        <v/>
      </c>
      <c r="J1423" s="61" t="str">
        <f aca="false">IF(IsPro,IF(OR($C1423="",N($G1423)=0),"",IF(I1423=0,$G1423,0)),"")</f>
        <v/>
      </c>
      <c r="K1423" s="60" t="str">
        <f aca="false">IF(IsPro,IF($C1423="","",IF(AND(OR($C1423="Receipt",$C1423="Payment"),$D1423=""),"Party needed",IF(AND(OR($C1423="Expense",$C1423="Other Income"),$E1423=""),"Head needed",IF($F1423="","Account needed","OK")))),IF($C1423="","","PRO PLAN"))</f>
        <v/>
      </c>
    </row>
    <row r="1424" customFormat="false" ht="15" hidden="false" customHeight="false" outlineLevel="0" collapsed="false">
      <c r="A1424" s="55"/>
      <c r="B1424" s="56"/>
      <c r="C1424" s="56"/>
      <c r="D1424" s="56"/>
      <c r="E1424" s="56"/>
      <c r="F1424" s="56"/>
      <c r="G1424" s="58"/>
      <c r="H1424" s="56"/>
      <c r="I1424" s="61" t="str">
        <f aca="false">IF(IsPro,IF(OR($C1424="",N($G1424)=0),"",IF(OR($C1424="Receipt",$C1424="Other Income",$C1424="Capital In",$C1424="Transfer In"),$G1424,0)),"")</f>
        <v/>
      </c>
      <c r="J1424" s="61" t="str">
        <f aca="false">IF(IsPro,IF(OR($C1424="",N($G1424)=0),"",IF(I1424=0,$G1424,0)),"")</f>
        <v/>
      </c>
      <c r="K1424" s="60" t="str">
        <f aca="false">IF(IsPro,IF($C1424="","",IF(AND(OR($C1424="Receipt",$C1424="Payment"),$D1424=""),"Party needed",IF(AND(OR($C1424="Expense",$C1424="Other Income"),$E1424=""),"Head needed",IF($F1424="","Account needed","OK")))),IF($C1424="","","PRO PLAN"))</f>
        <v/>
      </c>
    </row>
    <row r="1425" customFormat="false" ht="15" hidden="false" customHeight="false" outlineLevel="0" collapsed="false">
      <c r="A1425" s="55"/>
      <c r="B1425" s="56"/>
      <c r="C1425" s="56"/>
      <c r="D1425" s="56"/>
      <c r="E1425" s="56"/>
      <c r="F1425" s="56"/>
      <c r="G1425" s="58"/>
      <c r="H1425" s="56"/>
      <c r="I1425" s="61" t="str">
        <f aca="false">IF(IsPro,IF(OR($C1425="",N($G1425)=0),"",IF(OR($C1425="Receipt",$C1425="Other Income",$C1425="Capital In",$C1425="Transfer In"),$G1425,0)),"")</f>
        <v/>
      </c>
      <c r="J1425" s="61" t="str">
        <f aca="false">IF(IsPro,IF(OR($C1425="",N($G1425)=0),"",IF(I1425=0,$G1425,0)),"")</f>
        <v/>
      </c>
      <c r="K1425" s="60" t="str">
        <f aca="false">IF(IsPro,IF($C1425="","",IF(AND(OR($C1425="Receipt",$C1425="Payment"),$D1425=""),"Party needed",IF(AND(OR($C1425="Expense",$C1425="Other Income"),$E1425=""),"Head needed",IF($F1425="","Account needed","OK")))),IF($C1425="","","PRO PLAN"))</f>
        <v/>
      </c>
    </row>
    <row r="1426" customFormat="false" ht="15" hidden="false" customHeight="false" outlineLevel="0" collapsed="false">
      <c r="A1426" s="55"/>
      <c r="B1426" s="56"/>
      <c r="C1426" s="56"/>
      <c r="D1426" s="56"/>
      <c r="E1426" s="56"/>
      <c r="F1426" s="56"/>
      <c r="G1426" s="58"/>
      <c r="H1426" s="56"/>
      <c r="I1426" s="61" t="str">
        <f aca="false">IF(IsPro,IF(OR($C1426="",N($G1426)=0),"",IF(OR($C1426="Receipt",$C1426="Other Income",$C1426="Capital In",$C1426="Transfer In"),$G1426,0)),"")</f>
        <v/>
      </c>
      <c r="J1426" s="61" t="str">
        <f aca="false">IF(IsPro,IF(OR($C1426="",N($G1426)=0),"",IF(I1426=0,$G1426,0)),"")</f>
        <v/>
      </c>
      <c r="K1426" s="60" t="str">
        <f aca="false">IF(IsPro,IF($C1426="","",IF(AND(OR($C1426="Receipt",$C1426="Payment"),$D1426=""),"Party needed",IF(AND(OR($C1426="Expense",$C1426="Other Income"),$E1426=""),"Head needed",IF($F1426="","Account needed","OK")))),IF($C1426="","","PRO PLAN"))</f>
        <v/>
      </c>
    </row>
    <row r="1427" customFormat="false" ht="15" hidden="false" customHeight="false" outlineLevel="0" collapsed="false">
      <c r="A1427" s="55"/>
      <c r="B1427" s="56"/>
      <c r="C1427" s="56"/>
      <c r="D1427" s="56"/>
      <c r="E1427" s="56"/>
      <c r="F1427" s="56"/>
      <c r="G1427" s="58"/>
      <c r="H1427" s="56"/>
      <c r="I1427" s="61" t="str">
        <f aca="false">IF(IsPro,IF(OR($C1427="",N($G1427)=0),"",IF(OR($C1427="Receipt",$C1427="Other Income",$C1427="Capital In",$C1427="Transfer In"),$G1427,0)),"")</f>
        <v/>
      </c>
      <c r="J1427" s="61" t="str">
        <f aca="false">IF(IsPro,IF(OR($C1427="",N($G1427)=0),"",IF(I1427=0,$G1427,0)),"")</f>
        <v/>
      </c>
      <c r="K1427" s="60" t="str">
        <f aca="false">IF(IsPro,IF($C1427="","",IF(AND(OR($C1427="Receipt",$C1427="Payment"),$D1427=""),"Party needed",IF(AND(OR($C1427="Expense",$C1427="Other Income"),$E1427=""),"Head needed",IF($F1427="","Account needed","OK")))),IF($C1427="","","PRO PLAN"))</f>
        <v/>
      </c>
    </row>
    <row r="1428" customFormat="false" ht="15" hidden="false" customHeight="false" outlineLevel="0" collapsed="false">
      <c r="A1428" s="55"/>
      <c r="B1428" s="56"/>
      <c r="C1428" s="56"/>
      <c r="D1428" s="56"/>
      <c r="E1428" s="56"/>
      <c r="F1428" s="56"/>
      <c r="G1428" s="58"/>
      <c r="H1428" s="56"/>
      <c r="I1428" s="61" t="str">
        <f aca="false">IF(IsPro,IF(OR($C1428="",N($G1428)=0),"",IF(OR($C1428="Receipt",$C1428="Other Income",$C1428="Capital In",$C1428="Transfer In"),$G1428,0)),"")</f>
        <v/>
      </c>
      <c r="J1428" s="61" t="str">
        <f aca="false">IF(IsPro,IF(OR($C1428="",N($G1428)=0),"",IF(I1428=0,$G1428,0)),"")</f>
        <v/>
      </c>
      <c r="K1428" s="60" t="str">
        <f aca="false">IF(IsPro,IF($C1428="","",IF(AND(OR($C1428="Receipt",$C1428="Payment"),$D1428=""),"Party needed",IF(AND(OR($C1428="Expense",$C1428="Other Income"),$E1428=""),"Head needed",IF($F1428="","Account needed","OK")))),IF($C1428="","","PRO PLAN"))</f>
        <v/>
      </c>
    </row>
    <row r="1429" customFormat="false" ht="15" hidden="false" customHeight="false" outlineLevel="0" collapsed="false">
      <c r="A1429" s="55"/>
      <c r="B1429" s="56"/>
      <c r="C1429" s="56"/>
      <c r="D1429" s="56"/>
      <c r="E1429" s="56"/>
      <c r="F1429" s="56"/>
      <c r="G1429" s="58"/>
      <c r="H1429" s="56"/>
      <c r="I1429" s="61" t="str">
        <f aca="false">IF(IsPro,IF(OR($C1429="",N($G1429)=0),"",IF(OR($C1429="Receipt",$C1429="Other Income",$C1429="Capital In",$C1429="Transfer In"),$G1429,0)),"")</f>
        <v/>
      </c>
      <c r="J1429" s="61" t="str">
        <f aca="false">IF(IsPro,IF(OR($C1429="",N($G1429)=0),"",IF(I1429=0,$G1429,0)),"")</f>
        <v/>
      </c>
      <c r="K1429" s="60" t="str">
        <f aca="false">IF(IsPro,IF($C1429="","",IF(AND(OR($C1429="Receipt",$C1429="Payment"),$D1429=""),"Party needed",IF(AND(OR($C1429="Expense",$C1429="Other Income"),$E1429=""),"Head needed",IF($F1429="","Account needed","OK")))),IF($C1429="","","PRO PLAN"))</f>
        <v/>
      </c>
    </row>
    <row r="1430" customFormat="false" ht="15" hidden="false" customHeight="false" outlineLevel="0" collapsed="false">
      <c r="A1430" s="55"/>
      <c r="B1430" s="56"/>
      <c r="C1430" s="56"/>
      <c r="D1430" s="56"/>
      <c r="E1430" s="56"/>
      <c r="F1430" s="56"/>
      <c r="G1430" s="58"/>
      <c r="H1430" s="56"/>
      <c r="I1430" s="61" t="str">
        <f aca="false">IF(IsPro,IF(OR($C1430="",N($G1430)=0),"",IF(OR($C1430="Receipt",$C1430="Other Income",$C1430="Capital In",$C1430="Transfer In"),$G1430,0)),"")</f>
        <v/>
      </c>
      <c r="J1430" s="61" t="str">
        <f aca="false">IF(IsPro,IF(OR($C1430="",N($G1430)=0),"",IF(I1430=0,$G1430,0)),"")</f>
        <v/>
      </c>
      <c r="K1430" s="60" t="str">
        <f aca="false">IF(IsPro,IF($C1430="","",IF(AND(OR($C1430="Receipt",$C1430="Payment"),$D1430=""),"Party needed",IF(AND(OR($C1430="Expense",$C1430="Other Income"),$E1430=""),"Head needed",IF($F1430="","Account needed","OK")))),IF($C1430="","","PRO PLAN"))</f>
        <v/>
      </c>
    </row>
    <row r="1431" customFormat="false" ht="15" hidden="false" customHeight="false" outlineLevel="0" collapsed="false">
      <c r="A1431" s="55"/>
      <c r="B1431" s="56"/>
      <c r="C1431" s="56"/>
      <c r="D1431" s="56"/>
      <c r="E1431" s="56"/>
      <c r="F1431" s="56"/>
      <c r="G1431" s="58"/>
      <c r="H1431" s="56"/>
      <c r="I1431" s="61" t="str">
        <f aca="false">IF(IsPro,IF(OR($C1431="",N($G1431)=0),"",IF(OR($C1431="Receipt",$C1431="Other Income",$C1431="Capital In",$C1431="Transfer In"),$G1431,0)),"")</f>
        <v/>
      </c>
      <c r="J1431" s="61" t="str">
        <f aca="false">IF(IsPro,IF(OR($C1431="",N($G1431)=0),"",IF(I1431=0,$G1431,0)),"")</f>
        <v/>
      </c>
      <c r="K1431" s="60" t="str">
        <f aca="false">IF(IsPro,IF($C1431="","",IF(AND(OR($C1431="Receipt",$C1431="Payment"),$D1431=""),"Party needed",IF(AND(OR($C1431="Expense",$C1431="Other Income"),$E1431=""),"Head needed",IF($F1431="","Account needed","OK")))),IF($C1431="","","PRO PLAN"))</f>
        <v/>
      </c>
    </row>
    <row r="1432" customFormat="false" ht="15" hidden="false" customHeight="false" outlineLevel="0" collapsed="false">
      <c r="A1432" s="55"/>
      <c r="B1432" s="56"/>
      <c r="C1432" s="56"/>
      <c r="D1432" s="56"/>
      <c r="E1432" s="56"/>
      <c r="F1432" s="56"/>
      <c r="G1432" s="58"/>
      <c r="H1432" s="56"/>
      <c r="I1432" s="61" t="str">
        <f aca="false">IF(IsPro,IF(OR($C1432="",N($G1432)=0),"",IF(OR($C1432="Receipt",$C1432="Other Income",$C1432="Capital In",$C1432="Transfer In"),$G1432,0)),"")</f>
        <v/>
      </c>
      <c r="J1432" s="61" t="str">
        <f aca="false">IF(IsPro,IF(OR($C1432="",N($G1432)=0),"",IF(I1432=0,$G1432,0)),"")</f>
        <v/>
      </c>
      <c r="K1432" s="60" t="str">
        <f aca="false">IF(IsPro,IF($C1432="","",IF(AND(OR($C1432="Receipt",$C1432="Payment"),$D1432=""),"Party needed",IF(AND(OR($C1432="Expense",$C1432="Other Income"),$E1432=""),"Head needed",IF($F1432="","Account needed","OK")))),IF($C1432="","","PRO PLAN"))</f>
        <v/>
      </c>
    </row>
    <row r="1433" customFormat="false" ht="15" hidden="false" customHeight="false" outlineLevel="0" collapsed="false">
      <c r="A1433" s="55"/>
      <c r="B1433" s="56"/>
      <c r="C1433" s="56"/>
      <c r="D1433" s="56"/>
      <c r="E1433" s="56"/>
      <c r="F1433" s="56"/>
      <c r="G1433" s="58"/>
      <c r="H1433" s="56"/>
      <c r="I1433" s="61" t="str">
        <f aca="false">IF(IsPro,IF(OR($C1433="",N($G1433)=0),"",IF(OR($C1433="Receipt",$C1433="Other Income",$C1433="Capital In",$C1433="Transfer In"),$G1433,0)),"")</f>
        <v/>
      </c>
      <c r="J1433" s="61" t="str">
        <f aca="false">IF(IsPro,IF(OR($C1433="",N($G1433)=0),"",IF(I1433=0,$G1433,0)),"")</f>
        <v/>
      </c>
      <c r="K1433" s="60" t="str">
        <f aca="false">IF(IsPro,IF($C1433="","",IF(AND(OR($C1433="Receipt",$C1433="Payment"),$D1433=""),"Party needed",IF(AND(OR($C1433="Expense",$C1433="Other Income"),$E1433=""),"Head needed",IF($F1433="","Account needed","OK")))),IF($C1433="","","PRO PLAN"))</f>
        <v/>
      </c>
    </row>
    <row r="1434" customFormat="false" ht="15" hidden="false" customHeight="false" outlineLevel="0" collapsed="false">
      <c r="A1434" s="55"/>
      <c r="B1434" s="56"/>
      <c r="C1434" s="56"/>
      <c r="D1434" s="56"/>
      <c r="E1434" s="56"/>
      <c r="F1434" s="56"/>
      <c r="G1434" s="58"/>
      <c r="H1434" s="56"/>
      <c r="I1434" s="61" t="str">
        <f aca="false">IF(IsPro,IF(OR($C1434="",N($G1434)=0),"",IF(OR($C1434="Receipt",$C1434="Other Income",$C1434="Capital In",$C1434="Transfer In"),$G1434,0)),"")</f>
        <v/>
      </c>
      <c r="J1434" s="61" t="str">
        <f aca="false">IF(IsPro,IF(OR($C1434="",N($G1434)=0),"",IF(I1434=0,$G1434,0)),"")</f>
        <v/>
      </c>
      <c r="K1434" s="60" t="str">
        <f aca="false">IF(IsPro,IF($C1434="","",IF(AND(OR($C1434="Receipt",$C1434="Payment"),$D1434=""),"Party needed",IF(AND(OR($C1434="Expense",$C1434="Other Income"),$E1434=""),"Head needed",IF($F1434="","Account needed","OK")))),IF($C1434="","","PRO PLAN"))</f>
        <v/>
      </c>
    </row>
    <row r="1435" customFormat="false" ht="15" hidden="false" customHeight="false" outlineLevel="0" collapsed="false">
      <c r="A1435" s="55"/>
      <c r="B1435" s="56"/>
      <c r="C1435" s="56"/>
      <c r="D1435" s="56"/>
      <c r="E1435" s="56"/>
      <c r="F1435" s="56"/>
      <c r="G1435" s="58"/>
      <c r="H1435" s="56"/>
      <c r="I1435" s="61" t="str">
        <f aca="false">IF(IsPro,IF(OR($C1435="",N($G1435)=0),"",IF(OR($C1435="Receipt",$C1435="Other Income",$C1435="Capital In",$C1435="Transfer In"),$G1435,0)),"")</f>
        <v/>
      </c>
      <c r="J1435" s="61" t="str">
        <f aca="false">IF(IsPro,IF(OR($C1435="",N($G1435)=0),"",IF(I1435=0,$G1435,0)),"")</f>
        <v/>
      </c>
      <c r="K1435" s="60" t="str">
        <f aca="false">IF(IsPro,IF($C1435="","",IF(AND(OR($C1435="Receipt",$C1435="Payment"),$D1435=""),"Party needed",IF(AND(OR($C1435="Expense",$C1435="Other Income"),$E1435=""),"Head needed",IF($F1435="","Account needed","OK")))),IF($C1435="","","PRO PLAN"))</f>
        <v/>
      </c>
    </row>
    <row r="1436" customFormat="false" ht="15" hidden="false" customHeight="false" outlineLevel="0" collapsed="false">
      <c r="A1436" s="55"/>
      <c r="B1436" s="56"/>
      <c r="C1436" s="56"/>
      <c r="D1436" s="56"/>
      <c r="E1436" s="56"/>
      <c r="F1436" s="56"/>
      <c r="G1436" s="58"/>
      <c r="H1436" s="56"/>
      <c r="I1436" s="61" t="str">
        <f aca="false">IF(IsPro,IF(OR($C1436="",N($G1436)=0),"",IF(OR($C1436="Receipt",$C1436="Other Income",$C1436="Capital In",$C1436="Transfer In"),$G1436,0)),"")</f>
        <v/>
      </c>
      <c r="J1436" s="61" t="str">
        <f aca="false">IF(IsPro,IF(OR($C1436="",N($G1436)=0),"",IF(I1436=0,$G1436,0)),"")</f>
        <v/>
      </c>
      <c r="K1436" s="60" t="str">
        <f aca="false">IF(IsPro,IF($C1436="","",IF(AND(OR($C1436="Receipt",$C1436="Payment"),$D1436=""),"Party needed",IF(AND(OR($C1436="Expense",$C1436="Other Income"),$E1436=""),"Head needed",IF($F1436="","Account needed","OK")))),IF($C1436="","","PRO PLAN"))</f>
        <v/>
      </c>
    </row>
    <row r="1437" customFormat="false" ht="15" hidden="false" customHeight="false" outlineLevel="0" collapsed="false">
      <c r="A1437" s="55"/>
      <c r="B1437" s="56"/>
      <c r="C1437" s="56"/>
      <c r="D1437" s="56"/>
      <c r="E1437" s="56"/>
      <c r="F1437" s="56"/>
      <c r="G1437" s="58"/>
      <c r="H1437" s="56"/>
      <c r="I1437" s="61" t="str">
        <f aca="false">IF(IsPro,IF(OR($C1437="",N($G1437)=0),"",IF(OR($C1437="Receipt",$C1437="Other Income",$C1437="Capital In",$C1437="Transfer In"),$G1437,0)),"")</f>
        <v/>
      </c>
      <c r="J1437" s="61" t="str">
        <f aca="false">IF(IsPro,IF(OR($C1437="",N($G1437)=0),"",IF(I1437=0,$G1437,0)),"")</f>
        <v/>
      </c>
      <c r="K1437" s="60" t="str">
        <f aca="false">IF(IsPro,IF($C1437="","",IF(AND(OR($C1437="Receipt",$C1437="Payment"),$D1437=""),"Party needed",IF(AND(OR($C1437="Expense",$C1437="Other Income"),$E1437=""),"Head needed",IF($F1437="","Account needed","OK")))),IF($C1437="","","PRO PLAN"))</f>
        <v/>
      </c>
    </row>
    <row r="1438" customFormat="false" ht="15" hidden="false" customHeight="false" outlineLevel="0" collapsed="false">
      <c r="A1438" s="55"/>
      <c r="B1438" s="56"/>
      <c r="C1438" s="56"/>
      <c r="D1438" s="56"/>
      <c r="E1438" s="56"/>
      <c r="F1438" s="56"/>
      <c r="G1438" s="58"/>
      <c r="H1438" s="56"/>
      <c r="I1438" s="61" t="str">
        <f aca="false">IF(IsPro,IF(OR($C1438="",N($G1438)=0),"",IF(OR($C1438="Receipt",$C1438="Other Income",$C1438="Capital In",$C1438="Transfer In"),$G1438,0)),"")</f>
        <v/>
      </c>
      <c r="J1438" s="61" t="str">
        <f aca="false">IF(IsPro,IF(OR($C1438="",N($G1438)=0),"",IF(I1438=0,$G1438,0)),"")</f>
        <v/>
      </c>
      <c r="K1438" s="60" t="str">
        <f aca="false">IF(IsPro,IF($C1438="","",IF(AND(OR($C1438="Receipt",$C1438="Payment"),$D1438=""),"Party needed",IF(AND(OR($C1438="Expense",$C1438="Other Income"),$E1438=""),"Head needed",IF($F1438="","Account needed","OK")))),IF($C1438="","","PRO PLAN"))</f>
        <v/>
      </c>
    </row>
    <row r="1439" customFormat="false" ht="15" hidden="false" customHeight="false" outlineLevel="0" collapsed="false">
      <c r="A1439" s="55"/>
      <c r="B1439" s="56"/>
      <c r="C1439" s="56"/>
      <c r="D1439" s="56"/>
      <c r="E1439" s="56"/>
      <c r="F1439" s="56"/>
      <c r="G1439" s="58"/>
      <c r="H1439" s="56"/>
      <c r="I1439" s="61" t="str">
        <f aca="false">IF(IsPro,IF(OR($C1439="",N($G1439)=0),"",IF(OR($C1439="Receipt",$C1439="Other Income",$C1439="Capital In",$C1439="Transfer In"),$G1439,0)),"")</f>
        <v/>
      </c>
      <c r="J1439" s="61" t="str">
        <f aca="false">IF(IsPro,IF(OR($C1439="",N($G1439)=0),"",IF(I1439=0,$G1439,0)),"")</f>
        <v/>
      </c>
      <c r="K1439" s="60" t="str">
        <f aca="false">IF(IsPro,IF($C1439="","",IF(AND(OR($C1439="Receipt",$C1439="Payment"),$D1439=""),"Party needed",IF(AND(OR($C1439="Expense",$C1439="Other Income"),$E1439=""),"Head needed",IF($F1439="","Account needed","OK")))),IF($C1439="","","PRO PLAN"))</f>
        <v/>
      </c>
    </row>
    <row r="1440" customFormat="false" ht="15" hidden="false" customHeight="false" outlineLevel="0" collapsed="false">
      <c r="A1440" s="55"/>
      <c r="B1440" s="56"/>
      <c r="C1440" s="56"/>
      <c r="D1440" s="56"/>
      <c r="E1440" s="56"/>
      <c r="F1440" s="56"/>
      <c r="G1440" s="58"/>
      <c r="H1440" s="56"/>
      <c r="I1440" s="61" t="str">
        <f aca="false">IF(IsPro,IF(OR($C1440="",N($G1440)=0),"",IF(OR($C1440="Receipt",$C1440="Other Income",$C1440="Capital In",$C1440="Transfer In"),$G1440,0)),"")</f>
        <v/>
      </c>
      <c r="J1440" s="61" t="str">
        <f aca="false">IF(IsPro,IF(OR($C1440="",N($G1440)=0),"",IF(I1440=0,$G1440,0)),"")</f>
        <v/>
      </c>
      <c r="K1440" s="60" t="str">
        <f aca="false">IF(IsPro,IF($C1440="","",IF(AND(OR($C1440="Receipt",$C1440="Payment"),$D1440=""),"Party needed",IF(AND(OR($C1440="Expense",$C1440="Other Income"),$E1440=""),"Head needed",IF($F1440="","Account needed","OK")))),IF($C1440="","","PRO PLAN"))</f>
        <v/>
      </c>
    </row>
    <row r="1441" customFormat="false" ht="15" hidden="false" customHeight="false" outlineLevel="0" collapsed="false">
      <c r="A1441" s="55"/>
      <c r="B1441" s="56"/>
      <c r="C1441" s="56"/>
      <c r="D1441" s="56"/>
      <c r="E1441" s="56"/>
      <c r="F1441" s="56"/>
      <c r="G1441" s="58"/>
      <c r="H1441" s="56"/>
      <c r="I1441" s="61" t="str">
        <f aca="false">IF(IsPro,IF(OR($C1441="",N($G1441)=0),"",IF(OR($C1441="Receipt",$C1441="Other Income",$C1441="Capital In",$C1441="Transfer In"),$G1441,0)),"")</f>
        <v/>
      </c>
      <c r="J1441" s="61" t="str">
        <f aca="false">IF(IsPro,IF(OR($C1441="",N($G1441)=0),"",IF(I1441=0,$G1441,0)),"")</f>
        <v/>
      </c>
      <c r="K1441" s="60" t="str">
        <f aca="false">IF(IsPro,IF($C1441="","",IF(AND(OR($C1441="Receipt",$C1441="Payment"),$D1441=""),"Party needed",IF(AND(OR($C1441="Expense",$C1441="Other Income"),$E1441=""),"Head needed",IF($F1441="","Account needed","OK")))),IF($C1441="","","PRO PLAN"))</f>
        <v/>
      </c>
    </row>
    <row r="1442" customFormat="false" ht="15" hidden="false" customHeight="false" outlineLevel="0" collapsed="false">
      <c r="A1442" s="55"/>
      <c r="B1442" s="56"/>
      <c r="C1442" s="56"/>
      <c r="D1442" s="56"/>
      <c r="E1442" s="56"/>
      <c r="F1442" s="56"/>
      <c r="G1442" s="58"/>
      <c r="H1442" s="56"/>
      <c r="I1442" s="61" t="str">
        <f aca="false">IF(IsPro,IF(OR($C1442="",N($G1442)=0),"",IF(OR($C1442="Receipt",$C1442="Other Income",$C1442="Capital In",$C1442="Transfer In"),$G1442,0)),"")</f>
        <v/>
      </c>
      <c r="J1442" s="61" t="str">
        <f aca="false">IF(IsPro,IF(OR($C1442="",N($G1442)=0),"",IF(I1442=0,$G1442,0)),"")</f>
        <v/>
      </c>
      <c r="K1442" s="60" t="str">
        <f aca="false">IF(IsPro,IF($C1442="","",IF(AND(OR($C1442="Receipt",$C1442="Payment"),$D1442=""),"Party needed",IF(AND(OR($C1442="Expense",$C1442="Other Income"),$E1442=""),"Head needed",IF($F1442="","Account needed","OK")))),IF($C1442="","","PRO PLAN"))</f>
        <v/>
      </c>
    </row>
    <row r="1443" customFormat="false" ht="15" hidden="false" customHeight="false" outlineLevel="0" collapsed="false">
      <c r="A1443" s="55"/>
      <c r="B1443" s="56"/>
      <c r="C1443" s="56"/>
      <c r="D1443" s="56"/>
      <c r="E1443" s="56"/>
      <c r="F1443" s="56"/>
      <c r="G1443" s="58"/>
      <c r="H1443" s="56"/>
      <c r="I1443" s="61" t="str">
        <f aca="false">IF(IsPro,IF(OR($C1443="",N($G1443)=0),"",IF(OR($C1443="Receipt",$C1443="Other Income",$C1443="Capital In",$C1443="Transfer In"),$G1443,0)),"")</f>
        <v/>
      </c>
      <c r="J1443" s="61" t="str">
        <f aca="false">IF(IsPro,IF(OR($C1443="",N($G1443)=0),"",IF(I1443=0,$G1443,0)),"")</f>
        <v/>
      </c>
      <c r="K1443" s="60" t="str">
        <f aca="false">IF(IsPro,IF($C1443="","",IF(AND(OR($C1443="Receipt",$C1443="Payment"),$D1443=""),"Party needed",IF(AND(OR($C1443="Expense",$C1443="Other Income"),$E1443=""),"Head needed",IF($F1443="","Account needed","OK")))),IF($C1443="","","PRO PLAN"))</f>
        <v/>
      </c>
    </row>
    <row r="1444" customFormat="false" ht="15" hidden="false" customHeight="false" outlineLevel="0" collapsed="false">
      <c r="A1444" s="55"/>
      <c r="B1444" s="56"/>
      <c r="C1444" s="56"/>
      <c r="D1444" s="56"/>
      <c r="E1444" s="56"/>
      <c r="F1444" s="56"/>
      <c r="G1444" s="58"/>
      <c r="H1444" s="56"/>
      <c r="I1444" s="61" t="str">
        <f aca="false">IF(IsPro,IF(OR($C1444="",N($G1444)=0),"",IF(OR($C1444="Receipt",$C1444="Other Income",$C1444="Capital In",$C1444="Transfer In"),$G1444,0)),"")</f>
        <v/>
      </c>
      <c r="J1444" s="61" t="str">
        <f aca="false">IF(IsPro,IF(OR($C1444="",N($G1444)=0),"",IF(I1444=0,$G1444,0)),"")</f>
        <v/>
      </c>
      <c r="K1444" s="60" t="str">
        <f aca="false">IF(IsPro,IF($C1444="","",IF(AND(OR($C1444="Receipt",$C1444="Payment"),$D1444=""),"Party needed",IF(AND(OR($C1444="Expense",$C1444="Other Income"),$E1444=""),"Head needed",IF($F1444="","Account needed","OK")))),IF($C1444="","","PRO PLAN"))</f>
        <v/>
      </c>
    </row>
    <row r="1445" customFormat="false" ht="15" hidden="false" customHeight="false" outlineLevel="0" collapsed="false">
      <c r="A1445" s="55"/>
      <c r="B1445" s="56"/>
      <c r="C1445" s="56"/>
      <c r="D1445" s="56"/>
      <c r="E1445" s="56"/>
      <c r="F1445" s="56"/>
      <c r="G1445" s="58"/>
      <c r="H1445" s="56"/>
      <c r="I1445" s="61" t="str">
        <f aca="false">IF(IsPro,IF(OR($C1445="",N($G1445)=0),"",IF(OR($C1445="Receipt",$C1445="Other Income",$C1445="Capital In",$C1445="Transfer In"),$G1445,0)),"")</f>
        <v/>
      </c>
      <c r="J1445" s="61" t="str">
        <f aca="false">IF(IsPro,IF(OR($C1445="",N($G1445)=0),"",IF(I1445=0,$G1445,0)),"")</f>
        <v/>
      </c>
      <c r="K1445" s="60" t="str">
        <f aca="false">IF(IsPro,IF($C1445="","",IF(AND(OR($C1445="Receipt",$C1445="Payment"),$D1445=""),"Party needed",IF(AND(OR($C1445="Expense",$C1445="Other Income"),$E1445=""),"Head needed",IF($F1445="","Account needed","OK")))),IF($C1445="","","PRO PLAN"))</f>
        <v/>
      </c>
    </row>
    <row r="1446" customFormat="false" ht="15" hidden="false" customHeight="false" outlineLevel="0" collapsed="false">
      <c r="A1446" s="55"/>
      <c r="B1446" s="56"/>
      <c r="C1446" s="56"/>
      <c r="D1446" s="56"/>
      <c r="E1446" s="56"/>
      <c r="F1446" s="56"/>
      <c r="G1446" s="58"/>
      <c r="H1446" s="56"/>
      <c r="I1446" s="61" t="str">
        <f aca="false">IF(IsPro,IF(OR($C1446="",N($G1446)=0),"",IF(OR($C1446="Receipt",$C1446="Other Income",$C1446="Capital In",$C1446="Transfer In"),$G1446,0)),"")</f>
        <v/>
      </c>
      <c r="J1446" s="61" t="str">
        <f aca="false">IF(IsPro,IF(OR($C1446="",N($G1446)=0),"",IF(I1446=0,$G1446,0)),"")</f>
        <v/>
      </c>
      <c r="K1446" s="60" t="str">
        <f aca="false">IF(IsPro,IF($C1446="","",IF(AND(OR($C1446="Receipt",$C1446="Payment"),$D1446=""),"Party needed",IF(AND(OR($C1446="Expense",$C1446="Other Income"),$E1446=""),"Head needed",IF($F1446="","Account needed","OK")))),IF($C1446="","","PRO PLAN"))</f>
        <v/>
      </c>
    </row>
    <row r="1447" customFormat="false" ht="15" hidden="false" customHeight="false" outlineLevel="0" collapsed="false">
      <c r="A1447" s="55"/>
      <c r="B1447" s="56"/>
      <c r="C1447" s="56"/>
      <c r="D1447" s="56"/>
      <c r="E1447" s="56"/>
      <c r="F1447" s="56"/>
      <c r="G1447" s="58"/>
      <c r="H1447" s="56"/>
      <c r="I1447" s="61" t="str">
        <f aca="false">IF(IsPro,IF(OR($C1447="",N($G1447)=0),"",IF(OR($C1447="Receipt",$C1447="Other Income",$C1447="Capital In",$C1447="Transfer In"),$G1447,0)),"")</f>
        <v/>
      </c>
      <c r="J1447" s="61" t="str">
        <f aca="false">IF(IsPro,IF(OR($C1447="",N($G1447)=0),"",IF(I1447=0,$G1447,0)),"")</f>
        <v/>
      </c>
      <c r="K1447" s="60" t="str">
        <f aca="false">IF(IsPro,IF($C1447="","",IF(AND(OR($C1447="Receipt",$C1447="Payment"),$D1447=""),"Party needed",IF(AND(OR($C1447="Expense",$C1447="Other Income"),$E1447=""),"Head needed",IF($F1447="","Account needed","OK")))),IF($C1447="","","PRO PLAN"))</f>
        <v/>
      </c>
    </row>
    <row r="1448" customFormat="false" ht="15" hidden="false" customHeight="false" outlineLevel="0" collapsed="false">
      <c r="A1448" s="55"/>
      <c r="B1448" s="56"/>
      <c r="C1448" s="56"/>
      <c r="D1448" s="56"/>
      <c r="E1448" s="56"/>
      <c r="F1448" s="56"/>
      <c r="G1448" s="58"/>
      <c r="H1448" s="56"/>
      <c r="I1448" s="61" t="str">
        <f aca="false">IF(IsPro,IF(OR($C1448="",N($G1448)=0),"",IF(OR($C1448="Receipt",$C1448="Other Income",$C1448="Capital In",$C1448="Transfer In"),$G1448,0)),"")</f>
        <v/>
      </c>
      <c r="J1448" s="61" t="str">
        <f aca="false">IF(IsPro,IF(OR($C1448="",N($G1448)=0),"",IF(I1448=0,$G1448,0)),"")</f>
        <v/>
      </c>
      <c r="K1448" s="60" t="str">
        <f aca="false">IF(IsPro,IF($C1448="","",IF(AND(OR($C1448="Receipt",$C1448="Payment"),$D1448=""),"Party needed",IF(AND(OR($C1448="Expense",$C1448="Other Income"),$E1448=""),"Head needed",IF($F1448="","Account needed","OK")))),IF($C1448="","","PRO PLAN"))</f>
        <v/>
      </c>
    </row>
    <row r="1449" customFormat="false" ht="15" hidden="false" customHeight="false" outlineLevel="0" collapsed="false">
      <c r="A1449" s="55"/>
      <c r="B1449" s="56"/>
      <c r="C1449" s="56"/>
      <c r="D1449" s="56"/>
      <c r="E1449" s="56"/>
      <c r="F1449" s="56"/>
      <c r="G1449" s="58"/>
      <c r="H1449" s="56"/>
      <c r="I1449" s="61" t="str">
        <f aca="false">IF(IsPro,IF(OR($C1449="",N($G1449)=0),"",IF(OR($C1449="Receipt",$C1449="Other Income",$C1449="Capital In",$C1449="Transfer In"),$G1449,0)),"")</f>
        <v/>
      </c>
      <c r="J1449" s="61" t="str">
        <f aca="false">IF(IsPro,IF(OR($C1449="",N($G1449)=0),"",IF(I1449=0,$G1449,0)),"")</f>
        <v/>
      </c>
      <c r="K1449" s="60" t="str">
        <f aca="false">IF(IsPro,IF($C1449="","",IF(AND(OR($C1449="Receipt",$C1449="Payment"),$D1449=""),"Party needed",IF(AND(OR($C1449="Expense",$C1449="Other Income"),$E1449=""),"Head needed",IF($F1449="","Account needed","OK")))),IF($C1449="","","PRO PLAN"))</f>
        <v/>
      </c>
    </row>
    <row r="1450" customFormat="false" ht="15" hidden="false" customHeight="false" outlineLevel="0" collapsed="false">
      <c r="A1450" s="55"/>
      <c r="B1450" s="56"/>
      <c r="C1450" s="56"/>
      <c r="D1450" s="56"/>
      <c r="E1450" s="56"/>
      <c r="F1450" s="56"/>
      <c r="G1450" s="58"/>
      <c r="H1450" s="56"/>
      <c r="I1450" s="61" t="str">
        <f aca="false">IF(IsPro,IF(OR($C1450="",N($G1450)=0),"",IF(OR($C1450="Receipt",$C1450="Other Income",$C1450="Capital In",$C1450="Transfer In"),$G1450,0)),"")</f>
        <v/>
      </c>
      <c r="J1450" s="61" t="str">
        <f aca="false">IF(IsPro,IF(OR($C1450="",N($G1450)=0),"",IF(I1450=0,$G1450,0)),"")</f>
        <v/>
      </c>
      <c r="K1450" s="60" t="str">
        <f aca="false">IF(IsPro,IF($C1450="","",IF(AND(OR($C1450="Receipt",$C1450="Payment"),$D1450=""),"Party needed",IF(AND(OR($C1450="Expense",$C1450="Other Income"),$E1450=""),"Head needed",IF($F1450="","Account needed","OK")))),IF($C1450="","","PRO PLAN"))</f>
        <v/>
      </c>
    </row>
    <row r="1451" customFormat="false" ht="15" hidden="false" customHeight="false" outlineLevel="0" collapsed="false">
      <c r="A1451" s="55"/>
      <c r="B1451" s="56"/>
      <c r="C1451" s="56"/>
      <c r="D1451" s="56"/>
      <c r="E1451" s="56"/>
      <c r="F1451" s="56"/>
      <c r="G1451" s="58"/>
      <c r="H1451" s="56"/>
      <c r="I1451" s="61" t="str">
        <f aca="false">IF(IsPro,IF(OR($C1451="",N($G1451)=0),"",IF(OR($C1451="Receipt",$C1451="Other Income",$C1451="Capital In",$C1451="Transfer In"),$G1451,0)),"")</f>
        <v/>
      </c>
      <c r="J1451" s="61" t="str">
        <f aca="false">IF(IsPro,IF(OR($C1451="",N($G1451)=0),"",IF(I1451=0,$G1451,0)),"")</f>
        <v/>
      </c>
      <c r="K1451" s="60" t="str">
        <f aca="false">IF(IsPro,IF($C1451="","",IF(AND(OR($C1451="Receipt",$C1451="Payment"),$D1451=""),"Party needed",IF(AND(OR($C1451="Expense",$C1451="Other Income"),$E1451=""),"Head needed",IF($F1451="","Account needed","OK")))),IF($C1451="","","PRO PLAN"))</f>
        <v/>
      </c>
    </row>
    <row r="1452" customFormat="false" ht="15" hidden="false" customHeight="false" outlineLevel="0" collapsed="false">
      <c r="A1452" s="55"/>
      <c r="B1452" s="56"/>
      <c r="C1452" s="56"/>
      <c r="D1452" s="56"/>
      <c r="E1452" s="56"/>
      <c r="F1452" s="56"/>
      <c r="G1452" s="58"/>
      <c r="H1452" s="56"/>
      <c r="I1452" s="61" t="str">
        <f aca="false">IF(IsPro,IF(OR($C1452="",N($G1452)=0),"",IF(OR($C1452="Receipt",$C1452="Other Income",$C1452="Capital In",$C1452="Transfer In"),$G1452,0)),"")</f>
        <v/>
      </c>
      <c r="J1452" s="61" t="str">
        <f aca="false">IF(IsPro,IF(OR($C1452="",N($G1452)=0),"",IF(I1452=0,$G1452,0)),"")</f>
        <v/>
      </c>
      <c r="K1452" s="60" t="str">
        <f aca="false">IF(IsPro,IF($C1452="","",IF(AND(OR($C1452="Receipt",$C1452="Payment"),$D1452=""),"Party needed",IF(AND(OR($C1452="Expense",$C1452="Other Income"),$E1452=""),"Head needed",IF($F1452="","Account needed","OK")))),IF($C1452="","","PRO PLAN"))</f>
        <v/>
      </c>
    </row>
    <row r="1453" customFormat="false" ht="15" hidden="false" customHeight="false" outlineLevel="0" collapsed="false">
      <c r="A1453" s="55"/>
      <c r="B1453" s="56"/>
      <c r="C1453" s="56"/>
      <c r="D1453" s="56"/>
      <c r="E1453" s="56"/>
      <c r="F1453" s="56"/>
      <c r="G1453" s="58"/>
      <c r="H1453" s="56"/>
      <c r="I1453" s="61" t="str">
        <f aca="false">IF(IsPro,IF(OR($C1453="",N($G1453)=0),"",IF(OR($C1453="Receipt",$C1453="Other Income",$C1453="Capital In",$C1453="Transfer In"),$G1453,0)),"")</f>
        <v/>
      </c>
      <c r="J1453" s="61" t="str">
        <f aca="false">IF(IsPro,IF(OR($C1453="",N($G1453)=0),"",IF(I1453=0,$G1453,0)),"")</f>
        <v/>
      </c>
      <c r="K1453" s="60" t="str">
        <f aca="false">IF(IsPro,IF($C1453="","",IF(AND(OR($C1453="Receipt",$C1453="Payment"),$D1453=""),"Party needed",IF(AND(OR($C1453="Expense",$C1453="Other Income"),$E1453=""),"Head needed",IF($F1453="","Account needed","OK")))),IF($C1453="","","PRO PLAN"))</f>
        <v/>
      </c>
    </row>
    <row r="1454" customFormat="false" ht="15" hidden="false" customHeight="false" outlineLevel="0" collapsed="false">
      <c r="A1454" s="55"/>
      <c r="B1454" s="56"/>
      <c r="C1454" s="56"/>
      <c r="D1454" s="56"/>
      <c r="E1454" s="56"/>
      <c r="F1454" s="56"/>
      <c r="G1454" s="58"/>
      <c r="H1454" s="56"/>
      <c r="I1454" s="61" t="str">
        <f aca="false">IF(IsPro,IF(OR($C1454="",N($G1454)=0),"",IF(OR($C1454="Receipt",$C1454="Other Income",$C1454="Capital In",$C1454="Transfer In"),$G1454,0)),"")</f>
        <v/>
      </c>
      <c r="J1454" s="61" t="str">
        <f aca="false">IF(IsPro,IF(OR($C1454="",N($G1454)=0),"",IF(I1454=0,$G1454,0)),"")</f>
        <v/>
      </c>
      <c r="K1454" s="60" t="str">
        <f aca="false">IF(IsPro,IF($C1454="","",IF(AND(OR($C1454="Receipt",$C1454="Payment"),$D1454=""),"Party needed",IF(AND(OR($C1454="Expense",$C1454="Other Income"),$E1454=""),"Head needed",IF($F1454="","Account needed","OK")))),IF($C1454="","","PRO PLAN"))</f>
        <v/>
      </c>
    </row>
    <row r="1455" customFormat="false" ht="15" hidden="false" customHeight="false" outlineLevel="0" collapsed="false">
      <c r="A1455" s="55"/>
      <c r="B1455" s="56"/>
      <c r="C1455" s="56"/>
      <c r="D1455" s="56"/>
      <c r="E1455" s="56"/>
      <c r="F1455" s="56"/>
      <c r="G1455" s="58"/>
      <c r="H1455" s="56"/>
      <c r="I1455" s="61" t="str">
        <f aca="false">IF(IsPro,IF(OR($C1455="",N($G1455)=0),"",IF(OR($C1455="Receipt",$C1455="Other Income",$C1455="Capital In",$C1455="Transfer In"),$G1455,0)),"")</f>
        <v/>
      </c>
      <c r="J1455" s="61" t="str">
        <f aca="false">IF(IsPro,IF(OR($C1455="",N($G1455)=0),"",IF(I1455=0,$G1455,0)),"")</f>
        <v/>
      </c>
      <c r="K1455" s="60" t="str">
        <f aca="false">IF(IsPro,IF($C1455="","",IF(AND(OR($C1455="Receipt",$C1455="Payment"),$D1455=""),"Party needed",IF(AND(OR($C1455="Expense",$C1455="Other Income"),$E1455=""),"Head needed",IF($F1455="","Account needed","OK")))),IF($C1455="","","PRO PLAN"))</f>
        <v/>
      </c>
    </row>
    <row r="1456" customFormat="false" ht="15" hidden="false" customHeight="false" outlineLevel="0" collapsed="false">
      <c r="A1456" s="55"/>
      <c r="B1456" s="56"/>
      <c r="C1456" s="56"/>
      <c r="D1456" s="56"/>
      <c r="E1456" s="56"/>
      <c r="F1456" s="56"/>
      <c r="G1456" s="58"/>
      <c r="H1456" s="56"/>
      <c r="I1456" s="61" t="str">
        <f aca="false">IF(IsPro,IF(OR($C1456="",N($G1456)=0),"",IF(OR($C1456="Receipt",$C1456="Other Income",$C1456="Capital In",$C1456="Transfer In"),$G1456,0)),"")</f>
        <v/>
      </c>
      <c r="J1456" s="61" t="str">
        <f aca="false">IF(IsPro,IF(OR($C1456="",N($G1456)=0),"",IF(I1456=0,$G1456,0)),"")</f>
        <v/>
      </c>
      <c r="K1456" s="60" t="str">
        <f aca="false">IF(IsPro,IF($C1456="","",IF(AND(OR($C1456="Receipt",$C1456="Payment"),$D1456=""),"Party needed",IF(AND(OR($C1456="Expense",$C1456="Other Income"),$E1456=""),"Head needed",IF($F1456="","Account needed","OK")))),IF($C1456="","","PRO PLAN"))</f>
        <v/>
      </c>
    </row>
    <row r="1457" customFormat="false" ht="15" hidden="false" customHeight="false" outlineLevel="0" collapsed="false">
      <c r="A1457" s="55"/>
      <c r="B1457" s="56"/>
      <c r="C1457" s="56"/>
      <c r="D1457" s="56"/>
      <c r="E1457" s="56"/>
      <c r="F1457" s="56"/>
      <c r="G1457" s="58"/>
      <c r="H1457" s="56"/>
      <c r="I1457" s="61" t="str">
        <f aca="false">IF(IsPro,IF(OR($C1457="",N($G1457)=0),"",IF(OR($C1457="Receipt",$C1457="Other Income",$C1457="Capital In",$C1457="Transfer In"),$G1457,0)),"")</f>
        <v/>
      </c>
      <c r="J1457" s="61" t="str">
        <f aca="false">IF(IsPro,IF(OR($C1457="",N($G1457)=0),"",IF(I1457=0,$G1457,0)),"")</f>
        <v/>
      </c>
      <c r="K1457" s="60" t="str">
        <f aca="false">IF(IsPro,IF($C1457="","",IF(AND(OR($C1457="Receipt",$C1457="Payment"),$D1457=""),"Party needed",IF(AND(OR($C1457="Expense",$C1457="Other Income"),$E1457=""),"Head needed",IF($F1457="","Account needed","OK")))),IF($C1457="","","PRO PLAN"))</f>
        <v/>
      </c>
    </row>
    <row r="1458" customFormat="false" ht="15" hidden="false" customHeight="false" outlineLevel="0" collapsed="false">
      <c r="A1458" s="55"/>
      <c r="B1458" s="56"/>
      <c r="C1458" s="56"/>
      <c r="D1458" s="56"/>
      <c r="E1458" s="56"/>
      <c r="F1458" s="56"/>
      <c r="G1458" s="58"/>
      <c r="H1458" s="56"/>
      <c r="I1458" s="61" t="str">
        <f aca="false">IF(IsPro,IF(OR($C1458="",N($G1458)=0),"",IF(OR($C1458="Receipt",$C1458="Other Income",$C1458="Capital In",$C1458="Transfer In"),$G1458,0)),"")</f>
        <v/>
      </c>
      <c r="J1458" s="61" t="str">
        <f aca="false">IF(IsPro,IF(OR($C1458="",N($G1458)=0),"",IF(I1458=0,$G1458,0)),"")</f>
        <v/>
      </c>
      <c r="K1458" s="60" t="str">
        <f aca="false">IF(IsPro,IF($C1458="","",IF(AND(OR($C1458="Receipt",$C1458="Payment"),$D1458=""),"Party needed",IF(AND(OR($C1458="Expense",$C1458="Other Income"),$E1458=""),"Head needed",IF($F1458="","Account needed","OK")))),IF($C1458="","","PRO PLAN"))</f>
        <v/>
      </c>
    </row>
    <row r="1459" customFormat="false" ht="15" hidden="false" customHeight="false" outlineLevel="0" collapsed="false">
      <c r="A1459" s="55"/>
      <c r="B1459" s="56"/>
      <c r="C1459" s="56"/>
      <c r="D1459" s="56"/>
      <c r="E1459" s="56"/>
      <c r="F1459" s="56"/>
      <c r="G1459" s="58"/>
      <c r="H1459" s="56"/>
      <c r="I1459" s="61" t="str">
        <f aca="false">IF(IsPro,IF(OR($C1459="",N($G1459)=0),"",IF(OR($C1459="Receipt",$C1459="Other Income",$C1459="Capital In",$C1459="Transfer In"),$G1459,0)),"")</f>
        <v/>
      </c>
      <c r="J1459" s="61" t="str">
        <f aca="false">IF(IsPro,IF(OR($C1459="",N($G1459)=0),"",IF(I1459=0,$G1459,0)),"")</f>
        <v/>
      </c>
      <c r="K1459" s="60" t="str">
        <f aca="false">IF(IsPro,IF($C1459="","",IF(AND(OR($C1459="Receipt",$C1459="Payment"),$D1459=""),"Party needed",IF(AND(OR($C1459="Expense",$C1459="Other Income"),$E1459=""),"Head needed",IF($F1459="","Account needed","OK")))),IF($C1459="","","PRO PLAN"))</f>
        <v/>
      </c>
    </row>
    <row r="1460" customFormat="false" ht="15" hidden="false" customHeight="false" outlineLevel="0" collapsed="false">
      <c r="A1460" s="55"/>
      <c r="B1460" s="56"/>
      <c r="C1460" s="56"/>
      <c r="D1460" s="56"/>
      <c r="E1460" s="56"/>
      <c r="F1460" s="56"/>
      <c r="G1460" s="58"/>
      <c r="H1460" s="56"/>
      <c r="I1460" s="61" t="str">
        <f aca="false">IF(IsPro,IF(OR($C1460="",N($G1460)=0),"",IF(OR($C1460="Receipt",$C1460="Other Income",$C1460="Capital In",$C1460="Transfer In"),$G1460,0)),"")</f>
        <v/>
      </c>
      <c r="J1460" s="61" t="str">
        <f aca="false">IF(IsPro,IF(OR($C1460="",N($G1460)=0),"",IF(I1460=0,$G1460,0)),"")</f>
        <v/>
      </c>
      <c r="K1460" s="60" t="str">
        <f aca="false">IF(IsPro,IF($C1460="","",IF(AND(OR($C1460="Receipt",$C1460="Payment"),$D1460=""),"Party needed",IF(AND(OR($C1460="Expense",$C1460="Other Income"),$E1460=""),"Head needed",IF($F1460="","Account needed","OK")))),IF($C1460="","","PRO PLAN"))</f>
        <v/>
      </c>
    </row>
    <row r="1461" customFormat="false" ht="15" hidden="false" customHeight="false" outlineLevel="0" collapsed="false">
      <c r="A1461" s="55"/>
      <c r="B1461" s="56"/>
      <c r="C1461" s="56"/>
      <c r="D1461" s="56"/>
      <c r="E1461" s="56"/>
      <c r="F1461" s="56"/>
      <c r="G1461" s="58"/>
      <c r="H1461" s="56"/>
      <c r="I1461" s="61" t="str">
        <f aca="false">IF(IsPro,IF(OR($C1461="",N($G1461)=0),"",IF(OR($C1461="Receipt",$C1461="Other Income",$C1461="Capital In",$C1461="Transfer In"),$G1461,0)),"")</f>
        <v/>
      </c>
      <c r="J1461" s="61" t="str">
        <f aca="false">IF(IsPro,IF(OR($C1461="",N($G1461)=0),"",IF(I1461=0,$G1461,0)),"")</f>
        <v/>
      </c>
      <c r="K1461" s="60" t="str">
        <f aca="false">IF(IsPro,IF($C1461="","",IF(AND(OR($C1461="Receipt",$C1461="Payment"),$D1461=""),"Party needed",IF(AND(OR($C1461="Expense",$C1461="Other Income"),$E1461=""),"Head needed",IF($F1461="","Account needed","OK")))),IF($C1461="","","PRO PLAN"))</f>
        <v/>
      </c>
    </row>
    <row r="1462" customFormat="false" ht="15" hidden="false" customHeight="false" outlineLevel="0" collapsed="false">
      <c r="A1462" s="55"/>
      <c r="B1462" s="56"/>
      <c r="C1462" s="56"/>
      <c r="D1462" s="56"/>
      <c r="E1462" s="56"/>
      <c r="F1462" s="56"/>
      <c r="G1462" s="58"/>
      <c r="H1462" s="56"/>
      <c r="I1462" s="61" t="str">
        <f aca="false">IF(IsPro,IF(OR($C1462="",N($G1462)=0),"",IF(OR($C1462="Receipt",$C1462="Other Income",$C1462="Capital In",$C1462="Transfer In"),$G1462,0)),"")</f>
        <v/>
      </c>
      <c r="J1462" s="61" t="str">
        <f aca="false">IF(IsPro,IF(OR($C1462="",N($G1462)=0),"",IF(I1462=0,$G1462,0)),"")</f>
        <v/>
      </c>
      <c r="K1462" s="60" t="str">
        <f aca="false">IF(IsPro,IF($C1462="","",IF(AND(OR($C1462="Receipt",$C1462="Payment"),$D1462=""),"Party needed",IF(AND(OR($C1462="Expense",$C1462="Other Income"),$E1462=""),"Head needed",IF($F1462="","Account needed","OK")))),IF($C1462="","","PRO PLAN"))</f>
        <v/>
      </c>
    </row>
    <row r="1463" customFormat="false" ht="15" hidden="false" customHeight="false" outlineLevel="0" collapsed="false">
      <c r="A1463" s="55"/>
      <c r="B1463" s="56"/>
      <c r="C1463" s="56"/>
      <c r="D1463" s="56"/>
      <c r="E1463" s="56"/>
      <c r="F1463" s="56"/>
      <c r="G1463" s="58"/>
      <c r="H1463" s="56"/>
      <c r="I1463" s="61" t="str">
        <f aca="false">IF(IsPro,IF(OR($C1463="",N($G1463)=0),"",IF(OR($C1463="Receipt",$C1463="Other Income",$C1463="Capital In",$C1463="Transfer In"),$G1463,0)),"")</f>
        <v/>
      </c>
      <c r="J1463" s="61" t="str">
        <f aca="false">IF(IsPro,IF(OR($C1463="",N($G1463)=0),"",IF(I1463=0,$G1463,0)),"")</f>
        <v/>
      </c>
      <c r="K1463" s="60" t="str">
        <f aca="false">IF(IsPro,IF($C1463="","",IF(AND(OR($C1463="Receipt",$C1463="Payment"),$D1463=""),"Party needed",IF(AND(OR($C1463="Expense",$C1463="Other Income"),$E1463=""),"Head needed",IF($F1463="","Account needed","OK")))),IF($C1463="","","PRO PLAN"))</f>
        <v/>
      </c>
    </row>
    <row r="1464" customFormat="false" ht="15" hidden="false" customHeight="false" outlineLevel="0" collapsed="false">
      <c r="A1464" s="55"/>
      <c r="B1464" s="56"/>
      <c r="C1464" s="56"/>
      <c r="D1464" s="56"/>
      <c r="E1464" s="56"/>
      <c r="F1464" s="56"/>
      <c r="G1464" s="58"/>
      <c r="H1464" s="56"/>
      <c r="I1464" s="61" t="str">
        <f aca="false">IF(IsPro,IF(OR($C1464="",N($G1464)=0),"",IF(OR($C1464="Receipt",$C1464="Other Income",$C1464="Capital In",$C1464="Transfer In"),$G1464,0)),"")</f>
        <v/>
      </c>
      <c r="J1464" s="61" t="str">
        <f aca="false">IF(IsPro,IF(OR($C1464="",N($G1464)=0),"",IF(I1464=0,$G1464,0)),"")</f>
        <v/>
      </c>
      <c r="K1464" s="60" t="str">
        <f aca="false">IF(IsPro,IF($C1464="","",IF(AND(OR($C1464="Receipt",$C1464="Payment"),$D1464=""),"Party needed",IF(AND(OR($C1464="Expense",$C1464="Other Income"),$E1464=""),"Head needed",IF($F1464="","Account needed","OK")))),IF($C1464="","","PRO PLAN"))</f>
        <v/>
      </c>
    </row>
    <row r="1465" customFormat="false" ht="15" hidden="false" customHeight="false" outlineLevel="0" collapsed="false">
      <c r="A1465" s="55"/>
      <c r="B1465" s="56"/>
      <c r="C1465" s="56"/>
      <c r="D1465" s="56"/>
      <c r="E1465" s="56"/>
      <c r="F1465" s="56"/>
      <c r="G1465" s="58"/>
      <c r="H1465" s="56"/>
      <c r="I1465" s="61" t="str">
        <f aca="false">IF(IsPro,IF(OR($C1465="",N($G1465)=0),"",IF(OR($C1465="Receipt",$C1465="Other Income",$C1465="Capital In",$C1465="Transfer In"),$G1465,0)),"")</f>
        <v/>
      </c>
      <c r="J1465" s="61" t="str">
        <f aca="false">IF(IsPro,IF(OR($C1465="",N($G1465)=0),"",IF(I1465=0,$G1465,0)),"")</f>
        <v/>
      </c>
      <c r="K1465" s="60" t="str">
        <f aca="false">IF(IsPro,IF($C1465="","",IF(AND(OR($C1465="Receipt",$C1465="Payment"),$D1465=""),"Party needed",IF(AND(OR($C1465="Expense",$C1465="Other Income"),$E1465=""),"Head needed",IF($F1465="","Account needed","OK")))),IF($C1465="","","PRO PLAN"))</f>
        <v/>
      </c>
    </row>
    <row r="1466" customFormat="false" ht="15" hidden="false" customHeight="false" outlineLevel="0" collapsed="false">
      <c r="A1466" s="55"/>
      <c r="B1466" s="56"/>
      <c r="C1466" s="56"/>
      <c r="D1466" s="56"/>
      <c r="E1466" s="56"/>
      <c r="F1466" s="56"/>
      <c r="G1466" s="58"/>
      <c r="H1466" s="56"/>
      <c r="I1466" s="61" t="str">
        <f aca="false">IF(IsPro,IF(OR($C1466="",N($G1466)=0),"",IF(OR($C1466="Receipt",$C1466="Other Income",$C1466="Capital In",$C1466="Transfer In"),$G1466,0)),"")</f>
        <v/>
      </c>
      <c r="J1466" s="61" t="str">
        <f aca="false">IF(IsPro,IF(OR($C1466="",N($G1466)=0),"",IF(I1466=0,$G1466,0)),"")</f>
        <v/>
      </c>
      <c r="K1466" s="60" t="str">
        <f aca="false">IF(IsPro,IF($C1466="","",IF(AND(OR($C1466="Receipt",$C1466="Payment"),$D1466=""),"Party needed",IF(AND(OR($C1466="Expense",$C1466="Other Income"),$E1466=""),"Head needed",IF($F1466="","Account needed","OK")))),IF($C1466="","","PRO PLAN"))</f>
        <v/>
      </c>
    </row>
    <row r="1467" customFormat="false" ht="15" hidden="false" customHeight="false" outlineLevel="0" collapsed="false">
      <c r="A1467" s="55"/>
      <c r="B1467" s="56"/>
      <c r="C1467" s="56"/>
      <c r="D1467" s="56"/>
      <c r="E1467" s="56"/>
      <c r="F1467" s="56"/>
      <c r="G1467" s="58"/>
      <c r="H1467" s="56"/>
      <c r="I1467" s="61" t="str">
        <f aca="false">IF(IsPro,IF(OR($C1467="",N($G1467)=0),"",IF(OR($C1467="Receipt",$C1467="Other Income",$C1467="Capital In",$C1467="Transfer In"),$G1467,0)),"")</f>
        <v/>
      </c>
      <c r="J1467" s="61" t="str">
        <f aca="false">IF(IsPro,IF(OR($C1467="",N($G1467)=0),"",IF(I1467=0,$G1467,0)),"")</f>
        <v/>
      </c>
      <c r="K1467" s="60" t="str">
        <f aca="false">IF(IsPro,IF($C1467="","",IF(AND(OR($C1467="Receipt",$C1467="Payment"),$D1467=""),"Party needed",IF(AND(OR($C1467="Expense",$C1467="Other Income"),$E1467=""),"Head needed",IF($F1467="","Account needed","OK")))),IF($C1467="","","PRO PLAN"))</f>
        <v/>
      </c>
    </row>
    <row r="1468" customFormat="false" ht="15" hidden="false" customHeight="false" outlineLevel="0" collapsed="false">
      <c r="A1468" s="55"/>
      <c r="B1468" s="56"/>
      <c r="C1468" s="56"/>
      <c r="D1468" s="56"/>
      <c r="E1468" s="56"/>
      <c r="F1468" s="56"/>
      <c r="G1468" s="58"/>
      <c r="H1468" s="56"/>
      <c r="I1468" s="61" t="str">
        <f aca="false">IF(IsPro,IF(OR($C1468="",N($G1468)=0),"",IF(OR($C1468="Receipt",$C1468="Other Income",$C1468="Capital In",$C1468="Transfer In"),$G1468,0)),"")</f>
        <v/>
      </c>
      <c r="J1468" s="61" t="str">
        <f aca="false">IF(IsPro,IF(OR($C1468="",N($G1468)=0),"",IF(I1468=0,$G1468,0)),"")</f>
        <v/>
      </c>
      <c r="K1468" s="60" t="str">
        <f aca="false">IF(IsPro,IF($C1468="","",IF(AND(OR($C1468="Receipt",$C1468="Payment"),$D1468=""),"Party needed",IF(AND(OR($C1468="Expense",$C1468="Other Income"),$E1468=""),"Head needed",IF($F1468="","Account needed","OK")))),IF($C1468="","","PRO PLAN"))</f>
        <v/>
      </c>
    </row>
    <row r="1469" customFormat="false" ht="15" hidden="false" customHeight="false" outlineLevel="0" collapsed="false">
      <c r="A1469" s="55"/>
      <c r="B1469" s="56"/>
      <c r="C1469" s="56"/>
      <c r="D1469" s="56"/>
      <c r="E1469" s="56"/>
      <c r="F1469" s="56"/>
      <c r="G1469" s="58"/>
      <c r="H1469" s="56"/>
      <c r="I1469" s="61" t="str">
        <f aca="false">IF(IsPro,IF(OR($C1469="",N($G1469)=0),"",IF(OR($C1469="Receipt",$C1469="Other Income",$C1469="Capital In",$C1469="Transfer In"),$G1469,0)),"")</f>
        <v/>
      </c>
      <c r="J1469" s="61" t="str">
        <f aca="false">IF(IsPro,IF(OR($C1469="",N($G1469)=0),"",IF(I1469=0,$G1469,0)),"")</f>
        <v/>
      </c>
      <c r="K1469" s="60" t="str">
        <f aca="false">IF(IsPro,IF($C1469="","",IF(AND(OR($C1469="Receipt",$C1469="Payment"),$D1469=""),"Party needed",IF(AND(OR($C1469="Expense",$C1469="Other Income"),$E1469=""),"Head needed",IF($F1469="","Account needed","OK")))),IF($C1469="","","PRO PLAN"))</f>
        <v/>
      </c>
    </row>
    <row r="1470" customFormat="false" ht="15" hidden="false" customHeight="false" outlineLevel="0" collapsed="false">
      <c r="A1470" s="55"/>
      <c r="B1470" s="56"/>
      <c r="C1470" s="56"/>
      <c r="D1470" s="56"/>
      <c r="E1470" s="56"/>
      <c r="F1470" s="56"/>
      <c r="G1470" s="58"/>
      <c r="H1470" s="56"/>
      <c r="I1470" s="61" t="str">
        <f aca="false">IF(IsPro,IF(OR($C1470="",N($G1470)=0),"",IF(OR($C1470="Receipt",$C1470="Other Income",$C1470="Capital In",$C1470="Transfer In"),$G1470,0)),"")</f>
        <v/>
      </c>
      <c r="J1470" s="61" t="str">
        <f aca="false">IF(IsPro,IF(OR($C1470="",N($G1470)=0),"",IF(I1470=0,$G1470,0)),"")</f>
        <v/>
      </c>
      <c r="K1470" s="60" t="str">
        <f aca="false">IF(IsPro,IF($C1470="","",IF(AND(OR($C1470="Receipt",$C1470="Payment"),$D1470=""),"Party needed",IF(AND(OR($C1470="Expense",$C1470="Other Income"),$E1470=""),"Head needed",IF($F1470="","Account needed","OK")))),IF($C1470="","","PRO PLAN"))</f>
        <v/>
      </c>
    </row>
    <row r="1471" customFormat="false" ht="15" hidden="false" customHeight="false" outlineLevel="0" collapsed="false">
      <c r="A1471" s="55"/>
      <c r="B1471" s="56"/>
      <c r="C1471" s="56"/>
      <c r="D1471" s="56"/>
      <c r="E1471" s="56"/>
      <c r="F1471" s="56"/>
      <c r="G1471" s="58"/>
      <c r="H1471" s="56"/>
      <c r="I1471" s="61" t="str">
        <f aca="false">IF(IsPro,IF(OR($C1471="",N($G1471)=0),"",IF(OR($C1471="Receipt",$C1471="Other Income",$C1471="Capital In",$C1471="Transfer In"),$G1471,0)),"")</f>
        <v/>
      </c>
      <c r="J1471" s="61" t="str">
        <f aca="false">IF(IsPro,IF(OR($C1471="",N($G1471)=0),"",IF(I1471=0,$G1471,0)),"")</f>
        <v/>
      </c>
      <c r="K1471" s="60" t="str">
        <f aca="false">IF(IsPro,IF($C1471="","",IF(AND(OR($C1471="Receipt",$C1471="Payment"),$D1471=""),"Party needed",IF(AND(OR($C1471="Expense",$C1471="Other Income"),$E1471=""),"Head needed",IF($F1471="","Account needed","OK")))),IF($C1471="","","PRO PLAN"))</f>
        <v/>
      </c>
    </row>
    <row r="1472" customFormat="false" ht="15" hidden="false" customHeight="false" outlineLevel="0" collapsed="false">
      <c r="A1472" s="55"/>
      <c r="B1472" s="56"/>
      <c r="C1472" s="56"/>
      <c r="D1472" s="56"/>
      <c r="E1472" s="56"/>
      <c r="F1472" s="56"/>
      <c r="G1472" s="58"/>
      <c r="H1472" s="56"/>
      <c r="I1472" s="61" t="str">
        <f aca="false">IF(IsPro,IF(OR($C1472="",N($G1472)=0),"",IF(OR($C1472="Receipt",$C1472="Other Income",$C1472="Capital In",$C1472="Transfer In"),$G1472,0)),"")</f>
        <v/>
      </c>
      <c r="J1472" s="61" t="str">
        <f aca="false">IF(IsPro,IF(OR($C1472="",N($G1472)=0),"",IF(I1472=0,$G1472,0)),"")</f>
        <v/>
      </c>
      <c r="K1472" s="60" t="str">
        <f aca="false">IF(IsPro,IF($C1472="","",IF(AND(OR($C1472="Receipt",$C1472="Payment"),$D1472=""),"Party needed",IF(AND(OR($C1472="Expense",$C1472="Other Income"),$E1472=""),"Head needed",IF($F1472="","Account needed","OK")))),IF($C1472="","","PRO PLAN"))</f>
        <v/>
      </c>
    </row>
    <row r="1473" customFormat="false" ht="15" hidden="false" customHeight="false" outlineLevel="0" collapsed="false">
      <c r="A1473" s="55"/>
      <c r="B1473" s="56"/>
      <c r="C1473" s="56"/>
      <c r="D1473" s="56"/>
      <c r="E1473" s="56"/>
      <c r="F1473" s="56"/>
      <c r="G1473" s="58"/>
      <c r="H1473" s="56"/>
      <c r="I1473" s="61" t="str">
        <f aca="false">IF(IsPro,IF(OR($C1473="",N($G1473)=0),"",IF(OR($C1473="Receipt",$C1473="Other Income",$C1473="Capital In",$C1473="Transfer In"),$G1473,0)),"")</f>
        <v/>
      </c>
      <c r="J1473" s="61" t="str">
        <f aca="false">IF(IsPro,IF(OR($C1473="",N($G1473)=0),"",IF(I1473=0,$G1473,0)),"")</f>
        <v/>
      </c>
      <c r="K1473" s="60" t="str">
        <f aca="false">IF(IsPro,IF($C1473="","",IF(AND(OR($C1473="Receipt",$C1473="Payment"),$D1473=""),"Party needed",IF(AND(OR($C1473="Expense",$C1473="Other Income"),$E1473=""),"Head needed",IF($F1473="","Account needed","OK")))),IF($C1473="","","PRO PLAN"))</f>
        <v/>
      </c>
    </row>
    <row r="1474" customFormat="false" ht="15" hidden="false" customHeight="false" outlineLevel="0" collapsed="false">
      <c r="A1474" s="55"/>
      <c r="B1474" s="56"/>
      <c r="C1474" s="56"/>
      <c r="D1474" s="56"/>
      <c r="E1474" s="56"/>
      <c r="F1474" s="56"/>
      <c r="G1474" s="58"/>
      <c r="H1474" s="56"/>
      <c r="I1474" s="61" t="str">
        <f aca="false">IF(IsPro,IF(OR($C1474="",N($G1474)=0),"",IF(OR($C1474="Receipt",$C1474="Other Income",$C1474="Capital In",$C1474="Transfer In"),$G1474,0)),"")</f>
        <v/>
      </c>
      <c r="J1474" s="61" t="str">
        <f aca="false">IF(IsPro,IF(OR($C1474="",N($G1474)=0),"",IF(I1474=0,$G1474,0)),"")</f>
        <v/>
      </c>
      <c r="K1474" s="60" t="str">
        <f aca="false">IF(IsPro,IF($C1474="","",IF(AND(OR($C1474="Receipt",$C1474="Payment"),$D1474=""),"Party needed",IF(AND(OR($C1474="Expense",$C1474="Other Income"),$E1474=""),"Head needed",IF($F1474="","Account needed","OK")))),IF($C1474="","","PRO PLAN"))</f>
        <v/>
      </c>
    </row>
    <row r="1475" customFormat="false" ht="15" hidden="false" customHeight="false" outlineLevel="0" collapsed="false">
      <c r="A1475" s="55"/>
      <c r="B1475" s="56"/>
      <c r="C1475" s="56"/>
      <c r="D1475" s="56"/>
      <c r="E1475" s="56"/>
      <c r="F1475" s="56"/>
      <c r="G1475" s="58"/>
      <c r="H1475" s="56"/>
      <c r="I1475" s="61" t="str">
        <f aca="false">IF(IsPro,IF(OR($C1475="",N($G1475)=0),"",IF(OR($C1475="Receipt",$C1475="Other Income",$C1475="Capital In",$C1475="Transfer In"),$G1475,0)),"")</f>
        <v/>
      </c>
      <c r="J1475" s="61" t="str">
        <f aca="false">IF(IsPro,IF(OR($C1475="",N($G1475)=0),"",IF(I1475=0,$G1475,0)),"")</f>
        <v/>
      </c>
      <c r="K1475" s="60" t="str">
        <f aca="false">IF(IsPro,IF($C1475="","",IF(AND(OR($C1475="Receipt",$C1475="Payment"),$D1475=""),"Party needed",IF(AND(OR($C1475="Expense",$C1475="Other Income"),$E1475=""),"Head needed",IF($F1475="","Account needed","OK")))),IF($C1475="","","PRO PLAN"))</f>
        <v/>
      </c>
    </row>
    <row r="1476" customFormat="false" ht="15" hidden="false" customHeight="false" outlineLevel="0" collapsed="false">
      <c r="A1476" s="55"/>
      <c r="B1476" s="56"/>
      <c r="C1476" s="56"/>
      <c r="D1476" s="56"/>
      <c r="E1476" s="56"/>
      <c r="F1476" s="56"/>
      <c r="G1476" s="58"/>
      <c r="H1476" s="56"/>
      <c r="I1476" s="61" t="str">
        <f aca="false">IF(IsPro,IF(OR($C1476="",N($G1476)=0),"",IF(OR($C1476="Receipt",$C1476="Other Income",$C1476="Capital In",$C1476="Transfer In"),$G1476,0)),"")</f>
        <v/>
      </c>
      <c r="J1476" s="61" t="str">
        <f aca="false">IF(IsPro,IF(OR($C1476="",N($G1476)=0),"",IF(I1476=0,$G1476,0)),"")</f>
        <v/>
      </c>
      <c r="K1476" s="60" t="str">
        <f aca="false">IF(IsPro,IF($C1476="","",IF(AND(OR($C1476="Receipt",$C1476="Payment"),$D1476=""),"Party needed",IF(AND(OR($C1476="Expense",$C1476="Other Income"),$E1476=""),"Head needed",IF($F1476="","Account needed","OK")))),IF($C1476="","","PRO PLAN"))</f>
        <v/>
      </c>
    </row>
    <row r="1477" customFormat="false" ht="15" hidden="false" customHeight="false" outlineLevel="0" collapsed="false">
      <c r="A1477" s="55"/>
      <c r="B1477" s="56"/>
      <c r="C1477" s="56"/>
      <c r="D1477" s="56"/>
      <c r="E1477" s="56"/>
      <c r="F1477" s="56"/>
      <c r="G1477" s="58"/>
      <c r="H1477" s="56"/>
      <c r="I1477" s="61" t="str">
        <f aca="false">IF(IsPro,IF(OR($C1477="",N($G1477)=0),"",IF(OR($C1477="Receipt",$C1477="Other Income",$C1477="Capital In",$C1477="Transfer In"),$G1477,0)),"")</f>
        <v/>
      </c>
      <c r="J1477" s="61" t="str">
        <f aca="false">IF(IsPro,IF(OR($C1477="",N($G1477)=0),"",IF(I1477=0,$G1477,0)),"")</f>
        <v/>
      </c>
      <c r="K1477" s="60" t="str">
        <f aca="false">IF(IsPro,IF($C1477="","",IF(AND(OR($C1477="Receipt",$C1477="Payment"),$D1477=""),"Party needed",IF(AND(OR($C1477="Expense",$C1477="Other Income"),$E1477=""),"Head needed",IF($F1477="","Account needed","OK")))),IF($C1477="","","PRO PLAN"))</f>
        <v/>
      </c>
    </row>
    <row r="1478" customFormat="false" ht="15" hidden="false" customHeight="false" outlineLevel="0" collapsed="false">
      <c r="A1478" s="55"/>
      <c r="B1478" s="56"/>
      <c r="C1478" s="56"/>
      <c r="D1478" s="56"/>
      <c r="E1478" s="56"/>
      <c r="F1478" s="56"/>
      <c r="G1478" s="58"/>
      <c r="H1478" s="56"/>
      <c r="I1478" s="61" t="str">
        <f aca="false">IF(IsPro,IF(OR($C1478="",N($G1478)=0),"",IF(OR($C1478="Receipt",$C1478="Other Income",$C1478="Capital In",$C1478="Transfer In"),$G1478,0)),"")</f>
        <v/>
      </c>
      <c r="J1478" s="61" t="str">
        <f aca="false">IF(IsPro,IF(OR($C1478="",N($G1478)=0),"",IF(I1478=0,$G1478,0)),"")</f>
        <v/>
      </c>
      <c r="K1478" s="60" t="str">
        <f aca="false">IF(IsPro,IF($C1478="","",IF(AND(OR($C1478="Receipt",$C1478="Payment"),$D1478=""),"Party needed",IF(AND(OR($C1478="Expense",$C1478="Other Income"),$E1478=""),"Head needed",IF($F1478="","Account needed","OK")))),IF($C1478="","","PRO PLAN"))</f>
        <v/>
      </c>
    </row>
    <row r="1479" customFormat="false" ht="15" hidden="false" customHeight="false" outlineLevel="0" collapsed="false">
      <c r="A1479" s="55"/>
      <c r="B1479" s="56"/>
      <c r="C1479" s="56"/>
      <c r="D1479" s="56"/>
      <c r="E1479" s="56"/>
      <c r="F1479" s="56"/>
      <c r="G1479" s="58"/>
      <c r="H1479" s="56"/>
      <c r="I1479" s="61" t="str">
        <f aca="false">IF(IsPro,IF(OR($C1479="",N($G1479)=0),"",IF(OR($C1479="Receipt",$C1479="Other Income",$C1479="Capital In",$C1479="Transfer In"),$G1479,0)),"")</f>
        <v/>
      </c>
      <c r="J1479" s="61" t="str">
        <f aca="false">IF(IsPro,IF(OR($C1479="",N($G1479)=0),"",IF(I1479=0,$G1479,0)),"")</f>
        <v/>
      </c>
      <c r="K1479" s="60" t="str">
        <f aca="false">IF(IsPro,IF($C1479="","",IF(AND(OR($C1479="Receipt",$C1479="Payment"),$D1479=""),"Party needed",IF(AND(OR($C1479="Expense",$C1479="Other Income"),$E1479=""),"Head needed",IF($F1479="","Account needed","OK")))),IF($C1479="","","PRO PLAN"))</f>
        <v/>
      </c>
    </row>
    <row r="1480" customFormat="false" ht="15" hidden="false" customHeight="false" outlineLevel="0" collapsed="false">
      <c r="A1480" s="55"/>
      <c r="B1480" s="56"/>
      <c r="C1480" s="56"/>
      <c r="D1480" s="56"/>
      <c r="E1480" s="56"/>
      <c r="F1480" s="56"/>
      <c r="G1480" s="58"/>
      <c r="H1480" s="56"/>
      <c r="I1480" s="61" t="str">
        <f aca="false">IF(IsPro,IF(OR($C1480="",N($G1480)=0),"",IF(OR($C1480="Receipt",$C1480="Other Income",$C1480="Capital In",$C1480="Transfer In"),$G1480,0)),"")</f>
        <v/>
      </c>
      <c r="J1480" s="61" t="str">
        <f aca="false">IF(IsPro,IF(OR($C1480="",N($G1480)=0),"",IF(I1480=0,$G1480,0)),"")</f>
        <v/>
      </c>
      <c r="K1480" s="60" t="str">
        <f aca="false">IF(IsPro,IF($C1480="","",IF(AND(OR($C1480="Receipt",$C1480="Payment"),$D1480=""),"Party needed",IF(AND(OR($C1480="Expense",$C1480="Other Income"),$E1480=""),"Head needed",IF($F1480="","Account needed","OK")))),IF($C1480="","","PRO PLAN"))</f>
        <v/>
      </c>
    </row>
    <row r="1481" customFormat="false" ht="15" hidden="false" customHeight="false" outlineLevel="0" collapsed="false">
      <c r="A1481" s="55"/>
      <c r="B1481" s="56"/>
      <c r="C1481" s="56"/>
      <c r="D1481" s="56"/>
      <c r="E1481" s="56"/>
      <c r="F1481" s="56"/>
      <c r="G1481" s="58"/>
      <c r="H1481" s="56"/>
      <c r="I1481" s="61" t="str">
        <f aca="false">IF(IsPro,IF(OR($C1481="",N($G1481)=0),"",IF(OR($C1481="Receipt",$C1481="Other Income",$C1481="Capital In",$C1481="Transfer In"),$G1481,0)),"")</f>
        <v/>
      </c>
      <c r="J1481" s="61" t="str">
        <f aca="false">IF(IsPro,IF(OR($C1481="",N($G1481)=0),"",IF(I1481=0,$G1481,0)),"")</f>
        <v/>
      </c>
      <c r="K1481" s="60" t="str">
        <f aca="false">IF(IsPro,IF($C1481="","",IF(AND(OR($C1481="Receipt",$C1481="Payment"),$D1481=""),"Party needed",IF(AND(OR($C1481="Expense",$C1481="Other Income"),$E1481=""),"Head needed",IF($F1481="","Account needed","OK")))),IF($C1481="","","PRO PLAN"))</f>
        <v/>
      </c>
    </row>
    <row r="1482" customFormat="false" ht="15" hidden="false" customHeight="false" outlineLevel="0" collapsed="false">
      <c r="A1482" s="55"/>
      <c r="B1482" s="56"/>
      <c r="C1482" s="56"/>
      <c r="D1482" s="56"/>
      <c r="E1482" s="56"/>
      <c r="F1482" s="56"/>
      <c r="G1482" s="58"/>
      <c r="H1482" s="56"/>
      <c r="I1482" s="61" t="str">
        <f aca="false">IF(IsPro,IF(OR($C1482="",N($G1482)=0),"",IF(OR($C1482="Receipt",$C1482="Other Income",$C1482="Capital In",$C1482="Transfer In"),$G1482,0)),"")</f>
        <v/>
      </c>
      <c r="J1482" s="61" t="str">
        <f aca="false">IF(IsPro,IF(OR($C1482="",N($G1482)=0),"",IF(I1482=0,$G1482,0)),"")</f>
        <v/>
      </c>
      <c r="K1482" s="60" t="str">
        <f aca="false">IF(IsPro,IF($C1482="","",IF(AND(OR($C1482="Receipt",$C1482="Payment"),$D1482=""),"Party needed",IF(AND(OR($C1482="Expense",$C1482="Other Income"),$E1482=""),"Head needed",IF($F1482="","Account needed","OK")))),IF($C1482="","","PRO PLAN"))</f>
        <v/>
      </c>
    </row>
    <row r="1483" customFormat="false" ht="15" hidden="false" customHeight="false" outlineLevel="0" collapsed="false">
      <c r="A1483" s="55"/>
      <c r="B1483" s="56"/>
      <c r="C1483" s="56"/>
      <c r="D1483" s="56"/>
      <c r="E1483" s="56"/>
      <c r="F1483" s="56"/>
      <c r="G1483" s="58"/>
      <c r="H1483" s="56"/>
      <c r="I1483" s="61" t="str">
        <f aca="false">IF(IsPro,IF(OR($C1483="",N($G1483)=0),"",IF(OR($C1483="Receipt",$C1483="Other Income",$C1483="Capital In",$C1483="Transfer In"),$G1483,0)),"")</f>
        <v/>
      </c>
      <c r="J1483" s="61" t="str">
        <f aca="false">IF(IsPro,IF(OR($C1483="",N($G1483)=0),"",IF(I1483=0,$G1483,0)),"")</f>
        <v/>
      </c>
      <c r="K1483" s="60" t="str">
        <f aca="false">IF(IsPro,IF($C1483="","",IF(AND(OR($C1483="Receipt",$C1483="Payment"),$D1483=""),"Party needed",IF(AND(OR($C1483="Expense",$C1483="Other Income"),$E1483=""),"Head needed",IF($F1483="","Account needed","OK")))),IF($C1483="","","PRO PLAN"))</f>
        <v/>
      </c>
    </row>
    <row r="1484" customFormat="false" ht="15" hidden="false" customHeight="false" outlineLevel="0" collapsed="false">
      <c r="A1484" s="55"/>
      <c r="B1484" s="56"/>
      <c r="C1484" s="56"/>
      <c r="D1484" s="56"/>
      <c r="E1484" s="56"/>
      <c r="F1484" s="56"/>
      <c r="G1484" s="58"/>
      <c r="H1484" s="56"/>
      <c r="I1484" s="61" t="str">
        <f aca="false">IF(IsPro,IF(OR($C1484="",N($G1484)=0),"",IF(OR($C1484="Receipt",$C1484="Other Income",$C1484="Capital In",$C1484="Transfer In"),$G1484,0)),"")</f>
        <v/>
      </c>
      <c r="J1484" s="61" t="str">
        <f aca="false">IF(IsPro,IF(OR($C1484="",N($G1484)=0),"",IF(I1484=0,$G1484,0)),"")</f>
        <v/>
      </c>
      <c r="K1484" s="60" t="str">
        <f aca="false">IF(IsPro,IF($C1484="","",IF(AND(OR($C1484="Receipt",$C1484="Payment"),$D1484=""),"Party needed",IF(AND(OR($C1484="Expense",$C1484="Other Income"),$E1484=""),"Head needed",IF($F1484="","Account needed","OK")))),IF($C1484="","","PRO PLAN"))</f>
        <v/>
      </c>
    </row>
    <row r="1485" customFormat="false" ht="15" hidden="false" customHeight="false" outlineLevel="0" collapsed="false">
      <c r="A1485" s="55"/>
      <c r="B1485" s="56"/>
      <c r="C1485" s="56"/>
      <c r="D1485" s="56"/>
      <c r="E1485" s="56"/>
      <c r="F1485" s="56"/>
      <c r="G1485" s="58"/>
      <c r="H1485" s="56"/>
      <c r="I1485" s="61" t="str">
        <f aca="false">IF(IsPro,IF(OR($C1485="",N($G1485)=0),"",IF(OR($C1485="Receipt",$C1485="Other Income",$C1485="Capital In",$C1485="Transfer In"),$G1485,0)),"")</f>
        <v/>
      </c>
      <c r="J1485" s="61" t="str">
        <f aca="false">IF(IsPro,IF(OR($C1485="",N($G1485)=0),"",IF(I1485=0,$G1485,0)),"")</f>
        <v/>
      </c>
      <c r="K1485" s="60" t="str">
        <f aca="false">IF(IsPro,IF($C1485="","",IF(AND(OR($C1485="Receipt",$C1485="Payment"),$D1485=""),"Party needed",IF(AND(OR($C1485="Expense",$C1485="Other Income"),$E1485=""),"Head needed",IF($F1485="","Account needed","OK")))),IF($C1485="","","PRO PLAN"))</f>
        <v/>
      </c>
    </row>
    <row r="1486" customFormat="false" ht="15" hidden="false" customHeight="false" outlineLevel="0" collapsed="false">
      <c r="A1486" s="55"/>
      <c r="B1486" s="56"/>
      <c r="C1486" s="56"/>
      <c r="D1486" s="56"/>
      <c r="E1486" s="56"/>
      <c r="F1486" s="56"/>
      <c r="G1486" s="58"/>
      <c r="H1486" s="56"/>
      <c r="I1486" s="61" t="str">
        <f aca="false">IF(IsPro,IF(OR($C1486="",N($G1486)=0),"",IF(OR($C1486="Receipt",$C1486="Other Income",$C1486="Capital In",$C1486="Transfer In"),$G1486,0)),"")</f>
        <v/>
      </c>
      <c r="J1486" s="61" t="str">
        <f aca="false">IF(IsPro,IF(OR($C1486="",N($G1486)=0),"",IF(I1486=0,$G1486,0)),"")</f>
        <v/>
      </c>
      <c r="K1486" s="60" t="str">
        <f aca="false">IF(IsPro,IF($C1486="","",IF(AND(OR($C1486="Receipt",$C1486="Payment"),$D1486=""),"Party needed",IF(AND(OR($C1486="Expense",$C1486="Other Income"),$E1486=""),"Head needed",IF($F1486="","Account needed","OK")))),IF($C1486="","","PRO PLAN"))</f>
        <v/>
      </c>
    </row>
    <row r="1487" customFormat="false" ht="15" hidden="false" customHeight="false" outlineLevel="0" collapsed="false">
      <c r="A1487" s="55"/>
      <c r="B1487" s="56"/>
      <c r="C1487" s="56"/>
      <c r="D1487" s="56"/>
      <c r="E1487" s="56"/>
      <c r="F1487" s="56"/>
      <c r="G1487" s="58"/>
      <c r="H1487" s="56"/>
      <c r="I1487" s="61" t="str">
        <f aca="false">IF(IsPro,IF(OR($C1487="",N($G1487)=0),"",IF(OR($C1487="Receipt",$C1487="Other Income",$C1487="Capital In",$C1487="Transfer In"),$G1487,0)),"")</f>
        <v/>
      </c>
      <c r="J1487" s="61" t="str">
        <f aca="false">IF(IsPro,IF(OR($C1487="",N($G1487)=0),"",IF(I1487=0,$G1487,0)),"")</f>
        <v/>
      </c>
      <c r="K1487" s="60" t="str">
        <f aca="false">IF(IsPro,IF($C1487="","",IF(AND(OR($C1487="Receipt",$C1487="Payment"),$D1487=""),"Party needed",IF(AND(OR($C1487="Expense",$C1487="Other Income"),$E1487=""),"Head needed",IF($F1487="","Account needed","OK")))),IF($C1487="","","PRO PLAN"))</f>
        <v/>
      </c>
    </row>
    <row r="1488" customFormat="false" ht="15" hidden="false" customHeight="false" outlineLevel="0" collapsed="false">
      <c r="A1488" s="55"/>
      <c r="B1488" s="56"/>
      <c r="C1488" s="56"/>
      <c r="D1488" s="56"/>
      <c r="E1488" s="56"/>
      <c r="F1488" s="56"/>
      <c r="G1488" s="58"/>
      <c r="H1488" s="56"/>
      <c r="I1488" s="61" t="str">
        <f aca="false">IF(IsPro,IF(OR($C1488="",N($G1488)=0),"",IF(OR($C1488="Receipt",$C1488="Other Income",$C1488="Capital In",$C1488="Transfer In"),$G1488,0)),"")</f>
        <v/>
      </c>
      <c r="J1488" s="61" t="str">
        <f aca="false">IF(IsPro,IF(OR($C1488="",N($G1488)=0),"",IF(I1488=0,$G1488,0)),"")</f>
        <v/>
      </c>
      <c r="K1488" s="60" t="str">
        <f aca="false">IF(IsPro,IF($C1488="","",IF(AND(OR($C1488="Receipt",$C1488="Payment"),$D1488=""),"Party needed",IF(AND(OR($C1488="Expense",$C1488="Other Income"),$E1488=""),"Head needed",IF($F1488="","Account needed","OK")))),IF($C1488="","","PRO PLAN"))</f>
        <v/>
      </c>
    </row>
    <row r="1489" customFormat="false" ht="15" hidden="false" customHeight="false" outlineLevel="0" collapsed="false">
      <c r="A1489" s="55"/>
      <c r="B1489" s="56"/>
      <c r="C1489" s="56"/>
      <c r="D1489" s="56"/>
      <c r="E1489" s="56"/>
      <c r="F1489" s="56"/>
      <c r="G1489" s="58"/>
      <c r="H1489" s="56"/>
      <c r="I1489" s="61" t="str">
        <f aca="false">IF(IsPro,IF(OR($C1489="",N($G1489)=0),"",IF(OR($C1489="Receipt",$C1489="Other Income",$C1489="Capital In",$C1489="Transfer In"),$G1489,0)),"")</f>
        <v/>
      </c>
      <c r="J1489" s="61" t="str">
        <f aca="false">IF(IsPro,IF(OR($C1489="",N($G1489)=0),"",IF(I1489=0,$G1489,0)),"")</f>
        <v/>
      </c>
      <c r="K1489" s="60" t="str">
        <f aca="false">IF(IsPro,IF($C1489="","",IF(AND(OR($C1489="Receipt",$C1489="Payment"),$D1489=""),"Party needed",IF(AND(OR($C1489="Expense",$C1489="Other Income"),$E1489=""),"Head needed",IF($F1489="","Account needed","OK")))),IF($C1489="","","PRO PLAN"))</f>
        <v/>
      </c>
    </row>
    <row r="1490" customFormat="false" ht="15" hidden="false" customHeight="false" outlineLevel="0" collapsed="false">
      <c r="A1490" s="55"/>
      <c r="B1490" s="56"/>
      <c r="C1490" s="56"/>
      <c r="D1490" s="56"/>
      <c r="E1490" s="56"/>
      <c r="F1490" s="56"/>
      <c r="G1490" s="58"/>
      <c r="H1490" s="56"/>
      <c r="I1490" s="61" t="str">
        <f aca="false">IF(IsPro,IF(OR($C1490="",N($G1490)=0),"",IF(OR($C1490="Receipt",$C1490="Other Income",$C1490="Capital In",$C1490="Transfer In"),$G1490,0)),"")</f>
        <v/>
      </c>
      <c r="J1490" s="61" t="str">
        <f aca="false">IF(IsPro,IF(OR($C1490="",N($G1490)=0),"",IF(I1490=0,$G1490,0)),"")</f>
        <v/>
      </c>
      <c r="K1490" s="60" t="str">
        <f aca="false">IF(IsPro,IF($C1490="","",IF(AND(OR($C1490="Receipt",$C1490="Payment"),$D1490=""),"Party needed",IF(AND(OR($C1490="Expense",$C1490="Other Income"),$E1490=""),"Head needed",IF($F1490="","Account needed","OK")))),IF($C1490="","","PRO PLAN"))</f>
        <v/>
      </c>
    </row>
    <row r="1491" customFormat="false" ht="15" hidden="false" customHeight="false" outlineLevel="0" collapsed="false">
      <c r="A1491" s="55"/>
      <c r="B1491" s="56"/>
      <c r="C1491" s="56"/>
      <c r="D1491" s="56"/>
      <c r="E1491" s="56"/>
      <c r="F1491" s="56"/>
      <c r="G1491" s="58"/>
      <c r="H1491" s="56"/>
      <c r="I1491" s="61" t="str">
        <f aca="false">IF(IsPro,IF(OR($C1491="",N($G1491)=0),"",IF(OR($C1491="Receipt",$C1491="Other Income",$C1491="Capital In",$C1491="Transfer In"),$G1491,0)),"")</f>
        <v/>
      </c>
      <c r="J1491" s="61" t="str">
        <f aca="false">IF(IsPro,IF(OR($C1491="",N($G1491)=0),"",IF(I1491=0,$G1491,0)),"")</f>
        <v/>
      </c>
      <c r="K1491" s="60" t="str">
        <f aca="false">IF(IsPro,IF($C1491="","",IF(AND(OR($C1491="Receipt",$C1491="Payment"),$D1491=""),"Party needed",IF(AND(OR($C1491="Expense",$C1491="Other Income"),$E1491=""),"Head needed",IF($F1491="","Account needed","OK")))),IF($C1491="","","PRO PLAN"))</f>
        <v/>
      </c>
    </row>
    <row r="1492" customFormat="false" ht="15" hidden="false" customHeight="false" outlineLevel="0" collapsed="false">
      <c r="A1492" s="55"/>
      <c r="B1492" s="56"/>
      <c r="C1492" s="56"/>
      <c r="D1492" s="56"/>
      <c r="E1492" s="56"/>
      <c r="F1492" s="56"/>
      <c r="G1492" s="58"/>
      <c r="H1492" s="56"/>
      <c r="I1492" s="61" t="str">
        <f aca="false">IF(IsPro,IF(OR($C1492="",N($G1492)=0),"",IF(OR($C1492="Receipt",$C1492="Other Income",$C1492="Capital In",$C1492="Transfer In"),$G1492,0)),"")</f>
        <v/>
      </c>
      <c r="J1492" s="61" t="str">
        <f aca="false">IF(IsPro,IF(OR($C1492="",N($G1492)=0),"",IF(I1492=0,$G1492,0)),"")</f>
        <v/>
      </c>
      <c r="K1492" s="60" t="str">
        <f aca="false">IF(IsPro,IF($C1492="","",IF(AND(OR($C1492="Receipt",$C1492="Payment"),$D1492=""),"Party needed",IF(AND(OR($C1492="Expense",$C1492="Other Income"),$E1492=""),"Head needed",IF($F1492="","Account needed","OK")))),IF($C1492="","","PRO PLAN"))</f>
        <v/>
      </c>
    </row>
    <row r="1493" customFormat="false" ht="15" hidden="false" customHeight="false" outlineLevel="0" collapsed="false">
      <c r="A1493" s="55"/>
      <c r="B1493" s="56"/>
      <c r="C1493" s="56"/>
      <c r="D1493" s="56"/>
      <c r="E1493" s="56"/>
      <c r="F1493" s="56"/>
      <c r="G1493" s="58"/>
      <c r="H1493" s="56"/>
      <c r="I1493" s="61" t="str">
        <f aca="false">IF(IsPro,IF(OR($C1493="",N($G1493)=0),"",IF(OR($C1493="Receipt",$C1493="Other Income",$C1493="Capital In",$C1493="Transfer In"),$G1493,0)),"")</f>
        <v/>
      </c>
      <c r="J1493" s="61" t="str">
        <f aca="false">IF(IsPro,IF(OR($C1493="",N($G1493)=0),"",IF(I1493=0,$G1493,0)),"")</f>
        <v/>
      </c>
      <c r="K1493" s="60" t="str">
        <f aca="false">IF(IsPro,IF($C1493="","",IF(AND(OR($C1493="Receipt",$C1493="Payment"),$D1493=""),"Party needed",IF(AND(OR($C1493="Expense",$C1493="Other Income"),$E1493=""),"Head needed",IF($F1493="","Account needed","OK")))),IF($C1493="","","PRO PLAN"))</f>
        <v/>
      </c>
    </row>
    <row r="1494" customFormat="false" ht="15" hidden="false" customHeight="false" outlineLevel="0" collapsed="false">
      <c r="A1494" s="55"/>
      <c r="B1494" s="56"/>
      <c r="C1494" s="56"/>
      <c r="D1494" s="56"/>
      <c r="E1494" s="56"/>
      <c r="F1494" s="56"/>
      <c r="G1494" s="58"/>
      <c r="H1494" s="56"/>
      <c r="I1494" s="61" t="str">
        <f aca="false">IF(IsPro,IF(OR($C1494="",N($G1494)=0),"",IF(OR($C1494="Receipt",$C1494="Other Income",$C1494="Capital In",$C1494="Transfer In"),$G1494,0)),"")</f>
        <v/>
      </c>
      <c r="J1494" s="61" t="str">
        <f aca="false">IF(IsPro,IF(OR($C1494="",N($G1494)=0),"",IF(I1494=0,$G1494,0)),"")</f>
        <v/>
      </c>
      <c r="K1494" s="60" t="str">
        <f aca="false">IF(IsPro,IF($C1494="","",IF(AND(OR($C1494="Receipt",$C1494="Payment"),$D1494=""),"Party needed",IF(AND(OR($C1494="Expense",$C1494="Other Income"),$E1494=""),"Head needed",IF($F1494="","Account needed","OK")))),IF($C1494="","","PRO PLAN"))</f>
        <v/>
      </c>
    </row>
    <row r="1495" customFormat="false" ht="15" hidden="false" customHeight="false" outlineLevel="0" collapsed="false">
      <c r="A1495" s="55"/>
      <c r="B1495" s="56"/>
      <c r="C1495" s="56"/>
      <c r="D1495" s="56"/>
      <c r="E1495" s="56"/>
      <c r="F1495" s="56"/>
      <c r="G1495" s="58"/>
      <c r="H1495" s="56"/>
      <c r="I1495" s="61" t="str">
        <f aca="false">IF(IsPro,IF(OR($C1495="",N($G1495)=0),"",IF(OR($C1495="Receipt",$C1495="Other Income",$C1495="Capital In",$C1495="Transfer In"),$G1495,0)),"")</f>
        <v/>
      </c>
      <c r="J1495" s="61" t="str">
        <f aca="false">IF(IsPro,IF(OR($C1495="",N($G1495)=0),"",IF(I1495=0,$G1495,0)),"")</f>
        <v/>
      </c>
      <c r="K1495" s="60" t="str">
        <f aca="false">IF(IsPro,IF($C1495="","",IF(AND(OR($C1495="Receipt",$C1495="Payment"),$D1495=""),"Party needed",IF(AND(OR($C1495="Expense",$C1495="Other Income"),$E1495=""),"Head needed",IF($F1495="","Account needed","OK")))),IF($C1495="","","PRO PLAN"))</f>
        <v/>
      </c>
    </row>
    <row r="1496" customFormat="false" ht="15" hidden="false" customHeight="false" outlineLevel="0" collapsed="false">
      <c r="A1496" s="55"/>
      <c r="B1496" s="56"/>
      <c r="C1496" s="56"/>
      <c r="D1496" s="56"/>
      <c r="E1496" s="56"/>
      <c r="F1496" s="56"/>
      <c r="G1496" s="58"/>
      <c r="H1496" s="56"/>
      <c r="I1496" s="61" t="str">
        <f aca="false">IF(IsPro,IF(OR($C1496="",N($G1496)=0),"",IF(OR($C1496="Receipt",$C1496="Other Income",$C1496="Capital In",$C1496="Transfer In"),$G1496,0)),"")</f>
        <v/>
      </c>
      <c r="J1496" s="61" t="str">
        <f aca="false">IF(IsPro,IF(OR($C1496="",N($G1496)=0),"",IF(I1496=0,$G1496,0)),"")</f>
        <v/>
      </c>
      <c r="K1496" s="60" t="str">
        <f aca="false">IF(IsPro,IF($C1496="","",IF(AND(OR($C1496="Receipt",$C1496="Payment"),$D1496=""),"Party needed",IF(AND(OR($C1496="Expense",$C1496="Other Income"),$E1496=""),"Head needed",IF($F1496="","Account needed","OK")))),IF($C1496="","","PRO PLAN"))</f>
        <v/>
      </c>
    </row>
    <row r="1497" customFormat="false" ht="15" hidden="false" customHeight="false" outlineLevel="0" collapsed="false">
      <c r="A1497" s="55"/>
      <c r="B1497" s="56"/>
      <c r="C1497" s="56"/>
      <c r="D1497" s="56"/>
      <c r="E1497" s="56"/>
      <c r="F1497" s="56"/>
      <c r="G1497" s="58"/>
      <c r="H1497" s="56"/>
      <c r="I1497" s="61" t="str">
        <f aca="false">IF(IsPro,IF(OR($C1497="",N($G1497)=0),"",IF(OR($C1497="Receipt",$C1497="Other Income",$C1497="Capital In",$C1497="Transfer In"),$G1497,0)),"")</f>
        <v/>
      </c>
      <c r="J1497" s="61" t="str">
        <f aca="false">IF(IsPro,IF(OR($C1497="",N($G1497)=0),"",IF(I1497=0,$G1497,0)),"")</f>
        <v/>
      </c>
      <c r="K1497" s="60" t="str">
        <f aca="false">IF(IsPro,IF($C1497="","",IF(AND(OR($C1497="Receipt",$C1497="Payment"),$D1497=""),"Party needed",IF(AND(OR($C1497="Expense",$C1497="Other Income"),$E1497=""),"Head needed",IF($F1497="","Account needed","OK")))),IF($C1497="","","PRO PLAN"))</f>
        <v/>
      </c>
    </row>
    <row r="1498" customFormat="false" ht="15" hidden="false" customHeight="false" outlineLevel="0" collapsed="false">
      <c r="A1498" s="55"/>
      <c r="B1498" s="56"/>
      <c r="C1498" s="56"/>
      <c r="D1498" s="56"/>
      <c r="E1498" s="56"/>
      <c r="F1498" s="56"/>
      <c r="G1498" s="58"/>
      <c r="H1498" s="56"/>
      <c r="I1498" s="61" t="str">
        <f aca="false">IF(IsPro,IF(OR($C1498="",N($G1498)=0),"",IF(OR($C1498="Receipt",$C1498="Other Income",$C1498="Capital In",$C1498="Transfer In"),$G1498,0)),"")</f>
        <v/>
      </c>
      <c r="J1498" s="61" t="str">
        <f aca="false">IF(IsPro,IF(OR($C1498="",N($G1498)=0),"",IF(I1498=0,$G1498,0)),"")</f>
        <v/>
      </c>
      <c r="K1498" s="60" t="str">
        <f aca="false">IF(IsPro,IF($C1498="","",IF(AND(OR($C1498="Receipt",$C1498="Payment"),$D1498=""),"Party needed",IF(AND(OR($C1498="Expense",$C1498="Other Income"),$E1498=""),"Head needed",IF($F1498="","Account needed","OK")))),IF($C1498="","","PRO PLAN"))</f>
        <v/>
      </c>
    </row>
    <row r="1499" customFormat="false" ht="15" hidden="false" customHeight="false" outlineLevel="0" collapsed="false">
      <c r="A1499" s="55"/>
      <c r="B1499" s="56"/>
      <c r="C1499" s="56"/>
      <c r="D1499" s="56"/>
      <c r="E1499" s="56"/>
      <c r="F1499" s="56"/>
      <c r="G1499" s="58"/>
      <c r="H1499" s="56"/>
      <c r="I1499" s="61" t="str">
        <f aca="false">IF(IsPro,IF(OR($C1499="",N($G1499)=0),"",IF(OR($C1499="Receipt",$C1499="Other Income",$C1499="Capital In",$C1499="Transfer In"),$G1499,0)),"")</f>
        <v/>
      </c>
      <c r="J1499" s="61" t="str">
        <f aca="false">IF(IsPro,IF(OR($C1499="",N($G1499)=0),"",IF(I1499=0,$G1499,0)),"")</f>
        <v/>
      </c>
      <c r="K1499" s="60" t="str">
        <f aca="false">IF(IsPro,IF($C1499="","",IF(AND(OR($C1499="Receipt",$C1499="Payment"),$D1499=""),"Party needed",IF(AND(OR($C1499="Expense",$C1499="Other Income"),$E1499=""),"Head needed",IF($F1499="","Account needed","OK")))),IF($C1499="","","PRO PLAN"))</f>
        <v/>
      </c>
    </row>
    <row r="1500" customFormat="false" ht="15" hidden="false" customHeight="false" outlineLevel="0" collapsed="false">
      <c r="A1500" s="55"/>
      <c r="B1500" s="56"/>
      <c r="C1500" s="56"/>
      <c r="D1500" s="56"/>
      <c r="E1500" s="56"/>
      <c r="F1500" s="56"/>
      <c r="G1500" s="58"/>
      <c r="H1500" s="56"/>
      <c r="I1500" s="61" t="str">
        <f aca="false">IF(IsPro,IF(OR($C1500="",N($G1500)=0),"",IF(OR($C1500="Receipt",$C1500="Other Income",$C1500="Capital In",$C1500="Transfer In"),$G1500,0)),"")</f>
        <v/>
      </c>
      <c r="J1500" s="61" t="str">
        <f aca="false">IF(IsPro,IF(OR($C1500="",N($G1500)=0),"",IF(I1500=0,$G1500,0)),"")</f>
        <v/>
      </c>
      <c r="K1500" s="60" t="str">
        <f aca="false">IF(IsPro,IF($C1500="","",IF(AND(OR($C1500="Receipt",$C1500="Payment"),$D1500=""),"Party needed",IF(AND(OR($C1500="Expense",$C1500="Other Income"),$E1500=""),"Head needed",IF($F1500="","Account needed","OK")))),IF($C1500="","","PRO PLAN"))</f>
        <v/>
      </c>
    </row>
    <row r="1501" customFormat="false" ht="15" hidden="false" customHeight="false" outlineLevel="0" collapsed="false">
      <c r="A1501" s="55"/>
      <c r="B1501" s="56"/>
      <c r="C1501" s="56"/>
      <c r="D1501" s="56"/>
      <c r="E1501" s="56"/>
      <c r="F1501" s="56"/>
      <c r="G1501" s="58"/>
      <c r="H1501" s="56"/>
      <c r="I1501" s="61" t="str">
        <f aca="false">IF(IsPro,IF(OR($C1501="",N($G1501)=0),"",IF(OR($C1501="Receipt",$C1501="Other Income",$C1501="Capital In",$C1501="Transfer In"),$G1501,0)),"")</f>
        <v/>
      </c>
      <c r="J1501" s="61" t="str">
        <f aca="false">IF(IsPro,IF(OR($C1501="",N($G1501)=0),"",IF(I1501=0,$G1501,0)),"")</f>
        <v/>
      </c>
      <c r="K1501" s="60" t="str">
        <f aca="false">IF(IsPro,IF($C1501="","",IF(AND(OR($C1501="Receipt",$C1501="Payment"),$D1501=""),"Party needed",IF(AND(OR($C1501="Expense",$C1501="Other Income"),$E1501=""),"Head needed",IF($F1501="","Account needed","OK")))),IF($C1501="","","PRO PLAN"))</f>
        <v/>
      </c>
    </row>
    <row r="1502" customFormat="false" ht="15" hidden="false" customHeight="false" outlineLevel="0" collapsed="false">
      <c r="A1502" s="55"/>
      <c r="B1502" s="56"/>
      <c r="C1502" s="56"/>
      <c r="D1502" s="56"/>
      <c r="E1502" s="56"/>
      <c r="F1502" s="56"/>
      <c r="G1502" s="58"/>
      <c r="H1502" s="56"/>
      <c r="I1502" s="61" t="str">
        <f aca="false">IF(IsPro,IF(OR($C1502="",N($G1502)=0),"",IF(OR($C1502="Receipt",$C1502="Other Income",$C1502="Capital In",$C1502="Transfer In"),$G1502,0)),"")</f>
        <v/>
      </c>
      <c r="J1502" s="61" t="str">
        <f aca="false">IF(IsPro,IF(OR($C1502="",N($G1502)=0),"",IF(I1502=0,$G1502,0)),"")</f>
        <v/>
      </c>
      <c r="K1502" s="60" t="str">
        <f aca="false">IF(IsPro,IF($C1502="","",IF(AND(OR($C1502="Receipt",$C1502="Payment"),$D1502=""),"Party needed",IF(AND(OR($C1502="Expense",$C1502="Other Income"),$E1502=""),"Head needed",IF($F1502="","Account needed","OK")))),IF($C1502="","","PRO PLAN"))</f>
        <v/>
      </c>
    </row>
    <row r="1503" customFormat="false" ht="15" hidden="false" customHeight="false" outlineLevel="0" collapsed="false">
      <c r="A1503" s="55"/>
      <c r="B1503" s="56"/>
      <c r="C1503" s="56"/>
      <c r="D1503" s="56"/>
      <c r="E1503" s="56"/>
      <c r="F1503" s="56"/>
      <c r="G1503" s="58"/>
      <c r="H1503" s="56"/>
      <c r="I1503" s="61" t="str">
        <f aca="false">IF(IsPro,IF(OR($C1503="",N($G1503)=0),"",IF(OR($C1503="Receipt",$C1503="Other Income",$C1503="Capital In",$C1503="Transfer In"),$G1503,0)),"")</f>
        <v/>
      </c>
      <c r="J1503" s="61" t="str">
        <f aca="false">IF(IsPro,IF(OR($C1503="",N($G1503)=0),"",IF(I1503=0,$G1503,0)),"")</f>
        <v/>
      </c>
      <c r="K1503" s="60" t="str">
        <f aca="false">IF(IsPro,IF($C1503="","",IF(AND(OR($C1503="Receipt",$C1503="Payment"),$D1503=""),"Party needed",IF(AND(OR($C1503="Expense",$C1503="Other Income"),$E1503=""),"Head needed",IF($F1503="","Account needed","OK")))),IF($C1503="","","PRO PLAN"))</f>
        <v/>
      </c>
    </row>
    <row r="1504" customFormat="false" ht="15" hidden="false" customHeight="false" outlineLevel="0" collapsed="false">
      <c r="A1504" s="55"/>
      <c r="B1504" s="56"/>
      <c r="C1504" s="56"/>
      <c r="D1504" s="56"/>
      <c r="E1504" s="56"/>
      <c r="F1504" s="56"/>
      <c r="G1504" s="58"/>
      <c r="H1504" s="56"/>
      <c r="I1504" s="61" t="str">
        <f aca="false">IF(IsPro,IF(OR($C1504="",N($G1504)=0),"",IF(OR($C1504="Receipt",$C1504="Other Income",$C1504="Capital In",$C1504="Transfer In"),$G1504,0)),"")</f>
        <v/>
      </c>
      <c r="J1504" s="61" t="str">
        <f aca="false">IF(IsPro,IF(OR($C1504="",N($G1504)=0),"",IF(I1504=0,$G1504,0)),"")</f>
        <v/>
      </c>
      <c r="K1504" s="60" t="str">
        <f aca="false">IF(IsPro,IF($C1504="","",IF(AND(OR($C1504="Receipt",$C1504="Payment"),$D1504=""),"Party needed",IF(AND(OR($C1504="Expense",$C1504="Other Income"),$E1504=""),"Head needed",IF($F1504="","Account needed","OK")))),IF($C1504="","","PRO PLAN"))</f>
        <v/>
      </c>
    </row>
    <row r="1505" customFormat="false" ht="15" hidden="false" customHeight="false" outlineLevel="0" collapsed="false">
      <c r="A1505" s="55"/>
      <c r="B1505" s="56"/>
      <c r="C1505" s="56"/>
      <c r="D1505" s="56"/>
      <c r="E1505" s="56"/>
      <c r="F1505" s="56"/>
      <c r="G1505" s="58"/>
      <c r="H1505" s="56"/>
      <c r="I1505" s="61" t="str">
        <f aca="false">IF(IsPro,IF(OR($C1505="",N($G1505)=0),"",IF(OR($C1505="Receipt",$C1505="Other Income",$C1505="Capital In",$C1505="Transfer In"),$G1505,0)),"")</f>
        <v/>
      </c>
      <c r="J1505" s="61" t="str">
        <f aca="false">IF(IsPro,IF(OR($C1505="",N($G1505)=0),"",IF(I1505=0,$G1505,0)),"")</f>
        <v/>
      </c>
      <c r="K1505" s="60" t="str">
        <f aca="false">IF(IsPro,IF($C1505="","",IF(AND(OR($C1505="Receipt",$C1505="Payment"),$D1505=""),"Party needed",IF(AND(OR($C1505="Expense",$C1505="Other Income"),$E1505=""),"Head needed",IF($F1505="","Account needed","OK")))),IF($C1505="","","PRO PLAN"))</f>
        <v/>
      </c>
    </row>
    <row r="1506" customFormat="false" ht="15" hidden="false" customHeight="false" outlineLevel="0" collapsed="false">
      <c r="A1506" s="55"/>
      <c r="B1506" s="56"/>
      <c r="C1506" s="56"/>
      <c r="D1506" s="56"/>
      <c r="E1506" s="56"/>
      <c r="F1506" s="56"/>
      <c r="G1506" s="58"/>
      <c r="H1506" s="56"/>
      <c r="I1506" s="61" t="str">
        <f aca="false">IF(IsPro,IF(OR($C1506="",N($G1506)=0),"",IF(OR($C1506="Receipt",$C1506="Other Income",$C1506="Capital In",$C1506="Transfer In"),$G1506,0)),"")</f>
        <v/>
      </c>
      <c r="J1506" s="61" t="str">
        <f aca="false">IF(IsPro,IF(OR($C1506="",N($G1506)=0),"",IF(I1506=0,$G1506,0)),"")</f>
        <v/>
      </c>
      <c r="K1506" s="60" t="str">
        <f aca="false">IF(IsPro,IF($C1506="","",IF(AND(OR($C1506="Receipt",$C1506="Payment"),$D1506=""),"Party needed",IF(AND(OR($C1506="Expense",$C1506="Other Income"),$E1506=""),"Head needed",IF($F1506="","Account needed","OK")))),IF($C1506="","","PRO PLAN"))</f>
        <v/>
      </c>
    </row>
    <row r="1507" customFormat="false" ht="15" hidden="false" customHeight="false" outlineLevel="0" collapsed="false">
      <c r="A1507" s="55"/>
      <c r="B1507" s="56"/>
      <c r="C1507" s="56"/>
      <c r="D1507" s="56"/>
      <c r="E1507" s="56"/>
      <c r="F1507" s="56"/>
      <c r="G1507" s="58"/>
      <c r="H1507" s="56"/>
      <c r="I1507" s="61" t="str">
        <f aca="false">IF(IsPro,IF(OR($C1507="",N($G1507)=0),"",IF(OR($C1507="Receipt",$C1507="Other Income",$C1507="Capital In",$C1507="Transfer In"),$G1507,0)),"")</f>
        <v/>
      </c>
      <c r="J1507" s="61" t="str">
        <f aca="false">IF(IsPro,IF(OR($C1507="",N($G1507)=0),"",IF(I1507=0,$G1507,0)),"")</f>
        <v/>
      </c>
      <c r="K1507" s="60" t="str">
        <f aca="false">IF(IsPro,IF($C1507="","",IF(AND(OR($C1507="Receipt",$C1507="Payment"),$D1507=""),"Party needed",IF(AND(OR($C1507="Expense",$C1507="Other Income"),$E1507=""),"Head needed",IF($F1507="","Account needed","OK")))),IF($C1507="","","PRO PLAN"))</f>
        <v/>
      </c>
    </row>
    <row r="1508" customFormat="false" ht="15" hidden="false" customHeight="false" outlineLevel="0" collapsed="false">
      <c r="A1508" s="55"/>
      <c r="B1508" s="56"/>
      <c r="C1508" s="56"/>
      <c r="D1508" s="56"/>
      <c r="E1508" s="56"/>
      <c r="F1508" s="56"/>
      <c r="G1508" s="58"/>
      <c r="H1508" s="56"/>
      <c r="I1508" s="61" t="str">
        <f aca="false">IF(IsPro,IF(OR($C1508="",N($G1508)=0),"",IF(OR($C1508="Receipt",$C1508="Other Income",$C1508="Capital In",$C1508="Transfer In"),$G1508,0)),"")</f>
        <v/>
      </c>
      <c r="J1508" s="61" t="str">
        <f aca="false">IF(IsPro,IF(OR($C1508="",N($G1508)=0),"",IF(I1508=0,$G1508,0)),"")</f>
        <v/>
      </c>
      <c r="K1508" s="60" t="str">
        <f aca="false">IF(IsPro,IF($C1508="","",IF(AND(OR($C1508="Receipt",$C1508="Payment"),$D1508=""),"Party needed",IF(AND(OR($C1508="Expense",$C1508="Other Income"),$E1508=""),"Head needed",IF($F1508="","Account needed","OK")))),IF($C1508="","","PRO PLAN"))</f>
        <v/>
      </c>
    </row>
    <row r="1509" customFormat="false" ht="15" hidden="false" customHeight="false" outlineLevel="0" collapsed="false">
      <c r="A1509" s="55"/>
      <c r="B1509" s="56"/>
      <c r="C1509" s="56"/>
      <c r="D1509" s="56"/>
      <c r="E1509" s="56"/>
      <c r="F1509" s="56"/>
      <c r="G1509" s="58"/>
      <c r="H1509" s="56"/>
      <c r="I1509" s="61" t="str">
        <f aca="false">IF(IsPro,IF(OR($C1509="",N($G1509)=0),"",IF(OR($C1509="Receipt",$C1509="Other Income",$C1509="Capital In",$C1509="Transfer In"),$G1509,0)),"")</f>
        <v/>
      </c>
      <c r="J1509" s="61" t="str">
        <f aca="false">IF(IsPro,IF(OR($C1509="",N($G1509)=0),"",IF(I1509=0,$G1509,0)),"")</f>
        <v/>
      </c>
      <c r="K1509" s="60" t="str">
        <f aca="false">IF(IsPro,IF($C1509="","",IF(AND(OR($C1509="Receipt",$C1509="Payment"),$D1509=""),"Party needed",IF(AND(OR($C1509="Expense",$C1509="Other Income"),$E1509=""),"Head needed",IF($F1509="","Account needed","OK")))),IF($C1509="","","PRO PLAN"))</f>
        <v/>
      </c>
    </row>
    <row r="1510" customFormat="false" ht="15" hidden="false" customHeight="false" outlineLevel="0" collapsed="false">
      <c r="A1510" s="55"/>
      <c r="B1510" s="56"/>
      <c r="C1510" s="56"/>
      <c r="D1510" s="56"/>
      <c r="E1510" s="56"/>
      <c r="F1510" s="56"/>
      <c r="G1510" s="58"/>
      <c r="H1510" s="56"/>
      <c r="I1510" s="61" t="str">
        <f aca="false">IF(IsPro,IF(OR($C1510="",N($G1510)=0),"",IF(OR($C1510="Receipt",$C1510="Other Income",$C1510="Capital In",$C1510="Transfer In"),$G1510,0)),"")</f>
        <v/>
      </c>
      <c r="J1510" s="61" t="str">
        <f aca="false">IF(IsPro,IF(OR($C1510="",N($G1510)=0),"",IF(I1510=0,$G1510,0)),"")</f>
        <v/>
      </c>
      <c r="K1510" s="60" t="str">
        <f aca="false">IF(IsPro,IF($C1510="","",IF(AND(OR($C1510="Receipt",$C1510="Payment"),$D1510=""),"Party needed",IF(AND(OR($C1510="Expense",$C1510="Other Income"),$E1510=""),"Head needed",IF($F1510="","Account needed","OK")))),IF($C1510="","","PRO PLAN"))</f>
        <v/>
      </c>
    </row>
    <row r="1511" customFormat="false" ht="15" hidden="false" customHeight="false" outlineLevel="0" collapsed="false">
      <c r="A1511" s="55"/>
      <c r="B1511" s="56"/>
      <c r="C1511" s="56"/>
      <c r="D1511" s="56"/>
      <c r="E1511" s="56"/>
      <c r="F1511" s="56"/>
      <c r="G1511" s="58"/>
      <c r="H1511" s="56"/>
      <c r="I1511" s="61" t="str">
        <f aca="false">IF(IsPro,IF(OR($C1511="",N($G1511)=0),"",IF(OR($C1511="Receipt",$C1511="Other Income",$C1511="Capital In",$C1511="Transfer In"),$G1511,0)),"")</f>
        <v/>
      </c>
      <c r="J1511" s="61" t="str">
        <f aca="false">IF(IsPro,IF(OR($C1511="",N($G1511)=0),"",IF(I1511=0,$G1511,0)),"")</f>
        <v/>
      </c>
      <c r="K1511" s="60" t="str">
        <f aca="false">IF(IsPro,IF($C1511="","",IF(AND(OR($C1511="Receipt",$C1511="Payment"),$D1511=""),"Party needed",IF(AND(OR($C1511="Expense",$C1511="Other Income"),$E1511=""),"Head needed",IF($F1511="","Account needed","OK")))),IF($C1511="","","PRO PLAN"))</f>
        <v/>
      </c>
    </row>
    <row r="1512" customFormat="false" ht="15" hidden="false" customHeight="false" outlineLevel="0" collapsed="false">
      <c r="A1512" s="55"/>
      <c r="B1512" s="56"/>
      <c r="C1512" s="56"/>
      <c r="D1512" s="56"/>
      <c r="E1512" s="56"/>
      <c r="F1512" s="56"/>
      <c r="G1512" s="58"/>
      <c r="H1512" s="56"/>
      <c r="I1512" s="61" t="str">
        <f aca="false">IF(IsPro,IF(OR($C1512="",N($G1512)=0),"",IF(OR($C1512="Receipt",$C1512="Other Income",$C1512="Capital In",$C1512="Transfer In"),$G1512,0)),"")</f>
        <v/>
      </c>
      <c r="J1512" s="61" t="str">
        <f aca="false">IF(IsPro,IF(OR($C1512="",N($G1512)=0),"",IF(I1512=0,$G1512,0)),"")</f>
        <v/>
      </c>
      <c r="K1512" s="60" t="str">
        <f aca="false">IF(IsPro,IF($C1512="","",IF(AND(OR($C1512="Receipt",$C1512="Payment"),$D1512=""),"Party needed",IF(AND(OR($C1512="Expense",$C1512="Other Income"),$E1512=""),"Head needed",IF($F1512="","Account needed","OK")))),IF($C1512="","","PRO PLAN"))</f>
        <v/>
      </c>
    </row>
    <row r="1513" customFormat="false" ht="15" hidden="false" customHeight="false" outlineLevel="0" collapsed="false">
      <c r="A1513" s="55"/>
      <c r="B1513" s="56"/>
      <c r="C1513" s="56"/>
      <c r="D1513" s="56"/>
      <c r="E1513" s="56"/>
      <c r="F1513" s="56"/>
      <c r="G1513" s="58"/>
      <c r="H1513" s="56"/>
      <c r="I1513" s="61" t="str">
        <f aca="false">IF(IsPro,IF(OR($C1513="",N($G1513)=0),"",IF(OR($C1513="Receipt",$C1513="Other Income",$C1513="Capital In",$C1513="Transfer In"),$G1513,0)),"")</f>
        <v/>
      </c>
      <c r="J1513" s="61" t="str">
        <f aca="false">IF(IsPro,IF(OR($C1513="",N($G1513)=0),"",IF(I1513=0,$G1513,0)),"")</f>
        <v/>
      </c>
      <c r="K1513" s="60" t="str">
        <f aca="false">IF(IsPro,IF($C1513="","",IF(AND(OR($C1513="Receipt",$C1513="Payment"),$D1513=""),"Party needed",IF(AND(OR($C1513="Expense",$C1513="Other Income"),$E1513=""),"Head needed",IF($F1513="","Account needed","OK")))),IF($C1513="","","PRO PLAN"))</f>
        <v/>
      </c>
    </row>
    <row r="1514" customFormat="false" ht="15" hidden="false" customHeight="false" outlineLevel="0" collapsed="false">
      <c r="A1514" s="55"/>
      <c r="B1514" s="56"/>
      <c r="C1514" s="56"/>
      <c r="D1514" s="56"/>
      <c r="E1514" s="56"/>
      <c r="F1514" s="56"/>
      <c r="G1514" s="58"/>
      <c r="H1514" s="56"/>
      <c r="I1514" s="61" t="str">
        <f aca="false">IF(IsPro,IF(OR($C1514="",N($G1514)=0),"",IF(OR($C1514="Receipt",$C1514="Other Income",$C1514="Capital In",$C1514="Transfer In"),$G1514,0)),"")</f>
        <v/>
      </c>
      <c r="J1514" s="61" t="str">
        <f aca="false">IF(IsPro,IF(OR($C1514="",N($G1514)=0),"",IF(I1514=0,$G1514,0)),"")</f>
        <v/>
      </c>
      <c r="K1514" s="60" t="str">
        <f aca="false">IF(IsPro,IF($C1514="","",IF(AND(OR($C1514="Receipt",$C1514="Payment"),$D1514=""),"Party needed",IF(AND(OR($C1514="Expense",$C1514="Other Income"),$E1514=""),"Head needed",IF($F1514="","Account needed","OK")))),IF($C1514="","","PRO PLAN"))</f>
        <v/>
      </c>
    </row>
    <row r="1515" customFormat="false" ht="15" hidden="false" customHeight="false" outlineLevel="0" collapsed="false">
      <c r="A1515" s="55"/>
      <c r="B1515" s="56"/>
      <c r="C1515" s="56"/>
      <c r="D1515" s="56"/>
      <c r="E1515" s="56"/>
      <c r="F1515" s="56"/>
      <c r="G1515" s="58"/>
      <c r="H1515" s="56"/>
      <c r="I1515" s="61" t="str">
        <f aca="false">IF(IsPro,IF(OR($C1515="",N($G1515)=0),"",IF(OR($C1515="Receipt",$C1515="Other Income",$C1515="Capital In",$C1515="Transfer In"),$G1515,0)),"")</f>
        <v/>
      </c>
      <c r="J1515" s="61" t="str">
        <f aca="false">IF(IsPro,IF(OR($C1515="",N($G1515)=0),"",IF(I1515=0,$G1515,0)),"")</f>
        <v/>
      </c>
      <c r="K1515" s="60" t="str">
        <f aca="false">IF(IsPro,IF($C1515="","",IF(AND(OR($C1515="Receipt",$C1515="Payment"),$D1515=""),"Party needed",IF(AND(OR($C1515="Expense",$C1515="Other Income"),$E1515=""),"Head needed",IF($F1515="","Account needed","OK")))),IF($C1515="","","PRO PLAN"))</f>
        <v/>
      </c>
    </row>
    <row r="1516" customFormat="false" ht="15" hidden="false" customHeight="false" outlineLevel="0" collapsed="false">
      <c r="A1516" s="55"/>
      <c r="B1516" s="56"/>
      <c r="C1516" s="56"/>
      <c r="D1516" s="56"/>
      <c r="E1516" s="56"/>
      <c r="F1516" s="56"/>
      <c r="G1516" s="58"/>
      <c r="H1516" s="56"/>
      <c r="I1516" s="61" t="str">
        <f aca="false">IF(IsPro,IF(OR($C1516="",N($G1516)=0),"",IF(OR($C1516="Receipt",$C1516="Other Income",$C1516="Capital In",$C1516="Transfer In"),$G1516,0)),"")</f>
        <v/>
      </c>
      <c r="J1516" s="61" t="str">
        <f aca="false">IF(IsPro,IF(OR($C1516="",N($G1516)=0),"",IF(I1516=0,$G1516,0)),"")</f>
        <v/>
      </c>
      <c r="K1516" s="60" t="str">
        <f aca="false">IF(IsPro,IF($C1516="","",IF(AND(OR($C1516="Receipt",$C1516="Payment"),$D1516=""),"Party needed",IF(AND(OR($C1516="Expense",$C1516="Other Income"),$E1516=""),"Head needed",IF($F1516="","Account needed","OK")))),IF($C1516="","","PRO PLAN"))</f>
        <v/>
      </c>
    </row>
    <row r="1517" customFormat="false" ht="15" hidden="false" customHeight="false" outlineLevel="0" collapsed="false">
      <c r="A1517" s="55"/>
      <c r="B1517" s="56"/>
      <c r="C1517" s="56"/>
      <c r="D1517" s="56"/>
      <c r="E1517" s="56"/>
      <c r="F1517" s="56"/>
      <c r="G1517" s="58"/>
      <c r="H1517" s="56"/>
      <c r="I1517" s="61" t="str">
        <f aca="false">IF(IsPro,IF(OR($C1517="",N($G1517)=0),"",IF(OR($C1517="Receipt",$C1517="Other Income",$C1517="Capital In",$C1517="Transfer In"),$G1517,0)),"")</f>
        <v/>
      </c>
      <c r="J1517" s="61" t="str">
        <f aca="false">IF(IsPro,IF(OR($C1517="",N($G1517)=0),"",IF(I1517=0,$G1517,0)),"")</f>
        <v/>
      </c>
      <c r="K1517" s="60" t="str">
        <f aca="false">IF(IsPro,IF($C1517="","",IF(AND(OR($C1517="Receipt",$C1517="Payment"),$D1517=""),"Party needed",IF(AND(OR($C1517="Expense",$C1517="Other Income"),$E1517=""),"Head needed",IF($F1517="","Account needed","OK")))),IF($C1517="","","PRO PLAN"))</f>
        <v/>
      </c>
    </row>
    <row r="1518" customFormat="false" ht="15" hidden="false" customHeight="false" outlineLevel="0" collapsed="false">
      <c r="A1518" s="55"/>
      <c r="B1518" s="56"/>
      <c r="C1518" s="56"/>
      <c r="D1518" s="56"/>
      <c r="E1518" s="56"/>
      <c r="F1518" s="56"/>
      <c r="G1518" s="58"/>
      <c r="H1518" s="56"/>
      <c r="I1518" s="61" t="str">
        <f aca="false">IF(IsPro,IF(OR($C1518="",N($G1518)=0),"",IF(OR($C1518="Receipt",$C1518="Other Income",$C1518="Capital In",$C1518="Transfer In"),$G1518,0)),"")</f>
        <v/>
      </c>
      <c r="J1518" s="61" t="str">
        <f aca="false">IF(IsPro,IF(OR($C1518="",N($G1518)=0),"",IF(I1518=0,$G1518,0)),"")</f>
        <v/>
      </c>
      <c r="K1518" s="60" t="str">
        <f aca="false">IF(IsPro,IF($C1518="","",IF(AND(OR($C1518="Receipt",$C1518="Payment"),$D1518=""),"Party needed",IF(AND(OR($C1518="Expense",$C1518="Other Income"),$E1518=""),"Head needed",IF($F1518="","Account needed","OK")))),IF($C1518="","","PRO PLAN"))</f>
        <v/>
      </c>
    </row>
    <row r="1519" customFormat="false" ht="15" hidden="false" customHeight="false" outlineLevel="0" collapsed="false">
      <c r="A1519" s="55"/>
      <c r="B1519" s="56"/>
      <c r="C1519" s="56"/>
      <c r="D1519" s="56"/>
      <c r="E1519" s="56"/>
      <c r="F1519" s="56"/>
      <c r="G1519" s="58"/>
      <c r="H1519" s="56"/>
      <c r="I1519" s="61" t="str">
        <f aca="false">IF(IsPro,IF(OR($C1519="",N($G1519)=0),"",IF(OR($C1519="Receipt",$C1519="Other Income",$C1519="Capital In",$C1519="Transfer In"),$G1519,0)),"")</f>
        <v/>
      </c>
      <c r="J1519" s="61" t="str">
        <f aca="false">IF(IsPro,IF(OR($C1519="",N($G1519)=0),"",IF(I1519=0,$G1519,0)),"")</f>
        <v/>
      </c>
      <c r="K1519" s="60" t="str">
        <f aca="false">IF(IsPro,IF($C1519="","",IF(AND(OR($C1519="Receipt",$C1519="Payment"),$D1519=""),"Party needed",IF(AND(OR($C1519="Expense",$C1519="Other Income"),$E1519=""),"Head needed",IF($F1519="","Account needed","OK")))),IF($C1519="","","PRO PLAN"))</f>
        <v/>
      </c>
    </row>
    <row r="1520" customFormat="false" ht="15" hidden="false" customHeight="false" outlineLevel="0" collapsed="false">
      <c r="A1520" s="55"/>
      <c r="B1520" s="56"/>
      <c r="C1520" s="56"/>
      <c r="D1520" s="56"/>
      <c r="E1520" s="56"/>
      <c r="F1520" s="56"/>
      <c r="G1520" s="58"/>
      <c r="H1520" s="56"/>
      <c r="I1520" s="61" t="str">
        <f aca="false">IF(IsPro,IF(OR($C1520="",N($G1520)=0),"",IF(OR($C1520="Receipt",$C1520="Other Income",$C1520="Capital In",$C1520="Transfer In"),$G1520,0)),"")</f>
        <v/>
      </c>
      <c r="J1520" s="61" t="str">
        <f aca="false">IF(IsPro,IF(OR($C1520="",N($G1520)=0),"",IF(I1520=0,$G1520,0)),"")</f>
        <v/>
      </c>
      <c r="K1520" s="60" t="str">
        <f aca="false">IF(IsPro,IF($C1520="","",IF(AND(OR($C1520="Receipt",$C1520="Payment"),$D1520=""),"Party needed",IF(AND(OR($C1520="Expense",$C1520="Other Income"),$E1520=""),"Head needed",IF($F1520="","Account needed","OK")))),IF($C1520="","","PRO PLAN"))</f>
        <v/>
      </c>
    </row>
    <row r="1521" customFormat="false" ht="15" hidden="false" customHeight="false" outlineLevel="0" collapsed="false">
      <c r="A1521" s="55"/>
      <c r="B1521" s="56"/>
      <c r="C1521" s="56"/>
      <c r="D1521" s="56"/>
      <c r="E1521" s="56"/>
      <c r="F1521" s="56"/>
      <c r="G1521" s="58"/>
      <c r="H1521" s="56"/>
      <c r="I1521" s="61" t="str">
        <f aca="false">IF(IsPro,IF(OR($C1521="",N($G1521)=0),"",IF(OR($C1521="Receipt",$C1521="Other Income",$C1521="Capital In",$C1521="Transfer In"),$G1521,0)),"")</f>
        <v/>
      </c>
      <c r="J1521" s="61" t="str">
        <f aca="false">IF(IsPro,IF(OR($C1521="",N($G1521)=0),"",IF(I1521=0,$G1521,0)),"")</f>
        <v/>
      </c>
      <c r="K1521" s="60" t="str">
        <f aca="false">IF(IsPro,IF($C1521="","",IF(AND(OR($C1521="Receipt",$C1521="Payment"),$D1521=""),"Party needed",IF(AND(OR($C1521="Expense",$C1521="Other Income"),$E1521=""),"Head needed",IF($F1521="","Account needed","OK")))),IF($C1521="","","PRO PLAN"))</f>
        <v/>
      </c>
    </row>
    <row r="1522" customFormat="false" ht="15" hidden="false" customHeight="false" outlineLevel="0" collapsed="false">
      <c r="A1522" s="55"/>
      <c r="B1522" s="56"/>
      <c r="C1522" s="56"/>
      <c r="D1522" s="56"/>
      <c r="E1522" s="56"/>
      <c r="F1522" s="56"/>
      <c r="G1522" s="58"/>
      <c r="H1522" s="56"/>
      <c r="I1522" s="61" t="str">
        <f aca="false">IF(IsPro,IF(OR($C1522="",N($G1522)=0),"",IF(OR($C1522="Receipt",$C1522="Other Income",$C1522="Capital In",$C1522="Transfer In"),$G1522,0)),"")</f>
        <v/>
      </c>
      <c r="J1522" s="61" t="str">
        <f aca="false">IF(IsPro,IF(OR($C1522="",N($G1522)=0),"",IF(I1522=0,$G1522,0)),"")</f>
        <v/>
      </c>
      <c r="K1522" s="60" t="str">
        <f aca="false">IF(IsPro,IF($C1522="","",IF(AND(OR($C1522="Receipt",$C1522="Payment"),$D1522=""),"Party needed",IF(AND(OR($C1522="Expense",$C1522="Other Income"),$E1522=""),"Head needed",IF($F1522="","Account needed","OK")))),IF($C1522="","","PRO PLAN"))</f>
        <v/>
      </c>
    </row>
    <row r="1523" customFormat="false" ht="15" hidden="false" customHeight="false" outlineLevel="0" collapsed="false">
      <c r="A1523" s="55"/>
      <c r="B1523" s="56"/>
      <c r="C1523" s="56"/>
      <c r="D1523" s="56"/>
      <c r="E1523" s="56"/>
      <c r="F1523" s="56"/>
      <c r="G1523" s="58"/>
      <c r="H1523" s="56"/>
      <c r="I1523" s="61" t="str">
        <f aca="false">IF(IsPro,IF(OR($C1523="",N($G1523)=0),"",IF(OR($C1523="Receipt",$C1523="Other Income",$C1523="Capital In",$C1523="Transfer In"),$G1523,0)),"")</f>
        <v/>
      </c>
      <c r="J1523" s="61" t="str">
        <f aca="false">IF(IsPro,IF(OR($C1523="",N($G1523)=0),"",IF(I1523=0,$G1523,0)),"")</f>
        <v/>
      </c>
      <c r="K1523" s="60" t="str">
        <f aca="false">IF(IsPro,IF($C1523="","",IF(AND(OR($C1523="Receipt",$C1523="Payment"),$D1523=""),"Party needed",IF(AND(OR($C1523="Expense",$C1523="Other Income"),$E1523=""),"Head needed",IF($F1523="","Account needed","OK")))),IF($C1523="","","PRO PLAN"))</f>
        <v/>
      </c>
    </row>
    <row r="1524" customFormat="false" ht="15" hidden="false" customHeight="false" outlineLevel="0" collapsed="false">
      <c r="A1524" s="55"/>
      <c r="B1524" s="56"/>
      <c r="C1524" s="56"/>
      <c r="D1524" s="56"/>
      <c r="E1524" s="56"/>
      <c r="F1524" s="56"/>
      <c r="G1524" s="58"/>
      <c r="H1524" s="56"/>
      <c r="I1524" s="61" t="str">
        <f aca="false">IF(IsPro,IF(OR($C1524="",N($G1524)=0),"",IF(OR($C1524="Receipt",$C1524="Other Income",$C1524="Capital In",$C1524="Transfer In"),$G1524,0)),"")</f>
        <v/>
      </c>
      <c r="J1524" s="61" t="str">
        <f aca="false">IF(IsPro,IF(OR($C1524="",N($G1524)=0),"",IF(I1524=0,$G1524,0)),"")</f>
        <v/>
      </c>
      <c r="K1524" s="60" t="str">
        <f aca="false">IF(IsPro,IF($C1524="","",IF(AND(OR($C1524="Receipt",$C1524="Payment"),$D1524=""),"Party needed",IF(AND(OR($C1524="Expense",$C1524="Other Income"),$E1524=""),"Head needed",IF($F1524="","Account needed","OK")))),IF($C1524="","","PRO PLAN"))</f>
        <v/>
      </c>
    </row>
    <row r="1525" customFormat="false" ht="15" hidden="false" customHeight="false" outlineLevel="0" collapsed="false">
      <c r="A1525" s="55"/>
      <c r="B1525" s="56"/>
      <c r="C1525" s="56"/>
      <c r="D1525" s="56"/>
      <c r="E1525" s="56"/>
      <c r="F1525" s="56"/>
      <c r="G1525" s="58"/>
      <c r="H1525" s="56"/>
      <c r="I1525" s="61" t="str">
        <f aca="false">IF(IsPro,IF(OR($C1525="",N($G1525)=0),"",IF(OR($C1525="Receipt",$C1525="Other Income",$C1525="Capital In",$C1525="Transfer In"),$G1525,0)),"")</f>
        <v/>
      </c>
      <c r="J1525" s="61" t="str">
        <f aca="false">IF(IsPro,IF(OR($C1525="",N($G1525)=0),"",IF(I1525=0,$G1525,0)),"")</f>
        <v/>
      </c>
      <c r="K1525" s="60" t="str">
        <f aca="false">IF(IsPro,IF($C1525="","",IF(AND(OR($C1525="Receipt",$C1525="Payment"),$D1525=""),"Party needed",IF(AND(OR($C1525="Expense",$C1525="Other Income"),$E1525=""),"Head needed",IF($F1525="","Account needed","OK")))),IF($C1525="","","PRO PLAN"))</f>
        <v/>
      </c>
    </row>
    <row r="1526" customFormat="false" ht="15" hidden="false" customHeight="false" outlineLevel="0" collapsed="false">
      <c r="A1526" s="55"/>
      <c r="B1526" s="56"/>
      <c r="C1526" s="56"/>
      <c r="D1526" s="56"/>
      <c r="E1526" s="56"/>
      <c r="F1526" s="56"/>
      <c r="G1526" s="58"/>
      <c r="H1526" s="56"/>
      <c r="I1526" s="61" t="str">
        <f aca="false">IF(IsPro,IF(OR($C1526="",N($G1526)=0),"",IF(OR($C1526="Receipt",$C1526="Other Income",$C1526="Capital In",$C1526="Transfer In"),$G1526,0)),"")</f>
        <v/>
      </c>
      <c r="J1526" s="61" t="str">
        <f aca="false">IF(IsPro,IF(OR($C1526="",N($G1526)=0),"",IF(I1526=0,$G1526,0)),"")</f>
        <v/>
      </c>
      <c r="K1526" s="60" t="str">
        <f aca="false">IF(IsPro,IF($C1526="","",IF(AND(OR($C1526="Receipt",$C1526="Payment"),$D1526=""),"Party needed",IF(AND(OR($C1526="Expense",$C1526="Other Income"),$E1526=""),"Head needed",IF($F1526="","Account needed","OK")))),IF($C1526="","","PRO PLAN"))</f>
        <v/>
      </c>
    </row>
    <row r="1527" customFormat="false" ht="15" hidden="false" customHeight="false" outlineLevel="0" collapsed="false">
      <c r="A1527" s="55"/>
      <c r="B1527" s="56"/>
      <c r="C1527" s="56"/>
      <c r="D1527" s="56"/>
      <c r="E1527" s="56"/>
      <c r="F1527" s="56"/>
      <c r="G1527" s="58"/>
      <c r="H1527" s="56"/>
      <c r="I1527" s="61" t="str">
        <f aca="false">IF(IsPro,IF(OR($C1527="",N($G1527)=0),"",IF(OR($C1527="Receipt",$C1527="Other Income",$C1527="Capital In",$C1527="Transfer In"),$G1527,0)),"")</f>
        <v/>
      </c>
      <c r="J1527" s="61" t="str">
        <f aca="false">IF(IsPro,IF(OR($C1527="",N($G1527)=0),"",IF(I1527=0,$G1527,0)),"")</f>
        <v/>
      </c>
      <c r="K1527" s="60" t="str">
        <f aca="false">IF(IsPro,IF($C1527="","",IF(AND(OR($C1527="Receipt",$C1527="Payment"),$D1527=""),"Party needed",IF(AND(OR($C1527="Expense",$C1527="Other Income"),$E1527=""),"Head needed",IF($F1527="","Account needed","OK")))),IF($C1527="","","PRO PLAN"))</f>
        <v/>
      </c>
    </row>
    <row r="1528" customFormat="false" ht="15" hidden="false" customHeight="false" outlineLevel="0" collapsed="false">
      <c r="A1528" s="55"/>
      <c r="B1528" s="56"/>
      <c r="C1528" s="56"/>
      <c r="D1528" s="56"/>
      <c r="E1528" s="56"/>
      <c r="F1528" s="56"/>
      <c r="G1528" s="58"/>
      <c r="H1528" s="56"/>
      <c r="I1528" s="61" t="str">
        <f aca="false">IF(IsPro,IF(OR($C1528="",N($G1528)=0),"",IF(OR($C1528="Receipt",$C1528="Other Income",$C1528="Capital In",$C1528="Transfer In"),$G1528,0)),"")</f>
        <v/>
      </c>
      <c r="J1528" s="61" t="str">
        <f aca="false">IF(IsPro,IF(OR($C1528="",N($G1528)=0),"",IF(I1528=0,$G1528,0)),"")</f>
        <v/>
      </c>
      <c r="K1528" s="60" t="str">
        <f aca="false">IF(IsPro,IF($C1528="","",IF(AND(OR($C1528="Receipt",$C1528="Payment"),$D1528=""),"Party needed",IF(AND(OR($C1528="Expense",$C1528="Other Income"),$E1528=""),"Head needed",IF($F1528="","Account needed","OK")))),IF($C1528="","","PRO PLAN"))</f>
        <v/>
      </c>
    </row>
    <row r="1529" customFormat="false" ht="15" hidden="false" customHeight="false" outlineLevel="0" collapsed="false">
      <c r="A1529" s="55"/>
      <c r="B1529" s="56"/>
      <c r="C1529" s="56"/>
      <c r="D1529" s="56"/>
      <c r="E1529" s="56"/>
      <c r="F1529" s="56"/>
      <c r="G1529" s="58"/>
      <c r="H1529" s="56"/>
      <c r="I1529" s="61" t="str">
        <f aca="false">IF(IsPro,IF(OR($C1529="",N($G1529)=0),"",IF(OR($C1529="Receipt",$C1529="Other Income",$C1529="Capital In",$C1529="Transfer In"),$G1529,0)),"")</f>
        <v/>
      </c>
      <c r="J1529" s="61" t="str">
        <f aca="false">IF(IsPro,IF(OR($C1529="",N($G1529)=0),"",IF(I1529=0,$G1529,0)),"")</f>
        <v/>
      </c>
      <c r="K1529" s="60" t="str">
        <f aca="false">IF(IsPro,IF($C1529="","",IF(AND(OR($C1529="Receipt",$C1529="Payment"),$D1529=""),"Party needed",IF(AND(OR($C1529="Expense",$C1529="Other Income"),$E1529=""),"Head needed",IF($F1529="","Account needed","OK")))),IF($C1529="","","PRO PLAN"))</f>
        <v/>
      </c>
    </row>
    <row r="1530" customFormat="false" ht="15" hidden="false" customHeight="false" outlineLevel="0" collapsed="false">
      <c r="A1530" s="55"/>
      <c r="B1530" s="56"/>
      <c r="C1530" s="56"/>
      <c r="D1530" s="56"/>
      <c r="E1530" s="56"/>
      <c r="F1530" s="56"/>
      <c r="G1530" s="58"/>
      <c r="H1530" s="56"/>
      <c r="I1530" s="61" t="str">
        <f aca="false">IF(IsPro,IF(OR($C1530="",N($G1530)=0),"",IF(OR($C1530="Receipt",$C1530="Other Income",$C1530="Capital In",$C1530="Transfer In"),$G1530,0)),"")</f>
        <v/>
      </c>
      <c r="J1530" s="61" t="str">
        <f aca="false">IF(IsPro,IF(OR($C1530="",N($G1530)=0),"",IF(I1530=0,$G1530,0)),"")</f>
        <v/>
      </c>
      <c r="K1530" s="60" t="str">
        <f aca="false">IF(IsPro,IF($C1530="","",IF(AND(OR($C1530="Receipt",$C1530="Payment"),$D1530=""),"Party needed",IF(AND(OR($C1530="Expense",$C1530="Other Income"),$E1530=""),"Head needed",IF($F1530="","Account needed","OK")))),IF($C1530="","","PRO PLAN"))</f>
        <v/>
      </c>
    </row>
    <row r="1531" customFormat="false" ht="15" hidden="false" customHeight="false" outlineLevel="0" collapsed="false">
      <c r="A1531" s="55"/>
      <c r="B1531" s="56"/>
      <c r="C1531" s="56"/>
      <c r="D1531" s="56"/>
      <c r="E1531" s="56"/>
      <c r="F1531" s="56"/>
      <c r="G1531" s="58"/>
      <c r="H1531" s="56"/>
      <c r="I1531" s="61" t="str">
        <f aca="false">IF(IsPro,IF(OR($C1531="",N($G1531)=0),"",IF(OR($C1531="Receipt",$C1531="Other Income",$C1531="Capital In",$C1531="Transfer In"),$G1531,0)),"")</f>
        <v/>
      </c>
      <c r="J1531" s="61" t="str">
        <f aca="false">IF(IsPro,IF(OR($C1531="",N($G1531)=0),"",IF(I1531=0,$G1531,0)),"")</f>
        <v/>
      </c>
      <c r="K1531" s="60" t="str">
        <f aca="false">IF(IsPro,IF($C1531="","",IF(AND(OR($C1531="Receipt",$C1531="Payment"),$D1531=""),"Party needed",IF(AND(OR($C1531="Expense",$C1531="Other Income"),$E1531=""),"Head needed",IF($F1531="","Account needed","OK")))),IF($C1531="","","PRO PLAN"))</f>
        <v/>
      </c>
    </row>
    <row r="1532" customFormat="false" ht="15" hidden="false" customHeight="false" outlineLevel="0" collapsed="false">
      <c r="A1532" s="55"/>
      <c r="B1532" s="56"/>
      <c r="C1532" s="56"/>
      <c r="D1532" s="56"/>
      <c r="E1532" s="56"/>
      <c r="F1532" s="56"/>
      <c r="G1532" s="58"/>
      <c r="H1532" s="56"/>
      <c r="I1532" s="61" t="str">
        <f aca="false">IF(IsPro,IF(OR($C1532="",N($G1532)=0),"",IF(OR($C1532="Receipt",$C1532="Other Income",$C1532="Capital In",$C1532="Transfer In"),$G1532,0)),"")</f>
        <v/>
      </c>
      <c r="J1532" s="61" t="str">
        <f aca="false">IF(IsPro,IF(OR($C1532="",N($G1532)=0),"",IF(I1532=0,$G1532,0)),"")</f>
        <v/>
      </c>
      <c r="K1532" s="60" t="str">
        <f aca="false">IF(IsPro,IF($C1532="","",IF(AND(OR($C1532="Receipt",$C1532="Payment"),$D1532=""),"Party needed",IF(AND(OR($C1532="Expense",$C1532="Other Income"),$E1532=""),"Head needed",IF($F1532="","Account needed","OK")))),IF($C1532="","","PRO PLAN"))</f>
        <v/>
      </c>
    </row>
    <row r="1533" customFormat="false" ht="15" hidden="false" customHeight="false" outlineLevel="0" collapsed="false">
      <c r="A1533" s="55"/>
      <c r="B1533" s="56"/>
      <c r="C1533" s="56"/>
      <c r="D1533" s="56"/>
      <c r="E1533" s="56"/>
      <c r="F1533" s="56"/>
      <c r="G1533" s="58"/>
      <c r="H1533" s="56"/>
      <c r="I1533" s="61" t="str">
        <f aca="false">IF(IsPro,IF(OR($C1533="",N($G1533)=0),"",IF(OR($C1533="Receipt",$C1533="Other Income",$C1533="Capital In",$C1533="Transfer In"),$G1533,0)),"")</f>
        <v/>
      </c>
      <c r="J1533" s="61" t="str">
        <f aca="false">IF(IsPro,IF(OR($C1533="",N($G1533)=0),"",IF(I1533=0,$G1533,0)),"")</f>
        <v/>
      </c>
      <c r="K1533" s="60" t="str">
        <f aca="false">IF(IsPro,IF($C1533="","",IF(AND(OR($C1533="Receipt",$C1533="Payment"),$D1533=""),"Party needed",IF(AND(OR($C1533="Expense",$C1533="Other Income"),$E1533=""),"Head needed",IF($F1533="","Account needed","OK")))),IF($C1533="","","PRO PLAN"))</f>
        <v/>
      </c>
    </row>
    <row r="1534" customFormat="false" ht="15" hidden="false" customHeight="false" outlineLevel="0" collapsed="false">
      <c r="A1534" s="55"/>
      <c r="B1534" s="56"/>
      <c r="C1534" s="56"/>
      <c r="D1534" s="56"/>
      <c r="E1534" s="56"/>
      <c r="F1534" s="56"/>
      <c r="G1534" s="58"/>
      <c r="H1534" s="56"/>
      <c r="I1534" s="61" t="str">
        <f aca="false">IF(IsPro,IF(OR($C1534="",N($G1534)=0),"",IF(OR($C1534="Receipt",$C1534="Other Income",$C1534="Capital In",$C1534="Transfer In"),$G1534,0)),"")</f>
        <v/>
      </c>
      <c r="J1534" s="61" t="str">
        <f aca="false">IF(IsPro,IF(OR($C1534="",N($G1534)=0),"",IF(I1534=0,$G1534,0)),"")</f>
        <v/>
      </c>
      <c r="K1534" s="60" t="str">
        <f aca="false">IF(IsPro,IF($C1534="","",IF(AND(OR($C1534="Receipt",$C1534="Payment"),$D1534=""),"Party needed",IF(AND(OR($C1534="Expense",$C1534="Other Income"),$E1534=""),"Head needed",IF($F1534="","Account needed","OK")))),IF($C1534="","","PRO PLAN"))</f>
        <v/>
      </c>
    </row>
    <row r="1535" customFormat="false" ht="15" hidden="false" customHeight="false" outlineLevel="0" collapsed="false">
      <c r="A1535" s="55"/>
      <c r="B1535" s="56"/>
      <c r="C1535" s="56"/>
      <c r="D1535" s="56"/>
      <c r="E1535" s="56"/>
      <c r="F1535" s="56"/>
      <c r="G1535" s="58"/>
      <c r="H1535" s="56"/>
      <c r="I1535" s="61" t="str">
        <f aca="false">IF(IsPro,IF(OR($C1535="",N($G1535)=0),"",IF(OR($C1535="Receipt",$C1535="Other Income",$C1535="Capital In",$C1535="Transfer In"),$G1535,0)),"")</f>
        <v/>
      </c>
      <c r="J1535" s="61" t="str">
        <f aca="false">IF(IsPro,IF(OR($C1535="",N($G1535)=0),"",IF(I1535=0,$G1535,0)),"")</f>
        <v/>
      </c>
      <c r="K1535" s="60" t="str">
        <f aca="false">IF(IsPro,IF($C1535="","",IF(AND(OR($C1535="Receipt",$C1535="Payment"),$D1535=""),"Party needed",IF(AND(OR($C1535="Expense",$C1535="Other Income"),$E1535=""),"Head needed",IF($F1535="","Account needed","OK")))),IF($C1535="","","PRO PLAN"))</f>
        <v/>
      </c>
    </row>
    <row r="1536" customFormat="false" ht="15" hidden="false" customHeight="false" outlineLevel="0" collapsed="false">
      <c r="A1536" s="55"/>
      <c r="B1536" s="56"/>
      <c r="C1536" s="56"/>
      <c r="D1536" s="56"/>
      <c r="E1536" s="56"/>
      <c r="F1536" s="56"/>
      <c r="G1536" s="58"/>
      <c r="H1536" s="56"/>
      <c r="I1536" s="61" t="str">
        <f aca="false">IF(IsPro,IF(OR($C1536="",N($G1536)=0),"",IF(OR($C1536="Receipt",$C1536="Other Income",$C1536="Capital In",$C1536="Transfer In"),$G1536,0)),"")</f>
        <v/>
      </c>
      <c r="J1536" s="61" t="str">
        <f aca="false">IF(IsPro,IF(OR($C1536="",N($G1536)=0),"",IF(I1536=0,$G1536,0)),"")</f>
        <v/>
      </c>
      <c r="K1536" s="60" t="str">
        <f aca="false">IF(IsPro,IF($C1536="","",IF(AND(OR($C1536="Receipt",$C1536="Payment"),$D1536=""),"Party needed",IF(AND(OR($C1536="Expense",$C1536="Other Income"),$E1536=""),"Head needed",IF($F1536="","Account needed","OK")))),IF($C1536="","","PRO PLAN"))</f>
        <v/>
      </c>
    </row>
    <row r="1537" customFormat="false" ht="15" hidden="false" customHeight="false" outlineLevel="0" collapsed="false">
      <c r="A1537" s="55"/>
      <c r="B1537" s="56"/>
      <c r="C1537" s="56"/>
      <c r="D1537" s="56"/>
      <c r="E1537" s="56"/>
      <c r="F1537" s="56"/>
      <c r="G1537" s="58"/>
      <c r="H1537" s="56"/>
      <c r="I1537" s="61" t="str">
        <f aca="false">IF(IsPro,IF(OR($C1537="",N($G1537)=0),"",IF(OR($C1537="Receipt",$C1537="Other Income",$C1537="Capital In",$C1537="Transfer In"),$G1537,0)),"")</f>
        <v/>
      </c>
      <c r="J1537" s="61" t="str">
        <f aca="false">IF(IsPro,IF(OR($C1537="",N($G1537)=0),"",IF(I1537=0,$G1537,0)),"")</f>
        <v/>
      </c>
      <c r="K1537" s="60" t="str">
        <f aca="false">IF(IsPro,IF($C1537="","",IF(AND(OR($C1537="Receipt",$C1537="Payment"),$D1537=""),"Party needed",IF(AND(OR($C1537="Expense",$C1537="Other Income"),$E1537=""),"Head needed",IF($F1537="","Account needed","OK")))),IF($C1537="","","PRO PLAN"))</f>
        <v/>
      </c>
    </row>
    <row r="1538" customFormat="false" ht="15" hidden="false" customHeight="false" outlineLevel="0" collapsed="false">
      <c r="A1538" s="55"/>
      <c r="B1538" s="56"/>
      <c r="C1538" s="56"/>
      <c r="D1538" s="56"/>
      <c r="E1538" s="56"/>
      <c r="F1538" s="56"/>
      <c r="G1538" s="58"/>
      <c r="H1538" s="56"/>
      <c r="I1538" s="61" t="str">
        <f aca="false">IF(IsPro,IF(OR($C1538="",N($G1538)=0),"",IF(OR($C1538="Receipt",$C1538="Other Income",$C1538="Capital In",$C1538="Transfer In"),$G1538,0)),"")</f>
        <v/>
      </c>
      <c r="J1538" s="61" t="str">
        <f aca="false">IF(IsPro,IF(OR($C1538="",N($G1538)=0),"",IF(I1538=0,$G1538,0)),"")</f>
        <v/>
      </c>
      <c r="K1538" s="60" t="str">
        <f aca="false">IF(IsPro,IF($C1538="","",IF(AND(OR($C1538="Receipt",$C1538="Payment"),$D1538=""),"Party needed",IF(AND(OR($C1538="Expense",$C1538="Other Income"),$E1538=""),"Head needed",IF($F1538="","Account needed","OK")))),IF($C1538="","","PRO PLAN"))</f>
        <v/>
      </c>
    </row>
    <row r="1539" customFormat="false" ht="15" hidden="false" customHeight="false" outlineLevel="0" collapsed="false">
      <c r="A1539" s="55"/>
      <c r="B1539" s="56"/>
      <c r="C1539" s="56"/>
      <c r="D1539" s="56"/>
      <c r="E1539" s="56"/>
      <c r="F1539" s="56"/>
      <c r="G1539" s="58"/>
      <c r="H1539" s="56"/>
      <c r="I1539" s="61" t="str">
        <f aca="false">IF(IsPro,IF(OR($C1539="",N($G1539)=0),"",IF(OR($C1539="Receipt",$C1539="Other Income",$C1539="Capital In",$C1539="Transfer In"),$G1539,0)),"")</f>
        <v/>
      </c>
      <c r="J1539" s="61" t="str">
        <f aca="false">IF(IsPro,IF(OR($C1539="",N($G1539)=0),"",IF(I1539=0,$G1539,0)),"")</f>
        <v/>
      </c>
      <c r="K1539" s="60" t="str">
        <f aca="false">IF(IsPro,IF($C1539="","",IF(AND(OR($C1539="Receipt",$C1539="Payment"),$D1539=""),"Party needed",IF(AND(OR($C1539="Expense",$C1539="Other Income"),$E1539=""),"Head needed",IF($F1539="","Account needed","OK")))),IF($C1539="","","PRO PLAN"))</f>
        <v/>
      </c>
    </row>
    <row r="1540" customFormat="false" ht="15" hidden="false" customHeight="false" outlineLevel="0" collapsed="false">
      <c r="A1540" s="55"/>
      <c r="B1540" s="56"/>
      <c r="C1540" s="56"/>
      <c r="D1540" s="56"/>
      <c r="E1540" s="56"/>
      <c r="F1540" s="56"/>
      <c r="G1540" s="58"/>
      <c r="H1540" s="56"/>
      <c r="I1540" s="61" t="str">
        <f aca="false">IF(IsPro,IF(OR($C1540="",N($G1540)=0),"",IF(OR($C1540="Receipt",$C1540="Other Income",$C1540="Capital In",$C1540="Transfer In"),$G1540,0)),"")</f>
        <v/>
      </c>
      <c r="J1540" s="61" t="str">
        <f aca="false">IF(IsPro,IF(OR($C1540="",N($G1540)=0),"",IF(I1540=0,$G1540,0)),"")</f>
        <v/>
      </c>
      <c r="K1540" s="60" t="str">
        <f aca="false">IF(IsPro,IF($C1540="","",IF(AND(OR($C1540="Receipt",$C1540="Payment"),$D1540=""),"Party needed",IF(AND(OR($C1540="Expense",$C1540="Other Income"),$E1540=""),"Head needed",IF($F1540="","Account needed","OK")))),IF($C1540="","","PRO PLAN"))</f>
        <v/>
      </c>
    </row>
    <row r="1541" customFormat="false" ht="15" hidden="false" customHeight="false" outlineLevel="0" collapsed="false">
      <c r="A1541" s="55"/>
      <c r="B1541" s="56"/>
      <c r="C1541" s="56"/>
      <c r="D1541" s="56"/>
      <c r="E1541" s="56"/>
      <c r="F1541" s="56"/>
      <c r="G1541" s="58"/>
      <c r="H1541" s="56"/>
      <c r="I1541" s="61" t="str">
        <f aca="false">IF(IsPro,IF(OR($C1541="",N($G1541)=0),"",IF(OR($C1541="Receipt",$C1541="Other Income",$C1541="Capital In",$C1541="Transfer In"),$G1541,0)),"")</f>
        <v/>
      </c>
      <c r="J1541" s="61" t="str">
        <f aca="false">IF(IsPro,IF(OR($C1541="",N($G1541)=0),"",IF(I1541=0,$G1541,0)),"")</f>
        <v/>
      </c>
      <c r="K1541" s="60" t="str">
        <f aca="false">IF(IsPro,IF($C1541="","",IF(AND(OR($C1541="Receipt",$C1541="Payment"),$D1541=""),"Party needed",IF(AND(OR($C1541="Expense",$C1541="Other Income"),$E1541=""),"Head needed",IF($F1541="","Account needed","OK")))),IF($C1541="","","PRO PLAN"))</f>
        <v/>
      </c>
    </row>
    <row r="1542" customFormat="false" ht="15" hidden="false" customHeight="false" outlineLevel="0" collapsed="false">
      <c r="A1542" s="55"/>
      <c r="B1542" s="56"/>
      <c r="C1542" s="56"/>
      <c r="D1542" s="56"/>
      <c r="E1542" s="56"/>
      <c r="F1542" s="56"/>
      <c r="G1542" s="58"/>
      <c r="H1542" s="56"/>
      <c r="I1542" s="61" t="str">
        <f aca="false">IF(IsPro,IF(OR($C1542="",N($G1542)=0),"",IF(OR($C1542="Receipt",$C1542="Other Income",$C1542="Capital In",$C1542="Transfer In"),$G1542,0)),"")</f>
        <v/>
      </c>
      <c r="J1542" s="61" t="str">
        <f aca="false">IF(IsPro,IF(OR($C1542="",N($G1542)=0),"",IF(I1542=0,$G1542,0)),"")</f>
        <v/>
      </c>
      <c r="K1542" s="60" t="str">
        <f aca="false">IF(IsPro,IF($C1542="","",IF(AND(OR($C1542="Receipt",$C1542="Payment"),$D1542=""),"Party needed",IF(AND(OR($C1542="Expense",$C1542="Other Income"),$E1542=""),"Head needed",IF($F1542="","Account needed","OK")))),IF($C1542="","","PRO PLAN"))</f>
        <v/>
      </c>
    </row>
    <row r="1543" customFormat="false" ht="15" hidden="false" customHeight="false" outlineLevel="0" collapsed="false">
      <c r="A1543" s="55"/>
      <c r="B1543" s="56"/>
      <c r="C1543" s="56"/>
      <c r="D1543" s="56"/>
      <c r="E1543" s="56"/>
      <c r="F1543" s="56"/>
      <c r="G1543" s="58"/>
      <c r="H1543" s="56"/>
      <c r="I1543" s="61" t="str">
        <f aca="false">IF(IsPro,IF(OR($C1543="",N($G1543)=0),"",IF(OR($C1543="Receipt",$C1543="Other Income",$C1543="Capital In",$C1543="Transfer In"),$G1543,0)),"")</f>
        <v/>
      </c>
      <c r="J1543" s="61" t="str">
        <f aca="false">IF(IsPro,IF(OR($C1543="",N($G1543)=0),"",IF(I1543=0,$G1543,0)),"")</f>
        <v/>
      </c>
      <c r="K1543" s="60" t="str">
        <f aca="false">IF(IsPro,IF($C1543="","",IF(AND(OR($C1543="Receipt",$C1543="Payment"),$D1543=""),"Party needed",IF(AND(OR($C1543="Expense",$C1543="Other Income"),$E1543=""),"Head needed",IF($F1543="","Account needed","OK")))),IF($C1543="","","PRO PLAN"))</f>
        <v/>
      </c>
    </row>
    <row r="1544" customFormat="false" ht="15" hidden="false" customHeight="false" outlineLevel="0" collapsed="false">
      <c r="A1544" s="55"/>
      <c r="B1544" s="56"/>
      <c r="C1544" s="56"/>
      <c r="D1544" s="56"/>
      <c r="E1544" s="56"/>
      <c r="F1544" s="56"/>
      <c r="G1544" s="58"/>
      <c r="H1544" s="56"/>
      <c r="I1544" s="61" t="str">
        <f aca="false">IF(IsPro,IF(OR($C1544="",N($G1544)=0),"",IF(OR($C1544="Receipt",$C1544="Other Income",$C1544="Capital In",$C1544="Transfer In"),$G1544,0)),"")</f>
        <v/>
      </c>
      <c r="J1544" s="61" t="str">
        <f aca="false">IF(IsPro,IF(OR($C1544="",N($G1544)=0),"",IF(I1544=0,$G1544,0)),"")</f>
        <v/>
      </c>
      <c r="K1544" s="60" t="str">
        <f aca="false">IF(IsPro,IF($C1544="","",IF(AND(OR($C1544="Receipt",$C1544="Payment"),$D1544=""),"Party needed",IF(AND(OR($C1544="Expense",$C1544="Other Income"),$E1544=""),"Head needed",IF($F1544="","Account needed","OK")))),IF($C1544="","","PRO PLAN"))</f>
        <v/>
      </c>
    </row>
    <row r="1545" customFormat="false" ht="15" hidden="false" customHeight="false" outlineLevel="0" collapsed="false">
      <c r="A1545" s="55"/>
      <c r="B1545" s="56"/>
      <c r="C1545" s="56"/>
      <c r="D1545" s="56"/>
      <c r="E1545" s="56"/>
      <c r="F1545" s="56"/>
      <c r="G1545" s="58"/>
      <c r="H1545" s="56"/>
      <c r="I1545" s="61" t="str">
        <f aca="false">IF(IsPro,IF(OR($C1545="",N($G1545)=0),"",IF(OR($C1545="Receipt",$C1545="Other Income",$C1545="Capital In",$C1545="Transfer In"),$G1545,0)),"")</f>
        <v/>
      </c>
      <c r="J1545" s="61" t="str">
        <f aca="false">IF(IsPro,IF(OR($C1545="",N($G1545)=0),"",IF(I1545=0,$G1545,0)),"")</f>
        <v/>
      </c>
      <c r="K1545" s="60" t="str">
        <f aca="false">IF(IsPro,IF($C1545="","",IF(AND(OR($C1545="Receipt",$C1545="Payment"),$D1545=""),"Party needed",IF(AND(OR($C1545="Expense",$C1545="Other Income"),$E1545=""),"Head needed",IF($F1545="","Account needed","OK")))),IF($C1545="","","PRO PLAN"))</f>
        <v/>
      </c>
    </row>
    <row r="1546" customFormat="false" ht="15" hidden="false" customHeight="false" outlineLevel="0" collapsed="false">
      <c r="A1546" s="55"/>
      <c r="B1546" s="56"/>
      <c r="C1546" s="56"/>
      <c r="D1546" s="56"/>
      <c r="E1546" s="56"/>
      <c r="F1546" s="56"/>
      <c r="G1546" s="58"/>
      <c r="H1546" s="56"/>
      <c r="I1546" s="61" t="str">
        <f aca="false">IF(IsPro,IF(OR($C1546="",N($G1546)=0),"",IF(OR($C1546="Receipt",$C1546="Other Income",$C1546="Capital In",$C1546="Transfer In"),$G1546,0)),"")</f>
        <v/>
      </c>
      <c r="J1546" s="61" t="str">
        <f aca="false">IF(IsPro,IF(OR($C1546="",N($G1546)=0),"",IF(I1546=0,$G1546,0)),"")</f>
        <v/>
      </c>
      <c r="K1546" s="60" t="str">
        <f aca="false">IF(IsPro,IF($C1546="","",IF(AND(OR($C1546="Receipt",$C1546="Payment"),$D1546=""),"Party needed",IF(AND(OR($C1546="Expense",$C1546="Other Income"),$E1546=""),"Head needed",IF($F1546="","Account needed","OK")))),IF($C1546="","","PRO PLAN"))</f>
        <v/>
      </c>
    </row>
    <row r="1547" customFormat="false" ht="15" hidden="false" customHeight="false" outlineLevel="0" collapsed="false">
      <c r="A1547" s="55"/>
      <c r="B1547" s="56"/>
      <c r="C1547" s="56"/>
      <c r="D1547" s="56"/>
      <c r="E1547" s="56"/>
      <c r="F1547" s="56"/>
      <c r="G1547" s="58"/>
      <c r="H1547" s="56"/>
      <c r="I1547" s="61" t="str">
        <f aca="false">IF(IsPro,IF(OR($C1547="",N($G1547)=0),"",IF(OR($C1547="Receipt",$C1547="Other Income",$C1547="Capital In",$C1547="Transfer In"),$G1547,0)),"")</f>
        <v/>
      </c>
      <c r="J1547" s="61" t="str">
        <f aca="false">IF(IsPro,IF(OR($C1547="",N($G1547)=0),"",IF(I1547=0,$G1547,0)),"")</f>
        <v/>
      </c>
      <c r="K1547" s="60" t="str">
        <f aca="false">IF(IsPro,IF($C1547="","",IF(AND(OR($C1547="Receipt",$C1547="Payment"),$D1547=""),"Party needed",IF(AND(OR($C1547="Expense",$C1547="Other Income"),$E1547=""),"Head needed",IF($F1547="","Account needed","OK")))),IF($C1547="","","PRO PLAN"))</f>
        <v/>
      </c>
    </row>
    <row r="1548" customFormat="false" ht="15" hidden="false" customHeight="false" outlineLevel="0" collapsed="false">
      <c r="A1548" s="55"/>
      <c r="B1548" s="56"/>
      <c r="C1548" s="56"/>
      <c r="D1548" s="56"/>
      <c r="E1548" s="56"/>
      <c r="F1548" s="56"/>
      <c r="G1548" s="58"/>
      <c r="H1548" s="56"/>
      <c r="I1548" s="61" t="str">
        <f aca="false">IF(IsPro,IF(OR($C1548="",N($G1548)=0),"",IF(OR($C1548="Receipt",$C1548="Other Income",$C1548="Capital In",$C1548="Transfer In"),$G1548,0)),"")</f>
        <v/>
      </c>
      <c r="J1548" s="61" t="str">
        <f aca="false">IF(IsPro,IF(OR($C1548="",N($G1548)=0),"",IF(I1548=0,$G1548,0)),"")</f>
        <v/>
      </c>
      <c r="K1548" s="60" t="str">
        <f aca="false">IF(IsPro,IF($C1548="","",IF(AND(OR($C1548="Receipt",$C1548="Payment"),$D1548=""),"Party needed",IF(AND(OR($C1548="Expense",$C1548="Other Income"),$E1548=""),"Head needed",IF($F1548="","Account needed","OK")))),IF($C1548="","","PRO PLAN"))</f>
        <v/>
      </c>
    </row>
    <row r="1549" customFormat="false" ht="15" hidden="false" customHeight="false" outlineLevel="0" collapsed="false">
      <c r="A1549" s="55"/>
      <c r="B1549" s="56"/>
      <c r="C1549" s="56"/>
      <c r="D1549" s="56"/>
      <c r="E1549" s="56"/>
      <c r="F1549" s="56"/>
      <c r="G1549" s="58"/>
      <c r="H1549" s="56"/>
      <c r="I1549" s="61" t="str">
        <f aca="false">IF(IsPro,IF(OR($C1549="",N($G1549)=0),"",IF(OR($C1549="Receipt",$C1549="Other Income",$C1549="Capital In",$C1549="Transfer In"),$G1549,0)),"")</f>
        <v/>
      </c>
      <c r="J1549" s="61" t="str">
        <f aca="false">IF(IsPro,IF(OR($C1549="",N($G1549)=0),"",IF(I1549=0,$G1549,0)),"")</f>
        <v/>
      </c>
      <c r="K1549" s="60" t="str">
        <f aca="false">IF(IsPro,IF($C1549="","",IF(AND(OR($C1549="Receipt",$C1549="Payment"),$D1549=""),"Party needed",IF(AND(OR($C1549="Expense",$C1549="Other Income"),$E1549=""),"Head needed",IF($F1549="","Account needed","OK")))),IF($C1549="","","PRO PLAN"))</f>
        <v/>
      </c>
    </row>
    <row r="1550" customFormat="false" ht="15" hidden="false" customHeight="false" outlineLevel="0" collapsed="false">
      <c r="A1550" s="55"/>
      <c r="B1550" s="56"/>
      <c r="C1550" s="56"/>
      <c r="D1550" s="56"/>
      <c r="E1550" s="56"/>
      <c r="F1550" s="56"/>
      <c r="G1550" s="58"/>
      <c r="H1550" s="56"/>
      <c r="I1550" s="61" t="str">
        <f aca="false">IF(IsPro,IF(OR($C1550="",N($G1550)=0),"",IF(OR($C1550="Receipt",$C1550="Other Income",$C1550="Capital In",$C1550="Transfer In"),$G1550,0)),"")</f>
        <v/>
      </c>
      <c r="J1550" s="61" t="str">
        <f aca="false">IF(IsPro,IF(OR($C1550="",N($G1550)=0),"",IF(I1550=0,$G1550,0)),"")</f>
        <v/>
      </c>
      <c r="K1550" s="60" t="str">
        <f aca="false">IF(IsPro,IF($C1550="","",IF(AND(OR($C1550="Receipt",$C1550="Payment"),$D1550=""),"Party needed",IF(AND(OR($C1550="Expense",$C1550="Other Income"),$E1550=""),"Head needed",IF($F1550="","Account needed","OK")))),IF($C1550="","","PRO PLAN"))</f>
        <v/>
      </c>
    </row>
    <row r="1551" customFormat="false" ht="15" hidden="false" customHeight="false" outlineLevel="0" collapsed="false">
      <c r="A1551" s="55"/>
      <c r="B1551" s="56"/>
      <c r="C1551" s="56"/>
      <c r="D1551" s="56"/>
      <c r="E1551" s="56"/>
      <c r="F1551" s="56"/>
      <c r="G1551" s="58"/>
      <c r="H1551" s="56"/>
      <c r="I1551" s="61" t="str">
        <f aca="false">IF(IsPro,IF(OR($C1551="",N($G1551)=0),"",IF(OR($C1551="Receipt",$C1551="Other Income",$C1551="Capital In",$C1551="Transfer In"),$G1551,0)),"")</f>
        <v/>
      </c>
      <c r="J1551" s="61" t="str">
        <f aca="false">IF(IsPro,IF(OR($C1551="",N($G1551)=0),"",IF(I1551=0,$G1551,0)),"")</f>
        <v/>
      </c>
      <c r="K1551" s="60" t="str">
        <f aca="false">IF(IsPro,IF($C1551="","",IF(AND(OR($C1551="Receipt",$C1551="Payment"),$D1551=""),"Party needed",IF(AND(OR($C1551="Expense",$C1551="Other Income"),$E1551=""),"Head needed",IF($F1551="","Account needed","OK")))),IF($C1551="","","PRO PLAN"))</f>
        <v/>
      </c>
    </row>
    <row r="1552" customFormat="false" ht="15" hidden="false" customHeight="false" outlineLevel="0" collapsed="false">
      <c r="A1552" s="55"/>
      <c r="B1552" s="56"/>
      <c r="C1552" s="56"/>
      <c r="D1552" s="56"/>
      <c r="E1552" s="56"/>
      <c r="F1552" s="56"/>
      <c r="G1552" s="58"/>
      <c r="H1552" s="56"/>
      <c r="I1552" s="61" t="str">
        <f aca="false">IF(IsPro,IF(OR($C1552="",N($G1552)=0),"",IF(OR($C1552="Receipt",$C1552="Other Income",$C1552="Capital In",$C1552="Transfer In"),$G1552,0)),"")</f>
        <v/>
      </c>
      <c r="J1552" s="61" t="str">
        <f aca="false">IF(IsPro,IF(OR($C1552="",N($G1552)=0),"",IF(I1552=0,$G1552,0)),"")</f>
        <v/>
      </c>
      <c r="K1552" s="60" t="str">
        <f aca="false">IF(IsPro,IF($C1552="","",IF(AND(OR($C1552="Receipt",$C1552="Payment"),$D1552=""),"Party needed",IF(AND(OR($C1552="Expense",$C1552="Other Income"),$E1552=""),"Head needed",IF($F1552="","Account needed","OK")))),IF($C1552="","","PRO PLAN"))</f>
        <v/>
      </c>
    </row>
    <row r="1553" customFormat="false" ht="15" hidden="false" customHeight="false" outlineLevel="0" collapsed="false">
      <c r="A1553" s="55"/>
      <c r="B1553" s="56"/>
      <c r="C1553" s="56"/>
      <c r="D1553" s="56"/>
      <c r="E1553" s="56"/>
      <c r="F1553" s="56"/>
      <c r="G1553" s="58"/>
      <c r="H1553" s="56"/>
      <c r="I1553" s="61" t="str">
        <f aca="false">IF(IsPro,IF(OR($C1553="",N($G1553)=0),"",IF(OR($C1553="Receipt",$C1553="Other Income",$C1553="Capital In",$C1553="Transfer In"),$G1553,0)),"")</f>
        <v/>
      </c>
      <c r="J1553" s="61" t="str">
        <f aca="false">IF(IsPro,IF(OR($C1553="",N($G1553)=0),"",IF(I1553=0,$G1553,0)),"")</f>
        <v/>
      </c>
      <c r="K1553" s="60" t="str">
        <f aca="false">IF(IsPro,IF($C1553="","",IF(AND(OR($C1553="Receipt",$C1553="Payment"),$D1553=""),"Party needed",IF(AND(OR($C1553="Expense",$C1553="Other Income"),$E1553=""),"Head needed",IF($F1553="","Account needed","OK")))),IF($C1553="","","PRO PLAN"))</f>
        <v/>
      </c>
    </row>
    <row r="1554" customFormat="false" ht="15" hidden="false" customHeight="false" outlineLevel="0" collapsed="false">
      <c r="A1554" s="55"/>
      <c r="B1554" s="56"/>
      <c r="C1554" s="56"/>
      <c r="D1554" s="56"/>
      <c r="E1554" s="56"/>
      <c r="F1554" s="56"/>
      <c r="G1554" s="58"/>
      <c r="H1554" s="56"/>
      <c r="I1554" s="61" t="str">
        <f aca="false">IF(IsPro,IF(OR($C1554="",N($G1554)=0),"",IF(OR($C1554="Receipt",$C1554="Other Income",$C1554="Capital In",$C1554="Transfer In"),$G1554,0)),"")</f>
        <v/>
      </c>
      <c r="J1554" s="61" t="str">
        <f aca="false">IF(IsPro,IF(OR($C1554="",N($G1554)=0),"",IF(I1554=0,$G1554,0)),"")</f>
        <v/>
      </c>
      <c r="K1554" s="60" t="str">
        <f aca="false">IF(IsPro,IF($C1554="","",IF(AND(OR($C1554="Receipt",$C1554="Payment"),$D1554=""),"Party needed",IF(AND(OR($C1554="Expense",$C1554="Other Income"),$E1554=""),"Head needed",IF($F1554="","Account needed","OK")))),IF($C1554="","","PRO PLAN"))</f>
        <v/>
      </c>
    </row>
    <row r="1555" customFormat="false" ht="15" hidden="false" customHeight="false" outlineLevel="0" collapsed="false">
      <c r="A1555" s="55"/>
      <c r="B1555" s="56"/>
      <c r="C1555" s="56"/>
      <c r="D1555" s="56"/>
      <c r="E1555" s="56"/>
      <c r="F1555" s="56"/>
      <c r="G1555" s="58"/>
      <c r="H1555" s="56"/>
      <c r="I1555" s="61" t="str">
        <f aca="false">IF(IsPro,IF(OR($C1555="",N($G1555)=0),"",IF(OR($C1555="Receipt",$C1555="Other Income",$C1555="Capital In",$C1555="Transfer In"),$G1555,0)),"")</f>
        <v/>
      </c>
      <c r="J1555" s="61" t="str">
        <f aca="false">IF(IsPro,IF(OR($C1555="",N($G1555)=0),"",IF(I1555=0,$G1555,0)),"")</f>
        <v/>
      </c>
      <c r="K1555" s="60" t="str">
        <f aca="false">IF(IsPro,IF($C1555="","",IF(AND(OR($C1555="Receipt",$C1555="Payment"),$D1555=""),"Party needed",IF(AND(OR($C1555="Expense",$C1555="Other Income"),$E1555=""),"Head needed",IF($F1555="","Account needed","OK")))),IF($C1555="","","PRO PLAN"))</f>
        <v/>
      </c>
    </row>
    <row r="1556" customFormat="false" ht="15" hidden="false" customHeight="false" outlineLevel="0" collapsed="false">
      <c r="A1556" s="55"/>
      <c r="B1556" s="56"/>
      <c r="C1556" s="56"/>
      <c r="D1556" s="56"/>
      <c r="E1556" s="56"/>
      <c r="F1556" s="56"/>
      <c r="G1556" s="58"/>
      <c r="H1556" s="56"/>
      <c r="I1556" s="61" t="str">
        <f aca="false">IF(IsPro,IF(OR($C1556="",N($G1556)=0),"",IF(OR($C1556="Receipt",$C1556="Other Income",$C1556="Capital In",$C1556="Transfer In"),$G1556,0)),"")</f>
        <v/>
      </c>
      <c r="J1556" s="61" t="str">
        <f aca="false">IF(IsPro,IF(OR($C1556="",N($G1556)=0),"",IF(I1556=0,$G1556,0)),"")</f>
        <v/>
      </c>
      <c r="K1556" s="60" t="str">
        <f aca="false">IF(IsPro,IF($C1556="","",IF(AND(OR($C1556="Receipt",$C1556="Payment"),$D1556=""),"Party needed",IF(AND(OR($C1556="Expense",$C1556="Other Income"),$E1556=""),"Head needed",IF($F1556="","Account needed","OK")))),IF($C1556="","","PRO PLAN"))</f>
        <v/>
      </c>
    </row>
    <row r="1557" customFormat="false" ht="15" hidden="false" customHeight="false" outlineLevel="0" collapsed="false">
      <c r="A1557" s="55"/>
      <c r="B1557" s="56"/>
      <c r="C1557" s="56"/>
      <c r="D1557" s="56"/>
      <c r="E1557" s="56"/>
      <c r="F1557" s="56"/>
      <c r="G1557" s="58"/>
      <c r="H1557" s="56"/>
      <c r="I1557" s="61" t="str">
        <f aca="false">IF(IsPro,IF(OR($C1557="",N($G1557)=0),"",IF(OR($C1557="Receipt",$C1557="Other Income",$C1557="Capital In",$C1557="Transfer In"),$G1557,0)),"")</f>
        <v/>
      </c>
      <c r="J1557" s="61" t="str">
        <f aca="false">IF(IsPro,IF(OR($C1557="",N($G1557)=0),"",IF(I1557=0,$G1557,0)),"")</f>
        <v/>
      </c>
      <c r="K1557" s="60" t="str">
        <f aca="false">IF(IsPro,IF($C1557="","",IF(AND(OR($C1557="Receipt",$C1557="Payment"),$D1557=""),"Party needed",IF(AND(OR($C1557="Expense",$C1557="Other Income"),$E1557=""),"Head needed",IF($F1557="","Account needed","OK")))),IF($C1557="","","PRO PLAN"))</f>
        <v/>
      </c>
    </row>
    <row r="1558" customFormat="false" ht="15" hidden="false" customHeight="false" outlineLevel="0" collapsed="false">
      <c r="A1558" s="55"/>
      <c r="B1558" s="56"/>
      <c r="C1558" s="56"/>
      <c r="D1558" s="56"/>
      <c r="E1558" s="56"/>
      <c r="F1558" s="56"/>
      <c r="G1558" s="58"/>
      <c r="H1558" s="56"/>
      <c r="I1558" s="61" t="str">
        <f aca="false">IF(IsPro,IF(OR($C1558="",N($G1558)=0),"",IF(OR($C1558="Receipt",$C1558="Other Income",$C1558="Capital In",$C1558="Transfer In"),$G1558,0)),"")</f>
        <v/>
      </c>
      <c r="J1558" s="61" t="str">
        <f aca="false">IF(IsPro,IF(OR($C1558="",N($G1558)=0),"",IF(I1558=0,$G1558,0)),"")</f>
        <v/>
      </c>
      <c r="K1558" s="60" t="str">
        <f aca="false">IF(IsPro,IF($C1558="","",IF(AND(OR($C1558="Receipt",$C1558="Payment"),$D1558=""),"Party needed",IF(AND(OR($C1558="Expense",$C1558="Other Income"),$E1558=""),"Head needed",IF($F1558="","Account needed","OK")))),IF($C1558="","","PRO PLAN"))</f>
        <v/>
      </c>
    </row>
    <row r="1559" customFormat="false" ht="15" hidden="false" customHeight="false" outlineLevel="0" collapsed="false">
      <c r="A1559" s="55"/>
      <c r="B1559" s="56"/>
      <c r="C1559" s="56"/>
      <c r="D1559" s="56"/>
      <c r="E1559" s="56"/>
      <c r="F1559" s="56"/>
      <c r="G1559" s="58"/>
      <c r="H1559" s="56"/>
      <c r="I1559" s="61" t="str">
        <f aca="false">IF(IsPro,IF(OR($C1559="",N($G1559)=0),"",IF(OR($C1559="Receipt",$C1559="Other Income",$C1559="Capital In",$C1559="Transfer In"),$G1559,0)),"")</f>
        <v/>
      </c>
      <c r="J1559" s="61" t="str">
        <f aca="false">IF(IsPro,IF(OR($C1559="",N($G1559)=0),"",IF(I1559=0,$G1559,0)),"")</f>
        <v/>
      </c>
      <c r="K1559" s="60" t="str">
        <f aca="false">IF(IsPro,IF($C1559="","",IF(AND(OR($C1559="Receipt",$C1559="Payment"),$D1559=""),"Party needed",IF(AND(OR($C1559="Expense",$C1559="Other Income"),$E1559=""),"Head needed",IF($F1559="","Account needed","OK")))),IF($C1559="","","PRO PLAN"))</f>
        <v/>
      </c>
    </row>
    <row r="1560" customFormat="false" ht="15" hidden="false" customHeight="false" outlineLevel="0" collapsed="false">
      <c r="A1560" s="55"/>
      <c r="B1560" s="56"/>
      <c r="C1560" s="56"/>
      <c r="D1560" s="56"/>
      <c r="E1560" s="56"/>
      <c r="F1560" s="56"/>
      <c r="G1560" s="58"/>
      <c r="H1560" s="56"/>
      <c r="I1560" s="61" t="str">
        <f aca="false">IF(IsPro,IF(OR($C1560="",N($G1560)=0),"",IF(OR($C1560="Receipt",$C1560="Other Income",$C1560="Capital In",$C1560="Transfer In"),$G1560,0)),"")</f>
        <v/>
      </c>
      <c r="J1560" s="61" t="str">
        <f aca="false">IF(IsPro,IF(OR($C1560="",N($G1560)=0),"",IF(I1560=0,$G1560,0)),"")</f>
        <v/>
      </c>
      <c r="K1560" s="60" t="str">
        <f aca="false">IF(IsPro,IF($C1560="","",IF(AND(OR($C1560="Receipt",$C1560="Payment"),$D1560=""),"Party needed",IF(AND(OR($C1560="Expense",$C1560="Other Income"),$E1560=""),"Head needed",IF($F1560="","Account needed","OK")))),IF($C1560="","","PRO PLAN"))</f>
        <v/>
      </c>
    </row>
    <row r="1561" customFormat="false" ht="15" hidden="false" customHeight="false" outlineLevel="0" collapsed="false">
      <c r="A1561" s="55"/>
      <c r="B1561" s="56"/>
      <c r="C1561" s="56"/>
      <c r="D1561" s="56"/>
      <c r="E1561" s="56"/>
      <c r="F1561" s="56"/>
      <c r="G1561" s="58"/>
      <c r="H1561" s="56"/>
      <c r="I1561" s="61" t="str">
        <f aca="false">IF(IsPro,IF(OR($C1561="",N($G1561)=0),"",IF(OR($C1561="Receipt",$C1561="Other Income",$C1561="Capital In",$C1561="Transfer In"),$G1561,0)),"")</f>
        <v/>
      </c>
      <c r="J1561" s="61" t="str">
        <f aca="false">IF(IsPro,IF(OR($C1561="",N($G1561)=0),"",IF(I1561=0,$G1561,0)),"")</f>
        <v/>
      </c>
      <c r="K1561" s="60" t="str">
        <f aca="false">IF(IsPro,IF($C1561="","",IF(AND(OR($C1561="Receipt",$C1561="Payment"),$D1561=""),"Party needed",IF(AND(OR($C1561="Expense",$C1561="Other Income"),$E1561=""),"Head needed",IF($F1561="","Account needed","OK")))),IF($C1561="","","PRO PLAN"))</f>
        <v/>
      </c>
    </row>
    <row r="1562" customFormat="false" ht="15" hidden="false" customHeight="false" outlineLevel="0" collapsed="false">
      <c r="A1562" s="55"/>
      <c r="B1562" s="56"/>
      <c r="C1562" s="56"/>
      <c r="D1562" s="56"/>
      <c r="E1562" s="56"/>
      <c r="F1562" s="56"/>
      <c r="G1562" s="58"/>
      <c r="H1562" s="56"/>
      <c r="I1562" s="61" t="str">
        <f aca="false">IF(IsPro,IF(OR($C1562="",N($G1562)=0),"",IF(OR($C1562="Receipt",$C1562="Other Income",$C1562="Capital In",$C1562="Transfer In"),$G1562,0)),"")</f>
        <v/>
      </c>
      <c r="J1562" s="61" t="str">
        <f aca="false">IF(IsPro,IF(OR($C1562="",N($G1562)=0),"",IF(I1562=0,$G1562,0)),"")</f>
        <v/>
      </c>
      <c r="K1562" s="60" t="str">
        <f aca="false">IF(IsPro,IF($C1562="","",IF(AND(OR($C1562="Receipt",$C1562="Payment"),$D1562=""),"Party needed",IF(AND(OR($C1562="Expense",$C1562="Other Income"),$E1562=""),"Head needed",IF($F1562="","Account needed","OK")))),IF($C1562="","","PRO PLAN"))</f>
        <v/>
      </c>
    </row>
    <row r="1563" customFormat="false" ht="15" hidden="false" customHeight="false" outlineLevel="0" collapsed="false">
      <c r="A1563" s="55"/>
      <c r="B1563" s="56"/>
      <c r="C1563" s="56"/>
      <c r="D1563" s="56"/>
      <c r="E1563" s="56"/>
      <c r="F1563" s="56"/>
      <c r="G1563" s="58"/>
      <c r="H1563" s="56"/>
      <c r="I1563" s="61" t="str">
        <f aca="false">IF(IsPro,IF(OR($C1563="",N($G1563)=0),"",IF(OR($C1563="Receipt",$C1563="Other Income",$C1563="Capital In",$C1563="Transfer In"),$G1563,0)),"")</f>
        <v/>
      </c>
      <c r="J1563" s="61" t="str">
        <f aca="false">IF(IsPro,IF(OR($C1563="",N($G1563)=0),"",IF(I1563=0,$G1563,0)),"")</f>
        <v/>
      </c>
      <c r="K1563" s="60" t="str">
        <f aca="false">IF(IsPro,IF($C1563="","",IF(AND(OR($C1563="Receipt",$C1563="Payment"),$D1563=""),"Party needed",IF(AND(OR($C1563="Expense",$C1563="Other Income"),$E1563=""),"Head needed",IF($F1563="","Account needed","OK")))),IF($C1563="","","PRO PLAN"))</f>
        <v/>
      </c>
    </row>
    <row r="1564" customFormat="false" ht="15" hidden="false" customHeight="false" outlineLevel="0" collapsed="false">
      <c r="A1564" s="55"/>
      <c r="B1564" s="56"/>
      <c r="C1564" s="56"/>
      <c r="D1564" s="56"/>
      <c r="E1564" s="56"/>
      <c r="F1564" s="56"/>
      <c r="G1564" s="58"/>
      <c r="H1564" s="56"/>
      <c r="I1564" s="61" t="str">
        <f aca="false">IF(IsPro,IF(OR($C1564="",N($G1564)=0),"",IF(OR($C1564="Receipt",$C1564="Other Income",$C1564="Capital In",$C1564="Transfer In"),$G1564,0)),"")</f>
        <v/>
      </c>
      <c r="J1564" s="61" t="str">
        <f aca="false">IF(IsPro,IF(OR($C1564="",N($G1564)=0),"",IF(I1564=0,$G1564,0)),"")</f>
        <v/>
      </c>
      <c r="K1564" s="60" t="str">
        <f aca="false">IF(IsPro,IF($C1564="","",IF(AND(OR($C1564="Receipt",$C1564="Payment"),$D1564=""),"Party needed",IF(AND(OR($C1564="Expense",$C1564="Other Income"),$E1564=""),"Head needed",IF($F1564="","Account needed","OK")))),IF($C1564="","","PRO PLAN"))</f>
        <v/>
      </c>
    </row>
    <row r="1565" customFormat="false" ht="15" hidden="false" customHeight="false" outlineLevel="0" collapsed="false">
      <c r="A1565" s="55"/>
      <c r="B1565" s="56"/>
      <c r="C1565" s="56"/>
      <c r="D1565" s="56"/>
      <c r="E1565" s="56"/>
      <c r="F1565" s="56"/>
      <c r="G1565" s="58"/>
      <c r="H1565" s="56"/>
      <c r="I1565" s="61" t="str">
        <f aca="false">IF(IsPro,IF(OR($C1565="",N($G1565)=0),"",IF(OR($C1565="Receipt",$C1565="Other Income",$C1565="Capital In",$C1565="Transfer In"),$G1565,0)),"")</f>
        <v/>
      </c>
      <c r="J1565" s="61" t="str">
        <f aca="false">IF(IsPro,IF(OR($C1565="",N($G1565)=0),"",IF(I1565=0,$G1565,0)),"")</f>
        <v/>
      </c>
      <c r="K1565" s="60" t="str">
        <f aca="false">IF(IsPro,IF($C1565="","",IF(AND(OR($C1565="Receipt",$C1565="Payment"),$D1565=""),"Party needed",IF(AND(OR($C1565="Expense",$C1565="Other Income"),$E1565=""),"Head needed",IF($F1565="","Account needed","OK")))),IF($C1565="","","PRO PLAN"))</f>
        <v/>
      </c>
    </row>
    <row r="1566" customFormat="false" ht="15" hidden="false" customHeight="false" outlineLevel="0" collapsed="false">
      <c r="A1566" s="55"/>
      <c r="B1566" s="56"/>
      <c r="C1566" s="56"/>
      <c r="D1566" s="56"/>
      <c r="E1566" s="56"/>
      <c r="F1566" s="56"/>
      <c r="G1566" s="58"/>
      <c r="H1566" s="56"/>
      <c r="I1566" s="61" t="str">
        <f aca="false">IF(IsPro,IF(OR($C1566="",N($G1566)=0),"",IF(OR($C1566="Receipt",$C1566="Other Income",$C1566="Capital In",$C1566="Transfer In"),$G1566,0)),"")</f>
        <v/>
      </c>
      <c r="J1566" s="61" t="str">
        <f aca="false">IF(IsPro,IF(OR($C1566="",N($G1566)=0),"",IF(I1566=0,$G1566,0)),"")</f>
        <v/>
      </c>
      <c r="K1566" s="60" t="str">
        <f aca="false">IF(IsPro,IF($C1566="","",IF(AND(OR($C1566="Receipt",$C1566="Payment"),$D1566=""),"Party needed",IF(AND(OR($C1566="Expense",$C1566="Other Income"),$E1566=""),"Head needed",IF($F1566="","Account needed","OK")))),IF($C1566="","","PRO PLAN"))</f>
        <v/>
      </c>
    </row>
    <row r="1567" customFormat="false" ht="15" hidden="false" customHeight="false" outlineLevel="0" collapsed="false">
      <c r="A1567" s="55"/>
      <c r="B1567" s="56"/>
      <c r="C1567" s="56"/>
      <c r="D1567" s="56"/>
      <c r="E1567" s="56"/>
      <c r="F1567" s="56"/>
      <c r="G1567" s="58"/>
      <c r="H1567" s="56"/>
      <c r="I1567" s="61" t="str">
        <f aca="false">IF(IsPro,IF(OR($C1567="",N($G1567)=0),"",IF(OR($C1567="Receipt",$C1567="Other Income",$C1567="Capital In",$C1567="Transfer In"),$G1567,0)),"")</f>
        <v/>
      </c>
      <c r="J1567" s="61" t="str">
        <f aca="false">IF(IsPro,IF(OR($C1567="",N($G1567)=0),"",IF(I1567=0,$G1567,0)),"")</f>
        <v/>
      </c>
      <c r="K1567" s="60" t="str">
        <f aca="false">IF(IsPro,IF($C1567="","",IF(AND(OR($C1567="Receipt",$C1567="Payment"),$D1567=""),"Party needed",IF(AND(OR($C1567="Expense",$C1567="Other Income"),$E1567=""),"Head needed",IF($F1567="","Account needed","OK")))),IF($C1567="","","PRO PLAN"))</f>
        <v/>
      </c>
    </row>
    <row r="1568" customFormat="false" ht="15" hidden="false" customHeight="false" outlineLevel="0" collapsed="false">
      <c r="A1568" s="55"/>
      <c r="B1568" s="56"/>
      <c r="C1568" s="56"/>
      <c r="D1568" s="56"/>
      <c r="E1568" s="56"/>
      <c r="F1568" s="56"/>
      <c r="G1568" s="58"/>
      <c r="H1568" s="56"/>
      <c r="I1568" s="61" t="str">
        <f aca="false">IF(IsPro,IF(OR($C1568="",N($G1568)=0),"",IF(OR($C1568="Receipt",$C1568="Other Income",$C1568="Capital In",$C1568="Transfer In"),$G1568,0)),"")</f>
        <v/>
      </c>
      <c r="J1568" s="61" t="str">
        <f aca="false">IF(IsPro,IF(OR($C1568="",N($G1568)=0),"",IF(I1568=0,$G1568,0)),"")</f>
        <v/>
      </c>
      <c r="K1568" s="60" t="str">
        <f aca="false">IF(IsPro,IF($C1568="","",IF(AND(OR($C1568="Receipt",$C1568="Payment"),$D1568=""),"Party needed",IF(AND(OR($C1568="Expense",$C1568="Other Income"),$E1568=""),"Head needed",IF($F1568="","Account needed","OK")))),IF($C1568="","","PRO PLAN"))</f>
        <v/>
      </c>
    </row>
    <row r="1569" customFormat="false" ht="15" hidden="false" customHeight="false" outlineLevel="0" collapsed="false">
      <c r="A1569" s="55"/>
      <c r="B1569" s="56"/>
      <c r="C1569" s="56"/>
      <c r="D1569" s="56"/>
      <c r="E1569" s="56"/>
      <c r="F1569" s="56"/>
      <c r="G1569" s="58"/>
      <c r="H1569" s="56"/>
      <c r="I1569" s="61" t="str">
        <f aca="false">IF(IsPro,IF(OR($C1569="",N($G1569)=0),"",IF(OR($C1569="Receipt",$C1569="Other Income",$C1569="Capital In",$C1569="Transfer In"),$G1569,0)),"")</f>
        <v/>
      </c>
      <c r="J1569" s="61" t="str">
        <f aca="false">IF(IsPro,IF(OR($C1569="",N($G1569)=0),"",IF(I1569=0,$G1569,0)),"")</f>
        <v/>
      </c>
      <c r="K1569" s="60" t="str">
        <f aca="false">IF(IsPro,IF($C1569="","",IF(AND(OR($C1569="Receipt",$C1569="Payment"),$D1569=""),"Party needed",IF(AND(OR($C1569="Expense",$C1569="Other Income"),$E1569=""),"Head needed",IF($F1569="","Account needed","OK")))),IF($C1569="","","PRO PLAN"))</f>
        <v/>
      </c>
    </row>
    <row r="1570" customFormat="false" ht="15" hidden="false" customHeight="false" outlineLevel="0" collapsed="false">
      <c r="A1570" s="55"/>
      <c r="B1570" s="56"/>
      <c r="C1570" s="56"/>
      <c r="D1570" s="56"/>
      <c r="E1570" s="56"/>
      <c r="F1570" s="56"/>
      <c r="G1570" s="58"/>
      <c r="H1570" s="56"/>
      <c r="I1570" s="61" t="str">
        <f aca="false">IF(IsPro,IF(OR($C1570="",N($G1570)=0),"",IF(OR($C1570="Receipt",$C1570="Other Income",$C1570="Capital In",$C1570="Transfer In"),$G1570,0)),"")</f>
        <v/>
      </c>
      <c r="J1570" s="61" t="str">
        <f aca="false">IF(IsPro,IF(OR($C1570="",N($G1570)=0),"",IF(I1570=0,$G1570,0)),"")</f>
        <v/>
      </c>
      <c r="K1570" s="60" t="str">
        <f aca="false">IF(IsPro,IF($C1570="","",IF(AND(OR($C1570="Receipt",$C1570="Payment"),$D1570=""),"Party needed",IF(AND(OR($C1570="Expense",$C1570="Other Income"),$E1570=""),"Head needed",IF($F1570="","Account needed","OK")))),IF($C1570="","","PRO PLAN"))</f>
        <v/>
      </c>
    </row>
    <row r="1571" customFormat="false" ht="15" hidden="false" customHeight="false" outlineLevel="0" collapsed="false">
      <c r="A1571" s="55"/>
      <c r="B1571" s="56"/>
      <c r="C1571" s="56"/>
      <c r="D1571" s="56"/>
      <c r="E1571" s="56"/>
      <c r="F1571" s="56"/>
      <c r="G1571" s="58"/>
      <c r="H1571" s="56"/>
      <c r="I1571" s="61" t="str">
        <f aca="false">IF(IsPro,IF(OR($C1571="",N($G1571)=0),"",IF(OR($C1571="Receipt",$C1571="Other Income",$C1571="Capital In",$C1571="Transfer In"),$G1571,0)),"")</f>
        <v/>
      </c>
      <c r="J1571" s="61" t="str">
        <f aca="false">IF(IsPro,IF(OR($C1571="",N($G1571)=0),"",IF(I1571=0,$G1571,0)),"")</f>
        <v/>
      </c>
      <c r="K1571" s="60" t="str">
        <f aca="false">IF(IsPro,IF($C1571="","",IF(AND(OR($C1571="Receipt",$C1571="Payment"),$D1571=""),"Party needed",IF(AND(OR($C1571="Expense",$C1571="Other Income"),$E1571=""),"Head needed",IF($F1571="","Account needed","OK")))),IF($C1571="","","PRO PLAN"))</f>
        <v/>
      </c>
    </row>
    <row r="1572" customFormat="false" ht="15" hidden="false" customHeight="false" outlineLevel="0" collapsed="false">
      <c r="A1572" s="55"/>
      <c r="B1572" s="56"/>
      <c r="C1572" s="56"/>
      <c r="D1572" s="56"/>
      <c r="E1572" s="56"/>
      <c r="F1572" s="56"/>
      <c r="G1572" s="58"/>
      <c r="H1572" s="56"/>
      <c r="I1572" s="61" t="str">
        <f aca="false">IF(IsPro,IF(OR($C1572="",N($G1572)=0),"",IF(OR($C1572="Receipt",$C1572="Other Income",$C1572="Capital In",$C1572="Transfer In"),$G1572,0)),"")</f>
        <v/>
      </c>
      <c r="J1572" s="61" t="str">
        <f aca="false">IF(IsPro,IF(OR($C1572="",N($G1572)=0),"",IF(I1572=0,$G1572,0)),"")</f>
        <v/>
      </c>
      <c r="K1572" s="60" t="str">
        <f aca="false">IF(IsPro,IF($C1572="","",IF(AND(OR($C1572="Receipt",$C1572="Payment"),$D1572=""),"Party needed",IF(AND(OR($C1572="Expense",$C1572="Other Income"),$E1572=""),"Head needed",IF($F1572="","Account needed","OK")))),IF($C1572="","","PRO PLAN"))</f>
        <v/>
      </c>
    </row>
    <row r="1573" customFormat="false" ht="15" hidden="false" customHeight="false" outlineLevel="0" collapsed="false">
      <c r="A1573" s="55"/>
      <c r="B1573" s="56"/>
      <c r="C1573" s="56"/>
      <c r="D1573" s="56"/>
      <c r="E1573" s="56"/>
      <c r="F1573" s="56"/>
      <c r="G1573" s="58"/>
      <c r="H1573" s="56"/>
      <c r="I1573" s="61" t="str">
        <f aca="false">IF(IsPro,IF(OR($C1573="",N($G1573)=0),"",IF(OR($C1573="Receipt",$C1573="Other Income",$C1573="Capital In",$C1573="Transfer In"),$G1573,0)),"")</f>
        <v/>
      </c>
      <c r="J1573" s="61" t="str">
        <f aca="false">IF(IsPro,IF(OR($C1573="",N($G1573)=0),"",IF(I1573=0,$G1573,0)),"")</f>
        <v/>
      </c>
      <c r="K1573" s="60" t="str">
        <f aca="false">IF(IsPro,IF($C1573="","",IF(AND(OR($C1573="Receipt",$C1573="Payment"),$D1573=""),"Party needed",IF(AND(OR($C1573="Expense",$C1573="Other Income"),$E1573=""),"Head needed",IF($F1573="","Account needed","OK")))),IF($C1573="","","PRO PLAN"))</f>
        <v/>
      </c>
    </row>
    <row r="1574" customFormat="false" ht="15" hidden="false" customHeight="false" outlineLevel="0" collapsed="false">
      <c r="A1574" s="55"/>
      <c r="B1574" s="56"/>
      <c r="C1574" s="56"/>
      <c r="D1574" s="56"/>
      <c r="E1574" s="56"/>
      <c r="F1574" s="56"/>
      <c r="G1574" s="58"/>
      <c r="H1574" s="56"/>
      <c r="I1574" s="61" t="str">
        <f aca="false">IF(IsPro,IF(OR($C1574="",N($G1574)=0),"",IF(OR($C1574="Receipt",$C1574="Other Income",$C1574="Capital In",$C1574="Transfer In"),$G1574,0)),"")</f>
        <v/>
      </c>
      <c r="J1574" s="61" t="str">
        <f aca="false">IF(IsPro,IF(OR($C1574="",N($G1574)=0),"",IF(I1574=0,$G1574,0)),"")</f>
        <v/>
      </c>
      <c r="K1574" s="60" t="str">
        <f aca="false">IF(IsPro,IF($C1574="","",IF(AND(OR($C1574="Receipt",$C1574="Payment"),$D1574=""),"Party needed",IF(AND(OR($C1574="Expense",$C1574="Other Income"),$E1574=""),"Head needed",IF($F1574="","Account needed","OK")))),IF($C1574="","","PRO PLAN"))</f>
        <v/>
      </c>
    </row>
    <row r="1575" customFormat="false" ht="15" hidden="false" customHeight="false" outlineLevel="0" collapsed="false">
      <c r="A1575" s="55"/>
      <c r="B1575" s="56"/>
      <c r="C1575" s="56"/>
      <c r="D1575" s="56"/>
      <c r="E1575" s="56"/>
      <c r="F1575" s="56"/>
      <c r="G1575" s="58"/>
      <c r="H1575" s="56"/>
      <c r="I1575" s="61" t="str">
        <f aca="false">IF(IsPro,IF(OR($C1575="",N($G1575)=0),"",IF(OR($C1575="Receipt",$C1575="Other Income",$C1575="Capital In",$C1575="Transfer In"),$G1575,0)),"")</f>
        <v/>
      </c>
      <c r="J1575" s="61" t="str">
        <f aca="false">IF(IsPro,IF(OR($C1575="",N($G1575)=0),"",IF(I1575=0,$G1575,0)),"")</f>
        <v/>
      </c>
      <c r="K1575" s="60" t="str">
        <f aca="false">IF(IsPro,IF($C1575="","",IF(AND(OR($C1575="Receipt",$C1575="Payment"),$D1575=""),"Party needed",IF(AND(OR($C1575="Expense",$C1575="Other Income"),$E1575=""),"Head needed",IF($F1575="","Account needed","OK")))),IF($C1575="","","PRO PLAN"))</f>
        <v/>
      </c>
    </row>
    <row r="1576" customFormat="false" ht="15" hidden="false" customHeight="false" outlineLevel="0" collapsed="false">
      <c r="A1576" s="55"/>
      <c r="B1576" s="56"/>
      <c r="C1576" s="56"/>
      <c r="D1576" s="56"/>
      <c r="E1576" s="56"/>
      <c r="F1576" s="56"/>
      <c r="G1576" s="58"/>
      <c r="H1576" s="56"/>
      <c r="I1576" s="61" t="str">
        <f aca="false">IF(IsPro,IF(OR($C1576="",N($G1576)=0),"",IF(OR($C1576="Receipt",$C1576="Other Income",$C1576="Capital In",$C1576="Transfer In"),$G1576,0)),"")</f>
        <v/>
      </c>
      <c r="J1576" s="61" t="str">
        <f aca="false">IF(IsPro,IF(OR($C1576="",N($G1576)=0),"",IF(I1576=0,$G1576,0)),"")</f>
        <v/>
      </c>
      <c r="K1576" s="60" t="str">
        <f aca="false">IF(IsPro,IF($C1576="","",IF(AND(OR($C1576="Receipt",$C1576="Payment"),$D1576=""),"Party needed",IF(AND(OR($C1576="Expense",$C1576="Other Income"),$E1576=""),"Head needed",IF($F1576="","Account needed","OK")))),IF($C1576="","","PRO PLAN"))</f>
        <v/>
      </c>
    </row>
    <row r="1577" customFormat="false" ht="15" hidden="false" customHeight="false" outlineLevel="0" collapsed="false">
      <c r="A1577" s="55"/>
      <c r="B1577" s="56"/>
      <c r="C1577" s="56"/>
      <c r="D1577" s="56"/>
      <c r="E1577" s="56"/>
      <c r="F1577" s="56"/>
      <c r="G1577" s="58"/>
      <c r="H1577" s="56"/>
      <c r="I1577" s="61" t="str">
        <f aca="false">IF(IsPro,IF(OR($C1577="",N($G1577)=0),"",IF(OR($C1577="Receipt",$C1577="Other Income",$C1577="Capital In",$C1577="Transfer In"),$G1577,0)),"")</f>
        <v/>
      </c>
      <c r="J1577" s="61" t="str">
        <f aca="false">IF(IsPro,IF(OR($C1577="",N($G1577)=0),"",IF(I1577=0,$G1577,0)),"")</f>
        <v/>
      </c>
      <c r="K1577" s="60" t="str">
        <f aca="false">IF(IsPro,IF($C1577="","",IF(AND(OR($C1577="Receipt",$C1577="Payment"),$D1577=""),"Party needed",IF(AND(OR($C1577="Expense",$C1577="Other Income"),$E1577=""),"Head needed",IF($F1577="","Account needed","OK")))),IF($C1577="","","PRO PLAN"))</f>
        <v/>
      </c>
    </row>
    <row r="1578" customFormat="false" ht="15" hidden="false" customHeight="false" outlineLevel="0" collapsed="false">
      <c r="A1578" s="55"/>
      <c r="B1578" s="56"/>
      <c r="C1578" s="56"/>
      <c r="D1578" s="56"/>
      <c r="E1578" s="56"/>
      <c r="F1578" s="56"/>
      <c r="G1578" s="58"/>
      <c r="H1578" s="56"/>
      <c r="I1578" s="61" t="str">
        <f aca="false">IF(IsPro,IF(OR($C1578="",N($G1578)=0),"",IF(OR($C1578="Receipt",$C1578="Other Income",$C1578="Capital In",$C1578="Transfer In"),$G1578,0)),"")</f>
        <v/>
      </c>
      <c r="J1578" s="61" t="str">
        <f aca="false">IF(IsPro,IF(OR($C1578="",N($G1578)=0),"",IF(I1578=0,$G1578,0)),"")</f>
        <v/>
      </c>
      <c r="K1578" s="60" t="str">
        <f aca="false">IF(IsPro,IF($C1578="","",IF(AND(OR($C1578="Receipt",$C1578="Payment"),$D1578=""),"Party needed",IF(AND(OR($C1578="Expense",$C1578="Other Income"),$E1578=""),"Head needed",IF($F1578="","Account needed","OK")))),IF($C1578="","","PRO PLAN"))</f>
        <v/>
      </c>
    </row>
    <row r="1579" customFormat="false" ht="15" hidden="false" customHeight="false" outlineLevel="0" collapsed="false">
      <c r="A1579" s="55"/>
      <c r="B1579" s="56"/>
      <c r="C1579" s="56"/>
      <c r="D1579" s="56"/>
      <c r="E1579" s="56"/>
      <c r="F1579" s="56"/>
      <c r="G1579" s="58"/>
      <c r="H1579" s="56"/>
      <c r="I1579" s="61" t="str">
        <f aca="false">IF(IsPro,IF(OR($C1579="",N($G1579)=0),"",IF(OR($C1579="Receipt",$C1579="Other Income",$C1579="Capital In",$C1579="Transfer In"),$G1579,0)),"")</f>
        <v/>
      </c>
      <c r="J1579" s="61" t="str">
        <f aca="false">IF(IsPro,IF(OR($C1579="",N($G1579)=0),"",IF(I1579=0,$G1579,0)),"")</f>
        <v/>
      </c>
      <c r="K1579" s="60" t="str">
        <f aca="false">IF(IsPro,IF($C1579="","",IF(AND(OR($C1579="Receipt",$C1579="Payment"),$D1579=""),"Party needed",IF(AND(OR($C1579="Expense",$C1579="Other Income"),$E1579=""),"Head needed",IF($F1579="","Account needed","OK")))),IF($C1579="","","PRO PLAN"))</f>
        <v/>
      </c>
    </row>
    <row r="1580" customFormat="false" ht="15" hidden="false" customHeight="false" outlineLevel="0" collapsed="false">
      <c r="A1580" s="55"/>
      <c r="B1580" s="56"/>
      <c r="C1580" s="56"/>
      <c r="D1580" s="56"/>
      <c r="E1580" s="56"/>
      <c r="F1580" s="56"/>
      <c r="G1580" s="58"/>
      <c r="H1580" s="56"/>
      <c r="I1580" s="61" t="str">
        <f aca="false">IF(IsPro,IF(OR($C1580="",N($G1580)=0),"",IF(OR($C1580="Receipt",$C1580="Other Income",$C1580="Capital In",$C1580="Transfer In"),$G1580,0)),"")</f>
        <v/>
      </c>
      <c r="J1580" s="61" t="str">
        <f aca="false">IF(IsPro,IF(OR($C1580="",N($G1580)=0),"",IF(I1580=0,$G1580,0)),"")</f>
        <v/>
      </c>
      <c r="K1580" s="60" t="str">
        <f aca="false">IF(IsPro,IF($C1580="","",IF(AND(OR($C1580="Receipt",$C1580="Payment"),$D1580=""),"Party needed",IF(AND(OR($C1580="Expense",$C1580="Other Income"),$E1580=""),"Head needed",IF($F1580="","Account needed","OK")))),IF($C1580="","","PRO PLAN"))</f>
        <v/>
      </c>
    </row>
    <row r="1581" customFormat="false" ht="15" hidden="false" customHeight="false" outlineLevel="0" collapsed="false">
      <c r="A1581" s="55"/>
      <c r="B1581" s="56"/>
      <c r="C1581" s="56"/>
      <c r="D1581" s="56"/>
      <c r="E1581" s="56"/>
      <c r="F1581" s="56"/>
      <c r="G1581" s="58"/>
      <c r="H1581" s="56"/>
      <c r="I1581" s="61" t="str">
        <f aca="false">IF(IsPro,IF(OR($C1581="",N($G1581)=0),"",IF(OR($C1581="Receipt",$C1581="Other Income",$C1581="Capital In",$C1581="Transfer In"),$G1581,0)),"")</f>
        <v/>
      </c>
      <c r="J1581" s="61" t="str">
        <f aca="false">IF(IsPro,IF(OR($C1581="",N($G1581)=0),"",IF(I1581=0,$G1581,0)),"")</f>
        <v/>
      </c>
      <c r="K1581" s="60" t="str">
        <f aca="false">IF(IsPro,IF($C1581="","",IF(AND(OR($C1581="Receipt",$C1581="Payment"),$D1581=""),"Party needed",IF(AND(OR($C1581="Expense",$C1581="Other Income"),$E1581=""),"Head needed",IF($F1581="","Account needed","OK")))),IF($C1581="","","PRO PLAN"))</f>
        <v/>
      </c>
    </row>
    <row r="1582" customFormat="false" ht="15" hidden="false" customHeight="false" outlineLevel="0" collapsed="false">
      <c r="A1582" s="55"/>
      <c r="B1582" s="56"/>
      <c r="C1582" s="56"/>
      <c r="D1582" s="56"/>
      <c r="E1582" s="56"/>
      <c r="F1582" s="56"/>
      <c r="G1582" s="58"/>
      <c r="H1582" s="56"/>
      <c r="I1582" s="61" t="str">
        <f aca="false">IF(IsPro,IF(OR($C1582="",N($G1582)=0),"",IF(OR($C1582="Receipt",$C1582="Other Income",$C1582="Capital In",$C1582="Transfer In"),$G1582,0)),"")</f>
        <v/>
      </c>
      <c r="J1582" s="61" t="str">
        <f aca="false">IF(IsPro,IF(OR($C1582="",N($G1582)=0),"",IF(I1582=0,$G1582,0)),"")</f>
        <v/>
      </c>
      <c r="K1582" s="60" t="str">
        <f aca="false">IF(IsPro,IF($C1582="","",IF(AND(OR($C1582="Receipt",$C1582="Payment"),$D1582=""),"Party needed",IF(AND(OR($C1582="Expense",$C1582="Other Income"),$E1582=""),"Head needed",IF($F1582="","Account needed","OK")))),IF($C1582="","","PRO PLAN"))</f>
        <v/>
      </c>
    </row>
    <row r="1583" customFormat="false" ht="15" hidden="false" customHeight="false" outlineLevel="0" collapsed="false">
      <c r="A1583" s="55"/>
      <c r="B1583" s="56"/>
      <c r="C1583" s="56"/>
      <c r="D1583" s="56"/>
      <c r="E1583" s="56"/>
      <c r="F1583" s="56"/>
      <c r="G1583" s="58"/>
      <c r="H1583" s="56"/>
      <c r="I1583" s="61" t="str">
        <f aca="false">IF(IsPro,IF(OR($C1583="",N($G1583)=0),"",IF(OR($C1583="Receipt",$C1583="Other Income",$C1583="Capital In",$C1583="Transfer In"),$G1583,0)),"")</f>
        <v/>
      </c>
      <c r="J1583" s="61" t="str">
        <f aca="false">IF(IsPro,IF(OR($C1583="",N($G1583)=0),"",IF(I1583=0,$G1583,0)),"")</f>
        <v/>
      </c>
      <c r="K1583" s="60" t="str">
        <f aca="false">IF(IsPro,IF($C1583="","",IF(AND(OR($C1583="Receipt",$C1583="Payment"),$D1583=""),"Party needed",IF(AND(OR($C1583="Expense",$C1583="Other Income"),$E1583=""),"Head needed",IF($F1583="","Account needed","OK")))),IF($C1583="","","PRO PLAN"))</f>
        <v/>
      </c>
    </row>
    <row r="1584" customFormat="false" ht="15" hidden="false" customHeight="false" outlineLevel="0" collapsed="false">
      <c r="A1584" s="55"/>
      <c r="B1584" s="56"/>
      <c r="C1584" s="56"/>
      <c r="D1584" s="56"/>
      <c r="E1584" s="56"/>
      <c r="F1584" s="56"/>
      <c r="G1584" s="58"/>
      <c r="H1584" s="56"/>
      <c r="I1584" s="61" t="str">
        <f aca="false">IF(IsPro,IF(OR($C1584="",N($G1584)=0),"",IF(OR($C1584="Receipt",$C1584="Other Income",$C1584="Capital In",$C1584="Transfer In"),$G1584,0)),"")</f>
        <v/>
      </c>
      <c r="J1584" s="61" t="str">
        <f aca="false">IF(IsPro,IF(OR($C1584="",N($G1584)=0),"",IF(I1584=0,$G1584,0)),"")</f>
        <v/>
      </c>
      <c r="K1584" s="60" t="str">
        <f aca="false">IF(IsPro,IF($C1584="","",IF(AND(OR($C1584="Receipt",$C1584="Payment"),$D1584=""),"Party needed",IF(AND(OR($C1584="Expense",$C1584="Other Income"),$E1584=""),"Head needed",IF($F1584="","Account needed","OK")))),IF($C1584="","","PRO PLAN"))</f>
        <v/>
      </c>
    </row>
    <row r="1585" customFormat="false" ht="15" hidden="false" customHeight="false" outlineLevel="0" collapsed="false">
      <c r="A1585" s="55"/>
      <c r="B1585" s="56"/>
      <c r="C1585" s="56"/>
      <c r="D1585" s="56"/>
      <c r="E1585" s="56"/>
      <c r="F1585" s="56"/>
      <c r="G1585" s="58"/>
      <c r="H1585" s="56"/>
      <c r="I1585" s="61" t="str">
        <f aca="false">IF(IsPro,IF(OR($C1585="",N($G1585)=0),"",IF(OR($C1585="Receipt",$C1585="Other Income",$C1585="Capital In",$C1585="Transfer In"),$G1585,0)),"")</f>
        <v/>
      </c>
      <c r="J1585" s="61" t="str">
        <f aca="false">IF(IsPro,IF(OR($C1585="",N($G1585)=0),"",IF(I1585=0,$G1585,0)),"")</f>
        <v/>
      </c>
      <c r="K1585" s="60" t="str">
        <f aca="false">IF(IsPro,IF($C1585="","",IF(AND(OR($C1585="Receipt",$C1585="Payment"),$D1585=""),"Party needed",IF(AND(OR($C1585="Expense",$C1585="Other Income"),$E1585=""),"Head needed",IF($F1585="","Account needed","OK")))),IF($C1585="","","PRO PLAN"))</f>
        <v/>
      </c>
    </row>
    <row r="1586" customFormat="false" ht="15" hidden="false" customHeight="false" outlineLevel="0" collapsed="false">
      <c r="A1586" s="55"/>
      <c r="B1586" s="56"/>
      <c r="C1586" s="56"/>
      <c r="D1586" s="56"/>
      <c r="E1586" s="56"/>
      <c r="F1586" s="56"/>
      <c r="G1586" s="58"/>
      <c r="H1586" s="56"/>
      <c r="I1586" s="61" t="str">
        <f aca="false">IF(IsPro,IF(OR($C1586="",N($G1586)=0),"",IF(OR($C1586="Receipt",$C1586="Other Income",$C1586="Capital In",$C1586="Transfer In"),$G1586,0)),"")</f>
        <v/>
      </c>
      <c r="J1586" s="61" t="str">
        <f aca="false">IF(IsPro,IF(OR($C1586="",N($G1586)=0),"",IF(I1586=0,$G1586,0)),"")</f>
        <v/>
      </c>
      <c r="K1586" s="60" t="str">
        <f aca="false">IF(IsPro,IF($C1586="","",IF(AND(OR($C1586="Receipt",$C1586="Payment"),$D1586=""),"Party needed",IF(AND(OR($C1586="Expense",$C1586="Other Income"),$E1586=""),"Head needed",IF($F1586="","Account needed","OK")))),IF($C1586="","","PRO PLAN"))</f>
        <v/>
      </c>
    </row>
    <row r="1587" customFormat="false" ht="15" hidden="false" customHeight="false" outlineLevel="0" collapsed="false">
      <c r="A1587" s="55"/>
      <c r="B1587" s="56"/>
      <c r="C1587" s="56"/>
      <c r="D1587" s="56"/>
      <c r="E1587" s="56"/>
      <c r="F1587" s="56"/>
      <c r="G1587" s="58"/>
      <c r="H1587" s="56"/>
      <c r="I1587" s="61" t="str">
        <f aca="false">IF(IsPro,IF(OR($C1587="",N($G1587)=0),"",IF(OR($C1587="Receipt",$C1587="Other Income",$C1587="Capital In",$C1587="Transfer In"),$G1587,0)),"")</f>
        <v/>
      </c>
      <c r="J1587" s="61" t="str">
        <f aca="false">IF(IsPro,IF(OR($C1587="",N($G1587)=0),"",IF(I1587=0,$G1587,0)),"")</f>
        <v/>
      </c>
      <c r="K1587" s="60" t="str">
        <f aca="false">IF(IsPro,IF($C1587="","",IF(AND(OR($C1587="Receipt",$C1587="Payment"),$D1587=""),"Party needed",IF(AND(OR($C1587="Expense",$C1587="Other Income"),$E1587=""),"Head needed",IF($F1587="","Account needed","OK")))),IF($C1587="","","PRO PLAN"))</f>
        <v/>
      </c>
    </row>
    <row r="1588" customFormat="false" ht="15" hidden="false" customHeight="false" outlineLevel="0" collapsed="false">
      <c r="A1588" s="55"/>
      <c r="B1588" s="56"/>
      <c r="C1588" s="56"/>
      <c r="D1588" s="56"/>
      <c r="E1588" s="56"/>
      <c r="F1588" s="56"/>
      <c r="G1588" s="58"/>
      <c r="H1588" s="56"/>
      <c r="I1588" s="61" t="str">
        <f aca="false">IF(IsPro,IF(OR($C1588="",N($G1588)=0),"",IF(OR($C1588="Receipt",$C1588="Other Income",$C1588="Capital In",$C1588="Transfer In"),$G1588,0)),"")</f>
        <v/>
      </c>
      <c r="J1588" s="61" t="str">
        <f aca="false">IF(IsPro,IF(OR($C1588="",N($G1588)=0),"",IF(I1588=0,$G1588,0)),"")</f>
        <v/>
      </c>
      <c r="K1588" s="60" t="str">
        <f aca="false">IF(IsPro,IF($C1588="","",IF(AND(OR($C1588="Receipt",$C1588="Payment"),$D1588=""),"Party needed",IF(AND(OR($C1588="Expense",$C1588="Other Income"),$E1588=""),"Head needed",IF($F1588="","Account needed","OK")))),IF($C1588="","","PRO PLAN"))</f>
        <v/>
      </c>
    </row>
    <row r="1589" customFormat="false" ht="15" hidden="false" customHeight="false" outlineLevel="0" collapsed="false">
      <c r="A1589" s="55"/>
      <c r="B1589" s="56"/>
      <c r="C1589" s="56"/>
      <c r="D1589" s="56"/>
      <c r="E1589" s="56"/>
      <c r="F1589" s="56"/>
      <c r="G1589" s="58"/>
      <c r="H1589" s="56"/>
      <c r="I1589" s="61" t="str">
        <f aca="false">IF(IsPro,IF(OR($C1589="",N($G1589)=0),"",IF(OR($C1589="Receipt",$C1589="Other Income",$C1589="Capital In",$C1589="Transfer In"),$G1589,0)),"")</f>
        <v/>
      </c>
      <c r="J1589" s="61" t="str">
        <f aca="false">IF(IsPro,IF(OR($C1589="",N($G1589)=0),"",IF(I1589=0,$G1589,0)),"")</f>
        <v/>
      </c>
      <c r="K1589" s="60" t="str">
        <f aca="false">IF(IsPro,IF($C1589="","",IF(AND(OR($C1589="Receipt",$C1589="Payment"),$D1589=""),"Party needed",IF(AND(OR($C1589="Expense",$C1589="Other Income"),$E1589=""),"Head needed",IF($F1589="","Account needed","OK")))),IF($C1589="","","PRO PLAN"))</f>
        <v/>
      </c>
    </row>
    <row r="1590" customFormat="false" ht="15" hidden="false" customHeight="false" outlineLevel="0" collapsed="false">
      <c r="A1590" s="55"/>
      <c r="B1590" s="56"/>
      <c r="C1590" s="56"/>
      <c r="D1590" s="56"/>
      <c r="E1590" s="56"/>
      <c r="F1590" s="56"/>
      <c r="G1590" s="58"/>
      <c r="H1590" s="56"/>
      <c r="I1590" s="61" t="str">
        <f aca="false">IF(IsPro,IF(OR($C1590="",N($G1590)=0),"",IF(OR($C1590="Receipt",$C1590="Other Income",$C1590="Capital In",$C1590="Transfer In"),$G1590,0)),"")</f>
        <v/>
      </c>
      <c r="J1590" s="61" t="str">
        <f aca="false">IF(IsPro,IF(OR($C1590="",N($G1590)=0),"",IF(I1590=0,$G1590,0)),"")</f>
        <v/>
      </c>
      <c r="K1590" s="60" t="str">
        <f aca="false">IF(IsPro,IF($C1590="","",IF(AND(OR($C1590="Receipt",$C1590="Payment"),$D1590=""),"Party needed",IF(AND(OR($C1590="Expense",$C1590="Other Income"),$E1590=""),"Head needed",IF($F1590="","Account needed","OK")))),IF($C1590="","","PRO PLAN"))</f>
        <v/>
      </c>
    </row>
    <row r="1591" customFormat="false" ht="15" hidden="false" customHeight="false" outlineLevel="0" collapsed="false">
      <c r="A1591" s="55"/>
      <c r="B1591" s="56"/>
      <c r="C1591" s="56"/>
      <c r="D1591" s="56"/>
      <c r="E1591" s="56"/>
      <c r="F1591" s="56"/>
      <c r="G1591" s="58"/>
      <c r="H1591" s="56"/>
      <c r="I1591" s="61" t="str">
        <f aca="false">IF(IsPro,IF(OR($C1591="",N($G1591)=0),"",IF(OR($C1591="Receipt",$C1591="Other Income",$C1591="Capital In",$C1591="Transfer In"),$G1591,0)),"")</f>
        <v/>
      </c>
      <c r="J1591" s="61" t="str">
        <f aca="false">IF(IsPro,IF(OR($C1591="",N($G1591)=0),"",IF(I1591=0,$G1591,0)),"")</f>
        <v/>
      </c>
      <c r="K1591" s="60" t="str">
        <f aca="false">IF(IsPro,IF($C1591="","",IF(AND(OR($C1591="Receipt",$C1591="Payment"),$D1591=""),"Party needed",IF(AND(OR($C1591="Expense",$C1591="Other Income"),$E1591=""),"Head needed",IF($F1591="","Account needed","OK")))),IF($C1591="","","PRO PLAN"))</f>
        <v/>
      </c>
    </row>
    <row r="1592" customFormat="false" ht="15" hidden="false" customHeight="false" outlineLevel="0" collapsed="false">
      <c r="A1592" s="55"/>
      <c r="B1592" s="56"/>
      <c r="C1592" s="56"/>
      <c r="D1592" s="56"/>
      <c r="E1592" s="56"/>
      <c r="F1592" s="56"/>
      <c r="G1592" s="58"/>
      <c r="H1592" s="56"/>
      <c r="I1592" s="61" t="str">
        <f aca="false">IF(IsPro,IF(OR($C1592="",N($G1592)=0),"",IF(OR($C1592="Receipt",$C1592="Other Income",$C1592="Capital In",$C1592="Transfer In"),$G1592,0)),"")</f>
        <v/>
      </c>
      <c r="J1592" s="61" t="str">
        <f aca="false">IF(IsPro,IF(OR($C1592="",N($G1592)=0),"",IF(I1592=0,$G1592,0)),"")</f>
        <v/>
      </c>
      <c r="K1592" s="60" t="str">
        <f aca="false">IF(IsPro,IF($C1592="","",IF(AND(OR($C1592="Receipt",$C1592="Payment"),$D1592=""),"Party needed",IF(AND(OR($C1592="Expense",$C1592="Other Income"),$E1592=""),"Head needed",IF($F1592="","Account needed","OK")))),IF($C1592="","","PRO PLAN"))</f>
        <v/>
      </c>
    </row>
    <row r="1593" customFormat="false" ht="15" hidden="false" customHeight="false" outlineLevel="0" collapsed="false">
      <c r="A1593" s="55"/>
      <c r="B1593" s="56"/>
      <c r="C1593" s="56"/>
      <c r="D1593" s="56"/>
      <c r="E1593" s="56"/>
      <c r="F1593" s="56"/>
      <c r="G1593" s="58"/>
      <c r="H1593" s="56"/>
      <c r="I1593" s="61" t="str">
        <f aca="false">IF(IsPro,IF(OR($C1593="",N($G1593)=0),"",IF(OR($C1593="Receipt",$C1593="Other Income",$C1593="Capital In",$C1593="Transfer In"),$G1593,0)),"")</f>
        <v/>
      </c>
      <c r="J1593" s="61" t="str">
        <f aca="false">IF(IsPro,IF(OR($C1593="",N($G1593)=0),"",IF(I1593=0,$G1593,0)),"")</f>
        <v/>
      </c>
      <c r="K1593" s="60" t="str">
        <f aca="false">IF(IsPro,IF($C1593="","",IF(AND(OR($C1593="Receipt",$C1593="Payment"),$D1593=""),"Party needed",IF(AND(OR($C1593="Expense",$C1593="Other Income"),$E1593=""),"Head needed",IF($F1593="","Account needed","OK")))),IF($C1593="","","PRO PLAN"))</f>
        <v/>
      </c>
    </row>
    <row r="1594" customFormat="false" ht="15" hidden="false" customHeight="false" outlineLevel="0" collapsed="false">
      <c r="A1594" s="55"/>
      <c r="B1594" s="56"/>
      <c r="C1594" s="56"/>
      <c r="D1594" s="56"/>
      <c r="E1594" s="56"/>
      <c r="F1594" s="56"/>
      <c r="G1594" s="58"/>
      <c r="H1594" s="56"/>
      <c r="I1594" s="61" t="str">
        <f aca="false">IF(IsPro,IF(OR($C1594="",N($G1594)=0),"",IF(OR($C1594="Receipt",$C1594="Other Income",$C1594="Capital In",$C1594="Transfer In"),$G1594,0)),"")</f>
        <v/>
      </c>
      <c r="J1594" s="61" t="str">
        <f aca="false">IF(IsPro,IF(OR($C1594="",N($G1594)=0),"",IF(I1594=0,$G1594,0)),"")</f>
        <v/>
      </c>
      <c r="K1594" s="60" t="str">
        <f aca="false">IF(IsPro,IF($C1594="","",IF(AND(OR($C1594="Receipt",$C1594="Payment"),$D1594=""),"Party needed",IF(AND(OR($C1594="Expense",$C1594="Other Income"),$E1594=""),"Head needed",IF($F1594="","Account needed","OK")))),IF($C1594="","","PRO PLAN"))</f>
        <v/>
      </c>
    </row>
    <row r="1595" customFormat="false" ht="15" hidden="false" customHeight="false" outlineLevel="0" collapsed="false">
      <c r="A1595" s="55"/>
      <c r="B1595" s="56"/>
      <c r="C1595" s="56"/>
      <c r="D1595" s="56"/>
      <c r="E1595" s="56"/>
      <c r="F1595" s="56"/>
      <c r="G1595" s="58"/>
      <c r="H1595" s="56"/>
      <c r="I1595" s="61" t="str">
        <f aca="false">IF(IsPro,IF(OR($C1595="",N($G1595)=0),"",IF(OR($C1595="Receipt",$C1595="Other Income",$C1595="Capital In",$C1595="Transfer In"),$G1595,0)),"")</f>
        <v/>
      </c>
      <c r="J1595" s="61" t="str">
        <f aca="false">IF(IsPro,IF(OR($C1595="",N($G1595)=0),"",IF(I1595=0,$G1595,0)),"")</f>
        <v/>
      </c>
      <c r="K1595" s="60" t="str">
        <f aca="false">IF(IsPro,IF($C1595="","",IF(AND(OR($C1595="Receipt",$C1595="Payment"),$D1595=""),"Party needed",IF(AND(OR($C1595="Expense",$C1595="Other Income"),$E1595=""),"Head needed",IF($F1595="","Account needed","OK")))),IF($C1595="","","PRO PLAN"))</f>
        <v/>
      </c>
    </row>
    <row r="1596" customFormat="false" ht="15" hidden="false" customHeight="false" outlineLevel="0" collapsed="false">
      <c r="A1596" s="55"/>
      <c r="B1596" s="56"/>
      <c r="C1596" s="56"/>
      <c r="D1596" s="56"/>
      <c r="E1596" s="56"/>
      <c r="F1596" s="56"/>
      <c r="G1596" s="58"/>
      <c r="H1596" s="56"/>
      <c r="I1596" s="61" t="str">
        <f aca="false">IF(IsPro,IF(OR($C1596="",N($G1596)=0),"",IF(OR($C1596="Receipt",$C1596="Other Income",$C1596="Capital In",$C1596="Transfer In"),$G1596,0)),"")</f>
        <v/>
      </c>
      <c r="J1596" s="61" t="str">
        <f aca="false">IF(IsPro,IF(OR($C1596="",N($G1596)=0),"",IF(I1596=0,$G1596,0)),"")</f>
        <v/>
      </c>
      <c r="K1596" s="60" t="str">
        <f aca="false">IF(IsPro,IF($C1596="","",IF(AND(OR($C1596="Receipt",$C1596="Payment"),$D1596=""),"Party needed",IF(AND(OR($C1596="Expense",$C1596="Other Income"),$E1596=""),"Head needed",IF($F1596="","Account needed","OK")))),IF($C1596="","","PRO PLAN"))</f>
        <v/>
      </c>
    </row>
    <row r="1597" customFormat="false" ht="15" hidden="false" customHeight="false" outlineLevel="0" collapsed="false">
      <c r="A1597" s="55"/>
      <c r="B1597" s="56"/>
      <c r="C1597" s="56"/>
      <c r="D1597" s="56"/>
      <c r="E1597" s="56"/>
      <c r="F1597" s="56"/>
      <c r="G1597" s="58"/>
      <c r="H1597" s="56"/>
      <c r="I1597" s="61" t="str">
        <f aca="false">IF(IsPro,IF(OR($C1597="",N($G1597)=0),"",IF(OR($C1597="Receipt",$C1597="Other Income",$C1597="Capital In",$C1597="Transfer In"),$G1597,0)),"")</f>
        <v/>
      </c>
      <c r="J1597" s="61" t="str">
        <f aca="false">IF(IsPro,IF(OR($C1597="",N($G1597)=0),"",IF(I1597=0,$G1597,0)),"")</f>
        <v/>
      </c>
      <c r="K1597" s="60" t="str">
        <f aca="false">IF(IsPro,IF($C1597="","",IF(AND(OR($C1597="Receipt",$C1597="Payment"),$D1597=""),"Party needed",IF(AND(OR($C1597="Expense",$C1597="Other Income"),$E1597=""),"Head needed",IF($F1597="","Account needed","OK")))),IF($C1597="","","PRO PLAN"))</f>
        <v/>
      </c>
    </row>
    <row r="1598" customFormat="false" ht="15" hidden="false" customHeight="false" outlineLevel="0" collapsed="false">
      <c r="A1598" s="55"/>
      <c r="B1598" s="56"/>
      <c r="C1598" s="56"/>
      <c r="D1598" s="56"/>
      <c r="E1598" s="56"/>
      <c r="F1598" s="56"/>
      <c r="G1598" s="58"/>
      <c r="H1598" s="56"/>
      <c r="I1598" s="61" t="str">
        <f aca="false">IF(IsPro,IF(OR($C1598="",N($G1598)=0),"",IF(OR($C1598="Receipt",$C1598="Other Income",$C1598="Capital In",$C1598="Transfer In"),$G1598,0)),"")</f>
        <v/>
      </c>
      <c r="J1598" s="61" t="str">
        <f aca="false">IF(IsPro,IF(OR($C1598="",N($G1598)=0),"",IF(I1598=0,$G1598,0)),"")</f>
        <v/>
      </c>
      <c r="K1598" s="60" t="str">
        <f aca="false">IF(IsPro,IF($C1598="","",IF(AND(OR($C1598="Receipt",$C1598="Payment"),$D1598=""),"Party needed",IF(AND(OR($C1598="Expense",$C1598="Other Income"),$E1598=""),"Head needed",IF($F1598="","Account needed","OK")))),IF($C1598="","","PRO PLAN"))</f>
        <v/>
      </c>
    </row>
    <row r="1599" customFormat="false" ht="15" hidden="false" customHeight="false" outlineLevel="0" collapsed="false">
      <c r="A1599" s="55"/>
      <c r="B1599" s="56"/>
      <c r="C1599" s="56"/>
      <c r="D1599" s="56"/>
      <c r="E1599" s="56"/>
      <c r="F1599" s="56"/>
      <c r="G1599" s="58"/>
      <c r="H1599" s="56"/>
      <c r="I1599" s="61" t="str">
        <f aca="false">IF(IsPro,IF(OR($C1599="",N($G1599)=0),"",IF(OR($C1599="Receipt",$C1599="Other Income",$C1599="Capital In",$C1599="Transfer In"),$G1599,0)),"")</f>
        <v/>
      </c>
      <c r="J1599" s="61" t="str">
        <f aca="false">IF(IsPro,IF(OR($C1599="",N($G1599)=0),"",IF(I1599=0,$G1599,0)),"")</f>
        <v/>
      </c>
      <c r="K1599" s="60" t="str">
        <f aca="false">IF(IsPro,IF($C1599="","",IF(AND(OR($C1599="Receipt",$C1599="Payment"),$D1599=""),"Party needed",IF(AND(OR($C1599="Expense",$C1599="Other Income"),$E1599=""),"Head needed",IF($F1599="","Account needed","OK")))),IF($C1599="","","PRO PLAN"))</f>
        <v/>
      </c>
    </row>
    <row r="1600" customFormat="false" ht="15" hidden="false" customHeight="false" outlineLevel="0" collapsed="false">
      <c r="A1600" s="55"/>
      <c r="B1600" s="56"/>
      <c r="C1600" s="56"/>
      <c r="D1600" s="56"/>
      <c r="E1600" s="56"/>
      <c r="F1600" s="56"/>
      <c r="G1600" s="58"/>
      <c r="H1600" s="56"/>
      <c r="I1600" s="61" t="str">
        <f aca="false">IF(IsPro,IF(OR($C1600="",N($G1600)=0),"",IF(OR($C1600="Receipt",$C1600="Other Income",$C1600="Capital In",$C1600="Transfer In"),$G1600,0)),"")</f>
        <v/>
      </c>
      <c r="J1600" s="61" t="str">
        <f aca="false">IF(IsPro,IF(OR($C1600="",N($G1600)=0),"",IF(I1600=0,$G1600,0)),"")</f>
        <v/>
      </c>
      <c r="K1600" s="60" t="str">
        <f aca="false">IF(IsPro,IF($C1600="","",IF(AND(OR($C1600="Receipt",$C1600="Payment"),$D1600=""),"Party needed",IF(AND(OR($C1600="Expense",$C1600="Other Income"),$E1600=""),"Head needed",IF($F1600="","Account needed","OK")))),IF($C1600="","","PRO PLAN"))</f>
        <v/>
      </c>
    </row>
    <row r="1601" customFormat="false" ht="15" hidden="false" customHeight="false" outlineLevel="0" collapsed="false">
      <c r="A1601" s="55"/>
      <c r="B1601" s="56"/>
      <c r="C1601" s="56"/>
      <c r="D1601" s="56"/>
      <c r="E1601" s="56"/>
      <c r="F1601" s="56"/>
      <c r="G1601" s="58"/>
      <c r="H1601" s="56"/>
      <c r="I1601" s="61" t="str">
        <f aca="false">IF(IsPro,IF(OR($C1601="",N($G1601)=0),"",IF(OR($C1601="Receipt",$C1601="Other Income",$C1601="Capital In",$C1601="Transfer In"),$G1601,0)),"")</f>
        <v/>
      </c>
      <c r="J1601" s="61" t="str">
        <f aca="false">IF(IsPro,IF(OR($C1601="",N($G1601)=0),"",IF(I1601=0,$G1601,0)),"")</f>
        <v/>
      </c>
      <c r="K1601" s="60" t="str">
        <f aca="false">IF(IsPro,IF($C1601="","",IF(AND(OR($C1601="Receipt",$C1601="Payment"),$D1601=""),"Party needed",IF(AND(OR($C1601="Expense",$C1601="Other Income"),$E1601=""),"Head needed",IF($F1601="","Account needed","OK")))),IF($C1601="","","PRO PLAN"))</f>
        <v/>
      </c>
    </row>
    <row r="1602" customFormat="false" ht="15" hidden="false" customHeight="false" outlineLevel="0" collapsed="false">
      <c r="A1602" s="55"/>
      <c r="B1602" s="56"/>
      <c r="C1602" s="56"/>
      <c r="D1602" s="56"/>
      <c r="E1602" s="56"/>
      <c r="F1602" s="56"/>
      <c r="G1602" s="58"/>
      <c r="H1602" s="56"/>
      <c r="I1602" s="61" t="str">
        <f aca="false">IF(IsPro,IF(OR($C1602="",N($G1602)=0),"",IF(OR($C1602="Receipt",$C1602="Other Income",$C1602="Capital In",$C1602="Transfer In"),$G1602,0)),"")</f>
        <v/>
      </c>
      <c r="J1602" s="61" t="str">
        <f aca="false">IF(IsPro,IF(OR($C1602="",N($G1602)=0),"",IF(I1602=0,$G1602,0)),"")</f>
        <v/>
      </c>
      <c r="K1602" s="60" t="str">
        <f aca="false">IF(IsPro,IF($C1602="","",IF(AND(OR($C1602="Receipt",$C1602="Payment"),$D1602=""),"Party needed",IF(AND(OR($C1602="Expense",$C1602="Other Income"),$E1602=""),"Head needed",IF($F1602="","Account needed","OK")))),IF($C1602="","","PRO PLAN"))</f>
        <v/>
      </c>
    </row>
    <row r="1603" customFormat="false" ht="15" hidden="false" customHeight="false" outlineLevel="0" collapsed="false">
      <c r="A1603" s="55"/>
      <c r="B1603" s="56"/>
      <c r="C1603" s="56"/>
      <c r="D1603" s="56"/>
      <c r="E1603" s="56"/>
      <c r="F1603" s="56"/>
      <c r="G1603" s="58"/>
      <c r="H1603" s="56"/>
      <c r="I1603" s="61" t="str">
        <f aca="false">IF(IsPro,IF(OR($C1603="",N($G1603)=0),"",IF(OR($C1603="Receipt",$C1603="Other Income",$C1603="Capital In",$C1603="Transfer In"),$G1603,0)),"")</f>
        <v/>
      </c>
      <c r="J1603" s="61" t="str">
        <f aca="false">IF(IsPro,IF(OR($C1603="",N($G1603)=0),"",IF(I1603=0,$G1603,0)),"")</f>
        <v/>
      </c>
      <c r="K1603" s="60" t="str">
        <f aca="false">IF(IsPro,IF($C1603="","",IF(AND(OR($C1603="Receipt",$C1603="Payment"),$D1603=""),"Party needed",IF(AND(OR($C1603="Expense",$C1603="Other Income"),$E1603=""),"Head needed",IF($F1603="","Account needed","OK")))),IF($C1603="","","PRO PLAN"))</f>
        <v/>
      </c>
    </row>
    <row r="1604" customFormat="false" ht="15" hidden="false" customHeight="false" outlineLevel="0" collapsed="false">
      <c r="A1604" s="55"/>
      <c r="B1604" s="56"/>
      <c r="C1604" s="56"/>
      <c r="D1604" s="56"/>
      <c r="E1604" s="56"/>
      <c r="F1604" s="56"/>
      <c r="G1604" s="58"/>
      <c r="H1604" s="56"/>
      <c r="I1604" s="61" t="str">
        <f aca="false">IF(IsPro,IF(OR($C1604="",N($G1604)=0),"",IF(OR($C1604="Receipt",$C1604="Other Income",$C1604="Capital In",$C1604="Transfer In"),$G1604,0)),"")</f>
        <v/>
      </c>
      <c r="J1604" s="61" t="str">
        <f aca="false">IF(IsPro,IF(OR($C1604="",N($G1604)=0),"",IF(I1604=0,$G1604,0)),"")</f>
        <v/>
      </c>
      <c r="K1604" s="60" t="str">
        <f aca="false">IF(IsPro,IF($C1604="","",IF(AND(OR($C1604="Receipt",$C1604="Payment"),$D1604=""),"Party needed",IF(AND(OR($C1604="Expense",$C1604="Other Income"),$E1604=""),"Head needed",IF($F1604="","Account needed","OK")))),IF($C1604="","","PRO PLAN"))</f>
        <v/>
      </c>
    </row>
    <row r="1605" customFormat="false" ht="15" hidden="false" customHeight="false" outlineLevel="0" collapsed="false">
      <c r="A1605" s="55"/>
      <c r="B1605" s="56"/>
      <c r="C1605" s="56"/>
      <c r="D1605" s="56"/>
      <c r="E1605" s="56"/>
      <c r="F1605" s="56"/>
      <c r="G1605" s="58"/>
      <c r="H1605" s="56"/>
      <c r="I1605" s="61" t="str">
        <f aca="false">IF(IsPro,IF(OR($C1605="",N($G1605)=0),"",IF(OR($C1605="Receipt",$C1605="Other Income",$C1605="Capital In",$C1605="Transfer In"),$G1605,0)),"")</f>
        <v/>
      </c>
      <c r="J1605" s="61" t="str">
        <f aca="false">IF(IsPro,IF(OR($C1605="",N($G1605)=0),"",IF(I1605=0,$G1605,0)),"")</f>
        <v/>
      </c>
      <c r="K1605" s="60" t="str">
        <f aca="false">IF(IsPro,IF($C1605="","",IF(AND(OR($C1605="Receipt",$C1605="Payment"),$D1605=""),"Party needed",IF(AND(OR($C1605="Expense",$C1605="Other Income"),$E1605=""),"Head needed",IF($F1605="","Account needed","OK")))),IF($C1605="","","PRO PLAN"))</f>
        <v/>
      </c>
    </row>
    <row r="1606" customFormat="false" ht="15" hidden="false" customHeight="false" outlineLevel="0" collapsed="false">
      <c r="A1606" s="55"/>
      <c r="B1606" s="56"/>
      <c r="C1606" s="56"/>
      <c r="D1606" s="56"/>
      <c r="E1606" s="56"/>
      <c r="F1606" s="56"/>
      <c r="G1606" s="58"/>
      <c r="H1606" s="56"/>
      <c r="I1606" s="61" t="str">
        <f aca="false">IF(IsPro,IF(OR($C1606="",N($G1606)=0),"",IF(OR($C1606="Receipt",$C1606="Other Income",$C1606="Capital In",$C1606="Transfer In"),$G1606,0)),"")</f>
        <v/>
      </c>
      <c r="J1606" s="61" t="str">
        <f aca="false">IF(IsPro,IF(OR($C1606="",N($G1606)=0),"",IF(I1606=0,$G1606,0)),"")</f>
        <v/>
      </c>
      <c r="K1606" s="60" t="str">
        <f aca="false">IF(IsPro,IF($C1606="","",IF(AND(OR($C1606="Receipt",$C1606="Payment"),$D1606=""),"Party needed",IF(AND(OR($C1606="Expense",$C1606="Other Income"),$E1606=""),"Head needed",IF($F1606="","Account needed","OK")))),IF($C1606="","","PRO PLAN"))</f>
        <v/>
      </c>
    </row>
    <row r="1607" customFormat="false" ht="15" hidden="false" customHeight="false" outlineLevel="0" collapsed="false">
      <c r="A1607" s="55"/>
      <c r="B1607" s="56"/>
      <c r="C1607" s="56"/>
      <c r="D1607" s="56"/>
      <c r="E1607" s="56"/>
      <c r="F1607" s="56"/>
      <c r="G1607" s="58"/>
      <c r="H1607" s="56"/>
      <c r="I1607" s="61" t="str">
        <f aca="false">IF(IsPro,IF(OR($C1607="",N($G1607)=0),"",IF(OR($C1607="Receipt",$C1607="Other Income",$C1607="Capital In",$C1607="Transfer In"),$G1607,0)),"")</f>
        <v/>
      </c>
      <c r="J1607" s="61" t="str">
        <f aca="false">IF(IsPro,IF(OR($C1607="",N($G1607)=0),"",IF(I1607=0,$G1607,0)),"")</f>
        <v/>
      </c>
      <c r="K1607" s="60" t="str">
        <f aca="false">IF(IsPro,IF($C1607="","",IF(AND(OR($C1607="Receipt",$C1607="Payment"),$D1607=""),"Party needed",IF(AND(OR($C1607="Expense",$C1607="Other Income"),$E1607=""),"Head needed",IF($F1607="","Account needed","OK")))),IF($C1607="","","PRO PLAN"))</f>
        <v/>
      </c>
    </row>
    <row r="1608" customFormat="false" ht="15" hidden="false" customHeight="false" outlineLevel="0" collapsed="false">
      <c r="A1608" s="55"/>
      <c r="B1608" s="56"/>
      <c r="C1608" s="56"/>
      <c r="D1608" s="56"/>
      <c r="E1608" s="56"/>
      <c r="F1608" s="56"/>
      <c r="G1608" s="58"/>
      <c r="H1608" s="56"/>
      <c r="I1608" s="61" t="str">
        <f aca="false">IF(IsPro,IF(OR($C1608="",N($G1608)=0),"",IF(OR($C1608="Receipt",$C1608="Other Income",$C1608="Capital In",$C1608="Transfer In"),$G1608,0)),"")</f>
        <v/>
      </c>
      <c r="J1608" s="61" t="str">
        <f aca="false">IF(IsPro,IF(OR($C1608="",N($G1608)=0),"",IF(I1608=0,$G1608,0)),"")</f>
        <v/>
      </c>
      <c r="K1608" s="60" t="str">
        <f aca="false">IF(IsPro,IF($C1608="","",IF(AND(OR($C1608="Receipt",$C1608="Payment"),$D1608=""),"Party needed",IF(AND(OR($C1608="Expense",$C1608="Other Income"),$E1608=""),"Head needed",IF($F1608="","Account needed","OK")))),IF($C1608="","","PRO PLAN"))</f>
        <v/>
      </c>
    </row>
    <row r="1609" customFormat="false" ht="15" hidden="false" customHeight="false" outlineLevel="0" collapsed="false">
      <c r="A1609" s="55"/>
      <c r="B1609" s="56"/>
      <c r="C1609" s="56"/>
      <c r="D1609" s="56"/>
      <c r="E1609" s="56"/>
      <c r="F1609" s="56"/>
      <c r="G1609" s="58"/>
      <c r="H1609" s="56"/>
      <c r="I1609" s="61" t="str">
        <f aca="false">IF(IsPro,IF(OR($C1609="",N($G1609)=0),"",IF(OR($C1609="Receipt",$C1609="Other Income",$C1609="Capital In",$C1609="Transfer In"),$G1609,0)),"")</f>
        <v/>
      </c>
      <c r="J1609" s="61" t="str">
        <f aca="false">IF(IsPro,IF(OR($C1609="",N($G1609)=0),"",IF(I1609=0,$G1609,0)),"")</f>
        <v/>
      </c>
      <c r="K1609" s="60" t="str">
        <f aca="false">IF(IsPro,IF($C1609="","",IF(AND(OR($C1609="Receipt",$C1609="Payment"),$D1609=""),"Party needed",IF(AND(OR($C1609="Expense",$C1609="Other Income"),$E1609=""),"Head needed",IF($F1609="","Account needed","OK")))),IF($C1609="","","PRO PLAN"))</f>
        <v/>
      </c>
    </row>
    <row r="1610" customFormat="false" ht="15" hidden="false" customHeight="false" outlineLevel="0" collapsed="false">
      <c r="A1610" s="55"/>
      <c r="B1610" s="56"/>
      <c r="C1610" s="56"/>
      <c r="D1610" s="56"/>
      <c r="E1610" s="56"/>
      <c r="F1610" s="56"/>
      <c r="G1610" s="58"/>
      <c r="H1610" s="56"/>
      <c r="I1610" s="61" t="str">
        <f aca="false">IF(IsPro,IF(OR($C1610="",N($G1610)=0),"",IF(OR($C1610="Receipt",$C1610="Other Income",$C1610="Capital In",$C1610="Transfer In"),$G1610,0)),"")</f>
        <v/>
      </c>
      <c r="J1610" s="61" t="str">
        <f aca="false">IF(IsPro,IF(OR($C1610="",N($G1610)=0),"",IF(I1610=0,$G1610,0)),"")</f>
        <v/>
      </c>
      <c r="K1610" s="60" t="str">
        <f aca="false">IF(IsPro,IF($C1610="","",IF(AND(OR($C1610="Receipt",$C1610="Payment"),$D1610=""),"Party needed",IF(AND(OR($C1610="Expense",$C1610="Other Income"),$E1610=""),"Head needed",IF($F1610="","Account needed","OK")))),IF($C1610="","","PRO PLAN"))</f>
        <v/>
      </c>
    </row>
    <row r="1611" customFormat="false" ht="15" hidden="false" customHeight="false" outlineLevel="0" collapsed="false">
      <c r="A1611" s="55"/>
      <c r="B1611" s="56"/>
      <c r="C1611" s="56"/>
      <c r="D1611" s="56"/>
      <c r="E1611" s="56"/>
      <c r="F1611" s="56"/>
      <c r="G1611" s="58"/>
      <c r="H1611" s="56"/>
      <c r="I1611" s="61" t="str">
        <f aca="false">IF(IsPro,IF(OR($C1611="",N($G1611)=0),"",IF(OR($C1611="Receipt",$C1611="Other Income",$C1611="Capital In",$C1611="Transfer In"),$G1611,0)),"")</f>
        <v/>
      </c>
      <c r="J1611" s="61" t="str">
        <f aca="false">IF(IsPro,IF(OR($C1611="",N($G1611)=0),"",IF(I1611=0,$G1611,0)),"")</f>
        <v/>
      </c>
      <c r="K1611" s="60" t="str">
        <f aca="false">IF(IsPro,IF($C1611="","",IF(AND(OR($C1611="Receipt",$C1611="Payment"),$D1611=""),"Party needed",IF(AND(OR($C1611="Expense",$C1611="Other Income"),$E1611=""),"Head needed",IF($F1611="","Account needed","OK")))),IF($C1611="","","PRO PLAN"))</f>
        <v/>
      </c>
    </row>
    <row r="1612" customFormat="false" ht="15" hidden="false" customHeight="false" outlineLevel="0" collapsed="false">
      <c r="A1612" s="55"/>
      <c r="B1612" s="56"/>
      <c r="C1612" s="56"/>
      <c r="D1612" s="56"/>
      <c r="E1612" s="56"/>
      <c r="F1612" s="56"/>
      <c r="G1612" s="58"/>
      <c r="H1612" s="56"/>
      <c r="I1612" s="61" t="str">
        <f aca="false">IF(IsPro,IF(OR($C1612="",N($G1612)=0),"",IF(OR($C1612="Receipt",$C1612="Other Income",$C1612="Capital In",$C1612="Transfer In"),$G1612,0)),"")</f>
        <v/>
      </c>
      <c r="J1612" s="61" t="str">
        <f aca="false">IF(IsPro,IF(OR($C1612="",N($G1612)=0),"",IF(I1612=0,$G1612,0)),"")</f>
        <v/>
      </c>
      <c r="K1612" s="60" t="str">
        <f aca="false">IF(IsPro,IF($C1612="","",IF(AND(OR($C1612="Receipt",$C1612="Payment"),$D1612=""),"Party needed",IF(AND(OR($C1612="Expense",$C1612="Other Income"),$E1612=""),"Head needed",IF($F1612="","Account needed","OK")))),IF($C1612="","","PRO PLAN"))</f>
        <v/>
      </c>
    </row>
    <row r="1613" customFormat="false" ht="15" hidden="false" customHeight="false" outlineLevel="0" collapsed="false">
      <c r="A1613" s="55"/>
      <c r="B1613" s="56"/>
      <c r="C1613" s="56"/>
      <c r="D1613" s="56"/>
      <c r="E1613" s="56"/>
      <c r="F1613" s="56"/>
      <c r="G1613" s="58"/>
      <c r="H1613" s="56"/>
      <c r="I1613" s="61" t="str">
        <f aca="false">IF(IsPro,IF(OR($C1613="",N($G1613)=0),"",IF(OR($C1613="Receipt",$C1613="Other Income",$C1613="Capital In",$C1613="Transfer In"),$G1613,0)),"")</f>
        <v/>
      </c>
      <c r="J1613" s="61" t="str">
        <f aca="false">IF(IsPro,IF(OR($C1613="",N($G1613)=0),"",IF(I1613=0,$G1613,0)),"")</f>
        <v/>
      </c>
      <c r="K1613" s="60" t="str">
        <f aca="false">IF(IsPro,IF($C1613="","",IF(AND(OR($C1613="Receipt",$C1613="Payment"),$D1613=""),"Party needed",IF(AND(OR($C1613="Expense",$C1613="Other Income"),$E1613=""),"Head needed",IF($F1613="","Account needed","OK")))),IF($C1613="","","PRO PLAN"))</f>
        <v/>
      </c>
    </row>
    <row r="1614" customFormat="false" ht="15" hidden="false" customHeight="false" outlineLevel="0" collapsed="false">
      <c r="A1614" s="55"/>
      <c r="B1614" s="56"/>
      <c r="C1614" s="56"/>
      <c r="D1614" s="56"/>
      <c r="E1614" s="56"/>
      <c r="F1614" s="56"/>
      <c r="G1614" s="58"/>
      <c r="H1614" s="56"/>
      <c r="I1614" s="61" t="str">
        <f aca="false">IF(IsPro,IF(OR($C1614="",N($G1614)=0),"",IF(OR($C1614="Receipt",$C1614="Other Income",$C1614="Capital In",$C1614="Transfer In"),$G1614,0)),"")</f>
        <v/>
      </c>
      <c r="J1614" s="61" t="str">
        <f aca="false">IF(IsPro,IF(OR($C1614="",N($G1614)=0),"",IF(I1614=0,$G1614,0)),"")</f>
        <v/>
      </c>
      <c r="K1614" s="60" t="str">
        <f aca="false">IF(IsPro,IF($C1614="","",IF(AND(OR($C1614="Receipt",$C1614="Payment"),$D1614=""),"Party needed",IF(AND(OR($C1614="Expense",$C1614="Other Income"),$E1614=""),"Head needed",IF($F1614="","Account needed","OK")))),IF($C1614="","","PRO PLAN"))</f>
        <v/>
      </c>
    </row>
    <row r="1615" customFormat="false" ht="15" hidden="false" customHeight="false" outlineLevel="0" collapsed="false">
      <c r="A1615" s="55"/>
      <c r="B1615" s="56"/>
      <c r="C1615" s="56"/>
      <c r="D1615" s="56"/>
      <c r="E1615" s="56"/>
      <c r="F1615" s="56"/>
      <c r="G1615" s="58"/>
      <c r="H1615" s="56"/>
      <c r="I1615" s="61" t="str">
        <f aca="false">IF(IsPro,IF(OR($C1615="",N($G1615)=0),"",IF(OR($C1615="Receipt",$C1615="Other Income",$C1615="Capital In",$C1615="Transfer In"),$G1615,0)),"")</f>
        <v/>
      </c>
      <c r="J1615" s="61" t="str">
        <f aca="false">IF(IsPro,IF(OR($C1615="",N($G1615)=0),"",IF(I1615=0,$G1615,0)),"")</f>
        <v/>
      </c>
      <c r="K1615" s="60" t="str">
        <f aca="false">IF(IsPro,IF($C1615="","",IF(AND(OR($C1615="Receipt",$C1615="Payment"),$D1615=""),"Party needed",IF(AND(OR($C1615="Expense",$C1615="Other Income"),$E1615=""),"Head needed",IF($F1615="","Account needed","OK")))),IF($C1615="","","PRO PLAN"))</f>
        <v/>
      </c>
    </row>
    <row r="1616" customFormat="false" ht="15" hidden="false" customHeight="false" outlineLevel="0" collapsed="false">
      <c r="A1616" s="55"/>
      <c r="B1616" s="56"/>
      <c r="C1616" s="56"/>
      <c r="D1616" s="56"/>
      <c r="E1616" s="56"/>
      <c r="F1616" s="56"/>
      <c r="G1616" s="58"/>
      <c r="H1616" s="56"/>
      <c r="I1616" s="61" t="str">
        <f aca="false">IF(IsPro,IF(OR($C1616="",N($G1616)=0),"",IF(OR($C1616="Receipt",$C1616="Other Income",$C1616="Capital In",$C1616="Transfer In"),$G1616,0)),"")</f>
        <v/>
      </c>
      <c r="J1616" s="61" t="str">
        <f aca="false">IF(IsPro,IF(OR($C1616="",N($G1616)=0),"",IF(I1616=0,$G1616,0)),"")</f>
        <v/>
      </c>
      <c r="K1616" s="60" t="str">
        <f aca="false">IF(IsPro,IF($C1616="","",IF(AND(OR($C1616="Receipt",$C1616="Payment"),$D1616=""),"Party needed",IF(AND(OR($C1616="Expense",$C1616="Other Income"),$E1616=""),"Head needed",IF($F1616="","Account needed","OK")))),IF($C1616="","","PRO PLAN"))</f>
        <v/>
      </c>
    </row>
    <row r="1617" customFormat="false" ht="15" hidden="false" customHeight="false" outlineLevel="0" collapsed="false">
      <c r="A1617" s="55"/>
      <c r="B1617" s="56"/>
      <c r="C1617" s="56"/>
      <c r="D1617" s="56"/>
      <c r="E1617" s="56"/>
      <c r="F1617" s="56"/>
      <c r="G1617" s="58"/>
      <c r="H1617" s="56"/>
      <c r="I1617" s="61" t="str">
        <f aca="false">IF(IsPro,IF(OR($C1617="",N($G1617)=0),"",IF(OR($C1617="Receipt",$C1617="Other Income",$C1617="Capital In",$C1617="Transfer In"),$G1617,0)),"")</f>
        <v/>
      </c>
      <c r="J1617" s="61" t="str">
        <f aca="false">IF(IsPro,IF(OR($C1617="",N($G1617)=0),"",IF(I1617=0,$G1617,0)),"")</f>
        <v/>
      </c>
      <c r="K1617" s="60" t="str">
        <f aca="false">IF(IsPro,IF($C1617="","",IF(AND(OR($C1617="Receipt",$C1617="Payment"),$D1617=""),"Party needed",IF(AND(OR($C1617="Expense",$C1617="Other Income"),$E1617=""),"Head needed",IF($F1617="","Account needed","OK")))),IF($C1617="","","PRO PLAN"))</f>
        <v/>
      </c>
    </row>
    <row r="1618" customFormat="false" ht="15" hidden="false" customHeight="false" outlineLevel="0" collapsed="false">
      <c r="A1618" s="55"/>
      <c r="B1618" s="56"/>
      <c r="C1618" s="56"/>
      <c r="D1618" s="56"/>
      <c r="E1618" s="56"/>
      <c r="F1618" s="56"/>
      <c r="G1618" s="58"/>
      <c r="H1618" s="56"/>
      <c r="I1618" s="61" t="str">
        <f aca="false">IF(IsPro,IF(OR($C1618="",N($G1618)=0),"",IF(OR($C1618="Receipt",$C1618="Other Income",$C1618="Capital In",$C1618="Transfer In"),$G1618,0)),"")</f>
        <v/>
      </c>
      <c r="J1618" s="61" t="str">
        <f aca="false">IF(IsPro,IF(OR($C1618="",N($G1618)=0),"",IF(I1618=0,$G1618,0)),"")</f>
        <v/>
      </c>
      <c r="K1618" s="60" t="str">
        <f aca="false">IF(IsPro,IF($C1618="","",IF(AND(OR($C1618="Receipt",$C1618="Payment"),$D1618=""),"Party needed",IF(AND(OR($C1618="Expense",$C1618="Other Income"),$E1618=""),"Head needed",IF($F1618="","Account needed","OK")))),IF($C1618="","","PRO PLAN"))</f>
        <v/>
      </c>
    </row>
    <row r="1619" customFormat="false" ht="15" hidden="false" customHeight="false" outlineLevel="0" collapsed="false">
      <c r="A1619" s="55"/>
      <c r="B1619" s="56"/>
      <c r="C1619" s="56"/>
      <c r="D1619" s="56"/>
      <c r="E1619" s="56"/>
      <c r="F1619" s="56"/>
      <c r="G1619" s="58"/>
      <c r="H1619" s="56"/>
      <c r="I1619" s="61" t="str">
        <f aca="false">IF(IsPro,IF(OR($C1619="",N($G1619)=0),"",IF(OR($C1619="Receipt",$C1619="Other Income",$C1619="Capital In",$C1619="Transfer In"),$G1619,0)),"")</f>
        <v/>
      </c>
      <c r="J1619" s="61" t="str">
        <f aca="false">IF(IsPro,IF(OR($C1619="",N($G1619)=0),"",IF(I1619=0,$G1619,0)),"")</f>
        <v/>
      </c>
      <c r="K1619" s="60" t="str">
        <f aca="false">IF(IsPro,IF($C1619="","",IF(AND(OR($C1619="Receipt",$C1619="Payment"),$D1619=""),"Party needed",IF(AND(OR($C1619="Expense",$C1619="Other Income"),$E1619=""),"Head needed",IF($F1619="","Account needed","OK")))),IF($C1619="","","PRO PLAN"))</f>
        <v/>
      </c>
    </row>
    <row r="1620" customFormat="false" ht="15" hidden="false" customHeight="false" outlineLevel="0" collapsed="false">
      <c r="A1620" s="55"/>
      <c r="B1620" s="56"/>
      <c r="C1620" s="56"/>
      <c r="D1620" s="56"/>
      <c r="E1620" s="56"/>
      <c r="F1620" s="56"/>
      <c r="G1620" s="58"/>
      <c r="H1620" s="56"/>
      <c r="I1620" s="61" t="str">
        <f aca="false">IF(IsPro,IF(OR($C1620="",N($G1620)=0),"",IF(OR($C1620="Receipt",$C1620="Other Income",$C1620="Capital In",$C1620="Transfer In"),$G1620,0)),"")</f>
        <v/>
      </c>
      <c r="J1620" s="61" t="str">
        <f aca="false">IF(IsPro,IF(OR($C1620="",N($G1620)=0),"",IF(I1620=0,$G1620,0)),"")</f>
        <v/>
      </c>
      <c r="K1620" s="60" t="str">
        <f aca="false">IF(IsPro,IF($C1620="","",IF(AND(OR($C1620="Receipt",$C1620="Payment"),$D1620=""),"Party needed",IF(AND(OR($C1620="Expense",$C1620="Other Income"),$E1620=""),"Head needed",IF($F1620="","Account needed","OK")))),IF($C1620="","","PRO PLAN"))</f>
        <v/>
      </c>
    </row>
    <row r="1621" customFormat="false" ht="15" hidden="false" customHeight="false" outlineLevel="0" collapsed="false">
      <c r="A1621" s="55"/>
      <c r="B1621" s="56"/>
      <c r="C1621" s="56"/>
      <c r="D1621" s="56"/>
      <c r="E1621" s="56"/>
      <c r="F1621" s="56"/>
      <c r="G1621" s="58"/>
      <c r="H1621" s="56"/>
      <c r="I1621" s="61" t="str">
        <f aca="false">IF(IsPro,IF(OR($C1621="",N($G1621)=0),"",IF(OR($C1621="Receipt",$C1621="Other Income",$C1621="Capital In",$C1621="Transfer In"),$G1621,0)),"")</f>
        <v/>
      </c>
      <c r="J1621" s="61" t="str">
        <f aca="false">IF(IsPro,IF(OR($C1621="",N($G1621)=0),"",IF(I1621=0,$G1621,0)),"")</f>
        <v/>
      </c>
      <c r="K1621" s="60" t="str">
        <f aca="false">IF(IsPro,IF($C1621="","",IF(AND(OR($C1621="Receipt",$C1621="Payment"),$D1621=""),"Party needed",IF(AND(OR($C1621="Expense",$C1621="Other Income"),$E1621=""),"Head needed",IF($F1621="","Account needed","OK")))),IF($C1621="","","PRO PLAN"))</f>
        <v/>
      </c>
    </row>
    <row r="1622" customFormat="false" ht="15" hidden="false" customHeight="false" outlineLevel="0" collapsed="false">
      <c r="A1622" s="55"/>
      <c r="B1622" s="56"/>
      <c r="C1622" s="56"/>
      <c r="D1622" s="56"/>
      <c r="E1622" s="56"/>
      <c r="F1622" s="56"/>
      <c r="G1622" s="58"/>
      <c r="H1622" s="56"/>
      <c r="I1622" s="61" t="str">
        <f aca="false">IF(IsPro,IF(OR($C1622="",N($G1622)=0),"",IF(OR($C1622="Receipt",$C1622="Other Income",$C1622="Capital In",$C1622="Transfer In"),$G1622,0)),"")</f>
        <v/>
      </c>
      <c r="J1622" s="61" t="str">
        <f aca="false">IF(IsPro,IF(OR($C1622="",N($G1622)=0),"",IF(I1622=0,$G1622,0)),"")</f>
        <v/>
      </c>
      <c r="K1622" s="60" t="str">
        <f aca="false">IF(IsPro,IF($C1622="","",IF(AND(OR($C1622="Receipt",$C1622="Payment"),$D1622=""),"Party needed",IF(AND(OR($C1622="Expense",$C1622="Other Income"),$E1622=""),"Head needed",IF($F1622="","Account needed","OK")))),IF($C1622="","","PRO PLAN"))</f>
        <v/>
      </c>
    </row>
    <row r="1623" customFormat="false" ht="15" hidden="false" customHeight="false" outlineLevel="0" collapsed="false">
      <c r="A1623" s="55"/>
      <c r="B1623" s="56"/>
      <c r="C1623" s="56"/>
      <c r="D1623" s="56"/>
      <c r="E1623" s="56"/>
      <c r="F1623" s="56"/>
      <c r="G1623" s="58"/>
      <c r="H1623" s="56"/>
      <c r="I1623" s="61" t="str">
        <f aca="false">IF(IsPro,IF(OR($C1623="",N($G1623)=0),"",IF(OR($C1623="Receipt",$C1623="Other Income",$C1623="Capital In",$C1623="Transfer In"),$G1623,0)),"")</f>
        <v/>
      </c>
      <c r="J1623" s="61" t="str">
        <f aca="false">IF(IsPro,IF(OR($C1623="",N($G1623)=0),"",IF(I1623=0,$G1623,0)),"")</f>
        <v/>
      </c>
      <c r="K1623" s="60" t="str">
        <f aca="false">IF(IsPro,IF($C1623="","",IF(AND(OR($C1623="Receipt",$C1623="Payment"),$D1623=""),"Party needed",IF(AND(OR($C1623="Expense",$C1623="Other Income"),$E1623=""),"Head needed",IF($F1623="","Account needed","OK")))),IF($C1623="","","PRO PLAN"))</f>
        <v/>
      </c>
    </row>
    <row r="1624" customFormat="false" ht="15" hidden="false" customHeight="false" outlineLevel="0" collapsed="false">
      <c r="A1624" s="55"/>
      <c r="B1624" s="56"/>
      <c r="C1624" s="56"/>
      <c r="D1624" s="56"/>
      <c r="E1624" s="56"/>
      <c r="F1624" s="56"/>
      <c r="G1624" s="58"/>
      <c r="H1624" s="56"/>
      <c r="I1624" s="61" t="str">
        <f aca="false">IF(IsPro,IF(OR($C1624="",N($G1624)=0),"",IF(OR($C1624="Receipt",$C1624="Other Income",$C1624="Capital In",$C1624="Transfer In"),$G1624,0)),"")</f>
        <v/>
      </c>
      <c r="J1624" s="61" t="str">
        <f aca="false">IF(IsPro,IF(OR($C1624="",N($G1624)=0),"",IF(I1624=0,$G1624,0)),"")</f>
        <v/>
      </c>
      <c r="K1624" s="60" t="str">
        <f aca="false">IF(IsPro,IF($C1624="","",IF(AND(OR($C1624="Receipt",$C1624="Payment"),$D1624=""),"Party needed",IF(AND(OR($C1624="Expense",$C1624="Other Income"),$E1624=""),"Head needed",IF($F1624="","Account needed","OK")))),IF($C1624="","","PRO PLAN"))</f>
        <v/>
      </c>
    </row>
    <row r="1625" customFormat="false" ht="15" hidden="false" customHeight="false" outlineLevel="0" collapsed="false">
      <c r="A1625" s="55"/>
      <c r="B1625" s="56"/>
      <c r="C1625" s="56"/>
      <c r="D1625" s="56"/>
      <c r="E1625" s="56"/>
      <c r="F1625" s="56"/>
      <c r="G1625" s="58"/>
      <c r="H1625" s="56"/>
      <c r="I1625" s="61" t="str">
        <f aca="false">IF(IsPro,IF(OR($C1625="",N($G1625)=0),"",IF(OR($C1625="Receipt",$C1625="Other Income",$C1625="Capital In",$C1625="Transfer In"),$G1625,0)),"")</f>
        <v/>
      </c>
      <c r="J1625" s="61" t="str">
        <f aca="false">IF(IsPro,IF(OR($C1625="",N($G1625)=0),"",IF(I1625=0,$G1625,0)),"")</f>
        <v/>
      </c>
      <c r="K1625" s="60" t="str">
        <f aca="false">IF(IsPro,IF($C1625="","",IF(AND(OR($C1625="Receipt",$C1625="Payment"),$D1625=""),"Party needed",IF(AND(OR($C1625="Expense",$C1625="Other Income"),$E1625=""),"Head needed",IF($F1625="","Account needed","OK")))),IF($C1625="","","PRO PLAN"))</f>
        <v/>
      </c>
    </row>
    <row r="1626" customFormat="false" ht="15" hidden="false" customHeight="false" outlineLevel="0" collapsed="false">
      <c r="A1626" s="55"/>
      <c r="B1626" s="56"/>
      <c r="C1626" s="56"/>
      <c r="D1626" s="56"/>
      <c r="E1626" s="56"/>
      <c r="F1626" s="56"/>
      <c r="G1626" s="58"/>
      <c r="H1626" s="56"/>
      <c r="I1626" s="61" t="str">
        <f aca="false">IF(IsPro,IF(OR($C1626="",N($G1626)=0),"",IF(OR($C1626="Receipt",$C1626="Other Income",$C1626="Capital In",$C1626="Transfer In"),$G1626,0)),"")</f>
        <v/>
      </c>
      <c r="J1626" s="61" t="str">
        <f aca="false">IF(IsPro,IF(OR($C1626="",N($G1626)=0),"",IF(I1626=0,$G1626,0)),"")</f>
        <v/>
      </c>
      <c r="K1626" s="60" t="str">
        <f aca="false">IF(IsPro,IF($C1626="","",IF(AND(OR($C1626="Receipt",$C1626="Payment"),$D1626=""),"Party needed",IF(AND(OR($C1626="Expense",$C1626="Other Income"),$E1626=""),"Head needed",IF($F1626="","Account needed","OK")))),IF($C1626="","","PRO PLAN"))</f>
        <v/>
      </c>
    </row>
    <row r="1627" customFormat="false" ht="15" hidden="false" customHeight="false" outlineLevel="0" collapsed="false">
      <c r="A1627" s="55"/>
      <c r="B1627" s="56"/>
      <c r="C1627" s="56"/>
      <c r="D1627" s="56"/>
      <c r="E1627" s="56"/>
      <c r="F1627" s="56"/>
      <c r="G1627" s="58"/>
      <c r="H1627" s="56"/>
      <c r="I1627" s="61" t="str">
        <f aca="false">IF(IsPro,IF(OR($C1627="",N($G1627)=0),"",IF(OR($C1627="Receipt",$C1627="Other Income",$C1627="Capital In",$C1627="Transfer In"),$G1627,0)),"")</f>
        <v/>
      </c>
      <c r="J1627" s="61" t="str">
        <f aca="false">IF(IsPro,IF(OR($C1627="",N($G1627)=0),"",IF(I1627=0,$G1627,0)),"")</f>
        <v/>
      </c>
      <c r="K1627" s="60" t="str">
        <f aca="false">IF(IsPro,IF($C1627="","",IF(AND(OR($C1627="Receipt",$C1627="Payment"),$D1627=""),"Party needed",IF(AND(OR($C1627="Expense",$C1627="Other Income"),$E1627=""),"Head needed",IF($F1627="","Account needed","OK")))),IF($C1627="","","PRO PLAN"))</f>
        <v/>
      </c>
    </row>
    <row r="1628" customFormat="false" ht="15" hidden="false" customHeight="false" outlineLevel="0" collapsed="false">
      <c r="A1628" s="55"/>
      <c r="B1628" s="56"/>
      <c r="C1628" s="56"/>
      <c r="D1628" s="56"/>
      <c r="E1628" s="56"/>
      <c r="F1628" s="56"/>
      <c r="G1628" s="58"/>
      <c r="H1628" s="56"/>
      <c r="I1628" s="61" t="str">
        <f aca="false">IF(IsPro,IF(OR($C1628="",N($G1628)=0),"",IF(OR($C1628="Receipt",$C1628="Other Income",$C1628="Capital In",$C1628="Transfer In"),$G1628,0)),"")</f>
        <v/>
      </c>
      <c r="J1628" s="61" t="str">
        <f aca="false">IF(IsPro,IF(OR($C1628="",N($G1628)=0),"",IF(I1628=0,$G1628,0)),"")</f>
        <v/>
      </c>
      <c r="K1628" s="60" t="str">
        <f aca="false">IF(IsPro,IF($C1628="","",IF(AND(OR($C1628="Receipt",$C1628="Payment"),$D1628=""),"Party needed",IF(AND(OR($C1628="Expense",$C1628="Other Income"),$E1628=""),"Head needed",IF($F1628="","Account needed","OK")))),IF($C1628="","","PRO PLAN"))</f>
        <v/>
      </c>
    </row>
    <row r="1629" customFormat="false" ht="15" hidden="false" customHeight="false" outlineLevel="0" collapsed="false">
      <c r="A1629" s="55"/>
      <c r="B1629" s="56"/>
      <c r="C1629" s="56"/>
      <c r="D1629" s="56"/>
      <c r="E1629" s="56"/>
      <c r="F1629" s="56"/>
      <c r="G1629" s="58"/>
      <c r="H1629" s="56"/>
      <c r="I1629" s="61" t="str">
        <f aca="false">IF(IsPro,IF(OR($C1629="",N($G1629)=0),"",IF(OR($C1629="Receipt",$C1629="Other Income",$C1629="Capital In",$C1629="Transfer In"),$G1629,0)),"")</f>
        <v/>
      </c>
      <c r="J1629" s="61" t="str">
        <f aca="false">IF(IsPro,IF(OR($C1629="",N($G1629)=0),"",IF(I1629=0,$G1629,0)),"")</f>
        <v/>
      </c>
      <c r="K1629" s="60" t="str">
        <f aca="false">IF(IsPro,IF($C1629="","",IF(AND(OR($C1629="Receipt",$C1629="Payment"),$D1629=""),"Party needed",IF(AND(OR($C1629="Expense",$C1629="Other Income"),$E1629=""),"Head needed",IF($F1629="","Account needed","OK")))),IF($C1629="","","PRO PLAN"))</f>
        <v/>
      </c>
    </row>
    <row r="1630" customFormat="false" ht="15" hidden="false" customHeight="false" outlineLevel="0" collapsed="false">
      <c r="A1630" s="55"/>
      <c r="B1630" s="56"/>
      <c r="C1630" s="56"/>
      <c r="D1630" s="56"/>
      <c r="E1630" s="56"/>
      <c r="F1630" s="56"/>
      <c r="G1630" s="58"/>
      <c r="H1630" s="56"/>
      <c r="I1630" s="61" t="str">
        <f aca="false">IF(IsPro,IF(OR($C1630="",N($G1630)=0),"",IF(OR($C1630="Receipt",$C1630="Other Income",$C1630="Capital In",$C1630="Transfer In"),$G1630,0)),"")</f>
        <v/>
      </c>
      <c r="J1630" s="61" t="str">
        <f aca="false">IF(IsPro,IF(OR($C1630="",N($G1630)=0),"",IF(I1630=0,$G1630,0)),"")</f>
        <v/>
      </c>
      <c r="K1630" s="60" t="str">
        <f aca="false">IF(IsPro,IF($C1630="","",IF(AND(OR($C1630="Receipt",$C1630="Payment"),$D1630=""),"Party needed",IF(AND(OR($C1630="Expense",$C1630="Other Income"),$E1630=""),"Head needed",IF($F1630="","Account needed","OK")))),IF($C1630="","","PRO PLAN"))</f>
        <v/>
      </c>
    </row>
    <row r="1631" customFormat="false" ht="15" hidden="false" customHeight="false" outlineLevel="0" collapsed="false">
      <c r="A1631" s="55"/>
      <c r="B1631" s="56"/>
      <c r="C1631" s="56"/>
      <c r="D1631" s="56"/>
      <c r="E1631" s="56"/>
      <c r="F1631" s="56"/>
      <c r="G1631" s="58"/>
      <c r="H1631" s="56"/>
      <c r="I1631" s="61" t="str">
        <f aca="false">IF(IsPro,IF(OR($C1631="",N($G1631)=0),"",IF(OR($C1631="Receipt",$C1631="Other Income",$C1631="Capital In",$C1631="Transfer In"),$G1631,0)),"")</f>
        <v/>
      </c>
      <c r="J1631" s="61" t="str">
        <f aca="false">IF(IsPro,IF(OR($C1631="",N($G1631)=0),"",IF(I1631=0,$G1631,0)),"")</f>
        <v/>
      </c>
      <c r="K1631" s="60" t="str">
        <f aca="false">IF(IsPro,IF($C1631="","",IF(AND(OR($C1631="Receipt",$C1631="Payment"),$D1631=""),"Party needed",IF(AND(OR($C1631="Expense",$C1631="Other Income"),$E1631=""),"Head needed",IF($F1631="","Account needed","OK")))),IF($C1631="","","PRO PLAN"))</f>
        <v/>
      </c>
    </row>
    <row r="1632" customFormat="false" ht="15" hidden="false" customHeight="false" outlineLevel="0" collapsed="false">
      <c r="A1632" s="55"/>
      <c r="B1632" s="56"/>
      <c r="C1632" s="56"/>
      <c r="D1632" s="56"/>
      <c r="E1632" s="56"/>
      <c r="F1632" s="56"/>
      <c r="G1632" s="58"/>
      <c r="H1632" s="56"/>
      <c r="I1632" s="61" t="str">
        <f aca="false">IF(IsPro,IF(OR($C1632="",N($G1632)=0),"",IF(OR($C1632="Receipt",$C1632="Other Income",$C1632="Capital In",$C1632="Transfer In"),$G1632,0)),"")</f>
        <v/>
      </c>
      <c r="J1632" s="61" t="str">
        <f aca="false">IF(IsPro,IF(OR($C1632="",N($G1632)=0),"",IF(I1632=0,$G1632,0)),"")</f>
        <v/>
      </c>
      <c r="K1632" s="60" t="str">
        <f aca="false">IF(IsPro,IF($C1632="","",IF(AND(OR($C1632="Receipt",$C1632="Payment"),$D1632=""),"Party needed",IF(AND(OR($C1632="Expense",$C1632="Other Income"),$E1632=""),"Head needed",IF($F1632="","Account needed","OK")))),IF($C1632="","","PRO PLAN"))</f>
        <v/>
      </c>
    </row>
    <row r="1633" customFormat="false" ht="15" hidden="false" customHeight="false" outlineLevel="0" collapsed="false">
      <c r="A1633" s="55"/>
      <c r="B1633" s="56"/>
      <c r="C1633" s="56"/>
      <c r="D1633" s="56"/>
      <c r="E1633" s="56"/>
      <c r="F1633" s="56"/>
      <c r="G1633" s="58"/>
      <c r="H1633" s="56"/>
      <c r="I1633" s="61" t="str">
        <f aca="false">IF(IsPro,IF(OR($C1633="",N($G1633)=0),"",IF(OR($C1633="Receipt",$C1633="Other Income",$C1633="Capital In",$C1633="Transfer In"),$G1633,0)),"")</f>
        <v/>
      </c>
      <c r="J1633" s="61" t="str">
        <f aca="false">IF(IsPro,IF(OR($C1633="",N($G1633)=0),"",IF(I1633=0,$G1633,0)),"")</f>
        <v/>
      </c>
      <c r="K1633" s="60" t="str">
        <f aca="false">IF(IsPro,IF($C1633="","",IF(AND(OR($C1633="Receipt",$C1633="Payment"),$D1633=""),"Party needed",IF(AND(OR($C1633="Expense",$C1633="Other Income"),$E1633=""),"Head needed",IF($F1633="","Account needed","OK")))),IF($C1633="","","PRO PLAN"))</f>
        <v/>
      </c>
    </row>
    <row r="1634" customFormat="false" ht="15" hidden="false" customHeight="false" outlineLevel="0" collapsed="false">
      <c r="A1634" s="55"/>
      <c r="B1634" s="56"/>
      <c r="C1634" s="56"/>
      <c r="D1634" s="56"/>
      <c r="E1634" s="56"/>
      <c r="F1634" s="56"/>
      <c r="G1634" s="58"/>
      <c r="H1634" s="56"/>
      <c r="I1634" s="61" t="str">
        <f aca="false">IF(IsPro,IF(OR($C1634="",N($G1634)=0),"",IF(OR($C1634="Receipt",$C1634="Other Income",$C1634="Capital In",$C1634="Transfer In"),$G1634,0)),"")</f>
        <v/>
      </c>
      <c r="J1634" s="61" t="str">
        <f aca="false">IF(IsPro,IF(OR($C1634="",N($G1634)=0),"",IF(I1634=0,$G1634,0)),"")</f>
        <v/>
      </c>
      <c r="K1634" s="60" t="str">
        <f aca="false">IF(IsPro,IF($C1634="","",IF(AND(OR($C1634="Receipt",$C1634="Payment"),$D1634=""),"Party needed",IF(AND(OR($C1634="Expense",$C1634="Other Income"),$E1634=""),"Head needed",IF($F1634="","Account needed","OK")))),IF($C1634="","","PRO PLAN"))</f>
        <v/>
      </c>
    </row>
    <row r="1635" customFormat="false" ht="15" hidden="false" customHeight="false" outlineLevel="0" collapsed="false">
      <c r="A1635" s="55"/>
      <c r="B1635" s="56"/>
      <c r="C1635" s="56"/>
      <c r="D1635" s="56"/>
      <c r="E1635" s="56"/>
      <c r="F1635" s="56"/>
      <c r="G1635" s="58"/>
      <c r="H1635" s="56"/>
      <c r="I1635" s="61" t="str">
        <f aca="false">IF(IsPro,IF(OR($C1635="",N($G1635)=0),"",IF(OR($C1635="Receipt",$C1635="Other Income",$C1635="Capital In",$C1635="Transfer In"),$G1635,0)),"")</f>
        <v/>
      </c>
      <c r="J1635" s="61" t="str">
        <f aca="false">IF(IsPro,IF(OR($C1635="",N($G1635)=0),"",IF(I1635=0,$G1635,0)),"")</f>
        <v/>
      </c>
      <c r="K1635" s="60" t="str">
        <f aca="false">IF(IsPro,IF($C1635="","",IF(AND(OR($C1635="Receipt",$C1635="Payment"),$D1635=""),"Party needed",IF(AND(OR($C1635="Expense",$C1635="Other Income"),$E1635=""),"Head needed",IF($F1635="","Account needed","OK")))),IF($C1635="","","PRO PLAN"))</f>
        <v/>
      </c>
    </row>
    <row r="1636" customFormat="false" ht="15" hidden="false" customHeight="false" outlineLevel="0" collapsed="false">
      <c r="A1636" s="55"/>
      <c r="B1636" s="56"/>
      <c r="C1636" s="56"/>
      <c r="D1636" s="56"/>
      <c r="E1636" s="56"/>
      <c r="F1636" s="56"/>
      <c r="G1636" s="58"/>
      <c r="H1636" s="56"/>
      <c r="I1636" s="61" t="str">
        <f aca="false">IF(IsPro,IF(OR($C1636="",N($G1636)=0),"",IF(OR($C1636="Receipt",$C1636="Other Income",$C1636="Capital In",$C1636="Transfer In"),$G1636,0)),"")</f>
        <v/>
      </c>
      <c r="J1636" s="61" t="str">
        <f aca="false">IF(IsPro,IF(OR($C1636="",N($G1636)=0),"",IF(I1636=0,$G1636,0)),"")</f>
        <v/>
      </c>
      <c r="K1636" s="60" t="str">
        <f aca="false">IF(IsPro,IF($C1636="","",IF(AND(OR($C1636="Receipt",$C1636="Payment"),$D1636=""),"Party needed",IF(AND(OR($C1636="Expense",$C1636="Other Income"),$E1636=""),"Head needed",IF($F1636="","Account needed","OK")))),IF($C1636="","","PRO PLAN"))</f>
        <v/>
      </c>
    </row>
    <row r="1637" customFormat="false" ht="15" hidden="false" customHeight="false" outlineLevel="0" collapsed="false">
      <c r="A1637" s="55"/>
      <c r="B1637" s="56"/>
      <c r="C1637" s="56"/>
      <c r="D1637" s="56"/>
      <c r="E1637" s="56"/>
      <c r="F1637" s="56"/>
      <c r="G1637" s="58"/>
      <c r="H1637" s="56"/>
      <c r="I1637" s="61" t="str">
        <f aca="false">IF(IsPro,IF(OR($C1637="",N($G1637)=0),"",IF(OR($C1637="Receipt",$C1637="Other Income",$C1637="Capital In",$C1637="Transfer In"),$G1637,0)),"")</f>
        <v/>
      </c>
      <c r="J1637" s="61" t="str">
        <f aca="false">IF(IsPro,IF(OR($C1637="",N($G1637)=0),"",IF(I1637=0,$G1637,0)),"")</f>
        <v/>
      </c>
      <c r="K1637" s="60" t="str">
        <f aca="false">IF(IsPro,IF($C1637="","",IF(AND(OR($C1637="Receipt",$C1637="Payment"),$D1637=""),"Party needed",IF(AND(OR($C1637="Expense",$C1637="Other Income"),$E1637=""),"Head needed",IF($F1637="","Account needed","OK")))),IF($C1637="","","PRO PLAN"))</f>
        <v/>
      </c>
    </row>
    <row r="1638" customFormat="false" ht="15" hidden="false" customHeight="false" outlineLevel="0" collapsed="false">
      <c r="A1638" s="55"/>
      <c r="B1638" s="56"/>
      <c r="C1638" s="56"/>
      <c r="D1638" s="56"/>
      <c r="E1638" s="56"/>
      <c r="F1638" s="56"/>
      <c r="G1638" s="58"/>
      <c r="H1638" s="56"/>
      <c r="I1638" s="61" t="str">
        <f aca="false">IF(IsPro,IF(OR($C1638="",N($G1638)=0),"",IF(OR($C1638="Receipt",$C1638="Other Income",$C1638="Capital In",$C1638="Transfer In"),$G1638,0)),"")</f>
        <v/>
      </c>
      <c r="J1638" s="61" t="str">
        <f aca="false">IF(IsPro,IF(OR($C1638="",N($G1638)=0),"",IF(I1638=0,$G1638,0)),"")</f>
        <v/>
      </c>
      <c r="K1638" s="60" t="str">
        <f aca="false">IF(IsPro,IF($C1638="","",IF(AND(OR($C1638="Receipt",$C1638="Payment"),$D1638=""),"Party needed",IF(AND(OR($C1638="Expense",$C1638="Other Income"),$E1638=""),"Head needed",IF($F1638="","Account needed","OK")))),IF($C1638="","","PRO PLAN"))</f>
        <v/>
      </c>
    </row>
    <row r="1639" customFormat="false" ht="15" hidden="false" customHeight="false" outlineLevel="0" collapsed="false">
      <c r="A1639" s="55"/>
      <c r="B1639" s="56"/>
      <c r="C1639" s="56"/>
      <c r="D1639" s="56"/>
      <c r="E1639" s="56"/>
      <c r="F1639" s="56"/>
      <c r="G1639" s="58"/>
      <c r="H1639" s="56"/>
      <c r="I1639" s="61" t="str">
        <f aca="false">IF(IsPro,IF(OR($C1639="",N($G1639)=0),"",IF(OR($C1639="Receipt",$C1639="Other Income",$C1639="Capital In",$C1639="Transfer In"),$G1639,0)),"")</f>
        <v/>
      </c>
      <c r="J1639" s="61" t="str">
        <f aca="false">IF(IsPro,IF(OR($C1639="",N($G1639)=0),"",IF(I1639=0,$G1639,0)),"")</f>
        <v/>
      </c>
      <c r="K1639" s="60" t="str">
        <f aca="false">IF(IsPro,IF($C1639="","",IF(AND(OR($C1639="Receipt",$C1639="Payment"),$D1639=""),"Party needed",IF(AND(OR($C1639="Expense",$C1639="Other Income"),$E1639=""),"Head needed",IF($F1639="","Account needed","OK")))),IF($C1639="","","PRO PLAN"))</f>
        <v/>
      </c>
    </row>
    <row r="1640" customFormat="false" ht="15" hidden="false" customHeight="false" outlineLevel="0" collapsed="false">
      <c r="A1640" s="55"/>
      <c r="B1640" s="56"/>
      <c r="C1640" s="56"/>
      <c r="D1640" s="56"/>
      <c r="E1640" s="56"/>
      <c r="F1640" s="56"/>
      <c r="G1640" s="58"/>
      <c r="H1640" s="56"/>
      <c r="I1640" s="61" t="str">
        <f aca="false">IF(IsPro,IF(OR($C1640="",N($G1640)=0),"",IF(OR($C1640="Receipt",$C1640="Other Income",$C1640="Capital In",$C1640="Transfer In"),$G1640,0)),"")</f>
        <v/>
      </c>
      <c r="J1640" s="61" t="str">
        <f aca="false">IF(IsPro,IF(OR($C1640="",N($G1640)=0),"",IF(I1640=0,$G1640,0)),"")</f>
        <v/>
      </c>
      <c r="K1640" s="60" t="str">
        <f aca="false">IF(IsPro,IF($C1640="","",IF(AND(OR($C1640="Receipt",$C1640="Payment"),$D1640=""),"Party needed",IF(AND(OR($C1640="Expense",$C1640="Other Income"),$E1640=""),"Head needed",IF($F1640="","Account needed","OK")))),IF($C1640="","","PRO PLAN"))</f>
        <v/>
      </c>
    </row>
    <row r="1641" customFormat="false" ht="15" hidden="false" customHeight="false" outlineLevel="0" collapsed="false">
      <c r="A1641" s="55"/>
      <c r="B1641" s="56"/>
      <c r="C1641" s="56"/>
      <c r="D1641" s="56"/>
      <c r="E1641" s="56"/>
      <c r="F1641" s="56"/>
      <c r="G1641" s="58"/>
      <c r="H1641" s="56"/>
      <c r="I1641" s="61" t="str">
        <f aca="false">IF(IsPro,IF(OR($C1641="",N($G1641)=0),"",IF(OR($C1641="Receipt",$C1641="Other Income",$C1641="Capital In",$C1641="Transfer In"),$G1641,0)),"")</f>
        <v/>
      </c>
      <c r="J1641" s="61" t="str">
        <f aca="false">IF(IsPro,IF(OR($C1641="",N($G1641)=0),"",IF(I1641=0,$G1641,0)),"")</f>
        <v/>
      </c>
      <c r="K1641" s="60" t="str">
        <f aca="false">IF(IsPro,IF($C1641="","",IF(AND(OR($C1641="Receipt",$C1641="Payment"),$D1641=""),"Party needed",IF(AND(OR($C1641="Expense",$C1641="Other Income"),$E1641=""),"Head needed",IF($F1641="","Account needed","OK")))),IF($C1641="","","PRO PLAN"))</f>
        <v/>
      </c>
    </row>
    <row r="1642" customFormat="false" ht="15" hidden="false" customHeight="false" outlineLevel="0" collapsed="false">
      <c r="A1642" s="55"/>
      <c r="B1642" s="56"/>
      <c r="C1642" s="56"/>
      <c r="D1642" s="56"/>
      <c r="E1642" s="56"/>
      <c r="F1642" s="56"/>
      <c r="G1642" s="58"/>
      <c r="H1642" s="56"/>
      <c r="I1642" s="61" t="str">
        <f aca="false">IF(IsPro,IF(OR($C1642="",N($G1642)=0),"",IF(OR($C1642="Receipt",$C1642="Other Income",$C1642="Capital In",$C1642="Transfer In"),$G1642,0)),"")</f>
        <v/>
      </c>
      <c r="J1642" s="61" t="str">
        <f aca="false">IF(IsPro,IF(OR($C1642="",N($G1642)=0),"",IF(I1642=0,$G1642,0)),"")</f>
        <v/>
      </c>
      <c r="K1642" s="60" t="str">
        <f aca="false">IF(IsPro,IF($C1642="","",IF(AND(OR($C1642="Receipt",$C1642="Payment"),$D1642=""),"Party needed",IF(AND(OR($C1642="Expense",$C1642="Other Income"),$E1642=""),"Head needed",IF($F1642="","Account needed","OK")))),IF($C1642="","","PRO PLAN"))</f>
        <v/>
      </c>
    </row>
    <row r="1643" customFormat="false" ht="15" hidden="false" customHeight="false" outlineLevel="0" collapsed="false">
      <c r="A1643" s="55"/>
      <c r="B1643" s="56"/>
      <c r="C1643" s="56"/>
      <c r="D1643" s="56"/>
      <c r="E1643" s="56"/>
      <c r="F1643" s="56"/>
      <c r="G1643" s="58"/>
      <c r="H1643" s="56"/>
      <c r="I1643" s="61" t="str">
        <f aca="false">IF(IsPro,IF(OR($C1643="",N($G1643)=0),"",IF(OR($C1643="Receipt",$C1643="Other Income",$C1643="Capital In",$C1643="Transfer In"),$G1643,0)),"")</f>
        <v/>
      </c>
      <c r="J1643" s="61" t="str">
        <f aca="false">IF(IsPro,IF(OR($C1643="",N($G1643)=0),"",IF(I1643=0,$G1643,0)),"")</f>
        <v/>
      </c>
      <c r="K1643" s="60" t="str">
        <f aca="false">IF(IsPro,IF($C1643="","",IF(AND(OR($C1643="Receipt",$C1643="Payment"),$D1643=""),"Party needed",IF(AND(OR($C1643="Expense",$C1643="Other Income"),$E1643=""),"Head needed",IF($F1643="","Account needed","OK")))),IF($C1643="","","PRO PLAN"))</f>
        <v/>
      </c>
    </row>
    <row r="1644" customFormat="false" ht="15" hidden="false" customHeight="false" outlineLevel="0" collapsed="false">
      <c r="A1644" s="55"/>
      <c r="B1644" s="56"/>
      <c r="C1644" s="56"/>
      <c r="D1644" s="56"/>
      <c r="E1644" s="56"/>
      <c r="F1644" s="56"/>
      <c r="G1644" s="58"/>
      <c r="H1644" s="56"/>
      <c r="I1644" s="61" t="str">
        <f aca="false">IF(IsPro,IF(OR($C1644="",N($G1644)=0),"",IF(OR($C1644="Receipt",$C1644="Other Income",$C1644="Capital In",$C1644="Transfer In"),$G1644,0)),"")</f>
        <v/>
      </c>
      <c r="J1644" s="61" t="str">
        <f aca="false">IF(IsPro,IF(OR($C1644="",N($G1644)=0),"",IF(I1644=0,$G1644,0)),"")</f>
        <v/>
      </c>
      <c r="K1644" s="60" t="str">
        <f aca="false">IF(IsPro,IF($C1644="","",IF(AND(OR($C1644="Receipt",$C1644="Payment"),$D1644=""),"Party needed",IF(AND(OR($C1644="Expense",$C1644="Other Income"),$E1644=""),"Head needed",IF($F1644="","Account needed","OK")))),IF($C1644="","","PRO PLAN"))</f>
        <v/>
      </c>
    </row>
    <row r="1645" customFormat="false" ht="15" hidden="false" customHeight="false" outlineLevel="0" collapsed="false">
      <c r="A1645" s="55"/>
      <c r="B1645" s="56"/>
      <c r="C1645" s="56"/>
      <c r="D1645" s="56"/>
      <c r="E1645" s="56"/>
      <c r="F1645" s="56"/>
      <c r="G1645" s="58"/>
      <c r="H1645" s="56"/>
      <c r="I1645" s="61" t="str">
        <f aca="false">IF(IsPro,IF(OR($C1645="",N($G1645)=0),"",IF(OR($C1645="Receipt",$C1645="Other Income",$C1645="Capital In",$C1645="Transfer In"),$G1645,0)),"")</f>
        <v/>
      </c>
      <c r="J1645" s="61" t="str">
        <f aca="false">IF(IsPro,IF(OR($C1645="",N($G1645)=0),"",IF(I1645=0,$G1645,0)),"")</f>
        <v/>
      </c>
      <c r="K1645" s="60" t="str">
        <f aca="false">IF(IsPro,IF($C1645="","",IF(AND(OR($C1645="Receipt",$C1645="Payment"),$D1645=""),"Party needed",IF(AND(OR($C1645="Expense",$C1645="Other Income"),$E1645=""),"Head needed",IF($F1645="","Account needed","OK")))),IF($C1645="","","PRO PLAN"))</f>
        <v/>
      </c>
    </row>
    <row r="1646" customFormat="false" ht="15" hidden="false" customHeight="false" outlineLevel="0" collapsed="false">
      <c r="A1646" s="55"/>
      <c r="B1646" s="56"/>
      <c r="C1646" s="56"/>
      <c r="D1646" s="56"/>
      <c r="E1646" s="56"/>
      <c r="F1646" s="56"/>
      <c r="G1646" s="58"/>
      <c r="H1646" s="56"/>
      <c r="I1646" s="61" t="str">
        <f aca="false">IF(IsPro,IF(OR($C1646="",N($G1646)=0),"",IF(OR($C1646="Receipt",$C1646="Other Income",$C1646="Capital In",$C1646="Transfer In"),$G1646,0)),"")</f>
        <v/>
      </c>
      <c r="J1646" s="61" t="str">
        <f aca="false">IF(IsPro,IF(OR($C1646="",N($G1646)=0),"",IF(I1646=0,$G1646,0)),"")</f>
        <v/>
      </c>
      <c r="K1646" s="60" t="str">
        <f aca="false">IF(IsPro,IF($C1646="","",IF(AND(OR($C1646="Receipt",$C1646="Payment"),$D1646=""),"Party needed",IF(AND(OR($C1646="Expense",$C1646="Other Income"),$E1646=""),"Head needed",IF($F1646="","Account needed","OK")))),IF($C1646="","","PRO PLAN"))</f>
        <v/>
      </c>
    </row>
    <row r="1647" customFormat="false" ht="15" hidden="false" customHeight="false" outlineLevel="0" collapsed="false">
      <c r="A1647" s="55"/>
      <c r="B1647" s="56"/>
      <c r="C1647" s="56"/>
      <c r="D1647" s="56"/>
      <c r="E1647" s="56"/>
      <c r="F1647" s="56"/>
      <c r="G1647" s="58"/>
      <c r="H1647" s="56"/>
      <c r="I1647" s="61" t="str">
        <f aca="false">IF(IsPro,IF(OR($C1647="",N($G1647)=0),"",IF(OR($C1647="Receipt",$C1647="Other Income",$C1647="Capital In",$C1647="Transfer In"),$G1647,0)),"")</f>
        <v/>
      </c>
      <c r="J1647" s="61" t="str">
        <f aca="false">IF(IsPro,IF(OR($C1647="",N($G1647)=0),"",IF(I1647=0,$G1647,0)),"")</f>
        <v/>
      </c>
      <c r="K1647" s="60" t="str">
        <f aca="false">IF(IsPro,IF($C1647="","",IF(AND(OR($C1647="Receipt",$C1647="Payment"),$D1647=""),"Party needed",IF(AND(OR($C1647="Expense",$C1647="Other Income"),$E1647=""),"Head needed",IF($F1647="","Account needed","OK")))),IF($C1647="","","PRO PLAN"))</f>
        <v/>
      </c>
    </row>
    <row r="1648" customFormat="false" ht="15" hidden="false" customHeight="false" outlineLevel="0" collapsed="false">
      <c r="A1648" s="55"/>
      <c r="B1648" s="56"/>
      <c r="C1648" s="56"/>
      <c r="D1648" s="56"/>
      <c r="E1648" s="56"/>
      <c r="F1648" s="56"/>
      <c r="G1648" s="58"/>
      <c r="H1648" s="56"/>
      <c r="I1648" s="61" t="str">
        <f aca="false">IF(IsPro,IF(OR($C1648="",N($G1648)=0),"",IF(OR($C1648="Receipt",$C1648="Other Income",$C1648="Capital In",$C1648="Transfer In"),$G1648,0)),"")</f>
        <v/>
      </c>
      <c r="J1648" s="61" t="str">
        <f aca="false">IF(IsPro,IF(OR($C1648="",N($G1648)=0),"",IF(I1648=0,$G1648,0)),"")</f>
        <v/>
      </c>
      <c r="K1648" s="60" t="str">
        <f aca="false">IF(IsPro,IF($C1648="","",IF(AND(OR($C1648="Receipt",$C1648="Payment"),$D1648=""),"Party needed",IF(AND(OR($C1648="Expense",$C1648="Other Income"),$E1648=""),"Head needed",IF($F1648="","Account needed","OK")))),IF($C1648="","","PRO PLAN"))</f>
        <v/>
      </c>
    </row>
    <row r="1649" customFormat="false" ht="15" hidden="false" customHeight="false" outlineLevel="0" collapsed="false">
      <c r="A1649" s="55"/>
      <c r="B1649" s="56"/>
      <c r="C1649" s="56"/>
      <c r="D1649" s="56"/>
      <c r="E1649" s="56"/>
      <c r="F1649" s="56"/>
      <c r="G1649" s="58"/>
      <c r="H1649" s="56"/>
      <c r="I1649" s="61" t="str">
        <f aca="false">IF(IsPro,IF(OR($C1649="",N($G1649)=0),"",IF(OR($C1649="Receipt",$C1649="Other Income",$C1649="Capital In",$C1649="Transfer In"),$G1649,0)),"")</f>
        <v/>
      </c>
      <c r="J1649" s="61" t="str">
        <f aca="false">IF(IsPro,IF(OR($C1649="",N($G1649)=0),"",IF(I1649=0,$G1649,0)),"")</f>
        <v/>
      </c>
      <c r="K1649" s="60" t="str">
        <f aca="false">IF(IsPro,IF($C1649="","",IF(AND(OR($C1649="Receipt",$C1649="Payment"),$D1649=""),"Party needed",IF(AND(OR($C1649="Expense",$C1649="Other Income"),$E1649=""),"Head needed",IF($F1649="","Account needed","OK")))),IF($C1649="","","PRO PLAN"))</f>
        <v/>
      </c>
    </row>
    <row r="1650" customFormat="false" ht="15" hidden="false" customHeight="false" outlineLevel="0" collapsed="false">
      <c r="A1650" s="55"/>
      <c r="B1650" s="56"/>
      <c r="C1650" s="56"/>
      <c r="D1650" s="56"/>
      <c r="E1650" s="56"/>
      <c r="F1650" s="56"/>
      <c r="G1650" s="58"/>
      <c r="H1650" s="56"/>
      <c r="I1650" s="61" t="str">
        <f aca="false">IF(IsPro,IF(OR($C1650="",N($G1650)=0),"",IF(OR($C1650="Receipt",$C1650="Other Income",$C1650="Capital In",$C1650="Transfer In"),$G1650,0)),"")</f>
        <v/>
      </c>
      <c r="J1650" s="61" t="str">
        <f aca="false">IF(IsPro,IF(OR($C1650="",N($G1650)=0),"",IF(I1650=0,$G1650,0)),"")</f>
        <v/>
      </c>
      <c r="K1650" s="60" t="str">
        <f aca="false">IF(IsPro,IF($C1650="","",IF(AND(OR($C1650="Receipt",$C1650="Payment"),$D1650=""),"Party needed",IF(AND(OR($C1650="Expense",$C1650="Other Income"),$E1650=""),"Head needed",IF($F1650="","Account needed","OK")))),IF($C1650="","","PRO PLAN"))</f>
        <v/>
      </c>
    </row>
    <row r="1651" customFormat="false" ht="15" hidden="false" customHeight="false" outlineLevel="0" collapsed="false">
      <c r="A1651" s="55"/>
      <c r="B1651" s="56"/>
      <c r="C1651" s="56"/>
      <c r="D1651" s="56"/>
      <c r="E1651" s="56"/>
      <c r="F1651" s="56"/>
      <c r="G1651" s="58"/>
      <c r="H1651" s="56"/>
      <c r="I1651" s="61" t="str">
        <f aca="false">IF(IsPro,IF(OR($C1651="",N($G1651)=0),"",IF(OR($C1651="Receipt",$C1651="Other Income",$C1651="Capital In",$C1651="Transfer In"),$G1651,0)),"")</f>
        <v/>
      </c>
      <c r="J1651" s="61" t="str">
        <f aca="false">IF(IsPro,IF(OR($C1651="",N($G1651)=0),"",IF(I1651=0,$G1651,0)),"")</f>
        <v/>
      </c>
      <c r="K1651" s="60" t="str">
        <f aca="false">IF(IsPro,IF($C1651="","",IF(AND(OR($C1651="Receipt",$C1651="Payment"),$D1651=""),"Party needed",IF(AND(OR($C1651="Expense",$C1651="Other Income"),$E1651=""),"Head needed",IF($F1651="","Account needed","OK")))),IF($C1651="","","PRO PLAN"))</f>
        <v/>
      </c>
    </row>
    <row r="1652" customFormat="false" ht="15" hidden="false" customHeight="false" outlineLevel="0" collapsed="false">
      <c r="A1652" s="55"/>
      <c r="B1652" s="56"/>
      <c r="C1652" s="56"/>
      <c r="D1652" s="56"/>
      <c r="E1652" s="56"/>
      <c r="F1652" s="56"/>
      <c r="G1652" s="58"/>
      <c r="H1652" s="56"/>
      <c r="I1652" s="61" t="str">
        <f aca="false">IF(IsPro,IF(OR($C1652="",N($G1652)=0),"",IF(OR($C1652="Receipt",$C1652="Other Income",$C1652="Capital In",$C1652="Transfer In"),$G1652,0)),"")</f>
        <v/>
      </c>
      <c r="J1652" s="61" t="str">
        <f aca="false">IF(IsPro,IF(OR($C1652="",N($G1652)=0),"",IF(I1652=0,$G1652,0)),"")</f>
        <v/>
      </c>
      <c r="K1652" s="60" t="str">
        <f aca="false">IF(IsPro,IF($C1652="","",IF(AND(OR($C1652="Receipt",$C1652="Payment"),$D1652=""),"Party needed",IF(AND(OR($C1652="Expense",$C1652="Other Income"),$E1652=""),"Head needed",IF($F1652="","Account needed","OK")))),IF($C1652="","","PRO PLAN"))</f>
        <v/>
      </c>
    </row>
    <row r="1653" customFormat="false" ht="15" hidden="false" customHeight="false" outlineLevel="0" collapsed="false">
      <c r="A1653" s="55"/>
      <c r="B1653" s="56"/>
      <c r="C1653" s="56"/>
      <c r="D1653" s="56"/>
      <c r="E1653" s="56"/>
      <c r="F1653" s="56"/>
      <c r="G1653" s="58"/>
      <c r="H1653" s="56"/>
      <c r="I1653" s="61" t="str">
        <f aca="false">IF(IsPro,IF(OR($C1653="",N($G1653)=0),"",IF(OR($C1653="Receipt",$C1653="Other Income",$C1653="Capital In",$C1653="Transfer In"),$G1653,0)),"")</f>
        <v/>
      </c>
      <c r="J1653" s="61" t="str">
        <f aca="false">IF(IsPro,IF(OR($C1653="",N($G1653)=0),"",IF(I1653=0,$G1653,0)),"")</f>
        <v/>
      </c>
      <c r="K1653" s="60" t="str">
        <f aca="false">IF(IsPro,IF($C1653="","",IF(AND(OR($C1653="Receipt",$C1653="Payment"),$D1653=""),"Party needed",IF(AND(OR($C1653="Expense",$C1653="Other Income"),$E1653=""),"Head needed",IF($F1653="","Account needed","OK")))),IF($C1653="","","PRO PLAN"))</f>
        <v/>
      </c>
    </row>
    <row r="1654" customFormat="false" ht="15" hidden="false" customHeight="false" outlineLevel="0" collapsed="false">
      <c r="A1654" s="55"/>
      <c r="B1654" s="56"/>
      <c r="C1654" s="56"/>
      <c r="D1654" s="56"/>
      <c r="E1654" s="56"/>
      <c r="F1654" s="56"/>
      <c r="G1654" s="58"/>
      <c r="H1654" s="56"/>
      <c r="I1654" s="61" t="str">
        <f aca="false">IF(IsPro,IF(OR($C1654="",N($G1654)=0),"",IF(OR($C1654="Receipt",$C1654="Other Income",$C1654="Capital In",$C1654="Transfer In"),$G1654,0)),"")</f>
        <v/>
      </c>
      <c r="J1654" s="61" t="str">
        <f aca="false">IF(IsPro,IF(OR($C1654="",N($G1654)=0),"",IF(I1654=0,$G1654,0)),"")</f>
        <v/>
      </c>
      <c r="K1654" s="60" t="str">
        <f aca="false">IF(IsPro,IF($C1654="","",IF(AND(OR($C1654="Receipt",$C1654="Payment"),$D1654=""),"Party needed",IF(AND(OR($C1654="Expense",$C1654="Other Income"),$E1654=""),"Head needed",IF($F1654="","Account needed","OK")))),IF($C1654="","","PRO PLAN"))</f>
        <v/>
      </c>
    </row>
    <row r="1655" customFormat="false" ht="15" hidden="false" customHeight="false" outlineLevel="0" collapsed="false">
      <c r="A1655" s="55"/>
      <c r="B1655" s="56"/>
      <c r="C1655" s="56"/>
      <c r="D1655" s="56"/>
      <c r="E1655" s="56"/>
      <c r="F1655" s="56"/>
      <c r="G1655" s="58"/>
      <c r="H1655" s="56"/>
      <c r="I1655" s="61" t="str">
        <f aca="false">IF(IsPro,IF(OR($C1655="",N($G1655)=0),"",IF(OR($C1655="Receipt",$C1655="Other Income",$C1655="Capital In",$C1655="Transfer In"),$G1655,0)),"")</f>
        <v/>
      </c>
      <c r="J1655" s="61" t="str">
        <f aca="false">IF(IsPro,IF(OR($C1655="",N($G1655)=0),"",IF(I1655=0,$G1655,0)),"")</f>
        <v/>
      </c>
      <c r="K1655" s="60" t="str">
        <f aca="false">IF(IsPro,IF($C1655="","",IF(AND(OR($C1655="Receipt",$C1655="Payment"),$D1655=""),"Party needed",IF(AND(OR($C1655="Expense",$C1655="Other Income"),$E1655=""),"Head needed",IF($F1655="","Account needed","OK")))),IF($C1655="","","PRO PLAN"))</f>
        <v/>
      </c>
    </row>
    <row r="1656" customFormat="false" ht="15" hidden="false" customHeight="false" outlineLevel="0" collapsed="false">
      <c r="A1656" s="55"/>
      <c r="B1656" s="56"/>
      <c r="C1656" s="56"/>
      <c r="D1656" s="56"/>
      <c r="E1656" s="56"/>
      <c r="F1656" s="56"/>
      <c r="G1656" s="58"/>
      <c r="H1656" s="56"/>
      <c r="I1656" s="61" t="str">
        <f aca="false">IF(IsPro,IF(OR($C1656="",N($G1656)=0),"",IF(OR($C1656="Receipt",$C1656="Other Income",$C1656="Capital In",$C1656="Transfer In"),$G1656,0)),"")</f>
        <v/>
      </c>
      <c r="J1656" s="61" t="str">
        <f aca="false">IF(IsPro,IF(OR($C1656="",N($G1656)=0),"",IF(I1656=0,$G1656,0)),"")</f>
        <v/>
      </c>
      <c r="K1656" s="60" t="str">
        <f aca="false">IF(IsPro,IF($C1656="","",IF(AND(OR($C1656="Receipt",$C1656="Payment"),$D1656=""),"Party needed",IF(AND(OR($C1656="Expense",$C1656="Other Income"),$E1656=""),"Head needed",IF($F1656="","Account needed","OK")))),IF($C1656="","","PRO PLAN"))</f>
        <v/>
      </c>
    </row>
    <row r="1657" customFormat="false" ht="15" hidden="false" customHeight="false" outlineLevel="0" collapsed="false">
      <c r="A1657" s="55"/>
      <c r="B1657" s="56"/>
      <c r="C1657" s="56"/>
      <c r="D1657" s="56"/>
      <c r="E1657" s="56"/>
      <c r="F1657" s="56"/>
      <c r="G1657" s="58"/>
      <c r="H1657" s="56"/>
      <c r="I1657" s="61" t="str">
        <f aca="false">IF(IsPro,IF(OR($C1657="",N($G1657)=0),"",IF(OR($C1657="Receipt",$C1657="Other Income",$C1657="Capital In",$C1657="Transfer In"),$G1657,0)),"")</f>
        <v/>
      </c>
      <c r="J1657" s="61" t="str">
        <f aca="false">IF(IsPro,IF(OR($C1657="",N($G1657)=0),"",IF(I1657=0,$G1657,0)),"")</f>
        <v/>
      </c>
      <c r="K1657" s="60" t="str">
        <f aca="false">IF(IsPro,IF($C1657="","",IF(AND(OR($C1657="Receipt",$C1657="Payment"),$D1657=""),"Party needed",IF(AND(OR($C1657="Expense",$C1657="Other Income"),$E1657=""),"Head needed",IF($F1657="","Account needed","OK")))),IF($C1657="","","PRO PLAN"))</f>
        <v/>
      </c>
    </row>
    <row r="1658" customFormat="false" ht="15" hidden="false" customHeight="false" outlineLevel="0" collapsed="false">
      <c r="A1658" s="55"/>
      <c r="B1658" s="56"/>
      <c r="C1658" s="56"/>
      <c r="D1658" s="56"/>
      <c r="E1658" s="56"/>
      <c r="F1658" s="56"/>
      <c r="G1658" s="58"/>
      <c r="H1658" s="56"/>
      <c r="I1658" s="61" t="str">
        <f aca="false">IF(IsPro,IF(OR($C1658="",N($G1658)=0),"",IF(OR($C1658="Receipt",$C1658="Other Income",$C1658="Capital In",$C1658="Transfer In"),$G1658,0)),"")</f>
        <v/>
      </c>
      <c r="J1658" s="61" t="str">
        <f aca="false">IF(IsPro,IF(OR($C1658="",N($G1658)=0),"",IF(I1658=0,$G1658,0)),"")</f>
        <v/>
      </c>
      <c r="K1658" s="60" t="str">
        <f aca="false">IF(IsPro,IF($C1658="","",IF(AND(OR($C1658="Receipt",$C1658="Payment"),$D1658=""),"Party needed",IF(AND(OR($C1658="Expense",$C1658="Other Income"),$E1658=""),"Head needed",IF($F1658="","Account needed","OK")))),IF($C1658="","","PRO PLAN"))</f>
        <v/>
      </c>
    </row>
    <row r="1659" customFormat="false" ht="15" hidden="false" customHeight="false" outlineLevel="0" collapsed="false">
      <c r="A1659" s="55"/>
      <c r="B1659" s="56"/>
      <c r="C1659" s="56"/>
      <c r="D1659" s="56"/>
      <c r="E1659" s="56"/>
      <c r="F1659" s="56"/>
      <c r="G1659" s="58"/>
      <c r="H1659" s="56"/>
      <c r="I1659" s="61" t="str">
        <f aca="false">IF(IsPro,IF(OR($C1659="",N($G1659)=0),"",IF(OR($C1659="Receipt",$C1659="Other Income",$C1659="Capital In",$C1659="Transfer In"),$G1659,0)),"")</f>
        <v/>
      </c>
      <c r="J1659" s="61" t="str">
        <f aca="false">IF(IsPro,IF(OR($C1659="",N($G1659)=0),"",IF(I1659=0,$G1659,0)),"")</f>
        <v/>
      </c>
      <c r="K1659" s="60" t="str">
        <f aca="false">IF(IsPro,IF($C1659="","",IF(AND(OR($C1659="Receipt",$C1659="Payment"),$D1659=""),"Party needed",IF(AND(OR($C1659="Expense",$C1659="Other Income"),$E1659=""),"Head needed",IF($F1659="","Account needed","OK")))),IF($C1659="","","PRO PLAN"))</f>
        <v/>
      </c>
    </row>
    <row r="1660" customFormat="false" ht="15" hidden="false" customHeight="false" outlineLevel="0" collapsed="false">
      <c r="A1660" s="55"/>
      <c r="B1660" s="56"/>
      <c r="C1660" s="56"/>
      <c r="D1660" s="56"/>
      <c r="E1660" s="56"/>
      <c r="F1660" s="56"/>
      <c r="G1660" s="58"/>
      <c r="H1660" s="56"/>
      <c r="I1660" s="61" t="str">
        <f aca="false">IF(IsPro,IF(OR($C1660="",N($G1660)=0),"",IF(OR($C1660="Receipt",$C1660="Other Income",$C1660="Capital In",$C1660="Transfer In"),$G1660,0)),"")</f>
        <v/>
      </c>
      <c r="J1660" s="61" t="str">
        <f aca="false">IF(IsPro,IF(OR($C1660="",N($G1660)=0),"",IF(I1660=0,$G1660,0)),"")</f>
        <v/>
      </c>
      <c r="K1660" s="60" t="str">
        <f aca="false">IF(IsPro,IF($C1660="","",IF(AND(OR($C1660="Receipt",$C1660="Payment"),$D1660=""),"Party needed",IF(AND(OR($C1660="Expense",$C1660="Other Income"),$E1660=""),"Head needed",IF($F1660="","Account needed","OK")))),IF($C1660="","","PRO PLAN"))</f>
        <v/>
      </c>
    </row>
    <row r="1661" customFormat="false" ht="15" hidden="false" customHeight="false" outlineLevel="0" collapsed="false">
      <c r="A1661" s="55"/>
      <c r="B1661" s="56"/>
      <c r="C1661" s="56"/>
      <c r="D1661" s="56"/>
      <c r="E1661" s="56"/>
      <c r="F1661" s="56"/>
      <c r="G1661" s="58"/>
      <c r="H1661" s="56"/>
      <c r="I1661" s="61" t="str">
        <f aca="false">IF(IsPro,IF(OR($C1661="",N($G1661)=0),"",IF(OR($C1661="Receipt",$C1661="Other Income",$C1661="Capital In",$C1661="Transfer In"),$G1661,0)),"")</f>
        <v/>
      </c>
      <c r="J1661" s="61" t="str">
        <f aca="false">IF(IsPro,IF(OR($C1661="",N($G1661)=0),"",IF(I1661=0,$G1661,0)),"")</f>
        <v/>
      </c>
      <c r="K1661" s="60" t="str">
        <f aca="false">IF(IsPro,IF($C1661="","",IF(AND(OR($C1661="Receipt",$C1661="Payment"),$D1661=""),"Party needed",IF(AND(OR($C1661="Expense",$C1661="Other Income"),$E1661=""),"Head needed",IF($F1661="","Account needed","OK")))),IF($C1661="","","PRO PLAN"))</f>
        <v/>
      </c>
    </row>
    <row r="1662" customFormat="false" ht="15" hidden="false" customHeight="false" outlineLevel="0" collapsed="false">
      <c r="A1662" s="55"/>
      <c r="B1662" s="56"/>
      <c r="C1662" s="56"/>
      <c r="D1662" s="56"/>
      <c r="E1662" s="56"/>
      <c r="F1662" s="56"/>
      <c r="G1662" s="58"/>
      <c r="H1662" s="56"/>
      <c r="I1662" s="61" t="str">
        <f aca="false">IF(IsPro,IF(OR($C1662="",N($G1662)=0),"",IF(OR($C1662="Receipt",$C1662="Other Income",$C1662="Capital In",$C1662="Transfer In"),$G1662,0)),"")</f>
        <v/>
      </c>
      <c r="J1662" s="61" t="str">
        <f aca="false">IF(IsPro,IF(OR($C1662="",N($G1662)=0),"",IF(I1662=0,$G1662,0)),"")</f>
        <v/>
      </c>
      <c r="K1662" s="60" t="str">
        <f aca="false">IF(IsPro,IF($C1662="","",IF(AND(OR($C1662="Receipt",$C1662="Payment"),$D1662=""),"Party needed",IF(AND(OR($C1662="Expense",$C1662="Other Income"),$E1662=""),"Head needed",IF($F1662="","Account needed","OK")))),IF($C1662="","","PRO PLAN"))</f>
        <v/>
      </c>
    </row>
    <row r="1663" customFormat="false" ht="15" hidden="false" customHeight="false" outlineLevel="0" collapsed="false">
      <c r="A1663" s="55"/>
      <c r="B1663" s="56"/>
      <c r="C1663" s="56"/>
      <c r="D1663" s="56"/>
      <c r="E1663" s="56"/>
      <c r="F1663" s="56"/>
      <c r="G1663" s="58"/>
      <c r="H1663" s="56"/>
      <c r="I1663" s="61" t="str">
        <f aca="false">IF(IsPro,IF(OR($C1663="",N($G1663)=0),"",IF(OR($C1663="Receipt",$C1663="Other Income",$C1663="Capital In",$C1663="Transfer In"),$G1663,0)),"")</f>
        <v/>
      </c>
      <c r="J1663" s="61" t="str">
        <f aca="false">IF(IsPro,IF(OR($C1663="",N($G1663)=0),"",IF(I1663=0,$G1663,0)),"")</f>
        <v/>
      </c>
      <c r="K1663" s="60" t="str">
        <f aca="false">IF(IsPro,IF($C1663="","",IF(AND(OR($C1663="Receipt",$C1663="Payment"),$D1663=""),"Party needed",IF(AND(OR($C1663="Expense",$C1663="Other Income"),$E1663=""),"Head needed",IF($F1663="","Account needed","OK")))),IF($C1663="","","PRO PLAN"))</f>
        <v/>
      </c>
    </row>
    <row r="1664" customFormat="false" ht="15" hidden="false" customHeight="false" outlineLevel="0" collapsed="false">
      <c r="A1664" s="55"/>
      <c r="B1664" s="56"/>
      <c r="C1664" s="56"/>
      <c r="D1664" s="56"/>
      <c r="E1664" s="56"/>
      <c r="F1664" s="56"/>
      <c r="G1664" s="58"/>
      <c r="H1664" s="56"/>
      <c r="I1664" s="61" t="str">
        <f aca="false">IF(IsPro,IF(OR($C1664="",N($G1664)=0),"",IF(OR($C1664="Receipt",$C1664="Other Income",$C1664="Capital In",$C1664="Transfer In"),$G1664,0)),"")</f>
        <v/>
      </c>
      <c r="J1664" s="61" t="str">
        <f aca="false">IF(IsPro,IF(OR($C1664="",N($G1664)=0),"",IF(I1664=0,$G1664,0)),"")</f>
        <v/>
      </c>
      <c r="K1664" s="60" t="str">
        <f aca="false">IF(IsPro,IF($C1664="","",IF(AND(OR($C1664="Receipt",$C1664="Payment"),$D1664=""),"Party needed",IF(AND(OR($C1664="Expense",$C1664="Other Income"),$E1664=""),"Head needed",IF($F1664="","Account needed","OK")))),IF($C1664="","","PRO PLAN"))</f>
        <v/>
      </c>
    </row>
    <row r="1665" customFormat="false" ht="15" hidden="false" customHeight="false" outlineLevel="0" collapsed="false">
      <c r="A1665" s="55"/>
      <c r="B1665" s="56"/>
      <c r="C1665" s="56"/>
      <c r="D1665" s="56"/>
      <c r="E1665" s="56"/>
      <c r="F1665" s="56"/>
      <c r="G1665" s="58"/>
      <c r="H1665" s="56"/>
      <c r="I1665" s="61" t="str">
        <f aca="false">IF(IsPro,IF(OR($C1665="",N($G1665)=0),"",IF(OR($C1665="Receipt",$C1665="Other Income",$C1665="Capital In",$C1665="Transfer In"),$G1665,0)),"")</f>
        <v/>
      </c>
      <c r="J1665" s="61" t="str">
        <f aca="false">IF(IsPro,IF(OR($C1665="",N($G1665)=0),"",IF(I1665=0,$G1665,0)),"")</f>
        <v/>
      </c>
      <c r="K1665" s="60" t="str">
        <f aca="false">IF(IsPro,IF($C1665="","",IF(AND(OR($C1665="Receipt",$C1665="Payment"),$D1665=""),"Party needed",IF(AND(OR($C1665="Expense",$C1665="Other Income"),$E1665=""),"Head needed",IF($F1665="","Account needed","OK")))),IF($C1665="","","PRO PLAN"))</f>
        <v/>
      </c>
    </row>
    <row r="1666" customFormat="false" ht="15" hidden="false" customHeight="false" outlineLevel="0" collapsed="false">
      <c r="A1666" s="55"/>
      <c r="B1666" s="56"/>
      <c r="C1666" s="56"/>
      <c r="D1666" s="56"/>
      <c r="E1666" s="56"/>
      <c r="F1666" s="56"/>
      <c r="G1666" s="58"/>
      <c r="H1666" s="56"/>
      <c r="I1666" s="61" t="str">
        <f aca="false">IF(IsPro,IF(OR($C1666="",N($G1666)=0),"",IF(OR($C1666="Receipt",$C1666="Other Income",$C1666="Capital In",$C1666="Transfer In"),$G1666,0)),"")</f>
        <v/>
      </c>
      <c r="J1666" s="61" t="str">
        <f aca="false">IF(IsPro,IF(OR($C1666="",N($G1666)=0),"",IF(I1666=0,$G1666,0)),"")</f>
        <v/>
      </c>
      <c r="K1666" s="60" t="str">
        <f aca="false">IF(IsPro,IF($C1666="","",IF(AND(OR($C1666="Receipt",$C1666="Payment"),$D1666=""),"Party needed",IF(AND(OR($C1666="Expense",$C1666="Other Income"),$E1666=""),"Head needed",IF($F1666="","Account needed","OK")))),IF($C1666="","","PRO PLAN"))</f>
        <v/>
      </c>
    </row>
    <row r="1667" customFormat="false" ht="15" hidden="false" customHeight="false" outlineLevel="0" collapsed="false">
      <c r="A1667" s="55"/>
      <c r="B1667" s="56"/>
      <c r="C1667" s="56"/>
      <c r="D1667" s="56"/>
      <c r="E1667" s="56"/>
      <c r="F1667" s="56"/>
      <c r="G1667" s="58"/>
      <c r="H1667" s="56"/>
      <c r="I1667" s="61" t="str">
        <f aca="false">IF(IsPro,IF(OR($C1667="",N($G1667)=0),"",IF(OR($C1667="Receipt",$C1667="Other Income",$C1667="Capital In",$C1667="Transfer In"),$G1667,0)),"")</f>
        <v/>
      </c>
      <c r="J1667" s="61" t="str">
        <f aca="false">IF(IsPro,IF(OR($C1667="",N($G1667)=0),"",IF(I1667=0,$G1667,0)),"")</f>
        <v/>
      </c>
      <c r="K1667" s="60" t="str">
        <f aca="false">IF(IsPro,IF($C1667="","",IF(AND(OR($C1667="Receipt",$C1667="Payment"),$D1667=""),"Party needed",IF(AND(OR($C1667="Expense",$C1667="Other Income"),$E1667=""),"Head needed",IF($F1667="","Account needed","OK")))),IF($C1667="","","PRO PLAN"))</f>
        <v/>
      </c>
    </row>
    <row r="1668" customFormat="false" ht="15" hidden="false" customHeight="false" outlineLevel="0" collapsed="false">
      <c r="A1668" s="55"/>
      <c r="B1668" s="56"/>
      <c r="C1668" s="56"/>
      <c r="D1668" s="56"/>
      <c r="E1668" s="56"/>
      <c r="F1668" s="56"/>
      <c r="G1668" s="58"/>
      <c r="H1668" s="56"/>
      <c r="I1668" s="61" t="str">
        <f aca="false">IF(IsPro,IF(OR($C1668="",N($G1668)=0),"",IF(OR($C1668="Receipt",$C1668="Other Income",$C1668="Capital In",$C1668="Transfer In"),$G1668,0)),"")</f>
        <v/>
      </c>
      <c r="J1668" s="61" t="str">
        <f aca="false">IF(IsPro,IF(OR($C1668="",N($G1668)=0),"",IF(I1668=0,$G1668,0)),"")</f>
        <v/>
      </c>
      <c r="K1668" s="60" t="str">
        <f aca="false">IF(IsPro,IF($C1668="","",IF(AND(OR($C1668="Receipt",$C1668="Payment"),$D1668=""),"Party needed",IF(AND(OR($C1668="Expense",$C1668="Other Income"),$E1668=""),"Head needed",IF($F1668="","Account needed","OK")))),IF($C1668="","","PRO PLAN"))</f>
        <v/>
      </c>
    </row>
    <row r="1669" customFormat="false" ht="15" hidden="false" customHeight="false" outlineLevel="0" collapsed="false">
      <c r="A1669" s="55"/>
      <c r="B1669" s="56"/>
      <c r="C1669" s="56"/>
      <c r="D1669" s="56"/>
      <c r="E1669" s="56"/>
      <c r="F1669" s="56"/>
      <c r="G1669" s="58"/>
      <c r="H1669" s="56"/>
      <c r="I1669" s="61" t="str">
        <f aca="false">IF(IsPro,IF(OR($C1669="",N($G1669)=0),"",IF(OR($C1669="Receipt",$C1669="Other Income",$C1669="Capital In",$C1669="Transfer In"),$G1669,0)),"")</f>
        <v/>
      </c>
      <c r="J1669" s="61" t="str">
        <f aca="false">IF(IsPro,IF(OR($C1669="",N($G1669)=0),"",IF(I1669=0,$G1669,0)),"")</f>
        <v/>
      </c>
      <c r="K1669" s="60" t="str">
        <f aca="false">IF(IsPro,IF($C1669="","",IF(AND(OR($C1669="Receipt",$C1669="Payment"),$D1669=""),"Party needed",IF(AND(OR($C1669="Expense",$C1669="Other Income"),$E1669=""),"Head needed",IF($F1669="","Account needed","OK")))),IF($C1669="","","PRO PLAN"))</f>
        <v/>
      </c>
    </row>
    <row r="1670" customFormat="false" ht="15" hidden="false" customHeight="false" outlineLevel="0" collapsed="false">
      <c r="A1670" s="55"/>
      <c r="B1670" s="56"/>
      <c r="C1670" s="56"/>
      <c r="D1670" s="56"/>
      <c r="E1670" s="56"/>
      <c r="F1670" s="56"/>
      <c r="G1670" s="58"/>
      <c r="H1670" s="56"/>
      <c r="I1670" s="61" t="str">
        <f aca="false">IF(IsPro,IF(OR($C1670="",N($G1670)=0),"",IF(OR($C1670="Receipt",$C1670="Other Income",$C1670="Capital In",$C1670="Transfer In"),$G1670,0)),"")</f>
        <v/>
      </c>
      <c r="J1670" s="61" t="str">
        <f aca="false">IF(IsPro,IF(OR($C1670="",N($G1670)=0),"",IF(I1670=0,$G1670,0)),"")</f>
        <v/>
      </c>
      <c r="K1670" s="60" t="str">
        <f aca="false">IF(IsPro,IF($C1670="","",IF(AND(OR($C1670="Receipt",$C1670="Payment"),$D1670=""),"Party needed",IF(AND(OR($C1670="Expense",$C1670="Other Income"),$E1670=""),"Head needed",IF($F1670="","Account needed","OK")))),IF($C1670="","","PRO PLAN"))</f>
        <v/>
      </c>
    </row>
    <row r="1671" customFormat="false" ht="15" hidden="false" customHeight="false" outlineLevel="0" collapsed="false">
      <c r="A1671" s="55"/>
      <c r="B1671" s="56"/>
      <c r="C1671" s="56"/>
      <c r="D1671" s="56"/>
      <c r="E1671" s="56"/>
      <c r="F1671" s="56"/>
      <c r="G1671" s="58"/>
      <c r="H1671" s="56"/>
      <c r="I1671" s="61" t="str">
        <f aca="false">IF(IsPro,IF(OR($C1671="",N($G1671)=0),"",IF(OR($C1671="Receipt",$C1671="Other Income",$C1671="Capital In",$C1671="Transfer In"),$G1671,0)),"")</f>
        <v/>
      </c>
      <c r="J1671" s="61" t="str">
        <f aca="false">IF(IsPro,IF(OR($C1671="",N($G1671)=0),"",IF(I1671=0,$G1671,0)),"")</f>
        <v/>
      </c>
      <c r="K1671" s="60" t="str">
        <f aca="false">IF(IsPro,IF($C1671="","",IF(AND(OR($C1671="Receipt",$C1671="Payment"),$D1671=""),"Party needed",IF(AND(OR($C1671="Expense",$C1671="Other Income"),$E1671=""),"Head needed",IF($F1671="","Account needed","OK")))),IF($C1671="","","PRO PLAN"))</f>
        <v/>
      </c>
    </row>
    <row r="1672" customFormat="false" ht="15" hidden="false" customHeight="false" outlineLevel="0" collapsed="false">
      <c r="A1672" s="55"/>
      <c r="B1672" s="56"/>
      <c r="C1672" s="56"/>
      <c r="D1672" s="56"/>
      <c r="E1672" s="56"/>
      <c r="F1672" s="56"/>
      <c r="G1672" s="58"/>
      <c r="H1672" s="56"/>
      <c r="I1672" s="61" t="str">
        <f aca="false">IF(IsPro,IF(OR($C1672="",N($G1672)=0),"",IF(OR($C1672="Receipt",$C1672="Other Income",$C1672="Capital In",$C1672="Transfer In"),$G1672,0)),"")</f>
        <v/>
      </c>
      <c r="J1672" s="61" t="str">
        <f aca="false">IF(IsPro,IF(OR($C1672="",N($G1672)=0),"",IF(I1672=0,$G1672,0)),"")</f>
        <v/>
      </c>
      <c r="K1672" s="60" t="str">
        <f aca="false">IF(IsPro,IF($C1672="","",IF(AND(OR($C1672="Receipt",$C1672="Payment"),$D1672=""),"Party needed",IF(AND(OR($C1672="Expense",$C1672="Other Income"),$E1672=""),"Head needed",IF($F1672="","Account needed","OK")))),IF($C1672="","","PRO PLAN"))</f>
        <v/>
      </c>
    </row>
    <row r="1673" customFormat="false" ht="15" hidden="false" customHeight="false" outlineLevel="0" collapsed="false">
      <c r="A1673" s="55"/>
      <c r="B1673" s="56"/>
      <c r="C1673" s="56"/>
      <c r="D1673" s="56"/>
      <c r="E1673" s="56"/>
      <c r="F1673" s="56"/>
      <c r="G1673" s="58"/>
      <c r="H1673" s="56"/>
      <c r="I1673" s="61" t="str">
        <f aca="false">IF(IsPro,IF(OR($C1673="",N($G1673)=0),"",IF(OR($C1673="Receipt",$C1673="Other Income",$C1673="Capital In",$C1673="Transfer In"),$G1673,0)),"")</f>
        <v/>
      </c>
      <c r="J1673" s="61" t="str">
        <f aca="false">IF(IsPro,IF(OR($C1673="",N($G1673)=0),"",IF(I1673=0,$G1673,0)),"")</f>
        <v/>
      </c>
      <c r="K1673" s="60" t="str">
        <f aca="false">IF(IsPro,IF($C1673="","",IF(AND(OR($C1673="Receipt",$C1673="Payment"),$D1673=""),"Party needed",IF(AND(OR($C1673="Expense",$C1673="Other Income"),$E1673=""),"Head needed",IF($F1673="","Account needed","OK")))),IF($C1673="","","PRO PLAN"))</f>
        <v/>
      </c>
    </row>
    <row r="1674" customFormat="false" ht="15" hidden="false" customHeight="false" outlineLevel="0" collapsed="false">
      <c r="A1674" s="55"/>
      <c r="B1674" s="56"/>
      <c r="C1674" s="56"/>
      <c r="D1674" s="56"/>
      <c r="E1674" s="56"/>
      <c r="F1674" s="56"/>
      <c r="G1674" s="58"/>
      <c r="H1674" s="56"/>
      <c r="I1674" s="61" t="str">
        <f aca="false">IF(IsPro,IF(OR($C1674="",N($G1674)=0),"",IF(OR($C1674="Receipt",$C1674="Other Income",$C1674="Capital In",$C1674="Transfer In"),$G1674,0)),"")</f>
        <v/>
      </c>
      <c r="J1674" s="61" t="str">
        <f aca="false">IF(IsPro,IF(OR($C1674="",N($G1674)=0),"",IF(I1674=0,$G1674,0)),"")</f>
        <v/>
      </c>
      <c r="K1674" s="60" t="str">
        <f aca="false">IF(IsPro,IF($C1674="","",IF(AND(OR($C1674="Receipt",$C1674="Payment"),$D1674=""),"Party needed",IF(AND(OR($C1674="Expense",$C1674="Other Income"),$E1674=""),"Head needed",IF($F1674="","Account needed","OK")))),IF($C1674="","","PRO PLAN"))</f>
        <v/>
      </c>
    </row>
    <row r="1675" customFormat="false" ht="15" hidden="false" customHeight="false" outlineLevel="0" collapsed="false">
      <c r="A1675" s="55"/>
      <c r="B1675" s="56"/>
      <c r="C1675" s="56"/>
      <c r="D1675" s="56"/>
      <c r="E1675" s="56"/>
      <c r="F1675" s="56"/>
      <c r="G1675" s="58"/>
      <c r="H1675" s="56"/>
      <c r="I1675" s="61" t="str">
        <f aca="false">IF(IsPro,IF(OR($C1675="",N($G1675)=0),"",IF(OR($C1675="Receipt",$C1675="Other Income",$C1675="Capital In",$C1675="Transfer In"),$G1675,0)),"")</f>
        <v/>
      </c>
      <c r="J1675" s="61" t="str">
        <f aca="false">IF(IsPro,IF(OR($C1675="",N($G1675)=0),"",IF(I1675=0,$G1675,0)),"")</f>
        <v/>
      </c>
      <c r="K1675" s="60" t="str">
        <f aca="false">IF(IsPro,IF($C1675="","",IF(AND(OR($C1675="Receipt",$C1675="Payment"),$D1675=""),"Party needed",IF(AND(OR($C1675="Expense",$C1675="Other Income"),$E1675=""),"Head needed",IF($F1675="","Account needed","OK")))),IF($C1675="","","PRO PLAN"))</f>
        <v/>
      </c>
    </row>
    <row r="1676" customFormat="false" ht="15" hidden="false" customHeight="false" outlineLevel="0" collapsed="false">
      <c r="A1676" s="55"/>
      <c r="B1676" s="56"/>
      <c r="C1676" s="56"/>
      <c r="D1676" s="56"/>
      <c r="E1676" s="56"/>
      <c r="F1676" s="56"/>
      <c r="G1676" s="58"/>
      <c r="H1676" s="56"/>
      <c r="I1676" s="61" t="str">
        <f aca="false">IF(IsPro,IF(OR($C1676="",N($G1676)=0),"",IF(OR($C1676="Receipt",$C1676="Other Income",$C1676="Capital In",$C1676="Transfer In"),$G1676,0)),"")</f>
        <v/>
      </c>
      <c r="J1676" s="61" t="str">
        <f aca="false">IF(IsPro,IF(OR($C1676="",N($G1676)=0),"",IF(I1676=0,$G1676,0)),"")</f>
        <v/>
      </c>
      <c r="K1676" s="60" t="str">
        <f aca="false">IF(IsPro,IF($C1676="","",IF(AND(OR($C1676="Receipt",$C1676="Payment"),$D1676=""),"Party needed",IF(AND(OR($C1676="Expense",$C1676="Other Income"),$E1676=""),"Head needed",IF($F1676="","Account needed","OK")))),IF($C1676="","","PRO PLAN"))</f>
        <v/>
      </c>
    </row>
    <row r="1677" customFormat="false" ht="15" hidden="false" customHeight="false" outlineLevel="0" collapsed="false">
      <c r="A1677" s="55"/>
      <c r="B1677" s="56"/>
      <c r="C1677" s="56"/>
      <c r="D1677" s="56"/>
      <c r="E1677" s="56"/>
      <c r="F1677" s="56"/>
      <c r="G1677" s="58"/>
      <c r="H1677" s="56"/>
      <c r="I1677" s="61" t="str">
        <f aca="false">IF(IsPro,IF(OR($C1677="",N($G1677)=0),"",IF(OR($C1677="Receipt",$C1677="Other Income",$C1677="Capital In",$C1677="Transfer In"),$G1677,0)),"")</f>
        <v/>
      </c>
      <c r="J1677" s="61" t="str">
        <f aca="false">IF(IsPro,IF(OR($C1677="",N($G1677)=0),"",IF(I1677=0,$G1677,0)),"")</f>
        <v/>
      </c>
      <c r="K1677" s="60" t="str">
        <f aca="false">IF(IsPro,IF($C1677="","",IF(AND(OR($C1677="Receipt",$C1677="Payment"),$D1677=""),"Party needed",IF(AND(OR($C1677="Expense",$C1677="Other Income"),$E1677=""),"Head needed",IF($F1677="","Account needed","OK")))),IF($C1677="","","PRO PLAN"))</f>
        <v/>
      </c>
    </row>
    <row r="1678" customFormat="false" ht="15" hidden="false" customHeight="false" outlineLevel="0" collapsed="false">
      <c r="A1678" s="55"/>
      <c r="B1678" s="56"/>
      <c r="C1678" s="56"/>
      <c r="D1678" s="56"/>
      <c r="E1678" s="56"/>
      <c r="F1678" s="56"/>
      <c r="G1678" s="58"/>
      <c r="H1678" s="56"/>
      <c r="I1678" s="61" t="str">
        <f aca="false">IF(IsPro,IF(OR($C1678="",N($G1678)=0),"",IF(OR($C1678="Receipt",$C1678="Other Income",$C1678="Capital In",$C1678="Transfer In"),$G1678,0)),"")</f>
        <v/>
      </c>
      <c r="J1678" s="61" t="str">
        <f aca="false">IF(IsPro,IF(OR($C1678="",N($G1678)=0),"",IF(I1678=0,$G1678,0)),"")</f>
        <v/>
      </c>
      <c r="K1678" s="60" t="str">
        <f aca="false">IF(IsPro,IF($C1678="","",IF(AND(OR($C1678="Receipt",$C1678="Payment"),$D1678=""),"Party needed",IF(AND(OR($C1678="Expense",$C1678="Other Income"),$E1678=""),"Head needed",IF($F1678="","Account needed","OK")))),IF($C1678="","","PRO PLAN"))</f>
        <v/>
      </c>
    </row>
    <row r="1679" customFormat="false" ht="15" hidden="false" customHeight="false" outlineLevel="0" collapsed="false">
      <c r="A1679" s="55"/>
      <c r="B1679" s="56"/>
      <c r="C1679" s="56"/>
      <c r="D1679" s="56"/>
      <c r="E1679" s="56"/>
      <c r="F1679" s="56"/>
      <c r="G1679" s="58"/>
      <c r="H1679" s="56"/>
      <c r="I1679" s="61" t="str">
        <f aca="false">IF(IsPro,IF(OR($C1679="",N($G1679)=0),"",IF(OR($C1679="Receipt",$C1679="Other Income",$C1679="Capital In",$C1679="Transfer In"),$G1679,0)),"")</f>
        <v/>
      </c>
      <c r="J1679" s="61" t="str">
        <f aca="false">IF(IsPro,IF(OR($C1679="",N($G1679)=0),"",IF(I1679=0,$G1679,0)),"")</f>
        <v/>
      </c>
      <c r="K1679" s="60" t="str">
        <f aca="false">IF(IsPro,IF($C1679="","",IF(AND(OR($C1679="Receipt",$C1679="Payment"),$D1679=""),"Party needed",IF(AND(OR($C1679="Expense",$C1679="Other Income"),$E1679=""),"Head needed",IF($F1679="","Account needed","OK")))),IF($C1679="","","PRO PLAN"))</f>
        <v/>
      </c>
    </row>
    <row r="1680" customFormat="false" ht="15" hidden="false" customHeight="false" outlineLevel="0" collapsed="false">
      <c r="A1680" s="55"/>
      <c r="B1680" s="56"/>
      <c r="C1680" s="56"/>
      <c r="D1680" s="56"/>
      <c r="E1680" s="56"/>
      <c r="F1680" s="56"/>
      <c r="G1680" s="58"/>
      <c r="H1680" s="56"/>
      <c r="I1680" s="61" t="str">
        <f aca="false">IF(IsPro,IF(OR($C1680="",N($G1680)=0),"",IF(OR($C1680="Receipt",$C1680="Other Income",$C1680="Capital In",$C1680="Transfer In"),$G1680,0)),"")</f>
        <v/>
      </c>
      <c r="J1680" s="61" t="str">
        <f aca="false">IF(IsPro,IF(OR($C1680="",N($G1680)=0),"",IF(I1680=0,$G1680,0)),"")</f>
        <v/>
      </c>
      <c r="K1680" s="60" t="str">
        <f aca="false">IF(IsPro,IF($C1680="","",IF(AND(OR($C1680="Receipt",$C1680="Payment"),$D1680=""),"Party needed",IF(AND(OR($C1680="Expense",$C1680="Other Income"),$E1680=""),"Head needed",IF($F1680="","Account needed","OK")))),IF($C1680="","","PRO PLAN"))</f>
        <v/>
      </c>
    </row>
    <row r="1681" customFormat="false" ht="15" hidden="false" customHeight="false" outlineLevel="0" collapsed="false">
      <c r="A1681" s="55"/>
      <c r="B1681" s="56"/>
      <c r="C1681" s="56"/>
      <c r="D1681" s="56"/>
      <c r="E1681" s="56"/>
      <c r="F1681" s="56"/>
      <c r="G1681" s="58"/>
      <c r="H1681" s="56"/>
      <c r="I1681" s="61" t="str">
        <f aca="false">IF(IsPro,IF(OR($C1681="",N($G1681)=0),"",IF(OR($C1681="Receipt",$C1681="Other Income",$C1681="Capital In",$C1681="Transfer In"),$G1681,0)),"")</f>
        <v/>
      </c>
      <c r="J1681" s="61" t="str">
        <f aca="false">IF(IsPro,IF(OR($C1681="",N($G1681)=0),"",IF(I1681=0,$G1681,0)),"")</f>
        <v/>
      </c>
      <c r="K1681" s="60" t="str">
        <f aca="false">IF(IsPro,IF($C1681="","",IF(AND(OR($C1681="Receipt",$C1681="Payment"),$D1681=""),"Party needed",IF(AND(OR($C1681="Expense",$C1681="Other Income"),$E1681=""),"Head needed",IF($F1681="","Account needed","OK")))),IF($C1681="","","PRO PLAN"))</f>
        <v/>
      </c>
    </row>
    <row r="1682" customFormat="false" ht="15" hidden="false" customHeight="false" outlineLevel="0" collapsed="false">
      <c r="A1682" s="55"/>
      <c r="B1682" s="56"/>
      <c r="C1682" s="56"/>
      <c r="D1682" s="56"/>
      <c r="E1682" s="56"/>
      <c r="F1682" s="56"/>
      <c r="G1682" s="58"/>
      <c r="H1682" s="56"/>
      <c r="I1682" s="61" t="str">
        <f aca="false">IF(IsPro,IF(OR($C1682="",N($G1682)=0),"",IF(OR($C1682="Receipt",$C1682="Other Income",$C1682="Capital In",$C1682="Transfer In"),$G1682,0)),"")</f>
        <v/>
      </c>
      <c r="J1682" s="61" t="str">
        <f aca="false">IF(IsPro,IF(OR($C1682="",N($G1682)=0),"",IF(I1682=0,$G1682,0)),"")</f>
        <v/>
      </c>
      <c r="K1682" s="60" t="str">
        <f aca="false">IF(IsPro,IF($C1682="","",IF(AND(OR($C1682="Receipt",$C1682="Payment"),$D1682=""),"Party needed",IF(AND(OR($C1682="Expense",$C1682="Other Income"),$E1682=""),"Head needed",IF($F1682="","Account needed","OK")))),IF($C1682="","","PRO PLAN"))</f>
        <v/>
      </c>
    </row>
    <row r="1683" customFormat="false" ht="15" hidden="false" customHeight="false" outlineLevel="0" collapsed="false">
      <c r="A1683" s="55"/>
      <c r="B1683" s="56"/>
      <c r="C1683" s="56"/>
      <c r="D1683" s="56"/>
      <c r="E1683" s="56"/>
      <c r="F1683" s="56"/>
      <c r="G1683" s="58"/>
      <c r="H1683" s="56"/>
      <c r="I1683" s="61" t="str">
        <f aca="false">IF(IsPro,IF(OR($C1683="",N($G1683)=0),"",IF(OR($C1683="Receipt",$C1683="Other Income",$C1683="Capital In",$C1683="Transfer In"),$G1683,0)),"")</f>
        <v/>
      </c>
      <c r="J1683" s="61" t="str">
        <f aca="false">IF(IsPro,IF(OR($C1683="",N($G1683)=0),"",IF(I1683=0,$G1683,0)),"")</f>
        <v/>
      </c>
      <c r="K1683" s="60" t="str">
        <f aca="false">IF(IsPro,IF($C1683="","",IF(AND(OR($C1683="Receipt",$C1683="Payment"),$D1683=""),"Party needed",IF(AND(OR($C1683="Expense",$C1683="Other Income"),$E1683=""),"Head needed",IF($F1683="","Account needed","OK")))),IF($C1683="","","PRO PLAN"))</f>
        <v/>
      </c>
    </row>
    <row r="1684" customFormat="false" ht="15" hidden="false" customHeight="false" outlineLevel="0" collapsed="false">
      <c r="A1684" s="55"/>
      <c r="B1684" s="56"/>
      <c r="C1684" s="56"/>
      <c r="D1684" s="56"/>
      <c r="E1684" s="56"/>
      <c r="F1684" s="56"/>
      <c r="G1684" s="58"/>
      <c r="H1684" s="56"/>
      <c r="I1684" s="61" t="str">
        <f aca="false">IF(IsPro,IF(OR($C1684="",N($G1684)=0),"",IF(OR($C1684="Receipt",$C1684="Other Income",$C1684="Capital In",$C1684="Transfer In"),$G1684,0)),"")</f>
        <v/>
      </c>
      <c r="J1684" s="61" t="str">
        <f aca="false">IF(IsPro,IF(OR($C1684="",N($G1684)=0),"",IF(I1684=0,$G1684,0)),"")</f>
        <v/>
      </c>
      <c r="K1684" s="60" t="str">
        <f aca="false">IF(IsPro,IF($C1684="","",IF(AND(OR($C1684="Receipt",$C1684="Payment"),$D1684=""),"Party needed",IF(AND(OR($C1684="Expense",$C1684="Other Income"),$E1684=""),"Head needed",IF($F1684="","Account needed","OK")))),IF($C1684="","","PRO PLAN"))</f>
        <v/>
      </c>
    </row>
    <row r="1685" customFormat="false" ht="15" hidden="false" customHeight="false" outlineLevel="0" collapsed="false">
      <c r="A1685" s="55"/>
      <c r="B1685" s="56"/>
      <c r="C1685" s="56"/>
      <c r="D1685" s="56"/>
      <c r="E1685" s="56"/>
      <c r="F1685" s="56"/>
      <c r="G1685" s="58"/>
      <c r="H1685" s="56"/>
      <c r="I1685" s="61" t="str">
        <f aca="false">IF(IsPro,IF(OR($C1685="",N($G1685)=0),"",IF(OR($C1685="Receipt",$C1685="Other Income",$C1685="Capital In",$C1685="Transfer In"),$G1685,0)),"")</f>
        <v/>
      </c>
      <c r="J1685" s="61" t="str">
        <f aca="false">IF(IsPro,IF(OR($C1685="",N($G1685)=0),"",IF(I1685=0,$G1685,0)),"")</f>
        <v/>
      </c>
      <c r="K1685" s="60" t="str">
        <f aca="false">IF(IsPro,IF($C1685="","",IF(AND(OR($C1685="Receipt",$C1685="Payment"),$D1685=""),"Party needed",IF(AND(OR($C1685="Expense",$C1685="Other Income"),$E1685=""),"Head needed",IF($F1685="","Account needed","OK")))),IF($C1685="","","PRO PLAN"))</f>
        <v/>
      </c>
    </row>
    <row r="1686" customFormat="false" ht="15" hidden="false" customHeight="false" outlineLevel="0" collapsed="false">
      <c r="A1686" s="55"/>
      <c r="B1686" s="56"/>
      <c r="C1686" s="56"/>
      <c r="D1686" s="56"/>
      <c r="E1686" s="56"/>
      <c r="F1686" s="56"/>
      <c r="G1686" s="58"/>
      <c r="H1686" s="56"/>
      <c r="I1686" s="61" t="str">
        <f aca="false">IF(IsPro,IF(OR($C1686="",N($G1686)=0),"",IF(OR($C1686="Receipt",$C1686="Other Income",$C1686="Capital In",$C1686="Transfer In"),$G1686,0)),"")</f>
        <v/>
      </c>
      <c r="J1686" s="61" t="str">
        <f aca="false">IF(IsPro,IF(OR($C1686="",N($G1686)=0),"",IF(I1686=0,$G1686,0)),"")</f>
        <v/>
      </c>
      <c r="K1686" s="60" t="str">
        <f aca="false">IF(IsPro,IF($C1686="","",IF(AND(OR($C1686="Receipt",$C1686="Payment"),$D1686=""),"Party needed",IF(AND(OR($C1686="Expense",$C1686="Other Income"),$E1686=""),"Head needed",IF($F1686="","Account needed","OK")))),IF($C1686="","","PRO PLAN"))</f>
        <v/>
      </c>
    </row>
    <row r="1687" customFormat="false" ht="15" hidden="false" customHeight="false" outlineLevel="0" collapsed="false">
      <c r="A1687" s="55"/>
      <c r="B1687" s="56"/>
      <c r="C1687" s="56"/>
      <c r="D1687" s="56"/>
      <c r="E1687" s="56"/>
      <c r="F1687" s="56"/>
      <c r="G1687" s="58"/>
      <c r="H1687" s="56"/>
      <c r="I1687" s="61" t="str">
        <f aca="false">IF(IsPro,IF(OR($C1687="",N($G1687)=0),"",IF(OR($C1687="Receipt",$C1687="Other Income",$C1687="Capital In",$C1687="Transfer In"),$G1687,0)),"")</f>
        <v/>
      </c>
      <c r="J1687" s="61" t="str">
        <f aca="false">IF(IsPro,IF(OR($C1687="",N($G1687)=0),"",IF(I1687=0,$G1687,0)),"")</f>
        <v/>
      </c>
      <c r="K1687" s="60" t="str">
        <f aca="false">IF(IsPro,IF($C1687="","",IF(AND(OR($C1687="Receipt",$C1687="Payment"),$D1687=""),"Party needed",IF(AND(OR($C1687="Expense",$C1687="Other Income"),$E1687=""),"Head needed",IF($F1687="","Account needed","OK")))),IF($C1687="","","PRO PLAN"))</f>
        <v/>
      </c>
    </row>
    <row r="1688" customFormat="false" ht="15" hidden="false" customHeight="false" outlineLevel="0" collapsed="false">
      <c r="A1688" s="55"/>
      <c r="B1688" s="56"/>
      <c r="C1688" s="56"/>
      <c r="D1688" s="56"/>
      <c r="E1688" s="56"/>
      <c r="F1688" s="56"/>
      <c r="G1688" s="58"/>
      <c r="H1688" s="56"/>
      <c r="I1688" s="61" t="str">
        <f aca="false">IF(IsPro,IF(OR($C1688="",N($G1688)=0),"",IF(OR($C1688="Receipt",$C1688="Other Income",$C1688="Capital In",$C1688="Transfer In"),$G1688,0)),"")</f>
        <v/>
      </c>
      <c r="J1688" s="61" t="str">
        <f aca="false">IF(IsPro,IF(OR($C1688="",N($G1688)=0),"",IF(I1688=0,$G1688,0)),"")</f>
        <v/>
      </c>
      <c r="K1688" s="60" t="str">
        <f aca="false">IF(IsPro,IF($C1688="","",IF(AND(OR($C1688="Receipt",$C1688="Payment"),$D1688=""),"Party needed",IF(AND(OR($C1688="Expense",$C1688="Other Income"),$E1688=""),"Head needed",IF($F1688="","Account needed","OK")))),IF($C1688="","","PRO PLAN"))</f>
        <v/>
      </c>
    </row>
    <row r="1689" customFormat="false" ht="15" hidden="false" customHeight="false" outlineLevel="0" collapsed="false">
      <c r="A1689" s="55"/>
      <c r="B1689" s="56"/>
      <c r="C1689" s="56"/>
      <c r="D1689" s="56"/>
      <c r="E1689" s="56"/>
      <c r="F1689" s="56"/>
      <c r="G1689" s="58"/>
      <c r="H1689" s="56"/>
      <c r="I1689" s="61" t="str">
        <f aca="false">IF(IsPro,IF(OR($C1689="",N($G1689)=0),"",IF(OR($C1689="Receipt",$C1689="Other Income",$C1689="Capital In",$C1689="Transfer In"),$G1689,0)),"")</f>
        <v/>
      </c>
      <c r="J1689" s="61" t="str">
        <f aca="false">IF(IsPro,IF(OR($C1689="",N($G1689)=0),"",IF(I1689=0,$G1689,0)),"")</f>
        <v/>
      </c>
      <c r="K1689" s="60" t="str">
        <f aca="false">IF(IsPro,IF($C1689="","",IF(AND(OR($C1689="Receipt",$C1689="Payment"),$D1689=""),"Party needed",IF(AND(OR($C1689="Expense",$C1689="Other Income"),$E1689=""),"Head needed",IF($F1689="","Account needed","OK")))),IF($C1689="","","PRO PLAN"))</f>
        <v/>
      </c>
    </row>
    <row r="1690" customFormat="false" ht="15" hidden="false" customHeight="false" outlineLevel="0" collapsed="false">
      <c r="A1690" s="55"/>
      <c r="B1690" s="56"/>
      <c r="C1690" s="56"/>
      <c r="D1690" s="56"/>
      <c r="E1690" s="56"/>
      <c r="F1690" s="56"/>
      <c r="G1690" s="58"/>
      <c r="H1690" s="56"/>
      <c r="I1690" s="61" t="str">
        <f aca="false">IF(IsPro,IF(OR($C1690="",N($G1690)=0),"",IF(OR($C1690="Receipt",$C1690="Other Income",$C1690="Capital In",$C1690="Transfer In"),$G1690,0)),"")</f>
        <v/>
      </c>
      <c r="J1690" s="61" t="str">
        <f aca="false">IF(IsPro,IF(OR($C1690="",N($G1690)=0),"",IF(I1690=0,$G1690,0)),"")</f>
        <v/>
      </c>
      <c r="K1690" s="60" t="str">
        <f aca="false">IF(IsPro,IF($C1690="","",IF(AND(OR($C1690="Receipt",$C1690="Payment"),$D1690=""),"Party needed",IF(AND(OR($C1690="Expense",$C1690="Other Income"),$E1690=""),"Head needed",IF($F1690="","Account needed","OK")))),IF($C1690="","","PRO PLAN"))</f>
        <v/>
      </c>
    </row>
    <row r="1691" customFormat="false" ht="15" hidden="false" customHeight="false" outlineLevel="0" collapsed="false">
      <c r="A1691" s="55"/>
      <c r="B1691" s="56"/>
      <c r="C1691" s="56"/>
      <c r="D1691" s="56"/>
      <c r="E1691" s="56"/>
      <c r="F1691" s="56"/>
      <c r="G1691" s="58"/>
      <c r="H1691" s="56"/>
      <c r="I1691" s="61" t="str">
        <f aca="false">IF(IsPro,IF(OR($C1691="",N($G1691)=0),"",IF(OR($C1691="Receipt",$C1691="Other Income",$C1691="Capital In",$C1691="Transfer In"),$G1691,0)),"")</f>
        <v/>
      </c>
      <c r="J1691" s="61" t="str">
        <f aca="false">IF(IsPro,IF(OR($C1691="",N($G1691)=0),"",IF(I1691=0,$G1691,0)),"")</f>
        <v/>
      </c>
      <c r="K1691" s="60" t="str">
        <f aca="false">IF(IsPro,IF($C1691="","",IF(AND(OR($C1691="Receipt",$C1691="Payment"),$D1691=""),"Party needed",IF(AND(OR($C1691="Expense",$C1691="Other Income"),$E1691=""),"Head needed",IF($F1691="","Account needed","OK")))),IF($C1691="","","PRO PLAN"))</f>
        <v/>
      </c>
    </row>
    <row r="1692" customFormat="false" ht="15" hidden="false" customHeight="false" outlineLevel="0" collapsed="false">
      <c r="A1692" s="55"/>
      <c r="B1692" s="56"/>
      <c r="C1692" s="56"/>
      <c r="D1692" s="56"/>
      <c r="E1692" s="56"/>
      <c r="F1692" s="56"/>
      <c r="G1692" s="58"/>
      <c r="H1692" s="56"/>
      <c r="I1692" s="61" t="str">
        <f aca="false">IF(IsPro,IF(OR($C1692="",N($G1692)=0),"",IF(OR($C1692="Receipt",$C1692="Other Income",$C1692="Capital In",$C1692="Transfer In"),$G1692,0)),"")</f>
        <v/>
      </c>
      <c r="J1692" s="61" t="str">
        <f aca="false">IF(IsPro,IF(OR($C1692="",N($G1692)=0),"",IF(I1692=0,$G1692,0)),"")</f>
        <v/>
      </c>
      <c r="K1692" s="60" t="str">
        <f aca="false">IF(IsPro,IF($C1692="","",IF(AND(OR($C1692="Receipt",$C1692="Payment"),$D1692=""),"Party needed",IF(AND(OR($C1692="Expense",$C1692="Other Income"),$E1692=""),"Head needed",IF($F1692="","Account needed","OK")))),IF($C1692="","","PRO PLAN"))</f>
        <v/>
      </c>
    </row>
    <row r="1693" customFormat="false" ht="15" hidden="false" customHeight="false" outlineLevel="0" collapsed="false">
      <c r="A1693" s="55"/>
      <c r="B1693" s="56"/>
      <c r="C1693" s="56"/>
      <c r="D1693" s="56"/>
      <c r="E1693" s="56"/>
      <c r="F1693" s="56"/>
      <c r="G1693" s="58"/>
      <c r="H1693" s="56"/>
      <c r="I1693" s="61" t="str">
        <f aca="false">IF(IsPro,IF(OR($C1693="",N($G1693)=0),"",IF(OR($C1693="Receipt",$C1693="Other Income",$C1693="Capital In",$C1693="Transfer In"),$G1693,0)),"")</f>
        <v/>
      </c>
      <c r="J1693" s="61" t="str">
        <f aca="false">IF(IsPro,IF(OR($C1693="",N($G1693)=0),"",IF(I1693=0,$G1693,0)),"")</f>
        <v/>
      </c>
      <c r="K1693" s="60" t="str">
        <f aca="false">IF(IsPro,IF($C1693="","",IF(AND(OR($C1693="Receipt",$C1693="Payment"),$D1693=""),"Party needed",IF(AND(OR($C1693="Expense",$C1693="Other Income"),$E1693=""),"Head needed",IF($F1693="","Account needed","OK")))),IF($C1693="","","PRO PLAN"))</f>
        <v/>
      </c>
    </row>
    <row r="1694" customFormat="false" ht="15" hidden="false" customHeight="false" outlineLevel="0" collapsed="false">
      <c r="A1694" s="55"/>
      <c r="B1694" s="56"/>
      <c r="C1694" s="56"/>
      <c r="D1694" s="56"/>
      <c r="E1694" s="56"/>
      <c r="F1694" s="56"/>
      <c r="G1694" s="58"/>
      <c r="H1694" s="56"/>
      <c r="I1694" s="61" t="str">
        <f aca="false">IF(IsPro,IF(OR($C1694="",N($G1694)=0),"",IF(OR($C1694="Receipt",$C1694="Other Income",$C1694="Capital In",$C1694="Transfer In"),$G1694,0)),"")</f>
        <v/>
      </c>
      <c r="J1694" s="61" t="str">
        <f aca="false">IF(IsPro,IF(OR($C1694="",N($G1694)=0),"",IF(I1694=0,$G1694,0)),"")</f>
        <v/>
      </c>
      <c r="K1694" s="60" t="str">
        <f aca="false">IF(IsPro,IF($C1694="","",IF(AND(OR($C1694="Receipt",$C1694="Payment"),$D1694=""),"Party needed",IF(AND(OR($C1694="Expense",$C1694="Other Income"),$E1694=""),"Head needed",IF($F1694="","Account needed","OK")))),IF($C1694="","","PRO PLAN"))</f>
        <v/>
      </c>
    </row>
    <row r="1695" customFormat="false" ht="15" hidden="false" customHeight="false" outlineLevel="0" collapsed="false">
      <c r="A1695" s="55"/>
      <c r="B1695" s="56"/>
      <c r="C1695" s="56"/>
      <c r="D1695" s="56"/>
      <c r="E1695" s="56"/>
      <c r="F1695" s="56"/>
      <c r="G1695" s="58"/>
      <c r="H1695" s="56"/>
      <c r="I1695" s="61" t="str">
        <f aca="false">IF(IsPro,IF(OR($C1695="",N($G1695)=0),"",IF(OR($C1695="Receipt",$C1695="Other Income",$C1695="Capital In",$C1695="Transfer In"),$G1695,0)),"")</f>
        <v/>
      </c>
      <c r="J1695" s="61" t="str">
        <f aca="false">IF(IsPro,IF(OR($C1695="",N($G1695)=0),"",IF(I1695=0,$G1695,0)),"")</f>
        <v/>
      </c>
      <c r="K1695" s="60" t="str">
        <f aca="false">IF(IsPro,IF($C1695="","",IF(AND(OR($C1695="Receipt",$C1695="Payment"),$D1695=""),"Party needed",IF(AND(OR($C1695="Expense",$C1695="Other Income"),$E1695=""),"Head needed",IF($F1695="","Account needed","OK")))),IF($C1695="","","PRO PLAN"))</f>
        <v/>
      </c>
    </row>
    <row r="1696" customFormat="false" ht="15" hidden="false" customHeight="false" outlineLevel="0" collapsed="false">
      <c r="A1696" s="55"/>
      <c r="B1696" s="56"/>
      <c r="C1696" s="56"/>
      <c r="D1696" s="56"/>
      <c r="E1696" s="56"/>
      <c r="F1696" s="56"/>
      <c r="G1696" s="58"/>
      <c r="H1696" s="56"/>
      <c r="I1696" s="61" t="str">
        <f aca="false">IF(IsPro,IF(OR($C1696="",N($G1696)=0),"",IF(OR($C1696="Receipt",$C1696="Other Income",$C1696="Capital In",$C1696="Transfer In"),$G1696,0)),"")</f>
        <v/>
      </c>
      <c r="J1696" s="61" t="str">
        <f aca="false">IF(IsPro,IF(OR($C1696="",N($G1696)=0),"",IF(I1696=0,$G1696,0)),"")</f>
        <v/>
      </c>
      <c r="K1696" s="60" t="str">
        <f aca="false">IF(IsPro,IF($C1696="","",IF(AND(OR($C1696="Receipt",$C1696="Payment"),$D1696=""),"Party needed",IF(AND(OR($C1696="Expense",$C1696="Other Income"),$E1696=""),"Head needed",IF($F1696="","Account needed","OK")))),IF($C1696="","","PRO PLAN"))</f>
        <v/>
      </c>
    </row>
    <row r="1697" customFormat="false" ht="15" hidden="false" customHeight="false" outlineLevel="0" collapsed="false">
      <c r="A1697" s="55"/>
      <c r="B1697" s="56"/>
      <c r="C1697" s="56"/>
      <c r="D1697" s="56"/>
      <c r="E1697" s="56"/>
      <c r="F1697" s="56"/>
      <c r="G1697" s="58"/>
      <c r="H1697" s="56"/>
      <c r="I1697" s="61" t="str">
        <f aca="false">IF(IsPro,IF(OR($C1697="",N($G1697)=0),"",IF(OR($C1697="Receipt",$C1697="Other Income",$C1697="Capital In",$C1697="Transfer In"),$G1697,0)),"")</f>
        <v/>
      </c>
      <c r="J1697" s="61" t="str">
        <f aca="false">IF(IsPro,IF(OR($C1697="",N($G1697)=0),"",IF(I1697=0,$G1697,0)),"")</f>
        <v/>
      </c>
      <c r="K1697" s="60" t="str">
        <f aca="false">IF(IsPro,IF($C1697="","",IF(AND(OR($C1697="Receipt",$C1697="Payment"),$D1697=""),"Party needed",IF(AND(OR($C1697="Expense",$C1697="Other Income"),$E1697=""),"Head needed",IF($F1697="","Account needed","OK")))),IF($C1697="","","PRO PLAN"))</f>
        <v/>
      </c>
    </row>
    <row r="1698" customFormat="false" ht="15" hidden="false" customHeight="false" outlineLevel="0" collapsed="false">
      <c r="A1698" s="55"/>
      <c r="B1698" s="56"/>
      <c r="C1698" s="56"/>
      <c r="D1698" s="56"/>
      <c r="E1698" s="56"/>
      <c r="F1698" s="56"/>
      <c r="G1698" s="58"/>
      <c r="H1698" s="56"/>
      <c r="I1698" s="61" t="str">
        <f aca="false">IF(IsPro,IF(OR($C1698="",N($G1698)=0),"",IF(OR($C1698="Receipt",$C1698="Other Income",$C1698="Capital In",$C1698="Transfer In"),$G1698,0)),"")</f>
        <v/>
      </c>
      <c r="J1698" s="61" t="str">
        <f aca="false">IF(IsPro,IF(OR($C1698="",N($G1698)=0),"",IF(I1698=0,$G1698,0)),"")</f>
        <v/>
      </c>
      <c r="K1698" s="60" t="str">
        <f aca="false">IF(IsPro,IF($C1698="","",IF(AND(OR($C1698="Receipt",$C1698="Payment"),$D1698=""),"Party needed",IF(AND(OR($C1698="Expense",$C1698="Other Income"),$E1698=""),"Head needed",IF($F1698="","Account needed","OK")))),IF($C1698="","","PRO PLAN"))</f>
        <v/>
      </c>
    </row>
    <row r="1699" customFormat="false" ht="15" hidden="false" customHeight="false" outlineLevel="0" collapsed="false">
      <c r="A1699" s="55"/>
      <c r="B1699" s="56"/>
      <c r="C1699" s="56"/>
      <c r="D1699" s="56"/>
      <c r="E1699" s="56"/>
      <c r="F1699" s="56"/>
      <c r="G1699" s="58"/>
      <c r="H1699" s="56"/>
      <c r="I1699" s="61" t="str">
        <f aca="false">IF(IsPro,IF(OR($C1699="",N($G1699)=0),"",IF(OR($C1699="Receipt",$C1699="Other Income",$C1699="Capital In",$C1699="Transfer In"),$G1699,0)),"")</f>
        <v/>
      </c>
      <c r="J1699" s="61" t="str">
        <f aca="false">IF(IsPro,IF(OR($C1699="",N($G1699)=0),"",IF(I1699=0,$G1699,0)),"")</f>
        <v/>
      </c>
      <c r="K1699" s="60" t="str">
        <f aca="false">IF(IsPro,IF($C1699="","",IF(AND(OR($C1699="Receipt",$C1699="Payment"),$D1699=""),"Party needed",IF(AND(OR($C1699="Expense",$C1699="Other Income"),$E1699=""),"Head needed",IF($F1699="","Account needed","OK")))),IF($C1699="","","PRO PLAN"))</f>
        <v/>
      </c>
    </row>
    <row r="1700" customFormat="false" ht="15" hidden="false" customHeight="false" outlineLevel="0" collapsed="false">
      <c r="A1700" s="55"/>
      <c r="B1700" s="56"/>
      <c r="C1700" s="56"/>
      <c r="D1700" s="56"/>
      <c r="E1700" s="56"/>
      <c r="F1700" s="56"/>
      <c r="G1700" s="58"/>
      <c r="H1700" s="56"/>
      <c r="I1700" s="61" t="str">
        <f aca="false">IF(IsPro,IF(OR($C1700="",N($G1700)=0),"",IF(OR($C1700="Receipt",$C1700="Other Income",$C1700="Capital In",$C1700="Transfer In"),$G1700,0)),"")</f>
        <v/>
      </c>
      <c r="J1700" s="61" t="str">
        <f aca="false">IF(IsPro,IF(OR($C1700="",N($G1700)=0),"",IF(I1700=0,$G1700,0)),"")</f>
        <v/>
      </c>
      <c r="K1700" s="60" t="str">
        <f aca="false">IF(IsPro,IF($C1700="","",IF(AND(OR($C1700="Receipt",$C1700="Payment"),$D1700=""),"Party needed",IF(AND(OR($C1700="Expense",$C1700="Other Income"),$E1700=""),"Head needed",IF($F1700="","Account needed","OK")))),IF($C1700="","","PRO PLAN"))</f>
        <v/>
      </c>
    </row>
    <row r="1701" customFormat="false" ht="15" hidden="false" customHeight="false" outlineLevel="0" collapsed="false">
      <c r="A1701" s="55"/>
      <c r="B1701" s="56"/>
      <c r="C1701" s="56"/>
      <c r="D1701" s="56"/>
      <c r="E1701" s="56"/>
      <c r="F1701" s="56"/>
      <c r="G1701" s="58"/>
      <c r="H1701" s="56"/>
      <c r="I1701" s="61" t="str">
        <f aca="false">IF(IsPro,IF(OR($C1701="",N($G1701)=0),"",IF(OR($C1701="Receipt",$C1701="Other Income",$C1701="Capital In",$C1701="Transfer In"),$G1701,0)),"")</f>
        <v/>
      </c>
      <c r="J1701" s="61" t="str">
        <f aca="false">IF(IsPro,IF(OR($C1701="",N($G1701)=0),"",IF(I1701=0,$G1701,0)),"")</f>
        <v/>
      </c>
      <c r="K1701" s="60" t="str">
        <f aca="false">IF(IsPro,IF($C1701="","",IF(AND(OR($C1701="Receipt",$C1701="Payment"),$D1701=""),"Party needed",IF(AND(OR($C1701="Expense",$C1701="Other Income"),$E1701=""),"Head needed",IF($F1701="","Account needed","OK")))),IF($C1701="","","PRO PLAN"))</f>
        <v/>
      </c>
    </row>
    <row r="1702" customFormat="false" ht="15" hidden="false" customHeight="false" outlineLevel="0" collapsed="false">
      <c r="A1702" s="55"/>
      <c r="B1702" s="56"/>
      <c r="C1702" s="56"/>
      <c r="D1702" s="56"/>
      <c r="E1702" s="56"/>
      <c r="F1702" s="56"/>
      <c r="G1702" s="58"/>
      <c r="H1702" s="56"/>
      <c r="I1702" s="61" t="str">
        <f aca="false">IF(IsPro,IF(OR($C1702="",N($G1702)=0),"",IF(OR($C1702="Receipt",$C1702="Other Income",$C1702="Capital In",$C1702="Transfer In"),$G1702,0)),"")</f>
        <v/>
      </c>
      <c r="J1702" s="61" t="str">
        <f aca="false">IF(IsPro,IF(OR($C1702="",N($G1702)=0),"",IF(I1702=0,$G1702,0)),"")</f>
        <v/>
      </c>
      <c r="K1702" s="60" t="str">
        <f aca="false">IF(IsPro,IF($C1702="","",IF(AND(OR($C1702="Receipt",$C1702="Payment"),$D1702=""),"Party needed",IF(AND(OR($C1702="Expense",$C1702="Other Income"),$E1702=""),"Head needed",IF($F1702="","Account needed","OK")))),IF($C1702="","","PRO PLAN"))</f>
        <v/>
      </c>
    </row>
    <row r="1703" customFormat="false" ht="15" hidden="false" customHeight="false" outlineLevel="0" collapsed="false">
      <c r="A1703" s="55"/>
      <c r="B1703" s="56"/>
      <c r="C1703" s="56"/>
      <c r="D1703" s="56"/>
      <c r="E1703" s="56"/>
      <c r="F1703" s="56"/>
      <c r="G1703" s="58"/>
      <c r="H1703" s="56"/>
      <c r="I1703" s="61" t="str">
        <f aca="false">IF(IsPro,IF(OR($C1703="",N($G1703)=0),"",IF(OR($C1703="Receipt",$C1703="Other Income",$C1703="Capital In",$C1703="Transfer In"),$G1703,0)),"")</f>
        <v/>
      </c>
      <c r="J1703" s="61" t="str">
        <f aca="false">IF(IsPro,IF(OR($C1703="",N($G1703)=0),"",IF(I1703=0,$G1703,0)),"")</f>
        <v/>
      </c>
      <c r="K1703" s="60" t="str">
        <f aca="false">IF(IsPro,IF($C1703="","",IF(AND(OR($C1703="Receipt",$C1703="Payment"),$D1703=""),"Party needed",IF(AND(OR($C1703="Expense",$C1703="Other Income"),$E1703=""),"Head needed",IF($F1703="","Account needed","OK")))),IF($C1703="","","PRO PLAN"))</f>
        <v/>
      </c>
    </row>
    <row r="1704" customFormat="false" ht="15" hidden="false" customHeight="false" outlineLevel="0" collapsed="false">
      <c r="A1704" s="55"/>
      <c r="B1704" s="56"/>
      <c r="C1704" s="56"/>
      <c r="D1704" s="56"/>
      <c r="E1704" s="56"/>
      <c r="F1704" s="56"/>
      <c r="G1704" s="58"/>
      <c r="H1704" s="56"/>
      <c r="I1704" s="61" t="str">
        <f aca="false">IF(IsPro,IF(OR($C1704="",N($G1704)=0),"",IF(OR($C1704="Receipt",$C1704="Other Income",$C1704="Capital In",$C1704="Transfer In"),$G1704,0)),"")</f>
        <v/>
      </c>
      <c r="J1704" s="61" t="str">
        <f aca="false">IF(IsPro,IF(OR($C1704="",N($G1704)=0),"",IF(I1704=0,$G1704,0)),"")</f>
        <v/>
      </c>
      <c r="K1704" s="60" t="str">
        <f aca="false">IF(IsPro,IF($C1704="","",IF(AND(OR($C1704="Receipt",$C1704="Payment"),$D1704=""),"Party needed",IF(AND(OR($C1704="Expense",$C1704="Other Income"),$E1704=""),"Head needed",IF($F1704="","Account needed","OK")))),IF($C1704="","","PRO PLAN"))</f>
        <v/>
      </c>
    </row>
    <row r="1705" customFormat="false" ht="15" hidden="false" customHeight="false" outlineLevel="0" collapsed="false">
      <c r="A1705" s="55"/>
      <c r="B1705" s="56"/>
      <c r="C1705" s="56"/>
      <c r="D1705" s="56"/>
      <c r="E1705" s="56"/>
      <c r="F1705" s="56"/>
      <c r="G1705" s="58"/>
      <c r="H1705" s="56"/>
      <c r="I1705" s="61" t="str">
        <f aca="false">IF(IsPro,IF(OR($C1705="",N($G1705)=0),"",IF(OR($C1705="Receipt",$C1705="Other Income",$C1705="Capital In",$C1705="Transfer In"),$G1705,0)),"")</f>
        <v/>
      </c>
      <c r="J1705" s="61" t="str">
        <f aca="false">IF(IsPro,IF(OR($C1705="",N($G1705)=0),"",IF(I1705=0,$G1705,0)),"")</f>
        <v/>
      </c>
      <c r="K1705" s="60" t="str">
        <f aca="false">IF(IsPro,IF($C1705="","",IF(AND(OR($C1705="Receipt",$C1705="Payment"),$D1705=""),"Party needed",IF(AND(OR($C1705="Expense",$C1705="Other Income"),$E1705=""),"Head needed",IF($F1705="","Account needed","OK")))),IF($C1705="","","PRO PLAN"))</f>
        <v/>
      </c>
    </row>
    <row r="1706" customFormat="false" ht="15" hidden="false" customHeight="false" outlineLevel="0" collapsed="false">
      <c r="A1706" s="55"/>
      <c r="B1706" s="56"/>
      <c r="C1706" s="56"/>
      <c r="D1706" s="56"/>
      <c r="E1706" s="56"/>
      <c r="F1706" s="56"/>
      <c r="G1706" s="58"/>
      <c r="H1706" s="56"/>
      <c r="I1706" s="61" t="str">
        <f aca="false">IF(IsPro,IF(OR($C1706="",N($G1706)=0),"",IF(OR($C1706="Receipt",$C1706="Other Income",$C1706="Capital In",$C1706="Transfer In"),$G1706,0)),"")</f>
        <v/>
      </c>
      <c r="J1706" s="61" t="str">
        <f aca="false">IF(IsPro,IF(OR($C1706="",N($G1706)=0),"",IF(I1706=0,$G1706,0)),"")</f>
        <v/>
      </c>
      <c r="K1706" s="60" t="str">
        <f aca="false">IF(IsPro,IF($C1706="","",IF(AND(OR($C1706="Receipt",$C1706="Payment"),$D1706=""),"Party needed",IF(AND(OR($C1706="Expense",$C1706="Other Income"),$E1706=""),"Head needed",IF($F1706="","Account needed","OK")))),IF($C1706="","","PRO PLAN"))</f>
        <v/>
      </c>
    </row>
    <row r="1707" customFormat="false" ht="15" hidden="false" customHeight="false" outlineLevel="0" collapsed="false">
      <c r="A1707" s="55"/>
      <c r="B1707" s="56"/>
      <c r="C1707" s="56"/>
      <c r="D1707" s="56"/>
      <c r="E1707" s="56"/>
      <c r="F1707" s="56"/>
      <c r="G1707" s="58"/>
      <c r="H1707" s="56"/>
      <c r="I1707" s="61" t="str">
        <f aca="false">IF(IsPro,IF(OR($C1707="",N($G1707)=0),"",IF(OR($C1707="Receipt",$C1707="Other Income",$C1707="Capital In",$C1707="Transfer In"),$G1707,0)),"")</f>
        <v/>
      </c>
      <c r="J1707" s="61" t="str">
        <f aca="false">IF(IsPro,IF(OR($C1707="",N($G1707)=0),"",IF(I1707=0,$G1707,0)),"")</f>
        <v/>
      </c>
      <c r="K1707" s="60" t="str">
        <f aca="false">IF(IsPro,IF($C1707="","",IF(AND(OR($C1707="Receipt",$C1707="Payment"),$D1707=""),"Party needed",IF(AND(OR($C1707="Expense",$C1707="Other Income"),$E1707=""),"Head needed",IF($F1707="","Account needed","OK")))),IF($C1707="","","PRO PLAN"))</f>
        <v/>
      </c>
    </row>
    <row r="1708" customFormat="false" ht="15" hidden="false" customHeight="false" outlineLevel="0" collapsed="false">
      <c r="A1708" s="55"/>
      <c r="B1708" s="56"/>
      <c r="C1708" s="56"/>
      <c r="D1708" s="56"/>
      <c r="E1708" s="56"/>
      <c r="F1708" s="56"/>
      <c r="G1708" s="58"/>
      <c r="H1708" s="56"/>
      <c r="I1708" s="61" t="str">
        <f aca="false">IF(IsPro,IF(OR($C1708="",N($G1708)=0),"",IF(OR($C1708="Receipt",$C1708="Other Income",$C1708="Capital In",$C1708="Transfer In"),$G1708,0)),"")</f>
        <v/>
      </c>
      <c r="J1708" s="61" t="str">
        <f aca="false">IF(IsPro,IF(OR($C1708="",N($G1708)=0),"",IF(I1708=0,$G1708,0)),"")</f>
        <v/>
      </c>
      <c r="K1708" s="60" t="str">
        <f aca="false">IF(IsPro,IF($C1708="","",IF(AND(OR($C1708="Receipt",$C1708="Payment"),$D1708=""),"Party needed",IF(AND(OR($C1708="Expense",$C1708="Other Income"),$E1708=""),"Head needed",IF($F1708="","Account needed","OK")))),IF($C1708="","","PRO PLAN"))</f>
        <v/>
      </c>
    </row>
    <row r="1709" customFormat="false" ht="15" hidden="false" customHeight="false" outlineLevel="0" collapsed="false">
      <c r="A1709" s="55"/>
      <c r="B1709" s="56"/>
      <c r="C1709" s="56"/>
      <c r="D1709" s="56"/>
      <c r="E1709" s="56"/>
      <c r="F1709" s="56"/>
      <c r="G1709" s="58"/>
      <c r="H1709" s="56"/>
      <c r="I1709" s="61" t="str">
        <f aca="false">IF(IsPro,IF(OR($C1709="",N($G1709)=0),"",IF(OR($C1709="Receipt",$C1709="Other Income",$C1709="Capital In",$C1709="Transfer In"),$G1709,0)),"")</f>
        <v/>
      </c>
      <c r="J1709" s="61" t="str">
        <f aca="false">IF(IsPro,IF(OR($C1709="",N($G1709)=0),"",IF(I1709=0,$G1709,0)),"")</f>
        <v/>
      </c>
      <c r="K1709" s="60" t="str">
        <f aca="false">IF(IsPro,IF($C1709="","",IF(AND(OR($C1709="Receipt",$C1709="Payment"),$D1709=""),"Party needed",IF(AND(OR($C1709="Expense",$C1709="Other Income"),$E1709=""),"Head needed",IF($F1709="","Account needed","OK")))),IF($C1709="","","PRO PLAN"))</f>
        <v/>
      </c>
    </row>
    <row r="1710" customFormat="false" ht="15" hidden="false" customHeight="false" outlineLevel="0" collapsed="false">
      <c r="A1710" s="55"/>
      <c r="B1710" s="56"/>
      <c r="C1710" s="56"/>
      <c r="D1710" s="56"/>
      <c r="E1710" s="56"/>
      <c r="F1710" s="56"/>
      <c r="G1710" s="58"/>
      <c r="H1710" s="56"/>
      <c r="I1710" s="61" t="str">
        <f aca="false">IF(IsPro,IF(OR($C1710="",N($G1710)=0),"",IF(OR($C1710="Receipt",$C1710="Other Income",$C1710="Capital In",$C1710="Transfer In"),$G1710,0)),"")</f>
        <v/>
      </c>
      <c r="J1710" s="61" t="str">
        <f aca="false">IF(IsPro,IF(OR($C1710="",N($G1710)=0),"",IF(I1710=0,$G1710,0)),"")</f>
        <v/>
      </c>
      <c r="K1710" s="60" t="str">
        <f aca="false">IF(IsPro,IF($C1710="","",IF(AND(OR($C1710="Receipt",$C1710="Payment"),$D1710=""),"Party needed",IF(AND(OR($C1710="Expense",$C1710="Other Income"),$E1710=""),"Head needed",IF($F1710="","Account needed","OK")))),IF($C1710="","","PRO PLAN"))</f>
        <v/>
      </c>
    </row>
    <row r="1711" customFormat="false" ht="15" hidden="false" customHeight="false" outlineLevel="0" collapsed="false">
      <c r="A1711" s="55"/>
      <c r="B1711" s="56"/>
      <c r="C1711" s="56"/>
      <c r="D1711" s="56"/>
      <c r="E1711" s="56"/>
      <c r="F1711" s="56"/>
      <c r="G1711" s="58"/>
      <c r="H1711" s="56"/>
      <c r="I1711" s="61" t="str">
        <f aca="false">IF(IsPro,IF(OR($C1711="",N($G1711)=0),"",IF(OR($C1711="Receipt",$C1711="Other Income",$C1711="Capital In",$C1711="Transfer In"),$G1711,0)),"")</f>
        <v/>
      </c>
      <c r="J1711" s="61" t="str">
        <f aca="false">IF(IsPro,IF(OR($C1711="",N($G1711)=0),"",IF(I1711=0,$G1711,0)),"")</f>
        <v/>
      </c>
      <c r="K1711" s="60" t="str">
        <f aca="false">IF(IsPro,IF($C1711="","",IF(AND(OR($C1711="Receipt",$C1711="Payment"),$D1711=""),"Party needed",IF(AND(OR($C1711="Expense",$C1711="Other Income"),$E1711=""),"Head needed",IF($F1711="","Account needed","OK")))),IF($C1711="","","PRO PLAN"))</f>
        <v/>
      </c>
    </row>
    <row r="1712" customFormat="false" ht="15" hidden="false" customHeight="false" outlineLevel="0" collapsed="false">
      <c r="A1712" s="55"/>
      <c r="B1712" s="56"/>
      <c r="C1712" s="56"/>
      <c r="D1712" s="56"/>
      <c r="E1712" s="56"/>
      <c r="F1712" s="56"/>
      <c r="G1712" s="58"/>
      <c r="H1712" s="56"/>
      <c r="I1712" s="61" t="str">
        <f aca="false">IF(IsPro,IF(OR($C1712="",N($G1712)=0),"",IF(OR($C1712="Receipt",$C1712="Other Income",$C1712="Capital In",$C1712="Transfer In"),$G1712,0)),"")</f>
        <v/>
      </c>
      <c r="J1712" s="61" t="str">
        <f aca="false">IF(IsPro,IF(OR($C1712="",N($G1712)=0),"",IF(I1712=0,$G1712,0)),"")</f>
        <v/>
      </c>
      <c r="K1712" s="60" t="str">
        <f aca="false">IF(IsPro,IF($C1712="","",IF(AND(OR($C1712="Receipt",$C1712="Payment"),$D1712=""),"Party needed",IF(AND(OR($C1712="Expense",$C1712="Other Income"),$E1712=""),"Head needed",IF($F1712="","Account needed","OK")))),IF($C1712="","","PRO PLAN"))</f>
        <v/>
      </c>
    </row>
    <row r="1713" customFormat="false" ht="15" hidden="false" customHeight="false" outlineLevel="0" collapsed="false">
      <c r="A1713" s="55"/>
      <c r="B1713" s="56"/>
      <c r="C1713" s="56"/>
      <c r="D1713" s="56"/>
      <c r="E1713" s="56"/>
      <c r="F1713" s="56"/>
      <c r="G1713" s="58"/>
      <c r="H1713" s="56"/>
      <c r="I1713" s="61" t="str">
        <f aca="false">IF(IsPro,IF(OR($C1713="",N($G1713)=0),"",IF(OR($C1713="Receipt",$C1713="Other Income",$C1713="Capital In",$C1713="Transfer In"),$G1713,0)),"")</f>
        <v/>
      </c>
      <c r="J1713" s="61" t="str">
        <f aca="false">IF(IsPro,IF(OR($C1713="",N($G1713)=0),"",IF(I1713=0,$G1713,0)),"")</f>
        <v/>
      </c>
      <c r="K1713" s="60" t="str">
        <f aca="false">IF(IsPro,IF($C1713="","",IF(AND(OR($C1713="Receipt",$C1713="Payment"),$D1713=""),"Party needed",IF(AND(OR($C1713="Expense",$C1713="Other Income"),$E1713=""),"Head needed",IF($F1713="","Account needed","OK")))),IF($C1713="","","PRO PLAN"))</f>
        <v/>
      </c>
    </row>
    <row r="1714" customFormat="false" ht="15" hidden="false" customHeight="false" outlineLevel="0" collapsed="false">
      <c r="A1714" s="55"/>
      <c r="B1714" s="56"/>
      <c r="C1714" s="56"/>
      <c r="D1714" s="56"/>
      <c r="E1714" s="56"/>
      <c r="F1714" s="56"/>
      <c r="G1714" s="58"/>
      <c r="H1714" s="56"/>
      <c r="I1714" s="61" t="str">
        <f aca="false">IF(IsPro,IF(OR($C1714="",N($G1714)=0),"",IF(OR($C1714="Receipt",$C1714="Other Income",$C1714="Capital In",$C1714="Transfer In"),$G1714,0)),"")</f>
        <v/>
      </c>
      <c r="J1714" s="61" t="str">
        <f aca="false">IF(IsPro,IF(OR($C1714="",N($G1714)=0),"",IF(I1714=0,$G1714,0)),"")</f>
        <v/>
      </c>
      <c r="K1714" s="60" t="str">
        <f aca="false">IF(IsPro,IF($C1714="","",IF(AND(OR($C1714="Receipt",$C1714="Payment"),$D1714=""),"Party needed",IF(AND(OR($C1714="Expense",$C1714="Other Income"),$E1714=""),"Head needed",IF($F1714="","Account needed","OK")))),IF($C1714="","","PRO PLAN"))</f>
        <v/>
      </c>
    </row>
    <row r="1715" customFormat="false" ht="15" hidden="false" customHeight="false" outlineLevel="0" collapsed="false">
      <c r="A1715" s="55"/>
      <c r="B1715" s="56"/>
      <c r="C1715" s="56"/>
      <c r="D1715" s="56"/>
      <c r="E1715" s="56"/>
      <c r="F1715" s="56"/>
      <c r="G1715" s="58"/>
      <c r="H1715" s="56"/>
      <c r="I1715" s="61" t="str">
        <f aca="false">IF(IsPro,IF(OR($C1715="",N($G1715)=0),"",IF(OR($C1715="Receipt",$C1715="Other Income",$C1715="Capital In",$C1715="Transfer In"),$G1715,0)),"")</f>
        <v/>
      </c>
      <c r="J1715" s="61" t="str">
        <f aca="false">IF(IsPro,IF(OR($C1715="",N($G1715)=0),"",IF(I1715=0,$G1715,0)),"")</f>
        <v/>
      </c>
      <c r="K1715" s="60" t="str">
        <f aca="false">IF(IsPro,IF($C1715="","",IF(AND(OR($C1715="Receipt",$C1715="Payment"),$D1715=""),"Party needed",IF(AND(OR($C1715="Expense",$C1715="Other Income"),$E1715=""),"Head needed",IF($F1715="","Account needed","OK")))),IF($C1715="","","PRO PLAN"))</f>
        <v/>
      </c>
    </row>
    <row r="1716" customFormat="false" ht="15" hidden="false" customHeight="false" outlineLevel="0" collapsed="false">
      <c r="A1716" s="55"/>
      <c r="B1716" s="56"/>
      <c r="C1716" s="56"/>
      <c r="D1716" s="56"/>
      <c r="E1716" s="56"/>
      <c r="F1716" s="56"/>
      <c r="G1716" s="58"/>
      <c r="H1716" s="56"/>
      <c r="I1716" s="61" t="str">
        <f aca="false">IF(IsPro,IF(OR($C1716="",N($G1716)=0),"",IF(OR($C1716="Receipt",$C1716="Other Income",$C1716="Capital In",$C1716="Transfer In"),$G1716,0)),"")</f>
        <v/>
      </c>
      <c r="J1716" s="61" t="str">
        <f aca="false">IF(IsPro,IF(OR($C1716="",N($G1716)=0),"",IF(I1716=0,$G1716,0)),"")</f>
        <v/>
      </c>
      <c r="K1716" s="60" t="str">
        <f aca="false">IF(IsPro,IF($C1716="","",IF(AND(OR($C1716="Receipt",$C1716="Payment"),$D1716=""),"Party needed",IF(AND(OR($C1716="Expense",$C1716="Other Income"),$E1716=""),"Head needed",IF($F1716="","Account needed","OK")))),IF($C1716="","","PRO PLAN"))</f>
        <v/>
      </c>
    </row>
    <row r="1717" customFormat="false" ht="15" hidden="false" customHeight="false" outlineLevel="0" collapsed="false">
      <c r="A1717" s="55"/>
      <c r="B1717" s="56"/>
      <c r="C1717" s="56"/>
      <c r="D1717" s="56"/>
      <c r="E1717" s="56"/>
      <c r="F1717" s="56"/>
      <c r="G1717" s="58"/>
      <c r="H1717" s="56"/>
      <c r="I1717" s="61" t="str">
        <f aca="false">IF(IsPro,IF(OR($C1717="",N($G1717)=0),"",IF(OR($C1717="Receipt",$C1717="Other Income",$C1717="Capital In",$C1717="Transfer In"),$G1717,0)),"")</f>
        <v/>
      </c>
      <c r="J1717" s="61" t="str">
        <f aca="false">IF(IsPro,IF(OR($C1717="",N($G1717)=0),"",IF(I1717=0,$G1717,0)),"")</f>
        <v/>
      </c>
      <c r="K1717" s="60" t="str">
        <f aca="false">IF(IsPro,IF($C1717="","",IF(AND(OR($C1717="Receipt",$C1717="Payment"),$D1717=""),"Party needed",IF(AND(OR($C1717="Expense",$C1717="Other Income"),$E1717=""),"Head needed",IF($F1717="","Account needed","OK")))),IF($C1717="","","PRO PLAN"))</f>
        <v/>
      </c>
    </row>
    <row r="1718" customFormat="false" ht="15" hidden="false" customHeight="false" outlineLevel="0" collapsed="false">
      <c r="A1718" s="55"/>
      <c r="B1718" s="56"/>
      <c r="C1718" s="56"/>
      <c r="D1718" s="56"/>
      <c r="E1718" s="56"/>
      <c r="F1718" s="56"/>
      <c r="G1718" s="58"/>
      <c r="H1718" s="56"/>
      <c r="I1718" s="61" t="str">
        <f aca="false">IF(IsPro,IF(OR($C1718="",N($G1718)=0),"",IF(OR($C1718="Receipt",$C1718="Other Income",$C1718="Capital In",$C1718="Transfer In"),$G1718,0)),"")</f>
        <v/>
      </c>
      <c r="J1718" s="61" t="str">
        <f aca="false">IF(IsPro,IF(OR($C1718="",N($G1718)=0),"",IF(I1718=0,$G1718,0)),"")</f>
        <v/>
      </c>
      <c r="K1718" s="60" t="str">
        <f aca="false">IF(IsPro,IF($C1718="","",IF(AND(OR($C1718="Receipt",$C1718="Payment"),$D1718=""),"Party needed",IF(AND(OR($C1718="Expense",$C1718="Other Income"),$E1718=""),"Head needed",IF($F1718="","Account needed","OK")))),IF($C1718="","","PRO PLAN"))</f>
        <v/>
      </c>
    </row>
    <row r="1719" customFormat="false" ht="15" hidden="false" customHeight="false" outlineLevel="0" collapsed="false">
      <c r="A1719" s="55"/>
      <c r="B1719" s="56"/>
      <c r="C1719" s="56"/>
      <c r="D1719" s="56"/>
      <c r="E1719" s="56"/>
      <c r="F1719" s="56"/>
      <c r="G1719" s="58"/>
      <c r="H1719" s="56"/>
      <c r="I1719" s="61" t="str">
        <f aca="false">IF(IsPro,IF(OR($C1719="",N($G1719)=0),"",IF(OR($C1719="Receipt",$C1719="Other Income",$C1719="Capital In",$C1719="Transfer In"),$G1719,0)),"")</f>
        <v/>
      </c>
      <c r="J1719" s="61" t="str">
        <f aca="false">IF(IsPro,IF(OR($C1719="",N($G1719)=0),"",IF(I1719=0,$G1719,0)),"")</f>
        <v/>
      </c>
      <c r="K1719" s="60" t="str">
        <f aca="false">IF(IsPro,IF($C1719="","",IF(AND(OR($C1719="Receipt",$C1719="Payment"),$D1719=""),"Party needed",IF(AND(OR($C1719="Expense",$C1719="Other Income"),$E1719=""),"Head needed",IF($F1719="","Account needed","OK")))),IF($C1719="","","PRO PLAN"))</f>
        <v/>
      </c>
    </row>
    <row r="1720" customFormat="false" ht="15" hidden="false" customHeight="false" outlineLevel="0" collapsed="false">
      <c r="A1720" s="55"/>
      <c r="B1720" s="56"/>
      <c r="C1720" s="56"/>
      <c r="D1720" s="56"/>
      <c r="E1720" s="56"/>
      <c r="F1720" s="56"/>
      <c r="G1720" s="58"/>
      <c r="H1720" s="56"/>
      <c r="I1720" s="61" t="str">
        <f aca="false">IF(IsPro,IF(OR($C1720="",N($G1720)=0),"",IF(OR($C1720="Receipt",$C1720="Other Income",$C1720="Capital In",$C1720="Transfer In"),$G1720,0)),"")</f>
        <v/>
      </c>
      <c r="J1720" s="61" t="str">
        <f aca="false">IF(IsPro,IF(OR($C1720="",N($G1720)=0),"",IF(I1720=0,$G1720,0)),"")</f>
        <v/>
      </c>
      <c r="K1720" s="60" t="str">
        <f aca="false">IF(IsPro,IF($C1720="","",IF(AND(OR($C1720="Receipt",$C1720="Payment"),$D1720=""),"Party needed",IF(AND(OR($C1720="Expense",$C1720="Other Income"),$E1720=""),"Head needed",IF($F1720="","Account needed","OK")))),IF($C1720="","","PRO PLAN"))</f>
        <v/>
      </c>
    </row>
    <row r="1721" customFormat="false" ht="15" hidden="false" customHeight="false" outlineLevel="0" collapsed="false">
      <c r="A1721" s="55"/>
      <c r="B1721" s="56"/>
      <c r="C1721" s="56"/>
      <c r="D1721" s="56"/>
      <c r="E1721" s="56"/>
      <c r="F1721" s="56"/>
      <c r="G1721" s="58"/>
      <c r="H1721" s="56"/>
      <c r="I1721" s="61" t="str">
        <f aca="false">IF(IsPro,IF(OR($C1721="",N($G1721)=0),"",IF(OR($C1721="Receipt",$C1721="Other Income",$C1721="Capital In",$C1721="Transfer In"),$G1721,0)),"")</f>
        <v/>
      </c>
      <c r="J1721" s="61" t="str">
        <f aca="false">IF(IsPro,IF(OR($C1721="",N($G1721)=0),"",IF(I1721=0,$G1721,0)),"")</f>
        <v/>
      </c>
      <c r="K1721" s="60" t="str">
        <f aca="false">IF(IsPro,IF($C1721="","",IF(AND(OR($C1721="Receipt",$C1721="Payment"),$D1721=""),"Party needed",IF(AND(OR($C1721="Expense",$C1721="Other Income"),$E1721=""),"Head needed",IF($F1721="","Account needed","OK")))),IF($C1721="","","PRO PLAN"))</f>
        <v/>
      </c>
    </row>
    <row r="1722" customFormat="false" ht="15" hidden="false" customHeight="false" outlineLevel="0" collapsed="false">
      <c r="A1722" s="55"/>
      <c r="B1722" s="56"/>
      <c r="C1722" s="56"/>
      <c r="D1722" s="56"/>
      <c r="E1722" s="56"/>
      <c r="F1722" s="56"/>
      <c r="G1722" s="58"/>
      <c r="H1722" s="56"/>
      <c r="I1722" s="61" t="str">
        <f aca="false">IF(IsPro,IF(OR($C1722="",N($G1722)=0),"",IF(OR($C1722="Receipt",$C1722="Other Income",$C1722="Capital In",$C1722="Transfer In"),$G1722,0)),"")</f>
        <v/>
      </c>
      <c r="J1722" s="61" t="str">
        <f aca="false">IF(IsPro,IF(OR($C1722="",N($G1722)=0),"",IF(I1722=0,$G1722,0)),"")</f>
        <v/>
      </c>
      <c r="K1722" s="60" t="str">
        <f aca="false">IF(IsPro,IF($C1722="","",IF(AND(OR($C1722="Receipt",$C1722="Payment"),$D1722=""),"Party needed",IF(AND(OR($C1722="Expense",$C1722="Other Income"),$E1722=""),"Head needed",IF($F1722="","Account needed","OK")))),IF($C1722="","","PRO PLAN"))</f>
        <v/>
      </c>
    </row>
    <row r="1723" customFormat="false" ht="15" hidden="false" customHeight="false" outlineLevel="0" collapsed="false">
      <c r="A1723" s="55"/>
      <c r="B1723" s="56"/>
      <c r="C1723" s="56"/>
      <c r="D1723" s="56"/>
      <c r="E1723" s="56"/>
      <c r="F1723" s="56"/>
      <c r="G1723" s="58"/>
      <c r="H1723" s="56"/>
      <c r="I1723" s="61" t="str">
        <f aca="false">IF(IsPro,IF(OR($C1723="",N($G1723)=0),"",IF(OR($C1723="Receipt",$C1723="Other Income",$C1723="Capital In",$C1723="Transfer In"),$G1723,0)),"")</f>
        <v/>
      </c>
      <c r="J1723" s="61" t="str">
        <f aca="false">IF(IsPro,IF(OR($C1723="",N($G1723)=0),"",IF(I1723=0,$G1723,0)),"")</f>
        <v/>
      </c>
      <c r="K1723" s="60" t="str">
        <f aca="false">IF(IsPro,IF($C1723="","",IF(AND(OR($C1723="Receipt",$C1723="Payment"),$D1723=""),"Party needed",IF(AND(OR($C1723="Expense",$C1723="Other Income"),$E1723=""),"Head needed",IF($F1723="","Account needed","OK")))),IF($C1723="","","PRO PLAN"))</f>
        <v/>
      </c>
    </row>
    <row r="1724" customFormat="false" ht="15" hidden="false" customHeight="false" outlineLevel="0" collapsed="false">
      <c r="A1724" s="55"/>
      <c r="B1724" s="56"/>
      <c r="C1724" s="56"/>
      <c r="D1724" s="56"/>
      <c r="E1724" s="56"/>
      <c r="F1724" s="56"/>
      <c r="G1724" s="58"/>
      <c r="H1724" s="56"/>
      <c r="I1724" s="61" t="str">
        <f aca="false">IF(IsPro,IF(OR($C1724="",N($G1724)=0),"",IF(OR($C1724="Receipt",$C1724="Other Income",$C1724="Capital In",$C1724="Transfer In"),$G1724,0)),"")</f>
        <v/>
      </c>
      <c r="J1724" s="61" t="str">
        <f aca="false">IF(IsPro,IF(OR($C1724="",N($G1724)=0),"",IF(I1724=0,$G1724,0)),"")</f>
        <v/>
      </c>
      <c r="K1724" s="60" t="str">
        <f aca="false">IF(IsPro,IF($C1724="","",IF(AND(OR($C1724="Receipt",$C1724="Payment"),$D1724=""),"Party needed",IF(AND(OR($C1724="Expense",$C1724="Other Income"),$E1724=""),"Head needed",IF($F1724="","Account needed","OK")))),IF($C1724="","","PRO PLAN"))</f>
        <v/>
      </c>
    </row>
    <row r="1725" customFormat="false" ht="15" hidden="false" customHeight="false" outlineLevel="0" collapsed="false">
      <c r="A1725" s="55"/>
      <c r="B1725" s="56"/>
      <c r="C1725" s="56"/>
      <c r="D1725" s="56"/>
      <c r="E1725" s="56"/>
      <c r="F1725" s="56"/>
      <c r="G1725" s="58"/>
      <c r="H1725" s="56"/>
      <c r="I1725" s="61" t="str">
        <f aca="false">IF(IsPro,IF(OR($C1725="",N($G1725)=0),"",IF(OR($C1725="Receipt",$C1725="Other Income",$C1725="Capital In",$C1725="Transfer In"),$G1725,0)),"")</f>
        <v/>
      </c>
      <c r="J1725" s="61" t="str">
        <f aca="false">IF(IsPro,IF(OR($C1725="",N($G1725)=0),"",IF(I1725=0,$G1725,0)),"")</f>
        <v/>
      </c>
      <c r="K1725" s="60" t="str">
        <f aca="false">IF(IsPro,IF($C1725="","",IF(AND(OR($C1725="Receipt",$C1725="Payment"),$D1725=""),"Party needed",IF(AND(OR($C1725="Expense",$C1725="Other Income"),$E1725=""),"Head needed",IF($F1725="","Account needed","OK")))),IF($C1725="","","PRO PLAN"))</f>
        <v/>
      </c>
    </row>
    <row r="1726" customFormat="false" ht="15" hidden="false" customHeight="false" outlineLevel="0" collapsed="false">
      <c r="A1726" s="55"/>
      <c r="B1726" s="56"/>
      <c r="C1726" s="56"/>
      <c r="D1726" s="56"/>
      <c r="E1726" s="56"/>
      <c r="F1726" s="56"/>
      <c r="G1726" s="58"/>
      <c r="H1726" s="56"/>
      <c r="I1726" s="61" t="str">
        <f aca="false">IF(IsPro,IF(OR($C1726="",N($G1726)=0),"",IF(OR($C1726="Receipt",$C1726="Other Income",$C1726="Capital In",$C1726="Transfer In"),$G1726,0)),"")</f>
        <v/>
      </c>
      <c r="J1726" s="61" t="str">
        <f aca="false">IF(IsPro,IF(OR($C1726="",N($G1726)=0),"",IF(I1726=0,$G1726,0)),"")</f>
        <v/>
      </c>
      <c r="K1726" s="60" t="str">
        <f aca="false">IF(IsPro,IF($C1726="","",IF(AND(OR($C1726="Receipt",$C1726="Payment"),$D1726=""),"Party needed",IF(AND(OR($C1726="Expense",$C1726="Other Income"),$E1726=""),"Head needed",IF($F1726="","Account needed","OK")))),IF($C1726="","","PRO PLAN"))</f>
        <v/>
      </c>
    </row>
    <row r="1727" customFormat="false" ht="15" hidden="false" customHeight="false" outlineLevel="0" collapsed="false">
      <c r="A1727" s="55"/>
      <c r="B1727" s="56"/>
      <c r="C1727" s="56"/>
      <c r="D1727" s="56"/>
      <c r="E1727" s="56"/>
      <c r="F1727" s="56"/>
      <c r="G1727" s="58"/>
      <c r="H1727" s="56"/>
      <c r="I1727" s="61" t="str">
        <f aca="false">IF(IsPro,IF(OR($C1727="",N($G1727)=0),"",IF(OR($C1727="Receipt",$C1727="Other Income",$C1727="Capital In",$C1727="Transfer In"),$G1727,0)),"")</f>
        <v/>
      </c>
      <c r="J1727" s="61" t="str">
        <f aca="false">IF(IsPro,IF(OR($C1727="",N($G1727)=0),"",IF(I1727=0,$G1727,0)),"")</f>
        <v/>
      </c>
      <c r="K1727" s="60" t="str">
        <f aca="false">IF(IsPro,IF($C1727="","",IF(AND(OR($C1727="Receipt",$C1727="Payment"),$D1727=""),"Party needed",IF(AND(OR($C1727="Expense",$C1727="Other Income"),$E1727=""),"Head needed",IF($F1727="","Account needed","OK")))),IF($C1727="","","PRO PLAN"))</f>
        <v/>
      </c>
    </row>
    <row r="1728" customFormat="false" ht="15" hidden="false" customHeight="false" outlineLevel="0" collapsed="false">
      <c r="A1728" s="55"/>
      <c r="B1728" s="56"/>
      <c r="C1728" s="56"/>
      <c r="D1728" s="56"/>
      <c r="E1728" s="56"/>
      <c r="F1728" s="56"/>
      <c r="G1728" s="58"/>
      <c r="H1728" s="56"/>
      <c r="I1728" s="61" t="str">
        <f aca="false">IF(IsPro,IF(OR($C1728="",N($G1728)=0),"",IF(OR($C1728="Receipt",$C1728="Other Income",$C1728="Capital In",$C1728="Transfer In"),$G1728,0)),"")</f>
        <v/>
      </c>
      <c r="J1728" s="61" t="str">
        <f aca="false">IF(IsPro,IF(OR($C1728="",N($G1728)=0),"",IF(I1728=0,$G1728,0)),"")</f>
        <v/>
      </c>
      <c r="K1728" s="60" t="str">
        <f aca="false">IF(IsPro,IF($C1728="","",IF(AND(OR($C1728="Receipt",$C1728="Payment"),$D1728=""),"Party needed",IF(AND(OR($C1728="Expense",$C1728="Other Income"),$E1728=""),"Head needed",IF($F1728="","Account needed","OK")))),IF($C1728="","","PRO PLAN"))</f>
        <v/>
      </c>
    </row>
    <row r="1729" customFormat="false" ht="15" hidden="false" customHeight="false" outlineLevel="0" collapsed="false">
      <c r="A1729" s="55"/>
      <c r="B1729" s="56"/>
      <c r="C1729" s="56"/>
      <c r="D1729" s="56"/>
      <c r="E1729" s="56"/>
      <c r="F1729" s="56"/>
      <c r="G1729" s="58"/>
      <c r="H1729" s="56"/>
      <c r="I1729" s="61" t="str">
        <f aca="false">IF(IsPro,IF(OR($C1729="",N($G1729)=0),"",IF(OR($C1729="Receipt",$C1729="Other Income",$C1729="Capital In",$C1729="Transfer In"),$G1729,0)),"")</f>
        <v/>
      </c>
      <c r="J1729" s="61" t="str">
        <f aca="false">IF(IsPro,IF(OR($C1729="",N($G1729)=0),"",IF(I1729=0,$G1729,0)),"")</f>
        <v/>
      </c>
      <c r="K1729" s="60" t="str">
        <f aca="false">IF(IsPro,IF($C1729="","",IF(AND(OR($C1729="Receipt",$C1729="Payment"),$D1729=""),"Party needed",IF(AND(OR($C1729="Expense",$C1729="Other Income"),$E1729=""),"Head needed",IF($F1729="","Account needed","OK")))),IF($C1729="","","PRO PLAN"))</f>
        <v/>
      </c>
    </row>
    <row r="1730" customFormat="false" ht="15" hidden="false" customHeight="false" outlineLevel="0" collapsed="false">
      <c r="A1730" s="55"/>
      <c r="B1730" s="56"/>
      <c r="C1730" s="56"/>
      <c r="D1730" s="56"/>
      <c r="E1730" s="56"/>
      <c r="F1730" s="56"/>
      <c r="G1730" s="58"/>
      <c r="H1730" s="56"/>
      <c r="I1730" s="61" t="str">
        <f aca="false">IF(IsPro,IF(OR($C1730="",N($G1730)=0),"",IF(OR($C1730="Receipt",$C1730="Other Income",$C1730="Capital In",$C1730="Transfer In"),$G1730,0)),"")</f>
        <v/>
      </c>
      <c r="J1730" s="61" t="str">
        <f aca="false">IF(IsPro,IF(OR($C1730="",N($G1730)=0),"",IF(I1730=0,$G1730,0)),"")</f>
        <v/>
      </c>
      <c r="K1730" s="60" t="str">
        <f aca="false">IF(IsPro,IF($C1730="","",IF(AND(OR($C1730="Receipt",$C1730="Payment"),$D1730=""),"Party needed",IF(AND(OR($C1730="Expense",$C1730="Other Income"),$E1730=""),"Head needed",IF($F1730="","Account needed","OK")))),IF($C1730="","","PRO PLAN"))</f>
        <v/>
      </c>
    </row>
    <row r="1731" customFormat="false" ht="15" hidden="false" customHeight="false" outlineLevel="0" collapsed="false">
      <c r="A1731" s="55"/>
      <c r="B1731" s="56"/>
      <c r="C1731" s="56"/>
      <c r="D1731" s="56"/>
      <c r="E1731" s="56"/>
      <c r="F1731" s="56"/>
      <c r="G1731" s="58"/>
      <c r="H1731" s="56"/>
      <c r="I1731" s="61" t="str">
        <f aca="false">IF(IsPro,IF(OR($C1731="",N($G1731)=0),"",IF(OR($C1731="Receipt",$C1731="Other Income",$C1731="Capital In",$C1731="Transfer In"),$G1731,0)),"")</f>
        <v/>
      </c>
      <c r="J1731" s="61" t="str">
        <f aca="false">IF(IsPro,IF(OR($C1731="",N($G1731)=0),"",IF(I1731=0,$G1731,0)),"")</f>
        <v/>
      </c>
      <c r="K1731" s="60" t="str">
        <f aca="false">IF(IsPro,IF($C1731="","",IF(AND(OR($C1731="Receipt",$C1731="Payment"),$D1731=""),"Party needed",IF(AND(OR($C1731="Expense",$C1731="Other Income"),$E1731=""),"Head needed",IF($F1731="","Account needed","OK")))),IF($C1731="","","PRO PLAN"))</f>
        <v/>
      </c>
    </row>
    <row r="1732" customFormat="false" ht="15" hidden="false" customHeight="false" outlineLevel="0" collapsed="false">
      <c r="A1732" s="55"/>
      <c r="B1732" s="56"/>
      <c r="C1732" s="56"/>
      <c r="D1732" s="56"/>
      <c r="E1732" s="56"/>
      <c r="F1732" s="56"/>
      <c r="G1732" s="58"/>
      <c r="H1732" s="56"/>
      <c r="I1732" s="61" t="str">
        <f aca="false">IF(IsPro,IF(OR($C1732="",N($G1732)=0),"",IF(OR($C1732="Receipt",$C1732="Other Income",$C1732="Capital In",$C1732="Transfer In"),$G1732,0)),"")</f>
        <v/>
      </c>
      <c r="J1732" s="61" t="str">
        <f aca="false">IF(IsPro,IF(OR($C1732="",N($G1732)=0),"",IF(I1732=0,$G1732,0)),"")</f>
        <v/>
      </c>
      <c r="K1732" s="60" t="str">
        <f aca="false">IF(IsPro,IF($C1732="","",IF(AND(OR($C1732="Receipt",$C1732="Payment"),$D1732=""),"Party needed",IF(AND(OR($C1732="Expense",$C1732="Other Income"),$E1732=""),"Head needed",IF($F1732="","Account needed","OK")))),IF($C1732="","","PRO PLAN"))</f>
        <v/>
      </c>
    </row>
    <row r="1733" customFormat="false" ht="15" hidden="false" customHeight="false" outlineLevel="0" collapsed="false">
      <c r="A1733" s="55"/>
      <c r="B1733" s="56"/>
      <c r="C1733" s="56"/>
      <c r="D1733" s="56"/>
      <c r="E1733" s="56"/>
      <c r="F1733" s="56"/>
      <c r="G1733" s="58"/>
      <c r="H1733" s="56"/>
      <c r="I1733" s="61" t="str">
        <f aca="false">IF(IsPro,IF(OR($C1733="",N($G1733)=0),"",IF(OR($C1733="Receipt",$C1733="Other Income",$C1733="Capital In",$C1733="Transfer In"),$G1733,0)),"")</f>
        <v/>
      </c>
      <c r="J1733" s="61" t="str">
        <f aca="false">IF(IsPro,IF(OR($C1733="",N($G1733)=0),"",IF(I1733=0,$G1733,0)),"")</f>
        <v/>
      </c>
      <c r="K1733" s="60" t="str">
        <f aca="false">IF(IsPro,IF($C1733="","",IF(AND(OR($C1733="Receipt",$C1733="Payment"),$D1733=""),"Party needed",IF(AND(OR($C1733="Expense",$C1733="Other Income"),$E1733=""),"Head needed",IF($F1733="","Account needed","OK")))),IF($C1733="","","PRO PLAN"))</f>
        <v/>
      </c>
    </row>
    <row r="1734" customFormat="false" ht="15" hidden="false" customHeight="false" outlineLevel="0" collapsed="false">
      <c r="A1734" s="55"/>
      <c r="B1734" s="56"/>
      <c r="C1734" s="56"/>
      <c r="D1734" s="56"/>
      <c r="E1734" s="56"/>
      <c r="F1734" s="56"/>
      <c r="G1734" s="58"/>
      <c r="H1734" s="56"/>
      <c r="I1734" s="61" t="str">
        <f aca="false">IF(IsPro,IF(OR($C1734="",N($G1734)=0),"",IF(OR($C1734="Receipt",$C1734="Other Income",$C1734="Capital In",$C1734="Transfer In"),$G1734,0)),"")</f>
        <v/>
      </c>
      <c r="J1734" s="61" t="str">
        <f aca="false">IF(IsPro,IF(OR($C1734="",N($G1734)=0),"",IF(I1734=0,$G1734,0)),"")</f>
        <v/>
      </c>
      <c r="K1734" s="60" t="str">
        <f aca="false">IF(IsPro,IF($C1734="","",IF(AND(OR($C1734="Receipt",$C1734="Payment"),$D1734=""),"Party needed",IF(AND(OR($C1734="Expense",$C1734="Other Income"),$E1734=""),"Head needed",IF($F1734="","Account needed","OK")))),IF($C1734="","","PRO PLAN"))</f>
        <v/>
      </c>
    </row>
    <row r="1735" customFormat="false" ht="15" hidden="false" customHeight="false" outlineLevel="0" collapsed="false">
      <c r="A1735" s="55"/>
      <c r="B1735" s="56"/>
      <c r="C1735" s="56"/>
      <c r="D1735" s="56"/>
      <c r="E1735" s="56"/>
      <c r="F1735" s="56"/>
      <c r="G1735" s="58"/>
      <c r="H1735" s="56"/>
      <c r="I1735" s="61" t="str">
        <f aca="false">IF(IsPro,IF(OR($C1735="",N($G1735)=0),"",IF(OR($C1735="Receipt",$C1735="Other Income",$C1735="Capital In",$C1735="Transfer In"),$G1735,0)),"")</f>
        <v/>
      </c>
      <c r="J1735" s="61" t="str">
        <f aca="false">IF(IsPro,IF(OR($C1735="",N($G1735)=0),"",IF(I1735=0,$G1735,0)),"")</f>
        <v/>
      </c>
      <c r="K1735" s="60" t="str">
        <f aca="false">IF(IsPro,IF($C1735="","",IF(AND(OR($C1735="Receipt",$C1735="Payment"),$D1735=""),"Party needed",IF(AND(OR($C1735="Expense",$C1735="Other Income"),$E1735=""),"Head needed",IF($F1735="","Account needed","OK")))),IF($C1735="","","PRO PLAN"))</f>
        <v/>
      </c>
    </row>
    <row r="1736" customFormat="false" ht="15" hidden="false" customHeight="false" outlineLevel="0" collapsed="false">
      <c r="A1736" s="55"/>
      <c r="B1736" s="56"/>
      <c r="C1736" s="56"/>
      <c r="D1736" s="56"/>
      <c r="E1736" s="56"/>
      <c r="F1736" s="56"/>
      <c r="G1736" s="58"/>
      <c r="H1736" s="56"/>
      <c r="I1736" s="61" t="str">
        <f aca="false">IF(IsPro,IF(OR($C1736="",N($G1736)=0),"",IF(OR($C1736="Receipt",$C1736="Other Income",$C1736="Capital In",$C1736="Transfer In"),$G1736,0)),"")</f>
        <v/>
      </c>
      <c r="J1736" s="61" t="str">
        <f aca="false">IF(IsPro,IF(OR($C1736="",N($G1736)=0),"",IF(I1736=0,$G1736,0)),"")</f>
        <v/>
      </c>
      <c r="K1736" s="60" t="str">
        <f aca="false">IF(IsPro,IF($C1736="","",IF(AND(OR($C1736="Receipt",$C1736="Payment"),$D1736=""),"Party needed",IF(AND(OR($C1736="Expense",$C1736="Other Income"),$E1736=""),"Head needed",IF($F1736="","Account needed","OK")))),IF($C1736="","","PRO PLAN"))</f>
        <v/>
      </c>
    </row>
    <row r="1737" customFormat="false" ht="15" hidden="false" customHeight="false" outlineLevel="0" collapsed="false">
      <c r="A1737" s="55"/>
      <c r="B1737" s="56"/>
      <c r="C1737" s="56"/>
      <c r="D1737" s="56"/>
      <c r="E1737" s="56"/>
      <c r="F1737" s="56"/>
      <c r="G1737" s="58"/>
      <c r="H1737" s="56"/>
      <c r="I1737" s="61" t="str">
        <f aca="false">IF(IsPro,IF(OR($C1737="",N($G1737)=0),"",IF(OR($C1737="Receipt",$C1737="Other Income",$C1737="Capital In",$C1737="Transfer In"),$G1737,0)),"")</f>
        <v/>
      </c>
      <c r="J1737" s="61" t="str">
        <f aca="false">IF(IsPro,IF(OR($C1737="",N($G1737)=0),"",IF(I1737=0,$G1737,0)),"")</f>
        <v/>
      </c>
      <c r="K1737" s="60" t="str">
        <f aca="false">IF(IsPro,IF($C1737="","",IF(AND(OR($C1737="Receipt",$C1737="Payment"),$D1737=""),"Party needed",IF(AND(OR($C1737="Expense",$C1737="Other Income"),$E1737=""),"Head needed",IF($F1737="","Account needed","OK")))),IF($C1737="","","PRO PLAN"))</f>
        <v/>
      </c>
    </row>
    <row r="1738" customFormat="false" ht="15" hidden="false" customHeight="false" outlineLevel="0" collapsed="false">
      <c r="A1738" s="55"/>
      <c r="B1738" s="56"/>
      <c r="C1738" s="56"/>
      <c r="D1738" s="56"/>
      <c r="E1738" s="56"/>
      <c r="F1738" s="56"/>
      <c r="G1738" s="58"/>
      <c r="H1738" s="56"/>
      <c r="I1738" s="61" t="str">
        <f aca="false">IF(IsPro,IF(OR($C1738="",N($G1738)=0),"",IF(OR($C1738="Receipt",$C1738="Other Income",$C1738="Capital In",$C1738="Transfer In"),$G1738,0)),"")</f>
        <v/>
      </c>
      <c r="J1738" s="61" t="str">
        <f aca="false">IF(IsPro,IF(OR($C1738="",N($G1738)=0),"",IF(I1738=0,$G1738,0)),"")</f>
        <v/>
      </c>
      <c r="K1738" s="60" t="str">
        <f aca="false">IF(IsPro,IF($C1738="","",IF(AND(OR($C1738="Receipt",$C1738="Payment"),$D1738=""),"Party needed",IF(AND(OR($C1738="Expense",$C1738="Other Income"),$E1738=""),"Head needed",IF($F1738="","Account needed","OK")))),IF($C1738="","","PRO PLAN"))</f>
        <v/>
      </c>
    </row>
    <row r="1739" customFormat="false" ht="15" hidden="false" customHeight="false" outlineLevel="0" collapsed="false">
      <c r="A1739" s="55"/>
      <c r="B1739" s="56"/>
      <c r="C1739" s="56"/>
      <c r="D1739" s="56"/>
      <c r="E1739" s="56"/>
      <c r="F1739" s="56"/>
      <c r="G1739" s="58"/>
      <c r="H1739" s="56"/>
      <c r="I1739" s="61" t="str">
        <f aca="false">IF(IsPro,IF(OR($C1739="",N($G1739)=0),"",IF(OR($C1739="Receipt",$C1739="Other Income",$C1739="Capital In",$C1739="Transfer In"),$G1739,0)),"")</f>
        <v/>
      </c>
      <c r="J1739" s="61" t="str">
        <f aca="false">IF(IsPro,IF(OR($C1739="",N($G1739)=0),"",IF(I1739=0,$G1739,0)),"")</f>
        <v/>
      </c>
      <c r="K1739" s="60" t="str">
        <f aca="false">IF(IsPro,IF($C1739="","",IF(AND(OR($C1739="Receipt",$C1739="Payment"),$D1739=""),"Party needed",IF(AND(OR($C1739="Expense",$C1739="Other Income"),$E1739=""),"Head needed",IF($F1739="","Account needed","OK")))),IF($C1739="","","PRO PLAN"))</f>
        <v/>
      </c>
    </row>
    <row r="1740" customFormat="false" ht="15" hidden="false" customHeight="false" outlineLevel="0" collapsed="false">
      <c r="A1740" s="55"/>
      <c r="B1740" s="56"/>
      <c r="C1740" s="56"/>
      <c r="D1740" s="56"/>
      <c r="E1740" s="56"/>
      <c r="F1740" s="56"/>
      <c r="G1740" s="58"/>
      <c r="H1740" s="56"/>
      <c r="I1740" s="61" t="str">
        <f aca="false">IF(IsPro,IF(OR($C1740="",N($G1740)=0),"",IF(OR($C1740="Receipt",$C1740="Other Income",$C1740="Capital In",$C1740="Transfer In"),$G1740,0)),"")</f>
        <v/>
      </c>
      <c r="J1740" s="61" t="str">
        <f aca="false">IF(IsPro,IF(OR($C1740="",N($G1740)=0),"",IF(I1740=0,$G1740,0)),"")</f>
        <v/>
      </c>
      <c r="K1740" s="60" t="str">
        <f aca="false">IF(IsPro,IF($C1740="","",IF(AND(OR($C1740="Receipt",$C1740="Payment"),$D1740=""),"Party needed",IF(AND(OR($C1740="Expense",$C1740="Other Income"),$E1740=""),"Head needed",IF($F1740="","Account needed","OK")))),IF($C1740="","","PRO PLAN"))</f>
        <v/>
      </c>
    </row>
    <row r="1741" customFormat="false" ht="15" hidden="false" customHeight="false" outlineLevel="0" collapsed="false">
      <c r="A1741" s="55"/>
      <c r="B1741" s="56"/>
      <c r="C1741" s="56"/>
      <c r="D1741" s="56"/>
      <c r="E1741" s="56"/>
      <c r="F1741" s="56"/>
      <c r="G1741" s="58"/>
      <c r="H1741" s="56"/>
      <c r="I1741" s="61" t="str">
        <f aca="false">IF(IsPro,IF(OR($C1741="",N($G1741)=0),"",IF(OR($C1741="Receipt",$C1741="Other Income",$C1741="Capital In",$C1741="Transfer In"),$G1741,0)),"")</f>
        <v/>
      </c>
      <c r="J1741" s="61" t="str">
        <f aca="false">IF(IsPro,IF(OR($C1741="",N($G1741)=0),"",IF(I1741=0,$G1741,0)),"")</f>
        <v/>
      </c>
      <c r="K1741" s="60" t="str">
        <f aca="false">IF(IsPro,IF($C1741="","",IF(AND(OR($C1741="Receipt",$C1741="Payment"),$D1741=""),"Party needed",IF(AND(OR($C1741="Expense",$C1741="Other Income"),$E1741=""),"Head needed",IF($F1741="","Account needed","OK")))),IF($C1741="","","PRO PLAN"))</f>
        <v/>
      </c>
    </row>
    <row r="1742" customFormat="false" ht="15" hidden="false" customHeight="false" outlineLevel="0" collapsed="false">
      <c r="A1742" s="55"/>
      <c r="B1742" s="56"/>
      <c r="C1742" s="56"/>
      <c r="D1742" s="56"/>
      <c r="E1742" s="56"/>
      <c r="F1742" s="56"/>
      <c r="G1742" s="58"/>
      <c r="H1742" s="56"/>
      <c r="I1742" s="61" t="str">
        <f aca="false">IF(IsPro,IF(OR($C1742="",N($G1742)=0),"",IF(OR($C1742="Receipt",$C1742="Other Income",$C1742="Capital In",$C1742="Transfer In"),$G1742,0)),"")</f>
        <v/>
      </c>
      <c r="J1742" s="61" t="str">
        <f aca="false">IF(IsPro,IF(OR($C1742="",N($G1742)=0),"",IF(I1742=0,$G1742,0)),"")</f>
        <v/>
      </c>
      <c r="K1742" s="60" t="str">
        <f aca="false">IF(IsPro,IF($C1742="","",IF(AND(OR($C1742="Receipt",$C1742="Payment"),$D1742=""),"Party needed",IF(AND(OR($C1742="Expense",$C1742="Other Income"),$E1742=""),"Head needed",IF($F1742="","Account needed","OK")))),IF($C1742="","","PRO PLAN"))</f>
        <v/>
      </c>
    </row>
    <row r="1743" customFormat="false" ht="15" hidden="false" customHeight="false" outlineLevel="0" collapsed="false">
      <c r="A1743" s="55"/>
      <c r="B1743" s="56"/>
      <c r="C1743" s="56"/>
      <c r="D1743" s="56"/>
      <c r="E1743" s="56"/>
      <c r="F1743" s="56"/>
      <c r="G1743" s="58"/>
      <c r="H1743" s="56"/>
      <c r="I1743" s="61" t="str">
        <f aca="false">IF(IsPro,IF(OR($C1743="",N($G1743)=0),"",IF(OR($C1743="Receipt",$C1743="Other Income",$C1743="Capital In",$C1743="Transfer In"),$G1743,0)),"")</f>
        <v/>
      </c>
      <c r="J1743" s="61" t="str">
        <f aca="false">IF(IsPro,IF(OR($C1743="",N($G1743)=0),"",IF(I1743=0,$G1743,0)),"")</f>
        <v/>
      </c>
      <c r="K1743" s="60" t="str">
        <f aca="false">IF(IsPro,IF($C1743="","",IF(AND(OR($C1743="Receipt",$C1743="Payment"),$D1743=""),"Party needed",IF(AND(OR($C1743="Expense",$C1743="Other Income"),$E1743=""),"Head needed",IF($F1743="","Account needed","OK")))),IF($C1743="","","PRO PLAN"))</f>
        <v/>
      </c>
    </row>
    <row r="1744" customFormat="false" ht="15" hidden="false" customHeight="false" outlineLevel="0" collapsed="false">
      <c r="A1744" s="55"/>
      <c r="B1744" s="56"/>
      <c r="C1744" s="56"/>
      <c r="D1744" s="56"/>
      <c r="E1744" s="56"/>
      <c r="F1744" s="56"/>
      <c r="G1744" s="58"/>
      <c r="H1744" s="56"/>
      <c r="I1744" s="61" t="str">
        <f aca="false">IF(IsPro,IF(OR($C1744="",N($G1744)=0),"",IF(OR($C1744="Receipt",$C1744="Other Income",$C1744="Capital In",$C1744="Transfer In"),$G1744,0)),"")</f>
        <v/>
      </c>
      <c r="J1744" s="61" t="str">
        <f aca="false">IF(IsPro,IF(OR($C1744="",N($G1744)=0),"",IF(I1744=0,$G1744,0)),"")</f>
        <v/>
      </c>
      <c r="K1744" s="60" t="str">
        <f aca="false">IF(IsPro,IF($C1744="","",IF(AND(OR($C1744="Receipt",$C1744="Payment"),$D1744=""),"Party needed",IF(AND(OR($C1744="Expense",$C1744="Other Income"),$E1744=""),"Head needed",IF($F1744="","Account needed","OK")))),IF($C1744="","","PRO PLAN"))</f>
        <v/>
      </c>
    </row>
    <row r="1745" customFormat="false" ht="15" hidden="false" customHeight="false" outlineLevel="0" collapsed="false">
      <c r="A1745" s="55"/>
      <c r="B1745" s="56"/>
      <c r="C1745" s="56"/>
      <c r="D1745" s="56"/>
      <c r="E1745" s="56"/>
      <c r="F1745" s="56"/>
      <c r="G1745" s="58"/>
      <c r="H1745" s="56"/>
      <c r="I1745" s="61" t="str">
        <f aca="false">IF(IsPro,IF(OR($C1745="",N($G1745)=0),"",IF(OR($C1745="Receipt",$C1745="Other Income",$C1745="Capital In",$C1745="Transfer In"),$G1745,0)),"")</f>
        <v/>
      </c>
      <c r="J1745" s="61" t="str">
        <f aca="false">IF(IsPro,IF(OR($C1745="",N($G1745)=0),"",IF(I1745=0,$G1745,0)),"")</f>
        <v/>
      </c>
      <c r="K1745" s="60" t="str">
        <f aca="false">IF(IsPro,IF($C1745="","",IF(AND(OR($C1745="Receipt",$C1745="Payment"),$D1745=""),"Party needed",IF(AND(OR($C1745="Expense",$C1745="Other Income"),$E1745=""),"Head needed",IF($F1745="","Account needed","OK")))),IF($C1745="","","PRO PLAN"))</f>
        <v/>
      </c>
    </row>
    <row r="1746" customFormat="false" ht="15" hidden="false" customHeight="false" outlineLevel="0" collapsed="false">
      <c r="A1746" s="55"/>
      <c r="B1746" s="56"/>
      <c r="C1746" s="56"/>
      <c r="D1746" s="56"/>
      <c r="E1746" s="56"/>
      <c r="F1746" s="56"/>
      <c r="G1746" s="58"/>
      <c r="H1746" s="56"/>
      <c r="I1746" s="61" t="str">
        <f aca="false">IF(IsPro,IF(OR($C1746="",N($G1746)=0),"",IF(OR($C1746="Receipt",$C1746="Other Income",$C1746="Capital In",$C1746="Transfer In"),$G1746,0)),"")</f>
        <v/>
      </c>
      <c r="J1746" s="61" t="str">
        <f aca="false">IF(IsPro,IF(OR($C1746="",N($G1746)=0),"",IF(I1746=0,$G1746,0)),"")</f>
        <v/>
      </c>
      <c r="K1746" s="60" t="str">
        <f aca="false">IF(IsPro,IF($C1746="","",IF(AND(OR($C1746="Receipt",$C1746="Payment"),$D1746=""),"Party needed",IF(AND(OR($C1746="Expense",$C1746="Other Income"),$E1746=""),"Head needed",IF($F1746="","Account needed","OK")))),IF($C1746="","","PRO PLAN"))</f>
        <v/>
      </c>
    </row>
    <row r="1747" customFormat="false" ht="15" hidden="false" customHeight="false" outlineLevel="0" collapsed="false">
      <c r="A1747" s="55"/>
      <c r="B1747" s="56"/>
      <c r="C1747" s="56"/>
      <c r="D1747" s="56"/>
      <c r="E1747" s="56"/>
      <c r="F1747" s="56"/>
      <c r="G1747" s="58"/>
      <c r="H1747" s="56"/>
      <c r="I1747" s="61" t="str">
        <f aca="false">IF(IsPro,IF(OR($C1747="",N($G1747)=0),"",IF(OR($C1747="Receipt",$C1747="Other Income",$C1747="Capital In",$C1747="Transfer In"),$G1747,0)),"")</f>
        <v/>
      </c>
      <c r="J1747" s="61" t="str">
        <f aca="false">IF(IsPro,IF(OR($C1747="",N($G1747)=0),"",IF(I1747=0,$G1747,0)),"")</f>
        <v/>
      </c>
      <c r="K1747" s="60" t="str">
        <f aca="false">IF(IsPro,IF($C1747="","",IF(AND(OR($C1747="Receipt",$C1747="Payment"),$D1747=""),"Party needed",IF(AND(OR($C1747="Expense",$C1747="Other Income"),$E1747=""),"Head needed",IF($F1747="","Account needed","OK")))),IF($C1747="","","PRO PLAN"))</f>
        <v/>
      </c>
    </row>
    <row r="1748" customFormat="false" ht="15" hidden="false" customHeight="false" outlineLevel="0" collapsed="false">
      <c r="A1748" s="55"/>
      <c r="B1748" s="56"/>
      <c r="C1748" s="56"/>
      <c r="D1748" s="56"/>
      <c r="E1748" s="56"/>
      <c r="F1748" s="56"/>
      <c r="G1748" s="58"/>
      <c r="H1748" s="56"/>
      <c r="I1748" s="61" t="str">
        <f aca="false">IF(IsPro,IF(OR($C1748="",N($G1748)=0),"",IF(OR($C1748="Receipt",$C1748="Other Income",$C1748="Capital In",$C1748="Transfer In"),$G1748,0)),"")</f>
        <v/>
      </c>
      <c r="J1748" s="61" t="str">
        <f aca="false">IF(IsPro,IF(OR($C1748="",N($G1748)=0),"",IF(I1748=0,$G1748,0)),"")</f>
        <v/>
      </c>
      <c r="K1748" s="60" t="str">
        <f aca="false">IF(IsPro,IF($C1748="","",IF(AND(OR($C1748="Receipt",$C1748="Payment"),$D1748=""),"Party needed",IF(AND(OR($C1748="Expense",$C1748="Other Income"),$E1748=""),"Head needed",IF($F1748="","Account needed","OK")))),IF($C1748="","","PRO PLAN"))</f>
        <v/>
      </c>
    </row>
    <row r="1749" customFormat="false" ht="15" hidden="false" customHeight="false" outlineLevel="0" collapsed="false">
      <c r="A1749" s="55"/>
      <c r="B1749" s="56"/>
      <c r="C1749" s="56"/>
      <c r="D1749" s="56"/>
      <c r="E1749" s="56"/>
      <c r="F1749" s="56"/>
      <c r="G1749" s="58"/>
      <c r="H1749" s="56"/>
      <c r="I1749" s="61" t="str">
        <f aca="false">IF(IsPro,IF(OR($C1749="",N($G1749)=0),"",IF(OR($C1749="Receipt",$C1749="Other Income",$C1749="Capital In",$C1749="Transfer In"),$G1749,0)),"")</f>
        <v/>
      </c>
      <c r="J1749" s="61" t="str">
        <f aca="false">IF(IsPro,IF(OR($C1749="",N($G1749)=0),"",IF(I1749=0,$G1749,0)),"")</f>
        <v/>
      </c>
      <c r="K1749" s="60" t="str">
        <f aca="false">IF(IsPro,IF($C1749="","",IF(AND(OR($C1749="Receipt",$C1749="Payment"),$D1749=""),"Party needed",IF(AND(OR($C1749="Expense",$C1749="Other Income"),$E1749=""),"Head needed",IF($F1749="","Account needed","OK")))),IF($C1749="","","PRO PLAN"))</f>
        <v/>
      </c>
    </row>
    <row r="1750" customFormat="false" ht="15" hidden="false" customHeight="false" outlineLevel="0" collapsed="false">
      <c r="A1750" s="55"/>
      <c r="B1750" s="56"/>
      <c r="C1750" s="56"/>
      <c r="D1750" s="56"/>
      <c r="E1750" s="56"/>
      <c r="F1750" s="56"/>
      <c r="G1750" s="58"/>
      <c r="H1750" s="56"/>
      <c r="I1750" s="61" t="str">
        <f aca="false">IF(IsPro,IF(OR($C1750="",N($G1750)=0),"",IF(OR($C1750="Receipt",$C1750="Other Income",$C1750="Capital In",$C1750="Transfer In"),$G1750,0)),"")</f>
        <v/>
      </c>
      <c r="J1750" s="61" t="str">
        <f aca="false">IF(IsPro,IF(OR($C1750="",N($G1750)=0),"",IF(I1750=0,$G1750,0)),"")</f>
        <v/>
      </c>
      <c r="K1750" s="60" t="str">
        <f aca="false">IF(IsPro,IF($C1750="","",IF(AND(OR($C1750="Receipt",$C1750="Payment"),$D1750=""),"Party needed",IF(AND(OR($C1750="Expense",$C1750="Other Income"),$E1750=""),"Head needed",IF($F1750="","Account needed","OK")))),IF($C1750="","","PRO PLAN"))</f>
        <v/>
      </c>
    </row>
    <row r="1751" customFormat="false" ht="15" hidden="false" customHeight="false" outlineLevel="0" collapsed="false">
      <c r="A1751" s="55"/>
      <c r="B1751" s="56"/>
      <c r="C1751" s="56"/>
      <c r="D1751" s="56"/>
      <c r="E1751" s="56"/>
      <c r="F1751" s="56"/>
      <c r="G1751" s="58"/>
      <c r="H1751" s="56"/>
      <c r="I1751" s="61" t="str">
        <f aca="false">IF(IsPro,IF(OR($C1751="",N($G1751)=0),"",IF(OR($C1751="Receipt",$C1751="Other Income",$C1751="Capital In",$C1751="Transfer In"),$G1751,0)),"")</f>
        <v/>
      </c>
      <c r="J1751" s="61" t="str">
        <f aca="false">IF(IsPro,IF(OR($C1751="",N($G1751)=0),"",IF(I1751=0,$G1751,0)),"")</f>
        <v/>
      </c>
      <c r="K1751" s="60" t="str">
        <f aca="false">IF(IsPro,IF($C1751="","",IF(AND(OR($C1751="Receipt",$C1751="Payment"),$D1751=""),"Party needed",IF(AND(OR($C1751="Expense",$C1751="Other Income"),$E1751=""),"Head needed",IF($F1751="","Account needed","OK")))),IF($C1751="","","PRO PLAN"))</f>
        <v/>
      </c>
    </row>
    <row r="1752" customFormat="false" ht="15" hidden="false" customHeight="false" outlineLevel="0" collapsed="false">
      <c r="A1752" s="55"/>
      <c r="B1752" s="56"/>
      <c r="C1752" s="56"/>
      <c r="D1752" s="56"/>
      <c r="E1752" s="56"/>
      <c r="F1752" s="56"/>
      <c r="G1752" s="58"/>
      <c r="H1752" s="56"/>
      <c r="I1752" s="61" t="str">
        <f aca="false">IF(IsPro,IF(OR($C1752="",N($G1752)=0),"",IF(OR($C1752="Receipt",$C1752="Other Income",$C1752="Capital In",$C1752="Transfer In"),$G1752,0)),"")</f>
        <v/>
      </c>
      <c r="J1752" s="61" t="str">
        <f aca="false">IF(IsPro,IF(OR($C1752="",N($G1752)=0),"",IF(I1752=0,$G1752,0)),"")</f>
        <v/>
      </c>
      <c r="K1752" s="60" t="str">
        <f aca="false">IF(IsPro,IF($C1752="","",IF(AND(OR($C1752="Receipt",$C1752="Payment"),$D1752=""),"Party needed",IF(AND(OR($C1752="Expense",$C1752="Other Income"),$E1752=""),"Head needed",IF($F1752="","Account needed","OK")))),IF($C1752="","","PRO PLAN"))</f>
        <v/>
      </c>
    </row>
    <row r="1753" customFormat="false" ht="15" hidden="false" customHeight="false" outlineLevel="0" collapsed="false">
      <c r="A1753" s="55"/>
      <c r="B1753" s="56"/>
      <c r="C1753" s="56"/>
      <c r="D1753" s="56"/>
      <c r="E1753" s="56"/>
      <c r="F1753" s="56"/>
      <c r="G1753" s="58"/>
      <c r="H1753" s="56"/>
      <c r="I1753" s="61" t="str">
        <f aca="false">IF(IsPro,IF(OR($C1753="",N($G1753)=0),"",IF(OR($C1753="Receipt",$C1753="Other Income",$C1753="Capital In",$C1753="Transfer In"),$G1753,0)),"")</f>
        <v/>
      </c>
      <c r="J1753" s="61" t="str">
        <f aca="false">IF(IsPro,IF(OR($C1753="",N($G1753)=0),"",IF(I1753=0,$G1753,0)),"")</f>
        <v/>
      </c>
      <c r="K1753" s="60" t="str">
        <f aca="false">IF(IsPro,IF($C1753="","",IF(AND(OR($C1753="Receipt",$C1753="Payment"),$D1753=""),"Party needed",IF(AND(OR($C1753="Expense",$C1753="Other Income"),$E1753=""),"Head needed",IF($F1753="","Account needed","OK")))),IF($C1753="","","PRO PLAN"))</f>
        <v/>
      </c>
    </row>
    <row r="1754" customFormat="false" ht="15" hidden="false" customHeight="false" outlineLevel="0" collapsed="false">
      <c r="A1754" s="55"/>
      <c r="B1754" s="56"/>
      <c r="C1754" s="56"/>
      <c r="D1754" s="56"/>
      <c r="E1754" s="56"/>
      <c r="F1754" s="56"/>
      <c r="G1754" s="58"/>
      <c r="H1754" s="56"/>
      <c r="I1754" s="61" t="str">
        <f aca="false">IF(IsPro,IF(OR($C1754="",N($G1754)=0),"",IF(OR($C1754="Receipt",$C1754="Other Income",$C1754="Capital In",$C1754="Transfer In"),$G1754,0)),"")</f>
        <v/>
      </c>
      <c r="J1754" s="61" t="str">
        <f aca="false">IF(IsPro,IF(OR($C1754="",N($G1754)=0),"",IF(I1754=0,$G1754,0)),"")</f>
        <v/>
      </c>
      <c r="K1754" s="60" t="str">
        <f aca="false">IF(IsPro,IF($C1754="","",IF(AND(OR($C1754="Receipt",$C1754="Payment"),$D1754=""),"Party needed",IF(AND(OR($C1754="Expense",$C1754="Other Income"),$E1754=""),"Head needed",IF($F1754="","Account needed","OK")))),IF($C1754="","","PRO PLAN"))</f>
        <v/>
      </c>
    </row>
    <row r="1755" customFormat="false" ht="15" hidden="false" customHeight="false" outlineLevel="0" collapsed="false">
      <c r="A1755" s="55"/>
      <c r="B1755" s="56"/>
      <c r="C1755" s="56"/>
      <c r="D1755" s="56"/>
      <c r="E1755" s="56"/>
      <c r="F1755" s="56"/>
      <c r="G1755" s="58"/>
      <c r="H1755" s="56"/>
      <c r="I1755" s="61" t="str">
        <f aca="false">IF(IsPro,IF(OR($C1755="",N($G1755)=0),"",IF(OR($C1755="Receipt",$C1755="Other Income",$C1755="Capital In",$C1755="Transfer In"),$G1755,0)),"")</f>
        <v/>
      </c>
      <c r="J1755" s="61" t="str">
        <f aca="false">IF(IsPro,IF(OR($C1755="",N($G1755)=0),"",IF(I1755=0,$G1755,0)),"")</f>
        <v/>
      </c>
      <c r="K1755" s="60" t="str">
        <f aca="false">IF(IsPro,IF($C1755="","",IF(AND(OR($C1755="Receipt",$C1755="Payment"),$D1755=""),"Party needed",IF(AND(OR($C1755="Expense",$C1755="Other Income"),$E1755=""),"Head needed",IF($F1755="","Account needed","OK")))),IF($C1755="","","PRO PLAN"))</f>
        <v/>
      </c>
    </row>
    <row r="1756" customFormat="false" ht="15" hidden="false" customHeight="false" outlineLevel="0" collapsed="false">
      <c r="A1756" s="55"/>
      <c r="B1756" s="56"/>
      <c r="C1756" s="56"/>
      <c r="D1756" s="56"/>
      <c r="E1756" s="56"/>
      <c r="F1756" s="56"/>
      <c r="G1756" s="58"/>
      <c r="H1756" s="56"/>
      <c r="I1756" s="61" t="str">
        <f aca="false">IF(IsPro,IF(OR($C1756="",N($G1756)=0),"",IF(OR($C1756="Receipt",$C1756="Other Income",$C1756="Capital In",$C1756="Transfer In"),$G1756,0)),"")</f>
        <v/>
      </c>
      <c r="J1756" s="61" t="str">
        <f aca="false">IF(IsPro,IF(OR($C1756="",N($G1756)=0),"",IF(I1756=0,$G1756,0)),"")</f>
        <v/>
      </c>
      <c r="K1756" s="60" t="str">
        <f aca="false">IF(IsPro,IF($C1756="","",IF(AND(OR($C1756="Receipt",$C1756="Payment"),$D1756=""),"Party needed",IF(AND(OR($C1756="Expense",$C1756="Other Income"),$E1756=""),"Head needed",IF($F1756="","Account needed","OK")))),IF($C1756="","","PRO PLAN"))</f>
        <v/>
      </c>
    </row>
    <row r="1757" customFormat="false" ht="15" hidden="false" customHeight="false" outlineLevel="0" collapsed="false">
      <c r="A1757" s="55"/>
      <c r="B1757" s="56"/>
      <c r="C1757" s="56"/>
      <c r="D1757" s="56"/>
      <c r="E1757" s="56"/>
      <c r="F1757" s="56"/>
      <c r="G1757" s="58"/>
      <c r="H1757" s="56"/>
      <c r="I1757" s="61" t="str">
        <f aca="false">IF(IsPro,IF(OR($C1757="",N($G1757)=0),"",IF(OR($C1757="Receipt",$C1757="Other Income",$C1757="Capital In",$C1757="Transfer In"),$G1757,0)),"")</f>
        <v/>
      </c>
      <c r="J1757" s="61" t="str">
        <f aca="false">IF(IsPro,IF(OR($C1757="",N($G1757)=0),"",IF(I1757=0,$G1757,0)),"")</f>
        <v/>
      </c>
      <c r="K1757" s="60" t="str">
        <f aca="false">IF(IsPro,IF($C1757="","",IF(AND(OR($C1757="Receipt",$C1757="Payment"),$D1757=""),"Party needed",IF(AND(OR($C1757="Expense",$C1757="Other Income"),$E1757=""),"Head needed",IF($F1757="","Account needed","OK")))),IF($C1757="","","PRO PLAN"))</f>
        <v/>
      </c>
    </row>
    <row r="1758" customFormat="false" ht="15" hidden="false" customHeight="false" outlineLevel="0" collapsed="false">
      <c r="A1758" s="55"/>
      <c r="B1758" s="56"/>
      <c r="C1758" s="56"/>
      <c r="D1758" s="56"/>
      <c r="E1758" s="56"/>
      <c r="F1758" s="56"/>
      <c r="G1758" s="58"/>
      <c r="H1758" s="56"/>
      <c r="I1758" s="61" t="str">
        <f aca="false">IF(IsPro,IF(OR($C1758="",N($G1758)=0),"",IF(OR($C1758="Receipt",$C1758="Other Income",$C1758="Capital In",$C1758="Transfer In"),$G1758,0)),"")</f>
        <v/>
      </c>
      <c r="J1758" s="61" t="str">
        <f aca="false">IF(IsPro,IF(OR($C1758="",N($G1758)=0),"",IF(I1758=0,$G1758,0)),"")</f>
        <v/>
      </c>
      <c r="K1758" s="60" t="str">
        <f aca="false">IF(IsPro,IF($C1758="","",IF(AND(OR($C1758="Receipt",$C1758="Payment"),$D1758=""),"Party needed",IF(AND(OR($C1758="Expense",$C1758="Other Income"),$E1758=""),"Head needed",IF($F1758="","Account needed","OK")))),IF($C1758="","","PRO PLAN"))</f>
        <v/>
      </c>
    </row>
    <row r="1759" customFormat="false" ht="15" hidden="false" customHeight="false" outlineLevel="0" collapsed="false">
      <c r="A1759" s="55"/>
      <c r="B1759" s="56"/>
      <c r="C1759" s="56"/>
      <c r="D1759" s="56"/>
      <c r="E1759" s="56"/>
      <c r="F1759" s="56"/>
      <c r="G1759" s="58"/>
      <c r="H1759" s="56"/>
      <c r="I1759" s="61" t="str">
        <f aca="false">IF(IsPro,IF(OR($C1759="",N($G1759)=0),"",IF(OR($C1759="Receipt",$C1759="Other Income",$C1759="Capital In",$C1759="Transfer In"),$G1759,0)),"")</f>
        <v/>
      </c>
      <c r="J1759" s="61" t="str">
        <f aca="false">IF(IsPro,IF(OR($C1759="",N($G1759)=0),"",IF(I1759=0,$G1759,0)),"")</f>
        <v/>
      </c>
      <c r="K1759" s="60" t="str">
        <f aca="false">IF(IsPro,IF($C1759="","",IF(AND(OR($C1759="Receipt",$C1759="Payment"),$D1759=""),"Party needed",IF(AND(OR($C1759="Expense",$C1759="Other Income"),$E1759=""),"Head needed",IF($F1759="","Account needed","OK")))),IF($C1759="","","PRO PLAN"))</f>
        <v/>
      </c>
    </row>
    <row r="1760" customFormat="false" ht="15" hidden="false" customHeight="false" outlineLevel="0" collapsed="false">
      <c r="A1760" s="55"/>
      <c r="B1760" s="56"/>
      <c r="C1760" s="56"/>
      <c r="D1760" s="56"/>
      <c r="E1760" s="56"/>
      <c r="F1760" s="56"/>
      <c r="G1760" s="58"/>
      <c r="H1760" s="56"/>
      <c r="I1760" s="61" t="str">
        <f aca="false">IF(IsPro,IF(OR($C1760="",N($G1760)=0),"",IF(OR($C1760="Receipt",$C1760="Other Income",$C1760="Capital In",$C1760="Transfer In"),$G1760,0)),"")</f>
        <v/>
      </c>
      <c r="J1760" s="61" t="str">
        <f aca="false">IF(IsPro,IF(OR($C1760="",N($G1760)=0),"",IF(I1760=0,$G1760,0)),"")</f>
        <v/>
      </c>
      <c r="K1760" s="60" t="str">
        <f aca="false">IF(IsPro,IF($C1760="","",IF(AND(OR($C1760="Receipt",$C1760="Payment"),$D1760=""),"Party needed",IF(AND(OR($C1760="Expense",$C1760="Other Income"),$E1760=""),"Head needed",IF($F1760="","Account needed","OK")))),IF($C1760="","","PRO PLAN"))</f>
        <v/>
      </c>
    </row>
    <row r="1761" customFormat="false" ht="15" hidden="false" customHeight="false" outlineLevel="0" collapsed="false">
      <c r="A1761" s="55"/>
      <c r="B1761" s="56"/>
      <c r="C1761" s="56"/>
      <c r="D1761" s="56"/>
      <c r="E1761" s="56"/>
      <c r="F1761" s="56"/>
      <c r="G1761" s="58"/>
      <c r="H1761" s="56"/>
      <c r="I1761" s="61" t="str">
        <f aca="false">IF(IsPro,IF(OR($C1761="",N($G1761)=0),"",IF(OR($C1761="Receipt",$C1761="Other Income",$C1761="Capital In",$C1761="Transfer In"),$G1761,0)),"")</f>
        <v/>
      </c>
      <c r="J1761" s="61" t="str">
        <f aca="false">IF(IsPro,IF(OR($C1761="",N($G1761)=0),"",IF(I1761=0,$G1761,0)),"")</f>
        <v/>
      </c>
      <c r="K1761" s="60" t="str">
        <f aca="false">IF(IsPro,IF($C1761="","",IF(AND(OR($C1761="Receipt",$C1761="Payment"),$D1761=""),"Party needed",IF(AND(OR($C1761="Expense",$C1761="Other Income"),$E1761=""),"Head needed",IF($F1761="","Account needed","OK")))),IF($C1761="","","PRO PLAN"))</f>
        <v/>
      </c>
    </row>
    <row r="1762" customFormat="false" ht="15" hidden="false" customHeight="false" outlineLevel="0" collapsed="false">
      <c r="A1762" s="55"/>
      <c r="B1762" s="56"/>
      <c r="C1762" s="56"/>
      <c r="D1762" s="56"/>
      <c r="E1762" s="56"/>
      <c r="F1762" s="56"/>
      <c r="G1762" s="58"/>
      <c r="H1762" s="56"/>
      <c r="I1762" s="61" t="str">
        <f aca="false">IF(IsPro,IF(OR($C1762="",N($G1762)=0),"",IF(OR($C1762="Receipt",$C1762="Other Income",$C1762="Capital In",$C1762="Transfer In"),$G1762,0)),"")</f>
        <v/>
      </c>
      <c r="J1762" s="61" t="str">
        <f aca="false">IF(IsPro,IF(OR($C1762="",N($G1762)=0),"",IF(I1762=0,$G1762,0)),"")</f>
        <v/>
      </c>
      <c r="K1762" s="60" t="str">
        <f aca="false">IF(IsPro,IF($C1762="","",IF(AND(OR($C1762="Receipt",$C1762="Payment"),$D1762=""),"Party needed",IF(AND(OR($C1762="Expense",$C1762="Other Income"),$E1762=""),"Head needed",IF($F1762="","Account needed","OK")))),IF($C1762="","","PRO PLAN"))</f>
        <v/>
      </c>
    </row>
    <row r="1763" customFormat="false" ht="15" hidden="false" customHeight="false" outlineLevel="0" collapsed="false">
      <c r="A1763" s="55"/>
      <c r="B1763" s="56"/>
      <c r="C1763" s="56"/>
      <c r="D1763" s="56"/>
      <c r="E1763" s="56"/>
      <c r="F1763" s="56"/>
      <c r="G1763" s="58"/>
      <c r="H1763" s="56"/>
      <c r="I1763" s="61" t="str">
        <f aca="false">IF(IsPro,IF(OR($C1763="",N($G1763)=0),"",IF(OR($C1763="Receipt",$C1763="Other Income",$C1763="Capital In",$C1763="Transfer In"),$G1763,0)),"")</f>
        <v/>
      </c>
      <c r="J1763" s="61" t="str">
        <f aca="false">IF(IsPro,IF(OR($C1763="",N($G1763)=0),"",IF(I1763=0,$G1763,0)),"")</f>
        <v/>
      </c>
      <c r="K1763" s="60" t="str">
        <f aca="false">IF(IsPro,IF($C1763="","",IF(AND(OR($C1763="Receipt",$C1763="Payment"),$D1763=""),"Party needed",IF(AND(OR($C1763="Expense",$C1763="Other Income"),$E1763=""),"Head needed",IF($F1763="","Account needed","OK")))),IF($C1763="","","PRO PLAN"))</f>
        <v/>
      </c>
    </row>
    <row r="1764" customFormat="false" ht="15" hidden="false" customHeight="false" outlineLevel="0" collapsed="false">
      <c r="A1764" s="55"/>
      <c r="B1764" s="56"/>
      <c r="C1764" s="56"/>
      <c r="D1764" s="56"/>
      <c r="E1764" s="56"/>
      <c r="F1764" s="56"/>
      <c r="G1764" s="58"/>
      <c r="H1764" s="56"/>
      <c r="I1764" s="61" t="str">
        <f aca="false">IF(IsPro,IF(OR($C1764="",N($G1764)=0),"",IF(OR($C1764="Receipt",$C1764="Other Income",$C1764="Capital In",$C1764="Transfer In"),$G1764,0)),"")</f>
        <v/>
      </c>
      <c r="J1764" s="61" t="str">
        <f aca="false">IF(IsPro,IF(OR($C1764="",N($G1764)=0),"",IF(I1764=0,$G1764,0)),"")</f>
        <v/>
      </c>
      <c r="K1764" s="60" t="str">
        <f aca="false">IF(IsPro,IF($C1764="","",IF(AND(OR($C1764="Receipt",$C1764="Payment"),$D1764=""),"Party needed",IF(AND(OR($C1764="Expense",$C1764="Other Income"),$E1764=""),"Head needed",IF($F1764="","Account needed","OK")))),IF($C1764="","","PRO PLAN"))</f>
        <v/>
      </c>
    </row>
    <row r="1765" customFormat="false" ht="15" hidden="false" customHeight="false" outlineLevel="0" collapsed="false">
      <c r="A1765" s="55"/>
      <c r="B1765" s="56"/>
      <c r="C1765" s="56"/>
      <c r="D1765" s="56"/>
      <c r="E1765" s="56"/>
      <c r="F1765" s="56"/>
      <c r="G1765" s="58"/>
      <c r="H1765" s="56"/>
      <c r="I1765" s="61" t="str">
        <f aca="false">IF(IsPro,IF(OR($C1765="",N($G1765)=0),"",IF(OR($C1765="Receipt",$C1765="Other Income",$C1765="Capital In",$C1765="Transfer In"),$G1765,0)),"")</f>
        <v/>
      </c>
      <c r="J1765" s="61" t="str">
        <f aca="false">IF(IsPro,IF(OR($C1765="",N($G1765)=0),"",IF(I1765=0,$G1765,0)),"")</f>
        <v/>
      </c>
      <c r="K1765" s="60" t="str">
        <f aca="false">IF(IsPro,IF($C1765="","",IF(AND(OR($C1765="Receipt",$C1765="Payment"),$D1765=""),"Party needed",IF(AND(OR($C1765="Expense",$C1765="Other Income"),$E1765=""),"Head needed",IF($F1765="","Account needed","OK")))),IF($C1765="","","PRO PLAN"))</f>
        <v/>
      </c>
    </row>
    <row r="1766" customFormat="false" ht="15" hidden="false" customHeight="false" outlineLevel="0" collapsed="false">
      <c r="A1766" s="55"/>
      <c r="B1766" s="56"/>
      <c r="C1766" s="56"/>
      <c r="D1766" s="56"/>
      <c r="E1766" s="56"/>
      <c r="F1766" s="56"/>
      <c r="G1766" s="58"/>
      <c r="H1766" s="56"/>
      <c r="I1766" s="61" t="str">
        <f aca="false">IF(IsPro,IF(OR($C1766="",N($G1766)=0),"",IF(OR($C1766="Receipt",$C1766="Other Income",$C1766="Capital In",$C1766="Transfer In"),$G1766,0)),"")</f>
        <v/>
      </c>
      <c r="J1766" s="61" t="str">
        <f aca="false">IF(IsPro,IF(OR($C1766="",N($G1766)=0),"",IF(I1766=0,$G1766,0)),"")</f>
        <v/>
      </c>
      <c r="K1766" s="60" t="str">
        <f aca="false">IF(IsPro,IF($C1766="","",IF(AND(OR($C1766="Receipt",$C1766="Payment"),$D1766=""),"Party needed",IF(AND(OR($C1766="Expense",$C1766="Other Income"),$E1766=""),"Head needed",IF($F1766="","Account needed","OK")))),IF($C1766="","","PRO PLAN"))</f>
        <v/>
      </c>
    </row>
    <row r="1767" customFormat="false" ht="15" hidden="false" customHeight="false" outlineLevel="0" collapsed="false">
      <c r="A1767" s="55"/>
      <c r="B1767" s="56"/>
      <c r="C1767" s="56"/>
      <c r="D1767" s="56"/>
      <c r="E1767" s="56"/>
      <c r="F1767" s="56"/>
      <c r="G1767" s="58"/>
      <c r="H1767" s="56"/>
      <c r="I1767" s="61" t="str">
        <f aca="false">IF(IsPro,IF(OR($C1767="",N($G1767)=0),"",IF(OR($C1767="Receipt",$C1767="Other Income",$C1767="Capital In",$C1767="Transfer In"),$G1767,0)),"")</f>
        <v/>
      </c>
      <c r="J1767" s="61" t="str">
        <f aca="false">IF(IsPro,IF(OR($C1767="",N($G1767)=0),"",IF(I1767=0,$G1767,0)),"")</f>
        <v/>
      </c>
      <c r="K1767" s="60" t="str">
        <f aca="false">IF(IsPro,IF($C1767="","",IF(AND(OR($C1767="Receipt",$C1767="Payment"),$D1767=""),"Party needed",IF(AND(OR($C1767="Expense",$C1767="Other Income"),$E1767=""),"Head needed",IF($F1767="","Account needed","OK")))),IF($C1767="","","PRO PLAN"))</f>
        <v/>
      </c>
    </row>
    <row r="1768" customFormat="false" ht="15" hidden="false" customHeight="false" outlineLevel="0" collapsed="false">
      <c r="A1768" s="55"/>
      <c r="B1768" s="56"/>
      <c r="C1768" s="56"/>
      <c r="D1768" s="56"/>
      <c r="E1768" s="56"/>
      <c r="F1768" s="56"/>
      <c r="G1768" s="58"/>
      <c r="H1768" s="56"/>
      <c r="I1768" s="61" t="str">
        <f aca="false">IF(IsPro,IF(OR($C1768="",N($G1768)=0),"",IF(OR($C1768="Receipt",$C1768="Other Income",$C1768="Capital In",$C1768="Transfer In"),$G1768,0)),"")</f>
        <v/>
      </c>
      <c r="J1768" s="61" t="str">
        <f aca="false">IF(IsPro,IF(OR($C1768="",N($G1768)=0),"",IF(I1768=0,$G1768,0)),"")</f>
        <v/>
      </c>
      <c r="K1768" s="60" t="str">
        <f aca="false">IF(IsPro,IF($C1768="","",IF(AND(OR($C1768="Receipt",$C1768="Payment"),$D1768=""),"Party needed",IF(AND(OR($C1768="Expense",$C1768="Other Income"),$E1768=""),"Head needed",IF($F1768="","Account needed","OK")))),IF($C1768="","","PRO PLAN"))</f>
        <v/>
      </c>
    </row>
    <row r="1769" customFormat="false" ht="15" hidden="false" customHeight="false" outlineLevel="0" collapsed="false">
      <c r="A1769" s="55"/>
      <c r="B1769" s="56"/>
      <c r="C1769" s="56"/>
      <c r="D1769" s="56"/>
      <c r="E1769" s="56"/>
      <c r="F1769" s="56"/>
      <c r="G1769" s="58"/>
      <c r="H1769" s="56"/>
      <c r="I1769" s="61" t="str">
        <f aca="false">IF(IsPro,IF(OR($C1769="",N($G1769)=0),"",IF(OR($C1769="Receipt",$C1769="Other Income",$C1769="Capital In",$C1769="Transfer In"),$G1769,0)),"")</f>
        <v/>
      </c>
      <c r="J1769" s="61" t="str">
        <f aca="false">IF(IsPro,IF(OR($C1769="",N($G1769)=0),"",IF(I1769=0,$G1769,0)),"")</f>
        <v/>
      </c>
      <c r="K1769" s="60" t="str">
        <f aca="false">IF(IsPro,IF($C1769="","",IF(AND(OR($C1769="Receipt",$C1769="Payment"),$D1769=""),"Party needed",IF(AND(OR($C1769="Expense",$C1769="Other Income"),$E1769=""),"Head needed",IF($F1769="","Account needed","OK")))),IF($C1769="","","PRO PLAN"))</f>
        <v/>
      </c>
    </row>
    <row r="1770" customFormat="false" ht="15" hidden="false" customHeight="false" outlineLevel="0" collapsed="false">
      <c r="A1770" s="55"/>
      <c r="B1770" s="56"/>
      <c r="C1770" s="56"/>
      <c r="D1770" s="56"/>
      <c r="E1770" s="56"/>
      <c r="F1770" s="56"/>
      <c r="G1770" s="58"/>
      <c r="H1770" s="56"/>
      <c r="I1770" s="61" t="str">
        <f aca="false">IF(IsPro,IF(OR($C1770="",N($G1770)=0),"",IF(OR($C1770="Receipt",$C1770="Other Income",$C1770="Capital In",$C1770="Transfer In"),$G1770,0)),"")</f>
        <v/>
      </c>
      <c r="J1770" s="61" t="str">
        <f aca="false">IF(IsPro,IF(OR($C1770="",N($G1770)=0),"",IF(I1770=0,$G1770,0)),"")</f>
        <v/>
      </c>
      <c r="K1770" s="60" t="str">
        <f aca="false">IF(IsPro,IF($C1770="","",IF(AND(OR($C1770="Receipt",$C1770="Payment"),$D1770=""),"Party needed",IF(AND(OR($C1770="Expense",$C1770="Other Income"),$E1770=""),"Head needed",IF($F1770="","Account needed","OK")))),IF($C1770="","","PRO PLAN"))</f>
        <v/>
      </c>
    </row>
    <row r="1771" customFormat="false" ht="15" hidden="false" customHeight="false" outlineLevel="0" collapsed="false">
      <c r="A1771" s="55"/>
      <c r="B1771" s="56"/>
      <c r="C1771" s="56"/>
      <c r="D1771" s="56"/>
      <c r="E1771" s="56"/>
      <c r="F1771" s="56"/>
      <c r="G1771" s="58"/>
      <c r="H1771" s="56"/>
      <c r="I1771" s="61" t="str">
        <f aca="false">IF(IsPro,IF(OR($C1771="",N($G1771)=0),"",IF(OR($C1771="Receipt",$C1771="Other Income",$C1771="Capital In",$C1771="Transfer In"),$G1771,0)),"")</f>
        <v/>
      </c>
      <c r="J1771" s="61" t="str">
        <f aca="false">IF(IsPro,IF(OR($C1771="",N($G1771)=0),"",IF(I1771=0,$G1771,0)),"")</f>
        <v/>
      </c>
      <c r="K1771" s="60" t="str">
        <f aca="false">IF(IsPro,IF($C1771="","",IF(AND(OR($C1771="Receipt",$C1771="Payment"),$D1771=""),"Party needed",IF(AND(OR($C1771="Expense",$C1771="Other Income"),$E1771=""),"Head needed",IF($F1771="","Account needed","OK")))),IF($C1771="","","PRO PLAN"))</f>
        <v/>
      </c>
    </row>
    <row r="1772" customFormat="false" ht="15" hidden="false" customHeight="false" outlineLevel="0" collapsed="false">
      <c r="A1772" s="55"/>
      <c r="B1772" s="56"/>
      <c r="C1772" s="56"/>
      <c r="D1772" s="56"/>
      <c r="E1772" s="56"/>
      <c r="F1772" s="56"/>
      <c r="G1772" s="58"/>
      <c r="H1772" s="56"/>
      <c r="I1772" s="61" t="str">
        <f aca="false">IF(IsPro,IF(OR($C1772="",N($G1772)=0),"",IF(OR($C1772="Receipt",$C1772="Other Income",$C1772="Capital In",$C1772="Transfer In"),$G1772,0)),"")</f>
        <v/>
      </c>
      <c r="J1772" s="61" t="str">
        <f aca="false">IF(IsPro,IF(OR($C1772="",N($G1772)=0),"",IF(I1772=0,$G1772,0)),"")</f>
        <v/>
      </c>
      <c r="K1772" s="60" t="str">
        <f aca="false">IF(IsPro,IF($C1772="","",IF(AND(OR($C1772="Receipt",$C1772="Payment"),$D1772=""),"Party needed",IF(AND(OR($C1772="Expense",$C1772="Other Income"),$E1772=""),"Head needed",IF($F1772="","Account needed","OK")))),IF($C1772="","","PRO PLAN"))</f>
        <v/>
      </c>
    </row>
    <row r="1773" customFormat="false" ht="15" hidden="false" customHeight="false" outlineLevel="0" collapsed="false">
      <c r="A1773" s="55"/>
      <c r="B1773" s="56"/>
      <c r="C1773" s="56"/>
      <c r="D1773" s="56"/>
      <c r="E1773" s="56"/>
      <c r="F1773" s="56"/>
      <c r="G1773" s="58"/>
      <c r="H1773" s="56"/>
      <c r="I1773" s="61" t="str">
        <f aca="false">IF(IsPro,IF(OR($C1773="",N($G1773)=0),"",IF(OR($C1773="Receipt",$C1773="Other Income",$C1773="Capital In",$C1773="Transfer In"),$G1773,0)),"")</f>
        <v/>
      </c>
      <c r="J1773" s="61" t="str">
        <f aca="false">IF(IsPro,IF(OR($C1773="",N($G1773)=0),"",IF(I1773=0,$G1773,0)),"")</f>
        <v/>
      </c>
      <c r="K1773" s="60" t="str">
        <f aca="false">IF(IsPro,IF($C1773="","",IF(AND(OR($C1773="Receipt",$C1773="Payment"),$D1773=""),"Party needed",IF(AND(OR($C1773="Expense",$C1773="Other Income"),$E1773=""),"Head needed",IF($F1773="","Account needed","OK")))),IF($C1773="","","PRO PLAN"))</f>
        <v/>
      </c>
    </row>
    <row r="1774" customFormat="false" ht="15" hidden="false" customHeight="false" outlineLevel="0" collapsed="false">
      <c r="A1774" s="55"/>
      <c r="B1774" s="56"/>
      <c r="C1774" s="56"/>
      <c r="D1774" s="56"/>
      <c r="E1774" s="56"/>
      <c r="F1774" s="56"/>
      <c r="G1774" s="58"/>
      <c r="H1774" s="56"/>
      <c r="I1774" s="61" t="str">
        <f aca="false">IF(IsPro,IF(OR($C1774="",N($G1774)=0),"",IF(OR($C1774="Receipt",$C1774="Other Income",$C1774="Capital In",$C1774="Transfer In"),$G1774,0)),"")</f>
        <v/>
      </c>
      <c r="J1774" s="61" t="str">
        <f aca="false">IF(IsPro,IF(OR($C1774="",N($G1774)=0),"",IF(I1774=0,$G1774,0)),"")</f>
        <v/>
      </c>
      <c r="K1774" s="60" t="str">
        <f aca="false">IF(IsPro,IF($C1774="","",IF(AND(OR($C1774="Receipt",$C1774="Payment"),$D1774=""),"Party needed",IF(AND(OR($C1774="Expense",$C1774="Other Income"),$E1774=""),"Head needed",IF($F1774="","Account needed","OK")))),IF($C1774="","","PRO PLAN"))</f>
        <v/>
      </c>
    </row>
    <row r="1775" customFormat="false" ht="15" hidden="false" customHeight="false" outlineLevel="0" collapsed="false">
      <c r="A1775" s="55"/>
      <c r="B1775" s="56"/>
      <c r="C1775" s="56"/>
      <c r="D1775" s="56"/>
      <c r="E1775" s="56"/>
      <c r="F1775" s="56"/>
      <c r="G1775" s="58"/>
      <c r="H1775" s="56"/>
      <c r="I1775" s="61" t="str">
        <f aca="false">IF(IsPro,IF(OR($C1775="",N($G1775)=0),"",IF(OR($C1775="Receipt",$C1775="Other Income",$C1775="Capital In",$C1775="Transfer In"),$G1775,0)),"")</f>
        <v/>
      </c>
      <c r="J1775" s="61" t="str">
        <f aca="false">IF(IsPro,IF(OR($C1775="",N($G1775)=0),"",IF(I1775=0,$G1775,0)),"")</f>
        <v/>
      </c>
      <c r="K1775" s="60" t="str">
        <f aca="false">IF(IsPro,IF($C1775="","",IF(AND(OR($C1775="Receipt",$C1775="Payment"),$D1775=""),"Party needed",IF(AND(OR($C1775="Expense",$C1775="Other Income"),$E1775=""),"Head needed",IF($F1775="","Account needed","OK")))),IF($C1775="","","PRO PLAN"))</f>
        <v/>
      </c>
    </row>
    <row r="1776" customFormat="false" ht="15" hidden="false" customHeight="false" outlineLevel="0" collapsed="false">
      <c r="A1776" s="55"/>
      <c r="B1776" s="56"/>
      <c r="C1776" s="56"/>
      <c r="D1776" s="56"/>
      <c r="E1776" s="56"/>
      <c r="F1776" s="56"/>
      <c r="G1776" s="58"/>
      <c r="H1776" s="56"/>
      <c r="I1776" s="61" t="str">
        <f aca="false">IF(IsPro,IF(OR($C1776="",N($G1776)=0),"",IF(OR($C1776="Receipt",$C1776="Other Income",$C1776="Capital In",$C1776="Transfer In"),$G1776,0)),"")</f>
        <v/>
      </c>
      <c r="J1776" s="61" t="str">
        <f aca="false">IF(IsPro,IF(OR($C1776="",N($G1776)=0),"",IF(I1776=0,$G1776,0)),"")</f>
        <v/>
      </c>
      <c r="K1776" s="60" t="str">
        <f aca="false">IF(IsPro,IF($C1776="","",IF(AND(OR($C1776="Receipt",$C1776="Payment"),$D1776=""),"Party needed",IF(AND(OR($C1776="Expense",$C1776="Other Income"),$E1776=""),"Head needed",IF($F1776="","Account needed","OK")))),IF($C1776="","","PRO PLAN"))</f>
        <v/>
      </c>
    </row>
    <row r="1777" customFormat="false" ht="15" hidden="false" customHeight="false" outlineLevel="0" collapsed="false">
      <c r="A1777" s="55"/>
      <c r="B1777" s="56"/>
      <c r="C1777" s="56"/>
      <c r="D1777" s="56"/>
      <c r="E1777" s="56"/>
      <c r="F1777" s="56"/>
      <c r="G1777" s="58"/>
      <c r="H1777" s="56"/>
      <c r="I1777" s="61" t="str">
        <f aca="false">IF(IsPro,IF(OR($C1777="",N($G1777)=0),"",IF(OR($C1777="Receipt",$C1777="Other Income",$C1777="Capital In",$C1777="Transfer In"),$G1777,0)),"")</f>
        <v/>
      </c>
      <c r="J1777" s="61" t="str">
        <f aca="false">IF(IsPro,IF(OR($C1777="",N($G1777)=0),"",IF(I1777=0,$G1777,0)),"")</f>
        <v/>
      </c>
      <c r="K1777" s="60" t="str">
        <f aca="false">IF(IsPro,IF($C1777="","",IF(AND(OR($C1777="Receipt",$C1777="Payment"),$D1777=""),"Party needed",IF(AND(OR($C1777="Expense",$C1777="Other Income"),$E1777=""),"Head needed",IF($F1777="","Account needed","OK")))),IF($C1777="","","PRO PLAN"))</f>
        <v/>
      </c>
    </row>
    <row r="1778" customFormat="false" ht="15" hidden="false" customHeight="false" outlineLevel="0" collapsed="false">
      <c r="A1778" s="55"/>
      <c r="B1778" s="56"/>
      <c r="C1778" s="56"/>
      <c r="D1778" s="56"/>
      <c r="E1778" s="56"/>
      <c r="F1778" s="56"/>
      <c r="G1778" s="58"/>
      <c r="H1778" s="56"/>
      <c r="I1778" s="61" t="str">
        <f aca="false">IF(IsPro,IF(OR($C1778="",N($G1778)=0),"",IF(OR($C1778="Receipt",$C1778="Other Income",$C1778="Capital In",$C1778="Transfer In"),$G1778,0)),"")</f>
        <v/>
      </c>
      <c r="J1778" s="61" t="str">
        <f aca="false">IF(IsPro,IF(OR($C1778="",N($G1778)=0),"",IF(I1778=0,$G1778,0)),"")</f>
        <v/>
      </c>
      <c r="K1778" s="60" t="str">
        <f aca="false">IF(IsPro,IF($C1778="","",IF(AND(OR($C1778="Receipt",$C1778="Payment"),$D1778=""),"Party needed",IF(AND(OR($C1778="Expense",$C1778="Other Income"),$E1778=""),"Head needed",IF($F1778="","Account needed","OK")))),IF($C1778="","","PRO PLAN"))</f>
        <v/>
      </c>
    </row>
    <row r="1779" customFormat="false" ht="15" hidden="false" customHeight="false" outlineLevel="0" collapsed="false">
      <c r="A1779" s="55"/>
      <c r="B1779" s="56"/>
      <c r="C1779" s="56"/>
      <c r="D1779" s="56"/>
      <c r="E1779" s="56"/>
      <c r="F1779" s="56"/>
      <c r="G1779" s="58"/>
      <c r="H1779" s="56"/>
      <c r="I1779" s="61" t="str">
        <f aca="false">IF(IsPro,IF(OR($C1779="",N($G1779)=0),"",IF(OR($C1779="Receipt",$C1779="Other Income",$C1779="Capital In",$C1779="Transfer In"),$G1779,0)),"")</f>
        <v/>
      </c>
      <c r="J1779" s="61" t="str">
        <f aca="false">IF(IsPro,IF(OR($C1779="",N($G1779)=0),"",IF(I1779=0,$G1779,0)),"")</f>
        <v/>
      </c>
      <c r="K1779" s="60" t="str">
        <f aca="false">IF(IsPro,IF($C1779="","",IF(AND(OR($C1779="Receipt",$C1779="Payment"),$D1779=""),"Party needed",IF(AND(OR($C1779="Expense",$C1779="Other Income"),$E1779=""),"Head needed",IF($F1779="","Account needed","OK")))),IF($C1779="","","PRO PLAN"))</f>
        <v/>
      </c>
    </row>
    <row r="1780" customFormat="false" ht="15" hidden="false" customHeight="false" outlineLevel="0" collapsed="false">
      <c r="A1780" s="55"/>
      <c r="B1780" s="56"/>
      <c r="C1780" s="56"/>
      <c r="D1780" s="56"/>
      <c r="E1780" s="56"/>
      <c r="F1780" s="56"/>
      <c r="G1780" s="58"/>
      <c r="H1780" s="56"/>
      <c r="I1780" s="61" t="str">
        <f aca="false">IF(IsPro,IF(OR($C1780="",N($G1780)=0),"",IF(OR($C1780="Receipt",$C1780="Other Income",$C1780="Capital In",$C1780="Transfer In"),$G1780,0)),"")</f>
        <v/>
      </c>
      <c r="J1780" s="61" t="str">
        <f aca="false">IF(IsPro,IF(OR($C1780="",N($G1780)=0),"",IF(I1780=0,$G1780,0)),"")</f>
        <v/>
      </c>
      <c r="K1780" s="60" t="str">
        <f aca="false">IF(IsPro,IF($C1780="","",IF(AND(OR($C1780="Receipt",$C1780="Payment"),$D1780=""),"Party needed",IF(AND(OR($C1780="Expense",$C1780="Other Income"),$E1780=""),"Head needed",IF($F1780="","Account needed","OK")))),IF($C1780="","","PRO PLAN"))</f>
        <v/>
      </c>
    </row>
    <row r="1781" customFormat="false" ht="15" hidden="false" customHeight="false" outlineLevel="0" collapsed="false">
      <c r="A1781" s="55"/>
      <c r="B1781" s="56"/>
      <c r="C1781" s="56"/>
      <c r="D1781" s="56"/>
      <c r="E1781" s="56"/>
      <c r="F1781" s="56"/>
      <c r="G1781" s="58"/>
      <c r="H1781" s="56"/>
      <c r="I1781" s="61" t="str">
        <f aca="false">IF(IsPro,IF(OR($C1781="",N($G1781)=0),"",IF(OR($C1781="Receipt",$C1781="Other Income",$C1781="Capital In",$C1781="Transfer In"),$G1781,0)),"")</f>
        <v/>
      </c>
      <c r="J1781" s="61" t="str">
        <f aca="false">IF(IsPro,IF(OR($C1781="",N($G1781)=0),"",IF(I1781=0,$G1781,0)),"")</f>
        <v/>
      </c>
      <c r="K1781" s="60" t="str">
        <f aca="false">IF(IsPro,IF($C1781="","",IF(AND(OR($C1781="Receipt",$C1781="Payment"),$D1781=""),"Party needed",IF(AND(OR($C1781="Expense",$C1781="Other Income"),$E1781=""),"Head needed",IF($F1781="","Account needed","OK")))),IF($C1781="","","PRO PLAN"))</f>
        <v/>
      </c>
    </row>
    <row r="1782" customFormat="false" ht="15" hidden="false" customHeight="false" outlineLevel="0" collapsed="false">
      <c r="A1782" s="55"/>
      <c r="B1782" s="56"/>
      <c r="C1782" s="56"/>
      <c r="D1782" s="56"/>
      <c r="E1782" s="56"/>
      <c r="F1782" s="56"/>
      <c r="G1782" s="58"/>
      <c r="H1782" s="56"/>
      <c r="I1782" s="61" t="str">
        <f aca="false">IF(IsPro,IF(OR($C1782="",N($G1782)=0),"",IF(OR($C1782="Receipt",$C1782="Other Income",$C1782="Capital In",$C1782="Transfer In"),$G1782,0)),"")</f>
        <v/>
      </c>
      <c r="J1782" s="61" t="str">
        <f aca="false">IF(IsPro,IF(OR($C1782="",N($G1782)=0),"",IF(I1782=0,$G1782,0)),"")</f>
        <v/>
      </c>
      <c r="K1782" s="60" t="str">
        <f aca="false">IF(IsPro,IF($C1782="","",IF(AND(OR($C1782="Receipt",$C1782="Payment"),$D1782=""),"Party needed",IF(AND(OR($C1782="Expense",$C1782="Other Income"),$E1782=""),"Head needed",IF($F1782="","Account needed","OK")))),IF($C1782="","","PRO PLAN"))</f>
        <v/>
      </c>
    </row>
    <row r="1783" customFormat="false" ht="15" hidden="false" customHeight="false" outlineLevel="0" collapsed="false">
      <c r="A1783" s="55"/>
      <c r="B1783" s="56"/>
      <c r="C1783" s="56"/>
      <c r="D1783" s="56"/>
      <c r="E1783" s="56"/>
      <c r="F1783" s="56"/>
      <c r="G1783" s="58"/>
      <c r="H1783" s="56"/>
      <c r="I1783" s="61" t="str">
        <f aca="false">IF(IsPro,IF(OR($C1783="",N($G1783)=0),"",IF(OR($C1783="Receipt",$C1783="Other Income",$C1783="Capital In",$C1783="Transfer In"),$G1783,0)),"")</f>
        <v/>
      </c>
      <c r="J1783" s="61" t="str">
        <f aca="false">IF(IsPro,IF(OR($C1783="",N($G1783)=0),"",IF(I1783=0,$G1783,0)),"")</f>
        <v/>
      </c>
      <c r="K1783" s="60" t="str">
        <f aca="false">IF(IsPro,IF($C1783="","",IF(AND(OR($C1783="Receipt",$C1783="Payment"),$D1783=""),"Party needed",IF(AND(OR($C1783="Expense",$C1783="Other Income"),$E1783=""),"Head needed",IF($F1783="","Account needed","OK")))),IF($C1783="","","PRO PLAN"))</f>
        <v/>
      </c>
    </row>
    <row r="1784" customFormat="false" ht="15" hidden="false" customHeight="false" outlineLevel="0" collapsed="false">
      <c r="A1784" s="55"/>
      <c r="B1784" s="56"/>
      <c r="C1784" s="56"/>
      <c r="D1784" s="56"/>
      <c r="E1784" s="56"/>
      <c r="F1784" s="56"/>
      <c r="G1784" s="58"/>
      <c r="H1784" s="56"/>
      <c r="I1784" s="61" t="str">
        <f aca="false">IF(IsPro,IF(OR($C1784="",N($G1784)=0),"",IF(OR($C1784="Receipt",$C1784="Other Income",$C1784="Capital In",$C1784="Transfer In"),$G1784,0)),"")</f>
        <v/>
      </c>
      <c r="J1784" s="61" t="str">
        <f aca="false">IF(IsPro,IF(OR($C1784="",N($G1784)=0),"",IF(I1784=0,$G1784,0)),"")</f>
        <v/>
      </c>
      <c r="K1784" s="60" t="str">
        <f aca="false">IF(IsPro,IF($C1784="","",IF(AND(OR($C1784="Receipt",$C1784="Payment"),$D1784=""),"Party needed",IF(AND(OR($C1784="Expense",$C1784="Other Income"),$E1784=""),"Head needed",IF($F1784="","Account needed","OK")))),IF($C1784="","","PRO PLAN"))</f>
        <v/>
      </c>
    </row>
    <row r="1785" customFormat="false" ht="15" hidden="false" customHeight="false" outlineLevel="0" collapsed="false">
      <c r="A1785" s="55"/>
      <c r="B1785" s="56"/>
      <c r="C1785" s="56"/>
      <c r="D1785" s="56"/>
      <c r="E1785" s="56"/>
      <c r="F1785" s="56"/>
      <c r="G1785" s="58"/>
      <c r="H1785" s="56"/>
      <c r="I1785" s="61" t="str">
        <f aca="false">IF(IsPro,IF(OR($C1785="",N($G1785)=0),"",IF(OR($C1785="Receipt",$C1785="Other Income",$C1785="Capital In",$C1785="Transfer In"),$G1785,0)),"")</f>
        <v/>
      </c>
      <c r="J1785" s="61" t="str">
        <f aca="false">IF(IsPro,IF(OR($C1785="",N($G1785)=0),"",IF(I1785=0,$G1785,0)),"")</f>
        <v/>
      </c>
      <c r="K1785" s="60" t="str">
        <f aca="false">IF(IsPro,IF($C1785="","",IF(AND(OR($C1785="Receipt",$C1785="Payment"),$D1785=""),"Party needed",IF(AND(OR($C1785="Expense",$C1785="Other Income"),$E1785=""),"Head needed",IF($F1785="","Account needed","OK")))),IF($C1785="","","PRO PLAN"))</f>
        <v/>
      </c>
    </row>
    <row r="1786" customFormat="false" ht="15" hidden="false" customHeight="false" outlineLevel="0" collapsed="false">
      <c r="A1786" s="55"/>
      <c r="B1786" s="56"/>
      <c r="C1786" s="56"/>
      <c r="D1786" s="56"/>
      <c r="E1786" s="56"/>
      <c r="F1786" s="56"/>
      <c r="G1786" s="58"/>
      <c r="H1786" s="56"/>
      <c r="I1786" s="61" t="str">
        <f aca="false">IF(IsPro,IF(OR($C1786="",N($G1786)=0),"",IF(OR($C1786="Receipt",$C1786="Other Income",$C1786="Capital In",$C1786="Transfer In"),$G1786,0)),"")</f>
        <v/>
      </c>
      <c r="J1786" s="61" t="str">
        <f aca="false">IF(IsPro,IF(OR($C1786="",N($G1786)=0),"",IF(I1786=0,$G1786,0)),"")</f>
        <v/>
      </c>
      <c r="K1786" s="60" t="str">
        <f aca="false">IF(IsPro,IF($C1786="","",IF(AND(OR($C1786="Receipt",$C1786="Payment"),$D1786=""),"Party needed",IF(AND(OR($C1786="Expense",$C1786="Other Income"),$E1786=""),"Head needed",IF($F1786="","Account needed","OK")))),IF($C1786="","","PRO PLAN"))</f>
        <v/>
      </c>
    </row>
    <row r="1787" customFormat="false" ht="15" hidden="false" customHeight="false" outlineLevel="0" collapsed="false">
      <c r="A1787" s="55"/>
      <c r="B1787" s="56"/>
      <c r="C1787" s="56"/>
      <c r="D1787" s="56"/>
      <c r="E1787" s="56"/>
      <c r="F1787" s="56"/>
      <c r="G1787" s="58"/>
      <c r="H1787" s="56"/>
      <c r="I1787" s="61" t="str">
        <f aca="false">IF(IsPro,IF(OR($C1787="",N($G1787)=0),"",IF(OR($C1787="Receipt",$C1787="Other Income",$C1787="Capital In",$C1787="Transfer In"),$G1787,0)),"")</f>
        <v/>
      </c>
      <c r="J1787" s="61" t="str">
        <f aca="false">IF(IsPro,IF(OR($C1787="",N($G1787)=0),"",IF(I1787=0,$G1787,0)),"")</f>
        <v/>
      </c>
      <c r="K1787" s="60" t="str">
        <f aca="false">IF(IsPro,IF($C1787="","",IF(AND(OR($C1787="Receipt",$C1787="Payment"),$D1787=""),"Party needed",IF(AND(OR($C1787="Expense",$C1787="Other Income"),$E1787=""),"Head needed",IF($F1787="","Account needed","OK")))),IF($C1787="","","PRO PLAN"))</f>
        <v/>
      </c>
    </row>
    <row r="1788" customFormat="false" ht="15" hidden="false" customHeight="false" outlineLevel="0" collapsed="false">
      <c r="A1788" s="55"/>
      <c r="B1788" s="56"/>
      <c r="C1788" s="56"/>
      <c r="D1788" s="56"/>
      <c r="E1788" s="56"/>
      <c r="F1788" s="56"/>
      <c r="G1788" s="58"/>
      <c r="H1788" s="56"/>
      <c r="I1788" s="61" t="str">
        <f aca="false">IF(IsPro,IF(OR($C1788="",N($G1788)=0),"",IF(OR($C1788="Receipt",$C1788="Other Income",$C1788="Capital In",$C1788="Transfer In"),$G1788,0)),"")</f>
        <v/>
      </c>
      <c r="J1788" s="61" t="str">
        <f aca="false">IF(IsPro,IF(OR($C1788="",N($G1788)=0),"",IF(I1788=0,$G1788,0)),"")</f>
        <v/>
      </c>
      <c r="K1788" s="60" t="str">
        <f aca="false">IF(IsPro,IF($C1788="","",IF(AND(OR($C1788="Receipt",$C1788="Payment"),$D1788=""),"Party needed",IF(AND(OR($C1788="Expense",$C1788="Other Income"),$E1788=""),"Head needed",IF($F1788="","Account needed","OK")))),IF($C1788="","","PRO PLAN"))</f>
        <v/>
      </c>
    </row>
    <row r="1789" customFormat="false" ht="15" hidden="false" customHeight="false" outlineLevel="0" collapsed="false">
      <c r="A1789" s="55"/>
      <c r="B1789" s="56"/>
      <c r="C1789" s="56"/>
      <c r="D1789" s="56"/>
      <c r="E1789" s="56"/>
      <c r="F1789" s="56"/>
      <c r="G1789" s="58"/>
      <c r="H1789" s="56"/>
      <c r="I1789" s="61" t="str">
        <f aca="false">IF(IsPro,IF(OR($C1789="",N($G1789)=0),"",IF(OR($C1789="Receipt",$C1789="Other Income",$C1789="Capital In",$C1789="Transfer In"),$G1789,0)),"")</f>
        <v/>
      </c>
      <c r="J1789" s="61" t="str">
        <f aca="false">IF(IsPro,IF(OR($C1789="",N($G1789)=0),"",IF(I1789=0,$G1789,0)),"")</f>
        <v/>
      </c>
      <c r="K1789" s="60" t="str">
        <f aca="false">IF(IsPro,IF($C1789="","",IF(AND(OR($C1789="Receipt",$C1789="Payment"),$D1789=""),"Party needed",IF(AND(OR($C1789="Expense",$C1789="Other Income"),$E1789=""),"Head needed",IF($F1789="","Account needed","OK")))),IF($C1789="","","PRO PLAN"))</f>
        <v/>
      </c>
    </row>
    <row r="1790" customFormat="false" ht="15" hidden="false" customHeight="false" outlineLevel="0" collapsed="false">
      <c r="A1790" s="55"/>
      <c r="B1790" s="56"/>
      <c r="C1790" s="56"/>
      <c r="D1790" s="56"/>
      <c r="E1790" s="56"/>
      <c r="F1790" s="56"/>
      <c r="G1790" s="58"/>
      <c r="H1790" s="56"/>
      <c r="I1790" s="61" t="str">
        <f aca="false">IF(IsPro,IF(OR($C1790="",N($G1790)=0),"",IF(OR($C1790="Receipt",$C1790="Other Income",$C1790="Capital In",$C1790="Transfer In"),$G1790,0)),"")</f>
        <v/>
      </c>
      <c r="J1790" s="61" t="str">
        <f aca="false">IF(IsPro,IF(OR($C1790="",N($G1790)=0),"",IF(I1790=0,$G1790,0)),"")</f>
        <v/>
      </c>
      <c r="K1790" s="60" t="str">
        <f aca="false">IF(IsPro,IF($C1790="","",IF(AND(OR($C1790="Receipt",$C1790="Payment"),$D1790=""),"Party needed",IF(AND(OR($C1790="Expense",$C1790="Other Income"),$E1790=""),"Head needed",IF($F1790="","Account needed","OK")))),IF($C1790="","","PRO PLAN"))</f>
        <v/>
      </c>
    </row>
    <row r="1791" customFormat="false" ht="15" hidden="false" customHeight="false" outlineLevel="0" collapsed="false">
      <c r="A1791" s="55"/>
      <c r="B1791" s="56"/>
      <c r="C1791" s="56"/>
      <c r="D1791" s="56"/>
      <c r="E1791" s="56"/>
      <c r="F1791" s="56"/>
      <c r="G1791" s="58"/>
      <c r="H1791" s="56"/>
      <c r="I1791" s="61" t="str">
        <f aca="false">IF(IsPro,IF(OR($C1791="",N($G1791)=0),"",IF(OR($C1791="Receipt",$C1791="Other Income",$C1791="Capital In",$C1791="Transfer In"),$G1791,0)),"")</f>
        <v/>
      </c>
      <c r="J1791" s="61" t="str">
        <f aca="false">IF(IsPro,IF(OR($C1791="",N($G1791)=0),"",IF(I1791=0,$G1791,0)),"")</f>
        <v/>
      </c>
      <c r="K1791" s="60" t="str">
        <f aca="false">IF(IsPro,IF($C1791="","",IF(AND(OR($C1791="Receipt",$C1791="Payment"),$D1791=""),"Party needed",IF(AND(OR($C1791="Expense",$C1791="Other Income"),$E1791=""),"Head needed",IF($F1791="","Account needed","OK")))),IF($C1791="","","PRO PLAN"))</f>
        <v/>
      </c>
    </row>
    <row r="1792" customFormat="false" ht="15" hidden="false" customHeight="false" outlineLevel="0" collapsed="false">
      <c r="A1792" s="55"/>
      <c r="B1792" s="56"/>
      <c r="C1792" s="56"/>
      <c r="D1792" s="56"/>
      <c r="E1792" s="56"/>
      <c r="F1792" s="56"/>
      <c r="G1792" s="58"/>
      <c r="H1792" s="56"/>
      <c r="I1792" s="61" t="str">
        <f aca="false">IF(IsPro,IF(OR($C1792="",N($G1792)=0),"",IF(OR($C1792="Receipt",$C1792="Other Income",$C1792="Capital In",$C1792="Transfer In"),$G1792,0)),"")</f>
        <v/>
      </c>
      <c r="J1792" s="61" t="str">
        <f aca="false">IF(IsPro,IF(OR($C1792="",N($G1792)=0),"",IF(I1792=0,$G1792,0)),"")</f>
        <v/>
      </c>
      <c r="K1792" s="60" t="str">
        <f aca="false">IF(IsPro,IF($C1792="","",IF(AND(OR($C1792="Receipt",$C1792="Payment"),$D1792=""),"Party needed",IF(AND(OR($C1792="Expense",$C1792="Other Income"),$E1792=""),"Head needed",IF($F1792="","Account needed","OK")))),IF($C1792="","","PRO PLAN"))</f>
        <v/>
      </c>
    </row>
    <row r="1793" customFormat="false" ht="15" hidden="false" customHeight="false" outlineLevel="0" collapsed="false">
      <c r="A1793" s="55"/>
      <c r="B1793" s="56"/>
      <c r="C1793" s="56"/>
      <c r="D1793" s="56"/>
      <c r="E1793" s="56"/>
      <c r="F1793" s="56"/>
      <c r="G1793" s="58"/>
      <c r="H1793" s="56"/>
      <c r="I1793" s="61" t="str">
        <f aca="false">IF(IsPro,IF(OR($C1793="",N($G1793)=0),"",IF(OR($C1793="Receipt",$C1793="Other Income",$C1793="Capital In",$C1793="Transfer In"),$G1793,0)),"")</f>
        <v/>
      </c>
      <c r="J1793" s="61" t="str">
        <f aca="false">IF(IsPro,IF(OR($C1793="",N($G1793)=0),"",IF(I1793=0,$G1793,0)),"")</f>
        <v/>
      </c>
      <c r="K1793" s="60" t="str">
        <f aca="false">IF(IsPro,IF($C1793="","",IF(AND(OR($C1793="Receipt",$C1793="Payment"),$D1793=""),"Party needed",IF(AND(OR($C1793="Expense",$C1793="Other Income"),$E1793=""),"Head needed",IF($F1793="","Account needed","OK")))),IF($C1793="","","PRO PLAN"))</f>
        <v/>
      </c>
    </row>
    <row r="1794" customFormat="false" ht="15" hidden="false" customHeight="false" outlineLevel="0" collapsed="false">
      <c r="A1794" s="55"/>
      <c r="B1794" s="56"/>
      <c r="C1794" s="56"/>
      <c r="D1794" s="56"/>
      <c r="E1794" s="56"/>
      <c r="F1794" s="56"/>
      <c r="G1794" s="58"/>
      <c r="H1794" s="56"/>
      <c r="I1794" s="61" t="str">
        <f aca="false">IF(IsPro,IF(OR($C1794="",N($G1794)=0),"",IF(OR($C1794="Receipt",$C1794="Other Income",$C1794="Capital In",$C1794="Transfer In"),$G1794,0)),"")</f>
        <v/>
      </c>
      <c r="J1794" s="61" t="str">
        <f aca="false">IF(IsPro,IF(OR($C1794="",N($G1794)=0),"",IF(I1794=0,$G1794,0)),"")</f>
        <v/>
      </c>
      <c r="K1794" s="60" t="str">
        <f aca="false">IF(IsPro,IF($C1794="","",IF(AND(OR($C1794="Receipt",$C1794="Payment"),$D1794=""),"Party needed",IF(AND(OR($C1794="Expense",$C1794="Other Income"),$E1794=""),"Head needed",IF($F1794="","Account needed","OK")))),IF($C1794="","","PRO PLAN"))</f>
        <v/>
      </c>
    </row>
    <row r="1795" customFormat="false" ht="15" hidden="false" customHeight="false" outlineLevel="0" collapsed="false">
      <c r="A1795" s="55"/>
      <c r="B1795" s="56"/>
      <c r="C1795" s="56"/>
      <c r="D1795" s="56"/>
      <c r="E1795" s="56"/>
      <c r="F1795" s="56"/>
      <c r="G1795" s="58"/>
      <c r="H1795" s="56"/>
      <c r="I1795" s="61" t="str">
        <f aca="false">IF(IsPro,IF(OR($C1795="",N($G1795)=0),"",IF(OR($C1795="Receipt",$C1795="Other Income",$C1795="Capital In",$C1795="Transfer In"),$G1795,0)),"")</f>
        <v/>
      </c>
      <c r="J1795" s="61" t="str">
        <f aca="false">IF(IsPro,IF(OR($C1795="",N($G1795)=0),"",IF(I1795=0,$G1795,0)),"")</f>
        <v/>
      </c>
      <c r="K1795" s="60" t="str">
        <f aca="false">IF(IsPro,IF($C1795="","",IF(AND(OR($C1795="Receipt",$C1795="Payment"),$D1795=""),"Party needed",IF(AND(OR($C1795="Expense",$C1795="Other Income"),$E1795=""),"Head needed",IF($F1795="","Account needed","OK")))),IF($C1795="","","PRO PLAN"))</f>
        <v/>
      </c>
    </row>
    <row r="1796" customFormat="false" ht="15" hidden="false" customHeight="false" outlineLevel="0" collapsed="false">
      <c r="A1796" s="55"/>
      <c r="B1796" s="56"/>
      <c r="C1796" s="56"/>
      <c r="D1796" s="56"/>
      <c r="E1796" s="56"/>
      <c r="F1796" s="56"/>
      <c r="G1796" s="58"/>
      <c r="H1796" s="56"/>
      <c r="I1796" s="61" t="str">
        <f aca="false">IF(IsPro,IF(OR($C1796="",N($G1796)=0),"",IF(OR($C1796="Receipt",$C1796="Other Income",$C1796="Capital In",$C1796="Transfer In"),$G1796,0)),"")</f>
        <v/>
      </c>
      <c r="J1796" s="61" t="str">
        <f aca="false">IF(IsPro,IF(OR($C1796="",N($G1796)=0),"",IF(I1796=0,$G1796,0)),"")</f>
        <v/>
      </c>
      <c r="K1796" s="60" t="str">
        <f aca="false">IF(IsPro,IF($C1796="","",IF(AND(OR($C1796="Receipt",$C1796="Payment"),$D1796=""),"Party needed",IF(AND(OR($C1796="Expense",$C1796="Other Income"),$E1796=""),"Head needed",IF($F1796="","Account needed","OK")))),IF($C1796="","","PRO PLAN"))</f>
        <v/>
      </c>
    </row>
    <row r="1797" customFormat="false" ht="15" hidden="false" customHeight="false" outlineLevel="0" collapsed="false">
      <c r="A1797" s="55"/>
      <c r="B1797" s="56"/>
      <c r="C1797" s="56"/>
      <c r="D1797" s="56"/>
      <c r="E1797" s="56"/>
      <c r="F1797" s="56"/>
      <c r="G1797" s="58"/>
      <c r="H1797" s="56"/>
      <c r="I1797" s="61" t="str">
        <f aca="false">IF(IsPro,IF(OR($C1797="",N($G1797)=0),"",IF(OR($C1797="Receipt",$C1797="Other Income",$C1797="Capital In",$C1797="Transfer In"),$G1797,0)),"")</f>
        <v/>
      </c>
      <c r="J1797" s="61" t="str">
        <f aca="false">IF(IsPro,IF(OR($C1797="",N($G1797)=0),"",IF(I1797=0,$G1797,0)),"")</f>
        <v/>
      </c>
      <c r="K1797" s="60" t="str">
        <f aca="false">IF(IsPro,IF($C1797="","",IF(AND(OR($C1797="Receipt",$C1797="Payment"),$D1797=""),"Party needed",IF(AND(OR($C1797="Expense",$C1797="Other Income"),$E1797=""),"Head needed",IF($F1797="","Account needed","OK")))),IF($C1797="","","PRO PLAN"))</f>
        <v/>
      </c>
    </row>
    <row r="1798" customFormat="false" ht="15" hidden="false" customHeight="false" outlineLevel="0" collapsed="false">
      <c r="A1798" s="55"/>
      <c r="B1798" s="56"/>
      <c r="C1798" s="56"/>
      <c r="D1798" s="56"/>
      <c r="E1798" s="56"/>
      <c r="F1798" s="56"/>
      <c r="G1798" s="58"/>
      <c r="H1798" s="56"/>
      <c r="I1798" s="61" t="str">
        <f aca="false">IF(IsPro,IF(OR($C1798="",N($G1798)=0),"",IF(OR($C1798="Receipt",$C1798="Other Income",$C1798="Capital In",$C1798="Transfer In"),$G1798,0)),"")</f>
        <v/>
      </c>
      <c r="J1798" s="61" t="str">
        <f aca="false">IF(IsPro,IF(OR($C1798="",N($G1798)=0),"",IF(I1798=0,$G1798,0)),"")</f>
        <v/>
      </c>
      <c r="K1798" s="60" t="str">
        <f aca="false">IF(IsPro,IF($C1798="","",IF(AND(OR($C1798="Receipt",$C1798="Payment"),$D1798=""),"Party needed",IF(AND(OR($C1798="Expense",$C1798="Other Income"),$E1798=""),"Head needed",IF($F1798="","Account needed","OK")))),IF($C1798="","","PRO PLAN"))</f>
        <v/>
      </c>
    </row>
    <row r="1799" customFormat="false" ht="15" hidden="false" customHeight="false" outlineLevel="0" collapsed="false">
      <c r="A1799" s="55"/>
      <c r="B1799" s="56"/>
      <c r="C1799" s="56"/>
      <c r="D1799" s="56"/>
      <c r="E1799" s="56"/>
      <c r="F1799" s="56"/>
      <c r="G1799" s="58"/>
      <c r="H1799" s="56"/>
      <c r="I1799" s="61" t="str">
        <f aca="false">IF(IsPro,IF(OR($C1799="",N($G1799)=0),"",IF(OR($C1799="Receipt",$C1799="Other Income",$C1799="Capital In",$C1799="Transfer In"),$G1799,0)),"")</f>
        <v/>
      </c>
      <c r="J1799" s="61" t="str">
        <f aca="false">IF(IsPro,IF(OR($C1799="",N($G1799)=0),"",IF(I1799=0,$G1799,0)),"")</f>
        <v/>
      </c>
      <c r="K1799" s="60" t="str">
        <f aca="false">IF(IsPro,IF($C1799="","",IF(AND(OR($C1799="Receipt",$C1799="Payment"),$D1799=""),"Party needed",IF(AND(OR($C1799="Expense",$C1799="Other Income"),$E1799=""),"Head needed",IF($F1799="","Account needed","OK")))),IF($C1799="","","PRO PLAN"))</f>
        <v/>
      </c>
    </row>
    <row r="1800" customFormat="false" ht="15" hidden="false" customHeight="false" outlineLevel="0" collapsed="false">
      <c r="A1800" s="55"/>
      <c r="B1800" s="56"/>
      <c r="C1800" s="56"/>
      <c r="D1800" s="56"/>
      <c r="E1800" s="56"/>
      <c r="F1800" s="56"/>
      <c r="G1800" s="58"/>
      <c r="H1800" s="56"/>
      <c r="I1800" s="61" t="str">
        <f aca="false">IF(IsPro,IF(OR($C1800="",N($G1800)=0),"",IF(OR($C1800="Receipt",$C1800="Other Income",$C1800="Capital In",$C1800="Transfer In"),$G1800,0)),"")</f>
        <v/>
      </c>
      <c r="J1800" s="61" t="str">
        <f aca="false">IF(IsPro,IF(OR($C1800="",N($G1800)=0),"",IF(I1800=0,$G1800,0)),"")</f>
        <v/>
      </c>
      <c r="K1800" s="60" t="str">
        <f aca="false">IF(IsPro,IF($C1800="","",IF(AND(OR($C1800="Receipt",$C1800="Payment"),$D1800=""),"Party needed",IF(AND(OR($C1800="Expense",$C1800="Other Income"),$E1800=""),"Head needed",IF($F1800="","Account needed","OK")))),IF($C1800="","","PRO PLAN"))</f>
        <v/>
      </c>
    </row>
    <row r="1801" customFormat="false" ht="15" hidden="false" customHeight="false" outlineLevel="0" collapsed="false">
      <c r="A1801" s="55"/>
      <c r="B1801" s="56"/>
      <c r="C1801" s="56"/>
      <c r="D1801" s="56"/>
      <c r="E1801" s="56"/>
      <c r="F1801" s="56"/>
      <c r="G1801" s="58"/>
      <c r="H1801" s="56"/>
      <c r="I1801" s="61" t="str">
        <f aca="false">IF(IsPro,IF(OR($C1801="",N($G1801)=0),"",IF(OR($C1801="Receipt",$C1801="Other Income",$C1801="Capital In",$C1801="Transfer In"),$G1801,0)),"")</f>
        <v/>
      </c>
      <c r="J1801" s="61" t="str">
        <f aca="false">IF(IsPro,IF(OR($C1801="",N($G1801)=0),"",IF(I1801=0,$G1801,0)),"")</f>
        <v/>
      </c>
      <c r="K1801" s="60" t="str">
        <f aca="false">IF(IsPro,IF($C1801="","",IF(AND(OR($C1801="Receipt",$C1801="Payment"),$D1801=""),"Party needed",IF(AND(OR($C1801="Expense",$C1801="Other Income"),$E1801=""),"Head needed",IF($F1801="","Account needed","OK")))),IF($C1801="","","PRO PLAN"))</f>
        <v/>
      </c>
    </row>
    <row r="1802" customFormat="false" ht="15" hidden="false" customHeight="false" outlineLevel="0" collapsed="false">
      <c r="A1802" s="55"/>
      <c r="B1802" s="56"/>
      <c r="C1802" s="56"/>
      <c r="D1802" s="56"/>
      <c r="E1802" s="56"/>
      <c r="F1802" s="56"/>
      <c r="G1802" s="58"/>
      <c r="H1802" s="56"/>
      <c r="I1802" s="61" t="str">
        <f aca="false">IF(IsPro,IF(OR($C1802="",N($G1802)=0),"",IF(OR($C1802="Receipt",$C1802="Other Income",$C1802="Capital In",$C1802="Transfer In"),$G1802,0)),"")</f>
        <v/>
      </c>
      <c r="J1802" s="61" t="str">
        <f aca="false">IF(IsPro,IF(OR($C1802="",N($G1802)=0),"",IF(I1802=0,$G1802,0)),"")</f>
        <v/>
      </c>
      <c r="K1802" s="60" t="str">
        <f aca="false">IF(IsPro,IF($C1802="","",IF(AND(OR($C1802="Receipt",$C1802="Payment"),$D1802=""),"Party needed",IF(AND(OR($C1802="Expense",$C1802="Other Income"),$E1802=""),"Head needed",IF($F1802="","Account needed","OK")))),IF($C1802="","","PRO PLAN"))</f>
        <v/>
      </c>
    </row>
    <row r="1803" customFormat="false" ht="15" hidden="false" customHeight="false" outlineLevel="0" collapsed="false">
      <c r="A1803" s="55"/>
      <c r="B1803" s="56"/>
      <c r="C1803" s="56"/>
      <c r="D1803" s="56"/>
      <c r="E1803" s="56"/>
      <c r="F1803" s="56"/>
      <c r="G1803" s="58"/>
      <c r="H1803" s="56"/>
      <c r="I1803" s="61" t="str">
        <f aca="false">IF(IsPro,IF(OR($C1803="",N($G1803)=0),"",IF(OR($C1803="Receipt",$C1803="Other Income",$C1803="Capital In",$C1803="Transfer In"),$G1803,0)),"")</f>
        <v/>
      </c>
      <c r="J1803" s="61" t="str">
        <f aca="false">IF(IsPro,IF(OR($C1803="",N($G1803)=0),"",IF(I1803=0,$G1803,0)),"")</f>
        <v/>
      </c>
      <c r="K1803" s="60" t="str">
        <f aca="false">IF(IsPro,IF($C1803="","",IF(AND(OR($C1803="Receipt",$C1803="Payment"),$D1803=""),"Party needed",IF(AND(OR($C1803="Expense",$C1803="Other Income"),$E1803=""),"Head needed",IF($F1803="","Account needed","OK")))),IF($C1803="","","PRO PLAN"))</f>
        <v/>
      </c>
    </row>
    <row r="1804" customFormat="false" ht="15" hidden="false" customHeight="false" outlineLevel="0" collapsed="false">
      <c r="A1804" s="55"/>
      <c r="B1804" s="56"/>
      <c r="C1804" s="56"/>
      <c r="D1804" s="56"/>
      <c r="E1804" s="56"/>
      <c r="F1804" s="56"/>
      <c r="G1804" s="58"/>
      <c r="H1804" s="56"/>
      <c r="I1804" s="61" t="str">
        <f aca="false">IF(IsPro,IF(OR($C1804="",N($G1804)=0),"",IF(OR($C1804="Receipt",$C1804="Other Income",$C1804="Capital In",$C1804="Transfer In"),$G1804,0)),"")</f>
        <v/>
      </c>
      <c r="J1804" s="61" t="str">
        <f aca="false">IF(IsPro,IF(OR($C1804="",N($G1804)=0),"",IF(I1804=0,$G1804,0)),"")</f>
        <v/>
      </c>
      <c r="K1804" s="60" t="str">
        <f aca="false">IF(IsPro,IF($C1804="","",IF(AND(OR($C1804="Receipt",$C1804="Payment"),$D1804=""),"Party needed",IF(AND(OR($C1804="Expense",$C1804="Other Income"),$E1804=""),"Head needed",IF($F1804="","Account needed","OK")))),IF($C1804="","","PRO PLAN"))</f>
        <v/>
      </c>
    </row>
    <row r="1805" customFormat="false" ht="15" hidden="false" customHeight="false" outlineLevel="0" collapsed="false">
      <c r="A1805" s="55"/>
      <c r="B1805" s="56"/>
      <c r="C1805" s="56"/>
      <c r="D1805" s="56"/>
      <c r="E1805" s="56"/>
      <c r="F1805" s="56"/>
      <c r="G1805" s="58"/>
      <c r="H1805" s="56"/>
      <c r="I1805" s="61" t="str">
        <f aca="false">IF(IsPro,IF(OR($C1805="",N($G1805)=0),"",IF(OR($C1805="Receipt",$C1805="Other Income",$C1805="Capital In",$C1805="Transfer In"),$G1805,0)),"")</f>
        <v/>
      </c>
      <c r="J1805" s="61" t="str">
        <f aca="false">IF(IsPro,IF(OR($C1805="",N($G1805)=0),"",IF(I1805=0,$G1805,0)),"")</f>
        <v/>
      </c>
      <c r="K1805" s="60" t="str">
        <f aca="false">IF(IsPro,IF($C1805="","",IF(AND(OR($C1805="Receipt",$C1805="Payment"),$D1805=""),"Party needed",IF(AND(OR($C1805="Expense",$C1805="Other Income"),$E1805=""),"Head needed",IF($F1805="","Account needed","OK")))),IF($C1805="","","PRO PLAN"))</f>
        <v/>
      </c>
    </row>
    <row r="1806" customFormat="false" ht="15" hidden="false" customHeight="false" outlineLevel="0" collapsed="false">
      <c r="A1806" s="55"/>
      <c r="B1806" s="56"/>
      <c r="C1806" s="56"/>
      <c r="D1806" s="56"/>
      <c r="E1806" s="56"/>
      <c r="F1806" s="56"/>
      <c r="G1806" s="58"/>
      <c r="H1806" s="56"/>
      <c r="I1806" s="61" t="str">
        <f aca="false">IF(IsPro,IF(OR($C1806="",N($G1806)=0),"",IF(OR($C1806="Receipt",$C1806="Other Income",$C1806="Capital In",$C1806="Transfer In"),$G1806,0)),"")</f>
        <v/>
      </c>
      <c r="J1806" s="61" t="str">
        <f aca="false">IF(IsPro,IF(OR($C1806="",N($G1806)=0),"",IF(I1806=0,$G1806,0)),"")</f>
        <v/>
      </c>
      <c r="K1806" s="60" t="str">
        <f aca="false">IF(IsPro,IF($C1806="","",IF(AND(OR($C1806="Receipt",$C1806="Payment"),$D1806=""),"Party needed",IF(AND(OR($C1806="Expense",$C1806="Other Income"),$E1806=""),"Head needed",IF($F1806="","Account needed","OK")))),IF($C1806="","","PRO PLAN"))</f>
        <v/>
      </c>
    </row>
    <row r="1807" customFormat="false" ht="15" hidden="false" customHeight="false" outlineLevel="0" collapsed="false">
      <c r="A1807" s="55"/>
      <c r="B1807" s="56"/>
      <c r="C1807" s="56"/>
      <c r="D1807" s="56"/>
      <c r="E1807" s="56"/>
      <c r="F1807" s="56"/>
      <c r="G1807" s="58"/>
      <c r="H1807" s="56"/>
      <c r="I1807" s="61" t="str">
        <f aca="false">IF(IsPro,IF(OR($C1807="",N($G1807)=0),"",IF(OR($C1807="Receipt",$C1807="Other Income",$C1807="Capital In",$C1807="Transfer In"),$G1807,0)),"")</f>
        <v/>
      </c>
      <c r="J1807" s="61" t="str">
        <f aca="false">IF(IsPro,IF(OR($C1807="",N($G1807)=0),"",IF(I1807=0,$G1807,0)),"")</f>
        <v/>
      </c>
      <c r="K1807" s="60" t="str">
        <f aca="false">IF(IsPro,IF($C1807="","",IF(AND(OR($C1807="Receipt",$C1807="Payment"),$D1807=""),"Party needed",IF(AND(OR($C1807="Expense",$C1807="Other Income"),$E1807=""),"Head needed",IF($F1807="","Account needed","OK")))),IF($C1807="","","PRO PLAN"))</f>
        <v/>
      </c>
    </row>
    <row r="1808" customFormat="false" ht="15" hidden="false" customHeight="false" outlineLevel="0" collapsed="false">
      <c r="A1808" s="55"/>
      <c r="B1808" s="56"/>
      <c r="C1808" s="56"/>
      <c r="D1808" s="56"/>
      <c r="E1808" s="56"/>
      <c r="F1808" s="56"/>
      <c r="G1808" s="58"/>
      <c r="H1808" s="56"/>
      <c r="I1808" s="61" t="str">
        <f aca="false">IF(IsPro,IF(OR($C1808="",N($G1808)=0),"",IF(OR($C1808="Receipt",$C1808="Other Income",$C1808="Capital In",$C1808="Transfer In"),$G1808,0)),"")</f>
        <v/>
      </c>
      <c r="J1808" s="61" t="str">
        <f aca="false">IF(IsPro,IF(OR($C1808="",N($G1808)=0),"",IF(I1808=0,$G1808,0)),"")</f>
        <v/>
      </c>
      <c r="K1808" s="60" t="str">
        <f aca="false">IF(IsPro,IF($C1808="","",IF(AND(OR($C1808="Receipt",$C1808="Payment"),$D1808=""),"Party needed",IF(AND(OR($C1808="Expense",$C1808="Other Income"),$E1808=""),"Head needed",IF($F1808="","Account needed","OK")))),IF($C1808="","","PRO PLAN"))</f>
        <v/>
      </c>
    </row>
    <row r="1809" customFormat="false" ht="15" hidden="false" customHeight="false" outlineLevel="0" collapsed="false">
      <c r="A1809" s="55"/>
      <c r="B1809" s="56"/>
      <c r="C1809" s="56"/>
      <c r="D1809" s="56"/>
      <c r="E1809" s="56"/>
      <c r="F1809" s="56"/>
      <c r="G1809" s="58"/>
      <c r="H1809" s="56"/>
      <c r="I1809" s="61" t="str">
        <f aca="false">IF(IsPro,IF(OR($C1809="",N($G1809)=0),"",IF(OR($C1809="Receipt",$C1809="Other Income",$C1809="Capital In",$C1809="Transfer In"),$G1809,0)),"")</f>
        <v/>
      </c>
      <c r="J1809" s="61" t="str">
        <f aca="false">IF(IsPro,IF(OR($C1809="",N($G1809)=0),"",IF(I1809=0,$G1809,0)),"")</f>
        <v/>
      </c>
      <c r="K1809" s="60" t="str">
        <f aca="false">IF(IsPro,IF($C1809="","",IF(AND(OR($C1809="Receipt",$C1809="Payment"),$D1809=""),"Party needed",IF(AND(OR($C1809="Expense",$C1809="Other Income"),$E1809=""),"Head needed",IF($F1809="","Account needed","OK")))),IF($C1809="","","PRO PLAN"))</f>
        <v/>
      </c>
    </row>
    <row r="1810" customFormat="false" ht="15" hidden="false" customHeight="false" outlineLevel="0" collapsed="false">
      <c r="A1810" s="55"/>
      <c r="B1810" s="56"/>
      <c r="C1810" s="56"/>
      <c r="D1810" s="56"/>
      <c r="E1810" s="56"/>
      <c r="F1810" s="56"/>
      <c r="G1810" s="58"/>
      <c r="H1810" s="56"/>
      <c r="I1810" s="61" t="str">
        <f aca="false">IF(IsPro,IF(OR($C1810="",N($G1810)=0),"",IF(OR($C1810="Receipt",$C1810="Other Income",$C1810="Capital In",$C1810="Transfer In"),$G1810,0)),"")</f>
        <v/>
      </c>
      <c r="J1810" s="61" t="str">
        <f aca="false">IF(IsPro,IF(OR($C1810="",N($G1810)=0),"",IF(I1810=0,$G1810,0)),"")</f>
        <v/>
      </c>
      <c r="K1810" s="60" t="str">
        <f aca="false">IF(IsPro,IF($C1810="","",IF(AND(OR($C1810="Receipt",$C1810="Payment"),$D1810=""),"Party needed",IF(AND(OR($C1810="Expense",$C1810="Other Income"),$E1810=""),"Head needed",IF($F1810="","Account needed","OK")))),IF($C1810="","","PRO PLAN"))</f>
        <v/>
      </c>
    </row>
    <row r="1811" customFormat="false" ht="15" hidden="false" customHeight="false" outlineLevel="0" collapsed="false">
      <c r="A1811" s="55"/>
      <c r="B1811" s="56"/>
      <c r="C1811" s="56"/>
      <c r="D1811" s="56"/>
      <c r="E1811" s="56"/>
      <c r="F1811" s="56"/>
      <c r="G1811" s="58"/>
      <c r="H1811" s="56"/>
      <c r="I1811" s="61" t="str">
        <f aca="false">IF(IsPro,IF(OR($C1811="",N($G1811)=0),"",IF(OR($C1811="Receipt",$C1811="Other Income",$C1811="Capital In",$C1811="Transfer In"),$G1811,0)),"")</f>
        <v/>
      </c>
      <c r="J1811" s="61" t="str">
        <f aca="false">IF(IsPro,IF(OR($C1811="",N($G1811)=0),"",IF(I1811=0,$G1811,0)),"")</f>
        <v/>
      </c>
      <c r="K1811" s="60" t="str">
        <f aca="false">IF(IsPro,IF($C1811="","",IF(AND(OR($C1811="Receipt",$C1811="Payment"),$D1811=""),"Party needed",IF(AND(OR($C1811="Expense",$C1811="Other Income"),$E1811=""),"Head needed",IF($F1811="","Account needed","OK")))),IF($C1811="","","PRO PLAN"))</f>
        <v/>
      </c>
    </row>
    <row r="1812" customFormat="false" ht="15" hidden="false" customHeight="false" outlineLevel="0" collapsed="false">
      <c r="A1812" s="55"/>
      <c r="B1812" s="56"/>
      <c r="C1812" s="56"/>
      <c r="D1812" s="56"/>
      <c r="E1812" s="56"/>
      <c r="F1812" s="56"/>
      <c r="G1812" s="58"/>
      <c r="H1812" s="56"/>
      <c r="I1812" s="61" t="str">
        <f aca="false">IF(IsPro,IF(OR($C1812="",N($G1812)=0),"",IF(OR($C1812="Receipt",$C1812="Other Income",$C1812="Capital In",$C1812="Transfer In"),$G1812,0)),"")</f>
        <v/>
      </c>
      <c r="J1812" s="61" t="str">
        <f aca="false">IF(IsPro,IF(OR($C1812="",N($G1812)=0),"",IF(I1812=0,$G1812,0)),"")</f>
        <v/>
      </c>
      <c r="K1812" s="60" t="str">
        <f aca="false">IF(IsPro,IF($C1812="","",IF(AND(OR($C1812="Receipt",$C1812="Payment"),$D1812=""),"Party needed",IF(AND(OR($C1812="Expense",$C1812="Other Income"),$E1812=""),"Head needed",IF($F1812="","Account needed","OK")))),IF($C1812="","","PRO PLAN"))</f>
        <v/>
      </c>
    </row>
    <row r="1813" customFormat="false" ht="15" hidden="false" customHeight="false" outlineLevel="0" collapsed="false">
      <c r="A1813" s="55"/>
      <c r="B1813" s="56"/>
      <c r="C1813" s="56"/>
      <c r="D1813" s="56"/>
      <c r="E1813" s="56"/>
      <c r="F1813" s="56"/>
      <c r="G1813" s="58"/>
      <c r="H1813" s="56"/>
      <c r="I1813" s="61" t="str">
        <f aca="false">IF(IsPro,IF(OR($C1813="",N($G1813)=0),"",IF(OR($C1813="Receipt",$C1813="Other Income",$C1813="Capital In",$C1813="Transfer In"),$G1813,0)),"")</f>
        <v/>
      </c>
      <c r="J1813" s="61" t="str">
        <f aca="false">IF(IsPro,IF(OR($C1813="",N($G1813)=0),"",IF(I1813=0,$G1813,0)),"")</f>
        <v/>
      </c>
      <c r="K1813" s="60" t="str">
        <f aca="false">IF(IsPro,IF($C1813="","",IF(AND(OR($C1813="Receipt",$C1813="Payment"),$D1813=""),"Party needed",IF(AND(OR($C1813="Expense",$C1813="Other Income"),$E1813=""),"Head needed",IF($F1813="","Account needed","OK")))),IF($C1813="","","PRO PLAN"))</f>
        <v/>
      </c>
    </row>
    <row r="1814" customFormat="false" ht="15" hidden="false" customHeight="false" outlineLevel="0" collapsed="false">
      <c r="A1814" s="55"/>
      <c r="B1814" s="56"/>
      <c r="C1814" s="56"/>
      <c r="D1814" s="56"/>
      <c r="E1814" s="56"/>
      <c r="F1814" s="56"/>
      <c r="G1814" s="58"/>
      <c r="H1814" s="56"/>
      <c r="I1814" s="61" t="str">
        <f aca="false">IF(IsPro,IF(OR($C1814="",N($G1814)=0),"",IF(OR($C1814="Receipt",$C1814="Other Income",$C1814="Capital In",$C1814="Transfer In"),$G1814,0)),"")</f>
        <v/>
      </c>
      <c r="J1814" s="61" t="str">
        <f aca="false">IF(IsPro,IF(OR($C1814="",N($G1814)=0),"",IF(I1814=0,$G1814,0)),"")</f>
        <v/>
      </c>
      <c r="K1814" s="60" t="str">
        <f aca="false">IF(IsPro,IF($C1814="","",IF(AND(OR($C1814="Receipt",$C1814="Payment"),$D1814=""),"Party needed",IF(AND(OR($C1814="Expense",$C1814="Other Income"),$E1814=""),"Head needed",IF($F1814="","Account needed","OK")))),IF($C1814="","","PRO PLAN"))</f>
        <v/>
      </c>
    </row>
    <row r="1815" customFormat="false" ht="15" hidden="false" customHeight="false" outlineLevel="0" collapsed="false">
      <c r="A1815" s="55"/>
      <c r="B1815" s="56"/>
      <c r="C1815" s="56"/>
      <c r="D1815" s="56"/>
      <c r="E1815" s="56"/>
      <c r="F1815" s="56"/>
      <c r="G1815" s="58"/>
      <c r="H1815" s="56"/>
      <c r="I1815" s="61" t="str">
        <f aca="false">IF(IsPro,IF(OR($C1815="",N($G1815)=0),"",IF(OR($C1815="Receipt",$C1815="Other Income",$C1815="Capital In",$C1815="Transfer In"),$G1815,0)),"")</f>
        <v/>
      </c>
      <c r="J1815" s="61" t="str">
        <f aca="false">IF(IsPro,IF(OR($C1815="",N($G1815)=0),"",IF(I1815=0,$G1815,0)),"")</f>
        <v/>
      </c>
      <c r="K1815" s="60" t="str">
        <f aca="false">IF(IsPro,IF($C1815="","",IF(AND(OR($C1815="Receipt",$C1815="Payment"),$D1815=""),"Party needed",IF(AND(OR($C1815="Expense",$C1815="Other Income"),$E1815=""),"Head needed",IF($F1815="","Account needed","OK")))),IF($C1815="","","PRO PLAN"))</f>
        <v/>
      </c>
    </row>
    <row r="1816" customFormat="false" ht="15" hidden="false" customHeight="false" outlineLevel="0" collapsed="false">
      <c r="A1816" s="55"/>
      <c r="B1816" s="56"/>
      <c r="C1816" s="56"/>
      <c r="D1816" s="56"/>
      <c r="E1816" s="56"/>
      <c r="F1816" s="56"/>
      <c r="G1816" s="58"/>
      <c r="H1816" s="56"/>
      <c r="I1816" s="61" t="str">
        <f aca="false">IF(IsPro,IF(OR($C1816="",N($G1816)=0),"",IF(OR($C1816="Receipt",$C1816="Other Income",$C1816="Capital In",$C1816="Transfer In"),$G1816,0)),"")</f>
        <v/>
      </c>
      <c r="J1816" s="61" t="str">
        <f aca="false">IF(IsPro,IF(OR($C1816="",N($G1816)=0),"",IF(I1816=0,$G1816,0)),"")</f>
        <v/>
      </c>
      <c r="K1816" s="60" t="str">
        <f aca="false">IF(IsPro,IF($C1816="","",IF(AND(OR($C1816="Receipt",$C1816="Payment"),$D1816=""),"Party needed",IF(AND(OR($C1816="Expense",$C1816="Other Income"),$E1816=""),"Head needed",IF($F1816="","Account needed","OK")))),IF($C1816="","","PRO PLAN"))</f>
        <v/>
      </c>
    </row>
    <row r="1817" customFormat="false" ht="15" hidden="false" customHeight="false" outlineLevel="0" collapsed="false">
      <c r="A1817" s="55"/>
      <c r="B1817" s="56"/>
      <c r="C1817" s="56"/>
      <c r="D1817" s="56"/>
      <c r="E1817" s="56"/>
      <c r="F1817" s="56"/>
      <c r="G1817" s="58"/>
      <c r="H1817" s="56"/>
      <c r="I1817" s="61" t="str">
        <f aca="false">IF(IsPro,IF(OR($C1817="",N($G1817)=0),"",IF(OR($C1817="Receipt",$C1817="Other Income",$C1817="Capital In",$C1817="Transfer In"),$G1817,0)),"")</f>
        <v/>
      </c>
      <c r="J1817" s="61" t="str">
        <f aca="false">IF(IsPro,IF(OR($C1817="",N($G1817)=0),"",IF(I1817=0,$G1817,0)),"")</f>
        <v/>
      </c>
      <c r="K1817" s="60" t="str">
        <f aca="false">IF(IsPro,IF($C1817="","",IF(AND(OR($C1817="Receipt",$C1817="Payment"),$D1817=""),"Party needed",IF(AND(OR($C1817="Expense",$C1817="Other Income"),$E1817=""),"Head needed",IF($F1817="","Account needed","OK")))),IF($C1817="","","PRO PLAN"))</f>
        <v/>
      </c>
    </row>
    <row r="1818" customFormat="false" ht="15" hidden="false" customHeight="false" outlineLevel="0" collapsed="false">
      <c r="A1818" s="55"/>
      <c r="B1818" s="56"/>
      <c r="C1818" s="56"/>
      <c r="D1818" s="56"/>
      <c r="E1818" s="56"/>
      <c r="F1818" s="56"/>
      <c r="G1818" s="58"/>
      <c r="H1818" s="56"/>
      <c r="I1818" s="61" t="str">
        <f aca="false">IF(IsPro,IF(OR($C1818="",N($G1818)=0),"",IF(OR($C1818="Receipt",$C1818="Other Income",$C1818="Capital In",$C1818="Transfer In"),$G1818,0)),"")</f>
        <v/>
      </c>
      <c r="J1818" s="61" t="str">
        <f aca="false">IF(IsPro,IF(OR($C1818="",N($G1818)=0),"",IF(I1818=0,$G1818,0)),"")</f>
        <v/>
      </c>
      <c r="K1818" s="60" t="str">
        <f aca="false">IF(IsPro,IF($C1818="","",IF(AND(OR($C1818="Receipt",$C1818="Payment"),$D1818=""),"Party needed",IF(AND(OR($C1818="Expense",$C1818="Other Income"),$E1818=""),"Head needed",IF($F1818="","Account needed","OK")))),IF($C1818="","","PRO PLAN"))</f>
        <v/>
      </c>
    </row>
    <row r="1819" customFormat="false" ht="15" hidden="false" customHeight="false" outlineLevel="0" collapsed="false">
      <c r="A1819" s="55"/>
      <c r="B1819" s="56"/>
      <c r="C1819" s="56"/>
      <c r="D1819" s="56"/>
      <c r="E1819" s="56"/>
      <c r="F1819" s="56"/>
      <c r="G1819" s="58"/>
      <c r="H1819" s="56"/>
      <c r="I1819" s="61" t="str">
        <f aca="false">IF(IsPro,IF(OR($C1819="",N($G1819)=0),"",IF(OR($C1819="Receipt",$C1819="Other Income",$C1819="Capital In",$C1819="Transfer In"),$G1819,0)),"")</f>
        <v/>
      </c>
      <c r="J1819" s="61" t="str">
        <f aca="false">IF(IsPro,IF(OR($C1819="",N($G1819)=0),"",IF(I1819=0,$G1819,0)),"")</f>
        <v/>
      </c>
      <c r="K1819" s="60" t="str">
        <f aca="false">IF(IsPro,IF($C1819="","",IF(AND(OR($C1819="Receipt",$C1819="Payment"),$D1819=""),"Party needed",IF(AND(OR($C1819="Expense",$C1819="Other Income"),$E1819=""),"Head needed",IF($F1819="","Account needed","OK")))),IF($C1819="","","PRO PLAN"))</f>
        <v/>
      </c>
    </row>
    <row r="1820" customFormat="false" ht="15" hidden="false" customHeight="false" outlineLevel="0" collapsed="false">
      <c r="A1820" s="55"/>
      <c r="B1820" s="56"/>
      <c r="C1820" s="56"/>
      <c r="D1820" s="56"/>
      <c r="E1820" s="56"/>
      <c r="F1820" s="56"/>
      <c r="G1820" s="58"/>
      <c r="H1820" s="56"/>
      <c r="I1820" s="61" t="str">
        <f aca="false">IF(IsPro,IF(OR($C1820="",N($G1820)=0),"",IF(OR($C1820="Receipt",$C1820="Other Income",$C1820="Capital In",$C1820="Transfer In"),$G1820,0)),"")</f>
        <v/>
      </c>
      <c r="J1820" s="61" t="str">
        <f aca="false">IF(IsPro,IF(OR($C1820="",N($G1820)=0),"",IF(I1820=0,$G1820,0)),"")</f>
        <v/>
      </c>
      <c r="K1820" s="60" t="str">
        <f aca="false">IF(IsPro,IF($C1820="","",IF(AND(OR($C1820="Receipt",$C1820="Payment"),$D1820=""),"Party needed",IF(AND(OR($C1820="Expense",$C1820="Other Income"),$E1820=""),"Head needed",IF($F1820="","Account needed","OK")))),IF($C1820="","","PRO PLAN"))</f>
        <v/>
      </c>
    </row>
    <row r="1821" customFormat="false" ht="15" hidden="false" customHeight="false" outlineLevel="0" collapsed="false">
      <c r="A1821" s="55"/>
      <c r="B1821" s="56"/>
      <c r="C1821" s="56"/>
      <c r="D1821" s="56"/>
      <c r="E1821" s="56"/>
      <c r="F1821" s="56"/>
      <c r="G1821" s="58"/>
      <c r="H1821" s="56"/>
      <c r="I1821" s="61" t="str">
        <f aca="false">IF(IsPro,IF(OR($C1821="",N($G1821)=0),"",IF(OR($C1821="Receipt",$C1821="Other Income",$C1821="Capital In",$C1821="Transfer In"),$G1821,0)),"")</f>
        <v/>
      </c>
      <c r="J1821" s="61" t="str">
        <f aca="false">IF(IsPro,IF(OR($C1821="",N($G1821)=0),"",IF(I1821=0,$G1821,0)),"")</f>
        <v/>
      </c>
      <c r="K1821" s="60" t="str">
        <f aca="false">IF(IsPro,IF($C1821="","",IF(AND(OR($C1821="Receipt",$C1821="Payment"),$D1821=""),"Party needed",IF(AND(OR($C1821="Expense",$C1821="Other Income"),$E1821=""),"Head needed",IF($F1821="","Account needed","OK")))),IF($C1821="","","PRO PLAN"))</f>
        <v/>
      </c>
    </row>
    <row r="1822" customFormat="false" ht="15" hidden="false" customHeight="false" outlineLevel="0" collapsed="false">
      <c r="A1822" s="55"/>
      <c r="B1822" s="56"/>
      <c r="C1822" s="56"/>
      <c r="D1822" s="56"/>
      <c r="E1822" s="56"/>
      <c r="F1822" s="56"/>
      <c r="G1822" s="58"/>
      <c r="H1822" s="56"/>
      <c r="I1822" s="61" t="str">
        <f aca="false">IF(IsPro,IF(OR($C1822="",N($G1822)=0),"",IF(OR($C1822="Receipt",$C1822="Other Income",$C1822="Capital In",$C1822="Transfer In"),$G1822,0)),"")</f>
        <v/>
      </c>
      <c r="J1822" s="61" t="str">
        <f aca="false">IF(IsPro,IF(OR($C1822="",N($G1822)=0),"",IF(I1822=0,$G1822,0)),"")</f>
        <v/>
      </c>
      <c r="K1822" s="60" t="str">
        <f aca="false">IF(IsPro,IF($C1822="","",IF(AND(OR($C1822="Receipt",$C1822="Payment"),$D1822=""),"Party needed",IF(AND(OR($C1822="Expense",$C1822="Other Income"),$E1822=""),"Head needed",IF($F1822="","Account needed","OK")))),IF($C1822="","","PRO PLAN"))</f>
        <v/>
      </c>
    </row>
    <row r="1823" customFormat="false" ht="15" hidden="false" customHeight="false" outlineLevel="0" collapsed="false">
      <c r="A1823" s="55"/>
      <c r="B1823" s="56"/>
      <c r="C1823" s="56"/>
      <c r="D1823" s="56"/>
      <c r="E1823" s="56"/>
      <c r="F1823" s="56"/>
      <c r="G1823" s="58"/>
      <c r="H1823" s="56"/>
      <c r="I1823" s="61" t="str">
        <f aca="false">IF(IsPro,IF(OR($C1823="",N($G1823)=0),"",IF(OR($C1823="Receipt",$C1823="Other Income",$C1823="Capital In",$C1823="Transfer In"),$G1823,0)),"")</f>
        <v/>
      </c>
      <c r="J1823" s="61" t="str">
        <f aca="false">IF(IsPro,IF(OR($C1823="",N($G1823)=0),"",IF(I1823=0,$G1823,0)),"")</f>
        <v/>
      </c>
      <c r="K1823" s="60" t="str">
        <f aca="false">IF(IsPro,IF($C1823="","",IF(AND(OR($C1823="Receipt",$C1823="Payment"),$D1823=""),"Party needed",IF(AND(OR($C1823="Expense",$C1823="Other Income"),$E1823=""),"Head needed",IF($F1823="","Account needed","OK")))),IF($C1823="","","PRO PLAN"))</f>
        <v/>
      </c>
    </row>
    <row r="1824" customFormat="false" ht="15" hidden="false" customHeight="false" outlineLevel="0" collapsed="false">
      <c r="A1824" s="55"/>
      <c r="B1824" s="56"/>
      <c r="C1824" s="56"/>
      <c r="D1824" s="56"/>
      <c r="E1824" s="56"/>
      <c r="F1824" s="56"/>
      <c r="G1824" s="58"/>
      <c r="H1824" s="56"/>
      <c r="I1824" s="61" t="str">
        <f aca="false">IF(IsPro,IF(OR($C1824="",N($G1824)=0),"",IF(OR($C1824="Receipt",$C1824="Other Income",$C1824="Capital In",$C1824="Transfer In"),$G1824,0)),"")</f>
        <v/>
      </c>
      <c r="J1824" s="61" t="str">
        <f aca="false">IF(IsPro,IF(OR($C1824="",N($G1824)=0),"",IF(I1824=0,$G1824,0)),"")</f>
        <v/>
      </c>
      <c r="K1824" s="60" t="str">
        <f aca="false">IF(IsPro,IF($C1824="","",IF(AND(OR($C1824="Receipt",$C1824="Payment"),$D1824=""),"Party needed",IF(AND(OR($C1824="Expense",$C1824="Other Income"),$E1824=""),"Head needed",IF($F1824="","Account needed","OK")))),IF($C1824="","","PRO PLAN"))</f>
        <v/>
      </c>
    </row>
    <row r="1825" customFormat="false" ht="15" hidden="false" customHeight="false" outlineLevel="0" collapsed="false">
      <c r="A1825" s="55"/>
      <c r="B1825" s="56"/>
      <c r="C1825" s="56"/>
      <c r="D1825" s="56"/>
      <c r="E1825" s="56"/>
      <c r="F1825" s="56"/>
      <c r="G1825" s="58"/>
      <c r="H1825" s="56"/>
      <c r="I1825" s="61" t="str">
        <f aca="false">IF(IsPro,IF(OR($C1825="",N($G1825)=0),"",IF(OR($C1825="Receipt",$C1825="Other Income",$C1825="Capital In",$C1825="Transfer In"),$G1825,0)),"")</f>
        <v/>
      </c>
      <c r="J1825" s="61" t="str">
        <f aca="false">IF(IsPro,IF(OR($C1825="",N($G1825)=0),"",IF(I1825=0,$G1825,0)),"")</f>
        <v/>
      </c>
      <c r="K1825" s="60" t="str">
        <f aca="false">IF(IsPro,IF($C1825="","",IF(AND(OR($C1825="Receipt",$C1825="Payment"),$D1825=""),"Party needed",IF(AND(OR($C1825="Expense",$C1825="Other Income"),$E1825=""),"Head needed",IF($F1825="","Account needed","OK")))),IF($C1825="","","PRO PLAN"))</f>
        <v/>
      </c>
    </row>
    <row r="1826" customFormat="false" ht="15" hidden="false" customHeight="false" outlineLevel="0" collapsed="false">
      <c r="A1826" s="55"/>
      <c r="B1826" s="56"/>
      <c r="C1826" s="56"/>
      <c r="D1826" s="56"/>
      <c r="E1826" s="56"/>
      <c r="F1826" s="56"/>
      <c r="G1826" s="58"/>
      <c r="H1826" s="56"/>
      <c r="I1826" s="61" t="str">
        <f aca="false">IF(IsPro,IF(OR($C1826="",N($G1826)=0),"",IF(OR($C1826="Receipt",$C1826="Other Income",$C1826="Capital In",$C1826="Transfer In"),$G1826,0)),"")</f>
        <v/>
      </c>
      <c r="J1826" s="61" t="str">
        <f aca="false">IF(IsPro,IF(OR($C1826="",N($G1826)=0),"",IF(I1826=0,$G1826,0)),"")</f>
        <v/>
      </c>
      <c r="K1826" s="60" t="str">
        <f aca="false">IF(IsPro,IF($C1826="","",IF(AND(OR($C1826="Receipt",$C1826="Payment"),$D1826=""),"Party needed",IF(AND(OR($C1826="Expense",$C1826="Other Income"),$E1826=""),"Head needed",IF($F1826="","Account needed","OK")))),IF($C1826="","","PRO PLAN"))</f>
        <v/>
      </c>
    </row>
    <row r="1827" customFormat="false" ht="15" hidden="false" customHeight="false" outlineLevel="0" collapsed="false">
      <c r="A1827" s="55"/>
      <c r="B1827" s="56"/>
      <c r="C1827" s="56"/>
      <c r="D1827" s="56"/>
      <c r="E1827" s="56"/>
      <c r="F1827" s="56"/>
      <c r="G1827" s="58"/>
      <c r="H1827" s="56"/>
      <c r="I1827" s="61" t="str">
        <f aca="false">IF(IsPro,IF(OR($C1827="",N($G1827)=0),"",IF(OR($C1827="Receipt",$C1827="Other Income",$C1827="Capital In",$C1827="Transfer In"),$G1827,0)),"")</f>
        <v/>
      </c>
      <c r="J1827" s="61" t="str">
        <f aca="false">IF(IsPro,IF(OR($C1827="",N($G1827)=0),"",IF(I1827=0,$G1827,0)),"")</f>
        <v/>
      </c>
      <c r="K1827" s="60" t="str">
        <f aca="false">IF(IsPro,IF($C1827="","",IF(AND(OR($C1827="Receipt",$C1827="Payment"),$D1827=""),"Party needed",IF(AND(OR($C1827="Expense",$C1827="Other Income"),$E1827=""),"Head needed",IF($F1827="","Account needed","OK")))),IF($C1827="","","PRO PLAN"))</f>
        <v/>
      </c>
    </row>
    <row r="1828" customFormat="false" ht="15" hidden="false" customHeight="false" outlineLevel="0" collapsed="false">
      <c r="A1828" s="55"/>
      <c r="B1828" s="56"/>
      <c r="C1828" s="56"/>
      <c r="D1828" s="56"/>
      <c r="E1828" s="56"/>
      <c r="F1828" s="56"/>
      <c r="G1828" s="58"/>
      <c r="H1828" s="56"/>
      <c r="I1828" s="61" t="str">
        <f aca="false">IF(IsPro,IF(OR($C1828="",N($G1828)=0),"",IF(OR($C1828="Receipt",$C1828="Other Income",$C1828="Capital In",$C1828="Transfer In"),$G1828,0)),"")</f>
        <v/>
      </c>
      <c r="J1828" s="61" t="str">
        <f aca="false">IF(IsPro,IF(OR($C1828="",N($G1828)=0),"",IF(I1828=0,$G1828,0)),"")</f>
        <v/>
      </c>
      <c r="K1828" s="60" t="str">
        <f aca="false">IF(IsPro,IF($C1828="","",IF(AND(OR($C1828="Receipt",$C1828="Payment"),$D1828=""),"Party needed",IF(AND(OR($C1828="Expense",$C1828="Other Income"),$E1828=""),"Head needed",IF($F1828="","Account needed","OK")))),IF($C1828="","","PRO PLAN"))</f>
        <v/>
      </c>
    </row>
    <row r="1829" customFormat="false" ht="15" hidden="false" customHeight="false" outlineLevel="0" collapsed="false">
      <c r="A1829" s="55"/>
      <c r="B1829" s="56"/>
      <c r="C1829" s="56"/>
      <c r="D1829" s="56"/>
      <c r="E1829" s="56"/>
      <c r="F1829" s="56"/>
      <c r="G1829" s="58"/>
      <c r="H1829" s="56"/>
      <c r="I1829" s="61" t="str">
        <f aca="false">IF(IsPro,IF(OR($C1829="",N($G1829)=0),"",IF(OR($C1829="Receipt",$C1829="Other Income",$C1829="Capital In",$C1829="Transfer In"),$G1829,0)),"")</f>
        <v/>
      </c>
      <c r="J1829" s="61" t="str">
        <f aca="false">IF(IsPro,IF(OR($C1829="",N($G1829)=0),"",IF(I1829=0,$G1829,0)),"")</f>
        <v/>
      </c>
      <c r="K1829" s="60" t="str">
        <f aca="false">IF(IsPro,IF($C1829="","",IF(AND(OR($C1829="Receipt",$C1829="Payment"),$D1829=""),"Party needed",IF(AND(OR($C1829="Expense",$C1829="Other Income"),$E1829=""),"Head needed",IF($F1829="","Account needed","OK")))),IF($C1829="","","PRO PLAN"))</f>
        <v/>
      </c>
    </row>
    <row r="1830" customFormat="false" ht="15" hidden="false" customHeight="false" outlineLevel="0" collapsed="false">
      <c r="A1830" s="55"/>
      <c r="B1830" s="56"/>
      <c r="C1830" s="56"/>
      <c r="D1830" s="56"/>
      <c r="E1830" s="56"/>
      <c r="F1830" s="56"/>
      <c r="G1830" s="58"/>
      <c r="H1830" s="56"/>
      <c r="I1830" s="61" t="str">
        <f aca="false">IF(IsPro,IF(OR($C1830="",N($G1830)=0),"",IF(OR($C1830="Receipt",$C1830="Other Income",$C1830="Capital In",$C1830="Transfer In"),$G1830,0)),"")</f>
        <v/>
      </c>
      <c r="J1830" s="61" t="str">
        <f aca="false">IF(IsPro,IF(OR($C1830="",N($G1830)=0),"",IF(I1830=0,$G1830,0)),"")</f>
        <v/>
      </c>
      <c r="K1830" s="60" t="str">
        <f aca="false">IF(IsPro,IF($C1830="","",IF(AND(OR($C1830="Receipt",$C1830="Payment"),$D1830=""),"Party needed",IF(AND(OR($C1830="Expense",$C1830="Other Income"),$E1830=""),"Head needed",IF($F1830="","Account needed","OK")))),IF($C1830="","","PRO PLAN"))</f>
        <v/>
      </c>
    </row>
    <row r="1831" customFormat="false" ht="15" hidden="false" customHeight="false" outlineLevel="0" collapsed="false">
      <c r="A1831" s="55"/>
      <c r="B1831" s="56"/>
      <c r="C1831" s="56"/>
      <c r="D1831" s="56"/>
      <c r="E1831" s="56"/>
      <c r="F1831" s="56"/>
      <c r="G1831" s="58"/>
      <c r="H1831" s="56"/>
      <c r="I1831" s="61" t="str">
        <f aca="false">IF(IsPro,IF(OR($C1831="",N($G1831)=0),"",IF(OR($C1831="Receipt",$C1831="Other Income",$C1831="Capital In",$C1831="Transfer In"),$G1831,0)),"")</f>
        <v/>
      </c>
      <c r="J1831" s="61" t="str">
        <f aca="false">IF(IsPro,IF(OR($C1831="",N($G1831)=0),"",IF(I1831=0,$G1831,0)),"")</f>
        <v/>
      </c>
      <c r="K1831" s="60" t="str">
        <f aca="false">IF(IsPro,IF($C1831="","",IF(AND(OR($C1831="Receipt",$C1831="Payment"),$D1831=""),"Party needed",IF(AND(OR($C1831="Expense",$C1831="Other Income"),$E1831=""),"Head needed",IF($F1831="","Account needed","OK")))),IF($C1831="","","PRO PLAN"))</f>
        <v/>
      </c>
    </row>
    <row r="1832" customFormat="false" ht="15" hidden="false" customHeight="false" outlineLevel="0" collapsed="false">
      <c r="A1832" s="55"/>
      <c r="B1832" s="56"/>
      <c r="C1832" s="56"/>
      <c r="D1832" s="56"/>
      <c r="E1832" s="56"/>
      <c r="F1832" s="56"/>
      <c r="G1832" s="58"/>
      <c r="H1832" s="56"/>
      <c r="I1832" s="61" t="str">
        <f aca="false">IF(IsPro,IF(OR($C1832="",N($G1832)=0),"",IF(OR($C1832="Receipt",$C1832="Other Income",$C1832="Capital In",$C1832="Transfer In"),$G1832,0)),"")</f>
        <v/>
      </c>
      <c r="J1832" s="61" t="str">
        <f aca="false">IF(IsPro,IF(OR($C1832="",N($G1832)=0),"",IF(I1832=0,$G1832,0)),"")</f>
        <v/>
      </c>
      <c r="K1832" s="60" t="str">
        <f aca="false">IF(IsPro,IF($C1832="","",IF(AND(OR($C1832="Receipt",$C1832="Payment"),$D1832=""),"Party needed",IF(AND(OR($C1832="Expense",$C1832="Other Income"),$E1832=""),"Head needed",IF($F1832="","Account needed","OK")))),IF($C1832="","","PRO PLAN"))</f>
        <v/>
      </c>
    </row>
    <row r="1833" customFormat="false" ht="15" hidden="false" customHeight="false" outlineLevel="0" collapsed="false">
      <c r="A1833" s="55"/>
      <c r="B1833" s="56"/>
      <c r="C1833" s="56"/>
      <c r="D1833" s="56"/>
      <c r="E1833" s="56"/>
      <c r="F1833" s="56"/>
      <c r="G1833" s="58"/>
      <c r="H1833" s="56"/>
      <c r="I1833" s="61" t="str">
        <f aca="false">IF(IsPro,IF(OR($C1833="",N($G1833)=0),"",IF(OR($C1833="Receipt",$C1833="Other Income",$C1833="Capital In",$C1833="Transfer In"),$G1833,0)),"")</f>
        <v/>
      </c>
      <c r="J1833" s="61" t="str">
        <f aca="false">IF(IsPro,IF(OR($C1833="",N($G1833)=0),"",IF(I1833=0,$G1833,0)),"")</f>
        <v/>
      </c>
      <c r="K1833" s="60" t="str">
        <f aca="false">IF(IsPro,IF($C1833="","",IF(AND(OR($C1833="Receipt",$C1833="Payment"),$D1833=""),"Party needed",IF(AND(OR($C1833="Expense",$C1833="Other Income"),$E1833=""),"Head needed",IF($F1833="","Account needed","OK")))),IF($C1833="","","PRO PLAN"))</f>
        <v/>
      </c>
    </row>
    <row r="1834" customFormat="false" ht="15" hidden="false" customHeight="false" outlineLevel="0" collapsed="false">
      <c r="A1834" s="55"/>
      <c r="B1834" s="56"/>
      <c r="C1834" s="56"/>
      <c r="D1834" s="56"/>
      <c r="E1834" s="56"/>
      <c r="F1834" s="56"/>
      <c r="G1834" s="58"/>
      <c r="H1834" s="56"/>
      <c r="I1834" s="61" t="str">
        <f aca="false">IF(IsPro,IF(OR($C1834="",N($G1834)=0),"",IF(OR($C1834="Receipt",$C1834="Other Income",$C1834="Capital In",$C1834="Transfer In"),$G1834,0)),"")</f>
        <v/>
      </c>
      <c r="J1834" s="61" t="str">
        <f aca="false">IF(IsPro,IF(OR($C1834="",N($G1834)=0),"",IF(I1834=0,$G1834,0)),"")</f>
        <v/>
      </c>
      <c r="K1834" s="60" t="str">
        <f aca="false">IF(IsPro,IF($C1834="","",IF(AND(OR($C1834="Receipt",$C1834="Payment"),$D1834=""),"Party needed",IF(AND(OR($C1834="Expense",$C1834="Other Income"),$E1834=""),"Head needed",IF($F1834="","Account needed","OK")))),IF($C1834="","","PRO PLAN"))</f>
        <v/>
      </c>
    </row>
    <row r="1835" customFormat="false" ht="15" hidden="false" customHeight="false" outlineLevel="0" collapsed="false">
      <c r="A1835" s="55"/>
      <c r="B1835" s="56"/>
      <c r="C1835" s="56"/>
      <c r="D1835" s="56"/>
      <c r="E1835" s="56"/>
      <c r="F1835" s="56"/>
      <c r="G1835" s="58"/>
      <c r="H1835" s="56"/>
      <c r="I1835" s="61" t="str">
        <f aca="false">IF(IsPro,IF(OR($C1835="",N($G1835)=0),"",IF(OR($C1835="Receipt",$C1835="Other Income",$C1835="Capital In",$C1835="Transfer In"),$G1835,0)),"")</f>
        <v/>
      </c>
      <c r="J1835" s="61" t="str">
        <f aca="false">IF(IsPro,IF(OR($C1835="",N($G1835)=0),"",IF(I1835=0,$G1835,0)),"")</f>
        <v/>
      </c>
      <c r="K1835" s="60" t="str">
        <f aca="false">IF(IsPro,IF($C1835="","",IF(AND(OR($C1835="Receipt",$C1835="Payment"),$D1835=""),"Party needed",IF(AND(OR($C1835="Expense",$C1835="Other Income"),$E1835=""),"Head needed",IF($F1835="","Account needed","OK")))),IF($C1835="","","PRO PLAN"))</f>
        <v/>
      </c>
    </row>
    <row r="1836" customFormat="false" ht="15" hidden="false" customHeight="false" outlineLevel="0" collapsed="false">
      <c r="A1836" s="55"/>
      <c r="B1836" s="56"/>
      <c r="C1836" s="56"/>
      <c r="D1836" s="56"/>
      <c r="E1836" s="56"/>
      <c r="F1836" s="56"/>
      <c r="G1836" s="58"/>
      <c r="H1836" s="56"/>
      <c r="I1836" s="61" t="str">
        <f aca="false">IF(IsPro,IF(OR($C1836="",N($G1836)=0),"",IF(OR($C1836="Receipt",$C1836="Other Income",$C1836="Capital In",$C1836="Transfer In"),$G1836,0)),"")</f>
        <v/>
      </c>
      <c r="J1836" s="61" t="str">
        <f aca="false">IF(IsPro,IF(OR($C1836="",N($G1836)=0),"",IF(I1836=0,$G1836,0)),"")</f>
        <v/>
      </c>
      <c r="K1836" s="60" t="str">
        <f aca="false">IF(IsPro,IF($C1836="","",IF(AND(OR($C1836="Receipt",$C1836="Payment"),$D1836=""),"Party needed",IF(AND(OR($C1836="Expense",$C1836="Other Income"),$E1836=""),"Head needed",IF($F1836="","Account needed","OK")))),IF($C1836="","","PRO PLAN"))</f>
        <v/>
      </c>
    </row>
    <row r="1837" customFormat="false" ht="15" hidden="false" customHeight="false" outlineLevel="0" collapsed="false">
      <c r="A1837" s="55"/>
      <c r="B1837" s="56"/>
      <c r="C1837" s="56"/>
      <c r="D1837" s="56"/>
      <c r="E1837" s="56"/>
      <c r="F1837" s="56"/>
      <c r="G1837" s="58"/>
      <c r="H1837" s="56"/>
      <c r="I1837" s="61" t="str">
        <f aca="false">IF(IsPro,IF(OR($C1837="",N($G1837)=0),"",IF(OR($C1837="Receipt",$C1837="Other Income",$C1837="Capital In",$C1837="Transfer In"),$G1837,0)),"")</f>
        <v/>
      </c>
      <c r="J1837" s="61" t="str">
        <f aca="false">IF(IsPro,IF(OR($C1837="",N($G1837)=0),"",IF(I1837=0,$G1837,0)),"")</f>
        <v/>
      </c>
      <c r="K1837" s="60" t="str">
        <f aca="false">IF(IsPro,IF($C1837="","",IF(AND(OR($C1837="Receipt",$C1837="Payment"),$D1837=""),"Party needed",IF(AND(OR($C1837="Expense",$C1837="Other Income"),$E1837=""),"Head needed",IF($F1837="","Account needed","OK")))),IF($C1837="","","PRO PLAN"))</f>
        <v/>
      </c>
    </row>
    <row r="1838" customFormat="false" ht="15" hidden="false" customHeight="false" outlineLevel="0" collapsed="false">
      <c r="A1838" s="55"/>
      <c r="B1838" s="56"/>
      <c r="C1838" s="56"/>
      <c r="D1838" s="56"/>
      <c r="E1838" s="56"/>
      <c r="F1838" s="56"/>
      <c r="G1838" s="58"/>
      <c r="H1838" s="56"/>
      <c r="I1838" s="61" t="str">
        <f aca="false">IF(IsPro,IF(OR($C1838="",N($G1838)=0),"",IF(OR($C1838="Receipt",$C1838="Other Income",$C1838="Capital In",$C1838="Transfer In"),$G1838,0)),"")</f>
        <v/>
      </c>
      <c r="J1838" s="61" t="str">
        <f aca="false">IF(IsPro,IF(OR($C1838="",N($G1838)=0),"",IF(I1838=0,$G1838,0)),"")</f>
        <v/>
      </c>
      <c r="K1838" s="60" t="str">
        <f aca="false">IF(IsPro,IF($C1838="","",IF(AND(OR($C1838="Receipt",$C1838="Payment"),$D1838=""),"Party needed",IF(AND(OR($C1838="Expense",$C1838="Other Income"),$E1838=""),"Head needed",IF($F1838="","Account needed","OK")))),IF($C1838="","","PRO PLAN"))</f>
        <v/>
      </c>
    </row>
    <row r="1839" customFormat="false" ht="15" hidden="false" customHeight="false" outlineLevel="0" collapsed="false">
      <c r="A1839" s="55"/>
      <c r="B1839" s="56"/>
      <c r="C1839" s="56"/>
      <c r="D1839" s="56"/>
      <c r="E1839" s="56"/>
      <c r="F1839" s="56"/>
      <c r="G1839" s="58"/>
      <c r="H1839" s="56"/>
      <c r="I1839" s="61" t="str">
        <f aca="false">IF(IsPro,IF(OR($C1839="",N($G1839)=0),"",IF(OR($C1839="Receipt",$C1839="Other Income",$C1839="Capital In",$C1839="Transfer In"),$G1839,0)),"")</f>
        <v/>
      </c>
      <c r="J1839" s="61" t="str">
        <f aca="false">IF(IsPro,IF(OR($C1839="",N($G1839)=0),"",IF(I1839=0,$G1839,0)),"")</f>
        <v/>
      </c>
      <c r="K1839" s="60" t="str">
        <f aca="false">IF(IsPro,IF($C1839="","",IF(AND(OR($C1839="Receipt",$C1839="Payment"),$D1839=""),"Party needed",IF(AND(OR($C1839="Expense",$C1839="Other Income"),$E1839=""),"Head needed",IF($F1839="","Account needed","OK")))),IF($C1839="","","PRO PLAN"))</f>
        <v/>
      </c>
    </row>
    <row r="1840" customFormat="false" ht="15" hidden="false" customHeight="false" outlineLevel="0" collapsed="false">
      <c r="A1840" s="55"/>
      <c r="B1840" s="56"/>
      <c r="C1840" s="56"/>
      <c r="D1840" s="56"/>
      <c r="E1840" s="56"/>
      <c r="F1840" s="56"/>
      <c r="G1840" s="58"/>
      <c r="H1840" s="56"/>
      <c r="I1840" s="61" t="str">
        <f aca="false">IF(IsPro,IF(OR($C1840="",N($G1840)=0),"",IF(OR($C1840="Receipt",$C1840="Other Income",$C1840="Capital In",$C1840="Transfer In"),$G1840,0)),"")</f>
        <v/>
      </c>
      <c r="J1840" s="61" t="str">
        <f aca="false">IF(IsPro,IF(OR($C1840="",N($G1840)=0),"",IF(I1840=0,$G1840,0)),"")</f>
        <v/>
      </c>
      <c r="K1840" s="60" t="str">
        <f aca="false">IF(IsPro,IF($C1840="","",IF(AND(OR($C1840="Receipt",$C1840="Payment"),$D1840=""),"Party needed",IF(AND(OR($C1840="Expense",$C1840="Other Income"),$E1840=""),"Head needed",IF($F1840="","Account needed","OK")))),IF($C1840="","","PRO PLAN"))</f>
        <v/>
      </c>
    </row>
    <row r="1841" customFormat="false" ht="15" hidden="false" customHeight="false" outlineLevel="0" collapsed="false">
      <c r="A1841" s="55"/>
      <c r="B1841" s="56"/>
      <c r="C1841" s="56"/>
      <c r="D1841" s="56"/>
      <c r="E1841" s="56"/>
      <c r="F1841" s="56"/>
      <c r="G1841" s="58"/>
      <c r="H1841" s="56"/>
      <c r="I1841" s="61" t="str">
        <f aca="false">IF(IsPro,IF(OR($C1841="",N($G1841)=0),"",IF(OR($C1841="Receipt",$C1841="Other Income",$C1841="Capital In",$C1841="Transfer In"),$G1841,0)),"")</f>
        <v/>
      </c>
      <c r="J1841" s="61" t="str">
        <f aca="false">IF(IsPro,IF(OR($C1841="",N($G1841)=0),"",IF(I1841=0,$G1841,0)),"")</f>
        <v/>
      </c>
      <c r="K1841" s="60" t="str">
        <f aca="false">IF(IsPro,IF($C1841="","",IF(AND(OR($C1841="Receipt",$C1841="Payment"),$D1841=""),"Party needed",IF(AND(OR($C1841="Expense",$C1841="Other Income"),$E1841=""),"Head needed",IF($F1841="","Account needed","OK")))),IF($C1841="","","PRO PLAN"))</f>
        <v/>
      </c>
    </row>
    <row r="1842" customFormat="false" ht="15" hidden="false" customHeight="false" outlineLevel="0" collapsed="false">
      <c r="A1842" s="55"/>
      <c r="B1842" s="56"/>
      <c r="C1842" s="56"/>
      <c r="D1842" s="56"/>
      <c r="E1842" s="56"/>
      <c r="F1842" s="56"/>
      <c r="G1842" s="58"/>
      <c r="H1842" s="56"/>
      <c r="I1842" s="61" t="str">
        <f aca="false">IF(IsPro,IF(OR($C1842="",N($G1842)=0),"",IF(OR($C1842="Receipt",$C1842="Other Income",$C1842="Capital In",$C1842="Transfer In"),$G1842,0)),"")</f>
        <v/>
      </c>
      <c r="J1842" s="61" t="str">
        <f aca="false">IF(IsPro,IF(OR($C1842="",N($G1842)=0),"",IF(I1842=0,$G1842,0)),"")</f>
        <v/>
      </c>
      <c r="K1842" s="60" t="str">
        <f aca="false">IF(IsPro,IF($C1842="","",IF(AND(OR($C1842="Receipt",$C1842="Payment"),$D1842=""),"Party needed",IF(AND(OR($C1842="Expense",$C1842="Other Income"),$E1842=""),"Head needed",IF($F1842="","Account needed","OK")))),IF($C1842="","","PRO PLAN"))</f>
        <v/>
      </c>
    </row>
    <row r="1843" customFormat="false" ht="15" hidden="false" customHeight="false" outlineLevel="0" collapsed="false">
      <c r="A1843" s="55"/>
      <c r="B1843" s="56"/>
      <c r="C1843" s="56"/>
      <c r="D1843" s="56"/>
      <c r="E1843" s="56"/>
      <c r="F1843" s="56"/>
      <c r="G1843" s="58"/>
      <c r="H1843" s="56"/>
      <c r="I1843" s="61" t="str">
        <f aca="false">IF(IsPro,IF(OR($C1843="",N($G1843)=0),"",IF(OR($C1843="Receipt",$C1843="Other Income",$C1843="Capital In",$C1843="Transfer In"),$G1843,0)),"")</f>
        <v/>
      </c>
      <c r="J1843" s="61" t="str">
        <f aca="false">IF(IsPro,IF(OR($C1843="",N($G1843)=0),"",IF(I1843=0,$G1843,0)),"")</f>
        <v/>
      </c>
      <c r="K1843" s="60" t="str">
        <f aca="false">IF(IsPro,IF($C1843="","",IF(AND(OR($C1843="Receipt",$C1843="Payment"),$D1843=""),"Party needed",IF(AND(OR($C1843="Expense",$C1843="Other Income"),$E1843=""),"Head needed",IF($F1843="","Account needed","OK")))),IF($C1843="","","PRO PLAN"))</f>
        <v/>
      </c>
    </row>
    <row r="1844" customFormat="false" ht="15" hidden="false" customHeight="false" outlineLevel="0" collapsed="false">
      <c r="A1844" s="55"/>
      <c r="B1844" s="56"/>
      <c r="C1844" s="56"/>
      <c r="D1844" s="56"/>
      <c r="E1844" s="56"/>
      <c r="F1844" s="56"/>
      <c r="G1844" s="58"/>
      <c r="H1844" s="56"/>
      <c r="I1844" s="61" t="str">
        <f aca="false">IF(IsPro,IF(OR($C1844="",N($G1844)=0),"",IF(OR($C1844="Receipt",$C1844="Other Income",$C1844="Capital In",$C1844="Transfer In"),$G1844,0)),"")</f>
        <v/>
      </c>
      <c r="J1844" s="61" t="str">
        <f aca="false">IF(IsPro,IF(OR($C1844="",N($G1844)=0),"",IF(I1844=0,$G1844,0)),"")</f>
        <v/>
      </c>
      <c r="K1844" s="60" t="str">
        <f aca="false">IF(IsPro,IF($C1844="","",IF(AND(OR($C1844="Receipt",$C1844="Payment"),$D1844=""),"Party needed",IF(AND(OR($C1844="Expense",$C1844="Other Income"),$E1844=""),"Head needed",IF($F1844="","Account needed","OK")))),IF($C1844="","","PRO PLAN"))</f>
        <v/>
      </c>
    </row>
    <row r="1845" customFormat="false" ht="15" hidden="false" customHeight="false" outlineLevel="0" collapsed="false">
      <c r="A1845" s="55"/>
      <c r="B1845" s="56"/>
      <c r="C1845" s="56"/>
      <c r="D1845" s="56"/>
      <c r="E1845" s="56"/>
      <c r="F1845" s="56"/>
      <c r="G1845" s="58"/>
      <c r="H1845" s="56"/>
      <c r="I1845" s="61" t="str">
        <f aca="false">IF(IsPro,IF(OR($C1845="",N($G1845)=0),"",IF(OR($C1845="Receipt",$C1845="Other Income",$C1845="Capital In",$C1845="Transfer In"),$G1845,0)),"")</f>
        <v/>
      </c>
      <c r="J1845" s="61" t="str">
        <f aca="false">IF(IsPro,IF(OR($C1845="",N($G1845)=0),"",IF(I1845=0,$G1845,0)),"")</f>
        <v/>
      </c>
      <c r="K1845" s="60" t="str">
        <f aca="false">IF(IsPro,IF($C1845="","",IF(AND(OR($C1845="Receipt",$C1845="Payment"),$D1845=""),"Party needed",IF(AND(OR($C1845="Expense",$C1845="Other Income"),$E1845=""),"Head needed",IF($F1845="","Account needed","OK")))),IF($C1845="","","PRO PLAN"))</f>
        <v/>
      </c>
    </row>
    <row r="1846" customFormat="false" ht="15" hidden="false" customHeight="false" outlineLevel="0" collapsed="false">
      <c r="A1846" s="55"/>
      <c r="B1846" s="56"/>
      <c r="C1846" s="56"/>
      <c r="D1846" s="56"/>
      <c r="E1846" s="56"/>
      <c r="F1846" s="56"/>
      <c r="G1846" s="58"/>
      <c r="H1846" s="56"/>
      <c r="I1846" s="61" t="str">
        <f aca="false">IF(IsPro,IF(OR($C1846="",N($G1846)=0),"",IF(OR($C1846="Receipt",$C1846="Other Income",$C1846="Capital In",$C1846="Transfer In"),$G1846,0)),"")</f>
        <v/>
      </c>
      <c r="J1846" s="61" t="str">
        <f aca="false">IF(IsPro,IF(OR($C1846="",N($G1846)=0),"",IF(I1846=0,$G1846,0)),"")</f>
        <v/>
      </c>
      <c r="K1846" s="60" t="str">
        <f aca="false">IF(IsPro,IF($C1846="","",IF(AND(OR($C1846="Receipt",$C1846="Payment"),$D1846=""),"Party needed",IF(AND(OR($C1846="Expense",$C1846="Other Income"),$E1846=""),"Head needed",IF($F1846="","Account needed","OK")))),IF($C1846="","","PRO PLAN"))</f>
        <v/>
      </c>
    </row>
    <row r="1847" customFormat="false" ht="15" hidden="false" customHeight="false" outlineLevel="0" collapsed="false">
      <c r="A1847" s="55"/>
      <c r="B1847" s="56"/>
      <c r="C1847" s="56"/>
      <c r="D1847" s="56"/>
      <c r="E1847" s="56"/>
      <c r="F1847" s="56"/>
      <c r="G1847" s="58"/>
      <c r="H1847" s="56"/>
      <c r="I1847" s="61" t="str">
        <f aca="false">IF(IsPro,IF(OR($C1847="",N($G1847)=0),"",IF(OR($C1847="Receipt",$C1847="Other Income",$C1847="Capital In",$C1847="Transfer In"),$G1847,0)),"")</f>
        <v/>
      </c>
      <c r="J1847" s="61" t="str">
        <f aca="false">IF(IsPro,IF(OR($C1847="",N($G1847)=0),"",IF(I1847=0,$G1847,0)),"")</f>
        <v/>
      </c>
      <c r="K1847" s="60" t="str">
        <f aca="false">IF(IsPro,IF($C1847="","",IF(AND(OR($C1847="Receipt",$C1847="Payment"),$D1847=""),"Party needed",IF(AND(OR($C1847="Expense",$C1847="Other Income"),$E1847=""),"Head needed",IF($F1847="","Account needed","OK")))),IF($C1847="","","PRO PLAN"))</f>
        <v/>
      </c>
    </row>
    <row r="1848" customFormat="false" ht="15" hidden="false" customHeight="false" outlineLevel="0" collapsed="false">
      <c r="A1848" s="55"/>
      <c r="B1848" s="56"/>
      <c r="C1848" s="56"/>
      <c r="D1848" s="56"/>
      <c r="E1848" s="56"/>
      <c r="F1848" s="56"/>
      <c r="G1848" s="58"/>
      <c r="H1848" s="56"/>
      <c r="I1848" s="61" t="str">
        <f aca="false">IF(IsPro,IF(OR($C1848="",N($G1848)=0),"",IF(OR($C1848="Receipt",$C1848="Other Income",$C1848="Capital In",$C1848="Transfer In"),$G1848,0)),"")</f>
        <v/>
      </c>
      <c r="J1848" s="61" t="str">
        <f aca="false">IF(IsPro,IF(OR($C1848="",N($G1848)=0),"",IF(I1848=0,$G1848,0)),"")</f>
        <v/>
      </c>
      <c r="K1848" s="60" t="str">
        <f aca="false">IF(IsPro,IF($C1848="","",IF(AND(OR($C1848="Receipt",$C1848="Payment"),$D1848=""),"Party needed",IF(AND(OR($C1848="Expense",$C1848="Other Income"),$E1848=""),"Head needed",IF($F1848="","Account needed","OK")))),IF($C1848="","","PRO PLAN"))</f>
        <v/>
      </c>
    </row>
    <row r="1849" customFormat="false" ht="15" hidden="false" customHeight="false" outlineLevel="0" collapsed="false">
      <c r="A1849" s="55"/>
      <c r="B1849" s="56"/>
      <c r="C1849" s="56"/>
      <c r="D1849" s="56"/>
      <c r="E1849" s="56"/>
      <c r="F1849" s="56"/>
      <c r="G1849" s="58"/>
      <c r="H1849" s="56"/>
      <c r="I1849" s="61" t="str">
        <f aca="false">IF(IsPro,IF(OR($C1849="",N($G1849)=0),"",IF(OR($C1849="Receipt",$C1849="Other Income",$C1849="Capital In",$C1849="Transfer In"),$G1849,0)),"")</f>
        <v/>
      </c>
      <c r="J1849" s="61" t="str">
        <f aca="false">IF(IsPro,IF(OR($C1849="",N($G1849)=0),"",IF(I1849=0,$G1849,0)),"")</f>
        <v/>
      </c>
      <c r="K1849" s="60" t="str">
        <f aca="false">IF(IsPro,IF($C1849="","",IF(AND(OR($C1849="Receipt",$C1849="Payment"),$D1849=""),"Party needed",IF(AND(OR($C1849="Expense",$C1849="Other Income"),$E1849=""),"Head needed",IF($F1849="","Account needed","OK")))),IF($C1849="","","PRO PLAN"))</f>
        <v/>
      </c>
    </row>
    <row r="1850" customFormat="false" ht="15" hidden="false" customHeight="false" outlineLevel="0" collapsed="false">
      <c r="A1850" s="55"/>
      <c r="B1850" s="56"/>
      <c r="C1850" s="56"/>
      <c r="D1850" s="56"/>
      <c r="E1850" s="56"/>
      <c r="F1850" s="56"/>
      <c r="G1850" s="58"/>
      <c r="H1850" s="56"/>
      <c r="I1850" s="61" t="str">
        <f aca="false">IF(IsPro,IF(OR($C1850="",N($G1850)=0),"",IF(OR($C1850="Receipt",$C1850="Other Income",$C1850="Capital In",$C1850="Transfer In"),$G1850,0)),"")</f>
        <v/>
      </c>
      <c r="J1850" s="61" t="str">
        <f aca="false">IF(IsPro,IF(OR($C1850="",N($G1850)=0),"",IF(I1850=0,$G1850,0)),"")</f>
        <v/>
      </c>
      <c r="K1850" s="60" t="str">
        <f aca="false">IF(IsPro,IF($C1850="","",IF(AND(OR($C1850="Receipt",$C1850="Payment"),$D1850=""),"Party needed",IF(AND(OR($C1850="Expense",$C1850="Other Income"),$E1850=""),"Head needed",IF($F1850="","Account needed","OK")))),IF($C1850="","","PRO PLAN"))</f>
        <v/>
      </c>
    </row>
    <row r="1851" customFormat="false" ht="15" hidden="false" customHeight="false" outlineLevel="0" collapsed="false">
      <c r="A1851" s="55"/>
      <c r="B1851" s="56"/>
      <c r="C1851" s="56"/>
      <c r="D1851" s="56"/>
      <c r="E1851" s="56"/>
      <c r="F1851" s="56"/>
      <c r="G1851" s="58"/>
      <c r="H1851" s="56"/>
      <c r="I1851" s="61" t="str">
        <f aca="false">IF(IsPro,IF(OR($C1851="",N($G1851)=0),"",IF(OR($C1851="Receipt",$C1851="Other Income",$C1851="Capital In",$C1851="Transfer In"),$G1851,0)),"")</f>
        <v/>
      </c>
      <c r="J1851" s="61" t="str">
        <f aca="false">IF(IsPro,IF(OR($C1851="",N($G1851)=0),"",IF(I1851=0,$G1851,0)),"")</f>
        <v/>
      </c>
      <c r="K1851" s="60" t="str">
        <f aca="false">IF(IsPro,IF($C1851="","",IF(AND(OR($C1851="Receipt",$C1851="Payment"),$D1851=""),"Party needed",IF(AND(OR($C1851="Expense",$C1851="Other Income"),$E1851=""),"Head needed",IF($F1851="","Account needed","OK")))),IF($C1851="","","PRO PLAN"))</f>
        <v/>
      </c>
    </row>
    <row r="1852" customFormat="false" ht="15" hidden="false" customHeight="false" outlineLevel="0" collapsed="false">
      <c r="A1852" s="55"/>
      <c r="B1852" s="56"/>
      <c r="C1852" s="56"/>
      <c r="D1852" s="56"/>
      <c r="E1852" s="56"/>
      <c r="F1852" s="56"/>
      <c r="G1852" s="58"/>
      <c r="H1852" s="56"/>
      <c r="I1852" s="61" t="str">
        <f aca="false">IF(IsPro,IF(OR($C1852="",N($G1852)=0),"",IF(OR($C1852="Receipt",$C1852="Other Income",$C1852="Capital In",$C1852="Transfer In"),$G1852,0)),"")</f>
        <v/>
      </c>
      <c r="J1852" s="61" t="str">
        <f aca="false">IF(IsPro,IF(OR($C1852="",N($G1852)=0),"",IF(I1852=0,$G1852,0)),"")</f>
        <v/>
      </c>
      <c r="K1852" s="60" t="str">
        <f aca="false">IF(IsPro,IF($C1852="","",IF(AND(OR($C1852="Receipt",$C1852="Payment"),$D1852=""),"Party needed",IF(AND(OR($C1852="Expense",$C1852="Other Income"),$E1852=""),"Head needed",IF($F1852="","Account needed","OK")))),IF($C1852="","","PRO PLAN"))</f>
        <v/>
      </c>
    </row>
    <row r="1853" customFormat="false" ht="15" hidden="false" customHeight="false" outlineLevel="0" collapsed="false">
      <c r="A1853" s="55"/>
      <c r="B1853" s="56"/>
      <c r="C1853" s="56"/>
      <c r="D1853" s="56"/>
      <c r="E1853" s="56"/>
      <c r="F1853" s="56"/>
      <c r="G1853" s="58"/>
      <c r="H1853" s="56"/>
      <c r="I1853" s="61" t="str">
        <f aca="false">IF(IsPro,IF(OR($C1853="",N($G1853)=0),"",IF(OR($C1853="Receipt",$C1853="Other Income",$C1853="Capital In",$C1853="Transfer In"),$G1853,0)),"")</f>
        <v/>
      </c>
      <c r="J1853" s="61" t="str">
        <f aca="false">IF(IsPro,IF(OR($C1853="",N($G1853)=0),"",IF(I1853=0,$G1853,0)),"")</f>
        <v/>
      </c>
      <c r="K1853" s="60" t="str">
        <f aca="false">IF(IsPro,IF($C1853="","",IF(AND(OR($C1853="Receipt",$C1853="Payment"),$D1853=""),"Party needed",IF(AND(OR($C1853="Expense",$C1853="Other Income"),$E1853=""),"Head needed",IF($F1853="","Account needed","OK")))),IF($C1853="","","PRO PLAN"))</f>
        <v/>
      </c>
    </row>
    <row r="1854" customFormat="false" ht="15" hidden="false" customHeight="false" outlineLevel="0" collapsed="false">
      <c r="A1854" s="55"/>
      <c r="B1854" s="56"/>
      <c r="C1854" s="56"/>
      <c r="D1854" s="56"/>
      <c r="E1854" s="56"/>
      <c r="F1854" s="56"/>
      <c r="G1854" s="58"/>
      <c r="H1854" s="56"/>
      <c r="I1854" s="61" t="str">
        <f aca="false">IF(IsPro,IF(OR($C1854="",N($G1854)=0),"",IF(OR($C1854="Receipt",$C1854="Other Income",$C1854="Capital In",$C1854="Transfer In"),$G1854,0)),"")</f>
        <v/>
      </c>
      <c r="J1854" s="61" t="str">
        <f aca="false">IF(IsPro,IF(OR($C1854="",N($G1854)=0),"",IF(I1854=0,$G1854,0)),"")</f>
        <v/>
      </c>
      <c r="K1854" s="60" t="str">
        <f aca="false">IF(IsPro,IF($C1854="","",IF(AND(OR($C1854="Receipt",$C1854="Payment"),$D1854=""),"Party needed",IF(AND(OR($C1854="Expense",$C1854="Other Income"),$E1854=""),"Head needed",IF($F1854="","Account needed","OK")))),IF($C1854="","","PRO PLAN"))</f>
        <v/>
      </c>
    </row>
    <row r="1855" customFormat="false" ht="15" hidden="false" customHeight="false" outlineLevel="0" collapsed="false">
      <c r="A1855" s="55"/>
      <c r="B1855" s="56"/>
      <c r="C1855" s="56"/>
      <c r="D1855" s="56"/>
      <c r="E1855" s="56"/>
      <c r="F1855" s="56"/>
      <c r="G1855" s="58"/>
      <c r="H1855" s="56"/>
      <c r="I1855" s="61" t="str">
        <f aca="false">IF(IsPro,IF(OR($C1855="",N($G1855)=0),"",IF(OR($C1855="Receipt",$C1855="Other Income",$C1855="Capital In",$C1855="Transfer In"),$G1855,0)),"")</f>
        <v/>
      </c>
      <c r="J1855" s="61" t="str">
        <f aca="false">IF(IsPro,IF(OR($C1855="",N($G1855)=0),"",IF(I1855=0,$G1855,0)),"")</f>
        <v/>
      </c>
      <c r="K1855" s="60" t="str">
        <f aca="false">IF(IsPro,IF($C1855="","",IF(AND(OR($C1855="Receipt",$C1855="Payment"),$D1855=""),"Party needed",IF(AND(OR($C1855="Expense",$C1855="Other Income"),$E1855=""),"Head needed",IF($F1855="","Account needed","OK")))),IF($C1855="","","PRO PLAN"))</f>
        <v/>
      </c>
    </row>
    <row r="1856" customFormat="false" ht="15" hidden="false" customHeight="false" outlineLevel="0" collapsed="false">
      <c r="A1856" s="55"/>
      <c r="B1856" s="56"/>
      <c r="C1856" s="56"/>
      <c r="D1856" s="56"/>
      <c r="E1856" s="56"/>
      <c r="F1856" s="56"/>
      <c r="G1856" s="58"/>
      <c r="H1856" s="56"/>
      <c r="I1856" s="61" t="str">
        <f aca="false">IF(IsPro,IF(OR($C1856="",N($G1856)=0),"",IF(OR($C1856="Receipt",$C1856="Other Income",$C1856="Capital In",$C1856="Transfer In"),$G1856,0)),"")</f>
        <v/>
      </c>
      <c r="J1856" s="61" t="str">
        <f aca="false">IF(IsPro,IF(OR($C1856="",N($G1856)=0),"",IF(I1856=0,$G1856,0)),"")</f>
        <v/>
      </c>
      <c r="K1856" s="60" t="str">
        <f aca="false">IF(IsPro,IF($C1856="","",IF(AND(OR($C1856="Receipt",$C1856="Payment"),$D1856=""),"Party needed",IF(AND(OR($C1856="Expense",$C1856="Other Income"),$E1856=""),"Head needed",IF($F1856="","Account needed","OK")))),IF($C1856="","","PRO PLAN"))</f>
        <v/>
      </c>
    </row>
    <row r="1857" customFormat="false" ht="15" hidden="false" customHeight="false" outlineLevel="0" collapsed="false">
      <c r="A1857" s="55"/>
      <c r="B1857" s="56"/>
      <c r="C1857" s="56"/>
      <c r="D1857" s="56"/>
      <c r="E1857" s="56"/>
      <c r="F1857" s="56"/>
      <c r="G1857" s="58"/>
      <c r="H1857" s="56"/>
      <c r="I1857" s="61" t="str">
        <f aca="false">IF(IsPro,IF(OR($C1857="",N($G1857)=0),"",IF(OR($C1857="Receipt",$C1857="Other Income",$C1857="Capital In",$C1857="Transfer In"),$G1857,0)),"")</f>
        <v/>
      </c>
      <c r="J1857" s="61" t="str">
        <f aca="false">IF(IsPro,IF(OR($C1857="",N($G1857)=0),"",IF(I1857=0,$G1857,0)),"")</f>
        <v/>
      </c>
      <c r="K1857" s="60" t="str">
        <f aca="false">IF(IsPro,IF($C1857="","",IF(AND(OR($C1857="Receipt",$C1857="Payment"),$D1857=""),"Party needed",IF(AND(OR($C1857="Expense",$C1857="Other Income"),$E1857=""),"Head needed",IF($F1857="","Account needed","OK")))),IF($C1857="","","PRO PLAN"))</f>
        <v/>
      </c>
    </row>
    <row r="1858" customFormat="false" ht="15" hidden="false" customHeight="false" outlineLevel="0" collapsed="false">
      <c r="A1858" s="55"/>
      <c r="B1858" s="56"/>
      <c r="C1858" s="56"/>
      <c r="D1858" s="56"/>
      <c r="E1858" s="56"/>
      <c r="F1858" s="56"/>
      <c r="G1858" s="58"/>
      <c r="H1858" s="56"/>
      <c r="I1858" s="61" t="str">
        <f aca="false">IF(IsPro,IF(OR($C1858="",N($G1858)=0),"",IF(OR($C1858="Receipt",$C1858="Other Income",$C1858="Capital In",$C1858="Transfer In"),$G1858,0)),"")</f>
        <v/>
      </c>
      <c r="J1858" s="61" t="str">
        <f aca="false">IF(IsPro,IF(OR($C1858="",N($G1858)=0),"",IF(I1858=0,$G1858,0)),"")</f>
        <v/>
      </c>
      <c r="K1858" s="60" t="str">
        <f aca="false">IF(IsPro,IF($C1858="","",IF(AND(OR($C1858="Receipt",$C1858="Payment"),$D1858=""),"Party needed",IF(AND(OR($C1858="Expense",$C1858="Other Income"),$E1858=""),"Head needed",IF($F1858="","Account needed","OK")))),IF($C1858="","","PRO PLAN"))</f>
        <v/>
      </c>
    </row>
    <row r="1859" customFormat="false" ht="15" hidden="false" customHeight="false" outlineLevel="0" collapsed="false">
      <c r="A1859" s="55"/>
      <c r="B1859" s="56"/>
      <c r="C1859" s="56"/>
      <c r="D1859" s="56"/>
      <c r="E1859" s="56"/>
      <c r="F1859" s="56"/>
      <c r="G1859" s="58"/>
      <c r="H1859" s="56"/>
      <c r="I1859" s="61" t="str">
        <f aca="false">IF(IsPro,IF(OR($C1859="",N($G1859)=0),"",IF(OR($C1859="Receipt",$C1859="Other Income",$C1859="Capital In",$C1859="Transfer In"),$G1859,0)),"")</f>
        <v/>
      </c>
      <c r="J1859" s="61" t="str">
        <f aca="false">IF(IsPro,IF(OR($C1859="",N($G1859)=0),"",IF(I1859=0,$G1859,0)),"")</f>
        <v/>
      </c>
      <c r="K1859" s="60" t="str">
        <f aca="false">IF(IsPro,IF($C1859="","",IF(AND(OR($C1859="Receipt",$C1859="Payment"),$D1859=""),"Party needed",IF(AND(OR($C1859="Expense",$C1859="Other Income"),$E1859=""),"Head needed",IF($F1859="","Account needed","OK")))),IF($C1859="","","PRO PLAN"))</f>
        <v/>
      </c>
    </row>
    <row r="1860" customFormat="false" ht="15" hidden="false" customHeight="false" outlineLevel="0" collapsed="false">
      <c r="A1860" s="55"/>
      <c r="B1860" s="56"/>
      <c r="C1860" s="56"/>
      <c r="D1860" s="56"/>
      <c r="E1860" s="56"/>
      <c r="F1860" s="56"/>
      <c r="G1860" s="58"/>
      <c r="H1860" s="56"/>
      <c r="I1860" s="61" t="str">
        <f aca="false">IF(IsPro,IF(OR($C1860="",N($G1860)=0),"",IF(OR($C1860="Receipt",$C1860="Other Income",$C1860="Capital In",$C1860="Transfer In"),$G1860,0)),"")</f>
        <v/>
      </c>
      <c r="J1860" s="61" t="str">
        <f aca="false">IF(IsPro,IF(OR($C1860="",N($G1860)=0),"",IF(I1860=0,$G1860,0)),"")</f>
        <v/>
      </c>
      <c r="K1860" s="60" t="str">
        <f aca="false">IF(IsPro,IF($C1860="","",IF(AND(OR($C1860="Receipt",$C1860="Payment"),$D1860=""),"Party needed",IF(AND(OR($C1860="Expense",$C1860="Other Income"),$E1860=""),"Head needed",IF($F1860="","Account needed","OK")))),IF($C1860="","","PRO PLAN"))</f>
        <v/>
      </c>
    </row>
    <row r="1861" customFormat="false" ht="15" hidden="false" customHeight="false" outlineLevel="0" collapsed="false">
      <c r="A1861" s="55"/>
      <c r="B1861" s="56"/>
      <c r="C1861" s="56"/>
      <c r="D1861" s="56"/>
      <c r="E1861" s="56"/>
      <c r="F1861" s="56"/>
      <c r="G1861" s="58"/>
      <c r="H1861" s="56"/>
      <c r="I1861" s="61" t="str">
        <f aca="false">IF(IsPro,IF(OR($C1861="",N($G1861)=0),"",IF(OR($C1861="Receipt",$C1861="Other Income",$C1861="Capital In",$C1861="Transfer In"),$G1861,0)),"")</f>
        <v/>
      </c>
      <c r="J1861" s="61" t="str">
        <f aca="false">IF(IsPro,IF(OR($C1861="",N($G1861)=0),"",IF(I1861=0,$G1861,0)),"")</f>
        <v/>
      </c>
      <c r="K1861" s="60" t="str">
        <f aca="false">IF(IsPro,IF($C1861="","",IF(AND(OR($C1861="Receipt",$C1861="Payment"),$D1861=""),"Party needed",IF(AND(OR($C1861="Expense",$C1861="Other Income"),$E1861=""),"Head needed",IF($F1861="","Account needed","OK")))),IF($C1861="","","PRO PLAN"))</f>
        <v/>
      </c>
    </row>
    <row r="1862" customFormat="false" ht="15" hidden="false" customHeight="false" outlineLevel="0" collapsed="false">
      <c r="A1862" s="55"/>
      <c r="B1862" s="56"/>
      <c r="C1862" s="56"/>
      <c r="D1862" s="56"/>
      <c r="E1862" s="56"/>
      <c r="F1862" s="56"/>
      <c r="G1862" s="58"/>
      <c r="H1862" s="56"/>
      <c r="I1862" s="61" t="str">
        <f aca="false">IF(IsPro,IF(OR($C1862="",N($G1862)=0),"",IF(OR($C1862="Receipt",$C1862="Other Income",$C1862="Capital In",$C1862="Transfer In"),$G1862,0)),"")</f>
        <v/>
      </c>
      <c r="J1862" s="61" t="str">
        <f aca="false">IF(IsPro,IF(OR($C1862="",N($G1862)=0),"",IF(I1862=0,$G1862,0)),"")</f>
        <v/>
      </c>
      <c r="K1862" s="60" t="str">
        <f aca="false">IF(IsPro,IF($C1862="","",IF(AND(OR($C1862="Receipt",$C1862="Payment"),$D1862=""),"Party needed",IF(AND(OR($C1862="Expense",$C1862="Other Income"),$E1862=""),"Head needed",IF($F1862="","Account needed","OK")))),IF($C1862="","","PRO PLAN"))</f>
        <v/>
      </c>
    </row>
    <row r="1863" customFormat="false" ht="15" hidden="false" customHeight="false" outlineLevel="0" collapsed="false">
      <c r="A1863" s="55"/>
      <c r="B1863" s="56"/>
      <c r="C1863" s="56"/>
      <c r="D1863" s="56"/>
      <c r="E1863" s="56"/>
      <c r="F1863" s="56"/>
      <c r="G1863" s="58"/>
      <c r="H1863" s="56"/>
      <c r="I1863" s="61" t="str">
        <f aca="false">IF(IsPro,IF(OR($C1863="",N($G1863)=0),"",IF(OR($C1863="Receipt",$C1863="Other Income",$C1863="Capital In",$C1863="Transfer In"),$G1863,0)),"")</f>
        <v/>
      </c>
      <c r="J1863" s="61" t="str">
        <f aca="false">IF(IsPro,IF(OR($C1863="",N($G1863)=0),"",IF(I1863=0,$G1863,0)),"")</f>
        <v/>
      </c>
      <c r="K1863" s="60" t="str">
        <f aca="false">IF(IsPro,IF($C1863="","",IF(AND(OR($C1863="Receipt",$C1863="Payment"),$D1863=""),"Party needed",IF(AND(OR($C1863="Expense",$C1863="Other Income"),$E1863=""),"Head needed",IF($F1863="","Account needed","OK")))),IF($C1863="","","PRO PLAN"))</f>
        <v/>
      </c>
    </row>
    <row r="1864" customFormat="false" ht="15" hidden="false" customHeight="false" outlineLevel="0" collapsed="false">
      <c r="A1864" s="55"/>
      <c r="B1864" s="56"/>
      <c r="C1864" s="56"/>
      <c r="D1864" s="56"/>
      <c r="E1864" s="56"/>
      <c r="F1864" s="56"/>
      <c r="G1864" s="58"/>
      <c r="H1864" s="56"/>
      <c r="I1864" s="61" t="str">
        <f aca="false">IF(IsPro,IF(OR($C1864="",N($G1864)=0),"",IF(OR($C1864="Receipt",$C1864="Other Income",$C1864="Capital In",$C1864="Transfer In"),$G1864,0)),"")</f>
        <v/>
      </c>
      <c r="J1864" s="61" t="str">
        <f aca="false">IF(IsPro,IF(OR($C1864="",N($G1864)=0),"",IF(I1864=0,$G1864,0)),"")</f>
        <v/>
      </c>
      <c r="K1864" s="60" t="str">
        <f aca="false">IF(IsPro,IF($C1864="","",IF(AND(OR($C1864="Receipt",$C1864="Payment"),$D1864=""),"Party needed",IF(AND(OR($C1864="Expense",$C1864="Other Income"),$E1864=""),"Head needed",IF($F1864="","Account needed","OK")))),IF($C1864="","","PRO PLAN"))</f>
        <v/>
      </c>
    </row>
    <row r="1865" customFormat="false" ht="15" hidden="false" customHeight="false" outlineLevel="0" collapsed="false">
      <c r="A1865" s="55"/>
      <c r="B1865" s="56"/>
      <c r="C1865" s="56"/>
      <c r="D1865" s="56"/>
      <c r="E1865" s="56"/>
      <c r="F1865" s="56"/>
      <c r="G1865" s="58"/>
      <c r="H1865" s="56"/>
      <c r="I1865" s="61" t="str">
        <f aca="false">IF(IsPro,IF(OR($C1865="",N($G1865)=0),"",IF(OR($C1865="Receipt",$C1865="Other Income",$C1865="Capital In",$C1865="Transfer In"),$G1865,0)),"")</f>
        <v/>
      </c>
      <c r="J1865" s="61" t="str">
        <f aca="false">IF(IsPro,IF(OR($C1865="",N($G1865)=0),"",IF(I1865=0,$G1865,0)),"")</f>
        <v/>
      </c>
      <c r="K1865" s="60" t="str">
        <f aca="false">IF(IsPro,IF($C1865="","",IF(AND(OR($C1865="Receipt",$C1865="Payment"),$D1865=""),"Party needed",IF(AND(OR($C1865="Expense",$C1865="Other Income"),$E1865=""),"Head needed",IF($F1865="","Account needed","OK")))),IF($C1865="","","PRO PLAN"))</f>
        <v/>
      </c>
    </row>
    <row r="1866" customFormat="false" ht="15" hidden="false" customHeight="false" outlineLevel="0" collapsed="false">
      <c r="A1866" s="55"/>
      <c r="B1866" s="56"/>
      <c r="C1866" s="56"/>
      <c r="D1866" s="56"/>
      <c r="E1866" s="56"/>
      <c r="F1866" s="56"/>
      <c r="G1866" s="58"/>
      <c r="H1866" s="56"/>
      <c r="I1866" s="61" t="str">
        <f aca="false">IF(IsPro,IF(OR($C1866="",N($G1866)=0),"",IF(OR($C1866="Receipt",$C1866="Other Income",$C1866="Capital In",$C1866="Transfer In"),$G1866,0)),"")</f>
        <v/>
      </c>
      <c r="J1866" s="61" t="str">
        <f aca="false">IF(IsPro,IF(OR($C1866="",N($G1866)=0),"",IF(I1866=0,$G1866,0)),"")</f>
        <v/>
      </c>
      <c r="K1866" s="60" t="str">
        <f aca="false">IF(IsPro,IF($C1866="","",IF(AND(OR($C1866="Receipt",$C1866="Payment"),$D1866=""),"Party needed",IF(AND(OR($C1866="Expense",$C1866="Other Income"),$E1866=""),"Head needed",IF($F1866="","Account needed","OK")))),IF($C1866="","","PRO PLAN"))</f>
        <v/>
      </c>
    </row>
    <row r="1867" customFormat="false" ht="15" hidden="false" customHeight="false" outlineLevel="0" collapsed="false">
      <c r="A1867" s="55"/>
      <c r="B1867" s="56"/>
      <c r="C1867" s="56"/>
      <c r="D1867" s="56"/>
      <c r="E1867" s="56"/>
      <c r="F1867" s="56"/>
      <c r="G1867" s="58"/>
      <c r="H1867" s="56"/>
      <c r="I1867" s="61" t="str">
        <f aca="false">IF(IsPro,IF(OR($C1867="",N($G1867)=0),"",IF(OR($C1867="Receipt",$C1867="Other Income",$C1867="Capital In",$C1867="Transfer In"),$G1867,0)),"")</f>
        <v/>
      </c>
      <c r="J1867" s="61" t="str">
        <f aca="false">IF(IsPro,IF(OR($C1867="",N($G1867)=0),"",IF(I1867=0,$G1867,0)),"")</f>
        <v/>
      </c>
      <c r="K1867" s="60" t="str">
        <f aca="false">IF(IsPro,IF($C1867="","",IF(AND(OR($C1867="Receipt",$C1867="Payment"),$D1867=""),"Party needed",IF(AND(OR($C1867="Expense",$C1867="Other Income"),$E1867=""),"Head needed",IF($F1867="","Account needed","OK")))),IF($C1867="","","PRO PLAN"))</f>
        <v/>
      </c>
    </row>
    <row r="1868" customFormat="false" ht="15" hidden="false" customHeight="false" outlineLevel="0" collapsed="false">
      <c r="A1868" s="55"/>
      <c r="B1868" s="56"/>
      <c r="C1868" s="56"/>
      <c r="D1868" s="56"/>
      <c r="E1868" s="56"/>
      <c r="F1868" s="56"/>
      <c r="G1868" s="58"/>
      <c r="H1868" s="56"/>
      <c r="I1868" s="61" t="str">
        <f aca="false">IF(IsPro,IF(OR($C1868="",N($G1868)=0),"",IF(OR($C1868="Receipt",$C1868="Other Income",$C1868="Capital In",$C1868="Transfer In"),$G1868,0)),"")</f>
        <v/>
      </c>
      <c r="J1868" s="61" t="str">
        <f aca="false">IF(IsPro,IF(OR($C1868="",N($G1868)=0),"",IF(I1868=0,$G1868,0)),"")</f>
        <v/>
      </c>
      <c r="K1868" s="60" t="str">
        <f aca="false">IF(IsPro,IF($C1868="","",IF(AND(OR($C1868="Receipt",$C1868="Payment"),$D1868=""),"Party needed",IF(AND(OR($C1868="Expense",$C1868="Other Income"),$E1868=""),"Head needed",IF($F1868="","Account needed","OK")))),IF($C1868="","","PRO PLAN"))</f>
        <v/>
      </c>
    </row>
    <row r="1869" customFormat="false" ht="15" hidden="false" customHeight="false" outlineLevel="0" collapsed="false">
      <c r="A1869" s="55"/>
      <c r="B1869" s="56"/>
      <c r="C1869" s="56"/>
      <c r="D1869" s="56"/>
      <c r="E1869" s="56"/>
      <c r="F1869" s="56"/>
      <c r="G1869" s="58"/>
      <c r="H1869" s="56"/>
      <c r="I1869" s="61" t="str">
        <f aca="false">IF(IsPro,IF(OR($C1869="",N($G1869)=0),"",IF(OR($C1869="Receipt",$C1869="Other Income",$C1869="Capital In",$C1869="Transfer In"),$G1869,0)),"")</f>
        <v/>
      </c>
      <c r="J1869" s="61" t="str">
        <f aca="false">IF(IsPro,IF(OR($C1869="",N($G1869)=0),"",IF(I1869=0,$G1869,0)),"")</f>
        <v/>
      </c>
      <c r="K1869" s="60" t="str">
        <f aca="false">IF(IsPro,IF($C1869="","",IF(AND(OR($C1869="Receipt",$C1869="Payment"),$D1869=""),"Party needed",IF(AND(OR($C1869="Expense",$C1869="Other Income"),$E1869=""),"Head needed",IF($F1869="","Account needed","OK")))),IF($C1869="","","PRO PLAN"))</f>
        <v/>
      </c>
    </row>
    <row r="1870" customFormat="false" ht="15" hidden="false" customHeight="false" outlineLevel="0" collapsed="false">
      <c r="A1870" s="55"/>
      <c r="B1870" s="56"/>
      <c r="C1870" s="56"/>
      <c r="D1870" s="56"/>
      <c r="E1870" s="56"/>
      <c r="F1870" s="56"/>
      <c r="G1870" s="58"/>
      <c r="H1870" s="56"/>
      <c r="I1870" s="61" t="str">
        <f aca="false">IF(IsPro,IF(OR($C1870="",N($G1870)=0),"",IF(OR($C1870="Receipt",$C1870="Other Income",$C1870="Capital In",$C1870="Transfer In"),$G1870,0)),"")</f>
        <v/>
      </c>
      <c r="J1870" s="61" t="str">
        <f aca="false">IF(IsPro,IF(OR($C1870="",N($G1870)=0),"",IF(I1870=0,$G1870,0)),"")</f>
        <v/>
      </c>
      <c r="K1870" s="60" t="str">
        <f aca="false">IF(IsPro,IF($C1870="","",IF(AND(OR($C1870="Receipt",$C1870="Payment"),$D1870=""),"Party needed",IF(AND(OR($C1870="Expense",$C1870="Other Income"),$E1870=""),"Head needed",IF($F1870="","Account needed","OK")))),IF($C1870="","","PRO PLAN"))</f>
        <v/>
      </c>
    </row>
    <row r="1871" customFormat="false" ht="15" hidden="false" customHeight="false" outlineLevel="0" collapsed="false">
      <c r="A1871" s="55"/>
      <c r="B1871" s="56"/>
      <c r="C1871" s="56"/>
      <c r="D1871" s="56"/>
      <c r="E1871" s="56"/>
      <c r="F1871" s="56"/>
      <c r="G1871" s="58"/>
      <c r="H1871" s="56"/>
      <c r="I1871" s="61" t="str">
        <f aca="false">IF(IsPro,IF(OR($C1871="",N($G1871)=0),"",IF(OR($C1871="Receipt",$C1871="Other Income",$C1871="Capital In",$C1871="Transfer In"),$G1871,0)),"")</f>
        <v/>
      </c>
      <c r="J1871" s="61" t="str">
        <f aca="false">IF(IsPro,IF(OR($C1871="",N($G1871)=0),"",IF(I1871=0,$G1871,0)),"")</f>
        <v/>
      </c>
      <c r="K1871" s="60" t="str">
        <f aca="false">IF(IsPro,IF($C1871="","",IF(AND(OR($C1871="Receipt",$C1871="Payment"),$D1871=""),"Party needed",IF(AND(OR($C1871="Expense",$C1871="Other Income"),$E1871=""),"Head needed",IF($F1871="","Account needed","OK")))),IF($C1871="","","PRO PLAN"))</f>
        <v/>
      </c>
    </row>
    <row r="1872" customFormat="false" ht="15" hidden="false" customHeight="false" outlineLevel="0" collapsed="false">
      <c r="A1872" s="55"/>
      <c r="B1872" s="56"/>
      <c r="C1872" s="56"/>
      <c r="D1872" s="56"/>
      <c r="E1872" s="56"/>
      <c r="F1872" s="56"/>
      <c r="G1872" s="58"/>
      <c r="H1872" s="56"/>
      <c r="I1872" s="61" t="str">
        <f aca="false">IF(IsPro,IF(OR($C1872="",N($G1872)=0),"",IF(OR($C1872="Receipt",$C1872="Other Income",$C1872="Capital In",$C1872="Transfer In"),$G1872,0)),"")</f>
        <v/>
      </c>
      <c r="J1872" s="61" t="str">
        <f aca="false">IF(IsPro,IF(OR($C1872="",N($G1872)=0),"",IF(I1872=0,$G1872,0)),"")</f>
        <v/>
      </c>
      <c r="K1872" s="60" t="str">
        <f aca="false">IF(IsPro,IF($C1872="","",IF(AND(OR($C1872="Receipt",$C1872="Payment"),$D1872=""),"Party needed",IF(AND(OR($C1872="Expense",$C1872="Other Income"),$E1872=""),"Head needed",IF($F1872="","Account needed","OK")))),IF($C1872="","","PRO PLAN"))</f>
        <v/>
      </c>
    </row>
    <row r="1873" customFormat="false" ht="15" hidden="false" customHeight="false" outlineLevel="0" collapsed="false">
      <c r="A1873" s="55"/>
      <c r="B1873" s="56"/>
      <c r="C1873" s="56"/>
      <c r="D1873" s="56"/>
      <c r="E1873" s="56"/>
      <c r="F1873" s="56"/>
      <c r="G1873" s="58"/>
      <c r="H1873" s="56"/>
      <c r="I1873" s="61" t="str">
        <f aca="false">IF(IsPro,IF(OR($C1873="",N($G1873)=0),"",IF(OR($C1873="Receipt",$C1873="Other Income",$C1873="Capital In",$C1873="Transfer In"),$G1873,0)),"")</f>
        <v/>
      </c>
      <c r="J1873" s="61" t="str">
        <f aca="false">IF(IsPro,IF(OR($C1873="",N($G1873)=0),"",IF(I1873=0,$G1873,0)),"")</f>
        <v/>
      </c>
      <c r="K1873" s="60" t="str">
        <f aca="false">IF(IsPro,IF($C1873="","",IF(AND(OR($C1873="Receipt",$C1873="Payment"),$D1873=""),"Party needed",IF(AND(OR($C1873="Expense",$C1873="Other Income"),$E1873=""),"Head needed",IF($F1873="","Account needed","OK")))),IF($C1873="","","PRO PLAN"))</f>
        <v/>
      </c>
    </row>
    <row r="1874" customFormat="false" ht="15" hidden="false" customHeight="false" outlineLevel="0" collapsed="false">
      <c r="A1874" s="55"/>
      <c r="B1874" s="56"/>
      <c r="C1874" s="56"/>
      <c r="D1874" s="56"/>
      <c r="E1874" s="56"/>
      <c r="F1874" s="56"/>
      <c r="G1874" s="58"/>
      <c r="H1874" s="56"/>
      <c r="I1874" s="61" t="str">
        <f aca="false">IF(IsPro,IF(OR($C1874="",N($G1874)=0),"",IF(OR($C1874="Receipt",$C1874="Other Income",$C1874="Capital In",$C1874="Transfer In"),$G1874,0)),"")</f>
        <v/>
      </c>
      <c r="J1874" s="61" t="str">
        <f aca="false">IF(IsPro,IF(OR($C1874="",N($G1874)=0),"",IF(I1874=0,$G1874,0)),"")</f>
        <v/>
      </c>
      <c r="K1874" s="60" t="str">
        <f aca="false">IF(IsPro,IF($C1874="","",IF(AND(OR($C1874="Receipt",$C1874="Payment"),$D1874=""),"Party needed",IF(AND(OR($C1874="Expense",$C1874="Other Income"),$E1874=""),"Head needed",IF($F1874="","Account needed","OK")))),IF($C1874="","","PRO PLAN"))</f>
        <v/>
      </c>
    </row>
    <row r="1875" customFormat="false" ht="15" hidden="false" customHeight="false" outlineLevel="0" collapsed="false">
      <c r="A1875" s="55"/>
      <c r="B1875" s="56"/>
      <c r="C1875" s="56"/>
      <c r="D1875" s="56"/>
      <c r="E1875" s="56"/>
      <c r="F1875" s="56"/>
      <c r="G1875" s="58"/>
      <c r="H1875" s="56"/>
      <c r="I1875" s="61" t="str">
        <f aca="false">IF(IsPro,IF(OR($C1875="",N($G1875)=0),"",IF(OR($C1875="Receipt",$C1875="Other Income",$C1875="Capital In",$C1875="Transfer In"),$G1875,0)),"")</f>
        <v/>
      </c>
      <c r="J1875" s="61" t="str">
        <f aca="false">IF(IsPro,IF(OR($C1875="",N($G1875)=0),"",IF(I1875=0,$G1875,0)),"")</f>
        <v/>
      </c>
      <c r="K1875" s="60" t="str">
        <f aca="false">IF(IsPro,IF($C1875="","",IF(AND(OR($C1875="Receipt",$C1875="Payment"),$D1875=""),"Party needed",IF(AND(OR($C1875="Expense",$C1875="Other Income"),$E1875=""),"Head needed",IF($F1875="","Account needed","OK")))),IF($C1875="","","PRO PLAN"))</f>
        <v/>
      </c>
    </row>
    <row r="1876" customFormat="false" ht="15" hidden="false" customHeight="false" outlineLevel="0" collapsed="false">
      <c r="A1876" s="55"/>
      <c r="B1876" s="56"/>
      <c r="C1876" s="56"/>
      <c r="D1876" s="56"/>
      <c r="E1876" s="56"/>
      <c r="F1876" s="56"/>
      <c r="G1876" s="58"/>
      <c r="H1876" s="56"/>
      <c r="I1876" s="61" t="str">
        <f aca="false">IF(IsPro,IF(OR($C1876="",N($G1876)=0),"",IF(OR($C1876="Receipt",$C1876="Other Income",$C1876="Capital In",$C1876="Transfer In"),$G1876,0)),"")</f>
        <v/>
      </c>
      <c r="J1876" s="61" t="str">
        <f aca="false">IF(IsPro,IF(OR($C1876="",N($G1876)=0),"",IF(I1876=0,$G1876,0)),"")</f>
        <v/>
      </c>
      <c r="K1876" s="60" t="str">
        <f aca="false">IF(IsPro,IF($C1876="","",IF(AND(OR($C1876="Receipt",$C1876="Payment"),$D1876=""),"Party needed",IF(AND(OR($C1876="Expense",$C1876="Other Income"),$E1876=""),"Head needed",IF($F1876="","Account needed","OK")))),IF($C1876="","","PRO PLAN"))</f>
        <v/>
      </c>
    </row>
    <row r="1877" customFormat="false" ht="15" hidden="false" customHeight="false" outlineLevel="0" collapsed="false">
      <c r="A1877" s="55"/>
      <c r="B1877" s="56"/>
      <c r="C1877" s="56"/>
      <c r="D1877" s="56"/>
      <c r="E1877" s="56"/>
      <c r="F1877" s="56"/>
      <c r="G1877" s="58"/>
      <c r="H1877" s="56"/>
      <c r="I1877" s="61" t="str">
        <f aca="false">IF(IsPro,IF(OR($C1877="",N($G1877)=0),"",IF(OR($C1877="Receipt",$C1877="Other Income",$C1877="Capital In",$C1877="Transfer In"),$G1877,0)),"")</f>
        <v/>
      </c>
      <c r="J1877" s="61" t="str">
        <f aca="false">IF(IsPro,IF(OR($C1877="",N($G1877)=0),"",IF(I1877=0,$G1877,0)),"")</f>
        <v/>
      </c>
      <c r="K1877" s="60" t="str">
        <f aca="false">IF(IsPro,IF($C1877="","",IF(AND(OR($C1877="Receipt",$C1877="Payment"),$D1877=""),"Party needed",IF(AND(OR($C1877="Expense",$C1877="Other Income"),$E1877=""),"Head needed",IF($F1877="","Account needed","OK")))),IF($C1877="","","PRO PLAN"))</f>
        <v/>
      </c>
    </row>
    <row r="1878" customFormat="false" ht="15" hidden="false" customHeight="false" outlineLevel="0" collapsed="false">
      <c r="A1878" s="55"/>
      <c r="B1878" s="56"/>
      <c r="C1878" s="56"/>
      <c r="D1878" s="56"/>
      <c r="E1878" s="56"/>
      <c r="F1878" s="56"/>
      <c r="G1878" s="58"/>
      <c r="H1878" s="56"/>
      <c r="I1878" s="61" t="str">
        <f aca="false">IF(IsPro,IF(OR($C1878="",N($G1878)=0),"",IF(OR($C1878="Receipt",$C1878="Other Income",$C1878="Capital In",$C1878="Transfer In"),$G1878,0)),"")</f>
        <v/>
      </c>
      <c r="J1878" s="61" t="str">
        <f aca="false">IF(IsPro,IF(OR($C1878="",N($G1878)=0),"",IF(I1878=0,$G1878,0)),"")</f>
        <v/>
      </c>
      <c r="K1878" s="60" t="str">
        <f aca="false">IF(IsPro,IF($C1878="","",IF(AND(OR($C1878="Receipt",$C1878="Payment"),$D1878=""),"Party needed",IF(AND(OR($C1878="Expense",$C1878="Other Income"),$E1878=""),"Head needed",IF($F1878="","Account needed","OK")))),IF($C1878="","","PRO PLAN"))</f>
        <v/>
      </c>
    </row>
    <row r="1879" customFormat="false" ht="15" hidden="false" customHeight="false" outlineLevel="0" collapsed="false">
      <c r="A1879" s="55"/>
      <c r="B1879" s="56"/>
      <c r="C1879" s="56"/>
      <c r="D1879" s="56"/>
      <c r="E1879" s="56"/>
      <c r="F1879" s="56"/>
      <c r="G1879" s="58"/>
      <c r="H1879" s="56"/>
      <c r="I1879" s="61" t="str">
        <f aca="false">IF(IsPro,IF(OR($C1879="",N($G1879)=0),"",IF(OR($C1879="Receipt",$C1879="Other Income",$C1879="Capital In",$C1879="Transfer In"),$G1879,0)),"")</f>
        <v/>
      </c>
      <c r="J1879" s="61" t="str">
        <f aca="false">IF(IsPro,IF(OR($C1879="",N($G1879)=0),"",IF(I1879=0,$G1879,0)),"")</f>
        <v/>
      </c>
      <c r="K1879" s="60" t="str">
        <f aca="false">IF(IsPro,IF($C1879="","",IF(AND(OR($C1879="Receipt",$C1879="Payment"),$D1879=""),"Party needed",IF(AND(OR($C1879="Expense",$C1879="Other Income"),$E1879=""),"Head needed",IF($F1879="","Account needed","OK")))),IF($C1879="","","PRO PLAN"))</f>
        <v/>
      </c>
    </row>
    <row r="1880" customFormat="false" ht="15" hidden="false" customHeight="false" outlineLevel="0" collapsed="false">
      <c r="A1880" s="55"/>
      <c r="B1880" s="56"/>
      <c r="C1880" s="56"/>
      <c r="D1880" s="56"/>
      <c r="E1880" s="56"/>
      <c r="F1880" s="56"/>
      <c r="G1880" s="58"/>
      <c r="H1880" s="56"/>
      <c r="I1880" s="61" t="str">
        <f aca="false">IF(IsPro,IF(OR($C1880="",N($G1880)=0),"",IF(OR($C1880="Receipt",$C1880="Other Income",$C1880="Capital In",$C1880="Transfer In"),$G1880,0)),"")</f>
        <v/>
      </c>
      <c r="J1880" s="61" t="str">
        <f aca="false">IF(IsPro,IF(OR($C1880="",N($G1880)=0),"",IF(I1880=0,$G1880,0)),"")</f>
        <v/>
      </c>
      <c r="K1880" s="60" t="str">
        <f aca="false">IF(IsPro,IF($C1880="","",IF(AND(OR($C1880="Receipt",$C1880="Payment"),$D1880=""),"Party needed",IF(AND(OR($C1880="Expense",$C1880="Other Income"),$E1880=""),"Head needed",IF($F1880="","Account needed","OK")))),IF($C1880="","","PRO PLAN"))</f>
        <v/>
      </c>
    </row>
    <row r="1881" customFormat="false" ht="15" hidden="false" customHeight="false" outlineLevel="0" collapsed="false">
      <c r="A1881" s="55"/>
      <c r="B1881" s="56"/>
      <c r="C1881" s="56"/>
      <c r="D1881" s="56"/>
      <c r="E1881" s="56"/>
      <c r="F1881" s="56"/>
      <c r="G1881" s="58"/>
      <c r="H1881" s="56"/>
      <c r="I1881" s="61" t="str">
        <f aca="false">IF(IsPro,IF(OR($C1881="",N($G1881)=0),"",IF(OR($C1881="Receipt",$C1881="Other Income",$C1881="Capital In",$C1881="Transfer In"),$G1881,0)),"")</f>
        <v/>
      </c>
      <c r="J1881" s="61" t="str">
        <f aca="false">IF(IsPro,IF(OR($C1881="",N($G1881)=0),"",IF(I1881=0,$G1881,0)),"")</f>
        <v/>
      </c>
      <c r="K1881" s="60" t="str">
        <f aca="false">IF(IsPro,IF($C1881="","",IF(AND(OR($C1881="Receipt",$C1881="Payment"),$D1881=""),"Party needed",IF(AND(OR($C1881="Expense",$C1881="Other Income"),$E1881=""),"Head needed",IF($F1881="","Account needed","OK")))),IF($C1881="","","PRO PLAN"))</f>
        <v/>
      </c>
    </row>
    <row r="1882" customFormat="false" ht="15" hidden="false" customHeight="false" outlineLevel="0" collapsed="false">
      <c r="A1882" s="55"/>
      <c r="B1882" s="56"/>
      <c r="C1882" s="56"/>
      <c r="D1882" s="56"/>
      <c r="E1882" s="56"/>
      <c r="F1882" s="56"/>
      <c r="G1882" s="58"/>
      <c r="H1882" s="56"/>
      <c r="I1882" s="61" t="str">
        <f aca="false">IF(IsPro,IF(OR($C1882="",N($G1882)=0),"",IF(OR($C1882="Receipt",$C1882="Other Income",$C1882="Capital In",$C1882="Transfer In"),$G1882,0)),"")</f>
        <v/>
      </c>
      <c r="J1882" s="61" t="str">
        <f aca="false">IF(IsPro,IF(OR($C1882="",N($G1882)=0),"",IF(I1882=0,$G1882,0)),"")</f>
        <v/>
      </c>
      <c r="K1882" s="60" t="str">
        <f aca="false">IF(IsPro,IF($C1882="","",IF(AND(OR($C1882="Receipt",$C1882="Payment"),$D1882=""),"Party needed",IF(AND(OR($C1882="Expense",$C1882="Other Income"),$E1882=""),"Head needed",IF($F1882="","Account needed","OK")))),IF($C1882="","","PRO PLAN"))</f>
        <v/>
      </c>
    </row>
    <row r="1883" customFormat="false" ht="15" hidden="false" customHeight="false" outlineLevel="0" collapsed="false">
      <c r="A1883" s="55"/>
      <c r="B1883" s="56"/>
      <c r="C1883" s="56"/>
      <c r="D1883" s="56"/>
      <c r="E1883" s="56"/>
      <c r="F1883" s="56"/>
      <c r="G1883" s="58"/>
      <c r="H1883" s="56"/>
      <c r="I1883" s="61" t="str">
        <f aca="false">IF(IsPro,IF(OR($C1883="",N($G1883)=0),"",IF(OR($C1883="Receipt",$C1883="Other Income",$C1883="Capital In",$C1883="Transfer In"),$G1883,0)),"")</f>
        <v/>
      </c>
      <c r="J1883" s="61" t="str">
        <f aca="false">IF(IsPro,IF(OR($C1883="",N($G1883)=0),"",IF(I1883=0,$G1883,0)),"")</f>
        <v/>
      </c>
      <c r="K1883" s="60" t="str">
        <f aca="false">IF(IsPro,IF($C1883="","",IF(AND(OR($C1883="Receipt",$C1883="Payment"),$D1883=""),"Party needed",IF(AND(OR($C1883="Expense",$C1883="Other Income"),$E1883=""),"Head needed",IF($F1883="","Account needed","OK")))),IF($C1883="","","PRO PLAN"))</f>
        <v/>
      </c>
    </row>
    <row r="1884" customFormat="false" ht="15" hidden="false" customHeight="false" outlineLevel="0" collapsed="false">
      <c r="A1884" s="55"/>
      <c r="B1884" s="56"/>
      <c r="C1884" s="56"/>
      <c r="D1884" s="56"/>
      <c r="E1884" s="56"/>
      <c r="F1884" s="56"/>
      <c r="G1884" s="58"/>
      <c r="H1884" s="56"/>
      <c r="I1884" s="61" t="str">
        <f aca="false">IF(IsPro,IF(OR($C1884="",N($G1884)=0),"",IF(OR($C1884="Receipt",$C1884="Other Income",$C1884="Capital In",$C1884="Transfer In"),$G1884,0)),"")</f>
        <v/>
      </c>
      <c r="J1884" s="61" t="str">
        <f aca="false">IF(IsPro,IF(OR($C1884="",N($G1884)=0),"",IF(I1884=0,$G1884,0)),"")</f>
        <v/>
      </c>
      <c r="K1884" s="60" t="str">
        <f aca="false">IF(IsPro,IF($C1884="","",IF(AND(OR($C1884="Receipt",$C1884="Payment"),$D1884=""),"Party needed",IF(AND(OR($C1884="Expense",$C1884="Other Income"),$E1884=""),"Head needed",IF($F1884="","Account needed","OK")))),IF($C1884="","","PRO PLAN"))</f>
        <v/>
      </c>
    </row>
    <row r="1885" customFormat="false" ht="15" hidden="false" customHeight="false" outlineLevel="0" collapsed="false">
      <c r="A1885" s="55"/>
      <c r="B1885" s="56"/>
      <c r="C1885" s="56"/>
      <c r="D1885" s="56"/>
      <c r="E1885" s="56"/>
      <c r="F1885" s="56"/>
      <c r="G1885" s="58"/>
      <c r="H1885" s="56"/>
      <c r="I1885" s="61" t="str">
        <f aca="false">IF(IsPro,IF(OR($C1885="",N($G1885)=0),"",IF(OR($C1885="Receipt",$C1885="Other Income",$C1885="Capital In",$C1885="Transfer In"),$G1885,0)),"")</f>
        <v/>
      </c>
      <c r="J1885" s="61" t="str">
        <f aca="false">IF(IsPro,IF(OR($C1885="",N($G1885)=0),"",IF(I1885=0,$G1885,0)),"")</f>
        <v/>
      </c>
      <c r="K1885" s="60" t="str">
        <f aca="false">IF(IsPro,IF($C1885="","",IF(AND(OR($C1885="Receipt",$C1885="Payment"),$D1885=""),"Party needed",IF(AND(OR($C1885="Expense",$C1885="Other Income"),$E1885=""),"Head needed",IF($F1885="","Account needed","OK")))),IF($C1885="","","PRO PLAN"))</f>
        <v/>
      </c>
    </row>
    <row r="1886" customFormat="false" ht="15" hidden="false" customHeight="false" outlineLevel="0" collapsed="false">
      <c r="A1886" s="55"/>
      <c r="B1886" s="56"/>
      <c r="C1886" s="56"/>
      <c r="D1886" s="56"/>
      <c r="E1886" s="56"/>
      <c r="F1886" s="56"/>
      <c r="G1886" s="58"/>
      <c r="H1886" s="56"/>
      <c r="I1886" s="61" t="str">
        <f aca="false">IF(IsPro,IF(OR($C1886="",N($G1886)=0),"",IF(OR($C1886="Receipt",$C1886="Other Income",$C1886="Capital In",$C1886="Transfer In"),$G1886,0)),"")</f>
        <v/>
      </c>
      <c r="J1886" s="61" t="str">
        <f aca="false">IF(IsPro,IF(OR($C1886="",N($G1886)=0),"",IF(I1886=0,$G1886,0)),"")</f>
        <v/>
      </c>
      <c r="K1886" s="60" t="str">
        <f aca="false">IF(IsPro,IF($C1886="","",IF(AND(OR($C1886="Receipt",$C1886="Payment"),$D1886=""),"Party needed",IF(AND(OR($C1886="Expense",$C1886="Other Income"),$E1886=""),"Head needed",IF($F1886="","Account needed","OK")))),IF($C1886="","","PRO PLAN"))</f>
        <v/>
      </c>
    </row>
    <row r="1887" customFormat="false" ht="15" hidden="false" customHeight="false" outlineLevel="0" collapsed="false">
      <c r="A1887" s="55"/>
      <c r="B1887" s="56"/>
      <c r="C1887" s="56"/>
      <c r="D1887" s="56"/>
      <c r="E1887" s="56"/>
      <c r="F1887" s="56"/>
      <c r="G1887" s="58"/>
      <c r="H1887" s="56"/>
      <c r="I1887" s="61" t="str">
        <f aca="false">IF(IsPro,IF(OR($C1887="",N($G1887)=0),"",IF(OR($C1887="Receipt",$C1887="Other Income",$C1887="Capital In",$C1887="Transfer In"),$G1887,0)),"")</f>
        <v/>
      </c>
      <c r="J1887" s="61" t="str">
        <f aca="false">IF(IsPro,IF(OR($C1887="",N($G1887)=0),"",IF(I1887=0,$G1887,0)),"")</f>
        <v/>
      </c>
      <c r="K1887" s="60" t="str">
        <f aca="false">IF(IsPro,IF($C1887="","",IF(AND(OR($C1887="Receipt",$C1887="Payment"),$D1887=""),"Party needed",IF(AND(OR($C1887="Expense",$C1887="Other Income"),$E1887=""),"Head needed",IF($F1887="","Account needed","OK")))),IF($C1887="","","PRO PLAN"))</f>
        <v/>
      </c>
    </row>
    <row r="1888" customFormat="false" ht="15" hidden="false" customHeight="false" outlineLevel="0" collapsed="false">
      <c r="A1888" s="55"/>
      <c r="B1888" s="56"/>
      <c r="C1888" s="56"/>
      <c r="D1888" s="56"/>
      <c r="E1888" s="56"/>
      <c r="F1888" s="56"/>
      <c r="G1888" s="58"/>
      <c r="H1888" s="56"/>
      <c r="I1888" s="61" t="str">
        <f aca="false">IF(IsPro,IF(OR($C1888="",N($G1888)=0),"",IF(OR($C1888="Receipt",$C1888="Other Income",$C1888="Capital In",$C1888="Transfer In"),$G1888,0)),"")</f>
        <v/>
      </c>
      <c r="J1888" s="61" t="str">
        <f aca="false">IF(IsPro,IF(OR($C1888="",N($G1888)=0),"",IF(I1888=0,$G1888,0)),"")</f>
        <v/>
      </c>
      <c r="K1888" s="60" t="str">
        <f aca="false">IF(IsPro,IF($C1888="","",IF(AND(OR($C1888="Receipt",$C1888="Payment"),$D1888=""),"Party needed",IF(AND(OR($C1888="Expense",$C1888="Other Income"),$E1888=""),"Head needed",IF($F1888="","Account needed","OK")))),IF($C1888="","","PRO PLAN"))</f>
        <v/>
      </c>
    </row>
    <row r="1889" customFormat="false" ht="15" hidden="false" customHeight="false" outlineLevel="0" collapsed="false">
      <c r="A1889" s="55"/>
      <c r="B1889" s="56"/>
      <c r="C1889" s="56"/>
      <c r="D1889" s="56"/>
      <c r="E1889" s="56"/>
      <c r="F1889" s="56"/>
      <c r="G1889" s="58"/>
      <c r="H1889" s="56"/>
      <c r="I1889" s="61" t="str">
        <f aca="false">IF(IsPro,IF(OR($C1889="",N($G1889)=0),"",IF(OR($C1889="Receipt",$C1889="Other Income",$C1889="Capital In",$C1889="Transfer In"),$G1889,0)),"")</f>
        <v/>
      </c>
      <c r="J1889" s="61" t="str">
        <f aca="false">IF(IsPro,IF(OR($C1889="",N($G1889)=0),"",IF(I1889=0,$G1889,0)),"")</f>
        <v/>
      </c>
      <c r="K1889" s="60" t="str">
        <f aca="false">IF(IsPro,IF($C1889="","",IF(AND(OR($C1889="Receipt",$C1889="Payment"),$D1889=""),"Party needed",IF(AND(OR($C1889="Expense",$C1889="Other Income"),$E1889=""),"Head needed",IF($F1889="","Account needed","OK")))),IF($C1889="","","PRO PLAN"))</f>
        <v/>
      </c>
    </row>
    <row r="1890" customFormat="false" ht="15" hidden="false" customHeight="false" outlineLevel="0" collapsed="false">
      <c r="A1890" s="55"/>
      <c r="B1890" s="56"/>
      <c r="C1890" s="56"/>
      <c r="D1890" s="56"/>
      <c r="E1890" s="56"/>
      <c r="F1890" s="56"/>
      <c r="G1890" s="58"/>
      <c r="H1890" s="56"/>
      <c r="I1890" s="61" t="str">
        <f aca="false">IF(IsPro,IF(OR($C1890="",N($G1890)=0),"",IF(OR($C1890="Receipt",$C1890="Other Income",$C1890="Capital In",$C1890="Transfer In"),$G1890,0)),"")</f>
        <v/>
      </c>
      <c r="J1890" s="61" t="str">
        <f aca="false">IF(IsPro,IF(OR($C1890="",N($G1890)=0),"",IF(I1890=0,$G1890,0)),"")</f>
        <v/>
      </c>
      <c r="K1890" s="60" t="str">
        <f aca="false">IF(IsPro,IF($C1890="","",IF(AND(OR($C1890="Receipt",$C1890="Payment"),$D1890=""),"Party needed",IF(AND(OR($C1890="Expense",$C1890="Other Income"),$E1890=""),"Head needed",IF($F1890="","Account needed","OK")))),IF($C1890="","","PRO PLAN"))</f>
        <v/>
      </c>
    </row>
    <row r="1891" customFormat="false" ht="15" hidden="false" customHeight="false" outlineLevel="0" collapsed="false">
      <c r="A1891" s="55"/>
      <c r="B1891" s="56"/>
      <c r="C1891" s="56"/>
      <c r="D1891" s="56"/>
      <c r="E1891" s="56"/>
      <c r="F1891" s="56"/>
      <c r="G1891" s="58"/>
      <c r="H1891" s="56"/>
      <c r="I1891" s="61" t="str">
        <f aca="false">IF(IsPro,IF(OR($C1891="",N($G1891)=0),"",IF(OR($C1891="Receipt",$C1891="Other Income",$C1891="Capital In",$C1891="Transfer In"),$G1891,0)),"")</f>
        <v/>
      </c>
      <c r="J1891" s="61" t="str">
        <f aca="false">IF(IsPro,IF(OR($C1891="",N($G1891)=0),"",IF(I1891=0,$G1891,0)),"")</f>
        <v/>
      </c>
      <c r="K1891" s="60" t="str">
        <f aca="false">IF(IsPro,IF($C1891="","",IF(AND(OR($C1891="Receipt",$C1891="Payment"),$D1891=""),"Party needed",IF(AND(OR($C1891="Expense",$C1891="Other Income"),$E1891=""),"Head needed",IF($F1891="","Account needed","OK")))),IF($C1891="","","PRO PLAN"))</f>
        <v/>
      </c>
    </row>
    <row r="1892" customFormat="false" ht="15" hidden="false" customHeight="false" outlineLevel="0" collapsed="false">
      <c r="A1892" s="55"/>
      <c r="B1892" s="56"/>
      <c r="C1892" s="56"/>
      <c r="D1892" s="56"/>
      <c r="E1892" s="56"/>
      <c r="F1892" s="56"/>
      <c r="G1892" s="58"/>
      <c r="H1892" s="56"/>
      <c r="I1892" s="61" t="str">
        <f aca="false">IF(IsPro,IF(OR($C1892="",N($G1892)=0),"",IF(OR($C1892="Receipt",$C1892="Other Income",$C1892="Capital In",$C1892="Transfer In"),$G1892,0)),"")</f>
        <v/>
      </c>
      <c r="J1892" s="61" t="str">
        <f aca="false">IF(IsPro,IF(OR($C1892="",N($G1892)=0),"",IF(I1892=0,$G1892,0)),"")</f>
        <v/>
      </c>
      <c r="K1892" s="60" t="str">
        <f aca="false">IF(IsPro,IF($C1892="","",IF(AND(OR($C1892="Receipt",$C1892="Payment"),$D1892=""),"Party needed",IF(AND(OR($C1892="Expense",$C1892="Other Income"),$E1892=""),"Head needed",IF($F1892="","Account needed","OK")))),IF($C1892="","","PRO PLAN"))</f>
        <v/>
      </c>
    </row>
    <row r="1893" customFormat="false" ht="15" hidden="false" customHeight="false" outlineLevel="0" collapsed="false">
      <c r="A1893" s="55"/>
      <c r="B1893" s="56"/>
      <c r="C1893" s="56"/>
      <c r="D1893" s="56"/>
      <c r="E1893" s="56"/>
      <c r="F1893" s="56"/>
      <c r="G1893" s="58"/>
      <c r="H1893" s="56"/>
      <c r="I1893" s="61" t="str">
        <f aca="false">IF(IsPro,IF(OR($C1893="",N($G1893)=0),"",IF(OR($C1893="Receipt",$C1893="Other Income",$C1893="Capital In",$C1893="Transfer In"),$G1893,0)),"")</f>
        <v/>
      </c>
      <c r="J1893" s="61" t="str">
        <f aca="false">IF(IsPro,IF(OR($C1893="",N($G1893)=0),"",IF(I1893=0,$G1893,0)),"")</f>
        <v/>
      </c>
      <c r="K1893" s="60" t="str">
        <f aca="false">IF(IsPro,IF($C1893="","",IF(AND(OR($C1893="Receipt",$C1893="Payment"),$D1893=""),"Party needed",IF(AND(OR($C1893="Expense",$C1893="Other Income"),$E1893=""),"Head needed",IF($F1893="","Account needed","OK")))),IF($C1893="","","PRO PLAN"))</f>
        <v/>
      </c>
    </row>
    <row r="1894" customFormat="false" ht="15" hidden="false" customHeight="false" outlineLevel="0" collapsed="false">
      <c r="A1894" s="55"/>
      <c r="B1894" s="56"/>
      <c r="C1894" s="56"/>
      <c r="D1894" s="56"/>
      <c r="E1894" s="56"/>
      <c r="F1894" s="56"/>
      <c r="G1894" s="58"/>
      <c r="H1894" s="56"/>
      <c r="I1894" s="61" t="str">
        <f aca="false">IF(IsPro,IF(OR($C1894="",N($G1894)=0),"",IF(OR($C1894="Receipt",$C1894="Other Income",$C1894="Capital In",$C1894="Transfer In"),$G1894,0)),"")</f>
        <v/>
      </c>
      <c r="J1894" s="61" t="str">
        <f aca="false">IF(IsPro,IF(OR($C1894="",N($G1894)=0),"",IF(I1894=0,$G1894,0)),"")</f>
        <v/>
      </c>
      <c r="K1894" s="60" t="str">
        <f aca="false">IF(IsPro,IF($C1894="","",IF(AND(OR($C1894="Receipt",$C1894="Payment"),$D1894=""),"Party needed",IF(AND(OR($C1894="Expense",$C1894="Other Income"),$E1894=""),"Head needed",IF($F1894="","Account needed","OK")))),IF($C1894="","","PRO PLAN"))</f>
        <v/>
      </c>
    </row>
    <row r="1895" customFormat="false" ht="15" hidden="false" customHeight="false" outlineLevel="0" collapsed="false">
      <c r="A1895" s="55"/>
      <c r="B1895" s="56"/>
      <c r="C1895" s="56"/>
      <c r="D1895" s="56"/>
      <c r="E1895" s="56"/>
      <c r="F1895" s="56"/>
      <c r="G1895" s="58"/>
      <c r="H1895" s="56"/>
      <c r="I1895" s="61" t="str">
        <f aca="false">IF(IsPro,IF(OR($C1895="",N($G1895)=0),"",IF(OR($C1895="Receipt",$C1895="Other Income",$C1895="Capital In",$C1895="Transfer In"),$G1895,0)),"")</f>
        <v/>
      </c>
      <c r="J1895" s="61" t="str">
        <f aca="false">IF(IsPro,IF(OR($C1895="",N($G1895)=0),"",IF(I1895=0,$G1895,0)),"")</f>
        <v/>
      </c>
      <c r="K1895" s="60" t="str">
        <f aca="false">IF(IsPro,IF($C1895="","",IF(AND(OR($C1895="Receipt",$C1895="Payment"),$D1895=""),"Party needed",IF(AND(OR($C1895="Expense",$C1895="Other Income"),$E1895=""),"Head needed",IF($F1895="","Account needed","OK")))),IF($C1895="","","PRO PLAN"))</f>
        <v/>
      </c>
    </row>
    <row r="1896" customFormat="false" ht="15" hidden="false" customHeight="false" outlineLevel="0" collapsed="false">
      <c r="A1896" s="55"/>
      <c r="B1896" s="56"/>
      <c r="C1896" s="56"/>
      <c r="D1896" s="56"/>
      <c r="E1896" s="56"/>
      <c r="F1896" s="56"/>
      <c r="G1896" s="58"/>
      <c r="H1896" s="56"/>
      <c r="I1896" s="61" t="str">
        <f aca="false">IF(IsPro,IF(OR($C1896="",N($G1896)=0),"",IF(OR($C1896="Receipt",$C1896="Other Income",$C1896="Capital In",$C1896="Transfer In"),$G1896,0)),"")</f>
        <v/>
      </c>
      <c r="J1896" s="61" t="str">
        <f aca="false">IF(IsPro,IF(OR($C1896="",N($G1896)=0),"",IF(I1896=0,$G1896,0)),"")</f>
        <v/>
      </c>
      <c r="K1896" s="60" t="str">
        <f aca="false">IF(IsPro,IF($C1896="","",IF(AND(OR($C1896="Receipt",$C1896="Payment"),$D1896=""),"Party needed",IF(AND(OR($C1896="Expense",$C1896="Other Income"),$E1896=""),"Head needed",IF($F1896="","Account needed","OK")))),IF($C1896="","","PRO PLAN"))</f>
        <v/>
      </c>
    </row>
    <row r="1897" customFormat="false" ht="15" hidden="false" customHeight="false" outlineLevel="0" collapsed="false">
      <c r="A1897" s="55"/>
      <c r="B1897" s="56"/>
      <c r="C1897" s="56"/>
      <c r="D1897" s="56"/>
      <c r="E1897" s="56"/>
      <c r="F1897" s="56"/>
      <c r="G1897" s="58"/>
      <c r="H1897" s="56"/>
      <c r="I1897" s="61" t="str">
        <f aca="false">IF(IsPro,IF(OR($C1897="",N($G1897)=0),"",IF(OR($C1897="Receipt",$C1897="Other Income",$C1897="Capital In",$C1897="Transfer In"),$G1897,0)),"")</f>
        <v/>
      </c>
      <c r="J1897" s="61" t="str">
        <f aca="false">IF(IsPro,IF(OR($C1897="",N($G1897)=0),"",IF(I1897=0,$G1897,0)),"")</f>
        <v/>
      </c>
      <c r="K1897" s="60" t="str">
        <f aca="false">IF(IsPro,IF($C1897="","",IF(AND(OR($C1897="Receipt",$C1897="Payment"),$D1897=""),"Party needed",IF(AND(OR($C1897="Expense",$C1897="Other Income"),$E1897=""),"Head needed",IF($F1897="","Account needed","OK")))),IF($C1897="","","PRO PLAN"))</f>
        <v/>
      </c>
    </row>
    <row r="1898" customFormat="false" ht="15" hidden="false" customHeight="false" outlineLevel="0" collapsed="false">
      <c r="A1898" s="55"/>
      <c r="B1898" s="56"/>
      <c r="C1898" s="56"/>
      <c r="D1898" s="56"/>
      <c r="E1898" s="56"/>
      <c r="F1898" s="56"/>
      <c r="G1898" s="58"/>
      <c r="H1898" s="56"/>
      <c r="I1898" s="61" t="str">
        <f aca="false">IF(IsPro,IF(OR($C1898="",N($G1898)=0),"",IF(OR($C1898="Receipt",$C1898="Other Income",$C1898="Capital In",$C1898="Transfer In"),$G1898,0)),"")</f>
        <v/>
      </c>
      <c r="J1898" s="61" t="str">
        <f aca="false">IF(IsPro,IF(OR($C1898="",N($G1898)=0),"",IF(I1898=0,$G1898,0)),"")</f>
        <v/>
      </c>
      <c r="K1898" s="60" t="str">
        <f aca="false">IF(IsPro,IF($C1898="","",IF(AND(OR($C1898="Receipt",$C1898="Payment"),$D1898=""),"Party needed",IF(AND(OR($C1898="Expense",$C1898="Other Income"),$E1898=""),"Head needed",IF($F1898="","Account needed","OK")))),IF($C1898="","","PRO PLAN"))</f>
        <v/>
      </c>
    </row>
    <row r="1899" customFormat="false" ht="15" hidden="false" customHeight="false" outlineLevel="0" collapsed="false">
      <c r="A1899" s="55"/>
      <c r="B1899" s="56"/>
      <c r="C1899" s="56"/>
      <c r="D1899" s="56"/>
      <c r="E1899" s="56"/>
      <c r="F1899" s="56"/>
      <c r="G1899" s="58"/>
      <c r="H1899" s="56"/>
      <c r="I1899" s="61" t="str">
        <f aca="false">IF(IsPro,IF(OR($C1899="",N($G1899)=0),"",IF(OR($C1899="Receipt",$C1899="Other Income",$C1899="Capital In",$C1899="Transfer In"),$G1899,0)),"")</f>
        <v/>
      </c>
      <c r="J1899" s="61" t="str">
        <f aca="false">IF(IsPro,IF(OR($C1899="",N($G1899)=0),"",IF(I1899=0,$G1899,0)),"")</f>
        <v/>
      </c>
      <c r="K1899" s="60" t="str">
        <f aca="false">IF(IsPro,IF($C1899="","",IF(AND(OR($C1899="Receipt",$C1899="Payment"),$D1899=""),"Party needed",IF(AND(OR($C1899="Expense",$C1899="Other Income"),$E1899=""),"Head needed",IF($F1899="","Account needed","OK")))),IF($C1899="","","PRO PLAN"))</f>
        <v/>
      </c>
    </row>
    <row r="1900" customFormat="false" ht="15" hidden="false" customHeight="false" outlineLevel="0" collapsed="false">
      <c r="A1900" s="55"/>
      <c r="B1900" s="56"/>
      <c r="C1900" s="56"/>
      <c r="D1900" s="56"/>
      <c r="E1900" s="56"/>
      <c r="F1900" s="56"/>
      <c r="G1900" s="58"/>
      <c r="H1900" s="56"/>
      <c r="I1900" s="61" t="str">
        <f aca="false">IF(IsPro,IF(OR($C1900="",N($G1900)=0),"",IF(OR($C1900="Receipt",$C1900="Other Income",$C1900="Capital In",$C1900="Transfer In"),$G1900,0)),"")</f>
        <v/>
      </c>
      <c r="J1900" s="61" t="str">
        <f aca="false">IF(IsPro,IF(OR($C1900="",N($G1900)=0),"",IF(I1900=0,$G1900,0)),"")</f>
        <v/>
      </c>
      <c r="K1900" s="60" t="str">
        <f aca="false">IF(IsPro,IF($C1900="","",IF(AND(OR($C1900="Receipt",$C1900="Payment"),$D1900=""),"Party needed",IF(AND(OR($C1900="Expense",$C1900="Other Income"),$E1900=""),"Head needed",IF($F1900="","Account needed","OK")))),IF($C1900="","","PRO PLAN"))</f>
        <v/>
      </c>
    </row>
    <row r="1901" customFormat="false" ht="15" hidden="false" customHeight="false" outlineLevel="0" collapsed="false">
      <c r="A1901" s="55"/>
      <c r="B1901" s="56"/>
      <c r="C1901" s="56"/>
      <c r="D1901" s="56"/>
      <c r="E1901" s="56"/>
      <c r="F1901" s="56"/>
      <c r="G1901" s="58"/>
      <c r="H1901" s="56"/>
      <c r="I1901" s="61" t="str">
        <f aca="false">IF(IsPro,IF(OR($C1901="",N($G1901)=0),"",IF(OR($C1901="Receipt",$C1901="Other Income",$C1901="Capital In",$C1901="Transfer In"),$G1901,0)),"")</f>
        <v/>
      </c>
      <c r="J1901" s="61" t="str">
        <f aca="false">IF(IsPro,IF(OR($C1901="",N($G1901)=0),"",IF(I1901=0,$G1901,0)),"")</f>
        <v/>
      </c>
      <c r="K1901" s="60" t="str">
        <f aca="false">IF(IsPro,IF($C1901="","",IF(AND(OR($C1901="Receipt",$C1901="Payment"),$D1901=""),"Party needed",IF(AND(OR($C1901="Expense",$C1901="Other Income"),$E1901=""),"Head needed",IF($F1901="","Account needed","OK")))),IF($C1901="","","PRO PLAN"))</f>
        <v/>
      </c>
    </row>
    <row r="1902" customFormat="false" ht="15" hidden="false" customHeight="false" outlineLevel="0" collapsed="false">
      <c r="A1902" s="55"/>
      <c r="B1902" s="56"/>
      <c r="C1902" s="56"/>
      <c r="D1902" s="56"/>
      <c r="E1902" s="56"/>
      <c r="F1902" s="56"/>
      <c r="G1902" s="58"/>
      <c r="H1902" s="56"/>
      <c r="I1902" s="61" t="str">
        <f aca="false">IF(IsPro,IF(OR($C1902="",N($G1902)=0),"",IF(OR($C1902="Receipt",$C1902="Other Income",$C1902="Capital In",$C1902="Transfer In"),$G1902,0)),"")</f>
        <v/>
      </c>
      <c r="J1902" s="61" t="str">
        <f aca="false">IF(IsPro,IF(OR($C1902="",N($G1902)=0),"",IF(I1902=0,$G1902,0)),"")</f>
        <v/>
      </c>
      <c r="K1902" s="60" t="str">
        <f aca="false">IF(IsPro,IF($C1902="","",IF(AND(OR($C1902="Receipt",$C1902="Payment"),$D1902=""),"Party needed",IF(AND(OR($C1902="Expense",$C1902="Other Income"),$E1902=""),"Head needed",IF($F1902="","Account needed","OK")))),IF($C1902="","","PRO PLAN"))</f>
        <v/>
      </c>
    </row>
    <row r="1903" customFormat="false" ht="15" hidden="false" customHeight="false" outlineLevel="0" collapsed="false">
      <c r="A1903" s="55"/>
      <c r="B1903" s="56"/>
      <c r="C1903" s="56"/>
      <c r="D1903" s="56"/>
      <c r="E1903" s="56"/>
      <c r="F1903" s="56"/>
      <c r="G1903" s="58"/>
      <c r="H1903" s="56"/>
      <c r="I1903" s="61" t="str">
        <f aca="false">IF(IsPro,IF(OR($C1903="",N($G1903)=0),"",IF(OR($C1903="Receipt",$C1903="Other Income",$C1903="Capital In",$C1903="Transfer In"),$G1903,0)),"")</f>
        <v/>
      </c>
      <c r="J1903" s="61" t="str">
        <f aca="false">IF(IsPro,IF(OR($C1903="",N($G1903)=0),"",IF(I1903=0,$G1903,0)),"")</f>
        <v/>
      </c>
      <c r="K1903" s="60" t="str">
        <f aca="false">IF(IsPro,IF($C1903="","",IF(AND(OR($C1903="Receipt",$C1903="Payment"),$D1903=""),"Party needed",IF(AND(OR($C1903="Expense",$C1903="Other Income"),$E1903=""),"Head needed",IF($F1903="","Account needed","OK")))),IF($C1903="","","PRO PLAN"))</f>
        <v/>
      </c>
    </row>
    <row r="1904" customFormat="false" ht="15" hidden="false" customHeight="false" outlineLevel="0" collapsed="false">
      <c r="A1904" s="55"/>
      <c r="B1904" s="56"/>
      <c r="C1904" s="56"/>
      <c r="D1904" s="56"/>
      <c r="E1904" s="56"/>
      <c r="F1904" s="56"/>
      <c r="G1904" s="58"/>
      <c r="H1904" s="56"/>
      <c r="I1904" s="61" t="str">
        <f aca="false">IF(IsPro,IF(OR($C1904="",N($G1904)=0),"",IF(OR($C1904="Receipt",$C1904="Other Income",$C1904="Capital In",$C1904="Transfer In"),$G1904,0)),"")</f>
        <v/>
      </c>
      <c r="J1904" s="61" t="str">
        <f aca="false">IF(IsPro,IF(OR($C1904="",N($G1904)=0),"",IF(I1904=0,$G1904,0)),"")</f>
        <v/>
      </c>
      <c r="K1904" s="60" t="str">
        <f aca="false">IF(IsPro,IF($C1904="","",IF(AND(OR($C1904="Receipt",$C1904="Payment"),$D1904=""),"Party needed",IF(AND(OR($C1904="Expense",$C1904="Other Income"),$E1904=""),"Head needed",IF($F1904="","Account needed","OK")))),IF($C1904="","","PRO PLAN"))</f>
        <v/>
      </c>
    </row>
    <row r="1905" customFormat="false" ht="15" hidden="false" customHeight="false" outlineLevel="0" collapsed="false">
      <c r="A1905" s="55"/>
      <c r="B1905" s="56"/>
      <c r="C1905" s="56"/>
      <c r="D1905" s="56"/>
      <c r="E1905" s="56"/>
      <c r="F1905" s="56"/>
      <c r="G1905" s="58"/>
      <c r="H1905" s="56"/>
      <c r="I1905" s="61" t="str">
        <f aca="false">IF(IsPro,IF(OR($C1905="",N($G1905)=0),"",IF(OR($C1905="Receipt",$C1905="Other Income",$C1905="Capital In",$C1905="Transfer In"),$G1905,0)),"")</f>
        <v/>
      </c>
      <c r="J1905" s="61" t="str">
        <f aca="false">IF(IsPro,IF(OR($C1905="",N($G1905)=0),"",IF(I1905=0,$G1905,0)),"")</f>
        <v/>
      </c>
      <c r="K1905" s="60" t="str">
        <f aca="false">IF(IsPro,IF($C1905="","",IF(AND(OR($C1905="Receipt",$C1905="Payment"),$D1905=""),"Party needed",IF(AND(OR($C1905="Expense",$C1905="Other Income"),$E1905=""),"Head needed",IF($F1905="","Account needed","OK")))),IF($C1905="","","PRO PLAN"))</f>
        <v/>
      </c>
    </row>
    <row r="1906" customFormat="false" ht="15" hidden="false" customHeight="false" outlineLevel="0" collapsed="false">
      <c r="A1906" s="55"/>
      <c r="B1906" s="56"/>
      <c r="C1906" s="56"/>
      <c r="D1906" s="56"/>
      <c r="E1906" s="56"/>
      <c r="F1906" s="56"/>
      <c r="G1906" s="58"/>
      <c r="H1906" s="56"/>
      <c r="I1906" s="61" t="str">
        <f aca="false">IF(IsPro,IF(OR($C1906="",N($G1906)=0),"",IF(OR($C1906="Receipt",$C1906="Other Income",$C1906="Capital In",$C1906="Transfer In"),$G1906,0)),"")</f>
        <v/>
      </c>
      <c r="J1906" s="61" t="str">
        <f aca="false">IF(IsPro,IF(OR($C1906="",N($G1906)=0),"",IF(I1906=0,$G1906,0)),"")</f>
        <v/>
      </c>
      <c r="K1906" s="60" t="str">
        <f aca="false">IF(IsPro,IF($C1906="","",IF(AND(OR($C1906="Receipt",$C1906="Payment"),$D1906=""),"Party needed",IF(AND(OR($C1906="Expense",$C1906="Other Income"),$E1906=""),"Head needed",IF($F1906="","Account needed","OK")))),IF($C1906="","","PRO PLAN"))</f>
        <v/>
      </c>
    </row>
    <row r="1907" customFormat="false" ht="15" hidden="false" customHeight="false" outlineLevel="0" collapsed="false">
      <c r="A1907" s="55"/>
      <c r="B1907" s="56"/>
      <c r="C1907" s="56"/>
      <c r="D1907" s="56"/>
      <c r="E1907" s="56"/>
      <c r="F1907" s="56"/>
      <c r="G1907" s="58"/>
      <c r="H1907" s="56"/>
      <c r="I1907" s="61" t="str">
        <f aca="false">IF(IsPro,IF(OR($C1907="",N($G1907)=0),"",IF(OR($C1907="Receipt",$C1907="Other Income",$C1907="Capital In",$C1907="Transfer In"),$G1907,0)),"")</f>
        <v/>
      </c>
      <c r="J1907" s="61" t="str">
        <f aca="false">IF(IsPro,IF(OR($C1907="",N($G1907)=0),"",IF(I1907=0,$G1907,0)),"")</f>
        <v/>
      </c>
      <c r="K1907" s="60" t="str">
        <f aca="false">IF(IsPro,IF($C1907="","",IF(AND(OR($C1907="Receipt",$C1907="Payment"),$D1907=""),"Party needed",IF(AND(OR($C1907="Expense",$C1907="Other Income"),$E1907=""),"Head needed",IF($F1907="","Account needed","OK")))),IF($C1907="","","PRO PLAN"))</f>
        <v/>
      </c>
    </row>
    <row r="1908" customFormat="false" ht="15" hidden="false" customHeight="false" outlineLevel="0" collapsed="false">
      <c r="A1908" s="55"/>
      <c r="B1908" s="56"/>
      <c r="C1908" s="56"/>
      <c r="D1908" s="56"/>
      <c r="E1908" s="56"/>
      <c r="F1908" s="56"/>
      <c r="G1908" s="58"/>
      <c r="H1908" s="56"/>
      <c r="I1908" s="61" t="str">
        <f aca="false">IF(IsPro,IF(OR($C1908="",N($G1908)=0),"",IF(OR($C1908="Receipt",$C1908="Other Income",$C1908="Capital In",$C1908="Transfer In"),$G1908,0)),"")</f>
        <v/>
      </c>
      <c r="J1908" s="61" t="str">
        <f aca="false">IF(IsPro,IF(OR($C1908="",N($G1908)=0),"",IF(I1908=0,$G1908,0)),"")</f>
        <v/>
      </c>
      <c r="K1908" s="60" t="str">
        <f aca="false">IF(IsPro,IF($C1908="","",IF(AND(OR($C1908="Receipt",$C1908="Payment"),$D1908=""),"Party needed",IF(AND(OR($C1908="Expense",$C1908="Other Income"),$E1908=""),"Head needed",IF($F1908="","Account needed","OK")))),IF($C1908="","","PRO PLAN"))</f>
        <v/>
      </c>
    </row>
    <row r="1909" customFormat="false" ht="15" hidden="false" customHeight="false" outlineLevel="0" collapsed="false">
      <c r="A1909" s="55"/>
      <c r="B1909" s="56"/>
      <c r="C1909" s="56"/>
      <c r="D1909" s="56"/>
      <c r="E1909" s="56"/>
      <c r="F1909" s="56"/>
      <c r="G1909" s="58"/>
      <c r="H1909" s="56"/>
      <c r="I1909" s="61" t="str">
        <f aca="false">IF(IsPro,IF(OR($C1909="",N($G1909)=0),"",IF(OR($C1909="Receipt",$C1909="Other Income",$C1909="Capital In",$C1909="Transfer In"),$G1909,0)),"")</f>
        <v/>
      </c>
      <c r="J1909" s="61" t="str">
        <f aca="false">IF(IsPro,IF(OR($C1909="",N($G1909)=0),"",IF(I1909=0,$G1909,0)),"")</f>
        <v/>
      </c>
      <c r="K1909" s="60" t="str">
        <f aca="false">IF(IsPro,IF($C1909="","",IF(AND(OR($C1909="Receipt",$C1909="Payment"),$D1909=""),"Party needed",IF(AND(OR($C1909="Expense",$C1909="Other Income"),$E1909=""),"Head needed",IF($F1909="","Account needed","OK")))),IF($C1909="","","PRO PLAN"))</f>
        <v/>
      </c>
    </row>
    <row r="1910" customFormat="false" ht="15" hidden="false" customHeight="false" outlineLevel="0" collapsed="false">
      <c r="A1910" s="55"/>
      <c r="B1910" s="56"/>
      <c r="C1910" s="56"/>
      <c r="D1910" s="56"/>
      <c r="E1910" s="56"/>
      <c r="F1910" s="56"/>
      <c r="G1910" s="58"/>
      <c r="H1910" s="56"/>
      <c r="I1910" s="61" t="str">
        <f aca="false">IF(IsPro,IF(OR($C1910="",N($G1910)=0),"",IF(OR($C1910="Receipt",$C1910="Other Income",$C1910="Capital In",$C1910="Transfer In"),$G1910,0)),"")</f>
        <v/>
      </c>
      <c r="J1910" s="61" t="str">
        <f aca="false">IF(IsPro,IF(OR($C1910="",N($G1910)=0),"",IF(I1910=0,$G1910,0)),"")</f>
        <v/>
      </c>
      <c r="K1910" s="60" t="str">
        <f aca="false">IF(IsPro,IF($C1910="","",IF(AND(OR($C1910="Receipt",$C1910="Payment"),$D1910=""),"Party needed",IF(AND(OR($C1910="Expense",$C1910="Other Income"),$E1910=""),"Head needed",IF($F1910="","Account needed","OK")))),IF($C1910="","","PRO PLAN"))</f>
        <v/>
      </c>
    </row>
    <row r="1911" customFormat="false" ht="15" hidden="false" customHeight="false" outlineLevel="0" collapsed="false">
      <c r="A1911" s="55"/>
      <c r="B1911" s="56"/>
      <c r="C1911" s="56"/>
      <c r="D1911" s="56"/>
      <c r="E1911" s="56"/>
      <c r="F1911" s="56"/>
      <c r="G1911" s="58"/>
      <c r="H1911" s="56"/>
      <c r="I1911" s="61" t="str">
        <f aca="false">IF(IsPro,IF(OR($C1911="",N($G1911)=0),"",IF(OR($C1911="Receipt",$C1911="Other Income",$C1911="Capital In",$C1911="Transfer In"),$G1911,0)),"")</f>
        <v/>
      </c>
      <c r="J1911" s="61" t="str">
        <f aca="false">IF(IsPro,IF(OR($C1911="",N($G1911)=0),"",IF(I1911=0,$G1911,0)),"")</f>
        <v/>
      </c>
      <c r="K1911" s="60" t="str">
        <f aca="false">IF(IsPro,IF($C1911="","",IF(AND(OR($C1911="Receipt",$C1911="Payment"),$D1911=""),"Party needed",IF(AND(OR($C1911="Expense",$C1911="Other Income"),$E1911=""),"Head needed",IF($F1911="","Account needed","OK")))),IF($C1911="","","PRO PLAN"))</f>
        <v/>
      </c>
    </row>
    <row r="1912" customFormat="false" ht="15" hidden="false" customHeight="false" outlineLevel="0" collapsed="false">
      <c r="A1912" s="55"/>
      <c r="B1912" s="56"/>
      <c r="C1912" s="56"/>
      <c r="D1912" s="56"/>
      <c r="E1912" s="56"/>
      <c r="F1912" s="56"/>
      <c r="G1912" s="58"/>
      <c r="H1912" s="56"/>
      <c r="I1912" s="61" t="str">
        <f aca="false">IF(IsPro,IF(OR($C1912="",N($G1912)=0),"",IF(OR($C1912="Receipt",$C1912="Other Income",$C1912="Capital In",$C1912="Transfer In"),$G1912,0)),"")</f>
        <v/>
      </c>
      <c r="J1912" s="61" t="str">
        <f aca="false">IF(IsPro,IF(OR($C1912="",N($G1912)=0),"",IF(I1912=0,$G1912,0)),"")</f>
        <v/>
      </c>
      <c r="K1912" s="60" t="str">
        <f aca="false">IF(IsPro,IF($C1912="","",IF(AND(OR($C1912="Receipt",$C1912="Payment"),$D1912=""),"Party needed",IF(AND(OR($C1912="Expense",$C1912="Other Income"),$E1912=""),"Head needed",IF($F1912="","Account needed","OK")))),IF($C1912="","","PRO PLAN"))</f>
        <v/>
      </c>
    </row>
    <row r="1913" customFormat="false" ht="15" hidden="false" customHeight="false" outlineLevel="0" collapsed="false">
      <c r="A1913" s="55"/>
      <c r="B1913" s="56"/>
      <c r="C1913" s="56"/>
      <c r="D1913" s="56"/>
      <c r="E1913" s="56"/>
      <c r="F1913" s="56"/>
      <c r="G1913" s="58"/>
      <c r="H1913" s="56"/>
      <c r="I1913" s="61" t="str">
        <f aca="false">IF(IsPro,IF(OR($C1913="",N($G1913)=0),"",IF(OR($C1913="Receipt",$C1913="Other Income",$C1913="Capital In",$C1913="Transfer In"),$G1913,0)),"")</f>
        <v/>
      </c>
      <c r="J1913" s="61" t="str">
        <f aca="false">IF(IsPro,IF(OR($C1913="",N($G1913)=0),"",IF(I1913=0,$G1913,0)),"")</f>
        <v/>
      </c>
      <c r="K1913" s="60" t="str">
        <f aca="false">IF(IsPro,IF($C1913="","",IF(AND(OR($C1913="Receipt",$C1913="Payment"),$D1913=""),"Party needed",IF(AND(OR($C1913="Expense",$C1913="Other Income"),$E1913=""),"Head needed",IF($F1913="","Account needed","OK")))),IF($C1913="","","PRO PLAN"))</f>
        <v/>
      </c>
    </row>
    <row r="1914" customFormat="false" ht="15" hidden="false" customHeight="false" outlineLevel="0" collapsed="false">
      <c r="A1914" s="55"/>
      <c r="B1914" s="56"/>
      <c r="C1914" s="56"/>
      <c r="D1914" s="56"/>
      <c r="E1914" s="56"/>
      <c r="F1914" s="56"/>
      <c r="G1914" s="58"/>
      <c r="H1914" s="56"/>
      <c r="I1914" s="61" t="str">
        <f aca="false">IF(IsPro,IF(OR($C1914="",N($G1914)=0),"",IF(OR($C1914="Receipt",$C1914="Other Income",$C1914="Capital In",$C1914="Transfer In"),$G1914,0)),"")</f>
        <v/>
      </c>
      <c r="J1914" s="61" t="str">
        <f aca="false">IF(IsPro,IF(OR($C1914="",N($G1914)=0),"",IF(I1914=0,$G1914,0)),"")</f>
        <v/>
      </c>
      <c r="K1914" s="60" t="str">
        <f aca="false">IF(IsPro,IF($C1914="","",IF(AND(OR($C1914="Receipt",$C1914="Payment"),$D1914=""),"Party needed",IF(AND(OR($C1914="Expense",$C1914="Other Income"),$E1914=""),"Head needed",IF($F1914="","Account needed","OK")))),IF($C1914="","","PRO PLAN"))</f>
        <v/>
      </c>
    </row>
    <row r="1915" customFormat="false" ht="15" hidden="false" customHeight="false" outlineLevel="0" collapsed="false">
      <c r="A1915" s="55"/>
      <c r="B1915" s="56"/>
      <c r="C1915" s="56"/>
      <c r="D1915" s="56"/>
      <c r="E1915" s="56"/>
      <c r="F1915" s="56"/>
      <c r="G1915" s="58"/>
      <c r="H1915" s="56"/>
      <c r="I1915" s="61" t="str">
        <f aca="false">IF(IsPro,IF(OR($C1915="",N($G1915)=0),"",IF(OR($C1915="Receipt",$C1915="Other Income",$C1915="Capital In",$C1915="Transfer In"),$G1915,0)),"")</f>
        <v/>
      </c>
      <c r="J1915" s="61" t="str">
        <f aca="false">IF(IsPro,IF(OR($C1915="",N($G1915)=0),"",IF(I1915=0,$G1915,0)),"")</f>
        <v/>
      </c>
      <c r="K1915" s="60" t="str">
        <f aca="false">IF(IsPro,IF($C1915="","",IF(AND(OR($C1915="Receipt",$C1915="Payment"),$D1915=""),"Party needed",IF(AND(OR($C1915="Expense",$C1915="Other Income"),$E1915=""),"Head needed",IF($F1915="","Account needed","OK")))),IF($C1915="","","PRO PLAN"))</f>
        <v/>
      </c>
    </row>
    <row r="1916" customFormat="false" ht="15" hidden="false" customHeight="false" outlineLevel="0" collapsed="false">
      <c r="A1916" s="55"/>
      <c r="B1916" s="56"/>
      <c r="C1916" s="56"/>
      <c r="D1916" s="56"/>
      <c r="E1916" s="56"/>
      <c r="F1916" s="56"/>
      <c r="G1916" s="58"/>
      <c r="H1916" s="56"/>
      <c r="I1916" s="61" t="str">
        <f aca="false">IF(IsPro,IF(OR($C1916="",N($G1916)=0),"",IF(OR($C1916="Receipt",$C1916="Other Income",$C1916="Capital In",$C1916="Transfer In"),$G1916,0)),"")</f>
        <v/>
      </c>
      <c r="J1916" s="61" t="str">
        <f aca="false">IF(IsPro,IF(OR($C1916="",N($G1916)=0),"",IF(I1916=0,$G1916,0)),"")</f>
        <v/>
      </c>
      <c r="K1916" s="60" t="str">
        <f aca="false">IF(IsPro,IF($C1916="","",IF(AND(OR($C1916="Receipt",$C1916="Payment"),$D1916=""),"Party needed",IF(AND(OR($C1916="Expense",$C1916="Other Income"),$E1916=""),"Head needed",IF($F1916="","Account needed","OK")))),IF($C1916="","","PRO PLAN"))</f>
        <v/>
      </c>
    </row>
    <row r="1917" customFormat="false" ht="15" hidden="false" customHeight="false" outlineLevel="0" collapsed="false">
      <c r="A1917" s="55"/>
      <c r="B1917" s="56"/>
      <c r="C1917" s="56"/>
      <c r="D1917" s="56"/>
      <c r="E1917" s="56"/>
      <c r="F1917" s="56"/>
      <c r="G1917" s="58"/>
      <c r="H1917" s="56"/>
      <c r="I1917" s="61" t="str">
        <f aca="false">IF(IsPro,IF(OR($C1917="",N($G1917)=0),"",IF(OR($C1917="Receipt",$C1917="Other Income",$C1917="Capital In",$C1917="Transfer In"),$G1917,0)),"")</f>
        <v/>
      </c>
      <c r="J1917" s="61" t="str">
        <f aca="false">IF(IsPro,IF(OR($C1917="",N($G1917)=0),"",IF(I1917=0,$G1917,0)),"")</f>
        <v/>
      </c>
      <c r="K1917" s="60" t="str">
        <f aca="false">IF(IsPro,IF($C1917="","",IF(AND(OR($C1917="Receipt",$C1917="Payment"),$D1917=""),"Party needed",IF(AND(OR($C1917="Expense",$C1917="Other Income"),$E1917=""),"Head needed",IF($F1917="","Account needed","OK")))),IF($C1917="","","PRO PLAN"))</f>
        <v/>
      </c>
    </row>
    <row r="1918" customFormat="false" ht="15" hidden="false" customHeight="false" outlineLevel="0" collapsed="false">
      <c r="A1918" s="55"/>
      <c r="B1918" s="56"/>
      <c r="C1918" s="56"/>
      <c r="D1918" s="56"/>
      <c r="E1918" s="56"/>
      <c r="F1918" s="56"/>
      <c r="G1918" s="58"/>
      <c r="H1918" s="56"/>
      <c r="I1918" s="61" t="str">
        <f aca="false">IF(IsPro,IF(OR($C1918="",N($G1918)=0),"",IF(OR($C1918="Receipt",$C1918="Other Income",$C1918="Capital In",$C1918="Transfer In"),$G1918,0)),"")</f>
        <v/>
      </c>
      <c r="J1918" s="61" t="str">
        <f aca="false">IF(IsPro,IF(OR($C1918="",N($G1918)=0),"",IF(I1918=0,$G1918,0)),"")</f>
        <v/>
      </c>
      <c r="K1918" s="60" t="str">
        <f aca="false">IF(IsPro,IF($C1918="","",IF(AND(OR($C1918="Receipt",$C1918="Payment"),$D1918=""),"Party needed",IF(AND(OR($C1918="Expense",$C1918="Other Income"),$E1918=""),"Head needed",IF($F1918="","Account needed","OK")))),IF($C1918="","","PRO PLAN"))</f>
        <v/>
      </c>
    </row>
    <row r="1919" customFormat="false" ht="15" hidden="false" customHeight="false" outlineLevel="0" collapsed="false">
      <c r="A1919" s="55"/>
      <c r="B1919" s="56"/>
      <c r="C1919" s="56"/>
      <c r="D1919" s="56"/>
      <c r="E1919" s="56"/>
      <c r="F1919" s="56"/>
      <c r="G1919" s="58"/>
      <c r="H1919" s="56"/>
      <c r="I1919" s="61" t="str">
        <f aca="false">IF(IsPro,IF(OR($C1919="",N($G1919)=0),"",IF(OR($C1919="Receipt",$C1919="Other Income",$C1919="Capital In",$C1919="Transfer In"),$G1919,0)),"")</f>
        <v/>
      </c>
      <c r="J1919" s="61" t="str">
        <f aca="false">IF(IsPro,IF(OR($C1919="",N($G1919)=0),"",IF(I1919=0,$G1919,0)),"")</f>
        <v/>
      </c>
      <c r="K1919" s="60" t="str">
        <f aca="false">IF(IsPro,IF($C1919="","",IF(AND(OR($C1919="Receipt",$C1919="Payment"),$D1919=""),"Party needed",IF(AND(OR($C1919="Expense",$C1919="Other Income"),$E1919=""),"Head needed",IF($F1919="","Account needed","OK")))),IF($C1919="","","PRO PLAN"))</f>
        <v/>
      </c>
    </row>
    <row r="1920" customFormat="false" ht="15" hidden="false" customHeight="false" outlineLevel="0" collapsed="false">
      <c r="A1920" s="55"/>
      <c r="B1920" s="56"/>
      <c r="C1920" s="56"/>
      <c r="D1920" s="56"/>
      <c r="E1920" s="56"/>
      <c r="F1920" s="56"/>
      <c r="G1920" s="58"/>
      <c r="H1920" s="56"/>
      <c r="I1920" s="61" t="str">
        <f aca="false">IF(IsPro,IF(OR($C1920="",N($G1920)=0),"",IF(OR($C1920="Receipt",$C1920="Other Income",$C1920="Capital In",$C1920="Transfer In"),$G1920,0)),"")</f>
        <v/>
      </c>
      <c r="J1920" s="61" t="str">
        <f aca="false">IF(IsPro,IF(OR($C1920="",N($G1920)=0),"",IF(I1920=0,$G1920,0)),"")</f>
        <v/>
      </c>
      <c r="K1920" s="60" t="str">
        <f aca="false">IF(IsPro,IF($C1920="","",IF(AND(OR($C1920="Receipt",$C1920="Payment"),$D1920=""),"Party needed",IF(AND(OR($C1920="Expense",$C1920="Other Income"),$E1920=""),"Head needed",IF($F1920="","Account needed","OK")))),IF($C1920="","","PRO PLAN"))</f>
        <v/>
      </c>
    </row>
    <row r="1921" customFormat="false" ht="15" hidden="false" customHeight="false" outlineLevel="0" collapsed="false">
      <c r="A1921" s="55"/>
      <c r="B1921" s="56"/>
      <c r="C1921" s="56"/>
      <c r="D1921" s="56"/>
      <c r="E1921" s="56"/>
      <c r="F1921" s="56"/>
      <c r="G1921" s="58"/>
      <c r="H1921" s="56"/>
      <c r="I1921" s="61" t="str">
        <f aca="false">IF(IsPro,IF(OR($C1921="",N($G1921)=0),"",IF(OR($C1921="Receipt",$C1921="Other Income",$C1921="Capital In",$C1921="Transfer In"),$G1921,0)),"")</f>
        <v/>
      </c>
      <c r="J1921" s="61" t="str">
        <f aca="false">IF(IsPro,IF(OR($C1921="",N($G1921)=0),"",IF(I1921=0,$G1921,0)),"")</f>
        <v/>
      </c>
      <c r="K1921" s="60" t="str">
        <f aca="false">IF(IsPro,IF($C1921="","",IF(AND(OR($C1921="Receipt",$C1921="Payment"),$D1921=""),"Party needed",IF(AND(OR($C1921="Expense",$C1921="Other Income"),$E1921=""),"Head needed",IF($F1921="","Account needed","OK")))),IF($C1921="","","PRO PLAN"))</f>
        <v/>
      </c>
    </row>
    <row r="1922" customFormat="false" ht="15" hidden="false" customHeight="false" outlineLevel="0" collapsed="false">
      <c r="A1922" s="55"/>
      <c r="B1922" s="56"/>
      <c r="C1922" s="56"/>
      <c r="D1922" s="56"/>
      <c r="E1922" s="56"/>
      <c r="F1922" s="56"/>
      <c r="G1922" s="58"/>
      <c r="H1922" s="56"/>
      <c r="I1922" s="61" t="str">
        <f aca="false">IF(IsPro,IF(OR($C1922="",N($G1922)=0),"",IF(OR($C1922="Receipt",$C1922="Other Income",$C1922="Capital In",$C1922="Transfer In"),$G1922,0)),"")</f>
        <v/>
      </c>
      <c r="J1922" s="61" t="str">
        <f aca="false">IF(IsPro,IF(OR($C1922="",N($G1922)=0),"",IF(I1922=0,$G1922,0)),"")</f>
        <v/>
      </c>
      <c r="K1922" s="60" t="str">
        <f aca="false">IF(IsPro,IF($C1922="","",IF(AND(OR($C1922="Receipt",$C1922="Payment"),$D1922=""),"Party needed",IF(AND(OR($C1922="Expense",$C1922="Other Income"),$E1922=""),"Head needed",IF($F1922="","Account needed","OK")))),IF($C1922="","","PRO PLAN"))</f>
        <v/>
      </c>
    </row>
    <row r="1923" customFormat="false" ht="15" hidden="false" customHeight="false" outlineLevel="0" collapsed="false">
      <c r="A1923" s="55"/>
      <c r="B1923" s="56"/>
      <c r="C1923" s="56"/>
      <c r="D1923" s="56"/>
      <c r="E1923" s="56"/>
      <c r="F1923" s="56"/>
      <c r="G1923" s="58"/>
      <c r="H1923" s="56"/>
      <c r="I1923" s="61" t="str">
        <f aca="false">IF(IsPro,IF(OR($C1923="",N($G1923)=0),"",IF(OR($C1923="Receipt",$C1923="Other Income",$C1923="Capital In",$C1923="Transfer In"),$G1923,0)),"")</f>
        <v/>
      </c>
      <c r="J1923" s="61" t="str">
        <f aca="false">IF(IsPro,IF(OR($C1923="",N($G1923)=0),"",IF(I1923=0,$G1923,0)),"")</f>
        <v/>
      </c>
      <c r="K1923" s="60" t="str">
        <f aca="false">IF(IsPro,IF($C1923="","",IF(AND(OR($C1923="Receipt",$C1923="Payment"),$D1923=""),"Party needed",IF(AND(OR($C1923="Expense",$C1923="Other Income"),$E1923=""),"Head needed",IF($F1923="","Account needed","OK")))),IF($C1923="","","PRO PLAN"))</f>
        <v/>
      </c>
    </row>
    <row r="1924" customFormat="false" ht="15" hidden="false" customHeight="false" outlineLevel="0" collapsed="false">
      <c r="A1924" s="55"/>
      <c r="B1924" s="56"/>
      <c r="C1924" s="56"/>
      <c r="D1924" s="56"/>
      <c r="E1924" s="56"/>
      <c r="F1924" s="56"/>
      <c r="G1924" s="58"/>
      <c r="H1924" s="56"/>
      <c r="I1924" s="61" t="str">
        <f aca="false">IF(IsPro,IF(OR($C1924="",N($G1924)=0),"",IF(OR($C1924="Receipt",$C1924="Other Income",$C1924="Capital In",$C1924="Transfer In"),$G1924,0)),"")</f>
        <v/>
      </c>
      <c r="J1924" s="61" t="str">
        <f aca="false">IF(IsPro,IF(OR($C1924="",N($G1924)=0),"",IF(I1924=0,$G1924,0)),"")</f>
        <v/>
      </c>
      <c r="K1924" s="60" t="str">
        <f aca="false">IF(IsPro,IF($C1924="","",IF(AND(OR($C1924="Receipt",$C1924="Payment"),$D1924=""),"Party needed",IF(AND(OR($C1924="Expense",$C1924="Other Income"),$E1924=""),"Head needed",IF($F1924="","Account needed","OK")))),IF($C1924="","","PRO PLAN"))</f>
        <v/>
      </c>
    </row>
    <row r="1925" customFormat="false" ht="15" hidden="false" customHeight="false" outlineLevel="0" collapsed="false">
      <c r="A1925" s="55"/>
      <c r="B1925" s="56"/>
      <c r="C1925" s="56"/>
      <c r="D1925" s="56"/>
      <c r="E1925" s="56"/>
      <c r="F1925" s="56"/>
      <c r="G1925" s="58"/>
      <c r="H1925" s="56"/>
      <c r="I1925" s="61" t="str">
        <f aca="false">IF(IsPro,IF(OR($C1925="",N($G1925)=0),"",IF(OR($C1925="Receipt",$C1925="Other Income",$C1925="Capital In",$C1925="Transfer In"),$G1925,0)),"")</f>
        <v/>
      </c>
      <c r="J1925" s="61" t="str">
        <f aca="false">IF(IsPro,IF(OR($C1925="",N($G1925)=0),"",IF(I1925=0,$G1925,0)),"")</f>
        <v/>
      </c>
      <c r="K1925" s="60" t="str">
        <f aca="false">IF(IsPro,IF($C1925="","",IF(AND(OR($C1925="Receipt",$C1925="Payment"),$D1925=""),"Party needed",IF(AND(OR($C1925="Expense",$C1925="Other Income"),$E1925=""),"Head needed",IF($F1925="","Account needed","OK")))),IF($C1925="","","PRO PLAN"))</f>
        <v/>
      </c>
    </row>
    <row r="1926" customFormat="false" ht="15" hidden="false" customHeight="false" outlineLevel="0" collapsed="false">
      <c r="A1926" s="55"/>
      <c r="B1926" s="56"/>
      <c r="C1926" s="56"/>
      <c r="D1926" s="56"/>
      <c r="E1926" s="56"/>
      <c r="F1926" s="56"/>
      <c r="G1926" s="58"/>
      <c r="H1926" s="56"/>
      <c r="I1926" s="61" t="str">
        <f aca="false">IF(IsPro,IF(OR($C1926="",N($G1926)=0),"",IF(OR($C1926="Receipt",$C1926="Other Income",$C1926="Capital In",$C1926="Transfer In"),$G1926,0)),"")</f>
        <v/>
      </c>
      <c r="J1926" s="61" t="str">
        <f aca="false">IF(IsPro,IF(OR($C1926="",N($G1926)=0),"",IF(I1926=0,$G1926,0)),"")</f>
        <v/>
      </c>
      <c r="K1926" s="60" t="str">
        <f aca="false">IF(IsPro,IF($C1926="","",IF(AND(OR($C1926="Receipt",$C1926="Payment"),$D1926=""),"Party needed",IF(AND(OR($C1926="Expense",$C1926="Other Income"),$E1926=""),"Head needed",IF($F1926="","Account needed","OK")))),IF($C1926="","","PRO PLAN"))</f>
        <v/>
      </c>
    </row>
    <row r="1927" customFormat="false" ht="15" hidden="false" customHeight="false" outlineLevel="0" collapsed="false">
      <c r="A1927" s="55"/>
      <c r="B1927" s="56"/>
      <c r="C1927" s="56"/>
      <c r="D1927" s="56"/>
      <c r="E1927" s="56"/>
      <c r="F1927" s="56"/>
      <c r="G1927" s="58"/>
      <c r="H1927" s="56"/>
      <c r="I1927" s="61" t="str">
        <f aca="false">IF(IsPro,IF(OR($C1927="",N($G1927)=0),"",IF(OR($C1927="Receipt",$C1927="Other Income",$C1927="Capital In",$C1927="Transfer In"),$G1927,0)),"")</f>
        <v/>
      </c>
      <c r="J1927" s="61" t="str">
        <f aca="false">IF(IsPro,IF(OR($C1927="",N($G1927)=0),"",IF(I1927=0,$G1927,0)),"")</f>
        <v/>
      </c>
      <c r="K1927" s="60" t="str">
        <f aca="false">IF(IsPro,IF($C1927="","",IF(AND(OR($C1927="Receipt",$C1927="Payment"),$D1927=""),"Party needed",IF(AND(OR($C1927="Expense",$C1927="Other Income"),$E1927=""),"Head needed",IF($F1927="","Account needed","OK")))),IF($C1927="","","PRO PLAN"))</f>
        <v/>
      </c>
    </row>
    <row r="1928" customFormat="false" ht="15" hidden="false" customHeight="false" outlineLevel="0" collapsed="false">
      <c r="A1928" s="55"/>
      <c r="B1928" s="56"/>
      <c r="C1928" s="56"/>
      <c r="D1928" s="56"/>
      <c r="E1928" s="56"/>
      <c r="F1928" s="56"/>
      <c r="G1928" s="58"/>
      <c r="H1928" s="56"/>
      <c r="I1928" s="61" t="str">
        <f aca="false">IF(IsPro,IF(OR($C1928="",N($G1928)=0),"",IF(OR($C1928="Receipt",$C1928="Other Income",$C1928="Capital In",$C1928="Transfer In"),$G1928,0)),"")</f>
        <v/>
      </c>
      <c r="J1928" s="61" t="str">
        <f aca="false">IF(IsPro,IF(OR($C1928="",N($G1928)=0),"",IF(I1928=0,$G1928,0)),"")</f>
        <v/>
      </c>
      <c r="K1928" s="60" t="str">
        <f aca="false">IF(IsPro,IF($C1928="","",IF(AND(OR($C1928="Receipt",$C1928="Payment"),$D1928=""),"Party needed",IF(AND(OR($C1928="Expense",$C1928="Other Income"),$E1928=""),"Head needed",IF($F1928="","Account needed","OK")))),IF($C1928="","","PRO PLAN"))</f>
        <v/>
      </c>
    </row>
    <row r="1929" customFormat="false" ht="15" hidden="false" customHeight="false" outlineLevel="0" collapsed="false">
      <c r="A1929" s="55"/>
      <c r="B1929" s="56"/>
      <c r="C1929" s="56"/>
      <c r="D1929" s="56"/>
      <c r="E1929" s="56"/>
      <c r="F1929" s="56"/>
      <c r="G1929" s="58"/>
      <c r="H1929" s="56"/>
      <c r="I1929" s="61" t="str">
        <f aca="false">IF(IsPro,IF(OR($C1929="",N($G1929)=0),"",IF(OR($C1929="Receipt",$C1929="Other Income",$C1929="Capital In",$C1929="Transfer In"),$G1929,0)),"")</f>
        <v/>
      </c>
      <c r="J1929" s="61" t="str">
        <f aca="false">IF(IsPro,IF(OR($C1929="",N($G1929)=0),"",IF(I1929=0,$G1929,0)),"")</f>
        <v/>
      </c>
      <c r="K1929" s="60" t="str">
        <f aca="false">IF(IsPro,IF($C1929="","",IF(AND(OR($C1929="Receipt",$C1929="Payment"),$D1929=""),"Party needed",IF(AND(OR($C1929="Expense",$C1929="Other Income"),$E1929=""),"Head needed",IF($F1929="","Account needed","OK")))),IF($C1929="","","PRO PLAN"))</f>
        <v/>
      </c>
    </row>
    <row r="1930" customFormat="false" ht="15" hidden="false" customHeight="false" outlineLevel="0" collapsed="false">
      <c r="A1930" s="55"/>
      <c r="B1930" s="56"/>
      <c r="C1930" s="56"/>
      <c r="D1930" s="56"/>
      <c r="E1930" s="56"/>
      <c r="F1930" s="56"/>
      <c r="G1930" s="58"/>
      <c r="H1930" s="56"/>
      <c r="I1930" s="61" t="str">
        <f aca="false">IF(IsPro,IF(OR($C1930="",N($G1930)=0),"",IF(OR($C1930="Receipt",$C1930="Other Income",$C1930="Capital In",$C1930="Transfer In"),$G1930,0)),"")</f>
        <v/>
      </c>
      <c r="J1930" s="61" t="str">
        <f aca="false">IF(IsPro,IF(OR($C1930="",N($G1930)=0),"",IF(I1930=0,$G1930,0)),"")</f>
        <v/>
      </c>
      <c r="K1930" s="60" t="str">
        <f aca="false">IF(IsPro,IF($C1930="","",IF(AND(OR($C1930="Receipt",$C1930="Payment"),$D1930=""),"Party needed",IF(AND(OR($C1930="Expense",$C1930="Other Income"),$E1930=""),"Head needed",IF($F1930="","Account needed","OK")))),IF($C1930="","","PRO PLAN"))</f>
        <v/>
      </c>
    </row>
    <row r="1931" customFormat="false" ht="15" hidden="false" customHeight="false" outlineLevel="0" collapsed="false">
      <c r="A1931" s="55"/>
      <c r="B1931" s="56"/>
      <c r="C1931" s="56"/>
      <c r="D1931" s="56"/>
      <c r="E1931" s="56"/>
      <c r="F1931" s="56"/>
      <c r="G1931" s="58"/>
      <c r="H1931" s="56"/>
      <c r="I1931" s="61" t="str">
        <f aca="false">IF(IsPro,IF(OR($C1931="",N($G1931)=0),"",IF(OR($C1931="Receipt",$C1931="Other Income",$C1931="Capital In",$C1931="Transfer In"),$G1931,0)),"")</f>
        <v/>
      </c>
      <c r="J1931" s="61" t="str">
        <f aca="false">IF(IsPro,IF(OR($C1931="",N($G1931)=0),"",IF(I1931=0,$G1931,0)),"")</f>
        <v/>
      </c>
      <c r="K1931" s="60" t="str">
        <f aca="false">IF(IsPro,IF($C1931="","",IF(AND(OR($C1931="Receipt",$C1931="Payment"),$D1931=""),"Party needed",IF(AND(OR($C1931="Expense",$C1931="Other Income"),$E1931=""),"Head needed",IF($F1931="","Account needed","OK")))),IF($C1931="","","PRO PLAN"))</f>
        <v/>
      </c>
    </row>
    <row r="1932" customFormat="false" ht="15" hidden="false" customHeight="false" outlineLevel="0" collapsed="false">
      <c r="A1932" s="55"/>
      <c r="B1932" s="56"/>
      <c r="C1932" s="56"/>
      <c r="D1932" s="56"/>
      <c r="E1932" s="56"/>
      <c r="F1932" s="56"/>
      <c r="G1932" s="58"/>
      <c r="H1932" s="56"/>
      <c r="I1932" s="61" t="str">
        <f aca="false">IF(IsPro,IF(OR($C1932="",N($G1932)=0),"",IF(OR($C1932="Receipt",$C1932="Other Income",$C1932="Capital In",$C1932="Transfer In"),$G1932,0)),"")</f>
        <v/>
      </c>
      <c r="J1932" s="61" t="str">
        <f aca="false">IF(IsPro,IF(OR($C1932="",N($G1932)=0),"",IF(I1932=0,$G1932,0)),"")</f>
        <v/>
      </c>
      <c r="K1932" s="60" t="str">
        <f aca="false">IF(IsPro,IF($C1932="","",IF(AND(OR($C1932="Receipt",$C1932="Payment"),$D1932=""),"Party needed",IF(AND(OR($C1932="Expense",$C1932="Other Income"),$E1932=""),"Head needed",IF($F1932="","Account needed","OK")))),IF($C1932="","","PRO PLAN"))</f>
        <v/>
      </c>
    </row>
    <row r="1933" customFormat="false" ht="15" hidden="false" customHeight="false" outlineLevel="0" collapsed="false">
      <c r="A1933" s="55"/>
      <c r="B1933" s="56"/>
      <c r="C1933" s="56"/>
      <c r="D1933" s="56"/>
      <c r="E1933" s="56"/>
      <c r="F1933" s="56"/>
      <c r="G1933" s="58"/>
      <c r="H1933" s="56"/>
      <c r="I1933" s="61" t="str">
        <f aca="false">IF(IsPro,IF(OR($C1933="",N($G1933)=0),"",IF(OR($C1933="Receipt",$C1933="Other Income",$C1933="Capital In",$C1933="Transfer In"),$G1933,0)),"")</f>
        <v/>
      </c>
      <c r="J1933" s="61" t="str">
        <f aca="false">IF(IsPro,IF(OR($C1933="",N($G1933)=0),"",IF(I1933=0,$G1933,0)),"")</f>
        <v/>
      </c>
      <c r="K1933" s="60" t="str">
        <f aca="false">IF(IsPro,IF($C1933="","",IF(AND(OR($C1933="Receipt",$C1933="Payment"),$D1933=""),"Party needed",IF(AND(OR($C1933="Expense",$C1933="Other Income"),$E1933=""),"Head needed",IF($F1933="","Account needed","OK")))),IF($C1933="","","PRO PLAN"))</f>
        <v/>
      </c>
    </row>
    <row r="1934" customFormat="false" ht="15" hidden="false" customHeight="false" outlineLevel="0" collapsed="false">
      <c r="A1934" s="55"/>
      <c r="B1934" s="56"/>
      <c r="C1934" s="56"/>
      <c r="D1934" s="56"/>
      <c r="E1934" s="56"/>
      <c r="F1934" s="56"/>
      <c r="G1934" s="58"/>
      <c r="H1934" s="56"/>
      <c r="I1934" s="61" t="str">
        <f aca="false">IF(IsPro,IF(OR($C1934="",N($G1934)=0),"",IF(OR($C1934="Receipt",$C1934="Other Income",$C1934="Capital In",$C1934="Transfer In"),$G1934,0)),"")</f>
        <v/>
      </c>
      <c r="J1934" s="61" t="str">
        <f aca="false">IF(IsPro,IF(OR($C1934="",N($G1934)=0),"",IF(I1934=0,$G1934,0)),"")</f>
        <v/>
      </c>
      <c r="K1934" s="60" t="str">
        <f aca="false">IF(IsPro,IF($C1934="","",IF(AND(OR($C1934="Receipt",$C1934="Payment"),$D1934=""),"Party needed",IF(AND(OR($C1934="Expense",$C1934="Other Income"),$E1934=""),"Head needed",IF($F1934="","Account needed","OK")))),IF($C1934="","","PRO PLAN"))</f>
        <v/>
      </c>
    </row>
    <row r="1935" customFormat="false" ht="15" hidden="false" customHeight="false" outlineLevel="0" collapsed="false">
      <c r="A1935" s="55"/>
      <c r="B1935" s="56"/>
      <c r="C1935" s="56"/>
      <c r="D1935" s="56"/>
      <c r="E1935" s="56"/>
      <c r="F1935" s="56"/>
      <c r="G1935" s="58"/>
      <c r="H1935" s="56"/>
      <c r="I1935" s="61" t="str">
        <f aca="false">IF(IsPro,IF(OR($C1935="",N($G1935)=0),"",IF(OR($C1935="Receipt",$C1935="Other Income",$C1935="Capital In",$C1935="Transfer In"),$G1935,0)),"")</f>
        <v/>
      </c>
      <c r="J1935" s="61" t="str">
        <f aca="false">IF(IsPro,IF(OR($C1935="",N($G1935)=0),"",IF(I1935=0,$G1935,0)),"")</f>
        <v/>
      </c>
      <c r="K1935" s="60" t="str">
        <f aca="false">IF(IsPro,IF($C1935="","",IF(AND(OR($C1935="Receipt",$C1935="Payment"),$D1935=""),"Party needed",IF(AND(OR($C1935="Expense",$C1935="Other Income"),$E1935=""),"Head needed",IF($F1935="","Account needed","OK")))),IF($C1935="","","PRO PLAN"))</f>
        <v/>
      </c>
    </row>
    <row r="1936" customFormat="false" ht="15" hidden="false" customHeight="false" outlineLevel="0" collapsed="false">
      <c r="A1936" s="55"/>
      <c r="B1936" s="56"/>
      <c r="C1936" s="56"/>
      <c r="D1936" s="56"/>
      <c r="E1936" s="56"/>
      <c r="F1936" s="56"/>
      <c r="G1936" s="58"/>
      <c r="H1936" s="56"/>
      <c r="I1936" s="61" t="str">
        <f aca="false">IF(IsPro,IF(OR($C1936="",N($G1936)=0),"",IF(OR($C1936="Receipt",$C1936="Other Income",$C1936="Capital In",$C1936="Transfer In"),$G1936,0)),"")</f>
        <v/>
      </c>
      <c r="J1936" s="61" t="str">
        <f aca="false">IF(IsPro,IF(OR($C1936="",N($G1936)=0),"",IF(I1936=0,$G1936,0)),"")</f>
        <v/>
      </c>
      <c r="K1936" s="60" t="str">
        <f aca="false">IF(IsPro,IF($C1936="","",IF(AND(OR($C1936="Receipt",$C1936="Payment"),$D1936=""),"Party needed",IF(AND(OR($C1936="Expense",$C1936="Other Income"),$E1936=""),"Head needed",IF($F1936="","Account needed","OK")))),IF($C1936="","","PRO PLAN"))</f>
        <v/>
      </c>
    </row>
    <row r="1937" customFormat="false" ht="15" hidden="false" customHeight="false" outlineLevel="0" collapsed="false">
      <c r="A1937" s="55"/>
      <c r="B1937" s="56"/>
      <c r="C1937" s="56"/>
      <c r="D1937" s="56"/>
      <c r="E1937" s="56"/>
      <c r="F1937" s="56"/>
      <c r="G1937" s="58"/>
      <c r="H1937" s="56"/>
      <c r="I1937" s="61" t="str">
        <f aca="false">IF(IsPro,IF(OR($C1937="",N($G1937)=0),"",IF(OR($C1937="Receipt",$C1937="Other Income",$C1937="Capital In",$C1937="Transfer In"),$G1937,0)),"")</f>
        <v/>
      </c>
      <c r="J1937" s="61" t="str">
        <f aca="false">IF(IsPro,IF(OR($C1937="",N($G1937)=0),"",IF(I1937=0,$G1937,0)),"")</f>
        <v/>
      </c>
      <c r="K1937" s="60" t="str">
        <f aca="false">IF(IsPro,IF($C1937="","",IF(AND(OR($C1937="Receipt",$C1937="Payment"),$D1937=""),"Party needed",IF(AND(OR($C1937="Expense",$C1937="Other Income"),$E1937=""),"Head needed",IF($F1937="","Account needed","OK")))),IF($C1937="","","PRO PLAN"))</f>
        <v/>
      </c>
    </row>
    <row r="1938" customFormat="false" ht="15" hidden="false" customHeight="false" outlineLevel="0" collapsed="false">
      <c r="A1938" s="55"/>
      <c r="B1938" s="56"/>
      <c r="C1938" s="56"/>
      <c r="D1938" s="56"/>
      <c r="E1938" s="56"/>
      <c r="F1938" s="56"/>
      <c r="G1938" s="58"/>
      <c r="H1938" s="56"/>
      <c r="I1938" s="61" t="str">
        <f aca="false">IF(IsPro,IF(OR($C1938="",N($G1938)=0),"",IF(OR($C1938="Receipt",$C1938="Other Income",$C1938="Capital In",$C1938="Transfer In"),$G1938,0)),"")</f>
        <v/>
      </c>
      <c r="J1938" s="61" t="str">
        <f aca="false">IF(IsPro,IF(OR($C1938="",N($G1938)=0),"",IF(I1938=0,$G1938,0)),"")</f>
        <v/>
      </c>
      <c r="K1938" s="60" t="str">
        <f aca="false">IF(IsPro,IF($C1938="","",IF(AND(OR($C1938="Receipt",$C1938="Payment"),$D1938=""),"Party needed",IF(AND(OR($C1938="Expense",$C1938="Other Income"),$E1938=""),"Head needed",IF($F1938="","Account needed","OK")))),IF($C1938="","","PRO PLAN"))</f>
        <v/>
      </c>
    </row>
    <row r="1939" customFormat="false" ht="15" hidden="false" customHeight="false" outlineLevel="0" collapsed="false">
      <c r="A1939" s="55"/>
      <c r="B1939" s="56"/>
      <c r="C1939" s="56"/>
      <c r="D1939" s="56"/>
      <c r="E1939" s="56"/>
      <c r="F1939" s="56"/>
      <c r="G1939" s="58"/>
      <c r="H1939" s="56"/>
      <c r="I1939" s="61" t="str">
        <f aca="false">IF(IsPro,IF(OR($C1939="",N($G1939)=0),"",IF(OR($C1939="Receipt",$C1939="Other Income",$C1939="Capital In",$C1939="Transfer In"),$G1939,0)),"")</f>
        <v/>
      </c>
      <c r="J1939" s="61" t="str">
        <f aca="false">IF(IsPro,IF(OR($C1939="",N($G1939)=0),"",IF(I1939=0,$G1939,0)),"")</f>
        <v/>
      </c>
      <c r="K1939" s="60" t="str">
        <f aca="false">IF(IsPro,IF($C1939="","",IF(AND(OR($C1939="Receipt",$C1939="Payment"),$D1939=""),"Party needed",IF(AND(OR($C1939="Expense",$C1939="Other Income"),$E1939=""),"Head needed",IF($F1939="","Account needed","OK")))),IF($C1939="","","PRO PLAN"))</f>
        <v/>
      </c>
    </row>
    <row r="1940" customFormat="false" ht="15" hidden="false" customHeight="false" outlineLevel="0" collapsed="false">
      <c r="A1940" s="55"/>
      <c r="B1940" s="56"/>
      <c r="C1940" s="56"/>
      <c r="D1940" s="56"/>
      <c r="E1940" s="56"/>
      <c r="F1940" s="56"/>
      <c r="G1940" s="58"/>
      <c r="H1940" s="56"/>
      <c r="I1940" s="61" t="str">
        <f aca="false">IF(IsPro,IF(OR($C1940="",N($G1940)=0),"",IF(OR($C1940="Receipt",$C1940="Other Income",$C1940="Capital In",$C1940="Transfer In"),$G1940,0)),"")</f>
        <v/>
      </c>
      <c r="J1940" s="61" t="str">
        <f aca="false">IF(IsPro,IF(OR($C1940="",N($G1940)=0),"",IF(I1940=0,$G1940,0)),"")</f>
        <v/>
      </c>
      <c r="K1940" s="60" t="str">
        <f aca="false">IF(IsPro,IF($C1940="","",IF(AND(OR($C1940="Receipt",$C1940="Payment"),$D1940=""),"Party needed",IF(AND(OR($C1940="Expense",$C1940="Other Income"),$E1940=""),"Head needed",IF($F1940="","Account needed","OK")))),IF($C1940="","","PRO PLAN"))</f>
        <v/>
      </c>
    </row>
    <row r="1941" customFormat="false" ht="15" hidden="false" customHeight="false" outlineLevel="0" collapsed="false">
      <c r="A1941" s="55"/>
      <c r="B1941" s="56"/>
      <c r="C1941" s="56"/>
      <c r="D1941" s="56"/>
      <c r="E1941" s="56"/>
      <c r="F1941" s="56"/>
      <c r="G1941" s="58"/>
      <c r="H1941" s="56"/>
      <c r="I1941" s="61" t="str">
        <f aca="false">IF(IsPro,IF(OR($C1941="",N($G1941)=0),"",IF(OR($C1941="Receipt",$C1941="Other Income",$C1941="Capital In",$C1941="Transfer In"),$G1941,0)),"")</f>
        <v/>
      </c>
      <c r="J1941" s="61" t="str">
        <f aca="false">IF(IsPro,IF(OR($C1941="",N($G1941)=0),"",IF(I1941=0,$G1941,0)),"")</f>
        <v/>
      </c>
      <c r="K1941" s="60" t="str">
        <f aca="false">IF(IsPro,IF($C1941="","",IF(AND(OR($C1941="Receipt",$C1941="Payment"),$D1941=""),"Party needed",IF(AND(OR($C1941="Expense",$C1941="Other Income"),$E1941=""),"Head needed",IF($F1941="","Account needed","OK")))),IF($C1941="","","PRO PLAN"))</f>
        <v/>
      </c>
    </row>
    <row r="1942" customFormat="false" ht="15" hidden="false" customHeight="false" outlineLevel="0" collapsed="false">
      <c r="A1942" s="55"/>
      <c r="B1942" s="56"/>
      <c r="C1942" s="56"/>
      <c r="D1942" s="56"/>
      <c r="E1942" s="56"/>
      <c r="F1942" s="56"/>
      <c r="G1942" s="58"/>
      <c r="H1942" s="56"/>
      <c r="I1942" s="61" t="str">
        <f aca="false">IF(IsPro,IF(OR($C1942="",N($G1942)=0),"",IF(OR($C1942="Receipt",$C1942="Other Income",$C1942="Capital In",$C1942="Transfer In"),$G1942,0)),"")</f>
        <v/>
      </c>
      <c r="J1942" s="61" t="str">
        <f aca="false">IF(IsPro,IF(OR($C1942="",N($G1942)=0),"",IF(I1942=0,$G1942,0)),"")</f>
        <v/>
      </c>
      <c r="K1942" s="60" t="str">
        <f aca="false">IF(IsPro,IF($C1942="","",IF(AND(OR($C1942="Receipt",$C1942="Payment"),$D1942=""),"Party needed",IF(AND(OR($C1942="Expense",$C1942="Other Income"),$E1942=""),"Head needed",IF($F1942="","Account needed","OK")))),IF($C1942="","","PRO PLAN"))</f>
        <v/>
      </c>
    </row>
    <row r="1943" customFormat="false" ht="15" hidden="false" customHeight="false" outlineLevel="0" collapsed="false">
      <c r="A1943" s="55"/>
      <c r="B1943" s="56"/>
      <c r="C1943" s="56"/>
      <c r="D1943" s="56"/>
      <c r="E1943" s="56"/>
      <c r="F1943" s="56"/>
      <c r="G1943" s="58"/>
      <c r="H1943" s="56"/>
      <c r="I1943" s="61" t="str">
        <f aca="false">IF(IsPro,IF(OR($C1943="",N($G1943)=0),"",IF(OR($C1943="Receipt",$C1943="Other Income",$C1943="Capital In",$C1943="Transfer In"),$G1943,0)),"")</f>
        <v/>
      </c>
      <c r="J1943" s="61" t="str">
        <f aca="false">IF(IsPro,IF(OR($C1943="",N($G1943)=0),"",IF(I1943=0,$G1943,0)),"")</f>
        <v/>
      </c>
      <c r="K1943" s="60" t="str">
        <f aca="false">IF(IsPro,IF($C1943="","",IF(AND(OR($C1943="Receipt",$C1943="Payment"),$D1943=""),"Party needed",IF(AND(OR($C1943="Expense",$C1943="Other Income"),$E1943=""),"Head needed",IF($F1943="","Account needed","OK")))),IF($C1943="","","PRO PLAN"))</f>
        <v/>
      </c>
    </row>
    <row r="1944" customFormat="false" ht="15" hidden="false" customHeight="false" outlineLevel="0" collapsed="false">
      <c r="A1944" s="55"/>
      <c r="B1944" s="56"/>
      <c r="C1944" s="56"/>
      <c r="D1944" s="56"/>
      <c r="E1944" s="56"/>
      <c r="F1944" s="56"/>
      <c r="G1944" s="58"/>
      <c r="H1944" s="56"/>
      <c r="I1944" s="61" t="str">
        <f aca="false">IF(IsPro,IF(OR($C1944="",N($G1944)=0),"",IF(OR($C1944="Receipt",$C1944="Other Income",$C1944="Capital In",$C1944="Transfer In"),$G1944,0)),"")</f>
        <v/>
      </c>
      <c r="J1944" s="61" t="str">
        <f aca="false">IF(IsPro,IF(OR($C1944="",N($G1944)=0),"",IF(I1944=0,$G1944,0)),"")</f>
        <v/>
      </c>
      <c r="K1944" s="60" t="str">
        <f aca="false">IF(IsPro,IF($C1944="","",IF(AND(OR($C1944="Receipt",$C1944="Payment"),$D1944=""),"Party needed",IF(AND(OR($C1944="Expense",$C1944="Other Income"),$E1944=""),"Head needed",IF($F1944="","Account needed","OK")))),IF($C1944="","","PRO PLAN"))</f>
        <v/>
      </c>
    </row>
    <row r="1945" customFormat="false" ht="15" hidden="false" customHeight="false" outlineLevel="0" collapsed="false">
      <c r="A1945" s="55"/>
      <c r="B1945" s="56"/>
      <c r="C1945" s="56"/>
      <c r="D1945" s="56"/>
      <c r="E1945" s="56"/>
      <c r="F1945" s="56"/>
      <c r="G1945" s="58"/>
      <c r="H1945" s="56"/>
      <c r="I1945" s="61" t="str">
        <f aca="false">IF(IsPro,IF(OR($C1945="",N($G1945)=0),"",IF(OR($C1945="Receipt",$C1945="Other Income",$C1945="Capital In",$C1945="Transfer In"),$G1945,0)),"")</f>
        <v/>
      </c>
      <c r="J1945" s="61" t="str">
        <f aca="false">IF(IsPro,IF(OR($C1945="",N($G1945)=0),"",IF(I1945=0,$G1945,0)),"")</f>
        <v/>
      </c>
      <c r="K1945" s="60" t="str">
        <f aca="false">IF(IsPro,IF($C1945="","",IF(AND(OR($C1945="Receipt",$C1945="Payment"),$D1945=""),"Party needed",IF(AND(OR($C1945="Expense",$C1945="Other Income"),$E1945=""),"Head needed",IF($F1945="","Account needed","OK")))),IF($C1945="","","PRO PLAN"))</f>
        <v/>
      </c>
    </row>
    <row r="1946" customFormat="false" ht="15" hidden="false" customHeight="false" outlineLevel="0" collapsed="false">
      <c r="A1946" s="55"/>
      <c r="B1946" s="56"/>
      <c r="C1946" s="56"/>
      <c r="D1946" s="56"/>
      <c r="E1946" s="56"/>
      <c r="F1946" s="56"/>
      <c r="G1946" s="58"/>
      <c r="H1946" s="56"/>
      <c r="I1946" s="61" t="str">
        <f aca="false">IF(IsPro,IF(OR($C1946="",N($G1946)=0),"",IF(OR($C1946="Receipt",$C1946="Other Income",$C1946="Capital In",$C1946="Transfer In"),$G1946,0)),"")</f>
        <v/>
      </c>
      <c r="J1946" s="61" t="str">
        <f aca="false">IF(IsPro,IF(OR($C1946="",N($G1946)=0),"",IF(I1946=0,$G1946,0)),"")</f>
        <v/>
      </c>
      <c r="K1946" s="60" t="str">
        <f aca="false">IF(IsPro,IF($C1946="","",IF(AND(OR($C1946="Receipt",$C1946="Payment"),$D1946=""),"Party needed",IF(AND(OR($C1946="Expense",$C1946="Other Income"),$E1946=""),"Head needed",IF($F1946="","Account needed","OK")))),IF($C1946="","","PRO PLAN"))</f>
        <v/>
      </c>
    </row>
    <row r="1947" customFormat="false" ht="15" hidden="false" customHeight="false" outlineLevel="0" collapsed="false">
      <c r="A1947" s="55"/>
      <c r="B1947" s="56"/>
      <c r="C1947" s="56"/>
      <c r="D1947" s="56"/>
      <c r="E1947" s="56"/>
      <c r="F1947" s="56"/>
      <c r="G1947" s="58"/>
      <c r="H1947" s="56"/>
      <c r="I1947" s="61" t="str">
        <f aca="false">IF(IsPro,IF(OR($C1947="",N($G1947)=0),"",IF(OR($C1947="Receipt",$C1947="Other Income",$C1947="Capital In",$C1947="Transfer In"),$G1947,0)),"")</f>
        <v/>
      </c>
      <c r="J1947" s="61" t="str">
        <f aca="false">IF(IsPro,IF(OR($C1947="",N($G1947)=0),"",IF(I1947=0,$G1947,0)),"")</f>
        <v/>
      </c>
      <c r="K1947" s="60" t="str">
        <f aca="false">IF(IsPro,IF($C1947="","",IF(AND(OR($C1947="Receipt",$C1947="Payment"),$D1947=""),"Party needed",IF(AND(OR($C1947="Expense",$C1947="Other Income"),$E1947=""),"Head needed",IF($F1947="","Account needed","OK")))),IF($C1947="","","PRO PLAN"))</f>
        <v/>
      </c>
    </row>
    <row r="1948" customFormat="false" ht="15" hidden="false" customHeight="false" outlineLevel="0" collapsed="false">
      <c r="A1948" s="55"/>
      <c r="B1948" s="56"/>
      <c r="C1948" s="56"/>
      <c r="D1948" s="56"/>
      <c r="E1948" s="56"/>
      <c r="F1948" s="56"/>
      <c r="G1948" s="58"/>
      <c r="H1948" s="56"/>
      <c r="I1948" s="61" t="str">
        <f aca="false">IF(IsPro,IF(OR($C1948="",N($G1948)=0),"",IF(OR($C1948="Receipt",$C1948="Other Income",$C1948="Capital In",$C1948="Transfer In"),$G1948,0)),"")</f>
        <v/>
      </c>
      <c r="J1948" s="61" t="str">
        <f aca="false">IF(IsPro,IF(OR($C1948="",N($G1948)=0),"",IF(I1948=0,$G1948,0)),"")</f>
        <v/>
      </c>
      <c r="K1948" s="60" t="str">
        <f aca="false">IF(IsPro,IF($C1948="","",IF(AND(OR($C1948="Receipt",$C1948="Payment"),$D1948=""),"Party needed",IF(AND(OR($C1948="Expense",$C1948="Other Income"),$E1948=""),"Head needed",IF($F1948="","Account needed","OK")))),IF($C1948="","","PRO PLAN"))</f>
        <v/>
      </c>
    </row>
    <row r="1949" customFormat="false" ht="15" hidden="false" customHeight="false" outlineLevel="0" collapsed="false">
      <c r="A1949" s="55"/>
      <c r="B1949" s="56"/>
      <c r="C1949" s="56"/>
      <c r="D1949" s="56"/>
      <c r="E1949" s="56"/>
      <c r="F1949" s="56"/>
      <c r="G1949" s="58"/>
      <c r="H1949" s="56"/>
      <c r="I1949" s="61" t="str">
        <f aca="false">IF(IsPro,IF(OR($C1949="",N($G1949)=0),"",IF(OR($C1949="Receipt",$C1949="Other Income",$C1949="Capital In",$C1949="Transfer In"),$G1949,0)),"")</f>
        <v/>
      </c>
      <c r="J1949" s="61" t="str">
        <f aca="false">IF(IsPro,IF(OR($C1949="",N($G1949)=0),"",IF(I1949=0,$G1949,0)),"")</f>
        <v/>
      </c>
      <c r="K1949" s="60" t="str">
        <f aca="false">IF(IsPro,IF($C1949="","",IF(AND(OR($C1949="Receipt",$C1949="Payment"),$D1949=""),"Party needed",IF(AND(OR($C1949="Expense",$C1949="Other Income"),$E1949=""),"Head needed",IF($F1949="","Account needed","OK")))),IF($C1949="","","PRO PLAN"))</f>
        <v/>
      </c>
    </row>
    <row r="1950" customFormat="false" ht="15" hidden="false" customHeight="false" outlineLevel="0" collapsed="false">
      <c r="A1950" s="55"/>
      <c r="B1950" s="56"/>
      <c r="C1950" s="56"/>
      <c r="D1950" s="56"/>
      <c r="E1950" s="56"/>
      <c r="F1950" s="56"/>
      <c r="G1950" s="58"/>
      <c r="H1950" s="56"/>
      <c r="I1950" s="61" t="str">
        <f aca="false">IF(IsPro,IF(OR($C1950="",N($G1950)=0),"",IF(OR($C1950="Receipt",$C1950="Other Income",$C1950="Capital In",$C1950="Transfer In"),$G1950,0)),"")</f>
        <v/>
      </c>
      <c r="J1950" s="61" t="str">
        <f aca="false">IF(IsPro,IF(OR($C1950="",N($G1950)=0),"",IF(I1950=0,$G1950,0)),"")</f>
        <v/>
      </c>
      <c r="K1950" s="60" t="str">
        <f aca="false">IF(IsPro,IF($C1950="","",IF(AND(OR($C1950="Receipt",$C1950="Payment"),$D1950=""),"Party needed",IF(AND(OR($C1950="Expense",$C1950="Other Income"),$E1950=""),"Head needed",IF($F1950="","Account needed","OK")))),IF($C1950="","","PRO PLAN"))</f>
        <v/>
      </c>
    </row>
    <row r="1951" customFormat="false" ht="15" hidden="false" customHeight="false" outlineLevel="0" collapsed="false">
      <c r="A1951" s="55"/>
      <c r="B1951" s="56"/>
      <c r="C1951" s="56"/>
      <c r="D1951" s="56"/>
      <c r="E1951" s="56"/>
      <c r="F1951" s="56"/>
      <c r="G1951" s="58"/>
      <c r="H1951" s="56"/>
      <c r="I1951" s="61" t="str">
        <f aca="false">IF(IsPro,IF(OR($C1951="",N($G1951)=0),"",IF(OR($C1951="Receipt",$C1951="Other Income",$C1951="Capital In",$C1951="Transfer In"),$G1951,0)),"")</f>
        <v/>
      </c>
      <c r="J1951" s="61" t="str">
        <f aca="false">IF(IsPro,IF(OR($C1951="",N($G1951)=0),"",IF(I1951=0,$G1951,0)),"")</f>
        <v/>
      </c>
      <c r="K1951" s="60" t="str">
        <f aca="false">IF(IsPro,IF($C1951="","",IF(AND(OR($C1951="Receipt",$C1951="Payment"),$D1951=""),"Party needed",IF(AND(OR($C1951="Expense",$C1951="Other Income"),$E1951=""),"Head needed",IF($F1951="","Account needed","OK")))),IF($C1951="","","PRO PLAN"))</f>
        <v/>
      </c>
    </row>
    <row r="1952" customFormat="false" ht="15" hidden="false" customHeight="false" outlineLevel="0" collapsed="false">
      <c r="A1952" s="55"/>
      <c r="B1952" s="56"/>
      <c r="C1952" s="56"/>
      <c r="D1952" s="56"/>
      <c r="E1952" s="56"/>
      <c r="F1952" s="56"/>
      <c r="G1952" s="58"/>
      <c r="H1952" s="56"/>
      <c r="I1952" s="61" t="str">
        <f aca="false">IF(IsPro,IF(OR($C1952="",N($G1952)=0),"",IF(OR($C1952="Receipt",$C1952="Other Income",$C1952="Capital In",$C1952="Transfer In"),$G1952,0)),"")</f>
        <v/>
      </c>
      <c r="J1952" s="61" t="str">
        <f aca="false">IF(IsPro,IF(OR($C1952="",N($G1952)=0),"",IF(I1952=0,$G1952,0)),"")</f>
        <v/>
      </c>
      <c r="K1952" s="60" t="str">
        <f aca="false">IF(IsPro,IF($C1952="","",IF(AND(OR($C1952="Receipt",$C1952="Payment"),$D1952=""),"Party needed",IF(AND(OR($C1952="Expense",$C1952="Other Income"),$E1952=""),"Head needed",IF($F1952="","Account needed","OK")))),IF($C1952="","","PRO PLAN"))</f>
        <v/>
      </c>
    </row>
    <row r="1953" customFormat="false" ht="15" hidden="false" customHeight="false" outlineLevel="0" collapsed="false">
      <c r="A1953" s="55"/>
      <c r="B1953" s="56"/>
      <c r="C1953" s="56"/>
      <c r="D1953" s="56"/>
      <c r="E1953" s="56"/>
      <c r="F1953" s="56"/>
      <c r="G1953" s="58"/>
      <c r="H1953" s="56"/>
      <c r="I1953" s="61" t="str">
        <f aca="false">IF(IsPro,IF(OR($C1953="",N($G1953)=0),"",IF(OR($C1953="Receipt",$C1953="Other Income",$C1953="Capital In",$C1953="Transfer In"),$G1953,0)),"")</f>
        <v/>
      </c>
      <c r="J1953" s="61" t="str">
        <f aca="false">IF(IsPro,IF(OR($C1953="",N($G1953)=0),"",IF(I1953=0,$G1953,0)),"")</f>
        <v/>
      </c>
      <c r="K1953" s="60" t="str">
        <f aca="false">IF(IsPro,IF($C1953="","",IF(AND(OR($C1953="Receipt",$C1953="Payment"),$D1953=""),"Party needed",IF(AND(OR($C1953="Expense",$C1953="Other Income"),$E1953=""),"Head needed",IF($F1953="","Account needed","OK")))),IF($C1953="","","PRO PLAN"))</f>
        <v/>
      </c>
    </row>
    <row r="1954" customFormat="false" ht="15" hidden="false" customHeight="false" outlineLevel="0" collapsed="false">
      <c r="A1954" s="55"/>
      <c r="B1954" s="56"/>
      <c r="C1954" s="56"/>
      <c r="D1954" s="56"/>
      <c r="E1954" s="56"/>
      <c r="F1954" s="56"/>
      <c r="G1954" s="58"/>
      <c r="H1954" s="56"/>
      <c r="I1954" s="61" t="str">
        <f aca="false">IF(IsPro,IF(OR($C1954="",N($G1954)=0),"",IF(OR($C1954="Receipt",$C1954="Other Income",$C1954="Capital In",$C1954="Transfer In"),$G1954,0)),"")</f>
        <v/>
      </c>
      <c r="J1954" s="61" t="str">
        <f aca="false">IF(IsPro,IF(OR($C1954="",N($G1954)=0),"",IF(I1954=0,$G1954,0)),"")</f>
        <v/>
      </c>
      <c r="K1954" s="60" t="str">
        <f aca="false">IF(IsPro,IF($C1954="","",IF(AND(OR($C1954="Receipt",$C1954="Payment"),$D1954=""),"Party needed",IF(AND(OR($C1954="Expense",$C1954="Other Income"),$E1954=""),"Head needed",IF($F1954="","Account needed","OK")))),IF($C1954="","","PRO PLAN"))</f>
        <v/>
      </c>
    </row>
    <row r="1955" customFormat="false" ht="15" hidden="false" customHeight="false" outlineLevel="0" collapsed="false">
      <c r="A1955" s="55"/>
      <c r="B1955" s="56"/>
      <c r="C1955" s="56"/>
      <c r="D1955" s="56"/>
      <c r="E1955" s="56"/>
      <c r="F1955" s="56"/>
      <c r="G1955" s="58"/>
      <c r="H1955" s="56"/>
      <c r="I1955" s="61" t="str">
        <f aca="false">IF(IsPro,IF(OR($C1955="",N($G1955)=0),"",IF(OR($C1955="Receipt",$C1955="Other Income",$C1955="Capital In",$C1955="Transfer In"),$G1955,0)),"")</f>
        <v/>
      </c>
      <c r="J1955" s="61" t="str">
        <f aca="false">IF(IsPro,IF(OR($C1955="",N($G1955)=0),"",IF(I1955=0,$G1955,0)),"")</f>
        <v/>
      </c>
      <c r="K1955" s="60" t="str">
        <f aca="false">IF(IsPro,IF($C1955="","",IF(AND(OR($C1955="Receipt",$C1955="Payment"),$D1955=""),"Party needed",IF(AND(OR($C1955="Expense",$C1955="Other Income"),$E1955=""),"Head needed",IF($F1955="","Account needed","OK")))),IF($C1955="","","PRO PLAN"))</f>
        <v/>
      </c>
    </row>
    <row r="1956" customFormat="false" ht="15" hidden="false" customHeight="false" outlineLevel="0" collapsed="false">
      <c r="A1956" s="55"/>
      <c r="B1956" s="56"/>
      <c r="C1956" s="56"/>
      <c r="D1956" s="56"/>
      <c r="E1956" s="56"/>
      <c r="F1956" s="56"/>
      <c r="G1956" s="58"/>
      <c r="H1956" s="56"/>
      <c r="I1956" s="61" t="str">
        <f aca="false">IF(IsPro,IF(OR($C1956="",N($G1956)=0),"",IF(OR($C1956="Receipt",$C1956="Other Income",$C1956="Capital In",$C1956="Transfer In"),$G1956,0)),"")</f>
        <v/>
      </c>
      <c r="J1956" s="61" t="str">
        <f aca="false">IF(IsPro,IF(OR($C1956="",N($G1956)=0),"",IF(I1956=0,$G1956,0)),"")</f>
        <v/>
      </c>
      <c r="K1956" s="60" t="str">
        <f aca="false">IF(IsPro,IF($C1956="","",IF(AND(OR($C1956="Receipt",$C1956="Payment"),$D1956=""),"Party needed",IF(AND(OR($C1956="Expense",$C1956="Other Income"),$E1956=""),"Head needed",IF($F1956="","Account needed","OK")))),IF($C1956="","","PRO PLAN"))</f>
        <v/>
      </c>
    </row>
    <row r="1957" customFormat="false" ht="15" hidden="false" customHeight="false" outlineLevel="0" collapsed="false">
      <c r="A1957" s="55"/>
      <c r="B1957" s="56"/>
      <c r="C1957" s="56"/>
      <c r="D1957" s="56"/>
      <c r="E1957" s="56"/>
      <c r="F1957" s="56"/>
      <c r="G1957" s="58"/>
      <c r="H1957" s="56"/>
      <c r="I1957" s="61" t="str">
        <f aca="false">IF(IsPro,IF(OR($C1957="",N($G1957)=0),"",IF(OR($C1957="Receipt",$C1957="Other Income",$C1957="Capital In",$C1957="Transfer In"),$G1957,0)),"")</f>
        <v/>
      </c>
      <c r="J1957" s="61" t="str">
        <f aca="false">IF(IsPro,IF(OR($C1957="",N($G1957)=0),"",IF(I1957=0,$G1957,0)),"")</f>
        <v/>
      </c>
      <c r="K1957" s="60" t="str">
        <f aca="false">IF(IsPro,IF($C1957="","",IF(AND(OR($C1957="Receipt",$C1957="Payment"),$D1957=""),"Party needed",IF(AND(OR($C1957="Expense",$C1957="Other Income"),$E1957=""),"Head needed",IF($F1957="","Account needed","OK")))),IF($C1957="","","PRO PLAN"))</f>
        <v/>
      </c>
    </row>
    <row r="1958" customFormat="false" ht="15" hidden="false" customHeight="false" outlineLevel="0" collapsed="false">
      <c r="A1958" s="55"/>
      <c r="B1958" s="56"/>
      <c r="C1958" s="56"/>
      <c r="D1958" s="56"/>
      <c r="E1958" s="56"/>
      <c r="F1958" s="56"/>
      <c r="G1958" s="58"/>
      <c r="H1958" s="56"/>
      <c r="I1958" s="61" t="str">
        <f aca="false">IF(IsPro,IF(OR($C1958="",N($G1958)=0),"",IF(OR($C1958="Receipt",$C1958="Other Income",$C1958="Capital In",$C1958="Transfer In"),$G1958,0)),"")</f>
        <v/>
      </c>
      <c r="J1958" s="61" t="str">
        <f aca="false">IF(IsPro,IF(OR($C1958="",N($G1958)=0),"",IF(I1958=0,$G1958,0)),"")</f>
        <v/>
      </c>
      <c r="K1958" s="60" t="str">
        <f aca="false">IF(IsPro,IF($C1958="","",IF(AND(OR($C1958="Receipt",$C1958="Payment"),$D1958=""),"Party needed",IF(AND(OR($C1958="Expense",$C1958="Other Income"),$E1958=""),"Head needed",IF($F1958="","Account needed","OK")))),IF($C1958="","","PRO PLAN"))</f>
        <v/>
      </c>
    </row>
    <row r="1959" customFormat="false" ht="15" hidden="false" customHeight="false" outlineLevel="0" collapsed="false">
      <c r="A1959" s="55"/>
      <c r="B1959" s="56"/>
      <c r="C1959" s="56"/>
      <c r="D1959" s="56"/>
      <c r="E1959" s="56"/>
      <c r="F1959" s="56"/>
      <c r="G1959" s="58"/>
      <c r="H1959" s="56"/>
      <c r="I1959" s="61" t="str">
        <f aca="false">IF(IsPro,IF(OR($C1959="",N($G1959)=0),"",IF(OR($C1959="Receipt",$C1959="Other Income",$C1959="Capital In",$C1959="Transfer In"),$G1959,0)),"")</f>
        <v/>
      </c>
      <c r="J1959" s="61" t="str">
        <f aca="false">IF(IsPro,IF(OR($C1959="",N($G1959)=0),"",IF(I1959=0,$G1959,0)),"")</f>
        <v/>
      </c>
      <c r="K1959" s="60" t="str">
        <f aca="false">IF(IsPro,IF($C1959="","",IF(AND(OR($C1959="Receipt",$C1959="Payment"),$D1959=""),"Party needed",IF(AND(OR($C1959="Expense",$C1959="Other Income"),$E1959=""),"Head needed",IF($F1959="","Account needed","OK")))),IF($C1959="","","PRO PLAN"))</f>
        <v/>
      </c>
    </row>
    <row r="1960" customFormat="false" ht="15" hidden="false" customHeight="false" outlineLevel="0" collapsed="false">
      <c r="A1960" s="55"/>
      <c r="B1960" s="56"/>
      <c r="C1960" s="56"/>
      <c r="D1960" s="56"/>
      <c r="E1960" s="56"/>
      <c r="F1960" s="56"/>
      <c r="G1960" s="58"/>
      <c r="H1960" s="56"/>
      <c r="I1960" s="61" t="str">
        <f aca="false">IF(IsPro,IF(OR($C1960="",N($G1960)=0),"",IF(OR($C1960="Receipt",$C1960="Other Income",$C1960="Capital In",$C1960="Transfer In"),$G1960,0)),"")</f>
        <v/>
      </c>
      <c r="J1960" s="61" t="str">
        <f aca="false">IF(IsPro,IF(OR($C1960="",N($G1960)=0),"",IF(I1960=0,$G1960,0)),"")</f>
        <v/>
      </c>
      <c r="K1960" s="60" t="str">
        <f aca="false">IF(IsPro,IF($C1960="","",IF(AND(OR($C1960="Receipt",$C1960="Payment"),$D1960=""),"Party needed",IF(AND(OR($C1960="Expense",$C1960="Other Income"),$E1960=""),"Head needed",IF($F1960="","Account needed","OK")))),IF($C1960="","","PRO PLAN"))</f>
        <v/>
      </c>
    </row>
    <row r="1961" customFormat="false" ht="15" hidden="false" customHeight="false" outlineLevel="0" collapsed="false">
      <c r="A1961" s="55"/>
      <c r="B1961" s="56"/>
      <c r="C1961" s="56"/>
      <c r="D1961" s="56"/>
      <c r="E1961" s="56"/>
      <c r="F1961" s="56"/>
      <c r="G1961" s="58"/>
      <c r="H1961" s="56"/>
      <c r="I1961" s="61" t="str">
        <f aca="false">IF(IsPro,IF(OR($C1961="",N($G1961)=0),"",IF(OR($C1961="Receipt",$C1961="Other Income",$C1961="Capital In",$C1961="Transfer In"),$G1961,0)),"")</f>
        <v/>
      </c>
      <c r="J1961" s="61" t="str">
        <f aca="false">IF(IsPro,IF(OR($C1961="",N($G1961)=0),"",IF(I1961=0,$G1961,0)),"")</f>
        <v/>
      </c>
      <c r="K1961" s="60" t="str">
        <f aca="false">IF(IsPro,IF($C1961="","",IF(AND(OR($C1961="Receipt",$C1961="Payment"),$D1961=""),"Party needed",IF(AND(OR($C1961="Expense",$C1961="Other Income"),$E1961=""),"Head needed",IF($F1961="","Account needed","OK")))),IF($C1961="","","PRO PLAN"))</f>
        <v/>
      </c>
    </row>
    <row r="1962" customFormat="false" ht="15" hidden="false" customHeight="false" outlineLevel="0" collapsed="false">
      <c r="A1962" s="55"/>
      <c r="B1962" s="56"/>
      <c r="C1962" s="56"/>
      <c r="D1962" s="56"/>
      <c r="E1962" s="56"/>
      <c r="F1962" s="56"/>
      <c r="G1962" s="58"/>
      <c r="H1962" s="56"/>
      <c r="I1962" s="61" t="str">
        <f aca="false">IF(IsPro,IF(OR($C1962="",N($G1962)=0),"",IF(OR($C1962="Receipt",$C1962="Other Income",$C1962="Capital In",$C1962="Transfer In"),$G1962,0)),"")</f>
        <v/>
      </c>
      <c r="J1962" s="61" t="str">
        <f aca="false">IF(IsPro,IF(OR($C1962="",N($G1962)=0),"",IF(I1962=0,$G1962,0)),"")</f>
        <v/>
      </c>
      <c r="K1962" s="60" t="str">
        <f aca="false">IF(IsPro,IF($C1962="","",IF(AND(OR($C1962="Receipt",$C1962="Payment"),$D1962=""),"Party needed",IF(AND(OR($C1962="Expense",$C1962="Other Income"),$E1962=""),"Head needed",IF($F1962="","Account needed","OK")))),IF($C1962="","","PRO PLAN"))</f>
        <v/>
      </c>
    </row>
    <row r="1963" customFormat="false" ht="15" hidden="false" customHeight="false" outlineLevel="0" collapsed="false">
      <c r="A1963" s="55"/>
      <c r="B1963" s="56"/>
      <c r="C1963" s="56"/>
      <c r="D1963" s="56"/>
      <c r="E1963" s="56"/>
      <c r="F1963" s="56"/>
      <c r="G1963" s="58"/>
      <c r="H1963" s="56"/>
      <c r="I1963" s="61" t="str">
        <f aca="false">IF(IsPro,IF(OR($C1963="",N($G1963)=0),"",IF(OR($C1963="Receipt",$C1963="Other Income",$C1963="Capital In",$C1963="Transfer In"),$G1963,0)),"")</f>
        <v/>
      </c>
      <c r="J1963" s="61" t="str">
        <f aca="false">IF(IsPro,IF(OR($C1963="",N($G1963)=0),"",IF(I1963=0,$G1963,0)),"")</f>
        <v/>
      </c>
      <c r="K1963" s="60" t="str">
        <f aca="false">IF(IsPro,IF($C1963="","",IF(AND(OR($C1963="Receipt",$C1963="Payment"),$D1963=""),"Party needed",IF(AND(OR($C1963="Expense",$C1963="Other Income"),$E1963=""),"Head needed",IF($F1963="","Account needed","OK")))),IF($C1963="","","PRO PLAN"))</f>
        <v/>
      </c>
    </row>
    <row r="1964" customFormat="false" ht="15" hidden="false" customHeight="false" outlineLevel="0" collapsed="false">
      <c r="A1964" s="55"/>
      <c r="B1964" s="56"/>
      <c r="C1964" s="56"/>
      <c r="D1964" s="56"/>
      <c r="E1964" s="56"/>
      <c r="F1964" s="56"/>
      <c r="G1964" s="58"/>
      <c r="H1964" s="56"/>
      <c r="I1964" s="61" t="str">
        <f aca="false">IF(IsPro,IF(OR($C1964="",N($G1964)=0),"",IF(OR($C1964="Receipt",$C1964="Other Income",$C1964="Capital In",$C1964="Transfer In"),$G1964,0)),"")</f>
        <v/>
      </c>
      <c r="J1964" s="61" t="str">
        <f aca="false">IF(IsPro,IF(OR($C1964="",N($G1964)=0),"",IF(I1964=0,$G1964,0)),"")</f>
        <v/>
      </c>
      <c r="K1964" s="60" t="str">
        <f aca="false">IF(IsPro,IF($C1964="","",IF(AND(OR($C1964="Receipt",$C1964="Payment"),$D1964=""),"Party needed",IF(AND(OR($C1964="Expense",$C1964="Other Income"),$E1964=""),"Head needed",IF($F1964="","Account needed","OK")))),IF($C1964="","","PRO PLAN"))</f>
        <v/>
      </c>
    </row>
    <row r="1965" customFormat="false" ht="15" hidden="false" customHeight="false" outlineLevel="0" collapsed="false">
      <c r="A1965" s="55"/>
      <c r="B1965" s="56"/>
      <c r="C1965" s="56"/>
      <c r="D1965" s="56"/>
      <c r="E1965" s="56"/>
      <c r="F1965" s="56"/>
      <c r="G1965" s="58"/>
      <c r="H1965" s="56"/>
      <c r="I1965" s="61" t="str">
        <f aca="false">IF(IsPro,IF(OR($C1965="",N($G1965)=0),"",IF(OR($C1965="Receipt",$C1965="Other Income",$C1965="Capital In",$C1965="Transfer In"),$G1965,0)),"")</f>
        <v/>
      </c>
      <c r="J1965" s="61" t="str">
        <f aca="false">IF(IsPro,IF(OR($C1965="",N($G1965)=0),"",IF(I1965=0,$G1965,0)),"")</f>
        <v/>
      </c>
      <c r="K1965" s="60" t="str">
        <f aca="false">IF(IsPro,IF($C1965="","",IF(AND(OR($C1965="Receipt",$C1965="Payment"),$D1965=""),"Party needed",IF(AND(OR($C1965="Expense",$C1965="Other Income"),$E1965=""),"Head needed",IF($F1965="","Account needed","OK")))),IF($C1965="","","PRO PLAN"))</f>
        <v/>
      </c>
    </row>
    <row r="1966" customFormat="false" ht="15" hidden="false" customHeight="false" outlineLevel="0" collapsed="false">
      <c r="A1966" s="55"/>
      <c r="B1966" s="56"/>
      <c r="C1966" s="56"/>
      <c r="D1966" s="56"/>
      <c r="E1966" s="56"/>
      <c r="F1966" s="56"/>
      <c r="G1966" s="58"/>
      <c r="H1966" s="56"/>
      <c r="I1966" s="61" t="str">
        <f aca="false">IF(IsPro,IF(OR($C1966="",N($G1966)=0),"",IF(OR($C1966="Receipt",$C1966="Other Income",$C1966="Capital In",$C1966="Transfer In"),$G1966,0)),"")</f>
        <v/>
      </c>
      <c r="J1966" s="61" t="str">
        <f aca="false">IF(IsPro,IF(OR($C1966="",N($G1966)=0),"",IF(I1966=0,$G1966,0)),"")</f>
        <v/>
      </c>
      <c r="K1966" s="60" t="str">
        <f aca="false">IF(IsPro,IF($C1966="","",IF(AND(OR($C1966="Receipt",$C1966="Payment"),$D1966=""),"Party needed",IF(AND(OR($C1966="Expense",$C1966="Other Income"),$E1966=""),"Head needed",IF($F1966="","Account needed","OK")))),IF($C1966="","","PRO PLAN"))</f>
        <v/>
      </c>
    </row>
    <row r="1967" customFormat="false" ht="15" hidden="false" customHeight="false" outlineLevel="0" collapsed="false">
      <c r="A1967" s="55"/>
      <c r="B1967" s="56"/>
      <c r="C1967" s="56"/>
      <c r="D1967" s="56"/>
      <c r="E1967" s="56"/>
      <c r="F1967" s="56"/>
      <c r="G1967" s="58"/>
      <c r="H1967" s="56"/>
      <c r="I1967" s="61" t="str">
        <f aca="false">IF(IsPro,IF(OR($C1967="",N($G1967)=0),"",IF(OR($C1967="Receipt",$C1967="Other Income",$C1967="Capital In",$C1967="Transfer In"),$G1967,0)),"")</f>
        <v/>
      </c>
      <c r="J1967" s="61" t="str">
        <f aca="false">IF(IsPro,IF(OR($C1967="",N($G1967)=0),"",IF(I1967=0,$G1967,0)),"")</f>
        <v/>
      </c>
      <c r="K1967" s="60" t="str">
        <f aca="false">IF(IsPro,IF($C1967="","",IF(AND(OR($C1967="Receipt",$C1967="Payment"),$D1967=""),"Party needed",IF(AND(OR($C1967="Expense",$C1967="Other Income"),$E1967=""),"Head needed",IF($F1967="","Account needed","OK")))),IF($C1967="","","PRO PLAN"))</f>
        <v/>
      </c>
    </row>
    <row r="1968" customFormat="false" ht="15" hidden="false" customHeight="false" outlineLevel="0" collapsed="false">
      <c r="A1968" s="55"/>
      <c r="B1968" s="56"/>
      <c r="C1968" s="56"/>
      <c r="D1968" s="56"/>
      <c r="E1968" s="56"/>
      <c r="F1968" s="56"/>
      <c r="G1968" s="58"/>
      <c r="H1968" s="56"/>
      <c r="I1968" s="61" t="str">
        <f aca="false">IF(IsPro,IF(OR($C1968="",N($G1968)=0),"",IF(OR($C1968="Receipt",$C1968="Other Income",$C1968="Capital In",$C1968="Transfer In"),$G1968,0)),"")</f>
        <v/>
      </c>
      <c r="J1968" s="61" t="str">
        <f aca="false">IF(IsPro,IF(OR($C1968="",N($G1968)=0),"",IF(I1968=0,$G1968,0)),"")</f>
        <v/>
      </c>
      <c r="K1968" s="60" t="str">
        <f aca="false">IF(IsPro,IF($C1968="","",IF(AND(OR($C1968="Receipt",$C1968="Payment"),$D1968=""),"Party needed",IF(AND(OR($C1968="Expense",$C1968="Other Income"),$E1968=""),"Head needed",IF($F1968="","Account needed","OK")))),IF($C1968="","","PRO PLAN"))</f>
        <v/>
      </c>
    </row>
    <row r="1969" customFormat="false" ht="15" hidden="false" customHeight="false" outlineLevel="0" collapsed="false">
      <c r="A1969" s="55"/>
      <c r="B1969" s="56"/>
      <c r="C1969" s="56"/>
      <c r="D1969" s="56"/>
      <c r="E1969" s="56"/>
      <c r="F1969" s="56"/>
      <c r="G1969" s="58"/>
      <c r="H1969" s="56"/>
      <c r="I1969" s="61" t="str">
        <f aca="false">IF(IsPro,IF(OR($C1969="",N($G1969)=0),"",IF(OR($C1969="Receipt",$C1969="Other Income",$C1969="Capital In",$C1969="Transfer In"),$G1969,0)),"")</f>
        <v/>
      </c>
      <c r="J1969" s="61" t="str">
        <f aca="false">IF(IsPro,IF(OR($C1969="",N($G1969)=0),"",IF(I1969=0,$G1969,0)),"")</f>
        <v/>
      </c>
      <c r="K1969" s="60" t="str">
        <f aca="false">IF(IsPro,IF($C1969="","",IF(AND(OR($C1969="Receipt",$C1969="Payment"),$D1969=""),"Party needed",IF(AND(OR($C1969="Expense",$C1969="Other Income"),$E1969=""),"Head needed",IF($F1969="","Account needed","OK")))),IF($C1969="","","PRO PLAN"))</f>
        <v/>
      </c>
    </row>
    <row r="1970" customFormat="false" ht="15" hidden="false" customHeight="false" outlineLevel="0" collapsed="false">
      <c r="A1970" s="55"/>
      <c r="B1970" s="56"/>
      <c r="C1970" s="56"/>
      <c r="D1970" s="56"/>
      <c r="E1970" s="56"/>
      <c r="F1970" s="56"/>
      <c r="G1970" s="58"/>
      <c r="H1970" s="56"/>
      <c r="I1970" s="61" t="str">
        <f aca="false">IF(IsPro,IF(OR($C1970="",N($G1970)=0),"",IF(OR($C1970="Receipt",$C1970="Other Income",$C1970="Capital In",$C1970="Transfer In"),$G1970,0)),"")</f>
        <v/>
      </c>
      <c r="J1970" s="61" t="str">
        <f aca="false">IF(IsPro,IF(OR($C1970="",N($G1970)=0),"",IF(I1970=0,$G1970,0)),"")</f>
        <v/>
      </c>
      <c r="K1970" s="60" t="str">
        <f aca="false">IF(IsPro,IF($C1970="","",IF(AND(OR($C1970="Receipt",$C1970="Payment"),$D1970=""),"Party needed",IF(AND(OR($C1970="Expense",$C1970="Other Income"),$E1970=""),"Head needed",IF($F1970="","Account needed","OK")))),IF($C1970="","","PRO PLAN"))</f>
        <v/>
      </c>
    </row>
    <row r="1971" customFormat="false" ht="15" hidden="false" customHeight="false" outlineLevel="0" collapsed="false">
      <c r="A1971" s="55"/>
      <c r="B1971" s="56"/>
      <c r="C1971" s="56"/>
      <c r="D1971" s="56"/>
      <c r="E1971" s="56"/>
      <c r="F1971" s="56"/>
      <c r="G1971" s="58"/>
      <c r="H1971" s="56"/>
      <c r="I1971" s="61" t="str">
        <f aca="false">IF(IsPro,IF(OR($C1971="",N($G1971)=0),"",IF(OR($C1971="Receipt",$C1971="Other Income",$C1971="Capital In",$C1971="Transfer In"),$G1971,0)),"")</f>
        <v/>
      </c>
      <c r="J1971" s="61" t="str">
        <f aca="false">IF(IsPro,IF(OR($C1971="",N($G1971)=0),"",IF(I1971=0,$G1971,0)),"")</f>
        <v/>
      </c>
      <c r="K1971" s="60" t="str">
        <f aca="false">IF(IsPro,IF($C1971="","",IF(AND(OR($C1971="Receipt",$C1971="Payment"),$D1971=""),"Party needed",IF(AND(OR($C1971="Expense",$C1971="Other Income"),$E1971=""),"Head needed",IF($F1971="","Account needed","OK")))),IF($C1971="","","PRO PLAN"))</f>
        <v/>
      </c>
    </row>
    <row r="1972" customFormat="false" ht="15" hidden="false" customHeight="false" outlineLevel="0" collapsed="false">
      <c r="A1972" s="55"/>
      <c r="B1972" s="56"/>
      <c r="C1972" s="56"/>
      <c r="D1972" s="56"/>
      <c r="E1972" s="56"/>
      <c r="F1972" s="56"/>
      <c r="G1972" s="58"/>
      <c r="H1972" s="56"/>
      <c r="I1972" s="61" t="str">
        <f aca="false">IF(IsPro,IF(OR($C1972="",N($G1972)=0),"",IF(OR($C1972="Receipt",$C1972="Other Income",$C1972="Capital In",$C1972="Transfer In"),$G1972,0)),"")</f>
        <v/>
      </c>
      <c r="J1972" s="61" t="str">
        <f aca="false">IF(IsPro,IF(OR($C1972="",N($G1972)=0),"",IF(I1972=0,$G1972,0)),"")</f>
        <v/>
      </c>
      <c r="K1972" s="60" t="str">
        <f aca="false">IF(IsPro,IF($C1972="","",IF(AND(OR($C1972="Receipt",$C1972="Payment"),$D1972=""),"Party needed",IF(AND(OR($C1972="Expense",$C1972="Other Income"),$E1972=""),"Head needed",IF($F1972="","Account needed","OK")))),IF($C1972="","","PRO PLAN"))</f>
        <v/>
      </c>
    </row>
    <row r="1973" customFormat="false" ht="15" hidden="false" customHeight="false" outlineLevel="0" collapsed="false">
      <c r="A1973" s="55"/>
      <c r="B1973" s="56"/>
      <c r="C1973" s="56"/>
      <c r="D1973" s="56"/>
      <c r="E1973" s="56"/>
      <c r="F1973" s="56"/>
      <c r="G1973" s="58"/>
      <c r="H1973" s="56"/>
      <c r="I1973" s="61" t="str">
        <f aca="false">IF(IsPro,IF(OR($C1973="",N($G1973)=0),"",IF(OR($C1973="Receipt",$C1973="Other Income",$C1973="Capital In",$C1973="Transfer In"),$G1973,0)),"")</f>
        <v/>
      </c>
      <c r="J1973" s="61" t="str">
        <f aca="false">IF(IsPro,IF(OR($C1973="",N($G1973)=0),"",IF(I1973=0,$G1973,0)),"")</f>
        <v/>
      </c>
      <c r="K1973" s="60" t="str">
        <f aca="false">IF(IsPro,IF($C1973="","",IF(AND(OR($C1973="Receipt",$C1973="Payment"),$D1973=""),"Party needed",IF(AND(OR($C1973="Expense",$C1973="Other Income"),$E1973=""),"Head needed",IF($F1973="","Account needed","OK")))),IF($C1973="","","PRO PLAN"))</f>
        <v/>
      </c>
    </row>
    <row r="1974" customFormat="false" ht="15" hidden="false" customHeight="false" outlineLevel="0" collapsed="false">
      <c r="A1974" s="55"/>
      <c r="B1974" s="56"/>
      <c r="C1974" s="56"/>
      <c r="D1974" s="56"/>
      <c r="E1974" s="56"/>
      <c r="F1974" s="56"/>
      <c r="G1974" s="58"/>
      <c r="H1974" s="56"/>
      <c r="I1974" s="61" t="str">
        <f aca="false">IF(IsPro,IF(OR($C1974="",N($G1974)=0),"",IF(OR($C1974="Receipt",$C1974="Other Income",$C1974="Capital In",$C1974="Transfer In"),$G1974,0)),"")</f>
        <v/>
      </c>
      <c r="J1974" s="61" t="str">
        <f aca="false">IF(IsPro,IF(OR($C1974="",N($G1974)=0),"",IF(I1974=0,$G1974,0)),"")</f>
        <v/>
      </c>
      <c r="K1974" s="60" t="str">
        <f aca="false">IF(IsPro,IF($C1974="","",IF(AND(OR($C1974="Receipt",$C1974="Payment"),$D1974=""),"Party needed",IF(AND(OR($C1974="Expense",$C1974="Other Income"),$E1974=""),"Head needed",IF($F1974="","Account needed","OK")))),IF($C1974="","","PRO PLAN"))</f>
        <v/>
      </c>
    </row>
    <row r="1975" customFormat="false" ht="15" hidden="false" customHeight="false" outlineLevel="0" collapsed="false">
      <c r="A1975" s="55"/>
      <c r="B1975" s="56"/>
      <c r="C1975" s="56"/>
      <c r="D1975" s="56"/>
      <c r="E1975" s="56"/>
      <c r="F1975" s="56"/>
      <c r="G1975" s="58"/>
      <c r="H1975" s="56"/>
      <c r="I1975" s="61" t="str">
        <f aca="false">IF(IsPro,IF(OR($C1975="",N($G1975)=0),"",IF(OR($C1975="Receipt",$C1975="Other Income",$C1975="Capital In",$C1975="Transfer In"),$G1975,0)),"")</f>
        <v/>
      </c>
      <c r="J1975" s="61" t="str">
        <f aca="false">IF(IsPro,IF(OR($C1975="",N($G1975)=0),"",IF(I1975=0,$G1975,0)),"")</f>
        <v/>
      </c>
      <c r="K1975" s="60" t="str">
        <f aca="false">IF(IsPro,IF($C1975="","",IF(AND(OR($C1975="Receipt",$C1975="Payment"),$D1975=""),"Party needed",IF(AND(OR($C1975="Expense",$C1975="Other Income"),$E1975=""),"Head needed",IF($F1975="","Account needed","OK")))),IF($C1975="","","PRO PLAN"))</f>
        <v/>
      </c>
    </row>
    <row r="1976" customFormat="false" ht="15" hidden="false" customHeight="false" outlineLevel="0" collapsed="false">
      <c r="A1976" s="55"/>
      <c r="B1976" s="56"/>
      <c r="C1976" s="56"/>
      <c r="D1976" s="56"/>
      <c r="E1976" s="56"/>
      <c r="F1976" s="56"/>
      <c r="G1976" s="58"/>
      <c r="H1976" s="56"/>
      <c r="I1976" s="61" t="str">
        <f aca="false">IF(IsPro,IF(OR($C1976="",N($G1976)=0),"",IF(OR($C1976="Receipt",$C1976="Other Income",$C1976="Capital In",$C1976="Transfer In"),$G1976,0)),"")</f>
        <v/>
      </c>
      <c r="J1976" s="61" t="str">
        <f aca="false">IF(IsPro,IF(OR($C1976="",N($G1976)=0),"",IF(I1976=0,$G1976,0)),"")</f>
        <v/>
      </c>
      <c r="K1976" s="60" t="str">
        <f aca="false">IF(IsPro,IF($C1976="","",IF(AND(OR($C1976="Receipt",$C1976="Payment"),$D1976=""),"Party needed",IF(AND(OR($C1976="Expense",$C1976="Other Income"),$E1976=""),"Head needed",IF($F1976="","Account needed","OK")))),IF($C1976="","","PRO PLAN"))</f>
        <v/>
      </c>
    </row>
    <row r="1977" customFormat="false" ht="15" hidden="false" customHeight="false" outlineLevel="0" collapsed="false">
      <c r="A1977" s="55"/>
      <c r="B1977" s="56"/>
      <c r="C1977" s="56"/>
      <c r="D1977" s="56"/>
      <c r="E1977" s="56"/>
      <c r="F1977" s="56"/>
      <c r="G1977" s="58"/>
      <c r="H1977" s="56"/>
      <c r="I1977" s="61" t="str">
        <f aca="false">IF(IsPro,IF(OR($C1977="",N($G1977)=0),"",IF(OR($C1977="Receipt",$C1977="Other Income",$C1977="Capital In",$C1977="Transfer In"),$G1977,0)),"")</f>
        <v/>
      </c>
      <c r="J1977" s="61" t="str">
        <f aca="false">IF(IsPro,IF(OR($C1977="",N($G1977)=0),"",IF(I1977=0,$G1977,0)),"")</f>
        <v/>
      </c>
      <c r="K1977" s="60" t="str">
        <f aca="false">IF(IsPro,IF($C1977="","",IF(AND(OR($C1977="Receipt",$C1977="Payment"),$D1977=""),"Party needed",IF(AND(OR($C1977="Expense",$C1977="Other Income"),$E1977=""),"Head needed",IF($F1977="","Account needed","OK")))),IF($C1977="","","PRO PLAN"))</f>
        <v/>
      </c>
    </row>
    <row r="1978" customFormat="false" ht="15" hidden="false" customHeight="false" outlineLevel="0" collapsed="false">
      <c r="A1978" s="55"/>
      <c r="B1978" s="56"/>
      <c r="C1978" s="56"/>
      <c r="D1978" s="56"/>
      <c r="E1978" s="56"/>
      <c r="F1978" s="56"/>
      <c r="G1978" s="58"/>
      <c r="H1978" s="56"/>
      <c r="I1978" s="61" t="str">
        <f aca="false">IF(IsPro,IF(OR($C1978="",N($G1978)=0),"",IF(OR($C1978="Receipt",$C1978="Other Income",$C1978="Capital In",$C1978="Transfer In"),$G1978,0)),"")</f>
        <v/>
      </c>
      <c r="J1978" s="61" t="str">
        <f aca="false">IF(IsPro,IF(OR($C1978="",N($G1978)=0),"",IF(I1978=0,$G1978,0)),"")</f>
        <v/>
      </c>
      <c r="K1978" s="60" t="str">
        <f aca="false">IF(IsPro,IF($C1978="","",IF(AND(OR($C1978="Receipt",$C1978="Payment"),$D1978=""),"Party needed",IF(AND(OR($C1978="Expense",$C1978="Other Income"),$E1978=""),"Head needed",IF($F1978="","Account needed","OK")))),IF($C1978="","","PRO PLAN"))</f>
        <v/>
      </c>
    </row>
    <row r="1979" customFormat="false" ht="15" hidden="false" customHeight="false" outlineLevel="0" collapsed="false">
      <c r="A1979" s="55"/>
      <c r="B1979" s="56"/>
      <c r="C1979" s="56"/>
      <c r="D1979" s="56"/>
      <c r="E1979" s="56"/>
      <c r="F1979" s="56"/>
      <c r="G1979" s="58"/>
      <c r="H1979" s="56"/>
      <c r="I1979" s="61" t="str">
        <f aca="false">IF(IsPro,IF(OR($C1979="",N($G1979)=0),"",IF(OR($C1979="Receipt",$C1979="Other Income",$C1979="Capital In",$C1979="Transfer In"),$G1979,0)),"")</f>
        <v/>
      </c>
      <c r="J1979" s="61" t="str">
        <f aca="false">IF(IsPro,IF(OR($C1979="",N($G1979)=0),"",IF(I1979=0,$G1979,0)),"")</f>
        <v/>
      </c>
      <c r="K1979" s="60" t="str">
        <f aca="false">IF(IsPro,IF($C1979="","",IF(AND(OR($C1979="Receipt",$C1979="Payment"),$D1979=""),"Party needed",IF(AND(OR($C1979="Expense",$C1979="Other Income"),$E1979=""),"Head needed",IF($F1979="","Account needed","OK")))),IF($C1979="","","PRO PLAN"))</f>
        <v/>
      </c>
    </row>
    <row r="1980" customFormat="false" ht="15" hidden="false" customHeight="false" outlineLevel="0" collapsed="false">
      <c r="A1980" s="55"/>
      <c r="B1980" s="56"/>
      <c r="C1980" s="56"/>
      <c r="D1980" s="56"/>
      <c r="E1980" s="56"/>
      <c r="F1980" s="56"/>
      <c r="G1980" s="58"/>
      <c r="H1980" s="56"/>
      <c r="I1980" s="61" t="str">
        <f aca="false">IF(IsPro,IF(OR($C1980="",N($G1980)=0),"",IF(OR($C1980="Receipt",$C1980="Other Income",$C1980="Capital In",$C1980="Transfer In"),$G1980,0)),"")</f>
        <v/>
      </c>
      <c r="J1980" s="61" t="str">
        <f aca="false">IF(IsPro,IF(OR($C1980="",N($G1980)=0),"",IF(I1980=0,$G1980,0)),"")</f>
        <v/>
      </c>
      <c r="K1980" s="60" t="str">
        <f aca="false">IF(IsPro,IF($C1980="","",IF(AND(OR($C1980="Receipt",$C1980="Payment"),$D1980=""),"Party needed",IF(AND(OR($C1980="Expense",$C1980="Other Income"),$E1980=""),"Head needed",IF($F1980="","Account needed","OK")))),IF($C1980="","","PRO PLAN"))</f>
        <v/>
      </c>
    </row>
    <row r="1981" customFormat="false" ht="15" hidden="false" customHeight="false" outlineLevel="0" collapsed="false">
      <c r="A1981" s="55"/>
      <c r="B1981" s="56"/>
      <c r="C1981" s="56"/>
      <c r="D1981" s="56"/>
      <c r="E1981" s="56"/>
      <c r="F1981" s="56"/>
      <c r="G1981" s="58"/>
      <c r="H1981" s="56"/>
      <c r="I1981" s="61" t="str">
        <f aca="false">IF(IsPro,IF(OR($C1981="",N($G1981)=0),"",IF(OR($C1981="Receipt",$C1981="Other Income",$C1981="Capital In",$C1981="Transfer In"),$G1981,0)),"")</f>
        <v/>
      </c>
      <c r="J1981" s="61" t="str">
        <f aca="false">IF(IsPro,IF(OR($C1981="",N($G1981)=0),"",IF(I1981=0,$G1981,0)),"")</f>
        <v/>
      </c>
      <c r="K1981" s="60" t="str">
        <f aca="false">IF(IsPro,IF($C1981="","",IF(AND(OR($C1981="Receipt",$C1981="Payment"),$D1981=""),"Party needed",IF(AND(OR($C1981="Expense",$C1981="Other Income"),$E1981=""),"Head needed",IF($F1981="","Account needed","OK")))),IF($C1981="","","PRO PLAN"))</f>
        <v/>
      </c>
    </row>
    <row r="1982" customFormat="false" ht="15" hidden="false" customHeight="false" outlineLevel="0" collapsed="false">
      <c r="A1982" s="55"/>
      <c r="B1982" s="56"/>
      <c r="C1982" s="56"/>
      <c r="D1982" s="56"/>
      <c r="E1982" s="56"/>
      <c r="F1982" s="56"/>
      <c r="G1982" s="58"/>
      <c r="H1982" s="56"/>
      <c r="I1982" s="61" t="str">
        <f aca="false">IF(IsPro,IF(OR($C1982="",N($G1982)=0),"",IF(OR($C1982="Receipt",$C1982="Other Income",$C1982="Capital In",$C1982="Transfer In"),$G1982,0)),"")</f>
        <v/>
      </c>
      <c r="J1982" s="61" t="str">
        <f aca="false">IF(IsPro,IF(OR($C1982="",N($G1982)=0),"",IF(I1982=0,$G1982,0)),"")</f>
        <v/>
      </c>
      <c r="K1982" s="60" t="str">
        <f aca="false">IF(IsPro,IF($C1982="","",IF(AND(OR($C1982="Receipt",$C1982="Payment"),$D1982=""),"Party needed",IF(AND(OR($C1982="Expense",$C1982="Other Income"),$E1982=""),"Head needed",IF($F1982="","Account needed","OK")))),IF($C1982="","","PRO PLAN"))</f>
        <v/>
      </c>
    </row>
    <row r="1983" customFormat="false" ht="15" hidden="false" customHeight="false" outlineLevel="0" collapsed="false">
      <c r="A1983" s="55"/>
      <c r="B1983" s="56"/>
      <c r="C1983" s="56"/>
      <c r="D1983" s="56"/>
      <c r="E1983" s="56"/>
      <c r="F1983" s="56"/>
      <c r="G1983" s="58"/>
      <c r="H1983" s="56"/>
      <c r="I1983" s="61" t="str">
        <f aca="false">IF(IsPro,IF(OR($C1983="",N($G1983)=0),"",IF(OR($C1983="Receipt",$C1983="Other Income",$C1983="Capital In",$C1983="Transfer In"),$G1983,0)),"")</f>
        <v/>
      </c>
      <c r="J1983" s="61" t="str">
        <f aca="false">IF(IsPro,IF(OR($C1983="",N($G1983)=0),"",IF(I1983=0,$G1983,0)),"")</f>
        <v/>
      </c>
      <c r="K1983" s="60" t="str">
        <f aca="false">IF(IsPro,IF($C1983="","",IF(AND(OR($C1983="Receipt",$C1983="Payment"),$D1983=""),"Party needed",IF(AND(OR($C1983="Expense",$C1983="Other Income"),$E1983=""),"Head needed",IF($F1983="","Account needed","OK")))),IF($C1983="","","PRO PLAN"))</f>
        <v/>
      </c>
    </row>
    <row r="1984" customFormat="false" ht="15" hidden="false" customHeight="false" outlineLevel="0" collapsed="false">
      <c r="A1984" s="55"/>
      <c r="B1984" s="56"/>
      <c r="C1984" s="56"/>
      <c r="D1984" s="56"/>
      <c r="E1984" s="56"/>
      <c r="F1984" s="56"/>
      <c r="G1984" s="58"/>
      <c r="H1984" s="56"/>
      <c r="I1984" s="61" t="str">
        <f aca="false">IF(IsPro,IF(OR($C1984="",N($G1984)=0),"",IF(OR($C1984="Receipt",$C1984="Other Income",$C1984="Capital In",$C1984="Transfer In"),$G1984,0)),"")</f>
        <v/>
      </c>
      <c r="J1984" s="61" t="str">
        <f aca="false">IF(IsPro,IF(OR($C1984="",N($G1984)=0),"",IF(I1984=0,$G1984,0)),"")</f>
        <v/>
      </c>
      <c r="K1984" s="60" t="str">
        <f aca="false">IF(IsPro,IF($C1984="","",IF(AND(OR($C1984="Receipt",$C1984="Payment"),$D1984=""),"Party needed",IF(AND(OR($C1984="Expense",$C1984="Other Income"),$E1984=""),"Head needed",IF($F1984="","Account needed","OK")))),IF($C1984="","","PRO PLAN"))</f>
        <v/>
      </c>
    </row>
    <row r="1985" customFormat="false" ht="15" hidden="false" customHeight="false" outlineLevel="0" collapsed="false">
      <c r="A1985" s="55"/>
      <c r="B1985" s="56"/>
      <c r="C1985" s="56"/>
      <c r="D1985" s="56"/>
      <c r="E1985" s="56"/>
      <c r="F1985" s="56"/>
      <c r="G1985" s="58"/>
      <c r="H1985" s="56"/>
      <c r="I1985" s="61" t="str">
        <f aca="false">IF(IsPro,IF(OR($C1985="",N($G1985)=0),"",IF(OR($C1985="Receipt",$C1985="Other Income",$C1985="Capital In",$C1985="Transfer In"),$G1985,0)),"")</f>
        <v/>
      </c>
      <c r="J1985" s="61" t="str">
        <f aca="false">IF(IsPro,IF(OR($C1985="",N($G1985)=0),"",IF(I1985=0,$G1985,0)),"")</f>
        <v/>
      </c>
      <c r="K1985" s="60" t="str">
        <f aca="false">IF(IsPro,IF($C1985="","",IF(AND(OR($C1985="Receipt",$C1985="Payment"),$D1985=""),"Party needed",IF(AND(OR($C1985="Expense",$C1985="Other Income"),$E1985=""),"Head needed",IF($F1985="","Account needed","OK")))),IF($C1985="","","PRO PLAN"))</f>
        <v/>
      </c>
    </row>
    <row r="1986" customFormat="false" ht="15" hidden="false" customHeight="false" outlineLevel="0" collapsed="false">
      <c r="A1986" s="55"/>
      <c r="B1986" s="56"/>
      <c r="C1986" s="56"/>
      <c r="D1986" s="56"/>
      <c r="E1986" s="56"/>
      <c r="F1986" s="56"/>
      <c r="G1986" s="58"/>
      <c r="H1986" s="56"/>
      <c r="I1986" s="61" t="str">
        <f aca="false">IF(IsPro,IF(OR($C1986="",N($G1986)=0),"",IF(OR($C1986="Receipt",$C1986="Other Income",$C1986="Capital In",$C1986="Transfer In"),$G1986,0)),"")</f>
        <v/>
      </c>
      <c r="J1986" s="61" t="str">
        <f aca="false">IF(IsPro,IF(OR($C1986="",N($G1986)=0),"",IF(I1986=0,$G1986,0)),"")</f>
        <v/>
      </c>
      <c r="K1986" s="60" t="str">
        <f aca="false">IF(IsPro,IF($C1986="","",IF(AND(OR($C1986="Receipt",$C1986="Payment"),$D1986=""),"Party needed",IF(AND(OR($C1986="Expense",$C1986="Other Income"),$E1986=""),"Head needed",IF($F1986="","Account needed","OK")))),IF($C1986="","","PRO PLAN"))</f>
        <v/>
      </c>
    </row>
    <row r="1987" customFormat="false" ht="15" hidden="false" customHeight="false" outlineLevel="0" collapsed="false">
      <c r="A1987" s="55"/>
      <c r="B1987" s="56"/>
      <c r="C1987" s="56"/>
      <c r="D1987" s="56"/>
      <c r="E1987" s="56"/>
      <c r="F1987" s="56"/>
      <c r="G1987" s="58"/>
      <c r="H1987" s="56"/>
      <c r="I1987" s="61" t="str">
        <f aca="false">IF(IsPro,IF(OR($C1987="",N($G1987)=0),"",IF(OR($C1987="Receipt",$C1987="Other Income",$C1987="Capital In",$C1987="Transfer In"),$G1987,0)),"")</f>
        <v/>
      </c>
      <c r="J1987" s="61" t="str">
        <f aca="false">IF(IsPro,IF(OR($C1987="",N($G1987)=0),"",IF(I1987=0,$G1987,0)),"")</f>
        <v/>
      </c>
      <c r="K1987" s="60" t="str">
        <f aca="false">IF(IsPro,IF($C1987="","",IF(AND(OR($C1987="Receipt",$C1987="Payment"),$D1987=""),"Party needed",IF(AND(OR($C1987="Expense",$C1987="Other Income"),$E1987=""),"Head needed",IF($F1987="","Account needed","OK")))),IF($C1987="","","PRO PLAN"))</f>
        <v/>
      </c>
    </row>
    <row r="1988" customFormat="false" ht="15" hidden="false" customHeight="false" outlineLevel="0" collapsed="false">
      <c r="A1988" s="55"/>
      <c r="B1988" s="56"/>
      <c r="C1988" s="56"/>
      <c r="D1988" s="56"/>
      <c r="E1988" s="56"/>
      <c r="F1988" s="56"/>
      <c r="G1988" s="58"/>
      <c r="H1988" s="56"/>
      <c r="I1988" s="61" t="str">
        <f aca="false">IF(IsPro,IF(OR($C1988="",N($G1988)=0),"",IF(OR($C1988="Receipt",$C1988="Other Income",$C1988="Capital In",$C1988="Transfer In"),$G1988,0)),"")</f>
        <v/>
      </c>
      <c r="J1988" s="61" t="str">
        <f aca="false">IF(IsPro,IF(OR($C1988="",N($G1988)=0),"",IF(I1988=0,$G1988,0)),"")</f>
        <v/>
      </c>
      <c r="K1988" s="60" t="str">
        <f aca="false">IF(IsPro,IF($C1988="","",IF(AND(OR($C1988="Receipt",$C1988="Payment"),$D1988=""),"Party needed",IF(AND(OR($C1988="Expense",$C1988="Other Income"),$E1988=""),"Head needed",IF($F1988="","Account needed","OK")))),IF($C1988="","","PRO PLAN"))</f>
        <v/>
      </c>
    </row>
    <row r="1989" customFormat="false" ht="15" hidden="false" customHeight="false" outlineLevel="0" collapsed="false">
      <c r="A1989" s="55"/>
      <c r="B1989" s="56"/>
      <c r="C1989" s="56"/>
      <c r="D1989" s="56"/>
      <c r="E1989" s="56"/>
      <c r="F1989" s="56"/>
      <c r="G1989" s="58"/>
      <c r="H1989" s="56"/>
      <c r="I1989" s="61" t="str">
        <f aca="false">IF(IsPro,IF(OR($C1989="",N($G1989)=0),"",IF(OR($C1989="Receipt",$C1989="Other Income",$C1989="Capital In",$C1989="Transfer In"),$G1989,0)),"")</f>
        <v/>
      </c>
      <c r="J1989" s="61" t="str">
        <f aca="false">IF(IsPro,IF(OR($C1989="",N($G1989)=0),"",IF(I1989=0,$G1989,0)),"")</f>
        <v/>
      </c>
      <c r="K1989" s="60" t="str">
        <f aca="false">IF(IsPro,IF($C1989="","",IF(AND(OR($C1989="Receipt",$C1989="Payment"),$D1989=""),"Party needed",IF(AND(OR($C1989="Expense",$C1989="Other Income"),$E1989=""),"Head needed",IF($F1989="","Account needed","OK")))),IF($C1989="","","PRO PLAN"))</f>
        <v/>
      </c>
    </row>
    <row r="1990" customFormat="false" ht="15" hidden="false" customHeight="false" outlineLevel="0" collapsed="false">
      <c r="A1990" s="55"/>
      <c r="B1990" s="56"/>
      <c r="C1990" s="56"/>
      <c r="D1990" s="56"/>
      <c r="E1990" s="56"/>
      <c r="F1990" s="56"/>
      <c r="G1990" s="58"/>
      <c r="H1990" s="56"/>
      <c r="I1990" s="61" t="str">
        <f aca="false">IF(IsPro,IF(OR($C1990="",N($G1990)=0),"",IF(OR($C1990="Receipt",$C1990="Other Income",$C1990="Capital In",$C1990="Transfer In"),$G1990,0)),"")</f>
        <v/>
      </c>
      <c r="J1990" s="61" t="str">
        <f aca="false">IF(IsPro,IF(OR($C1990="",N($G1990)=0),"",IF(I1990=0,$G1990,0)),"")</f>
        <v/>
      </c>
      <c r="K1990" s="60" t="str">
        <f aca="false">IF(IsPro,IF($C1990="","",IF(AND(OR($C1990="Receipt",$C1990="Payment"),$D1990=""),"Party needed",IF(AND(OR($C1990="Expense",$C1990="Other Income"),$E1990=""),"Head needed",IF($F1990="","Account needed","OK")))),IF($C1990="","","PRO PLAN"))</f>
        <v/>
      </c>
    </row>
    <row r="1991" customFormat="false" ht="15" hidden="false" customHeight="false" outlineLevel="0" collapsed="false">
      <c r="A1991" s="55"/>
      <c r="B1991" s="56"/>
      <c r="C1991" s="56"/>
      <c r="D1991" s="56"/>
      <c r="E1991" s="56"/>
      <c r="F1991" s="56"/>
      <c r="G1991" s="58"/>
      <c r="H1991" s="56"/>
      <c r="I1991" s="61" t="str">
        <f aca="false">IF(IsPro,IF(OR($C1991="",N($G1991)=0),"",IF(OR($C1991="Receipt",$C1991="Other Income",$C1991="Capital In",$C1991="Transfer In"),$G1991,0)),"")</f>
        <v/>
      </c>
      <c r="J1991" s="61" t="str">
        <f aca="false">IF(IsPro,IF(OR($C1991="",N($G1991)=0),"",IF(I1991=0,$G1991,0)),"")</f>
        <v/>
      </c>
      <c r="K1991" s="60" t="str">
        <f aca="false">IF(IsPro,IF($C1991="","",IF(AND(OR($C1991="Receipt",$C1991="Payment"),$D1991=""),"Party needed",IF(AND(OR($C1991="Expense",$C1991="Other Income"),$E1991=""),"Head needed",IF($F1991="","Account needed","OK")))),IF($C1991="","","PRO PLAN"))</f>
        <v/>
      </c>
    </row>
    <row r="1992" customFormat="false" ht="15" hidden="false" customHeight="false" outlineLevel="0" collapsed="false">
      <c r="A1992" s="55"/>
      <c r="B1992" s="56"/>
      <c r="C1992" s="56"/>
      <c r="D1992" s="56"/>
      <c r="E1992" s="56"/>
      <c r="F1992" s="56"/>
      <c r="G1992" s="58"/>
      <c r="H1992" s="56"/>
      <c r="I1992" s="61" t="str">
        <f aca="false">IF(IsPro,IF(OR($C1992="",N($G1992)=0),"",IF(OR($C1992="Receipt",$C1992="Other Income",$C1992="Capital In",$C1992="Transfer In"),$G1992,0)),"")</f>
        <v/>
      </c>
      <c r="J1992" s="61" t="str">
        <f aca="false">IF(IsPro,IF(OR($C1992="",N($G1992)=0),"",IF(I1992=0,$G1992,0)),"")</f>
        <v/>
      </c>
      <c r="K1992" s="60" t="str">
        <f aca="false">IF(IsPro,IF($C1992="","",IF(AND(OR($C1992="Receipt",$C1992="Payment"),$D1992=""),"Party needed",IF(AND(OR($C1992="Expense",$C1992="Other Income"),$E1992=""),"Head needed",IF($F1992="","Account needed","OK")))),IF($C1992="","","PRO PLAN"))</f>
        <v/>
      </c>
    </row>
    <row r="1993" customFormat="false" ht="15" hidden="false" customHeight="false" outlineLevel="0" collapsed="false">
      <c r="A1993" s="55"/>
      <c r="B1993" s="56"/>
      <c r="C1993" s="56"/>
      <c r="D1993" s="56"/>
      <c r="E1993" s="56"/>
      <c r="F1993" s="56"/>
      <c r="G1993" s="58"/>
      <c r="H1993" s="56"/>
      <c r="I1993" s="61" t="str">
        <f aca="false">IF(IsPro,IF(OR($C1993="",N($G1993)=0),"",IF(OR($C1993="Receipt",$C1993="Other Income",$C1993="Capital In",$C1993="Transfer In"),$G1993,0)),"")</f>
        <v/>
      </c>
      <c r="J1993" s="61" t="str">
        <f aca="false">IF(IsPro,IF(OR($C1993="",N($G1993)=0),"",IF(I1993=0,$G1993,0)),"")</f>
        <v/>
      </c>
      <c r="K1993" s="60" t="str">
        <f aca="false">IF(IsPro,IF($C1993="","",IF(AND(OR($C1993="Receipt",$C1993="Payment"),$D1993=""),"Party needed",IF(AND(OR($C1993="Expense",$C1993="Other Income"),$E1993=""),"Head needed",IF($F1993="","Account needed","OK")))),IF($C1993="","","PRO PLAN"))</f>
        <v/>
      </c>
    </row>
    <row r="1994" customFormat="false" ht="15" hidden="false" customHeight="false" outlineLevel="0" collapsed="false">
      <c r="A1994" s="55"/>
      <c r="B1994" s="56"/>
      <c r="C1994" s="56"/>
      <c r="D1994" s="56"/>
      <c r="E1994" s="56"/>
      <c r="F1994" s="56"/>
      <c r="G1994" s="58"/>
      <c r="H1994" s="56"/>
      <c r="I1994" s="61" t="str">
        <f aca="false">IF(IsPro,IF(OR($C1994="",N($G1994)=0),"",IF(OR($C1994="Receipt",$C1994="Other Income",$C1994="Capital In",$C1994="Transfer In"),$G1994,0)),"")</f>
        <v/>
      </c>
      <c r="J1994" s="61" t="str">
        <f aca="false">IF(IsPro,IF(OR($C1994="",N($G1994)=0),"",IF(I1994=0,$G1994,0)),"")</f>
        <v/>
      </c>
      <c r="K1994" s="60" t="str">
        <f aca="false">IF(IsPro,IF($C1994="","",IF(AND(OR($C1994="Receipt",$C1994="Payment"),$D1994=""),"Party needed",IF(AND(OR($C1994="Expense",$C1994="Other Income"),$E1994=""),"Head needed",IF($F1994="","Account needed","OK")))),IF($C1994="","","PRO PLAN"))</f>
        <v/>
      </c>
    </row>
    <row r="1995" customFormat="false" ht="15" hidden="false" customHeight="false" outlineLevel="0" collapsed="false">
      <c r="A1995" s="55"/>
      <c r="B1995" s="56"/>
      <c r="C1995" s="56"/>
      <c r="D1995" s="56"/>
      <c r="E1995" s="56"/>
      <c r="F1995" s="56"/>
      <c r="G1995" s="58"/>
      <c r="H1995" s="56"/>
      <c r="I1995" s="61" t="str">
        <f aca="false">IF(IsPro,IF(OR($C1995="",N($G1995)=0),"",IF(OR($C1995="Receipt",$C1995="Other Income",$C1995="Capital In",$C1995="Transfer In"),$G1995,0)),"")</f>
        <v/>
      </c>
      <c r="J1995" s="61" t="str">
        <f aca="false">IF(IsPro,IF(OR($C1995="",N($G1995)=0),"",IF(I1995=0,$G1995,0)),"")</f>
        <v/>
      </c>
      <c r="K1995" s="60" t="str">
        <f aca="false">IF(IsPro,IF($C1995="","",IF(AND(OR($C1995="Receipt",$C1995="Payment"),$D1995=""),"Party needed",IF(AND(OR($C1995="Expense",$C1995="Other Income"),$E1995=""),"Head needed",IF($F1995="","Account needed","OK")))),IF($C1995="","","PRO PLAN"))</f>
        <v/>
      </c>
    </row>
    <row r="1996" customFormat="false" ht="15" hidden="false" customHeight="false" outlineLevel="0" collapsed="false">
      <c r="A1996" s="55"/>
      <c r="B1996" s="56"/>
      <c r="C1996" s="56"/>
      <c r="D1996" s="56"/>
      <c r="E1996" s="56"/>
      <c r="F1996" s="56"/>
      <c r="G1996" s="58"/>
      <c r="H1996" s="56"/>
      <c r="I1996" s="61" t="str">
        <f aca="false">IF(IsPro,IF(OR($C1996="",N($G1996)=0),"",IF(OR($C1996="Receipt",$C1996="Other Income",$C1996="Capital In",$C1996="Transfer In"),$G1996,0)),"")</f>
        <v/>
      </c>
      <c r="J1996" s="61" t="str">
        <f aca="false">IF(IsPro,IF(OR($C1996="",N($G1996)=0),"",IF(I1996=0,$G1996,0)),"")</f>
        <v/>
      </c>
      <c r="K1996" s="60" t="str">
        <f aca="false">IF(IsPro,IF($C1996="","",IF(AND(OR($C1996="Receipt",$C1996="Payment"),$D1996=""),"Party needed",IF(AND(OR($C1996="Expense",$C1996="Other Income"),$E1996=""),"Head needed",IF($F1996="","Account needed","OK")))),IF($C1996="","","PRO PLAN"))</f>
        <v/>
      </c>
    </row>
    <row r="1997" customFormat="false" ht="15" hidden="false" customHeight="false" outlineLevel="0" collapsed="false">
      <c r="A1997" s="55"/>
      <c r="B1997" s="56"/>
      <c r="C1997" s="56"/>
      <c r="D1997" s="56"/>
      <c r="E1997" s="56"/>
      <c r="F1997" s="56"/>
      <c r="G1997" s="58"/>
      <c r="H1997" s="56"/>
      <c r="I1997" s="61" t="str">
        <f aca="false">IF(IsPro,IF(OR($C1997="",N($G1997)=0),"",IF(OR($C1997="Receipt",$C1997="Other Income",$C1997="Capital In",$C1997="Transfer In"),$G1997,0)),"")</f>
        <v/>
      </c>
      <c r="J1997" s="61" t="str">
        <f aca="false">IF(IsPro,IF(OR($C1997="",N($G1997)=0),"",IF(I1997=0,$G1997,0)),"")</f>
        <v/>
      </c>
      <c r="K1997" s="60" t="str">
        <f aca="false">IF(IsPro,IF($C1997="","",IF(AND(OR($C1997="Receipt",$C1997="Payment"),$D1997=""),"Party needed",IF(AND(OR($C1997="Expense",$C1997="Other Income"),$E1997=""),"Head needed",IF($F1997="","Account needed","OK")))),IF($C1997="","","PRO PLAN"))</f>
        <v/>
      </c>
    </row>
    <row r="1998" customFormat="false" ht="15" hidden="false" customHeight="false" outlineLevel="0" collapsed="false">
      <c r="A1998" s="55"/>
      <c r="B1998" s="56"/>
      <c r="C1998" s="56"/>
      <c r="D1998" s="56"/>
      <c r="E1998" s="56"/>
      <c r="F1998" s="56"/>
      <c r="G1998" s="58"/>
      <c r="H1998" s="56"/>
      <c r="I1998" s="61" t="str">
        <f aca="false">IF(IsPro,IF(OR($C1998="",N($G1998)=0),"",IF(OR($C1998="Receipt",$C1998="Other Income",$C1998="Capital In",$C1998="Transfer In"),$G1998,0)),"")</f>
        <v/>
      </c>
      <c r="J1998" s="61" t="str">
        <f aca="false">IF(IsPro,IF(OR($C1998="",N($G1998)=0),"",IF(I1998=0,$G1998,0)),"")</f>
        <v/>
      </c>
      <c r="K1998" s="60" t="str">
        <f aca="false">IF(IsPro,IF($C1998="","",IF(AND(OR($C1998="Receipt",$C1998="Payment"),$D1998=""),"Party needed",IF(AND(OR($C1998="Expense",$C1998="Other Income"),$E1998=""),"Head needed",IF($F1998="","Account needed","OK")))),IF($C1998="","","PRO PLAN"))</f>
        <v/>
      </c>
    </row>
    <row r="1999" customFormat="false" ht="15" hidden="false" customHeight="false" outlineLevel="0" collapsed="false">
      <c r="A1999" s="55"/>
      <c r="B1999" s="56"/>
      <c r="C1999" s="56"/>
      <c r="D1999" s="56"/>
      <c r="E1999" s="56"/>
      <c r="F1999" s="56"/>
      <c r="G1999" s="58"/>
      <c r="H1999" s="56"/>
      <c r="I1999" s="61" t="str">
        <f aca="false">IF(IsPro,IF(OR($C1999="",N($G1999)=0),"",IF(OR($C1999="Receipt",$C1999="Other Income",$C1999="Capital In",$C1999="Transfer In"),$G1999,0)),"")</f>
        <v/>
      </c>
      <c r="J1999" s="61" t="str">
        <f aca="false">IF(IsPro,IF(OR($C1999="",N($G1999)=0),"",IF(I1999=0,$G1999,0)),"")</f>
        <v/>
      </c>
      <c r="K1999" s="60" t="str">
        <f aca="false">IF(IsPro,IF($C1999="","",IF(AND(OR($C1999="Receipt",$C1999="Payment"),$D1999=""),"Party needed",IF(AND(OR($C1999="Expense",$C1999="Other Income"),$E1999=""),"Head needed",IF($F1999="","Account needed","OK")))),IF($C1999="","","PRO PLAN"))</f>
        <v/>
      </c>
    </row>
    <row r="2000" customFormat="false" ht="15" hidden="false" customHeight="false" outlineLevel="0" collapsed="false">
      <c r="A2000" s="55"/>
      <c r="B2000" s="56"/>
      <c r="C2000" s="56"/>
      <c r="D2000" s="56"/>
      <c r="E2000" s="56"/>
      <c r="F2000" s="56"/>
      <c r="G2000" s="58"/>
      <c r="H2000" s="56"/>
      <c r="I2000" s="61" t="str">
        <f aca="false">IF(IsPro,IF(OR($C2000="",N($G2000)=0),"",IF(OR($C2000="Receipt",$C2000="Other Income",$C2000="Capital In",$C2000="Transfer In"),$G2000,0)),"")</f>
        <v/>
      </c>
      <c r="J2000" s="61" t="str">
        <f aca="false">IF(IsPro,IF(OR($C2000="",N($G2000)=0),"",IF(I2000=0,$G2000,0)),"")</f>
        <v/>
      </c>
      <c r="K2000" s="60" t="str">
        <f aca="false">IF(IsPro,IF($C2000="","",IF(AND(OR($C2000="Receipt",$C2000="Payment"),$D2000=""),"Party needed",IF(AND(OR($C2000="Expense",$C2000="Other Income"),$E2000=""),"Head needed",IF($F2000="","Account needed","OK")))),IF($C2000="","","PRO PLAN"))</f>
        <v/>
      </c>
    </row>
    <row r="2001" customFormat="false" ht="15" hidden="false" customHeight="false" outlineLevel="0" collapsed="false">
      <c r="A2001" s="55"/>
      <c r="B2001" s="56"/>
      <c r="C2001" s="56"/>
      <c r="D2001" s="56"/>
      <c r="E2001" s="56"/>
      <c r="F2001" s="56"/>
      <c r="G2001" s="58"/>
      <c r="H2001" s="56"/>
      <c r="I2001" s="61" t="str">
        <f aca="false">IF(IsPro,IF(OR($C2001="",N($G2001)=0),"",IF(OR($C2001="Receipt",$C2001="Other Income",$C2001="Capital In",$C2001="Transfer In"),$G2001,0)),"")</f>
        <v/>
      </c>
      <c r="J2001" s="61" t="str">
        <f aca="false">IF(IsPro,IF(OR($C2001="",N($G2001)=0),"",IF(I2001=0,$G2001,0)),"")</f>
        <v/>
      </c>
      <c r="K2001" s="60" t="str">
        <f aca="false">IF(IsPro,IF($C2001="","",IF(AND(OR($C2001="Receipt",$C2001="Payment"),$D2001=""),"Party needed",IF(AND(OR($C2001="Expense",$C2001="Other Income"),$E2001=""),"Head needed",IF($F2001="","Account needed","OK")))),IF($C2001="","","PRO PLAN"))</f>
        <v/>
      </c>
    </row>
    <row r="2002" customFormat="false" ht="15" hidden="false" customHeight="false" outlineLevel="0" collapsed="false">
      <c r="A2002" s="55"/>
      <c r="B2002" s="56"/>
      <c r="C2002" s="56"/>
      <c r="D2002" s="56"/>
      <c r="E2002" s="56"/>
      <c r="F2002" s="56"/>
      <c r="G2002" s="58"/>
      <c r="H2002" s="56"/>
      <c r="I2002" s="61" t="str">
        <f aca="false">IF(IsPro,IF(OR($C2002="",N($G2002)=0),"",IF(OR($C2002="Receipt",$C2002="Other Income",$C2002="Capital In",$C2002="Transfer In"),$G2002,0)),"")</f>
        <v/>
      </c>
      <c r="J2002" s="61" t="str">
        <f aca="false">IF(IsPro,IF(OR($C2002="",N($G2002)=0),"",IF(I2002=0,$G2002,0)),"")</f>
        <v/>
      </c>
      <c r="K2002" s="60" t="str">
        <f aca="false">IF(IsPro,IF($C2002="","",IF(AND(OR($C2002="Receipt",$C2002="Payment"),$D2002=""),"Party needed",IF(AND(OR($C2002="Expense",$C2002="Other Income"),$E2002=""),"Head needed",IF($F2002="","Account needed","OK")))),IF($C2002="","","PRO PLAN"))</f>
        <v/>
      </c>
    </row>
    <row r="2003" customFormat="false" ht="15" hidden="false" customHeight="false" outlineLevel="0" collapsed="false">
      <c r="A2003" s="55"/>
      <c r="B2003" s="56"/>
      <c r="C2003" s="56"/>
      <c r="D2003" s="56"/>
      <c r="E2003" s="56"/>
      <c r="F2003" s="56"/>
      <c r="G2003" s="58"/>
      <c r="H2003" s="56"/>
      <c r="I2003" s="61" t="str">
        <f aca="false">IF(IsPro,IF(OR($C2003="",N($G2003)=0),"",IF(OR($C2003="Receipt",$C2003="Other Income",$C2003="Capital In",$C2003="Transfer In"),$G2003,0)),"")</f>
        <v/>
      </c>
      <c r="J2003" s="61" t="str">
        <f aca="false">IF(IsPro,IF(OR($C2003="",N($G2003)=0),"",IF(I2003=0,$G2003,0)),"")</f>
        <v/>
      </c>
      <c r="K2003" s="60" t="str">
        <f aca="false">IF(IsPro,IF($C2003="","",IF(AND(OR($C2003="Receipt",$C2003="Payment"),$D2003=""),"Party needed",IF(AND(OR($C2003="Expense",$C2003="Other Income"),$E2003=""),"Head needed",IF($F2003="","Account needed","OK")))),IF($C2003="","","PRO PLAN"))</f>
        <v/>
      </c>
    </row>
    <row r="2004" customFormat="false" ht="15" hidden="false" customHeight="false" outlineLevel="0" collapsed="false">
      <c r="A2004" s="55"/>
      <c r="B2004" s="56"/>
      <c r="C2004" s="56"/>
      <c r="D2004" s="56"/>
      <c r="E2004" s="56"/>
      <c r="F2004" s="56"/>
      <c r="G2004" s="58"/>
      <c r="H2004" s="56"/>
      <c r="I2004" s="61" t="str">
        <f aca="false">IF(IsPro,IF(OR($C2004="",N($G2004)=0),"",IF(OR($C2004="Receipt",$C2004="Other Income",$C2004="Capital In",$C2004="Transfer In"),$G2004,0)),"")</f>
        <v/>
      </c>
      <c r="J2004" s="61" t="str">
        <f aca="false">IF(IsPro,IF(OR($C2004="",N($G2004)=0),"",IF(I2004=0,$G2004,0)),"")</f>
        <v/>
      </c>
      <c r="K2004" s="60" t="str">
        <f aca="false">IF(IsPro,IF($C2004="","",IF(AND(OR($C2004="Receipt",$C2004="Payment"),$D2004=""),"Party needed",IF(AND(OR($C2004="Expense",$C2004="Other Income"),$E2004=""),"Head needed",IF($F2004="","Account needed","OK")))),IF($C2004="","","PRO PLAN"))</f>
        <v/>
      </c>
    </row>
    <row r="2005" customFormat="false" ht="15" hidden="false" customHeight="false" outlineLevel="0" collapsed="false">
      <c r="A2005" s="55"/>
      <c r="B2005" s="56"/>
      <c r="C2005" s="56"/>
      <c r="D2005" s="56"/>
      <c r="E2005" s="56"/>
      <c r="F2005" s="56"/>
      <c r="G2005" s="58"/>
      <c r="H2005" s="56"/>
      <c r="I2005" s="61" t="str">
        <f aca="false">IF(IsPro,IF(OR($C2005="",N($G2005)=0),"",IF(OR($C2005="Receipt",$C2005="Other Income",$C2005="Capital In",$C2005="Transfer In"),$G2005,0)),"")</f>
        <v/>
      </c>
      <c r="J2005" s="61" t="str">
        <f aca="false">IF(IsPro,IF(OR($C2005="",N($G2005)=0),"",IF(I2005=0,$G2005,0)),"")</f>
        <v/>
      </c>
      <c r="K2005" s="60" t="str">
        <f aca="false">IF(IsPro,IF($C2005="","",IF(AND(OR($C2005="Receipt",$C2005="Payment"),$D2005=""),"Party needed",IF(AND(OR($C2005="Expense",$C2005="Other Income"),$E2005=""),"Head needed",IF($F2005="","Account needed","OK")))),IF($C2005="","","PRO PLAN"))</f>
        <v/>
      </c>
    </row>
    <row r="2006" customFormat="false" ht="15" hidden="false" customHeight="false" outlineLevel="0" collapsed="false">
      <c r="A2006" s="55"/>
      <c r="B2006" s="56"/>
      <c r="C2006" s="56"/>
      <c r="D2006" s="56"/>
      <c r="E2006" s="56"/>
      <c r="F2006" s="56"/>
      <c r="G2006" s="58"/>
      <c r="H2006" s="56"/>
      <c r="I2006" s="61" t="str">
        <f aca="false">IF(IsPro,IF(OR($C2006="",N($G2006)=0),"",IF(OR($C2006="Receipt",$C2006="Other Income",$C2006="Capital In",$C2006="Transfer In"),$G2006,0)),"")</f>
        <v/>
      </c>
      <c r="J2006" s="61" t="str">
        <f aca="false">IF(IsPro,IF(OR($C2006="",N($G2006)=0),"",IF(I2006=0,$G2006,0)),"")</f>
        <v/>
      </c>
      <c r="K2006" s="60" t="str">
        <f aca="false">IF(IsPro,IF($C2006="","",IF(AND(OR($C2006="Receipt",$C2006="Payment"),$D2006=""),"Party needed",IF(AND(OR($C2006="Expense",$C2006="Other Income"),$E2006=""),"Head needed",IF($F2006="","Account needed","OK")))),IF($C2006="","","PRO PLAN"))</f>
        <v/>
      </c>
    </row>
    <row r="2007" customFormat="false" ht="15" hidden="false" customHeight="false" outlineLevel="0" collapsed="false">
      <c r="A2007" s="55"/>
      <c r="B2007" s="56"/>
      <c r="C2007" s="56"/>
      <c r="D2007" s="56"/>
      <c r="E2007" s="56"/>
      <c r="F2007" s="56"/>
      <c r="G2007" s="58"/>
      <c r="H2007" s="56"/>
      <c r="I2007" s="61" t="str">
        <f aca="false">IF(IsPro,IF(OR($C2007="",N($G2007)=0),"",IF(OR($C2007="Receipt",$C2007="Other Income",$C2007="Capital In",$C2007="Transfer In"),$G2007,0)),"")</f>
        <v/>
      </c>
      <c r="J2007" s="61" t="str">
        <f aca="false">IF(IsPro,IF(OR($C2007="",N($G2007)=0),"",IF(I2007=0,$G2007,0)),"")</f>
        <v/>
      </c>
      <c r="K2007" s="60" t="str">
        <f aca="false">IF(IsPro,IF($C2007="","",IF(AND(OR($C2007="Receipt",$C2007="Payment"),$D2007=""),"Party needed",IF(AND(OR($C2007="Expense",$C2007="Other Income"),$E2007=""),"Head needed",IF($F2007="","Account needed","OK")))),IF($C2007="","","PRO PLAN"))</f>
        <v/>
      </c>
    </row>
    <row r="2008" customFormat="false" ht="15" hidden="false" customHeight="false" outlineLevel="0" collapsed="false">
      <c r="A2008" s="55"/>
      <c r="B2008" s="56"/>
      <c r="C2008" s="56"/>
      <c r="D2008" s="56"/>
      <c r="E2008" s="56"/>
      <c r="F2008" s="56"/>
      <c r="G2008" s="58"/>
      <c r="H2008" s="56"/>
      <c r="I2008" s="61" t="str">
        <f aca="false">IF(IsPro,IF(OR($C2008="",N($G2008)=0),"",IF(OR($C2008="Receipt",$C2008="Other Income",$C2008="Capital In",$C2008="Transfer In"),$G2008,0)),"")</f>
        <v/>
      </c>
      <c r="J2008" s="61" t="str">
        <f aca="false">IF(IsPro,IF(OR($C2008="",N($G2008)=0),"",IF(I2008=0,$G2008,0)),"")</f>
        <v/>
      </c>
      <c r="K2008" s="60" t="str">
        <f aca="false">IF(IsPro,IF($C2008="","",IF(AND(OR($C2008="Receipt",$C2008="Payment"),$D2008=""),"Party needed",IF(AND(OR($C2008="Expense",$C2008="Other Income"),$E2008=""),"Head needed",IF($F2008="","Account needed","OK")))),IF($C2008="","","PRO PLAN"))</f>
        <v/>
      </c>
    </row>
    <row r="2009" customFormat="false" ht="15" hidden="false" customHeight="false" outlineLevel="0" collapsed="false">
      <c r="A2009" s="55"/>
      <c r="B2009" s="56"/>
      <c r="C2009" s="56"/>
      <c r="D2009" s="56"/>
      <c r="E2009" s="56"/>
      <c r="F2009" s="56"/>
      <c r="G2009" s="58"/>
      <c r="H2009" s="56"/>
      <c r="I2009" s="61" t="str">
        <f aca="false">IF(IsPro,IF(OR($C2009="",N($G2009)=0),"",IF(OR($C2009="Receipt",$C2009="Other Income",$C2009="Capital In",$C2009="Transfer In"),$G2009,0)),"")</f>
        <v/>
      </c>
      <c r="J2009" s="61" t="str">
        <f aca="false">IF(IsPro,IF(OR($C2009="",N($G2009)=0),"",IF(I2009=0,$G2009,0)),"")</f>
        <v/>
      </c>
      <c r="K2009" s="60" t="str">
        <f aca="false">IF(IsPro,IF($C2009="","",IF(AND(OR($C2009="Receipt",$C2009="Payment"),$D2009=""),"Party needed",IF(AND(OR($C2009="Expense",$C2009="Other Income"),$E2009=""),"Head needed",IF($F2009="","Account needed","OK")))),IF($C2009="","","PRO PLAN"))</f>
        <v/>
      </c>
    </row>
    <row r="2010" customFormat="false" ht="15" hidden="false" customHeight="false" outlineLevel="0" collapsed="false">
      <c r="A2010" s="55"/>
      <c r="B2010" s="56"/>
      <c r="C2010" s="56"/>
      <c r="D2010" s="56"/>
      <c r="E2010" s="56"/>
      <c r="F2010" s="56"/>
      <c r="G2010" s="58"/>
      <c r="H2010" s="56"/>
      <c r="I2010" s="61" t="str">
        <f aca="false">IF(IsPro,IF(OR($C2010="",N($G2010)=0),"",IF(OR($C2010="Receipt",$C2010="Other Income",$C2010="Capital In",$C2010="Transfer In"),$G2010,0)),"")</f>
        <v/>
      </c>
      <c r="J2010" s="61" t="str">
        <f aca="false">IF(IsPro,IF(OR($C2010="",N($G2010)=0),"",IF(I2010=0,$G2010,0)),"")</f>
        <v/>
      </c>
      <c r="K2010" s="60" t="str">
        <f aca="false">IF(IsPro,IF($C2010="","",IF(AND(OR($C2010="Receipt",$C2010="Payment"),$D2010=""),"Party needed",IF(AND(OR($C2010="Expense",$C2010="Other Income"),$E2010=""),"Head needed",IF($F2010="","Account needed","OK")))),IF($C2010="","","PRO PLAN"))</f>
        <v/>
      </c>
    </row>
    <row r="2011" customFormat="false" ht="15" hidden="false" customHeight="false" outlineLevel="0" collapsed="false">
      <c r="A2011" s="55"/>
      <c r="B2011" s="56"/>
      <c r="C2011" s="56"/>
      <c r="D2011" s="56"/>
      <c r="E2011" s="56"/>
      <c r="F2011" s="56"/>
      <c r="G2011" s="58"/>
      <c r="H2011" s="56"/>
      <c r="I2011" s="61" t="str">
        <f aca="false">IF(IsPro,IF(OR($C2011="",N($G2011)=0),"",IF(OR($C2011="Receipt",$C2011="Other Income",$C2011="Capital In",$C2011="Transfer In"),$G2011,0)),"")</f>
        <v/>
      </c>
      <c r="J2011" s="61" t="str">
        <f aca="false">IF(IsPro,IF(OR($C2011="",N($G2011)=0),"",IF(I2011=0,$G2011,0)),"")</f>
        <v/>
      </c>
      <c r="K2011" s="60" t="str">
        <f aca="false">IF(IsPro,IF($C2011="","",IF(AND(OR($C2011="Receipt",$C2011="Payment"),$D2011=""),"Party needed",IF(AND(OR($C2011="Expense",$C2011="Other Income"),$E2011=""),"Head needed",IF($F2011="","Account needed","OK")))),IF($C2011="","","PRO PLAN"))</f>
        <v/>
      </c>
    </row>
    <row r="2012" customFormat="false" ht="15" hidden="false" customHeight="false" outlineLevel="0" collapsed="false">
      <c r="A2012" s="55"/>
      <c r="B2012" s="56"/>
      <c r="C2012" s="56"/>
      <c r="D2012" s="56"/>
      <c r="E2012" s="56"/>
      <c r="F2012" s="56"/>
      <c r="G2012" s="58"/>
      <c r="H2012" s="56"/>
      <c r="I2012" s="61" t="str">
        <f aca="false">IF(IsPro,IF(OR($C2012="",N($G2012)=0),"",IF(OR($C2012="Receipt",$C2012="Other Income",$C2012="Capital In",$C2012="Transfer In"),$G2012,0)),"")</f>
        <v/>
      </c>
      <c r="J2012" s="61" t="str">
        <f aca="false">IF(IsPro,IF(OR($C2012="",N($G2012)=0),"",IF(I2012=0,$G2012,0)),"")</f>
        <v/>
      </c>
      <c r="K2012" s="60" t="str">
        <f aca="false">IF(IsPro,IF($C2012="","",IF(AND(OR($C2012="Receipt",$C2012="Payment"),$D2012=""),"Party needed",IF(AND(OR($C2012="Expense",$C2012="Other Income"),$E2012=""),"Head needed",IF($F2012="","Account needed","OK")))),IF($C2012="","","PRO PLAN"))</f>
        <v/>
      </c>
    </row>
    <row r="2013" customFormat="false" ht="15" hidden="false" customHeight="false" outlineLevel="0" collapsed="false">
      <c r="A2013" s="55"/>
      <c r="B2013" s="56"/>
      <c r="C2013" s="56"/>
      <c r="D2013" s="56"/>
      <c r="E2013" s="56"/>
      <c r="F2013" s="56"/>
      <c r="G2013" s="58"/>
      <c r="H2013" s="56"/>
      <c r="I2013" s="61" t="str">
        <f aca="false">IF(IsPro,IF(OR($C2013="",N($G2013)=0),"",IF(OR($C2013="Receipt",$C2013="Other Income",$C2013="Capital In",$C2013="Transfer In"),$G2013,0)),"")</f>
        <v/>
      </c>
      <c r="J2013" s="61" t="str">
        <f aca="false">IF(IsPro,IF(OR($C2013="",N($G2013)=0),"",IF(I2013=0,$G2013,0)),"")</f>
        <v/>
      </c>
      <c r="K2013" s="60" t="str">
        <f aca="false">IF(IsPro,IF($C2013="","",IF(AND(OR($C2013="Receipt",$C2013="Payment"),$D2013=""),"Party needed",IF(AND(OR($C2013="Expense",$C2013="Other Income"),$E2013=""),"Head needed",IF($F2013="","Account needed","OK")))),IF($C2013="","","PRO PLAN"))</f>
        <v/>
      </c>
    </row>
    <row r="2014" customFormat="false" ht="15" hidden="false" customHeight="false" outlineLevel="0" collapsed="false">
      <c r="A2014" s="55"/>
      <c r="B2014" s="56"/>
      <c r="C2014" s="56"/>
      <c r="D2014" s="56"/>
      <c r="E2014" s="56"/>
      <c r="F2014" s="56"/>
      <c r="G2014" s="58"/>
      <c r="H2014" s="56"/>
      <c r="I2014" s="61" t="str">
        <f aca="false">IF(IsPro,IF(OR($C2014="",N($G2014)=0),"",IF(OR($C2014="Receipt",$C2014="Other Income",$C2014="Capital In",$C2014="Transfer In"),$G2014,0)),"")</f>
        <v/>
      </c>
      <c r="J2014" s="61" t="str">
        <f aca="false">IF(IsPro,IF(OR($C2014="",N($G2014)=0),"",IF(I2014=0,$G2014,0)),"")</f>
        <v/>
      </c>
      <c r="K2014" s="60" t="str">
        <f aca="false">IF(IsPro,IF($C2014="","",IF(AND(OR($C2014="Receipt",$C2014="Payment"),$D2014=""),"Party needed",IF(AND(OR($C2014="Expense",$C2014="Other Income"),$E2014=""),"Head needed",IF($F2014="","Account needed","OK")))),IF($C2014="","","PRO PLAN"))</f>
        <v/>
      </c>
    </row>
    <row r="2015" customFormat="false" ht="15" hidden="false" customHeight="false" outlineLevel="0" collapsed="false">
      <c r="A2015" s="55"/>
      <c r="B2015" s="56"/>
      <c r="C2015" s="56"/>
      <c r="D2015" s="56"/>
      <c r="E2015" s="56"/>
      <c r="F2015" s="56"/>
      <c r="G2015" s="58"/>
      <c r="H2015" s="56"/>
      <c r="I2015" s="61" t="str">
        <f aca="false">IF(IsPro,IF(OR($C2015="",N($G2015)=0),"",IF(OR($C2015="Receipt",$C2015="Other Income",$C2015="Capital In",$C2015="Transfer In"),$G2015,0)),"")</f>
        <v/>
      </c>
      <c r="J2015" s="61" t="str">
        <f aca="false">IF(IsPro,IF(OR($C2015="",N($G2015)=0),"",IF(I2015=0,$G2015,0)),"")</f>
        <v/>
      </c>
      <c r="K2015" s="60" t="str">
        <f aca="false">IF(IsPro,IF($C2015="","",IF(AND(OR($C2015="Receipt",$C2015="Payment"),$D2015=""),"Party needed",IF(AND(OR($C2015="Expense",$C2015="Other Income"),$E2015=""),"Head needed",IF($F2015="","Account needed","OK")))),IF($C2015="","","PRO PLAN"))</f>
        <v/>
      </c>
    </row>
    <row r="2016" customFormat="false" ht="15" hidden="false" customHeight="false" outlineLevel="0" collapsed="false">
      <c r="A2016" s="55"/>
      <c r="B2016" s="56"/>
      <c r="C2016" s="56"/>
      <c r="D2016" s="56"/>
      <c r="E2016" s="56"/>
      <c r="F2016" s="56"/>
      <c r="G2016" s="58"/>
      <c r="H2016" s="56"/>
      <c r="I2016" s="61" t="str">
        <f aca="false">IF(IsPro,IF(OR($C2016="",N($G2016)=0),"",IF(OR($C2016="Receipt",$C2016="Other Income",$C2016="Capital In",$C2016="Transfer In"),$G2016,0)),"")</f>
        <v/>
      </c>
      <c r="J2016" s="61" t="str">
        <f aca="false">IF(IsPro,IF(OR($C2016="",N($G2016)=0),"",IF(I2016=0,$G2016,0)),"")</f>
        <v/>
      </c>
      <c r="K2016" s="60" t="str">
        <f aca="false">IF(IsPro,IF($C2016="","",IF(AND(OR($C2016="Receipt",$C2016="Payment"),$D2016=""),"Party needed",IF(AND(OR($C2016="Expense",$C2016="Other Income"),$E2016=""),"Head needed",IF($F2016="","Account needed","OK")))),IF($C2016="","","PRO PLAN"))</f>
        <v/>
      </c>
    </row>
    <row r="2017" customFormat="false" ht="15" hidden="false" customHeight="false" outlineLevel="0" collapsed="false">
      <c r="A2017" s="55"/>
      <c r="B2017" s="56"/>
      <c r="C2017" s="56"/>
      <c r="D2017" s="56"/>
      <c r="E2017" s="56"/>
      <c r="F2017" s="56"/>
      <c r="G2017" s="58"/>
      <c r="H2017" s="56"/>
      <c r="I2017" s="61" t="str">
        <f aca="false">IF(IsPro,IF(OR($C2017="",N($G2017)=0),"",IF(OR($C2017="Receipt",$C2017="Other Income",$C2017="Capital In",$C2017="Transfer In"),$G2017,0)),"")</f>
        <v/>
      </c>
      <c r="J2017" s="61" t="str">
        <f aca="false">IF(IsPro,IF(OR($C2017="",N($G2017)=0),"",IF(I2017=0,$G2017,0)),"")</f>
        <v/>
      </c>
      <c r="K2017" s="60" t="str">
        <f aca="false">IF(IsPro,IF($C2017="","",IF(AND(OR($C2017="Receipt",$C2017="Payment"),$D2017=""),"Party needed",IF(AND(OR($C2017="Expense",$C2017="Other Income"),$E2017=""),"Head needed",IF($F2017="","Account needed","OK")))),IF($C2017="","","PRO PLAN"))</f>
        <v/>
      </c>
    </row>
    <row r="2018" customFormat="false" ht="15" hidden="false" customHeight="false" outlineLevel="0" collapsed="false">
      <c r="A2018" s="55"/>
      <c r="B2018" s="56"/>
      <c r="C2018" s="56"/>
      <c r="D2018" s="56"/>
      <c r="E2018" s="56"/>
      <c r="F2018" s="56"/>
      <c r="G2018" s="58"/>
      <c r="H2018" s="56"/>
      <c r="I2018" s="61" t="str">
        <f aca="false">IF(IsPro,IF(OR($C2018="",N($G2018)=0),"",IF(OR($C2018="Receipt",$C2018="Other Income",$C2018="Capital In",$C2018="Transfer In"),$G2018,0)),"")</f>
        <v/>
      </c>
      <c r="J2018" s="61" t="str">
        <f aca="false">IF(IsPro,IF(OR($C2018="",N($G2018)=0),"",IF(I2018=0,$G2018,0)),"")</f>
        <v/>
      </c>
      <c r="K2018" s="60" t="str">
        <f aca="false">IF(IsPro,IF($C2018="","",IF(AND(OR($C2018="Receipt",$C2018="Payment"),$D2018=""),"Party needed",IF(AND(OR($C2018="Expense",$C2018="Other Income"),$E2018=""),"Head needed",IF($F2018="","Account needed","OK")))),IF($C2018="","","PRO PLAN"))</f>
        <v/>
      </c>
    </row>
    <row r="2019" customFormat="false" ht="15" hidden="false" customHeight="false" outlineLevel="0" collapsed="false">
      <c r="A2019" s="55"/>
      <c r="B2019" s="56"/>
      <c r="C2019" s="56"/>
      <c r="D2019" s="56"/>
      <c r="E2019" s="56"/>
      <c r="F2019" s="56"/>
      <c r="G2019" s="58"/>
      <c r="H2019" s="56"/>
      <c r="I2019" s="61" t="str">
        <f aca="false">IF(IsPro,IF(OR($C2019="",N($G2019)=0),"",IF(OR($C2019="Receipt",$C2019="Other Income",$C2019="Capital In",$C2019="Transfer In"),$G2019,0)),"")</f>
        <v/>
      </c>
      <c r="J2019" s="61" t="str">
        <f aca="false">IF(IsPro,IF(OR($C2019="",N($G2019)=0),"",IF(I2019=0,$G2019,0)),"")</f>
        <v/>
      </c>
      <c r="K2019" s="60" t="str">
        <f aca="false">IF(IsPro,IF($C2019="","",IF(AND(OR($C2019="Receipt",$C2019="Payment"),$D2019=""),"Party needed",IF(AND(OR($C2019="Expense",$C2019="Other Income"),$E2019=""),"Head needed",IF($F2019="","Account needed","OK")))),IF($C2019="","","PRO PLAN"))</f>
        <v/>
      </c>
    </row>
    <row r="2020" customFormat="false" ht="15" hidden="false" customHeight="false" outlineLevel="0" collapsed="false">
      <c r="A2020" s="55"/>
      <c r="B2020" s="56"/>
      <c r="C2020" s="56"/>
      <c r="D2020" s="56"/>
      <c r="E2020" s="56"/>
      <c r="F2020" s="56"/>
      <c r="G2020" s="58"/>
      <c r="H2020" s="56"/>
      <c r="I2020" s="61" t="str">
        <f aca="false">IF(IsPro,IF(OR($C2020="",N($G2020)=0),"",IF(OR($C2020="Receipt",$C2020="Other Income",$C2020="Capital In",$C2020="Transfer In"),$G2020,0)),"")</f>
        <v/>
      </c>
      <c r="J2020" s="61" t="str">
        <f aca="false">IF(IsPro,IF(OR($C2020="",N($G2020)=0),"",IF(I2020=0,$G2020,0)),"")</f>
        <v/>
      </c>
      <c r="K2020" s="60" t="str">
        <f aca="false">IF(IsPro,IF($C2020="","",IF(AND(OR($C2020="Receipt",$C2020="Payment"),$D2020=""),"Party needed",IF(AND(OR($C2020="Expense",$C2020="Other Income"),$E2020=""),"Head needed",IF($F2020="","Account needed","OK")))),IF($C2020="","","PRO PLAN"))</f>
        <v/>
      </c>
    </row>
    <row r="2021" customFormat="false" ht="15" hidden="false" customHeight="false" outlineLevel="0" collapsed="false">
      <c r="A2021" s="55"/>
      <c r="B2021" s="56"/>
      <c r="C2021" s="56"/>
      <c r="D2021" s="56"/>
      <c r="E2021" s="56"/>
      <c r="F2021" s="56"/>
      <c r="G2021" s="58"/>
      <c r="H2021" s="56"/>
      <c r="I2021" s="61" t="str">
        <f aca="false">IF(IsPro,IF(OR($C2021="",N($G2021)=0),"",IF(OR($C2021="Receipt",$C2021="Other Income",$C2021="Capital In",$C2021="Transfer In"),$G2021,0)),"")</f>
        <v/>
      </c>
      <c r="J2021" s="61" t="str">
        <f aca="false">IF(IsPro,IF(OR($C2021="",N($G2021)=0),"",IF(I2021=0,$G2021,0)),"")</f>
        <v/>
      </c>
      <c r="K2021" s="60" t="str">
        <f aca="false">IF(IsPro,IF($C2021="","",IF(AND(OR($C2021="Receipt",$C2021="Payment"),$D2021=""),"Party needed",IF(AND(OR($C2021="Expense",$C2021="Other Income"),$E2021=""),"Head needed",IF($F2021="","Account needed","OK")))),IF($C2021="","","PRO PLAN"))</f>
        <v/>
      </c>
    </row>
    <row r="2022" customFormat="false" ht="15" hidden="false" customHeight="false" outlineLevel="0" collapsed="false">
      <c r="A2022" s="55"/>
      <c r="B2022" s="56"/>
      <c r="C2022" s="56"/>
      <c r="D2022" s="56"/>
      <c r="E2022" s="56"/>
      <c r="F2022" s="56"/>
      <c r="G2022" s="58"/>
      <c r="H2022" s="56"/>
      <c r="I2022" s="61" t="str">
        <f aca="false">IF(IsPro,IF(OR($C2022="",N($G2022)=0),"",IF(OR($C2022="Receipt",$C2022="Other Income",$C2022="Capital In",$C2022="Transfer In"),$G2022,0)),"")</f>
        <v/>
      </c>
      <c r="J2022" s="61" t="str">
        <f aca="false">IF(IsPro,IF(OR($C2022="",N($G2022)=0),"",IF(I2022=0,$G2022,0)),"")</f>
        <v/>
      </c>
      <c r="K2022" s="60" t="str">
        <f aca="false">IF(IsPro,IF($C2022="","",IF(AND(OR($C2022="Receipt",$C2022="Payment"),$D2022=""),"Party needed",IF(AND(OR($C2022="Expense",$C2022="Other Income"),$E2022=""),"Head needed",IF($F2022="","Account needed","OK")))),IF($C2022="","","PRO PLAN"))</f>
        <v/>
      </c>
    </row>
    <row r="2023" customFormat="false" ht="15" hidden="false" customHeight="false" outlineLevel="0" collapsed="false">
      <c r="A2023" s="55"/>
      <c r="B2023" s="56"/>
      <c r="C2023" s="56"/>
      <c r="D2023" s="56"/>
      <c r="E2023" s="56"/>
      <c r="F2023" s="56"/>
      <c r="G2023" s="58"/>
      <c r="H2023" s="56"/>
      <c r="I2023" s="61" t="str">
        <f aca="false">IF(IsPro,IF(OR($C2023="",N($G2023)=0),"",IF(OR($C2023="Receipt",$C2023="Other Income",$C2023="Capital In",$C2023="Transfer In"),$G2023,0)),"")</f>
        <v/>
      </c>
      <c r="J2023" s="61" t="str">
        <f aca="false">IF(IsPro,IF(OR($C2023="",N($G2023)=0),"",IF(I2023=0,$G2023,0)),"")</f>
        <v/>
      </c>
      <c r="K2023" s="60" t="str">
        <f aca="false">IF(IsPro,IF($C2023="","",IF(AND(OR($C2023="Receipt",$C2023="Payment"),$D2023=""),"Party needed",IF(AND(OR($C2023="Expense",$C2023="Other Income"),$E2023=""),"Head needed",IF($F2023="","Account needed","OK")))),IF($C2023="","","PRO PLAN"))</f>
        <v/>
      </c>
    </row>
    <row r="2024" customFormat="false" ht="15" hidden="false" customHeight="false" outlineLevel="0" collapsed="false">
      <c r="A2024" s="55"/>
      <c r="B2024" s="56"/>
      <c r="C2024" s="56"/>
      <c r="D2024" s="56"/>
      <c r="E2024" s="56"/>
      <c r="F2024" s="56"/>
      <c r="G2024" s="58"/>
      <c r="H2024" s="56"/>
      <c r="I2024" s="61" t="str">
        <f aca="false">IF(IsPro,IF(OR($C2024="",N($G2024)=0),"",IF(OR($C2024="Receipt",$C2024="Other Income",$C2024="Capital In",$C2024="Transfer In"),$G2024,0)),"")</f>
        <v/>
      </c>
      <c r="J2024" s="61" t="str">
        <f aca="false">IF(IsPro,IF(OR($C2024="",N($G2024)=0),"",IF(I2024=0,$G2024,0)),"")</f>
        <v/>
      </c>
      <c r="K2024" s="60" t="str">
        <f aca="false">IF(IsPro,IF($C2024="","",IF(AND(OR($C2024="Receipt",$C2024="Payment"),$D2024=""),"Party needed",IF(AND(OR($C2024="Expense",$C2024="Other Income"),$E2024=""),"Head needed",IF($F2024="","Account needed","OK")))),IF($C2024="","","PRO PLAN"))</f>
        <v/>
      </c>
    </row>
    <row r="2025" customFormat="false" ht="15" hidden="false" customHeight="false" outlineLevel="0" collapsed="false">
      <c r="A2025" s="55"/>
      <c r="B2025" s="56"/>
      <c r="C2025" s="56"/>
      <c r="D2025" s="56"/>
      <c r="E2025" s="56"/>
      <c r="F2025" s="56"/>
      <c r="G2025" s="58"/>
      <c r="H2025" s="56"/>
      <c r="I2025" s="61" t="str">
        <f aca="false">IF(IsPro,IF(OR($C2025="",N($G2025)=0),"",IF(OR($C2025="Receipt",$C2025="Other Income",$C2025="Capital In",$C2025="Transfer In"),$G2025,0)),"")</f>
        <v/>
      </c>
      <c r="J2025" s="61" t="str">
        <f aca="false">IF(IsPro,IF(OR($C2025="",N($G2025)=0),"",IF(I2025=0,$G2025,0)),"")</f>
        <v/>
      </c>
      <c r="K2025" s="60" t="str">
        <f aca="false">IF(IsPro,IF($C2025="","",IF(AND(OR($C2025="Receipt",$C2025="Payment"),$D2025=""),"Party needed",IF(AND(OR($C2025="Expense",$C2025="Other Income"),$E2025=""),"Head needed",IF($F2025="","Account needed","OK")))),IF($C2025="","","PRO PLAN"))</f>
        <v/>
      </c>
    </row>
    <row r="2026" customFormat="false" ht="15" hidden="false" customHeight="false" outlineLevel="0" collapsed="false">
      <c r="A2026" s="55"/>
      <c r="B2026" s="56"/>
      <c r="C2026" s="56"/>
      <c r="D2026" s="56"/>
      <c r="E2026" s="56"/>
      <c r="F2026" s="56"/>
      <c r="G2026" s="58"/>
      <c r="H2026" s="56"/>
      <c r="I2026" s="61" t="str">
        <f aca="false">IF(IsPro,IF(OR($C2026="",N($G2026)=0),"",IF(OR($C2026="Receipt",$C2026="Other Income",$C2026="Capital In",$C2026="Transfer In"),$G2026,0)),"")</f>
        <v/>
      </c>
      <c r="J2026" s="61" t="str">
        <f aca="false">IF(IsPro,IF(OR($C2026="",N($G2026)=0),"",IF(I2026=0,$G2026,0)),"")</f>
        <v/>
      </c>
      <c r="K2026" s="60" t="str">
        <f aca="false">IF(IsPro,IF($C2026="","",IF(AND(OR($C2026="Receipt",$C2026="Payment"),$D2026=""),"Party needed",IF(AND(OR($C2026="Expense",$C2026="Other Income"),$E2026=""),"Head needed",IF($F2026="","Account needed","OK")))),IF($C2026="","","PRO PLAN"))</f>
        <v/>
      </c>
    </row>
    <row r="2027" customFormat="false" ht="15" hidden="false" customHeight="false" outlineLevel="0" collapsed="false">
      <c r="A2027" s="55"/>
      <c r="B2027" s="56"/>
      <c r="C2027" s="56"/>
      <c r="D2027" s="56"/>
      <c r="E2027" s="56"/>
      <c r="F2027" s="56"/>
      <c r="G2027" s="58"/>
      <c r="H2027" s="56"/>
      <c r="I2027" s="61" t="str">
        <f aca="false">IF(IsPro,IF(OR($C2027="",N($G2027)=0),"",IF(OR($C2027="Receipt",$C2027="Other Income",$C2027="Capital In",$C2027="Transfer In"),$G2027,0)),"")</f>
        <v/>
      </c>
      <c r="J2027" s="61" t="str">
        <f aca="false">IF(IsPro,IF(OR($C2027="",N($G2027)=0),"",IF(I2027=0,$G2027,0)),"")</f>
        <v/>
      </c>
      <c r="K2027" s="60" t="str">
        <f aca="false">IF(IsPro,IF($C2027="","",IF(AND(OR($C2027="Receipt",$C2027="Payment"),$D2027=""),"Party needed",IF(AND(OR($C2027="Expense",$C2027="Other Income"),$E2027=""),"Head needed",IF($F2027="","Account needed","OK")))),IF($C2027="","","PRO PLAN"))</f>
        <v/>
      </c>
    </row>
    <row r="2028" customFormat="false" ht="15" hidden="false" customHeight="false" outlineLevel="0" collapsed="false">
      <c r="A2028" s="55"/>
      <c r="B2028" s="56"/>
      <c r="C2028" s="56"/>
      <c r="D2028" s="56"/>
      <c r="E2028" s="56"/>
      <c r="F2028" s="56"/>
      <c r="G2028" s="58"/>
      <c r="H2028" s="56"/>
      <c r="I2028" s="61" t="str">
        <f aca="false">IF(IsPro,IF(OR($C2028="",N($G2028)=0),"",IF(OR($C2028="Receipt",$C2028="Other Income",$C2028="Capital In",$C2028="Transfer In"),$G2028,0)),"")</f>
        <v/>
      </c>
      <c r="J2028" s="61" t="str">
        <f aca="false">IF(IsPro,IF(OR($C2028="",N($G2028)=0),"",IF(I2028=0,$G2028,0)),"")</f>
        <v/>
      </c>
      <c r="K2028" s="60" t="str">
        <f aca="false">IF(IsPro,IF($C2028="","",IF(AND(OR($C2028="Receipt",$C2028="Payment"),$D2028=""),"Party needed",IF(AND(OR($C2028="Expense",$C2028="Other Income"),$E2028=""),"Head needed",IF($F2028="","Account needed","OK")))),IF($C2028="","","PRO PLAN"))</f>
        <v/>
      </c>
    </row>
    <row r="2029" customFormat="false" ht="15" hidden="false" customHeight="false" outlineLevel="0" collapsed="false">
      <c r="A2029" s="55"/>
      <c r="B2029" s="56"/>
      <c r="C2029" s="56"/>
      <c r="D2029" s="56"/>
      <c r="E2029" s="56"/>
      <c r="F2029" s="56"/>
      <c r="G2029" s="58"/>
      <c r="H2029" s="56"/>
      <c r="I2029" s="61" t="str">
        <f aca="false">IF(IsPro,IF(OR($C2029="",N($G2029)=0),"",IF(OR($C2029="Receipt",$C2029="Other Income",$C2029="Capital In",$C2029="Transfer In"),$G2029,0)),"")</f>
        <v/>
      </c>
      <c r="J2029" s="61" t="str">
        <f aca="false">IF(IsPro,IF(OR($C2029="",N($G2029)=0),"",IF(I2029=0,$G2029,0)),"")</f>
        <v/>
      </c>
      <c r="K2029" s="60" t="str">
        <f aca="false">IF(IsPro,IF($C2029="","",IF(AND(OR($C2029="Receipt",$C2029="Payment"),$D2029=""),"Party needed",IF(AND(OR($C2029="Expense",$C2029="Other Income"),$E2029=""),"Head needed",IF($F2029="","Account needed","OK")))),IF($C2029="","","PRO PLAN"))</f>
        <v/>
      </c>
    </row>
    <row r="2030" customFormat="false" ht="15" hidden="false" customHeight="false" outlineLevel="0" collapsed="false">
      <c r="A2030" s="55"/>
      <c r="B2030" s="56"/>
      <c r="C2030" s="56"/>
      <c r="D2030" s="56"/>
      <c r="E2030" s="56"/>
      <c r="F2030" s="56"/>
      <c r="G2030" s="58"/>
      <c r="H2030" s="56"/>
      <c r="I2030" s="61" t="str">
        <f aca="false">IF(IsPro,IF(OR($C2030="",N($G2030)=0),"",IF(OR($C2030="Receipt",$C2030="Other Income",$C2030="Capital In",$C2030="Transfer In"),$G2030,0)),"")</f>
        <v/>
      </c>
      <c r="J2030" s="61" t="str">
        <f aca="false">IF(IsPro,IF(OR($C2030="",N($G2030)=0),"",IF(I2030=0,$G2030,0)),"")</f>
        <v/>
      </c>
      <c r="K2030" s="60" t="str">
        <f aca="false">IF(IsPro,IF($C2030="","",IF(AND(OR($C2030="Receipt",$C2030="Payment"),$D2030=""),"Party needed",IF(AND(OR($C2030="Expense",$C2030="Other Income"),$E2030=""),"Head needed",IF($F2030="","Account needed","OK")))),IF($C2030="","","PRO PLAN"))</f>
        <v/>
      </c>
    </row>
    <row r="2031" customFormat="false" ht="15" hidden="false" customHeight="false" outlineLevel="0" collapsed="false">
      <c r="A2031" s="55"/>
      <c r="B2031" s="56"/>
      <c r="C2031" s="56"/>
      <c r="D2031" s="56"/>
      <c r="E2031" s="56"/>
      <c r="F2031" s="56"/>
      <c r="G2031" s="58"/>
      <c r="H2031" s="56"/>
      <c r="I2031" s="61" t="str">
        <f aca="false">IF(IsPro,IF(OR($C2031="",N($G2031)=0),"",IF(OR($C2031="Receipt",$C2031="Other Income",$C2031="Capital In",$C2031="Transfer In"),$G2031,0)),"")</f>
        <v/>
      </c>
      <c r="J2031" s="61" t="str">
        <f aca="false">IF(IsPro,IF(OR($C2031="",N($G2031)=0),"",IF(I2031=0,$G2031,0)),"")</f>
        <v/>
      </c>
      <c r="K2031" s="60" t="str">
        <f aca="false">IF(IsPro,IF($C2031="","",IF(AND(OR($C2031="Receipt",$C2031="Payment"),$D2031=""),"Party needed",IF(AND(OR($C2031="Expense",$C2031="Other Income"),$E2031=""),"Head needed",IF($F2031="","Account needed","OK")))),IF($C2031="","","PRO PLAN"))</f>
        <v/>
      </c>
    </row>
    <row r="2032" customFormat="false" ht="15" hidden="false" customHeight="false" outlineLevel="0" collapsed="false">
      <c r="A2032" s="55"/>
      <c r="B2032" s="56"/>
      <c r="C2032" s="56"/>
      <c r="D2032" s="56"/>
      <c r="E2032" s="56"/>
      <c r="F2032" s="56"/>
      <c r="G2032" s="58"/>
      <c r="H2032" s="56"/>
      <c r="I2032" s="61" t="str">
        <f aca="false">IF(IsPro,IF(OR($C2032="",N($G2032)=0),"",IF(OR($C2032="Receipt",$C2032="Other Income",$C2032="Capital In",$C2032="Transfer In"),$G2032,0)),"")</f>
        <v/>
      </c>
      <c r="J2032" s="61" t="str">
        <f aca="false">IF(IsPro,IF(OR($C2032="",N($G2032)=0),"",IF(I2032=0,$G2032,0)),"")</f>
        <v/>
      </c>
      <c r="K2032" s="60" t="str">
        <f aca="false">IF(IsPro,IF($C2032="","",IF(AND(OR($C2032="Receipt",$C2032="Payment"),$D2032=""),"Party needed",IF(AND(OR($C2032="Expense",$C2032="Other Income"),$E2032=""),"Head needed",IF($F2032="","Account needed","OK")))),IF($C2032="","","PRO PLAN"))</f>
        <v/>
      </c>
    </row>
    <row r="2033" customFormat="false" ht="15" hidden="false" customHeight="false" outlineLevel="0" collapsed="false">
      <c r="A2033" s="55"/>
      <c r="B2033" s="56"/>
      <c r="C2033" s="56"/>
      <c r="D2033" s="56"/>
      <c r="E2033" s="56"/>
      <c r="F2033" s="56"/>
      <c r="G2033" s="58"/>
      <c r="H2033" s="56"/>
      <c r="I2033" s="61" t="str">
        <f aca="false">IF(IsPro,IF(OR($C2033="",N($G2033)=0),"",IF(OR($C2033="Receipt",$C2033="Other Income",$C2033="Capital In",$C2033="Transfer In"),$G2033,0)),"")</f>
        <v/>
      </c>
      <c r="J2033" s="61" t="str">
        <f aca="false">IF(IsPro,IF(OR($C2033="",N($G2033)=0),"",IF(I2033=0,$G2033,0)),"")</f>
        <v/>
      </c>
      <c r="K2033" s="60" t="str">
        <f aca="false">IF(IsPro,IF($C2033="","",IF(AND(OR($C2033="Receipt",$C2033="Payment"),$D2033=""),"Party needed",IF(AND(OR($C2033="Expense",$C2033="Other Income"),$E2033=""),"Head needed",IF($F2033="","Account needed","OK")))),IF($C2033="","","PRO PLAN"))</f>
        <v/>
      </c>
    </row>
    <row r="2034" customFormat="false" ht="15" hidden="false" customHeight="false" outlineLevel="0" collapsed="false">
      <c r="A2034" s="55"/>
      <c r="B2034" s="56"/>
      <c r="C2034" s="56"/>
      <c r="D2034" s="56"/>
      <c r="E2034" s="56"/>
      <c r="F2034" s="56"/>
      <c r="G2034" s="58"/>
      <c r="H2034" s="56"/>
      <c r="I2034" s="61" t="str">
        <f aca="false">IF(IsPro,IF(OR($C2034="",N($G2034)=0),"",IF(OR($C2034="Receipt",$C2034="Other Income",$C2034="Capital In",$C2034="Transfer In"),$G2034,0)),"")</f>
        <v/>
      </c>
      <c r="J2034" s="61" t="str">
        <f aca="false">IF(IsPro,IF(OR($C2034="",N($G2034)=0),"",IF(I2034=0,$G2034,0)),"")</f>
        <v/>
      </c>
      <c r="K2034" s="60" t="str">
        <f aca="false">IF(IsPro,IF($C2034="","",IF(AND(OR($C2034="Receipt",$C2034="Payment"),$D2034=""),"Party needed",IF(AND(OR($C2034="Expense",$C2034="Other Income"),$E2034=""),"Head needed",IF($F2034="","Account needed","OK")))),IF($C2034="","","PRO PLAN"))</f>
        <v/>
      </c>
    </row>
    <row r="2035" customFormat="false" ht="15" hidden="false" customHeight="false" outlineLevel="0" collapsed="false">
      <c r="A2035" s="55"/>
      <c r="B2035" s="56"/>
      <c r="C2035" s="56"/>
      <c r="D2035" s="56"/>
      <c r="E2035" s="56"/>
      <c r="F2035" s="56"/>
      <c r="G2035" s="58"/>
      <c r="H2035" s="56"/>
      <c r="I2035" s="61" t="str">
        <f aca="false">IF(IsPro,IF(OR($C2035="",N($G2035)=0),"",IF(OR($C2035="Receipt",$C2035="Other Income",$C2035="Capital In",$C2035="Transfer In"),$G2035,0)),"")</f>
        <v/>
      </c>
      <c r="J2035" s="61" t="str">
        <f aca="false">IF(IsPro,IF(OR($C2035="",N($G2035)=0),"",IF(I2035=0,$G2035,0)),"")</f>
        <v/>
      </c>
      <c r="K2035" s="60" t="str">
        <f aca="false">IF(IsPro,IF($C2035="","",IF(AND(OR($C2035="Receipt",$C2035="Payment"),$D2035=""),"Party needed",IF(AND(OR($C2035="Expense",$C2035="Other Income"),$E2035=""),"Head needed",IF($F2035="","Account needed","OK")))),IF($C2035="","","PRO PLAN"))</f>
        <v/>
      </c>
    </row>
    <row r="2036" customFormat="false" ht="15" hidden="false" customHeight="false" outlineLevel="0" collapsed="false">
      <c r="A2036" s="55"/>
      <c r="B2036" s="56"/>
      <c r="C2036" s="56"/>
      <c r="D2036" s="56"/>
      <c r="E2036" s="56"/>
      <c r="F2036" s="56"/>
      <c r="G2036" s="58"/>
      <c r="H2036" s="56"/>
      <c r="I2036" s="61" t="str">
        <f aca="false">IF(IsPro,IF(OR($C2036="",N($G2036)=0),"",IF(OR($C2036="Receipt",$C2036="Other Income",$C2036="Capital In",$C2036="Transfer In"),$G2036,0)),"")</f>
        <v/>
      </c>
      <c r="J2036" s="61" t="str">
        <f aca="false">IF(IsPro,IF(OR($C2036="",N($G2036)=0),"",IF(I2036=0,$G2036,0)),"")</f>
        <v/>
      </c>
      <c r="K2036" s="60" t="str">
        <f aca="false">IF(IsPro,IF($C2036="","",IF(AND(OR($C2036="Receipt",$C2036="Payment"),$D2036=""),"Party needed",IF(AND(OR($C2036="Expense",$C2036="Other Income"),$E2036=""),"Head needed",IF($F2036="","Account needed","OK")))),IF($C2036="","","PRO PLAN"))</f>
        <v/>
      </c>
    </row>
    <row r="2037" customFormat="false" ht="15" hidden="false" customHeight="false" outlineLevel="0" collapsed="false">
      <c r="A2037" s="55"/>
      <c r="B2037" s="56"/>
      <c r="C2037" s="56"/>
      <c r="D2037" s="56"/>
      <c r="E2037" s="56"/>
      <c r="F2037" s="56"/>
      <c r="G2037" s="58"/>
      <c r="H2037" s="56"/>
      <c r="I2037" s="61" t="str">
        <f aca="false">IF(IsPro,IF(OR($C2037="",N($G2037)=0),"",IF(OR($C2037="Receipt",$C2037="Other Income",$C2037="Capital In",$C2037="Transfer In"),$G2037,0)),"")</f>
        <v/>
      </c>
      <c r="J2037" s="61" t="str">
        <f aca="false">IF(IsPro,IF(OR($C2037="",N($G2037)=0),"",IF(I2037=0,$G2037,0)),"")</f>
        <v/>
      </c>
      <c r="K2037" s="60" t="str">
        <f aca="false">IF(IsPro,IF($C2037="","",IF(AND(OR($C2037="Receipt",$C2037="Payment"),$D2037=""),"Party needed",IF(AND(OR($C2037="Expense",$C2037="Other Income"),$E2037=""),"Head needed",IF($F2037="","Account needed","OK")))),IF($C2037="","","PRO PLAN"))</f>
        <v/>
      </c>
    </row>
    <row r="2038" customFormat="false" ht="15" hidden="false" customHeight="false" outlineLevel="0" collapsed="false">
      <c r="A2038" s="55"/>
      <c r="B2038" s="56"/>
      <c r="C2038" s="56"/>
      <c r="D2038" s="56"/>
      <c r="E2038" s="56"/>
      <c r="F2038" s="56"/>
      <c r="G2038" s="58"/>
      <c r="H2038" s="56"/>
      <c r="I2038" s="61" t="str">
        <f aca="false">IF(IsPro,IF(OR($C2038="",N($G2038)=0),"",IF(OR($C2038="Receipt",$C2038="Other Income",$C2038="Capital In",$C2038="Transfer In"),$G2038,0)),"")</f>
        <v/>
      </c>
      <c r="J2038" s="61" t="str">
        <f aca="false">IF(IsPro,IF(OR($C2038="",N($G2038)=0),"",IF(I2038=0,$G2038,0)),"")</f>
        <v/>
      </c>
      <c r="K2038" s="60" t="str">
        <f aca="false">IF(IsPro,IF($C2038="","",IF(AND(OR($C2038="Receipt",$C2038="Payment"),$D2038=""),"Party needed",IF(AND(OR($C2038="Expense",$C2038="Other Income"),$E2038=""),"Head needed",IF($F2038="","Account needed","OK")))),IF($C2038="","","PRO PLAN"))</f>
        <v/>
      </c>
    </row>
    <row r="2039" customFormat="false" ht="15" hidden="false" customHeight="false" outlineLevel="0" collapsed="false">
      <c r="A2039" s="55"/>
      <c r="B2039" s="56"/>
      <c r="C2039" s="56"/>
      <c r="D2039" s="56"/>
      <c r="E2039" s="56"/>
      <c r="F2039" s="56"/>
      <c r="G2039" s="58"/>
      <c r="H2039" s="56"/>
      <c r="I2039" s="61" t="str">
        <f aca="false">IF(IsPro,IF(OR($C2039="",N($G2039)=0),"",IF(OR($C2039="Receipt",$C2039="Other Income",$C2039="Capital In",$C2039="Transfer In"),$G2039,0)),"")</f>
        <v/>
      </c>
      <c r="J2039" s="61" t="str">
        <f aca="false">IF(IsPro,IF(OR($C2039="",N($G2039)=0),"",IF(I2039=0,$G2039,0)),"")</f>
        <v/>
      </c>
      <c r="K2039" s="60" t="str">
        <f aca="false">IF(IsPro,IF($C2039="","",IF(AND(OR($C2039="Receipt",$C2039="Payment"),$D2039=""),"Party needed",IF(AND(OR($C2039="Expense",$C2039="Other Income"),$E2039=""),"Head needed",IF($F2039="","Account needed","OK")))),IF($C2039="","","PRO PLAN"))</f>
        <v/>
      </c>
    </row>
    <row r="2040" customFormat="false" ht="15" hidden="false" customHeight="false" outlineLevel="0" collapsed="false">
      <c r="A2040" s="55"/>
      <c r="B2040" s="56"/>
      <c r="C2040" s="56"/>
      <c r="D2040" s="56"/>
      <c r="E2040" s="56"/>
      <c r="F2040" s="56"/>
      <c r="G2040" s="58"/>
      <c r="H2040" s="56"/>
      <c r="I2040" s="61" t="str">
        <f aca="false">IF(IsPro,IF(OR($C2040="",N($G2040)=0),"",IF(OR($C2040="Receipt",$C2040="Other Income",$C2040="Capital In",$C2040="Transfer In"),$G2040,0)),"")</f>
        <v/>
      </c>
      <c r="J2040" s="61" t="str">
        <f aca="false">IF(IsPro,IF(OR($C2040="",N($G2040)=0),"",IF(I2040=0,$G2040,0)),"")</f>
        <v/>
      </c>
      <c r="K2040" s="60" t="str">
        <f aca="false">IF(IsPro,IF($C2040="","",IF(AND(OR($C2040="Receipt",$C2040="Payment"),$D2040=""),"Party needed",IF(AND(OR($C2040="Expense",$C2040="Other Income"),$E2040=""),"Head needed",IF($F2040="","Account needed","OK")))),IF($C2040="","","PRO PLAN"))</f>
        <v/>
      </c>
    </row>
    <row r="2041" customFormat="false" ht="15" hidden="false" customHeight="false" outlineLevel="0" collapsed="false">
      <c r="A2041" s="55"/>
      <c r="B2041" s="56"/>
      <c r="C2041" s="56"/>
      <c r="D2041" s="56"/>
      <c r="E2041" s="56"/>
      <c r="F2041" s="56"/>
      <c r="G2041" s="58"/>
      <c r="H2041" s="56"/>
      <c r="I2041" s="61" t="str">
        <f aca="false">IF(IsPro,IF(OR($C2041="",N($G2041)=0),"",IF(OR($C2041="Receipt",$C2041="Other Income",$C2041="Capital In",$C2041="Transfer In"),$G2041,0)),"")</f>
        <v/>
      </c>
      <c r="J2041" s="61" t="str">
        <f aca="false">IF(IsPro,IF(OR($C2041="",N($G2041)=0),"",IF(I2041=0,$G2041,0)),"")</f>
        <v/>
      </c>
      <c r="K2041" s="60" t="str">
        <f aca="false">IF(IsPro,IF($C2041="","",IF(AND(OR($C2041="Receipt",$C2041="Payment"),$D2041=""),"Party needed",IF(AND(OR($C2041="Expense",$C2041="Other Income"),$E2041=""),"Head needed",IF($F2041="","Account needed","OK")))),IF($C2041="","","PRO PLAN"))</f>
        <v/>
      </c>
    </row>
    <row r="2042" customFormat="false" ht="15" hidden="false" customHeight="false" outlineLevel="0" collapsed="false">
      <c r="A2042" s="55"/>
      <c r="B2042" s="56"/>
      <c r="C2042" s="56"/>
      <c r="D2042" s="56"/>
      <c r="E2042" s="56"/>
      <c r="F2042" s="56"/>
      <c r="G2042" s="58"/>
      <c r="H2042" s="56"/>
      <c r="I2042" s="61" t="str">
        <f aca="false">IF(IsPro,IF(OR($C2042="",N($G2042)=0),"",IF(OR($C2042="Receipt",$C2042="Other Income",$C2042="Capital In",$C2042="Transfer In"),$G2042,0)),"")</f>
        <v/>
      </c>
      <c r="J2042" s="61" t="str">
        <f aca="false">IF(IsPro,IF(OR($C2042="",N($G2042)=0),"",IF(I2042=0,$G2042,0)),"")</f>
        <v/>
      </c>
      <c r="K2042" s="60" t="str">
        <f aca="false">IF(IsPro,IF($C2042="","",IF(AND(OR($C2042="Receipt",$C2042="Payment"),$D2042=""),"Party needed",IF(AND(OR($C2042="Expense",$C2042="Other Income"),$E2042=""),"Head needed",IF($F2042="","Account needed","OK")))),IF($C2042="","","PRO PLAN"))</f>
        <v/>
      </c>
    </row>
    <row r="2043" customFormat="false" ht="15" hidden="false" customHeight="false" outlineLevel="0" collapsed="false">
      <c r="A2043" s="55"/>
      <c r="B2043" s="56"/>
      <c r="C2043" s="56"/>
      <c r="D2043" s="56"/>
      <c r="E2043" s="56"/>
      <c r="F2043" s="56"/>
      <c r="G2043" s="58"/>
      <c r="H2043" s="56"/>
      <c r="I2043" s="61" t="str">
        <f aca="false">IF(IsPro,IF(OR($C2043="",N($G2043)=0),"",IF(OR($C2043="Receipt",$C2043="Other Income",$C2043="Capital In",$C2043="Transfer In"),$G2043,0)),"")</f>
        <v/>
      </c>
      <c r="J2043" s="61" t="str">
        <f aca="false">IF(IsPro,IF(OR($C2043="",N($G2043)=0),"",IF(I2043=0,$G2043,0)),"")</f>
        <v/>
      </c>
      <c r="K2043" s="60" t="str">
        <f aca="false">IF(IsPro,IF($C2043="","",IF(AND(OR($C2043="Receipt",$C2043="Payment"),$D2043=""),"Party needed",IF(AND(OR($C2043="Expense",$C2043="Other Income"),$E2043=""),"Head needed",IF($F2043="","Account needed","OK")))),IF($C2043="","","PRO PLAN"))</f>
        <v/>
      </c>
    </row>
    <row r="2044" customFormat="false" ht="15" hidden="false" customHeight="false" outlineLevel="0" collapsed="false">
      <c r="A2044" s="55"/>
      <c r="B2044" s="56"/>
      <c r="C2044" s="56"/>
      <c r="D2044" s="56"/>
      <c r="E2044" s="56"/>
      <c r="F2044" s="56"/>
      <c r="G2044" s="58"/>
      <c r="H2044" s="56"/>
      <c r="I2044" s="61" t="str">
        <f aca="false">IF(IsPro,IF(OR($C2044="",N($G2044)=0),"",IF(OR($C2044="Receipt",$C2044="Other Income",$C2044="Capital In",$C2044="Transfer In"),$G2044,0)),"")</f>
        <v/>
      </c>
      <c r="J2044" s="61" t="str">
        <f aca="false">IF(IsPro,IF(OR($C2044="",N($G2044)=0),"",IF(I2044=0,$G2044,0)),"")</f>
        <v/>
      </c>
      <c r="K2044" s="60" t="str">
        <f aca="false">IF(IsPro,IF($C2044="","",IF(AND(OR($C2044="Receipt",$C2044="Payment"),$D2044=""),"Party needed",IF(AND(OR($C2044="Expense",$C2044="Other Income"),$E2044=""),"Head needed",IF($F2044="","Account needed","OK")))),IF($C2044="","","PRO PLAN"))</f>
        <v/>
      </c>
    </row>
    <row r="2045" customFormat="false" ht="15" hidden="false" customHeight="false" outlineLevel="0" collapsed="false">
      <c r="A2045" s="55"/>
      <c r="B2045" s="56"/>
      <c r="C2045" s="56"/>
      <c r="D2045" s="56"/>
      <c r="E2045" s="56"/>
      <c r="F2045" s="56"/>
      <c r="G2045" s="58"/>
      <c r="H2045" s="56"/>
      <c r="I2045" s="61" t="str">
        <f aca="false">IF(IsPro,IF(OR($C2045="",N($G2045)=0),"",IF(OR($C2045="Receipt",$C2045="Other Income",$C2045="Capital In",$C2045="Transfer In"),$G2045,0)),"")</f>
        <v/>
      </c>
      <c r="J2045" s="61" t="str">
        <f aca="false">IF(IsPro,IF(OR($C2045="",N($G2045)=0),"",IF(I2045=0,$G2045,0)),"")</f>
        <v/>
      </c>
      <c r="K2045" s="60" t="str">
        <f aca="false">IF(IsPro,IF($C2045="","",IF(AND(OR($C2045="Receipt",$C2045="Payment"),$D2045=""),"Party needed",IF(AND(OR($C2045="Expense",$C2045="Other Income"),$E2045=""),"Head needed",IF($F2045="","Account needed","OK")))),IF($C2045="","","PRO PLAN"))</f>
        <v/>
      </c>
    </row>
    <row r="2046" customFormat="false" ht="15" hidden="false" customHeight="false" outlineLevel="0" collapsed="false">
      <c r="A2046" s="55"/>
      <c r="B2046" s="56"/>
      <c r="C2046" s="56"/>
      <c r="D2046" s="56"/>
      <c r="E2046" s="56"/>
      <c r="F2046" s="56"/>
      <c r="G2046" s="58"/>
      <c r="H2046" s="56"/>
      <c r="I2046" s="61" t="str">
        <f aca="false">IF(IsPro,IF(OR($C2046="",N($G2046)=0),"",IF(OR($C2046="Receipt",$C2046="Other Income",$C2046="Capital In",$C2046="Transfer In"),$G2046,0)),"")</f>
        <v/>
      </c>
      <c r="J2046" s="61" t="str">
        <f aca="false">IF(IsPro,IF(OR($C2046="",N($G2046)=0),"",IF(I2046=0,$G2046,0)),"")</f>
        <v/>
      </c>
      <c r="K2046" s="60" t="str">
        <f aca="false">IF(IsPro,IF($C2046="","",IF(AND(OR($C2046="Receipt",$C2046="Payment"),$D2046=""),"Party needed",IF(AND(OR($C2046="Expense",$C2046="Other Income"),$E2046=""),"Head needed",IF($F2046="","Account needed","OK")))),IF($C2046="","","PRO PLAN"))</f>
        <v/>
      </c>
    </row>
    <row r="2047" customFormat="false" ht="15" hidden="false" customHeight="false" outlineLevel="0" collapsed="false">
      <c r="A2047" s="55"/>
      <c r="B2047" s="56"/>
      <c r="C2047" s="56"/>
      <c r="D2047" s="56"/>
      <c r="E2047" s="56"/>
      <c r="F2047" s="56"/>
      <c r="G2047" s="58"/>
      <c r="H2047" s="56"/>
      <c r="I2047" s="61" t="str">
        <f aca="false">IF(IsPro,IF(OR($C2047="",N($G2047)=0),"",IF(OR($C2047="Receipt",$C2047="Other Income",$C2047="Capital In",$C2047="Transfer In"),$G2047,0)),"")</f>
        <v/>
      </c>
      <c r="J2047" s="61" t="str">
        <f aca="false">IF(IsPro,IF(OR($C2047="",N($G2047)=0),"",IF(I2047=0,$G2047,0)),"")</f>
        <v/>
      </c>
      <c r="K2047" s="60" t="str">
        <f aca="false">IF(IsPro,IF($C2047="","",IF(AND(OR($C2047="Receipt",$C2047="Payment"),$D2047=""),"Party needed",IF(AND(OR($C2047="Expense",$C2047="Other Income"),$E2047=""),"Head needed",IF($F2047="","Account needed","OK")))),IF($C2047="","","PRO PLAN"))</f>
        <v/>
      </c>
    </row>
    <row r="2048" customFormat="false" ht="15" hidden="false" customHeight="false" outlineLevel="0" collapsed="false">
      <c r="A2048" s="55"/>
      <c r="B2048" s="56"/>
      <c r="C2048" s="56"/>
      <c r="D2048" s="56"/>
      <c r="E2048" s="56"/>
      <c r="F2048" s="56"/>
      <c r="G2048" s="58"/>
      <c r="H2048" s="56"/>
      <c r="I2048" s="61" t="str">
        <f aca="false">IF(IsPro,IF(OR($C2048="",N($G2048)=0),"",IF(OR($C2048="Receipt",$C2048="Other Income",$C2048="Capital In",$C2048="Transfer In"),$G2048,0)),"")</f>
        <v/>
      </c>
      <c r="J2048" s="61" t="str">
        <f aca="false">IF(IsPro,IF(OR($C2048="",N($G2048)=0),"",IF(I2048=0,$G2048,0)),"")</f>
        <v/>
      </c>
      <c r="K2048" s="60" t="str">
        <f aca="false">IF(IsPro,IF($C2048="","",IF(AND(OR($C2048="Receipt",$C2048="Payment"),$D2048=""),"Party needed",IF(AND(OR($C2048="Expense",$C2048="Other Income"),$E2048=""),"Head needed",IF($F2048="","Account needed","OK")))),IF($C2048="","","PRO PLAN"))</f>
        <v/>
      </c>
    </row>
    <row r="2049" customFormat="false" ht="15" hidden="false" customHeight="false" outlineLevel="0" collapsed="false">
      <c r="A2049" s="55"/>
      <c r="B2049" s="56"/>
      <c r="C2049" s="56"/>
      <c r="D2049" s="56"/>
      <c r="E2049" s="56"/>
      <c r="F2049" s="56"/>
      <c r="G2049" s="58"/>
      <c r="H2049" s="56"/>
      <c r="I2049" s="61" t="str">
        <f aca="false">IF(IsPro,IF(OR($C2049="",N($G2049)=0),"",IF(OR($C2049="Receipt",$C2049="Other Income",$C2049="Capital In",$C2049="Transfer In"),$G2049,0)),"")</f>
        <v/>
      </c>
      <c r="J2049" s="61" t="str">
        <f aca="false">IF(IsPro,IF(OR($C2049="",N($G2049)=0),"",IF(I2049=0,$G2049,0)),"")</f>
        <v/>
      </c>
      <c r="K2049" s="60" t="str">
        <f aca="false">IF(IsPro,IF($C2049="","",IF(AND(OR($C2049="Receipt",$C2049="Payment"),$D2049=""),"Party needed",IF(AND(OR($C2049="Expense",$C2049="Other Income"),$E2049=""),"Head needed",IF($F2049="","Account needed","OK")))),IF($C2049="","","PRO PLAN"))</f>
        <v/>
      </c>
    </row>
    <row r="2050" customFormat="false" ht="15" hidden="false" customHeight="false" outlineLevel="0" collapsed="false">
      <c r="A2050" s="55"/>
      <c r="B2050" s="56"/>
      <c r="C2050" s="56"/>
      <c r="D2050" s="56"/>
      <c r="E2050" s="56"/>
      <c r="F2050" s="56"/>
      <c r="G2050" s="58"/>
      <c r="H2050" s="56"/>
      <c r="I2050" s="61" t="str">
        <f aca="false">IF(IsPro,IF(OR($C2050="",N($G2050)=0),"",IF(OR($C2050="Receipt",$C2050="Other Income",$C2050="Capital In",$C2050="Transfer In"),$G2050,0)),"")</f>
        <v/>
      </c>
      <c r="J2050" s="61" t="str">
        <f aca="false">IF(IsPro,IF(OR($C2050="",N($G2050)=0),"",IF(I2050=0,$G2050,0)),"")</f>
        <v/>
      </c>
      <c r="K2050" s="60" t="str">
        <f aca="false">IF(IsPro,IF($C2050="","",IF(AND(OR($C2050="Receipt",$C2050="Payment"),$D2050=""),"Party needed",IF(AND(OR($C2050="Expense",$C2050="Other Income"),$E2050=""),"Head needed",IF($F2050="","Account needed","OK")))),IF($C2050="","","PRO PLAN"))</f>
        <v/>
      </c>
    </row>
    <row r="2051" customFormat="false" ht="15" hidden="false" customHeight="false" outlineLevel="0" collapsed="false">
      <c r="A2051" s="55"/>
      <c r="B2051" s="56"/>
      <c r="C2051" s="56"/>
      <c r="D2051" s="56"/>
      <c r="E2051" s="56"/>
      <c r="F2051" s="56"/>
      <c r="G2051" s="58"/>
      <c r="H2051" s="56"/>
      <c r="I2051" s="61" t="str">
        <f aca="false">IF(IsPro,IF(OR($C2051="",N($G2051)=0),"",IF(OR($C2051="Receipt",$C2051="Other Income",$C2051="Capital In",$C2051="Transfer In"),$G2051,0)),"")</f>
        <v/>
      </c>
      <c r="J2051" s="61" t="str">
        <f aca="false">IF(IsPro,IF(OR($C2051="",N($G2051)=0),"",IF(I2051=0,$G2051,0)),"")</f>
        <v/>
      </c>
      <c r="K2051" s="60" t="str">
        <f aca="false">IF(IsPro,IF($C2051="","",IF(AND(OR($C2051="Receipt",$C2051="Payment"),$D2051=""),"Party needed",IF(AND(OR($C2051="Expense",$C2051="Other Income"),$E2051=""),"Head needed",IF($F2051="","Account needed","OK")))),IF($C2051="","","PRO PLAN"))</f>
        <v/>
      </c>
    </row>
    <row r="2052" customFormat="false" ht="15" hidden="false" customHeight="false" outlineLevel="0" collapsed="false">
      <c r="A2052" s="55"/>
      <c r="B2052" s="56"/>
      <c r="C2052" s="56"/>
      <c r="D2052" s="56"/>
      <c r="E2052" s="56"/>
      <c r="F2052" s="56"/>
      <c r="G2052" s="58"/>
      <c r="H2052" s="56"/>
      <c r="I2052" s="61" t="str">
        <f aca="false">IF(IsPro,IF(OR($C2052="",N($G2052)=0),"",IF(OR($C2052="Receipt",$C2052="Other Income",$C2052="Capital In",$C2052="Transfer In"),$G2052,0)),"")</f>
        <v/>
      </c>
      <c r="J2052" s="61" t="str">
        <f aca="false">IF(IsPro,IF(OR($C2052="",N($G2052)=0),"",IF(I2052=0,$G2052,0)),"")</f>
        <v/>
      </c>
      <c r="K2052" s="60" t="str">
        <f aca="false">IF(IsPro,IF($C2052="","",IF(AND(OR($C2052="Receipt",$C2052="Payment"),$D2052=""),"Party needed",IF(AND(OR($C2052="Expense",$C2052="Other Income"),$E2052=""),"Head needed",IF($F2052="","Account needed","OK")))),IF($C2052="","","PRO PLAN"))</f>
        <v/>
      </c>
    </row>
    <row r="2053" customFormat="false" ht="15" hidden="false" customHeight="false" outlineLevel="0" collapsed="false">
      <c r="A2053" s="55"/>
      <c r="B2053" s="56"/>
      <c r="C2053" s="56"/>
      <c r="D2053" s="56"/>
      <c r="E2053" s="56"/>
      <c r="F2053" s="56"/>
      <c r="G2053" s="58"/>
      <c r="H2053" s="56"/>
      <c r="I2053" s="61" t="str">
        <f aca="false">IF(IsPro,IF(OR($C2053="",N($G2053)=0),"",IF(OR($C2053="Receipt",$C2053="Other Income",$C2053="Capital In",$C2053="Transfer In"),$G2053,0)),"")</f>
        <v/>
      </c>
      <c r="J2053" s="61" t="str">
        <f aca="false">IF(IsPro,IF(OR($C2053="",N($G2053)=0),"",IF(I2053=0,$G2053,0)),"")</f>
        <v/>
      </c>
      <c r="K2053" s="60" t="str">
        <f aca="false">IF(IsPro,IF($C2053="","",IF(AND(OR($C2053="Receipt",$C2053="Payment"),$D2053=""),"Party needed",IF(AND(OR($C2053="Expense",$C2053="Other Income"),$E2053=""),"Head needed",IF($F2053="","Account needed","OK")))),IF($C2053="","","PRO PLAN"))</f>
        <v/>
      </c>
    </row>
    <row r="2054" customFormat="false" ht="15" hidden="false" customHeight="false" outlineLevel="0" collapsed="false">
      <c r="A2054" s="55"/>
      <c r="B2054" s="56"/>
      <c r="C2054" s="56"/>
      <c r="D2054" s="56"/>
      <c r="E2054" s="56"/>
      <c r="F2054" s="56"/>
      <c r="G2054" s="58"/>
      <c r="H2054" s="56"/>
      <c r="I2054" s="61" t="str">
        <f aca="false">IF(IsPro,IF(OR($C2054="",N($G2054)=0),"",IF(OR($C2054="Receipt",$C2054="Other Income",$C2054="Capital In",$C2054="Transfer In"),$G2054,0)),"")</f>
        <v/>
      </c>
      <c r="J2054" s="61" t="str">
        <f aca="false">IF(IsPro,IF(OR($C2054="",N($G2054)=0),"",IF(I2054=0,$G2054,0)),"")</f>
        <v/>
      </c>
      <c r="K2054" s="60" t="str">
        <f aca="false">IF(IsPro,IF($C2054="","",IF(AND(OR($C2054="Receipt",$C2054="Payment"),$D2054=""),"Party needed",IF(AND(OR($C2054="Expense",$C2054="Other Income"),$E2054=""),"Head needed",IF($F2054="","Account needed","OK")))),IF($C2054="","","PRO PLAN"))</f>
        <v/>
      </c>
    </row>
    <row r="2055" customFormat="false" ht="15" hidden="false" customHeight="false" outlineLevel="0" collapsed="false">
      <c r="A2055" s="55"/>
      <c r="B2055" s="56"/>
      <c r="C2055" s="56"/>
      <c r="D2055" s="56"/>
      <c r="E2055" s="56"/>
      <c r="F2055" s="56"/>
      <c r="G2055" s="58"/>
      <c r="H2055" s="56"/>
      <c r="I2055" s="61" t="str">
        <f aca="false">IF(IsPro,IF(OR($C2055="",N($G2055)=0),"",IF(OR($C2055="Receipt",$C2055="Other Income",$C2055="Capital In",$C2055="Transfer In"),$G2055,0)),"")</f>
        <v/>
      </c>
      <c r="J2055" s="61" t="str">
        <f aca="false">IF(IsPro,IF(OR($C2055="",N($G2055)=0),"",IF(I2055=0,$G2055,0)),"")</f>
        <v/>
      </c>
      <c r="K2055" s="60" t="str">
        <f aca="false">IF(IsPro,IF($C2055="","",IF(AND(OR($C2055="Receipt",$C2055="Payment"),$D2055=""),"Party needed",IF(AND(OR($C2055="Expense",$C2055="Other Income"),$E2055=""),"Head needed",IF($F2055="","Account needed","OK")))),IF($C2055="","","PRO PLAN"))</f>
        <v/>
      </c>
    </row>
    <row r="2056" customFormat="false" ht="15" hidden="false" customHeight="false" outlineLevel="0" collapsed="false">
      <c r="A2056" s="55"/>
      <c r="B2056" s="56"/>
      <c r="C2056" s="56"/>
      <c r="D2056" s="56"/>
      <c r="E2056" s="56"/>
      <c r="F2056" s="56"/>
      <c r="G2056" s="58"/>
      <c r="H2056" s="56"/>
      <c r="I2056" s="61" t="str">
        <f aca="false">IF(IsPro,IF(OR($C2056="",N($G2056)=0),"",IF(OR($C2056="Receipt",$C2056="Other Income",$C2056="Capital In",$C2056="Transfer In"),$G2056,0)),"")</f>
        <v/>
      </c>
      <c r="J2056" s="61" t="str">
        <f aca="false">IF(IsPro,IF(OR($C2056="",N($G2056)=0),"",IF(I2056=0,$G2056,0)),"")</f>
        <v/>
      </c>
      <c r="K2056" s="60" t="str">
        <f aca="false">IF(IsPro,IF($C2056="","",IF(AND(OR($C2056="Receipt",$C2056="Payment"),$D2056=""),"Party needed",IF(AND(OR($C2056="Expense",$C2056="Other Income"),$E2056=""),"Head needed",IF($F2056="","Account needed","OK")))),IF($C2056="","","PRO PLAN"))</f>
        <v/>
      </c>
    </row>
    <row r="2057" customFormat="false" ht="15" hidden="false" customHeight="false" outlineLevel="0" collapsed="false">
      <c r="A2057" s="55"/>
      <c r="B2057" s="56"/>
      <c r="C2057" s="56"/>
      <c r="D2057" s="56"/>
      <c r="E2057" s="56"/>
      <c r="F2057" s="56"/>
      <c r="G2057" s="58"/>
      <c r="H2057" s="56"/>
      <c r="I2057" s="61" t="str">
        <f aca="false">IF(IsPro,IF(OR($C2057="",N($G2057)=0),"",IF(OR($C2057="Receipt",$C2057="Other Income",$C2057="Capital In",$C2057="Transfer In"),$G2057,0)),"")</f>
        <v/>
      </c>
      <c r="J2057" s="61" t="str">
        <f aca="false">IF(IsPro,IF(OR($C2057="",N($G2057)=0),"",IF(I2057=0,$G2057,0)),"")</f>
        <v/>
      </c>
      <c r="K2057" s="60" t="str">
        <f aca="false">IF(IsPro,IF($C2057="","",IF(AND(OR($C2057="Receipt",$C2057="Payment"),$D2057=""),"Party needed",IF(AND(OR($C2057="Expense",$C2057="Other Income"),$E2057=""),"Head needed",IF($F2057="","Account needed","OK")))),IF($C2057="","","PRO PLAN"))</f>
        <v/>
      </c>
    </row>
    <row r="2058" customFormat="false" ht="15" hidden="false" customHeight="false" outlineLevel="0" collapsed="false">
      <c r="A2058" s="55"/>
      <c r="B2058" s="56"/>
      <c r="C2058" s="56"/>
      <c r="D2058" s="56"/>
      <c r="E2058" s="56"/>
      <c r="F2058" s="56"/>
      <c r="G2058" s="58"/>
      <c r="H2058" s="56"/>
      <c r="I2058" s="61" t="str">
        <f aca="false">IF(IsPro,IF(OR($C2058="",N($G2058)=0),"",IF(OR($C2058="Receipt",$C2058="Other Income",$C2058="Capital In",$C2058="Transfer In"),$G2058,0)),"")</f>
        <v/>
      </c>
      <c r="J2058" s="61" t="str">
        <f aca="false">IF(IsPro,IF(OR($C2058="",N($G2058)=0),"",IF(I2058=0,$G2058,0)),"")</f>
        <v/>
      </c>
      <c r="K2058" s="60" t="str">
        <f aca="false">IF(IsPro,IF($C2058="","",IF(AND(OR($C2058="Receipt",$C2058="Payment"),$D2058=""),"Party needed",IF(AND(OR($C2058="Expense",$C2058="Other Income"),$E2058=""),"Head needed",IF($F2058="","Account needed","OK")))),IF($C2058="","","PRO PLAN"))</f>
        <v/>
      </c>
    </row>
    <row r="2059" customFormat="false" ht="15" hidden="false" customHeight="false" outlineLevel="0" collapsed="false">
      <c r="A2059" s="55"/>
      <c r="B2059" s="56"/>
      <c r="C2059" s="56"/>
      <c r="D2059" s="56"/>
      <c r="E2059" s="56"/>
      <c r="F2059" s="56"/>
      <c r="G2059" s="58"/>
      <c r="H2059" s="56"/>
      <c r="I2059" s="61" t="str">
        <f aca="false">IF(IsPro,IF(OR($C2059="",N($G2059)=0),"",IF(OR($C2059="Receipt",$C2059="Other Income",$C2059="Capital In",$C2059="Transfer In"),$G2059,0)),"")</f>
        <v/>
      </c>
      <c r="J2059" s="61" t="str">
        <f aca="false">IF(IsPro,IF(OR($C2059="",N($G2059)=0),"",IF(I2059=0,$G2059,0)),"")</f>
        <v/>
      </c>
      <c r="K2059" s="60" t="str">
        <f aca="false">IF(IsPro,IF($C2059="","",IF(AND(OR($C2059="Receipt",$C2059="Payment"),$D2059=""),"Party needed",IF(AND(OR($C2059="Expense",$C2059="Other Income"),$E2059=""),"Head needed",IF($F2059="","Account needed","OK")))),IF($C2059="","","PRO PLAN"))</f>
        <v/>
      </c>
    </row>
    <row r="2060" customFormat="false" ht="15" hidden="false" customHeight="false" outlineLevel="0" collapsed="false">
      <c r="A2060" s="55"/>
      <c r="B2060" s="56"/>
      <c r="C2060" s="56"/>
      <c r="D2060" s="56"/>
      <c r="E2060" s="56"/>
      <c r="F2060" s="56"/>
      <c r="G2060" s="58"/>
      <c r="H2060" s="56"/>
      <c r="I2060" s="61" t="str">
        <f aca="false">IF(IsPro,IF(OR($C2060="",N($G2060)=0),"",IF(OR($C2060="Receipt",$C2060="Other Income",$C2060="Capital In",$C2060="Transfer In"),$G2060,0)),"")</f>
        <v/>
      </c>
      <c r="J2060" s="61" t="str">
        <f aca="false">IF(IsPro,IF(OR($C2060="",N($G2060)=0),"",IF(I2060=0,$G2060,0)),"")</f>
        <v/>
      </c>
      <c r="K2060" s="60" t="str">
        <f aca="false">IF(IsPro,IF($C2060="","",IF(AND(OR($C2060="Receipt",$C2060="Payment"),$D2060=""),"Party needed",IF(AND(OR($C2060="Expense",$C2060="Other Income"),$E2060=""),"Head needed",IF($F2060="","Account needed","OK")))),IF($C2060="","","PRO PLAN"))</f>
        <v/>
      </c>
    </row>
    <row r="2061" customFormat="false" ht="15" hidden="false" customHeight="false" outlineLevel="0" collapsed="false">
      <c r="A2061" s="55"/>
      <c r="B2061" s="56"/>
      <c r="C2061" s="56"/>
      <c r="D2061" s="56"/>
      <c r="E2061" s="56"/>
      <c r="F2061" s="56"/>
      <c r="G2061" s="58"/>
      <c r="H2061" s="56"/>
      <c r="I2061" s="61" t="str">
        <f aca="false">IF(IsPro,IF(OR($C2061="",N($G2061)=0),"",IF(OR($C2061="Receipt",$C2061="Other Income",$C2061="Capital In",$C2061="Transfer In"),$G2061,0)),"")</f>
        <v/>
      </c>
      <c r="J2061" s="61" t="str">
        <f aca="false">IF(IsPro,IF(OR($C2061="",N($G2061)=0),"",IF(I2061=0,$G2061,0)),"")</f>
        <v/>
      </c>
      <c r="K2061" s="60" t="str">
        <f aca="false">IF(IsPro,IF($C2061="","",IF(AND(OR($C2061="Receipt",$C2061="Payment"),$D2061=""),"Party needed",IF(AND(OR($C2061="Expense",$C2061="Other Income"),$E2061=""),"Head needed",IF($F2061="","Account needed","OK")))),IF($C2061="","","PRO PLAN"))</f>
        <v/>
      </c>
    </row>
    <row r="2062" customFormat="false" ht="15" hidden="false" customHeight="false" outlineLevel="0" collapsed="false">
      <c r="A2062" s="55"/>
      <c r="B2062" s="56"/>
      <c r="C2062" s="56"/>
      <c r="D2062" s="56"/>
      <c r="E2062" s="56"/>
      <c r="F2062" s="56"/>
      <c r="G2062" s="58"/>
      <c r="H2062" s="56"/>
      <c r="I2062" s="61" t="str">
        <f aca="false">IF(IsPro,IF(OR($C2062="",N($G2062)=0),"",IF(OR($C2062="Receipt",$C2062="Other Income",$C2062="Capital In",$C2062="Transfer In"),$G2062,0)),"")</f>
        <v/>
      </c>
      <c r="J2062" s="61" t="str">
        <f aca="false">IF(IsPro,IF(OR($C2062="",N($G2062)=0),"",IF(I2062=0,$G2062,0)),"")</f>
        <v/>
      </c>
      <c r="K2062" s="60" t="str">
        <f aca="false">IF(IsPro,IF($C2062="","",IF(AND(OR($C2062="Receipt",$C2062="Payment"),$D2062=""),"Party needed",IF(AND(OR($C2062="Expense",$C2062="Other Income"),$E2062=""),"Head needed",IF($F2062="","Account needed","OK")))),IF($C2062="","","PRO PLAN"))</f>
        <v/>
      </c>
    </row>
    <row r="2063" customFormat="false" ht="15" hidden="false" customHeight="false" outlineLevel="0" collapsed="false">
      <c r="A2063" s="55"/>
      <c r="B2063" s="56"/>
      <c r="C2063" s="56"/>
      <c r="D2063" s="56"/>
      <c r="E2063" s="56"/>
      <c r="F2063" s="56"/>
      <c r="G2063" s="58"/>
      <c r="H2063" s="56"/>
      <c r="I2063" s="61" t="str">
        <f aca="false">IF(IsPro,IF(OR($C2063="",N($G2063)=0),"",IF(OR($C2063="Receipt",$C2063="Other Income",$C2063="Capital In",$C2063="Transfer In"),$G2063,0)),"")</f>
        <v/>
      </c>
      <c r="J2063" s="61" t="str">
        <f aca="false">IF(IsPro,IF(OR($C2063="",N($G2063)=0),"",IF(I2063=0,$G2063,0)),"")</f>
        <v/>
      </c>
      <c r="K2063" s="60" t="str">
        <f aca="false">IF(IsPro,IF($C2063="","",IF(AND(OR($C2063="Receipt",$C2063="Payment"),$D2063=""),"Party needed",IF(AND(OR($C2063="Expense",$C2063="Other Income"),$E2063=""),"Head needed",IF($F2063="","Account needed","OK")))),IF($C2063="","","PRO PLAN"))</f>
        <v/>
      </c>
    </row>
    <row r="2064" customFormat="false" ht="15" hidden="false" customHeight="false" outlineLevel="0" collapsed="false">
      <c r="A2064" s="55"/>
      <c r="B2064" s="56"/>
      <c r="C2064" s="56"/>
      <c r="D2064" s="56"/>
      <c r="E2064" s="56"/>
      <c r="F2064" s="56"/>
      <c r="G2064" s="58"/>
      <c r="H2064" s="56"/>
      <c r="I2064" s="61" t="str">
        <f aca="false">IF(IsPro,IF(OR($C2064="",N($G2064)=0),"",IF(OR($C2064="Receipt",$C2064="Other Income",$C2064="Capital In",$C2064="Transfer In"),$G2064,0)),"")</f>
        <v/>
      </c>
      <c r="J2064" s="61" t="str">
        <f aca="false">IF(IsPro,IF(OR($C2064="",N($G2064)=0),"",IF(I2064=0,$G2064,0)),"")</f>
        <v/>
      </c>
      <c r="K2064" s="60" t="str">
        <f aca="false">IF(IsPro,IF($C2064="","",IF(AND(OR($C2064="Receipt",$C2064="Payment"),$D2064=""),"Party needed",IF(AND(OR($C2064="Expense",$C2064="Other Income"),$E2064=""),"Head needed",IF($F2064="","Account needed","OK")))),IF($C2064="","","PRO PLAN"))</f>
        <v/>
      </c>
    </row>
    <row r="2065" customFormat="false" ht="15" hidden="false" customHeight="false" outlineLevel="0" collapsed="false">
      <c r="A2065" s="55"/>
      <c r="B2065" s="56"/>
      <c r="C2065" s="56"/>
      <c r="D2065" s="56"/>
      <c r="E2065" s="56"/>
      <c r="F2065" s="56"/>
      <c r="G2065" s="58"/>
      <c r="H2065" s="56"/>
      <c r="I2065" s="61" t="str">
        <f aca="false">IF(IsPro,IF(OR($C2065="",N($G2065)=0),"",IF(OR($C2065="Receipt",$C2065="Other Income",$C2065="Capital In",$C2065="Transfer In"),$G2065,0)),"")</f>
        <v/>
      </c>
      <c r="J2065" s="61" t="str">
        <f aca="false">IF(IsPro,IF(OR($C2065="",N($G2065)=0),"",IF(I2065=0,$G2065,0)),"")</f>
        <v/>
      </c>
      <c r="K2065" s="60" t="str">
        <f aca="false">IF(IsPro,IF($C2065="","",IF(AND(OR($C2065="Receipt",$C2065="Payment"),$D2065=""),"Party needed",IF(AND(OR($C2065="Expense",$C2065="Other Income"),$E2065=""),"Head needed",IF($F2065="","Account needed","OK")))),IF($C2065="","","PRO PLAN"))</f>
        <v/>
      </c>
    </row>
    <row r="2066" customFormat="false" ht="15" hidden="false" customHeight="false" outlineLevel="0" collapsed="false">
      <c r="A2066" s="55"/>
      <c r="B2066" s="56"/>
      <c r="C2066" s="56"/>
      <c r="D2066" s="56"/>
      <c r="E2066" s="56"/>
      <c r="F2066" s="56"/>
      <c r="G2066" s="58"/>
      <c r="H2066" s="56"/>
      <c r="I2066" s="61" t="str">
        <f aca="false">IF(IsPro,IF(OR($C2066="",N($G2066)=0),"",IF(OR($C2066="Receipt",$C2066="Other Income",$C2066="Capital In",$C2066="Transfer In"),$G2066,0)),"")</f>
        <v/>
      </c>
      <c r="J2066" s="61" t="str">
        <f aca="false">IF(IsPro,IF(OR($C2066="",N($G2066)=0),"",IF(I2066=0,$G2066,0)),"")</f>
        <v/>
      </c>
      <c r="K2066" s="60" t="str">
        <f aca="false">IF(IsPro,IF($C2066="","",IF(AND(OR($C2066="Receipt",$C2066="Payment"),$D2066=""),"Party needed",IF(AND(OR($C2066="Expense",$C2066="Other Income"),$E2066=""),"Head needed",IF($F2066="","Account needed","OK")))),IF($C2066="","","PRO PLAN"))</f>
        <v/>
      </c>
    </row>
    <row r="2067" customFormat="false" ht="15" hidden="false" customHeight="false" outlineLevel="0" collapsed="false">
      <c r="A2067" s="55"/>
      <c r="B2067" s="56"/>
      <c r="C2067" s="56"/>
      <c r="D2067" s="56"/>
      <c r="E2067" s="56"/>
      <c r="F2067" s="56"/>
      <c r="G2067" s="58"/>
      <c r="H2067" s="56"/>
      <c r="I2067" s="61" t="str">
        <f aca="false">IF(IsPro,IF(OR($C2067="",N($G2067)=0),"",IF(OR($C2067="Receipt",$C2067="Other Income",$C2067="Capital In",$C2067="Transfer In"),$G2067,0)),"")</f>
        <v/>
      </c>
      <c r="J2067" s="61" t="str">
        <f aca="false">IF(IsPro,IF(OR($C2067="",N($G2067)=0),"",IF(I2067=0,$G2067,0)),"")</f>
        <v/>
      </c>
      <c r="K2067" s="60" t="str">
        <f aca="false">IF(IsPro,IF($C2067="","",IF(AND(OR($C2067="Receipt",$C2067="Payment"),$D2067=""),"Party needed",IF(AND(OR($C2067="Expense",$C2067="Other Income"),$E2067=""),"Head needed",IF($F2067="","Account needed","OK")))),IF($C2067="","","PRO PLAN"))</f>
        <v/>
      </c>
    </row>
    <row r="2068" customFormat="false" ht="15" hidden="false" customHeight="false" outlineLevel="0" collapsed="false">
      <c r="A2068" s="55"/>
      <c r="B2068" s="56"/>
      <c r="C2068" s="56"/>
      <c r="D2068" s="56"/>
      <c r="E2068" s="56"/>
      <c r="F2068" s="56"/>
      <c r="G2068" s="58"/>
      <c r="H2068" s="56"/>
      <c r="I2068" s="61" t="str">
        <f aca="false">IF(IsPro,IF(OR($C2068="",N($G2068)=0),"",IF(OR($C2068="Receipt",$C2068="Other Income",$C2068="Capital In",$C2068="Transfer In"),$G2068,0)),"")</f>
        <v/>
      </c>
      <c r="J2068" s="61" t="str">
        <f aca="false">IF(IsPro,IF(OR($C2068="",N($G2068)=0),"",IF(I2068=0,$G2068,0)),"")</f>
        <v/>
      </c>
      <c r="K2068" s="60" t="str">
        <f aca="false">IF(IsPro,IF($C2068="","",IF(AND(OR($C2068="Receipt",$C2068="Payment"),$D2068=""),"Party needed",IF(AND(OR($C2068="Expense",$C2068="Other Income"),$E2068=""),"Head needed",IF($F2068="","Account needed","OK")))),IF($C2068="","","PRO PLAN"))</f>
        <v/>
      </c>
    </row>
    <row r="2069" customFormat="false" ht="15" hidden="false" customHeight="false" outlineLevel="0" collapsed="false">
      <c r="A2069" s="55"/>
      <c r="B2069" s="56"/>
      <c r="C2069" s="56"/>
      <c r="D2069" s="56"/>
      <c r="E2069" s="56"/>
      <c r="F2069" s="56"/>
      <c r="G2069" s="58"/>
      <c r="H2069" s="56"/>
      <c r="I2069" s="61" t="str">
        <f aca="false">IF(IsPro,IF(OR($C2069="",N($G2069)=0),"",IF(OR($C2069="Receipt",$C2069="Other Income",$C2069="Capital In",$C2069="Transfer In"),$G2069,0)),"")</f>
        <v/>
      </c>
      <c r="J2069" s="61" t="str">
        <f aca="false">IF(IsPro,IF(OR($C2069="",N($G2069)=0),"",IF(I2069=0,$G2069,0)),"")</f>
        <v/>
      </c>
      <c r="K2069" s="60" t="str">
        <f aca="false">IF(IsPro,IF($C2069="","",IF(AND(OR($C2069="Receipt",$C2069="Payment"),$D2069=""),"Party needed",IF(AND(OR($C2069="Expense",$C2069="Other Income"),$E2069=""),"Head needed",IF($F2069="","Account needed","OK")))),IF($C2069="","","PRO PLAN"))</f>
        <v/>
      </c>
    </row>
    <row r="2070" customFormat="false" ht="15" hidden="false" customHeight="false" outlineLevel="0" collapsed="false">
      <c r="A2070" s="55"/>
      <c r="B2070" s="56"/>
      <c r="C2070" s="56"/>
      <c r="D2070" s="56"/>
      <c r="E2070" s="56"/>
      <c r="F2070" s="56"/>
      <c r="G2070" s="58"/>
      <c r="H2070" s="56"/>
      <c r="I2070" s="61" t="str">
        <f aca="false">IF(IsPro,IF(OR($C2070="",N($G2070)=0),"",IF(OR($C2070="Receipt",$C2070="Other Income",$C2070="Capital In",$C2070="Transfer In"),$G2070,0)),"")</f>
        <v/>
      </c>
      <c r="J2070" s="61" t="str">
        <f aca="false">IF(IsPro,IF(OR($C2070="",N($G2070)=0),"",IF(I2070=0,$G2070,0)),"")</f>
        <v/>
      </c>
      <c r="K2070" s="60" t="str">
        <f aca="false">IF(IsPro,IF($C2070="","",IF(AND(OR($C2070="Receipt",$C2070="Payment"),$D2070=""),"Party needed",IF(AND(OR($C2070="Expense",$C2070="Other Income"),$E2070=""),"Head needed",IF($F2070="","Account needed","OK")))),IF($C2070="","","PRO PLAN"))</f>
        <v/>
      </c>
    </row>
    <row r="2071" customFormat="false" ht="15" hidden="false" customHeight="false" outlineLevel="0" collapsed="false">
      <c r="A2071" s="55"/>
      <c r="B2071" s="56"/>
      <c r="C2071" s="56"/>
      <c r="D2071" s="56"/>
      <c r="E2071" s="56"/>
      <c r="F2071" s="56"/>
      <c r="G2071" s="58"/>
      <c r="H2071" s="56"/>
      <c r="I2071" s="61" t="str">
        <f aca="false">IF(IsPro,IF(OR($C2071="",N($G2071)=0),"",IF(OR($C2071="Receipt",$C2071="Other Income",$C2071="Capital In",$C2071="Transfer In"),$G2071,0)),"")</f>
        <v/>
      </c>
      <c r="J2071" s="61" t="str">
        <f aca="false">IF(IsPro,IF(OR($C2071="",N($G2071)=0),"",IF(I2071=0,$G2071,0)),"")</f>
        <v/>
      </c>
      <c r="K2071" s="60" t="str">
        <f aca="false">IF(IsPro,IF($C2071="","",IF(AND(OR($C2071="Receipt",$C2071="Payment"),$D2071=""),"Party needed",IF(AND(OR($C2071="Expense",$C2071="Other Income"),$E2071=""),"Head needed",IF($F2071="","Account needed","OK")))),IF($C2071="","","PRO PLAN"))</f>
        <v/>
      </c>
    </row>
    <row r="2072" customFormat="false" ht="15" hidden="false" customHeight="false" outlineLevel="0" collapsed="false">
      <c r="A2072" s="55"/>
      <c r="B2072" s="56"/>
      <c r="C2072" s="56"/>
      <c r="D2072" s="56"/>
      <c r="E2072" s="56"/>
      <c r="F2072" s="56"/>
      <c r="G2072" s="58"/>
      <c r="H2072" s="56"/>
      <c r="I2072" s="61" t="str">
        <f aca="false">IF(IsPro,IF(OR($C2072="",N($G2072)=0),"",IF(OR($C2072="Receipt",$C2072="Other Income",$C2072="Capital In",$C2072="Transfer In"),$G2072,0)),"")</f>
        <v/>
      </c>
      <c r="J2072" s="61" t="str">
        <f aca="false">IF(IsPro,IF(OR($C2072="",N($G2072)=0),"",IF(I2072=0,$G2072,0)),"")</f>
        <v/>
      </c>
      <c r="K2072" s="60" t="str">
        <f aca="false">IF(IsPro,IF($C2072="","",IF(AND(OR($C2072="Receipt",$C2072="Payment"),$D2072=""),"Party needed",IF(AND(OR($C2072="Expense",$C2072="Other Income"),$E2072=""),"Head needed",IF($F2072="","Account needed","OK")))),IF($C2072="","","PRO PLAN"))</f>
        <v/>
      </c>
    </row>
    <row r="2073" customFormat="false" ht="15" hidden="false" customHeight="false" outlineLevel="0" collapsed="false">
      <c r="A2073" s="55"/>
      <c r="B2073" s="56"/>
      <c r="C2073" s="56"/>
      <c r="D2073" s="56"/>
      <c r="E2073" s="56"/>
      <c r="F2073" s="56"/>
      <c r="G2073" s="58"/>
      <c r="H2073" s="56"/>
      <c r="I2073" s="61" t="str">
        <f aca="false">IF(IsPro,IF(OR($C2073="",N($G2073)=0),"",IF(OR($C2073="Receipt",$C2073="Other Income",$C2073="Capital In",$C2073="Transfer In"),$G2073,0)),"")</f>
        <v/>
      </c>
      <c r="J2073" s="61" t="str">
        <f aca="false">IF(IsPro,IF(OR($C2073="",N($G2073)=0),"",IF(I2073=0,$G2073,0)),"")</f>
        <v/>
      </c>
      <c r="K2073" s="60" t="str">
        <f aca="false">IF(IsPro,IF($C2073="","",IF(AND(OR($C2073="Receipt",$C2073="Payment"),$D2073=""),"Party needed",IF(AND(OR($C2073="Expense",$C2073="Other Income"),$E2073=""),"Head needed",IF($F2073="","Account needed","OK")))),IF($C2073="","","PRO PLAN"))</f>
        <v/>
      </c>
    </row>
    <row r="2074" customFormat="false" ht="15" hidden="false" customHeight="false" outlineLevel="0" collapsed="false">
      <c r="A2074" s="55"/>
      <c r="B2074" s="56"/>
      <c r="C2074" s="56"/>
      <c r="D2074" s="56"/>
      <c r="E2074" s="56"/>
      <c r="F2074" s="56"/>
      <c r="G2074" s="58"/>
      <c r="H2074" s="56"/>
      <c r="I2074" s="61" t="str">
        <f aca="false">IF(IsPro,IF(OR($C2074="",N($G2074)=0),"",IF(OR($C2074="Receipt",$C2074="Other Income",$C2074="Capital In",$C2074="Transfer In"),$G2074,0)),"")</f>
        <v/>
      </c>
      <c r="J2074" s="61" t="str">
        <f aca="false">IF(IsPro,IF(OR($C2074="",N($G2074)=0),"",IF(I2074=0,$G2074,0)),"")</f>
        <v/>
      </c>
      <c r="K2074" s="60" t="str">
        <f aca="false">IF(IsPro,IF($C2074="","",IF(AND(OR($C2074="Receipt",$C2074="Payment"),$D2074=""),"Party needed",IF(AND(OR($C2074="Expense",$C2074="Other Income"),$E2074=""),"Head needed",IF($F2074="","Account needed","OK")))),IF($C2074="","","PRO PLAN"))</f>
        <v/>
      </c>
    </row>
    <row r="2075" customFormat="false" ht="15" hidden="false" customHeight="false" outlineLevel="0" collapsed="false">
      <c r="A2075" s="55"/>
      <c r="B2075" s="56"/>
      <c r="C2075" s="56"/>
      <c r="D2075" s="56"/>
      <c r="E2075" s="56"/>
      <c r="F2075" s="56"/>
      <c r="G2075" s="58"/>
      <c r="H2075" s="56"/>
      <c r="I2075" s="61" t="str">
        <f aca="false">IF(IsPro,IF(OR($C2075="",N($G2075)=0),"",IF(OR($C2075="Receipt",$C2075="Other Income",$C2075="Capital In",$C2075="Transfer In"),$G2075,0)),"")</f>
        <v/>
      </c>
      <c r="J2075" s="61" t="str">
        <f aca="false">IF(IsPro,IF(OR($C2075="",N($G2075)=0),"",IF(I2075=0,$G2075,0)),"")</f>
        <v/>
      </c>
      <c r="K2075" s="60" t="str">
        <f aca="false">IF(IsPro,IF($C2075="","",IF(AND(OR($C2075="Receipt",$C2075="Payment"),$D2075=""),"Party needed",IF(AND(OR($C2075="Expense",$C2075="Other Income"),$E2075=""),"Head needed",IF($F2075="","Account needed","OK")))),IF($C2075="","","PRO PLAN"))</f>
        <v/>
      </c>
    </row>
    <row r="2076" customFormat="false" ht="15" hidden="false" customHeight="false" outlineLevel="0" collapsed="false">
      <c r="A2076" s="55"/>
      <c r="B2076" s="56"/>
      <c r="C2076" s="56"/>
      <c r="D2076" s="56"/>
      <c r="E2076" s="56"/>
      <c r="F2076" s="56"/>
      <c r="G2076" s="58"/>
      <c r="H2076" s="56"/>
      <c r="I2076" s="61" t="str">
        <f aca="false">IF(IsPro,IF(OR($C2076="",N($G2076)=0),"",IF(OR($C2076="Receipt",$C2076="Other Income",$C2076="Capital In",$C2076="Transfer In"),$G2076,0)),"")</f>
        <v/>
      </c>
      <c r="J2076" s="61" t="str">
        <f aca="false">IF(IsPro,IF(OR($C2076="",N($G2076)=0),"",IF(I2076=0,$G2076,0)),"")</f>
        <v/>
      </c>
      <c r="K2076" s="60" t="str">
        <f aca="false">IF(IsPro,IF($C2076="","",IF(AND(OR($C2076="Receipt",$C2076="Payment"),$D2076=""),"Party needed",IF(AND(OR($C2076="Expense",$C2076="Other Income"),$E2076=""),"Head needed",IF($F2076="","Account needed","OK")))),IF($C2076="","","PRO PLAN"))</f>
        <v/>
      </c>
    </row>
    <row r="2077" customFormat="false" ht="15" hidden="false" customHeight="false" outlineLevel="0" collapsed="false">
      <c r="A2077" s="55"/>
      <c r="B2077" s="56"/>
      <c r="C2077" s="56"/>
      <c r="D2077" s="56"/>
      <c r="E2077" s="56"/>
      <c r="F2077" s="56"/>
      <c r="G2077" s="58"/>
      <c r="H2077" s="56"/>
      <c r="I2077" s="61" t="str">
        <f aca="false">IF(IsPro,IF(OR($C2077="",N($G2077)=0),"",IF(OR($C2077="Receipt",$C2077="Other Income",$C2077="Capital In",$C2077="Transfer In"),$G2077,0)),"")</f>
        <v/>
      </c>
      <c r="J2077" s="61" t="str">
        <f aca="false">IF(IsPro,IF(OR($C2077="",N($G2077)=0),"",IF(I2077=0,$G2077,0)),"")</f>
        <v/>
      </c>
      <c r="K2077" s="60" t="str">
        <f aca="false">IF(IsPro,IF($C2077="","",IF(AND(OR($C2077="Receipt",$C2077="Payment"),$D2077=""),"Party needed",IF(AND(OR($C2077="Expense",$C2077="Other Income"),$E2077=""),"Head needed",IF($F2077="","Account needed","OK")))),IF($C2077="","","PRO PLAN"))</f>
        <v/>
      </c>
    </row>
    <row r="2078" customFormat="false" ht="15" hidden="false" customHeight="false" outlineLevel="0" collapsed="false">
      <c r="A2078" s="55"/>
      <c r="B2078" s="56"/>
      <c r="C2078" s="56"/>
      <c r="D2078" s="56"/>
      <c r="E2078" s="56"/>
      <c r="F2078" s="56"/>
      <c r="G2078" s="58"/>
      <c r="H2078" s="56"/>
      <c r="I2078" s="61" t="str">
        <f aca="false">IF(IsPro,IF(OR($C2078="",N($G2078)=0),"",IF(OR($C2078="Receipt",$C2078="Other Income",$C2078="Capital In",$C2078="Transfer In"),$G2078,0)),"")</f>
        <v/>
      </c>
      <c r="J2078" s="61" t="str">
        <f aca="false">IF(IsPro,IF(OR($C2078="",N($G2078)=0),"",IF(I2078=0,$G2078,0)),"")</f>
        <v/>
      </c>
      <c r="K2078" s="60" t="str">
        <f aca="false">IF(IsPro,IF($C2078="","",IF(AND(OR($C2078="Receipt",$C2078="Payment"),$D2078=""),"Party needed",IF(AND(OR($C2078="Expense",$C2078="Other Income"),$E2078=""),"Head needed",IF($F2078="","Account needed","OK")))),IF($C2078="","","PRO PLAN"))</f>
        <v/>
      </c>
    </row>
    <row r="2079" customFormat="false" ht="15" hidden="false" customHeight="false" outlineLevel="0" collapsed="false">
      <c r="A2079" s="55"/>
      <c r="B2079" s="56"/>
      <c r="C2079" s="56"/>
      <c r="D2079" s="56"/>
      <c r="E2079" s="56"/>
      <c r="F2079" s="56"/>
      <c r="G2079" s="58"/>
      <c r="H2079" s="56"/>
      <c r="I2079" s="61" t="str">
        <f aca="false">IF(IsPro,IF(OR($C2079="",N($G2079)=0),"",IF(OR($C2079="Receipt",$C2079="Other Income",$C2079="Capital In",$C2079="Transfer In"),$G2079,0)),"")</f>
        <v/>
      </c>
      <c r="J2079" s="61" t="str">
        <f aca="false">IF(IsPro,IF(OR($C2079="",N($G2079)=0),"",IF(I2079=0,$G2079,0)),"")</f>
        <v/>
      </c>
      <c r="K2079" s="60" t="str">
        <f aca="false">IF(IsPro,IF($C2079="","",IF(AND(OR($C2079="Receipt",$C2079="Payment"),$D2079=""),"Party needed",IF(AND(OR($C2079="Expense",$C2079="Other Income"),$E2079=""),"Head needed",IF($F2079="","Account needed","OK")))),IF($C2079="","","PRO PLAN"))</f>
        <v/>
      </c>
    </row>
    <row r="2080" customFormat="false" ht="15" hidden="false" customHeight="false" outlineLevel="0" collapsed="false">
      <c r="A2080" s="55"/>
      <c r="B2080" s="56"/>
      <c r="C2080" s="56"/>
      <c r="D2080" s="56"/>
      <c r="E2080" s="56"/>
      <c r="F2080" s="56"/>
      <c r="G2080" s="58"/>
      <c r="H2080" s="56"/>
      <c r="I2080" s="61" t="str">
        <f aca="false">IF(IsPro,IF(OR($C2080="",N($G2080)=0),"",IF(OR($C2080="Receipt",$C2080="Other Income",$C2080="Capital In",$C2080="Transfer In"),$G2080,0)),"")</f>
        <v/>
      </c>
      <c r="J2080" s="61" t="str">
        <f aca="false">IF(IsPro,IF(OR($C2080="",N($G2080)=0),"",IF(I2080=0,$G2080,0)),"")</f>
        <v/>
      </c>
      <c r="K2080" s="60" t="str">
        <f aca="false">IF(IsPro,IF($C2080="","",IF(AND(OR($C2080="Receipt",$C2080="Payment"),$D2080=""),"Party needed",IF(AND(OR($C2080="Expense",$C2080="Other Income"),$E2080=""),"Head needed",IF($F2080="","Account needed","OK")))),IF($C2080="","","PRO PLAN"))</f>
        <v/>
      </c>
    </row>
    <row r="2081" customFormat="false" ht="15" hidden="false" customHeight="false" outlineLevel="0" collapsed="false">
      <c r="A2081" s="55"/>
      <c r="B2081" s="56"/>
      <c r="C2081" s="56"/>
      <c r="D2081" s="56"/>
      <c r="E2081" s="56"/>
      <c r="F2081" s="56"/>
      <c r="G2081" s="58"/>
      <c r="H2081" s="56"/>
      <c r="I2081" s="61" t="str">
        <f aca="false">IF(IsPro,IF(OR($C2081="",N($G2081)=0),"",IF(OR($C2081="Receipt",$C2081="Other Income",$C2081="Capital In",$C2081="Transfer In"),$G2081,0)),"")</f>
        <v/>
      </c>
      <c r="J2081" s="61" t="str">
        <f aca="false">IF(IsPro,IF(OR($C2081="",N($G2081)=0),"",IF(I2081=0,$G2081,0)),"")</f>
        <v/>
      </c>
      <c r="K2081" s="60" t="str">
        <f aca="false">IF(IsPro,IF($C2081="","",IF(AND(OR($C2081="Receipt",$C2081="Payment"),$D2081=""),"Party needed",IF(AND(OR($C2081="Expense",$C2081="Other Income"),$E2081=""),"Head needed",IF($F2081="","Account needed","OK")))),IF($C2081="","","PRO PLAN"))</f>
        <v/>
      </c>
    </row>
    <row r="2082" customFormat="false" ht="15" hidden="false" customHeight="false" outlineLevel="0" collapsed="false">
      <c r="A2082" s="55"/>
      <c r="B2082" s="56"/>
      <c r="C2082" s="56"/>
      <c r="D2082" s="56"/>
      <c r="E2082" s="56"/>
      <c r="F2082" s="56"/>
      <c r="G2082" s="58"/>
      <c r="H2082" s="56"/>
      <c r="I2082" s="61" t="str">
        <f aca="false">IF(IsPro,IF(OR($C2082="",N($G2082)=0),"",IF(OR($C2082="Receipt",$C2082="Other Income",$C2082="Capital In",$C2082="Transfer In"),$G2082,0)),"")</f>
        <v/>
      </c>
      <c r="J2082" s="61" t="str">
        <f aca="false">IF(IsPro,IF(OR($C2082="",N($G2082)=0),"",IF(I2082=0,$G2082,0)),"")</f>
        <v/>
      </c>
      <c r="K2082" s="60" t="str">
        <f aca="false">IF(IsPro,IF($C2082="","",IF(AND(OR($C2082="Receipt",$C2082="Payment"),$D2082=""),"Party needed",IF(AND(OR($C2082="Expense",$C2082="Other Income"),$E2082=""),"Head needed",IF($F2082="","Account needed","OK")))),IF($C2082="","","PRO PLAN"))</f>
        <v/>
      </c>
    </row>
    <row r="2083" customFormat="false" ht="15" hidden="false" customHeight="false" outlineLevel="0" collapsed="false">
      <c r="A2083" s="55"/>
      <c r="B2083" s="56"/>
      <c r="C2083" s="56"/>
      <c r="D2083" s="56"/>
      <c r="E2083" s="56"/>
      <c r="F2083" s="56"/>
      <c r="G2083" s="58"/>
      <c r="H2083" s="56"/>
      <c r="I2083" s="61" t="str">
        <f aca="false">IF(IsPro,IF(OR($C2083="",N($G2083)=0),"",IF(OR($C2083="Receipt",$C2083="Other Income",$C2083="Capital In",$C2083="Transfer In"),$G2083,0)),"")</f>
        <v/>
      </c>
      <c r="J2083" s="61" t="str">
        <f aca="false">IF(IsPro,IF(OR($C2083="",N($G2083)=0),"",IF(I2083=0,$G2083,0)),"")</f>
        <v/>
      </c>
      <c r="K2083" s="60" t="str">
        <f aca="false">IF(IsPro,IF($C2083="","",IF(AND(OR($C2083="Receipt",$C2083="Payment"),$D2083=""),"Party needed",IF(AND(OR($C2083="Expense",$C2083="Other Income"),$E2083=""),"Head needed",IF($F2083="","Account needed","OK")))),IF($C2083="","","PRO PLAN"))</f>
        <v/>
      </c>
    </row>
    <row r="2084" customFormat="false" ht="15" hidden="false" customHeight="false" outlineLevel="0" collapsed="false">
      <c r="A2084" s="55"/>
      <c r="B2084" s="56"/>
      <c r="C2084" s="56"/>
      <c r="D2084" s="56"/>
      <c r="E2084" s="56"/>
      <c r="F2084" s="56"/>
      <c r="G2084" s="58"/>
      <c r="H2084" s="56"/>
      <c r="I2084" s="61" t="str">
        <f aca="false">IF(IsPro,IF(OR($C2084="",N($G2084)=0),"",IF(OR($C2084="Receipt",$C2084="Other Income",$C2084="Capital In",$C2084="Transfer In"),$G2084,0)),"")</f>
        <v/>
      </c>
      <c r="J2084" s="61" t="str">
        <f aca="false">IF(IsPro,IF(OR($C2084="",N($G2084)=0),"",IF(I2084=0,$G2084,0)),"")</f>
        <v/>
      </c>
      <c r="K2084" s="60" t="str">
        <f aca="false">IF(IsPro,IF($C2084="","",IF(AND(OR($C2084="Receipt",$C2084="Payment"),$D2084=""),"Party needed",IF(AND(OR($C2084="Expense",$C2084="Other Income"),$E2084=""),"Head needed",IF($F2084="","Account needed","OK")))),IF($C2084="","","PRO PLAN"))</f>
        <v/>
      </c>
    </row>
    <row r="2085" customFormat="false" ht="15" hidden="false" customHeight="false" outlineLevel="0" collapsed="false">
      <c r="A2085" s="55"/>
      <c r="B2085" s="56"/>
      <c r="C2085" s="56"/>
      <c r="D2085" s="56"/>
      <c r="E2085" s="56"/>
      <c r="F2085" s="56"/>
      <c r="G2085" s="58"/>
      <c r="H2085" s="56"/>
      <c r="I2085" s="61" t="str">
        <f aca="false">IF(IsPro,IF(OR($C2085="",N($G2085)=0),"",IF(OR($C2085="Receipt",$C2085="Other Income",$C2085="Capital In",$C2085="Transfer In"),$G2085,0)),"")</f>
        <v/>
      </c>
      <c r="J2085" s="61" t="str">
        <f aca="false">IF(IsPro,IF(OR($C2085="",N($G2085)=0),"",IF(I2085=0,$G2085,0)),"")</f>
        <v/>
      </c>
      <c r="K2085" s="60" t="str">
        <f aca="false">IF(IsPro,IF($C2085="","",IF(AND(OR($C2085="Receipt",$C2085="Payment"),$D2085=""),"Party needed",IF(AND(OR($C2085="Expense",$C2085="Other Income"),$E2085=""),"Head needed",IF($F2085="","Account needed","OK")))),IF($C2085="","","PRO PLAN"))</f>
        <v/>
      </c>
    </row>
    <row r="2086" customFormat="false" ht="15" hidden="false" customHeight="false" outlineLevel="0" collapsed="false">
      <c r="A2086" s="55"/>
      <c r="B2086" s="56"/>
      <c r="C2086" s="56"/>
      <c r="D2086" s="56"/>
      <c r="E2086" s="56"/>
      <c r="F2086" s="56"/>
      <c r="G2086" s="58"/>
      <c r="H2086" s="56"/>
      <c r="I2086" s="61" t="str">
        <f aca="false">IF(IsPro,IF(OR($C2086="",N($G2086)=0),"",IF(OR($C2086="Receipt",$C2086="Other Income",$C2086="Capital In",$C2086="Transfer In"),$G2086,0)),"")</f>
        <v/>
      </c>
      <c r="J2086" s="61" t="str">
        <f aca="false">IF(IsPro,IF(OR($C2086="",N($G2086)=0),"",IF(I2086=0,$G2086,0)),"")</f>
        <v/>
      </c>
      <c r="K2086" s="60" t="str">
        <f aca="false">IF(IsPro,IF($C2086="","",IF(AND(OR($C2086="Receipt",$C2086="Payment"),$D2086=""),"Party needed",IF(AND(OR($C2086="Expense",$C2086="Other Income"),$E2086=""),"Head needed",IF($F2086="","Account needed","OK")))),IF($C2086="","","PRO PLAN"))</f>
        <v/>
      </c>
    </row>
    <row r="2087" customFormat="false" ht="15" hidden="false" customHeight="false" outlineLevel="0" collapsed="false">
      <c r="A2087" s="55"/>
      <c r="B2087" s="56"/>
      <c r="C2087" s="56"/>
      <c r="D2087" s="56"/>
      <c r="E2087" s="56"/>
      <c r="F2087" s="56"/>
      <c r="G2087" s="58"/>
      <c r="H2087" s="56"/>
      <c r="I2087" s="61" t="str">
        <f aca="false">IF(IsPro,IF(OR($C2087="",N($G2087)=0),"",IF(OR($C2087="Receipt",$C2087="Other Income",$C2087="Capital In",$C2087="Transfer In"),$G2087,0)),"")</f>
        <v/>
      </c>
      <c r="J2087" s="61" t="str">
        <f aca="false">IF(IsPro,IF(OR($C2087="",N($G2087)=0),"",IF(I2087=0,$G2087,0)),"")</f>
        <v/>
      </c>
      <c r="K2087" s="60" t="str">
        <f aca="false">IF(IsPro,IF($C2087="","",IF(AND(OR($C2087="Receipt",$C2087="Payment"),$D2087=""),"Party needed",IF(AND(OR($C2087="Expense",$C2087="Other Income"),$E2087=""),"Head needed",IF($F2087="","Account needed","OK")))),IF($C2087="","","PRO PLAN"))</f>
        <v/>
      </c>
    </row>
    <row r="2088" customFormat="false" ht="15" hidden="false" customHeight="false" outlineLevel="0" collapsed="false">
      <c r="A2088" s="55"/>
      <c r="B2088" s="56"/>
      <c r="C2088" s="56"/>
      <c r="D2088" s="56"/>
      <c r="E2088" s="56"/>
      <c r="F2088" s="56"/>
      <c r="G2088" s="58"/>
      <c r="H2088" s="56"/>
      <c r="I2088" s="61" t="str">
        <f aca="false">IF(IsPro,IF(OR($C2088="",N($G2088)=0),"",IF(OR($C2088="Receipt",$C2088="Other Income",$C2088="Capital In",$C2088="Transfer In"),$G2088,0)),"")</f>
        <v/>
      </c>
      <c r="J2088" s="61" t="str">
        <f aca="false">IF(IsPro,IF(OR($C2088="",N($G2088)=0),"",IF(I2088=0,$G2088,0)),"")</f>
        <v/>
      </c>
      <c r="K2088" s="60" t="str">
        <f aca="false">IF(IsPro,IF($C2088="","",IF(AND(OR($C2088="Receipt",$C2088="Payment"),$D2088=""),"Party needed",IF(AND(OR($C2088="Expense",$C2088="Other Income"),$E2088=""),"Head needed",IF($F2088="","Account needed","OK")))),IF($C2088="","","PRO PLAN"))</f>
        <v/>
      </c>
    </row>
    <row r="2089" customFormat="false" ht="15" hidden="false" customHeight="false" outlineLevel="0" collapsed="false">
      <c r="A2089" s="55"/>
      <c r="B2089" s="56"/>
      <c r="C2089" s="56"/>
      <c r="D2089" s="56"/>
      <c r="E2089" s="56"/>
      <c r="F2089" s="56"/>
      <c r="G2089" s="58"/>
      <c r="H2089" s="56"/>
      <c r="I2089" s="61" t="str">
        <f aca="false">IF(IsPro,IF(OR($C2089="",N($G2089)=0),"",IF(OR($C2089="Receipt",$C2089="Other Income",$C2089="Capital In",$C2089="Transfer In"),$G2089,0)),"")</f>
        <v/>
      </c>
      <c r="J2089" s="61" t="str">
        <f aca="false">IF(IsPro,IF(OR($C2089="",N($G2089)=0),"",IF(I2089=0,$G2089,0)),"")</f>
        <v/>
      </c>
      <c r="K2089" s="60" t="str">
        <f aca="false">IF(IsPro,IF($C2089="","",IF(AND(OR($C2089="Receipt",$C2089="Payment"),$D2089=""),"Party needed",IF(AND(OR($C2089="Expense",$C2089="Other Income"),$E2089=""),"Head needed",IF($F2089="","Account needed","OK")))),IF($C2089="","","PRO PLAN"))</f>
        <v/>
      </c>
    </row>
    <row r="2090" customFormat="false" ht="15" hidden="false" customHeight="false" outlineLevel="0" collapsed="false">
      <c r="A2090" s="55"/>
      <c r="B2090" s="56"/>
      <c r="C2090" s="56"/>
      <c r="D2090" s="56"/>
      <c r="E2090" s="56"/>
      <c r="F2090" s="56"/>
      <c r="G2090" s="58"/>
      <c r="H2090" s="56"/>
      <c r="I2090" s="61" t="str">
        <f aca="false">IF(IsPro,IF(OR($C2090="",N($G2090)=0),"",IF(OR($C2090="Receipt",$C2090="Other Income",$C2090="Capital In",$C2090="Transfer In"),$G2090,0)),"")</f>
        <v/>
      </c>
      <c r="J2090" s="61" t="str">
        <f aca="false">IF(IsPro,IF(OR($C2090="",N($G2090)=0),"",IF(I2090=0,$G2090,0)),"")</f>
        <v/>
      </c>
      <c r="K2090" s="60" t="str">
        <f aca="false">IF(IsPro,IF($C2090="","",IF(AND(OR($C2090="Receipt",$C2090="Payment"),$D2090=""),"Party needed",IF(AND(OR($C2090="Expense",$C2090="Other Income"),$E2090=""),"Head needed",IF($F2090="","Account needed","OK")))),IF($C2090="","","PRO PLAN"))</f>
        <v/>
      </c>
    </row>
    <row r="2091" customFormat="false" ht="15" hidden="false" customHeight="false" outlineLevel="0" collapsed="false">
      <c r="A2091" s="55"/>
      <c r="B2091" s="56"/>
      <c r="C2091" s="56"/>
      <c r="D2091" s="56"/>
      <c r="E2091" s="56"/>
      <c r="F2091" s="56"/>
      <c r="G2091" s="58"/>
      <c r="H2091" s="56"/>
      <c r="I2091" s="61" t="str">
        <f aca="false">IF(IsPro,IF(OR($C2091="",N($G2091)=0),"",IF(OR($C2091="Receipt",$C2091="Other Income",$C2091="Capital In",$C2091="Transfer In"),$G2091,0)),"")</f>
        <v/>
      </c>
      <c r="J2091" s="61" t="str">
        <f aca="false">IF(IsPro,IF(OR($C2091="",N($G2091)=0),"",IF(I2091=0,$G2091,0)),"")</f>
        <v/>
      </c>
      <c r="K2091" s="60" t="str">
        <f aca="false">IF(IsPro,IF($C2091="","",IF(AND(OR($C2091="Receipt",$C2091="Payment"),$D2091=""),"Party needed",IF(AND(OR($C2091="Expense",$C2091="Other Income"),$E2091=""),"Head needed",IF($F2091="","Account needed","OK")))),IF($C2091="","","PRO PLAN"))</f>
        <v/>
      </c>
    </row>
    <row r="2092" customFormat="false" ht="15" hidden="false" customHeight="false" outlineLevel="0" collapsed="false">
      <c r="A2092" s="55"/>
      <c r="B2092" s="56"/>
      <c r="C2092" s="56"/>
      <c r="D2092" s="56"/>
      <c r="E2092" s="56"/>
      <c r="F2092" s="56"/>
      <c r="G2092" s="58"/>
      <c r="H2092" s="56"/>
      <c r="I2092" s="61" t="str">
        <f aca="false">IF(IsPro,IF(OR($C2092="",N($G2092)=0),"",IF(OR($C2092="Receipt",$C2092="Other Income",$C2092="Capital In",$C2092="Transfer In"),$G2092,0)),"")</f>
        <v/>
      </c>
      <c r="J2092" s="61" t="str">
        <f aca="false">IF(IsPro,IF(OR($C2092="",N($G2092)=0),"",IF(I2092=0,$G2092,0)),"")</f>
        <v/>
      </c>
      <c r="K2092" s="60" t="str">
        <f aca="false">IF(IsPro,IF($C2092="","",IF(AND(OR($C2092="Receipt",$C2092="Payment"),$D2092=""),"Party needed",IF(AND(OR($C2092="Expense",$C2092="Other Income"),$E2092=""),"Head needed",IF($F2092="","Account needed","OK")))),IF($C2092="","","PRO PLAN"))</f>
        <v/>
      </c>
    </row>
    <row r="2093" customFormat="false" ht="15" hidden="false" customHeight="false" outlineLevel="0" collapsed="false">
      <c r="A2093" s="55"/>
      <c r="B2093" s="56"/>
      <c r="C2093" s="56"/>
      <c r="D2093" s="56"/>
      <c r="E2093" s="56"/>
      <c r="F2093" s="56"/>
      <c r="G2093" s="58"/>
      <c r="H2093" s="56"/>
      <c r="I2093" s="61" t="str">
        <f aca="false">IF(IsPro,IF(OR($C2093="",N($G2093)=0),"",IF(OR($C2093="Receipt",$C2093="Other Income",$C2093="Capital In",$C2093="Transfer In"),$G2093,0)),"")</f>
        <v/>
      </c>
      <c r="J2093" s="61" t="str">
        <f aca="false">IF(IsPro,IF(OR($C2093="",N($G2093)=0),"",IF(I2093=0,$G2093,0)),"")</f>
        <v/>
      </c>
      <c r="K2093" s="60" t="str">
        <f aca="false">IF(IsPro,IF($C2093="","",IF(AND(OR($C2093="Receipt",$C2093="Payment"),$D2093=""),"Party needed",IF(AND(OR($C2093="Expense",$C2093="Other Income"),$E2093=""),"Head needed",IF($F2093="","Account needed","OK")))),IF($C2093="","","PRO PLAN"))</f>
        <v/>
      </c>
    </row>
    <row r="2094" customFormat="false" ht="15" hidden="false" customHeight="false" outlineLevel="0" collapsed="false">
      <c r="A2094" s="55"/>
      <c r="B2094" s="56"/>
      <c r="C2094" s="56"/>
      <c r="D2094" s="56"/>
      <c r="E2094" s="56"/>
      <c r="F2094" s="56"/>
      <c r="G2094" s="58"/>
      <c r="H2094" s="56"/>
      <c r="I2094" s="61" t="str">
        <f aca="false">IF(IsPro,IF(OR($C2094="",N($G2094)=0),"",IF(OR($C2094="Receipt",$C2094="Other Income",$C2094="Capital In",$C2094="Transfer In"),$G2094,0)),"")</f>
        <v/>
      </c>
      <c r="J2094" s="61" t="str">
        <f aca="false">IF(IsPro,IF(OR($C2094="",N($G2094)=0),"",IF(I2094=0,$G2094,0)),"")</f>
        <v/>
      </c>
      <c r="K2094" s="60" t="str">
        <f aca="false">IF(IsPro,IF($C2094="","",IF(AND(OR($C2094="Receipt",$C2094="Payment"),$D2094=""),"Party needed",IF(AND(OR($C2094="Expense",$C2094="Other Income"),$E2094=""),"Head needed",IF($F2094="","Account needed","OK")))),IF($C2094="","","PRO PLAN"))</f>
        <v/>
      </c>
    </row>
    <row r="2095" customFormat="false" ht="15" hidden="false" customHeight="false" outlineLevel="0" collapsed="false">
      <c r="A2095" s="55"/>
      <c r="B2095" s="56"/>
      <c r="C2095" s="56"/>
      <c r="D2095" s="56"/>
      <c r="E2095" s="56"/>
      <c r="F2095" s="56"/>
      <c r="G2095" s="58"/>
      <c r="H2095" s="56"/>
      <c r="I2095" s="61" t="str">
        <f aca="false">IF(IsPro,IF(OR($C2095="",N($G2095)=0),"",IF(OR($C2095="Receipt",$C2095="Other Income",$C2095="Capital In",$C2095="Transfer In"),$G2095,0)),"")</f>
        <v/>
      </c>
      <c r="J2095" s="61" t="str">
        <f aca="false">IF(IsPro,IF(OR($C2095="",N($G2095)=0),"",IF(I2095=0,$G2095,0)),"")</f>
        <v/>
      </c>
      <c r="K2095" s="60" t="str">
        <f aca="false">IF(IsPro,IF($C2095="","",IF(AND(OR($C2095="Receipt",$C2095="Payment"),$D2095=""),"Party needed",IF(AND(OR($C2095="Expense",$C2095="Other Income"),$E2095=""),"Head needed",IF($F2095="","Account needed","OK")))),IF($C2095="","","PRO PLAN"))</f>
        <v/>
      </c>
    </row>
    <row r="2096" customFormat="false" ht="15" hidden="false" customHeight="false" outlineLevel="0" collapsed="false">
      <c r="A2096" s="55"/>
      <c r="B2096" s="56"/>
      <c r="C2096" s="56"/>
      <c r="D2096" s="56"/>
      <c r="E2096" s="56"/>
      <c r="F2096" s="56"/>
      <c r="G2096" s="58"/>
      <c r="H2096" s="56"/>
      <c r="I2096" s="61" t="str">
        <f aca="false">IF(IsPro,IF(OR($C2096="",N($G2096)=0),"",IF(OR($C2096="Receipt",$C2096="Other Income",$C2096="Capital In",$C2096="Transfer In"),$G2096,0)),"")</f>
        <v/>
      </c>
      <c r="J2096" s="61" t="str">
        <f aca="false">IF(IsPro,IF(OR($C2096="",N($G2096)=0),"",IF(I2096=0,$G2096,0)),"")</f>
        <v/>
      </c>
      <c r="K2096" s="60" t="str">
        <f aca="false">IF(IsPro,IF($C2096="","",IF(AND(OR($C2096="Receipt",$C2096="Payment"),$D2096=""),"Party needed",IF(AND(OR($C2096="Expense",$C2096="Other Income"),$E2096=""),"Head needed",IF($F2096="","Account needed","OK")))),IF($C2096="","","PRO PLAN"))</f>
        <v/>
      </c>
    </row>
    <row r="2097" customFormat="false" ht="15" hidden="false" customHeight="false" outlineLevel="0" collapsed="false">
      <c r="A2097" s="55"/>
      <c r="B2097" s="56"/>
      <c r="C2097" s="56"/>
      <c r="D2097" s="56"/>
      <c r="E2097" s="56"/>
      <c r="F2097" s="56"/>
      <c r="G2097" s="58"/>
      <c r="H2097" s="56"/>
      <c r="I2097" s="61" t="str">
        <f aca="false">IF(IsPro,IF(OR($C2097="",N($G2097)=0),"",IF(OR($C2097="Receipt",$C2097="Other Income",$C2097="Capital In",$C2097="Transfer In"),$G2097,0)),"")</f>
        <v/>
      </c>
      <c r="J2097" s="61" t="str">
        <f aca="false">IF(IsPro,IF(OR($C2097="",N($G2097)=0),"",IF(I2097=0,$G2097,0)),"")</f>
        <v/>
      </c>
      <c r="K2097" s="60" t="str">
        <f aca="false">IF(IsPro,IF($C2097="","",IF(AND(OR($C2097="Receipt",$C2097="Payment"),$D2097=""),"Party needed",IF(AND(OR($C2097="Expense",$C2097="Other Income"),$E2097=""),"Head needed",IF($F2097="","Account needed","OK")))),IF($C2097="","","PRO PLAN"))</f>
        <v/>
      </c>
    </row>
    <row r="2098" customFormat="false" ht="15" hidden="false" customHeight="false" outlineLevel="0" collapsed="false">
      <c r="A2098" s="55"/>
      <c r="B2098" s="56"/>
      <c r="C2098" s="56"/>
      <c r="D2098" s="56"/>
      <c r="E2098" s="56"/>
      <c r="F2098" s="56"/>
      <c r="G2098" s="58"/>
      <c r="H2098" s="56"/>
      <c r="I2098" s="61" t="str">
        <f aca="false">IF(IsPro,IF(OR($C2098="",N($G2098)=0),"",IF(OR($C2098="Receipt",$C2098="Other Income",$C2098="Capital In",$C2098="Transfer In"),$G2098,0)),"")</f>
        <v/>
      </c>
      <c r="J2098" s="61" t="str">
        <f aca="false">IF(IsPro,IF(OR($C2098="",N($G2098)=0),"",IF(I2098=0,$G2098,0)),"")</f>
        <v/>
      </c>
      <c r="K2098" s="60" t="str">
        <f aca="false">IF(IsPro,IF($C2098="","",IF(AND(OR($C2098="Receipt",$C2098="Payment"),$D2098=""),"Party needed",IF(AND(OR($C2098="Expense",$C2098="Other Income"),$E2098=""),"Head needed",IF($F2098="","Account needed","OK")))),IF($C2098="","","PRO PLAN"))</f>
        <v/>
      </c>
    </row>
    <row r="2099" customFormat="false" ht="15" hidden="false" customHeight="false" outlineLevel="0" collapsed="false">
      <c r="A2099" s="55"/>
      <c r="B2099" s="56"/>
      <c r="C2099" s="56"/>
      <c r="D2099" s="56"/>
      <c r="E2099" s="56"/>
      <c r="F2099" s="56"/>
      <c r="G2099" s="58"/>
      <c r="H2099" s="56"/>
      <c r="I2099" s="61" t="str">
        <f aca="false">IF(IsPro,IF(OR($C2099="",N($G2099)=0),"",IF(OR($C2099="Receipt",$C2099="Other Income",$C2099="Capital In",$C2099="Transfer In"),$G2099,0)),"")</f>
        <v/>
      </c>
      <c r="J2099" s="61" t="str">
        <f aca="false">IF(IsPro,IF(OR($C2099="",N($G2099)=0),"",IF(I2099=0,$G2099,0)),"")</f>
        <v/>
      </c>
      <c r="K2099" s="60" t="str">
        <f aca="false">IF(IsPro,IF($C2099="","",IF(AND(OR($C2099="Receipt",$C2099="Payment"),$D2099=""),"Party needed",IF(AND(OR($C2099="Expense",$C2099="Other Income"),$E2099=""),"Head needed",IF($F2099="","Account needed","OK")))),IF($C2099="","","PRO PLAN"))</f>
        <v/>
      </c>
    </row>
    <row r="2100" customFormat="false" ht="15" hidden="false" customHeight="false" outlineLevel="0" collapsed="false">
      <c r="A2100" s="55"/>
      <c r="B2100" s="56"/>
      <c r="C2100" s="56"/>
      <c r="D2100" s="56"/>
      <c r="E2100" s="56"/>
      <c r="F2100" s="56"/>
      <c r="G2100" s="58"/>
      <c r="H2100" s="56"/>
      <c r="I2100" s="61" t="str">
        <f aca="false">IF(IsPro,IF(OR($C2100="",N($G2100)=0),"",IF(OR($C2100="Receipt",$C2100="Other Income",$C2100="Capital In",$C2100="Transfer In"),$G2100,0)),"")</f>
        <v/>
      </c>
      <c r="J2100" s="61" t="str">
        <f aca="false">IF(IsPro,IF(OR($C2100="",N($G2100)=0),"",IF(I2100=0,$G2100,0)),"")</f>
        <v/>
      </c>
      <c r="K2100" s="60" t="str">
        <f aca="false">IF(IsPro,IF($C2100="","",IF(AND(OR($C2100="Receipt",$C2100="Payment"),$D2100=""),"Party needed",IF(AND(OR($C2100="Expense",$C2100="Other Income"),$E2100=""),"Head needed",IF($F2100="","Account needed","OK")))),IF($C2100="","","PRO PLAN"))</f>
        <v/>
      </c>
    </row>
    <row r="2101" customFormat="false" ht="15" hidden="false" customHeight="false" outlineLevel="0" collapsed="false">
      <c r="A2101" s="55"/>
      <c r="B2101" s="56"/>
      <c r="C2101" s="56"/>
      <c r="D2101" s="56"/>
      <c r="E2101" s="56"/>
      <c r="F2101" s="56"/>
      <c r="G2101" s="58"/>
      <c r="H2101" s="56"/>
      <c r="I2101" s="61" t="str">
        <f aca="false">IF(IsPro,IF(OR($C2101="",N($G2101)=0),"",IF(OR($C2101="Receipt",$C2101="Other Income",$C2101="Capital In",$C2101="Transfer In"),$G2101,0)),"")</f>
        <v/>
      </c>
      <c r="J2101" s="61" t="str">
        <f aca="false">IF(IsPro,IF(OR($C2101="",N($G2101)=0),"",IF(I2101=0,$G2101,0)),"")</f>
        <v/>
      </c>
      <c r="K2101" s="60" t="str">
        <f aca="false">IF(IsPro,IF($C2101="","",IF(AND(OR($C2101="Receipt",$C2101="Payment"),$D2101=""),"Party needed",IF(AND(OR($C2101="Expense",$C2101="Other Income"),$E2101=""),"Head needed",IF($F2101="","Account needed","OK")))),IF($C2101="","","PRO PLAN"))</f>
        <v/>
      </c>
    </row>
    <row r="2102" customFormat="false" ht="15" hidden="false" customHeight="false" outlineLevel="0" collapsed="false">
      <c r="A2102" s="55"/>
      <c r="B2102" s="56"/>
      <c r="C2102" s="56"/>
      <c r="D2102" s="56"/>
      <c r="E2102" s="56"/>
      <c r="F2102" s="56"/>
      <c r="G2102" s="58"/>
      <c r="H2102" s="56"/>
      <c r="I2102" s="61" t="str">
        <f aca="false">IF(IsPro,IF(OR($C2102="",N($G2102)=0),"",IF(OR($C2102="Receipt",$C2102="Other Income",$C2102="Capital In",$C2102="Transfer In"),$G2102,0)),"")</f>
        <v/>
      </c>
      <c r="J2102" s="61" t="str">
        <f aca="false">IF(IsPro,IF(OR($C2102="",N($G2102)=0),"",IF(I2102=0,$G2102,0)),"")</f>
        <v/>
      </c>
      <c r="K2102" s="60" t="str">
        <f aca="false">IF(IsPro,IF($C2102="","",IF(AND(OR($C2102="Receipt",$C2102="Payment"),$D2102=""),"Party needed",IF(AND(OR($C2102="Expense",$C2102="Other Income"),$E2102=""),"Head needed",IF($F2102="","Account needed","OK")))),IF($C2102="","","PRO PLAN"))</f>
        <v/>
      </c>
    </row>
    <row r="2103" customFormat="false" ht="15" hidden="false" customHeight="false" outlineLevel="0" collapsed="false">
      <c r="A2103" s="55"/>
      <c r="B2103" s="56"/>
      <c r="C2103" s="56"/>
      <c r="D2103" s="56"/>
      <c r="E2103" s="56"/>
      <c r="F2103" s="56"/>
      <c r="G2103" s="58"/>
      <c r="H2103" s="56"/>
      <c r="I2103" s="61" t="str">
        <f aca="false">IF(IsPro,IF(OR($C2103="",N($G2103)=0),"",IF(OR($C2103="Receipt",$C2103="Other Income",$C2103="Capital In",$C2103="Transfer In"),$G2103,0)),"")</f>
        <v/>
      </c>
      <c r="J2103" s="61" t="str">
        <f aca="false">IF(IsPro,IF(OR($C2103="",N($G2103)=0),"",IF(I2103=0,$G2103,0)),"")</f>
        <v/>
      </c>
      <c r="K2103" s="60" t="str">
        <f aca="false">IF(IsPro,IF($C2103="","",IF(AND(OR($C2103="Receipt",$C2103="Payment"),$D2103=""),"Party needed",IF(AND(OR($C2103="Expense",$C2103="Other Income"),$E2103=""),"Head needed",IF($F2103="","Account needed","OK")))),IF($C2103="","","PRO PLAN"))</f>
        <v/>
      </c>
    </row>
    <row r="2104" customFormat="false" ht="15" hidden="false" customHeight="false" outlineLevel="0" collapsed="false">
      <c r="A2104" s="55"/>
      <c r="B2104" s="56"/>
      <c r="C2104" s="56"/>
      <c r="D2104" s="56"/>
      <c r="E2104" s="56"/>
      <c r="F2104" s="56"/>
      <c r="G2104" s="58"/>
      <c r="H2104" s="56"/>
      <c r="I2104" s="61" t="str">
        <f aca="false">IF(IsPro,IF(OR($C2104="",N($G2104)=0),"",IF(OR($C2104="Receipt",$C2104="Other Income",$C2104="Capital In",$C2104="Transfer In"),$G2104,0)),"")</f>
        <v/>
      </c>
      <c r="J2104" s="61" t="str">
        <f aca="false">IF(IsPro,IF(OR($C2104="",N($G2104)=0),"",IF(I2104=0,$G2104,0)),"")</f>
        <v/>
      </c>
      <c r="K2104" s="60" t="str">
        <f aca="false">IF(IsPro,IF($C2104="","",IF(AND(OR($C2104="Receipt",$C2104="Payment"),$D2104=""),"Party needed",IF(AND(OR($C2104="Expense",$C2104="Other Income"),$E2104=""),"Head needed",IF($F2104="","Account needed","OK")))),IF($C2104="","","PRO PLAN"))</f>
        <v/>
      </c>
    </row>
    <row r="2105" customFormat="false" ht="15" hidden="false" customHeight="false" outlineLevel="0" collapsed="false">
      <c r="A2105" s="55"/>
      <c r="B2105" s="56"/>
      <c r="C2105" s="56"/>
      <c r="D2105" s="56"/>
      <c r="E2105" s="56"/>
      <c r="F2105" s="56"/>
      <c r="G2105" s="58"/>
      <c r="H2105" s="56"/>
      <c r="I2105" s="61" t="str">
        <f aca="false">IF(IsPro,IF(OR($C2105="",N($G2105)=0),"",IF(OR($C2105="Receipt",$C2105="Other Income",$C2105="Capital In",$C2105="Transfer In"),$G2105,0)),"")</f>
        <v/>
      </c>
      <c r="J2105" s="61" t="str">
        <f aca="false">IF(IsPro,IF(OR($C2105="",N($G2105)=0),"",IF(I2105=0,$G2105,0)),"")</f>
        <v/>
      </c>
      <c r="K2105" s="60" t="str">
        <f aca="false">IF(IsPro,IF($C2105="","",IF(AND(OR($C2105="Receipt",$C2105="Payment"),$D2105=""),"Party needed",IF(AND(OR($C2105="Expense",$C2105="Other Income"),$E2105=""),"Head needed",IF($F2105="","Account needed","OK")))),IF($C2105="","","PRO PLAN"))</f>
        <v/>
      </c>
    </row>
    <row r="2106" customFormat="false" ht="15" hidden="false" customHeight="false" outlineLevel="0" collapsed="false">
      <c r="A2106" s="55"/>
      <c r="B2106" s="56"/>
      <c r="C2106" s="56"/>
      <c r="D2106" s="56"/>
      <c r="E2106" s="56"/>
      <c r="F2106" s="56"/>
      <c r="G2106" s="58"/>
      <c r="H2106" s="56"/>
      <c r="I2106" s="61" t="str">
        <f aca="false">IF(IsPro,IF(OR($C2106="",N($G2106)=0),"",IF(OR($C2106="Receipt",$C2106="Other Income",$C2106="Capital In",$C2106="Transfer In"),$G2106,0)),"")</f>
        <v/>
      </c>
      <c r="J2106" s="61" t="str">
        <f aca="false">IF(IsPro,IF(OR($C2106="",N($G2106)=0),"",IF(I2106=0,$G2106,0)),"")</f>
        <v/>
      </c>
      <c r="K2106" s="60" t="str">
        <f aca="false">IF(IsPro,IF($C2106="","",IF(AND(OR($C2106="Receipt",$C2106="Payment"),$D2106=""),"Party needed",IF(AND(OR($C2106="Expense",$C2106="Other Income"),$E2106=""),"Head needed",IF($F2106="","Account needed","OK")))),IF($C2106="","","PRO PLAN"))</f>
        <v/>
      </c>
    </row>
    <row r="2107" customFormat="false" ht="15" hidden="false" customHeight="false" outlineLevel="0" collapsed="false">
      <c r="A2107" s="55"/>
      <c r="B2107" s="56"/>
      <c r="C2107" s="56"/>
      <c r="D2107" s="56"/>
      <c r="E2107" s="56"/>
      <c r="F2107" s="56"/>
      <c r="G2107" s="58"/>
      <c r="H2107" s="56"/>
      <c r="I2107" s="61" t="str">
        <f aca="false">IF(IsPro,IF(OR($C2107="",N($G2107)=0),"",IF(OR($C2107="Receipt",$C2107="Other Income",$C2107="Capital In",$C2107="Transfer In"),$G2107,0)),"")</f>
        <v/>
      </c>
      <c r="J2107" s="61" t="str">
        <f aca="false">IF(IsPro,IF(OR($C2107="",N($G2107)=0),"",IF(I2107=0,$G2107,0)),"")</f>
        <v/>
      </c>
      <c r="K2107" s="60" t="str">
        <f aca="false">IF(IsPro,IF($C2107="","",IF(AND(OR($C2107="Receipt",$C2107="Payment"),$D2107=""),"Party needed",IF(AND(OR($C2107="Expense",$C2107="Other Income"),$E2107=""),"Head needed",IF($F2107="","Account needed","OK")))),IF($C2107="","","PRO PLAN"))</f>
        <v/>
      </c>
    </row>
    <row r="2108" customFormat="false" ht="15" hidden="false" customHeight="false" outlineLevel="0" collapsed="false">
      <c r="A2108" s="55"/>
      <c r="B2108" s="56"/>
      <c r="C2108" s="56"/>
      <c r="D2108" s="56"/>
      <c r="E2108" s="56"/>
      <c r="F2108" s="56"/>
      <c r="G2108" s="58"/>
      <c r="H2108" s="56"/>
      <c r="I2108" s="61" t="str">
        <f aca="false">IF(IsPro,IF(OR($C2108="",N($G2108)=0),"",IF(OR($C2108="Receipt",$C2108="Other Income",$C2108="Capital In",$C2108="Transfer In"),$G2108,0)),"")</f>
        <v/>
      </c>
      <c r="J2108" s="61" t="str">
        <f aca="false">IF(IsPro,IF(OR($C2108="",N($G2108)=0),"",IF(I2108=0,$G2108,0)),"")</f>
        <v/>
      </c>
      <c r="K2108" s="60" t="str">
        <f aca="false">IF(IsPro,IF($C2108="","",IF(AND(OR($C2108="Receipt",$C2108="Payment"),$D2108=""),"Party needed",IF(AND(OR($C2108="Expense",$C2108="Other Income"),$E2108=""),"Head needed",IF($F2108="","Account needed","OK")))),IF($C2108="","","PRO PLAN"))</f>
        <v/>
      </c>
    </row>
    <row r="2109" customFormat="false" ht="15" hidden="false" customHeight="false" outlineLevel="0" collapsed="false">
      <c r="A2109" s="55"/>
      <c r="B2109" s="56"/>
      <c r="C2109" s="56"/>
      <c r="D2109" s="56"/>
      <c r="E2109" s="56"/>
      <c r="F2109" s="56"/>
      <c r="G2109" s="58"/>
      <c r="H2109" s="56"/>
      <c r="I2109" s="61" t="str">
        <f aca="false">IF(IsPro,IF(OR($C2109="",N($G2109)=0),"",IF(OR($C2109="Receipt",$C2109="Other Income",$C2109="Capital In",$C2109="Transfer In"),$G2109,0)),"")</f>
        <v/>
      </c>
      <c r="J2109" s="61" t="str">
        <f aca="false">IF(IsPro,IF(OR($C2109="",N($G2109)=0),"",IF(I2109=0,$G2109,0)),"")</f>
        <v/>
      </c>
      <c r="K2109" s="60" t="str">
        <f aca="false">IF(IsPro,IF($C2109="","",IF(AND(OR($C2109="Receipt",$C2109="Payment"),$D2109=""),"Party needed",IF(AND(OR($C2109="Expense",$C2109="Other Income"),$E2109=""),"Head needed",IF($F2109="","Account needed","OK")))),IF($C2109="","","PRO PLAN"))</f>
        <v/>
      </c>
    </row>
    <row r="2110" customFormat="false" ht="15" hidden="false" customHeight="false" outlineLevel="0" collapsed="false">
      <c r="A2110" s="55"/>
      <c r="B2110" s="56"/>
      <c r="C2110" s="56"/>
      <c r="D2110" s="56"/>
      <c r="E2110" s="56"/>
      <c r="F2110" s="56"/>
      <c r="G2110" s="58"/>
      <c r="H2110" s="56"/>
      <c r="I2110" s="61" t="str">
        <f aca="false">IF(IsPro,IF(OR($C2110="",N($G2110)=0),"",IF(OR($C2110="Receipt",$C2110="Other Income",$C2110="Capital In",$C2110="Transfer In"),$G2110,0)),"")</f>
        <v/>
      </c>
      <c r="J2110" s="61" t="str">
        <f aca="false">IF(IsPro,IF(OR($C2110="",N($G2110)=0),"",IF(I2110=0,$G2110,0)),"")</f>
        <v/>
      </c>
      <c r="K2110" s="60" t="str">
        <f aca="false">IF(IsPro,IF($C2110="","",IF(AND(OR($C2110="Receipt",$C2110="Payment"),$D2110=""),"Party needed",IF(AND(OR($C2110="Expense",$C2110="Other Income"),$E2110=""),"Head needed",IF($F2110="","Account needed","OK")))),IF($C2110="","","PRO PLAN"))</f>
        <v/>
      </c>
    </row>
    <row r="2111" customFormat="false" ht="15" hidden="false" customHeight="false" outlineLevel="0" collapsed="false">
      <c r="A2111" s="55"/>
      <c r="B2111" s="56"/>
      <c r="C2111" s="56"/>
      <c r="D2111" s="56"/>
      <c r="E2111" s="56"/>
      <c r="F2111" s="56"/>
      <c r="G2111" s="58"/>
      <c r="H2111" s="56"/>
      <c r="I2111" s="61" t="str">
        <f aca="false">IF(IsPro,IF(OR($C2111="",N($G2111)=0),"",IF(OR($C2111="Receipt",$C2111="Other Income",$C2111="Capital In",$C2111="Transfer In"),$G2111,0)),"")</f>
        <v/>
      </c>
      <c r="J2111" s="61" t="str">
        <f aca="false">IF(IsPro,IF(OR($C2111="",N($G2111)=0),"",IF(I2111=0,$G2111,0)),"")</f>
        <v/>
      </c>
      <c r="K2111" s="60" t="str">
        <f aca="false">IF(IsPro,IF($C2111="","",IF(AND(OR($C2111="Receipt",$C2111="Payment"),$D2111=""),"Party needed",IF(AND(OR($C2111="Expense",$C2111="Other Income"),$E2111=""),"Head needed",IF($F2111="","Account needed","OK")))),IF($C2111="","","PRO PLAN"))</f>
        <v/>
      </c>
    </row>
    <row r="2112" customFormat="false" ht="15" hidden="false" customHeight="false" outlineLevel="0" collapsed="false">
      <c r="A2112" s="55"/>
      <c r="B2112" s="56"/>
      <c r="C2112" s="56"/>
      <c r="D2112" s="56"/>
      <c r="E2112" s="56"/>
      <c r="F2112" s="56"/>
      <c r="G2112" s="58"/>
      <c r="H2112" s="56"/>
      <c r="I2112" s="61" t="str">
        <f aca="false">IF(IsPro,IF(OR($C2112="",N($G2112)=0),"",IF(OR($C2112="Receipt",$C2112="Other Income",$C2112="Capital In",$C2112="Transfer In"),$G2112,0)),"")</f>
        <v/>
      </c>
      <c r="J2112" s="61" t="str">
        <f aca="false">IF(IsPro,IF(OR($C2112="",N($G2112)=0),"",IF(I2112=0,$G2112,0)),"")</f>
        <v/>
      </c>
      <c r="K2112" s="60" t="str">
        <f aca="false">IF(IsPro,IF($C2112="","",IF(AND(OR($C2112="Receipt",$C2112="Payment"),$D2112=""),"Party needed",IF(AND(OR($C2112="Expense",$C2112="Other Income"),$E2112=""),"Head needed",IF($F2112="","Account needed","OK")))),IF($C2112="","","PRO PLAN"))</f>
        <v/>
      </c>
    </row>
    <row r="2113" customFormat="false" ht="15" hidden="false" customHeight="false" outlineLevel="0" collapsed="false">
      <c r="A2113" s="55"/>
      <c r="B2113" s="56"/>
      <c r="C2113" s="56"/>
      <c r="D2113" s="56"/>
      <c r="E2113" s="56"/>
      <c r="F2113" s="56"/>
      <c r="G2113" s="58"/>
      <c r="H2113" s="56"/>
      <c r="I2113" s="61" t="str">
        <f aca="false">IF(IsPro,IF(OR($C2113="",N($G2113)=0),"",IF(OR($C2113="Receipt",$C2113="Other Income",$C2113="Capital In",$C2113="Transfer In"),$G2113,0)),"")</f>
        <v/>
      </c>
      <c r="J2113" s="61" t="str">
        <f aca="false">IF(IsPro,IF(OR($C2113="",N($G2113)=0),"",IF(I2113=0,$G2113,0)),"")</f>
        <v/>
      </c>
      <c r="K2113" s="60" t="str">
        <f aca="false">IF(IsPro,IF($C2113="","",IF(AND(OR($C2113="Receipt",$C2113="Payment"),$D2113=""),"Party needed",IF(AND(OR($C2113="Expense",$C2113="Other Income"),$E2113=""),"Head needed",IF($F2113="","Account needed","OK")))),IF($C2113="","","PRO PLAN"))</f>
        <v/>
      </c>
    </row>
    <row r="2114" customFormat="false" ht="15" hidden="false" customHeight="false" outlineLevel="0" collapsed="false">
      <c r="A2114" s="55"/>
      <c r="B2114" s="56"/>
      <c r="C2114" s="56"/>
      <c r="D2114" s="56"/>
      <c r="E2114" s="56"/>
      <c r="F2114" s="56"/>
      <c r="G2114" s="58"/>
      <c r="H2114" s="56"/>
      <c r="I2114" s="61" t="str">
        <f aca="false">IF(IsPro,IF(OR($C2114="",N($G2114)=0),"",IF(OR($C2114="Receipt",$C2114="Other Income",$C2114="Capital In",$C2114="Transfer In"),$G2114,0)),"")</f>
        <v/>
      </c>
      <c r="J2114" s="61" t="str">
        <f aca="false">IF(IsPro,IF(OR($C2114="",N($G2114)=0),"",IF(I2114=0,$G2114,0)),"")</f>
        <v/>
      </c>
      <c r="K2114" s="60" t="str">
        <f aca="false">IF(IsPro,IF($C2114="","",IF(AND(OR($C2114="Receipt",$C2114="Payment"),$D2114=""),"Party needed",IF(AND(OR($C2114="Expense",$C2114="Other Income"),$E2114=""),"Head needed",IF($F2114="","Account needed","OK")))),IF($C2114="","","PRO PLAN"))</f>
        <v/>
      </c>
    </row>
    <row r="2115" customFormat="false" ht="15" hidden="false" customHeight="false" outlineLevel="0" collapsed="false">
      <c r="A2115" s="55"/>
      <c r="B2115" s="56"/>
      <c r="C2115" s="56"/>
      <c r="D2115" s="56"/>
      <c r="E2115" s="56"/>
      <c r="F2115" s="56"/>
      <c r="G2115" s="58"/>
      <c r="H2115" s="56"/>
      <c r="I2115" s="61" t="str">
        <f aca="false">IF(IsPro,IF(OR($C2115="",N($G2115)=0),"",IF(OR($C2115="Receipt",$C2115="Other Income",$C2115="Capital In",$C2115="Transfer In"),$G2115,0)),"")</f>
        <v/>
      </c>
      <c r="J2115" s="61" t="str">
        <f aca="false">IF(IsPro,IF(OR($C2115="",N($G2115)=0),"",IF(I2115=0,$G2115,0)),"")</f>
        <v/>
      </c>
      <c r="K2115" s="60" t="str">
        <f aca="false">IF(IsPro,IF($C2115="","",IF(AND(OR($C2115="Receipt",$C2115="Payment"),$D2115=""),"Party needed",IF(AND(OR($C2115="Expense",$C2115="Other Income"),$E2115=""),"Head needed",IF($F2115="","Account needed","OK")))),IF($C2115="","","PRO PLAN"))</f>
        <v/>
      </c>
    </row>
    <row r="2116" customFormat="false" ht="15" hidden="false" customHeight="false" outlineLevel="0" collapsed="false">
      <c r="A2116" s="55"/>
      <c r="B2116" s="56"/>
      <c r="C2116" s="56"/>
      <c r="D2116" s="56"/>
      <c r="E2116" s="56"/>
      <c r="F2116" s="56"/>
      <c r="G2116" s="58"/>
      <c r="H2116" s="56"/>
      <c r="I2116" s="61" t="str">
        <f aca="false">IF(IsPro,IF(OR($C2116="",N($G2116)=0),"",IF(OR($C2116="Receipt",$C2116="Other Income",$C2116="Capital In",$C2116="Transfer In"),$G2116,0)),"")</f>
        <v/>
      </c>
      <c r="J2116" s="61" t="str">
        <f aca="false">IF(IsPro,IF(OR($C2116="",N($G2116)=0),"",IF(I2116=0,$G2116,0)),"")</f>
        <v/>
      </c>
      <c r="K2116" s="60" t="str">
        <f aca="false">IF(IsPro,IF($C2116="","",IF(AND(OR($C2116="Receipt",$C2116="Payment"),$D2116=""),"Party needed",IF(AND(OR($C2116="Expense",$C2116="Other Income"),$E2116=""),"Head needed",IF($F2116="","Account needed","OK")))),IF($C2116="","","PRO PLAN"))</f>
        <v/>
      </c>
    </row>
    <row r="2117" customFormat="false" ht="15" hidden="false" customHeight="false" outlineLevel="0" collapsed="false">
      <c r="A2117" s="55"/>
      <c r="B2117" s="56"/>
      <c r="C2117" s="56"/>
      <c r="D2117" s="56"/>
      <c r="E2117" s="56"/>
      <c r="F2117" s="56"/>
      <c r="G2117" s="58"/>
      <c r="H2117" s="56"/>
      <c r="I2117" s="61" t="str">
        <f aca="false">IF(IsPro,IF(OR($C2117="",N($G2117)=0),"",IF(OR($C2117="Receipt",$C2117="Other Income",$C2117="Capital In",$C2117="Transfer In"),$G2117,0)),"")</f>
        <v/>
      </c>
      <c r="J2117" s="61" t="str">
        <f aca="false">IF(IsPro,IF(OR($C2117="",N($G2117)=0),"",IF(I2117=0,$G2117,0)),"")</f>
        <v/>
      </c>
      <c r="K2117" s="60" t="str">
        <f aca="false">IF(IsPro,IF($C2117="","",IF(AND(OR($C2117="Receipt",$C2117="Payment"),$D2117=""),"Party needed",IF(AND(OR($C2117="Expense",$C2117="Other Income"),$E2117=""),"Head needed",IF($F2117="","Account needed","OK")))),IF($C2117="","","PRO PLAN"))</f>
        <v/>
      </c>
    </row>
    <row r="2118" customFormat="false" ht="15" hidden="false" customHeight="false" outlineLevel="0" collapsed="false">
      <c r="A2118" s="55"/>
      <c r="B2118" s="56"/>
      <c r="C2118" s="56"/>
      <c r="D2118" s="56"/>
      <c r="E2118" s="56"/>
      <c r="F2118" s="56"/>
      <c r="G2118" s="58"/>
      <c r="H2118" s="56"/>
      <c r="I2118" s="61" t="str">
        <f aca="false">IF(IsPro,IF(OR($C2118="",N($G2118)=0),"",IF(OR($C2118="Receipt",$C2118="Other Income",$C2118="Capital In",$C2118="Transfer In"),$G2118,0)),"")</f>
        <v/>
      </c>
      <c r="J2118" s="61" t="str">
        <f aca="false">IF(IsPro,IF(OR($C2118="",N($G2118)=0),"",IF(I2118=0,$G2118,0)),"")</f>
        <v/>
      </c>
      <c r="K2118" s="60" t="str">
        <f aca="false">IF(IsPro,IF($C2118="","",IF(AND(OR($C2118="Receipt",$C2118="Payment"),$D2118=""),"Party needed",IF(AND(OR($C2118="Expense",$C2118="Other Income"),$E2118=""),"Head needed",IF($F2118="","Account needed","OK")))),IF($C2118="","","PRO PLAN"))</f>
        <v/>
      </c>
    </row>
    <row r="2119" customFormat="false" ht="15" hidden="false" customHeight="false" outlineLevel="0" collapsed="false">
      <c r="A2119" s="55"/>
      <c r="B2119" s="56"/>
      <c r="C2119" s="56"/>
      <c r="D2119" s="56"/>
      <c r="E2119" s="56"/>
      <c r="F2119" s="56"/>
      <c r="G2119" s="58"/>
      <c r="H2119" s="56"/>
      <c r="I2119" s="61" t="str">
        <f aca="false">IF(IsPro,IF(OR($C2119="",N($G2119)=0),"",IF(OR($C2119="Receipt",$C2119="Other Income",$C2119="Capital In",$C2119="Transfer In"),$G2119,0)),"")</f>
        <v/>
      </c>
      <c r="J2119" s="61" t="str">
        <f aca="false">IF(IsPro,IF(OR($C2119="",N($G2119)=0),"",IF(I2119=0,$G2119,0)),"")</f>
        <v/>
      </c>
      <c r="K2119" s="60" t="str">
        <f aca="false">IF(IsPro,IF($C2119="","",IF(AND(OR($C2119="Receipt",$C2119="Payment"),$D2119=""),"Party needed",IF(AND(OR($C2119="Expense",$C2119="Other Income"),$E2119=""),"Head needed",IF($F2119="","Account needed","OK")))),IF($C2119="","","PRO PLAN"))</f>
        <v/>
      </c>
    </row>
    <row r="2120" customFormat="false" ht="15" hidden="false" customHeight="false" outlineLevel="0" collapsed="false">
      <c r="A2120" s="55"/>
      <c r="B2120" s="56"/>
      <c r="C2120" s="56"/>
      <c r="D2120" s="56"/>
      <c r="E2120" s="56"/>
      <c r="F2120" s="56"/>
      <c r="G2120" s="58"/>
      <c r="H2120" s="56"/>
      <c r="I2120" s="61" t="str">
        <f aca="false">IF(IsPro,IF(OR($C2120="",N($G2120)=0),"",IF(OR($C2120="Receipt",$C2120="Other Income",$C2120="Capital In",$C2120="Transfer In"),$G2120,0)),"")</f>
        <v/>
      </c>
      <c r="J2120" s="61" t="str">
        <f aca="false">IF(IsPro,IF(OR($C2120="",N($G2120)=0),"",IF(I2120=0,$G2120,0)),"")</f>
        <v/>
      </c>
      <c r="K2120" s="60" t="str">
        <f aca="false">IF(IsPro,IF($C2120="","",IF(AND(OR($C2120="Receipt",$C2120="Payment"),$D2120=""),"Party needed",IF(AND(OR($C2120="Expense",$C2120="Other Income"),$E2120=""),"Head needed",IF($F2120="","Account needed","OK")))),IF($C2120="","","PRO PLAN"))</f>
        <v/>
      </c>
    </row>
    <row r="2121" customFormat="false" ht="15" hidden="false" customHeight="false" outlineLevel="0" collapsed="false">
      <c r="A2121" s="55"/>
      <c r="B2121" s="56"/>
      <c r="C2121" s="56"/>
      <c r="D2121" s="56"/>
      <c r="E2121" s="56"/>
      <c r="F2121" s="56"/>
      <c r="G2121" s="58"/>
      <c r="H2121" s="56"/>
      <c r="I2121" s="61" t="str">
        <f aca="false">IF(IsPro,IF(OR($C2121="",N($G2121)=0),"",IF(OR($C2121="Receipt",$C2121="Other Income",$C2121="Capital In",$C2121="Transfer In"),$G2121,0)),"")</f>
        <v/>
      </c>
      <c r="J2121" s="61" t="str">
        <f aca="false">IF(IsPro,IF(OR($C2121="",N($G2121)=0),"",IF(I2121=0,$G2121,0)),"")</f>
        <v/>
      </c>
      <c r="K2121" s="60" t="str">
        <f aca="false">IF(IsPro,IF($C2121="","",IF(AND(OR($C2121="Receipt",$C2121="Payment"),$D2121=""),"Party needed",IF(AND(OR($C2121="Expense",$C2121="Other Income"),$E2121=""),"Head needed",IF($F2121="","Account needed","OK")))),IF($C2121="","","PRO PLAN"))</f>
        <v/>
      </c>
    </row>
    <row r="2122" customFormat="false" ht="15" hidden="false" customHeight="false" outlineLevel="0" collapsed="false">
      <c r="A2122" s="55"/>
      <c r="B2122" s="56"/>
      <c r="C2122" s="56"/>
      <c r="D2122" s="56"/>
      <c r="E2122" s="56"/>
      <c r="F2122" s="56"/>
      <c r="G2122" s="58"/>
      <c r="H2122" s="56"/>
      <c r="I2122" s="61" t="str">
        <f aca="false">IF(IsPro,IF(OR($C2122="",N($G2122)=0),"",IF(OR($C2122="Receipt",$C2122="Other Income",$C2122="Capital In",$C2122="Transfer In"),$G2122,0)),"")</f>
        <v/>
      </c>
      <c r="J2122" s="61" t="str">
        <f aca="false">IF(IsPro,IF(OR($C2122="",N($G2122)=0),"",IF(I2122=0,$G2122,0)),"")</f>
        <v/>
      </c>
      <c r="K2122" s="60" t="str">
        <f aca="false">IF(IsPro,IF($C2122="","",IF(AND(OR($C2122="Receipt",$C2122="Payment"),$D2122=""),"Party needed",IF(AND(OR($C2122="Expense",$C2122="Other Income"),$E2122=""),"Head needed",IF($F2122="","Account needed","OK")))),IF($C2122="","","PRO PLAN"))</f>
        <v/>
      </c>
    </row>
    <row r="2123" customFormat="false" ht="15" hidden="false" customHeight="false" outlineLevel="0" collapsed="false">
      <c r="A2123" s="55"/>
      <c r="B2123" s="56"/>
      <c r="C2123" s="56"/>
      <c r="D2123" s="56"/>
      <c r="E2123" s="56"/>
      <c r="F2123" s="56"/>
      <c r="G2123" s="58"/>
      <c r="H2123" s="56"/>
      <c r="I2123" s="61" t="str">
        <f aca="false">IF(IsPro,IF(OR($C2123="",N($G2123)=0),"",IF(OR($C2123="Receipt",$C2123="Other Income",$C2123="Capital In",$C2123="Transfer In"),$G2123,0)),"")</f>
        <v/>
      </c>
      <c r="J2123" s="61" t="str">
        <f aca="false">IF(IsPro,IF(OR($C2123="",N($G2123)=0),"",IF(I2123=0,$G2123,0)),"")</f>
        <v/>
      </c>
      <c r="K2123" s="60" t="str">
        <f aca="false">IF(IsPro,IF($C2123="","",IF(AND(OR($C2123="Receipt",$C2123="Payment"),$D2123=""),"Party needed",IF(AND(OR($C2123="Expense",$C2123="Other Income"),$E2123=""),"Head needed",IF($F2123="","Account needed","OK")))),IF($C2123="","","PRO PLAN"))</f>
        <v/>
      </c>
    </row>
    <row r="2124" customFormat="false" ht="15" hidden="false" customHeight="false" outlineLevel="0" collapsed="false">
      <c r="A2124" s="55"/>
      <c r="B2124" s="56"/>
      <c r="C2124" s="56"/>
      <c r="D2124" s="56"/>
      <c r="E2124" s="56"/>
      <c r="F2124" s="56"/>
      <c r="G2124" s="58"/>
      <c r="H2124" s="56"/>
      <c r="I2124" s="61" t="str">
        <f aca="false">IF(IsPro,IF(OR($C2124="",N($G2124)=0),"",IF(OR($C2124="Receipt",$C2124="Other Income",$C2124="Capital In",$C2124="Transfer In"),$G2124,0)),"")</f>
        <v/>
      </c>
      <c r="J2124" s="61" t="str">
        <f aca="false">IF(IsPro,IF(OR($C2124="",N($G2124)=0),"",IF(I2124=0,$G2124,0)),"")</f>
        <v/>
      </c>
      <c r="K2124" s="60" t="str">
        <f aca="false">IF(IsPro,IF($C2124="","",IF(AND(OR($C2124="Receipt",$C2124="Payment"),$D2124=""),"Party needed",IF(AND(OR($C2124="Expense",$C2124="Other Income"),$E2124=""),"Head needed",IF($F2124="","Account needed","OK")))),IF($C2124="","","PRO PLAN"))</f>
        <v/>
      </c>
    </row>
    <row r="2125" customFormat="false" ht="15" hidden="false" customHeight="false" outlineLevel="0" collapsed="false">
      <c r="A2125" s="55"/>
      <c r="B2125" s="56"/>
      <c r="C2125" s="56"/>
      <c r="D2125" s="56"/>
      <c r="E2125" s="56"/>
      <c r="F2125" s="56"/>
      <c r="G2125" s="58"/>
      <c r="H2125" s="56"/>
      <c r="I2125" s="61" t="str">
        <f aca="false">IF(IsPro,IF(OR($C2125="",N($G2125)=0),"",IF(OR($C2125="Receipt",$C2125="Other Income",$C2125="Capital In",$C2125="Transfer In"),$G2125,0)),"")</f>
        <v/>
      </c>
      <c r="J2125" s="61" t="str">
        <f aca="false">IF(IsPro,IF(OR($C2125="",N($G2125)=0),"",IF(I2125=0,$G2125,0)),"")</f>
        <v/>
      </c>
      <c r="K2125" s="60" t="str">
        <f aca="false">IF(IsPro,IF($C2125="","",IF(AND(OR($C2125="Receipt",$C2125="Payment"),$D2125=""),"Party needed",IF(AND(OR($C2125="Expense",$C2125="Other Income"),$E2125=""),"Head needed",IF($F2125="","Account needed","OK")))),IF($C2125="","","PRO PLAN"))</f>
        <v/>
      </c>
    </row>
    <row r="2126" customFormat="false" ht="15" hidden="false" customHeight="false" outlineLevel="0" collapsed="false">
      <c r="A2126" s="55"/>
      <c r="B2126" s="56"/>
      <c r="C2126" s="56"/>
      <c r="D2126" s="56"/>
      <c r="E2126" s="56"/>
      <c r="F2126" s="56"/>
      <c r="G2126" s="58"/>
      <c r="H2126" s="56"/>
      <c r="I2126" s="61" t="str">
        <f aca="false">IF(IsPro,IF(OR($C2126="",N($G2126)=0),"",IF(OR($C2126="Receipt",$C2126="Other Income",$C2126="Capital In",$C2126="Transfer In"),$G2126,0)),"")</f>
        <v/>
      </c>
      <c r="J2126" s="61" t="str">
        <f aca="false">IF(IsPro,IF(OR($C2126="",N($G2126)=0),"",IF(I2126=0,$G2126,0)),"")</f>
        <v/>
      </c>
      <c r="K2126" s="60" t="str">
        <f aca="false">IF(IsPro,IF($C2126="","",IF(AND(OR($C2126="Receipt",$C2126="Payment"),$D2126=""),"Party needed",IF(AND(OR($C2126="Expense",$C2126="Other Income"),$E2126=""),"Head needed",IF($F2126="","Account needed","OK")))),IF($C2126="","","PRO PLAN"))</f>
        <v/>
      </c>
    </row>
    <row r="2127" customFormat="false" ht="15" hidden="false" customHeight="false" outlineLevel="0" collapsed="false">
      <c r="A2127" s="55"/>
      <c r="B2127" s="56"/>
      <c r="C2127" s="56"/>
      <c r="D2127" s="56"/>
      <c r="E2127" s="56"/>
      <c r="F2127" s="56"/>
      <c r="G2127" s="58"/>
      <c r="H2127" s="56"/>
      <c r="I2127" s="61" t="str">
        <f aca="false">IF(IsPro,IF(OR($C2127="",N($G2127)=0),"",IF(OR($C2127="Receipt",$C2127="Other Income",$C2127="Capital In",$C2127="Transfer In"),$G2127,0)),"")</f>
        <v/>
      </c>
      <c r="J2127" s="61" t="str">
        <f aca="false">IF(IsPro,IF(OR($C2127="",N($G2127)=0),"",IF(I2127=0,$G2127,0)),"")</f>
        <v/>
      </c>
      <c r="K2127" s="60" t="str">
        <f aca="false">IF(IsPro,IF($C2127="","",IF(AND(OR($C2127="Receipt",$C2127="Payment"),$D2127=""),"Party needed",IF(AND(OR($C2127="Expense",$C2127="Other Income"),$E2127=""),"Head needed",IF($F2127="","Account needed","OK")))),IF($C2127="","","PRO PLAN"))</f>
        <v/>
      </c>
    </row>
    <row r="2128" customFormat="false" ht="15" hidden="false" customHeight="false" outlineLevel="0" collapsed="false">
      <c r="A2128" s="55"/>
      <c r="B2128" s="56"/>
      <c r="C2128" s="56"/>
      <c r="D2128" s="56"/>
      <c r="E2128" s="56"/>
      <c r="F2128" s="56"/>
      <c r="G2128" s="58"/>
      <c r="H2128" s="56"/>
      <c r="I2128" s="61" t="str">
        <f aca="false">IF(IsPro,IF(OR($C2128="",N($G2128)=0),"",IF(OR($C2128="Receipt",$C2128="Other Income",$C2128="Capital In",$C2128="Transfer In"),$G2128,0)),"")</f>
        <v/>
      </c>
      <c r="J2128" s="61" t="str">
        <f aca="false">IF(IsPro,IF(OR($C2128="",N($G2128)=0),"",IF(I2128=0,$G2128,0)),"")</f>
        <v/>
      </c>
      <c r="K2128" s="60" t="str">
        <f aca="false">IF(IsPro,IF($C2128="","",IF(AND(OR($C2128="Receipt",$C2128="Payment"),$D2128=""),"Party needed",IF(AND(OR($C2128="Expense",$C2128="Other Income"),$E2128=""),"Head needed",IF($F2128="","Account needed","OK")))),IF($C2128="","","PRO PLAN"))</f>
        <v/>
      </c>
    </row>
    <row r="2129" customFormat="false" ht="15" hidden="false" customHeight="false" outlineLevel="0" collapsed="false">
      <c r="A2129" s="55"/>
      <c r="B2129" s="56"/>
      <c r="C2129" s="56"/>
      <c r="D2129" s="56"/>
      <c r="E2129" s="56"/>
      <c r="F2129" s="56"/>
      <c r="G2129" s="58"/>
      <c r="H2129" s="56"/>
      <c r="I2129" s="61" t="str">
        <f aca="false">IF(IsPro,IF(OR($C2129="",N($G2129)=0),"",IF(OR($C2129="Receipt",$C2129="Other Income",$C2129="Capital In",$C2129="Transfer In"),$G2129,0)),"")</f>
        <v/>
      </c>
      <c r="J2129" s="61" t="str">
        <f aca="false">IF(IsPro,IF(OR($C2129="",N($G2129)=0),"",IF(I2129=0,$G2129,0)),"")</f>
        <v/>
      </c>
      <c r="K2129" s="60" t="str">
        <f aca="false">IF(IsPro,IF($C2129="","",IF(AND(OR($C2129="Receipt",$C2129="Payment"),$D2129=""),"Party needed",IF(AND(OR($C2129="Expense",$C2129="Other Income"),$E2129=""),"Head needed",IF($F2129="","Account needed","OK")))),IF($C2129="","","PRO PLAN"))</f>
        <v/>
      </c>
    </row>
    <row r="2130" customFormat="false" ht="15" hidden="false" customHeight="false" outlineLevel="0" collapsed="false">
      <c r="A2130" s="55"/>
      <c r="B2130" s="56"/>
      <c r="C2130" s="56"/>
      <c r="D2130" s="56"/>
      <c r="E2130" s="56"/>
      <c r="F2130" s="56"/>
      <c r="G2130" s="58"/>
      <c r="H2130" s="56"/>
      <c r="I2130" s="61" t="str">
        <f aca="false">IF(IsPro,IF(OR($C2130="",N($G2130)=0),"",IF(OR($C2130="Receipt",$C2130="Other Income",$C2130="Capital In",$C2130="Transfer In"),$G2130,0)),"")</f>
        <v/>
      </c>
      <c r="J2130" s="61" t="str">
        <f aca="false">IF(IsPro,IF(OR($C2130="",N($G2130)=0),"",IF(I2130=0,$G2130,0)),"")</f>
        <v/>
      </c>
      <c r="K2130" s="60" t="str">
        <f aca="false">IF(IsPro,IF($C2130="","",IF(AND(OR($C2130="Receipt",$C2130="Payment"),$D2130=""),"Party needed",IF(AND(OR($C2130="Expense",$C2130="Other Income"),$E2130=""),"Head needed",IF($F2130="","Account needed","OK")))),IF($C2130="","","PRO PLAN"))</f>
        <v/>
      </c>
    </row>
    <row r="2131" customFormat="false" ht="15" hidden="false" customHeight="false" outlineLevel="0" collapsed="false">
      <c r="A2131" s="55"/>
      <c r="B2131" s="56"/>
      <c r="C2131" s="56"/>
      <c r="D2131" s="56"/>
      <c r="E2131" s="56"/>
      <c r="F2131" s="56"/>
      <c r="G2131" s="58"/>
      <c r="H2131" s="56"/>
      <c r="I2131" s="61" t="str">
        <f aca="false">IF(IsPro,IF(OR($C2131="",N($G2131)=0),"",IF(OR($C2131="Receipt",$C2131="Other Income",$C2131="Capital In",$C2131="Transfer In"),$G2131,0)),"")</f>
        <v/>
      </c>
      <c r="J2131" s="61" t="str">
        <f aca="false">IF(IsPro,IF(OR($C2131="",N($G2131)=0),"",IF(I2131=0,$G2131,0)),"")</f>
        <v/>
      </c>
      <c r="K2131" s="60" t="str">
        <f aca="false">IF(IsPro,IF($C2131="","",IF(AND(OR($C2131="Receipt",$C2131="Payment"),$D2131=""),"Party needed",IF(AND(OR($C2131="Expense",$C2131="Other Income"),$E2131=""),"Head needed",IF($F2131="","Account needed","OK")))),IF($C2131="","","PRO PLAN"))</f>
        <v/>
      </c>
    </row>
    <row r="2132" customFormat="false" ht="15" hidden="false" customHeight="false" outlineLevel="0" collapsed="false">
      <c r="A2132" s="55"/>
      <c r="B2132" s="56"/>
      <c r="C2132" s="56"/>
      <c r="D2132" s="56"/>
      <c r="E2132" s="56"/>
      <c r="F2132" s="56"/>
      <c r="G2132" s="58"/>
      <c r="H2132" s="56"/>
      <c r="I2132" s="61" t="str">
        <f aca="false">IF(IsPro,IF(OR($C2132="",N($G2132)=0),"",IF(OR($C2132="Receipt",$C2132="Other Income",$C2132="Capital In",$C2132="Transfer In"),$G2132,0)),"")</f>
        <v/>
      </c>
      <c r="J2132" s="61" t="str">
        <f aca="false">IF(IsPro,IF(OR($C2132="",N($G2132)=0),"",IF(I2132=0,$G2132,0)),"")</f>
        <v/>
      </c>
      <c r="K2132" s="60" t="str">
        <f aca="false">IF(IsPro,IF($C2132="","",IF(AND(OR($C2132="Receipt",$C2132="Payment"),$D2132=""),"Party needed",IF(AND(OR($C2132="Expense",$C2132="Other Income"),$E2132=""),"Head needed",IF($F2132="","Account needed","OK")))),IF($C2132="","","PRO PLAN"))</f>
        <v/>
      </c>
    </row>
    <row r="2133" customFormat="false" ht="15" hidden="false" customHeight="false" outlineLevel="0" collapsed="false">
      <c r="A2133" s="55"/>
      <c r="B2133" s="56"/>
      <c r="C2133" s="56"/>
      <c r="D2133" s="56"/>
      <c r="E2133" s="56"/>
      <c r="F2133" s="56"/>
      <c r="G2133" s="58"/>
      <c r="H2133" s="56"/>
      <c r="I2133" s="61" t="str">
        <f aca="false">IF(IsPro,IF(OR($C2133="",N($G2133)=0),"",IF(OR($C2133="Receipt",$C2133="Other Income",$C2133="Capital In",$C2133="Transfer In"),$G2133,0)),"")</f>
        <v/>
      </c>
      <c r="J2133" s="61" t="str">
        <f aca="false">IF(IsPro,IF(OR($C2133="",N($G2133)=0),"",IF(I2133=0,$G2133,0)),"")</f>
        <v/>
      </c>
      <c r="K2133" s="60" t="str">
        <f aca="false">IF(IsPro,IF($C2133="","",IF(AND(OR($C2133="Receipt",$C2133="Payment"),$D2133=""),"Party needed",IF(AND(OR($C2133="Expense",$C2133="Other Income"),$E2133=""),"Head needed",IF($F2133="","Account needed","OK")))),IF($C2133="","","PRO PLAN"))</f>
        <v/>
      </c>
    </row>
    <row r="2134" customFormat="false" ht="15" hidden="false" customHeight="false" outlineLevel="0" collapsed="false">
      <c r="A2134" s="55"/>
      <c r="B2134" s="56"/>
      <c r="C2134" s="56"/>
      <c r="D2134" s="56"/>
      <c r="E2134" s="56"/>
      <c r="F2134" s="56"/>
      <c r="G2134" s="58"/>
      <c r="H2134" s="56"/>
      <c r="I2134" s="61" t="str">
        <f aca="false">IF(IsPro,IF(OR($C2134="",N($G2134)=0),"",IF(OR($C2134="Receipt",$C2134="Other Income",$C2134="Capital In",$C2134="Transfer In"),$G2134,0)),"")</f>
        <v/>
      </c>
      <c r="J2134" s="61" t="str">
        <f aca="false">IF(IsPro,IF(OR($C2134="",N($G2134)=0),"",IF(I2134=0,$G2134,0)),"")</f>
        <v/>
      </c>
      <c r="K2134" s="60" t="str">
        <f aca="false">IF(IsPro,IF($C2134="","",IF(AND(OR($C2134="Receipt",$C2134="Payment"),$D2134=""),"Party needed",IF(AND(OR($C2134="Expense",$C2134="Other Income"),$E2134=""),"Head needed",IF($F2134="","Account needed","OK")))),IF($C2134="","","PRO PLAN"))</f>
        <v/>
      </c>
    </row>
    <row r="2135" customFormat="false" ht="15" hidden="false" customHeight="false" outlineLevel="0" collapsed="false">
      <c r="A2135" s="55"/>
      <c r="B2135" s="56"/>
      <c r="C2135" s="56"/>
      <c r="D2135" s="56"/>
      <c r="E2135" s="56"/>
      <c r="F2135" s="56"/>
      <c r="G2135" s="58"/>
      <c r="H2135" s="56"/>
      <c r="I2135" s="61" t="str">
        <f aca="false">IF(IsPro,IF(OR($C2135="",N($G2135)=0),"",IF(OR($C2135="Receipt",$C2135="Other Income",$C2135="Capital In",$C2135="Transfer In"),$G2135,0)),"")</f>
        <v/>
      </c>
      <c r="J2135" s="61" t="str">
        <f aca="false">IF(IsPro,IF(OR($C2135="",N($G2135)=0),"",IF(I2135=0,$G2135,0)),"")</f>
        <v/>
      </c>
      <c r="K2135" s="60" t="str">
        <f aca="false">IF(IsPro,IF($C2135="","",IF(AND(OR($C2135="Receipt",$C2135="Payment"),$D2135=""),"Party needed",IF(AND(OR($C2135="Expense",$C2135="Other Income"),$E2135=""),"Head needed",IF($F2135="","Account needed","OK")))),IF($C2135="","","PRO PLAN"))</f>
        <v/>
      </c>
    </row>
    <row r="2136" customFormat="false" ht="15" hidden="false" customHeight="false" outlineLevel="0" collapsed="false">
      <c r="A2136" s="55"/>
      <c r="B2136" s="56"/>
      <c r="C2136" s="56"/>
      <c r="D2136" s="56"/>
      <c r="E2136" s="56"/>
      <c r="F2136" s="56"/>
      <c r="G2136" s="58"/>
      <c r="H2136" s="56"/>
      <c r="I2136" s="61" t="str">
        <f aca="false">IF(IsPro,IF(OR($C2136="",N($G2136)=0),"",IF(OR($C2136="Receipt",$C2136="Other Income",$C2136="Capital In",$C2136="Transfer In"),$G2136,0)),"")</f>
        <v/>
      </c>
      <c r="J2136" s="61" t="str">
        <f aca="false">IF(IsPro,IF(OR($C2136="",N($G2136)=0),"",IF(I2136=0,$G2136,0)),"")</f>
        <v/>
      </c>
      <c r="K2136" s="60" t="str">
        <f aca="false">IF(IsPro,IF($C2136="","",IF(AND(OR($C2136="Receipt",$C2136="Payment"),$D2136=""),"Party needed",IF(AND(OR($C2136="Expense",$C2136="Other Income"),$E2136=""),"Head needed",IF($F2136="","Account needed","OK")))),IF($C2136="","","PRO PLAN"))</f>
        <v/>
      </c>
    </row>
    <row r="2137" customFormat="false" ht="15" hidden="false" customHeight="false" outlineLevel="0" collapsed="false">
      <c r="A2137" s="55"/>
      <c r="B2137" s="56"/>
      <c r="C2137" s="56"/>
      <c r="D2137" s="56"/>
      <c r="E2137" s="56"/>
      <c r="F2137" s="56"/>
      <c r="G2137" s="58"/>
      <c r="H2137" s="56"/>
      <c r="I2137" s="61" t="str">
        <f aca="false">IF(IsPro,IF(OR($C2137="",N($G2137)=0),"",IF(OR($C2137="Receipt",$C2137="Other Income",$C2137="Capital In",$C2137="Transfer In"),$G2137,0)),"")</f>
        <v/>
      </c>
      <c r="J2137" s="61" t="str">
        <f aca="false">IF(IsPro,IF(OR($C2137="",N($G2137)=0),"",IF(I2137=0,$G2137,0)),"")</f>
        <v/>
      </c>
      <c r="K2137" s="60" t="str">
        <f aca="false">IF(IsPro,IF($C2137="","",IF(AND(OR($C2137="Receipt",$C2137="Payment"),$D2137=""),"Party needed",IF(AND(OR($C2137="Expense",$C2137="Other Income"),$E2137=""),"Head needed",IF($F2137="","Account needed","OK")))),IF($C2137="","","PRO PLAN"))</f>
        <v/>
      </c>
    </row>
    <row r="2138" customFormat="false" ht="15" hidden="false" customHeight="false" outlineLevel="0" collapsed="false">
      <c r="A2138" s="55"/>
      <c r="B2138" s="56"/>
      <c r="C2138" s="56"/>
      <c r="D2138" s="56"/>
      <c r="E2138" s="56"/>
      <c r="F2138" s="56"/>
      <c r="G2138" s="58"/>
      <c r="H2138" s="56"/>
      <c r="I2138" s="61" t="str">
        <f aca="false">IF(IsPro,IF(OR($C2138="",N($G2138)=0),"",IF(OR($C2138="Receipt",$C2138="Other Income",$C2138="Capital In",$C2138="Transfer In"),$G2138,0)),"")</f>
        <v/>
      </c>
      <c r="J2138" s="61" t="str">
        <f aca="false">IF(IsPro,IF(OR($C2138="",N($G2138)=0),"",IF(I2138=0,$G2138,0)),"")</f>
        <v/>
      </c>
      <c r="K2138" s="60" t="str">
        <f aca="false">IF(IsPro,IF($C2138="","",IF(AND(OR($C2138="Receipt",$C2138="Payment"),$D2138=""),"Party needed",IF(AND(OR($C2138="Expense",$C2138="Other Income"),$E2138=""),"Head needed",IF($F2138="","Account needed","OK")))),IF($C2138="","","PRO PLAN"))</f>
        <v/>
      </c>
    </row>
    <row r="2139" customFormat="false" ht="15" hidden="false" customHeight="false" outlineLevel="0" collapsed="false">
      <c r="A2139" s="55"/>
      <c r="B2139" s="56"/>
      <c r="C2139" s="56"/>
      <c r="D2139" s="56"/>
      <c r="E2139" s="56"/>
      <c r="F2139" s="56"/>
      <c r="G2139" s="58"/>
      <c r="H2139" s="56"/>
      <c r="I2139" s="61" t="str">
        <f aca="false">IF(IsPro,IF(OR($C2139="",N($G2139)=0),"",IF(OR($C2139="Receipt",$C2139="Other Income",$C2139="Capital In",$C2139="Transfer In"),$G2139,0)),"")</f>
        <v/>
      </c>
      <c r="J2139" s="61" t="str">
        <f aca="false">IF(IsPro,IF(OR($C2139="",N($G2139)=0),"",IF(I2139=0,$G2139,0)),"")</f>
        <v/>
      </c>
      <c r="K2139" s="60" t="str">
        <f aca="false">IF(IsPro,IF($C2139="","",IF(AND(OR($C2139="Receipt",$C2139="Payment"),$D2139=""),"Party needed",IF(AND(OR($C2139="Expense",$C2139="Other Income"),$E2139=""),"Head needed",IF($F2139="","Account needed","OK")))),IF($C2139="","","PRO PLAN"))</f>
        <v/>
      </c>
    </row>
    <row r="2140" customFormat="false" ht="15" hidden="false" customHeight="false" outlineLevel="0" collapsed="false">
      <c r="A2140" s="55"/>
      <c r="B2140" s="56"/>
      <c r="C2140" s="56"/>
      <c r="D2140" s="56"/>
      <c r="E2140" s="56"/>
      <c r="F2140" s="56"/>
      <c r="G2140" s="58"/>
      <c r="H2140" s="56"/>
      <c r="I2140" s="61" t="str">
        <f aca="false">IF(IsPro,IF(OR($C2140="",N($G2140)=0),"",IF(OR($C2140="Receipt",$C2140="Other Income",$C2140="Capital In",$C2140="Transfer In"),$G2140,0)),"")</f>
        <v/>
      </c>
      <c r="J2140" s="61" t="str">
        <f aca="false">IF(IsPro,IF(OR($C2140="",N($G2140)=0),"",IF(I2140=0,$G2140,0)),"")</f>
        <v/>
      </c>
      <c r="K2140" s="60" t="str">
        <f aca="false">IF(IsPro,IF($C2140="","",IF(AND(OR($C2140="Receipt",$C2140="Payment"),$D2140=""),"Party needed",IF(AND(OR($C2140="Expense",$C2140="Other Income"),$E2140=""),"Head needed",IF($F2140="","Account needed","OK")))),IF($C2140="","","PRO PLAN"))</f>
        <v/>
      </c>
    </row>
    <row r="2141" customFormat="false" ht="15" hidden="false" customHeight="false" outlineLevel="0" collapsed="false">
      <c r="A2141" s="55"/>
      <c r="B2141" s="56"/>
      <c r="C2141" s="56"/>
      <c r="D2141" s="56"/>
      <c r="E2141" s="56"/>
      <c r="F2141" s="56"/>
      <c r="G2141" s="58"/>
      <c r="H2141" s="56"/>
      <c r="I2141" s="61" t="str">
        <f aca="false">IF(IsPro,IF(OR($C2141="",N($G2141)=0),"",IF(OR($C2141="Receipt",$C2141="Other Income",$C2141="Capital In",$C2141="Transfer In"),$G2141,0)),"")</f>
        <v/>
      </c>
      <c r="J2141" s="61" t="str">
        <f aca="false">IF(IsPro,IF(OR($C2141="",N($G2141)=0),"",IF(I2141=0,$G2141,0)),"")</f>
        <v/>
      </c>
      <c r="K2141" s="60" t="str">
        <f aca="false">IF(IsPro,IF($C2141="","",IF(AND(OR($C2141="Receipt",$C2141="Payment"),$D2141=""),"Party needed",IF(AND(OR($C2141="Expense",$C2141="Other Income"),$E2141=""),"Head needed",IF($F2141="","Account needed","OK")))),IF($C2141="","","PRO PLAN"))</f>
        <v/>
      </c>
    </row>
    <row r="2142" customFormat="false" ht="15" hidden="false" customHeight="false" outlineLevel="0" collapsed="false">
      <c r="A2142" s="55"/>
      <c r="B2142" s="56"/>
      <c r="C2142" s="56"/>
      <c r="D2142" s="56"/>
      <c r="E2142" s="56"/>
      <c r="F2142" s="56"/>
      <c r="G2142" s="58"/>
      <c r="H2142" s="56"/>
      <c r="I2142" s="61" t="str">
        <f aca="false">IF(IsPro,IF(OR($C2142="",N($G2142)=0),"",IF(OR($C2142="Receipt",$C2142="Other Income",$C2142="Capital In",$C2142="Transfer In"),$G2142,0)),"")</f>
        <v/>
      </c>
      <c r="J2142" s="61" t="str">
        <f aca="false">IF(IsPro,IF(OR($C2142="",N($G2142)=0),"",IF(I2142=0,$G2142,0)),"")</f>
        <v/>
      </c>
      <c r="K2142" s="60" t="str">
        <f aca="false">IF(IsPro,IF($C2142="","",IF(AND(OR($C2142="Receipt",$C2142="Payment"),$D2142=""),"Party needed",IF(AND(OR($C2142="Expense",$C2142="Other Income"),$E2142=""),"Head needed",IF($F2142="","Account needed","OK")))),IF($C2142="","","PRO PLAN"))</f>
        <v/>
      </c>
    </row>
    <row r="2143" customFormat="false" ht="15" hidden="false" customHeight="false" outlineLevel="0" collapsed="false">
      <c r="A2143" s="55"/>
      <c r="B2143" s="56"/>
      <c r="C2143" s="56"/>
      <c r="D2143" s="56"/>
      <c r="E2143" s="56"/>
      <c r="F2143" s="56"/>
      <c r="G2143" s="58"/>
      <c r="H2143" s="56"/>
      <c r="I2143" s="61" t="str">
        <f aca="false">IF(IsPro,IF(OR($C2143="",N($G2143)=0),"",IF(OR($C2143="Receipt",$C2143="Other Income",$C2143="Capital In",$C2143="Transfer In"),$G2143,0)),"")</f>
        <v/>
      </c>
      <c r="J2143" s="61" t="str">
        <f aca="false">IF(IsPro,IF(OR($C2143="",N($G2143)=0),"",IF(I2143=0,$G2143,0)),"")</f>
        <v/>
      </c>
      <c r="K2143" s="60" t="str">
        <f aca="false">IF(IsPro,IF($C2143="","",IF(AND(OR($C2143="Receipt",$C2143="Payment"),$D2143=""),"Party needed",IF(AND(OR($C2143="Expense",$C2143="Other Income"),$E2143=""),"Head needed",IF($F2143="","Account needed","OK")))),IF($C2143="","","PRO PLAN"))</f>
        <v/>
      </c>
    </row>
    <row r="2144" customFormat="false" ht="15" hidden="false" customHeight="false" outlineLevel="0" collapsed="false">
      <c r="A2144" s="55"/>
      <c r="B2144" s="56"/>
      <c r="C2144" s="56"/>
      <c r="D2144" s="56"/>
      <c r="E2144" s="56"/>
      <c r="F2144" s="56"/>
      <c r="G2144" s="58"/>
      <c r="H2144" s="56"/>
      <c r="I2144" s="61" t="str">
        <f aca="false">IF(IsPro,IF(OR($C2144="",N($G2144)=0),"",IF(OR($C2144="Receipt",$C2144="Other Income",$C2144="Capital In",$C2144="Transfer In"),$G2144,0)),"")</f>
        <v/>
      </c>
      <c r="J2144" s="61" t="str">
        <f aca="false">IF(IsPro,IF(OR($C2144="",N($G2144)=0),"",IF(I2144=0,$G2144,0)),"")</f>
        <v/>
      </c>
      <c r="K2144" s="60" t="str">
        <f aca="false">IF(IsPro,IF($C2144="","",IF(AND(OR($C2144="Receipt",$C2144="Payment"),$D2144=""),"Party needed",IF(AND(OR($C2144="Expense",$C2144="Other Income"),$E2144=""),"Head needed",IF($F2144="","Account needed","OK")))),IF($C2144="","","PRO PLAN"))</f>
        <v/>
      </c>
    </row>
    <row r="2145" customFormat="false" ht="15" hidden="false" customHeight="false" outlineLevel="0" collapsed="false">
      <c r="A2145" s="55"/>
      <c r="B2145" s="56"/>
      <c r="C2145" s="56"/>
      <c r="D2145" s="56"/>
      <c r="E2145" s="56"/>
      <c r="F2145" s="56"/>
      <c r="G2145" s="58"/>
      <c r="H2145" s="56"/>
      <c r="I2145" s="61" t="str">
        <f aca="false">IF(IsPro,IF(OR($C2145="",N($G2145)=0),"",IF(OR($C2145="Receipt",$C2145="Other Income",$C2145="Capital In",$C2145="Transfer In"),$G2145,0)),"")</f>
        <v/>
      </c>
      <c r="J2145" s="61" t="str">
        <f aca="false">IF(IsPro,IF(OR($C2145="",N($G2145)=0),"",IF(I2145=0,$G2145,0)),"")</f>
        <v/>
      </c>
      <c r="K2145" s="60" t="str">
        <f aca="false">IF(IsPro,IF($C2145="","",IF(AND(OR($C2145="Receipt",$C2145="Payment"),$D2145=""),"Party needed",IF(AND(OR($C2145="Expense",$C2145="Other Income"),$E2145=""),"Head needed",IF($F2145="","Account needed","OK")))),IF($C2145="","","PRO PLAN"))</f>
        <v/>
      </c>
    </row>
    <row r="2146" customFormat="false" ht="15" hidden="false" customHeight="false" outlineLevel="0" collapsed="false">
      <c r="A2146" s="55"/>
      <c r="B2146" s="56"/>
      <c r="C2146" s="56"/>
      <c r="D2146" s="56"/>
      <c r="E2146" s="56"/>
      <c r="F2146" s="56"/>
      <c r="G2146" s="58"/>
      <c r="H2146" s="56"/>
      <c r="I2146" s="61" t="str">
        <f aca="false">IF(IsPro,IF(OR($C2146="",N($G2146)=0),"",IF(OR($C2146="Receipt",$C2146="Other Income",$C2146="Capital In",$C2146="Transfer In"),$G2146,0)),"")</f>
        <v/>
      </c>
      <c r="J2146" s="61" t="str">
        <f aca="false">IF(IsPro,IF(OR($C2146="",N($G2146)=0),"",IF(I2146=0,$G2146,0)),"")</f>
        <v/>
      </c>
      <c r="K2146" s="60" t="str">
        <f aca="false">IF(IsPro,IF($C2146="","",IF(AND(OR($C2146="Receipt",$C2146="Payment"),$D2146=""),"Party needed",IF(AND(OR($C2146="Expense",$C2146="Other Income"),$E2146=""),"Head needed",IF($F2146="","Account needed","OK")))),IF($C2146="","","PRO PLAN"))</f>
        <v/>
      </c>
    </row>
    <row r="2147" customFormat="false" ht="15" hidden="false" customHeight="false" outlineLevel="0" collapsed="false">
      <c r="A2147" s="55"/>
      <c r="B2147" s="56"/>
      <c r="C2147" s="56"/>
      <c r="D2147" s="56"/>
      <c r="E2147" s="56"/>
      <c r="F2147" s="56"/>
      <c r="G2147" s="58"/>
      <c r="H2147" s="56"/>
      <c r="I2147" s="61" t="str">
        <f aca="false">IF(IsPro,IF(OR($C2147="",N($G2147)=0),"",IF(OR($C2147="Receipt",$C2147="Other Income",$C2147="Capital In",$C2147="Transfer In"),$G2147,0)),"")</f>
        <v/>
      </c>
      <c r="J2147" s="61" t="str">
        <f aca="false">IF(IsPro,IF(OR($C2147="",N($G2147)=0),"",IF(I2147=0,$G2147,0)),"")</f>
        <v/>
      </c>
      <c r="K2147" s="60" t="str">
        <f aca="false">IF(IsPro,IF($C2147="","",IF(AND(OR($C2147="Receipt",$C2147="Payment"),$D2147=""),"Party needed",IF(AND(OR($C2147="Expense",$C2147="Other Income"),$E2147=""),"Head needed",IF($F2147="","Account needed","OK")))),IF($C2147="","","PRO PLAN"))</f>
        <v/>
      </c>
    </row>
    <row r="2148" customFormat="false" ht="15" hidden="false" customHeight="false" outlineLevel="0" collapsed="false">
      <c r="A2148" s="55"/>
      <c r="B2148" s="56"/>
      <c r="C2148" s="56"/>
      <c r="D2148" s="56"/>
      <c r="E2148" s="56"/>
      <c r="F2148" s="56"/>
      <c r="G2148" s="58"/>
      <c r="H2148" s="56"/>
      <c r="I2148" s="61" t="str">
        <f aca="false">IF(IsPro,IF(OR($C2148="",N($G2148)=0),"",IF(OR($C2148="Receipt",$C2148="Other Income",$C2148="Capital In",$C2148="Transfer In"),$G2148,0)),"")</f>
        <v/>
      </c>
      <c r="J2148" s="61" t="str">
        <f aca="false">IF(IsPro,IF(OR($C2148="",N($G2148)=0),"",IF(I2148=0,$G2148,0)),"")</f>
        <v/>
      </c>
      <c r="K2148" s="60" t="str">
        <f aca="false">IF(IsPro,IF($C2148="","",IF(AND(OR($C2148="Receipt",$C2148="Payment"),$D2148=""),"Party needed",IF(AND(OR($C2148="Expense",$C2148="Other Income"),$E2148=""),"Head needed",IF($F2148="","Account needed","OK")))),IF($C2148="","","PRO PLAN"))</f>
        <v/>
      </c>
    </row>
    <row r="2149" customFormat="false" ht="15" hidden="false" customHeight="false" outlineLevel="0" collapsed="false">
      <c r="A2149" s="55"/>
      <c r="B2149" s="56"/>
      <c r="C2149" s="56"/>
      <c r="D2149" s="56"/>
      <c r="E2149" s="56"/>
      <c r="F2149" s="56"/>
      <c r="G2149" s="58"/>
      <c r="H2149" s="56"/>
      <c r="I2149" s="61" t="str">
        <f aca="false">IF(IsPro,IF(OR($C2149="",N($G2149)=0),"",IF(OR($C2149="Receipt",$C2149="Other Income",$C2149="Capital In",$C2149="Transfer In"),$G2149,0)),"")</f>
        <v/>
      </c>
      <c r="J2149" s="61" t="str">
        <f aca="false">IF(IsPro,IF(OR($C2149="",N($G2149)=0),"",IF(I2149=0,$G2149,0)),"")</f>
        <v/>
      </c>
      <c r="K2149" s="60" t="str">
        <f aca="false">IF(IsPro,IF($C2149="","",IF(AND(OR($C2149="Receipt",$C2149="Payment"),$D2149=""),"Party needed",IF(AND(OR($C2149="Expense",$C2149="Other Income"),$E2149=""),"Head needed",IF($F2149="","Account needed","OK")))),IF($C2149="","","PRO PLAN"))</f>
        <v/>
      </c>
    </row>
    <row r="2150" customFormat="false" ht="15" hidden="false" customHeight="false" outlineLevel="0" collapsed="false">
      <c r="A2150" s="55"/>
      <c r="B2150" s="56"/>
      <c r="C2150" s="56"/>
      <c r="D2150" s="56"/>
      <c r="E2150" s="56"/>
      <c r="F2150" s="56"/>
      <c r="G2150" s="58"/>
      <c r="H2150" s="56"/>
      <c r="I2150" s="61" t="str">
        <f aca="false">IF(IsPro,IF(OR($C2150="",N($G2150)=0),"",IF(OR($C2150="Receipt",$C2150="Other Income",$C2150="Capital In",$C2150="Transfer In"),$G2150,0)),"")</f>
        <v/>
      </c>
      <c r="J2150" s="61" t="str">
        <f aca="false">IF(IsPro,IF(OR($C2150="",N($G2150)=0),"",IF(I2150=0,$G2150,0)),"")</f>
        <v/>
      </c>
      <c r="K2150" s="60" t="str">
        <f aca="false">IF(IsPro,IF($C2150="","",IF(AND(OR($C2150="Receipt",$C2150="Payment"),$D2150=""),"Party needed",IF(AND(OR($C2150="Expense",$C2150="Other Income"),$E2150=""),"Head needed",IF($F2150="","Account needed","OK")))),IF($C2150="","","PRO PLAN"))</f>
        <v/>
      </c>
    </row>
    <row r="2151" customFormat="false" ht="15" hidden="false" customHeight="false" outlineLevel="0" collapsed="false">
      <c r="A2151" s="55"/>
      <c r="B2151" s="56"/>
      <c r="C2151" s="56"/>
      <c r="D2151" s="56"/>
      <c r="E2151" s="56"/>
      <c r="F2151" s="56"/>
      <c r="G2151" s="58"/>
      <c r="H2151" s="56"/>
      <c r="I2151" s="61" t="str">
        <f aca="false">IF(IsPro,IF(OR($C2151="",N($G2151)=0),"",IF(OR($C2151="Receipt",$C2151="Other Income",$C2151="Capital In",$C2151="Transfer In"),$G2151,0)),"")</f>
        <v/>
      </c>
      <c r="J2151" s="61" t="str">
        <f aca="false">IF(IsPro,IF(OR($C2151="",N($G2151)=0),"",IF(I2151=0,$G2151,0)),"")</f>
        <v/>
      </c>
      <c r="K2151" s="60" t="str">
        <f aca="false">IF(IsPro,IF($C2151="","",IF(AND(OR($C2151="Receipt",$C2151="Payment"),$D2151=""),"Party needed",IF(AND(OR($C2151="Expense",$C2151="Other Income"),$E2151=""),"Head needed",IF($F2151="","Account needed","OK")))),IF($C2151="","","PRO PLAN"))</f>
        <v/>
      </c>
    </row>
    <row r="2152" customFormat="false" ht="15" hidden="false" customHeight="false" outlineLevel="0" collapsed="false">
      <c r="A2152" s="55"/>
      <c r="B2152" s="56"/>
      <c r="C2152" s="56"/>
      <c r="D2152" s="56"/>
      <c r="E2152" s="56"/>
      <c r="F2152" s="56"/>
      <c r="G2152" s="58"/>
      <c r="H2152" s="56"/>
      <c r="I2152" s="61" t="str">
        <f aca="false">IF(IsPro,IF(OR($C2152="",N($G2152)=0),"",IF(OR($C2152="Receipt",$C2152="Other Income",$C2152="Capital In",$C2152="Transfer In"),$G2152,0)),"")</f>
        <v/>
      </c>
      <c r="J2152" s="61" t="str">
        <f aca="false">IF(IsPro,IF(OR($C2152="",N($G2152)=0),"",IF(I2152=0,$G2152,0)),"")</f>
        <v/>
      </c>
      <c r="K2152" s="60" t="str">
        <f aca="false">IF(IsPro,IF($C2152="","",IF(AND(OR($C2152="Receipt",$C2152="Payment"),$D2152=""),"Party needed",IF(AND(OR($C2152="Expense",$C2152="Other Income"),$E2152=""),"Head needed",IF($F2152="","Account needed","OK")))),IF($C2152="","","PRO PLAN"))</f>
        <v/>
      </c>
    </row>
    <row r="2153" customFormat="false" ht="15" hidden="false" customHeight="false" outlineLevel="0" collapsed="false">
      <c r="A2153" s="55"/>
      <c r="B2153" s="56"/>
      <c r="C2153" s="56"/>
      <c r="D2153" s="56"/>
      <c r="E2153" s="56"/>
      <c r="F2153" s="56"/>
      <c r="G2153" s="58"/>
      <c r="H2153" s="56"/>
      <c r="I2153" s="61" t="str">
        <f aca="false">IF(IsPro,IF(OR($C2153="",N($G2153)=0),"",IF(OR($C2153="Receipt",$C2153="Other Income",$C2153="Capital In",$C2153="Transfer In"),$G2153,0)),"")</f>
        <v/>
      </c>
      <c r="J2153" s="61" t="str">
        <f aca="false">IF(IsPro,IF(OR($C2153="",N($G2153)=0),"",IF(I2153=0,$G2153,0)),"")</f>
        <v/>
      </c>
      <c r="K2153" s="60" t="str">
        <f aca="false">IF(IsPro,IF($C2153="","",IF(AND(OR($C2153="Receipt",$C2153="Payment"),$D2153=""),"Party needed",IF(AND(OR($C2153="Expense",$C2153="Other Income"),$E2153=""),"Head needed",IF($F2153="","Account needed","OK")))),IF($C2153="","","PRO PLAN"))</f>
        <v/>
      </c>
    </row>
    <row r="2154" customFormat="false" ht="15" hidden="false" customHeight="false" outlineLevel="0" collapsed="false">
      <c r="A2154" s="55"/>
      <c r="B2154" s="56"/>
      <c r="C2154" s="56"/>
      <c r="D2154" s="56"/>
      <c r="E2154" s="56"/>
      <c r="F2154" s="56"/>
      <c r="G2154" s="58"/>
      <c r="H2154" s="56"/>
      <c r="I2154" s="61" t="str">
        <f aca="false">IF(IsPro,IF(OR($C2154="",N($G2154)=0),"",IF(OR($C2154="Receipt",$C2154="Other Income",$C2154="Capital In",$C2154="Transfer In"),$G2154,0)),"")</f>
        <v/>
      </c>
      <c r="J2154" s="61" t="str">
        <f aca="false">IF(IsPro,IF(OR($C2154="",N($G2154)=0),"",IF(I2154=0,$G2154,0)),"")</f>
        <v/>
      </c>
      <c r="K2154" s="60" t="str">
        <f aca="false">IF(IsPro,IF($C2154="","",IF(AND(OR($C2154="Receipt",$C2154="Payment"),$D2154=""),"Party needed",IF(AND(OR($C2154="Expense",$C2154="Other Income"),$E2154=""),"Head needed",IF($F2154="","Account needed","OK")))),IF($C2154="","","PRO PLAN"))</f>
        <v/>
      </c>
    </row>
    <row r="2155" customFormat="false" ht="15" hidden="false" customHeight="false" outlineLevel="0" collapsed="false">
      <c r="A2155" s="55"/>
      <c r="B2155" s="56"/>
      <c r="C2155" s="56"/>
      <c r="D2155" s="56"/>
      <c r="E2155" s="56"/>
      <c r="F2155" s="56"/>
      <c r="G2155" s="58"/>
      <c r="H2155" s="56"/>
      <c r="I2155" s="61" t="str">
        <f aca="false">IF(IsPro,IF(OR($C2155="",N($G2155)=0),"",IF(OR($C2155="Receipt",$C2155="Other Income",$C2155="Capital In",$C2155="Transfer In"),$G2155,0)),"")</f>
        <v/>
      </c>
      <c r="J2155" s="61" t="str">
        <f aca="false">IF(IsPro,IF(OR($C2155="",N($G2155)=0),"",IF(I2155=0,$G2155,0)),"")</f>
        <v/>
      </c>
      <c r="K2155" s="60" t="str">
        <f aca="false">IF(IsPro,IF($C2155="","",IF(AND(OR($C2155="Receipt",$C2155="Payment"),$D2155=""),"Party needed",IF(AND(OR($C2155="Expense",$C2155="Other Income"),$E2155=""),"Head needed",IF($F2155="","Account needed","OK")))),IF($C2155="","","PRO PLAN"))</f>
        <v/>
      </c>
    </row>
    <row r="2156" customFormat="false" ht="15" hidden="false" customHeight="false" outlineLevel="0" collapsed="false">
      <c r="A2156" s="55"/>
      <c r="B2156" s="56"/>
      <c r="C2156" s="56"/>
      <c r="D2156" s="56"/>
      <c r="E2156" s="56"/>
      <c r="F2156" s="56"/>
      <c r="G2156" s="58"/>
      <c r="H2156" s="56"/>
      <c r="I2156" s="61" t="str">
        <f aca="false">IF(IsPro,IF(OR($C2156="",N($G2156)=0),"",IF(OR($C2156="Receipt",$C2156="Other Income",$C2156="Capital In",$C2156="Transfer In"),$G2156,0)),"")</f>
        <v/>
      </c>
      <c r="J2156" s="61" t="str">
        <f aca="false">IF(IsPro,IF(OR($C2156="",N($G2156)=0),"",IF(I2156=0,$G2156,0)),"")</f>
        <v/>
      </c>
      <c r="K2156" s="60" t="str">
        <f aca="false">IF(IsPro,IF($C2156="","",IF(AND(OR($C2156="Receipt",$C2156="Payment"),$D2156=""),"Party needed",IF(AND(OR($C2156="Expense",$C2156="Other Income"),$E2156=""),"Head needed",IF($F2156="","Account needed","OK")))),IF($C2156="","","PRO PLAN"))</f>
        <v/>
      </c>
    </row>
    <row r="2157" customFormat="false" ht="15" hidden="false" customHeight="false" outlineLevel="0" collapsed="false">
      <c r="A2157" s="55"/>
      <c r="B2157" s="56"/>
      <c r="C2157" s="56"/>
      <c r="D2157" s="56"/>
      <c r="E2157" s="56"/>
      <c r="F2157" s="56"/>
      <c r="G2157" s="58"/>
      <c r="H2157" s="56"/>
      <c r="I2157" s="61" t="str">
        <f aca="false">IF(IsPro,IF(OR($C2157="",N($G2157)=0),"",IF(OR($C2157="Receipt",$C2157="Other Income",$C2157="Capital In",$C2157="Transfer In"),$G2157,0)),"")</f>
        <v/>
      </c>
      <c r="J2157" s="61" t="str">
        <f aca="false">IF(IsPro,IF(OR($C2157="",N($G2157)=0),"",IF(I2157=0,$G2157,0)),"")</f>
        <v/>
      </c>
      <c r="K2157" s="60" t="str">
        <f aca="false">IF(IsPro,IF($C2157="","",IF(AND(OR($C2157="Receipt",$C2157="Payment"),$D2157=""),"Party needed",IF(AND(OR($C2157="Expense",$C2157="Other Income"),$E2157=""),"Head needed",IF($F2157="","Account needed","OK")))),IF($C2157="","","PRO PLAN"))</f>
        <v/>
      </c>
    </row>
    <row r="2158" customFormat="false" ht="15" hidden="false" customHeight="false" outlineLevel="0" collapsed="false">
      <c r="A2158" s="55"/>
      <c r="B2158" s="56"/>
      <c r="C2158" s="56"/>
      <c r="D2158" s="56"/>
      <c r="E2158" s="56"/>
      <c r="F2158" s="56"/>
      <c r="G2158" s="58"/>
      <c r="H2158" s="56"/>
      <c r="I2158" s="61" t="str">
        <f aca="false">IF(IsPro,IF(OR($C2158="",N($G2158)=0),"",IF(OR($C2158="Receipt",$C2158="Other Income",$C2158="Capital In",$C2158="Transfer In"),$G2158,0)),"")</f>
        <v/>
      </c>
      <c r="J2158" s="61" t="str">
        <f aca="false">IF(IsPro,IF(OR($C2158="",N($G2158)=0),"",IF(I2158=0,$G2158,0)),"")</f>
        <v/>
      </c>
      <c r="K2158" s="60" t="str">
        <f aca="false">IF(IsPro,IF($C2158="","",IF(AND(OR($C2158="Receipt",$C2158="Payment"),$D2158=""),"Party needed",IF(AND(OR($C2158="Expense",$C2158="Other Income"),$E2158=""),"Head needed",IF($F2158="","Account needed","OK")))),IF($C2158="","","PRO PLAN"))</f>
        <v/>
      </c>
    </row>
    <row r="2159" customFormat="false" ht="15" hidden="false" customHeight="false" outlineLevel="0" collapsed="false">
      <c r="A2159" s="55"/>
      <c r="B2159" s="56"/>
      <c r="C2159" s="56"/>
      <c r="D2159" s="56"/>
      <c r="E2159" s="56"/>
      <c r="F2159" s="56"/>
      <c r="G2159" s="58"/>
      <c r="H2159" s="56"/>
      <c r="I2159" s="61" t="str">
        <f aca="false">IF(IsPro,IF(OR($C2159="",N($G2159)=0),"",IF(OR($C2159="Receipt",$C2159="Other Income",$C2159="Capital In",$C2159="Transfer In"),$G2159,0)),"")</f>
        <v/>
      </c>
      <c r="J2159" s="61" t="str">
        <f aca="false">IF(IsPro,IF(OR($C2159="",N($G2159)=0),"",IF(I2159=0,$G2159,0)),"")</f>
        <v/>
      </c>
      <c r="K2159" s="60" t="str">
        <f aca="false">IF(IsPro,IF($C2159="","",IF(AND(OR($C2159="Receipt",$C2159="Payment"),$D2159=""),"Party needed",IF(AND(OR($C2159="Expense",$C2159="Other Income"),$E2159=""),"Head needed",IF($F2159="","Account needed","OK")))),IF($C2159="","","PRO PLAN"))</f>
        <v/>
      </c>
    </row>
    <row r="2160" customFormat="false" ht="15" hidden="false" customHeight="false" outlineLevel="0" collapsed="false">
      <c r="A2160" s="55"/>
      <c r="B2160" s="56"/>
      <c r="C2160" s="56"/>
      <c r="D2160" s="56"/>
      <c r="E2160" s="56"/>
      <c r="F2160" s="56"/>
      <c r="G2160" s="58"/>
      <c r="H2160" s="56"/>
      <c r="I2160" s="61" t="str">
        <f aca="false">IF(IsPro,IF(OR($C2160="",N($G2160)=0),"",IF(OR($C2160="Receipt",$C2160="Other Income",$C2160="Capital In",$C2160="Transfer In"),$G2160,0)),"")</f>
        <v/>
      </c>
      <c r="J2160" s="61" t="str">
        <f aca="false">IF(IsPro,IF(OR($C2160="",N($G2160)=0),"",IF(I2160=0,$G2160,0)),"")</f>
        <v/>
      </c>
      <c r="K2160" s="60" t="str">
        <f aca="false">IF(IsPro,IF($C2160="","",IF(AND(OR($C2160="Receipt",$C2160="Payment"),$D2160=""),"Party needed",IF(AND(OR($C2160="Expense",$C2160="Other Income"),$E2160=""),"Head needed",IF($F2160="","Account needed","OK")))),IF($C2160="","","PRO PLAN"))</f>
        <v/>
      </c>
    </row>
    <row r="2161" customFormat="false" ht="15" hidden="false" customHeight="false" outlineLevel="0" collapsed="false">
      <c r="A2161" s="55"/>
      <c r="B2161" s="56"/>
      <c r="C2161" s="56"/>
      <c r="D2161" s="56"/>
      <c r="E2161" s="56"/>
      <c r="F2161" s="56"/>
      <c r="G2161" s="58"/>
      <c r="H2161" s="56"/>
      <c r="I2161" s="61" t="str">
        <f aca="false">IF(IsPro,IF(OR($C2161="",N($G2161)=0),"",IF(OR($C2161="Receipt",$C2161="Other Income",$C2161="Capital In",$C2161="Transfer In"),$G2161,0)),"")</f>
        <v/>
      </c>
      <c r="J2161" s="61" t="str">
        <f aca="false">IF(IsPro,IF(OR($C2161="",N($G2161)=0),"",IF(I2161=0,$G2161,0)),"")</f>
        <v/>
      </c>
      <c r="K2161" s="60" t="str">
        <f aca="false">IF(IsPro,IF($C2161="","",IF(AND(OR($C2161="Receipt",$C2161="Payment"),$D2161=""),"Party needed",IF(AND(OR($C2161="Expense",$C2161="Other Income"),$E2161=""),"Head needed",IF($F2161="","Account needed","OK")))),IF($C2161="","","PRO PLAN"))</f>
        <v/>
      </c>
    </row>
    <row r="2162" customFormat="false" ht="15" hidden="false" customHeight="false" outlineLevel="0" collapsed="false">
      <c r="A2162" s="55"/>
      <c r="B2162" s="56"/>
      <c r="C2162" s="56"/>
      <c r="D2162" s="56"/>
      <c r="E2162" s="56"/>
      <c r="F2162" s="56"/>
      <c r="G2162" s="58"/>
      <c r="H2162" s="56"/>
      <c r="I2162" s="61" t="str">
        <f aca="false">IF(IsPro,IF(OR($C2162="",N($G2162)=0),"",IF(OR($C2162="Receipt",$C2162="Other Income",$C2162="Capital In",$C2162="Transfer In"),$G2162,0)),"")</f>
        <v/>
      </c>
      <c r="J2162" s="61" t="str">
        <f aca="false">IF(IsPro,IF(OR($C2162="",N($G2162)=0),"",IF(I2162=0,$G2162,0)),"")</f>
        <v/>
      </c>
      <c r="K2162" s="60" t="str">
        <f aca="false">IF(IsPro,IF($C2162="","",IF(AND(OR($C2162="Receipt",$C2162="Payment"),$D2162=""),"Party needed",IF(AND(OR($C2162="Expense",$C2162="Other Income"),$E2162=""),"Head needed",IF($F2162="","Account needed","OK")))),IF($C2162="","","PRO PLAN"))</f>
        <v/>
      </c>
    </row>
    <row r="2163" customFormat="false" ht="15" hidden="false" customHeight="false" outlineLevel="0" collapsed="false">
      <c r="A2163" s="55"/>
      <c r="B2163" s="56"/>
      <c r="C2163" s="56"/>
      <c r="D2163" s="56"/>
      <c r="E2163" s="56"/>
      <c r="F2163" s="56"/>
      <c r="G2163" s="58"/>
      <c r="H2163" s="56"/>
      <c r="I2163" s="61" t="str">
        <f aca="false">IF(IsPro,IF(OR($C2163="",N($G2163)=0),"",IF(OR($C2163="Receipt",$C2163="Other Income",$C2163="Capital In",$C2163="Transfer In"),$G2163,0)),"")</f>
        <v/>
      </c>
      <c r="J2163" s="61" t="str">
        <f aca="false">IF(IsPro,IF(OR($C2163="",N($G2163)=0),"",IF(I2163=0,$G2163,0)),"")</f>
        <v/>
      </c>
      <c r="K2163" s="60" t="str">
        <f aca="false">IF(IsPro,IF($C2163="","",IF(AND(OR($C2163="Receipt",$C2163="Payment"),$D2163=""),"Party needed",IF(AND(OR($C2163="Expense",$C2163="Other Income"),$E2163=""),"Head needed",IF($F2163="","Account needed","OK")))),IF($C2163="","","PRO PLAN"))</f>
        <v/>
      </c>
    </row>
    <row r="2164" customFormat="false" ht="15" hidden="false" customHeight="false" outlineLevel="0" collapsed="false">
      <c r="A2164" s="55"/>
      <c r="B2164" s="56"/>
      <c r="C2164" s="56"/>
      <c r="D2164" s="56"/>
      <c r="E2164" s="56"/>
      <c r="F2164" s="56"/>
      <c r="G2164" s="58"/>
      <c r="H2164" s="56"/>
      <c r="I2164" s="61" t="str">
        <f aca="false">IF(IsPro,IF(OR($C2164="",N($G2164)=0),"",IF(OR($C2164="Receipt",$C2164="Other Income",$C2164="Capital In",$C2164="Transfer In"),$G2164,0)),"")</f>
        <v/>
      </c>
      <c r="J2164" s="61" t="str">
        <f aca="false">IF(IsPro,IF(OR($C2164="",N($G2164)=0),"",IF(I2164=0,$G2164,0)),"")</f>
        <v/>
      </c>
      <c r="K2164" s="60" t="str">
        <f aca="false">IF(IsPro,IF($C2164="","",IF(AND(OR($C2164="Receipt",$C2164="Payment"),$D2164=""),"Party needed",IF(AND(OR($C2164="Expense",$C2164="Other Income"),$E2164=""),"Head needed",IF($F2164="","Account needed","OK")))),IF($C2164="","","PRO PLAN"))</f>
        <v/>
      </c>
    </row>
    <row r="2165" customFormat="false" ht="15" hidden="false" customHeight="false" outlineLevel="0" collapsed="false">
      <c r="A2165" s="55"/>
      <c r="B2165" s="56"/>
      <c r="C2165" s="56"/>
      <c r="D2165" s="56"/>
      <c r="E2165" s="56"/>
      <c r="F2165" s="56"/>
      <c r="G2165" s="58"/>
      <c r="H2165" s="56"/>
      <c r="I2165" s="61" t="str">
        <f aca="false">IF(IsPro,IF(OR($C2165="",N($G2165)=0),"",IF(OR($C2165="Receipt",$C2165="Other Income",$C2165="Capital In",$C2165="Transfer In"),$G2165,0)),"")</f>
        <v/>
      </c>
      <c r="J2165" s="61" t="str">
        <f aca="false">IF(IsPro,IF(OR($C2165="",N($G2165)=0),"",IF(I2165=0,$G2165,0)),"")</f>
        <v/>
      </c>
      <c r="K2165" s="60" t="str">
        <f aca="false">IF(IsPro,IF($C2165="","",IF(AND(OR($C2165="Receipt",$C2165="Payment"),$D2165=""),"Party needed",IF(AND(OR($C2165="Expense",$C2165="Other Income"),$E2165=""),"Head needed",IF($F2165="","Account needed","OK")))),IF($C2165="","","PRO PLAN"))</f>
        <v/>
      </c>
    </row>
    <row r="2166" customFormat="false" ht="15" hidden="false" customHeight="false" outlineLevel="0" collapsed="false">
      <c r="A2166" s="55"/>
      <c r="B2166" s="56"/>
      <c r="C2166" s="56"/>
      <c r="D2166" s="56"/>
      <c r="E2166" s="56"/>
      <c r="F2166" s="56"/>
      <c r="G2166" s="58"/>
      <c r="H2166" s="56"/>
      <c r="I2166" s="61" t="str">
        <f aca="false">IF(IsPro,IF(OR($C2166="",N($G2166)=0),"",IF(OR($C2166="Receipt",$C2166="Other Income",$C2166="Capital In",$C2166="Transfer In"),$G2166,0)),"")</f>
        <v/>
      </c>
      <c r="J2166" s="61" t="str">
        <f aca="false">IF(IsPro,IF(OR($C2166="",N($G2166)=0),"",IF(I2166=0,$G2166,0)),"")</f>
        <v/>
      </c>
      <c r="K2166" s="60" t="str">
        <f aca="false">IF(IsPro,IF($C2166="","",IF(AND(OR($C2166="Receipt",$C2166="Payment"),$D2166=""),"Party needed",IF(AND(OR($C2166="Expense",$C2166="Other Income"),$E2166=""),"Head needed",IF($F2166="","Account needed","OK")))),IF($C2166="","","PRO PLAN"))</f>
        <v/>
      </c>
    </row>
    <row r="2167" customFormat="false" ht="15" hidden="false" customHeight="false" outlineLevel="0" collapsed="false">
      <c r="A2167" s="55"/>
      <c r="B2167" s="56"/>
      <c r="C2167" s="56"/>
      <c r="D2167" s="56"/>
      <c r="E2167" s="56"/>
      <c r="F2167" s="56"/>
      <c r="G2167" s="58"/>
      <c r="H2167" s="56"/>
      <c r="I2167" s="61" t="str">
        <f aca="false">IF(IsPro,IF(OR($C2167="",N($G2167)=0),"",IF(OR($C2167="Receipt",$C2167="Other Income",$C2167="Capital In",$C2167="Transfer In"),$G2167,0)),"")</f>
        <v/>
      </c>
      <c r="J2167" s="61" t="str">
        <f aca="false">IF(IsPro,IF(OR($C2167="",N($G2167)=0),"",IF(I2167=0,$G2167,0)),"")</f>
        <v/>
      </c>
      <c r="K2167" s="60" t="str">
        <f aca="false">IF(IsPro,IF($C2167="","",IF(AND(OR($C2167="Receipt",$C2167="Payment"),$D2167=""),"Party needed",IF(AND(OR($C2167="Expense",$C2167="Other Income"),$E2167=""),"Head needed",IF($F2167="","Account needed","OK")))),IF($C2167="","","PRO PLAN"))</f>
        <v/>
      </c>
    </row>
    <row r="2168" customFormat="false" ht="15" hidden="false" customHeight="false" outlineLevel="0" collapsed="false">
      <c r="A2168" s="55"/>
      <c r="B2168" s="56"/>
      <c r="C2168" s="56"/>
      <c r="D2168" s="56"/>
      <c r="E2168" s="56"/>
      <c r="F2168" s="56"/>
      <c r="G2168" s="58"/>
      <c r="H2168" s="56"/>
      <c r="I2168" s="61" t="str">
        <f aca="false">IF(IsPro,IF(OR($C2168="",N($G2168)=0),"",IF(OR($C2168="Receipt",$C2168="Other Income",$C2168="Capital In",$C2168="Transfer In"),$G2168,0)),"")</f>
        <v/>
      </c>
      <c r="J2168" s="61" t="str">
        <f aca="false">IF(IsPro,IF(OR($C2168="",N($G2168)=0),"",IF(I2168=0,$G2168,0)),"")</f>
        <v/>
      </c>
      <c r="K2168" s="60" t="str">
        <f aca="false">IF(IsPro,IF($C2168="","",IF(AND(OR($C2168="Receipt",$C2168="Payment"),$D2168=""),"Party needed",IF(AND(OR($C2168="Expense",$C2168="Other Income"),$E2168=""),"Head needed",IF($F2168="","Account needed","OK")))),IF($C2168="","","PRO PLAN"))</f>
        <v/>
      </c>
    </row>
    <row r="2169" customFormat="false" ht="15" hidden="false" customHeight="false" outlineLevel="0" collapsed="false">
      <c r="A2169" s="55"/>
      <c r="B2169" s="56"/>
      <c r="C2169" s="56"/>
      <c r="D2169" s="56"/>
      <c r="E2169" s="56"/>
      <c r="F2169" s="56"/>
      <c r="G2169" s="58"/>
      <c r="H2169" s="56"/>
      <c r="I2169" s="61" t="str">
        <f aca="false">IF(IsPro,IF(OR($C2169="",N($G2169)=0),"",IF(OR($C2169="Receipt",$C2169="Other Income",$C2169="Capital In",$C2169="Transfer In"),$G2169,0)),"")</f>
        <v/>
      </c>
      <c r="J2169" s="61" t="str">
        <f aca="false">IF(IsPro,IF(OR($C2169="",N($G2169)=0),"",IF(I2169=0,$G2169,0)),"")</f>
        <v/>
      </c>
      <c r="K2169" s="60" t="str">
        <f aca="false">IF(IsPro,IF($C2169="","",IF(AND(OR($C2169="Receipt",$C2169="Payment"),$D2169=""),"Party needed",IF(AND(OR($C2169="Expense",$C2169="Other Income"),$E2169=""),"Head needed",IF($F2169="","Account needed","OK")))),IF($C2169="","","PRO PLAN"))</f>
        <v/>
      </c>
    </row>
    <row r="2170" customFormat="false" ht="15" hidden="false" customHeight="false" outlineLevel="0" collapsed="false">
      <c r="A2170" s="55"/>
      <c r="B2170" s="56"/>
      <c r="C2170" s="56"/>
      <c r="D2170" s="56"/>
      <c r="E2170" s="56"/>
      <c r="F2170" s="56"/>
      <c r="G2170" s="58"/>
      <c r="H2170" s="56"/>
      <c r="I2170" s="61" t="str">
        <f aca="false">IF(IsPro,IF(OR($C2170="",N($G2170)=0),"",IF(OR($C2170="Receipt",$C2170="Other Income",$C2170="Capital In",$C2170="Transfer In"),$G2170,0)),"")</f>
        <v/>
      </c>
      <c r="J2170" s="61" t="str">
        <f aca="false">IF(IsPro,IF(OR($C2170="",N($G2170)=0),"",IF(I2170=0,$G2170,0)),"")</f>
        <v/>
      </c>
      <c r="K2170" s="60" t="str">
        <f aca="false">IF(IsPro,IF($C2170="","",IF(AND(OR($C2170="Receipt",$C2170="Payment"),$D2170=""),"Party needed",IF(AND(OR($C2170="Expense",$C2170="Other Income"),$E2170=""),"Head needed",IF($F2170="","Account needed","OK")))),IF($C2170="","","PRO PLAN"))</f>
        <v/>
      </c>
    </row>
    <row r="2171" customFormat="false" ht="15" hidden="false" customHeight="false" outlineLevel="0" collapsed="false">
      <c r="A2171" s="55"/>
      <c r="B2171" s="56"/>
      <c r="C2171" s="56"/>
      <c r="D2171" s="56"/>
      <c r="E2171" s="56"/>
      <c r="F2171" s="56"/>
      <c r="G2171" s="58"/>
      <c r="H2171" s="56"/>
      <c r="I2171" s="61" t="str">
        <f aca="false">IF(IsPro,IF(OR($C2171="",N($G2171)=0),"",IF(OR($C2171="Receipt",$C2171="Other Income",$C2171="Capital In",$C2171="Transfer In"),$G2171,0)),"")</f>
        <v/>
      </c>
      <c r="J2171" s="61" t="str">
        <f aca="false">IF(IsPro,IF(OR($C2171="",N($G2171)=0),"",IF(I2171=0,$G2171,0)),"")</f>
        <v/>
      </c>
      <c r="K2171" s="60" t="str">
        <f aca="false">IF(IsPro,IF($C2171="","",IF(AND(OR($C2171="Receipt",$C2171="Payment"),$D2171=""),"Party needed",IF(AND(OR($C2171="Expense",$C2171="Other Income"),$E2171=""),"Head needed",IF($F2171="","Account needed","OK")))),IF($C2171="","","PRO PLAN"))</f>
        <v/>
      </c>
    </row>
    <row r="2172" customFormat="false" ht="15" hidden="false" customHeight="false" outlineLevel="0" collapsed="false">
      <c r="A2172" s="55"/>
      <c r="B2172" s="56"/>
      <c r="C2172" s="56"/>
      <c r="D2172" s="56"/>
      <c r="E2172" s="56"/>
      <c r="F2172" s="56"/>
      <c r="G2172" s="58"/>
      <c r="H2172" s="56"/>
      <c r="I2172" s="61" t="str">
        <f aca="false">IF(IsPro,IF(OR($C2172="",N($G2172)=0),"",IF(OR($C2172="Receipt",$C2172="Other Income",$C2172="Capital In",$C2172="Transfer In"),$G2172,0)),"")</f>
        <v/>
      </c>
      <c r="J2172" s="61" t="str">
        <f aca="false">IF(IsPro,IF(OR($C2172="",N($G2172)=0),"",IF(I2172=0,$G2172,0)),"")</f>
        <v/>
      </c>
      <c r="K2172" s="60" t="str">
        <f aca="false">IF(IsPro,IF($C2172="","",IF(AND(OR($C2172="Receipt",$C2172="Payment"),$D2172=""),"Party needed",IF(AND(OR($C2172="Expense",$C2172="Other Income"),$E2172=""),"Head needed",IF($F2172="","Account needed","OK")))),IF($C2172="","","PRO PLAN"))</f>
        <v/>
      </c>
    </row>
    <row r="2173" customFormat="false" ht="15" hidden="false" customHeight="false" outlineLevel="0" collapsed="false">
      <c r="A2173" s="55"/>
      <c r="B2173" s="56"/>
      <c r="C2173" s="56"/>
      <c r="D2173" s="56"/>
      <c r="E2173" s="56"/>
      <c r="F2173" s="56"/>
      <c r="G2173" s="58"/>
      <c r="H2173" s="56"/>
      <c r="I2173" s="61" t="str">
        <f aca="false">IF(IsPro,IF(OR($C2173="",N($G2173)=0),"",IF(OR($C2173="Receipt",$C2173="Other Income",$C2173="Capital In",$C2173="Transfer In"),$G2173,0)),"")</f>
        <v/>
      </c>
      <c r="J2173" s="61" t="str">
        <f aca="false">IF(IsPro,IF(OR($C2173="",N($G2173)=0),"",IF(I2173=0,$G2173,0)),"")</f>
        <v/>
      </c>
      <c r="K2173" s="60" t="str">
        <f aca="false">IF(IsPro,IF($C2173="","",IF(AND(OR($C2173="Receipt",$C2173="Payment"),$D2173=""),"Party needed",IF(AND(OR($C2173="Expense",$C2173="Other Income"),$E2173=""),"Head needed",IF($F2173="","Account needed","OK")))),IF($C2173="","","PRO PLAN"))</f>
        <v/>
      </c>
    </row>
    <row r="2174" customFormat="false" ht="15" hidden="false" customHeight="false" outlineLevel="0" collapsed="false">
      <c r="A2174" s="55"/>
      <c r="B2174" s="56"/>
      <c r="C2174" s="56"/>
      <c r="D2174" s="56"/>
      <c r="E2174" s="56"/>
      <c r="F2174" s="56"/>
      <c r="G2174" s="58"/>
      <c r="H2174" s="56"/>
      <c r="I2174" s="61" t="str">
        <f aca="false">IF(IsPro,IF(OR($C2174="",N($G2174)=0),"",IF(OR($C2174="Receipt",$C2174="Other Income",$C2174="Capital In",$C2174="Transfer In"),$G2174,0)),"")</f>
        <v/>
      </c>
      <c r="J2174" s="61" t="str">
        <f aca="false">IF(IsPro,IF(OR($C2174="",N($G2174)=0),"",IF(I2174=0,$G2174,0)),"")</f>
        <v/>
      </c>
      <c r="K2174" s="60" t="str">
        <f aca="false">IF(IsPro,IF($C2174="","",IF(AND(OR($C2174="Receipt",$C2174="Payment"),$D2174=""),"Party needed",IF(AND(OR($C2174="Expense",$C2174="Other Income"),$E2174=""),"Head needed",IF($F2174="","Account needed","OK")))),IF($C2174="","","PRO PLAN"))</f>
        <v/>
      </c>
    </row>
    <row r="2175" customFormat="false" ht="15" hidden="false" customHeight="false" outlineLevel="0" collapsed="false">
      <c r="A2175" s="55"/>
      <c r="B2175" s="56"/>
      <c r="C2175" s="56"/>
      <c r="D2175" s="56"/>
      <c r="E2175" s="56"/>
      <c r="F2175" s="56"/>
      <c r="G2175" s="58"/>
      <c r="H2175" s="56"/>
      <c r="I2175" s="61" t="str">
        <f aca="false">IF(IsPro,IF(OR($C2175="",N($G2175)=0),"",IF(OR($C2175="Receipt",$C2175="Other Income",$C2175="Capital In",$C2175="Transfer In"),$G2175,0)),"")</f>
        <v/>
      </c>
      <c r="J2175" s="61" t="str">
        <f aca="false">IF(IsPro,IF(OR($C2175="",N($G2175)=0),"",IF(I2175=0,$G2175,0)),"")</f>
        <v/>
      </c>
      <c r="K2175" s="60" t="str">
        <f aca="false">IF(IsPro,IF($C2175="","",IF(AND(OR($C2175="Receipt",$C2175="Payment"),$D2175=""),"Party needed",IF(AND(OR($C2175="Expense",$C2175="Other Income"),$E2175=""),"Head needed",IF($F2175="","Account needed","OK")))),IF($C2175="","","PRO PLAN"))</f>
        <v/>
      </c>
    </row>
    <row r="2176" customFormat="false" ht="15" hidden="false" customHeight="false" outlineLevel="0" collapsed="false">
      <c r="A2176" s="55"/>
      <c r="B2176" s="56"/>
      <c r="C2176" s="56"/>
      <c r="D2176" s="56"/>
      <c r="E2176" s="56"/>
      <c r="F2176" s="56"/>
      <c r="G2176" s="58"/>
      <c r="H2176" s="56"/>
      <c r="I2176" s="61" t="str">
        <f aca="false">IF(IsPro,IF(OR($C2176="",N($G2176)=0),"",IF(OR($C2176="Receipt",$C2176="Other Income",$C2176="Capital In",$C2176="Transfer In"),$G2176,0)),"")</f>
        <v/>
      </c>
      <c r="J2176" s="61" t="str">
        <f aca="false">IF(IsPro,IF(OR($C2176="",N($G2176)=0),"",IF(I2176=0,$G2176,0)),"")</f>
        <v/>
      </c>
      <c r="K2176" s="60" t="str">
        <f aca="false">IF(IsPro,IF($C2176="","",IF(AND(OR($C2176="Receipt",$C2176="Payment"),$D2176=""),"Party needed",IF(AND(OR($C2176="Expense",$C2176="Other Income"),$E2176=""),"Head needed",IF($F2176="","Account needed","OK")))),IF($C2176="","","PRO PLAN"))</f>
        <v/>
      </c>
    </row>
    <row r="2177" customFormat="false" ht="15" hidden="false" customHeight="false" outlineLevel="0" collapsed="false">
      <c r="A2177" s="55"/>
      <c r="B2177" s="56"/>
      <c r="C2177" s="56"/>
      <c r="D2177" s="56"/>
      <c r="E2177" s="56"/>
      <c r="F2177" s="56"/>
      <c r="G2177" s="58"/>
      <c r="H2177" s="56"/>
      <c r="I2177" s="61" t="str">
        <f aca="false">IF(IsPro,IF(OR($C2177="",N($G2177)=0),"",IF(OR($C2177="Receipt",$C2177="Other Income",$C2177="Capital In",$C2177="Transfer In"),$G2177,0)),"")</f>
        <v/>
      </c>
      <c r="J2177" s="61" t="str">
        <f aca="false">IF(IsPro,IF(OR($C2177="",N($G2177)=0),"",IF(I2177=0,$G2177,0)),"")</f>
        <v/>
      </c>
      <c r="K2177" s="60" t="str">
        <f aca="false">IF(IsPro,IF($C2177="","",IF(AND(OR($C2177="Receipt",$C2177="Payment"),$D2177=""),"Party needed",IF(AND(OR($C2177="Expense",$C2177="Other Income"),$E2177=""),"Head needed",IF($F2177="","Account needed","OK")))),IF($C2177="","","PRO PLAN"))</f>
        <v/>
      </c>
    </row>
    <row r="2178" customFormat="false" ht="15" hidden="false" customHeight="false" outlineLevel="0" collapsed="false">
      <c r="A2178" s="55"/>
      <c r="B2178" s="56"/>
      <c r="C2178" s="56"/>
      <c r="D2178" s="56"/>
      <c r="E2178" s="56"/>
      <c r="F2178" s="56"/>
      <c r="G2178" s="58"/>
      <c r="H2178" s="56"/>
      <c r="I2178" s="61" t="str">
        <f aca="false">IF(IsPro,IF(OR($C2178="",N($G2178)=0),"",IF(OR($C2178="Receipt",$C2178="Other Income",$C2178="Capital In",$C2178="Transfer In"),$G2178,0)),"")</f>
        <v/>
      </c>
      <c r="J2178" s="61" t="str">
        <f aca="false">IF(IsPro,IF(OR($C2178="",N($G2178)=0),"",IF(I2178=0,$G2178,0)),"")</f>
        <v/>
      </c>
      <c r="K2178" s="60" t="str">
        <f aca="false">IF(IsPro,IF($C2178="","",IF(AND(OR($C2178="Receipt",$C2178="Payment"),$D2178=""),"Party needed",IF(AND(OR($C2178="Expense",$C2178="Other Income"),$E2178=""),"Head needed",IF($F2178="","Account needed","OK")))),IF($C2178="","","PRO PLAN"))</f>
        <v/>
      </c>
    </row>
    <row r="2179" customFormat="false" ht="15" hidden="false" customHeight="false" outlineLevel="0" collapsed="false">
      <c r="A2179" s="55"/>
      <c r="B2179" s="56"/>
      <c r="C2179" s="56"/>
      <c r="D2179" s="56"/>
      <c r="E2179" s="56"/>
      <c r="F2179" s="56"/>
      <c r="G2179" s="58"/>
      <c r="H2179" s="56"/>
      <c r="I2179" s="61" t="str">
        <f aca="false">IF(IsPro,IF(OR($C2179="",N($G2179)=0),"",IF(OR($C2179="Receipt",$C2179="Other Income",$C2179="Capital In",$C2179="Transfer In"),$G2179,0)),"")</f>
        <v/>
      </c>
      <c r="J2179" s="61" t="str">
        <f aca="false">IF(IsPro,IF(OR($C2179="",N($G2179)=0),"",IF(I2179=0,$G2179,0)),"")</f>
        <v/>
      </c>
      <c r="K2179" s="60" t="str">
        <f aca="false">IF(IsPro,IF($C2179="","",IF(AND(OR($C2179="Receipt",$C2179="Payment"),$D2179=""),"Party needed",IF(AND(OR($C2179="Expense",$C2179="Other Income"),$E2179=""),"Head needed",IF($F2179="","Account needed","OK")))),IF($C2179="","","PRO PLAN"))</f>
        <v/>
      </c>
    </row>
    <row r="2180" customFormat="false" ht="15" hidden="false" customHeight="false" outlineLevel="0" collapsed="false">
      <c r="A2180" s="55"/>
      <c r="B2180" s="56"/>
      <c r="C2180" s="56"/>
      <c r="D2180" s="56"/>
      <c r="E2180" s="56"/>
      <c r="F2180" s="56"/>
      <c r="G2180" s="58"/>
      <c r="H2180" s="56"/>
      <c r="I2180" s="61" t="str">
        <f aca="false">IF(IsPro,IF(OR($C2180="",N($G2180)=0),"",IF(OR($C2180="Receipt",$C2180="Other Income",$C2180="Capital In",$C2180="Transfer In"),$G2180,0)),"")</f>
        <v/>
      </c>
      <c r="J2180" s="61" t="str">
        <f aca="false">IF(IsPro,IF(OR($C2180="",N($G2180)=0),"",IF(I2180=0,$G2180,0)),"")</f>
        <v/>
      </c>
      <c r="K2180" s="60" t="str">
        <f aca="false">IF(IsPro,IF($C2180="","",IF(AND(OR($C2180="Receipt",$C2180="Payment"),$D2180=""),"Party needed",IF(AND(OR($C2180="Expense",$C2180="Other Income"),$E2180=""),"Head needed",IF($F2180="","Account needed","OK")))),IF($C2180="","","PRO PLAN"))</f>
        <v/>
      </c>
    </row>
    <row r="2181" customFormat="false" ht="15" hidden="false" customHeight="false" outlineLevel="0" collapsed="false">
      <c r="A2181" s="55"/>
      <c r="B2181" s="56"/>
      <c r="C2181" s="56"/>
      <c r="D2181" s="56"/>
      <c r="E2181" s="56"/>
      <c r="F2181" s="56"/>
      <c r="G2181" s="58"/>
      <c r="H2181" s="56"/>
      <c r="I2181" s="61" t="str">
        <f aca="false">IF(IsPro,IF(OR($C2181="",N($G2181)=0),"",IF(OR($C2181="Receipt",$C2181="Other Income",$C2181="Capital In",$C2181="Transfer In"),$G2181,0)),"")</f>
        <v/>
      </c>
      <c r="J2181" s="61" t="str">
        <f aca="false">IF(IsPro,IF(OR($C2181="",N($G2181)=0),"",IF(I2181=0,$G2181,0)),"")</f>
        <v/>
      </c>
      <c r="K2181" s="60" t="str">
        <f aca="false">IF(IsPro,IF($C2181="","",IF(AND(OR($C2181="Receipt",$C2181="Payment"),$D2181=""),"Party needed",IF(AND(OR($C2181="Expense",$C2181="Other Income"),$E2181=""),"Head needed",IF($F2181="","Account needed","OK")))),IF($C2181="","","PRO PLAN"))</f>
        <v/>
      </c>
    </row>
    <row r="2182" customFormat="false" ht="15" hidden="false" customHeight="false" outlineLevel="0" collapsed="false">
      <c r="A2182" s="55"/>
      <c r="B2182" s="56"/>
      <c r="C2182" s="56"/>
      <c r="D2182" s="56"/>
      <c r="E2182" s="56"/>
      <c r="F2182" s="56"/>
      <c r="G2182" s="58"/>
      <c r="H2182" s="56"/>
      <c r="I2182" s="61" t="str">
        <f aca="false">IF(IsPro,IF(OR($C2182="",N($G2182)=0),"",IF(OR($C2182="Receipt",$C2182="Other Income",$C2182="Capital In",$C2182="Transfer In"),$G2182,0)),"")</f>
        <v/>
      </c>
      <c r="J2182" s="61" t="str">
        <f aca="false">IF(IsPro,IF(OR($C2182="",N($G2182)=0),"",IF(I2182=0,$G2182,0)),"")</f>
        <v/>
      </c>
      <c r="K2182" s="60" t="str">
        <f aca="false">IF(IsPro,IF($C2182="","",IF(AND(OR($C2182="Receipt",$C2182="Payment"),$D2182=""),"Party needed",IF(AND(OR($C2182="Expense",$C2182="Other Income"),$E2182=""),"Head needed",IF($F2182="","Account needed","OK")))),IF($C2182="","","PRO PLAN"))</f>
        <v/>
      </c>
    </row>
    <row r="2183" customFormat="false" ht="15" hidden="false" customHeight="false" outlineLevel="0" collapsed="false">
      <c r="A2183" s="55"/>
      <c r="B2183" s="56"/>
      <c r="C2183" s="56"/>
      <c r="D2183" s="56"/>
      <c r="E2183" s="56"/>
      <c r="F2183" s="56"/>
      <c r="G2183" s="58"/>
      <c r="H2183" s="56"/>
      <c r="I2183" s="61" t="str">
        <f aca="false">IF(IsPro,IF(OR($C2183="",N($G2183)=0),"",IF(OR($C2183="Receipt",$C2183="Other Income",$C2183="Capital In",$C2183="Transfer In"),$G2183,0)),"")</f>
        <v/>
      </c>
      <c r="J2183" s="61" t="str">
        <f aca="false">IF(IsPro,IF(OR($C2183="",N($G2183)=0),"",IF(I2183=0,$G2183,0)),"")</f>
        <v/>
      </c>
      <c r="K2183" s="60" t="str">
        <f aca="false">IF(IsPro,IF($C2183="","",IF(AND(OR($C2183="Receipt",$C2183="Payment"),$D2183=""),"Party needed",IF(AND(OR($C2183="Expense",$C2183="Other Income"),$E2183=""),"Head needed",IF($F2183="","Account needed","OK")))),IF($C2183="","","PRO PLAN"))</f>
        <v/>
      </c>
    </row>
    <row r="2184" customFormat="false" ht="15" hidden="false" customHeight="false" outlineLevel="0" collapsed="false">
      <c r="A2184" s="55"/>
      <c r="B2184" s="56"/>
      <c r="C2184" s="56"/>
      <c r="D2184" s="56"/>
      <c r="E2184" s="56"/>
      <c r="F2184" s="56"/>
      <c r="G2184" s="58"/>
      <c r="H2184" s="56"/>
      <c r="I2184" s="61" t="str">
        <f aca="false">IF(IsPro,IF(OR($C2184="",N($G2184)=0),"",IF(OR($C2184="Receipt",$C2184="Other Income",$C2184="Capital In",$C2184="Transfer In"),$G2184,0)),"")</f>
        <v/>
      </c>
      <c r="J2184" s="61" t="str">
        <f aca="false">IF(IsPro,IF(OR($C2184="",N($G2184)=0),"",IF(I2184=0,$G2184,0)),"")</f>
        <v/>
      </c>
      <c r="K2184" s="60" t="str">
        <f aca="false">IF(IsPro,IF($C2184="","",IF(AND(OR($C2184="Receipt",$C2184="Payment"),$D2184=""),"Party needed",IF(AND(OR($C2184="Expense",$C2184="Other Income"),$E2184=""),"Head needed",IF($F2184="","Account needed","OK")))),IF($C2184="","","PRO PLAN"))</f>
        <v/>
      </c>
    </row>
    <row r="2185" customFormat="false" ht="15" hidden="false" customHeight="false" outlineLevel="0" collapsed="false">
      <c r="A2185" s="55"/>
      <c r="B2185" s="56"/>
      <c r="C2185" s="56"/>
      <c r="D2185" s="56"/>
      <c r="E2185" s="56"/>
      <c r="F2185" s="56"/>
      <c r="G2185" s="58"/>
      <c r="H2185" s="56"/>
      <c r="I2185" s="61" t="str">
        <f aca="false">IF(IsPro,IF(OR($C2185="",N($G2185)=0),"",IF(OR($C2185="Receipt",$C2185="Other Income",$C2185="Capital In",$C2185="Transfer In"),$G2185,0)),"")</f>
        <v/>
      </c>
      <c r="J2185" s="61" t="str">
        <f aca="false">IF(IsPro,IF(OR($C2185="",N($G2185)=0),"",IF(I2185=0,$G2185,0)),"")</f>
        <v/>
      </c>
      <c r="K2185" s="60" t="str">
        <f aca="false">IF(IsPro,IF($C2185="","",IF(AND(OR($C2185="Receipt",$C2185="Payment"),$D2185=""),"Party needed",IF(AND(OR($C2185="Expense",$C2185="Other Income"),$E2185=""),"Head needed",IF($F2185="","Account needed","OK")))),IF($C2185="","","PRO PLAN"))</f>
        <v/>
      </c>
    </row>
    <row r="2186" customFormat="false" ht="15" hidden="false" customHeight="false" outlineLevel="0" collapsed="false">
      <c r="A2186" s="55"/>
      <c r="B2186" s="56"/>
      <c r="C2186" s="56"/>
      <c r="D2186" s="56"/>
      <c r="E2186" s="56"/>
      <c r="F2186" s="56"/>
      <c r="G2186" s="58"/>
      <c r="H2186" s="56"/>
      <c r="I2186" s="61" t="str">
        <f aca="false">IF(IsPro,IF(OR($C2186="",N($G2186)=0),"",IF(OR($C2186="Receipt",$C2186="Other Income",$C2186="Capital In",$C2186="Transfer In"),$G2186,0)),"")</f>
        <v/>
      </c>
      <c r="J2186" s="61" t="str">
        <f aca="false">IF(IsPro,IF(OR($C2186="",N($G2186)=0),"",IF(I2186=0,$G2186,0)),"")</f>
        <v/>
      </c>
      <c r="K2186" s="60" t="str">
        <f aca="false">IF(IsPro,IF($C2186="","",IF(AND(OR($C2186="Receipt",$C2186="Payment"),$D2186=""),"Party needed",IF(AND(OR($C2186="Expense",$C2186="Other Income"),$E2186=""),"Head needed",IF($F2186="","Account needed","OK")))),IF($C2186="","","PRO PLAN"))</f>
        <v/>
      </c>
    </row>
    <row r="2187" customFormat="false" ht="15" hidden="false" customHeight="false" outlineLevel="0" collapsed="false">
      <c r="A2187" s="55"/>
      <c r="B2187" s="56"/>
      <c r="C2187" s="56"/>
      <c r="D2187" s="56"/>
      <c r="E2187" s="56"/>
      <c r="F2187" s="56"/>
      <c r="G2187" s="58"/>
      <c r="H2187" s="56"/>
      <c r="I2187" s="61" t="str">
        <f aca="false">IF(IsPro,IF(OR($C2187="",N($G2187)=0),"",IF(OR($C2187="Receipt",$C2187="Other Income",$C2187="Capital In",$C2187="Transfer In"),$G2187,0)),"")</f>
        <v/>
      </c>
      <c r="J2187" s="61" t="str">
        <f aca="false">IF(IsPro,IF(OR($C2187="",N($G2187)=0),"",IF(I2187=0,$G2187,0)),"")</f>
        <v/>
      </c>
      <c r="K2187" s="60" t="str">
        <f aca="false">IF(IsPro,IF($C2187="","",IF(AND(OR($C2187="Receipt",$C2187="Payment"),$D2187=""),"Party needed",IF(AND(OR($C2187="Expense",$C2187="Other Income"),$E2187=""),"Head needed",IF($F2187="","Account needed","OK")))),IF($C2187="","","PRO PLAN"))</f>
        <v/>
      </c>
    </row>
    <row r="2188" customFormat="false" ht="15" hidden="false" customHeight="false" outlineLevel="0" collapsed="false">
      <c r="A2188" s="55"/>
      <c r="B2188" s="56"/>
      <c r="C2188" s="56"/>
      <c r="D2188" s="56"/>
      <c r="E2188" s="56"/>
      <c r="F2188" s="56"/>
      <c r="G2188" s="58"/>
      <c r="H2188" s="56"/>
      <c r="I2188" s="61" t="str">
        <f aca="false">IF(IsPro,IF(OR($C2188="",N($G2188)=0),"",IF(OR($C2188="Receipt",$C2188="Other Income",$C2188="Capital In",$C2188="Transfer In"),$G2188,0)),"")</f>
        <v/>
      </c>
      <c r="J2188" s="61" t="str">
        <f aca="false">IF(IsPro,IF(OR($C2188="",N($G2188)=0),"",IF(I2188=0,$G2188,0)),"")</f>
        <v/>
      </c>
      <c r="K2188" s="60" t="str">
        <f aca="false">IF(IsPro,IF($C2188="","",IF(AND(OR($C2188="Receipt",$C2188="Payment"),$D2188=""),"Party needed",IF(AND(OR($C2188="Expense",$C2188="Other Income"),$E2188=""),"Head needed",IF($F2188="","Account needed","OK")))),IF($C2188="","","PRO PLAN"))</f>
        <v/>
      </c>
    </row>
    <row r="2189" customFormat="false" ht="15" hidden="false" customHeight="false" outlineLevel="0" collapsed="false">
      <c r="A2189" s="55"/>
      <c r="B2189" s="56"/>
      <c r="C2189" s="56"/>
      <c r="D2189" s="56"/>
      <c r="E2189" s="56"/>
      <c r="F2189" s="56"/>
      <c r="G2189" s="58"/>
      <c r="H2189" s="56"/>
      <c r="I2189" s="61" t="str">
        <f aca="false">IF(IsPro,IF(OR($C2189="",N($G2189)=0),"",IF(OR($C2189="Receipt",$C2189="Other Income",$C2189="Capital In",$C2189="Transfer In"),$G2189,0)),"")</f>
        <v/>
      </c>
      <c r="J2189" s="61" t="str">
        <f aca="false">IF(IsPro,IF(OR($C2189="",N($G2189)=0),"",IF(I2189=0,$G2189,0)),"")</f>
        <v/>
      </c>
      <c r="K2189" s="60" t="str">
        <f aca="false">IF(IsPro,IF($C2189="","",IF(AND(OR($C2189="Receipt",$C2189="Payment"),$D2189=""),"Party needed",IF(AND(OR($C2189="Expense",$C2189="Other Income"),$E2189=""),"Head needed",IF($F2189="","Account needed","OK")))),IF($C2189="","","PRO PLAN"))</f>
        <v/>
      </c>
    </row>
    <row r="2190" customFormat="false" ht="15" hidden="false" customHeight="false" outlineLevel="0" collapsed="false">
      <c r="A2190" s="55"/>
      <c r="B2190" s="56"/>
      <c r="C2190" s="56"/>
      <c r="D2190" s="56"/>
      <c r="E2190" s="56"/>
      <c r="F2190" s="56"/>
      <c r="G2190" s="58"/>
      <c r="H2190" s="56"/>
      <c r="I2190" s="61" t="str">
        <f aca="false">IF(IsPro,IF(OR($C2190="",N($G2190)=0),"",IF(OR($C2190="Receipt",$C2190="Other Income",$C2190="Capital In",$C2190="Transfer In"),$G2190,0)),"")</f>
        <v/>
      </c>
      <c r="J2190" s="61" t="str">
        <f aca="false">IF(IsPro,IF(OR($C2190="",N($G2190)=0),"",IF(I2190=0,$G2190,0)),"")</f>
        <v/>
      </c>
      <c r="K2190" s="60" t="str">
        <f aca="false">IF(IsPro,IF($C2190="","",IF(AND(OR($C2190="Receipt",$C2190="Payment"),$D2190=""),"Party needed",IF(AND(OR($C2190="Expense",$C2190="Other Income"),$E2190=""),"Head needed",IF($F2190="","Account needed","OK")))),IF($C2190="","","PRO PLAN"))</f>
        <v/>
      </c>
    </row>
    <row r="2191" customFormat="false" ht="15" hidden="false" customHeight="false" outlineLevel="0" collapsed="false">
      <c r="A2191" s="55"/>
      <c r="B2191" s="56"/>
      <c r="C2191" s="56"/>
      <c r="D2191" s="56"/>
      <c r="E2191" s="56"/>
      <c r="F2191" s="56"/>
      <c r="G2191" s="58"/>
      <c r="H2191" s="56"/>
      <c r="I2191" s="61" t="str">
        <f aca="false">IF(IsPro,IF(OR($C2191="",N($G2191)=0),"",IF(OR($C2191="Receipt",$C2191="Other Income",$C2191="Capital In",$C2191="Transfer In"),$G2191,0)),"")</f>
        <v/>
      </c>
      <c r="J2191" s="61" t="str">
        <f aca="false">IF(IsPro,IF(OR($C2191="",N($G2191)=0),"",IF(I2191=0,$G2191,0)),"")</f>
        <v/>
      </c>
      <c r="K2191" s="60" t="str">
        <f aca="false">IF(IsPro,IF($C2191="","",IF(AND(OR($C2191="Receipt",$C2191="Payment"),$D2191=""),"Party needed",IF(AND(OR($C2191="Expense",$C2191="Other Income"),$E2191=""),"Head needed",IF($F2191="","Account needed","OK")))),IF($C2191="","","PRO PLAN"))</f>
        <v/>
      </c>
    </row>
    <row r="2192" customFormat="false" ht="15" hidden="false" customHeight="false" outlineLevel="0" collapsed="false">
      <c r="A2192" s="55"/>
      <c r="B2192" s="56"/>
      <c r="C2192" s="56"/>
      <c r="D2192" s="56"/>
      <c r="E2192" s="56"/>
      <c r="F2192" s="56"/>
      <c r="G2192" s="58"/>
      <c r="H2192" s="56"/>
      <c r="I2192" s="61" t="str">
        <f aca="false">IF(IsPro,IF(OR($C2192="",N($G2192)=0),"",IF(OR($C2192="Receipt",$C2192="Other Income",$C2192="Capital In",$C2192="Transfer In"),$G2192,0)),"")</f>
        <v/>
      </c>
      <c r="J2192" s="61" t="str">
        <f aca="false">IF(IsPro,IF(OR($C2192="",N($G2192)=0),"",IF(I2192=0,$G2192,0)),"")</f>
        <v/>
      </c>
      <c r="K2192" s="60" t="str">
        <f aca="false">IF(IsPro,IF($C2192="","",IF(AND(OR($C2192="Receipt",$C2192="Payment"),$D2192=""),"Party needed",IF(AND(OR($C2192="Expense",$C2192="Other Income"),$E2192=""),"Head needed",IF($F2192="","Account needed","OK")))),IF($C2192="","","PRO PLAN"))</f>
        <v/>
      </c>
    </row>
    <row r="2193" customFormat="false" ht="15" hidden="false" customHeight="false" outlineLevel="0" collapsed="false">
      <c r="A2193" s="55"/>
      <c r="B2193" s="56"/>
      <c r="C2193" s="56"/>
      <c r="D2193" s="56"/>
      <c r="E2193" s="56"/>
      <c r="F2193" s="56"/>
      <c r="G2193" s="58"/>
      <c r="H2193" s="56"/>
      <c r="I2193" s="61" t="str">
        <f aca="false">IF(IsPro,IF(OR($C2193="",N($G2193)=0),"",IF(OR($C2193="Receipt",$C2193="Other Income",$C2193="Capital In",$C2193="Transfer In"),$G2193,0)),"")</f>
        <v/>
      </c>
      <c r="J2193" s="61" t="str">
        <f aca="false">IF(IsPro,IF(OR($C2193="",N($G2193)=0),"",IF(I2193=0,$G2193,0)),"")</f>
        <v/>
      </c>
      <c r="K2193" s="60" t="str">
        <f aca="false">IF(IsPro,IF($C2193="","",IF(AND(OR($C2193="Receipt",$C2193="Payment"),$D2193=""),"Party needed",IF(AND(OR($C2193="Expense",$C2193="Other Income"),$E2193=""),"Head needed",IF($F2193="","Account needed","OK")))),IF($C2193="","","PRO PLAN"))</f>
        <v/>
      </c>
    </row>
    <row r="2194" customFormat="false" ht="15" hidden="false" customHeight="false" outlineLevel="0" collapsed="false">
      <c r="A2194" s="55"/>
      <c r="B2194" s="56"/>
      <c r="C2194" s="56"/>
      <c r="D2194" s="56"/>
      <c r="E2194" s="56"/>
      <c r="F2194" s="56"/>
      <c r="G2194" s="58"/>
      <c r="H2194" s="56"/>
      <c r="I2194" s="61" t="str">
        <f aca="false">IF(IsPro,IF(OR($C2194="",N($G2194)=0),"",IF(OR($C2194="Receipt",$C2194="Other Income",$C2194="Capital In",$C2194="Transfer In"),$G2194,0)),"")</f>
        <v/>
      </c>
      <c r="J2194" s="61" t="str">
        <f aca="false">IF(IsPro,IF(OR($C2194="",N($G2194)=0),"",IF(I2194=0,$G2194,0)),"")</f>
        <v/>
      </c>
      <c r="K2194" s="60" t="str">
        <f aca="false">IF(IsPro,IF($C2194="","",IF(AND(OR($C2194="Receipt",$C2194="Payment"),$D2194=""),"Party needed",IF(AND(OR($C2194="Expense",$C2194="Other Income"),$E2194=""),"Head needed",IF($F2194="","Account needed","OK")))),IF($C2194="","","PRO PLAN"))</f>
        <v/>
      </c>
    </row>
    <row r="2195" customFormat="false" ht="15" hidden="false" customHeight="false" outlineLevel="0" collapsed="false">
      <c r="A2195" s="55"/>
      <c r="B2195" s="56"/>
      <c r="C2195" s="56"/>
      <c r="D2195" s="56"/>
      <c r="E2195" s="56"/>
      <c r="F2195" s="56"/>
      <c r="G2195" s="58"/>
      <c r="H2195" s="56"/>
      <c r="I2195" s="61" t="str">
        <f aca="false">IF(IsPro,IF(OR($C2195="",N($G2195)=0),"",IF(OR($C2195="Receipt",$C2195="Other Income",$C2195="Capital In",$C2195="Transfer In"),$G2195,0)),"")</f>
        <v/>
      </c>
      <c r="J2195" s="61" t="str">
        <f aca="false">IF(IsPro,IF(OR($C2195="",N($G2195)=0),"",IF(I2195=0,$G2195,0)),"")</f>
        <v/>
      </c>
      <c r="K2195" s="60" t="str">
        <f aca="false">IF(IsPro,IF($C2195="","",IF(AND(OR($C2195="Receipt",$C2195="Payment"),$D2195=""),"Party needed",IF(AND(OR($C2195="Expense",$C2195="Other Income"),$E2195=""),"Head needed",IF($F2195="","Account needed","OK")))),IF($C2195="","","PRO PLAN"))</f>
        <v/>
      </c>
    </row>
    <row r="2196" customFormat="false" ht="15" hidden="false" customHeight="false" outlineLevel="0" collapsed="false">
      <c r="A2196" s="55"/>
      <c r="B2196" s="56"/>
      <c r="C2196" s="56"/>
      <c r="D2196" s="56"/>
      <c r="E2196" s="56"/>
      <c r="F2196" s="56"/>
      <c r="G2196" s="58"/>
      <c r="H2196" s="56"/>
      <c r="I2196" s="61" t="str">
        <f aca="false">IF(IsPro,IF(OR($C2196="",N($G2196)=0),"",IF(OR($C2196="Receipt",$C2196="Other Income",$C2196="Capital In",$C2196="Transfer In"),$G2196,0)),"")</f>
        <v/>
      </c>
      <c r="J2196" s="61" t="str">
        <f aca="false">IF(IsPro,IF(OR($C2196="",N($G2196)=0),"",IF(I2196=0,$G2196,0)),"")</f>
        <v/>
      </c>
      <c r="K2196" s="60" t="str">
        <f aca="false">IF(IsPro,IF($C2196="","",IF(AND(OR($C2196="Receipt",$C2196="Payment"),$D2196=""),"Party needed",IF(AND(OR($C2196="Expense",$C2196="Other Income"),$E2196=""),"Head needed",IF($F2196="","Account needed","OK")))),IF($C2196="","","PRO PLAN"))</f>
        <v/>
      </c>
    </row>
    <row r="2197" customFormat="false" ht="15" hidden="false" customHeight="false" outlineLevel="0" collapsed="false">
      <c r="A2197" s="55"/>
      <c r="B2197" s="56"/>
      <c r="C2197" s="56"/>
      <c r="D2197" s="56"/>
      <c r="E2197" s="56"/>
      <c r="F2197" s="56"/>
      <c r="G2197" s="58"/>
      <c r="H2197" s="56"/>
      <c r="I2197" s="61" t="str">
        <f aca="false">IF(IsPro,IF(OR($C2197="",N($G2197)=0),"",IF(OR($C2197="Receipt",$C2197="Other Income",$C2197="Capital In",$C2197="Transfer In"),$G2197,0)),"")</f>
        <v/>
      </c>
      <c r="J2197" s="61" t="str">
        <f aca="false">IF(IsPro,IF(OR($C2197="",N($G2197)=0),"",IF(I2197=0,$G2197,0)),"")</f>
        <v/>
      </c>
      <c r="K2197" s="60" t="str">
        <f aca="false">IF(IsPro,IF($C2197="","",IF(AND(OR($C2197="Receipt",$C2197="Payment"),$D2197=""),"Party needed",IF(AND(OR($C2197="Expense",$C2197="Other Income"),$E2197=""),"Head needed",IF($F2197="","Account needed","OK")))),IF($C2197="","","PRO PLAN"))</f>
        <v/>
      </c>
    </row>
    <row r="2198" customFormat="false" ht="15" hidden="false" customHeight="false" outlineLevel="0" collapsed="false">
      <c r="A2198" s="55"/>
      <c r="B2198" s="56"/>
      <c r="C2198" s="56"/>
      <c r="D2198" s="56"/>
      <c r="E2198" s="56"/>
      <c r="F2198" s="56"/>
      <c r="G2198" s="58"/>
      <c r="H2198" s="56"/>
      <c r="I2198" s="61" t="str">
        <f aca="false">IF(IsPro,IF(OR($C2198="",N($G2198)=0),"",IF(OR($C2198="Receipt",$C2198="Other Income",$C2198="Capital In",$C2198="Transfer In"),$G2198,0)),"")</f>
        <v/>
      </c>
      <c r="J2198" s="61" t="str">
        <f aca="false">IF(IsPro,IF(OR($C2198="",N($G2198)=0),"",IF(I2198=0,$G2198,0)),"")</f>
        <v/>
      </c>
      <c r="K2198" s="60" t="str">
        <f aca="false">IF(IsPro,IF($C2198="","",IF(AND(OR($C2198="Receipt",$C2198="Payment"),$D2198=""),"Party needed",IF(AND(OR($C2198="Expense",$C2198="Other Income"),$E2198=""),"Head needed",IF($F2198="","Account needed","OK")))),IF($C2198="","","PRO PLAN"))</f>
        <v/>
      </c>
    </row>
    <row r="2199" customFormat="false" ht="15" hidden="false" customHeight="false" outlineLevel="0" collapsed="false">
      <c r="A2199" s="55"/>
      <c r="B2199" s="56"/>
      <c r="C2199" s="56"/>
      <c r="D2199" s="56"/>
      <c r="E2199" s="56"/>
      <c r="F2199" s="56"/>
      <c r="G2199" s="58"/>
      <c r="H2199" s="56"/>
      <c r="I2199" s="61" t="str">
        <f aca="false">IF(IsPro,IF(OR($C2199="",N($G2199)=0),"",IF(OR($C2199="Receipt",$C2199="Other Income",$C2199="Capital In",$C2199="Transfer In"),$G2199,0)),"")</f>
        <v/>
      </c>
      <c r="J2199" s="61" t="str">
        <f aca="false">IF(IsPro,IF(OR($C2199="",N($G2199)=0),"",IF(I2199=0,$G2199,0)),"")</f>
        <v/>
      </c>
      <c r="K2199" s="60" t="str">
        <f aca="false">IF(IsPro,IF($C2199="","",IF(AND(OR($C2199="Receipt",$C2199="Payment"),$D2199=""),"Party needed",IF(AND(OR($C2199="Expense",$C2199="Other Income"),$E2199=""),"Head needed",IF($F2199="","Account needed","OK")))),IF($C2199="","","PRO PLAN"))</f>
        <v/>
      </c>
    </row>
    <row r="2200" customFormat="false" ht="15" hidden="false" customHeight="false" outlineLevel="0" collapsed="false">
      <c r="A2200" s="55"/>
      <c r="B2200" s="56"/>
      <c r="C2200" s="56"/>
      <c r="D2200" s="56"/>
      <c r="E2200" s="56"/>
      <c r="F2200" s="56"/>
      <c r="G2200" s="58"/>
      <c r="H2200" s="56"/>
      <c r="I2200" s="61" t="str">
        <f aca="false">IF(IsPro,IF(OR($C2200="",N($G2200)=0),"",IF(OR($C2200="Receipt",$C2200="Other Income",$C2200="Capital In",$C2200="Transfer In"),$G2200,0)),"")</f>
        <v/>
      </c>
      <c r="J2200" s="61" t="str">
        <f aca="false">IF(IsPro,IF(OR($C2200="",N($G2200)=0),"",IF(I2200=0,$G2200,0)),"")</f>
        <v/>
      </c>
      <c r="K2200" s="60" t="str">
        <f aca="false">IF(IsPro,IF($C2200="","",IF(AND(OR($C2200="Receipt",$C2200="Payment"),$D2200=""),"Party needed",IF(AND(OR($C2200="Expense",$C2200="Other Income"),$E2200=""),"Head needed",IF($F2200="","Account needed","OK")))),IF($C2200="","","PRO PLAN"))</f>
        <v/>
      </c>
    </row>
    <row r="2201" customFormat="false" ht="15" hidden="false" customHeight="false" outlineLevel="0" collapsed="false">
      <c r="A2201" s="55"/>
      <c r="B2201" s="56"/>
      <c r="C2201" s="56"/>
      <c r="D2201" s="56"/>
      <c r="E2201" s="56"/>
      <c r="F2201" s="56"/>
      <c r="G2201" s="58"/>
      <c r="H2201" s="56"/>
      <c r="I2201" s="61" t="str">
        <f aca="false">IF(IsPro,IF(OR($C2201="",N($G2201)=0),"",IF(OR($C2201="Receipt",$C2201="Other Income",$C2201="Capital In",$C2201="Transfer In"),$G2201,0)),"")</f>
        <v/>
      </c>
      <c r="J2201" s="61" t="str">
        <f aca="false">IF(IsPro,IF(OR($C2201="",N($G2201)=0),"",IF(I2201=0,$G2201,0)),"")</f>
        <v/>
      </c>
      <c r="K2201" s="60" t="str">
        <f aca="false">IF(IsPro,IF($C2201="","",IF(AND(OR($C2201="Receipt",$C2201="Payment"),$D2201=""),"Party needed",IF(AND(OR($C2201="Expense",$C2201="Other Income"),$E2201=""),"Head needed",IF($F2201="","Account needed","OK")))),IF($C2201="","","PRO PLAN"))</f>
        <v/>
      </c>
    </row>
    <row r="2202" customFormat="false" ht="15" hidden="false" customHeight="false" outlineLevel="0" collapsed="false">
      <c r="A2202" s="55"/>
      <c r="B2202" s="56"/>
      <c r="C2202" s="56"/>
      <c r="D2202" s="56"/>
      <c r="E2202" s="56"/>
      <c r="F2202" s="56"/>
      <c r="G2202" s="58"/>
      <c r="H2202" s="56"/>
      <c r="I2202" s="61" t="str">
        <f aca="false">IF(IsPro,IF(OR($C2202="",N($G2202)=0),"",IF(OR($C2202="Receipt",$C2202="Other Income",$C2202="Capital In",$C2202="Transfer In"),$G2202,0)),"")</f>
        <v/>
      </c>
      <c r="J2202" s="61" t="str">
        <f aca="false">IF(IsPro,IF(OR($C2202="",N($G2202)=0),"",IF(I2202=0,$G2202,0)),"")</f>
        <v/>
      </c>
      <c r="K2202" s="60" t="str">
        <f aca="false">IF(IsPro,IF($C2202="","",IF(AND(OR($C2202="Receipt",$C2202="Payment"),$D2202=""),"Party needed",IF(AND(OR($C2202="Expense",$C2202="Other Income"),$E2202=""),"Head needed",IF($F2202="","Account needed","OK")))),IF($C2202="","","PRO PLAN"))</f>
        <v/>
      </c>
    </row>
    <row r="2203" customFormat="false" ht="15" hidden="false" customHeight="false" outlineLevel="0" collapsed="false">
      <c r="A2203" s="55"/>
      <c r="B2203" s="56"/>
      <c r="C2203" s="56"/>
      <c r="D2203" s="56"/>
      <c r="E2203" s="56"/>
      <c r="F2203" s="56"/>
      <c r="G2203" s="58"/>
      <c r="H2203" s="56"/>
      <c r="I2203" s="61" t="str">
        <f aca="false">IF(IsPro,IF(OR($C2203="",N($G2203)=0),"",IF(OR($C2203="Receipt",$C2203="Other Income",$C2203="Capital In",$C2203="Transfer In"),$G2203,0)),"")</f>
        <v/>
      </c>
      <c r="J2203" s="61" t="str">
        <f aca="false">IF(IsPro,IF(OR($C2203="",N($G2203)=0),"",IF(I2203=0,$G2203,0)),"")</f>
        <v/>
      </c>
      <c r="K2203" s="60" t="str">
        <f aca="false">IF(IsPro,IF($C2203="","",IF(AND(OR($C2203="Receipt",$C2203="Payment"),$D2203=""),"Party needed",IF(AND(OR($C2203="Expense",$C2203="Other Income"),$E2203=""),"Head needed",IF($F2203="","Account needed","OK")))),IF($C2203="","","PRO PLAN"))</f>
        <v/>
      </c>
    </row>
    <row r="2204" customFormat="false" ht="15" hidden="false" customHeight="false" outlineLevel="0" collapsed="false">
      <c r="A2204" s="55"/>
      <c r="B2204" s="56"/>
      <c r="C2204" s="56"/>
      <c r="D2204" s="56"/>
      <c r="E2204" s="56"/>
      <c r="F2204" s="56"/>
      <c r="G2204" s="58"/>
      <c r="H2204" s="56"/>
      <c r="I2204" s="61" t="str">
        <f aca="false">IF(IsPro,IF(OR($C2204="",N($G2204)=0),"",IF(OR($C2204="Receipt",$C2204="Other Income",$C2204="Capital In",$C2204="Transfer In"),$G2204,0)),"")</f>
        <v/>
      </c>
      <c r="J2204" s="61" t="str">
        <f aca="false">IF(IsPro,IF(OR($C2204="",N($G2204)=0),"",IF(I2204=0,$G2204,0)),"")</f>
        <v/>
      </c>
      <c r="K2204" s="60" t="str">
        <f aca="false">IF(IsPro,IF($C2204="","",IF(AND(OR($C2204="Receipt",$C2204="Payment"),$D2204=""),"Party needed",IF(AND(OR($C2204="Expense",$C2204="Other Income"),$E2204=""),"Head needed",IF($F2204="","Account needed","OK")))),IF($C2204="","","PRO PLAN"))</f>
        <v/>
      </c>
    </row>
    <row r="2205" customFormat="false" ht="15" hidden="false" customHeight="false" outlineLevel="0" collapsed="false">
      <c r="A2205" s="55"/>
      <c r="B2205" s="56"/>
      <c r="C2205" s="56"/>
      <c r="D2205" s="56"/>
      <c r="E2205" s="56"/>
      <c r="F2205" s="56"/>
      <c r="G2205" s="58"/>
      <c r="H2205" s="56"/>
      <c r="I2205" s="61" t="str">
        <f aca="false">IF(IsPro,IF(OR($C2205="",N($G2205)=0),"",IF(OR($C2205="Receipt",$C2205="Other Income",$C2205="Capital In",$C2205="Transfer In"),$G2205,0)),"")</f>
        <v/>
      </c>
      <c r="J2205" s="61" t="str">
        <f aca="false">IF(IsPro,IF(OR($C2205="",N($G2205)=0),"",IF(I2205=0,$G2205,0)),"")</f>
        <v/>
      </c>
      <c r="K2205" s="60" t="str">
        <f aca="false">IF(IsPro,IF($C2205="","",IF(AND(OR($C2205="Receipt",$C2205="Payment"),$D2205=""),"Party needed",IF(AND(OR($C2205="Expense",$C2205="Other Income"),$E2205=""),"Head needed",IF($F2205="","Account needed","OK")))),IF($C2205="","","PRO PLAN"))</f>
        <v/>
      </c>
    </row>
    <row r="2206" customFormat="false" ht="15" hidden="false" customHeight="false" outlineLevel="0" collapsed="false">
      <c r="A2206" s="55"/>
      <c r="B2206" s="56"/>
      <c r="C2206" s="56"/>
      <c r="D2206" s="56"/>
      <c r="E2206" s="56"/>
      <c r="F2206" s="56"/>
      <c r="G2206" s="58"/>
      <c r="H2206" s="56"/>
      <c r="I2206" s="61" t="str">
        <f aca="false">IF(IsPro,IF(OR($C2206="",N($G2206)=0),"",IF(OR($C2206="Receipt",$C2206="Other Income",$C2206="Capital In",$C2206="Transfer In"),$G2206,0)),"")</f>
        <v/>
      </c>
      <c r="J2206" s="61" t="str">
        <f aca="false">IF(IsPro,IF(OR($C2206="",N($G2206)=0),"",IF(I2206=0,$G2206,0)),"")</f>
        <v/>
      </c>
      <c r="K2206" s="60" t="str">
        <f aca="false">IF(IsPro,IF($C2206="","",IF(AND(OR($C2206="Receipt",$C2206="Payment"),$D2206=""),"Party needed",IF(AND(OR($C2206="Expense",$C2206="Other Income"),$E2206=""),"Head needed",IF($F2206="","Account needed","OK")))),IF($C2206="","","PRO PLAN"))</f>
        <v/>
      </c>
    </row>
    <row r="2207" customFormat="false" ht="15" hidden="false" customHeight="false" outlineLevel="0" collapsed="false">
      <c r="A2207" s="55"/>
      <c r="B2207" s="56"/>
      <c r="C2207" s="56"/>
      <c r="D2207" s="56"/>
      <c r="E2207" s="56"/>
      <c r="F2207" s="56"/>
      <c r="G2207" s="58"/>
      <c r="H2207" s="56"/>
      <c r="I2207" s="61" t="str">
        <f aca="false">IF(IsPro,IF(OR($C2207="",N($G2207)=0),"",IF(OR($C2207="Receipt",$C2207="Other Income",$C2207="Capital In",$C2207="Transfer In"),$G2207,0)),"")</f>
        <v/>
      </c>
      <c r="J2207" s="61" t="str">
        <f aca="false">IF(IsPro,IF(OR($C2207="",N($G2207)=0),"",IF(I2207=0,$G2207,0)),"")</f>
        <v/>
      </c>
      <c r="K2207" s="60" t="str">
        <f aca="false">IF(IsPro,IF($C2207="","",IF(AND(OR($C2207="Receipt",$C2207="Payment"),$D2207=""),"Party needed",IF(AND(OR($C2207="Expense",$C2207="Other Income"),$E2207=""),"Head needed",IF($F2207="","Account needed","OK")))),IF($C2207="","","PRO PLAN"))</f>
        <v/>
      </c>
    </row>
    <row r="2208" customFormat="false" ht="15" hidden="false" customHeight="false" outlineLevel="0" collapsed="false">
      <c r="A2208" s="55"/>
      <c r="B2208" s="56"/>
      <c r="C2208" s="56"/>
      <c r="D2208" s="56"/>
      <c r="E2208" s="56"/>
      <c r="F2208" s="56"/>
      <c r="G2208" s="58"/>
      <c r="H2208" s="56"/>
      <c r="I2208" s="61" t="str">
        <f aca="false">IF(IsPro,IF(OR($C2208="",N($G2208)=0),"",IF(OR($C2208="Receipt",$C2208="Other Income",$C2208="Capital In",$C2208="Transfer In"),$G2208,0)),"")</f>
        <v/>
      </c>
      <c r="J2208" s="61" t="str">
        <f aca="false">IF(IsPro,IF(OR($C2208="",N($G2208)=0),"",IF(I2208=0,$G2208,0)),"")</f>
        <v/>
      </c>
      <c r="K2208" s="60" t="str">
        <f aca="false">IF(IsPro,IF($C2208="","",IF(AND(OR($C2208="Receipt",$C2208="Payment"),$D2208=""),"Party needed",IF(AND(OR($C2208="Expense",$C2208="Other Income"),$E2208=""),"Head needed",IF($F2208="","Account needed","OK")))),IF($C2208="","","PRO PLAN"))</f>
        <v/>
      </c>
    </row>
    <row r="2209" customFormat="false" ht="15" hidden="false" customHeight="false" outlineLevel="0" collapsed="false">
      <c r="A2209" s="55"/>
      <c r="B2209" s="56"/>
      <c r="C2209" s="56"/>
      <c r="D2209" s="56"/>
      <c r="E2209" s="56"/>
      <c r="F2209" s="56"/>
      <c r="G2209" s="58"/>
      <c r="H2209" s="56"/>
      <c r="I2209" s="61" t="str">
        <f aca="false">IF(IsPro,IF(OR($C2209="",N($G2209)=0),"",IF(OR($C2209="Receipt",$C2209="Other Income",$C2209="Capital In",$C2209="Transfer In"),$G2209,0)),"")</f>
        <v/>
      </c>
      <c r="J2209" s="61" t="str">
        <f aca="false">IF(IsPro,IF(OR($C2209="",N($G2209)=0),"",IF(I2209=0,$G2209,0)),"")</f>
        <v/>
      </c>
      <c r="K2209" s="60" t="str">
        <f aca="false">IF(IsPro,IF($C2209="","",IF(AND(OR($C2209="Receipt",$C2209="Payment"),$D2209=""),"Party needed",IF(AND(OR($C2209="Expense",$C2209="Other Income"),$E2209=""),"Head needed",IF($F2209="","Account needed","OK")))),IF($C2209="","","PRO PLAN"))</f>
        <v/>
      </c>
    </row>
    <row r="2210" customFormat="false" ht="15" hidden="false" customHeight="false" outlineLevel="0" collapsed="false">
      <c r="A2210" s="55"/>
      <c r="B2210" s="56"/>
      <c r="C2210" s="56"/>
      <c r="D2210" s="56"/>
      <c r="E2210" s="56"/>
      <c r="F2210" s="56"/>
      <c r="G2210" s="58"/>
      <c r="H2210" s="56"/>
      <c r="I2210" s="61" t="str">
        <f aca="false">IF(IsPro,IF(OR($C2210="",N($G2210)=0),"",IF(OR($C2210="Receipt",$C2210="Other Income",$C2210="Capital In",$C2210="Transfer In"),$G2210,0)),"")</f>
        <v/>
      </c>
      <c r="J2210" s="61" t="str">
        <f aca="false">IF(IsPro,IF(OR($C2210="",N($G2210)=0),"",IF(I2210=0,$G2210,0)),"")</f>
        <v/>
      </c>
      <c r="K2210" s="60" t="str">
        <f aca="false">IF(IsPro,IF($C2210="","",IF(AND(OR($C2210="Receipt",$C2210="Payment"),$D2210=""),"Party needed",IF(AND(OR($C2210="Expense",$C2210="Other Income"),$E2210=""),"Head needed",IF($F2210="","Account needed","OK")))),IF($C2210="","","PRO PLAN"))</f>
        <v/>
      </c>
    </row>
    <row r="2211" customFormat="false" ht="15" hidden="false" customHeight="false" outlineLevel="0" collapsed="false">
      <c r="A2211" s="55"/>
      <c r="B2211" s="56"/>
      <c r="C2211" s="56"/>
      <c r="D2211" s="56"/>
      <c r="E2211" s="56"/>
      <c r="F2211" s="56"/>
      <c r="G2211" s="58"/>
      <c r="H2211" s="56"/>
      <c r="I2211" s="61" t="str">
        <f aca="false">IF(IsPro,IF(OR($C2211="",N($G2211)=0),"",IF(OR($C2211="Receipt",$C2211="Other Income",$C2211="Capital In",$C2211="Transfer In"),$G2211,0)),"")</f>
        <v/>
      </c>
      <c r="J2211" s="61" t="str">
        <f aca="false">IF(IsPro,IF(OR($C2211="",N($G2211)=0),"",IF(I2211=0,$G2211,0)),"")</f>
        <v/>
      </c>
      <c r="K2211" s="60" t="str">
        <f aca="false">IF(IsPro,IF($C2211="","",IF(AND(OR($C2211="Receipt",$C2211="Payment"),$D2211=""),"Party needed",IF(AND(OR($C2211="Expense",$C2211="Other Income"),$E2211=""),"Head needed",IF($F2211="","Account needed","OK")))),IF($C2211="","","PRO PLAN"))</f>
        <v/>
      </c>
    </row>
    <row r="2212" customFormat="false" ht="15" hidden="false" customHeight="false" outlineLevel="0" collapsed="false">
      <c r="A2212" s="55"/>
      <c r="B2212" s="56"/>
      <c r="C2212" s="56"/>
      <c r="D2212" s="56"/>
      <c r="E2212" s="56"/>
      <c r="F2212" s="56"/>
      <c r="G2212" s="58"/>
      <c r="H2212" s="56"/>
      <c r="I2212" s="61" t="str">
        <f aca="false">IF(IsPro,IF(OR($C2212="",N($G2212)=0),"",IF(OR($C2212="Receipt",$C2212="Other Income",$C2212="Capital In",$C2212="Transfer In"),$G2212,0)),"")</f>
        <v/>
      </c>
      <c r="J2212" s="61" t="str">
        <f aca="false">IF(IsPro,IF(OR($C2212="",N($G2212)=0),"",IF(I2212=0,$G2212,0)),"")</f>
        <v/>
      </c>
      <c r="K2212" s="60" t="str">
        <f aca="false">IF(IsPro,IF($C2212="","",IF(AND(OR($C2212="Receipt",$C2212="Payment"),$D2212=""),"Party needed",IF(AND(OR($C2212="Expense",$C2212="Other Income"),$E2212=""),"Head needed",IF($F2212="","Account needed","OK")))),IF($C2212="","","PRO PLAN"))</f>
        <v/>
      </c>
    </row>
    <row r="2213" customFormat="false" ht="15" hidden="false" customHeight="false" outlineLevel="0" collapsed="false">
      <c r="A2213" s="55"/>
      <c r="B2213" s="56"/>
      <c r="C2213" s="56"/>
      <c r="D2213" s="56"/>
      <c r="E2213" s="56"/>
      <c r="F2213" s="56"/>
      <c r="G2213" s="58"/>
      <c r="H2213" s="56"/>
      <c r="I2213" s="61" t="str">
        <f aca="false">IF(IsPro,IF(OR($C2213="",N($G2213)=0),"",IF(OR($C2213="Receipt",$C2213="Other Income",$C2213="Capital In",$C2213="Transfer In"),$G2213,0)),"")</f>
        <v/>
      </c>
      <c r="J2213" s="61" t="str">
        <f aca="false">IF(IsPro,IF(OR($C2213="",N($G2213)=0),"",IF(I2213=0,$G2213,0)),"")</f>
        <v/>
      </c>
      <c r="K2213" s="60" t="str">
        <f aca="false">IF(IsPro,IF($C2213="","",IF(AND(OR($C2213="Receipt",$C2213="Payment"),$D2213=""),"Party needed",IF(AND(OR($C2213="Expense",$C2213="Other Income"),$E2213=""),"Head needed",IF($F2213="","Account needed","OK")))),IF($C2213="","","PRO PLAN"))</f>
        <v/>
      </c>
    </row>
    <row r="2214" customFormat="false" ht="15" hidden="false" customHeight="false" outlineLevel="0" collapsed="false">
      <c r="A2214" s="55"/>
      <c r="B2214" s="56"/>
      <c r="C2214" s="56"/>
      <c r="D2214" s="56"/>
      <c r="E2214" s="56"/>
      <c r="F2214" s="56"/>
      <c r="G2214" s="58"/>
      <c r="H2214" s="56"/>
      <c r="I2214" s="61" t="str">
        <f aca="false">IF(IsPro,IF(OR($C2214="",N($G2214)=0),"",IF(OR($C2214="Receipt",$C2214="Other Income",$C2214="Capital In",$C2214="Transfer In"),$G2214,0)),"")</f>
        <v/>
      </c>
      <c r="J2214" s="61" t="str">
        <f aca="false">IF(IsPro,IF(OR($C2214="",N($G2214)=0),"",IF(I2214=0,$G2214,0)),"")</f>
        <v/>
      </c>
      <c r="K2214" s="60" t="str">
        <f aca="false">IF(IsPro,IF($C2214="","",IF(AND(OR($C2214="Receipt",$C2214="Payment"),$D2214=""),"Party needed",IF(AND(OR($C2214="Expense",$C2214="Other Income"),$E2214=""),"Head needed",IF($F2214="","Account needed","OK")))),IF($C2214="","","PRO PLAN"))</f>
        <v/>
      </c>
    </row>
    <row r="2215" customFormat="false" ht="15" hidden="false" customHeight="false" outlineLevel="0" collapsed="false">
      <c r="A2215" s="55"/>
      <c r="B2215" s="56"/>
      <c r="C2215" s="56"/>
      <c r="D2215" s="56"/>
      <c r="E2215" s="56"/>
      <c r="F2215" s="56"/>
      <c r="G2215" s="58"/>
      <c r="H2215" s="56"/>
      <c r="I2215" s="61" t="str">
        <f aca="false">IF(IsPro,IF(OR($C2215="",N($G2215)=0),"",IF(OR($C2215="Receipt",$C2215="Other Income",$C2215="Capital In",$C2215="Transfer In"),$G2215,0)),"")</f>
        <v/>
      </c>
      <c r="J2215" s="61" t="str">
        <f aca="false">IF(IsPro,IF(OR($C2215="",N($G2215)=0),"",IF(I2215=0,$G2215,0)),"")</f>
        <v/>
      </c>
      <c r="K2215" s="60" t="str">
        <f aca="false">IF(IsPro,IF($C2215="","",IF(AND(OR($C2215="Receipt",$C2215="Payment"),$D2215=""),"Party needed",IF(AND(OR($C2215="Expense",$C2215="Other Income"),$E2215=""),"Head needed",IF($F2215="","Account needed","OK")))),IF($C2215="","","PRO PLAN"))</f>
        <v/>
      </c>
    </row>
    <row r="2216" customFormat="false" ht="15" hidden="false" customHeight="false" outlineLevel="0" collapsed="false">
      <c r="A2216" s="55"/>
      <c r="B2216" s="56"/>
      <c r="C2216" s="56"/>
      <c r="D2216" s="56"/>
      <c r="E2216" s="56"/>
      <c r="F2216" s="56"/>
      <c r="G2216" s="58"/>
      <c r="H2216" s="56"/>
      <c r="I2216" s="61" t="str">
        <f aca="false">IF(IsPro,IF(OR($C2216="",N($G2216)=0),"",IF(OR($C2216="Receipt",$C2216="Other Income",$C2216="Capital In",$C2216="Transfer In"),$G2216,0)),"")</f>
        <v/>
      </c>
      <c r="J2216" s="61" t="str">
        <f aca="false">IF(IsPro,IF(OR($C2216="",N($G2216)=0),"",IF(I2216=0,$G2216,0)),"")</f>
        <v/>
      </c>
      <c r="K2216" s="60" t="str">
        <f aca="false">IF(IsPro,IF($C2216="","",IF(AND(OR($C2216="Receipt",$C2216="Payment"),$D2216=""),"Party needed",IF(AND(OR($C2216="Expense",$C2216="Other Income"),$E2216=""),"Head needed",IF($F2216="","Account needed","OK")))),IF($C2216="","","PRO PLAN"))</f>
        <v/>
      </c>
    </row>
    <row r="2217" customFormat="false" ht="15" hidden="false" customHeight="false" outlineLevel="0" collapsed="false">
      <c r="A2217" s="55"/>
      <c r="B2217" s="56"/>
      <c r="C2217" s="56"/>
      <c r="D2217" s="56"/>
      <c r="E2217" s="56"/>
      <c r="F2217" s="56"/>
      <c r="G2217" s="58"/>
      <c r="H2217" s="56"/>
      <c r="I2217" s="61" t="str">
        <f aca="false">IF(IsPro,IF(OR($C2217="",N($G2217)=0),"",IF(OR($C2217="Receipt",$C2217="Other Income",$C2217="Capital In",$C2217="Transfer In"),$G2217,0)),"")</f>
        <v/>
      </c>
      <c r="J2217" s="61" t="str">
        <f aca="false">IF(IsPro,IF(OR($C2217="",N($G2217)=0),"",IF(I2217=0,$G2217,0)),"")</f>
        <v/>
      </c>
      <c r="K2217" s="60" t="str">
        <f aca="false">IF(IsPro,IF($C2217="","",IF(AND(OR($C2217="Receipt",$C2217="Payment"),$D2217=""),"Party needed",IF(AND(OR($C2217="Expense",$C2217="Other Income"),$E2217=""),"Head needed",IF($F2217="","Account needed","OK")))),IF($C2217="","","PRO PLAN"))</f>
        <v/>
      </c>
    </row>
    <row r="2218" customFormat="false" ht="15" hidden="false" customHeight="false" outlineLevel="0" collapsed="false">
      <c r="A2218" s="55"/>
      <c r="B2218" s="56"/>
      <c r="C2218" s="56"/>
      <c r="D2218" s="56"/>
      <c r="E2218" s="56"/>
      <c r="F2218" s="56"/>
      <c r="G2218" s="58"/>
      <c r="H2218" s="56"/>
      <c r="I2218" s="61" t="str">
        <f aca="false">IF(IsPro,IF(OR($C2218="",N($G2218)=0),"",IF(OR($C2218="Receipt",$C2218="Other Income",$C2218="Capital In",$C2218="Transfer In"),$G2218,0)),"")</f>
        <v/>
      </c>
      <c r="J2218" s="61" t="str">
        <f aca="false">IF(IsPro,IF(OR($C2218="",N($G2218)=0),"",IF(I2218=0,$G2218,0)),"")</f>
        <v/>
      </c>
      <c r="K2218" s="60" t="str">
        <f aca="false">IF(IsPro,IF($C2218="","",IF(AND(OR($C2218="Receipt",$C2218="Payment"),$D2218=""),"Party needed",IF(AND(OR($C2218="Expense",$C2218="Other Income"),$E2218=""),"Head needed",IF($F2218="","Account needed","OK")))),IF($C2218="","","PRO PLAN"))</f>
        <v/>
      </c>
    </row>
    <row r="2219" customFormat="false" ht="15" hidden="false" customHeight="false" outlineLevel="0" collapsed="false">
      <c r="A2219" s="55"/>
      <c r="B2219" s="56"/>
      <c r="C2219" s="56"/>
      <c r="D2219" s="56"/>
      <c r="E2219" s="56"/>
      <c r="F2219" s="56"/>
      <c r="G2219" s="58"/>
      <c r="H2219" s="56"/>
      <c r="I2219" s="61" t="str">
        <f aca="false">IF(IsPro,IF(OR($C2219="",N($G2219)=0),"",IF(OR($C2219="Receipt",$C2219="Other Income",$C2219="Capital In",$C2219="Transfer In"),$G2219,0)),"")</f>
        <v/>
      </c>
      <c r="J2219" s="61" t="str">
        <f aca="false">IF(IsPro,IF(OR($C2219="",N($G2219)=0),"",IF(I2219=0,$G2219,0)),"")</f>
        <v/>
      </c>
      <c r="K2219" s="60" t="str">
        <f aca="false">IF(IsPro,IF($C2219="","",IF(AND(OR($C2219="Receipt",$C2219="Payment"),$D2219=""),"Party needed",IF(AND(OR($C2219="Expense",$C2219="Other Income"),$E2219=""),"Head needed",IF($F2219="","Account needed","OK")))),IF($C2219="","","PRO PLAN"))</f>
        <v/>
      </c>
    </row>
    <row r="2220" customFormat="false" ht="15" hidden="false" customHeight="false" outlineLevel="0" collapsed="false">
      <c r="A2220" s="55"/>
      <c r="B2220" s="56"/>
      <c r="C2220" s="56"/>
      <c r="D2220" s="56"/>
      <c r="E2220" s="56"/>
      <c r="F2220" s="56"/>
      <c r="G2220" s="58"/>
      <c r="H2220" s="56"/>
      <c r="I2220" s="61" t="str">
        <f aca="false">IF(IsPro,IF(OR($C2220="",N($G2220)=0),"",IF(OR($C2220="Receipt",$C2220="Other Income",$C2220="Capital In",$C2220="Transfer In"),$G2220,0)),"")</f>
        <v/>
      </c>
      <c r="J2220" s="61" t="str">
        <f aca="false">IF(IsPro,IF(OR($C2220="",N($G2220)=0),"",IF(I2220=0,$G2220,0)),"")</f>
        <v/>
      </c>
      <c r="K2220" s="60" t="str">
        <f aca="false">IF(IsPro,IF($C2220="","",IF(AND(OR($C2220="Receipt",$C2220="Payment"),$D2220=""),"Party needed",IF(AND(OR($C2220="Expense",$C2220="Other Income"),$E2220=""),"Head needed",IF($F2220="","Account needed","OK")))),IF($C2220="","","PRO PLAN"))</f>
        <v/>
      </c>
    </row>
    <row r="2221" customFormat="false" ht="15" hidden="false" customHeight="false" outlineLevel="0" collapsed="false">
      <c r="A2221" s="55"/>
      <c r="B2221" s="56"/>
      <c r="C2221" s="56"/>
      <c r="D2221" s="56"/>
      <c r="E2221" s="56"/>
      <c r="F2221" s="56"/>
      <c r="G2221" s="58"/>
      <c r="H2221" s="56"/>
      <c r="I2221" s="61" t="str">
        <f aca="false">IF(IsPro,IF(OR($C2221="",N($G2221)=0),"",IF(OR($C2221="Receipt",$C2221="Other Income",$C2221="Capital In",$C2221="Transfer In"),$G2221,0)),"")</f>
        <v/>
      </c>
      <c r="J2221" s="61" t="str">
        <f aca="false">IF(IsPro,IF(OR($C2221="",N($G2221)=0),"",IF(I2221=0,$G2221,0)),"")</f>
        <v/>
      </c>
      <c r="K2221" s="60" t="str">
        <f aca="false">IF(IsPro,IF($C2221="","",IF(AND(OR($C2221="Receipt",$C2221="Payment"),$D2221=""),"Party needed",IF(AND(OR($C2221="Expense",$C2221="Other Income"),$E2221=""),"Head needed",IF($F2221="","Account needed","OK")))),IF($C2221="","","PRO PLAN"))</f>
        <v/>
      </c>
    </row>
    <row r="2222" customFormat="false" ht="15" hidden="false" customHeight="false" outlineLevel="0" collapsed="false">
      <c r="A2222" s="55"/>
      <c r="B2222" s="56"/>
      <c r="C2222" s="56"/>
      <c r="D2222" s="56"/>
      <c r="E2222" s="56"/>
      <c r="F2222" s="56"/>
      <c r="G2222" s="58"/>
      <c r="H2222" s="56"/>
      <c r="I2222" s="61" t="str">
        <f aca="false">IF(IsPro,IF(OR($C2222="",N($G2222)=0),"",IF(OR($C2222="Receipt",$C2222="Other Income",$C2222="Capital In",$C2222="Transfer In"),$G2222,0)),"")</f>
        <v/>
      </c>
      <c r="J2222" s="61" t="str">
        <f aca="false">IF(IsPro,IF(OR($C2222="",N($G2222)=0),"",IF(I2222=0,$G2222,0)),"")</f>
        <v/>
      </c>
      <c r="K2222" s="60" t="str">
        <f aca="false">IF(IsPro,IF($C2222="","",IF(AND(OR($C2222="Receipt",$C2222="Payment"),$D2222=""),"Party needed",IF(AND(OR($C2222="Expense",$C2222="Other Income"),$E2222=""),"Head needed",IF($F2222="","Account needed","OK")))),IF($C2222="","","PRO PLAN"))</f>
        <v/>
      </c>
    </row>
    <row r="2223" customFormat="false" ht="15" hidden="false" customHeight="false" outlineLevel="0" collapsed="false">
      <c r="A2223" s="55"/>
      <c r="B2223" s="56"/>
      <c r="C2223" s="56"/>
      <c r="D2223" s="56"/>
      <c r="E2223" s="56"/>
      <c r="F2223" s="56"/>
      <c r="G2223" s="58"/>
      <c r="H2223" s="56"/>
      <c r="I2223" s="61" t="str">
        <f aca="false">IF(IsPro,IF(OR($C2223="",N($G2223)=0),"",IF(OR($C2223="Receipt",$C2223="Other Income",$C2223="Capital In",$C2223="Transfer In"),$G2223,0)),"")</f>
        <v/>
      </c>
      <c r="J2223" s="61" t="str">
        <f aca="false">IF(IsPro,IF(OR($C2223="",N($G2223)=0),"",IF(I2223=0,$G2223,0)),"")</f>
        <v/>
      </c>
      <c r="K2223" s="60" t="str">
        <f aca="false">IF(IsPro,IF($C2223="","",IF(AND(OR($C2223="Receipt",$C2223="Payment"),$D2223=""),"Party needed",IF(AND(OR($C2223="Expense",$C2223="Other Income"),$E2223=""),"Head needed",IF($F2223="","Account needed","OK")))),IF($C2223="","","PRO PLAN"))</f>
        <v/>
      </c>
    </row>
    <row r="2224" customFormat="false" ht="15" hidden="false" customHeight="false" outlineLevel="0" collapsed="false">
      <c r="A2224" s="55"/>
      <c r="B2224" s="56"/>
      <c r="C2224" s="56"/>
      <c r="D2224" s="56"/>
      <c r="E2224" s="56"/>
      <c r="F2224" s="56"/>
      <c r="G2224" s="58"/>
      <c r="H2224" s="56"/>
      <c r="I2224" s="61" t="str">
        <f aca="false">IF(IsPro,IF(OR($C2224="",N($G2224)=0),"",IF(OR($C2224="Receipt",$C2224="Other Income",$C2224="Capital In",$C2224="Transfer In"),$G2224,0)),"")</f>
        <v/>
      </c>
      <c r="J2224" s="61" t="str">
        <f aca="false">IF(IsPro,IF(OR($C2224="",N($G2224)=0),"",IF(I2224=0,$G2224,0)),"")</f>
        <v/>
      </c>
      <c r="K2224" s="60" t="str">
        <f aca="false">IF(IsPro,IF($C2224="","",IF(AND(OR($C2224="Receipt",$C2224="Payment"),$D2224=""),"Party needed",IF(AND(OR($C2224="Expense",$C2224="Other Income"),$E2224=""),"Head needed",IF($F2224="","Account needed","OK")))),IF($C2224="","","PRO PLAN"))</f>
        <v/>
      </c>
    </row>
    <row r="2225" customFormat="false" ht="15" hidden="false" customHeight="false" outlineLevel="0" collapsed="false">
      <c r="A2225" s="55"/>
      <c r="B2225" s="56"/>
      <c r="C2225" s="56"/>
      <c r="D2225" s="56"/>
      <c r="E2225" s="56"/>
      <c r="F2225" s="56"/>
      <c r="G2225" s="58"/>
      <c r="H2225" s="56"/>
      <c r="I2225" s="61" t="str">
        <f aca="false">IF(IsPro,IF(OR($C2225="",N($G2225)=0),"",IF(OR($C2225="Receipt",$C2225="Other Income",$C2225="Capital In",$C2225="Transfer In"),$G2225,0)),"")</f>
        <v/>
      </c>
      <c r="J2225" s="61" t="str">
        <f aca="false">IF(IsPro,IF(OR($C2225="",N($G2225)=0),"",IF(I2225=0,$G2225,0)),"")</f>
        <v/>
      </c>
      <c r="K2225" s="60" t="str">
        <f aca="false">IF(IsPro,IF($C2225="","",IF(AND(OR($C2225="Receipt",$C2225="Payment"),$D2225=""),"Party needed",IF(AND(OR($C2225="Expense",$C2225="Other Income"),$E2225=""),"Head needed",IF($F2225="","Account needed","OK")))),IF($C2225="","","PRO PLAN"))</f>
        <v/>
      </c>
    </row>
    <row r="2226" customFormat="false" ht="15" hidden="false" customHeight="false" outlineLevel="0" collapsed="false">
      <c r="A2226" s="55"/>
      <c r="B2226" s="56"/>
      <c r="C2226" s="56"/>
      <c r="D2226" s="56"/>
      <c r="E2226" s="56"/>
      <c r="F2226" s="56"/>
      <c r="G2226" s="58"/>
      <c r="H2226" s="56"/>
      <c r="I2226" s="61" t="str">
        <f aca="false">IF(IsPro,IF(OR($C2226="",N($G2226)=0),"",IF(OR($C2226="Receipt",$C2226="Other Income",$C2226="Capital In",$C2226="Transfer In"),$G2226,0)),"")</f>
        <v/>
      </c>
      <c r="J2226" s="61" t="str">
        <f aca="false">IF(IsPro,IF(OR($C2226="",N($G2226)=0),"",IF(I2226=0,$G2226,0)),"")</f>
        <v/>
      </c>
      <c r="K2226" s="60" t="str">
        <f aca="false">IF(IsPro,IF($C2226="","",IF(AND(OR($C2226="Receipt",$C2226="Payment"),$D2226=""),"Party needed",IF(AND(OR($C2226="Expense",$C2226="Other Income"),$E2226=""),"Head needed",IF($F2226="","Account needed","OK")))),IF($C2226="","","PRO PLAN"))</f>
        <v/>
      </c>
    </row>
    <row r="2227" customFormat="false" ht="15" hidden="false" customHeight="false" outlineLevel="0" collapsed="false">
      <c r="A2227" s="55"/>
      <c r="B2227" s="56"/>
      <c r="C2227" s="56"/>
      <c r="D2227" s="56"/>
      <c r="E2227" s="56"/>
      <c r="F2227" s="56"/>
      <c r="G2227" s="58"/>
      <c r="H2227" s="56"/>
      <c r="I2227" s="61" t="str">
        <f aca="false">IF(IsPro,IF(OR($C2227="",N($G2227)=0),"",IF(OR($C2227="Receipt",$C2227="Other Income",$C2227="Capital In",$C2227="Transfer In"),$G2227,0)),"")</f>
        <v/>
      </c>
      <c r="J2227" s="61" t="str">
        <f aca="false">IF(IsPro,IF(OR($C2227="",N($G2227)=0),"",IF(I2227=0,$G2227,0)),"")</f>
        <v/>
      </c>
      <c r="K2227" s="60" t="str">
        <f aca="false">IF(IsPro,IF($C2227="","",IF(AND(OR($C2227="Receipt",$C2227="Payment"),$D2227=""),"Party needed",IF(AND(OR($C2227="Expense",$C2227="Other Income"),$E2227=""),"Head needed",IF($F2227="","Account needed","OK")))),IF($C2227="","","PRO PLAN"))</f>
        <v/>
      </c>
    </row>
    <row r="2228" customFormat="false" ht="15" hidden="false" customHeight="false" outlineLevel="0" collapsed="false">
      <c r="A2228" s="55"/>
      <c r="B2228" s="56"/>
      <c r="C2228" s="56"/>
      <c r="D2228" s="56"/>
      <c r="E2228" s="56"/>
      <c r="F2228" s="56"/>
      <c r="G2228" s="58"/>
      <c r="H2228" s="56"/>
      <c r="I2228" s="61" t="str">
        <f aca="false">IF(IsPro,IF(OR($C2228="",N($G2228)=0),"",IF(OR($C2228="Receipt",$C2228="Other Income",$C2228="Capital In",$C2228="Transfer In"),$G2228,0)),"")</f>
        <v/>
      </c>
      <c r="J2228" s="61" t="str">
        <f aca="false">IF(IsPro,IF(OR($C2228="",N($G2228)=0),"",IF(I2228=0,$G2228,0)),"")</f>
        <v/>
      </c>
      <c r="K2228" s="60" t="str">
        <f aca="false">IF(IsPro,IF($C2228="","",IF(AND(OR($C2228="Receipt",$C2228="Payment"),$D2228=""),"Party needed",IF(AND(OR($C2228="Expense",$C2228="Other Income"),$E2228=""),"Head needed",IF($F2228="","Account needed","OK")))),IF($C2228="","","PRO PLAN"))</f>
        <v/>
      </c>
    </row>
    <row r="2229" customFormat="false" ht="15" hidden="false" customHeight="false" outlineLevel="0" collapsed="false">
      <c r="A2229" s="55"/>
      <c r="B2229" s="56"/>
      <c r="C2229" s="56"/>
      <c r="D2229" s="56"/>
      <c r="E2229" s="56"/>
      <c r="F2229" s="56"/>
      <c r="G2229" s="58"/>
      <c r="H2229" s="56"/>
      <c r="I2229" s="61" t="str">
        <f aca="false">IF(IsPro,IF(OR($C2229="",N($G2229)=0),"",IF(OR($C2229="Receipt",$C2229="Other Income",$C2229="Capital In",$C2229="Transfer In"),$G2229,0)),"")</f>
        <v/>
      </c>
      <c r="J2229" s="61" t="str">
        <f aca="false">IF(IsPro,IF(OR($C2229="",N($G2229)=0),"",IF(I2229=0,$G2229,0)),"")</f>
        <v/>
      </c>
      <c r="K2229" s="60" t="str">
        <f aca="false">IF(IsPro,IF($C2229="","",IF(AND(OR($C2229="Receipt",$C2229="Payment"),$D2229=""),"Party needed",IF(AND(OR($C2229="Expense",$C2229="Other Income"),$E2229=""),"Head needed",IF($F2229="","Account needed","OK")))),IF($C2229="","","PRO PLAN"))</f>
        <v/>
      </c>
    </row>
    <row r="2230" customFormat="false" ht="15" hidden="false" customHeight="false" outlineLevel="0" collapsed="false">
      <c r="A2230" s="55"/>
      <c r="B2230" s="56"/>
      <c r="C2230" s="56"/>
      <c r="D2230" s="56"/>
      <c r="E2230" s="56"/>
      <c r="F2230" s="56"/>
      <c r="G2230" s="58"/>
      <c r="H2230" s="56"/>
      <c r="I2230" s="61" t="str">
        <f aca="false">IF(IsPro,IF(OR($C2230="",N($G2230)=0),"",IF(OR($C2230="Receipt",$C2230="Other Income",$C2230="Capital In",$C2230="Transfer In"),$G2230,0)),"")</f>
        <v/>
      </c>
      <c r="J2230" s="61" t="str">
        <f aca="false">IF(IsPro,IF(OR($C2230="",N($G2230)=0),"",IF(I2230=0,$G2230,0)),"")</f>
        <v/>
      </c>
      <c r="K2230" s="60" t="str">
        <f aca="false">IF(IsPro,IF($C2230="","",IF(AND(OR($C2230="Receipt",$C2230="Payment"),$D2230=""),"Party needed",IF(AND(OR($C2230="Expense",$C2230="Other Income"),$E2230=""),"Head needed",IF($F2230="","Account needed","OK")))),IF($C2230="","","PRO PLAN"))</f>
        <v/>
      </c>
    </row>
    <row r="2231" customFormat="false" ht="15" hidden="false" customHeight="false" outlineLevel="0" collapsed="false">
      <c r="A2231" s="55"/>
      <c r="B2231" s="56"/>
      <c r="C2231" s="56"/>
      <c r="D2231" s="56"/>
      <c r="E2231" s="56"/>
      <c r="F2231" s="56"/>
      <c r="G2231" s="58"/>
      <c r="H2231" s="56"/>
      <c r="I2231" s="61" t="str">
        <f aca="false">IF(IsPro,IF(OR($C2231="",N($G2231)=0),"",IF(OR($C2231="Receipt",$C2231="Other Income",$C2231="Capital In",$C2231="Transfer In"),$G2231,0)),"")</f>
        <v/>
      </c>
      <c r="J2231" s="61" t="str">
        <f aca="false">IF(IsPro,IF(OR($C2231="",N($G2231)=0),"",IF(I2231=0,$G2231,0)),"")</f>
        <v/>
      </c>
      <c r="K2231" s="60" t="str">
        <f aca="false">IF(IsPro,IF($C2231="","",IF(AND(OR($C2231="Receipt",$C2231="Payment"),$D2231=""),"Party needed",IF(AND(OR($C2231="Expense",$C2231="Other Income"),$E2231=""),"Head needed",IF($F2231="","Account needed","OK")))),IF($C2231="","","PRO PLAN"))</f>
        <v/>
      </c>
    </row>
    <row r="2232" customFormat="false" ht="15" hidden="false" customHeight="false" outlineLevel="0" collapsed="false">
      <c r="A2232" s="55"/>
      <c r="B2232" s="56"/>
      <c r="C2232" s="56"/>
      <c r="D2232" s="56"/>
      <c r="E2232" s="56"/>
      <c r="F2232" s="56"/>
      <c r="G2232" s="58"/>
      <c r="H2232" s="56"/>
      <c r="I2232" s="61" t="str">
        <f aca="false">IF(IsPro,IF(OR($C2232="",N($G2232)=0),"",IF(OR($C2232="Receipt",$C2232="Other Income",$C2232="Capital In",$C2232="Transfer In"),$G2232,0)),"")</f>
        <v/>
      </c>
      <c r="J2232" s="61" t="str">
        <f aca="false">IF(IsPro,IF(OR($C2232="",N($G2232)=0),"",IF(I2232=0,$G2232,0)),"")</f>
        <v/>
      </c>
      <c r="K2232" s="60" t="str">
        <f aca="false">IF(IsPro,IF($C2232="","",IF(AND(OR($C2232="Receipt",$C2232="Payment"),$D2232=""),"Party needed",IF(AND(OR($C2232="Expense",$C2232="Other Income"),$E2232=""),"Head needed",IF($F2232="","Account needed","OK")))),IF($C2232="","","PRO PLAN"))</f>
        <v/>
      </c>
    </row>
    <row r="2233" customFormat="false" ht="15" hidden="false" customHeight="false" outlineLevel="0" collapsed="false">
      <c r="A2233" s="55"/>
      <c r="B2233" s="56"/>
      <c r="C2233" s="56"/>
      <c r="D2233" s="56"/>
      <c r="E2233" s="56"/>
      <c r="F2233" s="56"/>
      <c r="G2233" s="58"/>
      <c r="H2233" s="56"/>
      <c r="I2233" s="61" t="str">
        <f aca="false">IF(IsPro,IF(OR($C2233="",N($G2233)=0),"",IF(OR($C2233="Receipt",$C2233="Other Income",$C2233="Capital In",$C2233="Transfer In"),$G2233,0)),"")</f>
        <v/>
      </c>
      <c r="J2233" s="61" t="str">
        <f aca="false">IF(IsPro,IF(OR($C2233="",N($G2233)=0),"",IF(I2233=0,$G2233,0)),"")</f>
        <v/>
      </c>
      <c r="K2233" s="60" t="str">
        <f aca="false">IF(IsPro,IF($C2233="","",IF(AND(OR($C2233="Receipt",$C2233="Payment"),$D2233=""),"Party needed",IF(AND(OR($C2233="Expense",$C2233="Other Income"),$E2233=""),"Head needed",IF($F2233="","Account needed","OK")))),IF($C2233="","","PRO PLAN"))</f>
        <v/>
      </c>
    </row>
    <row r="2234" customFormat="false" ht="15" hidden="false" customHeight="false" outlineLevel="0" collapsed="false">
      <c r="A2234" s="55"/>
      <c r="B2234" s="56"/>
      <c r="C2234" s="56"/>
      <c r="D2234" s="56"/>
      <c r="E2234" s="56"/>
      <c r="F2234" s="56"/>
      <c r="G2234" s="58"/>
      <c r="H2234" s="56"/>
      <c r="I2234" s="61" t="str">
        <f aca="false">IF(IsPro,IF(OR($C2234="",N($G2234)=0),"",IF(OR($C2234="Receipt",$C2234="Other Income",$C2234="Capital In",$C2234="Transfer In"),$G2234,0)),"")</f>
        <v/>
      </c>
      <c r="J2234" s="61" t="str">
        <f aca="false">IF(IsPro,IF(OR($C2234="",N($G2234)=0),"",IF(I2234=0,$G2234,0)),"")</f>
        <v/>
      </c>
      <c r="K2234" s="60" t="str">
        <f aca="false">IF(IsPro,IF($C2234="","",IF(AND(OR($C2234="Receipt",$C2234="Payment"),$D2234=""),"Party needed",IF(AND(OR($C2234="Expense",$C2234="Other Income"),$E2234=""),"Head needed",IF($F2234="","Account needed","OK")))),IF($C2234="","","PRO PLAN"))</f>
        <v/>
      </c>
    </row>
    <row r="2235" customFormat="false" ht="15" hidden="false" customHeight="false" outlineLevel="0" collapsed="false">
      <c r="A2235" s="55"/>
      <c r="B2235" s="56"/>
      <c r="C2235" s="56"/>
      <c r="D2235" s="56"/>
      <c r="E2235" s="56"/>
      <c r="F2235" s="56"/>
      <c r="G2235" s="58"/>
      <c r="H2235" s="56"/>
      <c r="I2235" s="61" t="str">
        <f aca="false">IF(IsPro,IF(OR($C2235="",N($G2235)=0),"",IF(OR($C2235="Receipt",$C2235="Other Income",$C2235="Capital In",$C2235="Transfer In"),$G2235,0)),"")</f>
        <v/>
      </c>
      <c r="J2235" s="61" t="str">
        <f aca="false">IF(IsPro,IF(OR($C2235="",N($G2235)=0),"",IF(I2235=0,$G2235,0)),"")</f>
        <v/>
      </c>
      <c r="K2235" s="60" t="str">
        <f aca="false">IF(IsPro,IF($C2235="","",IF(AND(OR($C2235="Receipt",$C2235="Payment"),$D2235=""),"Party needed",IF(AND(OR($C2235="Expense",$C2235="Other Income"),$E2235=""),"Head needed",IF($F2235="","Account needed","OK")))),IF($C2235="","","PRO PLAN"))</f>
        <v/>
      </c>
    </row>
    <row r="2236" customFormat="false" ht="15" hidden="false" customHeight="false" outlineLevel="0" collapsed="false">
      <c r="A2236" s="55"/>
      <c r="B2236" s="56"/>
      <c r="C2236" s="56"/>
      <c r="D2236" s="56"/>
      <c r="E2236" s="56"/>
      <c r="F2236" s="56"/>
      <c r="G2236" s="58"/>
      <c r="H2236" s="56"/>
      <c r="I2236" s="61" t="str">
        <f aca="false">IF(IsPro,IF(OR($C2236="",N($G2236)=0),"",IF(OR($C2236="Receipt",$C2236="Other Income",$C2236="Capital In",$C2236="Transfer In"),$G2236,0)),"")</f>
        <v/>
      </c>
      <c r="J2236" s="61" t="str">
        <f aca="false">IF(IsPro,IF(OR($C2236="",N($G2236)=0),"",IF(I2236=0,$G2236,0)),"")</f>
        <v/>
      </c>
      <c r="K2236" s="60" t="str">
        <f aca="false">IF(IsPro,IF($C2236="","",IF(AND(OR($C2236="Receipt",$C2236="Payment"),$D2236=""),"Party needed",IF(AND(OR($C2236="Expense",$C2236="Other Income"),$E2236=""),"Head needed",IF($F2236="","Account needed","OK")))),IF($C2236="","","PRO PLAN"))</f>
        <v/>
      </c>
    </row>
    <row r="2237" customFormat="false" ht="15" hidden="false" customHeight="false" outlineLevel="0" collapsed="false">
      <c r="A2237" s="55"/>
      <c r="B2237" s="56"/>
      <c r="C2237" s="56"/>
      <c r="D2237" s="56"/>
      <c r="E2237" s="56"/>
      <c r="F2237" s="56"/>
      <c r="G2237" s="58"/>
      <c r="H2237" s="56"/>
      <c r="I2237" s="61" t="str">
        <f aca="false">IF(IsPro,IF(OR($C2237="",N($G2237)=0),"",IF(OR($C2237="Receipt",$C2237="Other Income",$C2237="Capital In",$C2237="Transfer In"),$G2237,0)),"")</f>
        <v/>
      </c>
      <c r="J2237" s="61" t="str">
        <f aca="false">IF(IsPro,IF(OR($C2237="",N($G2237)=0),"",IF(I2237=0,$G2237,0)),"")</f>
        <v/>
      </c>
      <c r="K2237" s="60" t="str">
        <f aca="false">IF(IsPro,IF($C2237="","",IF(AND(OR($C2237="Receipt",$C2237="Payment"),$D2237=""),"Party needed",IF(AND(OR($C2237="Expense",$C2237="Other Income"),$E2237=""),"Head needed",IF($F2237="","Account needed","OK")))),IF($C2237="","","PRO PLAN"))</f>
        <v/>
      </c>
    </row>
    <row r="2238" customFormat="false" ht="15" hidden="false" customHeight="false" outlineLevel="0" collapsed="false">
      <c r="A2238" s="55"/>
      <c r="B2238" s="56"/>
      <c r="C2238" s="56"/>
      <c r="D2238" s="56"/>
      <c r="E2238" s="56"/>
      <c r="F2238" s="56"/>
      <c r="G2238" s="58"/>
      <c r="H2238" s="56"/>
      <c r="I2238" s="61" t="str">
        <f aca="false">IF(IsPro,IF(OR($C2238="",N($G2238)=0),"",IF(OR($C2238="Receipt",$C2238="Other Income",$C2238="Capital In",$C2238="Transfer In"),$G2238,0)),"")</f>
        <v/>
      </c>
      <c r="J2238" s="61" t="str">
        <f aca="false">IF(IsPro,IF(OR($C2238="",N($G2238)=0),"",IF(I2238=0,$G2238,0)),"")</f>
        <v/>
      </c>
      <c r="K2238" s="60" t="str">
        <f aca="false">IF(IsPro,IF($C2238="","",IF(AND(OR($C2238="Receipt",$C2238="Payment"),$D2238=""),"Party needed",IF(AND(OR($C2238="Expense",$C2238="Other Income"),$E2238=""),"Head needed",IF($F2238="","Account needed","OK")))),IF($C2238="","","PRO PLAN"))</f>
        <v/>
      </c>
    </row>
    <row r="2239" customFormat="false" ht="15" hidden="false" customHeight="false" outlineLevel="0" collapsed="false">
      <c r="A2239" s="55"/>
      <c r="B2239" s="56"/>
      <c r="C2239" s="56"/>
      <c r="D2239" s="56"/>
      <c r="E2239" s="56"/>
      <c r="F2239" s="56"/>
      <c r="G2239" s="58"/>
      <c r="H2239" s="56"/>
      <c r="I2239" s="61" t="str">
        <f aca="false">IF(IsPro,IF(OR($C2239="",N($G2239)=0),"",IF(OR($C2239="Receipt",$C2239="Other Income",$C2239="Capital In",$C2239="Transfer In"),$G2239,0)),"")</f>
        <v/>
      </c>
      <c r="J2239" s="61" t="str">
        <f aca="false">IF(IsPro,IF(OR($C2239="",N($G2239)=0),"",IF(I2239=0,$G2239,0)),"")</f>
        <v/>
      </c>
      <c r="K2239" s="60" t="str">
        <f aca="false">IF(IsPro,IF($C2239="","",IF(AND(OR($C2239="Receipt",$C2239="Payment"),$D2239=""),"Party needed",IF(AND(OR($C2239="Expense",$C2239="Other Income"),$E2239=""),"Head needed",IF($F2239="","Account needed","OK")))),IF($C2239="","","PRO PLAN"))</f>
        <v/>
      </c>
    </row>
    <row r="2240" customFormat="false" ht="15" hidden="false" customHeight="false" outlineLevel="0" collapsed="false">
      <c r="A2240" s="55"/>
      <c r="B2240" s="56"/>
      <c r="C2240" s="56"/>
      <c r="D2240" s="56"/>
      <c r="E2240" s="56"/>
      <c r="F2240" s="56"/>
      <c r="G2240" s="58"/>
      <c r="H2240" s="56"/>
      <c r="I2240" s="61" t="str">
        <f aca="false">IF(IsPro,IF(OR($C2240="",N($G2240)=0),"",IF(OR($C2240="Receipt",$C2240="Other Income",$C2240="Capital In",$C2240="Transfer In"),$G2240,0)),"")</f>
        <v/>
      </c>
      <c r="J2240" s="61" t="str">
        <f aca="false">IF(IsPro,IF(OR($C2240="",N($G2240)=0),"",IF(I2240=0,$G2240,0)),"")</f>
        <v/>
      </c>
      <c r="K2240" s="60" t="str">
        <f aca="false">IF(IsPro,IF($C2240="","",IF(AND(OR($C2240="Receipt",$C2240="Payment"),$D2240=""),"Party needed",IF(AND(OR($C2240="Expense",$C2240="Other Income"),$E2240=""),"Head needed",IF($F2240="","Account needed","OK")))),IF($C2240="","","PRO PLAN"))</f>
        <v/>
      </c>
    </row>
    <row r="2241" customFormat="false" ht="15" hidden="false" customHeight="false" outlineLevel="0" collapsed="false">
      <c r="A2241" s="55"/>
      <c r="B2241" s="56"/>
      <c r="C2241" s="56"/>
      <c r="D2241" s="56"/>
      <c r="E2241" s="56"/>
      <c r="F2241" s="56"/>
      <c r="G2241" s="58"/>
      <c r="H2241" s="56"/>
      <c r="I2241" s="61" t="str">
        <f aca="false">IF(IsPro,IF(OR($C2241="",N($G2241)=0),"",IF(OR($C2241="Receipt",$C2241="Other Income",$C2241="Capital In",$C2241="Transfer In"),$G2241,0)),"")</f>
        <v/>
      </c>
      <c r="J2241" s="61" t="str">
        <f aca="false">IF(IsPro,IF(OR($C2241="",N($G2241)=0),"",IF(I2241=0,$G2241,0)),"")</f>
        <v/>
      </c>
      <c r="K2241" s="60" t="str">
        <f aca="false">IF(IsPro,IF($C2241="","",IF(AND(OR($C2241="Receipt",$C2241="Payment"),$D2241=""),"Party needed",IF(AND(OR($C2241="Expense",$C2241="Other Income"),$E2241=""),"Head needed",IF($F2241="","Account needed","OK")))),IF($C2241="","","PRO PLAN"))</f>
        <v/>
      </c>
    </row>
    <row r="2242" customFormat="false" ht="15" hidden="false" customHeight="false" outlineLevel="0" collapsed="false">
      <c r="A2242" s="55"/>
      <c r="B2242" s="56"/>
      <c r="C2242" s="56"/>
      <c r="D2242" s="56"/>
      <c r="E2242" s="56"/>
      <c r="F2242" s="56"/>
      <c r="G2242" s="58"/>
      <c r="H2242" s="56"/>
      <c r="I2242" s="61" t="str">
        <f aca="false">IF(IsPro,IF(OR($C2242="",N($G2242)=0),"",IF(OR($C2242="Receipt",$C2242="Other Income",$C2242="Capital In",$C2242="Transfer In"),$G2242,0)),"")</f>
        <v/>
      </c>
      <c r="J2242" s="61" t="str">
        <f aca="false">IF(IsPro,IF(OR($C2242="",N($G2242)=0),"",IF(I2242=0,$G2242,0)),"")</f>
        <v/>
      </c>
      <c r="K2242" s="60" t="str">
        <f aca="false">IF(IsPro,IF($C2242="","",IF(AND(OR($C2242="Receipt",$C2242="Payment"),$D2242=""),"Party needed",IF(AND(OR($C2242="Expense",$C2242="Other Income"),$E2242=""),"Head needed",IF($F2242="","Account needed","OK")))),IF($C2242="","","PRO PLAN"))</f>
        <v/>
      </c>
    </row>
    <row r="2243" customFormat="false" ht="15" hidden="false" customHeight="false" outlineLevel="0" collapsed="false">
      <c r="A2243" s="55"/>
      <c r="B2243" s="56"/>
      <c r="C2243" s="56"/>
      <c r="D2243" s="56"/>
      <c r="E2243" s="56"/>
      <c r="F2243" s="56"/>
      <c r="G2243" s="58"/>
      <c r="H2243" s="56"/>
      <c r="I2243" s="61" t="str">
        <f aca="false">IF(IsPro,IF(OR($C2243="",N($G2243)=0),"",IF(OR($C2243="Receipt",$C2243="Other Income",$C2243="Capital In",$C2243="Transfer In"),$G2243,0)),"")</f>
        <v/>
      </c>
      <c r="J2243" s="61" t="str">
        <f aca="false">IF(IsPro,IF(OR($C2243="",N($G2243)=0),"",IF(I2243=0,$G2243,0)),"")</f>
        <v/>
      </c>
      <c r="K2243" s="60" t="str">
        <f aca="false">IF(IsPro,IF($C2243="","",IF(AND(OR($C2243="Receipt",$C2243="Payment"),$D2243=""),"Party needed",IF(AND(OR($C2243="Expense",$C2243="Other Income"),$E2243=""),"Head needed",IF($F2243="","Account needed","OK")))),IF($C2243="","","PRO PLAN"))</f>
        <v/>
      </c>
    </row>
    <row r="2244" customFormat="false" ht="15" hidden="false" customHeight="false" outlineLevel="0" collapsed="false">
      <c r="A2244" s="55"/>
      <c r="B2244" s="56"/>
      <c r="C2244" s="56"/>
      <c r="D2244" s="56"/>
      <c r="E2244" s="56"/>
      <c r="F2244" s="56"/>
      <c r="G2244" s="58"/>
      <c r="H2244" s="56"/>
      <c r="I2244" s="61" t="str">
        <f aca="false">IF(IsPro,IF(OR($C2244="",N($G2244)=0),"",IF(OR($C2244="Receipt",$C2244="Other Income",$C2244="Capital In",$C2244="Transfer In"),$G2244,0)),"")</f>
        <v/>
      </c>
      <c r="J2244" s="61" t="str">
        <f aca="false">IF(IsPro,IF(OR($C2244="",N($G2244)=0),"",IF(I2244=0,$G2244,0)),"")</f>
        <v/>
      </c>
      <c r="K2244" s="60" t="str">
        <f aca="false">IF(IsPro,IF($C2244="","",IF(AND(OR($C2244="Receipt",$C2244="Payment"),$D2244=""),"Party needed",IF(AND(OR($C2244="Expense",$C2244="Other Income"),$E2244=""),"Head needed",IF($F2244="","Account needed","OK")))),IF($C2244="","","PRO PLAN"))</f>
        <v/>
      </c>
    </row>
    <row r="2245" customFormat="false" ht="15" hidden="false" customHeight="false" outlineLevel="0" collapsed="false">
      <c r="A2245" s="55"/>
      <c r="B2245" s="56"/>
      <c r="C2245" s="56"/>
      <c r="D2245" s="56"/>
      <c r="E2245" s="56"/>
      <c r="F2245" s="56"/>
      <c r="G2245" s="58"/>
      <c r="H2245" s="56"/>
      <c r="I2245" s="61" t="str">
        <f aca="false">IF(IsPro,IF(OR($C2245="",N($G2245)=0),"",IF(OR($C2245="Receipt",$C2245="Other Income",$C2245="Capital In",$C2245="Transfer In"),$G2245,0)),"")</f>
        <v/>
      </c>
      <c r="J2245" s="61" t="str">
        <f aca="false">IF(IsPro,IF(OR($C2245="",N($G2245)=0),"",IF(I2245=0,$G2245,0)),"")</f>
        <v/>
      </c>
      <c r="K2245" s="60" t="str">
        <f aca="false">IF(IsPro,IF($C2245="","",IF(AND(OR($C2245="Receipt",$C2245="Payment"),$D2245=""),"Party needed",IF(AND(OR($C2245="Expense",$C2245="Other Income"),$E2245=""),"Head needed",IF($F2245="","Account needed","OK")))),IF($C2245="","","PRO PLAN"))</f>
        <v/>
      </c>
    </row>
    <row r="2246" customFormat="false" ht="15" hidden="false" customHeight="false" outlineLevel="0" collapsed="false">
      <c r="A2246" s="55"/>
      <c r="B2246" s="56"/>
      <c r="C2246" s="56"/>
      <c r="D2246" s="56"/>
      <c r="E2246" s="56"/>
      <c r="F2246" s="56"/>
      <c r="G2246" s="58"/>
      <c r="H2246" s="56"/>
      <c r="I2246" s="61" t="str">
        <f aca="false">IF(IsPro,IF(OR($C2246="",N($G2246)=0),"",IF(OR($C2246="Receipt",$C2246="Other Income",$C2246="Capital In",$C2246="Transfer In"),$G2246,0)),"")</f>
        <v/>
      </c>
      <c r="J2246" s="61" t="str">
        <f aca="false">IF(IsPro,IF(OR($C2246="",N($G2246)=0),"",IF(I2246=0,$G2246,0)),"")</f>
        <v/>
      </c>
      <c r="K2246" s="60" t="str">
        <f aca="false">IF(IsPro,IF($C2246="","",IF(AND(OR($C2246="Receipt",$C2246="Payment"),$D2246=""),"Party needed",IF(AND(OR($C2246="Expense",$C2246="Other Income"),$E2246=""),"Head needed",IF($F2246="","Account needed","OK")))),IF($C2246="","","PRO PLAN"))</f>
        <v/>
      </c>
    </row>
    <row r="2247" customFormat="false" ht="15" hidden="false" customHeight="false" outlineLevel="0" collapsed="false">
      <c r="A2247" s="55"/>
      <c r="B2247" s="56"/>
      <c r="C2247" s="56"/>
      <c r="D2247" s="56"/>
      <c r="E2247" s="56"/>
      <c r="F2247" s="56"/>
      <c r="G2247" s="58"/>
      <c r="H2247" s="56"/>
      <c r="I2247" s="61" t="str">
        <f aca="false">IF(IsPro,IF(OR($C2247="",N($G2247)=0),"",IF(OR($C2247="Receipt",$C2247="Other Income",$C2247="Capital In",$C2247="Transfer In"),$G2247,0)),"")</f>
        <v/>
      </c>
      <c r="J2247" s="61" t="str">
        <f aca="false">IF(IsPro,IF(OR($C2247="",N($G2247)=0),"",IF(I2247=0,$G2247,0)),"")</f>
        <v/>
      </c>
      <c r="K2247" s="60" t="str">
        <f aca="false">IF(IsPro,IF($C2247="","",IF(AND(OR($C2247="Receipt",$C2247="Payment"),$D2247=""),"Party needed",IF(AND(OR($C2247="Expense",$C2247="Other Income"),$E2247=""),"Head needed",IF($F2247="","Account needed","OK")))),IF($C2247="","","PRO PLAN"))</f>
        <v/>
      </c>
    </row>
    <row r="2248" customFormat="false" ht="15" hidden="false" customHeight="false" outlineLevel="0" collapsed="false">
      <c r="A2248" s="55"/>
      <c r="B2248" s="56"/>
      <c r="C2248" s="56"/>
      <c r="D2248" s="56"/>
      <c r="E2248" s="56"/>
      <c r="F2248" s="56"/>
      <c r="G2248" s="58"/>
      <c r="H2248" s="56"/>
      <c r="I2248" s="61" t="str">
        <f aca="false">IF(IsPro,IF(OR($C2248="",N($G2248)=0),"",IF(OR($C2248="Receipt",$C2248="Other Income",$C2248="Capital In",$C2248="Transfer In"),$G2248,0)),"")</f>
        <v/>
      </c>
      <c r="J2248" s="61" t="str">
        <f aca="false">IF(IsPro,IF(OR($C2248="",N($G2248)=0),"",IF(I2248=0,$G2248,0)),"")</f>
        <v/>
      </c>
      <c r="K2248" s="60" t="str">
        <f aca="false">IF(IsPro,IF($C2248="","",IF(AND(OR($C2248="Receipt",$C2248="Payment"),$D2248=""),"Party needed",IF(AND(OR($C2248="Expense",$C2248="Other Income"),$E2248=""),"Head needed",IF($F2248="","Account needed","OK")))),IF($C2248="","","PRO PLAN"))</f>
        <v/>
      </c>
    </row>
    <row r="2249" customFormat="false" ht="15" hidden="false" customHeight="false" outlineLevel="0" collapsed="false">
      <c r="A2249" s="55"/>
      <c r="B2249" s="56"/>
      <c r="C2249" s="56"/>
      <c r="D2249" s="56"/>
      <c r="E2249" s="56"/>
      <c r="F2249" s="56"/>
      <c r="G2249" s="58"/>
      <c r="H2249" s="56"/>
      <c r="I2249" s="61" t="str">
        <f aca="false">IF(IsPro,IF(OR($C2249="",N($G2249)=0),"",IF(OR($C2249="Receipt",$C2249="Other Income",$C2249="Capital In",$C2249="Transfer In"),$G2249,0)),"")</f>
        <v/>
      </c>
      <c r="J2249" s="61" t="str">
        <f aca="false">IF(IsPro,IF(OR($C2249="",N($G2249)=0),"",IF(I2249=0,$G2249,0)),"")</f>
        <v/>
      </c>
      <c r="K2249" s="60" t="str">
        <f aca="false">IF(IsPro,IF($C2249="","",IF(AND(OR($C2249="Receipt",$C2249="Payment"),$D2249=""),"Party needed",IF(AND(OR($C2249="Expense",$C2249="Other Income"),$E2249=""),"Head needed",IF($F2249="","Account needed","OK")))),IF($C2249="","","PRO PLAN"))</f>
        <v/>
      </c>
    </row>
    <row r="2250" customFormat="false" ht="15" hidden="false" customHeight="false" outlineLevel="0" collapsed="false">
      <c r="A2250" s="55"/>
      <c r="B2250" s="56"/>
      <c r="C2250" s="56"/>
      <c r="D2250" s="56"/>
      <c r="E2250" s="56"/>
      <c r="F2250" s="56"/>
      <c r="G2250" s="58"/>
      <c r="H2250" s="56"/>
      <c r="I2250" s="61" t="str">
        <f aca="false">IF(IsPro,IF(OR($C2250="",N($G2250)=0),"",IF(OR($C2250="Receipt",$C2250="Other Income",$C2250="Capital In",$C2250="Transfer In"),$G2250,0)),"")</f>
        <v/>
      </c>
      <c r="J2250" s="61" t="str">
        <f aca="false">IF(IsPro,IF(OR($C2250="",N($G2250)=0),"",IF(I2250=0,$G2250,0)),"")</f>
        <v/>
      </c>
      <c r="K2250" s="60" t="str">
        <f aca="false">IF(IsPro,IF($C2250="","",IF(AND(OR($C2250="Receipt",$C2250="Payment"),$D2250=""),"Party needed",IF(AND(OR($C2250="Expense",$C2250="Other Income"),$E2250=""),"Head needed",IF($F2250="","Account needed","OK")))),IF($C2250="","","PRO PLAN"))</f>
        <v/>
      </c>
    </row>
    <row r="2251" customFormat="false" ht="15" hidden="false" customHeight="false" outlineLevel="0" collapsed="false">
      <c r="A2251" s="55"/>
      <c r="B2251" s="56"/>
      <c r="C2251" s="56"/>
      <c r="D2251" s="56"/>
      <c r="E2251" s="56"/>
      <c r="F2251" s="56"/>
      <c r="G2251" s="58"/>
      <c r="H2251" s="56"/>
      <c r="I2251" s="61" t="str">
        <f aca="false">IF(IsPro,IF(OR($C2251="",N($G2251)=0),"",IF(OR($C2251="Receipt",$C2251="Other Income",$C2251="Capital In",$C2251="Transfer In"),$G2251,0)),"")</f>
        <v/>
      </c>
      <c r="J2251" s="61" t="str">
        <f aca="false">IF(IsPro,IF(OR($C2251="",N($G2251)=0),"",IF(I2251=0,$G2251,0)),"")</f>
        <v/>
      </c>
      <c r="K2251" s="60" t="str">
        <f aca="false">IF(IsPro,IF($C2251="","",IF(AND(OR($C2251="Receipt",$C2251="Payment"),$D2251=""),"Party needed",IF(AND(OR($C2251="Expense",$C2251="Other Income"),$E2251=""),"Head needed",IF($F2251="","Account needed","OK")))),IF($C2251="","","PRO PLAN"))</f>
        <v/>
      </c>
    </row>
    <row r="2252" customFormat="false" ht="15" hidden="false" customHeight="false" outlineLevel="0" collapsed="false">
      <c r="A2252" s="55"/>
      <c r="B2252" s="56"/>
      <c r="C2252" s="56"/>
      <c r="D2252" s="56"/>
      <c r="E2252" s="56"/>
      <c r="F2252" s="56"/>
      <c r="G2252" s="58"/>
      <c r="H2252" s="56"/>
      <c r="I2252" s="61" t="str">
        <f aca="false">IF(IsPro,IF(OR($C2252="",N($G2252)=0),"",IF(OR($C2252="Receipt",$C2252="Other Income",$C2252="Capital In",$C2252="Transfer In"),$G2252,0)),"")</f>
        <v/>
      </c>
      <c r="J2252" s="61" t="str">
        <f aca="false">IF(IsPro,IF(OR($C2252="",N($G2252)=0),"",IF(I2252=0,$G2252,0)),"")</f>
        <v/>
      </c>
      <c r="K2252" s="60" t="str">
        <f aca="false">IF(IsPro,IF($C2252="","",IF(AND(OR($C2252="Receipt",$C2252="Payment"),$D2252=""),"Party needed",IF(AND(OR($C2252="Expense",$C2252="Other Income"),$E2252=""),"Head needed",IF($F2252="","Account needed","OK")))),IF($C2252="","","PRO PLAN"))</f>
        <v/>
      </c>
    </row>
    <row r="2253" customFormat="false" ht="15" hidden="false" customHeight="false" outlineLevel="0" collapsed="false">
      <c r="A2253" s="55"/>
      <c r="B2253" s="56"/>
      <c r="C2253" s="56"/>
      <c r="D2253" s="56"/>
      <c r="E2253" s="56"/>
      <c r="F2253" s="56"/>
      <c r="G2253" s="58"/>
      <c r="H2253" s="56"/>
      <c r="I2253" s="61" t="str">
        <f aca="false">IF(IsPro,IF(OR($C2253="",N($G2253)=0),"",IF(OR($C2253="Receipt",$C2253="Other Income",$C2253="Capital In",$C2253="Transfer In"),$G2253,0)),"")</f>
        <v/>
      </c>
      <c r="J2253" s="61" t="str">
        <f aca="false">IF(IsPro,IF(OR($C2253="",N($G2253)=0),"",IF(I2253=0,$G2253,0)),"")</f>
        <v/>
      </c>
      <c r="K2253" s="60" t="str">
        <f aca="false">IF(IsPro,IF($C2253="","",IF(AND(OR($C2253="Receipt",$C2253="Payment"),$D2253=""),"Party needed",IF(AND(OR($C2253="Expense",$C2253="Other Income"),$E2253=""),"Head needed",IF($F2253="","Account needed","OK")))),IF($C2253="","","PRO PLAN"))</f>
        <v/>
      </c>
    </row>
    <row r="2254" customFormat="false" ht="15" hidden="false" customHeight="false" outlineLevel="0" collapsed="false">
      <c r="A2254" s="55"/>
      <c r="B2254" s="56"/>
      <c r="C2254" s="56"/>
      <c r="D2254" s="56"/>
      <c r="E2254" s="56"/>
      <c r="F2254" s="56"/>
      <c r="G2254" s="58"/>
      <c r="H2254" s="56"/>
      <c r="I2254" s="61" t="str">
        <f aca="false">IF(IsPro,IF(OR($C2254="",N($G2254)=0),"",IF(OR($C2254="Receipt",$C2254="Other Income",$C2254="Capital In",$C2254="Transfer In"),$G2254,0)),"")</f>
        <v/>
      </c>
      <c r="J2254" s="61" t="str">
        <f aca="false">IF(IsPro,IF(OR($C2254="",N($G2254)=0),"",IF(I2254=0,$G2254,0)),"")</f>
        <v/>
      </c>
      <c r="K2254" s="60" t="str">
        <f aca="false">IF(IsPro,IF($C2254="","",IF(AND(OR($C2254="Receipt",$C2254="Payment"),$D2254=""),"Party needed",IF(AND(OR($C2254="Expense",$C2254="Other Income"),$E2254=""),"Head needed",IF($F2254="","Account needed","OK")))),IF($C2254="","","PRO PLAN"))</f>
        <v/>
      </c>
    </row>
    <row r="2255" customFormat="false" ht="15" hidden="false" customHeight="false" outlineLevel="0" collapsed="false">
      <c r="A2255" s="55"/>
      <c r="B2255" s="56"/>
      <c r="C2255" s="56"/>
      <c r="D2255" s="56"/>
      <c r="E2255" s="56"/>
      <c r="F2255" s="56"/>
      <c r="G2255" s="58"/>
      <c r="H2255" s="56"/>
      <c r="I2255" s="61" t="str">
        <f aca="false">IF(IsPro,IF(OR($C2255="",N($G2255)=0),"",IF(OR($C2255="Receipt",$C2255="Other Income",$C2255="Capital In",$C2255="Transfer In"),$G2255,0)),"")</f>
        <v/>
      </c>
      <c r="J2255" s="61" t="str">
        <f aca="false">IF(IsPro,IF(OR($C2255="",N($G2255)=0),"",IF(I2255=0,$G2255,0)),"")</f>
        <v/>
      </c>
      <c r="K2255" s="60" t="str">
        <f aca="false">IF(IsPro,IF($C2255="","",IF(AND(OR($C2255="Receipt",$C2255="Payment"),$D2255=""),"Party needed",IF(AND(OR($C2255="Expense",$C2255="Other Income"),$E2255=""),"Head needed",IF($F2255="","Account needed","OK")))),IF($C2255="","","PRO PLAN"))</f>
        <v/>
      </c>
    </row>
    <row r="2256" customFormat="false" ht="15" hidden="false" customHeight="false" outlineLevel="0" collapsed="false">
      <c r="A2256" s="55"/>
      <c r="B2256" s="56"/>
      <c r="C2256" s="56"/>
      <c r="D2256" s="56"/>
      <c r="E2256" s="56"/>
      <c r="F2256" s="56"/>
      <c r="G2256" s="58"/>
      <c r="H2256" s="56"/>
      <c r="I2256" s="61" t="str">
        <f aca="false">IF(IsPro,IF(OR($C2256="",N($G2256)=0),"",IF(OR($C2256="Receipt",$C2256="Other Income",$C2256="Capital In",$C2256="Transfer In"),$G2256,0)),"")</f>
        <v/>
      </c>
      <c r="J2256" s="61" t="str">
        <f aca="false">IF(IsPro,IF(OR($C2256="",N($G2256)=0),"",IF(I2256=0,$G2256,0)),"")</f>
        <v/>
      </c>
      <c r="K2256" s="60" t="str">
        <f aca="false">IF(IsPro,IF($C2256="","",IF(AND(OR($C2256="Receipt",$C2256="Payment"),$D2256=""),"Party needed",IF(AND(OR($C2256="Expense",$C2256="Other Income"),$E2256=""),"Head needed",IF($F2256="","Account needed","OK")))),IF($C2256="","","PRO PLAN"))</f>
        <v/>
      </c>
    </row>
    <row r="2257" customFormat="false" ht="15" hidden="false" customHeight="false" outlineLevel="0" collapsed="false">
      <c r="A2257" s="55"/>
      <c r="B2257" s="56"/>
      <c r="C2257" s="56"/>
      <c r="D2257" s="56"/>
      <c r="E2257" s="56"/>
      <c r="F2257" s="56"/>
      <c r="G2257" s="58"/>
      <c r="H2257" s="56"/>
      <c r="I2257" s="61" t="str">
        <f aca="false">IF(IsPro,IF(OR($C2257="",N($G2257)=0),"",IF(OR($C2257="Receipt",$C2257="Other Income",$C2257="Capital In",$C2257="Transfer In"),$G2257,0)),"")</f>
        <v/>
      </c>
      <c r="J2257" s="61" t="str">
        <f aca="false">IF(IsPro,IF(OR($C2257="",N($G2257)=0),"",IF(I2257=0,$G2257,0)),"")</f>
        <v/>
      </c>
      <c r="K2257" s="60" t="str">
        <f aca="false">IF(IsPro,IF($C2257="","",IF(AND(OR($C2257="Receipt",$C2257="Payment"),$D2257=""),"Party needed",IF(AND(OR($C2257="Expense",$C2257="Other Income"),$E2257=""),"Head needed",IF($F2257="","Account needed","OK")))),IF($C2257="","","PRO PLAN"))</f>
        <v/>
      </c>
    </row>
    <row r="2258" customFormat="false" ht="15" hidden="false" customHeight="false" outlineLevel="0" collapsed="false">
      <c r="A2258" s="55"/>
      <c r="B2258" s="56"/>
      <c r="C2258" s="56"/>
      <c r="D2258" s="56"/>
      <c r="E2258" s="56"/>
      <c r="F2258" s="56"/>
      <c r="G2258" s="58"/>
      <c r="H2258" s="56"/>
      <c r="I2258" s="61" t="str">
        <f aca="false">IF(IsPro,IF(OR($C2258="",N($G2258)=0),"",IF(OR($C2258="Receipt",$C2258="Other Income",$C2258="Capital In",$C2258="Transfer In"),$G2258,0)),"")</f>
        <v/>
      </c>
      <c r="J2258" s="61" t="str">
        <f aca="false">IF(IsPro,IF(OR($C2258="",N($G2258)=0),"",IF(I2258=0,$G2258,0)),"")</f>
        <v/>
      </c>
      <c r="K2258" s="60" t="str">
        <f aca="false">IF(IsPro,IF($C2258="","",IF(AND(OR($C2258="Receipt",$C2258="Payment"),$D2258=""),"Party needed",IF(AND(OR($C2258="Expense",$C2258="Other Income"),$E2258=""),"Head needed",IF($F2258="","Account needed","OK")))),IF($C2258="","","PRO PLAN"))</f>
        <v/>
      </c>
    </row>
    <row r="2259" customFormat="false" ht="15" hidden="false" customHeight="false" outlineLevel="0" collapsed="false">
      <c r="A2259" s="55"/>
      <c r="B2259" s="56"/>
      <c r="C2259" s="56"/>
      <c r="D2259" s="56"/>
      <c r="E2259" s="56"/>
      <c r="F2259" s="56"/>
      <c r="G2259" s="58"/>
      <c r="H2259" s="56"/>
      <c r="I2259" s="61" t="str">
        <f aca="false">IF(IsPro,IF(OR($C2259="",N($G2259)=0),"",IF(OR($C2259="Receipt",$C2259="Other Income",$C2259="Capital In",$C2259="Transfer In"),$G2259,0)),"")</f>
        <v/>
      </c>
      <c r="J2259" s="61" t="str">
        <f aca="false">IF(IsPro,IF(OR($C2259="",N($G2259)=0),"",IF(I2259=0,$G2259,0)),"")</f>
        <v/>
      </c>
      <c r="K2259" s="60" t="str">
        <f aca="false">IF(IsPro,IF($C2259="","",IF(AND(OR($C2259="Receipt",$C2259="Payment"),$D2259=""),"Party needed",IF(AND(OR($C2259="Expense",$C2259="Other Income"),$E2259=""),"Head needed",IF($F2259="","Account needed","OK")))),IF($C2259="","","PRO PLAN"))</f>
        <v/>
      </c>
    </row>
    <row r="2260" customFormat="false" ht="15" hidden="false" customHeight="false" outlineLevel="0" collapsed="false">
      <c r="A2260" s="55"/>
      <c r="B2260" s="56"/>
      <c r="C2260" s="56"/>
      <c r="D2260" s="56"/>
      <c r="E2260" s="56"/>
      <c r="F2260" s="56"/>
      <c r="G2260" s="58"/>
      <c r="H2260" s="56"/>
      <c r="I2260" s="61" t="str">
        <f aca="false">IF(IsPro,IF(OR($C2260="",N($G2260)=0),"",IF(OR($C2260="Receipt",$C2260="Other Income",$C2260="Capital In",$C2260="Transfer In"),$G2260,0)),"")</f>
        <v/>
      </c>
      <c r="J2260" s="61" t="str">
        <f aca="false">IF(IsPro,IF(OR($C2260="",N($G2260)=0),"",IF(I2260=0,$G2260,0)),"")</f>
        <v/>
      </c>
      <c r="K2260" s="60" t="str">
        <f aca="false">IF(IsPro,IF($C2260="","",IF(AND(OR($C2260="Receipt",$C2260="Payment"),$D2260=""),"Party needed",IF(AND(OR($C2260="Expense",$C2260="Other Income"),$E2260=""),"Head needed",IF($F2260="","Account needed","OK")))),IF($C2260="","","PRO PLAN"))</f>
        <v/>
      </c>
    </row>
    <row r="2261" customFormat="false" ht="15" hidden="false" customHeight="false" outlineLevel="0" collapsed="false">
      <c r="A2261" s="55"/>
      <c r="B2261" s="56"/>
      <c r="C2261" s="56"/>
      <c r="D2261" s="56"/>
      <c r="E2261" s="56"/>
      <c r="F2261" s="56"/>
      <c r="G2261" s="58"/>
      <c r="H2261" s="56"/>
      <c r="I2261" s="61" t="str">
        <f aca="false">IF(IsPro,IF(OR($C2261="",N($G2261)=0),"",IF(OR($C2261="Receipt",$C2261="Other Income",$C2261="Capital In",$C2261="Transfer In"),$G2261,0)),"")</f>
        <v/>
      </c>
      <c r="J2261" s="61" t="str">
        <f aca="false">IF(IsPro,IF(OR($C2261="",N($G2261)=0),"",IF(I2261=0,$G2261,0)),"")</f>
        <v/>
      </c>
      <c r="K2261" s="60" t="str">
        <f aca="false">IF(IsPro,IF($C2261="","",IF(AND(OR($C2261="Receipt",$C2261="Payment"),$D2261=""),"Party needed",IF(AND(OR($C2261="Expense",$C2261="Other Income"),$E2261=""),"Head needed",IF($F2261="","Account needed","OK")))),IF($C2261="","","PRO PLAN"))</f>
        <v/>
      </c>
    </row>
    <row r="2262" customFormat="false" ht="15" hidden="false" customHeight="false" outlineLevel="0" collapsed="false">
      <c r="A2262" s="55"/>
      <c r="B2262" s="56"/>
      <c r="C2262" s="56"/>
      <c r="D2262" s="56"/>
      <c r="E2262" s="56"/>
      <c r="F2262" s="56"/>
      <c r="G2262" s="58"/>
      <c r="H2262" s="56"/>
      <c r="I2262" s="61" t="str">
        <f aca="false">IF(IsPro,IF(OR($C2262="",N($G2262)=0),"",IF(OR($C2262="Receipt",$C2262="Other Income",$C2262="Capital In",$C2262="Transfer In"),$G2262,0)),"")</f>
        <v/>
      </c>
      <c r="J2262" s="61" t="str">
        <f aca="false">IF(IsPro,IF(OR($C2262="",N($G2262)=0),"",IF(I2262=0,$G2262,0)),"")</f>
        <v/>
      </c>
      <c r="K2262" s="60" t="str">
        <f aca="false">IF(IsPro,IF($C2262="","",IF(AND(OR($C2262="Receipt",$C2262="Payment"),$D2262=""),"Party needed",IF(AND(OR($C2262="Expense",$C2262="Other Income"),$E2262=""),"Head needed",IF($F2262="","Account needed","OK")))),IF($C2262="","","PRO PLAN"))</f>
        <v/>
      </c>
    </row>
    <row r="2263" customFormat="false" ht="15" hidden="false" customHeight="false" outlineLevel="0" collapsed="false">
      <c r="A2263" s="55"/>
      <c r="B2263" s="56"/>
      <c r="C2263" s="56"/>
      <c r="D2263" s="56"/>
      <c r="E2263" s="56"/>
      <c r="F2263" s="56"/>
      <c r="G2263" s="58"/>
      <c r="H2263" s="56"/>
      <c r="I2263" s="61" t="str">
        <f aca="false">IF(IsPro,IF(OR($C2263="",N($G2263)=0),"",IF(OR($C2263="Receipt",$C2263="Other Income",$C2263="Capital In",$C2263="Transfer In"),$G2263,0)),"")</f>
        <v/>
      </c>
      <c r="J2263" s="61" t="str">
        <f aca="false">IF(IsPro,IF(OR($C2263="",N($G2263)=0),"",IF(I2263=0,$G2263,0)),"")</f>
        <v/>
      </c>
      <c r="K2263" s="60" t="str">
        <f aca="false">IF(IsPro,IF($C2263="","",IF(AND(OR($C2263="Receipt",$C2263="Payment"),$D2263=""),"Party needed",IF(AND(OR($C2263="Expense",$C2263="Other Income"),$E2263=""),"Head needed",IF($F2263="","Account needed","OK")))),IF($C2263="","","PRO PLAN"))</f>
        <v/>
      </c>
    </row>
    <row r="2264" customFormat="false" ht="15" hidden="false" customHeight="false" outlineLevel="0" collapsed="false">
      <c r="A2264" s="55"/>
      <c r="B2264" s="56"/>
      <c r="C2264" s="56"/>
      <c r="D2264" s="56"/>
      <c r="E2264" s="56"/>
      <c r="F2264" s="56"/>
      <c r="G2264" s="58"/>
      <c r="H2264" s="56"/>
      <c r="I2264" s="61" t="str">
        <f aca="false">IF(IsPro,IF(OR($C2264="",N($G2264)=0),"",IF(OR($C2264="Receipt",$C2264="Other Income",$C2264="Capital In",$C2264="Transfer In"),$G2264,0)),"")</f>
        <v/>
      </c>
      <c r="J2264" s="61" t="str">
        <f aca="false">IF(IsPro,IF(OR($C2264="",N($G2264)=0),"",IF(I2264=0,$G2264,0)),"")</f>
        <v/>
      </c>
      <c r="K2264" s="60" t="str">
        <f aca="false">IF(IsPro,IF($C2264="","",IF(AND(OR($C2264="Receipt",$C2264="Payment"),$D2264=""),"Party needed",IF(AND(OR($C2264="Expense",$C2264="Other Income"),$E2264=""),"Head needed",IF($F2264="","Account needed","OK")))),IF($C2264="","","PRO PLAN"))</f>
        <v/>
      </c>
    </row>
    <row r="2265" customFormat="false" ht="15" hidden="false" customHeight="false" outlineLevel="0" collapsed="false">
      <c r="A2265" s="55"/>
      <c r="B2265" s="56"/>
      <c r="C2265" s="56"/>
      <c r="D2265" s="56"/>
      <c r="E2265" s="56"/>
      <c r="F2265" s="56"/>
      <c r="G2265" s="58"/>
      <c r="H2265" s="56"/>
      <c r="I2265" s="61" t="str">
        <f aca="false">IF(IsPro,IF(OR($C2265="",N($G2265)=0),"",IF(OR($C2265="Receipt",$C2265="Other Income",$C2265="Capital In",$C2265="Transfer In"),$G2265,0)),"")</f>
        <v/>
      </c>
      <c r="J2265" s="61" t="str">
        <f aca="false">IF(IsPro,IF(OR($C2265="",N($G2265)=0),"",IF(I2265=0,$G2265,0)),"")</f>
        <v/>
      </c>
      <c r="K2265" s="60" t="str">
        <f aca="false">IF(IsPro,IF($C2265="","",IF(AND(OR($C2265="Receipt",$C2265="Payment"),$D2265=""),"Party needed",IF(AND(OR($C2265="Expense",$C2265="Other Income"),$E2265=""),"Head needed",IF($F2265="","Account needed","OK")))),IF($C2265="","","PRO PLAN"))</f>
        <v/>
      </c>
    </row>
    <row r="2266" customFormat="false" ht="15" hidden="false" customHeight="false" outlineLevel="0" collapsed="false">
      <c r="A2266" s="55"/>
      <c r="B2266" s="56"/>
      <c r="C2266" s="56"/>
      <c r="D2266" s="56"/>
      <c r="E2266" s="56"/>
      <c r="F2266" s="56"/>
      <c r="G2266" s="58"/>
      <c r="H2266" s="56"/>
      <c r="I2266" s="61" t="str">
        <f aca="false">IF(IsPro,IF(OR($C2266="",N($G2266)=0),"",IF(OR($C2266="Receipt",$C2266="Other Income",$C2266="Capital In",$C2266="Transfer In"),$G2266,0)),"")</f>
        <v/>
      </c>
      <c r="J2266" s="61" t="str">
        <f aca="false">IF(IsPro,IF(OR($C2266="",N($G2266)=0),"",IF(I2266=0,$G2266,0)),"")</f>
        <v/>
      </c>
      <c r="K2266" s="60" t="str">
        <f aca="false">IF(IsPro,IF($C2266="","",IF(AND(OR($C2266="Receipt",$C2266="Payment"),$D2266=""),"Party needed",IF(AND(OR($C2266="Expense",$C2266="Other Income"),$E2266=""),"Head needed",IF($F2266="","Account needed","OK")))),IF($C2266="","","PRO PLAN"))</f>
        <v/>
      </c>
    </row>
    <row r="2267" customFormat="false" ht="15" hidden="false" customHeight="false" outlineLevel="0" collapsed="false">
      <c r="A2267" s="55"/>
      <c r="B2267" s="56"/>
      <c r="C2267" s="56"/>
      <c r="D2267" s="56"/>
      <c r="E2267" s="56"/>
      <c r="F2267" s="56"/>
      <c r="G2267" s="58"/>
      <c r="H2267" s="56"/>
      <c r="I2267" s="61" t="str">
        <f aca="false">IF(IsPro,IF(OR($C2267="",N($G2267)=0),"",IF(OR($C2267="Receipt",$C2267="Other Income",$C2267="Capital In",$C2267="Transfer In"),$G2267,0)),"")</f>
        <v/>
      </c>
      <c r="J2267" s="61" t="str">
        <f aca="false">IF(IsPro,IF(OR($C2267="",N($G2267)=0),"",IF(I2267=0,$G2267,0)),"")</f>
        <v/>
      </c>
      <c r="K2267" s="60" t="str">
        <f aca="false">IF(IsPro,IF($C2267="","",IF(AND(OR($C2267="Receipt",$C2267="Payment"),$D2267=""),"Party needed",IF(AND(OR($C2267="Expense",$C2267="Other Income"),$E2267=""),"Head needed",IF($F2267="","Account needed","OK")))),IF($C2267="","","PRO PLAN"))</f>
        <v/>
      </c>
    </row>
    <row r="2268" customFormat="false" ht="15" hidden="false" customHeight="false" outlineLevel="0" collapsed="false">
      <c r="A2268" s="55"/>
      <c r="B2268" s="56"/>
      <c r="C2268" s="56"/>
      <c r="D2268" s="56"/>
      <c r="E2268" s="56"/>
      <c r="F2268" s="56"/>
      <c r="G2268" s="58"/>
      <c r="H2268" s="56"/>
      <c r="I2268" s="61" t="str">
        <f aca="false">IF(IsPro,IF(OR($C2268="",N($G2268)=0),"",IF(OR($C2268="Receipt",$C2268="Other Income",$C2268="Capital In",$C2268="Transfer In"),$G2268,0)),"")</f>
        <v/>
      </c>
      <c r="J2268" s="61" t="str">
        <f aca="false">IF(IsPro,IF(OR($C2268="",N($G2268)=0),"",IF(I2268=0,$G2268,0)),"")</f>
        <v/>
      </c>
      <c r="K2268" s="60" t="str">
        <f aca="false">IF(IsPro,IF($C2268="","",IF(AND(OR($C2268="Receipt",$C2268="Payment"),$D2268=""),"Party needed",IF(AND(OR($C2268="Expense",$C2268="Other Income"),$E2268=""),"Head needed",IF($F2268="","Account needed","OK")))),IF($C2268="","","PRO PLAN"))</f>
        <v/>
      </c>
    </row>
    <row r="2269" customFormat="false" ht="15" hidden="false" customHeight="false" outlineLevel="0" collapsed="false">
      <c r="A2269" s="55"/>
      <c r="B2269" s="56"/>
      <c r="C2269" s="56"/>
      <c r="D2269" s="56"/>
      <c r="E2269" s="56"/>
      <c r="F2269" s="56"/>
      <c r="G2269" s="58"/>
      <c r="H2269" s="56"/>
      <c r="I2269" s="61" t="str">
        <f aca="false">IF(IsPro,IF(OR($C2269="",N($G2269)=0),"",IF(OR($C2269="Receipt",$C2269="Other Income",$C2269="Capital In",$C2269="Transfer In"),$G2269,0)),"")</f>
        <v/>
      </c>
      <c r="J2269" s="61" t="str">
        <f aca="false">IF(IsPro,IF(OR($C2269="",N($G2269)=0),"",IF(I2269=0,$G2269,0)),"")</f>
        <v/>
      </c>
      <c r="K2269" s="60" t="str">
        <f aca="false">IF(IsPro,IF($C2269="","",IF(AND(OR($C2269="Receipt",$C2269="Payment"),$D2269=""),"Party needed",IF(AND(OR($C2269="Expense",$C2269="Other Income"),$E2269=""),"Head needed",IF($F2269="","Account needed","OK")))),IF($C2269="","","PRO PLAN"))</f>
        <v/>
      </c>
    </row>
    <row r="2270" customFormat="false" ht="15" hidden="false" customHeight="false" outlineLevel="0" collapsed="false">
      <c r="A2270" s="55"/>
      <c r="B2270" s="56"/>
      <c r="C2270" s="56"/>
      <c r="D2270" s="56"/>
      <c r="E2270" s="56"/>
      <c r="F2270" s="56"/>
      <c r="G2270" s="58"/>
      <c r="H2270" s="56"/>
      <c r="I2270" s="61" t="str">
        <f aca="false">IF(IsPro,IF(OR($C2270="",N($G2270)=0),"",IF(OR($C2270="Receipt",$C2270="Other Income",$C2270="Capital In",$C2270="Transfer In"),$G2270,0)),"")</f>
        <v/>
      </c>
      <c r="J2270" s="61" t="str">
        <f aca="false">IF(IsPro,IF(OR($C2270="",N($G2270)=0),"",IF(I2270=0,$G2270,0)),"")</f>
        <v/>
      </c>
      <c r="K2270" s="60" t="str">
        <f aca="false">IF(IsPro,IF($C2270="","",IF(AND(OR($C2270="Receipt",$C2270="Payment"),$D2270=""),"Party needed",IF(AND(OR($C2270="Expense",$C2270="Other Income"),$E2270=""),"Head needed",IF($F2270="","Account needed","OK")))),IF($C2270="","","PRO PLAN"))</f>
        <v/>
      </c>
    </row>
    <row r="2271" customFormat="false" ht="15" hidden="false" customHeight="false" outlineLevel="0" collapsed="false">
      <c r="A2271" s="55"/>
      <c r="B2271" s="56"/>
      <c r="C2271" s="56"/>
      <c r="D2271" s="56"/>
      <c r="E2271" s="56"/>
      <c r="F2271" s="56"/>
      <c r="G2271" s="58"/>
      <c r="H2271" s="56"/>
      <c r="I2271" s="61" t="str">
        <f aca="false">IF(IsPro,IF(OR($C2271="",N($G2271)=0),"",IF(OR($C2271="Receipt",$C2271="Other Income",$C2271="Capital In",$C2271="Transfer In"),$G2271,0)),"")</f>
        <v/>
      </c>
      <c r="J2271" s="61" t="str">
        <f aca="false">IF(IsPro,IF(OR($C2271="",N($G2271)=0),"",IF(I2271=0,$G2271,0)),"")</f>
        <v/>
      </c>
      <c r="K2271" s="60" t="str">
        <f aca="false">IF(IsPro,IF($C2271="","",IF(AND(OR($C2271="Receipt",$C2271="Payment"),$D2271=""),"Party needed",IF(AND(OR($C2271="Expense",$C2271="Other Income"),$E2271=""),"Head needed",IF($F2271="","Account needed","OK")))),IF($C2271="","","PRO PLAN"))</f>
        <v/>
      </c>
    </row>
    <row r="2272" customFormat="false" ht="15" hidden="false" customHeight="false" outlineLevel="0" collapsed="false">
      <c r="A2272" s="55"/>
      <c r="B2272" s="56"/>
      <c r="C2272" s="56"/>
      <c r="D2272" s="56"/>
      <c r="E2272" s="56"/>
      <c r="F2272" s="56"/>
      <c r="G2272" s="58"/>
      <c r="H2272" s="56"/>
      <c r="I2272" s="61" t="str">
        <f aca="false">IF(IsPro,IF(OR($C2272="",N($G2272)=0),"",IF(OR($C2272="Receipt",$C2272="Other Income",$C2272="Capital In",$C2272="Transfer In"),$G2272,0)),"")</f>
        <v/>
      </c>
      <c r="J2272" s="61" t="str">
        <f aca="false">IF(IsPro,IF(OR($C2272="",N($G2272)=0),"",IF(I2272=0,$G2272,0)),"")</f>
        <v/>
      </c>
      <c r="K2272" s="60" t="str">
        <f aca="false">IF(IsPro,IF($C2272="","",IF(AND(OR($C2272="Receipt",$C2272="Payment"),$D2272=""),"Party needed",IF(AND(OR($C2272="Expense",$C2272="Other Income"),$E2272=""),"Head needed",IF($F2272="","Account needed","OK")))),IF($C2272="","","PRO PLAN"))</f>
        <v/>
      </c>
    </row>
    <row r="2273" customFormat="false" ht="15" hidden="false" customHeight="false" outlineLevel="0" collapsed="false">
      <c r="A2273" s="55"/>
      <c r="B2273" s="56"/>
      <c r="C2273" s="56"/>
      <c r="D2273" s="56"/>
      <c r="E2273" s="56"/>
      <c r="F2273" s="56"/>
      <c r="G2273" s="58"/>
      <c r="H2273" s="56"/>
      <c r="I2273" s="61" t="str">
        <f aca="false">IF(IsPro,IF(OR($C2273="",N($G2273)=0),"",IF(OR($C2273="Receipt",$C2273="Other Income",$C2273="Capital In",$C2273="Transfer In"),$G2273,0)),"")</f>
        <v/>
      </c>
      <c r="J2273" s="61" t="str">
        <f aca="false">IF(IsPro,IF(OR($C2273="",N($G2273)=0),"",IF(I2273=0,$G2273,0)),"")</f>
        <v/>
      </c>
      <c r="K2273" s="60" t="str">
        <f aca="false">IF(IsPro,IF($C2273="","",IF(AND(OR($C2273="Receipt",$C2273="Payment"),$D2273=""),"Party needed",IF(AND(OR($C2273="Expense",$C2273="Other Income"),$E2273=""),"Head needed",IF($F2273="","Account needed","OK")))),IF($C2273="","","PRO PLAN"))</f>
        <v/>
      </c>
    </row>
    <row r="2274" customFormat="false" ht="15" hidden="false" customHeight="false" outlineLevel="0" collapsed="false">
      <c r="A2274" s="55"/>
      <c r="B2274" s="56"/>
      <c r="C2274" s="56"/>
      <c r="D2274" s="56"/>
      <c r="E2274" s="56"/>
      <c r="F2274" s="56"/>
      <c r="G2274" s="58"/>
      <c r="H2274" s="56"/>
      <c r="I2274" s="61" t="str">
        <f aca="false">IF(IsPro,IF(OR($C2274="",N($G2274)=0),"",IF(OR($C2274="Receipt",$C2274="Other Income",$C2274="Capital In",$C2274="Transfer In"),$G2274,0)),"")</f>
        <v/>
      </c>
      <c r="J2274" s="61" t="str">
        <f aca="false">IF(IsPro,IF(OR($C2274="",N($G2274)=0),"",IF(I2274=0,$G2274,0)),"")</f>
        <v/>
      </c>
      <c r="K2274" s="60" t="str">
        <f aca="false">IF(IsPro,IF($C2274="","",IF(AND(OR($C2274="Receipt",$C2274="Payment"),$D2274=""),"Party needed",IF(AND(OR($C2274="Expense",$C2274="Other Income"),$E2274=""),"Head needed",IF($F2274="","Account needed","OK")))),IF($C2274="","","PRO PLAN"))</f>
        <v/>
      </c>
    </row>
    <row r="2275" customFormat="false" ht="15" hidden="false" customHeight="false" outlineLevel="0" collapsed="false">
      <c r="A2275" s="55"/>
      <c r="B2275" s="56"/>
      <c r="C2275" s="56"/>
      <c r="D2275" s="56"/>
      <c r="E2275" s="56"/>
      <c r="F2275" s="56"/>
      <c r="G2275" s="58"/>
      <c r="H2275" s="56"/>
      <c r="I2275" s="61" t="str">
        <f aca="false">IF(IsPro,IF(OR($C2275="",N($G2275)=0),"",IF(OR($C2275="Receipt",$C2275="Other Income",$C2275="Capital In",$C2275="Transfer In"),$G2275,0)),"")</f>
        <v/>
      </c>
      <c r="J2275" s="61" t="str">
        <f aca="false">IF(IsPro,IF(OR($C2275="",N($G2275)=0),"",IF(I2275=0,$G2275,0)),"")</f>
        <v/>
      </c>
      <c r="K2275" s="60" t="str">
        <f aca="false">IF(IsPro,IF($C2275="","",IF(AND(OR($C2275="Receipt",$C2275="Payment"),$D2275=""),"Party needed",IF(AND(OR($C2275="Expense",$C2275="Other Income"),$E2275=""),"Head needed",IF($F2275="","Account needed","OK")))),IF($C2275="","","PRO PLAN"))</f>
        <v/>
      </c>
    </row>
    <row r="2276" customFormat="false" ht="15" hidden="false" customHeight="false" outlineLevel="0" collapsed="false">
      <c r="A2276" s="55"/>
      <c r="B2276" s="56"/>
      <c r="C2276" s="56"/>
      <c r="D2276" s="56"/>
      <c r="E2276" s="56"/>
      <c r="F2276" s="56"/>
      <c r="G2276" s="58"/>
      <c r="H2276" s="56"/>
      <c r="I2276" s="61" t="str">
        <f aca="false">IF(IsPro,IF(OR($C2276="",N($G2276)=0),"",IF(OR($C2276="Receipt",$C2276="Other Income",$C2276="Capital In",$C2276="Transfer In"),$G2276,0)),"")</f>
        <v/>
      </c>
      <c r="J2276" s="61" t="str">
        <f aca="false">IF(IsPro,IF(OR($C2276="",N($G2276)=0),"",IF(I2276=0,$G2276,0)),"")</f>
        <v/>
      </c>
      <c r="K2276" s="60" t="str">
        <f aca="false">IF(IsPro,IF($C2276="","",IF(AND(OR($C2276="Receipt",$C2276="Payment"),$D2276=""),"Party needed",IF(AND(OR($C2276="Expense",$C2276="Other Income"),$E2276=""),"Head needed",IF($F2276="","Account needed","OK")))),IF($C2276="","","PRO PLAN"))</f>
        <v/>
      </c>
    </row>
    <row r="2277" customFormat="false" ht="15" hidden="false" customHeight="false" outlineLevel="0" collapsed="false">
      <c r="A2277" s="55"/>
      <c r="B2277" s="56"/>
      <c r="C2277" s="56"/>
      <c r="D2277" s="56"/>
      <c r="E2277" s="56"/>
      <c r="F2277" s="56"/>
      <c r="G2277" s="58"/>
      <c r="H2277" s="56"/>
      <c r="I2277" s="61" t="str">
        <f aca="false">IF(IsPro,IF(OR($C2277="",N($G2277)=0),"",IF(OR($C2277="Receipt",$C2277="Other Income",$C2277="Capital In",$C2277="Transfer In"),$G2277,0)),"")</f>
        <v/>
      </c>
      <c r="J2277" s="61" t="str">
        <f aca="false">IF(IsPro,IF(OR($C2277="",N($G2277)=0),"",IF(I2277=0,$G2277,0)),"")</f>
        <v/>
      </c>
      <c r="K2277" s="60" t="str">
        <f aca="false">IF(IsPro,IF($C2277="","",IF(AND(OR($C2277="Receipt",$C2277="Payment"),$D2277=""),"Party needed",IF(AND(OR($C2277="Expense",$C2277="Other Income"),$E2277=""),"Head needed",IF($F2277="","Account needed","OK")))),IF($C2277="","","PRO PLAN"))</f>
        <v/>
      </c>
    </row>
    <row r="2278" customFormat="false" ht="15" hidden="false" customHeight="false" outlineLevel="0" collapsed="false">
      <c r="A2278" s="55"/>
      <c r="B2278" s="56"/>
      <c r="C2278" s="56"/>
      <c r="D2278" s="56"/>
      <c r="E2278" s="56"/>
      <c r="F2278" s="56"/>
      <c r="G2278" s="58"/>
      <c r="H2278" s="56"/>
      <c r="I2278" s="61" t="str">
        <f aca="false">IF(IsPro,IF(OR($C2278="",N($G2278)=0),"",IF(OR($C2278="Receipt",$C2278="Other Income",$C2278="Capital In",$C2278="Transfer In"),$G2278,0)),"")</f>
        <v/>
      </c>
      <c r="J2278" s="61" t="str">
        <f aca="false">IF(IsPro,IF(OR($C2278="",N($G2278)=0),"",IF(I2278=0,$G2278,0)),"")</f>
        <v/>
      </c>
      <c r="K2278" s="60" t="str">
        <f aca="false">IF(IsPro,IF($C2278="","",IF(AND(OR($C2278="Receipt",$C2278="Payment"),$D2278=""),"Party needed",IF(AND(OR($C2278="Expense",$C2278="Other Income"),$E2278=""),"Head needed",IF($F2278="","Account needed","OK")))),IF($C2278="","","PRO PLAN"))</f>
        <v/>
      </c>
    </row>
    <row r="2279" customFormat="false" ht="15" hidden="false" customHeight="false" outlineLevel="0" collapsed="false">
      <c r="A2279" s="55"/>
      <c r="B2279" s="56"/>
      <c r="C2279" s="56"/>
      <c r="D2279" s="56"/>
      <c r="E2279" s="56"/>
      <c r="F2279" s="56"/>
      <c r="G2279" s="58"/>
      <c r="H2279" s="56"/>
      <c r="I2279" s="61" t="str">
        <f aca="false">IF(IsPro,IF(OR($C2279="",N($G2279)=0),"",IF(OR($C2279="Receipt",$C2279="Other Income",$C2279="Capital In",$C2279="Transfer In"),$G2279,0)),"")</f>
        <v/>
      </c>
      <c r="J2279" s="61" t="str">
        <f aca="false">IF(IsPro,IF(OR($C2279="",N($G2279)=0),"",IF(I2279=0,$G2279,0)),"")</f>
        <v/>
      </c>
      <c r="K2279" s="60" t="str">
        <f aca="false">IF(IsPro,IF($C2279="","",IF(AND(OR($C2279="Receipt",$C2279="Payment"),$D2279=""),"Party needed",IF(AND(OR($C2279="Expense",$C2279="Other Income"),$E2279=""),"Head needed",IF($F2279="","Account needed","OK")))),IF($C2279="","","PRO PLAN"))</f>
        <v/>
      </c>
    </row>
    <row r="2280" customFormat="false" ht="15" hidden="false" customHeight="false" outlineLevel="0" collapsed="false">
      <c r="A2280" s="55"/>
      <c r="B2280" s="56"/>
      <c r="C2280" s="56"/>
      <c r="D2280" s="56"/>
      <c r="E2280" s="56"/>
      <c r="F2280" s="56"/>
      <c r="G2280" s="58"/>
      <c r="H2280" s="56"/>
      <c r="I2280" s="61" t="str">
        <f aca="false">IF(IsPro,IF(OR($C2280="",N($G2280)=0),"",IF(OR($C2280="Receipt",$C2280="Other Income",$C2280="Capital In",$C2280="Transfer In"),$G2280,0)),"")</f>
        <v/>
      </c>
      <c r="J2280" s="61" t="str">
        <f aca="false">IF(IsPro,IF(OR($C2280="",N($G2280)=0),"",IF(I2280=0,$G2280,0)),"")</f>
        <v/>
      </c>
      <c r="K2280" s="60" t="str">
        <f aca="false">IF(IsPro,IF($C2280="","",IF(AND(OR($C2280="Receipt",$C2280="Payment"),$D2280=""),"Party needed",IF(AND(OR($C2280="Expense",$C2280="Other Income"),$E2280=""),"Head needed",IF($F2280="","Account needed","OK")))),IF($C2280="","","PRO PLAN"))</f>
        <v/>
      </c>
    </row>
    <row r="2281" customFormat="false" ht="15" hidden="false" customHeight="false" outlineLevel="0" collapsed="false">
      <c r="A2281" s="55"/>
      <c r="B2281" s="56"/>
      <c r="C2281" s="56"/>
      <c r="D2281" s="56"/>
      <c r="E2281" s="56"/>
      <c r="F2281" s="56"/>
      <c r="G2281" s="58"/>
      <c r="H2281" s="56"/>
      <c r="I2281" s="61" t="str">
        <f aca="false">IF(IsPro,IF(OR($C2281="",N($G2281)=0),"",IF(OR($C2281="Receipt",$C2281="Other Income",$C2281="Capital In",$C2281="Transfer In"),$G2281,0)),"")</f>
        <v/>
      </c>
      <c r="J2281" s="61" t="str">
        <f aca="false">IF(IsPro,IF(OR($C2281="",N($G2281)=0),"",IF(I2281=0,$G2281,0)),"")</f>
        <v/>
      </c>
      <c r="K2281" s="60" t="str">
        <f aca="false">IF(IsPro,IF($C2281="","",IF(AND(OR($C2281="Receipt",$C2281="Payment"),$D2281=""),"Party needed",IF(AND(OR($C2281="Expense",$C2281="Other Income"),$E2281=""),"Head needed",IF($F2281="","Account needed","OK")))),IF($C2281="","","PRO PLAN"))</f>
        <v/>
      </c>
    </row>
    <row r="2282" customFormat="false" ht="15" hidden="false" customHeight="false" outlineLevel="0" collapsed="false">
      <c r="A2282" s="55"/>
      <c r="B2282" s="56"/>
      <c r="C2282" s="56"/>
      <c r="D2282" s="56"/>
      <c r="E2282" s="56"/>
      <c r="F2282" s="56"/>
      <c r="G2282" s="58"/>
      <c r="H2282" s="56"/>
      <c r="I2282" s="61" t="str">
        <f aca="false">IF(IsPro,IF(OR($C2282="",N($G2282)=0),"",IF(OR($C2282="Receipt",$C2282="Other Income",$C2282="Capital In",$C2282="Transfer In"),$G2282,0)),"")</f>
        <v/>
      </c>
      <c r="J2282" s="61" t="str">
        <f aca="false">IF(IsPro,IF(OR($C2282="",N($G2282)=0),"",IF(I2282=0,$G2282,0)),"")</f>
        <v/>
      </c>
      <c r="K2282" s="60" t="str">
        <f aca="false">IF(IsPro,IF($C2282="","",IF(AND(OR($C2282="Receipt",$C2282="Payment"),$D2282=""),"Party needed",IF(AND(OR($C2282="Expense",$C2282="Other Income"),$E2282=""),"Head needed",IF($F2282="","Account needed","OK")))),IF($C2282="","","PRO PLAN"))</f>
        <v/>
      </c>
    </row>
    <row r="2283" customFormat="false" ht="15" hidden="false" customHeight="false" outlineLevel="0" collapsed="false">
      <c r="A2283" s="55"/>
      <c r="B2283" s="56"/>
      <c r="C2283" s="56"/>
      <c r="D2283" s="56"/>
      <c r="E2283" s="56"/>
      <c r="F2283" s="56"/>
      <c r="G2283" s="58"/>
      <c r="H2283" s="56"/>
      <c r="I2283" s="61" t="str">
        <f aca="false">IF(IsPro,IF(OR($C2283="",N($G2283)=0),"",IF(OR($C2283="Receipt",$C2283="Other Income",$C2283="Capital In",$C2283="Transfer In"),$G2283,0)),"")</f>
        <v/>
      </c>
      <c r="J2283" s="61" t="str">
        <f aca="false">IF(IsPro,IF(OR($C2283="",N($G2283)=0),"",IF(I2283=0,$G2283,0)),"")</f>
        <v/>
      </c>
      <c r="K2283" s="60" t="str">
        <f aca="false">IF(IsPro,IF($C2283="","",IF(AND(OR($C2283="Receipt",$C2283="Payment"),$D2283=""),"Party needed",IF(AND(OR($C2283="Expense",$C2283="Other Income"),$E2283=""),"Head needed",IF($F2283="","Account needed","OK")))),IF($C2283="","","PRO PLAN"))</f>
        <v/>
      </c>
    </row>
    <row r="2284" customFormat="false" ht="15" hidden="false" customHeight="false" outlineLevel="0" collapsed="false">
      <c r="A2284" s="55"/>
      <c r="B2284" s="56"/>
      <c r="C2284" s="56"/>
      <c r="D2284" s="56"/>
      <c r="E2284" s="56"/>
      <c r="F2284" s="56"/>
      <c r="G2284" s="58"/>
      <c r="H2284" s="56"/>
      <c r="I2284" s="61" t="str">
        <f aca="false">IF(IsPro,IF(OR($C2284="",N($G2284)=0),"",IF(OR($C2284="Receipt",$C2284="Other Income",$C2284="Capital In",$C2284="Transfer In"),$G2284,0)),"")</f>
        <v/>
      </c>
      <c r="J2284" s="61" t="str">
        <f aca="false">IF(IsPro,IF(OR($C2284="",N($G2284)=0),"",IF(I2284=0,$G2284,0)),"")</f>
        <v/>
      </c>
      <c r="K2284" s="60" t="str">
        <f aca="false">IF(IsPro,IF($C2284="","",IF(AND(OR($C2284="Receipt",$C2284="Payment"),$D2284=""),"Party needed",IF(AND(OR($C2284="Expense",$C2284="Other Income"),$E2284=""),"Head needed",IF($F2284="","Account needed","OK")))),IF($C2284="","","PRO PLAN"))</f>
        <v/>
      </c>
    </row>
    <row r="2285" customFormat="false" ht="15" hidden="false" customHeight="false" outlineLevel="0" collapsed="false">
      <c r="A2285" s="55"/>
      <c r="B2285" s="56"/>
      <c r="C2285" s="56"/>
      <c r="D2285" s="56"/>
      <c r="E2285" s="56"/>
      <c r="F2285" s="56"/>
      <c r="G2285" s="58"/>
      <c r="H2285" s="56"/>
      <c r="I2285" s="61" t="str">
        <f aca="false">IF(IsPro,IF(OR($C2285="",N($G2285)=0),"",IF(OR($C2285="Receipt",$C2285="Other Income",$C2285="Capital In",$C2285="Transfer In"),$G2285,0)),"")</f>
        <v/>
      </c>
      <c r="J2285" s="61" t="str">
        <f aca="false">IF(IsPro,IF(OR($C2285="",N($G2285)=0),"",IF(I2285=0,$G2285,0)),"")</f>
        <v/>
      </c>
      <c r="K2285" s="60" t="str">
        <f aca="false">IF(IsPro,IF($C2285="","",IF(AND(OR($C2285="Receipt",$C2285="Payment"),$D2285=""),"Party needed",IF(AND(OR($C2285="Expense",$C2285="Other Income"),$E2285=""),"Head needed",IF($F2285="","Account needed","OK")))),IF($C2285="","","PRO PLAN"))</f>
        <v/>
      </c>
    </row>
    <row r="2286" customFormat="false" ht="15" hidden="false" customHeight="false" outlineLevel="0" collapsed="false">
      <c r="A2286" s="55"/>
      <c r="B2286" s="56"/>
      <c r="C2286" s="56"/>
      <c r="D2286" s="56"/>
      <c r="E2286" s="56"/>
      <c r="F2286" s="56"/>
      <c r="G2286" s="58"/>
      <c r="H2286" s="56"/>
      <c r="I2286" s="61" t="str">
        <f aca="false">IF(IsPro,IF(OR($C2286="",N($G2286)=0),"",IF(OR($C2286="Receipt",$C2286="Other Income",$C2286="Capital In",$C2286="Transfer In"),$G2286,0)),"")</f>
        <v/>
      </c>
      <c r="J2286" s="61" t="str">
        <f aca="false">IF(IsPro,IF(OR($C2286="",N($G2286)=0),"",IF(I2286=0,$G2286,0)),"")</f>
        <v/>
      </c>
      <c r="K2286" s="60" t="str">
        <f aca="false">IF(IsPro,IF($C2286="","",IF(AND(OR($C2286="Receipt",$C2286="Payment"),$D2286=""),"Party needed",IF(AND(OR($C2286="Expense",$C2286="Other Income"),$E2286=""),"Head needed",IF($F2286="","Account needed","OK")))),IF($C2286="","","PRO PLAN"))</f>
        <v/>
      </c>
    </row>
    <row r="2287" customFormat="false" ht="15" hidden="false" customHeight="false" outlineLevel="0" collapsed="false">
      <c r="A2287" s="55"/>
      <c r="B2287" s="56"/>
      <c r="C2287" s="56"/>
      <c r="D2287" s="56"/>
      <c r="E2287" s="56"/>
      <c r="F2287" s="56"/>
      <c r="G2287" s="58"/>
      <c r="H2287" s="56"/>
      <c r="I2287" s="61" t="str">
        <f aca="false">IF(IsPro,IF(OR($C2287="",N($G2287)=0),"",IF(OR($C2287="Receipt",$C2287="Other Income",$C2287="Capital In",$C2287="Transfer In"),$G2287,0)),"")</f>
        <v/>
      </c>
      <c r="J2287" s="61" t="str">
        <f aca="false">IF(IsPro,IF(OR($C2287="",N($G2287)=0),"",IF(I2287=0,$G2287,0)),"")</f>
        <v/>
      </c>
      <c r="K2287" s="60" t="str">
        <f aca="false">IF(IsPro,IF($C2287="","",IF(AND(OR($C2287="Receipt",$C2287="Payment"),$D2287=""),"Party needed",IF(AND(OR($C2287="Expense",$C2287="Other Income"),$E2287=""),"Head needed",IF($F2287="","Account needed","OK")))),IF($C2287="","","PRO PLAN"))</f>
        <v/>
      </c>
    </row>
    <row r="2288" customFormat="false" ht="15" hidden="false" customHeight="false" outlineLevel="0" collapsed="false">
      <c r="A2288" s="55"/>
      <c r="B2288" s="56"/>
      <c r="C2288" s="56"/>
      <c r="D2288" s="56"/>
      <c r="E2288" s="56"/>
      <c r="F2288" s="56"/>
      <c r="G2288" s="58"/>
      <c r="H2288" s="56"/>
      <c r="I2288" s="61" t="str">
        <f aca="false">IF(IsPro,IF(OR($C2288="",N($G2288)=0),"",IF(OR($C2288="Receipt",$C2288="Other Income",$C2288="Capital In",$C2288="Transfer In"),$G2288,0)),"")</f>
        <v/>
      </c>
      <c r="J2288" s="61" t="str">
        <f aca="false">IF(IsPro,IF(OR($C2288="",N($G2288)=0),"",IF(I2288=0,$G2288,0)),"")</f>
        <v/>
      </c>
      <c r="K2288" s="60" t="str">
        <f aca="false">IF(IsPro,IF($C2288="","",IF(AND(OR($C2288="Receipt",$C2288="Payment"),$D2288=""),"Party needed",IF(AND(OR($C2288="Expense",$C2288="Other Income"),$E2288=""),"Head needed",IF($F2288="","Account needed","OK")))),IF($C2288="","","PRO PLAN"))</f>
        <v/>
      </c>
    </row>
    <row r="2289" customFormat="false" ht="15" hidden="false" customHeight="false" outlineLevel="0" collapsed="false">
      <c r="A2289" s="55"/>
      <c r="B2289" s="56"/>
      <c r="C2289" s="56"/>
      <c r="D2289" s="56"/>
      <c r="E2289" s="56"/>
      <c r="F2289" s="56"/>
      <c r="G2289" s="58"/>
      <c r="H2289" s="56"/>
      <c r="I2289" s="61" t="str">
        <f aca="false">IF(IsPro,IF(OR($C2289="",N($G2289)=0),"",IF(OR($C2289="Receipt",$C2289="Other Income",$C2289="Capital In",$C2289="Transfer In"),$G2289,0)),"")</f>
        <v/>
      </c>
      <c r="J2289" s="61" t="str">
        <f aca="false">IF(IsPro,IF(OR($C2289="",N($G2289)=0),"",IF(I2289=0,$G2289,0)),"")</f>
        <v/>
      </c>
      <c r="K2289" s="60" t="str">
        <f aca="false">IF(IsPro,IF($C2289="","",IF(AND(OR($C2289="Receipt",$C2289="Payment"),$D2289=""),"Party needed",IF(AND(OR($C2289="Expense",$C2289="Other Income"),$E2289=""),"Head needed",IF($F2289="","Account needed","OK")))),IF($C2289="","","PRO PLAN"))</f>
        <v/>
      </c>
    </row>
    <row r="2290" customFormat="false" ht="15" hidden="false" customHeight="false" outlineLevel="0" collapsed="false">
      <c r="A2290" s="55"/>
      <c r="B2290" s="56"/>
      <c r="C2290" s="56"/>
      <c r="D2290" s="56"/>
      <c r="E2290" s="56"/>
      <c r="F2290" s="56"/>
      <c r="G2290" s="58"/>
      <c r="H2290" s="56"/>
      <c r="I2290" s="61" t="str">
        <f aca="false">IF(IsPro,IF(OR($C2290="",N($G2290)=0),"",IF(OR($C2290="Receipt",$C2290="Other Income",$C2290="Capital In",$C2290="Transfer In"),$G2290,0)),"")</f>
        <v/>
      </c>
      <c r="J2290" s="61" t="str">
        <f aca="false">IF(IsPro,IF(OR($C2290="",N($G2290)=0),"",IF(I2290=0,$G2290,0)),"")</f>
        <v/>
      </c>
      <c r="K2290" s="60" t="str">
        <f aca="false">IF(IsPro,IF($C2290="","",IF(AND(OR($C2290="Receipt",$C2290="Payment"),$D2290=""),"Party needed",IF(AND(OR($C2290="Expense",$C2290="Other Income"),$E2290=""),"Head needed",IF($F2290="","Account needed","OK")))),IF($C2290="","","PRO PLAN"))</f>
        <v/>
      </c>
    </row>
    <row r="2291" customFormat="false" ht="15" hidden="false" customHeight="false" outlineLevel="0" collapsed="false">
      <c r="A2291" s="55"/>
      <c r="B2291" s="56"/>
      <c r="C2291" s="56"/>
      <c r="D2291" s="56"/>
      <c r="E2291" s="56"/>
      <c r="F2291" s="56"/>
      <c r="G2291" s="58"/>
      <c r="H2291" s="56"/>
      <c r="I2291" s="61" t="str">
        <f aca="false">IF(IsPro,IF(OR($C2291="",N($G2291)=0),"",IF(OR($C2291="Receipt",$C2291="Other Income",$C2291="Capital In",$C2291="Transfer In"),$G2291,0)),"")</f>
        <v/>
      </c>
      <c r="J2291" s="61" t="str">
        <f aca="false">IF(IsPro,IF(OR($C2291="",N($G2291)=0),"",IF(I2291=0,$G2291,0)),"")</f>
        <v/>
      </c>
      <c r="K2291" s="60" t="str">
        <f aca="false">IF(IsPro,IF($C2291="","",IF(AND(OR($C2291="Receipt",$C2291="Payment"),$D2291=""),"Party needed",IF(AND(OR($C2291="Expense",$C2291="Other Income"),$E2291=""),"Head needed",IF($F2291="","Account needed","OK")))),IF($C2291="","","PRO PLAN"))</f>
        <v/>
      </c>
    </row>
    <row r="2292" customFormat="false" ht="15" hidden="false" customHeight="false" outlineLevel="0" collapsed="false">
      <c r="A2292" s="55"/>
      <c r="B2292" s="56"/>
      <c r="C2292" s="56"/>
      <c r="D2292" s="56"/>
      <c r="E2292" s="56"/>
      <c r="F2292" s="56"/>
      <c r="G2292" s="58"/>
      <c r="H2292" s="56"/>
      <c r="I2292" s="61" t="str">
        <f aca="false">IF(IsPro,IF(OR($C2292="",N($G2292)=0),"",IF(OR($C2292="Receipt",$C2292="Other Income",$C2292="Capital In",$C2292="Transfer In"),$G2292,0)),"")</f>
        <v/>
      </c>
      <c r="J2292" s="61" t="str">
        <f aca="false">IF(IsPro,IF(OR($C2292="",N($G2292)=0),"",IF(I2292=0,$G2292,0)),"")</f>
        <v/>
      </c>
      <c r="K2292" s="60" t="str">
        <f aca="false">IF(IsPro,IF($C2292="","",IF(AND(OR($C2292="Receipt",$C2292="Payment"),$D2292=""),"Party needed",IF(AND(OR($C2292="Expense",$C2292="Other Income"),$E2292=""),"Head needed",IF($F2292="","Account needed","OK")))),IF($C2292="","","PRO PLAN"))</f>
        <v/>
      </c>
    </row>
    <row r="2293" customFormat="false" ht="15" hidden="false" customHeight="false" outlineLevel="0" collapsed="false">
      <c r="A2293" s="55"/>
      <c r="B2293" s="56"/>
      <c r="C2293" s="56"/>
      <c r="D2293" s="56"/>
      <c r="E2293" s="56"/>
      <c r="F2293" s="56"/>
      <c r="G2293" s="58"/>
      <c r="H2293" s="56"/>
      <c r="I2293" s="61" t="str">
        <f aca="false">IF(IsPro,IF(OR($C2293="",N($G2293)=0),"",IF(OR($C2293="Receipt",$C2293="Other Income",$C2293="Capital In",$C2293="Transfer In"),$G2293,0)),"")</f>
        <v/>
      </c>
      <c r="J2293" s="61" t="str">
        <f aca="false">IF(IsPro,IF(OR($C2293="",N($G2293)=0),"",IF(I2293=0,$G2293,0)),"")</f>
        <v/>
      </c>
      <c r="K2293" s="60" t="str">
        <f aca="false">IF(IsPro,IF($C2293="","",IF(AND(OR($C2293="Receipt",$C2293="Payment"),$D2293=""),"Party needed",IF(AND(OR($C2293="Expense",$C2293="Other Income"),$E2293=""),"Head needed",IF($F2293="","Account needed","OK")))),IF($C2293="","","PRO PLAN"))</f>
        <v/>
      </c>
    </row>
    <row r="2294" customFormat="false" ht="15" hidden="false" customHeight="false" outlineLevel="0" collapsed="false">
      <c r="A2294" s="55"/>
      <c r="B2294" s="56"/>
      <c r="C2294" s="56"/>
      <c r="D2294" s="56"/>
      <c r="E2294" s="56"/>
      <c r="F2294" s="56"/>
      <c r="G2294" s="58"/>
      <c r="H2294" s="56"/>
      <c r="I2294" s="61" t="str">
        <f aca="false">IF(IsPro,IF(OR($C2294="",N($G2294)=0),"",IF(OR($C2294="Receipt",$C2294="Other Income",$C2294="Capital In",$C2294="Transfer In"),$G2294,0)),"")</f>
        <v/>
      </c>
      <c r="J2294" s="61" t="str">
        <f aca="false">IF(IsPro,IF(OR($C2294="",N($G2294)=0),"",IF(I2294=0,$G2294,0)),"")</f>
        <v/>
      </c>
      <c r="K2294" s="60" t="str">
        <f aca="false">IF(IsPro,IF($C2294="","",IF(AND(OR($C2294="Receipt",$C2294="Payment"),$D2294=""),"Party needed",IF(AND(OR($C2294="Expense",$C2294="Other Income"),$E2294=""),"Head needed",IF($F2294="","Account needed","OK")))),IF($C2294="","","PRO PLAN"))</f>
        <v/>
      </c>
    </row>
    <row r="2295" customFormat="false" ht="15" hidden="false" customHeight="false" outlineLevel="0" collapsed="false">
      <c r="A2295" s="55"/>
      <c r="B2295" s="56"/>
      <c r="C2295" s="56"/>
      <c r="D2295" s="56"/>
      <c r="E2295" s="56"/>
      <c r="F2295" s="56"/>
      <c r="G2295" s="58"/>
      <c r="H2295" s="56"/>
      <c r="I2295" s="61" t="str">
        <f aca="false">IF(IsPro,IF(OR($C2295="",N($G2295)=0),"",IF(OR($C2295="Receipt",$C2295="Other Income",$C2295="Capital In",$C2295="Transfer In"),$G2295,0)),"")</f>
        <v/>
      </c>
      <c r="J2295" s="61" t="str">
        <f aca="false">IF(IsPro,IF(OR($C2295="",N($G2295)=0),"",IF(I2295=0,$G2295,0)),"")</f>
        <v/>
      </c>
      <c r="K2295" s="60" t="str">
        <f aca="false">IF(IsPro,IF($C2295="","",IF(AND(OR($C2295="Receipt",$C2295="Payment"),$D2295=""),"Party needed",IF(AND(OR($C2295="Expense",$C2295="Other Income"),$E2295=""),"Head needed",IF($F2295="","Account needed","OK")))),IF($C2295="","","PRO PLAN"))</f>
        <v/>
      </c>
    </row>
    <row r="2296" customFormat="false" ht="15" hidden="false" customHeight="false" outlineLevel="0" collapsed="false">
      <c r="A2296" s="55"/>
      <c r="B2296" s="56"/>
      <c r="C2296" s="56"/>
      <c r="D2296" s="56"/>
      <c r="E2296" s="56"/>
      <c r="F2296" s="56"/>
      <c r="G2296" s="58"/>
      <c r="H2296" s="56"/>
      <c r="I2296" s="61" t="str">
        <f aca="false">IF(IsPro,IF(OR($C2296="",N($G2296)=0),"",IF(OR($C2296="Receipt",$C2296="Other Income",$C2296="Capital In",$C2296="Transfer In"),$G2296,0)),"")</f>
        <v/>
      </c>
      <c r="J2296" s="61" t="str">
        <f aca="false">IF(IsPro,IF(OR($C2296="",N($G2296)=0),"",IF(I2296=0,$G2296,0)),"")</f>
        <v/>
      </c>
      <c r="K2296" s="60" t="str">
        <f aca="false">IF(IsPro,IF($C2296="","",IF(AND(OR($C2296="Receipt",$C2296="Payment"),$D2296=""),"Party needed",IF(AND(OR($C2296="Expense",$C2296="Other Income"),$E2296=""),"Head needed",IF($F2296="","Account needed","OK")))),IF($C2296="","","PRO PLAN"))</f>
        <v/>
      </c>
    </row>
    <row r="2297" customFormat="false" ht="15" hidden="false" customHeight="false" outlineLevel="0" collapsed="false">
      <c r="A2297" s="55"/>
      <c r="B2297" s="56"/>
      <c r="C2297" s="56"/>
      <c r="D2297" s="56"/>
      <c r="E2297" s="56"/>
      <c r="F2297" s="56"/>
      <c r="G2297" s="58"/>
      <c r="H2297" s="56"/>
      <c r="I2297" s="61" t="str">
        <f aca="false">IF(IsPro,IF(OR($C2297="",N($G2297)=0),"",IF(OR($C2297="Receipt",$C2297="Other Income",$C2297="Capital In",$C2297="Transfer In"),$G2297,0)),"")</f>
        <v/>
      </c>
      <c r="J2297" s="61" t="str">
        <f aca="false">IF(IsPro,IF(OR($C2297="",N($G2297)=0),"",IF(I2297=0,$G2297,0)),"")</f>
        <v/>
      </c>
      <c r="K2297" s="60" t="str">
        <f aca="false">IF(IsPro,IF($C2297="","",IF(AND(OR($C2297="Receipt",$C2297="Payment"),$D2297=""),"Party needed",IF(AND(OR($C2297="Expense",$C2297="Other Income"),$E2297=""),"Head needed",IF($F2297="","Account needed","OK")))),IF($C2297="","","PRO PLAN"))</f>
        <v/>
      </c>
    </row>
    <row r="2298" customFormat="false" ht="15" hidden="false" customHeight="false" outlineLevel="0" collapsed="false">
      <c r="A2298" s="55"/>
      <c r="B2298" s="56"/>
      <c r="C2298" s="56"/>
      <c r="D2298" s="56"/>
      <c r="E2298" s="56"/>
      <c r="F2298" s="56"/>
      <c r="G2298" s="58"/>
      <c r="H2298" s="56"/>
      <c r="I2298" s="61" t="str">
        <f aca="false">IF(IsPro,IF(OR($C2298="",N($G2298)=0),"",IF(OR($C2298="Receipt",$C2298="Other Income",$C2298="Capital In",$C2298="Transfer In"),$G2298,0)),"")</f>
        <v/>
      </c>
      <c r="J2298" s="61" t="str">
        <f aca="false">IF(IsPro,IF(OR($C2298="",N($G2298)=0),"",IF(I2298=0,$G2298,0)),"")</f>
        <v/>
      </c>
      <c r="K2298" s="60" t="str">
        <f aca="false">IF(IsPro,IF($C2298="","",IF(AND(OR($C2298="Receipt",$C2298="Payment"),$D2298=""),"Party needed",IF(AND(OR($C2298="Expense",$C2298="Other Income"),$E2298=""),"Head needed",IF($F2298="","Account needed","OK")))),IF($C2298="","","PRO PLAN"))</f>
        <v/>
      </c>
    </row>
    <row r="2299" customFormat="false" ht="15" hidden="false" customHeight="false" outlineLevel="0" collapsed="false">
      <c r="A2299" s="55"/>
      <c r="B2299" s="56"/>
      <c r="C2299" s="56"/>
      <c r="D2299" s="56"/>
      <c r="E2299" s="56"/>
      <c r="F2299" s="56"/>
      <c r="G2299" s="58"/>
      <c r="H2299" s="56"/>
      <c r="I2299" s="61" t="str">
        <f aca="false">IF(IsPro,IF(OR($C2299="",N($G2299)=0),"",IF(OR($C2299="Receipt",$C2299="Other Income",$C2299="Capital In",$C2299="Transfer In"),$G2299,0)),"")</f>
        <v/>
      </c>
      <c r="J2299" s="61" t="str">
        <f aca="false">IF(IsPro,IF(OR($C2299="",N($G2299)=0),"",IF(I2299=0,$G2299,0)),"")</f>
        <v/>
      </c>
      <c r="K2299" s="60" t="str">
        <f aca="false">IF(IsPro,IF($C2299="","",IF(AND(OR($C2299="Receipt",$C2299="Payment"),$D2299=""),"Party needed",IF(AND(OR($C2299="Expense",$C2299="Other Income"),$E2299=""),"Head needed",IF($F2299="","Account needed","OK")))),IF($C2299="","","PRO PLAN"))</f>
        <v/>
      </c>
    </row>
    <row r="2300" customFormat="false" ht="15" hidden="false" customHeight="false" outlineLevel="0" collapsed="false">
      <c r="A2300" s="55"/>
      <c r="B2300" s="56"/>
      <c r="C2300" s="56"/>
      <c r="D2300" s="56"/>
      <c r="E2300" s="56"/>
      <c r="F2300" s="56"/>
      <c r="G2300" s="58"/>
      <c r="H2300" s="56"/>
      <c r="I2300" s="61" t="str">
        <f aca="false">IF(IsPro,IF(OR($C2300="",N($G2300)=0),"",IF(OR($C2300="Receipt",$C2300="Other Income",$C2300="Capital In",$C2300="Transfer In"),$G2300,0)),"")</f>
        <v/>
      </c>
      <c r="J2300" s="61" t="str">
        <f aca="false">IF(IsPro,IF(OR($C2300="",N($G2300)=0),"",IF(I2300=0,$G2300,0)),"")</f>
        <v/>
      </c>
      <c r="K2300" s="60" t="str">
        <f aca="false">IF(IsPro,IF($C2300="","",IF(AND(OR($C2300="Receipt",$C2300="Payment"),$D2300=""),"Party needed",IF(AND(OR($C2300="Expense",$C2300="Other Income"),$E2300=""),"Head needed",IF($F2300="","Account needed","OK")))),IF($C2300="","","PRO PLAN"))</f>
        <v/>
      </c>
    </row>
    <row r="2301" customFormat="false" ht="15" hidden="false" customHeight="false" outlineLevel="0" collapsed="false">
      <c r="A2301" s="55"/>
      <c r="B2301" s="56"/>
      <c r="C2301" s="56"/>
      <c r="D2301" s="56"/>
      <c r="E2301" s="56"/>
      <c r="F2301" s="56"/>
      <c r="G2301" s="58"/>
      <c r="H2301" s="56"/>
      <c r="I2301" s="61" t="str">
        <f aca="false">IF(IsPro,IF(OR($C2301="",N($G2301)=0),"",IF(OR($C2301="Receipt",$C2301="Other Income",$C2301="Capital In",$C2301="Transfer In"),$G2301,0)),"")</f>
        <v/>
      </c>
      <c r="J2301" s="61" t="str">
        <f aca="false">IF(IsPro,IF(OR($C2301="",N($G2301)=0),"",IF(I2301=0,$G2301,0)),"")</f>
        <v/>
      </c>
      <c r="K2301" s="60" t="str">
        <f aca="false">IF(IsPro,IF($C2301="","",IF(AND(OR($C2301="Receipt",$C2301="Payment"),$D2301=""),"Party needed",IF(AND(OR($C2301="Expense",$C2301="Other Income"),$E2301=""),"Head needed",IF($F2301="","Account needed","OK")))),IF($C2301="","","PRO PLAN"))</f>
        <v/>
      </c>
    </row>
    <row r="2302" customFormat="false" ht="15" hidden="false" customHeight="false" outlineLevel="0" collapsed="false">
      <c r="A2302" s="55"/>
      <c r="B2302" s="56"/>
      <c r="C2302" s="56"/>
      <c r="D2302" s="56"/>
      <c r="E2302" s="56"/>
      <c r="F2302" s="56"/>
      <c r="G2302" s="58"/>
      <c r="H2302" s="56"/>
      <c r="I2302" s="61" t="str">
        <f aca="false">IF(IsPro,IF(OR($C2302="",N($G2302)=0),"",IF(OR($C2302="Receipt",$C2302="Other Income",$C2302="Capital In",$C2302="Transfer In"),$G2302,0)),"")</f>
        <v/>
      </c>
      <c r="J2302" s="61" t="str">
        <f aca="false">IF(IsPro,IF(OR($C2302="",N($G2302)=0),"",IF(I2302=0,$G2302,0)),"")</f>
        <v/>
      </c>
      <c r="K2302" s="60" t="str">
        <f aca="false">IF(IsPro,IF($C2302="","",IF(AND(OR($C2302="Receipt",$C2302="Payment"),$D2302=""),"Party needed",IF(AND(OR($C2302="Expense",$C2302="Other Income"),$E2302=""),"Head needed",IF($F2302="","Account needed","OK")))),IF($C2302="","","PRO PLAN"))</f>
        <v/>
      </c>
    </row>
    <row r="2303" customFormat="false" ht="15" hidden="false" customHeight="false" outlineLevel="0" collapsed="false">
      <c r="A2303" s="55"/>
      <c r="B2303" s="56"/>
      <c r="C2303" s="56"/>
      <c r="D2303" s="56"/>
      <c r="E2303" s="56"/>
      <c r="F2303" s="56"/>
      <c r="G2303" s="58"/>
      <c r="H2303" s="56"/>
      <c r="I2303" s="61" t="str">
        <f aca="false">IF(IsPro,IF(OR($C2303="",N($G2303)=0),"",IF(OR($C2303="Receipt",$C2303="Other Income",$C2303="Capital In",$C2303="Transfer In"),$G2303,0)),"")</f>
        <v/>
      </c>
      <c r="J2303" s="61" t="str">
        <f aca="false">IF(IsPro,IF(OR($C2303="",N($G2303)=0),"",IF(I2303=0,$G2303,0)),"")</f>
        <v/>
      </c>
      <c r="K2303" s="60" t="str">
        <f aca="false">IF(IsPro,IF($C2303="","",IF(AND(OR($C2303="Receipt",$C2303="Payment"),$D2303=""),"Party needed",IF(AND(OR($C2303="Expense",$C2303="Other Income"),$E2303=""),"Head needed",IF($F2303="","Account needed","OK")))),IF($C2303="","","PRO PLAN"))</f>
        <v/>
      </c>
    </row>
    <row r="2304" customFormat="false" ht="15" hidden="false" customHeight="false" outlineLevel="0" collapsed="false">
      <c r="A2304" s="55"/>
      <c r="B2304" s="56"/>
      <c r="C2304" s="56"/>
      <c r="D2304" s="56"/>
      <c r="E2304" s="56"/>
      <c r="F2304" s="56"/>
      <c r="G2304" s="58"/>
      <c r="H2304" s="56"/>
      <c r="I2304" s="61" t="str">
        <f aca="false">IF(IsPro,IF(OR($C2304="",N($G2304)=0),"",IF(OR($C2304="Receipt",$C2304="Other Income",$C2304="Capital In",$C2304="Transfer In"),$G2304,0)),"")</f>
        <v/>
      </c>
      <c r="J2304" s="61" t="str">
        <f aca="false">IF(IsPro,IF(OR($C2304="",N($G2304)=0),"",IF(I2304=0,$G2304,0)),"")</f>
        <v/>
      </c>
      <c r="K2304" s="60" t="str">
        <f aca="false">IF(IsPro,IF($C2304="","",IF(AND(OR($C2304="Receipt",$C2304="Payment"),$D2304=""),"Party needed",IF(AND(OR($C2304="Expense",$C2304="Other Income"),$E2304=""),"Head needed",IF($F2304="","Account needed","OK")))),IF($C2304="","","PRO PLAN"))</f>
        <v/>
      </c>
    </row>
    <row r="2305" customFormat="false" ht="15" hidden="false" customHeight="false" outlineLevel="0" collapsed="false">
      <c r="A2305" s="55"/>
      <c r="B2305" s="56"/>
      <c r="C2305" s="56"/>
      <c r="D2305" s="56"/>
      <c r="E2305" s="56"/>
      <c r="F2305" s="56"/>
      <c r="G2305" s="58"/>
      <c r="H2305" s="56"/>
      <c r="I2305" s="61" t="str">
        <f aca="false">IF(IsPro,IF(OR($C2305="",N($G2305)=0),"",IF(OR($C2305="Receipt",$C2305="Other Income",$C2305="Capital In",$C2305="Transfer In"),$G2305,0)),"")</f>
        <v/>
      </c>
      <c r="J2305" s="61" t="str">
        <f aca="false">IF(IsPro,IF(OR($C2305="",N($G2305)=0),"",IF(I2305=0,$G2305,0)),"")</f>
        <v/>
      </c>
      <c r="K2305" s="60" t="str">
        <f aca="false">IF(IsPro,IF($C2305="","",IF(AND(OR($C2305="Receipt",$C2305="Payment"),$D2305=""),"Party needed",IF(AND(OR($C2305="Expense",$C2305="Other Income"),$E2305=""),"Head needed",IF($F2305="","Account needed","OK")))),IF($C2305="","","PRO PLAN"))</f>
        <v/>
      </c>
    </row>
    <row r="2306" customFormat="false" ht="15" hidden="false" customHeight="false" outlineLevel="0" collapsed="false">
      <c r="A2306" s="55"/>
      <c r="B2306" s="56"/>
      <c r="C2306" s="56"/>
      <c r="D2306" s="56"/>
      <c r="E2306" s="56"/>
      <c r="F2306" s="56"/>
      <c r="G2306" s="58"/>
      <c r="H2306" s="56"/>
      <c r="I2306" s="61" t="str">
        <f aca="false">IF(IsPro,IF(OR($C2306="",N($G2306)=0),"",IF(OR($C2306="Receipt",$C2306="Other Income",$C2306="Capital In",$C2306="Transfer In"),$G2306,0)),"")</f>
        <v/>
      </c>
      <c r="J2306" s="61" t="str">
        <f aca="false">IF(IsPro,IF(OR($C2306="",N($G2306)=0),"",IF(I2306=0,$G2306,0)),"")</f>
        <v/>
      </c>
      <c r="K2306" s="60" t="str">
        <f aca="false">IF(IsPro,IF($C2306="","",IF(AND(OR($C2306="Receipt",$C2306="Payment"),$D2306=""),"Party needed",IF(AND(OR($C2306="Expense",$C2306="Other Income"),$E2306=""),"Head needed",IF($F2306="","Account needed","OK")))),IF($C2306="","","PRO PLAN"))</f>
        <v/>
      </c>
    </row>
    <row r="2307" customFormat="false" ht="15" hidden="false" customHeight="false" outlineLevel="0" collapsed="false">
      <c r="A2307" s="55"/>
      <c r="B2307" s="56"/>
      <c r="C2307" s="56"/>
      <c r="D2307" s="56"/>
      <c r="E2307" s="56"/>
      <c r="F2307" s="56"/>
      <c r="G2307" s="58"/>
      <c r="H2307" s="56"/>
      <c r="I2307" s="61" t="str">
        <f aca="false">IF(IsPro,IF(OR($C2307="",N($G2307)=0),"",IF(OR($C2307="Receipt",$C2307="Other Income",$C2307="Capital In",$C2307="Transfer In"),$G2307,0)),"")</f>
        <v/>
      </c>
      <c r="J2307" s="61" t="str">
        <f aca="false">IF(IsPro,IF(OR($C2307="",N($G2307)=0),"",IF(I2307=0,$G2307,0)),"")</f>
        <v/>
      </c>
      <c r="K2307" s="60" t="str">
        <f aca="false">IF(IsPro,IF($C2307="","",IF(AND(OR($C2307="Receipt",$C2307="Payment"),$D2307=""),"Party needed",IF(AND(OR($C2307="Expense",$C2307="Other Income"),$E2307=""),"Head needed",IF($F2307="","Account needed","OK")))),IF($C2307="","","PRO PLAN"))</f>
        <v/>
      </c>
    </row>
    <row r="2308" customFormat="false" ht="15" hidden="false" customHeight="false" outlineLevel="0" collapsed="false">
      <c r="A2308" s="55"/>
      <c r="B2308" s="56"/>
      <c r="C2308" s="56"/>
      <c r="D2308" s="56"/>
      <c r="E2308" s="56"/>
      <c r="F2308" s="56"/>
      <c r="G2308" s="58"/>
      <c r="H2308" s="56"/>
      <c r="I2308" s="61" t="str">
        <f aca="false">IF(IsPro,IF(OR($C2308="",N($G2308)=0),"",IF(OR($C2308="Receipt",$C2308="Other Income",$C2308="Capital In",$C2308="Transfer In"),$G2308,0)),"")</f>
        <v/>
      </c>
      <c r="J2308" s="61" t="str">
        <f aca="false">IF(IsPro,IF(OR($C2308="",N($G2308)=0),"",IF(I2308=0,$G2308,0)),"")</f>
        <v/>
      </c>
      <c r="K2308" s="60" t="str">
        <f aca="false">IF(IsPro,IF($C2308="","",IF(AND(OR($C2308="Receipt",$C2308="Payment"),$D2308=""),"Party needed",IF(AND(OR($C2308="Expense",$C2308="Other Income"),$E2308=""),"Head needed",IF($F2308="","Account needed","OK")))),IF($C2308="","","PRO PLAN"))</f>
        <v/>
      </c>
    </row>
    <row r="2309" customFormat="false" ht="15" hidden="false" customHeight="false" outlineLevel="0" collapsed="false">
      <c r="A2309" s="55"/>
      <c r="B2309" s="56"/>
      <c r="C2309" s="56"/>
      <c r="D2309" s="56"/>
      <c r="E2309" s="56"/>
      <c r="F2309" s="56"/>
      <c r="G2309" s="58"/>
      <c r="H2309" s="56"/>
      <c r="I2309" s="61" t="str">
        <f aca="false">IF(IsPro,IF(OR($C2309="",N($G2309)=0),"",IF(OR($C2309="Receipt",$C2309="Other Income",$C2309="Capital In",$C2309="Transfer In"),$G2309,0)),"")</f>
        <v/>
      </c>
      <c r="J2309" s="61" t="str">
        <f aca="false">IF(IsPro,IF(OR($C2309="",N($G2309)=0),"",IF(I2309=0,$G2309,0)),"")</f>
        <v/>
      </c>
      <c r="K2309" s="60" t="str">
        <f aca="false">IF(IsPro,IF($C2309="","",IF(AND(OR($C2309="Receipt",$C2309="Payment"),$D2309=""),"Party needed",IF(AND(OR($C2309="Expense",$C2309="Other Income"),$E2309=""),"Head needed",IF($F2309="","Account needed","OK")))),IF($C2309="","","PRO PLAN"))</f>
        <v/>
      </c>
    </row>
    <row r="2310" customFormat="false" ht="15" hidden="false" customHeight="false" outlineLevel="0" collapsed="false">
      <c r="A2310" s="55"/>
      <c r="B2310" s="56"/>
      <c r="C2310" s="56"/>
      <c r="D2310" s="56"/>
      <c r="E2310" s="56"/>
      <c r="F2310" s="56"/>
      <c r="G2310" s="58"/>
      <c r="H2310" s="56"/>
      <c r="I2310" s="61" t="str">
        <f aca="false">IF(IsPro,IF(OR($C2310="",N($G2310)=0),"",IF(OR($C2310="Receipt",$C2310="Other Income",$C2310="Capital In",$C2310="Transfer In"),$G2310,0)),"")</f>
        <v/>
      </c>
      <c r="J2310" s="61" t="str">
        <f aca="false">IF(IsPro,IF(OR($C2310="",N($G2310)=0),"",IF(I2310=0,$G2310,0)),"")</f>
        <v/>
      </c>
      <c r="K2310" s="60" t="str">
        <f aca="false">IF(IsPro,IF($C2310="","",IF(AND(OR($C2310="Receipt",$C2310="Payment"),$D2310=""),"Party needed",IF(AND(OR($C2310="Expense",$C2310="Other Income"),$E2310=""),"Head needed",IF($F2310="","Account needed","OK")))),IF($C2310="","","PRO PLAN"))</f>
        <v/>
      </c>
    </row>
    <row r="2311" customFormat="false" ht="15" hidden="false" customHeight="false" outlineLevel="0" collapsed="false">
      <c r="A2311" s="55"/>
      <c r="B2311" s="56"/>
      <c r="C2311" s="56"/>
      <c r="D2311" s="56"/>
      <c r="E2311" s="56"/>
      <c r="F2311" s="56"/>
      <c r="G2311" s="58"/>
      <c r="H2311" s="56"/>
      <c r="I2311" s="61" t="str">
        <f aca="false">IF(IsPro,IF(OR($C2311="",N($G2311)=0),"",IF(OR($C2311="Receipt",$C2311="Other Income",$C2311="Capital In",$C2311="Transfer In"),$G2311,0)),"")</f>
        <v/>
      </c>
      <c r="J2311" s="61" t="str">
        <f aca="false">IF(IsPro,IF(OR($C2311="",N($G2311)=0),"",IF(I2311=0,$G2311,0)),"")</f>
        <v/>
      </c>
      <c r="K2311" s="60" t="str">
        <f aca="false">IF(IsPro,IF($C2311="","",IF(AND(OR($C2311="Receipt",$C2311="Payment"),$D2311=""),"Party needed",IF(AND(OR($C2311="Expense",$C2311="Other Income"),$E2311=""),"Head needed",IF($F2311="","Account needed","OK")))),IF($C2311="","","PRO PLAN"))</f>
        <v/>
      </c>
    </row>
    <row r="2312" customFormat="false" ht="15" hidden="false" customHeight="false" outlineLevel="0" collapsed="false">
      <c r="A2312" s="55"/>
      <c r="B2312" s="56"/>
      <c r="C2312" s="56"/>
      <c r="D2312" s="56"/>
      <c r="E2312" s="56"/>
      <c r="F2312" s="56"/>
      <c r="G2312" s="58"/>
      <c r="H2312" s="56"/>
      <c r="I2312" s="61" t="str">
        <f aca="false">IF(IsPro,IF(OR($C2312="",N($G2312)=0),"",IF(OR($C2312="Receipt",$C2312="Other Income",$C2312="Capital In",$C2312="Transfer In"),$G2312,0)),"")</f>
        <v/>
      </c>
      <c r="J2312" s="61" t="str">
        <f aca="false">IF(IsPro,IF(OR($C2312="",N($G2312)=0),"",IF(I2312=0,$G2312,0)),"")</f>
        <v/>
      </c>
      <c r="K2312" s="60" t="str">
        <f aca="false">IF(IsPro,IF($C2312="","",IF(AND(OR($C2312="Receipt",$C2312="Payment"),$D2312=""),"Party needed",IF(AND(OR($C2312="Expense",$C2312="Other Income"),$E2312=""),"Head needed",IF($F2312="","Account needed","OK")))),IF($C2312="","","PRO PLAN"))</f>
        <v/>
      </c>
    </row>
    <row r="2313" customFormat="false" ht="15" hidden="false" customHeight="false" outlineLevel="0" collapsed="false">
      <c r="A2313" s="55"/>
      <c r="B2313" s="56"/>
      <c r="C2313" s="56"/>
      <c r="D2313" s="56"/>
      <c r="E2313" s="56"/>
      <c r="F2313" s="56"/>
      <c r="G2313" s="58"/>
      <c r="H2313" s="56"/>
      <c r="I2313" s="61" t="str">
        <f aca="false">IF(IsPro,IF(OR($C2313="",N($G2313)=0),"",IF(OR($C2313="Receipt",$C2313="Other Income",$C2313="Capital In",$C2313="Transfer In"),$G2313,0)),"")</f>
        <v/>
      </c>
      <c r="J2313" s="61" t="str">
        <f aca="false">IF(IsPro,IF(OR($C2313="",N($G2313)=0),"",IF(I2313=0,$G2313,0)),"")</f>
        <v/>
      </c>
      <c r="K2313" s="60" t="str">
        <f aca="false">IF(IsPro,IF($C2313="","",IF(AND(OR($C2313="Receipt",$C2313="Payment"),$D2313=""),"Party needed",IF(AND(OR($C2313="Expense",$C2313="Other Income"),$E2313=""),"Head needed",IF($F2313="","Account needed","OK")))),IF($C2313="","","PRO PLAN"))</f>
        <v/>
      </c>
    </row>
    <row r="2314" customFormat="false" ht="15" hidden="false" customHeight="false" outlineLevel="0" collapsed="false">
      <c r="A2314" s="55"/>
      <c r="B2314" s="56"/>
      <c r="C2314" s="56"/>
      <c r="D2314" s="56"/>
      <c r="E2314" s="56"/>
      <c r="F2314" s="56"/>
      <c r="G2314" s="58"/>
      <c r="H2314" s="56"/>
      <c r="I2314" s="61" t="str">
        <f aca="false">IF(IsPro,IF(OR($C2314="",N($G2314)=0),"",IF(OR($C2314="Receipt",$C2314="Other Income",$C2314="Capital In",$C2314="Transfer In"),$G2314,0)),"")</f>
        <v/>
      </c>
      <c r="J2314" s="61" t="str">
        <f aca="false">IF(IsPro,IF(OR($C2314="",N($G2314)=0),"",IF(I2314=0,$G2314,0)),"")</f>
        <v/>
      </c>
      <c r="K2314" s="60" t="str">
        <f aca="false">IF(IsPro,IF($C2314="","",IF(AND(OR($C2314="Receipt",$C2314="Payment"),$D2314=""),"Party needed",IF(AND(OR($C2314="Expense",$C2314="Other Income"),$E2314=""),"Head needed",IF($F2314="","Account needed","OK")))),IF($C2314="","","PRO PLAN"))</f>
        <v/>
      </c>
    </row>
    <row r="2315" customFormat="false" ht="15" hidden="false" customHeight="false" outlineLevel="0" collapsed="false">
      <c r="A2315" s="55"/>
      <c r="B2315" s="56"/>
      <c r="C2315" s="56"/>
      <c r="D2315" s="56"/>
      <c r="E2315" s="56"/>
      <c r="F2315" s="56"/>
      <c r="G2315" s="58"/>
      <c r="H2315" s="56"/>
      <c r="I2315" s="61" t="str">
        <f aca="false">IF(IsPro,IF(OR($C2315="",N($G2315)=0),"",IF(OR($C2315="Receipt",$C2315="Other Income",$C2315="Capital In",$C2315="Transfer In"),$G2315,0)),"")</f>
        <v/>
      </c>
      <c r="J2315" s="61" t="str">
        <f aca="false">IF(IsPro,IF(OR($C2315="",N($G2315)=0),"",IF(I2315=0,$G2315,0)),"")</f>
        <v/>
      </c>
      <c r="K2315" s="60" t="str">
        <f aca="false">IF(IsPro,IF($C2315="","",IF(AND(OR($C2315="Receipt",$C2315="Payment"),$D2315=""),"Party needed",IF(AND(OR($C2315="Expense",$C2315="Other Income"),$E2315=""),"Head needed",IF($F2315="","Account needed","OK")))),IF($C2315="","","PRO PLAN"))</f>
        <v/>
      </c>
    </row>
    <row r="2316" customFormat="false" ht="15" hidden="false" customHeight="false" outlineLevel="0" collapsed="false">
      <c r="A2316" s="55"/>
      <c r="B2316" s="56"/>
      <c r="C2316" s="56"/>
      <c r="D2316" s="56"/>
      <c r="E2316" s="56"/>
      <c r="F2316" s="56"/>
      <c r="G2316" s="58"/>
      <c r="H2316" s="56"/>
      <c r="I2316" s="61" t="str">
        <f aca="false">IF(IsPro,IF(OR($C2316="",N($G2316)=0),"",IF(OR($C2316="Receipt",$C2316="Other Income",$C2316="Capital In",$C2316="Transfer In"),$G2316,0)),"")</f>
        <v/>
      </c>
      <c r="J2316" s="61" t="str">
        <f aca="false">IF(IsPro,IF(OR($C2316="",N($G2316)=0),"",IF(I2316=0,$G2316,0)),"")</f>
        <v/>
      </c>
      <c r="K2316" s="60" t="str">
        <f aca="false">IF(IsPro,IF($C2316="","",IF(AND(OR($C2316="Receipt",$C2316="Payment"),$D2316=""),"Party needed",IF(AND(OR($C2316="Expense",$C2316="Other Income"),$E2316=""),"Head needed",IF($F2316="","Account needed","OK")))),IF($C2316="","","PRO PLAN"))</f>
        <v/>
      </c>
    </row>
    <row r="2317" customFormat="false" ht="15" hidden="false" customHeight="false" outlineLevel="0" collapsed="false">
      <c r="A2317" s="55"/>
      <c r="B2317" s="56"/>
      <c r="C2317" s="56"/>
      <c r="D2317" s="56"/>
      <c r="E2317" s="56"/>
      <c r="F2317" s="56"/>
      <c r="G2317" s="58"/>
      <c r="H2317" s="56"/>
      <c r="I2317" s="61" t="str">
        <f aca="false">IF(IsPro,IF(OR($C2317="",N($G2317)=0),"",IF(OR($C2317="Receipt",$C2317="Other Income",$C2317="Capital In",$C2317="Transfer In"),$G2317,0)),"")</f>
        <v/>
      </c>
      <c r="J2317" s="61" t="str">
        <f aca="false">IF(IsPro,IF(OR($C2317="",N($G2317)=0),"",IF(I2317=0,$G2317,0)),"")</f>
        <v/>
      </c>
      <c r="K2317" s="60" t="str">
        <f aca="false">IF(IsPro,IF($C2317="","",IF(AND(OR($C2317="Receipt",$C2317="Payment"),$D2317=""),"Party needed",IF(AND(OR($C2317="Expense",$C2317="Other Income"),$E2317=""),"Head needed",IF($F2317="","Account needed","OK")))),IF($C2317="","","PRO PLAN"))</f>
        <v/>
      </c>
    </row>
    <row r="2318" customFormat="false" ht="15" hidden="false" customHeight="false" outlineLevel="0" collapsed="false">
      <c r="A2318" s="55"/>
      <c r="B2318" s="56"/>
      <c r="C2318" s="56"/>
      <c r="D2318" s="56"/>
      <c r="E2318" s="56"/>
      <c r="F2318" s="56"/>
      <c r="G2318" s="58"/>
      <c r="H2318" s="56"/>
      <c r="I2318" s="61" t="str">
        <f aca="false">IF(IsPro,IF(OR($C2318="",N($G2318)=0),"",IF(OR($C2318="Receipt",$C2318="Other Income",$C2318="Capital In",$C2318="Transfer In"),$G2318,0)),"")</f>
        <v/>
      </c>
      <c r="J2318" s="61" t="str">
        <f aca="false">IF(IsPro,IF(OR($C2318="",N($G2318)=0),"",IF(I2318=0,$G2318,0)),"")</f>
        <v/>
      </c>
      <c r="K2318" s="60" t="str">
        <f aca="false">IF(IsPro,IF($C2318="","",IF(AND(OR($C2318="Receipt",$C2318="Payment"),$D2318=""),"Party needed",IF(AND(OR($C2318="Expense",$C2318="Other Income"),$E2318=""),"Head needed",IF($F2318="","Account needed","OK")))),IF($C2318="","","PRO PLAN"))</f>
        <v/>
      </c>
    </row>
    <row r="2319" customFormat="false" ht="15" hidden="false" customHeight="false" outlineLevel="0" collapsed="false">
      <c r="A2319" s="55"/>
      <c r="B2319" s="56"/>
      <c r="C2319" s="56"/>
      <c r="D2319" s="56"/>
      <c r="E2319" s="56"/>
      <c r="F2319" s="56"/>
      <c r="G2319" s="58"/>
      <c r="H2319" s="56"/>
      <c r="I2319" s="61" t="str">
        <f aca="false">IF(IsPro,IF(OR($C2319="",N($G2319)=0),"",IF(OR($C2319="Receipt",$C2319="Other Income",$C2319="Capital In",$C2319="Transfer In"),$G2319,0)),"")</f>
        <v/>
      </c>
      <c r="J2319" s="61" t="str">
        <f aca="false">IF(IsPro,IF(OR($C2319="",N($G2319)=0),"",IF(I2319=0,$G2319,0)),"")</f>
        <v/>
      </c>
      <c r="K2319" s="60" t="str">
        <f aca="false">IF(IsPro,IF($C2319="","",IF(AND(OR($C2319="Receipt",$C2319="Payment"),$D2319=""),"Party needed",IF(AND(OR($C2319="Expense",$C2319="Other Income"),$E2319=""),"Head needed",IF($F2319="","Account needed","OK")))),IF($C2319="","","PRO PLAN"))</f>
        <v/>
      </c>
    </row>
    <row r="2320" customFormat="false" ht="15" hidden="false" customHeight="false" outlineLevel="0" collapsed="false">
      <c r="A2320" s="55"/>
      <c r="B2320" s="56"/>
      <c r="C2320" s="56"/>
      <c r="D2320" s="56"/>
      <c r="E2320" s="56"/>
      <c r="F2320" s="56"/>
      <c r="G2320" s="58"/>
      <c r="H2320" s="56"/>
      <c r="I2320" s="61" t="str">
        <f aca="false">IF(IsPro,IF(OR($C2320="",N($G2320)=0),"",IF(OR($C2320="Receipt",$C2320="Other Income",$C2320="Capital In",$C2320="Transfer In"),$G2320,0)),"")</f>
        <v/>
      </c>
      <c r="J2320" s="61" t="str">
        <f aca="false">IF(IsPro,IF(OR($C2320="",N($G2320)=0),"",IF(I2320=0,$G2320,0)),"")</f>
        <v/>
      </c>
      <c r="K2320" s="60" t="str">
        <f aca="false">IF(IsPro,IF($C2320="","",IF(AND(OR($C2320="Receipt",$C2320="Payment"),$D2320=""),"Party needed",IF(AND(OR($C2320="Expense",$C2320="Other Income"),$E2320=""),"Head needed",IF($F2320="","Account needed","OK")))),IF($C2320="","","PRO PLAN"))</f>
        <v/>
      </c>
    </row>
    <row r="2321" customFormat="false" ht="15" hidden="false" customHeight="false" outlineLevel="0" collapsed="false">
      <c r="A2321" s="55"/>
      <c r="B2321" s="56"/>
      <c r="C2321" s="56"/>
      <c r="D2321" s="56"/>
      <c r="E2321" s="56"/>
      <c r="F2321" s="56"/>
      <c r="G2321" s="58"/>
      <c r="H2321" s="56"/>
      <c r="I2321" s="61" t="str">
        <f aca="false">IF(IsPro,IF(OR($C2321="",N($G2321)=0),"",IF(OR($C2321="Receipt",$C2321="Other Income",$C2321="Capital In",$C2321="Transfer In"),$G2321,0)),"")</f>
        <v/>
      </c>
      <c r="J2321" s="61" t="str">
        <f aca="false">IF(IsPro,IF(OR($C2321="",N($G2321)=0),"",IF(I2321=0,$G2321,0)),"")</f>
        <v/>
      </c>
      <c r="K2321" s="60" t="str">
        <f aca="false">IF(IsPro,IF($C2321="","",IF(AND(OR($C2321="Receipt",$C2321="Payment"),$D2321=""),"Party needed",IF(AND(OR($C2321="Expense",$C2321="Other Income"),$E2321=""),"Head needed",IF($F2321="","Account needed","OK")))),IF($C2321="","","PRO PLAN"))</f>
        <v/>
      </c>
    </row>
    <row r="2322" customFormat="false" ht="15" hidden="false" customHeight="false" outlineLevel="0" collapsed="false">
      <c r="A2322" s="55"/>
      <c r="B2322" s="56"/>
      <c r="C2322" s="56"/>
      <c r="D2322" s="56"/>
      <c r="E2322" s="56"/>
      <c r="F2322" s="56"/>
      <c r="G2322" s="58"/>
      <c r="H2322" s="56"/>
      <c r="I2322" s="61" t="str">
        <f aca="false">IF(IsPro,IF(OR($C2322="",N($G2322)=0),"",IF(OR($C2322="Receipt",$C2322="Other Income",$C2322="Capital In",$C2322="Transfer In"),$G2322,0)),"")</f>
        <v/>
      </c>
      <c r="J2322" s="61" t="str">
        <f aca="false">IF(IsPro,IF(OR($C2322="",N($G2322)=0),"",IF(I2322=0,$G2322,0)),"")</f>
        <v/>
      </c>
      <c r="K2322" s="60" t="str">
        <f aca="false">IF(IsPro,IF($C2322="","",IF(AND(OR($C2322="Receipt",$C2322="Payment"),$D2322=""),"Party needed",IF(AND(OR($C2322="Expense",$C2322="Other Income"),$E2322=""),"Head needed",IF($F2322="","Account needed","OK")))),IF($C2322="","","PRO PLAN"))</f>
        <v/>
      </c>
    </row>
    <row r="2323" customFormat="false" ht="15" hidden="false" customHeight="false" outlineLevel="0" collapsed="false">
      <c r="A2323" s="55"/>
      <c r="B2323" s="56"/>
      <c r="C2323" s="56"/>
      <c r="D2323" s="56"/>
      <c r="E2323" s="56"/>
      <c r="F2323" s="56"/>
      <c r="G2323" s="58"/>
      <c r="H2323" s="56"/>
      <c r="I2323" s="61" t="str">
        <f aca="false">IF(IsPro,IF(OR($C2323="",N($G2323)=0),"",IF(OR($C2323="Receipt",$C2323="Other Income",$C2323="Capital In",$C2323="Transfer In"),$G2323,0)),"")</f>
        <v/>
      </c>
      <c r="J2323" s="61" t="str">
        <f aca="false">IF(IsPro,IF(OR($C2323="",N($G2323)=0),"",IF(I2323=0,$G2323,0)),"")</f>
        <v/>
      </c>
      <c r="K2323" s="60" t="str">
        <f aca="false">IF(IsPro,IF($C2323="","",IF(AND(OR($C2323="Receipt",$C2323="Payment"),$D2323=""),"Party needed",IF(AND(OR($C2323="Expense",$C2323="Other Income"),$E2323=""),"Head needed",IF($F2323="","Account needed","OK")))),IF($C2323="","","PRO PLAN"))</f>
        <v/>
      </c>
    </row>
    <row r="2324" customFormat="false" ht="15" hidden="false" customHeight="false" outlineLevel="0" collapsed="false">
      <c r="A2324" s="55"/>
      <c r="B2324" s="56"/>
      <c r="C2324" s="56"/>
      <c r="D2324" s="56"/>
      <c r="E2324" s="56"/>
      <c r="F2324" s="56"/>
      <c r="G2324" s="58"/>
      <c r="H2324" s="56"/>
      <c r="I2324" s="61" t="str">
        <f aca="false">IF(IsPro,IF(OR($C2324="",N($G2324)=0),"",IF(OR($C2324="Receipt",$C2324="Other Income",$C2324="Capital In",$C2324="Transfer In"),$G2324,0)),"")</f>
        <v/>
      </c>
      <c r="J2324" s="61" t="str">
        <f aca="false">IF(IsPro,IF(OR($C2324="",N($G2324)=0),"",IF(I2324=0,$G2324,0)),"")</f>
        <v/>
      </c>
      <c r="K2324" s="60" t="str">
        <f aca="false">IF(IsPro,IF($C2324="","",IF(AND(OR($C2324="Receipt",$C2324="Payment"),$D2324=""),"Party needed",IF(AND(OR($C2324="Expense",$C2324="Other Income"),$E2324=""),"Head needed",IF($F2324="","Account needed","OK")))),IF($C2324="","","PRO PLAN"))</f>
        <v/>
      </c>
    </row>
    <row r="2325" customFormat="false" ht="15" hidden="false" customHeight="false" outlineLevel="0" collapsed="false">
      <c r="A2325" s="55"/>
      <c r="B2325" s="56"/>
      <c r="C2325" s="56"/>
      <c r="D2325" s="56"/>
      <c r="E2325" s="56"/>
      <c r="F2325" s="56"/>
      <c r="G2325" s="58"/>
      <c r="H2325" s="56"/>
      <c r="I2325" s="61" t="str">
        <f aca="false">IF(IsPro,IF(OR($C2325="",N($G2325)=0),"",IF(OR($C2325="Receipt",$C2325="Other Income",$C2325="Capital In",$C2325="Transfer In"),$G2325,0)),"")</f>
        <v/>
      </c>
      <c r="J2325" s="61" t="str">
        <f aca="false">IF(IsPro,IF(OR($C2325="",N($G2325)=0),"",IF(I2325=0,$G2325,0)),"")</f>
        <v/>
      </c>
      <c r="K2325" s="60" t="str">
        <f aca="false">IF(IsPro,IF($C2325="","",IF(AND(OR($C2325="Receipt",$C2325="Payment"),$D2325=""),"Party needed",IF(AND(OR($C2325="Expense",$C2325="Other Income"),$E2325=""),"Head needed",IF($F2325="","Account needed","OK")))),IF($C2325="","","PRO PLAN"))</f>
        <v/>
      </c>
    </row>
    <row r="2326" customFormat="false" ht="15" hidden="false" customHeight="false" outlineLevel="0" collapsed="false">
      <c r="A2326" s="55"/>
      <c r="B2326" s="56"/>
      <c r="C2326" s="56"/>
      <c r="D2326" s="56"/>
      <c r="E2326" s="56"/>
      <c r="F2326" s="56"/>
      <c r="G2326" s="58"/>
      <c r="H2326" s="56"/>
      <c r="I2326" s="61" t="str">
        <f aca="false">IF(IsPro,IF(OR($C2326="",N($G2326)=0),"",IF(OR($C2326="Receipt",$C2326="Other Income",$C2326="Capital In",$C2326="Transfer In"),$G2326,0)),"")</f>
        <v/>
      </c>
      <c r="J2326" s="61" t="str">
        <f aca="false">IF(IsPro,IF(OR($C2326="",N($G2326)=0),"",IF(I2326=0,$G2326,0)),"")</f>
        <v/>
      </c>
      <c r="K2326" s="60" t="str">
        <f aca="false">IF(IsPro,IF($C2326="","",IF(AND(OR($C2326="Receipt",$C2326="Payment"),$D2326=""),"Party needed",IF(AND(OR($C2326="Expense",$C2326="Other Income"),$E2326=""),"Head needed",IF($F2326="","Account needed","OK")))),IF($C2326="","","PRO PLAN"))</f>
        <v/>
      </c>
    </row>
    <row r="2327" customFormat="false" ht="15" hidden="false" customHeight="false" outlineLevel="0" collapsed="false">
      <c r="A2327" s="55"/>
      <c r="B2327" s="56"/>
      <c r="C2327" s="56"/>
      <c r="D2327" s="56"/>
      <c r="E2327" s="56"/>
      <c r="F2327" s="56"/>
      <c r="G2327" s="58"/>
      <c r="H2327" s="56"/>
      <c r="I2327" s="61" t="str">
        <f aca="false">IF(IsPro,IF(OR($C2327="",N($G2327)=0),"",IF(OR($C2327="Receipt",$C2327="Other Income",$C2327="Capital In",$C2327="Transfer In"),$G2327,0)),"")</f>
        <v/>
      </c>
      <c r="J2327" s="61" t="str">
        <f aca="false">IF(IsPro,IF(OR($C2327="",N($G2327)=0),"",IF(I2327=0,$G2327,0)),"")</f>
        <v/>
      </c>
      <c r="K2327" s="60" t="str">
        <f aca="false">IF(IsPro,IF($C2327="","",IF(AND(OR($C2327="Receipt",$C2327="Payment"),$D2327=""),"Party needed",IF(AND(OR($C2327="Expense",$C2327="Other Income"),$E2327=""),"Head needed",IF($F2327="","Account needed","OK")))),IF($C2327="","","PRO PLAN"))</f>
        <v/>
      </c>
    </row>
    <row r="2328" customFormat="false" ht="15" hidden="false" customHeight="false" outlineLevel="0" collapsed="false">
      <c r="A2328" s="55"/>
      <c r="B2328" s="56"/>
      <c r="C2328" s="56"/>
      <c r="D2328" s="56"/>
      <c r="E2328" s="56"/>
      <c r="F2328" s="56"/>
      <c r="G2328" s="58"/>
      <c r="H2328" s="56"/>
      <c r="I2328" s="61" t="str">
        <f aca="false">IF(IsPro,IF(OR($C2328="",N($G2328)=0),"",IF(OR($C2328="Receipt",$C2328="Other Income",$C2328="Capital In",$C2328="Transfer In"),$G2328,0)),"")</f>
        <v/>
      </c>
      <c r="J2328" s="61" t="str">
        <f aca="false">IF(IsPro,IF(OR($C2328="",N($G2328)=0),"",IF(I2328=0,$G2328,0)),"")</f>
        <v/>
      </c>
      <c r="K2328" s="60" t="str">
        <f aca="false">IF(IsPro,IF($C2328="","",IF(AND(OR($C2328="Receipt",$C2328="Payment"),$D2328=""),"Party needed",IF(AND(OR($C2328="Expense",$C2328="Other Income"),$E2328=""),"Head needed",IF($F2328="","Account needed","OK")))),IF($C2328="","","PRO PLAN"))</f>
        <v/>
      </c>
    </row>
    <row r="2329" customFormat="false" ht="15" hidden="false" customHeight="false" outlineLevel="0" collapsed="false">
      <c r="A2329" s="55"/>
      <c r="B2329" s="56"/>
      <c r="C2329" s="56"/>
      <c r="D2329" s="56"/>
      <c r="E2329" s="56"/>
      <c r="F2329" s="56"/>
      <c r="G2329" s="58"/>
      <c r="H2329" s="56"/>
      <c r="I2329" s="61" t="str">
        <f aca="false">IF(IsPro,IF(OR($C2329="",N($G2329)=0),"",IF(OR($C2329="Receipt",$C2329="Other Income",$C2329="Capital In",$C2329="Transfer In"),$G2329,0)),"")</f>
        <v/>
      </c>
      <c r="J2329" s="61" t="str">
        <f aca="false">IF(IsPro,IF(OR($C2329="",N($G2329)=0),"",IF(I2329=0,$G2329,0)),"")</f>
        <v/>
      </c>
      <c r="K2329" s="60" t="str">
        <f aca="false">IF(IsPro,IF($C2329="","",IF(AND(OR($C2329="Receipt",$C2329="Payment"),$D2329=""),"Party needed",IF(AND(OR($C2329="Expense",$C2329="Other Income"),$E2329=""),"Head needed",IF($F2329="","Account needed","OK")))),IF($C2329="","","PRO PLAN"))</f>
        <v/>
      </c>
    </row>
    <row r="2330" customFormat="false" ht="15" hidden="false" customHeight="false" outlineLevel="0" collapsed="false">
      <c r="A2330" s="55"/>
      <c r="B2330" s="56"/>
      <c r="C2330" s="56"/>
      <c r="D2330" s="56"/>
      <c r="E2330" s="56"/>
      <c r="F2330" s="56"/>
      <c r="G2330" s="58"/>
      <c r="H2330" s="56"/>
      <c r="I2330" s="61" t="str">
        <f aca="false">IF(IsPro,IF(OR($C2330="",N($G2330)=0),"",IF(OR($C2330="Receipt",$C2330="Other Income",$C2330="Capital In",$C2330="Transfer In"),$G2330,0)),"")</f>
        <v/>
      </c>
      <c r="J2330" s="61" t="str">
        <f aca="false">IF(IsPro,IF(OR($C2330="",N($G2330)=0),"",IF(I2330=0,$G2330,0)),"")</f>
        <v/>
      </c>
      <c r="K2330" s="60" t="str">
        <f aca="false">IF(IsPro,IF($C2330="","",IF(AND(OR($C2330="Receipt",$C2330="Payment"),$D2330=""),"Party needed",IF(AND(OR($C2330="Expense",$C2330="Other Income"),$E2330=""),"Head needed",IF($F2330="","Account needed","OK")))),IF($C2330="","","PRO PLAN"))</f>
        <v/>
      </c>
    </row>
    <row r="2331" customFormat="false" ht="15" hidden="false" customHeight="false" outlineLevel="0" collapsed="false">
      <c r="A2331" s="55"/>
      <c r="B2331" s="56"/>
      <c r="C2331" s="56"/>
      <c r="D2331" s="56"/>
      <c r="E2331" s="56"/>
      <c r="F2331" s="56"/>
      <c r="G2331" s="58"/>
      <c r="H2331" s="56"/>
      <c r="I2331" s="61" t="str">
        <f aca="false">IF(IsPro,IF(OR($C2331="",N($G2331)=0),"",IF(OR($C2331="Receipt",$C2331="Other Income",$C2331="Capital In",$C2331="Transfer In"),$G2331,0)),"")</f>
        <v/>
      </c>
      <c r="J2331" s="61" t="str">
        <f aca="false">IF(IsPro,IF(OR($C2331="",N($G2331)=0),"",IF(I2331=0,$G2331,0)),"")</f>
        <v/>
      </c>
      <c r="K2331" s="60" t="str">
        <f aca="false">IF(IsPro,IF($C2331="","",IF(AND(OR($C2331="Receipt",$C2331="Payment"),$D2331=""),"Party needed",IF(AND(OR($C2331="Expense",$C2331="Other Income"),$E2331=""),"Head needed",IF($F2331="","Account needed","OK")))),IF($C2331="","","PRO PLAN"))</f>
        <v/>
      </c>
    </row>
    <row r="2332" customFormat="false" ht="15" hidden="false" customHeight="false" outlineLevel="0" collapsed="false">
      <c r="A2332" s="55"/>
      <c r="B2332" s="56"/>
      <c r="C2332" s="56"/>
      <c r="D2332" s="56"/>
      <c r="E2332" s="56"/>
      <c r="F2332" s="56"/>
      <c r="G2332" s="58"/>
      <c r="H2332" s="56"/>
      <c r="I2332" s="61" t="str">
        <f aca="false">IF(IsPro,IF(OR($C2332="",N($G2332)=0),"",IF(OR($C2332="Receipt",$C2332="Other Income",$C2332="Capital In",$C2332="Transfer In"),$G2332,0)),"")</f>
        <v/>
      </c>
      <c r="J2332" s="61" t="str">
        <f aca="false">IF(IsPro,IF(OR($C2332="",N($G2332)=0),"",IF(I2332=0,$G2332,0)),"")</f>
        <v/>
      </c>
      <c r="K2332" s="60" t="str">
        <f aca="false">IF(IsPro,IF($C2332="","",IF(AND(OR($C2332="Receipt",$C2332="Payment"),$D2332=""),"Party needed",IF(AND(OR($C2332="Expense",$C2332="Other Income"),$E2332=""),"Head needed",IF($F2332="","Account needed","OK")))),IF($C2332="","","PRO PLAN"))</f>
        <v/>
      </c>
    </row>
    <row r="2333" customFormat="false" ht="15" hidden="false" customHeight="false" outlineLevel="0" collapsed="false">
      <c r="A2333" s="55"/>
      <c r="B2333" s="56"/>
      <c r="C2333" s="56"/>
      <c r="D2333" s="56"/>
      <c r="E2333" s="56"/>
      <c r="F2333" s="56"/>
      <c r="G2333" s="58"/>
      <c r="H2333" s="56"/>
      <c r="I2333" s="61" t="str">
        <f aca="false">IF(IsPro,IF(OR($C2333="",N($G2333)=0),"",IF(OR($C2333="Receipt",$C2333="Other Income",$C2333="Capital In",$C2333="Transfer In"),$G2333,0)),"")</f>
        <v/>
      </c>
      <c r="J2333" s="61" t="str">
        <f aca="false">IF(IsPro,IF(OR($C2333="",N($G2333)=0),"",IF(I2333=0,$G2333,0)),"")</f>
        <v/>
      </c>
      <c r="K2333" s="60" t="str">
        <f aca="false">IF(IsPro,IF($C2333="","",IF(AND(OR($C2333="Receipt",$C2333="Payment"),$D2333=""),"Party needed",IF(AND(OR($C2333="Expense",$C2333="Other Income"),$E2333=""),"Head needed",IF($F2333="","Account needed","OK")))),IF($C2333="","","PRO PLAN"))</f>
        <v/>
      </c>
    </row>
    <row r="2334" customFormat="false" ht="15" hidden="false" customHeight="false" outlineLevel="0" collapsed="false">
      <c r="A2334" s="55"/>
      <c r="B2334" s="56"/>
      <c r="C2334" s="56"/>
      <c r="D2334" s="56"/>
      <c r="E2334" s="56"/>
      <c r="F2334" s="56"/>
      <c r="G2334" s="58"/>
      <c r="H2334" s="56"/>
      <c r="I2334" s="61" t="str">
        <f aca="false">IF(IsPro,IF(OR($C2334="",N($G2334)=0),"",IF(OR($C2334="Receipt",$C2334="Other Income",$C2334="Capital In",$C2334="Transfer In"),$G2334,0)),"")</f>
        <v/>
      </c>
      <c r="J2334" s="61" t="str">
        <f aca="false">IF(IsPro,IF(OR($C2334="",N($G2334)=0),"",IF(I2334=0,$G2334,0)),"")</f>
        <v/>
      </c>
      <c r="K2334" s="60" t="str">
        <f aca="false">IF(IsPro,IF($C2334="","",IF(AND(OR($C2334="Receipt",$C2334="Payment"),$D2334=""),"Party needed",IF(AND(OR($C2334="Expense",$C2334="Other Income"),$E2334=""),"Head needed",IF($F2334="","Account needed","OK")))),IF($C2334="","","PRO PLAN"))</f>
        <v/>
      </c>
    </row>
    <row r="2335" customFormat="false" ht="15" hidden="false" customHeight="false" outlineLevel="0" collapsed="false">
      <c r="A2335" s="55"/>
      <c r="B2335" s="56"/>
      <c r="C2335" s="56"/>
      <c r="D2335" s="56"/>
      <c r="E2335" s="56"/>
      <c r="F2335" s="56"/>
      <c r="G2335" s="58"/>
      <c r="H2335" s="56"/>
      <c r="I2335" s="61" t="str">
        <f aca="false">IF(IsPro,IF(OR($C2335="",N($G2335)=0),"",IF(OR($C2335="Receipt",$C2335="Other Income",$C2335="Capital In",$C2335="Transfer In"),$G2335,0)),"")</f>
        <v/>
      </c>
      <c r="J2335" s="61" t="str">
        <f aca="false">IF(IsPro,IF(OR($C2335="",N($G2335)=0),"",IF(I2335=0,$G2335,0)),"")</f>
        <v/>
      </c>
      <c r="K2335" s="60" t="str">
        <f aca="false">IF(IsPro,IF($C2335="","",IF(AND(OR($C2335="Receipt",$C2335="Payment"),$D2335=""),"Party needed",IF(AND(OR($C2335="Expense",$C2335="Other Income"),$E2335=""),"Head needed",IF($F2335="","Account needed","OK")))),IF($C2335="","","PRO PLAN"))</f>
        <v/>
      </c>
    </row>
    <row r="2336" customFormat="false" ht="15" hidden="false" customHeight="false" outlineLevel="0" collapsed="false">
      <c r="A2336" s="55"/>
      <c r="B2336" s="56"/>
      <c r="C2336" s="56"/>
      <c r="D2336" s="56"/>
      <c r="E2336" s="56"/>
      <c r="F2336" s="56"/>
      <c r="G2336" s="58"/>
      <c r="H2336" s="56"/>
      <c r="I2336" s="61" t="str">
        <f aca="false">IF(IsPro,IF(OR($C2336="",N($G2336)=0),"",IF(OR($C2336="Receipt",$C2336="Other Income",$C2336="Capital In",$C2336="Transfer In"),$G2336,0)),"")</f>
        <v/>
      </c>
      <c r="J2336" s="61" t="str">
        <f aca="false">IF(IsPro,IF(OR($C2336="",N($G2336)=0),"",IF(I2336=0,$G2336,0)),"")</f>
        <v/>
      </c>
      <c r="K2336" s="60" t="str">
        <f aca="false">IF(IsPro,IF($C2336="","",IF(AND(OR($C2336="Receipt",$C2336="Payment"),$D2336=""),"Party needed",IF(AND(OR($C2336="Expense",$C2336="Other Income"),$E2336=""),"Head needed",IF($F2336="","Account needed","OK")))),IF($C2336="","","PRO PLAN"))</f>
        <v/>
      </c>
    </row>
    <row r="2337" customFormat="false" ht="15" hidden="false" customHeight="false" outlineLevel="0" collapsed="false">
      <c r="A2337" s="55"/>
      <c r="B2337" s="56"/>
      <c r="C2337" s="56"/>
      <c r="D2337" s="56"/>
      <c r="E2337" s="56"/>
      <c r="F2337" s="56"/>
      <c r="G2337" s="58"/>
      <c r="H2337" s="56"/>
      <c r="I2337" s="61" t="str">
        <f aca="false">IF(IsPro,IF(OR($C2337="",N($G2337)=0),"",IF(OR($C2337="Receipt",$C2337="Other Income",$C2337="Capital In",$C2337="Transfer In"),$G2337,0)),"")</f>
        <v/>
      </c>
      <c r="J2337" s="61" t="str">
        <f aca="false">IF(IsPro,IF(OR($C2337="",N($G2337)=0),"",IF(I2337=0,$G2337,0)),"")</f>
        <v/>
      </c>
      <c r="K2337" s="60" t="str">
        <f aca="false">IF(IsPro,IF($C2337="","",IF(AND(OR($C2337="Receipt",$C2337="Payment"),$D2337=""),"Party needed",IF(AND(OR($C2337="Expense",$C2337="Other Income"),$E2337=""),"Head needed",IF($F2337="","Account needed","OK")))),IF($C2337="","","PRO PLAN"))</f>
        <v/>
      </c>
    </row>
    <row r="2338" customFormat="false" ht="15" hidden="false" customHeight="false" outlineLevel="0" collapsed="false">
      <c r="A2338" s="55"/>
      <c r="B2338" s="56"/>
      <c r="C2338" s="56"/>
      <c r="D2338" s="56"/>
      <c r="E2338" s="56"/>
      <c r="F2338" s="56"/>
      <c r="G2338" s="58"/>
      <c r="H2338" s="56"/>
      <c r="I2338" s="61" t="str">
        <f aca="false">IF(IsPro,IF(OR($C2338="",N($G2338)=0),"",IF(OR($C2338="Receipt",$C2338="Other Income",$C2338="Capital In",$C2338="Transfer In"),$G2338,0)),"")</f>
        <v/>
      </c>
      <c r="J2338" s="61" t="str">
        <f aca="false">IF(IsPro,IF(OR($C2338="",N($G2338)=0),"",IF(I2338=0,$G2338,0)),"")</f>
        <v/>
      </c>
      <c r="K2338" s="60" t="str">
        <f aca="false">IF(IsPro,IF($C2338="","",IF(AND(OR($C2338="Receipt",$C2338="Payment"),$D2338=""),"Party needed",IF(AND(OR($C2338="Expense",$C2338="Other Income"),$E2338=""),"Head needed",IF($F2338="","Account needed","OK")))),IF($C2338="","","PRO PLAN"))</f>
        <v/>
      </c>
    </row>
    <row r="2339" customFormat="false" ht="15" hidden="false" customHeight="false" outlineLevel="0" collapsed="false">
      <c r="A2339" s="55"/>
      <c r="B2339" s="56"/>
      <c r="C2339" s="56"/>
      <c r="D2339" s="56"/>
      <c r="E2339" s="56"/>
      <c r="F2339" s="56"/>
      <c r="G2339" s="58"/>
      <c r="H2339" s="56"/>
      <c r="I2339" s="61" t="str">
        <f aca="false">IF(IsPro,IF(OR($C2339="",N($G2339)=0),"",IF(OR($C2339="Receipt",$C2339="Other Income",$C2339="Capital In",$C2339="Transfer In"),$G2339,0)),"")</f>
        <v/>
      </c>
      <c r="J2339" s="61" t="str">
        <f aca="false">IF(IsPro,IF(OR($C2339="",N($G2339)=0),"",IF(I2339=0,$G2339,0)),"")</f>
        <v/>
      </c>
      <c r="K2339" s="60" t="str">
        <f aca="false">IF(IsPro,IF($C2339="","",IF(AND(OR($C2339="Receipt",$C2339="Payment"),$D2339=""),"Party needed",IF(AND(OR($C2339="Expense",$C2339="Other Income"),$E2339=""),"Head needed",IF($F2339="","Account needed","OK")))),IF($C2339="","","PRO PLAN"))</f>
        <v/>
      </c>
    </row>
    <row r="2340" customFormat="false" ht="15" hidden="false" customHeight="false" outlineLevel="0" collapsed="false">
      <c r="A2340" s="55"/>
      <c r="B2340" s="56"/>
      <c r="C2340" s="56"/>
      <c r="D2340" s="56"/>
      <c r="E2340" s="56"/>
      <c r="F2340" s="56"/>
      <c r="G2340" s="58"/>
      <c r="H2340" s="56"/>
      <c r="I2340" s="61" t="str">
        <f aca="false">IF(IsPro,IF(OR($C2340="",N($G2340)=0),"",IF(OR($C2340="Receipt",$C2340="Other Income",$C2340="Capital In",$C2340="Transfer In"),$G2340,0)),"")</f>
        <v/>
      </c>
      <c r="J2340" s="61" t="str">
        <f aca="false">IF(IsPro,IF(OR($C2340="",N($G2340)=0),"",IF(I2340=0,$G2340,0)),"")</f>
        <v/>
      </c>
      <c r="K2340" s="60" t="str">
        <f aca="false">IF(IsPro,IF($C2340="","",IF(AND(OR($C2340="Receipt",$C2340="Payment"),$D2340=""),"Party needed",IF(AND(OR($C2340="Expense",$C2340="Other Income"),$E2340=""),"Head needed",IF($F2340="","Account needed","OK")))),IF($C2340="","","PRO PLAN"))</f>
        <v/>
      </c>
    </row>
    <row r="2341" customFormat="false" ht="15" hidden="false" customHeight="false" outlineLevel="0" collapsed="false">
      <c r="A2341" s="55"/>
      <c r="B2341" s="56"/>
      <c r="C2341" s="56"/>
      <c r="D2341" s="56"/>
      <c r="E2341" s="56"/>
      <c r="F2341" s="56"/>
      <c r="G2341" s="58"/>
      <c r="H2341" s="56"/>
      <c r="I2341" s="61" t="str">
        <f aca="false">IF(IsPro,IF(OR($C2341="",N($G2341)=0),"",IF(OR($C2341="Receipt",$C2341="Other Income",$C2341="Capital In",$C2341="Transfer In"),$G2341,0)),"")</f>
        <v/>
      </c>
      <c r="J2341" s="61" t="str">
        <f aca="false">IF(IsPro,IF(OR($C2341="",N($G2341)=0),"",IF(I2341=0,$G2341,0)),"")</f>
        <v/>
      </c>
      <c r="K2341" s="60" t="str">
        <f aca="false">IF(IsPro,IF($C2341="","",IF(AND(OR($C2341="Receipt",$C2341="Payment"),$D2341=""),"Party needed",IF(AND(OR($C2341="Expense",$C2341="Other Income"),$E2341=""),"Head needed",IF($F2341="","Account needed","OK")))),IF($C2341="","","PRO PLAN"))</f>
        <v/>
      </c>
    </row>
    <row r="2342" customFormat="false" ht="15" hidden="false" customHeight="false" outlineLevel="0" collapsed="false">
      <c r="A2342" s="55"/>
      <c r="B2342" s="56"/>
      <c r="C2342" s="56"/>
      <c r="D2342" s="56"/>
      <c r="E2342" s="56"/>
      <c r="F2342" s="56"/>
      <c r="G2342" s="58"/>
      <c r="H2342" s="56"/>
      <c r="I2342" s="61" t="str">
        <f aca="false">IF(IsPro,IF(OR($C2342="",N($G2342)=0),"",IF(OR($C2342="Receipt",$C2342="Other Income",$C2342="Capital In",$C2342="Transfer In"),$G2342,0)),"")</f>
        <v/>
      </c>
      <c r="J2342" s="61" t="str">
        <f aca="false">IF(IsPro,IF(OR($C2342="",N($G2342)=0),"",IF(I2342=0,$G2342,0)),"")</f>
        <v/>
      </c>
      <c r="K2342" s="60" t="str">
        <f aca="false">IF(IsPro,IF($C2342="","",IF(AND(OR($C2342="Receipt",$C2342="Payment"),$D2342=""),"Party needed",IF(AND(OR($C2342="Expense",$C2342="Other Income"),$E2342=""),"Head needed",IF($F2342="","Account needed","OK")))),IF($C2342="","","PRO PLAN"))</f>
        <v/>
      </c>
    </row>
    <row r="2343" customFormat="false" ht="15" hidden="false" customHeight="false" outlineLevel="0" collapsed="false">
      <c r="A2343" s="55"/>
      <c r="B2343" s="56"/>
      <c r="C2343" s="56"/>
      <c r="D2343" s="56"/>
      <c r="E2343" s="56"/>
      <c r="F2343" s="56"/>
      <c r="G2343" s="58"/>
      <c r="H2343" s="56"/>
      <c r="I2343" s="61" t="str">
        <f aca="false">IF(IsPro,IF(OR($C2343="",N($G2343)=0),"",IF(OR($C2343="Receipt",$C2343="Other Income",$C2343="Capital In",$C2343="Transfer In"),$G2343,0)),"")</f>
        <v/>
      </c>
      <c r="J2343" s="61" t="str">
        <f aca="false">IF(IsPro,IF(OR($C2343="",N($G2343)=0),"",IF(I2343=0,$G2343,0)),"")</f>
        <v/>
      </c>
      <c r="K2343" s="60" t="str">
        <f aca="false">IF(IsPro,IF($C2343="","",IF(AND(OR($C2343="Receipt",$C2343="Payment"),$D2343=""),"Party needed",IF(AND(OR($C2343="Expense",$C2343="Other Income"),$E2343=""),"Head needed",IF($F2343="","Account needed","OK")))),IF($C2343="","","PRO PLAN"))</f>
        <v/>
      </c>
    </row>
    <row r="2344" customFormat="false" ht="15" hidden="false" customHeight="false" outlineLevel="0" collapsed="false">
      <c r="A2344" s="55"/>
      <c r="B2344" s="56"/>
      <c r="C2344" s="56"/>
      <c r="D2344" s="56"/>
      <c r="E2344" s="56"/>
      <c r="F2344" s="56"/>
      <c r="G2344" s="58"/>
      <c r="H2344" s="56"/>
      <c r="I2344" s="61" t="str">
        <f aca="false">IF(IsPro,IF(OR($C2344="",N($G2344)=0),"",IF(OR($C2344="Receipt",$C2344="Other Income",$C2344="Capital In",$C2344="Transfer In"),$G2344,0)),"")</f>
        <v/>
      </c>
      <c r="J2344" s="61" t="str">
        <f aca="false">IF(IsPro,IF(OR($C2344="",N($G2344)=0),"",IF(I2344=0,$G2344,0)),"")</f>
        <v/>
      </c>
      <c r="K2344" s="60" t="str">
        <f aca="false">IF(IsPro,IF($C2344="","",IF(AND(OR($C2344="Receipt",$C2344="Payment"),$D2344=""),"Party needed",IF(AND(OR($C2344="Expense",$C2344="Other Income"),$E2344=""),"Head needed",IF($F2344="","Account needed","OK")))),IF($C2344="","","PRO PLAN"))</f>
        <v/>
      </c>
    </row>
    <row r="2345" customFormat="false" ht="15" hidden="false" customHeight="false" outlineLevel="0" collapsed="false">
      <c r="A2345" s="55"/>
      <c r="B2345" s="56"/>
      <c r="C2345" s="56"/>
      <c r="D2345" s="56"/>
      <c r="E2345" s="56"/>
      <c r="F2345" s="56"/>
      <c r="G2345" s="58"/>
      <c r="H2345" s="56"/>
      <c r="I2345" s="61" t="str">
        <f aca="false">IF(IsPro,IF(OR($C2345="",N($G2345)=0),"",IF(OR($C2345="Receipt",$C2345="Other Income",$C2345="Capital In",$C2345="Transfer In"),$G2345,0)),"")</f>
        <v/>
      </c>
      <c r="J2345" s="61" t="str">
        <f aca="false">IF(IsPro,IF(OR($C2345="",N($G2345)=0),"",IF(I2345=0,$G2345,0)),"")</f>
        <v/>
      </c>
      <c r="K2345" s="60" t="str">
        <f aca="false">IF(IsPro,IF($C2345="","",IF(AND(OR($C2345="Receipt",$C2345="Payment"),$D2345=""),"Party needed",IF(AND(OR($C2345="Expense",$C2345="Other Income"),$E2345=""),"Head needed",IF($F2345="","Account needed","OK")))),IF($C2345="","","PRO PLAN"))</f>
        <v/>
      </c>
    </row>
    <row r="2346" customFormat="false" ht="15" hidden="false" customHeight="false" outlineLevel="0" collapsed="false">
      <c r="A2346" s="55"/>
      <c r="B2346" s="56"/>
      <c r="C2346" s="56"/>
      <c r="D2346" s="56"/>
      <c r="E2346" s="56"/>
      <c r="F2346" s="56"/>
      <c r="G2346" s="58"/>
      <c r="H2346" s="56"/>
      <c r="I2346" s="61" t="str">
        <f aca="false">IF(IsPro,IF(OR($C2346="",N($G2346)=0),"",IF(OR($C2346="Receipt",$C2346="Other Income",$C2346="Capital In",$C2346="Transfer In"),$G2346,0)),"")</f>
        <v/>
      </c>
      <c r="J2346" s="61" t="str">
        <f aca="false">IF(IsPro,IF(OR($C2346="",N($G2346)=0),"",IF(I2346=0,$G2346,0)),"")</f>
        <v/>
      </c>
      <c r="K2346" s="60" t="str">
        <f aca="false">IF(IsPro,IF($C2346="","",IF(AND(OR($C2346="Receipt",$C2346="Payment"),$D2346=""),"Party needed",IF(AND(OR($C2346="Expense",$C2346="Other Income"),$E2346=""),"Head needed",IF($F2346="","Account needed","OK")))),IF($C2346="","","PRO PLAN"))</f>
        <v/>
      </c>
    </row>
    <row r="2347" customFormat="false" ht="15" hidden="false" customHeight="false" outlineLevel="0" collapsed="false">
      <c r="A2347" s="55"/>
      <c r="B2347" s="56"/>
      <c r="C2347" s="56"/>
      <c r="D2347" s="56"/>
      <c r="E2347" s="56"/>
      <c r="F2347" s="56"/>
      <c r="G2347" s="58"/>
      <c r="H2347" s="56"/>
      <c r="I2347" s="61" t="str">
        <f aca="false">IF(IsPro,IF(OR($C2347="",N($G2347)=0),"",IF(OR($C2347="Receipt",$C2347="Other Income",$C2347="Capital In",$C2347="Transfer In"),$G2347,0)),"")</f>
        <v/>
      </c>
      <c r="J2347" s="61" t="str">
        <f aca="false">IF(IsPro,IF(OR($C2347="",N($G2347)=0),"",IF(I2347=0,$G2347,0)),"")</f>
        <v/>
      </c>
      <c r="K2347" s="60" t="str">
        <f aca="false">IF(IsPro,IF($C2347="","",IF(AND(OR($C2347="Receipt",$C2347="Payment"),$D2347=""),"Party needed",IF(AND(OR($C2347="Expense",$C2347="Other Income"),$E2347=""),"Head needed",IF($F2347="","Account needed","OK")))),IF($C2347="","","PRO PLAN"))</f>
        <v/>
      </c>
    </row>
    <row r="2348" customFormat="false" ht="15" hidden="false" customHeight="false" outlineLevel="0" collapsed="false">
      <c r="A2348" s="55"/>
      <c r="B2348" s="56"/>
      <c r="C2348" s="56"/>
      <c r="D2348" s="56"/>
      <c r="E2348" s="56"/>
      <c r="F2348" s="56"/>
      <c r="G2348" s="58"/>
      <c r="H2348" s="56"/>
      <c r="I2348" s="61" t="str">
        <f aca="false">IF(IsPro,IF(OR($C2348="",N($G2348)=0),"",IF(OR($C2348="Receipt",$C2348="Other Income",$C2348="Capital In",$C2348="Transfer In"),$G2348,0)),"")</f>
        <v/>
      </c>
      <c r="J2348" s="61" t="str">
        <f aca="false">IF(IsPro,IF(OR($C2348="",N($G2348)=0),"",IF(I2348=0,$G2348,0)),"")</f>
        <v/>
      </c>
      <c r="K2348" s="60" t="str">
        <f aca="false">IF(IsPro,IF($C2348="","",IF(AND(OR($C2348="Receipt",$C2348="Payment"),$D2348=""),"Party needed",IF(AND(OR($C2348="Expense",$C2348="Other Income"),$E2348=""),"Head needed",IF($F2348="","Account needed","OK")))),IF($C2348="","","PRO PLAN"))</f>
        <v/>
      </c>
    </row>
    <row r="2349" customFormat="false" ht="15" hidden="false" customHeight="false" outlineLevel="0" collapsed="false">
      <c r="A2349" s="55"/>
      <c r="B2349" s="56"/>
      <c r="C2349" s="56"/>
      <c r="D2349" s="56"/>
      <c r="E2349" s="56"/>
      <c r="F2349" s="56"/>
      <c r="G2349" s="58"/>
      <c r="H2349" s="56"/>
      <c r="I2349" s="61" t="str">
        <f aca="false">IF(IsPro,IF(OR($C2349="",N($G2349)=0),"",IF(OR($C2349="Receipt",$C2349="Other Income",$C2349="Capital In",$C2349="Transfer In"),$G2349,0)),"")</f>
        <v/>
      </c>
      <c r="J2349" s="61" t="str">
        <f aca="false">IF(IsPro,IF(OR($C2349="",N($G2349)=0),"",IF(I2349=0,$G2349,0)),"")</f>
        <v/>
      </c>
      <c r="K2349" s="60" t="str">
        <f aca="false">IF(IsPro,IF($C2349="","",IF(AND(OR($C2349="Receipt",$C2349="Payment"),$D2349=""),"Party needed",IF(AND(OR($C2349="Expense",$C2349="Other Income"),$E2349=""),"Head needed",IF($F2349="","Account needed","OK")))),IF($C2349="","","PRO PLAN"))</f>
        <v/>
      </c>
    </row>
    <row r="2350" customFormat="false" ht="15" hidden="false" customHeight="false" outlineLevel="0" collapsed="false">
      <c r="A2350" s="55"/>
      <c r="B2350" s="56"/>
      <c r="C2350" s="56"/>
      <c r="D2350" s="56"/>
      <c r="E2350" s="56"/>
      <c r="F2350" s="56"/>
      <c r="G2350" s="58"/>
      <c r="H2350" s="56"/>
      <c r="I2350" s="61" t="str">
        <f aca="false">IF(IsPro,IF(OR($C2350="",N($G2350)=0),"",IF(OR($C2350="Receipt",$C2350="Other Income",$C2350="Capital In",$C2350="Transfer In"),$G2350,0)),"")</f>
        <v/>
      </c>
      <c r="J2350" s="61" t="str">
        <f aca="false">IF(IsPro,IF(OR($C2350="",N($G2350)=0),"",IF(I2350=0,$G2350,0)),"")</f>
        <v/>
      </c>
      <c r="K2350" s="60" t="str">
        <f aca="false">IF(IsPro,IF($C2350="","",IF(AND(OR($C2350="Receipt",$C2350="Payment"),$D2350=""),"Party needed",IF(AND(OR($C2350="Expense",$C2350="Other Income"),$E2350=""),"Head needed",IF($F2350="","Account needed","OK")))),IF($C2350="","","PRO PLAN"))</f>
        <v/>
      </c>
    </row>
    <row r="2351" customFormat="false" ht="15" hidden="false" customHeight="false" outlineLevel="0" collapsed="false">
      <c r="A2351" s="55"/>
      <c r="B2351" s="56"/>
      <c r="C2351" s="56"/>
      <c r="D2351" s="56"/>
      <c r="E2351" s="56"/>
      <c r="F2351" s="56"/>
      <c r="G2351" s="58"/>
      <c r="H2351" s="56"/>
      <c r="I2351" s="61" t="str">
        <f aca="false">IF(IsPro,IF(OR($C2351="",N($G2351)=0),"",IF(OR($C2351="Receipt",$C2351="Other Income",$C2351="Capital In",$C2351="Transfer In"),$G2351,0)),"")</f>
        <v/>
      </c>
      <c r="J2351" s="61" t="str">
        <f aca="false">IF(IsPro,IF(OR($C2351="",N($G2351)=0),"",IF(I2351=0,$G2351,0)),"")</f>
        <v/>
      </c>
      <c r="K2351" s="60" t="str">
        <f aca="false">IF(IsPro,IF($C2351="","",IF(AND(OR($C2351="Receipt",$C2351="Payment"),$D2351=""),"Party needed",IF(AND(OR($C2351="Expense",$C2351="Other Income"),$E2351=""),"Head needed",IF($F2351="","Account needed","OK")))),IF($C2351="","","PRO PLAN"))</f>
        <v/>
      </c>
    </row>
    <row r="2352" customFormat="false" ht="15" hidden="false" customHeight="false" outlineLevel="0" collapsed="false">
      <c r="A2352" s="55"/>
      <c r="B2352" s="56"/>
      <c r="C2352" s="56"/>
      <c r="D2352" s="56"/>
      <c r="E2352" s="56"/>
      <c r="F2352" s="56"/>
      <c r="G2352" s="58"/>
      <c r="H2352" s="56"/>
      <c r="I2352" s="61" t="str">
        <f aca="false">IF(IsPro,IF(OR($C2352="",N($G2352)=0),"",IF(OR($C2352="Receipt",$C2352="Other Income",$C2352="Capital In",$C2352="Transfer In"),$G2352,0)),"")</f>
        <v/>
      </c>
      <c r="J2352" s="61" t="str">
        <f aca="false">IF(IsPro,IF(OR($C2352="",N($G2352)=0),"",IF(I2352=0,$G2352,0)),"")</f>
        <v/>
      </c>
      <c r="K2352" s="60" t="str">
        <f aca="false">IF(IsPro,IF($C2352="","",IF(AND(OR($C2352="Receipt",$C2352="Payment"),$D2352=""),"Party needed",IF(AND(OR($C2352="Expense",$C2352="Other Income"),$E2352=""),"Head needed",IF($F2352="","Account needed","OK")))),IF($C2352="","","PRO PLAN"))</f>
        <v/>
      </c>
    </row>
    <row r="2353" customFormat="false" ht="15" hidden="false" customHeight="false" outlineLevel="0" collapsed="false">
      <c r="A2353" s="55"/>
      <c r="B2353" s="56"/>
      <c r="C2353" s="56"/>
      <c r="D2353" s="56"/>
      <c r="E2353" s="56"/>
      <c r="F2353" s="56"/>
      <c r="G2353" s="58"/>
      <c r="H2353" s="56"/>
      <c r="I2353" s="61" t="str">
        <f aca="false">IF(IsPro,IF(OR($C2353="",N($G2353)=0),"",IF(OR($C2353="Receipt",$C2353="Other Income",$C2353="Capital In",$C2353="Transfer In"),$G2353,0)),"")</f>
        <v/>
      </c>
      <c r="J2353" s="61" t="str">
        <f aca="false">IF(IsPro,IF(OR($C2353="",N($G2353)=0),"",IF(I2353=0,$G2353,0)),"")</f>
        <v/>
      </c>
      <c r="K2353" s="60" t="str">
        <f aca="false">IF(IsPro,IF($C2353="","",IF(AND(OR($C2353="Receipt",$C2353="Payment"),$D2353=""),"Party needed",IF(AND(OR($C2353="Expense",$C2353="Other Income"),$E2353=""),"Head needed",IF($F2353="","Account needed","OK")))),IF($C2353="","","PRO PLAN"))</f>
        <v/>
      </c>
    </row>
    <row r="2354" customFormat="false" ht="15" hidden="false" customHeight="false" outlineLevel="0" collapsed="false">
      <c r="A2354" s="55"/>
      <c r="B2354" s="56"/>
      <c r="C2354" s="56"/>
      <c r="D2354" s="56"/>
      <c r="E2354" s="56"/>
      <c r="F2354" s="56"/>
      <c r="G2354" s="58"/>
      <c r="H2354" s="56"/>
      <c r="I2354" s="61" t="str">
        <f aca="false">IF(IsPro,IF(OR($C2354="",N($G2354)=0),"",IF(OR($C2354="Receipt",$C2354="Other Income",$C2354="Capital In",$C2354="Transfer In"),$G2354,0)),"")</f>
        <v/>
      </c>
      <c r="J2354" s="61" t="str">
        <f aca="false">IF(IsPro,IF(OR($C2354="",N($G2354)=0),"",IF(I2354=0,$G2354,0)),"")</f>
        <v/>
      </c>
      <c r="K2354" s="60" t="str">
        <f aca="false">IF(IsPro,IF($C2354="","",IF(AND(OR($C2354="Receipt",$C2354="Payment"),$D2354=""),"Party needed",IF(AND(OR($C2354="Expense",$C2354="Other Income"),$E2354=""),"Head needed",IF($F2354="","Account needed","OK")))),IF($C2354="","","PRO PLAN"))</f>
        <v/>
      </c>
    </row>
    <row r="2355" customFormat="false" ht="15" hidden="false" customHeight="false" outlineLevel="0" collapsed="false">
      <c r="A2355" s="55"/>
      <c r="B2355" s="56"/>
      <c r="C2355" s="56"/>
      <c r="D2355" s="56"/>
      <c r="E2355" s="56"/>
      <c r="F2355" s="56"/>
      <c r="G2355" s="58"/>
      <c r="H2355" s="56"/>
      <c r="I2355" s="61" t="str">
        <f aca="false">IF(IsPro,IF(OR($C2355="",N($G2355)=0),"",IF(OR($C2355="Receipt",$C2355="Other Income",$C2355="Capital In",$C2355="Transfer In"),$G2355,0)),"")</f>
        <v/>
      </c>
      <c r="J2355" s="61" t="str">
        <f aca="false">IF(IsPro,IF(OR($C2355="",N($G2355)=0),"",IF(I2355=0,$G2355,0)),"")</f>
        <v/>
      </c>
      <c r="K2355" s="60" t="str">
        <f aca="false">IF(IsPro,IF($C2355="","",IF(AND(OR($C2355="Receipt",$C2355="Payment"),$D2355=""),"Party needed",IF(AND(OR($C2355="Expense",$C2355="Other Income"),$E2355=""),"Head needed",IF($F2355="","Account needed","OK")))),IF($C2355="","","PRO PLAN"))</f>
        <v/>
      </c>
    </row>
    <row r="2356" customFormat="false" ht="15" hidden="false" customHeight="false" outlineLevel="0" collapsed="false">
      <c r="A2356" s="55"/>
      <c r="B2356" s="56"/>
      <c r="C2356" s="56"/>
      <c r="D2356" s="56"/>
      <c r="E2356" s="56"/>
      <c r="F2356" s="56"/>
      <c r="G2356" s="58"/>
      <c r="H2356" s="56"/>
      <c r="I2356" s="61" t="str">
        <f aca="false">IF(IsPro,IF(OR($C2356="",N($G2356)=0),"",IF(OR($C2356="Receipt",$C2356="Other Income",$C2356="Capital In",$C2356="Transfer In"),$G2356,0)),"")</f>
        <v/>
      </c>
      <c r="J2356" s="61" t="str">
        <f aca="false">IF(IsPro,IF(OR($C2356="",N($G2356)=0),"",IF(I2356=0,$G2356,0)),"")</f>
        <v/>
      </c>
      <c r="K2356" s="60" t="str">
        <f aca="false">IF(IsPro,IF($C2356="","",IF(AND(OR($C2356="Receipt",$C2356="Payment"),$D2356=""),"Party needed",IF(AND(OR($C2356="Expense",$C2356="Other Income"),$E2356=""),"Head needed",IF($F2356="","Account needed","OK")))),IF($C2356="","","PRO PLAN"))</f>
        <v/>
      </c>
    </row>
    <row r="2357" customFormat="false" ht="15" hidden="false" customHeight="false" outlineLevel="0" collapsed="false">
      <c r="A2357" s="55"/>
      <c r="B2357" s="56"/>
      <c r="C2357" s="56"/>
      <c r="D2357" s="56"/>
      <c r="E2357" s="56"/>
      <c r="F2357" s="56"/>
      <c r="G2357" s="58"/>
      <c r="H2357" s="56"/>
      <c r="I2357" s="61" t="str">
        <f aca="false">IF(IsPro,IF(OR($C2357="",N($G2357)=0),"",IF(OR($C2357="Receipt",$C2357="Other Income",$C2357="Capital In",$C2357="Transfer In"),$G2357,0)),"")</f>
        <v/>
      </c>
      <c r="J2357" s="61" t="str">
        <f aca="false">IF(IsPro,IF(OR($C2357="",N($G2357)=0),"",IF(I2357=0,$G2357,0)),"")</f>
        <v/>
      </c>
      <c r="K2357" s="60" t="str">
        <f aca="false">IF(IsPro,IF($C2357="","",IF(AND(OR($C2357="Receipt",$C2357="Payment"),$D2357=""),"Party needed",IF(AND(OR($C2357="Expense",$C2357="Other Income"),$E2357=""),"Head needed",IF($F2357="","Account needed","OK")))),IF($C2357="","","PRO PLAN"))</f>
        <v/>
      </c>
    </row>
    <row r="2358" customFormat="false" ht="15" hidden="false" customHeight="false" outlineLevel="0" collapsed="false">
      <c r="A2358" s="55"/>
      <c r="B2358" s="56"/>
      <c r="C2358" s="56"/>
      <c r="D2358" s="56"/>
      <c r="E2358" s="56"/>
      <c r="F2358" s="56"/>
      <c r="G2358" s="58"/>
      <c r="H2358" s="56"/>
      <c r="I2358" s="61" t="str">
        <f aca="false">IF(IsPro,IF(OR($C2358="",N($G2358)=0),"",IF(OR($C2358="Receipt",$C2358="Other Income",$C2358="Capital In",$C2358="Transfer In"),$G2358,0)),"")</f>
        <v/>
      </c>
      <c r="J2358" s="61" t="str">
        <f aca="false">IF(IsPro,IF(OR($C2358="",N($G2358)=0),"",IF(I2358=0,$G2358,0)),"")</f>
        <v/>
      </c>
      <c r="K2358" s="60" t="str">
        <f aca="false">IF(IsPro,IF($C2358="","",IF(AND(OR($C2358="Receipt",$C2358="Payment"),$D2358=""),"Party needed",IF(AND(OR($C2358="Expense",$C2358="Other Income"),$E2358=""),"Head needed",IF($F2358="","Account needed","OK")))),IF($C2358="","","PRO PLAN"))</f>
        <v/>
      </c>
    </row>
    <row r="2359" customFormat="false" ht="15" hidden="false" customHeight="false" outlineLevel="0" collapsed="false">
      <c r="A2359" s="55"/>
      <c r="B2359" s="56"/>
      <c r="C2359" s="56"/>
      <c r="D2359" s="56"/>
      <c r="E2359" s="56"/>
      <c r="F2359" s="56"/>
      <c r="G2359" s="58"/>
      <c r="H2359" s="56"/>
      <c r="I2359" s="61" t="str">
        <f aca="false">IF(IsPro,IF(OR($C2359="",N($G2359)=0),"",IF(OR($C2359="Receipt",$C2359="Other Income",$C2359="Capital In",$C2359="Transfer In"),$G2359,0)),"")</f>
        <v/>
      </c>
      <c r="J2359" s="61" t="str">
        <f aca="false">IF(IsPro,IF(OR($C2359="",N($G2359)=0),"",IF(I2359=0,$G2359,0)),"")</f>
        <v/>
      </c>
      <c r="K2359" s="60" t="str">
        <f aca="false">IF(IsPro,IF($C2359="","",IF(AND(OR($C2359="Receipt",$C2359="Payment"),$D2359=""),"Party needed",IF(AND(OR($C2359="Expense",$C2359="Other Income"),$E2359=""),"Head needed",IF($F2359="","Account needed","OK")))),IF($C2359="","","PRO PLAN"))</f>
        <v/>
      </c>
    </row>
    <row r="2360" customFormat="false" ht="15" hidden="false" customHeight="false" outlineLevel="0" collapsed="false">
      <c r="A2360" s="55"/>
      <c r="B2360" s="56"/>
      <c r="C2360" s="56"/>
      <c r="D2360" s="56"/>
      <c r="E2360" s="56"/>
      <c r="F2360" s="56"/>
      <c r="G2360" s="58"/>
      <c r="H2360" s="56"/>
      <c r="I2360" s="61" t="str">
        <f aca="false">IF(IsPro,IF(OR($C2360="",N($G2360)=0),"",IF(OR($C2360="Receipt",$C2360="Other Income",$C2360="Capital In",$C2360="Transfer In"),$G2360,0)),"")</f>
        <v/>
      </c>
      <c r="J2360" s="61" t="str">
        <f aca="false">IF(IsPro,IF(OR($C2360="",N($G2360)=0),"",IF(I2360=0,$G2360,0)),"")</f>
        <v/>
      </c>
      <c r="K2360" s="60" t="str">
        <f aca="false">IF(IsPro,IF($C2360="","",IF(AND(OR($C2360="Receipt",$C2360="Payment"),$D2360=""),"Party needed",IF(AND(OR($C2360="Expense",$C2360="Other Income"),$E2360=""),"Head needed",IF($F2360="","Account needed","OK")))),IF($C2360="","","PRO PLAN"))</f>
        <v/>
      </c>
    </row>
    <row r="2361" customFormat="false" ht="15" hidden="false" customHeight="false" outlineLevel="0" collapsed="false">
      <c r="A2361" s="55"/>
      <c r="B2361" s="56"/>
      <c r="C2361" s="56"/>
      <c r="D2361" s="56"/>
      <c r="E2361" s="56"/>
      <c r="F2361" s="56"/>
      <c r="G2361" s="58"/>
      <c r="H2361" s="56"/>
      <c r="I2361" s="61" t="str">
        <f aca="false">IF(IsPro,IF(OR($C2361="",N($G2361)=0),"",IF(OR($C2361="Receipt",$C2361="Other Income",$C2361="Capital In",$C2361="Transfer In"),$G2361,0)),"")</f>
        <v/>
      </c>
      <c r="J2361" s="61" t="str">
        <f aca="false">IF(IsPro,IF(OR($C2361="",N($G2361)=0),"",IF(I2361=0,$G2361,0)),"")</f>
        <v/>
      </c>
      <c r="K2361" s="60" t="str">
        <f aca="false">IF(IsPro,IF($C2361="","",IF(AND(OR($C2361="Receipt",$C2361="Payment"),$D2361=""),"Party needed",IF(AND(OR($C2361="Expense",$C2361="Other Income"),$E2361=""),"Head needed",IF($F2361="","Account needed","OK")))),IF($C2361="","","PRO PLAN"))</f>
        <v/>
      </c>
    </row>
    <row r="2362" customFormat="false" ht="15" hidden="false" customHeight="false" outlineLevel="0" collapsed="false">
      <c r="A2362" s="55"/>
      <c r="B2362" s="56"/>
      <c r="C2362" s="56"/>
      <c r="D2362" s="56"/>
      <c r="E2362" s="56"/>
      <c r="F2362" s="56"/>
      <c r="G2362" s="58"/>
      <c r="H2362" s="56"/>
      <c r="I2362" s="61" t="str">
        <f aca="false">IF(IsPro,IF(OR($C2362="",N($G2362)=0),"",IF(OR($C2362="Receipt",$C2362="Other Income",$C2362="Capital In",$C2362="Transfer In"),$G2362,0)),"")</f>
        <v/>
      </c>
      <c r="J2362" s="61" t="str">
        <f aca="false">IF(IsPro,IF(OR($C2362="",N($G2362)=0),"",IF(I2362=0,$G2362,0)),"")</f>
        <v/>
      </c>
      <c r="K2362" s="60" t="str">
        <f aca="false">IF(IsPro,IF($C2362="","",IF(AND(OR($C2362="Receipt",$C2362="Payment"),$D2362=""),"Party needed",IF(AND(OR($C2362="Expense",$C2362="Other Income"),$E2362=""),"Head needed",IF($F2362="","Account needed","OK")))),IF($C2362="","","PRO PLAN"))</f>
        <v/>
      </c>
    </row>
    <row r="2363" customFormat="false" ht="15" hidden="false" customHeight="false" outlineLevel="0" collapsed="false">
      <c r="A2363" s="55"/>
      <c r="B2363" s="56"/>
      <c r="C2363" s="56"/>
      <c r="D2363" s="56"/>
      <c r="E2363" s="56"/>
      <c r="F2363" s="56"/>
      <c r="G2363" s="58"/>
      <c r="H2363" s="56"/>
      <c r="I2363" s="61" t="str">
        <f aca="false">IF(IsPro,IF(OR($C2363="",N($G2363)=0),"",IF(OR($C2363="Receipt",$C2363="Other Income",$C2363="Capital In",$C2363="Transfer In"),$G2363,0)),"")</f>
        <v/>
      </c>
      <c r="J2363" s="61" t="str">
        <f aca="false">IF(IsPro,IF(OR($C2363="",N($G2363)=0),"",IF(I2363=0,$G2363,0)),"")</f>
        <v/>
      </c>
      <c r="K2363" s="60" t="str">
        <f aca="false">IF(IsPro,IF($C2363="","",IF(AND(OR($C2363="Receipt",$C2363="Payment"),$D2363=""),"Party needed",IF(AND(OR($C2363="Expense",$C2363="Other Income"),$E2363=""),"Head needed",IF($F2363="","Account needed","OK")))),IF($C2363="","","PRO PLAN"))</f>
        <v/>
      </c>
    </row>
    <row r="2364" customFormat="false" ht="15" hidden="false" customHeight="false" outlineLevel="0" collapsed="false">
      <c r="A2364" s="55"/>
      <c r="B2364" s="56"/>
      <c r="C2364" s="56"/>
      <c r="D2364" s="56"/>
      <c r="E2364" s="56"/>
      <c r="F2364" s="56"/>
      <c r="G2364" s="58"/>
      <c r="H2364" s="56"/>
      <c r="I2364" s="61" t="str">
        <f aca="false">IF(IsPro,IF(OR($C2364="",N($G2364)=0),"",IF(OR($C2364="Receipt",$C2364="Other Income",$C2364="Capital In",$C2364="Transfer In"),$G2364,0)),"")</f>
        <v/>
      </c>
      <c r="J2364" s="61" t="str">
        <f aca="false">IF(IsPro,IF(OR($C2364="",N($G2364)=0),"",IF(I2364=0,$G2364,0)),"")</f>
        <v/>
      </c>
      <c r="K2364" s="60" t="str">
        <f aca="false">IF(IsPro,IF($C2364="","",IF(AND(OR($C2364="Receipt",$C2364="Payment"),$D2364=""),"Party needed",IF(AND(OR($C2364="Expense",$C2364="Other Income"),$E2364=""),"Head needed",IF($F2364="","Account needed","OK")))),IF($C2364="","","PRO PLAN"))</f>
        <v/>
      </c>
    </row>
    <row r="2365" customFormat="false" ht="15" hidden="false" customHeight="false" outlineLevel="0" collapsed="false">
      <c r="A2365" s="55"/>
      <c r="B2365" s="56"/>
      <c r="C2365" s="56"/>
      <c r="D2365" s="56"/>
      <c r="E2365" s="56"/>
      <c r="F2365" s="56"/>
      <c r="G2365" s="58"/>
      <c r="H2365" s="56"/>
      <c r="I2365" s="61" t="str">
        <f aca="false">IF(IsPro,IF(OR($C2365="",N($G2365)=0),"",IF(OR($C2365="Receipt",$C2365="Other Income",$C2365="Capital In",$C2365="Transfer In"),$G2365,0)),"")</f>
        <v/>
      </c>
      <c r="J2365" s="61" t="str">
        <f aca="false">IF(IsPro,IF(OR($C2365="",N($G2365)=0),"",IF(I2365=0,$G2365,0)),"")</f>
        <v/>
      </c>
      <c r="K2365" s="60" t="str">
        <f aca="false">IF(IsPro,IF($C2365="","",IF(AND(OR($C2365="Receipt",$C2365="Payment"),$D2365=""),"Party needed",IF(AND(OR($C2365="Expense",$C2365="Other Income"),$E2365=""),"Head needed",IF($F2365="","Account needed","OK")))),IF($C2365="","","PRO PLAN"))</f>
        <v/>
      </c>
    </row>
    <row r="2366" customFormat="false" ht="15" hidden="false" customHeight="false" outlineLevel="0" collapsed="false">
      <c r="A2366" s="55"/>
      <c r="B2366" s="56"/>
      <c r="C2366" s="56"/>
      <c r="D2366" s="56"/>
      <c r="E2366" s="56"/>
      <c r="F2366" s="56"/>
      <c r="G2366" s="58"/>
      <c r="H2366" s="56"/>
      <c r="I2366" s="61" t="str">
        <f aca="false">IF(IsPro,IF(OR($C2366="",N($G2366)=0),"",IF(OR($C2366="Receipt",$C2366="Other Income",$C2366="Capital In",$C2366="Transfer In"),$G2366,0)),"")</f>
        <v/>
      </c>
      <c r="J2366" s="61" t="str">
        <f aca="false">IF(IsPro,IF(OR($C2366="",N($G2366)=0),"",IF(I2366=0,$G2366,0)),"")</f>
        <v/>
      </c>
      <c r="K2366" s="60" t="str">
        <f aca="false">IF(IsPro,IF($C2366="","",IF(AND(OR($C2366="Receipt",$C2366="Payment"),$D2366=""),"Party needed",IF(AND(OR($C2366="Expense",$C2366="Other Income"),$E2366=""),"Head needed",IF($F2366="","Account needed","OK")))),IF($C2366="","","PRO PLAN"))</f>
        <v/>
      </c>
    </row>
    <row r="2367" customFormat="false" ht="15" hidden="false" customHeight="false" outlineLevel="0" collapsed="false">
      <c r="A2367" s="55"/>
      <c r="B2367" s="56"/>
      <c r="C2367" s="56"/>
      <c r="D2367" s="56"/>
      <c r="E2367" s="56"/>
      <c r="F2367" s="56"/>
      <c r="G2367" s="58"/>
      <c r="H2367" s="56"/>
      <c r="I2367" s="61" t="str">
        <f aca="false">IF(IsPro,IF(OR($C2367="",N($G2367)=0),"",IF(OR($C2367="Receipt",$C2367="Other Income",$C2367="Capital In",$C2367="Transfer In"),$G2367,0)),"")</f>
        <v/>
      </c>
      <c r="J2367" s="61" t="str">
        <f aca="false">IF(IsPro,IF(OR($C2367="",N($G2367)=0),"",IF(I2367=0,$G2367,0)),"")</f>
        <v/>
      </c>
      <c r="K2367" s="60" t="str">
        <f aca="false">IF(IsPro,IF($C2367="","",IF(AND(OR($C2367="Receipt",$C2367="Payment"),$D2367=""),"Party needed",IF(AND(OR($C2367="Expense",$C2367="Other Income"),$E2367=""),"Head needed",IF($F2367="","Account needed","OK")))),IF($C2367="","","PRO PLAN"))</f>
        <v/>
      </c>
    </row>
    <row r="2368" customFormat="false" ht="15" hidden="false" customHeight="false" outlineLevel="0" collapsed="false">
      <c r="A2368" s="55"/>
      <c r="B2368" s="56"/>
      <c r="C2368" s="56"/>
      <c r="D2368" s="56"/>
      <c r="E2368" s="56"/>
      <c r="F2368" s="56"/>
      <c r="G2368" s="58"/>
      <c r="H2368" s="56"/>
      <c r="I2368" s="61" t="str">
        <f aca="false">IF(IsPro,IF(OR($C2368="",N($G2368)=0),"",IF(OR($C2368="Receipt",$C2368="Other Income",$C2368="Capital In",$C2368="Transfer In"),$G2368,0)),"")</f>
        <v/>
      </c>
      <c r="J2368" s="61" t="str">
        <f aca="false">IF(IsPro,IF(OR($C2368="",N($G2368)=0),"",IF(I2368=0,$G2368,0)),"")</f>
        <v/>
      </c>
      <c r="K2368" s="60" t="str">
        <f aca="false">IF(IsPro,IF($C2368="","",IF(AND(OR($C2368="Receipt",$C2368="Payment"),$D2368=""),"Party needed",IF(AND(OR($C2368="Expense",$C2368="Other Income"),$E2368=""),"Head needed",IF($F2368="","Account needed","OK")))),IF($C2368="","","PRO PLAN"))</f>
        <v/>
      </c>
    </row>
    <row r="2369" customFormat="false" ht="15" hidden="false" customHeight="false" outlineLevel="0" collapsed="false">
      <c r="A2369" s="55"/>
      <c r="B2369" s="56"/>
      <c r="C2369" s="56"/>
      <c r="D2369" s="56"/>
      <c r="E2369" s="56"/>
      <c r="F2369" s="56"/>
      <c r="G2369" s="58"/>
      <c r="H2369" s="56"/>
      <c r="I2369" s="61" t="str">
        <f aca="false">IF(IsPro,IF(OR($C2369="",N($G2369)=0),"",IF(OR($C2369="Receipt",$C2369="Other Income",$C2369="Capital In",$C2369="Transfer In"),$G2369,0)),"")</f>
        <v/>
      </c>
      <c r="J2369" s="61" t="str">
        <f aca="false">IF(IsPro,IF(OR($C2369="",N($G2369)=0),"",IF(I2369=0,$G2369,0)),"")</f>
        <v/>
      </c>
      <c r="K2369" s="60" t="str">
        <f aca="false">IF(IsPro,IF($C2369="","",IF(AND(OR($C2369="Receipt",$C2369="Payment"),$D2369=""),"Party needed",IF(AND(OR($C2369="Expense",$C2369="Other Income"),$E2369=""),"Head needed",IF($F2369="","Account needed","OK")))),IF($C2369="","","PRO PLAN"))</f>
        <v/>
      </c>
    </row>
    <row r="2370" customFormat="false" ht="15" hidden="false" customHeight="false" outlineLevel="0" collapsed="false">
      <c r="A2370" s="55"/>
      <c r="B2370" s="56"/>
      <c r="C2370" s="56"/>
      <c r="D2370" s="56"/>
      <c r="E2370" s="56"/>
      <c r="F2370" s="56"/>
      <c r="G2370" s="58"/>
      <c r="H2370" s="56"/>
      <c r="I2370" s="61" t="str">
        <f aca="false">IF(IsPro,IF(OR($C2370="",N($G2370)=0),"",IF(OR($C2370="Receipt",$C2370="Other Income",$C2370="Capital In",$C2370="Transfer In"),$G2370,0)),"")</f>
        <v/>
      </c>
      <c r="J2370" s="61" t="str">
        <f aca="false">IF(IsPro,IF(OR($C2370="",N($G2370)=0),"",IF(I2370=0,$G2370,0)),"")</f>
        <v/>
      </c>
      <c r="K2370" s="60" t="str">
        <f aca="false">IF(IsPro,IF($C2370="","",IF(AND(OR($C2370="Receipt",$C2370="Payment"),$D2370=""),"Party needed",IF(AND(OR($C2370="Expense",$C2370="Other Income"),$E2370=""),"Head needed",IF($F2370="","Account needed","OK")))),IF($C2370="","","PRO PLAN"))</f>
        <v/>
      </c>
    </row>
    <row r="2371" customFormat="false" ht="15" hidden="false" customHeight="false" outlineLevel="0" collapsed="false">
      <c r="A2371" s="55"/>
      <c r="B2371" s="56"/>
      <c r="C2371" s="56"/>
      <c r="D2371" s="56"/>
      <c r="E2371" s="56"/>
      <c r="F2371" s="56"/>
      <c r="G2371" s="58"/>
      <c r="H2371" s="56"/>
      <c r="I2371" s="61" t="str">
        <f aca="false">IF(IsPro,IF(OR($C2371="",N($G2371)=0),"",IF(OR($C2371="Receipt",$C2371="Other Income",$C2371="Capital In",$C2371="Transfer In"),$G2371,0)),"")</f>
        <v/>
      </c>
      <c r="J2371" s="61" t="str">
        <f aca="false">IF(IsPro,IF(OR($C2371="",N($G2371)=0),"",IF(I2371=0,$G2371,0)),"")</f>
        <v/>
      </c>
      <c r="K2371" s="60" t="str">
        <f aca="false">IF(IsPro,IF($C2371="","",IF(AND(OR($C2371="Receipt",$C2371="Payment"),$D2371=""),"Party needed",IF(AND(OR($C2371="Expense",$C2371="Other Income"),$E2371=""),"Head needed",IF($F2371="","Account needed","OK")))),IF($C2371="","","PRO PLAN"))</f>
        <v/>
      </c>
    </row>
    <row r="2372" customFormat="false" ht="15" hidden="false" customHeight="false" outlineLevel="0" collapsed="false">
      <c r="A2372" s="55"/>
      <c r="B2372" s="56"/>
      <c r="C2372" s="56"/>
      <c r="D2372" s="56"/>
      <c r="E2372" s="56"/>
      <c r="F2372" s="56"/>
      <c r="G2372" s="58"/>
      <c r="H2372" s="56"/>
      <c r="I2372" s="61" t="str">
        <f aca="false">IF(IsPro,IF(OR($C2372="",N($G2372)=0),"",IF(OR($C2372="Receipt",$C2372="Other Income",$C2372="Capital In",$C2372="Transfer In"),$G2372,0)),"")</f>
        <v/>
      </c>
      <c r="J2372" s="61" t="str">
        <f aca="false">IF(IsPro,IF(OR($C2372="",N($G2372)=0),"",IF(I2372=0,$G2372,0)),"")</f>
        <v/>
      </c>
      <c r="K2372" s="60" t="str">
        <f aca="false">IF(IsPro,IF($C2372="","",IF(AND(OR($C2372="Receipt",$C2372="Payment"),$D2372=""),"Party needed",IF(AND(OR($C2372="Expense",$C2372="Other Income"),$E2372=""),"Head needed",IF($F2372="","Account needed","OK")))),IF($C2372="","","PRO PLAN"))</f>
        <v/>
      </c>
    </row>
    <row r="2373" customFormat="false" ht="15" hidden="false" customHeight="false" outlineLevel="0" collapsed="false">
      <c r="A2373" s="55"/>
      <c r="B2373" s="56"/>
      <c r="C2373" s="56"/>
      <c r="D2373" s="56"/>
      <c r="E2373" s="56"/>
      <c r="F2373" s="56"/>
      <c r="G2373" s="58"/>
      <c r="H2373" s="56"/>
      <c r="I2373" s="61" t="str">
        <f aca="false">IF(IsPro,IF(OR($C2373="",N($G2373)=0),"",IF(OR($C2373="Receipt",$C2373="Other Income",$C2373="Capital In",$C2373="Transfer In"),$G2373,0)),"")</f>
        <v/>
      </c>
      <c r="J2373" s="61" t="str">
        <f aca="false">IF(IsPro,IF(OR($C2373="",N($G2373)=0),"",IF(I2373=0,$G2373,0)),"")</f>
        <v/>
      </c>
      <c r="K2373" s="60" t="str">
        <f aca="false">IF(IsPro,IF($C2373="","",IF(AND(OR($C2373="Receipt",$C2373="Payment"),$D2373=""),"Party needed",IF(AND(OR($C2373="Expense",$C2373="Other Income"),$E2373=""),"Head needed",IF($F2373="","Account needed","OK")))),IF($C2373="","","PRO PLAN"))</f>
        <v/>
      </c>
    </row>
    <row r="2374" customFormat="false" ht="15" hidden="false" customHeight="false" outlineLevel="0" collapsed="false">
      <c r="A2374" s="55"/>
      <c r="B2374" s="56"/>
      <c r="C2374" s="56"/>
      <c r="D2374" s="56"/>
      <c r="E2374" s="56"/>
      <c r="F2374" s="56"/>
      <c r="G2374" s="58"/>
      <c r="H2374" s="56"/>
      <c r="I2374" s="61" t="str">
        <f aca="false">IF(IsPro,IF(OR($C2374="",N($G2374)=0),"",IF(OR($C2374="Receipt",$C2374="Other Income",$C2374="Capital In",$C2374="Transfer In"),$G2374,0)),"")</f>
        <v/>
      </c>
      <c r="J2374" s="61" t="str">
        <f aca="false">IF(IsPro,IF(OR($C2374="",N($G2374)=0),"",IF(I2374=0,$G2374,0)),"")</f>
        <v/>
      </c>
      <c r="K2374" s="60" t="str">
        <f aca="false">IF(IsPro,IF($C2374="","",IF(AND(OR($C2374="Receipt",$C2374="Payment"),$D2374=""),"Party needed",IF(AND(OR($C2374="Expense",$C2374="Other Income"),$E2374=""),"Head needed",IF($F2374="","Account needed","OK")))),IF($C2374="","","PRO PLAN"))</f>
        <v/>
      </c>
    </row>
    <row r="2375" customFormat="false" ht="15" hidden="false" customHeight="false" outlineLevel="0" collapsed="false">
      <c r="A2375" s="55"/>
      <c r="B2375" s="56"/>
      <c r="C2375" s="56"/>
      <c r="D2375" s="56"/>
      <c r="E2375" s="56"/>
      <c r="F2375" s="56"/>
      <c r="G2375" s="58"/>
      <c r="H2375" s="56"/>
      <c r="I2375" s="61" t="str">
        <f aca="false">IF(IsPro,IF(OR($C2375="",N($G2375)=0),"",IF(OR($C2375="Receipt",$C2375="Other Income",$C2375="Capital In",$C2375="Transfer In"),$G2375,0)),"")</f>
        <v/>
      </c>
      <c r="J2375" s="61" t="str">
        <f aca="false">IF(IsPro,IF(OR($C2375="",N($G2375)=0),"",IF(I2375=0,$G2375,0)),"")</f>
        <v/>
      </c>
      <c r="K2375" s="60" t="str">
        <f aca="false">IF(IsPro,IF($C2375="","",IF(AND(OR($C2375="Receipt",$C2375="Payment"),$D2375=""),"Party needed",IF(AND(OR($C2375="Expense",$C2375="Other Income"),$E2375=""),"Head needed",IF($F2375="","Account needed","OK")))),IF($C2375="","","PRO PLAN"))</f>
        <v/>
      </c>
    </row>
    <row r="2376" customFormat="false" ht="15" hidden="false" customHeight="false" outlineLevel="0" collapsed="false">
      <c r="A2376" s="55"/>
      <c r="B2376" s="56"/>
      <c r="C2376" s="56"/>
      <c r="D2376" s="56"/>
      <c r="E2376" s="56"/>
      <c r="F2376" s="56"/>
      <c r="G2376" s="58"/>
      <c r="H2376" s="56"/>
      <c r="I2376" s="61" t="str">
        <f aca="false">IF(IsPro,IF(OR($C2376="",N($G2376)=0),"",IF(OR($C2376="Receipt",$C2376="Other Income",$C2376="Capital In",$C2376="Transfer In"),$G2376,0)),"")</f>
        <v/>
      </c>
      <c r="J2376" s="61" t="str">
        <f aca="false">IF(IsPro,IF(OR($C2376="",N($G2376)=0),"",IF(I2376=0,$G2376,0)),"")</f>
        <v/>
      </c>
      <c r="K2376" s="60" t="str">
        <f aca="false">IF(IsPro,IF($C2376="","",IF(AND(OR($C2376="Receipt",$C2376="Payment"),$D2376=""),"Party needed",IF(AND(OR($C2376="Expense",$C2376="Other Income"),$E2376=""),"Head needed",IF($F2376="","Account needed","OK")))),IF($C2376="","","PRO PLAN"))</f>
        <v/>
      </c>
    </row>
    <row r="2377" customFormat="false" ht="15" hidden="false" customHeight="false" outlineLevel="0" collapsed="false">
      <c r="A2377" s="55"/>
      <c r="B2377" s="56"/>
      <c r="C2377" s="56"/>
      <c r="D2377" s="56"/>
      <c r="E2377" s="56"/>
      <c r="F2377" s="56"/>
      <c r="G2377" s="58"/>
      <c r="H2377" s="56"/>
      <c r="I2377" s="61" t="str">
        <f aca="false">IF(IsPro,IF(OR($C2377="",N($G2377)=0),"",IF(OR($C2377="Receipt",$C2377="Other Income",$C2377="Capital In",$C2377="Transfer In"),$G2377,0)),"")</f>
        <v/>
      </c>
      <c r="J2377" s="61" t="str">
        <f aca="false">IF(IsPro,IF(OR($C2377="",N($G2377)=0),"",IF(I2377=0,$G2377,0)),"")</f>
        <v/>
      </c>
      <c r="K2377" s="60" t="str">
        <f aca="false">IF(IsPro,IF($C2377="","",IF(AND(OR($C2377="Receipt",$C2377="Payment"),$D2377=""),"Party needed",IF(AND(OR($C2377="Expense",$C2377="Other Income"),$E2377=""),"Head needed",IF($F2377="","Account needed","OK")))),IF($C2377="","","PRO PLAN"))</f>
        <v/>
      </c>
    </row>
    <row r="2378" customFormat="false" ht="15" hidden="false" customHeight="false" outlineLevel="0" collapsed="false">
      <c r="A2378" s="55"/>
      <c r="B2378" s="56"/>
      <c r="C2378" s="56"/>
      <c r="D2378" s="56"/>
      <c r="E2378" s="56"/>
      <c r="F2378" s="56"/>
      <c r="G2378" s="58"/>
      <c r="H2378" s="56"/>
      <c r="I2378" s="61" t="str">
        <f aca="false">IF(IsPro,IF(OR($C2378="",N($G2378)=0),"",IF(OR($C2378="Receipt",$C2378="Other Income",$C2378="Capital In",$C2378="Transfer In"),$G2378,0)),"")</f>
        <v/>
      </c>
      <c r="J2378" s="61" t="str">
        <f aca="false">IF(IsPro,IF(OR($C2378="",N($G2378)=0),"",IF(I2378=0,$G2378,0)),"")</f>
        <v/>
      </c>
      <c r="K2378" s="60" t="str">
        <f aca="false">IF(IsPro,IF($C2378="","",IF(AND(OR($C2378="Receipt",$C2378="Payment"),$D2378=""),"Party needed",IF(AND(OR($C2378="Expense",$C2378="Other Income"),$E2378=""),"Head needed",IF($F2378="","Account needed","OK")))),IF($C2378="","","PRO PLAN"))</f>
        <v/>
      </c>
    </row>
    <row r="2379" customFormat="false" ht="15" hidden="false" customHeight="false" outlineLevel="0" collapsed="false">
      <c r="A2379" s="55"/>
      <c r="B2379" s="56"/>
      <c r="C2379" s="56"/>
      <c r="D2379" s="56"/>
      <c r="E2379" s="56"/>
      <c r="F2379" s="56"/>
      <c r="G2379" s="58"/>
      <c r="H2379" s="56"/>
      <c r="I2379" s="61" t="str">
        <f aca="false">IF(IsPro,IF(OR($C2379="",N($G2379)=0),"",IF(OR($C2379="Receipt",$C2379="Other Income",$C2379="Capital In",$C2379="Transfer In"),$G2379,0)),"")</f>
        <v/>
      </c>
      <c r="J2379" s="61" t="str">
        <f aca="false">IF(IsPro,IF(OR($C2379="",N($G2379)=0),"",IF(I2379=0,$G2379,0)),"")</f>
        <v/>
      </c>
      <c r="K2379" s="60" t="str">
        <f aca="false">IF(IsPro,IF($C2379="","",IF(AND(OR($C2379="Receipt",$C2379="Payment"),$D2379=""),"Party needed",IF(AND(OR($C2379="Expense",$C2379="Other Income"),$E2379=""),"Head needed",IF($F2379="","Account needed","OK")))),IF($C2379="","","PRO PLAN"))</f>
        <v/>
      </c>
    </row>
    <row r="2380" customFormat="false" ht="15" hidden="false" customHeight="false" outlineLevel="0" collapsed="false">
      <c r="A2380" s="55"/>
      <c r="B2380" s="56"/>
      <c r="C2380" s="56"/>
      <c r="D2380" s="56"/>
      <c r="E2380" s="56"/>
      <c r="F2380" s="56"/>
      <c r="G2380" s="58"/>
      <c r="H2380" s="56"/>
      <c r="I2380" s="61" t="str">
        <f aca="false">IF(IsPro,IF(OR($C2380="",N($G2380)=0),"",IF(OR($C2380="Receipt",$C2380="Other Income",$C2380="Capital In",$C2380="Transfer In"),$G2380,0)),"")</f>
        <v/>
      </c>
      <c r="J2380" s="61" t="str">
        <f aca="false">IF(IsPro,IF(OR($C2380="",N($G2380)=0),"",IF(I2380=0,$G2380,0)),"")</f>
        <v/>
      </c>
      <c r="K2380" s="60" t="str">
        <f aca="false">IF(IsPro,IF($C2380="","",IF(AND(OR($C2380="Receipt",$C2380="Payment"),$D2380=""),"Party needed",IF(AND(OR($C2380="Expense",$C2380="Other Income"),$E2380=""),"Head needed",IF($F2380="","Account needed","OK")))),IF($C2380="","","PRO PLAN"))</f>
        <v/>
      </c>
    </row>
    <row r="2381" customFormat="false" ht="15" hidden="false" customHeight="false" outlineLevel="0" collapsed="false">
      <c r="A2381" s="55"/>
      <c r="B2381" s="56"/>
      <c r="C2381" s="56"/>
      <c r="D2381" s="56"/>
      <c r="E2381" s="56"/>
      <c r="F2381" s="56"/>
      <c r="G2381" s="58"/>
      <c r="H2381" s="56"/>
      <c r="I2381" s="61" t="str">
        <f aca="false">IF(IsPro,IF(OR($C2381="",N($G2381)=0),"",IF(OR($C2381="Receipt",$C2381="Other Income",$C2381="Capital In",$C2381="Transfer In"),$G2381,0)),"")</f>
        <v/>
      </c>
      <c r="J2381" s="61" t="str">
        <f aca="false">IF(IsPro,IF(OR($C2381="",N($G2381)=0),"",IF(I2381=0,$G2381,0)),"")</f>
        <v/>
      </c>
      <c r="K2381" s="60" t="str">
        <f aca="false">IF(IsPro,IF($C2381="","",IF(AND(OR($C2381="Receipt",$C2381="Payment"),$D2381=""),"Party needed",IF(AND(OR($C2381="Expense",$C2381="Other Income"),$E2381=""),"Head needed",IF($F2381="","Account needed","OK")))),IF($C2381="","","PRO PLAN"))</f>
        <v/>
      </c>
    </row>
    <row r="2382" customFormat="false" ht="15" hidden="false" customHeight="false" outlineLevel="0" collapsed="false">
      <c r="A2382" s="55"/>
      <c r="B2382" s="56"/>
      <c r="C2382" s="56"/>
      <c r="D2382" s="56"/>
      <c r="E2382" s="56"/>
      <c r="F2382" s="56"/>
      <c r="G2382" s="58"/>
      <c r="H2382" s="56"/>
      <c r="I2382" s="61" t="str">
        <f aca="false">IF(IsPro,IF(OR($C2382="",N($G2382)=0),"",IF(OR($C2382="Receipt",$C2382="Other Income",$C2382="Capital In",$C2382="Transfer In"),$G2382,0)),"")</f>
        <v/>
      </c>
      <c r="J2382" s="61" t="str">
        <f aca="false">IF(IsPro,IF(OR($C2382="",N($G2382)=0),"",IF(I2382=0,$G2382,0)),"")</f>
        <v/>
      </c>
      <c r="K2382" s="60" t="str">
        <f aca="false">IF(IsPro,IF($C2382="","",IF(AND(OR($C2382="Receipt",$C2382="Payment"),$D2382=""),"Party needed",IF(AND(OR($C2382="Expense",$C2382="Other Income"),$E2382=""),"Head needed",IF($F2382="","Account needed","OK")))),IF($C2382="","","PRO PLAN"))</f>
        <v/>
      </c>
    </row>
    <row r="2383" customFormat="false" ht="15" hidden="false" customHeight="false" outlineLevel="0" collapsed="false">
      <c r="A2383" s="55"/>
      <c r="B2383" s="56"/>
      <c r="C2383" s="56"/>
      <c r="D2383" s="56"/>
      <c r="E2383" s="56"/>
      <c r="F2383" s="56"/>
      <c r="G2383" s="58"/>
      <c r="H2383" s="56"/>
      <c r="I2383" s="61" t="str">
        <f aca="false">IF(IsPro,IF(OR($C2383="",N($G2383)=0),"",IF(OR($C2383="Receipt",$C2383="Other Income",$C2383="Capital In",$C2383="Transfer In"),$G2383,0)),"")</f>
        <v/>
      </c>
      <c r="J2383" s="61" t="str">
        <f aca="false">IF(IsPro,IF(OR($C2383="",N($G2383)=0),"",IF(I2383=0,$G2383,0)),"")</f>
        <v/>
      </c>
      <c r="K2383" s="60" t="str">
        <f aca="false">IF(IsPro,IF($C2383="","",IF(AND(OR($C2383="Receipt",$C2383="Payment"),$D2383=""),"Party needed",IF(AND(OR($C2383="Expense",$C2383="Other Income"),$E2383=""),"Head needed",IF($F2383="","Account needed","OK")))),IF($C2383="","","PRO PLAN"))</f>
        <v/>
      </c>
    </row>
    <row r="2384" customFormat="false" ht="15" hidden="false" customHeight="false" outlineLevel="0" collapsed="false">
      <c r="A2384" s="55"/>
      <c r="B2384" s="56"/>
      <c r="C2384" s="56"/>
      <c r="D2384" s="56"/>
      <c r="E2384" s="56"/>
      <c r="F2384" s="56"/>
      <c r="G2384" s="58"/>
      <c r="H2384" s="56"/>
      <c r="I2384" s="61" t="str">
        <f aca="false">IF(IsPro,IF(OR($C2384="",N($G2384)=0),"",IF(OR($C2384="Receipt",$C2384="Other Income",$C2384="Capital In",$C2384="Transfer In"),$G2384,0)),"")</f>
        <v/>
      </c>
      <c r="J2384" s="61" t="str">
        <f aca="false">IF(IsPro,IF(OR($C2384="",N($G2384)=0),"",IF(I2384=0,$G2384,0)),"")</f>
        <v/>
      </c>
      <c r="K2384" s="60" t="str">
        <f aca="false">IF(IsPro,IF($C2384="","",IF(AND(OR($C2384="Receipt",$C2384="Payment"),$D2384=""),"Party needed",IF(AND(OR($C2384="Expense",$C2384="Other Income"),$E2384=""),"Head needed",IF($F2384="","Account needed","OK")))),IF($C2384="","","PRO PLAN"))</f>
        <v/>
      </c>
    </row>
    <row r="2385" customFormat="false" ht="15" hidden="false" customHeight="false" outlineLevel="0" collapsed="false">
      <c r="A2385" s="55"/>
      <c r="B2385" s="56"/>
      <c r="C2385" s="56"/>
      <c r="D2385" s="56"/>
      <c r="E2385" s="56"/>
      <c r="F2385" s="56"/>
      <c r="G2385" s="58"/>
      <c r="H2385" s="56"/>
      <c r="I2385" s="61" t="str">
        <f aca="false">IF(IsPro,IF(OR($C2385="",N($G2385)=0),"",IF(OR($C2385="Receipt",$C2385="Other Income",$C2385="Capital In",$C2385="Transfer In"),$G2385,0)),"")</f>
        <v/>
      </c>
      <c r="J2385" s="61" t="str">
        <f aca="false">IF(IsPro,IF(OR($C2385="",N($G2385)=0),"",IF(I2385=0,$G2385,0)),"")</f>
        <v/>
      </c>
      <c r="K2385" s="60" t="str">
        <f aca="false">IF(IsPro,IF($C2385="","",IF(AND(OR($C2385="Receipt",$C2385="Payment"),$D2385=""),"Party needed",IF(AND(OR($C2385="Expense",$C2385="Other Income"),$E2385=""),"Head needed",IF($F2385="","Account needed","OK")))),IF($C2385="","","PRO PLAN"))</f>
        <v/>
      </c>
    </row>
    <row r="2386" customFormat="false" ht="15" hidden="false" customHeight="false" outlineLevel="0" collapsed="false">
      <c r="A2386" s="55"/>
      <c r="B2386" s="56"/>
      <c r="C2386" s="56"/>
      <c r="D2386" s="56"/>
      <c r="E2386" s="56"/>
      <c r="F2386" s="56"/>
      <c r="G2386" s="58"/>
      <c r="H2386" s="56"/>
      <c r="I2386" s="61" t="str">
        <f aca="false">IF(IsPro,IF(OR($C2386="",N($G2386)=0),"",IF(OR($C2386="Receipt",$C2386="Other Income",$C2386="Capital In",$C2386="Transfer In"),$G2386,0)),"")</f>
        <v/>
      </c>
      <c r="J2386" s="61" t="str">
        <f aca="false">IF(IsPro,IF(OR($C2386="",N($G2386)=0),"",IF(I2386=0,$G2386,0)),"")</f>
        <v/>
      </c>
      <c r="K2386" s="60" t="str">
        <f aca="false">IF(IsPro,IF($C2386="","",IF(AND(OR($C2386="Receipt",$C2386="Payment"),$D2386=""),"Party needed",IF(AND(OR($C2386="Expense",$C2386="Other Income"),$E2386=""),"Head needed",IF($F2386="","Account needed","OK")))),IF($C2386="","","PRO PLAN"))</f>
        <v/>
      </c>
    </row>
    <row r="2387" customFormat="false" ht="15" hidden="false" customHeight="false" outlineLevel="0" collapsed="false">
      <c r="A2387" s="55"/>
      <c r="B2387" s="56"/>
      <c r="C2387" s="56"/>
      <c r="D2387" s="56"/>
      <c r="E2387" s="56"/>
      <c r="F2387" s="56"/>
      <c r="G2387" s="58"/>
      <c r="H2387" s="56"/>
      <c r="I2387" s="61" t="str">
        <f aca="false">IF(IsPro,IF(OR($C2387="",N($G2387)=0),"",IF(OR($C2387="Receipt",$C2387="Other Income",$C2387="Capital In",$C2387="Transfer In"),$G2387,0)),"")</f>
        <v/>
      </c>
      <c r="J2387" s="61" t="str">
        <f aca="false">IF(IsPro,IF(OR($C2387="",N($G2387)=0),"",IF(I2387=0,$G2387,0)),"")</f>
        <v/>
      </c>
      <c r="K2387" s="60" t="str">
        <f aca="false">IF(IsPro,IF($C2387="","",IF(AND(OR($C2387="Receipt",$C2387="Payment"),$D2387=""),"Party needed",IF(AND(OR($C2387="Expense",$C2387="Other Income"),$E2387=""),"Head needed",IF($F2387="","Account needed","OK")))),IF($C2387="","","PRO PLAN"))</f>
        <v/>
      </c>
    </row>
    <row r="2388" customFormat="false" ht="15" hidden="false" customHeight="false" outlineLevel="0" collapsed="false">
      <c r="A2388" s="55"/>
      <c r="B2388" s="56"/>
      <c r="C2388" s="56"/>
      <c r="D2388" s="56"/>
      <c r="E2388" s="56"/>
      <c r="F2388" s="56"/>
      <c r="G2388" s="58"/>
      <c r="H2388" s="56"/>
      <c r="I2388" s="61" t="str">
        <f aca="false">IF(IsPro,IF(OR($C2388="",N($G2388)=0),"",IF(OR($C2388="Receipt",$C2388="Other Income",$C2388="Capital In",$C2388="Transfer In"),$G2388,0)),"")</f>
        <v/>
      </c>
      <c r="J2388" s="61" t="str">
        <f aca="false">IF(IsPro,IF(OR($C2388="",N($G2388)=0),"",IF(I2388=0,$G2388,0)),"")</f>
        <v/>
      </c>
      <c r="K2388" s="60" t="str">
        <f aca="false">IF(IsPro,IF($C2388="","",IF(AND(OR($C2388="Receipt",$C2388="Payment"),$D2388=""),"Party needed",IF(AND(OR($C2388="Expense",$C2388="Other Income"),$E2388=""),"Head needed",IF($F2388="","Account needed","OK")))),IF($C2388="","","PRO PLAN"))</f>
        <v/>
      </c>
    </row>
    <row r="2389" customFormat="false" ht="15" hidden="false" customHeight="false" outlineLevel="0" collapsed="false">
      <c r="A2389" s="55"/>
      <c r="B2389" s="56"/>
      <c r="C2389" s="56"/>
      <c r="D2389" s="56"/>
      <c r="E2389" s="56"/>
      <c r="F2389" s="56"/>
      <c r="G2389" s="58"/>
      <c r="H2389" s="56"/>
      <c r="I2389" s="61" t="str">
        <f aca="false">IF(IsPro,IF(OR($C2389="",N($G2389)=0),"",IF(OR($C2389="Receipt",$C2389="Other Income",$C2389="Capital In",$C2389="Transfer In"),$G2389,0)),"")</f>
        <v/>
      </c>
      <c r="J2389" s="61" t="str">
        <f aca="false">IF(IsPro,IF(OR($C2389="",N($G2389)=0),"",IF(I2389=0,$G2389,0)),"")</f>
        <v/>
      </c>
      <c r="K2389" s="60" t="str">
        <f aca="false">IF(IsPro,IF($C2389="","",IF(AND(OR($C2389="Receipt",$C2389="Payment"),$D2389=""),"Party needed",IF(AND(OR($C2389="Expense",$C2389="Other Income"),$E2389=""),"Head needed",IF($F2389="","Account needed","OK")))),IF($C2389="","","PRO PLAN"))</f>
        <v/>
      </c>
    </row>
    <row r="2390" customFormat="false" ht="15" hidden="false" customHeight="false" outlineLevel="0" collapsed="false">
      <c r="A2390" s="55"/>
      <c r="B2390" s="56"/>
      <c r="C2390" s="56"/>
      <c r="D2390" s="56"/>
      <c r="E2390" s="56"/>
      <c r="F2390" s="56"/>
      <c r="G2390" s="58"/>
      <c r="H2390" s="56"/>
      <c r="I2390" s="61" t="str">
        <f aca="false">IF(IsPro,IF(OR($C2390="",N($G2390)=0),"",IF(OR($C2390="Receipt",$C2390="Other Income",$C2390="Capital In",$C2390="Transfer In"),$G2390,0)),"")</f>
        <v/>
      </c>
      <c r="J2390" s="61" t="str">
        <f aca="false">IF(IsPro,IF(OR($C2390="",N($G2390)=0),"",IF(I2390=0,$G2390,0)),"")</f>
        <v/>
      </c>
      <c r="K2390" s="60" t="str">
        <f aca="false">IF(IsPro,IF($C2390="","",IF(AND(OR($C2390="Receipt",$C2390="Payment"),$D2390=""),"Party needed",IF(AND(OR($C2390="Expense",$C2390="Other Income"),$E2390=""),"Head needed",IF($F2390="","Account needed","OK")))),IF($C2390="","","PRO PLAN"))</f>
        <v/>
      </c>
    </row>
    <row r="2391" customFormat="false" ht="15" hidden="false" customHeight="false" outlineLevel="0" collapsed="false">
      <c r="A2391" s="55"/>
      <c r="B2391" s="56"/>
      <c r="C2391" s="56"/>
      <c r="D2391" s="56"/>
      <c r="E2391" s="56"/>
      <c r="F2391" s="56"/>
      <c r="G2391" s="58"/>
      <c r="H2391" s="56"/>
      <c r="I2391" s="61" t="str">
        <f aca="false">IF(IsPro,IF(OR($C2391="",N($G2391)=0),"",IF(OR($C2391="Receipt",$C2391="Other Income",$C2391="Capital In",$C2391="Transfer In"),$G2391,0)),"")</f>
        <v/>
      </c>
      <c r="J2391" s="61" t="str">
        <f aca="false">IF(IsPro,IF(OR($C2391="",N($G2391)=0),"",IF(I2391=0,$G2391,0)),"")</f>
        <v/>
      </c>
      <c r="K2391" s="60" t="str">
        <f aca="false">IF(IsPro,IF($C2391="","",IF(AND(OR($C2391="Receipt",$C2391="Payment"),$D2391=""),"Party needed",IF(AND(OR($C2391="Expense",$C2391="Other Income"),$E2391=""),"Head needed",IF($F2391="","Account needed","OK")))),IF($C2391="","","PRO PLAN"))</f>
        <v/>
      </c>
    </row>
    <row r="2392" customFormat="false" ht="15" hidden="false" customHeight="false" outlineLevel="0" collapsed="false">
      <c r="A2392" s="55"/>
      <c r="B2392" s="56"/>
      <c r="C2392" s="56"/>
      <c r="D2392" s="56"/>
      <c r="E2392" s="56"/>
      <c r="F2392" s="56"/>
      <c r="G2392" s="58"/>
      <c r="H2392" s="56"/>
      <c r="I2392" s="61" t="str">
        <f aca="false">IF(IsPro,IF(OR($C2392="",N($G2392)=0),"",IF(OR($C2392="Receipt",$C2392="Other Income",$C2392="Capital In",$C2392="Transfer In"),$G2392,0)),"")</f>
        <v/>
      </c>
      <c r="J2392" s="61" t="str">
        <f aca="false">IF(IsPro,IF(OR($C2392="",N($G2392)=0),"",IF(I2392=0,$G2392,0)),"")</f>
        <v/>
      </c>
      <c r="K2392" s="60" t="str">
        <f aca="false">IF(IsPro,IF($C2392="","",IF(AND(OR($C2392="Receipt",$C2392="Payment"),$D2392=""),"Party needed",IF(AND(OR($C2392="Expense",$C2392="Other Income"),$E2392=""),"Head needed",IF($F2392="","Account needed","OK")))),IF($C2392="","","PRO PLAN"))</f>
        <v/>
      </c>
    </row>
    <row r="2393" customFormat="false" ht="15" hidden="false" customHeight="false" outlineLevel="0" collapsed="false">
      <c r="A2393" s="55"/>
      <c r="B2393" s="56"/>
      <c r="C2393" s="56"/>
      <c r="D2393" s="56"/>
      <c r="E2393" s="56"/>
      <c r="F2393" s="56"/>
      <c r="G2393" s="58"/>
      <c r="H2393" s="56"/>
      <c r="I2393" s="61" t="str">
        <f aca="false">IF(IsPro,IF(OR($C2393="",N($G2393)=0),"",IF(OR($C2393="Receipt",$C2393="Other Income",$C2393="Capital In",$C2393="Transfer In"),$G2393,0)),"")</f>
        <v/>
      </c>
      <c r="J2393" s="61" t="str">
        <f aca="false">IF(IsPro,IF(OR($C2393="",N($G2393)=0),"",IF(I2393=0,$G2393,0)),"")</f>
        <v/>
      </c>
      <c r="K2393" s="60" t="str">
        <f aca="false">IF(IsPro,IF($C2393="","",IF(AND(OR($C2393="Receipt",$C2393="Payment"),$D2393=""),"Party needed",IF(AND(OR($C2393="Expense",$C2393="Other Income"),$E2393=""),"Head needed",IF($F2393="","Account needed","OK")))),IF($C2393="","","PRO PLAN"))</f>
        <v/>
      </c>
    </row>
    <row r="2394" customFormat="false" ht="15" hidden="false" customHeight="false" outlineLevel="0" collapsed="false">
      <c r="A2394" s="55"/>
      <c r="B2394" s="56"/>
      <c r="C2394" s="56"/>
      <c r="D2394" s="56"/>
      <c r="E2394" s="56"/>
      <c r="F2394" s="56"/>
      <c r="G2394" s="58"/>
      <c r="H2394" s="56"/>
      <c r="I2394" s="61" t="str">
        <f aca="false">IF(IsPro,IF(OR($C2394="",N($G2394)=0),"",IF(OR($C2394="Receipt",$C2394="Other Income",$C2394="Capital In",$C2394="Transfer In"),$G2394,0)),"")</f>
        <v/>
      </c>
      <c r="J2394" s="61" t="str">
        <f aca="false">IF(IsPro,IF(OR($C2394="",N($G2394)=0),"",IF(I2394=0,$G2394,0)),"")</f>
        <v/>
      </c>
      <c r="K2394" s="60" t="str">
        <f aca="false">IF(IsPro,IF($C2394="","",IF(AND(OR($C2394="Receipt",$C2394="Payment"),$D2394=""),"Party needed",IF(AND(OR($C2394="Expense",$C2394="Other Income"),$E2394=""),"Head needed",IF($F2394="","Account needed","OK")))),IF($C2394="","","PRO PLAN"))</f>
        <v/>
      </c>
    </row>
    <row r="2395" customFormat="false" ht="15" hidden="false" customHeight="false" outlineLevel="0" collapsed="false">
      <c r="A2395" s="55"/>
      <c r="B2395" s="56"/>
      <c r="C2395" s="56"/>
      <c r="D2395" s="56"/>
      <c r="E2395" s="56"/>
      <c r="F2395" s="56"/>
      <c r="G2395" s="58"/>
      <c r="H2395" s="56"/>
      <c r="I2395" s="61" t="str">
        <f aca="false">IF(IsPro,IF(OR($C2395="",N($G2395)=0),"",IF(OR($C2395="Receipt",$C2395="Other Income",$C2395="Capital In",$C2395="Transfer In"),$G2395,0)),"")</f>
        <v/>
      </c>
      <c r="J2395" s="61" t="str">
        <f aca="false">IF(IsPro,IF(OR($C2395="",N($G2395)=0),"",IF(I2395=0,$G2395,0)),"")</f>
        <v/>
      </c>
      <c r="K2395" s="60" t="str">
        <f aca="false">IF(IsPro,IF($C2395="","",IF(AND(OR($C2395="Receipt",$C2395="Payment"),$D2395=""),"Party needed",IF(AND(OR($C2395="Expense",$C2395="Other Income"),$E2395=""),"Head needed",IF($F2395="","Account needed","OK")))),IF($C2395="","","PRO PLAN"))</f>
        <v/>
      </c>
    </row>
    <row r="2396" customFormat="false" ht="15" hidden="false" customHeight="false" outlineLevel="0" collapsed="false">
      <c r="A2396" s="55"/>
      <c r="B2396" s="56"/>
      <c r="C2396" s="56"/>
      <c r="D2396" s="56"/>
      <c r="E2396" s="56"/>
      <c r="F2396" s="56"/>
      <c r="G2396" s="58"/>
      <c r="H2396" s="56"/>
      <c r="I2396" s="61" t="str">
        <f aca="false">IF(IsPro,IF(OR($C2396="",N($G2396)=0),"",IF(OR($C2396="Receipt",$C2396="Other Income",$C2396="Capital In",$C2396="Transfer In"),$G2396,0)),"")</f>
        <v/>
      </c>
      <c r="J2396" s="61" t="str">
        <f aca="false">IF(IsPro,IF(OR($C2396="",N($G2396)=0),"",IF(I2396=0,$G2396,0)),"")</f>
        <v/>
      </c>
      <c r="K2396" s="60" t="str">
        <f aca="false">IF(IsPro,IF($C2396="","",IF(AND(OR($C2396="Receipt",$C2396="Payment"),$D2396=""),"Party needed",IF(AND(OR($C2396="Expense",$C2396="Other Income"),$E2396=""),"Head needed",IF($F2396="","Account needed","OK")))),IF($C2396="","","PRO PLAN"))</f>
        <v/>
      </c>
    </row>
    <row r="2397" customFormat="false" ht="15" hidden="false" customHeight="false" outlineLevel="0" collapsed="false">
      <c r="A2397" s="55"/>
      <c r="B2397" s="56"/>
      <c r="C2397" s="56"/>
      <c r="D2397" s="56"/>
      <c r="E2397" s="56"/>
      <c r="F2397" s="56"/>
      <c r="G2397" s="58"/>
      <c r="H2397" s="56"/>
      <c r="I2397" s="61" t="str">
        <f aca="false">IF(IsPro,IF(OR($C2397="",N($G2397)=0),"",IF(OR($C2397="Receipt",$C2397="Other Income",$C2397="Capital In",$C2397="Transfer In"),$G2397,0)),"")</f>
        <v/>
      </c>
      <c r="J2397" s="61" t="str">
        <f aca="false">IF(IsPro,IF(OR($C2397="",N($G2397)=0),"",IF(I2397=0,$G2397,0)),"")</f>
        <v/>
      </c>
      <c r="K2397" s="60" t="str">
        <f aca="false">IF(IsPro,IF($C2397="","",IF(AND(OR($C2397="Receipt",$C2397="Payment"),$D2397=""),"Party needed",IF(AND(OR($C2397="Expense",$C2397="Other Income"),$E2397=""),"Head needed",IF($F2397="","Account needed","OK")))),IF($C2397="","","PRO PLAN"))</f>
        <v/>
      </c>
    </row>
    <row r="2398" customFormat="false" ht="15" hidden="false" customHeight="false" outlineLevel="0" collapsed="false">
      <c r="A2398" s="55"/>
      <c r="B2398" s="56"/>
      <c r="C2398" s="56"/>
      <c r="D2398" s="56"/>
      <c r="E2398" s="56"/>
      <c r="F2398" s="56"/>
      <c r="G2398" s="58"/>
      <c r="H2398" s="56"/>
      <c r="I2398" s="61" t="str">
        <f aca="false">IF(IsPro,IF(OR($C2398="",N($G2398)=0),"",IF(OR($C2398="Receipt",$C2398="Other Income",$C2398="Capital In",$C2398="Transfer In"),$G2398,0)),"")</f>
        <v/>
      </c>
      <c r="J2398" s="61" t="str">
        <f aca="false">IF(IsPro,IF(OR($C2398="",N($G2398)=0),"",IF(I2398=0,$G2398,0)),"")</f>
        <v/>
      </c>
      <c r="K2398" s="60" t="str">
        <f aca="false">IF(IsPro,IF($C2398="","",IF(AND(OR($C2398="Receipt",$C2398="Payment"),$D2398=""),"Party needed",IF(AND(OR($C2398="Expense",$C2398="Other Income"),$E2398=""),"Head needed",IF($F2398="","Account needed","OK")))),IF($C2398="","","PRO PLAN"))</f>
        <v/>
      </c>
    </row>
    <row r="2399" customFormat="false" ht="15" hidden="false" customHeight="false" outlineLevel="0" collapsed="false">
      <c r="A2399" s="55"/>
      <c r="B2399" s="56"/>
      <c r="C2399" s="56"/>
      <c r="D2399" s="56"/>
      <c r="E2399" s="56"/>
      <c r="F2399" s="56"/>
      <c r="G2399" s="58"/>
      <c r="H2399" s="56"/>
      <c r="I2399" s="61" t="str">
        <f aca="false">IF(IsPro,IF(OR($C2399="",N($G2399)=0),"",IF(OR($C2399="Receipt",$C2399="Other Income",$C2399="Capital In",$C2399="Transfer In"),$G2399,0)),"")</f>
        <v/>
      </c>
      <c r="J2399" s="61" t="str">
        <f aca="false">IF(IsPro,IF(OR($C2399="",N($G2399)=0),"",IF(I2399=0,$G2399,0)),"")</f>
        <v/>
      </c>
      <c r="K2399" s="60" t="str">
        <f aca="false">IF(IsPro,IF($C2399="","",IF(AND(OR($C2399="Receipt",$C2399="Payment"),$D2399=""),"Party needed",IF(AND(OR($C2399="Expense",$C2399="Other Income"),$E2399=""),"Head needed",IF($F2399="","Account needed","OK")))),IF($C2399="","","PRO PLAN"))</f>
        <v/>
      </c>
    </row>
    <row r="2400" customFormat="false" ht="15" hidden="false" customHeight="false" outlineLevel="0" collapsed="false">
      <c r="A2400" s="55"/>
      <c r="B2400" s="56"/>
      <c r="C2400" s="56"/>
      <c r="D2400" s="56"/>
      <c r="E2400" s="56"/>
      <c r="F2400" s="56"/>
      <c r="G2400" s="58"/>
      <c r="H2400" s="56"/>
      <c r="I2400" s="61" t="str">
        <f aca="false">IF(IsPro,IF(OR($C2400="",N($G2400)=0),"",IF(OR($C2400="Receipt",$C2400="Other Income",$C2400="Capital In",$C2400="Transfer In"),$G2400,0)),"")</f>
        <v/>
      </c>
      <c r="J2400" s="61" t="str">
        <f aca="false">IF(IsPro,IF(OR($C2400="",N($G2400)=0),"",IF(I2400=0,$G2400,0)),"")</f>
        <v/>
      </c>
      <c r="K2400" s="60" t="str">
        <f aca="false">IF(IsPro,IF($C2400="","",IF(AND(OR($C2400="Receipt",$C2400="Payment"),$D2400=""),"Party needed",IF(AND(OR($C2400="Expense",$C2400="Other Income"),$E2400=""),"Head needed",IF($F2400="","Account needed","OK")))),IF($C2400="","","PRO PLAN"))</f>
        <v/>
      </c>
    </row>
    <row r="2401" customFormat="false" ht="15" hidden="false" customHeight="false" outlineLevel="0" collapsed="false">
      <c r="A2401" s="55"/>
      <c r="B2401" s="56"/>
      <c r="C2401" s="56"/>
      <c r="D2401" s="56"/>
      <c r="E2401" s="56"/>
      <c r="F2401" s="56"/>
      <c r="G2401" s="58"/>
      <c r="H2401" s="56"/>
      <c r="I2401" s="61" t="str">
        <f aca="false">IF(IsPro,IF(OR($C2401="",N($G2401)=0),"",IF(OR($C2401="Receipt",$C2401="Other Income",$C2401="Capital In",$C2401="Transfer In"),$G2401,0)),"")</f>
        <v/>
      </c>
      <c r="J2401" s="61" t="str">
        <f aca="false">IF(IsPro,IF(OR($C2401="",N($G2401)=0),"",IF(I2401=0,$G2401,0)),"")</f>
        <v/>
      </c>
      <c r="K2401" s="60" t="str">
        <f aca="false">IF(IsPro,IF($C2401="","",IF(AND(OR($C2401="Receipt",$C2401="Payment"),$D2401=""),"Party needed",IF(AND(OR($C2401="Expense",$C2401="Other Income"),$E2401=""),"Head needed",IF($F2401="","Account needed","OK")))),IF($C2401="","","PRO PLAN"))</f>
        <v/>
      </c>
    </row>
    <row r="2402" customFormat="false" ht="15" hidden="false" customHeight="false" outlineLevel="0" collapsed="false">
      <c r="A2402" s="55"/>
      <c r="B2402" s="56"/>
      <c r="C2402" s="56"/>
      <c r="D2402" s="56"/>
      <c r="E2402" s="56"/>
      <c r="F2402" s="56"/>
      <c r="G2402" s="58"/>
      <c r="H2402" s="56"/>
      <c r="I2402" s="61" t="str">
        <f aca="false">IF(IsPro,IF(OR($C2402="",N($G2402)=0),"",IF(OR($C2402="Receipt",$C2402="Other Income",$C2402="Capital In",$C2402="Transfer In"),$G2402,0)),"")</f>
        <v/>
      </c>
      <c r="J2402" s="61" t="str">
        <f aca="false">IF(IsPro,IF(OR($C2402="",N($G2402)=0),"",IF(I2402=0,$G2402,0)),"")</f>
        <v/>
      </c>
      <c r="K2402" s="60" t="str">
        <f aca="false">IF(IsPro,IF($C2402="","",IF(AND(OR($C2402="Receipt",$C2402="Payment"),$D2402=""),"Party needed",IF(AND(OR($C2402="Expense",$C2402="Other Income"),$E2402=""),"Head needed",IF($F2402="","Account needed","OK")))),IF($C2402="","","PRO PLAN"))</f>
        <v/>
      </c>
    </row>
    <row r="2403" customFormat="false" ht="15" hidden="false" customHeight="false" outlineLevel="0" collapsed="false">
      <c r="A2403" s="55"/>
      <c r="B2403" s="56"/>
      <c r="C2403" s="56"/>
      <c r="D2403" s="56"/>
      <c r="E2403" s="56"/>
      <c r="F2403" s="56"/>
      <c r="G2403" s="58"/>
      <c r="H2403" s="56"/>
      <c r="I2403" s="61" t="str">
        <f aca="false">IF(IsPro,IF(OR($C2403="",N($G2403)=0),"",IF(OR($C2403="Receipt",$C2403="Other Income",$C2403="Capital In",$C2403="Transfer In"),$G2403,0)),"")</f>
        <v/>
      </c>
      <c r="J2403" s="61" t="str">
        <f aca="false">IF(IsPro,IF(OR($C2403="",N($G2403)=0),"",IF(I2403=0,$G2403,0)),"")</f>
        <v/>
      </c>
      <c r="K2403" s="60" t="str">
        <f aca="false">IF(IsPro,IF($C2403="","",IF(AND(OR($C2403="Receipt",$C2403="Payment"),$D2403=""),"Party needed",IF(AND(OR($C2403="Expense",$C2403="Other Income"),$E2403=""),"Head needed",IF($F2403="","Account needed","OK")))),IF($C2403="","","PRO PLAN"))</f>
        <v/>
      </c>
    </row>
    <row r="2404" customFormat="false" ht="15" hidden="false" customHeight="false" outlineLevel="0" collapsed="false">
      <c r="A2404" s="55"/>
      <c r="B2404" s="56"/>
      <c r="C2404" s="56"/>
      <c r="D2404" s="56"/>
      <c r="E2404" s="56"/>
      <c r="F2404" s="56"/>
      <c r="G2404" s="58"/>
      <c r="H2404" s="56"/>
      <c r="I2404" s="61" t="str">
        <f aca="false">IF(IsPro,IF(OR($C2404="",N($G2404)=0),"",IF(OR($C2404="Receipt",$C2404="Other Income",$C2404="Capital In",$C2404="Transfer In"),$G2404,0)),"")</f>
        <v/>
      </c>
      <c r="J2404" s="61" t="str">
        <f aca="false">IF(IsPro,IF(OR($C2404="",N($G2404)=0),"",IF(I2404=0,$G2404,0)),"")</f>
        <v/>
      </c>
      <c r="K2404" s="60" t="str">
        <f aca="false">IF(IsPro,IF($C2404="","",IF(AND(OR($C2404="Receipt",$C2404="Payment"),$D2404=""),"Party needed",IF(AND(OR($C2404="Expense",$C2404="Other Income"),$E2404=""),"Head needed",IF($F2404="","Account needed","OK")))),IF($C2404="","","PRO PLAN"))</f>
        <v/>
      </c>
    </row>
    <row r="2405" customFormat="false" ht="15" hidden="false" customHeight="false" outlineLevel="0" collapsed="false">
      <c r="A2405" s="55"/>
      <c r="B2405" s="56"/>
      <c r="C2405" s="56"/>
      <c r="D2405" s="56"/>
      <c r="E2405" s="56"/>
      <c r="F2405" s="56"/>
      <c r="G2405" s="58"/>
      <c r="H2405" s="56"/>
      <c r="I2405" s="61" t="str">
        <f aca="false">IF(IsPro,IF(OR($C2405="",N($G2405)=0),"",IF(OR($C2405="Receipt",$C2405="Other Income",$C2405="Capital In",$C2405="Transfer In"),$G2405,0)),"")</f>
        <v/>
      </c>
      <c r="J2405" s="61" t="str">
        <f aca="false">IF(IsPro,IF(OR($C2405="",N($G2405)=0),"",IF(I2405=0,$G2405,0)),"")</f>
        <v/>
      </c>
      <c r="K2405" s="60" t="str">
        <f aca="false">IF(IsPro,IF($C2405="","",IF(AND(OR($C2405="Receipt",$C2405="Payment"),$D2405=""),"Party needed",IF(AND(OR($C2405="Expense",$C2405="Other Income"),$E2405=""),"Head needed",IF($F2405="","Account needed","OK")))),IF($C2405="","","PRO PLAN"))</f>
        <v/>
      </c>
    </row>
    <row r="2406" customFormat="false" ht="15" hidden="false" customHeight="false" outlineLevel="0" collapsed="false">
      <c r="A2406" s="55"/>
      <c r="B2406" s="56"/>
      <c r="C2406" s="56"/>
      <c r="D2406" s="56"/>
      <c r="E2406" s="56"/>
      <c r="F2406" s="56"/>
      <c r="G2406" s="58"/>
      <c r="H2406" s="56"/>
      <c r="I2406" s="61" t="str">
        <f aca="false">IF(IsPro,IF(OR($C2406="",N($G2406)=0),"",IF(OR($C2406="Receipt",$C2406="Other Income",$C2406="Capital In",$C2406="Transfer In"),$G2406,0)),"")</f>
        <v/>
      </c>
      <c r="J2406" s="61" t="str">
        <f aca="false">IF(IsPro,IF(OR($C2406="",N($G2406)=0),"",IF(I2406=0,$G2406,0)),"")</f>
        <v/>
      </c>
      <c r="K2406" s="60" t="str">
        <f aca="false">IF(IsPro,IF($C2406="","",IF(AND(OR($C2406="Receipt",$C2406="Payment"),$D2406=""),"Party needed",IF(AND(OR($C2406="Expense",$C2406="Other Income"),$E2406=""),"Head needed",IF($F2406="","Account needed","OK")))),IF($C2406="","","PRO PLAN"))</f>
        <v/>
      </c>
    </row>
    <row r="2407" customFormat="false" ht="15" hidden="false" customHeight="false" outlineLevel="0" collapsed="false">
      <c r="A2407" s="55"/>
      <c r="B2407" s="56"/>
      <c r="C2407" s="56"/>
      <c r="D2407" s="56"/>
      <c r="E2407" s="56"/>
      <c r="F2407" s="56"/>
      <c r="G2407" s="58"/>
      <c r="H2407" s="56"/>
      <c r="I2407" s="61" t="str">
        <f aca="false">IF(IsPro,IF(OR($C2407="",N($G2407)=0),"",IF(OR($C2407="Receipt",$C2407="Other Income",$C2407="Capital In",$C2407="Transfer In"),$G2407,0)),"")</f>
        <v/>
      </c>
      <c r="J2407" s="61" t="str">
        <f aca="false">IF(IsPro,IF(OR($C2407="",N($G2407)=0),"",IF(I2407=0,$G2407,0)),"")</f>
        <v/>
      </c>
      <c r="K2407" s="60" t="str">
        <f aca="false">IF(IsPro,IF($C2407="","",IF(AND(OR($C2407="Receipt",$C2407="Payment"),$D2407=""),"Party needed",IF(AND(OR($C2407="Expense",$C2407="Other Income"),$E2407=""),"Head needed",IF($F2407="","Account needed","OK")))),IF($C2407="","","PRO PLAN"))</f>
        <v/>
      </c>
    </row>
    <row r="2408" customFormat="false" ht="15" hidden="false" customHeight="false" outlineLevel="0" collapsed="false">
      <c r="A2408" s="55"/>
      <c r="B2408" s="56"/>
      <c r="C2408" s="56"/>
      <c r="D2408" s="56"/>
      <c r="E2408" s="56"/>
      <c r="F2408" s="56"/>
      <c r="G2408" s="58"/>
      <c r="H2408" s="56"/>
      <c r="I2408" s="61" t="str">
        <f aca="false">IF(IsPro,IF(OR($C2408="",N($G2408)=0),"",IF(OR($C2408="Receipt",$C2408="Other Income",$C2408="Capital In",$C2408="Transfer In"),$G2408,0)),"")</f>
        <v/>
      </c>
      <c r="J2408" s="61" t="str">
        <f aca="false">IF(IsPro,IF(OR($C2408="",N($G2408)=0),"",IF(I2408=0,$G2408,0)),"")</f>
        <v/>
      </c>
      <c r="K2408" s="60" t="str">
        <f aca="false">IF(IsPro,IF($C2408="","",IF(AND(OR($C2408="Receipt",$C2408="Payment"),$D2408=""),"Party needed",IF(AND(OR($C2408="Expense",$C2408="Other Income"),$E2408=""),"Head needed",IF($F2408="","Account needed","OK")))),IF($C2408="","","PRO PLAN"))</f>
        <v/>
      </c>
    </row>
    <row r="2409" customFormat="false" ht="15" hidden="false" customHeight="false" outlineLevel="0" collapsed="false">
      <c r="A2409" s="55"/>
      <c r="B2409" s="56"/>
      <c r="C2409" s="56"/>
      <c r="D2409" s="56"/>
      <c r="E2409" s="56"/>
      <c r="F2409" s="56"/>
      <c r="G2409" s="58"/>
      <c r="H2409" s="56"/>
      <c r="I2409" s="61" t="str">
        <f aca="false">IF(IsPro,IF(OR($C2409="",N($G2409)=0),"",IF(OR($C2409="Receipt",$C2409="Other Income",$C2409="Capital In",$C2409="Transfer In"),$G2409,0)),"")</f>
        <v/>
      </c>
      <c r="J2409" s="61" t="str">
        <f aca="false">IF(IsPro,IF(OR($C2409="",N($G2409)=0),"",IF(I2409=0,$G2409,0)),"")</f>
        <v/>
      </c>
      <c r="K2409" s="60" t="str">
        <f aca="false">IF(IsPro,IF($C2409="","",IF(AND(OR($C2409="Receipt",$C2409="Payment"),$D2409=""),"Party needed",IF(AND(OR($C2409="Expense",$C2409="Other Income"),$E2409=""),"Head needed",IF($F2409="","Account needed","OK")))),IF($C2409="","","PRO PLAN"))</f>
        <v/>
      </c>
    </row>
    <row r="2410" customFormat="false" ht="15" hidden="false" customHeight="false" outlineLevel="0" collapsed="false">
      <c r="A2410" s="55"/>
      <c r="B2410" s="56"/>
      <c r="C2410" s="56"/>
      <c r="D2410" s="56"/>
      <c r="E2410" s="56"/>
      <c r="F2410" s="56"/>
      <c r="G2410" s="58"/>
      <c r="H2410" s="56"/>
      <c r="I2410" s="61" t="str">
        <f aca="false">IF(IsPro,IF(OR($C2410="",N($G2410)=0),"",IF(OR($C2410="Receipt",$C2410="Other Income",$C2410="Capital In",$C2410="Transfer In"),$G2410,0)),"")</f>
        <v/>
      </c>
      <c r="J2410" s="61" t="str">
        <f aca="false">IF(IsPro,IF(OR($C2410="",N($G2410)=0),"",IF(I2410=0,$G2410,0)),"")</f>
        <v/>
      </c>
      <c r="K2410" s="60" t="str">
        <f aca="false">IF(IsPro,IF($C2410="","",IF(AND(OR($C2410="Receipt",$C2410="Payment"),$D2410=""),"Party needed",IF(AND(OR($C2410="Expense",$C2410="Other Income"),$E2410=""),"Head needed",IF($F2410="","Account needed","OK")))),IF($C2410="","","PRO PLAN"))</f>
        <v/>
      </c>
    </row>
    <row r="2411" customFormat="false" ht="15" hidden="false" customHeight="false" outlineLevel="0" collapsed="false">
      <c r="A2411" s="55"/>
      <c r="B2411" s="56"/>
      <c r="C2411" s="56"/>
      <c r="D2411" s="56"/>
      <c r="E2411" s="56"/>
      <c r="F2411" s="56"/>
      <c r="G2411" s="58"/>
      <c r="H2411" s="56"/>
      <c r="I2411" s="61" t="str">
        <f aca="false">IF(IsPro,IF(OR($C2411="",N($G2411)=0),"",IF(OR($C2411="Receipt",$C2411="Other Income",$C2411="Capital In",$C2411="Transfer In"),$G2411,0)),"")</f>
        <v/>
      </c>
      <c r="J2411" s="61" t="str">
        <f aca="false">IF(IsPro,IF(OR($C2411="",N($G2411)=0),"",IF(I2411=0,$G2411,0)),"")</f>
        <v/>
      </c>
      <c r="K2411" s="60" t="str">
        <f aca="false">IF(IsPro,IF($C2411="","",IF(AND(OR($C2411="Receipt",$C2411="Payment"),$D2411=""),"Party needed",IF(AND(OR($C2411="Expense",$C2411="Other Income"),$E2411=""),"Head needed",IF($F2411="","Account needed","OK")))),IF($C2411="","","PRO PLAN"))</f>
        <v/>
      </c>
    </row>
    <row r="2412" customFormat="false" ht="15" hidden="false" customHeight="false" outlineLevel="0" collapsed="false">
      <c r="A2412" s="55"/>
      <c r="B2412" s="56"/>
      <c r="C2412" s="56"/>
      <c r="D2412" s="56"/>
      <c r="E2412" s="56"/>
      <c r="F2412" s="56"/>
      <c r="G2412" s="58"/>
      <c r="H2412" s="56"/>
      <c r="I2412" s="61" t="str">
        <f aca="false">IF(IsPro,IF(OR($C2412="",N($G2412)=0),"",IF(OR($C2412="Receipt",$C2412="Other Income",$C2412="Capital In",$C2412="Transfer In"),$G2412,0)),"")</f>
        <v/>
      </c>
      <c r="J2412" s="61" t="str">
        <f aca="false">IF(IsPro,IF(OR($C2412="",N($G2412)=0),"",IF(I2412=0,$G2412,0)),"")</f>
        <v/>
      </c>
      <c r="K2412" s="60" t="str">
        <f aca="false">IF(IsPro,IF($C2412="","",IF(AND(OR($C2412="Receipt",$C2412="Payment"),$D2412=""),"Party needed",IF(AND(OR($C2412="Expense",$C2412="Other Income"),$E2412=""),"Head needed",IF($F2412="","Account needed","OK")))),IF($C2412="","","PRO PLAN"))</f>
        <v/>
      </c>
    </row>
    <row r="2413" customFormat="false" ht="15" hidden="false" customHeight="false" outlineLevel="0" collapsed="false">
      <c r="A2413" s="55"/>
      <c r="B2413" s="56"/>
      <c r="C2413" s="56"/>
      <c r="D2413" s="56"/>
      <c r="E2413" s="56"/>
      <c r="F2413" s="56"/>
      <c r="G2413" s="58"/>
      <c r="H2413" s="56"/>
      <c r="I2413" s="61" t="str">
        <f aca="false">IF(IsPro,IF(OR($C2413="",N($G2413)=0),"",IF(OR($C2413="Receipt",$C2413="Other Income",$C2413="Capital In",$C2413="Transfer In"),$G2413,0)),"")</f>
        <v/>
      </c>
      <c r="J2413" s="61" t="str">
        <f aca="false">IF(IsPro,IF(OR($C2413="",N($G2413)=0),"",IF(I2413=0,$G2413,0)),"")</f>
        <v/>
      </c>
      <c r="K2413" s="60" t="str">
        <f aca="false">IF(IsPro,IF($C2413="","",IF(AND(OR($C2413="Receipt",$C2413="Payment"),$D2413=""),"Party needed",IF(AND(OR($C2413="Expense",$C2413="Other Income"),$E2413=""),"Head needed",IF($F2413="","Account needed","OK")))),IF($C2413="","","PRO PLAN"))</f>
        <v/>
      </c>
    </row>
    <row r="2414" customFormat="false" ht="15" hidden="false" customHeight="false" outlineLevel="0" collapsed="false">
      <c r="A2414" s="55"/>
      <c r="B2414" s="56"/>
      <c r="C2414" s="56"/>
      <c r="D2414" s="56"/>
      <c r="E2414" s="56"/>
      <c r="F2414" s="56"/>
      <c r="G2414" s="58"/>
      <c r="H2414" s="56"/>
      <c r="I2414" s="61" t="str">
        <f aca="false">IF(IsPro,IF(OR($C2414="",N($G2414)=0),"",IF(OR($C2414="Receipt",$C2414="Other Income",$C2414="Capital In",$C2414="Transfer In"),$G2414,0)),"")</f>
        <v/>
      </c>
      <c r="J2414" s="61" t="str">
        <f aca="false">IF(IsPro,IF(OR($C2414="",N($G2414)=0),"",IF(I2414=0,$G2414,0)),"")</f>
        <v/>
      </c>
      <c r="K2414" s="60" t="str">
        <f aca="false">IF(IsPro,IF($C2414="","",IF(AND(OR($C2414="Receipt",$C2414="Payment"),$D2414=""),"Party needed",IF(AND(OR($C2414="Expense",$C2414="Other Income"),$E2414=""),"Head needed",IF($F2414="","Account needed","OK")))),IF($C2414="","","PRO PLAN"))</f>
        <v/>
      </c>
    </row>
    <row r="2415" customFormat="false" ht="15" hidden="false" customHeight="false" outlineLevel="0" collapsed="false">
      <c r="A2415" s="55"/>
      <c r="B2415" s="56"/>
      <c r="C2415" s="56"/>
      <c r="D2415" s="56"/>
      <c r="E2415" s="56"/>
      <c r="F2415" s="56"/>
      <c r="G2415" s="58"/>
      <c r="H2415" s="56"/>
      <c r="I2415" s="61" t="str">
        <f aca="false">IF(IsPro,IF(OR($C2415="",N($G2415)=0),"",IF(OR($C2415="Receipt",$C2415="Other Income",$C2415="Capital In",$C2415="Transfer In"),$G2415,0)),"")</f>
        <v/>
      </c>
      <c r="J2415" s="61" t="str">
        <f aca="false">IF(IsPro,IF(OR($C2415="",N($G2415)=0),"",IF(I2415=0,$G2415,0)),"")</f>
        <v/>
      </c>
      <c r="K2415" s="60" t="str">
        <f aca="false">IF(IsPro,IF($C2415="","",IF(AND(OR($C2415="Receipt",$C2415="Payment"),$D2415=""),"Party needed",IF(AND(OR($C2415="Expense",$C2415="Other Income"),$E2415=""),"Head needed",IF($F2415="","Account needed","OK")))),IF($C2415="","","PRO PLAN"))</f>
        <v/>
      </c>
    </row>
    <row r="2416" customFormat="false" ht="15" hidden="false" customHeight="false" outlineLevel="0" collapsed="false">
      <c r="A2416" s="55"/>
      <c r="B2416" s="56"/>
      <c r="C2416" s="56"/>
      <c r="D2416" s="56"/>
      <c r="E2416" s="56"/>
      <c r="F2416" s="56"/>
      <c r="G2416" s="58"/>
      <c r="H2416" s="56"/>
      <c r="I2416" s="61" t="str">
        <f aca="false">IF(IsPro,IF(OR($C2416="",N($G2416)=0),"",IF(OR($C2416="Receipt",$C2416="Other Income",$C2416="Capital In",$C2416="Transfer In"),$G2416,0)),"")</f>
        <v/>
      </c>
      <c r="J2416" s="61" t="str">
        <f aca="false">IF(IsPro,IF(OR($C2416="",N($G2416)=0),"",IF(I2416=0,$G2416,0)),"")</f>
        <v/>
      </c>
      <c r="K2416" s="60" t="str">
        <f aca="false">IF(IsPro,IF($C2416="","",IF(AND(OR($C2416="Receipt",$C2416="Payment"),$D2416=""),"Party needed",IF(AND(OR($C2416="Expense",$C2416="Other Income"),$E2416=""),"Head needed",IF($F2416="","Account needed","OK")))),IF($C2416="","","PRO PLAN"))</f>
        <v/>
      </c>
    </row>
    <row r="2417" customFormat="false" ht="15" hidden="false" customHeight="false" outlineLevel="0" collapsed="false">
      <c r="A2417" s="55"/>
      <c r="B2417" s="56"/>
      <c r="C2417" s="56"/>
      <c r="D2417" s="56"/>
      <c r="E2417" s="56"/>
      <c r="F2417" s="56"/>
      <c r="G2417" s="58"/>
      <c r="H2417" s="56"/>
      <c r="I2417" s="61" t="str">
        <f aca="false">IF(IsPro,IF(OR($C2417="",N($G2417)=0),"",IF(OR($C2417="Receipt",$C2417="Other Income",$C2417="Capital In",$C2417="Transfer In"),$G2417,0)),"")</f>
        <v/>
      </c>
      <c r="J2417" s="61" t="str">
        <f aca="false">IF(IsPro,IF(OR($C2417="",N($G2417)=0),"",IF(I2417=0,$G2417,0)),"")</f>
        <v/>
      </c>
      <c r="K2417" s="60" t="str">
        <f aca="false">IF(IsPro,IF($C2417="","",IF(AND(OR($C2417="Receipt",$C2417="Payment"),$D2417=""),"Party needed",IF(AND(OR($C2417="Expense",$C2417="Other Income"),$E2417=""),"Head needed",IF($F2417="","Account needed","OK")))),IF($C2417="","","PRO PLAN"))</f>
        <v/>
      </c>
    </row>
    <row r="2418" customFormat="false" ht="15" hidden="false" customHeight="false" outlineLevel="0" collapsed="false">
      <c r="A2418" s="55"/>
      <c r="B2418" s="56"/>
      <c r="C2418" s="56"/>
      <c r="D2418" s="56"/>
      <c r="E2418" s="56"/>
      <c r="F2418" s="56"/>
      <c r="G2418" s="58"/>
      <c r="H2418" s="56"/>
      <c r="I2418" s="61" t="str">
        <f aca="false">IF(IsPro,IF(OR($C2418="",N($G2418)=0),"",IF(OR($C2418="Receipt",$C2418="Other Income",$C2418="Capital In",$C2418="Transfer In"),$G2418,0)),"")</f>
        <v/>
      </c>
      <c r="J2418" s="61" t="str">
        <f aca="false">IF(IsPro,IF(OR($C2418="",N($G2418)=0),"",IF(I2418=0,$G2418,0)),"")</f>
        <v/>
      </c>
      <c r="K2418" s="60" t="str">
        <f aca="false">IF(IsPro,IF($C2418="","",IF(AND(OR($C2418="Receipt",$C2418="Payment"),$D2418=""),"Party needed",IF(AND(OR($C2418="Expense",$C2418="Other Income"),$E2418=""),"Head needed",IF($F2418="","Account needed","OK")))),IF($C2418="","","PRO PLAN"))</f>
        <v/>
      </c>
    </row>
    <row r="2419" customFormat="false" ht="15" hidden="false" customHeight="false" outlineLevel="0" collapsed="false">
      <c r="A2419" s="55"/>
      <c r="B2419" s="56"/>
      <c r="C2419" s="56"/>
      <c r="D2419" s="56"/>
      <c r="E2419" s="56"/>
      <c r="F2419" s="56"/>
      <c r="G2419" s="58"/>
      <c r="H2419" s="56"/>
      <c r="I2419" s="61" t="str">
        <f aca="false">IF(IsPro,IF(OR($C2419="",N($G2419)=0),"",IF(OR($C2419="Receipt",$C2419="Other Income",$C2419="Capital In",$C2419="Transfer In"),$G2419,0)),"")</f>
        <v/>
      </c>
      <c r="J2419" s="61" t="str">
        <f aca="false">IF(IsPro,IF(OR($C2419="",N($G2419)=0),"",IF(I2419=0,$G2419,0)),"")</f>
        <v/>
      </c>
      <c r="K2419" s="60" t="str">
        <f aca="false">IF(IsPro,IF($C2419="","",IF(AND(OR($C2419="Receipt",$C2419="Payment"),$D2419=""),"Party needed",IF(AND(OR($C2419="Expense",$C2419="Other Income"),$E2419=""),"Head needed",IF($F2419="","Account needed","OK")))),IF($C2419="","","PRO PLAN"))</f>
        <v/>
      </c>
    </row>
    <row r="2420" customFormat="false" ht="15" hidden="false" customHeight="false" outlineLevel="0" collapsed="false">
      <c r="A2420" s="55"/>
      <c r="B2420" s="56"/>
      <c r="C2420" s="56"/>
      <c r="D2420" s="56"/>
      <c r="E2420" s="56"/>
      <c r="F2420" s="56"/>
      <c r="G2420" s="58"/>
      <c r="H2420" s="56"/>
      <c r="I2420" s="61" t="str">
        <f aca="false">IF(IsPro,IF(OR($C2420="",N($G2420)=0),"",IF(OR($C2420="Receipt",$C2420="Other Income",$C2420="Capital In",$C2420="Transfer In"),$G2420,0)),"")</f>
        <v/>
      </c>
      <c r="J2420" s="61" t="str">
        <f aca="false">IF(IsPro,IF(OR($C2420="",N($G2420)=0),"",IF(I2420=0,$G2420,0)),"")</f>
        <v/>
      </c>
      <c r="K2420" s="60" t="str">
        <f aca="false">IF(IsPro,IF($C2420="","",IF(AND(OR($C2420="Receipt",$C2420="Payment"),$D2420=""),"Party needed",IF(AND(OR($C2420="Expense",$C2420="Other Income"),$E2420=""),"Head needed",IF($F2420="","Account needed","OK")))),IF($C2420="","","PRO PLAN"))</f>
        <v/>
      </c>
    </row>
    <row r="2421" customFormat="false" ht="15" hidden="false" customHeight="false" outlineLevel="0" collapsed="false">
      <c r="A2421" s="55"/>
      <c r="B2421" s="56"/>
      <c r="C2421" s="56"/>
      <c r="D2421" s="56"/>
      <c r="E2421" s="56"/>
      <c r="F2421" s="56"/>
      <c r="G2421" s="58"/>
      <c r="H2421" s="56"/>
      <c r="I2421" s="61" t="str">
        <f aca="false">IF(IsPro,IF(OR($C2421="",N($G2421)=0),"",IF(OR($C2421="Receipt",$C2421="Other Income",$C2421="Capital In",$C2421="Transfer In"),$G2421,0)),"")</f>
        <v/>
      </c>
      <c r="J2421" s="61" t="str">
        <f aca="false">IF(IsPro,IF(OR($C2421="",N($G2421)=0),"",IF(I2421=0,$G2421,0)),"")</f>
        <v/>
      </c>
      <c r="K2421" s="60" t="str">
        <f aca="false">IF(IsPro,IF($C2421="","",IF(AND(OR($C2421="Receipt",$C2421="Payment"),$D2421=""),"Party needed",IF(AND(OR($C2421="Expense",$C2421="Other Income"),$E2421=""),"Head needed",IF($F2421="","Account needed","OK")))),IF($C2421="","","PRO PLAN"))</f>
        <v/>
      </c>
    </row>
    <row r="2422" customFormat="false" ht="15" hidden="false" customHeight="false" outlineLevel="0" collapsed="false">
      <c r="A2422" s="55"/>
      <c r="B2422" s="56"/>
      <c r="C2422" s="56"/>
      <c r="D2422" s="56"/>
      <c r="E2422" s="56"/>
      <c r="F2422" s="56"/>
      <c r="G2422" s="58"/>
      <c r="H2422" s="56"/>
      <c r="I2422" s="61" t="str">
        <f aca="false">IF(IsPro,IF(OR($C2422="",N($G2422)=0),"",IF(OR($C2422="Receipt",$C2422="Other Income",$C2422="Capital In",$C2422="Transfer In"),$G2422,0)),"")</f>
        <v/>
      </c>
      <c r="J2422" s="61" t="str">
        <f aca="false">IF(IsPro,IF(OR($C2422="",N($G2422)=0),"",IF(I2422=0,$G2422,0)),"")</f>
        <v/>
      </c>
      <c r="K2422" s="60" t="str">
        <f aca="false">IF(IsPro,IF($C2422="","",IF(AND(OR($C2422="Receipt",$C2422="Payment"),$D2422=""),"Party needed",IF(AND(OR($C2422="Expense",$C2422="Other Income"),$E2422=""),"Head needed",IF($F2422="","Account needed","OK")))),IF($C2422="","","PRO PLAN"))</f>
        <v/>
      </c>
    </row>
    <row r="2423" customFormat="false" ht="15" hidden="false" customHeight="false" outlineLevel="0" collapsed="false">
      <c r="A2423" s="55"/>
      <c r="B2423" s="56"/>
      <c r="C2423" s="56"/>
      <c r="D2423" s="56"/>
      <c r="E2423" s="56"/>
      <c r="F2423" s="56"/>
      <c r="G2423" s="58"/>
      <c r="H2423" s="56"/>
      <c r="I2423" s="61" t="str">
        <f aca="false">IF(IsPro,IF(OR($C2423="",N($G2423)=0),"",IF(OR($C2423="Receipt",$C2423="Other Income",$C2423="Capital In",$C2423="Transfer In"),$G2423,0)),"")</f>
        <v/>
      </c>
      <c r="J2423" s="61" t="str">
        <f aca="false">IF(IsPro,IF(OR($C2423="",N($G2423)=0),"",IF(I2423=0,$G2423,0)),"")</f>
        <v/>
      </c>
      <c r="K2423" s="60" t="str">
        <f aca="false">IF(IsPro,IF($C2423="","",IF(AND(OR($C2423="Receipt",$C2423="Payment"),$D2423=""),"Party needed",IF(AND(OR($C2423="Expense",$C2423="Other Income"),$E2423=""),"Head needed",IF($F2423="","Account needed","OK")))),IF($C2423="","","PRO PLAN"))</f>
        <v/>
      </c>
    </row>
    <row r="2424" customFormat="false" ht="15" hidden="false" customHeight="false" outlineLevel="0" collapsed="false">
      <c r="A2424" s="55"/>
      <c r="B2424" s="56"/>
      <c r="C2424" s="56"/>
      <c r="D2424" s="56"/>
      <c r="E2424" s="56"/>
      <c r="F2424" s="56"/>
      <c r="G2424" s="58"/>
      <c r="H2424" s="56"/>
      <c r="I2424" s="61" t="str">
        <f aca="false">IF(IsPro,IF(OR($C2424="",N($G2424)=0),"",IF(OR($C2424="Receipt",$C2424="Other Income",$C2424="Capital In",$C2424="Transfer In"),$G2424,0)),"")</f>
        <v/>
      </c>
      <c r="J2424" s="61" t="str">
        <f aca="false">IF(IsPro,IF(OR($C2424="",N($G2424)=0),"",IF(I2424=0,$G2424,0)),"")</f>
        <v/>
      </c>
      <c r="K2424" s="60" t="str">
        <f aca="false">IF(IsPro,IF($C2424="","",IF(AND(OR($C2424="Receipt",$C2424="Payment"),$D2424=""),"Party needed",IF(AND(OR($C2424="Expense",$C2424="Other Income"),$E2424=""),"Head needed",IF($F2424="","Account needed","OK")))),IF($C2424="","","PRO PLAN"))</f>
        <v/>
      </c>
    </row>
    <row r="2425" customFormat="false" ht="15" hidden="false" customHeight="false" outlineLevel="0" collapsed="false">
      <c r="A2425" s="55"/>
      <c r="B2425" s="56"/>
      <c r="C2425" s="56"/>
      <c r="D2425" s="56"/>
      <c r="E2425" s="56"/>
      <c r="F2425" s="56"/>
      <c r="G2425" s="58"/>
      <c r="H2425" s="56"/>
      <c r="I2425" s="61" t="str">
        <f aca="false">IF(IsPro,IF(OR($C2425="",N($G2425)=0),"",IF(OR($C2425="Receipt",$C2425="Other Income",$C2425="Capital In",$C2425="Transfer In"),$G2425,0)),"")</f>
        <v/>
      </c>
      <c r="J2425" s="61" t="str">
        <f aca="false">IF(IsPro,IF(OR($C2425="",N($G2425)=0),"",IF(I2425=0,$G2425,0)),"")</f>
        <v/>
      </c>
      <c r="K2425" s="60" t="str">
        <f aca="false">IF(IsPro,IF($C2425="","",IF(AND(OR($C2425="Receipt",$C2425="Payment"),$D2425=""),"Party needed",IF(AND(OR($C2425="Expense",$C2425="Other Income"),$E2425=""),"Head needed",IF($F2425="","Account needed","OK")))),IF($C2425="","","PRO PLAN"))</f>
        <v/>
      </c>
    </row>
    <row r="2426" customFormat="false" ht="15" hidden="false" customHeight="false" outlineLevel="0" collapsed="false">
      <c r="A2426" s="55"/>
      <c r="B2426" s="56"/>
      <c r="C2426" s="56"/>
      <c r="D2426" s="56"/>
      <c r="E2426" s="56"/>
      <c r="F2426" s="56"/>
      <c r="G2426" s="58"/>
      <c r="H2426" s="56"/>
      <c r="I2426" s="61" t="str">
        <f aca="false">IF(IsPro,IF(OR($C2426="",N($G2426)=0),"",IF(OR($C2426="Receipt",$C2426="Other Income",$C2426="Capital In",$C2426="Transfer In"),$G2426,0)),"")</f>
        <v/>
      </c>
      <c r="J2426" s="61" t="str">
        <f aca="false">IF(IsPro,IF(OR($C2426="",N($G2426)=0),"",IF(I2426=0,$G2426,0)),"")</f>
        <v/>
      </c>
      <c r="K2426" s="60" t="str">
        <f aca="false">IF(IsPro,IF($C2426="","",IF(AND(OR($C2426="Receipt",$C2426="Payment"),$D2426=""),"Party needed",IF(AND(OR($C2426="Expense",$C2426="Other Income"),$E2426=""),"Head needed",IF($F2426="","Account needed","OK")))),IF($C2426="","","PRO PLAN"))</f>
        <v/>
      </c>
    </row>
    <row r="2427" customFormat="false" ht="15" hidden="false" customHeight="false" outlineLevel="0" collapsed="false">
      <c r="A2427" s="55"/>
      <c r="B2427" s="56"/>
      <c r="C2427" s="56"/>
      <c r="D2427" s="56"/>
      <c r="E2427" s="56"/>
      <c r="F2427" s="56"/>
      <c r="G2427" s="58"/>
      <c r="H2427" s="56"/>
      <c r="I2427" s="61" t="str">
        <f aca="false">IF(IsPro,IF(OR($C2427="",N($G2427)=0),"",IF(OR($C2427="Receipt",$C2427="Other Income",$C2427="Capital In",$C2427="Transfer In"),$G2427,0)),"")</f>
        <v/>
      </c>
      <c r="J2427" s="61" t="str">
        <f aca="false">IF(IsPro,IF(OR($C2427="",N($G2427)=0),"",IF(I2427=0,$G2427,0)),"")</f>
        <v/>
      </c>
      <c r="K2427" s="60" t="str">
        <f aca="false">IF(IsPro,IF($C2427="","",IF(AND(OR($C2427="Receipt",$C2427="Payment"),$D2427=""),"Party needed",IF(AND(OR($C2427="Expense",$C2427="Other Income"),$E2427=""),"Head needed",IF($F2427="","Account needed","OK")))),IF($C2427="","","PRO PLAN"))</f>
        <v/>
      </c>
    </row>
    <row r="2428" customFormat="false" ht="15" hidden="false" customHeight="false" outlineLevel="0" collapsed="false">
      <c r="A2428" s="55"/>
      <c r="B2428" s="56"/>
      <c r="C2428" s="56"/>
      <c r="D2428" s="56"/>
      <c r="E2428" s="56"/>
      <c r="F2428" s="56"/>
      <c r="G2428" s="58"/>
      <c r="H2428" s="56"/>
      <c r="I2428" s="61" t="str">
        <f aca="false">IF(IsPro,IF(OR($C2428="",N($G2428)=0),"",IF(OR($C2428="Receipt",$C2428="Other Income",$C2428="Capital In",$C2428="Transfer In"),$G2428,0)),"")</f>
        <v/>
      </c>
      <c r="J2428" s="61" t="str">
        <f aca="false">IF(IsPro,IF(OR($C2428="",N($G2428)=0),"",IF(I2428=0,$G2428,0)),"")</f>
        <v/>
      </c>
      <c r="K2428" s="60" t="str">
        <f aca="false">IF(IsPro,IF($C2428="","",IF(AND(OR($C2428="Receipt",$C2428="Payment"),$D2428=""),"Party needed",IF(AND(OR($C2428="Expense",$C2428="Other Income"),$E2428=""),"Head needed",IF($F2428="","Account needed","OK")))),IF($C2428="","","PRO PLAN"))</f>
        <v/>
      </c>
    </row>
    <row r="2429" customFormat="false" ht="15" hidden="false" customHeight="false" outlineLevel="0" collapsed="false">
      <c r="A2429" s="55"/>
      <c r="B2429" s="56"/>
      <c r="C2429" s="56"/>
      <c r="D2429" s="56"/>
      <c r="E2429" s="56"/>
      <c r="F2429" s="56"/>
      <c r="G2429" s="58"/>
      <c r="H2429" s="56"/>
      <c r="I2429" s="61" t="str">
        <f aca="false">IF(IsPro,IF(OR($C2429="",N($G2429)=0),"",IF(OR($C2429="Receipt",$C2429="Other Income",$C2429="Capital In",$C2429="Transfer In"),$G2429,0)),"")</f>
        <v/>
      </c>
      <c r="J2429" s="61" t="str">
        <f aca="false">IF(IsPro,IF(OR($C2429="",N($G2429)=0),"",IF(I2429=0,$G2429,0)),"")</f>
        <v/>
      </c>
      <c r="K2429" s="60" t="str">
        <f aca="false">IF(IsPro,IF($C2429="","",IF(AND(OR($C2429="Receipt",$C2429="Payment"),$D2429=""),"Party needed",IF(AND(OR($C2429="Expense",$C2429="Other Income"),$E2429=""),"Head needed",IF($F2429="","Account needed","OK")))),IF($C2429="","","PRO PLAN"))</f>
        <v/>
      </c>
    </row>
    <row r="2430" customFormat="false" ht="15" hidden="false" customHeight="false" outlineLevel="0" collapsed="false">
      <c r="A2430" s="55"/>
      <c r="B2430" s="56"/>
      <c r="C2430" s="56"/>
      <c r="D2430" s="56"/>
      <c r="E2430" s="56"/>
      <c r="F2430" s="56"/>
      <c r="G2430" s="58"/>
      <c r="H2430" s="56"/>
      <c r="I2430" s="61" t="str">
        <f aca="false">IF(IsPro,IF(OR($C2430="",N($G2430)=0),"",IF(OR($C2430="Receipt",$C2430="Other Income",$C2430="Capital In",$C2430="Transfer In"),$G2430,0)),"")</f>
        <v/>
      </c>
      <c r="J2430" s="61" t="str">
        <f aca="false">IF(IsPro,IF(OR($C2430="",N($G2430)=0),"",IF(I2430=0,$G2430,0)),"")</f>
        <v/>
      </c>
      <c r="K2430" s="60" t="str">
        <f aca="false">IF(IsPro,IF($C2430="","",IF(AND(OR($C2430="Receipt",$C2430="Payment"),$D2430=""),"Party needed",IF(AND(OR($C2430="Expense",$C2430="Other Income"),$E2430=""),"Head needed",IF($F2430="","Account needed","OK")))),IF($C2430="","","PRO PLAN"))</f>
        <v/>
      </c>
    </row>
    <row r="2431" customFormat="false" ht="15" hidden="false" customHeight="false" outlineLevel="0" collapsed="false">
      <c r="A2431" s="55"/>
      <c r="B2431" s="56"/>
      <c r="C2431" s="56"/>
      <c r="D2431" s="56"/>
      <c r="E2431" s="56"/>
      <c r="F2431" s="56"/>
      <c r="G2431" s="58"/>
      <c r="H2431" s="56"/>
      <c r="I2431" s="61" t="str">
        <f aca="false">IF(IsPro,IF(OR($C2431="",N($G2431)=0),"",IF(OR($C2431="Receipt",$C2431="Other Income",$C2431="Capital In",$C2431="Transfer In"),$G2431,0)),"")</f>
        <v/>
      </c>
      <c r="J2431" s="61" t="str">
        <f aca="false">IF(IsPro,IF(OR($C2431="",N($G2431)=0),"",IF(I2431=0,$G2431,0)),"")</f>
        <v/>
      </c>
      <c r="K2431" s="60" t="str">
        <f aca="false">IF(IsPro,IF($C2431="","",IF(AND(OR($C2431="Receipt",$C2431="Payment"),$D2431=""),"Party needed",IF(AND(OR($C2431="Expense",$C2431="Other Income"),$E2431=""),"Head needed",IF($F2431="","Account needed","OK")))),IF($C2431="","","PRO PLAN"))</f>
        <v/>
      </c>
    </row>
    <row r="2432" customFormat="false" ht="15" hidden="false" customHeight="false" outlineLevel="0" collapsed="false">
      <c r="A2432" s="55"/>
      <c r="B2432" s="56"/>
      <c r="C2432" s="56"/>
      <c r="D2432" s="56"/>
      <c r="E2432" s="56"/>
      <c r="F2432" s="56"/>
      <c r="G2432" s="58"/>
      <c r="H2432" s="56"/>
      <c r="I2432" s="61" t="str">
        <f aca="false">IF(IsPro,IF(OR($C2432="",N($G2432)=0),"",IF(OR($C2432="Receipt",$C2432="Other Income",$C2432="Capital In",$C2432="Transfer In"),$G2432,0)),"")</f>
        <v/>
      </c>
      <c r="J2432" s="61" t="str">
        <f aca="false">IF(IsPro,IF(OR($C2432="",N($G2432)=0),"",IF(I2432=0,$G2432,0)),"")</f>
        <v/>
      </c>
      <c r="K2432" s="60" t="str">
        <f aca="false">IF(IsPro,IF($C2432="","",IF(AND(OR($C2432="Receipt",$C2432="Payment"),$D2432=""),"Party needed",IF(AND(OR($C2432="Expense",$C2432="Other Income"),$E2432=""),"Head needed",IF($F2432="","Account needed","OK")))),IF($C2432="","","PRO PLAN"))</f>
        <v/>
      </c>
    </row>
    <row r="2433" customFormat="false" ht="15" hidden="false" customHeight="false" outlineLevel="0" collapsed="false">
      <c r="A2433" s="55"/>
      <c r="B2433" s="56"/>
      <c r="C2433" s="56"/>
      <c r="D2433" s="56"/>
      <c r="E2433" s="56"/>
      <c r="F2433" s="56"/>
      <c r="G2433" s="58"/>
      <c r="H2433" s="56"/>
      <c r="I2433" s="61" t="str">
        <f aca="false">IF(IsPro,IF(OR($C2433="",N($G2433)=0),"",IF(OR($C2433="Receipt",$C2433="Other Income",$C2433="Capital In",$C2433="Transfer In"),$G2433,0)),"")</f>
        <v/>
      </c>
      <c r="J2433" s="61" t="str">
        <f aca="false">IF(IsPro,IF(OR($C2433="",N($G2433)=0),"",IF(I2433=0,$G2433,0)),"")</f>
        <v/>
      </c>
      <c r="K2433" s="60" t="str">
        <f aca="false">IF(IsPro,IF($C2433="","",IF(AND(OR($C2433="Receipt",$C2433="Payment"),$D2433=""),"Party needed",IF(AND(OR($C2433="Expense",$C2433="Other Income"),$E2433=""),"Head needed",IF($F2433="","Account needed","OK")))),IF($C2433="","","PRO PLAN"))</f>
        <v/>
      </c>
    </row>
    <row r="2434" customFormat="false" ht="15" hidden="false" customHeight="false" outlineLevel="0" collapsed="false">
      <c r="A2434" s="55"/>
      <c r="B2434" s="56"/>
      <c r="C2434" s="56"/>
      <c r="D2434" s="56"/>
      <c r="E2434" s="56"/>
      <c r="F2434" s="56"/>
      <c r="G2434" s="58"/>
      <c r="H2434" s="56"/>
      <c r="I2434" s="61" t="str">
        <f aca="false">IF(IsPro,IF(OR($C2434="",N($G2434)=0),"",IF(OR($C2434="Receipt",$C2434="Other Income",$C2434="Capital In",$C2434="Transfer In"),$G2434,0)),"")</f>
        <v/>
      </c>
      <c r="J2434" s="61" t="str">
        <f aca="false">IF(IsPro,IF(OR($C2434="",N($G2434)=0),"",IF(I2434=0,$G2434,0)),"")</f>
        <v/>
      </c>
      <c r="K2434" s="60" t="str">
        <f aca="false">IF(IsPro,IF($C2434="","",IF(AND(OR($C2434="Receipt",$C2434="Payment"),$D2434=""),"Party needed",IF(AND(OR($C2434="Expense",$C2434="Other Income"),$E2434=""),"Head needed",IF($F2434="","Account needed","OK")))),IF($C2434="","","PRO PLAN"))</f>
        <v/>
      </c>
    </row>
    <row r="2435" customFormat="false" ht="15" hidden="false" customHeight="false" outlineLevel="0" collapsed="false">
      <c r="A2435" s="55"/>
      <c r="B2435" s="56"/>
      <c r="C2435" s="56"/>
      <c r="D2435" s="56"/>
      <c r="E2435" s="56"/>
      <c r="F2435" s="56"/>
      <c r="G2435" s="58"/>
      <c r="H2435" s="56"/>
      <c r="I2435" s="61" t="str">
        <f aca="false">IF(IsPro,IF(OR($C2435="",N($G2435)=0),"",IF(OR($C2435="Receipt",$C2435="Other Income",$C2435="Capital In",$C2435="Transfer In"),$G2435,0)),"")</f>
        <v/>
      </c>
      <c r="J2435" s="61" t="str">
        <f aca="false">IF(IsPro,IF(OR($C2435="",N($G2435)=0),"",IF(I2435=0,$G2435,0)),"")</f>
        <v/>
      </c>
      <c r="K2435" s="60" t="str">
        <f aca="false">IF(IsPro,IF($C2435="","",IF(AND(OR($C2435="Receipt",$C2435="Payment"),$D2435=""),"Party needed",IF(AND(OR($C2435="Expense",$C2435="Other Income"),$E2435=""),"Head needed",IF($F2435="","Account needed","OK")))),IF($C2435="","","PRO PLAN"))</f>
        <v/>
      </c>
    </row>
    <row r="2436" customFormat="false" ht="15" hidden="false" customHeight="false" outlineLevel="0" collapsed="false">
      <c r="A2436" s="55"/>
      <c r="B2436" s="56"/>
      <c r="C2436" s="56"/>
      <c r="D2436" s="56"/>
      <c r="E2436" s="56"/>
      <c r="F2436" s="56"/>
      <c r="G2436" s="58"/>
      <c r="H2436" s="56"/>
      <c r="I2436" s="61" t="str">
        <f aca="false">IF(IsPro,IF(OR($C2436="",N($G2436)=0),"",IF(OR($C2436="Receipt",$C2436="Other Income",$C2436="Capital In",$C2436="Transfer In"),$G2436,0)),"")</f>
        <v/>
      </c>
      <c r="J2436" s="61" t="str">
        <f aca="false">IF(IsPro,IF(OR($C2436="",N($G2436)=0),"",IF(I2436=0,$G2436,0)),"")</f>
        <v/>
      </c>
      <c r="K2436" s="60" t="str">
        <f aca="false">IF(IsPro,IF($C2436="","",IF(AND(OR($C2436="Receipt",$C2436="Payment"),$D2436=""),"Party needed",IF(AND(OR($C2436="Expense",$C2436="Other Income"),$E2436=""),"Head needed",IF($F2436="","Account needed","OK")))),IF($C2436="","","PRO PLAN"))</f>
        <v/>
      </c>
    </row>
    <row r="2437" customFormat="false" ht="15" hidden="false" customHeight="false" outlineLevel="0" collapsed="false">
      <c r="A2437" s="55"/>
      <c r="B2437" s="56"/>
      <c r="C2437" s="56"/>
      <c r="D2437" s="56"/>
      <c r="E2437" s="56"/>
      <c r="F2437" s="56"/>
      <c r="G2437" s="58"/>
      <c r="H2437" s="56"/>
      <c r="I2437" s="61" t="str">
        <f aca="false">IF(IsPro,IF(OR($C2437="",N($G2437)=0),"",IF(OR($C2437="Receipt",$C2437="Other Income",$C2437="Capital In",$C2437="Transfer In"),$G2437,0)),"")</f>
        <v/>
      </c>
      <c r="J2437" s="61" t="str">
        <f aca="false">IF(IsPro,IF(OR($C2437="",N($G2437)=0),"",IF(I2437=0,$G2437,0)),"")</f>
        <v/>
      </c>
      <c r="K2437" s="60" t="str">
        <f aca="false">IF(IsPro,IF($C2437="","",IF(AND(OR($C2437="Receipt",$C2437="Payment"),$D2437=""),"Party needed",IF(AND(OR($C2437="Expense",$C2437="Other Income"),$E2437=""),"Head needed",IF($F2437="","Account needed","OK")))),IF($C2437="","","PRO PLAN"))</f>
        <v/>
      </c>
    </row>
    <row r="2438" customFormat="false" ht="15" hidden="false" customHeight="false" outlineLevel="0" collapsed="false">
      <c r="A2438" s="55"/>
      <c r="B2438" s="56"/>
      <c r="C2438" s="56"/>
      <c r="D2438" s="56"/>
      <c r="E2438" s="56"/>
      <c r="F2438" s="56"/>
      <c r="G2438" s="58"/>
      <c r="H2438" s="56"/>
      <c r="I2438" s="61" t="str">
        <f aca="false">IF(IsPro,IF(OR($C2438="",N($G2438)=0),"",IF(OR($C2438="Receipt",$C2438="Other Income",$C2438="Capital In",$C2438="Transfer In"),$G2438,0)),"")</f>
        <v/>
      </c>
      <c r="J2438" s="61" t="str">
        <f aca="false">IF(IsPro,IF(OR($C2438="",N($G2438)=0),"",IF(I2438=0,$G2438,0)),"")</f>
        <v/>
      </c>
      <c r="K2438" s="60" t="str">
        <f aca="false">IF(IsPro,IF($C2438="","",IF(AND(OR($C2438="Receipt",$C2438="Payment"),$D2438=""),"Party needed",IF(AND(OR($C2438="Expense",$C2438="Other Income"),$E2438=""),"Head needed",IF($F2438="","Account needed","OK")))),IF($C2438="","","PRO PLAN"))</f>
        <v/>
      </c>
    </row>
    <row r="2439" customFormat="false" ht="15" hidden="false" customHeight="false" outlineLevel="0" collapsed="false">
      <c r="A2439" s="55"/>
      <c r="B2439" s="56"/>
      <c r="C2439" s="56"/>
      <c r="D2439" s="56"/>
      <c r="E2439" s="56"/>
      <c r="F2439" s="56"/>
      <c r="G2439" s="58"/>
      <c r="H2439" s="56"/>
      <c r="I2439" s="61" t="str">
        <f aca="false">IF(IsPro,IF(OR($C2439="",N($G2439)=0),"",IF(OR($C2439="Receipt",$C2439="Other Income",$C2439="Capital In",$C2439="Transfer In"),$G2439,0)),"")</f>
        <v/>
      </c>
      <c r="J2439" s="61" t="str">
        <f aca="false">IF(IsPro,IF(OR($C2439="",N($G2439)=0),"",IF(I2439=0,$G2439,0)),"")</f>
        <v/>
      </c>
      <c r="K2439" s="60" t="str">
        <f aca="false">IF(IsPro,IF($C2439="","",IF(AND(OR($C2439="Receipt",$C2439="Payment"),$D2439=""),"Party needed",IF(AND(OR($C2439="Expense",$C2439="Other Income"),$E2439=""),"Head needed",IF($F2439="","Account needed","OK")))),IF($C2439="","","PRO PLAN"))</f>
        <v/>
      </c>
    </row>
    <row r="2440" customFormat="false" ht="15" hidden="false" customHeight="false" outlineLevel="0" collapsed="false">
      <c r="A2440" s="55"/>
      <c r="B2440" s="56"/>
      <c r="C2440" s="56"/>
      <c r="D2440" s="56"/>
      <c r="E2440" s="56"/>
      <c r="F2440" s="56"/>
      <c r="G2440" s="58"/>
      <c r="H2440" s="56"/>
      <c r="I2440" s="61" t="str">
        <f aca="false">IF(IsPro,IF(OR($C2440="",N($G2440)=0),"",IF(OR($C2440="Receipt",$C2440="Other Income",$C2440="Capital In",$C2440="Transfer In"),$G2440,0)),"")</f>
        <v/>
      </c>
      <c r="J2440" s="61" t="str">
        <f aca="false">IF(IsPro,IF(OR($C2440="",N($G2440)=0),"",IF(I2440=0,$G2440,0)),"")</f>
        <v/>
      </c>
      <c r="K2440" s="60" t="str">
        <f aca="false">IF(IsPro,IF($C2440="","",IF(AND(OR($C2440="Receipt",$C2440="Payment"),$D2440=""),"Party needed",IF(AND(OR($C2440="Expense",$C2440="Other Income"),$E2440=""),"Head needed",IF($F2440="","Account needed","OK")))),IF($C2440="","","PRO PLAN"))</f>
        <v/>
      </c>
    </row>
    <row r="2441" customFormat="false" ht="15" hidden="false" customHeight="false" outlineLevel="0" collapsed="false">
      <c r="A2441" s="55"/>
      <c r="B2441" s="56"/>
      <c r="C2441" s="56"/>
      <c r="D2441" s="56"/>
      <c r="E2441" s="56"/>
      <c r="F2441" s="56"/>
      <c r="G2441" s="58"/>
      <c r="H2441" s="56"/>
      <c r="I2441" s="61" t="str">
        <f aca="false">IF(IsPro,IF(OR($C2441="",N($G2441)=0),"",IF(OR($C2441="Receipt",$C2441="Other Income",$C2441="Capital In",$C2441="Transfer In"),$G2441,0)),"")</f>
        <v/>
      </c>
      <c r="J2441" s="61" t="str">
        <f aca="false">IF(IsPro,IF(OR($C2441="",N($G2441)=0),"",IF(I2441=0,$G2441,0)),"")</f>
        <v/>
      </c>
      <c r="K2441" s="60" t="str">
        <f aca="false">IF(IsPro,IF($C2441="","",IF(AND(OR($C2441="Receipt",$C2441="Payment"),$D2441=""),"Party needed",IF(AND(OR($C2441="Expense",$C2441="Other Income"),$E2441=""),"Head needed",IF($F2441="","Account needed","OK")))),IF($C2441="","","PRO PLAN"))</f>
        <v/>
      </c>
    </row>
    <row r="2442" customFormat="false" ht="15" hidden="false" customHeight="false" outlineLevel="0" collapsed="false">
      <c r="A2442" s="55"/>
      <c r="B2442" s="56"/>
      <c r="C2442" s="56"/>
      <c r="D2442" s="56"/>
      <c r="E2442" s="56"/>
      <c r="F2442" s="56"/>
      <c r="G2442" s="58"/>
      <c r="H2442" s="56"/>
      <c r="I2442" s="61" t="str">
        <f aca="false">IF(IsPro,IF(OR($C2442="",N($G2442)=0),"",IF(OR($C2442="Receipt",$C2442="Other Income",$C2442="Capital In",$C2442="Transfer In"),$G2442,0)),"")</f>
        <v/>
      </c>
      <c r="J2442" s="61" t="str">
        <f aca="false">IF(IsPro,IF(OR($C2442="",N($G2442)=0),"",IF(I2442=0,$G2442,0)),"")</f>
        <v/>
      </c>
      <c r="K2442" s="60" t="str">
        <f aca="false">IF(IsPro,IF($C2442="","",IF(AND(OR($C2442="Receipt",$C2442="Payment"),$D2442=""),"Party needed",IF(AND(OR($C2442="Expense",$C2442="Other Income"),$E2442=""),"Head needed",IF($F2442="","Account needed","OK")))),IF($C2442="","","PRO PLAN"))</f>
        <v/>
      </c>
    </row>
    <row r="2443" customFormat="false" ht="15" hidden="false" customHeight="false" outlineLevel="0" collapsed="false">
      <c r="A2443" s="55"/>
      <c r="B2443" s="56"/>
      <c r="C2443" s="56"/>
      <c r="D2443" s="56"/>
      <c r="E2443" s="56"/>
      <c r="F2443" s="56"/>
      <c r="G2443" s="58"/>
      <c r="H2443" s="56"/>
      <c r="I2443" s="61" t="str">
        <f aca="false">IF(IsPro,IF(OR($C2443="",N($G2443)=0),"",IF(OR($C2443="Receipt",$C2443="Other Income",$C2443="Capital In",$C2443="Transfer In"),$G2443,0)),"")</f>
        <v/>
      </c>
      <c r="J2443" s="61" t="str">
        <f aca="false">IF(IsPro,IF(OR($C2443="",N($G2443)=0),"",IF(I2443=0,$G2443,0)),"")</f>
        <v/>
      </c>
      <c r="K2443" s="60" t="str">
        <f aca="false">IF(IsPro,IF($C2443="","",IF(AND(OR($C2443="Receipt",$C2443="Payment"),$D2443=""),"Party needed",IF(AND(OR($C2443="Expense",$C2443="Other Income"),$E2443=""),"Head needed",IF($F2443="","Account needed","OK")))),IF($C2443="","","PRO PLAN"))</f>
        <v/>
      </c>
    </row>
    <row r="2444" customFormat="false" ht="15" hidden="false" customHeight="false" outlineLevel="0" collapsed="false">
      <c r="A2444" s="55"/>
      <c r="B2444" s="56"/>
      <c r="C2444" s="56"/>
      <c r="D2444" s="56"/>
      <c r="E2444" s="56"/>
      <c r="F2444" s="56"/>
      <c r="G2444" s="58"/>
      <c r="H2444" s="56"/>
      <c r="I2444" s="61" t="str">
        <f aca="false">IF(IsPro,IF(OR($C2444="",N($G2444)=0),"",IF(OR($C2444="Receipt",$C2444="Other Income",$C2444="Capital In",$C2444="Transfer In"),$G2444,0)),"")</f>
        <v/>
      </c>
      <c r="J2444" s="61" t="str">
        <f aca="false">IF(IsPro,IF(OR($C2444="",N($G2444)=0),"",IF(I2444=0,$G2444,0)),"")</f>
        <v/>
      </c>
      <c r="K2444" s="60" t="str">
        <f aca="false">IF(IsPro,IF($C2444="","",IF(AND(OR($C2444="Receipt",$C2444="Payment"),$D2444=""),"Party needed",IF(AND(OR($C2444="Expense",$C2444="Other Income"),$E2444=""),"Head needed",IF($F2444="","Account needed","OK")))),IF($C2444="","","PRO PLAN"))</f>
        <v/>
      </c>
    </row>
    <row r="2445" customFormat="false" ht="15" hidden="false" customHeight="false" outlineLevel="0" collapsed="false">
      <c r="A2445" s="55"/>
      <c r="B2445" s="56"/>
      <c r="C2445" s="56"/>
      <c r="D2445" s="56"/>
      <c r="E2445" s="56"/>
      <c r="F2445" s="56"/>
      <c r="G2445" s="58"/>
      <c r="H2445" s="56"/>
      <c r="I2445" s="61" t="str">
        <f aca="false">IF(IsPro,IF(OR($C2445="",N($G2445)=0),"",IF(OR($C2445="Receipt",$C2445="Other Income",$C2445="Capital In",$C2445="Transfer In"),$G2445,0)),"")</f>
        <v/>
      </c>
      <c r="J2445" s="61" t="str">
        <f aca="false">IF(IsPro,IF(OR($C2445="",N($G2445)=0),"",IF(I2445=0,$G2445,0)),"")</f>
        <v/>
      </c>
      <c r="K2445" s="60" t="str">
        <f aca="false">IF(IsPro,IF($C2445="","",IF(AND(OR($C2445="Receipt",$C2445="Payment"),$D2445=""),"Party needed",IF(AND(OR($C2445="Expense",$C2445="Other Income"),$E2445=""),"Head needed",IF($F2445="","Account needed","OK")))),IF($C2445="","","PRO PLAN"))</f>
        <v/>
      </c>
    </row>
    <row r="2446" customFormat="false" ht="15" hidden="false" customHeight="false" outlineLevel="0" collapsed="false">
      <c r="A2446" s="55"/>
      <c r="B2446" s="56"/>
      <c r="C2446" s="56"/>
      <c r="D2446" s="56"/>
      <c r="E2446" s="56"/>
      <c r="F2446" s="56"/>
      <c r="G2446" s="58"/>
      <c r="H2446" s="56"/>
      <c r="I2446" s="61" t="str">
        <f aca="false">IF(IsPro,IF(OR($C2446="",N($G2446)=0),"",IF(OR($C2446="Receipt",$C2446="Other Income",$C2446="Capital In",$C2446="Transfer In"),$G2446,0)),"")</f>
        <v/>
      </c>
      <c r="J2446" s="61" t="str">
        <f aca="false">IF(IsPro,IF(OR($C2446="",N($G2446)=0),"",IF(I2446=0,$G2446,0)),"")</f>
        <v/>
      </c>
      <c r="K2446" s="60" t="str">
        <f aca="false">IF(IsPro,IF($C2446="","",IF(AND(OR($C2446="Receipt",$C2446="Payment"),$D2446=""),"Party needed",IF(AND(OR($C2446="Expense",$C2446="Other Income"),$E2446=""),"Head needed",IF($F2446="","Account needed","OK")))),IF($C2446="","","PRO PLAN"))</f>
        <v/>
      </c>
    </row>
    <row r="2447" customFormat="false" ht="15" hidden="false" customHeight="false" outlineLevel="0" collapsed="false">
      <c r="A2447" s="55"/>
      <c r="B2447" s="56"/>
      <c r="C2447" s="56"/>
      <c r="D2447" s="56"/>
      <c r="E2447" s="56"/>
      <c r="F2447" s="56"/>
      <c r="G2447" s="58"/>
      <c r="H2447" s="56"/>
      <c r="I2447" s="61" t="str">
        <f aca="false">IF(IsPro,IF(OR($C2447="",N($G2447)=0),"",IF(OR($C2447="Receipt",$C2447="Other Income",$C2447="Capital In",$C2447="Transfer In"),$G2447,0)),"")</f>
        <v/>
      </c>
      <c r="J2447" s="61" t="str">
        <f aca="false">IF(IsPro,IF(OR($C2447="",N($G2447)=0),"",IF(I2447=0,$G2447,0)),"")</f>
        <v/>
      </c>
      <c r="K2447" s="60" t="str">
        <f aca="false">IF(IsPro,IF($C2447="","",IF(AND(OR($C2447="Receipt",$C2447="Payment"),$D2447=""),"Party needed",IF(AND(OR($C2447="Expense",$C2447="Other Income"),$E2447=""),"Head needed",IF($F2447="","Account needed","OK")))),IF($C2447="","","PRO PLAN"))</f>
        <v/>
      </c>
    </row>
    <row r="2448" customFormat="false" ht="15" hidden="false" customHeight="false" outlineLevel="0" collapsed="false">
      <c r="A2448" s="55"/>
      <c r="B2448" s="56"/>
      <c r="C2448" s="56"/>
      <c r="D2448" s="56"/>
      <c r="E2448" s="56"/>
      <c r="F2448" s="56"/>
      <c r="G2448" s="58"/>
      <c r="H2448" s="56"/>
      <c r="I2448" s="61" t="str">
        <f aca="false">IF(IsPro,IF(OR($C2448="",N($G2448)=0),"",IF(OR($C2448="Receipt",$C2448="Other Income",$C2448="Capital In",$C2448="Transfer In"),$G2448,0)),"")</f>
        <v/>
      </c>
      <c r="J2448" s="61" t="str">
        <f aca="false">IF(IsPro,IF(OR($C2448="",N($G2448)=0),"",IF(I2448=0,$G2448,0)),"")</f>
        <v/>
      </c>
      <c r="K2448" s="60" t="str">
        <f aca="false">IF(IsPro,IF($C2448="","",IF(AND(OR($C2448="Receipt",$C2448="Payment"),$D2448=""),"Party needed",IF(AND(OR($C2448="Expense",$C2448="Other Income"),$E2448=""),"Head needed",IF($F2448="","Account needed","OK")))),IF($C2448="","","PRO PLAN"))</f>
        <v/>
      </c>
    </row>
    <row r="2449" customFormat="false" ht="15" hidden="false" customHeight="false" outlineLevel="0" collapsed="false">
      <c r="A2449" s="55"/>
      <c r="B2449" s="56"/>
      <c r="C2449" s="56"/>
      <c r="D2449" s="56"/>
      <c r="E2449" s="56"/>
      <c r="F2449" s="56"/>
      <c r="G2449" s="58"/>
      <c r="H2449" s="56"/>
      <c r="I2449" s="61" t="str">
        <f aca="false">IF(IsPro,IF(OR($C2449="",N($G2449)=0),"",IF(OR($C2449="Receipt",$C2449="Other Income",$C2449="Capital In",$C2449="Transfer In"),$G2449,0)),"")</f>
        <v/>
      </c>
      <c r="J2449" s="61" t="str">
        <f aca="false">IF(IsPro,IF(OR($C2449="",N($G2449)=0),"",IF(I2449=0,$G2449,0)),"")</f>
        <v/>
      </c>
      <c r="K2449" s="60" t="str">
        <f aca="false">IF(IsPro,IF($C2449="","",IF(AND(OR($C2449="Receipt",$C2449="Payment"),$D2449=""),"Party needed",IF(AND(OR($C2449="Expense",$C2449="Other Income"),$E2449=""),"Head needed",IF($F2449="","Account needed","OK")))),IF($C2449="","","PRO PLAN"))</f>
        <v/>
      </c>
    </row>
    <row r="2450" customFormat="false" ht="15" hidden="false" customHeight="false" outlineLevel="0" collapsed="false">
      <c r="A2450" s="55"/>
      <c r="B2450" s="56"/>
      <c r="C2450" s="56"/>
      <c r="D2450" s="56"/>
      <c r="E2450" s="56"/>
      <c r="F2450" s="56"/>
      <c r="G2450" s="58"/>
      <c r="H2450" s="56"/>
      <c r="I2450" s="61" t="str">
        <f aca="false">IF(IsPro,IF(OR($C2450="",N($G2450)=0),"",IF(OR($C2450="Receipt",$C2450="Other Income",$C2450="Capital In",$C2450="Transfer In"),$G2450,0)),"")</f>
        <v/>
      </c>
      <c r="J2450" s="61" t="str">
        <f aca="false">IF(IsPro,IF(OR($C2450="",N($G2450)=0),"",IF(I2450=0,$G2450,0)),"")</f>
        <v/>
      </c>
      <c r="K2450" s="60" t="str">
        <f aca="false">IF(IsPro,IF($C2450="","",IF(AND(OR($C2450="Receipt",$C2450="Payment"),$D2450=""),"Party needed",IF(AND(OR($C2450="Expense",$C2450="Other Income"),$E2450=""),"Head needed",IF($F2450="","Account needed","OK")))),IF($C2450="","","PRO PLAN"))</f>
        <v/>
      </c>
    </row>
    <row r="2451" customFormat="false" ht="15" hidden="false" customHeight="false" outlineLevel="0" collapsed="false">
      <c r="A2451" s="55"/>
      <c r="B2451" s="56"/>
      <c r="C2451" s="56"/>
      <c r="D2451" s="56"/>
      <c r="E2451" s="56"/>
      <c r="F2451" s="56"/>
      <c r="G2451" s="58"/>
      <c r="H2451" s="56"/>
      <c r="I2451" s="61" t="str">
        <f aca="false">IF(IsPro,IF(OR($C2451="",N($G2451)=0),"",IF(OR($C2451="Receipt",$C2451="Other Income",$C2451="Capital In",$C2451="Transfer In"),$G2451,0)),"")</f>
        <v/>
      </c>
      <c r="J2451" s="61" t="str">
        <f aca="false">IF(IsPro,IF(OR($C2451="",N($G2451)=0),"",IF(I2451=0,$G2451,0)),"")</f>
        <v/>
      </c>
      <c r="K2451" s="60" t="str">
        <f aca="false">IF(IsPro,IF($C2451="","",IF(AND(OR($C2451="Receipt",$C2451="Payment"),$D2451=""),"Party needed",IF(AND(OR($C2451="Expense",$C2451="Other Income"),$E2451=""),"Head needed",IF($F2451="","Account needed","OK")))),IF($C2451="","","PRO PLAN"))</f>
        <v/>
      </c>
    </row>
    <row r="2452" customFormat="false" ht="15" hidden="false" customHeight="false" outlineLevel="0" collapsed="false">
      <c r="A2452" s="55"/>
      <c r="B2452" s="56"/>
      <c r="C2452" s="56"/>
      <c r="D2452" s="56"/>
      <c r="E2452" s="56"/>
      <c r="F2452" s="56"/>
      <c r="G2452" s="58"/>
      <c r="H2452" s="56"/>
      <c r="I2452" s="61" t="str">
        <f aca="false">IF(IsPro,IF(OR($C2452="",N($G2452)=0),"",IF(OR($C2452="Receipt",$C2452="Other Income",$C2452="Capital In",$C2452="Transfer In"),$G2452,0)),"")</f>
        <v/>
      </c>
      <c r="J2452" s="61" t="str">
        <f aca="false">IF(IsPro,IF(OR($C2452="",N($G2452)=0),"",IF(I2452=0,$G2452,0)),"")</f>
        <v/>
      </c>
      <c r="K2452" s="60" t="str">
        <f aca="false">IF(IsPro,IF($C2452="","",IF(AND(OR($C2452="Receipt",$C2452="Payment"),$D2452=""),"Party needed",IF(AND(OR($C2452="Expense",$C2452="Other Income"),$E2452=""),"Head needed",IF($F2452="","Account needed","OK")))),IF($C2452="","","PRO PLAN"))</f>
        <v/>
      </c>
    </row>
    <row r="2453" customFormat="false" ht="15" hidden="false" customHeight="false" outlineLevel="0" collapsed="false">
      <c r="A2453" s="55"/>
      <c r="B2453" s="56"/>
      <c r="C2453" s="56"/>
      <c r="D2453" s="56"/>
      <c r="E2453" s="56"/>
      <c r="F2453" s="56"/>
      <c r="G2453" s="58"/>
      <c r="H2453" s="56"/>
      <c r="I2453" s="61" t="str">
        <f aca="false">IF(IsPro,IF(OR($C2453="",N($G2453)=0),"",IF(OR($C2453="Receipt",$C2453="Other Income",$C2453="Capital In",$C2453="Transfer In"),$G2453,0)),"")</f>
        <v/>
      </c>
      <c r="J2453" s="61" t="str">
        <f aca="false">IF(IsPro,IF(OR($C2453="",N($G2453)=0),"",IF(I2453=0,$G2453,0)),"")</f>
        <v/>
      </c>
      <c r="K2453" s="60" t="str">
        <f aca="false">IF(IsPro,IF($C2453="","",IF(AND(OR($C2453="Receipt",$C2453="Payment"),$D2453=""),"Party needed",IF(AND(OR($C2453="Expense",$C2453="Other Income"),$E2453=""),"Head needed",IF($F2453="","Account needed","OK")))),IF($C2453="","","PRO PLAN"))</f>
        <v/>
      </c>
    </row>
    <row r="2454" customFormat="false" ht="15" hidden="false" customHeight="false" outlineLevel="0" collapsed="false">
      <c r="A2454" s="55"/>
      <c r="B2454" s="56"/>
      <c r="C2454" s="56"/>
      <c r="D2454" s="56"/>
      <c r="E2454" s="56"/>
      <c r="F2454" s="56"/>
      <c r="G2454" s="58"/>
      <c r="H2454" s="56"/>
      <c r="I2454" s="61" t="str">
        <f aca="false">IF(IsPro,IF(OR($C2454="",N($G2454)=0),"",IF(OR($C2454="Receipt",$C2454="Other Income",$C2454="Capital In",$C2454="Transfer In"),$G2454,0)),"")</f>
        <v/>
      </c>
      <c r="J2454" s="61" t="str">
        <f aca="false">IF(IsPro,IF(OR($C2454="",N($G2454)=0),"",IF(I2454=0,$G2454,0)),"")</f>
        <v/>
      </c>
      <c r="K2454" s="60" t="str">
        <f aca="false">IF(IsPro,IF($C2454="","",IF(AND(OR($C2454="Receipt",$C2454="Payment"),$D2454=""),"Party needed",IF(AND(OR($C2454="Expense",$C2454="Other Income"),$E2454=""),"Head needed",IF($F2454="","Account needed","OK")))),IF($C2454="","","PRO PLAN"))</f>
        <v/>
      </c>
    </row>
    <row r="2455" customFormat="false" ht="15" hidden="false" customHeight="false" outlineLevel="0" collapsed="false">
      <c r="A2455" s="55"/>
      <c r="B2455" s="56"/>
      <c r="C2455" s="56"/>
      <c r="D2455" s="56"/>
      <c r="E2455" s="56"/>
      <c r="F2455" s="56"/>
      <c r="G2455" s="58"/>
      <c r="H2455" s="56"/>
      <c r="I2455" s="61" t="str">
        <f aca="false">IF(IsPro,IF(OR($C2455="",N($G2455)=0),"",IF(OR($C2455="Receipt",$C2455="Other Income",$C2455="Capital In",$C2455="Transfer In"),$G2455,0)),"")</f>
        <v/>
      </c>
      <c r="J2455" s="61" t="str">
        <f aca="false">IF(IsPro,IF(OR($C2455="",N($G2455)=0),"",IF(I2455=0,$G2455,0)),"")</f>
        <v/>
      </c>
      <c r="K2455" s="60" t="str">
        <f aca="false">IF(IsPro,IF($C2455="","",IF(AND(OR($C2455="Receipt",$C2455="Payment"),$D2455=""),"Party needed",IF(AND(OR($C2455="Expense",$C2455="Other Income"),$E2455=""),"Head needed",IF($F2455="","Account needed","OK")))),IF($C2455="","","PRO PLAN"))</f>
        <v/>
      </c>
    </row>
    <row r="2456" customFormat="false" ht="15" hidden="false" customHeight="false" outlineLevel="0" collapsed="false">
      <c r="A2456" s="55"/>
      <c r="B2456" s="56"/>
      <c r="C2456" s="56"/>
      <c r="D2456" s="56"/>
      <c r="E2456" s="56"/>
      <c r="F2456" s="56"/>
      <c r="G2456" s="58"/>
      <c r="H2456" s="56"/>
      <c r="I2456" s="61" t="str">
        <f aca="false">IF(IsPro,IF(OR($C2456="",N($G2456)=0),"",IF(OR($C2456="Receipt",$C2456="Other Income",$C2456="Capital In",$C2456="Transfer In"),$G2456,0)),"")</f>
        <v/>
      </c>
      <c r="J2456" s="61" t="str">
        <f aca="false">IF(IsPro,IF(OR($C2456="",N($G2456)=0),"",IF(I2456=0,$G2456,0)),"")</f>
        <v/>
      </c>
      <c r="K2456" s="60" t="str">
        <f aca="false">IF(IsPro,IF($C2456="","",IF(AND(OR($C2456="Receipt",$C2456="Payment"),$D2456=""),"Party needed",IF(AND(OR($C2456="Expense",$C2456="Other Income"),$E2456=""),"Head needed",IF($F2456="","Account needed","OK")))),IF($C2456="","","PRO PLAN"))</f>
        <v/>
      </c>
    </row>
    <row r="2457" customFormat="false" ht="15" hidden="false" customHeight="false" outlineLevel="0" collapsed="false">
      <c r="A2457" s="55"/>
      <c r="B2457" s="56"/>
      <c r="C2457" s="56"/>
      <c r="D2457" s="56"/>
      <c r="E2457" s="56"/>
      <c r="F2457" s="56"/>
      <c r="G2457" s="58"/>
      <c r="H2457" s="56"/>
      <c r="I2457" s="61" t="str">
        <f aca="false">IF(IsPro,IF(OR($C2457="",N($G2457)=0),"",IF(OR($C2457="Receipt",$C2457="Other Income",$C2457="Capital In",$C2457="Transfer In"),$G2457,0)),"")</f>
        <v/>
      </c>
      <c r="J2457" s="61" t="str">
        <f aca="false">IF(IsPro,IF(OR($C2457="",N($G2457)=0),"",IF(I2457=0,$G2457,0)),"")</f>
        <v/>
      </c>
      <c r="K2457" s="60" t="str">
        <f aca="false">IF(IsPro,IF($C2457="","",IF(AND(OR($C2457="Receipt",$C2457="Payment"),$D2457=""),"Party needed",IF(AND(OR($C2457="Expense",$C2457="Other Income"),$E2457=""),"Head needed",IF($F2457="","Account needed","OK")))),IF($C2457="","","PRO PLAN"))</f>
        <v/>
      </c>
    </row>
    <row r="2458" customFormat="false" ht="15" hidden="false" customHeight="false" outlineLevel="0" collapsed="false">
      <c r="A2458" s="55"/>
      <c r="B2458" s="56"/>
      <c r="C2458" s="56"/>
      <c r="D2458" s="56"/>
      <c r="E2458" s="56"/>
      <c r="F2458" s="56"/>
      <c r="G2458" s="58"/>
      <c r="H2458" s="56"/>
      <c r="I2458" s="61" t="str">
        <f aca="false">IF(IsPro,IF(OR($C2458="",N($G2458)=0),"",IF(OR($C2458="Receipt",$C2458="Other Income",$C2458="Capital In",$C2458="Transfer In"),$G2458,0)),"")</f>
        <v/>
      </c>
      <c r="J2458" s="61" t="str">
        <f aca="false">IF(IsPro,IF(OR($C2458="",N($G2458)=0),"",IF(I2458=0,$G2458,0)),"")</f>
        <v/>
      </c>
      <c r="K2458" s="60" t="str">
        <f aca="false">IF(IsPro,IF($C2458="","",IF(AND(OR($C2458="Receipt",$C2458="Payment"),$D2458=""),"Party needed",IF(AND(OR($C2458="Expense",$C2458="Other Income"),$E2458=""),"Head needed",IF($F2458="","Account needed","OK")))),IF($C2458="","","PRO PLAN"))</f>
        <v/>
      </c>
    </row>
    <row r="2459" customFormat="false" ht="15" hidden="false" customHeight="false" outlineLevel="0" collapsed="false">
      <c r="A2459" s="55"/>
      <c r="B2459" s="56"/>
      <c r="C2459" s="56"/>
      <c r="D2459" s="56"/>
      <c r="E2459" s="56"/>
      <c r="F2459" s="56"/>
      <c r="G2459" s="58"/>
      <c r="H2459" s="56"/>
      <c r="I2459" s="61" t="str">
        <f aca="false">IF(IsPro,IF(OR($C2459="",N($G2459)=0),"",IF(OR($C2459="Receipt",$C2459="Other Income",$C2459="Capital In",$C2459="Transfer In"),$G2459,0)),"")</f>
        <v/>
      </c>
      <c r="J2459" s="61" t="str">
        <f aca="false">IF(IsPro,IF(OR($C2459="",N($G2459)=0),"",IF(I2459=0,$G2459,0)),"")</f>
        <v/>
      </c>
      <c r="K2459" s="60" t="str">
        <f aca="false">IF(IsPro,IF($C2459="","",IF(AND(OR($C2459="Receipt",$C2459="Payment"),$D2459=""),"Party needed",IF(AND(OR($C2459="Expense",$C2459="Other Income"),$E2459=""),"Head needed",IF($F2459="","Account needed","OK")))),IF($C2459="","","PRO PLAN"))</f>
        <v/>
      </c>
    </row>
    <row r="2460" customFormat="false" ht="15" hidden="false" customHeight="false" outlineLevel="0" collapsed="false">
      <c r="A2460" s="55"/>
      <c r="B2460" s="56"/>
      <c r="C2460" s="56"/>
      <c r="D2460" s="56"/>
      <c r="E2460" s="56"/>
      <c r="F2460" s="56"/>
      <c r="G2460" s="58"/>
      <c r="H2460" s="56"/>
      <c r="I2460" s="61" t="str">
        <f aca="false">IF(IsPro,IF(OR($C2460="",N($G2460)=0),"",IF(OR($C2460="Receipt",$C2460="Other Income",$C2460="Capital In",$C2460="Transfer In"),$G2460,0)),"")</f>
        <v/>
      </c>
      <c r="J2460" s="61" t="str">
        <f aca="false">IF(IsPro,IF(OR($C2460="",N($G2460)=0),"",IF(I2460=0,$G2460,0)),"")</f>
        <v/>
      </c>
      <c r="K2460" s="60" t="str">
        <f aca="false">IF(IsPro,IF($C2460="","",IF(AND(OR($C2460="Receipt",$C2460="Payment"),$D2460=""),"Party needed",IF(AND(OR($C2460="Expense",$C2460="Other Income"),$E2460=""),"Head needed",IF($F2460="","Account needed","OK")))),IF($C2460="","","PRO PLAN"))</f>
        <v/>
      </c>
    </row>
    <row r="2461" customFormat="false" ht="15" hidden="false" customHeight="false" outlineLevel="0" collapsed="false">
      <c r="A2461" s="55"/>
      <c r="B2461" s="56"/>
      <c r="C2461" s="56"/>
      <c r="D2461" s="56"/>
      <c r="E2461" s="56"/>
      <c r="F2461" s="56"/>
      <c r="G2461" s="58"/>
      <c r="H2461" s="56"/>
      <c r="I2461" s="61" t="str">
        <f aca="false">IF(IsPro,IF(OR($C2461="",N($G2461)=0),"",IF(OR($C2461="Receipt",$C2461="Other Income",$C2461="Capital In",$C2461="Transfer In"),$G2461,0)),"")</f>
        <v/>
      </c>
      <c r="J2461" s="61" t="str">
        <f aca="false">IF(IsPro,IF(OR($C2461="",N($G2461)=0),"",IF(I2461=0,$G2461,0)),"")</f>
        <v/>
      </c>
      <c r="K2461" s="60" t="str">
        <f aca="false">IF(IsPro,IF($C2461="","",IF(AND(OR($C2461="Receipt",$C2461="Payment"),$D2461=""),"Party needed",IF(AND(OR($C2461="Expense",$C2461="Other Income"),$E2461=""),"Head needed",IF($F2461="","Account needed","OK")))),IF($C2461="","","PRO PLAN"))</f>
        <v/>
      </c>
    </row>
    <row r="2462" customFormat="false" ht="15" hidden="false" customHeight="false" outlineLevel="0" collapsed="false">
      <c r="A2462" s="55"/>
      <c r="B2462" s="56"/>
      <c r="C2462" s="56"/>
      <c r="D2462" s="56"/>
      <c r="E2462" s="56"/>
      <c r="F2462" s="56"/>
      <c r="G2462" s="58"/>
      <c r="H2462" s="56"/>
      <c r="I2462" s="61" t="str">
        <f aca="false">IF(IsPro,IF(OR($C2462="",N($G2462)=0),"",IF(OR($C2462="Receipt",$C2462="Other Income",$C2462="Capital In",$C2462="Transfer In"),$G2462,0)),"")</f>
        <v/>
      </c>
      <c r="J2462" s="61" t="str">
        <f aca="false">IF(IsPro,IF(OR($C2462="",N($G2462)=0),"",IF(I2462=0,$G2462,0)),"")</f>
        <v/>
      </c>
      <c r="K2462" s="60" t="str">
        <f aca="false">IF(IsPro,IF($C2462="","",IF(AND(OR($C2462="Receipt",$C2462="Payment"),$D2462=""),"Party needed",IF(AND(OR($C2462="Expense",$C2462="Other Income"),$E2462=""),"Head needed",IF($F2462="","Account needed","OK")))),IF($C2462="","","PRO PLAN"))</f>
        <v/>
      </c>
    </row>
    <row r="2463" customFormat="false" ht="15" hidden="false" customHeight="false" outlineLevel="0" collapsed="false">
      <c r="A2463" s="55"/>
      <c r="B2463" s="56"/>
      <c r="C2463" s="56"/>
      <c r="D2463" s="56"/>
      <c r="E2463" s="56"/>
      <c r="F2463" s="56"/>
      <c r="G2463" s="58"/>
      <c r="H2463" s="56"/>
      <c r="I2463" s="61" t="str">
        <f aca="false">IF(IsPro,IF(OR($C2463="",N($G2463)=0),"",IF(OR($C2463="Receipt",$C2463="Other Income",$C2463="Capital In",$C2463="Transfer In"),$G2463,0)),"")</f>
        <v/>
      </c>
      <c r="J2463" s="61" t="str">
        <f aca="false">IF(IsPro,IF(OR($C2463="",N($G2463)=0),"",IF(I2463=0,$G2463,0)),"")</f>
        <v/>
      </c>
      <c r="K2463" s="60" t="str">
        <f aca="false">IF(IsPro,IF($C2463="","",IF(AND(OR($C2463="Receipt",$C2463="Payment"),$D2463=""),"Party needed",IF(AND(OR($C2463="Expense",$C2463="Other Income"),$E2463=""),"Head needed",IF($F2463="","Account needed","OK")))),IF($C2463="","","PRO PLAN"))</f>
        <v/>
      </c>
    </row>
    <row r="2464" customFormat="false" ht="15" hidden="false" customHeight="false" outlineLevel="0" collapsed="false">
      <c r="A2464" s="55"/>
      <c r="B2464" s="56"/>
      <c r="C2464" s="56"/>
      <c r="D2464" s="56"/>
      <c r="E2464" s="56"/>
      <c r="F2464" s="56"/>
      <c r="G2464" s="58"/>
      <c r="H2464" s="56"/>
      <c r="I2464" s="61" t="str">
        <f aca="false">IF(IsPro,IF(OR($C2464="",N($G2464)=0),"",IF(OR($C2464="Receipt",$C2464="Other Income",$C2464="Capital In",$C2464="Transfer In"),$G2464,0)),"")</f>
        <v/>
      </c>
      <c r="J2464" s="61" t="str">
        <f aca="false">IF(IsPro,IF(OR($C2464="",N($G2464)=0),"",IF(I2464=0,$G2464,0)),"")</f>
        <v/>
      </c>
      <c r="K2464" s="60" t="str">
        <f aca="false">IF(IsPro,IF($C2464="","",IF(AND(OR($C2464="Receipt",$C2464="Payment"),$D2464=""),"Party needed",IF(AND(OR($C2464="Expense",$C2464="Other Income"),$E2464=""),"Head needed",IF($F2464="","Account needed","OK")))),IF($C2464="","","PRO PLAN"))</f>
        <v/>
      </c>
    </row>
    <row r="2465" customFormat="false" ht="15" hidden="false" customHeight="false" outlineLevel="0" collapsed="false">
      <c r="A2465" s="55"/>
      <c r="B2465" s="56"/>
      <c r="C2465" s="56"/>
      <c r="D2465" s="56"/>
      <c r="E2465" s="56"/>
      <c r="F2465" s="56"/>
      <c r="G2465" s="58"/>
      <c r="H2465" s="56"/>
      <c r="I2465" s="61" t="str">
        <f aca="false">IF(IsPro,IF(OR($C2465="",N($G2465)=0),"",IF(OR($C2465="Receipt",$C2465="Other Income",$C2465="Capital In",$C2465="Transfer In"),$G2465,0)),"")</f>
        <v/>
      </c>
      <c r="J2465" s="61" t="str">
        <f aca="false">IF(IsPro,IF(OR($C2465="",N($G2465)=0),"",IF(I2465=0,$G2465,0)),"")</f>
        <v/>
      </c>
      <c r="K2465" s="60" t="str">
        <f aca="false">IF(IsPro,IF($C2465="","",IF(AND(OR($C2465="Receipt",$C2465="Payment"),$D2465=""),"Party needed",IF(AND(OR($C2465="Expense",$C2465="Other Income"),$E2465=""),"Head needed",IF($F2465="","Account needed","OK")))),IF($C2465="","","PRO PLAN"))</f>
        <v/>
      </c>
    </row>
    <row r="2466" customFormat="false" ht="15" hidden="false" customHeight="false" outlineLevel="0" collapsed="false">
      <c r="A2466" s="55"/>
      <c r="B2466" s="56"/>
      <c r="C2466" s="56"/>
      <c r="D2466" s="56"/>
      <c r="E2466" s="56"/>
      <c r="F2466" s="56"/>
      <c r="G2466" s="58"/>
      <c r="H2466" s="56"/>
      <c r="I2466" s="61" t="str">
        <f aca="false">IF(IsPro,IF(OR($C2466="",N($G2466)=0),"",IF(OR($C2466="Receipt",$C2466="Other Income",$C2466="Capital In",$C2466="Transfer In"),$G2466,0)),"")</f>
        <v/>
      </c>
      <c r="J2466" s="61" t="str">
        <f aca="false">IF(IsPro,IF(OR($C2466="",N($G2466)=0),"",IF(I2466=0,$G2466,0)),"")</f>
        <v/>
      </c>
      <c r="K2466" s="60" t="str">
        <f aca="false">IF(IsPro,IF($C2466="","",IF(AND(OR($C2466="Receipt",$C2466="Payment"),$D2466=""),"Party needed",IF(AND(OR($C2466="Expense",$C2466="Other Income"),$E2466=""),"Head needed",IF($F2466="","Account needed","OK")))),IF($C2466="","","PRO PLAN"))</f>
        <v/>
      </c>
    </row>
    <row r="2467" customFormat="false" ht="15" hidden="false" customHeight="false" outlineLevel="0" collapsed="false">
      <c r="A2467" s="55"/>
      <c r="B2467" s="56"/>
      <c r="C2467" s="56"/>
      <c r="D2467" s="56"/>
      <c r="E2467" s="56"/>
      <c r="F2467" s="56"/>
      <c r="G2467" s="58"/>
      <c r="H2467" s="56"/>
      <c r="I2467" s="61" t="str">
        <f aca="false">IF(IsPro,IF(OR($C2467="",N($G2467)=0),"",IF(OR($C2467="Receipt",$C2467="Other Income",$C2467="Capital In",$C2467="Transfer In"),$G2467,0)),"")</f>
        <v/>
      </c>
      <c r="J2467" s="61" t="str">
        <f aca="false">IF(IsPro,IF(OR($C2467="",N($G2467)=0),"",IF(I2467=0,$G2467,0)),"")</f>
        <v/>
      </c>
      <c r="K2467" s="60" t="str">
        <f aca="false">IF(IsPro,IF($C2467="","",IF(AND(OR($C2467="Receipt",$C2467="Payment"),$D2467=""),"Party needed",IF(AND(OR($C2467="Expense",$C2467="Other Income"),$E2467=""),"Head needed",IF($F2467="","Account needed","OK")))),IF($C2467="","","PRO PLAN"))</f>
        <v/>
      </c>
    </row>
    <row r="2468" customFormat="false" ht="15" hidden="false" customHeight="false" outlineLevel="0" collapsed="false">
      <c r="A2468" s="55"/>
      <c r="B2468" s="56"/>
      <c r="C2468" s="56"/>
      <c r="D2468" s="56"/>
      <c r="E2468" s="56"/>
      <c r="F2468" s="56"/>
      <c r="G2468" s="58"/>
      <c r="H2468" s="56"/>
      <c r="I2468" s="61" t="str">
        <f aca="false">IF(IsPro,IF(OR($C2468="",N($G2468)=0),"",IF(OR($C2468="Receipt",$C2468="Other Income",$C2468="Capital In",$C2468="Transfer In"),$G2468,0)),"")</f>
        <v/>
      </c>
      <c r="J2468" s="61" t="str">
        <f aca="false">IF(IsPro,IF(OR($C2468="",N($G2468)=0),"",IF(I2468=0,$G2468,0)),"")</f>
        <v/>
      </c>
      <c r="K2468" s="60" t="str">
        <f aca="false">IF(IsPro,IF($C2468="","",IF(AND(OR($C2468="Receipt",$C2468="Payment"),$D2468=""),"Party needed",IF(AND(OR($C2468="Expense",$C2468="Other Income"),$E2468=""),"Head needed",IF($F2468="","Account needed","OK")))),IF($C2468="","","PRO PLAN"))</f>
        <v/>
      </c>
    </row>
    <row r="2469" customFormat="false" ht="15" hidden="false" customHeight="false" outlineLevel="0" collapsed="false">
      <c r="A2469" s="55"/>
      <c r="B2469" s="56"/>
      <c r="C2469" s="56"/>
      <c r="D2469" s="56"/>
      <c r="E2469" s="56"/>
      <c r="F2469" s="56"/>
      <c r="G2469" s="58"/>
      <c r="H2469" s="56"/>
      <c r="I2469" s="61" t="str">
        <f aca="false">IF(IsPro,IF(OR($C2469="",N($G2469)=0),"",IF(OR($C2469="Receipt",$C2469="Other Income",$C2469="Capital In",$C2469="Transfer In"),$G2469,0)),"")</f>
        <v/>
      </c>
      <c r="J2469" s="61" t="str">
        <f aca="false">IF(IsPro,IF(OR($C2469="",N($G2469)=0),"",IF(I2469=0,$G2469,0)),"")</f>
        <v/>
      </c>
      <c r="K2469" s="60" t="str">
        <f aca="false">IF(IsPro,IF($C2469="","",IF(AND(OR($C2469="Receipt",$C2469="Payment"),$D2469=""),"Party needed",IF(AND(OR($C2469="Expense",$C2469="Other Income"),$E2469=""),"Head needed",IF($F2469="","Account needed","OK")))),IF($C2469="","","PRO PLAN"))</f>
        <v/>
      </c>
    </row>
    <row r="2470" customFormat="false" ht="15" hidden="false" customHeight="false" outlineLevel="0" collapsed="false">
      <c r="A2470" s="55"/>
      <c r="B2470" s="56"/>
      <c r="C2470" s="56"/>
      <c r="D2470" s="56"/>
      <c r="E2470" s="56"/>
      <c r="F2470" s="56"/>
      <c r="G2470" s="58"/>
      <c r="H2470" s="56"/>
      <c r="I2470" s="61" t="str">
        <f aca="false">IF(IsPro,IF(OR($C2470="",N($G2470)=0),"",IF(OR($C2470="Receipt",$C2470="Other Income",$C2470="Capital In",$C2470="Transfer In"),$G2470,0)),"")</f>
        <v/>
      </c>
      <c r="J2470" s="61" t="str">
        <f aca="false">IF(IsPro,IF(OR($C2470="",N($G2470)=0),"",IF(I2470=0,$G2470,0)),"")</f>
        <v/>
      </c>
      <c r="K2470" s="60" t="str">
        <f aca="false">IF(IsPro,IF($C2470="","",IF(AND(OR($C2470="Receipt",$C2470="Payment"),$D2470=""),"Party needed",IF(AND(OR($C2470="Expense",$C2470="Other Income"),$E2470=""),"Head needed",IF($F2470="","Account needed","OK")))),IF($C2470="","","PRO PLAN"))</f>
        <v/>
      </c>
    </row>
    <row r="2471" customFormat="false" ht="15" hidden="false" customHeight="false" outlineLevel="0" collapsed="false">
      <c r="A2471" s="55"/>
      <c r="B2471" s="56"/>
      <c r="C2471" s="56"/>
      <c r="D2471" s="56"/>
      <c r="E2471" s="56"/>
      <c r="F2471" s="56"/>
      <c r="G2471" s="58"/>
      <c r="H2471" s="56"/>
      <c r="I2471" s="61" t="str">
        <f aca="false">IF(IsPro,IF(OR($C2471="",N($G2471)=0),"",IF(OR($C2471="Receipt",$C2471="Other Income",$C2471="Capital In",$C2471="Transfer In"),$G2471,0)),"")</f>
        <v/>
      </c>
      <c r="J2471" s="61" t="str">
        <f aca="false">IF(IsPro,IF(OR($C2471="",N($G2471)=0),"",IF(I2471=0,$G2471,0)),"")</f>
        <v/>
      </c>
      <c r="K2471" s="60" t="str">
        <f aca="false">IF(IsPro,IF($C2471="","",IF(AND(OR($C2471="Receipt",$C2471="Payment"),$D2471=""),"Party needed",IF(AND(OR($C2471="Expense",$C2471="Other Income"),$E2471=""),"Head needed",IF($F2471="","Account needed","OK")))),IF($C2471="","","PRO PLAN"))</f>
        <v/>
      </c>
    </row>
    <row r="2472" customFormat="false" ht="15" hidden="false" customHeight="false" outlineLevel="0" collapsed="false">
      <c r="A2472" s="55"/>
      <c r="B2472" s="56"/>
      <c r="C2472" s="56"/>
      <c r="D2472" s="56"/>
      <c r="E2472" s="56"/>
      <c r="F2472" s="56"/>
      <c r="G2472" s="58"/>
      <c r="H2472" s="56"/>
      <c r="I2472" s="61" t="str">
        <f aca="false">IF(IsPro,IF(OR($C2472="",N($G2472)=0),"",IF(OR($C2472="Receipt",$C2472="Other Income",$C2472="Capital In",$C2472="Transfer In"),$G2472,0)),"")</f>
        <v/>
      </c>
      <c r="J2472" s="61" t="str">
        <f aca="false">IF(IsPro,IF(OR($C2472="",N($G2472)=0),"",IF(I2472=0,$G2472,0)),"")</f>
        <v/>
      </c>
      <c r="K2472" s="60" t="str">
        <f aca="false">IF(IsPro,IF($C2472="","",IF(AND(OR($C2472="Receipt",$C2472="Payment"),$D2472=""),"Party needed",IF(AND(OR($C2472="Expense",$C2472="Other Income"),$E2472=""),"Head needed",IF($F2472="","Account needed","OK")))),IF($C2472="","","PRO PLAN"))</f>
        <v/>
      </c>
    </row>
    <row r="2473" customFormat="false" ht="15" hidden="false" customHeight="false" outlineLevel="0" collapsed="false">
      <c r="A2473" s="55"/>
      <c r="B2473" s="56"/>
      <c r="C2473" s="56"/>
      <c r="D2473" s="56"/>
      <c r="E2473" s="56"/>
      <c r="F2473" s="56"/>
      <c r="G2473" s="58"/>
      <c r="H2473" s="56"/>
      <c r="I2473" s="61" t="str">
        <f aca="false">IF(IsPro,IF(OR($C2473="",N($G2473)=0),"",IF(OR($C2473="Receipt",$C2473="Other Income",$C2473="Capital In",$C2473="Transfer In"),$G2473,0)),"")</f>
        <v/>
      </c>
      <c r="J2473" s="61" t="str">
        <f aca="false">IF(IsPro,IF(OR($C2473="",N($G2473)=0),"",IF(I2473=0,$G2473,0)),"")</f>
        <v/>
      </c>
      <c r="K2473" s="60" t="str">
        <f aca="false">IF(IsPro,IF($C2473="","",IF(AND(OR($C2473="Receipt",$C2473="Payment"),$D2473=""),"Party needed",IF(AND(OR($C2473="Expense",$C2473="Other Income"),$E2473=""),"Head needed",IF($F2473="","Account needed","OK")))),IF($C2473="","","PRO PLAN"))</f>
        <v/>
      </c>
    </row>
    <row r="2474" customFormat="false" ht="15" hidden="false" customHeight="false" outlineLevel="0" collapsed="false">
      <c r="A2474" s="55"/>
      <c r="B2474" s="56"/>
      <c r="C2474" s="56"/>
      <c r="D2474" s="56"/>
      <c r="E2474" s="56"/>
      <c r="F2474" s="56"/>
      <c r="G2474" s="58"/>
      <c r="H2474" s="56"/>
      <c r="I2474" s="61" t="str">
        <f aca="false">IF(IsPro,IF(OR($C2474="",N($G2474)=0),"",IF(OR($C2474="Receipt",$C2474="Other Income",$C2474="Capital In",$C2474="Transfer In"),$G2474,0)),"")</f>
        <v/>
      </c>
      <c r="J2474" s="61" t="str">
        <f aca="false">IF(IsPro,IF(OR($C2474="",N($G2474)=0),"",IF(I2474=0,$G2474,0)),"")</f>
        <v/>
      </c>
      <c r="K2474" s="60" t="str">
        <f aca="false">IF(IsPro,IF($C2474="","",IF(AND(OR($C2474="Receipt",$C2474="Payment"),$D2474=""),"Party needed",IF(AND(OR($C2474="Expense",$C2474="Other Income"),$E2474=""),"Head needed",IF($F2474="","Account needed","OK")))),IF($C2474="","","PRO PLAN"))</f>
        <v/>
      </c>
    </row>
    <row r="2475" customFormat="false" ht="15" hidden="false" customHeight="false" outlineLevel="0" collapsed="false">
      <c r="A2475" s="55"/>
      <c r="B2475" s="56"/>
      <c r="C2475" s="56"/>
      <c r="D2475" s="56"/>
      <c r="E2475" s="56"/>
      <c r="F2475" s="56"/>
      <c r="G2475" s="58"/>
      <c r="H2475" s="56"/>
      <c r="I2475" s="61" t="str">
        <f aca="false">IF(IsPro,IF(OR($C2475="",N($G2475)=0),"",IF(OR($C2475="Receipt",$C2475="Other Income",$C2475="Capital In",$C2475="Transfer In"),$G2475,0)),"")</f>
        <v/>
      </c>
      <c r="J2475" s="61" t="str">
        <f aca="false">IF(IsPro,IF(OR($C2475="",N($G2475)=0),"",IF(I2475=0,$G2475,0)),"")</f>
        <v/>
      </c>
      <c r="K2475" s="60" t="str">
        <f aca="false">IF(IsPro,IF($C2475="","",IF(AND(OR($C2475="Receipt",$C2475="Payment"),$D2475=""),"Party needed",IF(AND(OR($C2475="Expense",$C2475="Other Income"),$E2475=""),"Head needed",IF($F2475="","Account needed","OK")))),IF($C2475="","","PRO PLAN"))</f>
        <v/>
      </c>
    </row>
    <row r="2476" customFormat="false" ht="15" hidden="false" customHeight="false" outlineLevel="0" collapsed="false">
      <c r="A2476" s="55"/>
      <c r="B2476" s="56"/>
      <c r="C2476" s="56"/>
      <c r="D2476" s="56"/>
      <c r="E2476" s="56"/>
      <c r="F2476" s="56"/>
      <c r="G2476" s="58"/>
      <c r="H2476" s="56"/>
      <c r="I2476" s="61" t="str">
        <f aca="false">IF(IsPro,IF(OR($C2476="",N($G2476)=0),"",IF(OR($C2476="Receipt",$C2476="Other Income",$C2476="Capital In",$C2476="Transfer In"),$G2476,0)),"")</f>
        <v/>
      </c>
      <c r="J2476" s="61" t="str">
        <f aca="false">IF(IsPro,IF(OR($C2476="",N($G2476)=0),"",IF(I2476=0,$G2476,0)),"")</f>
        <v/>
      </c>
      <c r="K2476" s="60" t="str">
        <f aca="false">IF(IsPro,IF($C2476="","",IF(AND(OR($C2476="Receipt",$C2476="Payment"),$D2476=""),"Party needed",IF(AND(OR($C2476="Expense",$C2476="Other Income"),$E2476=""),"Head needed",IF($F2476="","Account needed","OK")))),IF($C2476="","","PRO PLAN"))</f>
        <v/>
      </c>
    </row>
    <row r="2477" customFormat="false" ht="15" hidden="false" customHeight="false" outlineLevel="0" collapsed="false">
      <c r="A2477" s="55"/>
      <c r="B2477" s="56"/>
      <c r="C2477" s="56"/>
      <c r="D2477" s="56"/>
      <c r="E2477" s="56"/>
      <c r="F2477" s="56"/>
      <c r="G2477" s="58"/>
      <c r="H2477" s="56"/>
      <c r="I2477" s="61" t="str">
        <f aca="false">IF(IsPro,IF(OR($C2477="",N($G2477)=0),"",IF(OR($C2477="Receipt",$C2477="Other Income",$C2477="Capital In",$C2477="Transfer In"),$G2477,0)),"")</f>
        <v/>
      </c>
      <c r="J2477" s="61" t="str">
        <f aca="false">IF(IsPro,IF(OR($C2477="",N($G2477)=0),"",IF(I2477=0,$G2477,0)),"")</f>
        <v/>
      </c>
      <c r="K2477" s="60" t="str">
        <f aca="false">IF(IsPro,IF($C2477="","",IF(AND(OR($C2477="Receipt",$C2477="Payment"),$D2477=""),"Party needed",IF(AND(OR($C2477="Expense",$C2477="Other Income"),$E2477=""),"Head needed",IF($F2477="","Account needed","OK")))),IF($C2477="","","PRO PLAN"))</f>
        <v/>
      </c>
    </row>
    <row r="2478" customFormat="false" ht="15" hidden="false" customHeight="false" outlineLevel="0" collapsed="false">
      <c r="A2478" s="55"/>
      <c r="B2478" s="56"/>
      <c r="C2478" s="56"/>
      <c r="D2478" s="56"/>
      <c r="E2478" s="56"/>
      <c r="F2478" s="56"/>
      <c r="G2478" s="58"/>
      <c r="H2478" s="56"/>
      <c r="I2478" s="61" t="str">
        <f aca="false">IF(IsPro,IF(OR($C2478="",N($G2478)=0),"",IF(OR($C2478="Receipt",$C2478="Other Income",$C2478="Capital In",$C2478="Transfer In"),$G2478,0)),"")</f>
        <v/>
      </c>
      <c r="J2478" s="61" t="str">
        <f aca="false">IF(IsPro,IF(OR($C2478="",N($G2478)=0),"",IF(I2478=0,$G2478,0)),"")</f>
        <v/>
      </c>
      <c r="K2478" s="60" t="str">
        <f aca="false">IF(IsPro,IF($C2478="","",IF(AND(OR($C2478="Receipt",$C2478="Payment"),$D2478=""),"Party needed",IF(AND(OR($C2478="Expense",$C2478="Other Income"),$E2478=""),"Head needed",IF($F2478="","Account needed","OK")))),IF($C2478="","","PRO PLAN"))</f>
        <v/>
      </c>
    </row>
    <row r="2479" customFormat="false" ht="15" hidden="false" customHeight="false" outlineLevel="0" collapsed="false">
      <c r="A2479" s="55"/>
      <c r="B2479" s="56"/>
      <c r="C2479" s="56"/>
      <c r="D2479" s="56"/>
      <c r="E2479" s="56"/>
      <c r="F2479" s="56"/>
      <c r="G2479" s="58"/>
      <c r="H2479" s="56"/>
      <c r="I2479" s="61" t="str">
        <f aca="false">IF(IsPro,IF(OR($C2479="",N($G2479)=0),"",IF(OR($C2479="Receipt",$C2479="Other Income",$C2479="Capital In",$C2479="Transfer In"),$G2479,0)),"")</f>
        <v/>
      </c>
      <c r="J2479" s="61" t="str">
        <f aca="false">IF(IsPro,IF(OR($C2479="",N($G2479)=0),"",IF(I2479=0,$G2479,0)),"")</f>
        <v/>
      </c>
      <c r="K2479" s="60" t="str">
        <f aca="false">IF(IsPro,IF($C2479="","",IF(AND(OR($C2479="Receipt",$C2479="Payment"),$D2479=""),"Party needed",IF(AND(OR($C2479="Expense",$C2479="Other Income"),$E2479=""),"Head needed",IF($F2479="","Account needed","OK")))),IF($C2479="","","PRO PLAN"))</f>
        <v/>
      </c>
    </row>
    <row r="2480" customFormat="false" ht="15" hidden="false" customHeight="false" outlineLevel="0" collapsed="false">
      <c r="A2480" s="55"/>
      <c r="B2480" s="56"/>
      <c r="C2480" s="56"/>
      <c r="D2480" s="56"/>
      <c r="E2480" s="56"/>
      <c r="F2480" s="56"/>
      <c r="G2480" s="58"/>
      <c r="H2480" s="56"/>
      <c r="I2480" s="61" t="str">
        <f aca="false">IF(IsPro,IF(OR($C2480="",N($G2480)=0),"",IF(OR($C2480="Receipt",$C2480="Other Income",$C2480="Capital In",$C2480="Transfer In"),$G2480,0)),"")</f>
        <v/>
      </c>
      <c r="J2480" s="61" t="str">
        <f aca="false">IF(IsPro,IF(OR($C2480="",N($G2480)=0),"",IF(I2480=0,$G2480,0)),"")</f>
        <v/>
      </c>
      <c r="K2480" s="60" t="str">
        <f aca="false">IF(IsPro,IF($C2480="","",IF(AND(OR($C2480="Receipt",$C2480="Payment"),$D2480=""),"Party needed",IF(AND(OR($C2480="Expense",$C2480="Other Income"),$E2480=""),"Head needed",IF($F2480="","Account needed","OK")))),IF($C2480="","","PRO PLAN"))</f>
        <v/>
      </c>
    </row>
    <row r="2481" customFormat="false" ht="15" hidden="false" customHeight="false" outlineLevel="0" collapsed="false">
      <c r="A2481" s="55"/>
      <c r="B2481" s="56"/>
      <c r="C2481" s="56"/>
      <c r="D2481" s="56"/>
      <c r="E2481" s="56"/>
      <c r="F2481" s="56"/>
      <c r="G2481" s="58"/>
      <c r="H2481" s="56"/>
      <c r="I2481" s="61" t="str">
        <f aca="false">IF(IsPro,IF(OR($C2481="",N($G2481)=0),"",IF(OR($C2481="Receipt",$C2481="Other Income",$C2481="Capital In",$C2481="Transfer In"),$G2481,0)),"")</f>
        <v/>
      </c>
      <c r="J2481" s="61" t="str">
        <f aca="false">IF(IsPro,IF(OR($C2481="",N($G2481)=0),"",IF(I2481=0,$G2481,0)),"")</f>
        <v/>
      </c>
      <c r="K2481" s="60" t="str">
        <f aca="false">IF(IsPro,IF($C2481="","",IF(AND(OR($C2481="Receipt",$C2481="Payment"),$D2481=""),"Party needed",IF(AND(OR($C2481="Expense",$C2481="Other Income"),$E2481=""),"Head needed",IF($F2481="","Account needed","OK")))),IF($C2481="","","PRO PLAN"))</f>
        <v/>
      </c>
    </row>
    <row r="2482" customFormat="false" ht="15" hidden="false" customHeight="false" outlineLevel="0" collapsed="false">
      <c r="A2482" s="55"/>
      <c r="B2482" s="56"/>
      <c r="C2482" s="56"/>
      <c r="D2482" s="56"/>
      <c r="E2482" s="56"/>
      <c r="F2482" s="56"/>
      <c r="G2482" s="58"/>
      <c r="H2482" s="56"/>
      <c r="I2482" s="61" t="str">
        <f aca="false">IF(IsPro,IF(OR($C2482="",N($G2482)=0),"",IF(OR($C2482="Receipt",$C2482="Other Income",$C2482="Capital In",$C2482="Transfer In"),$G2482,0)),"")</f>
        <v/>
      </c>
      <c r="J2482" s="61" t="str">
        <f aca="false">IF(IsPro,IF(OR($C2482="",N($G2482)=0),"",IF(I2482=0,$G2482,0)),"")</f>
        <v/>
      </c>
      <c r="K2482" s="60" t="str">
        <f aca="false">IF(IsPro,IF($C2482="","",IF(AND(OR($C2482="Receipt",$C2482="Payment"),$D2482=""),"Party needed",IF(AND(OR($C2482="Expense",$C2482="Other Income"),$E2482=""),"Head needed",IF($F2482="","Account needed","OK")))),IF($C2482="","","PRO PLAN"))</f>
        <v/>
      </c>
    </row>
    <row r="2483" customFormat="false" ht="15" hidden="false" customHeight="false" outlineLevel="0" collapsed="false">
      <c r="A2483" s="55"/>
      <c r="B2483" s="56"/>
      <c r="C2483" s="56"/>
      <c r="D2483" s="56"/>
      <c r="E2483" s="56"/>
      <c r="F2483" s="56"/>
      <c r="G2483" s="58"/>
      <c r="H2483" s="56"/>
      <c r="I2483" s="61" t="str">
        <f aca="false">IF(IsPro,IF(OR($C2483="",N($G2483)=0),"",IF(OR($C2483="Receipt",$C2483="Other Income",$C2483="Capital In",$C2483="Transfer In"),$G2483,0)),"")</f>
        <v/>
      </c>
      <c r="J2483" s="61" t="str">
        <f aca="false">IF(IsPro,IF(OR($C2483="",N($G2483)=0),"",IF(I2483=0,$G2483,0)),"")</f>
        <v/>
      </c>
      <c r="K2483" s="60" t="str">
        <f aca="false">IF(IsPro,IF($C2483="","",IF(AND(OR($C2483="Receipt",$C2483="Payment"),$D2483=""),"Party needed",IF(AND(OR($C2483="Expense",$C2483="Other Income"),$E2483=""),"Head needed",IF($F2483="","Account needed","OK")))),IF($C2483="","","PRO PLAN"))</f>
        <v/>
      </c>
    </row>
    <row r="2484" customFormat="false" ht="15" hidden="false" customHeight="false" outlineLevel="0" collapsed="false">
      <c r="A2484" s="55"/>
      <c r="B2484" s="56"/>
      <c r="C2484" s="56"/>
      <c r="D2484" s="56"/>
      <c r="E2484" s="56"/>
      <c r="F2484" s="56"/>
      <c r="G2484" s="58"/>
      <c r="H2484" s="56"/>
      <c r="I2484" s="61" t="str">
        <f aca="false">IF(IsPro,IF(OR($C2484="",N($G2484)=0),"",IF(OR($C2484="Receipt",$C2484="Other Income",$C2484="Capital In",$C2484="Transfer In"),$G2484,0)),"")</f>
        <v/>
      </c>
      <c r="J2484" s="61" t="str">
        <f aca="false">IF(IsPro,IF(OR($C2484="",N($G2484)=0),"",IF(I2484=0,$G2484,0)),"")</f>
        <v/>
      </c>
      <c r="K2484" s="60" t="str">
        <f aca="false">IF(IsPro,IF($C2484="","",IF(AND(OR($C2484="Receipt",$C2484="Payment"),$D2484=""),"Party needed",IF(AND(OR($C2484="Expense",$C2484="Other Income"),$E2484=""),"Head needed",IF($F2484="","Account needed","OK")))),IF($C2484="","","PRO PLAN"))</f>
        <v/>
      </c>
    </row>
    <row r="2485" customFormat="false" ht="15" hidden="false" customHeight="false" outlineLevel="0" collapsed="false">
      <c r="A2485" s="55"/>
      <c r="B2485" s="56"/>
      <c r="C2485" s="56"/>
      <c r="D2485" s="56"/>
      <c r="E2485" s="56"/>
      <c r="F2485" s="56"/>
      <c r="G2485" s="58"/>
      <c r="H2485" s="56"/>
      <c r="I2485" s="61" t="str">
        <f aca="false">IF(IsPro,IF(OR($C2485="",N($G2485)=0),"",IF(OR($C2485="Receipt",$C2485="Other Income",$C2485="Capital In",$C2485="Transfer In"),$G2485,0)),"")</f>
        <v/>
      </c>
      <c r="J2485" s="61" t="str">
        <f aca="false">IF(IsPro,IF(OR($C2485="",N($G2485)=0),"",IF(I2485=0,$G2485,0)),"")</f>
        <v/>
      </c>
      <c r="K2485" s="60" t="str">
        <f aca="false">IF(IsPro,IF($C2485="","",IF(AND(OR($C2485="Receipt",$C2485="Payment"),$D2485=""),"Party needed",IF(AND(OR($C2485="Expense",$C2485="Other Income"),$E2485=""),"Head needed",IF($F2485="","Account needed","OK")))),IF($C2485="","","PRO PLAN"))</f>
        <v/>
      </c>
    </row>
    <row r="2486" customFormat="false" ht="15" hidden="false" customHeight="false" outlineLevel="0" collapsed="false">
      <c r="A2486" s="55"/>
      <c r="B2486" s="56"/>
      <c r="C2486" s="56"/>
      <c r="D2486" s="56"/>
      <c r="E2486" s="56"/>
      <c r="F2486" s="56"/>
      <c r="G2486" s="58"/>
      <c r="H2486" s="56"/>
      <c r="I2486" s="61" t="str">
        <f aca="false">IF(IsPro,IF(OR($C2486="",N($G2486)=0),"",IF(OR($C2486="Receipt",$C2486="Other Income",$C2486="Capital In",$C2486="Transfer In"),$G2486,0)),"")</f>
        <v/>
      </c>
      <c r="J2486" s="61" t="str">
        <f aca="false">IF(IsPro,IF(OR($C2486="",N($G2486)=0),"",IF(I2486=0,$G2486,0)),"")</f>
        <v/>
      </c>
      <c r="K2486" s="60" t="str">
        <f aca="false">IF(IsPro,IF($C2486="","",IF(AND(OR($C2486="Receipt",$C2486="Payment"),$D2486=""),"Party needed",IF(AND(OR($C2486="Expense",$C2486="Other Income"),$E2486=""),"Head needed",IF($F2486="","Account needed","OK")))),IF($C2486="","","PRO PLAN"))</f>
        <v/>
      </c>
    </row>
    <row r="2487" customFormat="false" ht="15" hidden="false" customHeight="false" outlineLevel="0" collapsed="false">
      <c r="A2487" s="55"/>
      <c r="B2487" s="56"/>
      <c r="C2487" s="56"/>
      <c r="D2487" s="56"/>
      <c r="E2487" s="56"/>
      <c r="F2487" s="56"/>
      <c r="G2487" s="58"/>
      <c r="H2487" s="56"/>
      <c r="I2487" s="61" t="str">
        <f aca="false">IF(IsPro,IF(OR($C2487="",N($G2487)=0),"",IF(OR($C2487="Receipt",$C2487="Other Income",$C2487="Capital In",$C2487="Transfer In"),$G2487,0)),"")</f>
        <v/>
      </c>
      <c r="J2487" s="61" t="str">
        <f aca="false">IF(IsPro,IF(OR($C2487="",N($G2487)=0),"",IF(I2487=0,$G2487,0)),"")</f>
        <v/>
      </c>
      <c r="K2487" s="60" t="str">
        <f aca="false">IF(IsPro,IF($C2487="","",IF(AND(OR($C2487="Receipt",$C2487="Payment"),$D2487=""),"Party needed",IF(AND(OR($C2487="Expense",$C2487="Other Income"),$E2487=""),"Head needed",IF($F2487="","Account needed","OK")))),IF($C2487="","","PRO PLAN"))</f>
        <v/>
      </c>
    </row>
    <row r="2488" customFormat="false" ht="15" hidden="false" customHeight="false" outlineLevel="0" collapsed="false">
      <c r="A2488" s="55"/>
      <c r="B2488" s="56"/>
      <c r="C2488" s="56"/>
      <c r="D2488" s="56"/>
      <c r="E2488" s="56"/>
      <c r="F2488" s="56"/>
      <c r="G2488" s="58"/>
      <c r="H2488" s="56"/>
      <c r="I2488" s="61" t="str">
        <f aca="false">IF(IsPro,IF(OR($C2488="",N($G2488)=0),"",IF(OR($C2488="Receipt",$C2488="Other Income",$C2488="Capital In",$C2488="Transfer In"),$G2488,0)),"")</f>
        <v/>
      </c>
      <c r="J2488" s="61" t="str">
        <f aca="false">IF(IsPro,IF(OR($C2488="",N($G2488)=0),"",IF(I2488=0,$G2488,0)),"")</f>
        <v/>
      </c>
      <c r="K2488" s="60" t="str">
        <f aca="false">IF(IsPro,IF($C2488="","",IF(AND(OR($C2488="Receipt",$C2488="Payment"),$D2488=""),"Party needed",IF(AND(OR($C2488="Expense",$C2488="Other Income"),$E2488=""),"Head needed",IF($F2488="","Account needed","OK")))),IF($C2488="","","PRO PLAN"))</f>
        <v/>
      </c>
    </row>
    <row r="2489" customFormat="false" ht="15" hidden="false" customHeight="false" outlineLevel="0" collapsed="false">
      <c r="A2489" s="55"/>
      <c r="B2489" s="56"/>
      <c r="C2489" s="56"/>
      <c r="D2489" s="56"/>
      <c r="E2489" s="56"/>
      <c r="F2489" s="56"/>
      <c r="G2489" s="58"/>
      <c r="H2489" s="56"/>
      <c r="I2489" s="61" t="str">
        <f aca="false">IF(IsPro,IF(OR($C2489="",N($G2489)=0),"",IF(OR($C2489="Receipt",$C2489="Other Income",$C2489="Capital In",$C2489="Transfer In"),$G2489,0)),"")</f>
        <v/>
      </c>
      <c r="J2489" s="61" t="str">
        <f aca="false">IF(IsPro,IF(OR($C2489="",N($G2489)=0),"",IF(I2489=0,$G2489,0)),"")</f>
        <v/>
      </c>
      <c r="K2489" s="60" t="str">
        <f aca="false">IF(IsPro,IF($C2489="","",IF(AND(OR($C2489="Receipt",$C2489="Payment"),$D2489=""),"Party needed",IF(AND(OR($C2489="Expense",$C2489="Other Income"),$E2489=""),"Head needed",IF($F2489="","Account needed","OK")))),IF($C2489="","","PRO PLAN"))</f>
        <v/>
      </c>
    </row>
    <row r="2490" customFormat="false" ht="15" hidden="false" customHeight="false" outlineLevel="0" collapsed="false">
      <c r="A2490" s="55"/>
      <c r="B2490" s="56"/>
      <c r="C2490" s="56"/>
      <c r="D2490" s="56"/>
      <c r="E2490" s="56"/>
      <c r="F2490" s="56"/>
      <c r="G2490" s="58"/>
      <c r="H2490" s="56"/>
      <c r="I2490" s="61" t="str">
        <f aca="false">IF(IsPro,IF(OR($C2490="",N($G2490)=0),"",IF(OR($C2490="Receipt",$C2490="Other Income",$C2490="Capital In",$C2490="Transfer In"),$G2490,0)),"")</f>
        <v/>
      </c>
      <c r="J2490" s="61" t="str">
        <f aca="false">IF(IsPro,IF(OR($C2490="",N($G2490)=0),"",IF(I2490=0,$G2490,0)),"")</f>
        <v/>
      </c>
      <c r="K2490" s="60" t="str">
        <f aca="false">IF(IsPro,IF($C2490="","",IF(AND(OR($C2490="Receipt",$C2490="Payment"),$D2490=""),"Party needed",IF(AND(OR($C2490="Expense",$C2490="Other Income"),$E2490=""),"Head needed",IF($F2490="","Account needed","OK")))),IF($C2490="","","PRO PLAN"))</f>
        <v/>
      </c>
    </row>
    <row r="2491" customFormat="false" ht="15" hidden="false" customHeight="false" outlineLevel="0" collapsed="false">
      <c r="A2491" s="55"/>
      <c r="B2491" s="56"/>
      <c r="C2491" s="56"/>
      <c r="D2491" s="56"/>
      <c r="E2491" s="56"/>
      <c r="F2491" s="56"/>
      <c r="G2491" s="58"/>
      <c r="H2491" s="56"/>
      <c r="I2491" s="61" t="str">
        <f aca="false">IF(IsPro,IF(OR($C2491="",N($G2491)=0),"",IF(OR($C2491="Receipt",$C2491="Other Income",$C2491="Capital In",$C2491="Transfer In"),$G2491,0)),"")</f>
        <v/>
      </c>
      <c r="J2491" s="61" t="str">
        <f aca="false">IF(IsPro,IF(OR($C2491="",N($G2491)=0),"",IF(I2491=0,$G2491,0)),"")</f>
        <v/>
      </c>
      <c r="K2491" s="60" t="str">
        <f aca="false">IF(IsPro,IF($C2491="","",IF(AND(OR($C2491="Receipt",$C2491="Payment"),$D2491=""),"Party needed",IF(AND(OR($C2491="Expense",$C2491="Other Income"),$E2491=""),"Head needed",IF($F2491="","Account needed","OK")))),IF($C2491="","","PRO PLAN"))</f>
        <v/>
      </c>
    </row>
    <row r="2492" customFormat="false" ht="15" hidden="false" customHeight="false" outlineLevel="0" collapsed="false">
      <c r="A2492" s="55"/>
      <c r="B2492" s="56"/>
      <c r="C2492" s="56"/>
      <c r="D2492" s="56"/>
      <c r="E2492" s="56"/>
      <c r="F2492" s="56"/>
      <c r="G2492" s="58"/>
      <c r="H2492" s="56"/>
      <c r="I2492" s="61" t="str">
        <f aca="false">IF(IsPro,IF(OR($C2492="",N($G2492)=0),"",IF(OR($C2492="Receipt",$C2492="Other Income",$C2492="Capital In",$C2492="Transfer In"),$G2492,0)),"")</f>
        <v/>
      </c>
      <c r="J2492" s="61" t="str">
        <f aca="false">IF(IsPro,IF(OR($C2492="",N($G2492)=0),"",IF(I2492=0,$G2492,0)),"")</f>
        <v/>
      </c>
      <c r="K2492" s="60" t="str">
        <f aca="false">IF(IsPro,IF($C2492="","",IF(AND(OR($C2492="Receipt",$C2492="Payment"),$D2492=""),"Party needed",IF(AND(OR($C2492="Expense",$C2492="Other Income"),$E2492=""),"Head needed",IF($F2492="","Account needed","OK")))),IF($C2492="","","PRO PLAN"))</f>
        <v/>
      </c>
    </row>
    <row r="2493" customFormat="false" ht="15" hidden="false" customHeight="false" outlineLevel="0" collapsed="false">
      <c r="A2493" s="55"/>
      <c r="B2493" s="56"/>
      <c r="C2493" s="56"/>
      <c r="D2493" s="56"/>
      <c r="E2493" s="56"/>
      <c r="F2493" s="56"/>
      <c r="G2493" s="58"/>
      <c r="H2493" s="56"/>
      <c r="I2493" s="61" t="str">
        <f aca="false">IF(IsPro,IF(OR($C2493="",N($G2493)=0),"",IF(OR($C2493="Receipt",$C2493="Other Income",$C2493="Capital In",$C2493="Transfer In"),$G2493,0)),"")</f>
        <v/>
      </c>
      <c r="J2493" s="61" t="str">
        <f aca="false">IF(IsPro,IF(OR($C2493="",N($G2493)=0),"",IF(I2493=0,$G2493,0)),"")</f>
        <v/>
      </c>
      <c r="K2493" s="60" t="str">
        <f aca="false">IF(IsPro,IF($C2493="","",IF(AND(OR($C2493="Receipt",$C2493="Payment"),$D2493=""),"Party needed",IF(AND(OR($C2493="Expense",$C2493="Other Income"),$E2493=""),"Head needed",IF($F2493="","Account needed","OK")))),IF($C2493="","","PRO PLAN"))</f>
        <v/>
      </c>
    </row>
    <row r="2494" customFormat="false" ht="15" hidden="false" customHeight="false" outlineLevel="0" collapsed="false">
      <c r="A2494" s="55"/>
      <c r="B2494" s="56"/>
      <c r="C2494" s="56"/>
      <c r="D2494" s="56"/>
      <c r="E2494" s="56"/>
      <c r="F2494" s="56"/>
      <c r="G2494" s="58"/>
      <c r="H2494" s="56"/>
      <c r="I2494" s="61" t="str">
        <f aca="false">IF(IsPro,IF(OR($C2494="",N($G2494)=0),"",IF(OR($C2494="Receipt",$C2494="Other Income",$C2494="Capital In",$C2494="Transfer In"),$G2494,0)),"")</f>
        <v/>
      </c>
      <c r="J2494" s="61" t="str">
        <f aca="false">IF(IsPro,IF(OR($C2494="",N($G2494)=0),"",IF(I2494=0,$G2494,0)),"")</f>
        <v/>
      </c>
      <c r="K2494" s="60" t="str">
        <f aca="false">IF(IsPro,IF($C2494="","",IF(AND(OR($C2494="Receipt",$C2494="Payment"),$D2494=""),"Party needed",IF(AND(OR($C2494="Expense",$C2494="Other Income"),$E2494=""),"Head needed",IF($F2494="","Account needed","OK")))),IF($C2494="","","PRO PLAN"))</f>
        <v/>
      </c>
    </row>
    <row r="2495" customFormat="false" ht="15" hidden="false" customHeight="false" outlineLevel="0" collapsed="false">
      <c r="A2495" s="55"/>
      <c r="B2495" s="56"/>
      <c r="C2495" s="56"/>
      <c r="D2495" s="56"/>
      <c r="E2495" s="56"/>
      <c r="F2495" s="56"/>
      <c r="G2495" s="58"/>
      <c r="H2495" s="56"/>
      <c r="I2495" s="61" t="str">
        <f aca="false">IF(IsPro,IF(OR($C2495="",N($G2495)=0),"",IF(OR($C2495="Receipt",$C2495="Other Income",$C2495="Capital In",$C2495="Transfer In"),$G2495,0)),"")</f>
        <v/>
      </c>
      <c r="J2495" s="61" t="str">
        <f aca="false">IF(IsPro,IF(OR($C2495="",N($G2495)=0),"",IF(I2495=0,$G2495,0)),"")</f>
        <v/>
      </c>
      <c r="K2495" s="60" t="str">
        <f aca="false">IF(IsPro,IF($C2495="","",IF(AND(OR($C2495="Receipt",$C2495="Payment"),$D2495=""),"Party needed",IF(AND(OR($C2495="Expense",$C2495="Other Income"),$E2495=""),"Head needed",IF($F2495="","Account needed","OK")))),IF($C2495="","","PRO PLAN"))</f>
        <v/>
      </c>
    </row>
    <row r="2496" customFormat="false" ht="15" hidden="false" customHeight="false" outlineLevel="0" collapsed="false">
      <c r="A2496" s="55"/>
      <c r="B2496" s="56"/>
      <c r="C2496" s="56"/>
      <c r="D2496" s="56"/>
      <c r="E2496" s="56"/>
      <c r="F2496" s="56"/>
      <c r="G2496" s="58"/>
      <c r="H2496" s="56"/>
      <c r="I2496" s="61" t="str">
        <f aca="false">IF(IsPro,IF(OR($C2496="",N($G2496)=0),"",IF(OR($C2496="Receipt",$C2496="Other Income",$C2496="Capital In",$C2496="Transfer In"),$G2496,0)),"")</f>
        <v/>
      </c>
      <c r="J2496" s="61" t="str">
        <f aca="false">IF(IsPro,IF(OR($C2496="",N($G2496)=0),"",IF(I2496=0,$G2496,0)),"")</f>
        <v/>
      </c>
      <c r="K2496" s="60" t="str">
        <f aca="false">IF(IsPro,IF($C2496="","",IF(AND(OR($C2496="Receipt",$C2496="Payment"),$D2496=""),"Party needed",IF(AND(OR($C2496="Expense",$C2496="Other Income"),$E2496=""),"Head needed",IF($F2496="","Account needed","OK")))),IF($C2496="","","PRO PLAN"))</f>
        <v/>
      </c>
    </row>
    <row r="2497" customFormat="false" ht="15" hidden="false" customHeight="false" outlineLevel="0" collapsed="false">
      <c r="A2497" s="55"/>
      <c r="B2497" s="56"/>
      <c r="C2497" s="56"/>
      <c r="D2497" s="56"/>
      <c r="E2497" s="56"/>
      <c r="F2497" s="56"/>
      <c r="G2497" s="58"/>
      <c r="H2497" s="56"/>
      <c r="I2497" s="61" t="str">
        <f aca="false">IF(IsPro,IF(OR($C2497="",N($G2497)=0),"",IF(OR($C2497="Receipt",$C2497="Other Income",$C2497="Capital In",$C2497="Transfer In"),$G2497,0)),"")</f>
        <v/>
      </c>
      <c r="J2497" s="61" t="str">
        <f aca="false">IF(IsPro,IF(OR($C2497="",N($G2497)=0),"",IF(I2497=0,$G2497,0)),"")</f>
        <v/>
      </c>
      <c r="K2497" s="60" t="str">
        <f aca="false">IF(IsPro,IF($C2497="","",IF(AND(OR($C2497="Receipt",$C2497="Payment"),$D2497=""),"Party needed",IF(AND(OR($C2497="Expense",$C2497="Other Income"),$E2497=""),"Head needed",IF($F2497="","Account needed","OK")))),IF($C2497="","","PRO PLAN"))</f>
        <v/>
      </c>
    </row>
    <row r="2498" customFormat="false" ht="15" hidden="false" customHeight="false" outlineLevel="0" collapsed="false">
      <c r="A2498" s="55"/>
      <c r="B2498" s="56"/>
      <c r="C2498" s="56"/>
      <c r="D2498" s="56"/>
      <c r="E2498" s="56"/>
      <c r="F2498" s="56"/>
      <c r="G2498" s="58"/>
      <c r="H2498" s="56"/>
      <c r="I2498" s="61" t="str">
        <f aca="false">IF(IsPro,IF(OR($C2498="",N($G2498)=0),"",IF(OR($C2498="Receipt",$C2498="Other Income",$C2498="Capital In",$C2498="Transfer In"),$G2498,0)),"")</f>
        <v/>
      </c>
      <c r="J2498" s="61" t="str">
        <f aca="false">IF(IsPro,IF(OR($C2498="",N($G2498)=0),"",IF(I2498=0,$G2498,0)),"")</f>
        <v/>
      </c>
      <c r="K2498" s="60" t="str">
        <f aca="false">IF(IsPro,IF($C2498="","",IF(AND(OR($C2498="Receipt",$C2498="Payment"),$D2498=""),"Party needed",IF(AND(OR($C2498="Expense",$C2498="Other Income"),$E2498=""),"Head needed",IF($F2498="","Account needed","OK")))),IF($C2498="","","PRO PLAN"))</f>
        <v/>
      </c>
    </row>
    <row r="2499" customFormat="false" ht="15" hidden="false" customHeight="false" outlineLevel="0" collapsed="false">
      <c r="A2499" s="55"/>
      <c r="B2499" s="56"/>
      <c r="C2499" s="56"/>
      <c r="D2499" s="56"/>
      <c r="E2499" s="56"/>
      <c r="F2499" s="56"/>
      <c r="G2499" s="58"/>
      <c r="H2499" s="56"/>
      <c r="I2499" s="61" t="str">
        <f aca="false">IF(IsPro,IF(OR($C2499="",N($G2499)=0),"",IF(OR($C2499="Receipt",$C2499="Other Income",$C2499="Capital In",$C2499="Transfer In"),$G2499,0)),"")</f>
        <v/>
      </c>
      <c r="J2499" s="61" t="str">
        <f aca="false">IF(IsPro,IF(OR($C2499="",N($G2499)=0),"",IF(I2499=0,$G2499,0)),"")</f>
        <v/>
      </c>
      <c r="K2499" s="60" t="str">
        <f aca="false">IF(IsPro,IF($C2499="","",IF(AND(OR($C2499="Receipt",$C2499="Payment"),$D2499=""),"Party needed",IF(AND(OR($C2499="Expense",$C2499="Other Income"),$E2499=""),"Head needed",IF($F2499="","Account needed","OK")))),IF($C2499="","","PRO PLAN"))</f>
        <v/>
      </c>
    </row>
    <row r="2500" customFormat="false" ht="15" hidden="false" customHeight="false" outlineLevel="0" collapsed="false">
      <c r="A2500" s="55"/>
      <c r="B2500" s="56"/>
      <c r="C2500" s="56"/>
      <c r="D2500" s="56"/>
      <c r="E2500" s="56"/>
      <c r="F2500" s="56"/>
      <c r="G2500" s="58"/>
      <c r="H2500" s="56"/>
      <c r="I2500" s="61" t="str">
        <f aca="false">IF(IsPro,IF(OR($C2500="",N($G2500)=0),"",IF(OR($C2500="Receipt",$C2500="Other Income",$C2500="Capital In",$C2500="Transfer In"),$G2500,0)),"")</f>
        <v/>
      </c>
      <c r="J2500" s="61" t="str">
        <f aca="false">IF(IsPro,IF(OR($C2500="",N($G2500)=0),"",IF(I2500=0,$G2500,0)),"")</f>
        <v/>
      </c>
      <c r="K2500" s="60" t="str">
        <f aca="false">IF(IsPro,IF($C2500="","",IF(AND(OR($C2500="Receipt",$C2500="Payment"),$D2500=""),"Party needed",IF(AND(OR($C2500="Expense",$C2500="Other Income"),$E2500=""),"Head needed",IF($F2500="","Account needed","OK")))),IF($C2500="","","PRO PLAN"))</f>
        <v/>
      </c>
    </row>
    <row r="2501" customFormat="false" ht="15" hidden="false" customHeight="false" outlineLevel="0" collapsed="false">
      <c r="A2501" s="55"/>
      <c r="B2501" s="56"/>
      <c r="C2501" s="56"/>
      <c r="D2501" s="56"/>
      <c r="E2501" s="56"/>
      <c r="F2501" s="56"/>
      <c r="G2501" s="58"/>
      <c r="H2501" s="56"/>
      <c r="I2501" s="61" t="str">
        <f aca="false">IF(IsPro,IF(OR($C2501="",N($G2501)=0),"",IF(OR($C2501="Receipt",$C2501="Other Income",$C2501="Capital In",$C2501="Transfer In"),$G2501,0)),"")</f>
        <v/>
      </c>
      <c r="J2501" s="61" t="str">
        <f aca="false">IF(IsPro,IF(OR($C2501="",N($G2501)=0),"",IF(I2501=0,$G2501,0)),"")</f>
        <v/>
      </c>
      <c r="K2501" s="60" t="str">
        <f aca="false">IF(IsPro,IF($C2501="","",IF(AND(OR($C2501="Receipt",$C2501="Payment"),$D2501=""),"Party needed",IF(AND(OR($C2501="Expense",$C2501="Other Income"),$E2501=""),"Head needed",IF($F2501="","Account needed","OK")))),IF($C2501="","","PRO PLAN"))</f>
        <v/>
      </c>
    </row>
    <row r="2502" customFormat="false" ht="15" hidden="false" customHeight="false" outlineLevel="0" collapsed="false">
      <c r="A2502" s="55"/>
      <c r="B2502" s="56"/>
      <c r="C2502" s="56"/>
      <c r="D2502" s="56"/>
      <c r="E2502" s="56"/>
      <c r="F2502" s="56"/>
      <c r="G2502" s="58"/>
      <c r="H2502" s="56"/>
      <c r="I2502" s="61" t="str">
        <f aca="false">IF(IsPro,IF(OR($C2502="",N($G2502)=0),"",IF(OR($C2502="Receipt",$C2502="Other Income",$C2502="Capital In",$C2502="Transfer In"),$G2502,0)),"")</f>
        <v/>
      </c>
      <c r="J2502" s="61" t="str">
        <f aca="false">IF(IsPro,IF(OR($C2502="",N($G2502)=0),"",IF(I2502=0,$G2502,0)),"")</f>
        <v/>
      </c>
      <c r="K2502" s="60" t="str">
        <f aca="false">IF(IsPro,IF($C2502="","",IF(AND(OR($C2502="Receipt",$C2502="Payment"),$D2502=""),"Party needed",IF(AND(OR($C2502="Expense",$C2502="Other Income"),$E2502=""),"Head needed",IF($F2502="","Account needed","OK")))),IF($C2502="","","PRO PLAN"))</f>
        <v/>
      </c>
    </row>
    <row r="2503" customFormat="false" ht="15" hidden="false" customHeight="false" outlineLevel="0" collapsed="false">
      <c r="A2503" s="55"/>
      <c r="B2503" s="56"/>
      <c r="C2503" s="56"/>
      <c r="D2503" s="56"/>
      <c r="E2503" s="56"/>
      <c r="F2503" s="56"/>
      <c r="G2503" s="58"/>
      <c r="H2503" s="56"/>
      <c r="I2503" s="61" t="str">
        <f aca="false">IF(IsPro,IF(OR($C2503="",N($G2503)=0),"",IF(OR($C2503="Receipt",$C2503="Other Income",$C2503="Capital In",$C2503="Transfer In"),$G2503,0)),"")</f>
        <v/>
      </c>
      <c r="J2503" s="61" t="str">
        <f aca="false">IF(IsPro,IF(OR($C2503="",N($G2503)=0),"",IF(I2503=0,$G2503,0)),"")</f>
        <v/>
      </c>
      <c r="K2503" s="60" t="str">
        <f aca="false">IF(IsPro,IF($C2503="","",IF(AND(OR($C2503="Receipt",$C2503="Payment"),$D2503=""),"Party needed",IF(AND(OR($C2503="Expense",$C2503="Other Income"),$E2503=""),"Head needed",IF($F2503="","Account needed","OK")))),IF($C2503="","","PRO PLAN"))</f>
        <v/>
      </c>
    </row>
    <row r="2504" customFormat="false" ht="15" hidden="false" customHeight="false" outlineLevel="0" collapsed="false">
      <c r="A2504" s="55"/>
      <c r="B2504" s="56"/>
      <c r="C2504" s="56"/>
      <c r="D2504" s="56"/>
      <c r="E2504" s="56"/>
      <c r="F2504" s="56"/>
      <c r="G2504" s="58"/>
      <c r="H2504" s="56"/>
      <c r="I2504" s="61" t="str">
        <f aca="false">IF(IsPro,IF(OR($C2504="",N($G2504)=0),"",IF(OR($C2504="Receipt",$C2504="Other Income",$C2504="Capital In",$C2504="Transfer In"),$G2504,0)),"")</f>
        <v/>
      </c>
      <c r="J2504" s="61" t="str">
        <f aca="false">IF(IsPro,IF(OR($C2504="",N($G2504)=0),"",IF(I2504=0,$G2504,0)),"")</f>
        <v/>
      </c>
      <c r="K2504" s="60" t="str">
        <f aca="false">IF(IsPro,IF($C2504="","",IF(AND(OR($C2504="Receipt",$C2504="Payment"),$D2504=""),"Party needed",IF(AND(OR($C2504="Expense",$C2504="Other Income"),$E2504=""),"Head needed",IF($F2504="","Account needed","OK")))),IF($C2504="","","PRO PLAN"))</f>
        <v/>
      </c>
    </row>
    <row r="2505" customFormat="false" ht="15" hidden="false" customHeight="false" outlineLevel="0" collapsed="false">
      <c r="A2505" s="55"/>
      <c r="B2505" s="56"/>
      <c r="C2505" s="56"/>
      <c r="D2505" s="56"/>
      <c r="E2505" s="56"/>
      <c r="F2505" s="56"/>
      <c r="G2505" s="58"/>
      <c r="H2505" s="56"/>
      <c r="I2505" s="61" t="str">
        <f aca="false">IF(IsPro,IF(OR($C2505="",N($G2505)=0),"",IF(OR($C2505="Receipt",$C2505="Other Income",$C2505="Capital In",$C2505="Transfer In"),$G2505,0)),"")</f>
        <v/>
      </c>
      <c r="J2505" s="61" t="str">
        <f aca="false">IF(IsPro,IF(OR($C2505="",N($G2505)=0),"",IF(I2505=0,$G2505,0)),"")</f>
        <v/>
      </c>
      <c r="K2505" s="60" t="str">
        <f aca="false">IF(IsPro,IF($C2505="","",IF(AND(OR($C2505="Receipt",$C2505="Payment"),$D2505=""),"Party needed",IF(AND(OR($C2505="Expense",$C2505="Other Income"),$E2505=""),"Head needed",IF($F2505="","Account needed","OK")))),IF($C2505="","","PRO PLAN"))</f>
        <v/>
      </c>
    </row>
    <row r="2506" customFormat="false" ht="15" hidden="false" customHeight="false" outlineLevel="0" collapsed="false">
      <c r="A2506" s="55"/>
      <c r="B2506" s="56"/>
      <c r="C2506" s="56"/>
      <c r="D2506" s="56"/>
      <c r="E2506" s="56"/>
      <c r="F2506" s="56"/>
      <c r="G2506" s="58"/>
      <c r="H2506" s="56"/>
      <c r="I2506" s="61" t="str">
        <f aca="false">IF(IsPro,IF(OR($C2506="",N($G2506)=0),"",IF(OR($C2506="Receipt",$C2506="Other Income",$C2506="Capital In",$C2506="Transfer In"),$G2506,0)),"")</f>
        <v/>
      </c>
      <c r="J2506" s="61" t="str">
        <f aca="false">IF(IsPro,IF(OR($C2506="",N($G2506)=0),"",IF(I2506=0,$G2506,0)),"")</f>
        <v/>
      </c>
      <c r="K2506" s="60" t="str">
        <f aca="false">IF(IsPro,IF($C2506="","",IF(AND(OR($C2506="Receipt",$C2506="Payment"),$D2506=""),"Party needed",IF(AND(OR($C2506="Expense",$C2506="Other Income"),$E2506=""),"Head needed",IF($F2506="","Account needed","OK")))),IF($C2506="","","PRO PLAN"))</f>
        <v/>
      </c>
    </row>
    <row r="2507" customFormat="false" ht="15" hidden="false" customHeight="false" outlineLevel="0" collapsed="false">
      <c r="A2507" s="55"/>
      <c r="B2507" s="56"/>
      <c r="C2507" s="56"/>
      <c r="D2507" s="56"/>
      <c r="E2507" s="56"/>
      <c r="F2507" s="56"/>
      <c r="G2507" s="58"/>
      <c r="H2507" s="56"/>
      <c r="I2507" s="61" t="str">
        <f aca="false">IF(IsPro,IF(OR($C2507="",N($G2507)=0),"",IF(OR($C2507="Receipt",$C2507="Other Income",$C2507="Capital In",$C2507="Transfer In"),$G2507,0)),"")</f>
        <v/>
      </c>
      <c r="J2507" s="61" t="str">
        <f aca="false">IF(IsPro,IF(OR($C2507="",N($G2507)=0),"",IF(I2507=0,$G2507,0)),"")</f>
        <v/>
      </c>
      <c r="K2507" s="60" t="str">
        <f aca="false">IF(IsPro,IF($C2507="","",IF(AND(OR($C2507="Receipt",$C2507="Payment"),$D2507=""),"Party needed",IF(AND(OR($C2507="Expense",$C2507="Other Income"),$E2507=""),"Head needed",IF($F2507="","Account needed","OK")))),IF($C2507="","","PRO PLAN"))</f>
        <v/>
      </c>
    </row>
    <row r="2508" customFormat="false" ht="15" hidden="false" customHeight="false" outlineLevel="0" collapsed="false">
      <c r="A2508" s="55"/>
      <c r="B2508" s="56"/>
      <c r="C2508" s="56"/>
      <c r="D2508" s="56"/>
      <c r="E2508" s="56"/>
      <c r="F2508" s="56"/>
      <c r="G2508" s="58"/>
      <c r="H2508" s="56"/>
      <c r="I2508" s="61" t="str">
        <f aca="false">IF(IsPro,IF(OR($C2508="",N($G2508)=0),"",IF(OR($C2508="Receipt",$C2508="Other Income",$C2508="Capital In",$C2508="Transfer In"),$G2508,0)),"")</f>
        <v/>
      </c>
      <c r="J2508" s="61" t="str">
        <f aca="false">IF(IsPro,IF(OR($C2508="",N($G2508)=0),"",IF(I2508=0,$G2508,0)),"")</f>
        <v/>
      </c>
      <c r="K2508" s="60" t="str">
        <f aca="false">IF(IsPro,IF($C2508="","",IF(AND(OR($C2508="Receipt",$C2508="Payment"),$D2508=""),"Party needed",IF(AND(OR($C2508="Expense",$C2508="Other Income"),$E2508=""),"Head needed",IF($F2508="","Account needed","OK")))),IF($C2508="","","PRO PLAN"))</f>
        <v/>
      </c>
    </row>
    <row r="2509" customFormat="false" ht="15" hidden="false" customHeight="false" outlineLevel="0" collapsed="false">
      <c r="A2509" s="55"/>
      <c r="B2509" s="56"/>
      <c r="C2509" s="56"/>
      <c r="D2509" s="56"/>
      <c r="E2509" s="56"/>
      <c r="F2509" s="56"/>
      <c r="G2509" s="58"/>
      <c r="H2509" s="56"/>
      <c r="I2509" s="61" t="str">
        <f aca="false">IF(IsPro,IF(OR($C2509="",N($G2509)=0),"",IF(OR($C2509="Receipt",$C2509="Other Income",$C2509="Capital In",$C2509="Transfer In"),$G2509,0)),"")</f>
        <v/>
      </c>
      <c r="J2509" s="61" t="str">
        <f aca="false">IF(IsPro,IF(OR($C2509="",N($G2509)=0),"",IF(I2509=0,$G2509,0)),"")</f>
        <v/>
      </c>
      <c r="K2509" s="60" t="str">
        <f aca="false">IF(IsPro,IF($C2509="","",IF(AND(OR($C2509="Receipt",$C2509="Payment"),$D2509=""),"Party needed",IF(AND(OR($C2509="Expense",$C2509="Other Income"),$E2509=""),"Head needed",IF($F2509="","Account needed","OK")))),IF($C2509="","","PRO PLAN"))</f>
        <v/>
      </c>
    </row>
    <row r="2510" customFormat="false" ht="15" hidden="false" customHeight="false" outlineLevel="0" collapsed="false">
      <c r="A2510" s="55"/>
      <c r="B2510" s="56"/>
      <c r="C2510" s="56"/>
      <c r="D2510" s="56"/>
      <c r="E2510" s="56"/>
      <c r="F2510" s="56"/>
      <c r="G2510" s="58"/>
      <c r="H2510" s="56"/>
      <c r="I2510" s="61" t="str">
        <f aca="false">IF(IsPro,IF(OR($C2510="",N($G2510)=0),"",IF(OR($C2510="Receipt",$C2510="Other Income",$C2510="Capital In",$C2510="Transfer In"),$G2510,0)),"")</f>
        <v/>
      </c>
      <c r="J2510" s="61" t="str">
        <f aca="false">IF(IsPro,IF(OR($C2510="",N($G2510)=0),"",IF(I2510=0,$G2510,0)),"")</f>
        <v/>
      </c>
      <c r="K2510" s="60" t="str">
        <f aca="false">IF(IsPro,IF($C2510="","",IF(AND(OR($C2510="Receipt",$C2510="Payment"),$D2510=""),"Party needed",IF(AND(OR($C2510="Expense",$C2510="Other Income"),$E2510=""),"Head needed",IF($F2510="","Account needed","OK")))),IF($C2510="","","PRO PLAN"))</f>
        <v/>
      </c>
    </row>
    <row r="2511" customFormat="false" ht="15" hidden="false" customHeight="false" outlineLevel="0" collapsed="false">
      <c r="A2511" s="55"/>
      <c r="B2511" s="56"/>
      <c r="C2511" s="56"/>
      <c r="D2511" s="56"/>
      <c r="E2511" s="56"/>
      <c r="F2511" s="56"/>
      <c r="G2511" s="58"/>
      <c r="H2511" s="56"/>
      <c r="I2511" s="61" t="str">
        <f aca="false">IF(IsPro,IF(OR($C2511="",N($G2511)=0),"",IF(OR($C2511="Receipt",$C2511="Other Income",$C2511="Capital In",$C2511="Transfer In"),$G2511,0)),"")</f>
        <v/>
      </c>
      <c r="J2511" s="61" t="str">
        <f aca="false">IF(IsPro,IF(OR($C2511="",N($G2511)=0),"",IF(I2511=0,$G2511,0)),"")</f>
        <v/>
      </c>
      <c r="K2511" s="60" t="str">
        <f aca="false">IF(IsPro,IF($C2511="","",IF(AND(OR($C2511="Receipt",$C2511="Payment"),$D2511=""),"Party needed",IF(AND(OR($C2511="Expense",$C2511="Other Income"),$E2511=""),"Head needed",IF($F2511="","Account needed","OK")))),IF($C2511="","","PRO PLAN"))</f>
        <v/>
      </c>
    </row>
    <row r="2512" customFormat="false" ht="15" hidden="false" customHeight="false" outlineLevel="0" collapsed="false">
      <c r="A2512" s="55"/>
      <c r="B2512" s="56"/>
      <c r="C2512" s="56"/>
      <c r="D2512" s="56"/>
      <c r="E2512" s="56"/>
      <c r="F2512" s="56"/>
      <c r="G2512" s="58"/>
      <c r="H2512" s="56"/>
      <c r="I2512" s="61" t="str">
        <f aca="false">IF(IsPro,IF(OR($C2512="",N($G2512)=0),"",IF(OR($C2512="Receipt",$C2512="Other Income",$C2512="Capital In",$C2512="Transfer In"),$G2512,0)),"")</f>
        <v/>
      </c>
      <c r="J2512" s="61" t="str">
        <f aca="false">IF(IsPro,IF(OR($C2512="",N($G2512)=0),"",IF(I2512=0,$G2512,0)),"")</f>
        <v/>
      </c>
      <c r="K2512" s="60" t="str">
        <f aca="false">IF(IsPro,IF($C2512="","",IF(AND(OR($C2512="Receipt",$C2512="Payment"),$D2512=""),"Party needed",IF(AND(OR($C2512="Expense",$C2512="Other Income"),$E2512=""),"Head needed",IF($F2512="","Account needed","OK")))),IF($C2512="","","PRO PLAN"))</f>
        <v/>
      </c>
    </row>
    <row r="2513" customFormat="false" ht="15" hidden="false" customHeight="false" outlineLevel="0" collapsed="false">
      <c r="A2513" s="55"/>
      <c r="B2513" s="56"/>
      <c r="C2513" s="56"/>
      <c r="D2513" s="56"/>
      <c r="E2513" s="56"/>
      <c r="F2513" s="56"/>
      <c r="G2513" s="58"/>
      <c r="H2513" s="56"/>
      <c r="I2513" s="61" t="str">
        <f aca="false">IF(IsPro,IF(OR($C2513="",N($G2513)=0),"",IF(OR($C2513="Receipt",$C2513="Other Income",$C2513="Capital In",$C2513="Transfer In"),$G2513,0)),"")</f>
        <v/>
      </c>
      <c r="J2513" s="61" t="str">
        <f aca="false">IF(IsPro,IF(OR($C2513="",N($G2513)=0),"",IF(I2513=0,$G2513,0)),"")</f>
        <v/>
      </c>
      <c r="K2513" s="60" t="str">
        <f aca="false">IF(IsPro,IF($C2513="","",IF(AND(OR($C2513="Receipt",$C2513="Payment"),$D2513=""),"Party needed",IF(AND(OR($C2513="Expense",$C2513="Other Income"),$E2513=""),"Head needed",IF($F2513="","Account needed","OK")))),IF($C2513="","","PRO PLAN"))</f>
        <v/>
      </c>
    </row>
    <row r="2514" customFormat="false" ht="15" hidden="false" customHeight="false" outlineLevel="0" collapsed="false">
      <c r="A2514" s="55"/>
      <c r="B2514" s="56"/>
      <c r="C2514" s="56"/>
      <c r="D2514" s="56"/>
      <c r="E2514" s="56"/>
      <c r="F2514" s="56"/>
      <c r="G2514" s="58"/>
      <c r="H2514" s="56"/>
      <c r="I2514" s="61" t="str">
        <f aca="false">IF(IsPro,IF(OR($C2514="",N($G2514)=0),"",IF(OR($C2514="Receipt",$C2514="Other Income",$C2514="Capital In",$C2514="Transfer In"),$G2514,0)),"")</f>
        <v/>
      </c>
      <c r="J2514" s="61" t="str">
        <f aca="false">IF(IsPro,IF(OR($C2514="",N($G2514)=0),"",IF(I2514=0,$G2514,0)),"")</f>
        <v/>
      </c>
      <c r="K2514" s="60" t="str">
        <f aca="false">IF(IsPro,IF($C2514="","",IF(AND(OR($C2514="Receipt",$C2514="Payment"),$D2514=""),"Party needed",IF(AND(OR($C2514="Expense",$C2514="Other Income"),$E2514=""),"Head needed",IF($F2514="","Account needed","OK")))),IF($C2514="","","PRO PLAN"))</f>
        <v/>
      </c>
    </row>
    <row r="2515" customFormat="false" ht="15" hidden="false" customHeight="false" outlineLevel="0" collapsed="false">
      <c r="A2515" s="55"/>
      <c r="B2515" s="56"/>
      <c r="C2515" s="56"/>
      <c r="D2515" s="56"/>
      <c r="E2515" s="56"/>
      <c r="F2515" s="56"/>
      <c r="G2515" s="58"/>
      <c r="H2515" s="56"/>
      <c r="I2515" s="61" t="str">
        <f aca="false">IF(IsPro,IF(OR($C2515="",N($G2515)=0),"",IF(OR($C2515="Receipt",$C2515="Other Income",$C2515="Capital In",$C2515="Transfer In"),$G2515,0)),"")</f>
        <v/>
      </c>
      <c r="J2515" s="61" t="str">
        <f aca="false">IF(IsPro,IF(OR($C2515="",N($G2515)=0),"",IF(I2515=0,$G2515,0)),"")</f>
        <v/>
      </c>
      <c r="K2515" s="60" t="str">
        <f aca="false">IF(IsPro,IF($C2515="","",IF(AND(OR($C2515="Receipt",$C2515="Payment"),$D2515=""),"Party needed",IF(AND(OR($C2515="Expense",$C2515="Other Income"),$E2515=""),"Head needed",IF($F2515="","Account needed","OK")))),IF($C2515="","","PRO PLAN"))</f>
        <v/>
      </c>
    </row>
    <row r="2516" customFormat="false" ht="15" hidden="false" customHeight="false" outlineLevel="0" collapsed="false">
      <c r="A2516" s="55"/>
      <c r="B2516" s="56"/>
      <c r="C2516" s="56"/>
      <c r="D2516" s="56"/>
      <c r="E2516" s="56"/>
      <c r="F2516" s="56"/>
      <c r="G2516" s="58"/>
      <c r="H2516" s="56"/>
      <c r="I2516" s="61" t="str">
        <f aca="false">IF(IsPro,IF(OR($C2516="",N($G2516)=0),"",IF(OR($C2516="Receipt",$C2516="Other Income",$C2516="Capital In",$C2516="Transfer In"),$G2516,0)),"")</f>
        <v/>
      </c>
      <c r="J2516" s="61" t="str">
        <f aca="false">IF(IsPro,IF(OR($C2516="",N($G2516)=0),"",IF(I2516=0,$G2516,0)),"")</f>
        <v/>
      </c>
      <c r="K2516" s="60" t="str">
        <f aca="false">IF(IsPro,IF($C2516="","",IF(AND(OR($C2516="Receipt",$C2516="Payment"),$D2516=""),"Party needed",IF(AND(OR($C2516="Expense",$C2516="Other Income"),$E2516=""),"Head needed",IF($F2516="","Account needed","OK")))),IF($C2516="","","PRO PLAN"))</f>
        <v/>
      </c>
    </row>
    <row r="2517" customFormat="false" ht="15" hidden="false" customHeight="false" outlineLevel="0" collapsed="false">
      <c r="A2517" s="55"/>
      <c r="B2517" s="56"/>
      <c r="C2517" s="56"/>
      <c r="D2517" s="56"/>
      <c r="E2517" s="56"/>
      <c r="F2517" s="56"/>
      <c r="G2517" s="58"/>
      <c r="H2517" s="56"/>
      <c r="I2517" s="61" t="str">
        <f aca="false">IF(IsPro,IF(OR($C2517="",N($G2517)=0),"",IF(OR($C2517="Receipt",$C2517="Other Income",$C2517="Capital In",$C2517="Transfer In"),$G2517,0)),"")</f>
        <v/>
      </c>
      <c r="J2517" s="61" t="str">
        <f aca="false">IF(IsPro,IF(OR($C2517="",N($G2517)=0),"",IF(I2517=0,$G2517,0)),"")</f>
        <v/>
      </c>
      <c r="K2517" s="60" t="str">
        <f aca="false">IF(IsPro,IF($C2517="","",IF(AND(OR($C2517="Receipt",$C2517="Payment"),$D2517=""),"Party needed",IF(AND(OR($C2517="Expense",$C2517="Other Income"),$E2517=""),"Head needed",IF($F2517="","Account needed","OK")))),IF($C2517="","","PRO PLAN"))</f>
        <v/>
      </c>
    </row>
    <row r="2518" customFormat="false" ht="15" hidden="false" customHeight="false" outlineLevel="0" collapsed="false">
      <c r="A2518" s="55"/>
      <c r="B2518" s="56"/>
      <c r="C2518" s="56"/>
      <c r="D2518" s="56"/>
      <c r="E2518" s="56"/>
      <c r="F2518" s="56"/>
      <c r="G2518" s="58"/>
      <c r="H2518" s="56"/>
      <c r="I2518" s="61" t="str">
        <f aca="false">IF(IsPro,IF(OR($C2518="",N($G2518)=0),"",IF(OR($C2518="Receipt",$C2518="Other Income",$C2518="Capital In",$C2518="Transfer In"),$G2518,0)),"")</f>
        <v/>
      </c>
      <c r="J2518" s="61" t="str">
        <f aca="false">IF(IsPro,IF(OR($C2518="",N($G2518)=0),"",IF(I2518=0,$G2518,0)),"")</f>
        <v/>
      </c>
      <c r="K2518" s="60" t="str">
        <f aca="false">IF(IsPro,IF($C2518="","",IF(AND(OR($C2518="Receipt",$C2518="Payment"),$D2518=""),"Party needed",IF(AND(OR($C2518="Expense",$C2518="Other Income"),$E2518=""),"Head needed",IF($F2518="","Account needed","OK")))),IF($C2518="","","PRO PLAN"))</f>
        <v/>
      </c>
    </row>
    <row r="2519" customFormat="false" ht="15" hidden="false" customHeight="false" outlineLevel="0" collapsed="false">
      <c r="A2519" s="55"/>
      <c r="B2519" s="56"/>
      <c r="C2519" s="56"/>
      <c r="D2519" s="56"/>
      <c r="E2519" s="56"/>
      <c r="F2519" s="56"/>
      <c r="G2519" s="58"/>
      <c r="H2519" s="56"/>
      <c r="I2519" s="61" t="str">
        <f aca="false">IF(IsPro,IF(OR($C2519="",N($G2519)=0),"",IF(OR($C2519="Receipt",$C2519="Other Income",$C2519="Capital In",$C2519="Transfer In"),$G2519,0)),"")</f>
        <v/>
      </c>
      <c r="J2519" s="61" t="str">
        <f aca="false">IF(IsPro,IF(OR($C2519="",N($G2519)=0),"",IF(I2519=0,$G2519,0)),"")</f>
        <v/>
      </c>
      <c r="K2519" s="60" t="str">
        <f aca="false">IF(IsPro,IF($C2519="","",IF(AND(OR($C2519="Receipt",$C2519="Payment"),$D2519=""),"Party needed",IF(AND(OR($C2519="Expense",$C2519="Other Income"),$E2519=""),"Head needed",IF($F2519="","Account needed","OK")))),IF($C2519="","","PRO PLAN"))</f>
        <v/>
      </c>
    </row>
    <row r="2520" customFormat="false" ht="15" hidden="false" customHeight="false" outlineLevel="0" collapsed="false">
      <c r="A2520" s="55"/>
      <c r="B2520" s="56"/>
      <c r="C2520" s="56"/>
      <c r="D2520" s="56"/>
      <c r="E2520" s="56"/>
      <c r="F2520" s="56"/>
      <c r="G2520" s="58"/>
      <c r="H2520" s="56"/>
      <c r="I2520" s="61" t="str">
        <f aca="false">IF(IsPro,IF(OR($C2520="",N($G2520)=0),"",IF(OR($C2520="Receipt",$C2520="Other Income",$C2520="Capital In",$C2520="Transfer In"),$G2520,0)),"")</f>
        <v/>
      </c>
      <c r="J2520" s="61" t="str">
        <f aca="false">IF(IsPro,IF(OR($C2520="",N($G2520)=0),"",IF(I2520=0,$G2520,0)),"")</f>
        <v/>
      </c>
      <c r="K2520" s="60" t="str">
        <f aca="false">IF(IsPro,IF($C2520="","",IF(AND(OR($C2520="Receipt",$C2520="Payment"),$D2520=""),"Party needed",IF(AND(OR($C2520="Expense",$C2520="Other Income"),$E2520=""),"Head needed",IF($F2520="","Account needed","OK")))),IF($C2520="","","PRO PLAN"))</f>
        <v/>
      </c>
    </row>
    <row r="2521" customFormat="false" ht="15" hidden="false" customHeight="false" outlineLevel="0" collapsed="false">
      <c r="A2521" s="55"/>
      <c r="B2521" s="56"/>
      <c r="C2521" s="56"/>
      <c r="D2521" s="56"/>
      <c r="E2521" s="56"/>
      <c r="F2521" s="56"/>
      <c r="G2521" s="58"/>
      <c r="H2521" s="56"/>
      <c r="I2521" s="61" t="str">
        <f aca="false">IF(IsPro,IF(OR($C2521="",N($G2521)=0),"",IF(OR($C2521="Receipt",$C2521="Other Income",$C2521="Capital In",$C2521="Transfer In"),$G2521,0)),"")</f>
        <v/>
      </c>
      <c r="J2521" s="61" t="str">
        <f aca="false">IF(IsPro,IF(OR($C2521="",N($G2521)=0),"",IF(I2521=0,$G2521,0)),"")</f>
        <v/>
      </c>
      <c r="K2521" s="60" t="str">
        <f aca="false">IF(IsPro,IF($C2521="","",IF(AND(OR($C2521="Receipt",$C2521="Payment"),$D2521=""),"Party needed",IF(AND(OR($C2521="Expense",$C2521="Other Income"),$E2521=""),"Head needed",IF($F2521="","Account needed","OK")))),IF($C2521="","","PRO PLAN"))</f>
        <v/>
      </c>
    </row>
    <row r="2522" customFormat="false" ht="15" hidden="false" customHeight="false" outlineLevel="0" collapsed="false">
      <c r="A2522" s="55"/>
      <c r="B2522" s="56"/>
      <c r="C2522" s="56"/>
      <c r="D2522" s="56"/>
      <c r="E2522" s="56"/>
      <c r="F2522" s="56"/>
      <c r="G2522" s="58"/>
      <c r="H2522" s="56"/>
      <c r="I2522" s="61" t="str">
        <f aca="false">IF(IsPro,IF(OR($C2522="",N($G2522)=0),"",IF(OR($C2522="Receipt",$C2522="Other Income",$C2522="Capital In",$C2522="Transfer In"),$G2522,0)),"")</f>
        <v/>
      </c>
      <c r="J2522" s="61" t="str">
        <f aca="false">IF(IsPro,IF(OR($C2522="",N($G2522)=0),"",IF(I2522=0,$G2522,0)),"")</f>
        <v/>
      </c>
      <c r="K2522" s="60" t="str">
        <f aca="false">IF(IsPro,IF($C2522="","",IF(AND(OR($C2522="Receipt",$C2522="Payment"),$D2522=""),"Party needed",IF(AND(OR($C2522="Expense",$C2522="Other Income"),$E2522=""),"Head needed",IF($F2522="","Account needed","OK")))),IF($C2522="","","PRO PLAN"))</f>
        <v/>
      </c>
    </row>
    <row r="2523" customFormat="false" ht="15" hidden="false" customHeight="false" outlineLevel="0" collapsed="false">
      <c r="A2523" s="55"/>
      <c r="B2523" s="56"/>
      <c r="C2523" s="56"/>
      <c r="D2523" s="56"/>
      <c r="E2523" s="56"/>
      <c r="F2523" s="56"/>
      <c r="G2523" s="58"/>
      <c r="H2523" s="56"/>
      <c r="I2523" s="61" t="str">
        <f aca="false">IF(IsPro,IF(OR($C2523="",N($G2523)=0),"",IF(OR($C2523="Receipt",$C2523="Other Income",$C2523="Capital In",$C2523="Transfer In"),$G2523,0)),"")</f>
        <v/>
      </c>
      <c r="J2523" s="61" t="str">
        <f aca="false">IF(IsPro,IF(OR($C2523="",N($G2523)=0),"",IF(I2523=0,$G2523,0)),"")</f>
        <v/>
      </c>
      <c r="K2523" s="60" t="str">
        <f aca="false">IF(IsPro,IF($C2523="","",IF(AND(OR($C2523="Receipt",$C2523="Payment"),$D2523=""),"Party needed",IF(AND(OR($C2523="Expense",$C2523="Other Income"),$E2523=""),"Head needed",IF($F2523="","Account needed","OK")))),IF($C2523="","","PRO PLAN"))</f>
        <v/>
      </c>
    </row>
    <row r="2524" customFormat="false" ht="15" hidden="false" customHeight="false" outlineLevel="0" collapsed="false">
      <c r="A2524" s="55"/>
      <c r="B2524" s="56"/>
      <c r="C2524" s="56"/>
      <c r="D2524" s="56"/>
      <c r="E2524" s="56"/>
      <c r="F2524" s="56"/>
      <c r="G2524" s="58"/>
      <c r="H2524" s="56"/>
      <c r="I2524" s="61" t="str">
        <f aca="false">IF(IsPro,IF(OR($C2524="",N($G2524)=0),"",IF(OR($C2524="Receipt",$C2524="Other Income",$C2524="Capital In",$C2524="Transfer In"),$G2524,0)),"")</f>
        <v/>
      </c>
      <c r="J2524" s="61" t="str">
        <f aca="false">IF(IsPro,IF(OR($C2524="",N($G2524)=0),"",IF(I2524=0,$G2524,0)),"")</f>
        <v/>
      </c>
      <c r="K2524" s="60" t="str">
        <f aca="false">IF(IsPro,IF($C2524="","",IF(AND(OR($C2524="Receipt",$C2524="Payment"),$D2524=""),"Party needed",IF(AND(OR($C2524="Expense",$C2524="Other Income"),$E2524=""),"Head needed",IF($F2524="","Account needed","OK")))),IF($C2524="","","PRO PLAN"))</f>
        <v/>
      </c>
    </row>
    <row r="2525" customFormat="false" ht="15" hidden="false" customHeight="false" outlineLevel="0" collapsed="false">
      <c r="A2525" s="55"/>
      <c r="B2525" s="56"/>
      <c r="C2525" s="56"/>
      <c r="D2525" s="56"/>
      <c r="E2525" s="56"/>
      <c r="F2525" s="56"/>
      <c r="G2525" s="58"/>
      <c r="H2525" s="56"/>
      <c r="I2525" s="61" t="str">
        <f aca="false">IF(IsPro,IF(OR($C2525="",N($G2525)=0),"",IF(OR($C2525="Receipt",$C2525="Other Income",$C2525="Capital In",$C2525="Transfer In"),$G2525,0)),"")</f>
        <v/>
      </c>
      <c r="J2525" s="61" t="str">
        <f aca="false">IF(IsPro,IF(OR($C2525="",N($G2525)=0),"",IF(I2525=0,$G2525,0)),"")</f>
        <v/>
      </c>
      <c r="K2525" s="60" t="str">
        <f aca="false">IF(IsPro,IF($C2525="","",IF(AND(OR($C2525="Receipt",$C2525="Payment"),$D2525=""),"Party needed",IF(AND(OR($C2525="Expense",$C2525="Other Income"),$E2525=""),"Head needed",IF($F2525="","Account needed","OK")))),IF($C2525="","","PRO PLAN"))</f>
        <v/>
      </c>
    </row>
    <row r="2526" customFormat="false" ht="15" hidden="false" customHeight="false" outlineLevel="0" collapsed="false">
      <c r="A2526" s="55"/>
      <c r="B2526" s="56"/>
      <c r="C2526" s="56"/>
      <c r="D2526" s="56"/>
      <c r="E2526" s="56"/>
      <c r="F2526" s="56"/>
      <c r="G2526" s="58"/>
      <c r="H2526" s="56"/>
      <c r="I2526" s="61" t="str">
        <f aca="false">IF(IsPro,IF(OR($C2526="",N($G2526)=0),"",IF(OR($C2526="Receipt",$C2526="Other Income",$C2526="Capital In",$C2526="Transfer In"),$G2526,0)),"")</f>
        <v/>
      </c>
      <c r="J2526" s="61" t="str">
        <f aca="false">IF(IsPro,IF(OR($C2526="",N($G2526)=0),"",IF(I2526=0,$G2526,0)),"")</f>
        <v/>
      </c>
      <c r="K2526" s="60" t="str">
        <f aca="false">IF(IsPro,IF($C2526="","",IF(AND(OR($C2526="Receipt",$C2526="Payment"),$D2526=""),"Party needed",IF(AND(OR($C2526="Expense",$C2526="Other Income"),$E2526=""),"Head needed",IF($F2526="","Account needed","OK")))),IF($C2526="","","PRO PLAN"))</f>
        <v/>
      </c>
    </row>
    <row r="2527" customFormat="false" ht="15" hidden="false" customHeight="false" outlineLevel="0" collapsed="false">
      <c r="A2527" s="55"/>
      <c r="B2527" s="56"/>
      <c r="C2527" s="56"/>
      <c r="D2527" s="56"/>
      <c r="E2527" s="56"/>
      <c r="F2527" s="56"/>
      <c r="G2527" s="58"/>
      <c r="H2527" s="56"/>
      <c r="I2527" s="61" t="str">
        <f aca="false">IF(IsPro,IF(OR($C2527="",N($G2527)=0),"",IF(OR($C2527="Receipt",$C2527="Other Income",$C2527="Capital In",$C2527="Transfer In"),$G2527,0)),"")</f>
        <v/>
      </c>
      <c r="J2527" s="61" t="str">
        <f aca="false">IF(IsPro,IF(OR($C2527="",N($G2527)=0),"",IF(I2527=0,$G2527,0)),"")</f>
        <v/>
      </c>
      <c r="K2527" s="60" t="str">
        <f aca="false">IF(IsPro,IF($C2527="","",IF(AND(OR($C2527="Receipt",$C2527="Payment"),$D2527=""),"Party needed",IF(AND(OR($C2527="Expense",$C2527="Other Income"),$E2527=""),"Head needed",IF($F2527="","Account needed","OK")))),IF($C2527="","","PRO PLAN"))</f>
        <v/>
      </c>
    </row>
    <row r="2528" customFormat="false" ht="15" hidden="false" customHeight="false" outlineLevel="0" collapsed="false">
      <c r="A2528" s="55"/>
      <c r="B2528" s="56"/>
      <c r="C2528" s="56"/>
      <c r="D2528" s="56"/>
      <c r="E2528" s="56"/>
      <c r="F2528" s="56"/>
      <c r="G2528" s="58"/>
      <c r="H2528" s="56"/>
      <c r="I2528" s="61" t="str">
        <f aca="false">IF(IsPro,IF(OR($C2528="",N($G2528)=0),"",IF(OR($C2528="Receipt",$C2528="Other Income",$C2528="Capital In",$C2528="Transfer In"),$G2528,0)),"")</f>
        <v/>
      </c>
      <c r="J2528" s="61" t="str">
        <f aca="false">IF(IsPro,IF(OR($C2528="",N($G2528)=0),"",IF(I2528=0,$G2528,0)),"")</f>
        <v/>
      </c>
      <c r="K2528" s="60" t="str">
        <f aca="false">IF(IsPro,IF($C2528="","",IF(AND(OR($C2528="Receipt",$C2528="Payment"),$D2528=""),"Party needed",IF(AND(OR($C2528="Expense",$C2528="Other Income"),$E2528=""),"Head needed",IF($F2528="","Account needed","OK")))),IF($C2528="","","PRO PLAN"))</f>
        <v/>
      </c>
    </row>
    <row r="2529" customFormat="false" ht="15" hidden="false" customHeight="false" outlineLevel="0" collapsed="false">
      <c r="A2529" s="55"/>
      <c r="B2529" s="56"/>
      <c r="C2529" s="56"/>
      <c r="D2529" s="56"/>
      <c r="E2529" s="56"/>
      <c r="F2529" s="56"/>
      <c r="G2529" s="58"/>
      <c r="H2529" s="56"/>
      <c r="I2529" s="61" t="str">
        <f aca="false">IF(IsPro,IF(OR($C2529="",N($G2529)=0),"",IF(OR($C2529="Receipt",$C2529="Other Income",$C2529="Capital In",$C2529="Transfer In"),$G2529,0)),"")</f>
        <v/>
      </c>
      <c r="J2529" s="61" t="str">
        <f aca="false">IF(IsPro,IF(OR($C2529="",N($G2529)=0),"",IF(I2529=0,$G2529,0)),"")</f>
        <v/>
      </c>
      <c r="K2529" s="60" t="str">
        <f aca="false">IF(IsPro,IF($C2529="","",IF(AND(OR($C2529="Receipt",$C2529="Payment"),$D2529=""),"Party needed",IF(AND(OR($C2529="Expense",$C2529="Other Income"),$E2529=""),"Head needed",IF($F2529="","Account needed","OK")))),IF($C2529="","","PRO PLAN"))</f>
        <v/>
      </c>
    </row>
    <row r="2530" customFormat="false" ht="15" hidden="false" customHeight="false" outlineLevel="0" collapsed="false">
      <c r="A2530" s="55"/>
      <c r="B2530" s="56"/>
      <c r="C2530" s="56"/>
      <c r="D2530" s="56"/>
      <c r="E2530" s="56"/>
      <c r="F2530" s="56"/>
      <c r="G2530" s="58"/>
      <c r="H2530" s="56"/>
      <c r="I2530" s="61" t="str">
        <f aca="false">IF(IsPro,IF(OR($C2530="",N($G2530)=0),"",IF(OR($C2530="Receipt",$C2530="Other Income",$C2530="Capital In",$C2530="Transfer In"),$G2530,0)),"")</f>
        <v/>
      </c>
      <c r="J2530" s="61" t="str">
        <f aca="false">IF(IsPro,IF(OR($C2530="",N($G2530)=0),"",IF(I2530=0,$G2530,0)),"")</f>
        <v/>
      </c>
      <c r="K2530" s="60" t="str">
        <f aca="false">IF(IsPro,IF($C2530="","",IF(AND(OR($C2530="Receipt",$C2530="Payment"),$D2530=""),"Party needed",IF(AND(OR($C2530="Expense",$C2530="Other Income"),$E2530=""),"Head needed",IF($F2530="","Account needed","OK")))),IF($C2530="","","PRO PLAN"))</f>
        <v/>
      </c>
    </row>
    <row r="2531" customFormat="false" ht="15" hidden="false" customHeight="false" outlineLevel="0" collapsed="false">
      <c r="A2531" s="55"/>
      <c r="B2531" s="56"/>
      <c r="C2531" s="56"/>
      <c r="D2531" s="56"/>
      <c r="E2531" s="56"/>
      <c r="F2531" s="56"/>
      <c r="G2531" s="58"/>
      <c r="H2531" s="56"/>
      <c r="I2531" s="61" t="str">
        <f aca="false">IF(IsPro,IF(OR($C2531="",N($G2531)=0),"",IF(OR($C2531="Receipt",$C2531="Other Income",$C2531="Capital In",$C2531="Transfer In"),$G2531,0)),"")</f>
        <v/>
      </c>
      <c r="J2531" s="61" t="str">
        <f aca="false">IF(IsPro,IF(OR($C2531="",N($G2531)=0),"",IF(I2531=0,$G2531,0)),"")</f>
        <v/>
      </c>
      <c r="K2531" s="60" t="str">
        <f aca="false">IF(IsPro,IF($C2531="","",IF(AND(OR($C2531="Receipt",$C2531="Payment"),$D2531=""),"Party needed",IF(AND(OR($C2531="Expense",$C2531="Other Income"),$E2531=""),"Head needed",IF($F2531="","Account needed","OK")))),IF($C2531="","","PRO PLAN"))</f>
        <v/>
      </c>
    </row>
    <row r="2532" customFormat="false" ht="15" hidden="false" customHeight="false" outlineLevel="0" collapsed="false">
      <c r="A2532" s="55"/>
      <c r="B2532" s="56"/>
      <c r="C2532" s="56"/>
      <c r="D2532" s="56"/>
      <c r="E2532" s="56"/>
      <c r="F2532" s="56"/>
      <c r="G2532" s="58"/>
      <c r="H2532" s="56"/>
      <c r="I2532" s="61" t="str">
        <f aca="false">IF(IsPro,IF(OR($C2532="",N($G2532)=0),"",IF(OR($C2532="Receipt",$C2532="Other Income",$C2532="Capital In",$C2532="Transfer In"),$G2532,0)),"")</f>
        <v/>
      </c>
      <c r="J2532" s="61" t="str">
        <f aca="false">IF(IsPro,IF(OR($C2532="",N($G2532)=0),"",IF(I2532=0,$G2532,0)),"")</f>
        <v/>
      </c>
      <c r="K2532" s="60" t="str">
        <f aca="false">IF(IsPro,IF($C2532="","",IF(AND(OR($C2532="Receipt",$C2532="Payment"),$D2532=""),"Party needed",IF(AND(OR($C2532="Expense",$C2532="Other Income"),$E2532=""),"Head needed",IF($F2532="","Account needed","OK")))),IF($C2532="","","PRO PLAN"))</f>
        <v/>
      </c>
    </row>
    <row r="2533" customFormat="false" ht="15" hidden="false" customHeight="false" outlineLevel="0" collapsed="false">
      <c r="A2533" s="55"/>
      <c r="B2533" s="56"/>
      <c r="C2533" s="56"/>
      <c r="D2533" s="56"/>
      <c r="E2533" s="56"/>
      <c r="F2533" s="56"/>
      <c r="G2533" s="58"/>
      <c r="H2533" s="56"/>
      <c r="I2533" s="61" t="str">
        <f aca="false">IF(IsPro,IF(OR($C2533="",N($G2533)=0),"",IF(OR($C2533="Receipt",$C2533="Other Income",$C2533="Capital In",$C2533="Transfer In"),$G2533,0)),"")</f>
        <v/>
      </c>
      <c r="J2533" s="61" t="str">
        <f aca="false">IF(IsPro,IF(OR($C2533="",N($G2533)=0),"",IF(I2533=0,$G2533,0)),"")</f>
        <v/>
      </c>
      <c r="K2533" s="60" t="str">
        <f aca="false">IF(IsPro,IF($C2533="","",IF(AND(OR($C2533="Receipt",$C2533="Payment"),$D2533=""),"Party needed",IF(AND(OR($C2533="Expense",$C2533="Other Income"),$E2533=""),"Head needed",IF($F2533="","Account needed","OK")))),IF($C2533="","","PRO PLAN"))</f>
        <v/>
      </c>
    </row>
    <row r="2534" customFormat="false" ht="15" hidden="false" customHeight="false" outlineLevel="0" collapsed="false">
      <c r="A2534" s="55"/>
      <c r="B2534" s="56"/>
      <c r="C2534" s="56"/>
      <c r="D2534" s="56"/>
      <c r="E2534" s="56"/>
      <c r="F2534" s="56"/>
      <c r="G2534" s="58"/>
      <c r="H2534" s="56"/>
      <c r="I2534" s="61" t="str">
        <f aca="false">IF(IsPro,IF(OR($C2534="",N($G2534)=0),"",IF(OR($C2534="Receipt",$C2534="Other Income",$C2534="Capital In",$C2534="Transfer In"),$G2534,0)),"")</f>
        <v/>
      </c>
      <c r="J2534" s="61" t="str">
        <f aca="false">IF(IsPro,IF(OR($C2534="",N($G2534)=0),"",IF(I2534=0,$G2534,0)),"")</f>
        <v/>
      </c>
      <c r="K2534" s="60" t="str">
        <f aca="false">IF(IsPro,IF($C2534="","",IF(AND(OR($C2534="Receipt",$C2534="Payment"),$D2534=""),"Party needed",IF(AND(OR($C2534="Expense",$C2534="Other Income"),$E2534=""),"Head needed",IF($F2534="","Account needed","OK")))),IF($C2534="","","PRO PLAN"))</f>
        <v/>
      </c>
    </row>
    <row r="2535" customFormat="false" ht="15" hidden="false" customHeight="false" outlineLevel="0" collapsed="false">
      <c r="A2535" s="55"/>
      <c r="B2535" s="56"/>
      <c r="C2535" s="56"/>
      <c r="D2535" s="56"/>
      <c r="E2535" s="56"/>
      <c r="F2535" s="56"/>
      <c r="G2535" s="58"/>
      <c r="H2535" s="56"/>
      <c r="I2535" s="61" t="str">
        <f aca="false">IF(IsPro,IF(OR($C2535="",N($G2535)=0),"",IF(OR($C2535="Receipt",$C2535="Other Income",$C2535="Capital In",$C2535="Transfer In"),$G2535,0)),"")</f>
        <v/>
      </c>
      <c r="J2535" s="61" t="str">
        <f aca="false">IF(IsPro,IF(OR($C2535="",N($G2535)=0),"",IF(I2535=0,$G2535,0)),"")</f>
        <v/>
      </c>
      <c r="K2535" s="60" t="str">
        <f aca="false">IF(IsPro,IF($C2535="","",IF(AND(OR($C2535="Receipt",$C2535="Payment"),$D2535=""),"Party needed",IF(AND(OR($C2535="Expense",$C2535="Other Income"),$E2535=""),"Head needed",IF($F2535="","Account needed","OK")))),IF($C2535="","","PRO PLAN"))</f>
        <v/>
      </c>
    </row>
    <row r="2536" customFormat="false" ht="15" hidden="false" customHeight="false" outlineLevel="0" collapsed="false">
      <c r="A2536" s="55"/>
      <c r="B2536" s="56"/>
      <c r="C2536" s="56"/>
      <c r="D2536" s="56"/>
      <c r="E2536" s="56"/>
      <c r="F2536" s="56"/>
      <c r="G2536" s="58"/>
      <c r="H2536" s="56"/>
      <c r="I2536" s="61" t="str">
        <f aca="false">IF(IsPro,IF(OR($C2536="",N($G2536)=0),"",IF(OR($C2536="Receipt",$C2536="Other Income",$C2536="Capital In",$C2536="Transfer In"),$G2536,0)),"")</f>
        <v/>
      </c>
      <c r="J2536" s="61" t="str">
        <f aca="false">IF(IsPro,IF(OR($C2536="",N($G2536)=0),"",IF(I2536=0,$G2536,0)),"")</f>
        <v/>
      </c>
      <c r="K2536" s="60" t="str">
        <f aca="false">IF(IsPro,IF($C2536="","",IF(AND(OR($C2536="Receipt",$C2536="Payment"),$D2536=""),"Party needed",IF(AND(OR($C2536="Expense",$C2536="Other Income"),$E2536=""),"Head needed",IF($F2536="","Account needed","OK")))),IF($C2536="","","PRO PLAN"))</f>
        <v/>
      </c>
    </row>
    <row r="2537" customFormat="false" ht="15" hidden="false" customHeight="false" outlineLevel="0" collapsed="false">
      <c r="A2537" s="55"/>
      <c r="B2537" s="56"/>
      <c r="C2537" s="56"/>
      <c r="D2537" s="56"/>
      <c r="E2537" s="56"/>
      <c r="F2537" s="56"/>
      <c r="G2537" s="58"/>
      <c r="H2537" s="56"/>
      <c r="I2537" s="61" t="str">
        <f aca="false">IF(IsPro,IF(OR($C2537="",N($G2537)=0),"",IF(OR($C2537="Receipt",$C2537="Other Income",$C2537="Capital In",$C2537="Transfer In"),$G2537,0)),"")</f>
        <v/>
      </c>
      <c r="J2537" s="61" t="str">
        <f aca="false">IF(IsPro,IF(OR($C2537="",N($G2537)=0),"",IF(I2537=0,$G2537,0)),"")</f>
        <v/>
      </c>
      <c r="K2537" s="60" t="str">
        <f aca="false">IF(IsPro,IF($C2537="","",IF(AND(OR($C2537="Receipt",$C2537="Payment"),$D2537=""),"Party needed",IF(AND(OR($C2537="Expense",$C2537="Other Income"),$E2537=""),"Head needed",IF($F2537="","Account needed","OK")))),IF($C2537="","","PRO PLAN"))</f>
        <v/>
      </c>
    </row>
    <row r="2538" customFormat="false" ht="15" hidden="false" customHeight="false" outlineLevel="0" collapsed="false">
      <c r="A2538" s="55"/>
      <c r="B2538" s="56"/>
      <c r="C2538" s="56"/>
      <c r="D2538" s="56"/>
      <c r="E2538" s="56"/>
      <c r="F2538" s="56"/>
      <c r="G2538" s="58"/>
      <c r="H2538" s="56"/>
      <c r="I2538" s="61" t="str">
        <f aca="false">IF(IsPro,IF(OR($C2538="",N($G2538)=0),"",IF(OR($C2538="Receipt",$C2538="Other Income",$C2538="Capital In",$C2538="Transfer In"),$G2538,0)),"")</f>
        <v/>
      </c>
      <c r="J2538" s="61" t="str">
        <f aca="false">IF(IsPro,IF(OR($C2538="",N($G2538)=0),"",IF(I2538=0,$G2538,0)),"")</f>
        <v/>
      </c>
      <c r="K2538" s="60" t="str">
        <f aca="false">IF(IsPro,IF($C2538="","",IF(AND(OR($C2538="Receipt",$C2538="Payment"),$D2538=""),"Party needed",IF(AND(OR($C2538="Expense",$C2538="Other Income"),$E2538=""),"Head needed",IF($F2538="","Account needed","OK")))),IF($C2538="","","PRO PLAN"))</f>
        <v/>
      </c>
    </row>
    <row r="2539" customFormat="false" ht="15" hidden="false" customHeight="false" outlineLevel="0" collapsed="false">
      <c r="A2539" s="55"/>
      <c r="B2539" s="56"/>
      <c r="C2539" s="56"/>
      <c r="D2539" s="56"/>
      <c r="E2539" s="56"/>
      <c r="F2539" s="56"/>
      <c r="G2539" s="58"/>
      <c r="H2539" s="56"/>
      <c r="I2539" s="61" t="str">
        <f aca="false">IF(IsPro,IF(OR($C2539="",N($G2539)=0),"",IF(OR($C2539="Receipt",$C2539="Other Income",$C2539="Capital In",$C2539="Transfer In"),$G2539,0)),"")</f>
        <v/>
      </c>
      <c r="J2539" s="61" t="str">
        <f aca="false">IF(IsPro,IF(OR($C2539="",N($G2539)=0),"",IF(I2539=0,$G2539,0)),"")</f>
        <v/>
      </c>
      <c r="K2539" s="60" t="str">
        <f aca="false">IF(IsPro,IF($C2539="","",IF(AND(OR($C2539="Receipt",$C2539="Payment"),$D2539=""),"Party needed",IF(AND(OR($C2539="Expense",$C2539="Other Income"),$E2539=""),"Head needed",IF($F2539="","Account needed","OK")))),IF($C2539="","","PRO PLAN"))</f>
        <v/>
      </c>
    </row>
    <row r="2540" customFormat="false" ht="15" hidden="false" customHeight="false" outlineLevel="0" collapsed="false">
      <c r="A2540" s="55"/>
      <c r="B2540" s="56"/>
      <c r="C2540" s="56"/>
      <c r="D2540" s="56"/>
      <c r="E2540" s="56"/>
      <c r="F2540" s="56"/>
      <c r="G2540" s="58"/>
      <c r="H2540" s="56"/>
      <c r="I2540" s="61" t="str">
        <f aca="false">IF(IsPro,IF(OR($C2540="",N($G2540)=0),"",IF(OR($C2540="Receipt",$C2540="Other Income",$C2540="Capital In",$C2540="Transfer In"),$G2540,0)),"")</f>
        <v/>
      </c>
      <c r="J2540" s="61" t="str">
        <f aca="false">IF(IsPro,IF(OR($C2540="",N($G2540)=0),"",IF(I2540=0,$G2540,0)),"")</f>
        <v/>
      </c>
      <c r="K2540" s="60" t="str">
        <f aca="false">IF(IsPro,IF($C2540="","",IF(AND(OR($C2540="Receipt",$C2540="Payment"),$D2540=""),"Party needed",IF(AND(OR($C2540="Expense",$C2540="Other Income"),$E2540=""),"Head needed",IF($F2540="","Account needed","OK")))),IF($C2540="","","PRO PLAN"))</f>
        <v/>
      </c>
    </row>
    <row r="2541" customFormat="false" ht="15" hidden="false" customHeight="false" outlineLevel="0" collapsed="false">
      <c r="A2541" s="55"/>
      <c r="B2541" s="56"/>
      <c r="C2541" s="56"/>
      <c r="D2541" s="56"/>
      <c r="E2541" s="56"/>
      <c r="F2541" s="56"/>
      <c r="G2541" s="58"/>
      <c r="H2541" s="56"/>
      <c r="I2541" s="61" t="str">
        <f aca="false">IF(IsPro,IF(OR($C2541="",N($G2541)=0),"",IF(OR($C2541="Receipt",$C2541="Other Income",$C2541="Capital In",$C2541="Transfer In"),$G2541,0)),"")</f>
        <v/>
      </c>
      <c r="J2541" s="61" t="str">
        <f aca="false">IF(IsPro,IF(OR($C2541="",N($G2541)=0),"",IF(I2541=0,$G2541,0)),"")</f>
        <v/>
      </c>
      <c r="K2541" s="60" t="str">
        <f aca="false">IF(IsPro,IF($C2541="","",IF(AND(OR($C2541="Receipt",$C2541="Payment"),$D2541=""),"Party needed",IF(AND(OR($C2541="Expense",$C2541="Other Income"),$E2541=""),"Head needed",IF($F2541="","Account needed","OK")))),IF($C2541="","","PRO PLAN"))</f>
        <v/>
      </c>
    </row>
    <row r="2542" customFormat="false" ht="15" hidden="false" customHeight="false" outlineLevel="0" collapsed="false">
      <c r="A2542" s="55"/>
      <c r="B2542" s="56"/>
      <c r="C2542" s="56"/>
      <c r="D2542" s="56"/>
      <c r="E2542" s="56"/>
      <c r="F2542" s="56"/>
      <c r="G2542" s="58"/>
      <c r="H2542" s="56"/>
      <c r="I2542" s="61" t="str">
        <f aca="false">IF(IsPro,IF(OR($C2542="",N($G2542)=0),"",IF(OR($C2542="Receipt",$C2542="Other Income",$C2542="Capital In",$C2542="Transfer In"),$G2542,0)),"")</f>
        <v/>
      </c>
      <c r="J2542" s="61" t="str">
        <f aca="false">IF(IsPro,IF(OR($C2542="",N($G2542)=0),"",IF(I2542=0,$G2542,0)),"")</f>
        <v/>
      </c>
      <c r="K2542" s="60" t="str">
        <f aca="false">IF(IsPro,IF($C2542="","",IF(AND(OR($C2542="Receipt",$C2542="Payment"),$D2542=""),"Party needed",IF(AND(OR($C2542="Expense",$C2542="Other Income"),$E2542=""),"Head needed",IF($F2542="","Account needed","OK")))),IF($C2542="","","PRO PLAN"))</f>
        <v/>
      </c>
    </row>
    <row r="2543" customFormat="false" ht="15" hidden="false" customHeight="false" outlineLevel="0" collapsed="false">
      <c r="A2543" s="55"/>
      <c r="B2543" s="56"/>
      <c r="C2543" s="56"/>
      <c r="D2543" s="56"/>
      <c r="E2543" s="56"/>
      <c r="F2543" s="56"/>
      <c r="G2543" s="58"/>
      <c r="H2543" s="56"/>
      <c r="I2543" s="61" t="str">
        <f aca="false">IF(IsPro,IF(OR($C2543="",N($G2543)=0),"",IF(OR($C2543="Receipt",$C2543="Other Income",$C2543="Capital In",$C2543="Transfer In"),$G2543,0)),"")</f>
        <v/>
      </c>
      <c r="J2543" s="61" t="str">
        <f aca="false">IF(IsPro,IF(OR($C2543="",N($G2543)=0),"",IF(I2543=0,$G2543,0)),"")</f>
        <v/>
      </c>
      <c r="K2543" s="60" t="str">
        <f aca="false">IF(IsPro,IF($C2543="","",IF(AND(OR($C2543="Receipt",$C2543="Payment"),$D2543=""),"Party needed",IF(AND(OR($C2543="Expense",$C2543="Other Income"),$E2543=""),"Head needed",IF($F2543="","Account needed","OK")))),IF($C2543="","","PRO PLAN"))</f>
        <v/>
      </c>
    </row>
    <row r="2544" customFormat="false" ht="15" hidden="false" customHeight="false" outlineLevel="0" collapsed="false">
      <c r="A2544" s="55"/>
      <c r="B2544" s="56"/>
      <c r="C2544" s="56"/>
      <c r="D2544" s="56"/>
      <c r="E2544" s="56"/>
      <c r="F2544" s="56"/>
      <c r="G2544" s="58"/>
      <c r="H2544" s="56"/>
      <c r="I2544" s="61" t="str">
        <f aca="false">IF(IsPro,IF(OR($C2544="",N($G2544)=0),"",IF(OR($C2544="Receipt",$C2544="Other Income",$C2544="Capital In",$C2544="Transfer In"),$G2544,0)),"")</f>
        <v/>
      </c>
      <c r="J2544" s="61" t="str">
        <f aca="false">IF(IsPro,IF(OR($C2544="",N($G2544)=0),"",IF(I2544=0,$G2544,0)),"")</f>
        <v/>
      </c>
      <c r="K2544" s="60" t="str">
        <f aca="false">IF(IsPro,IF($C2544="","",IF(AND(OR($C2544="Receipt",$C2544="Payment"),$D2544=""),"Party needed",IF(AND(OR($C2544="Expense",$C2544="Other Income"),$E2544=""),"Head needed",IF($F2544="","Account needed","OK")))),IF($C2544="","","PRO PLAN"))</f>
        <v/>
      </c>
    </row>
    <row r="2545" customFormat="false" ht="15" hidden="false" customHeight="false" outlineLevel="0" collapsed="false">
      <c r="A2545" s="55"/>
      <c r="B2545" s="56"/>
      <c r="C2545" s="56"/>
      <c r="D2545" s="56"/>
      <c r="E2545" s="56"/>
      <c r="F2545" s="56"/>
      <c r="G2545" s="58"/>
      <c r="H2545" s="56"/>
      <c r="I2545" s="61" t="str">
        <f aca="false">IF(IsPro,IF(OR($C2545="",N($G2545)=0),"",IF(OR($C2545="Receipt",$C2545="Other Income",$C2545="Capital In",$C2545="Transfer In"),$G2545,0)),"")</f>
        <v/>
      </c>
      <c r="J2545" s="61" t="str">
        <f aca="false">IF(IsPro,IF(OR($C2545="",N($G2545)=0),"",IF(I2545=0,$G2545,0)),"")</f>
        <v/>
      </c>
      <c r="K2545" s="60" t="str">
        <f aca="false">IF(IsPro,IF($C2545="","",IF(AND(OR($C2545="Receipt",$C2545="Payment"),$D2545=""),"Party needed",IF(AND(OR($C2545="Expense",$C2545="Other Income"),$E2545=""),"Head needed",IF($F2545="","Account needed","OK")))),IF($C2545="","","PRO PLAN"))</f>
        <v/>
      </c>
    </row>
    <row r="2546" customFormat="false" ht="15" hidden="false" customHeight="false" outlineLevel="0" collapsed="false">
      <c r="A2546" s="55"/>
      <c r="B2546" s="56"/>
      <c r="C2546" s="56"/>
      <c r="D2546" s="56"/>
      <c r="E2546" s="56"/>
      <c r="F2546" s="56"/>
      <c r="G2546" s="58"/>
      <c r="H2546" s="56"/>
      <c r="I2546" s="61" t="str">
        <f aca="false">IF(IsPro,IF(OR($C2546="",N($G2546)=0),"",IF(OR($C2546="Receipt",$C2546="Other Income",$C2546="Capital In",$C2546="Transfer In"),$G2546,0)),"")</f>
        <v/>
      </c>
      <c r="J2546" s="61" t="str">
        <f aca="false">IF(IsPro,IF(OR($C2546="",N($G2546)=0),"",IF(I2546=0,$G2546,0)),"")</f>
        <v/>
      </c>
      <c r="K2546" s="60" t="str">
        <f aca="false">IF(IsPro,IF($C2546="","",IF(AND(OR($C2546="Receipt",$C2546="Payment"),$D2546=""),"Party needed",IF(AND(OR($C2546="Expense",$C2546="Other Income"),$E2546=""),"Head needed",IF($F2546="","Account needed","OK")))),IF($C2546="","","PRO PLAN"))</f>
        <v/>
      </c>
    </row>
    <row r="2547" customFormat="false" ht="15" hidden="false" customHeight="false" outlineLevel="0" collapsed="false">
      <c r="A2547" s="55"/>
      <c r="B2547" s="56"/>
      <c r="C2547" s="56"/>
      <c r="D2547" s="56"/>
      <c r="E2547" s="56"/>
      <c r="F2547" s="56"/>
      <c r="G2547" s="58"/>
      <c r="H2547" s="56"/>
      <c r="I2547" s="61" t="str">
        <f aca="false">IF(IsPro,IF(OR($C2547="",N($G2547)=0),"",IF(OR($C2547="Receipt",$C2547="Other Income",$C2547="Capital In",$C2547="Transfer In"),$G2547,0)),"")</f>
        <v/>
      </c>
      <c r="J2547" s="61" t="str">
        <f aca="false">IF(IsPro,IF(OR($C2547="",N($G2547)=0),"",IF(I2547=0,$G2547,0)),"")</f>
        <v/>
      </c>
      <c r="K2547" s="60" t="str">
        <f aca="false">IF(IsPro,IF($C2547="","",IF(AND(OR($C2547="Receipt",$C2547="Payment"),$D2547=""),"Party needed",IF(AND(OR($C2547="Expense",$C2547="Other Income"),$E2547=""),"Head needed",IF($F2547="","Account needed","OK")))),IF($C2547="","","PRO PLAN"))</f>
        <v/>
      </c>
    </row>
    <row r="2548" customFormat="false" ht="15" hidden="false" customHeight="false" outlineLevel="0" collapsed="false">
      <c r="A2548" s="55"/>
      <c r="B2548" s="56"/>
      <c r="C2548" s="56"/>
      <c r="D2548" s="56"/>
      <c r="E2548" s="56"/>
      <c r="F2548" s="56"/>
      <c r="G2548" s="58"/>
      <c r="H2548" s="56"/>
      <c r="I2548" s="61" t="str">
        <f aca="false">IF(IsPro,IF(OR($C2548="",N($G2548)=0),"",IF(OR($C2548="Receipt",$C2548="Other Income",$C2548="Capital In",$C2548="Transfer In"),$G2548,0)),"")</f>
        <v/>
      </c>
      <c r="J2548" s="61" t="str">
        <f aca="false">IF(IsPro,IF(OR($C2548="",N($G2548)=0),"",IF(I2548=0,$G2548,0)),"")</f>
        <v/>
      </c>
      <c r="K2548" s="60" t="str">
        <f aca="false">IF(IsPro,IF($C2548="","",IF(AND(OR($C2548="Receipt",$C2548="Payment"),$D2548=""),"Party needed",IF(AND(OR($C2548="Expense",$C2548="Other Income"),$E2548=""),"Head needed",IF($F2548="","Account needed","OK")))),IF($C2548="","","PRO PLAN"))</f>
        <v/>
      </c>
    </row>
    <row r="2549" customFormat="false" ht="15" hidden="false" customHeight="false" outlineLevel="0" collapsed="false">
      <c r="A2549" s="55"/>
      <c r="B2549" s="56"/>
      <c r="C2549" s="56"/>
      <c r="D2549" s="56"/>
      <c r="E2549" s="56"/>
      <c r="F2549" s="56"/>
      <c r="G2549" s="58"/>
      <c r="H2549" s="56"/>
      <c r="I2549" s="61" t="str">
        <f aca="false">IF(IsPro,IF(OR($C2549="",N($G2549)=0),"",IF(OR($C2549="Receipt",$C2549="Other Income",$C2549="Capital In",$C2549="Transfer In"),$G2549,0)),"")</f>
        <v/>
      </c>
      <c r="J2549" s="61" t="str">
        <f aca="false">IF(IsPro,IF(OR($C2549="",N($G2549)=0),"",IF(I2549=0,$G2549,0)),"")</f>
        <v/>
      </c>
      <c r="K2549" s="60" t="str">
        <f aca="false">IF(IsPro,IF($C2549="","",IF(AND(OR($C2549="Receipt",$C2549="Payment"),$D2549=""),"Party needed",IF(AND(OR($C2549="Expense",$C2549="Other Income"),$E2549=""),"Head needed",IF($F2549="","Account needed","OK")))),IF($C2549="","","PRO PLAN"))</f>
        <v/>
      </c>
    </row>
    <row r="2550" customFormat="false" ht="15" hidden="false" customHeight="false" outlineLevel="0" collapsed="false">
      <c r="A2550" s="55"/>
      <c r="B2550" s="56"/>
      <c r="C2550" s="56"/>
      <c r="D2550" s="56"/>
      <c r="E2550" s="56"/>
      <c r="F2550" s="56"/>
      <c r="G2550" s="58"/>
      <c r="H2550" s="56"/>
      <c r="I2550" s="61" t="str">
        <f aca="false">IF(IsPro,IF(OR($C2550="",N($G2550)=0),"",IF(OR($C2550="Receipt",$C2550="Other Income",$C2550="Capital In",$C2550="Transfer In"),$G2550,0)),"")</f>
        <v/>
      </c>
      <c r="J2550" s="61" t="str">
        <f aca="false">IF(IsPro,IF(OR($C2550="",N($G2550)=0),"",IF(I2550=0,$G2550,0)),"")</f>
        <v/>
      </c>
      <c r="K2550" s="60" t="str">
        <f aca="false">IF(IsPro,IF($C2550="","",IF(AND(OR($C2550="Receipt",$C2550="Payment"),$D2550=""),"Party needed",IF(AND(OR($C2550="Expense",$C2550="Other Income"),$E2550=""),"Head needed",IF($F2550="","Account needed","OK")))),IF($C2550="","","PRO PLAN"))</f>
        <v/>
      </c>
    </row>
    <row r="2551" customFormat="false" ht="15" hidden="false" customHeight="false" outlineLevel="0" collapsed="false">
      <c r="A2551" s="55"/>
      <c r="B2551" s="56"/>
      <c r="C2551" s="56"/>
      <c r="D2551" s="56"/>
      <c r="E2551" s="56"/>
      <c r="F2551" s="56"/>
      <c r="G2551" s="58"/>
      <c r="H2551" s="56"/>
      <c r="I2551" s="61" t="str">
        <f aca="false">IF(IsPro,IF(OR($C2551="",N($G2551)=0),"",IF(OR($C2551="Receipt",$C2551="Other Income",$C2551="Capital In",$C2551="Transfer In"),$G2551,0)),"")</f>
        <v/>
      </c>
      <c r="J2551" s="61" t="str">
        <f aca="false">IF(IsPro,IF(OR($C2551="",N($G2551)=0),"",IF(I2551=0,$G2551,0)),"")</f>
        <v/>
      </c>
      <c r="K2551" s="60" t="str">
        <f aca="false">IF(IsPro,IF($C2551="","",IF(AND(OR($C2551="Receipt",$C2551="Payment"),$D2551=""),"Party needed",IF(AND(OR($C2551="Expense",$C2551="Other Income"),$E2551=""),"Head needed",IF($F2551="","Account needed","OK")))),IF($C2551="","","PRO PLAN"))</f>
        <v/>
      </c>
    </row>
    <row r="2552" customFormat="false" ht="15" hidden="false" customHeight="false" outlineLevel="0" collapsed="false">
      <c r="A2552" s="55"/>
      <c r="B2552" s="56"/>
      <c r="C2552" s="56"/>
      <c r="D2552" s="56"/>
      <c r="E2552" s="56"/>
      <c r="F2552" s="56"/>
      <c r="G2552" s="58"/>
      <c r="H2552" s="56"/>
      <c r="I2552" s="61" t="str">
        <f aca="false">IF(IsPro,IF(OR($C2552="",N($G2552)=0),"",IF(OR($C2552="Receipt",$C2552="Other Income",$C2552="Capital In",$C2552="Transfer In"),$G2552,0)),"")</f>
        <v/>
      </c>
      <c r="J2552" s="61" t="str">
        <f aca="false">IF(IsPro,IF(OR($C2552="",N($G2552)=0),"",IF(I2552=0,$G2552,0)),"")</f>
        <v/>
      </c>
      <c r="K2552" s="60" t="str">
        <f aca="false">IF(IsPro,IF($C2552="","",IF(AND(OR($C2552="Receipt",$C2552="Payment"),$D2552=""),"Party needed",IF(AND(OR($C2552="Expense",$C2552="Other Income"),$E2552=""),"Head needed",IF($F2552="","Account needed","OK")))),IF($C2552="","","PRO PLAN"))</f>
        <v/>
      </c>
    </row>
    <row r="2553" customFormat="false" ht="15" hidden="false" customHeight="false" outlineLevel="0" collapsed="false">
      <c r="A2553" s="55"/>
      <c r="B2553" s="56"/>
      <c r="C2553" s="56"/>
      <c r="D2553" s="56"/>
      <c r="E2553" s="56"/>
      <c r="F2553" s="56"/>
      <c r="G2553" s="58"/>
      <c r="H2553" s="56"/>
      <c r="I2553" s="61" t="str">
        <f aca="false">IF(IsPro,IF(OR($C2553="",N($G2553)=0),"",IF(OR($C2553="Receipt",$C2553="Other Income",$C2553="Capital In",$C2553="Transfer In"),$G2553,0)),"")</f>
        <v/>
      </c>
      <c r="J2553" s="61" t="str">
        <f aca="false">IF(IsPro,IF(OR($C2553="",N($G2553)=0),"",IF(I2553=0,$G2553,0)),"")</f>
        <v/>
      </c>
      <c r="K2553" s="60" t="str">
        <f aca="false">IF(IsPro,IF($C2553="","",IF(AND(OR($C2553="Receipt",$C2553="Payment"),$D2553=""),"Party needed",IF(AND(OR($C2553="Expense",$C2553="Other Income"),$E2553=""),"Head needed",IF($F2553="","Account needed","OK")))),IF($C2553="","","PRO PLAN"))</f>
        <v/>
      </c>
    </row>
    <row r="2554" customFormat="false" ht="15" hidden="false" customHeight="false" outlineLevel="0" collapsed="false">
      <c r="A2554" s="55"/>
      <c r="B2554" s="56"/>
      <c r="C2554" s="56"/>
      <c r="D2554" s="56"/>
      <c r="E2554" s="56"/>
      <c r="F2554" s="56"/>
      <c r="G2554" s="58"/>
      <c r="H2554" s="56"/>
      <c r="I2554" s="61" t="str">
        <f aca="false">IF(IsPro,IF(OR($C2554="",N($G2554)=0),"",IF(OR($C2554="Receipt",$C2554="Other Income",$C2554="Capital In",$C2554="Transfer In"),$G2554,0)),"")</f>
        <v/>
      </c>
      <c r="J2554" s="61" t="str">
        <f aca="false">IF(IsPro,IF(OR($C2554="",N($G2554)=0),"",IF(I2554=0,$G2554,0)),"")</f>
        <v/>
      </c>
      <c r="K2554" s="60" t="str">
        <f aca="false">IF(IsPro,IF($C2554="","",IF(AND(OR($C2554="Receipt",$C2554="Payment"),$D2554=""),"Party needed",IF(AND(OR($C2554="Expense",$C2554="Other Income"),$E2554=""),"Head needed",IF($F2554="","Account needed","OK")))),IF($C2554="","","PRO PLAN"))</f>
        <v/>
      </c>
    </row>
    <row r="2555" customFormat="false" ht="15" hidden="false" customHeight="false" outlineLevel="0" collapsed="false">
      <c r="A2555" s="55"/>
      <c r="B2555" s="56"/>
      <c r="C2555" s="56"/>
      <c r="D2555" s="56"/>
      <c r="E2555" s="56"/>
      <c r="F2555" s="56"/>
      <c r="G2555" s="58"/>
      <c r="H2555" s="56"/>
      <c r="I2555" s="61" t="str">
        <f aca="false">IF(IsPro,IF(OR($C2555="",N($G2555)=0),"",IF(OR($C2555="Receipt",$C2555="Other Income",$C2555="Capital In",$C2555="Transfer In"),$G2555,0)),"")</f>
        <v/>
      </c>
      <c r="J2555" s="61" t="str">
        <f aca="false">IF(IsPro,IF(OR($C2555="",N($G2555)=0),"",IF(I2555=0,$G2555,0)),"")</f>
        <v/>
      </c>
      <c r="K2555" s="60" t="str">
        <f aca="false">IF(IsPro,IF($C2555="","",IF(AND(OR($C2555="Receipt",$C2555="Payment"),$D2555=""),"Party needed",IF(AND(OR($C2555="Expense",$C2555="Other Income"),$E2555=""),"Head needed",IF($F2555="","Account needed","OK")))),IF($C2555="","","PRO PLAN"))</f>
        <v/>
      </c>
    </row>
    <row r="2556" customFormat="false" ht="15" hidden="false" customHeight="false" outlineLevel="0" collapsed="false">
      <c r="A2556" s="55"/>
      <c r="B2556" s="56"/>
      <c r="C2556" s="56"/>
      <c r="D2556" s="56"/>
      <c r="E2556" s="56"/>
      <c r="F2556" s="56"/>
      <c r="G2556" s="58"/>
      <c r="H2556" s="56"/>
      <c r="I2556" s="61" t="str">
        <f aca="false">IF(IsPro,IF(OR($C2556="",N($G2556)=0),"",IF(OR($C2556="Receipt",$C2556="Other Income",$C2556="Capital In",$C2556="Transfer In"),$G2556,0)),"")</f>
        <v/>
      </c>
      <c r="J2556" s="61" t="str">
        <f aca="false">IF(IsPro,IF(OR($C2556="",N($G2556)=0),"",IF(I2556=0,$G2556,0)),"")</f>
        <v/>
      </c>
      <c r="K2556" s="60" t="str">
        <f aca="false">IF(IsPro,IF($C2556="","",IF(AND(OR($C2556="Receipt",$C2556="Payment"),$D2556=""),"Party needed",IF(AND(OR($C2556="Expense",$C2556="Other Income"),$E2556=""),"Head needed",IF($F2556="","Account needed","OK")))),IF($C2556="","","PRO PLAN"))</f>
        <v/>
      </c>
    </row>
    <row r="2557" customFormat="false" ht="15" hidden="false" customHeight="false" outlineLevel="0" collapsed="false">
      <c r="A2557" s="55"/>
      <c r="B2557" s="56"/>
      <c r="C2557" s="56"/>
      <c r="D2557" s="56"/>
      <c r="E2557" s="56"/>
      <c r="F2557" s="56"/>
      <c r="G2557" s="58"/>
      <c r="H2557" s="56"/>
      <c r="I2557" s="61" t="str">
        <f aca="false">IF(IsPro,IF(OR($C2557="",N($G2557)=0),"",IF(OR($C2557="Receipt",$C2557="Other Income",$C2557="Capital In",$C2557="Transfer In"),$G2557,0)),"")</f>
        <v/>
      </c>
      <c r="J2557" s="61" t="str">
        <f aca="false">IF(IsPro,IF(OR($C2557="",N($G2557)=0),"",IF(I2557=0,$G2557,0)),"")</f>
        <v/>
      </c>
      <c r="K2557" s="60" t="str">
        <f aca="false">IF(IsPro,IF($C2557="","",IF(AND(OR($C2557="Receipt",$C2557="Payment"),$D2557=""),"Party needed",IF(AND(OR($C2557="Expense",$C2557="Other Income"),$E2557=""),"Head needed",IF($F2557="","Account needed","OK")))),IF($C2557="","","PRO PLAN"))</f>
        <v/>
      </c>
    </row>
    <row r="2558" customFormat="false" ht="15" hidden="false" customHeight="false" outlineLevel="0" collapsed="false">
      <c r="A2558" s="55"/>
      <c r="B2558" s="56"/>
      <c r="C2558" s="56"/>
      <c r="D2558" s="56"/>
      <c r="E2558" s="56"/>
      <c r="F2558" s="56"/>
      <c r="G2558" s="58"/>
      <c r="H2558" s="56"/>
      <c r="I2558" s="61" t="str">
        <f aca="false">IF(IsPro,IF(OR($C2558="",N($G2558)=0),"",IF(OR($C2558="Receipt",$C2558="Other Income",$C2558="Capital In",$C2558="Transfer In"),$G2558,0)),"")</f>
        <v/>
      </c>
      <c r="J2558" s="61" t="str">
        <f aca="false">IF(IsPro,IF(OR($C2558="",N($G2558)=0),"",IF(I2558=0,$G2558,0)),"")</f>
        <v/>
      </c>
      <c r="K2558" s="60" t="str">
        <f aca="false">IF(IsPro,IF($C2558="","",IF(AND(OR($C2558="Receipt",$C2558="Payment"),$D2558=""),"Party needed",IF(AND(OR($C2558="Expense",$C2558="Other Income"),$E2558=""),"Head needed",IF($F2558="","Account needed","OK")))),IF($C2558="","","PRO PLAN"))</f>
        <v/>
      </c>
    </row>
    <row r="2559" customFormat="false" ht="15" hidden="false" customHeight="false" outlineLevel="0" collapsed="false">
      <c r="A2559" s="55"/>
      <c r="B2559" s="56"/>
      <c r="C2559" s="56"/>
      <c r="D2559" s="56"/>
      <c r="E2559" s="56"/>
      <c r="F2559" s="56"/>
      <c r="G2559" s="58"/>
      <c r="H2559" s="56"/>
      <c r="I2559" s="61" t="str">
        <f aca="false">IF(IsPro,IF(OR($C2559="",N($G2559)=0),"",IF(OR($C2559="Receipt",$C2559="Other Income",$C2559="Capital In",$C2559="Transfer In"),$G2559,0)),"")</f>
        <v/>
      </c>
      <c r="J2559" s="61" t="str">
        <f aca="false">IF(IsPro,IF(OR($C2559="",N($G2559)=0),"",IF(I2559=0,$G2559,0)),"")</f>
        <v/>
      </c>
      <c r="K2559" s="60" t="str">
        <f aca="false">IF(IsPro,IF($C2559="","",IF(AND(OR($C2559="Receipt",$C2559="Payment"),$D2559=""),"Party needed",IF(AND(OR($C2559="Expense",$C2559="Other Income"),$E2559=""),"Head needed",IF($F2559="","Account needed","OK")))),IF($C2559="","","PRO PLAN"))</f>
        <v/>
      </c>
    </row>
    <row r="2560" customFormat="false" ht="15" hidden="false" customHeight="false" outlineLevel="0" collapsed="false">
      <c r="A2560" s="55"/>
      <c r="B2560" s="56"/>
      <c r="C2560" s="56"/>
      <c r="D2560" s="56"/>
      <c r="E2560" s="56"/>
      <c r="F2560" s="56"/>
      <c r="G2560" s="58"/>
      <c r="H2560" s="56"/>
      <c r="I2560" s="61" t="str">
        <f aca="false">IF(IsPro,IF(OR($C2560="",N($G2560)=0),"",IF(OR($C2560="Receipt",$C2560="Other Income",$C2560="Capital In",$C2560="Transfer In"),$G2560,0)),"")</f>
        <v/>
      </c>
      <c r="J2560" s="61" t="str">
        <f aca="false">IF(IsPro,IF(OR($C2560="",N($G2560)=0),"",IF(I2560=0,$G2560,0)),"")</f>
        <v/>
      </c>
      <c r="K2560" s="60" t="str">
        <f aca="false">IF(IsPro,IF($C2560="","",IF(AND(OR($C2560="Receipt",$C2560="Payment"),$D2560=""),"Party needed",IF(AND(OR($C2560="Expense",$C2560="Other Income"),$E2560=""),"Head needed",IF($F2560="","Account needed","OK")))),IF($C2560="","","PRO PLAN"))</f>
        <v/>
      </c>
    </row>
    <row r="2561" customFormat="false" ht="15" hidden="false" customHeight="false" outlineLevel="0" collapsed="false">
      <c r="A2561" s="55"/>
      <c r="B2561" s="56"/>
      <c r="C2561" s="56"/>
      <c r="D2561" s="56"/>
      <c r="E2561" s="56"/>
      <c r="F2561" s="56"/>
      <c r="G2561" s="58"/>
      <c r="H2561" s="56"/>
      <c r="I2561" s="61" t="str">
        <f aca="false">IF(IsPro,IF(OR($C2561="",N($G2561)=0),"",IF(OR($C2561="Receipt",$C2561="Other Income",$C2561="Capital In",$C2561="Transfer In"),$G2561,0)),"")</f>
        <v/>
      </c>
      <c r="J2561" s="61" t="str">
        <f aca="false">IF(IsPro,IF(OR($C2561="",N($G2561)=0),"",IF(I2561=0,$G2561,0)),"")</f>
        <v/>
      </c>
      <c r="K2561" s="60" t="str">
        <f aca="false">IF(IsPro,IF($C2561="","",IF(AND(OR($C2561="Receipt",$C2561="Payment"),$D2561=""),"Party needed",IF(AND(OR($C2561="Expense",$C2561="Other Income"),$E2561=""),"Head needed",IF($F2561="","Account needed","OK")))),IF($C2561="","","PRO PLAN"))</f>
        <v/>
      </c>
    </row>
    <row r="2562" customFormat="false" ht="15" hidden="false" customHeight="false" outlineLevel="0" collapsed="false">
      <c r="A2562" s="55"/>
      <c r="B2562" s="56"/>
      <c r="C2562" s="56"/>
      <c r="D2562" s="56"/>
      <c r="E2562" s="56"/>
      <c r="F2562" s="56"/>
      <c r="G2562" s="58"/>
      <c r="H2562" s="56"/>
      <c r="I2562" s="61" t="str">
        <f aca="false">IF(IsPro,IF(OR($C2562="",N($G2562)=0),"",IF(OR($C2562="Receipt",$C2562="Other Income",$C2562="Capital In",$C2562="Transfer In"),$G2562,0)),"")</f>
        <v/>
      </c>
      <c r="J2562" s="61" t="str">
        <f aca="false">IF(IsPro,IF(OR($C2562="",N($G2562)=0),"",IF(I2562=0,$G2562,0)),"")</f>
        <v/>
      </c>
      <c r="K2562" s="60" t="str">
        <f aca="false">IF(IsPro,IF($C2562="","",IF(AND(OR($C2562="Receipt",$C2562="Payment"),$D2562=""),"Party needed",IF(AND(OR($C2562="Expense",$C2562="Other Income"),$E2562=""),"Head needed",IF($F2562="","Account needed","OK")))),IF($C2562="","","PRO PLAN"))</f>
        <v/>
      </c>
    </row>
    <row r="2563" customFormat="false" ht="15" hidden="false" customHeight="false" outlineLevel="0" collapsed="false">
      <c r="A2563" s="55"/>
      <c r="B2563" s="56"/>
      <c r="C2563" s="56"/>
      <c r="D2563" s="56"/>
      <c r="E2563" s="56"/>
      <c r="F2563" s="56"/>
      <c r="G2563" s="58"/>
      <c r="H2563" s="56"/>
      <c r="I2563" s="61" t="str">
        <f aca="false">IF(IsPro,IF(OR($C2563="",N($G2563)=0),"",IF(OR($C2563="Receipt",$C2563="Other Income",$C2563="Capital In",$C2563="Transfer In"),$G2563,0)),"")</f>
        <v/>
      </c>
      <c r="J2563" s="61" t="str">
        <f aca="false">IF(IsPro,IF(OR($C2563="",N($G2563)=0),"",IF(I2563=0,$G2563,0)),"")</f>
        <v/>
      </c>
      <c r="K2563" s="60" t="str">
        <f aca="false">IF(IsPro,IF($C2563="","",IF(AND(OR($C2563="Receipt",$C2563="Payment"),$D2563=""),"Party needed",IF(AND(OR($C2563="Expense",$C2563="Other Income"),$E2563=""),"Head needed",IF($F2563="","Account needed","OK")))),IF($C2563="","","PRO PLAN"))</f>
        <v/>
      </c>
    </row>
    <row r="2564" customFormat="false" ht="15" hidden="false" customHeight="false" outlineLevel="0" collapsed="false">
      <c r="A2564" s="55"/>
      <c r="B2564" s="56"/>
      <c r="C2564" s="56"/>
      <c r="D2564" s="56"/>
      <c r="E2564" s="56"/>
      <c r="F2564" s="56"/>
      <c r="G2564" s="58"/>
      <c r="H2564" s="56"/>
      <c r="I2564" s="61" t="str">
        <f aca="false">IF(IsPro,IF(OR($C2564="",N($G2564)=0),"",IF(OR($C2564="Receipt",$C2564="Other Income",$C2564="Capital In",$C2564="Transfer In"),$G2564,0)),"")</f>
        <v/>
      </c>
      <c r="J2564" s="61" t="str">
        <f aca="false">IF(IsPro,IF(OR($C2564="",N($G2564)=0),"",IF(I2564=0,$G2564,0)),"")</f>
        <v/>
      </c>
      <c r="K2564" s="60" t="str">
        <f aca="false">IF(IsPro,IF($C2564="","",IF(AND(OR($C2564="Receipt",$C2564="Payment"),$D2564=""),"Party needed",IF(AND(OR($C2564="Expense",$C2564="Other Income"),$E2564=""),"Head needed",IF($F2564="","Account needed","OK")))),IF($C2564="","","PRO PLAN"))</f>
        <v/>
      </c>
    </row>
    <row r="2565" customFormat="false" ht="15" hidden="false" customHeight="false" outlineLevel="0" collapsed="false">
      <c r="A2565" s="55"/>
      <c r="B2565" s="56"/>
      <c r="C2565" s="56"/>
      <c r="D2565" s="56"/>
      <c r="E2565" s="56"/>
      <c r="F2565" s="56"/>
      <c r="G2565" s="58"/>
      <c r="H2565" s="56"/>
      <c r="I2565" s="61" t="str">
        <f aca="false">IF(IsPro,IF(OR($C2565="",N($G2565)=0),"",IF(OR($C2565="Receipt",$C2565="Other Income",$C2565="Capital In",$C2565="Transfer In"),$G2565,0)),"")</f>
        <v/>
      </c>
      <c r="J2565" s="61" t="str">
        <f aca="false">IF(IsPro,IF(OR($C2565="",N($G2565)=0),"",IF(I2565=0,$G2565,0)),"")</f>
        <v/>
      </c>
      <c r="K2565" s="60" t="str">
        <f aca="false">IF(IsPro,IF($C2565="","",IF(AND(OR($C2565="Receipt",$C2565="Payment"),$D2565=""),"Party needed",IF(AND(OR($C2565="Expense",$C2565="Other Income"),$E2565=""),"Head needed",IF($F2565="","Account needed","OK")))),IF($C2565="","","PRO PLAN"))</f>
        <v/>
      </c>
    </row>
    <row r="2566" customFormat="false" ht="15" hidden="false" customHeight="false" outlineLevel="0" collapsed="false">
      <c r="A2566" s="55"/>
      <c r="B2566" s="56"/>
      <c r="C2566" s="56"/>
      <c r="D2566" s="56"/>
      <c r="E2566" s="56"/>
      <c r="F2566" s="56"/>
      <c r="G2566" s="58"/>
      <c r="H2566" s="56"/>
      <c r="I2566" s="61" t="str">
        <f aca="false">IF(IsPro,IF(OR($C2566="",N($G2566)=0),"",IF(OR($C2566="Receipt",$C2566="Other Income",$C2566="Capital In",$C2566="Transfer In"),$G2566,0)),"")</f>
        <v/>
      </c>
      <c r="J2566" s="61" t="str">
        <f aca="false">IF(IsPro,IF(OR($C2566="",N($G2566)=0),"",IF(I2566=0,$G2566,0)),"")</f>
        <v/>
      </c>
      <c r="K2566" s="60" t="str">
        <f aca="false">IF(IsPro,IF($C2566="","",IF(AND(OR($C2566="Receipt",$C2566="Payment"),$D2566=""),"Party needed",IF(AND(OR($C2566="Expense",$C2566="Other Income"),$E2566=""),"Head needed",IF($F2566="","Account needed","OK")))),IF($C2566="","","PRO PLAN"))</f>
        <v/>
      </c>
    </row>
    <row r="2567" customFormat="false" ht="15" hidden="false" customHeight="false" outlineLevel="0" collapsed="false">
      <c r="A2567" s="55"/>
      <c r="B2567" s="56"/>
      <c r="C2567" s="56"/>
      <c r="D2567" s="56"/>
      <c r="E2567" s="56"/>
      <c r="F2567" s="56"/>
      <c r="G2567" s="58"/>
      <c r="H2567" s="56"/>
      <c r="I2567" s="61" t="str">
        <f aca="false">IF(IsPro,IF(OR($C2567="",N($G2567)=0),"",IF(OR($C2567="Receipt",$C2567="Other Income",$C2567="Capital In",$C2567="Transfer In"),$G2567,0)),"")</f>
        <v/>
      </c>
      <c r="J2567" s="61" t="str">
        <f aca="false">IF(IsPro,IF(OR($C2567="",N($G2567)=0),"",IF(I2567=0,$G2567,0)),"")</f>
        <v/>
      </c>
      <c r="K2567" s="60" t="str">
        <f aca="false">IF(IsPro,IF($C2567="","",IF(AND(OR($C2567="Receipt",$C2567="Payment"),$D2567=""),"Party needed",IF(AND(OR($C2567="Expense",$C2567="Other Income"),$E2567=""),"Head needed",IF($F2567="","Account needed","OK")))),IF($C2567="","","PRO PLAN"))</f>
        <v/>
      </c>
    </row>
    <row r="2568" customFormat="false" ht="15" hidden="false" customHeight="false" outlineLevel="0" collapsed="false">
      <c r="A2568" s="55"/>
      <c r="B2568" s="56"/>
      <c r="C2568" s="56"/>
      <c r="D2568" s="56"/>
      <c r="E2568" s="56"/>
      <c r="F2568" s="56"/>
      <c r="G2568" s="58"/>
      <c r="H2568" s="56"/>
      <c r="I2568" s="61" t="str">
        <f aca="false">IF(IsPro,IF(OR($C2568="",N($G2568)=0),"",IF(OR($C2568="Receipt",$C2568="Other Income",$C2568="Capital In",$C2568="Transfer In"),$G2568,0)),"")</f>
        <v/>
      </c>
      <c r="J2568" s="61" t="str">
        <f aca="false">IF(IsPro,IF(OR($C2568="",N($G2568)=0),"",IF(I2568=0,$G2568,0)),"")</f>
        <v/>
      </c>
      <c r="K2568" s="60" t="str">
        <f aca="false">IF(IsPro,IF($C2568="","",IF(AND(OR($C2568="Receipt",$C2568="Payment"),$D2568=""),"Party needed",IF(AND(OR($C2568="Expense",$C2568="Other Income"),$E2568=""),"Head needed",IF($F2568="","Account needed","OK")))),IF($C2568="","","PRO PLAN"))</f>
        <v/>
      </c>
    </row>
    <row r="2569" customFormat="false" ht="15" hidden="false" customHeight="false" outlineLevel="0" collapsed="false">
      <c r="A2569" s="55"/>
      <c r="B2569" s="56"/>
      <c r="C2569" s="56"/>
      <c r="D2569" s="56"/>
      <c r="E2569" s="56"/>
      <c r="F2569" s="56"/>
      <c r="G2569" s="58"/>
      <c r="H2569" s="56"/>
      <c r="I2569" s="61" t="str">
        <f aca="false">IF(IsPro,IF(OR($C2569="",N($G2569)=0),"",IF(OR($C2569="Receipt",$C2569="Other Income",$C2569="Capital In",$C2569="Transfer In"),$G2569,0)),"")</f>
        <v/>
      </c>
      <c r="J2569" s="61" t="str">
        <f aca="false">IF(IsPro,IF(OR($C2569="",N($G2569)=0),"",IF(I2569=0,$G2569,0)),"")</f>
        <v/>
      </c>
      <c r="K2569" s="60" t="str">
        <f aca="false">IF(IsPro,IF($C2569="","",IF(AND(OR($C2569="Receipt",$C2569="Payment"),$D2569=""),"Party needed",IF(AND(OR($C2569="Expense",$C2569="Other Income"),$E2569=""),"Head needed",IF($F2569="","Account needed","OK")))),IF($C2569="","","PRO PLAN"))</f>
        <v/>
      </c>
    </row>
    <row r="2570" customFormat="false" ht="15" hidden="false" customHeight="false" outlineLevel="0" collapsed="false">
      <c r="A2570" s="55"/>
      <c r="B2570" s="56"/>
      <c r="C2570" s="56"/>
      <c r="D2570" s="56"/>
      <c r="E2570" s="56"/>
      <c r="F2570" s="56"/>
      <c r="G2570" s="58"/>
      <c r="H2570" s="56"/>
      <c r="I2570" s="61" t="str">
        <f aca="false">IF(IsPro,IF(OR($C2570="",N($G2570)=0),"",IF(OR($C2570="Receipt",$C2570="Other Income",$C2570="Capital In",$C2570="Transfer In"),$G2570,0)),"")</f>
        <v/>
      </c>
      <c r="J2570" s="61" t="str">
        <f aca="false">IF(IsPro,IF(OR($C2570="",N($G2570)=0),"",IF(I2570=0,$G2570,0)),"")</f>
        <v/>
      </c>
      <c r="K2570" s="60" t="str">
        <f aca="false">IF(IsPro,IF($C2570="","",IF(AND(OR($C2570="Receipt",$C2570="Payment"),$D2570=""),"Party needed",IF(AND(OR($C2570="Expense",$C2570="Other Income"),$E2570=""),"Head needed",IF($F2570="","Account needed","OK")))),IF($C2570="","","PRO PLAN"))</f>
        <v/>
      </c>
    </row>
    <row r="2571" customFormat="false" ht="15" hidden="false" customHeight="false" outlineLevel="0" collapsed="false">
      <c r="A2571" s="55"/>
      <c r="B2571" s="56"/>
      <c r="C2571" s="56"/>
      <c r="D2571" s="56"/>
      <c r="E2571" s="56"/>
      <c r="F2571" s="56"/>
      <c r="G2571" s="58"/>
      <c r="H2571" s="56"/>
      <c r="I2571" s="61" t="str">
        <f aca="false">IF(IsPro,IF(OR($C2571="",N($G2571)=0),"",IF(OR($C2571="Receipt",$C2571="Other Income",$C2571="Capital In",$C2571="Transfer In"),$G2571,0)),"")</f>
        <v/>
      </c>
      <c r="J2571" s="61" t="str">
        <f aca="false">IF(IsPro,IF(OR($C2571="",N($G2571)=0),"",IF(I2571=0,$G2571,0)),"")</f>
        <v/>
      </c>
      <c r="K2571" s="60" t="str">
        <f aca="false">IF(IsPro,IF($C2571="","",IF(AND(OR($C2571="Receipt",$C2571="Payment"),$D2571=""),"Party needed",IF(AND(OR($C2571="Expense",$C2571="Other Income"),$E2571=""),"Head needed",IF($F2571="","Account needed","OK")))),IF($C2571="","","PRO PLAN"))</f>
        <v/>
      </c>
    </row>
    <row r="2572" customFormat="false" ht="15" hidden="false" customHeight="false" outlineLevel="0" collapsed="false">
      <c r="A2572" s="55"/>
      <c r="B2572" s="56"/>
      <c r="C2572" s="56"/>
      <c r="D2572" s="56"/>
      <c r="E2572" s="56"/>
      <c r="F2572" s="56"/>
      <c r="G2572" s="58"/>
      <c r="H2572" s="56"/>
      <c r="I2572" s="61" t="str">
        <f aca="false">IF(IsPro,IF(OR($C2572="",N($G2572)=0),"",IF(OR($C2572="Receipt",$C2572="Other Income",$C2572="Capital In",$C2572="Transfer In"),$G2572,0)),"")</f>
        <v/>
      </c>
      <c r="J2572" s="61" t="str">
        <f aca="false">IF(IsPro,IF(OR($C2572="",N($G2572)=0),"",IF(I2572=0,$G2572,0)),"")</f>
        <v/>
      </c>
      <c r="K2572" s="60" t="str">
        <f aca="false">IF(IsPro,IF($C2572="","",IF(AND(OR($C2572="Receipt",$C2572="Payment"),$D2572=""),"Party needed",IF(AND(OR($C2572="Expense",$C2572="Other Income"),$E2572=""),"Head needed",IF($F2572="","Account needed","OK")))),IF($C2572="","","PRO PLAN"))</f>
        <v/>
      </c>
    </row>
    <row r="2573" customFormat="false" ht="15" hidden="false" customHeight="false" outlineLevel="0" collapsed="false">
      <c r="A2573" s="55"/>
      <c r="B2573" s="56"/>
      <c r="C2573" s="56"/>
      <c r="D2573" s="56"/>
      <c r="E2573" s="56"/>
      <c r="F2573" s="56"/>
      <c r="G2573" s="58"/>
      <c r="H2573" s="56"/>
      <c r="I2573" s="61" t="str">
        <f aca="false">IF(IsPro,IF(OR($C2573="",N($G2573)=0),"",IF(OR($C2573="Receipt",$C2573="Other Income",$C2573="Capital In",$C2573="Transfer In"),$G2573,0)),"")</f>
        <v/>
      </c>
      <c r="J2573" s="61" t="str">
        <f aca="false">IF(IsPro,IF(OR($C2573="",N($G2573)=0),"",IF(I2573=0,$G2573,0)),"")</f>
        <v/>
      </c>
      <c r="K2573" s="60" t="str">
        <f aca="false">IF(IsPro,IF($C2573="","",IF(AND(OR($C2573="Receipt",$C2573="Payment"),$D2573=""),"Party needed",IF(AND(OR($C2573="Expense",$C2573="Other Income"),$E2573=""),"Head needed",IF($F2573="","Account needed","OK")))),IF($C2573="","","PRO PLAN"))</f>
        <v/>
      </c>
    </row>
    <row r="2574" customFormat="false" ht="15" hidden="false" customHeight="false" outlineLevel="0" collapsed="false">
      <c r="A2574" s="55"/>
      <c r="B2574" s="56"/>
      <c r="C2574" s="56"/>
      <c r="D2574" s="56"/>
      <c r="E2574" s="56"/>
      <c r="F2574" s="56"/>
      <c r="G2574" s="58"/>
      <c r="H2574" s="56"/>
      <c r="I2574" s="61" t="str">
        <f aca="false">IF(IsPro,IF(OR($C2574="",N($G2574)=0),"",IF(OR($C2574="Receipt",$C2574="Other Income",$C2574="Capital In",$C2574="Transfer In"),$G2574,0)),"")</f>
        <v/>
      </c>
      <c r="J2574" s="61" t="str">
        <f aca="false">IF(IsPro,IF(OR($C2574="",N($G2574)=0),"",IF(I2574=0,$G2574,0)),"")</f>
        <v/>
      </c>
      <c r="K2574" s="60" t="str">
        <f aca="false">IF(IsPro,IF($C2574="","",IF(AND(OR($C2574="Receipt",$C2574="Payment"),$D2574=""),"Party needed",IF(AND(OR($C2574="Expense",$C2574="Other Income"),$E2574=""),"Head needed",IF($F2574="","Account needed","OK")))),IF($C2574="","","PRO PLAN"))</f>
        <v/>
      </c>
    </row>
    <row r="2575" customFormat="false" ht="15" hidden="false" customHeight="false" outlineLevel="0" collapsed="false">
      <c r="A2575" s="55"/>
      <c r="B2575" s="56"/>
      <c r="C2575" s="56"/>
      <c r="D2575" s="56"/>
      <c r="E2575" s="56"/>
      <c r="F2575" s="56"/>
      <c r="G2575" s="58"/>
      <c r="H2575" s="56"/>
      <c r="I2575" s="61" t="str">
        <f aca="false">IF(IsPro,IF(OR($C2575="",N($G2575)=0),"",IF(OR($C2575="Receipt",$C2575="Other Income",$C2575="Capital In",$C2575="Transfer In"),$G2575,0)),"")</f>
        <v/>
      </c>
      <c r="J2575" s="61" t="str">
        <f aca="false">IF(IsPro,IF(OR($C2575="",N($G2575)=0),"",IF(I2575=0,$G2575,0)),"")</f>
        <v/>
      </c>
      <c r="K2575" s="60" t="str">
        <f aca="false">IF(IsPro,IF($C2575="","",IF(AND(OR($C2575="Receipt",$C2575="Payment"),$D2575=""),"Party needed",IF(AND(OR($C2575="Expense",$C2575="Other Income"),$E2575=""),"Head needed",IF($F2575="","Account needed","OK")))),IF($C2575="","","PRO PLAN"))</f>
        <v/>
      </c>
    </row>
    <row r="2576" customFormat="false" ht="15" hidden="false" customHeight="false" outlineLevel="0" collapsed="false">
      <c r="A2576" s="55"/>
      <c r="B2576" s="56"/>
      <c r="C2576" s="56"/>
      <c r="D2576" s="56"/>
      <c r="E2576" s="56"/>
      <c r="F2576" s="56"/>
      <c r="G2576" s="58"/>
      <c r="H2576" s="56"/>
      <c r="I2576" s="61" t="str">
        <f aca="false">IF(IsPro,IF(OR($C2576="",N($G2576)=0),"",IF(OR($C2576="Receipt",$C2576="Other Income",$C2576="Capital In",$C2576="Transfer In"),$G2576,0)),"")</f>
        <v/>
      </c>
      <c r="J2576" s="61" t="str">
        <f aca="false">IF(IsPro,IF(OR($C2576="",N($G2576)=0),"",IF(I2576=0,$G2576,0)),"")</f>
        <v/>
      </c>
      <c r="K2576" s="60" t="str">
        <f aca="false">IF(IsPro,IF($C2576="","",IF(AND(OR($C2576="Receipt",$C2576="Payment"),$D2576=""),"Party needed",IF(AND(OR($C2576="Expense",$C2576="Other Income"),$E2576=""),"Head needed",IF($F2576="","Account needed","OK")))),IF($C2576="","","PRO PLAN"))</f>
        <v/>
      </c>
    </row>
    <row r="2577" customFormat="false" ht="15" hidden="false" customHeight="false" outlineLevel="0" collapsed="false">
      <c r="A2577" s="55"/>
      <c r="B2577" s="56"/>
      <c r="C2577" s="56"/>
      <c r="D2577" s="56"/>
      <c r="E2577" s="56"/>
      <c r="F2577" s="56"/>
      <c r="G2577" s="58"/>
      <c r="H2577" s="56"/>
      <c r="I2577" s="61" t="str">
        <f aca="false">IF(IsPro,IF(OR($C2577="",N($G2577)=0),"",IF(OR($C2577="Receipt",$C2577="Other Income",$C2577="Capital In",$C2577="Transfer In"),$G2577,0)),"")</f>
        <v/>
      </c>
      <c r="J2577" s="61" t="str">
        <f aca="false">IF(IsPro,IF(OR($C2577="",N($G2577)=0),"",IF(I2577=0,$G2577,0)),"")</f>
        <v/>
      </c>
      <c r="K2577" s="60" t="str">
        <f aca="false">IF(IsPro,IF($C2577="","",IF(AND(OR($C2577="Receipt",$C2577="Payment"),$D2577=""),"Party needed",IF(AND(OR($C2577="Expense",$C2577="Other Income"),$E2577=""),"Head needed",IF($F2577="","Account needed","OK")))),IF($C2577="","","PRO PLAN"))</f>
        <v/>
      </c>
    </row>
    <row r="2578" customFormat="false" ht="15" hidden="false" customHeight="false" outlineLevel="0" collapsed="false">
      <c r="A2578" s="55"/>
      <c r="B2578" s="56"/>
      <c r="C2578" s="56"/>
      <c r="D2578" s="56"/>
      <c r="E2578" s="56"/>
      <c r="F2578" s="56"/>
      <c r="G2578" s="58"/>
      <c r="H2578" s="56"/>
      <c r="I2578" s="61" t="str">
        <f aca="false">IF(IsPro,IF(OR($C2578="",N($G2578)=0),"",IF(OR($C2578="Receipt",$C2578="Other Income",$C2578="Capital In",$C2578="Transfer In"),$G2578,0)),"")</f>
        <v/>
      </c>
      <c r="J2578" s="61" t="str">
        <f aca="false">IF(IsPro,IF(OR($C2578="",N($G2578)=0),"",IF(I2578=0,$G2578,0)),"")</f>
        <v/>
      </c>
      <c r="K2578" s="60" t="str">
        <f aca="false">IF(IsPro,IF($C2578="","",IF(AND(OR($C2578="Receipt",$C2578="Payment"),$D2578=""),"Party needed",IF(AND(OR($C2578="Expense",$C2578="Other Income"),$E2578=""),"Head needed",IF($F2578="","Account needed","OK")))),IF($C2578="","","PRO PLAN"))</f>
        <v/>
      </c>
    </row>
    <row r="2579" customFormat="false" ht="15" hidden="false" customHeight="false" outlineLevel="0" collapsed="false">
      <c r="A2579" s="55"/>
      <c r="B2579" s="56"/>
      <c r="C2579" s="56"/>
      <c r="D2579" s="56"/>
      <c r="E2579" s="56"/>
      <c r="F2579" s="56"/>
      <c r="G2579" s="58"/>
      <c r="H2579" s="56"/>
      <c r="I2579" s="61" t="str">
        <f aca="false">IF(IsPro,IF(OR($C2579="",N($G2579)=0),"",IF(OR($C2579="Receipt",$C2579="Other Income",$C2579="Capital In",$C2579="Transfer In"),$G2579,0)),"")</f>
        <v/>
      </c>
      <c r="J2579" s="61" t="str">
        <f aca="false">IF(IsPro,IF(OR($C2579="",N($G2579)=0),"",IF(I2579=0,$G2579,0)),"")</f>
        <v/>
      </c>
      <c r="K2579" s="60" t="str">
        <f aca="false">IF(IsPro,IF($C2579="","",IF(AND(OR($C2579="Receipt",$C2579="Payment"),$D2579=""),"Party needed",IF(AND(OR($C2579="Expense",$C2579="Other Income"),$E2579=""),"Head needed",IF($F2579="","Account needed","OK")))),IF($C2579="","","PRO PLAN"))</f>
        <v/>
      </c>
    </row>
    <row r="2580" customFormat="false" ht="15" hidden="false" customHeight="false" outlineLevel="0" collapsed="false">
      <c r="A2580" s="55"/>
      <c r="B2580" s="56"/>
      <c r="C2580" s="56"/>
      <c r="D2580" s="56"/>
      <c r="E2580" s="56"/>
      <c r="F2580" s="56"/>
      <c r="G2580" s="58"/>
      <c r="H2580" s="56"/>
      <c r="I2580" s="61" t="str">
        <f aca="false">IF(IsPro,IF(OR($C2580="",N($G2580)=0),"",IF(OR($C2580="Receipt",$C2580="Other Income",$C2580="Capital In",$C2580="Transfer In"),$G2580,0)),"")</f>
        <v/>
      </c>
      <c r="J2580" s="61" t="str">
        <f aca="false">IF(IsPro,IF(OR($C2580="",N($G2580)=0),"",IF(I2580=0,$G2580,0)),"")</f>
        <v/>
      </c>
      <c r="K2580" s="60" t="str">
        <f aca="false">IF(IsPro,IF($C2580="","",IF(AND(OR($C2580="Receipt",$C2580="Payment"),$D2580=""),"Party needed",IF(AND(OR($C2580="Expense",$C2580="Other Income"),$E2580=""),"Head needed",IF($F2580="","Account needed","OK")))),IF($C2580="","","PRO PLAN"))</f>
        <v/>
      </c>
    </row>
    <row r="2581" customFormat="false" ht="15" hidden="false" customHeight="false" outlineLevel="0" collapsed="false">
      <c r="A2581" s="55"/>
      <c r="B2581" s="56"/>
      <c r="C2581" s="56"/>
      <c r="D2581" s="56"/>
      <c r="E2581" s="56"/>
      <c r="F2581" s="56"/>
      <c r="G2581" s="58"/>
      <c r="H2581" s="56"/>
      <c r="I2581" s="61" t="str">
        <f aca="false">IF(IsPro,IF(OR($C2581="",N($G2581)=0),"",IF(OR($C2581="Receipt",$C2581="Other Income",$C2581="Capital In",$C2581="Transfer In"),$G2581,0)),"")</f>
        <v/>
      </c>
      <c r="J2581" s="61" t="str">
        <f aca="false">IF(IsPro,IF(OR($C2581="",N($G2581)=0),"",IF(I2581=0,$G2581,0)),"")</f>
        <v/>
      </c>
      <c r="K2581" s="60" t="str">
        <f aca="false">IF(IsPro,IF($C2581="","",IF(AND(OR($C2581="Receipt",$C2581="Payment"),$D2581=""),"Party needed",IF(AND(OR($C2581="Expense",$C2581="Other Income"),$E2581=""),"Head needed",IF($F2581="","Account needed","OK")))),IF($C2581="","","PRO PLAN"))</f>
        <v/>
      </c>
    </row>
    <row r="2582" customFormat="false" ht="15" hidden="false" customHeight="false" outlineLevel="0" collapsed="false">
      <c r="A2582" s="55"/>
      <c r="B2582" s="56"/>
      <c r="C2582" s="56"/>
      <c r="D2582" s="56"/>
      <c r="E2582" s="56"/>
      <c r="F2582" s="56"/>
      <c r="G2582" s="58"/>
      <c r="H2582" s="56"/>
      <c r="I2582" s="61" t="str">
        <f aca="false">IF(IsPro,IF(OR($C2582="",N($G2582)=0),"",IF(OR($C2582="Receipt",$C2582="Other Income",$C2582="Capital In",$C2582="Transfer In"),$G2582,0)),"")</f>
        <v/>
      </c>
      <c r="J2582" s="61" t="str">
        <f aca="false">IF(IsPro,IF(OR($C2582="",N($G2582)=0),"",IF(I2582=0,$G2582,0)),"")</f>
        <v/>
      </c>
      <c r="K2582" s="60" t="str">
        <f aca="false">IF(IsPro,IF($C2582="","",IF(AND(OR($C2582="Receipt",$C2582="Payment"),$D2582=""),"Party needed",IF(AND(OR($C2582="Expense",$C2582="Other Income"),$E2582=""),"Head needed",IF($F2582="","Account needed","OK")))),IF($C2582="","","PRO PLAN"))</f>
        <v/>
      </c>
    </row>
    <row r="2583" customFormat="false" ht="15" hidden="false" customHeight="false" outlineLevel="0" collapsed="false">
      <c r="A2583" s="55"/>
      <c r="B2583" s="56"/>
      <c r="C2583" s="56"/>
      <c r="D2583" s="56"/>
      <c r="E2583" s="56"/>
      <c r="F2583" s="56"/>
      <c r="G2583" s="58"/>
      <c r="H2583" s="56"/>
      <c r="I2583" s="61" t="str">
        <f aca="false">IF(IsPro,IF(OR($C2583="",N($G2583)=0),"",IF(OR($C2583="Receipt",$C2583="Other Income",$C2583="Capital In",$C2583="Transfer In"),$G2583,0)),"")</f>
        <v/>
      </c>
      <c r="J2583" s="61" t="str">
        <f aca="false">IF(IsPro,IF(OR($C2583="",N($G2583)=0),"",IF(I2583=0,$G2583,0)),"")</f>
        <v/>
      </c>
      <c r="K2583" s="60" t="str">
        <f aca="false">IF(IsPro,IF($C2583="","",IF(AND(OR($C2583="Receipt",$C2583="Payment"),$D2583=""),"Party needed",IF(AND(OR($C2583="Expense",$C2583="Other Income"),$E2583=""),"Head needed",IF($F2583="","Account needed","OK")))),IF($C2583="","","PRO PLAN"))</f>
        <v/>
      </c>
    </row>
    <row r="2584" customFormat="false" ht="15" hidden="false" customHeight="false" outlineLevel="0" collapsed="false">
      <c r="A2584" s="55"/>
      <c r="B2584" s="56"/>
      <c r="C2584" s="56"/>
      <c r="D2584" s="56"/>
      <c r="E2584" s="56"/>
      <c r="F2584" s="56"/>
      <c r="G2584" s="58"/>
      <c r="H2584" s="56"/>
      <c r="I2584" s="61" t="str">
        <f aca="false">IF(IsPro,IF(OR($C2584="",N($G2584)=0),"",IF(OR($C2584="Receipt",$C2584="Other Income",$C2584="Capital In",$C2584="Transfer In"),$G2584,0)),"")</f>
        <v/>
      </c>
      <c r="J2584" s="61" t="str">
        <f aca="false">IF(IsPro,IF(OR($C2584="",N($G2584)=0),"",IF(I2584=0,$G2584,0)),"")</f>
        <v/>
      </c>
      <c r="K2584" s="60" t="str">
        <f aca="false">IF(IsPro,IF($C2584="","",IF(AND(OR($C2584="Receipt",$C2584="Payment"),$D2584=""),"Party needed",IF(AND(OR($C2584="Expense",$C2584="Other Income"),$E2584=""),"Head needed",IF($F2584="","Account needed","OK")))),IF($C2584="","","PRO PLAN"))</f>
        <v/>
      </c>
    </row>
    <row r="2585" customFormat="false" ht="15" hidden="false" customHeight="false" outlineLevel="0" collapsed="false">
      <c r="A2585" s="55"/>
      <c r="B2585" s="56"/>
      <c r="C2585" s="56"/>
      <c r="D2585" s="56"/>
      <c r="E2585" s="56"/>
      <c r="F2585" s="56"/>
      <c r="G2585" s="58"/>
      <c r="H2585" s="56"/>
      <c r="I2585" s="61" t="str">
        <f aca="false">IF(IsPro,IF(OR($C2585="",N($G2585)=0),"",IF(OR($C2585="Receipt",$C2585="Other Income",$C2585="Capital In",$C2585="Transfer In"),$G2585,0)),"")</f>
        <v/>
      </c>
      <c r="J2585" s="61" t="str">
        <f aca="false">IF(IsPro,IF(OR($C2585="",N($G2585)=0),"",IF(I2585=0,$G2585,0)),"")</f>
        <v/>
      </c>
      <c r="K2585" s="60" t="str">
        <f aca="false">IF(IsPro,IF($C2585="","",IF(AND(OR($C2585="Receipt",$C2585="Payment"),$D2585=""),"Party needed",IF(AND(OR($C2585="Expense",$C2585="Other Income"),$E2585=""),"Head needed",IF($F2585="","Account needed","OK")))),IF($C2585="","","PRO PLAN"))</f>
        <v/>
      </c>
    </row>
    <row r="2586" customFormat="false" ht="15" hidden="false" customHeight="false" outlineLevel="0" collapsed="false">
      <c r="A2586" s="55"/>
      <c r="B2586" s="56"/>
      <c r="C2586" s="56"/>
      <c r="D2586" s="56"/>
      <c r="E2586" s="56"/>
      <c r="F2586" s="56"/>
      <c r="G2586" s="58"/>
      <c r="H2586" s="56"/>
      <c r="I2586" s="61" t="str">
        <f aca="false">IF(IsPro,IF(OR($C2586="",N($G2586)=0),"",IF(OR($C2586="Receipt",$C2586="Other Income",$C2586="Capital In",$C2586="Transfer In"),$G2586,0)),"")</f>
        <v/>
      </c>
      <c r="J2586" s="61" t="str">
        <f aca="false">IF(IsPro,IF(OR($C2586="",N($G2586)=0),"",IF(I2586=0,$G2586,0)),"")</f>
        <v/>
      </c>
      <c r="K2586" s="60" t="str">
        <f aca="false">IF(IsPro,IF($C2586="","",IF(AND(OR($C2586="Receipt",$C2586="Payment"),$D2586=""),"Party needed",IF(AND(OR($C2586="Expense",$C2586="Other Income"),$E2586=""),"Head needed",IF($F2586="","Account needed","OK")))),IF($C2586="","","PRO PLAN"))</f>
        <v/>
      </c>
    </row>
    <row r="2587" customFormat="false" ht="15" hidden="false" customHeight="false" outlineLevel="0" collapsed="false">
      <c r="A2587" s="55"/>
      <c r="B2587" s="56"/>
      <c r="C2587" s="56"/>
      <c r="D2587" s="56"/>
      <c r="E2587" s="56"/>
      <c r="F2587" s="56"/>
      <c r="G2587" s="58"/>
      <c r="H2587" s="56"/>
      <c r="I2587" s="61" t="str">
        <f aca="false">IF(IsPro,IF(OR($C2587="",N($G2587)=0),"",IF(OR($C2587="Receipt",$C2587="Other Income",$C2587="Capital In",$C2587="Transfer In"),$G2587,0)),"")</f>
        <v/>
      </c>
      <c r="J2587" s="61" t="str">
        <f aca="false">IF(IsPro,IF(OR($C2587="",N($G2587)=0),"",IF(I2587=0,$G2587,0)),"")</f>
        <v/>
      </c>
      <c r="K2587" s="60" t="str">
        <f aca="false">IF(IsPro,IF($C2587="","",IF(AND(OR($C2587="Receipt",$C2587="Payment"),$D2587=""),"Party needed",IF(AND(OR($C2587="Expense",$C2587="Other Income"),$E2587=""),"Head needed",IF($F2587="","Account needed","OK")))),IF($C2587="","","PRO PLAN"))</f>
        <v/>
      </c>
    </row>
    <row r="2588" customFormat="false" ht="15" hidden="false" customHeight="false" outlineLevel="0" collapsed="false">
      <c r="A2588" s="55"/>
      <c r="B2588" s="56"/>
      <c r="C2588" s="56"/>
      <c r="D2588" s="56"/>
      <c r="E2588" s="56"/>
      <c r="F2588" s="56"/>
      <c r="G2588" s="58"/>
      <c r="H2588" s="56"/>
      <c r="I2588" s="61" t="str">
        <f aca="false">IF(IsPro,IF(OR($C2588="",N($G2588)=0),"",IF(OR($C2588="Receipt",$C2588="Other Income",$C2588="Capital In",$C2588="Transfer In"),$G2588,0)),"")</f>
        <v/>
      </c>
      <c r="J2588" s="61" t="str">
        <f aca="false">IF(IsPro,IF(OR($C2588="",N($G2588)=0),"",IF(I2588=0,$G2588,0)),"")</f>
        <v/>
      </c>
      <c r="K2588" s="60" t="str">
        <f aca="false">IF(IsPro,IF($C2588="","",IF(AND(OR($C2588="Receipt",$C2588="Payment"),$D2588=""),"Party needed",IF(AND(OR($C2588="Expense",$C2588="Other Income"),$E2588=""),"Head needed",IF($F2588="","Account needed","OK")))),IF($C2588="","","PRO PLAN"))</f>
        <v/>
      </c>
    </row>
    <row r="2589" customFormat="false" ht="15" hidden="false" customHeight="false" outlineLevel="0" collapsed="false">
      <c r="A2589" s="55"/>
      <c r="B2589" s="56"/>
      <c r="C2589" s="56"/>
      <c r="D2589" s="56"/>
      <c r="E2589" s="56"/>
      <c r="F2589" s="56"/>
      <c r="G2589" s="58"/>
      <c r="H2589" s="56"/>
      <c r="I2589" s="61" t="str">
        <f aca="false">IF(IsPro,IF(OR($C2589="",N($G2589)=0),"",IF(OR($C2589="Receipt",$C2589="Other Income",$C2589="Capital In",$C2589="Transfer In"),$G2589,0)),"")</f>
        <v/>
      </c>
      <c r="J2589" s="61" t="str">
        <f aca="false">IF(IsPro,IF(OR($C2589="",N($G2589)=0),"",IF(I2589=0,$G2589,0)),"")</f>
        <v/>
      </c>
      <c r="K2589" s="60" t="str">
        <f aca="false">IF(IsPro,IF($C2589="","",IF(AND(OR($C2589="Receipt",$C2589="Payment"),$D2589=""),"Party needed",IF(AND(OR($C2589="Expense",$C2589="Other Income"),$E2589=""),"Head needed",IF($F2589="","Account needed","OK")))),IF($C2589="","","PRO PLAN"))</f>
        <v/>
      </c>
    </row>
    <row r="2590" customFormat="false" ht="15" hidden="false" customHeight="false" outlineLevel="0" collapsed="false">
      <c r="A2590" s="55"/>
      <c r="B2590" s="56"/>
      <c r="C2590" s="56"/>
      <c r="D2590" s="56"/>
      <c r="E2590" s="56"/>
      <c r="F2590" s="56"/>
      <c r="G2590" s="58"/>
      <c r="H2590" s="56"/>
      <c r="I2590" s="61" t="str">
        <f aca="false">IF(IsPro,IF(OR($C2590="",N($G2590)=0),"",IF(OR($C2590="Receipt",$C2590="Other Income",$C2590="Capital In",$C2590="Transfer In"),$G2590,0)),"")</f>
        <v/>
      </c>
      <c r="J2590" s="61" t="str">
        <f aca="false">IF(IsPro,IF(OR($C2590="",N($G2590)=0),"",IF(I2590=0,$G2590,0)),"")</f>
        <v/>
      </c>
      <c r="K2590" s="60" t="str">
        <f aca="false">IF(IsPro,IF($C2590="","",IF(AND(OR($C2590="Receipt",$C2590="Payment"),$D2590=""),"Party needed",IF(AND(OR($C2590="Expense",$C2590="Other Income"),$E2590=""),"Head needed",IF($F2590="","Account needed","OK")))),IF($C2590="","","PRO PLAN"))</f>
        <v/>
      </c>
    </row>
    <row r="2591" customFormat="false" ht="15" hidden="false" customHeight="false" outlineLevel="0" collapsed="false">
      <c r="A2591" s="55"/>
      <c r="B2591" s="56"/>
      <c r="C2591" s="56"/>
      <c r="D2591" s="56"/>
      <c r="E2591" s="56"/>
      <c r="F2591" s="56"/>
      <c r="G2591" s="58"/>
      <c r="H2591" s="56"/>
      <c r="I2591" s="61" t="str">
        <f aca="false">IF(IsPro,IF(OR($C2591="",N($G2591)=0),"",IF(OR($C2591="Receipt",$C2591="Other Income",$C2591="Capital In",$C2591="Transfer In"),$G2591,0)),"")</f>
        <v/>
      </c>
      <c r="J2591" s="61" t="str">
        <f aca="false">IF(IsPro,IF(OR($C2591="",N($G2591)=0),"",IF(I2591=0,$G2591,0)),"")</f>
        <v/>
      </c>
      <c r="K2591" s="60" t="str">
        <f aca="false">IF(IsPro,IF($C2591="","",IF(AND(OR($C2591="Receipt",$C2591="Payment"),$D2591=""),"Party needed",IF(AND(OR($C2591="Expense",$C2591="Other Income"),$E2591=""),"Head needed",IF($F2591="","Account needed","OK")))),IF($C2591="","","PRO PLAN"))</f>
        <v/>
      </c>
    </row>
    <row r="2592" customFormat="false" ht="15" hidden="false" customHeight="false" outlineLevel="0" collapsed="false">
      <c r="A2592" s="55"/>
      <c r="B2592" s="56"/>
      <c r="C2592" s="56"/>
      <c r="D2592" s="56"/>
      <c r="E2592" s="56"/>
      <c r="F2592" s="56"/>
      <c r="G2592" s="58"/>
      <c r="H2592" s="56"/>
      <c r="I2592" s="61" t="str">
        <f aca="false">IF(IsPro,IF(OR($C2592="",N($G2592)=0),"",IF(OR($C2592="Receipt",$C2592="Other Income",$C2592="Capital In",$C2592="Transfer In"),$G2592,0)),"")</f>
        <v/>
      </c>
      <c r="J2592" s="61" t="str">
        <f aca="false">IF(IsPro,IF(OR($C2592="",N($G2592)=0),"",IF(I2592=0,$G2592,0)),"")</f>
        <v/>
      </c>
      <c r="K2592" s="60" t="str">
        <f aca="false">IF(IsPro,IF($C2592="","",IF(AND(OR($C2592="Receipt",$C2592="Payment"),$D2592=""),"Party needed",IF(AND(OR($C2592="Expense",$C2592="Other Income"),$E2592=""),"Head needed",IF($F2592="","Account needed","OK")))),IF($C2592="","","PRO PLAN"))</f>
        <v/>
      </c>
    </row>
    <row r="2593" customFormat="false" ht="15" hidden="false" customHeight="false" outlineLevel="0" collapsed="false">
      <c r="A2593" s="55"/>
      <c r="B2593" s="56"/>
      <c r="C2593" s="56"/>
      <c r="D2593" s="56"/>
      <c r="E2593" s="56"/>
      <c r="F2593" s="56"/>
      <c r="G2593" s="58"/>
      <c r="H2593" s="56"/>
      <c r="I2593" s="61" t="str">
        <f aca="false">IF(IsPro,IF(OR($C2593="",N($G2593)=0),"",IF(OR($C2593="Receipt",$C2593="Other Income",$C2593="Capital In",$C2593="Transfer In"),$G2593,0)),"")</f>
        <v/>
      </c>
      <c r="J2593" s="61" t="str">
        <f aca="false">IF(IsPro,IF(OR($C2593="",N($G2593)=0),"",IF(I2593=0,$G2593,0)),"")</f>
        <v/>
      </c>
      <c r="K2593" s="60" t="str">
        <f aca="false">IF(IsPro,IF($C2593="","",IF(AND(OR($C2593="Receipt",$C2593="Payment"),$D2593=""),"Party needed",IF(AND(OR($C2593="Expense",$C2593="Other Income"),$E2593=""),"Head needed",IF($F2593="","Account needed","OK")))),IF($C2593="","","PRO PLAN"))</f>
        <v/>
      </c>
    </row>
    <row r="2594" customFormat="false" ht="15" hidden="false" customHeight="false" outlineLevel="0" collapsed="false">
      <c r="A2594" s="55"/>
      <c r="B2594" s="56"/>
      <c r="C2594" s="56"/>
      <c r="D2594" s="56"/>
      <c r="E2594" s="56"/>
      <c r="F2594" s="56"/>
      <c r="G2594" s="58"/>
      <c r="H2594" s="56"/>
      <c r="I2594" s="61" t="str">
        <f aca="false">IF(IsPro,IF(OR($C2594="",N($G2594)=0),"",IF(OR($C2594="Receipt",$C2594="Other Income",$C2594="Capital In",$C2594="Transfer In"),$G2594,0)),"")</f>
        <v/>
      </c>
      <c r="J2594" s="61" t="str">
        <f aca="false">IF(IsPro,IF(OR($C2594="",N($G2594)=0),"",IF(I2594=0,$G2594,0)),"")</f>
        <v/>
      </c>
      <c r="K2594" s="60" t="str">
        <f aca="false">IF(IsPro,IF($C2594="","",IF(AND(OR($C2594="Receipt",$C2594="Payment"),$D2594=""),"Party needed",IF(AND(OR($C2594="Expense",$C2594="Other Income"),$E2594=""),"Head needed",IF($F2594="","Account needed","OK")))),IF($C2594="","","PRO PLAN"))</f>
        <v/>
      </c>
    </row>
    <row r="2595" customFormat="false" ht="15" hidden="false" customHeight="false" outlineLevel="0" collapsed="false">
      <c r="A2595" s="55"/>
      <c r="B2595" s="56"/>
      <c r="C2595" s="56"/>
      <c r="D2595" s="56"/>
      <c r="E2595" s="56"/>
      <c r="F2595" s="56"/>
      <c r="G2595" s="58"/>
      <c r="H2595" s="56"/>
      <c r="I2595" s="61" t="str">
        <f aca="false">IF(IsPro,IF(OR($C2595="",N($G2595)=0),"",IF(OR($C2595="Receipt",$C2595="Other Income",$C2595="Capital In",$C2595="Transfer In"),$G2595,0)),"")</f>
        <v/>
      </c>
      <c r="J2595" s="61" t="str">
        <f aca="false">IF(IsPro,IF(OR($C2595="",N($G2595)=0),"",IF(I2595=0,$G2595,0)),"")</f>
        <v/>
      </c>
      <c r="K2595" s="60" t="str">
        <f aca="false">IF(IsPro,IF($C2595="","",IF(AND(OR($C2595="Receipt",$C2595="Payment"),$D2595=""),"Party needed",IF(AND(OR($C2595="Expense",$C2595="Other Income"),$E2595=""),"Head needed",IF($F2595="","Account needed","OK")))),IF($C2595="","","PRO PLAN"))</f>
        <v/>
      </c>
    </row>
    <row r="2596" customFormat="false" ht="15" hidden="false" customHeight="false" outlineLevel="0" collapsed="false">
      <c r="A2596" s="55"/>
      <c r="B2596" s="56"/>
      <c r="C2596" s="56"/>
      <c r="D2596" s="56"/>
      <c r="E2596" s="56"/>
      <c r="F2596" s="56"/>
      <c r="G2596" s="58"/>
      <c r="H2596" s="56"/>
      <c r="I2596" s="61" t="str">
        <f aca="false">IF(IsPro,IF(OR($C2596="",N($G2596)=0),"",IF(OR($C2596="Receipt",$C2596="Other Income",$C2596="Capital In",$C2596="Transfer In"),$G2596,0)),"")</f>
        <v/>
      </c>
      <c r="J2596" s="61" t="str">
        <f aca="false">IF(IsPro,IF(OR($C2596="",N($G2596)=0),"",IF(I2596=0,$G2596,0)),"")</f>
        <v/>
      </c>
      <c r="K2596" s="60" t="str">
        <f aca="false">IF(IsPro,IF($C2596="","",IF(AND(OR($C2596="Receipt",$C2596="Payment"),$D2596=""),"Party needed",IF(AND(OR($C2596="Expense",$C2596="Other Income"),$E2596=""),"Head needed",IF($F2596="","Account needed","OK")))),IF($C2596="","","PRO PLAN"))</f>
        <v/>
      </c>
    </row>
    <row r="2597" customFormat="false" ht="15" hidden="false" customHeight="false" outlineLevel="0" collapsed="false">
      <c r="A2597" s="55"/>
      <c r="B2597" s="56"/>
      <c r="C2597" s="56"/>
      <c r="D2597" s="56"/>
      <c r="E2597" s="56"/>
      <c r="F2597" s="56"/>
      <c r="G2597" s="58"/>
      <c r="H2597" s="56"/>
      <c r="I2597" s="61" t="str">
        <f aca="false">IF(IsPro,IF(OR($C2597="",N($G2597)=0),"",IF(OR($C2597="Receipt",$C2597="Other Income",$C2597="Capital In",$C2597="Transfer In"),$G2597,0)),"")</f>
        <v/>
      </c>
      <c r="J2597" s="61" t="str">
        <f aca="false">IF(IsPro,IF(OR($C2597="",N($G2597)=0),"",IF(I2597=0,$G2597,0)),"")</f>
        <v/>
      </c>
      <c r="K2597" s="60" t="str">
        <f aca="false">IF(IsPro,IF($C2597="","",IF(AND(OR($C2597="Receipt",$C2597="Payment"),$D2597=""),"Party needed",IF(AND(OR($C2597="Expense",$C2597="Other Income"),$E2597=""),"Head needed",IF($F2597="","Account needed","OK")))),IF($C2597="","","PRO PLAN"))</f>
        <v/>
      </c>
    </row>
    <row r="2598" customFormat="false" ht="15" hidden="false" customHeight="false" outlineLevel="0" collapsed="false">
      <c r="A2598" s="55"/>
      <c r="B2598" s="56"/>
      <c r="C2598" s="56"/>
      <c r="D2598" s="56"/>
      <c r="E2598" s="56"/>
      <c r="F2598" s="56"/>
      <c r="G2598" s="58"/>
      <c r="H2598" s="56"/>
      <c r="I2598" s="61" t="str">
        <f aca="false">IF(IsPro,IF(OR($C2598="",N($G2598)=0),"",IF(OR($C2598="Receipt",$C2598="Other Income",$C2598="Capital In",$C2598="Transfer In"),$G2598,0)),"")</f>
        <v/>
      </c>
      <c r="J2598" s="61" t="str">
        <f aca="false">IF(IsPro,IF(OR($C2598="",N($G2598)=0),"",IF(I2598=0,$G2598,0)),"")</f>
        <v/>
      </c>
      <c r="K2598" s="60" t="str">
        <f aca="false">IF(IsPro,IF($C2598="","",IF(AND(OR($C2598="Receipt",$C2598="Payment"),$D2598=""),"Party needed",IF(AND(OR($C2598="Expense",$C2598="Other Income"),$E2598=""),"Head needed",IF($F2598="","Account needed","OK")))),IF($C2598="","","PRO PLAN"))</f>
        <v/>
      </c>
    </row>
    <row r="2599" customFormat="false" ht="15" hidden="false" customHeight="false" outlineLevel="0" collapsed="false">
      <c r="A2599" s="55"/>
      <c r="B2599" s="56"/>
      <c r="C2599" s="56"/>
      <c r="D2599" s="56"/>
      <c r="E2599" s="56"/>
      <c r="F2599" s="56"/>
      <c r="G2599" s="58"/>
      <c r="H2599" s="56"/>
      <c r="I2599" s="61" t="str">
        <f aca="false">IF(IsPro,IF(OR($C2599="",N($G2599)=0),"",IF(OR($C2599="Receipt",$C2599="Other Income",$C2599="Capital In",$C2599="Transfer In"),$G2599,0)),"")</f>
        <v/>
      </c>
      <c r="J2599" s="61" t="str">
        <f aca="false">IF(IsPro,IF(OR($C2599="",N($G2599)=0),"",IF(I2599=0,$G2599,0)),"")</f>
        <v/>
      </c>
      <c r="K2599" s="60" t="str">
        <f aca="false">IF(IsPro,IF($C2599="","",IF(AND(OR($C2599="Receipt",$C2599="Payment"),$D2599=""),"Party needed",IF(AND(OR($C2599="Expense",$C2599="Other Income"),$E2599=""),"Head needed",IF($F2599="","Account needed","OK")))),IF($C2599="","","PRO PLAN"))</f>
        <v/>
      </c>
    </row>
    <row r="2600" customFormat="false" ht="15" hidden="false" customHeight="false" outlineLevel="0" collapsed="false">
      <c r="A2600" s="55"/>
      <c r="B2600" s="56"/>
      <c r="C2600" s="56"/>
      <c r="D2600" s="56"/>
      <c r="E2600" s="56"/>
      <c r="F2600" s="56"/>
      <c r="G2600" s="58"/>
      <c r="H2600" s="56"/>
      <c r="I2600" s="61" t="str">
        <f aca="false">IF(IsPro,IF(OR($C2600="",N($G2600)=0),"",IF(OR($C2600="Receipt",$C2600="Other Income",$C2600="Capital In",$C2600="Transfer In"),$G2600,0)),"")</f>
        <v/>
      </c>
      <c r="J2600" s="61" t="str">
        <f aca="false">IF(IsPro,IF(OR($C2600="",N($G2600)=0),"",IF(I2600=0,$G2600,0)),"")</f>
        <v/>
      </c>
      <c r="K2600" s="60" t="str">
        <f aca="false">IF(IsPro,IF($C2600="","",IF(AND(OR($C2600="Receipt",$C2600="Payment"),$D2600=""),"Party needed",IF(AND(OR($C2600="Expense",$C2600="Other Income"),$E2600=""),"Head needed",IF($F2600="","Account needed","OK")))),IF($C2600="","","PRO PLAN"))</f>
        <v/>
      </c>
    </row>
    <row r="2601" customFormat="false" ht="15" hidden="false" customHeight="false" outlineLevel="0" collapsed="false">
      <c r="A2601" s="55"/>
      <c r="B2601" s="56"/>
      <c r="C2601" s="56"/>
      <c r="D2601" s="56"/>
      <c r="E2601" s="56"/>
      <c r="F2601" s="56"/>
      <c r="G2601" s="58"/>
      <c r="H2601" s="56"/>
      <c r="I2601" s="61" t="str">
        <f aca="false">IF(IsPro,IF(OR($C2601="",N($G2601)=0),"",IF(OR($C2601="Receipt",$C2601="Other Income",$C2601="Capital In",$C2601="Transfer In"),$G2601,0)),"")</f>
        <v/>
      </c>
      <c r="J2601" s="61" t="str">
        <f aca="false">IF(IsPro,IF(OR($C2601="",N($G2601)=0),"",IF(I2601=0,$G2601,0)),"")</f>
        <v/>
      </c>
      <c r="K2601" s="60" t="str">
        <f aca="false">IF(IsPro,IF($C2601="","",IF(AND(OR($C2601="Receipt",$C2601="Payment"),$D2601=""),"Party needed",IF(AND(OR($C2601="Expense",$C2601="Other Income"),$E2601=""),"Head needed",IF($F2601="","Account needed","OK")))),IF($C2601="","","PRO PLAN"))</f>
        <v/>
      </c>
    </row>
    <row r="2602" customFormat="false" ht="15" hidden="false" customHeight="false" outlineLevel="0" collapsed="false">
      <c r="A2602" s="55"/>
      <c r="B2602" s="56"/>
      <c r="C2602" s="56"/>
      <c r="D2602" s="56"/>
      <c r="E2602" s="56"/>
      <c r="F2602" s="56"/>
      <c r="G2602" s="58"/>
      <c r="H2602" s="56"/>
      <c r="I2602" s="61" t="str">
        <f aca="false">IF(IsPro,IF(OR($C2602="",N($G2602)=0),"",IF(OR($C2602="Receipt",$C2602="Other Income",$C2602="Capital In",$C2602="Transfer In"),$G2602,0)),"")</f>
        <v/>
      </c>
      <c r="J2602" s="61" t="str">
        <f aca="false">IF(IsPro,IF(OR($C2602="",N($G2602)=0),"",IF(I2602=0,$G2602,0)),"")</f>
        <v/>
      </c>
      <c r="K2602" s="60" t="str">
        <f aca="false">IF(IsPro,IF($C2602="","",IF(AND(OR($C2602="Receipt",$C2602="Payment"),$D2602=""),"Party needed",IF(AND(OR($C2602="Expense",$C2602="Other Income"),$E2602=""),"Head needed",IF($F2602="","Account needed","OK")))),IF($C2602="","","PRO PLAN"))</f>
        <v/>
      </c>
    </row>
    <row r="2603" customFormat="false" ht="15" hidden="false" customHeight="false" outlineLevel="0" collapsed="false">
      <c r="A2603" s="55"/>
      <c r="B2603" s="56"/>
      <c r="C2603" s="56"/>
      <c r="D2603" s="56"/>
      <c r="E2603" s="56"/>
      <c r="F2603" s="56"/>
      <c r="G2603" s="58"/>
      <c r="H2603" s="56"/>
      <c r="I2603" s="61" t="str">
        <f aca="false">IF(IsPro,IF(OR($C2603="",N($G2603)=0),"",IF(OR($C2603="Receipt",$C2603="Other Income",$C2603="Capital In",$C2603="Transfer In"),$G2603,0)),"")</f>
        <v/>
      </c>
      <c r="J2603" s="61" t="str">
        <f aca="false">IF(IsPro,IF(OR($C2603="",N($G2603)=0),"",IF(I2603=0,$G2603,0)),"")</f>
        <v/>
      </c>
      <c r="K2603" s="60" t="str">
        <f aca="false">IF(IsPro,IF($C2603="","",IF(AND(OR($C2603="Receipt",$C2603="Payment"),$D2603=""),"Party needed",IF(AND(OR($C2603="Expense",$C2603="Other Income"),$E2603=""),"Head needed",IF($F2603="","Account needed","OK")))),IF($C2603="","","PRO PLAN"))</f>
        <v/>
      </c>
    </row>
    <row r="2604" customFormat="false" ht="15" hidden="false" customHeight="false" outlineLevel="0" collapsed="false">
      <c r="A2604" s="55"/>
      <c r="B2604" s="56"/>
      <c r="C2604" s="56"/>
      <c r="D2604" s="56"/>
      <c r="E2604" s="56"/>
      <c r="F2604" s="56"/>
      <c r="G2604" s="58"/>
      <c r="H2604" s="56"/>
      <c r="I2604" s="61" t="str">
        <f aca="false">IF(IsPro,IF(OR($C2604="",N($G2604)=0),"",IF(OR($C2604="Receipt",$C2604="Other Income",$C2604="Capital In",$C2604="Transfer In"),$G2604,0)),"")</f>
        <v/>
      </c>
      <c r="J2604" s="61" t="str">
        <f aca="false">IF(IsPro,IF(OR($C2604="",N($G2604)=0),"",IF(I2604=0,$G2604,0)),"")</f>
        <v/>
      </c>
      <c r="K2604" s="60" t="str">
        <f aca="false">IF(IsPro,IF($C2604="","",IF(AND(OR($C2604="Receipt",$C2604="Payment"),$D2604=""),"Party needed",IF(AND(OR($C2604="Expense",$C2604="Other Income"),$E2604=""),"Head needed",IF($F2604="","Account needed","OK")))),IF($C2604="","","PRO PLAN"))</f>
        <v/>
      </c>
    </row>
    <row r="2605" customFormat="false" ht="15" hidden="false" customHeight="false" outlineLevel="0" collapsed="false">
      <c r="A2605" s="55"/>
      <c r="B2605" s="56"/>
      <c r="C2605" s="56"/>
      <c r="D2605" s="56"/>
      <c r="E2605" s="56"/>
      <c r="F2605" s="56"/>
      <c r="G2605" s="58"/>
      <c r="H2605" s="56"/>
      <c r="I2605" s="61" t="str">
        <f aca="false">IF(IsPro,IF(OR($C2605="",N($G2605)=0),"",IF(OR($C2605="Receipt",$C2605="Other Income",$C2605="Capital In",$C2605="Transfer In"),$G2605,0)),"")</f>
        <v/>
      </c>
      <c r="J2605" s="61" t="str">
        <f aca="false">IF(IsPro,IF(OR($C2605="",N($G2605)=0),"",IF(I2605=0,$G2605,0)),"")</f>
        <v/>
      </c>
      <c r="K2605" s="60" t="str">
        <f aca="false">IF(IsPro,IF($C2605="","",IF(AND(OR($C2605="Receipt",$C2605="Payment"),$D2605=""),"Party needed",IF(AND(OR($C2605="Expense",$C2605="Other Income"),$E2605=""),"Head needed",IF($F2605="","Account needed","OK")))),IF($C2605="","","PRO PLAN"))</f>
        <v/>
      </c>
    </row>
    <row r="2606" customFormat="false" ht="15" hidden="false" customHeight="false" outlineLevel="0" collapsed="false">
      <c r="A2606" s="55"/>
      <c r="B2606" s="56"/>
      <c r="C2606" s="56"/>
      <c r="D2606" s="56"/>
      <c r="E2606" s="56"/>
      <c r="F2606" s="56"/>
      <c r="G2606" s="58"/>
      <c r="H2606" s="56"/>
      <c r="I2606" s="61" t="str">
        <f aca="false">IF(IsPro,IF(OR($C2606="",N($G2606)=0),"",IF(OR($C2606="Receipt",$C2606="Other Income",$C2606="Capital In",$C2606="Transfer In"),$G2606,0)),"")</f>
        <v/>
      </c>
      <c r="J2606" s="61" t="str">
        <f aca="false">IF(IsPro,IF(OR($C2606="",N($G2606)=0),"",IF(I2606=0,$G2606,0)),"")</f>
        <v/>
      </c>
      <c r="K2606" s="60" t="str">
        <f aca="false">IF(IsPro,IF($C2606="","",IF(AND(OR($C2606="Receipt",$C2606="Payment"),$D2606=""),"Party needed",IF(AND(OR($C2606="Expense",$C2606="Other Income"),$E2606=""),"Head needed",IF($F2606="","Account needed","OK")))),IF($C2606="","","PRO PLAN"))</f>
        <v/>
      </c>
    </row>
    <row r="2607" customFormat="false" ht="15" hidden="false" customHeight="false" outlineLevel="0" collapsed="false">
      <c r="A2607" s="55"/>
      <c r="B2607" s="56"/>
      <c r="C2607" s="56"/>
      <c r="D2607" s="56"/>
      <c r="E2607" s="56"/>
      <c r="F2607" s="56"/>
      <c r="G2607" s="58"/>
      <c r="H2607" s="56"/>
      <c r="I2607" s="61" t="str">
        <f aca="false">IF(IsPro,IF(OR($C2607="",N($G2607)=0),"",IF(OR($C2607="Receipt",$C2607="Other Income",$C2607="Capital In",$C2607="Transfer In"),$G2607,0)),"")</f>
        <v/>
      </c>
      <c r="J2607" s="61" t="str">
        <f aca="false">IF(IsPro,IF(OR($C2607="",N($G2607)=0),"",IF(I2607=0,$G2607,0)),"")</f>
        <v/>
      </c>
      <c r="K2607" s="60" t="str">
        <f aca="false">IF(IsPro,IF($C2607="","",IF(AND(OR($C2607="Receipt",$C2607="Payment"),$D2607=""),"Party needed",IF(AND(OR($C2607="Expense",$C2607="Other Income"),$E2607=""),"Head needed",IF($F2607="","Account needed","OK")))),IF($C2607="","","PRO PLAN"))</f>
        <v/>
      </c>
    </row>
    <row r="2608" customFormat="false" ht="15" hidden="false" customHeight="false" outlineLevel="0" collapsed="false">
      <c r="A2608" s="55"/>
      <c r="B2608" s="56"/>
      <c r="C2608" s="56"/>
      <c r="D2608" s="56"/>
      <c r="E2608" s="56"/>
      <c r="F2608" s="56"/>
      <c r="G2608" s="58"/>
      <c r="H2608" s="56"/>
      <c r="I2608" s="61" t="str">
        <f aca="false">IF(IsPro,IF(OR($C2608="",N($G2608)=0),"",IF(OR($C2608="Receipt",$C2608="Other Income",$C2608="Capital In",$C2608="Transfer In"),$G2608,0)),"")</f>
        <v/>
      </c>
      <c r="J2608" s="61" t="str">
        <f aca="false">IF(IsPro,IF(OR($C2608="",N($G2608)=0),"",IF(I2608=0,$G2608,0)),"")</f>
        <v/>
      </c>
      <c r="K2608" s="60" t="str">
        <f aca="false">IF(IsPro,IF($C2608="","",IF(AND(OR($C2608="Receipt",$C2608="Payment"),$D2608=""),"Party needed",IF(AND(OR($C2608="Expense",$C2608="Other Income"),$E2608=""),"Head needed",IF($F2608="","Account needed","OK")))),IF($C2608="","","PRO PLAN"))</f>
        <v/>
      </c>
    </row>
    <row r="2609" customFormat="false" ht="15" hidden="false" customHeight="false" outlineLevel="0" collapsed="false">
      <c r="A2609" s="55"/>
      <c r="B2609" s="56"/>
      <c r="C2609" s="56"/>
      <c r="D2609" s="56"/>
      <c r="E2609" s="56"/>
      <c r="F2609" s="56"/>
      <c r="G2609" s="58"/>
      <c r="H2609" s="56"/>
      <c r="I2609" s="61" t="str">
        <f aca="false">IF(IsPro,IF(OR($C2609="",N($G2609)=0),"",IF(OR($C2609="Receipt",$C2609="Other Income",$C2609="Capital In",$C2609="Transfer In"),$G2609,0)),"")</f>
        <v/>
      </c>
      <c r="J2609" s="61" t="str">
        <f aca="false">IF(IsPro,IF(OR($C2609="",N($G2609)=0),"",IF(I2609=0,$G2609,0)),"")</f>
        <v/>
      </c>
      <c r="K2609" s="60" t="str">
        <f aca="false">IF(IsPro,IF($C2609="","",IF(AND(OR($C2609="Receipt",$C2609="Payment"),$D2609=""),"Party needed",IF(AND(OR($C2609="Expense",$C2609="Other Income"),$E2609=""),"Head needed",IF($F2609="","Account needed","OK")))),IF($C2609="","","PRO PLAN"))</f>
        <v/>
      </c>
    </row>
    <row r="2610" customFormat="false" ht="15" hidden="false" customHeight="false" outlineLevel="0" collapsed="false">
      <c r="A2610" s="55"/>
      <c r="B2610" s="56"/>
      <c r="C2610" s="56"/>
      <c r="D2610" s="56"/>
      <c r="E2610" s="56"/>
      <c r="F2610" s="56"/>
      <c r="G2610" s="58"/>
      <c r="H2610" s="56"/>
      <c r="I2610" s="61" t="str">
        <f aca="false">IF(IsPro,IF(OR($C2610="",N($G2610)=0),"",IF(OR($C2610="Receipt",$C2610="Other Income",$C2610="Capital In",$C2610="Transfer In"),$G2610,0)),"")</f>
        <v/>
      </c>
      <c r="J2610" s="61" t="str">
        <f aca="false">IF(IsPro,IF(OR($C2610="",N($G2610)=0),"",IF(I2610=0,$G2610,0)),"")</f>
        <v/>
      </c>
      <c r="K2610" s="60" t="str">
        <f aca="false">IF(IsPro,IF($C2610="","",IF(AND(OR($C2610="Receipt",$C2610="Payment"),$D2610=""),"Party needed",IF(AND(OR($C2610="Expense",$C2610="Other Income"),$E2610=""),"Head needed",IF($F2610="","Account needed","OK")))),IF($C2610="","","PRO PLAN"))</f>
        <v/>
      </c>
    </row>
    <row r="2611" customFormat="false" ht="15" hidden="false" customHeight="false" outlineLevel="0" collapsed="false">
      <c r="A2611" s="55"/>
      <c r="B2611" s="56"/>
      <c r="C2611" s="56"/>
      <c r="D2611" s="56"/>
      <c r="E2611" s="56"/>
      <c r="F2611" s="56"/>
      <c r="G2611" s="58"/>
      <c r="H2611" s="56"/>
      <c r="I2611" s="61" t="str">
        <f aca="false">IF(IsPro,IF(OR($C2611="",N($G2611)=0),"",IF(OR($C2611="Receipt",$C2611="Other Income",$C2611="Capital In",$C2611="Transfer In"),$G2611,0)),"")</f>
        <v/>
      </c>
      <c r="J2611" s="61" t="str">
        <f aca="false">IF(IsPro,IF(OR($C2611="",N($G2611)=0),"",IF(I2611=0,$G2611,0)),"")</f>
        <v/>
      </c>
      <c r="K2611" s="60" t="str">
        <f aca="false">IF(IsPro,IF($C2611="","",IF(AND(OR($C2611="Receipt",$C2611="Payment"),$D2611=""),"Party needed",IF(AND(OR($C2611="Expense",$C2611="Other Income"),$E2611=""),"Head needed",IF($F2611="","Account needed","OK")))),IF($C2611="","","PRO PLAN"))</f>
        <v/>
      </c>
    </row>
    <row r="2612" customFormat="false" ht="15" hidden="false" customHeight="false" outlineLevel="0" collapsed="false">
      <c r="A2612" s="55"/>
      <c r="B2612" s="56"/>
      <c r="C2612" s="56"/>
      <c r="D2612" s="56"/>
      <c r="E2612" s="56"/>
      <c r="F2612" s="56"/>
      <c r="G2612" s="58"/>
      <c r="H2612" s="56"/>
      <c r="I2612" s="61" t="str">
        <f aca="false">IF(IsPro,IF(OR($C2612="",N($G2612)=0),"",IF(OR($C2612="Receipt",$C2612="Other Income",$C2612="Capital In",$C2612="Transfer In"),$G2612,0)),"")</f>
        <v/>
      </c>
      <c r="J2612" s="61" t="str">
        <f aca="false">IF(IsPro,IF(OR($C2612="",N($G2612)=0),"",IF(I2612=0,$G2612,0)),"")</f>
        <v/>
      </c>
      <c r="K2612" s="60" t="str">
        <f aca="false">IF(IsPro,IF($C2612="","",IF(AND(OR($C2612="Receipt",$C2612="Payment"),$D2612=""),"Party needed",IF(AND(OR($C2612="Expense",$C2612="Other Income"),$E2612=""),"Head needed",IF($F2612="","Account needed","OK")))),IF($C2612="","","PRO PLAN"))</f>
        <v/>
      </c>
    </row>
    <row r="2613" customFormat="false" ht="15" hidden="false" customHeight="false" outlineLevel="0" collapsed="false">
      <c r="A2613" s="55"/>
      <c r="B2613" s="56"/>
      <c r="C2613" s="56"/>
      <c r="D2613" s="56"/>
      <c r="E2613" s="56"/>
      <c r="F2613" s="56"/>
      <c r="G2613" s="58"/>
      <c r="H2613" s="56"/>
      <c r="I2613" s="61" t="str">
        <f aca="false">IF(IsPro,IF(OR($C2613="",N($G2613)=0),"",IF(OR($C2613="Receipt",$C2613="Other Income",$C2613="Capital In",$C2613="Transfer In"),$G2613,0)),"")</f>
        <v/>
      </c>
      <c r="J2613" s="61" t="str">
        <f aca="false">IF(IsPro,IF(OR($C2613="",N($G2613)=0),"",IF(I2613=0,$G2613,0)),"")</f>
        <v/>
      </c>
      <c r="K2613" s="60" t="str">
        <f aca="false">IF(IsPro,IF($C2613="","",IF(AND(OR($C2613="Receipt",$C2613="Payment"),$D2613=""),"Party needed",IF(AND(OR($C2613="Expense",$C2613="Other Income"),$E2613=""),"Head needed",IF($F2613="","Account needed","OK")))),IF($C2613="","","PRO PLAN"))</f>
        <v/>
      </c>
    </row>
    <row r="2614" customFormat="false" ht="15" hidden="false" customHeight="false" outlineLevel="0" collapsed="false">
      <c r="A2614" s="55"/>
      <c r="B2614" s="56"/>
      <c r="C2614" s="56"/>
      <c r="D2614" s="56"/>
      <c r="E2614" s="56"/>
      <c r="F2614" s="56"/>
      <c r="G2614" s="58"/>
      <c r="H2614" s="56"/>
      <c r="I2614" s="61" t="str">
        <f aca="false">IF(IsPro,IF(OR($C2614="",N($G2614)=0),"",IF(OR($C2614="Receipt",$C2614="Other Income",$C2614="Capital In",$C2614="Transfer In"),$G2614,0)),"")</f>
        <v/>
      </c>
      <c r="J2614" s="61" t="str">
        <f aca="false">IF(IsPro,IF(OR($C2614="",N($G2614)=0),"",IF(I2614=0,$G2614,0)),"")</f>
        <v/>
      </c>
      <c r="K2614" s="60" t="str">
        <f aca="false">IF(IsPro,IF($C2614="","",IF(AND(OR($C2614="Receipt",$C2614="Payment"),$D2614=""),"Party needed",IF(AND(OR($C2614="Expense",$C2614="Other Income"),$E2614=""),"Head needed",IF($F2614="","Account needed","OK")))),IF($C2614="","","PRO PLAN"))</f>
        <v/>
      </c>
    </row>
    <row r="2615" customFormat="false" ht="15" hidden="false" customHeight="false" outlineLevel="0" collapsed="false">
      <c r="A2615" s="55"/>
      <c r="B2615" s="56"/>
      <c r="C2615" s="56"/>
      <c r="D2615" s="56"/>
      <c r="E2615" s="56"/>
      <c r="F2615" s="56"/>
      <c r="G2615" s="58"/>
      <c r="H2615" s="56"/>
      <c r="I2615" s="61" t="str">
        <f aca="false">IF(IsPro,IF(OR($C2615="",N($G2615)=0),"",IF(OR($C2615="Receipt",$C2615="Other Income",$C2615="Capital In",$C2615="Transfer In"),$G2615,0)),"")</f>
        <v/>
      </c>
      <c r="J2615" s="61" t="str">
        <f aca="false">IF(IsPro,IF(OR($C2615="",N($G2615)=0),"",IF(I2615=0,$G2615,0)),"")</f>
        <v/>
      </c>
      <c r="K2615" s="60" t="str">
        <f aca="false">IF(IsPro,IF($C2615="","",IF(AND(OR($C2615="Receipt",$C2615="Payment"),$D2615=""),"Party needed",IF(AND(OR($C2615="Expense",$C2615="Other Income"),$E2615=""),"Head needed",IF($F2615="","Account needed","OK")))),IF($C2615="","","PRO PLAN"))</f>
        <v/>
      </c>
    </row>
    <row r="2616" customFormat="false" ht="15" hidden="false" customHeight="false" outlineLevel="0" collapsed="false">
      <c r="A2616" s="55"/>
      <c r="B2616" s="56"/>
      <c r="C2616" s="56"/>
      <c r="D2616" s="56"/>
      <c r="E2616" s="56"/>
      <c r="F2616" s="56"/>
      <c r="G2616" s="58"/>
      <c r="H2616" s="56"/>
      <c r="I2616" s="61" t="str">
        <f aca="false">IF(IsPro,IF(OR($C2616="",N($G2616)=0),"",IF(OR($C2616="Receipt",$C2616="Other Income",$C2616="Capital In",$C2616="Transfer In"),$G2616,0)),"")</f>
        <v/>
      </c>
      <c r="J2616" s="61" t="str">
        <f aca="false">IF(IsPro,IF(OR($C2616="",N($G2616)=0),"",IF(I2616=0,$G2616,0)),"")</f>
        <v/>
      </c>
      <c r="K2616" s="60" t="str">
        <f aca="false">IF(IsPro,IF($C2616="","",IF(AND(OR($C2616="Receipt",$C2616="Payment"),$D2616=""),"Party needed",IF(AND(OR($C2616="Expense",$C2616="Other Income"),$E2616=""),"Head needed",IF($F2616="","Account needed","OK")))),IF($C2616="","","PRO PLAN"))</f>
        <v/>
      </c>
    </row>
    <row r="2617" customFormat="false" ht="15" hidden="false" customHeight="false" outlineLevel="0" collapsed="false">
      <c r="A2617" s="55"/>
      <c r="B2617" s="56"/>
      <c r="C2617" s="56"/>
      <c r="D2617" s="56"/>
      <c r="E2617" s="56"/>
      <c r="F2617" s="56"/>
      <c r="G2617" s="58"/>
      <c r="H2617" s="56"/>
      <c r="I2617" s="61" t="str">
        <f aca="false">IF(IsPro,IF(OR($C2617="",N($G2617)=0),"",IF(OR($C2617="Receipt",$C2617="Other Income",$C2617="Capital In",$C2617="Transfer In"),$G2617,0)),"")</f>
        <v/>
      </c>
      <c r="J2617" s="61" t="str">
        <f aca="false">IF(IsPro,IF(OR($C2617="",N($G2617)=0),"",IF(I2617=0,$G2617,0)),"")</f>
        <v/>
      </c>
      <c r="K2617" s="60" t="str">
        <f aca="false">IF(IsPro,IF($C2617="","",IF(AND(OR($C2617="Receipt",$C2617="Payment"),$D2617=""),"Party needed",IF(AND(OR($C2617="Expense",$C2617="Other Income"),$E2617=""),"Head needed",IF($F2617="","Account needed","OK")))),IF($C2617="","","PRO PLAN"))</f>
        <v/>
      </c>
    </row>
    <row r="2618" customFormat="false" ht="15" hidden="false" customHeight="false" outlineLevel="0" collapsed="false">
      <c r="A2618" s="55"/>
      <c r="B2618" s="56"/>
      <c r="C2618" s="56"/>
      <c r="D2618" s="56"/>
      <c r="E2618" s="56"/>
      <c r="F2618" s="56"/>
      <c r="G2618" s="58"/>
      <c r="H2618" s="56"/>
      <c r="I2618" s="61" t="str">
        <f aca="false">IF(IsPro,IF(OR($C2618="",N($G2618)=0),"",IF(OR($C2618="Receipt",$C2618="Other Income",$C2618="Capital In",$C2618="Transfer In"),$G2618,0)),"")</f>
        <v/>
      </c>
      <c r="J2618" s="61" t="str">
        <f aca="false">IF(IsPro,IF(OR($C2618="",N($G2618)=0),"",IF(I2618=0,$G2618,0)),"")</f>
        <v/>
      </c>
      <c r="K2618" s="60" t="str">
        <f aca="false">IF(IsPro,IF($C2618="","",IF(AND(OR($C2618="Receipt",$C2618="Payment"),$D2618=""),"Party needed",IF(AND(OR($C2618="Expense",$C2618="Other Income"),$E2618=""),"Head needed",IF($F2618="","Account needed","OK")))),IF($C2618="","","PRO PLAN"))</f>
        <v/>
      </c>
    </row>
    <row r="2619" customFormat="false" ht="15" hidden="false" customHeight="false" outlineLevel="0" collapsed="false">
      <c r="A2619" s="55"/>
      <c r="B2619" s="56"/>
      <c r="C2619" s="56"/>
      <c r="D2619" s="56"/>
      <c r="E2619" s="56"/>
      <c r="F2619" s="56"/>
      <c r="G2619" s="58"/>
      <c r="H2619" s="56"/>
      <c r="I2619" s="61" t="str">
        <f aca="false">IF(IsPro,IF(OR($C2619="",N($G2619)=0),"",IF(OR($C2619="Receipt",$C2619="Other Income",$C2619="Capital In",$C2619="Transfer In"),$G2619,0)),"")</f>
        <v/>
      </c>
      <c r="J2619" s="61" t="str">
        <f aca="false">IF(IsPro,IF(OR($C2619="",N($G2619)=0),"",IF(I2619=0,$G2619,0)),"")</f>
        <v/>
      </c>
      <c r="K2619" s="60" t="str">
        <f aca="false">IF(IsPro,IF($C2619="","",IF(AND(OR($C2619="Receipt",$C2619="Payment"),$D2619=""),"Party needed",IF(AND(OR($C2619="Expense",$C2619="Other Income"),$E2619=""),"Head needed",IF($F2619="","Account needed","OK")))),IF($C2619="","","PRO PLAN"))</f>
        <v/>
      </c>
    </row>
    <row r="2620" customFormat="false" ht="15" hidden="false" customHeight="false" outlineLevel="0" collapsed="false">
      <c r="A2620" s="55"/>
      <c r="B2620" s="56"/>
      <c r="C2620" s="56"/>
      <c r="D2620" s="56"/>
      <c r="E2620" s="56"/>
      <c r="F2620" s="56"/>
      <c r="G2620" s="58"/>
      <c r="H2620" s="56"/>
      <c r="I2620" s="61" t="str">
        <f aca="false">IF(IsPro,IF(OR($C2620="",N($G2620)=0),"",IF(OR($C2620="Receipt",$C2620="Other Income",$C2620="Capital In",$C2620="Transfer In"),$G2620,0)),"")</f>
        <v/>
      </c>
      <c r="J2620" s="61" t="str">
        <f aca="false">IF(IsPro,IF(OR($C2620="",N($G2620)=0),"",IF(I2620=0,$G2620,0)),"")</f>
        <v/>
      </c>
      <c r="K2620" s="60" t="str">
        <f aca="false">IF(IsPro,IF($C2620="","",IF(AND(OR($C2620="Receipt",$C2620="Payment"),$D2620=""),"Party needed",IF(AND(OR($C2620="Expense",$C2620="Other Income"),$E2620=""),"Head needed",IF($F2620="","Account needed","OK")))),IF($C2620="","","PRO PLAN"))</f>
        <v/>
      </c>
    </row>
    <row r="2621" customFormat="false" ht="15" hidden="false" customHeight="false" outlineLevel="0" collapsed="false">
      <c r="A2621" s="55"/>
      <c r="B2621" s="56"/>
      <c r="C2621" s="56"/>
      <c r="D2621" s="56"/>
      <c r="E2621" s="56"/>
      <c r="F2621" s="56"/>
      <c r="G2621" s="58"/>
      <c r="H2621" s="56"/>
      <c r="I2621" s="61" t="str">
        <f aca="false">IF(IsPro,IF(OR($C2621="",N($G2621)=0),"",IF(OR($C2621="Receipt",$C2621="Other Income",$C2621="Capital In",$C2621="Transfer In"),$G2621,0)),"")</f>
        <v/>
      </c>
      <c r="J2621" s="61" t="str">
        <f aca="false">IF(IsPro,IF(OR($C2621="",N($G2621)=0),"",IF(I2621=0,$G2621,0)),"")</f>
        <v/>
      </c>
      <c r="K2621" s="60" t="str">
        <f aca="false">IF(IsPro,IF($C2621="","",IF(AND(OR($C2621="Receipt",$C2621="Payment"),$D2621=""),"Party needed",IF(AND(OR($C2621="Expense",$C2621="Other Income"),$E2621=""),"Head needed",IF($F2621="","Account needed","OK")))),IF($C2621="","","PRO PLAN"))</f>
        <v/>
      </c>
    </row>
    <row r="2622" customFormat="false" ht="15" hidden="false" customHeight="false" outlineLevel="0" collapsed="false">
      <c r="A2622" s="55"/>
      <c r="B2622" s="56"/>
      <c r="C2622" s="56"/>
      <c r="D2622" s="56"/>
      <c r="E2622" s="56"/>
      <c r="F2622" s="56"/>
      <c r="G2622" s="58"/>
      <c r="H2622" s="56"/>
      <c r="I2622" s="61" t="str">
        <f aca="false">IF(IsPro,IF(OR($C2622="",N($G2622)=0),"",IF(OR($C2622="Receipt",$C2622="Other Income",$C2622="Capital In",$C2622="Transfer In"),$G2622,0)),"")</f>
        <v/>
      </c>
      <c r="J2622" s="61" t="str">
        <f aca="false">IF(IsPro,IF(OR($C2622="",N($G2622)=0),"",IF(I2622=0,$G2622,0)),"")</f>
        <v/>
      </c>
      <c r="K2622" s="60" t="str">
        <f aca="false">IF(IsPro,IF($C2622="","",IF(AND(OR($C2622="Receipt",$C2622="Payment"),$D2622=""),"Party needed",IF(AND(OR($C2622="Expense",$C2622="Other Income"),$E2622=""),"Head needed",IF($F2622="","Account needed","OK")))),IF($C2622="","","PRO PLAN"))</f>
        <v/>
      </c>
    </row>
    <row r="2623" customFormat="false" ht="15" hidden="false" customHeight="false" outlineLevel="0" collapsed="false">
      <c r="A2623" s="55"/>
      <c r="B2623" s="56"/>
      <c r="C2623" s="56"/>
      <c r="D2623" s="56"/>
      <c r="E2623" s="56"/>
      <c r="F2623" s="56"/>
      <c r="G2623" s="58"/>
      <c r="H2623" s="56"/>
      <c r="I2623" s="61" t="str">
        <f aca="false">IF(IsPro,IF(OR($C2623="",N($G2623)=0),"",IF(OR($C2623="Receipt",$C2623="Other Income",$C2623="Capital In",$C2623="Transfer In"),$G2623,0)),"")</f>
        <v/>
      </c>
      <c r="J2623" s="61" t="str">
        <f aca="false">IF(IsPro,IF(OR($C2623="",N($G2623)=0),"",IF(I2623=0,$G2623,0)),"")</f>
        <v/>
      </c>
      <c r="K2623" s="60" t="str">
        <f aca="false">IF(IsPro,IF($C2623="","",IF(AND(OR($C2623="Receipt",$C2623="Payment"),$D2623=""),"Party needed",IF(AND(OR($C2623="Expense",$C2623="Other Income"),$E2623=""),"Head needed",IF($F2623="","Account needed","OK")))),IF($C2623="","","PRO PLAN"))</f>
        <v/>
      </c>
    </row>
    <row r="2624" customFormat="false" ht="15" hidden="false" customHeight="false" outlineLevel="0" collapsed="false">
      <c r="A2624" s="55"/>
      <c r="B2624" s="56"/>
      <c r="C2624" s="56"/>
      <c r="D2624" s="56"/>
      <c r="E2624" s="56"/>
      <c r="F2624" s="56"/>
      <c r="G2624" s="58"/>
      <c r="H2624" s="56"/>
      <c r="I2624" s="61" t="str">
        <f aca="false">IF(IsPro,IF(OR($C2624="",N($G2624)=0),"",IF(OR($C2624="Receipt",$C2624="Other Income",$C2624="Capital In",$C2624="Transfer In"),$G2624,0)),"")</f>
        <v/>
      </c>
      <c r="J2624" s="61" t="str">
        <f aca="false">IF(IsPro,IF(OR($C2624="",N($G2624)=0),"",IF(I2624=0,$G2624,0)),"")</f>
        <v/>
      </c>
      <c r="K2624" s="60" t="str">
        <f aca="false">IF(IsPro,IF($C2624="","",IF(AND(OR($C2624="Receipt",$C2624="Payment"),$D2624=""),"Party needed",IF(AND(OR($C2624="Expense",$C2624="Other Income"),$E2624=""),"Head needed",IF($F2624="","Account needed","OK")))),IF($C2624="","","PRO PLAN"))</f>
        <v/>
      </c>
    </row>
    <row r="2625" customFormat="false" ht="15" hidden="false" customHeight="false" outlineLevel="0" collapsed="false">
      <c r="A2625" s="55"/>
      <c r="B2625" s="56"/>
      <c r="C2625" s="56"/>
      <c r="D2625" s="56"/>
      <c r="E2625" s="56"/>
      <c r="F2625" s="56"/>
      <c r="G2625" s="58"/>
      <c r="H2625" s="56"/>
      <c r="I2625" s="61" t="str">
        <f aca="false">IF(IsPro,IF(OR($C2625="",N($G2625)=0),"",IF(OR($C2625="Receipt",$C2625="Other Income",$C2625="Capital In",$C2625="Transfer In"),$G2625,0)),"")</f>
        <v/>
      </c>
      <c r="J2625" s="61" t="str">
        <f aca="false">IF(IsPro,IF(OR($C2625="",N($G2625)=0),"",IF(I2625=0,$G2625,0)),"")</f>
        <v/>
      </c>
      <c r="K2625" s="60" t="str">
        <f aca="false">IF(IsPro,IF($C2625="","",IF(AND(OR($C2625="Receipt",$C2625="Payment"),$D2625=""),"Party needed",IF(AND(OR($C2625="Expense",$C2625="Other Income"),$E2625=""),"Head needed",IF($F2625="","Account needed","OK")))),IF($C2625="","","PRO PLAN"))</f>
        <v/>
      </c>
    </row>
    <row r="2626" customFormat="false" ht="15" hidden="false" customHeight="false" outlineLevel="0" collapsed="false">
      <c r="A2626" s="55"/>
      <c r="B2626" s="56"/>
      <c r="C2626" s="56"/>
      <c r="D2626" s="56"/>
      <c r="E2626" s="56"/>
      <c r="F2626" s="56"/>
      <c r="G2626" s="58"/>
      <c r="H2626" s="56"/>
      <c r="I2626" s="61" t="str">
        <f aca="false">IF(IsPro,IF(OR($C2626="",N($G2626)=0),"",IF(OR($C2626="Receipt",$C2626="Other Income",$C2626="Capital In",$C2626="Transfer In"),$G2626,0)),"")</f>
        <v/>
      </c>
      <c r="J2626" s="61" t="str">
        <f aca="false">IF(IsPro,IF(OR($C2626="",N($G2626)=0),"",IF(I2626=0,$G2626,0)),"")</f>
        <v/>
      </c>
      <c r="K2626" s="60" t="str">
        <f aca="false">IF(IsPro,IF($C2626="","",IF(AND(OR($C2626="Receipt",$C2626="Payment"),$D2626=""),"Party needed",IF(AND(OR($C2626="Expense",$C2626="Other Income"),$E2626=""),"Head needed",IF($F2626="","Account needed","OK")))),IF($C2626="","","PRO PLAN"))</f>
        <v/>
      </c>
    </row>
    <row r="2627" customFormat="false" ht="15" hidden="false" customHeight="false" outlineLevel="0" collapsed="false">
      <c r="A2627" s="55"/>
      <c r="B2627" s="56"/>
      <c r="C2627" s="56"/>
      <c r="D2627" s="56"/>
      <c r="E2627" s="56"/>
      <c r="F2627" s="56"/>
      <c r="G2627" s="58"/>
      <c r="H2627" s="56"/>
      <c r="I2627" s="61" t="str">
        <f aca="false">IF(IsPro,IF(OR($C2627="",N($G2627)=0),"",IF(OR($C2627="Receipt",$C2627="Other Income",$C2627="Capital In",$C2627="Transfer In"),$G2627,0)),"")</f>
        <v/>
      </c>
      <c r="J2627" s="61" t="str">
        <f aca="false">IF(IsPro,IF(OR($C2627="",N($G2627)=0),"",IF(I2627=0,$G2627,0)),"")</f>
        <v/>
      </c>
      <c r="K2627" s="60" t="str">
        <f aca="false">IF(IsPro,IF($C2627="","",IF(AND(OR($C2627="Receipt",$C2627="Payment"),$D2627=""),"Party needed",IF(AND(OR($C2627="Expense",$C2627="Other Income"),$E2627=""),"Head needed",IF($F2627="","Account needed","OK")))),IF($C2627="","","PRO PLAN"))</f>
        <v/>
      </c>
    </row>
    <row r="2628" customFormat="false" ht="15" hidden="false" customHeight="false" outlineLevel="0" collapsed="false">
      <c r="A2628" s="55"/>
      <c r="B2628" s="56"/>
      <c r="C2628" s="56"/>
      <c r="D2628" s="56"/>
      <c r="E2628" s="56"/>
      <c r="F2628" s="56"/>
      <c r="G2628" s="58"/>
      <c r="H2628" s="56"/>
      <c r="I2628" s="61" t="str">
        <f aca="false">IF(IsPro,IF(OR($C2628="",N($G2628)=0),"",IF(OR($C2628="Receipt",$C2628="Other Income",$C2628="Capital In",$C2628="Transfer In"),$G2628,0)),"")</f>
        <v/>
      </c>
      <c r="J2628" s="61" t="str">
        <f aca="false">IF(IsPro,IF(OR($C2628="",N($G2628)=0),"",IF(I2628=0,$G2628,0)),"")</f>
        <v/>
      </c>
      <c r="K2628" s="60" t="str">
        <f aca="false">IF(IsPro,IF($C2628="","",IF(AND(OR($C2628="Receipt",$C2628="Payment"),$D2628=""),"Party needed",IF(AND(OR($C2628="Expense",$C2628="Other Income"),$E2628=""),"Head needed",IF($F2628="","Account needed","OK")))),IF($C2628="","","PRO PLAN"))</f>
        <v/>
      </c>
    </row>
    <row r="2629" customFormat="false" ht="15" hidden="false" customHeight="false" outlineLevel="0" collapsed="false">
      <c r="A2629" s="55"/>
      <c r="B2629" s="56"/>
      <c r="C2629" s="56"/>
      <c r="D2629" s="56"/>
      <c r="E2629" s="56"/>
      <c r="F2629" s="56"/>
      <c r="G2629" s="58"/>
      <c r="H2629" s="56"/>
      <c r="I2629" s="61" t="str">
        <f aca="false">IF(IsPro,IF(OR($C2629="",N($G2629)=0),"",IF(OR($C2629="Receipt",$C2629="Other Income",$C2629="Capital In",$C2629="Transfer In"),$G2629,0)),"")</f>
        <v/>
      </c>
      <c r="J2629" s="61" t="str">
        <f aca="false">IF(IsPro,IF(OR($C2629="",N($G2629)=0),"",IF(I2629=0,$G2629,0)),"")</f>
        <v/>
      </c>
      <c r="K2629" s="60" t="str">
        <f aca="false">IF(IsPro,IF($C2629="","",IF(AND(OR($C2629="Receipt",$C2629="Payment"),$D2629=""),"Party needed",IF(AND(OR($C2629="Expense",$C2629="Other Income"),$E2629=""),"Head needed",IF($F2629="","Account needed","OK")))),IF($C2629="","","PRO PLAN"))</f>
        <v/>
      </c>
    </row>
    <row r="2630" customFormat="false" ht="15" hidden="false" customHeight="false" outlineLevel="0" collapsed="false">
      <c r="A2630" s="55"/>
      <c r="B2630" s="56"/>
      <c r="C2630" s="56"/>
      <c r="D2630" s="56"/>
      <c r="E2630" s="56"/>
      <c r="F2630" s="56"/>
      <c r="G2630" s="58"/>
      <c r="H2630" s="56"/>
      <c r="I2630" s="61" t="str">
        <f aca="false">IF(IsPro,IF(OR($C2630="",N($G2630)=0),"",IF(OR($C2630="Receipt",$C2630="Other Income",$C2630="Capital In",$C2630="Transfer In"),$G2630,0)),"")</f>
        <v/>
      </c>
      <c r="J2630" s="61" t="str">
        <f aca="false">IF(IsPro,IF(OR($C2630="",N($G2630)=0),"",IF(I2630=0,$G2630,0)),"")</f>
        <v/>
      </c>
      <c r="K2630" s="60" t="str">
        <f aca="false">IF(IsPro,IF($C2630="","",IF(AND(OR($C2630="Receipt",$C2630="Payment"),$D2630=""),"Party needed",IF(AND(OR($C2630="Expense",$C2630="Other Income"),$E2630=""),"Head needed",IF($F2630="","Account needed","OK")))),IF($C2630="","","PRO PLAN"))</f>
        <v/>
      </c>
    </row>
    <row r="2631" customFormat="false" ht="15" hidden="false" customHeight="false" outlineLevel="0" collapsed="false">
      <c r="A2631" s="55"/>
      <c r="B2631" s="56"/>
      <c r="C2631" s="56"/>
      <c r="D2631" s="56"/>
      <c r="E2631" s="56"/>
      <c r="F2631" s="56"/>
      <c r="G2631" s="58"/>
      <c r="H2631" s="56"/>
      <c r="I2631" s="61" t="str">
        <f aca="false">IF(IsPro,IF(OR($C2631="",N($G2631)=0),"",IF(OR($C2631="Receipt",$C2631="Other Income",$C2631="Capital In",$C2631="Transfer In"),$G2631,0)),"")</f>
        <v/>
      </c>
      <c r="J2631" s="61" t="str">
        <f aca="false">IF(IsPro,IF(OR($C2631="",N($G2631)=0),"",IF(I2631=0,$G2631,0)),"")</f>
        <v/>
      </c>
      <c r="K2631" s="60" t="str">
        <f aca="false">IF(IsPro,IF($C2631="","",IF(AND(OR($C2631="Receipt",$C2631="Payment"),$D2631=""),"Party needed",IF(AND(OR($C2631="Expense",$C2631="Other Income"),$E2631=""),"Head needed",IF($F2631="","Account needed","OK")))),IF($C2631="","","PRO PLAN"))</f>
        <v/>
      </c>
    </row>
    <row r="2632" customFormat="false" ht="15" hidden="false" customHeight="false" outlineLevel="0" collapsed="false">
      <c r="A2632" s="55"/>
      <c r="B2632" s="56"/>
      <c r="C2632" s="56"/>
      <c r="D2632" s="56"/>
      <c r="E2632" s="56"/>
      <c r="F2632" s="56"/>
      <c r="G2632" s="58"/>
      <c r="H2632" s="56"/>
      <c r="I2632" s="61" t="str">
        <f aca="false">IF(IsPro,IF(OR($C2632="",N($G2632)=0),"",IF(OR($C2632="Receipt",$C2632="Other Income",$C2632="Capital In",$C2632="Transfer In"),$G2632,0)),"")</f>
        <v/>
      </c>
      <c r="J2632" s="61" t="str">
        <f aca="false">IF(IsPro,IF(OR($C2632="",N($G2632)=0),"",IF(I2632=0,$G2632,0)),"")</f>
        <v/>
      </c>
      <c r="K2632" s="60" t="str">
        <f aca="false">IF(IsPro,IF($C2632="","",IF(AND(OR($C2632="Receipt",$C2632="Payment"),$D2632=""),"Party needed",IF(AND(OR($C2632="Expense",$C2632="Other Income"),$E2632=""),"Head needed",IF($F2632="","Account needed","OK")))),IF($C2632="","","PRO PLAN"))</f>
        <v/>
      </c>
    </row>
    <row r="2633" customFormat="false" ht="15" hidden="false" customHeight="false" outlineLevel="0" collapsed="false">
      <c r="A2633" s="55"/>
      <c r="B2633" s="56"/>
      <c r="C2633" s="56"/>
      <c r="D2633" s="56"/>
      <c r="E2633" s="56"/>
      <c r="F2633" s="56"/>
      <c r="G2633" s="58"/>
      <c r="H2633" s="56"/>
      <c r="I2633" s="61" t="str">
        <f aca="false">IF(IsPro,IF(OR($C2633="",N($G2633)=0),"",IF(OR($C2633="Receipt",$C2633="Other Income",$C2633="Capital In",$C2633="Transfer In"),$G2633,0)),"")</f>
        <v/>
      </c>
      <c r="J2633" s="61" t="str">
        <f aca="false">IF(IsPro,IF(OR($C2633="",N($G2633)=0),"",IF(I2633=0,$G2633,0)),"")</f>
        <v/>
      </c>
      <c r="K2633" s="60" t="str">
        <f aca="false">IF(IsPro,IF($C2633="","",IF(AND(OR($C2633="Receipt",$C2633="Payment"),$D2633=""),"Party needed",IF(AND(OR($C2633="Expense",$C2633="Other Income"),$E2633=""),"Head needed",IF($F2633="","Account needed","OK")))),IF($C2633="","","PRO PLAN"))</f>
        <v/>
      </c>
    </row>
    <row r="2634" customFormat="false" ht="15" hidden="false" customHeight="false" outlineLevel="0" collapsed="false">
      <c r="A2634" s="55"/>
      <c r="B2634" s="56"/>
      <c r="C2634" s="56"/>
      <c r="D2634" s="56"/>
      <c r="E2634" s="56"/>
      <c r="F2634" s="56"/>
      <c r="G2634" s="58"/>
      <c r="H2634" s="56"/>
      <c r="I2634" s="61" t="str">
        <f aca="false">IF(IsPro,IF(OR($C2634="",N($G2634)=0),"",IF(OR($C2634="Receipt",$C2634="Other Income",$C2634="Capital In",$C2634="Transfer In"),$G2634,0)),"")</f>
        <v/>
      </c>
      <c r="J2634" s="61" t="str">
        <f aca="false">IF(IsPro,IF(OR($C2634="",N($G2634)=0),"",IF(I2634=0,$G2634,0)),"")</f>
        <v/>
      </c>
      <c r="K2634" s="60" t="str">
        <f aca="false">IF(IsPro,IF($C2634="","",IF(AND(OR($C2634="Receipt",$C2634="Payment"),$D2634=""),"Party needed",IF(AND(OR($C2634="Expense",$C2634="Other Income"),$E2634=""),"Head needed",IF($F2634="","Account needed","OK")))),IF($C2634="","","PRO PLAN"))</f>
        <v/>
      </c>
    </row>
    <row r="2635" customFormat="false" ht="15" hidden="false" customHeight="false" outlineLevel="0" collapsed="false">
      <c r="A2635" s="55"/>
      <c r="B2635" s="56"/>
      <c r="C2635" s="56"/>
      <c r="D2635" s="56"/>
      <c r="E2635" s="56"/>
      <c r="F2635" s="56"/>
      <c r="G2635" s="58"/>
      <c r="H2635" s="56"/>
      <c r="I2635" s="61" t="str">
        <f aca="false">IF(IsPro,IF(OR($C2635="",N($G2635)=0),"",IF(OR($C2635="Receipt",$C2635="Other Income",$C2635="Capital In",$C2635="Transfer In"),$G2635,0)),"")</f>
        <v/>
      </c>
      <c r="J2635" s="61" t="str">
        <f aca="false">IF(IsPro,IF(OR($C2635="",N($G2635)=0),"",IF(I2635=0,$G2635,0)),"")</f>
        <v/>
      </c>
      <c r="K2635" s="60" t="str">
        <f aca="false">IF(IsPro,IF($C2635="","",IF(AND(OR($C2635="Receipt",$C2635="Payment"),$D2635=""),"Party needed",IF(AND(OR($C2635="Expense",$C2635="Other Income"),$E2635=""),"Head needed",IF($F2635="","Account needed","OK")))),IF($C2635="","","PRO PLAN"))</f>
        <v/>
      </c>
    </row>
    <row r="2636" customFormat="false" ht="15" hidden="false" customHeight="false" outlineLevel="0" collapsed="false">
      <c r="A2636" s="55"/>
      <c r="B2636" s="56"/>
      <c r="C2636" s="56"/>
      <c r="D2636" s="56"/>
      <c r="E2636" s="56"/>
      <c r="F2636" s="56"/>
      <c r="G2636" s="58"/>
      <c r="H2636" s="56"/>
      <c r="I2636" s="61" t="str">
        <f aca="false">IF(IsPro,IF(OR($C2636="",N($G2636)=0),"",IF(OR($C2636="Receipt",$C2636="Other Income",$C2636="Capital In",$C2636="Transfer In"),$G2636,0)),"")</f>
        <v/>
      </c>
      <c r="J2636" s="61" t="str">
        <f aca="false">IF(IsPro,IF(OR($C2636="",N($G2636)=0),"",IF(I2636=0,$G2636,0)),"")</f>
        <v/>
      </c>
      <c r="K2636" s="60" t="str">
        <f aca="false">IF(IsPro,IF($C2636="","",IF(AND(OR($C2636="Receipt",$C2636="Payment"),$D2636=""),"Party needed",IF(AND(OR($C2636="Expense",$C2636="Other Income"),$E2636=""),"Head needed",IF($F2636="","Account needed","OK")))),IF($C2636="","","PRO PLAN"))</f>
        <v/>
      </c>
    </row>
    <row r="2637" customFormat="false" ht="15" hidden="false" customHeight="false" outlineLevel="0" collapsed="false">
      <c r="A2637" s="55"/>
      <c r="B2637" s="56"/>
      <c r="C2637" s="56"/>
      <c r="D2637" s="56"/>
      <c r="E2637" s="56"/>
      <c r="F2637" s="56"/>
      <c r="G2637" s="58"/>
      <c r="H2637" s="56"/>
      <c r="I2637" s="61" t="str">
        <f aca="false">IF(IsPro,IF(OR($C2637="",N($G2637)=0),"",IF(OR($C2637="Receipt",$C2637="Other Income",$C2637="Capital In",$C2637="Transfer In"),$G2637,0)),"")</f>
        <v/>
      </c>
      <c r="J2637" s="61" t="str">
        <f aca="false">IF(IsPro,IF(OR($C2637="",N($G2637)=0),"",IF(I2637=0,$G2637,0)),"")</f>
        <v/>
      </c>
      <c r="K2637" s="60" t="str">
        <f aca="false">IF(IsPro,IF($C2637="","",IF(AND(OR($C2637="Receipt",$C2637="Payment"),$D2637=""),"Party needed",IF(AND(OR($C2637="Expense",$C2637="Other Income"),$E2637=""),"Head needed",IF($F2637="","Account needed","OK")))),IF($C2637="","","PRO PLAN"))</f>
        <v/>
      </c>
    </row>
    <row r="2638" customFormat="false" ht="15" hidden="false" customHeight="false" outlineLevel="0" collapsed="false">
      <c r="A2638" s="55"/>
      <c r="B2638" s="56"/>
      <c r="C2638" s="56"/>
      <c r="D2638" s="56"/>
      <c r="E2638" s="56"/>
      <c r="F2638" s="56"/>
      <c r="G2638" s="58"/>
      <c r="H2638" s="56"/>
      <c r="I2638" s="61" t="str">
        <f aca="false">IF(IsPro,IF(OR($C2638="",N($G2638)=0),"",IF(OR($C2638="Receipt",$C2638="Other Income",$C2638="Capital In",$C2638="Transfer In"),$G2638,0)),"")</f>
        <v/>
      </c>
      <c r="J2638" s="61" t="str">
        <f aca="false">IF(IsPro,IF(OR($C2638="",N($G2638)=0),"",IF(I2638=0,$G2638,0)),"")</f>
        <v/>
      </c>
      <c r="K2638" s="60" t="str">
        <f aca="false">IF(IsPro,IF($C2638="","",IF(AND(OR($C2638="Receipt",$C2638="Payment"),$D2638=""),"Party needed",IF(AND(OR($C2638="Expense",$C2638="Other Income"),$E2638=""),"Head needed",IF($F2638="","Account needed","OK")))),IF($C2638="","","PRO PLAN"))</f>
        <v/>
      </c>
    </row>
    <row r="2639" customFormat="false" ht="15" hidden="false" customHeight="false" outlineLevel="0" collapsed="false">
      <c r="A2639" s="55"/>
      <c r="B2639" s="56"/>
      <c r="C2639" s="56"/>
      <c r="D2639" s="56"/>
      <c r="E2639" s="56"/>
      <c r="F2639" s="56"/>
      <c r="G2639" s="58"/>
      <c r="H2639" s="56"/>
      <c r="I2639" s="61" t="str">
        <f aca="false">IF(IsPro,IF(OR($C2639="",N($G2639)=0),"",IF(OR($C2639="Receipt",$C2639="Other Income",$C2639="Capital In",$C2639="Transfer In"),$G2639,0)),"")</f>
        <v/>
      </c>
      <c r="J2639" s="61" t="str">
        <f aca="false">IF(IsPro,IF(OR($C2639="",N($G2639)=0),"",IF(I2639=0,$G2639,0)),"")</f>
        <v/>
      </c>
      <c r="K2639" s="60" t="str">
        <f aca="false">IF(IsPro,IF($C2639="","",IF(AND(OR($C2639="Receipt",$C2639="Payment"),$D2639=""),"Party needed",IF(AND(OR($C2639="Expense",$C2639="Other Income"),$E2639=""),"Head needed",IF($F2639="","Account needed","OK")))),IF($C2639="","","PRO PLAN"))</f>
        <v/>
      </c>
    </row>
    <row r="2640" customFormat="false" ht="15" hidden="false" customHeight="false" outlineLevel="0" collapsed="false">
      <c r="A2640" s="55"/>
      <c r="B2640" s="56"/>
      <c r="C2640" s="56"/>
      <c r="D2640" s="56"/>
      <c r="E2640" s="56"/>
      <c r="F2640" s="56"/>
      <c r="G2640" s="58"/>
      <c r="H2640" s="56"/>
      <c r="I2640" s="61" t="str">
        <f aca="false">IF(IsPro,IF(OR($C2640="",N($G2640)=0),"",IF(OR($C2640="Receipt",$C2640="Other Income",$C2640="Capital In",$C2640="Transfer In"),$G2640,0)),"")</f>
        <v/>
      </c>
      <c r="J2640" s="61" t="str">
        <f aca="false">IF(IsPro,IF(OR($C2640="",N($G2640)=0),"",IF(I2640=0,$G2640,0)),"")</f>
        <v/>
      </c>
      <c r="K2640" s="60" t="str">
        <f aca="false">IF(IsPro,IF($C2640="","",IF(AND(OR($C2640="Receipt",$C2640="Payment"),$D2640=""),"Party needed",IF(AND(OR($C2640="Expense",$C2640="Other Income"),$E2640=""),"Head needed",IF($F2640="","Account needed","OK")))),IF($C2640="","","PRO PLAN"))</f>
        <v/>
      </c>
    </row>
    <row r="2641" customFormat="false" ht="15" hidden="false" customHeight="false" outlineLevel="0" collapsed="false">
      <c r="A2641" s="55"/>
      <c r="B2641" s="56"/>
      <c r="C2641" s="56"/>
      <c r="D2641" s="56"/>
      <c r="E2641" s="56"/>
      <c r="F2641" s="56"/>
      <c r="G2641" s="58"/>
      <c r="H2641" s="56"/>
      <c r="I2641" s="61" t="str">
        <f aca="false">IF(IsPro,IF(OR($C2641="",N($G2641)=0),"",IF(OR($C2641="Receipt",$C2641="Other Income",$C2641="Capital In",$C2641="Transfer In"),$G2641,0)),"")</f>
        <v/>
      </c>
      <c r="J2641" s="61" t="str">
        <f aca="false">IF(IsPro,IF(OR($C2641="",N($G2641)=0),"",IF(I2641=0,$G2641,0)),"")</f>
        <v/>
      </c>
      <c r="K2641" s="60" t="str">
        <f aca="false">IF(IsPro,IF($C2641="","",IF(AND(OR($C2641="Receipt",$C2641="Payment"),$D2641=""),"Party needed",IF(AND(OR($C2641="Expense",$C2641="Other Income"),$E2641=""),"Head needed",IF($F2641="","Account needed","OK")))),IF($C2641="","","PRO PLAN"))</f>
        <v/>
      </c>
    </row>
    <row r="2642" customFormat="false" ht="15" hidden="false" customHeight="false" outlineLevel="0" collapsed="false">
      <c r="A2642" s="55"/>
      <c r="B2642" s="56"/>
      <c r="C2642" s="56"/>
      <c r="D2642" s="56"/>
      <c r="E2642" s="56"/>
      <c r="F2642" s="56"/>
      <c r="G2642" s="58"/>
      <c r="H2642" s="56"/>
      <c r="I2642" s="61" t="str">
        <f aca="false">IF(IsPro,IF(OR($C2642="",N($G2642)=0),"",IF(OR($C2642="Receipt",$C2642="Other Income",$C2642="Capital In",$C2642="Transfer In"),$G2642,0)),"")</f>
        <v/>
      </c>
      <c r="J2642" s="61" t="str">
        <f aca="false">IF(IsPro,IF(OR($C2642="",N($G2642)=0),"",IF(I2642=0,$G2642,0)),"")</f>
        <v/>
      </c>
      <c r="K2642" s="60" t="str">
        <f aca="false">IF(IsPro,IF($C2642="","",IF(AND(OR($C2642="Receipt",$C2642="Payment"),$D2642=""),"Party needed",IF(AND(OR($C2642="Expense",$C2642="Other Income"),$E2642=""),"Head needed",IF($F2642="","Account needed","OK")))),IF($C2642="","","PRO PLAN"))</f>
        <v/>
      </c>
    </row>
    <row r="2643" customFormat="false" ht="15" hidden="false" customHeight="false" outlineLevel="0" collapsed="false">
      <c r="A2643" s="55"/>
      <c r="B2643" s="56"/>
      <c r="C2643" s="56"/>
      <c r="D2643" s="56"/>
      <c r="E2643" s="56"/>
      <c r="F2643" s="56"/>
      <c r="G2643" s="58"/>
      <c r="H2643" s="56"/>
      <c r="I2643" s="61" t="str">
        <f aca="false">IF(IsPro,IF(OR($C2643="",N($G2643)=0),"",IF(OR($C2643="Receipt",$C2643="Other Income",$C2643="Capital In",$C2643="Transfer In"),$G2643,0)),"")</f>
        <v/>
      </c>
      <c r="J2643" s="61" t="str">
        <f aca="false">IF(IsPro,IF(OR($C2643="",N($G2643)=0),"",IF(I2643=0,$G2643,0)),"")</f>
        <v/>
      </c>
      <c r="K2643" s="60" t="str">
        <f aca="false">IF(IsPro,IF($C2643="","",IF(AND(OR($C2643="Receipt",$C2643="Payment"),$D2643=""),"Party needed",IF(AND(OR($C2643="Expense",$C2643="Other Income"),$E2643=""),"Head needed",IF($F2643="","Account needed","OK")))),IF($C2643="","","PRO PLAN"))</f>
        <v/>
      </c>
    </row>
    <row r="2644" customFormat="false" ht="15" hidden="false" customHeight="false" outlineLevel="0" collapsed="false">
      <c r="A2644" s="55"/>
      <c r="B2644" s="56"/>
      <c r="C2644" s="56"/>
      <c r="D2644" s="56"/>
      <c r="E2644" s="56"/>
      <c r="F2644" s="56"/>
      <c r="G2644" s="58"/>
      <c r="H2644" s="56"/>
      <c r="I2644" s="61" t="str">
        <f aca="false">IF(IsPro,IF(OR($C2644="",N($G2644)=0),"",IF(OR($C2644="Receipt",$C2644="Other Income",$C2644="Capital In",$C2644="Transfer In"),$G2644,0)),"")</f>
        <v/>
      </c>
      <c r="J2644" s="61" t="str">
        <f aca="false">IF(IsPro,IF(OR($C2644="",N($G2644)=0),"",IF(I2644=0,$G2644,0)),"")</f>
        <v/>
      </c>
      <c r="K2644" s="60" t="str">
        <f aca="false">IF(IsPro,IF($C2644="","",IF(AND(OR($C2644="Receipt",$C2644="Payment"),$D2644=""),"Party needed",IF(AND(OR($C2644="Expense",$C2644="Other Income"),$E2644=""),"Head needed",IF($F2644="","Account needed","OK")))),IF($C2644="","","PRO PLAN"))</f>
        <v/>
      </c>
    </row>
    <row r="2645" customFormat="false" ht="15" hidden="false" customHeight="false" outlineLevel="0" collapsed="false">
      <c r="A2645" s="55"/>
      <c r="B2645" s="56"/>
      <c r="C2645" s="56"/>
      <c r="D2645" s="56"/>
      <c r="E2645" s="56"/>
      <c r="F2645" s="56"/>
      <c r="G2645" s="58"/>
      <c r="H2645" s="56"/>
      <c r="I2645" s="61" t="str">
        <f aca="false">IF(IsPro,IF(OR($C2645="",N($G2645)=0),"",IF(OR($C2645="Receipt",$C2645="Other Income",$C2645="Capital In",$C2645="Transfer In"),$G2645,0)),"")</f>
        <v/>
      </c>
      <c r="J2645" s="61" t="str">
        <f aca="false">IF(IsPro,IF(OR($C2645="",N($G2645)=0),"",IF(I2645=0,$G2645,0)),"")</f>
        <v/>
      </c>
      <c r="K2645" s="60" t="str">
        <f aca="false">IF(IsPro,IF($C2645="","",IF(AND(OR($C2645="Receipt",$C2645="Payment"),$D2645=""),"Party needed",IF(AND(OR($C2645="Expense",$C2645="Other Income"),$E2645=""),"Head needed",IF($F2645="","Account needed","OK")))),IF($C2645="","","PRO PLAN"))</f>
        <v/>
      </c>
    </row>
    <row r="2646" customFormat="false" ht="15" hidden="false" customHeight="false" outlineLevel="0" collapsed="false">
      <c r="A2646" s="55"/>
      <c r="B2646" s="56"/>
      <c r="C2646" s="56"/>
      <c r="D2646" s="56"/>
      <c r="E2646" s="56"/>
      <c r="F2646" s="56"/>
      <c r="G2646" s="58"/>
      <c r="H2646" s="56"/>
      <c r="I2646" s="61" t="str">
        <f aca="false">IF(IsPro,IF(OR($C2646="",N($G2646)=0),"",IF(OR($C2646="Receipt",$C2646="Other Income",$C2646="Capital In",$C2646="Transfer In"),$G2646,0)),"")</f>
        <v/>
      </c>
      <c r="J2646" s="61" t="str">
        <f aca="false">IF(IsPro,IF(OR($C2646="",N($G2646)=0),"",IF(I2646=0,$G2646,0)),"")</f>
        <v/>
      </c>
      <c r="K2646" s="60" t="str">
        <f aca="false">IF(IsPro,IF($C2646="","",IF(AND(OR($C2646="Receipt",$C2646="Payment"),$D2646=""),"Party needed",IF(AND(OR($C2646="Expense",$C2646="Other Income"),$E2646=""),"Head needed",IF($F2646="","Account needed","OK")))),IF($C2646="","","PRO PLAN"))</f>
        <v/>
      </c>
    </row>
    <row r="2647" customFormat="false" ht="15" hidden="false" customHeight="false" outlineLevel="0" collapsed="false">
      <c r="A2647" s="55"/>
      <c r="B2647" s="56"/>
      <c r="C2647" s="56"/>
      <c r="D2647" s="56"/>
      <c r="E2647" s="56"/>
      <c r="F2647" s="56"/>
      <c r="G2647" s="58"/>
      <c r="H2647" s="56"/>
      <c r="I2647" s="61" t="str">
        <f aca="false">IF(IsPro,IF(OR($C2647="",N($G2647)=0),"",IF(OR($C2647="Receipt",$C2647="Other Income",$C2647="Capital In",$C2647="Transfer In"),$G2647,0)),"")</f>
        <v/>
      </c>
      <c r="J2647" s="61" t="str">
        <f aca="false">IF(IsPro,IF(OR($C2647="",N($G2647)=0),"",IF(I2647=0,$G2647,0)),"")</f>
        <v/>
      </c>
      <c r="K2647" s="60" t="str">
        <f aca="false">IF(IsPro,IF($C2647="","",IF(AND(OR($C2647="Receipt",$C2647="Payment"),$D2647=""),"Party needed",IF(AND(OR($C2647="Expense",$C2647="Other Income"),$E2647=""),"Head needed",IF($F2647="","Account needed","OK")))),IF($C2647="","","PRO PLAN"))</f>
        <v/>
      </c>
    </row>
    <row r="2648" customFormat="false" ht="15" hidden="false" customHeight="false" outlineLevel="0" collapsed="false">
      <c r="A2648" s="55"/>
      <c r="B2648" s="56"/>
      <c r="C2648" s="56"/>
      <c r="D2648" s="56"/>
      <c r="E2648" s="56"/>
      <c r="F2648" s="56"/>
      <c r="G2648" s="58"/>
      <c r="H2648" s="56"/>
      <c r="I2648" s="61" t="str">
        <f aca="false">IF(IsPro,IF(OR($C2648="",N($G2648)=0),"",IF(OR($C2648="Receipt",$C2648="Other Income",$C2648="Capital In",$C2648="Transfer In"),$G2648,0)),"")</f>
        <v/>
      </c>
      <c r="J2648" s="61" t="str">
        <f aca="false">IF(IsPro,IF(OR($C2648="",N($G2648)=0),"",IF(I2648=0,$G2648,0)),"")</f>
        <v/>
      </c>
      <c r="K2648" s="60" t="str">
        <f aca="false">IF(IsPro,IF($C2648="","",IF(AND(OR($C2648="Receipt",$C2648="Payment"),$D2648=""),"Party needed",IF(AND(OR($C2648="Expense",$C2648="Other Income"),$E2648=""),"Head needed",IF($F2648="","Account needed","OK")))),IF($C2648="","","PRO PLAN"))</f>
        <v/>
      </c>
    </row>
    <row r="2649" customFormat="false" ht="15" hidden="false" customHeight="false" outlineLevel="0" collapsed="false">
      <c r="A2649" s="55"/>
      <c r="B2649" s="56"/>
      <c r="C2649" s="56"/>
      <c r="D2649" s="56"/>
      <c r="E2649" s="56"/>
      <c r="F2649" s="56"/>
      <c r="G2649" s="58"/>
      <c r="H2649" s="56"/>
      <c r="I2649" s="61" t="str">
        <f aca="false">IF(IsPro,IF(OR($C2649="",N($G2649)=0),"",IF(OR($C2649="Receipt",$C2649="Other Income",$C2649="Capital In",$C2649="Transfer In"),$G2649,0)),"")</f>
        <v/>
      </c>
      <c r="J2649" s="61" t="str">
        <f aca="false">IF(IsPro,IF(OR($C2649="",N($G2649)=0),"",IF(I2649=0,$G2649,0)),"")</f>
        <v/>
      </c>
      <c r="K2649" s="60" t="str">
        <f aca="false">IF(IsPro,IF($C2649="","",IF(AND(OR($C2649="Receipt",$C2649="Payment"),$D2649=""),"Party needed",IF(AND(OR($C2649="Expense",$C2649="Other Income"),$E2649=""),"Head needed",IF($F2649="","Account needed","OK")))),IF($C2649="","","PRO PLAN"))</f>
        <v/>
      </c>
    </row>
    <row r="2650" customFormat="false" ht="15" hidden="false" customHeight="false" outlineLevel="0" collapsed="false">
      <c r="A2650" s="55"/>
      <c r="B2650" s="56"/>
      <c r="C2650" s="56"/>
      <c r="D2650" s="56"/>
      <c r="E2650" s="56"/>
      <c r="F2650" s="56"/>
      <c r="G2650" s="58"/>
      <c r="H2650" s="56"/>
      <c r="I2650" s="61" t="str">
        <f aca="false">IF(IsPro,IF(OR($C2650="",N($G2650)=0),"",IF(OR($C2650="Receipt",$C2650="Other Income",$C2650="Capital In",$C2650="Transfer In"),$G2650,0)),"")</f>
        <v/>
      </c>
      <c r="J2650" s="61" t="str">
        <f aca="false">IF(IsPro,IF(OR($C2650="",N($G2650)=0),"",IF(I2650=0,$G2650,0)),"")</f>
        <v/>
      </c>
      <c r="K2650" s="60" t="str">
        <f aca="false">IF(IsPro,IF($C2650="","",IF(AND(OR($C2650="Receipt",$C2650="Payment"),$D2650=""),"Party needed",IF(AND(OR($C2650="Expense",$C2650="Other Income"),$E2650=""),"Head needed",IF($F2650="","Account needed","OK")))),IF($C2650="","","PRO PLAN"))</f>
        <v/>
      </c>
    </row>
    <row r="2651" customFormat="false" ht="15" hidden="false" customHeight="false" outlineLevel="0" collapsed="false">
      <c r="A2651" s="55"/>
      <c r="B2651" s="56"/>
      <c r="C2651" s="56"/>
      <c r="D2651" s="56"/>
      <c r="E2651" s="56"/>
      <c r="F2651" s="56"/>
      <c r="G2651" s="58"/>
      <c r="H2651" s="56"/>
      <c r="I2651" s="61" t="str">
        <f aca="false">IF(IsPro,IF(OR($C2651="",N($G2651)=0),"",IF(OR($C2651="Receipt",$C2651="Other Income",$C2651="Capital In",$C2651="Transfer In"),$G2651,0)),"")</f>
        <v/>
      </c>
      <c r="J2651" s="61" t="str">
        <f aca="false">IF(IsPro,IF(OR($C2651="",N($G2651)=0),"",IF(I2651=0,$G2651,0)),"")</f>
        <v/>
      </c>
      <c r="K2651" s="60" t="str">
        <f aca="false">IF(IsPro,IF($C2651="","",IF(AND(OR($C2651="Receipt",$C2651="Payment"),$D2651=""),"Party needed",IF(AND(OR($C2651="Expense",$C2651="Other Income"),$E2651=""),"Head needed",IF($F2651="","Account needed","OK")))),IF($C2651="","","PRO PLAN"))</f>
        <v/>
      </c>
    </row>
    <row r="2652" customFormat="false" ht="15" hidden="false" customHeight="false" outlineLevel="0" collapsed="false">
      <c r="A2652" s="55"/>
      <c r="B2652" s="56"/>
      <c r="C2652" s="56"/>
      <c r="D2652" s="56"/>
      <c r="E2652" s="56"/>
      <c r="F2652" s="56"/>
      <c r="G2652" s="58"/>
      <c r="H2652" s="56"/>
      <c r="I2652" s="61" t="str">
        <f aca="false">IF(IsPro,IF(OR($C2652="",N($G2652)=0),"",IF(OR($C2652="Receipt",$C2652="Other Income",$C2652="Capital In",$C2652="Transfer In"),$G2652,0)),"")</f>
        <v/>
      </c>
      <c r="J2652" s="61" t="str">
        <f aca="false">IF(IsPro,IF(OR($C2652="",N($G2652)=0),"",IF(I2652=0,$G2652,0)),"")</f>
        <v/>
      </c>
      <c r="K2652" s="60" t="str">
        <f aca="false">IF(IsPro,IF($C2652="","",IF(AND(OR($C2652="Receipt",$C2652="Payment"),$D2652=""),"Party needed",IF(AND(OR($C2652="Expense",$C2652="Other Income"),$E2652=""),"Head needed",IF($F2652="","Account needed","OK")))),IF($C2652="","","PRO PLAN"))</f>
        <v/>
      </c>
    </row>
    <row r="2653" customFormat="false" ht="15" hidden="false" customHeight="false" outlineLevel="0" collapsed="false">
      <c r="A2653" s="55"/>
      <c r="B2653" s="56"/>
      <c r="C2653" s="56"/>
      <c r="D2653" s="56"/>
      <c r="E2653" s="56"/>
      <c r="F2653" s="56"/>
      <c r="G2653" s="58"/>
      <c r="H2653" s="56"/>
      <c r="I2653" s="61" t="str">
        <f aca="false">IF(IsPro,IF(OR($C2653="",N($G2653)=0),"",IF(OR($C2653="Receipt",$C2653="Other Income",$C2653="Capital In",$C2653="Transfer In"),$G2653,0)),"")</f>
        <v/>
      </c>
      <c r="J2653" s="61" t="str">
        <f aca="false">IF(IsPro,IF(OR($C2653="",N($G2653)=0),"",IF(I2653=0,$G2653,0)),"")</f>
        <v/>
      </c>
      <c r="K2653" s="60" t="str">
        <f aca="false">IF(IsPro,IF($C2653="","",IF(AND(OR($C2653="Receipt",$C2653="Payment"),$D2653=""),"Party needed",IF(AND(OR($C2653="Expense",$C2653="Other Income"),$E2653=""),"Head needed",IF($F2653="","Account needed","OK")))),IF($C2653="","","PRO PLAN"))</f>
        <v/>
      </c>
    </row>
    <row r="2654" customFormat="false" ht="15" hidden="false" customHeight="false" outlineLevel="0" collapsed="false">
      <c r="A2654" s="55"/>
      <c r="B2654" s="56"/>
      <c r="C2654" s="56"/>
      <c r="D2654" s="56"/>
      <c r="E2654" s="56"/>
      <c r="F2654" s="56"/>
      <c r="G2654" s="58"/>
      <c r="H2654" s="56"/>
      <c r="I2654" s="61" t="str">
        <f aca="false">IF(IsPro,IF(OR($C2654="",N($G2654)=0),"",IF(OR($C2654="Receipt",$C2654="Other Income",$C2654="Capital In",$C2654="Transfer In"),$G2654,0)),"")</f>
        <v/>
      </c>
      <c r="J2654" s="61" t="str">
        <f aca="false">IF(IsPro,IF(OR($C2654="",N($G2654)=0),"",IF(I2654=0,$G2654,0)),"")</f>
        <v/>
      </c>
      <c r="K2654" s="60" t="str">
        <f aca="false">IF(IsPro,IF($C2654="","",IF(AND(OR($C2654="Receipt",$C2654="Payment"),$D2654=""),"Party needed",IF(AND(OR($C2654="Expense",$C2654="Other Income"),$E2654=""),"Head needed",IF($F2654="","Account needed","OK")))),IF($C2654="","","PRO PLAN"))</f>
        <v/>
      </c>
    </row>
    <row r="2655" customFormat="false" ht="15" hidden="false" customHeight="false" outlineLevel="0" collapsed="false">
      <c r="A2655" s="55"/>
      <c r="B2655" s="56"/>
      <c r="C2655" s="56"/>
      <c r="D2655" s="56"/>
      <c r="E2655" s="56"/>
      <c r="F2655" s="56"/>
      <c r="G2655" s="58"/>
      <c r="H2655" s="56"/>
      <c r="I2655" s="61" t="str">
        <f aca="false">IF(IsPro,IF(OR($C2655="",N($G2655)=0),"",IF(OR($C2655="Receipt",$C2655="Other Income",$C2655="Capital In",$C2655="Transfer In"),$G2655,0)),"")</f>
        <v/>
      </c>
      <c r="J2655" s="61" t="str">
        <f aca="false">IF(IsPro,IF(OR($C2655="",N($G2655)=0),"",IF(I2655=0,$G2655,0)),"")</f>
        <v/>
      </c>
      <c r="K2655" s="60" t="str">
        <f aca="false">IF(IsPro,IF($C2655="","",IF(AND(OR($C2655="Receipt",$C2655="Payment"),$D2655=""),"Party needed",IF(AND(OR($C2655="Expense",$C2655="Other Income"),$E2655=""),"Head needed",IF($F2655="","Account needed","OK")))),IF($C2655="","","PRO PLAN"))</f>
        <v/>
      </c>
    </row>
    <row r="2656" customFormat="false" ht="15" hidden="false" customHeight="false" outlineLevel="0" collapsed="false">
      <c r="A2656" s="55"/>
      <c r="B2656" s="56"/>
      <c r="C2656" s="56"/>
      <c r="D2656" s="56"/>
      <c r="E2656" s="56"/>
      <c r="F2656" s="56"/>
      <c r="G2656" s="58"/>
      <c r="H2656" s="56"/>
      <c r="I2656" s="61" t="str">
        <f aca="false">IF(IsPro,IF(OR($C2656="",N($G2656)=0),"",IF(OR($C2656="Receipt",$C2656="Other Income",$C2656="Capital In",$C2656="Transfer In"),$G2656,0)),"")</f>
        <v/>
      </c>
      <c r="J2656" s="61" t="str">
        <f aca="false">IF(IsPro,IF(OR($C2656="",N($G2656)=0),"",IF(I2656=0,$G2656,0)),"")</f>
        <v/>
      </c>
      <c r="K2656" s="60" t="str">
        <f aca="false">IF(IsPro,IF($C2656="","",IF(AND(OR($C2656="Receipt",$C2656="Payment"),$D2656=""),"Party needed",IF(AND(OR($C2656="Expense",$C2656="Other Income"),$E2656=""),"Head needed",IF($F2656="","Account needed","OK")))),IF($C2656="","","PRO PLAN"))</f>
        <v/>
      </c>
    </row>
    <row r="2657" customFormat="false" ht="15" hidden="false" customHeight="false" outlineLevel="0" collapsed="false">
      <c r="A2657" s="55"/>
      <c r="B2657" s="56"/>
      <c r="C2657" s="56"/>
      <c r="D2657" s="56"/>
      <c r="E2657" s="56"/>
      <c r="F2657" s="56"/>
      <c r="G2657" s="58"/>
      <c r="H2657" s="56"/>
      <c r="I2657" s="61" t="str">
        <f aca="false">IF(IsPro,IF(OR($C2657="",N($G2657)=0),"",IF(OR($C2657="Receipt",$C2657="Other Income",$C2657="Capital In",$C2657="Transfer In"),$G2657,0)),"")</f>
        <v/>
      </c>
      <c r="J2657" s="61" t="str">
        <f aca="false">IF(IsPro,IF(OR($C2657="",N($G2657)=0),"",IF(I2657=0,$G2657,0)),"")</f>
        <v/>
      </c>
      <c r="K2657" s="60" t="str">
        <f aca="false">IF(IsPro,IF($C2657="","",IF(AND(OR($C2657="Receipt",$C2657="Payment"),$D2657=""),"Party needed",IF(AND(OR($C2657="Expense",$C2657="Other Income"),$E2657=""),"Head needed",IF($F2657="","Account needed","OK")))),IF($C2657="","","PRO PLAN"))</f>
        <v/>
      </c>
    </row>
    <row r="2658" customFormat="false" ht="15" hidden="false" customHeight="false" outlineLevel="0" collapsed="false">
      <c r="A2658" s="55"/>
      <c r="B2658" s="56"/>
      <c r="C2658" s="56"/>
      <c r="D2658" s="56"/>
      <c r="E2658" s="56"/>
      <c r="F2658" s="56"/>
      <c r="G2658" s="58"/>
      <c r="H2658" s="56"/>
      <c r="I2658" s="61" t="str">
        <f aca="false">IF(IsPro,IF(OR($C2658="",N($G2658)=0),"",IF(OR($C2658="Receipt",$C2658="Other Income",$C2658="Capital In",$C2658="Transfer In"),$G2658,0)),"")</f>
        <v/>
      </c>
      <c r="J2658" s="61" t="str">
        <f aca="false">IF(IsPro,IF(OR($C2658="",N($G2658)=0),"",IF(I2658=0,$G2658,0)),"")</f>
        <v/>
      </c>
      <c r="K2658" s="60" t="str">
        <f aca="false">IF(IsPro,IF($C2658="","",IF(AND(OR($C2658="Receipt",$C2658="Payment"),$D2658=""),"Party needed",IF(AND(OR($C2658="Expense",$C2658="Other Income"),$E2658=""),"Head needed",IF($F2658="","Account needed","OK")))),IF($C2658="","","PRO PLAN"))</f>
        <v/>
      </c>
    </row>
    <row r="2659" customFormat="false" ht="15" hidden="false" customHeight="false" outlineLevel="0" collapsed="false">
      <c r="A2659" s="55"/>
      <c r="B2659" s="56"/>
      <c r="C2659" s="56"/>
      <c r="D2659" s="56"/>
      <c r="E2659" s="56"/>
      <c r="F2659" s="56"/>
      <c r="G2659" s="58"/>
      <c r="H2659" s="56"/>
      <c r="I2659" s="61" t="str">
        <f aca="false">IF(IsPro,IF(OR($C2659="",N($G2659)=0),"",IF(OR($C2659="Receipt",$C2659="Other Income",$C2659="Capital In",$C2659="Transfer In"),$G2659,0)),"")</f>
        <v/>
      </c>
      <c r="J2659" s="61" t="str">
        <f aca="false">IF(IsPro,IF(OR($C2659="",N($G2659)=0),"",IF(I2659=0,$G2659,0)),"")</f>
        <v/>
      </c>
      <c r="K2659" s="60" t="str">
        <f aca="false">IF(IsPro,IF($C2659="","",IF(AND(OR($C2659="Receipt",$C2659="Payment"),$D2659=""),"Party needed",IF(AND(OR($C2659="Expense",$C2659="Other Income"),$E2659=""),"Head needed",IF($F2659="","Account needed","OK")))),IF($C2659="","","PRO PLAN"))</f>
        <v/>
      </c>
    </row>
    <row r="2660" customFormat="false" ht="15" hidden="false" customHeight="false" outlineLevel="0" collapsed="false">
      <c r="A2660" s="55"/>
      <c r="B2660" s="56"/>
      <c r="C2660" s="56"/>
      <c r="D2660" s="56"/>
      <c r="E2660" s="56"/>
      <c r="F2660" s="56"/>
      <c r="G2660" s="58"/>
      <c r="H2660" s="56"/>
      <c r="I2660" s="61" t="str">
        <f aca="false">IF(IsPro,IF(OR($C2660="",N($G2660)=0),"",IF(OR($C2660="Receipt",$C2660="Other Income",$C2660="Capital In",$C2660="Transfer In"),$G2660,0)),"")</f>
        <v/>
      </c>
      <c r="J2660" s="61" t="str">
        <f aca="false">IF(IsPro,IF(OR($C2660="",N($G2660)=0),"",IF(I2660=0,$G2660,0)),"")</f>
        <v/>
      </c>
      <c r="K2660" s="60" t="str">
        <f aca="false">IF(IsPro,IF($C2660="","",IF(AND(OR($C2660="Receipt",$C2660="Payment"),$D2660=""),"Party needed",IF(AND(OR($C2660="Expense",$C2660="Other Income"),$E2660=""),"Head needed",IF($F2660="","Account needed","OK")))),IF($C2660="","","PRO PLAN"))</f>
        <v/>
      </c>
    </row>
    <row r="2661" customFormat="false" ht="15" hidden="false" customHeight="false" outlineLevel="0" collapsed="false">
      <c r="A2661" s="55"/>
      <c r="B2661" s="56"/>
      <c r="C2661" s="56"/>
      <c r="D2661" s="56"/>
      <c r="E2661" s="56"/>
      <c r="F2661" s="56"/>
      <c r="G2661" s="58"/>
      <c r="H2661" s="56"/>
      <c r="I2661" s="61" t="str">
        <f aca="false">IF(IsPro,IF(OR($C2661="",N($G2661)=0),"",IF(OR($C2661="Receipt",$C2661="Other Income",$C2661="Capital In",$C2661="Transfer In"),$G2661,0)),"")</f>
        <v/>
      </c>
      <c r="J2661" s="61" t="str">
        <f aca="false">IF(IsPro,IF(OR($C2661="",N($G2661)=0),"",IF(I2661=0,$G2661,0)),"")</f>
        <v/>
      </c>
      <c r="K2661" s="60" t="str">
        <f aca="false">IF(IsPro,IF($C2661="","",IF(AND(OR($C2661="Receipt",$C2661="Payment"),$D2661=""),"Party needed",IF(AND(OR($C2661="Expense",$C2661="Other Income"),$E2661=""),"Head needed",IF($F2661="","Account needed","OK")))),IF($C2661="","","PRO PLAN"))</f>
        <v/>
      </c>
    </row>
    <row r="2662" customFormat="false" ht="15" hidden="false" customHeight="false" outlineLevel="0" collapsed="false">
      <c r="A2662" s="55"/>
      <c r="B2662" s="56"/>
      <c r="C2662" s="56"/>
      <c r="D2662" s="56"/>
      <c r="E2662" s="56"/>
      <c r="F2662" s="56"/>
      <c r="G2662" s="58"/>
      <c r="H2662" s="56"/>
      <c r="I2662" s="61" t="str">
        <f aca="false">IF(IsPro,IF(OR($C2662="",N($G2662)=0),"",IF(OR($C2662="Receipt",$C2662="Other Income",$C2662="Capital In",$C2662="Transfer In"),$G2662,0)),"")</f>
        <v/>
      </c>
      <c r="J2662" s="61" t="str">
        <f aca="false">IF(IsPro,IF(OR($C2662="",N($G2662)=0),"",IF(I2662=0,$G2662,0)),"")</f>
        <v/>
      </c>
      <c r="K2662" s="60" t="str">
        <f aca="false">IF(IsPro,IF($C2662="","",IF(AND(OR($C2662="Receipt",$C2662="Payment"),$D2662=""),"Party needed",IF(AND(OR($C2662="Expense",$C2662="Other Income"),$E2662=""),"Head needed",IF($F2662="","Account needed","OK")))),IF($C2662="","","PRO PLAN"))</f>
        <v/>
      </c>
    </row>
    <row r="2663" customFormat="false" ht="15" hidden="false" customHeight="false" outlineLevel="0" collapsed="false">
      <c r="A2663" s="55"/>
      <c r="B2663" s="56"/>
      <c r="C2663" s="56"/>
      <c r="D2663" s="56"/>
      <c r="E2663" s="56"/>
      <c r="F2663" s="56"/>
      <c r="G2663" s="58"/>
      <c r="H2663" s="56"/>
      <c r="I2663" s="61" t="str">
        <f aca="false">IF(IsPro,IF(OR($C2663="",N($G2663)=0),"",IF(OR($C2663="Receipt",$C2663="Other Income",$C2663="Capital In",$C2663="Transfer In"),$G2663,0)),"")</f>
        <v/>
      </c>
      <c r="J2663" s="61" t="str">
        <f aca="false">IF(IsPro,IF(OR($C2663="",N($G2663)=0),"",IF(I2663=0,$G2663,0)),"")</f>
        <v/>
      </c>
      <c r="K2663" s="60" t="str">
        <f aca="false">IF(IsPro,IF($C2663="","",IF(AND(OR($C2663="Receipt",$C2663="Payment"),$D2663=""),"Party needed",IF(AND(OR($C2663="Expense",$C2663="Other Income"),$E2663=""),"Head needed",IF($F2663="","Account needed","OK")))),IF($C2663="","","PRO PLAN"))</f>
        <v/>
      </c>
    </row>
    <row r="2664" customFormat="false" ht="15" hidden="false" customHeight="false" outlineLevel="0" collapsed="false">
      <c r="A2664" s="55"/>
      <c r="B2664" s="56"/>
      <c r="C2664" s="56"/>
      <c r="D2664" s="56"/>
      <c r="E2664" s="56"/>
      <c r="F2664" s="56"/>
      <c r="G2664" s="58"/>
      <c r="H2664" s="56"/>
      <c r="I2664" s="61" t="str">
        <f aca="false">IF(IsPro,IF(OR($C2664="",N($G2664)=0),"",IF(OR($C2664="Receipt",$C2664="Other Income",$C2664="Capital In",$C2664="Transfer In"),$G2664,0)),"")</f>
        <v/>
      </c>
      <c r="J2664" s="61" t="str">
        <f aca="false">IF(IsPro,IF(OR($C2664="",N($G2664)=0),"",IF(I2664=0,$G2664,0)),"")</f>
        <v/>
      </c>
      <c r="K2664" s="60" t="str">
        <f aca="false">IF(IsPro,IF($C2664="","",IF(AND(OR($C2664="Receipt",$C2664="Payment"),$D2664=""),"Party needed",IF(AND(OR($C2664="Expense",$C2664="Other Income"),$E2664=""),"Head needed",IF($F2664="","Account needed","OK")))),IF($C2664="","","PRO PLAN"))</f>
        <v/>
      </c>
    </row>
    <row r="2665" customFormat="false" ht="15" hidden="false" customHeight="false" outlineLevel="0" collapsed="false">
      <c r="A2665" s="55"/>
      <c r="B2665" s="56"/>
      <c r="C2665" s="56"/>
      <c r="D2665" s="56"/>
      <c r="E2665" s="56"/>
      <c r="F2665" s="56"/>
      <c r="G2665" s="58"/>
      <c r="H2665" s="56"/>
      <c r="I2665" s="61" t="str">
        <f aca="false">IF(IsPro,IF(OR($C2665="",N($G2665)=0),"",IF(OR($C2665="Receipt",$C2665="Other Income",$C2665="Capital In",$C2665="Transfer In"),$G2665,0)),"")</f>
        <v/>
      </c>
      <c r="J2665" s="61" t="str">
        <f aca="false">IF(IsPro,IF(OR($C2665="",N($G2665)=0),"",IF(I2665=0,$G2665,0)),"")</f>
        <v/>
      </c>
      <c r="K2665" s="60" t="str">
        <f aca="false">IF(IsPro,IF($C2665="","",IF(AND(OR($C2665="Receipt",$C2665="Payment"),$D2665=""),"Party needed",IF(AND(OR($C2665="Expense",$C2665="Other Income"),$E2665=""),"Head needed",IF($F2665="","Account needed","OK")))),IF($C2665="","","PRO PLAN"))</f>
        <v/>
      </c>
    </row>
    <row r="2666" customFormat="false" ht="15" hidden="false" customHeight="false" outlineLevel="0" collapsed="false">
      <c r="A2666" s="55"/>
      <c r="B2666" s="56"/>
      <c r="C2666" s="56"/>
      <c r="D2666" s="56"/>
      <c r="E2666" s="56"/>
      <c r="F2666" s="56"/>
      <c r="G2666" s="58"/>
      <c r="H2666" s="56"/>
      <c r="I2666" s="61" t="str">
        <f aca="false">IF(IsPro,IF(OR($C2666="",N($G2666)=0),"",IF(OR($C2666="Receipt",$C2666="Other Income",$C2666="Capital In",$C2666="Transfer In"),$G2666,0)),"")</f>
        <v/>
      </c>
      <c r="J2666" s="61" t="str">
        <f aca="false">IF(IsPro,IF(OR($C2666="",N($G2666)=0),"",IF(I2666=0,$G2666,0)),"")</f>
        <v/>
      </c>
      <c r="K2666" s="60" t="str">
        <f aca="false">IF(IsPro,IF($C2666="","",IF(AND(OR($C2666="Receipt",$C2666="Payment"),$D2666=""),"Party needed",IF(AND(OR($C2666="Expense",$C2666="Other Income"),$E2666=""),"Head needed",IF($F2666="","Account needed","OK")))),IF($C2666="","","PRO PLAN"))</f>
        <v/>
      </c>
    </row>
    <row r="2667" customFormat="false" ht="15" hidden="false" customHeight="false" outlineLevel="0" collapsed="false">
      <c r="A2667" s="55"/>
      <c r="B2667" s="56"/>
      <c r="C2667" s="56"/>
      <c r="D2667" s="56"/>
      <c r="E2667" s="56"/>
      <c r="F2667" s="56"/>
      <c r="G2667" s="58"/>
      <c r="H2667" s="56"/>
      <c r="I2667" s="61" t="str">
        <f aca="false">IF(IsPro,IF(OR($C2667="",N($G2667)=0),"",IF(OR($C2667="Receipt",$C2667="Other Income",$C2667="Capital In",$C2667="Transfer In"),$G2667,0)),"")</f>
        <v/>
      </c>
      <c r="J2667" s="61" t="str">
        <f aca="false">IF(IsPro,IF(OR($C2667="",N($G2667)=0),"",IF(I2667=0,$G2667,0)),"")</f>
        <v/>
      </c>
      <c r="K2667" s="60" t="str">
        <f aca="false">IF(IsPro,IF($C2667="","",IF(AND(OR($C2667="Receipt",$C2667="Payment"),$D2667=""),"Party needed",IF(AND(OR($C2667="Expense",$C2667="Other Income"),$E2667=""),"Head needed",IF($F2667="","Account needed","OK")))),IF($C2667="","","PRO PLAN"))</f>
        <v/>
      </c>
    </row>
    <row r="2668" customFormat="false" ht="15" hidden="false" customHeight="false" outlineLevel="0" collapsed="false">
      <c r="A2668" s="55"/>
      <c r="B2668" s="56"/>
      <c r="C2668" s="56"/>
      <c r="D2668" s="56"/>
      <c r="E2668" s="56"/>
      <c r="F2668" s="56"/>
      <c r="G2668" s="58"/>
      <c r="H2668" s="56"/>
      <c r="I2668" s="61" t="str">
        <f aca="false">IF(IsPro,IF(OR($C2668="",N($G2668)=0),"",IF(OR($C2668="Receipt",$C2668="Other Income",$C2668="Capital In",$C2668="Transfer In"),$G2668,0)),"")</f>
        <v/>
      </c>
      <c r="J2668" s="61" t="str">
        <f aca="false">IF(IsPro,IF(OR($C2668="",N($G2668)=0),"",IF(I2668=0,$G2668,0)),"")</f>
        <v/>
      </c>
      <c r="K2668" s="60" t="str">
        <f aca="false">IF(IsPro,IF($C2668="","",IF(AND(OR($C2668="Receipt",$C2668="Payment"),$D2668=""),"Party needed",IF(AND(OR($C2668="Expense",$C2668="Other Income"),$E2668=""),"Head needed",IF($F2668="","Account needed","OK")))),IF($C2668="","","PRO PLAN"))</f>
        <v/>
      </c>
    </row>
    <row r="2669" customFormat="false" ht="15" hidden="false" customHeight="false" outlineLevel="0" collapsed="false">
      <c r="A2669" s="55"/>
      <c r="B2669" s="56"/>
      <c r="C2669" s="56"/>
      <c r="D2669" s="56"/>
      <c r="E2669" s="56"/>
      <c r="F2669" s="56"/>
      <c r="G2669" s="58"/>
      <c r="H2669" s="56"/>
      <c r="I2669" s="61" t="str">
        <f aca="false">IF(IsPro,IF(OR($C2669="",N($G2669)=0),"",IF(OR($C2669="Receipt",$C2669="Other Income",$C2669="Capital In",$C2669="Transfer In"),$G2669,0)),"")</f>
        <v/>
      </c>
      <c r="J2669" s="61" t="str">
        <f aca="false">IF(IsPro,IF(OR($C2669="",N($G2669)=0),"",IF(I2669=0,$G2669,0)),"")</f>
        <v/>
      </c>
      <c r="K2669" s="60" t="str">
        <f aca="false">IF(IsPro,IF($C2669="","",IF(AND(OR($C2669="Receipt",$C2669="Payment"),$D2669=""),"Party needed",IF(AND(OR($C2669="Expense",$C2669="Other Income"),$E2669=""),"Head needed",IF($F2669="","Account needed","OK")))),IF($C2669="","","PRO PLAN"))</f>
        <v/>
      </c>
    </row>
    <row r="2670" customFormat="false" ht="15" hidden="false" customHeight="false" outlineLevel="0" collapsed="false">
      <c r="A2670" s="55"/>
      <c r="B2670" s="56"/>
      <c r="C2670" s="56"/>
      <c r="D2670" s="56"/>
      <c r="E2670" s="56"/>
      <c r="F2670" s="56"/>
      <c r="G2670" s="58"/>
      <c r="H2670" s="56"/>
      <c r="I2670" s="61" t="str">
        <f aca="false">IF(IsPro,IF(OR($C2670="",N($G2670)=0),"",IF(OR($C2670="Receipt",$C2670="Other Income",$C2670="Capital In",$C2670="Transfer In"),$G2670,0)),"")</f>
        <v/>
      </c>
      <c r="J2670" s="61" t="str">
        <f aca="false">IF(IsPro,IF(OR($C2670="",N($G2670)=0),"",IF(I2670=0,$G2670,0)),"")</f>
        <v/>
      </c>
      <c r="K2670" s="60" t="str">
        <f aca="false">IF(IsPro,IF($C2670="","",IF(AND(OR($C2670="Receipt",$C2670="Payment"),$D2670=""),"Party needed",IF(AND(OR($C2670="Expense",$C2670="Other Income"),$E2670=""),"Head needed",IF($F2670="","Account needed","OK")))),IF($C2670="","","PRO PLAN"))</f>
        <v/>
      </c>
    </row>
    <row r="2671" customFormat="false" ht="15" hidden="false" customHeight="false" outlineLevel="0" collapsed="false">
      <c r="A2671" s="55"/>
      <c r="B2671" s="56"/>
      <c r="C2671" s="56"/>
      <c r="D2671" s="56"/>
      <c r="E2671" s="56"/>
      <c r="F2671" s="56"/>
      <c r="G2671" s="58"/>
      <c r="H2671" s="56"/>
      <c r="I2671" s="61" t="str">
        <f aca="false">IF(IsPro,IF(OR($C2671="",N($G2671)=0),"",IF(OR($C2671="Receipt",$C2671="Other Income",$C2671="Capital In",$C2671="Transfer In"),$G2671,0)),"")</f>
        <v/>
      </c>
      <c r="J2671" s="61" t="str">
        <f aca="false">IF(IsPro,IF(OR($C2671="",N($G2671)=0),"",IF(I2671=0,$G2671,0)),"")</f>
        <v/>
      </c>
      <c r="K2671" s="60" t="str">
        <f aca="false">IF(IsPro,IF($C2671="","",IF(AND(OR($C2671="Receipt",$C2671="Payment"),$D2671=""),"Party needed",IF(AND(OR($C2671="Expense",$C2671="Other Income"),$E2671=""),"Head needed",IF($F2671="","Account needed","OK")))),IF($C2671="","","PRO PLAN"))</f>
        <v/>
      </c>
    </row>
    <row r="2672" customFormat="false" ht="15" hidden="false" customHeight="false" outlineLevel="0" collapsed="false">
      <c r="A2672" s="55"/>
      <c r="B2672" s="56"/>
      <c r="C2672" s="56"/>
      <c r="D2672" s="56"/>
      <c r="E2672" s="56"/>
      <c r="F2672" s="56"/>
      <c r="G2672" s="58"/>
      <c r="H2672" s="56"/>
      <c r="I2672" s="61" t="str">
        <f aca="false">IF(IsPro,IF(OR($C2672="",N($G2672)=0),"",IF(OR($C2672="Receipt",$C2672="Other Income",$C2672="Capital In",$C2672="Transfer In"),$G2672,0)),"")</f>
        <v/>
      </c>
      <c r="J2672" s="61" t="str">
        <f aca="false">IF(IsPro,IF(OR($C2672="",N($G2672)=0),"",IF(I2672=0,$G2672,0)),"")</f>
        <v/>
      </c>
      <c r="K2672" s="60" t="str">
        <f aca="false">IF(IsPro,IF($C2672="","",IF(AND(OR($C2672="Receipt",$C2672="Payment"),$D2672=""),"Party needed",IF(AND(OR($C2672="Expense",$C2672="Other Income"),$E2672=""),"Head needed",IF($F2672="","Account needed","OK")))),IF($C2672="","","PRO PLAN"))</f>
        <v/>
      </c>
    </row>
    <row r="2673" customFormat="false" ht="15" hidden="false" customHeight="false" outlineLevel="0" collapsed="false">
      <c r="A2673" s="55"/>
      <c r="B2673" s="56"/>
      <c r="C2673" s="56"/>
      <c r="D2673" s="56"/>
      <c r="E2673" s="56"/>
      <c r="F2673" s="56"/>
      <c r="G2673" s="58"/>
      <c r="H2673" s="56"/>
      <c r="I2673" s="61" t="str">
        <f aca="false">IF(IsPro,IF(OR($C2673="",N($G2673)=0),"",IF(OR($C2673="Receipt",$C2673="Other Income",$C2673="Capital In",$C2673="Transfer In"),$G2673,0)),"")</f>
        <v/>
      </c>
      <c r="J2673" s="61" t="str">
        <f aca="false">IF(IsPro,IF(OR($C2673="",N($G2673)=0),"",IF(I2673=0,$G2673,0)),"")</f>
        <v/>
      </c>
      <c r="K2673" s="60" t="str">
        <f aca="false">IF(IsPro,IF($C2673="","",IF(AND(OR($C2673="Receipt",$C2673="Payment"),$D2673=""),"Party needed",IF(AND(OR($C2673="Expense",$C2673="Other Income"),$E2673=""),"Head needed",IF($F2673="","Account needed","OK")))),IF($C2673="","","PRO PLAN"))</f>
        <v/>
      </c>
    </row>
    <row r="2674" customFormat="false" ht="15" hidden="false" customHeight="false" outlineLevel="0" collapsed="false">
      <c r="A2674" s="55"/>
      <c r="B2674" s="56"/>
      <c r="C2674" s="56"/>
      <c r="D2674" s="56"/>
      <c r="E2674" s="56"/>
      <c r="F2674" s="56"/>
      <c r="G2674" s="58"/>
      <c r="H2674" s="56"/>
      <c r="I2674" s="61" t="str">
        <f aca="false">IF(IsPro,IF(OR($C2674="",N($G2674)=0),"",IF(OR($C2674="Receipt",$C2674="Other Income",$C2674="Capital In",$C2674="Transfer In"),$G2674,0)),"")</f>
        <v/>
      </c>
      <c r="J2674" s="61" t="str">
        <f aca="false">IF(IsPro,IF(OR($C2674="",N($G2674)=0),"",IF(I2674=0,$G2674,0)),"")</f>
        <v/>
      </c>
      <c r="K2674" s="60" t="str">
        <f aca="false">IF(IsPro,IF($C2674="","",IF(AND(OR($C2674="Receipt",$C2674="Payment"),$D2674=""),"Party needed",IF(AND(OR($C2674="Expense",$C2674="Other Income"),$E2674=""),"Head needed",IF($F2674="","Account needed","OK")))),IF($C2674="","","PRO PLAN"))</f>
        <v/>
      </c>
    </row>
    <row r="2675" customFormat="false" ht="15" hidden="false" customHeight="false" outlineLevel="0" collapsed="false">
      <c r="A2675" s="55"/>
      <c r="B2675" s="56"/>
      <c r="C2675" s="56"/>
      <c r="D2675" s="56"/>
      <c r="E2675" s="56"/>
      <c r="F2675" s="56"/>
      <c r="G2675" s="58"/>
      <c r="H2675" s="56"/>
      <c r="I2675" s="61" t="str">
        <f aca="false">IF(IsPro,IF(OR($C2675="",N($G2675)=0),"",IF(OR($C2675="Receipt",$C2675="Other Income",$C2675="Capital In",$C2675="Transfer In"),$G2675,0)),"")</f>
        <v/>
      </c>
      <c r="J2675" s="61" t="str">
        <f aca="false">IF(IsPro,IF(OR($C2675="",N($G2675)=0),"",IF(I2675=0,$G2675,0)),"")</f>
        <v/>
      </c>
      <c r="K2675" s="60" t="str">
        <f aca="false">IF(IsPro,IF($C2675="","",IF(AND(OR($C2675="Receipt",$C2675="Payment"),$D2675=""),"Party needed",IF(AND(OR($C2675="Expense",$C2675="Other Income"),$E2675=""),"Head needed",IF($F2675="","Account needed","OK")))),IF($C2675="","","PRO PLAN"))</f>
        <v/>
      </c>
    </row>
    <row r="2676" customFormat="false" ht="15" hidden="false" customHeight="false" outlineLevel="0" collapsed="false">
      <c r="A2676" s="55"/>
      <c r="B2676" s="56"/>
      <c r="C2676" s="56"/>
      <c r="D2676" s="56"/>
      <c r="E2676" s="56"/>
      <c r="F2676" s="56"/>
      <c r="G2676" s="58"/>
      <c r="H2676" s="56"/>
      <c r="I2676" s="61" t="str">
        <f aca="false">IF(IsPro,IF(OR($C2676="",N($G2676)=0),"",IF(OR($C2676="Receipt",$C2676="Other Income",$C2676="Capital In",$C2676="Transfer In"),$G2676,0)),"")</f>
        <v/>
      </c>
      <c r="J2676" s="61" t="str">
        <f aca="false">IF(IsPro,IF(OR($C2676="",N($G2676)=0),"",IF(I2676=0,$G2676,0)),"")</f>
        <v/>
      </c>
      <c r="K2676" s="60" t="str">
        <f aca="false">IF(IsPro,IF($C2676="","",IF(AND(OR($C2676="Receipt",$C2676="Payment"),$D2676=""),"Party needed",IF(AND(OR($C2676="Expense",$C2676="Other Income"),$E2676=""),"Head needed",IF($F2676="","Account needed","OK")))),IF($C2676="","","PRO PLAN"))</f>
        <v/>
      </c>
    </row>
    <row r="2677" customFormat="false" ht="15" hidden="false" customHeight="false" outlineLevel="0" collapsed="false">
      <c r="A2677" s="55"/>
      <c r="B2677" s="56"/>
      <c r="C2677" s="56"/>
      <c r="D2677" s="56"/>
      <c r="E2677" s="56"/>
      <c r="F2677" s="56"/>
      <c r="G2677" s="58"/>
      <c r="H2677" s="56"/>
      <c r="I2677" s="61" t="str">
        <f aca="false">IF(IsPro,IF(OR($C2677="",N($G2677)=0),"",IF(OR($C2677="Receipt",$C2677="Other Income",$C2677="Capital In",$C2677="Transfer In"),$G2677,0)),"")</f>
        <v/>
      </c>
      <c r="J2677" s="61" t="str">
        <f aca="false">IF(IsPro,IF(OR($C2677="",N($G2677)=0),"",IF(I2677=0,$G2677,0)),"")</f>
        <v/>
      </c>
      <c r="K2677" s="60" t="str">
        <f aca="false">IF(IsPro,IF($C2677="","",IF(AND(OR($C2677="Receipt",$C2677="Payment"),$D2677=""),"Party needed",IF(AND(OR($C2677="Expense",$C2677="Other Income"),$E2677=""),"Head needed",IF($F2677="","Account needed","OK")))),IF($C2677="","","PRO PLAN"))</f>
        <v/>
      </c>
    </row>
    <row r="2678" customFormat="false" ht="15" hidden="false" customHeight="false" outlineLevel="0" collapsed="false">
      <c r="A2678" s="55"/>
      <c r="B2678" s="56"/>
      <c r="C2678" s="56"/>
      <c r="D2678" s="56"/>
      <c r="E2678" s="56"/>
      <c r="F2678" s="56"/>
      <c r="G2678" s="58"/>
      <c r="H2678" s="56"/>
      <c r="I2678" s="61" t="str">
        <f aca="false">IF(IsPro,IF(OR($C2678="",N($G2678)=0),"",IF(OR($C2678="Receipt",$C2678="Other Income",$C2678="Capital In",$C2678="Transfer In"),$G2678,0)),"")</f>
        <v/>
      </c>
      <c r="J2678" s="61" t="str">
        <f aca="false">IF(IsPro,IF(OR($C2678="",N($G2678)=0),"",IF(I2678=0,$G2678,0)),"")</f>
        <v/>
      </c>
      <c r="K2678" s="60" t="str">
        <f aca="false">IF(IsPro,IF($C2678="","",IF(AND(OR($C2678="Receipt",$C2678="Payment"),$D2678=""),"Party needed",IF(AND(OR($C2678="Expense",$C2678="Other Income"),$E2678=""),"Head needed",IF($F2678="","Account needed","OK")))),IF($C2678="","","PRO PLAN"))</f>
        <v/>
      </c>
    </row>
    <row r="2679" customFormat="false" ht="15" hidden="false" customHeight="false" outlineLevel="0" collapsed="false">
      <c r="A2679" s="55"/>
      <c r="B2679" s="56"/>
      <c r="C2679" s="56"/>
      <c r="D2679" s="56"/>
      <c r="E2679" s="56"/>
      <c r="F2679" s="56"/>
      <c r="G2679" s="58"/>
      <c r="H2679" s="56"/>
      <c r="I2679" s="61" t="str">
        <f aca="false">IF(IsPro,IF(OR($C2679="",N($G2679)=0),"",IF(OR($C2679="Receipt",$C2679="Other Income",$C2679="Capital In",$C2679="Transfer In"),$G2679,0)),"")</f>
        <v/>
      </c>
      <c r="J2679" s="61" t="str">
        <f aca="false">IF(IsPro,IF(OR($C2679="",N($G2679)=0),"",IF(I2679=0,$G2679,0)),"")</f>
        <v/>
      </c>
      <c r="K2679" s="60" t="str">
        <f aca="false">IF(IsPro,IF($C2679="","",IF(AND(OR($C2679="Receipt",$C2679="Payment"),$D2679=""),"Party needed",IF(AND(OR($C2679="Expense",$C2679="Other Income"),$E2679=""),"Head needed",IF($F2679="","Account needed","OK")))),IF($C2679="","","PRO PLAN"))</f>
        <v/>
      </c>
    </row>
    <row r="2680" customFormat="false" ht="15" hidden="false" customHeight="false" outlineLevel="0" collapsed="false">
      <c r="A2680" s="55"/>
      <c r="B2680" s="56"/>
      <c r="C2680" s="56"/>
      <c r="D2680" s="56"/>
      <c r="E2680" s="56"/>
      <c r="F2680" s="56"/>
      <c r="G2680" s="58"/>
      <c r="H2680" s="56"/>
      <c r="I2680" s="61" t="str">
        <f aca="false">IF(IsPro,IF(OR($C2680="",N($G2680)=0),"",IF(OR($C2680="Receipt",$C2680="Other Income",$C2680="Capital In",$C2680="Transfer In"),$G2680,0)),"")</f>
        <v/>
      </c>
      <c r="J2680" s="61" t="str">
        <f aca="false">IF(IsPro,IF(OR($C2680="",N($G2680)=0),"",IF(I2680=0,$G2680,0)),"")</f>
        <v/>
      </c>
      <c r="K2680" s="60" t="str">
        <f aca="false">IF(IsPro,IF($C2680="","",IF(AND(OR($C2680="Receipt",$C2680="Payment"),$D2680=""),"Party needed",IF(AND(OR($C2680="Expense",$C2680="Other Income"),$E2680=""),"Head needed",IF($F2680="","Account needed","OK")))),IF($C2680="","","PRO PLAN"))</f>
        <v/>
      </c>
    </row>
    <row r="2681" customFormat="false" ht="15" hidden="false" customHeight="false" outlineLevel="0" collapsed="false">
      <c r="A2681" s="55"/>
      <c r="B2681" s="56"/>
      <c r="C2681" s="56"/>
      <c r="D2681" s="56"/>
      <c r="E2681" s="56"/>
      <c r="F2681" s="56"/>
      <c r="G2681" s="58"/>
      <c r="H2681" s="56"/>
      <c r="I2681" s="61" t="str">
        <f aca="false">IF(IsPro,IF(OR($C2681="",N($G2681)=0),"",IF(OR($C2681="Receipt",$C2681="Other Income",$C2681="Capital In",$C2681="Transfer In"),$G2681,0)),"")</f>
        <v/>
      </c>
      <c r="J2681" s="61" t="str">
        <f aca="false">IF(IsPro,IF(OR($C2681="",N($G2681)=0),"",IF(I2681=0,$G2681,0)),"")</f>
        <v/>
      </c>
      <c r="K2681" s="60" t="str">
        <f aca="false">IF(IsPro,IF($C2681="","",IF(AND(OR($C2681="Receipt",$C2681="Payment"),$D2681=""),"Party needed",IF(AND(OR($C2681="Expense",$C2681="Other Income"),$E2681=""),"Head needed",IF($F2681="","Account needed","OK")))),IF($C2681="","","PRO PLAN"))</f>
        <v/>
      </c>
    </row>
    <row r="2682" customFormat="false" ht="15" hidden="false" customHeight="false" outlineLevel="0" collapsed="false">
      <c r="A2682" s="55"/>
      <c r="B2682" s="56"/>
      <c r="C2682" s="56"/>
      <c r="D2682" s="56"/>
      <c r="E2682" s="56"/>
      <c r="F2682" s="56"/>
      <c r="G2682" s="58"/>
      <c r="H2682" s="56"/>
      <c r="I2682" s="61" t="str">
        <f aca="false">IF(IsPro,IF(OR($C2682="",N($G2682)=0),"",IF(OR($C2682="Receipt",$C2682="Other Income",$C2682="Capital In",$C2682="Transfer In"),$G2682,0)),"")</f>
        <v/>
      </c>
      <c r="J2682" s="61" t="str">
        <f aca="false">IF(IsPro,IF(OR($C2682="",N($G2682)=0),"",IF(I2682=0,$G2682,0)),"")</f>
        <v/>
      </c>
      <c r="K2682" s="60" t="str">
        <f aca="false">IF(IsPro,IF($C2682="","",IF(AND(OR($C2682="Receipt",$C2682="Payment"),$D2682=""),"Party needed",IF(AND(OR($C2682="Expense",$C2682="Other Income"),$E2682=""),"Head needed",IF($F2682="","Account needed","OK")))),IF($C2682="","","PRO PLAN"))</f>
        <v/>
      </c>
    </row>
    <row r="2683" customFormat="false" ht="15" hidden="false" customHeight="false" outlineLevel="0" collapsed="false">
      <c r="A2683" s="55"/>
      <c r="B2683" s="56"/>
      <c r="C2683" s="56"/>
      <c r="D2683" s="56"/>
      <c r="E2683" s="56"/>
      <c r="F2683" s="56"/>
      <c r="G2683" s="58"/>
      <c r="H2683" s="56"/>
      <c r="I2683" s="61" t="str">
        <f aca="false">IF(IsPro,IF(OR($C2683="",N($G2683)=0),"",IF(OR($C2683="Receipt",$C2683="Other Income",$C2683="Capital In",$C2683="Transfer In"),$G2683,0)),"")</f>
        <v/>
      </c>
      <c r="J2683" s="61" t="str">
        <f aca="false">IF(IsPro,IF(OR($C2683="",N($G2683)=0),"",IF(I2683=0,$G2683,0)),"")</f>
        <v/>
      </c>
      <c r="K2683" s="60" t="str">
        <f aca="false">IF(IsPro,IF($C2683="","",IF(AND(OR($C2683="Receipt",$C2683="Payment"),$D2683=""),"Party needed",IF(AND(OR($C2683="Expense",$C2683="Other Income"),$E2683=""),"Head needed",IF($F2683="","Account needed","OK")))),IF($C2683="","","PRO PLAN"))</f>
        <v/>
      </c>
    </row>
    <row r="2684" customFormat="false" ht="15" hidden="false" customHeight="false" outlineLevel="0" collapsed="false">
      <c r="A2684" s="55"/>
      <c r="B2684" s="56"/>
      <c r="C2684" s="56"/>
      <c r="D2684" s="56"/>
      <c r="E2684" s="56"/>
      <c r="F2684" s="56"/>
      <c r="G2684" s="58"/>
      <c r="H2684" s="56"/>
      <c r="I2684" s="61" t="str">
        <f aca="false">IF(IsPro,IF(OR($C2684="",N($G2684)=0),"",IF(OR($C2684="Receipt",$C2684="Other Income",$C2684="Capital In",$C2684="Transfer In"),$G2684,0)),"")</f>
        <v/>
      </c>
      <c r="J2684" s="61" t="str">
        <f aca="false">IF(IsPro,IF(OR($C2684="",N($G2684)=0),"",IF(I2684=0,$G2684,0)),"")</f>
        <v/>
      </c>
      <c r="K2684" s="60" t="str">
        <f aca="false">IF(IsPro,IF($C2684="","",IF(AND(OR($C2684="Receipt",$C2684="Payment"),$D2684=""),"Party needed",IF(AND(OR($C2684="Expense",$C2684="Other Income"),$E2684=""),"Head needed",IF($F2684="","Account needed","OK")))),IF($C2684="","","PRO PLAN"))</f>
        <v/>
      </c>
    </row>
    <row r="2685" customFormat="false" ht="15" hidden="false" customHeight="false" outlineLevel="0" collapsed="false">
      <c r="A2685" s="55"/>
      <c r="B2685" s="56"/>
      <c r="C2685" s="56"/>
      <c r="D2685" s="56"/>
      <c r="E2685" s="56"/>
      <c r="F2685" s="56"/>
      <c r="G2685" s="58"/>
      <c r="H2685" s="56"/>
      <c r="I2685" s="61" t="str">
        <f aca="false">IF(IsPro,IF(OR($C2685="",N($G2685)=0),"",IF(OR($C2685="Receipt",$C2685="Other Income",$C2685="Capital In",$C2685="Transfer In"),$G2685,0)),"")</f>
        <v/>
      </c>
      <c r="J2685" s="61" t="str">
        <f aca="false">IF(IsPro,IF(OR($C2685="",N($G2685)=0),"",IF(I2685=0,$G2685,0)),"")</f>
        <v/>
      </c>
      <c r="K2685" s="60" t="str">
        <f aca="false">IF(IsPro,IF($C2685="","",IF(AND(OR($C2685="Receipt",$C2685="Payment"),$D2685=""),"Party needed",IF(AND(OR($C2685="Expense",$C2685="Other Income"),$E2685=""),"Head needed",IF($F2685="","Account needed","OK")))),IF($C2685="","","PRO PLAN"))</f>
        <v/>
      </c>
    </row>
    <row r="2686" customFormat="false" ht="15" hidden="false" customHeight="false" outlineLevel="0" collapsed="false">
      <c r="A2686" s="55"/>
      <c r="B2686" s="56"/>
      <c r="C2686" s="56"/>
      <c r="D2686" s="56"/>
      <c r="E2686" s="56"/>
      <c r="F2686" s="56"/>
      <c r="G2686" s="58"/>
      <c r="H2686" s="56"/>
      <c r="I2686" s="61" t="str">
        <f aca="false">IF(IsPro,IF(OR($C2686="",N($G2686)=0),"",IF(OR($C2686="Receipt",$C2686="Other Income",$C2686="Capital In",$C2686="Transfer In"),$G2686,0)),"")</f>
        <v/>
      </c>
      <c r="J2686" s="61" t="str">
        <f aca="false">IF(IsPro,IF(OR($C2686="",N($G2686)=0),"",IF(I2686=0,$G2686,0)),"")</f>
        <v/>
      </c>
      <c r="K2686" s="60" t="str">
        <f aca="false">IF(IsPro,IF($C2686="","",IF(AND(OR($C2686="Receipt",$C2686="Payment"),$D2686=""),"Party needed",IF(AND(OR($C2686="Expense",$C2686="Other Income"),$E2686=""),"Head needed",IF($F2686="","Account needed","OK")))),IF($C2686="","","PRO PLAN"))</f>
        <v/>
      </c>
    </row>
    <row r="2687" customFormat="false" ht="15" hidden="false" customHeight="false" outlineLevel="0" collapsed="false">
      <c r="A2687" s="55"/>
      <c r="B2687" s="56"/>
      <c r="C2687" s="56"/>
      <c r="D2687" s="56"/>
      <c r="E2687" s="56"/>
      <c r="F2687" s="56"/>
      <c r="G2687" s="58"/>
      <c r="H2687" s="56"/>
      <c r="I2687" s="61" t="str">
        <f aca="false">IF(IsPro,IF(OR($C2687="",N($G2687)=0),"",IF(OR($C2687="Receipt",$C2687="Other Income",$C2687="Capital In",$C2687="Transfer In"),$G2687,0)),"")</f>
        <v/>
      </c>
      <c r="J2687" s="61" t="str">
        <f aca="false">IF(IsPro,IF(OR($C2687="",N($G2687)=0),"",IF(I2687=0,$G2687,0)),"")</f>
        <v/>
      </c>
      <c r="K2687" s="60" t="str">
        <f aca="false">IF(IsPro,IF($C2687="","",IF(AND(OR($C2687="Receipt",$C2687="Payment"),$D2687=""),"Party needed",IF(AND(OR($C2687="Expense",$C2687="Other Income"),$E2687=""),"Head needed",IF($F2687="","Account needed","OK")))),IF($C2687="","","PRO PLAN"))</f>
        <v/>
      </c>
    </row>
    <row r="2688" customFormat="false" ht="15" hidden="false" customHeight="false" outlineLevel="0" collapsed="false">
      <c r="A2688" s="55"/>
      <c r="B2688" s="56"/>
      <c r="C2688" s="56"/>
      <c r="D2688" s="56"/>
      <c r="E2688" s="56"/>
      <c r="F2688" s="56"/>
      <c r="G2688" s="58"/>
      <c r="H2688" s="56"/>
      <c r="I2688" s="61" t="str">
        <f aca="false">IF(IsPro,IF(OR($C2688="",N($G2688)=0),"",IF(OR($C2688="Receipt",$C2688="Other Income",$C2688="Capital In",$C2688="Transfer In"),$G2688,0)),"")</f>
        <v/>
      </c>
      <c r="J2688" s="61" t="str">
        <f aca="false">IF(IsPro,IF(OR($C2688="",N($G2688)=0),"",IF(I2688=0,$G2688,0)),"")</f>
        <v/>
      </c>
      <c r="K2688" s="60" t="str">
        <f aca="false">IF(IsPro,IF($C2688="","",IF(AND(OR($C2688="Receipt",$C2688="Payment"),$D2688=""),"Party needed",IF(AND(OR($C2688="Expense",$C2688="Other Income"),$E2688=""),"Head needed",IF($F2688="","Account needed","OK")))),IF($C2688="","","PRO PLAN"))</f>
        <v/>
      </c>
    </row>
    <row r="2689" customFormat="false" ht="15" hidden="false" customHeight="false" outlineLevel="0" collapsed="false">
      <c r="A2689" s="55"/>
      <c r="B2689" s="56"/>
      <c r="C2689" s="56"/>
      <c r="D2689" s="56"/>
      <c r="E2689" s="56"/>
      <c r="F2689" s="56"/>
      <c r="G2689" s="58"/>
      <c r="H2689" s="56"/>
      <c r="I2689" s="61" t="str">
        <f aca="false">IF(IsPro,IF(OR($C2689="",N($G2689)=0),"",IF(OR($C2689="Receipt",$C2689="Other Income",$C2689="Capital In",$C2689="Transfer In"),$G2689,0)),"")</f>
        <v/>
      </c>
      <c r="J2689" s="61" t="str">
        <f aca="false">IF(IsPro,IF(OR($C2689="",N($G2689)=0),"",IF(I2689=0,$G2689,0)),"")</f>
        <v/>
      </c>
      <c r="K2689" s="60" t="str">
        <f aca="false">IF(IsPro,IF($C2689="","",IF(AND(OR($C2689="Receipt",$C2689="Payment"),$D2689=""),"Party needed",IF(AND(OR($C2689="Expense",$C2689="Other Income"),$E2689=""),"Head needed",IF($F2689="","Account needed","OK")))),IF($C2689="","","PRO PLAN"))</f>
        <v/>
      </c>
    </row>
    <row r="2690" customFormat="false" ht="15" hidden="false" customHeight="false" outlineLevel="0" collapsed="false">
      <c r="A2690" s="55"/>
      <c r="B2690" s="56"/>
      <c r="C2690" s="56"/>
      <c r="D2690" s="56"/>
      <c r="E2690" s="56"/>
      <c r="F2690" s="56"/>
      <c r="G2690" s="58"/>
      <c r="H2690" s="56"/>
      <c r="I2690" s="61" t="str">
        <f aca="false">IF(IsPro,IF(OR($C2690="",N($G2690)=0),"",IF(OR($C2690="Receipt",$C2690="Other Income",$C2690="Capital In",$C2690="Transfer In"),$G2690,0)),"")</f>
        <v/>
      </c>
      <c r="J2690" s="61" t="str">
        <f aca="false">IF(IsPro,IF(OR($C2690="",N($G2690)=0),"",IF(I2690=0,$G2690,0)),"")</f>
        <v/>
      </c>
      <c r="K2690" s="60" t="str">
        <f aca="false">IF(IsPro,IF($C2690="","",IF(AND(OR($C2690="Receipt",$C2690="Payment"),$D2690=""),"Party needed",IF(AND(OR($C2690="Expense",$C2690="Other Income"),$E2690=""),"Head needed",IF($F2690="","Account needed","OK")))),IF($C2690="","","PRO PLAN"))</f>
        <v/>
      </c>
    </row>
    <row r="2691" customFormat="false" ht="15" hidden="false" customHeight="false" outlineLevel="0" collapsed="false">
      <c r="A2691" s="55"/>
      <c r="B2691" s="56"/>
      <c r="C2691" s="56"/>
      <c r="D2691" s="56"/>
      <c r="E2691" s="56"/>
      <c r="F2691" s="56"/>
      <c r="G2691" s="58"/>
      <c r="H2691" s="56"/>
      <c r="I2691" s="61" t="str">
        <f aca="false">IF(IsPro,IF(OR($C2691="",N($G2691)=0),"",IF(OR($C2691="Receipt",$C2691="Other Income",$C2691="Capital In",$C2691="Transfer In"),$G2691,0)),"")</f>
        <v/>
      </c>
      <c r="J2691" s="61" t="str">
        <f aca="false">IF(IsPro,IF(OR($C2691="",N($G2691)=0),"",IF(I2691=0,$G2691,0)),"")</f>
        <v/>
      </c>
      <c r="K2691" s="60" t="str">
        <f aca="false">IF(IsPro,IF($C2691="","",IF(AND(OR($C2691="Receipt",$C2691="Payment"),$D2691=""),"Party needed",IF(AND(OR($C2691="Expense",$C2691="Other Income"),$E2691=""),"Head needed",IF($F2691="","Account needed","OK")))),IF($C2691="","","PRO PLAN"))</f>
        <v/>
      </c>
    </row>
    <row r="2692" customFormat="false" ht="15" hidden="false" customHeight="false" outlineLevel="0" collapsed="false">
      <c r="A2692" s="55"/>
      <c r="B2692" s="56"/>
      <c r="C2692" s="56"/>
      <c r="D2692" s="56"/>
      <c r="E2692" s="56"/>
      <c r="F2692" s="56"/>
      <c r="G2692" s="58"/>
      <c r="H2692" s="56"/>
      <c r="I2692" s="61" t="str">
        <f aca="false">IF(IsPro,IF(OR($C2692="",N($G2692)=0),"",IF(OR($C2692="Receipt",$C2692="Other Income",$C2692="Capital In",$C2692="Transfer In"),$G2692,0)),"")</f>
        <v/>
      </c>
      <c r="J2692" s="61" t="str">
        <f aca="false">IF(IsPro,IF(OR($C2692="",N($G2692)=0),"",IF(I2692=0,$G2692,0)),"")</f>
        <v/>
      </c>
      <c r="K2692" s="60" t="str">
        <f aca="false">IF(IsPro,IF($C2692="","",IF(AND(OR($C2692="Receipt",$C2692="Payment"),$D2692=""),"Party needed",IF(AND(OR($C2692="Expense",$C2692="Other Income"),$E2692=""),"Head needed",IF($F2692="","Account needed","OK")))),IF($C2692="","","PRO PLAN"))</f>
        <v/>
      </c>
    </row>
    <row r="2693" customFormat="false" ht="15" hidden="false" customHeight="false" outlineLevel="0" collapsed="false">
      <c r="A2693" s="55"/>
      <c r="B2693" s="56"/>
      <c r="C2693" s="56"/>
      <c r="D2693" s="56"/>
      <c r="E2693" s="56"/>
      <c r="F2693" s="56"/>
      <c r="G2693" s="58"/>
      <c r="H2693" s="56"/>
      <c r="I2693" s="61" t="str">
        <f aca="false">IF(IsPro,IF(OR($C2693="",N($G2693)=0),"",IF(OR($C2693="Receipt",$C2693="Other Income",$C2693="Capital In",$C2693="Transfer In"),$G2693,0)),"")</f>
        <v/>
      </c>
      <c r="J2693" s="61" t="str">
        <f aca="false">IF(IsPro,IF(OR($C2693="",N($G2693)=0),"",IF(I2693=0,$G2693,0)),"")</f>
        <v/>
      </c>
      <c r="K2693" s="60" t="str">
        <f aca="false">IF(IsPro,IF($C2693="","",IF(AND(OR($C2693="Receipt",$C2693="Payment"),$D2693=""),"Party needed",IF(AND(OR($C2693="Expense",$C2693="Other Income"),$E2693=""),"Head needed",IF($F2693="","Account needed","OK")))),IF($C2693="","","PRO PLAN"))</f>
        <v/>
      </c>
    </row>
    <row r="2694" customFormat="false" ht="15" hidden="false" customHeight="false" outlineLevel="0" collapsed="false">
      <c r="A2694" s="55"/>
      <c r="B2694" s="56"/>
      <c r="C2694" s="56"/>
      <c r="D2694" s="56"/>
      <c r="E2694" s="56"/>
      <c r="F2694" s="56"/>
      <c r="G2694" s="58"/>
      <c r="H2694" s="56"/>
      <c r="I2694" s="61" t="str">
        <f aca="false">IF(IsPro,IF(OR($C2694="",N($G2694)=0),"",IF(OR($C2694="Receipt",$C2694="Other Income",$C2694="Capital In",$C2694="Transfer In"),$G2694,0)),"")</f>
        <v/>
      </c>
      <c r="J2694" s="61" t="str">
        <f aca="false">IF(IsPro,IF(OR($C2694="",N($G2694)=0),"",IF(I2694=0,$G2694,0)),"")</f>
        <v/>
      </c>
      <c r="K2694" s="60" t="str">
        <f aca="false">IF(IsPro,IF($C2694="","",IF(AND(OR($C2694="Receipt",$C2694="Payment"),$D2694=""),"Party needed",IF(AND(OR($C2694="Expense",$C2694="Other Income"),$E2694=""),"Head needed",IF($F2694="","Account needed","OK")))),IF($C2694="","","PRO PLAN"))</f>
        <v/>
      </c>
    </row>
    <row r="2695" customFormat="false" ht="15" hidden="false" customHeight="false" outlineLevel="0" collapsed="false">
      <c r="A2695" s="55"/>
      <c r="B2695" s="56"/>
      <c r="C2695" s="56"/>
      <c r="D2695" s="56"/>
      <c r="E2695" s="56"/>
      <c r="F2695" s="56"/>
      <c r="G2695" s="58"/>
      <c r="H2695" s="56"/>
      <c r="I2695" s="61" t="str">
        <f aca="false">IF(IsPro,IF(OR($C2695="",N($G2695)=0),"",IF(OR($C2695="Receipt",$C2695="Other Income",$C2695="Capital In",$C2695="Transfer In"),$G2695,0)),"")</f>
        <v/>
      </c>
      <c r="J2695" s="61" t="str">
        <f aca="false">IF(IsPro,IF(OR($C2695="",N($G2695)=0),"",IF(I2695=0,$G2695,0)),"")</f>
        <v/>
      </c>
      <c r="K2695" s="60" t="str">
        <f aca="false">IF(IsPro,IF($C2695="","",IF(AND(OR($C2695="Receipt",$C2695="Payment"),$D2695=""),"Party needed",IF(AND(OR($C2695="Expense",$C2695="Other Income"),$E2695=""),"Head needed",IF($F2695="","Account needed","OK")))),IF($C2695="","","PRO PLAN"))</f>
        <v/>
      </c>
    </row>
    <row r="2696" customFormat="false" ht="15" hidden="false" customHeight="false" outlineLevel="0" collapsed="false">
      <c r="A2696" s="55"/>
      <c r="B2696" s="56"/>
      <c r="C2696" s="56"/>
      <c r="D2696" s="56"/>
      <c r="E2696" s="56"/>
      <c r="F2696" s="56"/>
      <c r="G2696" s="58"/>
      <c r="H2696" s="56"/>
      <c r="I2696" s="61" t="str">
        <f aca="false">IF(IsPro,IF(OR($C2696="",N($G2696)=0),"",IF(OR($C2696="Receipt",$C2696="Other Income",$C2696="Capital In",$C2696="Transfer In"),$G2696,0)),"")</f>
        <v/>
      </c>
      <c r="J2696" s="61" t="str">
        <f aca="false">IF(IsPro,IF(OR($C2696="",N($G2696)=0),"",IF(I2696=0,$G2696,0)),"")</f>
        <v/>
      </c>
      <c r="K2696" s="60" t="str">
        <f aca="false">IF(IsPro,IF($C2696="","",IF(AND(OR($C2696="Receipt",$C2696="Payment"),$D2696=""),"Party needed",IF(AND(OR($C2696="Expense",$C2696="Other Income"),$E2696=""),"Head needed",IF($F2696="","Account needed","OK")))),IF($C2696="","","PRO PLAN"))</f>
        <v/>
      </c>
    </row>
    <row r="2697" customFormat="false" ht="15" hidden="false" customHeight="false" outlineLevel="0" collapsed="false">
      <c r="A2697" s="55"/>
      <c r="B2697" s="56"/>
      <c r="C2697" s="56"/>
      <c r="D2697" s="56"/>
      <c r="E2697" s="56"/>
      <c r="F2697" s="56"/>
      <c r="G2697" s="58"/>
      <c r="H2697" s="56"/>
      <c r="I2697" s="61" t="str">
        <f aca="false">IF(IsPro,IF(OR($C2697="",N($G2697)=0),"",IF(OR($C2697="Receipt",$C2697="Other Income",$C2697="Capital In",$C2697="Transfer In"),$G2697,0)),"")</f>
        <v/>
      </c>
      <c r="J2697" s="61" t="str">
        <f aca="false">IF(IsPro,IF(OR($C2697="",N($G2697)=0),"",IF(I2697=0,$G2697,0)),"")</f>
        <v/>
      </c>
      <c r="K2697" s="60" t="str">
        <f aca="false">IF(IsPro,IF($C2697="","",IF(AND(OR($C2697="Receipt",$C2697="Payment"),$D2697=""),"Party needed",IF(AND(OR($C2697="Expense",$C2697="Other Income"),$E2697=""),"Head needed",IF($F2697="","Account needed","OK")))),IF($C2697="","","PRO PLAN"))</f>
        <v/>
      </c>
    </row>
    <row r="2698" customFormat="false" ht="15" hidden="false" customHeight="false" outlineLevel="0" collapsed="false">
      <c r="A2698" s="55"/>
      <c r="B2698" s="56"/>
      <c r="C2698" s="56"/>
      <c r="D2698" s="56"/>
      <c r="E2698" s="56"/>
      <c r="F2698" s="56"/>
      <c r="G2698" s="58"/>
      <c r="H2698" s="56"/>
      <c r="I2698" s="61" t="str">
        <f aca="false">IF(IsPro,IF(OR($C2698="",N($G2698)=0),"",IF(OR($C2698="Receipt",$C2698="Other Income",$C2698="Capital In",$C2698="Transfer In"),$G2698,0)),"")</f>
        <v/>
      </c>
      <c r="J2698" s="61" t="str">
        <f aca="false">IF(IsPro,IF(OR($C2698="",N($G2698)=0),"",IF(I2698=0,$G2698,0)),"")</f>
        <v/>
      </c>
      <c r="K2698" s="60" t="str">
        <f aca="false">IF(IsPro,IF($C2698="","",IF(AND(OR($C2698="Receipt",$C2698="Payment"),$D2698=""),"Party needed",IF(AND(OR($C2698="Expense",$C2698="Other Income"),$E2698=""),"Head needed",IF($F2698="","Account needed","OK")))),IF($C2698="","","PRO PLAN"))</f>
        <v/>
      </c>
    </row>
    <row r="2699" customFormat="false" ht="15" hidden="false" customHeight="false" outlineLevel="0" collapsed="false">
      <c r="A2699" s="55"/>
      <c r="B2699" s="56"/>
      <c r="C2699" s="56"/>
      <c r="D2699" s="56"/>
      <c r="E2699" s="56"/>
      <c r="F2699" s="56"/>
      <c r="G2699" s="58"/>
      <c r="H2699" s="56"/>
      <c r="I2699" s="61" t="str">
        <f aca="false">IF(IsPro,IF(OR($C2699="",N($G2699)=0),"",IF(OR($C2699="Receipt",$C2699="Other Income",$C2699="Capital In",$C2699="Transfer In"),$G2699,0)),"")</f>
        <v/>
      </c>
      <c r="J2699" s="61" t="str">
        <f aca="false">IF(IsPro,IF(OR($C2699="",N($G2699)=0),"",IF(I2699=0,$G2699,0)),"")</f>
        <v/>
      </c>
      <c r="K2699" s="60" t="str">
        <f aca="false">IF(IsPro,IF($C2699="","",IF(AND(OR($C2699="Receipt",$C2699="Payment"),$D2699=""),"Party needed",IF(AND(OR($C2699="Expense",$C2699="Other Income"),$E2699=""),"Head needed",IF($F2699="","Account needed","OK")))),IF($C2699="","","PRO PLAN"))</f>
        <v/>
      </c>
    </row>
    <row r="2700" customFormat="false" ht="15" hidden="false" customHeight="false" outlineLevel="0" collapsed="false">
      <c r="A2700" s="55"/>
      <c r="B2700" s="56"/>
      <c r="C2700" s="56"/>
      <c r="D2700" s="56"/>
      <c r="E2700" s="56"/>
      <c r="F2700" s="56"/>
      <c r="G2700" s="58"/>
      <c r="H2700" s="56"/>
      <c r="I2700" s="61" t="str">
        <f aca="false">IF(IsPro,IF(OR($C2700="",N($G2700)=0),"",IF(OR($C2700="Receipt",$C2700="Other Income",$C2700="Capital In",$C2700="Transfer In"),$G2700,0)),"")</f>
        <v/>
      </c>
      <c r="J2700" s="61" t="str">
        <f aca="false">IF(IsPro,IF(OR($C2700="",N($G2700)=0),"",IF(I2700=0,$G2700,0)),"")</f>
        <v/>
      </c>
      <c r="K2700" s="60" t="str">
        <f aca="false">IF(IsPro,IF($C2700="","",IF(AND(OR($C2700="Receipt",$C2700="Payment"),$D2700=""),"Party needed",IF(AND(OR($C2700="Expense",$C2700="Other Income"),$E2700=""),"Head needed",IF($F2700="","Account needed","OK")))),IF($C2700="","","PRO PLAN"))</f>
        <v/>
      </c>
    </row>
    <row r="2701" customFormat="false" ht="15" hidden="false" customHeight="false" outlineLevel="0" collapsed="false">
      <c r="A2701" s="55"/>
      <c r="B2701" s="56"/>
      <c r="C2701" s="56"/>
      <c r="D2701" s="56"/>
      <c r="E2701" s="56"/>
      <c r="F2701" s="56"/>
      <c r="G2701" s="58"/>
      <c r="H2701" s="56"/>
      <c r="I2701" s="61" t="str">
        <f aca="false">IF(IsPro,IF(OR($C2701="",N($G2701)=0),"",IF(OR($C2701="Receipt",$C2701="Other Income",$C2701="Capital In",$C2701="Transfer In"),$G2701,0)),"")</f>
        <v/>
      </c>
      <c r="J2701" s="61" t="str">
        <f aca="false">IF(IsPro,IF(OR($C2701="",N($G2701)=0),"",IF(I2701=0,$G2701,0)),"")</f>
        <v/>
      </c>
      <c r="K2701" s="60" t="str">
        <f aca="false">IF(IsPro,IF($C2701="","",IF(AND(OR($C2701="Receipt",$C2701="Payment"),$D2701=""),"Party needed",IF(AND(OR($C2701="Expense",$C2701="Other Income"),$E2701=""),"Head needed",IF($F2701="","Account needed","OK")))),IF($C2701="","","PRO PLAN"))</f>
        <v/>
      </c>
    </row>
    <row r="2702" customFormat="false" ht="15" hidden="false" customHeight="false" outlineLevel="0" collapsed="false">
      <c r="A2702" s="55"/>
      <c r="B2702" s="56"/>
      <c r="C2702" s="56"/>
      <c r="D2702" s="56"/>
      <c r="E2702" s="56"/>
      <c r="F2702" s="56"/>
      <c r="G2702" s="58"/>
      <c r="H2702" s="56"/>
      <c r="I2702" s="61" t="str">
        <f aca="false">IF(IsPro,IF(OR($C2702="",N($G2702)=0),"",IF(OR($C2702="Receipt",$C2702="Other Income",$C2702="Capital In",$C2702="Transfer In"),$G2702,0)),"")</f>
        <v/>
      </c>
      <c r="J2702" s="61" t="str">
        <f aca="false">IF(IsPro,IF(OR($C2702="",N($G2702)=0),"",IF(I2702=0,$G2702,0)),"")</f>
        <v/>
      </c>
      <c r="K2702" s="60" t="str">
        <f aca="false">IF(IsPro,IF($C2702="","",IF(AND(OR($C2702="Receipt",$C2702="Payment"),$D2702=""),"Party needed",IF(AND(OR($C2702="Expense",$C2702="Other Income"),$E2702=""),"Head needed",IF($F2702="","Account needed","OK")))),IF($C2702="","","PRO PLAN"))</f>
        <v/>
      </c>
    </row>
    <row r="2703" customFormat="false" ht="15" hidden="false" customHeight="false" outlineLevel="0" collapsed="false">
      <c r="A2703" s="55"/>
      <c r="B2703" s="56"/>
      <c r="C2703" s="56"/>
      <c r="D2703" s="56"/>
      <c r="E2703" s="56"/>
      <c r="F2703" s="56"/>
      <c r="G2703" s="58"/>
      <c r="H2703" s="56"/>
      <c r="I2703" s="61" t="str">
        <f aca="false">IF(IsPro,IF(OR($C2703="",N($G2703)=0),"",IF(OR($C2703="Receipt",$C2703="Other Income",$C2703="Capital In",$C2703="Transfer In"),$G2703,0)),"")</f>
        <v/>
      </c>
      <c r="J2703" s="61" t="str">
        <f aca="false">IF(IsPro,IF(OR($C2703="",N($G2703)=0),"",IF(I2703=0,$G2703,0)),"")</f>
        <v/>
      </c>
      <c r="K2703" s="60" t="str">
        <f aca="false">IF(IsPro,IF($C2703="","",IF(AND(OR($C2703="Receipt",$C2703="Payment"),$D2703=""),"Party needed",IF(AND(OR($C2703="Expense",$C2703="Other Income"),$E2703=""),"Head needed",IF($F2703="","Account needed","OK")))),IF($C2703="","","PRO PLAN"))</f>
        <v/>
      </c>
    </row>
    <row r="2704" customFormat="false" ht="15" hidden="false" customHeight="false" outlineLevel="0" collapsed="false">
      <c r="A2704" s="55"/>
      <c r="B2704" s="56"/>
      <c r="C2704" s="56"/>
      <c r="D2704" s="56"/>
      <c r="E2704" s="56"/>
      <c r="F2704" s="56"/>
      <c r="G2704" s="58"/>
      <c r="H2704" s="56"/>
      <c r="I2704" s="61" t="str">
        <f aca="false">IF(IsPro,IF(OR($C2704="",N($G2704)=0),"",IF(OR($C2704="Receipt",$C2704="Other Income",$C2704="Capital In",$C2704="Transfer In"),$G2704,0)),"")</f>
        <v/>
      </c>
      <c r="J2704" s="61" t="str">
        <f aca="false">IF(IsPro,IF(OR($C2704="",N($G2704)=0),"",IF(I2704=0,$G2704,0)),"")</f>
        <v/>
      </c>
      <c r="K2704" s="60" t="str">
        <f aca="false">IF(IsPro,IF($C2704="","",IF(AND(OR($C2704="Receipt",$C2704="Payment"),$D2704=""),"Party needed",IF(AND(OR($C2704="Expense",$C2704="Other Income"),$E2704=""),"Head needed",IF($F2704="","Account needed","OK")))),IF($C2704="","","PRO PLAN"))</f>
        <v/>
      </c>
    </row>
    <row r="2705" customFormat="false" ht="15" hidden="false" customHeight="false" outlineLevel="0" collapsed="false">
      <c r="A2705" s="55"/>
      <c r="B2705" s="56"/>
      <c r="C2705" s="56"/>
      <c r="D2705" s="56"/>
      <c r="E2705" s="56"/>
      <c r="F2705" s="56"/>
      <c r="G2705" s="58"/>
      <c r="H2705" s="56"/>
      <c r="I2705" s="61" t="str">
        <f aca="false">IF(IsPro,IF(OR($C2705="",N($G2705)=0),"",IF(OR($C2705="Receipt",$C2705="Other Income",$C2705="Capital In",$C2705="Transfer In"),$G2705,0)),"")</f>
        <v/>
      </c>
      <c r="J2705" s="61" t="str">
        <f aca="false">IF(IsPro,IF(OR($C2705="",N($G2705)=0),"",IF(I2705=0,$G2705,0)),"")</f>
        <v/>
      </c>
      <c r="K2705" s="60" t="str">
        <f aca="false">IF(IsPro,IF($C2705="","",IF(AND(OR($C2705="Receipt",$C2705="Payment"),$D2705=""),"Party needed",IF(AND(OR($C2705="Expense",$C2705="Other Income"),$E2705=""),"Head needed",IF($F2705="","Account needed","OK")))),IF($C2705="","","PRO PLAN"))</f>
        <v/>
      </c>
    </row>
    <row r="2706" customFormat="false" ht="15" hidden="false" customHeight="false" outlineLevel="0" collapsed="false">
      <c r="A2706" s="55"/>
      <c r="B2706" s="56"/>
      <c r="C2706" s="56"/>
      <c r="D2706" s="56"/>
      <c r="E2706" s="56"/>
      <c r="F2706" s="56"/>
      <c r="G2706" s="58"/>
      <c r="H2706" s="56"/>
      <c r="I2706" s="61" t="str">
        <f aca="false">IF(IsPro,IF(OR($C2706="",N($G2706)=0),"",IF(OR($C2706="Receipt",$C2706="Other Income",$C2706="Capital In",$C2706="Transfer In"),$G2706,0)),"")</f>
        <v/>
      </c>
      <c r="J2706" s="61" t="str">
        <f aca="false">IF(IsPro,IF(OR($C2706="",N($G2706)=0),"",IF(I2706=0,$G2706,0)),"")</f>
        <v/>
      </c>
      <c r="K2706" s="60" t="str">
        <f aca="false">IF(IsPro,IF($C2706="","",IF(AND(OR($C2706="Receipt",$C2706="Payment"),$D2706=""),"Party needed",IF(AND(OR($C2706="Expense",$C2706="Other Income"),$E2706=""),"Head needed",IF($F2706="","Account needed","OK")))),IF($C2706="","","PRO PLAN"))</f>
        <v/>
      </c>
    </row>
    <row r="2707" customFormat="false" ht="15" hidden="false" customHeight="false" outlineLevel="0" collapsed="false">
      <c r="A2707" s="55"/>
      <c r="B2707" s="56"/>
      <c r="C2707" s="56"/>
      <c r="D2707" s="56"/>
      <c r="E2707" s="56"/>
      <c r="F2707" s="56"/>
      <c r="G2707" s="58"/>
      <c r="H2707" s="56"/>
      <c r="I2707" s="61" t="str">
        <f aca="false">IF(IsPro,IF(OR($C2707="",N($G2707)=0),"",IF(OR($C2707="Receipt",$C2707="Other Income",$C2707="Capital In",$C2707="Transfer In"),$G2707,0)),"")</f>
        <v/>
      </c>
      <c r="J2707" s="61" t="str">
        <f aca="false">IF(IsPro,IF(OR($C2707="",N($G2707)=0),"",IF(I2707=0,$G2707,0)),"")</f>
        <v/>
      </c>
      <c r="K2707" s="60" t="str">
        <f aca="false">IF(IsPro,IF($C2707="","",IF(AND(OR($C2707="Receipt",$C2707="Payment"),$D2707=""),"Party needed",IF(AND(OR($C2707="Expense",$C2707="Other Income"),$E2707=""),"Head needed",IF($F2707="","Account needed","OK")))),IF($C2707="","","PRO PLAN"))</f>
        <v/>
      </c>
    </row>
    <row r="2708" customFormat="false" ht="15" hidden="false" customHeight="false" outlineLevel="0" collapsed="false">
      <c r="A2708" s="55"/>
      <c r="B2708" s="56"/>
      <c r="C2708" s="56"/>
      <c r="D2708" s="56"/>
      <c r="E2708" s="56"/>
      <c r="F2708" s="56"/>
      <c r="G2708" s="58"/>
      <c r="H2708" s="56"/>
      <c r="I2708" s="61" t="str">
        <f aca="false">IF(IsPro,IF(OR($C2708="",N($G2708)=0),"",IF(OR($C2708="Receipt",$C2708="Other Income",$C2708="Capital In",$C2708="Transfer In"),$G2708,0)),"")</f>
        <v/>
      </c>
      <c r="J2708" s="61" t="str">
        <f aca="false">IF(IsPro,IF(OR($C2708="",N($G2708)=0),"",IF(I2708=0,$G2708,0)),"")</f>
        <v/>
      </c>
      <c r="K2708" s="60" t="str">
        <f aca="false">IF(IsPro,IF($C2708="","",IF(AND(OR($C2708="Receipt",$C2708="Payment"),$D2708=""),"Party needed",IF(AND(OR($C2708="Expense",$C2708="Other Income"),$E2708=""),"Head needed",IF($F2708="","Account needed","OK")))),IF($C2708="","","PRO PLAN"))</f>
        <v/>
      </c>
    </row>
    <row r="2709" customFormat="false" ht="15" hidden="false" customHeight="false" outlineLevel="0" collapsed="false">
      <c r="A2709" s="55"/>
      <c r="B2709" s="56"/>
      <c r="C2709" s="56"/>
      <c r="D2709" s="56"/>
      <c r="E2709" s="56"/>
      <c r="F2709" s="56"/>
      <c r="G2709" s="58"/>
      <c r="H2709" s="56"/>
      <c r="I2709" s="61" t="str">
        <f aca="false">IF(IsPro,IF(OR($C2709="",N($G2709)=0),"",IF(OR($C2709="Receipt",$C2709="Other Income",$C2709="Capital In",$C2709="Transfer In"),$G2709,0)),"")</f>
        <v/>
      </c>
      <c r="J2709" s="61" t="str">
        <f aca="false">IF(IsPro,IF(OR($C2709="",N($G2709)=0),"",IF(I2709=0,$G2709,0)),"")</f>
        <v/>
      </c>
      <c r="K2709" s="60" t="str">
        <f aca="false">IF(IsPro,IF($C2709="","",IF(AND(OR($C2709="Receipt",$C2709="Payment"),$D2709=""),"Party needed",IF(AND(OR($C2709="Expense",$C2709="Other Income"),$E2709=""),"Head needed",IF($F2709="","Account needed","OK")))),IF($C2709="","","PRO PLAN"))</f>
        <v/>
      </c>
    </row>
    <row r="2710" customFormat="false" ht="15" hidden="false" customHeight="false" outlineLevel="0" collapsed="false">
      <c r="A2710" s="55"/>
      <c r="B2710" s="56"/>
      <c r="C2710" s="56"/>
      <c r="D2710" s="56"/>
      <c r="E2710" s="56"/>
      <c r="F2710" s="56"/>
      <c r="G2710" s="58"/>
      <c r="H2710" s="56"/>
      <c r="I2710" s="61" t="str">
        <f aca="false">IF(IsPro,IF(OR($C2710="",N($G2710)=0),"",IF(OR($C2710="Receipt",$C2710="Other Income",$C2710="Capital In",$C2710="Transfer In"),$G2710,0)),"")</f>
        <v/>
      </c>
      <c r="J2710" s="61" t="str">
        <f aca="false">IF(IsPro,IF(OR($C2710="",N($G2710)=0),"",IF(I2710=0,$G2710,0)),"")</f>
        <v/>
      </c>
      <c r="K2710" s="60" t="str">
        <f aca="false">IF(IsPro,IF($C2710="","",IF(AND(OR($C2710="Receipt",$C2710="Payment"),$D2710=""),"Party needed",IF(AND(OR($C2710="Expense",$C2710="Other Income"),$E2710=""),"Head needed",IF($F2710="","Account needed","OK")))),IF($C2710="","","PRO PLAN"))</f>
        <v/>
      </c>
    </row>
    <row r="2711" customFormat="false" ht="15" hidden="false" customHeight="false" outlineLevel="0" collapsed="false">
      <c r="A2711" s="55"/>
      <c r="B2711" s="56"/>
      <c r="C2711" s="56"/>
      <c r="D2711" s="56"/>
      <c r="E2711" s="56"/>
      <c r="F2711" s="56"/>
      <c r="G2711" s="58"/>
      <c r="H2711" s="56"/>
      <c r="I2711" s="61" t="str">
        <f aca="false">IF(IsPro,IF(OR($C2711="",N($G2711)=0),"",IF(OR($C2711="Receipt",$C2711="Other Income",$C2711="Capital In",$C2711="Transfer In"),$G2711,0)),"")</f>
        <v/>
      </c>
      <c r="J2711" s="61" t="str">
        <f aca="false">IF(IsPro,IF(OR($C2711="",N($G2711)=0),"",IF(I2711=0,$G2711,0)),"")</f>
        <v/>
      </c>
      <c r="K2711" s="60" t="str">
        <f aca="false">IF(IsPro,IF($C2711="","",IF(AND(OR($C2711="Receipt",$C2711="Payment"),$D2711=""),"Party needed",IF(AND(OR($C2711="Expense",$C2711="Other Income"),$E2711=""),"Head needed",IF($F2711="","Account needed","OK")))),IF($C2711="","","PRO PLAN"))</f>
        <v/>
      </c>
    </row>
    <row r="2712" customFormat="false" ht="15" hidden="false" customHeight="false" outlineLevel="0" collapsed="false">
      <c r="A2712" s="55"/>
      <c r="B2712" s="56"/>
      <c r="C2712" s="56"/>
      <c r="D2712" s="56"/>
      <c r="E2712" s="56"/>
      <c r="F2712" s="56"/>
      <c r="G2712" s="58"/>
      <c r="H2712" s="56"/>
      <c r="I2712" s="61" t="str">
        <f aca="false">IF(IsPro,IF(OR($C2712="",N($G2712)=0),"",IF(OR($C2712="Receipt",$C2712="Other Income",$C2712="Capital In",$C2712="Transfer In"),$G2712,0)),"")</f>
        <v/>
      </c>
      <c r="J2712" s="61" t="str">
        <f aca="false">IF(IsPro,IF(OR($C2712="",N($G2712)=0),"",IF(I2712=0,$G2712,0)),"")</f>
        <v/>
      </c>
      <c r="K2712" s="60" t="str">
        <f aca="false">IF(IsPro,IF($C2712="","",IF(AND(OR($C2712="Receipt",$C2712="Payment"),$D2712=""),"Party needed",IF(AND(OR($C2712="Expense",$C2712="Other Income"),$E2712=""),"Head needed",IF($F2712="","Account needed","OK")))),IF($C2712="","","PRO PLAN"))</f>
        <v/>
      </c>
    </row>
    <row r="2713" customFormat="false" ht="15" hidden="false" customHeight="false" outlineLevel="0" collapsed="false">
      <c r="A2713" s="55"/>
      <c r="B2713" s="56"/>
      <c r="C2713" s="56"/>
      <c r="D2713" s="56"/>
      <c r="E2713" s="56"/>
      <c r="F2713" s="56"/>
      <c r="G2713" s="58"/>
      <c r="H2713" s="56"/>
      <c r="I2713" s="61" t="str">
        <f aca="false">IF(IsPro,IF(OR($C2713="",N($G2713)=0),"",IF(OR($C2713="Receipt",$C2713="Other Income",$C2713="Capital In",$C2713="Transfer In"),$G2713,0)),"")</f>
        <v/>
      </c>
      <c r="J2713" s="61" t="str">
        <f aca="false">IF(IsPro,IF(OR($C2713="",N($G2713)=0),"",IF(I2713=0,$G2713,0)),"")</f>
        <v/>
      </c>
      <c r="K2713" s="60" t="str">
        <f aca="false">IF(IsPro,IF($C2713="","",IF(AND(OR($C2713="Receipt",$C2713="Payment"),$D2713=""),"Party needed",IF(AND(OR($C2713="Expense",$C2713="Other Income"),$E2713=""),"Head needed",IF($F2713="","Account needed","OK")))),IF($C2713="","","PRO PLAN"))</f>
        <v/>
      </c>
    </row>
    <row r="2714" customFormat="false" ht="15" hidden="false" customHeight="false" outlineLevel="0" collapsed="false">
      <c r="A2714" s="55"/>
      <c r="B2714" s="56"/>
      <c r="C2714" s="56"/>
      <c r="D2714" s="56"/>
      <c r="E2714" s="56"/>
      <c r="F2714" s="56"/>
      <c r="G2714" s="58"/>
      <c r="H2714" s="56"/>
      <c r="I2714" s="61" t="str">
        <f aca="false">IF(IsPro,IF(OR($C2714="",N($G2714)=0),"",IF(OR($C2714="Receipt",$C2714="Other Income",$C2714="Capital In",$C2714="Transfer In"),$G2714,0)),"")</f>
        <v/>
      </c>
      <c r="J2714" s="61" t="str">
        <f aca="false">IF(IsPro,IF(OR($C2714="",N($G2714)=0),"",IF(I2714=0,$G2714,0)),"")</f>
        <v/>
      </c>
      <c r="K2714" s="60" t="str">
        <f aca="false">IF(IsPro,IF($C2714="","",IF(AND(OR($C2714="Receipt",$C2714="Payment"),$D2714=""),"Party needed",IF(AND(OR($C2714="Expense",$C2714="Other Income"),$E2714=""),"Head needed",IF($F2714="","Account needed","OK")))),IF($C2714="","","PRO PLAN"))</f>
        <v/>
      </c>
    </row>
    <row r="2715" customFormat="false" ht="15" hidden="false" customHeight="false" outlineLevel="0" collapsed="false">
      <c r="A2715" s="55"/>
      <c r="B2715" s="56"/>
      <c r="C2715" s="56"/>
      <c r="D2715" s="56"/>
      <c r="E2715" s="56"/>
      <c r="F2715" s="56"/>
      <c r="G2715" s="58"/>
      <c r="H2715" s="56"/>
      <c r="I2715" s="61" t="str">
        <f aca="false">IF(IsPro,IF(OR($C2715="",N($G2715)=0),"",IF(OR($C2715="Receipt",$C2715="Other Income",$C2715="Capital In",$C2715="Transfer In"),$G2715,0)),"")</f>
        <v/>
      </c>
      <c r="J2715" s="61" t="str">
        <f aca="false">IF(IsPro,IF(OR($C2715="",N($G2715)=0),"",IF(I2715=0,$G2715,0)),"")</f>
        <v/>
      </c>
      <c r="K2715" s="60" t="str">
        <f aca="false">IF(IsPro,IF($C2715="","",IF(AND(OR($C2715="Receipt",$C2715="Payment"),$D2715=""),"Party needed",IF(AND(OR($C2715="Expense",$C2715="Other Income"),$E2715=""),"Head needed",IF($F2715="","Account needed","OK")))),IF($C2715="","","PRO PLAN"))</f>
        <v/>
      </c>
    </row>
    <row r="2716" customFormat="false" ht="15" hidden="false" customHeight="false" outlineLevel="0" collapsed="false">
      <c r="A2716" s="55"/>
      <c r="B2716" s="56"/>
      <c r="C2716" s="56"/>
      <c r="D2716" s="56"/>
      <c r="E2716" s="56"/>
      <c r="F2716" s="56"/>
      <c r="G2716" s="58"/>
      <c r="H2716" s="56"/>
      <c r="I2716" s="61" t="str">
        <f aca="false">IF(IsPro,IF(OR($C2716="",N($G2716)=0),"",IF(OR($C2716="Receipt",$C2716="Other Income",$C2716="Capital In",$C2716="Transfer In"),$G2716,0)),"")</f>
        <v/>
      </c>
      <c r="J2716" s="61" t="str">
        <f aca="false">IF(IsPro,IF(OR($C2716="",N($G2716)=0),"",IF(I2716=0,$G2716,0)),"")</f>
        <v/>
      </c>
      <c r="K2716" s="60" t="str">
        <f aca="false">IF(IsPro,IF($C2716="","",IF(AND(OR($C2716="Receipt",$C2716="Payment"),$D2716=""),"Party needed",IF(AND(OR($C2716="Expense",$C2716="Other Income"),$E2716=""),"Head needed",IF($F2716="","Account needed","OK")))),IF($C2716="","","PRO PLAN"))</f>
        <v/>
      </c>
    </row>
    <row r="2717" customFormat="false" ht="15" hidden="false" customHeight="false" outlineLevel="0" collapsed="false">
      <c r="A2717" s="55"/>
      <c r="B2717" s="56"/>
      <c r="C2717" s="56"/>
      <c r="D2717" s="56"/>
      <c r="E2717" s="56"/>
      <c r="F2717" s="56"/>
      <c r="G2717" s="58"/>
      <c r="H2717" s="56"/>
      <c r="I2717" s="61" t="str">
        <f aca="false">IF(IsPro,IF(OR($C2717="",N($G2717)=0),"",IF(OR($C2717="Receipt",$C2717="Other Income",$C2717="Capital In",$C2717="Transfer In"),$G2717,0)),"")</f>
        <v/>
      </c>
      <c r="J2717" s="61" t="str">
        <f aca="false">IF(IsPro,IF(OR($C2717="",N($G2717)=0),"",IF(I2717=0,$G2717,0)),"")</f>
        <v/>
      </c>
      <c r="K2717" s="60" t="str">
        <f aca="false">IF(IsPro,IF($C2717="","",IF(AND(OR($C2717="Receipt",$C2717="Payment"),$D2717=""),"Party needed",IF(AND(OR($C2717="Expense",$C2717="Other Income"),$E2717=""),"Head needed",IF($F2717="","Account needed","OK")))),IF($C2717="","","PRO PLAN"))</f>
        <v/>
      </c>
    </row>
    <row r="2718" customFormat="false" ht="15" hidden="false" customHeight="false" outlineLevel="0" collapsed="false">
      <c r="A2718" s="55"/>
      <c r="B2718" s="56"/>
      <c r="C2718" s="56"/>
      <c r="D2718" s="56"/>
      <c r="E2718" s="56"/>
      <c r="F2718" s="56"/>
      <c r="G2718" s="58"/>
      <c r="H2718" s="56"/>
      <c r="I2718" s="61" t="str">
        <f aca="false">IF(IsPro,IF(OR($C2718="",N($G2718)=0),"",IF(OR($C2718="Receipt",$C2718="Other Income",$C2718="Capital In",$C2718="Transfer In"),$G2718,0)),"")</f>
        <v/>
      </c>
      <c r="J2718" s="61" t="str">
        <f aca="false">IF(IsPro,IF(OR($C2718="",N($G2718)=0),"",IF(I2718=0,$G2718,0)),"")</f>
        <v/>
      </c>
      <c r="K2718" s="60" t="str">
        <f aca="false">IF(IsPro,IF($C2718="","",IF(AND(OR($C2718="Receipt",$C2718="Payment"),$D2718=""),"Party needed",IF(AND(OR($C2718="Expense",$C2718="Other Income"),$E2718=""),"Head needed",IF($F2718="","Account needed","OK")))),IF($C2718="","","PRO PLAN"))</f>
        <v/>
      </c>
    </row>
    <row r="2719" customFormat="false" ht="15" hidden="false" customHeight="false" outlineLevel="0" collapsed="false">
      <c r="A2719" s="55"/>
      <c r="B2719" s="56"/>
      <c r="C2719" s="56"/>
      <c r="D2719" s="56"/>
      <c r="E2719" s="56"/>
      <c r="F2719" s="56"/>
      <c r="G2719" s="58"/>
      <c r="H2719" s="56"/>
      <c r="I2719" s="61" t="str">
        <f aca="false">IF(IsPro,IF(OR($C2719="",N($G2719)=0),"",IF(OR($C2719="Receipt",$C2719="Other Income",$C2719="Capital In",$C2719="Transfer In"),$G2719,0)),"")</f>
        <v/>
      </c>
      <c r="J2719" s="61" t="str">
        <f aca="false">IF(IsPro,IF(OR($C2719="",N($G2719)=0),"",IF(I2719=0,$G2719,0)),"")</f>
        <v/>
      </c>
      <c r="K2719" s="60" t="str">
        <f aca="false">IF(IsPro,IF($C2719="","",IF(AND(OR($C2719="Receipt",$C2719="Payment"),$D2719=""),"Party needed",IF(AND(OR($C2719="Expense",$C2719="Other Income"),$E2719=""),"Head needed",IF($F2719="","Account needed","OK")))),IF($C2719="","","PRO PLAN"))</f>
        <v/>
      </c>
    </row>
    <row r="2720" customFormat="false" ht="15" hidden="false" customHeight="false" outlineLevel="0" collapsed="false">
      <c r="A2720" s="55"/>
      <c r="B2720" s="56"/>
      <c r="C2720" s="56"/>
      <c r="D2720" s="56"/>
      <c r="E2720" s="56"/>
      <c r="F2720" s="56"/>
      <c r="G2720" s="58"/>
      <c r="H2720" s="56"/>
      <c r="I2720" s="61" t="str">
        <f aca="false">IF(IsPro,IF(OR($C2720="",N($G2720)=0),"",IF(OR($C2720="Receipt",$C2720="Other Income",$C2720="Capital In",$C2720="Transfer In"),$G2720,0)),"")</f>
        <v/>
      </c>
      <c r="J2720" s="61" t="str">
        <f aca="false">IF(IsPro,IF(OR($C2720="",N($G2720)=0),"",IF(I2720=0,$G2720,0)),"")</f>
        <v/>
      </c>
      <c r="K2720" s="60" t="str">
        <f aca="false">IF(IsPro,IF($C2720="","",IF(AND(OR($C2720="Receipt",$C2720="Payment"),$D2720=""),"Party needed",IF(AND(OR($C2720="Expense",$C2720="Other Income"),$E2720=""),"Head needed",IF($F2720="","Account needed","OK")))),IF($C2720="","","PRO PLAN"))</f>
        <v/>
      </c>
    </row>
    <row r="2721" customFormat="false" ht="15" hidden="false" customHeight="false" outlineLevel="0" collapsed="false">
      <c r="A2721" s="55"/>
      <c r="B2721" s="56"/>
      <c r="C2721" s="56"/>
      <c r="D2721" s="56"/>
      <c r="E2721" s="56"/>
      <c r="F2721" s="56"/>
      <c r="G2721" s="58"/>
      <c r="H2721" s="56"/>
      <c r="I2721" s="61" t="str">
        <f aca="false">IF(IsPro,IF(OR($C2721="",N($G2721)=0),"",IF(OR($C2721="Receipt",$C2721="Other Income",$C2721="Capital In",$C2721="Transfer In"),$G2721,0)),"")</f>
        <v/>
      </c>
      <c r="J2721" s="61" t="str">
        <f aca="false">IF(IsPro,IF(OR($C2721="",N($G2721)=0),"",IF(I2721=0,$G2721,0)),"")</f>
        <v/>
      </c>
      <c r="K2721" s="60" t="str">
        <f aca="false">IF(IsPro,IF($C2721="","",IF(AND(OR($C2721="Receipt",$C2721="Payment"),$D2721=""),"Party needed",IF(AND(OR($C2721="Expense",$C2721="Other Income"),$E2721=""),"Head needed",IF($F2721="","Account needed","OK")))),IF($C2721="","","PRO PLAN"))</f>
        <v/>
      </c>
    </row>
    <row r="2722" customFormat="false" ht="15" hidden="false" customHeight="false" outlineLevel="0" collapsed="false">
      <c r="A2722" s="55"/>
      <c r="B2722" s="56"/>
      <c r="C2722" s="56"/>
      <c r="D2722" s="56"/>
      <c r="E2722" s="56"/>
      <c r="F2722" s="56"/>
      <c r="G2722" s="58"/>
      <c r="H2722" s="56"/>
      <c r="I2722" s="61" t="str">
        <f aca="false">IF(IsPro,IF(OR($C2722="",N($G2722)=0),"",IF(OR($C2722="Receipt",$C2722="Other Income",$C2722="Capital In",$C2722="Transfer In"),$G2722,0)),"")</f>
        <v/>
      </c>
      <c r="J2722" s="61" t="str">
        <f aca="false">IF(IsPro,IF(OR($C2722="",N($G2722)=0),"",IF(I2722=0,$G2722,0)),"")</f>
        <v/>
      </c>
      <c r="K2722" s="60" t="str">
        <f aca="false">IF(IsPro,IF($C2722="","",IF(AND(OR($C2722="Receipt",$C2722="Payment"),$D2722=""),"Party needed",IF(AND(OR($C2722="Expense",$C2722="Other Income"),$E2722=""),"Head needed",IF($F2722="","Account needed","OK")))),IF($C2722="","","PRO PLAN"))</f>
        <v/>
      </c>
    </row>
    <row r="2723" customFormat="false" ht="15" hidden="false" customHeight="false" outlineLevel="0" collapsed="false">
      <c r="A2723" s="55"/>
      <c r="B2723" s="56"/>
      <c r="C2723" s="56"/>
      <c r="D2723" s="56"/>
      <c r="E2723" s="56"/>
      <c r="F2723" s="56"/>
      <c r="G2723" s="58"/>
      <c r="H2723" s="56"/>
      <c r="I2723" s="61" t="str">
        <f aca="false">IF(IsPro,IF(OR($C2723="",N($G2723)=0),"",IF(OR($C2723="Receipt",$C2723="Other Income",$C2723="Capital In",$C2723="Transfer In"),$G2723,0)),"")</f>
        <v/>
      </c>
      <c r="J2723" s="61" t="str">
        <f aca="false">IF(IsPro,IF(OR($C2723="",N($G2723)=0),"",IF(I2723=0,$G2723,0)),"")</f>
        <v/>
      </c>
      <c r="K2723" s="60" t="str">
        <f aca="false">IF(IsPro,IF($C2723="","",IF(AND(OR($C2723="Receipt",$C2723="Payment"),$D2723=""),"Party needed",IF(AND(OR($C2723="Expense",$C2723="Other Income"),$E2723=""),"Head needed",IF($F2723="","Account needed","OK")))),IF($C2723="","","PRO PLAN"))</f>
        <v/>
      </c>
    </row>
    <row r="2724" customFormat="false" ht="15" hidden="false" customHeight="false" outlineLevel="0" collapsed="false">
      <c r="A2724" s="55"/>
      <c r="B2724" s="56"/>
      <c r="C2724" s="56"/>
      <c r="D2724" s="56"/>
      <c r="E2724" s="56"/>
      <c r="F2724" s="56"/>
      <c r="G2724" s="58"/>
      <c r="H2724" s="56"/>
      <c r="I2724" s="61" t="str">
        <f aca="false">IF(IsPro,IF(OR($C2724="",N($G2724)=0),"",IF(OR($C2724="Receipt",$C2724="Other Income",$C2724="Capital In",$C2724="Transfer In"),$G2724,0)),"")</f>
        <v/>
      </c>
      <c r="J2724" s="61" t="str">
        <f aca="false">IF(IsPro,IF(OR($C2724="",N($G2724)=0),"",IF(I2724=0,$G2724,0)),"")</f>
        <v/>
      </c>
      <c r="K2724" s="60" t="str">
        <f aca="false">IF(IsPro,IF($C2724="","",IF(AND(OR($C2724="Receipt",$C2724="Payment"),$D2724=""),"Party needed",IF(AND(OR($C2724="Expense",$C2724="Other Income"),$E2724=""),"Head needed",IF($F2724="","Account needed","OK")))),IF($C2724="","","PRO PLAN"))</f>
        <v/>
      </c>
    </row>
    <row r="2725" customFormat="false" ht="15" hidden="false" customHeight="false" outlineLevel="0" collapsed="false">
      <c r="A2725" s="55"/>
      <c r="B2725" s="56"/>
      <c r="C2725" s="56"/>
      <c r="D2725" s="56"/>
      <c r="E2725" s="56"/>
      <c r="F2725" s="56"/>
      <c r="G2725" s="58"/>
      <c r="H2725" s="56"/>
      <c r="I2725" s="61" t="str">
        <f aca="false">IF(IsPro,IF(OR($C2725="",N($G2725)=0),"",IF(OR($C2725="Receipt",$C2725="Other Income",$C2725="Capital In",$C2725="Transfer In"),$G2725,0)),"")</f>
        <v/>
      </c>
      <c r="J2725" s="61" t="str">
        <f aca="false">IF(IsPro,IF(OR($C2725="",N($G2725)=0),"",IF(I2725=0,$G2725,0)),"")</f>
        <v/>
      </c>
      <c r="K2725" s="60" t="str">
        <f aca="false">IF(IsPro,IF($C2725="","",IF(AND(OR($C2725="Receipt",$C2725="Payment"),$D2725=""),"Party needed",IF(AND(OR($C2725="Expense",$C2725="Other Income"),$E2725=""),"Head needed",IF($F2725="","Account needed","OK")))),IF($C2725="","","PRO PLAN"))</f>
        <v/>
      </c>
    </row>
    <row r="2726" customFormat="false" ht="15" hidden="false" customHeight="false" outlineLevel="0" collapsed="false">
      <c r="A2726" s="55"/>
      <c r="B2726" s="56"/>
      <c r="C2726" s="56"/>
      <c r="D2726" s="56"/>
      <c r="E2726" s="56"/>
      <c r="F2726" s="56"/>
      <c r="G2726" s="58"/>
      <c r="H2726" s="56"/>
      <c r="I2726" s="61" t="str">
        <f aca="false">IF(IsPro,IF(OR($C2726="",N($G2726)=0),"",IF(OR($C2726="Receipt",$C2726="Other Income",$C2726="Capital In",$C2726="Transfer In"),$G2726,0)),"")</f>
        <v/>
      </c>
      <c r="J2726" s="61" t="str">
        <f aca="false">IF(IsPro,IF(OR($C2726="",N($G2726)=0),"",IF(I2726=0,$G2726,0)),"")</f>
        <v/>
      </c>
      <c r="K2726" s="60" t="str">
        <f aca="false">IF(IsPro,IF($C2726="","",IF(AND(OR($C2726="Receipt",$C2726="Payment"),$D2726=""),"Party needed",IF(AND(OR($C2726="Expense",$C2726="Other Income"),$E2726=""),"Head needed",IF($F2726="","Account needed","OK")))),IF($C2726="","","PRO PLAN"))</f>
        <v/>
      </c>
    </row>
    <row r="2727" customFormat="false" ht="15" hidden="false" customHeight="false" outlineLevel="0" collapsed="false">
      <c r="A2727" s="55"/>
      <c r="B2727" s="56"/>
      <c r="C2727" s="56"/>
      <c r="D2727" s="56"/>
      <c r="E2727" s="56"/>
      <c r="F2727" s="56"/>
      <c r="G2727" s="58"/>
      <c r="H2727" s="56"/>
      <c r="I2727" s="61" t="str">
        <f aca="false">IF(IsPro,IF(OR($C2727="",N($G2727)=0),"",IF(OR($C2727="Receipt",$C2727="Other Income",$C2727="Capital In",$C2727="Transfer In"),$G2727,0)),"")</f>
        <v/>
      </c>
      <c r="J2727" s="61" t="str">
        <f aca="false">IF(IsPro,IF(OR($C2727="",N($G2727)=0),"",IF(I2727=0,$G2727,0)),"")</f>
        <v/>
      </c>
      <c r="K2727" s="60" t="str">
        <f aca="false">IF(IsPro,IF($C2727="","",IF(AND(OR($C2727="Receipt",$C2727="Payment"),$D2727=""),"Party needed",IF(AND(OR($C2727="Expense",$C2727="Other Income"),$E2727=""),"Head needed",IF($F2727="","Account needed","OK")))),IF($C2727="","","PRO PLAN"))</f>
        <v/>
      </c>
    </row>
    <row r="2728" customFormat="false" ht="15" hidden="false" customHeight="false" outlineLevel="0" collapsed="false">
      <c r="A2728" s="55"/>
      <c r="B2728" s="56"/>
      <c r="C2728" s="56"/>
      <c r="D2728" s="56"/>
      <c r="E2728" s="56"/>
      <c r="F2728" s="56"/>
      <c r="G2728" s="58"/>
      <c r="H2728" s="56"/>
      <c r="I2728" s="61" t="str">
        <f aca="false">IF(IsPro,IF(OR($C2728="",N($G2728)=0),"",IF(OR($C2728="Receipt",$C2728="Other Income",$C2728="Capital In",$C2728="Transfer In"),$G2728,0)),"")</f>
        <v/>
      </c>
      <c r="J2728" s="61" t="str">
        <f aca="false">IF(IsPro,IF(OR($C2728="",N($G2728)=0),"",IF(I2728=0,$G2728,0)),"")</f>
        <v/>
      </c>
      <c r="K2728" s="60" t="str">
        <f aca="false">IF(IsPro,IF($C2728="","",IF(AND(OR($C2728="Receipt",$C2728="Payment"),$D2728=""),"Party needed",IF(AND(OR($C2728="Expense",$C2728="Other Income"),$E2728=""),"Head needed",IF($F2728="","Account needed","OK")))),IF($C2728="","","PRO PLAN"))</f>
        <v/>
      </c>
    </row>
    <row r="2729" customFormat="false" ht="15" hidden="false" customHeight="false" outlineLevel="0" collapsed="false">
      <c r="A2729" s="55"/>
      <c r="B2729" s="56"/>
      <c r="C2729" s="56"/>
      <c r="D2729" s="56"/>
      <c r="E2729" s="56"/>
      <c r="F2729" s="56"/>
      <c r="G2729" s="58"/>
      <c r="H2729" s="56"/>
      <c r="I2729" s="61" t="str">
        <f aca="false">IF(IsPro,IF(OR($C2729="",N($G2729)=0),"",IF(OR($C2729="Receipt",$C2729="Other Income",$C2729="Capital In",$C2729="Transfer In"),$G2729,0)),"")</f>
        <v/>
      </c>
      <c r="J2729" s="61" t="str">
        <f aca="false">IF(IsPro,IF(OR($C2729="",N($G2729)=0),"",IF(I2729=0,$G2729,0)),"")</f>
        <v/>
      </c>
      <c r="K2729" s="60" t="str">
        <f aca="false">IF(IsPro,IF($C2729="","",IF(AND(OR($C2729="Receipt",$C2729="Payment"),$D2729=""),"Party needed",IF(AND(OR($C2729="Expense",$C2729="Other Income"),$E2729=""),"Head needed",IF($F2729="","Account needed","OK")))),IF($C2729="","","PRO PLAN"))</f>
        <v/>
      </c>
    </row>
    <row r="2730" customFormat="false" ht="15" hidden="false" customHeight="false" outlineLevel="0" collapsed="false">
      <c r="A2730" s="55"/>
      <c r="B2730" s="56"/>
      <c r="C2730" s="56"/>
      <c r="D2730" s="56"/>
      <c r="E2730" s="56"/>
      <c r="F2730" s="56"/>
      <c r="G2730" s="58"/>
      <c r="H2730" s="56"/>
      <c r="I2730" s="61" t="str">
        <f aca="false">IF(IsPro,IF(OR($C2730="",N($G2730)=0),"",IF(OR($C2730="Receipt",$C2730="Other Income",$C2730="Capital In",$C2730="Transfer In"),$G2730,0)),"")</f>
        <v/>
      </c>
      <c r="J2730" s="61" t="str">
        <f aca="false">IF(IsPro,IF(OR($C2730="",N($G2730)=0),"",IF(I2730=0,$G2730,0)),"")</f>
        <v/>
      </c>
      <c r="K2730" s="60" t="str">
        <f aca="false">IF(IsPro,IF($C2730="","",IF(AND(OR($C2730="Receipt",$C2730="Payment"),$D2730=""),"Party needed",IF(AND(OR($C2730="Expense",$C2730="Other Income"),$E2730=""),"Head needed",IF($F2730="","Account needed","OK")))),IF($C2730="","","PRO PLAN"))</f>
        <v/>
      </c>
    </row>
    <row r="2731" customFormat="false" ht="15" hidden="false" customHeight="false" outlineLevel="0" collapsed="false">
      <c r="A2731" s="55"/>
      <c r="B2731" s="56"/>
      <c r="C2731" s="56"/>
      <c r="D2731" s="56"/>
      <c r="E2731" s="56"/>
      <c r="F2731" s="56"/>
      <c r="G2731" s="58"/>
      <c r="H2731" s="56"/>
      <c r="I2731" s="61" t="str">
        <f aca="false">IF(IsPro,IF(OR($C2731="",N($G2731)=0),"",IF(OR($C2731="Receipt",$C2731="Other Income",$C2731="Capital In",$C2731="Transfer In"),$G2731,0)),"")</f>
        <v/>
      </c>
      <c r="J2731" s="61" t="str">
        <f aca="false">IF(IsPro,IF(OR($C2731="",N($G2731)=0),"",IF(I2731=0,$G2731,0)),"")</f>
        <v/>
      </c>
      <c r="K2731" s="60" t="str">
        <f aca="false">IF(IsPro,IF($C2731="","",IF(AND(OR($C2731="Receipt",$C2731="Payment"),$D2731=""),"Party needed",IF(AND(OR($C2731="Expense",$C2731="Other Income"),$E2731=""),"Head needed",IF($F2731="","Account needed","OK")))),IF($C2731="","","PRO PLAN"))</f>
        <v/>
      </c>
    </row>
    <row r="2732" customFormat="false" ht="15" hidden="false" customHeight="false" outlineLevel="0" collapsed="false">
      <c r="A2732" s="55"/>
      <c r="B2732" s="56"/>
      <c r="C2732" s="56"/>
      <c r="D2732" s="56"/>
      <c r="E2732" s="56"/>
      <c r="F2732" s="56"/>
      <c r="G2732" s="58"/>
      <c r="H2732" s="56"/>
      <c r="I2732" s="61" t="str">
        <f aca="false">IF(IsPro,IF(OR($C2732="",N($G2732)=0),"",IF(OR($C2732="Receipt",$C2732="Other Income",$C2732="Capital In",$C2732="Transfer In"),$G2732,0)),"")</f>
        <v/>
      </c>
      <c r="J2732" s="61" t="str">
        <f aca="false">IF(IsPro,IF(OR($C2732="",N($G2732)=0),"",IF(I2732=0,$G2732,0)),"")</f>
        <v/>
      </c>
      <c r="K2732" s="60" t="str">
        <f aca="false">IF(IsPro,IF($C2732="","",IF(AND(OR($C2732="Receipt",$C2732="Payment"),$D2732=""),"Party needed",IF(AND(OR($C2732="Expense",$C2732="Other Income"),$E2732=""),"Head needed",IF($F2732="","Account needed","OK")))),IF($C2732="","","PRO PLAN"))</f>
        <v/>
      </c>
    </row>
    <row r="2733" customFormat="false" ht="15" hidden="false" customHeight="false" outlineLevel="0" collapsed="false">
      <c r="A2733" s="55"/>
      <c r="B2733" s="56"/>
      <c r="C2733" s="56"/>
      <c r="D2733" s="56"/>
      <c r="E2733" s="56"/>
      <c r="F2733" s="56"/>
      <c r="G2733" s="58"/>
      <c r="H2733" s="56"/>
      <c r="I2733" s="61" t="str">
        <f aca="false">IF(IsPro,IF(OR($C2733="",N($G2733)=0),"",IF(OR($C2733="Receipt",$C2733="Other Income",$C2733="Capital In",$C2733="Transfer In"),$G2733,0)),"")</f>
        <v/>
      </c>
      <c r="J2733" s="61" t="str">
        <f aca="false">IF(IsPro,IF(OR($C2733="",N($G2733)=0),"",IF(I2733=0,$G2733,0)),"")</f>
        <v/>
      </c>
      <c r="K2733" s="60" t="str">
        <f aca="false">IF(IsPro,IF($C2733="","",IF(AND(OR($C2733="Receipt",$C2733="Payment"),$D2733=""),"Party needed",IF(AND(OR($C2733="Expense",$C2733="Other Income"),$E2733=""),"Head needed",IF($F2733="","Account needed","OK")))),IF($C2733="","","PRO PLAN"))</f>
        <v/>
      </c>
    </row>
    <row r="2734" customFormat="false" ht="15" hidden="false" customHeight="false" outlineLevel="0" collapsed="false">
      <c r="A2734" s="55"/>
      <c r="B2734" s="56"/>
      <c r="C2734" s="56"/>
      <c r="D2734" s="56"/>
      <c r="E2734" s="56"/>
      <c r="F2734" s="56"/>
      <c r="G2734" s="58"/>
      <c r="H2734" s="56"/>
      <c r="I2734" s="61" t="str">
        <f aca="false">IF(IsPro,IF(OR($C2734="",N($G2734)=0),"",IF(OR($C2734="Receipt",$C2734="Other Income",$C2734="Capital In",$C2734="Transfer In"),$G2734,0)),"")</f>
        <v/>
      </c>
      <c r="J2734" s="61" t="str">
        <f aca="false">IF(IsPro,IF(OR($C2734="",N($G2734)=0),"",IF(I2734=0,$G2734,0)),"")</f>
        <v/>
      </c>
      <c r="K2734" s="60" t="str">
        <f aca="false">IF(IsPro,IF($C2734="","",IF(AND(OR($C2734="Receipt",$C2734="Payment"),$D2734=""),"Party needed",IF(AND(OR($C2734="Expense",$C2734="Other Income"),$E2734=""),"Head needed",IF($F2734="","Account needed","OK")))),IF($C2734="","","PRO PLAN"))</f>
        <v/>
      </c>
    </row>
    <row r="2735" customFormat="false" ht="15" hidden="false" customHeight="false" outlineLevel="0" collapsed="false">
      <c r="A2735" s="55"/>
      <c r="B2735" s="56"/>
      <c r="C2735" s="56"/>
      <c r="D2735" s="56"/>
      <c r="E2735" s="56"/>
      <c r="F2735" s="56"/>
      <c r="G2735" s="58"/>
      <c r="H2735" s="56"/>
      <c r="I2735" s="61" t="str">
        <f aca="false">IF(IsPro,IF(OR($C2735="",N($G2735)=0),"",IF(OR($C2735="Receipt",$C2735="Other Income",$C2735="Capital In",$C2735="Transfer In"),$G2735,0)),"")</f>
        <v/>
      </c>
      <c r="J2735" s="61" t="str">
        <f aca="false">IF(IsPro,IF(OR($C2735="",N($G2735)=0),"",IF(I2735=0,$G2735,0)),"")</f>
        <v/>
      </c>
      <c r="K2735" s="60" t="str">
        <f aca="false">IF(IsPro,IF($C2735="","",IF(AND(OR($C2735="Receipt",$C2735="Payment"),$D2735=""),"Party needed",IF(AND(OR($C2735="Expense",$C2735="Other Income"),$E2735=""),"Head needed",IF($F2735="","Account needed","OK")))),IF($C2735="","","PRO PLAN"))</f>
        <v/>
      </c>
    </row>
    <row r="2736" customFormat="false" ht="15" hidden="false" customHeight="false" outlineLevel="0" collapsed="false">
      <c r="A2736" s="55"/>
      <c r="B2736" s="56"/>
      <c r="C2736" s="56"/>
      <c r="D2736" s="56"/>
      <c r="E2736" s="56"/>
      <c r="F2736" s="56"/>
      <c r="G2736" s="58"/>
      <c r="H2736" s="56"/>
      <c r="I2736" s="61" t="str">
        <f aca="false">IF(IsPro,IF(OR($C2736="",N($G2736)=0),"",IF(OR($C2736="Receipt",$C2736="Other Income",$C2736="Capital In",$C2736="Transfer In"),$G2736,0)),"")</f>
        <v/>
      </c>
      <c r="J2736" s="61" t="str">
        <f aca="false">IF(IsPro,IF(OR($C2736="",N($G2736)=0),"",IF(I2736=0,$G2736,0)),"")</f>
        <v/>
      </c>
      <c r="K2736" s="60" t="str">
        <f aca="false">IF(IsPro,IF($C2736="","",IF(AND(OR($C2736="Receipt",$C2736="Payment"),$D2736=""),"Party needed",IF(AND(OR($C2736="Expense",$C2736="Other Income"),$E2736=""),"Head needed",IF($F2736="","Account needed","OK")))),IF($C2736="","","PRO PLAN"))</f>
        <v/>
      </c>
    </row>
    <row r="2737" customFormat="false" ht="15" hidden="false" customHeight="false" outlineLevel="0" collapsed="false">
      <c r="A2737" s="55"/>
      <c r="B2737" s="56"/>
      <c r="C2737" s="56"/>
      <c r="D2737" s="56"/>
      <c r="E2737" s="56"/>
      <c r="F2737" s="56"/>
      <c r="G2737" s="58"/>
      <c r="H2737" s="56"/>
      <c r="I2737" s="61" t="str">
        <f aca="false">IF(IsPro,IF(OR($C2737="",N($G2737)=0),"",IF(OR($C2737="Receipt",$C2737="Other Income",$C2737="Capital In",$C2737="Transfer In"),$G2737,0)),"")</f>
        <v/>
      </c>
      <c r="J2737" s="61" t="str">
        <f aca="false">IF(IsPro,IF(OR($C2737="",N($G2737)=0),"",IF(I2737=0,$G2737,0)),"")</f>
        <v/>
      </c>
      <c r="K2737" s="60" t="str">
        <f aca="false">IF(IsPro,IF($C2737="","",IF(AND(OR($C2737="Receipt",$C2737="Payment"),$D2737=""),"Party needed",IF(AND(OR($C2737="Expense",$C2737="Other Income"),$E2737=""),"Head needed",IF($F2737="","Account needed","OK")))),IF($C2737="","","PRO PLAN"))</f>
        <v/>
      </c>
    </row>
    <row r="2738" customFormat="false" ht="15" hidden="false" customHeight="false" outlineLevel="0" collapsed="false">
      <c r="A2738" s="55"/>
      <c r="B2738" s="56"/>
      <c r="C2738" s="56"/>
      <c r="D2738" s="56"/>
      <c r="E2738" s="56"/>
      <c r="F2738" s="56"/>
      <c r="G2738" s="58"/>
      <c r="H2738" s="56"/>
      <c r="I2738" s="61" t="str">
        <f aca="false">IF(IsPro,IF(OR($C2738="",N($G2738)=0),"",IF(OR($C2738="Receipt",$C2738="Other Income",$C2738="Capital In",$C2738="Transfer In"),$G2738,0)),"")</f>
        <v/>
      </c>
      <c r="J2738" s="61" t="str">
        <f aca="false">IF(IsPro,IF(OR($C2738="",N($G2738)=0),"",IF(I2738=0,$G2738,0)),"")</f>
        <v/>
      </c>
      <c r="K2738" s="60" t="str">
        <f aca="false">IF(IsPro,IF($C2738="","",IF(AND(OR($C2738="Receipt",$C2738="Payment"),$D2738=""),"Party needed",IF(AND(OR($C2738="Expense",$C2738="Other Income"),$E2738=""),"Head needed",IF($F2738="","Account needed","OK")))),IF($C2738="","","PRO PLAN"))</f>
        <v/>
      </c>
    </row>
    <row r="2739" customFormat="false" ht="15" hidden="false" customHeight="false" outlineLevel="0" collapsed="false">
      <c r="A2739" s="55"/>
      <c r="B2739" s="56"/>
      <c r="C2739" s="56"/>
      <c r="D2739" s="56"/>
      <c r="E2739" s="56"/>
      <c r="F2739" s="56"/>
      <c r="G2739" s="58"/>
      <c r="H2739" s="56"/>
      <c r="I2739" s="61" t="str">
        <f aca="false">IF(IsPro,IF(OR($C2739="",N($G2739)=0),"",IF(OR($C2739="Receipt",$C2739="Other Income",$C2739="Capital In",$C2739="Transfer In"),$G2739,0)),"")</f>
        <v/>
      </c>
      <c r="J2739" s="61" t="str">
        <f aca="false">IF(IsPro,IF(OR($C2739="",N($G2739)=0),"",IF(I2739=0,$G2739,0)),"")</f>
        <v/>
      </c>
      <c r="K2739" s="60" t="str">
        <f aca="false">IF(IsPro,IF($C2739="","",IF(AND(OR($C2739="Receipt",$C2739="Payment"),$D2739=""),"Party needed",IF(AND(OR($C2739="Expense",$C2739="Other Income"),$E2739=""),"Head needed",IF($F2739="","Account needed","OK")))),IF($C2739="","","PRO PLAN"))</f>
        <v/>
      </c>
    </row>
    <row r="2740" customFormat="false" ht="15" hidden="false" customHeight="false" outlineLevel="0" collapsed="false">
      <c r="A2740" s="55"/>
      <c r="B2740" s="56"/>
      <c r="C2740" s="56"/>
      <c r="D2740" s="56"/>
      <c r="E2740" s="56"/>
      <c r="F2740" s="56"/>
      <c r="G2740" s="58"/>
      <c r="H2740" s="56"/>
      <c r="I2740" s="61" t="str">
        <f aca="false">IF(IsPro,IF(OR($C2740="",N($G2740)=0),"",IF(OR($C2740="Receipt",$C2740="Other Income",$C2740="Capital In",$C2740="Transfer In"),$G2740,0)),"")</f>
        <v/>
      </c>
      <c r="J2740" s="61" t="str">
        <f aca="false">IF(IsPro,IF(OR($C2740="",N($G2740)=0),"",IF(I2740=0,$G2740,0)),"")</f>
        <v/>
      </c>
      <c r="K2740" s="60" t="str">
        <f aca="false">IF(IsPro,IF($C2740="","",IF(AND(OR($C2740="Receipt",$C2740="Payment"),$D2740=""),"Party needed",IF(AND(OR($C2740="Expense",$C2740="Other Income"),$E2740=""),"Head needed",IF($F2740="","Account needed","OK")))),IF($C2740="","","PRO PLAN"))</f>
        <v/>
      </c>
    </row>
    <row r="2741" customFormat="false" ht="15" hidden="false" customHeight="false" outlineLevel="0" collapsed="false">
      <c r="A2741" s="55"/>
      <c r="B2741" s="56"/>
      <c r="C2741" s="56"/>
      <c r="D2741" s="56"/>
      <c r="E2741" s="56"/>
      <c r="F2741" s="56"/>
      <c r="G2741" s="58"/>
      <c r="H2741" s="56"/>
      <c r="I2741" s="61" t="str">
        <f aca="false">IF(IsPro,IF(OR($C2741="",N($G2741)=0),"",IF(OR($C2741="Receipt",$C2741="Other Income",$C2741="Capital In",$C2741="Transfer In"),$G2741,0)),"")</f>
        <v/>
      </c>
      <c r="J2741" s="61" t="str">
        <f aca="false">IF(IsPro,IF(OR($C2741="",N($G2741)=0),"",IF(I2741=0,$G2741,0)),"")</f>
        <v/>
      </c>
      <c r="K2741" s="60" t="str">
        <f aca="false">IF(IsPro,IF($C2741="","",IF(AND(OR($C2741="Receipt",$C2741="Payment"),$D2741=""),"Party needed",IF(AND(OR($C2741="Expense",$C2741="Other Income"),$E2741=""),"Head needed",IF($F2741="","Account needed","OK")))),IF($C2741="","","PRO PLAN"))</f>
        <v/>
      </c>
    </row>
    <row r="2742" customFormat="false" ht="15" hidden="false" customHeight="false" outlineLevel="0" collapsed="false">
      <c r="A2742" s="55"/>
      <c r="B2742" s="56"/>
      <c r="C2742" s="56"/>
      <c r="D2742" s="56"/>
      <c r="E2742" s="56"/>
      <c r="F2742" s="56"/>
      <c r="G2742" s="58"/>
      <c r="H2742" s="56"/>
      <c r="I2742" s="61" t="str">
        <f aca="false">IF(IsPro,IF(OR($C2742="",N($G2742)=0),"",IF(OR($C2742="Receipt",$C2742="Other Income",$C2742="Capital In",$C2742="Transfer In"),$G2742,0)),"")</f>
        <v/>
      </c>
      <c r="J2742" s="61" t="str">
        <f aca="false">IF(IsPro,IF(OR($C2742="",N($G2742)=0),"",IF(I2742=0,$G2742,0)),"")</f>
        <v/>
      </c>
      <c r="K2742" s="60" t="str">
        <f aca="false">IF(IsPro,IF($C2742="","",IF(AND(OR($C2742="Receipt",$C2742="Payment"),$D2742=""),"Party needed",IF(AND(OR($C2742="Expense",$C2742="Other Income"),$E2742=""),"Head needed",IF($F2742="","Account needed","OK")))),IF($C2742="","","PRO PLAN"))</f>
        <v/>
      </c>
    </row>
    <row r="2743" customFormat="false" ht="15" hidden="false" customHeight="false" outlineLevel="0" collapsed="false">
      <c r="A2743" s="55"/>
      <c r="B2743" s="56"/>
      <c r="C2743" s="56"/>
      <c r="D2743" s="56"/>
      <c r="E2743" s="56"/>
      <c r="F2743" s="56"/>
      <c r="G2743" s="58"/>
      <c r="H2743" s="56"/>
      <c r="I2743" s="61" t="str">
        <f aca="false">IF(IsPro,IF(OR($C2743="",N($G2743)=0),"",IF(OR($C2743="Receipt",$C2743="Other Income",$C2743="Capital In",$C2743="Transfer In"),$G2743,0)),"")</f>
        <v/>
      </c>
      <c r="J2743" s="61" t="str">
        <f aca="false">IF(IsPro,IF(OR($C2743="",N($G2743)=0),"",IF(I2743=0,$G2743,0)),"")</f>
        <v/>
      </c>
      <c r="K2743" s="60" t="str">
        <f aca="false">IF(IsPro,IF($C2743="","",IF(AND(OR($C2743="Receipt",$C2743="Payment"),$D2743=""),"Party needed",IF(AND(OR($C2743="Expense",$C2743="Other Income"),$E2743=""),"Head needed",IF($F2743="","Account needed","OK")))),IF($C2743="","","PRO PLAN"))</f>
        <v/>
      </c>
    </row>
    <row r="2744" customFormat="false" ht="15" hidden="false" customHeight="false" outlineLevel="0" collapsed="false">
      <c r="A2744" s="55"/>
      <c r="B2744" s="56"/>
      <c r="C2744" s="56"/>
      <c r="D2744" s="56"/>
      <c r="E2744" s="56"/>
      <c r="F2744" s="56"/>
      <c r="G2744" s="58"/>
      <c r="H2744" s="56"/>
      <c r="I2744" s="61" t="str">
        <f aca="false">IF(IsPro,IF(OR($C2744="",N($G2744)=0),"",IF(OR($C2744="Receipt",$C2744="Other Income",$C2744="Capital In",$C2744="Transfer In"),$G2744,0)),"")</f>
        <v/>
      </c>
      <c r="J2744" s="61" t="str">
        <f aca="false">IF(IsPro,IF(OR($C2744="",N($G2744)=0),"",IF(I2744=0,$G2744,0)),"")</f>
        <v/>
      </c>
      <c r="K2744" s="60" t="str">
        <f aca="false">IF(IsPro,IF($C2744="","",IF(AND(OR($C2744="Receipt",$C2744="Payment"),$D2744=""),"Party needed",IF(AND(OR($C2744="Expense",$C2744="Other Income"),$E2744=""),"Head needed",IF($F2744="","Account needed","OK")))),IF($C2744="","","PRO PLAN"))</f>
        <v/>
      </c>
    </row>
    <row r="2745" customFormat="false" ht="15" hidden="false" customHeight="false" outlineLevel="0" collapsed="false">
      <c r="A2745" s="55"/>
      <c r="B2745" s="56"/>
      <c r="C2745" s="56"/>
      <c r="D2745" s="56"/>
      <c r="E2745" s="56"/>
      <c r="F2745" s="56"/>
      <c r="G2745" s="58"/>
      <c r="H2745" s="56"/>
      <c r="I2745" s="61" t="str">
        <f aca="false">IF(IsPro,IF(OR($C2745="",N($G2745)=0),"",IF(OR($C2745="Receipt",$C2745="Other Income",$C2745="Capital In",$C2745="Transfer In"),$G2745,0)),"")</f>
        <v/>
      </c>
      <c r="J2745" s="61" t="str">
        <f aca="false">IF(IsPro,IF(OR($C2745="",N($G2745)=0),"",IF(I2745=0,$G2745,0)),"")</f>
        <v/>
      </c>
      <c r="K2745" s="60" t="str">
        <f aca="false">IF(IsPro,IF($C2745="","",IF(AND(OR($C2745="Receipt",$C2745="Payment"),$D2745=""),"Party needed",IF(AND(OR($C2745="Expense",$C2745="Other Income"),$E2745=""),"Head needed",IF($F2745="","Account needed","OK")))),IF($C2745="","","PRO PLAN"))</f>
        <v/>
      </c>
    </row>
    <row r="2746" customFormat="false" ht="15" hidden="false" customHeight="false" outlineLevel="0" collapsed="false">
      <c r="A2746" s="55"/>
      <c r="B2746" s="56"/>
      <c r="C2746" s="56"/>
      <c r="D2746" s="56"/>
      <c r="E2746" s="56"/>
      <c r="F2746" s="56"/>
      <c r="G2746" s="58"/>
      <c r="H2746" s="56"/>
      <c r="I2746" s="61" t="str">
        <f aca="false">IF(IsPro,IF(OR($C2746="",N($G2746)=0),"",IF(OR($C2746="Receipt",$C2746="Other Income",$C2746="Capital In",$C2746="Transfer In"),$G2746,0)),"")</f>
        <v/>
      </c>
      <c r="J2746" s="61" t="str">
        <f aca="false">IF(IsPro,IF(OR($C2746="",N($G2746)=0),"",IF(I2746=0,$G2746,0)),"")</f>
        <v/>
      </c>
      <c r="K2746" s="60" t="str">
        <f aca="false">IF(IsPro,IF($C2746="","",IF(AND(OR($C2746="Receipt",$C2746="Payment"),$D2746=""),"Party needed",IF(AND(OR($C2746="Expense",$C2746="Other Income"),$E2746=""),"Head needed",IF($F2746="","Account needed","OK")))),IF($C2746="","","PRO PLAN"))</f>
        <v/>
      </c>
    </row>
    <row r="2747" customFormat="false" ht="15" hidden="false" customHeight="false" outlineLevel="0" collapsed="false">
      <c r="A2747" s="55"/>
      <c r="B2747" s="56"/>
      <c r="C2747" s="56"/>
      <c r="D2747" s="56"/>
      <c r="E2747" s="56"/>
      <c r="F2747" s="56"/>
      <c r="G2747" s="58"/>
      <c r="H2747" s="56"/>
      <c r="I2747" s="61" t="str">
        <f aca="false">IF(IsPro,IF(OR($C2747="",N($G2747)=0),"",IF(OR($C2747="Receipt",$C2747="Other Income",$C2747="Capital In",$C2747="Transfer In"),$G2747,0)),"")</f>
        <v/>
      </c>
      <c r="J2747" s="61" t="str">
        <f aca="false">IF(IsPro,IF(OR($C2747="",N($G2747)=0),"",IF(I2747=0,$G2747,0)),"")</f>
        <v/>
      </c>
      <c r="K2747" s="60" t="str">
        <f aca="false">IF(IsPro,IF($C2747="","",IF(AND(OR($C2747="Receipt",$C2747="Payment"),$D2747=""),"Party needed",IF(AND(OR($C2747="Expense",$C2747="Other Income"),$E2747=""),"Head needed",IF($F2747="","Account needed","OK")))),IF($C2747="","","PRO PLAN"))</f>
        <v/>
      </c>
    </row>
    <row r="2748" customFormat="false" ht="15" hidden="false" customHeight="false" outlineLevel="0" collapsed="false">
      <c r="A2748" s="55"/>
      <c r="B2748" s="56"/>
      <c r="C2748" s="56"/>
      <c r="D2748" s="56"/>
      <c r="E2748" s="56"/>
      <c r="F2748" s="56"/>
      <c r="G2748" s="58"/>
      <c r="H2748" s="56"/>
      <c r="I2748" s="61" t="str">
        <f aca="false">IF(IsPro,IF(OR($C2748="",N($G2748)=0),"",IF(OR($C2748="Receipt",$C2748="Other Income",$C2748="Capital In",$C2748="Transfer In"),$G2748,0)),"")</f>
        <v/>
      </c>
      <c r="J2748" s="61" t="str">
        <f aca="false">IF(IsPro,IF(OR($C2748="",N($G2748)=0),"",IF(I2748=0,$G2748,0)),"")</f>
        <v/>
      </c>
      <c r="K2748" s="60" t="str">
        <f aca="false">IF(IsPro,IF($C2748="","",IF(AND(OR($C2748="Receipt",$C2748="Payment"),$D2748=""),"Party needed",IF(AND(OR($C2748="Expense",$C2748="Other Income"),$E2748=""),"Head needed",IF($F2748="","Account needed","OK")))),IF($C2748="","","PRO PLAN"))</f>
        <v/>
      </c>
    </row>
    <row r="2749" customFormat="false" ht="15" hidden="false" customHeight="false" outlineLevel="0" collapsed="false">
      <c r="A2749" s="55"/>
      <c r="B2749" s="56"/>
      <c r="C2749" s="56"/>
      <c r="D2749" s="56"/>
      <c r="E2749" s="56"/>
      <c r="F2749" s="56"/>
      <c r="G2749" s="58"/>
      <c r="H2749" s="56"/>
      <c r="I2749" s="61" t="str">
        <f aca="false">IF(IsPro,IF(OR($C2749="",N($G2749)=0),"",IF(OR($C2749="Receipt",$C2749="Other Income",$C2749="Capital In",$C2749="Transfer In"),$G2749,0)),"")</f>
        <v/>
      </c>
      <c r="J2749" s="61" t="str">
        <f aca="false">IF(IsPro,IF(OR($C2749="",N($G2749)=0),"",IF(I2749=0,$G2749,0)),"")</f>
        <v/>
      </c>
      <c r="K2749" s="60" t="str">
        <f aca="false">IF(IsPro,IF($C2749="","",IF(AND(OR($C2749="Receipt",$C2749="Payment"),$D2749=""),"Party needed",IF(AND(OR($C2749="Expense",$C2749="Other Income"),$E2749=""),"Head needed",IF($F2749="","Account needed","OK")))),IF($C2749="","","PRO PLAN"))</f>
        <v/>
      </c>
    </row>
    <row r="2750" customFormat="false" ht="15" hidden="false" customHeight="false" outlineLevel="0" collapsed="false">
      <c r="A2750" s="55"/>
      <c r="B2750" s="56"/>
      <c r="C2750" s="56"/>
      <c r="D2750" s="56"/>
      <c r="E2750" s="56"/>
      <c r="F2750" s="56"/>
      <c r="G2750" s="58"/>
      <c r="H2750" s="56"/>
      <c r="I2750" s="61" t="str">
        <f aca="false">IF(IsPro,IF(OR($C2750="",N($G2750)=0),"",IF(OR($C2750="Receipt",$C2750="Other Income",$C2750="Capital In",$C2750="Transfer In"),$G2750,0)),"")</f>
        <v/>
      </c>
      <c r="J2750" s="61" t="str">
        <f aca="false">IF(IsPro,IF(OR($C2750="",N($G2750)=0),"",IF(I2750=0,$G2750,0)),"")</f>
        <v/>
      </c>
      <c r="K2750" s="60" t="str">
        <f aca="false">IF(IsPro,IF($C2750="","",IF(AND(OR($C2750="Receipt",$C2750="Payment"),$D2750=""),"Party needed",IF(AND(OR($C2750="Expense",$C2750="Other Income"),$E2750=""),"Head needed",IF($F2750="","Account needed","OK")))),IF($C2750="","","PRO PLAN"))</f>
        <v/>
      </c>
    </row>
    <row r="2751" customFormat="false" ht="15" hidden="false" customHeight="false" outlineLevel="0" collapsed="false">
      <c r="A2751" s="55"/>
      <c r="B2751" s="56"/>
      <c r="C2751" s="56"/>
      <c r="D2751" s="56"/>
      <c r="E2751" s="56"/>
      <c r="F2751" s="56"/>
      <c r="G2751" s="58"/>
      <c r="H2751" s="56"/>
      <c r="I2751" s="61" t="str">
        <f aca="false">IF(IsPro,IF(OR($C2751="",N($G2751)=0),"",IF(OR($C2751="Receipt",$C2751="Other Income",$C2751="Capital In",$C2751="Transfer In"),$G2751,0)),"")</f>
        <v/>
      </c>
      <c r="J2751" s="61" t="str">
        <f aca="false">IF(IsPro,IF(OR($C2751="",N($G2751)=0),"",IF(I2751=0,$G2751,0)),"")</f>
        <v/>
      </c>
      <c r="K2751" s="60" t="str">
        <f aca="false">IF(IsPro,IF($C2751="","",IF(AND(OR($C2751="Receipt",$C2751="Payment"),$D2751=""),"Party needed",IF(AND(OR($C2751="Expense",$C2751="Other Income"),$E2751=""),"Head needed",IF($F2751="","Account needed","OK")))),IF($C2751="","","PRO PLAN"))</f>
        <v/>
      </c>
    </row>
    <row r="2752" customFormat="false" ht="15" hidden="false" customHeight="false" outlineLevel="0" collapsed="false">
      <c r="A2752" s="55"/>
      <c r="B2752" s="56"/>
      <c r="C2752" s="56"/>
      <c r="D2752" s="56"/>
      <c r="E2752" s="56"/>
      <c r="F2752" s="56"/>
      <c r="G2752" s="58"/>
      <c r="H2752" s="56"/>
      <c r="I2752" s="61" t="str">
        <f aca="false">IF(IsPro,IF(OR($C2752="",N($G2752)=0),"",IF(OR($C2752="Receipt",$C2752="Other Income",$C2752="Capital In",$C2752="Transfer In"),$G2752,0)),"")</f>
        <v/>
      </c>
      <c r="J2752" s="61" t="str">
        <f aca="false">IF(IsPro,IF(OR($C2752="",N($G2752)=0),"",IF(I2752=0,$G2752,0)),"")</f>
        <v/>
      </c>
      <c r="K2752" s="60" t="str">
        <f aca="false">IF(IsPro,IF($C2752="","",IF(AND(OR($C2752="Receipt",$C2752="Payment"),$D2752=""),"Party needed",IF(AND(OR($C2752="Expense",$C2752="Other Income"),$E2752=""),"Head needed",IF($F2752="","Account needed","OK")))),IF($C2752="","","PRO PLAN"))</f>
        <v/>
      </c>
    </row>
    <row r="2753" customFormat="false" ht="15" hidden="false" customHeight="false" outlineLevel="0" collapsed="false">
      <c r="A2753" s="55"/>
      <c r="B2753" s="56"/>
      <c r="C2753" s="56"/>
      <c r="D2753" s="56"/>
      <c r="E2753" s="56"/>
      <c r="F2753" s="56"/>
      <c r="G2753" s="58"/>
      <c r="H2753" s="56"/>
      <c r="I2753" s="61" t="str">
        <f aca="false">IF(IsPro,IF(OR($C2753="",N($G2753)=0),"",IF(OR($C2753="Receipt",$C2753="Other Income",$C2753="Capital In",$C2753="Transfer In"),$G2753,0)),"")</f>
        <v/>
      </c>
      <c r="J2753" s="61" t="str">
        <f aca="false">IF(IsPro,IF(OR($C2753="",N($G2753)=0),"",IF(I2753=0,$G2753,0)),"")</f>
        <v/>
      </c>
      <c r="K2753" s="60" t="str">
        <f aca="false">IF(IsPro,IF($C2753="","",IF(AND(OR($C2753="Receipt",$C2753="Payment"),$D2753=""),"Party needed",IF(AND(OR($C2753="Expense",$C2753="Other Income"),$E2753=""),"Head needed",IF($F2753="","Account needed","OK")))),IF($C2753="","","PRO PLAN"))</f>
        <v/>
      </c>
    </row>
    <row r="2754" customFormat="false" ht="15" hidden="false" customHeight="false" outlineLevel="0" collapsed="false">
      <c r="A2754" s="55"/>
      <c r="B2754" s="56"/>
      <c r="C2754" s="56"/>
      <c r="D2754" s="56"/>
      <c r="E2754" s="56"/>
      <c r="F2754" s="56"/>
      <c r="G2754" s="58"/>
      <c r="H2754" s="56"/>
      <c r="I2754" s="61" t="str">
        <f aca="false">IF(IsPro,IF(OR($C2754="",N($G2754)=0),"",IF(OR($C2754="Receipt",$C2754="Other Income",$C2754="Capital In",$C2754="Transfer In"),$G2754,0)),"")</f>
        <v/>
      </c>
      <c r="J2754" s="61" t="str">
        <f aca="false">IF(IsPro,IF(OR($C2754="",N($G2754)=0),"",IF(I2754=0,$G2754,0)),"")</f>
        <v/>
      </c>
      <c r="K2754" s="60" t="str">
        <f aca="false">IF(IsPro,IF($C2754="","",IF(AND(OR($C2754="Receipt",$C2754="Payment"),$D2754=""),"Party needed",IF(AND(OR($C2754="Expense",$C2754="Other Income"),$E2754=""),"Head needed",IF($F2754="","Account needed","OK")))),IF($C2754="","","PRO PLAN"))</f>
        <v/>
      </c>
    </row>
    <row r="2755" customFormat="false" ht="15" hidden="false" customHeight="false" outlineLevel="0" collapsed="false">
      <c r="A2755" s="55"/>
      <c r="B2755" s="56"/>
      <c r="C2755" s="56"/>
      <c r="D2755" s="56"/>
      <c r="E2755" s="56"/>
      <c r="F2755" s="56"/>
      <c r="G2755" s="58"/>
      <c r="H2755" s="56"/>
      <c r="I2755" s="61" t="str">
        <f aca="false">IF(IsPro,IF(OR($C2755="",N($G2755)=0),"",IF(OR($C2755="Receipt",$C2755="Other Income",$C2755="Capital In",$C2755="Transfer In"),$G2755,0)),"")</f>
        <v/>
      </c>
      <c r="J2755" s="61" t="str">
        <f aca="false">IF(IsPro,IF(OR($C2755="",N($G2755)=0),"",IF(I2755=0,$G2755,0)),"")</f>
        <v/>
      </c>
      <c r="K2755" s="60" t="str">
        <f aca="false">IF(IsPro,IF($C2755="","",IF(AND(OR($C2755="Receipt",$C2755="Payment"),$D2755=""),"Party needed",IF(AND(OR($C2755="Expense",$C2755="Other Income"),$E2755=""),"Head needed",IF($F2755="","Account needed","OK")))),IF($C2755="","","PRO PLAN"))</f>
        <v/>
      </c>
    </row>
    <row r="2756" customFormat="false" ht="15" hidden="false" customHeight="false" outlineLevel="0" collapsed="false">
      <c r="A2756" s="55"/>
      <c r="B2756" s="56"/>
      <c r="C2756" s="56"/>
      <c r="D2756" s="56"/>
      <c r="E2756" s="56"/>
      <c r="F2756" s="56"/>
      <c r="G2756" s="58"/>
      <c r="H2756" s="56"/>
      <c r="I2756" s="61" t="str">
        <f aca="false">IF(IsPro,IF(OR($C2756="",N($G2756)=0),"",IF(OR($C2756="Receipt",$C2756="Other Income",$C2756="Capital In",$C2756="Transfer In"),$G2756,0)),"")</f>
        <v/>
      </c>
      <c r="J2756" s="61" t="str">
        <f aca="false">IF(IsPro,IF(OR($C2756="",N($G2756)=0),"",IF(I2756=0,$G2756,0)),"")</f>
        <v/>
      </c>
      <c r="K2756" s="60" t="str">
        <f aca="false">IF(IsPro,IF($C2756="","",IF(AND(OR($C2756="Receipt",$C2756="Payment"),$D2756=""),"Party needed",IF(AND(OR($C2756="Expense",$C2756="Other Income"),$E2756=""),"Head needed",IF($F2756="","Account needed","OK")))),IF($C2756="","","PRO PLAN"))</f>
        <v/>
      </c>
    </row>
    <row r="2757" customFormat="false" ht="15" hidden="false" customHeight="false" outlineLevel="0" collapsed="false">
      <c r="A2757" s="55"/>
      <c r="B2757" s="56"/>
      <c r="C2757" s="56"/>
      <c r="D2757" s="56"/>
      <c r="E2757" s="56"/>
      <c r="F2757" s="56"/>
      <c r="G2757" s="58"/>
      <c r="H2757" s="56"/>
      <c r="I2757" s="61" t="str">
        <f aca="false">IF(IsPro,IF(OR($C2757="",N($G2757)=0),"",IF(OR($C2757="Receipt",$C2757="Other Income",$C2757="Capital In",$C2757="Transfer In"),$G2757,0)),"")</f>
        <v/>
      </c>
      <c r="J2757" s="61" t="str">
        <f aca="false">IF(IsPro,IF(OR($C2757="",N($G2757)=0),"",IF(I2757=0,$G2757,0)),"")</f>
        <v/>
      </c>
      <c r="K2757" s="60" t="str">
        <f aca="false">IF(IsPro,IF($C2757="","",IF(AND(OR($C2757="Receipt",$C2757="Payment"),$D2757=""),"Party needed",IF(AND(OR($C2757="Expense",$C2757="Other Income"),$E2757=""),"Head needed",IF($F2757="","Account needed","OK")))),IF($C2757="","","PRO PLAN"))</f>
        <v/>
      </c>
    </row>
    <row r="2758" customFormat="false" ht="15" hidden="false" customHeight="false" outlineLevel="0" collapsed="false">
      <c r="A2758" s="55"/>
      <c r="B2758" s="56"/>
      <c r="C2758" s="56"/>
      <c r="D2758" s="56"/>
      <c r="E2758" s="56"/>
      <c r="F2758" s="56"/>
      <c r="G2758" s="58"/>
      <c r="H2758" s="56"/>
      <c r="I2758" s="61" t="str">
        <f aca="false">IF(IsPro,IF(OR($C2758="",N($G2758)=0),"",IF(OR($C2758="Receipt",$C2758="Other Income",$C2758="Capital In",$C2758="Transfer In"),$G2758,0)),"")</f>
        <v/>
      </c>
      <c r="J2758" s="61" t="str">
        <f aca="false">IF(IsPro,IF(OR($C2758="",N($G2758)=0),"",IF(I2758=0,$G2758,0)),"")</f>
        <v/>
      </c>
      <c r="K2758" s="60" t="str">
        <f aca="false">IF(IsPro,IF($C2758="","",IF(AND(OR($C2758="Receipt",$C2758="Payment"),$D2758=""),"Party needed",IF(AND(OR($C2758="Expense",$C2758="Other Income"),$E2758=""),"Head needed",IF($F2758="","Account needed","OK")))),IF($C2758="","","PRO PLAN"))</f>
        <v/>
      </c>
    </row>
    <row r="2759" customFormat="false" ht="15" hidden="false" customHeight="false" outlineLevel="0" collapsed="false">
      <c r="A2759" s="55"/>
      <c r="B2759" s="56"/>
      <c r="C2759" s="56"/>
      <c r="D2759" s="56"/>
      <c r="E2759" s="56"/>
      <c r="F2759" s="56"/>
      <c r="G2759" s="58"/>
      <c r="H2759" s="56"/>
      <c r="I2759" s="61" t="str">
        <f aca="false">IF(IsPro,IF(OR($C2759="",N($G2759)=0),"",IF(OR($C2759="Receipt",$C2759="Other Income",$C2759="Capital In",$C2759="Transfer In"),$G2759,0)),"")</f>
        <v/>
      </c>
      <c r="J2759" s="61" t="str">
        <f aca="false">IF(IsPro,IF(OR($C2759="",N($G2759)=0),"",IF(I2759=0,$G2759,0)),"")</f>
        <v/>
      </c>
      <c r="K2759" s="60" t="str">
        <f aca="false">IF(IsPro,IF($C2759="","",IF(AND(OR($C2759="Receipt",$C2759="Payment"),$D2759=""),"Party needed",IF(AND(OR($C2759="Expense",$C2759="Other Income"),$E2759=""),"Head needed",IF($F2759="","Account needed","OK")))),IF($C2759="","","PRO PLAN"))</f>
        <v/>
      </c>
    </row>
    <row r="2760" customFormat="false" ht="15" hidden="false" customHeight="false" outlineLevel="0" collapsed="false">
      <c r="A2760" s="55"/>
      <c r="B2760" s="56"/>
      <c r="C2760" s="56"/>
      <c r="D2760" s="56"/>
      <c r="E2760" s="56"/>
      <c r="F2760" s="56"/>
      <c r="G2760" s="58"/>
      <c r="H2760" s="56"/>
      <c r="I2760" s="61" t="str">
        <f aca="false">IF(IsPro,IF(OR($C2760="",N($G2760)=0),"",IF(OR($C2760="Receipt",$C2760="Other Income",$C2760="Capital In",$C2760="Transfer In"),$G2760,0)),"")</f>
        <v/>
      </c>
      <c r="J2760" s="61" t="str">
        <f aca="false">IF(IsPro,IF(OR($C2760="",N($G2760)=0),"",IF(I2760=0,$G2760,0)),"")</f>
        <v/>
      </c>
      <c r="K2760" s="60" t="str">
        <f aca="false">IF(IsPro,IF($C2760="","",IF(AND(OR($C2760="Receipt",$C2760="Payment"),$D2760=""),"Party needed",IF(AND(OR($C2760="Expense",$C2760="Other Income"),$E2760=""),"Head needed",IF($F2760="","Account needed","OK")))),IF($C2760="","","PRO PLAN"))</f>
        <v/>
      </c>
    </row>
    <row r="2761" customFormat="false" ht="15" hidden="false" customHeight="false" outlineLevel="0" collapsed="false">
      <c r="A2761" s="55"/>
      <c r="B2761" s="56"/>
      <c r="C2761" s="56"/>
      <c r="D2761" s="56"/>
      <c r="E2761" s="56"/>
      <c r="F2761" s="56"/>
      <c r="G2761" s="58"/>
      <c r="H2761" s="56"/>
      <c r="I2761" s="61" t="str">
        <f aca="false">IF(IsPro,IF(OR($C2761="",N($G2761)=0),"",IF(OR($C2761="Receipt",$C2761="Other Income",$C2761="Capital In",$C2761="Transfer In"),$G2761,0)),"")</f>
        <v/>
      </c>
      <c r="J2761" s="61" t="str">
        <f aca="false">IF(IsPro,IF(OR($C2761="",N($G2761)=0),"",IF(I2761=0,$G2761,0)),"")</f>
        <v/>
      </c>
      <c r="K2761" s="60" t="str">
        <f aca="false">IF(IsPro,IF($C2761="","",IF(AND(OR($C2761="Receipt",$C2761="Payment"),$D2761=""),"Party needed",IF(AND(OR($C2761="Expense",$C2761="Other Income"),$E2761=""),"Head needed",IF($F2761="","Account needed","OK")))),IF($C2761="","","PRO PLAN"))</f>
        <v/>
      </c>
    </row>
    <row r="2762" customFormat="false" ht="15" hidden="false" customHeight="false" outlineLevel="0" collapsed="false">
      <c r="A2762" s="55"/>
      <c r="B2762" s="56"/>
      <c r="C2762" s="56"/>
      <c r="D2762" s="56"/>
      <c r="E2762" s="56"/>
      <c r="F2762" s="56"/>
      <c r="G2762" s="58"/>
      <c r="H2762" s="56"/>
      <c r="I2762" s="61" t="str">
        <f aca="false">IF(IsPro,IF(OR($C2762="",N($G2762)=0),"",IF(OR($C2762="Receipt",$C2762="Other Income",$C2762="Capital In",$C2762="Transfer In"),$G2762,0)),"")</f>
        <v/>
      </c>
      <c r="J2762" s="61" t="str">
        <f aca="false">IF(IsPro,IF(OR($C2762="",N($G2762)=0),"",IF(I2762=0,$G2762,0)),"")</f>
        <v/>
      </c>
      <c r="K2762" s="60" t="str">
        <f aca="false">IF(IsPro,IF($C2762="","",IF(AND(OR($C2762="Receipt",$C2762="Payment"),$D2762=""),"Party needed",IF(AND(OR($C2762="Expense",$C2762="Other Income"),$E2762=""),"Head needed",IF($F2762="","Account needed","OK")))),IF($C2762="","","PRO PLAN"))</f>
        <v/>
      </c>
    </row>
    <row r="2763" customFormat="false" ht="15" hidden="false" customHeight="false" outlineLevel="0" collapsed="false">
      <c r="A2763" s="55"/>
      <c r="B2763" s="56"/>
      <c r="C2763" s="56"/>
      <c r="D2763" s="56"/>
      <c r="E2763" s="56"/>
      <c r="F2763" s="56"/>
      <c r="G2763" s="58"/>
      <c r="H2763" s="56"/>
      <c r="I2763" s="61" t="str">
        <f aca="false">IF(IsPro,IF(OR($C2763="",N($G2763)=0),"",IF(OR($C2763="Receipt",$C2763="Other Income",$C2763="Capital In",$C2763="Transfer In"),$G2763,0)),"")</f>
        <v/>
      </c>
      <c r="J2763" s="61" t="str">
        <f aca="false">IF(IsPro,IF(OR($C2763="",N($G2763)=0),"",IF(I2763=0,$G2763,0)),"")</f>
        <v/>
      </c>
      <c r="K2763" s="60" t="str">
        <f aca="false">IF(IsPro,IF($C2763="","",IF(AND(OR($C2763="Receipt",$C2763="Payment"),$D2763=""),"Party needed",IF(AND(OR($C2763="Expense",$C2763="Other Income"),$E2763=""),"Head needed",IF($F2763="","Account needed","OK")))),IF($C2763="","","PRO PLAN"))</f>
        <v/>
      </c>
    </row>
    <row r="2764" customFormat="false" ht="15" hidden="false" customHeight="false" outlineLevel="0" collapsed="false">
      <c r="A2764" s="55"/>
      <c r="B2764" s="56"/>
      <c r="C2764" s="56"/>
      <c r="D2764" s="56"/>
      <c r="E2764" s="56"/>
      <c r="F2764" s="56"/>
      <c r="G2764" s="58"/>
      <c r="H2764" s="56"/>
      <c r="I2764" s="61" t="str">
        <f aca="false">IF(IsPro,IF(OR($C2764="",N($G2764)=0),"",IF(OR($C2764="Receipt",$C2764="Other Income",$C2764="Capital In",$C2764="Transfer In"),$G2764,0)),"")</f>
        <v/>
      </c>
      <c r="J2764" s="61" t="str">
        <f aca="false">IF(IsPro,IF(OR($C2764="",N($G2764)=0),"",IF(I2764=0,$G2764,0)),"")</f>
        <v/>
      </c>
      <c r="K2764" s="60" t="str">
        <f aca="false">IF(IsPro,IF($C2764="","",IF(AND(OR($C2764="Receipt",$C2764="Payment"),$D2764=""),"Party needed",IF(AND(OR($C2764="Expense",$C2764="Other Income"),$E2764=""),"Head needed",IF($F2764="","Account needed","OK")))),IF($C2764="","","PRO PLAN"))</f>
        <v/>
      </c>
    </row>
    <row r="2765" customFormat="false" ht="15" hidden="false" customHeight="false" outlineLevel="0" collapsed="false">
      <c r="A2765" s="55"/>
      <c r="B2765" s="56"/>
      <c r="C2765" s="56"/>
      <c r="D2765" s="56"/>
      <c r="E2765" s="56"/>
      <c r="F2765" s="56"/>
      <c r="G2765" s="58"/>
      <c r="H2765" s="56"/>
      <c r="I2765" s="61" t="str">
        <f aca="false">IF(IsPro,IF(OR($C2765="",N($G2765)=0),"",IF(OR($C2765="Receipt",$C2765="Other Income",$C2765="Capital In",$C2765="Transfer In"),$G2765,0)),"")</f>
        <v/>
      </c>
      <c r="J2765" s="61" t="str">
        <f aca="false">IF(IsPro,IF(OR($C2765="",N($G2765)=0),"",IF(I2765=0,$G2765,0)),"")</f>
        <v/>
      </c>
      <c r="K2765" s="60" t="str">
        <f aca="false">IF(IsPro,IF($C2765="","",IF(AND(OR($C2765="Receipt",$C2765="Payment"),$D2765=""),"Party needed",IF(AND(OR($C2765="Expense",$C2765="Other Income"),$E2765=""),"Head needed",IF($F2765="","Account needed","OK")))),IF($C2765="","","PRO PLAN"))</f>
        <v/>
      </c>
    </row>
    <row r="2766" customFormat="false" ht="15" hidden="false" customHeight="false" outlineLevel="0" collapsed="false">
      <c r="A2766" s="55"/>
      <c r="B2766" s="56"/>
      <c r="C2766" s="56"/>
      <c r="D2766" s="56"/>
      <c r="E2766" s="56"/>
      <c r="F2766" s="56"/>
      <c r="G2766" s="58"/>
      <c r="H2766" s="56"/>
      <c r="I2766" s="61" t="str">
        <f aca="false">IF(IsPro,IF(OR($C2766="",N($G2766)=0),"",IF(OR($C2766="Receipt",$C2766="Other Income",$C2766="Capital In",$C2766="Transfer In"),$G2766,0)),"")</f>
        <v/>
      </c>
      <c r="J2766" s="61" t="str">
        <f aca="false">IF(IsPro,IF(OR($C2766="",N($G2766)=0),"",IF(I2766=0,$G2766,0)),"")</f>
        <v/>
      </c>
      <c r="K2766" s="60" t="str">
        <f aca="false">IF(IsPro,IF($C2766="","",IF(AND(OR($C2766="Receipt",$C2766="Payment"),$D2766=""),"Party needed",IF(AND(OR($C2766="Expense",$C2766="Other Income"),$E2766=""),"Head needed",IF($F2766="","Account needed","OK")))),IF($C2766="","","PRO PLAN"))</f>
        <v/>
      </c>
    </row>
    <row r="2767" customFormat="false" ht="15" hidden="false" customHeight="false" outlineLevel="0" collapsed="false">
      <c r="A2767" s="55"/>
      <c r="B2767" s="56"/>
      <c r="C2767" s="56"/>
      <c r="D2767" s="56"/>
      <c r="E2767" s="56"/>
      <c r="F2767" s="56"/>
      <c r="G2767" s="58"/>
      <c r="H2767" s="56"/>
      <c r="I2767" s="61" t="str">
        <f aca="false">IF(IsPro,IF(OR($C2767="",N($G2767)=0),"",IF(OR($C2767="Receipt",$C2767="Other Income",$C2767="Capital In",$C2767="Transfer In"),$G2767,0)),"")</f>
        <v/>
      </c>
      <c r="J2767" s="61" t="str">
        <f aca="false">IF(IsPro,IF(OR($C2767="",N($G2767)=0),"",IF(I2767=0,$G2767,0)),"")</f>
        <v/>
      </c>
      <c r="K2767" s="60" t="str">
        <f aca="false">IF(IsPro,IF($C2767="","",IF(AND(OR($C2767="Receipt",$C2767="Payment"),$D2767=""),"Party needed",IF(AND(OR($C2767="Expense",$C2767="Other Income"),$E2767=""),"Head needed",IF($F2767="","Account needed","OK")))),IF($C2767="","","PRO PLAN"))</f>
        <v/>
      </c>
    </row>
    <row r="2768" customFormat="false" ht="15" hidden="false" customHeight="false" outlineLevel="0" collapsed="false">
      <c r="A2768" s="55"/>
      <c r="B2768" s="56"/>
      <c r="C2768" s="56"/>
      <c r="D2768" s="56"/>
      <c r="E2768" s="56"/>
      <c r="F2768" s="56"/>
      <c r="G2768" s="58"/>
      <c r="H2768" s="56"/>
      <c r="I2768" s="61" t="str">
        <f aca="false">IF(IsPro,IF(OR($C2768="",N($G2768)=0),"",IF(OR($C2768="Receipt",$C2768="Other Income",$C2768="Capital In",$C2768="Transfer In"),$G2768,0)),"")</f>
        <v/>
      </c>
      <c r="J2768" s="61" t="str">
        <f aca="false">IF(IsPro,IF(OR($C2768="",N($G2768)=0),"",IF(I2768=0,$G2768,0)),"")</f>
        <v/>
      </c>
      <c r="K2768" s="60" t="str">
        <f aca="false">IF(IsPro,IF($C2768="","",IF(AND(OR($C2768="Receipt",$C2768="Payment"),$D2768=""),"Party needed",IF(AND(OR($C2768="Expense",$C2768="Other Income"),$E2768=""),"Head needed",IF($F2768="","Account needed","OK")))),IF($C2768="","","PRO PLAN"))</f>
        <v/>
      </c>
    </row>
    <row r="2769" customFormat="false" ht="15" hidden="false" customHeight="false" outlineLevel="0" collapsed="false">
      <c r="A2769" s="55"/>
      <c r="B2769" s="56"/>
      <c r="C2769" s="56"/>
      <c r="D2769" s="56"/>
      <c r="E2769" s="56"/>
      <c r="F2769" s="56"/>
      <c r="G2769" s="58"/>
      <c r="H2769" s="56"/>
      <c r="I2769" s="61" t="str">
        <f aca="false">IF(IsPro,IF(OR($C2769="",N($G2769)=0),"",IF(OR($C2769="Receipt",$C2769="Other Income",$C2769="Capital In",$C2769="Transfer In"),$G2769,0)),"")</f>
        <v/>
      </c>
      <c r="J2769" s="61" t="str">
        <f aca="false">IF(IsPro,IF(OR($C2769="",N($G2769)=0),"",IF(I2769=0,$G2769,0)),"")</f>
        <v/>
      </c>
      <c r="K2769" s="60" t="str">
        <f aca="false">IF(IsPro,IF($C2769="","",IF(AND(OR($C2769="Receipt",$C2769="Payment"),$D2769=""),"Party needed",IF(AND(OR($C2769="Expense",$C2769="Other Income"),$E2769=""),"Head needed",IF($F2769="","Account needed","OK")))),IF($C2769="","","PRO PLAN"))</f>
        <v/>
      </c>
    </row>
    <row r="2770" customFormat="false" ht="15" hidden="false" customHeight="false" outlineLevel="0" collapsed="false">
      <c r="A2770" s="55"/>
      <c r="B2770" s="56"/>
      <c r="C2770" s="56"/>
      <c r="D2770" s="56"/>
      <c r="E2770" s="56"/>
      <c r="F2770" s="56"/>
      <c r="G2770" s="58"/>
      <c r="H2770" s="56"/>
      <c r="I2770" s="61" t="str">
        <f aca="false">IF(IsPro,IF(OR($C2770="",N($G2770)=0),"",IF(OR($C2770="Receipt",$C2770="Other Income",$C2770="Capital In",$C2770="Transfer In"),$G2770,0)),"")</f>
        <v/>
      </c>
      <c r="J2770" s="61" t="str">
        <f aca="false">IF(IsPro,IF(OR($C2770="",N($G2770)=0),"",IF(I2770=0,$G2770,0)),"")</f>
        <v/>
      </c>
      <c r="K2770" s="60" t="str">
        <f aca="false">IF(IsPro,IF($C2770="","",IF(AND(OR($C2770="Receipt",$C2770="Payment"),$D2770=""),"Party needed",IF(AND(OR($C2770="Expense",$C2770="Other Income"),$E2770=""),"Head needed",IF($F2770="","Account needed","OK")))),IF($C2770="","","PRO PLAN"))</f>
        <v/>
      </c>
    </row>
    <row r="2771" customFormat="false" ht="15" hidden="false" customHeight="false" outlineLevel="0" collapsed="false">
      <c r="A2771" s="55"/>
      <c r="B2771" s="56"/>
      <c r="C2771" s="56"/>
      <c r="D2771" s="56"/>
      <c r="E2771" s="56"/>
      <c r="F2771" s="56"/>
      <c r="G2771" s="58"/>
      <c r="H2771" s="56"/>
      <c r="I2771" s="61" t="str">
        <f aca="false">IF(IsPro,IF(OR($C2771="",N($G2771)=0),"",IF(OR($C2771="Receipt",$C2771="Other Income",$C2771="Capital In",$C2771="Transfer In"),$G2771,0)),"")</f>
        <v/>
      </c>
      <c r="J2771" s="61" t="str">
        <f aca="false">IF(IsPro,IF(OR($C2771="",N($G2771)=0),"",IF(I2771=0,$G2771,0)),"")</f>
        <v/>
      </c>
      <c r="K2771" s="60" t="str">
        <f aca="false">IF(IsPro,IF($C2771="","",IF(AND(OR($C2771="Receipt",$C2771="Payment"),$D2771=""),"Party needed",IF(AND(OR($C2771="Expense",$C2771="Other Income"),$E2771=""),"Head needed",IF($F2771="","Account needed","OK")))),IF($C2771="","","PRO PLAN"))</f>
        <v/>
      </c>
    </row>
    <row r="2772" customFormat="false" ht="15" hidden="false" customHeight="false" outlineLevel="0" collapsed="false">
      <c r="A2772" s="55"/>
      <c r="B2772" s="56"/>
      <c r="C2772" s="56"/>
      <c r="D2772" s="56"/>
      <c r="E2772" s="56"/>
      <c r="F2772" s="56"/>
      <c r="G2772" s="58"/>
      <c r="H2772" s="56"/>
      <c r="I2772" s="61" t="str">
        <f aca="false">IF(IsPro,IF(OR($C2772="",N($G2772)=0),"",IF(OR($C2772="Receipt",$C2772="Other Income",$C2772="Capital In",$C2772="Transfer In"),$G2772,0)),"")</f>
        <v/>
      </c>
      <c r="J2772" s="61" t="str">
        <f aca="false">IF(IsPro,IF(OR($C2772="",N($G2772)=0),"",IF(I2772=0,$G2772,0)),"")</f>
        <v/>
      </c>
      <c r="K2772" s="60" t="str">
        <f aca="false">IF(IsPro,IF($C2772="","",IF(AND(OR($C2772="Receipt",$C2772="Payment"),$D2772=""),"Party needed",IF(AND(OR($C2772="Expense",$C2772="Other Income"),$E2772=""),"Head needed",IF($F2772="","Account needed","OK")))),IF($C2772="","","PRO PLAN"))</f>
        <v/>
      </c>
    </row>
    <row r="2773" customFormat="false" ht="15" hidden="false" customHeight="false" outlineLevel="0" collapsed="false">
      <c r="A2773" s="55"/>
      <c r="B2773" s="56"/>
      <c r="C2773" s="56"/>
      <c r="D2773" s="56"/>
      <c r="E2773" s="56"/>
      <c r="F2773" s="56"/>
      <c r="G2773" s="58"/>
      <c r="H2773" s="56"/>
      <c r="I2773" s="61" t="str">
        <f aca="false">IF(IsPro,IF(OR($C2773="",N($G2773)=0),"",IF(OR($C2773="Receipt",$C2773="Other Income",$C2773="Capital In",$C2773="Transfer In"),$G2773,0)),"")</f>
        <v/>
      </c>
      <c r="J2773" s="61" t="str">
        <f aca="false">IF(IsPro,IF(OR($C2773="",N($G2773)=0),"",IF(I2773=0,$G2773,0)),"")</f>
        <v/>
      </c>
      <c r="K2773" s="60" t="str">
        <f aca="false">IF(IsPro,IF($C2773="","",IF(AND(OR($C2773="Receipt",$C2773="Payment"),$D2773=""),"Party needed",IF(AND(OR($C2773="Expense",$C2773="Other Income"),$E2773=""),"Head needed",IF($F2773="","Account needed","OK")))),IF($C2773="","","PRO PLAN"))</f>
        <v/>
      </c>
    </row>
    <row r="2774" customFormat="false" ht="15" hidden="false" customHeight="false" outlineLevel="0" collapsed="false">
      <c r="A2774" s="55"/>
      <c r="B2774" s="56"/>
      <c r="C2774" s="56"/>
      <c r="D2774" s="56"/>
      <c r="E2774" s="56"/>
      <c r="F2774" s="56"/>
      <c r="G2774" s="58"/>
      <c r="H2774" s="56"/>
      <c r="I2774" s="61" t="str">
        <f aca="false">IF(IsPro,IF(OR($C2774="",N($G2774)=0),"",IF(OR($C2774="Receipt",$C2774="Other Income",$C2774="Capital In",$C2774="Transfer In"),$G2774,0)),"")</f>
        <v/>
      </c>
      <c r="J2774" s="61" t="str">
        <f aca="false">IF(IsPro,IF(OR($C2774="",N($G2774)=0),"",IF(I2774=0,$G2774,0)),"")</f>
        <v/>
      </c>
      <c r="K2774" s="60" t="str">
        <f aca="false">IF(IsPro,IF($C2774="","",IF(AND(OR($C2774="Receipt",$C2774="Payment"),$D2774=""),"Party needed",IF(AND(OR($C2774="Expense",$C2774="Other Income"),$E2774=""),"Head needed",IF($F2774="","Account needed","OK")))),IF($C2774="","","PRO PLAN"))</f>
        <v/>
      </c>
    </row>
    <row r="2775" customFormat="false" ht="15" hidden="false" customHeight="false" outlineLevel="0" collapsed="false">
      <c r="A2775" s="55"/>
      <c r="B2775" s="56"/>
      <c r="C2775" s="56"/>
      <c r="D2775" s="56"/>
      <c r="E2775" s="56"/>
      <c r="F2775" s="56"/>
      <c r="G2775" s="58"/>
      <c r="H2775" s="56"/>
      <c r="I2775" s="61" t="str">
        <f aca="false">IF(IsPro,IF(OR($C2775="",N($G2775)=0),"",IF(OR($C2775="Receipt",$C2775="Other Income",$C2775="Capital In",$C2775="Transfer In"),$G2775,0)),"")</f>
        <v/>
      </c>
      <c r="J2775" s="61" t="str">
        <f aca="false">IF(IsPro,IF(OR($C2775="",N($G2775)=0),"",IF(I2775=0,$G2775,0)),"")</f>
        <v/>
      </c>
      <c r="K2775" s="60" t="str">
        <f aca="false">IF(IsPro,IF($C2775="","",IF(AND(OR($C2775="Receipt",$C2775="Payment"),$D2775=""),"Party needed",IF(AND(OR($C2775="Expense",$C2775="Other Income"),$E2775=""),"Head needed",IF($F2775="","Account needed","OK")))),IF($C2775="","","PRO PLAN"))</f>
        <v/>
      </c>
    </row>
    <row r="2776" customFormat="false" ht="15" hidden="false" customHeight="false" outlineLevel="0" collapsed="false">
      <c r="A2776" s="55"/>
      <c r="B2776" s="56"/>
      <c r="C2776" s="56"/>
      <c r="D2776" s="56"/>
      <c r="E2776" s="56"/>
      <c r="F2776" s="56"/>
      <c r="G2776" s="58"/>
      <c r="H2776" s="56"/>
      <c r="I2776" s="61" t="str">
        <f aca="false">IF(IsPro,IF(OR($C2776="",N($G2776)=0),"",IF(OR($C2776="Receipt",$C2776="Other Income",$C2776="Capital In",$C2776="Transfer In"),$G2776,0)),"")</f>
        <v/>
      </c>
      <c r="J2776" s="61" t="str">
        <f aca="false">IF(IsPro,IF(OR($C2776="",N($G2776)=0),"",IF(I2776=0,$G2776,0)),"")</f>
        <v/>
      </c>
      <c r="K2776" s="60" t="str">
        <f aca="false">IF(IsPro,IF($C2776="","",IF(AND(OR($C2776="Receipt",$C2776="Payment"),$D2776=""),"Party needed",IF(AND(OR($C2776="Expense",$C2776="Other Income"),$E2776=""),"Head needed",IF($F2776="","Account needed","OK")))),IF($C2776="","","PRO PLAN"))</f>
        <v/>
      </c>
    </row>
    <row r="2777" customFormat="false" ht="15" hidden="false" customHeight="false" outlineLevel="0" collapsed="false">
      <c r="A2777" s="55"/>
      <c r="B2777" s="56"/>
      <c r="C2777" s="56"/>
      <c r="D2777" s="56"/>
      <c r="E2777" s="56"/>
      <c r="F2777" s="56"/>
      <c r="G2777" s="58"/>
      <c r="H2777" s="56"/>
      <c r="I2777" s="61" t="str">
        <f aca="false">IF(IsPro,IF(OR($C2777="",N($G2777)=0),"",IF(OR($C2777="Receipt",$C2777="Other Income",$C2777="Capital In",$C2777="Transfer In"),$G2777,0)),"")</f>
        <v/>
      </c>
      <c r="J2777" s="61" t="str">
        <f aca="false">IF(IsPro,IF(OR($C2777="",N($G2777)=0),"",IF(I2777=0,$G2777,0)),"")</f>
        <v/>
      </c>
      <c r="K2777" s="60" t="str">
        <f aca="false">IF(IsPro,IF($C2777="","",IF(AND(OR($C2777="Receipt",$C2777="Payment"),$D2777=""),"Party needed",IF(AND(OR($C2777="Expense",$C2777="Other Income"),$E2777=""),"Head needed",IF($F2777="","Account needed","OK")))),IF($C2777="","","PRO PLAN"))</f>
        <v/>
      </c>
    </row>
    <row r="2778" customFormat="false" ht="15" hidden="false" customHeight="false" outlineLevel="0" collapsed="false">
      <c r="A2778" s="55"/>
      <c r="B2778" s="56"/>
      <c r="C2778" s="56"/>
      <c r="D2778" s="56"/>
      <c r="E2778" s="56"/>
      <c r="F2778" s="56"/>
      <c r="G2778" s="58"/>
      <c r="H2778" s="56"/>
      <c r="I2778" s="61" t="str">
        <f aca="false">IF(IsPro,IF(OR($C2778="",N($G2778)=0),"",IF(OR($C2778="Receipt",$C2778="Other Income",$C2778="Capital In",$C2778="Transfer In"),$G2778,0)),"")</f>
        <v/>
      </c>
      <c r="J2778" s="61" t="str">
        <f aca="false">IF(IsPro,IF(OR($C2778="",N($G2778)=0),"",IF(I2778=0,$G2778,0)),"")</f>
        <v/>
      </c>
      <c r="K2778" s="60" t="str">
        <f aca="false">IF(IsPro,IF($C2778="","",IF(AND(OR($C2778="Receipt",$C2778="Payment"),$D2778=""),"Party needed",IF(AND(OR($C2778="Expense",$C2778="Other Income"),$E2778=""),"Head needed",IF($F2778="","Account needed","OK")))),IF($C2778="","","PRO PLAN"))</f>
        <v/>
      </c>
    </row>
    <row r="2779" customFormat="false" ht="15" hidden="false" customHeight="false" outlineLevel="0" collapsed="false">
      <c r="A2779" s="55"/>
      <c r="B2779" s="56"/>
      <c r="C2779" s="56"/>
      <c r="D2779" s="56"/>
      <c r="E2779" s="56"/>
      <c r="F2779" s="56"/>
      <c r="G2779" s="58"/>
      <c r="H2779" s="56"/>
      <c r="I2779" s="61" t="str">
        <f aca="false">IF(IsPro,IF(OR($C2779="",N($G2779)=0),"",IF(OR($C2779="Receipt",$C2779="Other Income",$C2779="Capital In",$C2779="Transfer In"),$G2779,0)),"")</f>
        <v/>
      </c>
      <c r="J2779" s="61" t="str">
        <f aca="false">IF(IsPro,IF(OR($C2779="",N($G2779)=0),"",IF(I2779=0,$G2779,0)),"")</f>
        <v/>
      </c>
      <c r="K2779" s="60" t="str">
        <f aca="false">IF(IsPro,IF($C2779="","",IF(AND(OR($C2779="Receipt",$C2779="Payment"),$D2779=""),"Party needed",IF(AND(OR($C2779="Expense",$C2779="Other Income"),$E2779=""),"Head needed",IF($F2779="","Account needed","OK")))),IF($C2779="","","PRO PLAN"))</f>
        <v/>
      </c>
    </row>
    <row r="2780" customFormat="false" ht="15" hidden="false" customHeight="false" outlineLevel="0" collapsed="false">
      <c r="A2780" s="55"/>
      <c r="B2780" s="56"/>
      <c r="C2780" s="56"/>
      <c r="D2780" s="56"/>
      <c r="E2780" s="56"/>
      <c r="F2780" s="56"/>
      <c r="G2780" s="58"/>
      <c r="H2780" s="56"/>
      <c r="I2780" s="61" t="str">
        <f aca="false">IF(IsPro,IF(OR($C2780="",N($G2780)=0),"",IF(OR($C2780="Receipt",$C2780="Other Income",$C2780="Capital In",$C2780="Transfer In"),$G2780,0)),"")</f>
        <v/>
      </c>
      <c r="J2780" s="61" t="str">
        <f aca="false">IF(IsPro,IF(OR($C2780="",N($G2780)=0),"",IF(I2780=0,$G2780,0)),"")</f>
        <v/>
      </c>
      <c r="K2780" s="60" t="str">
        <f aca="false">IF(IsPro,IF($C2780="","",IF(AND(OR($C2780="Receipt",$C2780="Payment"),$D2780=""),"Party needed",IF(AND(OR($C2780="Expense",$C2780="Other Income"),$E2780=""),"Head needed",IF($F2780="","Account needed","OK")))),IF($C2780="","","PRO PLAN"))</f>
        <v/>
      </c>
    </row>
    <row r="2781" customFormat="false" ht="15" hidden="false" customHeight="false" outlineLevel="0" collapsed="false">
      <c r="A2781" s="55"/>
      <c r="B2781" s="56"/>
      <c r="C2781" s="56"/>
      <c r="D2781" s="56"/>
      <c r="E2781" s="56"/>
      <c r="F2781" s="56"/>
      <c r="G2781" s="58"/>
      <c r="H2781" s="56"/>
      <c r="I2781" s="61" t="str">
        <f aca="false">IF(IsPro,IF(OR($C2781="",N($G2781)=0),"",IF(OR($C2781="Receipt",$C2781="Other Income",$C2781="Capital In",$C2781="Transfer In"),$G2781,0)),"")</f>
        <v/>
      </c>
      <c r="J2781" s="61" t="str">
        <f aca="false">IF(IsPro,IF(OR($C2781="",N($G2781)=0),"",IF(I2781=0,$G2781,0)),"")</f>
        <v/>
      </c>
      <c r="K2781" s="60" t="str">
        <f aca="false">IF(IsPro,IF($C2781="","",IF(AND(OR($C2781="Receipt",$C2781="Payment"),$D2781=""),"Party needed",IF(AND(OR($C2781="Expense",$C2781="Other Income"),$E2781=""),"Head needed",IF($F2781="","Account needed","OK")))),IF($C2781="","","PRO PLAN"))</f>
        <v/>
      </c>
    </row>
    <row r="2782" customFormat="false" ht="15" hidden="false" customHeight="false" outlineLevel="0" collapsed="false">
      <c r="A2782" s="55"/>
      <c r="B2782" s="56"/>
      <c r="C2782" s="56"/>
      <c r="D2782" s="56"/>
      <c r="E2782" s="56"/>
      <c r="F2782" s="56"/>
      <c r="G2782" s="58"/>
      <c r="H2782" s="56"/>
      <c r="I2782" s="61" t="str">
        <f aca="false">IF(IsPro,IF(OR($C2782="",N($G2782)=0),"",IF(OR($C2782="Receipt",$C2782="Other Income",$C2782="Capital In",$C2782="Transfer In"),$G2782,0)),"")</f>
        <v/>
      </c>
      <c r="J2782" s="61" t="str">
        <f aca="false">IF(IsPro,IF(OR($C2782="",N($G2782)=0),"",IF(I2782=0,$G2782,0)),"")</f>
        <v/>
      </c>
      <c r="K2782" s="60" t="str">
        <f aca="false">IF(IsPro,IF($C2782="","",IF(AND(OR($C2782="Receipt",$C2782="Payment"),$D2782=""),"Party needed",IF(AND(OR($C2782="Expense",$C2782="Other Income"),$E2782=""),"Head needed",IF($F2782="","Account needed","OK")))),IF($C2782="","","PRO PLAN"))</f>
        <v/>
      </c>
    </row>
    <row r="2783" customFormat="false" ht="15" hidden="false" customHeight="false" outlineLevel="0" collapsed="false">
      <c r="A2783" s="55"/>
      <c r="B2783" s="56"/>
      <c r="C2783" s="56"/>
      <c r="D2783" s="56"/>
      <c r="E2783" s="56"/>
      <c r="F2783" s="56"/>
      <c r="G2783" s="58"/>
      <c r="H2783" s="56"/>
      <c r="I2783" s="61" t="str">
        <f aca="false">IF(IsPro,IF(OR($C2783="",N($G2783)=0),"",IF(OR($C2783="Receipt",$C2783="Other Income",$C2783="Capital In",$C2783="Transfer In"),$G2783,0)),"")</f>
        <v/>
      </c>
      <c r="J2783" s="61" t="str">
        <f aca="false">IF(IsPro,IF(OR($C2783="",N($G2783)=0),"",IF(I2783=0,$G2783,0)),"")</f>
        <v/>
      </c>
      <c r="K2783" s="60" t="str">
        <f aca="false">IF(IsPro,IF($C2783="","",IF(AND(OR($C2783="Receipt",$C2783="Payment"),$D2783=""),"Party needed",IF(AND(OR($C2783="Expense",$C2783="Other Income"),$E2783=""),"Head needed",IF($F2783="","Account needed","OK")))),IF($C2783="","","PRO PLAN"))</f>
        <v/>
      </c>
    </row>
    <row r="2784" customFormat="false" ht="15" hidden="false" customHeight="false" outlineLevel="0" collapsed="false">
      <c r="A2784" s="55"/>
      <c r="B2784" s="56"/>
      <c r="C2784" s="56"/>
      <c r="D2784" s="56"/>
      <c r="E2784" s="56"/>
      <c r="F2784" s="56"/>
      <c r="G2784" s="58"/>
      <c r="H2784" s="56"/>
      <c r="I2784" s="61" t="str">
        <f aca="false">IF(IsPro,IF(OR($C2784="",N($G2784)=0),"",IF(OR($C2784="Receipt",$C2784="Other Income",$C2784="Capital In",$C2784="Transfer In"),$G2784,0)),"")</f>
        <v/>
      </c>
      <c r="J2784" s="61" t="str">
        <f aca="false">IF(IsPro,IF(OR($C2784="",N($G2784)=0),"",IF(I2784=0,$G2784,0)),"")</f>
        <v/>
      </c>
      <c r="K2784" s="60" t="str">
        <f aca="false">IF(IsPro,IF($C2784="","",IF(AND(OR($C2784="Receipt",$C2784="Payment"),$D2784=""),"Party needed",IF(AND(OR($C2784="Expense",$C2784="Other Income"),$E2784=""),"Head needed",IF($F2784="","Account needed","OK")))),IF($C2784="","","PRO PLAN"))</f>
        <v/>
      </c>
    </row>
    <row r="2785" customFormat="false" ht="15" hidden="false" customHeight="false" outlineLevel="0" collapsed="false">
      <c r="A2785" s="55"/>
      <c r="B2785" s="56"/>
      <c r="C2785" s="56"/>
      <c r="D2785" s="56"/>
      <c r="E2785" s="56"/>
      <c r="F2785" s="56"/>
      <c r="G2785" s="58"/>
      <c r="H2785" s="56"/>
      <c r="I2785" s="61" t="str">
        <f aca="false">IF(IsPro,IF(OR($C2785="",N($G2785)=0),"",IF(OR($C2785="Receipt",$C2785="Other Income",$C2785="Capital In",$C2785="Transfer In"),$G2785,0)),"")</f>
        <v/>
      </c>
      <c r="J2785" s="61" t="str">
        <f aca="false">IF(IsPro,IF(OR($C2785="",N($G2785)=0),"",IF(I2785=0,$G2785,0)),"")</f>
        <v/>
      </c>
      <c r="K2785" s="60" t="str">
        <f aca="false">IF(IsPro,IF($C2785="","",IF(AND(OR($C2785="Receipt",$C2785="Payment"),$D2785=""),"Party needed",IF(AND(OR($C2785="Expense",$C2785="Other Income"),$E2785=""),"Head needed",IF($F2785="","Account needed","OK")))),IF($C2785="","","PRO PLAN"))</f>
        <v/>
      </c>
    </row>
    <row r="2786" customFormat="false" ht="15" hidden="false" customHeight="false" outlineLevel="0" collapsed="false">
      <c r="A2786" s="55"/>
      <c r="B2786" s="56"/>
      <c r="C2786" s="56"/>
      <c r="D2786" s="56"/>
      <c r="E2786" s="56"/>
      <c r="F2786" s="56"/>
      <c r="G2786" s="58"/>
      <c r="H2786" s="56"/>
      <c r="I2786" s="61" t="str">
        <f aca="false">IF(IsPro,IF(OR($C2786="",N($G2786)=0),"",IF(OR($C2786="Receipt",$C2786="Other Income",$C2786="Capital In",$C2786="Transfer In"),$G2786,0)),"")</f>
        <v/>
      </c>
      <c r="J2786" s="61" t="str">
        <f aca="false">IF(IsPro,IF(OR($C2786="",N($G2786)=0),"",IF(I2786=0,$G2786,0)),"")</f>
        <v/>
      </c>
      <c r="K2786" s="60" t="str">
        <f aca="false">IF(IsPro,IF($C2786="","",IF(AND(OR($C2786="Receipt",$C2786="Payment"),$D2786=""),"Party needed",IF(AND(OR($C2786="Expense",$C2786="Other Income"),$E2786=""),"Head needed",IF($F2786="","Account needed","OK")))),IF($C2786="","","PRO PLAN"))</f>
        <v/>
      </c>
    </row>
    <row r="2787" customFormat="false" ht="15" hidden="false" customHeight="false" outlineLevel="0" collapsed="false">
      <c r="A2787" s="55"/>
      <c r="B2787" s="56"/>
      <c r="C2787" s="56"/>
      <c r="D2787" s="56"/>
      <c r="E2787" s="56"/>
      <c r="F2787" s="56"/>
      <c r="G2787" s="58"/>
      <c r="H2787" s="56"/>
      <c r="I2787" s="61" t="str">
        <f aca="false">IF(IsPro,IF(OR($C2787="",N($G2787)=0),"",IF(OR($C2787="Receipt",$C2787="Other Income",$C2787="Capital In",$C2787="Transfer In"),$G2787,0)),"")</f>
        <v/>
      </c>
      <c r="J2787" s="61" t="str">
        <f aca="false">IF(IsPro,IF(OR($C2787="",N($G2787)=0),"",IF(I2787=0,$G2787,0)),"")</f>
        <v/>
      </c>
      <c r="K2787" s="60" t="str">
        <f aca="false">IF(IsPro,IF($C2787="","",IF(AND(OR($C2787="Receipt",$C2787="Payment"),$D2787=""),"Party needed",IF(AND(OR($C2787="Expense",$C2787="Other Income"),$E2787=""),"Head needed",IF($F2787="","Account needed","OK")))),IF($C2787="","","PRO PLAN"))</f>
        <v/>
      </c>
    </row>
    <row r="2788" customFormat="false" ht="15" hidden="false" customHeight="false" outlineLevel="0" collapsed="false">
      <c r="A2788" s="55"/>
      <c r="B2788" s="56"/>
      <c r="C2788" s="56"/>
      <c r="D2788" s="56"/>
      <c r="E2788" s="56"/>
      <c r="F2788" s="56"/>
      <c r="G2788" s="58"/>
      <c r="H2788" s="56"/>
      <c r="I2788" s="61" t="str">
        <f aca="false">IF(IsPro,IF(OR($C2788="",N($G2788)=0),"",IF(OR($C2788="Receipt",$C2788="Other Income",$C2788="Capital In",$C2788="Transfer In"),$G2788,0)),"")</f>
        <v/>
      </c>
      <c r="J2788" s="61" t="str">
        <f aca="false">IF(IsPro,IF(OR($C2788="",N($G2788)=0),"",IF(I2788=0,$G2788,0)),"")</f>
        <v/>
      </c>
      <c r="K2788" s="60" t="str">
        <f aca="false">IF(IsPro,IF($C2788="","",IF(AND(OR($C2788="Receipt",$C2788="Payment"),$D2788=""),"Party needed",IF(AND(OR($C2788="Expense",$C2788="Other Income"),$E2788=""),"Head needed",IF($F2788="","Account needed","OK")))),IF($C2788="","","PRO PLAN"))</f>
        <v/>
      </c>
    </row>
    <row r="2789" customFormat="false" ht="15" hidden="false" customHeight="false" outlineLevel="0" collapsed="false">
      <c r="A2789" s="55"/>
      <c r="B2789" s="56"/>
      <c r="C2789" s="56"/>
      <c r="D2789" s="56"/>
      <c r="E2789" s="56"/>
      <c r="F2789" s="56"/>
      <c r="G2789" s="58"/>
      <c r="H2789" s="56"/>
      <c r="I2789" s="61" t="str">
        <f aca="false">IF(IsPro,IF(OR($C2789="",N($G2789)=0),"",IF(OR($C2789="Receipt",$C2789="Other Income",$C2789="Capital In",$C2789="Transfer In"),$G2789,0)),"")</f>
        <v/>
      </c>
      <c r="J2789" s="61" t="str">
        <f aca="false">IF(IsPro,IF(OR($C2789="",N($G2789)=0),"",IF(I2789=0,$G2789,0)),"")</f>
        <v/>
      </c>
      <c r="K2789" s="60" t="str">
        <f aca="false">IF(IsPro,IF($C2789="","",IF(AND(OR($C2789="Receipt",$C2789="Payment"),$D2789=""),"Party needed",IF(AND(OR($C2789="Expense",$C2789="Other Income"),$E2789=""),"Head needed",IF($F2789="","Account needed","OK")))),IF($C2789="","","PRO PLAN"))</f>
        <v/>
      </c>
    </row>
    <row r="2790" customFormat="false" ht="15" hidden="false" customHeight="false" outlineLevel="0" collapsed="false">
      <c r="A2790" s="55"/>
      <c r="B2790" s="56"/>
      <c r="C2790" s="56"/>
      <c r="D2790" s="56"/>
      <c r="E2790" s="56"/>
      <c r="F2790" s="56"/>
      <c r="G2790" s="58"/>
      <c r="H2790" s="56"/>
      <c r="I2790" s="61" t="str">
        <f aca="false">IF(IsPro,IF(OR($C2790="",N($G2790)=0),"",IF(OR($C2790="Receipt",$C2790="Other Income",$C2790="Capital In",$C2790="Transfer In"),$G2790,0)),"")</f>
        <v/>
      </c>
      <c r="J2790" s="61" t="str">
        <f aca="false">IF(IsPro,IF(OR($C2790="",N($G2790)=0),"",IF(I2790=0,$G2790,0)),"")</f>
        <v/>
      </c>
      <c r="K2790" s="60" t="str">
        <f aca="false">IF(IsPro,IF($C2790="","",IF(AND(OR($C2790="Receipt",$C2790="Payment"),$D2790=""),"Party needed",IF(AND(OR($C2790="Expense",$C2790="Other Income"),$E2790=""),"Head needed",IF($F2790="","Account needed","OK")))),IF($C2790="","","PRO PLAN"))</f>
        <v/>
      </c>
    </row>
    <row r="2791" customFormat="false" ht="15" hidden="false" customHeight="false" outlineLevel="0" collapsed="false">
      <c r="A2791" s="55"/>
      <c r="B2791" s="56"/>
      <c r="C2791" s="56"/>
      <c r="D2791" s="56"/>
      <c r="E2791" s="56"/>
      <c r="F2791" s="56"/>
      <c r="G2791" s="58"/>
      <c r="H2791" s="56"/>
      <c r="I2791" s="61" t="str">
        <f aca="false">IF(IsPro,IF(OR($C2791="",N($G2791)=0),"",IF(OR($C2791="Receipt",$C2791="Other Income",$C2791="Capital In",$C2791="Transfer In"),$G2791,0)),"")</f>
        <v/>
      </c>
      <c r="J2791" s="61" t="str">
        <f aca="false">IF(IsPro,IF(OR($C2791="",N($G2791)=0),"",IF(I2791=0,$G2791,0)),"")</f>
        <v/>
      </c>
      <c r="K2791" s="60" t="str">
        <f aca="false">IF(IsPro,IF($C2791="","",IF(AND(OR($C2791="Receipt",$C2791="Payment"),$D2791=""),"Party needed",IF(AND(OR($C2791="Expense",$C2791="Other Income"),$E2791=""),"Head needed",IF($F2791="","Account needed","OK")))),IF($C2791="","","PRO PLAN"))</f>
        <v/>
      </c>
    </row>
    <row r="2792" customFormat="false" ht="15" hidden="false" customHeight="false" outlineLevel="0" collapsed="false">
      <c r="A2792" s="55"/>
      <c r="B2792" s="56"/>
      <c r="C2792" s="56"/>
      <c r="D2792" s="56"/>
      <c r="E2792" s="56"/>
      <c r="F2792" s="56"/>
      <c r="G2792" s="58"/>
      <c r="H2792" s="56"/>
      <c r="I2792" s="61" t="str">
        <f aca="false">IF(IsPro,IF(OR($C2792="",N($G2792)=0),"",IF(OR($C2792="Receipt",$C2792="Other Income",$C2792="Capital In",$C2792="Transfer In"),$G2792,0)),"")</f>
        <v/>
      </c>
      <c r="J2792" s="61" t="str">
        <f aca="false">IF(IsPro,IF(OR($C2792="",N($G2792)=0),"",IF(I2792=0,$G2792,0)),"")</f>
        <v/>
      </c>
      <c r="K2792" s="60" t="str">
        <f aca="false">IF(IsPro,IF($C2792="","",IF(AND(OR($C2792="Receipt",$C2792="Payment"),$D2792=""),"Party needed",IF(AND(OR($C2792="Expense",$C2792="Other Income"),$E2792=""),"Head needed",IF($F2792="","Account needed","OK")))),IF($C2792="","","PRO PLAN"))</f>
        <v/>
      </c>
    </row>
    <row r="2793" customFormat="false" ht="15" hidden="false" customHeight="false" outlineLevel="0" collapsed="false">
      <c r="A2793" s="55"/>
      <c r="B2793" s="56"/>
      <c r="C2793" s="56"/>
      <c r="D2793" s="56"/>
      <c r="E2793" s="56"/>
      <c r="F2793" s="56"/>
      <c r="G2793" s="58"/>
      <c r="H2793" s="56"/>
      <c r="I2793" s="61" t="str">
        <f aca="false">IF(IsPro,IF(OR($C2793="",N($G2793)=0),"",IF(OR($C2793="Receipt",$C2793="Other Income",$C2793="Capital In",$C2793="Transfer In"),$G2793,0)),"")</f>
        <v/>
      </c>
      <c r="J2793" s="61" t="str">
        <f aca="false">IF(IsPro,IF(OR($C2793="",N($G2793)=0),"",IF(I2793=0,$G2793,0)),"")</f>
        <v/>
      </c>
      <c r="K2793" s="60" t="str">
        <f aca="false">IF(IsPro,IF($C2793="","",IF(AND(OR($C2793="Receipt",$C2793="Payment"),$D2793=""),"Party needed",IF(AND(OR($C2793="Expense",$C2793="Other Income"),$E2793=""),"Head needed",IF($F2793="","Account needed","OK")))),IF($C2793="","","PRO PLAN"))</f>
        <v/>
      </c>
    </row>
    <row r="2794" customFormat="false" ht="15" hidden="false" customHeight="false" outlineLevel="0" collapsed="false">
      <c r="A2794" s="55"/>
      <c r="B2794" s="56"/>
      <c r="C2794" s="56"/>
      <c r="D2794" s="56"/>
      <c r="E2794" s="56"/>
      <c r="F2794" s="56"/>
      <c r="G2794" s="58"/>
      <c r="H2794" s="56"/>
      <c r="I2794" s="61" t="str">
        <f aca="false">IF(IsPro,IF(OR($C2794="",N($G2794)=0),"",IF(OR($C2794="Receipt",$C2794="Other Income",$C2794="Capital In",$C2794="Transfer In"),$G2794,0)),"")</f>
        <v/>
      </c>
      <c r="J2794" s="61" t="str">
        <f aca="false">IF(IsPro,IF(OR($C2794="",N($G2794)=0),"",IF(I2794=0,$G2794,0)),"")</f>
        <v/>
      </c>
      <c r="K2794" s="60" t="str">
        <f aca="false">IF(IsPro,IF($C2794="","",IF(AND(OR($C2794="Receipt",$C2794="Payment"),$D2794=""),"Party needed",IF(AND(OR($C2794="Expense",$C2794="Other Income"),$E2794=""),"Head needed",IF($F2794="","Account needed","OK")))),IF($C2794="","","PRO PLAN"))</f>
        <v/>
      </c>
    </row>
    <row r="2795" customFormat="false" ht="15" hidden="false" customHeight="false" outlineLevel="0" collapsed="false">
      <c r="A2795" s="55"/>
      <c r="B2795" s="56"/>
      <c r="C2795" s="56"/>
      <c r="D2795" s="56"/>
      <c r="E2795" s="56"/>
      <c r="F2795" s="56"/>
      <c r="G2795" s="58"/>
      <c r="H2795" s="56"/>
      <c r="I2795" s="61" t="str">
        <f aca="false">IF(IsPro,IF(OR($C2795="",N($G2795)=0),"",IF(OR($C2795="Receipt",$C2795="Other Income",$C2795="Capital In",$C2795="Transfer In"),$G2795,0)),"")</f>
        <v/>
      </c>
      <c r="J2795" s="61" t="str">
        <f aca="false">IF(IsPro,IF(OR($C2795="",N($G2795)=0),"",IF(I2795=0,$G2795,0)),"")</f>
        <v/>
      </c>
      <c r="K2795" s="60" t="str">
        <f aca="false">IF(IsPro,IF($C2795="","",IF(AND(OR($C2795="Receipt",$C2795="Payment"),$D2795=""),"Party needed",IF(AND(OR($C2795="Expense",$C2795="Other Income"),$E2795=""),"Head needed",IF($F2795="","Account needed","OK")))),IF($C2795="","","PRO PLAN"))</f>
        <v/>
      </c>
    </row>
    <row r="2796" customFormat="false" ht="15" hidden="false" customHeight="false" outlineLevel="0" collapsed="false">
      <c r="A2796" s="55"/>
      <c r="B2796" s="56"/>
      <c r="C2796" s="56"/>
      <c r="D2796" s="56"/>
      <c r="E2796" s="56"/>
      <c r="F2796" s="56"/>
      <c r="G2796" s="58"/>
      <c r="H2796" s="56"/>
      <c r="I2796" s="61" t="str">
        <f aca="false">IF(IsPro,IF(OR($C2796="",N($G2796)=0),"",IF(OR($C2796="Receipt",$C2796="Other Income",$C2796="Capital In",$C2796="Transfer In"),$G2796,0)),"")</f>
        <v/>
      </c>
      <c r="J2796" s="61" t="str">
        <f aca="false">IF(IsPro,IF(OR($C2796="",N($G2796)=0),"",IF(I2796=0,$G2796,0)),"")</f>
        <v/>
      </c>
      <c r="K2796" s="60" t="str">
        <f aca="false">IF(IsPro,IF($C2796="","",IF(AND(OR($C2796="Receipt",$C2796="Payment"),$D2796=""),"Party needed",IF(AND(OR($C2796="Expense",$C2796="Other Income"),$E2796=""),"Head needed",IF($F2796="","Account needed","OK")))),IF($C2796="","","PRO PLAN"))</f>
        <v/>
      </c>
    </row>
    <row r="2797" customFormat="false" ht="15" hidden="false" customHeight="false" outlineLevel="0" collapsed="false">
      <c r="A2797" s="55"/>
      <c r="B2797" s="56"/>
      <c r="C2797" s="56"/>
      <c r="D2797" s="56"/>
      <c r="E2797" s="56"/>
      <c r="F2797" s="56"/>
      <c r="G2797" s="58"/>
      <c r="H2797" s="56"/>
      <c r="I2797" s="61" t="str">
        <f aca="false">IF(IsPro,IF(OR($C2797="",N($G2797)=0),"",IF(OR($C2797="Receipt",$C2797="Other Income",$C2797="Capital In",$C2797="Transfer In"),$G2797,0)),"")</f>
        <v/>
      </c>
      <c r="J2797" s="61" t="str">
        <f aca="false">IF(IsPro,IF(OR($C2797="",N($G2797)=0),"",IF(I2797=0,$G2797,0)),"")</f>
        <v/>
      </c>
      <c r="K2797" s="60" t="str">
        <f aca="false">IF(IsPro,IF($C2797="","",IF(AND(OR($C2797="Receipt",$C2797="Payment"),$D2797=""),"Party needed",IF(AND(OR($C2797="Expense",$C2797="Other Income"),$E2797=""),"Head needed",IF($F2797="","Account needed","OK")))),IF($C2797="","","PRO PLAN"))</f>
        <v/>
      </c>
    </row>
    <row r="2798" customFormat="false" ht="15" hidden="false" customHeight="false" outlineLevel="0" collapsed="false">
      <c r="A2798" s="55"/>
      <c r="B2798" s="56"/>
      <c r="C2798" s="56"/>
      <c r="D2798" s="56"/>
      <c r="E2798" s="56"/>
      <c r="F2798" s="56"/>
      <c r="G2798" s="58"/>
      <c r="H2798" s="56"/>
      <c r="I2798" s="61" t="str">
        <f aca="false">IF(IsPro,IF(OR($C2798="",N($G2798)=0),"",IF(OR($C2798="Receipt",$C2798="Other Income",$C2798="Capital In",$C2798="Transfer In"),$G2798,0)),"")</f>
        <v/>
      </c>
      <c r="J2798" s="61" t="str">
        <f aca="false">IF(IsPro,IF(OR($C2798="",N($G2798)=0),"",IF(I2798=0,$G2798,0)),"")</f>
        <v/>
      </c>
      <c r="K2798" s="60" t="str">
        <f aca="false">IF(IsPro,IF($C2798="","",IF(AND(OR($C2798="Receipt",$C2798="Payment"),$D2798=""),"Party needed",IF(AND(OR($C2798="Expense",$C2798="Other Income"),$E2798=""),"Head needed",IF($F2798="","Account needed","OK")))),IF($C2798="","","PRO PLAN"))</f>
        <v/>
      </c>
    </row>
    <row r="2799" customFormat="false" ht="15" hidden="false" customHeight="false" outlineLevel="0" collapsed="false">
      <c r="A2799" s="55"/>
      <c r="B2799" s="56"/>
      <c r="C2799" s="56"/>
      <c r="D2799" s="56"/>
      <c r="E2799" s="56"/>
      <c r="F2799" s="56"/>
      <c r="G2799" s="58"/>
      <c r="H2799" s="56"/>
      <c r="I2799" s="61" t="str">
        <f aca="false">IF(IsPro,IF(OR($C2799="",N($G2799)=0),"",IF(OR($C2799="Receipt",$C2799="Other Income",$C2799="Capital In",$C2799="Transfer In"),$G2799,0)),"")</f>
        <v/>
      </c>
      <c r="J2799" s="61" t="str">
        <f aca="false">IF(IsPro,IF(OR($C2799="",N($G2799)=0),"",IF(I2799=0,$G2799,0)),"")</f>
        <v/>
      </c>
      <c r="K2799" s="60" t="str">
        <f aca="false">IF(IsPro,IF($C2799="","",IF(AND(OR($C2799="Receipt",$C2799="Payment"),$D2799=""),"Party needed",IF(AND(OR($C2799="Expense",$C2799="Other Income"),$E2799=""),"Head needed",IF($F2799="","Account needed","OK")))),IF($C2799="","","PRO PLAN"))</f>
        <v/>
      </c>
    </row>
    <row r="2800" customFormat="false" ht="15" hidden="false" customHeight="false" outlineLevel="0" collapsed="false">
      <c r="A2800" s="55"/>
      <c r="B2800" s="56"/>
      <c r="C2800" s="56"/>
      <c r="D2800" s="56"/>
      <c r="E2800" s="56"/>
      <c r="F2800" s="56"/>
      <c r="G2800" s="58"/>
      <c r="H2800" s="56"/>
      <c r="I2800" s="61" t="str">
        <f aca="false">IF(IsPro,IF(OR($C2800="",N($G2800)=0),"",IF(OR($C2800="Receipt",$C2800="Other Income",$C2800="Capital In",$C2800="Transfer In"),$G2800,0)),"")</f>
        <v/>
      </c>
      <c r="J2800" s="61" t="str">
        <f aca="false">IF(IsPro,IF(OR($C2800="",N($G2800)=0),"",IF(I2800=0,$G2800,0)),"")</f>
        <v/>
      </c>
      <c r="K2800" s="60" t="str">
        <f aca="false">IF(IsPro,IF($C2800="","",IF(AND(OR($C2800="Receipt",$C2800="Payment"),$D2800=""),"Party needed",IF(AND(OR($C2800="Expense",$C2800="Other Income"),$E2800=""),"Head needed",IF($F2800="","Account needed","OK")))),IF($C2800="","","PRO PLAN"))</f>
        <v/>
      </c>
    </row>
    <row r="2801" customFormat="false" ht="15" hidden="false" customHeight="false" outlineLevel="0" collapsed="false">
      <c r="A2801" s="55"/>
      <c r="B2801" s="56"/>
      <c r="C2801" s="56"/>
      <c r="D2801" s="56"/>
      <c r="E2801" s="56"/>
      <c r="F2801" s="56"/>
      <c r="G2801" s="58"/>
      <c r="H2801" s="56"/>
      <c r="I2801" s="61" t="str">
        <f aca="false">IF(IsPro,IF(OR($C2801="",N($G2801)=0),"",IF(OR($C2801="Receipt",$C2801="Other Income",$C2801="Capital In",$C2801="Transfer In"),$G2801,0)),"")</f>
        <v/>
      </c>
      <c r="J2801" s="61" t="str">
        <f aca="false">IF(IsPro,IF(OR($C2801="",N($G2801)=0),"",IF(I2801=0,$G2801,0)),"")</f>
        <v/>
      </c>
      <c r="K2801" s="60" t="str">
        <f aca="false">IF(IsPro,IF($C2801="","",IF(AND(OR($C2801="Receipt",$C2801="Payment"),$D2801=""),"Party needed",IF(AND(OR($C2801="Expense",$C2801="Other Income"),$E2801=""),"Head needed",IF($F2801="","Account needed","OK")))),IF($C2801="","","PRO PLAN"))</f>
        <v/>
      </c>
    </row>
    <row r="2802" customFormat="false" ht="15" hidden="false" customHeight="false" outlineLevel="0" collapsed="false">
      <c r="A2802" s="55"/>
      <c r="B2802" s="56"/>
      <c r="C2802" s="56"/>
      <c r="D2802" s="56"/>
      <c r="E2802" s="56"/>
      <c r="F2802" s="56"/>
      <c r="G2802" s="58"/>
      <c r="H2802" s="56"/>
      <c r="I2802" s="61" t="str">
        <f aca="false">IF(IsPro,IF(OR($C2802="",N($G2802)=0),"",IF(OR($C2802="Receipt",$C2802="Other Income",$C2802="Capital In",$C2802="Transfer In"),$G2802,0)),"")</f>
        <v/>
      </c>
      <c r="J2802" s="61" t="str">
        <f aca="false">IF(IsPro,IF(OR($C2802="",N($G2802)=0),"",IF(I2802=0,$G2802,0)),"")</f>
        <v/>
      </c>
      <c r="K2802" s="60" t="str">
        <f aca="false">IF(IsPro,IF($C2802="","",IF(AND(OR($C2802="Receipt",$C2802="Payment"),$D2802=""),"Party needed",IF(AND(OR($C2802="Expense",$C2802="Other Income"),$E2802=""),"Head needed",IF($F2802="","Account needed","OK")))),IF($C2802="","","PRO PLAN"))</f>
        <v/>
      </c>
    </row>
    <row r="2803" customFormat="false" ht="15" hidden="false" customHeight="false" outlineLevel="0" collapsed="false">
      <c r="A2803" s="55"/>
      <c r="B2803" s="56"/>
      <c r="C2803" s="56"/>
      <c r="D2803" s="56"/>
      <c r="E2803" s="56"/>
      <c r="F2803" s="56"/>
      <c r="G2803" s="58"/>
      <c r="H2803" s="56"/>
      <c r="I2803" s="61" t="str">
        <f aca="false">IF(IsPro,IF(OR($C2803="",N($G2803)=0),"",IF(OR($C2803="Receipt",$C2803="Other Income",$C2803="Capital In",$C2803="Transfer In"),$G2803,0)),"")</f>
        <v/>
      </c>
      <c r="J2803" s="61" t="str">
        <f aca="false">IF(IsPro,IF(OR($C2803="",N($G2803)=0),"",IF(I2803=0,$G2803,0)),"")</f>
        <v/>
      </c>
      <c r="K2803" s="60" t="str">
        <f aca="false">IF(IsPro,IF($C2803="","",IF(AND(OR($C2803="Receipt",$C2803="Payment"),$D2803=""),"Party needed",IF(AND(OR($C2803="Expense",$C2803="Other Income"),$E2803=""),"Head needed",IF($F2803="","Account needed","OK")))),IF($C2803="","","PRO PLAN"))</f>
        <v/>
      </c>
    </row>
    <row r="2804" customFormat="false" ht="15" hidden="false" customHeight="false" outlineLevel="0" collapsed="false">
      <c r="A2804" s="55"/>
      <c r="B2804" s="56"/>
      <c r="C2804" s="56"/>
      <c r="D2804" s="56"/>
      <c r="E2804" s="56"/>
      <c r="F2804" s="56"/>
      <c r="G2804" s="58"/>
      <c r="H2804" s="56"/>
      <c r="I2804" s="61" t="str">
        <f aca="false">IF(IsPro,IF(OR($C2804="",N($G2804)=0),"",IF(OR($C2804="Receipt",$C2804="Other Income",$C2804="Capital In",$C2804="Transfer In"),$G2804,0)),"")</f>
        <v/>
      </c>
      <c r="J2804" s="61" t="str">
        <f aca="false">IF(IsPro,IF(OR($C2804="",N($G2804)=0),"",IF(I2804=0,$G2804,0)),"")</f>
        <v/>
      </c>
      <c r="K2804" s="60" t="str">
        <f aca="false">IF(IsPro,IF($C2804="","",IF(AND(OR($C2804="Receipt",$C2804="Payment"),$D2804=""),"Party needed",IF(AND(OR($C2804="Expense",$C2804="Other Income"),$E2804=""),"Head needed",IF($F2804="","Account needed","OK")))),IF($C2804="","","PRO PLAN"))</f>
        <v/>
      </c>
    </row>
    <row r="2805" customFormat="false" ht="15" hidden="false" customHeight="false" outlineLevel="0" collapsed="false">
      <c r="A2805" s="55"/>
      <c r="B2805" s="56"/>
      <c r="C2805" s="56"/>
      <c r="D2805" s="56"/>
      <c r="E2805" s="56"/>
      <c r="F2805" s="56"/>
      <c r="G2805" s="58"/>
      <c r="H2805" s="56"/>
      <c r="I2805" s="61" t="str">
        <f aca="false">IF(IsPro,IF(OR($C2805="",N($G2805)=0),"",IF(OR($C2805="Receipt",$C2805="Other Income",$C2805="Capital In",$C2805="Transfer In"),$G2805,0)),"")</f>
        <v/>
      </c>
      <c r="J2805" s="61" t="str">
        <f aca="false">IF(IsPro,IF(OR($C2805="",N($G2805)=0),"",IF(I2805=0,$G2805,0)),"")</f>
        <v/>
      </c>
      <c r="K2805" s="60" t="str">
        <f aca="false">IF(IsPro,IF($C2805="","",IF(AND(OR($C2805="Receipt",$C2805="Payment"),$D2805=""),"Party needed",IF(AND(OR($C2805="Expense",$C2805="Other Income"),$E2805=""),"Head needed",IF($F2805="","Account needed","OK")))),IF($C2805="","","PRO PLAN"))</f>
        <v/>
      </c>
    </row>
    <row r="2806" customFormat="false" ht="15" hidden="false" customHeight="false" outlineLevel="0" collapsed="false">
      <c r="A2806" s="55"/>
      <c r="B2806" s="56"/>
      <c r="C2806" s="56"/>
      <c r="D2806" s="56"/>
      <c r="E2806" s="56"/>
      <c r="F2806" s="56"/>
      <c r="G2806" s="58"/>
      <c r="H2806" s="56"/>
      <c r="I2806" s="61" t="str">
        <f aca="false">IF(IsPro,IF(OR($C2806="",N($G2806)=0),"",IF(OR($C2806="Receipt",$C2806="Other Income",$C2806="Capital In",$C2806="Transfer In"),$G2806,0)),"")</f>
        <v/>
      </c>
      <c r="J2806" s="61" t="str">
        <f aca="false">IF(IsPro,IF(OR($C2806="",N($G2806)=0),"",IF(I2806=0,$G2806,0)),"")</f>
        <v/>
      </c>
      <c r="K2806" s="60" t="str">
        <f aca="false">IF(IsPro,IF($C2806="","",IF(AND(OR($C2806="Receipt",$C2806="Payment"),$D2806=""),"Party needed",IF(AND(OR($C2806="Expense",$C2806="Other Income"),$E2806=""),"Head needed",IF($F2806="","Account needed","OK")))),IF($C2806="","","PRO PLAN"))</f>
        <v/>
      </c>
    </row>
    <row r="2807" customFormat="false" ht="15" hidden="false" customHeight="false" outlineLevel="0" collapsed="false">
      <c r="A2807" s="55"/>
      <c r="B2807" s="56"/>
      <c r="C2807" s="56"/>
      <c r="D2807" s="56"/>
      <c r="E2807" s="56"/>
      <c r="F2807" s="56"/>
      <c r="G2807" s="58"/>
      <c r="H2807" s="56"/>
      <c r="I2807" s="61" t="str">
        <f aca="false">IF(IsPro,IF(OR($C2807="",N($G2807)=0),"",IF(OR($C2807="Receipt",$C2807="Other Income",$C2807="Capital In",$C2807="Transfer In"),$G2807,0)),"")</f>
        <v/>
      </c>
      <c r="J2807" s="61" t="str">
        <f aca="false">IF(IsPro,IF(OR($C2807="",N($G2807)=0),"",IF(I2807=0,$G2807,0)),"")</f>
        <v/>
      </c>
      <c r="K2807" s="60" t="str">
        <f aca="false">IF(IsPro,IF($C2807="","",IF(AND(OR($C2807="Receipt",$C2807="Payment"),$D2807=""),"Party needed",IF(AND(OR($C2807="Expense",$C2807="Other Income"),$E2807=""),"Head needed",IF($F2807="","Account needed","OK")))),IF($C2807="","","PRO PLAN"))</f>
        <v/>
      </c>
    </row>
    <row r="2808" customFormat="false" ht="15" hidden="false" customHeight="false" outlineLevel="0" collapsed="false">
      <c r="A2808" s="55"/>
      <c r="B2808" s="56"/>
      <c r="C2808" s="56"/>
      <c r="D2808" s="56"/>
      <c r="E2808" s="56"/>
      <c r="F2808" s="56"/>
      <c r="G2808" s="58"/>
      <c r="H2808" s="56"/>
      <c r="I2808" s="61" t="str">
        <f aca="false">IF(IsPro,IF(OR($C2808="",N($G2808)=0),"",IF(OR($C2808="Receipt",$C2808="Other Income",$C2808="Capital In",$C2808="Transfer In"),$G2808,0)),"")</f>
        <v/>
      </c>
      <c r="J2808" s="61" t="str">
        <f aca="false">IF(IsPro,IF(OR($C2808="",N($G2808)=0),"",IF(I2808=0,$G2808,0)),"")</f>
        <v/>
      </c>
      <c r="K2808" s="60" t="str">
        <f aca="false">IF(IsPro,IF($C2808="","",IF(AND(OR($C2808="Receipt",$C2808="Payment"),$D2808=""),"Party needed",IF(AND(OR($C2808="Expense",$C2808="Other Income"),$E2808=""),"Head needed",IF($F2808="","Account needed","OK")))),IF($C2808="","","PRO PLAN"))</f>
        <v/>
      </c>
    </row>
    <row r="2809" customFormat="false" ht="15" hidden="false" customHeight="false" outlineLevel="0" collapsed="false">
      <c r="A2809" s="55"/>
      <c r="B2809" s="56"/>
      <c r="C2809" s="56"/>
      <c r="D2809" s="56"/>
      <c r="E2809" s="56"/>
      <c r="F2809" s="56"/>
      <c r="G2809" s="58"/>
      <c r="H2809" s="56"/>
      <c r="I2809" s="61" t="str">
        <f aca="false">IF(IsPro,IF(OR($C2809="",N($G2809)=0),"",IF(OR($C2809="Receipt",$C2809="Other Income",$C2809="Capital In",$C2809="Transfer In"),$G2809,0)),"")</f>
        <v/>
      </c>
      <c r="J2809" s="61" t="str">
        <f aca="false">IF(IsPro,IF(OR($C2809="",N($G2809)=0),"",IF(I2809=0,$G2809,0)),"")</f>
        <v/>
      </c>
      <c r="K2809" s="60" t="str">
        <f aca="false">IF(IsPro,IF($C2809="","",IF(AND(OR($C2809="Receipt",$C2809="Payment"),$D2809=""),"Party needed",IF(AND(OR($C2809="Expense",$C2809="Other Income"),$E2809=""),"Head needed",IF($F2809="","Account needed","OK")))),IF($C2809="","","PRO PLAN"))</f>
        <v/>
      </c>
    </row>
    <row r="2810" customFormat="false" ht="15" hidden="false" customHeight="false" outlineLevel="0" collapsed="false">
      <c r="A2810" s="55"/>
      <c r="B2810" s="56"/>
      <c r="C2810" s="56"/>
      <c r="D2810" s="56"/>
      <c r="E2810" s="56"/>
      <c r="F2810" s="56"/>
      <c r="G2810" s="58"/>
      <c r="H2810" s="56"/>
      <c r="I2810" s="61" t="str">
        <f aca="false">IF(IsPro,IF(OR($C2810="",N($G2810)=0),"",IF(OR($C2810="Receipt",$C2810="Other Income",$C2810="Capital In",$C2810="Transfer In"),$G2810,0)),"")</f>
        <v/>
      </c>
      <c r="J2810" s="61" t="str">
        <f aca="false">IF(IsPro,IF(OR($C2810="",N($G2810)=0),"",IF(I2810=0,$G2810,0)),"")</f>
        <v/>
      </c>
      <c r="K2810" s="60" t="str">
        <f aca="false">IF(IsPro,IF($C2810="","",IF(AND(OR($C2810="Receipt",$C2810="Payment"),$D2810=""),"Party needed",IF(AND(OR($C2810="Expense",$C2810="Other Income"),$E2810=""),"Head needed",IF($F2810="","Account needed","OK")))),IF($C2810="","","PRO PLAN"))</f>
        <v/>
      </c>
    </row>
    <row r="2811" customFormat="false" ht="15" hidden="false" customHeight="false" outlineLevel="0" collapsed="false">
      <c r="A2811" s="55"/>
      <c r="B2811" s="56"/>
      <c r="C2811" s="56"/>
      <c r="D2811" s="56"/>
      <c r="E2811" s="56"/>
      <c r="F2811" s="56"/>
      <c r="G2811" s="58"/>
      <c r="H2811" s="56"/>
      <c r="I2811" s="61" t="str">
        <f aca="false">IF(IsPro,IF(OR($C2811="",N($G2811)=0),"",IF(OR($C2811="Receipt",$C2811="Other Income",$C2811="Capital In",$C2811="Transfer In"),$G2811,0)),"")</f>
        <v/>
      </c>
      <c r="J2811" s="61" t="str">
        <f aca="false">IF(IsPro,IF(OR($C2811="",N($G2811)=0),"",IF(I2811=0,$G2811,0)),"")</f>
        <v/>
      </c>
      <c r="K2811" s="60" t="str">
        <f aca="false">IF(IsPro,IF($C2811="","",IF(AND(OR($C2811="Receipt",$C2811="Payment"),$D2811=""),"Party needed",IF(AND(OR($C2811="Expense",$C2811="Other Income"),$E2811=""),"Head needed",IF($F2811="","Account needed","OK")))),IF($C2811="","","PRO PLAN"))</f>
        <v/>
      </c>
    </row>
    <row r="2812" customFormat="false" ht="15" hidden="false" customHeight="false" outlineLevel="0" collapsed="false">
      <c r="A2812" s="55"/>
      <c r="B2812" s="56"/>
      <c r="C2812" s="56"/>
      <c r="D2812" s="56"/>
      <c r="E2812" s="56"/>
      <c r="F2812" s="56"/>
      <c r="G2812" s="58"/>
      <c r="H2812" s="56"/>
      <c r="I2812" s="61" t="str">
        <f aca="false">IF(IsPro,IF(OR($C2812="",N($G2812)=0),"",IF(OR($C2812="Receipt",$C2812="Other Income",$C2812="Capital In",$C2812="Transfer In"),$G2812,0)),"")</f>
        <v/>
      </c>
      <c r="J2812" s="61" t="str">
        <f aca="false">IF(IsPro,IF(OR($C2812="",N($G2812)=0),"",IF(I2812=0,$G2812,0)),"")</f>
        <v/>
      </c>
      <c r="K2812" s="60" t="str">
        <f aca="false">IF(IsPro,IF($C2812="","",IF(AND(OR($C2812="Receipt",$C2812="Payment"),$D2812=""),"Party needed",IF(AND(OR($C2812="Expense",$C2812="Other Income"),$E2812=""),"Head needed",IF($F2812="","Account needed","OK")))),IF($C2812="","","PRO PLAN"))</f>
        <v/>
      </c>
    </row>
    <row r="2813" customFormat="false" ht="15" hidden="false" customHeight="false" outlineLevel="0" collapsed="false">
      <c r="A2813" s="55"/>
      <c r="B2813" s="56"/>
      <c r="C2813" s="56"/>
      <c r="D2813" s="56"/>
      <c r="E2813" s="56"/>
      <c r="F2813" s="56"/>
      <c r="G2813" s="58"/>
      <c r="H2813" s="56"/>
      <c r="I2813" s="61" t="str">
        <f aca="false">IF(IsPro,IF(OR($C2813="",N($G2813)=0),"",IF(OR($C2813="Receipt",$C2813="Other Income",$C2813="Capital In",$C2813="Transfer In"),$G2813,0)),"")</f>
        <v/>
      </c>
      <c r="J2813" s="61" t="str">
        <f aca="false">IF(IsPro,IF(OR($C2813="",N($G2813)=0),"",IF(I2813=0,$G2813,0)),"")</f>
        <v/>
      </c>
      <c r="K2813" s="60" t="str">
        <f aca="false">IF(IsPro,IF($C2813="","",IF(AND(OR($C2813="Receipt",$C2813="Payment"),$D2813=""),"Party needed",IF(AND(OR($C2813="Expense",$C2813="Other Income"),$E2813=""),"Head needed",IF($F2813="","Account needed","OK")))),IF($C2813="","","PRO PLAN"))</f>
        <v/>
      </c>
    </row>
    <row r="2814" customFormat="false" ht="15" hidden="false" customHeight="false" outlineLevel="0" collapsed="false">
      <c r="A2814" s="55"/>
      <c r="B2814" s="56"/>
      <c r="C2814" s="56"/>
      <c r="D2814" s="56"/>
      <c r="E2814" s="56"/>
      <c r="F2814" s="56"/>
      <c r="G2814" s="58"/>
      <c r="H2814" s="56"/>
      <c r="I2814" s="61" t="str">
        <f aca="false">IF(IsPro,IF(OR($C2814="",N($G2814)=0),"",IF(OR($C2814="Receipt",$C2814="Other Income",$C2814="Capital In",$C2814="Transfer In"),$G2814,0)),"")</f>
        <v/>
      </c>
      <c r="J2814" s="61" t="str">
        <f aca="false">IF(IsPro,IF(OR($C2814="",N($G2814)=0),"",IF(I2814=0,$G2814,0)),"")</f>
        <v/>
      </c>
      <c r="K2814" s="60" t="str">
        <f aca="false">IF(IsPro,IF($C2814="","",IF(AND(OR($C2814="Receipt",$C2814="Payment"),$D2814=""),"Party needed",IF(AND(OR($C2814="Expense",$C2814="Other Income"),$E2814=""),"Head needed",IF($F2814="","Account needed","OK")))),IF($C2814="","","PRO PLAN"))</f>
        <v/>
      </c>
    </row>
    <row r="2815" customFormat="false" ht="15" hidden="false" customHeight="false" outlineLevel="0" collapsed="false">
      <c r="A2815" s="55"/>
      <c r="B2815" s="56"/>
      <c r="C2815" s="56"/>
      <c r="D2815" s="56"/>
      <c r="E2815" s="56"/>
      <c r="F2815" s="56"/>
      <c r="G2815" s="58"/>
      <c r="H2815" s="56"/>
      <c r="I2815" s="61" t="str">
        <f aca="false">IF(IsPro,IF(OR($C2815="",N($G2815)=0),"",IF(OR($C2815="Receipt",$C2815="Other Income",$C2815="Capital In",$C2815="Transfer In"),$G2815,0)),"")</f>
        <v/>
      </c>
      <c r="J2815" s="61" t="str">
        <f aca="false">IF(IsPro,IF(OR($C2815="",N($G2815)=0),"",IF(I2815=0,$G2815,0)),"")</f>
        <v/>
      </c>
      <c r="K2815" s="60" t="str">
        <f aca="false">IF(IsPro,IF($C2815="","",IF(AND(OR($C2815="Receipt",$C2815="Payment"),$D2815=""),"Party needed",IF(AND(OR($C2815="Expense",$C2815="Other Income"),$E2815=""),"Head needed",IF($F2815="","Account needed","OK")))),IF($C2815="","","PRO PLAN"))</f>
        <v/>
      </c>
    </row>
    <row r="2816" customFormat="false" ht="15" hidden="false" customHeight="false" outlineLevel="0" collapsed="false">
      <c r="A2816" s="55"/>
      <c r="B2816" s="56"/>
      <c r="C2816" s="56"/>
      <c r="D2816" s="56"/>
      <c r="E2816" s="56"/>
      <c r="F2816" s="56"/>
      <c r="G2816" s="58"/>
      <c r="H2816" s="56"/>
      <c r="I2816" s="61" t="str">
        <f aca="false">IF(IsPro,IF(OR($C2816="",N($G2816)=0),"",IF(OR($C2816="Receipt",$C2816="Other Income",$C2816="Capital In",$C2816="Transfer In"),$G2816,0)),"")</f>
        <v/>
      </c>
      <c r="J2816" s="61" t="str">
        <f aca="false">IF(IsPro,IF(OR($C2816="",N($G2816)=0),"",IF(I2816=0,$G2816,0)),"")</f>
        <v/>
      </c>
      <c r="K2816" s="60" t="str">
        <f aca="false">IF(IsPro,IF($C2816="","",IF(AND(OR($C2816="Receipt",$C2816="Payment"),$D2816=""),"Party needed",IF(AND(OR($C2816="Expense",$C2816="Other Income"),$E2816=""),"Head needed",IF($F2816="","Account needed","OK")))),IF($C2816="","","PRO PLAN"))</f>
        <v/>
      </c>
    </row>
    <row r="2817" customFormat="false" ht="15" hidden="false" customHeight="false" outlineLevel="0" collapsed="false">
      <c r="A2817" s="55"/>
      <c r="B2817" s="56"/>
      <c r="C2817" s="56"/>
      <c r="D2817" s="56"/>
      <c r="E2817" s="56"/>
      <c r="F2817" s="56"/>
      <c r="G2817" s="58"/>
      <c r="H2817" s="56"/>
      <c r="I2817" s="61" t="str">
        <f aca="false">IF(IsPro,IF(OR($C2817="",N($G2817)=0),"",IF(OR($C2817="Receipt",$C2817="Other Income",$C2817="Capital In",$C2817="Transfer In"),$G2817,0)),"")</f>
        <v/>
      </c>
      <c r="J2817" s="61" t="str">
        <f aca="false">IF(IsPro,IF(OR($C2817="",N($G2817)=0),"",IF(I2817=0,$G2817,0)),"")</f>
        <v/>
      </c>
      <c r="K2817" s="60" t="str">
        <f aca="false">IF(IsPro,IF($C2817="","",IF(AND(OR($C2817="Receipt",$C2817="Payment"),$D2817=""),"Party needed",IF(AND(OR($C2817="Expense",$C2817="Other Income"),$E2817=""),"Head needed",IF($F2817="","Account needed","OK")))),IF($C2817="","","PRO PLAN"))</f>
        <v/>
      </c>
    </row>
    <row r="2818" customFormat="false" ht="15" hidden="false" customHeight="false" outlineLevel="0" collapsed="false">
      <c r="A2818" s="55"/>
      <c r="B2818" s="56"/>
      <c r="C2818" s="56"/>
      <c r="D2818" s="56"/>
      <c r="E2818" s="56"/>
      <c r="F2818" s="56"/>
      <c r="G2818" s="58"/>
      <c r="H2818" s="56"/>
      <c r="I2818" s="61" t="str">
        <f aca="false">IF(IsPro,IF(OR($C2818="",N($G2818)=0),"",IF(OR($C2818="Receipt",$C2818="Other Income",$C2818="Capital In",$C2818="Transfer In"),$G2818,0)),"")</f>
        <v/>
      </c>
      <c r="J2818" s="61" t="str">
        <f aca="false">IF(IsPro,IF(OR($C2818="",N($G2818)=0),"",IF(I2818=0,$G2818,0)),"")</f>
        <v/>
      </c>
      <c r="K2818" s="60" t="str">
        <f aca="false">IF(IsPro,IF($C2818="","",IF(AND(OR($C2818="Receipt",$C2818="Payment"),$D2818=""),"Party needed",IF(AND(OR($C2818="Expense",$C2818="Other Income"),$E2818=""),"Head needed",IF($F2818="","Account needed","OK")))),IF($C2818="","","PRO PLAN"))</f>
        <v/>
      </c>
    </row>
    <row r="2819" customFormat="false" ht="15" hidden="false" customHeight="false" outlineLevel="0" collapsed="false">
      <c r="A2819" s="55"/>
      <c r="B2819" s="56"/>
      <c r="C2819" s="56"/>
      <c r="D2819" s="56"/>
      <c r="E2819" s="56"/>
      <c r="F2819" s="56"/>
      <c r="G2819" s="58"/>
      <c r="H2819" s="56"/>
      <c r="I2819" s="61" t="str">
        <f aca="false">IF(IsPro,IF(OR($C2819="",N($G2819)=0),"",IF(OR($C2819="Receipt",$C2819="Other Income",$C2819="Capital In",$C2819="Transfer In"),$G2819,0)),"")</f>
        <v/>
      </c>
      <c r="J2819" s="61" t="str">
        <f aca="false">IF(IsPro,IF(OR($C2819="",N($G2819)=0),"",IF(I2819=0,$G2819,0)),"")</f>
        <v/>
      </c>
      <c r="K2819" s="60" t="str">
        <f aca="false">IF(IsPro,IF($C2819="","",IF(AND(OR($C2819="Receipt",$C2819="Payment"),$D2819=""),"Party needed",IF(AND(OR($C2819="Expense",$C2819="Other Income"),$E2819=""),"Head needed",IF($F2819="","Account needed","OK")))),IF($C2819="","","PRO PLAN"))</f>
        <v/>
      </c>
    </row>
    <row r="2820" customFormat="false" ht="15" hidden="false" customHeight="false" outlineLevel="0" collapsed="false">
      <c r="A2820" s="55"/>
      <c r="B2820" s="56"/>
      <c r="C2820" s="56"/>
      <c r="D2820" s="56"/>
      <c r="E2820" s="56"/>
      <c r="F2820" s="56"/>
      <c r="G2820" s="58"/>
      <c r="H2820" s="56"/>
      <c r="I2820" s="61" t="str">
        <f aca="false">IF(IsPro,IF(OR($C2820="",N($G2820)=0),"",IF(OR($C2820="Receipt",$C2820="Other Income",$C2820="Capital In",$C2820="Transfer In"),$G2820,0)),"")</f>
        <v/>
      </c>
      <c r="J2820" s="61" t="str">
        <f aca="false">IF(IsPro,IF(OR($C2820="",N($G2820)=0),"",IF(I2820=0,$G2820,0)),"")</f>
        <v/>
      </c>
      <c r="K2820" s="60" t="str">
        <f aca="false">IF(IsPro,IF($C2820="","",IF(AND(OR($C2820="Receipt",$C2820="Payment"),$D2820=""),"Party needed",IF(AND(OR($C2820="Expense",$C2820="Other Income"),$E2820=""),"Head needed",IF($F2820="","Account needed","OK")))),IF($C2820="","","PRO PLAN"))</f>
        <v/>
      </c>
    </row>
    <row r="2821" customFormat="false" ht="15" hidden="false" customHeight="false" outlineLevel="0" collapsed="false">
      <c r="A2821" s="55"/>
      <c r="B2821" s="56"/>
      <c r="C2821" s="56"/>
      <c r="D2821" s="56"/>
      <c r="E2821" s="56"/>
      <c r="F2821" s="56"/>
      <c r="G2821" s="58"/>
      <c r="H2821" s="56"/>
      <c r="I2821" s="61" t="str">
        <f aca="false">IF(IsPro,IF(OR($C2821="",N($G2821)=0),"",IF(OR($C2821="Receipt",$C2821="Other Income",$C2821="Capital In",$C2821="Transfer In"),$G2821,0)),"")</f>
        <v/>
      </c>
      <c r="J2821" s="61" t="str">
        <f aca="false">IF(IsPro,IF(OR($C2821="",N($G2821)=0),"",IF(I2821=0,$G2821,0)),"")</f>
        <v/>
      </c>
      <c r="K2821" s="60" t="str">
        <f aca="false">IF(IsPro,IF($C2821="","",IF(AND(OR($C2821="Receipt",$C2821="Payment"),$D2821=""),"Party needed",IF(AND(OR($C2821="Expense",$C2821="Other Income"),$E2821=""),"Head needed",IF($F2821="","Account needed","OK")))),IF($C2821="","","PRO PLAN"))</f>
        <v/>
      </c>
    </row>
    <row r="2822" customFormat="false" ht="15" hidden="false" customHeight="false" outlineLevel="0" collapsed="false">
      <c r="A2822" s="55"/>
      <c r="B2822" s="56"/>
      <c r="C2822" s="56"/>
      <c r="D2822" s="56"/>
      <c r="E2822" s="56"/>
      <c r="F2822" s="56"/>
      <c r="G2822" s="58"/>
      <c r="H2822" s="56"/>
      <c r="I2822" s="61" t="str">
        <f aca="false">IF(IsPro,IF(OR($C2822="",N($G2822)=0),"",IF(OR($C2822="Receipt",$C2822="Other Income",$C2822="Capital In",$C2822="Transfer In"),$G2822,0)),"")</f>
        <v/>
      </c>
      <c r="J2822" s="61" t="str">
        <f aca="false">IF(IsPro,IF(OR($C2822="",N($G2822)=0),"",IF(I2822=0,$G2822,0)),"")</f>
        <v/>
      </c>
      <c r="K2822" s="60" t="str">
        <f aca="false">IF(IsPro,IF($C2822="","",IF(AND(OR($C2822="Receipt",$C2822="Payment"),$D2822=""),"Party needed",IF(AND(OR($C2822="Expense",$C2822="Other Income"),$E2822=""),"Head needed",IF($F2822="","Account needed","OK")))),IF($C2822="","","PRO PLAN"))</f>
        <v/>
      </c>
    </row>
    <row r="2823" customFormat="false" ht="15" hidden="false" customHeight="false" outlineLevel="0" collapsed="false">
      <c r="A2823" s="55"/>
      <c r="B2823" s="56"/>
      <c r="C2823" s="56"/>
      <c r="D2823" s="56"/>
      <c r="E2823" s="56"/>
      <c r="F2823" s="56"/>
      <c r="G2823" s="58"/>
      <c r="H2823" s="56"/>
      <c r="I2823" s="61" t="str">
        <f aca="false">IF(IsPro,IF(OR($C2823="",N($G2823)=0),"",IF(OR($C2823="Receipt",$C2823="Other Income",$C2823="Capital In",$C2823="Transfer In"),$G2823,0)),"")</f>
        <v/>
      </c>
      <c r="J2823" s="61" t="str">
        <f aca="false">IF(IsPro,IF(OR($C2823="",N($G2823)=0),"",IF(I2823=0,$G2823,0)),"")</f>
        <v/>
      </c>
      <c r="K2823" s="60" t="str">
        <f aca="false">IF(IsPro,IF($C2823="","",IF(AND(OR($C2823="Receipt",$C2823="Payment"),$D2823=""),"Party needed",IF(AND(OR($C2823="Expense",$C2823="Other Income"),$E2823=""),"Head needed",IF($F2823="","Account needed","OK")))),IF($C2823="","","PRO PLAN"))</f>
        <v/>
      </c>
    </row>
    <row r="2824" customFormat="false" ht="15" hidden="false" customHeight="false" outlineLevel="0" collapsed="false">
      <c r="A2824" s="55"/>
      <c r="B2824" s="56"/>
      <c r="C2824" s="56"/>
      <c r="D2824" s="56"/>
      <c r="E2824" s="56"/>
      <c r="F2824" s="56"/>
      <c r="G2824" s="58"/>
      <c r="H2824" s="56"/>
      <c r="I2824" s="61" t="str">
        <f aca="false">IF(IsPro,IF(OR($C2824="",N($G2824)=0),"",IF(OR($C2824="Receipt",$C2824="Other Income",$C2824="Capital In",$C2824="Transfer In"),$G2824,0)),"")</f>
        <v/>
      </c>
      <c r="J2824" s="61" t="str">
        <f aca="false">IF(IsPro,IF(OR($C2824="",N($G2824)=0),"",IF(I2824=0,$G2824,0)),"")</f>
        <v/>
      </c>
      <c r="K2824" s="60" t="str">
        <f aca="false">IF(IsPro,IF($C2824="","",IF(AND(OR($C2824="Receipt",$C2824="Payment"),$D2824=""),"Party needed",IF(AND(OR($C2824="Expense",$C2824="Other Income"),$E2824=""),"Head needed",IF($F2824="","Account needed","OK")))),IF($C2824="","","PRO PLAN"))</f>
        <v/>
      </c>
    </row>
    <row r="2825" customFormat="false" ht="15" hidden="false" customHeight="false" outlineLevel="0" collapsed="false">
      <c r="A2825" s="55"/>
      <c r="B2825" s="56"/>
      <c r="C2825" s="56"/>
      <c r="D2825" s="56"/>
      <c r="E2825" s="56"/>
      <c r="F2825" s="56"/>
      <c r="G2825" s="58"/>
      <c r="H2825" s="56"/>
      <c r="I2825" s="61" t="str">
        <f aca="false">IF(IsPro,IF(OR($C2825="",N($G2825)=0),"",IF(OR($C2825="Receipt",$C2825="Other Income",$C2825="Capital In",$C2825="Transfer In"),$G2825,0)),"")</f>
        <v/>
      </c>
      <c r="J2825" s="61" t="str">
        <f aca="false">IF(IsPro,IF(OR($C2825="",N($G2825)=0),"",IF(I2825=0,$G2825,0)),"")</f>
        <v/>
      </c>
      <c r="K2825" s="60" t="str">
        <f aca="false">IF(IsPro,IF($C2825="","",IF(AND(OR($C2825="Receipt",$C2825="Payment"),$D2825=""),"Party needed",IF(AND(OR($C2825="Expense",$C2825="Other Income"),$E2825=""),"Head needed",IF($F2825="","Account needed","OK")))),IF($C2825="","","PRO PLAN"))</f>
        <v/>
      </c>
    </row>
    <row r="2826" customFormat="false" ht="15" hidden="false" customHeight="false" outlineLevel="0" collapsed="false">
      <c r="A2826" s="55"/>
      <c r="B2826" s="56"/>
      <c r="C2826" s="56"/>
      <c r="D2826" s="56"/>
      <c r="E2826" s="56"/>
      <c r="F2826" s="56"/>
      <c r="G2826" s="58"/>
      <c r="H2826" s="56"/>
      <c r="I2826" s="61" t="str">
        <f aca="false">IF(IsPro,IF(OR($C2826="",N($G2826)=0),"",IF(OR($C2826="Receipt",$C2826="Other Income",$C2826="Capital In",$C2826="Transfer In"),$G2826,0)),"")</f>
        <v/>
      </c>
      <c r="J2826" s="61" t="str">
        <f aca="false">IF(IsPro,IF(OR($C2826="",N($G2826)=0),"",IF(I2826=0,$G2826,0)),"")</f>
        <v/>
      </c>
      <c r="K2826" s="60" t="str">
        <f aca="false">IF(IsPro,IF($C2826="","",IF(AND(OR($C2826="Receipt",$C2826="Payment"),$D2826=""),"Party needed",IF(AND(OR($C2826="Expense",$C2826="Other Income"),$E2826=""),"Head needed",IF($F2826="","Account needed","OK")))),IF($C2826="","","PRO PLAN"))</f>
        <v/>
      </c>
    </row>
    <row r="2827" customFormat="false" ht="15" hidden="false" customHeight="false" outlineLevel="0" collapsed="false">
      <c r="A2827" s="55"/>
      <c r="B2827" s="56"/>
      <c r="C2827" s="56"/>
      <c r="D2827" s="56"/>
      <c r="E2827" s="56"/>
      <c r="F2827" s="56"/>
      <c r="G2827" s="58"/>
      <c r="H2827" s="56"/>
      <c r="I2827" s="61" t="str">
        <f aca="false">IF(IsPro,IF(OR($C2827="",N($G2827)=0),"",IF(OR($C2827="Receipt",$C2827="Other Income",$C2827="Capital In",$C2827="Transfer In"),$G2827,0)),"")</f>
        <v/>
      </c>
      <c r="J2827" s="61" t="str">
        <f aca="false">IF(IsPro,IF(OR($C2827="",N($G2827)=0),"",IF(I2827=0,$G2827,0)),"")</f>
        <v/>
      </c>
      <c r="K2827" s="60" t="str">
        <f aca="false">IF(IsPro,IF($C2827="","",IF(AND(OR($C2827="Receipt",$C2827="Payment"),$D2827=""),"Party needed",IF(AND(OR($C2827="Expense",$C2827="Other Income"),$E2827=""),"Head needed",IF($F2827="","Account needed","OK")))),IF($C2827="","","PRO PLAN"))</f>
        <v/>
      </c>
    </row>
    <row r="2828" customFormat="false" ht="15" hidden="false" customHeight="false" outlineLevel="0" collapsed="false">
      <c r="A2828" s="55"/>
      <c r="B2828" s="56"/>
      <c r="C2828" s="56"/>
      <c r="D2828" s="56"/>
      <c r="E2828" s="56"/>
      <c r="F2828" s="56"/>
      <c r="G2828" s="58"/>
      <c r="H2828" s="56"/>
      <c r="I2828" s="61" t="str">
        <f aca="false">IF(IsPro,IF(OR($C2828="",N($G2828)=0),"",IF(OR($C2828="Receipt",$C2828="Other Income",$C2828="Capital In",$C2828="Transfer In"),$G2828,0)),"")</f>
        <v/>
      </c>
      <c r="J2828" s="61" t="str">
        <f aca="false">IF(IsPro,IF(OR($C2828="",N($G2828)=0),"",IF(I2828=0,$G2828,0)),"")</f>
        <v/>
      </c>
      <c r="K2828" s="60" t="str">
        <f aca="false">IF(IsPro,IF($C2828="","",IF(AND(OR($C2828="Receipt",$C2828="Payment"),$D2828=""),"Party needed",IF(AND(OR($C2828="Expense",$C2828="Other Income"),$E2828=""),"Head needed",IF($F2828="","Account needed","OK")))),IF($C2828="","","PRO PLAN"))</f>
        <v/>
      </c>
    </row>
    <row r="2829" customFormat="false" ht="15" hidden="false" customHeight="false" outlineLevel="0" collapsed="false">
      <c r="A2829" s="55"/>
      <c r="B2829" s="56"/>
      <c r="C2829" s="56"/>
      <c r="D2829" s="56"/>
      <c r="E2829" s="56"/>
      <c r="F2829" s="56"/>
      <c r="G2829" s="58"/>
      <c r="H2829" s="56"/>
      <c r="I2829" s="61" t="str">
        <f aca="false">IF(IsPro,IF(OR($C2829="",N($G2829)=0),"",IF(OR($C2829="Receipt",$C2829="Other Income",$C2829="Capital In",$C2829="Transfer In"),$G2829,0)),"")</f>
        <v/>
      </c>
      <c r="J2829" s="61" t="str">
        <f aca="false">IF(IsPro,IF(OR($C2829="",N($G2829)=0),"",IF(I2829=0,$G2829,0)),"")</f>
        <v/>
      </c>
      <c r="K2829" s="60" t="str">
        <f aca="false">IF(IsPro,IF($C2829="","",IF(AND(OR($C2829="Receipt",$C2829="Payment"),$D2829=""),"Party needed",IF(AND(OR($C2829="Expense",$C2829="Other Income"),$E2829=""),"Head needed",IF($F2829="","Account needed","OK")))),IF($C2829="","","PRO PLAN"))</f>
        <v/>
      </c>
    </row>
    <row r="2830" customFormat="false" ht="15" hidden="false" customHeight="false" outlineLevel="0" collapsed="false">
      <c r="A2830" s="55"/>
      <c r="B2830" s="56"/>
      <c r="C2830" s="56"/>
      <c r="D2830" s="56"/>
      <c r="E2830" s="56"/>
      <c r="F2830" s="56"/>
      <c r="G2830" s="58"/>
      <c r="H2830" s="56"/>
      <c r="I2830" s="61" t="str">
        <f aca="false">IF(IsPro,IF(OR($C2830="",N($G2830)=0),"",IF(OR($C2830="Receipt",$C2830="Other Income",$C2830="Capital In",$C2830="Transfer In"),$G2830,0)),"")</f>
        <v/>
      </c>
      <c r="J2830" s="61" t="str">
        <f aca="false">IF(IsPro,IF(OR($C2830="",N($G2830)=0),"",IF(I2830=0,$G2830,0)),"")</f>
        <v/>
      </c>
      <c r="K2830" s="60" t="str">
        <f aca="false">IF(IsPro,IF($C2830="","",IF(AND(OR($C2830="Receipt",$C2830="Payment"),$D2830=""),"Party needed",IF(AND(OR($C2830="Expense",$C2830="Other Income"),$E2830=""),"Head needed",IF($F2830="","Account needed","OK")))),IF($C2830="","","PRO PLAN"))</f>
        <v/>
      </c>
    </row>
    <row r="2831" customFormat="false" ht="15" hidden="false" customHeight="false" outlineLevel="0" collapsed="false">
      <c r="A2831" s="55"/>
      <c r="B2831" s="56"/>
      <c r="C2831" s="56"/>
      <c r="D2831" s="56"/>
      <c r="E2831" s="56"/>
      <c r="F2831" s="56"/>
      <c r="G2831" s="58"/>
      <c r="H2831" s="56"/>
      <c r="I2831" s="61" t="str">
        <f aca="false">IF(IsPro,IF(OR($C2831="",N($G2831)=0),"",IF(OR($C2831="Receipt",$C2831="Other Income",$C2831="Capital In",$C2831="Transfer In"),$G2831,0)),"")</f>
        <v/>
      </c>
      <c r="J2831" s="61" t="str">
        <f aca="false">IF(IsPro,IF(OR($C2831="",N($G2831)=0),"",IF(I2831=0,$G2831,0)),"")</f>
        <v/>
      </c>
      <c r="K2831" s="60" t="str">
        <f aca="false">IF(IsPro,IF($C2831="","",IF(AND(OR($C2831="Receipt",$C2831="Payment"),$D2831=""),"Party needed",IF(AND(OR($C2831="Expense",$C2831="Other Income"),$E2831=""),"Head needed",IF($F2831="","Account needed","OK")))),IF($C2831="","","PRO PLAN"))</f>
        <v/>
      </c>
    </row>
    <row r="2832" customFormat="false" ht="15" hidden="false" customHeight="false" outlineLevel="0" collapsed="false">
      <c r="A2832" s="55"/>
      <c r="B2832" s="56"/>
      <c r="C2832" s="56"/>
      <c r="D2832" s="56"/>
      <c r="E2832" s="56"/>
      <c r="F2832" s="56"/>
      <c r="G2832" s="58"/>
      <c r="H2832" s="56"/>
      <c r="I2832" s="61" t="str">
        <f aca="false">IF(IsPro,IF(OR($C2832="",N($G2832)=0),"",IF(OR($C2832="Receipt",$C2832="Other Income",$C2832="Capital In",$C2832="Transfer In"),$G2832,0)),"")</f>
        <v/>
      </c>
      <c r="J2832" s="61" t="str">
        <f aca="false">IF(IsPro,IF(OR($C2832="",N($G2832)=0),"",IF(I2832=0,$G2832,0)),"")</f>
        <v/>
      </c>
      <c r="K2832" s="60" t="str">
        <f aca="false">IF(IsPro,IF($C2832="","",IF(AND(OR($C2832="Receipt",$C2832="Payment"),$D2832=""),"Party needed",IF(AND(OR($C2832="Expense",$C2832="Other Income"),$E2832=""),"Head needed",IF($F2832="","Account needed","OK")))),IF($C2832="","","PRO PLAN"))</f>
        <v/>
      </c>
    </row>
    <row r="2833" customFormat="false" ht="15" hidden="false" customHeight="false" outlineLevel="0" collapsed="false">
      <c r="A2833" s="55"/>
      <c r="B2833" s="56"/>
      <c r="C2833" s="56"/>
      <c r="D2833" s="56"/>
      <c r="E2833" s="56"/>
      <c r="F2833" s="56"/>
      <c r="G2833" s="58"/>
      <c r="H2833" s="56"/>
      <c r="I2833" s="61" t="str">
        <f aca="false">IF(IsPro,IF(OR($C2833="",N($G2833)=0),"",IF(OR($C2833="Receipt",$C2833="Other Income",$C2833="Capital In",$C2833="Transfer In"),$G2833,0)),"")</f>
        <v/>
      </c>
      <c r="J2833" s="61" t="str">
        <f aca="false">IF(IsPro,IF(OR($C2833="",N($G2833)=0),"",IF(I2833=0,$G2833,0)),"")</f>
        <v/>
      </c>
      <c r="K2833" s="60" t="str">
        <f aca="false">IF(IsPro,IF($C2833="","",IF(AND(OR($C2833="Receipt",$C2833="Payment"),$D2833=""),"Party needed",IF(AND(OR($C2833="Expense",$C2833="Other Income"),$E2833=""),"Head needed",IF($F2833="","Account needed","OK")))),IF($C2833="","","PRO PLAN"))</f>
        <v/>
      </c>
    </row>
    <row r="2834" customFormat="false" ht="15" hidden="false" customHeight="false" outlineLevel="0" collapsed="false">
      <c r="A2834" s="55"/>
      <c r="B2834" s="56"/>
      <c r="C2834" s="56"/>
      <c r="D2834" s="56"/>
      <c r="E2834" s="56"/>
      <c r="F2834" s="56"/>
      <c r="G2834" s="58"/>
      <c r="H2834" s="56"/>
      <c r="I2834" s="61" t="str">
        <f aca="false">IF(IsPro,IF(OR($C2834="",N($G2834)=0),"",IF(OR($C2834="Receipt",$C2834="Other Income",$C2834="Capital In",$C2834="Transfer In"),$G2834,0)),"")</f>
        <v/>
      </c>
      <c r="J2834" s="61" t="str">
        <f aca="false">IF(IsPro,IF(OR($C2834="",N($G2834)=0),"",IF(I2834=0,$G2834,0)),"")</f>
        <v/>
      </c>
      <c r="K2834" s="60" t="str">
        <f aca="false">IF(IsPro,IF($C2834="","",IF(AND(OR($C2834="Receipt",$C2834="Payment"),$D2834=""),"Party needed",IF(AND(OR($C2834="Expense",$C2834="Other Income"),$E2834=""),"Head needed",IF($F2834="","Account needed","OK")))),IF($C2834="","","PRO PLAN"))</f>
        <v/>
      </c>
    </row>
    <row r="2835" customFormat="false" ht="15" hidden="false" customHeight="false" outlineLevel="0" collapsed="false">
      <c r="A2835" s="55"/>
      <c r="B2835" s="56"/>
      <c r="C2835" s="56"/>
      <c r="D2835" s="56"/>
      <c r="E2835" s="56"/>
      <c r="F2835" s="56"/>
      <c r="G2835" s="58"/>
      <c r="H2835" s="56"/>
      <c r="I2835" s="61" t="str">
        <f aca="false">IF(IsPro,IF(OR($C2835="",N($G2835)=0),"",IF(OR($C2835="Receipt",$C2835="Other Income",$C2835="Capital In",$C2835="Transfer In"),$G2835,0)),"")</f>
        <v/>
      </c>
      <c r="J2835" s="61" t="str">
        <f aca="false">IF(IsPro,IF(OR($C2835="",N($G2835)=0),"",IF(I2835=0,$G2835,0)),"")</f>
        <v/>
      </c>
      <c r="K2835" s="60" t="str">
        <f aca="false">IF(IsPro,IF($C2835="","",IF(AND(OR($C2835="Receipt",$C2835="Payment"),$D2835=""),"Party needed",IF(AND(OR($C2835="Expense",$C2835="Other Income"),$E2835=""),"Head needed",IF($F2835="","Account needed","OK")))),IF($C2835="","","PRO PLAN"))</f>
        <v/>
      </c>
    </row>
    <row r="2836" customFormat="false" ht="15" hidden="false" customHeight="false" outlineLevel="0" collapsed="false">
      <c r="A2836" s="55"/>
      <c r="B2836" s="56"/>
      <c r="C2836" s="56"/>
      <c r="D2836" s="56"/>
      <c r="E2836" s="56"/>
      <c r="F2836" s="56"/>
      <c r="G2836" s="58"/>
      <c r="H2836" s="56"/>
      <c r="I2836" s="61" t="str">
        <f aca="false">IF(IsPro,IF(OR($C2836="",N($G2836)=0),"",IF(OR($C2836="Receipt",$C2836="Other Income",$C2836="Capital In",$C2836="Transfer In"),$G2836,0)),"")</f>
        <v/>
      </c>
      <c r="J2836" s="61" t="str">
        <f aca="false">IF(IsPro,IF(OR($C2836="",N($G2836)=0),"",IF(I2836=0,$G2836,0)),"")</f>
        <v/>
      </c>
      <c r="K2836" s="60" t="str">
        <f aca="false">IF(IsPro,IF($C2836="","",IF(AND(OR($C2836="Receipt",$C2836="Payment"),$D2836=""),"Party needed",IF(AND(OR($C2836="Expense",$C2836="Other Income"),$E2836=""),"Head needed",IF($F2836="","Account needed","OK")))),IF($C2836="","","PRO PLAN"))</f>
        <v/>
      </c>
    </row>
    <row r="2837" customFormat="false" ht="15" hidden="false" customHeight="false" outlineLevel="0" collapsed="false">
      <c r="A2837" s="55"/>
      <c r="B2837" s="56"/>
      <c r="C2837" s="56"/>
      <c r="D2837" s="56"/>
      <c r="E2837" s="56"/>
      <c r="F2837" s="56"/>
      <c r="G2837" s="58"/>
      <c r="H2837" s="56"/>
      <c r="I2837" s="61" t="str">
        <f aca="false">IF(IsPro,IF(OR($C2837="",N($G2837)=0),"",IF(OR($C2837="Receipt",$C2837="Other Income",$C2837="Capital In",$C2837="Transfer In"),$G2837,0)),"")</f>
        <v/>
      </c>
      <c r="J2837" s="61" t="str">
        <f aca="false">IF(IsPro,IF(OR($C2837="",N($G2837)=0),"",IF(I2837=0,$G2837,0)),"")</f>
        <v/>
      </c>
      <c r="K2837" s="60" t="str">
        <f aca="false">IF(IsPro,IF($C2837="","",IF(AND(OR($C2837="Receipt",$C2837="Payment"),$D2837=""),"Party needed",IF(AND(OR($C2837="Expense",$C2837="Other Income"),$E2837=""),"Head needed",IF($F2837="","Account needed","OK")))),IF($C2837="","","PRO PLAN"))</f>
        <v/>
      </c>
    </row>
    <row r="2838" customFormat="false" ht="15" hidden="false" customHeight="false" outlineLevel="0" collapsed="false">
      <c r="A2838" s="55"/>
      <c r="B2838" s="56"/>
      <c r="C2838" s="56"/>
      <c r="D2838" s="56"/>
      <c r="E2838" s="56"/>
      <c r="F2838" s="56"/>
      <c r="G2838" s="58"/>
      <c r="H2838" s="56"/>
      <c r="I2838" s="61" t="str">
        <f aca="false">IF(IsPro,IF(OR($C2838="",N($G2838)=0),"",IF(OR($C2838="Receipt",$C2838="Other Income",$C2838="Capital In",$C2838="Transfer In"),$G2838,0)),"")</f>
        <v/>
      </c>
      <c r="J2838" s="61" t="str">
        <f aca="false">IF(IsPro,IF(OR($C2838="",N($G2838)=0),"",IF(I2838=0,$G2838,0)),"")</f>
        <v/>
      </c>
      <c r="K2838" s="60" t="str">
        <f aca="false">IF(IsPro,IF($C2838="","",IF(AND(OR($C2838="Receipt",$C2838="Payment"),$D2838=""),"Party needed",IF(AND(OR($C2838="Expense",$C2838="Other Income"),$E2838=""),"Head needed",IF($F2838="","Account needed","OK")))),IF($C2838="","","PRO PLAN"))</f>
        <v/>
      </c>
    </row>
    <row r="2839" customFormat="false" ht="15" hidden="false" customHeight="false" outlineLevel="0" collapsed="false">
      <c r="A2839" s="55"/>
      <c r="B2839" s="56"/>
      <c r="C2839" s="56"/>
      <c r="D2839" s="56"/>
      <c r="E2839" s="56"/>
      <c r="F2839" s="56"/>
      <c r="G2839" s="58"/>
      <c r="H2839" s="56"/>
      <c r="I2839" s="61" t="str">
        <f aca="false">IF(IsPro,IF(OR($C2839="",N($G2839)=0),"",IF(OR($C2839="Receipt",$C2839="Other Income",$C2839="Capital In",$C2839="Transfer In"),$G2839,0)),"")</f>
        <v/>
      </c>
      <c r="J2839" s="61" t="str">
        <f aca="false">IF(IsPro,IF(OR($C2839="",N($G2839)=0),"",IF(I2839=0,$G2839,0)),"")</f>
        <v/>
      </c>
      <c r="K2839" s="60" t="str">
        <f aca="false">IF(IsPro,IF($C2839="","",IF(AND(OR($C2839="Receipt",$C2839="Payment"),$D2839=""),"Party needed",IF(AND(OR($C2839="Expense",$C2839="Other Income"),$E2839=""),"Head needed",IF($F2839="","Account needed","OK")))),IF($C2839="","","PRO PLAN"))</f>
        <v/>
      </c>
    </row>
    <row r="2840" customFormat="false" ht="15" hidden="false" customHeight="false" outlineLevel="0" collapsed="false">
      <c r="A2840" s="55"/>
      <c r="B2840" s="56"/>
      <c r="C2840" s="56"/>
      <c r="D2840" s="56"/>
      <c r="E2840" s="56"/>
      <c r="F2840" s="56"/>
      <c r="G2840" s="58"/>
      <c r="H2840" s="56"/>
      <c r="I2840" s="61" t="str">
        <f aca="false">IF(IsPro,IF(OR($C2840="",N($G2840)=0),"",IF(OR($C2840="Receipt",$C2840="Other Income",$C2840="Capital In",$C2840="Transfer In"),$G2840,0)),"")</f>
        <v/>
      </c>
      <c r="J2840" s="61" t="str">
        <f aca="false">IF(IsPro,IF(OR($C2840="",N($G2840)=0),"",IF(I2840=0,$G2840,0)),"")</f>
        <v/>
      </c>
      <c r="K2840" s="60" t="str">
        <f aca="false">IF(IsPro,IF($C2840="","",IF(AND(OR($C2840="Receipt",$C2840="Payment"),$D2840=""),"Party needed",IF(AND(OR($C2840="Expense",$C2840="Other Income"),$E2840=""),"Head needed",IF($F2840="","Account needed","OK")))),IF($C2840="","","PRO PLAN"))</f>
        <v/>
      </c>
    </row>
    <row r="2841" customFormat="false" ht="15" hidden="false" customHeight="false" outlineLevel="0" collapsed="false">
      <c r="A2841" s="55"/>
      <c r="B2841" s="56"/>
      <c r="C2841" s="56"/>
      <c r="D2841" s="56"/>
      <c r="E2841" s="56"/>
      <c r="F2841" s="56"/>
      <c r="G2841" s="58"/>
      <c r="H2841" s="56"/>
      <c r="I2841" s="61" t="str">
        <f aca="false">IF(IsPro,IF(OR($C2841="",N($G2841)=0),"",IF(OR($C2841="Receipt",$C2841="Other Income",$C2841="Capital In",$C2841="Transfer In"),$G2841,0)),"")</f>
        <v/>
      </c>
      <c r="J2841" s="61" t="str">
        <f aca="false">IF(IsPro,IF(OR($C2841="",N($G2841)=0),"",IF(I2841=0,$G2841,0)),"")</f>
        <v/>
      </c>
      <c r="K2841" s="60" t="str">
        <f aca="false">IF(IsPro,IF($C2841="","",IF(AND(OR($C2841="Receipt",$C2841="Payment"),$D2841=""),"Party needed",IF(AND(OR($C2841="Expense",$C2841="Other Income"),$E2841=""),"Head needed",IF($F2841="","Account needed","OK")))),IF($C2841="","","PRO PLAN"))</f>
        <v/>
      </c>
    </row>
    <row r="2842" customFormat="false" ht="15" hidden="false" customHeight="false" outlineLevel="0" collapsed="false">
      <c r="A2842" s="55"/>
      <c r="B2842" s="56"/>
      <c r="C2842" s="56"/>
      <c r="D2842" s="56"/>
      <c r="E2842" s="56"/>
      <c r="F2842" s="56"/>
      <c r="G2842" s="58"/>
      <c r="H2842" s="56"/>
      <c r="I2842" s="61" t="str">
        <f aca="false">IF(IsPro,IF(OR($C2842="",N($G2842)=0),"",IF(OR($C2842="Receipt",$C2842="Other Income",$C2842="Capital In",$C2842="Transfer In"),$G2842,0)),"")</f>
        <v/>
      </c>
      <c r="J2842" s="61" t="str">
        <f aca="false">IF(IsPro,IF(OR($C2842="",N($G2842)=0),"",IF(I2842=0,$G2842,0)),"")</f>
        <v/>
      </c>
      <c r="K2842" s="60" t="str">
        <f aca="false">IF(IsPro,IF($C2842="","",IF(AND(OR($C2842="Receipt",$C2842="Payment"),$D2842=""),"Party needed",IF(AND(OR($C2842="Expense",$C2842="Other Income"),$E2842=""),"Head needed",IF($F2842="","Account needed","OK")))),IF($C2842="","","PRO PLAN"))</f>
        <v/>
      </c>
    </row>
    <row r="2843" customFormat="false" ht="15" hidden="false" customHeight="false" outlineLevel="0" collapsed="false">
      <c r="A2843" s="55"/>
      <c r="B2843" s="56"/>
      <c r="C2843" s="56"/>
      <c r="D2843" s="56"/>
      <c r="E2843" s="56"/>
      <c r="F2843" s="56"/>
      <c r="G2843" s="58"/>
      <c r="H2843" s="56"/>
      <c r="I2843" s="61" t="str">
        <f aca="false">IF(IsPro,IF(OR($C2843="",N($G2843)=0),"",IF(OR($C2843="Receipt",$C2843="Other Income",$C2843="Capital In",$C2843="Transfer In"),$G2843,0)),"")</f>
        <v/>
      </c>
      <c r="J2843" s="61" t="str">
        <f aca="false">IF(IsPro,IF(OR($C2843="",N($G2843)=0),"",IF(I2843=0,$G2843,0)),"")</f>
        <v/>
      </c>
      <c r="K2843" s="60" t="str">
        <f aca="false">IF(IsPro,IF($C2843="","",IF(AND(OR($C2843="Receipt",$C2843="Payment"),$D2843=""),"Party needed",IF(AND(OR($C2843="Expense",$C2843="Other Income"),$E2843=""),"Head needed",IF($F2843="","Account needed","OK")))),IF($C2843="","","PRO PLAN"))</f>
        <v/>
      </c>
    </row>
    <row r="2844" customFormat="false" ht="15" hidden="false" customHeight="false" outlineLevel="0" collapsed="false">
      <c r="A2844" s="55"/>
      <c r="B2844" s="56"/>
      <c r="C2844" s="56"/>
      <c r="D2844" s="56"/>
      <c r="E2844" s="56"/>
      <c r="F2844" s="56"/>
      <c r="G2844" s="58"/>
      <c r="H2844" s="56"/>
      <c r="I2844" s="61" t="str">
        <f aca="false">IF(IsPro,IF(OR($C2844="",N($G2844)=0),"",IF(OR($C2844="Receipt",$C2844="Other Income",$C2844="Capital In",$C2844="Transfer In"),$G2844,0)),"")</f>
        <v/>
      </c>
      <c r="J2844" s="61" t="str">
        <f aca="false">IF(IsPro,IF(OR($C2844="",N($G2844)=0),"",IF(I2844=0,$G2844,0)),"")</f>
        <v/>
      </c>
      <c r="K2844" s="60" t="str">
        <f aca="false">IF(IsPro,IF($C2844="","",IF(AND(OR($C2844="Receipt",$C2844="Payment"),$D2844=""),"Party needed",IF(AND(OR($C2844="Expense",$C2844="Other Income"),$E2844=""),"Head needed",IF($F2844="","Account needed","OK")))),IF($C2844="","","PRO PLAN"))</f>
        <v/>
      </c>
    </row>
    <row r="2845" customFormat="false" ht="15" hidden="false" customHeight="false" outlineLevel="0" collapsed="false">
      <c r="A2845" s="55"/>
      <c r="B2845" s="56"/>
      <c r="C2845" s="56"/>
      <c r="D2845" s="56"/>
      <c r="E2845" s="56"/>
      <c r="F2845" s="56"/>
      <c r="G2845" s="58"/>
      <c r="H2845" s="56"/>
      <c r="I2845" s="61" t="str">
        <f aca="false">IF(IsPro,IF(OR($C2845="",N($G2845)=0),"",IF(OR($C2845="Receipt",$C2845="Other Income",$C2845="Capital In",$C2845="Transfer In"),$G2845,0)),"")</f>
        <v/>
      </c>
      <c r="J2845" s="61" t="str">
        <f aca="false">IF(IsPro,IF(OR($C2845="",N($G2845)=0),"",IF(I2845=0,$G2845,0)),"")</f>
        <v/>
      </c>
      <c r="K2845" s="60" t="str">
        <f aca="false">IF(IsPro,IF($C2845="","",IF(AND(OR($C2845="Receipt",$C2845="Payment"),$D2845=""),"Party needed",IF(AND(OR($C2845="Expense",$C2845="Other Income"),$E2845=""),"Head needed",IF($F2845="","Account needed","OK")))),IF($C2845="","","PRO PLAN"))</f>
        <v/>
      </c>
    </row>
    <row r="2846" customFormat="false" ht="15" hidden="false" customHeight="false" outlineLevel="0" collapsed="false">
      <c r="A2846" s="55"/>
      <c r="B2846" s="56"/>
      <c r="C2846" s="56"/>
      <c r="D2846" s="56"/>
      <c r="E2846" s="56"/>
      <c r="F2846" s="56"/>
      <c r="G2846" s="58"/>
      <c r="H2846" s="56"/>
      <c r="I2846" s="61" t="str">
        <f aca="false">IF(IsPro,IF(OR($C2846="",N($G2846)=0),"",IF(OR($C2846="Receipt",$C2846="Other Income",$C2846="Capital In",$C2846="Transfer In"),$G2846,0)),"")</f>
        <v/>
      </c>
      <c r="J2846" s="61" t="str">
        <f aca="false">IF(IsPro,IF(OR($C2846="",N($G2846)=0),"",IF(I2846=0,$G2846,0)),"")</f>
        <v/>
      </c>
      <c r="K2846" s="60" t="str">
        <f aca="false">IF(IsPro,IF($C2846="","",IF(AND(OR($C2846="Receipt",$C2846="Payment"),$D2846=""),"Party needed",IF(AND(OR($C2846="Expense",$C2846="Other Income"),$E2846=""),"Head needed",IF($F2846="","Account needed","OK")))),IF($C2846="","","PRO PLAN"))</f>
        <v/>
      </c>
    </row>
    <row r="2847" customFormat="false" ht="15" hidden="false" customHeight="false" outlineLevel="0" collapsed="false">
      <c r="A2847" s="55"/>
      <c r="B2847" s="56"/>
      <c r="C2847" s="56"/>
      <c r="D2847" s="56"/>
      <c r="E2847" s="56"/>
      <c r="F2847" s="56"/>
      <c r="G2847" s="58"/>
      <c r="H2847" s="56"/>
      <c r="I2847" s="61" t="str">
        <f aca="false">IF(IsPro,IF(OR($C2847="",N($G2847)=0),"",IF(OR($C2847="Receipt",$C2847="Other Income",$C2847="Capital In",$C2847="Transfer In"),$G2847,0)),"")</f>
        <v/>
      </c>
      <c r="J2847" s="61" t="str">
        <f aca="false">IF(IsPro,IF(OR($C2847="",N($G2847)=0),"",IF(I2847=0,$G2847,0)),"")</f>
        <v/>
      </c>
      <c r="K2847" s="60" t="str">
        <f aca="false">IF(IsPro,IF($C2847="","",IF(AND(OR($C2847="Receipt",$C2847="Payment"),$D2847=""),"Party needed",IF(AND(OR($C2847="Expense",$C2847="Other Income"),$E2847=""),"Head needed",IF($F2847="","Account needed","OK")))),IF($C2847="","","PRO PLAN"))</f>
        <v/>
      </c>
    </row>
    <row r="2848" customFormat="false" ht="15" hidden="false" customHeight="false" outlineLevel="0" collapsed="false">
      <c r="A2848" s="55"/>
      <c r="B2848" s="56"/>
      <c r="C2848" s="56"/>
      <c r="D2848" s="56"/>
      <c r="E2848" s="56"/>
      <c r="F2848" s="56"/>
      <c r="G2848" s="58"/>
      <c r="H2848" s="56"/>
      <c r="I2848" s="61" t="str">
        <f aca="false">IF(IsPro,IF(OR($C2848="",N($G2848)=0),"",IF(OR($C2848="Receipt",$C2848="Other Income",$C2848="Capital In",$C2848="Transfer In"),$G2848,0)),"")</f>
        <v/>
      </c>
      <c r="J2848" s="61" t="str">
        <f aca="false">IF(IsPro,IF(OR($C2848="",N($G2848)=0),"",IF(I2848=0,$G2848,0)),"")</f>
        <v/>
      </c>
      <c r="K2848" s="60" t="str">
        <f aca="false">IF(IsPro,IF($C2848="","",IF(AND(OR($C2848="Receipt",$C2848="Payment"),$D2848=""),"Party needed",IF(AND(OR($C2848="Expense",$C2848="Other Income"),$E2848=""),"Head needed",IF($F2848="","Account needed","OK")))),IF($C2848="","","PRO PLAN"))</f>
        <v/>
      </c>
    </row>
    <row r="2849" customFormat="false" ht="15" hidden="false" customHeight="false" outlineLevel="0" collapsed="false">
      <c r="A2849" s="55"/>
      <c r="B2849" s="56"/>
      <c r="C2849" s="56"/>
      <c r="D2849" s="56"/>
      <c r="E2849" s="56"/>
      <c r="F2849" s="56"/>
      <c r="G2849" s="58"/>
      <c r="H2849" s="56"/>
      <c r="I2849" s="61" t="str">
        <f aca="false">IF(IsPro,IF(OR($C2849="",N($G2849)=0),"",IF(OR($C2849="Receipt",$C2849="Other Income",$C2849="Capital In",$C2849="Transfer In"),$G2849,0)),"")</f>
        <v/>
      </c>
      <c r="J2849" s="61" t="str">
        <f aca="false">IF(IsPro,IF(OR($C2849="",N($G2849)=0),"",IF(I2849=0,$G2849,0)),"")</f>
        <v/>
      </c>
      <c r="K2849" s="60" t="str">
        <f aca="false">IF(IsPro,IF($C2849="","",IF(AND(OR($C2849="Receipt",$C2849="Payment"),$D2849=""),"Party needed",IF(AND(OR($C2849="Expense",$C2849="Other Income"),$E2849=""),"Head needed",IF($F2849="","Account needed","OK")))),IF($C2849="","","PRO PLAN"))</f>
        <v/>
      </c>
    </row>
    <row r="2850" customFormat="false" ht="15" hidden="false" customHeight="false" outlineLevel="0" collapsed="false">
      <c r="A2850" s="55"/>
      <c r="B2850" s="56"/>
      <c r="C2850" s="56"/>
      <c r="D2850" s="56"/>
      <c r="E2850" s="56"/>
      <c r="F2850" s="56"/>
      <c r="G2850" s="58"/>
      <c r="H2850" s="56"/>
      <c r="I2850" s="61" t="str">
        <f aca="false">IF(IsPro,IF(OR($C2850="",N($G2850)=0),"",IF(OR($C2850="Receipt",$C2850="Other Income",$C2850="Capital In",$C2850="Transfer In"),$G2850,0)),"")</f>
        <v/>
      </c>
      <c r="J2850" s="61" t="str">
        <f aca="false">IF(IsPro,IF(OR($C2850="",N($G2850)=0),"",IF(I2850=0,$G2850,0)),"")</f>
        <v/>
      </c>
      <c r="K2850" s="60" t="str">
        <f aca="false">IF(IsPro,IF($C2850="","",IF(AND(OR($C2850="Receipt",$C2850="Payment"),$D2850=""),"Party needed",IF(AND(OR($C2850="Expense",$C2850="Other Income"),$E2850=""),"Head needed",IF($F2850="","Account needed","OK")))),IF($C2850="","","PRO PLAN"))</f>
        <v/>
      </c>
    </row>
    <row r="2851" customFormat="false" ht="15" hidden="false" customHeight="false" outlineLevel="0" collapsed="false">
      <c r="A2851" s="55"/>
      <c r="B2851" s="56"/>
      <c r="C2851" s="56"/>
      <c r="D2851" s="56"/>
      <c r="E2851" s="56"/>
      <c r="F2851" s="56"/>
      <c r="G2851" s="58"/>
      <c r="H2851" s="56"/>
      <c r="I2851" s="61" t="str">
        <f aca="false">IF(IsPro,IF(OR($C2851="",N($G2851)=0),"",IF(OR($C2851="Receipt",$C2851="Other Income",$C2851="Capital In",$C2851="Transfer In"),$G2851,0)),"")</f>
        <v/>
      </c>
      <c r="J2851" s="61" t="str">
        <f aca="false">IF(IsPro,IF(OR($C2851="",N($G2851)=0),"",IF(I2851=0,$G2851,0)),"")</f>
        <v/>
      </c>
      <c r="K2851" s="60" t="str">
        <f aca="false">IF(IsPro,IF($C2851="","",IF(AND(OR($C2851="Receipt",$C2851="Payment"),$D2851=""),"Party needed",IF(AND(OR($C2851="Expense",$C2851="Other Income"),$E2851=""),"Head needed",IF($F2851="","Account needed","OK")))),IF($C2851="","","PRO PLAN"))</f>
        <v/>
      </c>
    </row>
    <row r="2852" customFormat="false" ht="15" hidden="false" customHeight="false" outlineLevel="0" collapsed="false">
      <c r="A2852" s="55"/>
      <c r="B2852" s="56"/>
      <c r="C2852" s="56"/>
      <c r="D2852" s="56"/>
      <c r="E2852" s="56"/>
      <c r="F2852" s="56"/>
      <c r="G2852" s="58"/>
      <c r="H2852" s="56"/>
      <c r="I2852" s="61" t="str">
        <f aca="false">IF(IsPro,IF(OR($C2852="",N($G2852)=0),"",IF(OR($C2852="Receipt",$C2852="Other Income",$C2852="Capital In",$C2852="Transfer In"),$G2852,0)),"")</f>
        <v/>
      </c>
      <c r="J2852" s="61" t="str">
        <f aca="false">IF(IsPro,IF(OR($C2852="",N($G2852)=0),"",IF(I2852=0,$G2852,0)),"")</f>
        <v/>
      </c>
      <c r="K2852" s="60" t="str">
        <f aca="false">IF(IsPro,IF($C2852="","",IF(AND(OR($C2852="Receipt",$C2852="Payment"),$D2852=""),"Party needed",IF(AND(OR($C2852="Expense",$C2852="Other Income"),$E2852=""),"Head needed",IF($F2852="","Account needed","OK")))),IF($C2852="","","PRO PLAN"))</f>
        <v/>
      </c>
    </row>
    <row r="2853" customFormat="false" ht="15" hidden="false" customHeight="false" outlineLevel="0" collapsed="false">
      <c r="A2853" s="55"/>
      <c r="B2853" s="56"/>
      <c r="C2853" s="56"/>
      <c r="D2853" s="56"/>
      <c r="E2853" s="56"/>
      <c r="F2853" s="56"/>
      <c r="G2853" s="58"/>
      <c r="H2853" s="56"/>
      <c r="I2853" s="61" t="str">
        <f aca="false">IF(IsPro,IF(OR($C2853="",N($G2853)=0),"",IF(OR($C2853="Receipt",$C2853="Other Income",$C2853="Capital In",$C2853="Transfer In"),$G2853,0)),"")</f>
        <v/>
      </c>
      <c r="J2853" s="61" t="str">
        <f aca="false">IF(IsPro,IF(OR($C2853="",N($G2853)=0),"",IF(I2853=0,$G2853,0)),"")</f>
        <v/>
      </c>
      <c r="K2853" s="60" t="str">
        <f aca="false">IF(IsPro,IF($C2853="","",IF(AND(OR($C2853="Receipt",$C2853="Payment"),$D2853=""),"Party needed",IF(AND(OR($C2853="Expense",$C2853="Other Income"),$E2853=""),"Head needed",IF($F2853="","Account needed","OK")))),IF($C2853="","","PRO PLAN"))</f>
        <v/>
      </c>
    </row>
    <row r="2854" customFormat="false" ht="15" hidden="false" customHeight="false" outlineLevel="0" collapsed="false">
      <c r="A2854" s="55"/>
      <c r="B2854" s="56"/>
      <c r="C2854" s="56"/>
      <c r="D2854" s="56"/>
      <c r="E2854" s="56"/>
      <c r="F2854" s="56"/>
      <c r="G2854" s="58"/>
      <c r="H2854" s="56"/>
      <c r="I2854" s="61" t="str">
        <f aca="false">IF(IsPro,IF(OR($C2854="",N($G2854)=0),"",IF(OR($C2854="Receipt",$C2854="Other Income",$C2854="Capital In",$C2854="Transfer In"),$G2854,0)),"")</f>
        <v/>
      </c>
      <c r="J2854" s="61" t="str">
        <f aca="false">IF(IsPro,IF(OR($C2854="",N($G2854)=0),"",IF(I2854=0,$G2854,0)),"")</f>
        <v/>
      </c>
      <c r="K2854" s="60" t="str">
        <f aca="false">IF(IsPro,IF($C2854="","",IF(AND(OR($C2854="Receipt",$C2854="Payment"),$D2854=""),"Party needed",IF(AND(OR($C2854="Expense",$C2854="Other Income"),$E2854=""),"Head needed",IF($F2854="","Account needed","OK")))),IF($C2854="","","PRO PLAN"))</f>
        <v/>
      </c>
    </row>
    <row r="2855" customFormat="false" ht="15" hidden="false" customHeight="false" outlineLevel="0" collapsed="false">
      <c r="A2855" s="55"/>
      <c r="B2855" s="56"/>
      <c r="C2855" s="56"/>
      <c r="D2855" s="56"/>
      <c r="E2855" s="56"/>
      <c r="F2855" s="56"/>
      <c r="G2855" s="58"/>
      <c r="H2855" s="56"/>
      <c r="I2855" s="61" t="str">
        <f aca="false">IF(IsPro,IF(OR($C2855="",N($G2855)=0),"",IF(OR($C2855="Receipt",$C2855="Other Income",$C2855="Capital In",$C2855="Transfer In"),$G2855,0)),"")</f>
        <v/>
      </c>
      <c r="J2855" s="61" t="str">
        <f aca="false">IF(IsPro,IF(OR($C2855="",N($G2855)=0),"",IF(I2855=0,$G2855,0)),"")</f>
        <v/>
      </c>
      <c r="K2855" s="60" t="str">
        <f aca="false">IF(IsPro,IF($C2855="","",IF(AND(OR($C2855="Receipt",$C2855="Payment"),$D2855=""),"Party needed",IF(AND(OR($C2855="Expense",$C2855="Other Income"),$E2855=""),"Head needed",IF($F2855="","Account needed","OK")))),IF($C2855="","","PRO PLAN"))</f>
        <v/>
      </c>
    </row>
    <row r="2856" customFormat="false" ht="15" hidden="false" customHeight="false" outlineLevel="0" collapsed="false">
      <c r="A2856" s="55"/>
      <c r="B2856" s="56"/>
      <c r="C2856" s="56"/>
      <c r="D2856" s="56"/>
      <c r="E2856" s="56"/>
      <c r="F2856" s="56"/>
      <c r="G2856" s="58"/>
      <c r="H2856" s="56"/>
      <c r="I2856" s="61" t="str">
        <f aca="false">IF(IsPro,IF(OR($C2856="",N($G2856)=0),"",IF(OR($C2856="Receipt",$C2856="Other Income",$C2856="Capital In",$C2856="Transfer In"),$G2856,0)),"")</f>
        <v/>
      </c>
      <c r="J2856" s="61" t="str">
        <f aca="false">IF(IsPro,IF(OR($C2856="",N($G2856)=0),"",IF(I2856=0,$G2856,0)),"")</f>
        <v/>
      </c>
      <c r="K2856" s="60" t="str">
        <f aca="false">IF(IsPro,IF($C2856="","",IF(AND(OR($C2856="Receipt",$C2856="Payment"),$D2856=""),"Party needed",IF(AND(OR($C2856="Expense",$C2856="Other Income"),$E2856=""),"Head needed",IF($F2856="","Account needed","OK")))),IF($C2856="","","PRO PLAN"))</f>
        <v/>
      </c>
    </row>
    <row r="2857" customFormat="false" ht="15" hidden="false" customHeight="false" outlineLevel="0" collapsed="false">
      <c r="A2857" s="55"/>
      <c r="B2857" s="56"/>
      <c r="C2857" s="56"/>
      <c r="D2857" s="56"/>
      <c r="E2857" s="56"/>
      <c r="F2857" s="56"/>
      <c r="G2857" s="58"/>
      <c r="H2857" s="56"/>
      <c r="I2857" s="61" t="str">
        <f aca="false">IF(IsPro,IF(OR($C2857="",N($G2857)=0),"",IF(OR($C2857="Receipt",$C2857="Other Income",$C2857="Capital In",$C2857="Transfer In"),$G2857,0)),"")</f>
        <v/>
      </c>
      <c r="J2857" s="61" t="str">
        <f aca="false">IF(IsPro,IF(OR($C2857="",N($G2857)=0),"",IF(I2857=0,$G2857,0)),"")</f>
        <v/>
      </c>
      <c r="K2857" s="60" t="str">
        <f aca="false">IF(IsPro,IF($C2857="","",IF(AND(OR($C2857="Receipt",$C2857="Payment"),$D2857=""),"Party needed",IF(AND(OR($C2857="Expense",$C2857="Other Income"),$E2857=""),"Head needed",IF($F2857="","Account needed","OK")))),IF($C2857="","","PRO PLAN"))</f>
        <v/>
      </c>
    </row>
    <row r="2858" customFormat="false" ht="15" hidden="false" customHeight="false" outlineLevel="0" collapsed="false">
      <c r="A2858" s="55"/>
      <c r="B2858" s="56"/>
      <c r="C2858" s="56"/>
      <c r="D2858" s="56"/>
      <c r="E2858" s="56"/>
      <c r="F2858" s="56"/>
      <c r="G2858" s="58"/>
      <c r="H2858" s="56"/>
      <c r="I2858" s="61" t="str">
        <f aca="false">IF(IsPro,IF(OR($C2858="",N($G2858)=0),"",IF(OR($C2858="Receipt",$C2858="Other Income",$C2858="Capital In",$C2858="Transfer In"),$G2858,0)),"")</f>
        <v/>
      </c>
      <c r="J2858" s="61" t="str">
        <f aca="false">IF(IsPro,IF(OR($C2858="",N($G2858)=0),"",IF(I2858=0,$G2858,0)),"")</f>
        <v/>
      </c>
      <c r="K2858" s="60" t="str">
        <f aca="false">IF(IsPro,IF($C2858="","",IF(AND(OR($C2858="Receipt",$C2858="Payment"),$D2858=""),"Party needed",IF(AND(OR($C2858="Expense",$C2858="Other Income"),$E2858=""),"Head needed",IF($F2858="","Account needed","OK")))),IF($C2858="","","PRO PLAN"))</f>
        <v/>
      </c>
    </row>
    <row r="2859" customFormat="false" ht="15" hidden="false" customHeight="false" outlineLevel="0" collapsed="false">
      <c r="A2859" s="55"/>
      <c r="B2859" s="56"/>
      <c r="C2859" s="56"/>
      <c r="D2859" s="56"/>
      <c r="E2859" s="56"/>
      <c r="F2859" s="56"/>
      <c r="G2859" s="58"/>
      <c r="H2859" s="56"/>
      <c r="I2859" s="61" t="str">
        <f aca="false">IF(IsPro,IF(OR($C2859="",N($G2859)=0),"",IF(OR($C2859="Receipt",$C2859="Other Income",$C2859="Capital In",$C2859="Transfer In"),$G2859,0)),"")</f>
        <v/>
      </c>
      <c r="J2859" s="61" t="str">
        <f aca="false">IF(IsPro,IF(OR($C2859="",N($G2859)=0),"",IF(I2859=0,$G2859,0)),"")</f>
        <v/>
      </c>
      <c r="K2859" s="60" t="str">
        <f aca="false">IF(IsPro,IF($C2859="","",IF(AND(OR($C2859="Receipt",$C2859="Payment"),$D2859=""),"Party needed",IF(AND(OR($C2859="Expense",$C2859="Other Income"),$E2859=""),"Head needed",IF($F2859="","Account needed","OK")))),IF($C2859="","","PRO PLAN"))</f>
        <v/>
      </c>
    </row>
    <row r="2860" customFormat="false" ht="15" hidden="false" customHeight="false" outlineLevel="0" collapsed="false">
      <c r="A2860" s="55"/>
      <c r="B2860" s="56"/>
      <c r="C2860" s="56"/>
      <c r="D2860" s="56"/>
      <c r="E2860" s="56"/>
      <c r="F2860" s="56"/>
      <c r="G2860" s="58"/>
      <c r="H2860" s="56"/>
      <c r="I2860" s="61" t="str">
        <f aca="false">IF(IsPro,IF(OR($C2860="",N($G2860)=0),"",IF(OR($C2860="Receipt",$C2860="Other Income",$C2860="Capital In",$C2860="Transfer In"),$G2860,0)),"")</f>
        <v/>
      </c>
      <c r="J2860" s="61" t="str">
        <f aca="false">IF(IsPro,IF(OR($C2860="",N($G2860)=0),"",IF(I2860=0,$G2860,0)),"")</f>
        <v/>
      </c>
      <c r="K2860" s="60" t="str">
        <f aca="false">IF(IsPro,IF($C2860="","",IF(AND(OR($C2860="Receipt",$C2860="Payment"),$D2860=""),"Party needed",IF(AND(OR($C2860="Expense",$C2860="Other Income"),$E2860=""),"Head needed",IF($F2860="","Account needed","OK")))),IF($C2860="","","PRO PLAN"))</f>
        <v/>
      </c>
    </row>
    <row r="2861" customFormat="false" ht="15" hidden="false" customHeight="false" outlineLevel="0" collapsed="false">
      <c r="A2861" s="55"/>
      <c r="B2861" s="56"/>
      <c r="C2861" s="56"/>
      <c r="D2861" s="56"/>
      <c r="E2861" s="56"/>
      <c r="F2861" s="56"/>
      <c r="G2861" s="58"/>
      <c r="H2861" s="56"/>
      <c r="I2861" s="61" t="str">
        <f aca="false">IF(IsPro,IF(OR($C2861="",N($G2861)=0),"",IF(OR($C2861="Receipt",$C2861="Other Income",$C2861="Capital In",$C2861="Transfer In"),$G2861,0)),"")</f>
        <v/>
      </c>
      <c r="J2861" s="61" t="str">
        <f aca="false">IF(IsPro,IF(OR($C2861="",N($G2861)=0),"",IF(I2861=0,$G2861,0)),"")</f>
        <v/>
      </c>
      <c r="K2861" s="60" t="str">
        <f aca="false">IF(IsPro,IF($C2861="","",IF(AND(OR($C2861="Receipt",$C2861="Payment"),$D2861=""),"Party needed",IF(AND(OR($C2861="Expense",$C2861="Other Income"),$E2861=""),"Head needed",IF($F2861="","Account needed","OK")))),IF($C2861="","","PRO PLAN"))</f>
        <v/>
      </c>
    </row>
    <row r="2862" customFormat="false" ht="15" hidden="false" customHeight="false" outlineLevel="0" collapsed="false">
      <c r="A2862" s="55"/>
      <c r="B2862" s="56"/>
      <c r="C2862" s="56"/>
      <c r="D2862" s="56"/>
      <c r="E2862" s="56"/>
      <c r="F2862" s="56"/>
      <c r="G2862" s="58"/>
      <c r="H2862" s="56"/>
      <c r="I2862" s="61" t="str">
        <f aca="false">IF(IsPro,IF(OR($C2862="",N($G2862)=0),"",IF(OR($C2862="Receipt",$C2862="Other Income",$C2862="Capital In",$C2862="Transfer In"),$G2862,0)),"")</f>
        <v/>
      </c>
      <c r="J2862" s="61" t="str">
        <f aca="false">IF(IsPro,IF(OR($C2862="",N($G2862)=0),"",IF(I2862=0,$G2862,0)),"")</f>
        <v/>
      </c>
      <c r="K2862" s="60" t="str">
        <f aca="false">IF(IsPro,IF($C2862="","",IF(AND(OR($C2862="Receipt",$C2862="Payment"),$D2862=""),"Party needed",IF(AND(OR($C2862="Expense",$C2862="Other Income"),$E2862=""),"Head needed",IF($F2862="","Account needed","OK")))),IF($C2862="","","PRO PLAN"))</f>
        <v/>
      </c>
    </row>
    <row r="2863" customFormat="false" ht="15" hidden="false" customHeight="false" outlineLevel="0" collapsed="false">
      <c r="A2863" s="55"/>
      <c r="B2863" s="56"/>
      <c r="C2863" s="56"/>
      <c r="D2863" s="56"/>
      <c r="E2863" s="56"/>
      <c r="F2863" s="56"/>
      <c r="G2863" s="58"/>
      <c r="H2863" s="56"/>
      <c r="I2863" s="61" t="str">
        <f aca="false">IF(IsPro,IF(OR($C2863="",N($G2863)=0),"",IF(OR($C2863="Receipt",$C2863="Other Income",$C2863="Capital In",$C2863="Transfer In"),$G2863,0)),"")</f>
        <v/>
      </c>
      <c r="J2863" s="61" t="str">
        <f aca="false">IF(IsPro,IF(OR($C2863="",N($G2863)=0),"",IF(I2863=0,$G2863,0)),"")</f>
        <v/>
      </c>
      <c r="K2863" s="60" t="str">
        <f aca="false">IF(IsPro,IF($C2863="","",IF(AND(OR($C2863="Receipt",$C2863="Payment"),$D2863=""),"Party needed",IF(AND(OR($C2863="Expense",$C2863="Other Income"),$E2863=""),"Head needed",IF($F2863="","Account needed","OK")))),IF($C2863="","","PRO PLAN"))</f>
        <v/>
      </c>
    </row>
    <row r="2864" customFormat="false" ht="15" hidden="false" customHeight="false" outlineLevel="0" collapsed="false">
      <c r="A2864" s="55"/>
      <c r="B2864" s="56"/>
      <c r="C2864" s="56"/>
      <c r="D2864" s="56"/>
      <c r="E2864" s="56"/>
      <c r="F2864" s="56"/>
      <c r="G2864" s="58"/>
      <c r="H2864" s="56"/>
      <c r="I2864" s="61" t="str">
        <f aca="false">IF(IsPro,IF(OR($C2864="",N($G2864)=0),"",IF(OR($C2864="Receipt",$C2864="Other Income",$C2864="Capital In",$C2864="Transfer In"),$G2864,0)),"")</f>
        <v/>
      </c>
      <c r="J2864" s="61" t="str">
        <f aca="false">IF(IsPro,IF(OR($C2864="",N($G2864)=0),"",IF(I2864=0,$G2864,0)),"")</f>
        <v/>
      </c>
      <c r="K2864" s="60" t="str">
        <f aca="false">IF(IsPro,IF($C2864="","",IF(AND(OR($C2864="Receipt",$C2864="Payment"),$D2864=""),"Party needed",IF(AND(OR($C2864="Expense",$C2864="Other Income"),$E2864=""),"Head needed",IF($F2864="","Account needed","OK")))),IF($C2864="","","PRO PLAN"))</f>
        <v/>
      </c>
    </row>
    <row r="2865" customFormat="false" ht="15" hidden="false" customHeight="false" outlineLevel="0" collapsed="false">
      <c r="A2865" s="55"/>
      <c r="B2865" s="56"/>
      <c r="C2865" s="56"/>
      <c r="D2865" s="56"/>
      <c r="E2865" s="56"/>
      <c r="F2865" s="56"/>
      <c r="G2865" s="58"/>
      <c r="H2865" s="56"/>
      <c r="I2865" s="61" t="str">
        <f aca="false">IF(IsPro,IF(OR($C2865="",N($G2865)=0),"",IF(OR($C2865="Receipt",$C2865="Other Income",$C2865="Capital In",$C2865="Transfer In"),$G2865,0)),"")</f>
        <v/>
      </c>
      <c r="J2865" s="61" t="str">
        <f aca="false">IF(IsPro,IF(OR($C2865="",N($G2865)=0),"",IF(I2865=0,$G2865,0)),"")</f>
        <v/>
      </c>
      <c r="K2865" s="60" t="str">
        <f aca="false">IF(IsPro,IF($C2865="","",IF(AND(OR($C2865="Receipt",$C2865="Payment"),$D2865=""),"Party needed",IF(AND(OR($C2865="Expense",$C2865="Other Income"),$E2865=""),"Head needed",IF($F2865="","Account needed","OK")))),IF($C2865="","","PRO PLAN"))</f>
        <v/>
      </c>
    </row>
    <row r="2866" customFormat="false" ht="15" hidden="false" customHeight="false" outlineLevel="0" collapsed="false">
      <c r="A2866" s="55"/>
      <c r="B2866" s="56"/>
      <c r="C2866" s="56"/>
      <c r="D2866" s="56"/>
      <c r="E2866" s="56"/>
      <c r="F2866" s="56"/>
      <c r="G2866" s="58"/>
      <c r="H2866" s="56"/>
      <c r="I2866" s="61" t="str">
        <f aca="false">IF(IsPro,IF(OR($C2866="",N($G2866)=0),"",IF(OR($C2866="Receipt",$C2866="Other Income",$C2866="Capital In",$C2866="Transfer In"),$G2866,0)),"")</f>
        <v/>
      </c>
      <c r="J2866" s="61" t="str">
        <f aca="false">IF(IsPro,IF(OR($C2866="",N($G2866)=0),"",IF(I2866=0,$G2866,0)),"")</f>
        <v/>
      </c>
      <c r="K2866" s="60" t="str">
        <f aca="false">IF(IsPro,IF($C2866="","",IF(AND(OR($C2866="Receipt",$C2866="Payment"),$D2866=""),"Party needed",IF(AND(OR($C2866="Expense",$C2866="Other Income"),$E2866=""),"Head needed",IF($F2866="","Account needed","OK")))),IF($C2866="","","PRO PLAN"))</f>
        <v/>
      </c>
    </row>
    <row r="2867" customFormat="false" ht="15" hidden="false" customHeight="false" outlineLevel="0" collapsed="false">
      <c r="A2867" s="55"/>
      <c r="B2867" s="56"/>
      <c r="C2867" s="56"/>
      <c r="D2867" s="56"/>
      <c r="E2867" s="56"/>
      <c r="F2867" s="56"/>
      <c r="G2867" s="58"/>
      <c r="H2867" s="56"/>
      <c r="I2867" s="61" t="str">
        <f aca="false">IF(IsPro,IF(OR($C2867="",N($G2867)=0),"",IF(OR($C2867="Receipt",$C2867="Other Income",$C2867="Capital In",$C2867="Transfer In"),$G2867,0)),"")</f>
        <v/>
      </c>
      <c r="J2867" s="61" t="str">
        <f aca="false">IF(IsPro,IF(OR($C2867="",N($G2867)=0),"",IF(I2867=0,$G2867,0)),"")</f>
        <v/>
      </c>
      <c r="K2867" s="60" t="str">
        <f aca="false">IF(IsPro,IF($C2867="","",IF(AND(OR($C2867="Receipt",$C2867="Payment"),$D2867=""),"Party needed",IF(AND(OR($C2867="Expense",$C2867="Other Income"),$E2867=""),"Head needed",IF($F2867="","Account needed","OK")))),IF($C2867="","","PRO PLAN"))</f>
        <v/>
      </c>
    </row>
    <row r="2868" customFormat="false" ht="15" hidden="false" customHeight="false" outlineLevel="0" collapsed="false">
      <c r="A2868" s="55"/>
      <c r="B2868" s="56"/>
      <c r="C2868" s="56"/>
      <c r="D2868" s="56"/>
      <c r="E2868" s="56"/>
      <c r="F2868" s="56"/>
      <c r="G2868" s="58"/>
      <c r="H2868" s="56"/>
      <c r="I2868" s="61" t="str">
        <f aca="false">IF(IsPro,IF(OR($C2868="",N($G2868)=0),"",IF(OR($C2868="Receipt",$C2868="Other Income",$C2868="Capital In",$C2868="Transfer In"),$G2868,0)),"")</f>
        <v/>
      </c>
      <c r="J2868" s="61" t="str">
        <f aca="false">IF(IsPro,IF(OR($C2868="",N($G2868)=0),"",IF(I2868=0,$G2868,0)),"")</f>
        <v/>
      </c>
      <c r="K2868" s="60" t="str">
        <f aca="false">IF(IsPro,IF($C2868="","",IF(AND(OR($C2868="Receipt",$C2868="Payment"),$D2868=""),"Party needed",IF(AND(OR($C2868="Expense",$C2868="Other Income"),$E2868=""),"Head needed",IF($F2868="","Account needed","OK")))),IF($C2868="","","PRO PLAN"))</f>
        <v/>
      </c>
    </row>
    <row r="2869" customFormat="false" ht="15" hidden="false" customHeight="false" outlineLevel="0" collapsed="false">
      <c r="A2869" s="55"/>
      <c r="B2869" s="56"/>
      <c r="C2869" s="56"/>
      <c r="D2869" s="56"/>
      <c r="E2869" s="56"/>
      <c r="F2869" s="56"/>
      <c r="G2869" s="58"/>
      <c r="H2869" s="56"/>
      <c r="I2869" s="61" t="str">
        <f aca="false">IF(IsPro,IF(OR($C2869="",N($G2869)=0),"",IF(OR($C2869="Receipt",$C2869="Other Income",$C2869="Capital In",$C2869="Transfer In"),$G2869,0)),"")</f>
        <v/>
      </c>
      <c r="J2869" s="61" t="str">
        <f aca="false">IF(IsPro,IF(OR($C2869="",N($G2869)=0),"",IF(I2869=0,$G2869,0)),"")</f>
        <v/>
      </c>
      <c r="K2869" s="60" t="str">
        <f aca="false">IF(IsPro,IF($C2869="","",IF(AND(OR($C2869="Receipt",$C2869="Payment"),$D2869=""),"Party needed",IF(AND(OR($C2869="Expense",$C2869="Other Income"),$E2869=""),"Head needed",IF($F2869="","Account needed","OK")))),IF($C2869="","","PRO PLAN"))</f>
        <v/>
      </c>
    </row>
    <row r="2870" customFormat="false" ht="15" hidden="false" customHeight="false" outlineLevel="0" collapsed="false">
      <c r="A2870" s="55"/>
      <c r="B2870" s="56"/>
      <c r="C2870" s="56"/>
      <c r="D2870" s="56"/>
      <c r="E2870" s="56"/>
      <c r="F2870" s="56"/>
      <c r="G2870" s="58"/>
      <c r="H2870" s="56"/>
      <c r="I2870" s="61" t="str">
        <f aca="false">IF(IsPro,IF(OR($C2870="",N($G2870)=0),"",IF(OR($C2870="Receipt",$C2870="Other Income",$C2870="Capital In",$C2870="Transfer In"),$G2870,0)),"")</f>
        <v/>
      </c>
      <c r="J2870" s="61" t="str">
        <f aca="false">IF(IsPro,IF(OR($C2870="",N($G2870)=0),"",IF(I2870=0,$G2870,0)),"")</f>
        <v/>
      </c>
      <c r="K2870" s="60" t="str">
        <f aca="false">IF(IsPro,IF($C2870="","",IF(AND(OR($C2870="Receipt",$C2870="Payment"),$D2870=""),"Party needed",IF(AND(OR($C2870="Expense",$C2870="Other Income"),$E2870=""),"Head needed",IF($F2870="","Account needed","OK")))),IF($C2870="","","PRO PLAN"))</f>
        <v/>
      </c>
    </row>
    <row r="2871" customFormat="false" ht="15" hidden="false" customHeight="false" outlineLevel="0" collapsed="false">
      <c r="A2871" s="55"/>
      <c r="B2871" s="56"/>
      <c r="C2871" s="56"/>
      <c r="D2871" s="56"/>
      <c r="E2871" s="56"/>
      <c r="F2871" s="56"/>
      <c r="G2871" s="58"/>
      <c r="H2871" s="56"/>
      <c r="I2871" s="61" t="str">
        <f aca="false">IF(IsPro,IF(OR($C2871="",N($G2871)=0),"",IF(OR($C2871="Receipt",$C2871="Other Income",$C2871="Capital In",$C2871="Transfer In"),$G2871,0)),"")</f>
        <v/>
      </c>
      <c r="J2871" s="61" t="str">
        <f aca="false">IF(IsPro,IF(OR($C2871="",N($G2871)=0),"",IF(I2871=0,$G2871,0)),"")</f>
        <v/>
      </c>
      <c r="K2871" s="60" t="str">
        <f aca="false">IF(IsPro,IF($C2871="","",IF(AND(OR($C2871="Receipt",$C2871="Payment"),$D2871=""),"Party needed",IF(AND(OR($C2871="Expense",$C2871="Other Income"),$E2871=""),"Head needed",IF($F2871="","Account needed","OK")))),IF($C2871="","","PRO PLAN"))</f>
        <v/>
      </c>
    </row>
    <row r="2872" customFormat="false" ht="15" hidden="false" customHeight="false" outlineLevel="0" collapsed="false">
      <c r="A2872" s="55"/>
      <c r="B2872" s="56"/>
      <c r="C2872" s="56"/>
      <c r="D2872" s="56"/>
      <c r="E2872" s="56"/>
      <c r="F2872" s="56"/>
      <c r="G2872" s="58"/>
      <c r="H2872" s="56"/>
      <c r="I2872" s="61" t="str">
        <f aca="false">IF(IsPro,IF(OR($C2872="",N($G2872)=0),"",IF(OR($C2872="Receipt",$C2872="Other Income",$C2872="Capital In",$C2872="Transfer In"),$G2872,0)),"")</f>
        <v/>
      </c>
      <c r="J2872" s="61" t="str">
        <f aca="false">IF(IsPro,IF(OR($C2872="",N($G2872)=0),"",IF(I2872=0,$G2872,0)),"")</f>
        <v/>
      </c>
      <c r="K2872" s="60" t="str">
        <f aca="false">IF(IsPro,IF($C2872="","",IF(AND(OR($C2872="Receipt",$C2872="Payment"),$D2872=""),"Party needed",IF(AND(OR($C2872="Expense",$C2872="Other Income"),$E2872=""),"Head needed",IF($F2872="","Account needed","OK")))),IF($C2872="","","PRO PLAN"))</f>
        <v/>
      </c>
    </row>
    <row r="2873" customFormat="false" ht="15" hidden="false" customHeight="false" outlineLevel="0" collapsed="false">
      <c r="A2873" s="55"/>
      <c r="B2873" s="56"/>
      <c r="C2873" s="56"/>
      <c r="D2873" s="56"/>
      <c r="E2873" s="56"/>
      <c r="F2873" s="56"/>
      <c r="G2873" s="58"/>
      <c r="H2873" s="56"/>
      <c r="I2873" s="61" t="str">
        <f aca="false">IF(IsPro,IF(OR($C2873="",N($G2873)=0),"",IF(OR($C2873="Receipt",$C2873="Other Income",$C2873="Capital In",$C2873="Transfer In"),$G2873,0)),"")</f>
        <v/>
      </c>
      <c r="J2873" s="61" t="str">
        <f aca="false">IF(IsPro,IF(OR($C2873="",N($G2873)=0),"",IF(I2873=0,$G2873,0)),"")</f>
        <v/>
      </c>
      <c r="K2873" s="60" t="str">
        <f aca="false">IF(IsPro,IF($C2873="","",IF(AND(OR($C2873="Receipt",$C2873="Payment"),$D2873=""),"Party needed",IF(AND(OR($C2873="Expense",$C2873="Other Income"),$E2873=""),"Head needed",IF($F2873="","Account needed","OK")))),IF($C2873="","","PRO PLAN"))</f>
        <v/>
      </c>
    </row>
    <row r="2874" customFormat="false" ht="15" hidden="false" customHeight="false" outlineLevel="0" collapsed="false">
      <c r="A2874" s="55"/>
      <c r="B2874" s="56"/>
      <c r="C2874" s="56"/>
      <c r="D2874" s="56"/>
      <c r="E2874" s="56"/>
      <c r="F2874" s="56"/>
      <c r="G2874" s="58"/>
      <c r="H2874" s="56"/>
      <c r="I2874" s="61" t="str">
        <f aca="false">IF(IsPro,IF(OR($C2874="",N($G2874)=0),"",IF(OR($C2874="Receipt",$C2874="Other Income",$C2874="Capital In",$C2874="Transfer In"),$G2874,0)),"")</f>
        <v/>
      </c>
      <c r="J2874" s="61" t="str">
        <f aca="false">IF(IsPro,IF(OR($C2874="",N($G2874)=0),"",IF(I2874=0,$G2874,0)),"")</f>
        <v/>
      </c>
      <c r="K2874" s="60" t="str">
        <f aca="false">IF(IsPro,IF($C2874="","",IF(AND(OR($C2874="Receipt",$C2874="Payment"),$D2874=""),"Party needed",IF(AND(OR($C2874="Expense",$C2874="Other Income"),$E2874=""),"Head needed",IF($F2874="","Account needed","OK")))),IF($C2874="","","PRO PLAN"))</f>
        <v/>
      </c>
    </row>
    <row r="2875" customFormat="false" ht="15" hidden="false" customHeight="false" outlineLevel="0" collapsed="false">
      <c r="A2875" s="55"/>
      <c r="B2875" s="56"/>
      <c r="C2875" s="56"/>
      <c r="D2875" s="56"/>
      <c r="E2875" s="56"/>
      <c r="F2875" s="56"/>
      <c r="G2875" s="58"/>
      <c r="H2875" s="56"/>
      <c r="I2875" s="61" t="str">
        <f aca="false">IF(IsPro,IF(OR($C2875="",N($G2875)=0),"",IF(OR($C2875="Receipt",$C2875="Other Income",$C2875="Capital In",$C2875="Transfer In"),$G2875,0)),"")</f>
        <v/>
      </c>
      <c r="J2875" s="61" t="str">
        <f aca="false">IF(IsPro,IF(OR($C2875="",N($G2875)=0),"",IF(I2875=0,$G2875,0)),"")</f>
        <v/>
      </c>
      <c r="K2875" s="60" t="str">
        <f aca="false">IF(IsPro,IF($C2875="","",IF(AND(OR($C2875="Receipt",$C2875="Payment"),$D2875=""),"Party needed",IF(AND(OR($C2875="Expense",$C2875="Other Income"),$E2875=""),"Head needed",IF($F2875="","Account needed","OK")))),IF($C2875="","","PRO PLAN"))</f>
        <v/>
      </c>
    </row>
    <row r="2876" customFormat="false" ht="15" hidden="false" customHeight="false" outlineLevel="0" collapsed="false">
      <c r="A2876" s="55"/>
      <c r="B2876" s="56"/>
      <c r="C2876" s="56"/>
      <c r="D2876" s="56"/>
      <c r="E2876" s="56"/>
      <c r="F2876" s="56"/>
      <c r="G2876" s="58"/>
      <c r="H2876" s="56"/>
      <c r="I2876" s="61" t="str">
        <f aca="false">IF(IsPro,IF(OR($C2876="",N($G2876)=0),"",IF(OR($C2876="Receipt",$C2876="Other Income",$C2876="Capital In",$C2876="Transfer In"),$G2876,0)),"")</f>
        <v/>
      </c>
      <c r="J2876" s="61" t="str">
        <f aca="false">IF(IsPro,IF(OR($C2876="",N($G2876)=0),"",IF(I2876=0,$G2876,0)),"")</f>
        <v/>
      </c>
      <c r="K2876" s="60" t="str">
        <f aca="false">IF(IsPro,IF($C2876="","",IF(AND(OR($C2876="Receipt",$C2876="Payment"),$D2876=""),"Party needed",IF(AND(OR($C2876="Expense",$C2876="Other Income"),$E2876=""),"Head needed",IF($F2876="","Account needed","OK")))),IF($C2876="","","PRO PLAN"))</f>
        <v/>
      </c>
    </row>
    <row r="2877" customFormat="false" ht="15" hidden="false" customHeight="false" outlineLevel="0" collapsed="false">
      <c r="A2877" s="55"/>
      <c r="B2877" s="56"/>
      <c r="C2877" s="56"/>
      <c r="D2877" s="56"/>
      <c r="E2877" s="56"/>
      <c r="F2877" s="56"/>
      <c r="G2877" s="58"/>
      <c r="H2877" s="56"/>
      <c r="I2877" s="61" t="str">
        <f aca="false">IF(IsPro,IF(OR($C2877="",N($G2877)=0),"",IF(OR($C2877="Receipt",$C2877="Other Income",$C2877="Capital In",$C2877="Transfer In"),$G2877,0)),"")</f>
        <v/>
      </c>
      <c r="J2877" s="61" t="str">
        <f aca="false">IF(IsPro,IF(OR($C2877="",N($G2877)=0),"",IF(I2877=0,$G2877,0)),"")</f>
        <v/>
      </c>
      <c r="K2877" s="60" t="str">
        <f aca="false">IF(IsPro,IF($C2877="","",IF(AND(OR($C2877="Receipt",$C2877="Payment"),$D2877=""),"Party needed",IF(AND(OR($C2877="Expense",$C2877="Other Income"),$E2877=""),"Head needed",IF($F2877="","Account needed","OK")))),IF($C2877="","","PRO PLAN"))</f>
        <v/>
      </c>
    </row>
    <row r="2878" customFormat="false" ht="15" hidden="false" customHeight="false" outlineLevel="0" collapsed="false">
      <c r="A2878" s="55"/>
      <c r="B2878" s="56"/>
      <c r="C2878" s="56"/>
      <c r="D2878" s="56"/>
      <c r="E2878" s="56"/>
      <c r="F2878" s="56"/>
      <c r="G2878" s="58"/>
      <c r="H2878" s="56"/>
      <c r="I2878" s="61" t="str">
        <f aca="false">IF(IsPro,IF(OR($C2878="",N($G2878)=0),"",IF(OR($C2878="Receipt",$C2878="Other Income",$C2878="Capital In",$C2878="Transfer In"),$G2878,0)),"")</f>
        <v/>
      </c>
      <c r="J2878" s="61" t="str">
        <f aca="false">IF(IsPro,IF(OR($C2878="",N($G2878)=0),"",IF(I2878=0,$G2878,0)),"")</f>
        <v/>
      </c>
      <c r="K2878" s="60" t="str">
        <f aca="false">IF(IsPro,IF($C2878="","",IF(AND(OR($C2878="Receipt",$C2878="Payment"),$D2878=""),"Party needed",IF(AND(OR($C2878="Expense",$C2878="Other Income"),$E2878=""),"Head needed",IF($F2878="","Account needed","OK")))),IF($C2878="","","PRO PLAN"))</f>
        <v/>
      </c>
    </row>
    <row r="2879" customFormat="false" ht="15" hidden="false" customHeight="false" outlineLevel="0" collapsed="false">
      <c r="A2879" s="55"/>
      <c r="B2879" s="56"/>
      <c r="C2879" s="56"/>
      <c r="D2879" s="56"/>
      <c r="E2879" s="56"/>
      <c r="F2879" s="56"/>
      <c r="G2879" s="58"/>
      <c r="H2879" s="56"/>
      <c r="I2879" s="61" t="str">
        <f aca="false">IF(IsPro,IF(OR($C2879="",N($G2879)=0),"",IF(OR($C2879="Receipt",$C2879="Other Income",$C2879="Capital In",$C2879="Transfer In"),$G2879,0)),"")</f>
        <v/>
      </c>
      <c r="J2879" s="61" t="str">
        <f aca="false">IF(IsPro,IF(OR($C2879="",N($G2879)=0),"",IF(I2879=0,$G2879,0)),"")</f>
        <v/>
      </c>
      <c r="K2879" s="60" t="str">
        <f aca="false">IF(IsPro,IF($C2879="","",IF(AND(OR($C2879="Receipt",$C2879="Payment"),$D2879=""),"Party needed",IF(AND(OR($C2879="Expense",$C2879="Other Income"),$E2879=""),"Head needed",IF($F2879="","Account needed","OK")))),IF($C2879="","","PRO PLAN"))</f>
        <v/>
      </c>
    </row>
    <row r="2880" customFormat="false" ht="15" hidden="false" customHeight="false" outlineLevel="0" collapsed="false">
      <c r="A2880" s="55"/>
      <c r="B2880" s="56"/>
      <c r="C2880" s="56"/>
      <c r="D2880" s="56"/>
      <c r="E2880" s="56"/>
      <c r="F2880" s="56"/>
      <c r="G2880" s="58"/>
      <c r="H2880" s="56"/>
      <c r="I2880" s="61" t="str">
        <f aca="false">IF(IsPro,IF(OR($C2880="",N($G2880)=0),"",IF(OR($C2880="Receipt",$C2880="Other Income",$C2880="Capital In",$C2880="Transfer In"),$G2880,0)),"")</f>
        <v/>
      </c>
      <c r="J2880" s="61" t="str">
        <f aca="false">IF(IsPro,IF(OR($C2880="",N($G2880)=0),"",IF(I2880=0,$G2880,0)),"")</f>
        <v/>
      </c>
      <c r="K2880" s="60" t="str">
        <f aca="false">IF(IsPro,IF($C2880="","",IF(AND(OR($C2880="Receipt",$C2880="Payment"),$D2880=""),"Party needed",IF(AND(OR($C2880="Expense",$C2880="Other Income"),$E2880=""),"Head needed",IF($F2880="","Account needed","OK")))),IF($C2880="","","PRO PLAN"))</f>
        <v/>
      </c>
    </row>
    <row r="2881" customFormat="false" ht="15" hidden="false" customHeight="false" outlineLevel="0" collapsed="false">
      <c r="A2881" s="55"/>
      <c r="B2881" s="56"/>
      <c r="C2881" s="56"/>
      <c r="D2881" s="56"/>
      <c r="E2881" s="56"/>
      <c r="F2881" s="56"/>
      <c r="G2881" s="58"/>
      <c r="H2881" s="56"/>
      <c r="I2881" s="61" t="str">
        <f aca="false">IF(IsPro,IF(OR($C2881="",N($G2881)=0),"",IF(OR($C2881="Receipt",$C2881="Other Income",$C2881="Capital In",$C2881="Transfer In"),$G2881,0)),"")</f>
        <v/>
      </c>
      <c r="J2881" s="61" t="str">
        <f aca="false">IF(IsPro,IF(OR($C2881="",N($G2881)=0),"",IF(I2881=0,$G2881,0)),"")</f>
        <v/>
      </c>
      <c r="K2881" s="60" t="str">
        <f aca="false">IF(IsPro,IF($C2881="","",IF(AND(OR($C2881="Receipt",$C2881="Payment"),$D2881=""),"Party needed",IF(AND(OR($C2881="Expense",$C2881="Other Income"),$E2881=""),"Head needed",IF($F2881="","Account needed","OK")))),IF($C2881="","","PRO PLAN"))</f>
        <v/>
      </c>
    </row>
    <row r="2882" customFormat="false" ht="15" hidden="false" customHeight="false" outlineLevel="0" collapsed="false">
      <c r="A2882" s="55"/>
      <c r="B2882" s="56"/>
      <c r="C2882" s="56"/>
      <c r="D2882" s="56"/>
      <c r="E2882" s="56"/>
      <c r="F2882" s="56"/>
      <c r="G2882" s="58"/>
      <c r="H2882" s="56"/>
      <c r="I2882" s="61" t="str">
        <f aca="false">IF(IsPro,IF(OR($C2882="",N($G2882)=0),"",IF(OR($C2882="Receipt",$C2882="Other Income",$C2882="Capital In",$C2882="Transfer In"),$G2882,0)),"")</f>
        <v/>
      </c>
      <c r="J2882" s="61" t="str">
        <f aca="false">IF(IsPro,IF(OR($C2882="",N($G2882)=0),"",IF(I2882=0,$G2882,0)),"")</f>
        <v/>
      </c>
      <c r="K2882" s="60" t="str">
        <f aca="false">IF(IsPro,IF($C2882="","",IF(AND(OR($C2882="Receipt",$C2882="Payment"),$D2882=""),"Party needed",IF(AND(OR($C2882="Expense",$C2882="Other Income"),$E2882=""),"Head needed",IF($F2882="","Account needed","OK")))),IF($C2882="","","PRO PLAN"))</f>
        <v/>
      </c>
    </row>
    <row r="2883" customFormat="false" ht="15" hidden="false" customHeight="false" outlineLevel="0" collapsed="false">
      <c r="A2883" s="55"/>
      <c r="B2883" s="56"/>
      <c r="C2883" s="56"/>
      <c r="D2883" s="56"/>
      <c r="E2883" s="56"/>
      <c r="F2883" s="56"/>
      <c r="G2883" s="58"/>
      <c r="H2883" s="56"/>
      <c r="I2883" s="61" t="str">
        <f aca="false">IF(IsPro,IF(OR($C2883="",N($G2883)=0),"",IF(OR($C2883="Receipt",$C2883="Other Income",$C2883="Capital In",$C2883="Transfer In"),$G2883,0)),"")</f>
        <v/>
      </c>
      <c r="J2883" s="61" t="str">
        <f aca="false">IF(IsPro,IF(OR($C2883="",N($G2883)=0),"",IF(I2883=0,$G2883,0)),"")</f>
        <v/>
      </c>
      <c r="K2883" s="60" t="str">
        <f aca="false">IF(IsPro,IF($C2883="","",IF(AND(OR($C2883="Receipt",$C2883="Payment"),$D2883=""),"Party needed",IF(AND(OR($C2883="Expense",$C2883="Other Income"),$E2883=""),"Head needed",IF($F2883="","Account needed","OK")))),IF($C2883="","","PRO PLAN"))</f>
        <v/>
      </c>
    </row>
    <row r="2884" customFormat="false" ht="15" hidden="false" customHeight="false" outlineLevel="0" collapsed="false">
      <c r="A2884" s="55"/>
      <c r="B2884" s="56"/>
      <c r="C2884" s="56"/>
      <c r="D2884" s="56"/>
      <c r="E2884" s="56"/>
      <c r="F2884" s="56"/>
      <c r="G2884" s="58"/>
      <c r="H2884" s="56"/>
      <c r="I2884" s="61" t="str">
        <f aca="false">IF(IsPro,IF(OR($C2884="",N($G2884)=0),"",IF(OR($C2884="Receipt",$C2884="Other Income",$C2884="Capital In",$C2884="Transfer In"),$G2884,0)),"")</f>
        <v/>
      </c>
      <c r="J2884" s="61" t="str">
        <f aca="false">IF(IsPro,IF(OR($C2884="",N($G2884)=0),"",IF(I2884=0,$G2884,0)),"")</f>
        <v/>
      </c>
      <c r="K2884" s="60" t="str">
        <f aca="false">IF(IsPro,IF($C2884="","",IF(AND(OR($C2884="Receipt",$C2884="Payment"),$D2884=""),"Party needed",IF(AND(OR($C2884="Expense",$C2884="Other Income"),$E2884=""),"Head needed",IF($F2884="","Account needed","OK")))),IF($C2884="","","PRO PLAN"))</f>
        <v/>
      </c>
    </row>
    <row r="2885" customFormat="false" ht="15" hidden="false" customHeight="false" outlineLevel="0" collapsed="false">
      <c r="A2885" s="55"/>
      <c r="B2885" s="56"/>
      <c r="C2885" s="56"/>
      <c r="D2885" s="56"/>
      <c r="E2885" s="56"/>
      <c r="F2885" s="56"/>
      <c r="G2885" s="58"/>
      <c r="H2885" s="56"/>
      <c r="I2885" s="61" t="str">
        <f aca="false">IF(IsPro,IF(OR($C2885="",N($G2885)=0),"",IF(OR($C2885="Receipt",$C2885="Other Income",$C2885="Capital In",$C2885="Transfer In"),$G2885,0)),"")</f>
        <v/>
      </c>
      <c r="J2885" s="61" t="str">
        <f aca="false">IF(IsPro,IF(OR($C2885="",N($G2885)=0),"",IF(I2885=0,$G2885,0)),"")</f>
        <v/>
      </c>
      <c r="K2885" s="60" t="str">
        <f aca="false">IF(IsPro,IF($C2885="","",IF(AND(OR($C2885="Receipt",$C2885="Payment"),$D2885=""),"Party needed",IF(AND(OR($C2885="Expense",$C2885="Other Income"),$E2885=""),"Head needed",IF($F2885="","Account needed","OK")))),IF($C2885="","","PRO PLAN"))</f>
        <v/>
      </c>
    </row>
    <row r="2886" customFormat="false" ht="15" hidden="false" customHeight="false" outlineLevel="0" collapsed="false">
      <c r="A2886" s="55"/>
      <c r="B2886" s="56"/>
      <c r="C2886" s="56"/>
      <c r="D2886" s="56"/>
      <c r="E2886" s="56"/>
      <c r="F2886" s="56"/>
      <c r="G2886" s="58"/>
      <c r="H2886" s="56"/>
      <c r="I2886" s="61" t="str">
        <f aca="false">IF(IsPro,IF(OR($C2886="",N($G2886)=0),"",IF(OR($C2886="Receipt",$C2886="Other Income",$C2886="Capital In",$C2886="Transfer In"),$G2886,0)),"")</f>
        <v/>
      </c>
      <c r="J2886" s="61" t="str">
        <f aca="false">IF(IsPro,IF(OR($C2886="",N($G2886)=0),"",IF(I2886=0,$G2886,0)),"")</f>
        <v/>
      </c>
      <c r="K2886" s="60" t="str">
        <f aca="false">IF(IsPro,IF($C2886="","",IF(AND(OR($C2886="Receipt",$C2886="Payment"),$D2886=""),"Party needed",IF(AND(OR($C2886="Expense",$C2886="Other Income"),$E2886=""),"Head needed",IF($F2886="","Account needed","OK")))),IF($C2886="","","PRO PLAN"))</f>
        <v/>
      </c>
    </row>
    <row r="2887" customFormat="false" ht="15" hidden="false" customHeight="false" outlineLevel="0" collapsed="false">
      <c r="A2887" s="55"/>
      <c r="B2887" s="56"/>
      <c r="C2887" s="56"/>
      <c r="D2887" s="56"/>
      <c r="E2887" s="56"/>
      <c r="F2887" s="56"/>
      <c r="G2887" s="58"/>
      <c r="H2887" s="56"/>
      <c r="I2887" s="61" t="str">
        <f aca="false">IF(IsPro,IF(OR($C2887="",N($G2887)=0),"",IF(OR($C2887="Receipt",$C2887="Other Income",$C2887="Capital In",$C2887="Transfer In"),$G2887,0)),"")</f>
        <v/>
      </c>
      <c r="J2887" s="61" t="str">
        <f aca="false">IF(IsPro,IF(OR($C2887="",N($G2887)=0),"",IF(I2887=0,$G2887,0)),"")</f>
        <v/>
      </c>
      <c r="K2887" s="60" t="str">
        <f aca="false">IF(IsPro,IF($C2887="","",IF(AND(OR($C2887="Receipt",$C2887="Payment"),$D2887=""),"Party needed",IF(AND(OR($C2887="Expense",$C2887="Other Income"),$E2887=""),"Head needed",IF($F2887="","Account needed","OK")))),IF($C2887="","","PRO PLAN"))</f>
        <v/>
      </c>
    </row>
    <row r="2888" customFormat="false" ht="15" hidden="false" customHeight="false" outlineLevel="0" collapsed="false">
      <c r="A2888" s="55"/>
      <c r="B2888" s="56"/>
      <c r="C2888" s="56"/>
      <c r="D2888" s="56"/>
      <c r="E2888" s="56"/>
      <c r="F2888" s="56"/>
      <c r="G2888" s="58"/>
      <c r="H2888" s="56"/>
      <c r="I2888" s="61" t="str">
        <f aca="false">IF(IsPro,IF(OR($C2888="",N($G2888)=0),"",IF(OR($C2888="Receipt",$C2888="Other Income",$C2888="Capital In",$C2888="Transfer In"),$G2888,0)),"")</f>
        <v/>
      </c>
      <c r="J2888" s="61" t="str">
        <f aca="false">IF(IsPro,IF(OR($C2888="",N($G2888)=0),"",IF(I2888=0,$G2888,0)),"")</f>
        <v/>
      </c>
      <c r="K2888" s="60" t="str">
        <f aca="false">IF(IsPro,IF($C2888="","",IF(AND(OR($C2888="Receipt",$C2888="Payment"),$D2888=""),"Party needed",IF(AND(OR($C2888="Expense",$C2888="Other Income"),$E2888=""),"Head needed",IF($F2888="","Account needed","OK")))),IF($C2888="","","PRO PLAN"))</f>
        <v/>
      </c>
    </row>
    <row r="2889" customFormat="false" ht="15" hidden="false" customHeight="false" outlineLevel="0" collapsed="false">
      <c r="A2889" s="55"/>
      <c r="B2889" s="56"/>
      <c r="C2889" s="56"/>
      <c r="D2889" s="56"/>
      <c r="E2889" s="56"/>
      <c r="F2889" s="56"/>
      <c r="G2889" s="58"/>
      <c r="H2889" s="56"/>
      <c r="I2889" s="61" t="str">
        <f aca="false">IF(IsPro,IF(OR($C2889="",N($G2889)=0),"",IF(OR($C2889="Receipt",$C2889="Other Income",$C2889="Capital In",$C2889="Transfer In"),$G2889,0)),"")</f>
        <v/>
      </c>
      <c r="J2889" s="61" t="str">
        <f aca="false">IF(IsPro,IF(OR($C2889="",N($G2889)=0),"",IF(I2889=0,$G2889,0)),"")</f>
        <v/>
      </c>
      <c r="K2889" s="60" t="str">
        <f aca="false">IF(IsPro,IF($C2889="","",IF(AND(OR($C2889="Receipt",$C2889="Payment"),$D2889=""),"Party needed",IF(AND(OR($C2889="Expense",$C2889="Other Income"),$E2889=""),"Head needed",IF($F2889="","Account needed","OK")))),IF($C2889="","","PRO PLAN"))</f>
        <v/>
      </c>
    </row>
    <row r="2890" customFormat="false" ht="15" hidden="false" customHeight="false" outlineLevel="0" collapsed="false">
      <c r="A2890" s="55"/>
      <c r="B2890" s="56"/>
      <c r="C2890" s="56"/>
      <c r="D2890" s="56"/>
      <c r="E2890" s="56"/>
      <c r="F2890" s="56"/>
      <c r="G2890" s="58"/>
      <c r="H2890" s="56"/>
      <c r="I2890" s="61" t="str">
        <f aca="false">IF(IsPro,IF(OR($C2890="",N($G2890)=0),"",IF(OR($C2890="Receipt",$C2890="Other Income",$C2890="Capital In",$C2890="Transfer In"),$G2890,0)),"")</f>
        <v/>
      </c>
      <c r="J2890" s="61" t="str">
        <f aca="false">IF(IsPro,IF(OR($C2890="",N($G2890)=0),"",IF(I2890=0,$G2890,0)),"")</f>
        <v/>
      </c>
      <c r="K2890" s="60" t="str">
        <f aca="false">IF(IsPro,IF($C2890="","",IF(AND(OR($C2890="Receipt",$C2890="Payment"),$D2890=""),"Party needed",IF(AND(OR($C2890="Expense",$C2890="Other Income"),$E2890=""),"Head needed",IF($F2890="","Account needed","OK")))),IF($C2890="","","PRO PLAN"))</f>
        <v/>
      </c>
    </row>
    <row r="2891" customFormat="false" ht="15" hidden="false" customHeight="false" outlineLevel="0" collapsed="false">
      <c r="A2891" s="55"/>
      <c r="B2891" s="56"/>
      <c r="C2891" s="56"/>
      <c r="D2891" s="56"/>
      <c r="E2891" s="56"/>
      <c r="F2891" s="56"/>
      <c r="G2891" s="58"/>
      <c r="H2891" s="56"/>
      <c r="I2891" s="61" t="str">
        <f aca="false">IF(IsPro,IF(OR($C2891="",N($G2891)=0),"",IF(OR($C2891="Receipt",$C2891="Other Income",$C2891="Capital In",$C2891="Transfer In"),$G2891,0)),"")</f>
        <v/>
      </c>
      <c r="J2891" s="61" t="str">
        <f aca="false">IF(IsPro,IF(OR($C2891="",N($G2891)=0),"",IF(I2891=0,$G2891,0)),"")</f>
        <v/>
      </c>
      <c r="K2891" s="60" t="str">
        <f aca="false">IF(IsPro,IF($C2891="","",IF(AND(OR($C2891="Receipt",$C2891="Payment"),$D2891=""),"Party needed",IF(AND(OR($C2891="Expense",$C2891="Other Income"),$E2891=""),"Head needed",IF($F2891="","Account needed","OK")))),IF($C2891="","","PRO PLAN"))</f>
        <v/>
      </c>
    </row>
    <row r="2892" customFormat="false" ht="15" hidden="false" customHeight="false" outlineLevel="0" collapsed="false">
      <c r="A2892" s="55"/>
      <c r="B2892" s="56"/>
      <c r="C2892" s="56"/>
      <c r="D2892" s="56"/>
      <c r="E2892" s="56"/>
      <c r="F2892" s="56"/>
      <c r="G2892" s="58"/>
      <c r="H2892" s="56"/>
      <c r="I2892" s="61" t="str">
        <f aca="false">IF(IsPro,IF(OR($C2892="",N($G2892)=0),"",IF(OR($C2892="Receipt",$C2892="Other Income",$C2892="Capital In",$C2892="Transfer In"),$G2892,0)),"")</f>
        <v/>
      </c>
      <c r="J2892" s="61" t="str">
        <f aca="false">IF(IsPro,IF(OR($C2892="",N($G2892)=0),"",IF(I2892=0,$G2892,0)),"")</f>
        <v/>
      </c>
      <c r="K2892" s="60" t="str">
        <f aca="false">IF(IsPro,IF($C2892="","",IF(AND(OR($C2892="Receipt",$C2892="Payment"),$D2892=""),"Party needed",IF(AND(OR($C2892="Expense",$C2892="Other Income"),$E2892=""),"Head needed",IF($F2892="","Account needed","OK")))),IF($C2892="","","PRO PLAN"))</f>
        <v/>
      </c>
    </row>
    <row r="2893" customFormat="false" ht="15" hidden="false" customHeight="false" outlineLevel="0" collapsed="false">
      <c r="A2893" s="55"/>
      <c r="B2893" s="56"/>
      <c r="C2893" s="56"/>
      <c r="D2893" s="56"/>
      <c r="E2893" s="56"/>
      <c r="F2893" s="56"/>
      <c r="G2893" s="58"/>
      <c r="H2893" s="56"/>
      <c r="I2893" s="61" t="str">
        <f aca="false">IF(IsPro,IF(OR($C2893="",N($G2893)=0),"",IF(OR($C2893="Receipt",$C2893="Other Income",$C2893="Capital In",$C2893="Transfer In"),$G2893,0)),"")</f>
        <v/>
      </c>
      <c r="J2893" s="61" t="str">
        <f aca="false">IF(IsPro,IF(OR($C2893="",N($G2893)=0),"",IF(I2893=0,$G2893,0)),"")</f>
        <v/>
      </c>
      <c r="K2893" s="60" t="str">
        <f aca="false">IF(IsPro,IF($C2893="","",IF(AND(OR($C2893="Receipt",$C2893="Payment"),$D2893=""),"Party needed",IF(AND(OR($C2893="Expense",$C2893="Other Income"),$E2893=""),"Head needed",IF($F2893="","Account needed","OK")))),IF($C2893="","","PRO PLAN"))</f>
        <v/>
      </c>
    </row>
    <row r="2894" customFormat="false" ht="15" hidden="false" customHeight="false" outlineLevel="0" collapsed="false">
      <c r="A2894" s="55"/>
      <c r="B2894" s="56"/>
      <c r="C2894" s="56"/>
      <c r="D2894" s="56"/>
      <c r="E2894" s="56"/>
      <c r="F2894" s="56"/>
      <c r="G2894" s="58"/>
      <c r="H2894" s="56"/>
      <c r="I2894" s="61" t="str">
        <f aca="false">IF(IsPro,IF(OR($C2894="",N($G2894)=0),"",IF(OR($C2894="Receipt",$C2894="Other Income",$C2894="Capital In",$C2894="Transfer In"),$G2894,0)),"")</f>
        <v/>
      </c>
      <c r="J2894" s="61" t="str">
        <f aca="false">IF(IsPro,IF(OR($C2894="",N($G2894)=0),"",IF(I2894=0,$G2894,0)),"")</f>
        <v/>
      </c>
      <c r="K2894" s="60" t="str">
        <f aca="false">IF(IsPro,IF($C2894="","",IF(AND(OR($C2894="Receipt",$C2894="Payment"),$D2894=""),"Party needed",IF(AND(OR($C2894="Expense",$C2894="Other Income"),$E2894=""),"Head needed",IF($F2894="","Account needed","OK")))),IF($C2894="","","PRO PLAN"))</f>
        <v/>
      </c>
    </row>
    <row r="2895" customFormat="false" ht="15" hidden="false" customHeight="false" outlineLevel="0" collapsed="false">
      <c r="A2895" s="55"/>
      <c r="B2895" s="56"/>
      <c r="C2895" s="56"/>
      <c r="D2895" s="56"/>
      <c r="E2895" s="56"/>
      <c r="F2895" s="56"/>
      <c r="G2895" s="58"/>
      <c r="H2895" s="56"/>
      <c r="I2895" s="61" t="str">
        <f aca="false">IF(IsPro,IF(OR($C2895="",N($G2895)=0),"",IF(OR($C2895="Receipt",$C2895="Other Income",$C2895="Capital In",$C2895="Transfer In"),$G2895,0)),"")</f>
        <v/>
      </c>
      <c r="J2895" s="61" t="str">
        <f aca="false">IF(IsPro,IF(OR($C2895="",N($G2895)=0),"",IF(I2895=0,$G2895,0)),"")</f>
        <v/>
      </c>
      <c r="K2895" s="60" t="str">
        <f aca="false">IF(IsPro,IF($C2895="","",IF(AND(OR($C2895="Receipt",$C2895="Payment"),$D2895=""),"Party needed",IF(AND(OR($C2895="Expense",$C2895="Other Income"),$E2895=""),"Head needed",IF($F2895="","Account needed","OK")))),IF($C2895="","","PRO PLAN"))</f>
        <v/>
      </c>
    </row>
    <row r="2896" customFormat="false" ht="15" hidden="false" customHeight="false" outlineLevel="0" collapsed="false">
      <c r="A2896" s="55"/>
      <c r="B2896" s="56"/>
      <c r="C2896" s="56"/>
      <c r="D2896" s="56"/>
      <c r="E2896" s="56"/>
      <c r="F2896" s="56"/>
      <c r="G2896" s="58"/>
      <c r="H2896" s="56"/>
      <c r="I2896" s="61" t="str">
        <f aca="false">IF(IsPro,IF(OR($C2896="",N($G2896)=0),"",IF(OR($C2896="Receipt",$C2896="Other Income",$C2896="Capital In",$C2896="Transfer In"),$G2896,0)),"")</f>
        <v/>
      </c>
      <c r="J2896" s="61" t="str">
        <f aca="false">IF(IsPro,IF(OR($C2896="",N($G2896)=0),"",IF(I2896=0,$G2896,0)),"")</f>
        <v/>
      </c>
      <c r="K2896" s="60" t="str">
        <f aca="false">IF(IsPro,IF($C2896="","",IF(AND(OR($C2896="Receipt",$C2896="Payment"),$D2896=""),"Party needed",IF(AND(OR($C2896="Expense",$C2896="Other Income"),$E2896=""),"Head needed",IF($F2896="","Account needed","OK")))),IF($C2896="","","PRO PLAN"))</f>
        <v/>
      </c>
    </row>
    <row r="2897" customFormat="false" ht="15" hidden="false" customHeight="false" outlineLevel="0" collapsed="false">
      <c r="A2897" s="55"/>
      <c r="B2897" s="56"/>
      <c r="C2897" s="56"/>
      <c r="D2897" s="56"/>
      <c r="E2897" s="56"/>
      <c r="F2897" s="56"/>
      <c r="G2897" s="58"/>
      <c r="H2897" s="56"/>
      <c r="I2897" s="61" t="str">
        <f aca="false">IF(IsPro,IF(OR($C2897="",N($G2897)=0),"",IF(OR($C2897="Receipt",$C2897="Other Income",$C2897="Capital In",$C2897="Transfer In"),$G2897,0)),"")</f>
        <v/>
      </c>
      <c r="J2897" s="61" t="str">
        <f aca="false">IF(IsPro,IF(OR($C2897="",N($G2897)=0),"",IF(I2897=0,$G2897,0)),"")</f>
        <v/>
      </c>
      <c r="K2897" s="60" t="str">
        <f aca="false">IF(IsPro,IF($C2897="","",IF(AND(OR($C2897="Receipt",$C2897="Payment"),$D2897=""),"Party needed",IF(AND(OR($C2897="Expense",$C2897="Other Income"),$E2897=""),"Head needed",IF($F2897="","Account needed","OK")))),IF($C2897="","","PRO PLAN"))</f>
        <v/>
      </c>
    </row>
    <row r="2898" customFormat="false" ht="15" hidden="false" customHeight="false" outlineLevel="0" collapsed="false">
      <c r="A2898" s="55"/>
      <c r="B2898" s="56"/>
      <c r="C2898" s="56"/>
      <c r="D2898" s="56"/>
      <c r="E2898" s="56"/>
      <c r="F2898" s="56"/>
      <c r="G2898" s="58"/>
      <c r="H2898" s="56"/>
      <c r="I2898" s="61" t="str">
        <f aca="false">IF(IsPro,IF(OR($C2898="",N($G2898)=0),"",IF(OR($C2898="Receipt",$C2898="Other Income",$C2898="Capital In",$C2898="Transfer In"),$G2898,0)),"")</f>
        <v/>
      </c>
      <c r="J2898" s="61" t="str">
        <f aca="false">IF(IsPro,IF(OR($C2898="",N($G2898)=0),"",IF(I2898=0,$G2898,0)),"")</f>
        <v/>
      </c>
      <c r="K2898" s="60" t="str">
        <f aca="false">IF(IsPro,IF($C2898="","",IF(AND(OR($C2898="Receipt",$C2898="Payment"),$D2898=""),"Party needed",IF(AND(OR($C2898="Expense",$C2898="Other Income"),$E2898=""),"Head needed",IF($F2898="","Account needed","OK")))),IF($C2898="","","PRO PLAN"))</f>
        <v/>
      </c>
    </row>
    <row r="2899" customFormat="false" ht="15" hidden="false" customHeight="false" outlineLevel="0" collapsed="false">
      <c r="A2899" s="55"/>
      <c r="B2899" s="56"/>
      <c r="C2899" s="56"/>
      <c r="D2899" s="56"/>
      <c r="E2899" s="56"/>
      <c r="F2899" s="56"/>
      <c r="G2899" s="58"/>
      <c r="H2899" s="56"/>
      <c r="I2899" s="61" t="str">
        <f aca="false">IF(IsPro,IF(OR($C2899="",N($G2899)=0),"",IF(OR($C2899="Receipt",$C2899="Other Income",$C2899="Capital In",$C2899="Transfer In"),$G2899,0)),"")</f>
        <v/>
      </c>
      <c r="J2899" s="61" t="str">
        <f aca="false">IF(IsPro,IF(OR($C2899="",N($G2899)=0),"",IF(I2899=0,$G2899,0)),"")</f>
        <v/>
      </c>
      <c r="K2899" s="60" t="str">
        <f aca="false">IF(IsPro,IF($C2899="","",IF(AND(OR($C2899="Receipt",$C2899="Payment"),$D2899=""),"Party needed",IF(AND(OR($C2899="Expense",$C2899="Other Income"),$E2899=""),"Head needed",IF($F2899="","Account needed","OK")))),IF($C2899="","","PRO PLAN"))</f>
        <v/>
      </c>
    </row>
    <row r="2900" customFormat="false" ht="15" hidden="false" customHeight="false" outlineLevel="0" collapsed="false">
      <c r="A2900" s="55"/>
      <c r="B2900" s="56"/>
      <c r="C2900" s="56"/>
      <c r="D2900" s="56"/>
      <c r="E2900" s="56"/>
      <c r="F2900" s="56"/>
      <c r="G2900" s="58"/>
      <c r="H2900" s="56"/>
      <c r="I2900" s="61" t="str">
        <f aca="false">IF(IsPro,IF(OR($C2900="",N($G2900)=0),"",IF(OR($C2900="Receipt",$C2900="Other Income",$C2900="Capital In",$C2900="Transfer In"),$G2900,0)),"")</f>
        <v/>
      </c>
      <c r="J2900" s="61" t="str">
        <f aca="false">IF(IsPro,IF(OR($C2900="",N($G2900)=0),"",IF(I2900=0,$G2900,0)),"")</f>
        <v/>
      </c>
      <c r="K2900" s="60" t="str">
        <f aca="false">IF(IsPro,IF($C2900="","",IF(AND(OR($C2900="Receipt",$C2900="Payment"),$D2900=""),"Party needed",IF(AND(OR($C2900="Expense",$C2900="Other Income"),$E2900=""),"Head needed",IF($F2900="","Account needed","OK")))),IF($C2900="","","PRO PLAN"))</f>
        <v/>
      </c>
    </row>
    <row r="2901" customFormat="false" ht="15" hidden="false" customHeight="false" outlineLevel="0" collapsed="false">
      <c r="A2901" s="55"/>
      <c r="B2901" s="56"/>
      <c r="C2901" s="56"/>
      <c r="D2901" s="56"/>
      <c r="E2901" s="56"/>
      <c r="F2901" s="56"/>
      <c r="G2901" s="58"/>
      <c r="H2901" s="56"/>
      <c r="I2901" s="61" t="str">
        <f aca="false">IF(IsPro,IF(OR($C2901="",N($G2901)=0),"",IF(OR($C2901="Receipt",$C2901="Other Income",$C2901="Capital In",$C2901="Transfer In"),$G2901,0)),"")</f>
        <v/>
      </c>
      <c r="J2901" s="61" t="str">
        <f aca="false">IF(IsPro,IF(OR($C2901="",N($G2901)=0),"",IF(I2901=0,$G2901,0)),"")</f>
        <v/>
      </c>
      <c r="K2901" s="60" t="str">
        <f aca="false">IF(IsPro,IF($C2901="","",IF(AND(OR($C2901="Receipt",$C2901="Payment"),$D2901=""),"Party needed",IF(AND(OR($C2901="Expense",$C2901="Other Income"),$E2901=""),"Head needed",IF($F2901="","Account needed","OK")))),IF($C2901="","","PRO PLAN"))</f>
        <v/>
      </c>
    </row>
    <row r="2902" customFormat="false" ht="15" hidden="false" customHeight="false" outlineLevel="0" collapsed="false">
      <c r="A2902" s="55"/>
      <c r="B2902" s="56"/>
      <c r="C2902" s="56"/>
      <c r="D2902" s="56"/>
      <c r="E2902" s="56"/>
      <c r="F2902" s="56"/>
      <c r="G2902" s="58"/>
      <c r="H2902" s="56"/>
      <c r="I2902" s="61" t="str">
        <f aca="false">IF(IsPro,IF(OR($C2902="",N($G2902)=0),"",IF(OR($C2902="Receipt",$C2902="Other Income",$C2902="Capital In",$C2902="Transfer In"),$G2902,0)),"")</f>
        <v/>
      </c>
      <c r="J2902" s="61" t="str">
        <f aca="false">IF(IsPro,IF(OR($C2902="",N($G2902)=0),"",IF(I2902=0,$G2902,0)),"")</f>
        <v/>
      </c>
      <c r="K2902" s="60" t="str">
        <f aca="false">IF(IsPro,IF($C2902="","",IF(AND(OR($C2902="Receipt",$C2902="Payment"),$D2902=""),"Party needed",IF(AND(OR($C2902="Expense",$C2902="Other Income"),$E2902=""),"Head needed",IF($F2902="","Account needed","OK")))),IF($C2902="","","PRO PLAN"))</f>
        <v/>
      </c>
    </row>
    <row r="2903" customFormat="false" ht="15" hidden="false" customHeight="false" outlineLevel="0" collapsed="false">
      <c r="A2903" s="55"/>
      <c r="B2903" s="56"/>
      <c r="C2903" s="56"/>
      <c r="D2903" s="56"/>
      <c r="E2903" s="56"/>
      <c r="F2903" s="56"/>
      <c r="G2903" s="58"/>
      <c r="H2903" s="56"/>
      <c r="I2903" s="61" t="str">
        <f aca="false">IF(IsPro,IF(OR($C2903="",N($G2903)=0),"",IF(OR($C2903="Receipt",$C2903="Other Income",$C2903="Capital In",$C2903="Transfer In"),$G2903,0)),"")</f>
        <v/>
      </c>
      <c r="J2903" s="61" t="str">
        <f aca="false">IF(IsPro,IF(OR($C2903="",N($G2903)=0),"",IF(I2903=0,$G2903,0)),"")</f>
        <v/>
      </c>
      <c r="K2903" s="60" t="str">
        <f aca="false">IF(IsPro,IF($C2903="","",IF(AND(OR($C2903="Receipt",$C2903="Payment"),$D2903=""),"Party needed",IF(AND(OR($C2903="Expense",$C2903="Other Income"),$E2903=""),"Head needed",IF($F2903="","Account needed","OK")))),IF($C2903="","","PRO PLAN"))</f>
        <v/>
      </c>
    </row>
    <row r="2904" customFormat="false" ht="15" hidden="false" customHeight="false" outlineLevel="0" collapsed="false">
      <c r="A2904" s="55"/>
      <c r="B2904" s="56"/>
      <c r="C2904" s="56"/>
      <c r="D2904" s="56"/>
      <c r="E2904" s="56"/>
      <c r="F2904" s="56"/>
      <c r="G2904" s="58"/>
      <c r="H2904" s="56"/>
      <c r="I2904" s="61" t="str">
        <f aca="false">IF(IsPro,IF(OR($C2904="",N($G2904)=0),"",IF(OR($C2904="Receipt",$C2904="Other Income",$C2904="Capital In",$C2904="Transfer In"),$G2904,0)),"")</f>
        <v/>
      </c>
      <c r="J2904" s="61" t="str">
        <f aca="false">IF(IsPro,IF(OR($C2904="",N($G2904)=0),"",IF(I2904=0,$G2904,0)),"")</f>
        <v/>
      </c>
      <c r="K2904" s="60" t="str">
        <f aca="false">IF(IsPro,IF($C2904="","",IF(AND(OR($C2904="Receipt",$C2904="Payment"),$D2904=""),"Party needed",IF(AND(OR($C2904="Expense",$C2904="Other Income"),$E2904=""),"Head needed",IF($F2904="","Account needed","OK")))),IF($C2904="","","PRO PLAN"))</f>
        <v/>
      </c>
    </row>
    <row r="2905" customFormat="false" ht="15" hidden="false" customHeight="false" outlineLevel="0" collapsed="false">
      <c r="A2905" s="55"/>
      <c r="B2905" s="56"/>
      <c r="C2905" s="56"/>
      <c r="D2905" s="56"/>
      <c r="E2905" s="56"/>
      <c r="F2905" s="56"/>
      <c r="G2905" s="58"/>
      <c r="H2905" s="56"/>
      <c r="I2905" s="61" t="str">
        <f aca="false">IF(IsPro,IF(OR($C2905="",N($G2905)=0),"",IF(OR($C2905="Receipt",$C2905="Other Income",$C2905="Capital In",$C2905="Transfer In"),$G2905,0)),"")</f>
        <v/>
      </c>
      <c r="J2905" s="61" t="str">
        <f aca="false">IF(IsPro,IF(OR($C2905="",N($G2905)=0),"",IF(I2905=0,$G2905,0)),"")</f>
        <v/>
      </c>
      <c r="K2905" s="60" t="str">
        <f aca="false">IF(IsPro,IF($C2905="","",IF(AND(OR($C2905="Receipt",$C2905="Payment"),$D2905=""),"Party needed",IF(AND(OR($C2905="Expense",$C2905="Other Income"),$E2905=""),"Head needed",IF($F2905="","Account needed","OK")))),IF($C2905="","","PRO PLAN"))</f>
        <v/>
      </c>
    </row>
    <row r="2906" customFormat="false" ht="15" hidden="false" customHeight="false" outlineLevel="0" collapsed="false">
      <c r="A2906" s="55"/>
      <c r="B2906" s="56"/>
      <c r="C2906" s="56"/>
      <c r="D2906" s="56"/>
      <c r="E2906" s="56"/>
      <c r="F2906" s="56"/>
      <c r="G2906" s="58"/>
      <c r="H2906" s="56"/>
      <c r="I2906" s="61" t="str">
        <f aca="false">IF(IsPro,IF(OR($C2906="",N($G2906)=0),"",IF(OR($C2906="Receipt",$C2906="Other Income",$C2906="Capital In",$C2906="Transfer In"),$G2906,0)),"")</f>
        <v/>
      </c>
      <c r="J2906" s="61" t="str">
        <f aca="false">IF(IsPro,IF(OR($C2906="",N($G2906)=0),"",IF(I2906=0,$G2906,0)),"")</f>
        <v/>
      </c>
      <c r="K2906" s="60" t="str">
        <f aca="false">IF(IsPro,IF($C2906="","",IF(AND(OR($C2906="Receipt",$C2906="Payment"),$D2906=""),"Party needed",IF(AND(OR($C2906="Expense",$C2906="Other Income"),$E2906=""),"Head needed",IF($F2906="","Account needed","OK")))),IF($C2906="","","PRO PLAN"))</f>
        <v/>
      </c>
    </row>
    <row r="2907" customFormat="false" ht="15" hidden="false" customHeight="false" outlineLevel="0" collapsed="false">
      <c r="A2907" s="55"/>
      <c r="B2907" s="56"/>
      <c r="C2907" s="56"/>
      <c r="D2907" s="56"/>
      <c r="E2907" s="56"/>
      <c r="F2907" s="56"/>
      <c r="G2907" s="58"/>
      <c r="H2907" s="56"/>
      <c r="I2907" s="61" t="str">
        <f aca="false">IF(IsPro,IF(OR($C2907="",N($G2907)=0),"",IF(OR($C2907="Receipt",$C2907="Other Income",$C2907="Capital In",$C2907="Transfer In"),$G2907,0)),"")</f>
        <v/>
      </c>
      <c r="J2907" s="61" t="str">
        <f aca="false">IF(IsPro,IF(OR($C2907="",N($G2907)=0),"",IF(I2907=0,$G2907,0)),"")</f>
        <v/>
      </c>
      <c r="K2907" s="60" t="str">
        <f aca="false">IF(IsPro,IF($C2907="","",IF(AND(OR($C2907="Receipt",$C2907="Payment"),$D2907=""),"Party needed",IF(AND(OR($C2907="Expense",$C2907="Other Income"),$E2907=""),"Head needed",IF($F2907="","Account needed","OK")))),IF($C2907="","","PRO PLAN"))</f>
        <v/>
      </c>
    </row>
    <row r="2908" customFormat="false" ht="15" hidden="false" customHeight="false" outlineLevel="0" collapsed="false">
      <c r="A2908" s="55"/>
      <c r="B2908" s="56"/>
      <c r="C2908" s="56"/>
      <c r="D2908" s="56"/>
      <c r="E2908" s="56"/>
      <c r="F2908" s="56"/>
      <c r="G2908" s="58"/>
      <c r="H2908" s="56"/>
      <c r="I2908" s="61" t="str">
        <f aca="false">IF(IsPro,IF(OR($C2908="",N($G2908)=0),"",IF(OR($C2908="Receipt",$C2908="Other Income",$C2908="Capital In",$C2908="Transfer In"),$G2908,0)),"")</f>
        <v/>
      </c>
      <c r="J2908" s="61" t="str">
        <f aca="false">IF(IsPro,IF(OR($C2908="",N($G2908)=0),"",IF(I2908=0,$G2908,0)),"")</f>
        <v/>
      </c>
      <c r="K2908" s="60" t="str">
        <f aca="false">IF(IsPro,IF($C2908="","",IF(AND(OR($C2908="Receipt",$C2908="Payment"),$D2908=""),"Party needed",IF(AND(OR($C2908="Expense",$C2908="Other Income"),$E2908=""),"Head needed",IF($F2908="","Account needed","OK")))),IF($C2908="","","PRO PLAN"))</f>
        <v/>
      </c>
    </row>
    <row r="2909" customFormat="false" ht="15" hidden="false" customHeight="false" outlineLevel="0" collapsed="false">
      <c r="A2909" s="55"/>
      <c r="B2909" s="56"/>
      <c r="C2909" s="56"/>
      <c r="D2909" s="56"/>
      <c r="E2909" s="56"/>
      <c r="F2909" s="56"/>
      <c r="G2909" s="58"/>
      <c r="H2909" s="56"/>
      <c r="I2909" s="61" t="str">
        <f aca="false">IF(IsPro,IF(OR($C2909="",N($G2909)=0),"",IF(OR($C2909="Receipt",$C2909="Other Income",$C2909="Capital In",$C2909="Transfer In"),$G2909,0)),"")</f>
        <v/>
      </c>
      <c r="J2909" s="61" t="str">
        <f aca="false">IF(IsPro,IF(OR($C2909="",N($G2909)=0),"",IF(I2909=0,$G2909,0)),"")</f>
        <v/>
      </c>
      <c r="K2909" s="60" t="str">
        <f aca="false">IF(IsPro,IF($C2909="","",IF(AND(OR($C2909="Receipt",$C2909="Payment"),$D2909=""),"Party needed",IF(AND(OR($C2909="Expense",$C2909="Other Income"),$E2909=""),"Head needed",IF($F2909="","Account needed","OK")))),IF($C2909="","","PRO PLAN"))</f>
        <v/>
      </c>
    </row>
    <row r="2910" customFormat="false" ht="15" hidden="false" customHeight="false" outlineLevel="0" collapsed="false">
      <c r="A2910" s="55"/>
      <c r="B2910" s="56"/>
      <c r="C2910" s="56"/>
      <c r="D2910" s="56"/>
      <c r="E2910" s="56"/>
      <c r="F2910" s="56"/>
      <c r="G2910" s="58"/>
      <c r="H2910" s="56"/>
      <c r="I2910" s="61" t="str">
        <f aca="false">IF(IsPro,IF(OR($C2910="",N($G2910)=0),"",IF(OR($C2910="Receipt",$C2910="Other Income",$C2910="Capital In",$C2910="Transfer In"),$G2910,0)),"")</f>
        <v/>
      </c>
      <c r="J2910" s="61" t="str">
        <f aca="false">IF(IsPro,IF(OR($C2910="",N($G2910)=0),"",IF(I2910=0,$G2910,0)),"")</f>
        <v/>
      </c>
      <c r="K2910" s="60" t="str">
        <f aca="false">IF(IsPro,IF($C2910="","",IF(AND(OR($C2910="Receipt",$C2910="Payment"),$D2910=""),"Party needed",IF(AND(OR($C2910="Expense",$C2910="Other Income"),$E2910=""),"Head needed",IF($F2910="","Account needed","OK")))),IF($C2910="","","PRO PLAN"))</f>
        <v/>
      </c>
    </row>
    <row r="2911" customFormat="false" ht="15" hidden="false" customHeight="false" outlineLevel="0" collapsed="false">
      <c r="A2911" s="55"/>
      <c r="B2911" s="56"/>
      <c r="C2911" s="56"/>
      <c r="D2911" s="56"/>
      <c r="E2911" s="56"/>
      <c r="F2911" s="56"/>
      <c r="G2911" s="58"/>
      <c r="H2911" s="56"/>
      <c r="I2911" s="61" t="str">
        <f aca="false">IF(IsPro,IF(OR($C2911="",N($G2911)=0),"",IF(OR($C2911="Receipt",$C2911="Other Income",$C2911="Capital In",$C2911="Transfer In"),$G2911,0)),"")</f>
        <v/>
      </c>
      <c r="J2911" s="61" t="str">
        <f aca="false">IF(IsPro,IF(OR($C2911="",N($G2911)=0),"",IF(I2911=0,$G2911,0)),"")</f>
        <v/>
      </c>
      <c r="K2911" s="60" t="str">
        <f aca="false">IF(IsPro,IF($C2911="","",IF(AND(OR($C2911="Receipt",$C2911="Payment"),$D2911=""),"Party needed",IF(AND(OR($C2911="Expense",$C2911="Other Income"),$E2911=""),"Head needed",IF($F2911="","Account needed","OK")))),IF($C2911="","","PRO PLAN"))</f>
        <v/>
      </c>
    </row>
    <row r="2912" customFormat="false" ht="15" hidden="false" customHeight="false" outlineLevel="0" collapsed="false">
      <c r="A2912" s="55"/>
      <c r="B2912" s="56"/>
      <c r="C2912" s="56"/>
      <c r="D2912" s="56"/>
      <c r="E2912" s="56"/>
      <c r="F2912" s="56"/>
      <c r="G2912" s="58"/>
      <c r="H2912" s="56"/>
      <c r="I2912" s="61" t="str">
        <f aca="false">IF(IsPro,IF(OR($C2912="",N($G2912)=0),"",IF(OR($C2912="Receipt",$C2912="Other Income",$C2912="Capital In",$C2912="Transfer In"),$G2912,0)),"")</f>
        <v/>
      </c>
      <c r="J2912" s="61" t="str">
        <f aca="false">IF(IsPro,IF(OR($C2912="",N($G2912)=0),"",IF(I2912=0,$G2912,0)),"")</f>
        <v/>
      </c>
      <c r="K2912" s="60" t="str">
        <f aca="false">IF(IsPro,IF($C2912="","",IF(AND(OR($C2912="Receipt",$C2912="Payment"),$D2912=""),"Party needed",IF(AND(OR($C2912="Expense",$C2912="Other Income"),$E2912=""),"Head needed",IF($F2912="","Account needed","OK")))),IF($C2912="","","PRO PLAN"))</f>
        <v/>
      </c>
    </row>
    <row r="2913" customFormat="false" ht="15" hidden="false" customHeight="false" outlineLevel="0" collapsed="false">
      <c r="A2913" s="55"/>
      <c r="B2913" s="56"/>
      <c r="C2913" s="56"/>
      <c r="D2913" s="56"/>
      <c r="E2913" s="56"/>
      <c r="F2913" s="56"/>
      <c r="G2913" s="58"/>
      <c r="H2913" s="56"/>
      <c r="I2913" s="61" t="str">
        <f aca="false">IF(IsPro,IF(OR($C2913="",N($G2913)=0),"",IF(OR($C2913="Receipt",$C2913="Other Income",$C2913="Capital In",$C2913="Transfer In"),$G2913,0)),"")</f>
        <v/>
      </c>
      <c r="J2913" s="61" t="str">
        <f aca="false">IF(IsPro,IF(OR($C2913="",N($G2913)=0),"",IF(I2913=0,$G2913,0)),"")</f>
        <v/>
      </c>
      <c r="K2913" s="60" t="str">
        <f aca="false">IF(IsPro,IF($C2913="","",IF(AND(OR($C2913="Receipt",$C2913="Payment"),$D2913=""),"Party needed",IF(AND(OR($C2913="Expense",$C2913="Other Income"),$E2913=""),"Head needed",IF($F2913="","Account needed","OK")))),IF($C2913="","","PRO PLAN"))</f>
        <v/>
      </c>
    </row>
    <row r="2914" customFormat="false" ht="15" hidden="false" customHeight="false" outlineLevel="0" collapsed="false">
      <c r="A2914" s="55"/>
      <c r="B2914" s="56"/>
      <c r="C2914" s="56"/>
      <c r="D2914" s="56"/>
      <c r="E2914" s="56"/>
      <c r="F2914" s="56"/>
      <c r="G2914" s="58"/>
      <c r="H2914" s="56"/>
      <c r="I2914" s="61" t="str">
        <f aca="false">IF(IsPro,IF(OR($C2914="",N($G2914)=0),"",IF(OR($C2914="Receipt",$C2914="Other Income",$C2914="Capital In",$C2914="Transfer In"),$G2914,0)),"")</f>
        <v/>
      </c>
      <c r="J2914" s="61" t="str">
        <f aca="false">IF(IsPro,IF(OR($C2914="",N($G2914)=0),"",IF(I2914=0,$G2914,0)),"")</f>
        <v/>
      </c>
      <c r="K2914" s="60" t="str">
        <f aca="false">IF(IsPro,IF($C2914="","",IF(AND(OR($C2914="Receipt",$C2914="Payment"),$D2914=""),"Party needed",IF(AND(OR($C2914="Expense",$C2914="Other Income"),$E2914=""),"Head needed",IF($F2914="","Account needed","OK")))),IF($C2914="","","PRO PLAN"))</f>
        <v/>
      </c>
    </row>
    <row r="2915" customFormat="false" ht="15" hidden="false" customHeight="false" outlineLevel="0" collapsed="false">
      <c r="A2915" s="55"/>
      <c r="B2915" s="56"/>
      <c r="C2915" s="56"/>
      <c r="D2915" s="56"/>
      <c r="E2915" s="56"/>
      <c r="F2915" s="56"/>
      <c r="G2915" s="58"/>
      <c r="H2915" s="56"/>
      <c r="I2915" s="61" t="str">
        <f aca="false">IF(IsPro,IF(OR($C2915="",N($G2915)=0),"",IF(OR($C2915="Receipt",$C2915="Other Income",$C2915="Capital In",$C2915="Transfer In"),$G2915,0)),"")</f>
        <v/>
      </c>
      <c r="J2915" s="61" t="str">
        <f aca="false">IF(IsPro,IF(OR($C2915="",N($G2915)=0),"",IF(I2915=0,$G2915,0)),"")</f>
        <v/>
      </c>
      <c r="K2915" s="60" t="str">
        <f aca="false">IF(IsPro,IF($C2915="","",IF(AND(OR($C2915="Receipt",$C2915="Payment"),$D2915=""),"Party needed",IF(AND(OR($C2915="Expense",$C2915="Other Income"),$E2915=""),"Head needed",IF($F2915="","Account needed","OK")))),IF($C2915="","","PRO PLAN"))</f>
        <v/>
      </c>
    </row>
    <row r="2916" customFormat="false" ht="15" hidden="false" customHeight="false" outlineLevel="0" collapsed="false">
      <c r="A2916" s="55"/>
      <c r="B2916" s="56"/>
      <c r="C2916" s="56"/>
      <c r="D2916" s="56"/>
      <c r="E2916" s="56"/>
      <c r="F2916" s="56"/>
      <c r="G2916" s="58"/>
      <c r="H2916" s="56"/>
      <c r="I2916" s="61" t="str">
        <f aca="false">IF(IsPro,IF(OR($C2916="",N($G2916)=0),"",IF(OR($C2916="Receipt",$C2916="Other Income",$C2916="Capital In",$C2916="Transfer In"),$G2916,0)),"")</f>
        <v/>
      </c>
      <c r="J2916" s="61" t="str">
        <f aca="false">IF(IsPro,IF(OR($C2916="",N($G2916)=0),"",IF(I2916=0,$G2916,0)),"")</f>
        <v/>
      </c>
      <c r="K2916" s="60" t="str">
        <f aca="false">IF(IsPro,IF($C2916="","",IF(AND(OR($C2916="Receipt",$C2916="Payment"),$D2916=""),"Party needed",IF(AND(OR($C2916="Expense",$C2916="Other Income"),$E2916=""),"Head needed",IF($F2916="","Account needed","OK")))),IF($C2916="","","PRO PLAN"))</f>
        <v/>
      </c>
    </row>
    <row r="2917" customFormat="false" ht="15" hidden="false" customHeight="false" outlineLevel="0" collapsed="false">
      <c r="A2917" s="55"/>
      <c r="B2917" s="56"/>
      <c r="C2917" s="56"/>
      <c r="D2917" s="56"/>
      <c r="E2917" s="56"/>
      <c r="F2917" s="56"/>
      <c r="G2917" s="58"/>
      <c r="H2917" s="56"/>
      <c r="I2917" s="61" t="str">
        <f aca="false">IF(IsPro,IF(OR($C2917="",N($G2917)=0),"",IF(OR($C2917="Receipt",$C2917="Other Income",$C2917="Capital In",$C2917="Transfer In"),$G2917,0)),"")</f>
        <v/>
      </c>
      <c r="J2917" s="61" t="str">
        <f aca="false">IF(IsPro,IF(OR($C2917="",N($G2917)=0),"",IF(I2917=0,$G2917,0)),"")</f>
        <v/>
      </c>
      <c r="K2917" s="60" t="str">
        <f aca="false">IF(IsPro,IF($C2917="","",IF(AND(OR($C2917="Receipt",$C2917="Payment"),$D2917=""),"Party needed",IF(AND(OR($C2917="Expense",$C2917="Other Income"),$E2917=""),"Head needed",IF($F2917="","Account needed","OK")))),IF($C2917="","","PRO PLAN"))</f>
        <v/>
      </c>
    </row>
    <row r="2918" customFormat="false" ht="15" hidden="false" customHeight="false" outlineLevel="0" collapsed="false">
      <c r="A2918" s="55"/>
      <c r="B2918" s="56"/>
      <c r="C2918" s="56"/>
      <c r="D2918" s="56"/>
      <c r="E2918" s="56"/>
      <c r="F2918" s="56"/>
      <c r="G2918" s="58"/>
      <c r="H2918" s="56"/>
      <c r="I2918" s="61" t="str">
        <f aca="false">IF(IsPro,IF(OR($C2918="",N($G2918)=0),"",IF(OR($C2918="Receipt",$C2918="Other Income",$C2918="Capital In",$C2918="Transfer In"),$G2918,0)),"")</f>
        <v/>
      </c>
      <c r="J2918" s="61" t="str">
        <f aca="false">IF(IsPro,IF(OR($C2918="",N($G2918)=0),"",IF(I2918=0,$G2918,0)),"")</f>
        <v/>
      </c>
      <c r="K2918" s="60" t="str">
        <f aca="false">IF(IsPro,IF($C2918="","",IF(AND(OR($C2918="Receipt",$C2918="Payment"),$D2918=""),"Party needed",IF(AND(OR($C2918="Expense",$C2918="Other Income"),$E2918=""),"Head needed",IF($F2918="","Account needed","OK")))),IF($C2918="","","PRO PLAN"))</f>
        <v/>
      </c>
    </row>
    <row r="2919" customFormat="false" ht="15" hidden="false" customHeight="false" outlineLevel="0" collapsed="false">
      <c r="A2919" s="55"/>
      <c r="B2919" s="56"/>
      <c r="C2919" s="56"/>
      <c r="D2919" s="56"/>
      <c r="E2919" s="56"/>
      <c r="F2919" s="56"/>
      <c r="G2919" s="58"/>
      <c r="H2919" s="56"/>
      <c r="I2919" s="61" t="str">
        <f aca="false">IF(IsPro,IF(OR($C2919="",N($G2919)=0),"",IF(OR($C2919="Receipt",$C2919="Other Income",$C2919="Capital In",$C2919="Transfer In"),$G2919,0)),"")</f>
        <v/>
      </c>
      <c r="J2919" s="61" t="str">
        <f aca="false">IF(IsPro,IF(OR($C2919="",N($G2919)=0),"",IF(I2919=0,$G2919,0)),"")</f>
        <v/>
      </c>
      <c r="K2919" s="60" t="str">
        <f aca="false">IF(IsPro,IF($C2919="","",IF(AND(OR($C2919="Receipt",$C2919="Payment"),$D2919=""),"Party needed",IF(AND(OR($C2919="Expense",$C2919="Other Income"),$E2919=""),"Head needed",IF($F2919="","Account needed","OK")))),IF($C2919="","","PRO PLAN"))</f>
        <v/>
      </c>
    </row>
    <row r="2920" customFormat="false" ht="15" hidden="false" customHeight="false" outlineLevel="0" collapsed="false">
      <c r="A2920" s="55"/>
      <c r="B2920" s="56"/>
      <c r="C2920" s="56"/>
      <c r="D2920" s="56"/>
      <c r="E2920" s="56"/>
      <c r="F2920" s="56"/>
      <c r="G2920" s="58"/>
      <c r="H2920" s="56"/>
      <c r="I2920" s="61" t="str">
        <f aca="false">IF(IsPro,IF(OR($C2920="",N($G2920)=0),"",IF(OR($C2920="Receipt",$C2920="Other Income",$C2920="Capital In",$C2920="Transfer In"),$G2920,0)),"")</f>
        <v/>
      </c>
      <c r="J2920" s="61" t="str">
        <f aca="false">IF(IsPro,IF(OR($C2920="",N($G2920)=0),"",IF(I2920=0,$G2920,0)),"")</f>
        <v/>
      </c>
      <c r="K2920" s="60" t="str">
        <f aca="false">IF(IsPro,IF($C2920="","",IF(AND(OR($C2920="Receipt",$C2920="Payment"),$D2920=""),"Party needed",IF(AND(OR($C2920="Expense",$C2920="Other Income"),$E2920=""),"Head needed",IF($F2920="","Account needed","OK")))),IF($C2920="","","PRO PLAN"))</f>
        <v/>
      </c>
    </row>
    <row r="2921" customFormat="false" ht="15" hidden="false" customHeight="false" outlineLevel="0" collapsed="false">
      <c r="A2921" s="55"/>
      <c r="B2921" s="56"/>
      <c r="C2921" s="56"/>
      <c r="D2921" s="56"/>
      <c r="E2921" s="56"/>
      <c r="F2921" s="56"/>
      <c r="G2921" s="58"/>
      <c r="H2921" s="56"/>
      <c r="I2921" s="61" t="str">
        <f aca="false">IF(IsPro,IF(OR($C2921="",N($G2921)=0),"",IF(OR($C2921="Receipt",$C2921="Other Income",$C2921="Capital In",$C2921="Transfer In"),$G2921,0)),"")</f>
        <v/>
      </c>
      <c r="J2921" s="61" t="str">
        <f aca="false">IF(IsPro,IF(OR($C2921="",N($G2921)=0),"",IF(I2921=0,$G2921,0)),"")</f>
        <v/>
      </c>
      <c r="K2921" s="60" t="str">
        <f aca="false">IF(IsPro,IF($C2921="","",IF(AND(OR($C2921="Receipt",$C2921="Payment"),$D2921=""),"Party needed",IF(AND(OR($C2921="Expense",$C2921="Other Income"),$E2921=""),"Head needed",IF($F2921="","Account needed","OK")))),IF($C2921="","","PRO PLAN"))</f>
        <v/>
      </c>
    </row>
    <row r="2922" customFormat="false" ht="15" hidden="false" customHeight="false" outlineLevel="0" collapsed="false">
      <c r="A2922" s="55"/>
      <c r="B2922" s="56"/>
      <c r="C2922" s="56"/>
      <c r="D2922" s="56"/>
      <c r="E2922" s="56"/>
      <c r="F2922" s="56"/>
      <c r="G2922" s="58"/>
      <c r="H2922" s="56"/>
      <c r="I2922" s="61" t="str">
        <f aca="false">IF(IsPro,IF(OR($C2922="",N($G2922)=0),"",IF(OR($C2922="Receipt",$C2922="Other Income",$C2922="Capital In",$C2922="Transfer In"),$G2922,0)),"")</f>
        <v/>
      </c>
      <c r="J2922" s="61" t="str">
        <f aca="false">IF(IsPro,IF(OR($C2922="",N($G2922)=0),"",IF(I2922=0,$G2922,0)),"")</f>
        <v/>
      </c>
      <c r="K2922" s="60" t="str">
        <f aca="false">IF(IsPro,IF($C2922="","",IF(AND(OR($C2922="Receipt",$C2922="Payment"),$D2922=""),"Party needed",IF(AND(OR($C2922="Expense",$C2922="Other Income"),$E2922=""),"Head needed",IF($F2922="","Account needed","OK")))),IF($C2922="","","PRO PLAN"))</f>
        <v/>
      </c>
    </row>
    <row r="2923" customFormat="false" ht="15" hidden="false" customHeight="false" outlineLevel="0" collapsed="false">
      <c r="A2923" s="55"/>
      <c r="B2923" s="56"/>
      <c r="C2923" s="56"/>
      <c r="D2923" s="56"/>
      <c r="E2923" s="56"/>
      <c r="F2923" s="56"/>
      <c r="G2923" s="58"/>
      <c r="H2923" s="56"/>
      <c r="I2923" s="61" t="str">
        <f aca="false">IF(IsPro,IF(OR($C2923="",N($G2923)=0),"",IF(OR($C2923="Receipt",$C2923="Other Income",$C2923="Capital In",$C2923="Transfer In"),$G2923,0)),"")</f>
        <v/>
      </c>
      <c r="J2923" s="61" t="str">
        <f aca="false">IF(IsPro,IF(OR($C2923="",N($G2923)=0),"",IF(I2923=0,$G2923,0)),"")</f>
        <v/>
      </c>
      <c r="K2923" s="60" t="str">
        <f aca="false">IF(IsPro,IF($C2923="","",IF(AND(OR($C2923="Receipt",$C2923="Payment"),$D2923=""),"Party needed",IF(AND(OR($C2923="Expense",$C2923="Other Income"),$E2923=""),"Head needed",IF($F2923="","Account needed","OK")))),IF($C2923="","","PRO PLAN"))</f>
        <v/>
      </c>
    </row>
    <row r="2924" customFormat="false" ht="15" hidden="false" customHeight="false" outlineLevel="0" collapsed="false">
      <c r="A2924" s="55"/>
      <c r="B2924" s="56"/>
      <c r="C2924" s="56"/>
      <c r="D2924" s="56"/>
      <c r="E2924" s="56"/>
      <c r="F2924" s="56"/>
      <c r="G2924" s="58"/>
      <c r="H2924" s="56"/>
      <c r="I2924" s="61" t="str">
        <f aca="false">IF(IsPro,IF(OR($C2924="",N($G2924)=0),"",IF(OR($C2924="Receipt",$C2924="Other Income",$C2924="Capital In",$C2924="Transfer In"),$G2924,0)),"")</f>
        <v/>
      </c>
      <c r="J2924" s="61" t="str">
        <f aca="false">IF(IsPro,IF(OR($C2924="",N($G2924)=0),"",IF(I2924=0,$G2924,0)),"")</f>
        <v/>
      </c>
      <c r="K2924" s="60" t="str">
        <f aca="false">IF(IsPro,IF($C2924="","",IF(AND(OR($C2924="Receipt",$C2924="Payment"),$D2924=""),"Party needed",IF(AND(OR($C2924="Expense",$C2924="Other Income"),$E2924=""),"Head needed",IF($F2924="","Account needed","OK")))),IF($C2924="","","PRO PLAN"))</f>
        <v/>
      </c>
    </row>
    <row r="2925" customFormat="false" ht="15" hidden="false" customHeight="false" outlineLevel="0" collapsed="false">
      <c r="A2925" s="55"/>
      <c r="B2925" s="56"/>
      <c r="C2925" s="56"/>
      <c r="D2925" s="56"/>
      <c r="E2925" s="56"/>
      <c r="F2925" s="56"/>
      <c r="G2925" s="58"/>
      <c r="H2925" s="56"/>
      <c r="I2925" s="61" t="str">
        <f aca="false">IF(IsPro,IF(OR($C2925="",N($G2925)=0),"",IF(OR($C2925="Receipt",$C2925="Other Income",$C2925="Capital In",$C2925="Transfer In"),$G2925,0)),"")</f>
        <v/>
      </c>
      <c r="J2925" s="61" t="str">
        <f aca="false">IF(IsPro,IF(OR($C2925="",N($G2925)=0),"",IF(I2925=0,$G2925,0)),"")</f>
        <v/>
      </c>
      <c r="K2925" s="60" t="str">
        <f aca="false">IF(IsPro,IF($C2925="","",IF(AND(OR($C2925="Receipt",$C2925="Payment"),$D2925=""),"Party needed",IF(AND(OR($C2925="Expense",$C2925="Other Income"),$E2925=""),"Head needed",IF($F2925="","Account needed","OK")))),IF($C2925="","","PRO PLAN"))</f>
        <v/>
      </c>
    </row>
    <row r="2926" customFormat="false" ht="15" hidden="false" customHeight="false" outlineLevel="0" collapsed="false">
      <c r="A2926" s="55"/>
      <c r="B2926" s="56"/>
      <c r="C2926" s="56"/>
      <c r="D2926" s="56"/>
      <c r="E2926" s="56"/>
      <c r="F2926" s="56"/>
      <c r="G2926" s="58"/>
      <c r="H2926" s="56"/>
      <c r="I2926" s="61" t="str">
        <f aca="false">IF(IsPro,IF(OR($C2926="",N($G2926)=0),"",IF(OR($C2926="Receipt",$C2926="Other Income",$C2926="Capital In",$C2926="Transfer In"),$G2926,0)),"")</f>
        <v/>
      </c>
      <c r="J2926" s="61" t="str">
        <f aca="false">IF(IsPro,IF(OR($C2926="",N($G2926)=0),"",IF(I2926=0,$G2926,0)),"")</f>
        <v/>
      </c>
      <c r="K2926" s="60" t="str">
        <f aca="false">IF(IsPro,IF($C2926="","",IF(AND(OR($C2926="Receipt",$C2926="Payment"),$D2926=""),"Party needed",IF(AND(OR($C2926="Expense",$C2926="Other Income"),$E2926=""),"Head needed",IF($F2926="","Account needed","OK")))),IF($C2926="","","PRO PLAN"))</f>
        <v/>
      </c>
    </row>
    <row r="2927" customFormat="false" ht="15" hidden="false" customHeight="false" outlineLevel="0" collapsed="false">
      <c r="A2927" s="55"/>
      <c r="B2927" s="56"/>
      <c r="C2927" s="56"/>
      <c r="D2927" s="56"/>
      <c r="E2927" s="56"/>
      <c r="F2927" s="56"/>
      <c r="G2927" s="58"/>
      <c r="H2927" s="56"/>
      <c r="I2927" s="61" t="str">
        <f aca="false">IF(IsPro,IF(OR($C2927="",N($G2927)=0),"",IF(OR($C2927="Receipt",$C2927="Other Income",$C2927="Capital In",$C2927="Transfer In"),$G2927,0)),"")</f>
        <v/>
      </c>
      <c r="J2927" s="61" t="str">
        <f aca="false">IF(IsPro,IF(OR($C2927="",N($G2927)=0),"",IF(I2927=0,$G2927,0)),"")</f>
        <v/>
      </c>
      <c r="K2927" s="60" t="str">
        <f aca="false">IF(IsPro,IF($C2927="","",IF(AND(OR($C2927="Receipt",$C2927="Payment"),$D2927=""),"Party needed",IF(AND(OR($C2927="Expense",$C2927="Other Income"),$E2927=""),"Head needed",IF($F2927="","Account needed","OK")))),IF($C2927="","","PRO PLAN"))</f>
        <v/>
      </c>
    </row>
    <row r="2928" customFormat="false" ht="15" hidden="false" customHeight="false" outlineLevel="0" collapsed="false">
      <c r="A2928" s="55"/>
      <c r="B2928" s="56"/>
      <c r="C2928" s="56"/>
      <c r="D2928" s="56"/>
      <c r="E2928" s="56"/>
      <c r="F2928" s="56"/>
      <c r="G2928" s="58"/>
      <c r="H2928" s="56"/>
      <c r="I2928" s="61" t="str">
        <f aca="false">IF(IsPro,IF(OR($C2928="",N($G2928)=0),"",IF(OR($C2928="Receipt",$C2928="Other Income",$C2928="Capital In",$C2928="Transfer In"),$G2928,0)),"")</f>
        <v/>
      </c>
      <c r="J2928" s="61" t="str">
        <f aca="false">IF(IsPro,IF(OR($C2928="",N($G2928)=0),"",IF(I2928=0,$G2928,0)),"")</f>
        <v/>
      </c>
      <c r="K2928" s="60" t="str">
        <f aca="false">IF(IsPro,IF($C2928="","",IF(AND(OR($C2928="Receipt",$C2928="Payment"),$D2928=""),"Party needed",IF(AND(OR($C2928="Expense",$C2928="Other Income"),$E2928=""),"Head needed",IF($F2928="","Account needed","OK")))),IF($C2928="","","PRO PLAN"))</f>
        <v/>
      </c>
    </row>
    <row r="2929" customFormat="false" ht="15" hidden="false" customHeight="false" outlineLevel="0" collapsed="false">
      <c r="A2929" s="55"/>
      <c r="B2929" s="56"/>
      <c r="C2929" s="56"/>
      <c r="D2929" s="56"/>
      <c r="E2929" s="56"/>
      <c r="F2929" s="56"/>
      <c r="G2929" s="58"/>
      <c r="H2929" s="56"/>
      <c r="I2929" s="61" t="str">
        <f aca="false">IF(IsPro,IF(OR($C2929="",N($G2929)=0),"",IF(OR($C2929="Receipt",$C2929="Other Income",$C2929="Capital In",$C2929="Transfer In"),$G2929,0)),"")</f>
        <v/>
      </c>
      <c r="J2929" s="61" t="str">
        <f aca="false">IF(IsPro,IF(OR($C2929="",N($G2929)=0),"",IF(I2929=0,$G2929,0)),"")</f>
        <v/>
      </c>
      <c r="K2929" s="60" t="str">
        <f aca="false">IF(IsPro,IF($C2929="","",IF(AND(OR($C2929="Receipt",$C2929="Payment"),$D2929=""),"Party needed",IF(AND(OR($C2929="Expense",$C2929="Other Income"),$E2929=""),"Head needed",IF($F2929="","Account needed","OK")))),IF($C2929="","","PRO PLAN"))</f>
        <v/>
      </c>
    </row>
    <row r="2930" customFormat="false" ht="15" hidden="false" customHeight="false" outlineLevel="0" collapsed="false">
      <c r="A2930" s="55"/>
      <c r="B2930" s="56"/>
      <c r="C2930" s="56"/>
      <c r="D2930" s="56"/>
      <c r="E2930" s="56"/>
      <c r="F2930" s="56"/>
      <c r="G2930" s="58"/>
      <c r="H2930" s="56"/>
      <c r="I2930" s="61" t="str">
        <f aca="false">IF(IsPro,IF(OR($C2930="",N($G2930)=0),"",IF(OR($C2930="Receipt",$C2930="Other Income",$C2930="Capital In",$C2930="Transfer In"),$G2930,0)),"")</f>
        <v/>
      </c>
      <c r="J2930" s="61" t="str">
        <f aca="false">IF(IsPro,IF(OR($C2930="",N($G2930)=0),"",IF(I2930=0,$G2930,0)),"")</f>
        <v/>
      </c>
      <c r="K2930" s="60" t="str">
        <f aca="false">IF(IsPro,IF($C2930="","",IF(AND(OR($C2930="Receipt",$C2930="Payment"),$D2930=""),"Party needed",IF(AND(OR($C2930="Expense",$C2930="Other Income"),$E2930=""),"Head needed",IF($F2930="","Account needed","OK")))),IF($C2930="","","PRO PLAN"))</f>
        <v/>
      </c>
    </row>
    <row r="2931" customFormat="false" ht="15" hidden="false" customHeight="false" outlineLevel="0" collapsed="false">
      <c r="A2931" s="55"/>
      <c r="B2931" s="56"/>
      <c r="C2931" s="56"/>
      <c r="D2931" s="56"/>
      <c r="E2931" s="56"/>
      <c r="F2931" s="56"/>
      <c r="G2931" s="58"/>
      <c r="H2931" s="56"/>
      <c r="I2931" s="61" t="str">
        <f aca="false">IF(IsPro,IF(OR($C2931="",N($G2931)=0),"",IF(OR($C2931="Receipt",$C2931="Other Income",$C2931="Capital In",$C2931="Transfer In"),$G2931,0)),"")</f>
        <v/>
      </c>
      <c r="J2931" s="61" t="str">
        <f aca="false">IF(IsPro,IF(OR($C2931="",N($G2931)=0),"",IF(I2931=0,$G2931,0)),"")</f>
        <v/>
      </c>
      <c r="K2931" s="60" t="str">
        <f aca="false">IF(IsPro,IF($C2931="","",IF(AND(OR($C2931="Receipt",$C2931="Payment"),$D2931=""),"Party needed",IF(AND(OR($C2931="Expense",$C2931="Other Income"),$E2931=""),"Head needed",IF($F2931="","Account needed","OK")))),IF($C2931="","","PRO PLAN"))</f>
        <v/>
      </c>
    </row>
    <row r="2932" customFormat="false" ht="15" hidden="false" customHeight="false" outlineLevel="0" collapsed="false">
      <c r="A2932" s="55"/>
      <c r="B2932" s="56"/>
      <c r="C2932" s="56"/>
      <c r="D2932" s="56"/>
      <c r="E2932" s="56"/>
      <c r="F2932" s="56"/>
      <c r="G2932" s="58"/>
      <c r="H2932" s="56"/>
      <c r="I2932" s="61" t="str">
        <f aca="false">IF(IsPro,IF(OR($C2932="",N($G2932)=0),"",IF(OR($C2932="Receipt",$C2932="Other Income",$C2932="Capital In",$C2932="Transfer In"),$G2932,0)),"")</f>
        <v/>
      </c>
      <c r="J2932" s="61" t="str">
        <f aca="false">IF(IsPro,IF(OR($C2932="",N($G2932)=0),"",IF(I2932=0,$G2932,0)),"")</f>
        <v/>
      </c>
      <c r="K2932" s="60" t="str">
        <f aca="false">IF(IsPro,IF($C2932="","",IF(AND(OR($C2932="Receipt",$C2932="Payment"),$D2932=""),"Party needed",IF(AND(OR($C2932="Expense",$C2932="Other Income"),$E2932=""),"Head needed",IF($F2932="","Account needed","OK")))),IF($C2932="","","PRO PLAN"))</f>
        <v/>
      </c>
    </row>
    <row r="2933" customFormat="false" ht="15" hidden="false" customHeight="false" outlineLevel="0" collapsed="false">
      <c r="A2933" s="55"/>
      <c r="B2933" s="56"/>
      <c r="C2933" s="56"/>
      <c r="D2933" s="56"/>
      <c r="E2933" s="56"/>
      <c r="F2933" s="56"/>
      <c r="G2933" s="58"/>
      <c r="H2933" s="56"/>
      <c r="I2933" s="61" t="str">
        <f aca="false">IF(IsPro,IF(OR($C2933="",N($G2933)=0),"",IF(OR($C2933="Receipt",$C2933="Other Income",$C2933="Capital In",$C2933="Transfer In"),$G2933,0)),"")</f>
        <v/>
      </c>
      <c r="J2933" s="61" t="str">
        <f aca="false">IF(IsPro,IF(OR($C2933="",N($G2933)=0),"",IF(I2933=0,$G2933,0)),"")</f>
        <v/>
      </c>
      <c r="K2933" s="60" t="str">
        <f aca="false">IF(IsPro,IF($C2933="","",IF(AND(OR($C2933="Receipt",$C2933="Payment"),$D2933=""),"Party needed",IF(AND(OR($C2933="Expense",$C2933="Other Income"),$E2933=""),"Head needed",IF($F2933="","Account needed","OK")))),IF($C2933="","","PRO PLAN"))</f>
        <v/>
      </c>
    </row>
    <row r="2934" customFormat="false" ht="15" hidden="false" customHeight="false" outlineLevel="0" collapsed="false">
      <c r="A2934" s="55"/>
      <c r="B2934" s="56"/>
      <c r="C2934" s="56"/>
      <c r="D2934" s="56"/>
      <c r="E2934" s="56"/>
      <c r="F2934" s="56"/>
      <c r="G2934" s="58"/>
      <c r="H2934" s="56"/>
      <c r="I2934" s="61" t="str">
        <f aca="false">IF(IsPro,IF(OR($C2934="",N($G2934)=0),"",IF(OR($C2934="Receipt",$C2934="Other Income",$C2934="Capital In",$C2934="Transfer In"),$G2934,0)),"")</f>
        <v/>
      </c>
      <c r="J2934" s="61" t="str">
        <f aca="false">IF(IsPro,IF(OR($C2934="",N($G2934)=0),"",IF(I2934=0,$G2934,0)),"")</f>
        <v/>
      </c>
      <c r="K2934" s="60" t="str">
        <f aca="false">IF(IsPro,IF($C2934="","",IF(AND(OR($C2934="Receipt",$C2934="Payment"),$D2934=""),"Party needed",IF(AND(OR($C2934="Expense",$C2934="Other Income"),$E2934=""),"Head needed",IF($F2934="","Account needed","OK")))),IF($C2934="","","PRO PLAN"))</f>
        <v/>
      </c>
    </row>
    <row r="2935" customFormat="false" ht="15" hidden="false" customHeight="false" outlineLevel="0" collapsed="false">
      <c r="A2935" s="55"/>
      <c r="B2935" s="56"/>
      <c r="C2935" s="56"/>
      <c r="D2935" s="56"/>
      <c r="E2935" s="56"/>
      <c r="F2935" s="56"/>
      <c r="G2935" s="58"/>
      <c r="H2935" s="56"/>
      <c r="I2935" s="61" t="str">
        <f aca="false">IF(IsPro,IF(OR($C2935="",N($G2935)=0),"",IF(OR($C2935="Receipt",$C2935="Other Income",$C2935="Capital In",$C2935="Transfer In"),$G2935,0)),"")</f>
        <v/>
      </c>
      <c r="J2935" s="61" t="str">
        <f aca="false">IF(IsPro,IF(OR($C2935="",N($G2935)=0),"",IF(I2935=0,$G2935,0)),"")</f>
        <v/>
      </c>
      <c r="K2935" s="60" t="str">
        <f aca="false">IF(IsPro,IF($C2935="","",IF(AND(OR($C2935="Receipt",$C2935="Payment"),$D2935=""),"Party needed",IF(AND(OR($C2935="Expense",$C2935="Other Income"),$E2935=""),"Head needed",IF($F2935="","Account needed","OK")))),IF($C2935="","","PRO PLAN"))</f>
        <v/>
      </c>
    </row>
    <row r="2936" customFormat="false" ht="15" hidden="false" customHeight="false" outlineLevel="0" collapsed="false">
      <c r="A2936" s="55"/>
      <c r="B2936" s="56"/>
      <c r="C2936" s="56"/>
      <c r="D2936" s="56"/>
      <c r="E2936" s="56"/>
      <c r="F2936" s="56"/>
      <c r="G2936" s="58"/>
      <c r="H2936" s="56"/>
      <c r="I2936" s="61" t="str">
        <f aca="false">IF(IsPro,IF(OR($C2936="",N($G2936)=0),"",IF(OR($C2936="Receipt",$C2936="Other Income",$C2936="Capital In",$C2936="Transfer In"),$G2936,0)),"")</f>
        <v/>
      </c>
      <c r="J2936" s="61" t="str">
        <f aca="false">IF(IsPro,IF(OR($C2936="",N($G2936)=0),"",IF(I2936=0,$G2936,0)),"")</f>
        <v/>
      </c>
      <c r="K2936" s="60" t="str">
        <f aca="false">IF(IsPro,IF($C2936="","",IF(AND(OR($C2936="Receipt",$C2936="Payment"),$D2936=""),"Party needed",IF(AND(OR($C2936="Expense",$C2936="Other Income"),$E2936=""),"Head needed",IF($F2936="","Account needed","OK")))),IF($C2936="","","PRO PLAN"))</f>
        <v/>
      </c>
    </row>
    <row r="2937" customFormat="false" ht="15" hidden="false" customHeight="false" outlineLevel="0" collapsed="false">
      <c r="A2937" s="55"/>
      <c r="B2937" s="56"/>
      <c r="C2937" s="56"/>
      <c r="D2937" s="56"/>
      <c r="E2937" s="56"/>
      <c r="F2937" s="56"/>
      <c r="G2937" s="58"/>
      <c r="H2937" s="56"/>
      <c r="I2937" s="61" t="str">
        <f aca="false">IF(IsPro,IF(OR($C2937="",N($G2937)=0),"",IF(OR($C2937="Receipt",$C2937="Other Income",$C2937="Capital In",$C2937="Transfer In"),$G2937,0)),"")</f>
        <v/>
      </c>
      <c r="J2937" s="61" t="str">
        <f aca="false">IF(IsPro,IF(OR($C2937="",N($G2937)=0),"",IF(I2937=0,$G2937,0)),"")</f>
        <v/>
      </c>
      <c r="K2937" s="60" t="str">
        <f aca="false">IF(IsPro,IF($C2937="","",IF(AND(OR($C2937="Receipt",$C2937="Payment"),$D2937=""),"Party needed",IF(AND(OR($C2937="Expense",$C2937="Other Income"),$E2937=""),"Head needed",IF($F2937="","Account needed","OK")))),IF($C2937="","","PRO PLAN"))</f>
        <v/>
      </c>
    </row>
    <row r="2938" customFormat="false" ht="15" hidden="false" customHeight="false" outlineLevel="0" collapsed="false">
      <c r="A2938" s="55"/>
      <c r="B2938" s="56"/>
      <c r="C2938" s="56"/>
      <c r="D2938" s="56"/>
      <c r="E2938" s="56"/>
      <c r="F2938" s="56"/>
      <c r="G2938" s="58"/>
      <c r="H2938" s="56"/>
      <c r="I2938" s="61" t="str">
        <f aca="false">IF(IsPro,IF(OR($C2938="",N($G2938)=0),"",IF(OR($C2938="Receipt",$C2938="Other Income",$C2938="Capital In",$C2938="Transfer In"),$G2938,0)),"")</f>
        <v/>
      </c>
      <c r="J2938" s="61" t="str">
        <f aca="false">IF(IsPro,IF(OR($C2938="",N($G2938)=0),"",IF(I2938=0,$G2938,0)),"")</f>
        <v/>
      </c>
      <c r="K2938" s="60" t="str">
        <f aca="false">IF(IsPro,IF($C2938="","",IF(AND(OR($C2938="Receipt",$C2938="Payment"),$D2938=""),"Party needed",IF(AND(OR($C2938="Expense",$C2938="Other Income"),$E2938=""),"Head needed",IF($F2938="","Account needed","OK")))),IF($C2938="","","PRO PLAN"))</f>
        <v/>
      </c>
    </row>
    <row r="2939" customFormat="false" ht="15" hidden="false" customHeight="false" outlineLevel="0" collapsed="false">
      <c r="A2939" s="55"/>
      <c r="B2939" s="56"/>
      <c r="C2939" s="56"/>
      <c r="D2939" s="56"/>
      <c r="E2939" s="56"/>
      <c r="F2939" s="56"/>
      <c r="G2939" s="58"/>
      <c r="H2939" s="56"/>
      <c r="I2939" s="61" t="str">
        <f aca="false">IF(IsPro,IF(OR($C2939="",N($G2939)=0),"",IF(OR($C2939="Receipt",$C2939="Other Income",$C2939="Capital In",$C2939="Transfer In"),$G2939,0)),"")</f>
        <v/>
      </c>
      <c r="J2939" s="61" t="str">
        <f aca="false">IF(IsPro,IF(OR($C2939="",N($G2939)=0),"",IF(I2939=0,$G2939,0)),"")</f>
        <v/>
      </c>
      <c r="K2939" s="60" t="str">
        <f aca="false">IF(IsPro,IF($C2939="","",IF(AND(OR($C2939="Receipt",$C2939="Payment"),$D2939=""),"Party needed",IF(AND(OR($C2939="Expense",$C2939="Other Income"),$E2939=""),"Head needed",IF($F2939="","Account needed","OK")))),IF($C2939="","","PRO PLAN"))</f>
        <v/>
      </c>
    </row>
    <row r="2940" customFormat="false" ht="15" hidden="false" customHeight="false" outlineLevel="0" collapsed="false">
      <c r="A2940" s="55"/>
      <c r="B2940" s="56"/>
      <c r="C2940" s="56"/>
      <c r="D2940" s="56"/>
      <c r="E2940" s="56"/>
      <c r="F2940" s="56"/>
      <c r="G2940" s="58"/>
      <c r="H2940" s="56"/>
      <c r="I2940" s="61" t="str">
        <f aca="false">IF(IsPro,IF(OR($C2940="",N($G2940)=0),"",IF(OR($C2940="Receipt",$C2940="Other Income",$C2940="Capital In",$C2940="Transfer In"),$G2940,0)),"")</f>
        <v/>
      </c>
      <c r="J2940" s="61" t="str">
        <f aca="false">IF(IsPro,IF(OR($C2940="",N($G2940)=0),"",IF(I2940=0,$G2940,0)),"")</f>
        <v/>
      </c>
      <c r="K2940" s="60" t="str">
        <f aca="false">IF(IsPro,IF($C2940="","",IF(AND(OR($C2940="Receipt",$C2940="Payment"),$D2940=""),"Party needed",IF(AND(OR($C2940="Expense",$C2940="Other Income"),$E2940=""),"Head needed",IF($F2940="","Account needed","OK")))),IF($C2940="","","PRO PLAN"))</f>
        <v/>
      </c>
    </row>
    <row r="2941" customFormat="false" ht="15" hidden="false" customHeight="false" outlineLevel="0" collapsed="false">
      <c r="A2941" s="55"/>
      <c r="B2941" s="56"/>
      <c r="C2941" s="56"/>
      <c r="D2941" s="56"/>
      <c r="E2941" s="56"/>
      <c r="F2941" s="56"/>
      <c r="G2941" s="58"/>
      <c r="H2941" s="56"/>
      <c r="I2941" s="61" t="str">
        <f aca="false">IF(IsPro,IF(OR($C2941="",N($G2941)=0),"",IF(OR($C2941="Receipt",$C2941="Other Income",$C2941="Capital In",$C2941="Transfer In"),$G2941,0)),"")</f>
        <v/>
      </c>
      <c r="J2941" s="61" t="str">
        <f aca="false">IF(IsPro,IF(OR($C2941="",N($G2941)=0),"",IF(I2941=0,$G2941,0)),"")</f>
        <v/>
      </c>
      <c r="K2941" s="60" t="str">
        <f aca="false">IF(IsPro,IF($C2941="","",IF(AND(OR($C2941="Receipt",$C2941="Payment"),$D2941=""),"Party needed",IF(AND(OR($C2941="Expense",$C2941="Other Income"),$E2941=""),"Head needed",IF($F2941="","Account needed","OK")))),IF($C2941="","","PRO PLAN"))</f>
        <v/>
      </c>
    </row>
    <row r="2942" customFormat="false" ht="15" hidden="false" customHeight="false" outlineLevel="0" collapsed="false">
      <c r="A2942" s="55"/>
      <c r="B2942" s="56"/>
      <c r="C2942" s="56"/>
      <c r="D2942" s="56"/>
      <c r="E2942" s="56"/>
      <c r="F2942" s="56"/>
      <c r="G2942" s="58"/>
      <c r="H2942" s="56"/>
      <c r="I2942" s="61" t="str">
        <f aca="false">IF(IsPro,IF(OR($C2942="",N($G2942)=0),"",IF(OR($C2942="Receipt",$C2942="Other Income",$C2942="Capital In",$C2942="Transfer In"),$G2942,0)),"")</f>
        <v/>
      </c>
      <c r="J2942" s="61" t="str">
        <f aca="false">IF(IsPro,IF(OR($C2942="",N($G2942)=0),"",IF(I2942=0,$G2942,0)),"")</f>
        <v/>
      </c>
      <c r="K2942" s="60" t="str">
        <f aca="false">IF(IsPro,IF($C2942="","",IF(AND(OR($C2942="Receipt",$C2942="Payment"),$D2942=""),"Party needed",IF(AND(OR($C2942="Expense",$C2942="Other Income"),$E2942=""),"Head needed",IF($F2942="","Account needed","OK")))),IF($C2942="","","PRO PLAN"))</f>
        <v/>
      </c>
    </row>
    <row r="2943" customFormat="false" ht="15" hidden="false" customHeight="false" outlineLevel="0" collapsed="false">
      <c r="A2943" s="55"/>
      <c r="B2943" s="56"/>
      <c r="C2943" s="56"/>
      <c r="D2943" s="56"/>
      <c r="E2943" s="56"/>
      <c r="F2943" s="56"/>
      <c r="G2943" s="58"/>
      <c r="H2943" s="56"/>
      <c r="I2943" s="61" t="str">
        <f aca="false">IF(IsPro,IF(OR($C2943="",N($G2943)=0),"",IF(OR($C2943="Receipt",$C2943="Other Income",$C2943="Capital In",$C2943="Transfer In"),$G2943,0)),"")</f>
        <v/>
      </c>
      <c r="J2943" s="61" t="str">
        <f aca="false">IF(IsPro,IF(OR($C2943="",N($G2943)=0),"",IF(I2943=0,$G2943,0)),"")</f>
        <v/>
      </c>
      <c r="K2943" s="60" t="str">
        <f aca="false">IF(IsPro,IF($C2943="","",IF(AND(OR($C2943="Receipt",$C2943="Payment"),$D2943=""),"Party needed",IF(AND(OR($C2943="Expense",$C2943="Other Income"),$E2943=""),"Head needed",IF($F2943="","Account needed","OK")))),IF($C2943="","","PRO PLAN"))</f>
        <v/>
      </c>
    </row>
    <row r="2944" customFormat="false" ht="15" hidden="false" customHeight="false" outlineLevel="0" collapsed="false">
      <c r="A2944" s="55"/>
      <c r="B2944" s="56"/>
      <c r="C2944" s="56"/>
      <c r="D2944" s="56"/>
      <c r="E2944" s="56"/>
      <c r="F2944" s="56"/>
      <c r="G2944" s="58"/>
      <c r="H2944" s="56"/>
      <c r="I2944" s="61" t="str">
        <f aca="false">IF(IsPro,IF(OR($C2944="",N($G2944)=0),"",IF(OR($C2944="Receipt",$C2944="Other Income",$C2944="Capital In",$C2944="Transfer In"),$G2944,0)),"")</f>
        <v/>
      </c>
      <c r="J2944" s="61" t="str">
        <f aca="false">IF(IsPro,IF(OR($C2944="",N($G2944)=0),"",IF(I2944=0,$G2944,0)),"")</f>
        <v/>
      </c>
      <c r="K2944" s="60" t="str">
        <f aca="false">IF(IsPro,IF($C2944="","",IF(AND(OR($C2944="Receipt",$C2944="Payment"),$D2944=""),"Party needed",IF(AND(OR($C2944="Expense",$C2944="Other Income"),$E2944=""),"Head needed",IF($F2944="","Account needed","OK")))),IF($C2944="","","PRO PLAN"))</f>
        <v/>
      </c>
    </row>
    <row r="2945" customFormat="false" ht="15" hidden="false" customHeight="false" outlineLevel="0" collapsed="false">
      <c r="A2945" s="55"/>
      <c r="B2945" s="56"/>
      <c r="C2945" s="56"/>
      <c r="D2945" s="56"/>
      <c r="E2945" s="56"/>
      <c r="F2945" s="56"/>
      <c r="G2945" s="58"/>
      <c r="H2945" s="56"/>
      <c r="I2945" s="61" t="str">
        <f aca="false">IF(IsPro,IF(OR($C2945="",N($G2945)=0),"",IF(OR($C2945="Receipt",$C2945="Other Income",$C2945="Capital In",$C2945="Transfer In"),$G2945,0)),"")</f>
        <v/>
      </c>
      <c r="J2945" s="61" t="str">
        <f aca="false">IF(IsPro,IF(OR($C2945="",N($G2945)=0),"",IF(I2945=0,$G2945,0)),"")</f>
        <v/>
      </c>
      <c r="K2945" s="60" t="str">
        <f aca="false">IF(IsPro,IF($C2945="","",IF(AND(OR($C2945="Receipt",$C2945="Payment"),$D2945=""),"Party needed",IF(AND(OR($C2945="Expense",$C2945="Other Income"),$E2945=""),"Head needed",IF($F2945="","Account needed","OK")))),IF($C2945="","","PRO PLAN"))</f>
        <v/>
      </c>
    </row>
    <row r="2946" customFormat="false" ht="15" hidden="false" customHeight="false" outlineLevel="0" collapsed="false">
      <c r="A2946" s="55"/>
      <c r="B2946" s="56"/>
      <c r="C2946" s="56"/>
      <c r="D2946" s="56"/>
      <c r="E2946" s="56"/>
      <c r="F2946" s="56"/>
      <c r="G2946" s="58"/>
      <c r="H2946" s="56"/>
      <c r="I2946" s="61" t="str">
        <f aca="false">IF(IsPro,IF(OR($C2946="",N($G2946)=0),"",IF(OR($C2946="Receipt",$C2946="Other Income",$C2946="Capital In",$C2946="Transfer In"),$G2946,0)),"")</f>
        <v/>
      </c>
      <c r="J2946" s="61" t="str">
        <f aca="false">IF(IsPro,IF(OR($C2946="",N($G2946)=0),"",IF(I2946=0,$G2946,0)),"")</f>
        <v/>
      </c>
      <c r="K2946" s="60" t="str">
        <f aca="false">IF(IsPro,IF($C2946="","",IF(AND(OR($C2946="Receipt",$C2946="Payment"),$D2946=""),"Party needed",IF(AND(OR($C2946="Expense",$C2946="Other Income"),$E2946=""),"Head needed",IF($F2946="","Account needed","OK")))),IF($C2946="","","PRO PLAN"))</f>
        <v/>
      </c>
    </row>
    <row r="2947" customFormat="false" ht="15" hidden="false" customHeight="false" outlineLevel="0" collapsed="false">
      <c r="A2947" s="55"/>
      <c r="B2947" s="56"/>
      <c r="C2947" s="56"/>
      <c r="D2947" s="56"/>
      <c r="E2947" s="56"/>
      <c r="F2947" s="56"/>
      <c r="G2947" s="58"/>
      <c r="H2947" s="56"/>
      <c r="I2947" s="61" t="str">
        <f aca="false">IF(IsPro,IF(OR($C2947="",N($G2947)=0),"",IF(OR($C2947="Receipt",$C2947="Other Income",$C2947="Capital In",$C2947="Transfer In"),$G2947,0)),"")</f>
        <v/>
      </c>
      <c r="J2947" s="61" t="str">
        <f aca="false">IF(IsPro,IF(OR($C2947="",N($G2947)=0),"",IF(I2947=0,$G2947,0)),"")</f>
        <v/>
      </c>
      <c r="K2947" s="60" t="str">
        <f aca="false">IF(IsPro,IF($C2947="","",IF(AND(OR($C2947="Receipt",$C2947="Payment"),$D2947=""),"Party needed",IF(AND(OR($C2947="Expense",$C2947="Other Income"),$E2947=""),"Head needed",IF($F2947="","Account needed","OK")))),IF($C2947="","","PRO PLAN"))</f>
        <v/>
      </c>
    </row>
    <row r="2948" customFormat="false" ht="15" hidden="false" customHeight="false" outlineLevel="0" collapsed="false">
      <c r="A2948" s="55"/>
      <c r="B2948" s="56"/>
      <c r="C2948" s="56"/>
      <c r="D2948" s="56"/>
      <c r="E2948" s="56"/>
      <c r="F2948" s="56"/>
      <c r="G2948" s="58"/>
      <c r="H2948" s="56"/>
      <c r="I2948" s="61" t="str">
        <f aca="false">IF(IsPro,IF(OR($C2948="",N($G2948)=0),"",IF(OR($C2948="Receipt",$C2948="Other Income",$C2948="Capital In",$C2948="Transfer In"),$G2948,0)),"")</f>
        <v/>
      </c>
      <c r="J2948" s="61" t="str">
        <f aca="false">IF(IsPro,IF(OR($C2948="",N($G2948)=0),"",IF(I2948=0,$G2948,0)),"")</f>
        <v/>
      </c>
      <c r="K2948" s="60" t="str">
        <f aca="false">IF(IsPro,IF($C2948="","",IF(AND(OR($C2948="Receipt",$C2948="Payment"),$D2948=""),"Party needed",IF(AND(OR($C2948="Expense",$C2948="Other Income"),$E2948=""),"Head needed",IF($F2948="","Account needed","OK")))),IF($C2948="","","PRO PLAN"))</f>
        <v/>
      </c>
    </row>
    <row r="2949" customFormat="false" ht="15" hidden="false" customHeight="false" outlineLevel="0" collapsed="false">
      <c r="A2949" s="55"/>
      <c r="B2949" s="56"/>
      <c r="C2949" s="56"/>
      <c r="D2949" s="56"/>
      <c r="E2949" s="56"/>
      <c r="F2949" s="56"/>
      <c r="G2949" s="58"/>
      <c r="H2949" s="56"/>
      <c r="I2949" s="61" t="str">
        <f aca="false">IF(IsPro,IF(OR($C2949="",N($G2949)=0),"",IF(OR($C2949="Receipt",$C2949="Other Income",$C2949="Capital In",$C2949="Transfer In"),$G2949,0)),"")</f>
        <v/>
      </c>
      <c r="J2949" s="61" t="str">
        <f aca="false">IF(IsPro,IF(OR($C2949="",N($G2949)=0),"",IF(I2949=0,$G2949,0)),"")</f>
        <v/>
      </c>
      <c r="K2949" s="60" t="str">
        <f aca="false">IF(IsPro,IF($C2949="","",IF(AND(OR($C2949="Receipt",$C2949="Payment"),$D2949=""),"Party needed",IF(AND(OR($C2949="Expense",$C2949="Other Income"),$E2949=""),"Head needed",IF($F2949="","Account needed","OK")))),IF($C2949="","","PRO PLAN"))</f>
        <v/>
      </c>
    </row>
    <row r="2950" customFormat="false" ht="15" hidden="false" customHeight="false" outlineLevel="0" collapsed="false">
      <c r="A2950" s="55"/>
      <c r="B2950" s="56"/>
      <c r="C2950" s="56"/>
      <c r="D2950" s="56"/>
      <c r="E2950" s="56"/>
      <c r="F2950" s="56"/>
      <c r="G2950" s="58"/>
      <c r="H2950" s="56"/>
      <c r="I2950" s="61" t="str">
        <f aca="false">IF(IsPro,IF(OR($C2950="",N($G2950)=0),"",IF(OR($C2950="Receipt",$C2950="Other Income",$C2950="Capital In",$C2950="Transfer In"),$G2950,0)),"")</f>
        <v/>
      </c>
      <c r="J2950" s="61" t="str">
        <f aca="false">IF(IsPro,IF(OR($C2950="",N($G2950)=0),"",IF(I2950=0,$G2950,0)),"")</f>
        <v/>
      </c>
      <c r="K2950" s="60" t="str">
        <f aca="false">IF(IsPro,IF($C2950="","",IF(AND(OR($C2950="Receipt",$C2950="Payment"),$D2950=""),"Party needed",IF(AND(OR($C2950="Expense",$C2950="Other Income"),$E2950=""),"Head needed",IF($F2950="","Account needed","OK")))),IF($C2950="","","PRO PLAN"))</f>
        <v/>
      </c>
    </row>
    <row r="2951" customFormat="false" ht="15" hidden="false" customHeight="false" outlineLevel="0" collapsed="false">
      <c r="A2951" s="55"/>
      <c r="B2951" s="56"/>
      <c r="C2951" s="56"/>
      <c r="D2951" s="56"/>
      <c r="E2951" s="56"/>
      <c r="F2951" s="56"/>
      <c r="G2951" s="58"/>
      <c r="H2951" s="56"/>
      <c r="I2951" s="61" t="str">
        <f aca="false">IF(IsPro,IF(OR($C2951="",N($G2951)=0),"",IF(OR($C2951="Receipt",$C2951="Other Income",$C2951="Capital In",$C2951="Transfer In"),$G2951,0)),"")</f>
        <v/>
      </c>
      <c r="J2951" s="61" t="str">
        <f aca="false">IF(IsPro,IF(OR($C2951="",N($G2951)=0),"",IF(I2951=0,$G2951,0)),"")</f>
        <v/>
      </c>
      <c r="K2951" s="60" t="str">
        <f aca="false">IF(IsPro,IF($C2951="","",IF(AND(OR($C2951="Receipt",$C2951="Payment"),$D2951=""),"Party needed",IF(AND(OR($C2951="Expense",$C2951="Other Income"),$E2951=""),"Head needed",IF($F2951="","Account needed","OK")))),IF($C2951="","","PRO PLAN"))</f>
        <v/>
      </c>
    </row>
    <row r="2952" customFormat="false" ht="15" hidden="false" customHeight="false" outlineLevel="0" collapsed="false">
      <c r="A2952" s="55"/>
      <c r="B2952" s="56"/>
      <c r="C2952" s="56"/>
      <c r="D2952" s="56"/>
      <c r="E2952" s="56"/>
      <c r="F2952" s="56"/>
      <c r="G2952" s="58"/>
      <c r="H2952" s="56"/>
      <c r="I2952" s="61" t="str">
        <f aca="false">IF(IsPro,IF(OR($C2952="",N($G2952)=0),"",IF(OR($C2952="Receipt",$C2952="Other Income",$C2952="Capital In",$C2952="Transfer In"),$G2952,0)),"")</f>
        <v/>
      </c>
      <c r="J2952" s="61" t="str">
        <f aca="false">IF(IsPro,IF(OR($C2952="",N($G2952)=0),"",IF(I2952=0,$G2952,0)),"")</f>
        <v/>
      </c>
      <c r="K2952" s="60" t="str">
        <f aca="false">IF(IsPro,IF($C2952="","",IF(AND(OR($C2952="Receipt",$C2952="Payment"),$D2952=""),"Party needed",IF(AND(OR($C2952="Expense",$C2952="Other Income"),$E2952=""),"Head needed",IF($F2952="","Account needed","OK")))),IF($C2952="","","PRO PLAN"))</f>
        <v/>
      </c>
    </row>
    <row r="2953" customFormat="false" ht="15" hidden="false" customHeight="false" outlineLevel="0" collapsed="false">
      <c r="A2953" s="55"/>
      <c r="B2953" s="56"/>
      <c r="C2953" s="56"/>
      <c r="D2953" s="56"/>
      <c r="E2953" s="56"/>
      <c r="F2953" s="56"/>
      <c r="G2953" s="58"/>
      <c r="H2953" s="56"/>
      <c r="I2953" s="61" t="str">
        <f aca="false">IF(IsPro,IF(OR($C2953="",N($G2953)=0),"",IF(OR($C2953="Receipt",$C2953="Other Income",$C2953="Capital In",$C2953="Transfer In"),$G2953,0)),"")</f>
        <v/>
      </c>
      <c r="J2953" s="61" t="str">
        <f aca="false">IF(IsPro,IF(OR($C2953="",N($G2953)=0),"",IF(I2953=0,$G2953,0)),"")</f>
        <v/>
      </c>
      <c r="K2953" s="60" t="str">
        <f aca="false">IF(IsPro,IF($C2953="","",IF(AND(OR($C2953="Receipt",$C2953="Payment"),$D2953=""),"Party needed",IF(AND(OR($C2953="Expense",$C2953="Other Income"),$E2953=""),"Head needed",IF($F2953="","Account needed","OK")))),IF($C2953="","","PRO PLAN"))</f>
        <v/>
      </c>
    </row>
    <row r="2954" customFormat="false" ht="15" hidden="false" customHeight="false" outlineLevel="0" collapsed="false">
      <c r="A2954" s="55"/>
      <c r="B2954" s="56"/>
      <c r="C2954" s="56"/>
      <c r="D2954" s="56"/>
      <c r="E2954" s="56"/>
      <c r="F2954" s="56"/>
      <c r="G2954" s="58"/>
      <c r="H2954" s="56"/>
      <c r="I2954" s="61" t="str">
        <f aca="false">IF(IsPro,IF(OR($C2954="",N($G2954)=0),"",IF(OR($C2954="Receipt",$C2954="Other Income",$C2954="Capital In",$C2954="Transfer In"),$G2954,0)),"")</f>
        <v/>
      </c>
      <c r="J2954" s="61" t="str">
        <f aca="false">IF(IsPro,IF(OR($C2954="",N($G2954)=0),"",IF(I2954=0,$G2954,0)),"")</f>
        <v/>
      </c>
      <c r="K2954" s="60" t="str">
        <f aca="false">IF(IsPro,IF($C2954="","",IF(AND(OR($C2954="Receipt",$C2954="Payment"),$D2954=""),"Party needed",IF(AND(OR($C2954="Expense",$C2954="Other Income"),$E2954=""),"Head needed",IF($F2954="","Account needed","OK")))),IF($C2954="","","PRO PLAN"))</f>
        <v/>
      </c>
    </row>
    <row r="2955" customFormat="false" ht="15" hidden="false" customHeight="false" outlineLevel="0" collapsed="false">
      <c r="A2955" s="55"/>
      <c r="B2955" s="56"/>
      <c r="C2955" s="56"/>
      <c r="D2955" s="56"/>
      <c r="E2955" s="56"/>
      <c r="F2955" s="56"/>
      <c r="G2955" s="58"/>
      <c r="H2955" s="56"/>
      <c r="I2955" s="61" t="str">
        <f aca="false">IF(IsPro,IF(OR($C2955="",N($G2955)=0),"",IF(OR($C2955="Receipt",$C2955="Other Income",$C2955="Capital In",$C2955="Transfer In"),$G2955,0)),"")</f>
        <v/>
      </c>
      <c r="J2955" s="61" t="str">
        <f aca="false">IF(IsPro,IF(OR($C2955="",N($G2955)=0),"",IF(I2955=0,$G2955,0)),"")</f>
        <v/>
      </c>
      <c r="K2955" s="60" t="str">
        <f aca="false">IF(IsPro,IF($C2955="","",IF(AND(OR($C2955="Receipt",$C2955="Payment"),$D2955=""),"Party needed",IF(AND(OR($C2955="Expense",$C2955="Other Income"),$E2955=""),"Head needed",IF($F2955="","Account needed","OK")))),IF($C2955="","","PRO PLAN"))</f>
        <v/>
      </c>
    </row>
    <row r="2956" customFormat="false" ht="15" hidden="false" customHeight="false" outlineLevel="0" collapsed="false">
      <c r="A2956" s="55"/>
      <c r="B2956" s="56"/>
      <c r="C2956" s="56"/>
      <c r="D2956" s="56"/>
      <c r="E2956" s="56"/>
      <c r="F2956" s="56"/>
      <c r="G2956" s="58"/>
      <c r="H2956" s="56"/>
      <c r="I2956" s="61" t="str">
        <f aca="false">IF(IsPro,IF(OR($C2956="",N($G2956)=0),"",IF(OR($C2956="Receipt",$C2956="Other Income",$C2956="Capital In",$C2956="Transfer In"),$G2956,0)),"")</f>
        <v/>
      </c>
      <c r="J2956" s="61" t="str">
        <f aca="false">IF(IsPro,IF(OR($C2956="",N($G2956)=0),"",IF(I2956=0,$G2956,0)),"")</f>
        <v/>
      </c>
      <c r="K2956" s="60" t="str">
        <f aca="false">IF(IsPro,IF($C2956="","",IF(AND(OR($C2956="Receipt",$C2956="Payment"),$D2956=""),"Party needed",IF(AND(OR($C2956="Expense",$C2956="Other Income"),$E2956=""),"Head needed",IF($F2956="","Account needed","OK")))),IF($C2956="","","PRO PLAN"))</f>
        <v/>
      </c>
    </row>
    <row r="2957" customFormat="false" ht="15" hidden="false" customHeight="false" outlineLevel="0" collapsed="false">
      <c r="A2957" s="55"/>
      <c r="B2957" s="56"/>
      <c r="C2957" s="56"/>
      <c r="D2957" s="56"/>
      <c r="E2957" s="56"/>
      <c r="F2957" s="56"/>
      <c r="G2957" s="58"/>
      <c r="H2957" s="56"/>
      <c r="I2957" s="61" t="str">
        <f aca="false">IF(IsPro,IF(OR($C2957="",N($G2957)=0),"",IF(OR($C2957="Receipt",$C2957="Other Income",$C2957="Capital In",$C2957="Transfer In"),$G2957,0)),"")</f>
        <v/>
      </c>
      <c r="J2957" s="61" t="str">
        <f aca="false">IF(IsPro,IF(OR($C2957="",N($G2957)=0),"",IF(I2957=0,$G2957,0)),"")</f>
        <v/>
      </c>
      <c r="K2957" s="60" t="str">
        <f aca="false">IF(IsPro,IF($C2957="","",IF(AND(OR($C2957="Receipt",$C2957="Payment"),$D2957=""),"Party needed",IF(AND(OR($C2957="Expense",$C2957="Other Income"),$E2957=""),"Head needed",IF($F2957="","Account needed","OK")))),IF($C2957="","","PRO PLAN"))</f>
        <v/>
      </c>
    </row>
    <row r="2958" customFormat="false" ht="15" hidden="false" customHeight="false" outlineLevel="0" collapsed="false">
      <c r="A2958" s="55"/>
      <c r="B2958" s="56"/>
      <c r="C2958" s="56"/>
      <c r="D2958" s="56"/>
      <c r="E2958" s="56"/>
      <c r="F2958" s="56"/>
      <c r="G2958" s="58"/>
      <c r="H2958" s="56"/>
      <c r="I2958" s="61" t="str">
        <f aca="false">IF(IsPro,IF(OR($C2958="",N($G2958)=0),"",IF(OR($C2958="Receipt",$C2958="Other Income",$C2958="Capital In",$C2958="Transfer In"),$G2958,0)),"")</f>
        <v/>
      </c>
      <c r="J2958" s="61" t="str">
        <f aca="false">IF(IsPro,IF(OR($C2958="",N($G2958)=0),"",IF(I2958=0,$G2958,0)),"")</f>
        <v/>
      </c>
      <c r="K2958" s="60" t="str">
        <f aca="false">IF(IsPro,IF($C2958="","",IF(AND(OR($C2958="Receipt",$C2958="Payment"),$D2958=""),"Party needed",IF(AND(OR($C2958="Expense",$C2958="Other Income"),$E2958=""),"Head needed",IF($F2958="","Account needed","OK")))),IF($C2958="","","PRO PLAN"))</f>
        <v/>
      </c>
    </row>
    <row r="2959" customFormat="false" ht="15" hidden="false" customHeight="false" outlineLevel="0" collapsed="false">
      <c r="A2959" s="55"/>
      <c r="B2959" s="56"/>
      <c r="C2959" s="56"/>
      <c r="D2959" s="56"/>
      <c r="E2959" s="56"/>
      <c r="F2959" s="56"/>
      <c r="G2959" s="58"/>
      <c r="H2959" s="56"/>
      <c r="I2959" s="61" t="str">
        <f aca="false">IF(IsPro,IF(OR($C2959="",N($G2959)=0),"",IF(OR($C2959="Receipt",$C2959="Other Income",$C2959="Capital In",$C2959="Transfer In"),$G2959,0)),"")</f>
        <v/>
      </c>
      <c r="J2959" s="61" t="str">
        <f aca="false">IF(IsPro,IF(OR($C2959="",N($G2959)=0),"",IF(I2959=0,$G2959,0)),"")</f>
        <v/>
      </c>
      <c r="K2959" s="60" t="str">
        <f aca="false">IF(IsPro,IF($C2959="","",IF(AND(OR($C2959="Receipt",$C2959="Payment"),$D2959=""),"Party needed",IF(AND(OR($C2959="Expense",$C2959="Other Income"),$E2959=""),"Head needed",IF($F2959="","Account needed","OK")))),IF($C2959="","","PRO PLAN"))</f>
        <v/>
      </c>
    </row>
    <row r="2960" customFormat="false" ht="15" hidden="false" customHeight="false" outlineLevel="0" collapsed="false">
      <c r="A2960" s="55"/>
      <c r="B2960" s="56"/>
      <c r="C2960" s="56"/>
      <c r="D2960" s="56"/>
      <c r="E2960" s="56"/>
      <c r="F2960" s="56"/>
      <c r="G2960" s="58"/>
      <c r="H2960" s="56"/>
      <c r="I2960" s="61" t="str">
        <f aca="false">IF(IsPro,IF(OR($C2960="",N($G2960)=0),"",IF(OR($C2960="Receipt",$C2960="Other Income",$C2960="Capital In",$C2960="Transfer In"),$G2960,0)),"")</f>
        <v/>
      </c>
      <c r="J2960" s="61" t="str">
        <f aca="false">IF(IsPro,IF(OR($C2960="",N($G2960)=0),"",IF(I2960=0,$G2960,0)),"")</f>
        <v/>
      </c>
      <c r="K2960" s="60" t="str">
        <f aca="false">IF(IsPro,IF($C2960="","",IF(AND(OR($C2960="Receipt",$C2960="Payment"),$D2960=""),"Party needed",IF(AND(OR($C2960="Expense",$C2960="Other Income"),$E2960=""),"Head needed",IF($F2960="","Account needed","OK")))),IF($C2960="","","PRO PLAN"))</f>
        <v/>
      </c>
    </row>
    <row r="2961" customFormat="false" ht="15" hidden="false" customHeight="false" outlineLevel="0" collapsed="false">
      <c r="A2961" s="55"/>
      <c r="B2961" s="56"/>
      <c r="C2961" s="56"/>
      <c r="D2961" s="56"/>
      <c r="E2961" s="56"/>
      <c r="F2961" s="56"/>
      <c r="G2961" s="58"/>
      <c r="H2961" s="56"/>
      <c r="I2961" s="61" t="str">
        <f aca="false">IF(IsPro,IF(OR($C2961="",N($G2961)=0),"",IF(OR($C2961="Receipt",$C2961="Other Income",$C2961="Capital In",$C2961="Transfer In"),$G2961,0)),"")</f>
        <v/>
      </c>
      <c r="J2961" s="61" t="str">
        <f aca="false">IF(IsPro,IF(OR($C2961="",N($G2961)=0),"",IF(I2961=0,$G2961,0)),"")</f>
        <v/>
      </c>
      <c r="K2961" s="60" t="str">
        <f aca="false">IF(IsPro,IF($C2961="","",IF(AND(OR($C2961="Receipt",$C2961="Payment"),$D2961=""),"Party needed",IF(AND(OR($C2961="Expense",$C2961="Other Income"),$E2961=""),"Head needed",IF($F2961="","Account needed","OK")))),IF($C2961="","","PRO PLAN"))</f>
        <v/>
      </c>
    </row>
    <row r="2962" customFormat="false" ht="15" hidden="false" customHeight="false" outlineLevel="0" collapsed="false">
      <c r="A2962" s="55"/>
      <c r="B2962" s="56"/>
      <c r="C2962" s="56"/>
      <c r="D2962" s="56"/>
      <c r="E2962" s="56"/>
      <c r="F2962" s="56"/>
      <c r="G2962" s="58"/>
      <c r="H2962" s="56"/>
      <c r="I2962" s="61" t="str">
        <f aca="false">IF(IsPro,IF(OR($C2962="",N($G2962)=0),"",IF(OR($C2962="Receipt",$C2962="Other Income",$C2962="Capital In",$C2962="Transfer In"),$G2962,0)),"")</f>
        <v/>
      </c>
      <c r="J2962" s="61" t="str">
        <f aca="false">IF(IsPro,IF(OR($C2962="",N($G2962)=0),"",IF(I2962=0,$G2962,0)),"")</f>
        <v/>
      </c>
      <c r="K2962" s="60" t="str">
        <f aca="false">IF(IsPro,IF($C2962="","",IF(AND(OR($C2962="Receipt",$C2962="Payment"),$D2962=""),"Party needed",IF(AND(OR($C2962="Expense",$C2962="Other Income"),$E2962=""),"Head needed",IF($F2962="","Account needed","OK")))),IF($C2962="","","PRO PLAN"))</f>
        <v/>
      </c>
    </row>
    <row r="2963" customFormat="false" ht="15" hidden="false" customHeight="false" outlineLevel="0" collapsed="false">
      <c r="A2963" s="55"/>
      <c r="B2963" s="56"/>
      <c r="C2963" s="56"/>
      <c r="D2963" s="56"/>
      <c r="E2963" s="56"/>
      <c r="F2963" s="56"/>
      <c r="G2963" s="58"/>
      <c r="H2963" s="56"/>
      <c r="I2963" s="61" t="str">
        <f aca="false">IF(IsPro,IF(OR($C2963="",N($G2963)=0),"",IF(OR($C2963="Receipt",$C2963="Other Income",$C2963="Capital In",$C2963="Transfer In"),$G2963,0)),"")</f>
        <v/>
      </c>
      <c r="J2963" s="61" t="str">
        <f aca="false">IF(IsPro,IF(OR($C2963="",N($G2963)=0),"",IF(I2963=0,$G2963,0)),"")</f>
        <v/>
      </c>
      <c r="K2963" s="60" t="str">
        <f aca="false">IF(IsPro,IF($C2963="","",IF(AND(OR($C2963="Receipt",$C2963="Payment"),$D2963=""),"Party needed",IF(AND(OR($C2963="Expense",$C2963="Other Income"),$E2963=""),"Head needed",IF($F2963="","Account needed","OK")))),IF($C2963="","","PRO PLAN"))</f>
        <v/>
      </c>
    </row>
    <row r="2964" customFormat="false" ht="15" hidden="false" customHeight="false" outlineLevel="0" collapsed="false">
      <c r="A2964" s="55"/>
      <c r="B2964" s="56"/>
      <c r="C2964" s="56"/>
      <c r="D2964" s="56"/>
      <c r="E2964" s="56"/>
      <c r="F2964" s="56"/>
      <c r="G2964" s="58"/>
      <c r="H2964" s="56"/>
      <c r="I2964" s="61" t="str">
        <f aca="false">IF(IsPro,IF(OR($C2964="",N($G2964)=0),"",IF(OR($C2964="Receipt",$C2964="Other Income",$C2964="Capital In",$C2964="Transfer In"),$G2964,0)),"")</f>
        <v/>
      </c>
      <c r="J2964" s="61" t="str">
        <f aca="false">IF(IsPro,IF(OR($C2964="",N($G2964)=0),"",IF(I2964=0,$G2964,0)),"")</f>
        <v/>
      </c>
      <c r="K2964" s="60" t="str">
        <f aca="false">IF(IsPro,IF($C2964="","",IF(AND(OR($C2964="Receipt",$C2964="Payment"),$D2964=""),"Party needed",IF(AND(OR($C2964="Expense",$C2964="Other Income"),$E2964=""),"Head needed",IF($F2964="","Account needed","OK")))),IF($C2964="","","PRO PLAN"))</f>
        <v/>
      </c>
    </row>
    <row r="2965" customFormat="false" ht="15" hidden="false" customHeight="false" outlineLevel="0" collapsed="false">
      <c r="A2965" s="55"/>
      <c r="B2965" s="56"/>
      <c r="C2965" s="56"/>
      <c r="D2965" s="56"/>
      <c r="E2965" s="56"/>
      <c r="F2965" s="56"/>
      <c r="G2965" s="58"/>
      <c r="H2965" s="56"/>
      <c r="I2965" s="61" t="str">
        <f aca="false">IF(IsPro,IF(OR($C2965="",N($G2965)=0),"",IF(OR($C2965="Receipt",$C2965="Other Income",$C2965="Capital In",$C2965="Transfer In"),$G2965,0)),"")</f>
        <v/>
      </c>
      <c r="J2965" s="61" t="str">
        <f aca="false">IF(IsPro,IF(OR($C2965="",N($G2965)=0),"",IF(I2965=0,$G2965,0)),"")</f>
        <v/>
      </c>
      <c r="K2965" s="60" t="str">
        <f aca="false">IF(IsPro,IF($C2965="","",IF(AND(OR($C2965="Receipt",$C2965="Payment"),$D2965=""),"Party needed",IF(AND(OR($C2965="Expense",$C2965="Other Income"),$E2965=""),"Head needed",IF($F2965="","Account needed","OK")))),IF($C2965="","","PRO PLAN"))</f>
        <v/>
      </c>
    </row>
    <row r="2966" customFormat="false" ht="15" hidden="false" customHeight="false" outlineLevel="0" collapsed="false">
      <c r="A2966" s="55"/>
      <c r="B2966" s="56"/>
      <c r="C2966" s="56"/>
      <c r="D2966" s="56"/>
      <c r="E2966" s="56"/>
      <c r="F2966" s="56"/>
      <c r="G2966" s="58"/>
      <c r="H2966" s="56"/>
      <c r="I2966" s="61" t="str">
        <f aca="false">IF(IsPro,IF(OR($C2966="",N($G2966)=0),"",IF(OR($C2966="Receipt",$C2966="Other Income",$C2966="Capital In",$C2966="Transfer In"),$G2966,0)),"")</f>
        <v/>
      </c>
      <c r="J2966" s="61" t="str">
        <f aca="false">IF(IsPro,IF(OR($C2966="",N($G2966)=0),"",IF(I2966=0,$G2966,0)),"")</f>
        <v/>
      </c>
      <c r="K2966" s="60" t="str">
        <f aca="false">IF(IsPro,IF($C2966="","",IF(AND(OR($C2966="Receipt",$C2966="Payment"),$D2966=""),"Party needed",IF(AND(OR($C2966="Expense",$C2966="Other Income"),$E2966=""),"Head needed",IF($F2966="","Account needed","OK")))),IF($C2966="","","PRO PLAN"))</f>
        <v/>
      </c>
    </row>
    <row r="2967" customFormat="false" ht="15" hidden="false" customHeight="false" outlineLevel="0" collapsed="false">
      <c r="A2967" s="55"/>
      <c r="B2967" s="56"/>
      <c r="C2967" s="56"/>
      <c r="D2967" s="56"/>
      <c r="E2967" s="56"/>
      <c r="F2967" s="56"/>
      <c r="G2967" s="58"/>
      <c r="H2967" s="56"/>
      <c r="I2967" s="61" t="str">
        <f aca="false">IF(IsPro,IF(OR($C2967="",N($G2967)=0),"",IF(OR($C2967="Receipt",$C2967="Other Income",$C2967="Capital In",$C2967="Transfer In"),$G2967,0)),"")</f>
        <v/>
      </c>
      <c r="J2967" s="61" t="str">
        <f aca="false">IF(IsPro,IF(OR($C2967="",N($G2967)=0),"",IF(I2967=0,$G2967,0)),"")</f>
        <v/>
      </c>
      <c r="K2967" s="60" t="str">
        <f aca="false">IF(IsPro,IF($C2967="","",IF(AND(OR($C2967="Receipt",$C2967="Payment"),$D2967=""),"Party needed",IF(AND(OR($C2967="Expense",$C2967="Other Income"),$E2967=""),"Head needed",IF($F2967="","Account needed","OK")))),IF($C2967="","","PRO PLAN"))</f>
        <v/>
      </c>
    </row>
    <row r="2968" customFormat="false" ht="15" hidden="false" customHeight="false" outlineLevel="0" collapsed="false">
      <c r="A2968" s="55"/>
      <c r="B2968" s="56"/>
      <c r="C2968" s="56"/>
      <c r="D2968" s="56"/>
      <c r="E2968" s="56"/>
      <c r="F2968" s="56"/>
      <c r="G2968" s="58"/>
      <c r="H2968" s="56"/>
      <c r="I2968" s="61" t="str">
        <f aca="false">IF(IsPro,IF(OR($C2968="",N($G2968)=0),"",IF(OR($C2968="Receipt",$C2968="Other Income",$C2968="Capital In",$C2968="Transfer In"),$G2968,0)),"")</f>
        <v/>
      </c>
      <c r="J2968" s="61" t="str">
        <f aca="false">IF(IsPro,IF(OR($C2968="",N($G2968)=0),"",IF(I2968=0,$G2968,0)),"")</f>
        <v/>
      </c>
      <c r="K2968" s="60" t="str">
        <f aca="false">IF(IsPro,IF($C2968="","",IF(AND(OR($C2968="Receipt",$C2968="Payment"),$D2968=""),"Party needed",IF(AND(OR($C2968="Expense",$C2968="Other Income"),$E2968=""),"Head needed",IF($F2968="","Account needed","OK")))),IF($C2968="","","PRO PLAN"))</f>
        <v/>
      </c>
    </row>
    <row r="2969" customFormat="false" ht="15" hidden="false" customHeight="false" outlineLevel="0" collapsed="false">
      <c r="A2969" s="55"/>
      <c r="B2969" s="56"/>
      <c r="C2969" s="56"/>
      <c r="D2969" s="56"/>
      <c r="E2969" s="56"/>
      <c r="F2969" s="56"/>
      <c r="G2969" s="58"/>
      <c r="H2969" s="56"/>
      <c r="I2969" s="61" t="str">
        <f aca="false">IF(IsPro,IF(OR($C2969="",N($G2969)=0),"",IF(OR($C2969="Receipt",$C2969="Other Income",$C2969="Capital In",$C2969="Transfer In"),$G2969,0)),"")</f>
        <v/>
      </c>
      <c r="J2969" s="61" t="str">
        <f aca="false">IF(IsPro,IF(OR($C2969="",N($G2969)=0),"",IF(I2969=0,$G2969,0)),"")</f>
        <v/>
      </c>
      <c r="K2969" s="60" t="str">
        <f aca="false">IF(IsPro,IF($C2969="","",IF(AND(OR($C2969="Receipt",$C2969="Payment"),$D2969=""),"Party needed",IF(AND(OR($C2969="Expense",$C2969="Other Income"),$E2969=""),"Head needed",IF($F2969="","Account needed","OK")))),IF($C2969="","","PRO PLAN"))</f>
        <v/>
      </c>
    </row>
    <row r="2970" customFormat="false" ht="15" hidden="false" customHeight="false" outlineLevel="0" collapsed="false">
      <c r="A2970" s="55"/>
      <c r="B2970" s="56"/>
      <c r="C2970" s="56"/>
      <c r="D2970" s="56"/>
      <c r="E2970" s="56"/>
      <c r="F2970" s="56"/>
      <c r="G2970" s="58"/>
      <c r="H2970" s="56"/>
      <c r="I2970" s="61" t="str">
        <f aca="false">IF(IsPro,IF(OR($C2970="",N($G2970)=0),"",IF(OR($C2970="Receipt",$C2970="Other Income",$C2970="Capital In",$C2970="Transfer In"),$G2970,0)),"")</f>
        <v/>
      </c>
      <c r="J2970" s="61" t="str">
        <f aca="false">IF(IsPro,IF(OR($C2970="",N($G2970)=0),"",IF(I2970=0,$G2970,0)),"")</f>
        <v/>
      </c>
      <c r="K2970" s="60" t="str">
        <f aca="false">IF(IsPro,IF($C2970="","",IF(AND(OR($C2970="Receipt",$C2970="Payment"),$D2970=""),"Party needed",IF(AND(OR($C2970="Expense",$C2970="Other Income"),$E2970=""),"Head needed",IF($F2970="","Account needed","OK")))),IF($C2970="","","PRO PLAN"))</f>
        <v/>
      </c>
    </row>
    <row r="2971" customFormat="false" ht="15" hidden="false" customHeight="false" outlineLevel="0" collapsed="false">
      <c r="A2971" s="55"/>
      <c r="B2971" s="56"/>
      <c r="C2971" s="56"/>
      <c r="D2971" s="56"/>
      <c r="E2971" s="56"/>
      <c r="F2971" s="56"/>
      <c r="G2971" s="58"/>
      <c r="H2971" s="56"/>
      <c r="I2971" s="61" t="str">
        <f aca="false">IF(IsPro,IF(OR($C2971="",N($G2971)=0),"",IF(OR($C2971="Receipt",$C2971="Other Income",$C2971="Capital In",$C2971="Transfer In"),$G2971,0)),"")</f>
        <v/>
      </c>
      <c r="J2971" s="61" t="str">
        <f aca="false">IF(IsPro,IF(OR($C2971="",N($G2971)=0),"",IF(I2971=0,$G2971,0)),"")</f>
        <v/>
      </c>
      <c r="K2971" s="60" t="str">
        <f aca="false">IF(IsPro,IF($C2971="","",IF(AND(OR($C2971="Receipt",$C2971="Payment"),$D2971=""),"Party needed",IF(AND(OR($C2971="Expense",$C2971="Other Income"),$E2971=""),"Head needed",IF($F2971="","Account needed","OK")))),IF($C2971="","","PRO PLAN"))</f>
        <v/>
      </c>
    </row>
    <row r="2972" customFormat="false" ht="15" hidden="false" customHeight="false" outlineLevel="0" collapsed="false">
      <c r="A2972" s="55"/>
      <c r="B2972" s="56"/>
      <c r="C2972" s="56"/>
      <c r="D2972" s="56"/>
      <c r="E2972" s="56"/>
      <c r="F2972" s="56"/>
      <c r="G2972" s="58"/>
      <c r="H2972" s="56"/>
      <c r="I2972" s="61" t="str">
        <f aca="false">IF(IsPro,IF(OR($C2972="",N($G2972)=0),"",IF(OR($C2972="Receipt",$C2972="Other Income",$C2972="Capital In",$C2972="Transfer In"),$G2972,0)),"")</f>
        <v/>
      </c>
      <c r="J2972" s="61" t="str">
        <f aca="false">IF(IsPro,IF(OR($C2972="",N($G2972)=0),"",IF(I2972=0,$G2972,0)),"")</f>
        <v/>
      </c>
      <c r="K2972" s="60" t="str">
        <f aca="false">IF(IsPro,IF($C2972="","",IF(AND(OR($C2972="Receipt",$C2972="Payment"),$D2972=""),"Party needed",IF(AND(OR($C2972="Expense",$C2972="Other Income"),$E2972=""),"Head needed",IF($F2972="","Account needed","OK")))),IF($C2972="","","PRO PLAN"))</f>
        <v/>
      </c>
    </row>
    <row r="2973" customFormat="false" ht="15" hidden="false" customHeight="false" outlineLevel="0" collapsed="false">
      <c r="A2973" s="55"/>
      <c r="B2973" s="56"/>
      <c r="C2973" s="56"/>
      <c r="D2973" s="56"/>
      <c r="E2973" s="56"/>
      <c r="F2973" s="56"/>
      <c r="G2973" s="58"/>
      <c r="H2973" s="56"/>
      <c r="I2973" s="61" t="str">
        <f aca="false">IF(IsPro,IF(OR($C2973="",N($G2973)=0),"",IF(OR($C2973="Receipt",$C2973="Other Income",$C2973="Capital In",$C2973="Transfer In"),$G2973,0)),"")</f>
        <v/>
      </c>
      <c r="J2973" s="61" t="str">
        <f aca="false">IF(IsPro,IF(OR($C2973="",N($G2973)=0),"",IF(I2973=0,$G2973,0)),"")</f>
        <v/>
      </c>
      <c r="K2973" s="60" t="str">
        <f aca="false">IF(IsPro,IF($C2973="","",IF(AND(OR($C2973="Receipt",$C2973="Payment"),$D2973=""),"Party needed",IF(AND(OR($C2973="Expense",$C2973="Other Income"),$E2973=""),"Head needed",IF($F2973="","Account needed","OK")))),IF($C2973="","","PRO PLAN"))</f>
        <v/>
      </c>
    </row>
    <row r="2974" customFormat="false" ht="15" hidden="false" customHeight="false" outlineLevel="0" collapsed="false">
      <c r="A2974" s="55"/>
      <c r="B2974" s="56"/>
      <c r="C2974" s="56"/>
      <c r="D2974" s="56"/>
      <c r="E2974" s="56"/>
      <c r="F2974" s="56"/>
      <c r="G2974" s="58"/>
      <c r="H2974" s="56"/>
      <c r="I2974" s="61" t="str">
        <f aca="false">IF(IsPro,IF(OR($C2974="",N($G2974)=0),"",IF(OR($C2974="Receipt",$C2974="Other Income",$C2974="Capital In",$C2974="Transfer In"),$G2974,0)),"")</f>
        <v/>
      </c>
      <c r="J2974" s="61" t="str">
        <f aca="false">IF(IsPro,IF(OR($C2974="",N($G2974)=0),"",IF(I2974=0,$G2974,0)),"")</f>
        <v/>
      </c>
      <c r="K2974" s="60" t="str">
        <f aca="false">IF(IsPro,IF($C2974="","",IF(AND(OR($C2974="Receipt",$C2974="Payment"),$D2974=""),"Party needed",IF(AND(OR($C2974="Expense",$C2974="Other Income"),$E2974=""),"Head needed",IF($F2974="","Account needed","OK")))),IF($C2974="","","PRO PLAN"))</f>
        <v/>
      </c>
    </row>
    <row r="2975" customFormat="false" ht="15" hidden="false" customHeight="false" outlineLevel="0" collapsed="false">
      <c r="A2975" s="55"/>
      <c r="B2975" s="56"/>
      <c r="C2975" s="56"/>
      <c r="D2975" s="56"/>
      <c r="E2975" s="56"/>
      <c r="F2975" s="56"/>
      <c r="G2975" s="58"/>
      <c r="H2975" s="56"/>
      <c r="I2975" s="61" t="str">
        <f aca="false">IF(IsPro,IF(OR($C2975="",N($G2975)=0),"",IF(OR($C2975="Receipt",$C2975="Other Income",$C2975="Capital In",$C2975="Transfer In"),$G2975,0)),"")</f>
        <v/>
      </c>
      <c r="J2975" s="61" t="str">
        <f aca="false">IF(IsPro,IF(OR($C2975="",N($G2975)=0),"",IF(I2975=0,$G2975,0)),"")</f>
        <v/>
      </c>
      <c r="K2975" s="60" t="str">
        <f aca="false">IF(IsPro,IF($C2975="","",IF(AND(OR($C2975="Receipt",$C2975="Payment"),$D2975=""),"Party needed",IF(AND(OR($C2975="Expense",$C2975="Other Income"),$E2975=""),"Head needed",IF($F2975="","Account needed","OK")))),IF($C2975="","","PRO PLAN"))</f>
        <v/>
      </c>
    </row>
    <row r="2976" customFormat="false" ht="15" hidden="false" customHeight="false" outlineLevel="0" collapsed="false">
      <c r="A2976" s="55"/>
      <c r="B2976" s="56"/>
      <c r="C2976" s="56"/>
      <c r="D2976" s="56"/>
      <c r="E2976" s="56"/>
      <c r="F2976" s="56"/>
      <c r="G2976" s="58"/>
      <c r="H2976" s="56"/>
      <c r="I2976" s="61" t="str">
        <f aca="false">IF(IsPro,IF(OR($C2976="",N($G2976)=0),"",IF(OR($C2976="Receipt",$C2976="Other Income",$C2976="Capital In",$C2976="Transfer In"),$G2976,0)),"")</f>
        <v/>
      </c>
      <c r="J2976" s="61" t="str">
        <f aca="false">IF(IsPro,IF(OR($C2976="",N($G2976)=0),"",IF(I2976=0,$G2976,0)),"")</f>
        <v/>
      </c>
      <c r="K2976" s="60" t="str">
        <f aca="false">IF(IsPro,IF($C2976="","",IF(AND(OR($C2976="Receipt",$C2976="Payment"),$D2976=""),"Party needed",IF(AND(OR($C2976="Expense",$C2976="Other Income"),$E2976=""),"Head needed",IF($F2976="","Account needed","OK")))),IF($C2976="","","PRO PLAN"))</f>
        <v/>
      </c>
    </row>
    <row r="2977" customFormat="false" ht="15" hidden="false" customHeight="false" outlineLevel="0" collapsed="false">
      <c r="A2977" s="55"/>
      <c r="B2977" s="56"/>
      <c r="C2977" s="56"/>
      <c r="D2977" s="56"/>
      <c r="E2977" s="56"/>
      <c r="F2977" s="56"/>
      <c r="G2977" s="58"/>
      <c r="H2977" s="56"/>
      <c r="I2977" s="61" t="str">
        <f aca="false">IF(IsPro,IF(OR($C2977="",N($G2977)=0),"",IF(OR($C2977="Receipt",$C2977="Other Income",$C2977="Capital In",$C2977="Transfer In"),$G2977,0)),"")</f>
        <v/>
      </c>
      <c r="J2977" s="61" t="str">
        <f aca="false">IF(IsPro,IF(OR($C2977="",N($G2977)=0),"",IF(I2977=0,$G2977,0)),"")</f>
        <v/>
      </c>
      <c r="K2977" s="60" t="str">
        <f aca="false">IF(IsPro,IF($C2977="","",IF(AND(OR($C2977="Receipt",$C2977="Payment"),$D2977=""),"Party needed",IF(AND(OR($C2977="Expense",$C2977="Other Income"),$E2977=""),"Head needed",IF($F2977="","Account needed","OK")))),IF($C2977="","","PRO PLAN"))</f>
        <v/>
      </c>
    </row>
    <row r="2978" customFormat="false" ht="15" hidden="false" customHeight="false" outlineLevel="0" collapsed="false">
      <c r="A2978" s="55"/>
      <c r="B2978" s="56"/>
      <c r="C2978" s="56"/>
      <c r="D2978" s="56"/>
      <c r="E2978" s="56"/>
      <c r="F2978" s="56"/>
      <c r="G2978" s="58"/>
      <c r="H2978" s="56"/>
      <c r="I2978" s="61" t="str">
        <f aca="false">IF(IsPro,IF(OR($C2978="",N($G2978)=0),"",IF(OR($C2978="Receipt",$C2978="Other Income",$C2978="Capital In",$C2978="Transfer In"),$G2978,0)),"")</f>
        <v/>
      </c>
      <c r="J2978" s="61" t="str">
        <f aca="false">IF(IsPro,IF(OR($C2978="",N($G2978)=0),"",IF(I2978=0,$G2978,0)),"")</f>
        <v/>
      </c>
      <c r="K2978" s="60" t="str">
        <f aca="false">IF(IsPro,IF($C2978="","",IF(AND(OR($C2978="Receipt",$C2978="Payment"),$D2978=""),"Party needed",IF(AND(OR($C2978="Expense",$C2978="Other Income"),$E2978=""),"Head needed",IF($F2978="","Account needed","OK")))),IF($C2978="","","PRO PLAN"))</f>
        <v/>
      </c>
    </row>
    <row r="2979" customFormat="false" ht="15" hidden="false" customHeight="false" outlineLevel="0" collapsed="false">
      <c r="A2979" s="55"/>
      <c r="B2979" s="56"/>
      <c r="C2979" s="56"/>
      <c r="D2979" s="56"/>
      <c r="E2979" s="56"/>
      <c r="F2979" s="56"/>
      <c r="G2979" s="58"/>
      <c r="H2979" s="56"/>
      <c r="I2979" s="61" t="str">
        <f aca="false">IF(IsPro,IF(OR($C2979="",N($G2979)=0),"",IF(OR($C2979="Receipt",$C2979="Other Income",$C2979="Capital In",$C2979="Transfer In"),$G2979,0)),"")</f>
        <v/>
      </c>
      <c r="J2979" s="61" t="str">
        <f aca="false">IF(IsPro,IF(OR($C2979="",N($G2979)=0),"",IF(I2979=0,$G2979,0)),"")</f>
        <v/>
      </c>
      <c r="K2979" s="60" t="str">
        <f aca="false">IF(IsPro,IF($C2979="","",IF(AND(OR($C2979="Receipt",$C2979="Payment"),$D2979=""),"Party needed",IF(AND(OR($C2979="Expense",$C2979="Other Income"),$E2979=""),"Head needed",IF($F2979="","Account needed","OK")))),IF($C2979="","","PRO PLAN"))</f>
        <v/>
      </c>
    </row>
    <row r="2980" customFormat="false" ht="15" hidden="false" customHeight="false" outlineLevel="0" collapsed="false">
      <c r="A2980" s="55"/>
      <c r="B2980" s="56"/>
      <c r="C2980" s="56"/>
      <c r="D2980" s="56"/>
      <c r="E2980" s="56"/>
      <c r="F2980" s="56"/>
      <c r="G2980" s="58"/>
      <c r="H2980" s="56"/>
      <c r="I2980" s="61" t="str">
        <f aca="false">IF(IsPro,IF(OR($C2980="",N($G2980)=0),"",IF(OR($C2980="Receipt",$C2980="Other Income",$C2980="Capital In",$C2980="Transfer In"),$G2980,0)),"")</f>
        <v/>
      </c>
      <c r="J2980" s="61" t="str">
        <f aca="false">IF(IsPro,IF(OR($C2980="",N($G2980)=0),"",IF(I2980=0,$G2980,0)),"")</f>
        <v/>
      </c>
      <c r="K2980" s="60" t="str">
        <f aca="false">IF(IsPro,IF($C2980="","",IF(AND(OR($C2980="Receipt",$C2980="Payment"),$D2980=""),"Party needed",IF(AND(OR($C2980="Expense",$C2980="Other Income"),$E2980=""),"Head needed",IF($F2980="","Account needed","OK")))),IF($C2980="","","PRO PLAN"))</f>
        <v/>
      </c>
    </row>
    <row r="2981" customFormat="false" ht="15" hidden="false" customHeight="false" outlineLevel="0" collapsed="false">
      <c r="A2981" s="55"/>
      <c r="B2981" s="56"/>
      <c r="C2981" s="56"/>
      <c r="D2981" s="56"/>
      <c r="E2981" s="56"/>
      <c r="F2981" s="56"/>
      <c r="G2981" s="58"/>
      <c r="H2981" s="56"/>
      <c r="I2981" s="61" t="str">
        <f aca="false">IF(IsPro,IF(OR($C2981="",N($G2981)=0),"",IF(OR($C2981="Receipt",$C2981="Other Income",$C2981="Capital In",$C2981="Transfer In"),$G2981,0)),"")</f>
        <v/>
      </c>
      <c r="J2981" s="61" t="str">
        <f aca="false">IF(IsPro,IF(OR($C2981="",N($G2981)=0),"",IF(I2981=0,$G2981,0)),"")</f>
        <v/>
      </c>
      <c r="K2981" s="60" t="str">
        <f aca="false">IF(IsPro,IF($C2981="","",IF(AND(OR($C2981="Receipt",$C2981="Payment"),$D2981=""),"Party needed",IF(AND(OR($C2981="Expense",$C2981="Other Income"),$E2981=""),"Head needed",IF($F2981="","Account needed","OK")))),IF($C2981="","","PRO PLAN"))</f>
        <v/>
      </c>
    </row>
    <row r="2982" customFormat="false" ht="15" hidden="false" customHeight="false" outlineLevel="0" collapsed="false">
      <c r="A2982" s="55"/>
      <c r="B2982" s="56"/>
      <c r="C2982" s="56"/>
      <c r="D2982" s="56"/>
      <c r="E2982" s="56"/>
      <c r="F2982" s="56"/>
      <c r="G2982" s="58"/>
      <c r="H2982" s="56"/>
      <c r="I2982" s="61" t="str">
        <f aca="false">IF(IsPro,IF(OR($C2982="",N($G2982)=0),"",IF(OR($C2982="Receipt",$C2982="Other Income",$C2982="Capital In",$C2982="Transfer In"),$G2982,0)),"")</f>
        <v/>
      </c>
      <c r="J2982" s="61" t="str">
        <f aca="false">IF(IsPro,IF(OR($C2982="",N($G2982)=0),"",IF(I2982=0,$G2982,0)),"")</f>
        <v/>
      </c>
      <c r="K2982" s="60" t="str">
        <f aca="false">IF(IsPro,IF($C2982="","",IF(AND(OR($C2982="Receipt",$C2982="Payment"),$D2982=""),"Party needed",IF(AND(OR($C2982="Expense",$C2982="Other Income"),$E2982=""),"Head needed",IF($F2982="","Account needed","OK")))),IF($C2982="","","PRO PLAN"))</f>
        <v/>
      </c>
    </row>
    <row r="2983" customFormat="false" ht="15" hidden="false" customHeight="false" outlineLevel="0" collapsed="false">
      <c r="A2983" s="55"/>
      <c r="B2983" s="56"/>
      <c r="C2983" s="56"/>
      <c r="D2983" s="56"/>
      <c r="E2983" s="56"/>
      <c r="F2983" s="56"/>
      <c r="G2983" s="58"/>
      <c r="H2983" s="56"/>
      <c r="I2983" s="61" t="str">
        <f aca="false">IF(IsPro,IF(OR($C2983="",N($G2983)=0),"",IF(OR($C2983="Receipt",$C2983="Other Income",$C2983="Capital In",$C2983="Transfer In"),$G2983,0)),"")</f>
        <v/>
      </c>
      <c r="J2983" s="61" t="str">
        <f aca="false">IF(IsPro,IF(OR($C2983="",N($G2983)=0),"",IF(I2983=0,$G2983,0)),"")</f>
        <v/>
      </c>
      <c r="K2983" s="60" t="str">
        <f aca="false">IF(IsPro,IF($C2983="","",IF(AND(OR($C2983="Receipt",$C2983="Payment"),$D2983=""),"Party needed",IF(AND(OR($C2983="Expense",$C2983="Other Income"),$E2983=""),"Head needed",IF($F2983="","Account needed","OK")))),IF($C2983="","","PRO PLAN"))</f>
        <v/>
      </c>
    </row>
    <row r="2984" customFormat="false" ht="15" hidden="false" customHeight="false" outlineLevel="0" collapsed="false">
      <c r="A2984" s="55"/>
      <c r="B2984" s="56"/>
      <c r="C2984" s="56"/>
      <c r="D2984" s="56"/>
      <c r="E2984" s="56"/>
      <c r="F2984" s="56"/>
      <c r="G2984" s="58"/>
      <c r="H2984" s="56"/>
      <c r="I2984" s="61" t="str">
        <f aca="false">IF(IsPro,IF(OR($C2984="",N($G2984)=0),"",IF(OR($C2984="Receipt",$C2984="Other Income",$C2984="Capital In",$C2984="Transfer In"),$G2984,0)),"")</f>
        <v/>
      </c>
      <c r="J2984" s="61" t="str">
        <f aca="false">IF(IsPro,IF(OR($C2984="",N($G2984)=0),"",IF(I2984=0,$G2984,0)),"")</f>
        <v/>
      </c>
      <c r="K2984" s="60" t="str">
        <f aca="false">IF(IsPro,IF($C2984="","",IF(AND(OR($C2984="Receipt",$C2984="Payment"),$D2984=""),"Party needed",IF(AND(OR($C2984="Expense",$C2984="Other Income"),$E2984=""),"Head needed",IF($F2984="","Account needed","OK")))),IF($C2984="","","PRO PLAN"))</f>
        <v/>
      </c>
    </row>
    <row r="2985" customFormat="false" ht="15" hidden="false" customHeight="false" outlineLevel="0" collapsed="false">
      <c r="A2985" s="55"/>
      <c r="B2985" s="56"/>
      <c r="C2985" s="56"/>
      <c r="D2985" s="56"/>
      <c r="E2985" s="56"/>
      <c r="F2985" s="56"/>
      <c r="G2985" s="58"/>
      <c r="H2985" s="56"/>
      <c r="I2985" s="61" t="str">
        <f aca="false">IF(IsPro,IF(OR($C2985="",N($G2985)=0),"",IF(OR($C2985="Receipt",$C2985="Other Income",$C2985="Capital In",$C2985="Transfer In"),$G2985,0)),"")</f>
        <v/>
      </c>
      <c r="J2985" s="61" t="str">
        <f aca="false">IF(IsPro,IF(OR($C2985="",N($G2985)=0),"",IF(I2985=0,$G2985,0)),"")</f>
        <v/>
      </c>
      <c r="K2985" s="60" t="str">
        <f aca="false">IF(IsPro,IF($C2985="","",IF(AND(OR($C2985="Receipt",$C2985="Payment"),$D2985=""),"Party needed",IF(AND(OR($C2985="Expense",$C2985="Other Income"),$E2985=""),"Head needed",IF($F2985="","Account needed","OK")))),IF($C2985="","","PRO PLAN"))</f>
        <v/>
      </c>
    </row>
    <row r="2986" customFormat="false" ht="15" hidden="false" customHeight="false" outlineLevel="0" collapsed="false">
      <c r="A2986" s="55"/>
      <c r="B2986" s="56"/>
      <c r="C2986" s="56"/>
      <c r="D2986" s="56"/>
      <c r="E2986" s="56"/>
      <c r="F2986" s="56"/>
      <c r="G2986" s="58"/>
      <c r="H2986" s="56"/>
      <c r="I2986" s="61" t="str">
        <f aca="false">IF(IsPro,IF(OR($C2986="",N($G2986)=0),"",IF(OR($C2986="Receipt",$C2986="Other Income",$C2986="Capital In",$C2986="Transfer In"),$G2986,0)),"")</f>
        <v/>
      </c>
      <c r="J2986" s="61" t="str">
        <f aca="false">IF(IsPro,IF(OR($C2986="",N($G2986)=0),"",IF(I2986=0,$G2986,0)),"")</f>
        <v/>
      </c>
      <c r="K2986" s="60" t="str">
        <f aca="false">IF(IsPro,IF($C2986="","",IF(AND(OR($C2986="Receipt",$C2986="Payment"),$D2986=""),"Party needed",IF(AND(OR($C2986="Expense",$C2986="Other Income"),$E2986=""),"Head needed",IF($F2986="","Account needed","OK")))),IF($C2986="","","PRO PLAN"))</f>
        <v/>
      </c>
    </row>
    <row r="2987" customFormat="false" ht="15" hidden="false" customHeight="false" outlineLevel="0" collapsed="false">
      <c r="A2987" s="55"/>
      <c r="B2987" s="56"/>
      <c r="C2987" s="56"/>
      <c r="D2987" s="56"/>
      <c r="E2987" s="56"/>
      <c r="F2987" s="56"/>
      <c r="G2987" s="58"/>
      <c r="H2987" s="56"/>
      <c r="I2987" s="61" t="str">
        <f aca="false">IF(IsPro,IF(OR($C2987="",N($G2987)=0),"",IF(OR($C2987="Receipt",$C2987="Other Income",$C2987="Capital In",$C2987="Transfer In"),$G2987,0)),"")</f>
        <v/>
      </c>
      <c r="J2987" s="61" t="str">
        <f aca="false">IF(IsPro,IF(OR($C2987="",N($G2987)=0),"",IF(I2987=0,$G2987,0)),"")</f>
        <v/>
      </c>
      <c r="K2987" s="60" t="str">
        <f aca="false">IF(IsPro,IF($C2987="","",IF(AND(OR($C2987="Receipt",$C2987="Payment"),$D2987=""),"Party needed",IF(AND(OR($C2987="Expense",$C2987="Other Income"),$E2987=""),"Head needed",IF($F2987="","Account needed","OK")))),IF($C2987="","","PRO PLAN"))</f>
        <v/>
      </c>
    </row>
    <row r="2988" customFormat="false" ht="15" hidden="false" customHeight="false" outlineLevel="0" collapsed="false">
      <c r="A2988" s="55"/>
      <c r="B2988" s="56"/>
      <c r="C2988" s="56"/>
      <c r="D2988" s="56"/>
      <c r="E2988" s="56"/>
      <c r="F2988" s="56"/>
      <c r="G2988" s="58"/>
      <c r="H2988" s="56"/>
      <c r="I2988" s="61" t="str">
        <f aca="false">IF(IsPro,IF(OR($C2988="",N($G2988)=0),"",IF(OR($C2988="Receipt",$C2988="Other Income",$C2988="Capital In",$C2988="Transfer In"),$G2988,0)),"")</f>
        <v/>
      </c>
      <c r="J2988" s="61" t="str">
        <f aca="false">IF(IsPro,IF(OR($C2988="",N($G2988)=0),"",IF(I2988=0,$G2988,0)),"")</f>
        <v/>
      </c>
      <c r="K2988" s="60" t="str">
        <f aca="false">IF(IsPro,IF($C2988="","",IF(AND(OR($C2988="Receipt",$C2988="Payment"),$D2988=""),"Party needed",IF(AND(OR($C2988="Expense",$C2988="Other Income"),$E2988=""),"Head needed",IF($F2988="","Account needed","OK")))),IF($C2988="","","PRO PLAN"))</f>
        <v/>
      </c>
    </row>
    <row r="2989" customFormat="false" ht="15" hidden="false" customHeight="false" outlineLevel="0" collapsed="false">
      <c r="A2989" s="55"/>
      <c r="B2989" s="56"/>
      <c r="C2989" s="56"/>
      <c r="D2989" s="56"/>
      <c r="E2989" s="56"/>
      <c r="F2989" s="56"/>
      <c r="G2989" s="58"/>
      <c r="H2989" s="56"/>
      <c r="I2989" s="61" t="str">
        <f aca="false">IF(IsPro,IF(OR($C2989="",N($G2989)=0),"",IF(OR($C2989="Receipt",$C2989="Other Income",$C2989="Capital In",$C2989="Transfer In"),$G2989,0)),"")</f>
        <v/>
      </c>
      <c r="J2989" s="61" t="str">
        <f aca="false">IF(IsPro,IF(OR($C2989="",N($G2989)=0),"",IF(I2989=0,$G2989,0)),"")</f>
        <v/>
      </c>
      <c r="K2989" s="60" t="str">
        <f aca="false">IF(IsPro,IF($C2989="","",IF(AND(OR($C2989="Receipt",$C2989="Payment"),$D2989=""),"Party needed",IF(AND(OR($C2989="Expense",$C2989="Other Income"),$E2989=""),"Head needed",IF($F2989="","Account needed","OK")))),IF($C2989="","","PRO PLAN"))</f>
        <v/>
      </c>
    </row>
    <row r="2990" customFormat="false" ht="15" hidden="false" customHeight="false" outlineLevel="0" collapsed="false">
      <c r="A2990" s="55"/>
      <c r="B2990" s="56"/>
      <c r="C2990" s="56"/>
      <c r="D2990" s="56"/>
      <c r="E2990" s="56"/>
      <c r="F2990" s="56"/>
      <c r="G2990" s="58"/>
      <c r="H2990" s="56"/>
      <c r="I2990" s="61" t="str">
        <f aca="false">IF(IsPro,IF(OR($C2990="",N($G2990)=0),"",IF(OR($C2990="Receipt",$C2990="Other Income",$C2990="Capital In",$C2990="Transfer In"),$G2990,0)),"")</f>
        <v/>
      </c>
      <c r="J2990" s="61" t="str">
        <f aca="false">IF(IsPro,IF(OR($C2990="",N($G2990)=0),"",IF(I2990=0,$G2990,0)),"")</f>
        <v/>
      </c>
      <c r="K2990" s="60" t="str">
        <f aca="false">IF(IsPro,IF($C2990="","",IF(AND(OR($C2990="Receipt",$C2990="Payment"),$D2990=""),"Party needed",IF(AND(OR($C2990="Expense",$C2990="Other Income"),$E2990=""),"Head needed",IF($F2990="","Account needed","OK")))),IF($C2990="","","PRO PLAN"))</f>
        <v/>
      </c>
    </row>
    <row r="2991" customFormat="false" ht="15" hidden="false" customHeight="false" outlineLevel="0" collapsed="false">
      <c r="A2991" s="55"/>
      <c r="B2991" s="56"/>
      <c r="C2991" s="56"/>
      <c r="D2991" s="56"/>
      <c r="E2991" s="56"/>
      <c r="F2991" s="56"/>
      <c r="G2991" s="58"/>
      <c r="H2991" s="56"/>
      <c r="I2991" s="61" t="str">
        <f aca="false">IF(IsPro,IF(OR($C2991="",N($G2991)=0),"",IF(OR($C2991="Receipt",$C2991="Other Income",$C2991="Capital In",$C2991="Transfer In"),$G2991,0)),"")</f>
        <v/>
      </c>
      <c r="J2991" s="61" t="str">
        <f aca="false">IF(IsPro,IF(OR($C2991="",N($G2991)=0),"",IF(I2991=0,$G2991,0)),"")</f>
        <v/>
      </c>
      <c r="K2991" s="60" t="str">
        <f aca="false">IF(IsPro,IF($C2991="","",IF(AND(OR($C2991="Receipt",$C2991="Payment"),$D2991=""),"Party needed",IF(AND(OR($C2991="Expense",$C2991="Other Income"),$E2991=""),"Head needed",IF($F2991="","Account needed","OK")))),IF($C2991="","","PRO PLAN"))</f>
        <v/>
      </c>
    </row>
    <row r="2992" customFormat="false" ht="15" hidden="false" customHeight="false" outlineLevel="0" collapsed="false">
      <c r="A2992" s="55"/>
      <c r="B2992" s="56"/>
      <c r="C2992" s="56"/>
      <c r="D2992" s="56"/>
      <c r="E2992" s="56"/>
      <c r="F2992" s="56"/>
      <c r="G2992" s="58"/>
      <c r="H2992" s="56"/>
      <c r="I2992" s="61" t="str">
        <f aca="false">IF(IsPro,IF(OR($C2992="",N($G2992)=0),"",IF(OR($C2992="Receipt",$C2992="Other Income",$C2992="Capital In",$C2992="Transfer In"),$G2992,0)),"")</f>
        <v/>
      </c>
      <c r="J2992" s="61" t="str">
        <f aca="false">IF(IsPro,IF(OR($C2992="",N($G2992)=0),"",IF(I2992=0,$G2992,0)),"")</f>
        <v/>
      </c>
      <c r="K2992" s="60" t="str">
        <f aca="false">IF(IsPro,IF($C2992="","",IF(AND(OR($C2992="Receipt",$C2992="Payment"),$D2992=""),"Party needed",IF(AND(OR($C2992="Expense",$C2992="Other Income"),$E2992=""),"Head needed",IF($F2992="","Account needed","OK")))),IF($C2992="","","PRO PLAN"))</f>
        <v/>
      </c>
    </row>
    <row r="2993" customFormat="false" ht="15" hidden="false" customHeight="false" outlineLevel="0" collapsed="false">
      <c r="A2993" s="55"/>
      <c r="B2993" s="56"/>
      <c r="C2993" s="56"/>
      <c r="D2993" s="56"/>
      <c r="E2993" s="56"/>
      <c r="F2993" s="56"/>
      <c r="G2993" s="58"/>
      <c r="H2993" s="56"/>
      <c r="I2993" s="61" t="str">
        <f aca="false">IF(IsPro,IF(OR($C2993="",N($G2993)=0),"",IF(OR($C2993="Receipt",$C2993="Other Income",$C2993="Capital In",$C2993="Transfer In"),$G2993,0)),"")</f>
        <v/>
      </c>
      <c r="J2993" s="61" t="str">
        <f aca="false">IF(IsPro,IF(OR($C2993="",N($G2993)=0),"",IF(I2993=0,$G2993,0)),"")</f>
        <v/>
      </c>
      <c r="K2993" s="60" t="str">
        <f aca="false">IF(IsPro,IF($C2993="","",IF(AND(OR($C2993="Receipt",$C2993="Payment"),$D2993=""),"Party needed",IF(AND(OR($C2993="Expense",$C2993="Other Income"),$E2993=""),"Head needed",IF($F2993="","Account needed","OK")))),IF($C2993="","","PRO PLAN"))</f>
        <v/>
      </c>
    </row>
    <row r="2994" customFormat="false" ht="15" hidden="false" customHeight="false" outlineLevel="0" collapsed="false">
      <c r="A2994" s="55"/>
      <c r="B2994" s="56"/>
      <c r="C2994" s="56"/>
      <c r="D2994" s="56"/>
      <c r="E2994" s="56"/>
      <c r="F2994" s="56"/>
      <c r="G2994" s="58"/>
      <c r="H2994" s="56"/>
      <c r="I2994" s="61" t="str">
        <f aca="false">IF(IsPro,IF(OR($C2994="",N($G2994)=0),"",IF(OR($C2994="Receipt",$C2994="Other Income",$C2994="Capital In",$C2994="Transfer In"),$G2994,0)),"")</f>
        <v/>
      </c>
      <c r="J2994" s="61" t="str">
        <f aca="false">IF(IsPro,IF(OR($C2994="",N($G2994)=0),"",IF(I2994=0,$G2994,0)),"")</f>
        <v/>
      </c>
      <c r="K2994" s="60" t="str">
        <f aca="false">IF(IsPro,IF($C2994="","",IF(AND(OR($C2994="Receipt",$C2994="Payment"),$D2994=""),"Party needed",IF(AND(OR($C2994="Expense",$C2994="Other Income"),$E2994=""),"Head needed",IF($F2994="","Account needed","OK")))),IF($C2994="","","PRO PLAN"))</f>
        <v/>
      </c>
    </row>
    <row r="2995" customFormat="false" ht="15" hidden="false" customHeight="false" outlineLevel="0" collapsed="false">
      <c r="A2995" s="55"/>
      <c r="B2995" s="56"/>
      <c r="C2995" s="56"/>
      <c r="D2995" s="56"/>
      <c r="E2995" s="56"/>
      <c r="F2995" s="56"/>
      <c r="G2995" s="58"/>
      <c r="H2995" s="56"/>
      <c r="I2995" s="61" t="str">
        <f aca="false">IF(IsPro,IF(OR($C2995="",N($G2995)=0),"",IF(OR($C2995="Receipt",$C2995="Other Income",$C2995="Capital In",$C2995="Transfer In"),$G2995,0)),"")</f>
        <v/>
      </c>
      <c r="J2995" s="61" t="str">
        <f aca="false">IF(IsPro,IF(OR($C2995="",N($G2995)=0),"",IF(I2995=0,$G2995,0)),"")</f>
        <v/>
      </c>
      <c r="K2995" s="60" t="str">
        <f aca="false">IF(IsPro,IF($C2995="","",IF(AND(OR($C2995="Receipt",$C2995="Payment"),$D2995=""),"Party needed",IF(AND(OR($C2995="Expense",$C2995="Other Income"),$E2995=""),"Head needed",IF($F2995="","Account needed","OK")))),IF($C2995="","","PRO PLAN"))</f>
        <v/>
      </c>
    </row>
    <row r="2996" customFormat="false" ht="15" hidden="false" customHeight="false" outlineLevel="0" collapsed="false">
      <c r="A2996" s="55"/>
      <c r="B2996" s="56"/>
      <c r="C2996" s="56"/>
      <c r="D2996" s="56"/>
      <c r="E2996" s="56"/>
      <c r="F2996" s="56"/>
      <c r="G2996" s="58"/>
      <c r="H2996" s="56"/>
      <c r="I2996" s="61" t="str">
        <f aca="false">IF(IsPro,IF(OR($C2996="",N($G2996)=0),"",IF(OR($C2996="Receipt",$C2996="Other Income",$C2996="Capital In",$C2996="Transfer In"),$G2996,0)),"")</f>
        <v/>
      </c>
      <c r="J2996" s="61" t="str">
        <f aca="false">IF(IsPro,IF(OR($C2996="",N($G2996)=0),"",IF(I2996=0,$G2996,0)),"")</f>
        <v/>
      </c>
      <c r="K2996" s="60" t="str">
        <f aca="false">IF(IsPro,IF($C2996="","",IF(AND(OR($C2996="Receipt",$C2996="Payment"),$D2996=""),"Party needed",IF(AND(OR($C2996="Expense",$C2996="Other Income"),$E2996=""),"Head needed",IF($F2996="","Account needed","OK")))),IF($C2996="","","PRO PLAN"))</f>
        <v/>
      </c>
    </row>
    <row r="2997" customFormat="false" ht="15" hidden="false" customHeight="false" outlineLevel="0" collapsed="false">
      <c r="A2997" s="55"/>
      <c r="B2997" s="56"/>
      <c r="C2997" s="56"/>
      <c r="D2997" s="56"/>
      <c r="E2997" s="56"/>
      <c r="F2997" s="56"/>
      <c r="G2997" s="58"/>
      <c r="H2997" s="56"/>
      <c r="I2997" s="61" t="str">
        <f aca="false">IF(IsPro,IF(OR($C2997="",N($G2997)=0),"",IF(OR($C2997="Receipt",$C2997="Other Income",$C2997="Capital In",$C2997="Transfer In"),$G2997,0)),"")</f>
        <v/>
      </c>
      <c r="J2997" s="61" t="str">
        <f aca="false">IF(IsPro,IF(OR($C2997="",N($G2997)=0),"",IF(I2997=0,$G2997,0)),"")</f>
        <v/>
      </c>
      <c r="K2997" s="60" t="str">
        <f aca="false">IF(IsPro,IF($C2997="","",IF(AND(OR($C2997="Receipt",$C2997="Payment"),$D2997=""),"Party needed",IF(AND(OR($C2997="Expense",$C2997="Other Income"),$E2997=""),"Head needed",IF($F2997="","Account needed","OK")))),IF($C2997="","","PRO PLAN"))</f>
        <v/>
      </c>
    </row>
    <row r="2998" customFormat="false" ht="15" hidden="false" customHeight="false" outlineLevel="0" collapsed="false">
      <c r="A2998" s="55"/>
      <c r="B2998" s="56"/>
      <c r="C2998" s="56"/>
      <c r="D2998" s="56"/>
      <c r="E2998" s="56"/>
      <c r="F2998" s="56"/>
      <c r="G2998" s="58"/>
      <c r="H2998" s="56"/>
      <c r="I2998" s="61" t="str">
        <f aca="false">IF(IsPro,IF(OR($C2998="",N($G2998)=0),"",IF(OR($C2998="Receipt",$C2998="Other Income",$C2998="Capital In",$C2998="Transfer In"),$G2998,0)),"")</f>
        <v/>
      </c>
      <c r="J2998" s="61" t="str">
        <f aca="false">IF(IsPro,IF(OR($C2998="",N($G2998)=0),"",IF(I2998=0,$G2998,0)),"")</f>
        <v/>
      </c>
      <c r="K2998" s="60" t="str">
        <f aca="false">IF(IsPro,IF($C2998="","",IF(AND(OR($C2998="Receipt",$C2998="Payment"),$D2998=""),"Party needed",IF(AND(OR($C2998="Expense",$C2998="Other Income"),$E2998=""),"Head needed",IF($F2998="","Account needed","OK")))),IF($C2998="","","PRO PLAN"))</f>
        <v/>
      </c>
    </row>
    <row r="2999" customFormat="false" ht="15" hidden="false" customHeight="false" outlineLevel="0" collapsed="false">
      <c r="A2999" s="55"/>
      <c r="B2999" s="56"/>
      <c r="C2999" s="56"/>
      <c r="D2999" s="56"/>
      <c r="E2999" s="56"/>
      <c r="F2999" s="56"/>
      <c r="G2999" s="58"/>
      <c r="H2999" s="56"/>
      <c r="I2999" s="61" t="str">
        <f aca="false">IF(IsPro,IF(OR($C2999="",N($G2999)=0),"",IF(OR($C2999="Receipt",$C2999="Other Income",$C2999="Capital In",$C2999="Transfer In"),$G2999,0)),"")</f>
        <v/>
      </c>
      <c r="J2999" s="61" t="str">
        <f aca="false">IF(IsPro,IF(OR($C2999="",N($G2999)=0),"",IF(I2999=0,$G2999,0)),"")</f>
        <v/>
      </c>
      <c r="K2999" s="60" t="str">
        <f aca="false">IF(IsPro,IF($C2999="","",IF(AND(OR($C2999="Receipt",$C2999="Payment"),$D2999=""),"Party needed",IF(AND(OR($C2999="Expense",$C2999="Other Income"),$E2999=""),"Head needed",IF($F2999="","Account needed","OK")))),IF($C2999="","","PRO PLAN"))</f>
        <v/>
      </c>
    </row>
    <row r="3000" customFormat="false" ht="15" hidden="false" customHeight="false" outlineLevel="0" collapsed="false">
      <c r="A3000" s="55"/>
      <c r="B3000" s="56"/>
      <c r="C3000" s="56"/>
      <c r="D3000" s="56"/>
      <c r="E3000" s="56"/>
      <c r="F3000" s="56"/>
      <c r="G3000" s="58"/>
      <c r="H3000" s="56"/>
      <c r="I3000" s="61" t="str">
        <f aca="false">IF(IsPro,IF(OR($C3000="",N($G3000)=0),"",IF(OR($C3000="Receipt",$C3000="Other Income",$C3000="Capital In",$C3000="Transfer In"),$G3000,0)),"")</f>
        <v/>
      </c>
      <c r="J3000" s="61" t="str">
        <f aca="false">IF(IsPro,IF(OR($C3000="",N($G3000)=0),"",IF(I3000=0,$G3000,0)),"")</f>
        <v/>
      </c>
      <c r="K3000" s="60" t="str">
        <f aca="false">IF(IsPro,IF($C3000="","",IF(AND(OR($C3000="Receipt",$C3000="Payment"),$D3000=""),"Party needed",IF(AND(OR($C3000="Expense",$C3000="Other Income"),$E3000=""),"Head needed",IF($F3000="","Account needed","OK")))),IF($C3000="","","PRO PLAN"))</f>
        <v/>
      </c>
    </row>
    <row r="3001" customFormat="false" ht="15" hidden="false" customHeight="false" outlineLevel="0" collapsed="false">
      <c r="A3001" s="55"/>
      <c r="B3001" s="56"/>
      <c r="C3001" s="56"/>
      <c r="D3001" s="56"/>
      <c r="E3001" s="56"/>
      <c r="F3001" s="56"/>
      <c r="G3001" s="58"/>
      <c r="H3001" s="56"/>
      <c r="I3001" s="61" t="str">
        <f aca="false">IF(IsPro,IF(OR($C3001="",N($G3001)=0),"",IF(OR($C3001="Receipt",$C3001="Other Income",$C3001="Capital In",$C3001="Transfer In"),$G3001,0)),"")</f>
        <v/>
      </c>
      <c r="J3001" s="61" t="str">
        <f aca="false">IF(IsPro,IF(OR($C3001="",N($G3001)=0),"",IF(I3001=0,$G3001,0)),"")</f>
        <v/>
      </c>
      <c r="K3001" s="60" t="str">
        <f aca="false">IF(IsPro,IF($C3001="","",IF(AND(OR($C3001="Receipt",$C3001="Payment"),$D3001=""),"Party needed",IF(AND(OR($C3001="Expense",$C3001="Other Income"),$E3001=""),"Head needed",IF($F3001="","Account needed","OK")))),IF($C3001="","","PRO PLAN"))</f>
        <v/>
      </c>
    </row>
    <row r="3002" customFormat="false" ht="15" hidden="false" customHeight="false" outlineLevel="0" collapsed="false">
      <c r="A3002" s="55"/>
      <c r="B3002" s="56"/>
      <c r="C3002" s="56"/>
      <c r="D3002" s="56"/>
      <c r="E3002" s="56"/>
      <c r="F3002" s="56"/>
      <c r="G3002" s="58"/>
      <c r="H3002" s="56"/>
      <c r="I3002" s="61" t="str">
        <f aca="false">IF(IsPro,IF(OR($C3002="",N($G3002)=0),"",IF(OR($C3002="Receipt",$C3002="Other Income",$C3002="Capital In",$C3002="Transfer In"),$G3002,0)),"")</f>
        <v/>
      </c>
      <c r="J3002" s="61" t="str">
        <f aca="false">IF(IsPro,IF(OR($C3002="",N($G3002)=0),"",IF(I3002=0,$G3002,0)),"")</f>
        <v/>
      </c>
      <c r="K3002" s="60" t="str">
        <f aca="false">IF(IsPro,IF($C3002="","",IF(AND(OR($C3002="Receipt",$C3002="Payment"),$D3002=""),"Party needed",IF(AND(OR($C3002="Expense",$C3002="Other Income"),$E3002=""),"Head needed",IF($F3002="","Account needed","OK")))),IF($C3002="","","PRO PLAN"))</f>
        <v/>
      </c>
    </row>
    <row r="3003" customFormat="false" ht="15" hidden="false" customHeight="false" outlineLevel="0" collapsed="false">
      <c r="A3003" s="55"/>
      <c r="B3003" s="56"/>
      <c r="C3003" s="56"/>
      <c r="D3003" s="56"/>
      <c r="E3003" s="56"/>
      <c r="F3003" s="56"/>
      <c r="G3003" s="58"/>
      <c r="H3003" s="56"/>
      <c r="I3003" s="61" t="str">
        <f aca="false">IF(IsPro,IF(OR($C3003="",N($G3003)=0),"",IF(OR($C3003="Receipt",$C3003="Other Income",$C3003="Capital In",$C3003="Transfer In"),$G3003,0)),"")</f>
        <v/>
      </c>
      <c r="J3003" s="61" t="str">
        <f aca="false">IF(IsPro,IF(OR($C3003="",N($G3003)=0),"",IF(I3003=0,$G3003,0)),"")</f>
        <v/>
      </c>
      <c r="K3003" s="60" t="str">
        <f aca="false">IF(IsPro,IF($C3003="","",IF(AND(OR($C3003="Receipt",$C3003="Payment"),$D3003=""),"Party needed",IF(AND(OR($C3003="Expense",$C3003="Other Income"),$E3003=""),"Head needed",IF($F3003="","Account needed","OK")))),IF($C3003="","","PRO PLAN"))</f>
        <v/>
      </c>
    </row>
    <row r="3004" customFormat="false" ht="15" hidden="false" customHeight="false" outlineLevel="0" collapsed="false">
      <c r="A3004" s="55"/>
      <c r="B3004" s="56"/>
      <c r="C3004" s="56"/>
      <c r="D3004" s="56"/>
      <c r="E3004" s="56"/>
      <c r="F3004" s="56"/>
      <c r="G3004" s="58"/>
      <c r="H3004" s="56"/>
      <c r="I3004" s="61" t="str">
        <f aca="false">IF(IsPro,IF(OR($C3004="",N($G3004)=0),"",IF(OR($C3004="Receipt",$C3004="Other Income",$C3004="Capital In",$C3004="Transfer In"),$G3004,0)),"")</f>
        <v/>
      </c>
      <c r="J3004" s="61" t="str">
        <f aca="false">IF(IsPro,IF(OR($C3004="",N($G3004)=0),"",IF(I3004=0,$G3004,0)),"")</f>
        <v/>
      </c>
      <c r="K3004" s="60" t="str">
        <f aca="false">IF(IsPro,IF($C3004="","",IF(AND(OR($C3004="Receipt",$C3004="Payment"),$D3004=""),"Party needed",IF(AND(OR($C3004="Expense",$C3004="Other Income"),$E3004=""),"Head needed",IF($F3004="","Account needed","OK")))),IF($C3004="","","PRO PLAN"))</f>
        <v/>
      </c>
    </row>
  </sheetData>
  <autoFilter ref="A4:K3004"/>
  <mergeCells count="2">
    <mergeCell ref="A1:K1"/>
    <mergeCell ref="A2:K2"/>
  </mergeCells>
  <conditionalFormatting sqref="K5:K3004">
    <cfRule type="expression" priority="2" aboveAverage="0" equalAverage="0" bottom="0" percent="0" rank="0" text="" dxfId="2">
      <formula>AND(K5&lt;&gt;"",K5&lt;&gt;"OK")</formula>
    </cfRule>
    <cfRule type="cellIs" priority="3" operator="equal" aboveAverage="0" equalAverage="0" bottom="0" percent="0" rank="0" text="" dxfId="15">
      <formula>"PRO PLAN"</formula>
    </cfRule>
  </conditionalFormatting>
  <dataValidations count="4">
    <dataValidation allowBlank="true" error="Pick a value from the list (add new masters on the master sheet first)." errorStyle="stop" operator="between" showDropDown="false" showErrorMessage="true" showInputMessage="false" sqref="C5:C3004" type="list">
      <formula1>L_VoucherTypes</formula1>
      <formula2>0</formula2>
    </dataValidation>
    <dataValidation allowBlank="true" error="Pick a value from the list (add new masters on the master sheet first)." errorStyle="stop" operator="between" showDropDown="false" showErrorMessage="true" showInputMessage="false" sqref="D5:D3004" type="list">
      <formula1>L_Parties</formula1>
      <formula2>0</formula2>
    </dataValidation>
    <dataValidation allowBlank="true" error="Pick a value from the list (add new masters on the master sheet first)." errorStyle="warning" operator="between" showDropDown="false" showErrorMessage="false" showInputMessage="false" sqref="E5:E3004" type="list">
      <formula1>L_ExpenseHeads</formula1>
      <formula2>0</formula2>
    </dataValidation>
    <dataValidation allowBlank="true" error="Pick a value from the list (add new masters on the master sheet first)." errorStyle="stop" operator="between" showDropDown="false" showErrorMessage="true" showInputMessage="false" sqref="F5:F3004" type="list">
      <formula1>L_Accounts</formula1>
      <formula2>0</formula2>
    </dataValidation>
  </dataValidations>
  <hyperlinks>
    <hyperlink ref="M1" r:id="rId1" location="Dashboard!A1" display="« Ho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83593"/>
    <pageSetUpPr fitToPage="false"/>
  </sheetPr>
  <dimension ref="A1:AB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7"/>
    <col collapsed="false" customWidth="true" hidden="false" outlineLevel="0" max="8" min="7" style="0" width="11"/>
    <col collapsed="false" customWidth="true" hidden="false" outlineLevel="0" max="10" min="9" style="0" width="9"/>
    <col collapsed="false" customWidth="true" hidden="false" outlineLevel="0" max="12" min="11" style="0" width="10"/>
    <col collapsed="false" customWidth="true" hidden="false" outlineLevel="0" max="14" min="13" style="0" width="9"/>
    <col collapsed="false" customWidth="true" hidden="false" outlineLevel="0" max="16" min="15" style="0" width="10"/>
    <col collapsed="false" customWidth="true" hidden="false" outlineLevel="0" max="17" min="17" style="0" width="12"/>
    <col collapsed="false" customWidth="true" hidden="false" outlineLevel="0" max="18" min="18" style="0" width="13"/>
    <col collapsed="false" customWidth="true" hidden="false" outlineLevel="0" max="19" min="19" style="0" width="8"/>
    <col collapsed="false" customWidth="true" hidden="false" outlineLevel="0" max="20" min="20" style="0" width="10"/>
    <col collapsed="false" customWidth="true" hidden="false" outlineLevel="0" max="22" min="21" style="0" width="12"/>
    <col collapsed="false" customWidth="true" hidden="false" outlineLevel="0" max="23" min="23" style="0" width="10"/>
    <col collapsed="false" customWidth="true" hidden="false" outlineLevel="0" max="25" min="24" style="0" width="8"/>
    <col collapsed="false" customWidth="true" hidden="true" outlineLevel="0" max="26" min="26" style="0" width="6"/>
  </cols>
  <sheetData>
    <row r="1" customFormat="false" ht="27.75" hidden="false" customHeight="true" outlineLevel="0" collapsed="false">
      <c r="A1" s="49" t="s">
        <v>391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B1" s="50" t="s">
        <v>43</v>
      </c>
    </row>
    <row r="2" customFormat="false" ht="15" hidden="false" customHeight="false" outlineLevel="0" collapsed="false">
      <c r="A2" s="3" t="s">
        <v>392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51" t="s">
        <v>45</v>
      </c>
      <c r="L3" s="52" t="s">
        <v>46</v>
      </c>
    </row>
    <row r="4" customFormat="false" ht="31.5" hidden="false" customHeight="true" outlineLevel="0" collapsed="false">
      <c r="A4" s="53" t="s">
        <v>393</v>
      </c>
      <c r="B4" s="53" t="s">
        <v>394</v>
      </c>
      <c r="C4" s="53" t="s">
        <v>395</v>
      </c>
      <c r="D4" s="53" t="s">
        <v>56</v>
      </c>
      <c r="E4" s="53" t="s">
        <v>396</v>
      </c>
      <c r="F4" s="53" t="s">
        <v>59</v>
      </c>
      <c r="G4" s="53" t="s">
        <v>397</v>
      </c>
      <c r="H4" s="53" t="s">
        <v>398</v>
      </c>
      <c r="I4" s="53" t="s">
        <v>399</v>
      </c>
      <c r="J4" s="53" t="s">
        <v>400</v>
      </c>
      <c r="K4" s="53" t="s">
        <v>401</v>
      </c>
      <c r="L4" s="54" t="s">
        <v>402</v>
      </c>
      <c r="M4" s="54" t="s">
        <v>403</v>
      </c>
      <c r="N4" s="54" t="s">
        <v>404</v>
      </c>
      <c r="O4" s="54" t="s">
        <v>405</v>
      </c>
      <c r="P4" s="54" t="s">
        <v>406</v>
      </c>
      <c r="Q4" s="54" t="s">
        <v>407</v>
      </c>
      <c r="R4" s="54" t="s">
        <v>40</v>
      </c>
      <c r="S4" s="54" t="s">
        <v>408</v>
      </c>
      <c r="T4" s="54" t="s">
        <v>409</v>
      </c>
      <c r="U4" s="54" t="s">
        <v>410</v>
      </c>
      <c r="V4" s="54" t="s">
        <v>411</v>
      </c>
      <c r="W4" s="54" t="s">
        <v>412</v>
      </c>
      <c r="X4" s="54" t="s">
        <v>413</v>
      </c>
      <c r="Y4" s="54" t="s">
        <v>414</v>
      </c>
      <c r="Z4" s="54" t="s">
        <v>415</v>
      </c>
    </row>
    <row r="5" customFormat="false" ht="15" hidden="false" customHeight="false" outlineLevel="0" collapsed="false">
      <c r="A5" s="56" t="s">
        <v>73</v>
      </c>
      <c r="B5" s="56" t="s">
        <v>416</v>
      </c>
      <c r="C5" s="56" t="s">
        <v>417</v>
      </c>
      <c r="D5" s="56" t="s">
        <v>418</v>
      </c>
      <c r="E5" s="56" t="s">
        <v>419</v>
      </c>
      <c r="F5" s="63" t="n">
        <v>0.05</v>
      </c>
      <c r="G5" s="58" t="n">
        <v>1650</v>
      </c>
      <c r="H5" s="58" t="n">
        <v>2106</v>
      </c>
      <c r="I5" s="57" t="n">
        <v>10</v>
      </c>
      <c r="J5" s="57" t="n">
        <v>40</v>
      </c>
      <c r="K5" s="58" t="n">
        <v>1620</v>
      </c>
      <c r="L5" s="64" t="n">
        <f aca="false">IF($A5="","",SUMIFS(Purchases!$E$5:INDEX(Purchases!$E$5:$E$3004,TxRows),Purchases!$D$5:INDEX(Purchases!$D$5:$D$3004,TxRows),$A5))</f>
        <v>104</v>
      </c>
      <c r="M5" s="64" t="n">
        <f aca="false">IF($A5="","",SUMIFS(Sales!$E$5:INDEX(Sales!$E$5:$E$3004,TxRows),Sales!$D$5:INDEX(Sales!$D$5:$D$3004,TxRows),$A5))</f>
        <v>94</v>
      </c>
      <c r="N5" s="64" t="n">
        <f aca="false">IF($A5="","",SUMIFS(Adjustments!$C$5:$C$504,Adjustments!$B$5:$B$504,$A5))</f>
        <v>1</v>
      </c>
      <c r="O5" s="64" t="n">
        <f aca="false">IF($A5="","",N($J5)+L5-M5+N5)</f>
        <v>51</v>
      </c>
      <c r="P5" s="61" t="n">
        <f aca="false">IF($A5="","",IFERROR((N($J5)*N($K5)+SUMIFS(Purchases!$K$5:INDEX(Purchases!$K$5:$K$3004,TxRows),Purchases!$D$5:INDEX(Purchases!$D$5:$D$3004,TxRows),$A5))/(N($J5)+L5),N($G5)))</f>
        <v>1647.43055555556</v>
      </c>
      <c r="Q5" s="61" t="n">
        <f aca="false">IF($A5="","",MAX(0,O5)*P5)</f>
        <v>84018.9583333333</v>
      </c>
      <c r="R5" s="60" t="str">
        <f aca="false">IF($A5="","",IF(O5&lt;0,"NEGATIVE",IF(O5=0,"OUT OF STOCK",IF(O5&lt;=N($I5),"REORDER",IF(AND(O5&gt;0,X5&gt;DeadDays),"DEAD STOCK","OK")))))</f>
        <v>OK</v>
      </c>
      <c r="S5" s="65" t="n">
        <f aca="false">IF($A5="","",IF(N($H5)=0,0,(N($H5)-P5)/N($H5)))</f>
        <v>0.217744275614646</v>
      </c>
      <c r="T5" s="64" t="n">
        <f aca="false">IF($A5="","",IF(O5&lt;=N($I5),MAX(0,2*N($I5)-O5),0))</f>
        <v>0</v>
      </c>
      <c r="U5" s="61" t="n">
        <f aca="false">IF($A5="","",SUMIFS(Sales!$L$5:INDEX(Sales!$L$5:$L$3004,TxRows),Sales!$D$5:INDEX(Sales!$D$5:$D$3004,TxRows),$A5))</f>
        <v>195710.58</v>
      </c>
      <c r="V5" s="61" t="n">
        <f aca="false">IF($A5="","",SUMIFS(Sales!$S$5:INDEX(Sales!$S$5:$S$3004,TxRows),Sales!$D$5:INDEX(Sales!$D$5:$D$3004,TxRows),$A5))</f>
        <v>40852.16</v>
      </c>
      <c r="W5" s="66" t="n">
        <f aca="false">IF($A5="","",IFERROR(SUMPRODUCT(MAX((Sales!$D$5:INDEX(Sales!$D$5:$D$3004,TxRows)=$A5)*Sales!$A$5:INDEX(Sales!$A$5:$A$3004,TxRows))),0))</f>
        <v>46295</v>
      </c>
      <c r="X5" s="67" t="n">
        <f aca="false">IF($A5="","",IF(W5=0,AsOf-FYStart,AsOf-W5))</f>
        <v>11</v>
      </c>
      <c r="Y5" s="67" t="n">
        <f aca="false">IF($A5="","",IF(M5=0,"",O5/(M5/MAX(1,AsOf-FYStart))))</f>
        <v>104.712765957447</v>
      </c>
      <c r="Z5" s="60" t="n">
        <f aca="false">IF($A5="","",U5+ROW()/1000000)</f>
        <v>195710.580005</v>
      </c>
    </row>
    <row r="6" customFormat="false" ht="15" hidden="false" customHeight="false" outlineLevel="0" collapsed="false">
      <c r="A6" s="56" t="s">
        <v>86</v>
      </c>
      <c r="B6" s="56" t="s">
        <v>420</v>
      </c>
      <c r="C6" s="56" t="s">
        <v>417</v>
      </c>
      <c r="D6" s="56" t="s">
        <v>418</v>
      </c>
      <c r="E6" s="56" t="s">
        <v>421</v>
      </c>
      <c r="F6" s="63" t="n">
        <v>0.05</v>
      </c>
      <c r="G6" s="58" t="n">
        <v>2050</v>
      </c>
      <c r="H6" s="58" t="n">
        <v>2462</v>
      </c>
      <c r="I6" s="57" t="n">
        <v>8</v>
      </c>
      <c r="J6" s="57" t="n">
        <v>25</v>
      </c>
      <c r="K6" s="58" t="n">
        <v>2000</v>
      </c>
      <c r="L6" s="64" t="n">
        <f aca="false">IF($A6="","",SUMIFS(Purchases!$E$5:INDEX(Purchases!$E$5:$E$3004,TxRows),Purchases!$D$5:INDEX(Purchases!$D$5:$D$3004,TxRows),$A6))</f>
        <v>56</v>
      </c>
      <c r="M6" s="64" t="n">
        <f aca="false">IF($A6="","",SUMIFS(Sales!$E$5:INDEX(Sales!$E$5:$E$3004,TxRows),Sales!$D$5:INDEX(Sales!$D$5:$D$3004,TxRows),$A6))</f>
        <v>58</v>
      </c>
      <c r="N6" s="64" t="n">
        <f aca="false">IF($A6="","",SUMIFS(Adjustments!$C$5:$C$504,Adjustments!$B$5:$B$504,$A6))</f>
        <v>0</v>
      </c>
      <c r="O6" s="64" t="n">
        <f aca="false">IF($A6="","",N($J6)+L6-M6+N6)</f>
        <v>23</v>
      </c>
      <c r="P6" s="61" t="n">
        <f aca="false">IF($A6="","",IFERROR((N($J6)*N($K6)+SUMIFS(Purchases!$K$5:INDEX(Purchases!$K$5:$K$3004,TxRows),Purchases!$D$5:INDEX(Purchases!$D$5:$D$3004,TxRows),$A6))/(N($J6)+L6),N($G6)))</f>
        <v>2037.72839506173</v>
      </c>
      <c r="Q6" s="61" t="n">
        <f aca="false">IF($A6="","",MAX(0,O6)*P6)</f>
        <v>46867.7530864198</v>
      </c>
      <c r="R6" s="60" t="str">
        <f aca="false">IF($A6="","",IF(O6&lt;0,"NEGATIVE",IF(O6=0,"OUT OF STOCK",IF(O6&lt;=N($I6),"REORDER",IF(AND(O6&gt;0,X6&gt;DeadDays),"DEAD STOCK","OK")))))</f>
        <v>OK</v>
      </c>
      <c r="S6" s="65" t="n">
        <f aca="false">IF($A6="","",IF(N($H6)=0,0,(N($H6)-P6)/N($H6)))</f>
        <v>0.172328028000923</v>
      </c>
      <c r="T6" s="64" t="n">
        <f aca="false">IF($A6="","",IF(O6&lt;=N($I6),MAX(0,2*N($I6)-O6),0))</f>
        <v>0</v>
      </c>
      <c r="U6" s="61" t="n">
        <f aca="false">IF($A6="","",SUMIFS(Sales!$L$5:INDEX(Sales!$L$5:$L$3004,TxRows),Sales!$D$5:INDEX(Sales!$D$5:$D$3004,TxRows),$A6))</f>
        <v>140580.2</v>
      </c>
      <c r="V6" s="61" t="n">
        <f aca="false">IF($A6="","",SUMIFS(Sales!$S$5:INDEX(Sales!$S$5:$S$3004,TxRows),Sales!$D$5:INDEX(Sales!$D$5:$D$3004,TxRows),$A6))</f>
        <v>22391.93</v>
      </c>
      <c r="W6" s="66" t="n">
        <f aca="false">IF($A6="","",IFERROR(SUMPRODUCT(MAX((Sales!$D$5:INDEX(Sales!$D$5:$D$3004,TxRows)=$A6)*Sales!$A$5:INDEX(Sales!$A$5:$A$3004,TxRows))),0))</f>
        <v>46304</v>
      </c>
      <c r="X6" s="67" t="n">
        <f aca="false">IF($A6="","",IF(W6=0,AsOf-FYStart,AsOf-W6))</f>
        <v>2</v>
      </c>
      <c r="Y6" s="67" t="n">
        <f aca="false">IF($A6="","",IF(M6=0,"",O6/(M6/MAX(1,AsOf-FYStart))))</f>
        <v>76.5344827586207</v>
      </c>
      <c r="Z6" s="60" t="n">
        <f aca="false">IF($A6="","",U6+ROW()/1000000)</f>
        <v>140580.200006</v>
      </c>
    </row>
    <row r="7" customFormat="false" ht="15" hidden="false" customHeight="false" outlineLevel="0" collapsed="false">
      <c r="A7" s="56" t="s">
        <v>96</v>
      </c>
      <c r="B7" s="56" t="s">
        <v>422</v>
      </c>
      <c r="C7" s="56" t="s">
        <v>417</v>
      </c>
      <c r="D7" s="56" t="s">
        <v>423</v>
      </c>
      <c r="E7" s="56" t="s">
        <v>424</v>
      </c>
      <c r="F7" s="63" t="n">
        <v>0.05</v>
      </c>
      <c r="G7" s="58" t="n">
        <v>1880</v>
      </c>
      <c r="H7" s="58" t="n">
        <v>2290</v>
      </c>
      <c r="I7" s="57" t="n">
        <v>10</v>
      </c>
      <c r="J7" s="57" t="n">
        <v>30</v>
      </c>
      <c r="K7" s="58" t="n">
        <v>1850</v>
      </c>
      <c r="L7" s="64" t="n">
        <f aca="false">IF($A7="","",SUMIFS(Purchases!$E$5:INDEX(Purchases!$E$5:$E$3004,TxRows),Purchases!$D$5:INDEX(Purchases!$D$5:$D$3004,TxRows),$A7))</f>
        <v>83</v>
      </c>
      <c r="M7" s="64" t="n">
        <f aca="false">IF($A7="","",SUMIFS(Sales!$E$5:INDEX(Sales!$E$5:$E$3004,TxRows),Sales!$D$5:INDEX(Sales!$D$5:$D$3004,TxRows),$A7))</f>
        <v>100</v>
      </c>
      <c r="N7" s="64" t="n">
        <f aca="false">IF($A7="","",SUMIFS(Adjustments!$C$5:$C$504,Adjustments!$B$5:$B$504,$A7))</f>
        <v>-2</v>
      </c>
      <c r="O7" s="64" t="n">
        <f aca="false">IF($A7="","",N($J7)+L7-M7+N7)</f>
        <v>11</v>
      </c>
      <c r="P7" s="61" t="n">
        <f aca="false">IF($A7="","",IFERROR((N($J7)*N($K7)+SUMIFS(Purchases!$K$5:INDEX(Purchases!$K$5:$K$3004,TxRows),Purchases!$D$5:INDEX(Purchases!$D$5:$D$3004,TxRows),$A7))/(N($J7)+L7),N($G7)))</f>
        <v>1904.36283185841</v>
      </c>
      <c r="Q7" s="61" t="n">
        <f aca="false">IF($A7="","",MAX(0,O7)*P7)</f>
        <v>20947.9911504425</v>
      </c>
      <c r="R7" s="60" t="str">
        <f aca="false">IF($A7="","",IF(O7&lt;0,"NEGATIVE",IF(O7=0,"OUT OF STOCK",IF(O7&lt;=N($I7),"REORDER",IF(AND(O7&gt;0,X7&gt;DeadDays),"DEAD STOCK","OK")))))</f>
        <v>OK</v>
      </c>
      <c r="S7" s="65" t="n">
        <f aca="false">IF($A7="","",IF(N($H7)=0,0,(N($H7)-P7)/N($H7)))</f>
        <v>0.168400510105499</v>
      </c>
      <c r="T7" s="64" t="n">
        <f aca="false">IF($A7="","",IF(O7&lt;=N($I7),MAX(0,2*N($I7)-O7),0))</f>
        <v>0</v>
      </c>
      <c r="U7" s="61" t="n">
        <f aca="false">IF($A7="","",SUMIFS(Sales!$L$5:INDEX(Sales!$L$5:$L$3004,TxRows),Sales!$D$5:INDEX(Sales!$D$5:$D$3004,TxRows),$A7))</f>
        <v>226435.2</v>
      </c>
      <c r="V7" s="61" t="n">
        <f aca="false">IF($A7="","",SUMIFS(Sales!$S$5:INDEX(Sales!$S$5:$S$3004,TxRows),Sales!$D$5:INDEX(Sales!$D$5:$D$3004,TxRows),$A7))</f>
        <v>35998.91</v>
      </c>
      <c r="W7" s="66" t="n">
        <f aca="false">IF($A7="","",IFERROR(SUMPRODUCT(MAX((Sales!$D$5:INDEX(Sales!$D$5:$D$3004,TxRows)=$A7)*Sales!$A$5:INDEX(Sales!$A$5:$A$3004,TxRows))),0))</f>
        <v>46303</v>
      </c>
      <c r="X7" s="67" t="n">
        <f aca="false">IF($A7="","",IF(W7=0,AsOf-FYStart,AsOf-W7))</f>
        <v>3</v>
      </c>
      <c r="Y7" s="67" t="n">
        <f aca="false">IF($A7="","",IF(M7=0,"",O7/(M7/MAX(1,AsOf-FYStart))))</f>
        <v>21.23</v>
      </c>
      <c r="Z7" s="60" t="n">
        <f aca="false">IF($A7="","",U7+ROW()/1000000)</f>
        <v>226435.200007</v>
      </c>
    </row>
    <row r="8" customFormat="false" ht="15" hidden="false" customHeight="false" outlineLevel="0" collapsed="false">
      <c r="A8" s="56" t="s">
        <v>98</v>
      </c>
      <c r="B8" s="56" t="s">
        <v>425</v>
      </c>
      <c r="C8" s="56" t="s">
        <v>426</v>
      </c>
      <c r="D8" s="56" t="s">
        <v>427</v>
      </c>
      <c r="E8" s="56" t="s">
        <v>428</v>
      </c>
      <c r="F8" s="63" t="n">
        <v>0.05</v>
      </c>
      <c r="G8" s="58" t="n">
        <v>380</v>
      </c>
      <c r="H8" s="58" t="n">
        <v>508</v>
      </c>
      <c r="I8" s="57" t="n">
        <v>20</v>
      </c>
      <c r="J8" s="57" t="n">
        <v>60</v>
      </c>
      <c r="K8" s="58" t="n">
        <v>375</v>
      </c>
      <c r="L8" s="64" t="n">
        <f aca="false">IF($A8="","",SUMIFS(Purchases!$E$5:INDEX(Purchases!$E$5:$E$3004,TxRows),Purchases!$D$5:INDEX(Purchases!$D$5:$D$3004,TxRows),$A8))</f>
        <v>155</v>
      </c>
      <c r="M8" s="64" t="n">
        <f aca="false">IF($A8="","",SUMIFS(Sales!$E$5:INDEX(Sales!$E$5:$E$3004,TxRows),Sales!$D$5:INDEX(Sales!$D$5:$D$3004,TxRows),$A8))</f>
        <v>123</v>
      </c>
      <c r="N8" s="64" t="n">
        <f aca="false">IF($A8="","",SUMIFS(Adjustments!$C$5:$C$504,Adjustments!$B$5:$B$504,$A8))</f>
        <v>0</v>
      </c>
      <c r="O8" s="64" t="n">
        <f aca="false">IF($A8="","",N($J8)+L8-M8+N8)</f>
        <v>92</v>
      </c>
      <c r="P8" s="61" t="n">
        <f aca="false">IF($A8="","",IFERROR((N($J8)*N($K8)+SUMIFS(Purchases!$K$5:INDEX(Purchases!$K$5:$K$3004,TxRows),Purchases!$D$5:INDEX(Purchases!$D$5:$D$3004,TxRows),$A8))/(N($J8)+L8),N($G8)))</f>
        <v>377.079069767442</v>
      </c>
      <c r="Q8" s="61" t="n">
        <f aca="false">IF($A8="","",MAX(0,O8)*P8)</f>
        <v>34691.2744186047</v>
      </c>
      <c r="R8" s="60" t="str">
        <f aca="false">IF($A8="","",IF(O8&lt;0,"NEGATIVE",IF(O8=0,"OUT OF STOCK",IF(O8&lt;=N($I8),"REORDER",IF(AND(O8&gt;0,X8&gt;DeadDays),"DEAD STOCK","OK")))))</f>
        <v>OK</v>
      </c>
      <c r="S8" s="65" t="n">
        <f aca="false">IF($A8="","",IF(N($H8)=0,0,(N($H8)-P8)/N($H8)))</f>
        <v>0.257718366599524</v>
      </c>
      <c r="T8" s="64" t="n">
        <f aca="false">IF($A8="","",IF(O8&lt;=N($I8),MAX(0,2*N($I8)-O8),0))</f>
        <v>0</v>
      </c>
      <c r="U8" s="61" t="n">
        <f aca="false">IF($A8="","",SUMIFS(Sales!$L$5:INDEX(Sales!$L$5:$L$3004,TxRows),Sales!$D$5:INDEX(Sales!$D$5:$D$3004,TxRows),$A8))</f>
        <v>61737.24</v>
      </c>
      <c r="V8" s="61" t="n">
        <f aca="false">IF($A8="","",SUMIFS(Sales!$S$5:INDEX(Sales!$S$5:$S$3004,TxRows),Sales!$D$5:INDEX(Sales!$D$5:$D$3004,TxRows),$A8))</f>
        <v>15356.52</v>
      </c>
      <c r="W8" s="66" t="n">
        <f aca="false">IF($A8="","",IFERROR(SUMPRODUCT(MAX((Sales!$D$5:INDEX(Sales!$D$5:$D$3004,TxRows)=$A8)*Sales!$A$5:INDEX(Sales!$A$5:$A$3004,TxRows))),0))</f>
        <v>46286</v>
      </c>
      <c r="X8" s="67" t="n">
        <f aca="false">IF($A8="","",IF(W8=0,AsOf-FYStart,AsOf-W8))</f>
        <v>20</v>
      </c>
      <c r="Y8" s="67" t="n">
        <f aca="false">IF($A8="","",IF(M8=0,"",O8/(M8/MAX(1,AsOf-FYStart))))</f>
        <v>144.357723577236</v>
      </c>
      <c r="Z8" s="60" t="n">
        <f aca="false">IF($A8="","",U8+ROW()/1000000)</f>
        <v>61737.240008</v>
      </c>
    </row>
    <row r="9" customFormat="false" ht="15" hidden="false" customHeight="false" outlineLevel="0" collapsed="false">
      <c r="A9" s="56" t="s">
        <v>94</v>
      </c>
      <c r="B9" s="56" t="s">
        <v>429</v>
      </c>
      <c r="C9" s="56" t="s">
        <v>426</v>
      </c>
      <c r="D9" s="56" t="s">
        <v>427</v>
      </c>
      <c r="E9" s="56" t="s">
        <v>430</v>
      </c>
      <c r="F9" s="63" t="n">
        <v>0.18</v>
      </c>
      <c r="G9" s="58" t="n">
        <v>520</v>
      </c>
      <c r="H9" s="58" t="n">
        <v>691</v>
      </c>
      <c r="I9" s="57" t="n">
        <v>15</v>
      </c>
      <c r="J9" s="57" t="n">
        <v>50</v>
      </c>
      <c r="K9" s="58" t="n">
        <v>510</v>
      </c>
      <c r="L9" s="64" t="n">
        <f aca="false">IF($A9="","",SUMIFS(Purchases!$E$5:INDEX(Purchases!$E$5:$E$3004,TxRows),Purchases!$D$5:INDEX(Purchases!$D$5:$D$3004,TxRows),$A9))</f>
        <v>158</v>
      </c>
      <c r="M9" s="64" t="n">
        <f aca="false">IF($A9="","",SUMIFS(Sales!$E$5:INDEX(Sales!$E$5:$E$3004,TxRows),Sales!$D$5:INDEX(Sales!$D$5:$D$3004,TxRows),$A9))</f>
        <v>133</v>
      </c>
      <c r="N9" s="64" t="n">
        <f aca="false">IF($A9="","",SUMIFS(Adjustments!$C$5:$C$504,Adjustments!$B$5:$B$504,$A9))</f>
        <v>0</v>
      </c>
      <c r="O9" s="64" t="n">
        <f aca="false">IF($A9="","",N($J9)+L9-M9+N9)</f>
        <v>75</v>
      </c>
      <c r="P9" s="61" t="n">
        <f aca="false">IF($A9="","",IFERROR((N($J9)*N($K9)+SUMIFS(Purchases!$K$5:INDEX(Purchases!$K$5:$K$3004,TxRows),Purchases!$D$5:INDEX(Purchases!$D$5:$D$3004,TxRows),$A9))/(N($J9)+L9),N($G9)))</f>
        <v>517.692307692308</v>
      </c>
      <c r="Q9" s="61" t="n">
        <f aca="false">IF($A9="","",MAX(0,O9)*P9)</f>
        <v>38826.9230769231</v>
      </c>
      <c r="R9" s="60" t="str">
        <f aca="false">IF($A9="","",IF(O9&lt;0,"NEGATIVE",IF(O9=0,"OUT OF STOCK",IF(O9&lt;=N($I9),"REORDER",IF(AND(O9&gt;0,X9&gt;DeadDays),"DEAD STOCK","OK")))))</f>
        <v>OK</v>
      </c>
      <c r="S9" s="65" t="n">
        <f aca="false">IF($A9="","",IF(N($H9)=0,0,(N($H9)-P9)/N($H9)))</f>
        <v>0.250807080040076</v>
      </c>
      <c r="T9" s="64" t="n">
        <f aca="false">IF($A9="","",IF(O9&lt;=N($I9),MAX(0,2*N($I9)-O9),0))</f>
        <v>0</v>
      </c>
      <c r="U9" s="61" t="n">
        <f aca="false">IF($A9="","",SUMIFS(Sales!$L$5:INDEX(Sales!$L$5:$L$3004,TxRows),Sales!$D$5:INDEX(Sales!$D$5:$D$3004,TxRows),$A9))</f>
        <v>91039.25</v>
      </c>
      <c r="V9" s="61" t="n">
        <f aca="false">IF($A9="","",SUMIFS(Sales!$S$5:INDEX(Sales!$S$5:$S$3004,TxRows),Sales!$D$5:INDEX(Sales!$D$5:$D$3004,TxRows),$A9))</f>
        <v>22186.14</v>
      </c>
      <c r="W9" s="66" t="n">
        <f aca="false">IF($A9="","",IFERROR(SUMPRODUCT(MAX((Sales!$D$5:INDEX(Sales!$D$5:$D$3004,TxRows)=$A9)*Sales!$A$5:INDEX(Sales!$A$5:$A$3004,TxRows))),0))</f>
        <v>46294</v>
      </c>
      <c r="X9" s="67" t="n">
        <f aca="false">IF($A9="","",IF(W9=0,AsOf-FYStart,AsOf-W9))</f>
        <v>12</v>
      </c>
      <c r="Y9" s="67" t="n">
        <f aca="false">IF($A9="","",IF(M9=0,"",O9/(M9/MAX(1,AsOf-FYStart))))</f>
        <v>108.834586466165</v>
      </c>
      <c r="Z9" s="60" t="n">
        <f aca="false">IF($A9="","",U9+ROW()/1000000)</f>
        <v>91039.250009</v>
      </c>
    </row>
    <row r="10" customFormat="false" ht="15" hidden="false" customHeight="false" outlineLevel="0" collapsed="false">
      <c r="A10" s="56" t="s">
        <v>117</v>
      </c>
      <c r="B10" s="56" t="s">
        <v>431</v>
      </c>
      <c r="C10" s="56" t="s">
        <v>426</v>
      </c>
      <c r="D10" s="56" t="s">
        <v>423</v>
      </c>
      <c r="E10" s="56" t="s">
        <v>432</v>
      </c>
      <c r="F10" s="63" t="n">
        <v>0.05</v>
      </c>
      <c r="G10" s="58" t="n">
        <v>900</v>
      </c>
      <c r="H10" s="58" t="n">
        <v>1166</v>
      </c>
      <c r="I10" s="57" t="n">
        <v>10</v>
      </c>
      <c r="J10" s="57" t="n">
        <v>25</v>
      </c>
      <c r="K10" s="58" t="n">
        <v>880</v>
      </c>
      <c r="L10" s="64" t="n">
        <f aca="false">IF($A10="","",SUMIFS(Purchases!$E$5:INDEX(Purchases!$E$5:$E$3004,TxRows),Purchases!$D$5:INDEX(Purchases!$D$5:$D$3004,TxRows),$A10))</f>
        <v>71</v>
      </c>
      <c r="M10" s="64" t="n">
        <f aca="false">IF($A10="","",SUMIFS(Sales!$E$5:INDEX(Sales!$E$5:$E$3004,TxRows),Sales!$D$5:INDEX(Sales!$D$5:$D$3004,TxRows),$A10))</f>
        <v>46</v>
      </c>
      <c r="N10" s="64" t="n">
        <f aca="false">IF($A10="","",SUMIFS(Adjustments!$C$5:$C$504,Adjustments!$B$5:$B$504,$A10))</f>
        <v>0</v>
      </c>
      <c r="O10" s="64" t="n">
        <f aca="false">IF($A10="","",N($J10)+L10-M10+N10)</f>
        <v>50</v>
      </c>
      <c r="P10" s="61" t="n">
        <f aca="false">IF($A10="","",IFERROR((N($J10)*N($K10)+SUMIFS(Purchases!$K$5:INDEX(Purchases!$K$5:$K$3004,TxRows),Purchases!$D$5:INDEX(Purchases!$D$5:$D$3004,TxRows),$A10))/(N($J10)+L10),N($G10)))</f>
        <v>888.479166666667</v>
      </c>
      <c r="Q10" s="61" t="n">
        <f aca="false">IF($A10="","",MAX(0,O10)*P10)</f>
        <v>44423.9583333333</v>
      </c>
      <c r="R10" s="60" t="str">
        <f aca="false">IF($A10="","",IF(O10&lt;0,"NEGATIVE",IF(O10=0,"OUT OF STOCK",IF(O10&lt;=N($I10),"REORDER",IF(AND(O10&gt;0,X10&gt;DeadDays),"DEAD STOCK","OK")))))</f>
        <v>OK</v>
      </c>
      <c r="S10" s="65" t="n">
        <f aca="false">IF($A10="","",IF(N($H10)=0,0,(N($H10)-P10)/N($H10)))</f>
        <v>0.238011006289308</v>
      </c>
      <c r="T10" s="64" t="n">
        <f aca="false">IF($A10="","",IF(O10&lt;=N($I10),MAX(0,2*N($I10)-O10),0))</f>
        <v>0</v>
      </c>
      <c r="U10" s="61" t="n">
        <f aca="false">IF($A10="","",SUMIFS(Sales!$L$5:INDEX(Sales!$L$5:$L$3004,TxRows),Sales!$D$5:INDEX(Sales!$D$5:$D$3004,TxRows),$A10))</f>
        <v>53122.96</v>
      </c>
      <c r="V10" s="61" t="n">
        <f aca="false">IF($A10="","",SUMIFS(Sales!$S$5:INDEX(Sales!$S$5:$S$3004,TxRows),Sales!$D$5:INDEX(Sales!$D$5:$D$3004,TxRows),$A10))</f>
        <v>12252.89</v>
      </c>
      <c r="W10" s="66" t="n">
        <f aca="false">IF($A10="","",IFERROR(SUMPRODUCT(MAX((Sales!$D$5:INDEX(Sales!$D$5:$D$3004,TxRows)=$A10)*Sales!$A$5:INDEX(Sales!$A$5:$A$3004,TxRows))),0))</f>
        <v>46290</v>
      </c>
      <c r="X10" s="67" t="n">
        <f aca="false">IF($A10="","",IF(W10=0,AsOf-FYStart,AsOf-W10))</f>
        <v>16</v>
      </c>
      <c r="Y10" s="67" t="n">
        <f aca="false">IF($A10="","",IF(M10=0,"",O10/(M10/MAX(1,AsOf-FYStart))))</f>
        <v>209.782608695652</v>
      </c>
      <c r="Z10" s="60" t="n">
        <f aca="false">IF($A10="","",U10+ROW()/1000000)</f>
        <v>53122.96001</v>
      </c>
    </row>
    <row r="11" customFormat="false" ht="15" hidden="false" customHeight="false" outlineLevel="0" collapsed="false">
      <c r="A11" s="56" t="s">
        <v>99</v>
      </c>
      <c r="B11" s="56" t="s">
        <v>433</v>
      </c>
      <c r="C11" s="56" t="s">
        <v>434</v>
      </c>
      <c r="D11" s="56" t="s">
        <v>435</v>
      </c>
      <c r="E11" s="56" t="s">
        <v>436</v>
      </c>
      <c r="F11" s="63" t="n">
        <v>0.18</v>
      </c>
      <c r="G11" s="58" t="n">
        <v>62</v>
      </c>
      <c r="H11" s="58" t="n">
        <v>107</v>
      </c>
      <c r="I11" s="57" t="n">
        <v>100</v>
      </c>
      <c r="J11" s="57" t="n">
        <v>300</v>
      </c>
      <c r="K11" s="58" t="n">
        <v>60</v>
      </c>
      <c r="L11" s="64" t="n">
        <f aca="false">IF($A11="","",SUMIFS(Purchases!$E$5:INDEX(Purchases!$E$5:$E$3004,TxRows),Purchases!$D$5:INDEX(Purchases!$D$5:$D$3004,TxRows),$A11))</f>
        <v>954</v>
      </c>
      <c r="M11" s="64" t="n">
        <f aca="false">IF($A11="","",SUMIFS(Sales!$E$5:INDEX(Sales!$E$5:$E$3004,TxRows),Sales!$D$5:INDEX(Sales!$D$5:$D$3004,TxRows),$A11))</f>
        <v>882</v>
      </c>
      <c r="N11" s="64" t="n">
        <f aca="false">IF($A11="","",SUMIFS(Adjustments!$C$5:$C$504,Adjustments!$B$5:$B$504,$A11))</f>
        <v>-6</v>
      </c>
      <c r="O11" s="64" t="n">
        <f aca="false">IF($A11="","",N($J11)+L11-M11+N11)</f>
        <v>366</v>
      </c>
      <c r="P11" s="61" t="n">
        <f aca="false">IF($A11="","",IFERROR((N($J11)*N($K11)+SUMIFS(Purchases!$K$5:INDEX(Purchases!$K$5:$K$3004,TxRows),Purchases!$D$5:INDEX(Purchases!$D$5:$D$3004,TxRows),$A11))/(N($J11)+L11),N($G11)))</f>
        <v>61.4170653907496</v>
      </c>
      <c r="Q11" s="61" t="n">
        <f aca="false">IF($A11="","",MAX(0,O11)*P11)</f>
        <v>22478.6459330144</v>
      </c>
      <c r="R11" s="60" t="str">
        <f aca="false">IF($A11="","",IF(O11&lt;0,"NEGATIVE",IF(O11=0,"OUT OF STOCK",IF(O11&lt;=N($I11),"REORDER",IF(AND(O11&gt;0,X11&gt;DeadDays),"DEAD STOCK","OK")))))</f>
        <v>OK</v>
      </c>
      <c r="S11" s="65" t="n">
        <f aca="false">IF($A11="","",IF(N($H11)=0,0,(N($H11)-P11)/N($H11)))</f>
        <v>0.426008734665892</v>
      </c>
      <c r="T11" s="64" t="n">
        <f aca="false">IF($A11="","",IF(O11&lt;=N($I11),MAX(0,2*N($I11)-O11),0))</f>
        <v>0</v>
      </c>
      <c r="U11" s="61" t="n">
        <f aca="false">IF($A11="","",SUMIFS(Sales!$L$5:INDEX(Sales!$L$5:$L$3004,TxRows),Sales!$D$5:INDEX(Sales!$D$5:$D$3004,TxRows),$A11))</f>
        <v>93178.81</v>
      </c>
      <c r="V11" s="61" t="n">
        <f aca="false">IF($A11="","",SUMIFS(Sales!$S$5:INDEX(Sales!$S$5:$S$3004,TxRows),Sales!$D$5:INDEX(Sales!$D$5:$D$3004,TxRows),$A11))</f>
        <v>39008.95</v>
      </c>
      <c r="W11" s="66" t="n">
        <f aca="false">IF($A11="","",IFERROR(SUMPRODUCT(MAX((Sales!$D$5:INDEX(Sales!$D$5:$D$3004,TxRows)=$A11)*Sales!$A$5:INDEX(Sales!$A$5:$A$3004,TxRows))),0))</f>
        <v>46294</v>
      </c>
      <c r="X11" s="67" t="n">
        <f aca="false">IF($A11="","",IF(W11=0,AsOf-FYStart,AsOf-W11))</f>
        <v>12</v>
      </c>
      <c r="Y11" s="67" t="n">
        <f aca="false">IF($A11="","",IF(M11=0,"",O11/(M11/MAX(1,AsOf-FYStart))))</f>
        <v>80.0884353741497</v>
      </c>
      <c r="Z11" s="60" t="n">
        <f aca="false">IF($A11="","",U11+ROW()/1000000)</f>
        <v>93178.810011</v>
      </c>
    </row>
    <row r="12" customFormat="false" ht="15" hidden="false" customHeight="false" outlineLevel="0" collapsed="false">
      <c r="A12" s="56" t="s">
        <v>92</v>
      </c>
      <c r="B12" s="56" t="s">
        <v>437</v>
      </c>
      <c r="C12" s="56" t="s">
        <v>434</v>
      </c>
      <c r="D12" s="56" t="s">
        <v>435</v>
      </c>
      <c r="E12" s="56" t="s">
        <v>438</v>
      </c>
      <c r="F12" s="63" t="n">
        <v>0.18</v>
      </c>
      <c r="G12" s="58" t="n">
        <v>2450</v>
      </c>
      <c r="H12" s="58" t="n">
        <v>3132</v>
      </c>
      <c r="I12" s="57" t="n">
        <v>5</v>
      </c>
      <c r="J12" s="57" t="n">
        <v>12</v>
      </c>
      <c r="K12" s="58" t="n">
        <v>2400</v>
      </c>
      <c r="L12" s="64" t="n">
        <f aca="false">IF($A12="","",SUMIFS(Purchases!$E$5:INDEX(Purchases!$E$5:$E$3004,TxRows),Purchases!$D$5:INDEX(Purchases!$D$5:$D$3004,TxRows),$A12))</f>
        <v>44</v>
      </c>
      <c r="M12" s="64" t="n">
        <f aca="false">IF($A12="","",SUMIFS(Sales!$E$5:INDEX(Sales!$E$5:$E$3004,TxRows),Sales!$D$5:INDEX(Sales!$D$5:$D$3004,TxRows),$A12))</f>
        <v>42</v>
      </c>
      <c r="N12" s="64" t="n">
        <f aca="false">IF($A12="","",SUMIFS(Adjustments!$C$5:$C$504,Adjustments!$B$5:$B$504,$A12))</f>
        <v>0</v>
      </c>
      <c r="O12" s="64" t="n">
        <f aca="false">IF($A12="","",N($J12)+L12-M12+N12)</f>
        <v>14</v>
      </c>
      <c r="P12" s="61" t="n">
        <f aca="false">IF($A12="","",IFERROR((N($J12)*N($K12)+SUMIFS(Purchases!$K$5:INDEX(Purchases!$K$5:$K$3004,TxRows),Purchases!$D$5:INDEX(Purchases!$D$5:$D$3004,TxRows),$A12))/(N($J12)+L12),N($G12)))</f>
        <v>2451.48214285714</v>
      </c>
      <c r="Q12" s="61" t="n">
        <f aca="false">IF($A12="","",MAX(0,O12)*P12)</f>
        <v>34320.75</v>
      </c>
      <c r="R12" s="60" t="str">
        <f aca="false">IF($A12="","",IF(O12&lt;0,"NEGATIVE",IF(O12=0,"OUT OF STOCK",IF(O12&lt;=N($I12),"REORDER",IF(AND(O12&gt;0,X12&gt;DeadDays),"DEAD STOCK","OK")))))</f>
        <v>OK</v>
      </c>
      <c r="S12" s="65" t="n">
        <f aca="false">IF($A12="","",IF(N($H12)=0,0,(N($H12)-P12)/N($H12)))</f>
        <v>0.217279009304871</v>
      </c>
      <c r="T12" s="64" t="n">
        <f aca="false">IF($A12="","",IF(O12&lt;=N($I12),MAX(0,2*N($I12)-O12),0))</f>
        <v>0</v>
      </c>
      <c r="U12" s="61" t="n">
        <f aca="false">IF($A12="","",SUMIFS(Sales!$L$5:INDEX(Sales!$L$5:$L$3004,TxRows),Sales!$D$5:INDEX(Sales!$D$5:$D$3004,TxRows),$A12))</f>
        <v>129570.84</v>
      </c>
      <c r="V12" s="61" t="n">
        <f aca="false">IF($A12="","",SUMIFS(Sales!$S$5:INDEX(Sales!$S$5:$S$3004,TxRows),Sales!$D$5:INDEX(Sales!$D$5:$D$3004,TxRows),$A12))</f>
        <v>26608.61</v>
      </c>
      <c r="W12" s="66" t="n">
        <f aca="false">IF($A12="","",IFERROR(SUMPRODUCT(MAX((Sales!$D$5:INDEX(Sales!$D$5:$D$3004,TxRows)=$A12)*Sales!$A$5:INDEX(Sales!$A$5:$A$3004,TxRows))),0))</f>
        <v>46301</v>
      </c>
      <c r="X12" s="67" t="n">
        <f aca="false">IF($A12="","",IF(W12=0,AsOf-FYStart,AsOf-W12))</f>
        <v>5</v>
      </c>
      <c r="Y12" s="67" t="n">
        <f aca="false">IF($A12="","",IF(M12=0,"",O12/(M12/MAX(1,AsOf-FYStart))))</f>
        <v>64.3333333333333</v>
      </c>
      <c r="Z12" s="60" t="n">
        <f aca="false">IF($A12="","",U12+ROW()/1000000)</f>
        <v>129570.840012</v>
      </c>
    </row>
    <row r="13" customFormat="false" ht="15" hidden="false" customHeight="false" outlineLevel="0" collapsed="false">
      <c r="A13" s="56" t="s">
        <v>79</v>
      </c>
      <c r="B13" s="56" t="s">
        <v>439</v>
      </c>
      <c r="C13" s="56" t="s">
        <v>440</v>
      </c>
      <c r="D13" s="56" t="s">
        <v>435</v>
      </c>
      <c r="E13" s="56" t="s">
        <v>441</v>
      </c>
      <c r="F13" s="63" t="n">
        <v>0.18</v>
      </c>
      <c r="G13" s="58" t="n">
        <v>210</v>
      </c>
      <c r="H13" s="58" t="n">
        <v>297</v>
      </c>
      <c r="I13" s="57" t="n">
        <v>40</v>
      </c>
      <c r="J13" s="57" t="n">
        <v>120</v>
      </c>
      <c r="K13" s="58" t="n">
        <v>205</v>
      </c>
      <c r="L13" s="64" t="n">
        <f aca="false">IF($A13="","",SUMIFS(Purchases!$E$5:INDEX(Purchases!$E$5:$E$3004,TxRows),Purchases!$D$5:INDEX(Purchases!$D$5:$D$3004,TxRows),$A13))</f>
        <v>379</v>
      </c>
      <c r="M13" s="64" t="n">
        <f aca="false">IF($A13="","",SUMIFS(Sales!$E$5:INDEX(Sales!$E$5:$E$3004,TxRows),Sales!$D$5:INDEX(Sales!$D$5:$D$3004,TxRows),$A13))</f>
        <v>331</v>
      </c>
      <c r="N13" s="64" t="n">
        <f aca="false">IF($A13="","",SUMIFS(Adjustments!$C$5:$C$504,Adjustments!$B$5:$B$504,$A13))</f>
        <v>0</v>
      </c>
      <c r="O13" s="64" t="n">
        <f aca="false">IF($A13="","",N($J13)+L13-M13+N13)</f>
        <v>168</v>
      </c>
      <c r="P13" s="61" t="n">
        <f aca="false">IF($A13="","",IFERROR((N($J13)*N($K13)+SUMIFS(Purchases!$K$5:INDEX(Purchases!$K$5:$K$3004,TxRows),Purchases!$D$5:INDEX(Purchases!$D$5:$D$3004,TxRows),$A13))/(N($J13)+L13),N($G13)))</f>
        <v>209.633266533066</v>
      </c>
      <c r="Q13" s="61" t="n">
        <f aca="false">IF($A13="","",MAX(0,O13)*P13)</f>
        <v>35218.3887775551</v>
      </c>
      <c r="R13" s="60" t="str">
        <f aca="false">IF($A13="","",IF(O13&lt;0,"NEGATIVE",IF(O13=0,"OUT OF STOCK",IF(O13&lt;=N($I13),"REORDER",IF(AND(O13&gt;0,X13&gt;DeadDays),"DEAD STOCK","OK")))))</f>
        <v>OK</v>
      </c>
      <c r="S13" s="65" t="n">
        <f aca="false">IF($A13="","",IF(N($H13)=0,0,(N($H13)-P13)/N($H13)))</f>
        <v>0.294164085747252</v>
      </c>
      <c r="T13" s="64" t="n">
        <f aca="false">IF($A13="","",IF(O13&lt;=N($I13),MAX(0,2*N($I13)-O13),0))</f>
        <v>0</v>
      </c>
      <c r="U13" s="61" t="n">
        <f aca="false">IF($A13="","",SUMIFS(Sales!$L$5:INDEX(Sales!$L$5:$L$3004,TxRows),Sales!$D$5:INDEX(Sales!$D$5:$D$3004,TxRows),$A13))</f>
        <v>96569.55</v>
      </c>
      <c r="V13" s="61" t="n">
        <f aca="false">IF($A13="","",SUMIFS(Sales!$S$5:INDEX(Sales!$S$5:$S$3004,TxRows),Sales!$D$5:INDEX(Sales!$D$5:$D$3004,TxRows),$A13))</f>
        <v>27180.93</v>
      </c>
      <c r="W13" s="66" t="n">
        <f aca="false">IF($A13="","",IFERROR(SUMPRODUCT(MAX((Sales!$D$5:INDEX(Sales!$D$5:$D$3004,TxRows)=$A13)*Sales!$A$5:INDEX(Sales!$A$5:$A$3004,TxRows))),0))</f>
        <v>46238</v>
      </c>
      <c r="X13" s="67" t="n">
        <f aca="false">IF($A13="","",IF(W13=0,AsOf-FYStart,AsOf-W13))</f>
        <v>68</v>
      </c>
      <c r="Y13" s="67" t="n">
        <f aca="false">IF($A13="","",IF(M13=0,"",O13/(M13/MAX(1,AsOf-FYStart))))</f>
        <v>97.9577039274925</v>
      </c>
      <c r="Z13" s="60" t="n">
        <f aca="false">IF($A13="","",U13+ROW()/1000000)</f>
        <v>96569.550013</v>
      </c>
    </row>
    <row r="14" customFormat="false" ht="15" hidden="false" customHeight="false" outlineLevel="0" collapsed="false">
      <c r="A14" s="56" t="s">
        <v>82</v>
      </c>
      <c r="B14" s="56" t="s">
        <v>442</v>
      </c>
      <c r="C14" s="56" t="s">
        <v>440</v>
      </c>
      <c r="D14" s="56" t="s">
        <v>418</v>
      </c>
      <c r="E14" s="56" t="s">
        <v>443</v>
      </c>
      <c r="F14" s="63" t="n">
        <v>0.18</v>
      </c>
      <c r="G14" s="58" t="n">
        <v>340</v>
      </c>
      <c r="H14" s="58" t="n">
        <v>427</v>
      </c>
      <c r="I14" s="57" t="n">
        <v>50</v>
      </c>
      <c r="J14" s="57" t="n">
        <v>200</v>
      </c>
      <c r="K14" s="58" t="n">
        <v>335</v>
      </c>
      <c r="L14" s="64" t="n">
        <f aca="false">IF($A14="","",SUMIFS(Purchases!$E$5:INDEX(Purchases!$E$5:$E$3004,TxRows),Purchases!$D$5:INDEX(Purchases!$D$5:$D$3004,TxRows),$A14))</f>
        <v>219</v>
      </c>
      <c r="M14" s="64" t="n">
        <f aca="false">IF($A14="","",SUMIFS(Sales!$E$5:INDEX(Sales!$E$5:$E$3004,TxRows),Sales!$D$5:INDEX(Sales!$D$5:$D$3004,TxRows),$A14))</f>
        <v>203</v>
      </c>
      <c r="N14" s="64" t="n">
        <f aca="false">IF($A14="","",SUMIFS(Adjustments!$C$5:$C$504,Adjustments!$B$5:$B$504,$A14))</f>
        <v>0</v>
      </c>
      <c r="O14" s="64" t="n">
        <f aca="false">IF($A14="","",N($J14)+L14-M14+N14)</f>
        <v>216</v>
      </c>
      <c r="P14" s="61" t="n">
        <f aca="false">IF($A14="","",IFERROR((N($J14)*N($K14)+SUMIFS(Purchases!$K$5:INDEX(Purchases!$K$5:$K$3004,TxRows),Purchases!$D$5:INDEX(Purchases!$D$5:$D$3004,TxRows),$A14))/(N($J14)+L14),N($G14)))</f>
        <v>340.174224343675</v>
      </c>
      <c r="Q14" s="61" t="n">
        <f aca="false">IF($A14="","",MAX(0,O14)*P14)</f>
        <v>73477.6324582339</v>
      </c>
      <c r="R14" s="60" t="str">
        <f aca="false">IF($A14="","",IF(O14&lt;0,"NEGATIVE",IF(O14=0,"OUT OF STOCK",IF(O14&lt;=N($I14),"REORDER",IF(AND(O14&gt;0,X14&gt;DeadDays),"DEAD STOCK","OK")))))</f>
        <v>OK</v>
      </c>
      <c r="S14" s="65" t="n">
        <f aca="false">IF($A14="","",IF(N($H14)=0,0,(N($H14)-P14)/N($H14)))</f>
        <v>0.203339053059308</v>
      </c>
      <c r="T14" s="64" t="n">
        <f aca="false">IF($A14="","",IF(O14&lt;=N($I14),MAX(0,2*N($I14)-O14),0))</f>
        <v>0</v>
      </c>
      <c r="U14" s="61" t="n">
        <f aca="false">IF($A14="","",SUMIFS(Sales!$L$5:INDEX(Sales!$L$5:$L$3004,TxRows),Sales!$D$5:INDEX(Sales!$D$5:$D$3004,TxRows),$A14))</f>
        <v>86125.9</v>
      </c>
      <c r="V14" s="61" t="n">
        <f aca="false">IF($A14="","",SUMIFS(Sales!$S$5:INDEX(Sales!$S$5:$S$3004,TxRows),Sales!$D$5:INDEX(Sales!$D$5:$D$3004,TxRows),$A14))</f>
        <v>17070.53</v>
      </c>
      <c r="W14" s="66" t="n">
        <f aca="false">IF($A14="","",IFERROR(SUMPRODUCT(MAX((Sales!$D$5:INDEX(Sales!$D$5:$D$3004,TxRows)=$A14)*Sales!$A$5:INDEX(Sales!$A$5:$A$3004,TxRows))),0))</f>
        <v>46297</v>
      </c>
      <c r="X14" s="67" t="n">
        <f aca="false">IF($A14="","",IF(W14=0,AsOf-FYStart,AsOf-W14))</f>
        <v>9</v>
      </c>
      <c r="Y14" s="67" t="n">
        <f aca="false">IF($A14="","",IF(M14=0,"",O14/(M14/MAX(1,AsOf-FYStart))))</f>
        <v>205.35960591133</v>
      </c>
      <c r="Z14" s="60" t="n">
        <f aca="false">IF($A14="","",U14+ROW()/1000000)</f>
        <v>86125.900014</v>
      </c>
    </row>
    <row r="15" customFormat="false" ht="15" hidden="false" customHeight="false" outlineLevel="0" collapsed="false">
      <c r="A15" s="56" t="s">
        <v>107</v>
      </c>
      <c r="B15" s="56" t="s">
        <v>444</v>
      </c>
      <c r="C15" s="56" t="s">
        <v>445</v>
      </c>
      <c r="D15" s="56" t="s">
        <v>427</v>
      </c>
      <c r="E15" s="56" t="s">
        <v>446</v>
      </c>
      <c r="F15" s="63" t="n">
        <v>0.12</v>
      </c>
      <c r="G15" s="58" t="n">
        <v>245</v>
      </c>
      <c r="H15" s="58" t="n">
        <v>335</v>
      </c>
      <c r="I15" s="57" t="n">
        <v>30</v>
      </c>
      <c r="J15" s="57" t="n">
        <v>80</v>
      </c>
      <c r="K15" s="58" t="n">
        <v>240</v>
      </c>
      <c r="L15" s="64" t="n">
        <f aca="false">IF($A15="","",SUMIFS(Purchases!$E$5:INDEX(Purchases!$E$5:$E$3004,TxRows),Purchases!$D$5:INDEX(Purchases!$D$5:$D$3004,TxRows),$A15))</f>
        <v>0</v>
      </c>
      <c r="M15" s="64" t="n">
        <f aca="false">IF($A15="","",SUMIFS(Sales!$E$5:INDEX(Sales!$E$5:$E$3004,TxRows),Sales!$D$5:INDEX(Sales!$D$5:$D$3004,TxRows),$A15))</f>
        <v>70</v>
      </c>
      <c r="N15" s="64" t="n">
        <f aca="false">IF($A15="","",SUMIFS(Adjustments!$C$5:$C$504,Adjustments!$B$5:$B$504,$A15))</f>
        <v>0</v>
      </c>
      <c r="O15" s="64" t="n">
        <f aca="false">IF($A15="","",N($J15)+L15-M15+N15)</f>
        <v>10</v>
      </c>
      <c r="P15" s="61" t="n">
        <f aca="false">IF($A15="","",IFERROR((N($J15)*N($K15)+SUMIFS(Purchases!$K$5:INDEX(Purchases!$K$5:$K$3004,TxRows),Purchases!$D$5:INDEX(Purchases!$D$5:$D$3004,TxRows),$A15))/(N($J15)+L15),N($G15)))</f>
        <v>240</v>
      </c>
      <c r="Q15" s="61" t="n">
        <f aca="false">IF($A15="","",MAX(0,O15)*P15)</f>
        <v>2400</v>
      </c>
      <c r="R15" s="60" t="str">
        <f aca="false">IF($A15="","",IF(O15&lt;0,"NEGATIVE",IF(O15=0,"OUT OF STOCK",IF(O15&lt;=N($I15),"REORDER",IF(AND(O15&gt;0,X15&gt;DeadDays),"DEAD STOCK","OK")))))</f>
        <v>REORDER</v>
      </c>
      <c r="S15" s="65" t="n">
        <f aca="false">IF($A15="","",IF(N($H15)=0,0,(N($H15)-P15)/N($H15)))</f>
        <v>0.283582089552239</v>
      </c>
      <c r="T15" s="64" t="n">
        <f aca="false">IF($A15="","",IF(O15&lt;=N($I15),MAX(0,2*N($I15)-O15),0))</f>
        <v>50</v>
      </c>
      <c r="U15" s="61" t="n">
        <f aca="false">IF($A15="","",SUMIFS(Sales!$L$5:INDEX(Sales!$L$5:$L$3004,TxRows),Sales!$D$5:INDEX(Sales!$D$5:$D$3004,TxRows),$A15))</f>
        <v>23302.6</v>
      </c>
      <c r="V15" s="61" t="n">
        <f aca="false">IF($A15="","",SUMIFS(Sales!$S$5:INDEX(Sales!$S$5:$S$3004,TxRows),Sales!$D$5:INDEX(Sales!$D$5:$D$3004,TxRows),$A15))</f>
        <v>6502.6</v>
      </c>
      <c r="W15" s="66" t="n">
        <f aca="false">IF($A15="","",IFERROR(SUMPRODUCT(MAX((Sales!$D$5:INDEX(Sales!$D$5:$D$3004,TxRows)=$A15)*Sales!$A$5:INDEX(Sales!$A$5:$A$3004,TxRows))),0))</f>
        <v>46176</v>
      </c>
      <c r="X15" s="67" t="n">
        <f aca="false">IF($A15="","",IF(W15=0,AsOf-FYStart,AsOf-W15))</f>
        <v>130</v>
      </c>
      <c r="Y15" s="67" t="n">
        <f aca="false">IF($A15="","",IF(M15=0,"",O15/(M15/MAX(1,AsOf-FYStart))))</f>
        <v>27.5714285714286</v>
      </c>
      <c r="Z15" s="60" t="n">
        <f aca="false">IF($A15="","",U15+ROW()/1000000)</f>
        <v>23302.600015</v>
      </c>
    </row>
    <row r="16" customFormat="false" ht="15" hidden="false" customHeight="false" outlineLevel="0" collapsed="false">
      <c r="A16" s="56" t="s">
        <v>85</v>
      </c>
      <c r="B16" s="56" t="s">
        <v>447</v>
      </c>
      <c r="C16" s="56" t="s">
        <v>434</v>
      </c>
      <c r="D16" s="56" t="s">
        <v>435</v>
      </c>
      <c r="E16" s="56" t="s">
        <v>448</v>
      </c>
      <c r="F16" s="63" t="n">
        <v>0.18</v>
      </c>
      <c r="G16" s="58" t="n">
        <v>1650</v>
      </c>
      <c r="H16" s="58" t="n">
        <v>2322</v>
      </c>
      <c r="I16" s="57" t="n">
        <v>5</v>
      </c>
      <c r="J16" s="57" t="n">
        <v>4</v>
      </c>
      <c r="K16" s="58" t="n">
        <v>1600</v>
      </c>
      <c r="L16" s="64" t="n">
        <f aca="false">IF($A16="","",SUMIFS(Purchases!$E$5:INDEX(Purchases!$E$5:$E$3004,TxRows),Purchases!$D$5:INDEX(Purchases!$D$5:$D$3004,TxRows),$A16))</f>
        <v>61</v>
      </c>
      <c r="M16" s="64" t="n">
        <f aca="false">IF($A16="","",SUMIFS(Sales!$E$5:INDEX(Sales!$E$5:$E$3004,TxRows),Sales!$D$5:INDEX(Sales!$D$5:$D$3004,TxRows),$A16))</f>
        <v>40</v>
      </c>
      <c r="N16" s="64" t="n">
        <f aca="false">IF($A16="","",SUMIFS(Adjustments!$C$5:$C$504,Adjustments!$B$5:$B$504,$A16))</f>
        <v>0</v>
      </c>
      <c r="O16" s="64" t="n">
        <f aca="false">IF($A16="","",N($J16)+L16-M16+N16)</f>
        <v>25</v>
      </c>
      <c r="P16" s="61" t="n">
        <f aca="false">IF($A16="","",IFERROR((N($J16)*N($K16)+SUMIFS(Purchases!$K$5:INDEX(Purchases!$K$5:$K$3004,TxRows),Purchases!$D$5:INDEX(Purchases!$D$5:$D$3004,TxRows),$A16))/(N($J16)+L16),N($G16)))</f>
        <v>1643.8</v>
      </c>
      <c r="Q16" s="61" t="n">
        <f aca="false">IF($A16="","",MAX(0,O16)*P16)</f>
        <v>41095</v>
      </c>
      <c r="R16" s="60" t="str">
        <f aca="false">IF($A16="","",IF(O16&lt;0,"NEGATIVE",IF(O16=0,"OUT OF STOCK",IF(O16&lt;=N($I16),"REORDER",IF(AND(O16&gt;0,X16&gt;DeadDays),"DEAD STOCK","OK")))))</f>
        <v>OK</v>
      </c>
      <c r="S16" s="65" t="n">
        <f aca="false">IF($A16="","",IF(N($H16)=0,0,(N($H16)-P16)/N($H16)))</f>
        <v>0.29207579672696</v>
      </c>
      <c r="T16" s="64" t="n">
        <f aca="false">IF($A16="","",IF(O16&lt;=N($I16),MAX(0,2*N($I16)-O16),0))</f>
        <v>0</v>
      </c>
      <c r="U16" s="61" t="n">
        <f aca="false">IF($A16="","",SUMIFS(Sales!$L$5:INDEX(Sales!$L$5:$L$3004,TxRows),Sales!$D$5:INDEX(Sales!$D$5:$D$3004,TxRows),$A16))</f>
        <v>91510.02</v>
      </c>
      <c r="V16" s="61" t="n">
        <f aca="false">IF($A16="","",SUMIFS(Sales!$S$5:INDEX(Sales!$S$5:$S$3004,TxRows),Sales!$D$5:INDEX(Sales!$D$5:$D$3004,TxRows),$A16))</f>
        <v>25758.02</v>
      </c>
      <c r="W16" s="66" t="n">
        <f aca="false">IF($A16="","",IFERROR(SUMPRODUCT(MAX((Sales!$D$5:INDEX(Sales!$D$5:$D$3004,TxRows)=$A16)*Sales!$A$5:INDEX(Sales!$A$5:$A$3004,TxRows))),0))</f>
        <v>46289</v>
      </c>
      <c r="X16" s="67" t="n">
        <f aca="false">IF($A16="","",IF(W16=0,AsOf-FYStart,AsOf-W16))</f>
        <v>17</v>
      </c>
      <c r="Y16" s="67" t="n">
        <f aca="false">IF($A16="","",IF(M16=0,"",O16/(M16/MAX(1,AsOf-FYStart))))</f>
        <v>120.625</v>
      </c>
      <c r="Z16" s="60" t="n">
        <f aca="false">IF($A16="","",U16+ROW()/1000000)</f>
        <v>91510.020016</v>
      </c>
    </row>
    <row r="17" customFormat="false" ht="15" hidden="false" customHeight="false" outlineLevel="0" collapsed="false">
      <c r="A17" s="56"/>
      <c r="B17" s="56"/>
      <c r="C17" s="56"/>
      <c r="D17" s="56"/>
      <c r="E17" s="56"/>
      <c r="F17" s="63"/>
      <c r="G17" s="58"/>
      <c r="H17" s="58"/>
      <c r="I17" s="57"/>
      <c r="J17" s="57"/>
      <c r="K17" s="58"/>
      <c r="L17" s="64" t="str">
        <f aca="false">IF($A17="","",SUMIFS(Purchases!$E$5:INDEX(Purchases!$E$5:$E$3004,TxRows),Purchases!$D$5:INDEX(Purchases!$D$5:$D$3004,TxRows),$A17))</f>
        <v/>
      </c>
      <c r="M17" s="64" t="str">
        <f aca="false">IF($A17="","",SUMIFS(Sales!$E$5:INDEX(Sales!$E$5:$E$3004,TxRows),Sales!$D$5:INDEX(Sales!$D$5:$D$3004,TxRows),$A17))</f>
        <v/>
      </c>
      <c r="N17" s="64" t="str">
        <f aca="false">IF($A17="","",SUMIFS(Adjustments!$C$5:$C$504,Adjustments!$B$5:$B$504,$A17))</f>
        <v/>
      </c>
      <c r="O17" s="64" t="str">
        <f aca="false">IF($A17="","",N($J17)+L17-M17+N17)</f>
        <v/>
      </c>
      <c r="P17" s="61" t="str">
        <f aca="false">IF($A17="","",IFERROR((N($J17)*N($K17)+SUMIFS(Purchases!$K$5:INDEX(Purchases!$K$5:$K$3004,TxRows),Purchases!$D$5:INDEX(Purchases!$D$5:$D$3004,TxRows),$A17))/(N($J17)+L17),N($G17)))</f>
        <v/>
      </c>
      <c r="Q17" s="61" t="str">
        <f aca="false">IF($A17="","",MAX(0,O17)*P17)</f>
        <v/>
      </c>
      <c r="R17" s="60" t="str">
        <f aca="false">IF($A17="","",IF(O17&lt;0,"NEGATIVE",IF(O17=0,"OUT OF STOCK",IF(O17&lt;=N($I17),"REORDER",IF(AND(O17&gt;0,X17&gt;DeadDays),"DEAD STOCK","OK")))))</f>
        <v/>
      </c>
      <c r="S17" s="65" t="str">
        <f aca="false">IF($A17="","",IF(N($H17)=0,0,(N($H17)-P17)/N($H17)))</f>
        <v/>
      </c>
      <c r="T17" s="64" t="str">
        <f aca="false">IF($A17="","",IF(O17&lt;=N($I17),MAX(0,2*N($I17)-O17),0))</f>
        <v/>
      </c>
      <c r="U17" s="61" t="str">
        <f aca="false">IF($A17="","",SUMIFS(Sales!$L$5:INDEX(Sales!$L$5:$L$3004,TxRows),Sales!$D$5:INDEX(Sales!$D$5:$D$3004,TxRows),$A17))</f>
        <v/>
      </c>
      <c r="V17" s="61" t="str">
        <f aca="false">IF($A17="","",SUMIFS(Sales!$S$5:INDEX(Sales!$S$5:$S$3004,TxRows),Sales!$D$5:INDEX(Sales!$D$5:$D$3004,TxRows),$A17))</f>
        <v/>
      </c>
      <c r="W17" s="66" t="str">
        <f aca="false">IF($A17="","",IFERROR(SUMPRODUCT(MAX((Sales!$D$5:INDEX(Sales!$D$5:$D$3004,TxRows)=$A17)*Sales!$A$5:INDEX(Sales!$A$5:$A$3004,TxRows))),0))</f>
        <v/>
      </c>
      <c r="X17" s="67" t="str">
        <f aca="false">IF($A17="","",IF(W17=0,AsOf-FYStart,AsOf-W17))</f>
        <v/>
      </c>
      <c r="Y17" s="67" t="str">
        <f aca="false">IF($A17="","",IF(M17=0,"",O17/(M17/MAX(1,AsOf-FYStart))))</f>
        <v/>
      </c>
      <c r="Z17" s="60" t="str">
        <f aca="false">IF($A17="","",U17+ROW()/1000000)</f>
        <v/>
      </c>
    </row>
    <row r="18" customFormat="false" ht="15" hidden="false" customHeight="false" outlineLevel="0" collapsed="false">
      <c r="A18" s="56"/>
      <c r="B18" s="56"/>
      <c r="C18" s="56"/>
      <c r="D18" s="56"/>
      <c r="E18" s="56"/>
      <c r="F18" s="63"/>
      <c r="G18" s="58"/>
      <c r="H18" s="58"/>
      <c r="I18" s="57"/>
      <c r="J18" s="57"/>
      <c r="K18" s="58"/>
      <c r="L18" s="64" t="str">
        <f aca="false">IF($A18="","",SUMIFS(Purchases!$E$5:INDEX(Purchases!$E$5:$E$3004,TxRows),Purchases!$D$5:INDEX(Purchases!$D$5:$D$3004,TxRows),$A18))</f>
        <v/>
      </c>
      <c r="M18" s="64" t="str">
        <f aca="false">IF($A18="","",SUMIFS(Sales!$E$5:INDEX(Sales!$E$5:$E$3004,TxRows),Sales!$D$5:INDEX(Sales!$D$5:$D$3004,TxRows),$A18))</f>
        <v/>
      </c>
      <c r="N18" s="64" t="str">
        <f aca="false">IF($A18="","",SUMIFS(Adjustments!$C$5:$C$504,Adjustments!$B$5:$B$504,$A18))</f>
        <v/>
      </c>
      <c r="O18" s="64" t="str">
        <f aca="false">IF($A18="","",N($J18)+L18-M18+N18)</f>
        <v/>
      </c>
      <c r="P18" s="61" t="str">
        <f aca="false">IF($A18="","",IFERROR((N($J18)*N($K18)+SUMIFS(Purchases!$K$5:INDEX(Purchases!$K$5:$K$3004,TxRows),Purchases!$D$5:INDEX(Purchases!$D$5:$D$3004,TxRows),$A18))/(N($J18)+L18),N($G18)))</f>
        <v/>
      </c>
      <c r="Q18" s="61" t="str">
        <f aca="false">IF($A18="","",MAX(0,O18)*P18)</f>
        <v/>
      </c>
      <c r="R18" s="60" t="str">
        <f aca="false">IF($A18="","",IF(O18&lt;0,"NEGATIVE",IF(O18=0,"OUT OF STOCK",IF(O18&lt;=N($I18),"REORDER",IF(AND(O18&gt;0,X18&gt;DeadDays),"DEAD STOCK","OK")))))</f>
        <v/>
      </c>
      <c r="S18" s="65" t="str">
        <f aca="false">IF($A18="","",IF(N($H18)=0,0,(N($H18)-P18)/N($H18)))</f>
        <v/>
      </c>
      <c r="T18" s="64" t="str">
        <f aca="false">IF($A18="","",IF(O18&lt;=N($I18),MAX(0,2*N($I18)-O18),0))</f>
        <v/>
      </c>
      <c r="U18" s="61" t="str">
        <f aca="false">IF($A18="","",SUMIFS(Sales!$L$5:INDEX(Sales!$L$5:$L$3004,TxRows),Sales!$D$5:INDEX(Sales!$D$5:$D$3004,TxRows),$A18))</f>
        <v/>
      </c>
      <c r="V18" s="61" t="str">
        <f aca="false">IF($A18="","",SUMIFS(Sales!$S$5:INDEX(Sales!$S$5:$S$3004,TxRows),Sales!$D$5:INDEX(Sales!$D$5:$D$3004,TxRows),$A18))</f>
        <v/>
      </c>
      <c r="W18" s="66" t="str">
        <f aca="false">IF($A18="","",IFERROR(SUMPRODUCT(MAX((Sales!$D$5:INDEX(Sales!$D$5:$D$3004,TxRows)=$A18)*Sales!$A$5:INDEX(Sales!$A$5:$A$3004,TxRows))),0))</f>
        <v/>
      </c>
      <c r="X18" s="67" t="str">
        <f aca="false">IF($A18="","",IF(W18=0,AsOf-FYStart,AsOf-W18))</f>
        <v/>
      </c>
      <c r="Y18" s="67" t="str">
        <f aca="false">IF($A18="","",IF(M18=0,"",O18/(M18/MAX(1,AsOf-FYStart))))</f>
        <v/>
      </c>
      <c r="Z18" s="60" t="str">
        <f aca="false">IF($A18="","",U18+ROW()/1000000)</f>
        <v/>
      </c>
    </row>
    <row r="19" customFormat="false" ht="15" hidden="false" customHeight="false" outlineLevel="0" collapsed="false">
      <c r="A19" s="56"/>
      <c r="B19" s="56"/>
      <c r="C19" s="56"/>
      <c r="D19" s="56"/>
      <c r="E19" s="56"/>
      <c r="F19" s="63"/>
      <c r="G19" s="58"/>
      <c r="H19" s="58"/>
      <c r="I19" s="57"/>
      <c r="J19" s="57"/>
      <c r="K19" s="58"/>
      <c r="L19" s="64" t="str">
        <f aca="false">IF($A19="","",SUMIFS(Purchases!$E$5:INDEX(Purchases!$E$5:$E$3004,TxRows),Purchases!$D$5:INDEX(Purchases!$D$5:$D$3004,TxRows),$A19))</f>
        <v/>
      </c>
      <c r="M19" s="64" t="str">
        <f aca="false">IF($A19="","",SUMIFS(Sales!$E$5:INDEX(Sales!$E$5:$E$3004,TxRows),Sales!$D$5:INDEX(Sales!$D$5:$D$3004,TxRows),$A19))</f>
        <v/>
      </c>
      <c r="N19" s="64" t="str">
        <f aca="false">IF($A19="","",SUMIFS(Adjustments!$C$5:$C$504,Adjustments!$B$5:$B$504,$A19))</f>
        <v/>
      </c>
      <c r="O19" s="64" t="str">
        <f aca="false">IF($A19="","",N($J19)+L19-M19+N19)</f>
        <v/>
      </c>
      <c r="P19" s="61" t="str">
        <f aca="false">IF($A19="","",IFERROR((N($J19)*N($K19)+SUMIFS(Purchases!$K$5:INDEX(Purchases!$K$5:$K$3004,TxRows),Purchases!$D$5:INDEX(Purchases!$D$5:$D$3004,TxRows),$A19))/(N($J19)+L19),N($G19)))</f>
        <v/>
      </c>
      <c r="Q19" s="61" t="str">
        <f aca="false">IF($A19="","",MAX(0,O19)*P19)</f>
        <v/>
      </c>
      <c r="R19" s="60" t="str">
        <f aca="false">IF($A19="","",IF(O19&lt;0,"NEGATIVE",IF(O19=0,"OUT OF STOCK",IF(O19&lt;=N($I19),"REORDER",IF(AND(O19&gt;0,X19&gt;DeadDays),"DEAD STOCK","OK")))))</f>
        <v/>
      </c>
      <c r="S19" s="65" t="str">
        <f aca="false">IF($A19="","",IF(N($H19)=0,0,(N($H19)-P19)/N($H19)))</f>
        <v/>
      </c>
      <c r="T19" s="64" t="str">
        <f aca="false">IF($A19="","",IF(O19&lt;=N($I19),MAX(0,2*N($I19)-O19),0))</f>
        <v/>
      </c>
      <c r="U19" s="61" t="str">
        <f aca="false">IF($A19="","",SUMIFS(Sales!$L$5:INDEX(Sales!$L$5:$L$3004,TxRows),Sales!$D$5:INDEX(Sales!$D$5:$D$3004,TxRows),$A19))</f>
        <v/>
      </c>
      <c r="V19" s="61" t="str">
        <f aca="false">IF($A19="","",SUMIFS(Sales!$S$5:INDEX(Sales!$S$5:$S$3004,TxRows),Sales!$D$5:INDEX(Sales!$D$5:$D$3004,TxRows),$A19))</f>
        <v/>
      </c>
      <c r="W19" s="66" t="str">
        <f aca="false">IF($A19="","",IFERROR(SUMPRODUCT(MAX((Sales!$D$5:INDEX(Sales!$D$5:$D$3004,TxRows)=$A19)*Sales!$A$5:INDEX(Sales!$A$5:$A$3004,TxRows))),0))</f>
        <v/>
      </c>
      <c r="X19" s="67" t="str">
        <f aca="false">IF($A19="","",IF(W19=0,AsOf-FYStart,AsOf-W19))</f>
        <v/>
      </c>
      <c r="Y19" s="67" t="str">
        <f aca="false">IF($A19="","",IF(M19=0,"",O19/(M19/MAX(1,AsOf-FYStart))))</f>
        <v/>
      </c>
      <c r="Z19" s="60" t="str">
        <f aca="false">IF($A19="","",U19+ROW()/1000000)</f>
        <v/>
      </c>
    </row>
    <row r="20" customFormat="false" ht="15" hidden="false" customHeight="false" outlineLevel="0" collapsed="false">
      <c r="A20" s="56"/>
      <c r="B20" s="56"/>
      <c r="C20" s="56"/>
      <c r="D20" s="56"/>
      <c r="E20" s="56"/>
      <c r="F20" s="63"/>
      <c r="G20" s="58"/>
      <c r="H20" s="58"/>
      <c r="I20" s="57"/>
      <c r="J20" s="57"/>
      <c r="K20" s="58"/>
      <c r="L20" s="64" t="str">
        <f aca="false">IF($A20="","",SUMIFS(Purchases!$E$5:INDEX(Purchases!$E$5:$E$3004,TxRows),Purchases!$D$5:INDEX(Purchases!$D$5:$D$3004,TxRows),$A20))</f>
        <v/>
      </c>
      <c r="M20" s="64" t="str">
        <f aca="false">IF($A20="","",SUMIFS(Sales!$E$5:INDEX(Sales!$E$5:$E$3004,TxRows),Sales!$D$5:INDEX(Sales!$D$5:$D$3004,TxRows),$A20))</f>
        <v/>
      </c>
      <c r="N20" s="64" t="str">
        <f aca="false">IF($A20="","",SUMIFS(Adjustments!$C$5:$C$504,Adjustments!$B$5:$B$504,$A20))</f>
        <v/>
      </c>
      <c r="O20" s="64" t="str">
        <f aca="false">IF($A20="","",N($J20)+L20-M20+N20)</f>
        <v/>
      </c>
      <c r="P20" s="61" t="str">
        <f aca="false">IF($A20="","",IFERROR((N($J20)*N($K20)+SUMIFS(Purchases!$K$5:INDEX(Purchases!$K$5:$K$3004,TxRows),Purchases!$D$5:INDEX(Purchases!$D$5:$D$3004,TxRows),$A20))/(N($J20)+L20),N($G20)))</f>
        <v/>
      </c>
      <c r="Q20" s="61" t="str">
        <f aca="false">IF($A20="","",MAX(0,O20)*P20)</f>
        <v/>
      </c>
      <c r="R20" s="60" t="str">
        <f aca="false">IF($A20="","",IF(O20&lt;0,"NEGATIVE",IF(O20=0,"OUT OF STOCK",IF(O20&lt;=N($I20),"REORDER",IF(AND(O20&gt;0,X20&gt;DeadDays),"DEAD STOCK","OK")))))</f>
        <v/>
      </c>
      <c r="S20" s="65" t="str">
        <f aca="false">IF($A20="","",IF(N($H20)=0,0,(N($H20)-P20)/N($H20)))</f>
        <v/>
      </c>
      <c r="T20" s="64" t="str">
        <f aca="false">IF($A20="","",IF(O20&lt;=N($I20),MAX(0,2*N($I20)-O20),0))</f>
        <v/>
      </c>
      <c r="U20" s="61" t="str">
        <f aca="false">IF($A20="","",SUMIFS(Sales!$L$5:INDEX(Sales!$L$5:$L$3004,TxRows),Sales!$D$5:INDEX(Sales!$D$5:$D$3004,TxRows),$A20))</f>
        <v/>
      </c>
      <c r="V20" s="61" t="str">
        <f aca="false">IF($A20="","",SUMIFS(Sales!$S$5:INDEX(Sales!$S$5:$S$3004,TxRows),Sales!$D$5:INDEX(Sales!$D$5:$D$3004,TxRows),$A20))</f>
        <v/>
      </c>
      <c r="W20" s="66" t="str">
        <f aca="false">IF($A20="","",IFERROR(SUMPRODUCT(MAX((Sales!$D$5:INDEX(Sales!$D$5:$D$3004,TxRows)=$A20)*Sales!$A$5:INDEX(Sales!$A$5:$A$3004,TxRows))),0))</f>
        <v/>
      </c>
      <c r="X20" s="67" t="str">
        <f aca="false">IF($A20="","",IF(W20=0,AsOf-FYStart,AsOf-W20))</f>
        <v/>
      </c>
      <c r="Y20" s="67" t="str">
        <f aca="false">IF($A20="","",IF(M20=0,"",O20/(M20/MAX(1,AsOf-FYStart))))</f>
        <v/>
      </c>
      <c r="Z20" s="60" t="str">
        <f aca="false">IF($A20="","",U20+ROW()/1000000)</f>
        <v/>
      </c>
    </row>
    <row r="21" customFormat="false" ht="15" hidden="false" customHeight="false" outlineLevel="0" collapsed="false">
      <c r="A21" s="56"/>
      <c r="B21" s="56"/>
      <c r="C21" s="56"/>
      <c r="D21" s="56"/>
      <c r="E21" s="56"/>
      <c r="F21" s="63"/>
      <c r="G21" s="58"/>
      <c r="H21" s="58"/>
      <c r="I21" s="57"/>
      <c r="J21" s="57"/>
      <c r="K21" s="58"/>
      <c r="L21" s="64" t="str">
        <f aca="false">IF($A21="","",SUMIFS(Purchases!$E$5:INDEX(Purchases!$E$5:$E$3004,TxRows),Purchases!$D$5:INDEX(Purchases!$D$5:$D$3004,TxRows),$A21))</f>
        <v/>
      </c>
      <c r="M21" s="64" t="str">
        <f aca="false">IF($A21="","",SUMIFS(Sales!$E$5:INDEX(Sales!$E$5:$E$3004,TxRows),Sales!$D$5:INDEX(Sales!$D$5:$D$3004,TxRows),$A21))</f>
        <v/>
      </c>
      <c r="N21" s="64" t="str">
        <f aca="false">IF($A21="","",SUMIFS(Adjustments!$C$5:$C$504,Adjustments!$B$5:$B$504,$A21))</f>
        <v/>
      </c>
      <c r="O21" s="64" t="str">
        <f aca="false">IF($A21="","",N($J21)+L21-M21+N21)</f>
        <v/>
      </c>
      <c r="P21" s="61" t="str">
        <f aca="false">IF($A21="","",IFERROR((N($J21)*N($K21)+SUMIFS(Purchases!$K$5:INDEX(Purchases!$K$5:$K$3004,TxRows),Purchases!$D$5:INDEX(Purchases!$D$5:$D$3004,TxRows),$A21))/(N($J21)+L21),N($G21)))</f>
        <v/>
      </c>
      <c r="Q21" s="61" t="str">
        <f aca="false">IF($A21="","",MAX(0,O21)*P21)</f>
        <v/>
      </c>
      <c r="R21" s="60" t="str">
        <f aca="false">IF($A21="","",IF(O21&lt;0,"NEGATIVE",IF(O21=0,"OUT OF STOCK",IF(O21&lt;=N($I21),"REORDER",IF(AND(O21&gt;0,X21&gt;DeadDays),"DEAD STOCK","OK")))))</f>
        <v/>
      </c>
      <c r="S21" s="65" t="str">
        <f aca="false">IF($A21="","",IF(N($H21)=0,0,(N($H21)-P21)/N($H21)))</f>
        <v/>
      </c>
      <c r="T21" s="64" t="str">
        <f aca="false">IF($A21="","",IF(O21&lt;=N($I21),MAX(0,2*N($I21)-O21),0))</f>
        <v/>
      </c>
      <c r="U21" s="61" t="str">
        <f aca="false">IF($A21="","",SUMIFS(Sales!$L$5:INDEX(Sales!$L$5:$L$3004,TxRows),Sales!$D$5:INDEX(Sales!$D$5:$D$3004,TxRows),$A21))</f>
        <v/>
      </c>
      <c r="V21" s="61" t="str">
        <f aca="false">IF($A21="","",SUMIFS(Sales!$S$5:INDEX(Sales!$S$5:$S$3004,TxRows),Sales!$D$5:INDEX(Sales!$D$5:$D$3004,TxRows),$A21))</f>
        <v/>
      </c>
      <c r="W21" s="66" t="str">
        <f aca="false">IF($A21="","",IFERROR(SUMPRODUCT(MAX((Sales!$D$5:INDEX(Sales!$D$5:$D$3004,TxRows)=$A21)*Sales!$A$5:INDEX(Sales!$A$5:$A$3004,TxRows))),0))</f>
        <v/>
      </c>
      <c r="X21" s="67" t="str">
        <f aca="false">IF($A21="","",IF(W21=0,AsOf-FYStart,AsOf-W21))</f>
        <v/>
      </c>
      <c r="Y21" s="67" t="str">
        <f aca="false">IF($A21="","",IF(M21=0,"",O21/(M21/MAX(1,AsOf-FYStart))))</f>
        <v/>
      </c>
      <c r="Z21" s="60" t="str">
        <f aca="false">IF($A21="","",U21+ROW()/1000000)</f>
        <v/>
      </c>
    </row>
    <row r="22" customFormat="false" ht="15" hidden="false" customHeight="false" outlineLevel="0" collapsed="false">
      <c r="A22" s="56"/>
      <c r="B22" s="56"/>
      <c r="C22" s="56"/>
      <c r="D22" s="56"/>
      <c r="E22" s="56"/>
      <c r="F22" s="63"/>
      <c r="G22" s="58"/>
      <c r="H22" s="58"/>
      <c r="I22" s="57"/>
      <c r="J22" s="57"/>
      <c r="K22" s="58"/>
      <c r="L22" s="64" t="str">
        <f aca="false">IF($A22="","",SUMIFS(Purchases!$E$5:INDEX(Purchases!$E$5:$E$3004,TxRows),Purchases!$D$5:INDEX(Purchases!$D$5:$D$3004,TxRows),$A22))</f>
        <v/>
      </c>
      <c r="M22" s="64" t="str">
        <f aca="false">IF($A22="","",SUMIFS(Sales!$E$5:INDEX(Sales!$E$5:$E$3004,TxRows),Sales!$D$5:INDEX(Sales!$D$5:$D$3004,TxRows),$A22))</f>
        <v/>
      </c>
      <c r="N22" s="64" t="str">
        <f aca="false">IF($A22="","",SUMIFS(Adjustments!$C$5:$C$504,Adjustments!$B$5:$B$504,$A22))</f>
        <v/>
      </c>
      <c r="O22" s="64" t="str">
        <f aca="false">IF($A22="","",N($J22)+L22-M22+N22)</f>
        <v/>
      </c>
      <c r="P22" s="61" t="str">
        <f aca="false">IF($A22="","",IFERROR((N($J22)*N($K22)+SUMIFS(Purchases!$K$5:INDEX(Purchases!$K$5:$K$3004,TxRows),Purchases!$D$5:INDEX(Purchases!$D$5:$D$3004,TxRows),$A22))/(N($J22)+L22),N($G22)))</f>
        <v/>
      </c>
      <c r="Q22" s="61" t="str">
        <f aca="false">IF($A22="","",MAX(0,O22)*P22)</f>
        <v/>
      </c>
      <c r="R22" s="60" t="str">
        <f aca="false">IF($A22="","",IF(O22&lt;0,"NEGATIVE",IF(O22=0,"OUT OF STOCK",IF(O22&lt;=N($I22),"REORDER",IF(AND(O22&gt;0,X22&gt;DeadDays),"DEAD STOCK","OK")))))</f>
        <v/>
      </c>
      <c r="S22" s="65" t="str">
        <f aca="false">IF($A22="","",IF(N($H22)=0,0,(N($H22)-P22)/N($H22)))</f>
        <v/>
      </c>
      <c r="T22" s="64" t="str">
        <f aca="false">IF($A22="","",IF(O22&lt;=N($I22),MAX(0,2*N($I22)-O22),0))</f>
        <v/>
      </c>
      <c r="U22" s="61" t="str">
        <f aca="false">IF($A22="","",SUMIFS(Sales!$L$5:INDEX(Sales!$L$5:$L$3004,TxRows),Sales!$D$5:INDEX(Sales!$D$5:$D$3004,TxRows),$A22))</f>
        <v/>
      </c>
      <c r="V22" s="61" t="str">
        <f aca="false">IF($A22="","",SUMIFS(Sales!$S$5:INDEX(Sales!$S$5:$S$3004,TxRows),Sales!$D$5:INDEX(Sales!$D$5:$D$3004,TxRows),$A22))</f>
        <v/>
      </c>
      <c r="W22" s="66" t="str">
        <f aca="false">IF($A22="","",IFERROR(SUMPRODUCT(MAX((Sales!$D$5:INDEX(Sales!$D$5:$D$3004,TxRows)=$A22)*Sales!$A$5:INDEX(Sales!$A$5:$A$3004,TxRows))),0))</f>
        <v/>
      </c>
      <c r="X22" s="67" t="str">
        <f aca="false">IF($A22="","",IF(W22=0,AsOf-FYStart,AsOf-W22))</f>
        <v/>
      </c>
      <c r="Y22" s="67" t="str">
        <f aca="false">IF($A22="","",IF(M22=0,"",O22/(M22/MAX(1,AsOf-FYStart))))</f>
        <v/>
      </c>
      <c r="Z22" s="60" t="str">
        <f aca="false">IF($A22="","",U22+ROW()/1000000)</f>
        <v/>
      </c>
    </row>
    <row r="23" customFormat="false" ht="15" hidden="false" customHeight="false" outlineLevel="0" collapsed="false">
      <c r="A23" s="56"/>
      <c r="B23" s="56"/>
      <c r="C23" s="56"/>
      <c r="D23" s="56"/>
      <c r="E23" s="56"/>
      <c r="F23" s="63"/>
      <c r="G23" s="58"/>
      <c r="H23" s="58"/>
      <c r="I23" s="57"/>
      <c r="J23" s="57"/>
      <c r="K23" s="58"/>
      <c r="L23" s="64" t="str">
        <f aca="false">IF($A23="","",SUMIFS(Purchases!$E$5:INDEX(Purchases!$E$5:$E$3004,TxRows),Purchases!$D$5:INDEX(Purchases!$D$5:$D$3004,TxRows),$A23))</f>
        <v/>
      </c>
      <c r="M23" s="64" t="str">
        <f aca="false">IF($A23="","",SUMIFS(Sales!$E$5:INDEX(Sales!$E$5:$E$3004,TxRows),Sales!$D$5:INDEX(Sales!$D$5:$D$3004,TxRows),$A23))</f>
        <v/>
      </c>
      <c r="N23" s="64" t="str">
        <f aca="false">IF($A23="","",SUMIFS(Adjustments!$C$5:$C$504,Adjustments!$B$5:$B$504,$A23))</f>
        <v/>
      </c>
      <c r="O23" s="64" t="str">
        <f aca="false">IF($A23="","",N($J23)+L23-M23+N23)</f>
        <v/>
      </c>
      <c r="P23" s="61" t="str">
        <f aca="false">IF($A23="","",IFERROR((N($J23)*N($K23)+SUMIFS(Purchases!$K$5:INDEX(Purchases!$K$5:$K$3004,TxRows),Purchases!$D$5:INDEX(Purchases!$D$5:$D$3004,TxRows),$A23))/(N($J23)+L23),N($G23)))</f>
        <v/>
      </c>
      <c r="Q23" s="61" t="str">
        <f aca="false">IF($A23="","",MAX(0,O23)*P23)</f>
        <v/>
      </c>
      <c r="R23" s="60" t="str">
        <f aca="false">IF($A23="","",IF(O23&lt;0,"NEGATIVE",IF(O23=0,"OUT OF STOCK",IF(O23&lt;=N($I23),"REORDER",IF(AND(O23&gt;0,X23&gt;DeadDays),"DEAD STOCK","OK")))))</f>
        <v/>
      </c>
      <c r="S23" s="65" t="str">
        <f aca="false">IF($A23="","",IF(N($H23)=0,0,(N($H23)-P23)/N($H23)))</f>
        <v/>
      </c>
      <c r="T23" s="64" t="str">
        <f aca="false">IF($A23="","",IF(O23&lt;=N($I23),MAX(0,2*N($I23)-O23),0))</f>
        <v/>
      </c>
      <c r="U23" s="61" t="str">
        <f aca="false">IF($A23="","",SUMIFS(Sales!$L$5:INDEX(Sales!$L$5:$L$3004,TxRows),Sales!$D$5:INDEX(Sales!$D$5:$D$3004,TxRows),$A23))</f>
        <v/>
      </c>
      <c r="V23" s="61" t="str">
        <f aca="false">IF($A23="","",SUMIFS(Sales!$S$5:INDEX(Sales!$S$5:$S$3004,TxRows),Sales!$D$5:INDEX(Sales!$D$5:$D$3004,TxRows),$A23))</f>
        <v/>
      </c>
      <c r="W23" s="66" t="str">
        <f aca="false">IF($A23="","",IFERROR(SUMPRODUCT(MAX((Sales!$D$5:INDEX(Sales!$D$5:$D$3004,TxRows)=$A23)*Sales!$A$5:INDEX(Sales!$A$5:$A$3004,TxRows))),0))</f>
        <v/>
      </c>
      <c r="X23" s="67" t="str">
        <f aca="false">IF($A23="","",IF(W23=0,AsOf-FYStart,AsOf-W23))</f>
        <v/>
      </c>
      <c r="Y23" s="67" t="str">
        <f aca="false">IF($A23="","",IF(M23=0,"",O23/(M23/MAX(1,AsOf-FYStart))))</f>
        <v/>
      </c>
      <c r="Z23" s="60" t="str">
        <f aca="false">IF($A23="","",U23+ROW()/1000000)</f>
        <v/>
      </c>
    </row>
    <row r="24" customFormat="false" ht="15" hidden="false" customHeight="false" outlineLevel="0" collapsed="false">
      <c r="A24" s="56"/>
      <c r="B24" s="56"/>
      <c r="C24" s="56"/>
      <c r="D24" s="56"/>
      <c r="E24" s="56"/>
      <c r="F24" s="63"/>
      <c r="G24" s="58"/>
      <c r="H24" s="58"/>
      <c r="I24" s="57"/>
      <c r="J24" s="57"/>
      <c r="K24" s="58"/>
      <c r="L24" s="64" t="str">
        <f aca="false">IF($A24="","",SUMIFS(Purchases!$E$5:INDEX(Purchases!$E$5:$E$3004,TxRows),Purchases!$D$5:INDEX(Purchases!$D$5:$D$3004,TxRows),$A24))</f>
        <v/>
      </c>
      <c r="M24" s="64" t="str">
        <f aca="false">IF($A24="","",SUMIFS(Sales!$E$5:INDEX(Sales!$E$5:$E$3004,TxRows),Sales!$D$5:INDEX(Sales!$D$5:$D$3004,TxRows),$A24))</f>
        <v/>
      </c>
      <c r="N24" s="64" t="str">
        <f aca="false">IF($A24="","",SUMIFS(Adjustments!$C$5:$C$504,Adjustments!$B$5:$B$504,$A24))</f>
        <v/>
      </c>
      <c r="O24" s="64" t="str">
        <f aca="false">IF($A24="","",N($J24)+L24-M24+N24)</f>
        <v/>
      </c>
      <c r="P24" s="61" t="str">
        <f aca="false">IF($A24="","",IFERROR((N($J24)*N($K24)+SUMIFS(Purchases!$K$5:INDEX(Purchases!$K$5:$K$3004,TxRows),Purchases!$D$5:INDEX(Purchases!$D$5:$D$3004,TxRows),$A24))/(N($J24)+L24),N($G24)))</f>
        <v/>
      </c>
      <c r="Q24" s="61" t="str">
        <f aca="false">IF($A24="","",MAX(0,O24)*P24)</f>
        <v/>
      </c>
      <c r="R24" s="60" t="str">
        <f aca="false">IF($A24="","",IF(O24&lt;0,"NEGATIVE",IF(O24=0,"OUT OF STOCK",IF(O24&lt;=N($I24),"REORDER",IF(AND(O24&gt;0,X24&gt;DeadDays),"DEAD STOCK","OK")))))</f>
        <v/>
      </c>
      <c r="S24" s="65" t="str">
        <f aca="false">IF($A24="","",IF(N($H24)=0,0,(N($H24)-P24)/N($H24)))</f>
        <v/>
      </c>
      <c r="T24" s="64" t="str">
        <f aca="false">IF($A24="","",IF(O24&lt;=N($I24),MAX(0,2*N($I24)-O24),0))</f>
        <v/>
      </c>
      <c r="U24" s="61" t="str">
        <f aca="false">IF($A24="","",SUMIFS(Sales!$L$5:INDEX(Sales!$L$5:$L$3004,TxRows),Sales!$D$5:INDEX(Sales!$D$5:$D$3004,TxRows),$A24))</f>
        <v/>
      </c>
      <c r="V24" s="61" t="str">
        <f aca="false">IF($A24="","",SUMIFS(Sales!$S$5:INDEX(Sales!$S$5:$S$3004,TxRows),Sales!$D$5:INDEX(Sales!$D$5:$D$3004,TxRows),$A24))</f>
        <v/>
      </c>
      <c r="W24" s="66" t="str">
        <f aca="false">IF($A24="","",IFERROR(SUMPRODUCT(MAX((Sales!$D$5:INDEX(Sales!$D$5:$D$3004,TxRows)=$A24)*Sales!$A$5:INDEX(Sales!$A$5:$A$3004,TxRows))),0))</f>
        <v/>
      </c>
      <c r="X24" s="67" t="str">
        <f aca="false">IF($A24="","",IF(W24=0,AsOf-FYStart,AsOf-W24))</f>
        <v/>
      </c>
      <c r="Y24" s="67" t="str">
        <f aca="false">IF($A24="","",IF(M24=0,"",O24/(M24/MAX(1,AsOf-FYStart))))</f>
        <v/>
      </c>
      <c r="Z24" s="60" t="str">
        <f aca="false">IF($A24="","",U24+ROW()/1000000)</f>
        <v/>
      </c>
    </row>
    <row r="25" customFormat="false" ht="15" hidden="false" customHeight="false" outlineLevel="0" collapsed="false">
      <c r="A25" s="56"/>
      <c r="B25" s="56"/>
      <c r="C25" s="56"/>
      <c r="D25" s="56"/>
      <c r="E25" s="56"/>
      <c r="F25" s="63"/>
      <c r="G25" s="58"/>
      <c r="H25" s="58"/>
      <c r="I25" s="57"/>
      <c r="J25" s="57"/>
      <c r="K25" s="58"/>
      <c r="L25" s="64" t="str">
        <f aca="false">IF($A25="","",SUMIFS(Purchases!$E$5:INDEX(Purchases!$E$5:$E$3004,TxRows),Purchases!$D$5:INDEX(Purchases!$D$5:$D$3004,TxRows),$A25))</f>
        <v/>
      </c>
      <c r="M25" s="64" t="str">
        <f aca="false">IF($A25="","",SUMIFS(Sales!$E$5:INDEX(Sales!$E$5:$E$3004,TxRows),Sales!$D$5:INDEX(Sales!$D$5:$D$3004,TxRows),$A25))</f>
        <v/>
      </c>
      <c r="N25" s="64" t="str">
        <f aca="false">IF($A25="","",SUMIFS(Adjustments!$C$5:$C$504,Adjustments!$B$5:$B$504,$A25))</f>
        <v/>
      </c>
      <c r="O25" s="64" t="str">
        <f aca="false">IF($A25="","",N($J25)+L25-M25+N25)</f>
        <v/>
      </c>
      <c r="P25" s="61" t="str">
        <f aca="false">IF($A25="","",IFERROR((N($J25)*N($K25)+SUMIFS(Purchases!$K$5:INDEX(Purchases!$K$5:$K$3004,TxRows),Purchases!$D$5:INDEX(Purchases!$D$5:$D$3004,TxRows),$A25))/(N($J25)+L25),N($G25)))</f>
        <v/>
      </c>
      <c r="Q25" s="61" t="str">
        <f aca="false">IF($A25="","",MAX(0,O25)*P25)</f>
        <v/>
      </c>
      <c r="R25" s="60" t="str">
        <f aca="false">IF($A25="","",IF(O25&lt;0,"NEGATIVE",IF(O25=0,"OUT OF STOCK",IF(O25&lt;=N($I25),"REORDER",IF(AND(O25&gt;0,X25&gt;DeadDays),"DEAD STOCK","OK")))))</f>
        <v/>
      </c>
      <c r="S25" s="65" t="str">
        <f aca="false">IF($A25="","",IF(N($H25)=0,0,(N($H25)-P25)/N($H25)))</f>
        <v/>
      </c>
      <c r="T25" s="64" t="str">
        <f aca="false">IF($A25="","",IF(O25&lt;=N($I25),MAX(0,2*N($I25)-O25),0))</f>
        <v/>
      </c>
      <c r="U25" s="61" t="str">
        <f aca="false">IF($A25="","",SUMIFS(Sales!$L$5:INDEX(Sales!$L$5:$L$3004,TxRows),Sales!$D$5:INDEX(Sales!$D$5:$D$3004,TxRows),$A25))</f>
        <v/>
      </c>
      <c r="V25" s="61" t="str">
        <f aca="false">IF($A25="","",SUMIFS(Sales!$S$5:INDEX(Sales!$S$5:$S$3004,TxRows),Sales!$D$5:INDEX(Sales!$D$5:$D$3004,TxRows),$A25))</f>
        <v/>
      </c>
      <c r="W25" s="66" t="str">
        <f aca="false">IF($A25="","",IFERROR(SUMPRODUCT(MAX((Sales!$D$5:INDEX(Sales!$D$5:$D$3004,TxRows)=$A25)*Sales!$A$5:INDEX(Sales!$A$5:$A$3004,TxRows))),0))</f>
        <v/>
      </c>
      <c r="X25" s="67" t="str">
        <f aca="false">IF($A25="","",IF(W25=0,AsOf-FYStart,AsOf-W25))</f>
        <v/>
      </c>
      <c r="Y25" s="67" t="str">
        <f aca="false">IF($A25="","",IF(M25=0,"",O25/(M25/MAX(1,AsOf-FYStart))))</f>
        <v/>
      </c>
      <c r="Z25" s="60" t="str">
        <f aca="false">IF($A25="","",U25+ROW()/1000000)</f>
        <v/>
      </c>
    </row>
    <row r="26" customFormat="false" ht="15" hidden="false" customHeight="false" outlineLevel="0" collapsed="false">
      <c r="A26" s="56"/>
      <c r="B26" s="56"/>
      <c r="C26" s="56"/>
      <c r="D26" s="56"/>
      <c r="E26" s="56"/>
      <c r="F26" s="63"/>
      <c r="G26" s="58"/>
      <c r="H26" s="58"/>
      <c r="I26" s="57"/>
      <c r="J26" s="57"/>
      <c r="K26" s="58"/>
      <c r="L26" s="64" t="str">
        <f aca="false">IF($A26="","",SUMIFS(Purchases!$E$5:INDEX(Purchases!$E$5:$E$3004,TxRows),Purchases!$D$5:INDEX(Purchases!$D$5:$D$3004,TxRows),$A26))</f>
        <v/>
      </c>
      <c r="M26" s="64" t="str">
        <f aca="false">IF($A26="","",SUMIFS(Sales!$E$5:INDEX(Sales!$E$5:$E$3004,TxRows),Sales!$D$5:INDEX(Sales!$D$5:$D$3004,TxRows),$A26))</f>
        <v/>
      </c>
      <c r="N26" s="64" t="str">
        <f aca="false">IF($A26="","",SUMIFS(Adjustments!$C$5:$C$504,Adjustments!$B$5:$B$504,$A26))</f>
        <v/>
      </c>
      <c r="O26" s="64" t="str">
        <f aca="false">IF($A26="","",N($J26)+L26-M26+N26)</f>
        <v/>
      </c>
      <c r="P26" s="61" t="str">
        <f aca="false">IF($A26="","",IFERROR((N($J26)*N($K26)+SUMIFS(Purchases!$K$5:INDEX(Purchases!$K$5:$K$3004,TxRows),Purchases!$D$5:INDEX(Purchases!$D$5:$D$3004,TxRows),$A26))/(N($J26)+L26),N($G26)))</f>
        <v/>
      </c>
      <c r="Q26" s="61" t="str">
        <f aca="false">IF($A26="","",MAX(0,O26)*P26)</f>
        <v/>
      </c>
      <c r="R26" s="60" t="str">
        <f aca="false">IF($A26="","",IF(O26&lt;0,"NEGATIVE",IF(O26=0,"OUT OF STOCK",IF(O26&lt;=N($I26),"REORDER",IF(AND(O26&gt;0,X26&gt;DeadDays),"DEAD STOCK","OK")))))</f>
        <v/>
      </c>
      <c r="S26" s="65" t="str">
        <f aca="false">IF($A26="","",IF(N($H26)=0,0,(N($H26)-P26)/N($H26)))</f>
        <v/>
      </c>
      <c r="T26" s="64" t="str">
        <f aca="false">IF($A26="","",IF(O26&lt;=N($I26),MAX(0,2*N($I26)-O26),0))</f>
        <v/>
      </c>
      <c r="U26" s="61" t="str">
        <f aca="false">IF($A26="","",SUMIFS(Sales!$L$5:INDEX(Sales!$L$5:$L$3004,TxRows),Sales!$D$5:INDEX(Sales!$D$5:$D$3004,TxRows),$A26))</f>
        <v/>
      </c>
      <c r="V26" s="61" t="str">
        <f aca="false">IF($A26="","",SUMIFS(Sales!$S$5:INDEX(Sales!$S$5:$S$3004,TxRows),Sales!$D$5:INDEX(Sales!$D$5:$D$3004,TxRows),$A26))</f>
        <v/>
      </c>
      <c r="W26" s="66" t="str">
        <f aca="false">IF($A26="","",IFERROR(SUMPRODUCT(MAX((Sales!$D$5:INDEX(Sales!$D$5:$D$3004,TxRows)=$A26)*Sales!$A$5:INDEX(Sales!$A$5:$A$3004,TxRows))),0))</f>
        <v/>
      </c>
      <c r="X26" s="67" t="str">
        <f aca="false">IF($A26="","",IF(W26=0,AsOf-FYStart,AsOf-W26))</f>
        <v/>
      </c>
      <c r="Y26" s="67" t="str">
        <f aca="false">IF($A26="","",IF(M26=0,"",O26/(M26/MAX(1,AsOf-FYStart))))</f>
        <v/>
      </c>
      <c r="Z26" s="60" t="str">
        <f aca="false">IF($A26="","",U26+ROW()/1000000)</f>
        <v/>
      </c>
    </row>
    <row r="27" customFormat="false" ht="15" hidden="false" customHeight="false" outlineLevel="0" collapsed="false">
      <c r="A27" s="56"/>
      <c r="B27" s="56"/>
      <c r="C27" s="56"/>
      <c r="D27" s="56"/>
      <c r="E27" s="56"/>
      <c r="F27" s="63"/>
      <c r="G27" s="58"/>
      <c r="H27" s="58"/>
      <c r="I27" s="57"/>
      <c r="J27" s="57"/>
      <c r="K27" s="58"/>
      <c r="L27" s="64" t="str">
        <f aca="false">IF($A27="","",SUMIFS(Purchases!$E$5:INDEX(Purchases!$E$5:$E$3004,TxRows),Purchases!$D$5:INDEX(Purchases!$D$5:$D$3004,TxRows),$A27))</f>
        <v/>
      </c>
      <c r="M27" s="64" t="str">
        <f aca="false">IF($A27="","",SUMIFS(Sales!$E$5:INDEX(Sales!$E$5:$E$3004,TxRows),Sales!$D$5:INDEX(Sales!$D$5:$D$3004,TxRows),$A27))</f>
        <v/>
      </c>
      <c r="N27" s="64" t="str">
        <f aca="false">IF($A27="","",SUMIFS(Adjustments!$C$5:$C$504,Adjustments!$B$5:$B$504,$A27))</f>
        <v/>
      </c>
      <c r="O27" s="64" t="str">
        <f aca="false">IF($A27="","",N($J27)+L27-M27+N27)</f>
        <v/>
      </c>
      <c r="P27" s="61" t="str">
        <f aca="false">IF($A27="","",IFERROR((N($J27)*N($K27)+SUMIFS(Purchases!$K$5:INDEX(Purchases!$K$5:$K$3004,TxRows),Purchases!$D$5:INDEX(Purchases!$D$5:$D$3004,TxRows),$A27))/(N($J27)+L27),N($G27)))</f>
        <v/>
      </c>
      <c r="Q27" s="61" t="str">
        <f aca="false">IF($A27="","",MAX(0,O27)*P27)</f>
        <v/>
      </c>
      <c r="R27" s="60" t="str">
        <f aca="false">IF($A27="","",IF(O27&lt;0,"NEGATIVE",IF(O27=0,"OUT OF STOCK",IF(O27&lt;=N($I27),"REORDER",IF(AND(O27&gt;0,X27&gt;DeadDays),"DEAD STOCK","OK")))))</f>
        <v/>
      </c>
      <c r="S27" s="65" t="str">
        <f aca="false">IF($A27="","",IF(N($H27)=0,0,(N($H27)-P27)/N($H27)))</f>
        <v/>
      </c>
      <c r="T27" s="64" t="str">
        <f aca="false">IF($A27="","",IF(O27&lt;=N($I27),MAX(0,2*N($I27)-O27),0))</f>
        <v/>
      </c>
      <c r="U27" s="61" t="str">
        <f aca="false">IF($A27="","",SUMIFS(Sales!$L$5:INDEX(Sales!$L$5:$L$3004,TxRows),Sales!$D$5:INDEX(Sales!$D$5:$D$3004,TxRows),$A27))</f>
        <v/>
      </c>
      <c r="V27" s="61" t="str">
        <f aca="false">IF($A27="","",SUMIFS(Sales!$S$5:INDEX(Sales!$S$5:$S$3004,TxRows),Sales!$D$5:INDEX(Sales!$D$5:$D$3004,TxRows),$A27))</f>
        <v/>
      </c>
      <c r="W27" s="66" t="str">
        <f aca="false">IF($A27="","",IFERROR(SUMPRODUCT(MAX((Sales!$D$5:INDEX(Sales!$D$5:$D$3004,TxRows)=$A27)*Sales!$A$5:INDEX(Sales!$A$5:$A$3004,TxRows))),0))</f>
        <v/>
      </c>
      <c r="X27" s="67" t="str">
        <f aca="false">IF($A27="","",IF(W27=0,AsOf-FYStart,AsOf-W27))</f>
        <v/>
      </c>
      <c r="Y27" s="67" t="str">
        <f aca="false">IF($A27="","",IF(M27=0,"",O27/(M27/MAX(1,AsOf-FYStart))))</f>
        <v/>
      </c>
      <c r="Z27" s="60" t="str">
        <f aca="false">IF($A27="","",U27+ROW()/1000000)</f>
        <v/>
      </c>
    </row>
    <row r="28" customFormat="false" ht="15" hidden="false" customHeight="false" outlineLevel="0" collapsed="false">
      <c r="A28" s="56"/>
      <c r="B28" s="56"/>
      <c r="C28" s="56"/>
      <c r="D28" s="56"/>
      <c r="E28" s="56"/>
      <c r="F28" s="63"/>
      <c r="G28" s="58"/>
      <c r="H28" s="58"/>
      <c r="I28" s="57"/>
      <c r="J28" s="57"/>
      <c r="K28" s="58"/>
      <c r="L28" s="64" t="str">
        <f aca="false">IF($A28="","",SUMIFS(Purchases!$E$5:INDEX(Purchases!$E$5:$E$3004,TxRows),Purchases!$D$5:INDEX(Purchases!$D$5:$D$3004,TxRows),$A28))</f>
        <v/>
      </c>
      <c r="M28" s="64" t="str">
        <f aca="false">IF($A28="","",SUMIFS(Sales!$E$5:INDEX(Sales!$E$5:$E$3004,TxRows),Sales!$D$5:INDEX(Sales!$D$5:$D$3004,TxRows),$A28))</f>
        <v/>
      </c>
      <c r="N28" s="64" t="str">
        <f aca="false">IF($A28="","",SUMIFS(Adjustments!$C$5:$C$504,Adjustments!$B$5:$B$504,$A28))</f>
        <v/>
      </c>
      <c r="O28" s="64" t="str">
        <f aca="false">IF($A28="","",N($J28)+L28-M28+N28)</f>
        <v/>
      </c>
      <c r="P28" s="61" t="str">
        <f aca="false">IF($A28="","",IFERROR((N($J28)*N($K28)+SUMIFS(Purchases!$K$5:INDEX(Purchases!$K$5:$K$3004,TxRows),Purchases!$D$5:INDEX(Purchases!$D$5:$D$3004,TxRows),$A28))/(N($J28)+L28),N($G28)))</f>
        <v/>
      </c>
      <c r="Q28" s="61" t="str">
        <f aca="false">IF($A28="","",MAX(0,O28)*P28)</f>
        <v/>
      </c>
      <c r="R28" s="60" t="str">
        <f aca="false">IF($A28="","",IF(O28&lt;0,"NEGATIVE",IF(O28=0,"OUT OF STOCK",IF(O28&lt;=N($I28),"REORDER",IF(AND(O28&gt;0,X28&gt;DeadDays),"DEAD STOCK","OK")))))</f>
        <v/>
      </c>
      <c r="S28" s="65" t="str">
        <f aca="false">IF($A28="","",IF(N($H28)=0,0,(N($H28)-P28)/N($H28)))</f>
        <v/>
      </c>
      <c r="T28" s="64" t="str">
        <f aca="false">IF($A28="","",IF(O28&lt;=N($I28),MAX(0,2*N($I28)-O28),0))</f>
        <v/>
      </c>
      <c r="U28" s="61" t="str">
        <f aca="false">IF($A28="","",SUMIFS(Sales!$L$5:INDEX(Sales!$L$5:$L$3004,TxRows),Sales!$D$5:INDEX(Sales!$D$5:$D$3004,TxRows),$A28))</f>
        <v/>
      </c>
      <c r="V28" s="61" t="str">
        <f aca="false">IF($A28="","",SUMIFS(Sales!$S$5:INDEX(Sales!$S$5:$S$3004,TxRows),Sales!$D$5:INDEX(Sales!$D$5:$D$3004,TxRows),$A28))</f>
        <v/>
      </c>
      <c r="W28" s="66" t="str">
        <f aca="false">IF($A28="","",IFERROR(SUMPRODUCT(MAX((Sales!$D$5:INDEX(Sales!$D$5:$D$3004,TxRows)=$A28)*Sales!$A$5:INDEX(Sales!$A$5:$A$3004,TxRows))),0))</f>
        <v/>
      </c>
      <c r="X28" s="67" t="str">
        <f aca="false">IF($A28="","",IF(W28=0,AsOf-FYStart,AsOf-W28))</f>
        <v/>
      </c>
      <c r="Y28" s="67" t="str">
        <f aca="false">IF($A28="","",IF(M28=0,"",O28/(M28/MAX(1,AsOf-FYStart))))</f>
        <v/>
      </c>
      <c r="Z28" s="60" t="str">
        <f aca="false">IF($A28="","",U28+ROW()/1000000)</f>
        <v/>
      </c>
    </row>
    <row r="29" customFormat="false" ht="15" hidden="false" customHeight="false" outlineLevel="0" collapsed="false">
      <c r="A29" s="56"/>
      <c r="B29" s="56"/>
      <c r="C29" s="56"/>
      <c r="D29" s="56"/>
      <c r="E29" s="56"/>
      <c r="F29" s="63"/>
      <c r="G29" s="58"/>
      <c r="H29" s="58"/>
      <c r="I29" s="57"/>
      <c r="J29" s="57"/>
      <c r="K29" s="58"/>
      <c r="L29" s="64" t="str">
        <f aca="false">IF($A29="","",SUMIFS(Purchases!$E$5:INDEX(Purchases!$E$5:$E$3004,TxRows),Purchases!$D$5:INDEX(Purchases!$D$5:$D$3004,TxRows),$A29))</f>
        <v/>
      </c>
      <c r="M29" s="64" t="str">
        <f aca="false">IF($A29="","",SUMIFS(Sales!$E$5:INDEX(Sales!$E$5:$E$3004,TxRows),Sales!$D$5:INDEX(Sales!$D$5:$D$3004,TxRows),$A29))</f>
        <v/>
      </c>
      <c r="N29" s="64" t="str">
        <f aca="false">IF($A29="","",SUMIFS(Adjustments!$C$5:$C$504,Adjustments!$B$5:$B$504,$A29))</f>
        <v/>
      </c>
      <c r="O29" s="64" t="str">
        <f aca="false">IF($A29="","",N($J29)+L29-M29+N29)</f>
        <v/>
      </c>
      <c r="P29" s="61" t="str">
        <f aca="false">IF($A29="","",IFERROR((N($J29)*N($K29)+SUMIFS(Purchases!$K$5:INDEX(Purchases!$K$5:$K$3004,TxRows),Purchases!$D$5:INDEX(Purchases!$D$5:$D$3004,TxRows),$A29))/(N($J29)+L29),N($G29)))</f>
        <v/>
      </c>
      <c r="Q29" s="61" t="str">
        <f aca="false">IF($A29="","",MAX(0,O29)*P29)</f>
        <v/>
      </c>
      <c r="R29" s="60" t="str">
        <f aca="false">IF($A29="","",IF(O29&lt;0,"NEGATIVE",IF(O29=0,"OUT OF STOCK",IF(O29&lt;=N($I29),"REORDER",IF(AND(O29&gt;0,X29&gt;DeadDays),"DEAD STOCK","OK")))))</f>
        <v/>
      </c>
      <c r="S29" s="65" t="str">
        <f aca="false">IF($A29="","",IF(N($H29)=0,0,(N($H29)-P29)/N($H29)))</f>
        <v/>
      </c>
      <c r="T29" s="64" t="str">
        <f aca="false">IF($A29="","",IF(O29&lt;=N($I29),MAX(0,2*N($I29)-O29),0))</f>
        <v/>
      </c>
      <c r="U29" s="61" t="str">
        <f aca="false">IF($A29="","",SUMIFS(Sales!$L$5:INDEX(Sales!$L$5:$L$3004,TxRows),Sales!$D$5:INDEX(Sales!$D$5:$D$3004,TxRows),$A29))</f>
        <v/>
      </c>
      <c r="V29" s="61" t="str">
        <f aca="false">IF($A29="","",SUMIFS(Sales!$S$5:INDEX(Sales!$S$5:$S$3004,TxRows),Sales!$D$5:INDEX(Sales!$D$5:$D$3004,TxRows),$A29))</f>
        <v/>
      </c>
      <c r="W29" s="66" t="str">
        <f aca="false">IF($A29="","",IFERROR(SUMPRODUCT(MAX((Sales!$D$5:INDEX(Sales!$D$5:$D$3004,TxRows)=$A29)*Sales!$A$5:INDEX(Sales!$A$5:$A$3004,TxRows))),0))</f>
        <v/>
      </c>
      <c r="X29" s="67" t="str">
        <f aca="false">IF($A29="","",IF(W29=0,AsOf-FYStart,AsOf-W29))</f>
        <v/>
      </c>
      <c r="Y29" s="67" t="str">
        <f aca="false">IF($A29="","",IF(M29=0,"",O29/(M29/MAX(1,AsOf-FYStart))))</f>
        <v/>
      </c>
      <c r="Z29" s="60" t="str">
        <f aca="false">IF($A29="","",U29+ROW()/1000000)</f>
        <v/>
      </c>
    </row>
    <row r="30" customFormat="false" ht="15" hidden="false" customHeight="false" outlineLevel="0" collapsed="false">
      <c r="A30" s="56"/>
      <c r="B30" s="56"/>
      <c r="C30" s="56"/>
      <c r="D30" s="56"/>
      <c r="E30" s="56"/>
      <c r="F30" s="63"/>
      <c r="G30" s="58"/>
      <c r="H30" s="58"/>
      <c r="I30" s="57"/>
      <c r="J30" s="57"/>
      <c r="K30" s="58"/>
      <c r="L30" s="64" t="str">
        <f aca="false">IF($A30="","",SUMIFS(Purchases!$E$5:INDEX(Purchases!$E$5:$E$3004,TxRows),Purchases!$D$5:INDEX(Purchases!$D$5:$D$3004,TxRows),$A30))</f>
        <v/>
      </c>
      <c r="M30" s="64" t="str">
        <f aca="false">IF($A30="","",SUMIFS(Sales!$E$5:INDEX(Sales!$E$5:$E$3004,TxRows),Sales!$D$5:INDEX(Sales!$D$5:$D$3004,TxRows),$A30))</f>
        <v/>
      </c>
      <c r="N30" s="64" t="str">
        <f aca="false">IF($A30="","",SUMIFS(Adjustments!$C$5:$C$504,Adjustments!$B$5:$B$504,$A30))</f>
        <v/>
      </c>
      <c r="O30" s="64" t="str">
        <f aca="false">IF($A30="","",N($J30)+L30-M30+N30)</f>
        <v/>
      </c>
      <c r="P30" s="61" t="str">
        <f aca="false">IF($A30="","",IFERROR((N($J30)*N($K30)+SUMIFS(Purchases!$K$5:INDEX(Purchases!$K$5:$K$3004,TxRows),Purchases!$D$5:INDEX(Purchases!$D$5:$D$3004,TxRows),$A30))/(N($J30)+L30),N($G30)))</f>
        <v/>
      </c>
      <c r="Q30" s="61" t="str">
        <f aca="false">IF($A30="","",MAX(0,O30)*P30)</f>
        <v/>
      </c>
      <c r="R30" s="60" t="str">
        <f aca="false">IF($A30="","",IF(O30&lt;0,"NEGATIVE",IF(O30=0,"OUT OF STOCK",IF(O30&lt;=N($I30),"REORDER",IF(AND(O30&gt;0,X30&gt;DeadDays),"DEAD STOCK","OK")))))</f>
        <v/>
      </c>
      <c r="S30" s="65" t="str">
        <f aca="false">IF($A30="","",IF(N($H30)=0,0,(N($H30)-P30)/N($H30)))</f>
        <v/>
      </c>
      <c r="T30" s="64" t="str">
        <f aca="false">IF($A30="","",IF(O30&lt;=N($I30),MAX(0,2*N($I30)-O30),0))</f>
        <v/>
      </c>
      <c r="U30" s="61" t="str">
        <f aca="false">IF($A30="","",SUMIFS(Sales!$L$5:INDEX(Sales!$L$5:$L$3004,TxRows),Sales!$D$5:INDEX(Sales!$D$5:$D$3004,TxRows),$A30))</f>
        <v/>
      </c>
      <c r="V30" s="61" t="str">
        <f aca="false">IF($A30="","",SUMIFS(Sales!$S$5:INDEX(Sales!$S$5:$S$3004,TxRows),Sales!$D$5:INDEX(Sales!$D$5:$D$3004,TxRows),$A30))</f>
        <v/>
      </c>
      <c r="W30" s="66" t="str">
        <f aca="false">IF($A30="","",IFERROR(SUMPRODUCT(MAX((Sales!$D$5:INDEX(Sales!$D$5:$D$3004,TxRows)=$A30)*Sales!$A$5:INDEX(Sales!$A$5:$A$3004,TxRows))),0))</f>
        <v/>
      </c>
      <c r="X30" s="67" t="str">
        <f aca="false">IF($A30="","",IF(W30=0,AsOf-FYStart,AsOf-W30))</f>
        <v/>
      </c>
      <c r="Y30" s="67" t="str">
        <f aca="false">IF($A30="","",IF(M30=0,"",O30/(M30/MAX(1,AsOf-FYStart))))</f>
        <v/>
      </c>
      <c r="Z30" s="60" t="str">
        <f aca="false">IF($A30="","",U30+ROW()/1000000)</f>
        <v/>
      </c>
    </row>
    <row r="31" customFormat="false" ht="15" hidden="false" customHeight="false" outlineLevel="0" collapsed="false">
      <c r="A31" s="56"/>
      <c r="B31" s="56"/>
      <c r="C31" s="56"/>
      <c r="D31" s="56"/>
      <c r="E31" s="56"/>
      <c r="F31" s="63"/>
      <c r="G31" s="58"/>
      <c r="H31" s="58"/>
      <c r="I31" s="57"/>
      <c r="J31" s="57"/>
      <c r="K31" s="58"/>
      <c r="L31" s="64" t="str">
        <f aca="false">IF($A31="","",SUMIFS(Purchases!$E$5:INDEX(Purchases!$E$5:$E$3004,TxRows),Purchases!$D$5:INDEX(Purchases!$D$5:$D$3004,TxRows),$A31))</f>
        <v/>
      </c>
      <c r="M31" s="64" t="str">
        <f aca="false">IF($A31="","",SUMIFS(Sales!$E$5:INDEX(Sales!$E$5:$E$3004,TxRows),Sales!$D$5:INDEX(Sales!$D$5:$D$3004,TxRows),$A31))</f>
        <v/>
      </c>
      <c r="N31" s="64" t="str">
        <f aca="false">IF($A31="","",SUMIFS(Adjustments!$C$5:$C$504,Adjustments!$B$5:$B$504,$A31))</f>
        <v/>
      </c>
      <c r="O31" s="64" t="str">
        <f aca="false">IF($A31="","",N($J31)+L31-M31+N31)</f>
        <v/>
      </c>
      <c r="P31" s="61" t="str">
        <f aca="false">IF($A31="","",IFERROR((N($J31)*N($K31)+SUMIFS(Purchases!$K$5:INDEX(Purchases!$K$5:$K$3004,TxRows),Purchases!$D$5:INDEX(Purchases!$D$5:$D$3004,TxRows),$A31))/(N($J31)+L31),N($G31)))</f>
        <v/>
      </c>
      <c r="Q31" s="61" t="str">
        <f aca="false">IF($A31="","",MAX(0,O31)*P31)</f>
        <v/>
      </c>
      <c r="R31" s="60" t="str">
        <f aca="false">IF($A31="","",IF(O31&lt;0,"NEGATIVE",IF(O31=0,"OUT OF STOCK",IF(O31&lt;=N($I31),"REORDER",IF(AND(O31&gt;0,X31&gt;DeadDays),"DEAD STOCK","OK")))))</f>
        <v/>
      </c>
      <c r="S31" s="65" t="str">
        <f aca="false">IF($A31="","",IF(N($H31)=0,0,(N($H31)-P31)/N($H31)))</f>
        <v/>
      </c>
      <c r="T31" s="64" t="str">
        <f aca="false">IF($A31="","",IF(O31&lt;=N($I31),MAX(0,2*N($I31)-O31),0))</f>
        <v/>
      </c>
      <c r="U31" s="61" t="str">
        <f aca="false">IF($A31="","",SUMIFS(Sales!$L$5:INDEX(Sales!$L$5:$L$3004,TxRows),Sales!$D$5:INDEX(Sales!$D$5:$D$3004,TxRows),$A31))</f>
        <v/>
      </c>
      <c r="V31" s="61" t="str">
        <f aca="false">IF($A31="","",SUMIFS(Sales!$S$5:INDEX(Sales!$S$5:$S$3004,TxRows),Sales!$D$5:INDEX(Sales!$D$5:$D$3004,TxRows),$A31))</f>
        <v/>
      </c>
      <c r="W31" s="66" t="str">
        <f aca="false">IF($A31="","",IFERROR(SUMPRODUCT(MAX((Sales!$D$5:INDEX(Sales!$D$5:$D$3004,TxRows)=$A31)*Sales!$A$5:INDEX(Sales!$A$5:$A$3004,TxRows))),0))</f>
        <v/>
      </c>
      <c r="X31" s="67" t="str">
        <f aca="false">IF($A31="","",IF(W31=0,AsOf-FYStart,AsOf-W31))</f>
        <v/>
      </c>
      <c r="Y31" s="67" t="str">
        <f aca="false">IF($A31="","",IF(M31=0,"",O31/(M31/MAX(1,AsOf-FYStart))))</f>
        <v/>
      </c>
      <c r="Z31" s="60" t="str">
        <f aca="false">IF($A31="","",U31+ROW()/1000000)</f>
        <v/>
      </c>
    </row>
    <row r="32" customFormat="false" ht="15" hidden="false" customHeight="false" outlineLevel="0" collapsed="false">
      <c r="A32" s="56"/>
      <c r="B32" s="56"/>
      <c r="C32" s="56"/>
      <c r="D32" s="56"/>
      <c r="E32" s="56"/>
      <c r="F32" s="63"/>
      <c r="G32" s="58"/>
      <c r="H32" s="58"/>
      <c r="I32" s="57"/>
      <c r="J32" s="57"/>
      <c r="K32" s="58"/>
      <c r="L32" s="64" t="str">
        <f aca="false">IF($A32="","",SUMIFS(Purchases!$E$5:INDEX(Purchases!$E$5:$E$3004,TxRows),Purchases!$D$5:INDEX(Purchases!$D$5:$D$3004,TxRows),$A32))</f>
        <v/>
      </c>
      <c r="M32" s="64" t="str">
        <f aca="false">IF($A32="","",SUMIFS(Sales!$E$5:INDEX(Sales!$E$5:$E$3004,TxRows),Sales!$D$5:INDEX(Sales!$D$5:$D$3004,TxRows),$A32))</f>
        <v/>
      </c>
      <c r="N32" s="64" t="str">
        <f aca="false">IF($A32="","",SUMIFS(Adjustments!$C$5:$C$504,Adjustments!$B$5:$B$504,$A32))</f>
        <v/>
      </c>
      <c r="O32" s="64" t="str">
        <f aca="false">IF($A32="","",N($J32)+L32-M32+N32)</f>
        <v/>
      </c>
      <c r="P32" s="61" t="str">
        <f aca="false">IF($A32="","",IFERROR((N($J32)*N($K32)+SUMIFS(Purchases!$K$5:INDEX(Purchases!$K$5:$K$3004,TxRows),Purchases!$D$5:INDEX(Purchases!$D$5:$D$3004,TxRows),$A32))/(N($J32)+L32),N($G32)))</f>
        <v/>
      </c>
      <c r="Q32" s="61" t="str">
        <f aca="false">IF($A32="","",MAX(0,O32)*P32)</f>
        <v/>
      </c>
      <c r="R32" s="60" t="str">
        <f aca="false">IF($A32="","",IF(O32&lt;0,"NEGATIVE",IF(O32=0,"OUT OF STOCK",IF(O32&lt;=N($I32),"REORDER",IF(AND(O32&gt;0,X32&gt;DeadDays),"DEAD STOCK","OK")))))</f>
        <v/>
      </c>
      <c r="S32" s="65" t="str">
        <f aca="false">IF($A32="","",IF(N($H32)=0,0,(N($H32)-P32)/N($H32)))</f>
        <v/>
      </c>
      <c r="T32" s="64" t="str">
        <f aca="false">IF($A32="","",IF(O32&lt;=N($I32),MAX(0,2*N($I32)-O32),0))</f>
        <v/>
      </c>
      <c r="U32" s="61" t="str">
        <f aca="false">IF($A32="","",SUMIFS(Sales!$L$5:INDEX(Sales!$L$5:$L$3004,TxRows),Sales!$D$5:INDEX(Sales!$D$5:$D$3004,TxRows),$A32))</f>
        <v/>
      </c>
      <c r="V32" s="61" t="str">
        <f aca="false">IF($A32="","",SUMIFS(Sales!$S$5:INDEX(Sales!$S$5:$S$3004,TxRows),Sales!$D$5:INDEX(Sales!$D$5:$D$3004,TxRows),$A32))</f>
        <v/>
      </c>
      <c r="W32" s="66" t="str">
        <f aca="false">IF($A32="","",IFERROR(SUMPRODUCT(MAX((Sales!$D$5:INDEX(Sales!$D$5:$D$3004,TxRows)=$A32)*Sales!$A$5:INDEX(Sales!$A$5:$A$3004,TxRows))),0))</f>
        <v/>
      </c>
      <c r="X32" s="67" t="str">
        <f aca="false">IF($A32="","",IF(W32=0,AsOf-FYStart,AsOf-W32))</f>
        <v/>
      </c>
      <c r="Y32" s="67" t="str">
        <f aca="false">IF($A32="","",IF(M32=0,"",O32/(M32/MAX(1,AsOf-FYStart))))</f>
        <v/>
      </c>
      <c r="Z32" s="60" t="str">
        <f aca="false">IF($A32="","",U32+ROW()/1000000)</f>
        <v/>
      </c>
    </row>
    <row r="33" customFormat="false" ht="15" hidden="false" customHeight="false" outlineLevel="0" collapsed="false">
      <c r="A33" s="56"/>
      <c r="B33" s="56"/>
      <c r="C33" s="56"/>
      <c r="D33" s="56"/>
      <c r="E33" s="56"/>
      <c r="F33" s="63"/>
      <c r="G33" s="58"/>
      <c r="H33" s="58"/>
      <c r="I33" s="57"/>
      <c r="J33" s="57"/>
      <c r="K33" s="58"/>
      <c r="L33" s="64" t="str">
        <f aca="false">IF($A33="","",SUMIFS(Purchases!$E$5:INDEX(Purchases!$E$5:$E$3004,TxRows),Purchases!$D$5:INDEX(Purchases!$D$5:$D$3004,TxRows),$A33))</f>
        <v/>
      </c>
      <c r="M33" s="64" t="str">
        <f aca="false">IF($A33="","",SUMIFS(Sales!$E$5:INDEX(Sales!$E$5:$E$3004,TxRows),Sales!$D$5:INDEX(Sales!$D$5:$D$3004,TxRows),$A33))</f>
        <v/>
      </c>
      <c r="N33" s="64" t="str">
        <f aca="false">IF($A33="","",SUMIFS(Adjustments!$C$5:$C$504,Adjustments!$B$5:$B$504,$A33))</f>
        <v/>
      </c>
      <c r="O33" s="64" t="str">
        <f aca="false">IF($A33="","",N($J33)+L33-M33+N33)</f>
        <v/>
      </c>
      <c r="P33" s="61" t="str">
        <f aca="false">IF($A33="","",IFERROR((N($J33)*N($K33)+SUMIFS(Purchases!$K$5:INDEX(Purchases!$K$5:$K$3004,TxRows),Purchases!$D$5:INDEX(Purchases!$D$5:$D$3004,TxRows),$A33))/(N($J33)+L33),N($G33)))</f>
        <v/>
      </c>
      <c r="Q33" s="61" t="str">
        <f aca="false">IF($A33="","",MAX(0,O33)*P33)</f>
        <v/>
      </c>
      <c r="R33" s="60" t="str">
        <f aca="false">IF($A33="","",IF(O33&lt;0,"NEGATIVE",IF(O33=0,"OUT OF STOCK",IF(O33&lt;=N($I33),"REORDER",IF(AND(O33&gt;0,X33&gt;DeadDays),"DEAD STOCK","OK")))))</f>
        <v/>
      </c>
      <c r="S33" s="65" t="str">
        <f aca="false">IF($A33="","",IF(N($H33)=0,0,(N($H33)-P33)/N($H33)))</f>
        <v/>
      </c>
      <c r="T33" s="64" t="str">
        <f aca="false">IF($A33="","",IF(O33&lt;=N($I33),MAX(0,2*N($I33)-O33),0))</f>
        <v/>
      </c>
      <c r="U33" s="61" t="str">
        <f aca="false">IF($A33="","",SUMIFS(Sales!$L$5:INDEX(Sales!$L$5:$L$3004,TxRows),Sales!$D$5:INDEX(Sales!$D$5:$D$3004,TxRows),$A33))</f>
        <v/>
      </c>
      <c r="V33" s="61" t="str">
        <f aca="false">IF($A33="","",SUMIFS(Sales!$S$5:INDEX(Sales!$S$5:$S$3004,TxRows),Sales!$D$5:INDEX(Sales!$D$5:$D$3004,TxRows),$A33))</f>
        <v/>
      </c>
      <c r="W33" s="66" t="str">
        <f aca="false">IF($A33="","",IFERROR(SUMPRODUCT(MAX((Sales!$D$5:INDEX(Sales!$D$5:$D$3004,TxRows)=$A33)*Sales!$A$5:INDEX(Sales!$A$5:$A$3004,TxRows))),0))</f>
        <v/>
      </c>
      <c r="X33" s="67" t="str">
        <f aca="false">IF($A33="","",IF(W33=0,AsOf-FYStart,AsOf-W33))</f>
        <v/>
      </c>
      <c r="Y33" s="67" t="str">
        <f aca="false">IF($A33="","",IF(M33=0,"",O33/(M33/MAX(1,AsOf-FYStart))))</f>
        <v/>
      </c>
      <c r="Z33" s="60" t="str">
        <f aca="false">IF($A33="","",U33+ROW()/1000000)</f>
        <v/>
      </c>
    </row>
    <row r="34" customFormat="false" ht="15" hidden="false" customHeight="false" outlineLevel="0" collapsed="false">
      <c r="A34" s="56"/>
      <c r="B34" s="56"/>
      <c r="C34" s="56"/>
      <c r="D34" s="56"/>
      <c r="E34" s="56"/>
      <c r="F34" s="63"/>
      <c r="G34" s="58"/>
      <c r="H34" s="58"/>
      <c r="I34" s="57"/>
      <c r="J34" s="57"/>
      <c r="K34" s="58"/>
      <c r="L34" s="64" t="str">
        <f aca="false">IF($A34="","",SUMIFS(Purchases!$E$5:INDEX(Purchases!$E$5:$E$3004,TxRows),Purchases!$D$5:INDEX(Purchases!$D$5:$D$3004,TxRows),$A34))</f>
        <v/>
      </c>
      <c r="M34" s="64" t="str">
        <f aca="false">IF($A34="","",SUMIFS(Sales!$E$5:INDEX(Sales!$E$5:$E$3004,TxRows),Sales!$D$5:INDEX(Sales!$D$5:$D$3004,TxRows),$A34))</f>
        <v/>
      </c>
      <c r="N34" s="64" t="str">
        <f aca="false">IF($A34="","",SUMIFS(Adjustments!$C$5:$C$504,Adjustments!$B$5:$B$504,$A34))</f>
        <v/>
      </c>
      <c r="O34" s="64" t="str">
        <f aca="false">IF($A34="","",N($J34)+L34-M34+N34)</f>
        <v/>
      </c>
      <c r="P34" s="61" t="str">
        <f aca="false">IF($A34="","",IFERROR((N($J34)*N($K34)+SUMIFS(Purchases!$K$5:INDEX(Purchases!$K$5:$K$3004,TxRows),Purchases!$D$5:INDEX(Purchases!$D$5:$D$3004,TxRows),$A34))/(N($J34)+L34),N($G34)))</f>
        <v/>
      </c>
      <c r="Q34" s="61" t="str">
        <f aca="false">IF($A34="","",MAX(0,O34)*P34)</f>
        <v/>
      </c>
      <c r="R34" s="60" t="str">
        <f aca="false">IF($A34="","",IF(O34&lt;0,"NEGATIVE",IF(O34=0,"OUT OF STOCK",IF(O34&lt;=N($I34),"REORDER",IF(AND(O34&gt;0,X34&gt;DeadDays),"DEAD STOCK","OK")))))</f>
        <v/>
      </c>
      <c r="S34" s="65" t="str">
        <f aca="false">IF($A34="","",IF(N($H34)=0,0,(N($H34)-P34)/N($H34)))</f>
        <v/>
      </c>
      <c r="T34" s="64" t="str">
        <f aca="false">IF($A34="","",IF(O34&lt;=N($I34),MAX(0,2*N($I34)-O34),0))</f>
        <v/>
      </c>
      <c r="U34" s="61" t="str">
        <f aca="false">IF($A34="","",SUMIFS(Sales!$L$5:INDEX(Sales!$L$5:$L$3004,TxRows),Sales!$D$5:INDEX(Sales!$D$5:$D$3004,TxRows),$A34))</f>
        <v/>
      </c>
      <c r="V34" s="61" t="str">
        <f aca="false">IF($A34="","",SUMIFS(Sales!$S$5:INDEX(Sales!$S$5:$S$3004,TxRows),Sales!$D$5:INDEX(Sales!$D$5:$D$3004,TxRows),$A34))</f>
        <v/>
      </c>
      <c r="W34" s="66" t="str">
        <f aca="false">IF($A34="","",IFERROR(SUMPRODUCT(MAX((Sales!$D$5:INDEX(Sales!$D$5:$D$3004,TxRows)=$A34)*Sales!$A$5:INDEX(Sales!$A$5:$A$3004,TxRows))),0))</f>
        <v/>
      </c>
      <c r="X34" s="67" t="str">
        <f aca="false">IF($A34="","",IF(W34=0,AsOf-FYStart,AsOf-W34))</f>
        <v/>
      </c>
      <c r="Y34" s="67" t="str">
        <f aca="false">IF($A34="","",IF(M34=0,"",O34/(M34/MAX(1,AsOf-FYStart))))</f>
        <v/>
      </c>
      <c r="Z34" s="60" t="str">
        <f aca="false">IF($A34="","",U34+ROW()/1000000)</f>
        <v/>
      </c>
    </row>
    <row r="35" customFormat="false" ht="15" hidden="false" customHeight="false" outlineLevel="0" collapsed="false">
      <c r="A35" s="56"/>
      <c r="B35" s="56"/>
      <c r="C35" s="56"/>
      <c r="D35" s="56"/>
      <c r="E35" s="56"/>
      <c r="F35" s="63"/>
      <c r="G35" s="58"/>
      <c r="H35" s="58"/>
      <c r="I35" s="57"/>
      <c r="J35" s="57"/>
      <c r="K35" s="58"/>
      <c r="L35" s="64" t="str">
        <f aca="false">IF($A35="","",SUMIFS(Purchases!$E$5:INDEX(Purchases!$E$5:$E$3004,TxRows),Purchases!$D$5:INDEX(Purchases!$D$5:$D$3004,TxRows),$A35))</f>
        <v/>
      </c>
      <c r="M35" s="64" t="str">
        <f aca="false">IF($A35="","",SUMIFS(Sales!$E$5:INDEX(Sales!$E$5:$E$3004,TxRows),Sales!$D$5:INDEX(Sales!$D$5:$D$3004,TxRows),$A35))</f>
        <v/>
      </c>
      <c r="N35" s="64" t="str">
        <f aca="false">IF($A35="","",SUMIFS(Adjustments!$C$5:$C$504,Adjustments!$B$5:$B$504,$A35))</f>
        <v/>
      </c>
      <c r="O35" s="64" t="str">
        <f aca="false">IF($A35="","",N($J35)+L35-M35+N35)</f>
        <v/>
      </c>
      <c r="P35" s="61" t="str">
        <f aca="false">IF($A35="","",IFERROR((N($J35)*N($K35)+SUMIFS(Purchases!$K$5:INDEX(Purchases!$K$5:$K$3004,TxRows),Purchases!$D$5:INDEX(Purchases!$D$5:$D$3004,TxRows),$A35))/(N($J35)+L35),N($G35)))</f>
        <v/>
      </c>
      <c r="Q35" s="61" t="str">
        <f aca="false">IF($A35="","",MAX(0,O35)*P35)</f>
        <v/>
      </c>
      <c r="R35" s="60" t="str">
        <f aca="false">IF($A35="","",IF(O35&lt;0,"NEGATIVE",IF(O35=0,"OUT OF STOCK",IF(O35&lt;=N($I35),"REORDER",IF(AND(O35&gt;0,X35&gt;DeadDays),"DEAD STOCK","OK")))))</f>
        <v/>
      </c>
      <c r="S35" s="65" t="str">
        <f aca="false">IF($A35="","",IF(N($H35)=0,0,(N($H35)-P35)/N($H35)))</f>
        <v/>
      </c>
      <c r="T35" s="64" t="str">
        <f aca="false">IF($A35="","",IF(O35&lt;=N($I35),MAX(0,2*N($I35)-O35),0))</f>
        <v/>
      </c>
      <c r="U35" s="61" t="str">
        <f aca="false">IF($A35="","",SUMIFS(Sales!$L$5:INDEX(Sales!$L$5:$L$3004,TxRows),Sales!$D$5:INDEX(Sales!$D$5:$D$3004,TxRows),$A35))</f>
        <v/>
      </c>
      <c r="V35" s="61" t="str">
        <f aca="false">IF($A35="","",SUMIFS(Sales!$S$5:INDEX(Sales!$S$5:$S$3004,TxRows),Sales!$D$5:INDEX(Sales!$D$5:$D$3004,TxRows),$A35))</f>
        <v/>
      </c>
      <c r="W35" s="66" t="str">
        <f aca="false">IF($A35="","",IFERROR(SUMPRODUCT(MAX((Sales!$D$5:INDEX(Sales!$D$5:$D$3004,TxRows)=$A35)*Sales!$A$5:INDEX(Sales!$A$5:$A$3004,TxRows))),0))</f>
        <v/>
      </c>
      <c r="X35" s="67" t="str">
        <f aca="false">IF($A35="","",IF(W35=0,AsOf-FYStart,AsOf-W35))</f>
        <v/>
      </c>
      <c r="Y35" s="67" t="str">
        <f aca="false">IF($A35="","",IF(M35=0,"",O35/(M35/MAX(1,AsOf-FYStart))))</f>
        <v/>
      </c>
      <c r="Z35" s="60" t="str">
        <f aca="false">IF($A35="","",U35+ROW()/1000000)</f>
        <v/>
      </c>
    </row>
    <row r="36" customFormat="false" ht="15" hidden="false" customHeight="false" outlineLevel="0" collapsed="false">
      <c r="A36" s="56"/>
      <c r="B36" s="56"/>
      <c r="C36" s="56"/>
      <c r="D36" s="56"/>
      <c r="E36" s="56"/>
      <c r="F36" s="63"/>
      <c r="G36" s="58"/>
      <c r="H36" s="58"/>
      <c r="I36" s="57"/>
      <c r="J36" s="57"/>
      <c r="K36" s="58"/>
      <c r="L36" s="64" t="str">
        <f aca="false">IF($A36="","",SUMIFS(Purchases!$E$5:INDEX(Purchases!$E$5:$E$3004,TxRows),Purchases!$D$5:INDEX(Purchases!$D$5:$D$3004,TxRows),$A36))</f>
        <v/>
      </c>
      <c r="M36" s="64" t="str">
        <f aca="false">IF($A36="","",SUMIFS(Sales!$E$5:INDEX(Sales!$E$5:$E$3004,TxRows),Sales!$D$5:INDEX(Sales!$D$5:$D$3004,TxRows),$A36))</f>
        <v/>
      </c>
      <c r="N36" s="64" t="str">
        <f aca="false">IF($A36="","",SUMIFS(Adjustments!$C$5:$C$504,Adjustments!$B$5:$B$504,$A36))</f>
        <v/>
      </c>
      <c r="O36" s="64" t="str">
        <f aca="false">IF($A36="","",N($J36)+L36-M36+N36)</f>
        <v/>
      </c>
      <c r="P36" s="61" t="str">
        <f aca="false">IF($A36="","",IFERROR((N($J36)*N($K36)+SUMIFS(Purchases!$K$5:INDEX(Purchases!$K$5:$K$3004,TxRows),Purchases!$D$5:INDEX(Purchases!$D$5:$D$3004,TxRows),$A36))/(N($J36)+L36),N($G36)))</f>
        <v/>
      </c>
      <c r="Q36" s="61" t="str">
        <f aca="false">IF($A36="","",MAX(0,O36)*P36)</f>
        <v/>
      </c>
      <c r="R36" s="60" t="str">
        <f aca="false">IF($A36="","",IF(O36&lt;0,"NEGATIVE",IF(O36=0,"OUT OF STOCK",IF(O36&lt;=N($I36),"REORDER",IF(AND(O36&gt;0,X36&gt;DeadDays),"DEAD STOCK","OK")))))</f>
        <v/>
      </c>
      <c r="S36" s="65" t="str">
        <f aca="false">IF($A36="","",IF(N($H36)=0,0,(N($H36)-P36)/N($H36)))</f>
        <v/>
      </c>
      <c r="T36" s="64" t="str">
        <f aca="false">IF($A36="","",IF(O36&lt;=N($I36),MAX(0,2*N($I36)-O36),0))</f>
        <v/>
      </c>
      <c r="U36" s="61" t="str">
        <f aca="false">IF($A36="","",SUMIFS(Sales!$L$5:INDEX(Sales!$L$5:$L$3004,TxRows),Sales!$D$5:INDEX(Sales!$D$5:$D$3004,TxRows),$A36))</f>
        <v/>
      </c>
      <c r="V36" s="61" t="str">
        <f aca="false">IF($A36="","",SUMIFS(Sales!$S$5:INDEX(Sales!$S$5:$S$3004,TxRows),Sales!$D$5:INDEX(Sales!$D$5:$D$3004,TxRows),$A36))</f>
        <v/>
      </c>
      <c r="W36" s="66" t="str">
        <f aca="false">IF($A36="","",IFERROR(SUMPRODUCT(MAX((Sales!$D$5:INDEX(Sales!$D$5:$D$3004,TxRows)=$A36)*Sales!$A$5:INDEX(Sales!$A$5:$A$3004,TxRows))),0))</f>
        <v/>
      </c>
      <c r="X36" s="67" t="str">
        <f aca="false">IF($A36="","",IF(W36=0,AsOf-FYStart,AsOf-W36))</f>
        <v/>
      </c>
      <c r="Y36" s="67" t="str">
        <f aca="false">IF($A36="","",IF(M36=0,"",O36/(M36/MAX(1,AsOf-FYStart))))</f>
        <v/>
      </c>
      <c r="Z36" s="60" t="str">
        <f aca="false">IF($A36="","",U36+ROW()/1000000)</f>
        <v/>
      </c>
    </row>
    <row r="37" customFormat="false" ht="15" hidden="false" customHeight="false" outlineLevel="0" collapsed="false">
      <c r="A37" s="56"/>
      <c r="B37" s="56"/>
      <c r="C37" s="56"/>
      <c r="D37" s="56"/>
      <c r="E37" s="56"/>
      <c r="F37" s="63"/>
      <c r="G37" s="58"/>
      <c r="H37" s="58"/>
      <c r="I37" s="57"/>
      <c r="J37" s="57"/>
      <c r="K37" s="58"/>
      <c r="L37" s="64" t="str">
        <f aca="false">IF($A37="","",SUMIFS(Purchases!$E$5:INDEX(Purchases!$E$5:$E$3004,TxRows),Purchases!$D$5:INDEX(Purchases!$D$5:$D$3004,TxRows),$A37))</f>
        <v/>
      </c>
      <c r="M37" s="64" t="str">
        <f aca="false">IF($A37="","",SUMIFS(Sales!$E$5:INDEX(Sales!$E$5:$E$3004,TxRows),Sales!$D$5:INDEX(Sales!$D$5:$D$3004,TxRows),$A37))</f>
        <v/>
      </c>
      <c r="N37" s="64" t="str">
        <f aca="false">IF($A37="","",SUMIFS(Adjustments!$C$5:$C$504,Adjustments!$B$5:$B$504,$A37))</f>
        <v/>
      </c>
      <c r="O37" s="64" t="str">
        <f aca="false">IF($A37="","",N($J37)+L37-M37+N37)</f>
        <v/>
      </c>
      <c r="P37" s="61" t="str">
        <f aca="false">IF($A37="","",IFERROR((N($J37)*N($K37)+SUMIFS(Purchases!$K$5:INDEX(Purchases!$K$5:$K$3004,TxRows),Purchases!$D$5:INDEX(Purchases!$D$5:$D$3004,TxRows),$A37))/(N($J37)+L37),N($G37)))</f>
        <v/>
      </c>
      <c r="Q37" s="61" t="str">
        <f aca="false">IF($A37="","",MAX(0,O37)*P37)</f>
        <v/>
      </c>
      <c r="R37" s="60" t="str">
        <f aca="false">IF($A37="","",IF(O37&lt;0,"NEGATIVE",IF(O37=0,"OUT OF STOCK",IF(O37&lt;=N($I37),"REORDER",IF(AND(O37&gt;0,X37&gt;DeadDays),"DEAD STOCK","OK")))))</f>
        <v/>
      </c>
      <c r="S37" s="65" t="str">
        <f aca="false">IF($A37="","",IF(N($H37)=0,0,(N($H37)-P37)/N($H37)))</f>
        <v/>
      </c>
      <c r="T37" s="64" t="str">
        <f aca="false">IF($A37="","",IF(O37&lt;=N($I37),MAX(0,2*N($I37)-O37),0))</f>
        <v/>
      </c>
      <c r="U37" s="61" t="str">
        <f aca="false">IF($A37="","",SUMIFS(Sales!$L$5:INDEX(Sales!$L$5:$L$3004,TxRows),Sales!$D$5:INDEX(Sales!$D$5:$D$3004,TxRows),$A37))</f>
        <v/>
      </c>
      <c r="V37" s="61" t="str">
        <f aca="false">IF($A37="","",SUMIFS(Sales!$S$5:INDEX(Sales!$S$5:$S$3004,TxRows),Sales!$D$5:INDEX(Sales!$D$5:$D$3004,TxRows),$A37))</f>
        <v/>
      </c>
      <c r="W37" s="66" t="str">
        <f aca="false">IF($A37="","",IFERROR(SUMPRODUCT(MAX((Sales!$D$5:INDEX(Sales!$D$5:$D$3004,TxRows)=$A37)*Sales!$A$5:INDEX(Sales!$A$5:$A$3004,TxRows))),0))</f>
        <v/>
      </c>
      <c r="X37" s="67" t="str">
        <f aca="false">IF($A37="","",IF(W37=0,AsOf-FYStart,AsOf-W37))</f>
        <v/>
      </c>
      <c r="Y37" s="67" t="str">
        <f aca="false">IF($A37="","",IF(M37=0,"",O37/(M37/MAX(1,AsOf-FYStart))))</f>
        <v/>
      </c>
      <c r="Z37" s="60" t="str">
        <f aca="false">IF($A37="","",U37+ROW()/1000000)</f>
        <v/>
      </c>
    </row>
    <row r="38" customFormat="false" ht="15" hidden="false" customHeight="false" outlineLevel="0" collapsed="false">
      <c r="A38" s="56"/>
      <c r="B38" s="56"/>
      <c r="C38" s="56"/>
      <c r="D38" s="56"/>
      <c r="E38" s="56"/>
      <c r="F38" s="63"/>
      <c r="G38" s="58"/>
      <c r="H38" s="58"/>
      <c r="I38" s="57"/>
      <c r="J38" s="57"/>
      <c r="K38" s="58"/>
      <c r="L38" s="64" t="str">
        <f aca="false">IF($A38="","",SUMIFS(Purchases!$E$5:INDEX(Purchases!$E$5:$E$3004,TxRows),Purchases!$D$5:INDEX(Purchases!$D$5:$D$3004,TxRows),$A38))</f>
        <v/>
      </c>
      <c r="M38" s="64" t="str">
        <f aca="false">IF($A38="","",SUMIFS(Sales!$E$5:INDEX(Sales!$E$5:$E$3004,TxRows),Sales!$D$5:INDEX(Sales!$D$5:$D$3004,TxRows),$A38))</f>
        <v/>
      </c>
      <c r="N38" s="64" t="str">
        <f aca="false">IF($A38="","",SUMIFS(Adjustments!$C$5:$C$504,Adjustments!$B$5:$B$504,$A38))</f>
        <v/>
      </c>
      <c r="O38" s="64" t="str">
        <f aca="false">IF($A38="","",N($J38)+L38-M38+N38)</f>
        <v/>
      </c>
      <c r="P38" s="61" t="str">
        <f aca="false">IF($A38="","",IFERROR((N($J38)*N($K38)+SUMIFS(Purchases!$K$5:INDEX(Purchases!$K$5:$K$3004,TxRows),Purchases!$D$5:INDEX(Purchases!$D$5:$D$3004,TxRows),$A38))/(N($J38)+L38),N($G38)))</f>
        <v/>
      </c>
      <c r="Q38" s="61" t="str">
        <f aca="false">IF($A38="","",MAX(0,O38)*P38)</f>
        <v/>
      </c>
      <c r="R38" s="60" t="str">
        <f aca="false">IF($A38="","",IF(O38&lt;0,"NEGATIVE",IF(O38=0,"OUT OF STOCK",IF(O38&lt;=N($I38),"REORDER",IF(AND(O38&gt;0,X38&gt;DeadDays),"DEAD STOCK","OK")))))</f>
        <v/>
      </c>
      <c r="S38" s="65" t="str">
        <f aca="false">IF($A38="","",IF(N($H38)=0,0,(N($H38)-P38)/N($H38)))</f>
        <v/>
      </c>
      <c r="T38" s="64" t="str">
        <f aca="false">IF($A38="","",IF(O38&lt;=N($I38),MAX(0,2*N($I38)-O38),0))</f>
        <v/>
      </c>
      <c r="U38" s="61" t="str">
        <f aca="false">IF($A38="","",SUMIFS(Sales!$L$5:INDEX(Sales!$L$5:$L$3004,TxRows),Sales!$D$5:INDEX(Sales!$D$5:$D$3004,TxRows),$A38))</f>
        <v/>
      </c>
      <c r="V38" s="61" t="str">
        <f aca="false">IF($A38="","",SUMIFS(Sales!$S$5:INDEX(Sales!$S$5:$S$3004,TxRows),Sales!$D$5:INDEX(Sales!$D$5:$D$3004,TxRows),$A38))</f>
        <v/>
      </c>
      <c r="W38" s="66" t="str">
        <f aca="false">IF($A38="","",IFERROR(SUMPRODUCT(MAX((Sales!$D$5:INDEX(Sales!$D$5:$D$3004,TxRows)=$A38)*Sales!$A$5:INDEX(Sales!$A$5:$A$3004,TxRows))),0))</f>
        <v/>
      </c>
      <c r="X38" s="67" t="str">
        <f aca="false">IF($A38="","",IF(W38=0,AsOf-FYStart,AsOf-W38))</f>
        <v/>
      </c>
      <c r="Y38" s="67" t="str">
        <f aca="false">IF($A38="","",IF(M38=0,"",O38/(M38/MAX(1,AsOf-FYStart))))</f>
        <v/>
      </c>
      <c r="Z38" s="60" t="str">
        <f aca="false">IF($A38="","",U38+ROW()/1000000)</f>
        <v/>
      </c>
    </row>
    <row r="39" customFormat="false" ht="15" hidden="false" customHeight="false" outlineLevel="0" collapsed="false">
      <c r="A39" s="56"/>
      <c r="B39" s="56"/>
      <c r="C39" s="56"/>
      <c r="D39" s="56"/>
      <c r="E39" s="56"/>
      <c r="F39" s="63"/>
      <c r="G39" s="58"/>
      <c r="H39" s="58"/>
      <c r="I39" s="57"/>
      <c r="J39" s="57"/>
      <c r="K39" s="58"/>
      <c r="L39" s="64" t="str">
        <f aca="false">IF($A39="","",SUMIFS(Purchases!$E$5:INDEX(Purchases!$E$5:$E$3004,TxRows),Purchases!$D$5:INDEX(Purchases!$D$5:$D$3004,TxRows),$A39))</f>
        <v/>
      </c>
      <c r="M39" s="64" t="str">
        <f aca="false">IF($A39="","",SUMIFS(Sales!$E$5:INDEX(Sales!$E$5:$E$3004,TxRows),Sales!$D$5:INDEX(Sales!$D$5:$D$3004,TxRows),$A39))</f>
        <v/>
      </c>
      <c r="N39" s="64" t="str">
        <f aca="false">IF($A39="","",SUMIFS(Adjustments!$C$5:$C$504,Adjustments!$B$5:$B$504,$A39))</f>
        <v/>
      </c>
      <c r="O39" s="64" t="str">
        <f aca="false">IF($A39="","",N($J39)+L39-M39+N39)</f>
        <v/>
      </c>
      <c r="P39" s="61" t="str">
        <f aca="false">IF($A39="","",IFERROR((N($J39)*N($K39)+SUMIFS(Purchases!$K$5:INDEX(Purchases!$K$5:$K$3004,TxRows),Purchases!$D$5:INDEX(Purchases!$D$5:$D$3004,TxRows),$A39))/(N($J39)+L39),N($G39)))</f>
        <v/>
      </c>
      <c r="Q39" s="61" t="str">
        <f aca="false">IF($A39="","",MAX(0,O39)*P39)</f>
        <v/>
      </c>
      <c r="R39" s="60" t="str">
        <f aca="false">IF($A39="","",IF(O39&lt;0,"NEGATIVE",IF(O39=0,"OUT OF STOCK",IF(O39&lt;=N($I39),"REORDER",IF(AND(O39&gt;0,X39&gt;DeadDays),"DEAD STOCK","OK")))))</f>
        <v/>
      </c>
      <c r="S39" s="65" t="str">
        <f aca="false">IF($A39="","",IF(N($H39)=0,0,(N($H39)-P39)/N($H39)))</f>
        <v/>
      </c>
      <c r="T39" s="64" t="str">
        <f aca="false">IF($A39="","",IF(O39&lt;=N($I39),MAX(0,2*N($I39)-O39),0))</f>
        <v/>
      </c>
      <c r="U39" s="61" t="str">
        <f aca="false">IF($A39="","",SUMIFS(Sales!$L$5:INDEX(Sales!$L$5:$L$3004,TxRows),Sales!$D$5:INDEX(Sales!$D$5:$D$3004,TxRows),$A39))</f>
        <v/>
      </c>
      <c r="V39" s="61" t="str">
        <f aca="false">IF($A39="","",SUMIFS(Sales!$S$5:INDEX(Sales!$S$5:$S$3004,TxRows),Sales!$D$5:INDEX(Sales!$D$5:$D$3004,TxRows),$A39))</f>
        <v/>
      </c>
      <c r="W39" s="66" t="str">
        <f aca="false">IF($A39="","",IFERROR(SUMPRODUCT(MAX((Sales!$D$5:INDEX(Sales!$D$5:$D$3004,TxRows)=$A39)*Sales!$A$5:INDEX(Sales!$A$5:$A$3004,TxRows))),0))</f>
        <v/>
      </c>
      <c r="X39" s="67" t="str">
        <f aca="false">IF($A39="","",IF(W39=0,AsOf-FYStart,AsOf-W39))</f>
        <v/>
      </c>
      <c r="Y39" s="67" t="str">
        <f aca="false">IF($A39="","",IF(M39=0,"",O39/(M39/MAX(1,AsOf-FYStart))))</f>
        <v/>
      </c>
      <c r="Z39" s="60" t="str">
        <f aca="false">IF($A39="","",U39+ROW()/1000000)</f>
        <v/>
      </c>
    </row>
    <row r="40" customFormat="false" ht="15" hidden="false" customHeight="false" outlineLevel="0" collapsed="false">
      <c r="A40" s="56"/>
      <c r="B40" s="56"/>
      <c r="C40" s="56"/>
      <c r="D40" s="56"/>
      <c r="E40" s="56"/>
      <c r="F40" s="63"/>
      <c r="G40" s="58"/>
      <c r="H40" s="58"/>
      <c r="I40" s="57"/>
      <c r="J40" s="57"/>
      <c r="K40" s="58"/>
      <c r="L40" s="64" t="str">
        <f aca="false">IF($A40="","",SUMIFS(Purchases!$E$5:INDEX(Purchases!$E$5:$E$3004,TxRows),Purchases!$D$5:INDEX(Purchases!$D$5:$D$3004,TxRows),$A40))</f>
        <v/>
      </c>
      <c r="M40" s="64" t="str">
        <f aca="false">IF($A40="","",SUMIFS(Sales!$E$5:INDEX(Sales!$E$5:$E$3004,TxRows),Sales!$D$5:INDEX(Sales!$D$5:$D$3004,TxRows),$A40))</f>
        <v/>
      </c>
      <c r="N40" s="64" t="str">
        <f aca="false">IF($A40="","",SUMIFS(Adjustments!$C$5:$C$504,Adjustments!$B$5:$B$504,$A40))</f>
        <v/>
      </c>
      <c r="O40" s="64" t="str">
        <f aca="false">IF($A40="","",N($J40)+L40-M40+N40)</f>
        <v/>
      </c>
      <c r="P40" s="61" t="str">
        <f aca="false">IF($A40="","",IFERROR((N($J40)*N($K40)+SUMIFS(Purchases!$K$5:INDEX(Purchases!$K$5:$K$3004,TxRows),Purchases!$D$5:INDEX(Purchases!$D$5:$D$3004,TxRows),$A40))/(N($J40)+L40),N($G40)))</f>
        <v/>
      </c>
      <c r="Q40" s="61" t="str">
        <f aca="false">IF($A40="","",MAX(0,O40)*P40)</f>
        <v/>
      </c>
      <c r="R40" s="60" t="str">
        <f aca="false">IF($A40="","",IF(O40&lt;0,"NEGATIVE",IF(O40=0,"OUT OF STOCK",IF(O40&lt;=N($I40),"REORDER",IF(AND(O40&gt;0,X40&gt;DeadDays),"DEAD STOCK","OK")))))</f>
        <v/>
      </c>
      <c r="S40" s="65" t="str">
        <f aca="false">IF($A40="","",IF(N($H40)=0,0,(N($H40)-P40)/N($H40)))</f>
        <v/>
      </c>
      <c r="T40" s="64" t="str">
        <f aca="false">IF($A40="","",IF(O40&lt;=N($I40),MAX(0,2*N($I40)-O40),0))</f>
        <v/>
      </c>
      <c r="U40" s="61" t="str">
        <f aca="false">IF($A40="","",SUMIFS(Sales!$L$5:INDEX(Sales!$L$5:$L$3004,TxRows),Sales!$D$5:INDEX(Sales!$D$5:$D$3004,TxRows),$A40))</f>
        <v/>
      </c>
      <c r="V40" s="61" t="str">
        <f aca="false">IF($A40="","",SUMIFS(Sales!$S$5:INDEX(Sales!$S$5:$S$3004,TxRows),Sales!$D$5:INDEX(Sales!$D$5:$D$3004,TxRows),$A40))</f>
        <v/>
      </c>
      <c r="W40" s="66" t="str">
        <f aca="false">IF($A40="","",IFERROR(SUMPRODUCT(MAX((Sales!$D$5:INDEX(Sales!$D$5:$D$3004,TxRows)=$A40)*Sales!$A$5:INDEX(Sales!$A$5:$A$3004,TxRows))),0))</f>
        <v/>
      </c>
      <c r="X40" s="67" t="str">
        <f aca="false">IF($A40="","",IF(W40=0,AsOf-FYStart,AsOf-W40))</f>
        <v/>
      </c>
      <c r="Y40" s="67" t="str">
        <f aca="false">IF($A40="","",IF(M40=0,"",O40/(M40/MAX(1,AsOf-FYStart))))</f>
        <v/>
      </c>
      <c r="Z40" s="60" t="str">
        <f aca="false">IF($A40="","",U40+ROW()/1000000)</f>
        <v/>
      </c>
    </row>
    <row r="41" customFormat="false" ht="15" hidden="false" customHeight="false" outlineLevel="0" collapsed="false">
      <c r="A41" s="56"/>
      <c r="B41" s="56"/>
      <c r="C41" s="56"/>
      <c r="D41" s="56"/>
      <c r="E41" s="56"/>
      <c r="F41" s="63"/>
      <c r="G41" s="58"/>
      <c r="H41" s="58"/>
      <c r="I41" s="57"/>
      <c r="J41" s="57"/>
      <c r="K41" s="58"/>
      <c r="L41" s="64" t="str">
        <f aca="false">IF($A41="","",SUMIFS(Purchases!$E$5:INDEX(Purchases!$E$5:$E$3004,TxRows),Purchases!$D$5:INDEX(Purchases!$D$5:$D$3004,TxRows),$A41))</f>
        <v/>
      </c>
      <c r="M41" s="64" t="str">
        <f aca="false">IF($A41="","",SUMIFS(Sales!$E$5:INDEX(Sales!$E$5:$E$3004,TxRows),Sales!$D$5:INDEX(Sales!$D$5:$D$3004,TxRows),$A41))</f>
        <v/>
      </c>
      <c r="N41" s="64" t="str">
        <f aca="false">IF($A41="","",SUMIFS(Adjustments!$C$5:$C$504,Adjustments!$B$5:$B$504,$A41))</f>
        <v/>
      </c>
      <c r="O41" s="64" t="str">
        <f aca="false">IF($A41="","",N($J41)+L41-M41+N41)</f>
        <v/>
      </c>
      <c r="P41" s="61" t="str">
        <f aca="false">IF($A41="","",IFERROR((N($J41)*N($K41)+SUMIFS(Purchases!$K$5:INDEX(Purchases!$K$5:$K$3004,TxRows),Purchases!$D$5:INDEX(Purchases!$D$5:$D$3004,TxRows),$A41))/(N($J41)+L41),N($G41)))</f>
        <v/>
      </c>
      <c r="Q41" s="61" t="str">
        <f aca="false">IF($A41="","",MAX(0,O41)*P41)</f>
        <v/>
      </c>
      <c r="R41" s="60" t="str">
        <f aca="false">IF($A41="","",IF(O41&lt;0,"NEGATIVE",IF(O41=0,"OUT OF STOCK",IF(O41&lt;=N($I41),"REORDER",IF(AND(O41&gt;0,X41&gt;DeadDays),"DEAD STOCK","OK")))))</f>
        <v/>
      </c>
      <c r="S41" s="65" t="str">
        <f aca="false">IF($A41="","",IF(N($H41)=0,0,(N($H41)-P41)/N($H41)))</f>
        <v/>
      </c>
      <c r="T41" s="64" t="str">
        <f aca="false">IF($A41="","",IF(O41&lt;=N($I41),MAX(0,2*N($I41)-O41),0))</f>
        <v/>
      </c>
      <c r="U41" s="61" t="str">
        <f aca="false">IF($A41="","",SUMIFS(Sales!$L$5:INDEX(Sales!$L$5:$L$3004,TxRows),Sales!$D$5:INDEX(Sales!$D$5:$D$3004,TxRows),$A41))</f>
        <v/>
      </c>
      <c r="V41" s="61" t="str">
        <f aca="false">IF($A41="","",SUMIFS(Sales!$S$5:INDEX(Sales!$S$5:$S$3004,TxRows),Sales!$D$5:INDEX(Sales!$D$5:$D$3004,TxRows),$A41))</f>
        <v/>
      </c>
      <c r="W41" s="66" t="str">
        <f aca="false">IF($A41="","",IFERROR(SUMPRODUCT(MAX((Sales!$D$5:INDEX(Sales!$D$5:$D$3004,TxRows)=$A41)*Sales!$A$5:INDEX(Sales!$A$5:$A$3004,TxRows))),0))</f>
        <v/>
      </c>
      <c r="X41" s="67" t="str">
        <f aca="false">IF($A41="","",IF(W41=0,AsOf-FYStart,AsOf-W41))</f>
        <v/>
      </c>
      <c r="Y41" s="67" t="str">
        <f aca="false">IF($A41="","",IF(M41=0,"",O41/(M41/MAX(1,AsOf-FYStart))))</f>
        <v/>
      </c>
      <c r="Z41" s="60" t="str">
        <f aca="false">IF($A41="","",U41+ROW()/1000000)</f>
        <v/>
      </c>
    </row>
    <row r="42" customFormat="false" ht="15" hidden="false" customHeight="false" outlineLevel="0" collapsed="false">
      <c r="A42" s="56"/>
      <c r="B42" s="56"/>
      <c r="C42" s="56"/>
      <c r="D42" s="56"/>
      <c r="E42" s="56"/>
      <c r="F42" s="63"/>
      <c r="G42" s="58"/>
      <c r="H42" s="58"/>
      <c r="I42" s="57"/>
      <c r="J42" s="57"/>
      <c r="K42" s="58"/>
      <c r="L42" s="64" t="str">
        <f aca="false">IF($A42="","",SUMIFS(Purchases!$E$5:INDEX(Purchases!$E$5:$E$3004,TxRows),Purchases!$D$5:INDEX(Purchases!$D$5:$D$3004,TxRows),$A42))</f>
        <v/>
      </c>
      <c r="M42" s="64" t="str">
        <f aca="false">IF($A42="","",SUMIFS(Sales!$E$5:INDEX(Sales!$E$5:$E$3004,TxRows),Sales!$D$5:INDEX(Sales!$D$5:$D$3004,TxRows),$A42))</f>
        <v/>
      </c>
      <c r="N42" s="64" t="str">
        <f aca="false">IF($A42="","",SUMIFS(Adjustments!$C$5:$C$504,Adjustments!$B$5:$B$504,$A42))</f>
        <v/>
      </c>
      <c r="O42" s="64" t="str">
        <f aca="false">IF($A42="","",N($J42)+L42-M42+N42)</f>
        <v/>
      </c>
      <c r="P42" s="61" t="str">
        <f aca="false">IF($A42="","",IFERROR((N($J42)*N($K42)+SUMIFS(Purchases!$K$5:INDEX(Purchases!$K$5:$K$3004,TxRows),Purchases!$D$5:INDEX(Purchases!$D$5:$D$3004,TxRows),$A42))/(N($J42)+L42),N($G42)))</f>
        <v/>
      </c>
      <c r="Q42" s="61" t="str">
        <f aca="false">IF($A42="","",MAX(0,O42)*P42)</f>
        <v/>
      </c>
      <c r="R42" s="60" t="str">
        <f aca="false">IF($A42="","",IF(O42&lt;0,"NEGATIVE",IF(O42=0,"OUT OF STOCK",IF(O42&lt;=N($I42),"REORDER",IF(AND(O42&gt;0,X42&gt;DeadDays),"DEAD STOCK","OK")))))</f>
        <v/>
      </c>
      <c r="S42" s="65" t="str">
        <f aca="false">IF($A42="","",IF(N($H42)=0,0,(N($H42)-P42)/N($H42)))</f>
        <v/>
      </c>
      <c r="T42" s="64" t="str">
        <f aca="false">IF($A42="","",IF(O42&lt;=N($I42),MAX(0,2*N($I42)-O42),0))</f>
        <v/>
      </c>
      <c r="U42" s="61" t="str">
        <f aca="false">IF($A42="","",SUMIFS(Sales!$L$5:INDEX(Sales!$L$5:$L$3004,TxRows),Sales!$D$5:INDEX(Sales!$D$5:$D$3004,TxRows),$A42))</f>
        <v/>
      </c>
      <c r="V42" s="61" t="str">
        <f aca="false">IF($A42="","",SUMIFS(Sales!$S$5:INDEX(Sales!$S$5:$S$3004,TxRows),Sales!$D$5:INDEX(Sales!$D$5:$D$3004,TxRows),$A42))</f>
        <v/>
      </c>
      <c r="W42" s="66" t="str">
        <f aca="false">IF($A42="","",IFERROR(SUMPRODUCT(MAX((Sales!$D$5:INDEX(Sales!$D$5:$D$3004,TxRows)=$A42)*Sales!$A$5:INDEX(Sales!$A$5:$A$3004,TxRows))),0))</f>
        <v/>
      </c>
      <c r="X42" s="67" t="str">
        <f aca="false">IF($A42="","",IF(W42=0,AsOf-FYStart,AsOf-W42))</f>
        <v/>
      </c>
      <c r="Y42" s="67" t="str">
        <f aca="false">IF($A42="","",IF(M42=0,"",O42/(M42/MAX(1,AsOf-FYStart))))</f>
        <v/>
      </c>
      <c r="Z42" s="60" t="str">
        <f aca="false">IF($A42="","",U42+ROW()/1000000)</f>
        <v/>
      </c>
    </row>
    <row r="43" customFormat="false" ht="15" hidden="false" customHeight="false" outlineLevel="0" collapsed="false">
      <c r="A43" s="56"/>
      <c r="B43" s="56"/>
      <c r="C43" s="56"/>
      <c r="D43" s="56"/>
      <c r="E43" s="56"/>
      <c r="F43" s="63"/>
      <c r="G43" s="58"/>
      <c r="H43" s="58"/>
      <c r="I43" s="57"/>
      <c r="J43" s="57"/>
      <c r="K43" s="58"/>
      <c r="L43" s="64" t="str">
        <f aca="false">IF($A43="","",SUMIFS(Purchases!$E$5:INDEX(Purchases!$E$5:$E$3004,TxRows),Purchases!$D$5:INDEX(Purchases!$D$5:$D$3004,TxRows),$A43))</f>
        <v/>
      </c>
      <c r="M43" s="64" t="str">
        <f aca="false">IF($A43="","",SUMIFS(Sales!$E$5:INDEX(Sales!$E$5:$E$3004,TxRows),Sales!$D$5:INDEX(Sales!$D$5:$D$3004,TxRows),$A43))</f>
        <v/>
      </c>
      <c r="N43" s="64" t="str">
        <f aca="false">IF($A43="","",SUMIFS(Adjustments!$C$5:$C$504,Adjustments!$B$5:$B$504,$A43))</f>
        <v/>
      </c>
      <c r="O43" s="64" t="str">
        <f aca="false">IF($A43="","",N($J43)+L43-M43+N43)</f>
        <v/>
      </c>
      <c r="P43" s="61" t="str">
        <f aca="false">IF($A43="","",IFERROR((N($J43)*N($K43)+SUMIFS(Purchases!$K$5:INDEX(Purchases!$K$5:$K$3004,TxRows),Purchases!$D$5:INDEX(Purchases!$D$5:$D$3004,TxRows),$A43))/(N($J43)+L43),N($G43)))</f>
        <v/>
      </c>
      <c r="Q43" s="61" t="str">
        <f aca="false">IF($A43="","",MAX(0,O43)*P43)</f>
        <v/>
      </c>
      <c r="R43" s="60" t="str">
        <f aca="false">IF($A43="","",IF(O43&lt;0,"NEGATIVE",IF(O43=0,"OUT OF STOCK",IF(O43&lt;=N($I43),"REORDER",IF(AND(O43&gt;0,X43&gt;DeadDays),"DEAD STOCK","OK")))))</f>
        <v/>
      </c>
      <c r="S43" s="65" t="str">
        <f aca="false">IF($A43="","",IF(N($H43)=0,0,(N($H43)-P43)/N($H43)))</f>
        <v/>
      </c>
      <c r="T43" s="64" t="str">
        <f aca="false">IF($A43="","",IF(O43&lt;=N($I43),MAX(0,2*N($I43)-O43),0))</f>
        <v/>
      </c>
      <c r="U43" s="61" t="str">
        <f aca="false">IF($A43="","",SUMIFS(Sales!$L$5:INDEX(Sales!$L$5:$L$3004,TxRows),Sales!$D$5:INDEX(Sales!$D$5:$D$3004,TxRows),$A43))</f>
        <v/>
      </c>
      <c r="V43" s="61" t="str">
        <f aca="false">IF($A43="","",SUMIFS(Sales!$S$5:INDEX(Sales!$S$5:$S$3004,TxRows),Sales!$D$5:INDEX(Sales!$D$5:$D$3004,TxRows),$A43))</f>
        <v/>
      </c>
      <c r="W43" s="66" t="str">
        <f aca="false">IF($A43="","",IFERROR(SUMPRODUCT(MAX((Sales!$D$5:INDEX(Sales!$D$5:$D$3004,TxRows)=$A43)*Sales!$A$5:INDEX(Sales!$A$5:$A$3004,TxRows))),0))</f>
        <v/>
      </c>
      <c r="X43" s="67" t="str">
        <f aca="false">IF($A43="","",IF(W43=0,AsOf-FYStart,AsOf-W43))</f>
        <v/>
      </c>
      <c r="Y43" s="67" t="str">
        <f aca="false">IF($A43="","",IF(M43=0,"",O43/(M43/MAX(1,AsOf-FYStart))))</f>
        <v/>
      </c>
      <c r="Z43" s="60" t="str">
        <f aca="false">IF($A43="","",U43+ROW()/1000000)</f>
        <v/>
      </c>
    </row>
    <row r="44" customFormat="false" ht="15" hidden="false" customHeight="false" outlineLevel="0" collapsed="false">
      <c r="A44" s="56"/>
      <c r="B44" s="56"/>
      <c r="C44" s="56"/>
      <c r="D44" s="56"/>
      <c r="E44" s="56"/>
      <c r="F44" s="63"/>
      <c r="G44" s="58"/>
      <c r="H44" s="58"/>
      <c r="I44" s="57"/>
      <c r="J44" s="57"/>
      <c r="K44" s="58"/>
      <c r="L44" s="64" t="str">
        <f aca="false">IF($A44="","",SUMIFS(Purchases!$E$5:INDEX(Purchases!$E$5:$E$3004,TxRows),Purchases!$D$5:INDEX(Purchases!$D$5:$D$3004,TxRows),$A44))</f>
        <v/>
      </c>
      <c r="M44" s="64" t="str">
        <f aca="false">IF($A44="","",SUMIFS(Sales!$E$5:INDEX(Sales!$E$5:$E$3004,TxRows),Sales!$D$5:INDEX(Sales!$D$5:$D$3004,TxRows),$A44))</f>
        <v/>
      </c>
      <c r="N44" s="64" t="str">
        <f aca="false">IF($A44="","",SUMIFS(Adjustments!$C$5:$C$504,Adjustments!$B$5:$B$504,$A44))</f>
        <v/>
      </c>
      <c r="O44" s="64" t="str">
        <f aca="false">IF($A44="","",N($J44)+L44-M44+N44)</f>
        <v/>
      </c>
      <c r="P44" s="61" t="str">
        <f aca="false">IF($A44="","",IFERROR((N($J44)*N($K44)+SUMIFS(Purchases!$K$5:INDEX(Purchases!$K$5:$K$3004,TxRows),Purchases!$D$5:INDEX(Purchases!$D$5:$D$3004,TxRows),$A44))/(N($J44)+L44),N($G44)))</f>
        <v/>
      </c>
      <c r="Q44" s="61" t="str">
        <f aca="false">IF($A44="","",MAX(0,O44)*P44)</f>
        <v/>
      </c>
      <c r="R44" s="60" t="str">
        <f aca="false">IF($A44="","",IF(O44&lt;0,"NEGATIVE",IF(O44=0,"OUT OF STOCK",IF(O44&lt;=N($I44),"REORDER",IF(AND(O44&gt;0,X44&gt;DeadDays),"DEAD STOCK","OK")))))</f>
        <v/>
      </c>
      <c r="S44" s="65" t="str">
        <f aca="false">IF($A44="","",IF(N($H44)=0,0,(N($H44)-P44)/N($H44)))</f>
        <v/>
      </c>
      <c r="T44" s="64" t="str">
        <f aca="false">IF($A44="","",IF(O44&lt;=N($I44),MAX(0,2*N($I44)-O44),0))</f>
        <v/>
      </c>
      <c r="U44" s="61" t="str">
        <f aca="false">IF($A44="","",SUMIFS(Sales!$L$5:INDEX(Sales!$L$5:$L$3004,TxRows),Sales!$D$5:INDEX(Sales!$D$5:$D$3004,TxRows),$A44))</f>
        <v/>
      </c>
      <c r="V44" s="61" t="str">
        <f aca="false">IF($A44="","",SUMIFS(Sales!$S$5:INDEX(Sales!$S$5:$S$3004,TxRows),Sales!$D$5:INDEX(Sales!$D$5:$D$3004,TxRows),$A44))</f>
        <v/>
      </c>
      <c r="W44" s="66" t="str">
        <f aca="false">IF($A44="","",IFERROR(SUMPRODUCT(MAX((Sales!$D$5:INDEX(Sales!$D$5:$D$3004,TxRows)=$A44)*Sales!$A$5:INDEX(Sales!$A$5:$A$3004,TxRows))),0))</f>
        <v/>
      </c>
      <c r="X44" s="67" t="str">
        <f aca="false">IF($A44="","",IF(W44=0,AsOf-FYStart,AsOf-W44))</f>
        <v/>
      </c>
      <c r="Y44" s="67" t="str">
        <f aca="false">IF($A44="","",IF(M44=0,"",O44/(M44/MAX(1,AsOf-FYStart))))</f>
        <v/>
      </c>
      <c r="Z44" s="60" t="str">
        <f aca="false">IF($A44="","",U44+ROW()/1000000)</f>
        <v/>
      </c>
    </row>
    <row r="45" customFormat="false" ht="15" hidden="false" customHeight="false" outlineLevel="0" collapsed="false">
      <c r="A45" s="56"/>
      <c r="B45" s="56"/>
      <c r="C45" s="56"/>
      <c r="D45" s="56"/>
      <c r="E45" s="56"/>
      <c r="F45" s="63"/>
      <c r="G45" s="58"/>
      <c r="H45" s="58"/>
      <c r="I45" s="57"/>
      <c r="J45" s="57"/>
      <c r="K45" s="58"/>
      <c r="L45" s="64" t="str">
        <f aca="false">IF($A45="","",SUMIFS(Purchases!$E$5:INDEX(Purchases!$E$5:$E$3004,TxRows),Purchases!$D$5:INDEX(Purchases!$D$5:$D$3004,TxRows),$A45))</f>
        <v/>
      </c>
      <c r="M45" s="64" t="str">
        <f aca="false">IF($A45="","",SUMIFS(Sales!$E$5:INDEX(Sales!$E$5:$E$3004,TxRows),Sales!$D$5:INDEX(Sales!$D$5:$D$3004,TxRows),$A45))</f>
        <v/>
      </c>
      <c r="N45" s="64" t="str">
        <f aca="false">IF($A45="","",SUMIFS(Adjustments!$C$5:$C$504,Adjustments!$B$5:$B$504,$A45))</f>
        <v/>
      </c>
      <c r="O45" s="64" t="str">
        <f aca="false">IF($A45="","",N($J45)+L45-M45+N45)</f>
        <v/>
      </c>
      <c r="P45" s="61" t="str">
        <f aca="false">IF($A45="","",IFERROR((N($J45)*N($K45)+SUMIFS(Purchases!$K$5:INDEX(Purchases!$K$5:$K$3004,TxRows),Purchases!$D$5:INDEX(Purchases!$D$5:$D$3004,TxRows),$A45))/(N($J45)+L45),N($G45)))</f>
        <v/>
      </c>
      <c r="Q45" s="61" t="str">
        <f aca="false">IF($A45="","",MAX(0,O45)*P45)</f>
        <v/>
      </c>
      <c r="R45" s="60" t="str">
        <f aca="false">IF($A45="","",IF(O45&lt;0,"NEGATIVE",IF(O45=0,"OUT OF STOCK",IF(O45&lt;=N($I45),"REORDER",IF(AND(O45&gt;0,X45&gt;DeadDays),"DEAD STOCK","OK")))))</f>
        <v/>
      </c>
      <c r="S45" s="65" t="str">
        <f aca="false">IF($A45="","",IF(N($H45)=0,0,(N($H45)-P45)/N($H45)))</f>
        <v/>
      </c>
      <c r="T45" s="64" t="str">
        <f aca="false">IF($A45="","",IF(O45&lt;=N($I45),MAX(0,2*N($I45)-O45),0))</f>
        <v/>
      </c>
      <c r="U45" s="61" t="str">
        <f aca="false">IF($A45="","",SUMIFS(Sales!$L$5:INDEX(Sales!$L$5:$L$3004,TxRows),Sales!$D$5:INDEX(Sales!$D$5:$D$3004,TxRows),$A45))</f>
        <v/>
      </c>
      <c r="V45" s="61" t="str">
        <f aca="false">IF($A45="","",SUMIFS(Sales!$S$5:INDEX(Sales!$S$5:$S$3004,TxRows),Sales!$D$5:INDEX(Sales!$D$5:$D$3004,TxRows),$A45))</f>
        <v/>
      </c>
      <c r="W45" s="66" t="str">
        <f aca="false">IF($A45="","",IFERROR(SUMPRODUCT(MAX((Sales!$D$5:INDEX(Sales!$D$5:$D$3004,TxRows)=$A45)*Sales!$A$5:INDEX(Sales!$A$5:$A$3004,TxRows))),0))</f>
        <v/>
      </c>
      <c r="X45" s="67" t="str">
        <f aca="false">IF($A45="","",IF(W45=0,AsOf-FYStart,AsOf-W45))</f>
        <v/>
      </c>
      <c r="Y45" s="67" t="str">
        <f aca="false">IF($A45="","",IF(M45=0,"",O45/(M45/MAX(1,AsOf-FYStart))))</f>
        <v/>
      </c>
      <c r="Z45" s="60" t="str">
        <f aca="false">IF($A45="","",U45+ROW()/1000000)</f>
        <v/>
      </c>
    </row>
    <row r="46" customFormat="false" ht="15" hidden="false" customHeight="false" outlineLevel="0" collapsed="false">
      <c r="A46" s="56"/>
      <c r="B46" s="56"/>
      <c r="C46" s="56"/>
      <c r="D46" s="56"/>
      <c r="E46" s="56"/>
      <c r="F46" s="63"/>
      <c r="G46" s="58"/>
      <c r="H46" s="58"/>
      <c r="I46" s="57"/>
      <c r="J46" s="57"/>
      <c r="K46" s="58"/>
      <c r="L46" s="64" t="str">
        <f aca="false">IF($A46="","",SUMIFS(Purchases!$E$5:INDEX(Purchases!$E$5:$E$3004,TxRows),Purchases!$D$5:INDEX(Purchases!$D$5:$D$3004,TxRows),$A46))</f>
        <v/>
      </c>
      <c r="M46" s="64" t="str">
        <f aca="false">IF($A46="","",SUMIFS(Sales!$E$5:INDEX(Sales!$E$5:$E$3004,TxRows),Sales!$D$5:INDEX(Sales!$D$5:$D$3004,TxRows),$A46))</f>
        <v/>
      </c>
      <c r="N46" s="64" t="str">
        <f aca="false">IF($A46="","",SUMIFS(Adjustments!$C$5:$C$504,Adjustments!$B$5:$B$504,$A46))</f>
        <v/>
      </c>
      <c r="O46" s="64" t="str">
        <f aca="false">IF($A46="","",N($J46)+L46-M46+N46)</f>
        <v/>
      </c>
      <c r="P46" s="61" t="str">
        <f aca="false">IF($A46="","",IFERROR((N($J46)*N($K46)+SUMIFS(Purchases!$K$5:INDEX(Purchases!$K$5:$K$3004,TxRows),Purchases!$D$5:INDEX(Purchases!$D$5:$D$3004,TxRows),$A46))/(N($J46)+L46),N($G46)))</f>
        <v/>
      </c>
      <c r="Q46" s="61" t="str">
        <f aca="false">IF($A46="","",MAX(0,O46)*P46)</f>
        <v/>
      </c>
      <c r="R46" s="60" t="str">
        <f aca="false">IF($A46="","",IF(O46&lt;0,"NEGATIVE",IF(O46=0,"OUT OF STOCK",IF(O46&lt;=N($I46),"REORDER",IF(AND(O46&gt;0,X46&gt;DeadDays),"DEAD STOCK","OK")))))</f>
        <v/>
      </c>
      <c r="S46" s="65" t="str">
        <f aca="false">IF($A46="","",IF(N($H46)=0,0,(N($H46)-P46)/N($H46)))</f>
        <v/>
      </c>
      <c r="T46" s="64" t="str">
        <f aca="false">IF($A46="","",IF(O46&lt;=N($I46),MAX(0,2*N($I46)-O46),0))</f>
        <v/>
      </c>
      <c r="U46" s="61" t="str">
        <f aca="false">IF($A46="","",SUMIFS(Sales!$L$5:INDEX(Sales!$L$5:$L$3004,TxRows),Sales!$D$5:INDEX(Sales!$D$5:$D$3004,TxRows),$A46))</f>
        <v/>
      </c>
      <c r="V46" s="61" t="str">
        <f aca="false">IF($A46="","",SUMIFS(Sales!$S$5:INDEX(Sales!$S$5:$S$3004,TxRows),Sales!$D$5:INDEX(Sales!$D$5:$D$3004,TxRows),$A46))</f>
        <v/>
      </c>
      <c r="W46" s="66" t="str">
        <f aca="false">IF($A46="","",IFERROR(SUMPRODUCT(MAX((Sales!$D$5:INDEX(Sales!$D$5:$D$3004,TxRows)=$A46)*Sales!$A$5:INDEX(Sales!$A$5:$A$3004,TxRows))),0))</f>
        <v/>
      </c>
      <c r="X46" s="67" t="str">
        <f aca="false">IF($A46="","",IF(W46=0,AsOf-FYStart,AsOf-W46))</f>
        <v/>
      </c>
      <c r="Y46" s="67" t="str">
        <f aca="false">IF($A46="","",IF(M46=0,"",O46/(M46/MAX(1,AsOf-FYStart))))</f>
        <v/>
      </c>
      <c r="Z46" s="60" t="str">
        <f aca="false">IF($A46="","",U46+ROW()/1000000)</f>
        <v/>
      </c>
    </row>
    <row r="47" customFormat="false" ht="15" hidden="false" customHeight="false" outlineLevel="0" collapsed="false">
      <c r="A47" s="56"/>
      <c r="B47" s="56"/>
      <c r="C47" s="56"/>
      <c r="D47" s="56"/>
      <c r="E47" s="56"/>
      <c r="F47" s="63"/>
      <c r="G47" s="58"/>
      <c r="H47" s="58"/>
      <c r="I47" s="57"/>
      <c r="J47" s="57"/>
      <c r="K47" s="58"/>
      <c r="L47" s="64" t="str">
        <f aca="false">IF($A47="","",SUMIFS(Purchases!$E$5:INDEX(Purchases!$E$5:$E$3004,TxRows),Purchases!$D$5:INDEX(Purchases!$D$5:$D$3004,TxRows),$A47))</f>
        <v/>
      </c>
      <c r="M47" s="64" t="str">
        <f aca="false">IF($A47="","",SUMIFS(Sales!$E$5:INDEX(Sales!$E$5:$E$3004,TxRows),Sales!$D$5:INDEX(Sales!$D$5:$D$3004,TxRows),$A47))</f>
        <v/>
      </c>
      <c r="N47" s="64" t="str">
        <f aca="false">IF($A47="","",SUMIFS(Adjustments!$C$5:$C$504,Adjustments!$B$5:$B$504,$A47))</f>
        <v/>
      </c>
      <c r="O47" s="64" t="str">
        <f aca="false">IF($A47="","",N($J47)+L47-M47+N47)</f>
        <v/>
      </c>
      <c r="P47" s="61" t="str">
        <f aca="false">IF($A47="","",IFERROR((N($J47)*N($K47)+SUMIFS(Purchases!$K$5:INDEX(Purchases!$K$5:$K$3004,TxRows),Purchases!$D$5:INDEX(Purchases!$D$5:$D$3004,TxRows),$A47))/(N($J47)+L47),N($G47)))</f>
        <v/>
      </c>
      <c r="Q47" s="61" t="str">
        <f aca="false">IF($A47="","",MAX(0,O47)*P47)</f>
        <v/>
      </c>
      <c r="R47" s="60" t="str">
        <f aca="false">IF($A47="","",IF(O47&lt;0,"NEGATIVE",IF(O47=0,"OUT OF STOCK",IF(O47&lt;=N($I47),"REORDER",IF(AND(O47&gt;0,X47&gt;DeadDays),"DEAD STOCK","OK")))))</f>
        <v/>
      </c>
      <c r="S47" s="65" t="str">
        <f aca="false">IF($A47="","",IF(N($H47)=0,0,(N($H47)-P47)/N($H47)))</f>
        <v/>
      </c>
      <c r="T47" s="64" t="str">
        <f aca="false">IF($A47="","",IF(O47&lt;=N($I47),MAX(0,2*N($I47)-O47),0))</f>
        <v/>
      </c>
      <c r="U47" s="61" t="str">
        <f aca="false">IF($A47="","",SUMIFS(Sales!$L$5:INDEX(Sales!$L$5:$L$3004,TxRows),Sales!$D$5:INDEX(Sales!$D$5:$D$3004,TxRows),$A47))</f>
        <v/>
      </c>
      <c r="V47" s="61" t="str">
        <f aca="false">IF($A47="","",SUMIFS(Sales!$S$5:INDEX(Sales!$S$5:$S$3004,TxRows),Sales!$D$5:INDEX(Sales!$D$5:$D$3004,TxRows),$A47))</f>
        <v/>
      </c>
      <c r="W47" s="66" t="str">
        <f aca="false">IF($A47="","",IFERROR(SUMPRODUCT(MAX((Sales!$D$5:INDEX(Sales!$D$5:$D$3004,TxRows)=$A47)*Sales!$A$5:INDEX(Sales!$A$5:$A$3004,TxRows))),0))</f>
        <v/>
      </c>
      <c r="X47" s="67" t="str">
        <f aca="false">IF($A47="","",IF(W47=0,AsOf-FYStart,AsOf-W47))</f>
        <v/>
      </c>
      <c r="Y47" s="67" t="str">
        <f aca="false">IF($A47="","",IF(M47=0,"",O47/(M47/MAX(1,AsOf-FYStart))))</f>
        <v/>
      </c>
      <c r="Z47" s="60" t="str">
        <f aca="false">IF($A47="","",U47+ROW()/1000000)</f>
        <v/>
      </c>
    </row>
    <row r="48" customFormat="false" ht="15" hidden="false" customHeight="false" outlineLevel="0" collapsed="false">
      <c r="A48" s="56"/>
      <c r="B48" s="56"/>
      <c r="C48" s="56"/>
      <c r="D48" s="56"/>
      <c r="E48" s="56"/>
      <c r="F48" s="63"/>
      <c r="G48" s="58"/>
      <c r="H48" s="58"/>
      <c r="I48" s="57"/>
      <c r="J48" s="57"/>
      <c r="K48" s="58"/>
      <c r="L48" s="64" t="str">
        <f aca="false">IF($A48="","",SUMIFS(Purchases!$E$5:INDEX(Purchases!$E$5:$E$3004,TxRows),Purchases!$D$5:INDEX(Purchases!$D$5:$D$3004,TxRows),$A48))</f>
        <v/>
      </c>
      <c r="M48" s="64" t="str">
        <f aca="false">IF($A48="","",SUMIFS(Sales!$E$5:INDEX(Sales!$E$5:$E$3004,TxRows),Sales!$D$5:INDEX(Sales!$D$5:$D$3004,TxRows),$A48))</f>
        <v/>
      </c>
      <c r="N48" s="64" t="str">
        <f aca="false">IF($A48="","",SUMIFS(Adjustments!$C$5:$C$504,Adjustments!$B$5:$B$504,$A48))</f>
        <v/>
      </c>
      <c r="O48" s="64" t="str">
        <f aca="false">IF($A48="","",N($J48)+L48-M48+N48)</f>
        <v/>
      </c>
      <c r="P48" s="61" t="str">
        <f aca="false">IF($A48="","",IFERROR((N($J48)*N($K48)+SUMIFS(Purchases!$K$5:INDEX(Purchases!$K$5:$K$3004,TxRows),Purchases!$D$5:INDEX(Purchases!$D$5:$D$3004,TxRows),$A48))/(N($J48)+L48),N($G48)))</f>
        <v/>
      </c>
      <c r="Q48" s="61" t="str">
        <f aca="false">IF($A48="","",MAX(0,O48)*P48)</f>
        <v/>
      </c>
      <c r="R48" s="60" t="str">
        <f aca="false">IF($A48="","",IF(O48&lt;0,"NEGATIVE",IF(O48=0,"OUT OF STOCK",IF(O48&lt;=N($I48),"REORDER",IF(AND(O48&gt;0,X48&gt;DeadDays),"DEAD STOCK","OK")))))</f>
        <v/>
      </c>
      <c r="S48" s="65" t="str">
        <f aca="false">IF($A48="","",IF(N($H48)=0,0,(N($H48)-P48)/N($H48)))</f>
        <v/>
      </c>
      <c r="T48" s="64" t="str">
        <f aca="false">IF($A48="","",IF(O48&lt;=N($I48),MAX(0,2*N($I48)-O48),0))</f>
        <v/>
      </c>
      <c r="U48" s="61" t="str">
        <f aca="false">IF($A48="","",SUMIFS(Sales!$L$5:INDEX(Sales!$L$5:$L$3004,TxRows),Sales!$D$5:INDEX(Sales!$D$5:$D$3004,TxRows),$A48))</f>
        <v/>
      </c>
      <c r="V48" s="61" t="str">
        <f aca="false">IF($A48="","",SUMIFS(Sales!$S$5:INDEX(Sales!$S$5:$S$3004,TxRows),Sales!$D$5:INDEX(Sales!$D$5:$D$3004,TxRows),$A48))</f>
        <v/>
      </c>
      <c r="W48" s="66" t="str">
        <f aca="false">IF($A48="","",IFERROR(SUMPRODUCT(MAX((Sales!$D$5:INDEX(Sales!$D$5:$D$3004,TxRows)=$A48)*Sales!$A$5:INDEX(Sales!$A$5:$A$3004,TxRows))),0))</f>
        <v/>
      </c>
      <c r="X48" s="67" t="str">
        <f aca="false">IF($A48="","",IF(W48=0,AsOf-FYStart,AsOf-W48))</f>
        <v/>
      </c>
      <c r="Y48" s="67" t="str">
        <f aca="false">IF($A48="","",IF(M48=0,"",O48/(M48/MAX(1,AsOf-FYStart))))</f>
        <v/>
      </c>
      <c r="Z48" s="60" t="str">
        <f aca="false">IF($A48="","",U48+ROW()/1000000)</f>
        <v/>
      </c>
    </row>
    <row r="49" customFormat="false" ht="15" hidden="false" customHeight="false" outlineLevel="0" collapsed="false">
      <c r="A49" s="56"/>
      <c r="B49" s="56"/>
      <c r="C49" s="56"/>
      <c r="D49" s="56"/>
      <c r="E49" s="56"/>
      <c r="F49" s="63"/>
      <c r="G49" s="58"/>
      <c r="H49" s="58"/>
      <c r="I49" s="57"/>
      <c r="J49" s="57"/>
      <c r="K49" s="58"/>
      <c r="L49" s="64" t="str">
        <f aca="false">IF($A49="","",SUMIFS(Purchases!$E$5:INDEX(Purchases!$E$5:$E$3004,TxRows),Purchases!$D$5:INDEX(Purchases!$D$5:$D$3004,TxRows),$A49))</f>
        <v/>
      </c>
      <c r="M49" s="64" t="str">
        <f aca="false">IF($A49="","",SUMIFS(Sales!$E$5:INDEX(Sales!$E$5:$E$3004,TxRows),Sales!$D$5:INDEX(Sales!$D$5:$D$3004,TxRows),$A49))</f>
        <v/>
      </c>
      <c r="N49" s="64" t="str">
        <f aca="false">IF($A49="","",SUMIFS(Adjustments!$C$5:$C$504,Adjustments!$B$5:$B$504,$A49))</f>
        <v/>
      </c>
      <c r="O49" s="64" t="str">
        <f aca="false">IF($A49="","",N($J49)+L49-M49+N49)</f>
        <v/>
      </c>
      <c r="P49" s="61" t="str">
        <f aca="false">IF($A49="","",IFERROR((N($J49)*N($K49)+SUMIFS(Purchases!$K$5:INDEX(Purchases!$K$5:$K$3004,TxRows),Purchases!$D$5:INDEX(Purchases!$D$5:$D$3004,TxRows),$A49))/(N($J49)+L49),N($G49)))</f>
        <v/>
      </c>
      <c r="Q49" s="61" t="str">
        <f aca="false">IF($A49="","",MAX(0,O49)*P49)</f>
        <v/>
      </c>
      <c r="R49" s="60" t="str">
        <f aca="false">IF($A49="","",IF(O49&lt;0,"NEGATIVE",IF(O49=0,"OUT OF STOCK",IF(O49&lt;=N($I49),"REORDER",IF(AND(O49&gt;0,X49&gt;DeadDays),"DEAD STOCK","OK")))))</f>
        <v/>
      </c>
      <c r="S49" s="65" t="str">
        <f aca="false">IF($A49="","",IF(N($H49)=0,0,(N($H49)-P49)/N($H49)))</f>
        <v/>
      </c>
      <c r="T49" s="64" t="str">
        <f aca="false">IF($A49="","",IF(O49&lt;=N($I49),MAX(0,2*N($I49)-O49),0))</f>
        <v/>
      </c>
      <c r="U49" s="61" t="str">
        <f aca="false">IF($A49="","",SUMIFS(Sales!$L$5:INDEX(Sales!$L$5:$L$3004,TxRows),Sales!$D$5:INDEX(Sales!$D$5:$D$3004,TxRows),$A49))</f>
        <v/>
      </c>
      <c r="V49" s="61" t="str">
        <f aca="false">IF($A49="","",SUMIFS(Sales!$S$5:INDEX(Sales!$S$5:$S$3004,TxRows),Sales!$D$5:INDEX(Sales!$D$5:$D$3004,TxRows),$A49))</f>
        <v/>
      </c>
      <c r="W49" s="66" t="str">
        <f aca="false">IF($A49="","",IFERROR(SUMPRODUCT(MAX((Sales!$D$5:INDEX(Sales!$D$5:$D$3004,TxRows)=$A49)*Sales!$A$5:INDEX(Sales!$A$5:$A$3004,TxRows))),0))</f>
        <v/>
      </c>
      <c r="X49" s="67" t="str">
        <f aca="false">IF($A49="","",IF(W49=0,AsOf-FYStart,AsOf-W49))</f>
        <v/>
      </c>
      <c r="Y49" s="67" t="str">
        <f aca="false">IF($A49="","",IF(M49=0,"",O49/(M49/MAX(1,AsOf-FYStart))))</f>
        <v/>
      </c>
      <c r="Z49" s="60" t="str">
        <f aca="false">IF($A49="","",U49+ROW()/1000000)</f>
        <v/>
      </c>
    </row>
    <row r="50" customFormat="false" ht="15" hidden="false" customHeight="false" outlineLevel="0" collapsed="false">
      <c r="A50" s="56"/>
      <c r="B50" s="56"/>
      <c r="C50" s="56"/>
      <c r="D50" s="56"/>
      <c r="E50" s="56"/>
      <c r="F50" s="63"/>
      <c r="G50" s="58"/>
      <c r="H50" s="58"/>
      <c r="I50" s="57"/>
      <c r="J50" s="57"/>
      <c r="K50" s="58"/>
      <c r="L50" s="64" t="str">
        <f aca="false">IF($A50="","",SUMIFS(Purchases!$E$5:INDEX(Purchases!$E$5:$E$3004,TxRows),Purchases!$D$5:INDEX(Purchases!$D$5:$D$3004,TxRows),$A50))</f>
        <v/>
      </c>
      <c r="M50" s="64" t="str">
        <f aca="false">IF($A50="","",SUMIFS(Sales!$E$5:INDEX(Sales!$E$5:$E$3004,TxRows),Sales!$D$5:INDEX(Sales!$D$5:$D$3004,TxRows),$A50))</f>
        <v/>
      </c>
      <c r="N50" s="64" t="str">
        <f aca="false">IF($A50="","",SUMIFS(Adjustments!$C$5:$C$504,Adjustments!$B$5:$B$504,$A50))</f>
        <v/>
      </c>
      <c r="O50" s="64" t="str">
        <f aca="false">IF($A50="","",N($J50)+L50-M50+N50)</f>
        <v/>
      </c>
      <c r="P50" s="61" t="str">
        <f aca="false">IF($A50="","",IFERROR((N($J50)*N($K50)+SUMIFS(Purchases!$K$5:INDEX(Purchases!$K$5:$K$3004,TxRows),Purchases!$D$5:INDEX(Purchases!$D$5:$D$3004,TxRows),$A50))/(N($J50)+L50),N($G50)))</f>
        <v/>
      </c>
      <c r="Q50" s="61" t="str">
        <f aca="false">IF($A50="","",MAX(0,O50)*P50)</f>
        <v/>
      </c>
      <c r="R50" s="60" t="str">
        <f aca="false">IF($A50="","",IF(O50&lt;0,"NEGATIVE",IF(O50=0,"OUT OF STOCK",IF(O50&lt;=N($I50),"REORDER",IF(AND(O50&gt;0,X50&gt;DeadDays),"DEAD STOCK","OK")))))</f>
        <v/>
      </c>
      <c r="S50" s="65" t="str">
        <f aca="false">IF($A50="","",IF(N($H50)=0,0,(N($H50)-P50)/N($H50)))</f>
        <v/>
      </c>
      <c r="T50" s="64" t="str">
        <f aca="false">IF($A50="","",IF(O50&lt;=N($I50),MAX(0,2*N($I50)-O50),0))</f>
        <v/>
      </c>
      <c r="U50" s="61" t="str">
        <f aca="false">IF($A50="","",SUMIFS(Sales!$L$5:INDEX(Sales!$L$5:$L$3004,TxRows),Sales!$D$5:INDEX(Sales!$D$5:$D$3004,TxRows),$A50))</f>
        <v/>
      </c>
      <c r="V50" s="61" t="str">
        <f aca="false">IF($A50="","",SUMIFS(Sales!$S$5:INDEX(Sales!$S$5:$S$3004,TxRows),Sales!$D$5:INDEX(Sales!$D$5:$D$3004,TxRows),$A50))</f>
        <v/>
      </c>
      <c r="W50" s="66" t="str">
        <f aca="false">IF($A50="","",IFERROR(SUMPRODUCT(MAX((Sales!$D$5:INDEX(Sales!$D$5:$D$3004,TxRows)=$A50)*Sales!$A$5:INDEX(Sales!$A$5:$A$3004,TxRows))),0))</f>
        <v/>
      </c>
      <c r="X50" s="67" t="str">
        <f aca="false">IF($A50="","",IF(W50=0,AsOf-FYStart,AsOf-W50))</f>
        <v/>
      </c>
      <c r="Y50" s="67" t="str">
        <f aca="false">IF($A50="","",IF(M50=0,"",O50/(M50/MAX(1,AsOf-FYStart))))</f>
        <v/>
      </c>
      <c r="Z50" s="60" t="str">
        <f aca="false">IF($A50="","",U50+ROW()/1000000)</f>
        <v/>
      </c>
    </row>
    <row r="51" customFormat="false" ht="15" hidden="false" customHeight="false" outlineLevel="0" collapsed="false">
      <c r="A51" s="56"/>
      <c r="B51" s="56"/>
      <c r="C51" s="56"/>
      <c r="D51" s="56"/>
      <c r="E51" s="56"/>
      <c r="F51" s="63"/>
      <c r="G51" s="58"/>
      <c r="H51" s="58"/>
      <c r="I51" s="57"/>
      <c r="J51" s="57"/>
      <c r="K51" s="58"/>
      <c r="L51" s="64" t="str">
        <f aca="false">IF($A51="","",SUMIFS(Purchases!$E$5:INDEX(Purchases!$E$5:$E$3004,TxRows),Purchases!$D$5:INDEX(Purchases!$D$5:$D$3004,TxRows),$A51))</f>
        <v/>
      </c>
      <c r="M51" s="64" t="str">
        <f aca="false">IF($A51="","",SUMIFS(Sales!$E$5:INDEX(Sales!$E$5:$E$3004,TxRows),Sales!$D$5:INDEX(Sales!$D$5:$D$3004,TxRows),$A51))</f>
        <v/>
      </c>
      <c r="N51" s="64" t="str">
        <f aca="false">IF($A51="","",SUMIFS(Adjustments!$C$5:$C$504,Adjustments!$B$5:$B$504,$A51))</f>
        <v/>
      </c>
      <c r="O51" s="64" t="str">
        <f aca="false">IF($A51="","",N($J51)+L51-M51+N51)</f>
        <v/>
      </c>
      <c r="P51" s="61" t="str">
        <f aca="false">IF($A51="","",IFERROR((N($J51)*N($K51)+SUMIFS(Purchases!$K$5:INDEX(Purchases!$K$5:$K$3004,TxRows),Purchases!$D$5:INDEX(Purchases!$D$5:$D$3004,TxRows),$A51))/(N($J51)+L51),N($G51)))</f>
        <v/>
      </c>
      <c r="Q51" s="61" t="str">
        <f aca="false">IF($A51="","",MAX(0,O51)*P51)</f>
        <v/>
      </c>
      <c r="R51" s="60" t="str">
        <f aca="false">IF($A51="","",IF(O51&lt;0,"NEGATIVE",IF(O51=0,"OUT OF STOCK",IF(O51&lt;=N($I51),"REORDER",IF(AND(O51&gt;0,X51&gt;DeadDays),"DEAD STOCK","OK")))))</f>
        <v/>
      </c>
      <c r="S51" s="65" t="str">
        <f aca="false">IF($A51="","",IF(N($H51)=0,0,(N($H51)-P51)/N($H51)))</f>
        <v/>
      </c>
      <c r="T51" s="64" t="str">
        <f aca="false">IF($A51="","",IF(O51&lt;=N($I51),MAX(0,2*N($I51)-O51),0))</f>
        <v/>
      </c>
      <c r="U51" s="61" t="str">
        <f aca="false">IF($A51="","",SUMIFS(Sales!$L$5:INDEX(Sales!$L$5:$L$3004,TxRows),Sales!$D$5:INDEX(Sales!$D$5:$D$3004,TxRows),$A51))</f>
        <v/>
      </c>
      <c r="V51" s="61" t="str">
        <f aca="false">IF($A51="","",SUMIFS(Sales!$S$5:INDEX(Sales!$S$5:$S$3004,TxRows),Sales!$D$5:INDEX(Sales!$D$5:$D$3004,TxRows),$A51))</f>
        <v/>
      </c>
      <c r="W51" s="66" t="str">
        <f aca="false">IF($A51="","",IFERROR(SUMPRODUCT(MAX((Sales!$D$5:INDEX(Sales!$D$5:$D$3004,TxRows)=$A51)*Sales!$A$5:INDEX(Sales!$A$5:$A$3004,TxRows))),0))</f>
        <v/>
      </c>
      <c r="X51" s="67" t="str">
        <f aca="false">IF($A51="","",IF(W51=0,AsOf-FYStart,AsOf-W51))</f>
        <v/>
      </c>
      <c r="Y51" s="67" t="str">
        <f aca="false">IF($A51="","",IF(M51=0,"",O51/(M51/MAX(1,AsOf-FYStart))))</f>
        <v/>
      </c>
      <c r="Z51" s="60" t="str">
        <f aca="false">IF($A51="","",U51+ROW()/1000000)</f>
        <v/>
      </c>
    </row>
    <row r="52" customFormat="false" ht="15" hidden="false" customHeight="false" outlineLevel="0" collapsed="false">
      <c r="A52" s="56"/>
      <c r="B52" s="56"/>
      <c r="C52" s="56"/>
      <c r="D52" s="56"/>
      <c r="E52" s="56"/>
      <c r="F52" s="63"/>
      <c r="G52" s="58"/>
      <c r="H52" s="58"/>
      <c r="I52" s="57"/>
      <c r="J52" s="57"/>
      <c r="K52" s="58"/>
      <c r="L52" s="64" t="str">
        <f aca="false">IF($A52="","",SUMIFS(Purchases!$E$5:INDEX(Purchases!$E$5:$E$3004,TxRows),Purchases!$D$5:INDEX(Purchases!$D$5:$D$3004,TxRows),$A52))</f>
        <v/>
      </c>
      <c r="M52" s="64" t="str">
        <f aca="false">IF($A52="","",SUMIFS(Sales!$E$5:INDEX(Sales!$E$5:$E$3004,TxRows),Sales!$D$5:INDEX(Sales!$D$5:$D$3004,TxRows),$A52))</f>
        <v/>
      </c>
      <c r="N52" s="64" t="str">
        <f aca="false">IF($A52="","",SUMIFS(Adjustments!$C$5:$C$504,Adjustments!$B$5:$B$504,$A52))</f>
        <v/>
      </c>
      <c r="O52" s="64" t="str">
        <f aca="false">IF($A52="","",N($J52)+L52-M52+N52)</f>
        <v/>
      </c>
      <c r="P52" s="61" t="str">
        <f aca="false">IF($A52="","",IFERROR((N($J52)*N($K52)+SUMIFS(Purchases!$K$5:INDEX(Purchases!$K$5:$K$3004,TxRows),Purchases!$D$5:INDEX(Purchases!$D$5:$D$3004,TxRows),$A52))/(N($J52)+L52),N($G52)))</f>
        <v/>
      </c>
      <c r="Q52" s="61" t="str">
        <f aca="false">IF($A52="","",MAX(0,O52)*P52)</f>
        <v/>
      </c>
      <c r="R52" s="60" t="str">
        <f aca="false">IF($A52="","",IF(O52&lt;0,"NEGATIVE",IF(O52=0,"OUT OF STOCK",IF(O52&lt;=N($I52),"REORDER",IF(AND(O52&gt;0,X52&gt;DeadDays),"DEAD STOCK","OK")))))</f>
        <v/>
      </c>
      <c r="S52" s="65" t="str">
        <f aca="false">IF($A52="","",IF(N($H52)=0,0,(N($H52)-P52)/N($H52)))</f>
        <v/>
      </c>
      <c r="T52" s="64" t="str">
        <f aca="false">IF($A52="","",IF(O52&lt;=N($I52),MAX(0,2*N($I52)-O52),0))</f>
        <v/>
      </c>
      <c r="U52" s="61" t="str">
        <f aca="false">IF($A52="","",SUMIFS(Sales!$L$5:INDEX(Sales!$L$5:$L$3004,TxRows),Sales!$D$5:INDEX(Sales!$D$5:$D$3004,TxRows),$A52))</f>
        <v/>
      </c>
      <c r="V52" s="61" t="str">
        <f aca="false">IF($A52="","",SUMIFS(Sales!$S$5:INDEX(Sales!$S$5:$S$3004,TxRows),Sales!$D$5:INDEX(Sales!$D$5:$D$3004,TxRows),$A52))</f>
        <v/>
      </c>
      <c r="W52" s="66" t="str">
        <f aca="false">IF($A52="","",IFERROR(SUMPRODUCT(MAX((Sales!$D$5:INDEX(Sales!$D$5:$D$3004,TxRows)=$A52)*Sales!$A$5:INDEX(Sales!$A$5:$A$3004,TxRows))),0))</f>
        <v/>
      </c>
      <c r="X52" s="67" t="str">
        <f aca="false">IF($A52="","",IF(W52=0,AsOf-FYStart,AsOf-W52))</f>
        <v/>
      </c>
      <c r="Y52" s="67" t="str">
        <f aca="false">IF($A52="","",IF(M52=0,"",O52/(M52/MAX(1,AsOf-FYStart))))</f>
        <v/>
      </c>
      <c r="Z52" s="60" t="str">
        <f aca="false">IF($A52="","",U52+ROW()/1000000)</f>
        <v/>
      </c>
    </row>
    <row r="53" customFormat="false" ht="15" hidden="false" customHeight="false" outlineLevel="0" collapsed="false">
      <c r="A53" s="56"/>
      <c r="B53" s="56"/>
      <c r="C53" s="56"/>
      <c r="D53" s="56"/>
      <c r="E53" s="56"/>
      <c r="F53" s="63"/>
      <c r="G53" s="58"/>
      <c r="H53" s="58"/>
      <c r="I53" s="57"/>
      <c r="J53" s="57"/>
      <c r="K53" s="58"/>
      <c r="L53" s="64" t="str">
        <f aca="false">IF($A53="","",SUMIFS(Purchases!$E$5:INDEX(Purchases!$E$5:$E$3004,TxRows),Purchases!$D$5:INDEX(Purchases!$D$5:$D$3004,TxRows),$A53))</f>
        <v/>
      </c>
      <c r="M53" s="64" t="str">
        <f aca="false">IF($A53="","",SUMIFS(Sales!$E$5:INDEX(Sales!$E$5:$E$3004,TxRows),Sales!$D$5:INDEX(Sales!$D$5:$D$3004,TxRows),$A53))</f>
        <v/>
      </c>
      <c r="N53" s="64" t="str">
        <f aca="false">IF($A53="","",SUMIFS(Adjustments!$C$5:$C$504,Adjustments!$B$5:$B$504,$A53))</f>
        <v/>
      </c>
      <c r="O53" s="64" t="str">
        <f aca="false">IF($A53="","",N($J53)+L53-M53+N53)</f>
        <v/>
      </c>
      <c r="P53" s="61" t="str">
        <f aca="false">IF($A53="","",IFERROR((N($J53)*N($K53)+SUMIFS(Purchases!$K$5:INDEX(Purchases!$K$5:$K$3004,TxRows),Purchases!$D$5:INDEX(Purchases!$D$5:$D$3004,TxRows),$A53))/(N($J53)+L53),N($G53)))</f>
        <v/>
      </c>
      <c r="Q53" s="61" t="str">
        <f aca="false">IF($A53="","",MAX(0,O53)*P53)</f>
        <v/>
      </c>
      <c r="R53" s="60" t="str">
        <f aca="false">IF($A53="","",IF(O53&lt;0,"NEGATIVE",IF(O53=0,"OUT OF STOCK",IF(O53&lt;=N($I53),"REORDER",IF(AND(O53&gt;0,X53&gt;DeadDays),"DEAD STOCK","OK")))))</f>
        <v/>
      </c>
      <c r="S53" s="65" t="str">
        <f aca="false">IF($A53="","",IF(N($H53)=0,0,(N($H53)-P53)/N($H53)))</f>
        <v/>
      </c>
      <c r="T53" s="64" t="str">
        <f aca="false">IF($A53="","",IF(O53&lt;=N($I53),MAX(0,2*N($I53)-O53),0))</f>
        <v/>
      </c>
      <c r="U53" s="61" t="str">
        <f aca="false">IF($A53="","",SUMIFS(Sales!$L$5:INDEX(Sales!$L$5:$L$3004,TxRows),Sales!$D$5:INDEX(Sales!$D$5:$D$3004,TxRows),$A53))</f>
        <v/>
      </c>
      <c r="V53" s="61" t="str">
        <f aca="false">IF($A53="","",SUMIFS(Sales!$S$5:INDEX(Sales!$S$5:$S$3004,TxRows),Sales!$D$5:INDEX(Sales!$D$5:$D$3004,TxRows),$A53))</f>
        <v/>
      </c>
      <c r="W53" s="66" t="str">
        <f aca="false">IF($A53="","",IFERROR(SUMPRODUCT(MAX((Sales!$D$5:INDEX(Sales!$D$5:$D$3004,TxRows)=$A53)*Sales!$A$5:INDEX(Sales!$A$5:$A$3004,TxRows))),0))</f>
        <v/>
      </c>
      <c r="X53" s="67" t="str">
        <f aca="false">IF($A53="","",IF(W53=0,AsOf-FYStart,AsOf-W53))</f>
        <v/>
      </c>
      <c r="Y53" s="67" t="str">
        <f aca="false">IF($A53="","",IF(M53=0,"",O53/(M53/MAX(1,AsOf-FYStart))))</f>
        <v/>
      </c>
      <c r="Z53" s="60" t="str">
        <f aca="false">IF($A53="","",U53+ROW()/1000000)</f>
        <v/>
      </c>
    </row>
    <row r="54" customFormat="false" ht="15" hidden="false" customHeight="false" outlineLevel="0" collapsed="false">
      <c r="A54" s="56"/>
      <c r="B54" s="56"/>
      <c r="C54" s="56"/>
      <c r="D54" s="56"/>
      <c r="E54" s="56"/>
      <c r="F54" s="63"/>
      <c r="G54" s="58"/>
      <c r="H54" s="58"/>
      <c r="I54" s="57"/>
      <c r="J54" s="57"/>
      <c r="K54" s="58"/>
      <c r="L54" s="64" t="str">
        <f aca="false">IF($A54="","",SUMIFS(Purchases!$E$5:INDEX(Purchases!$E$5:$E$3004,TxRows),Purchases!$D$5:INDEX(Purchases!$D$5:$D$3004,TxRows),$A54))</f>
        <v/>
      </c>
      <c r="M54" s="64" t="str">
        <f aca="false">IF($A54="","",SUMIFS(Sales!$E$5:INDEX(Sales!$E$5:$E$3004,TxRows),Sales!$D$5:INDEX(Sales!$D$5:$D$3004,TxRows),$A54))</f>
        <v/>
      </c>
      <c r="N54" s="64" t="str">
        <f aca="false">IF($A54="","",SUMIFS(Adjustments!$C$5:$C$504,Adjustments!$B$5:$B$504,$A54))</f>
        <v/>
      </c>
      <c r="O54" s="64" t="str">
        <f aca="false">IF($A54="","",N($J54)+L54-M54+N54)</f>
        <v/>
      </c>
      <c r="P54" s="61" t="str">
        <f aca="false">IF($A54="","",IFERROR((N($J54)*N($K54)+SUMIFS(Purchases!$K$5:INDEX(Purchases!$K$5:$K$3004,TxRows),Purchases!$D$5:INDEX(Purchases!$D$5:$D$3004,TxRows),$A54))/(N($J54)+L54),N($G54)))</f>
        <v/>
      </c>
      <c r="Q54" s="61" t="str">
        <f aca="false">IF($A54="","",MAX(0,O54)*P54)</f>
        <v/>
      </c>
      <c r="R54" s="60" t="str">
        <f aca="false">IF($A54="","",IF(O54&lt;0,"NEGATIVE",IF(O54=0,"OUT OF STOCK",IF(O54&lt;=N($I54),"REORDER",IF(AND(O54&gt;0,X54&gt;DeadDays),"DEAD STOCK","OK")))))</f>
        <v/>
      </c>
      <c r="S54" s="65" t="str">
        <f aca="false">IF($A54="","",IF(N($H54)=0,0,(N($H54)-P54)/N($H54)))</f>
        <v/>
      </c>
      <c r="T54" s="64" t="str">
        <f aca="false">IF($A54="","",IF(O54&lt;=N($I54),MAX(0,2*N($I54)-O54),0))</f>
        <v/>
      </c>
      <c r="U54" s="61" t="str">
        <f aca="false">IF($A54="","",SUMIFS(Sales!$L$5:INDEX(Sales!$L$5:$L$3004,TxRows),Sales!$D$5:INDEX(Sales!$D$5:$D$3004,TxRows),$A54))</f>
        <v/>
      </c>
      <c r="V54" s="61" t="str">
        <f aca="false">IF($A54="","",SUMIFS(Sales!$S$5:INDEX(Sales!$S$5:$S$3004,TxRows),Sales!$D$5:INDEX(Sales!$D$5:$D$3004,TxRows),$A54))</f>
        <v/>
      </c>
      <c r="W54" s="66" t="str">
        <f aca="false">IF($A54="","",IFERROR(SUMPRODUCT(MAX((Sales!$D$5:INDEX(Sales!$D$5:$D$3004,TxRows)=$A54)*Sales!$A$5:INDEX(Sales!$A$5:$A$3004,TxRows))),0))</f>
        <v/>
      </c>
      <c r="X54" s="67" t="str">
        <f aca="false">IF($A54="","",IF(W54=0,AsOf-FYStart,AsOf-W54))</f>
        <v/>
      </c>
      <c r="Y54" s="67" t="str">
        <f aca="false">IF($A54="","",IF(M54=0,"",O54/(M54/MAX(1,AsOf-FYStart))))</f>
        <v/>
      </c>
      <c r="Z54" s="60" t="str">
        <f aca="false">IF($A54="","",U54+ROW()/1000000)</f>
        <v/>
      </c>
    </row>
    <row r="55" customFormat="false" ht="15" hidden="false" customHeight="false" outlineLevel="0" collapsed="false">
      <c r="A55" s="56"/>
      <c r="B55" s="56"/>
      <c r="C55" s="56"/>
      <c r="D55" s="56"/>
      <c r="E55" s="56"/>
      <c r="F55" s="63"/>
      <c r="G55" s="58"/>
      <c r="H55" s="58"/>
      <c r="I55" s="57"/>
      <c r="J55" s="57"/>
      <c r="K55" s="58"/>
      <c r="L55" s="64" t="str">
        <f aca="false">IF($A55="","",SUMIFS(Purchases!$E$5:INDEX(Purchases!$E$5:$E$3004,TxRows),Purchases!$D$5:INDEX(Purchases!$D$5:$D$3004,TxRows),$A55))</f>
        <v/>
      </c>
      <c r="M55" s="64" t="str">
        <f aca="false">IF($A55="","",SUMIFS(Sales!$E$5:INDEX(Sales!$E$5:$E$3004,TxRows),Sales!$D$5:INDEX(Sales!$D$5:$D$3004,TxRows),$A55))</f>
        <v/>
      </c>
      <c r="N55" s="64" t="str">
        <f aca="false">IF($A55="","",SUMIFS(Adjustments!$C$5:$C$504,Adjustments!$B$5:$B$504,$A55))</f>
        <v/>
      </c>
      <c r="O55" s="64" t="str">
        <f aca="false">IF($A55="","",N($J55)+L55-M55+N55)</f>
        <v/>
      </c>
      <c r="P55" s="61" t="str">
        <f aca="false">IF($A55="","",IFERROR((N($J55)*N($K55)+SUMIFS(Purchases!$K$5:INDEX(Purchases!$K$5:$K$3004,TxRows),Purchases!$D$5:INDEX(Purchases!$D$5:$D$3004,TxRows),$A55))/(N($J55)+L55),N($G55)))</f>
        <v/>
      </c>
      <c r="Q55" s="61" t="str">
        <f aca="false">IF($A55="","",MAX(0,O55)*P55)</f>
        <v/>
      </c>
      <c r="R55" s="60" t="str">
        <f aca="false">IF($A55="","",IF(O55&lt;0,"NEGATIVE",IF(O55=0,"OUT OF STOCK",IF(O55&lt;=N($I55),"REORDER",IF(AND(O55&gt;0,X55&gt;DeadDays),"DEAD STOCK","OK")))))</f>
        <v/>
      </c>
      <c r="S55" s="65" t="str">
        <f aca="false">IF($A55="","",IF(N($H55)=0,0,(N($H55)-P55)/N($H55)))</f>
        <v/>
      </c>
      <c r="T55" s="64" t="str">
        <f aca="false">IF($A55="","",IF(O55&lt;=N($I55),MAX(0,2*N($I55)-O55),0))</f>
        <v/>
      </c>
      <c r="U55" s="61" t="str">
        <f aca="false">IF($A55="","",SUMIFS(Sales!$L$5:INDEX(Sales!$L$5:$L$3004,TxRows),Sales!$D$5:INDEX(Sales!$D$5:$D$3004,TxRows),$A55))</f>
        <v/>
      </c>
      <c r="V55" s="61" t="str">
        <f aca="false">IF($A55="","",SUMIFS(Sales!$S$5:INDEX(Sales!$S$5:$S$3004,TxRows),Sales!$D$5:INDEX(Sales!$D$5:$D$3004,TxRows),$A55))</f>
        <v/>
      </c>
      <c r="W55" s="66" t="str">
        <f aca="false">IF($A55="","",IFERROR(SUMPRODUCT(MAX((Sales!$D$5:INDEX(Sales!$D$5:$D$3004,TxRows)=$A55)*Sales!$A$5:INDEX(Sales!$A$5:$A$3004,TxRows))),0))</f>
        <v/>
      </c>
      <c r="X55" s="67" t="str">
        <f aca="false">IF($A55="","",IF(W55=0,AsOf-FYStart,AsOf-W55))</f>
        <v/>
      </c>
      <c r="Y55" s="67" t="str">
        <f aca="false">IF($A55="","",IF(M55=0,"",O55/(M55/MAX(1,AsOf-FYStart))))</f>
        <v/>
      </c>
      <c r="Z55" s="60" t="str">
        <f aca="false">IF($A55="","",U55+ROW()/1000000)</f>
        <v/>
      </c>
    </row>
    <row r="56" customFormat="false" ht="15" hidden="false" customHeight="false" outlineLevel="0" collapsed="false">
      <c r="A56" s="56"/>
      <c r="B56" s="56"/>
      <c r="C56" s="56"/>
      <c r="D56" s="56"/>
      <c r="E56" s="56"/>
      <c r="F56" s="63"/>
      <c r="G56" s="58"/>
      <c r="H56" s="58"/>
      <c r="I56" s="57"/>
      <c r="J56" s="57"/>
      <c r="K56" s="58"/>
      <c r="L56" s="64" t="str">
        <f aca="false">IF($A56="","",SUMIFS(Purchases!$E$5:INDEX(Purchases!$E$5:$E$3004,TxRows),Purchases!$D$5:INDEX(Purchases!$D$5:$D$3004,TxRows),$A56))</f>
        <v/>
      </c>
      <c r="M56" s="64" t="str">
        <f aca="false">IF($A56="","",SUMIFS(Sales!$E$5:INDEX(Sales!$E$5:$E$3004,TxRows),Sales!$D$5:INDEX(Sales!$D$5:$D$3004,TxRows),$A56))</f>
        <v/>
      </c>
      <c r="N56" s="64" t="str">
        <f aca="false">IF($A56="","",SUMIFS(Adjustments!$C$5:$C$504,Adjustments!$B$5:$B$504,$A56))</f>
        <v/>
      </c>
      <c r="O56" s="64" t="str">
        <f aca="false">IF($A56="","",N($J56)+L56-M56+N56)</f>
        <v/>
      </c>
      <c r="P56" s="61" t="str">
        <f aca="false">IF($A56="","",IFERROR((N($J56)*N($K56)+SUMIFS(Purchases!$K$5:INDEX(Purchases!$K$5:$K$3004,TxRows),Purchases!$D$5:INDEX(Purchases!$D$5:$D$3004,TxRows),$A56))/(N($J56)+L56),N($G56)))</f>
        <v/>
      </c>
      <c r="Q56" s="61" t="str">
        <f aca="false">IF($A56="","",MAX(0,O56)*P56)</f>
        <v/>
      </c>
      <c r="R56" s="60" t="str">
        <f aca="false">IF($A56="","",IF(O56&lt;0,"NEGATIVE",IF(O56=0,"OUT OF STOCK",IF(O56&lt;=N($I56),"REORDER",IF(AND(O56&gt;0,X56&gt;DeadDays),"DEAD STOCK","OK")))))</f>
        <v/>
      </c>
      <c r="S56" s="65" t="str">
        <f aca="false">IF($A56="","",IF(N($H56)=0,0,(N($H56)-P56)/N($H56)))</f>
        <v/>
      </c>
      <c r="T56" s="64" t="str">
        <f aca="false">IF($A56="","",IF(O56&lt;=N($I56),MAX(0,2*N($I56)-O56),0))</f>
        <v/>
      </c>
      <c r="U56" s="61" t="str">
        <f aca="false">IF($A56="","",SUMIFS(Sales!$L$5:INDEX(Sales!$L$5:$L$3004,TxRows),Sales!$D$5:INDEX(Sales!$D$5:$D$3004,TxRows),$A56))</f>
        <v/>
      </c>
      <c r="V56" s="61" t="str">
        <f aca="false">IF($A56="","",SUMIFS(Sales!$S$5:INDEX(Sales!$S$5:$S$3004,TxRows),Sales!$D$5:INDEX(Sales!$D$5:$D$3004,TxRows),$A56))</f>
        <v/>
      </c>
      <c r="W56" s="66" t="str">
        <f aca="false">IF($A56="","",IFERROR(SUMPRODUCT(MAX((Sales!$D$5:INDEX(Sales!$D$5:$D$3004,TxRows)=$A56)*Sales!$A$5:INDEX(Sales!$A$5:$A$3004,TxRows))),0))</f>
        <v/>
      </c>
      <c r="X56" s="67" t="str">
        <f aca="false">IF($A56="","",IF(W56=0,AsOf-FYStart,AsOf-W56))</f>
        <v/>
      </c>
      <c r="Y56" s="67" t="str">
        <f aca="false">IF($A56="","",IF(M56=0,"",O56/(M56/MAX(1,AsOf-FYStart))))</f>
        <v/>
      </c>
      <c r="Z56" s="60" t="str">
        <f aca="false">IF($A56="","",U56+ROW()/1000000)</f>
        <v/>
      </c>
    </row>
    <row r="57" customFormat="false" ht="15" hidden="false" customHeight="false" outlineLevel="0" collapsed="false">
      <c r="A57" s="56"/>
      <c r="B57" s="56"/>
      <c r="C57" s="56"/>
      <c r="D57" s="56"/>
      <c r="E57" s="56"/>
      <c r="F57" s="63"/>
      <c r="G57" s="58"/>
      <c r="H57" s="58"/>
      <c r="I57" s="57"/>
      <c r="J57" s="57"/>
      <c r="K57" s="58"/>
      <c r="L57" s="64" t="str">
        <f aca="false">IF($A57="","",SUMIFS(Purchases!$E$5:INDEX(Purchases!$E$5:$E$3004,TxRows),Purchases!$D$5:INDEX(Purchases!$D$5:$D$3004,TxRows),$A57))</f>
        <v/>
      </c>
      <c r="M57" s="64" t="str">
        <f aca="false">IF($A57="","",SUMIFS(Sales!$E$5:INDEX(Sales!$E$5:$E$3004,TxRows),Sales!$D$5:INDEX(Sales!$D$5:$D$3004,TxRows),$A57))</f>
        <v/>
      </c>
      <c r="N57" s="64" t="str">
        <f aca="false">IF($A57="","",SUMIFS(Adjustments!$C$5:$C$504,Adjustments!$B$5:$B$504,$A57))</f>
        <v/>
      </c>
      <c r="O57" s="64" t="str">
        <f aca="false">IF($A57="","",N($J57)+L57-M57+N57)</f>
        <v/>
      </c>
      <c r="P57" s="61" t="str">
        <f aca="false">IF($A57="","",IFERROR((N($J57)*N($K57)+SUMIFS(Purchases!$K$5:INDEX(Purchases!$K$5:$K$3004,TxRows),Purchases!$D$5:INDEX(Purchases!$D$5:$D$3004,TxRows),$A57))/(N($J57)+L57),N($G57)))</f>
        <v/>
      </c>
      <c r="Q57" s="61" t="str">
        <f aca="false">IF($A57="","",MAX(0,O57)*P57)</f>
        <v/>
      </c>
      <c r="R57" s="60" t="str">
        <f aca="false">IF($A57="","",IF(O57&lt;0,"NEGATIVE",IF(O57=0,"OUT OF STOCK",IF(O57&lt;=N($I57),"REORDER",IF(AND(O57&gt;0,X57&gt;DeadDays),"DEAD STOCK","OK")))))</f>
        <v/>
      </c>
      <c r="S57" s="65" t="str">
        <f aca="false">IF($A57="","",IF(N($H57)=0,0,(N($H57)-P57)/N($H57)))</f>
        <v/>
      </c>
      <c r="T57" s="64" t="str">
        <f aca="false">IF($A57="","",IF(O57&lt;=N($I57),MAX(0,2*N($I57)-O57),0))</f>
        <v/>
      </c>
      <c r="U57" s="61" t="str">
        <f aca="false">IF($A57="","",SUMIFS(Sales!$L$5:INDEX(Sales!$L$5:$L$3004,TxRows),Sales!$D$5:INDEX(Sales!$D$5:$D$3004,TxRows),$A57))</f>
        <v/>
      </c>
      <c r="V57" s="61" t="str">
        <f aca="false">IF($A57="","",SUMIFS(Sales!$S$5:INDEX(Sales!$S$5:$S$3004,TxRows),Sales!$D$5:INDEX(Sales!$D$5:$D$3004,TxRows),$A57))</f>
        <v/>
      </c>
      <c r="W57" s="66" t="str">
        <f aca="false">IF($A57="","",IFERROR(SUMPRODUCT(MAX((Sales!$D$5:INDEX(Sales!$D$5:$D$3004,TxRows)=$A57)*Sales!$A$5:INDEX(Sales!$A$5:$A$3004,TxRows))),0))</f>
        <v/>
      </c>
      <c r="X57" s="67" t="str">
        <f aca="false">IF($A57="","",IF(W57=0,AsOf-FYStart,AsOf-W57))</f>
        <v/>
      </c>
      <c r="Y57" s="67" t="str">
        <f aca="false">IF($A57="","",IF(M57=0,"",O57/(M57/MAX(1,AsOf-FYStart))))</f>
        <v/>
      </c>
      <c r="Z57" s="60" t="str">
        <f aca="false">IF($A57="","",U57+ROW()/1000000)</f>
        <v/>
      </c>
    </row>
    <row r="58" customFormat="false" ht="15" hidden="false" customHeight="false" outlineLevel="0" collapsed="false">
      <c r="A58" s="56"/>
      <c r="B58" s="56"/>
      <c r="C58" s="56"/>
      <c r="D58" s="56"/>
      <c r="E58" s="56"/>
      <c r="F58" s="63"/>
      <c r="G58" s="58"/>
      <c r="H58" s="58"/>
      <c r="I58" s="57"/>
      <c r="J58" s="57"/>
      <c r="K58" s="58"/>
      <c r="L58" s="64" t="str">
        <f aca="false">IF($A58="","",SUMIFS(Purchases!$E$5:INDEX(Purchases!$E$5:$E$3004,TxRows),Purchases!$D$5:INDEX(Purchases!$D$5:$D$3004,TxRows),$A58))</f>
        <v/>
      </c>
      <c r="M58" s="64" t="str">
        <f aca="false">IF($A58="","",SUMIFS(Sales!$E$5:INDEX(Sales!$E$5:$E$3004,TxRows),Sales!$D$5:INDEX(Sales!$D$5:$D$3004,TxRows),$A58))</f>
        <v/>
      </c>
      <c r="N58" s="64" t="str">
        <f aca="false">IF($A58="","",SUMIFS(Adjustments!$C$5:$C$504,Adjustments!$B$5:$B$504,$A58))</f>
        <v/>
      </c>
      <c r="O58" s="64" t="str">
        <f aca="false">IF($A58="","",N($J58)+L58-M58+N58)</f>
        <v/>
      </c>
      <c r="P58" s="61" t="str">
        <f aca="false">IF($A58="","",IFERROR((N($J58)*N($K58)+SUMIFS(Purchases!$K$5:INDEX(Purchases!$K$5:$K$3004,TxRows),Purchases!$D$5:INDEX(Purchases!$D$5:$D$3004,TxRows),$A58))/(N($J58)+L58),N($G58)))</f>
        <v/>
      </c>
      <c r="Q58" s="61" t="str">
        <f aca="false">IF($A58="","",MAX(0,O58)*P58)</f>
        <v/>
      </c>
      <c r="R58" s="60" t="str">
        <f aca="false">IF($A58="","",IF(O58&lt;0,"NEGATIVE",IF(O58=0,"OUT OF STOCK",IF(O58&lt;=N($I58),"REORDER",IF(AND(O58&gt;0,X58&gt;DeadDays),"DEAD STOCK","OK")))))</f>
        <v/>
      </c>
      <c r="S58" s="65" t="str">
        <f aca="false">IF($A58="","",IF(N($H58)=0,0,(N($H58)-P58)/N($H58)))</f>
        <v/>
      </c>
      <c r="T58" s="64" t="str">
        <f aca="false">IF($A58="","",IF(O58&lt;=N($I58),MAX(0,2*N($I58)-O58),0))</f>
        <v/>
      </c>
      <c r="U58" s="61" t="str">
        <f aca="false">IF($A58="","",SUMIFS(Sales!$L$5:INDEX(Sales!$L$5:$L$3004,TxRows),Sales!$D$5:INDEX(Sales!$D$5:$D$3004,TxRows),$A58))</f>
        <v/>
      </c>
      <c r="V58" s="61" t="str">
        <f aca="false">IF($A58="","",SUMIFS(Sales!$S$5:INDEX(Sales!$S$5:$S$3004,TxRows),Sales!$D$5:INDEX(Sales!$D$5:$D$3004,TxRows),$A58))</f>
        <v/>
      </c>
      <c r="W58" s="66" t="str">
        <f aca="false">IF($A58="","",IFERROR(SUMPRODUCT(MAX((Sales!$D$5:INDEX(Sales!$D$5:$D$3004,TxRows)=$A58)*Sales!$A$5:INDEX(Sales!$A$5:$A$3004,TxRows))),0))</f>
        <v/>
      </c>
      <c r="X58" s="67" t="str">
        <f aca="false">IF($A58="","",IF(W58=0,AsOf-FYStart,AsOf-W58))</f>
        <v/>
      </c>
      <c r="Y58" s="67" t="str">
        <f aca="false">IF($A58="","",IF(M58=0,"",O58/(M58/MAX(1,AsOf-FYStart))))</f>
        <v/>
      </c>
      <c r="Z58" s="60" t="str">
        <f aca="false">IF($A58="","",U58+ROW()/1000000)</f>
        <v/>
      </c>
    </row>
    <row r="59" customFormat="false" ht="15" hidden="false" customHeight="false" outlineLevel="0" collapsed="false">
      <c r="A59" s="56"/>
      <c r="B59" s="56"/>
      <c r="C59" s="56"/>
      <c r="D59" s="56"/>
      <c r="E59" s="56"/>
      <c r="F59" s="63"/>
      <c r="G59" s="58"/>
      <c r="H59" s="58"/>
      <c r="I59" s="57"/>
      <c r="J59" s="57"/>
      <c r="K59" s="58"/>
      <c r="L59" s="64" t="str">
        <f aca="false">IF($A59="","",SUMIFS(Purchases!$E$5:INDEX(Purchases!$E$5:$E$3004,TxRows),Purchases!$D$5:INDEX(Purchases!$D$5:$D$3004,TxRows),$A59))</f>
        <v/>
      </c>
      <c r="M59" s="64" t="str">
        <f aca="false">IF($A59="","",SUMIFS(Sales!$E$5:INDEX(Sales!$E$5:$E$3004,TxRows),Sales!$D$5:INDEX(Sales!$D$5:$D$3004,TxRows),$A59))</f>
        <v/>
      </c>
      <c r="N59" s="64" t="str">
        <f aca="false">IF($A59="","",SUMIFS(Adjustments!$C$5:$C$504,Adjustments!$B$5:$B$504,$A59))</f>
        <v/>
      </c>
      <c r="O59" s="64" t="str">
        <f aca="false">IF($A59="","",N($J59)+L59-M59+N59)</f>
        <v/>
      </c>
      <c r="P59" s="61" t="str">
        <f aca="false">IF($A59="","",IFERROR((N($J59)*N($K59)+SUMIFS(Purchases!$K$5:INDEX(Purchases!$K$5:$K$3004,TxRows),Purchases!$D$5:INDEX(Purchases!$D$5:$D$3004,TxRows),$A59))/(N($J59)+L59),N($G59)))</f>
        <v/>
      </c>
      <c r="Q59" s="61" t="str">
        <f aca="false">IF($A59="","",MAX(0,O59)*P59)</f>
        <v/>
      </c>
      <c r="R59" s="60" t="str">
        <f aca="false">IF($A59="","",IF(O59&lt;0,"NEGATIVE",IF(O59=0,"OUT OF STOCK",IF(O59&lt;=N($I59),"REORDER",IF(AND(O59&gt;0,X59&gt;DeadDays),"DEAD STOCK","OK")))))</f>
        <v/>
      </c>
      <c r="S59" s="65" t="str">
        <f aca="false">IF($A59="","",IF(N($H59)=0,0,(N($H59)-P59)/N($H59)))</f>
        <v/>
      </c>
      <c r="T59" s="64" t="str">
        <f aca="false">IF($A59="","",IF(O59&lt;=N($I59),MAX(0,2*N($I59)-O59),0))</f>
        <v/>
      </c>
      <c r="U59" s="61" t="str">
        <f aca="false">IF($A59="","",SUMIFS(Sales!$L$5:INDEX(Sales!$L$5:$L$3004,TxRows),Sales!$D$5:INDEX(Sales!$D$5:$D$3004,TxRows),$A59))</f>
        <v/>
      </c>
      <c r="V59" s="61" t="str">
        <f aca="false">IF($A59="","",SUMIFS(Sales!$S$5:INDEX(Sales!$S$5:$S$3004,TxRows),Sales!$D$5:INDEX(Sales!$D$5:$D$3004,TxRows),$A59))</f>
        <v/>
      </c>
      <c r="W59" s="66" t="str">
        <f aca="false">IF($A59="","",IFERROR(SUMPRODUCT(MAX((Sales!$D$5:INDEX(Sales!$D$5:$D$3004,TxRows)=$A59)*Sales!$A$5:INDEX(Sales!$A$5:$A$3004,TxRows))),0))</f>
        <v/>
      </c>
      <c r="X59" s="67" t="str">
        <f aca="false">IF($A59="","",IF(W59=0,AsOf-FYStart,AsOf-W59))</f>
        <v/>
      </c>
      <c r="Y59" s="67" t="str">
        <f aca="false">IF($A59="","",IF(M59=0,"",O59/(M59/MAX(1,AsOf-FYStart))))</f>
        <v/>
      </c>
      <c r="Z59" s="60" t="str">
        <f aca="false">IF($A59="","",U59+ROW()/1000000)</f>
        <v/>
      </c>
    </row>
    <row r="60" customFormat="false" ht="15" hidden="false" customHeight="false" outlineLevel="0" collapsed="false">
      <c r="A60" s="56"/>
      <c r="B60" s="56"/>
      <c r="C60" s="56"/>
      <c r="D60" s="56"/>
      <c r="E60" s="56"/>
      <c r="F60" s="63"/>
      <c r="G60" s="58"/>
      <c r="H60" s="58"/>
      <c r="I60" s="57"/>
      <c r="J60" s="57"/>
      <c r="K60" s="58"/>
      <c r="L60" s="64" t="str">
        <f aca="false">IF($A60="","",SUMIFS(Purchases!$E$5:INDEX(Purchases!$E$5:$E$3004,TxRows),Purchases!$D$5:INDEX(Purchases!$D$5:$D$3004,TxRows),$A60))</f>
        <v/>
      </c>
      <c r="M60" s="64" t="str">
        <f aca="false">IF($A60="","",SUMIFS(Sales!$E$5:INDEX(Sales!$E$5:$E$3004,TxRows),Sales!$D$5:INDEX(Sales!$D$5:$D$3004,TxRows),$A60))</f>
        <v/>
      </c>
      <c r="N60" s="64" t="str">
        <f aca="false">IF($A60="","",SUMIFS(Adjustments!$C$5:$C$504,Adjustments!$B$5:$B$504,$A60))</f>
        <v/>
      </c>
      <c r="O60" s="64" t="str">
        <f aca="false">IF($A60="","",N($J60)+L60-M60+N60)</f>
        <v/>
      </c>
      <c r="P60" s="61" t="str">
        <f aca="false">IF($A60="","",IFERROR((N($J60)*N($K60)+SUMIFS(Purchases!$K$5:INDEX(Purchases!$K$5:$K$3004,TxRows),Purchases!$D$5:INDEX(Purchases!$D$5:$D$3004,TxRows),$A60))/(N($J60)+L60),N($G60)))</f>
        <v/>
      </c>
      <c r="Q60" s="61" t="str">
        <f aca="false">IF($A60="","",MAX(0,O60)*P60)</f>
        <v/>
      </c>
      <c r="R60" s="60" t="str">
        <f aca="false">IF($A60="","",IF(O60&lt;0,"NEGATIVE",IF(O60=0,"OUT OF STOCK",IF(O60&lt;=N($I60),"REORDER",IF(AND(O60&gt;0,X60&gt;DeadDays),"DEAD STOCK","OK")))))</f>
        <v/>
      </c>
      <c r="S60" s="65" t="str">
        <f aca="false">IF($A60="","",IF(N($H60)=0,0,(N($H60)-P60)/N($H60)))</f>
        <v/>
      </c>
      <c r="T60" s="64" t="str">
        <f aca="false">IF($A60="","",IF(O60&lt;=N($I60),MAX(0,2*N($I60)-O60),0))</f>
        <v/>
      </c>
      <c r="U60" s="61" t="str">
        <f aca="false">IF($A60="","",SUMIFS(Sales!$L$5:INDEX(Sales!$L$5:$L$3004,TxRows),Sales!$D$5:INDEX(Sales!$D$5:$D$3004,TxRows),$A60))</f>
        <v/>
      </c>
      <c r="V60" s="61" t="str">
        <f aca="false">IF($A60="","",SUMIFS(Sales!$S$5:INDEX(Sales!$S$5:$S$3004,TxRows),Sales!$D$5:INDEX(Sales!$D$5:$D$3004,TxRows),$A60))</f>
        <v/>
      </c>
      <c r="W60" s="66" t="str">
        <f aca="false">IF($A60="","",IFERROR(SUMPRODUCT(MAX((Sales!$D$5:INDEX(Sales!$D$5:$D$3004,TxRows)=$A60)*Sales!$A$5:INDEX(Sales!$A$5:$A$3004,TxRows))),0))</f>
        <v/>
      </c>
      <c r="X60" s="67" t="str">
        <f aca="false">IF($A60="","",IF(W60=0,AsOf-FYStart,AsOf-W60))</f>
        <v/>
      </c>
      <c r="Y60" s="67" t="str">
        <f aca="false">IF($A60="","",IF(M60=0,"",O60/(M60/MAX(1,AsOf-FYStart))))</f>
        <v/>
      </c>
      <c r="Z60" s="60" t="str">
        <f aca="false">IF($A60="","",U60+ROW()/1000000)</f>
        <v/>
      </c>
    </row>
    <row r="61" customFormat="false" ht="15" hidden="false" customHeight="false" outlineLevel="0" collapsed="false">
      <c r="A61" s="56"/>
      <c r="B61" s="56"/>
      <c r="C61" s="56"/>
      <c r="D61" s="56"/>
      <c r="E61" s="56"/>
      <c r="F61" s="63"/>
      <c r="G61" s="58"/>
      <c r="H61" s="58"/>
      <c r="I61" s="57"/>
      <c r="J61" s="57"/>
      <c r="K61" s="58"/>
      <c r="L61" s="64" t="str">
        <f aca="false">IF($A61="","",SUMIFS(Purchases!$E$5:INDEX(Purchases!$E$5:$E$3004,TxRows),Purchases!$D$5:INDEX(Purchases!$D$5:$D$3004,TxRows),$A61))</f>
        <v/>
      </c>
      <c r="M61" s="64" t="str">
        <f aca="false">IF($A61="","",SUMIFS(Sales!$E$5:INDEX(Sales!$E$5:$E$3004,TxRows),Sales!$D$5:INDEX(Sales!$D$5:$D$3004,TxRows),$A61))</f>
        <v/>
      </c>
      <c r="N61" s="64" t="str">
        <f aca="false">IF($A61="","",SUMIFS(Adjustments!$C$5:$C$504,Adjustments!$B$5:$B$504,$A61))</f>
        <v/>
      </c>
      <c r="O61" s="64" t="str">
        <f aca="false">IF($A61="","",N($J61)+L61-M61+N61)</f>
        <v/>
      </c>
      <c r="P61" s="61" t="str">
        <f aca="false">IF($A61="","",IFERROR((N($J61)*N($K61)+SUMIFS(Purchases!$K$5:INDEX(Purchases!$K$5:$K$3004,TxRows),Purchases!$D$5:INDEX(Purchases!$D$5:$D$3004,TxRows),$A61))/(N($J61)+L61),N($G61)))</f>
        <v/>
      </c>
      <c r="Q61" s="61" t="str">
        <f aca="false">IF($A61="","",MAX(0,O61)*P61)</f>
        <v/>
      </c>
      <c r="R61" s="60" t="str">
        <f aca="false">IF($A61="","",IF(O61&lt;0,"NEGATIVE",IF(O61=0,"OUT OF STOCK",IF(O61&lt;=N($I61),"REORDER",IF(AND(O61&gt;0,X61&gt;DeadDays),"DEAD STOCK","OK")))))</f>
        <v/>
      </c>
      <c r="S61" s="65" t="str">
        <f aca="false">IF($A61="","",IF(N($H61)=0,0,(N($H61)-P61)/N($H61)))</f>
        <v/>
      </c>
      <c r="T61" s="64" t="str">
        <f aca="false">IF($A61="","",IF(O61&lt;=N($I61),MAX(0,2*N($I61)-O61),0))</f>
        <v/>
      </c>
      <c r="U61" s="61" t="str">
        <f aca="false">IF($A61="","",SUMIFS(Sales!$L$5:INDEX(Sales!$L$5:$L$3004,TxRows),Sales!$D$5:INDEX(Sales!$D$5:$D$3004,TxRows),$A61))</f>
        <v/>
      </c>
      <c r="V61" s="61" t="str">
        <f aca="false">IF($A61="","",SUMIFS(Sales!$S$5:INDEX(Sales!$S$5:$S$3004,TxRows),Sales!$D$5:INDEX(Sales!$D$5:$D$3004,TxRows),$A61))</f>
        <v/>
      </c>
      <c r="W61" s="66" t="str">
        <f aca="false">IF($A61="","",IFERROR(SUMPRODUCT(MAX((Sales!$D$5:INDEX(Sales!$D$5:$D$3004,TxRows)=$A61)*Sales!$A$5:INDEX(Sales!$A$5:$A$3004,TxRows))),0))</f>
        <v/>
      </c>
      <c r="X61" s="67" t="str">
        <f aca="false">IF($A61="","",IF(W61=0,AsOf-FYStart,AsOf-W61))</f>
        <v/>
      </c>
      <c r="Y61" s="67" t="str">
        <f aca="false">IF($A61="","",IF(M61=0,"",O61/(M61/MAX(1,AsOf-FYStart))))</f>
        <v/>
      </c>
      <c r="Z61" s="60" t="str">
        <f aca="false">IF($A61="","",U61+ROW()/1000000)</f>
        <v/>
      </c>
    </row>
    <row r="62" customFormat="false" ht="15" hidden="false" customHeight="false" outlineLevel="0" collapsed="false">
      <c r="A62" s="56"/>
      <c r="B62" s="56"/>
      <c r="C62" s="56"/>
      <c r="D62" s="56"/>
      <c r="E62" s="56"/>
      <c r="F62" s="63"/>
      <c r="G62" s="58"/>
      <c r="H62" s="58"/>
      <c r="I62" s="57"/>
      <c r="J62" s="57"/>
      <c r="K62" s="58"/>
      <c r="L62" s="64" t="str">
        <f aca="false">IF($A62="","",SUMIFS(Purchases!$E$5:INDEX(Purchases!$E$5:$E$3004,TxRows),Purchases!$D$5:INDEX(Purchases!$D$5:$D$3004,TxRows),$A62))</f>
        <v/>
      </c>
      <c r="M62" s="64" t="str">
        <f aca="false">IF($A62="","",SUMIFS(Sales!$E$5:INDEX(Sales!$E$5:$E$3004,TxRows),Sales!$D$5:INDEX(Sales!$D$5:$D$3004,TxRows),$A62))</f>
        <v/>
      </c>
      <c r="N62" s="64" t="str">
        <f aca="false">IF($A62="","",SUMIFS(Adjustments!$C$5:$C$504,Adjustments!$B$5:$B$504,$A62))</f>
        <v/>
      </c>
      <c r="O62" s="64" t="str">
        <f aca="false">IF($A62="","",N($J62)+L62-M62+N62)</f>
        <v/>
      </c>
      <c r="P62" s="61" t="str">
        <f aca="false">IF($A62="","",IFERROR((N($J62)*N($K62)+SUMIFS(Purchases!$K$5:INDEX(Purchases!$K$5:$K$3004,TxRows),Purchases!$D$5:INDEX(Purchases!$D$5:$D$3004,TxRows),$A62))/(N($J62)+L62),N($G62)))</f>
        <v/>
      </c>
      <c r="Q62" s="61" t="str">
        <f aca="false">IF($A62="","",MAX(0,O62)*P62)</f>
        <v/>
      </c>
      <c r="R62" s="60" t="str">
        <f aca="false">IF($A62="","",IF(O62&lt;0,"NEGATIVE",IF(O62=0,"OUT OF STOCK",IF(O62&lt;=N($I62),"REORDER",IF(AND(O62&gt;0,X62&gt;DeadDays),"DEAD STOCK","OK")))))</f>
        <v/>
      </c>
      <c r="S62" s="65" t="str">
        <f aca="false">IF($A62="","",IF(N($H62)=0,0,(N($H62)-P62)/N($H62)))</f>
        <v/>
      </c>
      <c r="T62" s="64" t="str">
        <f aca="false">IF($A62="","",IF(O62&lt;=N($I62),MAX(0,2*N($I62)-O62),0))</f>
        <v/>
      </c>
      <c r="U62" s="61" t="str">
        <f aca="false">IF($A62="","",SUMIFS(Sales!$L$5:INDEX(Sales!$L$5:$L$3004,TxRows),Sales!$D$5:INDEX(Sales!$D$5:$D$3004,TxRows),$A62))</f>
        <v/>
      </c>
      <c r="V62" s="61" t="str">
        <f aca="false">IF($A62="","",SUMIFS(Sales!$S$5:INDEX(Sales!$S$5:$S$3004,TxRows),Sales!$D$5:INDEX(Sales!$D$5:$D$3004,TxRows),$A62))</f>
        <v/>
      </c>
      <c r="W62" s="66" t="str">
        <f aca="false">IF($A62="","",IFERROR(SUMPRODUCT(MAX((Sales!$D$5:INDEX(Sales!$D$5:$D$3004,TxRows)=$A62)*Sales!$A$5:INDEX(Sales!$A$5:$A$3004,TxRows))),0))</f>
        <v/>
      </c>
      <c r="X62" s="67" t="str">
        <f aca="false">IF($A62="","",IF(W62=0,AsOf-FYStart,AsOf-W62))</f>
        <v/>
      </c>
      <c r="Y62" s="67" t="str">
        <f aca="false">IF($A62="","",IF(M62=0,"",O62/(M62/MAX(1,AsOf-FYStart))))</f>
        <v/>
      </c>
      <c r="Z62" s="60" t="str">
        <f aca="false">IF($A62="","",U62+ROW()/1000000)</f>
        <v/>
      </c>
    </row>
    <row r="63" customFormat="false" ht="15" hidden="false" customHeight="false" outlineLevel="0" collapsed="false">
      <c r="A63" s="56"/>
      <c r="B63" s="56"/>
      <c r="C63" s="56"/>
      <c r="D63" s="56"/>
      <c r="E63" s="56"/>
      <c r="F63" s="63"/>
      <c r="G63" s="58"/>
      <c r="H63" s="58"/>
      <c r="I63" s="57"/>
      <c r="J63" s="57"/>
      <c r="K63" s="58"/>
      <c r="L63" s="64" t="str">
        <f aca="false">IF($A63="","",SUMIFS(Purchases!$E$5:INDEX(Purchases!$E$5:$E$3004,TxRows),Purchases!$D$5:INDEX(Purchases!$D$5:$D$3004,TxRows),$A63))</f>
        <v/>
      </c>
      <c r="M63" s="64" t="str">
        <f aca="false">IF($A63="","",SUMIFS(Sales!$E$5:INDEX(Sales!$E$5:$E$3004,TxRows),Sales!$D$5:INDEX(Sales!$D$5:$D$3004,TxRows),$A63))</f>
        <v/>
      </c>
      <c r="N63" s="64" t="str">
        <f aca="false">IF($A63="","",SUMIFS(Adjustments!$C$5:$C$504,Adjustments!$B$5:$B$504,$A63))</f>
        <v/>
      </c>
      <c r="O63" s="64" t="str">
        <f aca="false">IF($A63="","",N($J63)+L63-M63+N63)</f>
        <v/>
      </c>
      <c r="P63" s="61" t="str">
        <f aca="false">IF($A63="","",IFERROR((N($J63)*N($K63)+SUMIFS(Purchases!$K$5:INDEX(Purchases!$K$5:$K$3004,TxRows),Purchases!$D$5:INDEX(Purchases!$D$5:$D$3004,TxRows),$A63))/(N($J63)+L63),N($G63)))</f>
        <v/>
      </c>
      <c r="Q63" s="61" t="str">
        <f aca="false">IF($A63="","",MAX(0,O63)*P63)</f>
        <v/>
      </c>
      <c r="R63" s="60" t="str">
        <f aca="false">IF($A63="","",IF(O63&lt;0,"NEGATIVE",IF(O63=0,"OUT OF STOCK",IF(O63&lt;=N($I63),"REORDER",IF(AND(O63&gt;0,X63&gt;DeadDays),"DEAD STOCK","OK")))))</f>
        <v/>
      </c>
      <c r="S63" s="65" t="str">
        <f aca="false">IF($A63="","",IF(N($H63)=0,0,(N($H63)-P63)/N($H63)))</f>
        <v/>
      </c>
      <c r="T63" s="64" t="str">
        <f aca="false">IF($A63="","",IF(O63&lt;=N($I63),MAX(0,2*N($I63)-O63),0))</f>
        <v/>
      </c>
      <c r="U63" s="61" t="str">
        <f aca="false">IF($A63="","",SUMIFS(Sales!$L$5:INDEX(Sales!$L$5:$L$3004,TxRows),Sales!$D$5:INDEX(Sales!$D$5:$D$3004,TxRows),$A63))</f>
        <v/>
      </c>
      <c r="V63" s="61" t="str">
        <f aca="false">IF($A63="","",SUMIFS(Sales!$S$5:INDEX(Sales!$S$5:$S$3004,TxRows),Sales!$D$5:INDEX(Sales!$D$5:$D$3004,TxRows),$A63))</f>
        <v/>
      </c>
      <c r="W63" s="66" t="str">
        <f aca="false">IF($A63="","",IFERROR(SUMPRODUCT(MAX((Sales!$D$5:INDEX(Sales!$D$5:$D$3004,TxRows)=$A63)*Sales!$A$5:INDEX(Sales!$A$5:$A$3004,TxRows))),0))</f>
        <v/>
      </c>
      <c r="X63" s="67" t="str">
        <f aca="false">IF($A63="","",IF(W63=0,AsOf-FYStart,AsOf-W63))</f>
        <v/>
      </c>
      <c r="Y63" s="67" t="str">
        <f aca="false">IF($A63="","",IF(M63=0,"",O63/(M63/MAX(1,AsOf-FYStart))))</f>
        <v/>
      </c>
      <c r="Z63" s="60" t="str">
        <f aca="false">IF($A63="","",U63+ROW()/1000000)</f>
        <v/>
      </c>
    </row>
    <row r="64" customFormat="false" ht="15" hidden="false" customHeight="false" outlineLevel="0" collapsed="false">
      <c r="A64" s="56"/>
      <c r="B64" s="56"/>
      <c r="C64" s="56"/>
      <c r="D64" s="56"/>
      <c r="E64" s="56"/>
      <c r="F64" s="63"/>
      <c r="G64" s="58"/>
      <c r="H64" s="58"/>
      <c r="I64" s="57"/>
      <c r="J64" s="57"/>
      <c r="K64" s="58"/>
      <c r="L64" s="64" t="str">
        <f aca="false">IF($A64="","",SUMIFS(Purchases!$E$5:INDEX(Purchases!$E$5:$E$3004,TxRows),Purchases!$D$5:INDEX(Purchases!$D$5:$D$3004,TxRows),$A64))</f>
        <v/>
      </c>
      <c r="M64" s="64" t="str">
        <f aca="false">IF($A64="","",SUMIFS(Sales!$E$5:INDEX(Sales!$E$5:$E$3004,TxRows),Sales!$D$5:INDEX(Sales!$D$5:$D$3004,TxRows),$A64))</f>
        <v/>
      </c>
      <c r="N64" s="64" t="str">
        <f aca="false">IF($A64="","",SUMIFS(Adjustments!$C$5:$C$504,Adjustments!$B$5:$B$504,$A64))</f>
        <v/>
      </c>
      <c r="O64" s="64" t="str">
        <f aca="false">IF($A64="","",N($J64)+L64-M64+N64)</f>
        <v/>
      </c>
      <c r="P64" s="61" t="str">
        <f aca="false">IF($A64="","",IFERROR((N($J64)*N($K64)+SUMIFS(Purchases!$K$5:INDEX(Purchases!$K$5:$K$3004,TxRows),Purchases!$D$5:INDEX(Purchases!$D$5:$D$3004,TxRows),$A64))/(N($J64)+L64),N($G64)))</f>
        <v/>
      </c>
      <c r="Q64" s="61" t="str">
        <f aca="false">IF($A64="","",MAX(0,O64)*P64)</f>
        <v/>
      </c>
      <c r="R64" s="60" t="str">
        <f aca="false">IF($A64="","",IF(O64&lt;0,"NEGATIVE",IF(O64=0,"OUT OF STOCK",IF(O64&lt;=N($I64),"REORDER",IF(AND(O64&gt;0,X64&gt;DeadDays),"DEAD STOCK","OK")))))</f>
        <v/>
      </c>
      <c r="S64" s="65" t="str">
        <f aca="false">IF($A64="","",IF(N($H64)=0,0,(N($H64)-P64)/N($H64)))</f>
        <v/>
      </c>
      <c r="T64" s="64" t="str">
        <f aca="false">IF($A64="","",IF(O64&lt;=N($I64),MAX(0,2*N($I64)-O64),0))</f>
        <v/>
      </c>
      <c r="U64" s="61" t="str">
        <f aca="false">IF($A64="","",SUMIFS(Sales!$L$5:INDEX(Sales!$L$5:$L$3004,TxRows),Sales!$D$5:INDEX(Sales!$D$5:$D$3004,TxRows),$A64))</f>
        <v/>
      </c>
      <c r="V64" s="61" t="str">
        <f aca="false">IF($A64="","",SUMIFS(Sales!$S$5:INDEX(Sales!$S$5:$S$3004,TxRows),Sales!$D$5:INDEX(Sales!$D$5:$D$3004,TxRows),$A64))</f>
        <v/>
      </c>
      <c r="W64" s="66" t="str">
        <f aca="false">IF($A64="","",IFERROR(SUMPRODUCT(MAX((Sales!$D$5:INDEX(Sales!$D$5:$D$3004,TxRows)=$A64)*Sales!$A$5:INDEX(Sales!$A$5:$A$3004,TxRows))),0))</f>
        <v/>
      </c>
      <c r="X64" s="67" t="str">
        <f aca="false">IF($A64="","",IF(W64=0,AsOf-FYStart,AsOf-W64))</f>
        <v/>
      </c>
      <c r="Y64" s="67" t="str">
        <f aca="false">IF($A64="","",IF(M64=0,"",O64/(M64/MAX(1,AsOf-FYStart))))</f>
        <v/>
      </c>
      <c r="Z64" s="60" t="str">
        <f aca="false">IF($A64="","",U64+ROW()/1000000)</f>
        <v/>
      </c>
    </row>
    <row r="65" customFormat="false" ht="15" hidden="false" customHeight="false" outlineLevel="0" collapsed="false">
      <c r="A65" s="56"/>
      <c r="B65" s="56"/>
      <c r="C65" s="56"/>
      <c r="D65" s="56"/>
      <c r="E65" s="56"/>
      <c r="F65" s="63"/>
      <c r="G65" s="58"/>
      <c r="H65" s="58"/>
      <c r="I65" s="57"/>
      <c r="J65" s="57"/>
      <c r="K65" s="58"/>
      <c r="L65" s="64" t="str">
        <f aca="false">IF($A65="","",SUMIFS(Purchases!$E$5:INDEX(Purchases!$E$5:$E$3004,TxRows),Purchases!$D$5:INDEX(Purchases!$D$5:$D$3004,TxRows),$A65))</f>
        <v/>
      </c>
      <c r="M65" s="64" t="str">
        <f aca="false">IF($A65="","",SUMIFS(Sales!$E$5:INDEX(Sales!$E$5:$E$3004,TxRows),Sales!$D$5:INDEX(Sales!$D$5:$D$3004,TxRows),$A65))</f>
        <v/>
      </c>
      <c r="N65" s="64" t="str">
        <f aca="false">IF($A65="","",SUMIFS(Adjustments!$C$5:$C$504,Adjustments!$B$5:$B$504,$A65))</f>
        <v/>
      </c>
      <c r="O65" s="64" t="str">
        <f aca="false">IF($A65="","",N($J65)+L65-M65+N65)</f>
        <v/>
      </c>
      <c r="P65" s="61" t="str">
        <f aca="false">IF($A65="","",IFERROR((N($J65)*N($K65)+SUMIFS(Purchases!$K$5:INDEX(Purchases!$K$5:$K$3004,TxRows),Purchases!$D$5:INDEX(Purchases!$D$5:$D$3004,TxRows),$A65))/(N($J65)+L65),N($G65)))</f>
        <v/>
      </c>
      <c r="Q65" s="61" t="str">
        <f aca="false">IF($A65="","",MAX(0,O65)*P65)</f>
        <v/>
      </c>
      <c r="R65" s="60" t="str">
        <f aca="false">IF($A65="","",IF(O65&lt;0,"NEGATIVE",IF(O65=0,"OUT OF STOCK",IF(O65&lt;=N($I65),"REORDER",IF(AND(O65&gt;0,X65&gt;DeadDays),"DEAD STOCK","OK")))))</f>
        <v/>
      </c>
      <c r="S65" s="65" t="str">
        <f aca="false">IF($A65="","",IF(N($H65)=0,0,(N($H65)-P65)/N($H65)))</f>
        <v/>
      </c>
      <c r="T65" s="64" t="str">
        <f aca="false">IF($A65="","",IF(O65&lt;=N($I65),MAX(0,2*N($I65)-O65),0))</f>
        <v/>
      </c>
      <c r="U65" s="61" t="str">
        <f aca="false">IF($A65="","",SUMIFS(Sales!$L$5:INDEX(Sales!$L$5:$L$3004,TxRows),Sales!$D$5:INDEX(Sales!$D$5:$D$3004,TxRows),$A65))</f>
        <v/>
      </c>
      <c r="V65" s="61" t="str">
        <f aca="false">IF($A65="","",SUMIFS(Sales!$S$5:INDEX(Sales!$S$5:$S$3004,TxRows),Sales!$D$5:INDEX(Sales!$D$5:$D$3004,TxRows),$A65))</f>
        <v/>
      </c>
      <c r="W65" s="66" t="str">
        <f aca="false">IF($A65="","",IFERROR(SUMPRODUCT(MAX((Sales!$D$5:INDEX(Sales!$D$5:$D$3004,TxRows)=$A65)*Sales!$A$5:INDEX(Sales!$A$5:$A$3004,TxRows))),0))</f>
        <v/>
      </c>
      <c r="X65" s="67" t="str">
        <f aca="false">IF($A65="","",IF(W65=0,AsOf-FYStart,AsOf-W65))</f>
        <v/>
      </c>
      <c r="Y65" s="67" t="str">
        <f aca="false">IF($A65="","",IF(M65=0,"",O65/(M65/MAX(1,AsOf-FYStart))))</f>
        <v/>
      </c>
      <c r="Z65" s="60" t="str">
        <f aca="false">IF($A65="","",U65+ROW()/1000000)</f>
        <v/>
      </c>
    </row>
    <row r="66" customFormat="false" ht="15" hidden="false" customHeight="false" outlineLevel="0" collapsed="false">
      <c r="A66" s="56"/>
      <c r="B66" s="56"/>
      <c r="C66" s="56"/>
      <c r="D66" s="56"/>
      <c r="E66" s="56"/>
      <c r="F66" s="63"/>
      <c r="G66" s="58"/>
      <c r="H66" s="58"/>
      <c r="I66" s="57"/>
      <c r="J66" s="57"/>
      <c r="K66" s="58"/>
      <c r="L66" s="64" t="str">
        <f aca="false">IF($A66="","",SUMIFS(Purchases!$E$5:INDEX(Purchases!$E$5:$E$3004,TxRows),Purchases!$D$5:INDEX(Purchases!$D$5:$D$3004,TxRows),$A66))</f>
        <v/>
      </c>
      <c r="M66" s="64" t="str">
        <f aca="false">IF($A66="","",SUMIFS(Sales!$E$5:INDEX(Sales!$E$5:$E$3004,TxRows),Sales!$D$5:INDEX(Sales!$D$5:$D$3004,TxRows),$A66))</f>
        <v/>
      </c>
      <c r="N66" s="64" t="str">
        <f aca="false">IF($A66="","",SUMIFS(Adjustments!$C$5:$C$504,Adjustments!$B$5:$B$504,$A66))</f>
        <v/>
      </c>
      <c r="O66" s="64" t="str">
        <f aca="false">IF($A66="","",N($J66)+L66-M66+N66)</f>
        <v/>
      </c>
      <c r="P66" s="61" t="str">
        <f aca="false">IF($A66="","",IFERROR((N($J66)*N($K66)+SUMIFS(Purchases!$K$5:INDEX(Purchases!$K$5:$K$3004,TxRows),Purchases!$D$5:INDEX(Purchases!$D$5:$D$3004,TxRows),$A66))/(N($J66)+L66),N($G66)))</f>
        <v/>
      </c>
      <c r="Q66" s="61" t="str">
        <f aca="false">IF($A66="","",MAX(0,O66)*P66)</f>
        <v/>
      </c>
      <c r="R66" s="60" t="str">
        <f aca="false">IF($A66="","",IF(O66&lt;0,"NEGATIVE",IF(O66=0,"OUT OF STOCK",IF(O66&lt;=N($I66),"REORDER",IF(AND(O66&gt;0,X66&gt;DeadDays),"DEAD STOCK","OK")))))</f>
        <v/>
      </c>
      <c r="S66" s="65" t="str">
        <f aca="false">IF($A66="","",IF(N($H66)=0,0,(N($H66)-P66)/N($H66)))</f>
        <v/>
      </c>
      <c r="T66" s="64" t="str">
        <f aca="false">IF($A66="","",IF(O66&lt;=N($I66),MAX(0,2*N($I66)-O66),0))</f>
        <v/>
      </c>
      <c r="U66" s="61" t="str">
        <f aca="false">IF($A66="","",SUMIFS(Sales!$L$5:INDEX(Sales!$L$5:$L$3004,TxRows),Sales!$D$5:INDEX(Sales!$D$5:$D$3004,TxRows),$A66))</f>
        <v/>
      </c>
      <c r="V66" s="61" t="str">
        <f aca="false">IF($A66="","",SUMIFS(Sales!$S$5:INDEX(Sales!$S$5:$S$3004,TxRows),Sales!$D$5:INDEX(Sales!$D$5:$D$3004,TxRows),$A66))</f>
        <v/>
      </c>
      <c r="W66" s="66" t="str">
        <f aca="false">IF($A66="","",IFERROR(SUMPRODUCT(MAX((Sales!$D$5:INDEX(Sales!$D$5:$D$3004,TxRows)=$A66)*Sales!$A$5:INDEX(Sales!$A$5:$A$3004,TxRows))),0))</f>
        <v/>
      </c>
      <c r="X66" s="67" t="str">
        <f aca="false">IF($A66="","",IF(W66=0,AsOf-FYStart,AsOf-W66))</f>
        <v/>
      </c>
      <c r="Y66" s="67" t="str">
        <f aca="false">IF($A66="","",IF(M66=0,"",O66/(M66/MAX(1,AsOf-FYStart))))</f>
        <v/>
      </c>
      <c r="Z66" s="60" t="str">
        <f aca="false">IF($A66="","",U66+ROW()/1000000)</f>
        <v/>
      </c>
    </row>
    <row r="67" customFormat="false" ht="15" hidden="false" customHeight="false" outlineLevel="0" collapsed="false">
      <c r="A67" s="56"/>
      <c r="B67" s="56"/>
      <c r="C67" s="56"/>
      <c r="D67" s="56"/>
      <c r="E67" s="56"/>
      <c r="F67" s="63"/>
      <c r="G67" s="58"/>
      <c r="H67" s="58"/>
      <c r="I67" s="57"/>
      <c r="J67" s="57"/>
      <c r="K67" s="58"/>
      <c r="L67" s="64" t="str">
        <f aca="false">IF($A67="","",SUMIFS(Purchases!$E$5:INDEX(Purchases!$E$5:$E$3004,TxRows),Purchases!$D$5:INDEX(Purchases!$D$5:$D$3004,TxRows),$A67))</f>
        <v/>
      </c>
      <c r="M67" s="64" t="str">
        <f aca="false">IF($A67="","",SUMIFS(Sales!$E$5:INDEX(Sales!$E$5:$E$3004,TxRows),Sales!$D$5:INDEX(Sales!$D$5:$D$3004,TxRows),$A67))</f>
        <v/>
      </c>
      <c r="N67" s="64" t="str">
        <f aca="false">IF($A67="","",SUMIFS(Adjustments!$C$5:$C$504,Adjustments!$B$5:$B$504,$A67))</f>
        <v/>
      </c>
      <c r="O67" s="64" t="str">
        <f aca="false">IF($A67="","",N($J67)+L67-M67+N67)</f>
        <v/>
      </c>
      <c r="P67" s="61" t="str">
        <f aca="false">IF($A67="","",IFERROR((N($J67)*N($K67)+SUMIFS(Purchases!$K$5:INDEX(Purchases!$K$5:$K$3004,TxRows),Purchases!$D$5:INDEX(Purchases!$D$5:$D$3004,TxRows),$A67))/(N($J67)+L67),N($G67)))</f>
        <v/>
      </c>
      <c r="Q67" s="61" t="str">
        <f aca="false">IF($A67="","",MAX(0,O67)*P67)</f>
        <v/>
      </c>
      <c r="R67" s="60" t="str">
        <f aca="false">IF($A67="","",IF(O67&lt;0,"NEGATIVE",IF(O67=0,"OUT OF STOCK",IF(O67&lt;=N($I67),"REORDER",IF(AND(O67&gt;0,X67&gt;DeadDays),"DEAD STOCK","OK")))))</f>
        <v/>
      </c>
      <c r="S67" s="65" t="str">
        <f aca="false">IF($A67="","",IF(N($H67)=0,0,(N($H67)-P67)/N($H67)))</f>
        <v/>
      </c>
      <c r="T67" s="64" t="str">
        <f aca="false">IF($A67="","",IF(O67&lt;=N($I67),MAX(0,2*N($I67)-O67),0))</f>
        <v/>
      </c>
      <c r="U67" s="61" t="str">
        <f aca="false">IF($A67="","",SUMIFS(Sales!$L$5:INDEX(Sales!$L$5:$L$3004,TxRows),Sales!$D$5:INDEX(Sales!$D$5:$D$3004,TxRows),$A67))</f>
        <v/>
      </c>
      <c r="V67" s="61" t="str">
        <f aca="false">IF($A67="","",SUMIFS(Sales!$S$5:INDEX(Sales!$S$5:$S$3004,TxRows),Sales!$D$5:INDEX(Sales!$D$5:$D$3004,TxRows),$A67))</f>
        <v/>
      </c>
      <c r="W67" s="66" t="str">
        <f aca="false">IF($A67="","",IFERROR(SUMPRODUCT(MAX((Sales!$D$5:INDEX(Sales!$D$5:$D$3004,TxRows)=$A67)*Sales!$A$5:INDEX(Sales!$A$5:$A$3004,TxRows))),0))</f>
        <v/>
      </c>
      <c r="X67" s="67" t="str">
        <f aca="false">IF($A67="","",IF(W67=0,AsOf-FYStart,AsOf-W67))</f>
        <v/>
      </c>
      <c r="Y67" s="67" t="str">
        <f aca="false">IF($A67="","",IF(M67=0,"",O67/(M67/MAX(1,AsOf-FYStart))))</f>
        <v/>
      </c>
      <c r="Z67" s="60" t="str">
        <f aca="false">IF($A67="","",U67+ROW()/1000000)</f>
        <v/>
      </c>
    </row>
    <row r="68" customFormat="false" ht="15" hidden="false" customHeight="false" outlineLevel="0" collapsed="false">
      <c r="A68" s="56"/>
      <c r="B68" s="56"/>
      <c r="C68" s="56"/>
      <c r="D68" s="56"/>
      <c r="E68" s="56"/>
      <c r="F68" s="63"/>
      <c r="G68" s="58"/>
      <c r="H68" s="58"/>
      <c r="I68" s="57"/>
      <c r="J68" s="57"/>
      <c r="K68" s="58"/>
      <c r="L68" s="64" t="str">
        <f aca="false">IF($A68="","",SUMIFS(Purchases!$E$5:INDEX(Purchases!$E$5:$E$3004,TxRows),Purchases!$D$5:INDEX(Purchases!$D$5:$D$3004,TxRows),$A68))</f>
        <v/>
      </c>
      <c r="M68" s="64" t="str">
        <f aca="false">IF($A68="","",SUMIFS(Sales!$E$5:INDEX(Sales!$E$5:$E$3004,TxRows),Sales!$D$5:INDEX(Sales!$D$5:$D$3004,TxRows),$A68))</f>
        <v/>
      </c>
      <c r="N68" s="64" t="str">
        <f aca="false">IF($A68="","",SUMIFS(Adjustments!$C$5:$C$504,Adjustments!$B$5:$B$504,$A68))</f>
        <v/>
      </c>
      <c r="O68" s="64" t="str">
        <f aca="false">IF($A68="","",N($J68)+L68-M68+N68)</f>
        <v/>
      </c>
      <c r="P68" s="61" t="str">
        <f aca="false">IF($A68="","",IFERROR((N($J68)*N($K68)+SUMIFS(Purchases!$K$5:INDEX(Purchases!$K$5:$K$3004,TxRows),Purchases!$D$5:INDEX(Purchases!$D$5:$D$3004,TxRows),$A68))/(N($J68)+L68),N($G68)))</f>
        <v/>
      </c>
      <c r="Q68" s="61" t="str">
        <f aca="false">IF($A68="","",MAX(0,O68)*P68)</f>
        <v/>
      </c>
      <c r="R68" s="60" t="str">
        <f aca="false">IF($A68="","",IF(O68&lt;0,"NEGATIVE",IF(O68=0,"OUT OF STOCK",IF(O68&lt;=N($I68),"REORDER",IF(AND(O68&gt;0,X68&gt;DeadDays),"DEAD STOCK","OK")))))</f>
        <v/>
      </c>
      <c r="S68" s="65" t="str">
        <f aca="false">IF($A68="","",IF(N($H68)=0,0,(N($H68)-P68)/N($H68)))</f>
        <v/>
      </c>
      <c r="T68" s="64" t="str">
        <f aca="false">IF($A68="","",IF(O68&lt;=N($I68),MAX(0,2*N($I68)-O68),0))</f>
        <v/>
      </c>
      <c r="U68" s="61" t="str">
        <f aca="false">IF($A68="","",SUMIFS(Sales!$L$5:INDEX(Sales!$L$5:$L$3004,TxRows),Sales!$D$5:INDEX(Sales!$D$5:$D$3004,TxRows),$A68))</f>
        <v/>
      </c>
      <c r="V68" s="61" t="str">
        <f aca="false">IF($A68="","",SUMIFS(Sales!$S$5:INDEX(Sales!$S$5:$S$3004,TxRows),Sales!$D$5:INDEX(Sales!$D$5:$D$3004,TxRows),$A68))</f>
        <v/>
      </c>
      <c r="W68" s="66" t="str">
        <f aca="false">IF($A68="","",IFERROR(SUMPRODUCT(MAX((Sales!$D$5:INDEX(Sales!$D$5:$D$3004,TxRows)=$A68)*Sales!$A$5:INDEX(Sales!$A$5:$A$3004,TxRows))),0))</f>
        <v/>
      </c>
      <c r="X68" s="67" t="str">
        <f aca="false">IF($A68="","",IF(W68=0,AsOf-FYStart,AsOf-W68))</f>
        <v/>
      </c>
      <c r="Y68" s="67" t="str">
        <f aca="false">IF($A68="","",IF(M68=0,"",O68/(M68/MAX(1,AsOf-FYStart))))</f>
        <v/>
      </c>
      <c r="Z68" s="60" t="str">
        <f aca="false">IF($A68="","",U68+ROW()/1000000)</f>
        <v/>
      </c>
    </row>
    <row r="69" customFormat="false" ht="15" hidden="false" customHeight="false" outlineLevel="0" collapsed="false">
      <c r="A69" s="56"/>
      <c r="B69" s="56"/>
      <c r="C69" s="56"/>
      <c r="D69" s="56"/>
      <c r="E69" s="56"/>
      <c r="F69" s="63"/>
      <c r="G69" s="58"/>
      <c r="H69" s="58"/>
      <c r="I69" s="57"/>
      <c r="J69" s="57"/>
      <c r="K69" s="58"/>
      <c r="L69" s="64" t="str">
        <f aca="false">IF($A69="","",SUMIFS(Purchases!$E$5:INDEX(Purchases!$E$5:$E$3004,TxRows),Purchases!$D$5:INDEX(Purchases!$D$5:$D$3004,TxRows),$A69))</f>
        <v/>
      </c>
      <c r="M69" s="64" t="str">
        <f aca="false">IF($A69="","",SUMIFS(Sales!$E$5:INDEX(Sales!$E$5:$E$3004,TxRows),Sales!$D$5:INDEX(Sales!$D$5:$D$3004,TxRows),$A69))</f>
        <v/>
      </c>
      <c r="N69" s="64" t="str">
        <f aca="false">IF($A69="","",SUMIFS(Adjustments!$C$5:$C$504,Adjustments!$B$5:$B$504,$A69))</f>
        <v/>
      </c>
      <c r="O69" s="64" t="str">
        <f aca="false">IF($A69="","",N($J69)+L69-M69+N69)</f>
        <v/>
      </c>
      <c r="P69" s="61" t="str">
        <f aca="false">IF($A69="","",IFERROR((N($J69)*N($K69)+SUMIFS(Purchases!$K$5:INDEX(Purchases!$K$5:$K$3004,TxRows),Purchases!$D$5:INDEX(Purchases!$D$5:$D$3004,TxRows),$A69))/(N($J69)+L69),N($G69)))</f>
        <v/>
      </c>
      <c r="Q69" s="61" t="str">
        <f aca="false">IF($A69="","",MAX(0,O69)*P69)</f>
        <v/>
      </c>
      <c r="R69" s="60" t="str">
        <f aca="false">IF($A69="","",IF(O69&lt;0,"NEGATIVE",IF(O69=0,"OUT OF STOCK",IF(O69&lt;=N($I69),"REORDER",IF(AND(O69&gt;0,X69&gt;DeadDays),"DEAD STOCK","OK")))))</f>
        <v/>
      </c>
      <c r="S69" s="65" t="str">
        <f aca="false">IF($A69="","",IF(N($H69)=0,0,(N($H69)-P69)/N($H69)))</f>
        <v/>
      </c>
      <c r="T69" s="64" t="str">
        <f aca="false">IF($A69="","",IF(O69&lt;=N($I69),MAX(0,2*N($I69)-O69),0))</f>
        <v/>
      </c>
      <c r="U69" s="61" t="str">
        <f aca="false">IF($A69="","",SUMIFS(Sales!$L$5:INDEX(Sales!$L$5:$L$3004,TxRows),Sales!$D$5:INDEX(Sales!$D$5:$D$3004,TxRows),$A69))</f>
        <v/>
      </c>
      <c r="V69" s="61" t="str">
        <f aca="false">IF($A69="","",SUMIFS(Sales!$S$5:INDEX(Sales!$S$5:$S$3004,TxRows),Sales!$D$5:INDEX(Sales!$D$5:$D$3004,TxRows),$A69))</f>
        <v/>
      </c>
      <c r="W69" s="66" t="str">
        <f aca="false">IF($A69="","",IFERROR(SUMPRODUCT(MAX((Sales!$D$5:INDEX(Sales!$D$5:$D$3004,TxRows)=$A69)*Sales!$A$5:INDEX(Sales!$A$5:$A$3004,TxRows))),0))</f>
        <v/>
      </c>
      <c r="X69" s="67" t="str">
        <f aca="false">IF($A69="","",IF(W69=0,AsOf-FYStart,AsOf-W69))</f>
        <v/>
      </c>
      <c r="Y69" s="67" t="str">
        <f aca="false">IF($A69="","",IF(M69=0,"",O69/(M69/MAX(1,AsOf-FYStart))))</f>
        <v/>
      </c>
      <c r="Z69" s="60" t="str">
        <f aca="false">IF($A69="","",U69+ROW()/1000000)</f>
        <v/>
      </c>
    </row>
    <row r="70" customFormat="false" ht="15" hidden="false" customHeight="false" outlineLevel="0" collapsed="false">
      <c r="A70" s="56"/>
      <c r="B70" s="56"/>
      <c r="C70" s="56"/>
      <c r="D70" s="56"/>
      <c r="E70" s="56"/>
      <c r="F70" s="63"/>
      <c r="G70" s="58"/>
      <c r="H70" s="58"/>
      <c r="I70" s="57"/>
      <c r="J70" s="57"/>
      <c r="K70" s="58"/>
      <c r="L70" s="64" t="str">
        <f aca="false">IF($A70="","",SUMIFS(Purchases!$E$5:INDEX(Purchases!$E$5:$E$3004,TxRows),Purchases!$D$5:INDEX(Purchases!$D$5:$D$3004,TxRows),$A70))</f>
        <v/>
      </c>
      <c r="M70" s="64" t="str">
        <f aca="false">IF($A70="","",SUMIFS(Sales!$E$5:INDEX(Sales!$E$5:$E$3004,TxRows),Sales!$D$5:INDEX(Sales!$D$5:$D$3004,TxRows),$A70))</f>
        <v/>
      </c>
      <c r="N70" s="64" t="str">
        <f aca="false">IF($A70="","",SUMIFS(Adjustments!$C$5:$C$504,Adjustments!$B$5:$B$504,$A70))</f>
        <v/>
      </c>
      <c r="O70" s="64" t="str">
        <f aca="false">IF($A70="","",N($J70)+L70-M70+N70)</f>
        <v/>
      </c>
      <c r="P70" s="61" t="str">
        <f aca="false">IF($A70="","",IFERROR((N($J70)*N($K70)+SUMIFS(Purchases!$K$5:INDEX(Purchases!$K$5:$K$3004,TxRows),Purchases!$D$5:INDEX(Purchases!$D$5:$D$3004,TxRows),$A70))/(N($J70)+L70),N($G70)))</f>
        <v/>
      </c>
      <c r="Q70" s="61" t="str">
        <f aca="false">IF($A70="","",MAX(0,O70)*P70)</f>
        <v/>
      </c>
      <c r="R70" s="60" t="str">
        <f aca="false">IF($A70="","",IF(O70&lt;0,"NEGATIVE",IF(O70=0,"OUT OF STOCK",IF(O70&lt;=N($I70),"REORDER",IF(AND(O70&gt;0,X70&gt;DeadDays),"DEAD STOCK","OK")))))</f>
        <v/>
      </c>
      <c r="S70" s="65" t="str">
        <f aca="false">IF($A70="","",IF(N($H70)=0,0,(N($H70)-P70)/N($H70)))</f>
        <v/>
      </c>
      <c r="T70" s="64" t="str">
        <f aca="false">IF($A70="","",IF(O70&lt;=N($I70),MAX(0,2*N($I70)-O70),0))</f>
        <v/>
      </c>
      <c r="U70" s="61" t="str">
        <f aca="false">IF($A70="","",SUMIFS(Sales!$L$5:INDEX(Sales!$L$5:$L$3004,TxRows),Sales!$D$5:INDEX(Sales!$D$5:$D$3004,TxRows),$A70))</f>
        <v/>
      </c>
      <c r="V70" s="61" t="str">
        <f aca="false">IF($A70="","",SUMIFS(Sales!$S$5:INDEX(Sales!$S$5:$S$3004,TxRows),Sales!$D$5:INDEX(Sales!$D$5:$D$3004,TxRows),$A70))</f>
        <v/>
      </c>
      <c r="W70" s="66" t="str">
        <f aca="false">IF($A70="","",IFERROR(SUMPRODUCT(MAX((Sales!$D$5:INDEX(Sales!$D$5:$D$3004,TxRows)=$A70)*Sales!$A$5:INDEX(Sales!$A$5:$A$3004,TxRows))),0))</f>
        <v/>
      </c>
      <c r="X70" s="67" t="str">
        <f aca="false">IF($A70="","",IF(W70=0,AsOf-FYStart,AsOf-W70))</f>
        <v/>
      </c>
      <c r="Y70" s="67" t="str">
        <f aca="false">IF($A70="","",IF(M70=0,"",O70/(M70/MAX(1,AsOf-FYStart))))</f>
        <v/>
      </c>
      <c r="Z70" s="60" t="str">
        <f aca="false">IF($A70="","",U70+ROW()/1000000)</f>
        <v/>
      </c>
    </row>
    <row r="71" customFormat="false" ht="15" hidden="false" customHeight="false" outlineLevel="0" collapsed="false">
      <c r="A71" s="56"/>
      <c r="B71" s="56"/>
      <c r="C71" s="56"/>
      <c r="D71" s="56"/>
      <c r="E71" s="56"/>
      <c r="F71" s="63"/>
      <c r="G71" s="58"/>
      <c r="H71" s="58"/>
      <c r="I71" s="57"/>
      <c r="J71" s="57"/>
      <c r="K71" s="58"/>
      <c r="L71" s="64" t="str">
        <f aca="false">IF($A71="","",SUMIFS(Purchases!$E$5:INDEX(Purchases!$E$5:$E$3004,TxRows),Purchases!$D$5:INDEX(Purchases!$D$5:$D$3004,TxRows),$A71))</f>
        <v/>
      </c>
      <c r="M71" s="64" t="str">
        <f aca="false">IF($A71="","",SUMIFS(Sales!$E$5:INDEX(Sales!$E$5:$E$3004,TxRows),Sales!$D$5:INDEX(Sales!$D$5:$D$3004,TxRows),$A71))</f>
        <v/>
      </c>
      <c r="N71" s="64" t="str">
        <f aca="false">IF($A71="","",SUMIFS(Adjustments!$C$5:$C$504,Adjustments!$B$5:$B$504,$A71))</f>
        <v/>
      </c>
      <c r="O71" s="64" t="str">
        <f aca="false">IF($A71="","",N($J71)+L71-M71+N71)</f>
        <v/>
      </c>
      <c r="P71" s="61" t="str">
        <f aca="false">IF($A71="","",IFERROR((N($J71)*N($K71)+SUMIFS(Purchases!$K$5:INDEX(Purchases!$K$5:$K$3004,TxRows),Purchases!$D$5:INDEX(Purchases!$D$5:$D$3004,TxRows),$A71))/(N($J71)+L71),N($G71)))</f>
        <v/>
      </c>
      <c r="Q71" s="61" t="str">
        <f aca="false">IF($A71="","",MAX(0,O71)*P71)</f>
        <v/>
      </c>
      <c r="R71" s="60" t="str">
        <f aca="false">IF($A71="","",IF(O71&lt;0,"NEGATIVE",IF(O71=0,"OUT OF STOCK",IF(O71&lt;=N($I71),"REORDER",IF(AND(O71&gt;0,X71&gt;DeadDays),"DEAD STOCK","OK")))))</f>
        <v/>
      </c>
      <c r="S71" s="65" t="str">
        <f aca="false">IF($A71="","",IF(N($H71)=0,0,(N($H71)-P71)/N($H71)))</f>
        <v/>
      </c>
      <c r="T71" s="64" t="str">
        <f aca="false">IF($A71="","",IF(O71&lt;=N($I71),MAX(0,2*N($I71)-O71),0))</f>
        <v/>
      </c>
      <c r="U71" s="61" t="str">
        <f aca="false">IF($A71="","",SUMIFS(Sales!$L$5:INDEX(Sales!$L$5:$L$3004,TxRows),Sales!$D$5:INDEX(Sales!$D$5:$D$3004,TxRows),$A71))</f>
        <v/>
      </c>
      <c r="V71" s="61" t="str">
        <f aca="false">IF($A71="","",SUMIFS(Sales!$S$5:INDEX(Sales!$S$5:$S$3004,TxRows),Sales!$D$5:INDEX(Sales!$D$5:$D$3004,TxRows),$A71))</f>
        <v/>
      </c>
      <c r="W71" s="66" t="str">
        <f aca="false">IF($A71="","",IFERROR(SUMPRODUCT(MAX((Sales!$D$5:INDEX(Sales!$D$5:$D$3004,TxRows)=$A71)*Sales!$A$5:INDEX(Sales!$A$5:$A$3004,TxRows))),0))</f>
        <v/>
      </c>
      <c r="X71" s="67" t="str">
        <f aca="false">IF($A71="","",IF(W71=0,AsOf-FYStart,AsOf-W71))</f>
        <v/>
      </c>
      <c r="Y71" s="67" t="str">
        <f aca="false">IF($A71="","",IF(M71=0,"",O71/(M71/MAX(1,AsOf-FYStart))))</f>
        <v/>
      </c>
      <c r="Z71" s="60" t="str">
        <f aca="false">IF($A71="","",U71+ROW()/1000000)</f>
        <v/>
      </c>
    </row>
    <row r="72" customFormat="false" ht="15" hidden="false" customHeight="false" outlineLevel="0" collapsed="false">
      <c r="A72" s="56"/>
      <c r="B72" s="56"/>
      <c r="C72" s="56"/>
      <c r="D72" s="56"/>
      <c r="E72" s="56"/>
      <c r="F72" s="63"/>
      <c r="G72" s="58"/>
      <c r="H72" s="58"/>
      <c r="I72" s="57"/>
      <c r="J72" s="57"/>
      <c r="K72" s="58"/>
      <c r="L72" s="64" t="str">
        <f aca="false">IF($A72="","",SUMIFS(Purchases!$E$5:INDEX(Purchases!$E$5:$E$3004,TxRows),Purchases!$D$5:INDEX(Purchases!$D$5:$D$3004,TxRows),$A72))</f>
        <v/>
      </c>
      <c r="M72" s="64" t="str">
        <f aca="false">IF($A72="","",SUMIFS(Sales!$E$5:INDEX(Sales!$E$5:$E$3004,TxRows),Sales!$D$5:INDEX(Sales!$D$5:$D$3004,TxRows),$A72))</f>
        <v/>
      </c>
      <c r="N72" s="64" t="str">
        <f aca="false">IF($A72="","",SUMIFS(Adjustments!$C$5:$C$504,Adjustments!$B$5:$B$504,$A72))</f>
        <v/>
      </c>
      <c r="O72" s="64" t="str">
        <f aca="false">IF($A72="","",N($J72)+L72-M72+N72)</f>
        <v/>
      </c>
      <c r="P72" s="61" t="str">
        <f aca="false">IF($A72="","",IFERROR((N($J72)*N($K72)+SUMIFS(Purchases!$K$5:INDEX(Purchases!$K$5:$K$3004,TxRows),Purchases!$D$5:INDEX(Purchases!$D$5:$D$3004,TxRows),$A72))/(N($J72)+L72),N($G72)))</f>
        <v/>
      </c>
      <c r="Q72" s="61" t="str">
        <f aca="false">IF($A72="","",MAX(0,O72)*P72)</f>
        <v/>
      </c>
      <c r="R72" s="60" t="str">
        <f aca="false">IF($A72="","",IF(O72&lt;0,"NEGATIVE",IF(O72=0,"OUT OF STOCK",IF(O72&lt;=N($I72),"REORDER",IF(AND(O72&gt;0,X72&gt;DeadDays),"DEAD STOCK","OK")))))</f>
        <v/>
      </c>
      <c r="S72" s="65" t="str">
        <f aca="false">IF($A72="","",IF(N($H72)=0,0,(N($H72)-P72)/N($H72)))</f>
        <v/>
      </c>
      <c r="T72" s="64" t="str">
        <f aca="false">IF($A72="","",IF(O72&lt;=N($I72),MAX(0,2*N($I72)-O72),0))</f>
        <v/>
      </c>
      <c r="U72" s="61" t="str">
        <f aca="false">IF($A72="","",SUMIFS(Sales!$L$5:INDEX(Sales!$L$5:$L$3004,TxRows),Sales!$D$5:INDEX(Sales!$D$5:$D$3004,TxRows),$A72))</f>
        <v/>
      </c>
      <c r="V72" s="61" t="str">
        <f aca="false">IF($A72="","",SUMIFS(Sales!$S$5:INDEX(Sales!$S$5:$S$3004,TxRows),Sales!$D$5:INDEX(Sales!$D$5:$D$3004,TxRows),$A72))</f>
        <v/>
      </c>
      <c r="W72" s="66" t="str">
        <f aca="false">IF($A72="","",IFERROR(SUMPRODUCT(MAX((Sales!$D$5:INDEX(Sales!$D$5:$D$3004,TxRows)=$A72)*Sales!$A$5:INDEX(Sales!$A$5:$A$3004,TxRows))),0))</f>
        <v/>
      </c>
      <c r="X72" s="67" t="str">
        <f aca="false">IF($A72="","",IF(W72=0,AsOf-FYStart,AsOf-W72))</f>
        <v/>
      </c>
      <c r="Y72" s="67" t="str">
        <f aca="false">IF($A72="","",IF(M72=0,"",O72/(M72/MAX(1,AsOf-FYStart))))</f>
        <v/>
      </c>
      <c r="Z72" s="60" t="str">
        <f aca="false">IF($A72="","",U72+ROW()/1000000)</f>
        <v/>
      </c>
    </row>
    <row r="73" customFormat="false" ht="15" hidden="false" customHeight="false" outlineLevel="0" collapsed="false">
      <c r="A73" s="56"/>
      <c r="B73" s="56"/>
      <c r="C73" s="56"/>
      <c r="D73" s="56"/>
      <c r="E73" s="56"/>
      <c r="F73" s="63"/>
      <c r="G73" s="58"/>
      <c r="H73" s="58"/>
      <c r="I73" s="57"/>
      <c r="J73" s="57"/>
      <c r="K73" s="58"/>
      <c r="L73" s="64" t="str">
        <f aca="false">IF($A73="","",SUMIFS(Purchases!$E$5:INDEX(Purchases!$E$5:$E$3004,TxRows),Purchases!$D$5:INDEX(Purchases!$D$5:$D$3004,TxRows),$A73))</f>
        <v/>
      </c>
      <c r="M73" s="64" t="str">
        <f aca="false">IF($A73="","",SUMIFS(Sales!$E$5:INDEX(Sales!$E$5:$E$3004,TxRows),Sales!$D$5:INDEX(Sales!$D$5:$D$3004,TxRows),$A73))</f>
        <v/>
      </c>
      <c r="N73" s="64" t="str">
        <f aca="false">IF($A73="","",SUMIFS(Adjustments!$C$5:$C$504,Adjustments!$B$5:$B$504,$A73))</f>
        <v/>
      </c>
      <c r="O73" s="64" t="str">
        <f aca="false">IF($A73="","",N($J73)+L73-M73+N73)</f>
        <v/>
      </c>
      <c r="P73" s="61" t="str">
        <f aca="false">IF($A73="","",IFERROR((N($J73)*N($K73)+SUMIFS(Purchases!$K$5:INDEX(Purchases!$K$5:$K$3004,TxRows),Purchases!$D$5:INDEX(Purchases!$D$5:$D$3004,TxRows),$A73))/(N($J73)+L73),N($G73)))</f>
        <v/>
      </c>
      <c r="Q73" s="61" t="str">
        <f aca="false">IF($A73="","",MAX(0,O73)*P73)</f>
        <v/>
      </c>
      <c r="R73" s="60" t="str">
        <f aca="false">IF($A73="","",IF(O73&lt;0,"NEGATIVE",IF(O73=0,"OUT OF STOCK",IF(O73&lt;=N($I73),"REORDER",IF(AND(O73&gt;0,X73&gt;DeadDays),"DEAD STOCK","OK")))))</f>
        <v/>
      </c>
      <c r="S73" s="65" t="str">
        <f aca="false">IF($A73="","",IF(N($H73)=0,0,(N($H73)-P73)/N($H73)))</f>
        <v/>
      </c>
      <c r="T73" s="64" t="str">
        <f aca="false">IF($A73="","",IF(O73&lt;=N($I73),MAX(0,2*N($I73)-O73),0))</f>
        <v/>
      </c>
      <c r="U73" s="61" t="str">
        <f aca="false">IF($A73="","",SUMIFS(Sales!$L$5:INDEX(Sales!$L$5:$L$3004,TxRows),Sales!$D$5:INDEX(Sales!$D$5:$D$3004,TxRows),$A73))</f>
        <v/>
      </c>
      <c r="V73" s="61" t="str">
        <f aca="false">IF($A73="","",SUMIFS(Sales!$S$5:INDEX(Sales!$S$5:$S$3004,TxRows),Sales!$D$5:INDEX(Sales!$D$5:$D$3004,TxRows),$A73))</f>
        <v/>
      </c>
      <c r="W73" s="66" t="str">
        <f aca="false">IF($A73="","",IFERROR(SUMPRODUCT(MAX((Sales!$D$5:INDEX(Sales!$D$5:$D$3004,TxRows)=$A73)*Sales!$A$5:INDEX(Sales!$A$5:$A$3004,TxRows))),0))</f>
        <v/>
      </c>
      <c r="X73" s="67" t="str">
        <f aca="false">IF($A73="","",IF(W73=0,AsOf-FYStart,AsOf-W73))</f>
        <v/>
      </c>
      <c r="Y73" s="67" t="str">
        <f aca="false">IF($A73="","",IF(M73=0,"",O73/(M73/MAX(1,AsOf-FYStart))))</f>
        <v/>
      </c>
      <c r="Z73" s="60" t="str">
        <f aca="false">IF($A73="","",U73+ROW()/1000000)</f>
        <v/>
      </c>
    </row>
    <row r="74" customFormat="false" ht="15" hidden="false" customHeight="false" outlineLevel="0" collapsed="false">
      <c r="A74" s="56"/>
      <c r="B74" s="56"/>
      <c r="C74" s="56"/>
      <c r="D74" s="56"/>
      <c r="E74" s="56"/>
      <c r="F74" s="63"/>
      <c r="G74" s="58"/>
      <c r="H74" s="58"/>
      <c r="I74" s="57"/>
      <c r="J74" s="57"/>
      <c r="K74" s="58"/>
      <c r="L74" s="64" t="str">
        <f aca="false">IF($A74="","",SUMIFS(Purchases!$E$5:INDEX(Purchases!$E$5:$E$3004,TxRows),Purchases!$D$5:INDEX(Purchases!$D$5:$D$3004,TxRows),$A74))</f>
        <v/>
      </c>
      <c r="M74" s="64" t="str">
        <f aca="false">IF($A74="","",SUMIFS(Sales!$E$5:INDEX(Sales!$E$5:$E$3004,TxRows),Sales!$D$5:INDEX(Sales!$D$5:$D$3004,TxRows),$A74))</f>
        <v/>
      </c>
      <c r="N74" s="64" t="str">
        <f aca="false">IF($A74="","",SUMIFS(Adjustments!$C$5:$C$504,Adjustments!$B$5:$B$504,$A74))</f>
        <v/>
      </c>
      <c r="O74" s="64" t="str">
        <f aca="false">IF($A74="","",N($J74)+L74-M74+N74)</f>
        <v/>
      </c>
      <c r="P74" s="61" t="str">
        <f aca="false">IF($A74="","",IFERROR((N($J74)*N($K74)+SUMIFS(Purchases!$K$5:INDEX(Purchases!$K$5:$K$3004,TxRows),Purchases!$D$5:INDEX(Purchases!$D$5:$D$3004,TxRows),$A74))/(N($J74)+L74),N($G74)))</f>
        <v/>
      </c>
      <c r="Q74" s="61" t="str">
        <f aca="false">IF($A74="","",MAX(0,O74)*P74)</f>
        <v/>
      </c>
      <c r="R74" s="60" t="str">
        <f aca="false">IF($A74="","",IF(O74&lt;0,"NEGATIVE",IF(O74=0,"OUT OF STOCK",IF(O74&lt;=N($I74),"REORDER",IF(AND(O74&gt;0,X74&gt;DeadDays),"DEAD STOCK","OK")))))</f>
        <v/>
      </c>
      <c r="S74" s="65" t="str">
        <f aca="false">IF($A74="","",IF(N($H74)=0,0,(N($H74)-P74)/N($H74)))</f>
        <v/>
      </c>
      <c r="T74" s="64" t="str">
        <f aca="false">IF($A74="","",IF(O74&lt;=N($I74),MAX(0,2*N($I74)-O74),0))</f>
        <v/>
      </c>
      <c r="U74" s="61" t="str">
        <f aca="false">IF($A74="","",SUMIFS(Sales!$L$5:INDEX(Sales!$L$5:$L$3004,TxRows),Sales!$D$5:INDEX(Sales!$D$5:$D$3004,TxRows),$A74))</f>
        <v/>
      </c>
      <c r="V74" s="61" t="str">
        <f aca="false">IF($A74="","",SUMIFS(Sales!$S$5:INDEX(Sales!$S$5:$S$3004,TxRows),Sales!$D$5:INDEX(Sales!$D$5:$D$3004,TxRows),$A74))</f>
        <v/>
      </c>
      <c r="W74" s="66" t="str">
        <f aca="false">IF($A74="","",IFERROR(SUMPRODUCT(MAX((Sales!$D$5:INDEX(Sales!$D$5:$D$3004,TxRows)=$A74)*Sales!$A$5:INDEX(Sales!$A$5:$A$3004,TxRows))),0))</f>
        <v/>
      </c>
      <c r="X74" s="67" t="str">
        <f aca="false">IF($A74="","",IF(W74=0,AsOf-FYStart,AsOf-W74))</f>
        <v/>
      </c>
      <c r="Y74" s="67" t="str">
        <f aca="false">IF($A74="","",IF(M74=0,"",O74/(M74/MAX(1,AsOf-FYStart))))</f>
        <v/>
      </c>
      <c r="Z74" s="60" t="str">
        <f aca="false">IF($A74="","",U74+ROW()/1000000)</f>
        <v/>
      </c>
    </row>
    <row r="75" customFormat="false" ht="15" hidden="false" customHeight="false" outlineLevel="0" collapsed="false">
      <c r="A75" s="56"/>
      <c r="B75" s="56"/>
      <c r="C75" s="56"/>
      <c r="D75" s="56"/>
      <c r="E75" s="56"/>
      <c r="F75" s="63"/>
      <c r="G75" s="58"/>
      <c r="H75" s="58"/>
      <c r="I75" s="57"/>
      <c r="J75" s="57"/>
      <c r="K75" s="58"/>
      <c r="L75" s="64" t="str">
        <f aca="false">IF($A75="","",SUMIFS(Purchases!$E$5:INDEX(Purchases!$E$5:$E$3004,TxRows),Purchases!$D$5:INDEX(Purchases!$D$5:$D$3004,TxRows),$A75))</f>
        <v/>
      </c>
      <c r="M75" s="64" t="str">
        <f aca="false">IF($A75="","",SUMIFS(Sales!$E$5:INDEX(Sales!$E$5:$E$3004,TxRows),Sales!$D$5:INDEX(Sales!$D$5:$D$3004,TxRows),$A75))</f>
        <v/>
      </c>
      <c r="N75" s="64" t="str">
        <f aca="false">IF($A75="","",SUMIFS(Adjustments!$C$5:$C$504,Adjustments!$B$5:$B$504,$A75))</f>
        <v/>
      </c>
      <c r="O75" s="64" t="str">
        <f aca="false">IF($A75="","",N($J75)+L75-M75+N75)</f>
        <v/>
      </c>
      <c r="P75" s="61" t="str">
        <f aca="false">IF($A75="","",IFERROR((N($J75)*N($K75)+SUMIFS(Purchases!$K$5:INDEX(Purchases!$K$5:$K$3004,TxRows),Purchases!$D$5:INDEX(Purchases!$D$5:$D$3004,TxRows),$A75))/(N($J75)+L75),N($G75)))</f>
        <v/>
      </c>
      <c r="Q75" s="61" t="str">
        <f aca="false">IF($A75="","",MAX(0,O75)*P75)</f>
        <v/>
      </c>
      <c r="R75" s="60" t="str">
        <f aca="false">IF($A75="","",IF(O75&lt;0,"NEGATIVE",IF(O75=0,"OUT OF STOCK",IF(O75&lt;=N($I75),"REORDER",IF(AND(O75&gt;0,X75&gt;DeadDays),"DEAD STOCK","OK")))))</f>
        <v/>
      </c>
      <c r="S75" s="65" t="str">
        <f aca="false">IF($A75="","",IF(N($H75)=0,0,(N($H75)-P75)/N($H75)))</f>
        <v/>
      </c>
      <c r="T75" s="64" t="str">
        <f aca="false">IF($A75="","",IF(O75&lt;=N($I75),MAX(0,2*N($I75)-O75),0))</f>
        <v/>
      </c>
      <c r="U75" s="61" t="str">
        <f aca="false">IF($A75="","",SUMIFS(Sales!$L$5:INDEX(Sales!$L$5:$L$3004,TxRows),Sales!$D$5:INDEX(Sales!$D$5:$D$3004,TxRows),$A75))</f>
        <v/>
      </c>
      <c r="V75" s="61" t="str">
        <f aca="false">IF($A75="","",SUMIFS(Sales!$S$5:INDEX(Sales!$S$5:$S$3004,TxRows),Sales!$D$5:INDEX(Sales!$D$5:$D$3004,TxRows),$A75))</f>
        <v/>
      </c>
      <c r="W75" s="66" t="str">
        <f aca="false">IF($A75="","",IFERROR(SUMPRODUCT(MAX((Sales!$D$5:INDEX(Sales!$D$5:$D$3004,TxRows)=$A75)*Sales!$A$5:INDEX(Sales!$A$5:$A$3004,TxRows))),0))</f>
        <v/>
      </c>
      <c r="X75" s="67" t="str">
        <f aca="false">IF($A75="","",IF(W75=0,AsOf-FYStart,AsOf-W75))</f>
        <v/>
      </c>
      <c r="Y75" s="67" t="str">
        <f aca="false">IF($A75="","",IF(M75=0,"",O75/(M75/MAX(1,AsOf-FYStart))))</f>
        <v/>
      </c>
      <c r="Z75" s="60" t="str">
        <f aca="false">IF($A75="","",U75+ROW()/1000000)</f>
        <v/>
      </c>
    </row>
    <row r="76" customFormat="false" ht="15" hidden="false" customHeight="false" outlineLevel="0" collapsed="false">
      <c r="A76" s="56"/>
      <c r="B76" s="56"/>
      <c r="C76" s="56"/>
      <c r="D76" s="56"/>
      <c r="E76" s="56"/>
      <c r="F76" s="63"/>
      <c r="G76" s="58"/>
      <c r="H76" s="58"/>
      <c r="I76" s="57"/>
      <c r="J76" s="57"/>
      <c r="K76" s="58"/>
      <c r="L76" s="64" t="str">
        <f aca="false">IF($A76="","",SUMIFS(Purchases!$E$5:INDEX(Purchases!$E$5:$E$3004,TxRows),Purchases!$D$5:INDEX(Purchases!$D$5:$D$3004,TxRows),$A76))</f>
        <v/>
      </c>
      <c r="M76" s="64" t="str">
        <f aca="false">IF($A76="","",SUMIFS(Sales!$E$5:INDEX(Sales!$E$5:$E$3004,TxRows),Sales!$D$5:INDEX(Sales!$D$5:$D$3004,TxRows),$A76))</f>
        <v/>
      </c>
      <c r="N76" s="64" t="str">
        <f aca="false">IF($A76="","",SUMIFS(Adjustments!$C$5:$C$504,Adjustments!$B$5:$B$504,$A76))</f>
        <v/>
      </c>
      <c r="O76" s="64" t="str">
        <f aca="false">IF($A76="","",N($J76)+L76-M76+N76)</f>
        <v/>
      </c>
      <c r="P76" s="61" t="str">
        <f aca="false">IF($A76="","",IFERROR((N($J76)*N($K76)+SUMIFS(Purchases!$K$5:INDEX(Purchases!$K$5:$K$3004,TxRows),Purchases!$D$5:INDEX(Purchases!$D$5:$D$3004,TxRows),$A76))/(N($J76)+L76),N($G76)))</f>
        <v/>
      </c>
      <c r="Q76" s="61" t="str">
        <f aca="false">IF($A76="","",MAX(0,O76)*P76)</f>
        <v/>
      </c>
      <c r="R76" s="60" t="str">
        <f aca="false">IF($A76="","",IF(O76&lt;0,"NEGATIVE",IF(O76=0,"OUT OF STOCK",IF(O76&lt;=N($I76),"REORDER",IF(AND(O76&gt;0,X76&gt;DeadDays),"DEAD STOCK","OK")))))</f>
        <v/>
      </c>
      <c r="S76" s="65" t="str">
        <f aca="false">IF($A76="","",IF(N($H76)=0,0,(N($H76)-P76)/N($H76)))</f>
        <v/>
      </c>
      <c r="T76" s="64" t="str">
        <f aca="false">IF($A76="","",IF(O76&lt;=N($I76),MAX(0,2*N($I76)-O76),0))</f>
        <v/>
      </c>
      <c r="U76" s="61" t="str">
        <f aca="false">IF($A76="","",SUMIFS(Sales!$L$5:INDEX(Sales!$L$5:$L$3004,TxRows),Sales!$D$5:INDEX(Sales!$D$5:$D$3004,TxRows),$A76))</f>
        <v/>
      </c>
      <c r="V76" s="61" t="str">
        <f aca="false">IF($A76="","",SUMIFS(Sales!$S$5:INDEX(Sales!$S$5:$S$3004,TxRows),Sales!$D$5:INDEX(Sales!$D$5:$D$3004,TxRows),$A76))</f>
        <v/>
      </c>
      <c r="W76" s="66" t="str">
        <f aca="false">IF($A76="","",IFERROR(SUMPRODUCT(MAX((Sales!$D$5:INDEX(Sales!$D$5:$D$3004,TxRows)=$A76)*Sales!$A$5:INDEX(Sales!$A$5:$A$3004,TxRows))),0))</f>
        <v/>
      </c>
      <c r="X76" s="67" t="str">
        <f aca="false">IF($A76="","",IF(W76=0,AsOf-FYStart,AsOf-W76))</f>
        <v/>
      </c>
      <c r="Y76" s="67" t="str">
        <f aca="false">IF($A76="","",IF(M76=0,"",O76/(M76/MAX(1,AsOf-FYStart))))</f>
        <v/>
      </c>
      <c r="Z76" s="60" t="str">
        <f aca="false">IF($A76="","",U76+ROW()/1000000)</f>
        <v/>
      </c>
    </row>
    <row r="77" customFormat="false" ht="15" hidden="false" customHeight="false" outlineLevel="0" collapsed="false">
      <c r="A77" s="56"/>
      <c r="B77" s="56"/>
      <c r="C77" s="56"/>
      <c r="D77" s="56"/>
      <c r="E77" s="56"/>
      <c r="F77" s="63"/>
      <c r="G77" s="58"/>
      <c r="H77" s="58"/>
      <c r="I77" s="57"/>
      <c r="J77" s="57"/>
      <c r="K77" s="58"/>
      <c r="L77" s="64" t="str">
        <f aca="false">IF($A77="","",SUMIFS(Purchases!$E$5:INDEX(Purchases!$E$5:$E$3004,TxRows),Purchases!$D$5:INDEX(Purchases!$D$5:$D$3004,TxRows),$A77))</f>
        <v/>
      </c>
      <c r="M77" s="64" t="str">
        <f aca="false">IF($A77="","",SUMIFS(Sales!$E$5:INDEX(Sales!$E$5:$E$3004,TxRows),Sales!$D$5:INDEX(Sales!$D$5:$D$3004,TxRows),$A77))</f>
        <v/>
      </c>
      <c r="N77" s="64" t="str">
        <f aca="false">IF($A77="","",SUMIFS(Adjustments!$C$5:$C$504,Adjustments!$B$5:$B$504,$A77))</f>
        <v/>
      </c>
      <c r="O77" s="64" t="str">
        <f aca="false">IF($A77="","",N($J77)+L77-M77+N77)</f>
        <v/>
      </c>
      <c r="P77" s="61" t="str">
        <f aca="false">IF($A77="","",IFERROR((N($J77)*N($K77)+SUMIFS(Purchases!$K$5:INDEX(Purchases!$K$5:$K$3004,TxRows),Purchases!$D$5:INDEX(Purchases!$D$5:$D$3004,TxRows),$A77))/(N($J77)+L77),N($G77)))</f>
        <v/>
      </c>
      <c r="Q77" s="61" t="str">
        <f aca="false">IF($A77="","",MAX(0,O77)*P77)</f>
        <v/>
      </c>
      <c r="R77" s="60" t="str">
        <f aca="false">IF($A77="","",IF(O77&lt;0,"NEGATIVE",IF(O77=0,"OUT OF STOCK",IF(O77&lt;=N($I77),"REORDER",IF(AND(O77&gt;0,X77&gt;DeadDays),"DEAD STOCK","OK")))))</f>
        <v/>
      </c>
      <c r="S77" s="65" t="str">
        <f aca="false">IF($A77="","",IF(N($H77)=0,0,(N($H77)-P77)/N($H77)))</f>
        <v/>
      </c>
      <c r="T77" s="64" t="str">
        <f aca="false">IF($A77="","",IF(O77&lt;=N($I77),MAX(0,2*N($I77)-O77),0))</f>
        <v/>
      </c>
      <c r="U77" s="61" t="str">
        <f aca="false">IF($A77="","",SUMIFS(Sales!$L$5:INDEX(Sales!$L$5:$L$3004,TxRows),Sales!$D$5:INDEX(Sales!$D$5:$D$3004,TxRows),$A77))</f>
        <v/>
      </c>
      <c r="V77" s="61" t="str">
        <f aca="false">IF($A77="","",SUMIFS(Sales!$S$5:INDEX(Sales!$S$5:$S$3004,TxRows),Sales!$D$5:INDEX(Sales!$D$5:$D$3004,TxRows),$A77))</f>
        <v/>
      </c>
      <c r="W77" s="66" t="str">
        <f aca="false">IF($A77="","",IFERROR(SUMPRODUCT(MAX((Sales!$D$5:INDEX(Sales!$D$5:$D$3004,TxRows)=$A77)*Sales!$A$5:INDEX(Sales!$A$5:$A$3004,TxRows))),0))</f>
        <v/>
      </c>
      <c r="X77" s="67" t="str">
        <f aca="false">IF($A77="","",IF(W77=0,AsOf-FYStart,AsOf-W77))</f>
        <v/>
      </c>
      <c r="Y77" s="67" t="str">
        <f aca="false">IF($A77="","",IF(M77=0,"",O77/(M77/MAX(1,AsOf-FYStart))))</f>
        <v/>
      </c>
      <c r="Z77" s="60" t="str">
        <f aca="false">IF($A77="","",U77+ROW()/1000000)</f>
        <v/>
      </c>
    </row>
    <row r="78" customFormat="false" ht="15" hidden="false" customHeight="false" outlineLevel="0" collapsed="false">
      <c r="A78" s="56"/>
      <c r="B78" s="56"/>
      <c r="C78" s="56"/>
      <c r="D78" s="56"/>
      <c r="E78" s="56"/>
      <c r="F78" s="63"/>
      <c r="G78" s="58"/>
      <c r="H78" s="58"/>
      <c r="I78" s="57"/>
      <c r="J78" s="57"/>
      <c r="K78" s="58"/>
      <c r="L78" s="64" t="str">
        <f aca="false">IF($A78="","",SUMIFS(Purchases!$E$5:INDEX(Purchases!$E$5:$E$3004,TxRows),Purchases!$D$5:INDEX(Purchases!$D$5:$D$3004,TxRows),$A78))</f>
        <v/>
      </c>
      <c r="M78" s="64" t="str">
        <f aca="false">IF($A78="","",SUMIFS(Sales!$E$5:INDEX(Sales!$E$5:$E$3004,TxRows),Sales!$D$5:INDEX(Sales!$D$5:$D$3004,TxRows),$A78))</f>
        <v/>
      </c>
      <c r="N78" s="64" t="str">
        <f aca="false">IF($A78="","",SUMIFS(Adjustments!$C$5:$C$504,Adjustments!$B$5:$B$504,$A78))</f>
        <v/>
      </c>
      <c r="O78" s="64" t="str">
        <f aca="false">IF($A78="","",N($J78)+L78-M78+N78)</f>
        <v/>
      </c>
      <c r="P78" s="61" t="str">
        <f aca="false">IF($A78="","",IFERROR((N($J78)*N($K78)+SUMIFS(Purchases!$K$5:INDEX(Purchases!$K$5:$K$3004,TxRows),Purchases!$D$5:INDEX(Purchases!$D$5:$D$3004,TxRows),$A78))/(N($J78)+L78),N($G78)))</f>
        <v/>
      </c>
      <c r="Q78" s="61" t="str">
        <f aca="false">IF($A78="","",MAX(0,O78)*P78)</f>
        <v/>
      </c>
      <c r="R78" s="60" t="str">
        <f aca="false">IF($A78="","",IF(O78&lt;0,"NEGATIVE",IF(O78=0,"OUT OF STOCK",IF(O78&lt;=N($I78),"REORDER",IF(AND(O78&gt;0,X78&gt;DeadDays),"DEAD STOCK","OK")))))</f>
        <v/>
      </c>
      <c r="S78" s="65" t="str">
        <f aca="false">IF($A78="","",IF(N($H78)=0,0,(N($H78)-P78)/N($H78)))</f>
        <v/>
      </c>
      <c r="T78" s="64" t="str">
        <f aca="false">IF($A78="","",IF(O78&lt;=N($I78),MAX(0,2*N($I78)-O78),0))</f>
        <v/>
      </c>
      <c r="U78" s="61" t="str">
        <f aca="false">IF($A78="","",SUMIFS(Sales!$L$5:INDEX(Sales!$L$5:$L$3004,TxRows),Sales!$D$5:INDEX(Sales!$D$5:$D$3004,TxRows),$A78))</f>
        <v/>
      </c>
      <c r="V78" s="61" t="str">
        <f aca="false">IF($A78="","",SUMIFS(Sales!$S$5:INDEX(Sales!$S$5:$S$3004,TxRows),Sales!$D$5:INDEX(Sales!$D$5:$D$3004,TxRows),$A78))</f>
        <v/>
      </c>
      <c r="W78" s="66" t="str">
        <f aca="false">IF($A78="","",IFERROR(SUMPRODUCT(MAX((Sales!$D$5:INDEX(Sales!$D$5:$D$3004,TxRows)=$A78)*Sales!$A$5:INDEX(Sales!$A$5:$A$3004,TxRows))),0))</f>
        <v/>
      </c>
      <c r="X78" s="67" t="str">
        <f aca="false">IF($A78="","",IF(W78=0,AsOf-FYStart,AsOf-W78))</f>
        <v/>
      </c>
      <c r="Y78" s="67" t="str">
        <f aca="false">IF($A78="","",IF(M78=0,"",O78/(M78/MAX(1,AsOf-FYStart))))</f>
        <v/>
      </c>
      <c r="Z78" s="60" t="str">
        <f aca="false">IF($A78="","",U78+ROW()/1000000)</f>
        <v/>
      </c>
    </row>
    <row r="79" customFormat="false" ht="15" hidden="false" customHeight="false" outlineLevel="0" collapsed="false">
      <c r="A79" s="56"/>
      <c r="B79" s="56"/>
      <c r="C79" s="56"/>
      <c r="D79" s="56"/>
      <c r="E79" s="56"/>
      <c r="F79" s="63"/>
      <c r="G79" s="58"/>
      <c r="H79" s="58"/>
      <c r="I79" s="57"/>
      <c r="J79" s="57"/>
      <c r="K79" s="58"/>
      <c r="L79" s="64" t="str">
        <f aca="false">IF($A79="","",SUMIFS(Purchases!$E$5:INDEX(Purchases!$E$5:$E$3004,TxRows),Purchases!$D$5:INDEX(Purchases!$D$5:$D$3004,TxRows),$A79))</f>
        <v/>
      </c>
      <c r="M79" s="64" t="str">
        <f aca="false">IF($A79="","",SUMIFS(Sales!$E$5:INDEX(Sales!$E$5:$E$3004,TxRows),Sales!$D$5:INDEX(Sales!$D$5:$D$3004,TxRows),$A79))</f>
        <v/>
      </c>
      <c r="N79" s="64" t="str">
        <f aca="false">IF($A79="","",SUMIFS(Adjustments!$C$5:$C$504,Adjustments!$B$5:$B$504,$A79))</f>
        <v/>
      </c>
      <c r="O79" s="64" t="str">
        <f aca="false">IF($A79="","",N($J79)+L79-M79+N79)</f>
        <v/>
      </c>
      <c r="P79" s="61" t="str">
        <f aca="false">IF($A79="","",IFERROR((N($J79)*N($K79)+SUMIFS(Purchases!$K$5:INDEX(Purchases!$K$5:$K$3004,TxRows),Purchases!$D$5:INDEX(Purchases!$D$5:$D$3004,TxRows),$A79))/(N($J79)+L79),N($G79)))</f>
        <v/>
      </c>
      <c r="Q79" s="61" t="str">
        <f aca="false">IF($A79="","",MAX(0,O79)*P79)</f>
        <v/>
      </c>
      <c r="R79" s="60" t="str">
        <f aca="false">IF($A79="","",IF(O79&lt;0,"NEGATIVE",IF(O79=0,"OUT OF STOCK",IF(O79&lt;=N($I79),"REORDER",IF(AND(O79&gt;0,X79&gt;DeadDays),"DEAD STOCK","OK")))))</f>
        <v/>
      </c>
      <c r="S79" s="65" t="str">
        <f aca="false">IF($A79="","",IF(N($H79)=0,0,(N($H79)-P79)/N($H79)))</f>
        <v/>
      </c>
      <c r="T79" s="64" t="str">
        <f aca="false">IF($A79="","",IF(O79&lt;=N($I79),MAX(0,2*N($I79)-O79),0))</f>
        <v/>
      </c>
      <c r="U79" s="61" t="str">
        <f aca="false">IF($A79="","",SUMIFS(Sales!$L$5:INDEX(Sales!$L$5:$L$3004,TxRows),Sales!$D$5:INDEX(Sales!$D$5:$D$3004,TxRows),$A79))</f>
        <v/>
      </c>
      <c r="V79" s="61" t="str">
        <f aca="false">IF($A79="","",SUMIFS(Sales!$S$5:INDEX(Sales!$S$5:$S$3004,TxRows),Sales!$D$5:INDEX(Sales!$D$5:$D$3004,TxRows),$A79))</f>
        <v/>
      </c>
      <c r="W79" s="66" t="str">
        <f aca="false">IF($A79="","",IFERROR(SUMPRODUCT(MAX((Sales!$D$5:INDEX(Sales!$D$5:$D$3004,TxRows)=$A79)*Sales!$A$5:INDEX(Sales!$A$5:$A$3004,TxRows))),0))</f>
        <v/>
      </c>
      <c r="X79" s="67" t="str">
        <f aca="false">IF($A79="","",IF(W79=0,AsOf-FYStart,AsOf-W79))</f>
        <v/>
      </c>
      <c r="Y79" s="67" t="str">
        <f aca="false">IF($A79="","",IF(M79=0,"",O79/(M79/MAX(1,AsOf-FYStart))))</f>
        <v/>
      </c>
      <c r="Z79" s="60" t="str">
        <f aca="false">IF($A79="","",U79+ROW()/1000000)</f>
        <v/>
      </c>
    </row>
    <row r="80" customFormat="false" ht="15" hidden="false" customHeight="false" outlineLevel="0" collapsed="false">
      <c r="A80" s="56"/>
      <c r="B80" s="56"/>
      <c r="C80" s="56"/>
      <c r="D80" s="56"/>
      <c r="E80" s="56"/>
      <c r="F80" s="63"/>
      <c r="G80" s="58"/>
      <c r="H80" s="58"/>
      <c r="I80" s="57"/>
      <c r="J80" s="57"/>
      <c r="K80" s="58"/>
      <c r="L80" s="64" t="str">
        <f aca="false">IF($A80="","",SUMIFS(Purchases!$E$5:INDEX(Purchases!$E$5:$E$3004,TxRows),Purchases!$D$5:INDEX(Purchases!$D$5:$D$3004,TxRows),$A80))</f>
        <v/>
      </c>
      <c r="M80" s="64" t="str">
        <f aca="false">IF($A80="","",SUMIFS(Sales!$E$5:INDEX(Sales!$E$5:$E$3004,TxRows),Sales!$D$5:INDEX(Sales!$D$5:$D$3004,TxRows),$A80))</f>
        <v/>
      </c>
      <c r="N80" s="64" t="str">
        <f aca="false">IF($A80="","",SUMIFS(Adjustments!$C$5:$C$504,Adjustments!$B$5:$B$504,$A80))</f>
        <v/>
      </c>
      <c r="O80" s="64" t="str">
        <f aca="false">IF($A80="","",N($J80)+L80-M80+N80)</f>
        <v/>
      </c>
      <c r="P80" s="61" t="str">
        <f aca="false">IF($A80="","",IFERROR((N($J80)*N($K80)+SUMIFS(Purchases!$K$5:INDEX(Purchases!$K$5:$K$3004,TxRows),Purchases!$D$5:INDEX(Purchases!$D$5:$D$3004,TxRows),$A80))/(N($J80)+L80),N($G80)))</f>
        <v/>
      </c>
      <c r="Q80" s="61" t="str">
        <f aca="false">IF($A80="","",MAX(0,O80)*P80)</f>
        <v/>
      </c>
      <c r="R80" s="60" t="str">
        <f aca="false">IF($A80="","",IF(O80&lt;0,"NEGATIVE",IF(O80=0,"OUT OF STOCK",IF(O80&lt;=N($I80),"REORDER",IF(AND(O80&gt;0,X80&gt;DeadDays),"DEAD STOCK","OK")))))</f>
        <v/>
      </c>
      <c r="S80" s="65" t="str">
        <f aca="false">IF($A80="","",IF(N($H80)=0,0,(N($H80)-P80)/N($H80)))</f>
        <v/>
      </c>
      <c r="T80" s="64" t="str">
        <f aca="false">IF($A80="","",IF(O80&lt;=N($I80),MAX(0,2*N($I80)-O80),0))</f>
        <v/>
      </c>
      <c r="U80" s="61" t="str">
        <f aca="false">IF($A80="","",SUMIFS(Sales!$L$5:INDEX(Sales!$L$5:$L$3004,TxRows),Sales!$D$5:INDEX(Sales!$D$5:$D$3004,TxRows),$A80))</f>
        <v/>
      </c>
      <c r="V80" s="61" t="str">
        <f aca="false">IF($A80="","",SUMIFS(Sales!$S$5:INDEX(Sales!$S$5:$S$3004,TxRows),Sales!$D$5:INDEX(Sales!$D$5:$D$3004,TxRows),$A80))</f>
        <v/>
      </c>
      <c r="W80" s="66" t="str">
        <f aca="false">IF($A80="","",IFERROR(SUMPRODUCT(MAX((Sales!$D$5:INDEX(Sales!$D$5:$D$3004,TxRows)=$A80)*Sales!$A$5:INDEX(Sales!$A$5:$A$3004,TxRows))),0))</f>
        <v/>
      </c>
      <c r="X80" s="67" t="str">
        <f aca="false">IF($A80="","",IF(W80=0,AsOf-FYStart,AsOf-W80))</f>
        <v/>
      </c>
      <c r="Y80" s="67" t="str">
        <f aca="false">IF($A80="","",IF(M80=0,"",O80/(M80/MAX(1,AsOf-FYStart))))</f>
        <v/>
      </c>
      <c r="Z80" s="60" t="str">
        <f aca="false">IF($A80="","",U80+ROW()/1000000)</f>
        <v/>
      </c>
    </row>
    <row r="81" customFormat="false" ht="15" hidden="false" customHeight="false" outlineLevel="0" collapsed="false">
      <c r="A81" s="56"/>
      <c r="B81" s="56"/>
      <c r="C81" s="56"/>
      <c r="D81" s="56"/>
      <c r="E81" s="56"/>
      <c r="F81" s="63"/>
      <c r="G81" s="58"/>
      <c r="H81" s="58"/>
      <c r="I81" s="57"/>
      <c r="J81" s="57"/>
      <c r="K81" s="58"/>
      <c r="L81" s="64" t="str">
        <f aca="false">IF($A81="","",SUMIFS(Purchases!$E$5:INDEX(Purchases!$E$5:$E$3004,TxRows),Purchases!$D$5:INDEX(Purchases!$D$5:$D$3004,TxRows),$A81))</f>
        <v/>
      </c>
      <c r="M81" s="64" t="str">
        <f aca="false">IF($A81="","",SUMIFS(Sales!$E$5:INDEX(Sales!$E$5:$E$3004,TxRows),Sales!$D$5:INDEX(Sales!$D$5:$D$3004,TxRows),$A81))</f>
        <v/>
      </c>
      <c r="N81" s="64" t="str">
        <f aca="false">IF($A81="","",SUMIFS(Adjustments!$C$5:$C$504,Adjustments!$B$5:$B$504,$A81))</f>
        <v/>
      </c>
      <c r="O81" s="64" t="str">
        <f aca="false">IF($A81="","",N($J81)+L81-M81+N81)</f>
        <v/>
      </c>
      <c r="P81" s="61" t="str">
        <f aca="false">IF($A81="","",IFERROR((N($J81)*N($K81)+SUMIFS(Purchases!$K$5:INDEX(Purchases!$K$5:$K$3004,TxRows),Purchases!$D$5:INDEX(Purchases!$D$5:$D$3004,TxRows),$A81))/(N($J81)+L81),N($G81)))</f>
        <v/>
      </c>
      <c r="Q81" s="61" t="str">
        <f aca="false">IF($A81="","",MAX(0,O81)*P81)</f>
        <v/>
      </c>
      <c r="R81" s="60" t="str">
        <f aca="false">IF($A81="","",IF(O81&lt;0,"NEGATIVE",IF(O81=0,"OUT OF STOCK",IF(O81&lt;=N($I81),"REORDER",IF(AND(O81&gt;0,X81&gt;DeadDays),"DEAD STOCK","OK")))))</f>
        <v/>
      </c>
      <c r="S81" s="65" t="str">
        <f aca="false">IF($A81="","",IF(N($H81)=0,0,(N($H81)-P81)/N($H81)))</f>
        <v/>
      </c>
      <c r="T81" s="64" t="str">
        <f aca="false">IF($A81="","",IF(O81&lt;=N($I81),MAX(0,2*N($I81)-O81),0))</f>
        <v/>
      </c>
      <c r="U81" s="61" t="str">
        <f aca="false">IF($A81="","",SUMIFS(Sales!$L$5:INDEX(Sales!$L$5:$L$3004,TxRows),Sales!$D$5:INDEX(Sales!$D$5:$D$3004,TxRows),$A81))</f>
        <v/>
      </c>
      <c r="V81" s="61" t="str">
        <f aca="false">IF($A81="","",SUMIFS(Sales!$S$5:INDEX(Sales!$S$5:$S$3004,TxRows),Sales!$D$5:INDEX(Sales!$D$5:$D$3004,TxRows),$A81))</f>
        <v/>
      </c>
      <c r="W81" s="66" t="str">
        <f aca="false">IF($A81="","",IFERROR(SUMPRODUCT(MAX((Sales!$D$5:INDEX(Sales!$D$5:$D$3004,TxRows)=$A81)*Sales!$A$5:INDEX(Sales!$A$5:$A$3004,TxRows))),0))</f>
        <v/>
      </c>
      <c r="X81" s="67" t="str">
        <f aca="false">IF($A81="","",IF(W81=0,AsOf-FYStart,AsOf-W81))</f>
        <v/>
      </c>
      <c r="Y81" s="67" t="str">
        <f aca="false">IF($A81="","",IF(M81=0,"",O81/(M81/MAX(1,AsOf-FYStart))))</f>
        <v/>
      </c>
      <c r="Z81" s="60" t="str">
        <f aca="false">IF($A81="","",U81+ROW()/1000000)</f>
        <v/>
      </c>
    </row>
    <row r="82" customFormat="false" ht="15" hidden="false" customHeight="false" outlineLevel="0" collapsed="false">
      <c r="A82" s="56"/>
      <c r="B82" s="56"/>
      <c r="C82" s="56"/>
      <c r="D82" s="56"/>
      <c r="E82" s="56"/>
      <c r="F82" s="63"/>
      <c r="G82" s="58"/>
      <c r="H82" s="58"/>
      <c r="I82" s="57"/>
      <c r="J82" s="57"/>
      <c r="K82" s="58"/>
      <c r="L82" s="64" t="str">
        <f aca="false">IF($A82="","",SUMIFS(Purchases!$E$5:INDEX(Purchases!$E$5:$E$3004,TxRows),Purchases!$D$5:INDEX(Purchases!$D$5:$D$3004,TxRows),$A82))</f>
        <v/>
      </c>
      <c r="M82" s="64" t="str">
        <f aca="false">IF($A82="","",SUMIFS(Sales!$E$5:INDEX(Sales!$E$5:$E$3004,TxRows),Sales!$D$5:INDEX(Sales!$D$5:$D$3004,TxRows),$A82))</f>
        <v/>
      </c>
      <c r="N82" s="64" t="str">
        <f aca="false">IF($A82="","",SUMIFS(Adjustments!$C$5:$C$504,Adjustments!$B$5:$B$504,$A82))</f>
        <v/>
      </c>
      <c r="O82" s="64" t="str">
        <f aca="false">IF($A82="","",N($J82)+L82-M82+N82)</f>
        <v/>
      </c>
      <c r="P82" s="61" t="str">
        <f aca="false">IF($A82="","",IFERROR((N($J82)*N($K82)+SUMIFS(Purchases!$K$5:INDEX(Purchases!$K$5:$K$3004,TxRows),Purchases!$D$5:INDEX(Purchases!$D$5:$D$3004,TxRows),$A82))/(N($J82)+L82),N($G82)))</f>
        <v/>
      </c>
      <c r="Q82" s="61" t="str">
        <f aca="false">IF($A82="","",MAX(0,O82)*P82)</f>
        <v/>
      </c>
      <c r="R82" s="60" t="str">
        <f aca="false">IF($A82="","",IF(O82&lt;0,"NEGATIVE",IF(O82=0,"OUT OF STOCK",IF(O82&lt;=N($I82),"REORDER",IF(AND(O82&gt;0,X82&gt;DeadDays),"DEAD STOCK","OK")))))</f>
        <v/>
      </c>
      <c r="S82" s="65" t="str">
        <f aca="false">IF($A82="","",IF(N($H82)=0,0,(N($H82)-P82)/N($H82)))</f>
        <v/>
      </c>
      <c r="T82" s="64" t="str">
        <f aca="false">IF($A82="","",IF(O82&lt;=N($I82),MAX(0,2*N($I82)-O82),0))</f>
        <v/>
      </c>
      <c r="U82" s="61" t="str">
        <f aca="false">IF($A82="","",SUMIFS(Sales!$L$5:INDEX(Sales!$L$5:$L$3004,TxRows),Sales!$D$5:INDEX(Sales!$D$5:$D$3004,TxRows),$A82))</f>
        <v/>
      </c>
      <c r="V82" s="61" t="str">
        <f aca="false">IF($A82="","",SUMIFS(Sales!$S$5:INDEX(Sales!$S$5:$S$3004,TxRows),Sales!$D$5:INDEX(Sales!$D$5:$D$3004,TxRows),$A82))</f>
        <v/>
      </c>
      <c r="W82" s="66" t="str">
        <f aca="false">IF($A82="","",IFERROR(SUMPRODUCT(MAX((Sales!$D$5:INDEX(Sales!$D$5:$D$3004,TxRows)=$A82)*Sales!$A$5:INDEX(Sales!$A$5:$A$3004,TxRows))),0))</f>
        <v/>
      </c>
      <c r="X82" s="67" t="str">
        <f aca="false">IF($A82="","",IF(W82=0,AsOf-FYStart,AsOf-W82))</f>
        <v/>
      </c>
      <c r="Y82" s="67" t="str">
        <f aca="false">IF($A82="","",IF(M82=0,"",O82/(M82/MAX(1,AsOf-FYStart))))</f>
        <v/>
      </c>
      <c r="Z82" s="60" t="str">
        <f aca="false">IF($A82="","",U82+ROW()/1000000)</f>
        <v/>
      </c>
    </row>
    <row r="83" customFormat="false" ht="15" hidden="false" customHeight="false" outlineLevel="0" collapsed="false">
      <c r="A83" s="56"/>
      <c r="B83" s="56"/>
      <c r="C83" s="56"/>
      <c r="D83" s="56"/>
      <c r="E83" s="56"/>
      <c r="F83" s="63"/>
      <c r="G83" s="58"/>
      <c r="H83" s="58"/>
      <c r="I83" s="57"/>
      <c r="J83" s="57"/>
      <c r="K83" s="58"/>
      <c r="L83" s="64" t="str">
        <f aca="false">IF($A83="","",SUMIFS(Purchases!$E$5:INDEX(Purchases!$E$5:$E$3004,TxRows),Purchases!$D$5:INDEX(Purchases!$D$5:$D$3004,TxRows),$A83))</f>
        <v/>
      </c>
      <c r="M83" s="64" t="str">
        <f aca="false">IF($A83="","",SUMIFS(Sales!$E$5:INDEX(Sales!$E$5:$E$3004,TxRows),Sales!$D$5:INDEX(Sales!$D$5:$D$3004,TxRows),$A83))</f>
        <v/>
      </c>
      <c r="N83" s="64" t="str">
        <f aca="false">IF($A83="","",SUMIFS(Adjustments!$C$5:$C$504,Adjustments!$B$5:$B$504,$A83))</f>
        <v/>
      </c>
      <c r="O83" s="64" t="str">
        <f aca="false">IF($A83="","",N($J83)+L83-M83+N83)</f>
        <v/>
      </c>
      <c r="P83" s="61" t="str">
        <f aca="false">IF($A83="","",IFERROR((N($J83)*N($K83)+SUMIFS(Purchases!$K$5:INDEX(Purchases!$K$5:$K$3004,TxRows),Purchases!$D$5:INDEX(Purchases!$D$5:$D$3004,TxRows),$A83))/(N($J83)+L83),N($G83)))</f>
        <v/>
      </c>
      <c r="Q83" s="61" t="str">
        <f aca="false">IF($A83="","",MAX(0,O83)*P83)</f>
        <v/>
      </c>
      <c r="R83" s="60" t="str">
        <f aca="false">IF($A83="","",IF(O83&lt;0,"NEGATIVE",IF(O83=0,"OUT OF STOCK",IF(O83&lt;=N($I83),"REORDER",IF(AND(O83&gt;0,X83&gt;DeadDays),"DEAD STOCK","OK")))))</f>
        <v/>
      </c>
      <c r="S83" s="65" t="str">
        <f aca="false">IF($A83="","",IF(N($H83)=0,0,(N($H83)-P83)/N($H83)))</f>
        <v/>
      </c>
      <c r="T83" s="64" t="str">
        <f aca="false">IF($A83="","",IF(O83&lt;=N($I83),MAX(0,2*N($I83)-O83),0))</f>
        <v/>
      </c>
      <c r="U83" s="61" t="str">
        <f aca="false">IF($A83="","",SUMIFS(Sales!$L$5:INDEX(Sales!$L$5:$L$3004,TxRows),Sales!$D$5:INDEX(Sales!$D$5:$D$3004,TxRows),$A83))</f>
        <v/>
      </c>
      <c r="V83" s="61" t="str">
        <f aca="false">IF($A83="","",SUMIFS(Sales!$S$5:INDEX(Sales!$S$5:$S$3004,TxRows),Sales!$D$5:INDEX(Sales!$D$5:$D$3004,TxRows),$A83))</f>
        <v/>
      </c>
      <c r="W83" s="66" t="str">
        <f aca="false">IF($A83="","",IFERROR(SUMPRODUCT(MAX((Sales!$D$5:INDEX(Sales!$D$5:$D$3004,TxRows)=$A83)*Sales!$A$5:INDEX(Sales!$A$5:$A$3004,TxRows))),0))</f>
        <v/>
      </c>
      <c r="X83" s="67" t="str">
        <f aca="false">IF($A83="","",IF(W83=0,AsOf-FYStart,AsOf-W83))</f>
        <v/>
      </c>
      <c r="Y83" s="67" t="str">
        <f aca="false">IF($A83="","",IF(M83=0,"",O83/(M83/MAX(1,AsOf-FYStart))))</f>
        <v/>
      </c>
      <c r="Z83" s="60" t="str">
        <f aca="false">IF($A83="","",U83+ROW()/1000000)</f>
        <v/>
      </c>
    </row>
    <row r="84" customFormat="false" ht="15" hidden="false" customHeight="false" outlineLevel="0" collapsed="false">
      <c r="A84" s="56"/>
      <c r="B84" s="56"/>
      <c r="C84" s="56"/>
      <c r="D84" s="56"/>
      <c r="E84" s="56"/>
      <c r="F84" s="63"/>
      <c r="G84" s="58"/>
      <c r="H84" s="58"/>
      <c r="I84" s="57"/>
      <c r="J84" s="57"/>
      <c r="K84" s="58"/>
      <c r="L84" s="64" t="str">
        <f aca="false">IF($A84="","",SUMIFS(Purchases!$E$5:INDEX(Purchases!$E$5:$E$3004,TxRows),Purchases!$D$5:INDEX(Purchases!$D$5:$D$3004,TxRows),$A84))</f>
        <v/>
      </c>
      <c r="M84" s="64" t="str">
        <f aca="false">IF($A84="","",SUMIFS(Sales!$E$5:INDEX(Sales!$E$5:$E$3004,TxRows),Sales!$D$5:INDEX(Sales!$D$5:$D$3004,TxRows),$A84))</f>
        <v/>
      </c>
      <c r="N84" s="64" t="str">
        <f aca="false">IF($A84="","",SUMIFS(Adjustments!$C$5:$C$504,Adjustments!$B$5:$B$504,$A84))</f>
        <v/>
      </c>
      <c r="O84" s="64" t="str">
        <f aca="false">IF($A84="","",N($J84)+L84-M84+N84)</f>
        <v/>
      </c>
      <c r="P84" s="61" t="str">
        <f aca="false">IF($A84="","",IFERROR((N($J84)*N($K84)+SUMIFS(Purchases!$K$5:INDEX(Purchases!$K$5:$K$3004,TxRows),Purchases!$D$5:INDEX(Purchases!$D$5:$D$3004,TxRows),$A84))/(N($J84)+L84),N($G84)))</f>
        <v/>
      </c>
      <c r="Q84" s="61" t="str">
        <f aca="false">IF($A84="","",MAX(0,O84)*P84)</f>
        <v/>
      </c>
      <c r="R84" s="60" t="str">
        <f aca="false">IF($A84="","",IF(O84&lt;0,"NEGATIVE",IF(O84=0,"OUT OF STOCK",IF(O84&lt;=N($I84),"REORDER",IF(AND(O84&gt;0,X84&gt;DeadDays),"DEAD STOCK","OK")))))</f>
        <v/>
      </c>
      <c r="S84" s="65" t="str">
        <f aca="false">IF($A84="","",IF(N($H84)=0,0,(N($H84)-P84)/N($H84)))</f>
        <v/>
      </c>
      <c r="T84" s="64" t="str">
        <f aca="false">IF($A84="","",IF(O84&lt;=N($I84),MAX(0,2*N($I84)-O84),0))</f>
        <v/>
      </c>
      <c r="U84" s="61" t="str">
        <f aca="false">IF($A84="","",SUMIFS(Sales!$L$5:INDEX(Sales!$L$5:$L$3004,TxRows),Sales!$D$5:INDEX(Sales!$D$5:$D$3004,TxRows),$A84))</f>
        <v/>
      </c>
      <c r="V84" s="61" t="str">
        <f aca="false">IF($A84="","",SUMIFS(Sales!$S$5:INDEX(Sales!$S$5:$S$3004,TxRows),Sales!$D$5:INDEX(Sales!$D$5:$D$3004,TxRows),$A84))</f>
        <v/>
      </c>
      <c r="W84" s="66" t="str">
        <f aca="false">IF($A84="","",IFERROR(SUMPRODUCT(MAX((Sales!$D$5:INDEX(Sales!$D$5:$D$3004,TxRows)=$A84)*Sales!$A$5:INDEX(Sales!$A$5:$A$3004,TxRows))),0))</f>
        <v/>
      </c>
      <c r="X84" s="67" t="str">
        <f aca="false">IF($A84="","",IF(W84=0,AsOf-FYStart,AsOf-W84))</f>
        <v/>
      </c>
      <c r="Y84" s="67" t="str">
        <f aca="false">IF($A84="","",IF(M84=0,"",O84/(M84/MAX(1,AsOf-FYStart))))</f>
        <v/>
      </c>
      <c r="Z84" s="60" t="str">
        <f aca="false">IF($A84="","",U84+ROW()/1000000)</f>
        <v/>
      </c>
    </row>
    <row r="85" customFormat="false" ht="15" hidden="false" customHeight="false" outlineLevel="0" collapsed="false">
      <c r="A85" s="56"/>
      <c r="B85" s="56"/>
      <c r="C85" s="56"/>
      <c r="D85" s="56"/>
      <c r="E85" s="56"/>
      <c r="F85" s="63"/>
      <c r="G85" s="58"/>
      <c r="H85" s="58"/>
      <c r="I85" s="57"/>
      <c r="J85" s="57"/>
      <c r="K85" s="58"/>
      <c r="L85" s="64" t="str">
        <f aca="false">IF($A85="","",SUMIFS(Purchases!$E$5:INDEX(Purchases!$E$5:$E$3004,TxRows),Purchases!$D$5:INDEX(Purchases!$D$5:$D$3004,TxRows),$A85))</f>
        <v/>
      </c>
      <c r="M85" s="64" t="str">
        <f aca="false">IF($A85="","",SUMIFS(Sales!$E$5:INDEX(Sales!$E$5:$E$3004,TxRows),Sales!$D$5:INDEX(Sales!$D$5:$D$3004,TxRows),$A85))</f>
        <v/>
      </c>
      <c r="N85" s="64" t="str">
        <f aca="false">IF($A85="","",SUMIFS(Adjustments!$C$5:$C$504,Adjustments!$B$5:$B$504,$A85))</f>
        <v/>
      </c>
      <c r="O85" s="64" t="str">
        <f aca="false">IF($A85="","",N($J85)+L85-M85+N85)</f>
        <v/>
      </c>
      <c r="P85" s="61" t="str">
        <f aca="false">IF($A85="","",IFERROR((N($J85)*N($K85)+SUMIFS(Purchases!$K$5:INDEX(Purchases!$K$5:$K$3004,TxRows),Purchases!$D$5:INDEX(Purchases!$D$5:$D$3004,TxRows),$A85))/(N($J85)+L85),N($G85)))</f>
        <v/>
      </c>
      <c r="Q85" s="61" t="str">
        <f aca="false">IF($A85="","",MAX(0,O85)*P85)</f>
        <v/>
      </c>
      <c r="R85" s="60" t="str">
        <f aca="false">IF($A85="","",IF(O85&lt;0,"NEGATIVE",IF(O85=0,"OUT OF STOCK",IF(O85&lt;=N($I85),"REORDER",IF(AND(O85&gt;0,X85&gt;DeadDays),"DEAD STOCK","OK")))))</f>
        <v/>
      </c>
      <c r="S85" s="65" t="str">
        <f aca="false">IF($A85="","",IF(N($H85)=0,0,(N($H85)-P85)/N($H85)))</f>
        <v/>
      </c>
      <c r="T85" s="64" t="str">
        <f aca="false">IF($A85="","",IF(O85&lt;=N($I85),MAX(0,2*N($I85)-O85),0))</f>
        <v/>
      </c>
      <c r="U85" s="61" t="str">
        <f aca="false">IF($A85="","",SUMIFS(Sales!$L$5:INDEX(Sales!$L$5:$L$3004,TxRows),Sales!$D$5:INDEX(Sales!$D$5:$D$3004,TxRows),$A85))</f>
        <v/>
      </c>
      <c r="V85" s="61" t="str">
        <f aca="false">IF($A85="","",SUMIFS(Sales!$S$5:INDEX(Sales!$S$5:$S$3004,TxRows),Sales!$D$5:INDEX(Sales!$D$5:$D$3004,TxRows),$A85))</f>
        <v/>
      </c>
      <c r="W85" s="66" t="str">
        <f aca="false">IF($A85="","",IFERROR(SUMPRODUCT(MAX((Sales!$D$5:INDEX(Sales!$D$5:$D$3004,TxRows)=$A85)*Sales!$A$5:INDEX(Sales!$A$5:$A$3004,TxRows))),0))</f>
        <v/>
      </c>
      <c r="X85" s="67" t="str">
        <f aca="false">IF($A85="","",IF(W85=0,AsOf-FYStart,AsOf-W85))</f>
        <v/>
      </c>
      <c r="Y85" s="67" t="str">
        <f aca="false">IF($A85="","",IF(M85=0,"",O85/(M85/MAX(1,AsOf-FYStart))))</f>
        <v/>
      </c>
      <c r="Z85" s="60" t="str">
        <f aca="false">IF($A85="","",U85+ROW()/1000000)</f>
        <v/>
      </c>
    </row>
    <row r="86" customFormat="false" ht="15" hidden="false" customHeight="false" outlineLevel="0" collapsed="false">
      <c r="A86" s="56"/>
      <c r="B86" s="56"/>
      <c r="C86" s="56"/>
      <c r="D86" s="56"/>
      <c r="E86" s="56"/>
      <c r="F86" s="63"/>
      <c r="G86" s="58"/>
      <c r="H86" s="58"/>
      <c r="I86" s="57"/>
      <c r="J86" s="57"/>
      <c r="K86" s="58"/>
      <c r="L86" s="64" t="str">
        <f aca="false">IF($A86="","",SUMIFS(Purchases!$E$5:INDEX(Purchases!$E$5:$E$3004,TxRows),Purchases!$D$5:INDEX(Purchases!$D$5:$D$3004,TxRows),$A86))</f>
        <v/>
      </c>
      <c r="M86" s="64" t="str">
        <f aca="false">IF($A86="","",SUMIFS(Sales!$E$5:INDEX(Sales!$E$5:$E$3004,TxRows),Sales!$D$5:INDEX(Sales!$D$5:$D$3004,TxRows),$A86))</f>
        <v/>
      </c>
      <c r="N86" s="64" t="str">
        <f aca="false">IF($A86="","",SUMIFS(Adjustments!$C$5:$C$504,Adjustments!$B$5:$B$504,$A86))</f>
        <v/>
      </c>
      <c r="O86" s="64" t="str">
        <f aca="false">IF($A86="","",N($J86)+L86-M86+N86)</f>
        <v/>
      </c>
      <c r="P86" s="61" t="str">
        <f aca="false">IF($A86="","",IFERROR((N($J86)*N($K86)+SUMIFS(Purchases!$K$5:INDEX(Purchases!$K$5:$K$3004,TxRows),Purchases!$D$5:INDEX(Purchases!$D$5:$D$3004,TxRows),$A86))/(N($J86)+L86),N($G86)))</f>
        <v/>
      </c>
      <c r="Q86" s="61" t="str">
        <f aca="false">IF($A86="","",MAX(0,O86)*P86)</f>
        <v/>
      </c>
      <c r="R86" s="60" t="str">
        <f aca="false">IF($A86="","",IF(O86&lt;0,"NEGATIVE",IF(O86=0,"OUT OF STOCK",IF(O86&lt;=N($I86),"REORDER",IF(AND(O86&gt;0,X86&gt;DeadDays),"DEAD STOCK","OK")))))</f>
        <v/>
      </c>
      <c r="S86" s="65" t="str">
        <f aca="false">IF($A86="","",IF(N($H86)=0,0,(N($H86)-P86)/N($H86)))</f>
        <v/>
      </c>
      <c r="T86" s="64" t="str">
        <f aca="false">IF($A86="","",IF(O86&lt;=N($I86),MAX(0,2*N($I86)-O86),0))</f>
        <v/>
      </c>
      <c r="U86" s="61" t="str">
        <f aca="false">IF($A86="","",SUMIFS(Sales!$L$5:INDEX(Sales!$L$5:$L$3004,TxRows),Sales!$D$5:INDEX(Sales!$D$5:$D$3004,TxRows),$A86))</f>
        <v/>
      </c>
      <c r="V86" s="61" t="str">
        <f aca="false">IF($A86="","",SUMIFS(Sales!$S$5:INDEX(Sales!$S$5:$S$3004,TxRows),Sales!$D$5:INDEX(Sales!$D$5:$D$3004,TxRows),$A86))</f>
        <v/>
      </c>
      <c r="W86" s="66" t="str">
        <f aca="false">IF($A86="","",IFERROR(SUMPRODUCT(MAX((Sales!$D$5:INDEX(Sales!$D$5:$D$3004,TxRows)=$A86)*Sales!$A$5:INDEX(Sales!$A$5:$A$3004,TxRows))),0))</f>
        <v/>
      </c>
      <c r="X86" s="67" t="str">
        <f aca="false">IF($A86="","",IF(W86=0,AsOf-FYStart,AsOf-W86))</f>
        <v/>
      </c>
      <c r="Y86" s="67" t="str">
        <f aca="false">IF($A86="","",IF(M86=0,"",O86/(M86/MAX(1,AsOf-FYStart))))</f>
        <v/>
      </c>
      <c r="Z86" s="60" t="str">
        <f aca="false">IF($A86="","",U86+ROW()/1000000)</f>
        <v/>
      </c>
    </row>
    <row r="87" customFormat="false" ht="15" hidden="false" customHeight="false" outlineLevel="0" collapsed="false">
      <c r="A87" s="56"/>
      <c r="B87" s="56"/>
      <c r="C87" s="56"/>
      <c r="D87" s="56"/>
      <c r="E87" s="56"/>
      <c r="F87" s="63"/>
      <c r="G87" s="58"/>
      <c r="H87" s="58"/>
      <c r="I87" s="57"/>
      <c r="J87" s="57"/>
      <c r="K87" s="58"/>
      <c r="L87" s="64" t="str">
        <f aca="false">IF($A87="","",SUMIFS(Purchases!$E$5:INDEX(Purchases!$E$5:$E$3004,TxRows),Purchases!$D$5:INDEX(Purchases!$D$5:$D$3004,TxRows),$A87))</f>
        <v/>
      </c>
      <c r="M87" s="64" t="str">
        <f aca="false">IF($A87="","",SUMIFS(Sales!$E$5:INDEX(Sales!$E$5:$E$3004,TxRows),Sales!$D$5:INDEX(Sales!$D$5:$D$3004,TxRows),$A87))</f>
        <v/>
      </c>
      <c r="N87" s="64" t="str">
        <f aca="false">IF($A87="","",SUMIFS(Adjustments!$C$5:$C$504,Adjustments!$B$5:$B$504,$A87))</f>
        <v/>
      </c>
      <c r="O87" s="64" t="str">
        <f aca="false">IF($A87="","",N($J87)+L87-M87+N87)</f>
        <v/>
      </c>
      <c r="P87" s="61" t="str">
        <f aca="false">IF($A87="","",IFERROR((N($J87)*N($K87)+SUMIFS(Purchases!$K$5:INDEX(Purchases!$K$5:$K$3004,TxRows),Purchases!$D$5:INDEX(Purchases!$D$5:$D$3004,TxRows),$A87))/(N($J87)+L87),N($G87)))</f>
        <v/>
      </c>
      <c r="Q87" s="61" t="str">
        <f aca="false">IF($A87="","",MAX(0,O87)*P87)</f>
        <v/>
      </c>
      <c r="R87" s="60" t="str">
        <f aca="false">IF($A87="","",IF(O87&lt;0,"NEGATIVE",IF(O87=0,"OUT OF STOCK",IF(O87&lt;=N($I87),"REORDER",IF(AND(O87&gt;0,X87&gt;DeadDays),"DEAD STOCK","OK")))))</f>
        <v/>
      </c>
      <c r="S87" s="65" t="str">
        <f aca="false">IF($A87="","",IF(N($H87)=0,0,(N($H87)-P87)/N($H87)))</f>
        <v/>
      </c>
      <c r="T87" s="64" t="str">
        <f aca="false">IF($A87="","",IF(O87&lt;=N($I87),MAX(0,2*N($I87)-O87),0))</f>
        <v/>
      </c>
      <c r="U87" s="61" t="str">
        <f aca="false">IF($A87="","",SUMIFS(Sales!$L$5:INDEX(Sales!$L$5:$L$3004,TxRows),Sales!$D$5:INDEX(Sales!$D$5:$D$3004,TxRows),$A87))</f>
        <v/>
      </c>
      <c r="V87" s="61" t="str">
        <f aca="false">IF($A87="","",SUMIFS(Sales!$S$5:INDEX(Sales!$S$5:$S$3004,TxRows),Sales!$D$5:INDEX(Sales!$D$5:$D$3004,TxRows),$A87))</f>
        <v/>
      </c>
      <c r="W87" s="66" t="str">
        <f aca="false">IF($A87="","",IFERROR(SUMPRODUCT(MAX((Sales!$D$5:INDEX(Sales!$D$5:$D$3004,TxRows)=$A87)*Sales!$A$5:INDEX(Sales!$A$5:$A$3004,TxRows))),0))</f>
        <v/>
      </c>
      <c r="X87" s="67" t="str">
        <f aca="false">IF($A87="","",IF(W87=0,AsOf-FYStart,AsOf-W87))</f>
        <v/>
      </c>
      <c r="Y87" s="67" t="str">
        <f aca="false">IF($A87="","",IF(M87=0,"",O87/(M87/MAX(1,AsOf-FYStart))))</f>
        <v/>
      </c>
      <c r="Z87" s="60" t="str">
        <f aca="false">IF($A87="","",U87+ROW()/1000000)</f>
        <v/>
      </c>
    </row>
    <row r="88" customFormat="false" ht="15" hidden="false" customHeight="false" outlineLevel="0" collapsed="false">
      <c r="A88" s="56"/>
      <c r="B88" s="56"/>
      <c r="C88" s="56"/>
      <c r="D88" s="56"/>
      <c r="E88" s="56"/>
      <c r="F88" s="63"/>
      <c r="G88" s="58"/>
      <c r="H88" s="58"/>
      <c r="I88" s="57"/>
      <c r="J88" s="57"/>
      <c r="K88" s="58"/>
      <c r="L88" s="64" t="str">
        <f aca="false">IF($A88="","",SUMIFS(Purchases!$E$5:INDEX(Purchases!$E$5:$E$3004,TxRows),Purchases!$D$5:INDEX(Purchases!$D$5:$D$3004,TxRows),$A88))</f>
        <v/>
      </c>
      <c r="M88" s="64" t="str">
        <f aca="false">IF($A88="","",SUMIFS(Sales!$E$5:INDEX(Sales!$E$5:$E$3004,TxRows),Sales!$D$5:INDEX(Sales!$D$5:$D$3004,TxRows),$A88))</f>
        <v/>
      </c>
      <c r="N88" s="64" t="str">
        <f aca="false">IF($A88="","",SUMIFS(Adjustments!$C$5:$C$504,Adjustments!$B$5:$B$504,$A88))</f>
        <v/>
      </c>
      <c r="O88" s="64" t="str">
        <f aca="false">IF($A88="","",N($J88)+L88-M88+N88)</f>
        <v/>
      </c>
      <c r="P88" s="61" t="str">
        <f aca="false">IF($A88="","",IFERROR((N($J88)*N($K88)+SUMIFS(Purchases!$K$5:INDEX(Purchases!$K$5:$K$3004,TxRows),Purchases!$D$5:INDEX(Purchases!$D$5:$D$3004,TxRows),$A88))/(N($J88)+L88),N($G88)))</f>
        <v/>
      </c>
      <c r="Q88" s="61" t="str">
        <f aca="false">IF($A88="","",MAX(0,O88)*P88)</f>
        <v/>
      </c>
      <c r="R88" s="60" t="str">
        <f aca="false">IF($A88="","",IF(O88&lt;0,"NEGATIVE",IF(O88=0,"OUT OF STOCK",IF(O88&lt;=N($I88),"REORDER",IF(AND(O88&gt;0,X88&gt;DeadDays),"DEAD STOCK","OK")))))</f>
        <v/>
      </c>
      <c r="S88" s="65" t="str">
        <f aca="false">IF($A88="","",IF(N($H88)=0,0,(N($H88)-P88)/N($H88)))</f>
        <v/>
      </c>
      <c r="T88" s="64" t="str">
        <f aca="false">IF($A88="","",IF(O88&lt;=N($I88),MAX(0,2*N($I88)-O88),0))</f>
        <v/>
      </c>
      <c r="U88" s="61" t="str">
        <f aca="false">IF($A88="","",SUMIFS(Sales!$L$5:INDEX(Sales!$L$5:$L$3004,TxRows),Sales!$D$5:INDEX(Sales!$D$5:$D$3004,TxRows),$A88))</f>
        <v/>
      </c>
      <c r="V88" s="61" t="str">
        <f aca="false">IF($A88="","",SUMIFS(Sales!$S$5:INDEX(Sales!$S$5:$S$3004,TxRows),Sales!$D$5:INDEX(Sales!$D$5:$D$3004,TxRows),$A88))</f>
        <v/>
      </c>
      <c r="W88" s="66" t="str">
        <f aca="false">IF($A88="","",IFERROR(SUMPRODUCT(MAX((Sales!$D$5:INDEX(Sales!$D$5:$D$3004,TxRows)=$A88)*Sales!$A$5:INDEX(Sales!$A$5:$A$3004,TxRows))),0))</f>
        <v/>
      </c>
      <c r="X88" s="67" t="str">
        <f aca="false">IF($A88="","",IF(W88=0,AsOf-FYStart,AsOf-W88))</f>
        <v/>
      </c>
      <c r="Y88" s="67" t="str">
        <f aca="false">IF($A88="","",IF(M88=0,"",O88/(M88/MAX(1,AsOf-FYStart))))</f>
        <v/>
      </c>
      <c r="Z88" s="60" t="str">
        <f aca="false">IF($A88="","",U88+ROW()/1000000)</f>
        <v/>
      </c>
    </row>
    <row r="89" customFormat="false" ht="15" hidden="false" customHeight="false" outlineLevel="0" collapsed="false">
      <c r="A89" s="56"/>
      <c r="B89" s="56"/>
      <c r="C89" s="56"/>
      <c r="D89" s="56"/>
      <c r="E89" s="56"/>
      <c r="F89" s="63"/>
      <c r="G89" s="58"/>
      <c r="H89" s="58"/>
      <c r="I89" s="57"/>
      <c r="J89" s="57"/>
      <c r="K89" s="58"/>
      <c r="L89" s="64" t="str">
        <f aca="false">IF($A89="","",SUMIFS(Purchases!$E$5:INDEX(Purchases!$E$5:$E$3004,TxRows),Purchases!$D$5:INDEX(Purchases!$D$5:$D$3004,TxRows),$A89))</f>
        <v/>
      </c>
      <c r="M89" s="64" t="str">
        <f aca="false">IF($A89="","",SUMIFS(Sales!$E$5:INDEX(Sales!$E$5:$E$3004,TxRows),Sales!$D$5:INDEX(Sales!$D$5:$D$3004,TxRows),$A89))</f>
        <v/>
      </c>
      <c r="N89" s="64" t="str">
        <f aca="false">IF($A89="","",SUMIFS(Adjustments!$C$5:$C$504,Adjustments!$B$5:$B$504,$A89))</f>
        <v/>
      </c>
      <c r="O89" s="64" t="str">
        <f aca="false">IF($A89="","",N($J89)+L89-M89+N89)</f>
        <v/>
      </c>
      <c r="P89" s="61" t="str">
        <f aca="false">IF($A89="","",IFERROR((N($J89)*N($K89)+SUMIFS(Purchases!$K$5:INDEX(Purchases!$K$5:$K$3004,TxRows),Purchases!$D$5:INDEX(Purchases!$D$5:$D$3004,TxRows),$A89))/(N($J89)+L89),N($G89)))</f>
        <v/>
      </c>
      <c r="Q89" s="61" t="str">
        <f aca="false">IF($A89="","",MAX(0,O89)*P89)</f>
        <v/>
      </c>
      <c r="R89" s="60" t="str">
        <f aca="false">IF($A89="","",IF(O89&lt;0,"NEGATIVE",IF(O89=0,"OUT OF STOCK",IF(O89&lt;=N($I89),"REORDER",IF(AND(O89&gt;0,X89&gt;DeadDays),"DEAD STOCK","OK")))))</f>
        <v/>
      </c>
      <c r="S89" s="65" t="str">
        <f aca="false">IF($A89="","",IF(N($H89)=0,0,(N($H89)-P89)/N($H89)))</f>
        <v/>
      </c>
      <c r="T89" s="64" t="str">
        <f aca="false">IF($A89="","",IF(O89&lt;=N($I89),MAX(0,2*N($I89)-O89),0))</f>
        <v/>
      </c>
      <c r="U89" s="61" t="str">
        <f aca="false">IF($A89="","",SUMIFS(Sales!$L$5:INDEX(Sales!$L$5:$L$3004,TxRows),Sales!$D$5:INDEX(Sales!$D$5:$D$3004,TxRows),$A89))</f>
        <v/>
      </c>
      <c r="V89" s="61" t="str">
        <f aca="false">IF($A89="","",SUMIFS(Sales!$S$5:INDEX(Sales!$S$5:$S$3004,TxRows),Sales!$D$5:INDEX(Sales!$D$5:$D$3004,TxRows),$A89))</f>
        <v/>
      </c>
      <c r="W89" s="66" t="str">
        <f aca="false">IF($A89="","",IFERROR(SUMPRODUCT(MAX((Sales!$D$5:INDEX(Sales!$D$5:$D$3004,TxRows)=$A89)*Sales!$A$5:INDEX(Sales!$A$5:$A$3004,TxRows))),0))</f>
        <v/>
      </c>
      <c r="X89" s="67" t="str">
        <f aca="false">IF($A89="","",IF(W89=0,AsOf-FYStart,AsOf-W89))</f>
        <v/>
      </c>
      <c r="Y89" s="67" t="str">
        <f aca="false">IF($A89="","",IF(M89=0,"",O89/(M89/MAX(1,AsOf-FYStart))))</f>
        <v/>
      </c>
      <c r="Z89" s="60" t="str">
        <f aca="false">IF($A89="","",U89+ROW()/1000000)</f>
        <v/>
      </c>
    </row>
    <row r="90" customFormat="false" ht="15" hidden="false" customHeight="false" outlineLevel="0" collapsed="false">
      <c r="A90" s="56"/>
      <c r="B90" s="56"/>
      <c r="C90" s="56"/>
      <c r="D90" s="56"/>
      <c r="E90" s="56"/>
      <c r="F90" s="63"/>
      <c r="G90" s="58"/>
      <c r="H90" s="58"/>
      <c r="I90" s="57"/>
      <c r="J90" s="57"/>
      <c r="K90" s="58"/>
      <c r="L90" s="64" t="str">
        <f aca="false">IF($A90="","",SUMIFS(Purchases!$E$5:INDEX(Purchases!$E$5:$E$3004,TxRows),Purchases!$D$5:INDEX(Purchases!$D$5:$D$3004,TxRows),$A90))</f>
        <v/>
      </c>
      <c r="M90" s="64" t="str">
        <f aca="false">IF($A90="","",SUMIFS(Sales!$E$5:INDEX(Sales!$E$5:$E$3004,TxRows),Sales!$D$5:INDEX(Sales!$D$5:$D$3004,TxRows),$A90))</f>
        <v/>
      </c>
      <c r="N90" s="64" t="str">
        <f aca="false">IF($A90="","",SUMIFS(Adjustments!$C$5:$C$504,Adjustments!$B$5:$B$504,$A90))</f>
        <v/>
      </c>
      <c r="O90" s="64" t="str">
        <f aca="false">IF($A90="","",N($J90)+L90-M90+N90)</f>
        <v/>
      </c>
      <c r="P90" s="61" t="str">
        <f aca="false">IF($A90="","",IFERROR((N($J90)*N($K90)+SUMIFS(Purchases!$K$5:INDEX(Purchases!$K$5:$K$3004,TxRows),Purchases!$D$5:INDEX(Purchases!$D$5:$D$3004,TxRows),$A90))/(N($J90)+L90),N($G90)))</f>
        <v/>
      </c>
      <c r="Q90" s="61" t="str">
        <f aca="false">IF($A90="","",MAX(0,O90)*P90)</f>
        <v/>
      </c>
      <c r="R90" s="60" t="str">
        <f aca="false">IF($A90="","",IF(O90&lt;0,"NEGATIVE",IF(O90=0,"OUT OF STOCK",IF(O90&lt;=N($I90),"REORDER",IF(AND(O90&gt;0,X90&gt;DeadDays),"DEAD STOCK","OK")))))</f>
        <v/>
      </c>
      <c r="S90" s="65" t="str">
        <f aca="false">IF($A90="","",IF(N($H90)=0,0,(N($H90)-P90)/N($H90)))</f>
        <v/>
      </c>
      <c r="T90" s="64" t="str">
        <f aca="false">IF($A90="","",IF(O90&lt;=N($I90),MAX(0,2*N($I90)-O90),0))</f>
        <v/>
      </c>
      <c r="U90" s="61" t="str">
        <f aca="false">IF($A90="","",SUMIFS(Sales!$L$5:INDEX(Sales!$L$5:$L$3004,TxRows),Sales!$D$5:INDEX(Sales!$D$5:$D$3004,TxRows),$A90))</f>
        <v/>
      </c>
      <c r="V90" s="61" t="str">
        <f aca="false">IF($A90="","",SUMIFS(Sales!$S$5:INDEX(Sales!$S$5:$S$3004,TxRows),Sales!$D$5:INDEX(Sales!$D$5:$D$3004,TxRows),$A90))</f>
        <v/>
      </c>
      <c r="W90" s="66" t="str">
        <f aca="false">IF($A90="","",IFERROR(SUMPRODUCT(MAX((Sales!$D$5:INDEX(Sales!$D$5:$D$3004,TxRows)=$A90)*Sales!$A$5:INDEX(Sales!$A$5:$A$3004,TxRows))),0))</f>
        <v/>
      </c>
      <c r="X90" s="67" t="str">
        <f aca="false">IF($A90="","",IF(W90=0,AsOf-FYStart,AsOf-W90))</f>
        <v/>
      </c>
      <c r="Y90" s="67" t="str">
        <f aca="false">IF($A90="","",IF(M90=0,"",O90/(M90/MAX(1,AsOf-FYStart))))</f>
        <v/>
      </c>
      <c r="Z90" s="60" t="str">
        <f aca="false">IF($A90="","",U90+ROW()/1000000)</f>
        <v/>
      </c>
    </row>
    <row r="91" customFormat="false" ht="15" hidden="false" customHeight="false" outlineLevel="0" collapsed="false">
      <c r="A91" s="56"/>
      <c r="B91" s="56"/>
      <c r="C91" s="56"/>
      <c r="D91" s="56"/>
      <c r="E91" s="56"/>
      <c r="F91" s="63"/>
      <c r="G91" s="58"/>
      <c r="H91" s="58"/>
      <c r="I91" s="57"/>
      <c r="J91" s="57"/>
      <c r="K91" s="58"/>
      <c r="L91" s="64" t="str">
        <f aca="false">IF($A91="","",SUMIFS(Purchases!$E$5:INDEX(Purchases!$E$5:$E$3004,TxRows),Purchases!$D$5:INDEX(Purchases!$D$5:$D$3004,TxRows),$A91))</f>
        <v/>
      </c>
      <c r="M91" s="64" t="str">
        <f aca="false">IF($A91="","",SUMIFS(Sales!$E$5:INDEX(Sales!$E$5:$E$3004,TxRows),Sales!$D$5:INDEX(Sales!$D$5:$D$3004,TxRows),$A91))</f>
        <v/>
      </c>
      <c r="N91" s="64" t="str">
        <f aca="false">IF($A91="","",SUMIFS(Adjustments!$C$5:$C$504,Adjustments!$B$5:$B$504,$A91))</f>
        <v/>
      </c>
      <c r="O91" s="64" t="str">
        <f aca="false">IF($A91="","",N($J91)+L91-M91+N91)</f>
        <v/>
      </c>
      <c r="P91" s="61" t="str">
        <f aca="false">IF($A91="","",IFERROR((N($J91)*N($K91)+SUMIFS(Purchases!$K$5:INDEX(Purchases!$K$5:$K$3004,TxRows),Purchases!$D$5:INDEX(Purchases!$D$5:$D$3004,TxRows),$A91))/(N($J91)+L91),N($G91)))</f>
        <v/>
      </c>
      <c r="Q91" s="61" t="str">
        <f aca="false">IF($A91="","",MAX(0,O91)*P91)</f>
        <v/>
      </c>
      <c r="R91" s="60" t="str">
        <f aca="false">IF($A91="","",IF(O91&lt;0,"NEGATIVE",IF(O91=0,"OUT OF STOCK",IF(O91&lt;=N($I91),"REORDER",IF(AND(O91&gt;0,X91&gt;DeadDays),"DEAD STOCK","OK")))))</f>
        <v/>
      </c>
      <c r="S91" s="65" t="str">
        <f aca="false">IF($A91="","",IF(N($H91)=0,0,(N($H91)-P91)/N($H91)))</f>
        <v/>
      </c>
      <c r="T91" s="64" t="str">
        <f aca="false">IF($A91="","",IF(O91&lt;=N($I91),MAX(0,2*N($I91)-O91),0))</f>
        <v/>
      </c>
      <c r="U91" s="61" t="str">
        <f aca="false">IF($A91="","",SUMIFS(Sales!$L$5:INDEX(Sales!$L$5:$L$3004,TxRows),Sales!$D$5:INDEX(Sales!$D$5:$D$3004,TxRows),$A91))</f>
        <v/>
      </c>
      <c r="V91" s="61" t="str">
        <f aca="false">IF($A91="","",SUMIFS(Sales!$S$5:INDEX(Sales!$S$5:$S$3004,TxRows),Sales!$D$5:INDEX(Sales!$D$5:$D$3004,TxRows),$A91))</f>
        <v/>
      </c>
      <c r="W91" s="66" t="str">
        <f aca="false">IF($A91="","",IFERROR(SUMPRODUCT(MAX((Sales!$D$5:INDEX(Sales!$D$5:$D$3004,TxRows)=$A91)*Sales!$A$5:INDEX(Sales!$A$5:$A$3004,TxRows))),0))</f>
        <v/>
      </c>
      <c r="X91" s="67" t="str">
        <f aca="false">IF($A91="","",IF(W91=0,AsOf-FYStart,AsOf-W91))</f>
        <v/>
      </c>
      <c r="Y91" s="67" t="str">
        <f aca="false">IF($A91="","",IF(M91=0,"",O91/(M91/MAX(1,AsOf-FYStart))))</f>
        <v/>
      </c>
      <c r="Z91" s="60" t="str">
        <f aca="false">IF($A91="","",U91+ROW()/1000000)</f>
        <v/>
      </c>
    </row>
    <row r="92" customFormat="false" ht="15" hidden="false" customHeight="false" outlineLevel="0" collapsed="false">
      <c r="A92" s="56"/>
      <c r="B92" s="56"/>
      <c r="C92" s="56"/>
      <c r="D92" s="56"/>
      <c r="E92" s="56"/>
      <c r="F92" s="63"/>
      <c r="G92" s="58"/>
      <c r="H92" s="58"/>
      <c r="I92" s="57"/>
      <c r="J92" s="57"/>
      <c r="K92" s="58"/>
      <c r="L92" s="64" t="str">
        <f aca="false">IF($A92="","",SUMIFS(Purchases!$E$5:INDEX(Purchases!$E$5:$E$3004,TxRows),Purchases!$D$5:INDEX(Purchases!$D$5:$D$3004,TxRows),$A92))</f>
        <v/>
      </c>
      <c r="M92" s="64" t="str">
        <f aca="false">IF($A92="","",SUMIFS(Sales!$E$5:INDEX(Sales!$E$5:$E$3004,TxRows),Sales!$D$5:INDEX(Sales!$D$5:$D$3004,TxRows),$A92))</f>
        <v/>
      </c>
      <c r="N92" s="64" t="str">
        <f aca="false">IF($A92="","",SUMIFS(Adjustments!$C$5:$C$504,Adjustments!$B$5:$B$504,$A92))</f>
        <v/>
      </c>
      <c r="O92" s="64" t="str">
        <f aca="false">IF($A92="","",N($J92)+L92-M92+N92)</f>
        <v/>
      </c>
      <c r="P92" s="61" t="str">
        <f aca="false">IF($A92="","",IFERROR((N($J92)*N($K92)+SUMIFS(Purchases!$K$5:INDEX(Purchases!$K$5:$K$3004,TxRows),Purchases!$D$5:INDEX(Purchases!$D$5:$D$3004,TxRows),$A92))/(N($J92)+L92),N($G92)))</f>
        <v/>
      </c>
      <c r="Q92" s="61" t="str">
        <f aca="false">IF($A92="","",MAX(0,O92)*P92)</f>
        <v/>
      </c>
      <c r="R92" s="60" t="str">
        <f aca="false">IF($A92="","",IF(O92&lt;0,"NEGATIVE",IF(O92=0,"OUT OF STOCK",IF(O92&lt;=N($I92),"REORDER",IF(AND(O92&gt;0,X92&gt;DeadDays),"DEAD STOCK","OK")))))</f>
        <v/>
      </c>
      <c r="S92" s="65" t="str">
        <f aca="false">IF($A92="","",IF(N($H92)=0,0,(N($H92)-P92)/N($H92)))</f>
        <v/>
      </c>
      <c r="T92" s="64" t="str">
        <f aca="false">IF($A92="","",IF(O92&lt;=N($I92),MAX(0,2*N($I92)-O92),0))</f>
        <v/>
      </c>
      <c r="U92" s="61" t="str">
        <f aca="false">IF($A92="","",SUMIFS(Sales!$L$5:INDEX(Sales!$L$5:$L$3004,TxRows),Sales!$D$5:INDEX(Sales!$D$5:$D$3004,TxRows),$A92))</f>
        <v/>
      </c>
      <c r="V92" s="61" t="str">
        <f aca="false">IF($A92="","",SUMIFS(Sales!$S$5:INDEX(Sales!$S$5:$S$3004,TxRows),Sales!$D$5:INDEX(Sales!$D$5:$D$3004,TxRows),$A92))</f>
        <v/>
      </c>
      <c r="W92" s="66" t="str">
        <f aca="false">IF($A92="","",IFERROR(SUMPRODUCT(MAX((Sales!$D$5:INDEX(Sales!$D$5:$D$3004,TxRows)=$A92)*Sales!$A$5:INDEX(Sales!$A$5:$A$3004,TxRows))),0))</f>
        <v/>
      </c>
      <c r="X92" s="67" t="str">
        <f aca="false">IF($A92="","",IF(W92=0,AsOf-FYStart,AsOf-W92))</f>
        <v/>
      </c>
      <c r="Y92" s="67" t="str">
        <f aca="false">IF($A92="","",IF(M92=0,"",O92/(M92/MAX(1,AsOf-FYStart))))</f>
        <v/>
      </c>
      <c r="Z92" s="60" t="str">
        <f aca="false">IF($A92="","",U92+ROW()/1000000)</f>
        <v/>
      </c>
    </row>
    <row r="93" customFormat="false" ht="15" hidden="false" customHeight="false" outlineLevel="0" collapsed="false">
      <c r="A93" s="56"/>
      <c r="B93" s="56"/>
      <c r="C93" s="56"/>
      <c r="D93" s="56"/>
      <c r="E93" s="56"/>
      <c r="F93" s="63"/>
      <c r="G93" s="58"/>
      <c r="H93" s="58"/>
      <c r="I93" s="57"/>
      <c r="J93" s="57"/>
      <c r="K93" s="58"/>
      <c r="L93" s="64" t="str">
        <f aca="false">IF($A93="","",SUMIFS(Purchases!$E$5:INDEX(Purchases!$E$5:$E$3004,TxRows),Purchases!$D$5:INDEX(Purchases!$D$5:$D$3004,TxRows),$A93))</f>
        <v/>
      </c>
      <c r="M93" s="64" t="str">
        <f aca="false">IF($A93="","",SUMIFS(Sales!$E$5:INDEX(Sales!$E$5:$E$3004,TxRows),Sales!$D$5:INDEX(Sales!$D$5:$D$3004,TxRows),$A93))</f>
        <v/>
      </c>
      <c r="N93" s="64" t="str">
        <f aca="false">IF($A93="","",SUMIFS(Adjustments!$C$5:$C$504,Adjustments!$B$5:$B$504,$A93))</f>
        <v/>
      </c>
      <c r="O93" s="64" t="str">
        <f aca="false">IF($A93="","",N($J93)+L93-M93+N93)</f>
        <v/>
      </c>
      <c r="P93" s="61" t="str">
        <f aca="false">IF($A93="","",IFERROR((N($J93)*N($K93)+SUMIFS(Purchases!$K$5:INDEX(Purchases!$K$5:$K$3004,TxRows),Purchases!$D$5:INDEX(Purchases!$D$5:$D$3004,TxRows),$A93))/(N($J93)+L93),N($G93)))</f>
        <v/>
      </c>
      <c r="Q93" s="61" t="str">
        <f aca="false">IF($A93="","",MAX(0,O93)*P93)</f>
        <v/>
      </c>
      <c r="R93" s="60" t="str">
        <f aca="false">IF($A93="","",IF(O93&lt;0,"NEGATIVE",IF(O93=0,"OUT OF STOCK",IF(O93&lt;=N($I93),"REORDER",IF(AND(O93&gt;0,X93&gt;DeadDays),"DEAD STOCK","OK")))))</f>
        <v/>
      </c>
      <c r="S93" s="65" t="str">
        <f aca="false">IF($A93="","",IF(N($H93)=0,0,(N($H93)-P93)/N($H93)))</f>
        <v/>
      </c>
      <c r="T93" s="64" t="str">
        <f aca="false">IF($A93="","",IF(O93&lt;=N($I93),MAX(0,2*N($I93)-O93),0))</f>
        <v/>
      </c>
      <c r="U93" s="61" t="str">
        <f aca="false">IF($A93="","",SUMIFS(Sales!$L$5:INDEX(Sales!$L$5:$L$3004,TxRows),Sales!$D$5:INDEX(Sales!$D$5:$D$3004,TxRows),$A93))</f>
        <v/>
      </c>
      <c r="V93" s="61" t="str">
        <f aca="false">IF($A93="","",SUMIFS(Sales!$S$5:INDEX(Sales!$S$5:$S$3004,TxRows),Sales!$D$5:INDEX(Sales!$D$5:$D$3004,TxRows),$A93))</f>
        <v/>
      </c>
      <c r="W93" s="66" t="str">
        <f aca="false">IF($A93="","",IFERROR(SUMPRODUCT(MAX((Sales!$D$5:INDEX(Sales!$D$5:$D$3004,TxRows)=$A93)*Sales!$A$5:INDEX(Sales!$A$5:$A$3004,TxRows))),0))</f>
        <v/>
      </c>
      <c r="X93" s="67" t="str">
        <f aca="false">IF($A93="","",IF(W93=0,AsOf-FYStart,AsOf-W93))</f>
        <v/>
      </c>
      <c r="Y93" s="67" t="str">
        <f aca="false">IF($A93="","",IF(M93=0,"",O93/(M93/MAX(1,AsOf-FYStart))))</f>
        <v/>
      </c>
      <c r="Z93" s="60" t="str">
        <f aca="false">IF($A93="","",U93+ROW()/1000000)</f>
        <v/>
      </c>
    </row>
    <row r="94" customFormat="false" ht="15" hidden="false" customHeight="false" outlineLevel="0" collapsed="false">
      <c r="A94" s="56"/>
      <c r="B94" s="56"/>
      <c r="C94" s="56"/>
      <c r="D94" s="56"/>
      <c r="E94" s="56"/>
      <c r="F94" s="63"/>
      <c r="G94" s="58"/>
      <c r="H94" s="58"/>
      <c r="I94" s="57"/>
      <c r="J94" s="57"/>
      <c r="K94" s="58"/>
      <c r="L94" s="64" t="str">
        <f aca="false">IF($A94="","",SUMIFS(Purchases!$E$5:INDEX(Purchases!$E$5:$E$3004,TxRows),Purchases!$D$5:INDEX(Purchases!$D$5:$D$3004,TxRows),$A94))</f>
        <v/>
      </c>
      <c r="M94" s="64" t="str">
        <f aca="false">IF($A94="","",SUMIFS(Sales!$E$5:INDEX(Sales!$E$5:$E$3004,TxRows),Sales!$D$5:INDEX(Sales!$D$5:$D$3004,TxRows),$A94))</f>
        <v/>
      </c>
      <c r="N94" s="64" t="str">
        <f aca="false">IF($A94="","",SUMIFS(Adjustments!$C$5:$C$504,Adjustments!$B$5:$B$504,$A94))</f>
        <v/>
      </c>
      <c r="O94" s="64" t="str">
        <f aca="false">IF($A94="","",N($J94)+L94-M94+N94)</f>
        <v/>
      </c>
      <c r="P94" s="61" t="str">
        <f aca="false">IF($A94="","",IFERROR((N($J94)*N($K94)+SUMIFS(Purchases!$K$5:INDEX(Purchases!$K$5:$K$3004,TxRows),Purchases!$D$5:INDEX(Purchases!$D$5:$D$3004,TxRows),$A94))/(N($J94)+L94),N($G94)))</f>
        <v/>
      </c>
      <c r="Q94" s="61" t="str">
        <f aca="false">IF($A94="","",MAX(0,O94)*P94)</f>
        <v/>
      </c>
      <c r="R94" s="60" t="str">
        <f aca="false">IF($A94="","",IF(O94&lt;0,"NEGATIVE",IF(O94=0,"OUT OF STOCK",IF(O94&lt;=N($I94),"REORDER",IF(AND(O94&gt;0,X94&gt;DeadDays),"DEAD STOCK","OK")))))</f>
        <v/>
      </c>
      <c r="S94" s="65" t="str">
        <f aca="false">IF($A94="","",IF(N($H94)=0,0,(N($H94)-P94)/N($H94)))</f>
        <v/>
      </c>
      <c r="T94" s="64" t="str">
        <f aca="false">IF($A94="","",IF(O94&lt;=N($I94),MAX(0,2*N($I94)-O94),0))</f>
        <v/>
      </c>
      <c r="U94" s="61" t="str">
        <f aca="false">IF($A94="","",SUMIFS(Sales!$L$5:INDEX(Sales!$L$5:$L$3004,TxRows),Sales!$D$5:INDEX(Sales!$D$5:$D$3004,TxRows),$A94))</f>
        <v/>
      </c>
      <c r="V94" s="61" t="str">
        <f aca="false">IF($A94="","",SUMIFS(Sales!$S$5:INDEX(Sales!$S$5:$S$3004,TxRows),Sales!$D$5:INDEX(Sales!$D$5:$D$3004,TxRows),$A94))</f>
        <v/>
      </c>
      <c r="W94" s="66" t="str">
        <f aca="false">IF($A94="","",IFERROR(SUMPRODUCT(MAX((Sales!$D$5:INDEX(Sales!$D$5:$D$3004,TxRows)=$A94)*Sales!$A$5:INDEX(Sales!$A$5:$A$3004,TxRows))),0))</f>
        <v/>
      </c>
      <c r="X94" s="67" t="str">
        <f aca="false">IF($A94="","",IF(W94=0,AsOf-FYStart,AsOf-W94))</f>
        <v/>
      </c>
      <c r="Y94" s="67" t="str">
        <f aca="false">IF($A94="","",IF(M94=0,"",O94/(M94/MAX(1,AsOf-FYStart))))</f>
        <v/>
      </c>
      <c r="Z94" s="60" t="str">
        <f aca="false">IF($A94="","",U94+ROW()/1000000)</f>
        <v/>
      </c>
    </row>
    <row r="95" customFormat="false" ht="15" hidden="false" customHeight="false" outlineLevel="0" collapsed="false">
      <c r="A95" s="56"/>
      <c r="B95" s="56"/>
      <c r="C95" s="56"/>
      <c r="D95" s="56"/>
      <c r="E95" s="56"/>
      <c r="F95" s="63"/>
      <c r="G95" s="58"/>
      <c r="H95" s="58"/>
      <c r="I95" s="57"/>
      <c r="J95" s="57"/>
      <c r="K95" s="58"/>
      <c r="L95" s="64" t="str">
        <f aca="false">IF($A95="","",SUMIFS(Purchases!$E$5:INDEX(Purchases!$E$5:$E$3004,TxRows),Purchases!$D$5:INDEX(Purchases!$D$5:$D$3004,TxRows),$A95))</f>
        <v/>
      </c>
      <c r="M95" s="64" t="str">
        <f aca="false">IF($A95="","",SUMIFS(Sales!$E$5:INDEX(Sales!$E$5:$E$3004,TxRows),Sales!$D$5:INDEX(Sales!$D$5:$D$3004,TxRows),$A95))</f>
        <v/>
      </c>
      <c r="N95" s="64" t="str">
        <f aca="false">IF($A95="","",SUMIFS(Adjustments!$C$5:$C$504,Adjustments!$B$5:$B$504,$A95))</f>
        <v/>
      </c>
      <c r="O95" s="64" t="str">
        <f aca="false">IF($A95="","",N($J95)+L95-M95+N95)</f>
        <v/>
      </c>
      <c r="P95" s="61" t="str">
        <f aca="false">IF($A95="","",IFERROR((N($J95)*N($K95)+SUMIFS(Purchases!$K$5:INDEX(Purchases!$K$5:$K$3004,TxRows),Purchases!$D$5:INDEX(Purchases!$D$5:$D$3004,TxRows),$A95))/(N($J95)+L95),N($G95)))</f>
        <v/>
      </c>
      <c r="Q95" s="61" t="str">
        <f aca="false">IF($A95="","",MAX(0,O95)*P95)</f>
        <v/>
      </c>
      <c r="R95" s="60" t="str">
        <f aca="false">IF($A95="","",IF(O95&lt;0,"NEGATIVE",IF(O95=0,"OUT OF STOCK",IF(O95&lt;=N($I95),"REORDER",IF(AND(O95&gt;0,X95&gt;DeadDays),"DEAD STOCK","OK")))))</f>
        <v/>
      </c>
      <c r="S95" s="65" t="str">
        <f aca="false">IF($A95="","",IF(N($H95)=0,0,(N($H95)-P95)/N($H95)))</f>
        <v/>
      </c>
      <c r="T95" s="64" t="str">
        <f aca="false">IF($A95="","",IF(O95&lt;=N($I95),MAX(0,2*N($I95)-O95),0))</f>
        <v/>
      </c>
      <c r="U95" s="61" t="str">
        <f aca="false">IF($A95="","",SUMIFS(Sales!$L$5:INDEX(Sales!$L$5:$L$3004,TxRows),Sales!$D$5:INDEX(Sales!$D$5:$D$3004,TxRows),$A95))</f>
        <v/>
      </c>
      <c r="V95" s="61" t="str">
        <f aca="false">IF($A95="","",SUMIFS(Sales!$S$5:INDEX(Sales!$S$5:$S$3004,TxRows),Sales!$D$5:INDEX(Sales!$D$5:$D$3004,TxRows),$A95))</f>
        <v/>
      </c>
      <c r="W95" s="66" t="str">
        <f aca="false">IF($A95="","",IFERROR(SUMPRODUCT(MAX((Sales!$D$5:INDEX(Sales!$D$5:$D$3004,TxRows)=$A95)*Sales!$A$5:INDEX(Sales!$A$5:$A$3004,TxRows))),0))</f>
        <v/>
      </c>
      <c r="X95" s="67" t="str">
        <f aca="false">IF($A95="","",IF(W95=0,AsOf-FYStart,AsOf-W95))</f>
        <v/>
      </c>
      <c r="Y95" s="67" t="str">
        <f aca="false">IF($A95="","",IF(M95=0,"",O95/(M95/MAX(1,AsOf-FYStart))))</f>
        <v/>
      </c>
      <c r="Z95" s="60" t="str">
        <f aca="false">IF($A95="","",U95+ROW()/1000000)</f>
        <v/>
      </c>
    </row>
    <row r="96" customFormat="false" ht="15" hidden="false" customHeight="false" outlineLevel="0" collapsed="false">
      <c r="A96" s="56"/>
      <c r="B96" s="56"/>
      <c r="C96" s="56"/>
      <c r="D96" s="56"/>
      <c r="E96" s="56"/>
      <c r="F96" s="63"/>
      <c r="G96" s="58"/>
      <c r="H96" s="58"/>
      <c r="I96" s="57"/>
      <c r="J96" s="57"/>
      <c r="K96" s="58"/>
      <c r="L96" s="64" t="str">
        <f aca="false">IF($A96="","",SUMIFS(Purchases!$E$5:INDEX(Purchases!$E$5:$E$3004,TxRows),Purchases!$D$5:INDEX(Purchases!$D$5:$D$3004,TxRows),$A96))</f>
        <v/>
      </c>
      <c r="M96" s="64" t="str">
        <f aca="false">IF($A96="","",SUMIFS(Sales!$E$5:INDEX(Sales!$E$5:$E$3004,TxRows),Sales!$D$5:INDEX(Sales!$D$5:$D$3004,TxRows),$A96))</f>
        <v/>
      </c>
      <c r="N96" s="64" t="str">
        <f aca="false">IF($A96="","",SUMIFS(Adjustments!$C$5:$C$504,Adjustments!$B$5:$B$504,$A96))</f>
        <v/>
      </c>
      <c r="O96" s="64" t="str">
        <f aca="false">IF($A96="","",N($J96)+L96-M96+N96)</f>
        <v/>
      </c>
      <c r="P96" s="61" t="str">
        <f aca="false">IF($A96="","",IFERROR((N($J96)*N($K96)+SUMIFS(Purchases!$K$5:INDEX(Purchases!$K$5:$K$3004,TxRows),Purchases!$D$5:INDEX(Purchases!$D$5:$D$3004,TxRows),$A96))/(N($J96)+L96),N($G96)))</f>
        <v/>
      </c>
      <c r="Q96" s="61" t="str">
        <f aca="false">IF($A96="","",MAX(0,O96)*P96)</f>
        <v/>
      </c>
      <c r="R96" s="60" t="str">
        <f aca="false">IF($A96="","",IF(O96&lt;0,"NEGATIVE",IF(O96=0,"OUT OF STOCK",IF(O96&lt;=N($I96),"REORDER",IF(AND(O96&gt;0,X96&gt;DeadDays),"DEAD STOCK","OK")))))</f>
        <v/>
      </c>
      <c r="S96" s="65" t="str">
        <f aca="false">IF($A96="","",IF(N($H96)=0,0,(N($H96)-P96)/N($H96)))</f>
        <v/>
      </c>
      <c r="T96" s="64" t="str">
        <f aca="false">IF($A96="","",IF(O96&lt;=N($I96),MAX(0,2*N($I96)-O96),0))</f>
        <v/>
      </c>
      <c r="U96" s="61" t="str">
        <f aca="false">IF($A96="","",SUMIFS(Sales!$L$5:INDEX(Sales!$L$5:$L$3004,TxRows),Sales!$D$5:INDEX(Sales!$D$5:$D$3004,TxRows),$A96))</f>
        <v/>
      </c>
      <c r="V96" s="61" t="str">
        <f aca="false">IF($A96="","",SUMIFS(Sales!$S$5:INDEX(Sales!$S$5:$S$3004,TxRows),Sales!$D$5:INDEX(Sales!$D$5:$D$3004,TxRows),$A96))</f>
        <v/>
      </c>
      <c r="W96" s="66" t="str">
        <f aca="false">IF($A96="","",IFERROR(SUMPRODUCT(MAX((Sales!$D$5:INDEX(Sales!$D$5:$D$3004,TxRows)=$A96)*Sales!$A$5:INDEX(Sales!$A$5:$A$3004,TxRows))),0))</f>
        <v/>
      </c>
      <c r="X96" s="67" t="str">
        <f aca="false">IF($A96="","",IF(W96=0,AsOf-FYStart,AsOf-W96))</f>
        <v/>
      </c>
      <c r="Y96" s="67" t="str">
        <f aca="false">IF($A96="","",IF(M96=0,"",O96/(M96/MAX(1,AsOf-FYStart))))</f>
        <v/>
      </c>
      <c r="Z96" s="60" t="str">
        <f aca="false">IF($A96="","",U96+ROW()/1000000)</f>
        <v/>
      </c>
    </row>
    <row r="97" customFormat="false" ht="15" hidden="false" customHeight="false" outlineLevel="0" collapsed="false">
      <c r="A97" s="56"/>
      <c r="B97" s="56"/>
      <c r="C97" s="56"/>
      <c r="D97" s="56"/>
      <c r="E97" s="56"/>
      <c r="F97" s="63"/>
      <c r="G97" s="58"/>
      <c r="H97" s="58"/>
      <c r="I97" s="57"/>
      <c r="J97" s="57"/>
      <c r="K97" s="58"/>
      <c r="L97" s="64" t="str">
        <f aca="false">IF($A97="","",SUMIFS(Purchases!$E$5:INDEX(Purchases!$E$5:$E$3004,TxRows),Purchases!$D$5:INDEX(Purchases!$D$5:$D$3004,TxRows),$A97))</f>
        <v/>
      </c>
      <c r="M97" s="64" t="str">
        <f aca="false">IF($A97="","",SUMIFS(Sales!$E$5:INDEX(Sales!$E$5:$E$3004,TxRows),Sales!$D$5:INDEX(Sales!$D$5:$D$3004,TxRows),$A97))</f>
        <v/>
      </c>
      <c r="N97" s="64" t="str">
        <f aca="false">IF($A97="","",SUMIFS(Adjustments!$C$5:$C$504,Adjustments!$B$5:$B$504,$A97))</f>
        <v/>
      </c>
      <c r="O97" s="64" t="str">
        <f aca="false">IF($A97="","",N($J97)+L97-M97+N97)</f>
        <v/>
      </c>
      <c r="P97" s="61" t="str">
        <f aca="false">IF($A97="","",IFERROR((N($J97)*N($K97)+SUMIFS(Purchases!$K$5:INDEX(Purchases!$K$5:$K$3004,TxRows),Purchases!$D$5:INDEX(Purchases!$D$5:$D$3004,TxRows),$A97))/(N($J97)+L97),N($G97)))</f>
        <v/>
      </c>
      <c r="Q97" s="61" t="str">
        <f aca="false">IF($A97="","",MAX(0,O97)*P97)</f>
        <v/>
      </c>
      <c r="R97" s="60" t="str">
        <f aca="false">IF($A97="","",IF(O97&lt;0,"NEGATIVE",IF(O97=0,"OUT OF STOCK",IF(O97&lt;=N($I97),"REORDER",IF(AND(O97&gt;0,X97&gt;DeadDays),"DEAD STOCK","OK")))))</f>
        <v/>
      </c>
      <c r="S97" s="65" t="str">
        <f aca="false">IF($A97="","",IF(N($H97)=0,0,(N($H97)-P97)/N($H97)))</f>
        <v/>
      </c>
      <c r="T97" s="64" t="str">
        <f aca="false">IF($A97="","",IF(O97&lt;=N($I97),MAX(0,2*N($I97)-O97),0))</f>
        <v/>
      </c>
      <c r="U97" s="61" t="str">
        <f aca="false">IF($A97="","",SUMIFS(Sales!$L$5:INDEX(Sales!$L$5:$L$3004,TxRows),Sales!$D$5:INDEX(Sales!$D$5:$D$3004,TxRows),$A97))</f>
        <v/>
      </c>
      <c r="V97" s="61" t="str">
        <f aca="false">IF($A97="","",SUMIFS(Sales!$S$5:INDEX(Sales!$S$5:$S$3004,TxRows),Sales!$D$5:INDEX(Sales!$D$5:$D$3004,TxRows),$A97))</f>
        <v/>
      </c>
      <c r="W97" s="66" t="str">
        <f aca="false">IF($A97="","",IFERROR(SUMPRODUCT(MAX((Sales!$D$5:INDEX(Sales!$D$5:$D$3004,TxRows)=$A97)*Sales!$A$5:INDEX(Sales!$A$5:$A$3004,TxRows))),0))</f>
        <v/>
      </c>
      <c r="X97" s="67" t="str">
        <f aca="false">IF($A97="","",IF(W97=0,AsOf-FYStart,AsOf-W97))</f>
        <v/>
      </c>
      <c r="Y97" s="67" t="str">
        <f aca="false">IF($A97="","",IF(M97=0,"",O97/(M97/MAX(1,AsOf-FYStart))))</f>
        <v/>
      </c>
      <c r="Z97" s="60" t="str">
        <f aca="false">IF($A97="","",U97+ROW()/1000000)</f>
        <v/>
      </c>
    </row>
    <row r="98" customFormat="false" ht="15" hidden="false" customHeight="false" outlineLevel="0" collapsed="false">
      <c r="A98" s="56"/>
      <c r="B98" s="56"/>
      <c r="C98" s="56"/>
      <c r="D98" s="56"/>
      <c r="E98" s="56"/>
      <c r="F98" s="63"/>
      <c r="G98" s="58"/>
      <c r="H98" s="58"/>
      <c r="I98" s="57"/>
      <c r="J98" s="57"/>
      <c r="K98" s="58"/>
      <c r="L98" s="64" t="str">
        <f aca="false">IF($A98="","",SUMIFS(Purchases!$E$5:INDEX(Purchases!$E$5:$E$3004,TxRows),Purchases!$D$5:INDEX(Purchases!$D$5:$D$3004,TxRows),$A98))</f>
        <v/>
      </c>
      <c r="M98" s="64" t="str">
        <f aca="false">IF($A98="","",SUMIFS(Sales!$E$5:INDEX(Sales!$E$5:$E$3004,TxRows),Sales!$D$5:INDEX(Sales!$D$5:$D$3004,TxRows),$A98))</f>
        <v/>
      </c>
      <c r="N98" s="64" t="str">
        <f aca="false">IF($A98="","",SUMIFS(Adjustments!$C$5:$C$504,Adjustments!$B$5:$B$504,$A98))</f>
        <v/>
      </c>
      <c r="O98" s="64" t="str">
        <f aca="false">IF($A98="","",N($J98)+L98-M98+N98)</f>
        <v/>
      </c>
      <c r="P98" s="61" t="str">
        <f aca="false">IF($A98="","",IFERROR((N($J98)*N($K98)+SUMIFS(Purchases!$K$5:INDEX(Purchases!$K$5:$K$3004,TxRows),Purchases!$D$5:INDEX(Purchases!$D$5:$D$3004,TxRows),$A98))/(N($J98)+L98),N($G98)))</f>
        <v/>
      </c>
      <c r="Q98" s="61" t="str">
        <f aca="false">IF($A98="","",MAX(0,O98)*P98)</f>
        <v/>
      </c>
      <c r="R98" s="60" t="str">
        <f aca="false">IF($A98="","",IF(O98&lt;0,"NEGATIVE",IF(O98=0,"OUT OF STOCK",IF(O98&lt;=N($I98),"REORDER",IF(AND(O98&gt;0,X98&gt;DeadDays),"DEAD STOCK","OK")))))</f>
        <v/>
      </c>
      <c r="S98" s="65" t="str">
        <f aca="false">IF($A98="","",IF(N($H98)=0,0,(N($H98)-P98)/N($H98)))</f>
        <v/>
      </c>
      <c r="T98" s="64" t="str">
        <f aca="false">IF($A98="","",IF(O98&lt;=N($I98),MAX(0,2*N($I98)-O98),0))</f>
        <v/>
      </c>
      <c r="U98" s="61" t="str">
        <f aca="false">IF($A98="","",SUMIFS(Sales!$L$5:INDEX(Sales!$L$5:$L$3004,TxRows),Sales!$D$5:INDEX(Sales!$D$5:$D$3004,TxRows),$A98))</f>
        <v/>
      </c>
      <c r="V98" s="61" t="str">
        <f aca="false">IF($A98="","",SUMIFS(Sales!$S$5:INDEX(Sales!$S$5:$S$3004,TxRows),Sales!$D$5:INDEX(Sales!$D$5:$D$3004,TxRows),$A98))</f>
        <v/>
      </c>
      <c r="W98" s="66" t="str">
        <f aca="false">IF($A98="","",IFERROR(SUMPRODUCT(MAX((Sales!$D$5:INDEX(Sales!$D$5:$D$3004,TxRows)=$A98)*Sales!$A$5:INDEX(Sales!$A$5:$A$3004,TxRows))),0))</f>
        <v/>
      </c>
      <c r="X98" s="67" t="str">
        <f aca="false">IF($A98="","",IF(W98=0,AsOf-FYStart,AsOf-W98))</f>
        <v/>
      </c>
      <c r="Y98" s="67" t="str">
        <f aca="false">IF($A98="","",IF(M98=0,"",O98/(M98/MAX(1,AsOf-FYStart))))</f>
        <v/>
      </c>
      <c r="Z98" s="60" t="str">
        <f aca="false">IF($A98="","",U98+ROW()/1000000)</f>
        <v/>
      </c>
    </row>
    <row r="99" customFormat="false" ht="15" hidden="false" customHeight="false" outlineLevel="0" collapsed="false">
      <c r="A99" s="56"/>
      <c r="B99" s="56"/>
      <c r="C99" s="56"/>
      <c r="D99" s="56"/>
      <c r="E99" s="56"/>
      <c r="F99" s="63"/>
      <c r="G99" s="58"/>
      <c r="H99" s="58"/>
      <c r="I99" s="57"/>
      <c r="J99" s="57"/>
      <c r="K99" s="58"/>
      <c r="L99" s="64" t="str">
        <f aca="false">IF($A99="","",SUMIFS(Purchases!$E$5:INDEX(Purchases!$E$5:$E$3004,TxRows),Purchases!$D$5:INDEX(Purchases!$D$5:$D$3004,TxRows),$A99))</f>
        <v/>
      </c>
      <c r="M99" s="64" t="str">
        <f aca="false">IF($A99="","",SUMIFS(Sales!$E$5:INDEX(Sales!$E$5:$E$3004,TxRows),Sales!$D$5:INDEX(Sales!$D$5:$D$3004,TxRows),$A99))</f>
        <v/>
      </c>
      <c r="N99" s="64" t="str">
        <f aca="false">IF($A99="","",SUMIFS(Adjustments!$C$5:$C$504,Adjustments!$B$5:$B$504,$A99))</f>
        <v/>
      </c>
      <c r="O99" s="64" t="str">
        <f aca="false">IF($A99="","",N($J99)+L99-M99+N99)</f>
        <v/>
      </c>
      <c r="P99" s="61" t="str">
        <f aca="false">IF($A99="","",IFERROR((N($J99)*N($K99)+SUMIFS(Purchases!$K$5:INDEX(Purchases!$K$5:$K$3004,TxRows),Purchases!$D$5:INDEX(Purchases!$D$5:$D$3004,TxRows),$A99))/(N($J99)+L99),N($G99)))</f>
        <v/>
      </c>
      <c r="Q99" s="61" t="str">
        <f aca="false">IF($A99="","",MAX(0,O99)*P99)</f>
        <v/>
      </c>
      <c r="R99" s="60" t="str">
        <f aca="false">IF($A99="","",IF(O99&lt;0,"NEGATIVE",IF(O99=0,"OUT OF STOCK",IF(O99&lt;=N($I99),"REORDER",IF(AND(O99&gt;0,X99&gt;DeadDays),"DEAD STOCK","OK")))))</f>
        <v/>
      </c>
      <c r="S99" s="65" t="str">
        <f aca="false">IF($A99="","",IF(N($H99)=0,0,(N($H99)-P99)/N($H99)))</f>
        <v/>
      </c>
      <c r="T99" s="64" t="str">
        <f aca="false">IF($A99="","",IF(O99&lt;=N($I99),MAX(0,2*N($I99)-O99),0))</f>
        <v/>
      </c>
      <c r="U99" s="61" t="str">
        <f aca="false">IF($A99="","",SUMIFS(Sales!$L$5:INDEX(Sales!$L$5:$L$3004,TxRows),Sales!$D$5:INDEX(Sales!$D$5:$D$3004,TxRows),$A99))</f>
        <v/>
      </c>
      <c r="V99" s="61" t="str">
        <f aca="false">IF($A99="","",SUMIFS(Sales!$S$5:INDEX(Sales!$S$5:$S$3004,TxRows),Sales!$D$5:INDEX(Sales!$D$5:$D$3004,TxRows),$A99))</f>
        <v/>
      </c>
      <c r="W99" s="66" t="str">
        <f aca="false">IF($A99="","",IFERROR(SUMPRODUCT(MAX((Sales!$D$5:INDEX(Sales!$D$5:$D$3004,TxRows)=$A99)*Sales!$A$5:INDEX(Sales!$A$5:$A$3004,TxRows))),0))</f>
        <v/>
      </c>
      <c r="X99" s="67" t="str">
        <f aca="false">IF($A99="","",IF(W99=0,AsOf-FYStart,AsOf-W99))</f>
        <v/>
      </c>
      <c r="Y99" s="67" t="str">
        <f aca="false">IF($A99="","",IF(M99=0,"",O99/(M99/MAX(1,AsOf-FYStart))))</f>
        <v/>
      </c>
      <c r="Z99" s="60" t="str">
        <f aca="false">IF($A99="","",U99+ROW()/1000000)</f>
        <v/>
      </c>
    </row>
    <row r="100" customFormat="false" ht="15" hidden="false" customHeight="false" outlineLevel="0" collapsed="false">
      <c r="A100" s="56"/>
      <c r="B100" s="56"/>
      <c r="C100" s="56"/>
      <c r="D100" s="56"/>
      <c r="E100" s="56"/>
      <c r="F100" s="63"/>
      <c r="G100" s="58"/>
      <c r="H100" s="58"/>
      <c r="I100" s="57"/>
      <c r="J100" s="57"/>
      <c r="K100" s="58"/>
      <c r="L100" s="64" t="str">
        <f aca="false">IF($A100="","",SUMIFS(Purchases!$E$5:INDEX(Purchases!$E$5:$E$3004,TxRows),Purchases!$D$5:INDEX(Purchases!$D$5:$D$3004,TxRows),$A100))</f>
        <v/>
      </c>
      <c r="M100" s="64" t="str">
        <f aca="false">IF($A100="","",SUMIFS(Sales!$E$5:INDEX(Sales!$E$5:$E$3004,TxRows),Sales!$D$5:INDEX(Sales!$D$5:$D$3004,TxRows),$A100))</f>
        <v/>
      </c>
      <c r="N100" s="64" t="str">
        <f aca="false">IF($A100="","",SUMIFS(Adjustments!$C$5:$C$504,Adjustments!$B$5:$B$504,$A100))</f>
        <v/>
      </c>
      <c r="O100" s="64" t="str">
        <f aca="false">IF($A100="","",N($J100)+L100-M100+N100)</f>
        <v/>
      </c>
      <c r="P100" s="61" t="str">
        <f aca="false">IF($A100="","",IFERROR((N($J100)*N($K100)+SUMIFS(Purchases!$K$5:INDEX(Purchases!$K$5:$K$3004,TxRows),Purchases!$D$5:INDEX(Purchases!$D$5:$D$3004,TxRows),$A100))/(N($J100)+L100),N($G100)))</f>
        <v/>
      </c>
      <c r="Q100" s="61" t="str">
        <f aca="false">IF($A100="","",MAX(0,O100)*P100)</f>
        <v/>
      </c>
      <c r="R100" s="60" t="str">
        <f aca="false">IF($A100="","",IF(O100&lt;0,"NEGATIVE",IF(O100=0,"OUT OF STOCK",IF(O100&lt;=N($I100),"REORDER",IF(AND(O100&gt;0,X100&gt;DeadDays),"DEAD STOCK","OK")))))</f>
        <v/>
      </c>
      <c r="S100" s="65" t="str">
        <f aca="false">IF($A100="","",IF(N($H100)=0,0,(N($H100)-P100)/N($H100)))</f>
        <v/>
      </c>
      <c r="T100" s="64" t="str">
        <f aca="false">IF($A100="","",IF(O100&lt;=N($I100),MAX(0,2*N($I100)-O100),0))</f>
        <v/>
      </c>
      <c r="U100" s="61" t="str">
        <f aca="false">IF($A100="","",SUMIFS(Sales!$L$5:INDEX(Sales!$L$5:$L$3004,TxRows),Sales!$D$5:INDEX(Sales!$D$5:$D$3004,TxRows),$A100))</f>
        <v/>
      </c>
      <c r="V100" s="61" t="str">
        <f aca="false">IF($A100="","",SUMIFS(Sales!$S$5:INDEX(Sales!$S$5:$S$3004,TxRows),Sales!$D$5:INDEX(Sales!$D$5:$D$3004,TxRows),$A100))</f>
        <v/>
      </c>
      <c r="W100" s="66" t="str">
        <f aca="false">IF($A100="","",IFERROR(SUMPRODUCT(MAX((Sales!$D$5:INDEX(Sales!$D$5:$D$3004,TxRows)=$A100)*Sales!$A$5:INDEX(Sales!$A$5:$A$3004,TxRows))),0))</f>
        <v/>
      </c>
      <c r="X100" s="67" t="str">
        <f aca="false">IF($A100="","",IF(W100=0,AsOf-FYStart,AsOf-W100))</f>
        <v/>
      </c>
      <c r="Y100" s="67" t="str">
        <f aca="false">IF($A100="","",IF(M100=0,"",O100/(M100/MAX(1,AsOf-FYStart))))</f>
        <v/>
      </c>
      <c r="Z100" s="60" t="str">
        <f aca="false">IF($A100="","",U100+ROW()/1000000)</f>
        <v/>
      </c>
    </row>
    <row r="101" customFormat="false" ht="15" hidden="false" customHeight="false" outlineLevel="0" collapsed="false">
      <c r="A101" s="56"/>
      <c r="B101" s="56"/>
      <c r="C101" s="56"/>
      <c r="D101" s="56"/>
      <c r="E101" s="56"/>
      <c r="F101" s="63"/>
      <c r="G101" s="58"/>
      <c r="H101" s="58"/>
      <c r="I101" s="57"/>
      <c r="J101" s="57"/>
      <c r="K101" s="58"/>
      <c r="L101" s="64" t="str">
        <f aca="false">IF($A101="","",SUMIFS(Purchases!$E$5:INDEX(Purchases!$E$5:$E$3004,TxRows),Purchases!$D$5:INDEX(Purchases!$D$5:$D$3004,TxRows),$A101))</f>
        <v/>
      </c>
      <c r="M101" s="64" t="str">
        <f aca="false">IF($A101="","",SUMIFS(Sales!$E$5:INDEX(Sales!$E$5:$E$3004,TxRows),Sales!$D$5:INDEX(Sales!$D$5:$D$3004,TxRows),$A101))</f>
        <v/>
      </c>
      <c r="N101" s="64" t="str">
        <f aca="false">IF($A101="","",SUMIFS(Adjustments!$C$5:$C$504,Adjustments!$B$5:$B$504,$A101))</f>
        <v/>
      </c>
      <c r="O101" s="64" t="str">
        <f aca="false">IF($A101="","",N($J101)+L101-M101+N101)</f>
        <v/>
      </c>
      <c r="P101" s="61" t="str">
        <f aca="false">IF($A101="","",IFERROR((N($J101)*N($K101)+SUMIFS(Purchases!$K$5:INDEX(Purchases!$K$5:$K$3004,TxRows),Purchases!$D$5:INDEX(Purchases!$D$5:$D$3004,TxRows),$A101))/(N($J101)+L101),N($G101)))</f>
        <v/>
      </c>
      <c r="Q101" s="61" t="str">
        <f aca="false">IF($A101="","",MAX(0,O101)*P101)</f>
        <v/>
      </c>
      <c r="R101" s="60" t="str">
        <f aca="false">IF($A101="","",IF(O101&lt;0,"NEGATIVE",IF(O101=0,"OUT OF STOCK",IF(O101&lt;=N($I101),"REORDER",IF(AND(O101&gt;0,X101&gt;DeadDays),"DEAD STOCK","OK")))))</f>
        <v/>
      </c>
      <c r="S101" s="65" t="str">
        <f aca="false">IF($A101="","",IF(N($H101)=0,0,(N($H101)-P101)/N($H101)))</f>
        <v/>
      </c>
      <c r="T101" s="64" t="str">
        <f aca="false">IF($A101="","",IF(O101&lt;=N($I101),MAX(0,2*N($I101)-O101),0))</f>
        <v/>
      </c>
      <c r="U101" s="61" t="str">
        <f aca="false">IF($A101="","",SUMIFS(Sales!$L$5:INDEX(Sales!$L$5:$L$3004,TxRows),Sales!$D$5:INDEX(Sales!$D$5:$D$3004,TxRows),$A101))</f>
        <v/>
      </c>
      <c r="V101" s="61" t="str">
        <f aca="false">IF($A101="","",SUMIFS(Sales!$S$5:INDEX(Sales!$S$5:$S$3004,TxRows),Sales!$D$5:INDEX(Sales!$D$5:$D$3004,TxRows),$A101))</f>
        <v/>
      </c>
      <c r="W101" s="66" t="str">
        <f aca="false">IF($A101="","",IFERROR(SUMPRODUCT(MAX((Sales!$D$5:INDEX(Sales!$D$5:$D$3004,TxRows)=$A101)*Sales!$A$5:INDEX(Sales!$A$5:$A$3004,TxRows))),0))</f>
        <v/>
      </c>
      <c r="X101" s="67" t="str">
        <f aca="false">IF($A101="","",IF(W101=0,AsOf-FYStart,AsOf-W101))</f>
        <v/>
      </c>
      <c r="Y101" s="67" t="str">
        <f aca="false">IF($A101="","",IF(M101=0,"",O101/(M101/MAX(1,AsOf-FYStart))))</f>
        <v/>
      </c>
      <c r="Z101" s="60" t="str">
        <f aca="false">IF($A101="","",U101+ROW()/1000000)</f>
        <v/>
      </c>
    </row>
    <row r="102" customFormat="false" ht="15" hidden="false" customHeight="false" outlineLevel="0" collapsed="false">
      <c r="A102" s="56"/>
      <c r="B102" s="56"/>
      <c r="C102" s="56"/>
      <c r="D102" s="56"/>
      <c r="E102" s="56"/>
      <c r="F102" s="63"/>
      <c r="G102" s="58"/>
      <c r="H102" s="58"/>
      <c r="I102" s="57"/>
      <c r="J102" s="57"/>
      <c r="K102" s="58"/>
      <c r="L102" s="64" t="str">
        <f aca="false">IF($A102="","",SUMIFS(Purchases!$E$5:INDEX(Purchases!$E$5:$E$3004,TxRows),Purchases!$D$5:INDEX(Purchases!$D$5:$D$3004,TxRows),$A102))</f>
        <v/>
      </c>
      <c r="M102" s="64" t="str">
        <f aca="false">IF($A102="","",SUMIFS(Sales!$E$5:INDEX(Sales!$E$5:$E$3004,TxRows),Sales!$D$5:INDEX(Sales!$D$5:$D$3004,TxRows),$A102))</f>
        <v/>
      </c>
      <c r="N102" s="64" t="str">
        <f aca="false">IF($A102="","",SUMIFS(Adjustments!$C$5:$C$504,Adjustments!$B$5:$B$504,$A102))</f>
        <v/>
      </c>
      <c r="O102" s="64" t="str">
        <f aca="false">IF($A102="","",N($J102)+L102-M102+N102)</f>
        <v/>
      </c>
      <c r="P102" s="61" t="str">
        <f aca="false">IF($A102="","",IFERROR((N($J102)*N($K102)+SUMIFS(Purchases!$K$5:INDEX(Purchases!$K$5:$K$3004,TxRows),Purchases!$D$5:INDEX(Purchases!$D$5:$D$3004,TxRows),$A102))/(N($J102)+L102),N($G102)))</f>
        <v/>
      </c>
      <c r="Q102" s="61" t="str">
        <f aca="false">IF($A102="","",MAX(0,O102)*P102)</f>
        <v/>
      </c>
      <c r="R102" s="60" t="str">
        <f aca="false">IF($A102="","",IF(O102&lt;0,"NEGATIVE",IF(O102=0,"OUT OF STOCK",IF(O102&lt;=N($I102),"REORDER",IF(AND(O102&gt;0,X102&gt;DeadDays),"DEAD STOCK","OK")))))</f>
        <v/>
      </c>
      <c r="S102" s="65" t="str">
        <f aca="false">IF($A102="","",IF(N($H102)=0,0,(N($H102)-P102)/N($H102)))</f>
        <v/>
      </c>
      <c r="T102" s="64" t="str">
        <f aca="false">IF($A102="","",IF(O102&lt;=N($I102),MAX(0,2*N($I102)-O102),0))</f>
        <v/>
      </c>
      <c r="U102" s="61" t="str">
        <f aca="false">IF($A102="","",SUMIFS(Sales!$L$5:INDEX(Sales!$L$5:$L$3004,TxRows),Sales!$D$5:INDEX(Sales!$D$5:$D$3004,TxRows),$A102))</f>
        <v/>
      </c>
      <c r="V102" s="61" t="str">
        <f aca="false">IF($A102="","",SUMIFS(Sales!$S$5:INDEX(Sales!$S$5:$S$3004,TxRows),Sales!$D$5:INDEX(Sales!$D$5:$D$3004,TxRows),$A102))</f>
        <v/>
      </c>
      <c r="W102" s="66" t="str">
        <f aca="false">IF($A102="","",IFERROR(SUMPRODUCT(MAX((Sales!$D$5:INDEX(Sales!$D$5:$D$3004,TxRows)=$A102)*Sales!$A$5:INDEX(Sales!$A$5:$A$3004,TxRows))),0))</f>
        <v/>
      </c>
      <c r="X102" s="67" t="str">
        <f aca="false">IF($A102="","",IF(W102=0,AsOf-FYStart,AsOf-W102))</f>
        <v/>
      </c>
      <c r="Y102" s="67" t="str">
        <f aca="false">IF($A102="","",IF(M102=0,"",O102/(M102/MAX(1,AsOf-FYStart))))</f>
        <v/>
      </c>
      <c r="Z102" s="60" t="str">
        <f aca="false">IF($A102="","",U102+ROW()/1000000)</f>
        <v/>
      </c>
    </row>
    <row r="103" customFormat="false" ht="15" hidden="false" customHeight="false" outlineLevel="0" collapsed="false">
      <c r="A103" s="56"/>
      <c r="B103" s="56"/>
      <c r="C103" s="56"/>
      <c r="D103" s="56"/>
      <c r="E103" s="56"/>
      <c r="F103" s="63"/>
      <c r="G103" s="58"/>
      <c r="H103" s="58"/>
      <c r="I103" s="57"/>
      <c r="J103" s="57"/>
      <c r="K103" s="58"/>
      <c r="L103" s="64" t="str">
        <f aca="false">IF($A103="","",SUMIFS(Purchases!$E$5:INDEX(Purchases!$E$5:$E$3004,TxRows),Purchases!$D$5:INDEX(Purchases!$D$5:$D$3004,TxRows),$A103))</f>
        <v/>
      </c>
      <c r="M103" s="64" t="str">
        <f aca="false">IF($A103="","",SUMIFS(Sales!$E$5:INDEX(Sales!$E$5:$E$3004,TxRows),Sales!$D$5:INDEX(Sales!$D$5:$D$3004,TxRows),$A103))</f>
        <v/>
      </c>
      <c r="N103" s="64" t="str">
        <f aca="false">IF($A103="","",SUMIFS(Adjustments!$C$5:$C$504,Adjustments!$B$5:$B$504,$A103))</f>
        <v/>
      </c>
      <c r="O103" s="64" t="str">
        <f aca="false">IF($A103="","",N($J103)+L103-M103+N103)</f>
        <v/>
      </c>
      <c r="P103" s="61" t="str">
        <f aca="false">IF($A103="","",IFERROR((N($J103)*N($K103)+SUMIFS(Purchases!$K$5:INDEX(Purchases!$K$5:$K$3004,TxRows),Purchases!$D$5:INDEX(Purchases!$D$5:$D$3004,TxRows),$A103))/(N($J103)+L103),N($G103)))</f>
        <v/>
      </c>
      <c r="Q103" s="61" t="str">
        <f aca="false">IF($A103="","",MAX(0,O103)*P103)</f>
        <v/>
      </c>
      <c r="R103" s="60" t="str">
        <f aca="false">IF($A103="","",IF(O103&lt;0,"NEGATIVE",IF(O103=0,"OUT OF STOCK",IF(O103&lt;=N($I103),"REORDER",IF(AND(O103&gt;0,X103&gt;DeadDays),"DEAD STOCK","OK")))))</f>
        <v/>
      </c>
      <c r="S103" s="65" t="str">
        <f aca="false">IF($A103="","",IF(N($H103)=0,0,(N($H103)-P103)/N($H103)))</f>
        <v/>
      </c>
      <c r="T103" s="64" t="str">
        <f aca="false">IF($A103="","",IF(O103&lt;=N($I103),MAX(0,2*N($I103)-O103),0))</f>
        <v/>
      </c>
      <c r="U103" s="61" t="str">
        <f aca="false">IF($A103="","",SUMIFS(Sales!$L$5:INDEX(Sales!$L$5:$L$3004,TxRows),Sales!$D$5:INDEX(Sales!$D$5:$D$3004,TxRows),$A103))</f>
        <v/>
      </c>
      <c r="V103" s="61" t="str">
        <f aca="false">IF($A103="","",SUMIFS(Sales!$S$5:INDEX(Sales!$S$5:$S$3004,TxRows),Sales!$D$5:INDEX(Sales!$D$5:$D$3004,TxRows),$A103))</f>
        <v/>
      </c>
      <c r="W103" s="66" t="str">
        <f aca="false">IF($A103="","",IFERROR(SUMPRODUCT(MAX((Sales!$D$5:INDEX(Sales!$D$5:$D$3004,TxRows)=$A103)*Sales!$A$5:INDEX(Sales!$A$5:$A$3004,TxRows))),0))</f>
        <v/>
      </c>
      <c r="X103" s="67" t="str">
        <f aca="false">IF($A103="","",IF(W103=0,AsOf-FYStart,AsOf-W103))</f>
        <v/>
      </c>
      <c r="Y103" s="67" t="str">
        <f aca="false">IF($A103="","",IF(M103=0,"",O103/(M103/MAX(1,AsOf-FYStart))))</f>
        <v/>
      </c>
      <c r="Z103" s="60" t="str">
        <f aca="false">IF($A103="","",U103+ROW()/1000000)</f>
        <v/>
      </c>
    </row>
    <row r="104" customFormat="false" ht="15" hidden="false" customHeight="false" outlineLevel="0" collapsed="false">
      <c r="A104" s="56"/>
      <c r="B104" s="56"/>
      <c r="C104" s="56"/>
      <c r="D104" s="56"/>
      <c r="E104" s="56"/>
      <c r="F104" s="63"/>
      <c r="G104" s="58"/>
      <c r="H104" s="58"/>
      <c r="I104" s="57"/>
      <c r="J104" s="57"/>
      <c r="K104" s="58"/>
      <c r="L104" s="64" t="str">
        <f aca="false">IF($A104="","",SUMIFS(Purchases!$E$5:INDEX(Purchases!$E$5:$E$3004,TxRows),Purchases!$D$5:INDEX(Purchases!$D$5:$D$3004,TxRows),$A104))</f>
        <v/>
      </c>
      <c r="M104" s="64" t="str">
        <f aca="false">IF($A104="","",SUMIFS(Sales!$E$5:INDEX(Sales!$E$5:$E$3004,TxRows),Sales!$D$5:INDEX(Sales!$D$5:$D$3004,TxRows),$A104))</f>
        <v/>
      </c>
      <c r="N104" s="64" t="str">
        <f aca="false">IF($A104="","",SUMIFS(Adjustments!$C$5:$C$504,Adjustments!$B$5:$B$504,$A104))</f>
        <v/>
      </c>
      <c r="O104" s="64" t="str">
        <f aca="false">IF($A104="","",N($J104)+L104-M104+N104)</f>
        <v/>
      </c>
      <c r="P104" s="61" t="str">
        <f aca="false">IF($A104="","",IFERROR((N($J104)*N($K104)+SUMIFS(Purchases!$K$5:INDEX(Purchases!$K$5:$K$3004,TxRows),Purchases!$D$5:INDEX(Purchases!$D$5:$D$3004,TxRows),$A104))/(N($J104)+L104),N($G104)))</f>
        <v/>
      </c>
      <c r="Q104" s="61" t="str">
        <f aca="false">IF($A104="","",MAX(0,O104)*P104)</f>
        <v/>
      </c>
      <c r="R104" s="60" t="str">
        <f aca="false">IF($A104="","",IF(O104&lt;0,"NEGATIVE",IF(O104=0,"OUT OF STOCK",IF(O104&lt;=N($I104),"REORDER",IF(AND(O104&gt;0,X104&gt;DeadDays),"DEAD STOCK","OK")))))</f>
        <v/>
      </c>
      <c r="S104" s="65" t="str">
        <f aca="false">IF($A104="","",IF(N($H104)=0,0,(N($H104)-P104)/N($H104)))</f>
        <v/>
      </c>
      <c r="T104" s="64" t="str">
        <f aca="false">IF($A104="","",IF(O104&lt;=N($I104),MAX(0,2*N($I104)-O104),0))</f>
        <v/>
      </c>
      <c r="U104" s="61" t="str">
        <f aca="false">IF($A104="","",SUMIFS(Sales!$L$5:INDEX(Sales!$L$5:$L$3004,TxRows),Sales!$D$5:INDEX(Sales!$D$5:$D$3004,TxRows),$A104))</f>
        <v/>
      </c>
      <c r="V104" s="61" t="str">
        <f aca="false">IF($A104="","",SUMIFS(Sales!$S$5:INDEX(Sales!$S$5:$S$3004,TxRows),Sales!$D$5:INDEX(Sales!$D$5:$D$3004,TxRows),$A104))</f>
        <v/>
      </c>
      <c r="W104" s="66" t="str">
        <f aca="false">IF($A104="","",IFERROR(SUMPRODUCT(MAX((Sales!$D$5:INDEX(Sales!$D$5:$D$3004,TxRows)=$A104)*Sales!$A$5:INDEX(Sales!$A$5:$A$3004,TxRows))),0))</f>
        <v/>
      </c>
      <c r="X104" s="67" t="str">
        <f aca="false">IF($A104="","",IF(W104=0,AsOf-FYStart,AsOf-W104))</f>
        <v/>
      </c>
      <c r="Y104" s="67" t="str">
        <f aca="false">IF($A104="","",IF(M104=0,"",O104/(M104/MAX(1,AsOf-FYStart))))</f>
        <v/>
      </c>
      <c r="Z104" s="60" t="str">
        <f aca="false">IF($A104="","",U104+ROW()/1000000)</f>
        <v/>
      </c>
    </row>
    <row r="105" customFormat="false" ht="15" hidden="false" customHeight="false" outlineLevel="0" collapsed="false">
      <c r="A105" s="56"/>
      <c r="B105" s="56"/>
      <c r="C105" s="56"/>
      <c r="D105" s="56"/>
      <c r="E105" s="56"/>
      <c r="F105" s="63"/>
      <c r="G105" s="58"/>
      <c r="H105" s="58"/>
      <c r="I105" s="57"/>
      <c r="J105" s="57"/>
      <c r="K105" s="58"/>
      <c r="L105" s="64" t="str">
        <f aca="false">IF($A105="","",SUMIFS(Purchases!$E$5:INDEX(Purchases!$E$5:$E$3004,TxRows),Purchases!$D$5:INDEX(Purchases!$D$5:$D$3004,TxRows),$A105))</f>
        <v/>
      </c>
      <c r="M105" s="64" t="str">
        <f aca="false">IF($A105="","",SUMIFS(Sales!$E$5:INDEX(Sales!$E$5:$E$3004,TxRows),Sales!$D$5:INDEX(Sales!$D$5:$D$3004,TxRows),$A105))</f>
        <v/>
      </c>
      <c r="N105" s="64" t="str">
        <f aca="false">IF($A105="","",SUMIFS(Adjustments!$C$5:$C$504,Adjustments!$B$5:$B$504,$A105))</f>
        <v/>
      </c>
      <c r="O105" s="64" t="str">
        <f aca="false">IF($A105="","",N($J105)+L105-M105+N105)</f>
        <v/>
      </c>
      <c r="P105" s="61" t="str">
        <f aca="false">IF($A105="","",IFERROR((N($J105)*N($K105)+SUMIFS(Purchases!$K$5:INDEX(Purchases!$K$5:$K$3004,TxRows),Purchases!$D$5:INDEX(Purchases!$D$5:$D$3004,TxRows),$A105))/(N($J105)+L105),N($G105)))</f>
        <v/>
      </c>
      <c r="Q105" s="61" t="str">
        <f aca="false">IF($A105="","",MAX(0,O105)*P105)</f>
        <v/>
      </c>
      <c r="R105" s="60" t="str">
        <f aca="false">IF($A105="","",IF(O105&lt;0,"NEGATIVE",IF(O105=0,"OUT OF STOCK",IF(O105&lt;=N($I105),"REORDER",IF(AND(O105&gt;0,X105&gt;DeadDays),"DEAD STOCK","OK")))))</f>
        <v/>
      </c>
      <c r="S105" s="65" t="str">
        <f aca="false">IF($A105="","",IF(N($H105)=0,0,(N($H105)-P105)/N($H105)))</f>
        <v/>
      </c>
      <c r="T105" s="64" t="str">
        <f aca="false">IF($A105="","",IF(O105&lt;=N($I105),MAX(0,2*N($I105)-O105),0))</f>
        <v/>
      </c>
      <c r="U105" s="61" t="str">
        <f aca="false">IF($A105="","",SUMIFS(Sales!$L$5:INDEX(Sales!$L$5:$L$3004,TxRows),Sales!$D$5:INDEX(Sales!$D$5:$D$3004,TxRows),$A105))</f>
        <v/>
      </c>
      <c r="V105" s="61" t="str">
        <f aca="false">IF($A105="","",SUMIFS(Sales!$S$5:INDEX(Sales!$S$5:$S$3004,TxRows),Sales!$D$5:INDEX(Sales!$D$5:$D$3004,TxRows),$A105))</f>
        <v/>
      </c>
      <c r="W105" s="66" t="str">
        <f aca="false">IF($A105="","",IFERROR(SUMPRODUCT(MAX((Sales!$D$5:INDEX(Sales!$D$5:$D$3004,TxRows)=$A105)*Sales!$A$5:INDEX(Sales!$A$5:$A$3004,TxRows))),0))</f>
        <v/>
      </c>
      <c r="X105" s="67" t="str">
        <f aca="false">IF($A105="","",IF(W105=0,AsOf-FYStart,AsOf-W105))</f>
        <v/>
      </c>
      <c r="Y105" s="67" t="str">
        <f aca="false">IF($A105="","",IF(M105=0,"",O105/(M105/MAX(1,AsOf-FYStart))))</f>
        <v/>
      </c>
      <c r="Z105" s="60" t="str">
        <f aca="false">IF($A105="","",U105+ROW()/1000000)</f>
        <v/>
      </c>
    </row>
    <row r="106" customFormat="false" ht="15" hidden="false" customHeight="false" outlineLevel="0" collapsed="false">
      <c r="A106" s="56"/>
      <c r="B106" s="56"/>
      <c r="C106" s="56"/>
      <c r="D106" s="56"/>
      <c r="E106" s="56"/>
      <c r="F106" s="63"/>
      <c r="G106" s="58"/>
      <c r="H106" s="58"/>
      <c r="I106" s="57"/>
      <c r="J106" s="57"/>
      <c r="K106" s="58"/>
      <c r="L106" s="64" t="str">
        <f aca="false">IF($A106="","",SUMIFS(Purchases!$E$5:INDEX(Purchases!$E$5:$E$3004,TxRows),Purchases!$D$5:INDEX(Purchases!$D$5:$D$3004,TxRows),$A106))</f>
        <v/>
      </c>
      <c r="M106" s="64" t="str">
        <f aca="false">IF($A106="","",SUMIFS(Sales!$E$5:INDEX(Sales!$E$5:$E$3004,TxRows),Sales!$D$5:INDEX(Sales!$D$5:$D$3004,TxRows),$A106))</f>
        <v/>
      </c>
      <c r="N106" s="64" t="str">
        <f aca="false">IF($A106="","",SUMIFS(Adjustments!$C$5:$C$504,Adjustments!$B$5:$B$504,$A106))</f>
        <v/>
      </c>
      <c r="O106" s="64" t="str">
        <f aca="false">IF($A106="","",N($J106)+L106-M106+N106)</f>
        <v/>
      </c>
      <c r="P106" s="61" t="str">
        <f aca="false">IF($A106="","",IFERROR((N($J106)*N($K106)+SUMIFS(Purchases!$K$5:INDEX(Purchases!$K$5:$K$3004,TxRows),Purchases!$D$5:INDEX(Purchases!$D$5:$D$3004,TxRows),$A106))/(N($J106)+L106),N($G106)))</f>
        <v/>
      </c>
      <c r="Q106" s="61" t="str">
        <f aca="false">IF($A106="","",MAX(0,O106)*P106)</f>
        <v/>
      </c>
      <c r="R106" s="60" t="str">
        <f aca="false">IF($A106="","",IF(O106&lt;0,"NEGATIVE",IF(O106=0,"OUT OF STOCK",IF(O106&lt;=N($I106),"REORDER",IF(AND(O106&gt;0,X106&gt;DeadDays),"DEAD STOCK","OK")))))</f>
        <v/>
      </c>
      <c r="S106" s="65" t="str">
        <f aca="false">IF($A106="","",IF(N($H106)=0,0,(N($H106)-P106)/N($H106)))</f>
        <v/>
      </c>
      <c r="T106" s="64" t="str">
        <f aca="false">IF($A106="","",IF(O106&lt;=N($I106),MAX(0,2*N($I106)-O106),0))</f>
        <v/>
      </c>
      <c r="U106" s="61" t="str">
        <f aca="false">IF($A106="","",SUMIFS(Sales!$L$5:INDEX(Sales!$L$5:$L$3004,TxRows),Sales!$D$5:INDEX(Sales!$D$5:$D$3004,TxRows),$A106))</f>
        <v/>
      </c>
      <c r="V106" s="61" t="str">
        <f aca="false">IF($A106="","",SUMIFS(Sales!$S$5:INDEX(Sales!$S$5:$S$3004,TxRows),Sales!$D$5:INDEX(Sales!$D$5:$D$3004,TxRows),$A106))</f>
        <v/>
      </c>
      <c r="W106" s="66" t="str">
        <f aca="false">IF($A106="","",IFERROR(SUMPRODUCT(MAX((Sales!$D$5:INDEX(Sales!$D$5:$D$3004,TxRows)=$A106)*Sales!$A$5:INDEX(Sales!$A$5:$A$3004,TxRows))),0))</f>
        <v/>
      </c>
      <c r="X106" s="67" t="str">
        <f aca="false">IF($A106="","",IF(W106=0,AsOf-FYStart,AsOf-W106))</f>
        <v/>
      </c>
      <c r="Y106" s="67" t="str">
        <f aca="false">IF($A106="","",IF(M106=0,"",O106/(M106/MAX(1,AsOf-FYStart))))</f>
        <v/>
      </c>
      <c r="Z106" s="60" t="str">
        <f aca="false">IF($A106="","",U106+ROW()/1000000)</f>
        <v/>
      </c>
    </row>
    <row r="107" customFormat="false" ht="15" hidden="false" customHeight="false" outlineLevel="0" collapsed="false">
      <c r="A107" s="56"/>
      <c r="B107" s="56"/>
      <c r="C107" s="56"/>
      <c r="D107" s="56"/>
      <c r="E107" s="56"/>
      <c r="F107" s="63"/>
      <c r="G107" s="58"/>
      <c r="H107" s="58"/>
      <c r="I107" s="57"/>
      <c r="J107" s="57"/>
      <c r="K107" s="58"/>
      <c r="L107" s="64" t="str">
        <f aca="false">IF($A107="","",SUMIFS(Purchases!$E$5:INDEX(Purchases!$E$5:$E$3004,TxRows),Purchases!$D$5:INDEX(Purchases!$D$5:$D$3004,TxRows),$A107))</f>
        <v/>
      </c>
      <c r="M107" s="64" t="str">
        <f aca="false">IF($A107="","",SUMIFS(Sales!$E$5:INDEX(Sales!$E$5:$E$3004,TxRows),Sales!$D$5:INDEX(Sales!$D$5:$D$3004,TxRows),$A107))</f>
        <v/>
      </c>
      <c r="N107" s="64" t="str">
        <f aca="false">IF($A107="","",SUMIFS(Adjustments!$C$5:$C$504,Adjustments!$B$5:$B$504,$A107))</f>
        <v/>
      </c>
      <c r="O107" s="64" t="str">
        <f aca="false">IF($A107="","",N($J107)+L107-M107+N107)</f>
        <v/>
      </c>
      <c r="P107" s="61" t="str">
        <f aca="false">IF($A107="","",IFERROR((N($J107)*N($K107)+SUMIFS(Purchases!$K$5:INDEX(Purchases!$K$5:$K$3004,TxRows),Purchases!$D$5:INDEX(Purchases!$D$5:$D$3004,TxRows),$A107))/(N($J107)+L107),N($G107)))</f>
        <v/>
      </c>
      <c r="Q107" s="61" t="str">
        <f aca="false">IF($A107="","",MAX(0,O107)*P107)</f>
        <v/>
      </c>
      <c r="R107" s="60" t="str">
        <f aca="false">IF($A107="","",IF(O107&lt;0,"NEGATIVE",IF(O107=0,"OUT OF STOCK",IF(O107&lt;=N($I107),"REORDER",IF(AND(O107&gt;0,X107&gt;DeadDays),"DEAD STOCK","OK")))))</f>
        <v/>
      </c>
      <c r="S107" s="65" t="str">
        <f aca="false">IF($A107="","",IF(N($H107)=0,0,(N($H107)-P107)/N($H107)))</f>
        <v/>
      </c>
      <c r="T107" s="64" t="str">
        <f aca="false">IF($A107="","",IF(O107&lt;=N($I107),MAX(0,2*N($I107)-O107),0))</f>
        <v/>
      </c>
      <c r="U107" s="61" t="str">
        <f aca="false">IF($A107="","",SUMIFS(Sales!$L$5:INDEX(Sales!$L$5:$L$3004,TxRows),Sales!$D$5:INDEX(Sales!$D$5:$D$3004,TxRows),$A107))</f>
        <v/>
      </c>
      <c r="V107" s="61" t="str">
        <f aca="false">IF($A107="","",SUMIFS(Sales!$S$5:INDEX(Sales!$S$5:$S$3004,TxRows),Sales!$D$5:INDEX(Sales!$D$5:$D$3004,TxRows),$A107))</f>
        <v/>
      </c>
      <c r="W107" s="66" t="str">
        <f aca="false">IF($A107="","",IFERROR(SUMPRODUCT(MAX((Sales!$D$5:INDEX(Sales!$D$5:$D$3004,TxRows)=$A107)*Sales!$A$5:INDEX(Sales!$A$5:$A$3004,TxRows))),0))</f>
        <v/>
      </c>
      <c r="X107" s="67" t="str">
        <f aca="false">IF($A107="","",IF(W107=0,AsOf-FYStart,AsOf-W107))</f>
        <v/>
      </c>
      <c r="Y107" s="67" t="str">
        <f aca="false">IF($A107="","",IF(M107=0,"",O107/(M107/MAX(1,AsOf-FYStart))))</f>
        <v/>
      </c>
      <c r="Z107" s="60" t="str">
        <f aca="false">IF($A107="","",U107+ROW()/1000000)</f>
        <v/>
      </c>
    </row>
    <row r="108" customFormat="false" ht="15" hidden="false" customHeight="false" outlineLevel="0" collapsed="false">
      <c r="A108" s="56"/>
      <c r="B108" s="56"/>
      <c r="C108" s="56"/>
      <c r="D108" s="56"/>
      <c r="E108" s="56"/>
      <c r="F108" s="63"/>
      <c r="G108" s="58"/>
      <c r="H108" s="58"/>
      <c r="I108" s="57"/>
      <c r="J108" s="57"/>
      <c r="K108" s="58"/>
      <c r="L108" s="64" t="str">
        <f aca="false">IF($A108="","",SUMIFS(Purchases!$E$5:INDEX(Purchases!$E$5:$E$3004,TxRows),Purchases!$D$5:INDEX(Purchases!$D$5:$D$3004,TxRows),$A108))</f>
        <v/>
      </c>
      <c r="M108" s="64" t="str">
        <f aca="false">IF($A108="","",SUMIFS(Sales!$E$5:INDEX(Sales!$E$5:$E$3004,TxRows),Sales!$D$5:INDEX(Sales!$D$5:$D$3004,TxRows),$A108))</f>
        <v/>
      </c>
      <c r="N108" s="64" t="str">
        <f aca="false">IF($A108="","",SUMIFS(Adjustments!$C$5:$C$504,Adjustments!$B$5:$B$504,$A108))</f>
        <v/>
      </c>
      <c r="O108" s="64" t="str">
        <f aca="false">IF($A108="","",N($J108)+L108-M108+N108)</f>
        <v/>
      </c>
      <c r="P108" s="61" t="str">
        <f aca="false">IF($A108="","",IFERROR((N($J108)*N($K108)+SUMIFS(Purchases!$K$5:INDEX(Purchases!$K$5:$K$3004,TxRows),Purchases!$D$5:INDEX(Purchases!$D$5:$D$3004,TxRows),$A108))/(N($J108)+L108),N($G108)))</f>
        <v/>
      </c>
      <c r="Q108" s="61" t="str">
        <f aca="false">IF($A108="","",MAX(0,O108)*P108)</f>
        <v/>
      </c>
      <c r="R108" s="60" t="str">
        <f aca="false">IF($A108="","",IF(O108&lt;0,"NEGATIVE",IF(O108=0,"OUT OF STOCK",IF(O108&lt;=N($I108),"REORDER",IF(AND(O108&gt;0,X108&gt;DeadDays),"DEAD STOCK","OK")))))</f>
        <v/>
      </c>
      <c r="S108" s="65" t="str">
        <f aca="false">IF($A108="","",IF(N($H108)=0,0,(N($H108)-P108)/N($H108)))</f>
        <v/>
      </c>
      <c r="T108" s="64" t="str">
        <f aca="false">IF($A108="","",IF(O108&lt;=N($I108),MAX(0,2*N($I108)-O108),0))</f>
        <v/>
      </c>
      <c r="U108" s="61" t="str">
        <f aca="false">IF($A108="","",SUMIFS(Sales!$L$5:INDEX(Sales!$L$5:$L$3004,TxRows),Sales!$D$5:INDEX(Sales!$D$5:$D$3004,TxRows),$A108))</f>
        <v/>
      </c>
      <c r="V108" s="61" t="str">
        <f aca="false">IF($A108="","",SUMIFS(Sales!$S$5:INDEX(Sales!$S$5:$S$3004,TxRows),Sales!$D$5:INDEX(Sales!$D$5:$D$3004,TxRows),$A108))</f>
        <v/>
      </c>
      <c r="W108" s="66" t="str">
        <f aca="false">IF($A108="","",IFERROR(SUMPRODUCT(MAX((Sales!$D$5:INDEX(Sales!$D$5:$D$3004,TxRows)=$A108)*Sales!$A$5:INDEX(Sales!$A$5:$A$3004,TxRows))),0))</f>
        <v/>
      </c>
      <c r="X108" s="67" t="str">
        <f aca="false">IF($A108="","",IF(W108=0,AsOf-FYStart,AsOf-W108))</f>
        <v/>
      </c>
      <c r="Y108" s="67" t="str">
        <f aca="false">IF($A108="","",IF(M108=0,"",O108/(M108/MAX(1,AsOf-FYStart))))</f>
        <v/>
      </c>
      <c r="Z108" s="60" t="str">
        <f aca="false">IF($A108="","",U108+ROW()/1000000)</f>
        <v/>
      </c>
    </row>
    <row r="109" customFormat="false" ht="15" hidden="false" customHeight="false" outlineLevel="0" collapsed="false">
      <c r="A109" s="56"/>
      <c r="B109" s="56"/>
      <c r="C109" s="56"/>
      <c r="D109" s="56"/>
      <c r="E109" s="56"/>
      <c r="F109" s="63"/>
      <c r="G109" s="58"/>
      <c r="H109" s="58"/>
      <c r="I109" s="57"/>
      <c r="J109" s="57"/>
      <c r="K109" s="58"/>
      <c r="L109" s="64" t="str">
        <f aca="false">IF($A109="","",SUMIFS(Purchases!$E$5:INDEX(Purchases!$E$5:$E$3004,TxRows),Purchases!$D$5:INDEX(Purchases!$D$5:$D$3004,TxRows),$A109))</f>
        <v/>
      </c>
      <c r="M109" s="64" t="str">
        <f aca="false">IF($A109="","",SUMIFS(Sales!$E$5:INDEX(Sales!$E$5:$E$3004,TxRows),Sales!$D$5:INDEX(Sales!$D$5:$D$3004,TxRows),$A109))</f>
        <v/>
      </c>
      <c r="N109" s="64" t="str">
        <f aca="false">IF($A109="","",SUMIFS(Adjustments!$C$5:$C$504,Adjustments!$B$5:$B$504,$A109))</f>
        <v/>
      </c>
      <c r="O109" s="64" t="str">
        <f aca="false">IF($A109="","",N($J109)+L109-M109+N109)</f>
        <v/>
      </c>
      <c r="P109" s="61" t="str">
        <f aca="false">IF($A109="","",IFERROR((N($J109)*N($K109)+SUMIFS(Purchases!$K$5:INDEX(Purchases!$K$5:$K$3004,TxRows),Purchases!$D$5:INDEX(Purchases!$D$5:$D$3004,TxRows),$A109))/(N($J109)+L109),N($G109)))</f>
        <v/>
      </c>
      <c r="Q109" s="61" t="str">
        <f aca="false">IF($A109="","",MAX(0,O109)*P109)</f>
        <v/>
      </c>
      <c r="R109" s="60" t="str">
        <f aca="false">IF($A109="","",IF(O109&lt;0,"NEGATIVE",IF(O109=0,"OUT OF STOCK",IF(O109&lt;=N($I109),"REORDER",IF(AND(O109&gt;0,X109&gt;DeadDays),"DEAD STOCK","OK")))))</f>
        <v/>
      </c>
      <c r="S109" s="65" t="str">
        <f aca="false">IF($A109="","",IF(N($H109)=0,0,(N($H109)-P109)/N($H109)))</f>
        <v/>
      </c>
      <c r="T109" s="64" t="str">
        <f aca="false">IF($A109="","",IF(O109&lt;=N($I109),MAX(0,2*N($I109)-O109),0))</f>
        <v/>
      </c>
      <c r="U109" s="61" t="str">
        <f aca="false">IF($A109="","",SUMIFS(Sales!$L$5:INDEX(Sales!$L$5:$L$3004,TxRows),Sales!$D$5:INDEX(Sales!$D$5:$D$3004,TxRows),$A109))</f>
        <v/>
      </c>
      <c r="V109" s="61" t="str">
        <f aca="false">IF($A109="","",SUMIFS(Sales!$S$5:INDEX(Sales!$S$5:$S$3004,TxRows),Sales!$D$5:INDEX(Sales!$D$5:$D$3004,TxRows),$A109))</f>
        <v/>
      </c>
      <c r="W109" s="66" t="str">
        <f aca="false">IF($A109="","",IFERROR(SUMPRODUCT(MAX((Sales!$D$5:INDEX(Sales!$D$5:$D$3004,TxRows)=$A109)*Sales!$A$5:INDEX(Sales!$A$5:$A$3004,TxRows))),0))</f>
        <v/>
      </c>
      <c r="X109" s="67" t="str">
        <f aca="false">IF($A109="","",IF(W109=0,AsOf-FYStart,AsOf-W109))</f>
        <v/>
      </c>
      <c r="Y109" s="67" t="str">
        <f aca="false">IF($A109="","",IF(M109=0,"",O109/(M109/MAX(1,AsOf-FYStart))))</f>
        <v/>
      </c>
      <c r="Z109" s="60" t="str">
        <f aca="false">IF($A109="","",U109+ROW()/1000000)</f>
        <v/>
      </c>
    </row>
    <row r="110" customFormat="false" ht="15" hidden="false" customHeight="false" outlineLevel="0" collapsed="false">
      <c r="A110" s="56"/>
      <c r="B110" s="56"/>
      <c r="C110" s="56"/>
      <c r="D110" s="56"/>
      <c r="E110" s="56"/>
      <c r="F110" s="63"/>
      <c r="G110" s="58"/>
      <c r="H110" s="58"/>
      <c r="I110" s="57"/>
      <c r="J110" s="57"/>
      <c r="K110" s="58"/>
      <c r="L110" s="64" t="str">
        <f aca="false">IF($A110="","",SUMIFS(Purchases!$E$5:INDEX(Purchases!$E$5:$E$3004,TxRows),Purchases!$D$5:INDEX(Purchases!$D$5:$D$3004,TxRows),$A110))</f>
        <v/>
      </c>
      <c r="M110" s="64" t="str">
        <f aca="false">IF($A110="","",SUMIFS(Sales!$E$5:INDEX(Sales!$E$5:$E$3004,TxRows),Sales!$D$5:INDEX(Sales!$D$5:$D$3004,TxRows),$A110))</f>
        <v/>
      </c>
      <c r="N110" s="64" t="str">
        <f aca="false">IF($A110="","",SUMIFS(Adjustments!$C$5:$C$504,Adjustments!$B$5:$B$504,$A110))</f>
        <v/>
      </c>
      <c r="O110" s="64" t="str">
        <f aca="false">IF($A110="","",N($J110)+L110-M110+N110)</f>
        <v/>
      </c>
      <c r="P110" s="61" t="str">
        <f aca="false">IF($A110="","",IFERROR((N($J110)*N($K110)+SUMIFS(Purchases!$K$5:INDEX(Purchases!$K$5:$K$3004,TxRows),Purchases!$D$5:INDEX(Purchases!$D$5:$D$3004,TxRows),$A110))/(N($J110)+L110),N($G110)))</f>
        <v/>
      </c>
      <c r="Q110" s="61" t="str">
        <f aca="false">IF($A110="","",MAX(0,O110)*P110)</f>
        <v/>
      </c>
      <c r="R110" s="60" t="str">
        <f aca="false">IF($A110="","",IF(O110&lt;0,"NEGATIVE",IF(O110=0,"OUT OF STOCK",IF(O110&lt;=N($I110),"REORDER",IF(AND(O110&gt;0,X110&gt;DeadDays),"DEAD STOCK","OK")))))</f>
        <v/>
      </c>
      <c r="S110" s="65" t="str">
        <f aca="false">IF($A110="","",IF(N($H110)=0,0,(N($H110)-P110)/N($H110)))</f>
        <v/>
      </c>
      <c r="T110" s="64" t="str">
        <f aca="false">IF($A110="","",IF(O110&lt;=N($I110),MAX(0,2*N($I110)-O110),0))</f>
        <v/>
      </c>
      <c r="U110" s="61" t="str">
        <f aca="false">IF($A110="","",SUMIFS(Sales!$L$5:INDEX(Sales!$L$5:$L$3004,TxRows),Sales!$D$5:INDEX(Sales!$D$5:$D$3004,TxRows),$A110))</f>
        <v/>
      </c>
      <c r="V110" s="61" t="str">
        <f aca="false">IF($A110="","",SUMIFS(Sales!$S$5:INDEX(Sales!$S$5:$S$3004,TxRows),Sales!$D$5:INDEX(Sales!$D$5:$D$3004,TxRows),$A110))</f>
        <v/>
      </c>
      <c r="W110" s="66" t="str">
        <f aca="false">IF($A110="","",IFERROR(SUMPRODUCT(MAX((Sales!$D$5:INDEX(Sales!$D$5:$D$3004,TxRows)=$A110)*Sales!$A$5:INDEX(Sales!$A$5:$A$3004,TxRows))),0))</f>
        <v/>
      </c>
      <c r="X110" s="67" t="str">
        <f aca="false">IF($A110="","",IF(W110=0,AsOf-FYStart,AsOf-W110))</f>
        <v/>
      </c>
      <c r="Y110" s="67" t="str">
        <f aca="false">IF($A110="","",IF(M110=0,"",O110/(M110/MAX(1,AsOf-FYStart))))</f>
        <v/>
      </c>
      <c r="Z110" s="60" t="str">
        <f aca="false">IF($A110="","",U110+ROW()/1000000)</f>
        <v/>
      </c>
    </row>
    <row r="111" customFormat="false" ht="15" hidden="false" customHeight="false" outlineLevel="0" collapsed="false">
      <c r="A111" s="56"/>
      <c r="B111" s="56"/>
      <c r="C111" s="56"/>
      <c r="D111" s="56"/>
      <c r="E111" s="56"/>
      <c r="F111" s="63"/>
      <c r="G111" s="58"/>
      <c r="H111" s="58"/>
      <c r="I111" s="57"/>
      <c r="J111" s="57"/>
      <c r="K111" s="58"/>
      <c r="L111" s="64" t="str">
        <f aca="false">IF($A111="","",SUMIFS(Purchases!$E$5:INDEX(Purchases!$E$5:$E$3004,TxRows),Purchases!$D$5:INDEX(Purchases!$D$5:$D$3004,TxRows),$A111))</f>
        <v/>
      </c>
      <c r="M111" s="64" t="str">
        <f aca="false">IF($A111="","",SUMIFS(Sales!$E$5:INDEX(Sales!$E$5:$E$3004,TxRows),Sales!$D$5:INDEX(Sales!$D$5:$D$3004,TxRows),$A111))</f>
        <v/>
      </c>
      <c r="N111" s="64" t="str">
        <f aca="false">IF($A111="","",SUMIFS(Adjustments!$C$5:$C$504,Adjustments!$B$5:$B$504,$A111))</f>
        <v/>
      </c>
      <c r="O111" s="64" t="str">
        <f aca="false">IF($A111="","",N($J111)+L111-M111+N111)</f>
        <v/>
      </c>
      <c r="P111" s="61" t="str">
        <f aca="false">IF($A111="","",IFERROR((N($J111)*N($K111)+SUMIFS(Purchases!$K$5:INDEX(Purchases!$K$5:$K$3004,TxRows),Purchases!$D$5:INDEX(Purchases!$D$5:$D$3004,TxRows),$A111))/(N($J111)+L111),N($G111)))</f>
        <v/>
      </c>
      <c r="Q111" s="61" t="str">
        <f aca="false">IF($A111="","",MAX(0,O111)*P111)</f>
        <v/>
      </c>
      <c r="R111" s="60" t="str">
        <f aca="false">IF($A111="","",IF(O111&lt;0,"NEGATIVE",IF(O111=0,"OUT OF STOCK",IF(O111&lt;=N($I111),"REORDER",IF(AND(O111&gt;0,X111&gt;DeadDays),"DEAD STOCK","OK")))))</f>
        <v/>
      </c>
      <c r="S111" s="65" t="str">
        <f aca="false">IF($A111="","",IF(N($H111)=0,0,(N($H111)-P111)/N($H111)))</f>
        <v/>
      </c>
      <c r="T111" s="64" t="str">
        <f aca="false">IF($A111="","",IF(O111&lt;=N($I111),MAX(0,2*N($I111)-O111),0))</f>
        <v/>
      </c>
      <c r="U111" s="61" t="str">
        <f aca="false">IF($A111="","",SUMIFS(Sales!$L$5:INDEX(Sales!$L$5:$L$3004,TxRows),Sales!$D$5:INDEX(Sales!$D$5:$D$3004,TxRows),$A111))</f>
        <v/>
      </c>
      <c r="V111" s="61" t="str">
        <f aca="false">IF($A111="","",SUMIFS(Sales!$S$5:INDEX(Sales!$S$5:$S$3004,TxRows),Sales!$D$5:INDEX(Sales!$D$5:$D$3004,TxRows),$A111))</f>
        <v/>
      </c>
      <c r="W111" s="66" t="str">
        <f aca="false">IF($A111="","",IFERROR(SUMPRODUCT(MAX((Sales!$D$5:INDEX(Sales!$D$5:$D$3004,TxRows)=$A111)*Sales!$A$5:INDEX(Sales!$A$5:$A$3004,TxRows))),0))</f>
        <v/>
      </c>
      <c r="X111" s="67" t="str">
        <f aca="false">IF($A111="","",IF(W111=0,AsOf-FYStart,AsOf-W111))</f>
        <v/>
      </c>
      <c r="Y111" s="67" t="str">
        <f aca="false">IF($A111="","",IF(M111=0,"",O111/(M111/MAX(1,AsOf-FYStart))))</f>
        <v/>
      </c>
      <c r="Z111" s="60" t="str">
        <f aca="false">IF($A111="","",U111+ROW()/1000000)</f>
        <v/>
      </c>
    </row>
    <row r="112" customFormat="false" ht="15" hidden="false" customHeight="false" outlineLevel="0" collapsed="false">
      <c r="A112" s="56"/>
      <c r="B112" s="56"/>
      <c r="C112" s="56"/>
      <c r="D112" s="56"/>
      <c r="E112" s="56"/>
      <c r="F112" s="63"/>
      <c r="G112" s="58"/>
      <c r="H112" s="58"/>
      <c r="I112" s="57"/>
      <c r="J112" s="57"/>
      <c r="K112" s="58"/>
      <c r="L112" s="64" t="str">
        <f aca="false">IF($A112="","",SUMIFS(Purchases!$E$5:INDEX(Purchases!$E$5:$E$3004,TxRows),Purchases!$D$5:INDEX(Purchases!$D$5:$D$3004,TxRows),$A112))</f>
        <v/>
      </c>
      <c r="M112" s="64" t="str">
        <f aca="false">IF($A112="","",SUMIFS(Sales!$E$5:INDEX(Sales!$E$5:$E$3004,TxRows),Sales!$D$5:INDEX(Sales!$D$5:$D$3004,TxRows),$A112))</f>
        <v/>
      </c>
      <c r="N112" s="64" t="str">
        <f aca="false">IF($A112="","",SUMIFS(Adjustments!$C$5:$C$504,Adjustments!$B$5:$B$504,$A112))</f>
        <v/>
      </c>
      <c r="O112" s="64" t="str">
        <f aca="false">IF($A112="","",N($J112)+L112-M112+N112)</f>
        <v/>
      </c>
      <c r="P112" s="61" t="str">
        <f aca="false">IF($A112="","",IFERROR((N($J112)*N($K112)+SUMIFS(Purchases!$K$5:INDEX(Purchases!$K$5:$K$3004,TxRows),Purchases!$D$5:INDEX(Purchases!$D$5:$D$3004,TxRows),$A112))/(N($J112)+L112),N($G112)))</f>
        <v/>
      </c>
      <c r="Q112" s="61" t="str">
        <f aca="false">IF($A112="","",MAX(0,O112)*P112)</f>
        <v/>
      </c>
      <c r="R112" s="60" t="str">
        <f aca="false">IF($A112="","",IF(O112&lt;0,"NEGATIVE",IF(O112=0,"OUT OF STOCK",IF(O112&lt;=N($I112),"REORDER",IF(AND(O112&gt;0,X112&gt;DeadDays),"DEAD STOCK","OK")))))</f>
        <v/>
      </c>
      <c r="S112" s="65" t="str">
        <f aca="false">IF($A112="","",IF(N($H112)=0,0,(N($H112)-P112)/N($H112)))</f>
        <v/>
      </c>
      <c r="T112" s="64" t="str">
        <f aca="false">IF($A112="","",IF(O112&lt;=N($I112),MAX(0,2*N($I112)-O112),0))</f>
        <v/>
      </c>
      <c r="U112" s="61" t="str">
        <f aca="false">IF($A112="","",SUMIFS(Sales!$L$5:INDEX(Sales!$L$5:$L$3004,TxRows),Sales!$D$5:INDEX(Sales!$D$5:$D$3004,TxRows),$A112))</f>
        <v/>
      </c>
      <c r="V112" s="61" t="str">
        <f aca="false">IF($A112="","",SUMIFS(Sales!$S$5:INDEX(Sales!$S$5:$S$3004,TxRows),Sales!$D$5:INDEX(Sales!$D$5:$D$3004,TxRows),$A112))</f>
        <v/>
      </c>
      <c r="W112" s="66" t="str">
        <f aca="false">IF($A112="","",IFERROR(SUMPRODUCT(MAX((Sales!$D$5:INDEX(Sales!$D$5:$D$3004,TxRows)=$A112)*Sales!$A$5:INDEX(Sales!$A$5:$A$3004,TxRows))),0))</f>
        <v/>
      </c>
      <c r="X112" s="67" t="str">
        <f aca="false">IF($A112="","",IF(W112=0,AsOf-FYStart,AsOf-W112))</f>
        <v/>
      </c>
      <c r="Y112" s="67" t="str">
        <f aca="false">IF($A112="","",IF(M112=0,"",O112/(M112/MAX(1,AsOf-FYStart))))</f>
        <v/>
      </c>
      <c r="Z112" s="60" t="str">
        <f aca="false">IF($A112="","",U112+ROW()/1000000)</f>
        <v/>
      </c>
    </row>
    <row r="113" customFormat="false" ht="15" hidden="false" customHeight="false" outlineLevel="0" collapsed="false">
      <c r="A113" s="56"/>
      <c r="B113" s="56"/>
      <c r="C113" s="56"/>
      <c r="D113" s="56"/>
      <c r="E113" s="56"/>
      <c r="F113" s="63"/>
      <c r="G113" s="58"/>
      <c r="H113" s="58"/>
      <c r="I113" s="57"/>
      <c r="J113" s="57"/>
      <c r="K113" s="58"/>
      <c r="L113" s="64" t="str">
        <f aca="false">IF($A113="","",SUMIFS(Purchases!$E$5:INDEX(Purchases!$E$5:$E$3004,TxRows),Purchases!$D$5:INDEX(Purchases!$D$5:$D$3004,TxRows),$A113))</f>
        <v/>
      </c>
      <c r="M113" s="64" t="str">
        <f aca="false">IF($A113="","",SUMIFS(Sales!$E$5:INDEX(Sales!$E$5:$E$3004,TxRows),Sales!$D$5:INDEX(Sales!$D$5:$D$3004,TxRows),$A113))</f>
        <v/>
      </c>
      <c r="N113" s="64" t="str">
        <f aca="false">IF($A113="","",SUMIFS(Adjustments!$C$5:$C$504,Adjustments!$B$5:$B$504,$A113))</f>
        <v/>
      </c>
      <c r="O113" s="64" t="str">
        <f aca="false">IF($A113="","",N($J113)+L113-M113+N113)</f>
        <v/>
      </c>
      <c r="P113" s="61" t="str">
        <f aca="false">IF($A113="","",IFERROR((N($J113)*N($K113)+SUMIFS(Purchases!$K$5:INDEX(Purchases!$K$5:$K$3004,TxRows),Purchases!$D$5:INDEX(Purchases!$D$5:$D$3004,TxRows),$A113))/(N($J113)+L113),N($G113)))</f>
        <v/>
      </c>
      <c r="Q113" s="61" t="str">
        <f aca="false">IF($A113="","",MAX(0,O113)*P113)</f>
        <v/>
      </c>
      <c r="R113" s="60" t="str">
        <f aca="false">IF($A113="","",IF(O113&lt;0,"NEGATIVE",IF(O113=0,"OUT OF STOCK",IF(O113&lt;=N($I113),"REORDER",IF(AND(O113&gt;0,X113&gt;DeadDays),"DEAD STOCK","OK")))))</f>
        <v/>
      </c>
      <c r="S113" s="65" t="str">
        <f aca="false">IF($A113="","",IF(N($H113)=0,0,(N($H113)-P113)/N($H113)))</f>
        <v/>
      </c>
      <c r="T113" s="64" t="str">
        <f aca="false">IF($A113="","",IF(O113&lt;=N($I113),MAX(0,2*N($I113)-O113),0))</f>
        <v/>
      </c>
      <c r="U113" s="61" t="str">
        <f aca="false">IF($A113="","",SUMIFS(Sales!$L$5:INDEX(Sales!$L$5:$L$3004,TxRows),Sales!$D$5:INDEX(Sales!$D$5:$D$3004,TxRows),$A113))</f>
        <v/>
      </c>
      <c r="V113" s="61" t="str">
        <f aca="false">IF($A113="","",SUMIFS(Sales!$S$5:INDEX(Sales!$S$5:$S$3004,TxRows),Sales!$D$5:INDEX(Sales!$D$5:$D$3004,TxRows),$A113))</f>
        <v/>
      </c>
      <c r="W113" s="66" t="str">
        <f aca="false">IF($A113="","",IFERROR(SUMPRODUCT(MAX((Sales!$D$5:INDEX(Sales!$D$5:$D$3004,TxRows)=$A113)*Sales!$A$5:INDEX(Sales!$A$5:$A$3004,TxRows))),0))</f>
        <v/>
      </c>
      <c r="X113" s="67" t="str">
        <f aca="false">IF($A113="","",IF(W113=0,AsOf-FYStart,AsOf-W113))</f>
        <v/>
      </c>
      <c r="Y113" s="67" t="str">
        <f aca="false">IF($A113="","",IF(M113=0,"",O113/(M113/MAX(1,AsOf-FYStart))))</f>
        <v/>
      </c>
      <c r="Z113" s="60" t="str">
        <f aca="false">IF($A113="","",U113+ROW()/1000000)</f>
        <v/>
      </c>
    </row>
    <row r="114" customFormat="false" ht="15" hidden="false" customHeight="false" outlineLevel="0" collapsed="false">
      <c r="A114" s="56"/>
      <c r="B114" s="56"/>
      <c r="C114" s="56"/>
      <c r="D114" s="56"/>
      <c r="E114" s="56"/>
      <c r="F114" s="63"/>
      <c r="G114" s="58"/>
      <c r="H114" s="58"/>
      <c r="I114" s="57"/>
      <c r="J114" s="57"/>
      <c r="K114" s="58"/>
      <c r="L114" s="64" t="str">
        <f aca="false">IF($A114="","",SUMIFS(Purchases!$E$5:INDEX(Purchases!$E$5:$E$3004,TxRows),Purchases!$D$5:INDEX(Purchases!$D$5:$D$3004,TxRows),$A114))</f>
        <v/>
      </c>
      <c r="M114" s="64" t="str">
        <f aca="false">IF($A114="","",SUMIFS(Sales!$E$5:INDEX(Sales!$E$5:$E$3004,TxRows),Sales!$D$5:INDEX(Sales!$D$5:$D$3004,TxRows),$A114))</f>
        <v/>
      </c>
      <c r="N114" s="64" t="str">
        <f aca="false">IF($A114="","",SUMIFS(Adjustments!$C$5:$C$504,Adjustments!$B$5:$B$504,$A114))</f>
        <v/>
      </c>
      <c r="O114" s="64" t="str">
        <f aca="false">IF($A114="","",N($J114)+L114-M114+N114)</f>
        <v/>
      </c>
      <c r="P114" s="61" t="str">
        <f aca="false">IF($A114="","",IFERROR((N($J114)*N($K114)+SUMIFS(Purchases!$K$5:INDEX(Purchases!$K$5:$K$3004,TxRows),Purchases!$D$5:INDEX(Purchases!$D$5:$D$3004,TxRows),$A114))/(N($J114)+L114),N($G114)))</f>
        <v/>
      </c>
      <c r="Q114" s="61" t="str">
        <f aca="false">IF($A114="","",MAX(0,O114)*P114)</f>
        <v/>
      </c>
      <c r="R114" s="60" t="str">
        <f aca="false">IF($A114="","",IF(O114&lt;0,"NEGATIVE",IF(O114=0,"OUT OF STOCK",IF(O114&lt;=N($I114),"REORDER",IF(AND(O114&gt;0,X114&gt;DeadDays),"DEAD STOCK","OK")))))</f>
        <v/>
      </c>
      <c r="S114" s="65" t="str">
        <f aca="false">IF($A114="","",IF(N($H114)=0,0,(N($H114)-P114)/N($H114)))</f>
        <v/>
      </c>
      <c r="T114" s="64" t="str">
        <f aca="false">IF($A114="","",IF(O114&lt;=N($I114),MAX(0,2*N($I114)-O114),0))</f>
        <v/>
      </c>
      <c r="U114" s="61" t="str">
        <f aca="false">IF($A114="","",SUMIFS(Sales!$L$5:INDEX(Sales!$L$5:$L$3004,TxRows),Sales!$D$5:INDEX(Sales!$D$5:$D$3004,TxRows),$A114))</f>
        <v/>
      </c>
      <c r="V114" s="61" t="str">
        <f aca="false">IF($A114="","",SUMIFS(Sales!$S$5:INDEX(Sales!$S$5:$S$3004,TxRows),Sales!$D$5:INDEX(Sales!$D$5:$D$3004,TxRows),$A114))</f>
        <v/>
      </c>
      <c r="W114" s="66" t="str">
        <f aca="false">IF($A114="","",IFERROR(SUMPRODUCT(MAX((Sales!$D$5:INDEX(Sales!$D$5:$D$3004,TxRows)=$A114)*Sales!$A$5:INDEX(Sales!$A$5:$A$3004,TxRows))),0))</f>
        <v/>
      </c>
      <c r="X114" s="67" t="str">
        <f aca="false">IF($A114="","",IF(W114=0,AsOf-FYStart,AsOf-W114))</f>
        <v/>
      </c>
      <c r="Y114" s="67" t="str">
        <f aca="false">IF($A114="","",IF(M114=0,"",O114/(M114/MAX(1,AsOf-FYStart))))</f>
        <v/>
      </c>
      <c r="Z114" s="60" t="str">
        <f aca="false">IF($A114="","",U114+ROW()/1000000)</f>
        <v/>
      </c>
    </row>
    <row r="115" customFormat="false" ht="15" hidden="false" customHeight="false" outlineLevel="0" collapsed="false">
      <c r="A115" s="56"/>
      <c r="B115" s="56"/>
      <c r="C115" s="56"/>
      <c r="D115" s="56"/>
      <c r="E115" s="56"/>
      <c r="F115" s="63"/>
      <c r="G115" s="58"/>
      <c r="H115" s="58"/>
      <c r="I115" s="57"/>
      <c r="J115" s="57"/>
      <c r="K115" s="58"/>
      <c r="L115" s="64" t="str">
        <f aca="false">IF($A115="","",SUMIFS(Purchases!$E$5:INDEX(Purchases!$E$5:$E$3004,TxRows),Purchases!$D$5:INDEX(Purchases!$D$5:$D$3004,TxRows),$A115))</f>
        <v/>
      </c>
      <c r="M115" s="64" t="str">
        <f aca="false">IF($A115="","",SUMIFS(Sales!$E$5:INDEX(Sales!$E$5:$E$3004,TxRows),Sales!$D$5:INDEX(Sales!$D$5:$D$3004,TxRows),$A115))</f>
        <v/>
      </c>
      <c r="N115" s="64" t="str">
        <f aca="false">IF($A115="","",SUMIFS(Adjustments!$C$5:$C$504,Adjustments!$B$5:$B$504,$A115))</f>
        <v/>
      </c>
      <c r="O115" s="64" t="str">
        <f aca="false">IF($A115="","",N($J115)+L115-M115+N115)</f>
        <v/>
      </c>
      <c r="P115" s="61" t="str">
        <f aca="false">IF($A115="","",IFERROR((N($J115)*N($K115)+SUMIFS(Purchases!$K$5:INDEX(Purchases!$K$5:$K$3004,TxRows),Purchases!$D$5:INDEX(Purchases!$D$5:$D$3004,TxRows),$A115))/(N($J115)+L115),N($G115)))</f>
        <v/>
      </c>
      <c r="Q115" s="61" t="str">
        <f aca="false">IF($A115="","",MAX(0,O115)*P115)</f>
        <v/>
      </c>
      <c r="R115" s="60" t="str">
        <f aca="false">IF($A115="","",IF(O115&lt;0,"NEGATIVE",IF(O115=0,"OUT OF STOCK",IF(O115&lt;=N($I115),"REORDER",IF(AND(O115&gt;0,X115&gt;DeadDays),"DEAD STOCK","OK")))))</f>
        <v/>
      </c>
      <c r="S115" s="65" t="str">
        <f aca="false">IF($A115="","",IF(N($H115)=0,0,(N($H115)-P115)/N($H115)))</f>
        <v/>
      </c>
      <c r="T115" s="64" t="str">
        <f aca="false">IF($A115="","",IF(O115&lt;=N($I115),MAX(0,2*N($I115)-O115),0))</f>
        <v/>
      </c>
      <c r="U115" s="61" t="str">
        <f aca="false">IF($A115="","",SUMIFS(Sales!$L$5:INDEX(Sales!$L$5:$L$3004,TxRows),Sales!$D$5:INDEX(Sales!$D$5:$D$3004,TxRows),$A115))</f>
        <v/>
      </c>
      <c r="V115" s="61" t="str">
        <f aca="false">IF($A115="","",SUMIFS(Sales!$S$5:INDEX(Sales!$S$5:$S$3004,TxRows),Sales!$D$5:INDEX(Sales!$D$5:$D$3004,TxRows),$A115))</f>
        <v/>
      </c>
      <c r="W115" s="66" t="str">
        <f aca="false">IF($A115="","",IFERROR(SUMPRODUCT(MAX((Sales!$D$5:INDEX(Sales!$D$5:$D$3004,TxRows)=$A115)*Sales!$A$5:INDEX(Sales!$A$5:$A$3004,TxRows))),0))</f>
        <v/>
      </c>
      <c r="X115" s="67" t="str">
        <f aca="false">IF($A115="","",IF(W115=0,AsOf-FYStart,AsOf-W115))</f>
        <v/>
      </c>
      <c r="Y115" s="67" t="str">
        <f aca="false">IF($A115="","",IF(M115=0,"",O115/(M115/MAX(1,AsOf-FYStart))))</f>
        <v/>
      </c>
      <c r="Z115" s="60" t="str">
        <f aca="false">IF($A115="","",U115+ROW()/1000000)</f>
        <v/>
      </c>
    </row>
    <row r="116" customFormat="false" ht="15" hidden="false" customHeight="false" outlineLevel="0" collapsed="false">
      <c r="A116" s="56"/>
      <c r="B116" s="56"/>
      <c r="C116" s="56"/>
      <c r="D116" s="56"/>
      <c r="E116" s="56"/>
      <c r="F116" s="63"/>
      <c r="G116" s="58"/>
      <c r="H116" s="58"/>
      <c r="I116" s="57"/>
      <c r="J116" s="57"/>
      <c r="K116" s="58"/>
      <c r="L116" s="64" t="str">
        <f aca="false">IF($A116="","",SUMIFS(Purchases!$E$5:INDEX(Purchases!$E$5:$E$3004,TxRows),Purchases!$D$5:INDEX(Purchases!$D$5:$D$3004,TxRows),$A116))</f>
        <v/>
      </c>
      <c r="M116" s="64" t="str">
        <f aca="false">IF($A116="","",SUMIFS(Sales!$E$5:INDEX(Sales!$E$5:$E$3004,TxRows),Sales!$D$5:INDEX(Sales!$D$5:$D$3004,TxRows),$A116))</f>
        <v/>
      </c>
      <c r="N116" s="64" t="str">
        <f aca="false">IF($A116="","",SUMIFS(Adjustments!$C$5:$C$504,Adjustments!$B$5:$B$504,$A116))</f>
        <v/>
      </c>
      <c r="O116" s="64" t="str">
        <f aca="false">IF($A116="","",N($J116)+L116-M116+N116)</f>
        <v/>
      </c>
      <c r="P116" s="61" t="str">
        <f aca="false">IF($A116="","",IFERROR((N($J116)*N($K116)+SUMIFS(Purchases!$K$5:INDEX(Purchases!$K$5:$K$3004,TxRows),Purchases!$D$5:INDEX(Purchases!$D$5:$D$3004,TxRows),$A116))/(N($J116)+L116),N($G116)))</f>
        <v/>
      </c>
      <c r="Q116" s="61" t="str">
        <f aca="false">IF($A116="","",MAX(0,O116)*P116)</f>
        <v/>
      </c>
      <c r="R116" s="60" t="str">
        <f aca="false">IF($A116="","",IF(O116&lt;0,"NEGATIVE",IF(O116=0,"OUT OF STOCK",IF(O116&lt;=N($I116),"REORDER",IF(AND(O116&gt;0,X116&gt;DeadDays),"DEAD STOCK","OK")))))</f>
        <v/>
      </c>
      <c r="S116" s="65" t="str">
        <f aca="false">IF($A116="","",IF(N($H116)=0,0,(N($H116)-P116)/N($H116)))</f>
        <v/>
      </c>
      <c r="T116" s="64" t="str">
        <f aca="false">IF($A116="","",IF(O116&lt;=N($I116),MAX(0,2*N($I116)-O116),0))</f>
        <v/>
      </c>
      <c r="U116" s="61" t="str">
        <f aca="false">IF($A116="","",SUMIFS(Sales!$L$5:INDEX(Sales!$L$5:$L$3004,TxRows),Sales!$D$5:INDEX(Sales!$D$5:$D$3004,TxRows),$A116))</f>
        <v/>
      </c>
      <c r="V116" s="61" t="str">
        <f aca="false">IF($A116="","",SUMIFS(Sales!$S$5:INDEX(Sales!$S$5:$S$3004,TxRows),Sales!$D$5:INDEX(Sales!$D$5:$D$3004,TxRows),$A116))</f>
        <v/>
      </c>
      <c r="W116" s="66" t="str">
        <f aca="false">IF($A116="","",IFERROR(SUMPRODUCT(MAX((Sales!$D$5:INDEX(Sales!$D$5:$D$3004,TxRows)=$A116)*Sales!$A$5:INDEX(Sales!$A$5:$A$3004,TxRows))),0))</f>
        <v/>
      </c>
      <c r="X116" s="67" t="str">
        <f aca="false">IF($A116="","",IF(W116=0,AsOf-FYStart,AsOf-W116))</f>
        <v/>
      </c>
      <c r="Y116" s="67" t="str">
        <f aca="false">IF($A116="","",IF(M116=0,"",O116/(M116/MAX(1,AsOf-FYStart))))</f>
        <v/>
      </c>
      <c r="Z116" s="60" t="str">
        <f aca="false">IF($A116="","",U116+ROW()/1000000)</f>
        <v/>
      </c>
    </row>
    <row r="117" customFormat="false" ht="15" hidden="false" customHeight="false" outlineLevel="0" collapsed="false">
      <c r="A117" s="56"/>
      <c r="B117" s="56"/>
      <c r="C117" s="56"/>
      <c r="D117" s="56"/>
      <c r="E117" s="56"/>
      <c r="F117" s="63"/>
      <c r="G117" s="58"/>
      <c r="H117" s="58"/>
      <c r="I117" s="57"/>
      <c r="J117" s="57"/>
      <c r="K117" s="58"/>
      <c r="L117" s="64" t="str">
        <f aca="false">IF($A117="","",SUMIFS(Purchases!$E$5:INDEX(Purchases!$E$5:$E$3004,TxRows),Purchases!$D$5:INDEX(Purchases!$D$5:$D$3004,TxRows),$A117))</f>
        <v/>
      </c>
      <c r="M117" s="64" t="str">
        <f aca="false">IF($A117="","",SUMIFS(Sales!$E$5:INDEX(Sales!$E$5:$E$3004,TxRows),Sales!$D$5:INDEX(Sales!$D$5:$D$3004,TxRows),$A117))</f>
        <v/>
      </c>
      <c r="N117" s="64" t="str">
        <f aca="false">IF($A117="","",SUMIFS(Adjustments!$C$5:$C$504,Adjustments!$B$5:$B$504,$A117))</f>
        <v/>
      </c>
      <c r="O117" s="64" t="str">
        <f aca="false">IF($A117="","",N($J117)+L117-M117+N117)</f>
        <v/>
      </c>
      <c r="P117" s="61" t="str">
        <f aca="false">IF($A117="","",IFERROR((N($J117)*N($K117)+SUMIFS(Purchases!$K$5:INDEX(Purchases!$K$5:$K$3004,TxRows),Purchases!$D$5:INDEX(Purchases!$D$5:$D$3004,TxRows),$A117))/(N($J117)+L117),N($G117)))</f>
        <v/>
      </c>
      <c r="Q117" s="61" t="str">
        <f aca="false">IF($A117="","",MAX(0,O117)*P117)</f>
        <v/>
      </c>
      <c r="R117" s="60" t="str">
        <f aca="false">IF($A117="","",IF(O117&lt;0,"NEGATIVE",IF(O117=0,"OUT OF STOCK",IF(O117&lt;=N($I117),"REORDER",IF(AND(O117&gt;0,X117&gt;DeadDays),"DEAD STOCK","OK")))))</f>
        <v/>
      </c>
      <c r="S117" s="65" t="str">
        <f aca="false">IF($A117="","",IF(N($H117)=0,0,(N($H117)-P117)/N($H117)))</f>
        <v/>
      </c>
      <c r="T117" s="64" t="str">
        <f aca="false">IF($A117="","",IF(O117&lt;=N($I117),MAX(0,2*N($I117)-O117),0))</f>
        <v/>
      </c>
      <c r="U117" s="61" t="str">
        <f aca="false">IF($A117="","",SUMIFS(Sales!$L$5:INDEX(Sales!$L$5:$L$3004,TxRows),Sales!$D$5:INDEX(Sales!$D$5:$D$3004,TxRows),$A117))</f>
        <v/>
      </c>
      <c r="V117" s="61" t="str">
        <f aca="false">IF($A117="","",SUMIFS(Sales!$S$5:INDEX(Sales!$S$5:$S$3004,TxRows),Sales!$D$5:INDEX(Sales!$D$5:$D$3004,TxRows),$A117))</f>
        <v/>
      </c>
      <c r="W117" s="66" t="str">
        <f aca="false">IF($A117="","",IFERROR(SUMPRODUCT(MAX((Sales!$D$5:INDEX(Sales!$D$5:$D$3004,TxRows)=$A117)*Sales!$A$5:INDEX(Sales!$A$5:$A$3004,TxRows))),0))</f>
        <v/>
      </c>
      <c r="X117" s="67" t="str">
        <f aca="false">IF($A117="","",IF(W117=0,AsOf-FYStart,AsOf-W117))</f>
        <v/>
      </c>
      <c r="Y117" s="67" t="str">
        <f aca="false">IF($A117="","",IF(M117=0,"",O117/(M117/MAX(1,AsOf-FYStart))))</f>
        <v/>
      </c>
      <c r="Z117" s="60" t="str">
        <f aca="false">IF($A117="","",U117+ROW()/1000000)</f>
        <v/>
      </c>
    </row>
    <row r="118" customFormat="false" ht="15" hidden="false" customHeight="false" outlineLevel="0" collapsed="false">
      <c r="A118" s="56"/>
      <c r="B118" s="56"/>
      <c r="C118" s="56"/>
      <c r="D118" s="56"/>
      <c r="E118" s="56"/>
      <c r="F118" s="63"/>
      <c r="G118" s="58"/>
      <c r="H118" s="58"/>
      <c r="I118" s="57"/>
      <c r="J118" s="57"/>
      <c r="K118" s="58"/>
      <c r="L118" s="64" t="str">
        <f aca="false">IF($A118="","",SUMIFS(Purchases!$E$5:INDEX(Purchases!$E$5:$E$3004,TxRows),Purchases!$D$5:INDEX(Purchases!$D$5:$D$3004,TxRows),$A118))</f>
        <v/>
      </c>
      <c r="M118" s="64" t="str">
        <f aca="false">IF($A118="","",SUMIFS(Sales!$E$5:INDEX(Sales!$E$5:$E$3004,TxRows),Sales!$D$5:INDEX(Sales!$D$5:$D$3004,TxRows),$A118))</f>
        <v/>
      </c>
      <c r="N118" s="64" t="str">
        <f aca="false">IF($A118="","",SUMIFS(Adjustments!$C$5:$C$504,Adjustments!$B$5:$B$504,$A118))</f>
        <v/>
      </c>
      <c r="O118" s="64" t="str">
        <f aca="false">IF($A118="","",N($J118)+L118-M118+N118)</f>
        <v/>
      </c>
      <c r="P118" s="61" t="str">
        <f aca="false">IF($A118="","",IFERROR((N($J118)*N($K118)+SUMIFS(Purchases!$K$5:INDEX(Purchases!$K$5:$K$3004,TxRows),Purchases!$D$5:INDEX(Purchases!$D$5:$D$3004,TxRows),$A118))/(N($J118)+L118),N($G118)))</f>
        <v/>
      </c>
      <c r="Q118" s="61" t="str">
        <f aca="false">IF($A118="","",MAX(0,O118)*P118)</f>
        <v/>
      </c>
      <c r="R118" s="60" t="str">
        <f aca="false">IF($A118="","",IF(O118&lt;0,"NEGATIVE",IF(O118=0,"OUT OF STOCK",IF(O118&lt;=N($I118),"REORDER",IF(AND(O118&gt;0,X118&gt;DeadDays),"DEAD STOCK","OK")))))</f>
        <v/>
      </c>
      <c r="S118" s="65" t="str">
        <f aca="false">IF($A118="","",IF(N($H118)=0,0,(N($H118)-P118)/N($H118)))</f>
        <v/>
      </c>
      <c r="T118" s="64" t="str">
        <f aca="false">IF($A118="","",IF(O118&lt;=N($I118),MAX(0,2*N($I118)-O118),0))</f>
        <v/>
      </c>
      <c r="U118" s="61" t="str">
        <f aca="false">IF($A118="","",SUMIFS(Sales!$L$5:INDEX(Sales!$L$5:$L$3004,TxRows),Sales!$D$5:INDEX(Sales!$D$5:$D$3004,TxRows),$A118))</f>
        <v/>
      </c>
      <c r="V118" s="61" t="str">
        <f aca="false">IF($A118="","",SUMIFS(Sales!$S$5:INDEX(Sales!$S$5:$S$3004,TxRows),Sales!$D$5:INDEX(Sales!$D$5:$D$3004,TxRows),$A118))</f>
        <v/>
      </c>
      <c r="W118" s="66" t="str">
        <f aca="false">IF($A118="","",IFERROR(SUMPRODUCT(MAX((Sales!$D$5:INDEX(Sales!$D$5:$D$3004,TxRows)=$A118)*Sales!$A$5:INDEX(Sales!$A$5:$A$3004,TxRows))),0))</f>
        <v/>
      </c>
      <c r="X118" s="67" t="str">
        <f aca="false">IF($A118="","",IF(W118=0,AsOf-FYStart,AsOf-W118))</f>
        <v/>
      </c>
      <c r="Y118" s="67" t="str">
        <f aca="false">IF($A118="","",IF(M118=0,"",O118/(M118/MAX(1,AsOf-FYStart))))</f>
        <v/>
      </c>
      <c r="Z118" s="60" t="str">
        <f aca="false">IF($A118="","",U118+ROW()/1000000)</f>
        <v/>
      </c>
    </row>
    <row r="119" customFormat="false" ht="15" hidden="false" customHeight="false" outlineLevel="0" collapsed="false">
      <c r="A119" s="56"/>
      <c r="B119" s="56"/>
      <c r="C119" s="56"/>
      <c r="D119" s="56"/>
      <c r="E119" s="56"/>
      <c r="F119" s="63"/>
      <c r="G119" s="58"/>
      <c r="H119" s="58"/>
      <c r="I119" s="57"/>
      <c r="J119" s="57"/>
      <c r="K119" s="58"/>
      <c r="L119" s="64" t="str">
        <f aca="false">IF($A119="","",SUMIFS(Purchases!$E$5:INDEX(Purchases!$E$5:$E$3004,TxRows),Purchases!$D$5:INDEX(Purchases!$D$5:$D$3004,TxRows),$A119))</f>
        <v/>
      </c>
      <c r="M119" s="64" t="str">
        <f aca="false">IF($A119="","",SUMIFS(Sales!$E$5:INDEX(Sales!$E$5:$E$3004,TxRows),Sales!$D$5:INDEX(Sales!$D$5:$D$3004,TxRows),$A119))</f>
        <v/>
      </c>
      <c r="N119" s="64" t="str">
        <f aca="false">IF($A119="","",SUMIFS(Adjustments!$C$5:$C$504,Adjustments!$B$5:$B$504,$A119))</f>
        <v/>
      </c>
      <c r="O119" s="64" t="str">
        <f aca="false">IF($A119="","",N($J119)+L119-M119+N119)</f>
        <v/>
      </c>
      <c r="P119" s="61" t="str">
        <f aca="false">IF($A119="","",IFERROR((N($J119)*N($K119)+SUMIFS(Purchases!$K$5:INDEX(Purchases!$K$5:$K$3004,TxRows),Purchases!$D$5:INDEX(Purchases!$D$5:$D$3004,TxRows),$A119))/(N($J119)+L119),N($G119)))</f>
        <v/>
      </c>
      <c r="Q119" s="61" t="str">
        <f aca="false">IF($A119="","",MAX(0,O119)*P119)</f>
        <v/>
      </c>
      <c r="R119" s="60" t="str">
        <f aca="false">IF($A119="","",IF(O119&lt;0,"NEGATIVE",IF(O119=0,"OUT OF STOCK",IF(O119&lt;=N($I119),"REORDER",IF(AND(O119&gt;0,X119&gt;DeadDays),"DEAD STOCK","OK")))))</f>
        <v/>
      </c>
      <c r="S119" s="65" t="str">
        <f aca="false">IF($A119="","",IF(N($H119)=0,0,(N($H119)-P119)/N($H119)))</f>
        <v/>
      </c>
      <c r="T119" s="64" t="str">
        <f aca="false">IF($A119="","",IF(O119&lt;=N($I119),MAX(0,2*N($I119)-O119),0))</f>
        <v/>
      </c>
      <c r="U119" s="61" t="str">
        <f aca="false">IF($A119="","",SUMIFS(Sales!$L$5:INDEX(Sales!$L$5:$L$3004,TxRows),Sales!$D$5:INDEX(Sales!$D$5:$D$3004,TxRows),$A119))</f>
        <v/>
      </c>
      <c r="V119" s="61" t="str">
        <f aca="false">IF($A119="","",SUMIFS(Sales!$S$5:INDEX(Sales!$S$5:$S$3004,TxRows),Sales!$D$5:INDEX(Sales!$D$5:$D$3004,TxRows),$A119))</f>
        <v/>
      </c>
      <c r="W119" s="66" t="str">
        <f aca="false">IF($A119="","",IFERROR(SUMPRODUCT(MAX((Sales!$D$5:INDEX(Sales!$D$5:$D$3004,TxRows)=$A119)*Sales!$A$5:INDEX(Sales!$A$5:$A$3004,TxRows))),0))</f>
        <v/>
      </c>
      <c r="X119" s="67" t="str">
        <f aca="false">IF($A119="","",IF(W119=0,AsOf-FYStart,AsOf-W119))</f>
        <v/>
      </c>
      <c r="Y119" s="67" t="str">
        <f aca="false">IF($A119="","",IF(M119=0,"",O119/(M119/MAX(1,AsOf-FYStart))))</f>
        <v/>
      </c>
      <c r="Z119" s="60" t="str">
        <f aca="false">IF($A119="","",U119+ROW()/1000000)</f>
        <v/>
      </c>
    </row>
    <row r="120" customFormat="false" ht="15" hidden="false" customHeight="false" outlineLevel="0" collapsed="false">
      <c r="A120" s="56"/>
      <c r="B120" s="56"/>
      <c r="C120" s="56"/>
      <c r="D120" s="56"/>
      <c r="E120" s="56"/>
      <c r="F120" s="63"/>
      <c r="G120" s="58"/>
      <c r="H120" s="58"/>
      <c r="I120" s="57"/>
      <c r="J120" s="57"/>
      <c r="K120" s="58"/>
      <c r="L120" s="64" t="str">
        <f aca="false">IF($A120="","",SUMIFS(Purchases!$E$5:INDEX(Purchases!$E$5:$E$3004,TxRows),Purchases!$D$5:INDEX(Purchases!$D$5:$D$3004,TxRows),$A120))</f>
        <v/>
      </c>
      <c r="M120" s="64" t="str">
        <f aca="false">IF($A120="","",SUMIFS(Sales!$E$5:INDEX(Sales!$E$5:$E$3004,TxRows),Sales!$D$5:INDEX(Sales!$D$5:$D$3004,TxRows),$A120))</f>
        <v/>
      </c>
      <c r="N120" s="64" t="str">
        <f aca="false">IF($A120="","",SUMIFS(Adjustments!$C$5:$C$504,Adjustments!$B$5:$B$504,$A120))</f>
        <v/>
      </c>
      <c r="O120" s="64" t="str">
        <f aca="false">IF($A120="","",N($J120)+L120-M120+N120)</f>
        <v/>
      </c>
      <c r="P120" s="61" t="str">
        <f aca="false">IF($A120="","",IFERROR((N($J120)*N($K120)+SUMIFS(Purchases!$K$5:INDEX(Purchases!$K$5:$K$3004,TxRows),Purchases!$D$5:INDEX(Purchases!$D$5:$D$3004,TxRows),$A120))/(N($J120)+L120),N($G120)))</f>
        <v/>
      </c>
      <c r="Q120" s="61" t="str">
        <f aca="false">IF($A120="","",MAX(0,O120)*P120)</f>
        <v/>
      </c>
      <c r="R120" s="60" t="str">
        <f aca="false">IF($A120="","",IF(O120&lt;0,"NEGATIVE",IF(O120=0,"OUT OF STOCK",IF(O120&lt;=N($I120),"REORDER",IF(AND(O120&gt;0,X120&gt;DeadDays),"DEAD STOCK","OK")))))</f>
        <v/>
      </c>
      <c r="S120" s="65" t="str">
        <f aca="false">IF($A120="","",IF(N($H120)=0,0,(N($H120)-P120)/N($H120)))</f>
        <v/>
      </c>
      <c r="T120" s="64" t="str">
        <f aca="false">IF($A120="","",IF(O120&lt;=N($I120),MAX(0,2*N($I120)-O120),0))</f>
        <v/>
      </c>
      <c r="U120" s="61" t="str">
        <f aca="false">IF($A120="","",SUMIFS(Sales!$L$5:INDEX(Sales!$L$5:$L$3004,TxRows),Sales!$D$5:INDEX(Sales!$D$5:$D$3004,TxRows),$A120))</f>
        <v/>
      </c>
      <c r="V120" s="61" t="str">
        <f aca="false">IF($A120="","",SUMIFS(Sales!$S$5:INDEX(Sales!$S$5:$S$3004,TxRows),Sales!$D$5:INDEX(Sales!$D$5:$D$3004,TxRows),$A120))</f>
        <v/>
      </c>
      <c r="W120" s="66" t="str">
        <f aca="false">IF($A120="","",IFERROR(SUMPRODUCT(MAX((Sales!$D$5:INDEX(Sales!$D$5:$D$3004,TxRows)=$A120)*Sales!$A$5:INDEX(Sales!$A$5:$A$3004,TxRows))),0))</f>
        <v/>
      </c>
      <c r="X120" s="67" t="str">
        <f aca="false">IF($A120="","",IF(W120=0,AsOf-FYStart,AsOf-W120))</f>
        <v/>
      </c>
      <c r="Y120" s="67" t="str">
        <f aca="false">IF($A120="","",IF(M120=0,"",O120/(M120/MAX(1,AsOf-FYStart))))</f>
        <v/>
      </c>
      <c r="Z120" s="60" t="str">
        <f aca="false">IF($A120="","",U120+ROW()/1000000)</f>
        <v/>
      </c>
    </row>
    <row r="121" customFormat="false" ht="15" hidden="false" customHeight="false" outlineLevel="0" collapsed="false">
      <c r="A121" s="56"/>
      <c r="B121" s="56"/>
      <c r="C121" s="56"/>
      <c r="D121" s="56"/>
      <c r="E121" s="56"/>
      <c r="F121" s="63"/>
      <c r="G121" s="58"/>
      <c r="H121" s="58"/>
      <c r="I121" s="57"/>
      <c r="J121" s="57"/>
      <c r="K121" s="58"/>
      <c r="L121" s="64" t="str">
        <f aca="false">IF($A121="","",SUMIFS(Purchases!$E$5:INDEX(Purchases!$E$5:$E$3004,TxRows),Purchases!$D$5:INDEX(Purchases!$D$5:$D$3004,TxRows),$A121))</f>
        <v/>
      </c>
      <c r="M121" s="64" t="str">
        <f aca="false">IF($A121="","",SUMIFS(Sales!$E$5:INDEX(Sales!$E$5:$E$3004,TxRows),Sales!$D$5:INDEX(Sales!$D$5:$D$3004,TxRows),$A121))</f>
        <v/>
      </c>
      <c r="N121" s="64" t="str">
        <f aca="false">IF($A121="","",SUMIFS(Adjustments!$C$5:$C$504,Adjustments!$B$5:$B$504,$A121))</f>
        <v/>
      </c>
      <c r="O121" s="64" t="str">
        <f aca="false">IF($A121="","",N($J121)+L121-M121+N121)</f>
        <v/>
      </c>
      <c r="P121" s="61" t="str">
        <f aca="false">IF($A121="","",IFERROR((N($J121)*N($K121)+SUMIFS(Purchases!$K$5:INDEX(Purchases!$K$5:$K$3004,TxRows),Purchases!$D$5:INDEX(Purchases!$D$5:$D$3004,TxRows),$A121))/(N($J121)+L121),N($G121)))</f>
        <v/>
      </c>
      <c r="Q121" s="61" t="str">
        <f aca="false">IF($A121="","",MAX(0,O121)*P121)</f>
        <v/>
      </c>
      <c r="R121" s="60" t="str">
        <f aca="false">IF($A121="","",IF(O121&lt;0,"NEGATIVE",IF(O121=0,"OUT OF STOCK",IF(O121&lt;=N($I121),"REORDER",IF(AND(O121&gt;0,X121&gt;DeadDays),"DEAD STOCK","OK")))))</f>
        <v/>
      </c>
      <c r="S121" s="65" t="str">
        <f aca="false">IF($A121="","",IF(N($H121)=0,0,(N($H121)-P121)/N($H121)))</f>
        <v/>
      </c>
      <c r="T121" s="64" t="str">
        <f aca="false">IF($A121="","",IF(O121&lt;=N($I121),MAX(0,2*N($I121)-O121),0))</f>
        <v/>
      </c>
      <c r="U121" s="61" t="str">
        <f aca="false">IF($A121="","",SUMIFS(Sales!$L$5:INDEX(Sales!$L$5:$L$3004,TxRows),Sales!$D$5:INDEX(Sales!$D$5:$D$3004,TxRows),$A121))</f>
        <v/>
      </c>
      <c r="V121" s="61" t="str">
        <f aca="false">IF($A121="","",SUMIFS(Sales!$S$5:INDEX(Sales!$S$5:$S$3004,TxRows),Sales!$D$5:INDEX(Sales!$D$5:$D$3004,TxRows),$A121))</f>
        <v/>
      </c>
      <c r="W121" s="66" t="str">
        <f aca="false">IF($A121="","",IFERROR(SUMPRODUCT(MAX((Sales!$D$5:INDEX(Sales!$D$5:$D$3004,TxRows)=$A121)*Sales!$A$5:INDEX(Sales!$A$5:$A$3004,TxRows))),0))</f>
        <v/>
      </c>
      <c r="X121" s="67" t="str">
        <f aca="false">IF($A121="","",IF(W121=0,AsOf-FYStart,AsOf-W121))</f>
        <v/>
      </c>
      <c r="Y121" s="67" t="str">
        <f aca="false">IF($A121="","",IF(M121=0,"",O121/(M121/MAX(1,AsOf-FYStart))))</f>
        <v/>
      </c>
      <c r="Z121" s="60" t="str">
        <f aca="false">IF($A121="","",U121+ROW()/1000000)</f>
        <v/>
      </c>
    </row>
    <row r="122" customFormat="false" ht="15" hidden="false" customHeight="false" outlineLevel="0" collapsed="false">
      <c r="A122" s="56"/>
      <c r="B122" s="56"/>
      <c r="C122" s="56"/>
      <c r="D122" s="56"/>
      <c r="E122" s="56"/>
      <c r="F122" s="63"/>
      <c r="G122" s="58"/>
      <c r="H122" s="58"/>
      <c r="I122" s="57"/>
      <c r="J122" s="57"/>
      <c r="K122" s="58"/>
      <c r="L122" s="64" t="str">
        <f aca="false">IF($A122="","",SUMIFS(Purchases!$E$5:INDEX(Purchases!$E$5:$E$3004,TxRows),Purchases!$D$5:INDEX(Purchases!$D$5:$D$3004,TxRows),$A122))</f>
        <v/>
      </c>
      <c r="M122" s="64" t="str">
        <f aca="false">IF($A122="","",SUMIFS(Sales!$E$5:INDEX(Sales!$E$5:$E$3004,TxRows),Sales!$D$5:INDEX(Sales!$D$5:$D$3004,TxRows),$A122))</f>
        <v/>
      </c>
      <c r="N122" s="64" t="str">
        <f aca="false">IF($A122="","",SUMIFS(Adjustments!$C$5:$C$504,Adjustments!$B$5:$B$504,$A122))</f>
        <v/>
      </c>
      <c r="O122" s="64" t="str">
        <f aca="false">IF($A122="","",N($J122)+L122-M122+N122)</f>
        <v/>
      </c>
      <c r="P122" s="61" t="str">
        <f aca="false">IF($A122="","",IFERROR((N($J122)*N($K122)+SUMIFS(Purchases!$K$5:INDEX(Purchases!$K$5:$K$3004,TxRows),Purchases!$D$5:INDEX(Purchases!$D$5:$D$3004,TxRows),$A122))/(N($J122)+L122),N($G122)))</f>
        <v/>
      </c>
      <c r="Q122" s="61" t="str">
        <f aca="false">IF($A122="","",MAX(0,O122)*P122)</f>
        <v/>
      </c>
      <c r="R122" s="60" t="str">
        <f aca="false">IF($A122="","",IF(O122&lt;0,"NEGATIVE",IF(O122=0,"OUT OF STOCK",IF(O122&lt;=N($I122),"REORDER",IF(AND(O122&gt;0,X122&gt;DeadDays),"DEAD STOCK","OK")))))</f>
        <v/>
      </c>
      <c r="S122" s="65" t="str">
        <f aca="false">IF($A122="","",IF(N($H122)=0,0,(N($H122)-P122)/N($H122)))</f>
        <v/>
      </c>
      <c r="T122" s="64" t="str">
        <f aca="false">IF($A122="","",IF(O122&lt;=N($I122),MAX(0,2*N($I122)-O122),0))</f>
        <v/>
      </c>
      <c r="U122" s="61" t="str">
        <f aca="false">IF($A122="","",SUMIFS(Sales!$L$5:INDEX(Sales!$L$5:$L$3004,TxRows),Sales!$D$5:INDEX(Sales!$D$5:$D$3004,TxRows),$A122))</f>
        <v/>
      </c>
      <c r="V122" s="61" t="str">
        <f aca="false">IF($A122="","",SUMIFS(Sales!$S$5:INDEX(Sales!$S$5:$S$3004,TxRows),Sales!$D$5:INDEX(Sales!$D$5:$D$3004,TxRows),$A122))</f>
        <v/>
      </c>
      <c r="W122" s="66" t="str">
        <f aca="false">IF($A122="","",IFERROR(SUMPRODUCT(MAX((Sales!$D$5:INDEX(Sales!$D$5:$D$3004,TxRows)=$A122)*Sales!$A$5:INDEX(Sales!$A$5:$A$3004,TxRows))),0))</f>
        <v/>
      </c>
      <c r="X122" s="67" t="str">
        <f aca="false">IF($A122="","",IF(W122=0,AsOf-FYStart,AsOf-W122))</f>
        <v/>
      </c>
      <c r="Y122" s="67" t="str">
        <f aca="false">IF($A122="","",IF(M122=0,"",O122/(M122/MAX(1,AsOf-FYStart))))</f>
        <v/>
      </c>
      <c r="Z122" s="60" t="str">
        <f aca="false">IF($A122="","",U122+ROW()/1000000)</f>
        <v/>
      </c>
    </row>
    <row r="123" customFormat="false" ht="15" hidden="false" customHeight="false" outlineLevel="0" collapsed="false">
      <c r="A123" s="56"/>
      <c r="B123" s="56"/>
      <c r="C123" s="56"/>
      <c r="D123" s="56"/>
      <c r="E123" s="56"/>
      <c r="F123" s="63"/>
      <c r="G123" s="58"/>
      <c r="H123" s="58"/>
      <c r="I123" s="57"/>
      <c r="J123" s="57"/>
      <c r="K123" s="58"/>
      <c r="L123" s="64" t="str">
        <f aca="false">IF($A123="","",SUMIFS(Purchases!$E$5:INDEX(Purchases!$E$5:$E$3004,TxRows),Purchases!$D$5:INDEX(Purchases!$D$5:$D$3004,TxRows),$A123))</f>
        <v/>
      </c>
      <c r="M123" s="64" t="str">
        <f aca="false">IF($A123="","",SUMIFS(Sales!$E$5:INDEX(Sales!$E$5:$E$3004,TxRows),Sales!$D$5:INDEX(Sales!$D$5:$D$3004,TxRows),$A123))</f>
        <v/>
      </c>
      <c r="N123" s="64" t="str">
        <f aca="false">IF($A123="","",SUMIFS(Adjustments!$C$5:$C$504,Adjustments!$B$5:$B$504,$A123))</f>
        <v/>
      </c>
      <c r="O123" s="64" t="str">
        <f aca="false">IF($A123="","",N($J123)+L123-M123+N123)</f>
        <v/>
      </c>
      <c r="P123" s="61" t="str">
        <f aca="false">IF($A123="","",IFERROR((N($J123)*N($K123)+SUMIFS(Purchases!$K$5:INDEX(Purchases!$K$5:$K$3004,TxRows),Purchases!$D$5:INDEX(Purchases!$D$5:$D$3004,TxRows),$A123))/(N($J123)+L123),N($G123)))</f>
        <v/>
      </c>
      <c r="Q123" s="61" t="str">
        <f aca="false">IF($A123="","",MAX(0,O123)*P123)</f>
        <v/>
      </c>
      <c r="R123" s="60" t="str">
        <f aca="false">IF($A123="","",IF(O123&lt;0,"NEGATIVE",IF(O123=0,"OUT OF STOCK",IF(O123&lt;=N($I123),"REORDER",IF(AND(O123&gt;0,X123&gt;DeadDays),"DEAD STOCK","OK")))))</f>
        <v/>
      </c>
      <c r="S123" s="65" t="str">
        <f aca="false">IF($A123="","",IF(N($H123)=0,0,(N($H123)-P123)/N($H123)))</f>
        <v/>
      </c>
      <c r="T123" s="64" t="str">
        <f aca="false">IF($A123="","",IF(O123&lt;=N($I123),MAX(0,2*N($I123)-O123),0))</f>
        <v/>
      </c>
      <c r="U123" s="61" t="str">
        <f aca="false">IF($A123="","",SUMIFS(Sales!$L$5:INDEX(Sales!$L$5:$L$3004,TxRows),Sales!$D$5:INDEX(Sales!$D$5:$D$3004,TxRows),$A123))</f>
        <v/>
      </c>
      <c r="V123" s="61" t="str">
        <f aca="false">IF($A123="","",SUMIFS(Sales!$S$5:INDEX(Sales!$S$5:$S$3004,TxRows),Sales!$D$5:INDEX(Sales!$D$5:$D$3004,TxRows),$A123))</f>
        <v/>
      </c>
      <c r="W123" s="66" t="str">
        <f aca="false">IF($A123="","",IFERROR(SUMPRODUCT(MAX((Sales!$D$5:INDEX(Sales!$D$5:$D$3004,TxRows)=$A123)*Sales!$A$5:INDEX(Sales!$A$5:$A$3004,TxRows))),0))</f>
        <v/>
      </c>
      <c r="X123" s="67" t="str">
        <f aca="false">IF($A123="","",IF(W123=0,AsOf-FYStart,AsOf-W123))</f>
        <v/>
      </c>
      <c r="Y123" s="67" t="str">
        <f aca="false">IF($A123="","",IF(M123=0,"",O123/(M123/MAX(1,AsOf-FYStart))))</f>
        <v/>
      </c>
      <c r="Z123" s="60" t="str">
        <f aca="false">IF($A123="","",U123+ROW()/1000000)</f>
        <v/>
      </c>
    </row>
    <row r="124" customFormat="false" ht="15" hidden="false" customHeight="false" outlineLevel="0" collapsed="false">
      <c r="A124" s="56"/>
      <c r="B124" s="56"/>
      <c r="C124" s="56"/>
      <c r="D124" s="56"/>
      <c r="E124" s="56"/>
      <c r="F124" s="63"/>
      <c r="G124" s="58"/>
      <c r="H124" s="58"/>
      <c r="I124" s="57"/>
      <c r="J124" s="57"/>
      <c r="K124" s="58"/>
      <c r="L124" s="64" t="str">
        <f aca="false">IF($A124="","",SUMIFS(Purchases!$E$5:INDEX(Purchases!$E$5:$E$3004,TxRows),Purchases!$D$5:INDEX(Purchases!$D$5:$D$3004,TxRows),$A124))</f>
        <v/>
      </c>
      <c r="M124" s="64" t="str">
        <f aca="false">IF($A124="","",SUMIFS(Sales!$E$5:INDEX(Sales!$E$5:$E$3004,TxRows),Sales!$D$5:INDEX(Sales!$D$5:$D$3004,TxRows),$A124))</f>
        <v/>
      </c>
      <c r="N124" s="64" t="str">
        <f aca="false">IF($A124="","",SUMIFS(Adjustments!$C$5:$C$504,Adjustments!$B$5:$B$504,$A124))</f>
        <v/>
      </c>
      <c r="O124" s="64" t="str">
        <f aca="false">IF($A124="","",N($J124)+L124-M124+N124)</f>
        <v/>
      </c>
      <c r="P124" s="61" t="str">
        <f aca="false">IF($A124="","",IFERROR((N($J124)*N($K124)+SUMIFS(Purchases!$K$5:INDEX(Purchases!$K$5:$K$3004,TxRows),Purchases!$D$5:INDEX(Purchases!$D$5:$D$3004,TxRows),$A124))/(N($J124)+L124),N($G124)))</f>
        <v/>
      </c>
      <c r="Q124" s="61" t="str">
        <f aca="false">IF($A124="","",MAX(0,O124)*P124)</f>
        <v/>
      </c>
      <c r="R124" s="60" t="str">
        <f aca="false">IF($A124="","",IF(O124&lt;0,"NEGATIVE",IF(O124=0,"OUT OF STOCK",IF(O124&lt;=N($I124),"REORDER",IF(AND(O124&gt;0,X124&gt;DeadDays),"DEAD STOCK","OK")))))</f>
        <v/>
      </c>
      <c r="S124" s="65" t="str">
        <f aca="false">IF($A124="","",IF(N($H124)=0,0,(N($H124)-P124)/N($H124)))</f>
        <v/>
      </c>
      <c r="T124" s="64" t="str">
        <f aca="false">IF($A124="","",IF(O124&lt;=N($I124),MAX(0,2*N($I124)-O124),0))</f>
        <v/>
      </c>
      <c r="U124" s="61" t="str">
        <f aca="false">IF($A124="","",SUMIFS(Sales!$L$5:INDEX(Sales!$L$5:$L$3004,TxRows),Sales!$D$5:INDEX(Sales!$D$5:$D$3004,TxRows),$A124))</f>
        <v/>
      </c>
      <c r="V124" s="61" t="str">
        <f aca="false">IF($A124="","",SUMIFS(Sales!$S$5:INDEX(Sales!$S$5:$S$3004,TxRows),Sales!$D$5:INDEX(Sales!$D$5:$D$3004,TxRows),$A124))</f>
        <v/>
      </c>
      <c r="W124" s="66" t="str">
        <f aca="false">IF($A124="","",IFERROR(SUMPRODUCT(MAX((Sales!$D$5:INDEX(Sales!$D$5:$D$3004,TxRows)=$A124)*Sales!$A$5:INDEX(Sales!$A$5:$A$3004,TxRows))),0))</f>
        <v/>
      </c>
      <c r="X124" s="67" t="str">
        <f aca="false">IF($A124="","",IF(W124=0,AsOf-FYStart,AsOf-W124))</f>
        <v/>
      </c>
      <c r="Y124" s="67" t="str">
        <f aca="false">IF($A124="","",IF(M124=0,"",O124/(M124/MAX(1,AsOf-FYStart))))</f>
        <v/>
      </c>
      <c r="Z124" s="60" t="str">
        <f aca="false">IF($A124="","",U124+ROW()/1000000)</f>
        <v/>
      </c>
    </row>
    <row r="125" customFormat="false" ht="15" hidden="false" customHeight="false" outlineLevel="0" collapsed="false">
      <c r="A125" s="56"/>
      <c r="B125" s="56"/>
      <c r="C125" s="56"/>
      <c r="D125" s="56"/>
      <c r="E125" s="56"/>
      <c r="F125" s="63"/>
      <c r="G125" s="58"/>
      <c r="H125" s="58"/>
      <c r="I125" s="57"/>
      <c r="J125" s="57"/>
      <c r="K125" s="58"/>
      <c r="L125" s="64" t="str">
        <f aca="false">IF($A125="","",SUMIFS(Purchases!$E$5:INDEX(Purchases!$E$5:$E$3004,TxRows),Purchases!$D$5:INDEX(Purchases!$D$5:$D$3004,TxRows),$A125))</f>
        <v/>
      </c>
      <c r="M125" s="64" t="str">
        <f aca="false">IF($A125="","",SUMIFS(Sales!$E$5:INDEX(Sales!$E$5:$E$3004,TxRows),Sales!$D$5:INDEX(Sales!$D$5:$D$3004,TxRows),$A125))</f>
        <v/>
      </c>
      <c r="N125" s="64" t="str">
        <f aca="false">IF($A125="","",SUMIFS(Adjustments!$C$5:$C$504,Adjustments!$B$5:$B$504,$A125))</f>
        <v/>
      </c>
      <c r="O125" s="64" t="str">
        <f aca="false">IF($A125="","",N($J125)+L125-M125+N125)</f>
        <v/>
      </c>
      <c r="P125" s="61" t="str">
        <f aca="false">IF($A125="","",IFERROR((N($J125)*N($K125)+SUMIFS(Purchases!$K$5:INDEX(Purchases!$K$5:$K$3004,TxRows),Purchases!$D$5:INDEX(Purchases!$D$5:$D$3004,TxRows),$A125))/(N($J125)+L125),N($G125)))</f>
        <v/>
      </c>
      <c r="Q125" s="61" t="str">
        <f aca="false">IF($A125="","",MAX(0,O125)*P125)</f>
        <v/>
      </c>
      <c r="R125" s="60" t="str">
        <f aca="false">IF($A125="","",IF(O125&lt;0,"NEGATIVE",IF(O125=0,"OUT OF STOCK",IF(O125&lt;=N($I125),"REORDER",IF(AND(O125&gt;0,X125&gt;DeadDays),"DEAD STOCK","OK")))))</f>
        <v/>
      </c>
      <c r="S125" s="65" t="str">
        <f aca="false">IF($A125="","",IF(N($H125)=0,0,(N($H125)-P125)/N($H125)))</f>
        <v/>
      </c>
      <c r="T125" s="64" t="str">
        <f aca="false">IF($A125="","",IF(O125&lt;=N($I125),MAX(0,2*N($I125)-O125),0))</f>
        <v/>
      </c>
      <c r="U125" s="61" t="str">
        <f aca="false">IF($A125="","",SUMIFS(Sales!$L$5:INDEX(Sales!$L$5:$L$3004,TxRows),Sales!$D$5:INDEX(Sales!$D$5:$D$3004,TxRows),$A125))</f>
        <v/>
      </c>
      <c r="V125" s="61" t="str">
        <f aca="false">IF($A125="","",SUMIFS(Sales!$S$5:INDEX(Sales!$S$5:$S$3004,TxRows),Sales!$D$5:INDEX(Sales!$D$5:$D$3004,TxRows),$A125))</f>
        <v/>
      </c>
      <c r="W125" s="66" t="str">
        <f aca="false">IF($A125="","",IFERROR(SUMPRODUCT(MAX((Sales!$D$5:INDEX(Sales!$D$5:$D$3004,TxRows)=$A125)*Sales!$A$5:INDEX(Sales!$A$5:$A$3004,TxRows))),0))</f>
        <v/>
      </c>
      <c r="X125" s="67" t="str">
        <f aca="false">IF($A125="","",IF(W125=0,AsOf-FYStart,AsOf-W125))</f>
        <v/>
      </c>
      <c r="Y125" s="67" t="str">
        <f aca="false">IF($A125="","",IF(M125=0,"",O125/(M125/MAX(1,AsOf-FYStart))))</f>
        <v/>
      </c>
      <c r="Z125" s="60" t="str">
        <f aca="false">IF($A125="","",U125+ROW()/1000000)</f>
        <v/>
      </c>
    </row>
    <row r="126" customFormat="false" ht="15" hidden="false" customHeight="false" outlineLevel="0" collapsed="false">
      <c r="A126" s="56"/>
      <c r="B126" s="56"/>
      <c r="C126" s="56"/>
      <c r="D126" s="56"/>
      <c r="E126" s="56"/>
      <c r="F126" s="63"/>
      <c r="G126" s="58"/>
      <c r="H126" s="58"/>
      <c r="I126" s="57"/>
      <c r="J126" s="57"/>
      <c r="K126" s="58"/>
      <c r="L126" s="64" t="str">
        <f aca="false">IF($A126="","",SUMIFS(Purchases!$E$5:INDEX(Purchases!$E$5:$E$3004,TxRows),Purchases!$D$5:INDEX(Purchases!$D$5:$D$3004,TxRows),$A126))</f>
        <v/>
      </c>
      <c r="M126" s="64" t="str">
        <f aca="false">IF($A126="","",SUMIFS(Sales!$E$5:INDEX(Sales!$E$5:$E$3004,TxRows),Sales!$D$5:INDEX(Sales!$D$5:$D$3004,TxRows),$A126))</f>
        <v/>
      </c>
      <c r="N126" s="64" t="str">
        <f aca="false">IF($A126="","",SUMIFS(Adjustments!$C$5:$C$504,Adjustments!$B$5:$B$504,$A126))</f>
        <v/>
      </c>
      <c r="O126" s="64" t="str">
        <f aca="false">IF($A126="","",N($J126)+L126-M126+N126)</f>
        <v/>
      </c>
      <c r="P126" s="61" t="str">
        <f aca="false">IF($A126="","",IFERROR((N($J126)*N($K126)+SUMIFS(Purchases!$K$5:INDEX(Purchases!$K$5:$K$3004,TxRows),Purchases!$D$5:INDEX(Purchases!$D$5:$D$3004,TxRows),$A126))/(N($J126)+L126),N($G126)))</f>
        <v/>
      </c>
      <c r="Q126" s="61" t="str">
        <f aca="false">IF($A126="","",MAX(0,O126)*P126)</f>
        <v/>
      </c>
      <c r="R126" s="60" t="str">
        <f aca="false">IF($A126="","",IF(O126&lt;0,"NEGATIVE",IF(O126=0,"OUT OF STOCK",IF(O126&lt;=N($I126),"REORDER",IF(AND(O126&gt;0,X126&gt;DeadDays),"DEAD STOCK","OK")))))</f>
        <v/>
      </c>
      <c r="S126" s="65" t="str">
        <f aca="false">IF($A126="","",IF(N($H126)=0,0,(N($H126)-P126)/N($H126)))</f>
        <v/>
      </c>
      <c r="T126" s="64" t="str">
        <f aca="false">IF($A126="","",IF(O126&lt;=N($I126),MAX(0,2*N($I126)-O126),0))</f>
        <v/>
      </c>
      <c r="U126" s="61" t="str">
        <f aca="false">IF($A126="","",SUMIFS(Sales!$L$5:INDEX(Sales!$L$5:$L$3004,TxRows),Sales!$D$5:INDEX(Sales!$D$5:$D$3004,TxRows),$A126))</f>
        <v/>
      </c>
      <c r="V126" s="61" t="str">
        <f aca="false">IF($A126="","",SUMIFS(Sales!$S$5:INDEX(Sales!$S$5:$S$3004,TxRows),Sales!$D$5:INDEX(Sales!$D$5:$D$3004,TxRows),$A126))</f>
        <v/>
      </c>
      <c r="W126" s="66" t="str">
        <f aca="false">IF($A126="","",IFERROR(SUMPRODUCT(MAX((Sales!$D$5:INDEX(Sales!$D$5:$D$3004,TxRows)=$A126)*Sales!$A$5:INDEX(Sales!$A$5:$A$3004,TxRows))),0))</f>
        <v/>
      </c>
      <c r="X126" s="67" t="str">
        <f aca="false">IF($A126="","",IF(W126=0,AsOf-FYStart,AsOf-W126))</f>
        <v/>
      </c>
      <c r="Y126" s="67" t="str">
        <f aca="false">IF($A126="","",IF(M126=0,"",O126/(M126/MAX(1,AsOf-FYStart))))</f>
        <v/>
      </c>
      <c r="Z126" s="60" t="str">
        <f aca="false">IF($A126="","",U126+ROW()/1000000)</f>
        <v/>
      </c>
    </row>
    <row r="127" customFormat="false" ht="15" hidden="false" customHeight="false" outlineLevel="0" collapsed="false">
      <c r="A127" s="56"/>
      <c r="B127" s="56"/>
      <c r="C127" s="56"/>
      <c r="D127" s="56"/>
      <c r="E127" s="56"/>
      <c r="F127" s="63"/>
      <c r="G127" s="58"/>
      <c r="H127" s="58"/>
      <c r="I127" s="57"/>
      <c r="J127" s="57"/>
      <c r="K127" s="58"/>
      <c r="L127" s="64" t="str">
        <f aca="false">IF($A127="","",SUMIFS(Purchases!$E$5:INDEX(Purchases!$E$5:$E$3004,TxRows),Purchases!$D$5:INDEX(Purchases!$D$5:$D$3004,TxRows),$A127))</f>
        <v/>
      </c>
      <c r="M127" s="64" t="str">
        <f aca="false">IF($A127="","",SUMIFS(Sales!$E$5:INDEX(Sales!$E$5:$E$3004,TxRows),Sales!$D$5:INDEX(Sales!$D$5:$D$3004,TxRows),$A127))</f>
        <v/>
      </c>
      <c r="N127" s="64" t="str">
        <f aca="false">IF($A127="","",SUMIFS(Adjustments!$C$5:$C$504,Adjustments!$B$5:$B$504,$A127))</f>
        <v/>
      </c>
      <c r="O127" s="64" t="str">
        <f aca="false">IF($A127="","",N($J127)+L127-M127+N127)</f>
        <v/>
      </c>
      <c r="P127" s="61" t="str">
        <f aca="false">IF($A127="","",IFERROR((N($J127)*N($K127)+SUMIFS(Purchases!$K$5:INDEX(Purchases!$K$5:$K$3004,TxRows),Purchases!$D$5:INDEX(Purchases!$D$5:$D$3004,TxRows),$A127))/(N($J127)+L127),N($G127)))</f>
        <v/>
      </c>
      <c r="Q127" s="61" t="str">
        <f aca="false">IF($A127="","",MAX(0,O127)*P127)</f>
        <v/>
      </c>
      <c r="R127" s="60" t="str">
        <f aca="false">IF($A127="","",IF(O127&lt;0,"NEGATIVE",IF(O127=0,"OUT OF STOCK",IF(O127&lt;=N($I127),"REORDER",IF(AND(O127&gt;0,X127&gt;DeadDays),"DEAD STOCK","OK")))))</f>
        <v/>
      </c>
      <c r="S127" s="65" t="str">
        <f aca="false">IF($A127="","",IF(N($H127)=0,0,(N($H127)-P127)/N($H127)))</f>
        <v/>
      </c>
      <c r="T127" s="64" t="str">
        <f aca="false">IF($A127="","",IF(O127&lt;=N($I127),MAX(0,2*N($I127)-O127),0))</f>
        <v/>
      </c>
      <c r="U127" s="61" t="str">
        <f aca="false">IF($A127="","",SUMIFS(Sales!$L$5:INDEX(Sales!$L$5:$L$3004,TxRows),Sales!$D$5:INDEX(Sales!$D$5:$D$3004,TxRows),$A127))</f>
        <v/>
      </c>
      <c r="V127" s="61" t="str">
        <f aca="false">IF($A127="","",SUMIFS(Sales!$S$5:INDEX(Sales!$S$5:$S$3004,TxRows),Sales!$D$5:INDEX(Sales!$D$5:$D$3004,TxRows),$A127))</f>
        <v/>
      </c>
      <c r="W127" s="66" t="str">
        <f aca="false">IF($A127="","",IFERROR(SUMPRODUCT(MAX((Sales!$D$5:INDEX(Sales!$D$5:$D$3004,TxRows)=$A127)*Sales!$A$5:INDEX(Sales!$A$5:$A$3004,TxRows))),0))</f>
        <v/>
      </c>
      <c r="X127" s="67" t="str">
        <f aca="false">IF($A127="","",IF(W127=0,AsOf-FYStart,AsOf-W127))</f>
        <v/>
      </c>
      <c r="Y127" s="67" t="str">
        <f aca="false">IF($A127="","",IF(M127=0,"",O127/(M127/MAX(1,AsOf-FYStart))))</f>
        <v/>
      </c>
      <c r="Z127" s="60" t="str">
        <f aca="false">IF($A127="","",U127+ROW()/1000000)</f>
        <v/>
      </c>
    </row>
    <row r="128" customFormat="false" ht="15" hidden="false" customHeight="false" outlineLevel="0" collapsed="false">
      <c r="A128" s="56"/>
      <c r="B128" s="56"/>
      <c r="C128" s="56"/>
      <c r="D128" s="56"/>
      <c r="E128" s="56"/>
      <c r="F128" s="63"/>
      <c r="G128" s="58"/>
      <c r="H128" s="58"/>
      <c r="I128" s="57"/>
      <c r="J128" s="57"/>
      <c r="K128" s="58"/>
      <c r="L128" s="64" t="str">
        <f aca="false">IF($A128="","",SUMIFS(Purchases!$E$5:INDEX(Purchases!$E$5:$E$3004,TxRows),Purchases!$D$5:INDEX(Purchases!$D$5:$D$3004,TxRows),$A128))</f>
        <v/>
      </c>
      <c r="M128" s="64" t="str">
        <f aca="false">IF($A128="","",SUMIFS(Sales!$E$5:INDEX(Sales!$E$5:$E$3004,TxRows),Sales!$D$5:INDEX(Sales!$D$5:$D$3004,TxRows),$A128))</f>
        <v/>
      </c>
      <c r="N128" s="64" t="str">
        <f aca="false">IF($A128="","",SUMIFS(Adjustments!$C$5:$C$504,Adjustments!$B$5:$B$504,$A128))</f>
        <v/>
      </c>
      <c r="O128" s="64" t="str">
        <f aca="false">IF($A128="","",N($J128)+L128-M128+N128)</f>
        <v/>
      </c>
      <c r="P128" s="61" t="str">
        <f aca="false">IF($A128="","",IFERROR((N($J128)*N($K128)+SUMIFS(Purchases!$K$5:INDEX(Purchases!$K$5:$K$3004,TxRows),Purchases!$D$5:INDEX(Purchases!$D$5:$D$3004,TxRows),$A128))/(N($J128)+L128),N($G128)))</f>
        <v/>
      </c>
      <c r="Q128" s="61" t="str">
        <f aca="false">IF($A128="","",MAX(0,O128)*P128)</f>
        <v/>
      </c>
      <c r="R128" s="60" t="str">
        <f aca="false">IF($A128="","",IF(O128&lt;0,"NEGATIVE",IF(O128=0,"OUT OF STOCK",IF(O128&lt;=N($I128),"REORDER",IF(AND(O128&gt;0,X128&gt;DeadDays),"DEAD STOCK","OK")))))</f>
        <v/>
      </c>
      <c r="S128" s="65" t="str">
        <f aca="false">IF($A128="","",IF(N($H128)=0,0,(N($H128)-P128)/N($H128)))</f>
        <v/>
      </c>
      <c r="T128" s="64" t="str">
        <f aca="false">IF($A128="","",IF(O128&lt;=N($I128),MAX(0,2*N($I128)-O128),0))</f>
        <v/>
      </c>
      <c r="U128" s="61" t="str">
        <f aca="false">IF($A128="","",SUMIFS(Sales!$L$5:INDEX(Sales!$L$5:$L$3004,TxRows),Sales!$D$5:INDEX(Sales!$D$5:$D$3004,TxRows),$A128))</f>
        <v/>
      </c>
      <c r="V128" s="61" t="str">
        <f aca="false">IF($A128="","",SUMIFS(Sales!$S$5:INDEX(Sales!$S$5:$S$3004,TxRows),Sales!$D$5:INDEX(Sales!$D$5:$D$3004,TxRows),$A128))</f>
        <v/>
      </c>
      <c r="W128" s="66" t="str">
        <f aca="false">IF($A128="","",IFERROR(SUMPRODUCT(MAX((Sales!$D$5:INDEX(Sales!$D$5:$D$3004,TxRows)=$A128)*Sales!$A$5:INDEX(Sales!$A$5:$A$3004,TxRows))),0))</f>
        <v/>
      </c>
      <c r="X128" s="67" t="str">
        <f aca="false">IF($A128="","",IF(W128=0,AsOf-FYStart,AsOf-W128))</f>
        <v/>
      </c>
      <c r="Y128" s="67" t="str">
        <f aca="false">IF($A128="","",IF(M128=0,"",O128/(M128/MAX(1,AsOf-FYStart))))</f>
        <v/>
      </c>
      <c r="Z128" s="60" t="str">
        <f aca="false">IF($A128="","",U128+ROW()/1000000)</f>
        <v/>
      </c>
    </row>
    <row r="129" customFormat="false" ht="15" hidden="false" customHeight="false" outlineLevel="0" collapsed="false">
      <c r="A129" s="56"/>
      <c r="B129" s="56"/>
      <c r="C129" s="56"/>
      <c r="D129" s="56"/>
      <c r="E129" s="56"/>
      <c r="F129" s="63"/>
      <c r="G129" s="58"/>
      <c r="H129" s="58"/>
      <c r="I129" s="57"/>
      <c r="J129" s="57"/>
      <c r="K129" s="58"/>
      <c r="L129" s="64" t="str">
        <f aca="false">IF($A129="","",SUMIFS(Purchases!$E$5:INDEX(Purchases!$E$5:$E$3004,TxRows),Purchases!$D$5:INDEX(Purchases!$D$5:$D$3004,TxRows),$A129))</f>
        <v/>
      </c>
      <c r="M129" s="64" t="str">
        <f aca="false">IF($A129="","",SUMIFS(Sales!$E$5:INDEX(Sales!$E$5:$E$3004,TxRows),Sales!$D$5:INDEX(Sales!$D$5:$D$3004,TxRows),$A129))</f>
        <v/>
      </c>
      <c r="N129" s="64" t="str">
        <f aca="false">IF($A129="","",SUMIFS(Adjustments!$C$5:$C$504,Adjustments!$B$5:$B$504,$A129))</f>
        <v/>
      </c>
      <c r="O129" s="64" t="str">
        <f aca="false">IF($A129="","",N($J129)+L129-M129+N129)</f>
        <v/>
      </c>
      <c r="P129" s="61" t="str">
        <f aca="false">IF($A129="","",IFERROR((N($J129)*N($K129)+SUMIFS(Purchases!$K$5:INDEX(Purchases!$K$5:$K$3004,TxRows),Purchases!$D$5:INDEX(Purchases!$D$5:$D$3004,TxRows),$A129))/(N($J129)+L129),N($G129)))</f>
        <v/>
      </c>
      <c r="Q129" s="61" t="str">
        <f aca="false">IF($A129="","",MAX(0,O129)*P129)</f>
        <v/>
      </c>
      <c r="R129" s="60" t="str">
        <f aca="false">IF($A129="","",IF(O129&lt;0,"NEGATIVE",IF(O129=0,"OUT OF STOCK",IF(O129&lt;=N($I129),"REORDER",IF(AND(O129&gt;0,X129&gt;DeadDays),"DEAD STOCK","OK")))))</f>
        <v/>
      </c>
      <c r="S129" s="65" t="str">
        <f aca="false">IF($A129="","",IF(N($H129)=0,0,(N($H129)-P129)/N($H129)))</f>
        <v/>
      </c>
      <c r="T129" s="64" t="str">
        <f aca="false">IF($A129="","",IF(O129&lt;=N($I129),MAX(0,2*N($I129)-O129),0))</f>
        <v/>
      </c>
      <c r="U129" s="61" t="str">
        <f aca="false">IF($A129="","",SUMIFS(Sales!$L$5:INDEX(Sales!$L$5:$L$3004,TxRows),Sales!$D$5:INDEX(Sales!$D$5:$D$3004,TxRows),$A129))</f>
        <v/>
      </c>
      <c r="V129" s="61" t="str">
        <f aca="false">IF($A129="","",SUMIFS(Sales!$S$5:INDEX(Sales!$S$5:$S$3004,TxRows),Sales!$D$5:INDEX(Sales!$D$5:$D$3004,TxRows),$A129))</f>
        <v/>
      </c>
      <c r="W129" s="66" t="str">
        <f aca="false">IF($A129="","",IFERROR(SUMPRODUCT(MAX((Sales!$D$5:INDEX(Sales!$D$5:$D$3004,TxRows)=$A129)*Sales!$A$5:INDEX(Sales!$A$5:$A$3004,TxRows))),0))</f>
        <v/>
      </c>
      <c r="X129" s="67" t="str">
        <f aca="false">IF($A129="","",IF(W129=0,AsOf-FYStart,AsOf-W129))</f>
        <v/>
      </c>
      <c r="Y129" s="67" t="str">
        <f aca="false">IF($A129="","",IF(M129=0,"",O129/(M129/MAX(1,AsOf-FYStart))))</f>
        <v/>
      </c>
      <c r="Z129" s="60" t="str">
        <f aca="false">IF($A129="","",U129+ROW()/1000000)</f>
        <v/>
      </c>
    </row>
    <row r="130" customFormat="false" ht="15" hidden="false" customHeight="false" outlineLevel="0" collapsed="false">
      <c r="A130" s="56"/>
      <c r="B130" s="56"/>
      <c r="C130" s="56"/>
      <c r="D130" s="56"/>
      <c r="E130" s="56"/>
      <c r="F130" s="63"/>
      <c r="G130" s="58"/>
      <c r="H130" s="58"/>
      <c r="I130" s="57"/>
      <c r="J130" s="57"/>
      <c r="K130" s="58"/>
      <c r="L130" s="64" t="str">
        <f aca="false">IF($A130="","",SUMIFS(Purchases!$E$5:INDEX(Purchases!$E$5:$E$3004,TxRows),Purchases!$D$5:INDEX(Purchases!$D$5:$D$3004,TxRows),$A130))</f>
        <v/>
      </c>
      <c r="M130" s="64" t="str">
        <f aca="false">IF($A130="","",SUMIFS(Sales!$E$5:INDEX(Sales!$E$5:$E$3004,TxRows),Sales!$D$5:INDEX(Sales!$D$5:$D$3004,TxRows),$A130))</f>
        <v/>
      </c>
      <c r="N130" s="64" t="str">
        <f aca="false">IF($A130="","",SUMIFS(Adjustments!$C$5:$C$504,Adjustments!$B$5:$B$504,$A130))</f>
        <v/>
      </c>
      <c r="O130" s="64" t="str">
        <f aca="false">IF($A130="","",N($J130)+L130-M130+N130)</f>
        <v/>
      </c>
      <c r="P130" s="61" t="str">
        <f aca="false">IF($A130="","",IFERROR((N($J130)*N($K130)+SUMIFS(Purchases!$K$5:INDEX(Purchases!$K$5:$K$3004,TxRows),Purchases!$D$5:INDEX(Purchases!$D$5:$D$3004,TxRows),$A130))/(N($J130)+L130),N($G130)))</f>
        <v/>
      </c>
      <c r="Q130" s="61" t="str">
        <f aca="false">IF($A130="","",MAX(0,O130)*P130)</f>
        <v/>
      </c>
      <c r="R130" s="60" t="str">
        <f aca="false">IF($A130="","",IF(O130&lt;0,"NEGATIVE",IF(O130=0,"OUT OF STOCK",IF(O130&lt;=N($I130),"REORDER",IF(AND(O130&gt;0,X130&gt;DeadDays),"DEAD STOCK","OK")))))</f>
        <v/>
      </c>
      <c r="S130" s="65" t="str">
        <f aca="false">IF($A130="","",IF(N($H130)=0,0,(N($H130)-P130)/N($H130)))</f>
        <v/>
      </c>
      <c r="T130" s="64" t="str">
        <f aca="false">IF($A130="","",IF(O130&lt;=N($I130),MAX(0,2*N($I130)-O130),0))</f>
        <v/>
      </c>
      <c r="U130" s="61" t="str">
        <f aca="false">IF($A130="","",SUMIFS(Sales!$L$5:INDEX(Sales!$L$5:$L$3004,TxRows),Sales!$D$5:INDEX(Sales!$D$5:$D$3004,TxRows),$A130))</f>
        <v/>
      </c>
      <c r="V130" s="61" t="str">
        <f aca="false">IF($A130="","",SUMIFS(Sales!$S$5:INDEX(Sales!$S$5:$S$3004,TxRows),Sales!$D$5:INDEX(Sales!$D$5:$D$3004,TxRows),$A130))</f>
        <v/>
      </c>
      <c r="W130" s="66" t="str">
        <f aca="false">IF($A130="","",IFERROR(SUMPRODUCT(MAX((Sales!$D$5:INDEX(Sales!$D$5:$D$3004,TxRows)=$A130)*Sales!$A$5:INDEX(Sales!$A$5:$A$3004,TxRows))),0))</f>
        <v/>
      </c>
      <c r="X130" s="67" t="str">
        <f aca="false">IF($A130="","",IF(W130=0,AsOf-FYStart,AsOf-W130))</f>
        <v/>
      </c>
      <c r="Y130" s="67" t="str">
        <f aca="false">IF($A130="","",IF(M130=0,"",O130/(M130/MAX(1,AsOf-FYStart))))</f>
        <v/>
      </c>
      <c r="Z130" s="60" t="str">
        <f aca="false">IF($A130="","",U130+ROW()/1000000)</f>
        <v/>
      </c>
    </row>
    <row r="131" customFormat="false" ht="15" hidden="false" customHeight="false" outlineLevel="0" collapsed="false">
      <c r="A131" s="56"/>
      <c r="B131" s="56"/>
      <c r="C131" s="56"/>
      <c r="D131" s="56"/>
      <c r="E131" s="56"/>
      <c r="F131" s="63"/>
      <c r="G131" s="58"/>
      <c r="H131" s="58"/>
      <c r="I131" s="57"/>
      <c r="J131" s="57"/>
      <c r="K131" s="58"/>
      <c r="L131" s="64" t="str">
        <f aca="false">IF($A131="","",SUMIFS(Purchases!$E$5:INDEX(Purchases!$E$5:$E$3004,TxRows),Purchases!$D$5:INDEX(Purchases!$D$5:$D$3004,TxRows),$A131))</f>
        <v/>
      </c>
      <c r="M131" s="64" t="str">
        <f aca="false">IF($A131="","",SUMIFS(Sales!$E$5:INDEX(Sales!$E$5:$E$3004,TxRows),Sales!$D$5:INDEX(Sales!$D$5:$D$3004,TxRows),$A131))</f>
        <v/>
      </c>
      <c r="N131" s="64" t="str">
        <f aca="false">IF($A131="","",SUMIFS(Adjustments!$C$5:$C$504,Adjustments!$B$5:$B$504,$A131))</f>
        <v/>
      </c>
      <c r="O131" s="64" t="str">
        <f aca="false">IF($A131="","",N($J131)+L131-M131+N131)</f>
        <v/>
      </c>
      <c r="P131" s="61" t="str">
        <f aca="false">IF($A131="","",IFERROR((N($J131)*N($K131)+SUMIFS(Purchases!$K$5:INDEX(Purchases!$K$5:$K$3004,TxRows),Purchases!$D$5:INDEX(Purchases!$D$5:$D$3004,TxRows),$A131))/(N($J131)+L131),N($G131)))</f>
        <v/>
      </c>
      <c r="Q131" s="61" t="str">
        <f aca="false">IF($A131="","",MAX(0,O131)*P131)</f>
        <v/>
      </c>
      <c r="R131" s="60" t="str">
        <f aca="false">IF($A131="","",IF(O131&lt;0,"NEGATIVE",IF(O131=0,"OUT OF STOCK",IF(O131&lt;=N($I131),"REORDER",IF(AND(O131&gt;0,X131&gt;DeadDays),"DEAD STOCK","OK")))))</f>
        <v/>
      </c>
      <c r="S131" s="65" t="str">
        <f aca="false">IF($A131="","",IF(N($H131)=0,0,(N($H131)-P131)/N($H131)))</f>
        <v/>
      </c>
      <c r="T131" s="64" t="str">
        <f aca="false">IF($A131="","",IF(O131&lt;=N($I131),MAX(0,2*N($I131)-O131),0))</f>
        <v/>
      </c>
      <c r="U131" s="61" t="str">
        <f aca="false">IF($A131="","",SUMIFS(Sales!$L$5:INDEX(Sales!$L$5:$L$3004,TxRows),Sales!$D$5:INDEX(Sales!$D$5:$D$3004,TxRows),$A131))</f>
        <v/>
      </c>
      <c r="V131" s="61" t="str">
        <f aca="false">IF($A131="","",SUMIFS(Sales!$S$5:INDEX(Sales!$S$5:$S$3004,TxRows),Sales!$D$5:INDEX(Sales!$D$5:$D$3004,TxRows),$A131))</f>
        <v/>
      </c>
      <c r="W131" s="66" t="str">
        <f aca="false">IF($A131="","",IFERROR(SUMPRODUCT(MAX((Sales!$D$5:INDEX(Sales!$D$5:$D$3004,TxRows)=$A131)*Sales!$A$5:INDEX(Sales!$A$5:$A$3004,TxRows))),0))</f>
        <v/>
      </c>
      <c r="X131" s="67" t="str">
        <f aca="false">IF($A131="","",IF(W131=0,AsOf-FYStart,AsOf-W131))</f>
        <v/>
      </c>
      <c r="Y131" s="67" t="str">
        <f aca="false">IF($A131="","",IF(M131=0,"",O131/(M131/MAX(1,AsOf-FYStart))))</f>
        <v/>
      </c>
      <c r="Z131" s="60" t="str">
        <f aca="false">IF($A131="","",U131+ROW()/1000000)</f>
        <v/>
      </c>
    </row>
    <row r="132" customFormat="false" ht="15" hidden="false" customHeight="false" outlineLevel="0" collapsed="false">
      <c r="A132" s="56"/>
      <c r="B132" s="56"/>
      <c r="C132" s="56"/>
      <c r="D132" s="56"/>
      <c r="E132" s="56"/>
      <c r="F132" s="63"/>
      <c r="G132" s="58"/>
      <c r="H132" s="58"/>
      <c r="I132" s="57"/>
      <c r="J132" s="57"/>
      <c r="K132" s="58"/>
      <c r="L132" s="64" t="str">
        <f aca="false">IF($A132="","",SUMIFS(Purchases!$E$5:INDEX(Purchases!$E$5:$E$3004,TxRows),Purchases!$D$5:INDEX(Purchases!$D$5:$D$3004,TxRows),$A132))</f>
        <v/>
      </c>
      <c r="M132" s="64" t="str">
        <f aca="false">IF($A132="","",SUMIFS(Sales!$E$5:INDEX(Sales!$E$5:$E$3004,TxRows),Sales!$D$5:INDEX(Sales!$D$5:$D$3004,TxRows),$A132))</f>
        <v/>
      </c>
      <c r="N132" s="64" t="str">
        <f aca="false">IF($A132="","",SUMIFS(Adjustments!$C$5:$C$504,Adjustments!$B$5:$B$504,$A132))</f>
        <v/>
      </c>
      <c r="O132" s="64" t="str">
        <f aca="false">IF($A132="","",N($J132)+L132-M132+N132)</f>
        <v/>
      </c>
      <c r="P132" s="61" t="str">
        <f aca="false">IF($A132="","",IFERROR((N($J132)*N($K132)+SUMIFS(Purchases!$K$5:INDEX(Purchases!$K$5:$K$3004,TxRows),Purchases!$D$5:INDEX(Purchases!$D$5:$D$3004,TxRows),$A132))/(N($J132)+L132),N($G132)))</f>
        <v/>
      </c>
      <c r="Q132" s="61" t="str">
        <f aca="false">IF($A132="","",MAX(0,O132)*P132)</f>
        <v/>
      </c>
      <c r="R132" s="60" t="str">
        <f aca="false">IF($A132="","",IF(O132&lt;0,"NEGATIVE",IF(O132=0,"OUT OF STOCK",IF(O132&lt;=N($I132),"REORDER",IF(AND(O132&gt;0,X132&gt;DeadDays),"DEAD STOCK","OK")))))</f>
        <v/>
      </c>
      <c r="S132" s="65" t="str">
        <f aca="false">IF($A132="","",IF(N($H132)=0,0,(N($H132)-P132)/N($H132)))</f>
        <v/>
      </c>
      <c r="T132" s="64" t="str">
        <f aca="false">IF($A132="","",IF(O132&lt;=N($I132),MAX(0,2*N($I132)-O132),0))</f>
        <v/>
      </c>
      <c r="U132" s="61" t="str">
        <f aca="false">IF($A132="","",SUMIFS(Sales!$L$5:INDEX(Sales!$L$5:$L$3004,TxRows),Sales!$D$5:INDEX(Sales!$D$5:$D$3004,TxRows),$A132))</f>
        <v/>
      </c>
      <c r="V132" s="61" t="str">
        <f aca="false">IF($A132="","",SUMIFS(Sales!$S$5:INDEX(Sales!$S$5:$S$3004,TxRows),Sales!$D$5:INDEX(Sales!$D$5:$D$3004,TxRows),$A132))</f>
        <v/>
      </c>
      <c r="W132" s="66" t="str">
        <f aca="false">IF($A132="","",IFERROR(SUMPRODUCT(MAX((Sales!$D$5:INDEX(Sales!$D$5:$D$3004,TxRows)=$A132)*Sales!$A$5:INDEX(Sales!$A$5:$A$3004,TxRows))),0))</f>
        <v/>
      </c>
      <c r="X132" s="67" t="str">
        <f aca="false">IF($A132="","",IF(W132=0,AsOf-FYStart,AsOf-W132))</f>
        <v/>
      </c>
      <c r="Y132" s="67" t="str">
        <f aca="false">IF($A132="","",IF(M132=0,"",O132/(M132/MAX(1,AsOf-FYStart))))</f>
        <v/>
      </c>
      <c r="Z132" s="60" t="str">
        <f aca="false">IF($A132="","",U132+ROW()/1000000)</f>
        <v/>
      </c>
    </row>
    <row r="133" customFormat="false" ht="15" hidden="false" customHeight="false" outlineLevel="0" collapsed="false">
      <c r="A133" s="56"/>
      <c r="B133" s="56"/>
      <c r="C133" s="56"/>
      <c r="D133" s="56"/>
      <c r="E133" s="56"/>
      <c r="F133" s="63"/>
      <c r="G133" s="58"/>
      <c r="H133" s="58"/>
      <c r="I133" s="57"/>
      <c r="J133" s="57"/>
      <c r="K133" s="58"/>
      <c r="L133" s="64" t="str">
        <f aca="false">IF($A133="","",SUMIFS(Purchases!$E$5:INDEX(Purchases!$E$5:$E$3004,TxRows),Purchases!$D$5:INDEX(Purchases!$D$5:$D$3004,TxRows),$A133))</f>
        <v/>
      </c>
      <c r="M133" s="64" t="str">
        <f aca="false">IF($A133="","",SUMIFS(Sales!$E$5:INDEX(Sales!$E$5:$E$3004,TxRows),Sales!$D$5:INDEX(Sales!$D$5:$D$3004,TxRows),$A133))</f>
        <v/>
      </c>
      <c r="N133" s="64" t="str">
        <f aca="false">IF($A133="","",SUMIFS(Adjustments!$C$5:$C$504,Adjustments!$B$5:$B$504,$A133))</f>
        <v/>
      </c>
      <c r="O133" s="64" t="str">
        <f aca="false">IF($A133="","",N($J133)+L133-M133+N133)</f>
        <v/>
      </c>
      <c r="P133" s="61" t="str">
        <f aca="false">IF($A133="","",IFERROR((N($J133)*N($K133)+SUMIFS(Purchases!$K$5:INDEX(Purchases!$K$5:$K$3004,TxRows),Purchases!$D$5:INDEX(Purchases!$D$5:$D$3004,TxRows),$A133))/(N($J133)+L133),N($G133)))</f>
        <v/>
      </c>
      <c r="Q133" s="61" t="str">
        <f aca="false">IF($A133="","",MAX(0,O133)*P133)</f>
        <v/>
      </c>
      <c r="R133" s="60" t="str">
        <f aca="false">IF($A133="","",IF(O133&lt;0,"NEGATIVE",IF(O133=0,"OUT OF STOCK",IF(O133&lt;=N($I133),"REORDER",IF(AND(O133&gt;0,X133&gt;DeadDays),"DEAD STOCK","OK")))))</f>
        <v/>
      </c>
      <c r="S133" s="65" t="str">
        <f aca="false">IF($A133="","",IF(N($H133)=0,0,(N($H133)-P133)/N($H133)))</f>
        <v/>
      </c>
      <c r="T133" s="64" t="str">
        <f aca="false">IF($A133="","",IF(O133&lt;=N($I133),MAX(0,2*N($I133)-O133),0))</f>
        <v/>
      </c>
      <c r="U133" s="61" t="str">
        <f aca="false">IF($A133="","",SUMIFS(Sales!$L$5:INDEX(Sales!$L$5:$L$3004,TxRows),Sales!$D$5:INDEX(Sales!$D$5:$D$3004,TxRows),$A133))</f>
        <v/>
      </c>
      <c r="V133" s="61" t="str">
        <f aca="false">IF($A133="","",SUMIFS(Sales!$S$5:INDEX(Sales!$S$5:$S$3004,TxRows),Sales!$D$5:INDEX(Sales!$D$5:$D$3004,TxRows),$A133))</f>
        <v/>
      </c>
      <c r="W133" s="66" t="str">
        <f aca="false">IF($A133="","",IFERROR(SUMPRODUCT(MAX((Sales!$D$5:INDEX(Sales!$D$5:$D$3004,TxRows)=$A133)*Sales!$A$5:INDEX(Sales!$A$5:$A$3004,TxRows))),0))</f>
        <v/>
      </c>
      <c r="X133" s="67" t="str">
        <f aca="false">IF($A133="","",IF(W133=0,AsOf-FYStart,AsOf-W133))</f>
        <v/>
      </c>
      <c r="Y133" s="67" t="str">
        <f aca="false">IF($A133="","",IF(M133=0,"",O133/(M133/MAX(1,AsOf-FYStart))))</f>
        <v/>
      </c>
      <c r="Z133" s="60" t="str">
        <f aca="false">IF($A133="","",U133+ROW()/1000000)</f>
        <v/>
      </c>
    </row>
    <row r="134" customFormat="false" ht="15" hidden="false" customHeight="false" outlineLevel="0" collapsed="false">
      <c r="A134" s="56"/>
      <c r="B134" s="56"/>
      <c r="C134" s="56"/>
      <c r="D134" s="56"/>
      <c r="E134" s="56"/>
      <c r="F134" s="63"/>
      <c r="G134" s="58"/>
      <c r="H134" s="58"/>
      <c r="I134" s="57"/>
      <c r="J134" s="57"/>
      <c r="K134" s="58"/>
      <c r="L134" s="64" t="str">
        <f aca="false">IF($A134="","",SUMIFS(Purchases!$E$5:INDEX(Purchases!$E$5:$E$3004,TxRows),Purchases!$D$5:INDEX(Purchases!$D$5:$D$3004,TxRows),$A134))</f>
        <v/>
      </c>
      <c r="M134" s="64" t="str">
        <f aca="false">IF($A134="","",SUMIFS(Sales!$E$5:INDEX(Sales!$E$5:$E$3004,TxRows),Sales!$D$5:INDEX(Sales!$D$5:$D$3004,TxRows),$A134))</f>
        <v/>
      </c>
      <c r="N134" s="64" t="str">
        <f aca="false">IF($A134="","",SUMIFS(Adjustments!$C$5:$C$504,Adjustments!$B$5:$B$504,$A134))</f>
        <v/>
      </c>
      <c r="O134" s="64" t="str">
        <f aca="false">IF($A134="","",N($J134)+L134-M134+N134)</f>
        <v/>
      </c>
      <c r="P134" s="61" t="str">
        <f aca="false">IF($A134="","",IFERROR((N($J134)*N($K134)+SUMIFS(Purchases!$K$5:INDEX(Purchases!$K$5:$K$3004,TxRows),Purchases!$D$5:INDEX(Purchases!$D$5:$D$3004,TxRows),$A134))/(N($J134)+L134),N($G134)))</f>
        <v/>
      </c>
      <c r="Q134" s="61" t="str">
        <f aca="false">IF($A134="","",MAX(0,O134)*P134)</f>
        <v/>
      </c>
      <c r="R134" s="60" t="str">
        <f aca="false">IF($A134="","",IF(O134&lt;0,"NEGATIVE",IF(O134=0,"OUT OF STOCK",IF(O134&lt;=N($I134),"REORDER",IF(AND(O134&gt;0,X134&gt;DeadDays),"DEAD STOCK","OK")))))</f>
        <v/>
      </c>
      <c r="S134" s="65" t="str">
        <f aca="false">IF($A134="","",IF(N($H134)=0,0,(N($H134)-P134)/N($H134)))</f>
        <v/>
      </c>
      <c r="T134" s="64" t="str">
        <f aca="false">IF($A134="","",IF(O134&lt;=N($I134),MAX(0,2*N($I134)-O134),0))</f>
        <v/>
      </c>
      <c r="U134" s="61" t="str">
        <f aca="false">IF($A134="","",SUMIFS(Sales!$L$5:INDEX(Sales!$L$5:$L$3004,TxRows),Sales!$D$5:INDEX(Sales!$D$5:$D$3004,TxRows),$A134))</f>
        <v/>
      </c>
      <c r="V134" s="61" t="str">
        <f aca="false">IF($A134="","",SUMIFS(Sales!$S$5:INDEX(Sales!$S$5:$S$3004,TxRows),Sales!$D$5:INDEX(Sales!$D$5:$D$3004,TxRows),$A134))</f>
        <v/>
      </c>
      <c r="W134" s="66" t="str">
        <f aca="false">IF($A134="","",IFERROR(SUMPRODUCT(MAX((Sales!$D$5:INDEX(Sales!$D$5:$D$3004,TxRows)=$A134)*Sales!$A$5:INDEX(Sales!$A$5:$A$3004,TxRows))),0))</f>
        <v/>
      </c>
      <c r="X134" s="67" t="str">
        <f aca="false">IF($A134="","",IF(W134=0,AsOf-FYStart,AsOf-W134))</f>
        <v/>
      </c>
      <c r="Y134" s="67" t="str">
        <f aca="false">IF($A134="","",IF(M134=0,"",O134/(M134/MAX(1,AsOf-FYStart))))</f>
        <v/>
      </c>
      <c r="Z134" s="60" t="str">
        <f aca="false">IF($A134="","",U134+ROW()/1000000)</f>
        <v/>
      </c>
    </row>
    <row r="135" customFormat="false" ht="15" hidden="false" customHeight="false" outlineLevel="0" collapsed="false">
      <c r="A135" s="56"/>
      <c r="B135" s="56"/>
      <c r="C135" s="56"/>
      <c r="D135" s="56"/>
      <c r="E135" s="56"/>
      <c r="F135" s="63"/>
      <c r="G135" s="58"/>
      <c r="H135" s="58"/>
      <c r="I135" s="57"/>
      <c r="J135" s="57"/>
      <c r="K135" s="58"/>
      <c r="L135" s="64" t="str">
        <f aca="false">IF($A135="","",SUMIFS(Purchases!$E$5:INDEX(Purchases!$E$5:$E$3004,TxRows),Purchases!$D$5:INDEX(Purchases!$D$5:$D$3004,TxRows),$A135))</f>
        <v/>
      </c>
      <c r="M135" s="64" t="str">
        <f aca="false">IF($A135="","",SUMIFS(Sales!$E$5:INDEX(Sales!$E$5:$E$3004,TxRows),Sales!$D$5:INDEX(Sales!$D$5:$D$3004,TxRows),$A135))</f>
        <v/>
      </c>
      <c r="N135" s="64" t="str">
        <f aca="false">IF($A135="","",SUMIFS(Adjustments!$C$5:$C$504,Adjustments!$B$5:$B$504,$A135))</f>
        <v/>
      </c>
      <c r="O135" s="64" t="str">
        <f aca="false">IF($A135="","",N($J135)+L135-M135+N135)</f>
        <v/>
      </c>
      <c r="P135" s="61" t="str">
        <f aca="false">IF($A135="","",IFERROR((N($J135)*N($K135)+SUMIFS(Purchases!$K$5:INDEX(Purchases!$K$5:$K$3004,TxRows),Purchases!$D$5:INDEX(Purchases!$D$5:$D$3004,TxRows),$A135))/(N($J135)+L135),N($G135)))</f>
        <v/>
      </c>
      <c r="Q135" s="61" t="str">
        <f aca="false">IF($A135="","",MAX(0,O135)*P135)</f>
        <v/>
      </c>
      <c r="R135" s="60" t="str">
        <f aca="false">IF($A135="","",IF(O135&lt;0,"NEGATIVE",IF(O135=0,"OUT OF STOCK",IF(O135&lt;=N($I135),"REORDER",IF(AND(O135&gt;0,X135&gt;DeadDays),"DEAD STOCK","OK")))))</f>
        <v/>
      </c>
      <c r="S135" s="65" t="str">
        <f aca="false">IF($A135="","",IF(N($H135)=0,0,(N($H135)-P135)/N($H135)))</f>
        <v/>
      </c>
      <c r="T135" s="64" t="str">
        <f aca="false">IF($A135="","",IF(O135&lt;=N($I135),MAX(0,2*N($I135)-O135),0))</f>
        <v/>
      </c>
      <c r="U135" s="61" t="str">
        <f aca="false">IF($A135="","",SUMIFS(Sales!$L$5:INDEX(Sales!$L$5:$L$3004,TxRows),Sales!$D$5:INDEX(Sales!$D$5:$D$3004,TxRows),$A135))</f>
        <v/>
      </c>
      <c r="V135" s="61" t="str">
        <f aca="false">IF($A135="","",SUMIFS(Sales!$S$5:INDEX(Sales!$S$5:$S$3004,TxRows),Sales!$D$5:INDEX(Sales!$D$5:$D$3004,TxRows),$A135))</f>
        <v/>
      </c>
      <c r="W135" s="66" t="str">
        <f aca="false">IF($A135="","",IFERROR(SUMPRODUCT(MAX((Sales!$D$5:INDEX(Sales!$D$5:$D$3004,TxRows)=$A135)*Sales!$A$5:INDEX(Sales!$A$5:$A$3004,TxRows))),0))</f>
        <v/>
      </c>
      <c r="X135" s="67" t="str">
        <f aca="false">IF($A135="","",IF(W135=0,AsOf-FYStart,AsOf-W135))</f>
        <v/>
      </c>
      <c r="Y135" s="67" t="str">
        <f aca="false">IF($A135="","",IF(M135=0,"",O135/(M135/MAX(1,AsOf-FYStart))))</f>
        <v/>
      </c>
      <c r="Z135" s="60" t="str">
        <f aca="false">IF($A135="","",U135+ROW()/1000000)</f>
        <v/>
      </c>
    </row>
    <row r="136" customFormat="false" ht="15" hidden="false" customHeight="false" outlineLevel="0" collapsed="false">
      <c r="A136" s="56"/>
      <c r="B136" s="56"/>
      <c r="C136" s="56"/>
      <c r="D136" s="56"/>
      <c r="E136" s="56"/>
      <c r="F136" s="63"/>
      <c r="G136" s="58"/>
      <c r="H136" s="58"/>
      <c r="I136" s="57"/>
      <c r="J136" s="57"/>
      <c r="K136" s="58"/>
      <c r="L136" s="64" t="str">
        <f aca="false">IF($A136="","",SUMIFS(Purchases!$E$5:INDEX(Purchases!$E$5:$E$3004,TxRows),Purchases!$D$5:INDEX(Purchases!$D$5:$D$3004,TxRows),$A136))</f>
        <v/>
      </c>
      <c r="M136" s="64" t="str">
        <f aca="false">IF($A136="","",SUMIFS(Sales!$E$5:INDEX(Sales!$E$5:$E$3004,TxRows),Sales!$D$5:INDEX(Sales!$D$5:$D$3004,TxRows),$A136))</f>
        <v/>
      </c>
      <c r="N136" s="64" t="str">
        <f aca="false">IF($A136="","",SUMIFS(Adjustments!$C$5:$C$504,Adjustments!$B$5:$B$504,$A136))</f>
        <v/>
      </c>
      <c r="O136" s="64" t="str">
        <f aca="false">IF($A136="","",N($J136)+L136-M136+N136)</f>
        <v/>
      </c>
      <c r="P136" s="61" t="str">
        <f aca="false">IF($A136="","",IFERROR((N($J136)*N($K136)+SUMIFS(Purchases!$K$5:INDEX(Purchases!$K$5:$K$3004,TxRows),Purchases!$D$5:INDEX(Purchases!$D$5:$D$3004,TxRows),$A136))/(N($J136)+L136),N($G136)))</f>
        <v/>
      </c>
      <c r="Q136" s="61" t="str">
        <f aca="false">IF($A136="","",MAX(0,O136)*P136)</f>
        <v/>
      </c>
      <c r="R136" s="60" t="str">
        <f aca="false">IF($A136="","",IF(O136&lt;0,"NEGATIVE",IF(O136=0,"OUT OF STOCK",IF(O136&lt;=N($I136),"REORDER",IF(AND(O136&gt;0,X136&gt;DeadDays),"DEAD STOCK","OK")))))</f>
        <v/>
      </c>
      <c r="S136" s="65" t="str">
        <f aca="false">IF($A136="","",IF(N($H136)=0,0,(N($H136)-P136)/N($H136)))</f>
        <v/>
      </c>
      <c r="T136" s="64" t="str">
        <f aca="false">IF($A136="","",IF(O136&lt;=N($I136),MAX(0,2*N($I136)-O136),0))</f>
        <v/>
      </c>
      <c r="U136" s="61" t="str">
        <f aca="false">IF($A136="","",SUMIFS(Sales!$L$5:INDEX(Sales!$L$5:$L$3004,TxRows),Sales!$D$5:INDEX(Sales!$D$5:$D$3004,TxRows),$A136))</f>
        <v/>
      </c>
      <c r="V136" s="61" t="str">
        <f aca="false">IF($A136="","",SUMIFS(Sales!$S$5:INDEX(Sales!$S$5:$S$3004,TxRows),Sales!$D$5:INDEX(Sales!$D$5:$D$3004,TxRows),$A136))</f>
        <v/>
      </c>
      <c r="W136" s="66" t="str">
        <f aca="false">IF($A136="","",IFERROR(SUMPRODUCT(MAX((Sales!$D$5:INDEX(Sales!$D$5:$D$3004,TxRows)=$A136)*Sales!$A$5:INDEX(Sales!$A$5:$A$3004,TxRows))),0))</f>
        <v/>
      </c>
      <c r="X136" s="67" t="str">
        <f aca="false">IF($A136="","",IF(W136=0,AsOf-FYStart,AsOf-W136))</f>
        <v/>
      </c>
      <c r="Y136" s="67" t="str">
        <f aca="false">IF($A136="","",IF(M136=0,"",O136/(M136/MAX(1,AsOf-FYStart))))</f>
        <v/>
      </c>
      <c r="Z136" s="60" t="str">
        <f aca="false">IF($A136="","",U136+ROW()/1000000)</f>
        <v/>
      </c>
    </row>
    <row r="137" customFormat="false" ht="15" hidden="false" customHeight="false" outlineLevel="0" collapsed="false">
      <c r="A137" s="56"/>
      <c r="B137" s="56"/>
      <c r="C137" s="56"/>
      <c r="D137" s="56"/>
      <c r="E137" s="56"/>
      <c r="F137" s="63"/>
      <c r="G137" s="58"/>
      <c r="H137" s="58"/>
      <c r="I137" s="57"/>
      <c r="J137" s="57"/>
      <c r="K137" s="58"/>
      <c r="L137" s="64" t="str">
        <f aca="false">IF($A137="","",SUMIFS(Purchases!$E$5:INDEX(Purchases!$E$5:$E$3004,TxRows),Purchases!$D$5:INDEX(Purchases!$D$5:$D$3004,TxRows),$A137))</f>
        <v/>
      </c>
      <c r="M137" s="64" t="str">
        <f aca="false">IF($A137="","",SUMIFS(Sales!$E$5:INDEX(Sales!$E$5:$E$3004,TxRows),Sales!$D$5:INDEX(Sales!$D$5:$D$3004,TxRows),$A137))</f>
        <v/>
      </c>
      <c r="N137" s="64" t="str">
        <f aca="false">IF($A137="","",SUMIFS(Adjustments!$C$5:$C$504,Adjustments!$B$5:$B$504,$A137))</f>
        <v/>
      </c>
      <c r="O137" s="64" t="str">
        <f aca="false">IF($A137="","",N($J137)+L137-M137+N137)</f>
        <v/>
      </c>
      <c r="P137" s="61" t="str">
        <f aca="false">IF($A137="","",IFERROR((N($J137)*N($K137)+SUMIFS(Purchases!$K$5:INDEX(Purchases!$K$5:$K$3004,TxRows),Purchases!$D$5:INDEX(Purchases!$D$5:$D$3004,TxRows),$A137))/(N($J137)+L137),N($G137)))</f>
        <v/>
      </c>
      <c r="Q137" s="61" t="str">
        <f aca="false">IF($A137="","",MAX(0,O137)*P137)</f>
        <v/>
      </c>
      <c r="R137" s="60" t="str">
        <f aca="false">IF($A137="","",IF(O137&lt;0,"NEGATIVE",IF(O137=0,"OUT OF STOCK",IF(O137&lt;=N($I137),"REORDER",IF(AND(O137&gt;0,X137&gt;DeadDays),"DEAD STOCK","OK")))))</f>
        <v/>
      </c>
      <c r="S137" s="65" t="str">
        <f aca="false">IF($A137="","",IF(N($H137)=0,0,(N($H137)-P137)/N($H137)))</f>
        <v/>
      </c>
      <c r="T137" s="64" t="str">
        <f aca="false">IF($A137="","",IF(O137&lt;=N($I137),MAX(0,2*N($I137)-O137),0))</f>
        <v/>
      </c>
      <c r="U137" s="61" t="str">
        <f aca="false">IF($A137="","",SUMIFS(Sales!$L$5:INDEX(Sales!$L$5:$L$3004,TxRows),Sales!$D$5:INDEX(Sales!$D$5:$D$3004,TxRows),$A137))</f>
        <v/>
      </c>
      <c r="V137" s="61" t="str">
        <f aca="false">IF($A137="","",SUMIFS(Sales!$S$5:INDEX(Sales!$S$5:$S$3004,TxRows),Sales!$D$5:INDEX(Sales!$D$5:$D$3004,TxRows),$A137))</f>
        <v/>
      </c>
      <c r="W137" s="66" t="str">
        <f aca="false">IF($A137="","",IFERROR(SUMPRODUCT(MAX((Sales!$D$5:INDEX(Sales!$D$5:$D$3004,TxRows)=$A137)*Sales!$A$5:INDEX(Sales!$A$5:$A$3004,TxRows))),0))</f>
        <v/>
      </c>
      <c r="X137" s="67" t="str">
        <f aca="false">IF($A137="","",IF(W137=0,AsOf-FYStart,AsOf-W137))</f>
        <v/>
      </c>
      <c r="Y137" s="67" t="str">
        <f aca="false">IF($A137="","",IF(M137=0,"",O137/(M137/MAX(1,AsOf-FYStart))))</f>
        <v/>
      </c>
      <c r="Z137" s="60" t="str">
        <f aca="false">IF($A137="","",U137+ROW()/1000000)</f>
        <v/>
      </c>
    </row>
    <row r="138" customFormat="false" ht="15" hidden="false" customHeight="false" outlineLevel="0" collapsed="false">
      <c r="A138" s="56"/>
      <c r="B138" s="56"/>
      <c r="C138" s="56"/>
      <c r="D138" s="56"/>
      <c r="E138" s="56"/>
      <c r="F138" s="63"/>
      <c r="G138" s="58"/>
      <c r="H138" s="58"/>
      <c r="I138" s="57"/>
      <c r="J138" s="57"/>
      <c r="K138" s="58"/>
      <c r="L138" s="64" t="str">
        <f aca="false">IF($A138="","",SUMIFS(Purchases!$E$5:INDEX(Purchases!$E$5:$E$3004,TxRows),Purchases!$D$5:INDEX(Purchases!$D$5:$D$3004,TxRows),$A138))</f>
        <v/>
      </c>
      <c r="M138" s="64" t="str">
        <f aca="false">IF($A138="","",SUMIFS(Sales!$E$5:INDEX(Sales!$E$5:$E$3004,TxRows),Sales!$D$5:INDEX(Sales!$D$5:$D$3004,TxRows),$A138))</f>
        <v/>
      </c>
      <c r="N138" s="64" t="str">
        <f aca="false">IF($A138="","",SUMIFS(Adjustments!$C$5:$C$504,Adjustments!$B$5:$B$504,$A138))</f>
        <v/>
      </c>
      <c r="O138" s="64" t="str">
        <f aca="false">IF($A138="","",N($J138)+L138-M138+N138)</f>
        <v/>
      </c>
      <c r="P138" s="61" t="str">
        <f aca="false">IF($A138="","",IFERROR((N($J138)*N($K138)+SUMIFS(Purchases!$K$5:INDEX(Purchases!$K$5:$K$3004,TxRows),Purchases!$D$5:INDEX(Purchases!$D$5:$D$3004,TxRows),$A138))/(N($J138)+L138),N($G138)))</f>
        <v/>
      </c>
      <c r="Q138" s="61" t="str">
        <f aca="false">IF($A138="","",MAX(0,O138)*P138)</f>
        <v/>
      </c>
      <c r="R138" s="60" t="str">
        <f aca="false">IF($A138="","",IF(O138&lt;0,"NEGATIVE",IF(O138=0,"OUT OF STOCK",IF(O138&lt;=N($I138),"REORDER",IF(AND(O138&gt;0,X138&gt;DeadDays),"DEAD STOCK","OK")))))</f>
        <v/>
      </c>
      <c r="S138" s="65" t="str">
        <f aca="false">IF($A138="","",IF(N($H138)=0,0,(N($H138)-P138)/N($H138)))</f>
        <v/>
      </c>
      <c r="T138" s="64" t="str">
        <f aca="false">IF($A138="","",IF(O138&lt;=N($I138),MAX(0,2*N($I138)-O138),0))</f>
        <v/>
      </c>
      <c r="U138" s="61" t="str">
        <f aca="false">IF($A138="","",SUMIFS(Sales!$L$5:INDEX(Sales!$L$5:$L$3004,TxRows),Sales!$D$5:INDEX(Sales!$D$5:$D$3004,TxRows),$A138))</f>
        <v/>
      </c>
      <c r="V138" s="61" t="str">
        <f aca="false">IF($A138="","",SUMIFS(Sales!$S$5:INDEX(Sales!$S$5:$S$3004,TxRows),Sales!$D$5:INDEX(Sales!$D$5:$D$3004,TxRows),$A138))</f>
        <v/>
      </c>
      <c r="W138" s="66" t="str">
        <f aca="false">IF($A138="","",IFERROR(SUMPRODUCT(MAX((Sales!$D$5:INDEX(Sales!$D$5:$D$3004,TxRows)=$A138)*Sales!$A$5:INDEX(Sales!$A$5:$A$3004,TxRows))),0))</f>
        <v/>
      </c>
      <c r="X138" s="67" t="str">
        <f aca="false">IF($A138="","",IF(W138=0,AsOf-FYStart,AsOf-W138))</f>
        <v/>
      </c>
      <c r="Y138" s="67" t="str">
        <f aca="false">IF($A138="","",IF(M138=0,"",O138/(M138/MAX(1,AsOf-FYStart))))</f>
        <v/>
      </c>
      <c r="Z138" s="60" t="str">
        <f aca="false">IF($A138="","",U138+ROW()/1000000)</f>
        <v/>
      </c>
    </row>
    <row r="139" customFormat="false" ht="15" hidden="false" customHeight="false" outlineLevel="0" collapsed="false">
      <c r="A139" s="56"/>
      <c r="B139" s="56"/>
      <c r="C139" s="56"/>
      <c r="D139" s="56"/>
      <c r="E139" s="56"/>
      <c r="F139" s="63"/>
      <c r="G139" s="58"/>
      <c r="H139" s="58"/>
      <c r="I139" s="57"/>
      <c r="J139" s="57"/>
      <c r="K139" s="58"/>
      <c r="L139" s="64" t="str">
        <f aca="false">IF($A139="","",SUMIFS(Purchases!$E$5:INDEX(Purchases!$E$5:$E$3004,TxRows),Purchases!$D$5:INDEX(Purchases!$D$5:$D$3004,TxRows),$A139))</f>
        <v/>
      </c>
      <c r="M139" s="64" t="str">
        <f aca="false">IF($A139="","",SUMIFS(Sales!$E$5:INDEX(Sales!$E$5:$E$3004,TxRows),Sales!$D$5:INDEX(Sales!$D$5:$D$3004,TxRows),$A139))</f>
        <v/>
      </c>
      <c r="N139" s="64" t="str">
        <f aca="false">IF($A139="","",SUMIFS(Adjustments!$C$5:$C$504,Adjustments!$B$5:$B$504,$A139))</f>
        <v/>
      </c>
      <c r="O139" s="64" t="str">
        <f aca="false">IF($A139="","",N($J139)+L139-M139+N139)</f>
        <v/>
      </c>
      <c r="P139" s="61" t="str">
        <f aca="false">IF($A139="","",IFERROR((N($J139)*N($K139)+SUMIFS(Purchases!$K$5:INDEX(Purchases!$K$5:$K$3004,TxRows),Purchases!$D$5:INDEX(Purchases!$D$5:$D$3004,TxRows),$A139))/(N($J139)+L139),N($G139)))</f>
        <v/>
      </c>
      <c r="Q139" s="61" t="str">
        <f aca="false">IF($A139="","",MAX(0,O139)*P139)</f>
        <v/>
      </c>
      <c r="R139" s="60" t="str">
        <f aca="false">IF($A139="","",IF(O139&lt;0,"NEGATIVE",IF(O139=0,"OUT OF STOCK",IF(O139&lt;=N($I139),"REORDER",IF(AND(O139&gt;0,X139&gt;DeadDays),"DEAD STOCK","OK")))))</f>
        <v/>
      </c>
      <c r="S139" s="65" t="str">
        <f aca="false">IF($A139="","",IF(N($H139)=0,0,(N($H139)-P139)/N($H139)))</f>
        <v/>
      </c>
      <c r="T139" s="64" t="str">
        <f aca="false">IF($A139="","",IF(O139&lt;=N($I139),MAX(0,2*N($I139)-O139),0))</f>
        <v/>
      </c>
      <c r="U139" s="61" t="str">
        <f aca="false">IF($A139="","",SUMIFS(Sales!$L$5:INDEX(Sales!$L$5:$L$3004,TxRows),Sales!$D$5:INDEX(Sales!$D$5:$D$3004,TxRows),$A139))</f>
        <v/>
      </c>
      <c r="V139" s="61" t="str">
        <f aca="false">IF($A139="","",SUMIFS(Sales!$S$5:INDEX(Sales!$S$5:$S$3004,TxRows),Sales!$D$5:INDEX(Sales!$D$5:$D$3004,TxRows),$A139))</f>
        <v/>
      </c>
      <c r="W139" s="66" t="str">
        <f aca="false">IF($A139="","",IFERROR(SUMPRODUCT(MAX((Sales!$D$5:INDEX(Sales!$D$5:$D$3004,TxRows)=$A139)*Sales!$A$5:INDEX(Sales!$A$5:$A$3004,TxRows))),0))</f>
        <v/>
      </c>
      <c r="X139" s="67" t="str">
        <f aca="false">IF($A139="","",IF(W139=0,AsOf-FYStart,AsOf-W139))</f>
        <v/>
      </c>
      <c r="Y139" s="67" t="str">
        <f aca="false">IF($A139="","",IF(M139=0,"",O139/(M139/MAX(1,AsOf-FYStart))))</f>
        <v/>
      </c>
      <c r="Z139" s="60" t="str">
        <f aca="false">IF($A139="","",U139+ROW()/1000000)</f>
        <v/>
      </c>
    </row>
    <row r="140" customFormat="false" ht="15" hidden="false" customHeight="false" outlineLevel="0" collapsed="false">
      <c r="A140" s="56"/>
      <c r="B140" s="56"/>
      <c r="C140" s="56"/>
      <c r="D140" s="56"/>
      <c r="E140" s="56"/>
      <c r="F140" s="63"/>
      <c r="G140" s="58"/>
      <c r="H140" s="58"/>
      <c r="I140" s="57"/>
      <c r="J140" s="57"/>
      <c r="K140" s="58"/>
      <c r="L140" s="64" t="str">
        <f aca="false">IF($A140="","",SUMIFS(Purchases!$E$5:INDEX(Purchases!$E$5:$E$3004,TxRows),Purchases!$D$5:INDEX(Purchases!$D$5:$D$3004,TxRows),$A140))</f>
        <v/>
      </c>
      <c r="M140" s="64" t="str">
        <f aca="false">IF($A140="","",SUMIFS(Sales!$E$5:INDEX(Sales!$E$5:$E$3004,TxRows),Sales!$D$5:INDEX(Sales!$D$5:$D$3004,TxRows),$A140))</f>
        <v/>
      </c>
      <c r="N140" s="64" t="str">
        <f aca="false">IF($A140="","",SUMIFS(Adjustments!$C$5:$C$504,Adjustments!$B$5:$B$504,$A140))</f>
        <v/>
      </c>
      <c r="O140" s="64" t="str">
        <f aca="false">IF($A140="","",N($J140)+L140-M140+N140)</f>
        <v/>
      </c>
      <c r="P140" s="61" t="str">
        <f aca="false">IF($A140="","",IFERROR((N($J140)*N($K140)+SUMIFS(Purchases!$K$5:INDEX(Purchases!$K$5:$K$3004,TxRows),Purchases!$D$5:INDEX(Purchases!$D$5:$D$3004,TxRows),$A140))/(N($J140)+L140),N($G140)))</f>
        <v/>
      </c>
      <c r="Q140" s="61" t="str">
        <f aca="false">IF($A140="","",MAX(0,O140)*P140)</f>
        <v/>
      </c>
      <c r="R140" s="60" t="str">
        <f aca="false">IF($A140="","",IF(O140&lt;0,"NEGATIVE",IF(O140=0,"OUT OF STOCK",IF(O140&lt;=N($I140),"REORDER",IF(AND(O140&gt;0,X140&gt;DeadDays),"DEAD STOCK","OK")))))</f>
        <v/>
      </c>
      <c r="S140" s="65" t="str">
        <f aca="false">IF($A140="","",IF(N($H140)=0,0,(N($H140)-P140)/N($H140)))</f>
        <v/>
      </c>
      <c r="T140" s="64" t="str">
        <f aca="false">IF($A140="","",IF(O140&lt;=N($I140),MAX(0,2*N($I140)-O140),0))</f>
        <v/>
      </c>
      <c r="U140" s="61" t="str">
        <f aca="false">IF($A140="","",SUMIFS(Sales!$L$5:INDEX(Sales!$L$5:$L$3004,TxRows),Sales!$D$5:INDEX(Sales!$D$5:$D$3004,TxRows),$A140))</f>
        <v/>
      </c>
      <c r="V140" s="61" t="str">
        <f aca="false">IF($A140="","",SUMIFS(Sales!$S$5:INDEX(Sales!$S$5:$S$3004,TxRows),Sales!$D$5:INDEX(Sales!$D$5:$D$3004,TxRows),$A140))</f>
        <v/>
      </c>
      <c r="W140" s="66" t="str">
        <f aca="false">IF($A140="","",IFERROR(SUMPRODUCT(MAX((Sales!$D$5:INDEX(Sales!$D$5:$D$3004,TxRows)=$A140)*Sales!$A$5:INDEX(Sales!$A$5:$A$3004,TxRows))),0))</f>
        <v/>
      </c>
      <c r="X140" s="67" t="str">
        <f aca="false">IF($A140="","",IF(W140=0,AsOf-FYStart,AsOf-W140))</f>
        <v/>
      </c>
      <c r="Y140" s="67" t="str">
        <f aca="false">IF($A140="","",IF(M140=0,"",O140/(M140/MAX(1,AsOf-FYStart))))</f>
        <v/>
      </c>
      <c r="Z140" s="60" t="str">
        <f aca="false">IF($A140="","",U140+ROW()/1000000)</f>
        <v/>
      </c>
    </row>
    <row r="141" customFormat="false" ht="15" hidden="false" customHeight="false" outlineLevel="0" collapsed="false">
      <c r="A141" s="56"/>
      <c r="B141" s="56"/>
      <c r="C141" s="56"/>
      <c r="D141" s="56"/>
      <c r="E141" s="56"/>
      <c r="F141" s="63"/>
      <c r="G141" s="58"/>
      <c r="H141" s="58"/>
      <c r="I141" s="57"/>
      <c r="J141" s="57"/>
      <c r="K141" s="58"/>
      <c r="L141" s="64" t="str">
        <f aca="false">IF($A141="","",SUMIFS(Purchases!$E$5:INDEX(Purchases!$E$5:$E$3004,TxRows),Purchases!$D$5:INDEX(Purchases!$D$5:$D$3004,TxRows),$A141))</f>
        <v/>
      </c>
      <c r="M141" s="64" t="str">
        <f aca="false">IF($A141="","",SUMIFS(Sales!$E$5:INDEX(Sales!$E$5:$E$3004,TxRows),Sales!$D$5:INDEX(Sales!$D$5:$D$3004,TxRows),$A141))</f>
        <v/>
      </c>
      <c r="N141" s="64" t="str">
        <f aca="false">IF($A141="","",SUMIFS(Adjustments!$C$5:$C$504,Adjustments!$B$5:$B$504,$A141))</f>
        <v/>
      </c>
      <c r="O141" s="64" t="str">
        <f aca="false">IF($A141="","",N($J141)+L141-M141+N141)</f>
        <v/>
      </c>
      <c r="P141" s="61" t="str">
        <f aca="false">IF($A141="","",IFERROR((N($J141)*N($K141)+SUMIFS(Purchases!$K$5:INDEX(Purchases!$K$5:$K$3004,TxRows),Purchases!$D$5:INDEX(Purchases!$D$5:$D$3004,TxRows),$A141))/(N($J141)+L141),N($G141)))</f>
        <v/>
      </c>
      <c r="Q141" s="61" t="str">
        <f aca="false">IF($A141="","",MAX(0,O141)*P141)</f>
        <v/>
      </c>
      <c r="R141" s="60" t="str">
        <f aca="false">IF($A141="","",IF(O141&lt;0,"NEGATIVE",IF(O141=0,"OUT OF STOCK",IF(O141&lt;=N($I141),"REORDER",IF(AND(O141&gt;0,X141&gt;DeadDays),"DEAD STOCK","OK")))))</f>
        <v/>
      </c>
      <c r="S141" s="65" t="str">
        <f aca="false">IF($A141="","",IF(N($H141)=0,0,(N($H141)-P141)/N($H141)))</f>
        <v/>
      </c>
      <c r="T141" s="64" t="str">
        <f aca="false">IF($A141="","",IF(O141&lt;=N($I141),MAX(0,2*N($I141)-O141),0))</f>
        <v/>
      </c>
      <c r="U141" s="61" t="str">
        <f aca="false">IF($A141="","",SUMIFS(Sales!$L$5:INDEX(Sales!$L$5:$L$3004,TxRows),Sales!$D$5:INDEX(Sales!$D$5:$D$3004,TxRows),$A141))</f>
        <v/>
      </c>
      <c r="V141" s="61" t="str">
        <f aca="false">IF($A141="","",SUMIFS(Sales!$S$5:INDEX(Sales!$S$5:$S$3004,TxRows),Sales!$D$5:INDEX(Sales!$D$5:$D$3004,TxRows),$A141))</f>
        <v/>
      </c>
      <c r="W141" s="66" t="str">
        <f aca="false">IF($A141="","",IFERROR(SUMPRODUCT(MAX((Sales!$D$5:INDEX(Sales!$D$5:$D$3004,TxRows)=$A141)*Sales!$A$5:INDEX(Sales!$A$5:$A$3004,TxRows))),0))</f>
        <v/>
      </c>
      <c r="X141" s="67" t="str">
        <f aca="false">IF($A141="","",IF(W141=0,AsOf-FYStart,AsOf-W141))</f>
        <v/>
      </c>
      <c r="Y141" s="67" t="str">
        <f aca="false">IF($A141="","",IF(M141=0,"",O141/(M141/MAX(1,AsOf-FYStart))))</f>
        <v/>
      </c>
      <c r="Z141" s="60" t="str">
        <f aca="false">IF($A141="","",U141+ROW()/1000000)</f>
        <v/>
      </c>
    </row>
    <row r="142" customFormat="false" ht="15" hidden="false" customHeight="false" outlineLevel="0" collapsed="false">
      <c r="A142" s="56"/>
      <c r="B142" s="56"/>
      <c r="C142" s="56"/>
      <c r="D142" s="56"/>
      <c r="E142" s="56"/>
      <c r="F142" s="63"/>
      <c r="G142" s="58"/>
      <c r="H142" s="58"/>
      <c r="I142" s="57"/>
      <c r="J142" s="57"/>
      <c r="K142" s="58"/>
      <c r="L142" s="64" t="str">
        <f aca="false">IF($A142="","",SUMIFS(Purchases!$E$5:INDEX(Purchases!$E$5:$E$3004,TxRows),Purchases!$D$5:INDEX(Purchases!$D$5:$D$3004,TxRows),$A142))</f>
        <v/>
      </c>
      <c r="M142" s="64" t="str">
        <f aca="false">IF($A142="","",SUMIFS(Sales!$E$5:INDEX(Sales!$E$5:$E$3004,TxRows),Sales!$D$5:INDEX(Sales!$D$5:$D$3004,TxRows),$A142))</f>
        <v/>
      </c>
      <c r="N142" s="64" t="str">
        <f aca="false">IF($A142="","",SUMIFS(Adjustments!$C$5:$C$504,Adjustments!$B$5:$B$504,$A142))</f>
        <v/>
      </c>
      <c r="O142" s="64" t="str">
        <f aca="false">IF($A142="","",N($J142)+L142-M142+N142)</f>
        <v/>
      </c>
      <c r="P142" s="61" t="str">
        <f aca="false">IF($A142="","",IFERROR((N($J142)*N($K142)+SUMIFS(Purchases!$K$5:INDEX(Purchases!$K$5:$K$3004,TxRows),Purchases!$D$5:INDEX(Purchases!$D$5:$D$3004,TxRows),$A142))/(N($J142)+L142),N($G142)))</f>
        <v/>
      </c>
      <c r="Q142" s="61" t="str">
        <f aca="false">IF($A142="","",MAX(0,O142)*P142)</f>
        <v/>
      </c>
      <c r="R142" s="60" t="str">
        <f aca="false">IF($A142="","",IF(O142&lt;0,"NEGATIVE",IF(O142=0,"OUT OF STOCK",IF(O142&lt;=N($I142),"REORDER",IF(AND(O142&gt;0,X142&gt;DeadDays),"DEAD STOCK","OK")))))</f>
        <v/>
      </c>
      <c r="S142" s="65" t="str">
        <f aca="false">IF($A142="","",IF(N($H142)=0,0,(N($H142)-P142)/N($H142)))</f>
        <v/>
      </c>
      <c r="T142" s="64" t="str">
        <f aca="false">IF($A142="","",IF(O142&lt;=N($I142),MAX(0,2*N($I142)-O142),0))</f>
        <v/>
      </c>
      <c r="U142" s="61" t="str">
        <f aca="false">IF($A142="","",SUMIFS(Sales!$L$5:INDEX(Sales!$L$5:$L$3004,TxRows),Sales!$D$5:INDEX(Sales!$D$5:$D$3004,TxRows),$A142))</f>
        <v/>
      </c>
      <c r="V142" s="61" t="str">
        <f aca="false">IF($A142="","",SUMIFS(Sales!$S$5:INDEX(Sales!$S$5:$S$3004,TxRows),Sales!$D$5:INDEX(Sales!$D$5:$D$3004,TxRows),$A142))</f>
        <v/>
      </c>
      <c r="W142" s="66" t="str">
        <f aca="false">IF($A142="","",IFERROR(SUMPRODUCT(MAX((Sales!$D$5:INDEX(Sales!$D$5:$D$3004,TxRows)=$A142)*Sales!$A$5:INDEX(Sales!$A$5:$A$3004,TxRows))),0))</f>
        <v/>
      </c>
      <c r="X142" s="67" t="str">
        <f aca="false">IF($A142="","",IF(W142=0,AsOf-FYStart,AsOf-W142))</f>
        <v/>
      </c>
      <c r="Y142" s="67" t="str">
        <f aca="false">IF($A142="","",IF(M142=0,"",O142/(M142/MAX(1,AsOf-FYStart))))</f>
        <v/>
      </c>
      <c r="Z142" s="60" t="str">
        <f aca="false">IF($A142="","",U142+ROW()/1000000)</f>
        <v/>
      </c>
    </row>
    <row r="143" customFormat="false" ht="15" hidden="false" customHeight="false" outlineLevel="0" collapsed="false">
      <c r="A143" s="56"/>
      <c r="B143" s="56"/>
      <c r="C143" s="56"/>
      <c r="D143" s="56"/>
      <c r="E143" s="56"/>
      <c r="F143" s="63"/>
      <c r="G143" s="58"/>
      <c r="H143" s="58"/>
      <c r="I143" s="57"/>
      <c r="J143" s="57"/>
      <c r="K143" s="58"/>
      <c r="L143" s="64" t="str">
        <f aca="false">IF($A143="","",SUMIFS(Purchases!$E$5:INDEX(Purchases!$E$5:$E$3004,TxRows),Purchases!$D$5:INDEX(Purchases!$D$5:$D$3004,TxRows),$A143))</f>
        <v/>
      </c>
      <c r="M143" s="64" t="str">
        <f aca="false">IF($A143="","",SUMIFS(Sales!$E$5:INDEX(Sales!$E$5:$E$3004,TxRows),Sales!$D$5:INDEX(Sales!$D$5:$D$3004,TxRows),$A143))</f>
        <v/>
      </c>
      <c r="N143" s="64" t="str">
        <f aca="false">IF($A143="","",SUMIFS(Adjustments!$C$5:$C$504,Adjustments!$B$5:$B$504,$A143))</f>
        <v/>
      </c>
      <c r="O143" s="64" t="str">
        <f aca="false">IF($A143="","",N($J143)+L143-M143+N143)</f>
        <v/>
      </c>
      <c r="P143" s="61" t="str">
        <f aca="false">IF($A143="","",IFERROR((N($J143)*N($K143)+SUMIFS(Purchases!$K$5:INDEX(Purchases!$K$5:$K$3004,TxRows),Purchases!$D$5:INDEX(Purchases!$D$5:$D$3004,TxRows),$A143))/(N($J143)+L143),N($G143)))</f>
        <v/>
      </c>
      <c r="Q143" s="61" t="str">
        <f aca="false">IF($A143="","",MAX(0,O143)*P143)</f>
        <v/>
      </c>
      <c r="R143" s="60" t="str">
        <f aca="false">IF($A143="","",IF(O143&lt;0,"NEGATIVE",IF(O143=0,"OUT OF STOCK",IF(O143&lt;=N($I143),"REORDER",IF(AND(O143&gt;0,X143&gt;DeadDays),"DEAD STOCK","OK")))))</f>
        <v/>
      </c>
      <c r="S143" s="65" t="str">
        <f aca="false">IF($A143="","",IF(N($H143)=0,0,(N($H143)-P143)/N($H143)))</f>
        <v/>
      </c>
      <c r="T143" s="64" t="str">
        <f aca="false">IF($A143="","",IF(O143&lt;=N($I143),MAX(0,2*N($I143)-O143),0))</f>
        <v/>
      </c>
      <c r="U143" s="61" t="str">
        <f aca="false">IF($A143="","",SUMIFS(Sales!$L$5:INDEX(Sales!$L$5:$L$3004,TxRows),Sales!$D$5:INDEX(Sales!$D$5:$D$3004,TxRows),$A143))</f>
        <v/>
      </c>
      <c r="V143" s="61" t="str">
        <f aca="false">IF($A143="","",SUMIFS(Sales!$S$5:INDEX(Sales!$S$5:$S$3004,TxRows),Sales!$D$5:INDEX(Sales!$D$5:$D$3004,TxRows),$A143))</f>
        <v/>
      </c>
      <c r="W143" s="66" t="str">
        <f aca="false">IF($A143="","",IFERROR(SUMPRODUCT(MAX((Sales!$D$5:INDEX(Sales!$D$5:$D$3004,TxRows)=$A143)*Sales!$A$5:INDEX(Sales!$A$5:$A$3004,TxRows))),0))</f>
        <v/>
      </c>
      <c r="X143" s="67" t="str">
        <f aca="false">IF($A143="","",IF(W143=0,AsOf-FYStart,AsOf-W143))</f>
        <v/>
      </c>
      <c r="Y143" s="67" t="str">
        <f aca="false">IF($A143="","",IF(M143=0,"",O143/(M143/MAX(1,AsOf-FYStart))))</f>
        <v/>
      </c>
      <c r="Z143" s="60" t="str">
        <f aca="false">IF($A143="","",U143+ROW()/1000000)</f>
        <v/>
      </c>
    </row>
    <row r="144" customFormat="false" ht="15" hidden="false" customHeight="false" outlineLevel="0" collapsed="false">
      <c r="A144" s="56"/>
      <c r="B144" s="56"/>
      <c r="C144" s="56"/>
      <c r="D144" s="56"/>
      <c r="E144" s="56"/>
      <c r="F144" s="63"/>
      <c r="G144" s="58"/>
      <c r="H144" s="58"/>
      <c r="I144" s="57"/>
      <c r="J144" s="57"/>
      <c r="K144" s="58"/>
      <c r="L144" s="64" t="str">
        <f aca="false">IF($A144="","",SUMIFS(Purchases!$E$5:INDEX(Purchases!$E$5:$E$3004,TxRows),Purchases!$D$5:INDEX(Purchases!$D$5:$D$3004,TxRows),$A144))</f>
        <v/>
      </c>
      <c r="M144" s="64" t="str">
        <f aca="false">IF($A144="","",SUMIFS(Sales!$E$5:INDEX(Sales!$E$5:$E$3004,TxRows),Sales!$D$5:INDEX(Sales!$D$5:$D$3004,TxRows),$A144))</f>
        <v/>
      </c>
      <c r="N144" s="64" t="str">
        <f aca="false">IF($A144="","",SUMIFS(Adjustments!$C$5:$C$504,Adjustments!$B$5:$B$504,$A144))</f>
        <v/>
      </c>
      <c r="O144" s="64" t="str">
        <f aca="false">IF($A144="","",N($J144)+L144-M144+N144)</f>
        <v/>
      </c>
      <c r="P144" s="61" t="str">
        <f aca="false">IF($A144="","",IFERROR((N($J144)*N($K144)+SUMIFS(Purchases!$K$5:INDEX(Purchases!$K$5:$K$3004,TxRows),Purchases!$D$5:INDEX(Purchases!$D$5:$D$3004,TxRows),$A144))/(N($J144)+L144),N($G144)))</f>
        <v/>
      </c>
      <c r="Q144" s="61" t="str">
        <f aca="false">IF($A144="","",MAX(0,O144)*P144)</f>
        <v/>
      </c>
      <c r="R144" s="60" t="str">
        <f aca="false">IF($A144="","",IF(O144&lt;0,"NEGATIVE",IF(O144=0,"OUT OF STOCK",IF(O144&lt;=N($I144),"REORDER",IF(AND(O144&gt;0,X144&gt;DeadDays),"DEAD STOCK","OK")))))</f>
        <v/>
      </c>
      <c r="S144" s="65" t="str">
        <f aca="false">IF($A144="","",IF(N($H144)=0,0,(N($H144)-P144)/N($H144)))</f>
        <v/>
      </c>
      <c r="T144" s="64" t="str">
        <f aca="false">IF($A144="","",IF(O144&lt;=N($I144),MAX(0,2*N($I144)-O144),0))</f>
        <v/>
      </c>
      <c r="U144" s="61" t="str">
        <f aca="false">IF($A144="","",SUMIFS(Sales!$L$5:INDEX(Sales!$L$5:$L$3004,TxRows),Sales!$D$5:INDEX(Sales!$D$5:$D$3004,TxRows),$A144))</f>
        <v/>
      </c>
      <c r="V144" s="61" t="str">
        <f aca="false">IF($A144="","",SUMIFS(Sales!$S$5:INDEX(Sales!$S$5:$S$3004,TxRows),Sales!$D$5:INDEX(Sales!$D$5:$D$3004,TxRows),$A144))</f>
        <v/>
      </c>
      <c r="W144" s="66" t="str">
        <f aca="false">IF($A144="","",IFERROR(SUMPRODUCT(MAX((Sales!$D$5:INDEX(Sales!$D$5:$D$3004,TxRows)=$A144)*Sales!$A$5:INDEX(Sales!$A$5:$A$3004,TxRows))),0))</f>
        <v/>
      </c>
      <c r="X144" s="67" t="str">
        <f aca="false">IF($A144="","",IF(W144=0,AsOf-FYStart,AsOf-W144))</f>
        <v/>
      </c>
      <c r="Y144" s="67" t="str">
        <f aca="false">IF($A144="","",IF(M144=0,"",O144/(M144/MAX(1,AsOf-FYStart))))</f>
        <v/>
      </c>
      <c r="Z144" s="60" t="str">
        <f aca="false">IF($A144="","",U144+ROW()/1000000)</f>
        <v/>
      </c>
    </row>
    <row r="145" customFormat="false" ht="15" hidden="false" customHeight="false" outlineLevel="0" collapsed="false">
      <c r="A145" s="56"/>
      <c r="B145" s="56"/>
      <c r="C145" s="56"/>
      <c r="D145" s="56"/>
      <c r="E145" s="56"/>
      <c r="F145" s="63"/>
      <c r="G145" s="58"/>
      <c r="H145" s="58"/>
      <c r="I145" s="57"/>
      <c r="J145" s="57"/>
      <c r="K145" s="58"/>
      <c r="L145" s="64" t="str">
        <f aca="false">IF($A145="","",SUMIFS(Purchases!$E$5:INDEX(Purchases!$E$5:$E$3004,TxRows),Purchases!$D$5:INDEX(Purchases!$D$5:$D$3004,TxRows),$A145))</f>
        <v/>
      </c>
      <c r="M145" s="64" t="str">
        <f aca="false">IF($A145="","",SUMIFS(Sales!$E$5:INDEX(Sales!$E$5:$E$3004,TxRows),Sales!$D$5:INDEX(Sales!$D$5:$D$3004,TxRows),$A145))</f>
        <v/>
      </c>
      <c r="N145" s="64" t="str">
        <f aca="false">IF($A145="","",SUMIFS(Adjustments!$C$5:$C$504,Adjustments!$B$5:$B$504,$A145))</f>
        <v/>
      </c>
      <c r="O145" s="64" t="str">
        <f aca="false">IF($A145="","",N($J145)+L145-M145+N145)</f>
        <v/>
      </c>
      <c r="P145" s="61" t="str">
        <f aca="false">IF($A145="","",IFERROR((N($J145)*N($K145)+SUMIFS(Purchases!$K$5:INDEX(Purchases!$K$5:$K$3004,TxRows),Purchases!$D$5:INDEX(Purchases!$D$5:$D$3004,TxRows),$A145))/(N($J145)+L145),N($G145)))</f>
        <v/>
      </c>
      <c r="Q145" s="61" t="str">
        <f aca="false">IF($A145="","",MAX(0,O145)*P145)</f>
        <v/>
      </c>
      <c r="R145" s="60" t="str">
        <f aca="false">IF($A145="","",IF(O145&lt;0,"NEGATIVE",IF(O145=0,"OUT OF STOCK",IF(O145&lt;=N($I145),"REORDER",IF(AND(O145&gt;0,X145&gt;DeadDays),"DEAD STOCK","OK")))))</f>
        <v/>
      </c>
      <c r="S145" s="65" t="str">
        <f aca="false">IF($A145="","",IF(N($H145)=0,0,(N($H145)-P145)/N($H145)))</f>
        <v/>
      </c>
      <c r="T145" s="64" t="str">
        <f aca="false">IF($A145="","",IF(O145&lt;=N($I145),MAX(0,2*N($I145)-O145),0))</f>
        <v/>
      </c>
      <c r="U145" s="61" t="str">
        <f aca="false">IF($A145="","",SUMIFS(Sales!$L$5:INDEX(Sales!$L$5:$L$3004,TxRows),Sales!$D$5:INDEX(Sales!$D$5:$D$3004,TxRows),$A145))</f>
        <v/>
      </c>
      <c r="V145" s="61" t="str">
        <f aca="false">IF($A145="","",SUMIFS(Sales!$S$5:INDEX(Sales!$S$5:$S$3004,TxRows),Sales!$D$5:INDEX(Sales!$D$5:$D$3004,TxRows),$A145))</f>
        <v/>
      </c>
      <c r="W145" s="66" t="str">
        <f aca="false">IF($A145="","",IFERROR(SUMPRODUCT(MAX((Sales!$D$5:INDEX(Sales!$D$5:$D$3004,TxRows)=$A145)*Sales!$A$5:INDEX(Sales!$A$5:$A$3004,TxRows))),0))</f>
        <v/>
      </c>
      <c r="X145" s="67" t="str">
        <f aca="false">IF($A145="","",IF(W145=0,AsOf-FYStart,AsOf-W145))</f>
        <v/>
      </c>
      <c r="Y145" s="67" t="str">
        <f aca="false">IF($A145="","",IF(M145=0,"",O145/(M145/MAX(1,AsOf-FYStart))))</f>
        <v/>
      </c>
      <c r="Z145" s="60" t="str">
        <f aca="false">IF($A145="","",U145+ROW()/1000000)</f>
        <v/>
      </c>
    </row>
    <row r="146" customFormat="false" ht="15" hidden="false" customHeight="false" outlineLevel="0" collapsed="false">
      <c r="A146" s="56"/>
      <c r="B146" s="56"/>
      <c r="C146" s="56"/>
      <c r="D146" s="56"/>
      <c r="E146" s="56"/>
      <c r="F146" s="63"/>
      <c r="G146" s="58"/>
      <c r="H146" s="58"/>
      <c r="I146" s="57"/>
      <c r="J146" s="57"/>
      <c r="K146" s="58"/>
      <c r="L146" s="64" t="str">
        <f aca="false">IF($A146="","",SUMIFS(Purchases!$E$5:INDEX(Purchases!$E$5:$E$3004,TxRows),Purchases!$D$5:INDEX(Purchases!$D$5:$D$3004,TxRows),$A146))</f>
        <v/>
      </c>
      <c r="M146" s="64" t="str">
        <f aca="false">IF($A146="","",SUMIFS(Sales!$E$5:INDEX(Sales!$E$5:$E$3004,TxRows),Sales!$D$5:INDEX(Sales!$D$5:$D$3004,TxRows),$A146))</f>
        <v/>
      </c>
      <c r="N146" s="64" t="str">
        <f aca="false">IF($A146="","",SUMIFS(Adjustments!$C$5:$C$504,Adjustments!$B$5:$B$504,$A146))</f>
        <v/>
      </c>
      <c r="O146" s="64" t="str">
        <f aca="false">IF($A146="","",N($J146)+L146-M146+N146)</f>
        <v/>
      </c>
      <c r="P146" s="61" t="str">
        <f aca="false">IF($A146="","",IFERROR((N($J146)*N($K146)+SUMIFS(Purchases!$K$5:INDEX(Purchases!$K$5:$K$3004,TxRows),Purchases!$D$5:INDEX(Purchases!$D$5:$D$3004,TxRows),$A146))/(N($J146)+L146),N($G146)))</f>
        <v/>
      </c>
      <c r="Q146" s="61" t="str">
        <f aca="false">IF($A146="","",MAX(0,O146)*P146)</f>
        <v/>
      </c>
      <c r="R146" s="60" t="str">
        <f aca="false">IF($A146="","",IF(O146&lt;0,"NEGATIVE",IF(O146=0,"OUT OF STOCK",IF(O146&lt;=N($I146),"REORDER",IF(AND(O146&gt;0,X146&gt;DeadDays),"DEAD STOCK","OK")))))</f>
        <v/>
      </c>
      <c r="S146" s="65" t="str">
        <f aca="false">IF($A146="","",IF(N($H146)=0,0,(N($H146)-P146)/N($H146)))</f>
        <v/>
      </c>
      <c r="T146" s="64" t="str">
        <f aca="false">IF($A146="","",IF(O146&lt;=N($I146),MAX(0,2*N($I146)-O146),0))</f>
        <v/>
      </c>
      <c r="U146" s="61" t="str">
        <f aca="false">IF($A146="","",SUMIFS(Sales!$L$5:INDEX(Sales!$L$5:$L$3004,TxRows),Sales!$D$5:INDEX(Sales!$D$5:$D$3004,TxRows),$A146))</f>
        <v/>
      </c>
      <c r="V146" s="61" t="str">
        <f aca="false">IF($A146="","",SUMIFS(Sales!$S$5:INDEX(Sales!$S$5:$S$3004,TxRows),Sales!$D$5:INDEX(Sales!$D$5:$D$3004,TxRows),$A146))</f>
        <v/>
      </c>
      <c r="W146" s="66" t="str">
        <f aca="false">IF($A146="","",IFERROR(SUMPRODUCT(MAX((Sales!$D$5:INDEX(Sales!$D$5:$D$3004,TxRows)=$A146)*Sales!$A$5:INDEX(Sales!$A$5:$A$3004,TxRows))),0))</f>
        <v/>
      </c>
      <c r="X146" s="67" t="str">
        <f aca="false">IF($A146="","",IF(W146=0,AsOf-FYStart,AsOf-W146))</f>
        <v/>
      </c>
      <c r="Y146" s="67" t="str">
        <f aca="false">IF($A146="","",IF(M146=0,"",O146/(M146/MAX(1,AsOf-FYStart))))</f>
        <v/>
      </c>
      <c r="Z146" s="60" t="str">
        <f aca="false">IF($A146="","",U146+ROW()/1000000)</f>
        <v/>
      </c>
    </row>
    <row r="147" customFormat="false" ht="15" hidden="false" customHeight="false" outlineLevel="0" collapsed="false">
      <c r="A147" s="56"/>
      <c r="B147" s="56"/>
      <c r="C147" s="56"/>
      <c r="D147" s="56"/>
      <c r="E147" s="56"/>
      <c r="F147" s="63"/>
      <c r="G147" s="58"/>
      <c r="H147" s="58"/>
      <c r="I147" s="57"/>
      <c r="J147" s="57"/>
      <c r="K147" s="58"/>
      <c r="L147" s="64" t="str">
        <f aca="false">IF($A147="","",SUMIFS(Purchases!$E$5:INDEX(Purchases!$E$5:$E$3004,TxRows),Purchases!$D$5:INDEX(Purchases!$D$5:$D$3004,TxRows),$A147))</f>
        <v/>
      </c>
      <c r="M147" s="64" t="str">
        <f aca="false">IF($A147="","",SUMIFS(Sales!$E$5:INDEX(Sales!$E$5:$E$3004,TxRows),Sales!$D$5:INDEX(Sales!$D$5:$D$3004,TxRows),$A147))</f>
        <v/>
      </c>
      <c r="N147" s="64" t="str">
        <f aca="false">IF($A147="","",SUMIFS(Adjustments!$C$5:$C$504,Adjustments!$B$5:$B$504,$A147))</f>
        <v/>
      </c>
      <c r="O147" s="64" t="str">
        <f aca="false">IF($A147="","",N($J147)+L147-M147+N147)</f>
        <v/>
      </c>
      <c r="P147" s="61" t="str">
        <f aca="false">IF($A147="","",IFERROR((N($J147)*N($K147)+SUMIFS(Purchases!$K$5:INDEX(Purchases!$K$5:$K$3004,TxRows),Purchases!$D$5:INDEX(Purchases!$D$5:$D$3004,TxRows),$A147))/(N($J147)+L147),N($G147)))</f>
        <v/>
      </c>
      <c r="Q147" s="61" t="str">
        <f aca="false">IF($A147="","",MAX(0,O147)*P147)</f>
        <v/>
      </c>
      <c r="R147" s="60" t="str">
        <f aca="false">IF($A147="","",IF(O147&lt;0,"NEGATIVE",IF(O147=0,"OUT OF STOCK",IF(O147&lt;=N($I147),"REORDER",IF(AND(O147&gt;0,X147&gt;DeadDays),"DEAD STOCK","OK")))))</f>
        <v/>
      </c>
      <c r="S147" s="65" t="str">
        <f aca="false">IF($A147="","",IF(N($H147)=0,0,(N($H147)-P147)/N($H147)))</f>
        <v/>
      </c>
      <c r="T147" s="64" t="str">
        <f aca="false">IF($A147="","",IF(O147&lt;=N($I147),MAX(0,2*N($I147)-O147),0))</f>
        <v/>
      </c>
      <c r="U147" s="61" t="str">
        <f aca="false">IF($A147="","",SUMIFS(Sales!$L$5:INDEX(Sales!$L$5:$L$3004,TxRows),Sales!$D$5:INDEX(Sales!$D$5:$D$3004,TxRows),$A147))</f>
        <v/>
      </c>
      <c r="V147" s="61" t="str">
        <f aca="false">IF($A147="","",SUMIFS(Sales!$S$5:INDEX(Sales!$S$5:$S$3004,TxRows),Sales!$D$5:INDEX(Sales!$D$5:$D$3004,TxRows),$A147))</f>
        <v/>
      </c>
      <c r="W147" s="66" t="str">
        <f aca="false">IF($A147="","",IFERROR(SUMPRODUCT(MAX((Sales!$D$5:INDEX(Sales!$D$5:$D$3004,TxRows)=$A147)*Sales!$A$5:INDEX(Sales!$A$5:$A$3004,TxRows))),0))</f>
        <v/>
      </c>
      <c r="X147" s="67" t="str">
        <f aca="false">IF($A147="","",IF(W147=0,AsOf-FYStart,AsOf-W147))</f>
        <v/>
      </c>
      <c r="Y147" s="67" t="str">
        <f aca="false">IF($A147="","",IF(M147=0,"",O147/(M147/MAX(1,AsOf-FYStart))))</f>
        <v/>
      </c>
      <c r="Z147" s="60" t="str">
        <f aca="false">IF($A147="","",U147+ROW()/1000000)</f>
        <v/>
      </c>
    </row>
    <row r="148" customFormat="false" ht="15" hidden="false" customHeight="false" outlineLevel="0" collapsed="false">
      <c r="A148" s="56"/>
      <c r="B148" s="56"/>
      <c r="C148" s="56"/>
      <c r="D148" s="56"/>
      <c r="E148" s="56"/>
      <c r="F148" s="63"/>
      <c r="G148" s="58"/>
      <c r="H148" s="58"/>
      <c r="I148" s="57"/>
      <c r="J148" s="57"/>
      <c r="K148" s="58"/>
      <c r="L148" s="64" t="str">
        <f aca="false">IF($A148="","",SUMIFS(Purchases!$E$5:INDEX(Purchases!$E$5:$E$3004,TxRows),Purchases!$D$5:INDEX(Purchases!$D$5:$D$3004,TxRows),$A148))</f>
        <v/>
      </c>
      <c r="M148" s="64" t="str">
        <f aca="false">IF($A148="","",SUMIFS(Sales!$E$5:INDEX(Sales!$E$5:$E$3004,TxRows),Sales!$D$5:INDEX(Sales!$D$5:$D$3004,TxRows),$A148))</f>
        <v/>
      </c>
      <c r="N148" s="64" t="str">
        <f aca="false">IF($A148="","",SUMIFS(Adjustments!$C$5:$C$504,Adjustments!$B$5:$B$504,$A148))</f>
        <v/>
      </c>
      <c r="O148" s="64" t="str">
        <f aca="false">IF($A148="","",N($J148)+L148-M148+N148)</f>
        <v/>
      </c>
      <c r="P148" s="61" t="str">
        <f aca="false">IF($A148="","",IFERROR((N($J148)*N($K148)+SUMIFS(Purchases!$K$5:INDEX(Purchases!$K$5:$K$3004,TxRows),Purchases!$D$5:INDEX(Purchases!$D$5:$D$3004,TxRows),$A148))/(N($J148)+L148),N($G148)))</f>
        <v/>
      </c>
      <c r="Q148" s="61" t="str">
        <f aca="false">IF($A148="","",MAX(0,O148)*P148)</f>
        <v/>
      </c>
      <c r="R148" s="60" t="str">
        <f aca="false">IF($A148="","",IF(O148&lt;0,"NEGATIVE",IF(O148=0,"OUT OF STOCK",IF(O148&lt;=N($I148),"REORDER",IF(AND(O148&gt;0,X148&gt;DeadDays),"DEAD STOCK","OK")))))</f>
        <v/>
      </c>
      <c r="S148" s="65" t="str">
        <f aca="false">IF($A148="","",IF(N($H148)=0,0,(N($H148)-P148)/N($H148)))</f>
        <v/>
      </c>
      <c r="T148" s="64" t="str">
        <f aca="false">IF($A148="","",IF(O148&lt;=N($I148),MAX(0,2*N($I148)-O148),0))</f>
        <v/>
      </c>
      <c r="U148" s="61" t="str">
        <f aca="false">IF($A148="","",SUMIFS(Sales!$L$5:INDEX(Sales!$L$5:$L$3004,TxRows),Sales!$D$5:INDEX(Sales!$D$5:$D$3004,TxRows),$A148))</f>
        <v/>
      </c>
      <c r="V148" s="61" t="str">
        <f aca="false">IF($A148="","",SUMIFS(Sales!$S$5:INDEX(Sales!$S$5:$S$3004,TxRows),Sales!$D$5:INDEX(Sales!$D$5:$D$3004,TxRows),$A148))</f>
        <v/>
      </c>
      <c r="W148" s="66" t="str">
        <f aca="false">IF($A148="","",IFERROR(SUMPRODUCT(MAX((Sales!$D$5:INDEX(Sales!$D$5:$D$3004,TxRows)=$A148)*Sales!$A$5:INDEX(Sales!$A$5:$A$3004,TxRows))),0))</f>
        <v/>
      </c>
      <c r="X148" s="67" t="str">
        <f aca="false">IF($A148="","",IF(W148=0,AsOf-FYStart,AsOf-W148))</f>
        <v/>
      </c>
      <c r="Y148" s="67" t="str">
        <f aca="false">IF($A148="","",IF(M148=0,"",O148/(M148/MAX(1,AsOf-FYStart))))</f>
        <v/>
      </c>
      <c r="Z148" s="60" t="str">
        <f aca="false">IF($A148="","",U148+ROW()/1000000)</f>
        <v/>
      </c>
    </row>
    <row r="149" customFormat="false" ht="15" hidden="false" customHeight="false" outlineLevel="0" collapsed="false">
      <c r="A149" s="56"/>
      <c r="B149" s="56"/>
      <c r="C149" s="56"/>
      <c r="D149" s="56"/>
      <c r="E149" s="56"/>
      <c r="F149" s="63"/>
      <c r="G149" s="58"/>
      <c r="H149" s="58"/>
      <c r="I149" s="57"/>
      <c r="J149" s="57"/>
      <c r="K149" s="58"/>
      <c r="L149" s="64" t="str">
        <f aca="false">IF($A149="","",SUMIFS(Purchases!$E$5:INDEX(Purchases!$E$5:$E$3004,TxRows),Purchases!$D$5:INDEX(Purchases!$D$5:$D$3004,TxRows),$A149))</f>
        <v/>
      </c>
      <c r="M149" s="64" t="str">
        <f aca="false">IF($A149="","",SUMIFS(Sales!$E$5:INDEX(Sales!$E$5:$E$3004,TxRows),Sales!$D$5:INDEX(Sales!$D$5:$D$3004,TxRows),$A149))</f>
        <v/>
      </c>
      <c r="N149" s="64" t="str">
        <f aca="false">IF($A149="","",SUMIFS(Adjustments!$C$5:$C$504,Adjustments!$B$5:$B$504,$A149))</f>
        <v/>
      </c>
      <c r="O149" s="64" t="str">
        <f aca="false">IF($A149="","",N($J149)+L149-M149+N149)</f>
        <v/>
      </c>
      <c r="P149" s="61" t="str">
        <f aca="false">IF($A149="","",IFERROR((N($J149)*N($K149)+SUMIFS(Purchases!$K$5:INDEX(Purchases!$K$5:$K$3004,TxRows),Purchases!$D$5:INDEX(Purchases!$D$5:$D$3004,TxRows),$A149))/(N($J149)+L149),N($G149)))</f>
        <v/>
      </c>
      <c r="Q149" s="61" t="str">
        <f aca="false">IF($A149="","",MAX(0,O149)*P149)</f>
        <v/>
      </c>
      <c r="R149" s="60" t="str">
        <f aca="false">IF($A149="","",IF(O149&lt;0,"NEGATIVE",IF(O149=0,"OUT OF STOCK",IF(O149&lt;=N($I149),"REORDER",IF(AND(O149&gt;0,X149&gt;DeadDays),"DEAD STOCK","OK")))))</f>
        <v/>
      </c>
      <c r="S149" s="65" t="str">
        <f aca="false">IF($A149="","",IF(N($H149)=0,0,(N($H149)-P149)/N($H149)))</f>
        <v/>
      </c>
      <c r="T149" s="64" t="str">
        <f aca="false">IF($A149="","",IF(O149&lt;=N($I149),MAX(0,2*N($I149)-O149),0))</f>
        <v/>
      </c>
      <c r="U149" s="61" t="str">
        <f aca="false">IF($A149="","",SUMIFS(Sales!$L$5:INDEX(Sales!$L$5:$L$3004,TxRows),Sales!$D$5:INDEX(Sales!$D$5:$D$3004,TxRows),$A149))</f>
        <v/>
      </c>
      <c r="V149" s="61" t="str">
        <f aca="false">IF($A149="","",SUMIFS(Sales!$S$5:INDEX(Sales!$S$5:$S$3004,TxRows),Sales!$D$5:INDEX(Sales!$D$5:$D$3004,TxRows),$A149))</f>
        <v/>
      </c>
      <c r="W149" s="66" t="str">
        <f aca="false">IF($A149="","",IFERROR(SUMPRODUCT(MAX((Sales!$D$5:INDEX(Sales!$D$5:$D$3004,TxRows)=$A149)*Sales!$A$5:INDEX(Sales!$A$5:$A$3004,TxRows))),0))</f>
        <v/>
      </c>
      <c r="X149" s="67" t="str">
        <f aca="false">IF($A149="","",IF(W149=0,AsOf-FYStart,AsOf-W149))</f>
        <v/>
      </c>
      <c r="Y149" s="67" t="str">
        <f aca="false">IF($A149="","",IF(M149=0,"",O149/(M149/MAX(1,AsOf-FYStart))))</f>
        <v/>
      </c>
      <c r="Z149" s="60" t="str">
        <f aca="false">IF($A149="","",U149+ROW()/1000000)</f>
        <v/>
      </c>
    </row>
    <row r="150" customFormat="false" ht="15" hidden="false" customHeight="false" outlineLevel="0" collapsed="false">
      <c r="A150" s="56"/>
      <c r="B150" s="56"/>
      <c r="C150" s="56"/>
      <c r="D150" s="56"/>
      <c r="E150" s="56"/>
      <c r="F150" s="63"/>
      <c r="G150" s="58"/>
      <c r="H150" s="58"/>
      <c r="I150" s="57"/>
      <c r="J150" s="57"/>
      <c r="K150" s="58"/>
      <c r="L150" s="64" t="str">
        <f aca="false">IF($A150="","",SUMIFS(Purchases!$E$5:INDEX(Purchases!$E$5:$E$3004,TxRows),Purchases!$D$5:INDEX(Purchases!$D$5:$D$3004,TxRows),$A150))</f>
        <v/>
      </c>
      <c r="M150" s="64" t="str">
        <f aca="false">IF($A150="","",SUMIFS(Sales!$E$5:INDEX(Sales!$E$5:$E$3004,TxRows),Sales!$D$5:INDEX(Sales!$D$5:$D$3004,TxRows),$A150))</f>
        <v/>
      </c>
      <c r="N150" s="64" t="str">
        <f aca="false">IF($A150="","",SUMIFS(Adjustments!$C$5:$C$504,Adjustments!$B$5:$B$504,$A150))</f>
        <v/>
      </c>
      <c r="O150" s="64" t="str">
        <f aca="false">IF($A150="","",N($J150)+L150-M150+N150)</f>
        <v/>
      </c>
      <c r="P150" s="61" t="str">
        <f aca="false">IF($A150="","",IFERROR((N($J150)*N($K150)+SUMIFS(Purchases!$K$5:INDEX(Purchases!$K$5:$K$3004,TxRows),Purchases!$D$5:INDEX(Purchases!$D$5:$D$3004,TxRows),$A150))/(N($J150)+L150),N($G150)))</f>
        <v/>
      </c>
      <c r="Q150" s="61" t="str">
        <f aca="false">IF($A150="","",MAX(0,O150)*P150)</f>
        <v/>
      </c>
      <c r="R150" s="60" t="str">
        <f aca="false">IF($A150="","",IF(O150&lt;0,"NEGATIVE",IF(O150=0,"OUT OF STOCK",IF(O150&lt;=N($I150),"REORDER",IF(AND(O150&gt;0,X150&gt;DeadDays),"DEAD STOCK","OK")))))</f>
        <v/>
      </c>
      <c r="S150" s="65" t="str">
        <f aca="false">IF($A150="","",IF(N($H150)=0,0,(N($H150)-P150)/N($H150)))</f>
        <v/>
      </c>
      <c r="T150" s="64" t="str">
        <f aca="false">IF($A150="","",IF(O150&lt;=N($I150),MAX(0,2*N($I150)-O150),0))</f>
        <v/>
      </c>
      <c r="U150" s="61" t="str">
        <f aca="false">IF($A150="","",SUMIFS(Sales!$L$5:INDEX(Sales!$L$5:$L$3004,TxRows),Sales!$D$5:INDEX(Sales!$D$5:$D$3004,TxRows),$A150))</f>
        <v/>
      </c>
      <c r="V150" s="61" t="str">
        <f aca="false">IF($A150="","",SUMIFS(Sales!$S$5:INDEX(Sales!$S$5:$S$3004,TxRows),Sales!$D$5:INDEX(Sales!$D$5:$D$3004,TxRows),$A150))</f>
        <v/>
      </c>
      <c r="W150" s="66" t="str">
        <f aca="false">IF($A150="","",IFERROR(SUMPRODUCT(MAX((Sales!$D$5:INDEX(Sales!$D$5:$D$3004,TxRows)=$A150)*Sales!$A$5:INDEX(Sales!$A$5:$A$3004,TxRows))),0))</f>
        <v/>
      </c>
      <c r="X150" s="67" t="str">
        <f aca="false">IF($A150="","",IF(W150=0,AsOf-FYStart,AsOf-W150))</f>
        <v/>
      </c>
      <c r="Y150" s="67" t="str">
        <f aca="false">IF($A150="","",IF(M150=0,"",O150/(M150/MAX(1,AsOf-FYStart))))</f>
        <v/>
      </c>
      <c r="Z150" s="60" t="str">
        <f aca="false">IF($A150="","",U150+ROW()/1000000)</f>
        <v/>
      </c>
    </row>
    <row r="151" customFormat="false" ht="15" hidden="false" customHeight="false" outlineLevel="0" collapsed="false">
      <c r="A151" s="56"/>
      <c r="B151" s="56"/>
      <c r="C151" s="56"/>
      <c r="D151" s="56"/>
      <c r="E151" s="56"/>
      <c r="F151" s="63"/>
      <c r="G151" s="58"/>
      <c r="H151" s="58"/>
      <c r="I151" s="57"/>
      <c r="J151" s="57"/>
      <c r="K151" s="58"/>
      <c r="L151" s="64" t="str">
        <f aca="false">IF($A151="","",SUMIFS(Purchases!$E$5:INDEX(Purchases!$E$5:$E$3004,TxRows),Purchases!$D$5:INDEX(Purchases!$D$5:$D$3004,TxRows),$A151))</f>
        <v/>
      </c>
      <c r="M151" s="64" t="str">
        <f aca="false">IF($A151="","",SUMIFS(Sales!$E$5:INDEX(Sales!$E$5:$E$3004,TxRows),Sales!$D$5:INDEX(Sales!$D$5:$D$3004,TxRows),$A151))</f>
        <v/>
      </c>
      <c r="N151" s="64" t="str">
        <f aca="false">IF($A151="","",SUMIFS(Adjustments!$C$5:$C$504,Adjustments!$B$5:$B$504,$A151))</f>
        <v/>
      </c>
      <c r="O151" s="64" t="str">
        <f aca="false">IF($A151="","",N($J151)+L151-M151+N151)</f>
        <v/>
      </c>
      <c r="P151" s="61" t="str">
        <f aca="false">IF($A151="","",IFERROR((N($J151)*N($K151)+SUMIFS(Purchases!$K$5:INDEX(Purchases!$K$5:$K$3004,TxRows),Purchases!$D$5:INDEX(Purchases!$D$5:$D$3004,TxRows),$A151))/(N($J151)+L151),N($G151)))</f>
        <v/>
      </c>
      <c r="Q151" s="61" t="str">
        <f aca="false">IF($A151="","",MAX(0,O151)*P151)</f>
        <v/>
      </c>
      <c r="R151" s="60" t="str">
        <f aca="false">IF($A151="","",IF(O151&lt;0,"NEGATIVE",IF(O151=0,"OUT OF STOCK",IF(O151&lt;=N($I151),"REORDER",IF(AND(O151&gt;0,X151&gt;DeadDays),"DEAD STOCK","OK")))))</f>
        <v/>
      </c>
      <c r="S151" s="65" t="str">
        <f aca="false">IF($A151="","",IF(N($H151)=0,0,(N($H151)-P151)/N($H151)))</f>
        <v/>
      </c>
      <c r="T151" s="64" t="str">
        <f aca="false">IF($A151="","",IF(O151&lt;=N($I151),MAX(0,2*N($I151)-O151),0))</f>
        <v/>
      </c>
      <c r="U151" s="61" t="str">
        <f aca="false">IF($A151="","",SUMIFS(Sales!$L$5:INDEX(Sales!$L$5:$L$3004,TxRows),Sales!$D$5:INDEX(Sales!$D$5:$D$3004,TxRows),$A151))</f>
        <v/>
      </c>
      <c r="V151" s="61" t="str">
        <f aca="false">IF($A151="","",SUMIFS(Sales!$S$5:INDEX(Sales!$S$5:$S$3004,TxRows),Sales!$D$5:INDEX(Sales!$D$5:$D$3004,TxRows),$A151))</f>
        <v/>
      </c>
      <c r="W151" s="66" t="str">
        <f aca="false">IF($A151="","",IFERROR(SUMPRODUCT(MAX((Sales!$D$5:INDEX(Sales!$D$5:$D$3004,TxRows)=$A151)*Sales!$A$5:INDEX(Sales!$A$5:$A$3004,TxRows))),0))</f>
        <v/>
      </c>
      <c r="X151" s="67" t="str">
        <f aca="false">IF($A151="","",IF(W151=0,AsOf-FYStart,AsOf-W151))</f>
        <v/>
      </c>
      <c r="Y151" s="67" t="str">
        <f aca="false">IF($A151="","",IF(M151=0,"",O151/(M151/MAX(1,AsOf-FYStart))))</f>
        <v/>
      </c>
      <c r="Z151" s="60" t="str">
        <f aca="false">IF($A151="","",U151+ROW()/1000000)</f>
        <v/>
      </c>
    </row>
    <row r="152" customFormat="false" ht="15" hidden="false" customHeight="false" outlineLevel="0" collapsed="false">
      <c r="A152" s="56"/>
      <c r="B152" s="56"/>
      <c r="C152" s="56"/>
      <c r="D152" s="56"/>
      <c r="E152" s="56"/>
      <c r="F152" s="63"/>
      <c r="G152" s="58"/>
      <c r="H152" s="58"/>
      <c r="I152" s="57"/>
      <c r="J152" s="57"/>
      <c r="K152" s="58"/>
      <c r="L152" s="64" t="str">
        <f aca="false">IF($A152="","",SUMIFS(Purchases!$E$5:INDEX(Purchases!$E$5:$E$3004,TxRows),Purchases!$D$5:INDEX(Purchases!$D$5:$D$3004,TxRows),$A152))</f>
        <v/>
      </c>
      <c r="M152" s="64" t="str">
        <f aca="false">IF($A152="","",SUMIFS(Sales!$E$5:INDEX(Sales!$E$5:$E$3004,TxRows),Sales!$D$5:INDEX(Sales!$D$5:$D$3004,TxRows),$A152))</f>
        <v/>
      </c>
      <c r="N152" s="64" t="str">
        <f aca="false">IF($A152="","",SUMIFS(Adjustments!$C$5:$C$504,Adjustments!$B$5:$B$504,$A152))</f>
        <v/>
      </c>
      <c r="O152" s="64" t="str">
        <f aca="false">IF($A152="","",N($J152)+L152-M152+N152)</f>
        <v/>
      </c>
      <c r="P152" s="61" t="str">
        <f aca="false">IF($A152="","",IFERROR((N($J152)*N($K152)+SUMIFS(Purchases!$K$5:INDEX(Purchases!$K$5:$K$3004,TxRows),Purchases!$D$5:INDEX(Purchases!$D$5:$D$3004,TxRows),$A152))/(N($J152)+L152),N($G152)))</f>
        <v/>
      </c>
      <c r="Q152" s="61" t="str">
        <f aca="false">IF($A152="","",MAX(0,O152)*P152)</f>
        <v/>
      </c>
      <c r="R152" s="60" t="str">
        <f aca="false">IF($A152="","",IF(O152&lt;0,"NEGATIVE",IF(O152=0,"OUT OF STOCK",IF(O152&lt;=N($I152),"REORDER",IF(AND(O152&gt;0,X152&gt;DeadDays),"DEAD STOCK","OK")))))</f>
        <v/>
      </c>
      <c r="S152" s="65" t="str">
        <f aca="false">IF($A152="","",IF(N($H152)=0,0,(N($H152)-P152)/N($H152)))</f>
        <v/>
      </c>
      <c r="T152" s="64" t="str">
        <f aca="false">IF($A152="","",IF(O152&lt;=N($I152),MAX(0,2*N($I152)-O152),0))</f>
        <v/>
      </c>
      <c r="U152" s="61" t="str">
        <f aca="false">IF($A152="","",SUMIFS(Sales!$L$5:INDEX(Sales!$L$5:$L$3004,TxRows),Sales!$D$5:INDEX(Sales!$D$5:$D$3004,TxRows),$A152))</f>
        <v/>
      </c>
      <c r="V152" s="61" t="str">
        <f aca="false">IF($A152="","",SUMIFS(Sales!$S$5:INDEX(Sales!$S$5:$S$3004,TxRows),Sales!$D$5:INDEX(Sales!$D$5:$D$3004,TxRows),$A152))</f>
        <v/>
      </c>
      <c r="W152" s="66" t="str">
        <f aca="false">IF($A152="","",IFERROR(SUMPRODUCT(MAX((Sales!$D$5:INDEX(Sales!$D$5:$D$3004,TxRows)=$A152)*Sales!$A$5:INDEX(Sales!$A$5:$A$3004,TxRows))),0))</f>
        <v/>
      </c>
      <c r="X152" s="67" t="str">
        <f aca="false">IF($A152="","",IF(W152=0,AsOf-FYStart,AsOf-W152))</f>
        <v/>
      </c>
      <c r="Y152" s="67" t="str">
        <f aca="false">IF($A152="","",IF(M152=0,"",O152/(M152/MAX(1,AsOf-FYStart))))</f>
        <v/>
      </c>
      <c r="Z152" s="60" t="str">
        <f aca="false">IF($A152="","",U152+ROW()/1000000)</f>
        <v/>
      </c>
    </row>
    <row r="153" customFormat="false" ht="15" hidden="false" customHeight="false" outlineLevel="0" collapsed="false">
      <c r="A153" s="56"/>
      <c r="B153" s="56"/>
      <c r="C153" s="56"/>
      <c r="D153" s="56"/>
      <c r="E153" s="56"/>
      <c r="F153" s="63"/>
      <c r="G153" s="58"/>
      <c r="H153" s="58"/>
      <c r="I153" s="57"/>
      <c r="J153" s="57"/>
      <c r="K153" s="58"/>
      <c r="L153" s="64" t="str">
        <f aca="false">IF($A153="","",SUMIFS(Purchases!$E$5:INDEX(Purchases!$E$5:$E$3004,TxRows),Purchases!$D$5:INDEX(Purchases!$D$5:$D$3004,TxRows),$A153))</f>
        <v/>
      </c>
      <c r="M153" s="64" t="str">
        <f aca="false">IF($A153="","",SUMIFS(Sales!$E$5:INDEX(Sales!$E$5:$E$3004,TxRows),Sales!$D$5:INDEX(Sales!$D$5:$D$3004,TxRows),$A153))</f>
        <v/>
      </c>
      <c r="N153" s="64" t="str">
        <f aca="false">IF($A153="","",SUMIFS(Adjustments!$C$5:$C$504,Adjustments!$B$5:$B$504,$A153))</f>
        <v/>
      </c>
      <c r="O153" s="64" t="str">
        <f aca="false">IF($A153="","",N($J153)+L153-M153+N153)</f>
        <v/>
      </c>
      <c r="P153" s="61" t="str">
        <f aca="false">IF($A153="","",IFERROR((N($J153)*N($K153)+SUMIFS(Purchases!$K$5:INDEX(Purchases!$K$5:$K$3004,TxRows),Purchases!$D$5:INDEX(Purchases!$D$5:$D$3004,TxRows),$A153))/(N($J153)+L153),N($G153)))</f>
        <v/>
      </c>
      <c r="Q153" s="61" t="str">
        <f aca="false">IF($A153="","",MAX(0,O153)*P153)</f>
        <v/>
      </c>
      <c r="R153" s="60" t="str">
        <f aca="false">IF($A153="","",IF(O153&lt;0,"NEGATIVE",IF(O153=0,"OUT OF STOCK",IF(O153&lt;=N($I153),"REORDER",IF(AND(O153&gt;0,X153&gt;DeadDays),"DEAD STOCK","OK")))))</f>
        <v/>
      </c>
      <c r="S153" s="65" t="str">
        <f aca="false">IF($A153="","",IF(N($H153)=0,0,(N($H153)-P153)/N($H153)))</f>
        <v/>
      </c>
      <c r="T153" s="64" t="str">
        <f aca="false">IF($A153="","",IF(O153&lt;=N($I153),MAX(0,2*N($I153)-O153),0))</f>
        <v/>
      </c>
      <c r="U153" s="61" t="str">
        <f aca="false">IF($A153="","",SUMIFS(Sales!$L$5:INDEX(Sales!$L$5:$L$3004,TxRows),Sales!$D$5:INDEX(Sales!$D$5:$D$3004,TxRows),$A153))</f>
        <v/>
      </c>
      <c r="V153" s="61" t="str">
        <f aca="false">IF($A153="","",SUMIFS(Sales!$S$5:INDEX(Sales!$S$5:$S$3004,TxRows),Sales!$D$5:INDEX(Sales!$D$5:$D$3004,TxRows),$A153))</f>
        <v/>
      </c>
      <c r="W153" s="66" t="str">
        <f aca="false">IF($A153="","",IFERROR(SUMPRODUCT(MAX((Sales!$D$5:INDEX(Sales!$D$5:$D$3004,TxRows)=$A153)*Sales!$A$5:INDEX(Sales!$A$5:$A$3004,TxRows))),0))</f>
        <v/>
      </c>
      <c r="X153" s="67" t="str">
        <f aca="false">IF($A153="","",IF(W153=0,AsOf-FYStart,AsOf-W153))</f>
        <v/>
      </c>
      <c r="Y153" s="67" t="str">
        <f aca="false">IF($A153="","",IF(M153=0,"",O153/(M153/MAX(1,AsOf-FYStart))))</f>
        <v/>
      </c>
      <c r="Z153" s="60" t="str">
        <f aca="false">IF($A153="","",U153+ROW()/1000000)</f>
        <v/>
      </c>
    </row>
    <row r="154" customFormat="false" ht="15" hidden="false" customHeight="false" outlineLevel="0" collapsed="false">
      <c r="A154" s="56"/>
      <c r="B154" s="56"/>
      <c r="C154" s="56"/>
      <c r="D154" s="56"/>
      <c r="E154" s="56"/>
      <c r="F154" s="63"/>
      <c r="G154" s="58"/>
      <c r="H154" s="58"/>
      <c r="I154" s="57"/>
      <c r="J154" s="57"/>
      <c r="K154" s="58"/>
      <c r="L154" s="64" t="str">
        <f aca="false">IF($A154="","",SUMIFS(Purchases!$E$5:INDEX(Purchases!$E$5:$E$3004,TxRows),Purchases!$D$5:INDEX(Purchases!$D$5:$D$3004,TxRows),$A154))</f>
        <v/>
      </c>
      <c r="M154" s="64" t="str">
        <f aca="false">IF($A154="","",SUMIFS(Sales!$E$5:INDEX(Sales!$E$5:$E$3004,TxRows),Sales!$D$5:INDEX(Sales!$D$5:$D$3004,TxRows),$A154))</f>
        <v/>
      </c>
      <c r="N154" s="64" t="str">
        <f aca="false">IF($A154="","",SUMIFS(Adjustments!$C$5:$C$504,Adjustments!$B$5:$B$504,$A154))</f>
        <v/>
      </c>
      <c r="O154" s="64" t="str">
        <f aca="false">IF($A154="","",N($J154)+L154-M154+N154)</f>
        <v/>
      </c>
      <c r="P154" s="61" t="str">
        <f aca="false">IF($A154="","",IFERROR((N($J154)*N($K154)+SUMIFS(Purchases!$K$5:INDEX(Purchases!$K$5:$K$3004,TxRows),Purchases!$D$5:INDEX(Purchases!$D$5:$D$3004,TxRows),$A154))/(N($J154)+L154),N($G154)))</f>
        <v/>
      </c>
      <c r="Q154" s="61" t="str">
        <f aca="false">IF($A154="","",MAX(0,O154)*P154)</f>
        <v/>
      </c>
      <c r="R154" s="60" t="str">
        <f aca="false">IF($A154="","",IF(O154&lt;0,"NEGATIVE",IF(O154=0,"OUT OF STOCK",IF(O154&lt;=N($I154),"REORDER",IF(AND(O154&gt;0,X154&gt;DeadDays),"DEAD STOCK","OK")))))</f>
        <v/>
      </c>
      <c r="S154" s="65" t="str">
        <f aca="false">IF($A154="","",IF(N($H154)=0,0,(N($H154)-P154)/N($H154)))</f>
        <v/>
      </c>
      <c r="T154" s="64" t="str">
        <f aca="false">IF($A154="","",IF(O154&lt;=N($I154),MAX(0,2*N($I154)-O154),0))</f>
        <v/>
      </c>
      <c r="U154" s="61" t="str">
        <f aca="false">IF($A154="","",SUMIFS(Sales!$L$5:INDEX(Sales!$L$5:$L$3004,TxRows),Sales!$D$5:INDEX(Sales!$D$5:$D$3004,TxRows),$A154))</f>
        <v/>
      </c>
      <c r="V154" s="61" t="str">
        <f aca="false">IF($A154="","",SUMIFS(Sales!$S$5:INDEX(Sales!$S$5:$S$3004,TxRows),Sales!$D$5:INDEX(Sales!$D$5:$D$3004,TxRows),$A154))</f>
        <v/>
      </c>
      <c r="W154" s="66" t="str">
        <f aca="false">IF($A154="","",IFERROR(SUMPRODUCT(MAX((Sales!$D$5:INDEX(Sales!$D$5:$D$3004,TxRows)=$A154)*Sales!$A$5:INDEX(Sales!$A$5:$A$3004,TxRows))),0))</f>
        <v/>
      </c>
      <c r="X154" s="67" t="str">
        <f aca="false">IF($A154="","",IF(W154=0,AsOf-FYStart,AsOf-W154))</f>
        <v/>
      </c>
      <c r="Y154" s="67" t="str">
        <f aca="false">IF($A154="","",IF(M154=0,"",O154/(M154/MAX(1,AsOf-FYStart))))</f>
        <v/>
      </c>
      <c r="Z154" s="60" t="str">
        <f aca="false">IF($A154="","",U154+ROW()/1000000)</f>
        <v/>
      </c>
    </row>
    <row r="155" customFormat="false" ht="15" hidden="false" customHeight="false" outlineLevel="0" collapsed="false">
      <c r="A155" s="56"/>
      <c r="B155" s="56"/>
      <c r="C155" s="56"/>
      <c r="D155" s="56"/>
      <c r="E155" s="56"/>
      <c r="F155" s="63"/>
      <c r="G155" s="58"/>
      <c r="H155" s="58"/>
      <c r="I155" s="57"/>
      <c r="J155" s="57"/>
      <c r="K155" s="58"/>
      <c r="L155" s="64" t="str">
        <f aca="false">IF($A155="","",SUMIFS(Purchases!$E$5:INDEX(Purchases!$E$5:$E$3004,TxRows),Purchases!$D$5:INDEX(Purchases!$D$5:$D$3004,TxRows),$A155))</f>
        <v/>
      </c>
      <c r="M155" s="64" t="str">
        <f aca="false">IF($A155="","",SUMIFS(Sales!$E$5:INDEX(Sales!$E$5:$E$3004,TxRows),Sales!$D$5:INDEX(Sales!$D$5:$D$3004,TxRows),$A155))</f>
        <v/>
      </c>
      <c r="N155" s="64" t="str">
        <f aca="false">IF($A155="","",SUMIFS(Adjustments!$C$5:$C$504,Adjustments!$B$5:$B$504,$A155))</f>
        <v/>
      </c>
      <c r="O155" s="64" t="str">
        <f aca="false">IF($A155="","",N($J155)+L155-M155+N155)</f>
        <v/>
      </c>
      <c r="P155" s="61" t="str">
        <f aca="false">IF($A155="","",IFERROR((N($J155)*N($K155)+SUMIFS(Purchases!$K$5:INDEX(Purchases!$K$5:$K$3004,TxRows),Purchases!$D$5:INDEX(Purchases!$D$5:$D$3004,TxRows),$A155))/(N($J155)+L155),N($G155)))</f>
        <v/>
      </c>
      <c r="Q155" s="61" t="str">
        <f aca="false">IF($A155="","",MAX(0,O155)*P155)</f>
        <v/>
      </c>
      <c r="R155" s="60" t="str">
        <f aca="false">IF($A155="","",IF(O155&lt;0,"NEGATIVE",IF(O155=0,"OUT OF STOCK",IF(O155&lt;=N($I155),"REORDER",IF(AND(O155&gt;0,X155&gt;DeadDays),"DEAD STOCK","OK")))))</f>
        <v/>
      </c>
      <c r="S155" s="65" t="str">
        <f aca="false">IF($A155="","",IF(N($H155)=0,0,(N($H155)-P155)/N($H155)))</f>
        <v/>
      </c>
      <c r="T155" s="64" t="str">
        <f aca="false">IF($A155="","",IF(O155&lt;=N($I155),MAX(0,2*N($I155)-O155),0))</f>
        <v/>
      </c>
      <c r="U155" s="61" t="str">
        <f aca="false">IF($A155="","",SUMIFS(Sales!$L$5:INDEX(Sales!$L$5:$L$3004,TxRows),Sales!$D$5:INDEX(Sales!$D$5:$D$3004,TxRows),$A155))</f>
        <v/>
      </c>
      <c r="V155" s="61" t="str">
        <f aca="false">IF($A155="","",SUMIFS(Sales!$S$5:INDEX(Sales!$S$5:$S$3004,TxRows),Sales!$D$5:INDEX(Sales!$D$5:$D$3004,TxRows),$A155))</f>
        <v/>
      </c>
      <c r="W155" s="66" t="str">
        <f aca="false">IF($A155="","",IFERROR(SUMPRODUCT(MAX((Sales!$D$5:INDEX(Sales!$D$5:$D$3004,TxRows)=$A155)*Sales!$A$5:INDEX(Sales!$A$5:$A$3004,TxRows))),0))</f>
        <v/>
      </c>
      <c r="X155" s="67" t="str">
        <f aca="false">IF($A155="","",IF(W155=0,AsOf-FYStart,AsOf-W155))</f>
        <v/>
      </c>
      <c r="Y155" s="67" t="str">
        <f aca="false">IF($A155="","",IF(M155=0,"",O155/(M155/MAX(1,AsOf-FYStart))))</f>
        <v/>
      </c>
      <c r="Z155" s="60" t="str">
        <f aca="false">IF($A155="","",U155+ROW()/1000000)</f>
        <v/>
      </c>
    </row>
    <row r="156" customFormat="false" ht="15" hidden="false" customHeight="false" outlineLevel="0" collapsed="false">
      <c r="A156" s="56"/>
      <c r="B156" s="56"/>
      <c r="C156" s="56"/>
      <c r="D156" s="56"/>
      <c r="E156" s="56"/>
      <c r="F156" s="63"/>
      <c r="G156" s="58"/>
      <c r="H156" s="58"/>
      <c r="I156" s="57"/>
      <c r="J156" s="57"/>
      <c r="K156" s="58"/>
      <c r="L156" s="64" t="str">
        <f aca="false">IF($A156="","",SUMIFS(Purchases!$E$5:INDEX(Purchases!$E$5:$E$3004,TxRows),Purchases!$D$5:INDEX(Purchases!$D$5:$D$3004,TxRows),$A156))</f>
        <v/>
      </c>
      <c r="M156" s="64" t="str">
        <f aca="false">IF($A156="","",SUMIFS(Sales!$E$5:INDEX(Sales!$E$5:$E$3004,TxRows),Sales!$D$5:INDEX(Sales!$D$5:$D$3004,TxRows),$A156))</f>
        <v/>
      </c>
      <c r="N156" s="64" t="str">
        <f aca="false">IF($A156="","",SUMIFS(Adjustments!$C$5:$C$504,Adjustments!$B$5:$B$504,$A156))</f>
        <v/>
      </c>
      <c r="O156" s="64" t="str">
        <f aca="false">IF($A156="","",N($J156)+L156-M156+N156)</f>
        <v/>
      </c>
      <c r="P156" s="61" t="str">
        <f aca="false">IF($A156="","",IFERROR((N($J156)*N($K156)+SUMIFS(Purchases!$K$5:INDEX(Purchases!$K$5:$K$3004,TxRows),Purchases!$D$5:INDEX(Purchases!$D$5:$D$3004,TxRows),$A156))/(N($J156)+L156),N($G156)))</f>
        <v/>
      </c>
      <c r="Q156" s="61" t="str">
        <f aca="false">IF($A156="","",MAX(0,O156)*P156)</f>
        <v/>
      </c>
      <c r="R156" s="60" t="str">
        <f aca="false">IF($A156="","",IF(O156&lt;0,"NEGATIVE",IF(O156=0,"OUT OF STOCK",IF(O156&lt;=N($I156),"REORDER",IF(AND(O156&gt;0,X156&gt;DeadDays),"DEAD STOCK","OK")))))</f>
        <v/>
      </c>
      <c r="S156" s="65" t="str">
        <f aca="false">IF($A156="","",IF(N($H156)=0,0,(N($H156)-P156)/N($H156)))</f>
        <v/>
      </c>
      <c r="T156" s="64" t="str">
        <f aca="false">IF($A156="","",IF(O156&lt;=N($I156),MAX(0,2*N($I156)-O156),0))</f>
        <v/>
      </c>
      <c r="U156" s="61" t="str">
        <f aca="false">IF($A156="","",SUMIFS(Sales!$L$5:INDEX(Sales!$L$5:$L$3004,TxRows),Sales!$D$5:INDEX(Sales!$D$5:$D$3004,TxRows),$A156))</f>
        <v/>
      </c>
      <c r="V156" s="61" t="str">
        <f aca="false">IF($A156="","",SUMIFS(Sales!$S$5:INDEX(Sales!$S$5:$S$3004,TxRows),Sales!$D$5:INDEX(Sales!$D$5:$D$3004,TxRows),$A156))</f>
        <v/>
      </c>
      <c r="W156" s="66" t="str">
        <f aca="false">IF($A156="","",IFERROR(SUMPRODUCT(MAX((Sales!$D$5:INDEX(Sales!$D$5:$D$3004,TxRows)=$A156)*Sales!$A$5:INDEX(Sales!$A$5:$A$3004,TxRows))),0))</f>
        <v/>
      </c>
      <c r="X156" s="67" t="str">
        <f aca="false">IF($A156="","",IF(W156=0,AsOf-FYStart,AsOf-W156))</f>
        <v/>
      </c>
      <c r="Y156" s="67" t="str">
        <f aca="false">IF($A156="","",IF(M156=0,"",O156/(M156/MAX(1,AsOf-FYStart))))</f>
        <v/>
      </c>
      <c r="Z156" s="60" t="str">
        <f aca="false">IF($A156="","",U156+ROW()/1000000)</f>
        <v/>
      </c>
    </row>
    <row r="157" customFormat="false" ht="15" hidden="false" customHeight="false" outlineLevel="0" collapsed="false">
      <c r="A157" s="56"/>
      <c r="B157" s="56"/>
      <c r="C157" s="56"/>
      <c r="D157" s="56"/>
      <c r="E157" s="56"/>
      <c r="F157" s="63"/>
      <c r="G157" s="58"/>
      <c r="H157" s="58"/>
      <c r="I157" s="57"/>
      <c r="J157" s="57"/>
      <c r="K157" s="58"/>
      <c r="L157" s="64" t="str">
        <f aca="false">IF($A157="","",SUMIFS(Purchases!$E$5:INDEX(Purchases!$E$5:$E$3004,TxRows),Purchases!$D$5:INDEX(Purchases!$D$5:$D$3004,TxRows),$A157))</f>
        <v/>
      </c>
      <c r="M157" s="64" t="str">
        <f aca="false">IF($A157="","",SUMIFS(Sales!$E$5:INDEX(Sales!$E$5:$E$3004,TxRows),Sales!$D$5:INDEX(Sales!$D$5:$D$3004,TxRows),$A157))</f>
        <v/>
      </c>
      <c r="N157" s="64" t="str">
        <f aca="false">IF($A157="","",SUMIFS(Adjustments!$C$5:$C$504,Adjustments!$B$5:$B$504,$A157))</f>
        <v/>
      </c>
      <c r="O157" s="64" t="str">
        <f aca="false">IF($A157="","",N($J157)+L157-M157+N157)</f>
        <v/>
      </c>
      <c r="P157" s="61" t="str">
        <f aca="false">IF($A157="","",IFERROR((N($J157)*N($K157)+SUMIFS(Purchases!$K$5:INDEX(Purchases!$K$5:$K$3004,TxRows),Purchases!$D$5:INDEX(Purchases!$D$5:$D$3004,TxRows),$A157))/(N($J157)+L157),N($G157)))</f>
        <v/>
      </c>
      <c r="Q157" s="61" t="str">
        <f aca="false">IF($A157="","",MAX(0,O157)*P157)</f>
        <v/>
      </c>
      <c r="R157" s="60" t="str">
        <f aca="false">IF($A157="","",IF(O157&lt;0,"NEGATIVE",IF(O157=0,"OUT OF STOCK",IF(O157&lt;=N($I157),"REORDER",IF(AND(O157&gt;0,X157&gt;DeadDays),"DEAD STOCK","OK")))))</f>
        <v/>
      </c>
      <c r="S157" s="65" t="str">
        <f aca="false">IF($A157="","",IF(N($H157)=0,0,(N($H157)-P157)/N($H157)))</f>
        <v/>
      </c>
      <c r="T157" s="64" t="str">
        <f aca="false">IF($A157="","",IF(O157&lt;=N($I157),MAX(0,2*N($I157)-O157),0))</f>
        <v/>
      </c>
      <c r="U157" s="61" t="str">
        <f aca="false">IF($A157="","",SUMIFS(Sales!$L$5:INDEX(Sales!$L$5:$L$3004,TxRows),Sales!$D$5:INDEX(Sales!$D$5:$D$3004,TxRows),$A157))</f>
        <v/>
      </c>
      <c r="V157" s="61" t="str">
        <f aca="false">IF($A157="","",SUMIFS(Sales!$S$5:INDEX(Sales!$S$5:$S$3004,TxRows),Sales!$D$5:INDEX(Sales!$D$5:$D$3004,TxRows),$A157))</f>
        <v/>
      </c>
      <c r="W157" s="66" t="str">
        <f aca="false">IF($A157="","",IFERROR(SUMPRODUCT(MAX((Sales!$D$5:INDEX(Sales!$D$5:$D$3004,TxRows)=$A157)*Sales!$A$5:INDEX(Sales!$A$5:$A$3004,TxRows))),0))</f>
        <v/>
      </c>
      <c r="X157" s="67" t="str">
        <f aca="false">IF($A157="","",IF(W157=0,AsOf-FYStart,AsOf-W157))</f>
        <v/>
      </c>
      <c r="Y157" s="67" t="str">
        <f aca="false">IF($A157="","",IF(M157=0,"",O157/(M157/MAX(1,AsOf-FYStart))))</f>
        <v/>
      </c>
      <c r="Z157" s="60" t="str">
        <f aca="false">IF($A157="","",U157+ROW()/1000000)</f>
        <v/>
      </c>
    </row>
    <row r="158" customFormat="false" ht="15" hidden="false" customHeight="false" outlineLevel="0" collapsed="false">
      <c r="A158" s="56"/>
      <c r="B158" s="56"/>
      <c r="C158" s="56"/>
      <c r="D158" s="56"/>
      <c r="E158" s="56"/>
      <c r="F158" s="63"/>
      <c r="G158" s="58"/>
      <c r="H158" s="58"/>
      <c r="I158" s="57"/>
      <c r="J158" s="57"/>
      <c r="K158" s="58"/>
      <c r="L158" s="64" t="str">
        <f aca="false">IF($A158="","",SUMIFS(Purchases!$E$5:INDEX(Purchases!$E$5:$E$3004,TxRows),Purchases!$D$5:INDEX(Purchases!$D$5:$D$3004,TxRows),$A158))</f>
        <v/>
      </c>
      <c r="M158" s="64" t="str">
        <f aca="false">IF($A158="","",SUMIFS(Sales!$E$5:INDEX(Sales!$E$5:$E$3004,TxRows),Sales!$D$5:INDEX(Sales!$D$5:$D$3004,TxRows),$A158))</f>
        <v/>
      </c>
      <c r="N158" s="64" t="str">
        <f aca="false">IF($A158="","",SUMIFS(Adjustments!$C$5:$C$504,Adjustments!$B$5:$B$504,$A158))</f>
        <v/>
      </c>
      <c r="O158" s="64" t="str">
        <f aca="false">IF($A158="","",N($J158)+L158-M158+N158)</f>
        <v/>
      </c>
      <c r="P158" s="61" t="str">
        <f aca="false">IF($A158="","",IFERROR((N($J158)*N($K158)+SUMIFS(Purchases!$K$5:INDEX(Purchases!$K$5:$K$3004,TxRows),Purchases!$D$5:INDEX(Purchases!$D$5:$D$3004,TxRows),$A158))/(N($J158)+L158),N($G158)))</f>
        <v/>
      </c>
      <c r="Q158" s="61" t="str">
        <f aca="false">IF($A158="","",MAX(0,O158)*P158)</f>
        <v/>
      </c>
      <c r="R158" s="60" t="str">
        <f aca="false">IF($A158="","",IF(O158&lt;0,"NEGATIVE",IF(O158=0,"OUT OF STOCK",IF(O158&lt;=N($I158),"REORDER",IF(AND(O158&gt;0,X158&gt;DeadDays),"DEAD STOCK","OK")))))</f>
        <v/>
      </c>
      <c r="S158" s="65" t="str">
        <f aca="false">IF($A158="","",IF(N($H158)=0,0,(N($H158)-P158)/N($H158)))</f>
        <v/>
      </c>
      <c r="T158" s="64" t="str">
        <f aca="false">IF($A158="","",IF(O158&lt;=N($I158),MAX(0,2*N($I158)-O158),0))</f>
        <v/>
      </c>
      <c r="U158" s="61" t="str">
        <f aca="false">IF($A158="","",SUMIFS(Sales!$L$5:INDEX(Sales!$L$5:$L$3004,TxRows),Sales!$D$5:INDEX(Sales!$D$5:$D$3004,TxRows),$A158))</f>
        <v/>
      </c>
      <c r="V158" s="61" t="str">
        <f aca="false">IF($A158="","",SUMIFS(Sales!$S$5:INDEX(Sales!$S$5:$S$3004,TxRows),Sales!$D$5:INDEX(Sales!$D$5:$D$3004,TxRows),$A158))</f>
        <v/>
      </c>
      <c r="W158" s="66" t="str">
        <f aca="false">IF($A158="","",IFERROR(SUMPRODUCT(MAX((Sales!$D$5:INDEX(Sales!$D$5:$D$3004,TxRows)=$A158)*Sales!$A$5:INDEX(Sales!$A$5:$A$3004,TxRows))),0))</f>
        <v/>
      </c>
      <c r="X158" s="67" t="str">
        <f aca="false">IF($A158="","",IF(W158=0,AsOf-FYStart,AsOf-W158))</f>
        <v/>
      </c>
      <c r="Y158" s="67" t="str">
        <f aca="false">IF($A158="","",IF(M158=0,"",O158/(M158/MAX(1,AsOf-FYStart))))</f>
        <v/>
      </c>
      <c r="Z158" s="60" t="str">
        <f aca="false">IF($A158="","",U158+ROW()/1000000)</f>
        <v/>
      </c>
    </row>
    <row r="159" customFormat="false" ht="15" hidden="false" customHeight="false" outlineLevel="0" collapsed="false">
      <c r="A159" s="56"/>
      <c r="B159" s="56"/>
      <c r="C159" s="56"/>
      <c r="D159" s="56"/>
      <c r="E159" s="56"/>
      <c r="F159" s="63"/>
      <c r="G159" s="58"/>
      <c r="H159" s="58"/>
      <c r="I159" s="57"/>
      <c r="J159" s="57"/>
      <c r="K159" s="58"/>
      <c r="L159" s="64" t="str">
        <f aca="false">IF($A159="","",SUMIFS(Purchases!$E$5:INDEX(Purchases!$E$5:$E$3004,TxRows),Purchases!$D$5:INDEX(Purchases!$D$5:$D$3004,TxRows),$A159))</f>
        <v/>
      </c>
      <c r="M159" s="64" t="str">
        <f aca="false">IF($A159="","",SUMIFS(Sales!$E$5:INDEX(Sales!$E$5:$E$3004,TxRows),Sales!$D$5:INDEX(Sales!$D$5:$D$3004,TxRows),$A159))</f>
        <v/>
      </c>
      <c r="N159" s="64" t="str">
        <f aca="false">IF($A159="","",SUMIFS(Adjustments!$C$5:$C$504,Adjustments!$B$5:$B$504,$A159))</f>
        <v/>
      </c>
      <c r="O159" s="64" t="str">
        <f aca="false">IF($A159="","",N($J159)+L159-M159+N159)</f>
        <v/>
      </c>
      <c r="P159" s="61" t="str">
        <f aca="false">IF($A159="","",IFERROR((N($J159)*N($K159)+SUMIFS(Purchases!$K$5:INDEX(Purchases!$K$5:$K$3004,TxRows),Purchases!$D$5:INDEX(Purchases!$D$5:$D$3004,TxRows),$A159))/(N($J159)+L159),N($G159)))</f>
        <v/>
      </c>
      <c r="Q159" s="61" t="str">
        <f aca="false">IF($A159="","",MAX(0,O159)*P159)</f>
        <v/>
      </c>
      <c r="R159" s="60" t="str">
        <f aca="false">IF($A159="","",IF(O159&lt;0,"NEGATIVE",IF(O159=0,"OUT OF STOCK",IF(O159&lt;=N($I159),"REORDER",IF(AND(O159&gt;0,X159&gt;DeadDays),"DEAD STOCK","OK")))))</f>
        <v/>
      </c>
      <c r="S159" s="65" t="str">
        <f aca="false">IF($A159="","",IF(N($H159)=0,0,(N($H159)-P159)/N($H159)))</f>
        <v/>
      </c>
      <c r="T159" s="64" t="str">
        <f aca="false">IF($A159="","",IF(O159&lt;=N($I159),MAX(0,2*N($I159)-O159),0))</f>
        <v/>
      </c>
      <c r="U159" s="61" t="str">
        <f aca="false">IF($A159="","",SUMIFS(Sales!$L$5:INDEX(Sales!$L$5:$L$3004,TxRows),Sales!$D$5:INDEX(Sales!$D$5:$D$3004,TxRows),$A159))</f>
        <v/>
      </c>
      <c r="V159" s="61" t="str">
        <f aca="false">IF($A159="","",SUMIFS(Sales!$S$5:INDEX(Sales!$S$5:$S$3004,TxRows),Sales!$D$5:INDEX(Sales!$D$5:$D$3004,TxRows),$A159))</f>
        <v/>
      </c>
      <c r="W159" s="66" t="str">
        <f aca="false">IF($A159="","",IFERROR(SUMPRODUCT(MAX((Sales!$D$5:INDEX(Sales!$D$5:$D$3004,TxRows)=$A159)*Sales!$A$5:INDEX(Sales!$A$5:$A$3004,TxRows))),0))</f>
        <v/>
      </c>
      <c r="X159" s="67" t="str">
        <f aca="false">IF($A159="","",IF(W159=0,AsOf-FYStart,AsOf-W159))</f>
        <v/>
      </c>
      <c r="Y159" s="67" t="str">
        <f aca="false">IF($A159="","",IF(M159=0,"",O159/(M159/MAX(1,AsOf-FYStart))))</f>
        <v/>
      </c>
      <c r="Z159" s="60" t="str">
        <f aca="false">IF($A159="","",U159+ROW()/1000000)</f>
        <v/>
      </c>
    </row>
    <row r="160" customFormat="false" ht="15" hidden="false" customHeight="false" outlineLevel="0" collapsed="false">
      <c r="A160" s="56"/>
      <c r="B160" s="56"/>
      <c r="C160" s="56"/>
      <c r="D160" s="56"/>
      <c r="E160" s="56"/>
      <c r="F160" s="63"/>
      <c r="G160" s="58"/>
      <c r="H160" s="58"/>
      <c r="I160" s="57"/>
      <c r="J160" s="57"/>
      <c r="K160" s="58"/>
      <c r="L160" s="64" t="str">
        <f aca="false">IF($A160="","",SUMIFS(Purchases!$E$5:INDEX(Purchases!$E$5:$E$3004,TxRows),Purchases!$D$5:INDEX(Purchases!$D$5:$D$3004,TxRows),$A160))</f>
        <v/>
      </c>
      <c r="M160" s="64" t="str">
        <f aca="false">IF($A160="","",SUMIFS(Sales!$E$5:INDEX(Sales!$E$5:$E$3004,TxRows),Sales!$D$5:INDEX(Sales!$D$5:$D$3004,TxRows),$A160))</f>
        <v/>
      </c>
      <c r="N160" s="64" t="str">
        <f aca="false">IF($A160="","",SUMIFS(Adjustments!$C$5:$C$504,Adjustments!$B$5:$B$504,$A160))</f>
        <v/>
      </c>
      <c r="O160" s="64" t="str">
        <f aca="false">IF($A160="","",N($J160)+L160-M160+N160)</f>
        <v/>
      </c>
      <c r="P160" s="61" t="str">
        <f aca="false">IF($A160="","",IFERROR((N($J160)*N($K160)+SUMIFS(Purchases!$K$5:INDEX(Purchases!$K$5:$K$3004,TxRows),Purchases!$D$5:INDEX(Purchases!$D$5:$D$3004,TxRows),$A160))/(N($J160)+L160),N($G160)))</f>
        <v/>
      </c>
      <c r="Q160" s="61" t="str">
        <f aca="false">IF($A160="","",MAX(0,O160)*P160)</f>
        <v/>
      </c>
      <c r="R160" s="60" t="str">
        <f aca="false">IF($A160="","",IF(O160&lt;0,"NEGATIVE",IF(O160=0,"OUT OF STOCK",IF(O160&lt;=N($I160),"REORDER",IF(AND(O160&gt;0,X160&gt;DeadDays),"DEAD STOCK","OK")))))</f>
        <v/>
      </c>
      <c r="S160" s="65" t="str">
        <f aca="false">IF($A160="","",IF(N($H160)=0,0,(N($H160)-P160)/N($H160)))</f>
        <v/>
      </c>
      <c r="T160" s="64" t="str">
        <f aca="false">IF($A160="","",IF(O160&lt;=N($I160),MAX(0,2*N($I160)-O160),0))</f>
        <v/>
      </c>
      <c r="U160" s="61" t="str">
        <f aca="false">IF($A160="","",SUMIFS(Sales!$L$5:INDEX(Sales!$L$5:$L$3004,TxRows),Sales!$D$5:INDEX(Sales!$D$5:$D$3004,TxRows),$A160))</f>
        <v/>
      </c>
      <c r="V160" s="61" t="str">
        <f aca="false">IF($A160="","",SUMIFS(Sales!$S$5:INDEX(Sales!$S$5:$S$3004,TxRows),Sales!$D$5:INDEX(Sales!$D$5:$D$3004,TxRows),$A160))</f>
        <v/>
      </c>
      <c r="W160" s="66" t="str">
        <f aca="false">IF($A160="","",IFERROR(SUMPRODUCT(MAX((Sales!$D$5:INDEX(Sales!$D$5:$D$3004,TxRows)=$A160)*Sales!$A$5:INDEX(Sales!$A$5:$A$3004,TxRows))),0))</f>
        <v/>
      </c>
      <c r="X160" s="67" t="str">
        <f aca="false">IF($A160="","",IF(W160=0,AsOf-FYStart,AsOf-W160))</f>
        <v/>
      </c>
      <c r="Y160" s="67" t="str">
        <f aca="false">IF($A160="","",IF(M160=0,"",O160/(M160/MAX(1,AsOf-FYStart))))</f>
        <v/>
      </c>
      <c r="Z160" s="60" t="str">
        <f aca="false">IF($A160="","",U160+ROW()/1000000)</f>
        <v/>
      </c>
    </row>
    <row r="161" customFormat="false" ht="15" hidden="false" customHeight="false" outlineLevel="0" collapsed="false">
      <c r="A161" s="56"/>
      <c r="B161" s="56"/>
      <c r="C161" s="56"/>
      <c r="D161" s="56"/>
      <c r="E161" s="56"/>
      <c r="F161" s="63"/>
      <c r="G161" s="58"/>
      <c r="H161" s="58"/>
      <c r="I161" s="57"/>
      <c r="J161" s="57"/>
      <c r="K161" s="58"/>
      <c r="L161" s="64" t="str">
        <f aca="false">IF($A161="","",SUMIFS(Purchases!$E$5:INDEX(Purchases!$E$5:$E$3004,TxRows),Purchases!$D$5:INDEX(Purchases!$D$5:$D$3004,TxRows),$A161))</f>
        <v/>
      </c>
      <c r="M161" s="64" t="str">
        <f aca="false">IF($A161="","",SUMIFS(Sales!$E$5:INDEX(Sales!$E$5:$E$3004,TxRows),Sales!$D$5:INDEX(Sales!$D$5:$D$3004,TxRows),$A161))</f>
        <v/>
      </c>
      <c r="N161" s="64" t="str">
        <f aca="false">IF($A161="","",SUMIFS(Adjustments!$C$5:$C$504,Adjustments!$B$5:$B$504,$A161))</f>
        <v/>
      </c>
      <c r="O161" s="64" t="str">
        <f aca="false">IF($A161="","",N($J161)+L161-M161+N161)</f>
        <v/>
      </c>
      <c r="P161" s="61" t="str">
        <f aca="false">IF($A161="","",IFERROR((N($J161)*N($K161)+SUMIFS(Purchases!$K$5:INDEX(Purchases!$K$5:$K$3004,TxRows),Purchases!$D$5:INDEX(Purchases!$D$5:$D$3004,TxRows),$A161))/(N($J161)+L161),N($G161)))</f>
        <v/>
      </c>
      <c r="Q161" s="61" t="str">
        <f aca="false">IF($A161="","",MAX(0,O161)*P161)</f>
        <v/>
      </c>
      <c r="R161" s="60" t="str">
        <f aca="false">IF($A161="","",IF(O161&lt;0,"NEGATIVE",IF(O161=0,"OUT OF STOCK",IF(O161&lt;=N($I161),"REORDER",IF(AND(O161&gt;0,X161&gt;DeadDays),"DEAD STOCK","OK")))))</f>
        <v/>
      </c>
      <c r="S161" s="65" t="str">
        <f aca="false">IF($A161="","",IF(N($H161)=0,0,(N($H161)-P161)/N($H161)))</f>
        <v/>
      </c>
      <c r="T161" s="64" t="str">
        <f aca="false">IF($A161="","",IF(O161&lt;=N($I161),MAX(0,2*N($I161)-O161),0))</f>
        <v/>
      </c>
      <c r="U161" s="61" t="str">
        <f aca="false">IF($A161="","",SUMIFS(Sales!$L$5:INDEX(Sales!$L$5:$L$3004,TxRows),Sales!$D$5:INDEX(Sales!$D$5:$D$3004,TxRows),$A161))</f>
        <v/>
      </c>
      <c r="V161" s="61" t="str">
        <f aca="false">IF($A161="","",SUMIFS(Sales!$S$5:INDEX(Sales!$S$5:$S$3004,TxRows),Sales!$D$5:INDEX(Sales!$D$5:$D$3004,TxRows),$A161))</f>
        <v/>
      </c>
      <c r="W161" s="66" t="str">
        <f aca="false">IF($A161="","",IFERROR(SUMPRODUCT(MAX((Sales!$D$5:INDEX(Sales!$D$5:$D$3004,TxRows)=$A161)*Sales!$A$5:INDEX(Sales!$A$5:$A$3004,TxRows))),0))</f>
        <v/>
      </c>
      <c r="X161" s="67" t="str">
        <f aca="false">IF($A161="","",IF(W161=0,AsOf-FYStart,AsOf-W161))</f>
        <v/>
      </c>
      <c r="Y161" s="67" t="str">
        <f aca="false">IF($A161="","",IF(M161=0,"",O161/(M161/MAX(1,AsOf-FYStart))))</f>
        <v/>
      </c>
      <c r="Z161" s="60" t="str">
        <f aca="false">IF($A161="","",U161+ROW()/1000000)</f>
        <v/>
      </c>
    </row>
    <row r="162" customFormat="false" ht="15" hidden="false" customHeight="false" outlineLevel="0" collapsed="false">
      <c r="A162" s="56"/>
      <c r="B162" s="56"/>
      <c r="C162" s="56"/>
      <c r="D162" s="56"/>
      <c r="E162" s="56"/>
      <c r="F162" s="63"/>
      <c r="G162" s="58"/>
      <c r="H162" s="58"/>
      <c r="I162" s="57"/>
      <c r="J162" s="57"/>
      <c r="K162" s="58"/>
      <c r="L162" s="64" t="str">
        <f aca="false">IF($A162="","",SUMIFS(Purchases!$E$5:INDEX(Purchases!$E$5:$E$3004,TxRows),Purchases!$D$5:INDEX(Purchases!$D$5:$D$3004,TxRows),$A162))</f>
        <v/>
      </c>
      <c r="M162" s="64" t="str">
        <f aca="false">IF($A162="","",SUMIFS(Sales!$E$5:INDEX(Sales!$E$5:$E$3004,TxRows),Sales!$D$5:INDEX(Sales!$D$5:$D$3004,TxRows),$A162))</f>
        <v/>
      </c>
      <c r="N162" s="64" t="str">
        <f aca="false">IF($A162="","",SUMIFS(Adjustments!$C$5:$C$504,Adjustments!$B$5:$B$504,$A162))</f>
        <v/>
      </c>
      <c r="O162" s="64" t="str">
        <f aca="false">IF($A162="","",N($J162)+L162-M162+N162)</f>
        <v/>
      </c>
      <c r="P162" s="61" t="str">
        <f aca="false">IF($A162="","",IFERROR((N($J162)*N($K162)+SUMIFS(Purchases!$K$5:INDEX(Purchases!$K$5:$K$3004,TxRows),Purchases!$D$5:INDEX(Purchases!$D$5:$D$3004,TxRows),$A162))/(N($J162)+L162),N($G162)))</f>
        <v/>
      </c>
      <c r="Q162" s="61" t="str">
        <f aca="false">IF($A162="","",MAX(0,O162)*P162)</f>
        <v/>
      </c>
      <c r="R162" s="60" t="str">
        <f aca="false">IF($A162="","",IF(O162&lt;0,"NEGATIVE",IF(O162=0,"OUT OF STOCK",IF(O162&lt;=N($I162),"REORDER",IF(AND(O162&gt;0,X162&gt;DeadDays),"DEAD STOCK","OK")))))</f>
        <v/>
      </c>
      <c r="S162" s="65" t="str">
        <f aca="false">IF($A162="","",IF(N($H162)=0,0,(N($H162)-P162)/N($H162)))</f>
        <v/>
      </c>
      <c r="T162" s="64" t="str">
        <f aca="false">IF($A162="","",IF(O162&lt;=N($I162),MAX(0,2*N($I162)-O162),0))</f>
        <v/>
      </c>
      <c r="U162" s="61" t="str">
        <f aca="false">IF($A162="","",SUMIFS(Sales!$L$5:INDEX(Sales!$L$5:$L$3004,TxRows),Sales!$D$5:INDEX(Sales!$D$5:$D$3004,TxRows),$A162))</f>
        <v/>
      </c>
      <c r="V162" s="61" t="str">
        <f aca="false">IF($A162="","",SUMIFS(Sales!$S$5:INDEX(Sales!$S$5:$S$3004,TxRows),Sales!$D$5:INDEX(Sales!$D$5:$D$3004,TxRows),$A162))</f>
        <v/>
      </c>
      <c r="W162" s="66" t="str">
        <f aca="false">IF($A162="","",IFERROR(SUMPRODUCT(MAX((Sales!$D$5:INDEX(Sales!$D$5:$D$3004,TxRows)=$A162)*Sales!$A$5:INDEX(Sales!$A$5:$A$3004,TxRows))),0))</f>
        <v/>
      </c>
      <c r="X162" s="67" t="str">
        <f aca="false">IF($A162="","",IF(W162=0,AsOf-FYStart,AsOf-W162))</f>
        <v/>
      </c>
      <c r="Y162" s="67" t="str">
        <f aca="false">IF($A162="","",IF(M162=0,"",O162/(M162/MAX(1,AsOf-FYStart))))</f>
        <v/>
      </c>
      <c r="Z162" s="60" t="str">
        <f aca="false">IF($A162="","",U162+ROW()/1000000)</f>
        <v/>
      </c>
    </row>
    <row r="163" customFormat="false" ht="15" hidden="false" customHeight="false" outlineLevel="0" collapsed="false">
      <c r="A163" s="56"/>
      <c r="B163" s="56"/>
      <c r="C163" s="56"/>
      <c r="D163" s="56"/>
      <c r="E163" s="56"/>
      <c r="F163" s="63"/>
      <c r="G163" s="58"/>
      <c r="H163" s="58"/>
      <c r="I163" s="57"/>
      <c r="J163" s="57"/>
      <c r="K163" s="58"/>
      <c r="L163" s="64" t="str">
        <f aca="false">IF($A163="","",SUMIFS(Purchases!$E$5:INDEX(Purchases!$E$5:$E$3004,TxRows),Purchases!$D$5:INDEX(Purchases!$D$5:$D$3004,TxRows),$A163))</f>
        <v/>
      </c>
      <c r="M163" s="64" t="str">
        <f aca="false">IF($A163="","",SUMIFS(Sales!$E$5:INDEX(Sales!$E$5:$E$3004,TxRows),Sales!$D$5:INDEX(Sales!$D$5:$D$3004,TxRows),$A163))</f>
        <v/>
      </c>
      <c r="N163" s="64" t="str">
        <f aca="false">IF($A163="","",SUMIFS(Adjustments!$C$5:$C$504,Adjustments!$B$5:$B$504,$A163))</f>
        <v/>
      </c>
      <c r="O163" s="64" t="str">
        <f aca="false">IF($A163="","",N($J163)+L163-M163+N163)</f>
        <v/>
      </c>
      <c r="P163" s="61" t="str">
        <f aca="false">IF($A163="","",IFERROR((N($J163)*N($K163)+SUMIFS(Purchases!$K$5:INDEX(Purchases!$K$5:$K$3004,TxRows),Purchases!$D$5:INDEX(Purchases!$D$5:$D$3004,TxRows),$A163))/(N($J163)+L163),N($G163)))</f>
        <v/>
      </c>
      <c r="Q163" s="61" t="str">
        <f aca="false">IF($A163="","",MAX(0,O163)*P163)</f>
        <v/>
      </c>
      <c r="R163" s="60" t="str">
        <f aca="false">IF($A163="","",IF(O163&lt;0,"NEGATIVE",IF(O163=0,"OUT OF STOCK",IF(O163&lt;=N($I163),"REORDER",IF(AND(O163&gt;0,X163&gt;DeadDays),"DEAD STOCK","OK")))))</f>
        <v/>
      </c>
      <c r="S163" s="65" t="str">
        <f aca="false">IF($A163="","",IF(N($H163)=0,0,(N($H163)-P163)/N($H163)))</f>
        <v/>
      </c>
      <c r="T163" s="64" t="str">
        <f aca="false">IF($A163="","",IF(O163&lt;=N($I163),MAX(0,2*N($I163)-O163),0))</f>
        <v/>
      </c>
      <c r="U163" s="61" t="str">
        <f aca="false">IF($A163="","",SUMIFS(Sales!$L$5:INDEX(Sales!$L$5:$L$3004,TxRows),Sales!$D$5:INDEX(Sales!$D$5:$D$3004,TxRows),$A163))</f>
        <v/>
      </c>
      <c r="V163" s="61" t="str">
        <f aca="false">IF($A163="","",SUMIFS(Sales!$S$5:INDEX(Sales!$S$5:$S$3004,TxRows),Sales!$D$5:INDEX(Sales!$D$5:$D$3004,TxRows),$A163))</f>
        <v/>
      </c>
      <c r="W163" s="66" t="str">
        <f aca="false">IF($A163="","",IFERROR(SUMPRODUCT(MAX((Sales!$D$5:INDEX(Sales!$D$5:$D$3004,TxRows)=$A163)*Sales!$A$5:INDEX(Sales!$A$5:$A$3004,TxRows))),0))</f>
        <v/>
      </c>
      <c r="X163" s="67" t="str">
        <f aca="false">IF($A163="","",IF(W163=0,AsOf-FYStart,AsOf-W163))</f>
        <v/>
      </c>
      <c r="Y163" s="67" t="str">
        <f aca="false">IF($A163="","",IF(M163=0,"",O163/(M163/MAX(1,AsOf-FYStart))))</f>
        <v/>
      </c>
      <c r="Z163" s="60" t="str">
        <f aca="false">IF($A163="","",U163+ROW()/1000000)</f>
        <v/>
      </c>
    </row>
    <row r="164" customFormat="false" ht="15" hidden="false" customHeight="false" outlineLevel="0" collapsed="false">
      <c r="A164" s="56"/>
      <c r="B164" s="56"/>
      <c r="C164" s="56"/>
      <c r="D164" s="56"/>
      <c r="E164" s="56"/>
      <c r="F164" s="63"/>
      <c r="G164" s="58"/>
      <c r="H164" s="58"/>
      <c r="I164" s="57"/>
      <c r="J164" s="57"/>
      <c r="K164" s="58"/>
      <c r="L164" s="64" t="str">
        <f aca="false">IF($A164="","",SUMIFS(Purchases!$E$5:INDEX(Purchases!$E$5:$E$3004,TxRows),Purchases!$D$5:INDEX(Purchases!$D$5:$D$3004,TxRows),$A164))</f>
        <v/>
      </c>
      <c r="M164" s="64" t="str">
        <f aca="false">IF($A164="","",SUMIFS(Sales!$E$5:INDEX(Sales!$E$5:$E$3004,TxRows),Sales!$D$5:INDEX(Sales!$D$5:$D$3004,TxRows),$A164))</f>
        <v/>
      </c>
      <c r="N164" s="64" t="str">
        <f aca="false">IF($A164="","",SUMIFS(Adjustments!$C$5:$C$504,Adjustments!$B$5:$B$504,$A164))</f>
        <v/>
      </c>
      <c r="O164" s="64" t="str">
        <f aca="false">IF($A164="","",N($J164)+L164-M164+N164)</f>
        <v/>
      </c>
      <c r="P164" s="61" t="str">
        <f aca="false">IF($A164="","",IFERROR((N($J164)*N($K164)+SUMIFS(Purchases!$K$5:INDEX(Purchases!$K$5:$K$3004,TxRows),Purchases!$D$5:INDEX(Purchases!$D$5:$D$3004,TxRows),$A164))/(N($J164)+L164),N($G164)))</f>
        <v/>
      </c>
      <c r="Q164" s="61" t="str">
        <f aca="false">IF($A164="","",MAX(0,O164)*P164)</f>
        <v/>
      </c>
      <c r="R164" s="60" t="str">
        <f aca="false">IF($A164="","",IF(O164&lt;0,"NEGATIVE",IF(O164=0,"OUT OF STOCK",IF(O164&lt;=N($I164),"REORDER",IF(AND(O164&gt;0,X164&gt;DeadDays),"DEAD STOCK","OK")))))</f>
        <v/>
      </c>
      <c r="S164" s="65" t="str">
        <f aca="false">IF($A164="","",IF(N($H164)=0,0,(N($H164)-P164)/N($H164)))</f>
        <v/>
      </c>
      <c r="T164" s="64" t="str">
        <f aca="false">IF($A164="","",IF(O164&lt;=N($I164),MAX(0,2*N($I164)-O164),0))</f>
        <v/>
      </c>
      <c r="U164" s="61" t="str">
        <f aca="false">IF($A164="","",SUMIFS(Sales!$L$5:INDEX(Sales!$L$5:$L$3004,TxRows),Sales!$D$5:INDEX(Sales!$D$5:$D$3004,TxRows),$A164))</f>
        <v/>
      </c>
      <c r="V164" s="61" t="str">
        <f aca="false">IF($A164="","",SUMIFS(Sales!$S$5:INDEX(Sales!$S$5:$S$3004,TxRows),Sales!$D$5:INDEX(Sales!$D$5:$D$3004,TxRows),$A164))</f>
        <v/>
      </c>
      <c r="W164" s="66" t="str">
        <f aca="false">IF($A164="","",IFERROR(SUMPRODUCT(MAX((Sales!$D$5:INDEX(Sales!$D$5:$D$3004,TxRows)=$A164)*Sales!$A$5:INDEX(Sales!$A$5:$A$3004,TxRows))),0))</f>
        <v/>
      </c>
      <c r="X164" s="67" t="str">
        <f aca="false">IF($A164="","",IF(W164=0,AsOf-FYStart,AsOf-W164))</f>
        <v/>
      </c>
      <c r="Y164" s="67" t="str">
        <f aca="false">IF($A164="","",IF(M164=0,"",O164/(M164/MAX(1,AsOf-FYStart))))</f>
        <v/>
      </c>
      <c r="Z164" s="60" t="str">
        <f aca="false">IF($A164="","",U164+ROW()/1000000)</f>
        <v/>
      </c>
    </row>
    <row r="165" customFormat="false" ht="15" hidden="false" customHeight="false" outlineLevel="0" collapsed="false">
      <c r="A165" s="56"/>
      <c r="B165" s="56"/>
      <c r="C165" s="56"/>
      <c r="D165" s="56"/>
      <c r="E165" s="56"/>
      <c r="F165" s="63"/>
      <c r="G165" s="58"/>
      <c r="H165" s="58"/>
      <c r="I165" s="57"/>
      <c r="J165" s="57"/>
      <c r="K165" s="58"/>
      <c r="L165" s="64" t="str">
        <f aca="false">IF($A165="","",SUMIFS(Purchases!$E$5:INDEX(Purchases!$E$5:$E$3004,TxRows),Purchases!$D$5:INDEX(Purchases!$D$5:$D$3004,TxRows),$A165))</f>
        <v/>
      </c>
      <c r="M165" s="64" t="str">
        <f aca="false">IF($A165="","",SUMIFS(Sales!$E$5:INDEX(Sales!$E$5:$E$3004,TxRows),Sales!$D$5:INDEX(Sales!$D$5:$D$3004,TxRows),$A165))</f>
        <v/>
      </c>
      <c r="N165" s="64" t="str">
        <f aca="false">IF($A165="","",SUMIFS(Adjustments!$C$5:$C$504,Adjustments!$B$5:$B$504,$A165))</f>
        <v/>
      </c>
      <c r="O165" s="64" t="str">
        <f aca="false">IF($A165="","",N($J165)+L165-M165+N165)</f>
        <v/>
      </c>
      <c r="P165" s="61" t="str">
        <f aca="false">IF($A165="","",IFERROR((N($J165)*N($K165)+SUMIFS(Purchases!$K$5:INDEX(Purchases!$K$5:$K$3004,TxRows),Purchases!$D$5:INDEX(Purchases!$D$5:$D$3004,TxRows),$A165))/(N($J165)+L165),N($G165)))</f>
        <v/>
      </c>
      <c r="Q165" s="61" t="str">
        <f aca="false">IF($A165="","",MAX(0,O165)*P165)</f>
        <v/>
      </c>
      <c r="R165" s="60" t="str">
        <f aca="false">IF($A165="","",IF(O165&lt;0,"NEGATIVE",IF(O165=0,"OUT OF STOCK",IF(O165&lt;=N($I165),"REORDER",IF(AND(O165&gt;0,X165&gt;DeadDays),"DEAD STOCK","OK")))))</f>
        <v/>
      </c>
      <c r="S165" s="65" t="str">
        <f aca="false">IF($A165="","",IF(N($H165)=0,0,(N($H165)-P165)/N($H165)))</f>
        <v/>
      </c>
      <c r="T165" s="64" t="str">
        <f aca="false">IF($A165="","",IF(O165&lt;=N($I165),MAX(0,2*N($I165)-O165),0))</f>
        <v/>
      </c>
      <c r="U165" s="61" t="str">
        <f aca="false">IF($A165="","",SUMIFS(Sales!$L$5:INDEX(Sales!$L$5:$L$3004,TxRows),Sales!$D$5:INDEX(Sales!$D$5:$D$3004,TxRows),$A165))</f>
        <v/>
      </c>
      <c r="V165" s="61" t="str">
        <f aca="false">IF($A165="","",SUMIFS(Sales!$S$5:INDEX(Sales!$S$5:$S$3004,TxRows),Sales!$D$5:INDEX(Sales!$D$5:$D$3004,TxRows),$A165))</f>
        <v/>
      </c>
      <c r="W165" s="66" t="str">
        <f aca="false">IF($A165="","",IFERROR(SUMPRODUCT(MAX((Sales!$D$5:INDEX(Sales!$D$5:$D$3004,TxRows)=$A165)*Sales!$A$5:INDEX(Sales!$A$5:$A$3004,TxRows))),0))</f>
        <v/>
      </c>
      <c r="X165" s="67" t="str">
        <f aca="false">IF($A165="","",IF(W165=0,AsOf-FYStart,AsOf-W165))</f>
        <v/>
      </c>
      <c r="Y165" s="67" t="str">
        <f aca="false">IF($A165="","",IF(M165=0,"",O165/(M165/MAX(1,AsOf-FYStart))))</f>
        <v/>
      </c>
      <c r="Z165" s="60" t="str">
        <f aca="false">IF($A165="","",U165+ROW()/1000000)</f>
        <v/>
      </c>
    </row>
    <row r="166" customFormat="false" ht="15" hidden="false" customHeight="false" outlineLevel="0" collapsed="false">
      <c r="A166" s="56"/>
      <c r="B166" s="56"/>
      <c r="C166" s="56"/>
      <c r="D166" s="56"/>
      <c r="E166" s="56"/>
      <c r="F166" s="63"/>
      <c r="G166" s="58"/>
      <c r="H166" s="58"/>
      <c r="I166" s="57"/>
      <c r="J166" s="57"/>
      <c r="K166" s="58"/>
      <c r="L166" s="64" t="str">
        <f aca="false">IF($A166="","",SUMIFS(Purchases!$E$5:INDEX(Purchases!$E$5:$E$3004,TxRows),Purchases!$D$5:INDEX(Purchases!$D$5:$D$3004,TxRows),$A166))</f>
        <v/>
      </c>
      <c r="M166" s="64" t="str">
        <f aca="false">IF($A166="","",SUMIFS(Sales!$E$5:INDEX(Sales!$E$5:$E$3004,TxRows),Sales!$D$5:INDEX(Sales!$D$5:$D$3004,TxRows),$A166))</f>
        <v/>
      </c>
      <c r="N166" s="64" t="str">
        <f aca="false">IF($A166="","",SUMIFS(Adjustments!$C$5:$C$504,Adjustments!$B$5:$B$504,$A166))</f>
        <v/>
      </c>
      <c r="O166" s="64" t="str">
        <f aca="false">IF($A166="","",N($J166)+L166-M166+N166)</f>
        <v/>
      </c>
      <c r="P166" s="61" t="str">
        <f aca="false">IF($A166="","",IFERROR((N($J166)*N($K166)+SUMIFS(Purchases!$K$5:INDEX(Purchases!$K$5:$K$3004,TxRows),Purchases!$D$5:INDEX(Purchases!$D$5:$D$3004,TxRows),$A166))/(N($J166)+L166),N($G166)))</f>
        <v/>
      </c>
      <c r="Q166" s="61" t="str">
        <f aca="false">IF($A166="","",MAX(0,O166)*P166)</f>
        <v/>
      </c>
      <c r="R166" s="60" t="str">
        <f aca="false">IF($A166="","",IF(O166&lt;0,"NEGATIVE",IF(O166=0,"OUT OF STOCK",IF(O166&lt;=N($I166),"REORDER",IF(AND(O166&gt;0,X166&gt;DeadDays),"DEAD STOCK","OK")))))</f>
        <v/>
      </c>
      <c r="S166" s="65" t="str">
        <f aca="false">IF($A166="","",IF(N($H166)=0,0,(N($H166)-P166)/N($H166)))</f>
        <v/>
      </c>
      <c r="T166" s="64" t="str">
        <f aca="false">IF($A166="","",IF(O166&lt;=N($I166),MAX(0,2*N($I166)-O166),0))</f>
        <v/>
      </c>
      <c r="U166" s="61" t="str">
        <f aca="false">IF($A166="","",SUMIFS(Sales!$L$5:INDEX(Sales!$L$5:$L$3004,TxRows),Sales!$D$5:INDEX(Sales!$D$5:$D$3004,TxRows),$A166))</f>
        <v/>
      </c>
      <c r="V166" s="61" t="str">
        <f aca="false">IF($A166="","",SUMIFS(Sales!$S$5:INDEX(Sales!$S$5:$S$3004,TxRows),Sales!$D$5:INDEX(Sales!$D$5:$D$3004,TxRows),$A166))</f>
        <v/>
      </c>
      <c r="W166" s="66" t="str">
        <f aca="false">IF($A166="","",IFERROR(SUMPRODUCT(MAX((Sales!$D$5:INDEX(Sales!$D$5:$D$3004,TxRows)=$A166)*Sales!$A$5:INDEX(Sales!$A$5:$A$3004,TxRows))),0))</f>
        <v/>
      </c>
      <c r="X166" s="67" t="str">
        <f aca="false">IF($A166="","",IF(W166=0,AsOf-FYStart,AsOf-W166))</f>
        <v/>
      </c>
      <c r="Y166" s="67" t="str">
        <f aca="false">IF($A166="","",IF(M166=0,"",O166/(M166/MAX(1,AsOf-FYStart))))</f>
        <v/>
      </c>
      <c r="Z166" s="60" t="str">
        <f aca="false">IF($A166="","",U166+ROW()/1000000)</f>
        <v/>
      </c>
    </row>
    <row r="167" customFormat="false" ht="15" hidden="false" customHeight="false" outlineLevel="0" collapsed="false">
      <c r="A167" s="56"/>
      <c r="B167" s="56"/>
      <c r="C167" s="56"/>
      <c r="D167" s="56"/>
      <c r="E167" s="56"/>
      <c r="F167" s="63"/>
      <c r="G167" s="58"/>
      <c r="H167" s="58"/>
      <c r="I167" s="57"/>
      <c r="J167" s="57"/>
      <c r="K167" s="58"/>
      <c r="L167" s="64" t="str">
        <f aca="false">IF($A167="","",SUMIFS(Purchases!$E$5:INDEX(Purchases!$E$5:$E$3004,TxRows),Purchases!$D$5:INDEX(Purchases!$D$5:$D$3004,TxRows),$A167))</f>
        <v/>
      </c>
      <c r="M167" s="64" t="str">
        <f aca="false">IF($A167="","",SUMIFS(Sales!$E$5:INDEX(Sales!$E$5:$E$3004,TxRows),Sales!$D$5:INDEX(Sales!$D$5:$D$3004,TxRows),$A167))</f>
        <v/>
      </c>
      <c r="N167" s="64" t="str">
        <f aca="false">IF($A167="","",SUMIFS(Adjustments!$C$5:$C$504,Adjustments!$B$5:$B$504,$A167))</f>
        <v/>
      </c>
      <c r="O167" s="64" t="str">
        <f aca="false">IF($A167="","",N($J167)+L167-M167+N167)</f>
        <v/>
      </c>
      <c r="P167" s="61" t="str">
        <f aca="false">IF($A167="","",IFERROR((N($J167)*N($K167)+SUMIFS(Purchases!$K$5:INDEX(Purchases!$K$5:$K$3004,TxRows),Purchases!$D$5:INDEX(Purchases!$D$5:$D$3004,TxRows),$A167))/(N($J167)+L167),N($G167)))</f>
        <v/>
      </c>
      <c r="Q167" s="61" t="str">
        <f aca="false">IF($A167="","",MAX(0,O167)*P167)</f>
        <v/>
      </c>
      <c r="R167" s="60" t="str">
        <f aca="false">IF($A167="","",IF(O167&lt;0,"NEGATIVE",IF(O167=0,"OUT OF STOCK",IF(O167&lt;=N($I167),"REORDER",IF(AND(O167&gt;0,X167&gt;DeadDays),"DEAD STOCK","OK")))))</f>
        <v/>
      </c>
      <c r="S167" s="65" t="str">
        <f aca="false">IF($A167="","",IF(N($H167)=0,0,(N($H167)-P167)/N($H167)))</f>
        <v/>
      </c>
      <c r="T167" s="64" t="str">
        <f aca="false">IF($A167="","",IF(O167&lt;=N($I167),MAX(0,2*N($I167)-O167),0))</f>
        <v/>
      </c>
      <c r="U167" s="61" t="str">
        <f aca="false">IF($A167="","",SUMIFS(Sales!$L$5:INDEX(Sales!$L$5:$L$3004,TxRows),Sales!$D$5:INDEX(Sales!$D$5:$D$3004,TxRows),$A167))</f>
        <v/>
      </c>
      <c r="V167" s="61" t="str">
        <f aca="false">IF($A167="","",SUMIFS(Sales!$S$5:INDEX(Sales!$S$5:$S$3004,TxRows),Sales!$D$5:INDEX(Sales!$D$5:$D$3004,TxRows),$A167))</f>
        <v/>
      </c>
      <c r="W167" s="66" t="str">
        <f aca="false">IF($A167="","",IFERROR(SUMPRODUCT(MAX((Sales!$D$5:INDEX(Sales!$D$5:$D$3004,TxRows)=$A167)*Sales!$A$5:INDEX(Sales!$A$5:$A$3004,TxRows))),0))</f>
        <v/>
      </c>
      <c r="X167" s="67" t="str">
        <f aca="false">IF($A167="","",IF(W167=0,AsOf-FYStart,AsOf-W167))</f>
        <v/>
      </c>
      <c r="Y167" s="67" t="str">
        <f aca="false">IF($A167="","",IF(M167=0,"",O167/(M167/MAX(1,AsOf-FYStart))))</f>
        <v/>
      </c>
      <c r="Z167" s="60" t="str">
        <f aca="false">IF($A167="","",U167+ROW()/1000000)</f>
        <v/>
      </c>
    </row>
    <row r="168" customFormat="false" ht="15" hidden="false" customHeight="false" outlineLevel="0" collapsed="false">
      <c r="A168" s="56"/>
      <c r="B168" s="56"/>
      <c r="C168" s="56"/>
      <c r="D168" s="56"/>
      <c r="E168" s="56"/>
      <c r="F168" s="63"/>
      <c r="G168" s="58"/>
      <c r="H168" s="58"/>
      <c r="I168" s="57"/>
      <c r="J168" s="57"/>
      <c r="K168" s="58"/>
      <c r="L168" s="64" t="str">
        <f aca="false">IF($A168="","",SUMIFS(Purchases!$E$5:INDEX(Purchases!$E$5:$E$3004,TxRows),Purchases!$D$5:INDEX(Purchases!$D$5:$D$3004,TxRows),$A168))</f>
        <v/>
      </c>
      <c r="M168" s="64" t="str">
        <f aca="false">IF($A168="","",SUMIFS(Sales!$E$5:INDEX(Sales!$E$5:$E$3004,TxRows),Sales!$D$5:INDEX(Sales!$D$5:$D$3004,TxRows),$A168))</f>
        <v/>
      </c>
      <c r="N168" s="64" t="str">
        <f aca="false">IF($A168="","",SUMIFS(Adjustments!$C$5:$C$504,Adjustments!$B$5:$B$504,$A168))</f>
        <v/>
      </c>
      <c r="O168" s="64" t="str">
        <f aca="false">IF($A168="","",N($J168)+L168-M168+N168)</f>
        <v/>
      </c>
      <c r="P168" s="61" t="str">
        <f aca="false">IF($A168="","",IFERROR((N($J168)*N($K168)+SUMIFS(Purchases!$K$5:INDEX(Purchases!$K$5:$K$3004,TxRows),Purchases!$D$5:INDEX(Purchases!$D$5:$D$3004,TxRows),$A168))/(N($J168)+L168),N($G168)))</f>
        <v/>
      </c>
      <c r="Q168" s="61" t="str">
        <f aca="false">IF($A168="","",MAX(0,O168)*P168)</f>
        <v/>
      </c>
      <c r="R168" s="60" t="str">
        <f aca="false">IF($A168="","",IF(O168&lt;0,"NEGATIVE",IF(O168=0,"OUT OF STOCK",IF(O168&lt;=N($I168),"REORDER",IF(AND(O168&gt;0,X168&gt;DeadDays),"DEAD STOCK","OK")))))</f>
        <v/>
      </c>
      <c r="S168" s="65" t="str">
        <f aca="false">IF($A168="","",IF(N($H168)=0,0,(N($H168)-P168)/N($H168)))</f>
        <v/>
      </c>
      <c r="T168" s="64" t="str">
        <f aca="false">IF($A168="","",IF(O168&lt;=N($I168),MAX(0,2*N($I168)-O168),0))</f>
        <v/>
      </c>
      <c r="U168" s="61" t="str">
        <f aca="false">IF($A168="","",SUMIFS(Sales!$L$5:INDEX(Sales!$L$5:$L$3004,TxRows),Sales!$D$5:INDEX(Sales!$D$5:$D$3004,TxRows),$A168))</f>
        <v/>
      </c>
      <c r="V168" s="61" t="str">
        <f aca="false">IF($A168="","",SUMIFS(Sales!$S$5:INDEX(Sales!$S$5:$S$3004,TxRows),Sales!$D$5:INDEX(Sales!$D$5:$D$3004,TxRows),$A168))</f>
        <v/>
      </c>
      <c r="W168" s="66" t="str">
        <f aca="false">IF($A168="","",IFERROR(SUMPRODUCT(MAX((Sales!$D$5:INDEX(Sales!$D$5:$D$3004,TxRows)=$A168)*Sales!$A$5:INDEX(Sales!$A$5:$A$3004,TxRows))),0))</f>
        <v/>
      </c>
      <c r="X168" s="67" t="str">
        <f aca="false">IF($A168="","",IF(W168=0,AsOf-FYStart,AsOf-W168))</f>
        <v/>
      </c>
      <c r="Y168" s="67" t="str">
        <f aca="false">IF($A168="","",IF(M168=0,"",O168/(M168/MAX(1,AsOf-FYStart))))</f>
        <v/>
      </c>
      <c r="Z168" s="60" t="str">
        <f aca="false">IF($A168="","",U168+ROW()/1000000)</f>
        <v/>
      </c>
    </row>
    <row r="169" customFormat="false" ht="15" hidden="false" customHeight="false" outlineLevel="0" collapsed="false">
      <c r="A169" s="56"/>
      <c r="B169" s="56"/>
      <c r="C169" s="56"/>
      <c r="D169" s="56"/>
      <c r="E169" s="56"/>
      <c r="F169" s="63"/>
      <c r="G169" s="58"/>
      <c r="H169" s="58"/>
      <c r="I169" s="57"/>
      <c r="J169" s="57"/>
      <c r="K169" s="58"/>
      <c r="L169" s="64" t="str">
        <f aca="false">IF($A169="","",SUMIFS(Purchases!$E$5:INDEX(Purchases!$E$5:$E$3004,TxRows),Purchases!$D$5:INDEX(Purchases!$D$5:$D$3004,TxRows),$A169))</f>
        <v/>
      </c>
      <c r="M169" s="64" t="str">
        <f aca="false">IF($A169="","",SUMIFS(Sales!$E$5:INDEX(Sales!$E$5:$E$3004,TxRows),Sales!$D$5:INDEX(Sales!$D$5:$D$3004,TxRows),$A169))</f>
        <v/>
      </c>
      <c r="N169" s="64" t="str">
        <f aca="false">IF($A169="","",SUMIFS(Adjustments!$C$5:$C$504,Adjustments!$B$5:$B$504,$A169))</f>
        <v/>
      </c>
      <c r="O169" s="64" t="str">
        <f aca="false">IF($A169="","",N($J169)+L169-M169+N169)</f>
        <v/>
      </c>
      <c r="P169" s="61" t="str">
        <f aca="false">IF($A169="","",IFERROR((N($J169)*N($K169)+SUMIFS(Purchases!$K$5:INDEX(Purchases!$K$5:$K$3004,TxRows),Purchases!$D$5:INDEX(Purchases!$D$5:$D$3004,TxRows),$A169))/(N($J169)+L169),N($G169)))</f>
        <v/>
      </c>
      <c r="Q169" s="61" t="str">
        <f aca="false">IF($A169="","",MAX(0,O169)*P169)</f>
        <v/>
      </c>
      <c r="R169" s="60" t="str">
        <f aca="false">IF($A169="","",IF(O169&lt;0,"NEGATIVE",IF(O169=0,"OUT OF STOCK",IF(O169&lt;=N($I169),"REORDER",IF(AND(O169&gt;0,X169&gt;DeadDays),"DEAD STOCK","OK")))))</f>
        <v/>
      </c>
      <c r="S169" s="65" t="str">
        <f aca="false">IF($A169="","",IF(N($H169)=0,0,(N($H169)-P169)/N($H169)))</f>
        <v/>
      </c>
      <c r="T169" s="64" t="str">
        <f aca="false">IF($A169="","",IF(O169&lt;=N($I169),MAX(0,2*N($I169)-O169),0))</f>
        <v/>
      </c>
      <c r="U169" s="61" t="str">
        <f aca="false">IF($A169="","",SUMIFS(Sales!$L$5:INDEX(Sales!$L$5:$L$3004,TxRows),Sales!$D$5:INDEX(Sales!$D$5:$D$3004,TxRows),$A169))</f>
        <v/>
      </c>
      <c r="V169" s="61" t="str">
        <f aca="false">IF($A169="","",SUMIFS(Sales!$S$5:INDEX(Sales!$S$5:$S$3004,TxRows),Sales!$D$5:INDEX(Sales!$D$5:$D$3004,TxRows),$A169))</f>
        <v/>
      </c>
      <c r="W169" s="66" t="str">
        <f aca="false">IF($A169="","",IFERROR(SUMPRODUCT(MAX((Sales!$D$5:INDEX(Sales!$D$5:$D$3004,TxRows)=$A169)*Sales!$A$5:INDEX(Sales!$A$5:$A$3004,TxRows))),0))</f>
        <v/>
      </c>
      <c r="X169" s="67" t="str">
        <f aca="false">IF($A169="","",IF(W169=0,AsOf-FYStart,AsOf-W169))</f>
        <v/>
      </c>
      <c r="Y169" s="67" t="str">
        <f aca="false">IF($A169="","",IF(M169=0,"",O169/(M169/MAX(1,AsOf-FYStart))))</f>
        <v/>
      </c>
      <c r="Z169" s="60" t="str">
        <f aca="false">IF($A169="","",U169+ROW()/1000000)</f>
        <v/>
      </c>
    </row>
    <row r="170" customFormat="false" ht="15" hidden="false" customHeight="false" outlineLevel="0" collapsed="false">
      <c r="A170" s="56"/>
      <c r="B170" s="56"/>
      <c r="C170" s="56"/>
      <c r="D170" s="56"/>
      <c r="E170" s="56"/>
      <c r="F170" s="63"/>
      <c r="G170" s="58"/>
      <c r="H170" s="58"/>
      <c r="I170" s="57"/>
      <c r="J170" s="57"/>
      <c r="K170" s="58"/>
      <c r="L170" s="64" t="str">
        <f aca="false">IF($A170="","",SUMIFS(Purchases!$E$5:INDEX(Purchases!$E$5:$E$3004,TxRows),Purchases!$D$5:INDEX(Purchases!$D$5:$D$3004,TxRows),$A170))</f>
        <v/>
      </c>
      <c r="M170" s="64" t="str">
        <f aca="false">IF($A170="","",SUMIFS(Sales!$E$5:INDEX(Sales!$E$5:$E$3004,TxRows),Sales!$D$5:INDEX(Sales!$D$5:$D$3004,TxRows),$A170))</f>
        <v/>
      </c>
      <c r="N170" s="64" t="str">
        <f aca="false">IF($A170="","",SUMIFS(Adjustments!$C$5:$C$504,Adjustments!$B$5:$B$504,$A170))</f>
        <v/>
      </c>
      <c r="O170" s="64" t="str">
        <f aca="false">IF($A170="","",N($J170)+L170-M170+N170)</f>
        <v/>
      </c>
      <c r="P170" s="61" t="str">
        <f aca="false">IF($A170="","",IFERROR((N($J170)*N($K170)+SUMIFS(Purchases!$K$5:INDEX(Purchases!$K$5:$K$3004,TxRows),Purchases!$D$5:INDEX(Purchases!$D$5:$D$3004,TxRows),$A170))/(N($J170)+L170),N($G170)))</f>
        <v/>
      </c>
      <c r="Q170" s="61" t="str">
        <f aca="false">IF($A170="","",MAX(0,O170)*P170)</f>
        <v/>
      </c>
      <c r="R170" s="60" t="str">
        <f aca="false">IF($A170="","",IF(O170&lt;0,"NEGATIVE",IF(O170=0,"OUT OF STOCK",IF(O170&lt;=N($I170),"REORDER",IF(AND(O170&gt;0,X170&gt;DeadDays),"DEAD STOCK","OK")))))</f>
        <v/>
      </c>
      <c r="S170" s="65" t="str">
        <f aca="false">IF($A170="","",IF(N($H170)=0,0,(N($H170)-P170)/N($H170)))</f>
        <v/>
      </c>
      <c r="T170" s="64" t="str">
        <f aca="false">IF($A170="","",IF(O170&lt;=N($I170),MAX(0,2*N($I170)-O170),0))</f>
        <v/>
      </c>
      <c r="U170" s="61" t="str">
        <f aca="false">IF($A170="","",SUMIFS(Sales!$L$5:INDEX(Sales!$L$5:$L$3004,TxRows),Sales!$D$5:INDEX(Sales!$D$5:$D$3004,TxRows),$A170))</f>
        <v/>
      </c>
      <c r="V170" s="61" t="str">
        <f aca="false">IF($A170="","",SUMIFS(Sales!$S$5:INDEX(Sales!$S$5:$S$3004,TxRows),Sales!$D$5:INDEX(Sales!$D$5:$D$3004,TxRows),$A170))</f>
        <v/>
      </c>
      <c r="W170" s="66" t="str">
        <f aca="false">IF($A170="","",IFERROR(SUMPRODUCT(MAX((Sales!$D$5:INDEX(Sales!$D$5:$D$3004,TxRows)=$A170)*Sales!$A$5:INDEX(Sales!$A$5:$A$3004,TxRows))),0))</f>
        <v/>
      </c>
      <c r="X170" s="67" t="str">
        <f aca="false">IF($A170="","",IF(W170=0,AsOf-FYStart,AsOf-W170))</f>
        <v/>
      </c>
      <c r="Y170" s="67" t="str">
        <f aca="false">IF($A170="","",IF(M170=0,"",O170/(M170/MAX(1,AsOf-FYStart))))</f>
        <v/>
      </c>
      <c r="Z170" s="60" t="str">
        <f aca="false">IF($A170="","",U170+ROW()/1000000)</f>
        <v/>
      </c>
    </row>
    <row r="171" customFormat="false" ht="15" hidden="false" customHeight="false" outlineLevel="0" collapsed="false">
      <c r="A171" s="56"/>
      <c r="B171" s="56"/>
      <c r="C171" s="56"/>
      <c r="D171" s="56"/>
      <c r="E171" s="56"/>
      <c r="F171" s="63"/>
      <c r="G171" s="58"/>
      <c r="H171" s="58"/>
      <c r="I171" s="57"/>
      <c r="J171" s="57"/>
      <c r="K171" s="58"/>
      <c r="L171" s="64" t="str">
        <f aca="false">IF($A171="","",SUMIFS(Purchases!$E$5:INDEX(Purchases!$E$5:$E$3004,TxRows),Purchases!$D$5:INDEX(Purchases!$D$5:$D$3004,TxRows),$A171))</f>
        <v/>
      </c>
      <c r="M171" s="64" t="str">
        <f aca="false">IF($A171="","",SUMIFS(Sales!$E$5:INDEX(Sales!$E$5:$E$3004,TxRows),Sales!$D$5:INDEX(Sales!$D$5:$D$3004,TxRows),$A171))</f>
        <v/>
      </c>
      <c r="N171" s="64" t="str">
        <f aca="false">IF($A171="","",SUMIFS(Adjustments!$C$5:$C$504,Adjustments!$B$5:$B$504,$A171))</f>
        <v/>
      </c>
      <c r="O171" s="64" t="str">
        <f aca="false">IF($A171="","",N($J171)+L171-M171+N171)</f>
        <v/>
      </c>
      <c r="P171" s="61" t="str">
        <f aca="false">IF($A171="","",IFERROR((N($J171)*N($K171)+SUMIFS(Purchases!$K$5:INDEX(Purchases!$K$5:$K$3004,TxRows),Purchases!$D$5:INDEX(Purchases!$D$5:$D$3004,TxRows),$A171))/(N($J171)+L171),N($G171)))</f>
        <v/>
      </c>
      <c r="Q171" s="61" t="str">
        <f aca="false">IF($A171="","",MAX(0,O171)*P171)</f>
        <v/>
      </c>
      <c r="R171" s="60" t="str">
        <f aca="false">IF($A171="","",IF(O171&lt;0,"NEGATIVE",IF(O171=0,"OUT OF STOCK",IF(O171&lt;=N($I171),"REORDER",IF(AND(O171&gt;0,X171&gt;DeadDays),"DEAD STOCK","OK")))))</f>
        <v/>
      </c>
      <c r="S171" s="65" t="str">
        <f aca="false">IF($A171="","",IF(N($H171)=0,0,(N($H171)-P171)/N($H171)))</f>
        <v/>
      </c>
      <c r="T171" s="64" t="str">
        <f aca="false">IF($A171="","",IF(O171&lt;=N($I171),MAX(0,2*N($I171)-O171),0))</f>
        <v/>
      </c>
      <c r="U171" s="61" t="str">
        <f aca="false">IF($A171="","",SUMIFS(Sales!$L$5:INDEX(Sales!$L$5:$L$3004,TxRows),Sales!$D$5:INDEX(Sales!$D$5:$D$3004,TxRows),$A171))</f>
        <v/>
      </c>
      <c r="V171" s="61" t="str">
        <f aca="false">IF($A171="","",SUMIFS(Sales!$S$5:INDEX(Sales!$S$5:$S$3004,TxRows),Sales!$D$5:INDEX(Sales!$D$5:$D$3004,TxRows),$A171))</f>
        <v/>
      </c>
      <c r="W171" s="66" t="str">
        <f aca="false">IF($A171="","",IFERROR(SUMPRODUCT(MAX((Sales!$D$5:INDEX(Sales!$D$5:$D$3004,TxRows)=$A171)*Sales!$A$5:INDEX(Sales!$A$5:$A$3004,TxRows))),0))</f>
        <v/>
      </c>
      <c r="X171" s="67" t="str">
        <f aca="false">IF($A171="","",IF(W171=0,AsOf-FYStart,AsOf-W171))</f>
        <v/>
      </c>
      <c r="Y171" s="67" t="str">
        <f aca="false">IF($A171="","",IF(M171=0,"",O171/(M171/MAX(1,AsOf-FYStart))))</f>
        <v/>
      </c>
      <c r="Z171" s="60" t="str">
        <f aca="false">IF($A171="","",U171+ROW()/1000000)</f>
        <v/>
      </c>
    </row>
    <row r="172" customFormat="false" ht="15" hidden="false" customHeight="false" outlineLevel="0" collapsed="false">
      <c r="A172" s="56"/>
      <c r="B172" s="56"/>
      <c r="C172" s="56"/>
      <c r="D172" s="56"/>
      <c r="E172" s="56"/>
      <c r="F172" s="63"/>
      <c r="G172" s="58"/>
      <c r="H172" s="58"/>
      <c r="I172" s="57"/>
      <c r="J172" s="57"/>
      <c r="K172" s="58"/>
      <c r="L172" s="64" t="str">
        <f aca="false">IF($A172="","",SUMIFS(Purchases!$E$5:INDEX(Purchases!$E$5:$E$3004,TxRows),Purchases!$D$5:INDEX(Purchases!$D$5:$D$3004,TxRows),$A172))</f>
        <v/>
      </c>
      <c r="M172" s="64" t="str">
        <f aca="false">IF($A172="","",SUMIFS(Sales!$E$5:INDEX(Sales!$E$5:$E$3004,TxRows),Sales!$D$5:INDEX(Sales!$D$5:$D$3004,TxRows),$A172))</f>
        <v/>
      </c>
      <c r="N172" s="64" t="str">
        <f aca="false">IF($A172="","",SUMIFS(Adjustments!$C$5:$C$504,Adjustments!$B$5:$B$504,$A172))</f>
        <v/>
      </c>
      <c r="O172" s="64" t="str">
        <f aca="false">IF($A172="","",N($J172)+L172-M172+N172)</f>
        <v/>
      </c>
      <c r="P172" s="61" t="str">
        <f aca="false">IF($A172="","",IFERROR((N($J172)*N($K172)+SUMIFS(Purchases!$K$5:INDEX(Purchases!$K$5:$K$3004,TxRows),Purchases!$D$5:INDEX(Purchases!$D$5:$D$3004,TxRows),$A172))/(N($J172)+L172),N($G172)))</f>
        <v/>
      </c>
      <c r="Q172" s="61" t="str">
        <f aca="false">IF($A172="","",MAX(0,O172)*P172)</f>
        <v/>
      </c>
      <c r="R172" s="60" t="str">
        <f aca="false">IF($A172="","",IF(O172&lt;0,"NEGATIVE",IF(O172=0,"OUT OF STOCK",IF(O172&lt;=N($I172),"REORDER",IF(AND(O172&gt;0,X172&gt;DeadDays),"DEAD STOCK","OK")))))</f>
        <v/>
      </c>
      <c r="S172" s="65" t="str">
        <f aca="false">IF($A172="","",IF(N($H172)=0,0,(N($H172)-P172)/N($H172)))</f>
        <v/>
      </c>
      <c r="T172" s="64" t="str">
        <f aca="false">IF($A172="","",IF(O172&lt;=N($I172),MAX(0,2*N($I172)-O172),0))</f>
        <v/>
      </c>
      <c r="U172" s="61" t="str">
        <f aca="false">IF($A172="","",SUMIFS(Sales!$L$5:INDEX(Sales!$L$5:$L$3004,TxRows),Sales!$D$5:INDEX(Sales!$D$5:$D$3004,TxRows),$A172))</f>
        <v/>
      </c>
      <c r="V172" s="61" t="str">
        <f aca="false">IF($A172="","",SUMIFS(Sales!$S$5:INDEX(Sales!$S$5:$S$3004,TxRows),Sales!$D$5:INDEX(Sales!$D$5:$D$3004,TxRows),$A172))</f>
        <v/>
      </c>
      <c r="W172" s="66" t="str">
        <f aca="false">IF($A172="","",IFERROR(SUMPRODUCT(MAX((Sales!$D$5:INDEX(Sales!$D$5:$D$3004,TxRows)=$A172)*Sales!$A$5:INDEX(Sales!$A$5:$A$3004,TxRows))),0))</f>
        <v/>
      </c>
      <c r="X172" s="67" t="str">
        <f aca="false">IF($A172="","",IF(W172=0,AsOf-FYStart,AsOf-W172))</f>
        <v/>
      </c>
      <c r="Y172" s="67" t="str">
        <f aca="false">IF($A172="","",IF(M172=0,"",O172/(M172/MAX(1,AsOf-FYStart))))</f>
        <v/>
      </c>
      <c r="Z172" s="60" t="str">
        <f aca="false">IF($A172="","",U172+ROW()/1000000)</f>
        <v/>
      </c>
    </row>
    <row r="173" customFormat="false" ht="15" hidden="false" customHeight="false" outlineLevel="0" collapsed="false">
      <c r="A173" s="56"/>
      <c r="B173" s="56"/>
      <c r="C173" s="56"/>
      <c r="D173" s="56"/>
      <c r="E173" s="56"/>
      <c r="F173" s="63"/>
      <c r="G173" s="58"/>
      <c r="H173" s="58"/>
      <c r="I173" s="57"/>
      <c r="J173" s="57"/>
      <c r="K173" s="58"/>
      <c r="L173" s="64" t="str">
        <f aca="false">IF($A173="","",SUMIFS(Purchases!$E$5:INDEX(Purchases!$E$5:$E$3004,TxRows),Purchases!$D$5:INDEX(Purchases!$D$5:$D$3004,TxRows),$A173))</f>
        <v/>
      </c>
      <c r="M173" s="64" t="str">
        <f aca="false">IF($A173="","",SUMIFS(Sales!$E$5:INDEX(Sales!$E$5:$E$3004,TxRows),Sales!$D$5:INDEX(Sales!$D$5:$D$3004,TxRows),$A173))</f>
        <v/>
      </c>
      <c r="N173" s="64" t="str">
        <f aca="false">IF($A173="","",SUMIFS(Adjustments!$C$5:$C$504,Adjustments!$B$5:$B$504,$A173))</f>
        <v/>
      </c>
      <c r="O173" s="64" t="str">
        <f aca="false">IF($A173="","",N($J173)+L173-M173+N173)</f>
        <v/>
      </c>
      <c r="P173" s="61" t="str">
        <f aca="false">IF($A173="","",IFERROR((N($J173)*N($K173)+SUMIFS(Purchases!$K$5:INDEX(Purchases!$K$5:$K$3004,TxRows),Purchases!$D$5:INDEX(Purchases!$D$5:$D$3004,TxRows),$A173))/(N($J173)+L173),N($G173)))</f>
        <v/>
      </c>
      <c r="Q173" s="61" t="str">
        <f aca="false">IF($A173="","",MAX(0,O173)*P173)</f>
        <v/>
      </c>
      <c r="R173" s="60" t="str">
        <f aca="false">IF($A173="","",IF(O173&lt;0,"NEGATIVE",IF(O173=0,"OUT OF STOCK",IF(O173&lt;=N($I173),"REORDER",IF(AND(O173&gt;0,X173&gt;DeadDays),"DEAD STOCK","OK")))))</f>
        <v/>
      </c>
      <c r="S173" s="65" t="str">
        <f aca="false">IF($A173="","",IF(N($H173)=0,0,(N($H173)-P173)/N($H173)))</f>
        <v/>
      </c>
      <c r="T173" s="64" t="str">
        <f aca="false">IF($A173="","",IF(O173&lt;=N($I173),MAX(0,2*N($I173)-O173),0))</f>
        <v/>
      </c>
      <c r="U173" s="61" t="str">
        <f aca="false">IF($A173="","",SUMIFS(Sales!$L$5:INDEX(Sales!$L$5:$L$3004,TxRows),Sales!$D$5:INDEX(Sales!$D$5:$D$3004,TxRows),$A173))</f>
        <v/>
      </c>
      <c r="V173" s="61" t="str">
        <f aca="false">IF($A173="","",SUMIFS(Sales!$S$5:INDEX(Sales!$S$5:$S$3004,TxRows),Sales!$D$5:INDEX(Sales!$D$5:$D$3004,TxRows),$A173))</f>
        <v/>
      </c>
      <c r="W173" s="66" t="str">
        <f aca="false">IF($A173="","",IFERROR(SUMPRODUCT(MAX((Sales!$D$5:INDEX(Sales!$D$5:$D$3004,TxRows)=$A173)*Sales!$A$5:INDEX(Sales!$A$5:$A$3004,TxRows))),0))</f>
        <v/>
      </c>
      <c r="X173" s="67" t="str">
        <f aca="false">IF($A173="","",IF(W173=0,AsOf-FYStart,AsOf-W173))</f>
        <v/>
      </c>
      <c r="Y173" s="67" t="str">
        <f aca="false">IF($A173="","",IF(M173=0,"",O173/(M173/MAX(1,AsOf-FYStart))))</f>
        <v/>
      </c>
      <c r="Z173" s="60" t="str">
        <f aca="false">IF($A173="","",U173+ROW()/1000000)</f>
        <v/>
      </c>
    </row>
    <row r="174" customFormat="false" ht="15" hidden="false" customHeight="false" outlineLevel="0" collapsed="false">
      <c r="A174" s="56"/>
      <c r="B174" s="56"/>
      <c r="C174" s="56"/>
      <c r="D174" s="56"/>
      <c r="E174" s="56"/>
      <c r="F174" s="63"/>
      <c r="G174" s="58"/>
      <c r="H174" s="58"/>
      <c r="I174" s="57"/>
      <c r="J174" s="57"/>
      <c r="K174" s="58"/>
      <c r="L174" s="64" t="str">
        <f aca="false">IF($A174="","",SUMIFS(Purchases!$E$5:INDEX(Purchases!$E$5:$E$3004,TxRows),Purchases!$D$5:INDEX(Purchases!$D$5:$D$3004,TxRows),$A174))</f>
        <v/>
      </c>
      <c r="M174" s="64" t="str">
        <f aca="false">IF($A174="","",SUMIFS(Sales!$E$5:INDEX(Sales!$E$5:$E$3004,TxRows),Sales!$D$5:INDEX(Sales!$D$5:$D$3004,TxRows),$A174))</f>
        <v/>
      </c>
      <c r="N174" s="64" t="str">
        <f aca="false">IF($A174="","",SUMIFS(Adjustments!$C$5:$C$504,Adjustments!$B$5:$B$504,$A174))</f>
        <v/>
      </c>
      <c r="O174" s="64" t="str">
        <f aca="false">IF($A174="","",N($J174)+L174-M174+N174)</f>
        <v/>
      </c>
      <c r="P174" s="61" t="str">
        <f aca="false">IF($A174="","",IFERROR((N($J174)*N($K174)+SUMIFS(Purchases!$K$5:INDEX(Purchases!$K$5:$K$3004,TxRows),Purchases!$D$5:INDEX(Purchases!$D$5:$D$3004,TxRows),$A174))/(N($J174)+L174),N($G174)))</f>
        <v/>
      </c>
      <c r="Q174" s="61" t="str">
        <f aca="false">IF($A174="","",MAX(0,O174)*P174)</f>
        <v/>
      </c>
      <c r="R174" s="60" t="str">
        <f aca="false">IF($A174="","",IF(O174&lt;0,"NEGATIVE",IF(O174=0,"OUT OF STOCK",IF(O174&lt;=N($I174),"REORDER",IF(AND(O174&gt;0,X174&gt;DeadDays),"DEAD STOCK","OK")))))</f>
        <v/>
      </c>
      <c r="S174" s="65" t="str">
        <f aca="false">IF($A174="","",IF(N($H174)=0,0,(N($H174)-P174)/N($H174)))</f>
        <v/>
      </c>
      <c r="T174" s="64" t="str">
        <f aca="false">IF($A174="","",IF(O174&lt;=N($I174),MAX(0,2*N($I174)-O174),0))</f>
        <v/>
      </c>
      <c r="U174" s="61" t="str">
        <f aca="false">IF($A174="","",SUMIFS(Sales!$L$5:INDEX(Sales!$L$5:$L$3004,TxRows),Sales!$D$5:INDEX(Sales!$D$5:$D$3004,TxRows),$A174))</f>
        <v/>
      </c>
      <c r="V174" s="61" t="str">
        <f aca="false">IF($A174="","",SUMIFS(Sales!$S$5:INDEX(Sales!$S$5:$S$3004,TxRows),Sales!$D$5:INDEX(Sales!$D$5:$D$3004,TxRows),$A174))</f>
        <v/>
      </c>
      <c r="W174" s="66" t="str">
        <f aca="false">IF($A174="","",IFERROR(SUMPRODUCT(MAX((Sales!$D$5:INDEX(Sales!$D$5:$D$3004,TxRows)=$A174)*Sales!$A$5:INDEX(Sales!$A$5:$A$3004,TxRows))),0))</f>
        <v/>
      </c>
      <c r="X174" s="67" t="str">
        <f aca="false">IF($A174="","",IF(W174=0,AsOf-FYStart,AsOf-W174))</f>
        <v/>
      </c>
      <c r="Y174" s="67" t="str">
        <f aca="false">IF($A174="","",IF(M174=0,"",O174/(M174/MAX(1,AsOf-FYStart))))</f>
        <v/>
      </c>
      <c r="Z174" s="60" t="str">
        <f aca="false">IF($A174="","",U174+ROW()/1000000)</f>
        <v/>
      </c>
    </row>
    <row r="175" customFormat="false" ht="15" hidden="false" customHeight="false" outlineLevel="0" collapsed="false">
      <c r="A175" s="56"/>
      <c r="B175" s="56"/>
      <c r="C175" s="56"/>
      <c r="D175" s="56"/>
      <c r="E175" s="56"/>
      <c r="F175" s="63"/>
      <c r="G175" s="58"/>
      <c r="H175" s="58"/>
      <c r="I175" s="57"/>
      <c r="J175" s="57"/>
      <c r="K175" s="58"/>
      <c r="L175" s="64" t="str">
        <f aca="false">IF($A175="","",SUMIFS(Purchases!$E$5:INDEX(Purchases!$E$5:$E$3004,TxRows),Purchases!$D$5:INDEX(Purchases!$D$5:$D$3004,TxRows),$A175))</f>
        <v/>
      </c>
      <c r="M175" s="64" t="str">
        <f aca="false">IF($A175="","",SUMIFS(Sales!$E$5:INDEX(Sales!$E$5:$E$3004,TxRows),Sales!$D$5:INDEX(Sales!$D$5:$D$3004,TxRows),$A175))</f>
        <v/>
      </c>
      <c r="N175" s="64" t="str">
        <f aca="false">IF($A175="","",SUMIFS(Adjustments!$C$5:$C$504,Adjustments!$B$5:$B$504,$A175))</f>
        <v/>
      </c>
      <c r="O175" s="64" t="str">
        <f aca="false">IF($A175="","",N($J175)+L175-M175+N175)</f>
        <v/>
      </c>
      <c r="P175" s="61" t="str">
        <f aca="false">IF($A175="","",IFERROR((N($J175)*N($K175)+SUMIFS(Purchases!$K$5:INDEX(Purchases!$K$5:$K$3004,TxRows),Purchases!$D$5:INDEX(Purchases!$D$5:$D$3004,TxRows),$A175))/(N($J175)+L175),N($G175)))</f>
        <v/>
      </c>
      <c r="Q175" s="61" t="str">
        <f aca="false">IF($A175="","",MAX(0,O175)*P175)</f>
        <v/>
      </c>
      <c r="R175" s="60" t="str">
        <f aca="false">IF($A175="","",IF(O175&lt;0,"NEGATIVE",IF(O175=0,"OUT OF STOCK",IF(O175&lt;=N($I175),"REORDER",IF(AND(O175&gt;0,X175&gt;DeadDays),"DEAD STOCK","OK")))))</f>
        <v/>
      </c>
      <c r="S175" s="65" t="str">
        <f aca="false">IF($A175="","",IF(N($H175)=0,0,(N($H175)-P175)/N($H175)))</f>
        <v/>
      </c>
      <c r="T175" s="64" t="str">
        <f aca="false">IF($A175="","",IF(O175&lt;=N($I175),MAX(0,2*N($I175)-O175),0))</f>
        <v/>
      </c>
      <c r="U175" s="61" t="str">
        <f aca="false">IF($A175="","",SUMIFS(Sales!$L$5:INDEX(Sales!$L$5:$L$3004,TxRows),Sales!$D$5:INDEX(Sales!$D$5:$D$3004,TxRows),$A175))</f>
        <v/>
      </c>
      <c r="V175" s="61" t="str">
        <f aca="false">IF($A175="","",SUMIFS(Sales!$S$5:INDEX(Sales!$S$5:$S$3004,TxRows),Sales!$D$5:INDEX(Sales!$D$5:$D$3004,TxRows),$A175))</f>
        <v/>
      </c>
      <c r="W175" s="66" t="str">
        <f aca="false">IF($A175="","",IFERROR(SUMPRODUCT(MAX((Sales!$D$5:INDEX(Sales!$D$5:$D$3004,TxRows)=$A175)*Sales!$A$5:INDEX(Sales!$A$5:$A$3004,TxRows))),0))</f>
        <v/>
      </c>
      <c r="X175" s="67" t="str">
        <f aca="false">IF($A175="","",IF(W175=0,AsOf-FYStart,AsOf-W175))</f>
        <v/>
      </c>
      <c r="Y175" s="67" t="str">
        <f aca="false">IF($A175="","",IF(M175=0,"",O175/(M175/MAX(1,AsOf-FYStart))))</f>
        <v/>
      </c>
      <c r="Z175" s="60" t="str">
        <f aca="false">IF($A175="","",U175+ROW()/1000000)</f>
        <v/>
      </c>
    </row>
    <row r="176" customFormat="false" ht="15" hidden="false" customHeight="false" outlineLevel="0" collapsed="false">
      <c r="A176" s="56"/>
      <c r="B176" s="56"/>
      <c r="C176" s="56"/>
      <c r="D176" s="56"/>
      <c r="E176" s="56"/>
      <c r="F176" s="63"/>
      <c r="G176" s="58"/>
      <c r="H176" s="58"/>
      <c r="I176" s="57"/>
      <c r="J176" s="57"/>
      <c r="K176" s="58"/>
      <c r="L176" s="64" t="str">
        <f aca="false">IF($A176="","",SUMIFS(Purchases!$E$5:INDEX(Purchases!$E$5:$E$3004,TxRows),Purchases!$D$5:INDEX(Purchases!$D$5:$D$3004,TxRows),$A176))</f>
        <v/>
      </c>
      <c r="M176" s="64" t="str">
        <f aca="false">IF($A176="","",SUMIFS(Sales!$E$5:INDEX(Sales!$E$5:$E$3004,TxRows),Sales!$D$5:INDEX(Sales!$D$5:$D$3004,TxRows),$A176))</f>
        <v/>
      </c>
      <c r="N176" s="64" t="str">
        <f aca="false">IF($A176="","",SUMIFS(Adjustments!$C$5:$C$504,Adjustments!$B$5:$B$504,$A176))</f>
        <v/>
      </c>
      <c r="O176" s="64" t="str">
        <f aca="false">IF($A176="","",N($J176)+L176-M176+N176)</f>
        <v/>
      </c>
      <c r="P176" s="61" t="str">
        <f aca="false">IF($A176="","",IFERROR((N($J176)*N($K176)+SUMIFS(Purchases!$K$5:INDEX(Purchases!$K$5:$K$3004,TxRows),Purchases!$D$5:INDEX(Purchases!$D$5:$D$3004,TxRows),$A176))/(N($J176)+L176),N($G176)))</f>
        <v/>
      </c>
      <c r="Q176" s="61" t="str">
        <f aca="false">IF($A176="","",MAX(0,O176)*P176)</f>
        <v/>
      </c>
      <c r="R176" s="60" t="str">
        <f aca="false">IF($A176="","",IF(O176&lt;0,"NEGATIVE",IF(O176=0,"OUT OF STOCK",IF(O176&lt;=N($I176),"REORDER",IF(AND(O176&gt;0,X176&gt;DeadDays),"DEAD STOCK","OK")))))</f>
        <v/>
      </c>
      <c r="S176" s="65" t="str">
        <f aca="false">IF($A176="","",IF(N($H176)=0,0,(N($H176)-P176)/N($H176)))</f>
        <v/>
      </c>
      <c r="T176" s="64" t="str">
        <f aca="false">IF($A176="","",IF(O176&lt;=N($I176),MAX(0,2*N($I176)-O176),0))</f>
        <v/>
      </c>
      <c r="U176" s="61" t="str">
        <f aca="false">IF($A176="","",SUMIFS(Sales!$L$5:INDEX(Sales!$L$5:$L$3004,TxRows),Sales!$D$5:INDEX(Sales!$D$5:$D$3004,TxRows),$A176))</f>
        <v/>
      </c>
      <c r="V176" s="61" t="str">
        <f aca="false">IF($A176="","",SUMIFS(Sales!$S$5:INDEX(Sales!$S$5:$S$3004,TxRows),Sales!$D$5:INDEX(Sales!$D$5:$D$3004,TxRows),$A176))</f>
        <v/>
      </c>
      <c r="W176" s="66" t="str">
        <f aca="false">IF($A176="","",IFERROR(SUMPRODUCT(MAX((Sales!$D$5:INDEX(Sales!$D$5:$D$3004,TxRows)=$A176)*Sales!$A$5:INDEX(Sales!$A$5:$A$3004,TxRows))),0))</f>
        <v/>
      </c>
      <c r="X176" s="67" t="str">
        <f aca="false">IF($A176="","",IF(W176=0,AsOf-FYStart,AsOf-W176))</f>
        <v/>
      </c>
      <c r="Y176" s="67" t="str">
        <f aca="false">IF($A176="","",IF(M176=0,"",O176/(M176/MAX(1,AsOf-FYStart))))</f>
        <v/>
      </c>
      <c r="Z176" s="60" t="str">
        <f aca="false">IF($A176="","",U176+ROW()/1000000)</f>
        <v/>
      </c>
    </row>
    <row r="177" customFormat="false" ht="15" hidden="false" customHeight="false" outlineLevel="0" collapsed="false">
      <c r="A177" s="56"/>
      <c r="B177" s="56"/>
      <c r="C177" s="56"/>
      <c r="D177" s="56"/>
      <c r="E177" s="56"/>
      <c r="F177" s="63"/>
      <c r="G177" s="58"/>
      <c r="H177" s="58"/>
      <c r="I177" s="57"/>
      <c r="J177" s="57"/>
      <c r="K177" s="58"/>
      <c r="L177" s="64" t="str">
        <f aca="false">IF($A177="","",SUMIFS(Purchases!$E$5:INDEX(Purchases!$E$5:$E$3004,TxRows),Purchases!$D$5:INDEX(Purchases!$D$5:$D$3004,TxRows),$A177))</f>
        <v/>
      </c>
      <c r="M177" s="64" t="str">
        <f aca="false">IF($A177="","",SUMIFS(Sales!$E$5:INDEX(Sales!$E$5:$E$3004,TxRows),Sales!$D$5:INDEX(Sales!$D$5:$D$3004,TxRows),$A177))</f>
        <v/>
      </c>
      <c r="N177" s="64" t="str">
        <f aca="false">IF($A177="","",SUMIFS(Adjustments!$C$5:$C$504,Adjustments!$B$5:$B$504,$A177))</f>
        <v/>
      </c>
      <c r="O177" s="64" t="str">
        <f aca="false">IF($A177="","",N($J177)+L177-M177+N177)</f>
        <v/>
      </c>
      <c r="P177" s="61" t="str">
        <f aca="false">IF($A177="","",IFERROR((N($J177)*N($K177)+SUMIFS(Purchases!$K$5:INDEX(Purchases!$K$5:$K$3004,TxRows),Purchases!$D$5:INDEX(Purchases!$D$5:$D$3004,TxRows),$A177))/(N($J177)+L177),N($G177)))</f>
        <v/>
      </c>
      <c r="Q177" s="61" t="str">
        <f aca="false">IF($A177="","",MAX(0,O177)*P177)</f>
        <v/>
      </c>
      <c r="R177" s="60" t="str">
        <f aca="false">IF($A177="","",IF(O177&lt;0,"NEGATIVE",IF(O177=0,"OUT OF STOCK",IF(O177&lt;=N($I177),"REORDER",IF(AND(O177&gt;0,X177&gt;DeadDays),"DEAD STOCK","OK")))))</f>
        <v/>
      </c>
      <c r="S177" s="65" t="str">
        <f aca="false">IF($A177="","",IF(N($H177)=0,0,(N($H177)-P177)/N($H177)))</f>
        <v/>
      </c>
      <c r="T177" s="64" t="str">
        <f aca="false">IF($A177="","",IF(O177&lt;=N($I177),MAX(0,2*N($I177)-O177),0))</f>
        <v/>
      </c>
      <c r="U177" s="61" t="str">
        <f aca="false">IF($A177="","",SUMIFS(Sales!$L$5:INDEX(Sales!$L$5:$L$3004,TxRows),Sales!$D$5:INDEX(Sales!$D$5:$D$3004,TxRows),$A177))</f>
        <v/>
      </c>
      <c r="V177" s="61" t="str">
        <f aca="false">IF($A177="","",SUMIFS(Sales!$S$5:INDEX(Sales!$S$5:$S$3004,TxRows),Sales!$D$5:INDEX(Sales!$D$5:$D$3004,TxRows),$A177))</f>
        <v/>
      </c>
      <c r="W177" s="66" t="str">
        <f aca="false">IF($A177="","",IFERROR(SUMPRODUCT(MAX((Sales!$D$5:INDEX(Sales!$D$5:$D$3004,TxRows)=$A177)*Sales!$A$5:INDEX(Sales!$A$5:$A$3004,TxRows))),0))</f>
        <v/>
      </c>
      <c r="X177" s="67" t="str">
        <f aca="false">IF($A177="","",IF(W177=0,AsOf-FYStart,AsOf-W177))</f>
        <v/>
      </c>
      <c r="Y177" s="67" t="str">
        <f aca="false">IF($A177="","",IF(M177=0,"",O177/(M177/MAX(1,AsOf-FYStart))))</f>
        <v/>
      </c>
      <c r="Z177" s="60" t="str">
        <f aca="false">IF($A177="","",U177+ROW()/1000000)</f>
        <v/>
      </c>
    </row>
    <row r="178" customFormat="false" ht="15" hidden="false" customHeight="false" outlineLevel="0" collapsed="false">
      <c r="A178" s="56"/>
      <c r="B178" s="56"/>
      <c r="C178" s="56"/>
      <c r="D178" s="56"/>
      <c r="E178" s="56"/>
      <c r="F178" s="63"/>
      <c r="G178" s="58"/>
      <c r="H178" s="58"/>
      <c r="I178" s="57"/>
      <c r="J178" s="57"/>
      <c r="K178" s="58"/>
      <c r="L178" s="64" t="str">
        <f aca="false">IF($A178="","",SUMIFS(Purchases!$E$5:INDEX(Purchases!$E$5:$E$3004,TxRows),Purchases!$D$5:INDEX(Purchases!$D$5:$D$3004,TxRows),$A178))</f>
        <v/>
      </c>
      <c r="M178" s="64" t="str">
        <f aca="false">IF($A178="","",SUMIFS(Sales!$E$5:INDEX(Sales!$E$5:$E$3004,TxRows),Sales!$D$5:INDEX(Sales!$D$5:$D$3004,TxRows),$A178))</f>
        <v/>
      </c>
      <c r="N178" s="64" t="str">
        <f aca="false">IF($A178="","",SUMIFS(Adjustments!$C$5:$C$504,Adjustments!$B$5:$B$504,$A178))</f>
        <v/>
      </c>
      <c r="O178" s="64" t="str">
        <f aca="false">IF($A178="","",N($J178)+L178-M178+N178)</f>
        <v/>
      </c>
      <c r="P178" s="61" t="str">
        <f aca="false">IF($A178="","",IFERROR((N($J178)*N($K178)+SUMIFS(Purchases!$K$5:INDEX(Purchases!$K$5:$K$3004,TxRows),Purchases!$D$5:INDEX(Purchases!$D$5:$D$3004,TxRows),$A178))/(N($J178)+L178),N($G178)))</f>
        <v/>
      </c>
      <c r="Q178" s="61" t="str">
        <f aca="false">IF($A178="","",MAX(0,O178)*P178)</f>
        <v/>
      </c>
      <c r="R178" s="60" t="str">
        <f aca="false">IF($A178="","",IF(O178&lt;0,"NEGATIVE",IF(O178=0,"OUT OF STOCK",IF(O178&lt;=N($I178),"REORDER",IF(AND(O178&gt;0,X178&gt;DeadDays),"DEAD STOCK","OK")))))</f>
        <v/>
      </c>
      <c r="S178" s="65" t="str">
        <f aca="false">IF($A178="","",IF(N($H178)=0,0,(N($H178)-P178)/N($H178)))</f>
        <v/>
      </c>
      <c r="T178" s="64" t="str">
        <f aca="false">IF($A178="","",IF(O178&lt;=N($I178),MAX(0,2*N($I178)-O178),0))</f>
        <v/>
      </c>
      <c r="U178" s="61" t="str">
        <f aca="false">IF($A178="","",SUMIFS(Sales!$L$5:INDEX(Sales!$L$5:$L$3004,TxRows),Sales!$D$5:INDEX(Sales!$D$5:$D$3004,TxRows),$A178))</f>
        <v/>
      </c>
      <c r="V178" s="61" t="str">
        <f aca="false">IF($A178="","",SUMIFS(Sales!$S$5:INDEX(Sales!$S$5:$S$3004,TxRows),Sales!$D$5:INDEX(Sales!$D$5:$D$3004,TxRows),$A178))</f>
        <v/>
      </c>
      <c r="W178" s="66" t="str">
        <f aca="false">IF($A178="","",IFERROR(SUMPRODUCT(MAX((Sales!$D$5:INDEX(Sales!$D$5:$D$3004,TxRows)=$A178)*Sales!$A$5:INDEX(Sales!$A$5:$A$3004,TxRows))),0))</f>
        <v/>
      </c>
      <c r="X178" s="67" t="str">
        <f aca="false">IF($A178="","",IF(W178=0,AsOf-FYStart,AsOf-W178))</f>
        <v/>
      </c>
      <c r="Y178" s="67" t="str">
        <f aca="false">IF($A178="","",IF(M178=0,"",O178/(M178/MAX(1,AsOf-FYStart))))</f>
        <v/>
      </c>
      <c r="Z178" s="60" t="str">
        <f aca="false">IF($A178="","",U178+ROW()/1000000)</f>
        <v/>
      </c>
    </row>
    <row r="179" customFormat="false" ht="15" hidden="false" customHeight="false" outlineLevel="0" collapsed="false">
      <c r="A179" s="56"/>
      <c r="B179" s="56"/>
      <c r="C179" s="56"/>
      <c r="D179" s="56"/>
      <c r="E179" s="56"/>
      <c r="F179" s="63"/>
      <c r="G179" s="58"/>
      <c r="H179" s="58"/>
      <c r="I179" s="57"/>
      <c r="J179" s="57"/>
      <c r="K179" s="58"/>
      <c r="L179" s="64" t="str">
        <f aca="false">IF($A179="","",SUMIFS(Purchases!$E$5:INDEX(Purchases!$E$5:$E$3004,TxRows),Purchases!$D$5:INDEX(Purchases!$D$5:$D$3004,TxRows),$A179))</f>
        <v/>
      </c>
      <c r="M179" s="64" t="str">
        <f aca="false">IF($A179="","",SUMIFS(Sales!$E$5:INDEX(Sales!$E$5:$E$3004,TxRows),Sales!$D$5:INDEX(Sales!$D$5:$D$3004,TxRows),$A179))</f>
        <v/>
      </c>
      <c r="N179" s="64" t="str">
        <f aca="false">IF($A179="","",SUMIFS(Adjustments!$C$5:$C$504,Adjustments!$B$5:$B$504,$A179))</f>
        <v/>
      </c>
      <c r="O179" s="64" t="str">
        <f aca="false">IF($A179="","",N($J179)+L179-M179+N179)</f>
        <v/>
      </c>
      <c r="P179" s="61" t="str">
        <f aca="false">IF($A179="","",IFERROR((N($J179)*N($K179)+SUMIFS(Purchases!$K$5:INDEX(Purchases!$K$5:$K$3004,TxRows),Purchases!$D$5:INDEX(Purchases!$D$5:$D$3004,TxRows),$A179))/(N($J179)+L179),N($G179)))</f>
        <v/>
      </c>
      <c r="Q179" s="61" t="str">
        <f aca="false">IF($A179="","",MAX(0,O179)*P179)</f>
        <v/>
      </c>
      <c r="R179" s="60" t="str">
        <f aca="false">IF($A179="","",IF(O179&lt;0,"NEGATIVE",IF(O179=0,"OUT OF STOCK",IF(O179&lt;=N($I179),"REORDER",IF(AND(O179&gt;0,X179&gt;DeadDays),"DEAD STOCK","OK")))))</f>
        <v/>
      </c>
      <c r="S179" s="65" t="str">
        <f aca="false">IF($A179="","",IF(N($H179)=0,0,(N($H179)-P179)/N($H179)))</f>
        <v/>
      </c>
      <c r="T179" s="64" t="str">
        <f aca="false">IF($A179="","",IF(O179&lt;=N($I179),MAX(0,2*N($I179)-O179),0))</f>
        <v/>
      </c>
      <c r="U179" s="61" t="str">
        <f aca="false">IF($A179="","",SUMIFS(Sales!$L$5:INDEX(Sales!$L$5:$L$3004,TxRows),Sales!$D$5:INDEX(Sales!$D$5:$D$3004,TxRows),$A179))</f>
        <v/>
      </c>
      <c r="V179" s="61" t="str">
        <f aca="false">IF($A179="","",SUMIFS(Sales!$S$5:INDEX(Sales!$S$5:$S$3004,TxRows),Sales!$D$5:INDEX(Sales!$D$5:$D$3004,TxRows),$A179))</f>
        <v/>
      </c>
      <c r="W179" s="66" t="str">
        <f aca="false">IF($A179="","",IFERROR(SUMPRODUCT(MAX((Sales!$D$5:INDEX(Sales!$D$5:$D$3004,TxRows)=$A179)*Sales!$A$5:INDEX(Sales!$A$5:$A$3004,TxRows))),0))</f>
        <v/>
      </c>
      <c r="X179" s="67" t="str">
        <f aca="false">IF($A179="","",IF(W179=0,AsOf-FYStart,AsOf-W179))</f>
        <v/>
      </c>
      <c r="Y179" s="67" t="str">
        <f aca="false">IF($A179="","",IF(M179=0,"",O179/(M179/MAX(1,AsOf-FYStart))))</f>
        <v/>
      </c>
      <c r="Z179" s="60" t="str">
        <f aca="false">IF($A179="","",U179+ROW()/1000000)</f>
        <v/>
      </c>
    </row>
    <row r="180" customFormat="false" ht="15" hidden="false" customHeight="false" outlineLevel="0" collapsed="false">
      <c r="A180" s="56"/>
      <c r="B180" s="56"/>
      <c r="C180" s="56"/>
      <c r="D180" s="56"/>
      <c r="E180" s="56"/>
      <c r="F180" s="63"/>
      <c r="G180" s="58"/>
      <c r="H180" s="58"/>
      <c r="I180" s="57"/>
      <c r="J180" s="57"/>
      <c r="K180" s="58"/>
      <c r="L180" s="64" t="str">
        <f aca="false">IF($A180="","",SUMIFS(Purchases!$E$5:INDEX(Purchases!$E$5:$E$3004,TxRows),Purchases!$D$5:INDEX(Purchases!$D$5:$D$3004,TxRows),$A180))</f>
        <v/>
      </c>
      <c r="M180" s="64" t="str">
        <f aca="false">IF($A180="","",SUMIFS(Sales!$E$5:INDEX(Sales!$E$5:$E$3004,TxRows),Sales!$D$5:INDEX(Sales!$D$5:$D$3004,TxRows),$A180))</f>
        <v/>
      </c>
      <c r="N180" s="64" t="str">
        <f aca="false">IF($A180="","",SUMIFS(Adjustments!$C$5:$C$504,Adjustments!$B$5:$B$504,$A180))</f>
        <v/>
      </c>
      <c r="O180" s="64" t="str">
        <f aca="false">IF($A180="","",N($J180)+L180-M180+N180)</f>
        <v/>
      </c>
      <c r="P180" s="61" t="str">
        <f aca="false">IF($A180="","",IFERROR((N($J180)*N($K180)+SUMIFS(Purchases!$K$5:INDEX(Purchases!$K$5:$K$3004,TxRows),Purchases!$D$5:INDEX(Purchases!$D$5:$D$3004,TxRows),$A180))/(N($J180)+L180),N($G180)))</f>
        <v/>
      </c>
      <c r="Q180" s="61" t="str">
        <f aca="false">IF($A180="","",MAX(0,O180)*P180)</f>
        <v/>
      </c>
      <c r="R180" s="60" t="str">
        <f aca="false">IF($A180="","",IF(O180&lt;0,"NEGATIVE",IF(O180=0,"OUT OF STOCK",IF(O180&lt;=N($I180),"REORDER",IF(AND(O180&gt;0,X180&gt;DeadDays),"DEAD STOCK","OK")))))</f>
        <v/>
      </c>
      <c r="S180" s="65" t="str">
        <f aca="false">IF($A180="","",IF(N($H180)=0,0,(N($H180)-P180)/N($H180)))</f>
        <v/>
      </c>
      <c r="T180" s="64" t="str">
        <f aca="false">IF($A180="","",IF(O180&lt;=N($I180),MAX(0,2*N($I180)-O180),0))</f>
        <v/>
      </c>
      <c r="U180" s="61" t="str">
        <f aca="false">IF($A180="","",SUMIFS(Sales!$L$5:INDEX(Sales!$L$5:$L$3004,TxRows),Sales!$D$5:INDEX(Sales!$D$5:$D$3004,TxRows),$A180))</f>
        <v/>
      </c>
      <c r="V180" s="61" t="str">
        <f aca="false">IF($A180="","",SUMIFS(Sales!$S$5:INDEX(Sales!$S$5:$S$3004,TxRows),Sales!$D$5:INDEX(Sales!$D$5:$D$3004,TxRows),$A180))</f>
        <v/>
      </c>
      <c r="W180" s="66" t="str">
        <f aca="false">IF($A180="","",IFERROR(SUMPRODUCT(MAX((Sales!$D$5:INDEX(Sales!$D$5:$D$3004,TxRows)=$A180)*Sales!$A$5:INDEX(Sales!$A$5:$A$3004,TxRows))),0))</f>
        <v/>
      </c>
      <c r="X180" s="67" t="str">
        <f aca="false">IF($A180="","",IF(W180=0,AsOf-FYStart,AsOf-W180))</f>
        <v/>
      </c>
      <c r="Y180" s="67" t="str">
        <f aca="false">IF($A180="","",IF(M180=0,"",O180/(M180/MAX(1,AsOf-FYStart))))</f>
        <v/>
      </c>
      <c r="Z180" s="60" t="str">
        <f aca="false">IF($A180="","",U180+ROW()/1000000)</f>
        <v/>
      </c>
    </row>
    <row r="181" customFormat="false" ht="15" hidden="false" customHeight="false" outlineLevel="0" collapsed="false">
      <c r="A181" s="56"/>
      <c r="B181" s="56"/>
      <c r="C181" s="56"/>
      <c r="D181" s="56"/>
      <c r="E181" s="56"/>
      <c r="F181" s="63"/>
      <c r="G181" s="58"/>
      <c r="H181" s="58"/>
      <c r="I181" s="57"/>
      <c r="J181" s="57"/>
      <c r="K181" s="58"/>
      <c r="L181" s="64" t="str">
        <f aca="false">IF($A181="","",SUMIFS(Purchases!$E$5:INDEX(Purchases!$E$5:$E$3004,TxRows),Purchases!$D$5:INDEX(Purchases!$D$5:$D$3004,TxRows),$A181))</f>
        <v/>
      </c>
      <c r="M181" s="64" t="str">
        <f aca="false">IF($A181="","",SUMIFS(Sales!$E$5:INDEX(Sales!$E$5:$E$3004,TxRows),Sales!$D$5:INDEX(Sales!$D$5:$D$3004,TxRows),$A181))</f>
        <v/>
      </c>
      <c r="N181" s="64" t="str">
        <f aca="false">IF($A181="","",SUMIFS(Adjustments!$C$5:$C$504,Adjustments!$B$5:$B$504,$A181))</f>
        <v/>
      </c>
      <c r="O181" s="64" t="str">
        <f aca="false">IF($A181="","",N($J181)+L181-M181+N181)</f>
        <v/>
      </c>
      <c r="P181" s="61" t="str">
        <f aca="false">IF($A181="","",IFERROR((N($J181)*N($K181)+SUMIFS(Purchases!$K$5:INDEX(Purchases!$K$5:$K$3004,TxRows),Purchases!$D$5:INDEX(Purchases!$D$5:$D$3004,TxRows),$A181))/(N($J181)+L181),N($G181)))</f>
        <v/>
      </c>
      <c r="Q181" s="61" t="str">
        <f aca="false">IF($A181="","",MAX(0,O181)*P181)</f>
        <v/>
      </c>
      <c r="R181" s="60" t="str">
        <f aca="false">IF($A181="","",IF(O181&lt;0,"NEGATIVE",IF(O181=0,"OUT OF STOCK",IF(O181&lt;=N($I181),"REORDER",IF(AND(O181&gt;0,X181&gt;DeadDays),"DEAD STOCK","OK")))))</f>
        <v/>
      </c>
      <c r="S181" s="65" t="str">
        <f aca="false">IF($A181="","",IF(N($H181)=0,0,(N($H181)-P181)/N($H181)))</f>
        <v/>
      </c>
      <c r="T181" s="64" t="str">
        <f aca="false">IF($A181="","",IF(O181&lt;=N($I181),MAX(0,2*N($I181)-O181),0))</f>
        <v/>
      </c>
      <c r="U181" s="61" t="str">
        <f aca="false">IF($A181="","",SUMIFS(Sales!$L$5:INDEX(Sales!$L$5:$L$3004,TxRows),Sales!$D$5:INDEX(Sales!$D$5:$D$3004,TxRows),$A181))</f>
        <v/>
      </c>
      <c r="V181" s="61" t="str">
        <f aca="false">IF($A181="","",SUMIFS(Sales!$S$5:INDEX(Sales!$S$5:$S$3004,TxRows),Sales!$D$5:INDEX(Sales!$D$5:$D$3004,TxRows),$A181))</f>
        <v/>
      </c>
      <c r="W181" s="66" t="str">
        <f aca="false">IF($A181="","",IFERROR(SUMPRODUCT(MAX((Sales!$D$5:INDEX(Sales!$D$5:$D$3004,TxRows)=$A181)*Sales!$A$5:INDEX(Sales!$A$5:$A$3004,TxRows))),0))</f>
        <v/>
      </c>
      <c r="X181" s="67" t="str">
        <f aca="false">IF($A181="","",IF(W181=0,AsOf-FYStart,AsOf-W181))</f>
        <v/>
      </c>
      <c r="Y181" s="67" t="str">
        <f aca="false">IF($A181="","",IF(M181=0,"",O181/(M181/MAX(1,AsOf-FYStart))))</f>
        <v/>
      </c>
      <c r="Z181" s="60" t="str">
        <f aca="false">IF($A181="","",U181+ROW()/1000000)</f>
        <v/>
      </c>
    </row>
    <row r="182" customFormat="false" ht="15" hidden="false" customHeight="false" outlineLevel="0" collapsed="false">
      <c r="A182" s="56"/>
      <c r="B182" s="56"/>
      <c r="C182" s="56"/>
      <c r="D182" s="56"/>
      <c r="E182" s="56"/>
      <c r="F182" s="63"/>
      <c r="G182" s="58"/>
      <c r="H182" s="58"/>
      <c r="I182" s="57"/>
      <c r="J182" s="57"/>
      <c r="K182" s="58"/>
      <c r="L182" s="64" t="str">
        <f aca="false">IF($A182="","",SUMIFS(Purchases!$E$5:INDEX(Purchases!$E$5:$E$3004,TxRows),Purchases!$D$5:INDEX(Purchases!$D$5:$D$3004,TxRows),$A182))</f>
        <v/>
      </c>
      <c r="M182" s="64" t="str">
        <f aca="false">IF($A182="","",SUMIFS(Sales!$E$5:INDEX(Sales!$E$5:$E$3004,TxRows),Sales!$D$5:INDEX(Sales!$D$5:$D$3004,TxRows),$A182))</f>
        <v/>
      </c>
      <c r="N182" s="64" t="str">
        <f aca="false">IF($A182="","",SUMIFS(Adjustments!$C$5:$C$504,Adjustments!$B$5:$B$504,$A182))</f>
        <v/>
      </c>
      <c r="O182" s="64" t="str">
        <f aca="false">IF($A182="","",N($J182)+L182-M182+N182)</f>
        <v/>
      </c>
      <c r="P182" s="61" t="str">
        <f aca="false">IF($A182="","",IFERROR((N($J182)*N($K182)+SUMIFS(Purchases!$K$5:INDEX(Purchases!$K$5:$K$3004,TxRows),Purchases!$D$5:INDEX(Purchases!$D$5:$D$3004,TxRows),$A182))/(N($J182)+L182),N($G182)))</f>
        <v/>
      </c>
      <c r="Q182" s="61" t="str">
        <f aca="false">IF($A182="","",MAX(0,O182)*P182)</f>
        <v/>
      </c>
      <c r="R182" s="60" t="str">
        <f aca="false">IF($A182="","",IF(O182&lt;0,"NEGATIVE",IF(O182=0,"OUT OF STOCK",IF(O182&lt;=N($I182),"REORDER",IF(AND(O182&gt;0,X182&gt;DeadDays),"DEAD STOCK","OK")))))</f>
        <v/>
      </c>
      <c r="S182" s="65" t="str">
        <f aca="false">IF($A182="","",IF(N($H182)=0,0,(N($H182)-P182)/N($H182)))</f>
        <v/>
      </c>
      <c r="T182" s="64" t="str">
        <f aca="false">IF($A182="","",IF(O182&lt;=N($I182),MAX(0,2*N($I182)-O182),0))</f>
        <v/>
      </c>
      <c r="U182" s="61" t="str">
        <f aca="false">IF($A182="","",SUMIFS(Sales!$L$5:INDEX(Sales!$L$5:$L$3004,TxRows),Sales!$D$5:INDEX(Sales!$D$5:$D$3004,TxRows),$A182))</f>
        <v/>
      </c>
      <c r="V182" s="61" t="str">
        <f aca="false">IF($A182="","",SUMIFS(Sales!$S$5:INDEX(Sales!$S$5:$S$3004,TxRows),Sales!$D$5:INDEX(Sales!$D$5:$D$3004,TxRows),$A182))</f>
        <v/>
      </c>
      <c r="W182" s="66" t="str">
        <f aca="false">IF($A182="","",IFERROR(SUMPRODUCT(MAX((Sales!$D$5:INDEX(Sales!$D$5:$D$3004,TxRows)=$A182)*Sales!$A$5:INDEX(Sales!$A$5:$A$3004,TxRows))),0))</f>
        <v/>
      </c>
      <c r="X182" s="67" t="str">
        <f aca="false">IF($A182="","",IF(W182=0,AsOf-FYStart,AsOf-W182))</f>
        <v/>
      </c>
      <c r="Y182" s="67" t="str">
        <f aca="false">IF($A182="","",IF(M182=0,"",O182/(M182/MAX(1,AsOf-FYStart))))</f>
        <v/>
      </c>
      <c r="Z182" s="60" t="str">
        <f aca="false">IF($A182="","",U182+ROW()/1000000)</f>
        <v/>
      </c>
    </row>
    <row r="183" customFormat="false" ht="15" hidden="false" customHeight="false" outlineLevel="0" collapsed="false">
      <c r="A183" s="56"/>
      <c r="B183" s="56"/>
      <c r="C183" s="56"/>
      <c r="D183" s="56"/>
      <c r="E183" s="56"/>
      <c r="F183" s="63"/>
      <c r="G183" s="58"/>
      <c r="H183" s="58"/>
      <c r="I183" s="57"/>
      <c r="J183" s="57"/>
      <c r="K183" s="58"/>
      <c r="L183" s="64" t="str">
        <f aca="false">IF($A183="","",SUMIFS(Purchases!$E$5:INDEX(Purchases!$E$5:$E$3004,TxRows),Purchases!$D$5:INDEX(Purchases!$D$5:$D$3004,TxRows),$A183))</f>
        <v/>
      </c>
      <c r="M183" s="64" t="str">
        <f aca="false">IF($A183="","",SUMIFS(Sales!$E$5:INDEX(Sales!$E$5:$E$3004,TxRows),Sales!$D$5:INDEX(Sales!$D$5:$D$3004,TxRows),$A183))</f>
        <v/>
      </c>
      <c r="N183" s="64" t="str">
        <f aca="false">IF($A183="","",SUMIFS(Adjustments!$C$5:$C$504,Adjustments!$B$5:$B$504,$A183))</f>
        <v/>
      </c>
      <c r="O183" s="64" t="str">
        <f aca="false">IF($A183="","",N($J183)+L183-M183+N183)</f>
        <v/>
      </c>
      <c r="P183" s="61" t="str">
        <f aca="false">IF($A183="","",IFERROR((N($J183)*N($K183)+SUMIFS(Purchases!$K$5:INDEX(Purchases!$K$5:$K$3004,TxRows),Purchases!$D$5:INDEX(Purchases!$D$5:$D$3004,TxRows),$A183))/(N($J183)+L183),N($G183)))</f>
        <v/>
      </c>
      <c r="Q183" s="61" t="str">
        <f aca="false">IF($A183="","",MAX(0,O183)*P183)</f>
        <v/>
      </c>
      <c r="R183" s="60" t="str">
        <f aca="false">IF($A183="","",IF(O183&lt;0,"NEGATIVE",IF(O183=0,"OUT OF STOCK",IF(O183&lt;=N($I183),"REORDER",IF(AND(O183&gt;0,X183&gt;DeadDays),"DEAD STOCK","OK")))))</f>
        <v/>
      </c>
      <c r="S183" s="65" t="str">
        <f aca="false">IF($A183="","",IF(N($H183)=0,0,(N($H183)-P183)/N($H183)))</f>
        <v/>
      </c>
      <c r="T183" s="64" t="str">
        <f aca="false">IF($A183="","",IF(O183&lt;=N($I183),MAX(0,2*N($I183)-O183),0))</f>
        <v/>
      </c>
      <c r="U183" s="61" t="str">
        <f aca="false">IF($A183="","",SUMIFS(Sales!$L$5:INDEX(Sales!$L$5:$L$3004,TxRows),Sales!$D$5:INDEX(Sales!$D$5:$D$3004,TxRows),$A183))</f>
        <v/>
      </c>
      <c r="V183" s="61" t="str">
        <f aca="false">IF($A183="","",SUMIFS(Sales!$S$5:INDEX(Sales!$S$5:$S$3004,TxRows),Sales!$D$5:INDEX(Sales!$D$5:$D$3004,TxRows),$A183))</f>
        <v/>
      </c>
      <c r="W183" s="66" t="str">
        <f aca="false">IF($A183="","",IFERROR(SUMPRODUCT(MAX((Sales!$D$5:INDEX(Sales!$D$5:$D$3004,TxRows)=$A183)*Sales!$A$5:INDEX(Sales!$A$5:$A$3004,TxRows))),0))</f>
        <v/>
      </c>
      <c r="X183" s="67" t="str">
        <f aca="false">IF($A183="","",IF(W183=0,AsOf-FYStart,AsOf-W183))</f>
        <v/>
      </c>
      <c r="Y183" s="67" t="str">
        <f aca="false">IF($A183="","",IF(M183=0,"",O183/(M183/MAX(1,AsOf-FYStart))))</f>
        <v/>
      </c>
      <c r="Z183" s="60" t="str">
        <f aca="false">IF($A183="","",U183+ROW()/1000000)</f>
        <v/>
      </c>
    </row>
    <row r="184" customFormat="false" ht="15" hidden="false" customHeight="false" outlineLevel="0" collapsed="false">
      <c r="A184" s="56"/>
      <c r="B184" s="56"/>
      <c r="C184" s="56"/>
      <c r="D184" s="56"/>
      <c r="E184" s="56"/>
      <c r="F184" s="63"/>
      <c r="G184" s="58"/>
      <c r="H184" s="58"/>
      <c r="I184" s="57"/>
      <c r="J184" s="57"/>
      <c r="K184" s="58"/>
      <c r="L184" s="64" t="str">
        <f aca="false">IF($A184="","",SUMIFS(Purchases!$E$5:INDEX(Purchases!$E$5:$E$3004,TxRows),Purchases!$D$5:INDEX(Purchases!$D$5:$D$3004,TxRows),$A184))</f>
        <v/>
      </c>
      <c r="M184" s="64" t="str">
        <f aca="false">IF($A184="","",SUMIFS(Sales!$E$5:INDEX(Sales!$E$5:$E$3004,TxRows),Sales!$D$5:INDEX(Sales!$D$5:$D$3004,TxRows),$A184))</f>
        <v/>
      </c>
      <c r="N184" s="64" t="str">
        <f aca="false">IF($A184="","",SUMIFS(Adjustments!$C$5:$C$504,Adjustments!$B$5:$B$504,$A184))</f>
        <v/>
      </c>
      <c r="O184" s="64" t="str">
        <f aca="false">IF($A184="","",N($J184)+L184-M184+N184)</f>
        <v/>
      </c>
      <c r="P184" s="61" t="str">
        <f aca="false">IF($A184="","",IFERROR((N($J184)*N($K184)+SUMIFS(Purchases!$K$5:INDEX(Purchases!$K$5:$K$3004,TxRows),Purchases!$D$5:INDEX(Purchases!$D$5:$D$3004,TxRows),$A184))/(N($J184)+L184),N($G184)))</f>
        <v/>
      </c>
      <c r="Q184" s="61" t="str">
        <f aca="false">IF($A184="","",MAX(0,O184)*P184)</f>
        <v/>
      </c>
      <c r="R184" s="60" t="str">
        <f aca="false">IF($A184="","",IF(O184&lt;0,"NEGATIVE",IF(O184=0,"OUT OF STOCK",IF(O184&lt;=N($I184),"REORDER",IF(AND(O184&gt;0,X184&gt;DeadDays),"DEAD STOCK","OK")))))</f>
        <v/>
      </c>
      <c r="S184" s="65" t="str">
        <f aca="false">IF($A184="","",IF(N($H184)=0,0,(N($H184)-P184)/N($H184)))</f>
        <v/>
      </c>
      <c r="T184" s="64" t="str">
        <f aca="false">IF($A184="","",IF(O184&lt;=N($I184),MAX(0,2*N($I184)-O184),0))</f>
        <v/>
      </c>
      <c r="U184" s="61" t="str">
        <f aca="false">IF($A184="","",SUMIFS(Sales!$L$5:INDEX(Sales!$L$5:$L$3004,TxRows),Sales!$D$5:INDEX(Sales!$D$5:$D$3004,TxRows),$A184))</f>
        <v/>
      </c>
      <c r="V184" s="61" t="str">
        <f aca="false">IF($A184="","",SUMIFS(Sales!$S$5:INDEX(Sales!$S$5:$S$3004,TxRows),Sales!$D$5:INDEX(Sales!$D$5:$D$3004,TxRows),$A184))</f>
        <v/>
      </c>
      <c r="W184" s="66" t="str">
        <f aca="false">IF($A184="","",IFERROR(SUMPRODUCT(MAX((Sales!$D$5:INDEX(Sales!$D$5:$D$3004,TxRows)=$A184)*Sales!$A$5:INDEX(Sales!$A$5:$A$3004,TxRows))),0))</f>
        <v/>
      </c>
      <c r="X184" s="67" t="str">
        <f aca="false">IF($A184="","",IF(W184=0,AsOf-FYStart,AsOf-W184))</f>
        <v/>
      </c>
      <c r="Y184" s="67" t="str">
        <f aca="false">IF($A184="","",IF(M184=0,"",O184/(M184/MAX(1,AsOf-FYStart))))</f>
        <v/>
      </c>
      <c r="Z184" s="60" t="str">
        <f aca="false">IF($A184="","",U184+ROW()/1000000)</f>
        <v/>
      </c>
    </row>
    <row r="185" customFormat="false" ht="15" hidden="false" customHeight="false" outlineLevel="0" collapsed="false">
      <c r="A185" s="56"/>
      <c r="B185" s="56"/>
      <c r="C185" s="56"/>
      <c r="D185" s="56"/>
      <c r="E185" s="56"/>
      <c r="F185" s="63"/>
      <c r="G185" s="58"/>
      <c r="H185" s="58"/>
      <c r="I185" s="57"/>
      <c r="J185" s="57"/>
      <c r="K185" s="58"/>
      <c r="L185" s="64" t="str">
        <f aca="false">IF($A185="","",SUMIFS(Purchases!$E$5:INDEX(Purchases!$E$5:$E$3004,TxRows),Purchases!$D$5:INDEX(Purchases!$D$5:$D$3004,TxRows),$A185))</f>
        <v/>
      </c>
      <c r="M185" s="64" t="str">
        <f aca="false">IF($A185="","",SUMIFS(Sales!$E$5:INDEX(Sales!$E$5:$E$3004,TxRows),Sales!$D$5:INDEX(Sales!$D$5:$D$3004,TxRows),$A185))</f>
        <v/>
      </c>
      <c r="N185" s="64" t="str">
        <f aca="false">IF($A185="","",SUMIFS(Adjustments!$C$5:$C$504,Adjustments!$B$5:$B$504,$A185))</f>
        <v/>
      </c>
      <c r="O185" s="64" t="str">
        <f aca="false">IF($A185="","",N($J185)+L185-M185+N185)</f>
        <v/>
      </c>
      <c r="P185" s="61" t="str">
        <f aca="false">IF($A185="","",IFERROR((N($J185)*N($K185)+SUMIFS(Purchases!$K$5:INDEX(Purchases!$K$5:$K$3004,TxRows),Purchases!$D$5:INDEX(Purchases!$D$5:$D$3004,TxRows),$A185))/(N($J185)+L185),N($G185)))</f>
        <v/>
      </c>
      <c r="Q185" s="61" t="str">
        <f aca="false">IF($A185="","",MAX(0,O185)*P185)</f>
        <v/>
      </c>
      <c r="R185" s="60" t="str">
        <f aca="false">IF($A185="","",IF(O185&lt;0,"NEGATIVE",IF(O185=0,"OUT OF STOCK",IF(O185&lt;=N($I185),"REORDER",IF(AND(O185&gt;0,X185&gt;DeadDays),"DEAD STOCK","OK")))))</f>
        <v/>
      </c>
      <c r="S185" s="65" t="str">
        <f aca="false">IF($A185="","",IF(N($H185)=0,0,(N($H185)-P185)/N($H185)))</f>
        <v/>
      </c>
      <c r="T185" s="64" t="str">
        <f aca="false">IF($A185="","",IF(O185&lt;=N($I185),MAX(0,2*N($I185)-O185),0))</f>
        <v/>
      </c>
      <c r="U185" s="61" t="str">
        <f aca="false">IF($A185="","",SUMIFS(Sales!$L$5:INDEX(Sales!$L$5:$L$3004,TxRows),Sales!$D$5:INDEX(Sales!$D$5:$D$3004,TxRows),$A185))</f>
        <v/>
      </c>
      <c r="V185" s="61" t="str">
        <f aca="false">IF($A185="","",SUMIFS(Sales!$S$5:INDEX(Sales!$S$5:$S$3004,TxRows),Sales!$D$5:INDEX(Sales!$D$5:$D$3004,TxRows),$A185))</f>
        <v/>
      </c>
      <c r="W185" s="66" t="str">
        <f aca="false">IF($A185="","",IFERROR(SUMPRODUCT(MAX((Sales!$D$5:INDEX(Sales!$D$5:$D$3004,TxRows)=$A185)*Sales!$A$5:INDEX(Sales!$A$5:$A$3004,TxRows))),0))</f>
        <v/>
      </c>
      <c r="X185" s="67" t="str">
        <f aca="false">IF($A185="","",IF(W185=0,AsOf-FYStart,AsOf-W185))</f>
        <v/>
      </c>
      <c r="Y185" s="67" t="str">
        <f aca="false">IF($A185="","",IF(M185=0,"",O185/(M185/MAX(1,AsOf-FYStart))))</f>
        <v/>
      </c>
      <c r="Z185" s="60" t="str">
        <f aca="false">IF($A185="","",U185+ROW()/1000000)</f>
        <v/>
      </c>
    </row>
    <row r="186" customFormat="false" ht="15" hidden="false" customHeight="false" outlineLevel="0" collapsed="false">
      <c r="A186" s="56"/>
      <c r="B186" s="56"/>
      <c r="C186" s="56"/>
      <c r="D186" s="56"/>
      <c r="E186" s="56"/>
      <c r="F186" s="63"/>
      <c r="G186" s="58"/>
      <c r="H186" s="58"/>
      <c r="I186" s="57"/>
      <c r="J186" s="57"/>
      <c r="K186" s="58"/>
      <c r="L186" s="64" t="str">
        <f aca="false">IF($A186="","",SUMIFS(Purchases!$E$5:INDEX(Purchases!$E$5:$E$3004,TxRows),Purchases!$D$5:INDEX(Purchases!$D$5:$D$3004,TxRows),$A186))</f>
        <v/>
      </c>
      <c r="M186" s="64" t="str">
        <f aca="false">IF($A186="","",SUMIFS(Sales!$E$5:INDEX(Sales!$E$5:$E$3004,TxRows),Sales!$D$5:INDEX(Sales!$D$5:$D$3004,TxRows),$A186))</f>
        <v/>
      </c>
      <c r="N186" s="64" t="str">
        <f aca="false">IF($A186="","",SUMIFS(Adjustments!$C$5:$C$504,Adjustments!$B$5:$B$504,$A186))</f>
        <v/>
      </c>
      <c r="O186" s="64" t="str">
        <f aca="false">IF($A186="","",N($J186)+L186-M186+N186)</f>
        <v/>
      </c>
      <c r="P186" s="61" t="str">
        <f aca="false">IF($A186="","",IFERROR((N($J186)*N($K186)+SUMIFS(Purchases!$K$5:INDEX(Purchases!$K$5:$K$3004,TxRows),Purchases!$D$5:INDEX(Purchases!$D$5:$D$3004,TxRows),$A186))/(N($J186)+L186),N($G186)))</f>
        <v/>
      </c>
      <c r="Q186" s="61" t="str">
        <f aca="false">IF($A186="","",MAX(0,O186)*P186)</f>
        <v/>
      </c>
      <c r="R186" s="60" t="str">
        <f aca="false">IF($A186="","",IF(O186&lt;0,"NEGATIVE",IF(O186=0,"OUT OF STOCK",IF(O186&lt;=N($I186),"REORDER",IF(AND(O186&gt;0,X186&gt;DeadDays),"DEAD STOCK","OK")))))</f>
        <v/>
      </c>
      <c r="S186" s="65" t="str">
        <f aca="false">IF($A186="","",IF(N($H186)=0,0,(N($H186)-P186)/N($H186)))</f>
        <v/>
      </c>
      <c r="T186" s="64" t="str">
        <f aca="false">IF($A186="","",IF(O186&lt;=N($I186),MAX(0,2*N($I186)-O186),0))</f>
        <v/>
      </c>
      <c r="U186" s="61" t="str">
        <f aca="false">IF($A186="","",SUMIFS(Sales!$L$5:INDEX(Sales!$L$5:$L$3004,TxRows),Sales!$D$5:INDEX(Sales!$D$5:$D$3004,TxRows),$A186))</f>
        <v/>
      </c>
      <c r="V186" s="61" t="str">
        <f aca="false">IF($A186="","",SUMIFS(Sales!$S$5:INDEX(Sales!$S$5:$S$3004,TxRows),Sales!$D$5:INDEX(Sales!$D$5:$D$3004,TxRows),$A186))</f>
        <v/>
      </c>
      <c r="W186" s="66" t="str">
        <f aca="false">IF($A186="","",IFERROR(SUMPRODUCT(MAX((Sales!$D$5:INDEX(Sales!$D$5:$D$3004,TxRows)=$A186)*Sales!$A$5:INDEX(Sales!$A$5:$A$3004,TxRows))),0))</f>
        <v/>
      </c>
      <c r="X186" s="67" t="str">
        <f aca="false">IF($A186="","",IF(W186=0,AsOf-FYStart,AsOf-W186))</f>
        <v/>
      </c>
      <c r="Y186" s="67" t="str">
        <f aca="false">IF($A186="","",IF(M186=0,"",O186/(M186/MAX(1,AsOf-FYStart))))</f>
        <v/>
      </c>
      <c r="Z186" s="60" t="str">
        <f aca="false">IF($A186="","",U186+ROW()/1000000)</f>
        <v/>
      </c>
    </row>
    <row r="187" customFormat="false" ht="15" hidden="false" customHeight="false" outlineLevel="0" collapsed="false">
      <c r="A187" s="56"/>
      <c r="B187" s="56"/>
      <c r="C187" s="56"/>
      <c r="D187" s="56"/>
      <c r="E187" s="56"/>
      <c r="F187" s="63"/>
      <c r="G187" s="58"/>
      <c r="H187" s="58"/>
      <c r="I187" s="57"/>
      <c r="J187" s="57"/>
      <c r="K187" s="58"/>
      <c r="L187" s="64" t="str">
        <f aca="false">IF($A187="","",SUMIFS(Purchases!$E$5:INDEX(Purchases!$E$5:$E$3004,TxRows),Purchases!$D$5:INDEX(Purchases!$D$5:$D$3004,TxRows),$A187))</f>
        <v/>
      </c>
      <c r="M187" s="64" t="str">
        <f aca="false">IF($A187="","",SUMIFS(Sales!$E$5:INDEX(Sales!$E$5:$E$3004,TxRows),Sales!$D$5:INDEX(Sales!$D$5:$D$3004,TxRows),$A187))</f>
        <v/>
      </c>
      <c r="N187" s="64" t="str">
        <f aca="false">IF($A187="","",SUMIFS(Adjustments!$C$5:$C$504,Adjustments!$B$5:$B$504,$A187))</f>
        <v/>
      </c>
      <c r="O187" s="64" t="str">
        <f aca="false">IF($A187="","",N($J187)+L187-M187+N187)</f>
        <v/>
      </c>
      <c r="P187" s="61" t="str">
        <f aca="false">IF($A187="","",IFERROR((N($J187)*N($K187)+SUMIFS(Purchases!$K$5:INDEX(Purchases!$K$5:$K$3004,TxRows),Purchases!$D$5:INDEX(Purchases!$D$5:$D$3004,TxRows),$A187))/(N($J187)+L187),N($G187)))</f>
        <v/>
      </c>
      <c r="Q187" s="61" t="str">
        <f aca="false">IF($A187="","",MAX(0,O187)*P187)</f>
        <v/>
      </c>
      <c r="R187" s="60" t="str">
        <f aca="false">IF($A187="","",IF(O187&lt;0,"NEGATIVE",IF(O187=0,"OUT OF STOCK",IF(O187&lt;=N($I187),"REORDER",IF(AND(O187&gt;0,X187&gt;DeadDays),"DEAD STOCK","OK")))))</f>
        <v/>
      </c>
      <c r="S187" s="65" t="str">
        <f aca="false">IF($A187="","",IF(N($H187)=0,0,(N($H187)-P187)/N($H187)))</f>
        <v/>
      </c>
      <c r="T187" s="64" t="str">
        <f aca="false">IF($A187="","",IF(O187&lt;=N($I187),MAX(0,2*N($I187)-O187),0))</f>
        <v/>
      </c>
      <c r="U187" s="61" t="str">
        <f aca="false">IF($A187="","",SUMIFS(Sales!$L$5:INDEX(Sales!$L$5:$L$3004,TxRows),Sales!$D$5:INDEX(Sales!$D$5:$D$3004,TxRows),$A187))</f>
        <v/>
      </c>
      <c r="V187" s="61" t="str">
        <f aca="false">IF($A187="","",SUMIFS(Sales!$S$5:INDEX(Sales!$S$5:$S$3004,TxRows),Sales!$D$5:INDEX(Sales!$D$5:$D$3004,TxRows),$A187))</f>
        <v/>
      </c>
      <c r="W187" s="66" t="str">
        <f aca="false">IF($A187="","",IFERROR(SUMPRODUCT(MAX((Sales!$D$5:INDEX(Sales!$D$5:$D$3004,TxRows)=$A187)*Sales!$A$5:INDEX(Sales!$A$5:$A$3004,TxRows))),0))</f>
        <v/>
      </c>
      <c r="X187" s="67" t="str">
        <f aca="false">IF($A187="","",IF(W187=0,AsOf-FYStart,AsOf-W187))</f>
        <v/>
      </c>
      <c r="Y187" s="67" t="str">
        <f aca="false">IF($A187="","",IF(M187=0,"",O187/(M187/MAX(1,AsOf-FYStart))))</f>
        <v/>
      </c>
      <c r="Z187" s="60" t="str">
        <f aca="false">IF($A187="","",U187+ROW()/1000000)</f>
        <v/>
      </c>
    </row>
    <row r="188" customFormat="false" ht="15" hidden="false" customHeight="false" outlineLevel="0" collapsed="false">
      <c r="A188" s="56"/>
      <c r="B188" s="56"/>
      <c r="C188" s="56"/>
      <c r="D188" s="56"/>
      <c r="E188" s="56"/>
      <c r="F188" s="63"/>
      <c r="G188" s="58"/>
      <c r="H188" s="58"/>
      <c r="I188" s="57"/>
      <c r="J188" s="57"/>
      <c r="K188" s="58"/>
      <c r="L188" s="64" t="str">
        <f aca="false">IF($A188="","",SUMIFS(Purchases!$E$5:INDEX(Purchases!$E$5:$E$3004,TxRows),Purchases!$D$5:INDEX(Purchases!$D$5:$D$3004,TxRows),$A188))</f>
        <v/>
      </c>
      <c r="M188" s="64" t="str">
        <f aca="false">IF($A188="","",SUMIFS(Sales!$E$5:INDEX(Sales!$E$5:$E$3004,TxRows),Sales!$D$5:INDEX(Sales!$D$5:$D$3004,TxRows),$A188))</f>
        <v/>
      </c>
      <c r="N188" s="64" t="str">
        <f aca="false">IF($A188="","",SUMIFS(Adjustments!$C$5:$C$504,Adjustments!$B$5:$B$504,$A188))</f>
        <v/>
      </c>
      <c r="O188" s="64" t="str">
        <f aca="false">IF($A188="","",N($J188)+L188-M188+N188)</f>
        <v/>
      </c>
      <c r="P188" s="61" t="str">
        <f aca="false">IF($A188="","",IFERROR((N($J188)*N($K188)+SUMIFS(Purchases!$K$5:INDEX(Purchases!$K$5:$K$3004,TxRows),Purchases!$D$5:INDEX(Purchases!$D$5:$D$3004,TxRows),$A188))/(N($J188)+L188),N($G188)))</f>
        <v/>
      </c>
      <c r="Q188" s="61" t="str">
        <f aca="false">IF($A188="","",MAX(0,O188)*P188)</f>
        <v/>
      </c>
      <c r="R188" s="60" t="str">
        <f aca="false">IF($A188="","",IF(O188&lt;0,"NEGATIVE",IF(O188=0,"OUT OF STOCK",IF(O188&lt;=N($I188),"REORDER",IF(AND(O188&gt;0,X188&gt;DeadDays),"DEAD STOCK","OK")))))</f>
        <v/>
      </c>
      <c r="S188" s="65" t="str">
        <f aca="false">IF($A188="","",IF(N($H188)=0,0,(N($H188)-P188)/N($H188)))</f>
        <v/>
      </c>
      <c r="T188" s="64" t="str">
        <f aca="false">IF($A188="","",IF(O188&lt;=N($I188),MAX(0,2*N($I188)-O188),0))</f>
        <v/>
      </c>
      <c r="U188" s="61" t="str">
        <f aca="false">IF($A188="","",SUMIFS(Sales!$L$5:INDEX(Sales!$L$5:$L$3004,TxRows),Sales!$D$5:INDEX(Sales!$D$5:$D$3004,TxRows),$A188))</f>
        <v/>
      </c>
      <c r="V188" s="61" t="str">
        <f aca="false">IF($A188="","",SUMIFS(Sales!$S$5:INDEX(Sales!$S$5:$S$3004,TxRows),Sales!$D$5:INDEX(Sales!$D$5:$D$3004,TxRows),$A188))</f>
        <v/>
      </c>
      <c r="W188" s="66" t="str">
        <f aca="false">IF($A188="","",IFERROR(SUMPRODUCT(MAX((Sales!$D$5:INDEX(Sales!$D$5:$D$3004,TxRows)=$A188)*Sales!$A$5:INDEX(Sales!$A$5:$A$3004,TxRows))),0))</f>
        <v/>
      </c>
      <c r="X188" s="67" t="str">
        <f aca="false">IF($A188="","",IF(W188=0,AsOf-FYStart,AsOf-W188))</f>
        <v/>
      </c>
      <c r="Y188" s="67" t="str">
        <f aca="false">IF($A188="","",IF(M188=0,"",O188/(M188/MAX(1,AsOf-FYStart))))</f>
        <v/>
      </c>
      <c r="Z188" s="60" t="str">
        <f aca="false">IF($A188="","",U188+ROW()/1000000)</f>
        <v/>
      </c>
    </row>
    <row r="189" customFormat="false" ht="15" hidden="false" customHeight="false" outlineLevel="0" collapsed="false">
      <c r="A189" s="56"/>
      <c r="B189" s="56"/>
      <c r="C189" s="56"/>
      <c r="D189" s="56"/>
      <c r="E189" s="56"/>
      <c r="F189" s="63"/>
      <c r="G189" s="58"/>
      <c r="H189" s="58"/>
      <c r="I189" s="57"/>
      <c r="J189" s="57"/>
      <c r="K189" s="58"/>
      <c r="L189" s="64" t="str">
        <f aca="false">IF($A189="","",SUMIFS(Purchases!$E$5:INDEX(Purchases!$E$5:$E$3004,TxRows),Purchases!$D$5:INDEX(Purchases!$D$5:$D$3004,TxRows),$A189))</f>
        <v/>
      </c>
      <c r="M189" s="64" t="str">
        <f aca="false">IF($A189="","",SUMIFS(Sales!$E$5:INDEX(Sales!$E$5:$E$3004,TxRows),Sales!$D$5:INDEX(Sales!$D$5:$D$3004,TxRows),$A189))</f>
        <v/>
      </c>
      <c r="N189" s="64" t="str">
        <f aca="false">IF($A189="","",SUMIFS(Adjustments!$C$5:$C$504,Adjustments!$B$5:$B$504,$A189))</f>
        <v/>
      </c>
      <c r="O189" s="64" t="str">
        <f aca="false">IF($A189="","",N($J189)+L189-M189+N189)</f>
        <v/>
      </c>
      <c r="P189" s="61" t="str">
        <f aca="false">IF($A189="","",IFERROR((N($J189)*N($K189)+SUMIFS(Purchases!$K$5:INDEX(Purchases!$K$5:$K$3004,TxRows),Purchases!$D$5:INDEX(Purchases!$D$5:$D$3004,TxRows),$A189))/(N($J189)+L189),N($G189)))</f>
        <v/>
      </c>
      <c r="Q189" s="61" t="str">
        <f aca="false">IF($A189="","",MAX(0,O189)*P189)</f>
        <v/>
      </c>
      <c r="R189" s="60" t="str">
        <f aca="false">IF($A189="","",IF(O189&lt;0,"NEGATIVE",IF(O189=0,"OUT OF STOCK",IF(O189&lt;=N($I189),"REORDER",IF(AND(O189&gt;0,X189&gt;DeadDays),"DEAD STOCK","OK")))))</f>
        <v/>
      </c>
      <c r="S189" s="65" t="str">
        <f aca="false">IF($A189="","",IF(N($H189)=0,0,(N($H189)-P189)/N($H189)))</f>
        <v/>
      </c>
      <c r="T189" s="64" t="str">
        <f aca="false">IF($A189="","",IF(O189&lt;=N($I189),MAX(0,2*N($I189)-O189),0))</f>
        <v/>
      </c>
      <c r="U189" s="61" t="str">
        <f aca="false">IF($A189="","",SUMIFS(Sales!$L$5:INDEX(Sales!$L$5:$L$3004,TxRows),Sales!$D$5:INDEX(Sales!$D$5:$D$3004,TxRows),$A189))</f>
        <v/>
      </c>
      <c r="V189" s="61" t="str">
        <f aca="false">IF($A189="","",SUMIFS(Sales!$S$5:INDEX(Sales!$S$5:$S$3004,TxRows),Sales!$D$5:INDEX(Sales!$D$5:$D$3004,TxRows),$A189))</f>
        <v/>
      </c>
      <c r="W189" s="66" t="str">
        <f aca="false">IF($A189="","",IFERROR(SUMPRODUCT(MAX((Sales!$D$5:INDEX(Sales!$D$5:$D$3004,TxRows)=$A189)*Sales!$A$5:INDEX(Sales!$A$5:$A$3004,TxRows))),0))</f>
        <v/>
      </c>
      <c r="X189" s="67" t="str">
        <f aca="false">IF($A189="","",IF(W189=0,AsOf-FYStart,AsOf-W189))</f>
        <v/>
      </c>
      <c r="Y189" s="67" t="str">
        <f aca="false">IF($A189="","",IF(M189=0,"",O189/(M189/MAX(1,AsOf-FYStart))))</f>
        <v/>
      </c>
      <c r="Z189" s="60" t="str">
        <f aca="false">IF($A189="","",U189+ROW()/1000000)</f>
        <v/>
      </c>
    </row>
    <row r="190" customFormat="false" ht="15" hidden="false" customHeight="false" outlineLevel="0" collapsed="false">
      <c r="A190" s="56"/>
      <c r="B190" s="56"/>
      <c r="C190" s="56"/>
      <c r="D190" s="56"/>
      <c r="E190" s="56"/>
      <c r="F190" s="63"/>
      <c r="G190" s="58"/>
      <c r="H190" s="58"/>
      <c r="I190" s="57"/>
      <c r="J190" s="57"/>
      <c r="K190" s="58"/>
      <c r="L190" s="64" t="str">
        <f aca="false">IF($A190="","",SUMIFS(Purchases!$E$5:INDEX(Purchases!$E$5:$E$3004,TxRows),Purchases!$D$5:INDEX(Purchases!$D$5:$D$3004,TxRows),$A190))</f>
        <v/>
      </c>
      <c r="M190" s="64" t="str">
        <f aca="false">IF($A190="","",SUMIFS(Sales!$E$5:INDEX(Sales!$E$5:$E$3004,TxRows),Sales!$D$5:INDEX(Sales!$D$5:$D$3004,TxRows),$A190))</f>
        <v/>
      </c>
      <c r="N190" s="64" t="str">
        <f aca="false">IF($A190="","",SUMIFS(Adjustments!$C$5:$C$504,Adjustments!$B$5:$B$504,$A190))</f>
        <v/>
      </c>
      <c r="O190" s="64" t="str">
        <f aca="false">IF($A190="","",N($J190)+L190-M190+N190)</f>
        <v/>
      </c>
      <c r="P190" s="61" t="str">
        <f aca="false">IF($A190="","",IFERROR((N($J190)*N($K190)+SUMIFS(Purchases!$K$5:INDEX(Purchases!$K$5:$K$3004,TxRows),Purchases!$D$5:INDEX(Purchases!$D$5:$D$3004,TxRows),$A190))/(N($J190)+L190),N($G190)))</f>
        <v/>
      </c>
      <c r="Q190" s="61" t="str">
        <f aca="false">IF($A190="","",MAX(0,O190)*P190)</f>
        <v/>
      </c>
      <c r="R190" s="60" t="str">
        <f aca="false">IF($A190="","",IF(O190&lt;0,"NEGATIVE",IF(O190=0,"OUT OF STOCK",IF(O190&lt;=N($I190),"REORDER",IF(AND(O190&gt;0,X190&gt;DeadDays),"DEAD STOCK","OK")))))</f>
        <v/>
      </c>
      <c r="S190" s="65" t="str">
        <f aca="false">IF($A190="","",IF(N($H190)=0,0,(N($H190)-P190)/N($H190)))</f>
        <v/>
      </c>
      <c r="T190" s="64" t="str">
        <f aca="false">IF($A190="","",IF(O190&lt;=N($I190),MAX(0,2*N($I190)-O190),0))</f>
        <v/>
      </c>
      <c r="U190" s="61" t="str">
        <f aca="false">IF($A190="","",SUMIFS(Sales!$L$5:INDEX(Sales!$L$5:$L$3004,TxRows),Sales!$D$5:INDEX(Sales!$D$5:$D$3004,TxRows),$A190))</f>
        <v/>
      </c>
      <c r="V190" s="61" t="str">
        <f aca="false">IF($A190="","",SUMIFS(Sales!$S$5:INDEX(Sales!$S$5:$S$3004,TxRows),Sales!$D$5:INDEX(Sales!$D$5:$D$3004,TxRows),$A190))</f>
        <v/>
      </c>
      <c r="W190" s="66" t="str">
        <f aca="false">IF($A190="","",IFERROR(SUMPRODUCT(MAX((Sales!$D$5:INDEX(Sales!$D$5:$D$3004,TxRows)=$A190)*Sales!$A$5:INDEX(Sales!$A$5:$A$3004,TxRows))),0))</f>
        <v/>
      </c>
      <c r="X190" s="67" t="str">
        <f aca="false">IF($A190="","",IF(W190=0,AsOf-FYStart,AsOf-W190))</f>
        <v/>
      </c>
      <c r="Y190" s="67" t="str">
        <f aca="false">IF($A190="","",IF(M190=0,"",O190/(M190/MAX(1,AsOf-FYStart))))</f>
        <v/>
      </c>
      <c r="Z190" s="60" t="str">
        <f aca="false">IF($A190="","",U190+ROW()/1000000)</f>
        <v/>
      </c>
    </row>
    <row r="191" customFormat="false" ht="15" hidden="false" customHeight="false" outlineLevel="0" collapsed="false">
      <c r="A191" s="56"/>
      <c r="B191" s="56"/>
      <c r="C191" s="56"/>
      <c r="D191" s="56"/>
      <c r="E191" s="56"/>
      <c r="F191" s="63"/>
      <c r="G191" s="58"/>
      <c r="H191" s="58"/>
      <c r="I191" s="57"/>
      <c r="J191" s="57"/>
      <c r="K191" s="58"/>
      <c r="L191" s="64" t="str">
        <f aca="false">IF($A191="","",SUMIFS(Purchases!$E$5:INDEX(Purchases!$E$5:$E$3004,TxRows),Purchases!$D$5:INDEX(Purchases!$D$5:$D$3004,TxRows),$A191))</f>
        <v/>
      </c>
      <c r="M191" s="64" t="str">
        <f aca="false">IF($A191="","",SUMIFS(Sales!$E$5:INDEX(Sales!$E$5:$E$3004,TxRows),Sales!$D$5:INDEX(Sales!$D$5:$D$3004,TxRows),$A191))</f>
        <v/>
      </c>
      <c r="N191" s="64" t="str">
        <f aca="false">IF($A191="","",SUMIFS(Adjustments!$C$5:$C$504,Adjustments!$B$5:$B$504,$A191))</f>
        <v/>
      </c>
      <c r="O191" s="64" t="str">
        <f aca="false">IF($A191="","",N($J191)+L191-M191+N191)</f>
        <v/>
      </c>
      <c r="P191" s="61" t="str">
        <f aca="false">IF($A191="","",IFERROR((N($J191)*N($K191)+SUMIFS(Purchases!$K$5:INDEX(Purchases!$K$5:$K$3004,TxRows),Purchases!$D$5:INDEX(Purchases!$D$5:$D$3004,TxRows),$A191))/(N($J191)+L191),N($G191)))</f>
        <v/>
      </c>
      <c r="Q191" s="61" t="str">
        <f aca="false">IF($A191="","",MAX(0,O191)*P191)</f>
        <v/>
      </c>
      <c r="R191" s="60" t="str">
        <f aca="false">IF($A191="","",IF(O191&lt;0,"NEGATIVE",IF(O191=0,"OUT OF STOCK",IF(O191&lt;=N($I191),"REORDER",IF(AND(O191&gt;0,X191&gt;DeadDays),"DEAD STOCK","OK")))))</f>
        <v/>
      </c>
      <c r="S191" s="65" t="str">
        <f aca="false">IF($A191="","",IF(N($H191)=0,0,(N($H191)-P191)/N($H191)))</f>
        <v/>
      </c>
      <c r="T191" s="64" t="str">
        <f aca="false">IF($A191="","",IF(O191&lt;=N($I191),MAX(0,2*N($I191)-O191),0))</f>
        <v/>
      </c>
      <c r="U191" s="61" t="str">
        <f aca="false">IF($A191="","",SUMIFS(Sales!$L$5:INDEX(Sales!$L$5:$L$3004,TxRows),Sales!$D$5:INDEX(Sales!$D$5:$D$3004,TxRows),$A191))</f>
        <v/>
      </c>
      <c r="V191" s="61" t="str">
        <f aca="false">IF($A191="","",SUMIFS(Sales!$S$5:INDEX(Sales!$S$5:$S$3004,TxRows),Sales!$D$5:INDEX(Sales!$D$5:$D$3004,TxRows),$A191))</f>
        <v/>
      </c>
      <c r="W191" s="66" t="str">
        <f aca="false">IF($A191="","",IFERROR(SUMPRODUCT(MAX((Sales!$D$5:INDEX(Sales!$D$5:$D$3004,TxRows)=$A191)*Sales!$A$5:INDEX(Sales!$A$5:$A$3004,TxRows))),0))</f>
        <v/>
      </c>
      <c r="X191" s="67" t="str">
        <f aca="false">IF($A191="","",IF(W191=0,AsOf-FYStart,AsOf-W191))</f>
        <v/>
      </c>
      <c r="Y191" s="67" t="str">
        <f aca="false">IF($A191="","",IF(M191=0,"",O191/(M191/MAX(1,AsOf-FYStart))))</f>
        <v/>
      </c>
      <c r="Z191" s="60" t="str">
        <f aca="false">IF($A191="","",U191+ROW()/1000000)</f>
        <v/>
      </c>
    </row>
    <row r="192" customFormat="false" ht="15" hidden="false" customHeight="false" outlineLevel="0" collapsed="false">
      <c r="A192" s="56"/>
      <c r="B192" s="56"/>
      <c r="C192" s="56"/>
      <c r="D192" s="56"/>
      <c r="E192" s="56"/>
      <c r="F192" s="63"/>
      <c r="G192" s="58"/>
      <c r="H192" s="58"/>
      <c r="I192" s="57"/>
      <c r="J192" s="57"/>
      <c r="K192" s="58"/>
      <c r="L192" s="64" t="str">
        <f aca="false">IF($A192="","",SUMIFS(Purchases!$E$5:INDEX(Purchases!$E$5:$E$3004,TxRows),Purchases!$D$5:INDEX(Purchases!$D$5:$D$3004,TxRows),$A192))</f>
        <v/>
      </c>
      <c r="M192" s="64" t="str">
        <f aca="false">IF($A192="","",SUMIFS(Sales!$E$5:INDEX(Sales!$E$5:$E$3004,TxRows),Sales!$D$5:INDEX(Sales!$D$5:$D$3004,TxRows),$A192))</f>
        <v/>
      </c>
      <c r="N192" s="64" t="str">
        <f aca="false">IF($A192="","",SUMIFS(Adjustments!$C$5:$C$504,Adjustments!$B$5:$B$504,$A192))</f>
        <v/>
      </c>
      <c r="O192" s="64" t="str">
        <f aca="false">IF($A192="","",N($J192)+L192-M192+N192)</f>
        <v/>
      </c>
      <c r="P192" s="61" t="str">
        <f aca="false">IF($A192="","",IFERROR((N($J192)*N($K192)+SUMIFS(Purchases!$K$5:INDEX(Purchases!$K$5:$K$3004,TxRows),Purchases!$D$5:INDEX(Purchases!$D$5:$D$3004,TxRows),$A192))/(N($J192)+L192),N($G192)))</f>
        <v/>
      </c>
      <c r="Q192" s="61" t="str">
        <f aca="false">IF($A192="","",MAX(0,O192)*P192)</f>
        <v/>
      </c>
      <c r="R192" s="60" t="str">
        <f aca="false">IF($A192="","",IF(O192&lt;0,"NEGATIVE",IF(O192=0,"OUT OF STOCK",IF(O192&lt;=N($I192),"REORDER",IF(AND(O192&gt;0,X192&gt;DeadDays),"DEAD STOCK","OK")))))</f>
        <v/>
      </c>
      <c r="S192" s="65" t="str">
        <f aca="false">IF($A192="","",IF(N($H192)=0,0,(N($H192)-P192)/N($H192)))</f>
        <v/>
      </c>
      <c r="T192" s="64" t="str">
        <f aca="false">IF($A192="","",IF(O192&lt;=N($I192),MAX(0,2*N($I192)-O192),0))</f>
        <v/>
      </c>
      <c r="U192" s="61" t="str">
        <f aca="false">IF($A192="","",SUMIFS(Sales!$L$5:INDEX(Sales!$L$5:$L$3004,TxRows),Sales!$D$5:INDEX(Sales!$D$5:$D$3004,TxRows),$A192))</f>
        <v/>
      </c>
      <c r="V192" s="61" t="str">
        <f aca="false">IF($A192="","",SUMIFS(Sales!$S$5:INDEX(Sales!$S$5:$S$3004,TxRows),Sales!$D$5:INDEX(Sales!$D$5:$D$3004,TxRows),$A192))</f>
        <v/>
      </c>
      <c r="W192" s="66" t="str">
        <f aca="false">IF($A192="","",IFERROR(SUMPRODUCT(MAX((Sales!$D$5:INDEX(Sales!$D$5:$D$3004,TxRows)=$A192)*Sales!$A$5:INDEX(Sales!$A$5:$A$3004,TxRows))),0))</f>
        <v/>
      </c>
      <c r="X192" s="67" t="str">
        <f aca="false">IF($A192="","",IF(W192=0,AsOf-FYStart,AsOf-W192))</f>
        <v/>
      </c>
      <c r="Y192" s="67" t="str">
        <f aca="false">IF($A192="","",IF(M192=0,"",O192/(M192/MAX(1,AsOf-FYStart))))</f>
        <v/>
      </c>
      <c r="Z192" s="60" t="str">
        <f aca="false">IF($A192="","",U192+ROW()/1000000)</f>
        <v/>
      </c>
    </row>
    <row r="193" customFormat="false" ht="15" hidden="false" customHeight="false" outlineLevel="0" collapsed="false">
      <c r="A193" s="56"/>
      <c r="B193" s="56"/>
      <c r="C193" s="56"/>
      <c r="D193" s="56"/>
      <c r="E193" s="56"/>
      <c r="F193" s="63"/>
      <c r="G193" s="58"/>
      <c r="H193" s="58"/>
      <c r="I193" s="57"/>
      <c r="J193" s="57"/>
      <c r="K193" s="58"/>
      <c r="L193" s="64" t="str">
        <f aca="false">IF($A193="","",SUMIFS(Purchases!$E$5:INDEX(Purchases!$E$5:$E$3004,TxRows),Purchases!$D$5:INDEX(Purchases!$D$5:$D$3004,TxRows),$A193))</f>
        <v/>
      </c>
      <c r="M193" s="64" t="str">
        <f aca="false">IF($A193="","",SUMIFS(Sales!$E$5:INDEX(Sales!$E$5:$E$3004,TxRows),Sales!$D$5:INDEX(Sales!$D$5:$D$3004,TxRows),$A193))</f>
        <v/>
      </c>
      <c r="N193" s="64" t="str">
        <f aca="false">IF($A193="","",SUMIFS(Adjustments!$C$5:$C$504,Adjustments!$B$5:$B$504,$A193))</f>
        <v/>
      </c>
      <c r="O193" s="64" t="str">
        <f aca="false">IF($A193="","",N($J193)+L193-M193+N193)</f>
        <v/>
      </c>
      <c r="P193" s="61" t="str">
        <f aca="false">IF($A193="","",IFERROR((N($J193)*N($K193)+SUMIFS(Purchases!$K$5:INDEX(Purchases!$K$5:$K$3004,TxRows),Purchases!$D$5:INDEX(Purchases!$D$5:$D$3004,TxRows),$A193))/(N($J193)+L193),N($G193)))</f>
        <v/>
      </c>
      <c r="Q193" s="61" t="str">
        <f aca="false">IF($A193="","",MAX(0,O193)*P193)</f>
        <v/>
      </c>
      <c r="R193" s="60" t="str">
        <f aca="false">IF($A193="","",IF(O193&lt;0,"NEGATIVE",IF(O193=0,"OUT OF STOCK",IF(O193&lt;=N($I193),"REORDER",IF(AND(O193&gt;0,X193&gt;DeadDays),"DEAD STOCK","OK")))))</f>
        <v/>
      </c>
      <c r="S193" s="65" t="str">
        <f aca="false">IF($A193="","",IF(N($H193)=0,0,(N($H193)-P193)/N($H193)))</f>
        <v/>
      </c>
      <c r="T193" s="64" t="str">
        <f aca="false">IF($A193="","",IF(O193&lt;=N($I193),MAX(0,2*N($I193)-O193),0))</f>
        <v/>
      </c>
      <c r="U193" s="61" t="str">
        <f aca="false">IF($A193="","",SUMIFS(Sales!$L$5:INDEX(Sales!$L$5:$L$3004,TxRows),Sales!$D$5:INDEX(Sales!$D$5:$D$3004,TxRows),$A193))</f>
        <v/>
      </c>
      <c r="V193" s="61" t="str">
        <f aca="false">IF($A193="","",SUMIFS(Sales!$S$5:INDEX(Sales!$S$5:$S$3004,TxRows),Sales!$D$5:INDEX(Sales!$D$5:$D$3004,TxRows),$A193))</f>
        <v/>
      </c>
      <c r="W193" s="66" t="str">
        <f aca="false">IF($A193="","",IFERROR(SUMPRODUCT(MAX((Sales!$D$5:INDEX(Sales!$D$5:$D$3004,TxRows)=$A193)*Sales!$A$5:INDEX(Sales!$A$5:$A$3004,TxRows))),0))</f>
        <v/>
      </c>
      <c r="X193" s="67" t="str">
        <f aca="false">IF($A193="","",IF(W193=0,AsOf-FYStart,AsOf-W193))</f>
        <v/>
      </c>
      <c r="Y193" s="67" t="str">
        <f aca="false">IF($A193="","",IF(M193=0,"",O193/(M193/MAX(1,AsOf-FYStart))))</f>
        <v/>
      </c>
      <c r="Z193" s="60" t="str">
        <f aca="false">IF($A193="","",U193+ROW()/1000000)</f>
        <v/>
      </c>
    </row>
    <row r="194" customFormat="false" ht="15" hidden="false" customHeight="false" outlineLevel="0" collapsed="false">
      <c r="A194" s="56"/>
      <c r="B194" s="56"/>
      <c r="C194" s="56"/>
      <c r="D194" s="56"/>
      <c r="E194" s="56"/>
      <c r="F194" s="63"/>
      <c r="G194" s="58"/>
      <c r="H194" s="58"/>
      <c r="I194" s="57"/>
      <c r="J194" s="57"/>
      <c r="K194" s="58"/>
      <c r="L194" s="64" t="str">
        <f aca="false">IF($A194="","",SUMIFS(Purchases!$E$5:INDEX(Purchases!$E$5:$E$3004,TxRows),Purchases!$D$5:INDEX(Purchases!$D$5:$D$3004,TxRows),$A194))</f>
        <v/>
      </c>
      <c r="M194" s="64" t="str">
        <f aca="false">IF($A194="","",SUMIFS(Sales!$E$5:INDEX(Sales!$E$5:$E$3004,TxRows),Sales!$D$5:INDEX(Sales!$D$5:$D$3004,TxRows),$A194))</f>
        <v/>
      </c>
      <c r="N194" s="64" t="str">
        <f aca="false">IF($A194="","",SUMIFS(Adjustments!$C$5:$C$504,Adjustments!$B$5:$B$504,$A194))</f>
        <v/>
      </c>
      <c r="O194" s="64" t="str">
        <f aca="false">IF($A194="","",N($J194)+L194-M194+N194)</f>
        <v/>
      </c>
      <c r="P194" s="61" t="str">
        <f aca="false">IF($A194="","",IFERROR((N($J194)*N($K194)+SUMIFS(Purchases!$K$5:INDEX(Purchases!$K$5:$K$3004,TxRows),Purchases!$D$5:INDEX(Purchases!$D$5:$D$3004,TxRows),$A194))/(N($J194)+L194),N($G194)))</f>
        <v/>
      </c>
      <c r="Q194" s="61" t="str">
        <f aca="false">IF($A194="","",MAX(0,O194)*P194)</f>
        <v/>
      </c>
      <c r="R194" s="60" t="str">
        <f aca="false">IF($A194="","",IF(O194&lt;0,"NEGATIVE",IF(O194=0,"OUT OF STOCK",IF(O194&lt;=N($I194),"REORDER",IF(AND(O194&gt;0,X194&gt;DeadDays),"DEAD STOCK","OK")))))</f>
        <v/>
      </c>
      <c r="S194" s="65" t="str">
        <f aca="false">IF($A194="","",IF(N($H194)=0,0,(N($H194)-P194)/N($H194)))</f>
        <v/>
      </c>
      <c r="T194" s="64" t="str">
        <f aca="false">IF($A194="","",IF(O194&lt;=N($I194),MAX(0,2*N($I194)-O194),0))</f>
        <v/>
      </c>
      <c r="U194" s="61" t="str">
        <f aca="false">IF($A194="","",SUMIFS(Sales!$L$5:INDEX(Sales!$L$5:$L$3004,TxRows),Sales!$D$5:INDEX(Sales!$D$5:$D$3004,TxRows),$A194))</f>
        <v/>
      </c>
      <c r="V194" s="61" t="str">
        <f aca="false">IF($A194="","",SUMIFS(Sales!$S$5:INDEX(Sales!$S$5:$S$3004,TxRows),Sales!$D$5:INDEX(Sales!$D$5:$D$3004,TxRows),$A194))</f>
        <v/>
      </c>
      <c r="W194" s="66" t="str">
        <f aca="false">IF($A194="","",IFERROR(SUMPRODUCT(MAX((Sales!$D$5:INDEX(Sales!$D$5:$D$3004,TxRows)=$A194)*Sales!$A$5:INDEX(Sales!$A$5:$A$3004,TxRows))),0))</f>
        <v/>
      </c>
      <c r="X194" s="67" t="str">
        <f aca="false">IF($A194="","",IF(W194=0,AsOf-FYStart,AsOf-W194))</f>
        <v/>
      </c>
      <c r="Y194" s="67" t="str">
        <f aca="false">IF($A194="","",IF(M194=0,"",O194/(M194/MAX(1,AsOf-FYStart))))</f>
        <v/>
      </c>
      <c r="Z194" s="60" t="str">
        <f aca="false">IF($A194="","",U194+ROW()/1000000)</f>
        <v/>
      </c>
    </row>
    <row r="195" customFormat="false" ht="15" hidden="false" customHeight="false" outlineLevel="0" collapsed="false">
      <c r="A195" s="56"/>
      <c r="B195" s="56"/>
      <c r="C195" s="56"/>
      <c r="D195" s="56"/>
      <c r="E195" s="56"/>
      <c r="F195" s="63"/>
      <c r="G195" s="58"/>
      <c r="H195" s="58"/>
      <c r="I195" s="57"/>
      <c r="J195" s="57"/>
      <c r="K195" s="58"/>
      <c r="L195" s="64" t="str">
        <f aca="false">IF($A195="","",SUMIFS(Purchases!$E$5:INDEX(Purchases!$E$5:$E$3004,TxRows),Purchases!$D$5:INDEX(Purchases!$D$5:$D$3004,TxRows),$A195))</f>
        <v/>
      </c>
      <c r="M195" s="64" t="str">
        <f aca="false">IF($A195="","",SUMIFS(Sales!$E$5:INDEX(Sales!$E$5:$E$3004,TxRows),Sales!$D$5:INDEX(Sales!$D$5:$D$3004,TxRows),$A195))</f>
        <v/>
      </c>
      <c r="N195" s="64" t="str">
        <f aca="false">IF($A195="","",SUMIFS(Adjustments!$C$5:$C$504,Adjustments!$B$5:$B$504,$A195))</f>
        <v/>
      </c>
      <c r="O195" s="64" t="str">
        <f aca="false">IF($A195="","",N($J195)+L195-M195+N195)</f>
        <v/>
      </c>
      <c r="P195" s="61" t="str">
        <f aca="false">IF($A195="","",IFERROR((N($J195)*N($K195)+SUMIFS(Purchases!$K$5:INDEX(Purchases!$K$5:$K$3004,TxRows),Purchases!$D$5:INDEX(Purchases!$D$5:$D$3004,TxRows),$A195))/(N($J195)+L195),N($G195)))</f>
        <v/>
      </c>
      <c r="Q195" s="61" t="str">
        <f aca="false">IF($A195="","",MAX(0,O195)*P195)</f>
        <v/>
      </c>
      <c r="R195" s="60" t="str">
        <f aca="false">IF($A195="","",IF(O195&lt;0,"NEGATIVE",IF(O195=0,"OUT OF STOCK",IF(O195&lt;=N($I195),"REORDER",IF(AND(O195&gt;0,X195&gt;DeadDays),"DEAD STOCK","OK")))))</f>
        <v/>
      </c>
      <c r="S195" s="65" t="str">
        <f aca="false">IF($A195="","",IF(N($H195)=0,0,(N($H195)-P195)/N($H195)))</f>
        <v/>
      </c>
      <c r="T195" s="64" t="str">
        <f aca="false">IF($A195="","",IF(O195&lt;=N($I195),MAX(0,2*N($I195)-O195),0))</f>
        <v/>
      </c>
      <c r="U195" s="61" t="str">
        <f aca="false">IF($A195="","",SUMIFS(Sales!$L$5:INDEX(Sales!$L$5:$L$3004,TxRows),Sales!$D$5:INDEX(Sales!$D$5:$D$3004,TxRows),$A195))</f>
        <v/>
      </c>
      <c r="V195" s="61" t="str">
        <f aca="false">IF($A195="","",SUMIFS(Sales!$S$5:INDEX(Sales!$S$5:$S$3004,TxRows),Sales!$D$5:INDEX(Sales!$D$5:$D$3004,TxRows),$A195))</f>
        <v/>
      </c>
      <c r="W195" s="66" t="str">
        <f aca="false">IF($A195="","",IFERROR(SUMPRODUCT(MAX((Sales!$D$5:INDEX(Sales!$D$5:$D$3004,TxRows)=$A195)*Sales!$A$5:INDEX(Sales!$A$5:$A$3004,TxRows))),0))</f>
        <v/>
      </c>
      <c r="X195" s="67" t="str">
        <f aca="false">IF($A195="","",IF(W195=0,AsOf-FYStart,AsOf-W195))</f>
        <v/>
      </c>
      <c r="Y195" s="67" t="str">
        <f aca="false">IF($A195="","",IF(M195=0,"",O195/(M195/MAX(1,AsOf-FYStart))))</f>
        <v/>
      </c>
      <c r="Z195" s="60" t="str">
        <f aca="false">IF($A195="","",U195+ROW()/1000000)</f>
        <v/>
      </c>
    </row>
    <row r="196" customFormat="false" ht="15" hidden="false" customHeight="false" outlineLevel="0" collapsed="false">
      <c r="A196" s="56"/>
      <c r="B196" s="56"/>
      <c r="C196" s="56"/>
      <c r="D196" s="56"/>
      <c r="E196" s="56"/>
      <c r="F196" s="63"/>
      <c r="G196" s="58"/>
      <c r="H196" s="58"/>
      <c r="I196" s="57"/>
      <c r="J196" s="57"/>
      <c r="K196" s="58"/>
      <c r="L196" s="64" t="str">
        <f aca="false">IF($A196="","",SUMIFS(Purchases!$E$5:INDEX(Purchases!$E$5:$E$3004,TxRows),Purchases!$D$5:INDEX(Purchases!$D$5:$D$3004,TxRows),$A196))</f>
        <v/>
      </c>
      <c r="M196" s="64" t="str">
        <f aca="false">IF($A196="","",SUMIFS(Sales!$E$5:INDEX(Sales!$E$5:$E$3004,TxRows),Sales!$D$5:INDEX(Sales!$D$5:$D$3004,TxRows),$A196))</f>
        <v/>
      </c>
      <c r="N196" s="64" t="str">
        <f aca="false">IF($A196="","",SUMIFS(Adjustments!$C$5:$C$504,Adjustments!$B$5:$B$504,$A196))</f>
        <v/>
      </c>
      <c r="O196" s="64" t="str">
        <f aca="false">IF($A196="","",N($J196)+L196-M196+N196)</f>
        <v/>
      </c>
      <c r="P196" s="61" t="str">
        <f aca="false">IF($A196="","",IFERROR((N($J196)*N($K196)+SUMIFS(Purchases!$K$5:INDEX(Purchases!$K$5:$K$3004,TxRows),Purchases!$D$5:INDEX(Purchases!$D$5:$D$3004,TxRows),$A196))/(N($J196)+L196),N($G196)))</f>
        <v/>
      </c>
      <c r="Q196" s="61" t="str">
        <f aca="false">IF($A196="","",MAX(0,O196)*P196)</f>
        <v/>
      </c>
      <c r="R196" s="60" t="str">
        <f aca="false">IF($A196="","",IF(O196&lt;0,"NEGATIVE",IF(O196=0,"OUT OF STOCK",IF(O196&lt;=N($I196),"REORDER",IF(AND(O196&gt;0,X196&gt;DeadDays),"DEAD STOCK","OK")))))</f>
        <v/>
      </c>
      <c r="S196" s="65" t="str">
        <f aca="false">IF($A196="","",IF(N($H196)=0,0,(N($H196)-P196)/N($H196)))</f>
        <v/>
      </c>
      <c r="T196" s="64" t="str">
        <f aca="false">IF($A196="","",IF(O196&lt;=N($I196),MAX(0,2*N($I196)-O196),0))</f>
        <v/>
      </c>
      <c r="U196" s="61" t="str">
        <f aca="false">IF($A196="","",SUMIFS(Sales!$L$5:INDEX(Sales!$L$5:$L$3004,TxRows),Sales!$D$5:INDEX(Sales!$D$5:$D$3004,TxRows),$A196))</f>
        <v/>
      </c>
      <c r="V196" s="61" t="str">
        <f aca="false">IF($A196="","",SUMIFS(Sales!$S$5:INDEX(Sales!$S$5:$S$3004,TxRows),Sales!$D$5:INDEX(Sales!$D$5:$D$3004,TxRows),$A196))</f>
        <v/>
      </c>
      <c r="W196" s="66" t="str">
        <f aca="false">IF($A196="","",IFERROR(SUMPRODUCT(MAX((Sales!$D$5:INDEX(Sales!$D$5:$D$3004,TxRows)=$A196)*Sales!$A$5:INDEX(Sales!$A$5:$A$3004,TxRows))),0))</f>
        <v/>
      </c>
      <c r="X196" s="67" t="str">
        <f aca="false">IF($A196="","",IF(W196=0,AsOf-FYStart,AsOf-W196))</f>
        <v/>
      </c>
      <c r="Y196" s="67" t="str">
        <f aca="false">IF($A196="","",IF(M196=0,"",O196/(M196/MAX(1,AsOf-FYStart))))</f>
        <v/>
      </c>
      <c r="Z196" s="60" t="str">
        <f aca="false">IF($A196="","",U196+ROW()/1000000)</f>
        <v/>
      </c>
    </row>
    <row r="197" customFormat="false" ht="15" hidden="false" customHeight="false" outlineLevel="0" collapsed="false">
      <c r="A197" s="56"/>
      <c r="B197" s="56"/>
      <c r="C197" s="56"/>
      <c r="D197" s="56"/>
      <c r="E197" s="56"/>
      <c r="F197" s="63"/>
      <c r="G197" s="58"/>
      <c r="H197" s="58"/>
      <c r="I197" s="57"/>
      <c r="J197" s="57"/>
      <c r="K197" s="58"/>
      <c r="L197" s="64" t="str">
        <f aca="false">IF($A197="","",SUMIFS(Purchases!$E$5:INDEX(Purchases!$E$5:$E$3004,TxRows),Purchases!$D$5:INDEX(Purchases!$D$5:$D$3004,TxRows),$A197))</f>
        <v/>
      </c>
      <c r="M197" s="64" t="str">
        <f aca="false">IF($A197="","",SUMIFS(Sales!$E$5:INDEX(Sales!$E$5:$E$3004,TxRows),Sales!$D$5:INDEX(Sales!$D$5:$D$3004,TxRows),$A197))</f>
        <v/>
      </c>
      <c r="N197" s="64" t="str">
        <f aca="false">IF($A197="","",SUMIFS(Adjustments!$C$5:$C$504,Adjustments!$B$5:$B$504,$A197))</f>
        <v/>
      </c>
      <c r="O197" s="64" t="str">
        <f aca="false">IF($A197="","",N($J197)+L197-M197+N197)</f>
        <v/>
      </c>
      <c r="P197" s="61" t="str">
        <f aca="false">IF($A197="","",IFERROR((N($J197)*N($K197)+SUMIFS(Purchases!$K$5:INDEX(Purchases!$K$5:$K$3004,TxRows),Purchases!$D$5:INDEX(Purchases!$D$5:$D$3004,TxRows),$A197))/(N($J197)+L197),N($G197)))</f>
        <v/>
      </c>
      <c r="Q197" s="61" t="str">
        <f aca="false">IF($A197="","",MAX(0,O197)*P197)</f>
        <v/>
      </c>
      <c r="R197" s="60" t="str">
        <f aca="false">IF($A197="","",IF(O197&lt;0,"NEGATIVE",IF(O197=0,"OUT OF STOCK",IF(O197&lt;=N($I197),"REORDER",IF(AND(O197&gt;0,X197&gt;DeadDays),"DEAD STOCK","OK")))))</f>
        <v/>
      </c>
      <c r="S197" s="65" t="str">
        <f aca="false">IF($A197="","",IF(N($H197)=0,0,(N($H197)-P197)/N($H197)))</f>
        <v/>
      </c>
      <c r="T197" s="64" t="str">
        <f aca="false">IF($A197="","",IF(O197&lt;=N($I197),MAX(0,2*N($I197)-O197),0))</f>
        <v/>
      </c>
      <c r="U197" s="61" t="str">
        <f aca="false">IF($A197="","",SUMIFS(Sales!$L$5:INDEX(Sales!$L$5:$L$3004,TxRows),Sales!$D$5:INDEX(Sales!$D$5:$D$3004,TxRows),$A197))</f>
        <v/>
      </c>
      <c r="V197" s="61" t="str">
        <f aca="false">IF($A197="","",SUMIFS(Sales!$S$5:INDEX(Sales!$S$5:$S$3004,TxRows),Sales!$D$5:INDEX(Sales!$D$5:$D$3004,TxRows),$A197))</f>
        <v/>
      </c>
      <c r="W197" s="66" t="str">
        <f aca="false">IF($A197="","",IFERROR(SUMPRODUCT(MAX((Sales!$D$5:INDEX(Sales!$D$5:$D$3004,TxRows)=$A197)*Sales!$A$5:INDEX(Sales!$A$5:$A$3004,TxRows))),0))</f>
        <v/>
      </c>
      <c r="X197" s="67" t="str">
        <f aca="false">IF($A197="","",IF(W197=0,AsOf-FYStart,AsOf-W197))</f>
        <v/>
      </c>
      <c r="Y197" s="67" t="str">
        <f aca="false">IF($A197="","",IF(M197=0,"",O197/(M197/MAX(1,AsOf-FYStart))))</f>
        <v/>
      </c>
      <c r="Z197" s="60" t="str">
        <f aca="false">IF($A197="","",U197+ROW()/1000000)</f>
        <v/>
      </c>
    </row>
    <row r="198" customFormat="false" ht="15" hidden="false" customHeight="false" outlineLevel="0" collapsed="false">
      <c r="A198" s="56"/>
      <c r="B198" s="56"/>
      <c r="C198" s="56"/>
      <c r="D198" s="56"/>
      <c r="E198" s="56"/>
      <c r="F198" s="63"/>
      <c r="G198" s="58"/>
      <c r="H198" s="58"/>
      <c r="I198" s="57"/>
      <c r="J198" s="57"/>
      <c r="K198" s="58"/>
      <c r="L198" s="64" t="str">
        <f aca="false">IF($A198="","",SUMIFS(Purchases!$E$5:INDEX(Purchases!$E$5:$E$3004,TxRows),Purchases!$D$5:INDEX(Purchases!$D$5:$D$3004,TxRows),$A198))</f>
        <v/>
      </c>
      <c r="M198" s="64" t="str">
        <f aca="false">IF($A198="","",SUMIFS(Sales!$E$5:INDEX(Sales!$E$5:$E$3004,TxRows),Sales!$D$5:INDEX(Sales!$D$5:$D$3004,TxRows),$A198))</f>
        <v/>
      </c>
      <c r="N198" s="64" t="str">
        <f aca="false">IF($A198="","",SUMIFS(Adjustments!$C$5:$C$504,Adjustments!$B$5:$B$504,$A198))</f>
        <v/>
      </c>
      <c r="O198" s="64" t="str">
        <f aca="false">IF($A198="","",N($J198)+L198-M198+N198)</f>
        <v/>
      </c>
      <c r="P198" s="61" t="str">
        <f aca="false">IF($A198="","",IFERROR((N($J198)*N($K198)+SUMIFS(Purchases!$K$5:INDEX(Purchases!$K$5:$K$3004,TxRows),Purchases!$D$5:INDEX(Purchases!$D$5:$D$3004,TxRows),$A198))/(N($J198)+L198),N($G198)))</f>
        <v/>
      </c>
      <c r="Q198" s="61" t="str">
        <f aca="false">IF($A198="","",MAX(0,O198)*P198)</f>
        <v/>
      </c>
      <c r="R198" s="60" t="str">
        <f aca="false">IF($A198="","",IF(O198&lt;0,"NEGATIVE",IF(O198=0,"OUT OF STOCK",IF(O198&lt;=N($I198),"REORDER",IF(AND(O198&gt;0,X198&gt;DeadDays),"DEAD STOCK","OK")))))</f>
        <v/>
      </c>
      <c r="S198" s="65" t="str">
        <f aca="false">IF($A198="","",IF(N($H198)=0,0,(N($H198)-P198)/N($H198)))</f>
        <v/>
      </c>
      <c r="T198" s="64" t="str">
        <f aca="false">IF($A198="","",IF(O198&lt;=N($I198),MAX(0,2*N($I198)-O198),0))</f>
        <v/>
      </c>
      <c r="U198" s="61" t="str">
        <f aca="false">IF($A198="","",SUMIFS(Sales!$L$5:INDEX(Sales!$L$5:$L$3004,TxRows),Sales!$D$5:INDEX(Sales!$D$5:$D$3004,TxRows),$A198))</f>
        <v/>
      </c>
      <c r="V198" s="61" t="str">
        <f aca="false">IF($A198="","",SUMIFS(Sales!$S$5:INDEX(Sales!$S$5:$S$3004,TxRows),Sales!$D$5:INDEX(Sales!$D$5:$D$3004,TxRows),$A198))</f>
        <v/>
      </c>
      <c r="W198" s="66" t="str">
        <f aca="false">IF($A198="","",IFERROR(SUMPRODUCT(MAX((Sales!$D$5:INDEX(Sales!$D$5:$D$3004,TxRows)=$A198)*Sales!$A$5:INDEX(Sales!$A$5:$A$3004,TxRows))),0))</f>
        <v/>
      </c>
      <c r="X198" s="67" t="str">
        <f aca="false">IF($A198="","",IF(W198=0,AsOf-FYStart,AsOf-W198))</f>
        <v/>
      </c>
      <c r="Y198" s="67" t="str">
        <f aca="false">IF($A198="","",IF(M198=0,"",O198/(M198/MAX(1,AsOf-FYStart))))</f>
        <v/>
      </c>
      <c r="Z198" s="60" t="str">
        <f aca="false">IF($A198="","",U198+ROW()/1000000)</f>
        <v/>
      </c>
    </row>
    <row r="199" customFormat="false" ht="15" hidden="false" customHeight="false" outlineLevel="0" collapsed="false">
      <c r="A199" s="56"/>
      <c r="B199" s="56"/>
      <c r="C199" s="56"/>
      <c r="D199" s="56"/>
      <c r="E199" s="56"/>
      <c r="F199" s="63"/>
      <c r="G199" s="58"/>
      <c r="H199" s="58"/>
      <c r="I199" s="57"/>
      <c r="J199" s="57"/>
      <c r="K199" s="58"/>
      <c r="L199" s="64" t="str">
        <f aca="false">IF($A199="","",SUMIFS(Purchases!$E$5:INDEX(Purchases!$E$5:$E$3004,TxRows),Purchases!$D$5:INDEX(Purchases!$D$5:$D$3004,TxRows),$A199))</f>
        <v/>
      </c>
      <c r="M199" s="64" t="str">
        <f aca="false">IF($A199="","",SUMIFS(Sales!$E$5:INDEX(Sales!$E$5:$E$3004,TxRows),Sales!$D$5:INDEX(Sales!$D$5:$D$3004,TxRows),$A199))</f>
        <v/>
      </c>
      <c r="N199" s="64" t="str">
        <f aca="false">IF($A199="","",SUMIFS(Adjustments!$C$5:$C$504,Adjustments!$B$5:$B$504,$A199))</f>
        <v/>
      </c>
      <c r="O199" s="64" t="str">
        <f aca="false">IF($A199="","",N($J199)+L199-M199+N199)</f>
        <v/>
      </c>
      <c r="P199" s="61" t="str">
        <f aca="false">IF($A199="","",IFERROR((N($J199)*N($K199)+SUMIFS(Purchases!$K$5:INDEX(Purchases!$K$5:$K$3004,TxRows),Purchases!$D$5:INDEX(Purchases!$D$5:$D$3004,TxRows),$A199))/(N($J199)+L199),N($G199)))</f>
        <v/>
      </c>
      <c r="Q199" s="61" t="str">
        <f aca="false">IF($A199="","",MAX(0,O199)*P199)</f>
        <v/>
      </c>
      <c r="R199" s="60" t="str">
        <f aca="false">IF($A199="","",IF(O199&lt;0,"NEGATIVE",IF(O199=0,"OUT OF STOCK",IF(O199&lt;=N($I199),"REORDER",IF(AND(O199&gt;0,X199&gt;DeadDays),"DEAD STOCK","OK")))))</f>
        <v/>
      </c>
      <c r="S199" s="65" t="str">
        <f aca="false">IF($A199="","",IF(N($H199)=0,0,(N($H199)-P199)/N($H199)))</f>
        <v/>
      </c>
      <c r="T199" s="64" t="str">
        <f aca="false">IF($A199="","",IF(O199&lt;=N($I199),MAX(0,2*N($I199)-O199),0))</f>
        <v/>
      </c>
      <c r="U199" s="61" t="str">
        <f aca="false">IF($A199="","",SUMIFS(Sales!$L$5:INDEX(Sales!$L$5:$L$3004,TxRows),Sales!$D$5:INDEX(Sales!$D$5:$D$3004,TxRows),$A199))</f>
        <v/>
      </c>
      <c r="V199" s="61" t="str">
        <f aca="false">IF($A199="","",SUMIFS(Sales!$S$5:INDEX(Sales!$S$5:$S$3004,TxRows),Sales!$D$5:INDEX(Sales!$D$5:$D$3004,TxRows),$A199))</f>
        <v/>
      </c>
      <c r="W199" s="66" t="str">
        <f aca="false">IF($A199="","",IFERROR(SUMPRODUCT(MAX((Sales!$D$5:INDEX(Sales!$D$5:$D$3004,TxRows)=$A199)*Sales!$A$5:INDEX(Sales!$A$5:$A$3004,TxRows))),0))</f>
        <v/>
      </c>
      <c r="X199" s="67" t="str">
        <f aca="false">IF($A199="","",IF(W199=0,AsOf-FYStart,AsOf-W199))</f>
        <v/>
      </c>
      <c r="Y199" s="67" t="str">
        <f aca="false">IF($A199="","",IF(M199=0,"",O199/(M199/MAX(1,AsOf-FYStart))))</f>
        <v/>
      </c>
      <c r="Z199" s="60" t="str">
        <f aca="false">IF($A199="","",U199+ROW()/1000000)</f>
        <v/>
      </c>
    </row>
    <row r="200" customFormat="false" ht="15" hidden="false" customHeight="false" outlineLevel="0" collapsed="false">
      <c r="A200" s="56"/>
      <c r="B200" s="56"/>
      <c r="C200" s="56"/>
      <c r="D200" s="56"/>
      <c r="E200" s="56"/>
      <c r="F200" s="63"/>
      <c r="G200" s="58"/>
      <c r="H200" s="58"/>
      <c r="I200" s="57"/>
      <c r="J200" s="57"/>
      <c r="K200" s="58"/>
      <c r="L200" s="64" t="str">
        <f aca="false">IF($A200="","",SUMIFS(Purchases!$E$5:INDEX(Purchases!$E$5:$E$3004,TxRows),Purchases!$D$5:INDEX(Purchases!$D$5:$D$3004,TxRows),$A200))</f>
        <v/>
      </c>
      <c r="M200" s="64" t="str">
        <f aca="false">IF($A200="","",SUMIFS(Sales!$E$5:INDEX(Sales!$E$5:$E$3004,TxRows),Sales!$D$5:INDEX(Sales!$D$5:$D$3004,TxRows),$A200))</f>
        <v/>
      </c>
      <c r="N200" s="64" t="str">
        <f aca="false">IF($A200="","",SUMIFS(Adjustments!$C$5:$C$504,Adjustments!$B$5:$B$504,$A200))</f>
        <v/>
      </c>
      <c r="O200" s="64" t="str">
        <f aca="false">IF($A200="","",N($J200)+L200-M200+N200)</f>
        <v/>
      </c>
      <c r="P200" s="61" t="str">
        <f aca="false">IF($A200="","",IFERROR((N($J200)*N($K200)+SUMIFS(Purchases!$K$5:INDEX(Purchases!$K$5:$K$3004,TxRows),Purchases!$D$5:INDEX(Purchases!$D$5:$D$3004,TxRows),$A200))/(N($J200)+L200),N($G200)))</f>
        <v/>
      </c>
      <c r="Q200" s="61" t="str">
        <f aca="false">IF($A200="","",MAX(0,O200)*P200)</f>
        <v/>
      </c>
      <c r="R200" s="60" t="str">
        <f aca="false">IF($A200="","",IF(O200&lt;0,"NEGATIVE",IF(O200=0,"OUT OF STOCK",IF(O200&lt;=N($I200),"REORDER",IF(AND(O200&gt;0,X200&gt;DeadDays),"DEAD STOCK","OK")))))</f>
        <v/>
      </c>
      <c r="S200" s="65" t="str">
        <f aca="false">IF($A200="","",IF(N($H200)=0,0,(N($H200)-P200)/N($H200)))</f>
        <v/>
      </c>
      <c r="T200" s="64" t="str">
        <f aca="false">IF($A200="","",IF(O200&lt;=N($I200),MAX(0,2*N($I200)-O200),0))</f>
        <v/>
      </c>
      <c r="U200" s="61" t="str">
        <f aca="false">IF($A200="","",SUMIFS(Sales!$L$5:INDEX(Sales!$L$5:$L$3004,TxRows),Sales!$D$5:INDEX(Sales!$D$5:$D$3004,TxRows),$A200))</f>
        <v/>
      </c>
      <c r="V200" s="61" t="str">
        <f aca="false">IF($A200="","",SUMIFS(Sales!$S$5:INDEX(Sales!$S$5:$S$3004,TxRows),Sales!$D$5:INDEX(Sales!$D$5:$D$3004,TxRows),$A200))</f>
        <v/>
      </c>
      <c r="W200" s="66" t="str">
        <f aca="false">IF($A200="","",IFERROR(SUMPRODUCT(MAX((Sales!$D$5:INDEX(Sales!$D$5:$D$3004,TxRows)=$A200)*Sales!$A$5:INDEX(Sales!$A$5:$A$3004,TxRows))),0))</f>
        <v/>
      </c>
      <c r="X200" s="67" t="str">
        <f aca="false">IF($A200="","",IF(W200=0,AsOf-FYStart,AsOf-W200))</f>
        <v/>
      </c>
      <c r="Y200" s="67" t="str">
        <f aca="false">IF($A200="","",IF(M200=0,"",O200/(M200/MAX(1,AsOf-FYStart))))</f>
        <v/>
      </c>
      <c r="Z200" s="60" t="str">
        <f aca="false">IF($A200="","",U200+ROW()/1000000)</f>
        <v/>
      </c>
    </row>
    <row r="201" customFormat="false" ht="15" hidden="false" customHeight="false" outlineLevel="0" collapsed="false">
      <c r="A201" s="56"/>
      <c r="B201" s="56"/>
      <c r="C201" s="56"/>
      <c r="D201" s="56"/>
      <c r="E201" s="56"/>
      <c r="F201" s="63"/>
      <c r="G201" s="58"/>
      <c r="H201" s="58"/>
      <c r="I201" s="57"/>
      <c r="J201" s="57"/>
      <c r="K201" s="58"/>
      <c r="L201" s="64" t="str">
        <f aca="false">IF($A201="","",SUMIFS(Purchases!$E$5:INDEX(Purchases!$E$5:$E$3004,TxRows),Purchases!$D$5:INDEX(Purchases!$D$5:$D$3004,TxRows),$A201))</f>
        <v/>
      </c>
      <c r="M201" s="64" t="str">
        <f aca="false">IF($A201="","",SUMIFS(Sales!$E$5:INDEX(Sales!$E$5:$E$3004,TxRows),Sales!$D$5:INDEX(Sales!$D$5:$D$3004,TxRows),$A201))</f>
        <v/>
      </c>
      <c r="N201" s="64" t="str">
        <f aca="false">IF($A201="","",SUMIFS(Adjustments!$C$5:$C$504,Adjustments!$B$5:$B$504,$A201))</f>
        <v/>
      </c>
      <c r="O201" s="64" t="str">
        <f aca="false">IF($A201="","",N($J201)+L201-M201+N201)</f>
        <v/>
      </c>
      <c r="P201" s="61" t="str">
        <f aca="false">IF($A201="","",IFERROR((N($J201)*N($K201)+SUMIFS(Purchases!$K$5:INDEX(Purchases!$K$5:$K$3004,TxRows),Purchases!$D$5:INDEX(Purchases!$D$5:$D$3004,TxRows),$A201))/(N($J201)+L201),N($G201)))</f>
        <v/>
      </c>
      <c r="Q201" s="61" t="str">
        <f aca="false">IF($A201="","",MAX(0,O201)*P201)</f>
        <v/>
      </c>
      <c r="R201" s="60" t="str">
        <f aca="false">IF($A201="","",IF(O201&lt;0,"NEGATIVE",IF(O201=0,"OUT OF STOCK",IF(O201&lt;=N($I201),"REORDER",IF(AND(O201&gt;0,X201&gt;DeadDays),"DEAD STOCK","OK")))))</f>
        <v/>
      </c>
      <c r="S201" s="65" t="str">
        <f aca="false">IF($A201="","",IF(N($H201)=0,0,(N($H201)-P201)/N($H201)))</f>
        <v/>
      </c>
      <c r="T201" s="64" t="str">
        <f aca="false">IF($A201="","",IF(O201&lt;=N($I201),MAX(0,2*N($I201)-O201),0))</f>
        <v/>
      </c>
      <c r="U201" s="61" t="str">
        <f aca="false">IF($A201="","",SUMIFS(Sales!$L$5:INDEX(Sales!$L$5:$L$3004,TxRows),Sales!$D$5:INDEX(Sales!$D$5:$D$3004,TxRows),$A201))</f>
        <v/>
      </c>
      <c r="V201" s="61" t="str">
        <f aca="false">IF($A201="","",SUMIFS(Sales!$S$5:INDEX(Sales!$S$5:$S$3004,TxRows),Sales!$D$5:INDEX(Sales!$D$5:$D$3004,TxRows),$A201))</f>
        <v/>
      </c>
      <c r="W201" s="66" t="str">
        <f aca="false">IF($A201="","",IFERROR(SUMPRODUCT(MAX((Sales!$D$5:INDEX(Sales!$D$5:$D$3004,TxRows)=$A201)*Sales!$A$5:INDEX(Sales!$A$5:$A$3004,TxRows))),0))</f>
        <v/>
      </c>
      <c r="X201" s="67" t="str">
        <f aca="false">IF($A201="","",IF(W201=0,AsOf-FYStart,AsOf-W201))</f>
        <v/>
      </c>
      <c r="Y201" s="67" t="str">
        <f aca="false">IF($A201="","",IF(M201=0,"",O201/(M201/MAX(1,AsOf-FYStart))))</f>
        <v/>
      </c>
      <c r="Z201" s="60" t="str">
        <f aca="false">IF($A201="","",U201+ROW()/1000000)</f>
        <v/>
      </c>
    </row>
    <row r="202" customFormat="false" ht="15" hidden="false" customHeight="false" outlineLevel="0" collapsed="false">
      <c r="A202" s="56"/>
      <c r="B202" s="56"/>
      <c r="C202" s="56"/>
      <c r="D202" s="56"/>
      <c r="E202" s="56"/>
      <c r="F202" s="63"/>
      <c r="G202" s="58"/>
      <c r="H202" s="58"/>
      <c r="I202" s="57"/>
      <c r="J202" s="57"/>
      <c r="K202" s="58"/>
      <c r="L202" s="64" t="str">
        <f aca="false">IF($A202="","",SUMIFS(Purchases!$E$5:INDEX(Purchases!$E$5:$E$3004,TxRows),Purchases!$D$5:INDEX(Purchases!$D$5:$D$3004,TxRows),$A202))</f>
        <v/>
      </c>
      <c r="M202" s="64" t="str">
        <f aca="false">IF($A202="","",SUMIFS(Sales!$E$5:INDEX(Sales!$E$5:$E$3004,TxRows),Sales!$D$5:INDEX(Sales!$D$5:$D$3004,TxRows),$A202))</f>
        <v/>
      </c>
      <c r="N202" s="64" t="str">
        <f aca="false">IF($A202="","",SUMIFS(Adjustments!$C$5:$C$504,Adjustments!$B$5:$B$504,$A202))</f>
        <v/>
      </c>
      <c r="O202" s="64" t="str">
        <f aca="false">IF($A202="","",N($J202)+L202-M202+N202)</f>
        <v/>
      </c>
      <c r="P202" s="61" t="str">
        <f aca="false">IF($A202="","",IFERROR((N($J202)*N($K202)+SUMIFS(Purchases!$K$5:INDEX(Purchases!$K$5:$K$3004,TxRows),Purchases!$D$5:INDEX(Purchases!$D$5:$D$3004,TxRows),$A202))/(N($J202)+L202),N($G202)))</f>
        <v/>
      </c>
      <c r="Q202" s="61" t="str">
        <f aca="false">IF($A202="","",MAX(0,O202)*P202)</f>
        <v/>
      </c>
      <c r="R202" s="60" t="str">
        <f aca="false">IF($A202="","",IF(O202&lt;0,"NEGATIVE",IF(O202=0,"OUT OF STOCK",IF(O202&lt;=N($I202),"REORDER",IF(AND(O202&gt;0,X202&gt;DeadDays),"DEAD STOCK","OK")))))</f>
        <v/>
      </c>
      <c r="S202" s="65" t="str">
        <f aca="false">IF($A202="","",IF(N($H202)=0,0,(N($H202)-P202)/N($H202)))</f>
        <v/>
      </c>
      <c r="T202" s="64" t="str">
        <f aca="false">IF($A202="","",IF(O202&lt;=N($I202),MAX(0,2*N($I202)-O202),0))</f>
        <v/>
      </c>
      <c r="U202" s="61" t="str">
        <f aca="false">IF($A202="","",SUMIFS(Sales!$L$5:INDEX(Sales!$L$5:$L$3004,TxRows),Sales!$D$5:INDEX(Sales!$D$5:$D$3004,TxRows),$A202))</f>
        <v/>
      </c>
      <c r="V202" s="61" t="str">
        <f aca="false">IF($A202="","",SUMIFS(Sales!$S$5:INDEX(Sales!$S$5:$S$3004,TxRows),Sales!$D$5:INDEX(Sales!$D$5:$D$3004,TxRows),$A202))</f>
        <v/>
      </c>
      <c r="W202" s="66" t="str">
        <f aca="false">IF($A202="","",IFERROR(SUMPRODUCT(MAX((Sales!$D$5:INDEX(Sales!$D$5:$D$3004,TxRows)=$A202)*Sales!$A$5:INDEX(Sales!$A$5:$A$3004,TxRows))),0))</f>
        <v/>
      </c>
      <c r="X202" s="67" t="str">
        <f aca="false">IF($A202="","",IF(W202=0,AsOf-FYStart,AsOf-W202))</f>
        <v/>
      </c>
      <c r="Y202" s="67" t="str">
        <f aca="false">IF($A202="","",IF(M202=0,"",O202/(M202/MAX(1,AsOf-FYStart))))</f>
        <v/>
      </c>
      <c r="Z202" s="60" t="str">
        <f aca="false">IF($A202="","",U202+ROW()/1000000)</f>
        <v/>
      </c>
    </row>
    <row r="203" customFormat="false" ht="15" hidden="false" customHeight="false" outlineLevel="0" collapsed="false">
      <c r="A203" s="56"/>
      <c r="B203" s="56"/>
      <c r="C203" s="56"/>
      <c r="D203" s="56"/>
      <c r="E203" s="56"/>
      <c r="F203" s="63"/>
      <c r="G203" s="58"/>
      <c r="H203" s="58"/>
      <c r="I203" s="57"/>
      <c r="J203" s="57"/>
      <c r="K203" s="58"/>
      <c r="L203" s="64" t="str">
        <f aca="false">IF($A203="","",SUMIFS(Purchases!$E$5:INDEX(Purchases!$E$5:$E$3004,TxRows),Purchases!$D$5:INDEX(Purchases!$D$5:$D$3004,TxRows),$A203))</f>
        <v/>
      </c>
      <c r="M203" s="64" t="str">
        <f aca="false">IF($A203="","",SUMIFS(Sales!$E$5:INDEX(Sales!$E$5:$E$3004,TxRows),Sales!$D$5:INDEX(Sales!$D$5:$D$3004,TxRows),$A203))</f>
        <v/>
      </c>
      <c r="N203" s="64" t="str">
        <f aca="false">IF($A203="","",SUMIFS(Adjustments!$C$5:$C$504,Adjustments!$B$5:$B$504,$A203))</f>
        <v/>
      </c>
      <c r="O203" s="64" t="str">
        <f aca="false">IF($A203="","",N($J203)+L203-M203+N203)</f>
        <v/>
      </c>
      <c r="P203" s="61" t="str">
        <f aca="false">IF($A203="","",IFERROR((N($J203)*N($K203)+SUMIFS(Purchases!$K$5:INDEX(Purchases!$K$5:$K$3004,TxRows),Purchases!$D$5:INDEX(Purchases!$D$5:$D$3004,TxRows),$A203))/(N($J203)+L203),N($G203)))</f>
        <v/>
      </c>
      <c r="Q203" s="61" t="str">
        <f aca="false">IF($A203="","",MAX(0,O203)*P203)</f>
        <v/>
      </c>
      <c r="R203" s="60" t="str">
        <f aca="false">IF($A203="","",IF(O203&lt;0,"NEGATIVE",IF(O203=0,"OUT OF STOCK",IF(O203&lt;=N($I203),"REORDER",IF(AND(O203&gt;0,X203&gt;DeadDays),"DEAD STOCK","OK")))))</f>
        <v/>
      </c>
      <c r="S203" s="65" t="str">
        <f aca="false">IF($A203="","",IF(N($H203)=0,0,(N($H203)-P203)/N($H203)))</f>
        <v/>
      </c>
      <c r="T203" s="64" t="str">
        <f aca="false">IF($A203="","",IF(O203&lt;=N($I203),MAX(0,2*N($I203)-O203),0))</f>
        <v/>
      </c>
      <c r="U203" s="61" t="str">
        <f aca="false">IF($A203="","",SUMIFS(Sales!$L$5:INDEX(Sales!$L$5:$L$3004,TxRows),Sales!$D$5:INDEX(Sales!$D$5:$D$3004,TxRows),$A203))</f>
        <v/>
      </c>
      <c r="V203" s="61" t="str">
        <f aca="false">IF($A203="","",SUMIFS(Sales!$S$5:INDEX(Sales!$S$5:$S$3004,TxRows),Sales!$D$5:INDEX(Sales!$D$5:$D$3004,TxRows),$A203))</f>
        <v/>
      </c>
      <c r="W203" s="66" t="str">
        <f aca="false">IF($A203="","",IFERROR(SUMPRODUCT(MAX((Sales!$D$5:INDEX(Sales!$D$5:$D$3004,TxRows)=$A203)*Sales!$A$5:INDEX(Sales!$A$5:$A$3004,TxRows))),0))</f>
        <v/>
      </c>
      <c r="X203" s="67" t="str">
        <f aca="false">IF($A203="","",IF(W203=0,AsOf-FYStart,AsOf-W203))</f>
        <v/>
      </c>
      <c r="Y203" s="67" t="str">
        <f aca="false">IF($A203="","",IF(M203=0,"",O203/(M203/MAX(1,AsOf-FYStart))))</f>
        <v/>
      </c>
      <c r="Z203" s="60" t="str">
        <f aca="false">IF($A203="","",U203+ROW()/1000000)</f>
        <v/>
      </c>
    </row>
    <row r="204" customFormat="false" ht="15" hidden="false" customHeight="false" outlineLevel="0" collapsed="false">
      <c r="A204" s="56"/>
      <c r="B204" s="56"/>
      <c r="C204" s="56"/>
      <c r="D204" s="56"/>
      <c r="E204" s="56"/>
      <c r="F204" s="63"/>
      <c r="G204" s="58"/>
      <c r="H204" s="58"/>
      <c r="I204" s="57"/>
      <c r="J204" s="57"/>
      <c r="K204" s="58"/>
      <c r="L204" s="64" t="str">
        <f aca="false">IF($A204="","",SUMIFS(Purchases!$E$5:INDEX(Purchases!$E$5:$E$3004,TxRows),Purchases!$D$5:INDEX(Purchases!$D$5:$D$3004,TxRows),$A204))</f>
        <v/>
      </c>
      <c r="M204" s="64" t="str">
        <f aca="false">IF($A204="","",SUMIFS(Sales!$E$5:INDEX(Sales!$E$5:$E$3004,TxRows),Sales!$D$5:INDEX(Sales!$D$5:$D$3004,TxRows),$A204))</f>
        <v/>
      </c>
      <c r="N204" s="64" t="str">
        <f aca="false">IF($A204="","",SUMIFS(Adjustments!$C$5:$C$504,Adjustments!$B$5:$B$504,$A204))</f>
        <v/>
      </c>
      <c r="O204" s="64" t="str">
        <f aca="false">IF($A204="","",N($J204)+L204-M204+N204)</f>
        <v/>
      </c>
      <c r="P204" s="61" t="str">
        <f aca="false">IF($A204="","",IFERROR((N($J204)*N($K204)+SUMIFS(Purchases!$K$5:INDEX(Purchases!$K$5:$K$3004,TxRows),Purchases!$D$5:INDEX(Purchases!$D$5:$D$3004,TxRows),$A204))/(N($J204)+L204),N($G204)))</f>
        <v/>
      </c>
      <c r="Q204" s="61" t="str">
        <f aca="false">IF($A204="","",MAX(0,O204)*P204)</f>
        <v/>
      </c>
      <c r="R204" s="60" t="str">
        <f aca="false">IF($A204="","",IF(O204&lt;0,"NEGATIVE",IF(O204=0,"OUT OF STOCK",IF(O204&lt;=N($I204),"REORDER",IF(AND(O204&gt;0,X204&gt;DeadDays),"DEAD STOCK","OK")))))</f>
        <v/>
      </c>
      <c r="S204" s="65" t="str">
        <f aca="false">IF($A204="","",IF(N($H204)=0,0,(N($H204)-P204)/N($H204)))</f>
        <v/>
      </c>
      <c r="T204" s="64" t="str">
        <f aca="false">IF($A204="","",IF(O204&lt;=N($I204),MAX(0,2*N($I204)-O204),0))</f>
        <v/>
      </c>
      <c r="U204" s="61" t="str">
        <f aca="false">IF($A204="","",SUMIFS(Sales!$L$5:INDEX(Sales!$L$5:$L$3004,TxRows),Sales!$D$5:INDEX(Sales!$D$5:$D$3004,TxRows),$A204))</f>
        <v/>
      </c>
      <c r="V204" s="61" t="str">
        <f aca="false">IF($A204="","",SUMIFS(Sales!$S$5:INDEX(Sales!$S$5:$S$3004,TxRows),Sales!$D$5:INDEX(Sales!$D$5:$D$3004,TxRows),$A204))</f>
        <v/>
      </c>
      <c r="W204" s="66" t="str">
        <f aca="false">IF($A204="","",IFERROR(SUMPRODUCT(MAX((Sales!$D$5:INDEX(Sales!$D$5:$D$3004,TxRows)=$A204)*Sales!$A$5:INDEX(Sales!$A$5:$A$3004,TxRows))),0))</f>
        <v/>
      </c>
      <c r="X204" s="67" t="str">
        <f aca="false">IF($A204="","",IF(W204=0,AsOf-FYStart,AsOf-W204))</f>
        <v/>
      </c>
      <c r="Y204" s="67" t="str">
        <f aca="false">IF($A204="","",IF(M204=0,"",O204/(M204/MAX(1,AsOf-FYStart))))</f>
        <v/>
      </c>
      <c r="Z204" s="60" t="str">
        <f aca="false">IF($A204="","",U204+ROW()/1000000)</f>
        <v/>
      </c>
    </row>
    <row r="205" customFormat="false" ht="15" hidden="false" customHeight="false" outlineLevel="0" collapsed="false">
      <c r="A205" s="56"/>
      <c r="B205" s="56"/>
      <c r="C205" s="56"/>
      <c r="D205" s="56"/>
      <c r="E205" s="56"/>
      <c r="F205" s="63"/>
      <c r="G205" s="58"/>
      <c r="H205" s="58"/>
      <c r="I205" s="57"/>
      <c r="J205" s="57"/>
      <c r="K205" s="58"/>
      <c r="L205" s="64" t="str">
        <f aca="false">IF($A205="","",SUMIFS(Purchases!$E$5:INDEX(Purchases!$E$5:$E$3004,TxRows),Purchases!$D$5:INDEX(Purchases!$D$5:$D$3004,TxRows),$A205))</f>
        <v/>
      </c>
      <c r="M205" s="64" t="str">
        <f aca="false">IF($A205="","",SUMIFS(Sales!$E$5:INDEX(Sales!$E$5:$E$3004,TxRows),Sales!$D$5:INDEX(Sales!$D$5:$D$3004,TxRows),$A205))</f>
        <v/>
      </c>
      <c r="N205" s="64" t="str">
        <f aca="false">IF($A205="","",SUMIFS(Adjustments!$C$5:$C$504,Adjustments!$B$5:$B$504,$A205))</f>
        <v/>
      </c>
      <c r="O205" s="64" t="str">
        <f aca="false">IF($A205="","",N($J205)+L205-M205+N205)</f>
        <v/>
      </c>
      <c r="P205" s="61" t="str">
        <f aca="false">IF($A205="","",IFERROR((N($J205)*N($K205)+SUMIFS(Purchases!$K$5:INDEX(Purchases!$K$5:$K$3004,TxRows),Purchases!$D$5:INDEX(Purchases!$D$5:$D$3004,TxRows),$A205))/(N($J205)+L205),N($G205)))</f>
        <v/>
      </c>
      <c r="Q205" s="61" t="str">
        <f aca="false">IF($A205="","",MAX(0,O205)*P205)</f>
        <v/>
      </c>
      <c r="R205" s="60" t="str">
        <f aca="false">IF($A205="","",IF(O205&lt;0,"NEGATIVE",IF(O205=0,"OUT OF STOCK",IF(O205&lt;=N($I205),"REORDER",IF(AND(O205&gt;0,X205&gt;DeadDays),"DEAD STOCK","OK")))))</f>
        <v/>
      </c>
      <c r="S205" s="65" t="str">
        <f aca="false">IF($A205="","",IF(N($H205)=0,0,(N($H205)-P205)/N($H205)))</f>
        <v/>
      </c>
      <c r="T205" s="64" t="str">
        <f aca="false">IF($A205="","",IF(O205&lt;=N($I205),MAX(0,2*N($I205)-O205),0))</f>
        <v/>
      </c>
      <c r="U205" s="61" t="str">
        <f aca="false">IF($A205="","",SUMIFS(Sales!$L$5:INDEX(Sales!$L$5:$L$3004,TxRows),Sales!$D$5:INDEX(Sales!$D$5:$D$3004,TxRows),$A205))</f>
        <v/>
      </c>
      <c r="V205" s="61" t="str">
        <f aca="false">IF($A205="","",SUMIFS(Sales!$S$5:INDEX(Sales!$S$5:$S$3004,TxRows),Sales!$D$5:INDEX(Sales!$D$5:$D$3004,TxRows),$A205))</f>
        <v/>
      </c>
      <c r="W205" s="66" t="str">
        <f aca="false">IF($A205="","",IFERROR(SUMPRODUCT(MAX((Sales!$D$5:INDEX(Sales!$D$5:$D$3004,TxRows)=$A205)*Sales!$A$5:INDEX(Sales!$A$5:$A$3004,TxRows))),0))</f>
        <v/>
      </c>
      <c r="X205" s="67" t="str">
        <f aca="false">IF($A205="","",IF(W205=0,AsOf-FYStart,AsOf-W205))</f>
        <v/>
      </c>
      <c r="Y205" s="67" t="str">
        <f aca="false">IF($A205="","",IF(M205=0,"",O205/(M205/MAX(1,AsOf-FYStart))))</f>
        <v/>
      </c>
      <c r="Z205" s="60" t="str">
        <f aca="false">IF($A205="","",U205+ROW()/1000000)</f>
        <v/>
      </c>
    </row>
    <row r="206" customFormat="false" ht="15" hidden="false" customHeight="false" outlineLevel="0" collapsed="false">
      <c r="A206" s="56"/>
      <c r="B206" s="56"/>
      <c r="C206" s="56"/>
      <c r="D206" s="56"/>
      <c r="E206" s="56"/>
      <c r="F206" s="63"/>
      <c r="G206" s="58"/>
      <c r="H206" s="58"/>
      <c r="I206" s="57"/>
      <c r="J206" s="57"/>
      <c r="K206" s="58"/>
      <c r="L206" s="64" t="str">
        <f aca="false">IF($A206="","",SUMIFS(Purchases!$E$5:INDEX(Purchases!$E$5:$E$3004,TxRows),Purchases!$D$5:INDEX(Purchases!$D$5:$D$3004,TxRows),$A206))</f>
        <v/>
      </c>
      <c r="M206" s="64" t="str">
        <f aca="false">IF($A206="","",SUMIFS(Sales!$E$5:INDEX(Sales!$E$5:$E$3004,TxRows),Sales!$D$5:INDEX(Sales!$D$5:$D$3004,TxRows),$A206))</f>
        <v/>
      </c>
      <c r="N206" s="64" t="str">
        <f aca="false">IF($A206="","",SUMIFS(Adjustments!$C$5:$C$504,Adjustments!$B$5:$B$504,$A206))</f>
        <v/>
      </c>
      <c r="O206" s="64" t="str">
        <f aca="false">IF($A206="","",N($J206)+L206-M206+N206)</f>
        <v/>
      </c>
      <c r="P206" s="61" t="str">
        <f aca="false">IF($A206="","",IFERROR((N($J206)*N($K206)+SUMIFS(Purchases!$K$5:INDEX(Purchases!$K$5:$K$3004,TxRows),Purchases!$D$5:INDEX(Purchases!$D$5:$D$3004,TxRows),$A206))/(N($J206)+L206),N($G206)))</f>
        <v/>
      </c>
      <c r="Q206" s="61" t="str">
        <f aca="false">IF($A206="","",MAX(0,O206)*P206)</f>
        <v/>
      </c>
      <c r="R206" s="60" t="str">
        <f aca="false">IF($A206="","",IF(O206&lt;0,"NEGATIVE",IF(O206=0,"OUT OF STOCK",IF(O206&lt;=N($I206),"REORDER",IF(AND(O206&gt;0,X206&gt;DeadDays),"DEAD STOCK","OK")))))</f>
        <v/>
      </c>
      <c r="S206" s="65" t="str">
        <f aca="false">IF($A206="","",IF(N($H206)=0,0,(N($H206)-P206)/N($H206)))</f>
        <v/>
      </c>
      <c r="T206" s="64" t="str">
        <f aca="false">IF($A206="","",IF(O206&lt;=N($I206),MAX(0,2*N($I206)-O206),0))</f>
        <v/>
      </c>
      <c r="U206" s="61" t="str">
        <f aca="false">IF($A206="","",SUMIFS(Sales!$L$5:INDEX(Sales!$L$5:$L$3004,TxRows),Sales!$D$5:INDEX(Sales!$D$5:$D$3004,TxRows),$A206))</f>
        <v/>
      </c>
      <c r="V206" s="61" t="str">
        <f aca="false">IF($A206="","",SUMIFS(Sales!$S$5:INDEX(Sales!$S$5:$S$3004,TxRows),Sales!$D$5:INDEX(Sales!$D$5:$D$3004,TxRows),$A206))</f>
        <v/>
      </c>
      <c r="W206" s="66" t="str">
        <f aca="false">IF($A206="","",IFERROR(SUMPRODUCT(MAX((Sales!$D$5:INDEX(Sales!$D$5:$D$3004,TxRows)=$A206)*Sales!$A$5:INDEX(Sales!$A$5:$A$3004,TxRows))),0))</f>
        <v/>
      </c>
      <c r="X206" s="67" t="str">
        <f aca="false">IF($A206="","",IF(W206=0,AsOf-FYStart,AsOf-W206))</f>
        <v/>
      </c>
      <c r="Y206" s="67" t="str">
        <f aca="false">IF($A206="","",IF(M206=0,"",O206/(M206/MAX(1,AsOf-FYStart))))</f>
        <v/>
      </c>
      <c r="Z206" s="60" t="str">
        <f aca="false">IF($A206="","",U206+ROW()/1000000)</f>
        <v/>
      </c>
    </row>
    <row r="207" customFormat="false" ht="15" hidden="false" customHeight="false" outlineLevel="0" collapsed="false">
      <c r="A207" s="56"/>
      <c r="B207" s="56"/>
      <c r="C207" s="56"/>
      <c r="D207" s="56"/>
      <c r="E207" s="56"/>
      <c r="F207" s="63"/>
      <c r="G207" s="58"/>
      <c r="H207" s="58"/>
      <c r="I207" s="57"/>
      <c r="J207" s="57"/>
      <c r="K207" s="58"/>
      <c r="L207" s="64" t="str">
        <f aca="false">IF($A207="","",SUMIFS(Purchases!$E$5:INDEX(Purchases!$E$5:$E$3004,TxRows),Purchases!$D$5:INDEX(Purchases!$D$5:$D$3004,TxRows),$A207))</f>
        <v/>
      </c>
      <c r="M207" s="64" t="str">
        <f aca="false">IF($A207="","",SUMIFS(Sales!$E$5:INDEX(Sales!$E$5:$E$3004,TxRows),Sales!$D$5:INDEX(Sales!$D$5:$D$3004,TxRows),$A207))</f>
        <v/>
      </c>
      <c r="N207" s="64" t="str">
        <f aca="false">IF($A207="","",SUMIFS(Adjustments!$C$5:$C$504,Adjustments!$B$5:$B$504,$A207))</f>
        <v/>
      </c>
      <c r="O207" s="64" t="str">
        <f aca="false">IF($A207="","",N($J207)+L207-M207+N207)</f>
        <v/>
      </c>
      <c r="P207" s="61" t="str">
        <f aca="false">IF($A207="","",IFERROR((N($J207)*N($K207)+SUMIFS(Purchases!$K$5:INDEX(Purchases!$K$5:$K$3004,TxRows),Purchases!$D$5:INDEX(Purchases!$D$5:$D$3004,TxRows),$A207))/(N($J207)+L207),N($G207)))</f>
        <v/>
      </c>
      <c r="Q207" s="61" t="str">
        <f aca="false">IF($A207="","",MAX(0,O207)*P207)</f>
        <v/>
      </c>
      <c r="R207" s="60" t="str">
        <f aca="false">IF($A207="","",IF(O207&lt;0,"NEGATIVE",IF(O207=0,"OUT OF STOCK",IF(O207&lt;=N($I207),"REORDER",IF(AND(O207&gt;0,X207&gt;DeadDays),"DEAD STOCK","OK")))))</f>
        <v/>
      </c>
      <c r="S207" s="65" t="str">
        <f aca="false">IF($A207="","",IF(N($H207)=0,0,(N($H207)-P207)/N($H207)))</f>
        <v/>
      </c>
      <c r="T207" s="64" t="str">
        <f aca="false">IF($A207="","",IF(O207&lt;=N($I207),MAX(0,2*N($I207)-O207),0))</f>
        <v/>
      </c>
      <c r="U207" s="61" t="str">
        <f aca="false">IF($A207="","",SUMIFS(Sales!$L$5:INDEX(Sales!$L$5:$L$3004,TxRows),Sales!$D$5:INDEX(Sales!$D$5:$D$3004,TxRows),$A207))</f>
        <v/>
      </c>
      <c r="V207" s="61" t="str">
        <f aca="false">IF($A207="","",SUMIFS(Sales!$S$5:INDEX(Sales!$S$5:$S$3004,TxRows),Sales!$D$5:INDEX(Sales!$D$5:$D$3004,TxRows),$A207))</f>
        <v/>
      </c>
      <c r="W207" s="66" t="str">
        <f aca="false">IF($A207="","",IFERROR(SUMPRODUCT(MAX((Sales!$D$5:INDEX(Sales!$D$5:$D$3004,TxRows)=$A207)*Sales!$A$5:INDEX(Sales!$A$5:$A$3004,TxRows))),0))</f>
        <v/>
      </c>
      <c r="X207" s="67" t="str">
        <f aca="false">IF($A207="","",IF(W207=0,AsOf-FYStart,AsOf-W207))</f>
        <v/>
      </c>
      <c r="Y207" s="67" t="str">
        <f aca="false">IF($A207="","",IF(M207=0,"",O207/(M207/MAX(1,AsOf-FYStart))))</f>
        <v/>
      </c>
      <c r="Z207" s="60" t="str">
        <f aca="false">IF($A207="","",U207+ROW()/1000000)</f>
        <v/>
      </c>
    </row>
    <row r="208" customFormat="false" ht="15" hidden="false" customHeight="false" outlineLevel="0" collapsed="false">
      <c r="A208" s="56"/>
      <c r="B208" s="56"/>
      <c r="C208" s="56"/>
      <c r="D208" s="56"/>
      <c r="E208" s="56"/>
      <c r="F208" s="63"/>
      <c r="G208" s="58"/>
      <c r="H208" s="58"/>
      <c r="I208" s="57"/>
      <c r="J208" s="57"/>
      <c r="K208" s="58"/>
      <c r="L208" s="64" t="str">
        <f aca="false">IF($A208="","",SUMIFS(Purchases!$E$5:INDEX(Purchases!$E$5:$E$3004,TxRows),Purchases!$D$5:INDEX(Purchases!$D$5:$D$3004,TxRows),$A208))</f>
        <v/>
      </c>
      <c r="M208" s="64" t="str">
        <f aca="false">IF($A208="","",SUMIFS(Sales!$E$5:INDEX(Sales!$E$5:$E$3004,TxRows),Sales!$D$5:INDEX(Sales!$D$5:$D$3004,TxRows),$A208))</f>
        <v/>
      </c>
      <c r="N208" s="64" t="str">
        <f aca="false">IF($A208="","",SUMIFS(Adjustments!$C$5:$C$504,Adjustments!$B$5:$B$504,$A208))</f>
        <v/>
      </c>
      <c r="O208" s="64" t="str">
        <f aca="false">IF($A208="","",N($J208)+L208-M208+N208)</f>
        <v/>
      </c>
      <c r="P208" s="61" t="str">
        <f aca="false">IF($A208="","",IFERROR((N($J208)*N($K208)+SUMIFS(Purchases!$K$5:INDEX(Purchases!$K$5:$K$3004,TxRows),Purchases!$D$5:INDEX(Purchases!$D$5:$D$3004,TxRows),$A208))/(N($J208)+L208),N($G208)))</f>
        <v/>
      </c>
      <c r="Q208" s="61" t="str">
        <f aca="false">IF($A208="","",MAX(0,O208)*P208)</f>
        <v/>
      </c>
      <c r="R208" s="60" t="str">
        <f aca="false">IF($A208="","",IF(O208&lt;0,"NEGATIVE",IF(O208=0,"OUT OF STOCK",IF(O208&lt;=N($I208),"REORDER",IF(AND(O208&gt;0,X208&gt;DeadDays),"DEAD STOCK","OK")))))</f>
        <v/>
      </c>
      <c r="S208" s="65" t="str">
        <f aca="false">IF($A208="","",IF(N($H208)=0,0,(N($H208)-P208)/N($H208)))</f>
        <v/>
      </c>
      <c r="T208" s="64" t="str">
        <f aca="false">IF($A208="","",IF(O208&lt;=N($I208),MAX(0,2*N($I208)-O208),0))</f>
        <v/>
      </c>
      <c r="U208" s="61" t="str">
        <f aca="false">IF($A208="","",SUMIFS(Sales!$L$5:INDEX(Sales!$L$5:$L$3004,TxRows),Sales!$D$5:INDEX(Sales!$D$5:$D$3004,TxRows),$A208))</f>
        <v/>
      </c>
      <c r="V208" s="61" t="str">
        <f aca="false">IF($A208="","",SUMIFS(Sales!$S$5:INDEX(Sales!$S$5:$S$3004,TxRows),Sales!$D$5:INDEX(Sales!$D$5:$D$3004,TxRows),$A208))</f>
        <v/>
      </c>
      <c r="W208" s="66" t="str">
        <f aca="false">IF($A208="","",IFERROR(SUMPRODUCT(MAX((Sales!$D$5:INDEX(Sales!$D$5:$D$3004,TxRows)=$A208)*Sales!$A$5:INDEX(Sales!$A$5:$A$3004,TxRows))),0))</f>
        <v/>
      </c>
      <c r="X208" s="67" t="str">
        <f aca="false">IF($A208="","",IF(W208=0,AsOf-FYStart,AsOf-W208))</f>
        <v/>
      </c>
      <c r="Y208" s="67" t="str">
        <f aca="false">IF($A208="","",IF(M208=0,"",O208/(M208/MAX(1,AsOf-FYStart))))</f>
        <v/>
      </c>
      <c r="Z208" s="60" t="str">
        <f aca="false">IF($A208="","",U208+ROW()/1000000)</f>
        <v/>
      </c>
    </row>
    <row r="209" customFormat="false" ht="15" hidden="false" customHeight="false" outlineLevel="0" collapsed="false">
      <c r="A209" s="56"/>
      <c r="B209" s="56"/>
      <c r="C209" s="56"/>
      <c r="D209" s="56"/>
      <c r="E209" s="56"/>
      <c r="F209" s="63"/>
      <c r="G209" s="58"/>
      <c r="H209" s="58"/>
      <c r="I209" s="57"/>
      <c r="J209" s="57"/>
      <c r="K209" s="58"/>
      <c r="L209" s="64" t="str">
        <f aca="false">IF($A209="","",SUMIFS(Purchases!$E$5:INDEX(Purchases!$E$5:$E$3004,TxRows),Purchases!$D$5:INDEX(Purchases!$D$5:$D$3004,TxRows),$A209))</f>
        <v/>
      </c>
      <c r="M209" s="64" t="str">
        <f aca="false">IF($A209="","",SUMIFS(Sales!$E$5:INDEX(Sales!$E$5:$E$3004,TxRows),Sales!$D$5:INDEX(Sales!$D$5:$D$3004,TxRows),$A209))</f>
        <v/>
      </c>
      <c r="N209" s="64" t="str">
        <f aca="false">IF($A209="","",SUMIFS(Adjustments!$C$5:$C$504,Adjustments!$B$5:$B$504,$A209))</f>
        <v/>
      </c>
      <c r="O209" s="64" t="str">
        <f aca="false">IF($A209="","",N($J209)+L209-M209+N209)</f>
        <v/>
      </c>
      <c r="P209" s="61" t="str">
        <f aca="false">IF($A209="","",IFERROR((N($J209)*N($K209)+SUMIFS(Purchases!$K$5:INDEX(Purchases!$K$5:$K$3004,TxRows),Purchases!$D$5:INDEX(Purchases!$D$5:$D$3004,TxRows),$A209))/(N($J209)+L209),N($G209)))</f>
        <v/>
      </c>
      <c r="Q209" s="61" t="str">
        <f aca="false">IF($A209="","",MAX(0,O209)*P209)</f>
        <v/>
      </c>
      <c r="R209" s="60" t="str">
        <f aca="false">IF($A209="","",IF(O209&lt;0,"NEGATIVE",IF(O209=0,"OUT OF STOCK",IF(O209&lt;=N($I209),"REORDER",IF(AND(O209&gt;0,X209&gt;DeadDays),"DEAD STOCK","OK")))))</f>
        <v/>
      </c>
      <c r="S209" s="65" t="str">
        <f aca="false">IF($A209="","",IF(N($H209)=0,0,(N($H209)-P209)/N($H209)))</f>
        <v/>
      </c>
      <c r="T209" s="64" t="str">
        <f aca="false">IF($A209="","",IF(O209&lt;=N($I209),MAX(0,2*N($I209)-O209),0))</f>
        <v/>
      </c>
      <c r="U209" s="61" t="str">
        <f aca="false">IF($A209="","",SUMIFS(Sales!$L$5:INDEX(Sales!$L$5:$L$3004,TxRows),Sales!$D$5:INDEX(Sales!$D$5:$D$3004,TxRows),$A209))</f>
        <v/>
      </c>
      <c r="V209" s="61" t="str">
        <f aca="false">IF($A209="","",SUMIFS(Sales!$S$5:INDEX(Sales!$S$5:$S$3004,TxRows),Sales!$D$5:INDEX(Sales!$D$5:$D$3004,TxRows),$A209))</f>
        <v/>
      </c>
      <c r="W209" s="66" t="str">
        <f aca="false">IF($A209="","",IFERROR(SUMPRODUCT(MAX((Sales!$D$5:INDEX(Sales!$D$5:$D$3004,TxRows)=$A209)*Sales!$A$5:INDEX(Sales!$A$5:$A$3004,TxRows))),0))</f>
        <v/>
      </c>
      <c r="X209" s="67" t="str">
        <f aca="false">IF($A209="","",IF(W209=0,AsOf-FYStart,AsOf-W209))</f>
        <v/>
      </c>
      <c r="Y209" s="67" t="str">
        <f aca="false">IF($A209="","",IF(M209=0,"",O209/(M209/MAX(1,AsOf-FYStart))))</f>
        <v/>
      </c>
      <c r="Z209" s="60" t="str">
        <f aca="false">IF($A209="","",U209+ROW()/1000000)</f>
        <v/>
      </c>
    </row>
    <row r="210" customFormat="false" ht="15" hidden="false" customHeight="false" outlineLevel="0" collapsed="false">
      <c r="A210" s="56"/>
      <c r="B210" s="56"/>
      <c r="C210" s="56"/>
      <c r="D210" s="56"/>
      <c r="E210" s="56"/>
      <c r="F210" s="63"/>
      <c r="G210" s="58"/>
      <c r="H210" s="58"/>
      <c r="I210" s="57"/>
      <c r="J210" s="57"/>
      <c r="K210" s="58"/>
      <c r="L210" s="64" t="str">
        <f aca="false">IF($A210="","",SUMIFS(Purchases!$E$5:INDEX(Purchases!$E$5:$E$3004,TxRows),Purchases!$D$5:INDEX(Purchases!$D$5:$D$3004,TxRows),$A210))</f>
        <v/>
      </c>
      <c r="M210" s="64" t="str">
        <f aca="false">IF($A210="","",SUMIFS(Sales!$E$5:INDEX(Sales!$E$5:$E$3004,TxRows),Sales!$D$5:INDEX(Sales!$D$5:$D$3004,TxRows),$A210))</f>
        <v/>
      </c>
      <c r="N210" s="64" t="str">
        <f aca="false">IF($A210="","",SUMIFS(Adjustments!$C$5:$C$504,Adjustments!$B$5:$B$504,$A210))</f>
        <v/>
      </c>
      <c r="O210" s="64" t="str">
        <f aca="false">IF($A210="","",N($J210)+L210-M210+N210)</f>
        <v/>
      </c>
      <c r="P210" s="61" t="str">
        <f aca="false">IF($A210="","",IFERROR((N($J210)*N($K210)+SUMIFS(Purchases!$K$5:INDEX(Purchases!$K$5:$K$3004,TxRows),Purchases!$D$5:INDEX(Purchases!$D$5:$D$3004,TxRows),$A210))/(N($J210)+L210),N($G210)))</f>
        <v/>
      </c>
      <c r="Q210" s="61" t="str">
        <f aca="false">IF($A210="","",MAX(0,O210)*P210)</f>
        <v/>
      </c>
      <c r="R210" s="60" t="str">
        <f aca="false">IF($A210="","",IF(O210&lt;0,"NEGATIVE",IF(O210=0,"OUT OF STOCK",IF(O210&lt;=N($I210),"REORDER",IF(AND(O210&gt;0,X210&gt;DeadDays),"DEAD STOCK","OK")))))</f>
        <v/>
      </c>
      <c r="S210" s="65" t="str">
        <f aca="false">IF($A210="","",IF(N($H210)=0,0,(N($H210)-P210)/N($H210)))</f>
        <v/>
      </c>
      <c r="T210" s="64" t="str">
        <f aca="false">IF($A210="","",IF(O210&lt;=N($I210),MAX(0,2*N($I210)-O210),0))</f>
        <v/>
      </c>
      <c r="U210" s="61" t="str">
        <f aca="false">IF($A210="","",SUMIFS(Sales!$L$5:INDEX(Sales!$L$5:$L$3004,TxRows),Sales!$D$5:INDEX(Sales!$D$5:$D$3004,TxRows),$A210))</f>
        <v/>
      </c>
      <c r="V210" s="61" t="str">
        <f aca="false">IF($A210="","",SUMIFS(Sales!$S$5:INDEX(Sales!$S$5:$S$3004,TxRows),Sales!$D$5:INDEX(Sales!$D$5:$D$3004,TxRows),$A210))</f>
        <v/>
      </c>
      <c r="W210" s="66" t="str">
        <f aca="false">IF($A210="","",IFERROR(SUMPRODUCT(MAX((Sales!$D$5:INDEX(Sales!$D$5:$D$3004,TxRows)=$A210)*Sales!$A$5:INDEX(Sales!$A$5:$A$3004,TxRows))),0))</f>
        <v/>
      </c>
      <c r="X210" s="67" t="str">
        <f aca="false">IF($A210="","",IF(W210=0,AsOf-FYStart,AsOf-W210))</f>
        <v/>
      </c>
      <c r="Y210" s="67" t="str">
        <f aca="false">IF($A210="","",IF(M210=0,"",O210/(M210/MAX(1,AsOf-FYStart))))</f>
        <v/>
      </c>
      <c r="Z210" s="60" t="str">
        <f aca="false">IF($A210="","",U210+ROW()/1000000)</f>
        <v/>
      </c>
    </row>
    <row r="211" customFormat="false" ht="15" hidden="false" customHeight="false" outlineLevel="0" collapsed="false">
      <c r="A211" s="56"/>
      <c r="B211" s="56"/>
      <c r="C211" s="56"/>
      <c r="D211" s="56"/>
      <c r="E211" s="56"/>
      <c r="F211" s="63"/>
      <c r="G211" s="58"/>
      <c r="H211" s="58"/>
      <c r="I211" s="57"/>
      <c r="J211" s="57"/>
      <c r="K211" s="58"/>
      <c r="L211" s="64" t="str">
        <f aca="false">IF($A211="","",SUMIFS(Purchases!$E$5:INDEX(Purchases!$E$5:$E$3004,TxRows),Purchases!$D$5:INDEX(Purchases!$D$5:$D$3004,TxRows),$A211))</f>
        <v/>
      </c>
      <c r="M211" s="64" t="str">
        <f aca="false">IF($A211="","",SUMIFS(Sales!$E$5:INDEX(Sales!$E$5:$E$3004,TxRows),Sales!$D$5:INDEX(Sales!$D$5:$D$3004,TxRows),$A211))</f>
        <v/>
      </c>
      <c r="N211" s="64" t="str">
        <f aca="false">IF($A211="","",SUMIFS(Adjustments!$C$5:$C$504,Adjustments!$B$5:$B$504,$A211))</f>
        <v/>
      </c>
      <c r="O211" s="64" t="str">
        <f aca="false">IF($A211="","",N($J211)+L211-M211+N211)</f>
        <v/>
      </c>
      <c r="P211" s="61" t="str">
        <f aca="false">IF($A211="","",IFERROR((N($J211)*N($K211)+SUMIFS(Purchases!$K$5:INDEX(Purchases!$K$5:$K$3004,TxRows),Purchases!$D$5:INDEX(Purchases!$D$5:$D$3004,TxRows),$A211))/(N($J211)+L211),N($G211)))</f>
        <v/>
      </c>
      <c r="Q211" s="61" t="str">
        <f aca="false">IF($A211="","",MAX(0,O211)*P211)</f>
        <v/>
      </c>
      <c r="R211" s="60" t="str">
        <f aca="false">IF($A211="","",IF(O211&lt;0,"NEGATIVE",IF(O211=0,"OUT OF STOCK",IF(O211&lt;=N($I211),"REORDER",IF(AND(O211&gt;0,X211&gt;DeadDays),"DEAD STOCK","OK")))))</f>
        <v/>
      </c>
      <c r="S211" s="65" t="str">
        <f aca="false">IF($A211="","",IF(N($H211)=0,0,(N($H211)-P211)/N($H211)))</f>
        <v/>
      </c>
      <c r="T211" s="64" t="str">
        <f aca="false">IF($A211="","",IF(O211&lt;=N($I211),MAX(0,2*N($I211)-O211),0))</f>
        <v/>
      </c>
      <c r="U211" s="61" t="str">
        <f aca="false">IF($A211="","",SUMIFS(Sales!$L$5:INDEX(Sales!$L$5:$L$3004,TxRows),Sales!$D$5:INDEX(Sales!$D$5:$D$3004,TxRows),$A211))</f>
        <v/>
      </c>
      <c r="V211" s="61" t="str">
        <f aca="false">IF($A211="","",SUMIFS(Sales!$S$5:INDEX(Sales!$S$5:$S$3004,TxRows),Sales!$D$5:INDEX(Sales!$D$5:$D$3004,TxRows),$A211))</f>
        <v/>
      </c>
      <c r="W211" s="66" t="str">
        <f aca="false">IF($A211="","",IFERROR(SUMPRODUCT(MAX((Sales!$D$5:INDEX(Sales!$D$5:$D$3004,TxRows)=$A211)*Sales!$A$5:INDEX(Sales!$A$5:$A$3004,TxRows))),0))</f>
        <v/>
      </c>
      <c r="X211" s="67" t="str">
        <f aca="false">IF($A211="","",IF(W211=0,AsOf-FYStart,AsOf-W211))</f>
        <v/>
      </c>
      <c r="Y211" s="67" t="str">
        <f aca="false">IF($A211="","",IF(M211=0,"",O211/(M211/MAX(1,AsOf-FYStart))))</f>
        <v/>
      </c>
      <c r="Z211" s="60" t="str">
        <f aca="false">IF($A211="","",U211+ROW()/1000000)</f>
        <v/>
      </c>
    </row>
    <row r="212" customFormat="false" ht="15" hidden="false" customHeight="false" outlineLevel="0" collapsed="false">
      <c r="A212" s="56"/>
      <c r="B212" s="56"/>
      <c r="C212" s="56"/>
      <c r="D212" s="56"/>
      <c r="E212" s="56"/>
      <c r="F212" s="63"/>
      <c r="G212" s="58"/>
      <c r="H212" s="58"/>
      <c r="I212" s="57"/>
      <c r="J212" s="57"/>
      <c r="K212" s="58"/>
      <c r="L212" s="64" t="str">
        <f aca="false">IF($A212="","",SUMIFS(Purchases!$E$5:INDEX(Purchases!$E$5:$E$3004,TxRows),Purchases!$D$5:INDEX(Purchases!$D$5:$D$3004,TxRows),$A212))</f>
        <v/>
      </c>
      <c r="M212" s="64" t="str">
        <f aca="false">IF($A212="","",SUMIFS(Sales!$E$5:INDEX(Sales!$E$5:$E$3004,TxRows),Sales!$D$5:INDEX(Sales!$D$5:$D$3004,TxRows),$A212))</f>
        <v/>
      </c>
      <c r="N212" s="64" t="str">
        <f aca="false">IF($A212="","",SUMIFS(Adjustments!$C$5:$C$504,Adjustments!$B$5:$B$504,$A212))</f>
        <v/>
      </c>
      <c r="O212" s="64" t="str">
        <f aca="false">IF($A212="","",N($J212)+L212-M212+N212)</f>
        <v/>
      </c>
      <c r="P212" s="61" t="str">
        <f aca="false">IF($A212="","",IFERROR((N($J212)*N($K212)+SUMIFS(Purchases!$K$5:INDEX(Purchases!$K$5:$K$3004,TxRows),Purchases!$D$5:INDEX(Purchases!$D$5:$D$3004,TxRows),$A212))/(N($J212)+L212),N($G212)))</f>
        <v/>
      </c>
      <c r="Q212" s="61" t="str">
        <f aca="false">IF($A212="","",MAX(0,O212)*P212)</f>
        <v/>
      </c>
      <c r="R212" s="60" t="str">
        <f aca="false">IF($A212="","",IF(O212&lt;0,"NEGATIVE",IF(O212=0,"OUT OF STOCK",IF(O212&lt;=N($I212),"REORDER",IF(AND(O212&gt;0,X212&gt;DeadDays),"DEAD STOCK","OK")))))</f>
        <v/>
      </c>
      <c r="S212" s="65" t="str">
        <f aca="false">IF($A212="","",IF(N($H212)=0,0,(N($H212)-P212)/N($H212)))</f>
        <v/>
      </c>
      <c r="T212" s="64" t="str">
        <f aca="false">IF($A212="","",IF(O212&lt;=N($I212),MAX(0,2*N($I212)-O212),0))</f>
        <v/>
      </c>
      <c r="U212" s="61" t="str">
        <f aca="false">IF($A212="","",SUMIFS(Sales!$L$5:INDEX(Sales!$L$5:$L$3004,TxRows),Sales!$D$5:INDEX(Sales!$D$5:$D$3004,TxRows),$A212))</f>
        <v/>
      </c>
      <c r="V212" s="61" t="str">
        <f aca="false">IF($A212="","",SUMIFS(Sales!$S$5:INDEX(Sales!$S$5:$S$3004,TxRows),Sales!$D$5:INDEX(Sales!$D$5:$D$3004,TxRows),$A212))</f>
        <v/>
      </c>
      <c r="W212" s="66" t="str">
        <f aca="false">IF($A212="","",IFERROR(SUMPRODUCT(MAX((Sales!$D$5:INDEX(Sales!$D$5:$D$3004,TxRows)=$A212)*Sales!$A$5:INDEX(Sales!$A$5:$A$3004,TxRows))),0))</f>
        <v/>
      </c>
      <c r="X212" s="67" t="str">
        <f aca="false">IF($A212="","",IF(W212=0,AsOf-FYStart,AsOf-W212))</f>
        <v/>
      </c>
      <c r="Y212" s="67" t="str">
        <f aca="false">IF($A212="","",IF(M212=0,"",O212/(M212/MAX(1,AsOf-FYStart))))</f>
        <v/>
      </c>
      <c r="Z212" s="60" t="str">
        <f aca="false">IF($A212="","",U212+ROW()/1000000)</f>
        <v/>
      </c>
    </row>
    <row r="213" customFormat="false" ht="15" hidden="false" customHeight="false" outlineLevel="0" collapsed="false">
      <c r="A213" s="56"/>
      <c r="B213" s="56"/>
      <c r="C213" s="56"/>
      <c r="D213" s="56"/>
      <c r="E213" s="56"/>
      <c r="F213" s="63"/>
      <c r="G213" s="58"/>
      <c r="H213" s="58"/>
      <c r="I213" s="57"/>
      <c r="J213" s="57"/>
      <c r="K213" s="58"/>
      <c r="L213" s="64" t="str">
        <f aca="false">IF($A213="","",SUMIFS(Purchases!$E$5:INDEX(Purchases!$E$5:$E$3004,TxRows),Purchases!$D$5:INDEX(Purchases!$D$5:$D$3004,TxRows),$A213))</f>
        <v/>
      </c>
      <c r="M213" s="64" t="str">
        <f aca="false">IF($A213="","",SUMIFS(Sales!$E$5:INDEX(Sales!$E$5:$E$3004,TxRows),Sales!$D$5:INDEX(Sales!$D$5:$D$3004,TxRows),$A213))</f>
        <v/>
      </c>
      <c r="N213" s="64" t="str">
        <f aca="false">IF($A213="","",SUMIFS(Adjustments!$C$5:$C$504,Adjustments!$B$5:$B$504,$A213))</f>
        <v/>
      </c>
      <c r="O213" s="64" t="str">
        <f aca="false">IF($A213="","",N($J213)+L213-M213+N213)</f>
        <v/>
      </c>
      <c r="P213" s="61" t="str">
        <f aca="false">IF($A213="","",IFERROR((N($J213)*N($K213)+SUMIFS(Purchases!$K$5:INDEX(Purchases!$K$5:$K$3004,TxRows),Purchases!$D$5:INDEX(Purchases!$D$5:$D$3004,TxRows),$A213))/(N($J213)+L213),N($G213)))</f>
        <v/>
      </c>
      <c r="Q213" s="61" t="str">
        <f aca="false">IF($A213="","",MAX(0,O213)*P213)</f>
        <v/>
      </c>
      <c r="R213" s="60" t="str">
        <f aca="false">IF($A213="","",IF(O213&lt;0,"NEGATIVE",IF(O213=0,"OUT OF STOCK",IF(O213&lt;=N($I213),"REORDER",IF(AND(O213&gt;0,X213&gt;DeadDays),"DEAD STOCK","OK")))))</f>
        <v/>
      </c>
      <c r="S213" s="65" t="str">
        <f aca="false">IF($A213="","",IF(N($H213)=0,0,(N($H213)-P213)/N($H213)))</f>
        <v/>
      </c>
      <c r="T213" s="64" t="str">
        <f aca="false">IF($A213="","",IF(O213&lt;=N($I213),MAX(0,2*N($I213)-O213),0))</f>
        <v/>
      </c>
      <c r="U213" s="61" t="str">
        <f aca="false">IF($A213="","",SUMIFS(Sales!$L$5:INDEX(Sales!$L$5:$L$3004,TxRows),Sales!$D$5:INDEX(Sales!$D$5:$D$3004,TxRows),$A213))</f>
        <v/>
      </c>
      <c r="V213" s="61" t="str">
        <f aca="false">IF($A213="","",SUMIFS(Sales!$S$5:INDEX(Sales!$S$5:$S$3004,TxRows),Sales!$D$5:INDEX(Sales!$D$5:$D$3004,TxRows),$A213))</f>
        <v/>
      </c>
      <c r="W213" s="66" t="str">
        <f aca="false">IF($A213="","",IFERROR(SUMPRODUCT(MAX((Sales!$D$5:INDEX(Sales!$D$5:$D$3004,TxRows)=$A213)*Sales!$A$5:INDEX(Sales!$A$5:$A$3004,TxRows))),0))</f>
        <v/>
      </c>
      <c r="X213" s="67" t="str">
        <f aca="false">IF($A213="","",IF(W213=0,AsOf-FYStart,AsOf-W213))</f>
        <v/>
      </c>
      <c r="Y213" s="67" t="str">
        <f aca="false">IF($A213="","",IF(M213=0,"",O213/(M213/MAX(1,AsOf-FYStart))))</f>
        <v/>
      </c>
      <c r="Z213" s="60" t="str">
        <f aca="false">IF($A213="","",U213+ROW()/1000000)</f>
        <v/>
      </c>
    </row>
    <row r="214" customFormat="false" ht="15" hidden="false" customHeight="false" outlineLevel="0" collapsed="false">
      <c r="A214" s="56"/>
      <c r="B214" s="56"/>
      <c r="C214" s="56"/>
      <c r="D214" s="56"/>
      <c r="E214" s="56"/>
      <c r="F214" s="63"/>
      <c r="G214" s="58"/>
      <c r="H214" s="58"/>
      <c r="I214" s="57"/>
      <c r="J214" s="57"/>
      <c r="K214" s="58"/>
      <c r="L214" s="64" t="str">
        <f aca="false">IF($A214="","",SUMIFS(Purchases!$E$5:INDEX(Purchases!$E$5:$E$3004,TxRows),Purchases!$D$5:INDEX(Purchases!$D$5:$D$3004,TxRows),$A214))</f>
        <v/>
      </c>
      <c r="M214" s="64" t="str">
        <f aca="false">IF($A214="","",SUMIFS(Sales!$E$5:INDEX(Sales!$E$5:$E$3004,TxRows),Sales!$D$5:INDEX(Sales!$D$5:$D$3004,TxRows),$A214))</f>
        <v/>
      </c>
      <c r="N214" s="64" t="str">
        <f aca="false">IF($A214="","",SUMIFS(Adjustments!$C$5:$C$504,Adjustments!$B$5:$B$504,$A214))</f>
        <v/>
      </c>
      <c r="O214" s="64" t="str">
        <f aca="false">IF($A214="","",N($J214)+L214-M214+N214)</f>
        <v/>
      </c>
      <c r="P214" s="61" t="str">
        <f aca="false">IF($A214="","",IFERROR((N($J214)*N($K214)+SUMIFS(Purchases!$K$5:INDEX(Purchases!$K$5:$K$3004,TxRows),Purchases!$D$5:INDEX(Purchases!$D$5:$D$3004,TxRows),$A214))/(N($J214)+L214),N($G214)))</f>
        <v/>
      </c>
      <c r="Q214" s="61" t="str">
        <f aca="false">IF($A214="","",MAX(0,O214)*P214)</f>
        <v/>
      </c>
      <c r="R214" s="60" t="str">
        <f aca="false">IF($A214="","",IF(O214&lt;0,"NEGATIVE",IF(O214=0,"OUT OF STOCK",IF(O214&lt;=N($I214),"REORDER",IF(AND(O214&gt;0,X214&gt;DeadDays),"DEAD STOCK","OK")))))</f>
        <v/>
      </c>
      <c r="S214" s="65" t="str">
        <f aca="false">IF($A214="","",IF(N($H214)=0,0,(N($H214)-P214)/N($H214)))</f>
        <v/>
      </c>
      <c r="T214" s="64" t="str">
        <f aca="false">IF($A214="","",IF(O214&lt;=N($I214),MAX(0,2*N($I214)-O214),0))</f>
        <v/>
      </c>
      <c r="U214" s="61" t="str">
        <f aca="false">IF($A214="","",SUMIFS(Sales!$L$5:INDEX(Sales!$L$5:$L$3004,TxRows),Sales!$D$5:INDEX(Sales!$D$5:$D$3004,TxRows),$A214))</f>
        <v/>
      </c>
      <c r="V214" s="61" t="str">
        <f aca="false">IF($A214="","",SUMIFS(Sales!$S$5:INDEX(Sales!$S$5:$S$3004,TxRows),Sales!$D$5:INDEX(Sales!$D$5:$D$3004,TxRows),$A214))</f>
        <v/>
      </c>
      <c r="W214" s="66" t="str">
        <f aca="false">IF($A214="","",IFERROR(SUMPRODUCT(MAX((Sales!$D$5:INDEX(Sales!$D$5:$D$3004,TxRows)=$A214)*Sales!$A$5:INDEX(Sales!$A$5:$A$3004,TxRows))),0))</f>
        <v/>
      </c>
      <c r="X214" s="67" t="str">
        <f aca="false">IF($A214="","",IF(W214=0,AsOf-FYStart,AsOf-W214))</f>
        <v/>
      </c>
      <c r="Y214" s="67" t="str">
        <f aca="false">IF($A214="","",IF(M214=0,"",O214/(M214/MAX(1,AsOf-FYStart))))</f>
        <v/>
      </c>
      <c r="Z214" s="60" t="str">
        <f aca="false">IF($A214="","",U214+ROW()/1000000)</f>
        <v/>
      </c>
    </row>
    <row r="215" customFormat="false" ht="15" hidden="false" customHeight="false" outlineLevel="0" collapsed="false">
      <c r="A215" s="56"/>
      <c r="B215" s="56"/>
      <c r="C215" s="56"/>
      <c r="D215" s="56"/>
      <c r="E215" s="56"/>
      <c r="F215" s="63"/>
      <c r="G215" s="58"/>
      <c r="H215" s="58"/>
      <c r="I215" s="57"/>
      <c r="J215" s="57"/>
      <c r="K215" s="58"/>
      <c r="L215" s="64" t="str">
        <f aca="false">IF($A215="","",SUMIFS(Purchases!$E$5:INDEX(Purchases!$E$5:$E$3004,TxRows),Purchases!$D$5:INDEX(Purchases!$D$5:$D$3004,TxRows),$A215))</f>
        <v/>
      </c>
      <c r="M215" s="64" t="str">
        <f aca="false">IF($A215="","",SUMIFS(Sales!$E$5:INDEX(Sales!$E$5:$E$3004,TxRows),Sales!$D$5:INDEX(Sales!$D$5:$D$3004,TxRows),$A215))</f>
        <v/>
      </c>
      <c r="N215" s="64" t="str">
        <f aca="false">IF($A215="","",SUMIFS(Adjustments!$C$5:$C$504,Adjustments!$B$5:$B$504,$A215))</f>
        <v/>
      </c>
      <c r="O215" s="64" t="str">
        <f aca="false">IF($A215="","",N($J215)+L215-M215+N215)</f>
        <v/>
      </c>
      <c r="P215" s="61" t="str">
        <f aca="false">IF($A215="","",IFERROR((N($J215)*N($K215)+SUMIFS(Purchases!$K$5:INDEX(Purchases!$K$5:$K$3004,TxRows),Purchases!$D$5:INDEX(Purchases!$D$5:$D$3004,TxRows),$A215))/(N($J215)+L215),N($G215)))</f>
        <v/>
      </c>
      <c r="Q215" s="61" t="str">
        <f aca="false">IF($A215="","",MAX(0,O215)*P215)</f>
        <v/>
      </c>
      <c r="R215" s="60" t="str">
        <f aca="false">IF($A215="","",IF(O215&lt;0,"NEGATIVE",IF(O215=0,"OUT OF STOCK",IF(O215&lt;=N($I215),"REORDER",IF(AND(O215&gt;0,X215&gt;DeadDays),"DEAD STOCK","OK")))))</f>
        <v/>
      </c>
      <c r="S215" s="65" t="str">
        <f aca="false">IF($A215="","",IF(N($H215)=0,0,(N($H215)-P215)/N($H215)))</f>
        <v/>
      </c>
      <c r="T215" s="64" t="str">
        <f aca="false">IF($A215="","",IF(O215&lt;=N($I215),MAX(0,2*N($I215)-O215),0))</f>
        <v/>
      </c>
      <c r="U215" s="61" t="str">
        <f aca="false">IF($A215="","",SUMIFS(Sales!$L$5:INDEX(Sales!$L$5:$L$3004,TxRows),Sales!$D$5:INDEX(Sales!$D$5:$D$3004,TxRows),$A215))</f>
        <v/>
      </c>
      <c r="V215" s="61" t="str">
        <f aca="false">IF($A215="","",SUMIFS(Sales!$S$5:INDEX(Sales!$S$5:$S$3004,TxRows),Sales!$D$5:INDEX(Sales!$D$5:$D$3004,TxRows),$A215))</f>
        <v/>
      </c>
      <c r="W215" s="66" t="str">
        <f aca="false">IF($A215="","",IFERROR(SUMPRODUCT(MAX((Sales!$D$5:INDEX(Sales!$D$5:$D$3004,TxRows)=$A215)*Sales!$A$5:INDEX(Sales!$A$5:$A$3004,TxRows))),0))</f>
        <v/>
      </c>
      <c r="X215" s="67" t="str">
        <f aca="false">IF($A215="","",IF(W215=0,AsOf-FYStart,AsOf-W215))</f>
        <v/>
      </c>
      <c r="Y215" s="67" t="str">
        <f aca="false">IF($A215="","",IF(M215=0,"",O215/(M215/MAX(1,AsOf-FYStart))))</f>
        <v/>
      </c>
      <c r="Z215" s="60" t="str">
        <f aca="false">IF($A215="","",U215+ROW()/1000000)</f>
        <v/>
      </c>
    </row>
    <row r="216" customFormat="false" ht="15" hidden="false" customHeight="false" outlineLevel="0" collapsed="false">
      <c r="A216" s="56"/>
      <c r="B216" s="56"/>
      <c r="C216" s="56"/>
      <c r="D216" s="56"/>
      <c r="E216" s="56"/>
      <c r="F216" s="63"/>
      <c r="G216" s="58"/>
      <c r="H216" s="58"/>
      <c r="I216" s="57"/>
      <c r="J216" s="57"/>
      <c r="K216" s="58"/>
      <c r="L216" s="64" t="str">
        <f aca="false">IF($A216="","",SUMIFS(Purchases!$E$5:INDEX(Purchases!$E$5:$E$3004,TxRows),Purchases!$D$5:INDEX(Purchases!$D$5:$D$3004,TxRows),$A216))</f>
        <v/>
      </c>
      <c r="M216" s="64" t="str">
        <f aca="false">IF($A216="","",SUMIFS(Sales!$E$5:INDEX(Sales!$E$5:$E$3004,TxRows),Sales!$D$5:INDEX(Sales!$D$5:$D$3004,TxRows),$A216))</f>
        <v/>
      </c>
      <c r="N216" s="64" t="str">
        <f aca="false">IF($A216="","",SUMIFS(Adjustments!$C$5:$C$504,Adjustments!$B$5:$B$504,$A216))</f>
        <v/>
      </c>
      <c r="O216" s="64" t="str">
        <f aca="false">IF($A216="","",N($J216)+L216-M216+N216)</f>
        <v/>
      </c>
      <c r="P216" s="61" t="str">
        <f aca="false">IF($A216="","",IFERROR((N($J216)*N($K216)+SUMIFS(Purchases!$K$5:INDEX(Purchases!$K$5:$K$3004,TxRows),Purchases!$D$5:INDEX(Purchases!$D$5:$D$3004,TxRows),$A216))/(N($J216)+L216),N($G216)))</f>
        <v/>
      </c>
      <c r="Q216" s="61" t="str">
        <f aca="false">IF($A216="","",MAX(0,O216)*P216)</f>
        <v/>
      </c>
      <c r="R216" s="60" t="str">
        <f aca="false">IF($A216="","",IF(O216&lt;0,"NEGATIVE",IF(O216=0,"OUT OF STOCK",IF(O216&lt;=N($I216),"REORDER",IF(AND(O216&gt;0,X216&gt;DeadDays),"DEAD STOCK","OK")))))</f>
        <v/>
      </c>
      <c r="S216" s="65" t="str">
        <f aca="false">IF($A216="","",IF(N($H216)=0,0,(N($H216)-P216)/N($H216)))</f>
        <v/>
      </c>
      <c r="T216" s="64" t="str">
        <f aca="false">IF($A216="","",IF(O216&lt;=N($I216),MAX(0,2*N($I216)-O216),0))</f>
        <v/>
      </c>
      <c r="U216" s="61" t="str">
        <f aca="false">IF($A216="","",SUMIFS(Sales!$L$5:INDEX(Sales!$L$5:$L$3004,TxRows),Sales!$D$5:INDEX(Sales!$D$5:$D$3004,TxRows),$A216))</f>
        <v/>
      </c>
      <c r="V216" s="61" t="str">
        <f aca="false">IF($A216="","",SUMIFS(Sales!$S$5:INDEX(Sales!$S$5:$S$3004,TxRows),Sales!$D$5:INDEX(Sales!$D$5:$D$3004,TxRows),$A216))</f>
        <v/>
      </c>
      <c r="W216" s="66" t="str">
        <f aca="false">IF($A216="","",IFERROR(SUMPRODUCT(MAX((Sales!$D$5:INDEX(Sales!$D$5:$D$3004,TxRows)=$A216)*Sales!$A$5:INDEX(Sales!$A$5:$A$3004,TxRows))),0))</f>
        <v/>
      </c>
      <c r="X216" s="67" t="str">
        <f aca="false">IF($A216="","",IF(W216=0,AsOf-FYStart,AsOf-W216))</f>
        <v/>
      </c>
      <c r="Y216" s="67" t="str">
        <f aca="false">IF($A216="","",IF(M216=0,"",O216/(M216/MAX(1,AsOf-FYStart))))</f>
        <v/>
      </c>
      <c r="Z216" s="60" t="str">
        <f aca="false">IF($A216="","",U216+ROW()/1000000)</f>
        <v/>
      </c>
    </row>
    <row r="217" customFormat="false" ht="15" hidden="false" customHeight="false" outlineLevel="0" collapsed="false">
      <c r="A217" s="56"/>
      <c r="B217" s="56"/>
      <c r="C217" s="56"/>
      <c r="D217" s="56"/>
      <c r="E217" s="56"/>
      <c r="F217" s="63"/>
      <c r="G217" s="58"/>
      <c r="H217" s="58"/>
      <c r="I217" s="57"/>
      <c r="J217" s="57"/>
      <c r="K217" s="58"/>
      <c r="L217" s="64" t="str">
        <f aca="false">IF($A217="","",SUMIFS(Purchases!$E$5:INDEX(Purchases!$E$5:$E$3004,TxRows),Purchases!$D$5:INDEX(Purchases!$D$5:$D$3004,TxRows),$A217))</f>
        <v/>
      </c>
      <c r="M217" s="64" t="str">
        <f aca="false">IF($A217="","",SUMIFS(Sales!$E$5:INDEX(Sales!$E$5:$E$3004,TxRows),Sales!$D$5:INDEX(Sales!$D$5:$D$3004,TxRows),$A217))</f>
        <v/>
      </c>
      <c r="N217" s="64" t="str">
        <f aca="false">IF($A217="","",SUMIFS(Adjustments!$C$5:$C$504,Adjustments!$B$5:$B$504,$A217))</f>
        <v/>
      </c>
      <c r="O217" s="64" t="str">
        <f aca="false">IF($A217="","",N($J217)+L217-M217+N217)</f>
        <v/>
      </c>
      <c r="P217" s="61" t="str">
        <f aca="false">IF($A217="","",IFERROR((N($J217)*N($K217)+SUMIFS(Purchases!$K$5:INDEX(Purchases!$K$5:$K$3004,TxRows),Purchases!$D$5:INDEX(Purchases!$D$5:$D$3004,TxRows),$A217))/(N($J217)+L217),N($G217)))</f>
        <v/>
      </c>
      <c r="Q217" s="61" t="str">
        <f aca="false">IF($A217="","",MAX(0,O217)*P217)</f>
        <v/>
      </c>
      <c r="R217" s="60" t="str">
        <f aca="false">IF($A217="","",IF(O217&lt;0,"NEGATIVE",IF(O217=0,"OUT OF STOCK",IF(O217&lt;=N($I217),"REORDER",IF(AND(O217&gt;0,X217&gt;DeadDays),"DEAD STOCK","OK")))))</f>
        <v/>
      </c>
      <c r="S217" s="65" t="str">
        <f aca="false">IF($A217="","",IF(N($H217)=0,0,(N($H217)-P217)/N($H217)))</f>
        <v/>
      </c>
      <c r="T217" s="64" t="str">
        <f aca="false">IF($A217="","",IF(O217&lt;=N($I217),MAX(0,2*N($I217)-O217),0))</f>
        <v/>
      </c>
      <c r="U217" s="61" t="str">
        <f aca="false">IF($A217="","",SUMIFS(Sales!$L$5:INDEX(Sales!$L$5:$L$3004,TxRows),Sales!$D$5:INDEX(Sales!$D$5:$D$3004,TxRows),$A217))</f>
        <v/>
      </c>
      <c r="V217" s="61" t="str">
        <f aca="false">IF($A217="","",SUMIFS(Sales!$S$5:INDEX(Sales!$S$5:$S$3004,TxRows),Sales!$D$5:INDEX(Sales!$D$5:$D$3004,TxRows),$A217))</f>
        <v/>
      </c>
      <c r="W217" s="66" t="str">
        <f aca="false">IF($A217="","",IFERROR(SUMPRODUCT(MAX((Sales!$D$5:INDEX(Sales!$D$5:$D$3004,TxRows)=$A217)*Sales!$A$5:INDEX(Sales!$A$5:$A$3004,TxRows))),0))</f>
        <v/>
      </c>
      <c r="X217" s="67" t="str">
        <f aca="false">IF($A217="","",IF(W217=0,AsOf-FYStart,AsOf-W217))</f>
        <v/>
      </c>
      <c r="Y217" s="67" t="str">
        <f aca="false">IF($A217="","",IF(M217=0,"",O217/(M217/MAX(1,AsOf-FYStart))))</f>
        <v/>
      </c>
      <c r="Z217" s="60" t="str">
        <f aca="false">IF($A217="","",U217+ROW()/1000000)</f>
        <v/>
      </c>
    </row>
    <row r="218" customFormat="false" ht="15" hidden="false" customHeight="false" outlineLevel="0" collapsed="false">
      <c r="A218" s="56"/>
      <c r="B218" s="56"/>
      <c r="C218" s="56"/>
      <c r="D218" s="56"/>
      <c r="E218" s="56"/>
      <c r="F218" s="63"/>
      <c r="G218" s="58"/>
      <c r="H218" s="58"/>
      <c r="I218" s="57"/>
      <c r="J218" s="57"/>
      <c r="K218" s="58"/>
      <c r="L218" s="64" t="str">
        <f aca="false">IF($A218="","",SUMIFS(Purchases!$E$5:INDEX(Purchases!$E$5:$E$3004,TxRows),Purchases!$D$5:INDEX(Purchases!$D$5:$D$3004,TxRows),$A218))</f>
        <v/>
      </c>
      <c r="M218" s="64" t="str">
        <f aca="false">IF($A218="","",SUMIFS(Sales!$E$5:INDEX(Sales!$E$5:$E$3004,TxRows),Sales!$D$5:INDEX(Sales!$D$5:$D$3004,TxRows),$A218))</f>
        <v/>
      </c>
      <c r="N218" s="64" t="str">
        <f aca="false">IF($A218="","",SUMIFS(Adjustments!$C$5:$C$504,Adjustments!$B$5:$B$504,$A218))</f>
        <v/>
      </c>
      <c r="O218" s="64" t="str">
        <f aca="false">IF($A218="","",N($J218)+L218-M218+N218)</f>
        <v/>
      </c>
      <c r="P218" s="61" t="str">
        <f aca="false">IF($A218="","",IFERROR((N($J218)*N($K218)+SUMIFS(Purchases!$K$5:INDEX(Purchases!$K$5:$K$3004,TxRows),Purchases!$D$5:INDEX(Purchases!$D$5:$D$3004,TxRows),$A218))/(N($J218)+L218),N($G218)))</f>
        <v/>
      </c>
      <c r="Q218" s="61" t="str">
        <f aca="false">IF($A218="","",MAX(0,O218)*P218)</f>
        <v/>
      </c>
      <c r="R218" s="60" t="str">
        <f aca="false">IF($A218="","",IF(O218&lt;0,"NEGATIVE",IF(O218=0,"OUT OF STOCK",IF(O218&lt;=N($I218),"REORDER",IF(AND(O218&gt;0,X218&gt;DeadDays),"DEAD STOCK","OK")))))</f>
        <v/>
      </c>
      <c r="S218" s="65" t="str">
        <f aca="false">IF($A218="","",IF(N($H218)=0,0,(N($H218)-P218)/N($H218)))</f>
        <v/>
      </c>
      <c r="T218" s="64" t="str">
        <f aca="false">IF($A218="","",IF(O218&lt;=N($I218),MAX(0,2*N($I218)-O218),0))</f>
        <v/>
      </c>
      <c r="U218" s="61" t="str">
        <f aca="false">IF($A218="","",SUMIFS(Sales!$L$5:INDEX(Sales!$L$5:$L$3004,TxRows),Sales!$D$5:INDEX(Sales!$D$5:$D$3004,TxRows),$A218))</f>
        <v/>
      </c>
      <c r="V218" s="61" t="str">
        <f aca="false">IF($A218="","",SUMIFS(Sales!$S$5:INDEX(Sales!$S$5:$S$3004,TxRows),Sales!$D$5:INDEX(Sales!$D$5:$D$3004,TxRows),$A218))</f>
        <v/>
      </c>
      <c r="W218" s="66" t="str">
        <f aca="false">IF($A218="","",IFERROR(SUMPRODUCT(MAX((Sales!$D$5:INDEX(Sales!$D$5:$D$3004,TxRows)=$A218)*Sales!$A$5:INDEX(Sales!$A$5:$A$3004,TxRows))),0))</f>
        <v/>
      </c>
      <c r="X218" s="67" t="str">
        <f aca="false">IF($A218="","",IF(W218=0,AsOf-FYStart,AsOf-W218))</f>
        <v/>
      </c>
      <c r="Y218" s="67" t="str">
        <f aca="false">IF($A218="","",IF(M218=0,"",O218/(M218/MAX(1,AsOf-FYStart))))</f>
        <v/>
      </c>
      <c r="Z218" s="60" t="str">
        <f aca="false">IF($A218="","",U218+ROW()/1000000)</f>
        <v/>
      </c>
    </row>
    <row r="219" customFormat="false" ht="15" hidden="false" customHeight="false" outlineLevel="0" collapsed="false">
      <c r="A219" s="56"/>
      <c r="B219" s="56"/>
      <c r="C219" s="56"/>
      <c r="D219" s="56"/>
      <c r="E219" s="56"/>
      <c r="F219" s="63"/>
      <c r="G219" s="58"/>
      <c r="H219" s="58"/>
      <c r="I219" s="57"/>
      <c r="J219" s="57"/>
      <c r="K219" s="58"/>
      <c r="L219" s="64" t="str">
        <f aca="false">IF($A219="","",SUMIFS(Purchases!$E$5:INDEX(Purchases!$E$5:$E$3004,TxRows),Purchases!$D$5:INDEX(Purchases!$D$5:$D$3004,TxRows),$A219))</f>
        <v/>
      </c>
      <c r="M219" s="64" t="str">
        <f aca="false">IF($A219="","",SUMIFS(Sales!$E$5:INDEX(Sales!$E$5:$E$3004,TxRows),Sales!$D$5:INDEX(Sales!$D$5:$D$3004,TxRows),$A219))</f>
        <v/>
      </c>
      <c r="N219" s="64" t="str">
        <f aca="false">IF($A219="","",SUMIFS(Adjustments!$C$5:$C$504,Adjustments!$B$5:$B$504,$A219))</f>
        <v/>
      </c>
      <c r="O219" s="64" t="str">
        <f aca="false">IF($A219="","",N($J219)+L219-M219+N219)</f>
        <v/>
      </c>
      <c r="P219" s="61" t="str">
        <f aca="false">IF($A219="","",IFERROR((N($J219)*N($K219)+SUMIFS(Purchases!$K$5:INDEX(Purchases!$K$5:$K$3004,TxRows),Purchases!$D$5:INDEX(Purchases!$D$5:$D$3004,TxRows),$A219))/(N($J219)+L219),N($G219)))</f>
        <v/>
      </c>
      <c r="Q219" s="61" t="str">
        <f aca="false">IF($A219="","",MAX(0,O219)*P219)</f>
        <v/>
      </c>
      <c r="R219" s="60" t="str">
        <f aca="false">IF($A219="","",IF(O219&lt;0,"NEGATIVE",IF(O219=0,"OUT OF STOCK",IF(O219&lt;=N($I219),"REORDER",IF(AND(O219&gt;0,X219&gt;DeadDays),"DEAD STOCK","OK")))))</f>
        <v/>
      </c>
      <c r="S219" s="65" t="str">
        <f aca="false">IF($A219="","",IF(N($H219)=0,0,(N($H219)-P219)/N($H219)))</f>
        <v/>
      </c>
      <c r="T219" s="64" t="str">
        <f aca="false">IF($A219="","",IF(O219&lt;=N($I219),MAX(0,2*N($I219)-O219),0))</f>
        <v/>
      </c>
      <c r="U219" s="61" t="str">
        <f aca="false">IF($A219="","",SUMIFS(Sales!$L$5:INDEX(Sales!$L$5:$L$3004,TxRows),Sales!$D$5:INDEX(Sales!$D$5:$D$3004,TxRows),$A219))</f>
        <v/>
      </c>
      <c r="V219" s="61" t="str">
        <f aca="false">IF($A219="","",SUMIFS(Sales!$S$5:INDEX(Sales!$S$5:$S$3004,TxRows),Sales!$D$5:INDEX(Sales!$D$5:$D$3004,TxRows),$A219))</f>
        <v/>
      </c>
      <c r="W219" s="66" t="str">
        <f aca="false">IF($A219="","",IFERROR(SUMPRODUCT(MAX((Sales!$D$5:INDEX(Sales!$D$5:$D$3004,TxRows)=$A219)*Sales!$A$5:INDEX(Sales!$A$5:$A$3004,TxRows))),0))</f>
        <v/>
      </c>
      <c r="X219" s="67" t="str">
        <f aca="false">IF($A219="","",IF(W219=0,AsOf-FYStart,AsOf-W219))</f>
        <v/>
      </c>
      <c r="Y219" s="67" t="str">
        <f aca="false">IF($A219="","",IF(M219=0,"",O219/(M219/MAX(1,AsOf-FYStart))))</f>
        <v/>
      </c>
      <c r="Z219" s="60" t="str">
        <f aca="false">IF($A219="","",U219+ROW()/1000000)</f>
        <v/>
      </c>
    </row>
    <row r="220" customFormat="false" ht="15" hidden="false" customHeight="false" outlineLevel="0" collapsed="false">
      <c r="A220" s="56"/>
      <c r="B220" s="56"/>
      <c r="C220" s="56"/>
      <c r="D220" s="56"/>
      <c r="E220" s="56"/>
      <c r="F220" s="63"/>
      <c r="G220" s="58"/>
      <c r="H220" s="58"/>
      <c r="I220" s="57"/>
      <c r="J220" s="57"/>
      <c r="K220" s="58"/>
      <c r="L220" s="64" t="str">
        <f aca="false">IF($A220="","",SUMIFS(Purchases!$E$5:INDEX(Purchases!$E$5:$E$3004,TxRows),Purchases!$D$5:INDEX(Purchases!$D$5:$D$3004,TxRows),$A220))</f>
        <v/>
      </c>
      <c r="M220" s="64" t="str">
        <f aca="false">IF($A220="","",SUMIFS(Sales!$E$5:INDEX(Sales!$E$5:$E$3004,TxRows),Sales!$D$5:INDEX(Sales!$D$5:$D$3004,TxRows),$A220))</f>
        <v/>
      </c>
      <c r="N220" s="64" t="str">
        <f aca="false">IF($A220="","",SUMIFS(Adjustments!$C$5:$C$504,Adjustments!$B$5:$B$504,$A220))</f>
        <v/>
      </c>
      <c r="O220" s="64" t="str">
        <f aca="false">IF($A220="","",N($J220)+L220-M220+N220)</f>
        <v/>
      </c>
      <c r="P220" s="61" t="str">
        <f aca="false">IF($A220="","",IFERROR((N($J220)*N($K220)+SUMIFS(Purchases!$K$5:INDEX(Purchases!$K$5:$K$3004,TxRows),Purchases!$D$5:INDEX(Purchases!$D$5:$D$3004,TxRows),$A220))/(N($J220)+L220),N($G220)))</f>
        <v/>
      </c>
      <c r="Q220" s="61" t="str">
        <f aca="false">IF($A220="","",MAX(0,O220)*P220)</f>
        <v/>
      </c>
      <c r="R220" s="60" t="str">
        <f aca="false">IF($A220="","",IF(O220&lt;0,"NEGATIVE",IF(O220=0,"OUT OF STOCK",IF(O220&lt;=N($I220),"REORDER",IF(AND(O220&gt;0,X220&gt;DeadDays),"DEAD STOCK","OK")))))</f>
        <v/>
      </c>
      <c r="S220" s="65" t="str">
        <f aca="false">IF($A220="","",IF(N($H220)=0,0,(N($H220)-P220)/N($H220)))</f>
        <v/>
      </c>
      <c r="T220" s="64" t="str">
        <f aca="false">IF($A220="","",IF(O220&lt;=N($I220),MAX(0,2*N($I220)-O220),0))</f>
        <v/>
      </c>
      <c r="U220" s="61" t="str">
        <f aca="false">IF($A220="","",SUMIFS(Sales!$L$5:INDEX(Sales!$L$5:$L$3004,TxRows),Sales!$D$5:INDEX(Sales!$D$5:$D$3004,TxRows),$A220))</f>
        <v/>
      </c>
      <c r="V220" s="61" t="str">
        <f aca="false">IF($A220="","",SUMIFS(Sales!$S$5:INDEX(Sales!$S$5:$S$3004,TxRows),Sales!$D$5:INDEX(Sales!$D$5:$D$3004,TxRows),$A220))</f>
        <v/>
      </c>
      <c r="W220" s="66" t="str">
        <f aca="false">IF($A220="","",IFERROR(SUMPRODUCT(MAX((Sales!$D$5:INDEX(Sales!$D$5:$D$3004,TxRows)=$A220)*Sales!$A$5:INDEX(Sales!$A$5:$A$3004,TxRows))),0))</f>
        <v/>
      </c>
      <c r="X220" s="67" t="str">
        <f aca="false">IF($A220="","",IF(W220=0,AsOf-FYStart,AsOf-W220))</f>
        <v/>
      </c>
      <c r="Y220" s="67" t="str">
        <f aca="false">IF($A220="","",IF(M220=0,"",O220/(M220/MAX(1,AsOf-FYStart))))</f>
        <v/>
      </c>
      <c r="Z220" s="60" t="str">
        <f aca="false">IF($A220="","",U220+ROW()/1000000)</f>
        <v/>
      </c>
    </row>
    <row r="221" customFormat="false" ht="15" hidden="false" customHeight="false" outlineLevel="0" collapsed="false">
      <c r="A221" s="56"/>
      <c r="B221" s="56"/>
      <c r="C221" s="56"/>
      <c r="D221" s="56"/>
      <c r="E221" s="56"/>
      <c r="F221" s="63"/>
      <c r="G221" s="58"/>
      <c r="H221" s="58"/>
      <c r="I221" s="57"/>
      <c r="J221" s="57"/>
      <c r="K221" s="58"/>
      <c r="L221" s="64" t="str">
        <f aca="false">IF($A221="","",SUMIFS(Purchases!$E$5:INDEX(Purchases!$E$5:$E$3004,TxRows),Purchases!$D$5:INDEX(Purchases!$D$5:$D$3004,TxRows),$A221))</f>
        <v/>
      </c>
      <c r="M221" s="64" t="str">
        <f aca="false">IF($A221="","",SUMIFS(Sales!$E$5:INDEX(Sales!$E$5:$E$3004,TxRows),Sales!$D$5:INDEX(Sales!$D$5:$D$3004,TxRows),$A221))</f>
        <v/>
      </c>
      <c r="N221" s="64" t="str">
        <f aca="false">IF($A221="","",SUMIFS(Adjustments!$C$5:$C$504,Adjustments!$B$5:$B$504,$A221))</f>
        <v/>
      </c>
      <c r="O221" s="64" t="str">
        <f aca="false">IF($A221="","",N($J221)+L221-M221+N221)</f>
        <v/>
      </c>
      <c r="P221" s="61" t="str">
        <f aca="false">IF($A221="","",IFERROR((N($J221)*N($K221)+SUMIFS(Purchases!$K$5:INDEX(Purchases!$K$5:$K$3004,TxRows),Purchases!$D$5:INDEX(Purchases!$D$5:$D$3004,TxRows),$A221))/(N($J221)+L221),N($G221)))</f>
        <v/>
      </c>
      <c r="Q221" s="61" t="str">
        <f aca="false">IF($A221="","",MAX(0,O221)*P221)</f>
        <v/>
      </c>
      <c r="R221" s="60" t="str">
        <f aca="false">IF($A221="","",IF(O221&lt;0,"NEGATIVE",IF(O221=0,"OUT OF STOCK",IF(O221&lt;=N($I221),"REORDER",IF(AND(O221&gt;0,X221&gt;DeadDays),"DEAD STOCK","OK")))))</f>
        <v/>
      </c>
      <c r="S221" s="65" t="str">
        <f aca="false">IF($A221="","",IF(N($H221)=0,0,(N($H221)-P221)/N($H221)))</f>
        <v/>
      </c>
      <c r="T221" s="64" t="str">
        <f aca="false">IF($A221="","",IF(O221&lt;=N($I221),MAX(0,2*N($I221)-O221),0))</f>
        <v/>
      </c>
      <c r="U221" s="61" t="str">
        <f aca="false">IF($A221="","",SUMIFS(Sales!$L$5:INDEX(Sales!$L$5:$L$3004,TxRows),Sales!$D$5:INDEX(Sales!$D$5:$D$3004,TxRows),$A221))</f>
        <v/>
      </c>
      <c r="V221" s="61" t="str">
        <f aca="false">IF($A221="","",SUMIFS(Sales!$S$5:INDEX(Sales!$S$5:$S$3004,TxRows),Sales!$D$5:INDEX(Sales!$D$5:$D$3004,TxRows),$A221))</f>
        <v/>
      </c>
      <c r="W221" s="66" t="str">
        <f aca="false">IF($A221="","",IFERROR(SUMPRODUCT(MAX((Sales!$D$5:INDEX(Sales!$D$5:$D$3004,TxRows)=$A221)*Sales!$A$5:INDEX(Sales!$A$5:$A$3004,TxRows))),0))</f>
        <v/>
      </c>
      <c r="X221" s="67" t="str">
        <f aca="false">IF($A221="","",IF(W221=0,AsOf-FYStart,AsOf-W221))</f>
        <v/>
      </c>
      <c r="Y221" s="67" t="str">
        <f aca="false">IF($A221="","",IF(M221=0,"",O221/(M221/MAX(1,AsOf-FYStart))))</f>
        <v/>
      </c>
      <c r="Z221" s="60" t="str">
        <f aca="false">IF($A221="","",U221+ROW()/1000000)</f>
        <v/>
      </c>
    </row>
    <row r="222" customFormat="false" ht="15" hidden="false" customHeight="false" outlineLevel="0" collapsed="false">
      <c r="A222" s="56"/>
      <c r="B222" s="56"/>
      <c r="C222" s="56"/>
      <c r="D222" s="56"/>
      <c r="E222" s="56"/>
      <c r="F222" s="63"/>
      <c r="G222" s="58"/>
      <c r="H222" s="58"/>
      <c r="I222" s="57"/>
      <c r="J222" s="57"/>
      <c r="K222" s="58"/>
      <c r="L222" s="64" t="str">
        <f aca="false">IF($A222="","",SUMIFS(Purchases!$E$5:INDEX(Purchases!$E$5:$E$3004,TxRows),Purchases!$D$5:INDEX(Purchases!$D$5:$D$3004,TxRows),$A222))</f>
        <v/>
      </c>
      <c r="M222" s="64" t="str">
        <f aca="false">IF($A222="","",SUMIFS(Sales!$E$5:INDEX(Sales!$E$5:$E$3004,TxRows),Sales!$D$5:INDEX(Sales!$D$5:$D$3004,TxRows),$A222))</f>
        <v/>
      </c>
      <c r="N222" s="64" t="str">
        <f aca="false">IF($A222="","",SUMIFS(Adjustments!$C$5:$C$504,Adjustments!$B$5:$B$504,$A222))</f>
        <v/>
      </c>
      <c r="O222" s="64" t="str">
        <f aca="false">IF($A222="","",N($J222)+L222-M222+N222)</f>
        <v/>
      </c>
      <c r="P222" s="61" t="str">
        <f aca="false">IF($A222="","",IFERROR((N($J222)*N($K222)+SUMIFS(Purchases!$K$5:INDEX(Purchases!$K$5:$K$3004,TxRows),Purchases!$D$5:INDEX(Purchases!$D$5:$D$3004,TxRows),$A222))/(N($J222)+L222),N($G222)))</f>
        <v/>
      </c>
      <c r="Q222" s="61" t="str">
        <f aca="false">IF($A222="","",MAX(0,O222)*P222)</f>
        <v/>
      </c>
      <c r="R222" s="60" t="str">
        <f aca="false">IF($A222="","",IF(O222&lt;0,"NEGATIVE",IF(O222=0,"OUT OF STOCK",IF(O222&lt;=N($I222),"REORDER",IF(AND(O222&gt;0,X222&gt;DeadDays),"DEAD STOCK","OK")))))</f>
        <v/>
      </c>
      <c r="S222" s="65" t="str">
        <f aca="false">IF($A222="","",IF(N($H222)=0,0,(N($H222)-P222)/N($H222)))</f>
        <v/>
      </c>
      <c r="T222" s="64" t="str">
        <f aca="false">IF($A222="","",IF(O222&lt;=N($I222),MAX(0,2*N($I222)-O222),0))</f>
        <v/>
      </c>
      <c r="U222" s="61" t="str">
        <f aca="false">IF($A222="","",SUMIFS(Sales!$L$5:INDEX(Sales!$L$5:$L$3004,TxRows),Sales!$D$5:INDEX(Sales!$D$5:$D$3004,TxRows),$A222))</f>
        <v/>
      </c>
      <c r="V222" s="61" t="str">
        <f aca="false">IF($A222="","",SUMIFS(Sales!$S$5:INDEX(Sales!$S$5:$S$3004,TxRows),Sales!$D$5:INDEX(Sales!$D$5:$D$3004,TxRows),$A222))</f>
        <v/>
      </c>
      <c r="W222" s="66" t="str">
        <f aca="false">IF($A222="","",IFERROR(SUMPRODUCT(MAX((Sales!$D$5:INDEX(Sales!$D$5:$D$3004,TxRows)=$A222)*Sales!$A$5:INDEX(Sales!$A$5:$A$3004,TxRows))),0))</f>
        <v/>
      </c>
      <c r="X222" s="67" t="str">
        <f aca="false">IF($A222="","",IF(W222=0,AsOf-FYStart,AsOf-W222))</f>
        <v/>
      </c>
      <c r="Y222" s="67" t="str">
        <f aca="false">IF($A222="","",IF(M222=0,"",O222/(M222/MAX(1,AsOf-FYStart))))</f>
        <v/>
      </c>
      <c r="Z222" s="60" t="str">
        <f aca="false">IF($A222="","",U222+ROW()/1000000)</f>
        <v/>
      </c>
    </row>
    <row r="223" customFormat="false" ht="15" hidden="false" customHeight="false" outlineLevel="0" collapsed="false">
      <c r="A223" s="56"/>
      <c r="B223" s="56"/>
      <c r="C223" s="56"/>
      <c r="D223" s="56"/>
      <c r="E223" s="56"/>
      <c r="F223" s="63"/>
      <c r="G223" s="58"/>
      <c r="H223" s="58"/>
      <c r="I223" s="57"/>
      <c r="J223" s="57"/>
      <c r="K223" s="58"/>
      <c r="L223" s="64" t="str">
        <f aca="false">IF($A223="","",SUMIFS(Purchases!$E$5:INDEX(Purchases!$E$5:$E$3004,TxRows),Purchases!$D$5:INDEX(Purchases!$D$5:$D$3004,TxRows),$A223))</f>
        <v/>
      </c>
      <c r="M223" s="64" t="str">
        <f aca="false">IF($A223="","",SUMIFS(Sales!$E$5:INDEX(Sales!$E$5:$E$3004,TxRows),Sales!$D$5:INDEX(Sales!$D$5:$D$3004,TxRows),$A223))</f>
        <v/>
      </c>
      <c r="N223" s="64" t="str">
        <f aca="false">IF($A223="","",SUMIFS(Adjustments!$C$5:$C$504,Adjustments!$B$5:$B$504,$A223))</f>
        <v/>
      </c>
      <c r="O223" s="64" t="str">
        <f aca="false">IF($A223="","",N($J223)+L223-M223+N223)</f>
        <v/>
      </c>
      <c r="P223" s="61" t="str">
        <f aca="false">IF($A223="","",IFERROR((N($J223)*N($K223)+SUMIFS(Purchases!$K$5:INDEX(Purchases!$K$5:$K$3004,TxRows),Purchases!$D$5:INDEX(Purchases!$D$5:$D$3004,TxRows),$A223))/(N($J223)+L223),N($G223)))</f>
        <v/>
      </c>
      <c r="Q223" s="61" t="str">
        <f aca="false">IF($A223="","",MAX(0,O223)*P223)</f>
        <v/>
      </c>
      <c r="R223" s="60" t="str">
        <f aca="false">IF($A223="","",IF(O223&lt;0,"NEGATIVE",IF(O223=0,"OUT OF STOCK",IF(O223&lt;=N($I223),"REORDER",IF(AND(O223&gt;0,X223&gt;DeadDays),"DEAD STOCK","OK")))))</f>
        <v/>
      </c>
      <c r="S223" s="65" t="str">
        <f aca="false">IF($A223="","",IF(N($H223)=0,0,(N($H223)-P223)/N($H223)))</f>
        <v/>
      </c>
      <c r="T223" s="64" t="str">
        <f aca="false">IF($A223="","",IF(O223&lt;=N($I223),MAX(0,2*N($I223)-O223),0))</f>
        <v/>
      </c>
      <c r="U223" s="61" t="str">
        <f aca="false">IF($A223="","",SUMIFS(Sales!$L$5:INDEX(Sales!$L$5:$L$3004,TxRows),Sales!$D$5:INDEX(Sales!$D$5:$D$3004,TxRows),$A223))</f>
        <v/>
      </c>
      <c r="V223" s="61" t="str">
        <f aca="false">IF($A223="","",SUMIFS(Sales!$S$5:INDEX(Sales!$S$5:$S$3004,TxRows),Sales!$D$5:INDEX(Sales!$D$5:$D$3004,TxRows),$A223))</f>
        <v/>
      </c>
      <c r="W223" s="66" t="str">
        <f aca="false">IF($A223="","",IFERROR(SUMPRODUCT(MAX((Sales!$D$5:INDEX(Sales!$D$5:$D$3004,TxRows)=$A223)*Sales!$A$5:INDEX(Sales!$A$5:$A$3004,TxRows))),0))</f>
        <v/>
      </c>
      <c r="X223" s="67" t="str">
        <f aca="false">IF($A223="","",IF(W223=0,AsOf-FYStart,AsOf-W223))</f>
        <v/>
      </c>
      <c r="Y223" s="67" t="str">
        <f aca="false">IF($A223="","",IF(M223=0,"",O223/(M223/MAX(1,AsOf-FYStart))))</f>
        <v/>
      </c>
      <c r="Z223" s="60" t="str">
        <f aca="false">IF($A223="","",U223+ROW()/1000000)</f>
        <v/>
      </c>
    </row>
    <row r="224" customFormat="false" ht="15" hidden="false" customHeight="false" outlineLevel="0" collapsed="false">
      <c r="A224" s="56"/>
      <c r="B224" s="56"/>
      <c r="C224" s="56"/>
      <c r="D224" s="56"/>
      <c r="E224" s="56"/>
      <c r="F224" s="63"/>
      <c r="G224" s="58"/>
      <c r="H224" s="58"/>
      <c r="I224" s="57"/>
      <c r="J224" s="57"/>
      <c r="K224" s="58"/>
      <c r="L224" s="64" t="str">
        <f aca="false">IF($A224="","",SUMIFS(Purchases!$E$5:INDEX(Purchases!$E$5:$E$3004,TxRows),Purchases!$D$5:INDEX(Purchases!$D$5:$D$3004,TxRows),$A224))</f>
        <v/>
      </c>
      <c r="M224" s="64" t="str">
        <f aca="false">IF($A224="","",SUMIFS(Sales!$E$5:INDEX(Sales!$E$5:$E$3004,TxRows),Sales!$D$5:INDEX(Sales!$D$5:$D$3004,TxRows),$A224))</f>
        <v/>
      </c>
      <c r="N224" s="64" t="str">
        <f aca="false">IF($A224="","",SUMIFS(Adjustments!$C$5:$C$504,Adjustments!$B$5:$B$504,$A224))</f>
        <v/>
      </c>
      <c r="O224" s="64" t="str">
        <f aca="false">IF($A224="","",N($J224)+L224-M224+N224)</f>
        <v/>
      </c>
      <c r="P224" s="61" t="str">
        <f aca="false">IF($A224="","",IFERROR((N($J224)*N($K224)+SUMIFS(Purchases!$K$5:INDEX(Purchases!$K$5:$K$3004,TxRows),Purchases!$D$5:INDEX(Purchases!$D$5:$D$3004,TxRows),$A224))/(N($J224)+L224),N($G224)))</f>
        <v/>
      </c>
      <c r="Q224" s="61" t="str">
        <f aca="false">IF($A224="","",MAX(0,O224)*P224)</f>
        <v/>
      </c>
      <c r="R224" s="60" t="str">
        <f aca="false">IF($A224="","",IF(O224&lt;0,"NEGATIVE",IF(O224=0,"OUT OF STOCK",IF(O224&lt;=N($I224),"REORDER",IF(AND(O224&gt;0,X224&gt;DeadDays),"DEAD STOCK","OK")))))</f>
        <v/>
      </c>
      <c r="S224" s="65" t="str">
        <f aca="false">IF($A224="","",IF(N($H224)=0,0,(N($H224)-P224)/N($H224)))</f>
        <v/>
      </c>
      <c r="T224" s="64" t="str">
        <f aca="false">IF($A224="","",IF(O224&lt;=N($I224),MAX(0,2*N($I224)-O224),0))</f>
        <v/>
      </c>
      <c r="U224" s="61" t="str">
        <f aca="false">IF($A224="","",SUMIFS(Sales!$L$5:INDEX(Sales!$L$5:$L$3004,TxRows),Sales!$D$5:INDEX(Sales!$D$5:$D$3004,TxRows),$A224))</f>
        <v/>
      </c>
      <c r="V224" s="61" t="str">
        <f aca="false">IF($A224="","",SUMIFS(Sales!$S$5:INDEX(Sales!$S$5:$S$3004,TxRows),Sales!$D$5:INDEX(Sales!$D$5:$D$3004,TxRows),$A224))</f>
        <v/>
      </c>
      <c r="W224" s="66" t="str">
        <f aca="false">IF($A224="","",IFERROR(SUMPRODUCT(MAX((Sales!$D$5:INDEX(Sales!$D$5:$D$3004,TxRows)=$A224)*Sales!$A$5:INDEX(Sales!$A$5:$A$3004,TxRows))),0))</f>
        <v/>
      </c>
      <c r="X224" s="67" t="str">
        <f aca="false">IF($A224="","",IF(W224=0,AsOf-FYStart,AsOf-W224))</f>
        <v/>
      </c>
      <c r="Y224" s="67" t="str">
        <f aca="false">IF($A224="","",IF(M224=0,"",O224/(M224/MAX(1,AsOf-FYStart))))</f>
        <v/>
      </c>
      <c r="Z224" s="60" t="str">
        <f aca="false">IF($A224="","",U224+ROW()/1000000)</f>
        <v/>
      </c>
    </row>
    <row r="225" customFormat="false" ht="15" hidden="false" customHeight="false" outlineLevel="0" collapsed="false">
      <c r="A225" s="56"/>
      <c r="B225" s="56"/>
      <c r="C225" s="56"/>
      <c r="D225" s="56"/>
      <c r="E225" s="56"/>
      <c r="F225" s="63"/>
      <c r="G225" s="58"/>
      <c r="H225" s="58"/>
      <c r="I225" s="57"/>
      <c r="J225" s="57"/>
      <c r="K225" s="58"/>
      <c r="L225" s="64" t="str">
        <f aca="false">IF($A225="","",SUMIFS(Purchases!$E$5:INDEX(Purchases!$E$5:$E$3004,TxRows),Purchases!$D$5:INDEX(Purchases!$D$5:$D$3004,TxRows),$A225))</f>
        <v/>
      </c>
      <c r="M225" s="64" t="str">
        <f aca="false">IF($A225="","",SUMIFS(Sales!$E$5:INDEX(Sales!$E$5:$E$3004,TxRows),Sales!$D$5:INDEX(Sales!$D$5:$D$3004,TxRows),$A225))</f>
        <v/>
      </c>
      <c r="N225" s="64" t="str">
        <f aca="false">IF($A225="","",SUMIFS(Adjustments!$C$5:$C$504,Adjustments!$B$5:$B$504,$A225))</f>
        <v/>
      </c>
      <c r="O225" s="64" t="str">
        <f aca="false">IF($A225="","",N($J225)+L225-M225+N225)</f>
        <v/>
      </c>
      <c r="P225" s="61" t="str">
        <f aca="false">IF($A225="","",IFERROR((N($J225)*N($K225)+SUMIFS(Purchases!$K$5:INDEX(Purchases!$K$5:$K$3004,TxRows),Purchases!$D$5:INDEX(Purchases!$D$5:$D$3004,TxRows),$A225))/(N($J225)+L225),N($G225)))</f>
        <v/>
      </c>
      <c r="Q225" s="61" t="str">
        <f aca="false">IF($A225="","",MAX(0,O225)*P225)</f>
        <v/>
      </c>
      <c r="R225" s="60" t="str">
        <f aca="false">IF($A225="","",IF(O225&lt;0,"NEGATIVE",IF(O225=0,"OUT OF STOCK",IF(O225&lt;=N($I225),"REORDER",IF(AND(O225&gt;0,X225&gt;DeadDays),"DEAD STOCK","OK")))))</f>
        <v/>
      </c>
      <c r="S225" s="65" t="str">
        <f aca="false">IF($A225="","",IF(N($H225)=0,0,(N($H225)-P225)/N($H225)))</f>
        <v/>
      </c>
      <c r="T225" s="64" t="str">
        <f aca="false">IF($A225="","",IF(O225&lt;=N($I225),MAX(0,2*N($I225)-O225),0))</f>
        <v/>
      </c>
      <c r="U225" s="61" t="str">
        <f aca="false">IF($A225="","",SUMIFS(Sales!$L$5:INDEX(Sales!$L$5:$L$3004,TxRows),Sales!$D$5:INDEX(Sales!$D$5:$D$3004,TxRows),$A225))</f>
        <v/>
      </c>
      <c r="V225" s="61" t="str">
        <f aca="false">IF($A225="","",SUMIFS(Sales!$S$5:INDEX(Sales!$S$5:$S$3004,TxRows),Sales!$D$5:INDEX(Sales!$D$5:$D$3004,TxRows),$A225))</f>
        <v/>
      </c>
      <c r="W225" s="66" t="str">
        <f aca="false">IF($A225="","",IFERROR(SUMPRODUCT(MAX((Sales!$D$5:INDEX(Sales!$D$5:$D$3004,TxRows)=$A225)*Sales!$A$5:INDEX(Sales!$A$5:$A$3004,TxRows))),0))</f>
        <v/>
      </c>
      <c r="X225" s="67" t="str">
        <f aca="false">IF($A225="","",IF(W225=0,AsOf-FYStart,AsOf-W225))</f>
        <v/>
      </c>
      <c r="Y225" s="67" t="str">
        <f aca="false">IF($A225="","",IF(M225=0,"",O225/(M225/MAX(1,AsOf-FYStart))))</f>
        <v/>
      </c>
      <c r="Z225" s="60" t="str">
        <f aca="false">IF($A225="","",U225+ROW()/1000000)</f>
        <v/>
      </c>
    </row>
    <row r="226" customFormat="false" ht="15" hidden="false" customHeight="false" outlineLevel="0" collapsed="false">
      <c r="A226" s="56"/>
      <c r="B226" s="56"/>
      <c r="C226" s="56"/>
      <c r="D226" s="56"/>
      <c r="E226" s="56"/>
      <c r="F226" s="63"/>
      <c r="G226" s="58"/>
      <c r="H226" s="58"/>
      <c r="I226" s="57"/>
      <c r="J226" s="57"/>
      <c r="K226" s="58"/>
      <c r="L226" s="64" t="str">
        <f aca="false">IF($A226="","",SUMIFS(Purchases!$E$5:INDEX(Purchases!$E$5:$E$3004,TxRows),Purchases!$D$5:INDEX(Purchases!$D$5:$D$3004,TxRows),$A226))</f>
        <v/>
      </c>
      <c r="M226" s="64" t="str">
        <f aca="false">IF($A226="","",SUMIFS(Sales!$E$5:INDEX(Sales!$E$5:$E$3004,TxRows),Sales!$D$5:INDEX(Sales!$D$5:$D$3004,TxRows),$A226))</f>
        <v/>
      </c>
      <c r="N226" s="64" t="str">
        <f aca="false">IF($A226="","",SUMIFS(Adjustments!$C$5:$C$504,Adjustments!$B$5:$B$504,$A226))</f>
        <v/>
      </c>
      <c r="O226" s="64" t="str">
        <f aca="false">IF($A226="","",N($J226)+L226-M226+N226)</f>
        <v/>
      </c>
      <c r="P226" s="61" t="str">
        <f aca="false">IF($A226="","",IFERROR((N($J226)*N($K226)+SUMIFS(Purchases!$K$5:INDEX(Purchases!$K$5:$K$3004,TxRows),Purchases!$D$5:INDEX(Purchases!$D$5:$D$3004,TxRows),$A226))/(N($J226)+L226),N($G226)))</f>
        <v/>
      </c>
      <c r="Q226" s="61" t="str">
        <f aca="false">IF($A226="","",MAX(0,O226)*P226)</f>
        <v/>
      </c>
      <c r="R226" s="60" t="str">
        <f aca="false">IF($A226="","",IF(O226&lt;0,"NEGATIVE",IF(O226=0,"OUT OF STOCK",IF(O226&lt;=N($I226),"REORDER",IF(AND(O226&gt;0,X226&gt;DeadDays),"DEAD STOCK","OK")))))</f>
        <v/>
      </c>
      <c r="S226" s="65" t="str">
        <f aca="false">IF($A226="","",IF(N($H226)=0,0,(N($H226)-P226)/N($H226)))</f>
        <v/>
      </c>
      <c r="T226" s="64" t="str">
        <f aca="false">IF($A226="","",IF(O226&lt;=N($I226),MAX(0,2*N($I226)-O226),0))</f>
        <v/>
      </c>
      <c r="U226" s="61" t="str">
        <f aca="false">IF($A226="","",SUMIFS(Sales!$L$5:INDEX(Sales!$L$5:$L$3004,TxRows),Sales!$D$5:INDEX(Sales!$D$5:$D$3004,TxRows),$A226))</f>
        <v/>
      </c>
      <c r="V226" s="61" t="str">
        <f aca="false">IF($A226="","",SUMIFS(Sales!$S$5:INDEX(Sales!$S$5:$S$3004,TxRows),Sales!$D$5:INDEX(Sales!$D$5:$D$3004,TxRows),$A226))</f>
        <v/>
      </c>
      <c r="W226" s="66" t="str">
        <f aca="false">IF($A226="","",IFERROR(SUMPRODUCT(MAX((Sales!$D$5:INDEX(Sales!$D$5:$D$3004,TxRows)=$A226)*Sales!$A$5:INDEX(Sales!$A$5:$A$3004,TxRows))),0))</f>
        <v/>
      </c>
      <c r="X226" s="67" t="str">
        <f aca="false">IF($A226="","",IF(W226=0,AsOf-FYStart,AsOf-W226))</f>
        <v/>
      </c>
      <c r="Y226" s="67" t="str">
        <f aca="false">IF($A226="","",IF(M226=0,"",O226/(M226/MAX(1,AsOf-FYStart))))</f>
        <v/>
      </c>
      <c r="Z226" s="60" t="str">
        <f aca="false">IF($A226="","",U226+ROW()/1000000)</f>
        <v/>
      </c>
    </row>
    <row r="227" customFormat="false" ht="15" hidden="false" customHeight="false" outlineLevel="0" collapsed="false">
      <c r="A227" s="56"/>
      <c r="B227" s="56"/>
      <c r="C227" s="56"/>
      <c r="D227" s="56"/>
      <c r="E227" s="56"/>
      <c r="F227" s="63"/>
      <c r="G227" s="58"/>
      <c r="H227" s="58"/>
      <c r="I227" s="57"/>
      <c r="J227" s="57"/>
      <c r="K227" s="58"/>
      <c r="L227" s="64" t="str">
        <f aca="false">IF($A227="","",SUMIFS(Purchases!$E$5:INDEX(Purchases!$E$5:$E$3004,TxRows),Purchases!$D$5:INDEX(Purchases!$D$5:$D$3004,TxRows),$A227))</f>
        <v/>
      </c>
      <c r="M227" s="64" t="str">
        <f aca="false">IF($A227="","",SUMIFS(Sales!$E$5:INDEX(Sales!$E$5:$E$3004,TxRows),Sales!$D$5:INDEX(Sales!$D$5:$D$3004,TxRows),$A227))</f>
        <v/>
      </c>
      <c r="N227" s="64" t="str">
        <f aca="false">IF($A227="","",SUMIFS(Adjustments!$C$5:$C$504,Adjustments!$B$5:$B$504,$A227))</f>
        <v/>
      </c>
      <c r="O227" s="64" t="str">
        <f aca="false">IF($A227="","",N($J227)+L227-M227+N227)</f>
        <v/>
      </c>
      <c r="P227" s="61" t="str">
        <f aca="false">IF($A227="","",IFERROR((N($J227)*N($K227)+SUMIFS(Purchases!$K$5:INDEX(Purchases!$K$5:$K$3004,TxRows),Purchases!$D$5:INDEX(Purchases!$D$5:$D$3004,TxRows),$A227))/(N($J227)+L227),N($G227)))</f>
        <v/>
      </c>
      <c r="Q227" s="61" t="str">
        <f aca="false">IF($A227="","",MAX(0,O227)*P227)</f>
        <v/>
      </c>
      <c r="R227" s="60" t="str">
        <f aca="false">IF($A227="","",IF(O227&lt;0,"NEGATIVE",IF(O227=0,"OUT OF STOCK",IF(O227&lt;=N($I227),"REORDER",IF(AND(O227&gt;0,X227&gt;DeadDays),"DEAD STOCK","OK")))))</f>
        <v/>
      </c>
      <c r="S227" s="65" t="str">
        <f aca="false">IF($A227="","",IF(N($H227)=0,0,(N($H227)-P227)/N($H227)))</f>
        <v/>
      </c>
      <c r="T227" s="64" t="str">
        <f aca="false">IF($A227="","",IF(O227&lt;=N($I227),MAX(0,2*N($I227)-O227),0))</f>
        <v/>
      </c>
      <c r="U227" s="61" t="str">
        <f aca="false">IF($A227="","",SUMIFS(Sales!$L$5:INDEX(Sales!$L$5:$L$3004,TxRows),Sales!$D$5:INDEX(Sales!$D$5:$D$3004,TxRows),$A227))</f>
        <v/>
      </c>
      <c r="V227" s="61" t="str">
        <f aca="false">IF($A227="","",SUMIFS(Sales!$S$5:INDEX(Sales!$S$5:$S$3004,TxRows),Sales!$D$5:INDEX(Sales!$D$5:$D$3004,TxRows),$A227))</f>
        <v/>
      </c>
      <c r="W227" s="66" t="str">
        <f aca="false">IF($A227="","",IFERROR(SUMPRODUCT(MAX((Sales!$D$5:INDEX(Sales!$D$5:$D$3004,TxRows)=$A227)*Sales!$A$5:INDEX(Sales!$A$5:$A$3004,TxRows))),0))</f>
        <v/>
      </c>
      <c r="X227" s="67" t="str">
        <f aca="false">IF($A227="","",IF(W227=0,AsOf-FYStart,AsOf-W227))</f>
        <v/>
      </c>
      <c r="Y227" s="67" t="str">
        <f aca="false">IF($A227="","",IF(M227=0,"",O227/(M227/MAX(1,AsOf-FYStart))))</f>
        <v/>
      </c>
      <c r="Z227" s="60" t="str">
        <f aca="false">IF($A227="","",U227+ROW()/1000000)</f>
        <v/>
      </c>
    </row>
    <row r="228" customFormat="false" ht="15" hidden="false" customHeight="false" outlineLevel="0" collapsed="false">
      <c r="A228" s="56"/>
      <c r="B228" s="56"/>
      <c r="C228" s="56"/>
      <c r="D228" s="56"/>
      <c r="E228" s="56"/>
      <c r="F228" s="63"/>
      <c r="G228" s="58"/>
      <c r="H228" s="58"/>
      <c r="I228" s="57"/>
      <c r="J228" s="57"/>
      <c r="K228" s="58"/>
      <c r="L228" s="64" t="str">
        <f aca="false">IF($A228="","",SUMIFS(Purchases!$E$5:INDEX(Purchases!$E$5:$E$3004,TxRows),Purchases!$D$5:INDEX(Purchases!$D$5:$D$3004,TxRows),$A228))</f>
        <v/>
      </c>
      <c r="M228" s="64" t="str">
        <f aca="false">IF($A228="","",SUMIFS(Sales!$E$5:INDEX(Sales!$E$5:$E$3004,TxRows),Sales!$D$5:INDEX(Sales!$D$5:$D$3004,TxRows),$A228))</f>
        <v/>
      </c>
      <c r="N228" s="64" t="str">
        <f aca="false">IF($A228="","",SUMIFS(Adjustments!$C$5:$C$504,Adjustments!$B$5:$B$504,$A228))</f>
        <v/>
      </c>
      <c r="O228" s="64" t="str">
        <f aca="false">IF($A228="","",N($J228)+L228-M228+N228)</f>
        <v/>
      </c>
      <c r="P228" s="61" t="str">
        <f aca="false">IF($A228="","",IFERROR((N($J228)*N($K228)+SUMIFS(Purchases!$K$5:INDEX(Purchases!$K$5:$K$3004,TxRows),Purchases!$D$5:INDEX(Purchases!$D$5:$D$3004,TxRows),$A228))/(N($J228)+L228),N($G228)))</f>
        <v/>
      </c>
      <c r="Q228" s="61" t="str">
        <f aca="false">IF($A228="","",MAX(0,O228)*P228)</f>
        <v/>
      </c>
      <c r="R228" s="60" t="str">
        <f aca="false">IF($A228="","",IF(O228&lt;0,"NEGATIVE",IF(O228=0,"OUT OF STOCK",IF(O228&lt;=N($I228),"REORDER",IF(AND(O228&gt;0,X228&gt;DeadDays),"DEAD STOCK","OK")))))</f>
        <v/>
      </c>
      <c r="S228" s="65" t="str">
        <f aca="false">IF($A228="","",IF(N($H228)=0,0,(N($H228)-P228)/N($H228)))</f>
        <v/>
      </c>
      <c r="T228" s="64" t="str">
        <f aca="false">IF($A228="","",IF(O228&lt;=N($I228),MAX(0,2*N($I228)-O228),0))</f>
        <v/>
      </c>
      <c r="U228" s="61" t="str">
        <f aca="false">IF($A228="","",SUMIFS(Sales!$L$5:INDEX(Sales!$L$5:$L$3004,TxRows),Sales!$D$5:INDEX(Sales!$D$5:$D$3004,TxRows),$A228))</f>
        <v/>
      </c>
      <c r="V228" s="61" t="str">
        <f aca="false">IF($A228="","",SUMIFS(Sales!$S$5:INDEX(Sales!$S$5:$S$3004,TxRows),Sales!$D$5:INDEX(Sales!$D$5:$D$3004,TxRows),$A228))</f>
        <v/>
      </c>
      <c r="W228" s="66" t="str">
        <f aca="false">IF($A228="","",IFERROR(SUMPRODUCT(MAX((Sales!$D$5:INDEX(Sales!$D$5:$D$3004,TxRows)=$A228)*Sales!$A$5:INDEX(Sales!$A$5:$A$3004,TxRows))),0))</f>
        <v/>
      </c>
      <c r="X228" s="67" t="str">
        <f aca="false">IF($A228="","",IF(W228=0,AsOf-FYStart,AsOf-W228))</f>
        <v/>
      </c>
      <c r="Y228" s="67" t="str">
        <f aca="false">IF($A228="","",IF(M228=0,"",O228/(M228/MAX(1,AsOf-FYStart))))</f>
        <v/>
      </c>
      <c r="Z228" s="60" t="str">
        <f aca="false">IF($A228="","",U228+ROW()/1000000)</f>
        <v/>
      </c>
    </row>
    <row r="229" customFormat="false" ht="15" hidden="false" customHeight="false" outlineLevel="0" collapsed="false">
      <c r="A229" s="56"/>
      <c r="B229" s="56"/>
      <c r="C229" s="56"/>
      <c r="D229" s="56"/>
      <c r="E229" s="56"/>
      <c r="F229" s="63"/>
      <c r="G229" s="58"/>
      <c r="H229" s="58"/>
      <c r="I229" s="57"/>
      <c r="J229" s="57"/>
      <c r="K229" s="58"/>
      <c r="L229" s="64" t="str">
        <f aca="false">IF($A229="","",SUMIFS(Purchases!$E$5:INDEX(Purchases!$E$5:$E$3004,TxRows),Purchases!$D$5:INDEX(Purchases!$D$5:$D$3004,TxRows),$A229))</f>
        <v/>
      </c>
      <c r="M229" s="64" t="str">
        <f aca="false">IF($A229="","",SUMIFS(Sales!$E$5:INDEX(Sales!$E$5:$E$3004,TxRows),Sales!$D$5:INDEX(Sales!$D$5:$D$3004,TxRows),$A229))</f>
        <v/>
      </c>
      <c r="N229" s="64" t="str">
        <f aca="false">IF($A229="","",SUMIFS(Adjustments!$C$5:$C$504,Adjustments!$B$5:$B$504,$A229))</f>
        <v/>
      </c>
      <c r="O229" s="64" t="str">
        <f aca="false">IF($A229="","",N($J229)+L229-M229+N229)</f>
        <v/>
      </c>
      <c r="P229" s="61" t="str">
        <f aca="false">IF($A229="","",IFERROR((N($J229)*N($K229)+SUMIFS(Purchases!$K$5:INDEX(Purchases!$K$5:$K$3004,TxRows),Purchases!$D$5:INDEX(Purchases!$D$5:$D$3004,TxRows),$A229))/(N($J229)+L229),N($G229)))</f>
        <v/>
      </c>
      <c r="Q229" s="61" t="str">
        <f aca="false">IF($A229="","",MAX(0,O229)*P229)</f>
        <v/>
      </c>
      <c r="R229" s="60" t="str">
        <f aca="false">IF($A229="","",IF(O229&lt;0,"NEGATIVE",IF(O229=0,"OUT OF STOCK",IF(O229&lt;=N($I229),"REORDER",IF(AND(O229&gt;0,X229&gt;DeadDays),"DEAD STOCK","OK")))))</f>
        <v/>
      </c>
      <c r="S229" s="65" t="str">
        <f aca="false">IF($A229="","",IF(N($H229)=0,0,(N($H229)-P229)/N($H229)))</f>
        <v/>
      </c>
      <c r="T229" s="64" t="str">
        <f aca="false">IF($A229="","",IF(O229&lt;=N($I229),MAX(0,2*N($I229)-O229),0))</f>
        <v/>
      </c>
      <c r="U229" s="61" t="str">
        <f aca="false">IF($A229="","",SUMIFS(Sales!$L$5:INDEX(Sales!$L$5:$L$3004,TxRows),Sales!$D$5:INDEX(Sales!$D$5:$D$3004,TxRows),$A229))</f>
        <v/>
      </c>
      <c r="V229" s="61" t="str">
        <f aca="false">IF($A229="","",SUMIFS(Sales!$S$5:INDEX(Sales!$S$5:$S$3004,TxRows),Sales!$D$5:INDEX(Sales!$D$5:$D$3004,TxRows),$A229))</f>
        <v/>
      </c>
      <c r="W229" s="66" t="str">
        <f aca="false">IF($A229="","",IFERROR(SUMPRODUCT(MAX((Sales!$D$5:INDEX(Sales!$D$5:$D$3004,TxRows)=$A229)*Sales!$A$5:INDEX(Sales!$A$5:$A$3004,TxRows))),0))</f>
        <v/>
      </c>
      <c r="X229" s="67" t="str">
        <f aca="false">IF($A229="","",IF(W229=0,AsOf-FYStart,AsOf-W229))</f>
        <v/>
      </c>
      <c r="Y229" s="67" t="str">
        <f aca="false">IF($A229="","",IF(M229=0,"",O229/(M229/MAX(1,AsOf-FYStart))))</f>
        <v/>
      </c>
      <c r="Z229" s="60" t="str">
        <f aca="false">IF($A229="","",U229+ROW()/1000000)</f>
        <v/>
      </c>
    </row>
    <row r="230" customFormat="false" ht="15" hidden="false" customHeight="false" outlineLevel="0" collapsed="false">
      <c r="A230" s="56"/>
      <c r="B230" s="56"/>
      <c r="C230" s="56"/>
      <c r="D230" s="56"/>
      <c r="E230" s="56"/>
      <c r="F230" s="63"/>
      <c r="G230" s="58"/>
      <c r="H230" s="58"/>
      <c r="I230" s="57"/>
      <c r="J230" s="57"/>
      <c r="K230" s="58"/>
      <c r="L230" s="64" t="str">
        <f aca="false">IF($A230="","",SUMIFS(Purchases!$E$5:INDEX(Purchases!$E$5:$E$3004,TxRows),Purchases!$D$5:INDEX(Purchases!$D$5:$D$3004,TxRows),$A230))</f>
        <v/>
      </c>
      <c r="M230" s="64" t="str">
        <f aca="false">IF($A230="","",SUMIFS(Sales!$E$5:INDEX(Sales!$E$5:$E$3004,TxRows),Sales!$D$5:INDEX(Sales!$D$5:$D$3004,TxRows),$A230))</f>
        <v/>
      </c>
      <c r="N230" s="64" t="str">
        <f aca="false">IF($A230="","",SUMIFS(Adjustments!$C$5:$C$504,Adjustments!$B$5:$B$504,$A230))</f>
        <v/>
      </c>
      <c r="O230" s="64" t="str">
        <f aca="false">IF($A230="","",N($J230)+L230-M230+N230)</f>
        <v/>
      </c>
      <c r="P230" s="61" t="str">
        <f aca="false">IF($A230="","",IFERROR((N($J230)*N($K230)+SUMIFS(Purchases!$K$5:INDEX(Purchases!$K$5:$K$3004,TxRows),Purchases!$D$5:INDEX(Purchases!$D$5:$D$3004,TxRows),$A230))/(N($J230)+L230),N($G230)))</f>
        <v/>
      </c>
      <c r="Q230" s="61" t="str">
        <f aca="false">IF($A230="","",MAX(0,O230)*P230)</f>
        <v/>
      </c>
      <c r="R230" s="60" t="str">
        <f aca="false">IF($A230="","",IF(O230&lt;0,"NEGATIVE",IF(O230=0,"OUT OF STOCK",IF(O230&lt;=N($I230),"REORDER",IF(AND(O230&gt;0,X230&gt;DeadDays),"DEAD STOCK","OK")))))</f>
        <v/>
      </c>
      <c r="S230" s="65" t="str">
        <f aca="false">IF($A230="","",IF(N($H230)=0,0,(N($H230)-P230)/N($H230)))</f>
        <v/>
      </c>
      <c r="T230" s="64" t="str">
        <f aca="false">IF($A230="","",IF(O230&lt;=N($I230),MAX(0,2*N($I230)-O230),0))</f>
        <v/>
      </c>
      <c r="U230" s="61" t="str">
        <f aca="false">IF($A230="","",SUMIFS(Sales!$L$5:INDEX(Sales!$L$5:$L$3004,TxRows),Sales!$D$5:INDEX(Sales!$D$5:$D$3004,TxRows),$A230))</f>
        <v/>
      </c>
      <c r="V230" s="61" t="str">
        <f aca="false">IF($A230="","",SUMIFS(Sales!$S$5:INDEX(Sales!$S$5:$S$3004,TxRows),Sales!$D$5:INDEX(Sales!$D$5:$D$3004,TxRows),$A230))</f>
        <v/>
      </c>
      <c r="W230" s="66" t="str">
        <f aca="false">IF($A230="","",IFERROR(SUMPRODUCT(MAX((Sales!$D$5:INDEX(Sales!$D$5:$D$3004,TxRows)=$A230)*Sales!$A$5:INDEX(Sales!$A$5:$A$3004,TxRows))),0))</f>
        <v/>
      </c>
      <c r="X230" s="67" t="str">
        <f aca="false">IF($A230="","",IF(W230=0,AsOf-FYStart,AsOf-W230))</f>
        <v/>
      </c>
      <c r="Y230" s="67" t="str">
        <f aca="false">IF($A230="","",IF(M230=0,"",O230/(M230/MAX(1,AsOf-FYStart))))</f>
        <v/>
      </c>
      <c r="Z230" s="60" t="str">
        <f aca="false">IF($A230="","",U230+ROW()/1000000)</f>
        <v/>
      </c>
    </row>
    <row r="231" customFormat="false" ht="15" hidden="false" customHeight="false" outlineLevel="0" collapsed="false">
      <c r="A231" s="56"/>
      <c r="B231" s="56"/>
      <c r="C231" s="56"/>
      <c r="D231" s="56"/>
      <c r="E231" s="56"/>
      <c r="F231" s="63"/>
      <c r="G231" s="58"/>
      <c r="H231" s="58"/>
      <c r="I231" s="57"/>
      <c r="J231" s="57"/>
      <c r="K231" s="58"/>
      <c r="L231" s="64" t="str">
        <f aca="false">IF($A231="","",SUMIFS(Purchases!$E$5:INDEX(Purchases!$E$5:$E$3004,TxRows),Purchases!$D$5:INDEX(Purchases!$D$5:$D$3004,TxRows),$A231))</f>
        <v/>
      </c>
      <c r="M231" s="64" t="str">
        <f aca="false">IF($A231="","",SUMIFS(Sales!$E$5:INDEX(Sales!$E$5:$E$3004,TxRows),Sales!$D$5:INDEX(Sales!$D$5:$D$3004,TxRows),$A231))</f>
        <v/>
      </c>
      <c r="N231" s="64" t="str">
        <f aca="false">IF($A231="","",SUMIFS(Adjustments!$C$5:$C$504,Adjustments!$B$5:$B$504,$A231))</f>
        <v/>
      </c>
      <c r="O231" s="64" t="str">
        <f aca="false">IF($A231="","",N($J231)+L231-M231+N231)</f>
        <v/>
      </c>
      <c r="P231" s="61" t="str">
        <f aca="false">IF($A231="","",IFERROR((N($J231)*N($K231)+SUMIFS(Purchases!$K$5:INDEX(Purchases!$K$5:$K$3004,TxRows),Purchases!$D$5:INDEX(Purchases!$D$5:$D$3004,TxRows),$A231))/(N($J231)+L231),N($G231)))</f>
        <v/>
      </c>
      <c r="Q231" s="61" t="str">
        <f aca="false">IF($A231="","",MAX(0,O231)*P231)</f>
        <v/>
      </c>
      <c r="R231" s="60" t="str">
        <f aca="false">IF($A231="","",IF(O231&lt;0,"NEGATIVE",IF(O231=0,"OUT OF STOCK",IF(O231&lt;=N($I231),"REORDER",IF(AND(O231&gt;0,X231&gt;DeadDays),"DEAD STOCK","OK")))))</f>
        <v/>
      </c>
      <c r="S231" s="65" t="str">
        <f aca="false">IF($A231="","",IF(N($H231)=0,0,(N($H231)-P231)/N($H231)))</f>
        <v/>
      </c>
      <c r="T231" s="64" t="str">
        <f aca="false">IF($A231="","",IF(O231&lt;=N($I231),MAX(0,2*N($I231)-O231),0))</f>
        <v/>
      </c>
      <c r="U231" s="61" t="str">
        <f aca="false">IF($A231="","",SUMIFS(Sales!$L$5:INDEX(Sales!$L$5:$L$3004,TxRows),Sales!$D$5:INDEX(Sales!$D$5:$D$3004,TxRows),$A231))</f>
        <v/>
      </c>
      <c r="V231" s="61" t="str">
        <f aca="false">IF($A231="","",SUMIFS(Sales!$S$5:INDEX(Sales!$S$5:$S$3004,TxRows),Sales!$D$5:INDEX(Sales!$D$5:$D$3004,TxRows),$A231))</f>
        <v/>
      </c>
      <c r="W231" s="66" t="str">
        <f aca="false">IF($A231="","",IFERROR(SUMPRODUCT(MAX((Sales!$D$5:INDEX(Sales!$D$5:$D$3004,TxRows)=$A231)*Sales!$A$5:INDEX(Sales!$A$5:$A$3004,TxRows))),0))</f>
        <v/>
      </c>
      <c r="X231" s="67" t="str">
        <f aca="false">IF($A231="","",IF(W231=0,AsOf-FYStart,AsOf-W231))</f>
        <v/>
      </c>
      <c r="Y231" s="67" t="str">
        <f aca="false">IF($A231="","",IF(M231=0,"",O231/(M231/MAX(1,AsOf-FYStart))))</f>
        <v/>
      </c>
      <c r="Z231" s="60" t="str">
        <f aca="false">IF($A231="","",U231+ROW()/1000000)</f>
        <v/>
      </c>
    </row>
    <row r="232" customFormat="false" ht="15" hidden="false" customHeight="false" outlineLevel="0" collapsed="false">
      <c r="A232" s="56"/>
      <c r="B232" s="56"/>
      <c r="C232" s="56"/>
      <c r="D232" s="56"/>
      <c r="E232" s="56"/>
      <c r="F232" s="63"/>
      <c r="G232" s="58"/>
      <c r="H232" s="58"/>
      <c r="I232" s="57"/>
      <c r="J232" s="57"/>
      <c r="K232" s="58"/>
      <c r="L232" s="64" t="str">
        <f aca="false">IF($A232="","",SUMIFS(Purchases!$E$5:INDEX(Purchases!$E$5:$E$3004,TxRows),Purchases!$D$5:INDEX(Purchases!$D$5:$D$3004,TxRows),$A232))</f>
        <v/>
      </c>
      <c r="M232" s="64" t="str">
        <f aca="false">IF($A232="","",SUMIFS(Sales!$E$5:INDEX(Sales!$E$5:$E$3004,TxRows),Sales!$D$5:INDEX(Sales!$D$5:$D$3004,TxRows),$A232))</f>
        <v/>
      </c>
      <c r="N232" s="64" t="str">
        <f aca="false">IF($A232="","",SUMIFS(Adjustments!$C$5:$C$504,Adjustments!$B$5:$B$504,$A232))</f>
        <v/>
      </c>
      <c r="O232" s="64" t="str">
        <f aca="false">IF($A232="","",N($J232)+L232-M232+N232)</f>
        <v/>
      </c>
      <c r="P232" s="61" t="str">
        <f aca="false">IF($A232="","",IFERROR((N($J232)*N($K232)+SUMIFS(Purchases!$K$5:INDEX(Purchases!$K$5:$K$3004,TxRows),Purchases!$D$5:INDEX(Purchases!$D$5:$D$3004,TxRows),$A232))/(N($J232)+L232),N($G232)))</f>
        <v/>
      </c>
      <c r="Q232" s="61" t="str">
        <f aca="false">IF($A232="","",MAX(0,O232)*P232)</f>
        <v/>
      </c>
      <c r="R232" s="60" t="str">
        <f aca="false">IF($A232="","",IF(O232&lt;0,"NEGATIVE",IF(O232=0,"OUT OF STOCK",IF(O232&lt;=N($I232),"REORDER",IF(AND(O232&gt;0,X232&gt;DeadDays),"DEAD STOCK","OK")))))</f>
        <v/>
      </c>
      <c r="S232" s="65" t="str">
        <f aca="false">IF($A232="","",IF(N($H232)=0,0,(N($H232)-P232)/N($H232)))</f>
        <v/>
      </c>
      <c r="T232" s="64" t="str">
        <f aca="false">IF($A232="","",IF(O232&lt;=N($I232),MAX(0,2*N($I232)-O232),0))</f>
        <v/>
      </c>
      <c r="U232" s="61" t="str">
        <f aca="false">IF($A232="","",SUMIFS(Sales!$L$5:INDEX(Sales!$L$5:$L$3004,TxRows),Sales!$D$5:INDEX(Sales!$D$5:$D$3004,TxRows),$A232))</f>
        <v/>
      </c>
      <c r="V232" s="61" t="str">
        <f aca="false">IF($A232="","",SUMIFS(Sales!$S$5:INDEX(Sales!$S$5:$S$3004,TxRows),Sales!$D$5:INDEX(Sales!$D$5:$D$3004,TxRows),$A232))</f>
        <v/>
      </c>
      <c r="W232" s="66" t="str">
        <f aca="false">IF($A232="","",IFERROR(SUMPRODUCT(MAX((Sales!$D$5:INDEX(Sales!$D$5:$D$3004,TxRows)=$A232)*Sales!$A$5:INDEX(Sales!$A$5:$A$3004,TxRows))),0))</f>
        <v/>
      </c>
      <c r="X232" s="67" t="str">
        <f aca="false">IF($A232="","",IF(W232=0,AsOf-FYStart,AsOf-W232))</f>
        <v/>
      </c>
      <c r="Y232" s="67" t="str">
        <f aca="false">IF($A232="","",IF(M232=0,"",O232/(M232/MAX(1,AsOf-FYStart))))</f>
        <v/>
      </c>
      <c r="Z232" s="60" t="str">
        <f aca="false">IF($A232="","",U232+ROW()/1000000)</f>
        <v/>
      </c>
    </row>
    <row r="233" customFormat="false" ht="15" hidden="false" customHeight="false" outlineLevel="0" collapsed="false">
      <c r="A233" s="56"/>
      <c r="B233" s="56"/>
      <c r="C233" s="56"/>
      <c r="D233" s="56"/>
      <c r="E233" s="56"/>
      <c r="F233" s="63"/>
      <c r="G233" s="58"/>
      <c r="H233" s="58"/>
      <c r="I233" s="57"/>
      <c r="J233" s="57"/>
      <c r="K233" s="58"/>
      <c r="L233" s="64" t="str">
        <f aca="false">IF($A233="","",SUMIFS(Purchases!$E$5:INDEX(Purchases!$E$5:$E$3004,TxRows),Purchases!$D$5:INDEX(Purchases!$D$5:$D$3004,TxRows),$A233))</f>
        <v/>
      </c>
      <c r="M233" s="64" t="str">
        <f aca="false">IF($A233="","",SUMIFS(Sales!$E$5:INDEX(Sales!$E$5:$E$3004,TxRows),Sales!$D$5:INDEX(Sales!$D$5:$D$3004,TxRows),$A233))</f>
        <v/>
      </c>
      <c r="N233" s="64" t="str">
        <f aca="false">IF($A233="","",SUMIFS(Adjustments!$C$5:$C$504,Adjustments!$B$5:$B$504,$A233))</f>
        <v/>
      </c>
      <c r="O233" s="64" t="str">
        <f aca="false">IF($A233="","",N($J233)+L233-M233+N233)</f>
        <v/>
      </c>
      <c r="P233" s="61" t="str">
        <f aca="false">IF($A233="","",IFERROR((N($J233)*N($K233)+SUMIFS(Purchases!$K$5:INDEX(Purchases!$K$5:$K$3004,TxRows),Purchases!$D$5:INDEX(Purchases!$D$5:$D$3004,TxRows),$A233))/(N($J233)+L233),N($G233)))</f>
        <v/>
      </c>
      <c r="Q233" s="61" t="str">
        <f aca="false">IF($A233="","",MAX(0,O233)*P233)</f>
        <v/>
      </c>
      <c r="R233" s="60" t="str">
        <f aca="false">IF($A233="","",IF(O233&lt;0,"NEGATIVE",IF(O233=0,"OUT OF STOCK",IF(O233&lt;=N($I233),"REORDER",IF(AND(O233&gt;0,X233&gt;DeadDays),"DEAD STOCK","OK")))))</f>
        <v/>
      </c>
      <c r="S233" s="65" t="str">
        <f aca="false">IF($A233="","",IF(N($H233)=0,0,(N($H233)-P233)/N($H233)))</f>
        <v/>
      </c>
      <c r="T233" s="64" t="str">
        <f aca="false">IF($A233="","",IF(O233&lt;=N($I233),MAX(0,2*N($I233)-O233),0))</f>
        <v/>
      </c>
      <c r="U233" s="61" t="str">
        <f aca="false">IF($A233="","",SUMIFS(Sales!$L$5:INDEX(Sales!$L$5:$L$3004,TxRows),Sales!$D$5:INDEX(Sales!$D$5:$D$3004,TxRows),$A233))</f>
        <v/>
      </c>
      <c r="V233" s="61" t="str">
        <f aca="false">IF($A233="","",SUMIFS(Sales!$S$5:INDEX(Sales!$S$5:$S$3004,TxRows),Sales!$D$5:INDEX(Sales!$D$5:$D$3004,TxRows),$A233))</f>
        <v/>
      </c>
      <c r="W233" s="66" t="str">
        <f aca="false">IF($A233="","",IFERROR(SUMPRODUCT(MAX((Sales!$D$5:INDEX(Sales!$D$5:$D$3004,TxRows)=$A233)*Sales!$A$5:INDEX(Sales!$A$5:$A$3004,TxRows))),0))</f>
        <v/>
      </c>
      <c r="X233" s="67" t="str">
        <f aca="false">IF($A233="","",IF(W233=0,AsOf-FYStart,AsOf-W233))</f>
        <v/>
      </c>
      <c r="Y233" s="67" t="str">
        <f aca="false">IF($A233="","",IF(M233=0,"",O233/(M233/MAX(1,AsOf-FYStart))))</f>
        <v/>
      </c>
      <c r="Z233" s="60" t="str">
        <f aca="false">IF($A233="","",U233+ROW()/1000000)</f>
        <v/>
      </c>
    </row>
    <row r="234" customFormat="false" ht="15" hidden="false" customHeight="false" outlineLevel="0" collapsed="false">
      <c r="A234" s="56"/>
      <c r="B234" s="56"/>
      <c r="C234" s="56"/>
      <c r="D234" s="56"/>
      <c r="E234" s="56"/>
      <c r="F234" s="63"/>
      <c r="G234" s="58"/>
      <c r="H234" s="58"/>
      <c r="I234" s="57"/>
      <c r="J234" s="57"/>
      <c r="K234" s="58"/>
      <c r="L234" s="64" t="str">
        <f aca="false">IF($A234="","",SUMIFS(Purchases!$E$5:INDEX(Purchases!$E$5:$E$3004,TxRows),Purchases!$D$5:INDEX(Purchases!$D$5:$D$3004,TxRows),$A234))</f>
        <v/>
      </c>
      <c r="M234" s="64" t="str">
        <f aca="false">IF($A234="","",SUMIFS(Sales!$E$5:INDEX(Sales!$E$5:$E$3004,TxRows),Sales!$D$5:INDEX(Sales!$D$5:$D$3004,TxRows),$A234))</f>
        <v/>
      </c>
      <c r="N234" s="64" t="str">
        <f aca="false">IF($A234="","",SUMIFS(Adjustments!$C$5:$C$504,Adjustments!$B$5:$B$504,$A234))</f>
        <v/>
      </c>
      <c r="O234" s="64" t="str">
        <f aca="false">IF($A234="","",N($J234)+L234-M234+N234)</f>
        <v/>
      </c>
      <c r="P234" s="61" t="str">
        <f aca="false">IF($A234="","",IFERROR((N($J234)*N($K234)+SUMIFS(Purchases!$K$5:INDEX(Purchases!$K$5:$K$3004,TxRows),Purchases!$D$5:INDEX(Purchases!$D$5:$D$3004,TxRows),$A234))/(N($J234)+L234),N($G234)))</f>
        <v/>
      </c>
      <c r="Q234" s="61" t="str">
        <f aca="false">IF($A234="","",MAX(0,O234)*P234)</f>
        <v/>
      </c>
      <c r="R234" s="60" t="str">
        <f aca="false">IF($A234="","",IF(O234&lt;0,"NEGATIVE",IF(O234=0,"OUT OF STOCK",IF(O234&lt;=N($I234),"REORDER",IF(AND(O234&gt;0,X234&gt;DeadDays),"DEAD STOCK","OK")))))</f>
        <v/>
      </c>
      <c r="S234" s="65" t="str">
        <f aca="false">IF($A234="","",IF(N($H234)=0,0,(N($H234)-P234)/N($H234)))</f>
        <v/>
      </c>
      <c r="T234" s="64" t="str">
        <f aca="false">IF($A234="","",IF(O234&lt;=N($I234),MAX(0,2*N($I234)-O234),0))</f>
        <v/>
      </c>
      <c r="U234" s="61" t="str">
        <f aca="false">IF($A234="","",SUMIFS(Sales!$L$5:INDEX(Sales!$L$5:$L$3004,TxRows),Sales!$D$5:INDEX(Sales!$D$5:$D$3004,TxRows),$A234))</f>
        <v/>
      </c>
      <c r="V234" s="61" t="str">
        <f aca="false">IF($A234="","",SUMIFS(Sales!$S$5:INDEX(Sales!$S$5:$S$3004,TxRows),Sales!$D$5:INDEX(Sales!$D$5:$D$3004,TxRows),$A234))</f>
        <v/>
      </c>
      <c r="W234" s="66" t="str">
        <f aca="false">IF($A234="","",IFERROR(SUMPRODUCT(MAX((Sales!$D$5:INDEX(Sales!$D$5:$D$3004,TxRows)=$A234)*Sales!$A$5:INDEX(Sales!$A$5:$A$3004,TxRows))),0))</f>
        <v/>
      </c>
      <c r="X234" s="67" t="str">
        <f aca="false">IF($A234="","",IF(W234=0,AsOf-FYStart,AsOf-W234))</f>
        <v/>
      </c>
      <c r="Y234" s="67" t="str">
        <f aca="false">IF($A234="","",IF(M234=0,"",O234/(M234/MAX(1,AsOf-FYStart))))</f>
        <v/>
      </c>
      <c r="Z234" s="60" t="str">
        <f aca="false">IF($A234="","",U234+ROW()/1000000)</f>
        <v/>
      </c>
    </row>
    <row r="235" customFormat="false" ht="15" hidden="false" customHeight="false" outlineLevel="0" collapsed="false">
      <c r="A235" s="56"/>
      <c r="B235" s="56"/>
      <c r="C235" s="56"/>
      <c r="D235" s="56"/>
      <c r="E235" s="56"/>
      <c r="F235" s="63"/>
      <c r="G235" s="58"/>
      <c r="H235" s="58"/>
      <c r="I235" s="57"/>
      <c r="J235" s="57"/>
      <c r="K235" s="58"/>
      <c r="L235" s="64" t="str">
        <f aca="false">IF($A235="","",SUMIFS(Purchases!$E$5:INDEX(Purchases!$E$5:$E$3004,TxRows),Purchases!$D$5:INDEX(Purchases!$D$5:$D$3004,TxRows),$A235))</f>
        <v/>
      </c>
      <c r="M235" s="64" t="str">
        <f aca="false">IF($A235="","",SUMIFS(Sales!$E$5:INDEX(Sales!$E$5:$E$3004,TxRows),Sales!$D$5:INDEX(Sales!$D$5:$D$3004,TxRows),$A235))</f>
        <v/>
      </c>
      <c r="N235" s="64" t="str">
        <f aca="false">IF($A235="","",SUMIFS(Adjustments!$C$5:$C$504,Adjustments!$B$5:$B$504,$A235))</f>
        <v/>
      </c>
      <c r="O235" s="64" t="str">
        <f aca="false">IF($A235="","",N($J235)+L235-M235+N235)</f>
        <v/>
      </c>
      <c r="P235" s="61" t="str">
        <f aca="false">IF($A235="","",IFERROR((N($J235)*N($K235)+SUMIFS(Purchases!$K$5:INDEX(Purchases!$K$5:$K$3004,TxRows),Purchases!$D$5:INDEX(Purchases!$D$5:$D$3004,TxRows),$A235))/(N($J235)+L235),N($G235)))</f>
        <v/>
      </c>
      <c r="Q235" s="61" t="str">
        <f aca="false">IF($A235="","",MAX(0,O235)*P235)</f>
        <v/>
      </c>
      <c r="R235" s="60" t="str">
        <f aca="false">IF($A235="","",IF(O235&lt;0,"NEGATIVE",IF(O235=0,"OUT OF STOCK",IF(O235&lt;=N($I235),"REORDER",IF(AND(O235&gt;0,X235&gt;DeadDays),"DEAD STOCK","OK")))))</f>
        <v/>
      </c>
      <c r="S235" s="65" t="str">
        <f aca="false">IF($A235="","",IF(N($H235)=0,0,(N($H235)-P235)/N($H235)))</f>
        <v/>
      </c>
      <c r="T235" s="64" t="str">
        <f aca="false">IF($A235="","",IF(O235&lt;=N($I235),MAX(0,2*N($I235)-O235),0))</f>
        <v/>
      </c>
      <c r="U235" s="61" t="str">
        <f aca="false">IF($A235="","",SUMIFS(Sales!$L$5:INDEX(Sales!$L$5:$L$3004,TxRows),Sales!$D$5:INDEX(Sales!$D$5:$D$3004,TxRows),$A235))</f>
        <v/>
      </c>
      <c r="V235" s="61" t="str">
        <f aca="false">IF($A235="","",SUMIFS(Sales!$S$5:INDEX(Sales!$S$5:$S$3004,TxRows),Sales!$D$5:INDEX(Sales!$D$5:$D$3004,TxRows),$A235))</f>
        <v/>
      </c>
      <c r="W235" s="66" t="str">
        <f aca="false">IF($A235="","",IFERROR(SUMPRODUCT(MAX((Sales!$D$5:INDEX(Sales!$D$5:$D$3004,TxRows)=$A235)*Sales!$A$5:INDEX(Sales!$A$5:$A$3004,TxRows))),0))</f>
        <v/>
      </c>
      <c r="X235" s="67" t="str">
        <f aca="false">IF($A235="","",IF(W235=0,AsOf-FYStart,AsOf-W235))</f>
        <v/>
      </c>
      <c r="Y235" s="67" t="str">
        <f aca="false">IF($A235="","",IF(M235=0,"",O235/(M235/MAX(1,AsOf-FYStart))))</f>
        <v/>
      </c>
      <c r="Z235" s="60" t="str">
        <f aca="false">IF($A235="","",U235+ROW()/1000000)</f>
        <v/>
      </c>
    </row>
    <row r="236" customFormat="false" ht="15" hidden="false" customHeight="false" outlineLevel="0" collapsed="false">
      <c r="A236" s="56"/>
      <c r="B236" s="56"/>
      <c r="C236" s="56"/>
      <c r="D236" s="56"/>
      <c r="E236" s="56"/>
      <c r="F236" s="63"/>
      <c r="G236" s="58"/>
      <c r="H236" s="58"/>
      <c r="I236" s="57"/>
      <c r="J236" s="57"/>
      <c r="K236" s="58"/>
      <c r="L236" s="64" t="str">
        <f aca="false">IF($A236="","",SUMIFS(Purchases!$E$5:INDEX(Purchases!$E$5:$E$3004,TxRows),Purchases!$D$5:INDEX(Purchases!$D$5:$D$3004,TxRows),$A236))</f>
        <v/>
      </c>
      <c r="M236" s="64" t="str">
        <f aca="false">IF($A236="","",SUMIFS(Sales!$E$5:INDEX(Sales!$E$5:$E$3004,TxRows),Sales!$D$5:INDEX(Sales!$D$5:$D$3004,TxRows),$A236))</f>
        <v/>
      </c>
      <c r="N236" s="64" t="str">
        <f aca="false">IF($A236="","",SUMIFS(Adjustments!$C$5:$C$504,Adjustments!$B$5:$B$504,$A236))</f>
        <v/>
      </c>
      <c r="O236" s="64" t="str">
        <f aca="false">IF($A236="","",N($J236)+L236-M236+N236)</f>
        <v/>
      </c>
      <c r="P236" s="61" t="str">
        <f aca="false">IF($A236="","",IFERROR((N($J236)*N($K236)+SUMIFS(Purchases!$K$5:INDEX(Purchases!$K$5:$K$3004,TxRows),Purchases!$D$5:INDEX(Purchases!$D$5:$D$3004,TxRows),$A236))/(N($J236)+L236),N($G236)))</f>
        <v/>
      </c>
      <c r="Q236" s="61" t="str">
        <f aca="false">IF($A236="","",MAX(0,O236)*P236)</f>
        <v/>
      </c>
      <c r="R236" s="60" t="str">
        <f aca="false">IF($A236="","",IF(O236&lt;0,"NEGATIVE",IF(O236=0,"OUT OF STOCK",IF(O236&lt;=N($I236),"REORDER",IF(AND(O236&gt;0,X236&gt;DeadDays),"DEAD STOCK","OK")))))</f>
        <v/>
      </c>
      <c r="S236" s="65" t="str">
        <f aca="false">IF($A236="","",IF(N($H236)=0,0,(N($H236)-P236)/N($H236)))</f>
        <v/>
      </c>
      <c r="T236" s="64" t="str">
        <f aca="false">IF($A236="","",IF(O236&lt;=N($I236),MAX(0,2*N($I236)-O236),0))</f>
        <v/>
      </c>
      <c r="U236" s="61" t="str">
        <f aca="false">IF($A236="","",SUMIFS(Sales!$L$5:INDEX(Sales!$L$5:$L$3004,TxRows),Sales!$D$5:INDEX(Sales!$D$5:$D$3004,TxRows),$A236))</f>
        <v/>
      </c>
      <c r="V236" s="61" t="str">
        <f aca="false">IF($A236="","",SUMIFS(Sales!$S$5:INDEX(Sales!$S$5:$S$3004,TxRows),Sales!$D$5:INDEX(Sales!$D$5:$D$3004,TxRows),$A236))</f>
        <v/>
      </c>
      <c r="W236" s="66" t="str">
        <f aca="false">IF($A236="","",IFERROR(SUMPRODUCT(MAX((Sales!$D$5:INDEX(Sales!$D$5:$D$3004,TxRows)=$A236)*Sales!$A$5:INDEX(Sales!$A$5:$A$3004,TxRows))),0))</f>
        <v/>
      </c>
      <c r="X236" s="67" t="str">
        <f aca="false">IF($A236="","",IF(W236=0,AsOf-FYStart,AsOf-W236))</f>
        <v/>
      </c>
      <c r="Y236" s="67" t="str">
        <f aca="false">IF($A236="","",IF(M236=0,"",O236/(M236/MAX(1,AsOf-FYStart))))</f>
        <v/>
      </c>
      <c r="Z236" s="60" t="str">
        <f aca="false">IF($A236="","",U236+ROW()/1000000)</f>
        <v/>
      </c>
    </row>
    <row r="237" customFormat="false" ht="15" hidden="false" customHeight="false" outlineLevel="0" collapsed="false">
      <c r="A237" s="56"/>
      <c r="B237" s="56"/>
      <c r="C237" s="56"/>
      <c r="D237" s="56"/>
      <c r="E237" s="56"/>
      <c r="F237" s="63"/>
      <c r="G237" s="58"/>
      <c r="H237" s="58"/>
      <c r="I237" s="57"/>
      <c r="J237" s="57"/>
      <c r="K237" s="58"/>
      <c r="L237" s="64" t="str">
        <f aca="false">IF($A237="","",SUMIFS(Purchases!$E$5:INDEX(Purchases!$E$5:$E$3004,TxRows),Purchases!$D$5:INDEX(Purchases!$D$5:$D$3004,TxRows),$A237))</f>
        <v/>
      </c>
      <c r="M237" s="64" t="str">
        <f aca="false">IF($A237="","",SUMIFS(Sales!$E$5:INDEX(Sales!$E$5:$E$3004,TxRows),Sales!$D$5:INDEX(Sales!$D$5:$D$3004,TxRows),$A237))</f>
        <v/>
      </c>
      <c r="N237" s="64" t="str">
        <f aca="false">IF($A237="","",SUMIFS(Adjustments!$C$5:$C$504,Adjustments!$B$5:$B$504,$A237))</f>
        <v/>
      </c>
      <c r="O237" s="64" t="str">
        <f aca="false">IF($A237="","",N($J237)+L237-M237+N237)</f>
        <v/>
      </c>
      <c r="P237" s="61" t="str">
        <f aca="false">IF($A237="","",IFERROR((N($J237)*N($K237)+SUMIFS(Purchases!$K$5:INDEX(Purchases!$K$5:$K$3004,TxRows),Purchases!$D$5:INDEX(Purchases!$D$5:$D$3004,TxRows),$A237))/(N($J237)+L237),N($G237)))</f>
        <v/>
      </c>
      <c r="Q237" s="61" t="str">
        <f aca="false">IF($A237="","",MAX(0,O237)*P237)</f>
        <v/>
      </c>
      <c r="R237" s="60" t="str">
        <f aca="false">IF($A237="","",IF(O237&lt;0,"NEGATIVE",IF(O237=0,"OUT OF STOCK",IF(O237&lt;=N($I237),"REORDER",IF(AND(O237&gt;0,X237&gt;DeadDays),"DEAD STOCK","OK")))))</f>
        <v/>
      </c>
      <c r="S237" s="65" t="str">
        <f aca="false">IF($A237="","",IF(N($H237)=0,0,(N($H237)-P237)/N($H237)))</f>
        <v/>
      </c>
      <c r="T237" s="64" t="str">
        <f aca="false">IF($A237="","",IF(O237&lt;=N($I237),MAX(0,2*N($I237)-O237),0))</f>
        <v/>
      </c>
      <c r="U237" s="61" t="str">
        <f aca="false">IF($A237="","",SUMIFS(Sales!$L$5:INDEX(Sales!$L$5:$L$3004,TxRows),Sales!$D$5:INDEX(Sales!$D$5:$D$3004,TxRows),$A237))</f>
        <v/>
      </c>
      <c r="V237" s="61" t="str">
        <f aca="false">IF($A237="","",SUMIFS(Sales!$S$5:INDEX(Sales!$S$5:$S$3004,TxRows),Sales!$D$5:INDEX(Sales!$D$5:$D$3004,TxRows),$A237))</f>
        <v/>
      </c>
      <c r="W237" s="66" t="str">
        <f aca="false">IF($A237="","",IFERROR(SUMPRODUCT(MAX((Sales!$D$5:INDEX(Sales!$D$5:$D$3004,TxRows)=$A237)*Sales!$A$5:INDEX(Sales!$A$5:$A$3004,TxRows))),0))</f>
        <v/>
      </c>
      <c r="X237" s="67" t="str">
        <f aca="false">IF($A237="","",IF(W237=0,AsOf-FYStart,AsOf-W237))</f>
        <v/>
      </c>
      <c r="Y237" s="67" t="str">
        <f aca="false">IF($A237="","",IF(M237=0,"",O237/(M237/MAX(1,AsOf-FYStart))))</f>
        <v/>
      </c>
      <c r="Z237" s="60" t="str">
        <f aca="false">IF($A237="","",U237+ROW()/1000000)</f>
        <v/>
      </c>
    </row>
    <row r="238" customFormat="false" ht="15" hidden="false" customHeight="false" outlineLevel="0" collapsed="false">
      <c r="A238" s="56"/>
      <c r="B238" s="56"/>
      <c r="C238" s="56"/>
      <c r="D238" s="56"/>
      <c r="E238" s="56"/>
      <c r="F238" s="63"/>
      <c r="G238" s="58"/>
      <c r="H238" s="58"/>
      <c r="I238" s="57"/>
      <c r="J238" s="57"/>
      <c r="K238" s="58"/>
      <c r="L238" s="64" t="str">
        <f aca="false">IF($A238="","",SUMIFS(Purchases!$E$5:INDEX(Purchases!$E$5:$E$3004,TxRows),Purchases!$D$5:INDEX(Purchases!$D$5:$D$3004,TxRows),$A238))</f>
        <v/>
      </c>
      <c r="M238" s="64" t="str">
        <f aca="false">IF($A238="","",SUMIFS(Sales!$E$5:INDEX(Sales!$E$5:$E$3004,TxRows),Sales!$D$5:INDEX(Sales!$D$5:$D$3004,TxRows),$A238))</f>
        <v/>
      </c>
      <c r="N238" s="64" t="str">
        <f aca="false">IF($A238="","",SUMIFS(Adjustments!$C$5:$C$504,Adjustments!$B$5:$B$504,$A238))</f>
        <v/>
      </c>
      <c r="O238" s="64" t="str">
        <f aca="false">IF($A238="","",N($J238)+L238-M238+N238)</f>
        <v/>
      </c>
      <c r="P238" s="61" t="str">
        <f aca="false">IF($A238="","",IFERROR((N($J238)*N($K238)+SUMIFS(Purchases!$K$5:INDEX(Purchases!$K$5:$K$3004,TxRows),Purchases!$D$5:INDEX(Purchases!$D$5:$D$3004,TxRows),$A238))/(N($J238)+L238),N($G238)))</f>
        <v/>
      </c>
      <c r="Q238" s="61" t="str">
        <f aca="false">IF($A238="","",MAX(0,O238)*P238)</f>
        <v/>
      </c>
      <c r="R238" s="60" t="str">
        <f aca="false">IF($A238="","",IF(O238&lt;0,"NEGATIVE",IF(O238=0,"OUT OF STOCK",IF(O238&lt;=N($I238),"REORDER",IF(AND(O238&gt;0,X238&gt;DeadDays),"DEAD STOCK","OK")))))</f>
        <v/>
      </c>
      <c r="S238" s="65" t="str">
        <f aca="false">IF($A238="","",IF(N($H238)=0,0,(N($H238)-P238)/N($H238)))</f>
        <v/>
      </c>
      <c r="T238" s="64" t="str">
        <f aca="false">IF($A238="","",IF(O238&lt;=N($I238),MAX(0,2*N($I238)-O238),0))</f>
        <v/>
      </c>
      <c r="U238" s="61" t="str">
        <f aca="false">IF($A238="","",SUMIFS(Sales!$L$5:INDEX(Sales!$L$5:$L$3004,TxRows),Sales!$D$5:INDEX(Sales!$D$5:$D$3004,TxRows),$A238))</f>
        <v/>
      </c>
      <c r="V238" s="61" t="str">
        <f aca="false">IF($A238="","",SUMIFS(Sales!$S$5:INDEX(Sales!$S$5:$S$3004,TxRows),Sales!$D$5:INDEX(Sales!$D$5:$D$3004,TxRows),$A238))</f>
        <v/>
      </c>
      <c r="W238" s="66" t="str">
        <f aca="false">IF($A238="","",IFERROR(SUMPRODUCT(MAX((Sales!$D$5:INDEX(Sales!$D$5:$D$3004,TxRows)=$A238)*Sales!$A$5:INDEX(Sales!$A$5:$A$3004,TxRows))),0))</f>
        <v/>
      </c>
      <c r="X238" s="67" t="str">
        <f aca="false">IF($A238="","",IF(W238=0,AsOf-FYStart,AsOf-W238))</f>
        <v/>
      </c>
      <c r="Y238" s="67" t="str">
        <f aca="false">IF($A238="","",IF(M238=0,"",O238/(M238/MAX(1,AsOf-FYStart))))</f>
        <v/>
      </c>
      <c r="Z238" s="60" t="str">
        <f aca="false">IF($A238="","",U238+ROW()/1000000)</f>
        <v/>
      </c>
    </row>
    <row r="239" customFormat="false" ht="15" hidden="false" customHeight="false" outlineLevel="0" collapsed="false">
      <c r="A239" s="56"/>
      <c r="B239" s="56"/>
      <c r="C239" s="56"/>
      <c r="D239" s="56"/>
      <c r="E239" s="56"/>
      <c r="F239" s="63"/>
      <c r="G239" s="58"/>
      <c r="H239" s="58"/>
      <c r="I239" s="57"/>
      <c r="J239" s="57"/>
      <c r="K239" s="58"/>
      <c r="L239" s="64" t="str">
        <f aca="false">IF($A239="","",SUMIFS(Purchases!$E$5:INDEX(Purchases!$E$5:$E$3004,TxRows),Purchases!$D$5:INDEX(Purchases!$D$5:$D$3004,TxRows),$A239))</f>
        <v/>
      </c>
      <c r="M239" s="64" t="str">
        <f aca="false">IF($A239="","",SUMIFS(Sales!$E$5:INDEX(Sales!$E$5:$E$3004,TxRows),Sales!$D$5:INDEX(Sales!$D$5:$D$3004,TxRows),$A239))</f>
        <v/>
      </c>
      <c r="N239" s="64" t="str">
        <f aca="false">IF($A239="","",SUMIFS(Adjustments!$C$5:$C$504,Adjustments!$B$5:$B$504,$A239))</f>
        <v/>
      </c>
      <c r="O239" s="64" t="str">
        <f aca="false">IF($A239="","",N($J239)+L239-M239+N239)</f>
        <v/>
      </c>
      <c r="P239" s="61" t="str">
        <f aca="false">IF($A239="","",IFERROR((N($J239)*N($K239)+SUMIFS(Purchases!$K$5:INDEX(Purchases!$K$5:$K$3004,TxRows),Purchases!$D$5:INDEX(Purchases!$D$5:$D$3004,TxRows),$A239))/(N($J239)+L239),N($G239)))</f>
        <v/>
      </c>
      <c r="Q239" s="61" t="str">
        <f aca="false">IF($A239="","",MAX(0,O239)*P239)</f>
        <v/>
      </c>
      <c r="R239" s="60" t="str">
        <f aca="false">IF($A239="","",IF(O239&lt;0,"NEGATIVE",IF(O239=0,"OUT OF STOCK",IF(O239&lt;=N($I239),"REORDER",IF(AND(O239&gt;0,X239&gt;DeadDays),"DEAD STOCK","OK")))))</f>
        <v/>
      </c>
      <c r="S239" s="65" t="str">
        <f aca="false">IF($A239="","",IF(N($H239)=0,0,(N($H239)-P239)/N($H239)))</f>
        <v/>
      </c>
      <c r="T239" s="64" t="str">
        <f aca="false">IF($A239="","",IF(O239&lt;=N($I239),MAX(0,2*N($I239)-O239),0))</f>
        <v/>
      </c>
      <c r="U239" s="61" t="str">
        <f aca="false">IF($A239="","",SUMIFS(Sales!$L$5:INDEX(Sales!$L$5:$L$3004,TxRows),Sales!$D$5:INDEX(Sales!$D$5:$D$3004,TxRows),$A239))</f>
        <v/>
      </c>
      <c r="V239" s="61" t="str">
        <f aca="false">IF($A239="","",SUMIFS(Sales!$S$5:INDEX(Sales!$S$5:$S$3004,TxRows),Sales!$D$5:INDEX(Sales!$D$5:$D$3004,TxRows),$A239))</f>
        <v/>
      </c>
      <c r="W239" s="66" t="str">
        <f aca="false">IF($A239="","",IFERROR(SUMPRODUCT(MAX((Sales!$D$5:INDEX(Sales!$D$5:$D$3004,TxRows)=$A239)*Sales!$A$5:INDEX(Sales!$A$5:$A$3004,TxRows))),0))</f>
        <v/>
      </c>
      <c r="X239" s="67" t="str">
        <f aca="false">IF($A239="","",IF(W239=0,AsOf-FYStart,AsOf-W239))</f>
        <v/>
      </c>
      <c r="Y239" s="67" t="str">
        <f aca="false">IF($A239="","",IF(M239=0,"",O239/(M239/MAX(1,AsOf-FYStart))))</f>
        <v/>
      </c>
      <c r="Z239" s="60" t="str">
        <f aca="false">IF($A239="","",U239+ROW()/1000000)</f>
        <v/>
      </c>
    </row>
    <row r="240" customFormat="false" ht="15" hidden="false" customHeight="false" outlineLevel="0" collapsed="false">
      <c r="A240" s="56"/>
      <c r="B240" s="56"/>
      <c r="C240" s="56"/>
      <c r="D240" s="56"/>
      <c r="E240" s="56"/>
      <c r="F240" s="63"/>
      <c r="G240" s="58"/>
      <c r="H240" s="58"/>
      <c r="I240" s="57"/>
      <c r="J240" s="57"/>
      <c r="K240" s="58"/>
      <c r="L240" s="64" t="str">
        <f aca="false">IF($A240="","",SUMIFS(Purchases!$E$5:INDEX(Purchases!$E$5:$E$3004,TxRows),Purchases!$D$5:INDEX(Purchases!$D$5:$D$3004,TxRows),$A240))</f>
        <v/>
      </c>
      <c r="M240" s="64" t="str">
        <f aca="false">IF($A240="","",SUMIFS(Sales!$E$5:INDEX(Sales!$E$5:$E$3004,TxRows),Sales!$D$5:INDEX(Sales!$D$5:$D$3004,TxRows),$A240))</f>
        <v/>
      </c>
      <c r="N240" s="64" t="str">
        <f aca="false">IF($A240="","",SUMIFS(Adjustments!$C$5:$C$504,Adjustments!$B$5:$B$504,$A240))</f>
        <v/>
      </c>
      <c r="O240" s="64" t="str">
        <f aca="false">IF($A240="","",N($J240)+L240-M240+N240)</f>
        <v/>
      </c>
      <c r="P240" s="61" t="str">
        <f aca="false">IF($A240="","",IFERROR((N($J240)*N($K240)+SUMIFS(Purchases!$K$5:INDEX(Purchases!$K$5:$K$3004,TxRows),Purchases!$D$5:INDEX(Purchases!$D$5:$D$3004,TxRows),$A240))/(N($J240)+L240),N($G240)))</f>
        <v/>
      </c>
      <c r="Q240" s="61" t="str">
        <f aca="false">IF($A240="","",MAX(0,O240)*P240)</f>
        <v/>
      </c>
      <c r="R240" s="60" t="str">
        <f aca="false">IF($A240="","",IF(O240&lt;0,"NEGATIVE",IF(O240=0,"OUT OF STOCK",IF(O240&lt;=N($I240),"REORDER",IF(AND(O240&gt;0,X240&gt;DeadDays),"DEAD STOCK","OK")))))</f>
        <v/>
      </c>
      <c r="S240" s="65" t="str">
        <f aca="false">IF($A240="","",IF(N($H240)=0,0,(N($H240)-P240)/N($H240)))</f>
        <v/>
      </c>
      <c r="T240" s="64" t="str">
        <f aca="false">IF($A240="","",IF(O240&lt;=N($I240),MAX(0,2*N($I240)-O240),0))</f>
        <v/>
      </c>
      <c r="U240" s="61" t="str">
        <f aca="false">IF($A240="","",SUMIFS(Sales!$L$5:INDEX(Sales!$L$5:$L$3004,TxRows),Sales!$D$5:INDEX(Sales!$D$5:$D$3004,TxRows),$A240))</f>
        <v/>
      </c>
      <c r="V240" s="61" t="str">
        <f aca="false">IF($A240="","",SUMIFS(Sales!$S$5:INDEX(Sales!$S$5:$S$3004,TxRows),Sales!$D$5:INDEX(Sales!$D$5:$D$3004,TxRows),$A240))</f>
        <v/>
      </c>
      <c r="W240" s="66" t="str">
        <f aca="false">IF($A240="","",IFERROR(SUMPRODUCT(MAX((Sales!$D$5:INDEX(Sales!$D$5:$D$3004,TxRows)=$A240)*Sales!$A$5:INDEX(Sales!$A$5:$A$3004,TxRows))),0))</f>
        <v/>
      </c>
      <c r="X240" s="67" t="str">
        <f aca="false">IF($A240="","",IF(W240=0,AsOf-FYStart,AsOf-W240))</f>
        <v/>
      </c>
      <c r="Y240" s="67" t="str">
        <f aca="false">IF($A240="","",IF(M240=0,"",O240/(M240/MAX(1,AsOf-FYStart))))</f>
        <v/>
      </c>
      <c r="Z240" s="60" t="str">
        <f aca="false">IF($A240="","",U240+ROW()/1000000)</f>
        <v/>
      </c>
    </row>
    <row r="241" customFormat="false" ht="15" hidden="false" customHeight="false" outlineLevel="0" collapsed="false">
      <c r="A241" s="56"/>
      <c r="B241" s="56"/>
      <c r="C241" s="56"/>
      <c r="D241" s="56"/>
      <c r="E241" s="56"/>
      <c r="F241" s="63"/>
      <c r="G241" s="58"/>
      <c r="H241" s="58"/>
      <c r="I241" s="57"/>
      <c r="J241" s="57"/>
      <c r="K241" s="58"/>
      <c r="L241" s="64" t="str">
        <f aca="false">IF($A241="","",SUMIFS(Purchases!$E$5:INDEX(Purchases!$E$5:$E$3004,TxRows),Purchases!$D$5:INDEX(Purchases!$D$5:$D$3004,TxRows),$A241))</f>
        <v/>
      </c>
      <c r="M241" s="64" t="str">
        <f aca="false">IF($A241="","",SUMIFS(Sales!$E$5:INDEX(Sales!$E$5:$E$3004,TxRows),Sales!$D$5:INDEX(Sales!$D$5:$D$3004,TxRows),$A241))</f>
        <v/>
      </c>
      <c r="N241" s="64" t="str">
        <f aca="false">IF($A241="","",SUMIFS(Adjustments!$C$5:$C$504,Adjustments!$B$5:$B$504,$A241))</f>
        <v/>
      </c>
      <c r="O241" s="64" t="str">
        <f aca="false">IF($A241="","",N($J241)+L241-M241+N241)</f>
        <v/>
      </c>
      <c r="P241" s="61" t="str">
        <f aca="false">IF($A241="","",IFERROR((N($J241)*N($K241)+SUMIFS(Purchases!$K$5:INDEX(Purchases!$K$5:$K$3004,TxRows),Purchases!$D$5:INDEX(Purchases!$D$5:$D$3004,TxRows),$A241))/(N($J241)+L241),N($G241)))</f>
        <v/>
      </c>
      <c r="Q241" s="61" t="str">
        <f aca="false">IF($A241="","",MAX(0,O241)*P241)</f>
        <v/>
      </c>
      <c r="R241" s="60" t="str">
        <f aca="false">IF($A241="","",IF(O241&lt;0,"NEGATIVE",IF(O241=0,"OUT OF STOCK",IF(O241&lt;=N($I241),"REORDER",IF(AND(O241&gt;0,X241&gt;DeadDays),"DEAD STOCK","OK")))))</f>
        <v/>
      </c>
      <c r="S241" s="65" t="str">
        <f aca="false">IF($A241="","",IF(N($H241)=0,0,(N($H241)-P241)/N($H241)))</f>
        <v/>
      </c>
      <c r="T241" s="64" t="str">
        <f aca="false">IF($A241="","",IF(O241&lt;=N($I241),MAX(0,2*N($I241)-O241),0))</f>
        <v/>
      </c>
      <c r="U241" s="61" t="str">
        <f aca="false">IF($A241="","",SUMIFS(Sales!$L$5:INDEX(Sales!$L$5:$L$3004,TxRows),Sales!$D$5:INDEX(Sales!$D$5:$D$3004,TxRows),$A241))</f>
        <v/>
      </c>
      <c r="V241" s="61" t="str">
        <f aca="false">IF($A241="","",SUMIFS(Sales!$S$5:INDEX(Sales!$S$5:$S$3004,TxRows),Sales!$D$5:INDEX(Sales!$D$5:$D$3004,TxRows),$A241))</f>
        <v/>
      </c>
      <c r="W241" s="66" t="str">
        <f aca="false">IF($A241="","",IFERROR(SUMPRODUCT(MAX((Sales!$D$5:INDEX(Sales!$D$5:$D$3004,TxRows)=$A241)*Sales!$A$5:INDEX(Sales!$A$5:$A$3004,TxRows))),0))</f>
        <v/>
      </c>
      <c r="X241" s="67" t="str">
        <f aca="false">IF($A241="","",IF(W241=0,AsOf-FYStart,AsOf-W241))</f>
        <v/>
      </c>
      <c r="Y241" s="67" t="str">
        <f aca="false">IF($A241="","",IF(M241=0,"",O241/(M241/MAX(1,AsOf-FYStart))))</f>
        <v/>
      </c>
      <c r="Z241" s="60" t="str">
        <f aca="false">IF($A241="","",U241+ROW()/1000000)</f>
        <v/>
      </c>
    </row>
    <row r="242" customFormat="false" ht="15" hidden="false" customHeight="false" outlineLevel="0" collapsed="false">
      <c r="A242" s="56"/>
      <c r="B242" s="56"/>
      <c r="C242" s="56"/>
      <c r="D242" s="56"/>
      <c r="E242" s="56"/>
      <c r="F242" s="63"/>
      <c r="G242" s="58"/>
      <c r="H242" s="58"/>
      <c r="I242" s="57"/>
      <c r="J242" s="57"/>
      <c r="K242" s="58"/>
      <c r="L242" s="64" t="str">
        <f aca="false">IF($A242="","",SUMIFS(Purchases!$E$5:INDEX(Purchases!$E$5:$E$3004,TxRows),Purchases!$D$5:INDEX(Purchases!$D$5:$D$3004,TxRows),$A242))</f>
        <v/>
      </c>
      <c r="M242" s="64" t="str">
        <f aca="false">IF($A242="","",SUMIFS(Sales!$E$5:INDEX(Sales!$E$5:$E$3004,TxRows),Sales!$D$5:INDEX(Sales!$D$5:$D$3004,TxRows),$A242))</f>
        <v/>
      </c>
      <c r="N242" s="64" t="str">
        <f aca="false">IF($A242="","",SUMIFS(Adjustments!$C$5:$C$504,Adjustments!$B$5:$B$504,$A242))</f>
        <v/>
      </c>
      <c r="O242" s="64" t="str">
        <f aca="false">IF($A242="","",N($J242)+L242-M242+N242)</f>
        <v/>
      </c>
      <c r="P242" s="61" t="str">
        <f aca="false">IF($A242="","",IFERROR((N($J242)*N($K242)+SUMIFS(Purchases!$K$5:INDEX(Purchases!$K$5:$K$3004,TxRows),Purchases!$D$5:INDEX(Purchases!$D$5:$D$3004,TxRows),$A242))/(N($J242)+L242),N($G242)))</f>
        <v/>
      </c>
      <c r="Q242" s="61" t="str">
        <f aca="false">IF($A242="","",MAX(0,O242)*P242)</f>
        <v/>
      </c>
      <c r="R242" s="60" t="str">
        <f aca="false">IF($A242="","",IF(O242&lt;0,"NEGATIVE",IF(O242=0,"OUT OF STOCK",IF(O242&lt;=N($I242),"REORDER",IF(AND(O242&gt;0,X242&gt;DeadDays),"DEAD STOCK","OK")))))</f>
        <v/>
      </c>
      <c r="S242" s="65" t="str">
        <f aca="false">IF($A242="","",IF(N($H242)=0,0,(N($H242)-P242)/N($H242)))</f>
        <v/>
      </c>
      <c r="T242" s="64" t="str">
        <f aca="false">IF($A242="","",IF(O242&lt;=N($I242),MAX(0,2*N($I242)-O242),0))</f>
        <v/>
      </c>
      <c r="U242" s="61" t="str">
        <f aca="false">IF($A242="","",SUMIFS(Sales!$L$5:INDEX(Sales!$L$5:$L$3004,TxRows),Sales!$D$5:INDEX(Sales!$D$5:$D$3004,TxRows),$A242))</f>
        <v/>
      </c>
      <c r="V242" s="61" t="str">
        <f aca="false">IF($A242="","",SUMIFS(Sales!$S$5:INDEX(Sales!$S$5:$S$3004,TxRows),Sales!$D$5:INDEX(Sales!$D$5:$D$3004,TxRows),$A242))</f>
        <v/>
      </c>
      <c r="W242" s="66" t="str">
        <f aca="false">IF($A242="","",IFERROR(SUMPRODUCT(MAX((Sales!$D$5:INDEX(Sales!$D$5:$D$3004,TxRows)=$A242)*Sales!$A$5:INDEX(Sales!$A$5:$A$3004,TxRows))),0))</f>
        <v/>
      </c>
      <c r="X242" s="67" t="str">
        <f aca="false">IF($A242="","",IF(W242=0,AsOf-FYStart,AsOf-W242))</f>
        <v/>
      </c>
      <c r="Y242" s="67" t="str">
        <f aca="false">IF($A242="","",IF(M242=0,"",O242/(M242/MAX(1,AsOf-FYStart))))</f>
        <v/>
      </c>
      <c r="Z242" s="60" t="str">
        <f aca="false">IF($A242="","",U242+ROW()/1000000)</f>
        <v/>
      </c>
    </row>
    <row r="243" customFormat="false" ht="15" hidden="false" customHeight="false" outlineLevel="0" collapsed="false">
      <c r="A243" s="56"/>
      <c r="B243" s="56"/>
      <c r="C243" s="56"/>
      <c r="D243" s="56"/>
      <c r="E243" s="56"/>
      <c r="F243" s="63"/>
      <c r="G243" s="58"/>
      <c r="H243" s="58"/>
      <c r="I243" s="57"/>
      <c r="J243" s="57"/>
      <c r="K243" s="58"/>
      <c r="L243" s="64" t="str">
        <f aca="false">IF($A243="","",SUMIFS(Purchases!$E$5:INDEX(Purchases!$E$5:$E$3004,TxRows),Purchases!$D$5:INDEX(Purchases!$D$5:$D$3004,TxRows),$A243))</f>
        <v/>
      </c>
      <c r="M243" s="64" t="str">
        <f aca="false">IF($A243="","",SUMIFS(Sales!$E$5:INDEX(Sales!$E$5:$E$3004,TxRows),Sales!$D$5:INDEX(Sales!$D$5:$D$3004,TxRows),$A243))</f>
        <v/>
      </c>
      <c r="N243" s="64" t="str">
        <f aca="false">IF($A243="","",SUMIFS(Adjustments!$C$5:$C$504,Adjustments!$B$5:$B$504,$A243))</f>
        <v/>
      </c>
      <c r="O243" s="64" t="str">
        <f aca="false">IF($A243="","",N($J243)+L243-M243+N243)</f>
        <v/>
      </c>
      <c r="P243" s="61" t="str">
        <f aca="false">IF($A243="","",IFERROR((N($J243)*N($K243)+SUMIFS(Purchases!$K$5:INDEX(Purchases!$K$5:$K$3004,TxRows),Purchases!$D$5:INDEX(Purchases!$D$5:$D$3004,TxRows),$A243))/(N($J243)+L243),N($G243)))</f>
        <v/>
      </c>
      <c r="Q243" s="61" t="str">
        <f aca="false">IF($A243="","",MAX(0,O243)*P243)</f>
        <v/>
      </c>
      <c r="R243" s="60" t="str">
        <f aca="false">IF($A243="","",IF(O243&lt;0,"NEGATIVE",IF(O243=0,"OUT OF STOCK",IF(O243&lt;=N($I243),"REORDER",IF(AND(O243&gt;0,X243&gt;DeadDays),"DEAD STOCK","OK")))))</f>
        <v/>
      </c>
      <c r="S243" s="65" t="str">
        <f aca="false">IF($A243="","",IF(N($H243)=0,0,(N($H243)-P243)/N($H243)))</f>
        <v/>
      </c>
      <c r="T243" s="64" t="str">
        <f aca="false">IF($A243="","",IF(O243&lt;=N($I243),MAX(0,2*N($I243)-O243),0))</f>
        <v/>
      </c>
      <c r="U243" s="61" t="str">
        <f aca="false">IF($A243="","",SUMIFS(Sales!$L$5:INDEX(Sales!$L$5:$L$3004,TxRows),Sales!$D$5:INDEX(Sales!$D$5:$D$3004,TxRows),$A243))</f>
        <v/>
      </c>
      <c r="V243" s="61" t="str">
        <f aca="false">IF($A243="","",SUMIFS(Sales!$S$5:INDEX(Sales!$S$5:$S$3004,TxRows),Sales!$D$5:INDEX(Sales!$D$5:$D$3004,TxRows),$A243))</f>
        <v/>
      </c>
      <c r="W243" s="66" t="str">
        <f aca="false">IF($A243="","",IFERROR(SUMPRODUCT(MAX((Sales!$D$5:INDEX(Sales!$D$5:$D$3004,TxRows)=$A243)*Sales!$A$5:INDEX(Sales!$A$5:$A$3004,TxRows))),0))</f>
        <v/>
      </c>
      <c r="X243" s="67" t="str">
        <f aca="false">IF($A243="","",IF(W243=0,AsOf-FYStart,AsOf-W243))</f>
        <v/>
      </c>
      <c r="Y243" s="67" t="str">
        <f aca="false">IF($A243="","",IF(M243=0,"",O243/(M243/MAX(1,AsOf-FYStart))))</f>
        <v/>
      </c>
      <c r="Z243" s="60" t="str">
        <f aca="false">IF($A243="","",U243+ROW()/1000000)</f>
        <v/>
      </c>
    </row>
    <row r="244" customFormat="false" ht="15" hidden="false" customHeight="false" outlineLevel="0" collapsed="false">
      <c r="A244" s="56"/>
      <c r="B244" s="56"/>
      <c r="C244" s="56"/>
      <c r="D244" s="56"/>
      <c r="E244" s="56"/>
      <c r="F244" s="63"/>
      <c r="G244" s="58"/>
      <c r="H244" s="58"/>
      <c r="I244" s="57"/>
      <c r="J244" s="57"/>
      <c r="K244" s="58"/>
      <c r="L244" s="64" t="str">
        <f aca="false">IF($A244="","",SUMIFS(Purchases!$E$5:INDEX(Purchases!$E$5:$E$3004,TxRows),Purchases!$D$5:INDEX(Purchases!$D$5:$D$3004,TxRows),$A244))</f>
        <v/>
      </c>
      <c r="M244" s="64" t="str">
        <f aca="false">IF($A244="","",SUMIFS(Sales!$E$5:INDEX(Sales!$E$5:$E$3004,TxRows),Sales!$D$5:INDEX(Sales!$D$5:$D$3004,TxRows),$A244))</f>
        <v/>
      </c>
      <c r="N244" s="64" t="str">
        <f aca="false">IF($A244="","",SUMIFS(Adjustments!$C$5:$C$504,Adjustments!$B$5:$B$504,$A244))</f>
        <v/>
      </c>
      <c r="O244" s="64" t="str">
        <f aca="false">IF($A244="","",N($J244)+L244-M244+N244)</f>
        <v/>
      </c>
      <c r="P244" s="61" t="str">
        <f aca="false">IF($A244="","",IFERROR((N($J244)*N($K244)+SUMIFS(Purchases!$K$5:INDEX(Purchases!$K$5:$K$3004,TxRows),Purchases!$D$5:INDEX(Purchases!$D$5:$D$3004,TxRows),$A244))/(N($J244)+L244),N($G244)))</f>
        <v/>
      </c>
      <c r="Q244" s="61" t="str">
        <f aca="false">IF($A244="","",MAX(0,O244)*P244)</f>
        <v/>
      </c>
      <c r="R244" s="60" t="str">
        <f aca="false">IF($A244="","",IF(O244&lt;0,"NEGATIVE",IF(O244=0,"OUT OF STOCK",IF(O244&lt;=N($I244),"REORDER",IF(AND(O244&gt;0,X244&gt;DeadDays),"DEAD STOCK","OK")))))</f>
        <v/>
      </c>
      <c r="S244" s="65" t="str">
        <f aca="false">IF($A244="","",IF(N($H244)=0,0,(N($H244)-P244)/N($H244)))</f>
        <v/>
      </c>
      <c r="T244" s="64" t="str">
        <f aca="false">IF($A244="","",IF(O244&lt;=N($I244),MAX(0,2*N($I244)-O244),0))</f>
        <v/>
      </c>
      <c r="U244" s="61" t="str">
        <f aca="false">IF($A244="","",SUMIFS(Sales!$L$5:INDEX(Sales!$L$5:$L$3004,TxRows),Sales!$D$5:INDEX(Sales!$D$5:$D$3004,TxRows),$A244))</f>
        <v/>
      </c>
      <c r="V244" s="61" t="str">
        <f aca="false">IF($A244="","",SUMIFS(Sales!$S$5:INDEX(Sales!$S$5:$S$3004,TxRows),Sales!$D$5:INDEX(Sales!$D$5:$D$3004,TxRows),$A244))</f>
        <v/>
      </c>
      <c r="W244" s="66" t="str">
        <f aca="false">IF($A244="","",IFERROR(SUMPRODUCT(MAX((Sales!$D$5:INDEX(Sales!$D$5:$D$3004,TxRows)=$A244)*Sales!$A$5:INDEX(Sales!$A$5:$A$3004,TxRows))),0))</f>
        <v/>
      </c>
      <c r="X244" s="67" t="str">
        <f aca="false">IF($A244="","",IF(W244=0,AsOf-FYStart,AsOf-W244))</f>
        <v/>
      </c>
      <c r="Y244" s="67" t="str">
        <f aca="false">IF($A244="","",IF(M244=0,"",O244/(M244/MAX(1,AsOf-FYStart))))</f>
        <v/>
      </c>
      <c r="Z244" s="60" t="str">
        <f aca="false">IF($A244="","",U244+ROW()/1000000)</f>
        <v/>
      </c>
    </row>
    <row r="245" customFormat="false" ht="15" hidden="false" customHeight="false" outlineLevel="0" collapsed="false">
      <c r="A245" s="56"/>
      <c r="B245" s="56"/>
      <c r="C245" s="56"/>
      <c r="D245" s="56"/>
      <c r="E245" s="56"/>
      <c r="F245" s="63"/>
      <c r="G245" s="58"/>
      <c r="H245" s="58"/>
      <c r="I245" s="57"/>
      <c r="J245" s="57"/>
      <c r="K245" s="58"/>
      <c r="L245" s="64" t="str">
        <f aca="false">IF($A245="","",SUMIFS(Purchases!$E$5:INDEX(Purchases!$E$5:$E$3004,TxRows),Purchases!$D$5:INDEX(Purchases!$D$5:$D$3004,TxRows),$A245))</f>
        <v/>
      </c>
      <c r="M245" s="64" t="str">
        <f aca="false">IF($A245="","",SUMIFS(Sales!$E$5:INDEX(Sales!$E$5:$E$3004,TxRows),Sales!$D$5:INDEX(Sales!$D$5:$D$3004,TxRows),$A245))</f>
        <v/>
      </c>
      <c r="N245" s="64" t="str">
        <f aca="false">IF($A245="","",SUMIFS(Adjustments!$C$5:$C$504,Adjustments!$B$5:$B$504,$A245))</f>
        <v/>
      </c>
      <c r="O245" s="64" t="str">
        <f aca="false">IF($A245="","",N($J245)+L245-M245+N245)</f>
        <v/>
      </c>
      <c r="P245" s="61" t="str">
        <f aca="false">IF($A245="","",IFERROR((N($J245)*N($K245)+SUMIFS(Purchases!$K$5:INDEX(Purchases!$K$5:$K$3004,TxRows),Purchases!$D$5:INDEX(Purchases!$D$5:$D$3004,TxRows),$A245))/(N($J245)+L245),N($G245)))</f>
        <v/>
      </c>
      <c r="Q245" s="61" t="str">
        <f aca="false">IF($A245="","",MAX(0,O245)*P245)</f>
        <v/>
      </c>
      <c r="R245" s="60" t="str">
        <f aca="false">IF($A245="","",IF(O245&lt;0,"NEGATIVE",IF(O245=0,"OUT OF STOCK",IF(O245&lt;=N($I245),"REORDER",IF(AND(O245&gt;0,X245&gt;DeadDays),"DEAD STOCK","OK")))))</f>
        <v/>
      </c>
      <c r="S245" s="65" t="str">
        <f aca="false">IF($A245="","",IF(N($H245)=0,0,(N($H245)-P245)/N($H245)))</f>
        <v/>
      </c>
      <c r="T245" s="64" t="str">
        <f aca="false">IF($A245="","",IF(O245&lt;=N($I245),MAX(0,2*N($I245)-O245),0))</f>
        <v/>
      </c>
      <c r="U245" s="61" t="str">
        <f aca="false">IF($A245="","",SUMIFS(Sales!$L$5:INDEX(Sales!$L$5:$L$3004,TxRows),Sales!$D$5:INDEX(Sales!$D$5:$D$3004,TxRows),$A245))</f>
        <v/>
      </c>
      <c r="V245" s="61" t="str">
        <f aca="false">IF($A245="","",SUMIFS(Sales!$S$5:INDEX(Sales!$S$5:$S$3004,TxRows),Sales!$D$5:INDEX(Sales!$D$5:$D$3004,TxRows),$A245))</f>
        <v/>
      </c>
      <c r="W245" s="66" t="str">
        <f aca="false">IF($A245="","",IFERROR(SUMPRODUCT(MAX((Sales!$D$5:INDEX(Sales!$D$5:$D$3004,TxRows)=$A245)*Sales!$A$5:INDEX(Sales!$A$5:$A$3004,TxRows))),0))</f>
        <v/>
      </c>
      <c r="X245" s="67" t="str">
        <f aca="false">IF($A245="","",IF(W245=0,AsOf-FYStart,AsOf-W245))</f>
        <v/>
      </c>
      <c r="Y245" s="67" t="str">
        <f aca="false">IF($A245="","",IF(M245=0,"",O245/(M245/MAX(1,AsOf-FYStart))))</f>
        <v/>
      </c>
      <c r="Z245" s="60" t="str">
        <f aca="false">IF($A245="","",U245+ROW()/1000000)</f>
        <v/>
      </c>
    </row>
    <row r="246" customFormat="false" ht="15" hidden="false" customHeight="false" outlineLevel="0" collapsed="false">
      <c r="A246" s="56"/>
      <c r="B246" s="56"/>
      <c r="C246" s="56"/>
      <c r="D246" s="56"/>
      <c r="E246" s="56"/>
      <c r="F246" s="63"/>
      <c r="G246" s="58"/>
      <c r="H246" s="58"/>
      <c r="I246" s="57"/>
      <c r="J246" s="57"/>
      <c r="K246" s="58"/>
      <c r="L246" s="64" t="str">
        <f aca="false">IF($A246="","",SUMIFS(Purchases!$E$5:INDEX(Purchases!$E$5:$E$3004,TxRows),Purchases!$D$5:INDEX(Purchases!$D$5:$D$3004,TxRows),$A246))</f>
        <v/>
      </c>
      <c r="M246" s="64" t="str">
        <f aca="false">IF($A246="","",SUMIFS(Sales!$E$5:INDEX(Sales!$E$5:$E$3004,TxRows),Sales!$D$5:INDEX(Sales!$D$5:$D$3004,TxRows),$A246))</f>
        <v/>
      </c>
      <c r="N246" s="64" t="str">
        <f aca="false">IF($A246="","",SUMIFS(Adjustments!$C$5:$C$504,Adjustments!$B$5:$B$504,$A246))</f>
        <v/>
      </c>
      <c r="O246" s="64" t="str">
        <f aca="false">IF($A246="","",N($J246)+L246-M246+N246)</f>
        <v/>
      </c>
      <c r="P246" s="61" t="str">
        <f aca="false">IF($A246="","",IFERROR((N($J246)*N($K246)+SUMIFS(Purchases!$K$5:INDEX(Purchases!$K$5:$K$3004,TxRows),Purchases!$D$5:INDEX(Purchases!$D$5:$D$3004,TxRows),$A246))/(N($J246)+L246),N($G246)))</f>
        <v/>
      </c>
      <c r="Q246" s="61" t="str">
        <f aca="false">IF($A246="","",MAX(0,O246)*P246)</f>
        <v/>
      </c>
      <c r="R246" s="60" t="str">
        <f aca="false">IF($A246="","",IF(O246&lt;0,"NEGATIVE",IF(O246=0,"OUT OF STOCK",IF(O246&lt;=N($I246),"REORDER",IF(AND(O246&gt;0,X246&gt;DeadDays),"DEAD STOCK","OK")))))</f>
        <v/>
      </c>
      <c r="S246" s="65" t="str">
        <f aca="false">IF($A246="","",IF(N($H246)=0,0,(N($H246)-P246)/N($H246)))</f>
        <v/>
      </c>
      <c r="T246" s="64" t="str">
        <f aca="false">IF($A246="","",IF(O246&lt;=N($I246),MAX(0,2*N($I246)-O246),0))</f>
        <v/>
      </c>
      <c r="U246" s="61" t="str">
        <f aca="false">IF($A246="","",SUMIFS(Sales!$L$5:INDEX(Sales!$L$5:$L$3004,TxRows),Sales!$D$5:INDEX(Sales!$D$5:$D$3004,TxRows),$A246))</f>
        <v/>
      </c>
      <c r="V246" s="61" t="str">
        <f aca="false">IF($A246="","",SUMIFS(Sales!$S$5:INDEX(Sales!$S$5:$S$3004,TxRows),Sales!$D$5:INDEX(Sales!$D$5:$D$3004,TxRows),$A246))</f>
        <v/>
      </c>
      <c r="W246" s="66" t="str">
        <f aca="false">IF($A246="","",IFERROR(SUMPRODUCT(MAX((Sales!$D$5:INDEX(Sales!$D$5:$D$3004,TxRows)=$A246)*Sales!$A$5:INDEX(Sales!$A$5:$A$3004,TxRows))),0))</f>
        <v/>
      </c>
      <c r="X246" s="67" t="str">
        <f aca="false">IF($A246="","",IF(W246=0,AsOf-FYStart,AsOf-W246))</f>
        <v/>
      </c>
      <c r="Y246" s="67" t="str">
        <f aca="false">IF($A246="","",IF(M246=0,"",O246/(M246/MAX(1,AsOf-FYStart))))</f>
        <v/>
      </c>
      <c r="Z246" s="60" t="str">
        <f aca="false">IF($A246="","",U246+ROW()/1000000)</f>
        <v/>
      </c>
    </row>
    <row r="247" customFormat="false" ht="15" hidden="false" customHeight="false" outlineLevel="0" collapsed="false">
      <c r="A247" s="56"/>
      <c r="B247" s="56"/>
      <c r="C247" s="56"/>
      <c r="D247" s="56"/>
      <c r="E247" s="56"/>
      <c r="F247" s="63"/>
      <c r="G247" s="58"/>
      <c r="H247" s="58"/>
      <c r="I247" s="57"/>
      <c r="J247" s="57"/>
      <c r="K247" s="58"/>
      <c r="L247" s="64" t="str">
        <f aca="false">IF($A247="","",SUMIFS(Purchases!$E$5:INDEX(Purchases!$E$5:$E$3004,TxRows),Purchases!$D$5:INDEX(Purchases!$D$5:$D$3004,TxRows),$A247))</f>
        <v/>
      </c>
      <c r="M247" s="64" t="str">
        <f aca="false">IF($A247="","",SUMIFS(Sales!$E$5:INDEX(Sales!$E$5:$E$3004,TxRows),Sales!$D$5:INDEX(Sales!$D$5:$D$3004,TxRows),$A247))</f>
        <v/>
      </c>
      <c r="N247" s="64" t="str">
        <f aca="false">IF($A247="","",SUMIFS(Adjustments!$C$5:$C$504,Adjustments!$B$5:$B$504,$A247))</f>
        <v/>
      </c>
      <c r="O247" s="64" t="str">
        <f aca="false">IF($A247="","",N($J247)+L247-M247+N247)</f>
        <v/>
      </c>
      <c r="P247" s="61" t="str">
        <f aca="false">IF($A247="","",IFERROR((N($J247)*N($K247)+SUMIFS(Purchases!$K$5:INDEX(Purchases!$K$5:$K$3004,TxRows),Purchases!$D$5:INDEX(Purchases!$D$5:$D$3004,TxRows),$A247))/(N($J247)+L247),N($G247)))</f>
        <v/>
      </c>
      <c r="Q247" s="61" t="str">
        <f aca="false">IF($A247="","",MAX(0,O247)*P247)</f>
        <v/>
      </c>
      <c r="R247" s="60" t="str">
        <f aca="false">IF($A247="","",IF(O247&lt;0,"NEGATIVE",IF(O247=0,"OUT OF STOCK",IF(O247&lt;=N($I247),"REORDER",IF(AND(O247&gt;0,X247&gt;DeadDays),"DEAD STOCK","OK")))))</f>
        <v/>
      </c>
      <c r="S247" s="65" t="str">
        <f aca="false">IF($A247="","",IF(N($H247)=0,0,(N($H247)-P247)/N($H247)))</f>
        <v/>
      </c>
      <c r="T247" s="64" t="str">
        <f aca="false">IF($A247="","",IF(O247&lt;=N($I247),MAX(0,2*N($I247)-O247),0))</f>
        <v/>
      </c>
      <c r="U247" s="61" t="str">
        <f aca="false">IF($A247="","",SUMIFS(Sales!$L$5:INDEX(Sales!$L$5:$L$3004,TxRows),Sales!$D$5:INDEX(Sales!$D$5:$D$3004,TxRows),$A247))</f>
        <v/>
      </c>
      <c r="V247" s="61" t="str">
        <f aca="false">IF($A247="","",SUMIFS(Sales!$S$5:INDEX(Sales!$S$5:$S$3004,TxRows),Sales!$D$5:INDEX(Sales!$D$5:$D$3004,TxRows),$A247))</f>
        <v/>
      </c>
      <c r="W247" s="66" t="str">
        <f aca="false">IF($A247="","",IFERROR(SUMPRODUCT(MAX((Sales!$D$5:INDEX(Sales!$D$5:$D$3004,TxRows)=$A247)*Sales!$A$5:INDEX(Sales!$A$5:$A$3004,TxRows))),0))</f>
        <v/>
      </c>
      <c r="X247" s="67" t="str">
        <f aca="false">IF($A247="","",IF(W247=0,AsOf-FYStart,AsOf-W247))</f>
        <v/>
      </c>
      <c r="Y247" s="67" t="str">
        <f aca="false">IF($A247="","",IF(M247=0,"",O247/(M247/MAX(1,AsOf-FYStart))))</f>
        <v/>
      </c>
      <c r="Z247" s="60" t="str">
        <f aca="false">IF($A247="","",U247+ROW()/1000000)</f>
        <v/>
      </c>
    </row>
    <row r="248" customFormat="false" ht="15" hidden="false" customHeight="false" outlineLevel="0" collapsed="false">
      <c r="A248" s="56"/>
      <c r="B248" s="56"/>
      <c r="C248" s="56"/>
      <c r="D248" s="56"/>
      <c r="E248" s="56"/>
      <c r="F248" s="63"/>
      <c r="G248" s="58"/>
      <c r="H248" s="58"/>
      <c r="I248" s="57"/>
      <c r="J248" s="57"/>
      <c r="K248" s="58"/>
      <c r="L248" s="64" t="str">
        <f aca="false">IF($A248="","",SUMIFS(Purchases!$E$5:INDEX(Purchases!$E$5:$E$3004,TxRows),Purchases!$D$5:INDEX(Purchases!$D$5:$D$3004,TxRows),$A248))</f>
        <v/>
      </c>
      <c r="M248" s="64" t="str">
        <f aca="false">IF($A248="","",SUMIFS(Sales!$E$5:INDEX(Sales!$E$5:$E$3004,TxRows),Sales!$D$5:INDEX(Sales!$D$5:$D$3004,TxRows),$A248))</f>
        <v/>
      </c>
      <c r="N248" s="64" t="str">
        <f aca="false">IF($A248="","",SUMIFS(Adjustments!$C$5:$C$504,Adjustments!$B$5:$B$504,$A248))</f>
        <v/>
      </c>
      <c r="O248" s="64" t="str">
        <f aca="false">IF($A248="","",N($J248)+L248-M248+N248)</f>
        <v/>
      </c>
      <c r="P248" s="61" t="str">
        <f aca="false">IF($A248="","",IFERROR((N($J248)*N($K248)+SUMIFS(Purchases!$K$5:INDEX(Purchases!$K$5:$K$3004,TxRows),Purchases!$D$5:INDEX(Purchases!$D$5:$D$3004,TxRows),$A248))/(N($J248)+L248),N($G248)))</f>
        <v/>
      </c>
      <c r="Q248" s="61" t="str">
        <f aca="false">IF($A248="","",MAX(0,O248)*P248)</f>
        <v/>
      </c>
      <c r="R248" s="60" t="str">
        <f aca="false">IF($A248="","",IF(O248&lt;0,"NEGATIVE",IF(O248=0,"OUT OF STOCK",IF(O248&lt;=N($I248),"REORDER",IF(AND(O248&gt;0,X248&gt;DeadDays),"DEAD STOCK","OK")))))</f>
        <v/>
      </c>
      <c r="S248" s="65" t="str">
        <f aca="false">IF($A248="","",IF(N($H248)=0,0,(N($H248)-P248)/N($H248)))</f>
        <v/>
      </c>
      <c r="T248" s="64" t="str">
        <f aca="false">IF($A248="","",IF(O248&lt;=N($I248),MAX(0,2*N($I248)-O248),0))</f>
        <v/>
      </c>
      <c r="U248" s="61" t="str">
        <f aca="false">IF($A248="","",SUMIFS(Sales!$L$5:INDEX(Sales!$L$5:$L$3004,TxRows),Sales!$D$5:INDEX(Sales!$D$5:$D$3004,TxRows),$A248))</f>
        <v/>
      </c>
      <c r="V248" s="61" t="str">
        <f aca="false">IF($A248="","",SUMIFS(Sales!$S$5:INDEX(Sales!$S$5:$S$3004,TxRows),Sales!$D$5:INDEX(Sales!$D$5:$D$3004,TxRows),$A248))</f>
        <v/>
      </c>
      <c r="W248" s="66" t="str">
        <f aca="false">IF($A248="","",IFERROR(SUMPRODUCT(MAX((Sales!$D$5:INDEX(Sales!$D$5:$D$3004,TxRows)=$A248)*Sales!$A$5:INDEX(Sales!$A$5:$A$3004,TxRows))),0))</f>
        <v/>
      </c>
      <c r="X248" s="67" t="str">
        <f aca="false">IF($A248="","",IF(W248=0,AsOf-FYStart,AsOf-W248))</f>
        <v/>
      </c>
      <c r="Y248" s="67" t="str">
        <f aca="false">IF($A248="","",IF(M248=0,"",O248/(M248/MAX(1,AsOf-FYStart))))</f>
        <v/>
      </c>
      <c r="Z248" s="60" t="str">
        <f aca="false">IF($A248="","",U248+ROW()/1000000)</f>
        <v/>
      </c>
    </row>
    <row r="249" customFormat="false" ht="15" hidden="false" customHeight="false" outlineLevel="0" collapsed="false">
      <c r="A249" s="56"/>
      <c r="B249" s="56"/>
      <c r="C249" s="56"/>
      <c r="D249" s="56"/>
      <c r="E249" s="56"/>
      <c r="F249" s="63"/>
      <c r="G249" s="58"/>
      <c r="H249" s="58"/>
      <c r="I249" s="57"/>
      <c r="J249" s="57"/>
      <c r="K249" s="58"/>
      <c r="L249" s="64" t="str">
        <f aca="false">IF($A249="","",SUMIFS(Purchases!$E$5:INDEX(Purchases!$E$5:$E$3004,TxRows),Purchases!$D$5:INDEX(Purchases!$D$5:$D$3004,TxRows),$A249))</f>
        <v/>
      </c>
      <c r="M249" s="64" t="str">
        <f aca="false">IF($A249="","",SUMIFS(Sales!$E$5:INDEX(Sales!$E$5:$E$3004,TxRows),Sales!$D$5:INDEX(Sales!$D$5:$D$3004,TxRows),$A249))</f>
        <v/>
      </c>
      <c r="N249" s="64" t="str">
        <f aca="false">IF($A249="","",SUMIFS(Adjustments!$C$5:$C$504,Adjustments!$B$5:$B$504,$A249))</f>
        <v/>
      </c>
      <c r="O249" s="64" t="str">
        <f aca="false">IF($A249="","",N($J249)+L249-M249+N249)</f>
        <v/>
      </c>
      <c r="P249" s="61" t="str">
        <f aca="false">IF($A249="","",IFERROR((N($J249)*N($K249)+SUMIFS(Purchases!$K$5:INDEX(Purchases!$K$5:$K$3004,TxRows),Purchases!$D$5:INDEX(Purchases!$D$5:$D$3004,TxRows),$A249))/(N($J249)+L249),N($G249)))</f>
        <v/>
      </c>
      <c r="Q249" s="61" t="str">
        <f aca="false">IF($A249="","",MAX(0,O249)*P249)</f>
        <v/>
      </c>
      <c r="R249" s="60" t="str">
        <f aca="false">IF($A249="","",IF(O249&lt;0,"NEGATIVE",IF(O249=0,"OUT OF STOCK",IF(O249&lt;=N($I249),"REORDER",IF(AND(O249&gt;0,X249&gt;DeadDays),"DEAD STOCK","OK")))))</f>
        <v/>
      </c>
      <c r="S249" s="65" t="str">
        <f aca="false">IF($A249="","",IF(N($H249)=0,0,(N($H249)-P249)/N($H249)))</f>
        <v/>
      </c>
      <c r="T249" s="64" t="str">
        <f aca="false">IF($A249="","",IF(O249&lt;=N($I249),MAX(0,2*N($I249)-O249),0))</f>
        <v/>
      </c>
      <c r="U249" s="61" t="str">
        <f aca="false">IF($A249="","",SUMIFS(Sales!$L$5:INDEX(Sales!$L$5:$L$3004,TxRows),Sales!$D$5:INDEX(Sales!$D$5:$D$3004,TxRows),$A249))</f>
        <v/>
      </c>
      <c r="V249" s="61" t="str">
        <f aca="false">IF($A249="","",SUMIFS(Sales!$S$5:INDEX(Sales!$S$5:$S$3004,TxRows),Sales!$D$5:INDEX(Sales!$D$5:$D$3004,TxRows),$A249))</f>
        <v/>
      </c>
      <c r="W249" s="66" t="str">
        <f aca="false">IF($A249="","",IFERROR(SUMPRODUCT(MAX((Sales!$D$5:INDEX(Sales!$D$5:$D$3004,TxRows)=$A249)*Sales!$A$5:INDEX(Sales!$A$5:$A$3004,TxRows))),0))</f>
        <v/>
      </c>
      <c r="X249" s="67" t="str">
        <f aca="false">IF($A249="","",IF(W249=0,AsOf-FYStart,AsOf-W249))</f>
        <v/>
      </c>
      <c r="Y249" s="67" t="str">
        <f aca="false">IF($A249="","",IF(M249=0,"",O249/(M249/MAX(1,AsOf-FYStart))))</f>
        <v/>
      </c>
      <c r="Z249" s="60" t="str">
        <f aca="false">IF($A249="","",U249+ROW()/1000000)</f>
        <v/>
      </c>
    </row>
    <row r="250" customFormat="false" ht="15" hidden="false" customHeight="false" outlineLevel="0" collapsed="false">
      <c r="A250" s="56"/>
      <c r="B250" s="56"/>
      <c r="C250" s="56"/>
      <c r="D250" s="56"/>
      <c r="E250" s="56"/>
      <c r="F250" s="63"/>
      <c r="G250" s="58"/>
      <c r="H250" s="58"/>
      <c r="I250" s="57"/>
      <c r="J250" s="57"/>
      <c r="K250" s="58"/>
      <c r="L250" s="64" t="str">
        <f aca="false">IF($A250="","",SUMIFS(Purchases!$E$5:INDEX(Purchases!$E$5:$E$3004,TxRows),Purchases!$D$5:INDEX(Purchases!$D$5:$D$3004,TxRows),$A250))</f>
        <v/>
      </c>
      <c r="M250" s="64" t="str">
        <f aca="false">IF($A250="","",SUMIFS(Sales!$E$5:INDEX(Sales!$E$5:$E$3004,TxRows),Sales!$D$5:INDEX(Sales!$D$5:$D$3004,TxRows),$A250))</f>
        <v/>
      </c>
      <c r="N250" s="64" t="str">
        <f aca="false">IF($A250="","",SUMIFS(Adjustments!$C$5:$C$504,Adjustments!$B$5:$B$504,$A250))</f>
        <v/>
      </c>
      <c r="O250" s="64" t="str">
        <f aca="false">IF($A250="","",N($J250)+L250-M250+N250)</f>
        <v/>
      </c>
      <c r="P250" s="61" t="str">
        <f aca="false">IF($A250="","",IFERROR((N($J250)*N($K250)+SUMIFS(Purchases!$K$5:INDEX(Purchases!$K$5:$K$3004,TxRows),Purchases!$D$5:INDEX(Purchases!$D$5:$D$3004,TxRows),$A250))/(N($J250)+L250),N($G250)))</f>
        <v/>
      </c>
      <c r="Q250" s="61" t="str">
        <f aca="false">IF($A250="","",MAX(0,O250)*P250)</f>
        <v/>
      </c>
      <c r="R250" s="60" t="str">
        <f aca="false">IF($A250="","",IF(O250&lt;0,"NEGATIVE",IF(O250=0,"OUT OF STOCK",IF(O250&lt;=N($I250),"REORDER",IF(AND(O250&gt;0,X250&gt;DeadDays),"DEAD STOCK","OK")))))</f>
        <v/>
      </c>
      <c r="S250" s="65" t="str">
        <f aca="false">IF($A250="","",IF(N($H250)=0,0,(N($H250)-P250)/N($H250)))</f>
        <v/>
      </c>
      <c r="T250" s="64" t="str">
        <f aca="false">IF($A250="","",IF(O250&lt;=N($I250),MAX(0,2*N($I250)-O250),0))</f>
        <v/>
      </c>
      <c r="U250" s="61" t="str">
        <f aca="false">IF($A250="","",SUMIFS(Sales!$L$5:INDEX(Sales!$L$5:$L$3004,TxRows),Sales!$D$5:INDEX(Sales!$D$5:$D$3004,TxRows),$A250))</f>
        <v/>
      </c>
      <c r="V250" s="61" t="str">
        <f aca="false">IF($A250="","",SUMIFS(Sales!$S$5:INDEX(Sales!$S$5:$S$3004,TxRows),Sales!$D$5:INDEX(Sales!$D$5:$D$3004,TxRows),$A250))</f>
        <v/>
      </c>
      <c r="W250" s="66" t="str">
        <f aca="false">IF($A250="","",IFERROR(SUMPRODUCT(MAX((Sales!$D$5:INDEX(Sales!$D$5:$D$3004,TxRows)=$A250)*Sales!$A$5:INDEX(Sales!$A$5:$A$3004,TxRows))),0))</f>
        <v/>
      </c>
      <c r="X250" s="67" t="str">
        <f aca="false">IF($A250="","",IF(W250=0,AsOf-FYStart,AsOf-W250))</f>
        <v/>
      </c>
      <c r="Y250" s="67" t="str">
        <f aca="false">IF($A250="","",IF(M250=0,"",O250/(M250/MAX(1,AsOf-FYStart))))</f>
        <v/>
      </c>
      <c r="Z250" s="60" t="str">
        <f aca="false">IF($A250="","",U250+ROW()/1000000)</f>
        <v/>
      </c>
    </row>
    <row r="251" customFormat="false" ht="15" hidden="false" customHeight="false" outlineLevel="0" collapsed="false">
      <c r="A251" s="56"/>
      <c r="B251" s="56"/>
      <c r="C251" s="56"/>
      <c r="D251" s="56"/>
      <c r="E251" s="56"/>
      <c r="F251" s="63"/>
      <c r="G251" s="58"/>
      <c r="H251" s="58"/>
      <c r="I251" s="57"/>
      <c r="J251" s="57"/>
      <c r="K251" s="58"/>
      <c r="L251" s="64" t="str">
        <f aca="false">IF($A251="","",SUMIFS(Purchases!$E$5:INDEX(Purchases!$E$5:$E$3004,TxRows),Purchases!$D$5:INDEX(Purchases!$D$5:$D$3004,TxRows),$A251))</f>
        <v/>
      </c>
      <c r="M251" s="64" t="str">
        <f aca="false">IF($A251="","",SUMIFS(Sales!$E$5:INDEX(Sales!$E$5:$E$3004,TxRows),Sales!$D$5:INDEX(Sales!$D$5:$D$3004,TxRows),$A251))</f>
        <v/>
      </c>
      <c r="N251" s="64" t="str">
        <f aca="false">IF($A251="","",SUMIFS(Adjustments!$C$5:$C$504,Adjustments!$B$5:$B$504,$A251))</f>
        <v/>
      </c>
      <c r="O251" s="64" t="str">
        <f aca="false">IF($A251="","",N($J251)+L251-M251+N251)</f>
        <v/>
      </c>
      <c r="P251" s="61" t="str">
        <f aca="false">IF($A251="","",IFERROR((N($J251)*N($K251)+SUMIFS(Purchases!$K$5:INDEX(Purchases!$K$5:$K$3004,TxRows),Purchases!$D$5:INDEX(Purchases!$D$5:$D$3004,TxRows),$A251))/(N($J251)+L251),N($G251)))</f>
        <v/>
      </c>
      <c r="Q251" s="61" t="str">
        <f aca="false">IF($A251="","",MAX(0,O251)*P251)</f>
        <v/>
      </c>
      <c r="R251" s="60" t="str">
        <f aca="false">IF($A251="","",IF(O251&lt;0,"NEGATIVE",IF(O251=0,"OUT OF STOCK",IF(O251&lt;=N($I251),"REORDER",IF(AND(O251&gt;0,X251&gt;DeadDays),"DEAD STOCK","OK")))))</f>
        <v/>
      </c>
      <c r="S251" s="65" t="str">
        <f aca="false">IF($A251="","",IF(N($H251)=0,0,(N($H251)-P251)/N($H251)))</f>
        <v/>
      </c>
      <c r="T251" s="64" t="str">
        <f aca="false">IF($A251="","",IF(O251&lt;=N($I251),MAX(0,2*N($I251)-O251),0))</f>
        <v/>
      </c>
      <c r="U251" s="61" t="str">
        <f aca="false">IF($A251="","",SUMIFS(Sales!$L$5:INDEX(Sales!$L$5:$L$3004,TxRows),Sales!$D$5:INDEX(Sales!$D$5:$D$3004,TxRows),$A251))</f>
        <v/>
      </c>
      <c r="V251" s="61" t="str">
        <f aca="false">IF($A251="","",SUMIFS(Sales!$S$5:INDEX(Sales!$S$5:$S$3004,TxRows),Sales!$D$5:INDEX(Sales!$D$5:$D$3004,TxRows),$A251))</f>
        <v/>
      </c>
      <c r="W251" s="66" t="str">
        <f aca="false">IF($A251="","",IFERROR(SUMPRODUCT(MAX((Sales!$D$5:INDEX(Sales!$D$5:$D$3004,TxRows)=$A251)*Sales!$A$5:INDEX(Sales!$A$5:$A$3004,TxRows))),0))</f>
        <v/>
      </c>
      <c r="X251" s="67" t="str">
        <f aca="false">IF($A251="","",IF(W251=0,AsOf-FYStart,AsOf-W251))</f>
        <v/>
      </c>
      <c r="Y251" s="67" t="str">
        <f aca="false">IF($A251="","",IF(M251=0,"",O251/(M251/MAX(1,AsOf-FYStart))))</f>
        <v/>
      </c>
      <c r="Z251" s="60" t="str">
        <f aca="false">IF($A251="","",U251+ROW()/1000000)</f>
        <v/>
      </c>
    </row>
    <row r="252" customFormat="false" ht="15" hidden="false" customHeight="false" outlineLevel="0" collapsed="false">
      <c r="A252" s="56"/>
      <c r="B252" s="56"/>
      <c r="C252" s="56"/>
      <c r="D252" s="56"/>
      <c r="E252" s="56"/>
      <c r="F252" s="63"/>
      <c r="G252" s="58"/>
      <c r="H252" s="58"/>
      <c r="I252" s="57"/>
      <c r="J252" s="57"/>
      <c r="K252" s="58"/>
      <c r="L252" s="64" t="str">
        <f aca="false">IF($A252="","",SUMIFS(Purchases!$E$5:INDEX(Purchases!$E$5:$E$3004,TxRows),Purchases!$D$5:INDEX(Purchases!$D$5:$D$3004,TxRows),$A252))</f>
        <v/>
      </c>
      <c r="M252" s="64" t="str">
        <f aca="false">IF($A252="","",SUMIFS(Sales!$E$5:INDEX(Sales!$E$5:$E$3004,TxRows),Sales!$D$5:INDEX(Sales!$D$5:$D$3004,TxRows),$A252))</f>
        <v/>
      </c>
      <c r="N252" s="64" t="str">
        <f aca="false">IF($A252="","",SUMIFS(Adjustments!$C$5:$C$504,Adjustments!$B$5:$B$504,$A252))</f>
        <v/>
      </c>
      <c r="O252" s="64" t="str">
        <f aca="false">IF($A252="","",N($J252)+L252-M252+N252)</f>
        <v/>
      </c>
      <c r="P252" s="61" t="str">
        <f aca="false">IF($A252="","",IFERROR((N($J252)*N($K252)+SUMIFS(Purchases!$K$5:INDEX(Purchases!$K$5:$K$3004,TxRows),Purchases!$D$5:INDEX(Purchases!$D$5:$D$3004,TxRows),$A252))/(N($J252)+L252),N($G252)))</f>
        <v/>
      </c>
      <c r="Q252" s="61" t="str">
        <f aca="false">IF($A252="","",MAX(0,O252)*P252)</f>
        <v/>
      </c>
      <c r="R252" s="60" t="str">
        <f aca="false">IF($A252="","",IF(O252&lt;0,"NEGATIVE",IF(O252=0,"OUT OF STOCK",IF(O252&lt;=N($I252),"REORDER",IF(AND(O252&gt;0,X252&gt;DeadDays),"DEAD STOCK","OK")))))</f>
        <v/>
      </c>
      <c r="S252" s="65" t="str">
        <f aca="false">IF($A252="","",IF(N($H252)=0,0,(N($H252)-P252)/N($H252)))</f>
        <v/>
      </c>
      <c r="T252" s="64" t="str">
        <f aca="false">IF($A252="","",IF(O252&lt;=N($I252),MAX(0,2*N($I252)-O252),0))</f>
        <v/>
      </c>
      <c r="U252" s="61" t="str">
        <f aca="false">IF($A252="","",SUMIFS(Sales!$L$5:INDEX(Sales!$L$5:$L$3004,TxRows),Sales!$D$5:INDEX(Sales!$D$5:$D$3004,TxRows),$A252))</f>
        <v/>
      </c>
      <c r="V252" s="61" t="str">
        <f aca="false">IF($A252="","",SUMIFS(Sales!$S$5:INDEX(Sales!$S$5:$S$3004,TxRows),Sales!$D$5:INDEX(Sales!$D$5:$D$3004,TxRows),$A252))</f>
        <v/>
      </c>
      <c r="W252" s="66" t="str">
        <f aca="false">IF($A252="","",IFERROR(SUMPRODUCT(MAX((Sales!$D$5:INDEX(Sales!$D$5:$D$3004,TxRows)=$A252)*Sales!$A$5:INDEX(Sales!$A$5:$A$3004,TxRows))),0))</f>
        <v/>
      </c>
      <c r="X252" s="67" t="str">
        <f aca="false">IF($A252="","",IF(W252=0,AsOf-FYStart,AsOf-W252))</f>
        <v/>
      </c>
      <c r="Y252" s="67" t="str">
        <f aca="false">IF($A252="","",IF(M252=0,"",O252/(M252/MAX(1,AsOf-FYStart))))</f>
        <v/>
      </c>
      <c r="Z252" s="60" t="str">
        <f aca="false">IF($A252="","",U252+ROW()/1000000)</f>
        <v/>
      </c>
    </row>
    <row r="253" customFormat="false" ht="15" hidden="false" customHeight="false" outlineLevel="0" collapsed="false">
      <c r="A253" s="56"/>
      <c r="B253" s="56"/>
      <c r="C253" s="56"/>
      <c r="D253" s="56"/>
      <c r="E253" s="56"/>
      <c r="F253" s="63"/>
      <c r="G253" s="58"/>
      <c r="H253" s="58"/>
      <c r="I253" s="57"/>
      <c r="J253" s="57"/>
      <c r="K253" s="58"/>
      <c r="L253" s="64" t="str">
        <f aca="false">IF($A253="","",SUMIFS(Purchases!$E$5:INDEX(Purchases!$E$5:$E$3004,TxRows),Purchases!$D$5:INDEX(Purchases!$D$5:$D$3004,TxRows),$A253))</f>
        <v/>
      </c>
      <c r="M253" s="64" t="str">
        <f aca="false">IF($A253="","",SUMIFS(Sales!$E$5:INDEX(Sales!$E$5:$E$3004,TxRows),Sales!$D$5:INDEX(Sales!$D$5:$D$3004,TxRows),$A253))</f>
        <v/>
      </c>
      <c r="N253" s="64" t="str">
        <f aca="false">IF($A253="","",SUMIFS(Adjustments!$C$5:$C$504,Adjustments!$B$5:$B$504,$A253))</f>
        <v/>
      </c>
      <c r="O253" s="64" t="str">
        <f aca="false">IF($A253="","",N($J253)+L253-M253+N253)</f>
        <v/>
      </c>
      <c r="P253" s="61" t="str">
        <f aca="false">IF($A253="","",IFERROR((N($J253)*N($K253)+SUMIFS(Purchases!$K$5:INDEX(Purchases!$K$5:$K$3004,TxRows),Purchases!$D$5:INDEX(Purchases!$D$5:$D$3004,TxRows),$A253))/(N($J253)+L253),N($G253)))</f>
        <v/>
      </c>
      <c r="Q253" s="61" t="str">
        <f aca="false">IF($A253="","",MAX(0,O253)*P253)</f>
        <v/>
      </c>
      <c r="R253" s="60" t="str">
        <f aca="false">IF($A253="","",IF(O253&lt;0,"NEGATIVE",IF(O253=0,"OUT OF STOCK",IF(O253&lt;=N($I253),"REORDER",IF(AND(O253&gt;0,X253&gt;DeadDays),"DEAD STOCK","OK")))))</f>
        <v/>
      </c>
      <c r="S253" s="65" t="str">
        <f aca="false">IF($A253="","",IF(N($H253)=0,0,(N($H253)-P253)/N($H253)))</f>
        <v/>
      </c>
      <c r="T253" s="64" t="str">
        <f aca="false">IF($A253="","",IF(O253&lt;=N($I253),MAX(0,2*N($I253)-O253),0))</f>
        <v/>
      </c>
      <c r="U253" s="61" t="str">
        <f aca="false">IF($A253="","",SUMIFS(Sales!$L$5:INDEX(Sales!$L$5:$L$3004,TxRows),Sales!$D$5:INDEX(Sales!$D$5:$D$3004,TxRows),$A253))</f>
        <v/>
      </c>
      <c r="V253" s="61" t="str">
        <f aca="false">IF($A253="","",SUMIFS(Sales!$S$5:INDEX(Sales!$S$5:$S$3004,TxRows),Sales!$D$5:INDEX(Sales!$D$5:$D$3004,TxRows),$A253))</f>
        <v/>
      </c>
      <c r="W253" s="66" t="str">
        <f aca="false">IF($A253="","",IFERROR(SUMPRODUCT(MAX((Sales!$D$5:INDEX(Sales!$D$5:$D$3004,TxRows)=$A253)*Sales!$A$5:INDEX(Sales!$A$5:$A$3004,TxRows))),0))</f>
        <v/>
      </c>
      <c r="X253" s="67" t="str">
        <f aca="false">IF($A253="","",IF(W253=0,AsOf-FYStart,AsOf-W253))</f>
        <v/>
      </c>
      <c r="Y253" s="67" t="str">
        <f aca="false">IF($A253="","",IF(M253=0,"",O253/(M253/MAX(1,AsOf-FYStart))))</f>
        <v/>
      </c>
      <c r="Z253" s="60" t="str">
        <f aca="false">IF($A253="","",U253+ROW()/1000000)</f>
        <v/>
      </c>
    </row>
    <row r="254" customFormat="false" ht="15" hidden="false" customHeight="false" outlineLevel="0" collapsed="false">
      <c r="A254" s="56"/>
      <c r="B254" s="56"/>
      <c r="C254" s="56"/>
      <c r="D254" s="56"/>
      <c r="E254" s="56"/>
      <c r="F254" s="63"/>
      <c r="G254" s="58"/>
      <c r="H254" s="58"/>
      <c r="I254" s="57"/>
      <c r="J254" s="57"/>
      <c r="K254" s="58"/>
      <c r="L254" s="64" t="str">
        <f aca="false">IF($A254="","",SUMIFS(Purchases!$E$5:INDEX(Purchases!$E$5:$E$3004,TxRows),Purchases!$D$5:INDEX(Purchases!$D$5:$D$3004,TxRows),$A254))</f>
        <v/>
      </c>
      <c r="M254" s="64" t="str">
        <f aca="false">IF($A254="","",SUMIFS(Sales!$E$5:INDEX(Sales!$E$5:$E$3004,TxRows),Sales!$D$5:INDEX(Sales!$D$5:$D$3004,TxRows),$A254))</f>
        <v/>
      </c>
      <c r="N254" s="64" t="str">
        <f aca="false">IF($A254="","",SUMIFS(Adjustments!$C$5:$C$504,Adjustments!$B$5:$B$504,$A254))</f>
        <v/>
      </c>
      <c r="O254" s="64" t="str">
        <f aca="false">IF($A254="","",N($J254)+L254-M254+N254)</f>
        <v/>
      </c>
      <c r="P254" s="61" t="str">
        <f aca="false">IF($A254="","",IFERROR((N($J254)*N($K254)+SUMIFS(Purchases!$K$5:INDEX(Purchases!$K$5:$K$3004,TxRows),Purchases!$D$5:INDEX(Purchases!$D$5:$D$3004,TxRows),$A254))/(N($J254)+L254),N($G254)))</f>
        <v/>
      </c>
      <c r="Q254" s="61" t="str">
        <f aca="false">IF($A254="","",MAX(0,O254)*P254)</f>
        <v/>
      </c>
      <c r="R254" s="60" t="str">
        <f aca="false">IF($A254="","",IF(O254&lt;0,"NEGATIVE",IF(O254=0,"OUT OF STOCK",IF(O254&lt;=N($I254),"REORDER",IF(AND(O254&gt;0,X254&gt;DeadDays),"DEAD STOCK","OK")))))</f>
        <v/>
      </c>
      <c r="S254" s="65" t="str">
        <f aca="false">IF($A254="","",IF(N($H254)=0,0,(N($H254)-P254)/N($H254)))</f>
        <v/>
      </c>
      <c r="T254" s="64" t="str">
        <f aca="false">IF($A254="","",IF(O254&lt;=N($I254),MAX(0,2*N($I254)-O254),0))</f>
        <v/>
      </c>
      <c r="U254" s="61" t="str">
        <f aca="false">IF($A254="","",SUMIFS(Sales!$L$5:INDEX(Sales!$L$5:$L$3004,TxRows),Sales!$D$5:INDEX(Sales!$D$5:$D$3004,TxRows),$A254))</f>
        <v/>
      </c>
      <c r="V254" s="61" t="str">
        <f aca="false">IF($A254="","",SUMIFS(Sales!$S$5:INDEX(Sales!$S$5:$S$3004,TxRows),Sales!$D$5:INDEX(Sales!$D$5:$D$3004,TxRows),$A254))</f>
        <v/>
      </c>
      <c r="W254" s="66" t="str">
        <f aca="false">IF($A254="","",IFERROR(SUMPRODUCT(MAX((Sales!$D$5:INDEX(Sales!$D$5:$D$3004,TxRows)=$A254)*Sales!$A$5:INDEX(Sales!$A$5:$A$3004,TxRows))),0))</f>
        <v/>
      </c>
      <c r="X254" s="67" t="str">
        <f aca="false">IF($A254="","",IF(W254=0,AsOf-FYStart,AsOf-W254))</f>
        <v/>
      </c>
      <c r="Y254" s="67" t="str">
        <f aca="false">IF($A254="","",IF(M254=0,"",O254/(M254/MAX(1,AsOf-FYStart))))</f>
        <v/>
      </c>
      <c r="Z254" s="60" t="str">
        <f aca="false">IF($A254="","",U254+ROW()/1000000)</f>
        <v/>
      </c>
    </row>
    <row r="255" customFormat="false" ht="15" hidden="false" customHeight="false" outlineLevel="0" collapsed="false">
      <c r="A255" s="56"/>
      <c r="B255" s="56"/>
      <c r="C255" s="56"/>
      <c r="D255" s="56"/>
      <c r="E255" s="56"/>
      <c r="F255" s="63"/>
      <c r="G255" s="58"/>
      <c r="H255" s="58"/>
      <c r="I255" s="57"/>
      <c r="J255" s="57"/>
      <c r="K255" s="58"/>
      <c r="L255" s="64" t="str">
        <f aca="false">IF($A255="","",SUMIFS(Purchases!$E$5:INDEX(Purchases!$E$5:$E$3004,TxRows),Purchases!$D$5:INDEX(Purchases!$D$5:$D$3004,TxRows),$A255))</f>
        <v/>
      </c>
      <c r="M255" s="64" t="str">
        <f aca="false">IF($A255="","",SUMIFS(Sales!$E$5:INDEX(Sales!$E$5:$E$3004,TxRows),Sales!$D$5:INDEX(Sales!$D$5:$D$3004,TxRows),$A255))</f>
        <v/>
      </c>
      <c r="N255" s="64" t="str">
        <f aca="false">IF($A255="","",SUMIFS(Adjustments!$C$5:$C$504,Adjustments!$B$5:$B$504,$A255))</f>
        <v/>
      </c>
      <c r="O255" s="64" t="str">
        <f aca="false">IF($A255="","",N($J255)+L255-M255+N255)</f>
        <v/>
      </c>
      <c r="P255" s="61" t="str">
        <f aca="false">IF($A255="","",IFERROR((N($J255)*N($K255)+SUMIFS(Purchases!$K$5:INDEX(Purchases!$K$5:$K$3004,TxRows),Purchases!$D$5:INDEX(Purchases!$D$5:$D$3004,TxRows),$A255))/(N($J255)+L255),N($G255)))</f>
        <v/>
      </c>
      <c r="Q255" s="61" t="str">
        <f aca="false">IF($A255="","",MAX(0,O255)*P255)</f>
        <v/>
      </c>
      <c r="R255" s="60" t="str">
        <f aca="false">IF($A255="","",IF(O255&lt;0,"NEGATIVE",IF(O255=0,"OUT OF STOCK",IF(O255&lt;=N($I255),"REORDER",IF(AND(O255&gt;0,X255&gt;DeadDays),"DEAD STOCK","OK")))))</f>
        <v/>
      </c>
      <c r="S255" s="65" t="str">
        <f aca="false">IF($A255="","",IF(N($H255)=0,0,(N($H255)-P255)/N($H255)))</f>
        <v/>
      </c>
      <c r="T255" s="64" t="str">
        <f aca="false">IF($A255="","",IF(O255&lt;=N($I255),MAX(0,2*N($I255)-O255),0))</f>
        <v/>
      </c>
      <c r="U255" s="61" t="str">
        <f aca="false">IF($A255="","",SUMIFS(Sales!$L$5:INDEX(Sales!$L$5:$L$3004,TxRows),Sales!$D$5:INDEX(Sales!$D$5:$D$3004,TxRows),$A255))</f>
        <v/>
      </c>
      <c r="V255" s="61" t="str">
        <f aca="false">IF($A255="","",SUMIFS(Sales!$S$5:INDEX(Sales!$S$5:$S$3004,TxRows),Sales!$D$5:INDEX(Sales!$D$5:$D$3004,TxRows),$A255))</f>
        <v/>
      </c>
      <c r="W255" s="66" t="str">
        <f aca="false">IF($A255="","",IFERROR(SUMPRODUCT(MAX((Sales!$D$5:INDEX(Sales!$D$5:$D$3004,TxRows)=$A255)*Sales!$A$5:INDEX(Sales!$A$5:$A$3004,TxRows))),0))</f>
        <v/>
      </c>
      <c r="X255" s="67" t="str">
        <f aca="false">IF($A255="","",IF(W255=0,AsOf-FYStart,AsOf-W255))</f>
        <v/>
      </c>
      <c r="Y255" s="67" t="str">
        <f aca="false">IF($A255="","",IF(M255=0,"",O255/(M255/MAX(1,AsOf-FYStart))))</f>
        <v/>
      </c>
      <c r="Z255" s="60" t="str">
        <f aca="false">IF($A255="","",U255+ROW()/1000000)</f>
        <v/>
      </c>
    </row>
    <row r="256" customFormat="false" ht="15" hidden="false" customHeight="false" outlineLevel="0" collapsed="false">
      <c r="A256" s="56"/>
      <c r="B256" s="56"/>
      <c r="C256" s="56"/>
      <c r="D256" s="56"/>
      <c r="E256" s="56"/>
      <c r="F256" s="63"/>
      <c r="G256" s="58"/>
      <c r="H256" s="58"/>
      <c r="I256" s="57"/>
      <c r="J256" s="57"/>
      <c r="K256" s="58"/>
      <c r="L256" s="64" t="str">
        <f aca="false">IF($A256="","",SUMIFS(Purchases!$E$5:INDEX(Purchases!$E$5:$E$3004,TxRows),Purchases!$D$5:INDEX(Purchases!$D$5:$D$3004,TxRows),$A256))</f>
        <v/>
      </c>
      <c r="M256" s="64" t="str">
        <f aca="false">IF($A256="","",SUMIFS(Sales!$E$5:INDEX(Sales!$E$5:$E$3004,TxRows),Sales!$D$5:INDEX(Sales!$D$5:$D$3004,TxRows),$A256))</f>
        <v/>
      </c>
      <c r="N256" s="64" t="str">
        <f aca="false">IF($A256="","",SUMIFS(Adjustments!$C$5:$C$504,Adjustments!$B$5:$B$504,$A256))</f>
        <v/>
      </c>
      <c r="O256" s="64" t="str">
        <f aca="false">IF($A256="","",N($J256)+L256-M256+N256)</f>
        <v/>
      </c>
      <c r="P256" s="61" t="str">
        <f aca="false">IF($A256="","",IFERROR((N($J256)*N($K256)+SUMIFS(Purchases!$K$5:INDEX(Purchases!$K$5:$K$3004,TxRows),Purchases!$D$5:INDEX(Purchases!$D$5:$D$3004,TxRows),$A256))/(N($J256)+L256),N($G256)))</f>
        <v/>
      </c>
      <c r="Q256" s="61" t="str">
        <f aca="false">IF($A256="","",MAX(0,O256)*P256)</f>
        <v/>
      </c>
      <c r="R256" s="60" t="str">
        <f aca="false">IF($A256="","",IF(O256&lt;0,"NEGATIVE",IF(O256=0,"OUT OF STOCK",IF(O256&lt;=N($I256),"REORDER",IF(AND(O256&gt;0,X256&gt;DeadDays),"DEAD STOCK","OK")))))</f>
        <v/>
      </c>
      <c r="S256" s="65" t="str">
        <f aca="false">IF($A256="","",IF(N($H256)=0,0,(N($H256)-P256)/N($H256)))</f>
        <v/>
      </c>
      <c r="T256" s="64" t="str">
        <f aca="false">IF($A256="","",IF(O256&lt;=N($I256),MAX(0,2*N($I256)-O256),0))</f>
        <v/>
      </c>
      <c r="U256" s="61" t="str">
        <f aca="false">IF($A256="","",SUMIFS(Sales!$L$5:INDEX(Sales!$L$5:$L$3004,TxRows),Sales!$D$5:INDEX(Sales!$D$5:$D$3004,TxRows),$A256))</f>
        <v/>
      </c>
      <c r="V256" s="61" t="str">
        <f aca="false">IF($A256="","",SUMIFS(Sales!$S$5:INDEX(Sales!$S$5:$S$3004,TxRows),Sales!$D$5:INDEX(Sales!$D$5:$D$3004,TxRows),$A256))</f>
        <v/>
      </c>
      <c r="W256" s="66" t="str">
        <f aca="false">IF($A256="","",IFERROR(SUMPRODUCT(MAX((Sales!$D$5:INDEX(Sales!$D$5:$D$3004,TxRows)=$A256)*Sales!$A$5:INDEX(Sales!$A$5:$A$3004,TxRows))),0))</f>
        <v/>
      </c>
      <c r="X256" s="67" t="str">
        <f aca="false">IF($A256="","",IF(W256=0,AsOf-FYStart,AsOf-W256))</f>
        <v/>
      </c>
      <c r="Y256" s="67" t="str">
        <f aca="false">IF($A256="","",IF(M256=0,"",O256/(M256/MAX(1,AsOf-FYStart))))</f>
        <v/>
      </c>
      <c r="Z256" s="60" t="str">
        <f aca="false">IF($A256="","",U256+ROW()/1000000)</f>
        <v/>
      </c>
    </row>
    <row r="257" customFormat="false" ht="15" hidden="false" customHeight="false" outlineLevel="0" collapsed="false">
      <c r="A257" s="56"/>
      <c r="B257" s="56"/>
      <c r="C257" s="56"/>
      <c r="D257" s="56"/>
      <c r="E257" s="56"/>
      <c r="F257" s="63"/>
      <c r="G257" s="58"/>
      <c r="H257" s="58"/>
      <c r="I257" s="57"/>
      <c r="J257" s="57"/>
      <c r="K257" s="58"/>
      <c r="L257" s="64" t="str">
        <f aca="false">IF($A257="","",SUMIFS(Purchases!$E$5:INDEX(Purchases!$E$5:$E$3004,TxRows),Purchases!$D$5:INDEX(Purchases!$D$5:$D$3004,TxRows),$A257))</f>
        <v/>
      </c>
      <c r="M257" s="64" t="str">
        <f aca="false">IF($A257="","",SUMIFS(Sales!$E$5:INDEX(Sales!$E$5:$E$3004,TxRows),Sales!$D$5:INDEX(Sales!$D$5:$D$3004,TxRows),$A257))</f>
        <v/>
      </c>
      <c r="N257" s="64" t="str">
        <f aca="false">IF($A257="","",SUMIFS(Adjustments!$C$5:$C$504,Adjustments!$B$5:$B$504,$A257))</f>
        <v/>
      </c>
      <c r="O257" s="64" t="str">
        <f aca="false">IF($A257="","",N($J257)+L257-M257+N257)</f>
        <v/>
      </c>
      <c r="P257" s="61" t="str">
        <f aca="false">IF($A257="","",IFERROR((N($J257)*N($K257)+SUMIFS(Purchases!$K$5:INDEX(Purchases!$K$5:$K$3004,TxRows),Purchases!$D$5:INDEX(Purchases!$D$5:$D$3004,TxRows),$A257))/(N($J257)+L257),N($G257)))</f>
        <v/>
      </c>
      <c r="Q257" s="61" t="str">
        <f aca="false">IF($A257="","",MAX(0,O257)*P257)</f>
        <v/>
      </c>
      <c r="R257" s="60" t="str">
        <f aca="false">IF($A257="","",IF(O257&lt;0,"NEGATIVE",IF(O257=0,"OUT OF STOCK",IF(O257&lt;=N($I257),"REORDER",IF(AND(O257&gt;0,X257&gt;DeadDays),"DEAD STOCK","OK")))))</f>
        <v/>
      </c>
      <c r="S257" s="65" t="str">
        <f aca="false">IF($A257="","",IF(N($H257)=0,0,(N($H257)-P257)/N($H257)))</f>
        <v/>
      </c>
      <c r="T257" s="64" t="str">
        <f aca="false">IF($A257="","",IF(O257&lt;=N($I257),MAX(0,2*N($I257)-O257),0))</f>
        <v/>
      </c>
      <c r="U257" s="61" t="str">
        <f aca="false">IF($A257="","",SUMIFS(Sales!$L$5:INDEX(Sales!$L$5:$L$3004,TxRows),Sales!$D$5:INDEX(Sales!$D$5:$D$3004,TxRows),$A257))</f>
        <v/>
      </c>
      <c r="V257" s="61" t="str">
        <f aca="false">IF($A257="","",SUMIFS(Sales!$S$5:INDEX(Sales!$S$5:$S$3004,TxRows),Sales!$D$5:INDEX(Sales!$D$5:$D$3004,TxRows),$A257))</f>
        <v/>
      </c>
      <c r="W257" s="66" t="str">
        <f aca="false">IF($A257="","",IFERROR(SUMPRODUCT(MAX((Sales!$D$5:INDEX(Sales!$D$5:$D$3004,TxRows)=$A257)*Sales!$A$5:INDEX(Sales!$A$5:$A$3004,TxRows))),0))</f>
        <v/>
      </c>
      <c r="X257" s="67" t="str">
        <f aca="false">IF($A257="","",IF(W257=0,AsOf-FYStart,AsOf-W257))</f>
        <v/>
      </c>
      <c r="Y257" s="67" t="str">
        <f aca="false">IF($A257="","",IF(M257=0,"",O257/(M257/MAX(1,AsOf-FYStart))))</f>
        <v/>
      </c>
      <c r="Z257" s="60" t="str">
        <f aca="false">IF($A257="","",U257+ROW()/1000000)</f>
        <v/>
      </c>
    </row>
    <row r="258" customFormat="false" ht="15" hidden="false" customHeight="false" outlineLevel="0" collapsed="false">
      <c r="A258" s="56"/>
      <c r="B258" s="56"/>
      <c r="C258" s="56"/>
      <c r="D258" s="56"/>
      <c r="E258" s="56"/>
      <c r="F258" s="63"/>
      <c r="G258" s="58"/>
      <c r="H258" s="58"/>
      <c r="I258" s="57"/>
      <c r="J258" s="57"/>
      <c r="K258" s="58"/>
      <c r="L258" s="64" t="str">
        <f aca="false">IF($A258="","",SUMIFS(Purchases!$E$5:INDEX(Purchases!$E$5:$E$3004,TxRows),Purchases!$D$5:INDEX(Purchases!$D$5:$D$3004,TxRows),$A258))</f>
        <v/>
      </c>
      <c r="M258" s="64" t="str">
        <f aca="false">IF($A258="","",SUMIFS(Sales!$E$5:INDEX(Sales!$E$5:$E$3004,TxRows),Sales!$D$5:INDEX(Sales!$D$5:$D$3004,TxRows),$A258))</f>
        <v/>
      </c>
      <c r="N258" s="64" t="str">
        <f aca="false">IF($A258="","",SUMIFS(Adjustments!$C$5:$C$504,Adjustments!$B$5:$B$504,$A258))</f>
        <v/>
      </c>
      <c r="O258" s="64" t="str">
        <f aca="false">IF($A258="","",N($J258)+L258-M258+N258)</f>
        <v/>
      </c>
      <c r="P258" s="61" t="str">
        <f aca="false">IF($A258="","",IFERROR((N($J258)*N($K258)+SUMIFS(Purchases!$K$5:INDEX(Purchases!$K$5:$K$3004,TxRows),Purchases!$D$5:INDEX(Purchases!$D$5:$D$3004,TxRows),$A258))/(N($J258)+L258),N($G258)))</f>
        <v/>
      </c>
      <c r="Q258" s="61" t="str">
        <f aca="false">IF($A258="","",MAX(0,O258)*P258)</f>
        <v/>
      </c>
      <c r="R258" s="60" t="str">
        <f aca="false">IF($A258="","",IF(O258&lt;0,"NEGATIVE",IF(O258=0,"OUT OF STOCK",IF(O258&lt;=N($I258),"REORDER",IF(AND(O258&gt;0,X258&gt;DeadDays),"DEAD STOCK","OK")))))</f>
        <v/>
      </c>
      <c r="S258" s="65" t="str">
        <f aca="false">IF($A258="","",IF(N($H258)=0,0,(N($H258)-P258)/N($H258)))</f>
        <v/>
      </c>
      <c r="T258" s="64" t="str">
        <f aca="false">IF($A258="","",IF(O258&lt;=N($I258),MAX(0,2*N($I258)-O258),0))</f>
        <v/>
      </c>
      <c r="U258" s="61" t="str">
        <f aca="false">IF($A258="","",SUMIFS(Sales!$L$5:INDEX(Sales!$L$5:$L$3004,TxRows),Sales!$D$5:INDEX(Sales!$D$5:$D$3004,TxRows),$A258))</f>
        <v/>
      </c>
      <c r="V258" s="61" t="str">
        <f aca="false">IF($A258="","",SUMIFS(Sales!$S$5:INDEX(Sales!$S$5:$S$3004,TxRows),Sales!$D$5:INDEX(Sales!$D$5:$D$3004,TxRows),$A258))</f>
        <v/>
      </c>
      <c r="W258" s="66" t="str">
        <f aca="false">IF($A258="","",IFERROR(SUMPRODUCT(MAX((Sales!$D$5:INDEX(Sales!$D$5:$D$3004,TxRows)=$A258)*Sales!$A$5:INDEX(Sales!$A$5:$A$3004,TxRows))),0))</f>
        <v/>
      </c>
      <c r="X258" s="67" t="str">
        <f aca="false">IF($A258="","",IF(W258=0,AsOf-FYStart,AsOf-W258))</f>
        <v/>
      </c>
      <c r="Y258" s="67" t="str">
        <f aca="false">IF($A258="","",IF(M258=0,"",O258/(M258/MAX(1,AsOf-FYStart))))</f>
        <v/>
      </c>
      <c r="Z258" s="60" t="str">
        <f aca="false">IF($A258="","",U258+ROW()/1000000)</f>
        <v/>
      </c>
    </row>
    <row r="259" customFormat="false" ht="15" hidden="false" customHeight="false" outlineLevel="0" collapsed="false">
      <c r="A259" s="56"/>
      <c r="B259" s="56"/>
      <c r="C259" s="56"/>
      <c r="D259" s="56"/>
      <c r="E259" s="56"/>
      <c r="F259" s="63"/>
      <c r="G259" s="58"/>
      <c r="H259" s="58"/>
      <c r="I259" s="57"/>
      <c r="J259" s="57"/>
      <c r="K259" s="58"/>
      <c r="L259" s="64" t="str">
        <f aca="false">IF($A259="","",SUMIFS(Purchases!$E$5:INDEX(Purchases!$E$5:$E$3004,TxRows),Purchases!$D$5:INDEX(Purchases!$D$5:$D$3004,TxRows),$A259))</f>
        <v/>
      </c>
      <c r="M259" s="64" t="str">
        <f aca="false">IF($A259="","",SUMIFS(Sales!$E$5:INDEX(Sales!$E$5:$E$3004,TxRows),Sales!$D$5:INDEX(Sales!$D$5:$D$3004,TxRows),$A259))</f>
        <v/>
      </c>
      <c r="N259" s="64" t="str">
        <f aca="false">IF($A259="","",SUMIFS(Adjustments!$C$5:$C$504,Adjustments!$B$5:$B$504,$A259))</f>
        <v/>
      </c>
      <c r="O259" s="64" t="str">
        <f aca="false">IF($A259="","",N($J259)+L259-M259+N259)</f>
        <v/>
      </c>
      <c r="P259" s="61" t="str">
        <f aca="false">IF($A259="","",IFERROR((N($J259)*N($K259)+SUMIFS(Purchases!$K$5:INDEX(Purchases!$K$5:$K$3004,TxRows),Purchases!$D$5:INDEX(Purchases!$D$5:$D$3004,TxRows),$A259))/(N($J259)+L259),N($G259)))</f>
        <v/>
      </c>
      <c r="Q259" s="61" t="str">
        <f aca="false">IF($A259="","",MAX(0,O259)*P259)</f>
        <v/>
      </c>
      <c r="R259" s="60" t="str">
        <f aca="false">IF($A259="","",IF(O259&lt;0,"NEGATIVE",IF(O259=0,"OUT OF STOCK",IF(O259&lt;=N($I259),"REORDER",IF(AND(O259&gt;0,X259&gt;DeadDays),"DEAD STOCK","OK")))))</f>
        <v/>
      </c>
      <c r="S259" s="65" t="str">
        <f aca="false">IF($A259="","",IF(N($H259)=0,0,(N($H259)-P259)/N($H259)))</f>
        <v/>
      </c>
      <c r="T259" s="64" t="str">
        <f aca="false">IF($A259="","",IF(O259&lt;=N($I259),MAX(0,2*N($I259)-O259),0))</f>
        <v/>
      </c>
      <c r="U259" s="61" t="str">
        <f aca="false">IF($A259="","",SUMIFS(Sales!$L$5:INDEX(Sales!$L$5:$L$3004,TxRows),Sales!$D$5:INDEX(Sales!$D$5:$D$3004,TxRows),$A259))</f>
        <v/>
      </c>
      <c r="V259" s="61" t="str">
        <f aca="false">IF($A259="","",SUMIFS(Sales!$S$5:INDEX(Sales!$S$5:$S$3004,TxRows),Sales!$D$5:INDEX(Sales!$D$5:$D$3004,TxRows),$A259))</f>
        <v/>
      </c>
      <c r="W259" s="66" t="str">
        <f aca="false">IF($A259="","",IFERROR(SUMPRODUCT(MAX((Sales!$D$5:INDEX(Sales!$D$5:$D$3004,TxRows)=$A259)*Sales!$A$5:INDEX(Sales!$A$5:$A$3004,TxRows))),0))</f>
        <v/>
      </c>
      <c r="X259" s="67" t="str">
        <f aca="false">IF($A259="","",IF(W259=0,AsOf-FYStart,AsOf-W259))</f>
        <v/>
      </c>
      <c r="Y259" s="67" t="str">
        <f aca="false">IF($A259="","",IF(M259=0,"",O259/(M259/MAX(1,AsOf-FYStart))))</f>
        <v/>
      </c>
      <c r="Z259" s="60" t="str">
        <f aca="false">IF($A259="","",U259+ROW()/1000000)</f>
        <v/>
      </c>
    </row>
    <row r="260" customFormat="false" ht="15" hidden="false" customHeight="false" outlineLevel="0" collapsed="false">
      <c r="A260" s="56"/>
      <c r="B260" s="56"/>
      <c r="C260" s="56"/>
      <c r="D260" s="56"/>
      <c r="E260" s="56"/>
      <c r="F260" s="63"/>
      <c r="G260" s="58"/>
      <c r="H260" s="58"/>
      <c r="I260" s="57"/>
      <c r="J260" s="57"/>
      <c r="K260" s="58"/>
      <c r="L260" s="64" t="str">
        <f aca="false">IF($A260="","",SUMIFS(Purchases!$E$5:INDEX(Purchases!$E$5:$E$3004,TxRows),Purchases!$D$5:INDEX(Purchases!$D$5:$D$3004,TxRows),$A260))</f>
        <v/>
      </c>
      <c r="M260" s="64" t="str">
        <f aca="false">IF($A260="","",SUMIFS(Sales!$E$5:INDEX(Sales!$E$5:$E$3004,TxRows),Sales!$D$5:INDEX(Sales!$D$5:$D$3004,TxRows),$A260))</f>
        <v/>
      </c>
      <c r="N260" s="64" t="str">
        <f aca="false">IF($A260="","",SUMIFS(Adjustments!$C$5:$C$504,Adjustments!$B$5:$B$504,$A260))</f>
        <v/>
      </c>
      <c r="O260" s="64" t="str">
        <f aca="false">IF($A260="","",N($J260)+L260-M260+N260)</f>
        <v/>
      </c>
      <c r="P260" s="61" t="str">
        <f aca="false">IF($A260="","",IFERROR((N($J260)*N($K260)+SUMIFS(Purchases!$K$5:INDEX(Purchases!$K$5:$K$3004,TxRows),Purchases!$D$5:INDEX(Purchases!$D$5:$D$3004,TxRows),$A260))/(N($J260)+L260),N($G260)))</f>
        <v/>
      </c>
      <c r="Q260" s="61" t="str">
        <f aca="false">IF($A260="","",MAX(0,O260)*P260)</f>
        <v/>
      </c>
      <c r="R260" s="60" t="str">
        <f aca="false">IF($A260="","",IF(O260&lt;0,"NEGATIVE",IF(O260=0,"OUT OF STOCK",IF(O260&lt;=N($I260),"REORDER",IF(AND(O260&gt;0,X260&gt;DeadDays),"DEAD STOCK","OK")))))</f>
        <v/>
      </c>
      <c r="S260" s="65" t="str">
        <f aca="false">IF($A260="","",IF(N($H260)=0,0,(N($H260)-P260)/N($H260)))</f>
        <v/>
      </c>
      <c r="T260" s="64" t="str">
        <f aca="false">IF($A260="","",IF(O260&lt;=N($I260),MAX(0,2*N($I260)-O260),0))</f>
        <v/>
      </c>
      <c r="U260" s="61" t="str">
        <f aca="false">IF($A260="","",SUMIFS(Sales!$L$5:INDEX(Sales!$L$5:$L$3004,TxRows),Sales!$D$5:INDEX(Sales!$D$5:$D$3004,TxRows),$A260))</f>
        <v/>
      </c>
      <c r="V260" s="61" t="str">
        <f aca="false">IF($A260="","",SUMIFS(Sales!$S$5:INDEX(Sales!$S$5:$S$3004,TxRows),Sales!$D$5:INDEX(Sales!$D$5:$D$3004,TxRows),$A260))</f>
        <v/>
      </c>
      <c r="W260" s="66" t="str">
        <f aca="false">IF($A260="","",IFERROR(SUMPRODUCT(MAX((Sales!$D$5:INDEX(Sales!$D$5:$D$3004,TxRows)=$A260)*Sales!$A$5:INDEX(Sales!$A$5:$A$3004,TxRows))),0))</f>
        <v/>
      </c>
      <c r="X260" s="67" t="str">
        <f aca="false">IF($A260="","",IF(W260=0,AsOf-FYStart,AsOf-W260))</f>
        <v/>
      </c>
      <c r="Y260" s="67" t="str">
        <f aca="false">IF($A260="","",IF(M260=0,"",O260/(M260/MAX(1,AsOf-FYStart))))</f>
        <v/>
      </c>
      <c r="Z260" s="60" t="str">
        <f aca="false">IF($A260="","",U260+ROW()/1000000)</f>
        <v/>
      </c>
    </row>
    <row r="261" customFormat="false" ht="15" hidden="false" customHeight="false" outlineLevel="0" collapsed="false">
      <c r="A261" s="56"/>
      <c r="B261" s="56"/>
      <c r="C261" s="56"/>
      <c r="D261" s="56"/>
      <c r="E261" s="56"/>
      <c r="F261" s="63"/>
      <c r="G261" s="58"/>
      <c r="H261" s="58"/>
      <c r="I261" s="57"/>
      <c r="J261" s="57"/>
      <c r="K261" s="58"/>
      <c r="L261" s="64" t="str">
        <f aca="false">IF($A261="","",SUMIFS(Purchases!$E$5:INDEX(Purchases!$E$5:$E$3004,TxRows),Purchases!$D$5:INDEX(Purchases!$D$5:$D$3004,TxRows),$A261))</f>
        <v/>
      </c>
      <c r="M261" s="64" t="str">
        <f aca="false">IF($A261="","",SUMIFS(Sales!$E$5:INDEX(Sales!$E$5:$E$3004,TxRows),Sales!$D$5:INDEX(Sales!$D$5:$D$3004,TxRows),$A261))</f>
        <v/>
      </c>
      <c r="N261" s="64" t="str">
        <f aca="false">IF($A261="","",SUMIFS(Adjustments!$C$5:$C$504,Adjustments!$B$5:$B$504,$A261))</f>
        <v/>
      </c>
      <c r="O261" s="64" t="str">
        <f aca="false">IF($A261="","",N($J261)+L261-M261+N261)</f>
        <v/>
      </c>
      <c r="P261" s="61" t="str">
        <f aca="false">IF($A261="","",IFERROR((N($J261)*N($K261)+SUMIFS(Purchases!$K$5:INDEX(Purchases!$K$5:$K$3004,TxRows),Purchases!$D$5:INDEX(Purchases!$D$5:$D$3004,TxRows),$A261))/(N($J261)+L261),N($G261)))</f>
        <v/>
      </c>
      <c r="Q261" s="61" t="str">
        <f aca="false">IF($A261="","",MAX(0,O261)*P261)</f>
        <v/>
      </c>
      <c r="R261" s="60" t="str">
        <f aca="false">IF($A261="","",IF(O261&lt;0,"NEGATIVE",IF(O261=0,"OUT OF STOCK",IF(O261&lt;=N($I261),"REORDER",IF(AND(O261&gt;0,X261&gt;DeadDays),"DEAD STOCK","OK")))))</f>
        <v/>
      </c>
      <c r="S261" s="65" t="str">
        <f aca="false">IF($A261="","",IF(N($H261)=0,0,(N($H261)-P261)/N($H261)))</f>
        <v/>
      </c>
      <c r="T261" s="64" t="str">
        <f aca="false">IF($A261="","",IF(O261&lt;=N($I261),MAX(0,2*N($I261)-O261),0))</f>
        <v/>
      </c>
      <c r="U261" s="61" t="str">
        <f aca="false">IF($A261="","",SUMIFS(Sales!$L$5:INDEX(Sales!$L$5:$L$3004,TxRows),Sales!$D$5:INDEX(Sales!$D$5:$D$3004,TxRows),$A261))</f>
        <v/>
      </c>
      <c r="V261" s="61" t="str">
        <f aca="false">IF($A261="","",SUMIFS(Sales!$S$5:INDEX(Sales!$S$5:$S$3004,TxRows),Sales!$D$5:INDEX(Sales!$D$5:$D$3004,TxRows),$A261))</f>
        <v/>
      </c>
      <c r="W261" s="66" t="str">
        <f aca="false">IF($A261="","",IFERROR(SUMPRODUCT(MAX((Sales!$D$5:INDEX(Sales!$D$5:$D$3004,TxRows)=$A261)*Sales!$A$5:INDEX(Sales!$A$5:$A$3004,TxRows))),0))</f>
        <v/>
      </c>
      <c r="X261" s="67" t="str">
        <f aca="false">IF($A261="","",IF(W261=0,AsOf-FYStart,AsOf-W261))</f>
        <v/>
      </c>
      <c r="Y261" s="67" t="str">
        <f aca="false">IF($A261="","",IF(M261=0,"",O261/(M261/MAX(1,AsOf-FYStart))))</f>
        <v/>
      </c>
      <c r="Z261" s="60" t="str">
        <f aca="false">IF($A261="","",U261+ROW()/1000000)</f>
        <v/>
      </c>
    </row>
    <row r="262" customFormat="false" ht="15" hidden="false" customHeight="false" outlineLevel="0" collapsed="false">
      <c r="A262" s="56"/>
      <c r="B262" s="56"/>
      <c r="C262" s="56"/>
      <c r="D262" s="56"/>
      <c r="E262" s="56"/>
      <c r="F262" s="63"/>
      <c r="G262" s="58"/>
      <c r="H262" s="58"/>
      <c r="I262" s="57"/>
      <c r="J262" s="57"/>
      <c r="K262" s="58"/>
      <c r="L262" s="64" t="str">
        <f aca="false">IF($A262="","",SUMIFS(Purchases!$E$5:INDEX(Purchases!$E$5:$E$3004,TxRows),Purchases!$D$5:INDEX(Purchases!$D$5:$D$3004,TxRows),$A262))</f>
        <v/>
      </c>
      <c r="M262" s="64" t="str">
        <f aca="false">IF($A262="","",SUMIFS(Sales!$E$5:INDEX(Sales!$E$5:$E$3004,TxRows),Sales!$D$5:INDEX(Sales!$D$5:$D$3004,TxRows),$A262))</f>
        <v/>
      </c>
      <c r="N262" s="64" t="str">
        <f aca="false">IF($A262="","",SUMIFS(Adjustments!$C$5:$C$504,Adjustments!$B$5:$B$504,$A262))</f>
        <v/>
      </c>
      <c r="O262" s="64" t="str">
        <f aca="false">IF($A262="","",N($J262)+L262-M262+N262)</f>
        <v/>
      </c>
      <c r="P262" s="61" t="str">
        <f aca="false">IF($A262="","",IFERROR((N($J262)*N($K262)+SUMIFS(Purchases!$K$5:INDEX(Purchases!$K$5:$K$3004,TxRows),Purchases!$D$5:INDEX(Purchases!$D$5:$D$3004,TxRows),$A262))/(N($J262)+L262),N($G262)))</f>
        <v/>
      </c>
      <c r="Q262" s="61" t="str">
        <f aca="false">IF($A262="","",MAX(0,O262)*P262)</f>
        <v/>
      </c>
      <c r="R262" s="60" t="str">
        <f aca="false">IF($A262="","",IF(O262&lt;0,"NEGATIVE",IF(O262=0,"OUT OF STOCK",IF(O262&lt;=N($I262),"REORDER",IF(AND(O262&gt;0,X262&gt;DeadDays),"DEAD STOCK","OK")))))</f>
        <v/>
      </c>
      <c r="S262" s="65" t="str">
        <f aca="false">IF($A262="","",IF(N($H262)=0,0,(N($H262)-P262)/N($H262)))</f>
        <v/>
      </c>
      <c r="T262" s="64" t="str">
        <f aca="false">IF($A262="","",IF(O262&lt;=N($I262),MAX(0,2*N($I262)-O262),0))</f>
        <v/>
      </c>
      <c r="U262" s="61" t="str">
        <f aca="false">IF($A262="","",SUMIFS(Sales!$L$5:INDEX(Sales!$L$5:$L$3004,TxRows),Sales!$D$5:INDEX(Sales!$D$5:$D$3004,TxRows),$A262))</f>
        <v/>
      </c>
      <c r="V262" s="61" t="str">
        <f aca="false">IF($A262="","",SUMIFS(Sales!$S$5:INDEX(Sales!$S$5:$S$3004,TxRows),Sales!$D$5:INDEX(Sales!$D$5:$D$3004,TxRows),$A262))</f>
        <v/>
      </c>
      <c r="W262" s="66" t="str">
        <f aca="false">IF($A262="","",IFERROR(SUMPRODUCT(MAX((Sales!$D$5:INDEX(Sales!$D$5:$D$3004,TxRows)=$A262)*Sales!$A$5:INDEX(Sales!$A$5:$A$3004,TxRows))),0))</f>
        <v/>
      </c>
      <c r="X262" s="67" t="str">
        <f aca="false">IF($A262="","",IF(W262=0,AsOf-FYStart,AsOf-W262))</f>
        <v/>
      </c>
      <c r="Y262" s="67" t="str">
        <f aca="false">IF($A262="","",IF(M262=0,"",O262/(M262/MAX(1,AsOf-FYStart))))</f>
        <v/>
      </c>
      <c r="Z262" s="60" t="str">
        <f aca="false">IF($A262="","",U262+ROW()/1000000)</f>
        <v/>
      </c>
    </row>
    <row r="263" customFormat="false" ht="15" hidden="false" customHeight="false" outlineLevel="0" collapsed="false">
      <c r="A263" s="56"/>
      <c r="B263" s="56"/>
      <c r="C263" s="56"/>
      <c r="D263" s="56"/>
      <c r="E263" s="56"/>
      <c r="F263" s="63"/>
      <c r="G263" s="58"/>
      <c r="H263" s="58"/>
      <c r="I263" s="57"/>
      <c r="J263" s="57"/>
      <c r="K263" s="58"/>
      <c r="L263" s="64" t="str">
        <f aca="false">IF($A263="","",SUMIFS(Purchases!$E$5:INDEX(Purchases!$E$5:$E$3004,TxRows),Purchases!$D$5:INDEX(Purchases!$D$5:$D$3004,TxRows),$A263))</f>
        <v/>
      </c>
      <c r="M263" s="64" t="str">
        <f aca="false">IF($A263="","",SUMIFS(Sales!$E$5:INDEX(Sales!$E$5:$E$3004,TxRows),Sales!$D$5:INDEX(Sales!$D$5:$D$3004,TxRows),$A263))</f>
        <v/>
      </c>
      <c r="N263" s="64" t="str">
        <f aca="false">IF($A263="","",SUMIFS(Adjustments!$C$5:$C$504,Adjustments!$B$5:$B$504,$A263))</f>
        <v/>
      </c>
      <c r="O263" s="64" t="str">
        <f aca="false">IF($A263="","",N($J263)+L263-M263+N263)</f>
        <v/>
      </c>
      <c r="P263" s="61" t="str">
        <f aca="false">IF($A263="","",IFERROR((N($J263)*N($K263)+SUMIFS(Purchases!$K$5:INDEX(Purchases!$K$5:$K$3004,TxRows),Purchases!$D$5:INDEX(Purchases!$D$5:$D$3004,TxRows),$A263))/(N($J263)+L263),N($G263)))</f>
        <v/>
      </c>
      <c r="Q263" s="61" t="str">
        <f aca="false">IF($A263="","",MAX(0,O263)*P263)</f>
        <v/>
      </c>
      <c r="R263" s="60" t="str">
        <f aca="false">IF($A263="","",IF(O263&lt;0,"NEGATIVE",IF(O263=0,"OUT OF STOCK",IF(O263&lt;=N($I263),"REORDER",IF(AND(O263&gt;0,X263&gt;DeadDays),"DEAD STOCK","OK")))))</f>
        <v/>
      </c>
      <c r="S263" s="65" t="str">
        <f aca="false">IF($A263="","",IF(N($H263)=0,0,(N($H263)-P263)/N($H263)))</f>
        <v/>
      </c>
      <c r="T263" s="64" t="str">
        <f aca="false">IF($A263="","",IF(O263&lt;=N($I263),MAX(0,2*N($I263)-O263),0))</f>
        <v/>
      </c>
      <c r="U263" s="61" t="str">
        <f aca="false">IF($A263="","",SUMIFS(Sales!$L$5:INDEX(Sales!$L$5:$L$3004,TxRows),Sales!$D$5:INDEX(Sales!$D$5:$D$3004,TxRows),$A263))</f>
        <v/>
      </c>
      <c r="V263" s="61" t="str">
        <f aca="false">IF($A263="","",SUMIFS(Sales!$S$5:INDEX(Sales!$S$5:$S$3004,TxRows),Sales!$D$5:INDEX(Sales!$D$5:$D$3004,TxRows),$A263))</f>
        <v/>
      </c>
      <c r="W263" s="66" t="str">
        <f aca="false">IF($A263="","",IFERROR(SUMPRODUCT(MAX((Sales!$D$5:INDEX(Sales!$D$5:$D$3004,TxRows)=$A263)*Sales!$A$5:INDEX(Sales!$A$5:$A$3004,TxRows))),0))</f>
        <v/>
      </c>
      <c r="X263" s="67" t="str">
        <f aca="false">IF($A263="","",IF(W263=0,AsOf-FYStart,AsOf-W263))</f>
        <v/>
      </c>
      <c r="Y263" s="67" t="str">
        <f aca="false">IF($A263="","",IF(M263=0,"",O263/(M263/MAX(1,AsOf-FYStart))))</f>
        <v/>
      </c>
      <c r="Z263" s="60" t="str">
        <f aca="false">IF($A263="","",U263+ROW()/1000000)</f>
        <v/>
      </c>
    </row>
    <row r="264" customFormat="false" ht="15" hidden="false" customHeight="false" outlineLevel="0" collapsed="false">
      <c r="A264" s="56"/>
      <c r="B264" s="56"/>
      <c r="C264" s="56"/>
      <c r="D264" s="56"/>
      <c r="E264" s="56"/>
      <c r="F264" s="63"/>
      <c r="G264" s="58"/>
      <c r="H264" s="58"/>
      <c r="I264" s="57"/>
      <c r="J264" s="57"/>
      <c r="K264" s="58"/>
      <c r="L264" s="64" t="str">
        <f aca="false">IF($A264="","",SUMIFS(Purchases!$E$5:INDEX(Purchases!$E$5:$E$3004,TxRows),Purchases!$D$5:INDEX(Purchases!$D$5:$D$3004,TxRows),$A264))</f>
        <v/>
      </c>
      <c r="M264" s="64" t="str">
        <f aca="false">IF($A264="","",SUMIFS(Sales!$E$5:INDEX(Sales!$E$5:$E$3004,TxRows),Sales!$D$5:INDEX(Sales!$D$5:$D$3004,TxRows),$A264))</f>
        <v/>
      </c>
      <c r="N264" s="64" t="str">
        <f aca="false">IF($A264="","",SUMIFS(Adjustments!$C$5:$C$504,Adjustments!$B$5:$B$504,$A264))</f>
        <v/>
      </c>
      <c r="O264" s="64" t="str">
        <f aca="false">IF($A264="","",N($J264)+L264-M264+N264)</f>
        <v/>
      </c>
      <c r="P264" s="61" t="str">
        <f aca="false">IF($A264="","",IFERROR((N($J264)*N($K264)+SUMIFS(Purchases!$K$5:INDEX(Purchases!$K$5:$K$3004,TxRows),Purchases!$D$5:INDEX(Purchases!$D$5:$D$3004,TxRows),$A264))/(N($J264)+L264),N($G264)))</f>
        <v/>
      </c>
      <c r="Q264" s="61" t="str">
        <f aca="false">IF($A264="","",MAX(0,O264)*P264)</f>
        <v/>
      </c>
      <c r="R264" s="60" t="str">
        <f aca="false">IF($A264="","",IF(O264&lt;0,"NEGATIVE",IF(O264=0,"OUT OF STOCK",IF(O264&lt;=N($I264),"REORDER",IF(AND(O264&gt;0,X264&gt;DeadDays),"DEAD STOCK","OK")))))</f>
        <v/>
      </c>
      <c r="S264" s="65" t="str">
        <f aca="false">IF($A264="","",IF(N($H264)=0,0,(N($H264)-P264)/N($H264)))</f>
        <v/>
      </c>
      <c r="T264" s="64" t="str">
        <f aca="false">IF($A264="","",IF(O264&lt;=N($I264),MAX(0,2*N($I264)-O264),0))</f>
        <v/>
      </c>
      <c r="U264" s="61" t="str">
        <f aca="false">IF($A264="","",SUMIFS(Sales!$L$5:INDEX(Sales!$L$5:$L$3004,TxRows),Sales!$D$5:INDEX(Sales!$D$5:$D$3004,TxRows),$A264))</f>
        <v/>
      </c>
      <c r="V264" s="61" t="str">
        <f aca="false">IF($A264="","",SUMIFS(Sales!$S$5:INDEX(Sales!$S$5:$S$3004,TxRows),Sales!$D$5:INDEX(Sales!$D$5:$D$3004,TxRows),$A264))</f>
        <v/>
      </c>
      <c r="W264" s="66" t="str">
        <f aca="false">IF($A264="","",IFERROR(SUMPRODUCT(MAX((Sales!$D$5:INDEX(Sales!$D$5:$D$3004,TxRows)=$A264)*Sales!$A$5:INDEX(Sales!$A$5:$A$3004,TxRows))),0))</f>
        <v/>
      </c>
      <c r="X264" s="67" t="str">
        <f aca="false">IF($A264="","",IF(W264=0,AsOf-FYStart,AsOf-W264))</f>
        <v/>
      </c>
      <c r="Y264" s="67" t="str">
        <f aca="false">IF($A264="","",IF(M264=0,"",O264/(M264/MAX(1,AsOf-FYStart))))</f>
        <v/>
      </c>
      <c r="Z264" s="60" t="str">
        <f aca="false">IF($A264="","",U264+ROW()/1000000)</f>
        <v/>
      </c>
    </row>
    <row r="265" customFormat="false" ht="15" hidden="false" customHeight="false" outlineLevel="0" collapsed="false">
      <c r="A265" s="56"/>
      <c r="B265" s="56"/>
      <c r="C265" s="56"/>
      <c r="D265" s="56"/>
      <c r="E265" s="56"/>
      <c r="F265" s="63"/>
      <c r="G265" s="58"/>
      <c r="H265" s="58"/>
      <c r="I265" s="57"/>
      <c r="J265" s="57"/>
      <c r="K265" s="58"/>
      <c r="L265" s="64" t="str">
        <f aca="false">IF($A265="","",SUMIFS(Purchases!$E$5:INDEX(Purchases!$E$5:$E$3004,TxRows),Purchases!$D$5:INDEX(Purchases!$D$5:$D$3004,TxRows),$A265))</f>
        <v/>
      </c>
      <c r="M265" s="64" t="str">
        <f aca="false">IF($A265="","",SUMIFS(Sales!$E$5:INDEX(Sales!$E$5:$E$3004,TxRows),Sales!$D$5:INDEX(Sales!$D$5:$D$3004,TxRows),$A265))</f>
        <v/>
      </c>
      <c r="N265" s="64" t="str">
        <f aca="false">IF($A265="","",SUMIFS(Adjustments!$C$5:$C$504,Adjustments!$B$5:$B$504,$A265))</f>
        <v/>
      </c>
      <c r="O265" s="64" t="str">
        <f aca="false">IF($A265="","",N($J265)+L265-M265+N265)</f>
        <v/>
      </c>
      <c r="P265" s="61" t="str">
        <f aca="false">IF($A265="","",IFERROR((N($J265)*N($K265)+SUMIFS(Purchases!$K$5:INDEX(Purchases!$K$5:$K$3004,TxRows),Purchases!$D$5:INDEX(Purchases!$D$5:$D$3004,TxRows),$A265))/(N($J265)+L265),N($G265)))</f>
        <v/>
      </c>
      <c r="Q265" s="61" t="str">
        <f aca="false">IF($A265="","",MAX(0,O265)*P265)</f>
        <v/>
      </c>
      <c r="R265" s="60" t="str">
        <f aca="false">IF($A265="","",IF(O265&lt;0,"NEGATIVE",IF(O265=0,"OUT OF STOCK",IF(O265&lt;=N($I265),"REORDER",IF(AND(O265&gt;0,X265&gt;DeadDays),"DEAD STOCK","OK")))))</f>
        <v/>
      </c>
      <c r="S265" s="65" t="str">
        <f aca="false">IF($A265="","",IF(N($H265)=0,0,(N($H265)-P265)/N($H265)))</f>
        <v/>
      </c>
      <c r="T265" s="64" t="str">
        <f aca="false">IF($A265="","",IF(O265&lt;=N($I265),MAX(0,2*N($I265)-O265),0))</f>
        <v/>
      </c>
      <c r="U265" s="61" t="str">
        <f aca="false">IF($A265="","",SUMIFS(Sales!$L$5:INDEX(Sales!$L$5:$L$3004,TxRows),Sales!$D$5:INDEX(Sales!$D$5:$D$3004,TxRows),$A265))</f>
        <v/>
      </c>
      <c r="V265" s="61" t="str">
        <f aca="false">IF($A265="","",SUMIFS(Sales!$S$5:INDEX(Sales!$S$5:$S$3004,TxRows),Sales!$D$5:INDEX(Sales!$D$5:$D$3004,TxRows),$A265))</f>
        <v/>
      </c>
      <c r="W265" s="66" t="str">
        <f aca="false">IF($A265="","",IFERROR(SUMPRODUCT(MAX((Sales!$D$5:INDEX(Sales!$D$5:$D$3004,TxRows)=$A265)*Sales!$A$5:INDEX(Sales!$A$5:$A$3004,TxRows))),0))</f>
        <v/>
      </c>
      <c r="X265" s="67" t="str">
        <f aca="false">IF($A265="","",IF(W265=0,AsOf-FYStart,AsOf-W265))</f>
        <v/>
      </c>
      <c r="Y265" s="67" t="str">
        <f aca="false">IF($A265="","",IF(M265=0,"",O265/(M265/MAX(1,AsOf-FYStart))))</f>
        <v/>
      </c>
      <c r="Z265" s="60" t="str">
        <f aca="false">IF($A265="","",U265+ROW()/1000000)</f>
        <v/>
      </c>
    </row>
    <row r="266" customFormat="false" ht="15" hidden="false" customHeight="false" outlineLevel="0" collapsed="false">
      <c r="A266" s="56"/>
      <c r="B266" s="56"/>
      <c r="C266" s="56"/>
      <c r="D266" s="56"/>
      <c r="E266" s="56"/>
      <c r="F266" s="63"/>
      <c r="G266" s="58"/>
      <c r="H266" s="58"/>
      <c r="I266" s="57"/>
      <c r="J266" s="57"/>
      <c r="K266" s="58"/>
      <c r="L266" s="64" t="str">
        <f aca="false">IF($A266="","",SUMIFS(Purchases!$E$5:INDEX(Purchases!$E$5:$E$3004,TxRows),Purchases!$D$5:INDEX(Purchases!$D$5:$D$3004,TxRows),$A266))</f>
        <v/>
      </c>
      <c r="M266" s="64" t="str">
        <f aca="false">IF($A266="","",SUMIFS(Sales!$E$5:INDEX(Sales!$E$5:$E$3004,TxRows),Sales!$D$5:INDEX(Sales!$D$5:$D$3004,TxRows),$A266))</f>
        <v/>
      </c>
      <c r="N266" s="64" t="str">
        <f aca="false">IF($A266="","",SUMIFS(Adjustments!$C$5:$C$504,Adjustments!$B$5:$B$504,$A266))</f>
        <v/>
      </c>
      <c r="O266" s="64" t="str">
        <f aca="false">IF($A266="","",N($J266)+L266-M266+N266)</f>
        <v/>
      </c>
      <c r="P266" s="61" t="str">
        <f aca="false">IF($A266="","",IFERROR((N($J266)*N($K266)+SUMIFS(Purchases!$K$5:INDEX(Purchases!$K$5:$K$3004,TxRows),Purchases!$D$5:INDEX(Purchases!$D$5:$D$3004,TxRows),$A266))/(N($J266)+L266),N($G266)))</f>
        <v/>
      </c>
      <c r="Q266" s="61" t="str">
        <f aca="false">IF($A266="","",MAX(0,O266)*P266)</f>
        <v/>
      </c>
      <c r="R266" s="60" t="str">
        <f aca="false">IF($A266="","",IF(O266&lt;0,"NEGATIVE",IF(O266=0,"OUT OF STOCK",IF(O266&lt;=N($I266),"REORDER",IF(AND(O266&gt;0,X266&gt;DeadDays),"DEAD STOCK","OK")))))</f>
        <v/>
      </c>
      <c r="S266" s="65" t="str">
        <f aca="false">IF($A266="","",IF(N($H266)=0,0,(N($H266)-P266)/N($H266)))</f>
        <v/>
      </c>
      <c r="T266" s="64" t="str">
        <f aca="false">IF($A266="","",IF(O266&lt;=N($I266),MAX(0,2*N($I266)-O266),0))</f>
        <v/>
      </c>
      <c r="U266" s="61" t="str">
        <f aca="false">IF($A266="","",SUMIFS(Sales!$L$5:INDEX(Sales!$L$5:$L$3004,TxRows),Sales!$D$5:INDEX(Sales!$D$5:$D$3004,TxRows),$A266))</f>
        <v/>
      </c>
      <c r="V266" s="61" t="str">
        <f aca="false">IF($A266="","",SUMIFS(Sales!$S$5:INDEX(Sales!$S$5:$S$3004,TxRows),Sales!$D$5:INDEX(Sales!$D$5:$D$3004,TxRows),$A266))</f>
        <v/>
      </c>
      <c r="W266" s="66" t="str">
        <f aca="false">IF($A266="","",IFERROR(SUMPRODUCT(MAX((Sales!$D$5:INDEX(Sales!$D$5:$D$3004,TxRows)=$A266)*Sales!$A$5:INDEX(Sales!$A$5:$A$3004,TxRows))),0))</f>
        <v/>
      </c>
      <c r="X266" s="67" t="str">
        <f aca="false">IF($A266="","",IF(W266=0,AsOf-FYStart,AsOf-W266))</f>
        <v/>
      </c>
      <c r="Y266" s="67" t="str">
        <f aca="false">IF($A266="","",IF(M266=0,"",O266/(M266/MAX(1,AsOf-FYStart))))</f>
        <v/>
      </c>
      <c r="Z266" s="60" t="str">
        <f aca="false">IF($A266="","",U266+ROW()/1000000)</f>
        <v/>
      </c>
    </row>
    <row r="267" customFormat="false" ht="15" hidden="false" customHeight="false" outlineLevel="0" collapsed="false">
      <c r="A267" s="56"/>
      <c r="B267" s="56"/>
      <c r="C267" s="56"/>
      <c r="D267" s="56"/>
      <c r="E267" s="56"/>
      <c r="F267" s="63"/>
      <c r="G267" s="58"/>
      <c r="H267" s="58"/>
      <c r="I267" s="57"/>
      <c r="J267" s="57"/>
      <c r="K267" s="58"/>
      <c r="L267" s="64" t="str">
        <f aca="false">IF($A267="","",SUMIFS(Purchases!$E$5:INDEX(Purchases!$E$5:$E$3004,TxRows),Purchases!$D$5:INDEX(Purchases!$D$5:$D$3004,TxRows),$A267))</f>
        <v/>
      </c>
      <c r="M267" s="64" t="str">
        <f aca="false">IF($A267="","",SUMIFS(Sales!$E$5:INDEX(Sales!$E$5:$E$3004,TxRows),Sales!$D$5:INDEX(Sales!$D$5:$D$3004,TxRows),$A267))</f>
        <v/>
      </c>
      <c r="N267" s="64" t="str">
        <f aca="false">IF($A267="","",SUMIFS(Adjustments!$C$5:$C$504,Adjustments!$B$5:$B$504,$A267))</f>
        <v/>
      </c>
      <c r="O267" s="64" t="str">
        <f aca="false">IF($A267="","",N($J267)+L267-M267+N267)</f>
        <v/>
      </c>
      <c r="P267" s="61" t="str">
        <f aca="false">IF($A267="","",IFERROR((N($J267)*N($K267)+SUMIFS(Purchases!$K$5:INDEX(Purchases!$K$5:$K$3004,TxRows),Purchases!$D$5:INDEX(Purchases!$D$5:$D$3004,TxRows),$A267))/(N($J267)+L267),N($G267)))</f>
        <v/>
      </c>
      <c r="Q267" s="61" t="str">
        <f aca="false">IF($A267="","",MAX(0,O267)*P267)</f>
        <v/>
      </c>
      <c r="R267" s="60" t="str">
        <f aca="false">IF($A267="","",IF(O267&lt;0,"NEGATIVE",IF(O267=0,"OUT OF STOCK",IF(O267&lt;=N($I267),"REORDER",IF(AND(O267&gt;0,X267&gt;DeadDays),"DEAD STOCK","OK")))))</f>
        <v/>
      </c>
      <c r="S267" s="65" t="str">
        <f aca="false">IF($A267="","",IF(N($H267)=0,0,(N($H267)-P267)/N($H267)))</f>
        <v/>
      </c>
      <c r="T267" s="64" t="str">
        <f aca="false">IF($A267="","",IF(O267&lt;=N($I267),MAX(0,2*N($I267)-O267),0))</f>
        <v/>
      </c>
      <c r="U267" s="61" t="str">
        <f aca="false">IF($A267="","",SUMIFS(Sales!$L$5:INDEX(Sales!$L$5:$L$3004,TxRows),Sales!$D$5:INDEX(Sales!$D$5:$D$3004,TxRows),$A267))</f>
        <v/>
      </c>
      <c r="V267" s="61" t="str">
        <f aca="false">IF($A267="","",SUMIFS(Sales!$S$5:INDEX(Sales!$S$5:$S$3004,TxRows),Sales!$D$5:INDEX(Sales!$D$5:$D$3004,TxRows),$A267))</f>
        <v/>
      </c>
      <c r="W267" s="66" t="str">
        <f aca="false">IF($A267="","",IFERROR(SUMPRODUCT(MAX((Sales!$D$5:INDEX(Sales!$D$5:$D$3004,TxRows)=$A267)*Sales!$A$5:INDEX(Sales!$A$5:$A$3004,TxRows))),0))</f>
        <v/>
      </c>
      <c r="X267" s="67" t="str">
        <f aca="false">IF($A267="","",IF(W267=0,AsOf-FYStart,AsOf-W267))</f>
        <v/>
      </c>
      <c r="Y267" s="67" t="str">
        <f aca="false">IF($A267="","",IF(M267=0,"",O267/(M267/MAX(1,AsOf-FYStart))))</f>
        <v/>
      </c>
      <c r="Z267" s="60" t="str">
        <f aca="false">IF($A267="","",U267+ROW()/1000000)</f>
        <v/>
      </c>
    </row>
    <row r="268" customFormat="false" ht="15" hidden="false" customHeight="false" outlineLevel="0" collapsed="false">
      <c r="A268" s="56"/>
      <c r="B268" s="56"/>
      <c r="C268" s="56"/>
      <c r="D268" s="56"/>
      <c r="E268" s="56"/>
      <c r="F268" s="63"/>
      <c r="G268" s="58"/>
      <c r="H268" s="58"/>
      <c r="I268" s="57"/>
      <c r="J268" s="57"/>
      <c r="K268" s="58"/>
      <c r="L268" s="64" t="str">
        <f aca="false">IF($A268="","",SUMIFS(Purchases!$E$5:INDEX(Purchases!$E$5:$E$3004,TxRows),Purchases!$D$5:INDEX(Purchases!$D$5:$D$3004,TxRows),$A268))</f>
        <v/>
      </c>
      <c r="M268" s="64" t="str">
        <f aca="false">IF($A268="","",SUMIFS(Sales!$E$5:INDEX(Sales!$E$5:$E$3004,TxRows),Sales!$D$5:INDEX(Sales!$D$5:$D$3004,TxRows),$A268))</f>
        <v/>
      </c>
      <c r="N268" s="64" t="str">
        <f aca="false">IF($A268="","",SUMIFS(Adjustments!$C$5:$C$504,Adjustments!$B$5:$B$504,$A268))</f>
        <v/>
      </c>
      <c r="O268" s="64" t="str">
        <f aca="false">IF($A268="","",N($J268)+L268-M268+N268)</f>
        <v/>
      </c>
      <c r="P268" s="61" t="str">
        <f aca="false">IF($A268="","",IFERROR((N($J268)*N($K268)+SUMIFS(Purchases!$K$5:INDEX(Purchases!$K$5:$K$3004,TxRows),Purchases!$D$5:INDEX(Purchases!$D$5:$D$3004,TxRows),$A268))/(N($J268)+L268),N($G268)))</f>
        <v/>
      </c>
      <c r="Q268" s="61" t="str">
        <f aca="false">IF($A268="","",MAX(0,O268)*P268)</f>
        <v/>
      </c>
      <c r="R268" s="60" t="str">
        <f aca="false">IF($A268="","",IF(O268&lt;0,"NEGATIVE",IF(O268=0,"OUT OF STOCK",IF(O268&lt;=N($I268),"REORDER",IF(AND(O268&gt;0,X268&gt;DeadDays),"DEAD STOCK","OK")))))</f>
        <v/>
      </c>
      <c r="S268" s="65" t="str">
        <f aca="false">IF($A268="","",IF(N($H268)=0,0,(N($H268)-P268)/N($H268)))</f>
        <v/>
      </c>
      <c r="T268" s="64" t="str">
        <f aca="false">IF($A268="","",IF(O268&lt;=N($I268),MAX(0,2*N($I268)-O268),0))</f>
        <v/>
      </c>
      <c r="U268" s="61" t="str">
        <f aca="false">IF($A268="","",SUMIFS(Sales!$L$5:INDEX(Sales!$L$5:$L$3004,TxRows),Sales!$D$5:INDEX(Sales!$D$5:$D$3004,TxRows),$A268))</f>
        <v/>
      </c>
      <c r="V268" s="61" t="str">
        <f aca="false">IF($A268="","",SUMIFS(Sales!$S$5:INDEX(Sales!$S$5:$S$3004,TxRows),Sales!$D$5:INDEX(Sales!$D$5:$D$3004,TxRows),$A268))</f>
        <v/>
      </c>
      <c r="W268" s="66" t="str">
        <f aca="false">IF($A268="","",IFERROR(SUMPRODUCT(MAX((Sales!$D$5:INDEX(Sales!$D$5:$D$3004,TxRows)=$A268)*Sales!$A$5:INDEX(Sales!$A$5:$A$3004,TxRows))),0))</f>
        <v/>
      </c>
      <c r="X268" s="67" t="str">
        <f aca="false">IF($A268="","",IF(W268=0,AsOf-FYStart,AsOf-W268))</f>
        <v/>
      </c>
      <c r="Y268" s="67" t="str">
        <f aca="false">IF($A268="","",IF(M268=0,"",O268/(M268/MAX(1,AsOf-FYStart))))</f>
        <v/>
      </c>
      <c r="Z268" s="60" t="str">
        <f aca="false">IF($A268="","",U268+ROW()/1000000)</f>
        <v/>
      </c>
    </row>
    <row r="269" customFormat="false" ht="15" hidden="false" customHeight="false" outlineLevel="0" collapsed="false">
      <c r="A269" s="56"/>
      <c r="B269" s="56"/>
      <c r="C269" s="56"/>
      <c r="D269" s="56"/>
      <c r="E269" s="56"/>
      <c r="F269" s="63"/>
      <c r="G269" s="58"/>
      <c r="H269" s="58"/>
      <c r="I269" s="57"/>
      <c r="J269" s="57"/>
      <c r="K269" s="58"/>
      <c r="L269" s="64" t="str">
        <f aca="false">IF($A269="","",SUMIFS(Purchases!$E$5:INDEX(Purchases!$E$5:$E$3004,TxRows),Purchases!$D$5:INDEX(Purchases!$D$5:$D$3004,TxRows),$A269))</f>
        <v/>
      </c>
      <c r="M269" s="64" t="str">
        <f aca="false">IF($A269="","",SUMIFS(Sales!$E$5:INDEX(Sales!$E$5:$E$3004,TxRows),Sales!$D$5:INDEX(Sales!$D$5:$D$3004,TxRows),$A269))</f>
        <v/>
      </c>
      <c r="N269" s="64" t="str">
        <f aca="false">IF($A269="","",SUMIFS(Adjustments!$C$5:$C$504,Adjustments!$B$5:$B$504,$A269))</f>
        <v/>
      </c>
      <c r="O269" s="64" t="str">
        <f aca="false">IF($A269="","",N($J269)+L269-M269+N269)</f>
        <v/>
      </c>
      <c r="P269" s="61" t="str">
        <f aca="false">IF($A269="","",IFERROR((N($J269)*N($K269)+SUMIFS(Purchases!$K$5:INDEX(Purchases!$K$5:$K$3004,TxRows),Purchases!$D$5:INDEX(Purchases!$D$5:$D$3004,TxRows),$A269))/(N($J269)+L269),N($G269)))</f>
        <v/>
      </c>
      <c r="Q269" s="61" t="str">
        <f aca="false">IF($A269="","",MAX(0,O269)*P269)</f>
        <v/>
      </c>
      <c r="R269" s="60" t="str">
        <f aca="false">IF($A269="","",IF(O269&lt;0,"NEGATIVE",IF(O269=0,"OUT OF STOCK",IF(O269&lt;=N($I269),"REORDER",IF(AND(O269&gt;0,X269&gt;DeadDays),"DEAD STOCK","OK")))))</f>
        <v/>
      </c>
      <c r="S269" s="65" t="str">
        <f aca="false">IF($A269="","",IF(N($H269)=0,0,(N($H269)-P269)/N($H269)))</f>
        <v/>
      </c>
      <c r="T269" s="64" t="str">
        <f aca="false">IF($A269="","",IF(O269&lt;=N($I269),MAX(0,2*N($I269)-O269),0))</f>
        <v/>
      </c>
      <c r="U269" s="61" t="str">
        <f aca="false">IF($A269="","",SUMIFS(Sales!$L$5:INDEX(Sales!$L$5:$L$3004,TxRows),Sales!$D$5:INDEX(Sales!$D$5:$D$3004,TxRows),$A269))</f>
        <v/>
      </c>
      <c r="V269" s="61" t="str">
        <f aca="false">IF($A269="","",SUMIFS(Sales!$S$5:INDEX(Sales!$S$5:$S$3004,TxRows),Sales!$D$5:INDEX(Sales!$D$5:$D$3004,TxRows),$A269))</f>
        <v/>
      </c>
      <c r="W269" s="66" t="str">
        <f aca="false">IF($A269="","",IFERROR(SUMPRODUCT(MAX((Sales!$D$5:INDEX(Sales!$D$5:$D$3004,TxRows)=$A269)*Sales!$A$5:INDEX(Sales!$A$5:$A$3004,TxRows))),0))</f>
        <v/>
      </c>
      <c r="X269" s="67" t="str">
        <f aca="false">IF($A269="","",IF(W269=0,AsOf-FYStart,AsOf-W269))</f>
        <v/>
      </c>
      <c r="Y269" s="67" t="str">
        <f aca="false">IF($A269="","",IF(M269=0,"",O269/(M269/MAX(1,AsOf-FYStart))))</f>
        <v/>
      </c>
      <c r="Z269" s="60" t="str">
        <f aca="false">IF($A269="","",U269+ROW()/1000000)</f>
        <v/>
      </c>
    </row>
    <row r="270" customFormat="false" ht="15" hidden="false" customHeight="false" outlineLevel="0" collapsed="false">
      <c r="A270" s="56"/>
      <c r="B270" s="56"/>
      <c r="C270" s="56"/>
      <c r="D270" s="56"/>
      <c r="E270" s="56"/>
      <c r="F270" s="63"/>
      <c r="G270" s="58"/>
      <c r="H270" s="58"/>
      <c r="I270" s="57"/>
      <c r="J270" s="57"/>
      <c r="K270" s="58"/>
      <c r="L270" s="64" t="str">
        <f aca="false">IF($A270="","",SUMIFS(Purchases!$E$5:INDEX(Purchases!$E$5:$E$3004,TxRows),Purchases!$D$5:INDEX(Purchases!$D$5:$D$3004,TxRows),$A270))</f>
        <v/>
      </c>
      <c r="M270" s="64" t="str">
        <f aca="false">IF($A270="","",SUMIFS(Sales!$E$5:INDEX(Sales!$E$5:$E$3004,TxRows),Sales!$D$5:INDEX(Sales!$D$5:$D$3004,TxRows),$A270))</f>
        <v/>
      </c>
      <c r="N270" s="64" t="str">
        <f aca="false">IF($A270="","",SUMIFS(Adjustments!$C$5:$C$504,Adjustments!$B$5:$B$504,$A270))</f>
        <v/>
      </c>
      <c r="O270" s="64" t="str">
        <f aca="false">IF($A270="","",N($J270)+L270-M270+N270)</f>
        <v/>
      </c>
      <c r="P270" s="61" t="str">
        <f aca="false">IF($A270="","",IFERROR((N($J270)*N($K270)+SUMIFS(Purchases!$K$5:INDEX(Purchases!$K$5:$K$3004,TxRows),Purchases!$D$5:INDEX(Purchases!$D$5:$D$3004,TxRows),$A270))/(N($J270)+L270),N($G270)))</f>
        <v/>
      </c>
      <c r="Q270" s="61" t="str">
        <f aca="false">IF($A270="","",MAX(0,O270)*P270)</f>
        <v/>
      </c>
      <c r="R270" s="60" t="str">
        <f aca="false">IF($A270="","",IF(O270&lt;0,"NEGATIVE",IF(O270=0,"OUT OF STOCK",IF(O270&lt;=N($I270),"REORDER",IF(AND(O270&gt;0,X270&gt;DeadDays),"DEAD STOCK","OK")))))</f>
        <v/>
      </c>
      <c r="S270" s="65" t="str">
        <f aca="false">IF($A270="","",IF(N($H270)=0,0,(N($H270)-P270)/N($H270)))</f>
        <v/>
      </c>
      <c r="T270" s="64" t="str">
        <f aca="false">IF($A270="","",IF(O270&lt;=N($I270),MAX(0,2*N($I270)-O270),0))</f>
        <v/>
      </c>
      <c r="U270" s="61" t="str">
        <f aca="false">IF($A270="","",SUMIFS(Sales!$L$5:INDEX(Sales!$L$5:$L$3004,TxRows),Sales!$D$5:INDEX(Sales!$D$5:$D$3004,TxRows),$A270))</f>
        <v/>
      </c>
      <c r="V270" s="61" t="str">
        <f aca="false">IF($A270="","",SUMIFS(Sales!$S$5:INDEX(Sales!$S$5:$S$3004,TxRows),Sales!$D$5:INDEX(Sales!$D$5:$D$3004,TxRows),$A270))</f>
        <v/>
      </c>
      <c r="W270" s="66" t="str">
        <f aca="false">IF($A270="","",IFERROR(SUMPRODUCT(MAX((Sales!$D$5:INDEX(Sales!$D$5:$D$3004,TxRows)=$A270)*Sales!$A$5:INDEX(Sales!$A$5:$A$3004,TxRows))),0))</f>
        <v/>
      </c>
      <c r="X270" s="67" t="str">
        <f aca="false">IF($A270="","",IF(W270=0,AsOf-FYStart,AsOf-W270))</f>
        <v/>
      </c>
      <c r="Y270" s="67" t="str">
        <f aca="false">IF($A270="","",IF(M270=0,"",O270/(M270/MAX(1,AsOf-FYStart))))</f>
        <v/>
      </c>
      <c r="Z270" s="60" t="str">
        <f aca="false">IF($A270="","",U270+ROW()/1000000)</f>
        <v/>
      </c>
    </row>
    <row r="271" customFormat="false" ht="15" hidden="false" customHeight="false" outlineLevel="0" collapsed="false">
      <c r="A271" s="56"/>
      <c r="B271" s="56"/>
      <c r="C271" s="56"/>
      <c r="D271" s="56"/>
      <c r="E271" s="56"/>
      <c r="F271" s="63"/>
      <c r="G271" s="58"/>
      <c r="H271" s="58"/>
      <c r="I271" s="57"/>
      <c r="J271" s="57"/>
      <c r="K271" s="58"/>
      <c r="L271" s="64" t="str">
        <f aca="false">IF($A271="","",SUMIFS(Purchases!$E$5:INDEX(Purchases!$E$5:$E$3004,TxRows),Purchases!$D$5:INDEX(Purchases!$D$5:$D$3004,TxRows),$A271))</f>
        <v/>
      </c>
      <c r="M271" s="64" t="str">
        <f aca="false">IF($A271="","",SUMIFS(Sales!$E$5:INDEX(Sales!$E$5:$E$3004,TxRows),Sales!$D$5:INDEX(Sales!$D$5:$D$3004,TxRows),$A271))</f>
        <v/>
      </c>
      <c r="N271" s="64" t="str">
        <f aca="false">IF($A271="","",SUMIFS(Adjustments!$C$5:$C$504,Adjustments!$B$5:$B$504,$A271))</f>
        <v/>
      </c>
      <c r="O271" s="64" t="str">
        <f aca="false">IF($A271="","",N($J271)+L271-M271+N271)</f>
        <v/>
      </c>
      <c r="P271" s="61" t="str">
        <f aca="false">IF($A271="","",IFERROR((N($J271)*N($K271)+SUMIFS(Purchases!$K$5:INDEX(Purchases!$K$5:$K$3004,TxRows),Purchases!$D$5:INDEX(Purchases!$D$5:$D$3004,TxRows),$A271))/(N($J271)+L271),N($G271)))</f>
        <v/>
      </c>
      <c r="Q271" s="61" t="str">
        <f aca="false">IF($A271="","",MAX(0,O271)*P271)</f>
        <v/>
      </c>
      <c r="R271" s="60" t="str">
        <f aca="false">IF($A271="","",IF(O271&lt;0,"NEGATIVE",IF(O271=0,"OUT OF STOCK",IF(O271&lt;=N($I271),"REORDER",IF(AND(O271&gt;0,X271&gt;DeadDays),"DEAD STOCK","OK")))))</f>
        <v/>
      </c>
      <c r="S271" s="65" t="str">
        <f aca="false">IF($A271="","",IF(N($H271)=0,0,(N($H271)-P271)/N($H271)))</f>
        <v/>
      </c>
      <c r="T271" s="64" t="str">
        <f aca="false">IF($A271="","",IF(O271&lt;=N($I271),MAX(0,2*N($I271)-O271),0))</f>
        <v/>
      </c>
      <c r="U271" s="61" t="str">
        <f aca="false">IF($A271="","",SUMIFS(Sales!$L$5:INDEX(Sales!$L$5:$L$3004,TxRows),Sales!$D$5:INDEX(Sales!$D$5:$D$3004,TxRows),$A271))</f>
        <v/>
      </c>
      <c r="V271" s="61" t="str">
        <f aca="false">IF($A271="","",SUMIFS(Sales!$S$5:INDEX(Sales!$S$5:$S$3004,TxRows),Sales!$D$5:INDEX(Sales!$D$5:$D$3004,TxRows),$A271))</f>
        <v/>
      </c>
      <c r="W271" s="66" t="str">
        <f aca="false">IF($A271="","",IFERROR(SUMPRODUCT(MAX((Sales!$D$5:INDEX(Sales!$D$5:$D$3004,TxRows)=$A271)*Sales!$A$5:INDEX(Sales!$A$5:$A$3004,TxRows))),0))</f>
        <v/>
      </c>
      <c r="X271" s="67" t="str">
        <f aca="false">IF($A271="","",IF(W271=0,AsOf-FYStart,AsOf-W271))</f>
        <v/>
      </c>
      <c r="Y271" s="67" t="str">
        <f aca="false">IF($A271="","",IF(M271=0,"",O271/(M271/MAX(1,AsOf-FYStart))))</f>
        <v/>
      </c>
      <c r="Z271" s="60" t="str">
        <f aca="false">IF($A271="","",U271+ROW()/1000000)</f>
        <v/>
      </c>
    </row>
    <row r="272" customFormat="false" ht="15" hidden="false" customHeight="false" outlineLevel="0" collapsed="false">
      <c r="A272" s="56"/>
      <c r="B272" s="56"/>
      <c r="C272" s="56"/>
      <c r="D272" s="56"/>
      <c r="E272" s="56"/>
      <c r="F272" s="63"/>
      <c r="G272" s="58"/>
      <c r="H272" s="58"/>
      <c r="I272" s="57"/>
      <c r="J272" s="57"/>
      <c r="K272" s="58"/>
      <c r="L272" s="64" t="str">
        <f aca="false">IF($A272="","",SUMIFS(Purchases!$E$5:INDEX(Purchases!$E$5:$E$3004,TxRows),Purchases!$D$5:INDEX(Purchases!$D$5:$D$3004,TxRows),$A272))</f>
        <v/>
      </c>
      <c r="M272" s="64" t="str">
        <f aca="false">IF($A272="","",SUMIFS(Sales!$E$5:INDEX(Sales!$E$5:$E$3004,TxRows),Sales!$D$5:INDEX(Sales!$D$5:$D$3004,TxRows),$A272))</f>
        <v/>
      </c>
      <c r="N272" s="64" t="str">
        <f aca="false">IF($A272="","",SUMIFS(Adjustments!$C$5:$C$504,Adjustments!$B$5:$B$504,$A272))</f>
        <v/>
      </c>
      <c r="O272" s="64" t="str">
        <f aca="false">IF($A272="","",N($J272)+L272-M272+N272)</f>
        <v/>
      </c>
      <c r="P272" s="61" t="str">
        <f aca="false">IF($A272="","",IFERROR((N($J272)*N($K272)+SUMIFS(Purchases!$K$5:INDEX(Purchases!$K$5:$K$3004,TxRows),Purchases!$D$5:INDEX(Purchases!$D$5:$D$3004,TxRows),$A272))/(N($J272)+L272),N($G272)))</f>
        <v/>
      </c>
      <c r="Q272" s="61" t="str">
        <f aca="false">IF($A272="","",MAX(0,O272)*P272)</f>
        <v/>
      </c>
      <c r="R272" s="60" t="str">
        <f aca="false">IF($A272="","",IF(O272&lt;0,"NEGATIVE",IF(O272=0,"OUT OF STOCK",IF(O272&lt;=N($I272),"REORDER",IF(AND(O272&gt;0,X272&gt;DeadDays),"DEAD STOCK","OK")))))</f>
        <v/>
      </c>
      <c r="S272" s="65" t="str">
        <f aca="false">IF($A272="","",IF(N($H272)=0,0,(N($H272)-P272)/N($H272)))</f>
        <v/>
      </c>
      <c r="T272" s="64" t="str">
        <f aca="false">IF($A272="","",IF(O272&lt;=N($I272),MAX(0,2*N($I272)-O272),0))</f>
        <v/>
      </c>
      <c r="U272" s="61" t="str">
        <f aca="false">IF($A272="","",SUMIFS(Sales!$L$5:INDEX(Sales!$L$5:$L$3004,TxRows),Sales!$D$5:INDEX(Sales!$D$5:$D$3004,TxRows),$A272))</f>
        <v/>
      </c>
      <c r="V272" s="61" t="str">
        <f aca="false">IF($A272="","",SUMIFS(Sales!$S$5:INDEX(Sales!$S$5:$S$3004,TxRows),Sales!$D$5:INDEX(Sales!$D$5:$D$3004,TxRows),$A272))</f>
        <v/>
      </c>
      <c r="W272" s="66" t="str">
        <f aca="false">IF($A272="","",IFERROR(SUMPRODUCT(MAX((Sales!$D$5:INDEX(Sales!$D$5:$D$3004,TxRows)=$A272)*Sales!$A$5:INDEX(Sales!$A$5:$A$3004,TxRows))),0))</f>
        <v/>
      </c>
      <c r="X272" s="67" t="str">
        <f aca="false">IF($A272="","",IF(W272=0,AsOf-FYStart,AsOf-W272))</f>
        <v/>
      </c>
      <c r="Y272" s="67" t="str">
        <f aca="false">IF($A272="","",IF(M272=0,"",O272/(M272/MAX(1,AsOf-FYStart))))</f>
        <v/>
      </c>
      <c r="Z272" s="60" t="str">
        <f aca="false">IF($A272="","",U272+ROW()/1000000)</f>
        <v/>
      </c>
    </row>
    <row r="273" customFormat="false" ht="15" hidden="false" customHeight="false" outlineLevel="0" collapsed="false">
      <c r="A273" s="56"/>
      <c r="B273" s="56"/>
      <c r="C273" s="56"/>
      <c r="D273" s="56"/>
      <c r="E273" s="56"/>
      <c r="F273" s="63"/>
      <c r="G273" s="58"/>
      <c r="H273" s="58"/>
      <c r="I273" s="57"/>
      <c r="J273" s="57"/>
      <c r="K273" s="58"/>
      <c r="L273" s="64" t="str">
        <f aca="false">IF($A273="","",SUMIFS(Purchases!$E$5:INDEX(Purchases!$E$5:$E$3004,TxRows),Purchases!$D$5:INDEX(Purchases!$D$5:$D$3004,TxRows),$A273))</f>
        <v/>
      </c>
      <c r="M273" s="64" t="str">
        <f aca="false">IF($A273="","",SUMIFS(Sales!$E$5:INDEX(Sales!$E$5:$E$3004,TxRows),Sales!$D$5:INDEX(Sales!$D$5:$D$3004,TxRows),$A273))</f>
        <v/>
      </c>
      <c r="N273" s="64" t="str">
        <f aca="false">IF($A273="","",SUMIFS(Adjustments!$C$5:$C$504,Adjustments!$B$5:$B$504,$A273))</f>
        <v/>
      </c>
      <c r="O273" s="64" t="str">
        <f aca="false">IF($A273="","",N($J273)+L273-M273+N273)</f>
        <v/>
      </c>
      <c r="P273" s="61" t="str">
        <f aca="false">IF($A273="","",IFERROR((N($J273)*N($K273)+SUMIFS(Purchases!$K$5:INDEX(Purchases!$K$5:$K$3004,TxRows),Purchases!$D$5:INDEX(Purchases!$D$5:$D$3004,TxRows),$A273))/(N($J273)+L273),N($G273)))</f>
        <v/>
      </c>
      <c r="Q273" s="61" t="str">
        <f aca="false">IF($A273="","",MAX(0,O273)*P273)</f>
        <v/>
      </c>
      <c r="R273" s="60" t="str">
        <f aca="false">IF($A273="","",IF(O273&lt;0,"NEGATIVE",IF(O273=0,"OUT OF STOCK",IF(O273&lt;=N($I273),"REORDER",IF(AND(O273&gt;0,X273&gt;DeadDays),"DEAD STOCK","OK")))))</f>
        <v/>
      </c>
      <c r="S273" s="65" t="str">
        <f aca="false">IF($A273="","",IF(N($H273)=0,0,(N($H273)-P273)/N($H273)))</f>
        <v/>
      </c>
      <c r="T273" s="64" t="str">
        <f aca="false">IF($A273="","",IF(O273&lt;=N($I273),MAX(0,2*N($I273)-O273),0))</f>
        <v/>
      </c>
      <c r="U273" s="61" t="str">
        <f aca="false">IF($A273="","",SUMIFS(Sales!$L$5:INDEX(Sales!$L$5:$L$3004,TxRows),Sales!$D$5:INDEX(Sales!$D$5:$D$3004,TxRows),$A273))</f>
        <v/>
      </c>
      <c r="V273" s="61" t="str">
        <f aca="false">IF($A273="","",SUMIFS(Sales!$S$5:INDEX(Sales!$S$5:$S$3004,TxRows),Sales!$D$5:INDEX(Sales!$D$5:$D$3004,TxRows),$A273))</f>
        <v/>
      </c>
      <c r="W273" s="66" t="str">
        <f aca="false">IF($A273="","",IFERROR(SUMPRODUCT(MAX((Sales!$D$5:INDEX(Sales!$D$5:$D$3004,TxRows)=$A273)*Sales!$A$5:INDEX(Sales!$A$5:$A$3004,TxRows))),0))</f>
        <v/>
      </c>
      <c r="X273" s="67" t="str">
        <f aca="false">IF($A273="","",IF(W273=0,AsOf-FYStart,AsOf-W273))</f>
        <v/>
      </c>
      <c r="Y273" s="67" t="str">
        <f aca="false">IF($A273="","",IF(M273=0,"",O273/(M273/MAX(1,AsOf-FYStart))))</f>
        <v/>
      </c>
      <c r="Z273" s="60" t="str">
        <f aca="false">IF($A273="","",U273+ROW()/1000000)</f>
        <v/>
      </c>
    </row>
    <row r="274" customFormat="false" ht="15" hidden="false" customHeight="false" outlineLevel="0" collapsed="false">
      <c r="A274" s="56"/>
      <c r="B274" s="56"/>
      <c r="C274" s="56"/>
      <c r="D274" s="56"/>
      <c r="E274" s="56"/>
      <c r="F274" s="63"/>
      <c r="G274" s="58"/>
      <c r="H274" s="58"/>
      <c r="I274" s="57"/>
      <c r="J274" s="57"/>
      <c r="K274" s="58"/>
      <c r="L274" s="64" t="str">
        <f aca="false">IF($A274="","",SUMIFS(Purchases!$E$5:INDEX(Purchases!$E$5:$E$3004,TxRows),Purchases!$D$5:INDEX(Purchases!$D$5:$D$3004,TxRows),$A274))</f>
        <v/>
      </c>
      <c r="M274" s="64" t="str">
        <f aca="false">IF($A274="","",SUMIFS(Sales!$E$5:INDEX(Sales!$E$5:$E$3004,TxRows),Sales!$D$5:INDEX(Sales!$D$5:$D$3004,TxRows),$A274))</f>
        <v/>
      </c>
      <c r="N274" s="64" t="str">
        <f aca="false">IF($A274="","",SUMIFS(Adjustments!$C$5:$C$504,Adjustments!$B$5:$B$504,$A274))</f>
        <v/>
      </c>
      <c r="O274" s="64" t="str">
        <f aca="false">IF($A274="","",N($J274)+L274-M274+N274)</f>
        <v/>
      </c>
      <c r="P274" s="61" t="str">
        <f aca="false">IF($A274="","",IFERROR((N($J274)*N($K274)+SUMIFS(Purchases!$K$5:INDEX(Purchases!$K$5:$K$3004,TxRows),Purchases!$D$5:INDEX(Purchases!$D$5:$D$3004,TxRows),$A274))/(N($J274)+L274),N($G274)))</f>
        <v/>
      </c>
      <c r="Q274" s="61" t="str">
        <f aca="false">IF($A274="","",MAX(0,O274)*P274)</f>
        <v/>
      </c>
      <c r="R274" s="60" t="str">
        <f aca="false">IF($A274="","",IF(O274&lt;0,"NEGATIVE",IF(O274=0,"OUT OF STOCK",IF(O274&lt;=N($I274),"REORDER",IF(AND(O274&gt;0,X274&gt;DeadDays),"DEAD STOCK","OK")))))</f>
        <v/>
      </c>
      <c r="S274" s="65" t="str">
        <f aca="false">IF($A274="","",IF(N($H274)=0,0,(N($H274)-P274)/N($H274)))</f>
        <v/>
      </c>
      <c r="T274" s="64" t="str">
        <f aca="false">IF($A274="","",IF(O274&lt;=N($I274),MAX(0,2*N($I274)-O274),0))</f>
        <v/>
      </c>
      <c r="U274" s="61" t="str">
        <f aca="false">IF($A274="","",SUMIFS(Sales!$L$5:INDEX(Sales!$L$5:$L$3004,TxRows),Sales!$D$5:INDEX(Sales!$D$5:$D$3004,TxRows),$A274))</f>
        <v/>
      </c>
      <c r="V274" s="61" t="str">
        <f aca="false">IF($A274="","",SUMIFS(Sales!$S$5:INDEX(Sales!$S$5:$S$3004,TxRows),Sales!$D$5:INDEX(Sales!$D$5:$D$3004,TxRows),$A274))</f>
        <v/>
      </c>
      <c r="W274" s="66" t="str">
        <f aca="false">IF($A274="","",IFERROR(SUMPRODUCT(MAX((Sales!$D$5:INDEX(Sales!$D$5:$D$3004,TxRows)=$A274)*Sales!$A$5:INDEX(Sales!$A$5:$A$3004,TxRows))),0))</f>
        <v/>
      </c>
      <c r="X274" s="67" t="str">
        <f aca="false">IF($A274="","",IF(W274=0,AsOf-FYStart,AsOf-W274))</f>
        <v/>
      </c>
      <c r="Y274" s="67" t="str">
        <f aca="false">IF($A274="","",IF(M274=0,"",O274/(M274/MAX(1,AsOf-FYStart))))</f>
        <v/>
      </c>
      <c r="Z274" s="60" t="str">
        <f aca="false">IF($A274="","",U274+ROW()/1000000)</f>
        <v/>
      </c>
    </row>
    <row r="275" customFormat="false" ht="15" hidden="false" customHeight="false" outlineLevel="0" collapsed="false">
      <c r="A275" s="56"/>
      <c r="B275" s="56"/>
      <c r="C275" s="56"/>
      <c r="D275" s="56"/>
      <c r="E275" s="56"/>
      <c r="F275" s="63"/>
      <c r="G275" s="58"/>
      <c r="H275" s="58"/>
      <c r="I275" s="57"/>
      <c r="J275" s="57"/>
      <c r="K275" s="58"/>
      <c r="L275" s="64" t="str">
        <f aca="false">IF($A275="","",SUMIFS(Purchases!$E$5:INDEX(Purchases!$E$5:$E$3004,TxRows),Purchases!$D$5:INDEX(Purchases!$D$5:$D$3004,TxRows),$A275))</f>
        <v/>
      </c>
      <c r="M275" s="64" t="str">
        <f aca="false">IF($A275="","",SUMIFS(Sales!$E$5:INDEX(Sales!$E$5:$E$3004,TxRows),Sales!$D$5:INDEX(Sales!$D$5:$D$3004,TxRows),$A275))</f>
        <v/>
      </c>
      <c r="N275" s="64" t="str">
        <f aca="false">IF($A275="","",SUMIFS(Adjustments!$C$5:$C$504,Adjustments!$B$5:$B$504,$A275))</f>
        <v/>
      </c>
      <c r="O275" s="64" t="str">
        <f aca="false">IF($A275="","",N($J275)+L275-M275+N275)</f>
        <v/>
      </c>
      <c r="P275" s="61" t="str">
        <f aca="false">IF($A275="","",IFERROR((N($J275)*N($K275)+SUMIFS(Purchases!$K$5:INDEX(Purchases!$K$5:$K$3004,TxRows),Purchases!$D$5:INDEX(Purchases!$D$5:$D$3004,TxRows),$A275))/(N($J275)+L275),N($G275)))</f>
        <v/>
      </c>
      <c r="Q275" s="61" t="str">
        <f aca="false">IF($A275="","",MAX(0,O275)*P275)</f>
        <v/>
      </c>
      <c r="R275" s="60" t="str">
        <f aca="false">IF($A275="","",IF(O275&lt;0,"NEGATIVE",IF(O275=0,"OUT OF STOCK",IF(O275&lt;=N($I275),"REORDER",IF(AND(O275&gt;0,X275&gt;DeadDays),"DEAD STOCK","OK")))))</f>
        <v/>
      </c>
      <c r="S275" s="65" t="str">
        <f aca="false">IF($A275="","",IF(N($H275)=0,0,(N($H275)-P275)/N($H275)))</f>
        <v/>
      </c>
      <c r="T275" s="64" t="str">
        <f aca="false">IF($A275="","",IF(O275&lt;=N($I275),MAX(0,2*N($I275)-O275),0))</f>
        <v/>
      </c>
      <c r="U275" s="61" t="str">
        <f aca="false">IF($A275="","",SUMIFS(Sales!$L$5:INDEX(Sales!$L$5:$L$3004,TxRows),Sales!$D$5:INDEX(Sales!$D$5:$D$3004,TxRows),$A275))</f>
        <v/>
      </c>
      <c r="V275" s="61" t="str">
        <f aca="false">IF($A275="","",SUMIFS(Sales!$S$5:INDEX(Sales!$S$5:$S$3004,TxRows),Sales!$D$5:INDEX(Sales!$D$5:$D$3004,TxRows),$A275))</f>
        <v/>
      </c>
      <c r="W275" s="66" t="str">
        <f aca="false">IF($A275="","",IFERROR(SUMPRODUCT(MAX((Sales!$D$5:INDEX(Sales!$D$5:$D$3004,TxRows)=$A275)*Sales!$A$5:INDEX(Sales!$A$5:$A$3004,TxRows))),0))</f>
        <v/>
      </c>
      <c r="X275" s="67" t="str">
        <f aca="false">IF($A275="","",IF(W275=0,AsOf-FYStart,AsOf-W275))</f>
        <v/>
      </c>
      <c r="Y275" s="67" t="str">
        <f aca="false">IF($A275="","",IF(M275=0,"",O275/(M275/MAX(1,AsOf-FYStart))))</f>
        <v/>
      </c>
      <c r="Z275" s="60" t="str">
        <f aca="false">IF($A275="","",U275+ROW()/1000000)</f>
        <v/>
      </c>
    </row>
    <row r="276" customFormat="false" ht="15" hidden="false" customHeight="false" outlineLevel="0" collapsed="false">
      <c r="A276" s="56"/>
      <c r="B276" s="56"/>
      <c r="C276" s="56"/>
      <c r="D276" s="56"/>
      <c r="E276" s="56"/>
      <c r="F276" s="63"/>
      <c r="G276" s="58"/>
      <c r="H276" s="58"/>
      <c r="I276" s="57"/>
      <c r="J276" s="57"/>
      <c r="K276" s="58"/>
      <c r="L276" s="64" t="str">
        <f aca="false">IF($A276="","",SUMIFS(Purchases!$E$5:INDEX(Purchases!$E$5:$E$3004,TxRows),Purchases!$D$5:INDEX(Purchases!$D$5:$D$3004,TxRows),$A276))</f>
        <v/>
      </c>
      <c r="M276" s="64" t="str">
        <f aca="false">IF($A276="","",SUMIFS(Sales!$E$5:INDEX(Sales!$E$5:$E$3004,TxRows),Sales!$D$5:INDEX(Sales!$D$5:$D$3004,TxRows),$A276))</f>
        <v/>
      </c>
      <c r="N276" s="64" t="str">
        <f aca="false">IF($A276="","",SUMIFS(Adjustments!$C$5:$C$504,Adjustments!$B$5:$B$504,$A276))</f>
        <v/>
      </c>
      <c r="O276" s="64" t="str">
        <f aca="false">IF($A276="","",N($J276)+L276-M276+N276)</f>
        <v/>
      </c>
      <c r="P276" s="61" t="str">
        <f aca="false">IF($A276="","",IFERROR((N($J276)*N($K276)+SUMIFS(Purchases!$K$5:INDEX(Purchases!$K$5:$K$3004,TxRows),Purchases!$D$5:INDEX(Purchases!$D$5:$D$3004,TxRows),$A276))/(N($J276)+L276),N($G276)))</f>
        <v/>
      </c>
      <c r="Q276" s="61" t="str">
        <f aca="false">IF($A276="","",MAX(0,O276)*P276)</f>
        <v/>
      </c>
      <c r="R276" s="60" t="str">
        <f aca="false">IF($A276="","",IF(O276&lt;0,"NEGATIVE",IF(O276=0,"OUT OF STOCK",IF(O276&lt;=N($I276),"REORDER",IF(AND(O276&gt;0,X276&gt;DeadDays),"DEAD STOCK","OK")))))</f>
        <v/>
      </c>
      <c r="S276" s="65" t="str">
        <f aca="false">IF($A276="","",IF(N($H276)=0,0,(N($H276)-P276)/N($H276)))</f>
        <v/>
      </c>
      <c r="T276" s="64" t="str">
        <f aca="false">IF($A276="","",IF(O276&lt;=N($I276),MAX(0,2*N($I276)-O276),0))</f>
        <v/>
      </c>
      <c r="U276" s="61" t="str">
        <f aca="false">IF($A276="","",SUMIFS(Sales!$L$5:INDEX(Sales!$L$5:$L$3004,TxRows),Sales!$D$5:INDEX(Sales!$D$5:$D$3004,TxRows),$A276))</f>
        <v/>
      </c>
      <c r="V276" s="61" t="str">
        <f aca="false">IF($A276="","",SUMIFS(Sales!$S$5:INDEX(Sales!$S$5:$S$3004,TxRows),Sales!$D$5:INDEX(Sales!$D$5:$D$3004,TxRows),$A276))</f>
        <v/>
      </c>
      <c r="W276" s="66" t="str">
        <f aca="false">IF($A276="","",IFERROR(SUMPRODUCT(MAX((Sales!$D$5:INDEX(Sales!$D$5:$D$3004,TxRows)=$A276)*Sales!$A$5:INDEX(Sales!$A$5:$A$3004,TxRows))),0))</f>
        <v/>
      </c>
      <c r="X276" s="67" t="str">
        <f aca="false">IF($A276="","",IF(W276=0,AsOf-FYStart,AsOf-W276))</f>
        <v/>
      </c>
      <c r="Y276" s="67" t="str">
        <f aca="false">IF($A276="","",IF(M276=0,"",O276/(M276/MAX(1,AsOf-FYStart))))</f>
        <v/>
      </c>
      <c r="Z276" s="60" t="str">
        <f aca="false">IF($A276="","",U276+ROW()/1000000)</f>
        <v/>
      </c>
    </row>
    <row r="277" customFormat="false" ht="15" hidden="false" customHeight="false" outlineLevel="0" collapsed="false">
      <c r="A277" s="56"/>
      <c r="B277" s="56"/>
      <c r="C277" s="56"/>
      <c r="D277" s="56"/>
      <c r="E277" s="56"/>
      <c r="F277" s="63"/>
      <c r="G277" s="58"/>
      <c r="H277" s="58"/>
      <c r="I277" s="57"/>
      <c r="J277" s="57"/>
      <c r="K277" s="58"/>
      <c r="L277" s="64" t="str">
        <f aca="false">IF($A277="","",SUMIFS(Purchases!$E$5:INDEX(Purchases!$E$5:$E$3004,TxRows),Purchases!$D$5:INDEX(Purchases!$D$5:$D$3004,TxRows),$A277))</f>
        <v/>
      </c>
      <c r="M277" s="64" t="str">
        <f aca="false">IF($A277="","",SUMIFS(Sales!$E$5:INDEX(Sales!$E$5:$E$3004,TxRows),Sales!$D$5:INDEX(Sales!$D$5:$D$3004,TxRows),$A277))</f>
        <v/>
      </c>
      <c r="N277" s="64" t="str">
        <f aca="false">IF($A277="","",SUMIFS(Adjustments!$C$5:$C$504,Adjustments!$B$5:$B$504,$A277))</f>
        <v/>
      </c>
      <c r="O277" s="64" t="str">
        <f aca="false">IF($A277="","",N($J277)+L277-M277+N277)</f>
        <v/>
      </c>
      <c r="P277" s="61" t="str">
        <f aca="false">IF($A277="","",IFERROR((N($J277)*N($K277)+SUMIFS(Purchases!$K$5:INDEX(Purchases!$K$5:$K$3004,TxRows),Purchases!$D$5:INDEX(Purchases!$D$5:$D$3004,TxRows),$A277))/(N($J277)+L277),N($G277)))</f>
        <v/>
      </c>
      <c r="Q277" s="61" t="str">
        <f aca="false">IF($A277="","",MAX(0,O277)*P277)</f>
        <v/>
      </c>
      <c r="R277" s="60" t="str">
        <f aca="false">IF($A277="","",IF(O277&lt;0,"NEGATIVE",IF(O277=0,"OUT OF STOCK",IF(O277&lt;=N($I277),"REORDER",IF(AND(O277&gt;0,X277&gt;DeadDays),"DEAD STOCK","OK")))))</f>
        <v/>
      </c>
      <c r="S277" s="65" t="str">
        <f aca="false">IF($A277="","",IF(N($H277)=0,0,(N($H277)-P277)/N($H277)))</f>
        <v/>
      </c>
      <c r="T277" s="64" t="str">
        <f aca="false">IF($A277="","",IF(O277&lt;=N($I277),MAX(0,2*N($I277)-O277),0))</f>
        <v/>
      </c>
      <c r="U277" s="61" t="str">
        <f aca="false">IF($A277="","",SUMIFS(Sales!$L$5:INDEX(Sales!$L$5:$L$3004,TxRows),Sales!$D$5:INDEX(Sales!$D$5:$D$3004,TxRows),$A277))</f>
        <v/>
      </c>
      <c r="V277" s="61" t="str">
        <f aca="false">IF($A277="","",SUMIFS(Sales!$S$5:INDEX(Sales!$S$5:$S$3004,TxRows),Sales!$D$5:INDEX(Sales!$D$5:$D$3004,TxRows),$A277))</f>
        <v/>
      </c>
      <c r="W277" s="66" t="str">
        <f aca="false">IF($A277="","",IFERROR(SUMPRODUCT(MAX((Sales!$D$5:INDEX(Sales!$D$5:$D$3004,TxRows)=$A277)*Sales!$A$5:INDEX(Sales!$A$5:$A$3004,TxRows))),0))</f>
        <v/>
      </c>
      <c r="X277" s="67" t="str">
        <f aca="false">IF($A277="","",IF(W277=0,AsOf-FYStart,AsOf-W277))</f>
        <v/>
      </c>
      <c r="Y277" s="67" t="str">
        <f aca="false">IF($A277="","",IF(M277=0,"",O277/(M277/MAX(1,AsOf-FYStart))))</f>
        <v/>
      </c>
      <c r="Z277" s="60" t="str">
        <f aca="false">IF($A277="","",U277+ROW()/1000000)</f>
        <v/>
      </c>
    </row>
    <row r="278" customFormat="false" ht="15" hidden="false" customHeight="false" outlineLevel="0" collapsed="false">
      <c r="A278" s="56"/>
      <c r="B278" s="56"/>
      <c r="C278" s="56"/>
      <c r="D278" s="56"/>
      <c r="E278" s="56"/>
      <c r="F278" s="63"/>
      <c r="G278" s="58"/>
      <c r="H278" s="58"/>
      <c r="I278" s="57"/>
      <c r="J278" s="57"/>
      <c r="K278" s="58"/>
      <c r="L278" s="64" t="str">
        <f aca="false">IF($A278="","",SUMIFS(Purchases!$E$5:INDEX(Purchases!$E$5:$E$3004,TxRows),Purchases!$D$5:INDEX(Purchases!$D$5:$D$3004,TxRows),$A278))</f>
        <v/>
      </c>
      <c r="M278" s="64" t="str">
        <f aca="false">IF($A278="","",SUMIFS(Sales!$E$5:INDEX(Sales!$E$5:$E$3004,TxRows),Sales!$D$5:INDEX(Sales!$D$5:$D$3004,TxRows),$A278))</f>
        <v/>
      </c>
      <c r="N278" s="64" t="str">
        <f aca="false">IF($A278="","",SUMIFS(Adjustments!$C$5:$C$504,Adjustments!$B$5:$B$504,$A278))</f>
        <v/>
      </c>
      <c r="O278" s="64" t="str">
        <f aca="false">IF($A278="","",N($J278)+L278-M278+N278)</f>
        <v/>
      </c>
      <c r="P278" s="61" t="str">
        <f aca="false">IF($A278="","",IFERROR((N($J278)*N($K278)+SUMIFS(Purchases!$K$5:INDEX(Purchases!$K$5:$K$3004,TxRows),Purchases!$D$5:INDEX(Purchases!$D$5:$D$3004,TxRows),$A278))/(N($J278)+L278),N($G278)))</f>
        <v/>
      </c>
      <c r="Q278" s="61" t="str">
        <f aca="false">IF($A278="","",MAX(0,O278)*P278)</f>
        <v/>
      </c>
      <c r="R278" s="60" t="str">
        <f aca="false">IF($A278="","",IF(O278&lt;0,"NEGATIVE",IF(O278=0,"OUT OF STOCK",IF(O278&lt;=N($I278),"REORDER",IF(AND(O278&gt;0,X278&gt;DeadDays),"DEAD STOCK","OK")))))</f>
        <v/>
      </c>
      <c r="S278" s="65" t="str">
        <f aca="false">IF($A278="","",IF(N($H278)=0,0,(N($H278)-P278)/N($H278)))</f>
        <v/>
      </c>
      <c r="T278" s="64" t="str">
        <f aca="false">IF($A278="","",IF(O278&lt;=N($I278),MAX(0,2*N($I278)-O278),0))</f>
        <v/>
      </c>
      <c r="U278" s="61" t="str">
        <f aca="false">IF($A278="","",SUMIFS(Sales!$L$5:INDEX(Sales!$L$5:$L$3004,TxRows),Sales!$D$5:INDEX(Sales!$D$5:$D$3004,TxRows),$A278))</f>
        <v/>
      </c>
      <c r="V278" s="61" t="str">
        <f aca="false">IF($A278="","",SUMIFS(Sales!$S$5:INDEX(Sales!$S$5:$S$3004,TxRows),Sales!$D$5:INDEX(Sales!$D$5:$D$3004,TxRows),$A278))</f>
        <v/>
      </c>
      <c r="W278" s="66" t="str">
        <f aca="false">IF($A278="","",IFERROR(SUMPRODUCT(MAX((Sales!$D$5:INDEX(Sales!$D$5:$D$3004,TxRows)=$A278)*Sales!$A$5:INDEX(Sales!$A$5:$A$3004,TxRows))),0))</f>
        <v/>
      </c>
      <c r="X278" s="67" t="str">
        <f aca="false">IF($A278="","",IF(W278=0,AsOf-FYStart,AsOf-W278))</f>
        <v/>
      </c>
      <c r="Y278" s="67" t="str">
        <f aca="false">IF($A278="","",IF(M278=0,"",O278/(M278/MAX(1,AsOf-FYStart))))</f>
        <v/>
      </c>
      <c r="Z278" s="60" t="str">
        <f aca="false">IF($A278="","",U278+ROW()/1000000)</f>
        <v/>
      </c>
    </row>
    <row r="279" customFormat="false" ht="15" hidden="false" customHeight="false" outlineLevel="0" collapsed="false">
      <c r="A279" s="56"/>
      <c r="B279" s="56"/>
      <c r="C279" s="56"/>
      <c r="D279" s="56"/>
      <c r="E279" s="56"/>
      <c r="F279" s="63"/>
      <c r="G279" s="58"/>
      <c r="H279" s="58"/>
      <c r="I279" s="57"/>
      <c r="J279" s="57"/>
      <c r="K279" s="58"/>
      <c r="L279" s="64" t="str">
        <f aca="false">IF($A279="","",SUMIFS(Purchases!$E$5:INDEX(Purchases!$E$5:$E$3004,TxRows),Purchases!$D$5:INDEX(Purchases!$D$5:$D$3004,TxRows),$A279))</f>
        <v/>
      </c>
      <c r="M279" s="64" t="str">
        <f aca="false">IF($A279="","",SUMIFS(Sales!$E$5:INDEX(Sales!$E$5:$E$3004,TxRows),Sales!$D$5:INDEX(Sales!$D$5:$D$3004,TxRows),$A279))</f>
        <v/>
      </c>
      <c r="N279" s="64" t="str">
        <f aca="false">IF($A279="","",SUMIFS(Adjustments!$C$5:$C$504,Adjustments!$B$5:$B$504,$A279))</f>
        <v/>
      </c>
      <c r="O279" s="64" t="str">
        <f aca="false">IF($A279="","",N($J279)+L279-M279+N279)</f>
        <v/>
      </c>
      <c r="P279" s="61" t="str">
        <f aca="false">IF($A279="","",IFERROR((N($J279)*N($K279)+SUMIFS(Purchases!$K$5:INDEX(Purchases!$K$5:$K$3004,TxRows),Purchases!$D$5:INDEX(Purchases!$D$5:$D$3004,TxRows),$A279))/(N($J279)+L279),N($G279)))</f>
        <v/>
      </c>
      <c r="Q279" s="61" t="str">
        <f aca="false">IF($A279="","",MAX(0,O279)*P279)</f>
        <v/>
      </c>
      <c r="R279" s="60" t="str">
        <f aca="false">IF($A279="","",IF(O279&lt;0,"NEGATIVE",IF(O279=0,"OUT OF STOCK",IF(O279&lt;=N($I279),"REORDER",IF(AND(O279&gt;0,X279&gt;DeadDays),"DEAD STOCK","OK")))))</f>
        <v/>
      </c>
      <c r="S279" s="65" t="str">
        <f aca="false">IF($A279="","",IF(N($H279)=0,0,(N($H279)-P279)/N($H279)))</f>
        <v/>
      </c>
      <c r="T279" s="64" t="str">
        <f aca="false">IF($A279="","",IF(O279&lt;=N($I279),MAX(0,2*N($I279)-O279),0))</f>
        <v/>
      </c>
      <c r="U279" s="61" t="str">
        <f aca="false">IF($A279="","",SUMIFS(Sales!$L$5:INDEX(Sales!$L$5:$L$3004,TxRows),Sales!$D$5:INDEX(Sales!$D$5:$D$3004,TxRows),$A279))</f>
        <v/>
      </c>
      <c r="V279" s="61" t="str">
        <f aca="false">IF($A279="","",SUMIFS(Sales!$S$5:INDEX(Sales!$S$5:$S$3004,TxRows),Sales!$D$5:INDEX(Sales!$D$5:$D$3004,TxRows),$A279))</f>
        <v/>
      </c>
      <c r="W279" s="66" t="str">
        <f aca="false">IF($A279="","",IFERROR(SUMPRODUCT(MAX((Sales!$D$5:INDEX(Sales!$D$5:$D$3004,TxRows)=$A279)*Sales!$A$5:INDEX(Sales!$A$5:$A$3004,TxRows))),0))</f>
        <v/>
      </c>
      <c r="X279" s="67" t="str">
        <f aca="false">IF($A279="","",IF(W279=0,AsOf-FYStart,AsOf-W279))</f>
        <v/>
      </c>
      <c r="Y279" s="67" t="str">
        <f aca="false">IF($A279="","",IF(M279=0,"",O279/(M279/MAX(1,AsOf-FYStart))))</f>
        <v/>
      </c>
      <c r="Z279" s="60" t="str">
        <f aca="false">IF($A279="","",U279+ROW()/1000000)</f>
        <v/>
      </c>
    </row>
    <row r="280" customFormat="false" ht="15" hidden="false" customHeight="false" outlineLevel="0" collapsed="false">
      <c r="A280" s="56"/>
      <c r="B280" s="56"/>
      <c r="C280" s="56"/>
      <c r="D280" s="56"/>
      <c r="E280" s="56"/>
      <c r="F280" s="63"/>
      <c r="G280" s="58"/>
      <c r="H280" s="58"/>
      <c r="I280" s="57"/>
      <c r="J280" s="57"/>
      <c r="K280" s="58"/>
      <c r="L280" s="64" t="str">
        <f aca="false">IF($A280="","",SUMIFS(Purchases!$E$5:INDEX(Purchases!$E$5:$E$3004,TxRows),Purchases!$D$5:INDEX(Purchases!$D$5:$D$3004,TxRows),$A280))</f>
        <v/>
      </c>
      <c r="M280" s="64" t="str">
        <f aca="false">IF($A280="","",SUMIFS(Sales!$E$5:INDEX(Sales!$E$5:$E$3004,TxRows),Sales!$D$5:INDEX(Sales!$D$5:$D$3004,TxRows),$A280))</f>
        <v/>
      </c>
      <c r="N280" s="64" t="str">
        <f aca="false">IF($A280="","",SUMIFS(Adjustments!$C$5:$C$504,Adjustments!$B$5:$B$504,$A280))</f>
        <v/>
      </c>
      <c r="O280" s="64" t="str">
        <f aca="false">IF($A280="","",N($J280)+L280-M280+N280)</f>
        <v/>
      </c>
      <c r="P280" s="61" t="str">
        <f aca="false">IF($A280="","",IFERROR((N($J280)*N($K280)+SUMIFS(Purchases!$K$5:INDEX(Purchases!$K$5:$K$3004,TxRows),Purchases!$D$5:INDEX(Purchases!$D$5:$D$3004,TxRows),$A280))/(N($J280)+L280),N($G280)))</f>
        <v/>
      </c>
      <c r="Q280" s="61" t="str">
        <f aca="false">IF($A280="","",MAX(0,O280)*P280)</f>
        <v/>
      </c>
      <c r="R280" s="60" t="str">
        <f aca="false">IF($A280="","",IF(O280&lt;0,"NEGATIVE",IF(O280=0,"OUT OF STOCK",IF(O280&lt;=N($I280),"REORDER",IF(AND(O280&gt;0,X280&gt;DeadDays),"DEAD STOCK","OK")))))</f>
        <v/>
      </c>
      <c r="S280" s="65" t="str">
        <f aca="false">IF($A280="","",IF(N($H280)=0,0,(N($H280)-P280)/N($H280)))</f>
        <v/>
      </c>
      <c r="T280" s="64" t="str">
        <f aca="false">IF($A280="","",IF(O280&lt;=N($I280),MAX(0,2*N($I280)-O280),0))</f>
        <v/>
      </c>
      <c r="U280" s="61" t="str">
        <f aca="false">IF($A280="","",SUMIFS(Sales!$L$5:INDEX(Sales!$L$5:$L$3004,TxRows),Sales!$D$5:INDEX(Sales!$D$5:$D$3004,TxRows),$A280))</f>
        <v/>
      </c>
      <c r="V280" s="61" t="str">
        <f aca="false">IF($A280="","",SUMIFS(Sales!$S$5:INDEX(Sales!$S$5:$S$3004,TxRows),Sales!$D$5:INDEX(Sales!$D$5:$D$3004,TxRows),$A280))</f>
        <v/>
      </c>
      <c r="W280" s="66" t="str">
        <f aca="false">IF($A280="","",IFERROR(SUMPRODUCT(MAX((Sales!$D$5:INDEX(Sales!$D$5:$D$3004,TxRows)=$A280)*Sales!$A$5:INDEX(Sales!$A$5:$A$3004,TxRows))),0))</f>
        <v/>
      </c>
      <c r="X280" s="67" t="str">
        <f aca="false">IF($A280="","",IF(W280=0,AsOf-FYStart,AsOf-W280))</f>
        <v/>
      </c>
      <c r="Y280" s="67" t="str">
        <f aca="false">IF($A280="","",IF(M280=0,"",O280/(M280/MAX(1,AsOf-FYStart))))</f>
        <v/>
      </c>
      <c r="Z280" s="60" t="str">
        <f aca="false">IF($A280="","",U280+ROW()/1000000)</f>
        <v/>
      </c>
    </row>
    <row r="281" customFormat="false" ht="15" hidden="false" customHeight="false" outlineLevel="0" collapsed="false">
      <c r="A281" s="56"/>
      <c r="B281" s="56"/>
      <c r="C281" s="56"/>
      <c r="D281" s="56"/>
      <c r="E281" s="56"/>
      <c r="F281" s="63"/>
      <c r="G281" s="58"/>
      <c r="H281" s="58"/>
      <c r="I281" s="57"/>
      <c r="J281" s="57"/>
      <c r="K281" s="58"/>
      <c r="L281" s="64" t="str">
        <f aca="false">IF($A281="","",SUMIFS(Purchases!$E$5:INDEX(Purchases!$E$5:$E$3004,TxRows),Purchases!$D$5:INDEX(Purchases!$D$5:$D$3004,TxRows),$A281))</f>
        <v/>
      </c>
      <c r="M281" s="64" t="str">
        <f aca="false">IF($A281="","",SUMIFS(Sales!$E$5:INDEX(Sales!$E$5:$E$3004,TxRows),Sales!$D$5:INDEX(Sales!$D$5:$D$3004,TxRows),$A281))</f>
        <v/>
      </c>
      <c r="N281" s="64" t="str">
        <f aca="false">IF($A281="","",SUMIFS(Adjustments!$C$5:$C$504,Adjustments!$B$5:$B$504,$A281))</f>
        <v/>
      </c>
      <c r="O281" s="64" t="str">
        <f aca="false">IF($A281="","",N($J281)+L281-M281+N281)</f>
        <v/>
      </c>
      <c r="P281" s="61" t="str">
        <f aca="false">IF($A281="","",IFERROR((N($J281)*N($K281)+SUMIFS(Purchases!$K$5:INDEX(Purchases!$K$5:$K$3004,TxRows),Purchases!$D$5:INDEX(Purchases!$D$5:$D$3004,TxRows),$A281))/(N($J281)+L281),N($G281)))</f>
        <v/>
      </c>
      <c r="Q281" s="61" t="str">
        <f aca="false">IF($A281="","",MAX(0,O281)*P281)</f>
        <v/>
      </c>
      <c r="R281" s="60" t="str">
        <f aca="false">IF($A281="","",IF(O281&lt;0,"NEGATIVE",IF(O281=0,"OUT OF STOCK",IF(O281&lt;=N($I281),"REORDER",IF(AND(O281&gt;0,X281&gt;DeadDays),"DEAD STOCK","OK")))))</f>
        <v/>
      </c>
      <c r="S281" s="65" t="str">
        <f aca="false">IF($A281="","",IF(N($H281)=0,0,(N($H281)-P281)/N($H281)))</f>
        <v/>
      </c>
      <c r="T281" s="64" t="str">
        <f aca="false">IF($A281="","",IF(O281&lt;=N($I281),MAX(0,2*N($I281)-O281),0))</f>
        <v/>
      </c>
      <c r="U281" s="61" t="str">
        <f aca="false">IF($A281="","",SUMIFS(Sales!$L$5:INDEX(Sales!$L$5:$L$3004,TxRows),Sales!$D$5:INDEX(Sales!$D$5:$D$3004,TxRows),$A281))</f>
        <v/>
      </c>
      <c r="V281" s="61" t="str">
        <f aca="false">IF($A281="","",SUMIFS(Sales!$S$5:INDEX(Sales!$S$5:$S$3004,TxRows),Sales!$D$5:INDEX(Sales!$D$5:$D$3004,TxRows),$A281))</f>
        <v/>
      </c>
      <c r="W281" s="66" t="str">
        <f aca="false">IF($A281="","",IFERROR(SUMPRODUCT(MAX((Sales!$D$5:INDEX(Sales!$D$5:$D$3004,TxRows)=$A281)*Sales!$A$5:INDEX(Sales!$A$5:$A$3004,TxRows))),0))</f>
        <v/>
      </c>
      <c r="X281" s="67" t="str">
        <f aca="false">IF($A281="","",IF(W281=0,AsOf-FYStart,AsOf-W281))</f>
        <v/>
      </c>
      <c r="Y281" s="67" t="str">
        <f aca="false">IF($A281="","",IF(M281=0,"",O281/(M281/MAX(1,AsOf-FYStart))))</f>
        <v/>
      </c>
      <c r="Z281" s="60" t="str">
        <f aca="false">IF($A281="","",U281+ROW()/1000000)</f>
        <v/>
      </c>
    </row>
    <row r="282" customFormat="false" ht="15" hidden="false" customHeight="false" outlineLevel="0" collapsed="false">
      <c r="A282" s="56"/>
      <c r="B282" s="56"/>
      <c r="C282" s="56"/>
      <c r="D282" s="56"/>
      <c r="E282" s="56"/>
      <c r="F282" s="63"/>
      <c r="G282" s="58"/>
      <c r="H282" s="58"/>
      <c r="I282" s="57"/>
      <c r="J282" s="57"/>
      <c r="K282" s="58"/>
      <c r="L282" s="64" t="str">
        <f aca="false">IF($A282="","",SUMIFS(Purchases!$E$5:INDEX(Purchases!$E$5:$E$3004,TxRows),Purchases!$D$5:INDEX(Purchases!$D$5:$D$3004,TxRows),$A282))</f>
        <v/>
      </c>
      <c r="M282" s="64" t="str">
        <f aca="false">IF($A282="","",SUMIFS(Sales!$E$5:INDEX(Sales!$E$5:$E$3004,TxRows),Sales!$D$5:INDEX(Sales!$D$5:$D$3004,TxRows),$A282))</f>
        <v/>
      </c>
      <c r="N282" s="64" t="str">
        <f aca="false">IF($A282="","",SUMIFS(Adjustments!$C$5:$C$504,Adjustments!$B$5:$B$504,$A282))</f>
        <v/>
      </c>
      <c r="O282" s="64" t="str">
        <f aca="false">IF($A282="","",N($J282)+L282-M282+N282)</f>
        <v/>
      </c>
      <c r="P282" s="61" t="str">
        <f aca="false">IF($A282="","",IFERROR((N($J282)*N($K282)+SUMIFS(Purchases!$K$5:INDEX(Purchases!$K$5:$K$3004,TxRows),Purchases!$D$5:INDEX(Purchases!$D$5:$D$3004,TxRows),$A282))/(N($J282)+L282),N($G282)))</f>
        <v/>
      </c>
      <c r="Q282" s="61" t="str">
        <f aca="false">IF($A282="","",MAX(0,O282)*P282)</f>
        <v/>
      </c>
      <c r="R282" s="60" t="str">
        <f aca="false">IF($A282="","",IF(O282&lt;0,"NEGATIVE",IF(O282=0,"OUT OF STOCK",IF(O282&lt;=N($I282),"REORDER",IF(AND(O282&gt;0,X282&gt;DeadDays),"DEAD STOCK","OK")))))</f>
        <v/>
      </c>
      <c r="S282" s="65" t="str">
        <f aca="false">IF($A282="","",IF(N($H282)=0,0,(N($H282)-P282)/N($H282)))</f>
        <v/>
      </c>
      <c r="T282" s="64" t="str">
        <f aca="false">IF($A282="","",IF(O282&lt;=N($I282),MAX(0,2*N($I282)-O282),0))</f>
        <v/>
      </c>
      <c r="U282" s="61" t="str">
        <f aca="false">IF($A282="","",SUMIFS(Sales!$L$5:INDEX(Sales!$L$5:$L$3004,TxRows),Sales!$D$5:INDEX(Sales!$D$5:$D$3004,TxRows),$A282))</f>
        <v/>
      </c>
      <c r="V282" s="61" t="str">
        <f aca="false">IF($A282="","",SUMIFS(Sales!$S$5:INDEX(Sales!$S$5:$S$3004,TxRows),Sales!$D$5:INDEX(Sales!$D$5:$D$3004,TxRows),$A282))</f>
        <v/>
      </c>
      <c r="W282" s="66" t="str">
        <f aca="false">IF($A282="","",IFERROR(SUMPRODUCT(MAX((Sales!$D$5:INDEX(Sales!$D$5:$D$3004,TxRows)=$A282)*Sales!$A$5:INDEX(Sales!$A$5:$A$3004,TxRows))),0))</f>
        <v/>
      </c>
      <c r="X282" s="67" t="str">
        <f aca="false">IF($A282="","",IF(W282=0,AsOf-FYStart,AsOf-W282))</f>
        <v/>
      </c>
      <c r="Y282" s="67" t="str">
        <f aca="false">IF($A282="","",IF(M282=0,"",O282/(M282/MAX(1,AsOf-FYStart))))</f>
        <v/>
      </c>
      <c r="Z282" s="60" t="str">
        <f aca="false">IF($A282="","",U282+ROW()/1000000)</f>
        <v/>
      </c>
    </row>
    <row r="283" customFormat="false" ht="15" hidden="false" customHeight="false" outlineLevel="0" collapsed="false">
      <c r="A283" s="56"/>
      <c r="B283" s="56"/>
      <c r="C283" s="56"/>
      <c r="D283" s="56"/>
      <c r="E283" s="56"/>
      <c r="F283" s="63"/>
      <c r="G283" s="58"/>
      <c r="H283" s="58"/>
      <c r="I283" s="57"/>
      <c r="J283" s="57"/>
      <c r="K283" s="58"/>
      <c r="L283" s="64" t="str">
        <f aca="false">IF($A283="","",SUMIFS(Purchases!$E$5:INDEX(Purchases!$E$5:$E$3004,TxRows),Purchases!$D$5:INDEX(Purchases!$D$5:$D$3004,TxRows),$A283))</f>
        <v/>
      </c>
      <c r="M283" s="64" t="str">
        <f aca="false">IF($A283="","",SUMIFS(Sales!$E$5:INDEX(Sales!$E$5:$E$3004,TxRows),Sales!$D$5:INDEX(Sales!$D$5:$D$3004,TxRows),$A283))</f>
        <v/>
      </c>
      <c r="N283" s="64" t="str">
        <f aca="false">IF($A283="","",SUMIFS(Adjustments!$C$5:$C$504,Adjustments!$B$5:$B$504,$A283))</f>
        <v/>
      </c>
      <c r="O283" s="64" t="str">
        <f aca="false">IF($A283="","",N($J283)+L283-M283+N283)</f>
        <v/>
      </c>
      <c r="P283" s="61" t="str">
        <f aca="false">IF($A283="","",IFERROR((N($J283)*N($K283)+SUMIFS(Purchases!$K$5:INDEX(Purchases!$K$5:$K$3004,TxRows),Purchases!$D$5:INDEX(Purchases!$D$5:$D$3004,TxRows),$A283))/(N($J283)+L283),N($G283)))</f>
        <v/>
      </c>
      <c r="Q283" s="61" t="str">
        <f aca="false">IF($A283="","",MAX(0,O283)*P283)</f>
        <v/>
      </c>
      <c r="R283" s="60" t="str">
        <f aca="false">IF($A283="","",IF(O283&lt;0,"NEGATIVE",IF(O283=0,"OUT OF STOCK",IF(O283&lt;=N($I283),"REORDER",IF(AND(O283&gt;0,X283&gt;DeadDays),"DEAD STOCK","OK")))))</f>
        <v/>
      </c>
      <c r="S283" s="65" t="str">
        <f aca="false">IF($A283="","",IF(N($H283)=0,0,(N($H283)-P283)/N($H283)))</f>
        <v/>
      </c>
      <c r="T283" s="64" t="str">
        <f aca="false">IF($A283="","",IF(O283&lt;=N($I283),MAX(0,2*N($I283)-O283),0))</f>
        <v/>
      </c>
      <c r="U283" s="61" t="str">
        <f aca="false">IF($A283="","",SUMIFS(Sales!$L$5:INDEX(Sales!$L$5:$L$3004,TxRows),Sales!$D$5:INDEX(Sales!$D$5:$D$3004,TxRows),$A283))</f>
        <v/>
      </c>
      <c r="V283" s="61" t="str">
        <f aca="false">IF($A283="","",SUMIFS(Sales!$S$5:INDEX(Sales!$S$5:$S$3004,TxRows),Sales!$D$5:INDEX(Sales!$D$5:$D$3004,TxRows),$A283))</f>
        <v/>
      </c>
      <c r="W283" s="66" t="str">
        <f aca="false">IF($A283="","",IFERROR(SUMPRODUCT(MAX((Sales!$D$5:INDEX(Sales!$D$5:$D$3004,TxRows)=$A283)*Sales!$A$5:INDEX(Sales!$A$5:$A$3004,TxRows))),0))</f>
        <v/>
      </c>
      <c r="X283" s="67" t="str">
        <f aca="false">IF($A283="","",IF(W283=0,AsOf-FYStart,AsOf-W283))</f>
        <v/>
      </c>
      <c r="Y283" s="67" t="str">
        <f aca="false">IF($A283="","",IF(M283=0,"",O283/(M283/MAX(1,AsOf-FYStart))))</f>
        <v/>
      </c>
      <c r="Z283" s="60" t="str">
        <f aca="false">IF($A283="","",U283+ROW()/1000000)</f>
        <v/>
      </c>
    </row>
    <row r="284" customFormat="false" ht="15" hidden="false" customHeight="false" outlineLevel="0" collapsed="false">
      <c r="A284" s="56"/>
      <c r="B284" s="56"/>
      <c r="C284" s="56"/>
      <c r="D284" s="56"/>
      <c r="E284" s="56"/>
      <c r="F284" s="63"/>
      <c r="G284" s="58"/>
      <c r="H284" s="58"/>
      <c r="I284" s="57"/>
      <c r="J284" s="57"/>
      <c r="K284" s="58"/>
      <c r="L284" s="64" t="str">
        <f aca="false">IF($A284="","",SUMIFS(Purchases!$E$5:INDEX(Purchases!$E$5:$E$3004,TxRows),Purchases!$D$5:INDEX(Purchases!$D$5:$D$3004,TxRows),$A284))</f>
        <v/>
      </c>
      <c r="M284" s="64" t="str">
        <f aca="false">IF($A284="","",SUMIFS(Sales!$E$5:INDEX(Sales!$E$5:$E$3004,TxRows),Sales!$D$5:INDEX(Sales!$D$5:$D$3004,TxRows),$A284))</f>
        <v/>
      </c>
      <c r="N284" s="64" t="str">
        <f aca="false">IF($A284="","",SUMIFS(Adjustments!$C$5:$C$504,Adjustments!$B$5:$B$504,$A284))</f>
        <v/>
      </c>
      <c r="O284" s="64" t="str">
        <f aca="false">IF($A284="","",N($J284)+L284-M284+N284)</f>
        <v/>
      </c>
      <c r="P284" s="61" t="str">
        <f aca="false">IF($A284="","",IFERROR((N($J284)*N($K284)+SUMIFS(Purchases!$K$5:INDEX(Purchases!$K$5:$K$3004,TxRows),Purchases!$D$5:INDEX(Purchases!$D$5:$D$3004,TxRows),$A284))/(N($J284)+L284),N($G284)))</f>
        <v/>
      </c>
      <c r="Q284" s="61" t="str">
        <f aca="false">IF($A284="","",MAX(0,O284)*P284)</f>
        <v/>
      </c>
      <c r="R284" s="60" t="str">
        <f aca="false">IF($A284="","",IF(O284&lt;0,"NEGATIVE",IF(O284=0,"OUT OF STOCK",IF(O284&lt;=N($I284),"REORDER",IF(AND(O284&gt;0,X284&gt;DeadDays),"DEAD STOCK","OK")))))</f>
        <v/>
      </c>
      <c r="S284" s="65" t="str">
        <f aca="false">IF($A284="","",IF(N($H284)=0,0,(N($H284)-P284)/N($H284)))</f>
        <v/>
      </c>
      <c r="T284" s="64" t="str">
        <f aca="false">IF($A284="","",IF(O284&lt;=N($I284),MAX(0,2*N($I284)-O284),0))</f>
        <v/>
      </c>
      <c r="U284" s="61" t="str">
        <f aca="false">IF($A284="","",SUMIFS(Sales!$L$5:INDEX(Sales!$L$5:$L$3004,TxRows),Sales!$D$5:INDEX(Sales!$D$5:$D$3004,TxRows),$A284))</f>
        <v/>
      </c>
      <c r="V284" s="61" t="str">
        <f aca="false">IF($A284="","",SUMIFS(Sales!$S$5:INDEX(Sales!$S$5:$S$3004,TxRows),Sales!$D$5:INDEX(Sales!$D$5:$D$3004,TxRows),$A284))</f>
        <v/>
      </c>
      <c r="W284" s="66" t="str">
        <f aca="false">IF($A284="","",IFERROR(SUMPRODUCT(MAX((Sales!$D$5:INDEX(Sales!$D$5:$D$3004,TxRows)=$A284)*Sales!$A$5:INDEX(Sales!$A$5:$A$3004,TxRows))),0))</f>
        <v/>
      </c>
      <c r="X284" s="67" t="str">
        <f aca="false">IF($A284="","",IF(W284=0,AsOf-FYStart,AsOf-W284))</f>
        <v/>
      </c>
      <c r="Y284" s="67" t="str">
        <f aca="false">IF($A284="","",IF(M284=0,"",O284/(M284/MAX(1,AsOf-FYStart))))</f>
        <v/>
      </c>
      <c r="Z284" s="60" t="str">
        <f aca="false">IF($A284="","",U284+ROW()/1000000)</f>
        <v/>
      </c>
    </row>
    <row r="285" customFormat="false" ht="15" hidden="false" customHeight="false" outlineLevel="0" collapsed="false">
      <c r="A285" s="56"/>
      <c r="B285" s="56"/>
      <c r="C285" s="56"/>
      <c r="D285" s="56"/>
      <c r="E285" s="56"/>
      <c r="F285" s="63"/>
      <c r="G285" s="58"/>
      <c r="H285" s="58"/>
      <c r="I285" s="57"/>
      <c r="J285" s="57"/>
      <c r="K285" s="58"/>
      <c r="L285" s="64" t="str">
        <f aca="false">IF($A285="","",SUMIFS(Purchases!$E$5:INDEX(Purchases!$E$5:$E$3004,TxRows),Purchases!$D$5:INDEX(Purchases!$D$5:$D$3004,TxRows),$A285))</f>
        <v/>
      </c>
      <c r="M285" s="64" t="str">
        <f aca="false">IF($A285="","",SUMIFS(Sales!$E$5:INDEX(Sales!$E$5:$E$3004,TxRows),Sales!$D$5:INDEX(Sales!$D$5:$D$3004,TxRows),$A285))</f>
        <v/>
      </c>
      <c r="N285" s="64" t="str">
        <f aca="false">IF($A285="","",SUMIFS(Adjustments!$C$5:$C$504,Adjustments!$B$5:$B$504,$A285))</f>
        <v/>
      </c>
      <c r="O285" s="64" t="str">
        <f aca="false">IF($A285="","",N($J285)+L285-M285+N285)</f>
        <v/>
      </c>
      <c r="P285" s="61" t="str">
        <f aca="false">IF($A285="","",IFERROR((N($J285)*N($K285)+SUMIFS(Purchases!$K$5:INDEX(Purchases!$K$5:$K$3004,TxRows),Purchases!$D$5:INDEX(Purchases!$D$5:$D$3004,TxRows),$A285))/(N($J285)+L285),N($G285)))</f>
        <v/>
      </c>
      <c r="Q285" s="61" t="str">
        <f aca="false">IF($A285="","",MAX(0,O285)*P285)</f>
        <v/>
      </c>
      <c r="R285" s="60" t="str">
        <f aca="false">IF($A285="","",IF(O285&lt;0,"NEGATIVE",IF(O285=0,"OUT OF STOCK",IF(O285&lt;=N($I285),"REORDER",IF(AND(O285&gt;0,X285&gt;DeadDays),"DEAD STOCK","OK")))))</f>
        <v/>
      </c>
      <c r="S285" s="65" t="str">
        <f aca="false">IF($A285="","",IF(N($H285)=0,0,(N($H285)-P285)/N($H285)))</f>
        <v/>
      </c>
      <c r="T285" s="64" t="str">
        <f aca="false">IF($A285="","",IF(O285&lt;=N($I285),MAX(0,2*N($I285)-O285),0))</f>
        <v/>
      </c>
      <c r="U285" s="61" t="str">
        <f aca="false">IF($A285="","",SUMIFS(Sales!$L$5:INDEX(Sales!$L$5:$L$3004,TxRows),Sales!$D$5:INDEX(Sales!$D$5:$D$3004,TxRows),$A285))</f>
        <v/>
      </c>
      <c r="V285" s="61" t="str">
        <f aca="false">IF($A285="","",SUMIFS(Sales!$S$5:INDEX(Sales!$S$5:$S$3004,TxRows),Sales!$D$5:INDEX(Sales!$D$5:$D$3004,TxRows),$A285))</f>
        <v/>
      </c>
      <c r="W285" s="66" t="str">
        <f aca="false">IF($A285="","",IFERROR(SUMPRODUCT(MAX((Sales!$D$5:INDEX(Sales!$D$5:$D$3004,TxRows)=$A285)*Sales!$A$5:INDEX(Sales!$A$5:$A$3004,TxRows))),0))</f>
        <v/>
      </c>
      <c r="X285" s="67" t="str">
        <f aca="false">IF($A285="","",IF(W285=0,AsOf-FYStart,AsOf-W285))</f>
        <v/>
      </c>
      <c r="Y285" s="67" t="str">
        <f aca="false">IF($A285="","",IF(M285=0,"",O285/(M285/MAX(1,AsOf-FYStart))))</f>
        <v/>
      </c>
      <c r="Z285" s="60" t="str">
        <f aca="false">IF($A285="","",U285+ROW()/1000000)</f>
        <v/>
      </c>
    </row>
    <row r="286" customFormat="false" ht="15" hidden="false" customHeight="false" outlineLevel="0" collapsed="false">
      <c r="A286" s="56"/>
      <c r="B286" s="56"/>
      <c r="C286" s="56"/>
      <c r="D286" s="56"/>
      <c r="E286" s="56"/>
      <c r="F286" s="63"/>
      <c r="G286" s="58"/>
      <c r="H286" s="58"/>
      <c r="I286" s="57"/>
      <c r="J286" s="57"/>
      <c r="K286" s="58"/>
      <c r="L286" s="64" t="str">
        <f aca="false">IF($A286="","",SUMIFS(Purchases!$E$5:INDEX(Purchases!$E$5:$E$3004,TxRows),Purchases!$D$5:INDEX(Purchases!$D$5:$D$3004,TxRows),$A286))</f>
        <v/>
      </c>
      <c r="M286" s="64" t="str">
        <f aca="false">IF($A286="","",SUMIFS(Sales!$E$5:INDEX(Sales!$E$5:$E$3004,TxRows),Sales!$D$5:INDEX(Sales!$D$5:$D$3004,TxRows),$A286))</f>
        <v/>
      </c>
      <c r="N286" s="64" t="str">
        <f aca="false">IF($A286="","",SUMIFS(Adjustments!$C$5:$C$504,Adjustments!$B$5:$B$504,$A286))</f>
        <v/>
      </c>
      <c r="O286" s="64" t="str">
        <f aca="false">IF($A286="","",N($J286)+L286-M286+N286)</f>
        <v/>
      </c>
      <c r="P286" s="61" t="str">
        <f aca="false">IF($A286="","",IFERROR((N($J286)*N($K286)+SUMIFS(Purchases!$K$5:INDEX(Purchases!$K$5:$K$3004,TxRows),Purchases!$D$5:INDEX(Purchases!$D$5:$D$3004,TxRows),$A286))/(N($J286)+L286),N($G286)))</f>
        <v/>
      </c>
      <c r="Q286" s="61" t="str">
        <f aca="false">IF($A286="","",MAX(0,O286)*P286)</f>
        <v/>
      </c>
      <c r="R286" s="60" t="str">
        <f aca="false">IF($A286="","",IF(O286&lt;0,"NEGATIVE",IF(O286=0,"OUT OF STOCK",IF(O286&lt;=N($I286),"REORDER",IF(AND(O286&gt;0,X286&gt;DeadDays),"DEAD STOCK","OK")))))</f>
        <v/>
      </c>
      <c r="S286" s="65" t="str">
        <f aca="false">IF($A286="","",IF(N($H286)=0,0,(N($H286)-P286)/N($H286)))</f>
        <v/>
      </c>
      <c r="T286" s="64" t="str">
        <f aca="false">IF($A286="","",IF(O286&lt;=N($I286),MAX(0,2*N($I286)-O286),0))</f>
        <v/>
      </c>
      <c r="U286" s="61" t="str">
        <f aca="false">IF($A286="","",SUMIFS(Sales!$L$5:INDEX(Sales!$L$5:$L$3004,TxRows),Sales!$D$5:INDEX(Sales!$D$5:$D$3004,TxRows),$A286))</f>
        <v/>
      </c>
      <c r="V286" s="61" t="str">
        <f aca="false">IF($A286="","",SUMIFS(Sales!$S$5:INDEX(Sales!$S$5:$S$3004,TxRows),Sales!$D$5:INDEX(Sales!$D$5:$D$3004,TxRows),$A286))</f>
        <v/>
      </c>
      <c r="W286" s="66" t="str">
        <f aca="false">IF($A286="","",IFERROR(SUMPRODUCT(MAX((Sales!$D$5:INDEX(Sales!$D$5:$D$3004,TxRows)=$A286)*Sales!$A$5:INDEX(Sales!$A$5:$A$3004,TxRows))),0))</f>
        <v/>
      </c>
      <c r="X286" s="67" t="str">
        <f aca="false">IF($A286="","",IF(W286=0,AsOf-FYStart,AsOf-W286))</f>
        <v/>
      </c>
      <c r="Y286" s="67" t="str">
        <f aca="false">IF($A286="","",IF(M286=0,"",O286/(M286/MAX(1,AsOf-FYStart))))</f>
        <v/>
      </c>
      <c r="Z286" s="60" t="str">
        <f aca="false">IF($A286="","",U286+ROW()/1000000)</f>
        <v/>
      </c>
    </row>
    <row r="287" customFormat="false" ht="15" hidden="false" customHeight="false" outlineLevel="0" collapsed="false">
      <c r="A287" s="56"/>
      <c r="B287" s="56"/>
      <c r="C287" s="56"/>
      <c r="D287" s="56"/>
      <c r="E287" s="56"/>
      <c r="F287" s="63"/>
      <c r="G287" s="58"/>
      <c r="H287" s="58"/>
      <c r="I287" s="57"/>
      <c r="J287" s="57"/>
      <c r="K287" s="58"/>
      <c r="L287" s="64" t="str">
        <f aca="false">IF($A287="","",SUMIFS(Purchases!$E$5:INDEX(Purchases!$E$5:$E$3004,TxRows),Purchases!$D$5:INDEX(Purchases!$D$5:$D$3004,TxRows),$A287))</f>
        <v/>
      </c>
      <c r="M287" s="64" t="str">
        <f aca="false">IF($A287="","",SUMIFS(Sales!$E$5:INDEX(Sales!$E$5:$E$3004,TxRows),Sales!$D$5:INDEX(Sales!$D$5:$D$3004,TxRows),$A287))</f>
        <v/>
      </c>
      <c r="N287" s="64" t="str">
        <f aca="false">IF($A287="","",SUMIFS(Adjustments!$C$5:$C$504,Adjustments!$B$5:$B$504,$A287))</f>
        <v/>
      </c>
      <c r="O287" s="64" t="str">
        <f aca="false">IF($A287="","",N($J287)+L287-M287+N287)</f>
        <v/>
      </c>
      <c r="P287" s="61" t="str">
        <f aca="false">IF($A287="","",IFERROR((N($J287)*N($K287)+SUMIFS(Purchases!$K$5:INDEX(Purchases!$K$5:$K$3004,TxRows),Purchases!$D$5:INDEX(Purchases!$D$5:$D$3004,TxRows),$A287))/(N($J287)+L287),N($G287)))</f>
        <v/>
      </c>
      <c r="Q287" s="61" t="str">
        <f aca="false">IF($A287="","",MAX(0,O287)*P287)</f>
        <v/>
      </c>
      <c r="R287" s="60" t="str">
        <f aca="false">IF($A287="","",IF(O287&lt;0,"NEGATIVE",IF(O287=0,"OUT OF STOCK",IF(O287&lt;=N($I287),"REORDER",IF(AND(O287&gt;0,X287&gt;DeadDays),"DEAD STOCK","OK")))))</f>
        <v/>
      </c>
      <c r="S287" s="65" t="str">
        <f aca="false">IF($A287="","",IF(N($H287)=0,0,(N($H287)-P287)/N($H287)))</f>
        <v/>
      </c>
      <c r="T287" s="64" t="str">
        <f aca="false">IF($A287="","",IF(O287&lt;=N($I287),MAX(0,2*N($I287)-O287),0))</f>
        <v/>
      </c>
      <c r="U287" s="61" t="str">
        <f aca="false">IF($A287="","",SUMIFS(Sales!$L$5:INDEX(Sales!$L$5:$L$3004,TxRows),Sales!$D$5:INDEX(Sales!$D$5:$D$3004,TxRows),$A287))</f>
        <v/>
      </c>
      <c r="V287" s="61" t="str">
        <f aca="false">IF($A287="","",SUMIFS(Sales!$S$5:INDEX(Sales!$S$5:$S$3004,TxRows),Sales!$D$5:INDEX(Sales!$D$5:$D$3004,TxRows),$A287))</f>
        <v/>
      </c>
      <c r="W287" s="66" t="str">
        <f aca="false">IF($A287="","",IFERROR(SUMPRODUCT(MAX((Sales!$D$5:INDEX(Sales!$D$5:$D$3004,TxRows)=$A287)*Sales!$A$5:INDEX(Sales!$A$5:$A$3004,TxRows))),0))</f>
        <v/>
      </c>
      <c r="X287" s="67" t="str">
        <f aca="false">IF($A287="","",IF(W287=0,AsOf-FYStart,AsOf-W287))</f>
        <v/>
      </c>
      <c r="Y287" s="67" t="str">
        <f aca="false">IF($A287="","",IF(M287=0,"",O287/(M287/MAX(1,AsOf-FYStart))))</f>
        <v/>
      </c>
      <c r="Z287" s="60" t="str">
        <f aca="false">IF($A287="","",U287+ROW()/1000000)</f>
        <v/>
      </c>
    </row>
    <row r="288" customFormat="false" ht="15" hidden="false" customHeight="false" outlineLevel="0" collapsed="false">
      <c r="A288" s="56"/>
      <c r="B288" s="56"/>
      <c r="C288" s="56"/>
      <c r="D288" s="56"/>
      <c r="E288" s="56"/>
      <c r="F288" s="63"/>
      <c r="G288" s="58"/>
      <c r="H288" s="58"/>
      <c r="I288" s="57"/>
      <c r="J288" s="57"/>
      <c r="K288" s="58"/>
      <c r="L288" s="64" t="str">
        <f aca="false">IF($A288="","",SUMIFS(Purchases!$E$5:INDEX(Purchases!$E$5:$E$3004,TxRows),Purchases!$D$5:INDEX(Purchases!$D$5:$D$3004,TxRows),$A288))</f>
        <v/>
      </c>
      <c r="M288" s="64" t="str">
        <f aca="false">IF($A288="","",SUMIFS(Sales!$E$5:INDEX(Sales!$E$5:$E$3004,TxRows),Sales!$D$5:INDEX(Sales!$D$5:$D$3004,TxRows),$A288))</f>
        <v/>
      </c>
      <c r="N288" s="64" t="str">
        <f aca="false">IF($A288="","",SUMIFS(Adjustments!$C$5:$C$504,Adjustments!$B$5:$B$504,$A288))</f>
        <v/>
      </c>
      <c r="O288" s="64" t="str">
        <f aca="false">IF($A288="","",N($J288)+L288-M288+N288)</f>
        <v/>
      </c>
      <c r="P288" s="61" t="str">
        <f aca="false">IF($A288="","",IFERROR((N($J288)*N($K288)+SUMIFS(Purchases!$K$5:INDEX(Purchases!$K$5:$K$3004,TxRows),Purchases!$D$5:INDEX(Purchases!$D$5:$D$3004,TxRows),$A288))/(N($J288)+L288),N($G288)))</f>
        <v/>
      </c>
      <c r="Q288" s="61" t="str">
        <f aca="false">IF($A288="","",MAX(0,O288)*P288)</f>
        <v/>
      </c>
      <c r="R288" s="60" t="str">
        <f aca="false">IF($A288="","",IF(O288&lt;0,"NEGATIVE",IF(O288=0,"OUT OF STOCK",IF(O288&lt;=N($I288),"REORDER",IF(AND(O288&gt;0,X288&gt;DeadDays),"DEAD STOCK","OK")))))</f>
        <v/>
      </c>
      <c r="S288" s="65" t="str">
        <f aca="false">IF($A288="","",IF(N($H288)=0,0,(N($H288)-P288)/N($H288)))</f>
        <v/>
      </c>
      <c r="T288" s="64" t="str">
        <f aca="false">IF($A288="","",IF(O288&lt;=N($I288),MAX(0,2*N($I288)-O288),0))</f>
        <v/>
      </c>
      <c r="U288" s="61" t="str">
        <f aca="false">IF($A288="","",SUMIFS(Sales!$L$5:INDEX(Sales!$L$5:$L$3004,TxRows),Sales!$D$5:INDEX(Sales!$D$5:$D$3004,TxRows),$A288))</f>
        <v/>
      </c>
      <c r="V288" s="61" t="str">
        <f aca="false">IF($A288="","",SUMIFS(Sales!$S$5:INDEX(Sales!$S$5:$S$3004,TxRows),Sales!$D$5:INDEX(Sales!$D$5:$D$3004,TxRows),$A288))</f>
        <v/>
      </c>
      <c r="W288" s="66" t="str">
        <f aca="false">IF($A288="","",IFERROR(SUMPRODUCT(MAX((Sales!$D$5:INDEX(Sales!$D$5:$D$3004,TxRows)=$A288)*Sales!$A$5:INDEX(Sales!$A$5:$A$3004,TxRows))),0))</f>
        <v/>
      </c>
      <c r="X288" s="67" t="str">
        <f aca="false">IF($A288="","",IF(W288=0,AsOf-FYStart,AsOf-W288))</f>
        <v/>
      </c>
      <c r="Y288" s="67" t="str">
        <f aca="false">IF($A288="","",IF(M288=0,"",O288/(M288/MAX(1,AsOf-FYStart))))</f>
        <v/>
      </c>
      <c r="Z288" s="60" t="str">
        <f aca="false">IF($A288="","",U288+ROW()/1000000)</f>
        <v/>
      </c>
    </row>
    <row r="289" customFormat="false" ht="15" hidden="false" customHeight="false" outlineLevel="0" collapsed="false">
      <c r="A289" s="56"/>
      <c r="B289" s="56"/>
      <c r="C289" s="56"/>
      <c r="D289" s="56"/>
      <c r="E289" s="56"/>
      <c r="F289" s="63"/>
      <c r="G289" s="58"/>
      <c r="H289" s="58"/>
      <c r="I289" s="57"/>
      <c r="J289" s="57"/>
      <c r="K289" s="58"/>
      <c r="L289" s="64" t="str">
        <f aca="false">IF($A289="","",SUMIFS(Purchases!$E$5:INDEX(Purchases!$E$5:$E$3004,TxRows),Purchases!$D$5:INDEX(Purchases!$D$5:$D$3004,TxRows),$A289))</f>
        <v/>
      </c>
      <c r="M289" s="64" t="str">
        <f aca="false">IF($A289="","",SUMIFS(Sales!$E$5:INDEX(Sales!$E$5:$E$3004,TxRows),Sales!$D$5:INDEX(Sales!$D$5:$D$3004,TxRows),$A289))</f>
        <v/>
      </c>
      <c r="N289" s="64" t="str">
        <f aca="false">IF($A289="","",SUMIFS(Adjustments!$C$5:$C$504,Adjustments!$B$5:$B$504,$A289))</f>
        <v/>
      </c>
      <c r="O289" s="64" t="str">
        <f aca="false">IF($A289="","",N($J289)+L289-M289+N289)</f>
        <v/>
      </c>
      <c r="P289" s="61" t="str">
        <f aca="false">IF($A289="","",IFERROR((N($J289)*N($K289)+SUMIFS(Purchases!$K$5:INDEX(Purchases!$K$5:$K$3004,TxRows),Purchases!$D$5:INDEX(Purchases!$D$5:$D$3004,TxRows),$A289))/(N($J289)+L289),N($G289)))</f>
        <v/>
      </c>
      <c r="Q289" s="61" t="str">
        <f aca="false">IF($A289="","",MAX(0,O289)*P289)</f>
        <v/>
      </c>
      <c r="R289" s="60" t="str">
        <f aca="false">IF($A289="","",IF(O289&lt;0,"NEGATIVE",IF(O289=0,"OUT OF STOCK",IF(O289&lt;=N($I289),"REORDER",IF(AND(O289&gt;0,X289&gt;DeadDays),"DEAD STOCK","OK")))))</f>
        <v/>
      </c>
      <c r="S289" s="65" t="str">
        <f aca="false">IF($A289="","",IF(N($H289)=0,0,(N($H289)-P289)/N($H289)))</f>
        <v/>
      </c>
      <c r="T289" s="64" t="str">
        <f aca="false">IF($A289="","",IF(O289&lt;=N($I289),MAX(0,2*N($I289)-O289),0))</f>
        <v/>
      </c>
      <c r="U289" s="61" t="str">
        <f aca="false">IF($A289="","",SUMIFS(Sales!$L$5:INDEX(Sales!$L$5:$L$3004,TxRows),Sales!$D$5:INDEX(Sales!$D$5:$D$3004,TxRows),$A289))</f>
        <v/>
      </c>
      <c r="V289" s="61" t="str">
        <f aca="false">IF($A289="","",SUMIFS(Sales!$S$5:INDEX(Sales!$S$5:$S$3004,TxRows),Sales!$D$5:INDEX(Sales!$D$5:$D$3004,TxRows),$A289))</f>
        <v/>
      </c>
      <c r="W289" s="66" t="str">
        <f aca="false">IF($A289="","",IFERROR(SUMPRODUCT(MAX((Sales!$D$5:INDEX(Sales!$D$5:$D$3004,TxRows)=$A289)*Sales!$A$5:INDEX(Sales!$A$5:$A$3004,TxRows))),0))</f>
        <v/>
      </c>
      <c r="X289" s="67" t="str">
        <f aca="false">IF($A289="","",IF(W289=0,AsOf-FYStart,AsOf-W289))</f>
        <v/>
      </c>
      <c r="Y289" s="67" t="str">
        <f aca="false">IF($A289="","",IF(M289=0,"",O289/(M289/MAX(1,AsOf-FYStart))))</f>
        <v/>
      </c>
      <c r="Z289" s="60" t="str">
        <f aca="false">IF($A289="","",U289+ROW()/1000000)</f>
        <v/>
      </c>
    </row>
    <row r="290" customFormat="false" ht="15" hidden="false" customHeight="false" outlineLevel="0" collapsed="false">
      <c r="A290" s="56"/>
      <c r="B290" s="56"/>
      <c r="C290" s="56"/>
      <c r="D290" s="56"/>
      <c r="E290" s="56"/>
      <c r="F290" s="63"/>
      <c r="G290" s="58"/>
      <c r="H290" s="58"/>
      <c r="I290" s="57"/>
      <c r="J290" s="57"/>
      <c r="K290" s="58"/>
      <c r="L290" s="64" t="str">
        <f aca="false">IF($A290="","",SUMIFS(Purchases!$E$5:INDEX(Purchases!$E$5:$E$3004,TxRows),Purchases!$D$5:INDEX(Purchases!$D$5:$D$3004,TxRows),$A290))</f>
        <v/>
      </c>
      <c r="M290" s="64" t="str">
        <f aca="false">IF($A290="","",SUMIFS(Sales!$E$5:INDEX(Sales!$E$5:$E$3004,TxRows),Sales!$D$5:INDEX(Sales!$D$5:$D$3004,TxRows),$A290))</f>
        <v/>
      </c>
      <c r="N290" s="64" t="str">
        <f aca="false">IF($A290="","",SUMIFS(Adjustments!$C$5:$C$504,Adjustments!$B$5:$B$504,$A290))</f>
        <v/>
      </c>
      <c r="O290" s="64" t="str">
        <f aca="false">IF($A290="","",N($J290)+L290-M290+N290)</f>
        <v/>
      </c>
      <c r="P290" s="61" t="str">
        <f aca="false">IF($A290="","",IFERROR((N($J290)*N($K290)+SUMIFS(Purchases!$K$5:INDEX(Purchases!$K$5:$K$3004,TxRows),Purchases!$D$5:INDEX(Purchases!$D$5:$D$3004,TxRows),$A290))/(N($J290)+L290),N($G290)))</f>
        <v/>
      </c>
      <c r="Q290" s="61" t="str">
        <f aca="false">IF($A290="","",MAX(0,O290)*P290)</f>
        <v/>
      </c>
      <c r="R290" s="60" t="str">
        <f aca="false">IF($A290="","",IF(O290&lt;0,"NEGATIVE",IF(O290=0,"OUT OF STOCK",IF(O290&lt;=N($I290),"REORDER",IF(AND(O290&gt;0,X290&gt;DeadDays),"DEAD STOCK","OK")))))</f>
        <v/>
      </c>
      <c r="S290" s="65" t="str">
        <f aca="false">IF($A290="","",IF(N($H290)=0,0,(N($H290)-P290)/N($H290)))</f>
        <v/>
      </c>
      <c r="T290" s="64" t="str">
        <f aca="false">IF($A290="","",IF(O290&lt;=N($I290),MAX(0,2*N($I290)-O290),0))</f>
        <v/>
      </c>
      <c r="U290" s="61" t="str">
        <f aca="false">IF($A290="","",SUMIFS(Sales!$L$5:INDEX(Sales!$L$5:$L$3004,TxRows),Sales!$D$5:INDEX(Sales!$D$5:$D$3004,TxRows),$A290))</f>
        <v/>
      </c>
      <c r="V290" s="61" t="str">
        <f aca="false">IF($A290="","",SUMIFS(Sales!$S$5:INDEX(Sales!$S$5:$S$3004,TxRows),Sales!$D$5:INDEX(Sales!$D$5:$D$3004,TxRows),$A290))</f>
        <v/>
      </c>
      <c r="W290" s="66" t="str">
        <f aca="false">IF($A290="","",IFERROR(SUMPRODUCT(MAX((Sales!$D$5:INDEX(Sales!$D$5:$D$3004,TxRows)=$A290)*Sales!$A$5:INDEX(Sales!$A$5:$A$3004,TxRows))),0))</f>
        <v/>
      </c>
      <c r="X290" s="67" t="str">
        <f aca="false">IF($A290="","",IF(W290=0,AsOf-FYStart,AsOf-W290))</f>
        <v/>
      </c>
      <c r="Y290" s="67" t="str">
        <f aca="false">IF($A290="","",IF(M290=0,"",O290/(M290/MAX(1,AsOf-FYStart))))</f>
        <v/>
      </c>
      <c r="Z290" s="60" t="str">
        <f aca="false">IF($A290="","",U290+ROW()/1000000)</f>
        <v/>
      </c>
    </row>
    <row r="291" customFormat="false" ht="15" hidden="false" customHeight="false" outlineLevel="0" collapsed="false">
      <c r="A291" s="56"/>
      <c r="B291" s="56"/>
      <c r="C291" s="56"/>
      <c r="D291" s="56"/>
      <c r="E291" s="56"/>
      <c r="F291" s="63"/>
      <c r="G291" s="58"/>
      <c r="H291" s="58"/>
      <c r="I291" s="57"/>
      <c r="J291" s="57"/>
      <c r="K291" s="58"/>
      <c r="L291" s="64" t="str">
        <f aca="false">IF($A291="","",SUMIFS(Purchases!$E$5:INDEX(Purchases!$E$5:$E$3004,TxRows),Purchases!$D$5:INDEX(Purchases!$D$5:$D$3004,TxRows),$A291))</f>
        <v/>
      </c>
      <c r="M291" s="64" t="str">
        <f aca="false">IF($A291="","",SUMIFS(Sales!$E$5:INDEX(Sales!$E$5:$E$3004,TxRows),Sales!$D$5:INDEX(Sales!$D$5:$D$3004,TxRows),$A291))</f>
        <v/>
      </c>
      <c r="N291" s="64" t="str">
        <f aca="false">IF($A291="","",SUMIFS(Adjustments!$C$5:$C$504,Adjustments!$B$5:$B$504,$A291))</f>
        <v/>
      </c>
      <c r="O291" s="64" t="str">
        <f aca="false">IF($A291="","",N($J291)+L291-M291+N291)</f>
        <v/>
      </c>
      <c r="P291" s="61" t="str">
        <f aca="false">IF($A291="","",IFERROR((N($J291)*N($K291)+SUMIFS(Purchases!$K$5:INDEX(Purchases!$K$5:$K$3004,TxRows),Purchases!$D$5:INDEX(Purchases!$D$5:$D$3004,TxRows),$A291))/(N($J291)+L291),N($G291)))</f>
        <v/>
      </c>
      <c r="Q291" s="61" t="str">
        <f aca="false">IF($A291="","",MAX(0,O291)*P291)</f>
        <v/>
      </c>
      <c r="R291" s="60" t="str">
        <f aca="false">IF($A291="","",IF(O291&lt;0,"NEGATIVE",IF(O291=0,"OUT OF STOCK",IF(O291&lt;=N($I291),"REORDER",IF(AND(O291&gt;0,X291&gt;DeadDays),"DEAD STOCK","OK")))))</f>
        <v/>
      </c>
      <c r="S291" s="65" t="str">
        <f aca="false">IF($A291="","",IF(N($H291)=0,0,(N($H291)-P291)/N($H291)))</f>
        <v/>
      </c>
      <c r="T291" s="64" t="str">
        <f aca="false">IF($A291="","",IF(O291&lt;=N($I291),MAX(0,2*N($I291)-O291),0))</f>
        <v/>
      </c>
      <c r="U291" s="61" t="str">
        <f aca="false">IF($A291="","",SUMIFS(Sales!$L$5:INDEX(Sales!$L$5:$L$3004,TxRows),Sales!$D$5:INDEX(Sales!$D$5:$D$3004,TxRows),$A291))</f>
        <v/>
      </c>
      <c r="V291" s="61" t="str">
        <f aca="false">IF($A291="","",SUMIFS(Sales!$S$5:INDEX(Sales!$S$5:$S$3004,TxRows),Sales!$D$5:INDEX(Sales!$D$5:$D$3004,TxRows),$A291))</f>
        <v/>
      </c>
      <c r="W291" s="66" t="str">
        <f aca="false">IF($A291="","",IFERROR(SUMPRODUCT(MAX((Sales!$D$5:INDEX(Sales!$D$5:$D$3004,TxRows)=$A291)*Sales!$A$5:INDEX(Sales!$A$5:$A$3004,TxRows))),0))</f>
        <v/>
      </c>
      <c r="X291" s="67" t="str">
        <f aca="false">IF($A291="","",IF(W291=0,AsOf-FYStart,AsOf-W291))</f>
        <v/>
      </c>
      <c r="Y291" s="67" t="str">
        <f aca="false">IF($A291="","",IF(M291=0,"",O291/(M291/MAX(1,AsOf-FYStart))))</f>
        <v/>
      </c>
      <c r="Z291" s="60" t="str">
        <f aca="false">IF($A291="","",U291+ROW()/1000000)</f>
        <v/>
      </c>
    </row>
    <row r="292" customFormat="false" ht="15" hidden="false" customHeight="false" outlineLevel="0" collapsed="false">
      <c r="A292" s="56"/>
      <c r="B292" s="56"/>
      <c r="C292" s="56"/>
      <c r="D292" s="56"/>
      <c r="E292" s="56"/>
      <c r="F292" s="63"/>
      <c r="G292" s="58"/>
      <c r="H292" s="58"/>
      <c r="I292" s="57"/>
      <c r="J292" s="57"/>
      <c r="K292" s="58"/>
      <c r="L292" s="64" t="str">
        <f aca="false">IF($A292="","",SUMIFS(Purchases!$E$5:INDEX(Purchases!$E$5:$E$3004,TxRows),Purchases!$D$5:INDEX(Purchases!$D$5:$D$3004,TxRows),$A292))</f>
        <v/>
      </c>
      <c r="M292" s="64" t="str">
        <f aca="false">IF($A292="","",SUMIFS(Sales!$E$5:INDEX(Sales!$E$5:$E$3004,TxRows),Sales!$D$5:INDEX(Sales!$D$5:$D$3004,TxRows),$A292))</f>
        <v/>
      </c>
      <c r="N292" s="64" t="str">
        <f aca="false">IF($A292="","",SUMIFS(Adjustments!$C$5:$C$504,Adjustments!$B$5:$B$504,$A292))</f>
        <v/>
      </c>
      <c r="O292" s="64" t="str">
        <f aca="false">IF($A292="","",N($J292)+L292-M292+N292)</f>
        <v/>
      </c>
      <c r="P292" s="61" t="str">
        <f aca="false">IF($A292="","",IFERROR((N($J292)*N($K292)+SUMIFS(Purchases!$K$5:INDEX(Purchases!$K$5:$K$3004,TxRows),Purchases!$D$5:INDEX(Purchases!$D$5:$D$3004,TxRows),$A292))/(N($J292)+L292),N($G292)))</f>
        <v/>
      </c>
      <c r="Q292" s="61" t="str">
        <f aca="false">IF($A292="","",MAX(0,O292)*P292)</f>
        <v/>
      </c>
      <c r="R292" s="60" t="str">
        <f aca="false">IF($A292="","",IF(O292&lt;0,"NEGATIVE",IF(O292=0,"OUT OF STOCK",IF(O292&lt;=N($I292),"REORDER",IF(AND(O292&gt;0,X292&gt;DeadDays),"DEAD STOCK","OK")))))</f>
        <v/>
      </c>
      <c r="S292" s="65" t="str">
        <f aca="false">IF($A292="","",IF(N($H292)=0,0,(N($H292)-P292)/N($H292)))</f>
        <v/>
      </c>
      <c r="T292" s="64" t="str">
        <f aca="false">IF($A292="","",IF(O292&lt;=N($I292),MAX(0,2*N($I292)-O292),0))</f>
        <v/>
      </c>
      <c r="U292" s="61" t="str">
        <f aca="false">IF($A292="","",SUMIFS(Sales!$L$5:INDEX(Sales!$L$5:$L$3004,TxRows),Sales!$D$5:INDEX(Sales!$D$5:$D$3004,TxRows),$A292))</f>
        <v/>
      </c>
      <c r="V292" s="61" t="str">
        <f aca="false">IF($A292="","",SUMIFS(Sales!$S$5:INDEX(Sales!$S$5:$S$3004,TxRows),Sales!$D$5:INDEX(Sales!$D$5:$D$3004,TxRows),$A292))</f>
        <v/>
      </c>
      <c r="W292" s="66" t="str">
        <f aca="false">IF($A292="","",IFERROR(SUMPRODUCT(MAX((Sales!$D$5:INDEX(Sales!$D$5:$D$3004,TxRows)=$A292)*Sales!$A$5:INDEX(Sales!$A$5:$A$3004,TxRows))),0))</f>
        <v/>
      </c>
      <c r="X292" s="67" t="str">
        <f aca="false">IF($A292="","",IF(W292=0,AsOf-FYStart,AsOf-W292))</f>
        <v/>
      </c>
      <c r="Y292" s="67" t="str">
        <f aca="false">IF($A292="","",IF(M292=0,"",O292/(M292/MAX(1,AsOf-FYStart))))</f>
        <v/>
      </c>
      <c r="Z292" s="60" t="str">
        <f aca="false">IF($A292="","",U292+ROW()/1000000)</f>
        <v/>
      </c>
    </row>
    <row r="293" customFormat="false" ht="15" hidden="false" customHeight="false" outlineLevel="0" collapsed="false">
      <c r="A293" s="56"/>
      <c r="B293" s="56"/>
      <c r="C293" s="56"/>
      <c r="D293" s="56"/>
      <c r="E293" s="56"/>
      <c r="F293" s="63"/>
      <c r="G293" s="58"/>
      <c r="H293" s="58"/>
      <c r="I293" s="57"/>
      <c r="J293" s="57"/>
      <c r="K293" s="58"/>
      <c r="L293" s="64" t="str">
        <f aca="false">IF($A293="","",SUMIFS(Purchases!$E$5:INDEX(Purchases!$E$5:$E$3004,TxRows),Purchases!$D$5:INDEX(Purchases!$D$5:$D$3004,TxRows),$A293))</f>
        <v/>
      </c>
      <c r="M293" s="64" t="str">
        <f aca="false">IF($A293="","",SUMIFS(Sales!$E$5:INDEX(Sales!$E$5:$E$3004,TxRows),Sales!$D$5:INDEX(Sales!$D$5:$D$3004,TxRows),$A293))</f>
        <v/>
      </c>
      <c r="N293" s="64" t="str">
        <f aca="false">IF($A293="","",SUMIFS(Adjustments!$C$5:$C$504,Adjustments!$B$5:$B$504,$A293))</f>
        <v/>
      </c>
      <c r="O293" s="64" t="str">
        <f aca="false">IF($A293="","",N($J293)+L293-M293+N293)</f>
        <v/>
      </c>
      <c r="P293" s="61" t="str">
        <f aca="false">IF($A293="","",IFERROR((N($J293)*N($K293)+SUMIFS(Purchases!$K$5:INDEX(Purchases!$K$5:$K$3004,TxRows),Purchases!$D$5:INDEX(Purchases!$D$5:$D$3004,TxRows),$A293))/(N($J293)+L293),N($G293)))</f>
        <v/>
      </c>
      <c r="Q293" s="61" t="str">
        <f aca="false">IF($A293="","",MAX(0,O293)*P293)</f>
        <v/>
      </c>
      <c r="R293" s="60" t="str">
        <f aca="false">IF($A293="","",IF(O293&lt;0,"NEGATIVE",IF(O293=0,"OUT OF STOCK",IF(O293&lt;=N($I293),"REORDER",IF(AND(O293&gt;0,X293&gt;DeadDays),"DEAD STOCK","OK")))))</f>
        <v/>
      </c>
      <c r="S293" s="65" t="str">
        <f aca="false">IF($A293="","",IF(N($H293)=0,0,(N($H293)-P293)/N($H293)))</f>
        <v/>
      </c>
      <c r="T293" s="64" t="str">
        <f aca="false">IF($A293="","",IF(O293&lt;=N($I293),MAX(0,2*N($I293)-O293),0))</f>
        <v/>
      </c>
      <c r="U293" s="61" t="str">
        <f aca="false">IF($A293="","",SUMIFS(Sales!$L$5:INDEX(Sales!$L$5:$L$3004,TxRows),Sales!$D$5:INDEX(Sales!$D$5:$D$3004,TxRows),$A293))</f>
        <v/>
      </c>
      <c r="V293" s="61" t="str">
        <f aca="false">IF($A293="","",SUMIFS(Sales!$S$5:INDEX(Sales!$S$5:$S$3004,TxRows),Sales!$D$5:INDEX(Sales!$D$5:$D$3004,TxRows),$A293))</f>
        <v/>
      </c>
      <c r="W293" s="66" t="str">
        <f aca="false">IF($A293="","",IFERROR(SUMPRODUCT(MAX((Sales!$D$5:INDEX(Sales!$D$5:$D$3004,TxRows)=$A293)*Sales!$A$5:INDEX(Sales!$A$5:$A$3004,TxRows))),0))</f>
        <v/>
      </c>
      <c r="X293" s="67" t="str">
        <f aca="false">IF($A293="","",IF(W293=0,AsOf-FYStart,AsOf-W293))</f>
        <v/>
      </c>
      <c r="Y293" s="67" t="str">
        <f aca="false">IF($A293="","",IF(M293=0,"",O293/(M293/MAX(1,AsOf-FYStart))))</f>
        <v/>
      </c>
      <c r="Z293" s="60" t="str">
        <f aca="false">IF($A293="","",U293+ROW()/1000000)</f>
        <v/>
      </c>
    </row>
    <row r="294" customFormat="false" ht="15" hidden="false" customHeight="false" outlineLevel="0" collapsed="false">
      <c r="A294" s="56"/>
      <c r="B294" s="56"/>
      <c r="C294" s="56"/>
      <c r="D294" s="56"/>
      <c r="E294" s="56"/>
      <c r="F294" s="63"/>
      <c r="G294" s="58"/>
      <c r="H294" s="58"/>
      <c r="I294" s="57"/>
      <c r="J294" s="57"/>
      <c r="K294" s="58"/>
      <c r="L294" s="64" t="str">
        <f aca="false">IF($A294="","",SUMIFS(Purchases!$E$5:INDEX(Purchases!$E$5:$E$3004,TxRows),Purchases!$D$5:INDEX(Purchases!$D$5:$D$3004,TxRows),$A294))</f>
        <v/>
      </c>
      <c r="M294" s="64" t="str">
        <f aca="false">IF($A294="","",SUMIFS(Sales!$E$5:INDEX(Sales!$E$5:$E$3004,TxRows),Sales!$D$5:INDEX(Sales!$D$5:$D$3004,TxRows),$A294))</f>
        <v/>
      </c>
      <c r="N294" s="64" t="str">
        <f aca="false">IF($A294="","",SUMIFS(Adjustments!$C$5:$C$504,Adjustments!$B$5:$B$504,$A294))</f>
        <v/>
      </c>
      <c r="O294" s="64" t="str">
        <f aca="false">IF($A294="","",N($J294)+L294-M294+N294)</f>
        <v/>
      </c>
      <c r="P294" s="61" t="str">
        <f aca="false">IF($A294="","",IFERROR((N($J294)*N($K294)+SUMIFS(Purchases!$K$5:INDEX(Purchases!$K$5:$K$3004,TxRows),Purchases!$D$5:INDEX(Purchases!$D$5:$D$3004,TxRows),$A294))/(N($J294)+L294),N($G294)))</f>
        <v/>
      </c>
      <c r="Q294" s="61" t="str">
        <f aca="false">IF($A294="","",MAX(0,O294)*P294)</f>
        <v/>
      </c>
      <c r="R294" s="60" t="str">
        <f aca="false">IF($A294="","",IF(O294&lt;0,"NEGATIVE",IF(O294=0,"OUT OF STOCK",IF(O294&lt;=N($I294),"REORDER",IF(AND(O294&gt;0,X294&gt;DeadDays),"DEAD STOCK","OK")))))</f>
        <v/>
      </c>
      <c r="S294" s="65" t="str">
        <f aca="false">IF($A294="","",IF(N($H294)=0,0,(N($H294)-P294)/N($H294)))</f>
        <v/>
      </c>
      <c r="T294" s="64" t="str">
        <f aca="false">IF($A294="","",IF(O294&lt;=N($I294),MAX(0,2*N($I294)-O294),0))</f>
        <v/>
      </c>
      <c r="U294" s="61" t="str">
        <f aca="false">IF($A294="","",SUMIFS(Sales!$L$5:INDEX(Sales!$L$5:$L$3004,TxRows),Sales!$D$5:INDEX(Sales!$D$5:$D$3004,TxRows),$A294))</f>
        <v/>
      </c>
      <c r="V294" s="61" t="str">
        <f aca="false">IF($A294="","",SUMIFS(Sales!$S$5:INDEX(Sales!$S$5:$S$3004,TxRows),Sales!$D$5:INDEX(Sales!$D$5:$D$3004,TxRows),$A294))</f>
        <v/>
      </c>
      <c r="W294" s="66" t="str">
        <f aca="false">IF($A294="","",IFERROR(SUMPRODUCT(MAX((Sales!$D$5:INDEX(Sales!$D$5:$D$3004,TxRows)=$A294)*Sales!$A$5:INDEX(Sales!$A$5:$A$3004,TxRows))),0))</f>
        <v/>
      </c>
      <c r="X294" s="67" t="str">
        <f aca="false">IF($A294="","",IF(W294=0,AsOf-FYStart,AsOf-W294))</f>
        <v/>
      </c>
      <c r="Y294" s="67" t="str">
        <f aca="false">IF($A294="","",IF(M294=0,"",O294/(M294/MAX(1,AsOf-FYStart))))</f>
        <v/>
      </c>
      <c r="Z294" s="60" t="str">
        <f aca="false">IF($A294="","",U294+ROW()/1000000)</f>
        <v/>
      </c>
    </row>
    <row r="295" customFormat="false" ht="15" hidden="false" customHeight="false" outlineLevel="0" collapsed="false">
      <c r="A295" s="56"/>
      <c r="B295" s="56"/>
      <c r="C295" s="56"/>
      <c r="D295" s="56"/>
      <c r="E295" s="56"/>
      <c r="F295" s="63"/>
      <c r="G295" s="58"/>
      <c r="H295" s="58"/>
      <c r="I295" s="57"/>
      <c r="J295" s="57"/>
      <c r="K295" s="58"/>
      <c r="L295" s="64" t="str">
        <f aca="false">IF($A295="","",SUMIFS(Purchases!$E$5:INDEX(Purchases!$E$5:$E$3004,TxRows),Purchases!$D$5:INDEX(Purchases!$D$5:$D$3004,TxRows),$A295))</f>
        <v/>
      </c>
      <c r="M295" s="64" t="str">
        <f aca="false">IF($A295="","",SUMIFS(Sales!$E$5:INDEX(Sales!$E$5:$E$3004,TxRows),Sales!$D$5:INDEX(Sales!$D$5:$D$3004,TxRows),$A295))</f>
        <v/>
      </c>
      <c r="N295" s="64" t="str">
        <f aca="false">IF($A295="","",SUMIFS(Adjustments!$C$5:$C$504,Adjustments!$B$5:$B$504,$A295))</f>
        <v/>
      </c>
      <c r="O295" s="64" t="str">
        <f aca="false">IF($A295="","",N($J295)+L295-M295+N295)</f>
        <v/>
      </c>
      <c r="P295" s="61" t="str">
        <f aca="false">IF($A295="","",IFERROR((N($J295)*N($K295)+SUMIFS(Purchases!$K$5:INDEX(Purchases!$K$5:$K$3004,TxRows),Purchases!$D$5:INDEX(Purchases!$D$5:$D$3004,TxRows),$A295))/(N($J295)+L295),N($G295)))</f>
        <v/>
      </c>
      <c r="Q295" s="61" t="str">
        <f aca="false">IF($A295="","",MAX(0,O295)*P295)</f>
        <v/>
      </c>
      <c r="R295" s="60" t="str">
        <f aca="false">IF($A295="","",IF(O295&lt;0,"NEGATIVE",IF(O295=0,"OUT OF STOCK",IF(O295&lt;=N($I295),"REORDER",IF(AND(O295&gt;0,X295&gt;DeadDays),"DEAD STOCK","OK")))))</f>
        <v/>
      </c>
      <c r="S295" s="65" t="str">
        <f aca="false">IF($A295="","",IF(N($H295)=0,0,(N($H295)-P295)/N($H295)))</f>
        <v/>
      </c>
      <c r="T295" s="64" t="str">
        <f aca="false">IF($A295="","",IF(O295&lt;=N($I295),MAX(0,2*N($I295)-O295),0))</f>
        <v/>
      </c>
      <c r="U295" s="61" t="str">
        <f aca="false">IF($A295="","",SUMIFS(Sales!$L$5:INDEX(Sales!$L$5:$L$3004,TxRows),Sales!$D$5:INDEX(Sales!$D$5:$D$3004,TxRows),$A295))</f>
        <v/>
      </c>
      <c r="V295" s="61" t="str">
        <f aca="false">IF($A295="","",SUMIFS(Sales!$S$5:INDEX(Sales!$S$5:$S$3004,TxRows),Sales!$D$5:INDEX(Sales!$D$5:$D$3004,TxRows),$A295))</f>
        <v/>
      </c>
      <c r="W295" s="66" t="str">
        <f aca="false">IF($A295="","",IFERROR(SUMPRODUCT(MAX((Sales!$D$5:INDEX(Sales!$D$5:$D$3004,TxRows)=$A295)*Sales!$A$5:INDEX(Sales!$A$5:$A$3004,TxRows))),0))</f>
        <v/>
      </c>
      <c r="X295" s="67" t="str">
        <f aca="false">IF($A295="","",IF(W295=0,AsOf-FYStart,AsOf-W295))</f>
        <v/>
      </c>
      <c r="Y295" s="67" t="str">
        <f aca="false">IF($A295="","",IF(M295=0,"",O295/(M295/MAX(1,AsOf-FYStart))))</f>
        <v/>
      </c>
      <c r="Z295" s="60" t="str">
        <f aca="false">IF($A295="","",U295+ROW()/1000000)</f>
        <v/>
      </c>
    </row>
    <row r="296" customFormat="false" ht="15" hidden="false" customHeight="false" outlineLevel="0" collapsed="false">
      <c r="A296" s="56"/>
      <c r="B296" s="56"/>
      <c r="C296" s="56"/>
      <c r="D296" s="56"/>
      <c r="E296" s="56"/>
      <c r="F296" s="63"/>
      <c r="G296" s="58"/>
      <c r="H296" s="58"/>
      <c r="I296" s="57"/>
      <c r="J296" s="57"/>
      <c r="K296" s="58"/>
      <c r="L296" s="64" t="str">
        <f aca="false">IF($A296="","",SUMIFS(Purchases!$E$5:INDEX(Purchases!$E$5:$E$3004,TxRows),Purchases!$D$5:INDEX(Purchases!$D$5:$D$3004,TxRows),$A296))</f>
        <v/>
      </c>
      <c r="M296" s="64" t="str">
        <f aca="false">IF($A296="","",SUMIFS(Sales!$E$5:INDEX(Sales!$E$5:$E$3004,TxRows),Sales!$D$5:INDEX(Sales!$D$5:$D$3004,TxRows),$A296))</f>
        <v/>
      </c>
      <c r="N296" s="64" t="str">
        <f aca="false">IF($A296="","",SUMIFS(Adjustments!$C$5:$C$504,Adjustments!$B$5:$B$504,$A296))</f>
        <v/>
      </c>
      <c r="O296" s="64" t="str">
        <f aca="false">IF($A296="","",N($J296)+L296-M296+N296)</f>
        <v/>
      </c>
      <c r="P296" s="61" t="str">
        <f aca="false">IF($A296="","",IFERROR((N($J296)*N($K296)+SUMIFS(Purchases!$K$5:INDEX(Purchases!$K$5:$K$3004,TxRows),Purchases!$D$5:INDEX(Purchases!$D$5:$D$3004,TxRows),$A296))/(N($J296)+L296),N($G296)))</f>
        <v/>
      </c>
      <c r="Q296" s="61" t="str">
        <f aca="false">IF($A296="","",MAX(0,O296)*P296)</f>
        <v/>
      </c>
      <c r="R296" s="60" t="str">
        <f aca="false">IF($A296="","",IF(O296&lt;0,"NEGATIVE",IF(O296=0,"OUT OF STOCK",IF(O296&lt;=N($I296),"REORDER",IF(AND(O296&gt;0,X296&gt;DeadDays),"DEAD STOCK","OK")))))</f>
        <v/>
      </c>
      <c r="S296" s="65" t="str">
        <f aca="false">IF($A296="","",IF(N($H296)=0,0,(N($H296)-P296)/N($H296)))</f>
        <v/>
      </c>
      <c r="T296" s="64" t="str">
        <f aca="false">IF($A296="","",IF(O296&lt;=N($I296),MAX(0,2*N($I296)-O296),0))</f>
        <v/>
      </c>
      <c r="U296" s="61" t="str">
        <f aca="false">IF($A296="","",SUMIFS(Sales!$L$5:INDEX(Sales!$L$5:$L$3004,TxRows),Sales!$D$5:INDEX(Sales!$D$5:$D$3004,TxRows),$A296))</f>
        <v/>
      </c>
      <c r="V296" s="61" t="str">
        <f aca="false">IF($A296="","",SUMIFS(Sales!$S$5:INDEX(Sales!$S$5:$S$3004,TxRows),Sales!$D$5:INDEX(Sales!$D$5:$D$3004,TxRows),$A296))</f>
        <v/>
      </c>
      <c r="W296" s="66" t="str">
        <f aca="false">IF($A296="","",IFERROR(SUMPRODUCT(MAX((Sales!$D$5:INDEX(Sales!$D$5:$D$3004,TxRows)=$A296)*Sales!$A$5:INDEX(Sales!$A$5:$A$3004,TxRows))),0))</f>
        <v/>
      </c>
      <c r="X296" s="67" t="str">
        <f aca="false">IF($A296="","",IF(W296=0,AsOf-FYStart,AsOf-W296))</f>
        <v/>
      </c>
      <c r="Y296" s="67" t="str">
        <f aca="false">IF($A296="","",IF(M296=0,"",O296/(M296/MAX(1,AsOf-FYStart))))</f>
        <v/>
      </c>
      <c r="Z296" s="60" t="str">
        <f aca="false">IF($A296="","",U296+ROW()/1000000)</f>
        <v/>
      </c>
    </row>
    <row r="297" customFormat="false" ht="15" hidden="false" customHeight="false" outlineLevel="0" collapsed="false">
      <c r="A297" s="56"/>
      <c r="B297" s="56"/>
      <c r="C297" s="56"/>
      <c r="D297" s="56"/>
      <c r="E297" s="56"/>
      <c r="F297" s="63"/>
      <c r="G297" s="58"/>
      <c r="H297" s="58"/>
      <c r="I297" s="57"/>
      <c r="J297" s="57"/>
      <c r="K297" s="58"/>
      <c r="L297" s="64" t="str">
        <f aca="false">IF($A297="","",SUMIFS(Purchases!$E$5:INDEX(Purchases!$E$5:$E$3004,TxRows),Purchases!$D$5:INDEX(Purchases!$D$5:$D$3004,TxRows),$A297))</f>
        <v/>
      </c>
      <c r="M297" s="64" t="str">
        <f aca="false">IF($A297="","",SUMIFS(Sales!$E$5:INDEX(Sales!$E$5:$E$3004,TxRows),Sales!$D$5:INDEX(Sales!$D$5:$D$3004,TxRows),$A297))</f>
        <v/>
      </c>
      <c r="N297" s="64" t="str">
        <f aca="false">IF($A297="","",SUMIFS(Adjustments!$C$5:$C$504,Adjustments!$B$5:$B$504,$A297))</f>
        <v/>
      </c>
      <c r="O297" s="64" t="str">
        <f aca="false">IF($A297="","",N($J297)+L297-M297+N297)</f>
        <v/>
      </c>
      <c r="P297" s="61" t="str">
        <f aca="false">IF($A297="","",IFERROR((N($J297)*N($K297)+SUMIFS(Purchases!$K$5:INDEX(Purchases!$K$5:$K$3004,TxRows),Purchases!$D$5:INDEX(Purchases!$D$5:$D$3004,TxRows),$A297))/(N($J297)+L297),N($G297)))</f>
        <v/>
      </c>
      <c r="Q297" s="61" t="str">
        <f aca="false">IF($A297="","",MAX(0,O297)*P297)</f>
        <v/>
      </c>
      <c r="R297" s="60" t="str">
        <f aca="false">IF($A297="","",IF(O297&lt;0,"NEGATIVE",IF(O297=0,"OUT OF STOCK",IF(O297&lt;=N($I297),"REORDER",IF(AND(O297&gt;0,X297&gt;DeadDays),"DEAD STOCK","OK")))))</f>
        <v/>
      </c>
      <c r="S297" s="65" t="str">
        <f aca="false">IF($A297="","",IF(N($H297)=0,0,(N($H297)-P297)/N($H297)))</f>
        <v/>
      </c>
      <c r="T297" s="64" t="str">
        <f aca="false">IF($A297="","",IF(O297&lt;=N($I297),MAX(0,2*N($I297)-O297),0))</f>
        <v/>
      </c>
      <c r="U297" s="61" t="str">
        <f aca="false">IF($A297="","",SUMIFS(Sales!$L$5:INDEX(Sales!$L$5:$L$3004,TxRows),Sales!$D$5:INDEX(Sales!$D$5:$D$3004,TxRows),$A297))</f>
        <v/>
      </c>
      <c r="V297" s="61" t="str">
        <f aca="false">IF($A297="","",SUMIFS(Sales!$S$5:INDEX(Sales!$S$5:$S$3004,TxRows),Sales!$D$5:INDEX(Sales!$D$5:$D$3004,TxRows),$A297))</f>
        <v/>
      </c>
      <c r="W297" s="66" t="str">
        <f aca="false">IF($A297="","",IFERROR(SUMPRODUCT(MAX((Sales!$D$5:INDEX(Sales!$D$5:$D$3004,TxRows)=$A297)*Sales!$A$5:INDEX(Sales!$A$5:$A$3004,TxRows))),0))</f>
        <v/>
      </c>
      <c r="X297" s="67" t="str">
        <f aca="false">IF($A297="","",IF(W297=0,AsOf-FYStart,AsOf-W297))</f>
        <v/>
      </c>
      <c r="Y297" s="67" t="str">
        <f aca="false">IF($A297="","",IF(M297=0,"",O297/(M297/MAX(1,AsOf-FYStart))))</f>
        <v/>
      </c>
      <c r="Z297" s="60" t="str">
        <f aca="false">IF($A297="","",U297+ROW()/1000000)</f>
        <v/>
      </c>
    </row>
    <row r="298" customFormat="false" ht="15" hidden="false" customHeight="false" outlineLevel="0" collapsed="false">
      <c r="A298" s="56"/>
      <c r="B298" s="56"/>
      <c r="C298" s="56"/>
      <c r="D298" s="56"/>
      <c r="E298" s="56"/>
      <c r="F298" s="63"/>
      <c r="G298" s="58"/>
      <c r="H298" s="58"/>
      <c r="I298" s="57"/>
      <c r="J298" s="57"/>
      <c r="K298" s="58"/>
      <c r="L298" s="64" t="str">
        <f aca="false">IF($A298="","",SUMIFS(Purchases!$E$5:INDEX(Purchases!$E$5:$E$3004,TxRows),Purchases!$D$5:INDEX(Purchases!$D$5:$D$3004,TxRows),$A298))</f>
        <v/>
      </c>
      <c r="M298" s="64" t="str">
        <f aca="false">IF($A298="","",SUMIFS(Sales!$E$5:INDEX(Sales!$E$5:$E$3004,TxRows),Sales!$D$5:INDEX(Sales!$D$5:$D$3004,TxRows),$A298))</f>
        <v/>
      </c>
      <c r="N298" s="64" t="str">
        <f aca="false">IF($A298="","",SUMIFS(Adjustments!$C$5:$C$504,Adjustments!$B$5:$B$504,$A298))</f>
        <v/>
      </c>
      <c r="O298" s="64" t="str">
        <f aca="false">IF($A298="","",N($J298)+L298-M298+N298)</f>
        <v/>
      </c>
      <c r="P298" s="61" t="str">
        <f aca="false">IF($A298="","",IFERROR((N($J298)*N($K298)+SUMIFS(Purchases!$K$5:INDEX(Purchases!$K$5:$K$3004,TxRows),Purchases!$D$5:INDEX(Purchases!$D$5:$D$3004,TxRows),$A298))/(N($J298)+L298),N($G298)))</f>
        <v/>
      </c>
      <c r="Q298" s="61" t="str">
        <f aca="false">IF($A298="","",MAX(0,O298)*P298)</f>
        <v/>
      </c>
      <c r="R298" s="60" t="str">
        <f aca="false">IF($A298="","",IF(O298&lt;0,"NEGATIVE",IF(O298=0,"OUT OF STOCK",IF(O298&lt;=N($I298),"REORDER",IF(AND(O298&gt;0,X298&gt;DeadDays),"DEAD STOCK","OK")))))</f>
        <v/>
      </c>
      <c r="S298" s="65" t="str">
        <f aca="false">IF($A298="","",IF(N($H298)=0,0,(N($H298)-P298)/N($H298)))</f>
        <v/>
      </c>
      <c r="T298" s="64" t="str">
        <f aca="false">IF($A298="","",IF(O298&lt;=N($I298),MAX(0,2*N($I298)-O298),0))</f>
        <v/>
      </c>
      <c r="U298" s="61" t="str">
        <f aca="false">IF($A298="","",SUMIFS(Sales!$L$5:INDEX(Sales!$L$5:$L$3004,TxRows),Sales!$D$5:INDEX(Sales!$D$5:$D$3004,TxRows),$A298))</f>
        <v/>
      </c>
      <c r="V298" s="61" t="str">
        <f aca="false">IF($A298="","",SUMIFS(Sales!$S$5:INDEX(Sales!$S$5:$S$3004,TxRows),Sales!$D$5:INDEX(Sales!$D$5:$D$3004,TxRows),$A298))</f>
        <v/>
      </c>
      <c r="W298" s="66" t="str">
        <f aca="false">IF($A298="","",IFERROR(SUMPRODUCT(MAX((Sales!$D$5:INDEX(Sales!$D$5:$D$3004,TxRows)=$A298)*Sales!$A$5:INDEX(Sales!$A$5:$A$3004,TxRows))),0))</f>
        <v/>
      </c>
      <c r="X298" s="67" t="str">
        <f aca="false">IF($A298="","",IF(W298=0,AsOf-FYStart,AsOf-W298))</f>
        <v/>
      </c>
      <c r="Y298" s="67" t="str">
        <f aca="false">IF($A298="","",IF(M298=0,"",O298/(M298/MAX(1,AsOf-FYStart))))</f>
        <v/>
      </c>
      <c r="Z298" s="60" t="str">
        <f aca="false">IF($A298="","",U298+ROW()/1000000)</f>
        <v/>
      </c>
    </row>
    <row r="299" customFormat="false" ht="15" hidden="false" customHeight="false" outlineLevel="0" collapsed="false">
      <c r="A299" s="56"/>
      <c r="B299" s="56"/>
      <c r="C299" s="56"/>
      <c r="D299" s="56"/>
      <c r="E299" s="56"/>
      <c r="F299" s="63"/>
      <c r="G299" s="58"/>
      <c r="H299" s="58"/>
      <c r="I299" s="57"/>
      <c r="J299" s="57"/>
      <c r="K299" s="58"/>
      <c r="L299" s="64" t="str">
        <f aca="false">IF($A299="","",SUMIFS(Purchases!$E$5:INDEX(Purchases!$E$5:$E$3004,TxRows),Purchases!$D$5:INDEX(Purchases!$D$5:$D$3004,TxRows),$A299))</f>
        <v/>
      </c>
      <c r="M299" s="64" t="str">
        <f aca="false">IF($A299="","",SUMIFS(Sales!$E$5:INDEX(Sales!$E$5:$E$3004,TxRows),Sales!$D$5:INDEX(Sales!$D$5:$D$3004,TxRows),$A299))</f>
        <v/>
      </c>
      <c r="N299" s="64" t="str">
        <f aca="false">IF($A299="","",SUMIFS(Adjustments!$C$5:$C$504,Adjustments!$B$5:$B$504,$A299))</f>
        <v/>
      </c>
      <c r="O299" s="64" t="str">
        <f aca="false">IF($A299="","",N($J299)+L299-M299+N299)</f>
        <v/>
      </c>
      <c r="P299" s="61" t="str">
        <f aca="false">IF($A299="","",IFERROR((N($J299)*N($K299)+SUMIFS(Purchases!$K$5:INDEX(Purchases!$K$5:$K$3004,TxRows),Purchases!$D$5:INDEX(Purchases!$D$5:$D$3004,TxRows),$A299))/(N($J299)+L299),N($G299)))</f>
        <v/>
      </c>
      <c r="Q299" s="61" t="str">
        <f aca="false">IF($A299="","",MAX(0,O299)*P299)</f>
        <v/>
      </c>
      <c r="R299" s="60" t="str">
        <f aca="false">IF($A299="","",IF(O299&lt;0,"NEGATIVE",IF(O299=0,"OUT OF STOCK",IF(O299&lt;=N($I299),"REORDER",IF(AND(O299&gt;0,X299&gt;DeadDays),"DEAD STOCK","OK")))))</f>
        <v/>
      </c>
      <c r="S299" s="65" t="str">
        <f aca="false">IF($A299="","",IF(N($H299)=0,0,(N($H299)-P299)/N($H299)))</f>
        <v/>
      </c>
      <c r="T299" s="64" t="str">
        <f aca="false">IF($A299="","",IF(O299&lt;=N($I299),MAX(0,2*N($I299)-O299),0))</f>
        <v/>
      </c>
      <c r="U299" s="61" t="str">
        <f aca="false">IF($A299="","",SUMIFS(Sales!$L$5:INDEX(Sales!$L$5:$L$3004,TxRows),Sales!$D$5:INDEX(Sales!$D$5:$D$3004,TxRows),$A299))</f>
        <v/>
      </c>
      <c r="V299" s="61" t="str">
        <f aca="false">IF($A299="","",SUMIFS(Sales!$S$5:INDEX(Sales!$S$5:$S$3004,TxRows),Sales!$D$5:INDEX(Sales!$D$5:$D$3004,TxRows),$A299))</f>
        <v/>
      </c>
      <c r="W299" s="66" t="str">
        <f aca="false">IF($A299="","",IFERROR(SUMPRODUCT(MAX((Sales!$D$5:INDEX(Sales!$D$5:$D$3004,TxRows)=$A299)*Sales!$A$5:INDEX(Sales!$A$5:$A$3004,TxRows))),0))</f>
        <v/>
      </c>
      <c r="X299" s="67" t="str">
        <f aca="false">IF($A299="","",IF(W299=0,AsOf-FYStart,AsOf-W299))</f>
        <v/>
      </c>
      <c r="Y299" s="67" t="str">
        <f aca="false">IF($A299="","",IF(M299=0,"",O299/(M299/MAX(1,AsOf-FYStart))))</f>
        <v/>
      </c>
      <c r="Z299" s="60" t="str">
        <f aca="false">IF($A299="","",U299+ROW()/1000000)</f>
        <v/>
      </c>
    </row>
    <row r="300" customFormat="false" ht="15" hidden="false" customHeight="false" outlineLevel="0" collapsed="false">
      <c r="A300" s="56"/>
      <c r="B300" s="56"/>
      <c r="C300" s="56"/>
      <c r="D300" s="56"/>
      <c r="E300" s="56"/>
      <c r="F300" s="63"/>
      <c r="G300" s="58"/>
      <c r="H300" s="58"/>
      <c r="I300" s="57"/>
      <c r="J300" s="57"/>
      <c r="K300" s="58"/>
      <c r="L300" s="64" t="str">
        <f aca="false">IF($A300="","",SUMIFS(Purchases!$E$5:INDEX(Purchases!$E$5:$E$3004,TxRows),Purchases!$D$5:INDEX(Purchases!$D$5:$D$3004,TxRows),$A300))</f>
        <v/>
      </c>
      <c r="M300" s="64" t="str">
        <f aca="false">IF($A300="","",SUMIFS(Sales!$E$5:INDEX(Sales!$E$5:$E$3004,TxRows),Sales!$D$5:INDEX(Sales!$D$5:$D$3004,TxRows),$A300))</f>
        <v/>
      </c>
      <c r="N300" s="64" t="str">
        <f aca="false">IF($A300="","",SUMIFS(Adjustments!$C$5:$C$504,Adjustments!$B$5:$B$504,$A300))</f>
        <v/>
      </c>
      <c r="O300" s="64" t="str">
        <f aca="false">IF($A300="","",N($J300)+L300-M300+N300)</f>
        <v/>
      </c>
      <c r="P300" s="61" t="str">
        <f aca="false">IF($A300="","",IFERROR((N($J300)*N($K300)+SUMIFS(Purchases!$K$5:INDEX(Purchases!$K$5:$K$3004,TxRows),Purchases!$D$5:INDEX(Purchases!$D$5:$D$3004,TxRows),$A300))/(N($J300)+L300),N($G300)))</f>
        <v/>
      </c>
      <c r="Q300" s="61" t="str">
        <f aca="false">IF($A300="","",MAX(0,O300)*P300)</f>
        <v/>
      </c>
      <c r="R300" s="60" t="str">
        <f aca="false">IF($A300="","",IF(O300&lt;0,"NEGATIVE",IF(O300=0,"OUT OF STOCK",IF(O300&lt;=N($I300),"REORDER",IF(AND(O300&gt;0,X300&gt;DeadDays),"DEAD STOCK","OK")))))</f>
        <v/>
      </c>
      <c r="S300" s="65" t="str">
        <f aca="false">IF($A300="","",IF(N($H300)=0,0,(N($H300)-P300)/N($H300)))</f>
        <v/>
      </c>
      <c r="T300" s="64" t="str">
        <f aca="false">IF($A300="","",IF(O300&lt;=N($I300),MAX(0,2*N($I300)-O300),0))</f>
        <v/>
      </c>
      <c r="U300" s="61" t="str">
        <f aca="false">IF($A300="","",SUMIFS(Sales!$L$5:INDEX(Sales!$L$5:$L$3004,TxRows),Sales!$D$5:INDEX(Sales!$D$5:$D$3004,TxRows),$A300))</f>
        <v/>
      </c>
      <c r="V300" s="61" t="str">
        <f aca="false">IF($A300="","",SUMIFS(Sales!$S$5:INDEX(Sales!$S$5:$S$3004,TxRows),Sales!$D$5:INDEX(Sales!$D$5:$D$3004,TxRows),$A300))</f>
        <v/>
      </c>
      <c r="W300" s="66" t="str">
        <f aca="false">IF($A300="","",IFERROR(SUMPRODUCT(MAX((Sales!$D$5:INDEX(Sales!$D$5:$D$3004,TxRows)=$A300)*Sales!$A$5:INDEX(Sales!$A$5:$A$3004,TxRows))),0))</f>
        <v/>
      </c>
      <c r="X300" s="67" t="str">
        <f aca="false">IF($A300="","",IF(W300=0,AsOf-FYStart,AsOf-W300))</f>
        <v/>
      </c>
      <c r="Y300" s="67" t="str">
        <f aca="false">IF($A300="","",IF(M300=0,"",O300/(M300/MAX(1,AsOf-FYStart))))</f>
        <v/>
      </c>
      <c r="Z300" s="60" t="str">
        <f aca="false">IF($A300="","",U300+ROW()/1000000)</f>
        <v/>
      </c>
    </row>
    <row r="301" customFormat="false" ht="15" hidden="false" customHeight="false" outlineLevel="0" collapsed="false">
      <c r="A301" s="56"/>
      <c r="B301" s="56"/>
      <c r="C301" s="56"/>
      <c r="D301" s="56"/>
      <c r="E301" s="56"/>
      <c r="F301" s="63"/>
      <c r="G301" s="58"/>
      <c r="H301" s="58"/>
      <c r="I301" s="57"/>
      <c r="J301" s="57"/>
      <c r="K301" s="58"/>
      <c r="L301" s="64" t="str">
        <f aca="false">IF($A301="","",SUMIFS(Purchases!$E$5:INDEX(Purchases!$E$5:$E$3004,TxRows),Purchases!$D$5:INDEX(Purchases!$D$5:$D$3004,TxRows),$A301))</f>
        <v/>
      </c>
      <c r="M301" s="64" t="str">
        <f aca="false">IF($A301="","",SUMIFS(Sales!$E$5:INDEX(Sales!$E$5:$E$3004,TxRows),Sales!$D$5:INDEX(Sales!$D$5:$D$3004,TxRows),$A301))</f>
        <v/>
      </c>
      <c r="N301" s="64" t="str">
        <f aca="false">IF($A301="","",SUMIFS(Adjustments!$C$5:$C$504,Adjustments!$B$5:$B$504,$A301))</f>
        <v/>
      </c>
      <c r="O301" s="64" t="str">
        <f aca="false">IF($A301="","",N($J301)+L301-M301+N301)</f>
        <v/>
      </c>
      <c r="P301" s="61" t="str">
        <f aca="false">IF($A301="","",IFERROR((N($J301)*N($K301)+SUMIFS(Purchases!$K$5:INDEX(Purchases!$K$5:$K$3004,TxRows),Purchases!$D$5:INDEX(Purchases!$D$5:$D$3004,TxRows),$A301))/(N($J301)+L301),N($G301)))</f>
        <v/>
      </c>
      <c r="Q301" s="61" t="str">
        <f aca="false">IF($A301="","",MAX(0,O301)*P301)</f>
        <v/>
      </c>
      <c r="R301" s="60" t="str">
        <f aca="false">IF($A301="","",IF(O301&lt;0,"NEGATIVE",IF(O301=0,"OUT OF STOCK",IF(O301&lt;=N($I301),"REORDER",IF(AND(O301&gt;0,X301&gt;DeadDays),"DEAD STOCK","OK")))))</f>
        <v/>
      </c>
      <c r="S301" s="65" t="str">
        <f aca="false">IF($A301="","",IF(N($H301)=0,0,(N($H301)-P301)/N($H301)))</f>
        <v/>
      </c>
      <c r="T301" s="64" t="str">
        <f aca="false">IF($A301="","",IF(O301&lt;=N($I301),MAX(0,2*N($I301)-O301),0))</f>
        <v/>
      </c>
      <c r="U301" s="61" t="str">
        <f aca="false">IF($A301="","",SUMIFS(Sales!$L$5:INDEX(Sales!$L$5:$L$3004,TxRows),Sales!$D$5:INDEX(Sales!$D$5:$D$3004,TxRows),$A301))</f>
        <v/>
      </c>
      <c r="V301" s="61" t="str">
        <f aca="false">IF($A301="","",SUMIFS(Sales!$S$5:INDEX(Sales!$S$5:$S$3004,TxRows),Sales!$D$5:INDEX(Sales!$D$5:$D$3004,TxRows),$A301))</f>
        <v/>
      </c>
      <c r="W301" s="66" t="str">
        <f aca="false">IF($A301="","",IFERROR(SUMPRODUCT(MAX((Sales!$D$5:INDEX(Sales!$D$5:$D$3004,TxRows)=$A301)*Sales!$A$5:INDEX(Sales!$A$5:$A$3004,TxRows))),0))</f>
        <v/>
      </c>
      <c r="X301" s="67" t="str">
        <f aca="false">IF($A301="","",IF(W301=0,AsOf-FYStart,AsOf-W301))</f>
        <v/>
      </c>
      <c r="Y301" s="67" t="str">
        <f aca="false">IF($A301="","",IF(M301=0,"",O301/(M301/MAX(1,AsOf-FYStart))))</f>
        <v/>
      </c>
      <c r="Z301" s="60" t="str">
        <f aca="false">IF($A301="","",U301+ROW()/1000000)</f>
        <v/>
      </c>
    </row>
    <row r="302" customFormat="false" ht="15" hidden="false" customHeight="false" outlineLevel="0" collapsed="false">
      <c r="A302" s="56"/>
      <c r="B302" s="56"/>
      <c r="C302" s="56"/>
      <c r="D302" s="56"/>
      <c r="E302" s="56"/>
      <c r="F302" s="63"/>
      <c r="G302" s="58"/>
      <c r="H302" s="58"/>
      <c r="I302" s="57"/>
      <c r="J302" s="57"/>
      <c r="K302" s="58"/>
      <c r="L302" s="64" t="str">
        <f aca="false">IF($A302="","",SUMIFS(Purchases!$E$5:INDEX(Purchases!$E$5:$E$3004,TxRows),Purchases!$D$5:INDEX(Purchases!$D$5:$D$3004,TxRows),$A302))</f>
        <v/>
      </c>
      <c r="M302" s="64" t="str">
        <f aca="false">IF($A302="","",SUMIFS(Sales!$E$5:INDEX(Sales!$E$5:$E$3004,TxRows),Sales!$D$5:INDEX(Sales!$D$5:$D$3004,TxRows),$A302))</f>
        <v/>
      </c>
      <c r="N302" s="64" t="str">
        <f aca="false">IF($A302="","",SUMIFS(Adjustments!$C$5:$C$504,Adjustments!$B$5:$B$504,$A302))</f>
        <v/>
      </c>
      <c r="O302" s="64" t="str">
        <f aca="false">IF($A302="","",N($J302)+L302-M302+N302)</f>
        <v/>
      </c>
      <c r="P302" s="61" t="str">
        <f aca="false">IF($A302="","",IFERROR((N($J302)*N($K302)+SUMIFS(Purchases!$K$5:INDEX(Purchases!$K$5:$K$3004,TxRows),Purchases!$D$5:INDEX(Purchases!$D$5:$D$3004,TxRows),$A302))/(N($J302)+L302),N($G302)))</f>
        <v/>
      </c>
      <c r="Q302" s="61" t="str">
        <f aca="false">IF($A302="","",MAX(0,O302)*P302)</f>
        <v/>
      </c>
      <c r="R302" s="60" t="str">
        <f aca="false">IF($A302="","",IF(O302&lt;0,"NEGATIVE",IF(O302=0,"OUT OF STOCK",IF(O302&lt;=N($I302),"REORDER",IF(AND(O302&gt;0,X302&gt;DeadDays),"DEAD STOCK","OK")))))</f>
        <v/>
      </c>
      <c r="S302" s="65" t="str">
        <f aca="false">IF($A302="","",IF(N($H302)=0,0,(N($H302)-P302)/N($H302)))</f>
        <v/>
      </c>
      <c r="T302" s="64" t="str">
        <f aca="false">IF($A302="","",IF(O302&lt;=N($I302),MAX(0,2*N($I302)-O302),0))</f>
        <v/>
      </c>
      <c r="U302" s="61" t="str">
        <f aca="false">IF($A302="","",SUMIFS(Sales!$L$5:INDEX(Sales!$L$5:$L$3004,TxRows),Sales!$D$5:INDEX(Sales!$D$5:$D$3004,TxRows),$A302))</f>
        <v/>
      </c>
      <c r="V302" s="61" t="str">
        <f aca="false">IF($A302="","",SUMIFS(Sales!$S$5:INDEX(Sales!$S$5:$S$3004,TxRows),Sales!$D$5:INDEX(Sales!$D$5:$D$3004,TxRows),$A302))</f>
        <v/>
      </c>
      <c r="W302" s="66" t="str">
        <f aca="false">IF($A302="","",IFERROR(SUMPRODUCT(MAX((Sales!$D$5:INDEX(Sales!$D$5:$D$3004,TxRows)=$A302)*Sales!$A$5:INDEX(Sales!$A$5:$A$3004,TxRows))),0))</f>
        <v/>
      </c>
      <c r="X302" s="67" t="str">
        <f aca="false">IF($A302="","",IF(W302=0,AsOf-FYStart,AsOf-W302))</f>
        <v/>
      </c>
      <c r="Y302" s="67" t="str">
        <f aca="false">IF($A302="","",IF(M302=0,"",O302/(M302/MAX(1,AsOf-FYStart))))</f>
        <v/>
      </c>
      <c r="Z302" s="60" t="str">
        <f aca="false">IF($A302="","",U302+ROW()/1000000)</f>
        <v/>
      </c>
    </row>
    <row r="303" customFormat="false" ht="15" hidden="false" customHeight="false" outlineLevel="0" collapsed="false">
      <c r="A303" s="56"/>
      <c r="B303" s="56"/>
      <c r="C303" s="56"/>
      <c r="D303" s="56"/>
      <c r="E303" s="56"/>
      <c r="F303" s="63"/>
      <c r="G303" s="58"/>
      <c r="H303" s="58"/>
      <c r="I303" s="57"/>
      <c r="J303" s="57"/>
      <c r="K303" s="58"/>
      <c r="L303" s="64" t="str">
        <f aca="false">IF($A303="","",SUMIFS(Purchases!$E$5:INDEX(Purchases!$E$5:$E$3004,TxRows),Purchases!$D$5:INDEX(Purchases!$D$5:$D$3004,TxRows),$A303))</f>
        <v/>
      </c>
      <c r="M303" s="64" t="str">
        <f aca="false">IF($A303="","",SUMIFS(Sales!$E$5:INDEX(Sales!$E$5:$E$3004,TxRows),Sales!$D$5:INDEX(Sales!$D$5:$D$3004,TxRows),$A303))</f>
        <v/>
      </c>
      <c r="N303" s="64" t="str">
        <f aca="false">IF($A303="","",SUMIFS(Adjustments!$C$5:$C$504,Adjustments!$B$5:$B$504,$A303))</f>
        <v/>
      </c>
      <c r="O303" s="64" t="str">
        <f aca="false">IF($A303="","",N($J303)+L303-M303+N303)</f>
        <v/>
      </c>
      <c r="P303" s="61" t="str">
        <f aca="false">IF($A303="","",IFERROR((N($J303)*N($K303)+SUMIFS(Purchases!$K$5:INDEX(Purchases!$K$5:$K$3004,TxRows),Purchases!$D$5:INDEX(Purchases!$D$5:$D$3004,TxRows),$A303))/(N($J303)+L303),N($G303)))</f>
        <v/>
      </c>
      <c r="Q303" s="61" t="str">
        <f aca="false">IF($A303="","",MAX(0,O303)*P303)</f>
        <v/>
      </c>
      <c r="R303" s="60" t="str">
        <f aca="false">IF($A303="","",IF(O303&lt;0,"NEGATIVE",IF(O303=0,"OUT OF STOCK",IF(O303&lt;=N($I303),"REORDER",IF(AND(O303&gt;0,X303&gt;DeadDays),"DEAD STOCK","OK")))))</f>
        <v/>
      </c>
      <c r="S303" s="65" t="str">
        <f aca="false">IF($A303="","",IF(N($H303)=0,0,(N($H303)-P303)/N($H303)))</f>
        <v/>
      </c>
      <c r="T303" s="64" t="str">
        <f aca="false">IF($A303="","",IF(O303&lt;=N($I303),MAX(0,2*N($I303)-O303),0))</f>
        <v/>
      </c>
      <c r="U303" s="61" t="str">
        <f aca="false">IF($A303="","",SUMIFS(Sales!$L$5:INDEX(Sales!$L$5:$L$3004,TxRows),Sales!$D$5:INDEX(Sales!$D$5:$D$3004,TxRows),$A303))</f>
        <v/>
      </c>
      <c r="V303" s="61" t="str">
        <f aca="false">IF($A303="","",SUMIFS(Sales!$S$5:INDEX(Sales!$S$5:$S$3004,TxRows),Sales!$D$5:INDEX(Sales!$D$5:$D$3004,TxRows),$A303))</f>
        <v/>
      </c>
      <c r="W303" s="66" t="str">
        <f aca="false">IF($A303="","",IFERROR(SUMPRODUCT(MAX((Sales!$D$5:INDEX(Sales!$D$5:$D$3004,TxRows)=$A303)*Sales!$A$5:INDEX(Sales!$A$5:$A$3004,TxRows))),0))</f>
        <v/>
      </c>
      <c r="X303" s="67" t="str">
        <f aca="false">IF($A303="","",IF(W303=0,AsOf-FYStart,AsOf-W303))</f>
        <v/>
      </c>
      <c r="Y303" s="67" t="str">
        <f aca="false">IF($A303="","",IF(M303=0,"",O303/(M303/MAX(1,AsOf-FYStart))))</f>
        <v/>
      </c>
      <c r="Z303" s="60" t="str">
        <f aca="false">IF($A303="","",U303+ROW()/1000000)</f>
        <v/>
      </c>
    </row>
    <row r="304" customFormat="false" ht="15" hidden="false" customHeight="false" outlineLevel="0" collapsed="false">
      <c r="A304" s="56"/>
      <c r="B304" s="56"/>
      <c r="C304" s="56"/>
      <c r="D304" s="56"/>
      <c r="E304" s="56"/>
      <c r="F304" s="63"/>
      <c r="G304" s="58"/>
      <c r="H304" s="58"/>
      <c r="I304" s="57"/>
      <c r="J304" s="57"/>
      <c r="K304" s="58"/>
      <c r="L304" s="64" t="str">
        <f aca="false">IF($A304="","",SUMIFS(Purchases!$E$5:INDEX(Purchases!$E$5:$E$3004,TxRows),Purchases!$D$5:INDEX(Purchases!$D$5:$D$3004,TxRows),$A304))</f>
        <v/>
      </c>
      <c r="M304" s="64" t="str">
        <f aca="false">IF($A304="","",SUMIFS(Sales!$E$5:INDEX(Sales!$E$5:$E$3004,TxRows),Sales!$D$5:INDEX(Sales!$D$5:$D$3004,TxRows),$A304))</f>
        <v/>
      </c>
      <c r="N304" s="64" t="str">
        <f aca="false">IF($A304="","",SUMIFS(Adjustments!$C$5:$C$504,Adjustments!$B$5:$B$504,$A304))</f>
        <v/>
      </c>
      <c r="O304" s="64" t="str">
        <f aca="false">IF($A304="","",N($J304)+L304-M304+N304)</f>
        <v/>
      </c>
      <c r="P304" s="61" t="str">
        <f aca="false">IF($A304="","",IFERROR((N($J304)*N($K304)+SUMIFS(Purchases!$K$5:INDEX(Purchases!$K$5:$K$3004,TxRows),Purchases!$D$5:INDEX(Purchases!$D$5:$D$3004,TxRows),$A304))/(N($J304)+L304),N($G304)))</f>
        <v/>
      </c>
      <c r="Q304" s="61" t="str">
        <f aca="false">IF($A304="","",MAX(0,O304)*P304)</f>
        <v/>
      </c>
      <c r="R304" s="60" t="str">
        <f aca="false">IF($A304="","",IF(O304&lt;0,"NEGATIVE",IF(O304=0,"OUT OF STOCK",IF(O304&lt;=N($I304),"REORDER",IF(AND(O304&gt;0,X304&gt;DeadDays),"DEAD STOCK","OK")))))</f>
        <v/>
      </c>
      <c r="S304" s="65" t="str">
        <f aca="false">IF($A304="","",IF(N($H304)=0,0,(N($H304)-P304)/N($H304)))</f>
        <v/>
      </c>
      <c r="T304" s="64" t="str">
        <f aca="false">IF($A304="","",IF(O304&lt;=N($I304),MAX(0,2*N($I304)-O304),0))</f>
        <v/>
      </c>
      <c r="U304" s="61" t="str">
        <f aca="false">IF($A304="","",SUMIFS(Sales!$L$5:INDEX(Sales!$L$5:$L$3004,TxRows),Sales!$D$5:INDEX(Sales!$D$5:$D$3004,TxRows),$A304))</f>
        <v/>
      </c>
      <c r="V304" s="61" t="str">
        <f aca="false">IF($A304="","",SUMIFS(Sales!$S$5:INDEX(Sales!$S$5:$S$3004,TxRows),Sales!$D$5:INDEX(Sales!$D$5:$D$3004,TxRows),$A304))</f>
        <v/>
      </c>
      <c r="W304" s="66" t="str">
        <f aca="false">IF($A304="","",IFERROR(SUMPRODUCT(MAX((Sales!$D$5:INDEX(Sales!$D$5:$D$3004,TxRows)=$A304)*Sales!$A$5:INDEX(Sales!$A$5:$A$3004,TxRows))),0))</f>
        <v/>
      </c>
      <c r="X304" s="67" t="str">
        <f aca="false">IF($A304="","",IF(W304=0,AsOf-FYStart,AsOf-W304))</f>
        <v/>
      </c>
      <c r="Y304" s="67" t="str">
        <f aca="false">IF($A304="","",IF(M304=0,"",O304/(M304/MAX(1,AsOf-FYStart))))</f>
        <v/>
      </c>
      <c r="Z304" s="60" t="str">
        <f aca="false">IF($A304="","",U304+ROW()/1000000)</f>
        <v/>
      </c>
    </row>
    <row r="305" customFormat="false" ht="15" hidden="false" customHeight="false" outlineLevel="0" collapsed="false">
      <c r="A305" s="56"/>
      <c r="B305" s="56"/>
      <c r="C305" s="56"/>
      <c r="D305" s="56"/>
      <c r="E305" s="56"/>
      <c r="F305" s="63"/>
      <c r="G305" s="58"/>
      <c r="H305" s="58"/>
      <c r="I305" s="57"/>
      <c r="J305" s="57"/>
      <c r="K305" s="58"/>
      <c r="L305" s="64" t="str">
        <f aca="false">IF($A305="","",SUMIFS(Purchases!$E$5:INDEX(Purchases!$E$5:$E$3004,TxRows),Purchases!$D$5:INDEX(Purchases!$D$5:$D$3004,TxRows),$A305))</f>
        <v/>
      </c>
      <c r="M305" s="64" t="str">
        <f aca="false">IF($A305="","",SUMIFS(Sales!$E$5:INDEX(Sales!$E$5:$E$3004,TxRows),Sales!$D$5:INDEX(Sales!$D$5:$D$3004,TxRows),$A305))</f>
        <v/>
      </c>
      <c r="N305" s="64" t="str">
        <f aca="false">IF($A305="","",SUMIFS(Adjustments!$C$5:$C$504,Adjustments!$B$5:$B$504,$A305))</f>
        <v/>
      </c>
      <c r="O305" s="64" t="str">
        <f aca="false">IF($A305="","",N($J305)+L305-M305+N305)</f>
        <v/>
      </c>
      <c r="P305" s="61" t="str">
        <f aca="false">IF($A305="","",IFERROR((N($J305)*N($K305)+SUMIFS(Purchases!$K$5:INDEX(Purchases!$K$5:$K$3004,TxRows),Purchases!$D$5:INDEX(Purchases!$D$5:$D$3004,TxRows),$A305))/(N($J305)+L305),N($G305)))</f>
        <v/>
      </c>
      <c r="Q305" s="61" t="str">
        <f aca="false">IF($A305="","",MAX(0,O305)*P305)</f>
        <v/>
      </c>
      <c r="R305" s="60" t="str">
        <f aca="false">IF($A305="","",IF(O305&lt;0,"NEGATIVE",IF(O305=0,"OUT OF STOCK",IF(O305&lt;=N($I305),"REORDER",IF(AND(O305&gt;0,X305&gt;DeadDays),"DEAD STOCK","OK")))))</f>
        <v/>
      </c>
      <c r="S305" s="65" t="str">
        <f aca="false">IF($A305="","",IF(N($H305)=0,0,(N($H305)-P305)/N($H305)))</f>
        <v/>
      </c>
      <c r="T305" s="64" t="str">
        <f aca="false">IF($A305="","",IF(O305&lt;=N($I305),MAX(0,2*N($I305)-O305),0))</f>
        <v/>
      </c>
      <c r="U305" s="61" t="str">
        <f aca="false">IF($A305="","",SUMIFS(Sales!$L$5:INDEX(Sales!$L$5:$L$3004,TxRows),Sales!$D$5:INDEX(Sales!$D$5:$D$3004,TxRows),$A305))</f>
        <v/>
      </c>
      <c r="V305" s="61" t="str">
        <f aca="false">IF($A305="","",SUMIFS(Sales!$S$5:INDEX(Sales!$S$5:$S$3004,TxRows),Sales!$D$5:INDEX(Sales!$D$5:$D$3004,TxRows),$A305))</f>
        <v/>
      </c>
      <c r="W305" s="66" t="str">
        <f aca="false">IF($A305="","",IFERROR(SUMPRODUCT(MAX((Sales!$D$5:INDEX(Sales!$D$5:$D$3004,TxRows)=$A305)*Sales!$A$5:INDEX(Sales!$A$5:$A$3004,TxRows))),0))</f>
        <v/>
      </c>
      <c r="X305" s="67" t="str">
        <f aca="false">IF($A305="","",IF(W305=0,AsOf-FYStart,AsOf-W305))</f>
        <v/>
      </c>
      <c r="Y305" s="67" t="str">
        <f aca="false">IF($A305="","",IF(M305=0,"",O305/(M305/MAX(1,AsOf-FYStart))))</f>
        <v/>
      </c>
      <c r="Z305" s="60" t="str">
        <f aca="false">IF($A305="","",U305+ROW()/1000000)</f>
        <v/>
      </c>
    </row>
    <row r="306" customFormat="false" ht="15" hidden="false" customHeight="false" outlineLevel="0" collapsed="false">
      <c r="A306" s="56"/>
      <c r="B306" s="56"/>
      <c r="C306" s="56"/>
      <c r="D306" s="56"/>
      <c r="E306" s="56"/>
      <c r="F306" s="63"/>
      <c r="G306" s="58"/>
      <c r="H306" s="58"/>
      <c r="I306" s="57"/>
      <c r="J306" s="57"/>
      <c r="K306" s="58"/>
      <c r="L306" s="64" t="str">
        <f aca="false">IF($A306="","",SUMIFS(Purchases!$E$5:INDEX(Purchases!$E$5:$E$3004,TxRows),Purchases!$D$5:INDEX(Purchases!$D$5:$D$3004,TxRows),$A306))</f>
        <v/>
      </c>
      <c r="M306" s="64" t="str">
        <f aca="false">IF($A306="","",SUMIFS(Sales!$E$5:INDEX(Sales!$E$5:$E$3004,TxRows),Sales!$D$5:INDEX(Sales!$D$5:$D$3004,TxRows),$A306))</f>
        <v/>
      </c>
      <c r="N306" s="64" t="str">
        <f aca="false">IF($A306="","",SUMIFS(Adjustments!$C$5:$C$504,Adjustments!$B$5:$B$504,$A306))</f>
        <v/>
      </c>
      <c r="O306" s="64" t="str">
        <f aca="false">IF($A306="","",N($J306)+L306-M306+N306)</f>
        <v/>
      </c>
      <c r="P306" s="61" t="str">
        <f aca="false">IF($A306="","",IFERROR((N($J306)*N($K306)+SUMIFS(Purchases!$K$5:INDEX(Purchases!$K$5:$K$3004,TxRows),Purchases!$D$5:INDEX(Purchases!$D$5:$D$3004,TxRows),$A306))/(N($J306)+L306),N($G306)))</f>
        <v/>
      </c>
      <c r="Q306" s="61" t="str">
        <f aca="false">IF($A306="","",MAX(0,O306)*P306)</f>
        <v/>
      </c>
      <c r="R306" s="60" t="str">
        <f aca="false">IF($A306="","",IF(O306&lt;0,"NEGATIVE",IF(O306=0,"OUT OF STOCK",IF(O306&lt;=N($I306),"REORDER",IF(AND(O306&gt;0,X306&gt;DeadDays),"DEAD STOCK","OK")))))</f>
        <v/>
      </c>
      <c r="S306" s="65" t="str">
        <f aca="false">IF($A306="","",IF(N($H306)=0,0,(N($H306)-P306)/N($H306)))</f>
        <v/>
      </c>
      <c r="T306" s="64" t="str">
        <f aca="false">IF($A306="","",IF(O306&lt;=N($I306),MAX(0,2*N($I306)-O306),0))</f>
        <v/>
      </c>
      <c r="U306" s="61" t="str">
        <f aca="false">IF($A306="","",SUMIFS(Sales!$L$5:INDEX(Sales!$L$5:$L$3004,TxRows),Sales!$D$5:INDEX(Sales!$D$5:$D$3004,TxRows),$A306))</f>
        <v/>
      </c>
      <c r="V306" s="61" t="str">
        <f aca="false">IF($A306="","",SUMIFS(Sales!$S$5:INDEX(Sales!$S$5:$S$3004,TxRows),Sales!$D$5:INDEX(Sales!$D$5:$D$3004,TxRows),$A306))</f>
        <v/>
      </c>
      <c r="W306" s="66" t="str">
        <f aca="false">IF($A306="","",IFERROR(SUMPRODUCT(MAX((Sales!$D$5:INDEX(Sales!$D$5:$D$3004,TxRows)=$A306)*Sales!$A$5:INDEX(Sales!$A$5:$A$3004,TxRows))),0))</f>
        <v/>
      </c>
      <c r="X306" s="67" t="str">
        <f aca="false">IF($A306="","",IF(W306=0,AsOf-FYStart,AsOf-W306))</f>
        <v/>
      </c>
      <c r="Y306" s="67" t="str">
        <f aca="false">IF($A306="","",IF(M306=0,"",O306/(M306/MAX(1,AsOf-FYStart))))</f>
        <v/>
      </c>
      <c r="Z306" s="60" t="str">
        <f aca="false">IF($A306="","",U306+ROW()/1000000)</f>
        <v/>
      </c>
    </row>
    <row r="307" customFormat="false" ht="15" hidden="false" customHeight="false" outlineLevel="0" collapsed="false">
      <c r="A307" s="56"/>
      <c r="B307" s="56"/>
      <c r="C307" s="56"/>
      <c r="D307" s="56"/>
      <c r="E307" s="56"/>
      <c r="F307" s="63"/>
      <c r="G307" s="58"/>
      <c r="H307" s="58"/>
      <c r="I307" s="57"/>
      <c r="J307" s="57"/>
      <c r="K307" s="58"/>
      <c r="L307" s="64" t="str">
        <f aca="false">IF($A307="","",SUMIFS(Purchases!$E$5:INDEX(Purchases!$E$5:$E$3004,TxRows),Purchases!$D$5:INDEX(Purchases!$D$5:$D$3004,TxRows),$A307))</f>
        <v/>
      </c>
      <c r="M307" s="64" t="str">
        <f aca="false">IF($A307="","",SUMIFS(Sales!$E$5:INDEX(Sales!$E$5:$E$3004,TxRows),Sales!$D$5:INDEX(Sales!$D$5:$D$3004,TxRows),$A307))</f>
        <v/>
      </c>
      <c r="N307" s="64" t="str">
        <f aca="false">IF($A307="","",SUMIFS(Adjustments!$C$5:$C$504,Adjustments!$B$5:$B$504,$A307))</f>
        <v/>
      </c>
      <c r="O307" s="64" t="str">
        <f aca="false">IF($A307="","",N($J307)+L307-M307+N307)</f>
        <v/>
      </c>
      <c r="P307" s="61" t="str">
        <f aca="false">IF($A307="","",IFERROR((N($J307)*N($K307)+SUMIFS(Purchases!$K$5:INDEX(Purchases!$K$5:$K$3004,TxRows),Purchases!$D$5:INDEX(Purchases!$D$5:$D$3004,TxRows),$A307))/(N($J307)+L307),N($G307)))</f>
        <v/>
      </c>
      <c r="Q307" s="61" t="str">
        <f aca="false">IF($A307="","",MAX(0,O307)*P307)</f>
        <v/>
      </c>
      <c r="R307" s="60" t="str">
        <f aca="false">IF($A307="","",IF(O307&lt;0,"NEGATIVE",IF(O307=0,"OUT OF STOCK",IF(O307&lt;=N($I307),"REORDER",IF(AND(O307&gt;0,X307&gt;DeadDays),"DEAD STOCK","OK")))))</f>
        <v/>
      </c>
      <c r="S307" s="65" t="str">
        <f aca="false">IF($A307="","",IF(N($H307)=0,0,(N($H307)-P307)/N($H307)))</f>
        <v/>
      </c>
      <c r="T307" s="64" t="str">
        <f aca="false">IF($A307="","",IF(O307&lt;=N($I307),MAX(0,2*N($I307)-O307),0))</f>
        <v/>
      </c>
      <c r="U307" s="61" t="str">
        <f aca="false">IF($A307="","",SUMIFS(Sales!$L$5:INDEX(Sales!$L$5:$L$3004,TxRows),Sales!$D$5:INDEX(Sales!$D$5:$D$3004,TxRows),$A307))</f>
        <v/>
      </c>
      <c r="V307" s="61" t="str">
        <f aca="false">IF($A307="","",SUMIFS(Sales!$S$5:INDEX(Sales!$S$5:$S$3004,TxRows),Sales!$D$5:INDEX(Sales!$D$5:$D$3004,TxRows),$A307))</f>
        <v/>
      </c>
      <c r="W307" s="66" t="str">
        <f aca="false">IF($A307="","",IFERROR(SUMPRODUCT(MAX((Sales!$D$5:INDEX(Sales!$D$5:$D$3004,TxRows)=$A307)*Sales!$A$5:INDEX(Sales!$A$5:$A$3004,TxRows))),0))</f>
        <v/>
      </c>
      <c r="X307" s="67" t="str">
        <f aca="false">IF($A307="","",IF(W307=0,AsOf-FYStart,AsOf-W307))</f>
        <v/>
      </c>
      <c r="Y307" s="67" t="str">
        <f aca="false">IF($A307="","",IF(M307=0,"",O307/(M307/MAX(1,AsOf-FYStart))))</f>
        <v/>
      </c>
      <c r="Z307" s="60" t="str">
        <f aca="false">IF($A307="","",U307+ROW()/1000000)</f>
        <v/>
      </c>
    </row>
    <row r="308" customFormat="false" ht="15" hidden="false" customHeight="false" outlineLevel="0" collapsed="false">
      <c r="A308" s="56"/>
      <c r="B308" s="56"/>
      <c r="C308" s="56"/>
      <c r="D308" s="56"/>
      <c r="E308" s="56"/>
      <c r="F308" s="63"/>
      <c r="G308" s="58"/>
      <c r="H308" s="58"/>
      <c r="I308" s="57"/>
      <c r="J308" s="57"/>
      <c r="K308" s="58"/>
      <c r="L308" s="64" t="str">
        <f aca="false">IF($A308="","",SUMIFS(Purchases!$E$5:INDEX(Purchases!$E$5:$E$3004,TxRows),Purchases!$D$5:INDEX(Purchases!$D$5:$D$3004,TxRows),$A308))</f>
        <v/>
      </c>
      <c r="M308" s="64" t="str">
        <f aca="false">IF($A308="","",SUMIFS(Sales!$E$5:INDEX(Sales!$E$5:$E$3004,TxRows),Sales!$D$5:INDEX(Sales!$D$5:$D$3004,TxRows),$A308))</f>
        <v/>
      </c>
      <c r="N308" s="64" t="str">
        <f aca="false">IF($A308="","",SUMIFS(Adjustments!$C$5:$C$504,Adjustments!$B$5:$B$504,$A308))</f>
        <v/>
      </c>
      <c r="O308" s="64" t="str">
        <f aca="false">IF($A308="","",N($J308)+L308-M308+N308)</f>
        <v/>
      </c>
      <c r="P308" s="61" t="str">
        <f aca="false">IF($A308="","",IFERROR((N($J308)*N($K308)+SUMIFS(Purchases!$K$5:INDEX(Purchases!$K$5:$K$3004,TxRows),Purchases!$D$5:INDEX(Purchases!$D$5:$D$3004,TxRows),$A308))/(N($J308)+L308),N($G308)))</f>
        <v/>
      </c>
      <c r="Q308" s="61" t="str">
        <f aca="false">IF($A308="","",MAX(0,O308)*P308)</f>
        <v/>
      </c>
      <c r="R308" s="60" t="str">
        <f aca="false">IF($A308="","",IF(O308&lt;0,"NEGATIVE",IF(O308=0,"OUT OF STOCK",IF(O308&lt;=N($I308),"REORDER",IF(AND(O308&gt;0,X308&gt;DeadDays),"DEAD STOCK","OK")))))</f>
        <v/>
      </c>
      <c r="S308" s="65" t="str">
        <f aca="false">IF($A308="","",IF(N($H308)=0,0,(N($H308)-P308)/N($H308)))</f>
        <v/>
      </c>
      <c r="T308" s="64" t="str">
        <f aca="false">IF($A308="","",IF(O308&lt;=N($I308),MAX(0,2*N($I308)-O308),0))</f>
        <v/>
      </c>
      <c r="U308" s="61" t="str">
        <f aca="false">IF($A308="","",SUMIFS(Sales!$L$5:INDEX(Sales!$L$5:$L$3004,TxRows),Sales!$D$5:INDEX(Sales!$D$5:$D$3004,TxRows),$A308))</f>
        <v/>
      </c>
      <c r="V308" s="61" t="str">
        <f aca="false">IF($A308="","",SUMIFS(Sales!$S$5:INDEX(Sales!$S$5:$S$3004,TxRows),Sales!$D$5:INDEX(Sales!$D$5:$D$3004,TxRows),$A308))</f>
        <v/>
      </c>
      <c r="W308" s="66" t="str">
        <f aca="false">IF($A308="","",IFERROR(SUMPRODUCT(MAX((Sales!$D$5:INDEX(Sales!$D$5:$D$3004,TxRows)=$A308)*Sales!$A$5:INDEX(Sales!$A$5:$A$3004,TxRows))),0))</f>
        <v/>
      </c>
      <c r="X308" s="67" t="str">
        <f aca="false">IF($A308="","",IF(W308=0,AsOf-FYStart,AsOf-W308))</f>
        <v/>
      </c>
      <c r="Y308" s="67" t="str">
        <f aca="false">IF($A308="","",IF(M308=0,"",O308/(M308/MAX(1,AsOf-FYStart))))</f>
        <v/>
      </c>
      <c r="Z308" s="60" t="str">
        <f aca="false">IF($A308="","",U308+ROW()/1000000)</f>
        <v/>
      </c>
    </row>
    <row r="309" customFormat="false" ht="15" hidden="false" customHeight="false" outlineLevel="0" collapsed="false">
      <c r="A309" s="56"/>
      <c r="B309" s="56"/>
      <c r="C309" s="56"/>
      <c r="D309" s="56"/>
      <c r="E309" s="56"/>
      <c r="F309" s="63"/>
      <c r="G309" s="58"/>
      <c r="H309" s="58"/>
      <c r="I309" s="57"/>
      <c r="J309" s="57"/>
      <c r="K309" s="58"/>
      <c r="L309" s="64" t="str">
        <f aca="false">IF($A309="","",SUMIFS(Purchases!$E$5:INDEX(Purchases!$E$5:$E$3004,TxRows),Purchases!$D$5:INDEX(Purchases!$D$5:$D$3004,TxRows),$A309))</f>
        <v/>
      </c>
      <c r="M309" s="64" t="str">
        <f aca="false">IF($A309="","",SUMIFS(Sales!$E$5:INDEX(Sales!$E$5:$E$3004,TxRows),Sales!$D$5:INDEX(Sales!$D$5:$D$3004,TxRows),$A309))</f>
        <v/>
      </c>
      <c r="N309" s="64" t="str">
        <f aca="false">IF($A309="","",SUMIFS(Adjustments!$C$5:$C$504,Adjustments!$B$5:$B$504,$A309))</f>
        <v/>
      </c>
      <c r="O309" s="64" t="str">
        <f aca="false">IF($A309="","",N($J309)+L309-M309+N309)</f>
        <v/>
      </c>
      <c r="P309" s="61" t="str">
        <f aca="false">IF($A309="","",IFERROR((N($J309)*N($K309)+SUMIFS(Purchases!$K$5:INDEX(Purchases!$K$5:$K$3004,TxRows),Purchases!$D$5:INDEX(Purchases!$D$5:$D$3004,TxRows),$A309))/(N($J309)+L309),N($G309)))</f>
        <v/>
      </c>
      <c r="Q309" s="61" t="str">
        <f aca="false">IF($A309="","",MAX(0,O309)*P309)</f>
        <v/>
      </c>
      <c r="R309" s="60" t="str">
        <f aca="false">IF($A309="","",IF(O309&lt;0,"NEGATIVE",IF(O309=0,"OUT OF STOCK",IF(O309&lt;=N($I309),"REORDER",IF(AND(O309&gt;0,X309&gt;DeadDays),"DEAD STOCK","OK")))))</f>
        <v/>
      </c>
      <c r="S309" s="65" t="str">
        <f aca="false">IF($A309="","",IF(N($H309)=0,0,(N($H309)-P309)/N($H309)))</f>
        <v/>
      </c>
      <c r="T309" s="64" t="str">
        <f aca="false">IF($A309="","",IF(O309&lt;=N($I309),MAX(0,2*N($I309)-O309),0))</f>
        <v/>
      </c>
      <c r="U309" s="61" t="str">
        <f aca="false">IF($A309="","",SUMIFS(Sales!$L$5:INDEX(Sales!$L$5:$L$3004,TxRows),Sales!$D$5:INDEX(Sales!$D$5:$D$3004,TxRows),$A309))</f>
        <v/>
      </c>
      <c r="V309" s="61" t="str">
        <f aca="false">IF($A309="","",SUMIFS(Sales!$S$5:INDEX(Sales!$S$5:$S$3004,TxRows),Sales!$D$5:INDEX(Sales!$D$5:$D$3004,TxRows),$A309))</f>
        <v/>
      </c>
      <c r="W309" s="66" t="str">
        <f aca="false">IF($A309="","",IFERROR(SUMPRODUCT(MAX((Sales!$D$5:INDEX(Sales!$D$5:$D$3004,TxRows)=$A309)*Sales!$A$5:INDEX(Sales!$A$5:$A$3004,TxRows))),0))</f>
        <v/>
      </c>
      <c r="X309" s="67" t="str">
        <f aca="false">IF($A309="","",IF(W309=0,AsOf-FYStart,AsOf-W309))</f>
        <v/>
      </c>
      <c r="Y309" s="67" t="str">
        <f aca="false">IF($A309="","",IF(M309=0,"",O309/(M309/MAX(1,AsOf-FYStart))))</f>
        <v/>
      </c>
      <c r="Z309" s="60" t="str">
        <f aca="false">IF($A309="","",U309+ROW()/1000000)</f>
        <v/>
      </c>
    </row>
    <row r="310" customFormat="false" ht="15" hidden="false" customHeight="false" outlineLevel="0" collapsed="false">
      <c r="A310" s="56"/>
      <c r="B310" s="56"/>
      <c r="C310" s="56"/>
      <c r="D310" s="56"/>
      <c r="E310" s="56"/>
      <c r="F310" s="63"/>
      <c r="G310" s="58"/>
      <c r="H310" s="58"/>
      <c r="I310" s="57"/>
      <c r="J310" s="57"/>
      <c r="K310" s="58"/>
      <c r="L310" s="64" t="str">
        <f aca="false">IF($A310="","",SUMIFS(Purchases!$E$5:INDEX(Purchases!$E$5:$E$3004,TxRows),Purchases!$D$5:INDEX(Purchases!$D$5:$D$3004,TxRows),$A310))</f>
        <v/>
      </c>
      <c r="M310" s="64" t="str">
        <f aca="false">IF($A310="","",SUMIFS(Sales!$E$5:INDEX(Sales!$E$5:$E$3004,TxRows),Sales!$D$5:INDEX(Sales!$D$5:$D$3004,TxRows),$A310))</f>
        <v/>
      </c>
      <c r="N310" s="64" t="str">
        <f aca="false">IF($A310="","",SUMIFS(Adjustments!$C$5:$C$504,Adjustments!$B$5:$B$504,$A310))</f>
        <v/>
      </c>
      <c r="O310" s="64" t="str">
        <f aca="false">IF($A310="","",N($J310)+L310-M310+N310)</f>
        <v/>
      </c>
      <c r="P310" s="61" t="str">
        <f aca="false">IF($A310="","",IFERROR((N($J310)*N($K310)+SUMIFS(Purchases!$K$5:INDEX(Purchases!$K$5:$K$3004,TxRows),Purchases!$D$5:INDEX(Purchases!$D$5:$D$3004,TxRows),$A310))/(N($J310)+L310),N($G310)))</f>
        <v/>
      </c>
      <c r="Q310" s="61" t="str">
        <f aca="false">IF($A310="","",MAX(0,O310)*P310)</f>
        <v/>
      </c>
      <c r="R310" s="60" t="str">
        <f aca="false">IF($A310="","",IF(O310&lt;0,"NEGATIVE",IF(O310=0,"OUT OF STOCK",IF(O310&lt;=N($I310),"REORDER",IF(AND(O310&gt;0,X310&gt;DeadDays),"DEAD STOCK","OK")))))</f>
        <v/>
      </c>
      <c r="S310" s="65" t="str">
        <f aca="false">IF($A310="","",IF(N($H310)=0,0,(N($H310)-P310)/N($H310)))</f>
        <v/>
      </c>
      <c r="T310" s="64" t="str">
        <f aca="false">IF($A310="","",IF(O310&lt;=N($I310),MAX(0,2*N($I310)-O310),0))</f>
        <v/>
      </c>
      <c r="U310" s="61" t="str">
        <f aca="false">IF($A310="","",SUMIFS(Sales!$L$5:INDEX(Sales!$L$5:$L$3004,TxRows),Sales!$D$5:INDEX(Sales!$D$5:$D$3004,TxRows),$A310))</f>
        <v/>
      </c>
      <c r="V310" s="61" t="str">
        <f aca="false">IF($A310="","",SUMIFS(Sales!$S$5:INDEX(Sales!$S$5:$S$3004,TxRows),Sales!$D$5:INDEX(Sales!$D$5:$D$3004,TxRows),$A310))</f>
        <v/>
      </c>
      <c r="W310" s="66" t="str">
        <f aca="false">IF($A310="","",IFERROR(SUMPRODUCT(MAX((Sales!$D$5:INDEX(Sales!$D$5:$D$3004,TxRows)=$A310)*Sales!$A$5:INDEX(Sales!$A$5:$A$3004,TxRows))),0))</f>
        <v/>
      </c>
      <c r="X310" s="67" t="str">
        <f aca="false">IF($A310="","",IF(W310=0,AsOf-FYStart,AsOf-W310))</f>
        <v/>
      </c>
      <c r="Y310" s="67" t="str">
        <f aca="false">IF($A310="","",IF(M310=0,"",O310/(M310/MAX(1,AsOf-FYStart))))</f>
        <v/>
      </c>
      <c r="Z310" s="60" t="str">
        <f aca="false">IF($A310="","",U310+ROW()/1000000)</f>
        <v/>
      </c>
    </row>
    <row r="311" customFormat="false" ht="15" hidden="false" customHeight="false" outlineLevel="0" collapsed="false">
      <c r="A311" s="56"/>
      <c r="B311" s="56"/>
      <c r="C311" s="56"/>
      <c r="D311" s="56"/>
      <c r="E311" s="56"/>
      <c r="F311" s="63"/>
      <c r="G311" s="58"/>
      <c r="H311" s="58"/>
      <c r="I311" s="57"/>
      <c r="J311" s="57"/>
      <c r="K311" s="58"/>
      <c r="L311" s="64" t="str">
        <f aca="false">IF($A311="","",SUMIFS(Purchases!$E$5:INDEX(Purchases!$E$5:$E$3004,TxRows),Purchases!$D$5:INDEX(Purchases!$D$5:$D$3004,TxRows),$A311))</f>
        <v/>
      </c>
      <c r="M311" s="64" t="str">
        <f aca="false">IF($A311="","",SUMIFS(Sales!$E$5:INDEX(Sales!$E$5:$E$3004,TxRows),Sales!$D$5:INDEX(Sales!$D$5:$D$3004,TxRows),$A311))</f>
        <v/>
      </c>
      <c r="N311" s="64" t="str">
        <f aca="false">IF($A311="","",SUMIFS(Adjustments!$C$5:$C$504,Adjustments!$B$5:$B$504,$A311))</f>
        <v/>
      </c>
      <c r="O311" s="64" t="str">
        <f aca="false">IF($A311="","",N($J311)+L311-M311+N311)</f>
        <v/>
      </c>
      <c r="P311" s="61" t="str">
        <f aca="false">IF($A311="","",IFERROR((N($J311)*N($K311)+SUMIFS(Purchases!$K$5:INDEX(Purchases!$K$5:$K$3004,TxRows),Purchases!$D$5:INDEX(Purchases!$D$5:$D$3004,TxRows),$A311))/(N($J311)+L311),N($G311)))</f>
        <v/>
      </c>
      <c r="Q311" s="61" t="str">
        <f aca="false">IF($A311="","",MAX(0,O311)*P311)</f>
        <v/>
      </c>
      <c r="R311" s="60" t="str">
        <f aca="false">IF($A311="","",IF(O311&lt;0,"NEGATIVE",IF(O311=0,"OUT OF STOCK",IF(O311&lt;=N($I311),"REORDER",IF(AND(O311&gt;0,X311&gt;DeadDays),"DEAD STOCK","OK")))))</f>
        <v/>
      </c>
      <c r="S311" s="65" t="str">
        <f aca="false">IF($A311="","",IF(N($H311)=0,0,(N($H311)-P311)/N($H311)))</f>
        <v/>
      </c>
      <c r="T311" s="64" t="str">
        <f aca="false">IF($A311="","",IF(O311&lt;=N($I311),MAX(0,2*N($I311)-O311),0))</f>
        <v/>
      </c>
      <c r="U311" s="61" t="str">
        <f aca="false">IF($A311="","",SUMIFS(Sales!$L$5:INDEX(Sales!$L$5:$L$3004,TxRows),Sales!$D$5:INDEX(Sales!$D$5:$D$3004,TxRows),$A311))</f>
        <v/>
      </c>
      <c r="V311" s="61" t="str">
        <f aca="false">IF($A311="","",SUMIFS(Sales!$S$5:INDEX(Sales!$S$5:$S$3004,TxRows),Sales!$D$5:INDEX(Sales!$D$5:$D$3004,TxRows),$A311))</f>
        <v/>
      </c>
      <c r="W311" s="66" t="str">
        <f aca="false">IF($A311="","",IFERROR(SUMPRODUCT(MAX((Sales!$D$5:INDEX(Sales!$D$5:$D$3004,TxRows)=$A311)*Sales!$A$5:INDEX(Sales!$A$5:$A$3004,TxRows))),0))</f>
        <v/>
      </c>
      <c r="X311" s="67" t="str">
        <f aca="false">IF($A311="","",IF(W311=0,AsOf-FYStart,AsOf-W311))</f>
        <v/>
      </c>
      <c r="Y311" s="67" t="str">
        <f aca="false">IF($A311="","",IF(M311=0,"",O311/(M311/MAX(1,AsOf-FYStart))))</f>
        <v/>
      </c>
      <c r="Z311" s="60" t="str">
        <f aca="false">IF($A311="","",U311+ROW()/1000000)</f>
        <v/>
      </c>
    </row>
    <row r="312" customFormat="false" ht="15" hidden="false" customHeight="false" outlineLevel="0" collapsed="false">
      <c r="A312" s="56"/>
      <c r="B312" s="56"/>
      <c r="C312" s="56"/>
      <c r="D312" s="56"/>
      <c r="E312" s="56"/>
      <c r="F312" s="63"/>
      <c r="G312" s="58"/>
      <c r="H312" s="58"/>
      <c r="I312" s="57"/>
      <c r="J312" s="57"/>
      <c r="K312" s="58"/>
      <c r="L312" s="64" t="str">
        <f aca="false">IF($A312="","",SUMIFS(Purchases!$E$5:INDEX(Purchases!$E$5:$E$3004,TxRows),Purchases!$D$5:INDEX(Purchases!$D$5:$D$3004,TxRows),$A312))</f>
        <v/>
      </c>
      <c r="M312" s="64" t="str">
        <f aca="false">IF($A312="","",SUMIFS(Sales!$E$5:INDEX(Sales!$E$5:$E$3004,TxRows),Sales!$D$5:INDEX(Sales!$D$5:$D$3004,TxRows),$A312))</f>
        <v/>
      </c>
      <c r="N312" s="64" t="str">
        <f aca="false">IF($A312="","",SUMIFS(Adjustments!$C$5:$C$504,Adjustments!$B$5:$B$504,$A312))</f>
        <v/>
      </c>
      <c r="O312" s="64" t="str">
        <f aca="false">IF($A312="","",N($J312)+L312-M312+N312)</f>
        <v/>
      </c>
      <c r="P312" s="61" t="str">
        <f aca="false">IF($A312="","",IFERROR((N($J312)*N($K312)+SUMIFS(Purchases!$K$5:INDEX(Purchases!$K$5:$K$3004,TxRows),Purchases!$D$5:INDEX(Purchases!$D$5:$D$3004,TxRows),$A312))/(N($J312)+L312),N($G312)))</f>
        <v/>
      </c>
      <c r="Q312" s="61" t="str">
        <f aca="false">IF($A312="","",MAX(0,O312)*P312)</f>
        <v/>
      </c>
      <c r="R312" s="60" t="str">
        <f aca="false">IF($A312="","",IF(O312&lt;0,"NEGATIVE",IF(O312=0,"OUT OF STOCK",IF(O312&lt;=N($I312),"REORDER",IF(AND(O312&gt;0,X312&gt;DeadDays),"DEAD STOCK","OK")))))</f>
        <v/>
      </c>
      <c r="S312" s="65" t="str">
        <f aca="false">IF($A312="","",IF(N($H312)=0,0,(N($H312)-P312)/N($H312)))</f>
        <v/>
      </c>
      <c r="T312" s="64" t="str">
        <f aca="false">IF($A312="","",IF(O312&lt;=N($I312),MAX(0,2*N($I312)-O312),0))</f>
        <v/>
      </c>
      <c r="U312" s="61" t="str">
        <f aca="false">IF($A312="","",SUMIFS(Sales!$L$5:INDEX(Sales!$L$5:$L$3004,TxRows),Sales!$D$5:INDEX(Sales!$D$5:$D$3004,TxRows),$A312))</f>
        <v/>
      </c>
      <c r="V312" s="61" t="str">
        <f aca="false">IF($A312="","",SUMIFS(Sales!$S$5:INDEX(Sales!$S$5:$S$3004,TxRows),Sales!$D$5:INDEX(Sales!$D$5:$D$3004,TxRows),$A312))</f>
        <v/>
      </c>
      <c r="W312" s="66" t="str">
        <f aca="false">IF($A312="","",IFERROR(SUMPRODUCT(MAX((Sales!$D$5:INDEX(Sales!$D$5:$D$3004,TxRows)=$A312)*Sales!$A$5:INDEX(Sales!$A$5:$A$3004,TxRows))),0))</f>
        <v/>
      </c>
      <c r="X312" s="67" t="str">
        <f aca="false">IF($A312="","",IF(W312=0,AsOf-FYStart,AsOf-W312))</f>
        <v/>
      </c>
      <c r="Y312" s="67" t="str">
        <f aca="false">IF($A312="","",IF(M312=0,"",O312/(M312/MAX(1,AsOf-FYStart))))</f>
        <v/>
      </c>
      <c r="Z312" s="60" t="str">
        <f aca="false">IF($A312="","",U312+ROW()/1000000)</f>
        <v/>
      </c>
    </row>
    <row r="313" customFormat="false" ht="15" hidden="false" customHeight="false" outlineLevel="0" collapsed="false">
      <c r="A313" s="56"/>
      <c r="B313" s="56"/>
      <c r="C313" s="56"/>
      <c r="D313" s="56"/>
      <c r="E313" s="56"/>
      <c r="F313" s="63"/>
      <c r="G313" s="58"/>
      <c r="H313" s="58"/>
      <c r="I313" s="57"/>
      <c r="J313" s="57"/>
      <c r="K313" s="58"/>
      <c r="L313" s="64" t="str">
        <f aca="false">IF($A313="","",SUMIFS(Purchases!$E$5:INDEX(Purchases!$E$5:$E$3004,TxRows),Purchases!$D$5:INDEX(Purchases!$D$5:$D$3004,TxRows),$A313))</f>
        <v/>
      </c>
      <c r="M313" s="64" t="str">
        <f aca="false">IF($A313="","",SUMIFS(Sales!$E$5:INDEX(Sales!$E$5:$E$3004,TxRows),Sales!$D$5:INDEX(Sales!$D$5:$D$3004,TxRows),$A313))</f>
        <v/>
      </c>
      <c r="N313" s="64" t="str">
        <f aca="false">IF($A313="","",SUMIFS(Adjustments!$C$5:$C$504,Adjustments!$B$5:$B$504,$A313))</f>
        <v/>
      </c>
      <c r="O313" s="64" t="str">
        <f aca="false">IF($A313="","",N($J313)+L313-M313+N313)</f>
        <v/>
      </c>
      <c r="P313" s="61" t="str">
        <f aca="false">IF($A313="","",IFERROR((N($J313)*N($K313)+SUMIFS(Purchases!$K$5:INDEX(Purchases!$K$5:$K$3004,TxRows),Purchases!$D$5:INDEX(Purchases!$D$5:$D$3004,TxRows),$A313))/(N($J313)+L313),N($G313)))</f>
        <v/>
      </c>
      <c r="Q313" s="61" t="str">
        <f aca="false">IF($A313="","",MAX(0,O313)*P313)</f>
        <v/>
      </c>
      <c r="R313" s="60" t="str">
        <f aca="false">IF($A313="","",IF(O313&lt;0,"NEGATIVE",IF(O313=0,"OUT OF STOCK",IF(O313&lt;=N($I313),"REORDER",IF(AND(O313&gt;0,X313&gt;DeadDays),"DEAD STOCK","OK")))))</f>
        <v/>
      </c>
      <c r="S313" s="65" t="str">
        <f aca="false">IF($A313="","",IF(N($H313)=0,0,(N($H313)-P313)/N($H313)))</f>
        <v/>
      </c>
      <c r="T313" s="64" t="str">
        <f aca="false">IF($A313="","",IF(O313&lt;=N($I313),MAX(0,2*N($I313)-O313),0))</f>
        <v/>
      </c>
      <c r="U313" s="61" t="str">
        <f aca="false">IF($A313="","",SUMIFS(Sales!$L$5:INDEX(Sales!$L$5:$L$3004,TxRows),Sales!$D$5:INDEX(Sales!$D$5:$D$3004,TxRows),$A313))</f>
        <v/>
      </c>
      <c r="V313" s="61" t="str">
        <f aca="false">IF($A313="","",SUMIFS(Sales!$S$5:INDEX(Sales!$S$5:$S$3004,TxRows),Sales!$D$5:INDEX(Sales!$D$5:$D$3004,TxRows),$A313))</f>
        <v/>
      </c>
      <c r="W313" s="66" t="str">
        <f aca="false">IF($A313="","",IFERROR(SUMPRODUCT(MAX((Sales!$D$5:INDEX(Sales!$D$5:$D$3004,TxRows)=$A313)*Sales!$A$5:INDEX(Sales!$A$5:$A$3004,TxRows))),0))</f>
        <v/>
      </c>
      <c r="X313" s="67" t="str">
        <f aca="false">IF($A313="","",IF(W313=0,AsOf-FYStart,AsOf-W313))</f>
        <v/>
      </c>
      <c r="Y313" s="67" t="str">
        <f aca="false">IF($A313="","",IF(M313=0,"",O313/(M313/MAX(1,AsOf-FYStart))))</f>
        <v/>
      </c>
      <c r="Z313" s="60" t="str">
        <f aca="false">IF($A313="","",U313+ROW()/1000000)</f>
        <v/>
      </c>
    </row>
    <row r="314" customFormat="false" ht="15" hidden="false" customHeight="false" outlineLevel="0" collapsed="false">
      <c r="A314" s="56"/>
      <c r="B314" s="56"/>
      <c r="C314" s="56"/>
      <c r="D314" s="56"/>
      <c r="E314" s="56"/>
      <c r="F314" s="63"/>
      <c r="G314" s="58"/>
      <c r="H314" s="58"/>
      <c r="I314" s="57"/>
      <c r="J314" s="57"/>
      <c r="K314" s="58"/>
      <c r="L314" s="64" t="str">
        <f aca="false">IF($A314="","",SUMIFS(Purchases!$E$5:INDEX(Purchases!$E$5:$E$3004,TxRows),Purchases!$D$5:INDEX(Purchases!$D$5:$D$3004,TxRows),$A314))</f>
        <v/>
      </c>
      <c r="M314" s="64" t="str">
        <f aca="false">IF($A314="","",SUMIFS(Sales!$E$5:INDEX(Sales!$E$5:$E$3004,TxRows),Sales!$D$5:INDEX(Sales!$D$5:$D$3004,TxRows),$A314))</f>
        <v/>
      </c>
      <c r="N314" s="64" t="str">
        <f aca="false">IF($A314="","",SUMIFS(Adjustments!$C$5:$C$504,Adjustments!$B$5:$B$504,$A314))</f>
        <v/>
      </c>
      <c r="O314" s="64" t="str">
        <f aca="false">IF($A314="","",N($J314)+L314-M314+N314)</f>
        <v/>
      </c>
      <c r="P314" s="61" t="str">
        <f aca="false">IF($A314="","",IFERROR((N($J314)*N($K314)+SUMIFS(Purchases!$K$5:INDEX(Purchases!$K$5:$K$3004,TxRows),Purchases!$D$5:INDEX(Purchases!$D$5:$D$3004,TxRows),$A314))/(N($J314)+L314),N($G314)))</f>
        <v/>
      </c>
      <c r="Q314" s="61" t="str">
        <f aca="false">IF($A314="","",MAX(0,O314)*P314)</f>
        <v/>
      </c>
      <c r="R314" s="60" t="str">
        <f aca="false">IF($A314="","",IF(O314&lt;0,"NEGATIVE",IF(O314=0,"OUT OF STOCK",IF(O314&lt;=N($I314),"REORDER",IF(AND(O314&gt;0,X314&gt;DeadDays),"DEAD STOCK","OK")))))</f>
        <v/>
      </c>
      <c r="S314" s="65" t="str">
        <f aca="false">IF($A314="","",IF(N($H314)=0,0,(N($H314)-P314)/N($H314)))</f>
        <v/>
      </c>
      <c r="T314" s="64" t="str">
        <f aca="false">IF($A314="","",IF(O314&lt;=N($I314),MAX(0,2*N($I314)-O314),0))</f>
        <v/>
      </c>
      <c r="U314" s="61" t="str">
        <f aca="false">IF($A314="","",SUMIFS(Sales!$L$5:INDEX(Sales!$L$5:$L$3004,TxRows),Sales!$D$5:INDEX(Sales!$D$5:$D$3004,TxRows),$A314))</f>
        <v/>
      </c>
      <c r="V314" s="61" t="str">
        <f aca="false">IF($A314="","",SUMIFS(Sales!$S$5:INDEX(Sales!$S$5:$S$3004,TxRows),Sales!$D$5:INDEX(Sales!$D$5:$D$3004,TxRows),$A314))</f>
        <v/>
      </c>
      <c r="W314" s="66" t="str">
        <f aca="false">IF($A314="","",IFERROR(SUMPRODUCT(MAX((Sales!$D$5:INDEX(Sales!$D$5:$D$3004,TxRows)=$A314)*Sales!$A$5:INDEX(Sales!$A$5:$A$3004,TxRows))),0))</f>
        <v/>
      </c>
      <c r="X314" s="67" t="str">
        <f aca="false">IF($A314="","",IF(W314=0,AsOf-FYStart,AsOf-W314))</f>
        <v/>
      </c>
      <c r="Y314" s="67" t="str">
        <f aca="false">IF($A314="","",IF(M314=0,"",O314/(M314/MAX(1,AsOf-FYStart))))</f>
        <v/>
      </c>
      <c r="Z314" s="60" t="str">
        <f aca="false">IF($A314="","",U314+ROW()/1000000)</f>
        <v/>
      </c>
    </row>
    <row r="315" customFormat="false" ht="15" hidden="false" customHeight="false" outlineLevel="0" collapsed="false">
      <c r="A315" s="56"/>
      <c r="B315" s="56"/>
      <c r="C315" s="56"/>
      <c r="D315" s="56"/>
      <c r="E315" s="56"/>
      <c r="F315" s="63"/>
      <c r="G315" s="58"/>
      <c r="H315" s="58"/>
      <c r="I315" s="57"/>
      <c r="J315" s="57"/>
      <c r="K315" s="58"/>
      <c r="L315" s="64" t="str">
        <f aca="false">IF($A315="","",SUMIFS(Purchases!$E$5:INDEX(Purchases!$E$5:$E$3004,TxRows),Purchases!$D$5:INDEX(Purchases!$D$5:$D$3004,TxRows),$A315))</f>
        <v/>
      </c>
      <c r="M315" s="64" t="str">
        <f aca="false">IF($A315="","",SUMIFS(Sales!$E$5:INDEX(Sales!$E$5:$E$3004,TxRows),Sales!$D$5:INDEX(Sales!$D$5:$D$3004,TxRows),$A315))</f>
        <v/>
      </c>
      <c r="N315" s="64" t="str">
        <f aca="false">IF($A315="","",SUMIFS(Adjustments!$C$5:$C$504,Adjustments!$B$5:$B$504,$A315))</f>
        <v/>
      </c>
      <c r="O315" s="64" t="str">
        <f aca="false">IF($A315="","",N($J315)+L315-M315+N315)</f>
        <v/>
      </c>
      <c r="P315" s="61" t="str">
        <f aca="false">IF($A315="","",IFERROR((N($J315)*N($K315)+SUMIFS(Purchases!$K$5:INDEX(Purchases!$K$5:$K$3004,TxRows),Purchases!$D$5:INDEX(Purchases!$D$5:$D$3004,TxRows),$A315))/(N($J315)+L315),N($G315)))</f>
        <v/>
      </c>
      <c r="Q315" s="61" t="str">
        <f aca="false">IF($A315="","",MAX(0,O315)*P315)</f>
        <v/>
      </c>
      <c r="R315" s="60" t="str">
        <f aca="false">IF($A315="","",IF(O315&lt;0,"NEGATIVE",IF(O315=0,"OUT OF STOCK",IF(O315&lt;=N($I315),"REORDER",IF(AND(O315&gt;0,X315&gt;DeadDays),"DEAD STOCK","OK")))))</f>
        <v/>
      </c>
      <c r="S315" s="65" t="str">
        <f aca="false">IF($A315="","",IF(N($H315)=0,0,(N($H315)-P315)/N($H315)))</f>
        <v/>
      </c>
      <c r="T315" s="64" t="str">
        <f aca="false">IF($A315="","",IF(O315&lt;=N($I315),MAX(0,2*N($I315)-O315),0))</f>
        <v/>
      </c>
      <c r="U315" s="61" t="str">
        <f aca="false">IF($A315="","",SUMIFS(Sales!$L$5:INDEX(Sales!$L$5:$L$3004,TxRows),Sales!$D$5:INDEX(Sales!$D$5:$D$3004,TxRows),$A315))</f>
        <v/>
      </c>
      <c r="V315" s="61" t="str">
        <f aca="false">IF($A315="","",SUMIFS(Sales!$S$5:INDEX(Sales!$S$5:$S$3004,TxRows),Sales!$D$5:INDEX(Sales!$D$5:$D$3004,TxRows),$A315))</f>
        <v/>
      </c>
      <c r="W315" s="66" t="str">
        <f aca="false">IF($A315="","",IFERROR(SUMPRODUCT(MAX((Sales!$D$5:INDEX(Sales!$D$5:$D$3004,TxRows)=$A315)*Sales!$A$5:INDEX(Sales!$A$5:$A$3004,TxRows))),0))</f>
        <v/>
      </c>
      <c r="X315" s="67" t="str">
        <f aca="false">IF($A315="","",IF(W315=0,AsOf-FYStart,AsOf-W315))</f>
        <v/>
      </c>
      <c r="Y315" s="67" t="str">
        <f aca="false">IF($A315="","",IF(M315=0,"",O315/(M315/MAX(1,AsOf-FYStart))))</f>
        <v/>
      </c>
      <c r="Z315" s="60" t="str">
        <f aca="false">IF($A315="","",U315+ROW()/1000000)</f>
        <v/>
      </c>
    </row>
    <row r="316" customFormat="false" ht="15" hidden="false" customHeight="false" outlineLevel="0" collapsed="false">
      <c r="A316" s="56"/>
      <c r="B316" s="56"/>
      <c r="C316" s="56"/>
      <c r="D316" s="56"/>
      <c r="E316" s="56"/>
      <c r="F316" s="63"/>
      <c r="G316" s="58"/>
      <c r="H316" s="58"/>
      <c r="I316" s="57"/>
      <c r="J316" s="57"/>
      <c r="K316" s="58"/>
      <c r="L316" s="64" t="str">
        <f aca="false">IF($A316="","",SUMIFS(Purchases!$E$5:INDEX(Purchases!$E$5:$E$3004,TxRows),Purchases!$D$5:INDEX(Purchases!$D$5:$D$3004,TxRows),$A316))</f>
        <v/>
      </c>
      <c r="M316" s="64" t="str">
        <f aca="false">IF($A316="","",SUMIFS(Sales!$E$5:INDEX(Sales!$E$5:$E$3004,TxRows),Sales!$D$5:INDEX(Sales!$D$5:$D$3004,TxRows),$A316))</f>
        <v/>
      </c>
      <c r="N316" s="64" t="str">
        <f aca="false">IF($A316="","",SUMIFS(Adjustments!$C$5:$C$504,Adjustments!$B$5:$B$504,$A316))</f>
        <v/>
      </c>
      <c r="O316" s="64" t="str">
        <f aca="false">IF($A316="","",N($J316)+L316-M316+N316)</f>
        <v/>
      </c>
      <c r="P316" s="61" t="str">
        <f aca="false">IF($A316="","",IFERROR((N($J316)*N($K316)+SUMIFS(Purchases!$K$5:INDEX(Purchases!$K$5:$K$3004,TxRows),Purchases!$D$5:INDEX(Purchases!$D$5:$D$3004,TxRows),$A316))/(N($J316)+L316),N($G316)))</f>
        <v/>
      </c>
      <c r="Q316" s="61" t="str">
        <f aca="false">IF($A316="","",MAX(0,O316)*P316)</f>
        <v/>
      </c>
      <c r="R316" s="60" t="str">
        <f aca="false">IF($A316="","",IF(O316&lt;0,"NEGATIVE",IF(O316=0,"OUT OF STOCK",IF(O316&lt;=N($I316),"REORDER",IF(AND(O316&gt;0,X316&gt;DeadDays),"DEAD STOCK","OK")))))</f>
        <v/>
      </c>
      <c r="S316" s="65" t="str">
        <f aca="false">IF($A316="","",IF(N($H316)=0,0,(N($H316)-P316)/N($H316)))</f>
        <v/>
      </c>
      <c r="T316" s="64" t="str">
        <f aca="false">IF($A316="","",IF(O316&lt;=N($I316),MAX(0,2*N($I316)-O316),0))</f>
        <v/>
      </c>
      <c r="U316" s="61" t="str">
        <f aca="false">IF($A316="","",SUMIFS(Sales!$L$5:INDEX(Sales!$L$5:$L$3004,TxRows),Sales!$D$5:INDEX(Sales!$D$5:$D$3004,TxRows),$A316))</f>
        <v/>
      </c>
      <c r="V316" s="61" t="str">
        <f aca="false">IF($A316="","",SUMIFS(Sales!$S$5:INDEX(Sales!$S$5:$S$3004,TxRows),Sales!$D$5:INDEX(Sales!$D$5:$D$3004,TxRows),$A316))</f>
        <v/>
      </c>
      <c r="W316" s="66" t="str">
        <f aca="false">IF($A316="","",IFERROR(SUMPRODUCT(MAX((Sales!$D$5:INDEX(Sales!$D$5:$D$3004,TxRows)=$A316)*Sales!$A$5:INDEX(Sales!$A$5:$A$3004,TxRows))),0))</f>
        <v/>
      </c>
      <c r="X316" s="67" t="str">
        <f aca="false">IF($A316="","",IF(W316=0,AsOf-FYStart,AsOf-W316))</f>
        <v/>
      </c>
      <c r="Y316" s="67" t="str">
        <f aca="false">IF($A316="","",IF(M316=0,"",O316/(M316/MAX(1,AsOf-FYStart))))</f>
        <v/>
      </c>
      <c r="Z316" s="60" t="str">
        <f aca="false">IF($A316="","",U316+ROW()/1000000)</f>
        <v/>
      </c>
    </row>
    <row r="317" customFormat="false" ht="15" hidden="false" customHeight="false" outlineLevel="0" collapsed="false">
      <c r="A317" s="56"/>
      <c r="B317" s="56"/>
      <c r="C317" s="56"/>
      <c r="D317" s="56"/>
      <c r="E317" s="56"/>
      <c r="F317" s="63"/>
      <c r="G317" s="58"/>
      <c r="H317" s="58"/>
      <c r="I317" s="57"/>
      <c r="J317" s="57"/>
      <c r="K317" s="58"/>
      <c r="L317" s="64" t="str">
        <f aca="false">IF($A317="","",SUMIFS(Purchases!$E$5:INDEX(Purchases!$E$5:$E$3004,TxRows),Purchases!$D$5:INDEX(Purchases!$D$5:$D$3004,TxRows),$A317))</f>
        <v/>
      </c>
      <c r="M317" s="64" t="str">
        <f aca="false">IF($A317="","",SUMIFS(Sales!$E$5:INDEX(Sales!$E$5:$E$3004,TxRows),Sales!$D$5:INDEX(Sales!$D$5:$D$3004,TxRows),$A317))</f>
        <v/>
      </c>
      <c r="N317" s="64" t="str">
        <f aca="false">IF($A317="","",SUMIFS(Adjustments!$C$5:$C$504,Adjustments!$B$5:$B$504,$A317))</f>
        <v/>
      </c>
      <c r="O317" s="64" t="str">
        <f aca="false">IF($A317="","",N($J317)+L317-M317+N317)</f>
        <v/>
      </c>
      <c r="P317" s="61" t="str">
        <f aca="false">IF($A317="","",IFERROR((N($J317)*N($K317)+SUMIFS(Purchases!$K$5:INDEX(Purchases!$K$5:$K$3004,TxRows),Purchases!$D$5:INDEX(Purchases!$D$5:$D$3004,TxRows),$A317))/(N($J317)+L317),N($G317)))</f>
        <v/>
      </c>
      <c r="Q317" s="61" t="str">
        <f aca="false">IF($A317="","",MAX(0,O317)*P317)</f>
        <v/>
      </c>
      <c r="R317" s="60" t="str">
        <f aca="false">IF($A317="","",IF(O317&lt;0,"NEGATIVE",IF(O317=0,"OUT OF STOCK",IF(O317&lt;=N($I317),"REORDER",IF(AND(O317&gt;0,X317&gt;DeadDays),"DEAD STOCK","OK")))))</f>
        <v/>
      </c>
      <c r="S317" s="65" t="str">
        <f aca="false">IF($A317="","",IF(N($H317)=0,0,(N($H317)-P317)/N($H317)))</f>
        <v/>
      </c>
      <c r="T317" s="64" t="str">
        <f aca="false">IF($A317="","",IF(O317&lt;=N($I317),MAX(0,2*N($I317)-O317),0))</f>
        <v/>
      </c>
      <c r="U317" s="61" t="str">
        <f aca="false">IF($A317="","",SUMIFS(Sales!$L$5:INDEX(Sales!$L$5:$L$3004,TxRows),Sales!$D$5:INDEX(Sales!$D$5:$D$3004,TxRows),$A317))</f>
        <v/>
      </c>
      <c r="V317" s="61" t="str">
        <f aca="false">IF($A317="","",SUMIFS(Sales!$S$5:INDEX(Sales!$S$5:$S$3004,TxRows),Sales!$D$5:INDEX(Sales!$D$5:$D$3004,TxRows),$A317))</f>
        <v/>
      </c>
      <c r="W317" s="66" t="str">
        <f aca="false">IF($A317="","",IFERROR(SUMPRODUCT(MAX((Sales!$D$5:INDEX(Sales!$D$5:$D$3004,TxRows)=$A317)*Sales!$A$5:INDEX(Sales!$A$5:$A$3004,TxRows))),0))</f>
        <v/>
      </c>
      <c r="X317" s="67" t="str">
        <f aca="false">IF($A317="","",IF(W317=0,AsOf-FYStart,AsOf-W317))</f>
        <v/>
      </c>
      <c r="Y317" s="67" t="str">
        <f aca="false">IF($A317="","",IF(M317=0,"",O317/(M317/MAX(1,AsOf-FYStart))))</f>
        <v/>
      </c>
      <c r="Z317" s="60" t="str">
        <f aca="false">IF($A317="","",U317+ROW()/1000000)</f>
        <v/>
      </c>
    </row>
    <row r="318" customFormat="false" ht="15" hidden="false" customHeight="false" outlineLevel="0" collapsed="false">
      <c r="A318" s="56"/>
      <c r="B318" s="56"/>
      <c r="C318" s="56"/>
      <c r="D318" s="56"/>
      <c r="E318" s="56"/>
      <c r="F318" s="63"/>
      <c r="G318" s="58"/>
      <c r="H318" s="58"/>
      <c r="I318" s="57"/>
      <c r="J318" s="57"/>
      <c r="K318" s="58"/>
      <c r="L318" s="64" t="str">
        <f aca="false">IF($A318="","",SUMIFS(Purchases!$E$5:INDEX(Purchases!$E$5:$E$3004,TxRows),Purchases!$D$5:INDEX(Purchases!$D$5:$D$3004,TxRows),$A318))</f>
        <v/>
      </c>
      <c r="M318" s="64" t="str">
        <f aca="false">IF($A318="","",SUMIFS(Sales!$E$5:INDEX(Sales!$E$5:$E$3004,TxRows),Sales!$D$5:INDEX(Sales!$D$5:$D$3004,TxRows),$A318))</f>
        <v/>
      </c>
      <c r="N318" s="64" t="str">
        <f aca="false">IF($A318="","",SUMIFS(Adjustments!$C$5:$C$504,Adjustments!$B$5:$B$504,$A318))</f>
        <v/>
      </c>
      <c r="O318" s="64" t="str">
        <f aca="false">IF($A318="","",N($J318)+L318-M318+N318)</f>
        <v/>
      </c>
      <c r="P318" s="61" t="str">
        <f aca="false">IF($A318="","",IFERROR((N($J318)*N($K318)+SUMIFS(Purchases!$K$5:INDEX(Purchases!$K$5:$K$3004,TxRows),Purchases!$D$5:INDEX(Purchases!$D$5:$D$3004,TxRows),$A318))/(N($J318)+L318),N($G318)))</f>
        <v/>
      </c>
      <c r="Q318" s="61" t="str">
        <f aca="false">IF($A318="","",MAX(0,O318)*P318)</f>
        <v/>
      </c>
      <c r="R318" s="60" t="str">
        <f aca="false">IF($A318="","",IF(O318&lt;0,"NEGATIVE",IF(O318=0,"OUT OF STOCK",IF(O318&lt;=N($I318),"REORDER",IF(AND(O318&gt;0,X318&gt;DeadDays),"DEAD STOCK","OK")))))</f>
        <v/>
      </c>
      <c r="S318" s="65" t="str">
        <f aca="false">IF($A318="","",IF(N($H318)=0,0,(N($H318)-P318)/N($H318)))</f>
        <v/>
      </c>
      <c r="T318" s="64" t="str">
        <f aca="false">IF($A318="","",IF(O318&lt;=N($I318),MAX(0,2*N($I318)-O318),0))</f>
        <v/>
      </c>
      <c r="U318" s="61" t="str">
        <f aca="false">IF($A318="","",SUMIFS(Sales!$L$5:INDEX(Sales!$L$5:$L$3004,TxRows),Sales!$D$5:INDEX(Sales!$D$5:$D$3004,TxRows),$A318))</f>
        <v/>
      </c>
      <c r="V318" s="61" t="str">
        <f aca="false">IF($A318="","",SUMIFS(Sales!$S$5:INDEX(Sales!$S$5:$S$3004,TxRows),Sales!$D$5:INDEX(Sales!$D$5:$D$3004,TxRows),$A318))</f>
        <v/>
      </c>
      <c r="W318" s="66" t="str">
        <f aca="false">IF($A318="","",IFERROR(SUMPRODUCT(MAX((Sales!$D$5:INDEX(Sales!$D$5:$D$3004,TxRows)=$A318)*Sales!$A$5:INDEX(Sales!$A$5:$A$3004,TxRows))),0))</f>
        <v/>
      </c>
      <c r="X318" s="67" t="str">
        <f aca="false">IF($A318="","",IF(W318=0,AsOf-FYStart,AsOf-W318))</f>
        <v/>
      </c>
      <c r="Y318" s="67" t="str">
        <f aca="false">IF($A318="","",IF(M318=0,"",O318/(M318/MAX(1,AsOf-FYStart))))</f>
        <v/>
      </c>
      <c r="Z318" s="60" t="str">
        <f aca="false">IF($A318="","",U318+ROW()/1000000)</f>
        <v/>
      </c>
    </row>
    <row r="319" customFormat="false" ht="15" hidden="false" customHeight="false" outlineLevel="0" collapsed="false">
      <c r="A319" s="56"/>
      <c r="B319" s="56"/>
      <c r="C319" s="56"/>
      <c r="D319" s="56"/>
      <c r="E319" s="56"/>
      <c r="F319" s="63"/>
      <c r="G319" s="58"/>
      <c r="H319" s="58"/>
      <c r="I319" s="57"/>
      <c r="J319" s="57"/>
      <c r="K319" s="58"/>
      <c r="L319" s="64" t="str">
        <f aca="false">IF($A319="","",SUMIFS(Purchases!$E$5:INDEX(Purchases!$E$5:$E$3004,TxRows),Purchases!$D$5:INDEX(Purchases!$D$5:$D$3004,TxRows),$A319))</f>
        <v/>
      </c>
      <c r="M319" s="64" t="str">
        <f aca="false">IF($A319="","",SUMIFS(Sales!$E$5:INDEX(Sales!$E$5:$E$3004,TxRows),Sales!$D$5:INDEX(Sales!$D$5:$D$3004,TxRows),$A319))</f>
        <v/>
      </c>
      <c r="N319" s="64" t="str">
        <f aca="false">IF($A319="","",SUMIFS(Adjustments!$C$5:$C$504,Adjustments!$B$5:$B$504,$A319))</f>
        <v/>
      </c>
      <c r="O319" s="64" t="str">
        <f aca="false">IF($A319="","",N($J319)+L319-M319+N319)</f>
        <v/>
      </c>
      <c r="P319" s="61" t="str">
        <f aca="false">IF($A319="","",IFERROR((N($J319)*N($K319)+SUMIFS(Purchases!$K$5:INDEX(Purchases!$K$5:$K$3004,TxRows),Purchases!$D$5:INDEX(Purchases!$D$5:$D$3004,TxRows),$A319))/(N($J319)+L319),N($G319)))</f>
        <v/>
      </c>
      <c r="Q319" s="61" t="str">
        <f aca="false">IF($A319="","",MAX(0,O319)*P319)</f>
        <v/>
      </c>
      <c r="R319" s="60" t="str">
        <f aca="false">IF($A319="","",IF(O319&lt;0,"NEGATIVE",IF(O319=0,"OUT OF STOCK",IF(O319&lt;=N($I319),"REORDER",IF(AND(O319&gt;0,X319&gt;DeadDays),"DEAD STOCK","OK")))))</f>
        <v/>
      </c>
      <c r="S319" s="65" t="str">
        <f aca="false">IF($A319="","",IF(N($H319)=0,0,(N($H319)-P319)/N($H319)))</f>
        <v/>
      </c>
      <c r="T319" s="64" t="str">
        <f aca="false">IF($A319="","",IF(O319&lt;=N($I319),MAX(0,2*N($I319)-O319),0))</f>
        <v/>
      </c>
      <c r="U319" s="61" t="str">
        <f aca="false">IF($A319="","",SUMIFS(Sales!$L$5:INDEX(Sales!$L$5:$L$3004,TxRows),Sales!$D$5:INDEX(Sales!$D$5:$D$3004,TxRows),$A319))</f>
        <v/>
      </c>
      <c r="V319" s="61" t="str">
        <f aca="false">IF($A319="","",SUMIFS(Sales!$S$5:INDEX(Sales!$S$5:$S$3004,TxRows),Sales!$D$5:INDEX(Sales!$D$5:$D$3004,TxRows),$A319))</f>
        <v/>
      </c>
      <c r="W319" s="66" t="str">
        <f aca="false">IF($A319="","",IFERROR(SUMPRODUCT(MAX((Sales!$D$5:INDEX(Sales!$D$5:$D$3004,TxRows)=$A319)*Sales!$A$5:INDEX(Sales!$A$5:$A$3004,TxRows))),0))</f>
        <v/>
      </c>
      <c r="X319" s="67" t="str">
        <f aca="false">IF($A319="","",IF(W319=0,AsOf-FYStart,AsOf-W319))</f>
        <v/>
      </c>
      <c r="Y319" s="67" t="str">
        <f aca="false">IF($A319="","",IF(M319=0,"",O319/(M319/MAX(1,AsOf-FYStart))))</f>
        <v/>
      </c>
      <c r="Z319" s="60" t="str">
        <f aca="false">IF($A319="","",U319+ROW()/1000000)</f>
        <v/>
      </c>
    </row>
    <row r="320" customFormat="false" ht="15" hidden="false" customHeight="false" outlineLevel="0" collapsed="false">
      <c r="A320" s="56"/>
      <c r="B320" s="56"/>
      <c r="C320" s="56"/>
      <c r="D320" s="56"/>
      <c r="E320" s="56"/>
      <c r="F320" s="63"/>
      <c r="G320" s="58"/>
      <c r="H320" s="58"/>
      <c r="I320" s="57"/>
      <c r="J320" s="57"/>
      <c r="K320" s="58"/>
      <c r="L320" s="64" t="str">
        <f aca="false">IF($A320="","",SUMIFS(Purchases!$E$5:INDEX(Purchases!$E$5:$E$3004,TxRows),Purchases!$D$5:INDEX(Purchases!$D$5:$D$3004,TxRows),$A320))</f>
        <v/>
      </c>
      <c r="M320" s="64" t="str">
        <f aca="false">IF($A320="","",SUMIFS(Sales!$E$5:INDEX(Sales!$E$5:$E$3004,TxRows),Sales!$D$5:INDEX(Sales!$D$5:$D$3004,TxRows),$A320))</f>
        <v/>
      </c>
      <c r="N320" s="64" t="str">
        <f aca="false">IF($A320="","",SUMIFS(Adjustments!$C$5:$C$504,Adjustments!$B$5:$B$504,$A320))</f>
        <v/>
      </c>
      <c r="O320" s="64" t="str">
        <f aca="false">IF($A320="","",N($J320)+L320-M320+N320)</f>
        <v/>
      </c>
      <c r="P320" s="61" t="str">
        <f aca="false">IF($A320="","",IFERROR((N($J320)*N($K320)+SUMIFS(Purchases!$K$5:INDEX(Purchases!$K$5:$K$3004,TxRows),Purchases!$D$5:INDEX(Purchases!$D$5:$D$3004,TxRows),$A320))/(N($J320)+L320),N($G320)))</f>
        <v/>
      </c>
      <c r="Q320" s="61" t="str">
        <f aca="false">IF($A320="","",MAX(0,O320)*P320)</f>
        <v/>
      </c>
      <c r="R320" s="60" t="str">
        <f aca="false">IF($A320="","",IF(O320&lt;0,"NEGATIVE",IF(O320=0,"OUT OF STOCK",IF(O320&lt;=N($I320),"REORDER",IF(AND(O320&gt;0,X320&gt;DeadDays),"DEAD STOCK","OK")))))</f>
        <v/>
      </c>
      <c r="S320" s="65" t="str">
        <f aca="false">IF($A320="","",IF(N($H320)=0,0,(N($H320)-P320)/N($H320)))</f>
        <v/>
      </c>
      <c r="T320" s="64" t="str">
        <f aca="false">IF($A320="","",IF(O320&lt;=N($I320),MAX(0,2*N($I320)-O320),0))</f>
        <v/>
      </c>
      <c r="U320" s="61" t="str">
        <f aca="false">IF($A320="","",SUMIFS(Sales!$L$5:INDEX(Sales!$L$5:$L$3004,TxRows),Sales!$D$5:INDEX(Sales!$D$5:$D$3004,TxRows),$A320))</f>
        <v/>
      </c>
      <c r="V320" s="61" t="str">
        <f aca="false">IF($A320="","",SUMIFS(Sales!$S$5:INDEX(Sales!$S$5:$S$3004,TxRows),Sales!$D$5:INDEX(Sales!$D$5:$D$3004,TxRows),$A320))</f>
        <v/>
      </c>
      <c r="W320" s="66" t="str">
        <f aca="false">IF($A320="","",IFERROR(SUMPRODUCT(MAX((Sales!$D$5:INDEX(Sales!$D$5:$D$3004,TxRows)=$A320)*Sales!$A$5:INDEX(Sales!$A$5:$A$3004,TxRows))),0))</f>
        <v/>
      </c>
      <c r="X320" s="67" t="str">
        <f aca="false">IF($A320="","",IF(W320=0,AsOf-FYStart,AsOf-W320))</f>
        <v/>
      </c>
      <c r="Y320" s="67" t="str">
        <f aca="false">IF($A320="","",IF(M320=0,"",O320/(M320/MAX(1,AsOf-FYStart))))</f>
        <v/>
      </c>
      <c r="Z320" s="60" t="str">
        <f aca="false">IF($A320="","",U320+ROW()/1000000)</f>
        <v/>
      </c>
    </row>
    <row r="321" customFormat="false" ht="15" hidden="false" customHeight="false" outlineLevel="0" collapsed="false">
      <c r="A321" s="56"/>
      <c r="B321" s="56"/>
      <c r="C321" s="56"/>
      <c r="D321" s="56"/>
      <c r="E321" s="56"/>
      <c r="F321" s="63"/>
      <c r="G321" s="58"/>
      <c r="H321" s="58"/>
      <c r="I321" s="57"/>
      <c r="J321" s="57"/>
      <c r="K321" s="58"/>
      <c r="L321" s="64" t="str">
        <f aca="false">IF($A321="","",SUMIFS(Purchases!$E$5:INDEX(Purchases!$E$5:$E$3004,TxRows),Purchases!$D$5:INDEX(Purchases!$D$5:$D$3004,TxRows),$A321))</f>
        <v/>
      </c>
      <c r="M321" s="64" t="str">
        <f aca="false">IF($A321="","",SUMIFS(Sales!$E$5:INDEX(Sales!$E$5:$E$3004,TxRows),Sales!$D$5:INDEX(Sales!$D$5:$D$3004,TxRows),$A321))</f>
        <v/>
      </c>
      <c r="N321" s="64" t="str">
        <f aca="false">IF($A321="","",SUMIFS(Adjustments!$C$5:$C$504,Adjustments!$B$5:$B$504,$A321))</f>
        <v/>
      </c>
      <c r="O321" s="64" t="str">
        <f aca="false">IF($A321="","",N($J321)+L321-M321+N321)</f>
        <v/>
      </c>
      <c r="P321" s="61" t="str">
        <f aca="false">IF($A321="","",IFERROR((N($J321)*N($K321)+SUMIFS(Purchases!$K$5:INDEX(Purchases!$K$5:$K$3004,TxRows),Purchases!$D$5:INDEX(Purchases!$D$5:$D$3004,TxRows),$A321))/(N($J321)+L321),N($G321)))</f>
        <v/>
      </c>
      <c r="Q321" s="61" t="str">
        <f aca="false">IF($A321="","",MAX(0,O321)*P321)</f>
        <v/>
      </c>
      <c r="R321" s="60" t="str">
        <f aca="false">IF($A321="","",IF(O321&lt;0,"NEGATIVE",IF(O321=0,"OUT OF STOCK",IF(O321&lt;=N($I321),"REORDER",IF(AND(O321&gt;0,X321&gt;DeadDays),"DEAD STOCK","OK")))))</f>
        <v/>
      </c>
      <c r="S321" s="65" t="str">
        <f aca="false">IF($A321="","",IF(N($H321)=0,0,(N($H321)-P321)/N($H321)))</f>
        <v/>
      </c>
      <c r="T321" s="64" t="str">
        <f aca="false">IF($A321="","",IF(O321&lt;=N($I321),MAX(0,2*N($I321)-O321),0))</f>
        <v/>
      </c>
      <c r="U321" s="61" t="str">
        <f aca="false">IF($A321="","",SUMIFS(Sales!$L$5:INDEX(Sales!$L$5:$L$3004,TxRows),Sales!$D$5:INDEX(Sales!$D$5:$D$3004,TxRows),$A321))</f>
        <v/>
      </c>
      <c r="V321" s="61" t="str">
        <f aca="false">IF($A321="","",SUMIFS(Sales!$S$5:INDEX(Sales!$S$5:$S$3004,TxRows),Sales!$D$5:INDEX(Sales!$D$5:$D$3004,TxRows),$A321))</f>
        <v/>
      </c>
      <c r="W321" s="66" t="str">
        <f aca="false">IF($A321="","",IFERROR(SUMPRODUCT(MAX((Sales!$D$5:INDEX(Sales!$D$5:$D$3004,TxRows)=$A321)*Sales!$A$5:INDEX(Sales!$A$5:$A$3004,TxRows))),0))</f>
        <v/>
      </c>
      <c r="X321" s="67" t="str">
        <f aca="false">IF($A321="","",IF(W321=0,AsOf-FYStart,AsOf-W321))</f>
        <v/>
      </c>
      <c r="Y321" s="67" t="str">
        <f aca="false">IF($A321="","",IF(M321=0,"",O321/(M321/MAX(1,AsOf-FYStart))))</f>
        <v/>
      </c>
      <c r="Z321" s="60" t="str">
        <f aca="false">IF($A321="","",U321+ROW()/1000000)</f>
        <v/>
      </c>
    </row>
    <row r="322" customFormat="false" ht="15" hidden="false" customHeight="false" outlineLevel="0" collapsed="false">
      <c r="A322" s="56"/>
      <c r="B322" s="56"/>
      <c r="C322" s="56"/>
      <c r="D322" s="56"/>
      <c r="E322" s="56"/>
      <c r="F322" s="63"/>
      <c r="G322" s="58"/>
      <c r="H322" s="58"/>
      <c r="I322" s="57"/>
      <c r="J322" s="57"/>
      <c r="K322" s="58"/>
      <c r="L322" s="64" t="str">
        <f aca="false">IF($A322="","",SUMIFS(Purchases!$E$5:INDEX(Purchases!$E$5:$E$3004,TxRows),Purchases!$D$5:INDEX(Purchases!$D$5:$D$3004,TxRows),$A322))</f>
        <v/>
      </c>
      <c r="M322" s="64" t="str">
        <f aca="false">IF($A322="","",SUMIFS(Sales!$E$5:INDEX(Sales!$E$5:$E$3004,TxRows),Sales!$D$5:INDEX(Sales!$D$5:$D$3004,TxRows),$A322))</f>
        <v/>
      </c>
      <c r="N322" s="64" t="str">
        <f aca="false">IF($A322="","",SUMIFS(Adjustments!$C$5:$C$504,Adjustments!$B$5:$B$504,$A322))</f>
        <v/>
      </c>
      <c r="O322" s="64" t="str">
        <f aca="false">IF($A322="","",N($J322)+L322-M322+N322)</f>
        <v/>
      </c>
      <c r="P322" s="61" t="str">
        <f aca="false">IF($A322="","",IFERROR((N($J322)*N($K322)+SUMIFS(Purchases!$K$5:INDEX(Purchases!$K$5:$K$3004,TxRows),Purchases!$D$5:INDEX(Purchases!$D$5:$D$3004,TxRows),$A322))/(N($J322)+L322),N($G322)))</f>
        <v/>
      </c>
      <c r="Q322" s="61" t="str">
        <f aca="false">IF($A322="","",MAX(0,O322)*P322)</f>
        <v/>
      </c>
      <c r="R322" s="60" t="str">
        <f aca="false">IF($A322="","",IF(O322&lt;0,"NEGATIVE",IF(O322=0,"OUT OF STOCK",IF(O322&lt;=N($I322),"REORDER",IF(AND(O322&gt;0,X322&gt;DeadDays),"DEAD STOCK","OK")))))</f>
        <v/>
      </c>
      <c r="S322" s="65" t="str">
        <f aca="false">IF($A322="","",IF(N($H322)=0,0,(N($H322)-P322)/N($H322)))</f>
        <v/>
      </c>
      <c r="T322" s="64" t="str">
        <f aca="false">IF($A322="","",IF(O322&lt;=N($I322),MAX(0,2*N($I322)-O322),0))</f>
        <v/>
      </c>
      <c r="U322" s="61" t="str">
        <f aca="false">IF($A322="","",SUMIFS(Sales!$L$5:INDEX(Sales!$L$5:$L$3004,TxRows),Sales!$D$5:INDEX(Sales!$D$5:$D$3004,TxRows),$A322))</f>
        <v/>
      </c>
      <c r="V322" s="61" t="str">
        <f aca="false">IF($A322="","",SUMIFS(Sales!$S$5:INDEX(Sales!$S$5:$S$3004,TxRows),Sales!$D$5:INDEX(Sales!$D$5:$D$3004,TxRows),$A322))</f>
        <v/>
      </c>
      <c r="W322" s="66" t="str">
        <f aca="false">IF($A322="","",IFERROR(SUMPRODUCT(MAX((Sales!$D$5:INDEX(Sales!$D$5:$D$3004,TxRows)=$A322)*Sales!$A$5:INDEX(Sales!$A$5:$A$3004,TxRows))),0))</f>
        <v/>
      </c>
      <c r="X322" s="67" t="str">
        <f aca="false">IF($A322="","",IF(W322=0,AsOf-FYStart,AsOf-W322))</f>
        <v/>
      </c>
      <c r="Y322" s="67" t="str">
        <f aca="false">IF($A322="","",IF(M322=0,"",O322/(M322/MAX(1,AsOf-FYStart))))</f>
        <v/>
      </c>
      <c r="Z322" s="60" t="str">
        <f aca="false">IF($A322="","",U322+ROW()/1000000)</f>
        <v/>
      </c>
    </row>
    <row r="323" customFormat="false" ht="15" hidden="false" customHeight="false" outlineLevel="0" collapsed="false">
      <c r="A323" s="56"/>
      <c r="B323" s="56"/>
      <c r="C323" s="56"/>
      <c r="D323" s="56"/>
      <c r="E323" s="56"/>
      <c r="F323" s="63"/>
      <c r="G323" s="58"/>
      <c r="H323" s="58"/>
      <c r="I323" s="57"/>
      <c r="J323" s="57"/>
      <c r="K323" s="58"/>
      <c r="L323" s="64" t="str">
        <f aca="false">IF($A323="","",SUMIFS(Purchases!$E$5:INDEX(Purchases!$E$5:$E$3004,TxRows),Purchases!$D$5:INDEX(Purchases!$D$5:$D$3004,TxRows),$A323))</f>
        <v/>
      </c>
      <c r="M323" s="64" t="str">
        <f aca="false">IF($A323="","",SUMIFS(Sales!$E$5:INDEX(Sales!$E$5:$E$3004,TxRows),Sales!$D$5:INDEX(Sales!$D$5:$D$3004,TxRows),$A323))</f>
        <v/>
      </c>
      <c r="N323" s="64" t="str">
        <f aca="false">IF($A323="","",SUMIFS(Adjustments!$C$5:$C$504,Adjustments!$B$5:$B$504,$A323))</f>
        <v/>
      </c>
      <c r="O323" s="64" t="str">
        <f aca="false">IF($A323="","",N($J323)+L323-M323+N323)</f>
        <v/>
      </c>
      <c r="P323" s="61" t="str">
        <f aca="false">IF($A323="","",IFERROR((N($J323)*N($K323)+SUMIFS(Purchases!$K$5:INDEX(Purchases!$K$5:$K$3004,TxRows),Purchases!$D$5:INDEX(Purchases!$D$5:$D$3004,TxRows),$A323))/(N($J323)+L323),N($G323)))</f>
        <v/>
      </c>
      <c r="Q323" s="61" t="str">
        <f aca="false">IF($A323="","",MAX(0,O323)*P323)</f>
        <v/>
      </c>
      <c r="R323" s="60" t="str">
        <f aca="false">IF($A323="","",IF(O323&lt;0,"NEGATIVE",IF(O323=0,"OUT OF STOCK",IF(O323&lt;=N($I323),"REORDER",IF(AND(O323&gt;0,X323&gt;DeadDays),"DEAD STOCK","OK")))))</f>
        <v/>
      </c>
      <c r="S323" s="65" t="str">
        <f aca="false">IF($A323="","",IF(N($H323)=0,0,(N($H323)-P323)/N($H323)))</f>
        <v/>
      </c>
      <c r="T323" s="64" t="str">
        <f aca="false">IF($A323="","",IF(O323&lt;=N($I323),MAX(0,2*N($I323)-O323),0))</f>
        <v/>
      </c>
      <c r="U323" s="61" t="str">
        <f aca="false">IF($A323="","",SUMIFS(Sales!$L$5:INDEX(Sales!$L$5:$L$3004,TxRows),Sales!$D$5:INDEX(Sales!$D$5:$D$3004,TxRows),$A323))</f>
        <v/>
      </c>
      <c r="V323" s="61" t="str">
        <f aca="false">IF($A323="","",SUMIFS(Sales!$S$5:INDEX(Sales!$S$5:$S$3004,TxRows),Sales!$D$5:INDEX(Sales!$D$5:$D$3004,TxRows),$A323))</f>
        <v/>
      </c>
      <c r="W323" s="66" t="str">
        <f aca="false">IF($A323="","",IFERROR(SUMPRODUCT(MAX((Sales!$D$5:INDEX(Sales!$D$5:$D$3004,TxRows)=$A323)*Sales!$A$5:INDEX(Sales!$A$5:$A$3004,TxRows))),0))</f>
        <v/>
      </c>
      <c r="X323" s="67" t="str">
        <f aca="false">IF($A323="","",IF(W323=0,AsOf-FYStart,AsOf-W323))</f>
        <v/>
      </c>
      <c r="Y323" s="67" t="str">
        <f aca="false">IF($A323="","",IF(M323=0,"",O323/(M323/MAX(1,AsOf-FYStart))))</f>
        <v/>
      </c>
      <c r="Z323" s="60" t="str">
        <f aca="false">IF($A323="","",U323+ROW()/1000000)</f>
        <v/>
      </c>
    </row>
    <row r="324" customFormat="false" ht="15" hidden="false" customHeight="false" outlineLevel="0" collapsed="false">
      <c r="A324" s="56"/>
      <c r="B324" s="56"/>
      <c r="C324" s="56"/>
      <c r="D324" s="56"/>
      <c r="E324" s="56"/>
      <c r="F324" s="63"/>
      <c r="G324" s="58"/>
      <c r="H324" s="58"/>
      <c r="I324" s="57"/>
      <c r="J324" s="57"/>
      <c r="K324" s="58"/>
      <c r="L324" s="64" t="str">
        <f aca="false">IF($A324="","",SUMIFS(Purchases!$E$5:INDEX(Purchases!$E$5:$E$3004,TxRows),Purchases!$D$5:INDEX(Purchases!$D$5:$D$3004,TxRows),$A324))</f>
        <v/>
      </c>
      <c r="M324" s="64" t="str">
        <f aca="false">IF($A324="","",SUMIFS(Sales!$E$5:INDEX(Sales!$E$5:$E$3004,TxRows),Sales!$D$5:INDEX(Sales!$D$5:$D$3004,TxRows),$A324))</f>
        <v/>
      </c>
      <c r="N324" s="64" t="str">
        <f aca="false">IF($A324="","",SUMIFS(Adjustments!$C$5:$C$504,Adjustments!$B$5:$B$504,$A324))</f>
        <v/>
      </c>
      <c r="O324" s="64" t="str">
        <f aca="false">IF($A324="","",N($J324)+L324-M324+N324)</f>
        <v/>
      </c>
      <c r="P324" s="61" t="str">
        <f aca="false">IF($A324="","",IFERROR((N($J324)*N($K324)+SUMIFS(Purchases!$K$5:INDEX(Purchases!$K$5:$K$3004,TxRows),Purchases!$D$5:INDEX(Purchases!$D$5:$D$3004,TxRows),$A324))/(N($J324)+L324),N($G324)))</f>
        <v/>
      </c>
      <c r="Q324" s="61" t="str">
        <f aca="false">IF($A324="","",MAX(0,O324)*P324)</f>
        <v/>
      </c>
      <c r="R324" s="60" t="str">
        <f aca="false">IF($A324="","",IF(O324&lt;0,"NEGATIVE",IF(O324=0,"OUT OF STOCK",IF(O324&lt;=N($I324),"REORDER",IF(AND(O324&gt;0,X324&gt;DeadDays),"DEAD STOCK","OK")))))</f>
        <v/>
      </c>
      <c r="S324" s="65" t="str">
        <f aca="false">IF($A324="","",IF(N($H324)=0,0,(N($H324)-P324)/N($H324)))</f>
        <v/>
      </c>
      <c r="T324" s="64" t="str">
        <f aca="false">IF($A324="","",IF(O324&lt;=N($I324),MAX(0,2*N($I324)-O324),0))</f>
        <v/>
      </c>
      <c r="U324" s="61" t="str">
        <f aca="false">IF($A324="","",SUMIFS(Sales!$L$5:INDEX(Sales!$L$5:$L$3004,TxRows),Sales!$D$5:INDEX(Sales!$D$5:$D$3004,TxRows),$A324))</f>
        <v/>
      </c>
      <c r="V324" s="61" t="str">
        <f aca="false">IF($A324="","",SUMIFS(Sales!$S$5:INDEX(Sales!$S$5:$S$3004,TxRows),Sales!$D$5:INDEX(Sales!$D$5:$D$3004,TxRows),$A324))</f>
        <v/>
      </c>
      <c r="W324" s="66" t="str">
        <f aca="false">IF($A324="","",IFERROR(SUMPRODUCT(MAX((Sales!$D$5:INDEX(Sales!$D$5:$D$3004,TxRows)=$A324)*Sales!$A$5:INDEX(Sales!$A$5:$A$3004,TxRows))),0))</f>
        <v/>
      </c>
      <c r="X324" s="67" t="str">
        <f aca="false">IF($A324="","",IF(W324=0,AsOf-FYStart,AsOf-W324))</f>
        <v/>
      </c>
      <c r="Y324" s="67" t="str">
        <f aca="false">IF($A324="","",IF(M324=0,"",O324/(M324/MAX(1,AsOf-FYStart))))</f>
        <v/>
      </c>
      <c r="Z324" s="60" t="str">
        <f aca="false">IF($A324="","",U324+ROW()/1000000)</f>
        <v/>
      </c>
    </row>
    <row r="325" customFormat="false" ht="15" hidden="false" customHeight="false" outlineLevel="0" collapsed="false">
      <c r="A325" s="56"/>
      <c r="B325" s="56"/>
      <c r="C325" s="56"/>
      <c r="D325" s="56"/>
      <c r="E325" s="56"/>
      <c r="F325" s="63"/>
      <c r="G325" s="58"/>
      <c r="H325" s="58"/>
      <c r="I325" s="57"/>
      <c r="J325" s="57"/>
      <c r="K325" s="58"/>
      <c r="L325" s="64" t="str">
        <f aca="false">IF($A325="","",SUMIFS(Purchases!$E$5:INDEX(Purchases!$E$5:$E$3004,TxRows),Purchases!$D$5:INDEX(Purchases!$D$5:$D$3004,TxRows),$A325))</f>
        <v/>
      </c>
      <c r="M325" s="64" t="str">
        <f aca="false">IF($A325="","",SUMIFS(Sales!$E$5:INDEX(Sales!$E$5:$E$3004,TxRows),Sales!$D$5:INDEX(Sales!$D$5:$D$3004,TxRows),$A325))</f>
        <v/>
      </c>
      <c r="N325" s="64" t="str">
        <f aca="false">IF($A325="","",SUMIFS(Adjustments!$C$5:$C$504,Adjustments!$B$5:$B$504,$A325))</f>
        <v/>
      </c>
      <c r="O325" s="64" t="str">
        <f aca="false">IF($A325="","",N($J325)+L325-M325+N325)</f>
        <v/>
      </c>
      <c r="P325" s="61" t="str">
        <f aca="false">IF($A325="","",IFERROR((N($J325)*N($K325)+SUMIFS(Purchases!$K$5:INDEX(Purchases!$K$5:$K$3004,TxRows),Purchases!$D$5:INDEX(Purchases!$D$5:$D$3004,TxRows),$A325))/(N($J325)+L325),N($G325)))</f>
        <v/>
      </c>
      <c r="Q325" s="61" t="str">
        <f aca="false">IF($A325="","",MAX(0,O325)*P325)</f>
        <v/>
      </c>
      <c r="R325" s="60" t="str">
        <f aca="false">IF($A325="","",IF(O325&lt;0,"NEGATIVE",IF(O325=0,"OUT OF STOCK",IF(O325&lt;=N($I325),"REORDER",IF(AND(O325&gt;0,X325&gt;DeadDays),"DEAD STOCK","OK")))))</f>
        <v/>
      </c>
      <c r="S325" s="65" t="str">
        <f aca="false">IF($A325="","",IF(N($H325)=0,0,(N($H325)-P325)/N($H325)))</f>
        <v/>
      </c>
      <c r="T325" s="64" t="str">
        <f aca="false">IF($A325="","",IF(O325&lt;=N($I325),MAX(0,2*N($I325)-O325),0))</f>
        <v/>
      </c>
      <c r="U325" s="61" t="str">
        <f aca="false">IF($A325="","",SUMIFS(Sales!$L$5:INDEX(Sales!$L$5:$L$3004,TxRows),Sales!$D$5:INDEX(Sales!$D$5:$D$3004,TxRows),$A325))</f>
        <v/>
      </c>
      <c r="V325" s="61" t="str">
        <f aca="false">IF($A325="","",SUMIFS(Sales!$S$5:INDEX(Sales!$S$5:$S$3004,TxRows),Sales!$D$5:INDEX(Sales!$D$5:$D$3004,TxRows),$A325))</f>
        <v/>
      </c>
      <c r="W325" s="66" t="str">
        <f aca="false">IF($A325="","",IFERROR(SUMPRODUCT(MAX((Sales!$D$5:INDEX(Sales!$D$5:$D$3004,TxRows)=$A325)*Sales!$A$5:INDEX(Sales!$A$5:$A$3004,TxRows))),0))</f>
        <v/>
      </c>
      <c r="X325" s="67" t="str">
        <f aca="false">IF($A325="","",IF(W325=0,AsOf-FYStart,AsOf-W325))</f>
        <v/>
      </c>
      <c r="Y325" s="67" t="str">
        <f aca="false">IF($A325="","",IF(M325=0,"",O325/(M325/MAX(1,AsOf-FYStart))))</f>
        <v/>
      </c>
      <c r="Z325" s="60" t="str">
        <f aca="false">IF($A325="","",U325+ROW()/1000000)</f>
        <v/>
      </c>
    </row>
    <row r="326" customFormat="false" ht="15" hidden="false" customHeight="false" outlineLevel="0" collapsed="false">
      <c r="A326" s="56"/>
      <c r="B326" s="56"/>
      <c r="C326" s="56"/>
      <c r="D326" s="56"/>
      <c r="E326" s="56"/>
      <c r="F326" s="63"/>
      <c r="G326" s="58"/>
      <c r="H326" s="58"/>
      <c r="I326" s="57"/>
      <c r="J326" s="57"/>
      <c r="K326" s="58"/>
      <c r="L326" s="64" t="str">
        <f aca="false">IF($A326="","",SUMIFS(Purchases!$E$5:INDEX(Purchases!$E$5:$E$3004,TxRows),Purchases!$D$5:INDEX(Purchases!$D$5:$D$3004,TxRows),$A326))</f>
        <v/>
      </c>
      <c r="M326" s="64" t="str">
        <f aca="false">IF($A326="","",SUMIFS(Sales!$E$5:INDEX(Sales!$E$5:$E$3004,TxRows),Sales!$D$5:INDEX(Sales!$D$5:$D$3004,TxRows),$A326))</f>
        <v/>
      </c>
      <c r="N326" s="64" t="str">
        <f aca="false">IF($A326="","",SUMIFS(Adjustments!$C$5:$C$504,Adjustments!$B$5:$B$504,$A326))</f>
        <v/>
      </c>
      <c r="O326" s="64" t="str">
        <f aca="false">IF($A326="","",N($J326)+L326-M326+N326)</f>
        <v/>
      </c>
      <c r="P326" s="61" t="str">
        <f aca="false">IF($A326="","",IFERROR((N($J326)*N($K326)+SUMIFS(Purchases!$K$5:INDEX(Purchases!$K$5:$K$3004,TxRows),Purchases!$D$5:INDEX(Purchases!$D$5:$D$3004,TxRows),$A326))/(N($J326)+L326),N($G326)))</f>
        <v/>
      </c>
      <c r="Q326" s="61" t="str">
        <f aca="false">IF($A326="","",MAX(0,O326)*P326)</f>
        <v/>
      </c>
      <c r="R326" s="60" t="str">
        <f aca="false">IF($A326="","",IF(O326&lt;0,"NEGATIVE",IF(O326=0,"OUT OF STOCK",IF(O326&lt;=N($I326),"REORDER",IF(AND(O326&gt;0,X326&gt;DeadDays),"DEAD STOCK","OK")))))</f>
        <v/>
      </c>
      <c r="S326" s="65" t="str">
        <f aca="false">IF($A326="","",IF(N($H326)=0,0,(N($H326)-P326)/N($H326)))</f>
        <v/>
      </c>
      <c r="T326" s="64" t="str">
        <f aca="false">IF($A326="","",IF(O326&lt;=N($I326),MAX(0,2*N($I326)-O326),0))</f>
        <v/>
      </c>
      <c r="U326" s="61" t="str">
        <f aca="false">IF($A326="","",SUMIFS(Sales!$L$5:INDEX(Sales!$L$5:$L$3004,TxRows),Sales!$D$5:INDEX(Sales!$D$5:$D$3004,TxRows),$A326))</f>
        <v/>
      </c>
      <c r="V326" s="61" t="str">
        <f aca="false">IF($A326="","",SUMIFS(Sales!$S$5:INDEX(Sales!$S$5:$S$3004,TxRows),Sales!$D$5:INDEX(Sales!$D$5:$D$3004,TxRows),$A326))</f>
        <v/>
      </c>
      <c r="W326" s="66" t="str">
        <f aca="false">IF($A326="","",IFERROR(SUMPRODUCT(MAX((Sales!$D$5:INDEX(Sales!$D$5:$D$3004,TxRows)=$A326)*Sales!$A$5:INDEX(Sales!$A$5:$A$3004,TxRows))),0))</f>
        <v/>
      </c>
      <c r="X326" s="67" t="str">
        <f aca="false">IF($A326="","",IF(W326=0,AsOf-FYStart,AsOf-W326))</f>
        <v/>
      </c>
      <c r="Y326" s="67" t="str">
        <f aca="false">IF($A326="","",IF(M326=0,"",O326/(M326/MAX(1,AsOf-FYStart))))</f>
        <v/>
      </c>
      <c r="Z326" s="60" t="str">
        <f aca="false">IF($A326="","",U326+ROW()/1000000)</f>
        <v/>
      </c>
    </row>
    <row r="327" customFormat="false" ht="15" hidden="false" customHeight="false" outlineLevel="0" collapsed="false">
      <c r="A327" s="56"/>
      <c r="B327" s="56"/>
      <c r="C327" s="56"/>
      <c r="D327" s="56"/>
      <c r="E327" s="56"/>
      <c r="F327" s="63"/>
      <c r="G327" s="58"/>
      <c r="H327" s="58"/>
      <c r="I327" s="57"/>
      <c r="J327" s="57"/>
      <c r="K327" s="58"/>
      <c r="L327" s="64" t="str">
        <f aca="false">IF($A327="","",SUMIFS(Purchases!$E$5:INDEX(Purchases!$E$5:$E$3004,TxRows),Purchases!$D$5:INDEX(Purchases!$D$5:$D$3004,TxRows),$A327))</f>
        <v/>
      </c>
      <c r="M327" s="64" t="str">
        <f aca="false">IF($A327="","",SUMIFS(Sales!$E$5:INDEX(Sales!$E$5:$E$3004,TxRows),Sales!$D$5:INDEX(Sales!$D$5:$D$3004,TxRows),$A327))</f>
        <v/>
      </c>
      <c r="N327" s="64" t="str">
        <f aca="false">IF($A327="","",SUMIFS(Adjustments!$C$5:$C$504,Adjustments!$B$5:$B$504,$A327))</f>
        <v/>
      </c>
      <c r="O327" s="64" t="str">
        <f aca="false">IF($A327="","",N($J327)+L327-M327+N327)</f>
        <v/>
      </c>
      <c r="P327" s="61" t="str">
        <f aca="false">IF($A327="","",IFERROR((N($J327)*N($K327)+SUMIFS(Purchases!$K$5:INDEX(Purchases!$K$5:$K$3004,TxRows),Purchases!$D$5:INDEX(Purchases!$D$5:$D$3004,TxRows),$A327))/(N($J327)+L327),N($G327)))</f>
        <v/>
      </c>
      <c r="Q327" s="61" t="str">
        <f aca="false">IF($A327="","",MAX(0,O327)*P327)</f>
        <v/>
      </c>
      <c r="R327" s="60" t="str">
        <f aca="false">IF($A327="","",IF(O327&lt;0,"NEGATIVE",IF(O327=0,"OUT OF STOCK",IF(O327&lt;=N($I327),"REORDER",IF(AND(O327&gt;0,X327&gt;DeadDays),"DEAD STOCK","OK")))))</f>
        <v/>
      </c>
      <c r="S327" s="65" t="str">
        <f aca="false">IF($A327="","",IF(N($H327)=0,0,(N($H327)-P327)/N($H327)))</f>
        <v/>
      </c>
      <c r="T327" s="64" t="str">
        <f aca="false">IF($A327="","",IF(O327&lt;=N($I327),MAX(0,2*N($I327)-O327),0))</f>
        <v/>
      </c>
      <c r="U327" s="61" t="str">
        <f aca="false">IF($A327="","",SUMIFS(Sales!$L$5:INDEX(Sales!$L$5:$L$3004,TxRows),Sales!$D$5:INDEX(Sales!$D$5:$D$3004,TxRows),$A327))</f>
        <v/>
      </c>
      <c r="V327" s="61" t="str">
        <f aca="false">IF($A327="","",SUMIFS(Sales!$S$5:INDEX(Sales!$S$5:$S$3004,TxRows),Sales!$D$5:INDEX(Sales!$D$5:$D$3004,TxRows),$A327))</f>
        <v/>
      </c>
      <c r="W327" s="66" t="str">
        <f aca="false">IF($A327="","",IFERROR(SUMPRODUCT(MAX((Sales!$D$5:INDEX(Sales!$D$5:$D$3004,TxRows)=$A327)*Sales!$A$5:INDEX(Sales!$A$5:$A$3004,TxRows))),0))</f>
        <v/>
      </c>
      <c r="X327" s="67" t="str">
        <f aca="false">IF($A327="","",IF(W327=0,AsOf-FYStart,AsOf-W327))</f>
        <v/>
      </c>
      <c r="Y327" s="67" t="str">
        <f aca="false">IF($A327="","",IF(M327=0,"",O327/(M327/MAX(1,AsOf-FYStart))))</f>
        <v/>
      </c>
      <c r="Z327" s="60" t="str">
        <f aca="false">IF($A327="","",U327+ROW()/1000000)</f>
        <v/>
      </c>
    </row>
    <row r="328" customFormat="false" ht="15" hidden="false" customHeight="false" outlineLevel="0" collapsed="false">
      <c r="A328" s="56"/>
      <c r="B328" s="56"/>
      <c r="C328" s="56"/>
      <c r="D328" s="56"/>
      <c r="E328" s="56"/>
      <c r="F328" s="63"/>
      <c r="G328" s="58"/>
      <c r="H328" s="58"/>
      <c r="I328" s="57"/>
      <c r="J328" s="57"/>
      <c r="K328" s="58"/>
      <c r="L328" s="64" t="str">
        <f aca="false">IF($A328="","",SUMIFS(Purchases!$E$5:INDEX(Purchases!$E$5:$E$3004,TxRows),Purchases!$D$5:INDEX(Purchases!$D$5:$D$3004,TxRows),$A328))</f>
        <v/>
      </c>
      <c r="M328" s="64" t="str">
        <f aca="false">IF($A328="","",SUMIFS(Sales!$E$5:INDEX(Sales!$E$5:$E$3004,TxRows),Sales!$D$5:INDEX(Sales!$D$5:$D$3004,TxRows),$A328))</f>
        <v/>
      </c>
      <c r="N328" s="64" t="str">
        <f aca="false">IF($A328="","",SUMIFS(Adjustments!$C$5:$C$504,Adjustments!$B$5:$B$504,$A328))</f>
        <v/>
      </c>
      <c r="O328" s="64" t="str">
        <f aca="false">IF($A328="","",N($J328)+L328-M328+N328)</f>
        <v/>
      </c>
      <c r="P328" s="61" t="str">
        <f aca="false">IF($A328="","",IFERROR((N($J328)*N($K328)+SUMIFS(Purchases!$K$5:INDEX(Purchases!$K$5:$K$3004,TxRows),Purchases!$D$5:INDEX(Purchases!$D$5:$D$3004,TxRows),$A328))/(N($J328)+L328),N($G328)))</f>
        <v/>
      </c>
      <c r="Q328" s="61" t="str">
        <f aca="false">IF($A328="","",MAX(0,O328)*P328)</f>
        <v/>
      </c>
      <c r="R328" s="60" t="str">
        <f aca="false">IF($A328="","",IF(O328&lt;0,"NEGATIVE",IF(O328=0,"OUT OF STOCK",IF(O328&lt;=N($I328),"REORDER",IF(AND(O328&gt;0,X328&gt;DeadDays),"DEAD STOCK","OK")))))</f>
        <v/>
      </c>
      <c r="S328" s="65" t="str">
        <f aca="false">IF($A328="","",IF(N($H328)=0,0,(N($H328)-P328)/N($H328)))</f>
        <v/>
      </c>
      <c r="T328" s="64" t="str">
        <f aca="false">IF($A328="","",IF(O328&lt;=N($I328),MAX(0,2*N($I328)-O328),0))</f>
        <v/>
      </c>
      <c r="U328" s="61" t="str">
        <f aca="false">IF($A328="","",SUMIFS(Sales!$L$5:INDEX(Sales!$L$5:$L$3004,TxRows),Sales!$D$5:INDEX(Sales!$D$5:$D$3004,TxRows),$A328))</f>
        <v/>
      </c>
      <c r="V328" s="61" t="str">
        <f aca="false">IF($A328="","",SUMIFS(Sales!$S$5:INDEX(Sales!$S$5:$S$3004,TxRows),Sales!$D$5:INDEX(Sales!$D$5:$D$3004,TxRows),$A328))</f>
        <v/>
      </c>
      <c r="W328" s="66" t="str">
        <f aca="false">IF($A328="","",IFERROR(SUMPRODUCT(MAX((Sales!$D$5:INDEX(Sales!$D$5:$D$3004,TxRows)=$A328)*Sales!$A$5:INDEX(Sales!$A$5:$A$3004,TxRows))),0))</f>
        <v/>
      </c>
      <c r="X328" s="67" t="str">
        <f aca="false">IF($A328="","",IF(W328=0,AsOf-FYStart,AsOf-W328))</f>
        <v/>
      </c>
      <c r="Y328" s="67" t="str">
        <f aca="false">IF($A328="","",IF(M328=0,"",O328/(M328/MAX(1,AsOf-FYStart))))</f>
        <v/>
      </c>
      <c r="Z328" s="60" t="str">
        <f aca="false">IF($A328="","",U328+ROW()/1000000)</f>
        <v/>
      </c>
    </row>
    <row r="329" customFormat="false" ht="15" hidden="false" customHeight="false" outlineLevel="0" collapsed="false">
      <c r="A329" s="56"/>
      <c r="B329" s="56"/>
      <c r="C329" s="56"/>
      <c r="D329" s="56"/>
      <c r="E329" s="56"/>
      <c r="F329" s="63"/>
      <c r="G329" s="58"/>
      <c r="H329" s="58"/>
      <c r="I329" s="57"/>
      <c r="J329" s="57"/>
      <c r="K329" s="58"/>
      <c r="L329" s="64" t="str">
        <f aca="false">IF($A329="","",SUMIFS(Purchases!$E$5:INDEX(Purchases!$E$5:$E$3004,TxRows),Purchases!$D$5:INDEX(Purchases!$D$5:$D$3004,TxRows),$A329))</f>
        <v/>
      </c>
      <c r="M329" s="64" t="str">
        <f aca="false">IF($A329="","",SUMIFS(Sales!$E$5:INDEX(Sales!$E$5:$E$3004,TxRows),Sales!$D$5:INDEX(Sales!$D$5:$D$3004,TxRows),$A329))</f>
        <v/>
      </c>
      <c r="N329" s="64" t="str">
        <f aca="false">IF($A329="","",SUMIFS(Adjustments!$C$5:$C$504,Adjustments!$B$5:$B$504,$A329))</f>
        <v/>
      </c>
      <c r="O329" s="64" t="str">
        <f aca="false">IF($A329="","",N($J329)+L329-M329+N329)</f>
        <v/>
      </c>
      <c r="P329" s="61" t="str">
        <f aca="false">IF($A329="","",IFERROR((N($J329)*N($K329)+SUMIFS(Purchases!$K$5:INDEX(Purchases!$K$5:$K$3004,TxRows),Purchases!$D$5:INDEX(Purchases!$D$5:$D$3004,TxRows),$A329))/(N($J329)+L329),N($G329)))</f>
        <v/>
      </c>
      <c r="Q329" s="61" t="str">
        <f aca="false">IF($A329="","",MAX(0,O329)*P329)</f>
        <v/>
      </c>
      <c r="R329" s="60" t="str">
        <f aca="false">IF($A329="","",IF(O329&lt;0,"NEGATIVE",IF(O329=0,"OUT OF STOCK",IF(O329&lt;=N($I329),"REORDER",IF(AND(O329&gt;0,X329&gt;DeadDays),"DEAD STOCK","OK")))))</f>
        <v/>
      </c>
      <c r="S329" s="65" t="str">
        <f aca="false">IF($A329="","",IF(N($H329)=0,0,(N($H329)-P329)/N($H329)))</f>
        <v/>
      </c>
      <c r="T329" s="64" t="str">
        <f aca="false">IF($A329="","",IF(O329&lt;=N($I329),MAX(0,2*N($I329)-O329),0))</f>
        <v/>
      </c>
      <c r="U329" s="61" t="str">
        <f aca="false">IF($A329="","",SUMIFS(Sales!$L$5:INDEX(Sales!$L$5:$L$3004,TxRows),Sales!$D$5:INDEX(Sales!$D$5:$D$3004,TxRows),$A329))</f>
        <v/>
      </c>
      <c r="V329" s="61" t="str">
        <f aca="false">IF($A329="","",SUMIFS(Sales!$S$5:INDEX(Sales!$S$5:$S$3004,TxRows),Sales!$D$5:INDEX(Sales!$D$5:$D$3004,TxRows),$A329))</f>
        <v/>
      </c>
      <c r="W329" s="66" t="str">
        <f aca="false">IF($A329="","",IFERROR(SUMPRODUCT(MAX((Sales!$D$5:INDEX(Sales!$D$5:$D$3004,TxRows)=$A329)*Sales!$A$5:INDEX(Sales!$A$5:$A$3004,TxRows))),0))</f>
        <v/>
      </c>
      <c r="X329" s="67" t="str">
        <f aca="false">IF($A329="","",IF(W329=0,AsOf-FYStart,AsOf-W329))</f>
        <v/>
      </c>
      <c r="Y329" s="67" t="str">
        <f aca="false">IF($A329="","",IF(M329=0,"",O329/(M329/MAX(1,AsOf-FYStart))))</f>
        <v/>
      </c>
      <c r="Z329" s="60" t="str">
        <f aca="false">IF($A329="","",U329+ROW()/1000000)</f>
        <v/>
      </c>
    </row>
    <row r="330" customFormat="false" ht="15" hidden="false" customHeight="false" outlineLevel="0" collapsed="false">
      <c r="A330" s="56"/>
      <c r="B330" s="56"/>
      <c r="C330" s="56"/>
      <c r="D330" s="56"/>
      <c r="E330" s="56"/>
      <c r="F330" s="63"/>
      <c r="G330" s="58"/>
      <c r="H330" s="58"/>
      <c r="I330" s="57"/>
      <c r="J330" s="57"/>
      <c r="K330" s="58"/>
      <c r="L330" s="64" t="str">
        <f aca="false">IF($A330="","",SUMIFS(Purchases!$E$5:INDEX(Purchases!$E$5:$E$3004,TxRows),Purchases!$D$5:INDEX(Purchases!$D$5:$D$3004,TxRows),$A330))</f>
        <v/>
      </c>
      <c r="M330" s="64" t="str">
        <f aca="false">IF($A330="","",SUMIFS(Sales!$E$5:INDEX(Sales!$E$5:$E$3004,TxRows),Sales!$D$5:INDEX(Sales!$D$5:$D$3004,TxRows),$A330))</f>
        <v/>
      </c>
      <c r="N330" s="64" t="str">
        <f aca="false">IF($A330="","",SUMIFS(Adjustments!$C$5:$C$504,Adjustments!$B$5:$B$504,$A330))</f>
        <v/>
      </c>
      <c r="O330" s="64" t="str">
        <f aca="false">IF($A330="","",N($J330)+L330-M330+N330)</f>
        <v/>
      </c>
      <c r="P330" s="61" t="str">
        <f aca="false">IF($A330="","",IFERROR((N($J330)*N($K330)+SUMIFS(Purchases!$K$5:INDEX(Purchases!$K$5:$K$3004,TxRows),Purchases!$D$5:INDEX(Purchases!$D$5:$D$3004,TxRows),$A330))/(N($J330)+L330),N($G330)))</f>
        <v/>
      </c>
      <c r="Q330" s="61" t="str">
        <f aca="false">IF($A330="","",MAX(0,O330)*P330)</f>
        <v/>
      </c>
      <c r="R330" s="60" t="str">
        <f aca="false">IF($A330="","",IF(O330&lt;0,"NEGATIVE",IF(O330=0,"OUT OF STOCK",IF(O330&lt;=N($I330),"REORDER",IF(AND(O330&gt;0,X330&gt;DeadDays),"DEAD STOCK","OK")))))</f>
        <v/>
      </c>
      <c r="S330" s="65" t="str">
        <f aca="false">IF($A330="","",IF(N($H330)=0,0,(N($H330)-P330)/N($H330)))</f>
        <v/>
      </c>
      <c r="T330" s="64" t="str">
        <f aca="false">IF($A330="","",IF(O330&lt;=N($I330),MAX(0,2*N($I330)-O330),0))</f>
        <v/>
      </c>
      <c r="U330" s="61" t="str">
        <f aca="false">IF($A330="","",SUMIFS(Sales!$L$5:INDEX(Sales!$L$5:$L$3004,TxRows),Sales!$D$5:INDEX(Sales!$D$5:$D$3004,TxRows),$A330))</f>
        <v/>
      </c>
      <c r="V330" s="61" t="str">
        <f aca="false">IF($A330="","",SUMIFS(Sales!$S$5:INDEX(Sales!$S$5:$S$3004,TxRows),Sales!$D$5:INDEX(Sales!$D$5:$D$3004,TxRows),$A330))</f>
        <v/>
      </c>
      <c r="W330" s="66" t="str">
        <f aca="false">IF($A330="","",IFERROR(SUMPRODUCT(MAX((Sales!$D$5:INDEX(Sales!$D$5:$D$3004,TxRows)=$A330)*Sales!$A$5:INDEX(Sales!$A$5:$A$3004,TxRows))),0))</f>
        <v/>
      </c>
      <c r="X330" s="67" t="str">
        <f aca="false">IF($A330="","",IF(W330=0,AsOf-FYStart,AsOf-W330))</f>
        <v/>
      </c>
      <c r="Y330" s="67" t="str">
        <f aca="false">IF($A330="","",IF(M330=0,"",O330/(M330/MAX(1,AsOf-FYStart))))</f>
        <v/>
      </c>
      <c r="Z330" s="60" t="str">
        <f aca="false">IF($A330="","",U330+ROW()/1000000)</f>
        <v/>
      </c>
    </row>
    <row r="331" customFormat="false" ht="15" hidden="false" customHeight="false" outlineLevel="0" collapsed="false">
      <c r="A331" s="56"/>
      <c r="B331" s="56"/>
      <c r="C331" s="56"/>
      <c r="D331" s="56"/>
      <c r="E331" s="56"/>
      <c r="F331" s="63"/>
      <c r="G331" s="58"/>
      <c r="H331" s="58"/>
      <c r="I331" s="57"/>
      <c r="J331" s="57"/>
      <c r="K331" s="58"/>
      <c r="L331" s="64" t="str">
        <f aca="false">IF($A331="","",SUMIFS(Purchases!$E$5:INDEX(Purchases!$E$5:$E$3004,TxRows),Purchases!$D$5:INDEX(Purchases!$D$5:$D$3004,TxRows),$A331))</f>
        <v/>
      </c>
      <c r="M331" s="64" t="str">
        <f aca="false">IF($A331="","",SUMIFS(Sales!$E$5:INDEX(Sales!$E$5:$E$3004,TxRows),Sales!$D$5:INDEX(Sales!$D$5:$D$3004,TxRows),$A331))</f>
        <v/>
      </c>
      <c r="N331" s="64" t="str">
        <f aca="false">IF($A331="","",SUMIFS(Adjustments!$C$5:$C$504,Adjustments!$B$5:$B$504,$A331))</f>
        <v/>
      </c>
      <c r="O331" s="64" t="str">
        <f aca="false">IF($A331="","",N($J331)+L331-M331+N331)</f>
        <v/>
      </c>
      <c r="P331" s="61" t="str">
        <f aca="false">IF($A331="","",IFERROR((N($J331)*N($K331)+SUMIFS(Purchases!$K$5:INDEX(Purchases!$K$5:$K$3004,TxRows),Purchases!$D$5:INDEX(Purchases!$D$5:$D$3004,TxRows),$A331))/(N($J331)+L331),N($G331)))</f>
        <v/>
      </c>
      <c r="Q331" s="61" t="str">
        <f aca="false">IF($A331="","",MAX(0,O331)*P331)</f>
        <v/>
      </c>
      <c r="R331" s="60" t="str">
        <f aca="false">IF($A331="","",IF(O331&lt;0,"NEGATIVE",IF(O331=0,"OUT OF STOCK",IF(O331&lt;=N($I331),"REORDER",IF(AND(O331&gt;0,X331&gt;DeadDays),"DEAD STOCK","OK")))))</f>
        <v/>
      </c>
      <c r="S331" s="65" t="str">
        <f aca="false">IF($A331="","",IF(N($H331)=0,0,(N($H331)-P331)/N($H331)))</f>
        <v/>
      </c>
      <c r="T331" s="64" t="str">
        <f aca="false">IF($A331="","",IF(O331&lt;=N($I331),MAX(0,2*N($I331)-O331),0))</f>
        <v/>
      </c>
      <c r="U331" s="61" t="str">
        <f aca="false">IF($A331="","",SUMIFS(Sales!$L$5:INDEX(Sales!$L$5:$L$3004,TxRows),Sales!$D$5:INDEX(Sales!$D$5:$D$3004,TxRows),$A331))</f>
        <v/>
      </c>
      <c r="V331" s="61" t="str">
        <f aca="false">IF($A331="","",SUMIFS(Sales!$S$5:INDEX(Sales!$S$5:$S$3004,TxRows),Sales!$D$5:INDEX(Sales!$D$5:$D$3004,TxRows),$A331))</f>
        <v/>
      </c>
      <c r="W331" s="66" t="str">
        <f aca="false">IF($A331="","",IFERROR(SUMPRODUCT(MAX((Sales!$D$5:INDEX(Sales!$D$5:$D$3004,TxRows)=$A331)*Sales!$A$5:INDEX(Sales!$A$5:$A$3004,TxRows))),0))</f>
        <v/>
      </c>
      <c r="X331" s="67" t="str">
        <f aca="false">IF($A331="","",IF(W331=0,AsOf-FYStart,AsOf-W331))</f>
        <v/>
      </c>
      <c r="Y331" s="67" t="str">
        <f aca="false">IF($A331="","",IF(M331=0,"",O331/(M331/MAX(1,AsOf-FYStart))))</f>
        <v/>
      </c>
      <c r="Z331" s="60" t="str">
        <f aca="false">IF($A331="","",U331+ROW()/1000000)</f>
        <v/>
      </c>
    </row>
    <row r="332" customFormat="false" ht="15" hidden="false" customHeight="false" outlineLevel="0" collapsed="false">
      <c r="A332" s="56"/>
      <c r="B332" s="56"/>
      <c r="C332" s="56"/>
      <c r="D332" s="56"/>
      <c r="E332" s="56"/>
      <c r="F332" s="63"/>
      <c r="G332" s="58"/>
      <c r="H332" s="58"/>
      <c r="I332" s="57"/>
      <c r="J332" s="57"/>
      <c r="K332" s="58"/>
      <c r="L332" s="64" t="str">
        <f aca="false">IF($A332="","",SUMIFS(Purchases!$E$5:INDEX(Purchases!$E$5:$E$3004,TxRows),Purchases!$D$5:INDEX(Purchases!$D$5:$D$3004,TxRows),$A332))</f>
        <v/>
      </c>
      <c r="M332" s="64" t="str">
        <f aca="false">IF($A332="","",SUMIFS(Sales!$E$5:INDEX(Sales!$E$5:$E$3004,TxRows),Sales!$D$5:INDEX(Sales!$D$5:$D$3004,TxRows),$A332))</f>
        <v/>
      </c>
      <c r="N332" s="64" t="str">
        <f aca="false">IF($A332="","",SUMIFS(Adjustments!$C$5:$C$504,Adjustments!$B$5:$B$504,$A332))</f>
        <v/>
      </c>
      <c r="O332" s="64" t="str">
        <f aca="false">IF($A332="","",N($J332)+L332-M332+N332)</f>
        <v/>
      </c>
      <c r="P332" s="61" t="str">
        <f aca="false">IF($A332="","",IFERROR((N($J332)*N($K332)+SUMIFS(Purchases!$K$5:INDEX(Purchases!$K$5:$K$3004,TxRows),Purchases!$D$5:INDEX(Purchases!$D$5:$D$3004,TxRows),$A332))/(N($J332)+L332),N($G332)))</f>
        <v/>
      </c>
      <c r="Q332" s="61" t="str">
        <f aca="false">IF($A332="","",MAX(0,O332)*P332)</f>
        <v/>
      </c>
      <c r="R332" s="60" t="str">
        <f aca="false">IF($A332="","",IF(O332&lt;0,"NEGATIVE",IF(O332=0,"OUT OF STOCK",IF(O332&lt;=N($I332),"REORDER",IF(AND(O332&gt;0,X332&gt;DeadDays),"DEAD STOCK","OK")))))</f>
        <v/>
      </c>
      <c r="S332" s="65" t="str">
        <f aca="false">IF($A332="","",IF(N($H332)=0,0,(N($H332)-P332)/N($H332)))</f>
        <v/>
      </c>
      <c r="T332" s="64" t="str">
        <f aca="false">IF($A332="","",IF(O332&lt;=N($I332),MAX(0,2*N($I332)-O332),0))</f>
        <v/>
      </c>
      <c r="U332" s="61" t="str">
        <f aca="false">IF($A332="","",SUMIFS(Sales!$L$5:INDEX(Sales!$L$5:$L$3004,TxRows),Sales!$D$5:INDEX(Sales!$D$5:$D$3004,TxRows),$A332))</f>
        <v/>
      </c>
      <c r="V332" s="61" t="str">
        <f aca="false">IF($A332="","",SUMIFS(Sales!$S$5:INDEX(Sales!$S$5:$S$3004,TxRows),Sales!$D$5:INDEX(Sales!$D$5:$D$3004,TxRows),$A332))</f>
        <v/>
      </c>
      <c r="W332" s="66" t="str">
        <f aca="false">IF($A332="","",IFERROR(SUMPRODUCT(MAX((Sales!$D$5:INDEX(Sales!$D$5:$D$3004,TxRows)=$A332)*Sales!$A$5:INDEX(Sales!$A$5:$A$3004,TxRows))),0))</f>
        <v/>
      </c>
      <c r="X332" s="67" t="str">
        <f aca="false">IF($A332="","",IF(W332=0,AsOf-FYStart,AsOf-W332))</f>
        <v/>
      </c>
      <c r="Y332" s="67" t="str">
        <f aca="false">IF($A332="","",IF(M332=0,"",O332/(M332/MAX(1,AsOf-FYStart))))</f>
        <v/>
      </c>
      <c r="Z332" s="60" t="str">
        <f aca="false">IF($A332="","",U332+ROW()/1000000)</f>
        <v/>
      </c>
    </row>
    <row r="333" customFormat="false" ht="15" hidden="false" customHeight="false" outlineLevel="0" collapsed="false">
      <c r="A333" s="56"/>
      <c r="B333" s="56"/>
      <c r="C333" s="56"/>
      <c r="D333" s="56"/>
      <c r="E333" s="56"/>
      <c r="F333" s="63"/>
      <c r="G333" s="58"/>
      <c r="H333" s="58"/>
      <c r="I333" s="57"/>
      <c r="J333" s="57"/>
      <c r="K333" s="58"/>
      <c r="L333" s="64" t="str">
        <f aca="false">IF($A333="","",SUMIFS(Purchases!$E$5:INDEX(Purchases!$E$5:$E$3004,TxRows),Purchases!$D$5:INDEX(Purchases!$D$5:$D$3004,TxRows),$A333))</f>
        <v/>
      </c>
      <c r="M333" s="64" t="str">
        <f aca="false">IF($A333="","",SUMIFS(Sales!$E$5:INDEX(Sales!$E$5:$E$3004,TxRows),Sales!$D$5:INDEX(Sales!$D$5:$D$3004,TxRows),$A333))</f>
        <v/>
      </c>
      <c r="N333" s="64" t="str">
        <f aca="false">IF($A333="","",SUMIFS(Adjustments!$C$5:$C$504,Adjustments!$B$5:$B$504,$A333))</f>
        <v/>
      </c>
      <c r="O333" s="64" t="str">
        <f aca="false">IF($A333="","",N($J333)+L333-M333+N333)</f>
        <v/>
      </c>
      <c r="P333" s="61" t="str">
        <f aca="false">IF($A333="","",IFERROR((N($J333)*N($K333)+SUMIFS(Purchases!$K$5:INDEX(Purchases!$K$5:$K$3004,TxRows),Purchases!$D$5:INDEX(Purchases!$D$5:$D$3004,TxRows),$A333))/(N($J333)+L333),N($G333)))</f>
        <v/>
      </c>
      <c r="Q333" s="61" t="str">
        <f aca="false">IF($A333="","",MAX(0,O333)*P333)</f>
        <v/>
      </c>
      <c r="R333" s="60" t="str">
        <f aca="false">IF($A333="","",IF(O333&lt;0,"NEGATIVE",IF(O333=0,"OUT OF STOCK",IF(O333&lt;=N($I333),"REORDER",IF(AND(O333&gt;0,X333&gt;DeadDays),"DEAD STOCK","OK")))))</f>
        <v/>
      </c>
      <c r="S333" s="65" t="str">
        <f aca="false">IF($A333="","",IF(N($H333)=0,0,(N($H333)-P333)/N($H333)))</f>
        <v/>
      </c>
      <c r="T333" s="64" t="str">
        <f aca="false">IF($A333="","",IF(O333&lt;=N($I333),MAX(0,2*N($I333)-O333),0))</f>
        <v/>
      </c>
      <c r="U333" s="61" t="str">
        <f aca="false">IF($A333="","",SUMIFS(Sales!$L$5:INDEX(Sales!$L$5:$L$3004,TxRows),Sales!$D$5:INDEX(Sales!$D$5:$D$3004,TxRows),$A333))</f>
        <v/>
      </c>
      <c r="V333" s="61" t="str">
        <f aca="false">IF($A333="","",SUMIFS(Sales!$S$5:INDEX(Sales!$S$5:$S$3004,TxRows),Sales!$D$5:INDEX(Sales!$D$5:$D$3004,TxRows),$A333))</f>
        <v/>
      </c>
      <c r="W333" s="66" t="str">
        <f aca="false">IF($A333="","",IFERROR(SUMPRODUCT(MAX((Sales!$D$5:INDEX(Sales!$D$5:$D$3004,TxRows)=$A333)*Sales!$A$5:INDEX(Sales!$A$5:$A$3004,TxRows))),0))</f>
        <v/>
      </c>
      <c r="X333" s="67" t="str">
        <f aca="false">IF($A333="","",IF(W333=0,AsOf-FYStart,AsOf-W333))</f>
        <v/>
      </c>
      <c r="Y333" s="67" t="str">
        <f aca="false">IF($A333="","",IF(M333=0,"",O333/(M333/MAX(1,AsOf-FYStart))))</f>
        <v/>
      </c>
      <c r="Z333" s="60" t="str">
        <f aca="false">IF($A333="","",U333+ROW()/1000000)</f>
        <v/>
      </c>
    </row>
    <row r="334" customFormat="false" ht="15" hidden="false" customHeight="false" outlineLevel="0" collapsed="false">
      <c r="A334" s="56"/>
      <c r="B334" s="56"/>
      <c r="C334" s="56"/>
      <c r="D334" s="56"/>
      <c r="E334" s="56"/>
      <c r="F334" s="63"/>
      <c r="G334" s="58"/>
      <c r="H334" s="58"/>
      <c r="I334" s="57"/>
      <c r="J334" s="57"/>
      <c r="K334" s="58"/>
      <c r="L334" s="64" t="str">
        <f aca="false">IF($A334="","",SUMIFS(Purchases!$E$5:INDEX(Purchases!$E$5:$E$3004,TxRows),Purchases!$D$5:INDEX(Purchases!$D$5:$D$3004,TxRows),$A334))</f>
        <v/>
      </c>
      <c r="M334" s="64" t="str">
        <f aca="false">IF($A334="","",SUMIFS(Sales!$E$5:INDEX(Sales!$E$5:$E$3004,TxRows),Sales!$D$5:INDEX(Sales!$D$5:$D$3004,TxRows),$A334))</f>
        <v/>
      </c>
      <c r="N334" s="64" t="str">
        <f aca="false">IF($A334="","",SUMIFS(Adjustments!$C$5:$C$504,Adjustments!$B$5:$B$504,$A334))</f>
        <v/>
      </c>
      <c r="O334" s="64" t="str">
        <f aca="false">IF($A334="","",N($J334)+L334-M334+N334)</f>
        <v/>
      </c>
      <c r="P334" s="61" t="str">
        <f aca="false">IF($A334="","",IFERROR((N($J334)*N($K334)+SUMIFS(Purchases!$K$5:INDEX(Purchases!$K$5:$K$3004,TxRows),Purchases!$D$5:INDEX(Purchases!$D$5:$D$3004,TxRows),$A334))/(N($J334)+L334),N($G334)))</f>
        <v/>
      </c>
      <c r="Q334" s="61" t="str">
        <f aca="false">IF($A334="","",MAX(0,O334)*P334)</f>
        <v/>
      </c>
      <c r="R334" s="60" t="str">
        <f aca="false">IF($A334="","",IF(O334&lt;0,"NEGATIVE",IF(O334=0,"OUT OF STOCK",IF(O334&lt;=N($I334),"REORDER",IF(AND(O334&gt;0,X334&gt;DeadDays),"DEAD STOCK","OK")))))</f>
        <v/>
      </c>
      <c r="S334" s="65" t="str">
        <f aca="false">IF($A334="","",IF(N($H334)=0,0,(N($H334)-P334)/N($H334)))</f>
        <v/>
      </c>
      <c r="T334" s="64" t="str">
        <f aca="false">IF($A334="","",IF(O334&lt;=N($I334),MAX(0,2*N($I334)-O334),0))</f>
        <v/>
      </c>
      <c r="U334" s="61" t="str">
        <f aca="false">IF($A334="","",SUMIFS(Sales!$L$5:INDEX(Sales!$L$5:$L$3004,TxRows),Sales!$D$5:INDEX(Sales!$D$5:$D$3004,TxRows),$A334))</f>
        <v/>
      </c>
      <c r="V334" s="61" t="str">
        <f aca="false">IF($A334="","",SUMIFS(Sales!$S$5:INDEX(Sales!$S$5:$S$3004,TxRows),Sales!$D$5:INDEX(Sales!$D$5:$D$3004,TxRows),$A334))</f>
        <v/>
      </c>
      <c r="W334" s="66" t="str">
        <f aca="false">IF($A334="","",IFERROR(SUMPRODUCT(MAX((Sales!$D$5:INDEX(Sales!$D$5:$D$3004,TxRows)=$A334)*Sales!$A$5:INDEX(Sales!$A$5:$A$3004,TxRows))),0))</f>
        <v/>
      </c>
      <c r="X334" s="67" t="str">
        <f aca="false">IF($A334="","",IF(W334=0,AsOf-FYStart,AsOf-W334))</f>
        <v/>
      </c>
      <c r="Y334" s="67" t="str">
        <f aca="false">IF($A334="","",IF(M334=0,"",O334/(M334/MAX(1,AsOf-FYStart))))</f>
        <v/>
      </c>
      <c r="Z334" s="60" t="str">
        <f aca="false">IF($A334="","",U334+ROW()/1000000)</f>
        <v/>
      </c>
    </row>
    <row r="335" customFormat="false" ht="15" hidden="false" customHeight="false" outlineLevel="0" collapsed="false">
      <c r="A335" s="56"/>
      <c r="B335" s="56"/>
      <c r="C335" s="56"/>
      <c r="D335" s="56"/>
      <c r="E335" s="56"/>
      <c r="F335" s="63"/>
      <c r="G335" s="58"/>
      <c r="H335" s="58"/>
      <c r="I335" s="57"/>
      <c r="J335" s="57"/>
      <c r="K335" s="58"/>
      <c r="L335" s="64" t="str">
        <f aca="false">IF($A335="","",SUMIFS(Purchases!$E$5:INDEX(Purchases!$E$5:$E$3004,TxRows),Purchases!$D$5:INDEX(Purchases!$D$5:$D$3004,TxRows),$A335))</f>
        <v/>
      </c>
      <c r="M335" s="64" t="str">
        <f aca="false">IF($A335="","",SUMIFS(Sales!$E$5:INDEX(Sales!$E$5:$E$3004,TxRows),Sales!$D$5:INDEX(Sales!$D$5:$D$3004,TxRows),$A335))</f>
        <v/>
      </c>
      <c r="N335" s="64" t="str">
        <f aca="false">IF($A335="","",SUMIFS(Adjustments!$C$5:$C$504,Adjustments!$B$5:$B$504,$A335))</f>
        <v/>
      </c>
      <c r="O335" s="64" t="str">
        <f aca="false">IF($A335="","",N($J335)+L335-M335+N335)</f>
        <v/>
      </c>
      <c r="P335" s="61" t="str">
        <f aca="false">IF($A335="","",IFERROR((N($J335)*N($K335)+SUMIFS(Purchases!$K$5:INDEX(Purchases!$K$5:$K$3004,TxRows),Purchases!$D$5:INDEX(Purchases!$D$5:$D$3004,TxRows),$A335))/(N($J335)+L335),N($G335)))</f>
        <v/>
      </c>
      <c r="Q335" s="61" t="str">
        <f aca="false">IF($A335="","",MAX(0,O335)*P335)</f>
        <v/>
      </c>
      <c r="R335" s="60" t="str">
        <f aca="false">IF($A335="","",IF(O335&lt;0,"NEGATIVE",IF(O335=0,"OUT OF STOCK",IF(O335&lt;=N($I335),"REORDER",IF(AND(O335&gt;0,X335&gt;DeadDays),"DEAD STOCK","OK")))))</f>
        <v/>
      </c>
      <c r="S335" s="65" t="str">
        <f aca="false">IF($A335="","",IF(N($H335)=0,0,(N($H335)-P335)/N($H335)))</f>
        <v/>
      </c>
      <c r="T335" s="64" t="str">
        <f aca="false">IF($A335="","",IF(O335&lt;=N($I335),MAX(0,2*N($I335)-O335),0))</f>
        <v/>
      </c>
      <c r="U335" s="61" t="str">
        <f aca="false">IF($A335="","",SUMIFS(Sales!$L$5:INDEX(Sales!$L$5:$L$3004,TxRows),Sales!$D$5:INDEX(Sales!$D$5:$D$3004,TxRows),$A335))</f>
        <v/>
      </c>
      <c r="V335" s="61" t="str">
        <f aca="false">IF($A335="","",SUMIFS(Sales!$S$5:INDEX(Sales!$S$5:$S$3004,TxRows),Sales!$D$5:INDEX(Sales!$D$5:$D$3004,TxRows),$A335))</f>
        <v/>
      </c>
      <c r="W335" s="66" t="str">
        <f aca="false">IF($A335="","",IFERROR(SUMPRODUCT(MAX((Sales!$D$5:INDEX(Sales!$D$5:$D$3004,TxRows)=$A335)*Sales!$A$5:INDEX(Sales!$A$5:$A$3004,TxRows))),0))</f>
        <v/>
      </c>
      <c r="X335" s="67" t="str">
        <f aca="false">IF($A335="","",IF(W335=0,AsOf-FYStart,AsOf-W335))</f>
        <v/>
      </c>
      <c r="Y335" s="67" t="str">
        <f aca="false">IF($A335="","",IF(M335=0,"",O335/(M335/MAX(1,AsOf-FYStart))))</f>
        <v/>
      </c>
      <c r="Z335" s="60" t="str">
        <f aca="false">IF($A335="","",U335+ROW()/1000000)</f>
        <v/>
      </c>
    </row>
    <row r="336" customFormat="false" ht="15" hidden="false" customHeight="false" outlineLevel="0" collapsed="false">
      <c r="A336" s="56"/>
      <c r="B336" s="56"/>
      <c r="C336" s="56"/>
      <c r="D336" s="56"/>
      <c r="E336" s="56"/>
      <c r="F336" s="63"/>
      <c r="G336" s="58"/>
      <c r="H336" s="58"/>
      <c r="I336" s="57"/>
      <c r="J336" s="57"/>
      <c r="K336" s="58"/>
      <c r="L336" s="64" t="str">
        <f aca="false">IF($A336="","",SUMIFS(Purchases!$E$5:INDEX(Purchases!$E$5:$E$3004,TxRows),Purchases!$D$5:INDEX(Purchases!$D$5:$D$3004,TxRows),$A336))</f>
        <v/>
      </c>
      <c r="M336" s="64" t="str">
        <f aca="false">IF($A336="","",SUMIFS(Sales!$E$5:INDEX(Sales!$E$5:$E$3004,TxRows),Sales!$D$5:INDEX(Sales!$D$5:$D$3004,TxRows),$A336))</f>
        <v/>
      </c>
      <c r="N336" s="64" t="str">
        <f aca="false">IF($A336="","",SUMIFS(Adjustments!$C$5:$C$504,Adjustments!$B$5:$B$504,$A336))</f>
        <v/>
      </c>
      <c r="O336" s="64" t="str">
        <f aca="false">IF($A336="","",N($J336)+L336-M336+N336)</f>
        <v/>
      </c>
      <c r="P336" s="61" t="str">
        <f aca="false">IF($A336="","",IFERROR((N($J336)*N($K336)+SUMIFS(Purchases!$K$5:INDEX(Purchases!$K$5:$K$3004,TxRows),Purchases!$D$5:INDEX(Purchases!$D$5:$D$3004,TxRows),$A336))/(N($J336)+L336),N($G336)))</f>
        <v/>
      </c>
      <c r="Q336" s="61" t="str">
        <f aca="false">IF($A336="","",MAX(0,O336)*P336)</f>
        <v/>
      </c>
      <c r="R336" s="60" t="str">
        <f aca="false">IF($A336="","",IF(O336&lt;0,"NEGATIVE",IF(O336=0,"OUT OF STOCK",IF(O336&lt;=N($I336),"REORDER",IF(AND(O336&gt;0,X336&gt;DeadDays),"DEAD STOCK","OK")))))</f>
        <v/>
      </c>
      <c r="S336" s="65" t="str">
        <f aca="false">IF($A336="","",IF(N($H336)=0,0,(N($H336)-P336)/N($H336)))</f>
        <v/>
      </c>
      <c r="T336" s="64" t="str">
        <f aca="false">IF($A336="","",IF(O336&lt;=N($I336),MAX(0,2*N($I336)-O336),0))</f>
        <v/>
      </c>
      <c r="U336" s="61" t="str">
        <f aca="false">IF($A336="","",SUMIFS(Sales!$L$5:INDEX(Sales!$L$5:$L$3004,TxRows),Sales!$D$5:INDEX(Sales!$D$5:$D$3004,TxRows),$A336))</f>
        <v/>
      </c>
      <c r="V336" s="61" t="str">
        <f aca="false">IF($A336="","",SUMIFS(Sales!$S$5:INDEX(Sales!$S$5:$S$3004,TxRows),Sales!$D$5:INDEX(Sales!$D$5:$D$3004,TxRows),$A336))</f>
        <v/>
      </c>
      <c r="W336" s="66" t="str">
        <f aca="false">IF($A336="","",IFERROR(SUMPRODUCT(MAX((Sales!$D$5:INDEX(Sales!$D$5:$D$3004,TxRows)=$A336)*Sales!$A$5:INDEX(Sales!$A$5:$A$3004,TxRows))),0))</f>
        <v/>
      </c>
      <c r="X336" s="67" t="str">
        <f aca="false">IF($A336="","",IF(W336=0,AsOf-FYStart,AsOf-W336))</f>
        <v/>
      </c>
      <c r="Y336" s="67" t="str">
        <f aca="false">IF($A336="","",IF(M336=0,"",O336/(M336/MAX(1,AsOf-FYStart))))</f>
        <v/>
      </c>
      <c r="Z336" s="60" t="str">
        <f aca="false">IF($A336="","",U336+ROW()/1000000)</f>
        <v/>
      </c>
    </row>
    <row r="337" customFormat="false" ht="15" hidden="false" customHeight="false" outlineLevel="0" collapsed="false">
      <c r="A337" s="56"/>
      <c r="B337" s="56"/>
      <c r="C337" s="56"/>
      <c r="D337" s="56"/>
      <c r="E337" s="56"/>
      <c r="F337" s="63"/>
      <c r="G337" s="58"/>
      <c r="H337" s="58"/>
      <c r="I337" s="57"/>
      <c r="J337" s="57"/>
      <c r="K337" s="58"/>
      <c r="L337" s="64" t="str">
        <f aca="false">IF($A337="","",SUMIFS(Purchases!$E$5:INDEX(Purchases!$E$5:$E$3004,TxRows),Purchases!$D$5:INDEX(Purchases!$D$5:$D$3004,TxRows),$A337))</f>
        <v/>
      </c>
      <c r="M337" s="64" t="str">
        <f aca="false">IF($A337="","",SUMIFS(Sales!$E$5:INDEX(Sales!$E$5:$E$3004,TxRows),Sales!$D$5:INDEX(Sales!$D$5:$D$3004,TxRows),$A337))</f>
        <v/>
      </c>
      <c r="N337" s="64" t="str">
        <f aca="false">IF($A337="","",SUMIFS(Adjustments!$C$5:$C$504,Adjustments!$B$5:$B$504,$A337))</f>
        <v/>
      </c>
      <c r="O337" s="64" t="str">
        <f aca="false">IF($A337="","",N($J337)+L337-M337+N337)</f>
        <v/>
      </c>
      <c r="P337" s="61" t="str">
        <f aca="false">IF($A337="","",IFERROR((N($J337)*N($K337)+SUMIFS(Purchases!$K$5:INDEX(Purchases!$K$5:$K$3004,TxRows),Purchases!$D$5:INDEX(Purchases!$D$5:$D$3004,TxRows),$A337))/(N($J337)+L337),N($G337)))</f>
        <v/>
      </c>
      <c r="Q337" s="61" t="str">
        <f aca="false">IF($A337="","",MAX(0,O337)*P337)</f>
        <v/>
      </c>
      <c r="R337" s="60" t="str">
        <f aca="false">IF($A337="","",IF(O337&lt;0,"NEGATIVE",IF(O337=0,"OUT OF STOCK",IF(O337&lt;=N($I337),"REORDER",IF(AND(O337&gt;0,X337&gt;DeadDays),"DEAD STOCK","OK")))))</f>
        <v/>
      </c>
      <c r="S337" s="65" t="str">
        <f aca="false">IF($A337="","",IF(N($H337)=0,0,(N($H337)-P337)/N($H337)))</f>
        <v/>
      </c>
      <c r="T337" s="64" t="str">
        <f aca="false">IF($A337="","",IF(O337&lt;=N($I337),MAX(0,2*N($I337)-O337),0))</f>
        <v/>
      </c>
      <c r="U337" s="61" t="str">
        <f aca="false">IF($A337="","",SUMIFS(Sales!$L$5:INDEX(Sales!$L$5:$L$3004,TxRows),Sales!$D$5:INDEX(Sales!$D$5:$D$3004,TxRows),$A337))</f>
        <v/>
      </c>
      <c r="V337" s="61" t="str">
        <f aca="false">IF($A337="","",SUMIFS(Sales!$S$5:INDEX(Sales!$S$5:$S$3004,TxRows),Sales!$D$5:INDEX(Sales!$D$5:$D$3004,TxRows),$A337))</f>
        <v/>
      </c>
      <c r="W337" s="66" t="str">
        <f aca="false">IF($A337="","",IFERROR(SUMPRODUCT(MAX((Sales!$D$5:INDEX(Sales!$D$5:$D$3004,TxRows)=$A337)*Sales!$A$5:INDEX(Sales!$A$5:$A$3004,TxRows))),0))</f>
        <v/>
      </c>
      <c r="X337" s="67" t="str">
        <f aca="false">IF($A337="","",IF(W337=0,AsOf-FYStart,AsOf-W337))</f>
        <v/>
      </c>
      <c r="Y337" s="67" t="str">
        <f aca="false">IF($A337="","",IF(M337=0,"",O337/(M337/MAX(1,AsOf-FYStart))))</f>
        <v/>
      </c>
      <c r="Z337" s="60" t="str">
        <f aca="false">IF($A337="","",U337+ROW()/1000000)</f>
        <v/>
      </c>
    </row>
    <row r="338" customFormat="false" ht="15" hidden="false" customHeight="false" outlineLevel="0" collapsed="false">
      <c r="A338" s="56"/>
      <c r="B338" s="56"/>
      <c r="C338" s="56"/>
      <c r="D338" s="56"/>
      <c r="E338" s="56"/>
      <c r="F338" s="63"/>
      <c r="G338" s="58"/>
      <c r="H338" s="58"/>
      <c r="I338" s="57"/>
      <c r="J338" s="57"/>
      <c r="K338" s="58"/>
      <c r="L338" s="64" t="str">
        <f aca="false">IF($A338="","",SUMIFS(Purchases!$E$5:INDEX(Purchases!$E$5:$E$3004,TxRows),Purchases!$D$5:INDEX(Purchases!$D$5:$D$3004,TxRows),$A338))</f>
        <v/>
      </c>
      <c r="M338" s="64" t="str">
        <f aca="false">IF($A338="","",SUMIFS(Sales!$E$5:INDEX(Sales!$E$5:$E$3004,TxRows),Sales!$D$5:INDEX(Sales!$D$5:$D$3004,TxRows),$A338))</f>
        <v/>
      </c>
      <c r="N338" s="64" t="str">
        <f aca="false">IF($A338="","",SUMIFS(Adjustments!$C$5:$C$504,Adjustments!$B$5:$B$504,$A338))</f>
        <v/>
      </c>
      <c r="O338" s="64" t="str">
        <f aca="false">IF($A338="","",N($J338)+L338-M338+N338)</f>
        <v/>
      </c>
      <c r="P338" s="61" t="str">
        <f aca="false">IF($A338="","",IFERROR((N($J338)*N($K338)+SUMIFS(Purchases!$K$5:INDEX(Purchases!$K$5:$K$3004,TxRows),Purchases!$D$5:INDEX(Purchases!$D$5:$D$3004,TxRows),$A338))/(N($J338)+L338),N($G338)))</f>
        <v/>
      </c>
      <c r="Q338" s="61" t="str">
        <f aca="false">IF($A338="","",MAX(0,O338)*P338)</f>
        <v/>
      </c>
      <c r="R338" s="60" t="str">
        <f aca="false">IF($A338="","",IF(O338&lt;0,"NEGATIVE",IF(O338=0,"OUT OF STOCK",IF(O338&lt;=N($I338),"REORDER",IF(AND(O338&gt;0,X338&gt;DeadDays),"DEAD STOCK","OK")))))</f>
        <v/>
      </c>
      <c r="S338" s="65" t="str">
        <f aca="false">IF($A338="","",IF(N($H338)=0,0,(N($H338)-P338)/N($H338)))</f>
        <v/>
      </c>
      <c r="T338" s="64" t="str">
        <f aca="false">IF($A338="","",IF(O338&lt;=N($I338),MAX(0,2*N($I338)-O338),0))</f>
        <v/>
      </c>
      <c r="U338" s="61" t="str">
        <f aca="false">IF($A338="","",SUMIFS(Sales!$L$5:INDEX(Sales!$L$5:$L$3004,TxRows),Sales!$D$5:INDEX(Sales!$D$5:$D$3004,TxRows),$A338))</f>
        <v/>
      </c>
      <c r="V338" s="61" t="str">
        <f aca="false">IF($A338="","",SUMIFS(Sales!$S$5:INDEX(Sales!$S$5:$S$3004,TxRows),Sales!$D$5:INDEX(Sales!$D$5:$D$3004,TxRows),$A338))</f>
        <v/>
      </c>
      <c r="W338" s="66" t="str">
        <f aca="false">IF($A338="","",IFERROR(SUMPRODUCT(MAX((Sales!$D$5:INDEX(Sales!$D$5:$D$3004,TxRows)=$A338)*Sales!$A$5:INDEX(Sales!$A$5:$A$3004,TxRows))),0))</f>
        <v/>
      </c>
      <c r="X338" s="67" t="str">
        <f aca="false">IF($A338="","",IF(W338=0,AsOf-FYStart,AsOf-W338))</f>
        <v/>
      </c>
      <c r="Y338" s="67" t="str">
        <f aca="false">IF($A338="","",IF(M338=0,"",O338/(M338/MAX(1,AsOf-FYStart))))</f>
        <v/>
      </c>
      <c r="Z338" s="60" t="str">
        <f aca="false">IF($A338="","",U338+ROW()/1000000)</f>
        <v/>
      </c>
    </row>
    <row r="339" customFormat="false" ht="15" hidden="false" customHeight="false" outlineLevel="0" collapsed="false">
      <c r="A339" s="56"/>
      <c r="B339" s="56"/>
      <c r="C339" s="56"/>
      <c r="D339" s="56"/>
      <c r="E339" s="56"/>
      <c r="F339" s="63"/>
      <c r="G339" s="58"/>
      <c r="H339" s="58"/>
      <c r="I339" s="57"/>
      <c r="J339" s="57"/>
      <c r="K339" s="58"/>
      <c r="L339" s="64" t="str">
        <f aca="false">IF($A339="","",SUMIFS(Purchases!$E$5:INDEX(Purchases!$E$5:$E$3004,TxRows),Purchases!$D$5:INDEX(Purchases!$D$5:$D$3004,TxRows),$A339))</f>
        <v/>
      </c>
      <c r="M339" s="64" t="str">
        <f aca="false">IF($A339="","",SUMIFS(Sales!$E$5:INDEX(Sales!$E$5:$E$3004,TxRows),Sales!$D$5:INDEX(Sales!$D$5:$D$3004,TxRows),$A339))</f>
        <v/>
      </c>
      <c r="N339" s="64" t="str">
        <f aca="false">IF($A339="","",SUMIFS(Adjustments!$C$5:$C$504,Adjustments!$B$5:$B$504,$A339))</f>
        <v/>
      </c>
      <c r="O339" s="64" t="str">
        <f aca="false">IF($A339="","",N($J339)+L339-M339+N339)</f>
        <v/>
      </c>
      <c r="P339" s="61" t="str">
        <f aca="false">IF($A339="","",IFERROR((N($J339)*N($K339)+SUMIFS(Purchases!$K$5:INDEX(Purchases!$K$5:$K$3004,TxRows),Purchases!$D$5:INDEX(Purchases!$D$5:$D$3004,TxRows),$A339))/(N($J339)+L339),N($G339)))</f>
        <v/>
      </c>
      <c r="Q339" s="61" t="str">
        <f aca="false">IF($A339="","",MAX(0,O339)*P339)</f>
        <v/>
      </c>
      <c r="R339" s="60" t="str">
        <f aca="false">IF($A339="","",IF(O339&lt;0,"NEGATIVE",IF(O339=0,"OUT OF STOCK",IF(O339&lt;=N($I339),"REORDER",IF(AND(O339&gt;0,X339&gt;DeadDays),"DEAD STOCK","OK")))))</f>
        <v/>
      </c>
      <c r="S339" s="65" t="str">
        <f aca="false">IF($A339="","",IF(N($H339)=0,0,(N($H339)-P339)/N($H339)))</f>
        <v/>
      </c>
      <c r="T339" s="64" t="str">
        <f aca="false">IF($A339="","",IF(O339&lt;=N($I339),MAX(0,2*N($I339)-O339),0))</f>
        <v/>
      </c>
      <c r="U339" s="61" t="str">
        <f aca="false">IF($A339="","",SUMIFS(Sales!$L$5:INDEX(Sales!$L$5:$L$3004,TxRows),Sales!$D$5:INDEX(Sales!$D$5:$D$3004,TxRows),$A339))</f>
        <v/>
      </c>
      <c r="V339" s="61" t="str">
        <f aca="false">IF($A339="","",SUMIFS(Sales!$S$5:INDEX(Sales!$S$5:$S$3004,TxRows),Sales!$D$5:INDEX(Sales!$D$5:$D$3004,TxRows),$A339))</f>
        <v/>
      </c>
      <c r="W339" s="66" t="str">
        <f aca="false">IF($A339="","",IFERROR(SUMPRODUCT(MAX((Sales!$D$5:INDEX(Sales!$D$5:$D$3004,TxRows)=$A339)*Sales!$A$5:INDEX(Sales!$A$5:$A$3004,TxRows))),0))</f>
        <v/>
      </c>
      <c r="X339" s="67" t="str">
        <f aca="false">IF($A339="","",IF(W339=0,AsOf-FYStart,AsOf-W339))</f>
        <v/>
      </c>
      <c r="Y339" s="67" t="str">
        <f aca="false">IF($A339="","",IF(M339=0,"",O339/(M339/MAX(1,AsOf-FYStart))))</f>
        <v/>
      </c>
      <c r="Z339" s="60" t="str">
        <f aca="false">IF($A339="","",U339+ROW()/1000000)</f>
        <v/>
      </c>
    </row>
    <row r="340" customFormat="false" ht="15" hidden="false" customHeight="false" outlineLevel="0" collapsed="false">
      <c r="A340" s="56"/>
      <c r="B340" s="56"/>
      <c r="C340" s="56"/>
      <c r="D340" s="56"/>
      <c r="E340" s="56"/>
      <c r="F340" s="63"/>
      <c r="G340" s="58"/>
      <c r="H340" s="58"/>
      <c r="I340" s="57"/>
      <c r="J340" s="57"/>
      <c r="K340" s="58"/>
      <c r="L340" s="64" t="str">
        <f aca="false">IF($A340="","",SUMIFS(Purchases!$E$5:INDEX(Purchases!$E$5:$E$3004,TxRows),Purchases!$D$5:INDEX(Purchases!$D$5:$D$3004,TxRows),$A340))</f>
        <v/>
      </c>
      <c r="M340" s="64" t="str">
        <f aca="false">IF($A340="","",SUMIFS(Sales!$E$5:INDEX(Sales!$E$5:$E$3004,TxRows),Sales!$D$5:INDEX(Sales!$D$5:$D$3004,TxRows),$A340))</f>
        <v/>
      </c>
      <c r="N340" s="64" t="str">
        <f aca="false">IF($A340="","",SUMIFS(Adjustments!$C$5:$C$504,Adjustments!$B$5:$B$504,$A340))</f>
        <v/>
      </c>
      <c r="O340" s="64" t="str">
        <f aca="false">IF($A340="","",N($J340)+L340-M340+N340)</f>
        <v/>
      </c>
      <c r="P340" s="61" t="str">
        <f aca="false">IF($A340="","",IFERROR((N($J340)*N($K340)+SUMIFS(Purchases!$K$5:INDEX(Purchases!$K$5:$K$3004,TxRows),Purchases!$D$5:INDEX(Purchases!$D$5:$D$3004,TxRows),$A340))/(N($J340)+L340),N($G340)))</f>
        <v/>
      </c>
      <c r="Q340" s="61" t="str">
        <f aca="false">IF($A340="","",MAX(0,O340)*P340)</f>
        <v/>
      </c>
      <c r="R340" s="60" t="str">
        <f aca="false">IF($A340="","",IF(O340&lt;0,"NEGATIVE",IF(O340=0,"OUT OF STOCK",IF(O340&lt;=N($I340),"REORDER",IF(AND(O340&gt;0,X340&gt;DeadDays),"DEAD STOCK","OK")))))</f>
        <v/>
      </c>
      <c r="S340" s="65" t="str">
        <f aca="false">IF($A340="","",IF(N($H340)=0,0,(N($H340)-P340)/N($H340)))</f>
        <v/>
      </c>
      <c r="T340" s="64" t="str">
        <f aca="false">IF($A340="","",IF(O340&lt;=N($I340),MAX(0,2*N($I340)-O340),0))</f>
        <v/>
      </c>
      <c r="U340" s="61" t="str">
        <f aca="false">IF($A340="","",SUMIFS(Sales!$L$5:INDEX(Sales!$L$5:$L$3004,TxRows),Sales!$D$5:INDEX(Sales!$D$5:$D$3004,TxRows),$A340))</f>
        <v/>
      </c>
      <c r="V340" s="61" t="str">
        <f aca="false">IF($A340="","",SUMIFS(Sales!$S$5:INDEX(Sales!$S$5:$S$3004,TxRows),Sales!$D$5:INDEX(Sales!$D$5:$D$3004,TxRows),$A340))</f>
        <v/>
      </c>
      <c r="W340" s="66" t="str">
        <f aca="false">IF($A340="","",IFERROR(SUMPRODUCT(MAX((Sales!$D$5:INDEX(Sales!$D$5:$D$3004,TxRows)=$A340)*Sales!$A$5:INDEX(Sales!$A$5:$A$3004,TxRows))),0))</f>
        <v/>
      </c>
      <c r="X340" s="67" t="str">
        <f aca="false">IF($A340="","",IF(W340=0,AsOf-FYStart,AsOf-W340))</f>
        <v/>
      </c>
      <c r="Y340" s="67" t="str">
        <f aca="false">IF($A340="","",IF(M340=0,"",O340/(M340/MAX(1,AsOf-FYStart))))</f>
        <v/>
      </c>
      <c r="Z340" s="60" t="str">
        <f aca="false">IF($A340="","",U340+ROW()/1000000)</f>
        <v/>
      </c>
    </row>
    <row r="341" customFormat="false" ht="15" hidden="false" customHeight="false" outlineLevel="0" collapsed="false">
      <c r="A341" s="56"/>
      <c r="B341" s="56"/>
      <c r="C341" s="56"/>
      <c r="D341" s="56"/>
      <c r="E341" s="56"/>
      <c r="F341" s="63"/>
      <c r="G341" s="58"/>
      <c r="H341" s="58"/>
      <c r="I341" s="57"/>
      <c r="J341" s="57"/>
      <c r="K341" s="58"/>
      <c r="L341" s="64" t="str">
        <f aca="false">IF($A341="","",SUMIFS(Purchases!$E$5:INDEX(Purchases!$E$5:$E$3004,TxRows),Purchases!$D$5:INDEX(Purchases!$D$5:$D$3004,TxRows),$A341))</f>
        <v/>
      </c>
      <c r="M341" s="64" t="str">
        <f aca="false">IF($A341="","",SUMIFS(Sales!$E$5:INDEX(Sales!$E$5:$E$3004,TxRows),Sales!$D$5:INDEX(Sales!$D$5:$D$3004,TxRows),$A341))</f>
        <v/>
      </c>
      <c r="N341" s="64" t="str">
        <f aca="false">IF($A341="","",SUMIFS(Adjustments!$C$5:$C$504,Adjustments!$B$5:$B$504,$A341))</f>
        <v/>
      </c>
      <c r="O341" s="64" t="str">
        <f aca="false">IF($A341="","",N($J341)+L341-M341+N341)</f>
        <v/>
      </c>
      <c r="P341" s="61" t="str">
        <f aca="false">IF($A341="","",IFERROR((N($J341)*N($K341)+SUMIFS(Purchases!$K$5:INDEX(Purchases!$K$5:$K$3004,TxRows),Purchases!$D$5:INDEX(Purchases!$D$5:$D$3004,TxRows),$A341))/(N($J341)+L341),N($G341)))</f>
        <v/>
      </c>
      <c r="Q341" s="61" t="str">
        <f aca="false">IF($A341="","",MAX(0,O341)*P341)</f>
        <v/>
      </c>
      <c r="R341" s="60" t="str">
        <f aca="false">IF($A341="","",IF(O341&lt;0,"NEGATIVE",IF(O341=0,"OUT OF STOCK",IF(O341&lt;=N($I341),"REORDER",IF(AND(O341&gt;0,X341&gt;DeadDays),"DEAD STOCK","OK")))))</f>
        <v/>
      </c>
      <c r="S341" s="65" t="str">
        <f aca="false">IF($A341="","",IF(N($H341)=0,0,(N($H341)-P341)/N($H341)))</f>
        <v/>
      </c>
      <c r="T341" s="64" t="str">
        <f aca="false">IF($A341="","",IF(O341&lt;=N($I341),MAX(0,2*N($I341)-O341),0))</f>
        <v/>
      </c>
      <c r="U341" s="61" t="str">
        <f aca="false">IF($A341="","",SUMIFS(Sales!$L$5:INDEX(Sales!$L$5:$L$3004,TxRows),Sales!$D$5:INDEX(Sales!$D$5:$D$3004,TxRows),$A341))</f>
        <v/>
      </c>
      <c r="V341" s="61" t="str">
        <f aca="false">IF($A341="","",SUMIFS(Sales!$S$5:INDEX(Sales!$S$5:$S$3004,TxRows),Sales!$D$5:INDEX(Sales!$D$5:$D$3004,TxRows),$A341))</f>
        <v/>
      </c>
      <c r="W341" s="66" t="str">
        <f aca="false">IF($A341="","",IFERROR(SUMPRODUCT(MAX((Sales!$D$5:INDEX(Sales!$D$5:$D$3004,TxRows)=$A341)*Sales!$A$5:INDEX(Sales!$A$5:$A$3004,TxRows))),0))</f>
        <v/>
      </c>
      <c r="X341" s="67" t="str">
        <f aca="false">IF($A341="","",IF(W341=0,AsOf-FYStart,AsOf-W341))</f>
        <v/>
      </c>
      <c r="Y341" s="67" t="str">
        <f aca="false">IF($A341="","",IF(M341=0,"",O341/(M341/MAX(1,AsOf-FYStart))))</f>
        <v/>
      </c>
      <c r="Z341" s="60" t="str">
        <f aca="false">IF($A341="","",U341+ROW()/1000000)</f>
        <v/>
      </c>
    </row>
    <row r="342" customFormat="false" ht="15" hidden="false" customHeight="false" outlineLevel="0" collapsed="false">
      <c r="A342" s="56"/>
      <c r="B342" s="56"/>
      <c r="C342" s="56"/>
      <c r="D342" s="56"/>
      <c r="E342" s="56"/>
      <c r="F342" s="63"/>
      <c r="G342" s="58"/>
      <c r="H342" s="58"/>
      <c r="I342" s="57"/>
      <c r="J342" s="57"/>
      <c r="K342" s="58"/>
      <c r="L342" s="64" t="str">
        <f aca="false">IF($A342="","",SUMIFS(Purchases!$E$5:INDEX(Purchases!$E$5:$E$3004,TxRows),Purchases!$D$5:INDEX(Purchases!$D$5:$D$3004,TxRows),$A342))</f>
        <v/>
      </c>
      <c r="M342" s="64" t="str">
        <f aca="false">IF($A342="","",SUMIFS(Sales!$E$5:INDEX(Sales!$E$5:$E$3004,TxRows),Sales!$D$5:INDEX(Sales!$D$5:$D$3004,TxRows),$A342))</f>
        <v/>
      </c>
      <c r="N342" s="64" t="str">
        <f aca="false">IF($A342="","",SUMIFS(Adjustments!$C$5:$C$504,Adjustments!$B$5:$B$504,$A342))</f>
        <v/>
      </c>
      <c r="O342" s="64" t="str">
        <f aca="false">IF($A342="","",N($J342)+L342-M342+N342)</f>
        <v/>
      </c>
      <c r="P342" s="61" t="str">
        <f aca="false">IF($A342="","",IFERROR((N($J342)*N($K342)+SUMIFS(Purchases!$K$5:INDEX(Purchases!$K$5:$K$3004,TxRows),Purchases!$D$5:INDEX(Purchases!$D$5:$D$3004,TxRows),$A342))/(N($J342)+L342),N($G342)))</f>
        <v/>
      </c>
      <c r="Q342" s="61" t="str">
        <f aca="false">IF($A342="","",MAX(0,O342)*P342)</f>
        <v/>
      </c>
      <c r="R342" s="60" t="str">
        <f aca="false">IF($A342="","",IF(O342&lt;0,"NEGATIVE",IF(O342=0,"OUT OF STOCK",IF(O342&lt;=N($I342),"REORDER",IF(AND(O342&gt;0,X342&gt;DeadDays),"DEAD STOCK","OK")))))</f>
        <v/>
      </c>
      <c r="S342" s="65" t="str">
        <f aca="false">IF($A342="","",IF(N($H342)=0,0,(N($H342)-P342)/N($H342)))</f>
        <v/>
      </c>
      <c r="T342" s="64" t="str">
        <f aca="false">IF($A342="","",IF(O342&lt;=N($I342),MAX(0,2*N($I342)-O342),0))</f>
        <v/>
      </c>
      <c r="U342" s="61" t="str">
        <f aca="false">IF($A342="","",SUMIFS(Sales!$L$5:INDEX(Sales!$L$5:$L$3004,TxRows),Sales!$D$5:INDEX(Sales!$D$5:$D$3004,TxRows),$A342))</f>
        <v/>
      </c>
      <c r="V342" s="61" t="str">
        <f aca="false">IF($A342="","",SUMIFS(Sales!$S$5:INDEX(Sales!$S$5:$S$3004,TxRows),Sales!$D$5:INDEX(Sales!$D$5:$D$3004,TxRows),$A342))</f>
        <v/>
      </c>
      <c r="W342" s="66" t="str">
        <f aca="false">IF($A342="","",IFERROR(SUMPRODUCT(MAX((Sales!$D$5:INDEX(Sales!$D$5:$D$3004,TxRows)=$A342)*Sales!$A$5:INDEX(Sales!$A$5:$A$3004,TxRows))),0))</f>
        <v/>
      </c>
      <c r="X342" s="67" t="str">
        <f aca="false">IF($A342="","",IF(W342=0,AsOf-FYStart,AsOf-W342))</f>
        <v/>
      </c>
      <c r="Y342" s="67" t="str">
        <f aca="false">IF($A342="","",IF(M342=0,"",O342/(M342/MAX(1,AsOf-FYStart))))</f>
        <v/>
      </c>
      <c r="Z342" s="60" t="str">
        <f aca="false">IF($A342="","",U342+ROW()/1000000)</f>
        <v/>
      </c>
    </row>
    <row r="343" customFormat="false" ht="15" hidden="false" customHeight="false" outlineLevel="0" collapsed="false">
      <c r="A343" s="56"/>
      <c r="B343" s="56"/>
      <c r="C343" s="56"/>
      <c r="D343" s="56"/>
      <c r="E343" s="56"/>
      <c r="F343" s="63"/>
      <c r="G343" s="58"/>
      <c r="H343" s="58"/>
      <c r="I343" s="57"/>
      <c r="J343" s="57"/>
      <c r="K343" s="58"/>
      <c r="L343" s="64" t="str">
        <f aca="false">IF($A343="","",SUMIFS(Purchases!$E$5:INDEX(Purchases!$E$5:$E$3004,TxRows),Purchases!$D$5:INDEX(Purchases!$D$5:$D$3004,TxRows),$A343))</f>
        <v/>
      </c>
      <c r="M343" s="64" t="str">
        <f aca="false">IF($A343="","",SUMIFS(Sales!$E$5:INDEX(Sales!$E$5:$E$3004,TxRows),Sales!$D$5:INDEX(Sales!$D$5:$D$3004,TxRows),$A343))</f>
        <v/>
      </c>
      <c r="N343" s="64" t="str">
        <f aca="false">IF($A343="","",SUMIFS(Adjustments!$C$5:$C$504,Adjustments!$B$5:$B$504,$A343))</f>
        <v/>
      </c>
      <c r="O343" s="64" t="str">
        <f aca="false">IF($A343="","",N($J343)+L343-M343+N343)</f>
        <v/>
      </c>
      <c r="P343" s="61" t="str">
        <f aca="false">IF($A343="","",IFERROR((N($J343)*N($K343)+SUMIFS(Purchases!$K$5:INDEX(Purchases!$K$5:$K$3004,TxRows),Purchases!$D$5:INDEX(Purchases!$D$5:$D$3004,TxRows),$A343))/(N($J343)+L343),N($G343)))</f>
        <v/>
      </c>
      <c r="Q343" s="61" t="str">
        <f aca="false">IF($A343="","",MAX(0,O343)*P343)</f>
        <v/>
      </c>
      <c r="R343" s="60" t="str">
        <f aca="false">IF($A343="","",IF(O343&lt;0,"NEGATIVE",IF(O343=0,"OUT OF STOCK",IF(O343&lt;=N($I343),"REORDER",IF(AND(O343&gt;0,X343&gt;DeadDays),"DEAD STOCK","OK")))))</f>
        <v/>
      </c>
      <c r="S343" s="65" t="str">
        <f aca="false">IF($A343="","",IF(N($H343)=0,0,(N($H343)-P343)/N($H343)))</f>
        <v/>
      </c>
      <c r="T343" s="64" t="str">
        <f aca="false">IF($A343="","",IF(O343&lt;=N($I343),MAX(0,2*N($I343)-O343),0))</f>
        <v/>
      </c>
      <c r="U343" s="61" t="str">
        <f aca="false">IF($A343="","",SUMIFS(Sales!$L$5:INDEX(Sales!$L$5:$L$3004,TxRows),Sales!$D$5:INDEX(Sales!$D$5:$D$3004,TxRows),$A343))</f>
        <v/>
      </c>
      <c r="V343" s="61" t="str">
        <f aca="false">IF($A343="","",SUMIFS(Sales!$S$5:INDEX(Sales!$S$5:$S$3004,TxRows),Sales!$D$5:INDEX(Sales!$D$5:$D$3004,TxRows),$A343))</f>
        <v/>
      </c>
      <c r="W343" s="66" t="str">
        <f aca="false">IF($A343="","",IFERROR(SUMPRODUCT(MAX((Sales!$D$5:INDEX(Sales!$D$5:$D$3004,TxRows)=$A343)*Sales!$A$5:INDEX(Sales!$A$5:$A$3004,TxRows))),0))</f>
        <v/>
      </c>
      <c r="X343" s="67" t="str">
        <f aca="false">IF($A343="","",IF(W343=0,AsOf-FYStart,AsOf-W343))</f>
        <v/>
      </c>
      <c r="Y343" s="67" t="str">
        <f aca="false">IF($A343="","",IF(M343=0,"",O343/(M343/MAX(1,AsOf-FYStart))))</f>
        <v/>
      </c>
      <c r="Z343" s="60" t="str">
        <f aca="false">IF($A343="","",U343+ROW()/1000000)</f>
        <v/>
      </c>
    </row>
    <row r="344" customFormat="false" ht="15" hidden="false" customHeight="false" outlineLevel="0" collapsed="false">
      <c r="A344" s="56"/>
      <c r="B344" s="56"/>
      <c r="C344" s="56"/>
      <c r="D344" s="56"/>
      <c r="E344" s="56"/>
      <c r="F344" s="63"/>
      <c r="G344" s="58"/>
      <c r="H344" s="58"/>
      <c r="I344" s="57"/>
      <c r="J344" s="57"/>
      <c r="K344" s="58"/>
      <c r="L344" s="64" t="str">
        <f aca="false">IF($A344="","",SUMIFS(Purchases!$E$5:INDEX(Purchases!$E$5:$E$3004,TxRows),Purchases!$D$5:INDEX(Purchases!$D$5:$D$3004,TxRows),$A344))</f>
        <v/>
      </c>
      <c r="M344" s="64" t="str">
        <f aca="false">IF($A344="","",SUMIFS(Sales!$E$5:INDEX(Sales!$E$5:$E$3004,TxRows),Sales!$D$5:INDEX(Sales!$D$5:$D$3004,TxRows),$A344))</f>
        <v/>
      </c>
      <c r="N344" s="64" t="str">
        <f aca="false">IF($A344="","",SUMIFS(Adjustments!$C$5:$C$504,Adjustments!$B$5:$B$504,$A344))</f>
        <v/>
      </c>
      <c r="O344" s="64" t="str">
        <f aca="false">IF($A344="","",N($J344)+L344-M344+N344)</f>
        <v/>
      </c>
      <c r="P344" s="61" t="str">
        <f aca="false">IF($A344="","",IFERROR((N($J344)*N($K344)+SUMIFS(Purchases!$K$5:INDEX(Purchases!$K$5:$K$3004,TxRows),Purchases!$D$5:INDEX(Purchases!$D$5:$D$3004,TxRows),$A344))/(N($J344)+L344),N($G344)))</f>
        <v/>
      </c>
      <c r="Q344" s="61" t="str">
        <f aca="false">IF($A344="","",MAX(0,O344)*P344)</f>
        <v/>
      </c>
      <c r="R344" s="60" t="str">
        <f aca="false">IF($A344="","",IF(O344&lt;0,"NEGATIVE",IF(O344=0,"OUT OF STOCK",IF(O344&lt;=N($I344),"REORDER",IF(AND(O344&gt;0,X344&gt;DeadDays),"DEAD STOCK","OK")))))</f>
        <v/>
      </c>
      <c r="S344" s="65" t="str">
        <f aca="false">IF($A344="","",IF(N($H344)=0,0,(N($H344)-P344)/N($H344)))</f>
        <v/>
      </c>
      <c r="T344" s="64" t="str">
        <f aca="false">IF($A344="","",IF(O344&lt;=N($I344),MAX(0,2*N($I344)-O344),0))</f>
        <v/>
      </c>
      <c r="U344" s="61" t="str">
        <f aca="false">IF($A344="","",SUMIFS(Sales!$L$5:INDEX(Sales!$L$5:$L$3004,TxRows),Sales!$D$5:INDEX(Sales!$D$5:$D$3004,TxRows),$A344))</f>
        <v/>
      </c>
      <c r="V344" s="61" t="str">
        <f aca="false">IF($A344="","",SUMIFS(Sales!$S$5:INDEX(Sales!$S$5:$S$3004,TxRows),Sales!$D$5:INDEX(Sales!$D$5:$D$3004,TxRows),$A344))</f>
        <v/>
      </c>
      <c r="W344" s="66" t="str">
        <f aca="false">IF($A344="","",IFERROR(SUMPRODUCT(MAX((Sales!$D$5:INDEX(Sales!$D$5:$D$3004,TxRows)=$A344)*Sales!$A$5:INDEX(Sales!$A$5:$A$3004,TxRows))),0))</f>
        <v/>
      </c>
      <c r="X344" s="67" t="str">
        <f aca="false">IF($A344="","",IF(W344=0,AsOf-FYStart,AsOf-W344))</f>
        <v/>
      </c>
      <c r="Y344" s="67" t="str">
        <f aca="false">IF($A344="","",IF(M344=0,"",O344/(M344/MAX(1,AsOf-FYStart))))</f>
        <v/>
      </c>
      <c r="Z344" s="60" t="str">
        <f aca="false">IF($A344="","",U344+ROW()/1000000)</f>
        <v/>
      </c>
    </row>
    <row r="345" customFormat="false" ht="15" hidden="false" customHeight="false" outlineLevel="0" collapsed="false">
      <c r="A345" s="56"/>
      <c r="B345" s="56"/>
      <c r="C345" s="56"/>
      <c r="D345" s="56"/>
      <c r="E345" s="56"/>
      <c r="F345" s="63"/>
      <c r="G345" s="58"/>
      <c r="H345" s="58"/>
      <c r="I345" s="57"/>
      <c r="J345" s="57"/>
      <c r="K345" s="58"/>
      <c r="L345" s="64" t="str">
        <f aca="false">IF($A345="","",SUMIFS(Purchases!$E$5:INDEX(Purchases!$E$5:$E$3004,TxRows),Purchases!$D$5:INDEX(Purchases!$D$5:$D$3004,TxRows),$A345))</f>
        <v/>
      </c>
      <c r="M345" s="64" t="str">
        <f aca="false">IF($A345="","",SUMIFS(Sales!$E$5:INDEX(Sales!$E$5:$E$3004,TxRows),Sales!$D$5:INDEX(Sales!$D$5:$D$3004,TxRows),$A345))</f>
        <v/>
      </c>
      <c r="N345" s="64" t="str">
        <f aca="false">IF($A345="","",SUMIFS(Adjustments!$C$5:$C$504,Adjustments!$B$5:$B$504,$A345))</f>
        <v/>
      </c>
      <c r="O345" s="64" t="str">
        <f aca="false">IF($A345="","",N($J345)+L345-M345+N345)</f>
        <v/>
      </c>
      <c r="P345" s="61" t="str">
        <f aca="false">IF($A345="","",IFERROR((N($J345)*N($K345)+SUMIFS(Purchases!$K$5:INDEX(Purchases!$K$5:$K$3004,TxRows),Purchases!$D$5:INDEX(Purchases!$D$5:$D$3004,TxRows),$A345))/(N($J345)+L345),N($G345)))</f>
        <v/>
      </c>
      <c r="Q345" s="61" t="str">
        <f aca="false">IF($A345="","",MAX(0,O345)*P345)</f>
        <v/>
      </c>
      <c r="R345" s="60" t="str">
        <f aca="false">IF($A345="","",IF(O345&lt;0,"NEGATIVE",IF(O345=0,"OUT OF STOCK",IF(O345&lt;=N($I345),"REORDER",IF(AND(O345&gt;0,X345&gt;DeadDays),"DEAD STOCK","OK")))))</f>
        <v/>
      </c>
      <c r="S345" s="65" t="str">
        <f aca="false">IF($A345="","",IF(N($H345)=0,0,(N($H345)-P345)/N($H345)))</f>
        <v/>
      </c>
      <c r="T345" s="64" t="str">
        <f aca="false">IF($A345="","",IF(O345&lt;=N($I345),MAX(0,2*N($I345)-O345),0))</f>
        <v/>
      </c>
      <c r="U345" s="61" t="str">
        <f aca="false">IF($A345="","",SUMIFS(Sales!$L$5:INDEX(Sales!$L$5:$L$3004,TxRows),Sales!$D$5:INDEX(Sales!$D$5:$D$3004,TxRows),$A345))</f>
        <v/>
      </c>
      <c r="V345" s="61" t="str">
        <f aca="false">IF($A345="","",SUMIFS(Sales!$S$5:INDEX(Sales!$S$5:$S$3004,TxRows),Sales!$D$5:INDEX(Sales!$D$5:$D$3004,TxRows),$A345))</f>
        <v/>
      </c>
      <c r="W345" s="66" t="str">
        <f aca="false">IF($A345="","",IFERROR(SUMPRODUCT(MAX((Sales!$D$5:INDEX(Sales!$D$5:$D$3004,TxRows)=$A345)*Sales!$A$5:INDEX(Sales!$A$5:$A$3004,TxRows))),0))</f>
        <v/>
      </c>
      <c r="X345" s="67" t="str">
        <f aca="false">IF($A345="","",IF(W345=0,AsOf-FYStart,AsOf-W345))</f>
        <v/>
      </c>
      <c r="Y345" s="67" t="str">
        <f aca="false">IF($A345="","",IF(M345=0,"",O345/(M345/MAX(1,AsOf-FYStart))))</f>
        <v/>
      </c>
      <c r="Z345" s="60" t="str">
        <f aca="false">IF($A345="","",U345+ROW()/1000000)</f>
        <v/>
      </c>
    </row>
    <row r="346" customFormat="false" ht="15" hidden="false" customHeight="false" outlineLevel="0" collapsed="false">
      <c r="A346" s="56"/>
      <c r="B346" s="56"/>
      <c r="C346" s="56"/>
      <c r="D346" s="56"/>
      <c r="E346" s="56"/>
      <c r="F346" s="63"/>
      <c r="G346" s="58"/>
      <c r="H346" s="58"/>
      <c r="I346" s="57"/>
      <c r="J346" s="57"/>
      <c r="K346" s="58"/>
      <c r="L346" s="64" t="str">
        <f aca="false">IF($A346="","",SUMIFS(Purchases!$E$5:INDEX(Purchases!$E$5:$E$3004,TxRows),Purchases!$D$5:INDEX(Purchases!$D$5:$D$3004,TxRows),$A346))</f>
        <v/>
      </c>
      <c r="M346" s="64" t="str">
        <f aca="false">IF($A346="","",SUMIFS(Sales!$E$5:INDEX(Sales!$E$5:$E$3004,TxRows),Sales!$D$5:INDEX(Sales!$D$5:$D$3004,TxRows),$A346))</f>
        <v/>
      </c>
      <c r="N346" s="64" t="str">
        <f aca="false">IF($A346="","",SUMIFS(Adjustments!$C$5:$C$504,Adjustments!$B$5:$B$504,$A346))</f>
        <v/>
      </c>
      <c r="O346" s="64" t="str">
        <f aca="false">IF($A346="","",N($J346)+L346-M346+N346)</f>
        <v/>
      </c>
      <c r="P346" s="61" t="str">
        <f aca="false">IF($A346="","",IFERROR((N($J346)*N($K346)+SUMIFS(Purchases!$K$5:INDEX(Purchases!$K$5:$K$3004,TxRows),Purchases!$D$5:INDEX(Purchases!$D$5:$D$3004,TxRows),$A346))/(N($J346)+L346),N($G346)))</f>
        <v/>
      </c>
      <c r="Q346" s="61" t="str">
        <f aca="false">IF($A346="","",MAX(0,O346)*P346)</f>
        <v/>
      </c>
      <c r="R346" s="60" t="str">
        <f aca="false">IF($A346="","",IF(O346&lt;0,"NEGATIVE",IF(O346=0,"OUT OF STOCK",IF(O346&lt;=N($I346),"REORDER",IF(AND(O346&gt;0,X346&gt;DeadDays),"DEAD STOCK","OK")))))</f>
        <v/>
      </c>
      <c r="S346" s="65" t="str">
        <f aca="false">IF($A346="","",IF(N($H346)=0,0,(N($H346)-P346)/N($H346)))</f>
        <v/>
      </c>
      <c r="T346" s="64" t="str">
        <f aca="false">IF($A346="","",IF(O346&lt;=N($I346),MAX(0,2*N($I346)-O346),0))</f>
        <v/>
      </c>
      <c r="U346" s="61" t="str">
        <f aca="false">IF($A346="","",SUMIFS(Sales!$L$5:INDEX(Sales!$L$5:$L$3004,TxRows),Sales!$D$5:INDEX(Sales!$D$5:$D$3004,TxRows),$A346))</f>
        <v/>
      </c>
      <c r="V346" s="61" t="str">
        <f aca="false">IF($A346="","",SUMIFS(Sales!$S$5:INDEX(Sales!$S$5:$S$3004,TxRows),Sales!$D$5:INDEX(Sales!$D$5:$D$3004,TxRows),$A346))</f>
        <v/>
      </c>
      <c r="W346" s="66" t="str">
        <f aca="false">IF($A346="","",IFERROR(SUMPRODUCT(MAX((Sales!$D$5:INDEX(Sales!$D$5:$D$3004,TxRows)=$A346)*Sales!$A$5:INDEX(Sales!$A$5:$A$3004,TxRows))),0))</f>
        <v/>
      </c>
      <c r="X346" s="67" t="str">
        <f aca="false">IF($A346="","",IF(W346=0,AsOf-FYStart,AsOf-W346))</f>
        <v/>
      </c>
      <c r="Y346" s="67" t="str">
        <f aca="false">IF($A346="","",IF(M346=0,"",O346/(M346/MAX(1,AsOf-FYStart))))</f>
        <v/>
      </c>
      <c r="Z346" s="60" t="str">
        <f aca="false">IF($A346="","",U346+ROW()/1000000)</f>
        <v/>
      </c>
    </row>
    <row r="347" customFormat="false" ht="15" hidden="false" customHeight="false" outlineLevel="0" collapsed="false">
      <c r="A347" s="56"/>
      <c r="B347" s="56"/>
      <c r="C347" s="56"/>
      <c r="D347" s="56"/>
      <c r="E347" s="56"/>
      <c r="F347" s="63"/>
      <c r="G347" s="58"/>
      <c r="H347" s="58"/>
      <c r="I347" s="57"/>
      <c r="J347" s="57"/>
      <c r="K347" s="58"/>
      <c r="L347" s="64" t="str">
        <f aca="false">IF($A347="","",SUMIFS(Purchases!$E$5:INDEX(Purchases!$E$5:$E$3004,TxRows),Purchases!$D$5:INDEX(Purchases!$D$5:$D$3004,TxRows),$A347))</f>
        <v/>
      </c>
      <c r="M347" s="64" t="str">
        <f aca="false">IF($A347="","",SUMIFS(Sales!$E$5:INDEX(Sales!$E$5:$E$3004,TxRows),Sales!$D$5:INDEX(Sales!$D$5:$D$3004,TxRows),$A347))</f>
        <v/>
      </c>
      <c r="N347" s="64" t="str">
        <f aca="false">IF($A347="","",SUMIFS(Adjustments!$C$5:$C$504,Adjustments!$B$5:$B$504,$A347))</f>
        <v/>
      </c>
      <c r="O347" s="64" t="str">
        <f aca="false">IF($A347="","",N($J347)+L347-M347+N347)</f>
        <v/>
      </c>
      <c r="P347" s="61" t="str">
        <f aca="false">IF($A347="","",IFERROR((N($J347)*N($K347)+SUMIFS(Purchases!$K$5:INDEX(Purchases!$K$5:$K$3004,TxRows),Purchases!$D$5:INDEX(Purchases!$D$5:$D$3004,TxRows),$A347))/(N($J347)+L347),N($G347)))</f>
        <v/>
      </c>
      <c r="Q347" s="61" t="str">
        <f aca="false">IF($A347="","",MAX(0,O347)*P347)</f>
        <v/>
      </c>
      <c r="R347" s="60" t="str">
        <f aca="false">IF($A347="","",IF(O347&lt;0,"NEGATIVE",IF(O347=0,"OUT OF STOCK",IF(O347&lt;=N($I347),"REORDER",IF(AND(O347&gt;0,X347&gt;DeadDays),"DEAD STOCK","OK")))))</f>
        <v/>
      </c>
      <c r="S347" s="65" t="str">
        <f aca="false">IF($A347="","",IF(N($H347)=0,0,(N($H347)-P347)/N($H347)))</f>
        <v/>
      </c>
      <c r="T347" s="64" t="str">
        <f aca="false">IF($A347="","",IF(O347&lt;=N($I347),MAX(0,2*N($I347)-O347),0))</f>
        <v/>
      </c>
      <c r="U347" s="61" t="str">
        <f aca="false">IF($A347="","",SUMIFS(Sales!$L$5:INDEX(Sales!$L$5:$L$3004,TxRows),Sales!$D$5:INDEX(Sales!$D$5:$D$3004,TxRows),$A347))</f>
        <v/>
      </c>
      <c r="V347" s="61" t="str">
        <f aca="false">IF($A347="","",SUMIFS(Sales!$S$5:INDEX(Sales!$S$5:$S$3004,TxRows),Sales!$D$5:INDEX(Sales!$D$5:$D$3004,TxRows),$A347))</f>
        <v/>
      </c>
      <c r="W347" s="66" t="str">
        <f aca="false">IF($A347="","",IFERROR(SUMPRODUCT(MAX((Sales!$D$5:INDEX(Sales!$D$5:$D$3004,TxRows)=$A347)*Sales!$A$5:INDEX(Sales!$A$5:$A$3004,TxRows))),0))</f>
        <v/>
      </c>
      <c r="X347" s="67" t="str">
        <f aca="false">IF($A347="","",IF(W347=0,AsOf-FYStart,AsOf-W347))</f>
        <v/>
      </c>
      <c r="Y347" s="67" t="str">
        <f aca="false">IF($A347="","",IF(M347=0,"",O347/(M347/MAX(1,AsOf-FYStart))))</f>
        <v/>
      </c>
      <c r="Z347" s="60" t="str">
        <f aca="false">IF($A347="","",U347+ROW()/1000000)</f>
        <v/>
      </c>
    </row>
    <row r="348" customFormat="false" ht="15" hidden="false" customHeight="false" outlineLevel="0" collapsed="false">
      <c r="A348" s="56"/>
      <c r="B348" s="56"/>
      <c r="C348" s="56"/>
      <c r="D348" s="56"/>
      <c r="E348" s="56"/>
      <c r="F348" s="63"/>
      <c r="G348" s="58"/>
      <c r="H348" s="58"/>
      <c r="I348" s="57"/>
      <c r="J348" s="57"/>
      <c r="K348" s="58"/>
      <c r="L348" s="64" t="str">
        <f aca="false">IF($A348="","",SUMIFS(Purchases!$E$5:INDEX(Purchases!$E$5:$E$3004,TxRows),Purchases!$D$5:INDEX(Purchases!$D$5:$D$3004,TxRows),$A348))</f>
        <v/>
      </c>
      <c r="M348" s="64" t="str">
        <f aca="false">IF($A348="","",SUMIFS(Sales!$E$5:INDEX(Sales!$E$5:$E$3004,TxRows),Sales!$D$5:INDEX(Sales!$D$5:$D$3004,TxRows),$A348))</f>
        <v/>
      </c>
      <c r="N348" s="64" t="str">
        <f aca="false">IF($A348="","",SUMIFS(Adjustments!$C$5:$C$504,Adjustments!$B$5:$B$504,$A348))</f>
        <v/>
      </c>
      <c r="O348" s="64" t="str">
        <f aca="false">IF($A348="","",N($J348)+L348-M348+N348)</f>
        <v/>
      </c>
      <c r="P348" s="61" t="str">
        <f aca="false">IF($A348="","",IFERROR((N($J348)*N($K348)+SUMIFS(Purchases!$K$5:INDEX(Purchases!$K$5:$K$3004,TxRows),Purchases!$D$5:INDEX(Purchases!$D$5:$D$3004,TxRows),$A348))/(N($J348)+L348),N($G348)))</f>
        <v/>
      </c>
      <c r="Q348" s="61" t="str">
        <f aca="false">IF($A348="","",MAX(0,O348)*P348)</f>
        <v/>
      </c>
      <c r="R348" s="60" t="str">
        <f aca="false">IF($A348="","",IF(O348&lt;0,"NEGATIVE",IF(O348=0,"OUT OF STOCK",IF(O348&lt;=N($I348),"REORDER",IF(AND(O348&gt;0,X348&gt;DeadDays),"DEAD STOCK","OK")))))</f>
        <v/>
      </c>
      <c r="S348" s="65" t="str">
        <f aca="false">IF($A348="","",IF(N($H348)=0,0,(N($H348)-P348)/N($H348)))</f>
        <v/>
      </c>
      <c r="T348" s="64" t="str">
        <f aca="false">IF($A348="","",IF(O348&lt;=N($I348),MAX(0,2*N($I348)-O348),0))</f>
        <v/>
      </c>
      <c r="U348" s="61" t="str">
        <f aca="false">IF($A348="","",SUMIFS(Sales!$L$5:INDEX(Sales!$L$5:$L$3004,TxRows),Sales!$D$5:INDEX(Sales!$D$5:$D$3004,TxRows),$A348))</f>
        <v/>
      </c>
      <c r="V348" s="61" t="str">
        <f aca="false">IF($A348="","",SUMIFS(Sales!$S$5:INDEX(Sales!$S$5:$S$3004,TxRows),Sales!$D$5:INDEX(Sales!$D$5:$D$3004,TxRows),$A348))</f>
        <v/>
      </c>
      <c r="W348" s="66" t="str">
        <f aca="false">IF($A348="","",IFERROR(SUMPRODUCT(MAX((Sales!$D$5:INDEX(Sales!$D$5:$D$3004,TxRows)=$A348)*Sales!$A$5:INDEX(Sales!$A$5:$A$3004,TxRows))),0))</f>
        <v/>
      </c>
      <c r="X348" s="67" t="str">
        <f aca="false">IF($A348="","",IF(W348=0,AsOf-FYStart,AsOf-W348))</f>
        <v/>
      </c>
      <c r="Y348" s="67" t="str">
        <f aca="false">IF($A348="","",IF(M348=0,"",O348/(M348/MAX(1,AsOf-FYStart))))</f>
        <v/>
      </c>
      <c r="Z348" s="60" t="str">
        <f aca="false">IF($A348="","",U348+ROW()/1000000)</f>
        <v/>
      </c>
    </row>
    <row r="349" customFormat="false" ht="15" hidden="false" customHeight="false" outlineLevel="0" collapsed="false">
      <c r="A349" s="56"/>
      <c r="B349" s="56"/>
      <c r="C349" s="56"/>
      <c r="D349" s="56"/>
      <c r="E349" s="56"/>
      <c r="F349" s="63"/>
      <c r="G349" s="58"/>
      <c r="H349" s="58"/>
      <c r="I349" s="57"/>
      <c r="J349" s="57"/>
      <c r="K349" s="58"/>
      <c r="L349" s="64" t="str">
        <f aca="false">IF($A349="","",SUMIFS(Purchases!$E$5:INDEX(Purchases!$E$5:$E$3004,TxRows),Purchases!$D$5:INDEX(Purchases!$D$5:$D$3004,TxRows),$A349))</f>
        <v/>
      </c>
      <c r="M349" s="64" t="str">
        <f aca="false">IF($A349="","",SUMIFS(Sales!$E$5:INDEX(Sales!$E$5:$E$3004,TxRows),Sales!$D$5:INDEX(Sales!$D$5:$D$3004,TxRows),$A349))</f>
        <v/>
      </c>
      <c r="N349" s="64" t="str">
        <f aca="false">IF($A349="","",SUMIFS(Adjustments!$C$5:$C$504,Adjustments!$B$5:$B$504,$A349))</f>
        <v/>
      </c>
      <c r="O349" s="64" t="str">
        <f aca="false">IF($A349="","",N($J349)+L349-M349+N349)</f>
        <v/>
      </c>
      <c r="P349" s="61" t="str">
        <f aca="false">IF($A349="","",IFERROR((N($J349)*N($K349)+SUMIFS(Purchases!$K$5:INDEX(Purchases!$K$5:$K$3004,TxRows),Purchases!$D$5:INDEX(Purchases!$D$5:$D$3004,TxRows),$A349))/(N($J349)+L349),N($G349)))</f>
        <v/>
      </c>
      <c r="Q349" s="61" t="str">
        <f aca="false">IF($A349="","",MAX(0,O349)*P349)</f>
        <v/>
      </c>
      <c r="R349" s="60" t="str">
        <f aca="false">IF($A349="","",IF(O349&lt;0,"NEGATIVE",IF(O349=0,"OUT OF STOCK",IF(O349&lt;=N($I349),"REORDER",IF(AND(O349&gt;0,X349&gt;DeadDays),"DEAD STOCK","OK")))))</f>
        <v/>
      </c>
      <c r="S349" s="65" t="str">
        <f aca="false">IF($A349="","",IF(N($H349)=0,0,(N($H349)-P349)/N($H349)))</f>
        <v/>
      </c>
      <c r="T349" s="64" t="str">
        <f aca="false">IF($A349="","",IF(O349&lt;=N($I349),MAX(0,2*N($I349)-O349),0))</f>
        <v/>
      </c>
      <c r="U349" s="61" t="str">
        <f aca="false">IF($A349="","",SUMIFS(Sales!$L$5:INDEX(Sales!$L$5:$L$3004,TxRows),Sales!$D$5:INDEX(Sales!$D$5:$D$3004,TxRows),$A349))</f>
        <v/>
      </c>
      <c r="V349" s="61" t="str">
        <f aca="false">IF($A349="","",SUMIFS(Sales!$S$5:INDEX(Sales!$S$5:$S$3004,TxRows),Sales!$D$5:INDEX(Sales!$D$5:$D$3004,TxRows),$A349))</f>
        <v/>
      </c>
      <c r="W349" s="66" t="str">
        <f aca="false">IF($A349="","",IFERROR(SUMPRODUCT(MAX((Sales!$D$5:INDEX(Sales!$D$5:$D$3004,TxRows)=$A349)*Sales!$A$5:INDEX(Sales!$A$5:$A$3004,TxRows))),0))</f>
        <v/>
      </c>
      <c r="X349" s="67" t="str">
        <f aca="false">IF($A349="","",IF(W349=0,AsOf-FYStart,AsOf-W349))</f>
        <v/>
      </c>
      <c r="Y349" s="67" t="str">
        <f aca="false">IF($A349="","",IF(M349=0,"",O349/(M349/MAX(1,AsOf-FYStart))))</f>
        <v/>
      </c>
      <c r="Z349" s="60" t="str">
        <f aca="false">IF($A349="","",U349+ROW()/1000000)</f>
        <v/>
      </c>
    </row>
    <row r="350" customFormat="false" ht="15" hidden="false" customHeight="false" outlineLevel="0" collapsed="false">
      <c r="A350" s="56"/>
      <c r="B350" s="56"/>
      <c r="C350" s="56"/>
      <c r="D350" s="56"/>
      <c r="E350" s="56"/>
      <c r="F350" s="63"/>
      <c r="G350" s="58"/>
      <c r="H350" s="58"/>
      <c r="I350" s="57"/>
      <c r="J350" s="57"/>
      <c r="K350" s="58"/>
      <c r="L350" s="64" t="str">
        <f aca="false">IF($A350="","",SUMIFS(Purchases!$E$5:INDEX(Purchases!$E$5:$E$3004,TxRows),Purchases!$D$5:INDEX(Purchases!$D$5:$D$3004,TxRows),$A350))</f>
        <v/>
      </c>
      <c r="M350" s="64" t="str">
        <f aca="false">IF($A350="","",SUMIFS(Sales!$E$5:INDEX(Sales!$E$5:$E$3004,TxRows),Sales!$D$5:INDEX(Sales!$D$5:$D$3004,TxRows),$A350))</f>
        <v/>
      </c>
      <c r="N350" s="64" t="str">
        <f aca="false">IF($A350="","",SUMIFS(Adjustments!$C$5:$C$504,Adjustments!$B$5:$B$504,$A350))</f>
        <v/>
      </c>
      <c r="O350" s="64" t="str">
        <f aca="false">IF($A350="","",N($J350)+L350-M350+N350)</f>
        <v/>
      </c>
      <c r="P350" s="61" t="str">
        <f aca="false">IF($A350="","",IFERROR((N($J350)*N($K350)+SUMIFS(Purchases!$K$5:INDEX(Purchases!$K$5:$K$3004,TxRows),Purchases!$D$5:INDEX(Purchases!$D$5:$D$3004,TxRows),$A350))/(N($J350)+L350),N($G350)))</f>
        <v/>
      </c>
      <c r="Q350" s="61" t="str">
        <f aca="false">IF($A350="","",MAX(0,O350)*P350)</f>
        <v/>
      </c>
      <c r="R350" s="60" t="str">
        <f aca="false">IF($A350="","",IF(O350&lt;0,"NEGATIVE",IF(O350=0,"OUT OF STOCK",IF(O350&lt;=N($I350),"REORDER",IF(AND(O350&gt;0,X350&gt;DeadDays),"DEAD STOCK","OK")))))</f>
        <v/>
      </c>
      <c r="S350" s="65" t="str">
        <f aca="false">IF($A350="","",IF(N($H350)=0,0,(N($H350)-P350)/N($H350)))</f>
        <v/>
      </c>
      <c r="T350" s="64" t="str">
        <f aca="false">IF($A350="","",IF(O350&lt;=N($I350),MAX(0,2*N($I350)-O350),0))</f>
        <v/>
      </c>
      <c r="U350" s="61" t="str">
        <f aca="false">IF($A350="","",SUMIFS(Sales!$L$5:INDEX(Sales!$L$5:$L$3004,TxRows),Sales!$D$5:INDEX(Sales!$D$5:$D$3004,TxRows),$A350))</f>
        <v/>
      </c>
      <c r="V350" s="61" t="str">
        <f aca="false">IF($A350="","",SUMIFS(Sales!$S$5:INDEX(Sales!$S$5:$S$3004,TxRows),Sales!$D$5:INDEX(Sales!$D$5:$D$3004,TxRows),$A350))</f>
        <v/>
      </c>
      <c r="W350" s="66" t="str">
        <f aca="false">IF($A350="","",IFERROR(SUMPRODUCT(MAX((Sales!$D$5:INDEX(Sales!$D$5:$D$3004,TxRows)=$A350)*Sales!$A$5:INDEX(Sales!$A$5:$A$3004,TxRows))),0))</f>
        <v/>
      </c>
      <c r="X350" s="67" t="str">
        <f aca="false">IF($A350="","",IF(W350=0,AsOf-FYStart,AsOf-W350))</f>
        <v/>
      </c>
      <c r="Y350" s="67" t="str">
        <f aca="false">IF($A350="","",IF(M350=0,"",O350/(M350/MAX(1,AsOf-FYStart))))</f>
        <v/>
      </c>
      <c r="Z350" s="60" t="str">
        <f aca="false">IF($A350="","",U350+ROW()/1000000)</f>
        <v/>
      </c>
    </row>
    <row r="351" customFormat="false" ht="15" hidden="false" customHeight="false" outlineLevel="0" collapsed="false">
      <c r="A351" s="56"/>
      <c r="B351" s="56"/>
      <c r="C351" s="56"/>
      <c r="D351" s="56"/>
      <c r="E351" s="56"/>
      <c r="F351" s="63"/>
      <c r="G351" s="58"/>
      <c r="H351" s="58"/>
      <c r="I351" s="57"/>
      <c r="J351" s="57"/>
      <c r="K351" s="58"/>
      <c r="L351" s="64" t="str">
        <f aca="false">IF($A351="","",SUMIFS(Purchases!$E$5:INDEX(Purchases!$E$5:$E$3004,TxRows),Purchases!$D$5:INDEX(Purchases!$D$5:$D$3004,TxRows),$A351))</f>
        <v/>
      </c>
      <c r="M351" s="64" t="str">
        <f aca="false">IF($A351="","",SUMIFS(Sales!$E$5:INDEX(Sales!$E$5:$E$3004,TxRows),Sales!$D$5:INDEX(Sales!$D$5:$D$3004,TxRows),$A351))</f>
        <v/>
      </c>
      <c r="N351" s="64" t="str">
        <f aca="false">IF($A351="","",SUMIFS(Adjustments!$C$5:$C$504,Adjustments!$B$5:$B$504,$A351))</f>
        <v/>
      </c>
      <c r="O351" s="64" t="str">
        <f aca="false">IF($A351="","",N($J351)+L351-M351+N351)</f>
        <v/>
      </c>
      <c r="P351" s="61" t="str">
        <f aca="false">IF($A351="","",IFERROR((N($J351)*N($K351)+SUMIFS(Purchases!$K$5:INDEX(Purchases!$K$5:$K$3004,TxRows),Purchases!$D$5:INDEX(Purchases!$D$5:$D$3004,TxRows),$A351))/(N($J351)+L351),N($G351)))</f>
        <v/>
      </c>
      <c r="Q351" s="61" t="str">
        <f aca="false">IF($A351="","",MAX(0,O351)*P351)</f>
        <v/>
      </c>
      <c r="R351" s="60" t="str">
        <f aca="false">IF($A351="","",IF(O351&lt;0,"NEGATIVE",IF(O351=0,"OUT OF STOCK",IF(O351&lt;=N($I351),"REORDER",IF(AND(O351&gt;0,X351&gt;DeadDays),"DEAD STOCK","OK")))))</f>
        <v/>
      </c>
      <c r="S351" s="65" t="str">
        <f aca="false">IF($A351="","",IF(N($H351)=0,0,(N($H351)-P351)/N($H351)))</f>
        <v/>
      </c>
      <c r="T351" s="64" t="str">
        <f aca="false">IF($A351="","",IF(O351&lt;=N($I351),MAX(0,2*N($I351)-O351),0))</f>
        <v/>
      </c>
      <c r="U351" s="61" t="str">
        <f aca="false">IF($A351="","",SUMIFS(Sales!$L$5:INDEX(Sales!$L$5:$L$3004,TxRows),Sales!$D$5:INDEX(Sales!$D$5:$D$3004,TxRows),$A351))</f>
        <v/>
      </c>
      <c r="V351" s="61" t="str">
        <f aca="false">IF($A351="","",SUMIFS(Sales!$S$5:INDEX(Sales!$S$5:$S$3004,TxRows),Sales!$D$5:INDEX(Sales!$D$5:$D$3004,TxRows),$A351))</f>
        <v/>
      </c>
      <c r="W351" s="66" t="str">
        <f aca="false">IF($A351="","",IFERROR(SUMPRODUCT(MAX((Sales!$D$5:INDEX(Sales!$D$5:$D$3004,TxRows)=$A351)*Sales!$A$5:INDEX(Sales!$A$5:$A$3004,TxRows))),0))</f>
        <v/>
      </c>
      <c r="X351" s="67" t="str">
        <f aca="false">IF($A351="","",IF(W351=0,AsOf-FYStart,AsOf-W351))</f>
        <v/>
      </c>
      <c r="Y351" s="67" t="str">
        <f aca="false">IF($A351="","",IF(M351=0,"",O351/(M351/MAX(1,AsOf-FYStart))))</f>
        <v/>
      </c>
      <c r="Z351" s="60" t="str">
        <f aca="false">IF($A351="","",U351+ROW()/1000000)</f>
        <v/>
      </c>
    </row>
    <row r="352" customFormat="false" ht="15" hidden="false" customHeight="false" outlineLevel="0" collapsed="false">
      <c r="A352" s="56"/>
      <c r="B352" s="56"/>
      <c r="C352" s="56"/>
      <c r="D352" s="56"/>
      <c r="E352" s="56"/>
      <c r="F352" s="63"/>
      <c r="G352" s="58"/>
      <c r="H352" s="58"/>
      <c r="I352" s="57"/>
      <c r="J352" s="57"/>
      <c r="K352" s="58"/>
      <c r="L352" s="64" t="str">
        <f aca="false">IF($A352="","",SUMIFS(Purchases!$E$5:INDEX(Purchases!$E$5:$E$3004,TxRows),Purchases!$D$5:INDEX(Purchases!$D$5:$D$3004,TxRows),$A352))</f>
        <v/>
      </c>
      <c r="M352" s="64" t="str">
        <f aca="false">IF($A352="","",SUMIFS(Sales!$E$5:INDEX(Sales!$E$5:$E$3004,TxRows),Sales!$D$5:INDEX(Sales!$D$5:$D$3004,TxRows),$A352))</f>
        <v/>
      </c>
      <c r="N352" s="64" t="str">
        <f aca="false">IF($A352="","",SUMIFS(Adjustments!$C$5:$C$504,Adjustments!$B$5:$B$504,$A352))</f>
        <v/>
      </c>
      <c r="O352" s="64" t="str">
        <f aca="false">IF($A352="","",N($J352)+L352-M352+N352)</f>
        <v/>
      </c>
      <c r="P352" s="61" t="str">
        <f aca="false">IF($A352="","",IFERROR((N($J352)*N($K352)+SUMIFS(Purchases!$K$5:INDEX(Purchases!$K$5:$K$3004,TxRows),Purchases!$D$5:INDEX(Purchases!$D$5:$D$3004,TxRows),$A352))/(N($J352)+L352),N($G352)))</f>
        <v/>
      </c>
      <c r="Q352" s="61" t="str">
        <f aca="false">IF($A352="","",MAX(0,O352)*P352)</f>
        <v/>
      </c>
      <c r="R352" s="60" t="str">
        <f aca="false">IF($A352="","",IF(O352&lt;0,"NEGATIVE",IF(O352=0,"OUT OF STOCK",IF(O352&lt;=N($I352),"REORDER",IF(AND(O352&gt;0,X352&gt;DeadDays),"DEAD STOCK","OK")))))</f>
        <v/>
      </c>
      <c r="S352" s="65" t="str">
        <f aca="false">IF($A352="","",IF(N($H352)=0,0,(N($H352)-P352)/N($H352)))</f>
        <v/>
      </c>
      <c r="T352" s="64" t="str">
        <f aca="false">IF($A352="","",IF(O352&lt;=N($I352),MAX(0,2*N($I352)-O352),0))</f>
        <v/>
      </c>
      <c r="U352" s="61" t="str">
        <f aca="false">IF($A352="","",SUMIFS(Sales!$L$5:INDEX(Sales!$L$5:$L$3004,TxRows),Sales!$D$5:INDEX(Sales!$D$5:$D$3004,TxRows),$A352))</f>
        <v/>
      </c>
      <c r="V352" s="61" t="str">
        <f aca="false">IF($A352="","",SUMIFS(Sales!$S$5:INDEX(Sales!$S$5:$S$3004,TxRows),Sales!$D$5:INDEX(Sales!$D$5:$D$3004,TxRows),$A352))</f>
        <v/>
      </c>
      <c r="W352" s="66" t="str">
        <f aca="false">IF($A352="","",IFERROR(SUMPRODUCT(MAX((Sales!$D$5:INDEX(Sales!$D$5:$D$3004,TxRows)=$A352)*Sales!$A$5:INDEX(Sales!$A$5:$A$3004,TxRows))),0))</f>
        <v/>
      </c>
      <c r="X352" s="67" t="str">
        <f aca="false">IF($A352="","",IF(W352=0,AsOf-FYStart,AsOf-W352))</f>
        <v/>
      </c>
      <c r="Y352" s="67" t="str">
        <f aca="false">IF($A352="","",IF(M352=0,"",O352/(M352/MAX(1,AsOf-FYStart))))</f>
        <v/>
      </c>
      <c r="Z352" s="60" t="str">
        <f aca="false">IF($A352="","",U352+ROW()/1000000)</f>
        <v/>
      </c>
    </row>
    <row r="353" customFormat="false" ht="15" hidden="false" customHeight="false" outlineLevel="0" collapsed="false">
      <c r="A353" s="56"/>
      <c r="B353" s="56"/>
      <c r="C353" s="56"/>
      <c r="D353" s="56"/>
      <c r="E353" s="56"/>
      <c r="F353" s="63"/>
      <c r="G353" s="58"/>
      <c r="H353" s="58"/>
      <c r="I353" s="57"/>
      <c r="J353" s="57"/>
      <c r="K353" s="58"/>
      <c r="L353" s="64" t="str">
        <f aca="false">IF($A353="","",SUMIFS(Purchases!$E$5:INDEX(Purchases!$E$5:$E$3004,TxRows),Purchases!$D$5:INDEX(Purchases!$D$5:$D$3004,TxRows),$A353))</f>
        <v/>
      </c>
      <c r="M353" s="64" t="str">
        <f aca="false">IF($A353="","",SUMIFS(Sales!$E$5:INDEX(Sales!$E$5:$E$3004,TxRows),Sales!$D$5:INDEX(Sales!$D$5:$D$3004,TxRows),$A353))</f>
        <v/>
      </c>
      <c r="N353" s="64" t="str">
        <f aca="false">IF($A353="","",SUMIFS(Adjustments!$C$5:$C$504,Adjustments!$B$5:$B$504,$A353))</f>
        <v/>
      </c>
      <c r="O353" s="64" t="str">
        <f aca="false">IF($A353="","",N($J353)+L353-M353+N353)</f>
        <v/>
      </c>
      <c r="P353" s="61" t="str">
        <f aca="false">IF($A353="","",IFERROR((N($J353)*N($K353)+SUMIFS(Purchases!$K$5:INDEX(Purchases!$K$5:$K$3004,TxRows),Purchases!$D$5:INDEX(Purchases!$D$5:$D$3004,TxRows),$A353))/(N($J353)+L353),N($G353)))</f>
        <v/>
      </c>
      <c r="Q353" s="61" t="str">
        <f aca="false">IF($A353="","",MAX(0,O353)*P353)</f>
        <v/>
      </c>
      <c r="R353" s="60" t="str">
        <f aca="false">IF($A353="","",IF(O353&lt;0,"NEGATIVE",IF(O353=0,"OUT OF STOCK",IF(O353&lt;=N($I353),"REORDER",IF(AND(O353&gt;0,X353&gt;DeadDays),"DEAD STOCK","OK")))))</f>
        <v/>
      </c>
      <c r="S353" s="65" t="str">
        <f aca="false">IF($A353="","",IF(N($H353)=0,0,(N($H353)-P353)/N($H353)))</f>
        <v/>
      </c>
      <c r="T353" s="64" t="str">
        <f aca="false">IF($A353="","",IF(O353&lt;=N($I353),MAX(0,2*N($I353)-O353),0))</f>
        <v/>
      </c>
      <c r="U353" s="61" t="str">
        <f aca="false">IF($A353="","",SUMIFS(Sales!$L$5:INDEX(Sales!$L$5:$L$3004,TxRows),Sales!$D$5:INDEX(Sales!$D$5:$D$3004,TxRows),$A353))</f>
        <v/>
      </c>
      <c r="V353" s="61" t="str">
        <f aca="false">IF($A353="","",SUMIFS(Sales!$S$5:INDEX(Sales!$S$5:$S$3004,TxRows),Sales!$D$5:INDEX(Sales!$D$5:$D$3004,TxRows),$A353))</f>
        <v/>
      </c>
      <c r="W353" s="66" t="str">
        <f aca="false">IF($A353="","",IFERROR(SUMPRODUCT(MAX((Sales!$D$5:INDEX(Sales!$D$5:$D$3004,TxRows)=$A353)*Sales!$A$5:INDEX(Sales!$A$5:$A$3004,TxRows))),0))</f>
        <v/>
      </c>
      <c r="X353" s="67" t="str">
        <f aca="false">IF($A353="","",IF(W353=0,AsOf-FYStart,AsOf-W353))</f>
        <v/>
      </c>
      <c r="Y353" s="67" t="str">
        <f aca="false">IF($A353="","",IF(M353=0,"",O353/(M353/MAX(1,AsOf-FYStart))))</f>
        <v/>
      </c>
      <c r="Z353" s="60" t="str">
        <f aca="false">IF($A353="","",U353+ROW()/1000000)</f>
        <v/>
      </c>
    </row>
    <row r="354" customFormat="false" ht="15" hidden="false" customHeight="false" outlineLevel="0" collapsed="false">
      <c r="A354" s="56"/>
      <c r="B354" s="56"/>
      <c r="C354" s="56"/>
      <c r="D354" s="56"/>
      <c r="E354" s="56"/>
      <c r="F354" s="63"/>
      <c r="G354" s="58"/>
      <c r="H354" s="58"/>
      <c r="I354" s="57"/>
      <c r="J354" s="57"/>
      <c r="K354" s="58"/>
      <c r="L354" s="64" t="str">
        <f aca="false">IF($A354="","",SUMIFS(Purchases!$E$5:INDEX(Purchases!$E$5:$E$3004,TxRows),Purchases!$D$5:INDEX(Purchases!$D$5:$D$3004,TxRows),$A354))</f>
        <v/>
      </c>
      <c r="M354" s="64" t="str">
        <f aca="false">IF($A354="","",SUMIFS(Sales!$E$5:INDEX(Sales!$E$5:$E$3004,TxRows),Sales!$D$5:INDEX(Sales!$D$5:$D$3004,TxRows),$A354))</f>
        <v/>
      </c>
      <c r="N354" s="64" t="str">
        <f aca="false">IF($A354="","",SUMIFS(Adjustments!$C$5:$C$504,Adjustments!$B$5:$B$504,$A354))</f>
        <v/>
      </c>
      <c r="O354" s="64" t="str">
        <f aca="false">IF($A354="","",N($J354)+L354-M354+N354)</f>
        <v/>
      </c>
      <c r="P354" s="61" t="str">
        <f aca="false">IF($A354="","",IFERROR((N($J354)*N($K354)+SUMIFS(Purchases!$K$5:INDEX(Purchases!$K$5:$K$3004,TxRows),Purchases!$D$5:INDEX(Purchases!$D$5:$D$3004,TxRows),$A354))/(N($J354)+L354),N($G354)))</f>
        <v/>
      </c>
      <c r="Q354" s="61" t="str">
        <f aca="false">IF($A354="","",MAX(0,O354)*P354)</f>
        <v/>
      </c>
      <c r="R354" s="60" t="str">
        <f aca="false">IF($A354="","",IF(O354&lt;0,"NEGATIVE",IF(O354=0,"OUT OF STOCK",IF(O354&lt;=N($I354),"REORDER",IF(AND(O354&gt;0,X354&gt;DeadDays),"DEAD STOCK","OK")))))</f>
        <v/>
      </c>
      <c r="S354" s="65" t="str">
        <f aca="false">IF($A354="","",IF(N($H354)=0,0,(N($H354)-P354)/N($H354)))</f>
        <v/>
      </c>
      <c r="T354" s="64" t="str">
        <f aca="false">IF($A354="","",IF(O354&lt;=N($I354),MAX(0,2*N($I354)-O354),0))</f>
        <v/>
      </c>
      <c r="U354" s="61" t="str">
        <f aca="false">IF($A354="","",SUMIFS(Sales!$L$5:INDEX(Sales!$L$5:$L$3004,TxRows),Sales!$D$5:INDEX(Sales!$D$5:$D$3004,TxRows),$A354))</f>
        <v/>
      </c>
      <c r="V354" s="61" t="str">
        <f aca="false">IF($A354="","",SUMIFS(Sales!$S$5:INDEX(Sales!$S$5:$S$3004,TxRows),Sales!$D$5:INDEX(Sales!$D$5:$D$3004,TxRows),$A354))</f>
        <v/>
      </c>
      <c r="W354" s="66" t="str">
        <f aca="false">IF($A354="","",IFERROR(SUMPRODUCT(MAX((Sales!$D$5:INDEX(Sales!$D$5:$D$3004,TxRows)=$A354)*Sales!$A$5:INDEX(Sales!$A$5:$A$3004,TxRows))),0))</f>
        <v/>
      </c>
      <c r="X354" s="67" t="str">
        <f aca="false">IF($A354="","",IF(W354=0,AsOf-FYStart,AsOf-W354))</f>
        <v/>
      </c>
      <c r="Y354" s="67" t="str">
        <f aca="false">IF($A354="","",IF(M354=0,"",O354/(M354/MAX(1,AsOf-FYStart))))</f>
        <v/>
      </c>
      <c r="Z354" s="60" t="str">
        <f aca="false">IF($A354="","",U354+ROW()/1000000)</f>
        <v/>
      </c>
    </row>
    <row r="355" customFormat="false" ht="15" hidden="false" customHeight="false" outlineLevel="0" collapsed="false">
      <c r="A355" s="56"/>
      <c r="B355" s="56"/>
      <c r="C355" s="56"/>
      <c r="D355" s="56"/>
      <c r="E355" s="56"/>
      <c r="F355" s="63"/>
      <c r="G355" s="58"/>
      <c r="H355" s="58"/>
      <c r="I355" s="57"/>
      <c r="J355" s="57"/>
      <c r="K355" s="58"/>
      <c r="L355" s="64" t="str">
        <f aca="false">IF($A355="","",SUMIFS(Purchases!$E$5:INDEX(Purchases!$E$5:$E$3004,TxRows),Purchases!$D$5:INDEX(Purchases!$D$5:$D$3004,TxRows),$A355))</f>
        <v/>
      </c>
      <c r="M355" s="64" t="str">
        <f aca="false">IF($A355="","",SUMIFS(Sales!$E$5:INDEX(Sales!$E$5:$E$3004,TxRows),Sales!$D$5:INDEX(Sales!$D$5:$D$3004,TxRows),$A355))</f>
        <v/>
      </c>
      <c r="N355" s="64" t="str">
        <f aca="false">IF($A355="","",SUMIFS(Adjustments!$C$5:$C$504,Adjustments!$B$5:$B$504,$A355))</f>
        <v/>
      </c>
      <c r="O355" s="64" t="str">
        <f aca="false">IF($A355="","",N($J355)+L355-M355+N355)</f>
        <v/>
      </c>
      <c r="P355" s="61" t="str">
        <f aca="false">IF($A355="","",IFERROR((N($J355)*N($K355)+SUMIFS(Purchases!$K$5:INDEX(Purchases!$K$5:$K$3004,TxRows),Purchases!$D$5:INDEX(Purchases!$D$5:$D$3004,TxRows),$A355))/(N($J355)+L355),N($G355)))</f>
        <v/>
      </c>
      <c r="Q355" s="61" t="str">
        <f aca="false">IF($A355="","",MAX(0,O355)*P355)</f>
        <v/>
      </c>
      <c r="R355" s="60" t="str">
        <f aca="false">IF($A355="","",IF(O355&lt;0,"NEGATIVE",IF(O355=0,"OUT OF STOCK",IF(O355&lt;=N($I355),"REORDER",IF(AND(O355&gt;0,X355&gt;DeadDays),"DEAD STOCK","OK")))))</f>
        <v/>
      </c>
      <c r="S355" s="65" t="str">
        <f aca="false">IF($A355="","",IF(N($H355)=0,0,(N($H355)-P355)/N($H355)))</f>
        <v/>
      </c>
      <c r="T355" s="64" t="str">
        <f aca="false">IF($A355="","",IF(O355&lt;=N($I355),MAX(0,2*N($I355)-O355),0))</f>
        <v/>
      </c>
      <c r="U355" s="61" t="str">
        <f aca="false">IF($A355="","",SUMIFS(Sales!$L$5:INDEX(Sales!$L$5:$L$3004,TxRows),Sales!$D$5:INDEX(Sales!$D$5:$D$3004,TxRows),$A355))</f>
        <v/>
      </c>
      <c r="V355" s="61" t="str">
        <f aca="false">IF($A355="","",SUMIFS(Sales!$S$5:INDEX(Sales!$S$5:$S$3004,TxRows),Sales!$D$5:INDEX(Sales!$D$5:$D$3004,TxRows),$A355))</f>
        <v/>
      </c>
      <c r="W355" s="66" t="str">
        <f aca="false">IF($A355="","",IFERROR(SUMPRODUCT(MAX((Sales!$D$5:INDEX(Sales!$D$5:$D$3004,TxRows)=$A355)*Sales!$A$5:INDEX(Sales!$A$5:$A$3004,TxRows))),0))</f>
        <v/>
      </c>
      <c r="X355" s="67" t="str">
        <f aca="false">IF($A355="","",IF(W355=0,AsOf-FYStart,AsOf-W355))</f>
        <v/>
      </c>
      <c r="Y355" s="67" t="str">
        <f aca="false">IF($A355="","",IF(M355=0,"",O355/(M355/MAX(1,AsOf-FYStart))))</f>
        <v/>
      </c>
      <c r="Z355" s="60" t="str">
        <f aca="false">IF($A355="","",U355+ROW()/1000000)</f>
        <v/>
      </c>
    </row>
    <row r="356" customFormat="false" ht="15" hidden="false" customHeight="false" outlineLevel="0" collapsed="false">
      <c r="A356" s="56"/>
      <c r="B356" s="56"/>
      <c r="C356" s="56"/>
      <c r="D356" s="56"/>
      <c r="E356" s="56"/>
      <c r="F356" s="63"/>
      <c r="G356" s="58"/>
      <c r="H356" s="58"/>
      <c r="I356" s="57"/>
      <c r="J356" s="57"/>
      <c r="K356" s="58"/>
      <c r="L356" s="64" t="str">
        <f aca="false">IF($A356="","",SUMIFS(Purchases!$E$5:INDEX(Purchases!$E$5:$E$3004,TxRows),Purchases!$D$5:INDEX(Purchases!$D$5:$D$3004,TxRows),$A356))</f>
        <v/>
      </c>
      <c r="M356" s="64" t="str">
        <f aca="false">IF($A356="","",SUMIFS(Sales!$E$5:INDEX(Sales!$E$5:$E$3004,TxRows),Sales!$D$5:INDEX(Sales!$D$5:$D$3004,TxRows),$A356))</f>
        <v/>
      </c>
      <c r="N356" s="64" t="str">
        <f aca="false">IF($A356="","",SUMIFS(Adjustments!$C$5:$C$504,Adjustments!$B$5:$B$504,$A356))</f>
        <v/>
      </c>
      <c r="O356" s="64" t="str">
        <f aca="false">IF($A356="","",N($J356)+L356-M356+N356)</f>
        <v/>
      </c>
      <c r="P356" s="61" t="str">
        <f aca="false">IF($A356="","",IFERROR((N($J356)*N($K356)+SUMIFS(Purchases!$K$5:INDEX(Purchases!$K$5:$K$3004,TxRows),Purchases!$D$5:INDEX(Purchases!$D$5:$D$3004,TxRows),$A356))/(N($J356)+L356),N($G356)))</f>
        <v/>
      </c>
      <c r="Q356" s="61" t="str">
        <f aca="false">IF($A356="","",MAX(0,O356)*P356)</f>
        <v/>
      </c>
      <c r="R356" s="60" t="str">
        <f aca="false">IF($A356="","",IF(O356&lt;0,"NEGATIVE",IF(O356=0,"OUT OF STOCK",IF(O356&lt;=N($I356),"REORDER",IF(AND(O356&gt;0,X356&gt;DeadDays),"DEAD STOCK","OK")))))</f>
        <v/>
      </c>
      <c r="S356" s="65" t="str">
        <f aca="false">IF($A356="","",IF(N($H356)=0,0,(N($H356)-P356)/N($H356)))</f>
        <v/>
      </c>
      <c r="T356" s="64" t="str">
        <f aca="false">IF($A356="","",IF(O356&lt;=N($I356),MAX(0,2*N($I356)-O356),0))</f>
        <v/>
      </c>
      <c r="U356" s="61" t="str">
        <f aca="false">IF($A356="","",SUMIFS(Sales!$L$5:INDEX(Sales!$L$5:$L$3004,TxRows),Sales!$D$5:INDEX(Sales!$D$5:$D$3004,TxRows),$A356))</f>
        <v/>
      </c>
      <c r="V356" s="61" t="str">
        <f aca="false">IF($A356="","",SUMIFS(Sales!$S$5:INDEX(Sales!$S$5:$S$3004,TxRows),Sales!$D$5:INDEX(Sales!$D$5:$D$3004,TxRows),$A356))</f>
        <v/>
      </c>
      <c r="W356" s="66" t="str">
        <f aca="false">IF($A356="","",IFERROR(SUMPRODUCT(MAX((Sales!$D$5:INDEX(Sales!$D$5:$D$3004,TxRows)=$A356)*Sales!$A$5:INDEX(Sales!$A$5:$A$3004,TxRows))),0))</f>
        <v/>
      </c>
      <c r="X356" s="67" t="str">
        <f aca="false">IF($A356="","",IF(W356=0,AsOf-FYStart,AsOf-W356))</f>
        <v/>
      </c>
      <c r="Y356" s="67" t="str">
        <f aca="false">IF($A356="","",IF(M356=0,"",O356/(M356/MAX(1,AsOf-FYStart))))</f>
        <v/>
      </c>
      <c r="Z356" s="60" t="str">
        <f aca="false">IF($A356="","",U356+ROW()/1000000)</f>
        <v/>
      </c>
    </row>
    <row r="357" customFormat="false" ht="15" hidden="false" customHeight="false" outlineLevel="0" collapsed="false">
      <c r="A357" s="56"/>
      <c r="B357" s="56"/>
      <c r="C357" s="56"/>
      <c r="D357" s="56"/>
      <c r="E357" s="56"/>
      <c r="F357" s="63"/>
      <c r="G357" s="58"/>
      <c r="H357" s="58"/>
      <c r="I357" s="57"/>
      <c r="J357" s="57"/>
      <c r="K357" s="58"/>
      <c r="L357" s="64" t="str">
        <f aca="false">IF($A357="","",SUMIFS(Purchases!$E$5:INDEX(Purchases!$E$5:$E$3004,TxRows),Purchases!$D$5:INDEX(Purchases!$D$5:$D$3004,TxRows),$A357))</f>
        <v/>
      </c>
      <c r="M357" s="64" t="str">
        <f aca="false">IF($A357="","",SUMIFS(Sales!$E$5:INDEX(Sales!$E$5:$E$3004,TxRows),Sales!$D$5:INDEX(Sales!$D$5:$D$3004,TxRows),$A357))</f>
        <v/>
      </c>
      <c r="N357" s="64" t="str">
        <f aca="false">IF($A357="","",SUMIFS(Adjustments!$C$5:$C$504,Adjustments!$B$5:$B$504,$A357))</f>
        <v/>
      </c>
      <c r="O357" s="64" t="str">
        <f aca="false">IF($A357="","",N($J357)+L357-M357+N357)</f>
        <v/>
      </c>
      <c r="P357" s="61" t="str">
        <f aca="false">IF($A357="","",IFERROR((N($J357)*N($K357)+SUMIFS(Purchases!$K$5:INDEX(Purchases!$K$5:$K$3004,TxRows),Purchases!$D$5:INDEX(Purchases!$D$5:$D$3004,TxRows),$A357))/(N($J357)+L357),N($G357)))</f>
        <v/>
      </c>
      <c r="Q357" s="61" t="str">
        <f aca="false">IF($A357="","",MAX(0,O357)*P357)</f>
        <v/>
      </c>
      <c r="R357" s="60" t="str">
        <f aca="false">IF($A357="","",IF(O357&lt;0,"NEGATIVE",IF(O357=0,"OUT OF STOCK",IF(O357&lt;=N($I357),"REORDER",IF(AND(O357&gt;0,X357&gt;DeadDays),"DEAD STOCK","OK")))))</f>
        <v/>
      </c>
      <c r="S357" s="65" t="str">
        <f aca="false">IF($A357="","",IF(N($H357)=0,0,(N($H357)-P357)/N($H357)))</f>
        <v/>
      </c>
      <c r="T357" s="64" t="str">
        <f aca="false">IF($A357="","",IF(O357&lt;=N($I357),MAX(0,2*N($I357)-O357),0))</f>
        <v/>
      </c>
      <c r="U357" s="61" t="str">
        <f aca="false">IF($A357="","",SUMIFS(Sales!$L$5:INDEX(Sales!$L$5:$L$3004,TxRows),Sales!$D$5:INDEX(Sales!$D$5:$D$3004,TxRows),$A357))</f>
        <v/>
      </c>
      <c r="V357" s="61" t="str">
        <f aca="false">IF($A357="","",SUMIFS(Sales!$S$5:INDEX(Sales!$S$5:$S$3004,TxRows),Sales!$D$5:INDEX(Sales!$D$5:$D$3004,TxRows),$A357))</f>
        <v/>
      </c>
      <c r="W357" s="66" t="str">
        <f aca="false">IF($A357="","",IFERROR(SUMPRODUCT(MAX((Sales!$D$5:INDEX(Sales!$D$5:$D$3004,TxRows)=$A357)*Sales!$A$5:INDEX(Sales!$A$5:$A$3004,TxRows))),0))</f>
        <v/>
      </c>
      <c r="X357" s="67" t="str">
        <f aca="false">IF($A357="","",IF(W357=0,AsOf-FYStart,AsOf-W357))</f>
        <v/>
      </c>
      <c r="Y357" s="67" t="str">
        <f aca="false">IF($A357="","",IF(M357=0,"",O357/(M357/MAX(1,AsOf-FYStart))))</f>
        <v/>
      </c>
      <c r="Z357" s="60" t="str">
        <f aca="false">IF($A357="","",U357+ROW()/1000000)</f>
        <v/>
      </c>
    </row>
    <row r="358" customFormat="false" ht="15" hidden="false" customHeight="false" outlineLevel="0" collapsed="false">
      <c r="A358" s="56"/>
      <c r="B358" s="56"/>
      <c r="C358" s="56"/>
      <c r="D358" s="56"/>
      <c r="E358" s="56"/>
      <c r="F358" s="63"/>
      <c r="G358" s="58"/>
      <c r="H358" s="58"/>
      <c r="I358" s="57"/>
      <c r="J358" s="57"/>
      <c r="K358" s="58"/>
      <c r="L358" s="64" t="str">
        <f aca="false">IF($A358="","",SUMIFS(Purchases!$E$5:INDEX(Purchases!$E$5:$E$3004,TxRows),Purchases!$D$5:INDEX(Purchases!$D$5:$D$3004,TxRows),$A358))</f>
        <v/>
      </c>
      <c r="M358" s="64" t="str">
        <f aca="false">IF($A358="","",SUMIFS(Sales!$E$5:INDEX(Sales!$E$5:$E$3004,TxRows),Sales!$D$5:INDEX(Sales!$D$5:$D$3004,TxRows),$A358))</f>
        <v/>
      </c>
      <c r="N358" s="64" t="str">
        <f aca="false">IF($A358="","",SUMIFS(Adjustments!$C$5:$C$504,Adjustments!$B$5:$B$504,$A358))</f>
        <v/>
      </c>
      <c r="O358" s="64" t="str">
        <f aca="false">IF($A358="","",N($J358)+L358-M358+N358)</f>
        <v/>
      </c>
      <c r="P358" s="61" t="str">
        <f aca="false">IF($A358="","",IFERROR((N($J358)*N($K358)+SUMIFS(Purchases!$K$5:INDEX(Purchases!$K$5:$K$3004,TxRows),Purchases!$D$5:INDEX(Purchases!$D$5:$D$3004,TxRows),$A358))/(N($J358)+L358),N($G358)))</f>
        <v/>
      </c>
      <c r="Q358" s="61" t="str">
        <f aca="false">IF($A358="","",MAX(0,O358)*P358)</f>
        <v/>
      </c>
      <c r="R358" s="60" t="str">
        <f aca="false">IF($A358="","",IF(O358&lt;0,"NEGATIVE",IF(O358=0,"OUT OF STOCK",IF(O358&lt;=N($I358),"REORDER",IF(AND(O358&gt;0,X358&gt;DeadDays),"DEAD STOCK","OK")))))</f>
        <v/>
      </c>
      <c r="S358" s="65" t="str">
        <f aca="false">IF($A358="","",IF(N($H358)=0,0,(N($H358)-P358)/N($H358)))</f>
        <v/>
      </c>
      <c r="T358" s="64" t="str">
        <f aca="false">IF($A358="","",IF(O358&lt;=N($I358),MAX(0,2*N($I358)-O358),0))</f>
        <v/>
      </c>
      <c r="U358" s="61" t="str">
        <f aca="false">IF($A358="","",SUMIFS(Sales!$L$5:INDEX(Sales!$L$5:$L$3004,TxRows),Sales!$D$5:INDEX(Sales!$D$5:$D$3004,TxRows),$A358))</f>
        <v/>
      </c>
      <c r="V358" s="61" t="str">
        <f aca="false">IF($A358="","",SUMIFS(Sales!$S$5:INDEX(Sales!$S$5:$S$3004,TxRows),Sales!$D$5:INDEX(Sales!$D$5:$D$3004,TxRows),$A358))</f>
        <v/>
      </c>
      <c r="W358" s="66" t="str">
        <f aca="false">IF($A358="","",IFERROR(SUMPRODUCT(MAX((Sales!$D$5:INDEX(Sales!$D$5:$D$3004,TxRows)=$A358)*Sales!$A$5:INDEX(Sales!$A$5:$A$3004,TxRows))),0))</f>
        <v/>
      </c>
      <c r="X358" s="67" t="str">
        <f aca="false">IF($A358="","",IF(W358=0,AsOf-FYStart,AsOf-W358))</f>
        <v/>
      </c>
      <c r="Y358" s="67" t="str">
        <f aca="false">IF($A358="","",IF(M358=0,"",O358/(M358/MAX(1,AsOf-FYStart))))</f>
        <v/>
      </c>
      <c r="Z358" s="60" t="str">
        <f aca="false">IF($A358="","",U358+ROW()/1000000)</f>
        <v/>
      </c>
    </row>
    <row r="359" customFormat="false" ht="15" hidden="false" customHeight="false" outlineLevel="0" collapsed="false">
      <c r="A359" s="56"/>
      <c r="B359" s="56"/>
      <c r="C359" s="56"/>
      <c r="D359" s="56"/>
      <c r="E359" s="56"/>
      <c r="F359" s="63"/>
      <c r="G359" s="58"/>
      <c r="H359" s="58"/>
      <c r="I359" s="57"/>
      <c r="J359" s="57"/>
      <c r="K359" s="58"/>
      <c r="L359" s="64" t="str">
        <f aca="false">IF($A359="","",SUMIFS(Purchases!$E$5:INDEX(Purchases!$E$5:$E$3004,TxRows),Purchases!$D$5:INDEX(Purchases!$D$5:$D$3004,TxRows),$A359))</f>
        <v/>
      </c>
      <c r="M359" s="64" t="str">
        <f aca="false">IF($A359="","",SUMIFS(Sales!$E$5:INDEX(Sales!$E$5:$E$3004,TxRows),Sales!$D$5:INDEX(Sales!$D$5:$D$3004,TxRows),$A359))</f>
        <v/>
      </c>
      <c r="N359" s="64" t="str">
        <f aca="false">IF($A359="","",SUMIFS(Adjustments!$C$5:$C$504,Adjustments!$B$5:$B$504,$A359))</f>
        <v/>
      </c>
      <c r="O359" s="64" t="str">
        <f aca="false">IF($A359="","",N($J359)+L359-M359+N359)</f>
        <v/>
      </c>
      <c r="P359" s="61" t="str">
        <f aca="false">IF($A359="","",IFERROR((N($J359)*N($K359)+SUMIFS(Purchases!$K$5:INDEX(Purchases!$K$5:$K$3004,TxRows),Purchases!$D$5:INDEX(Purchases!$D$5:$D$3004,TxRows),$A359))/(N($J359)+L359),N($G359)))</f>
        <v/>
      </c>
      <c r="Q359" s="61" t="str">
        <f aca="false">IF($A359="","",MAX(0,O359)*P359)</f>
        <v/>
      </c>
      <c r="R359" s="60" t="str">
        <f aca="false">IF($A359="","",IF(O359&lt;0,"NEGATIVE",IF(O359=0,"OUT OF STOCK",IF(O359&lt;=N($I359),"REORDER",IF(AND(O359&gt;0,X359&gt;DeadDays),"DEAD STOCK","OK")))))</f>
        <v/>
      </c>
      <c r="S359" s="65" t="str">
        <f aca="false">IF($A359="","",IF(N($H359)=0,0,(N($H359)-P359)/N($H359)))</f>
        <v/>
      </c>
      <c r="T359" s="64" t="str">
        <f aca="false">IF($A359="","",IF(O359&lt;=N($I359),MAX(0,2*N($I359)-O359),0))</f>
        <v/>
      </c>
      <c r="U359" s="61" t="str">
        <f aca="false">IF($A359="","",SUMIFS(Sales!$L$5:INDEX(Sales!$L$5:$L$3004,TxRows),Sales!$D$5:INDEX(Sales!$D$5:$D$3004,TxRows),$A359))</f>
        <v/>
      </c>
      <c r="V359" s="61" t="str">
        <f aca="false">IF($A359="","",SUMIFS(Sales!$S$5:INDEX(Sales!$S$5:$S$3004,TxRows),Sales!$D$5:INDEX(Sales!$D$5:$D$3004,TxRows),$A359))</f>
        <v/>
      </c>
      <c r="W359" s="66" t="str">
        <f aca="false">IF($A359="","",IFERROR(SUMPRODUCT(MAX((Sales!$D$5:INDEX(Sales!$D$5:$D$3004,TxRows)=$A359)*Sales!$A$5:INDEX(Sales!$A$5:$A$3004,TxRows))),0))</f>
        <v/>
      </c>
      <c r="X359" s="67" t="str">
        <f aca="false">IF($A359="","",IF(W359=0,AsOf-FYStart,AsOf-W359))</f>
        <v/>
      </c>
      <c r="Y359" s="67" t="str">
        <f aca="false">IF($A359="","",IF(M359=0,"",O359/(M359/MAX(1,AsOf-FYStart))))</f>
        <v/>
      </c>
      <c r="Z359" s="60" t="str">
        <f aca="false">IF($A359="","",U359+ROW()/1000000)</f>
        <v/>
      </c>
    </row>
    <row r="360" customFormat="false" ht="15" hidden="false" customHeight="false" outlineLevel="0" collapsed="false">
      <c r="A360" s="56"/>
      <c r="B360" s="56"/>
      <c r="C360" s="56"/>
      <c r="D360" s="56"/>
      <c r="E360" s="56"/>
      <c r="F360" s="63"/>
      <c r="G360" s="58"/>
      <c r="H360" s="58"/>
      <c r="I360" s="57"/>
      <c r="J360" s="57"/>
      <c r="K360" s="58"/>
      <c r="L360" s="64" t="str">
        <f aca="false">IF($A360="","",SUMIFS(Purchases!$E$5:INDEX(Purchases!$E$5:$E$3004,TxRows),Purchases!$D$5:INDEX(Purchases!$D$5:$D$3004,TxRows),$A360))</f>
        <v/>
      </c>
      <c r="M360" s="64" t="str">
        <f aca="false">IF($A360="","",SUMIFS(Sales!$E$5:INDEX(Sales!$E$5:$E$3004,TxRows),Sales!$D$5:INDEX(Sales!$D$5:$D$3004,TxRows),$A360))</f>
        <v/>
      </c>
      <c r="N360" s="64" t="str">
        <f aca="false">IF($A360="","",SUMIFS(Adjustments!$C$5:$C$504,Adjustments!$B$5:$B$504,$A360))</f>
        <v/>
      </c>
      <c r="O360" s="64" t="str">
        <f aca="false">IF($A360="","",N($J360)+L360-M360+N360)</f>
        <v/>
      </c>
      <c r="P360" s="61" t="str">
        <f aca="false">IF($A360="","",IFERROR((N($J360)*N($K360)+SUMIFS(Purchases!$K$5:INDEX(Purchases!$K$5:$K$3004,TxRows),Purchases!$D$5:INDEX(Purchases!$D$5:$D$3004,TxRows),$A360))/(N($J360)+L360),N($G360)))</f>
        <v/>
      </c>
      <c r="Q360" s="61" t="str">
        <f aca="false">IF($A360="","",MAX(0,O360)*P360)</f>
        <v/>
      </c>
      <c r="R360" s="60" t="str">
        <f aca="false">IF($A360="","",IF(O360&lt;0,"NEGATIVE",IF(O360=0,"OUT OF STOCK",IF(O360&lt;=N($I360),"REORDER",IF(AND(O360&gt;0,X360&gt;DeadDays),"DEAD STOCK","OK")))))</f>
        <v/>
      </c>
      <c r="S360" s="65" t="str">
        <f aca="false">IF($A360="","",IF(N($H360)=0,0,(N($H360)-P360)/N($H360)))</f>
        <v/>
      </c>
      <c r="T360" s="64" t="str">
        <f aca="false">IF($A360="","",IF(O360&lt;=N($I360),MAX(0,2*N($I360)-O360),0))</f>
        <v/>
      </c>
      <c r="U360" s="61" t="str">
        <f aca="false">IF($A360="","",SUMIFS(Sales!$L$5:INDEX(Sales!$L$5:$L$3004,TxRows),Sales!$D$5:INDEX(Sales!$D$5:$D$3004,TxRows),$A360))</f>
        <v/>
      </c>
      <c r="V360" s="61" t="str">
        <f aca="false">IF($A360="","",SUMIFS(Sales!$S$5:INDEX(Sales!$S$5:$S$3004,TxRows),Sales!$D$5:INDEX(Sales!$D$5:$D$3004,TxRows),$A360))</f>
        <v/>
      </c>
      <c r="W360" s="66" t="str">
        <f aca="false">IF($A360="","",IFERROR(SUMPRODUCT(MAX((Sales!$D$5:INDEX(Sales!$D$5:$D$3004,TxRows)=$A360)*Sales!$A$5:INDEX(Sales!$A$5:$A$3004,TxRows))),0))</f>
        <v/>
      </c>
      <c r="X360" s="67" t="str">
        <f aca="false">IF($A360="","",IF(W360=0,AsOf-FYStart,AsOf-W360))</f>
        <v/>
      </c>
      <c r="Y360" s="67" t="str">
        <f aca="false">IF($A360="","",IF(M360=0,"",O360/(M360/MAX(1,AsOf-FYStart))))</f>
        <v/>
      </c>
      <c r="Z360" s="60" t="str">
        <f aca="false">IF($A360="","",U360+ROW()/1000000)</f>
        <v/>
      </c>
    </row>
    <row r="361" customFormat="false" ht="15" hidden="false" customHeight="false" outlineLevel="0" collapsed="false">
      <c r="A361" s="56"/>
      <c r="B361" s="56"/>
      <c r="C361" s="56"/>
      <c r="D361" s="56"/>
      <c r="E361" s="56"/>
      <c r="F361" s="63"/>
      <c r="G361" s="58"/>
      <c r="H361" s="58"/>
      <c r="I361" s="57"/>
      <c r="J361" s="57"/>
      <c r="K361" s="58"/>
      <c r="L361" s="64" t="str">
        <f aca="false">IF($A361="","",SUMIFS(Purchases!$E$5:INDEX(Purchases!$E$5:$E$3004,TxRows),Purchases!$D$5:INDEX(Purchases!$D$5:$D$3004,TxRows),$A361))</f>
        <v/>
      </c>
      <c r="M361" s="64" t="str">
        <f aca="false">IF($A361="","",SUMIFS(Sales!$E$5:INDEX(Sales!$E$5:$E$3004,TxRows),Sales!$D$5:INDEX(Sales!$D$5:$D$3004,TxRows),$A361))</f>
        <v/>
      </c>
      <c r="N361" s="64" t="str">
        <f aca="false">IF($A361="","",SUMIFS(Adjustments!$C$5:$C$504,Adjustments!$B$5:$B$504,$A361))</f>
        <v/>
      </c>
      <c r="O361" s="64" t="str">
        <f aca="false">IF($A361="","",N($J361)+L361-M361+N361)</f>
        <v/>
      </c>
      <c r="P361" s="61" t="str">
        <f aca="false">IF($A361="","",IFERROR((N($J361)*N($K361)+SUMIFS(Purchases!$K$5:INDEX(Purchases!$K$5:$K$3004,TxRows),Purchases!$D$5:INDEX(Purchases!$D$5:$D$3004,TxRows),$A361))/(N($J361)+L361),N($G361)))</f>
        <v/>
      </c>
      <c r="Q361" s="61" t="str">
        <f aca="false">IF($A361="","",MAX(0,O361)*P361)</f>
        <v/>
      </c>
      <c r="R361" s="60" t="str">
        <f aca="false">IF($A361="","",IF(O361&lt;0,"NEGATIVE",IF(O361=0,"OUT OF STOCK",IF(O361&lt;=N($I361),"REORDER",IF(AND(O361&gt;0,X361&gt;DeadDays),"DEAD STOCK","OK")))))</f>
        <v/>
      </c>
      <c r="S361" s="65" t="str">
        <f aca="false">IF($A361="","",IF(N($H361)=0,0,(N($H361)-P361)/N($H361)))</f>
        <v/>
      </c>
      <c r="T361" s="64" t="str">
        <f aca="false">IF($A361="","",IF(O361&lt;=N($I361),MAX(0,2*N($I361)-O361),0))</f>
        <v/>
      </c>
      <c r="U361" s="61" t="str">
        <f aca="false">IF($A361="","",SUMIFS(Sales!$L$5:INDEX(Sales!$L$5:$L$3004,TxRows),Sales!$D$5:INDEX(Sales!$D$5:$D$3004,TxRows),$A361))</f>
        <v/>
      </c>
      <c r="V361" s="61" t="str">
        <f aca="false">IF($A361="","",SUMIFS(Sales!$S$5:INDEX(Sales!$S$5:$S$3004,TxRows),Sales!$D$5:INDEX(Sales!$D$5:$D$3004,TxRows),$A361))</f>
        <v/>
      </c>
      <c r="W361" s="66" t="str">
        <f aca="false">IF($A361="","",IFERROR(SUMPRODUCT(MAX((Sales!$D$5:INDEX(Sales!$D$5:$D$3004,TxRows)=$A361)*Sales!$A$5:INDEX(Sales!$A$5:$A$3004,TxRows))),0))</f>
        <v/>
      </c>
      <c r="X361" s="67" t="str">
        <f aca="false">IF($A361="","",IF(W361=0,AsOf-FYStart,AsOf-W361))</f>
        <v/>
      </c>
      <c r="Y361" s="67" t="str">
        <f aca="false">IF($A361="","",IF(M361=0,"",O361/(M361/MAX(1,AsOf-FYStart))))</f>
        <v/>
      </c>
      <c r="Z361" s="60" t="str">
        <f aca="false">IF($A361="","",U361+ROW()/1000000)</f>
        <v/>
      </c>
    </row>
    <row r="362" customFormat="false" ht="15" hidden="false" customHeight="false" outlineLevel="0" collapsed="false">
      <c r="A362" s="56"/>
      <c r="B362" s="56"/>
      <c r="C362" s="56"/>
      <c r="D362" s="56"/>
      <c r="E362" s="56"/>
      <c r="F362" s="63"/>
      <c r="G362" s="58"/>
      <c r="H362" s="58"/>
      <c r="I362" s="57"/>
      <c r="J362" s="57"/>
      <c r="K362" s="58"/>
      <c r="L362" s="64" t="str">
        <f aca="false">IF($A362="","",SUMIFS(Purchases!$E$5:INDEX(Purchases!$E$5:$E$3004,TxRows),Purchases!$D$5:INDEX(Purchases!$D$5:$D$3004,TxRows),$A362))</f>
        <v/>
      </c>
      <c r="M362" s="64" t="str">
        <f aca="false">IF($A362="","",SUMIFS(Sales!$E$5:INDEX(Sales!$E$5:$E$3004,TxRows),Sales!$D$5:INDEX(Sales!$D$5:$D$3004,TxRows),$A362))</f>
        <v/>
      </c>
      <c r="N362" s="64" t="str">
        <f aca="false">IF($A362="","",SUMIFS(Adjustments!$C$5:$C$504,Adjustments!$B$5:$B$504,$A362))</f>
        <v/>
      </c>
      <c r="O362" s="64" t="str">
        <f aca="false">IF($A362="","",N($J362)+L362-M362+N362)</f>
        <v/>
      </c>
      <c r="P362" s="61" t="str">
        <f aca="false">IF($A362="","",IFERROR((N($J362)*N($K362)+SUMIFS(Purchases!$K$5:INDEX(Purchases!$K$5:$K$3004,TxRows),Purchases!$D$5:INDEX(Purchases!$D$5:$D$3004,TxRows),$A362))/(N($J362)+L362),N($G362)))</f>
        <v/>
      </c>
      <c r="Q362" s="61" t="str">
        <f aca="false">IF($A362="","",MAX(0,O362)*P362)</f>
        <v/>
      </c>
      <c r="R362" s="60" t="str">
        <f aca="false">IF($A362="","",IF(O362&lt;0,"NEGATIVE",IF(O362=0,"OUT OF STOCK",IF(O362&lt;=N($I362),"REORDER",IF(AND(O362&gt;0,X362&gt;DeadDays),"DEAD STOCK","OK")))))</f>
        <v/>
      </c>
      <c r="S362" s="65" t="str">
        <f aca="false">IF($A362="","",IF(N($H362)=0,0,(N($H362)-P362)/N($H362)))</f>
        <v/>
      </c>
      <c r="T362" s="64" t="str">
        <f aca="false">IF($A362="","",IF(O362&lt;=N($I362),MAX(0,2*N($I362)-O362),0))</f>
        <v/>
      </c>
      <c r="U362" s="61" t="str">
        <f aca="false">IF($A362="","",SUMIFS(Sales!$L$5:INDEX(Sales!$L$5:$L$3004,TxRows),Sales!$D$5:INDEX(Sales!$D$5:$D$3004,TxRows),$A362))</f>
        <v/>
      </c>
      <c r="V362" s="61" t="str">
        <f aca="false">IF($A362="","",SUMIFS(Sales!$S$5:INDEX(Sales!$S$5:$S$3004,TxRows),Sales!$D$5:INDEX(Sales!$D$5:$D$3004,TxRows),$A362))</f>
        <v/>
      </c>
      <c r="W362" s="66" t="str">
        <f aca="false">IF($A362="","",IFERROR(SUMPRODUCT(MAX((Sales!$D$5:INDEX(Sales!$D$5:$D$3004,TxRows)=$A362)*Sales!$A$5:INDEX(Sales!$A$5:$A$3004,TxRows))),0))</f>
        <v/>
      </c>
      <c r="X362" s="67" t="str">
        <f aca="false">IF($A362="","",IF(W362=0,AsOf-FYStart,AsOf-W362))</f>
        <v/>
      </c>
      <c r="Y362" s="67" t="str">
        <f aca="false">IF($A362="","",IF(M362=0,"",O362/(M362/MAX(1,AsOf-FYStart))))</f>
        <v/>
      </c>
      <c r="Z362" s="60" t="str">
        <f aca="false">IF($A362="","",U362+ROW()/1000000)</f>
        <v/>
      </c>
    </row>
    <row r="363" customFormat="false" ht="15" hidden="false" customHeight="false" outlineLevel="0" collapsed="false">
      <c r="A363" s="56"/>
      <c r="B363" s="56"/>
      <c r="C363" s="56"/>
      <c r="D363" s="56"/>
      <c r="E363" s="56"/>
      <c r="F363" s="63"/>
      <c r="G363" s="58"/>
      <c r="H363" s="58"/>
      <c r="I363" s="57"/>
      <c r="J363" s="57"/>
      <c r="K363" s="58"/>
      <c r="L363" s="64" t="str">
        <f aca="false">IF($A363="","",SUMIFS(Purchases!$E$5:INDEX(Purchases!$E$5:$E$3004,TxRows),Purchases!$D$5:INDEX(Purchases!$D$5:$D$3004,TxRows),$A363))</f>
        <v/>
      </c>
      <c r="M363" s="64" t="str">
        <f aca="false">IF($A363="","",SUMIFS(Sales!$E$5:INDEX(Sales!$E$5:$E$3004,TxRows),Sales!$D$5:INDEX(Sales!$D$5:$D$3004,TxRows),$A363))</f>
        <v/>
      </c>
      <c r="N363" s="64" t="str">
        <f aca="false">IF($A363="","",SUMIFS(Adjustments!$C$5:$C$504,Adjustments!$B$5:$B$504,$A363))</f>
        <v/>
      </c>
      <c r="O363" s="64" t="str">
        <f aca="false">IF($A363="","",N($J363)+L363-M363+N363)</f>
        <v/>
      </c>
      <c r="P363" s="61" t="str">
        <f aca="false">IF($A363="","",IFERROR((N($J363)*N($K363)+SUMIFS(Purchases!$K$5:INDEX(Purchases!$K$5:$K$3004,TxRows),Purchases!$D$5:INDEX(Purchases!$D$5:$D$3004,TxRows),$A363))/(N($J363)+L363),N($G363)))</f>
        <v/>
      </c>
      <c r="Q363" s="61" t="str">
        <f aca="false">IF($A363="","",MAX(0,O363)*P363)</f>
        <v/>
      </c>
      <c r="R363" s="60" t="str">
        <f aca="false">IF($A363="","",IF(O363&lt;0,"NEGATIVE",IF(O363=0,"OUT OF STOCK",IF(O363&lt;=N($I363),"REORDER",IF(AND(O363&gt;0,X363&gt;DeadDays),"DEAD STOCK","OK")))))</f>
        <v/>
      </c>
      <c r="S363" s="65" t="str">
        <f aca="false">IF($A363="","",IF(N($H363)=0,0,(N($H363)-P363)/N($H363)))</f>
        <v/>
      </c>
      <c r="T363" s="64" t="str">
        <f aca="false">IF($A363="","",IF(O363&lt;=N($I363),MAX(0,2*N($I363)-O363),0))</f>
        <v/>
      </c>
      <c r="U363" s="61" t="str">
        <f aca="false">IF($A363="","",SUMIFS(Sales!$L$5:INDEX(Sales!$L$5:$L$3004,TxRows),Sales!$D$5:INDEX(Sales!$D$5:$D$3004,TxRows),$A363))</f>
        <v/>
      </c>
      <c r="V363" s="61" t="str">
        <f aca="false">IF($A363="","",SUMIFS(Sales!$S$5:INDEX(Sales!$S$5:$S$3004,TxRows),Sales!$D$5:INDEX(Sales!$D$5:$D$3004,TxRows),$A363))</f>
        <v/>
      </c>
      <c r="W363" s="66" t="str">
        <f aca="false">IF($A363="","",IFERROR(SUMPRODUCT(MAX((Sales!$D$5:INDEX(Sales!$D$5:$D$3004,TxRows)=$A363)*Sales!$A$5:INDEX(Sales!$A$5:$A$3004,TxRows))),0))</f>
        <v/>
      </c>
      <c r="X363" s="67" t="str">
        <f aca="false">IF($A363="","",IF(W363=0,AsOf-FYStart,AsOf-W363))</f>
        <v/>
      </c>
      <c r="Y363" s="67" t="str">
        <f aca="false">IF($A363="","",IF(M363=0,"",O363/(M363/MAX(1,AsOf-FYStart))))</f>
        <v/>
      </c>
      <c r="Z363" s="60" t="str">
        <f aca="false">IF($A363="","",U363+ROW()/1000000)</f>
        <v/>
      </c>
    </row>
    <row r="364" customFormat="false" ht="15" hidden="false" customHeight="false" outlineLevel="0" collapsed="false">
      <c r="A364" s="56"/>
      <c r="B364" s="56"/>
      <c r="C364" s="56"/>
      <c r="D364" s="56"/>
      <c r="E364" s="56"/>
      <c r="F364" s="63"/>
      <c r="G364" s="58"/>
      <c r="H364" s="58"/>
      <c r="I364" s="57"/>
      <c r="J364" s="57"/>
      <c r="K364" s="58"/>
      <c r="L364" s="64" t="str">
        <f aca="false">IF($A364="","",SUMIFS(Purchases!$E$5:INDEX(Purchases!$E$5:$E$3004,TxRows),Purchases!$D$5:INDEX(Purchases!$D$5:$D$3004,TxRows),$A364))</f>
        <v/>
      </c>
      <c r="M364" s="64" t="str">
        <f aca="false">IF($A364="","",SUMIFS(Sales!$E$5:INDEX(Sales!$E$5:$E$3004,TxRows),Sales!$D$5:INDEX(Sales!$D$5:$D$3004,TxRows),$A364))</f>
        <v/>
      </c>
      <c r="N364" s="64" t="str">
        <f aca="false">IF($A364="","",SUMIFS(Adjustments!$C$5:$C$504,Adjustments!$B$5:$B$504,$A364))</f>
        <v/>
      </c>
      <c r="O364" s="64" t="str">
        <f aca="false">IF($A364="","",N($J364)+L364-M364+N364)</f>
        <v/>
      </c>
      <c r="P364" s="61" t="str">
        <f aca="false">IF($A364="","",IFERROR((N($J364)*N($K364)+SUMIFS(Purchases!$K$5:INDEX(Purchases!$K$5:$K$3004,TxRows),Purchases!$D$5:INDEX(Purchases!$D$5:$D$3004,TxRows),$A364))/(N($J364)+L364),N($G364)))</f>
        <v/>
      </c>
      <c r="Q364" s="61" t="str">
        <f aca="false">IF($A364="","",MAX(0,O364)*P364)</f>
        <v/>
      </c>
      <c r="R364" s="60" t="str">
        <f aca="false">IF($A364="","",IF(O364&lt;0,"NEGATIVE",IF(O364=0,"OUT OF STOCK",IF(O364&lt;=N($I364),"REORDER",IF(AND(O364&gt;0,X364&gt;DeadDays),"DEAD STOCK","OK")))))</f>
        <v/>
      </c>
      <c r="S364" s="65" t="str">
        <f aca="false">IF($A364="","",IF(N($H364)=0,0,(N($H364)-P364)/N($H364)))</f>
        <v/>
      </c>
      <c r="T364" s="64" t="str">
        <f aca="false">IF($A364="","",IF(O364&lt;=N($I364),MAX(0,2*N($I364)-O364),0))</f>
        <v/>
      </c>
      <c r="U364" s="61" t="str">
        <f aca="false">IF($A364="","",SUMIFS(Sales!$L$5:INDEX(Sales!$L$5:$L$3004,TxRows),Sales!$D$5:INDEX(Sales!$D$5:$D$3004,TxRows),$A364))</f>
        <v/>
      </c>
      <c r="V364" s="61" t="str">
        <f aca="false">IF($A364="","",SUMIFS(Sales!$S$5:INDEX(Sales!$S$5:$S$3004,TxRows),Sales!$D$5:INDEX(Sales!$D$5:$D$3004,TxRows),$A364))</f>
        <v/>
      </c>
      <c r="W364" s="66" t="str">
        <f aca="false">IF($A364="","",IFERROR(SUMPRODUCT(MAX((Sales!$D$5:INDEX(Sales!$D$5:$D$3004,TxRows)=$A364)*Sales!$A$5:INDEX(Sales!$A$5:$A$3004,TxRows))),0))</f>
        <v/>
      </c>
      <c r="X364" s="67" t="str">
        <f aca="false">IF($A364="","",IF(W364=0,AsOf-FYStart,AsOf-W364))</f>
        <v/>
      </c>
      <c r="Y364" s="67" t="str">
        <f aca="false">IF($A364="","",IF(M364=0,"",O364/(M364/MAX(1,AsOf-FYStart))))</f>
        <v/>
      </c>
      <c r="Z364" s="60" t="str">
        <f aca="false">IF($A364="","",U364+ROW()/1000000)</f>
        <v/>
      </c>
    </row>
    <row r="365" customFormat="false" ht="15" hidden="false" customHeight="false" outlineLevel="0" collapsed="false">
      <c r="A365" s="56"/>
      <c r="B365" s="56"/>
      <c r="C365" s="56"/>
      <c r="D365" s="56"/>
      <c r="E365" s="56"/>
      <c r="F365" s="63"/>
      <c r="G365" s="58"/>
      <c r="H365" s="58"/>
      <c r="I365" s="57"/>
      <c r="J365" s="57"/>
      <c r="K365" s="58"/>
      <c r="L365" s="64" t="str">
        <f aca="false">IF($A365="","",SUMIFS(Purchases!$E$5:INDEX(Purchases!$E$5:$E$3004,TxRows),Purchases!$D$5:INDEX(Purchases!$D$5:$D$3004,TxRows),$A365))</f>
        <v/>
      </c>
      <c r="M365" s="64" t="str">
        <f aca="false">IF($A365="","",SUMIFS(Sales!$E$5:INDEX(Sales!$E$5:$E$3004,TxRows),Sales!$D$5:INDEX(Sales!$D$5:$D$3004,TxRows),$A365))</f>
        <v/>
      </c>
      <c r="N365" s="64" t="str">
        <f aca="false">IF($A365="","",SUMIFS(Adjustments!$C$5:$C$504,Adjustments!$B$5:$B$504,$A365))</f>
        <v/>
      </c>
      <c r="O365" s="64" t="str">
        <f aca="false">IF($A365="","",N($J365)+L365-M365+N365)</f>
        <v/>
      </c>
      <c r="P365" s="61" t="str">
        <f aca="false">IF($A365="","",IFERROR((N($J365)*N($K365)+SUMIFS(Purchases!$K$5:INDEX(Purchases!$K$5:$K$3004,TxRows),Purchases!$D$5:INDEX(Purchases!$D$5:$D$3004,TxRows),$A365))/(N($J365)+L365),N($G365)))</f>
        <v/>
      </c>
      <c r="Q365" s="61" t="str">
        <f aca="false">IF($A365="","",MAX(0,O365)*P365)</f>
        <v/>
      </c>
      <c r="R365" s="60" t="str">
        <f aca="false">IF($A365="","",IF(O365&lt;0,"NEGATIVE",IF(O365=0,"OUT OF STOCK",IF(O365&lt;=N($I365),"REORDER",IF(AND(O365&gt;0,X365&gt;DeadDays),"DEAD STOCK","OK")))))</f>
        <v/>
      </c>
      <c r="S365" s="65" t="str">
        <f aca="false">IF($A365="","",IF(N($H365)=0,0,(N($H365)-P365)/N($H365)))</f>
        <v/>
      </c>
      <c r="T365" s="64" t="str">
        <f aca="false">IF($A365="","",IF(O365&lt;=N($I365),MAX(0,2*N($I365)-O365),0))</f>
        <v/>
      </c>
      <c r="U365" s="61" t="str">
        <f aca="false">IF($A365="","",SUMIFS(Sales!$L$5:INDEX(Sales!$L$5:$L$3004,TxRows),Sales!$D$5:INDEX(Sales!$D$5:$D$3004,TxRows),$A365))</f>
        <v/>
      </c>
      <c r="V365" s="61" t="str">
        <f aca="false">IF($A365="","",SUMIFS(Sales!$S$5:INDEX(Sales!$S$5:$S$3004,TxRows),Sales!$D$5:INDEX(Sales!$D$5:$D$3004,TxRows),$A365))</f>
        <v/>
      </c>
      <c r="W365" s="66" t="str">
        <f aca="false">IF($A365="","",IFERROR(SUMPRODUCT(MAX((Sales!$D$5:INDEX(Sales!$D$5:$D$3004,TxRows)=$A365)*Sales!$A$5:INDEX(Sales!$A$5:$A$3004,TxRows))),0))</f>
        <v/>
      </c>
      <c r="X365" s="67" t="str">
        <f aca="false">IF($A365="","",IF(W365=0,AsOf-FYStart,AsOf-W365))</f>
        <v/>
      </c>
      <c r="Y365" s="67" t="str">
        <f aca="false">IF($A365="","",IF(M365=0,"",O365/(M365/MAX(1,AsOf-FYStart))))</f>
        <v/>
      </c>
      <c r="Z365" s="60" t="str">
        <f aca="false">IF($A365="","",U365+ROW()/1000000)</f>
        <v/>
      </c>
    </row>
    <row r="366" customFormat="false" ht="15" hidden="false" customHeight="false" outlineLevel="0" collapsed="false">
      <c r="A366" s="56"/>
      <c r="B366" s="56"/>
      <c r="C366" s="56"/>
      <c r="D366" s="56"/>
      <c r="E366" s="56"/>
      <c r="F366" s="63"/>
      <c r="G366" s="58"/>
      <c r="H366" s="58"/>
      <c r="I366" s="57"/>
      <c r="J366" s="57"/>
      <c r="K366" s="58"/>
      <c r="L366" s="64" t="str">
        <f aca="false">IF($A366="","",SUMIFS(Purchases!$E$5:INDEX(Purchases!$E$5:$E$3004,TxRows),Purchases!$D$5:INDEX(Purchases!$D$5:$D$3004,TxRows),$A366))</f>
        <v/>
      </c>
      <c r="M366" s="64" t="str">
        <f aca="false">IF($A366="","",SUMIFS(Sales!$E$5:INDEX(Sales!$E$5:$E$3004,TxRows),Sales!$D$5:INDEX(Sales!$D$5:$D$3004,TxRows),$A366))</f>
        <v/>
      </c>
      <c r="N366" s="64" t="str">
        <f aca="false">IF($A366="","",SUMIFS(Adjustments!$C$5:$C$504,Adjustments!$B$5:$B$504,$A366))</f>
        <v/>
      </c>
      <c r="O366" s="64" t="str">
        <f aca="false">IF($A366="","",N($J366)+L366-M366+N366)</f>
        <v/>
      </c>
      <c r="P366" s="61" t="str">
        <f aca="false">IF($A366="","",IFERROR((N($J366)*N($K366)+SUMIFS(Purchases!$K$5:INDEX(Purchases!$K$5:$K$3004,TxRows),Purchases!$D$5:INDEX(Purchases!$D$5:$D$3004,TxRows),$A366))/(N($J366)+L366),N($G366)))</f>
        <v/>
      </c>
      <c r="Q366" s="61" t="str">
        <f aca="false">IF($A366="","",MAX(0,O366)*P366)</f>
        <v/>
      </c>
      <c r="R366" s="60" t="str">
        <f aca="false">IF($A366="","",IF(O366&lt;0,"NEGATIVE",IF(O366=0,"OUT OF STOCK",IF(O366&lt;=N($I366),"REORDER",IF(AND(O366&gt;0,X366&gt;DeadDays),"DEAD STOCK","OK")))))</f>
        <v/>
      </c>
      <c r="S366" s="65" t="str">
        <f aca="false">IF($A366="","",IF(N($H366)=0,0,(N($H366)-P366)/N($H366)))</f>
        <v/>
      </c>
      <c r="T366" s="64" t="str">
        <f aca="false">IF($A366="","",IF(O366&lt;=N($I366),MAX(0,2*N($I366)-O366),0))</f>
        <v/>
      </c>
      <c r="U366" s="61" t="str">
        <f aca="false">IF($A366="","",SUMIFS(Sales!$L$5:INDEX(Sales!$L$5:$L$3004,TxRows),Sales!$D$5:INDEX(Sales!$D$5:$D$3004,TxRows),$A366))</f>
        <v/>
      </c>
      <c r="V366" s="61" t="str">
        <f aca="false">IF($A366="","",SUMIFS(Sales!$S$5:INDEX(Sales!$S$5:$S$3004,TxRows),Sales!$D$5:INDEX(Sales!$D$5:$D$3004,TxRows),$A366))</f>
        <v/>
      </c>
      <c r="W366" s="66" t="str">
        <f aca="false">IF($A366="","",IFERROR(SUMPRODUCT(MAX((Sales!$D$5:INDEX(Sales!$D$5:$D$3004,TxRows)=$A366)*Sales!$A$5:INDEX(Sales!$A$5:$A$3004,TxRows))),0))</f>
        <v/>
      </c>
      <c r="X366" s="67" t="str">
        <f aca="false">IF($A366="","",IF(W366=0,AsOf-FYStart,AsOf-W366))</f>
        <v/>
      </c>
      <c r="Y366" s="67" t="str">
        <f aca="false">IF($A366="","",IF(M366=0,"",O366/(M366/MAX(1,AsOf-FYStart))))</f>
        <v/>
      </c>
      <c r="Z366" s="60" t="str">
        <f aca="false">IF($A366="","",U366+ROW()/1000000)</f>
        <v/>
      </c>
    </row>
    <row r="367" customFormat="false" ht="15" hidden="false" customHeight="false" outlineLevel="0" collapsed="false">
      <c r="A367" s="56"/>
      <c r="B367" s="56"/>
      <c r="C367" s="56"/>
      <c r="D367" s="56"/>
      <c r="E367" s="56"/>
      <c r="F367" s="63"/>
      <c r="G367" s="58"/>
      <c r="H367" s="58"/>
      <c r="I367" s="57"/>
      <c r="J367" s="57"/>
      <c r="K367" s="58"/>
      <c r="L367" s="64" t="str">
        <f aca="false">IF($A367="","",SUMIFS(Purchases!$E$5:INDEX(Purchases!$E$5:$E$3004,TxRows),Purchases!$D$5:INDEX(Purchases!$D$5:$D$3004,TxRows),$A367))</f>
        <v/>
      </c>
      <c r="M367" s="64" t="str">
        <f aca="false">IF($A367="","",SUMIFS(Sales!$E$5:INDEX(Sales!$E$5:$E$3004,TxRows),Sales!$D$5:INDEX(Sales!$D$5:$D$3004,TxRows),$A367))</f>
        <v/>
      </c>
      <c r="N367" s="64" t="str">
        <f aca="false">IF($A367="","",SUMIFS(Adjustments!$C$5:$C$504,Adjustments!$B$5:$B$504,$A367))</f>
        <v/>
      </c>
      <c r="O367" s="64" t="str">
        <f aca="false">IF($A367="","",N($J367)+L367-M367+N367)</f>
        <v/>
      </c>
      <c r="P367" s="61" t="str">
        <f aca="false">IF($A367="","",IFERROR((N($J367)*N($K367)+SUMIFS(Purchases!$K$5:INDEX(Purchases!$K$5:$K$3004,TxRows),Purchases!$D$5:INDEX(Purchases!$D$5:$D$3004,TxRows),$A367))/(N($J367)+L367),N($G367)))</f>
        <v/>
      </c>
      <c r="Q367" s="61" t="str">
        <f aca="false">IF($A367="","",MAX(0,O367)*P367)</f>
        <v/>
      </c>
      <c r="R367" s="60" t="str">
        <f aca="false">IF($A367="","",IF(O367&lt;0,"NEGATIVE",IF(O367=0,"OUT OF STOCK",IF(O367&lt;=N($I367),"REORDER",IF(AND(O367&gt;0,X367&gt;DeadDays),"DEAD STOCK","OK")))))</f>
        <v/>
      </c>
      <c r="S367" s="65" t="str">
        <f aca="false">IF($A367="","",IF(N($H367)=0,0,(N($H367)-P367)/N($H367)))</f>
        <v/>
      </c>
      <c r="T367" s="64" t="str">
        <f aca="false">IF($A367="","",IF(O367&lt;=N($I367),MAX(0,2*N($I367)-O367),0))</f>
        <v/>
      </c>
      <c r="U367" s="61" t="str">
        <f aca="false">IF($A367="","",SUMIFS(Sales!$L$5:INDEX(Sales!$L$5:$L$3004,TxRows),Sales!$D$5:INDEX(Sales!$D$5:$D$3004,TxRows),$A367))</f>
        <v/>
      </c>
      <c r="V367" s="61" t="str">
        <f aca="false">IF($A367="","",SUMIFS(Sales!$S$5:INDEX(Sales!$S$5:$S$3004,TxRows),Sales!$D$5:INDEX(Sales!$D$5:$D$3004,TxRows),$A367))</f>
        <v/>
      </c>
      <c r="W367" s="66" t="str">
        <f aca="false">IF($A367="","",IFERROR(SUMPRODUCT(MAX((Sales!$D$5:INDEX(Sales!$D$5:$D$3004,TxRows)=$A367)*Sales!$A$5:INDEX(Sales!$A$5:$A$3004,TxRows))),0))</f>
        <v/>
      </c>
      <c r="X367" s="67" t="str">
        <f aca="false">IF($A367="","",IF(W367=0,AsOf-FYStart,AsOf-W367))</f>
        <v/>
      </c>
      <c r="Y367" s="67" t="str">
        <f aca="false">IF($A367="","",IF(M367=0,"",O367/(M367/MAX(1,AsOf-FYStart))))</f>
        <v/>
      </c>
      <c r="Z367" s="60" t="str">
        <f aca="false">IF($A367="","",U367+ROW()/1000000)</f>
        <v/>
      </c>
    </row>
    <row r="368" customFormat="false" ht="15" hidden="false" customHeight="false" outlineLevel="0" collapsed="false">
      <c r="A368" s="56"/>
      <c r="B368" s="56"/>
      <c r="C368" s="56"/>
      <c r="D368" s="56"/>
      <c r="E368" s="56"/>
      <c r="F368" s="63"/>
      <c r="G368" s="58"/>
      <c r="H368" s="58"/>
      <c r="I368" s="57"/>
      <c r="J368" s="57"/>
      <c r="K368" s="58"/>
      <c r="L368" s="64" t="str">
        <f aca="false">IF($A368="","",SUMIFS(Purchases!$E$5:INDEX(Purchases!$E$5:$E$3004,TxRows),Purchases!$D$5:INDEX(Purchases!$D$5:$D$3004,TxRows),$A368))</f>
        <v/>
      </c>
      <c r="M368" s="64" t="str">
        <f aca="false">IF($A368="","",SUMIFS(Sales!$E$5:INDEX(Sales!$E$5:$E$3004,TxRows),Sales!$D$5:INDEX(Sales!$D$5:$D$3004,TxRows),$A368))</f>
        <v/>
      </c>
      <c r="N368" s="64" t="str">
        <f aca="false">IF($A368="","",SUMIFS(Adjustments!$C$5:$C$504,Adjustments!$B$5:$B$504,$A368))</f>
        <v/>
      </c>
      <c r="O368" s="64" t="str">
        <f aca="false">IF($A368="","",N($J368)+L368-M368+N368)</f>
        <v/>
      </c>
      <c r="P368" s="61" t="str">
        <f aca="false">IF($A368="","",IFERROR((N($J368)*N($K368)+SUMIFS(Purchases!$K$5:INDEX(Purchases!$K$5:$K$3004,TxRows),Purchases!$D$5:INDEX(Purchases!$D$5:$D$3004,TxRows),$A368))/(N($J368)+L368),N($G368)))</f>
        <v/>
      </c>
      <c r="Q368" s="61" t="str">
        <f aca="false">IF($A368="","",MAX(0,O368)*P368)</f>
        <v/>
      </c>
      <c r="R368" s="60" t="str">
        <f aca="false">IF($A368="","",IF(O368&lt;0,"NEGATIVE",IF(O368=0,"OUT OF STOCK",IF(O368&lt;=N($I368),"REORDER",IF(AND(O368&gt;0,X368&gt;DeadDays),"DEAD STOCK","OK")))))</f>
        <v/>
      </c>
      <c r="S368" s="65" t="str">
        <f aca="false">IF($A368="","",IF(N($H368)=0,0,(N($H368)-P368)/N($H368)))</f>
        <v/>
      </c>
      <c r="T368" s="64" t="str">
        <f aca="false">IF($A368="","",IF(O368&lt;=N($I368),MAX(0,2*N($I368)-O368),0))</f>
        <v/>
      </c>
      <c r="U368" s="61" t="str">
        <f aca="false">IF($A368="","",SUMIFS(Sales!$L$5:INDEX(Sales!$L$5:$L$3004,TxRows),Sales!$D$5:INDEX(Sales!$D$5:$D$3004,TxRows),$A368))</f>
        <v/>
      </c>
      <c r="V368" s="61" t="str">
        <f aca="false">IF($A368="","",SUMIFS(Sales!$S$5:INDEX(Sales!$S$5:$S$3004,TxRows),Sales!$D$5:INDEX(Sales!$D$5:$D$3004,TxRows),$A368))</f>
        <v/>
      </c>
      <c r="W368" s="66" t="str">
        <f aca="false">IF($A368="","",IFERROR(SUMPRODUCT(MAX((Sales!$D$5:INDEX(Sales!$D$5:$D$3004,TxRows)=$A368)*Sales!$A$5:INDEX(Sales!$A$5:$A$3004,TxRows))),0))</f>
        <v/>
      </c>
      <c r="X368" s="67" t="str">
        <f aca="false">IF($A368="","",IF(W368=0,AsOf-FYStart,AsOf-W368))</f>
        <v/>
      </c>
      <c r="Y368" s="67" t="str">
        <f aca="false">IF($A368="","",IF(M368=0,"",O368/(M368/MAX(1,AsOf-FYStart))))</f>
        <v/>
      </c>
      <c r="Z368" s="60" t="str">
        <f aca="false">IF($A368="","",U368+ROW()/1000000)</f>
        <v/>
      </c>
    </row>
    <row r="369" customFormat="false" ht="15" hidden="false" customHeight="false" outlineLevel="0" collapsed="false">
      <c r="A369" s="56"/>
      <c r="B369" s="56"/>
      <c r="C369" s="56"/>
      <c r="D369" s="56"/>
      <c r="E369" s="56"/>
      <c r="F369" s="63"/>
      <c r="G369" s="58"/>
      <c r="H369" s="58"/>
      <c r="I369" s="57"/>
      <c r="J369" s="57"/>
      <c r="K369" s="58"/>
      <c r="L369" s="64" t="str">
        <f aca="false">IF($A369="","",SUMIFS(Purchases!$E$5:INDEX(Purchases!$E$5:$E$3004,TxRows),Purchases!$D$5:INDEX(Purchases!$D$5:$D$3004,TxRows),$A369))</f>
        <v/>
      </c>
      <c r="M369" s="64" t="str">
        <f aca="false">IF($A369="","",SUMIFS(Sales!$E$5:INDEX(Sales!$E$5:$E$3004,TxRows),Sales!$D$5:INDEX(Sales!$D$5:$D$3004,TxRows),$A369))</f>
        <v/>
      </c>
      <c r="N369" s="64" t="str">
        <f aca="false">IF($A369="","",SUMIFS(Adjustments!$C$5:$C$504,Adjustments!$B$5:$B$504,$A369))</f>
        <v/>
      </c>
      <c r="O369" s="64" t="str">
        <f aca="false">IF($A369="","",N($J369)+L369-M369+N369)</f>
        <v/>
      </c>
      <c r="P369" s="61" t="str">
        <f aca="false">IF($A369="","",IFERROR((N($J369)*N($K369)+SUMIFS(Purchases!$K$5:INDEX(Purchases!$K$5:$K$3004,TxRows),Purchases!$D$5:INDEX(Purchases!$D$5:$D$3004,TxRows),$A369))/(N($J369)+L369),N($G369)))</f>
        <v/>
      </c>
      <c r="Q369" s="61" t="str">
        <f aca="false">IF($A369="","",MAX(0,O369)*P369)</f>
        <v/>
      </c>
      <c r="R369" s="60" t="str">
        <f aca="false">IF($A369="","",IF(O369&lt;0,"NEGATIVE",IF(O369=0,"OUT OF STOCK",IF(O369&lt;=N($I369),"REORDER",IF(AND(O369&gt;0,X369&gt;DeadDays),"DEAD STOCK","OK")))))</f>
        <v/>
      </c>
      <c r="S369" s="65" t="str">
        <f aca="false">IF($A369="","",IF(N($H369)=0,0,(N($H369)-P369)/N($H369)))</f>
        <v/>
      </c>
      <c r="T369" s="64" t="str">
        <f aca="false">IF($A369="","",IF(O369&lt;=N($I369),MAX(0,2*N($I369)-O369),0))</f>
        <v/>
      </c>
      <c r="U369" s="61" t="str">
        <f aca="false">IF($A369="","",SUMIFS(Sales!$L$5:INDEX(Sales!$L$5:$L$3004,TxRows),Sales!$D$5:INDEX(Sales!$D$5:$D$3004,TxRows),$A369))</f>
        <v/>
      </c>
      <c r="V369" s="61" t="str">
        <f aca="false">IF($A369="","",SUMIFS(Sales!$S$5:INDEX(Sales!$S$5:$S$3004,TxRows),Sales!$D$5:INDEX(Sales!$D$5:$D$3004,TxRows),$A369))</f>
        <v/>
      </c>
      <c r="W369" s="66" t="str">
        <f aca="false">IF($A369="","",IFERROR(SUMPRODUCT(MAX((Sales!$D$5:INDEX(Sales!$D$5:$D$3004,TxRows)=$A369)*Sales!$A$5:INDEX(Sales!$A$5:$A$3004,TxRows))),0))</f>
        <v/>
      </c>
      <c r="X369" s="67" t="str">
        <f aca="false">IF($A369="","",IF(W369=0,AsOf-FYStart,AsOf-W369))</f>
        <v/>
      </c>
      <c r="Y369" s="67" t="str">
        <f aca="false">IF($A369="","",IF(M369=0,"",O369/(M369/MAX(1,AsOf-FYStart))))</f>
        <v/>
      </c>
      <c r="Z369" s="60" t="str">
        <f aca="false">IF($A369="","",U369+ROW()/1000000)</f>
        <v/>
      </c>
    </row>
    <row r="370" customFormat="false" ht="15" hidden="false" customHeight="false" outlineLevel="0" collapsed="false">
      <c r="A370" s="56"/>
      <c r="B370" s="56"/>
      <c r="C370" s="56"/>
      <c r="D370" s="56"/>
      <c r="E370" s="56"/>
      <c r="F370" s="63"/>
      <c r="G370" s="58"/>
      <c r="H370" s="58"/>
      <c r="I370" s="57"/>
      <c r="J370" s="57"/>
      <c r="K370" s="58"/>
      <c r="L370" s="64" t="str">
        <f aca="false">IF($A370="","",SUMIFS(Purchases!$E$5:INDEX(Purchases!$E$5:$E$3004,TxRows),Purchases!$D$5:INDEX(Purchases!$D$5:$D$3004,TxRows),$A370))</f>
        <v/>
      </c>
      <c r="M370" s="64" t="str">
        <f aca="false">IF($A370="","",SUMIFS(Sales!$E$5:INDEX(Sales!$E$5:$E$3004,TxRows),Sales!$D$5:INDEX(Sales!$D$5:$D$3004,TxRows),$A370))</f>
        <v/>
      </c>
      <c r="N370" s="64" t="str">
        <f aca="false">IF($A370="","",SUMIFS(Adjustments!$C$5:$C$504,Adjustments!$B$5:$B$504,$A370))</f>
        <v/>
      </c>
      <c r="O370" s="64" t="str">
        <f aca="false">IF($A370="","",N($J370)+L370-M370+N370)</f>
        <v/>
      </c>
      <c r="P370" s="61" t="str">
        <f aca="false">IF($A370="","",IFERROR((N($J370)*N($K370)+SUMIFS(Purchases!$K$5:INDEX(Purchases!$K$5:$K$3004,TxRows),Purchases!$D$5:INDEX(Purchases!$D$5:$D$3004,TxRows),$A370))/(N($J370)+L370),N($G370)))</f>
        <v/>
      </c>
      <c r="Q370" s="61" t="str">
        <f aca="false">IF($A370="","",MAX(0,O370)*P370)</f>
        <v/>
      </c>
      <c r="R370" s="60" t="str">
        <f aca="false">IF($A370="","",IF(O370&lt;0,"NEGATIVE",IF(O370=0,"OUT OF STOCK",IF(O370&lt;=N($I370),"REORDER",IF(AND(O370&gt;0,X370&gt;DeadDays),"DEAD STOCK","OK")))))</f>
        <v/>
      </c>
      <c r="S370" s="65" t="str">
        <f aca="false">IF($A370="","",IF(N($H370)=0,0,(N($H370)-P370)/N($H370)))</f>
        <v/>
      </c>
      <c r="T370" s="64" t="str">
        <f aca="false">IF($A370="","",IF(O370&lt;=N($I370),MAX(0,2*N($I370)-O370),0))</f>
        <v/>
      </c>
      <c r="U370" s="61" t="str">
        <f aca="false">IF($A370="","",SUMIFS(Sales!$L$5:INDEX(Sales!$L$5:$L$3004,TxRows),Sales!$D$5:INDEX(Sales!$D$5:$D$3004,TxRows),$A370))</f>
        <v/>
      </c>
      <c r="V370" s="61" t="str">
        <f aca="false">IF($A370="","",SUMIFS(Sales!$S$5:INDEX(Sales!$S$5:$S$3004,TxRows),Sales!$D$5:INDEX(Sales!$D$5:$D$3004,TxRows),$A370))</f>
        <v/>
      </c>
      <c r="W370" s="66" t="str">
        <f aca="false">IF($A370="","",IFERROR(SUMPRODUCT(MAX((Sales!$D$5:INDEX(Sales!$D$5:$D$3004,TxRows)=$A370)*Sales!$A$5:INDEX(Sales!$A$5:$A$3004,TxRows))),0))</f>
        <v/>
      </c>
      <c r="X370" s="67" t="str">
        <f aca="false">IF($A370="","",IF(W370=0,AsOf-FYStart,AsOf-W370))</f>
        <v/>
      </c>
      <c r="Y370" s="67" t="str">
        <f aca="false">IF($A370="","",IF(M370=0,"",O370/(M370/MAX(1,AsOf-FYStart))))</f>
        <v/>
      </c>
      <c r="Z370" s="60" t="str">
        <f aca="false">IF($A370="","",U370+ROW()/1000000)</f>
        <v/>
      </c>
    </row>
    <row r="371" customFormat="false" ht="15" hidden="false" customHeight="false" outlineLevel="0" collapsed="false">
      <c r="A371" s="56"/>
      <c r="B371" s="56"/>
      <c r="C371" s="56"/>
      <c r="D371" s="56"/>
      <c r="E371" s="56"/>
      <c r="F371" s="63"/>
      <c r="G371" s="58"/>
      <c r="H371" s="58"/>
      <c r="I371" s="57"/>
      <c r="J371" s="57"/>
      <c r="K371" s="58"/>
      <c r="L371" s="64" t="str">
        <f aca="false">IF($A371="","",SUMIFS(Purchases!$E$5:INDEX(Purchases!$E$5:$E$3004,TxRows),Purchases!$D$5:INDEX(Purchases!$D$5:$D$3004,TxRows),$A371))</f>
        <v/>
      </c>
      <c r="M371" s="64" t="str">
        <f aca="false">IF($A371="","",SUMIFS(Sales!$E$5:INDEX(Sales!$E$5:$E$3004,TxRows),Sales!$D$5:INDEX(Sales!$D$5:$D$3004,TxRows),$A371))</f>
        <v/>
      </c>
      <c r="N371" s="64" t="str">
        <f aca="false">IF($A371="","",SUMIFS(Adjustments!$C$5:$C$504,Adjustments!$B$5:$B$504,$A371))</f>
        <v/>
      </c>
      <c r="O371" s="64" t="str">
        <f aca="false">IF($A371="","",N($J371)+L371-M371+N371)</f>
        <v/>
      </c>
      <c r="P371" s="61" t="str">
        <f aca="false">IF($A371="","",IFERROR((N($J371)*N($K371)+SUMIFS(Purchases!$K$5:INDEX(Purchases!$K$5:$K$3004,TxRows),Purchases!$D$5:INDEX(Purchases!$D$5:$D$3004,TxRows),$A371))/(N($J371)+L371),N($G371)))</f>
        <v/>
      </c>
      <c r="Q371" s="61" t="str">
        <f aca="false">IF($A371="","",MAX(0,O371)*P371)</f>
        <v/>
      </c>
      <c r="R371" s="60" t="str">
        <f aca="false">IF($A371="","",IF(O371&lt;0,"NEGATIVE",IF(O371=0,"OUT OF STOCK",IF(O371&lt;=N($I371),"REORDER",IF(AND(O371&gt;0,X371&gt;DeadDays),"DEAD STOCK","OK")))))</f>
        <v/>
      </c>
      <c r="S371" s="65" t="str">
        <f aca="false">IF($A371="","",IF(N($H371)=0,0,(N($H371)-P371)/N($H371)))</f>
        <v/>
      </c>
      <c r="T371" s="64" t="str">
        <f aca="false">IF($A371="","",IF(O371&lt;=N($I371),MAX(0,2*N($I371)-O371),0))</f>
        <v/>
      </c>
      <c r="U371" s="61" t="str">
        <f aca="false">IF($A371="","",SUMIFS(Sales!$L$5:INDEX(Sales!$L$5:$L$3004,TxRows),Sales!$D$5:INDEX(Sales!$D$5:$D$3004,TxRows),$A371))</f>
        <v/>
      </c>
      <c r="V371" s="61" t="str">
        <f aca="false">IF($A371="","",SUMIFS(Sales!$S$5:INDEX(Sales!$S$5:$S$3004,TxRows),Sales!$D$5:INDEX(Sales!$D$5:$D$3004,TxRows),$A371))</f>
        <v/>
      </c>
      <c r="W371" s="66" t="str">
        <f aca="false">IF($A371="","",IFERROR(SUMPRODUCT(MAX((Sales!$D$5:INDEX(Sales!$D$5:$D$3004,TxRows)=$A371)*Sales!$A$5:INDEX(Sales!$A$5:$A$3004,TxRows))),0))</f>
        <v/>
      </c>
      <c r="X371" s="67" t="str">
        <f aca="false">IF($A371="","",IF(W371=0,AsOf-FYStart,AsOf-W371))</f>
        <v/>
      </c>
      <c r="Y371" s="67" t="str">
        <f aca="false">IF($A371="","",IF(M371=0,"",O371/(M371/MAX(1,AsOf-FYStart))))</f>
        <v/>
      </c>
      <c r="Z371" s="60" t="str">
        <f aca="false">IF($A371="","",U371+ROW()/1000000)</f>
        <v/>
      </c>
    </row>
    <row r="372" customFormat="false" ht="15" hidden="false" customHeight="false" outlineLevel="0" collapsed="false">
      <c r="A372" s="56"/>
      <c r="B372" s="56"/>
      <c r="C372" s="56"/>
      <c r="D372" s="56"/>
      <c r="E372" s="56"/>
      <c r="F372" s="63"/>
      <c r="G372" s="58"/>
      <c r="H372" s="58"/>
      <c r="I372" s="57"/>
      <c r="J372" s="57"/>
      <c r="K372" s="58"/>
      <c r="L372" s="64" t="str">
        <f aca="false">IF($A372="","",SUMIFS(Purchases!$E$5:INDEX(Purchases!$E$5:$E$3004,TxRows),Purchases!$D$5:INDEX(Purchases!$D$5:$D$3004,TxRows),$A372))</f>
        <v/>
      </c>
      <c r="M372" s="64" t="str">
        <f aca="false">IF($A372="","",SUMIFS(Sales!$E$5:INDEX(Sales!$E$5:$E$3004,TxRows),Sales!$D$5:INDEX(Sales!$D$5:$D$3004,TxRows),$A372))</f>
        <v/>
      </c>
      <c r="N372" s="64" t="str">
        <f aca="false">IF($A372="","",SUMIFS(Adjustments!$C$5:$C$504,Adjustments!$B$5:$B$504,$A372))</f>
        <v/>
      </c>
      <c r="O372" s="64" t="str">
        <f aca="false">IF($A372="","",N($J372)+L372-M372+N372)</f>
        <v/>
      </c>
      <c r="P372" s="61" t="str">
        <f aca="false">IF($A372="","",IFERROR((N($J372)*N($K372)+SUMIFS(Purchases!$K$5:INDEX(Purchases!$K$5:$K$3004,TxRows),Purchases!$D$5:INDEX(Purchases!$D$5:$D$3004,TxRows),$A372))/(N($J372)+L372),N($G372)))</f>
        <v/>
      </c>
      <c r="Q372" s="61" t="str">
        <f aca="false">IF($A372="","",MAX(0,O372)*P372)</f>
        <v/>
      </c>
      <c r="R372" s="60" t="str">
        <f aca="false">IF($A372="","",IF(O372&lt;0,"NEGATIVE",IF(O372=0,"OUT OF STOCK",IF(O372&lt;=N($I372),"REORDER",IF(AND(O372&gt;0,X372&gt;DeadDays),"DEAD STOCK","OK")))))</f>
        <v/>
      </c>
      <c r="S372" s="65" t="str">
        <f aca="false">IF($A372="","",IF(N($H372)=0,0,(N($H372)-P372)/N($H372)))</f>
        <v/>
      </c>
      <c r="T372" s="64" t="str">
        <f aca="false">IF($A372="","",IF(O372&lt;=N($I372),MAX(0,2*N($I372)-O372),0))</f>
        <v/>
      </c>
      <c r="U372" s="61" t="str">
        <f aca="false">IF($A372="","",SUMIFS(Sales!$L$5:INDEX(Sales!$L$5:$L$3004,TxRows),Sales!$D$5:INDEX(Sales!$D$5:$D$3004,TxRows),$A372))</f>
        <v/>
      </c>
      <c r="V372" s="61" t="str">
        <f aca="false">IF($A372="","",SUMIFS(Sales!$S$5:INDEX(Sales!$S$5:$S$3004,TxRows),Sales!$D$5:INDEX(Sales!$D$5:$D$3004,TxRows),$A372))</f>
        <v/>
      </c>
      <c r="W372" s="66" t="str">
        <f aca="false">IF($A372="","",IFERROR(SUMPRODUCT(MAX((Sales!$D$5:INDEX(Sales!$D$5:$D$3004,TxRows)=$A372)*Sales!$A$5:INDEX(Sales!$A$5:$A$3004,TxRows))),0))</f>
        <v/>
      </c>
      <c r="X372" s="67" t="str">
        <f aca="false">IF($A372="","",IF(W372=0,AsOf-FYStart,AsOf-W372))</f>
        <v/>
      </c>
      <c r="Y372" s="67" t="str">
        <f aca="false">IF($A372="","",IF(M372=0,"",O372/(M372/MAX(1,AsOf-FYStart))))</f>
        <v/>
      </c>
      <c r="Z372" s="60" t="str">
        <f aca="false">IF($A372="","",U372+ROW()/1000000)</f>
        <v/>
      </c>
    </row>
    <row r="373" customFormat="false" ht="15" hidden="false" customHeight="false" outlineLevel="0" collapsed="false">
      <c r="A373" s="56"/>
      <c r="B373" s="56"/>
      <c r="C373" s="56"/>
      <c r="D373" s="56"/>
      <c r="E373" s="56"/>
      <c r="F373" s="63"/>
      <c r="G373" s="58"/>
      <c r="H373" s="58"/>
      <c r="I373" s="57"/>
      <c r="J373" s="57"/>
      <c r="K373" s="58"/>
      <c r="L373" s="64" t="str">
        <f aca="false">IF($A373="","",SUMIFS(Purchases!$E$5:INDEX(Purchases!$E$5:$E$3004,TxRows),Purchases!$D$5:INDEX(Purchases!$D$5:$D$3004,TxRows),$A373))</f>
        <v/>
      </c>
      <c r="M373" s="64" t="str">
        <f aca="false">IF($A373="","",SUMIFS(Sales!$E$5:INDEX(Sales!$E$5:$E$3004,TxRows),Sales!$D$5:INDEX(Sales!$D$5:$D$3004,TxRows),$A373))</f>
        <v/>
      </c>
      <c r="N373" s="64" t="str">
        <f aca="false">IF($A373="","",SUMIFS(Adjustments!$C$5:$C$504,Adjustments!$B$5:$B$504,$A373))</f>
        <v/>
      </c>
      <c r="O373" s="64" t="str">
        <f aca="false">IF($A373="","",N($J373)+L373-M373+N373)</f>
        <v/>
      </c>
      <c r="P373" s="61" t="str">
        <f aca="false">IF($A373="","",IFERROR((N($J373)*N($K373)+SUMIFS(Purchases!$K$5:INDEX(Purchases!$K$5:$K$3004,TxRows),Purchases!$D$5:INDEX(Purchases!$D$5:$D$3004,TxRows),$A373))/(N($J373)+L373),N($G373)))</f>
        <v/>
      </c>
      <c r="Q373" s="61" t="str">
        <f aca="false">IF($A373="","",MAX(0,O373)*P373)</f>
        <v/>
      </c>
      <c r="R373" s="60" t="str">
        <f aca="false">IF($A373="","",IF(O373&lt;0,"NEGATIVE",IF(O373=0,"OUT OF STOCK",IF(O373&lt;=N($I373),"REORDER",IF(AND(O373&gt;0,X373&gt;DeadDays),"DEAD STOCK","OK")))))</f>
        <v/>
      </c>
      <c r="S373" s="65" t="str">
        <f aca="false">IF($A373="","",IF(N($H373)=0,0,(N($H373)-P373)/N($H373)))</f>
        <v/>
      </c>
      <c r="T373" s="64" t="str">
        <f aca="false">IF($A373="","",IF(O373&lt;=N($I373),MAX(0,2*N($I373)-O373),0))</f>
        <v/>
      </c>
      <c r="U373" s="61" t="str">
        <f aca="false">IF($A373="","",SUMIFS(Sales!$L$5:INDEX(Sales!$L$5:$L$3004,TxRows),Sales!$D$5:INDEX(Sales!$D$5:$D$3004,TxRows),$A373))</f>
        <v/>
      </c>
      <c r="V373" s="61" t="str">
        <f aca="false">IF($A373="","",SUMIFS(Sales!$S$5:INDEX(Sales!$S$5:$S$3004,TxRows),Sales!$D$5:INDEX(Sales!$D$5:$D$3004,TxRows),$A373))</f>
        <v/>
      </c>
      <c r="W373" s="66" t="str">
        <f aca="false">IF($A373="","",IFERROR(SUMPRODUCT(MAX((Sales!$D$5:INDEX(Sales!$D$5:$D$3004,TxRows)=$A373)*Sales!$A$5:INDEX(Sales!$A$5:$A$3004,TxRows))),0))</f>
        <v/>
      </c>
      <c r="X373" s="67" t="str">
        <f aca="false">IF($A373="","",IF(W373=0,AsOf-FYStart,AsOf-W373))</f>
        <v/>
      </c>
      <c r="Y373" s="67" t="str">
        <f aca="false">IF($A373="","",IF(M373=0,"",O373/(M373/MAX(1,AsOf-FYStart))))</f>
        <v/>
      </c>
      <c r="Z373" s="60" t="str">
        <f aca="false">IF($A373="","",U373+ROW()/1000000)</f>
        <v/>
      </c>
    </row>
    <row r="374" customFormat="false" ht="15" hidden="false" customHeight="false" outlineLevel="0" collapsed="false">
      <c r="A374" s="56"/>
      <c r="B374" s="56"/>
      <c r="C374" s="56"/>
      <c r="D374" s="56"/>
      <c r="E374" s="56"/>
      <c r="F374" s="63"/>
      <c r="G374" s="58"/>
      <c r="H374" s="58"/>
      <c r="I374" s="57"/>
      <c r="J374" s="57"/>
      <c r="K374" s="58"/>
      <c r="L374" s="64" t="str">
        <f aca="false">IF($A374="","",SUMIFS(Purchases!$E$5:INDEX(Purchases!$E$5:$E$3004,TxRows),Purchases!$D$5:INDEX(Purchases!$D$5:$D$3004,TxRows),$A374))</f>
        <v/>
      </c>
      <c r="M374" s="64" t="str">
        <f aca="false">IF($A374="","",SUMIFS(Sales!$E$5:INDEX(Sales!$E$5:$E$3004,TxRows),Sales!$D$5:INDEX(Sales!$D$5:$D$3004,TxRows),$A374))</f>
        <v/>
      </c>
      <c r="N374" s="64" t="str">
        <f aca="false">IF($A374="","",SUMIFS(Adjustments!$C$5:$C$504,Adjustments!$B$5:$B$504,$A374))</f>
        <v/>
      </c>
      <c r="O374" s="64" t="str">
        <f aca="false">IF($A374="","",N($J374)+L374-M374+N374)</f>
        <v/>
      </c>
      <c r="P374" s="61" t="str">
        <f aca="false">IF($A374="","",IFERROR((N($J374)*N($K374)+SUMIFS(Purchases!$K$5:INDEX(Purchases!$K$5:$K$3004,TxRows),Purchases!$D$5:INDEX(Purchases!$D$5:$D$3004,TxRows),$A374))/(N($J374)+L374),N($G374)))</f>
        <v/>
      </c>
      <c r="Q374" s="61" t="str">
        <f aca="false">IF($A374="","",MAX(0,O374)*P374)</f>
        <v/>
      </c>
      <c r="R374" s="60" t="str">
        <f aca="false">IF($A374="","",IF(O374&lt;0,"NEGATIVE",IF(O374=0,"OUT OF STOCK",IF(O374&lt;=N($I374),"REORDER",IF(AND(O374&gt;0,X374&gt;DeadDays),"DEAD STOCK","OK")))))</f>
        <v/>
      </c>
      <c r="S374" s="65" t="str">
        <f aca="false">IF($A374="","",IF(N($H374)=0,0,(N($H374)-P374)/N($H374)))</f>
        <v/>
      </c>
      <c r="T374" s="64" t="str">
        <f aca="false">IF($A374="","",IF(O374&lt;=N($I374),MAX(0,2*N($I374)-O374),0))</f>
        <v/>
      </c>
      <c r="U374" s="61" t="str">
        <f aca="false">IF($A374="","",SUMIFS(Sales!$L$5:INDEX(Sales!$L$5:$L$3004,TxRows),Sales!$D$5:INDEX(Sales!$D$5:$D$3004,TxRows),$A374))</f>
        <v/>
      </c>
      <c r="V374" s="61" t="str">
        <f aca="false">IF($A374="","",SUMIFS(Sales!$S$5:INDEX(Sales!$S$5:$S$3004,TxRows),Sales!$D$5:INDEX(Sales!$D$5:$D$3004,TxRows),$A374))</f>
        <v/>
      </c>
      <c r="W374" s="66" t="str">
        <f aca="false">IF($A374="","",IFERROR(SUMPRODUCT(MAX((Sales!$D$5:INDEX(Sales!$D$5:$D$3004,TxRows)=$A374)*Sales!$A$5:INDEX(Sales!$A$5:$A$3004,TxRows))),0))</f>
        <v/>
      </c>
      <c r="X374" s="67" t="str">
        <f aca="false">IF($A374="","",IF(W374=0,AsOf-FYStart,AsOf-W374))</f>
        <v/>
      </c>
      <c r="Y374" s="67" t="str">
        <f aca="false">IF($A374="","",IF(M374=0,"",O374/(M374/MAX(1,AsOf-FYStart))))</f>
        <v/>
      </c>
      <c r="Z374" s="60" t="str">
        <f aca="false">IF($A374="","",U374+ROW()/1000000)</f>
        <v/>
      </c>
    </row>
    <row r="375" customFormat="false" ht="15" hidden="false" customHeight="false" outlineLevel="0" collapsed="false">
      <c r="A375" s="56"/>
      <c r="B375" s="56"/>
      <c r="C375" s="56"/>
      <c r="D375" s="56"/>
      <c r="E375" s="56"/>
      <c r="F375" s="63"/>
      <c r="G375" s="58"/>
      <c r="H375" s="58"/>
      <c r="I375" s="57"/>
      <c r="J375" s="57"/>
      <c r="K375" s="58"/>
      <c r="L375" s="64" t="str">
        <f aca="false">IF($A375="","",SUMIFS(Purchases!$E$5:INDEX(Purchases!$E$5:$E$3004,TxRows),Purchases!$D$5:INDEX(Purchases!$D$5:$D$3004,TxRows),$A375))</f>
        <v/>
      </c>
      <c r="M375" s="64" t="str">
        <f aca="false">IF($A375="","",SUMIFS(Sales!$E$5:INDEX(Sales!$E$5:$E$3004,TxRows),Sales!$D$5:INDEX(Sales!$D$5:$D$3004,TxRows),$A375))</f>
        <v/>
      </c>
      <c r="N375" s="64" t="str">
        <f aca="false">IF($A375="","",SUMIFS(Adjustments!$C$5:$C$504,Adjustments!$B$5:$B$504,$A375))</f>
        <v/>
      </c>
      <c r="O375" s="64" t="str">
        <f aca="false">IF($A375="","",N($J375)+L375-M375+N375)</f>
        <v/>
      </c>
      <c r="P375" s="61" t="str">
        <f aca="false">IF($A375="","",IFERROR((N($J375)*N($K375)+SUMIFS(Purchases!$K$5:INDEX(Purchases!$K$5:$K$3004,TxRows),Purchases!$D$5:INDEX(Purchases!$D$5:$D$3004,TxRows),$A375))/(N($J375)+L375),N($G375)))</f>
        <v/>
      </c>
      <c r="Q375" s="61" t="str">
        <f aca="false">IF($A375="","",MAX(0,O375)*P375)</f>
        <v/>
      </c>
      <c r="R375" s="60" t="str">
        <f aca="false">IF($A375="","",IF(O375&lt;0,"NEGATIVE",IF(O375=0,"OUT OF STOCK",IF(O375&lt;=N($I375),"REORDER",IF(AND(O375&gt;0,X375&gt;DeadDays),"DEAD STOCK","OK")))))</f>
        <v/>
      </c>
      <c r="S375" s="65" t="str">
        <f aca="false">IF($A375="","",IF(N($H375)=0,0,(N($H375)-P375)/N($H375)))</f>
        <v/>
      </c>
      <c r="T375" s="64" t="str">
        <f aca="false">IF($A375="","",IF(O375&lt;=N($I375),MAX(0,2*N($I375)-O375),0))</f>
        <v/>
      </c>
      <c r="U375" s="61" t="str">
        <f aca="false">IF($A375="","",SUMIFS(Sales!$L$5:INDEX(Sales!$L$5:$L$3004,TxRows),Sales!$D$5:INDEX(Sales!$D$5:$D$3004,TxRows),$A375))</f>
        <v/>
      </c>
      <c r="V375" s="61" t="str">
        <f aca="false">IF($A375="","",SUMIFS(Sales!$S$5:INDEX(Sales!$S$5:$S$3004,TxRows),Sales!$D$5:INDEX(Sales!$D$5:$D$3004,TxRows),$A375))</f>
        <v/>
      </c>
      <c r="W375" s="66" t="str">
        <f aca="false">IF($A375="","",IFERROR(SUMPRODUCT(MAX((Sales!$D$5:INDEX(Sales!$D$5:$D$3004,TxRows)=$A375)*Sales!$A$5:INDEX(Sales!$A$5:$A$3004,TxRows))),0))</f>
        <v/>
      </c>
      <c r="X375" s="67" t="str">
        <f aca="false">IF($A375="","",IF(W375=0,AsOf-FYStart,AsOf-W375))</f>
        <v/>
      </c>
      <c r="Y375" s="67" t="str">
        <f aca="false">IF($A375="","",IF(M375=0,"",O375/(M375/MAX(1,AsOf-FYStart))))</f>
        <v/>
      </c>
      <c r="Z375" s="60" t="str">
        <f aca="false">IF($A375="","",U375+ROW()/1000000)</f>
        <v/>
      </c>
    </row>
    <row r="376" customFormat="false" ht="15" hidden="false" customHeight="false" outlineLevel="0" collapsed="false">
      <c r="A376" s="56"/>
      <c r="B376" s="56"/>
      <c r="C376" s="56"/>
      <c r="D376" s="56"/>
      <c r="E376" s="56"/>
      <c r="F376" s="63"/>
      <c r="G376" s="58"/>
      <c r="H376" s="58"/>
      <c r="I376" s="57"/>
      <c r="J376" s="57"/>
      <c r="K376" s="58"/>
      <c r="L376" s="64" t="str">
        <f aca="false">IF($A376="","",SUMIFS(Purchases!$E$5:INDEX(Purchases!$E$5:$E$3004,TxRows),Purchases!$D$5:INDEX(Purchases!$D$5:$D$3004,TxRows),$A376))</f>
        <v/>
      </c>
      <c r="M376" s="64" t="str">
        <f aca="false">IF($A376="","",SUMIFS(Sales!$E$5:INDEX(Sales!$E$5:$E$3004,TxRows),Sales!$D$5:INDEX(Sales!$D$5:$D$3004,TxRows),$A376))</f>
        <v/>
      </c>
      <c r="N376" s="64" t="str">
        <f aca="false">IF($A376="","",SUMIFS(Adjustments!$C$5:$C$504,Adjustments!$B$5:$B$504,$A376))</f>
        <v/>
      </c>
      <c r="O376" s="64" t="str">
        <f aca="false">IF($A376="","",N($J376)+L376-M376+N376)</f>
        <v/>
      </c>
      <c r="P376" s="61" t="str">
        <f aca="false">IF($A376="","",IFERROR((N($J376)*N($K376)+SUMIFS(Purchases!$K$5:INDEX(Purchases!$K$5:$K$3004,TxRows),Purchases!$D$5:INDEX(Purchases!$D$5:$D$3004,TxRows),$A376))/(N($J376)+L376),N($G376)))</f>
        <v/>
      </c>
      <c r="Q376" s="61" t="str">
        <f aca="false">IF($A376="","",MAX(0,O376)*P376)</f>
        <v/>
      </c>
      <c r="R376" s="60" t="str">
        <f aca="false">IF($A376="","",IF(O376&lt;0,"NEGATIVE",IF(O376=0,"OUT OF STOCK",IF(O376&lt;=N($I376),"REORDER",IF(AND(O376&gt;0,X376&gt;DeadDays),"DEAD STOCK","OK")))))</f>
        <v/>
      </c>
      <c r="S376" s="65" t="str">
        <f aca="false">IF($A376="","",IF(N($H376)=0,0,(N($H376)-P376)/N($H376)))</f>
        <v/>
      </c>
      <c r="T376" s="64" t="str">
        <f aca="false">IF($A376="","",IF(O376&lt;=N($I376),MAX(0,2*N($I376)-O376),0))</f>
        <v/>
      </c>
      <c r="U376" s="61" t="str">
        <f aca="false">IF($A376="","",SUMIFS(Sales!$L$5:INDEX(Sales!$L$5:$L$3004,TxRows),Sales!$D$5:INDEX(Sales!$D$5:$D$3004,TxRows),$A376))</f>
        <v/>
      </c>
      <c r="V376" s="61" t="str">
        <f aca="false">IF($A376="","",SUMIFS(Sales!$S$5:INDEX(Sales!$S$5:$S$3004,TxRows),Sales!$D$5:INDEX(Sales!$D$5:$D$3004,TxRows),$A376))</f>
        <v/>
      </c>
      <c r="W376" s="66" t="str">
        <f aca="false">IF($A376="","",IFERROR(SUMPRODUCT(MAX((Sales!$D$5:INDEX(Sales!$D$5:$D$3004,TxRows)=$A376)*Sales!$A$5:INDEX(Sales!$A$5:$A$3004,TxRows))),0))</f>
        <v/>
      </c>
      <c r="X376" s="67" t="str">
        <f aca="false">IF($A376="","",IF(W376=0,AsOf-FYStart,AsOf-W376))</f>
        <v/>
      </c>
      <c r="Y376" s="67" t="str">
        <f aca="false">IF($A376="","",IF(M376=0,"",O376/(M376/MAX(1,AsOf-FYStart))))</f>
        <v/>
      </c>
      <c r="Z376" s="60" t="str">
        <f aca="false">IF($A376="","",U376+ROW()/1000000)</f>
        <v/>
      </c>
    </row>
    <row r="377" customFormat="false" ht="15" hidden="false" customHeight="false" outlineLevel="0" collapsed="false">
      <c r="A377" s="56"/>
      <c r="B377" s="56"/>
      <c r="C377" s="56"/>
      <c r="D377" s="56"/>
      <c r="E377" s="56"/>
      <c r="F377" s="63"/>
      <c r="G377" s="58"/>
      <c r="H377" s="58"/>
      <c r="I377" s="57"/>
      <c r="J377" s="57"/>
      <c r="K377" s="58"/>
      <c r="L377" s="64" t="str">
        <f aca="false">IF($A377="","",SUMIFS(Purchases!$E$5:INDEX(Purchases!$E$5:$E$3004,TxRows),Purchases!$D$5:INDEX(Purchases!$D$5:$D$3004,TxRows),$A377))</f>
        <v/>
      </c>
      <c r="M377" s="64" t="str">
        <f aca="false">IF($A377="","",SUMIFS(Sales!$E$5:INDEX(Sales!$E$5:$E$3004,TxRows),Sales!$D$5:INDEX(Sales!$D$5:$D$3004,TxRows),$A377))</f>
        <v/>
      </c>
      <c r="N377" s="64" t="str">
        <f aca="false">IF($A377="","",SUMIFS(Adjustments!$C$5:$C$504,Adjustments!$B$5:$B$504,$A377))</f>
        <v/>
      </c>
      <c r="O377" s="64" t="str">
        <f aca="false">IF($A377="","",N($J377)+L377-M377+N377)</f>
        <v/>
      </c>
      <c r="P377" s="61" t="str">
        <f aca="false">IF($A377="","",IFERROR((N($J377)*N($K377)+SUMIFS(Purchases!$K$5:INDEX(Purchases!$K$5:$K$3004,TxRows),Purchases!$D$5:INDEX(Purchases!$D$5:$D$3004,TxRows),$A377))/(N($J377)+L377),N($G377)))</f>
        <v/>
      </c>
      <c r="Q377" s="61" t="str">
        <f aca="false">IF($A377="","",MAX(0,O377)*P377)</f>
        <v/>
      </c>
      <c r="R377" s="60" t="str">
        <f aca="false">IF($A377="","",IF(O377&lt;0,"NEGATIVE",IF(O377=0,"OUT OF STOCK",IF(O377&lt;=N($I377),"REORDER",IF(AND(O377&gt;0,X377&gt;DeadDays),"DEAD STOCK","OK")))))</f>
        <v/>
      </c>
      <c r="S377" s="65" t="str">
        <f aca="false">IF($A377="","",IF(N($H377)=0,0,(N($H377)-P377)/N($H377)))</f>
        <v/>
      </c>
      <c r="T377" s="64" t="str">
        <f aca="false">IF($A377="","",IF(O377&lt;=N($I377),MAX(0,2*N($I377)-O377),0))</f>
        <v/>
      </c>
      <c r="U377" s="61" t="str">
        <f aca="false">IF($A377="","",SUMIFS(Sales!$L$5:INDEX(Sales!$L$5:$L$3004,TxRows),Sales!$D$5:INDEX(Sales!$D$5:$D$3004,TxRows),$A377))</f>
        <v/>
      </c>
      <c r="V377" s="61" t="str">
        <f aca="false">IF($A377="","",SUMIFS(Sales!$S$5:INDEX(Sales!$S$5:$S$3004,TxRows),Sales!$D$5:INDEX(Sales!$D$5:$D$3004,TxRows),$A377))</f>
        <v/>
      </c>
      <c r="W377" s="66" t="str">
        <f aca="false">IF($A377="","",IFERROR(SUMPRODUCT(MAX((Sales!$D$5:INDEX(Sales!$D$5:$D$3004,TxRows)=$A377)*Sales!$A$5:INDEX(Sales!$A$5:$A$3004,TxRows))),0))</f>
        <v/>
      </c>
      <c r="X377" s="67" t="str">
        <f aca="false">IF($A377="","",IF(W377=0,AsOf-FYStart,AsOf-W377))</f>
        <v/>
      </c>
      <c r="Y377" s="67" t="str">
        <f aca="false">IF($A377="","",IF(M377=0,"",O377/(M377/MAX(1,AsOf-FYStart))))</f>
        <v/>
      </c>
      <c r="Z377" s="60" t="str">
        <f aca="false">IF($A377="","",U377+ROW()/1000000)</f>
        <v/>
      </c>
    </row>
    <row r="378" customFormat="false" ht="15" hidden="false" customHeight="false" outlineLevel="0" collapsed="false">
      <c r="A378" s="56"/>
      <c r="B378" s="56"/>
      <c r="C378" s="56"/>
      <c r="D378" s="56"/>
      <c r="E378" s="56"/>
      <c r="F378" s="63"/>
      <c r="G378" s="58"/>
      <c r="H378" s="58"/>
      <c r="I378" s="57"/>
      <c r="J378" s="57"/>
      <c r="K378" s="58"/>
      <c r="L378" s="64" t="str">
        <f aca="false">IF($A378="","",SUMIFS(Purchases!$E$5:INDEX(Purchases!$E$5:$E$3004,TxRows),Purchases!$D$5:INDEX(Purchases!$D$5:$D$3004,TxRows),$A378))</f>
        <v/>
      </c>
      <c r="M378" s="64" t="str">
        <f aca="false">IF($A378="","",SUMIFS(Sales!$E$5:INDEX(Sales!$E$5:$E$3004,TxRows),Sales!$D$5:INDEX(Sales!$D$5:$D$3004,TxRows),$A378))</f>
        <v/>
      </c>
      <c r="N378" s="64" t="str">
        <f aca="false">IF($A378="","",SUMIFS(Adjustments!$C$5:$C$504,Adjustments!$B$5:$B$504,$A378))</f>
        <v/>
      </c>
      <c r="O378" s="64" t="str">
        <f aca="false">IF($A378="","",N($J378)+L378-M378+N378)</f>
        <v/>
      </c>
      <c r="P378" s="61" t="str">
        <f aca="false">IF($A378="","",IFERROR((N($J378)*N($K378)+SUMIFS(Purchases!$K$5:INDEX(Purchases!$K$5:$K$3004,TxRows),Purchases!$D$5:INDEX(Purchases!$D$5:$D$3004,TxRows),$A378))/(N($J378)+L378),N($G378)))</f>
        <v/>
      </c>
      <c r="Q378" s="61" t="str">
        <f aca="false">IF($A378="","",MAX(0,O378)*P378)</f>
        <v/>
      </c>
      <c r="R378" s="60" t="str">
        <f aca="false">IF($A378="","",IF(O378&lt;0,"NEGATIVE",IF(O378=0,"OUT OF STOCK",IF(O378&lt;=N($I378),"REORDER",IF(AND(O378&gt;0,X378&gt;DeadDays),"DEAD STOCK","OK")))))</f>
        <v/>
      </c>
      <c r="S378" s="65" t="str">
        <f aca="false">IF($A378="","",IF(N($H378)=0,0,(N($H378)-P378)/N($H378)))</f>
        <v/>
      </c>
      <c r="T378" s="64" t="str">
        <f aca="false">IF($A378="","",IF(O378&lt;=N($I378),MAX(0,2*N($I378)-O378),0))</f>
        <v/>
      </c>
      <c r="U378" s="61" t="str">
        <f aca="false">IF($A378="","",SUMIFS(Sales!$L$5:INDEX(Sales!$L$5:$L$3004,TxRows),Sales!$D$5:INDEX(Sales!$D$5:$D$3004,TxRows),$A378))</f>
        <v/>
      </c>
      <c r="V378" s="61" t="str">
        <f aca="false">IF($A378="","",SUMIFS(Sales!$S$5:INDEX(Sales!$S$5:$S$3004,TxRows),Sales!$D$5:INDEX(Sales!$D$5:$D$3004,TxRows),$A378))</f>
        <v/>
      </c>
      <c r="W378" s="66" t="str">
        <f aca="false">IF($A378="","",IFERROR(SUMPRODUCT(MAX((Sales!$D$5:INDEX(Sales!$D$5:$D$3004,TxRows)=$A378)*Sales!$A$5:INDEX(Sales!$A$5:$A$3004,TxRows))),0))</f>
        <v/>
      </c>
      <c r="X378" s="67" t="str">
        <f aca="false">IF($A378="","",IF(W378=0,AsOf-FYStart,AsOf-W378))</f>
        <v/>
      </c>
      <c r="Y378" s="67" t="str">
        <f aca="false">IF($A378="","",IF(M378=0,"",O378/(M378/MAX(1,AsOf-FYStart))))</f>
        <v/>
      </c>
      <c r="Z378" s="60" t="str">
        <f aca="false">IF($A378="","",U378+ROW()/1000000)</f>
        <v/>
      </c>
    </row>
    <row r="379" customFormat="false" ht="15" hidden="false" customHeight="false" outlineLevel="0" collapsed="false">
      <c r="A379" s="56"/>
      <c r="B379" s="56"/>
      <c r="C379" s="56"/>
      <c r="D379" s="56"/>
      <c r="E379" s="56"/>
      <c r="F379" s="63"/>
      <c r="G379" s="58"/>
      <c r="H379" s="58"/>
      <c r="I379" s="57"/>
      <c r="J379" s="57"/>
      <c r="K379" s="58"/>
      <c r="L379" s="64" t="str">
        <f aca="false">IF($A379="","",SUMIFS(Purchases!$E$5:INDEX(Purchases!$E$5:$E$3004,TxRows),Purchases!$D$5:INDEX(Purchases!$D$5:$D$3004,TxRows),$A379))</f>
        <v/>
      </c>
      <c r="M379" s="64" t="str">
        <f aca="false">IF($A379="","",SUMIFS(Sales!$E$5:INDEX(Sales!$E$5:$E$3004,TxRows),Sales!$D$5:INDEX(Sales!$D$5:$D$3004,TxRows),$A379))</f>
        <v/>
      </c>
      <c r="N379" s="64" t="str">
        <f aca="false">IF($A379="","",SUMIFS(Adjustments!$C$5:$C$504,Adjustments!$B$5:$B$504,$A379))</f>
        <v/>
      </c>
      <c r="O379" s="64" t="str">
        <f aca="false">IF($A379="","",N($J379)+L379-M379+N379)</f>
        <v/>
      </c>
      <c r="P379" s="61" t="str">
        <f aca="false">IF($A379="","",IFERROR((N($J379)*N($K379)+SUMIFS(Purchases!$K$5:INDEX(Purchases!$K$5:$K$3004,TxRows),Purchases!$D$5:INDEX(Purchases!$D$5:$D$3004,TxRows),$A379))/(N($J379)+L379),N($G379)))</f>
        <v/>
      </c>
      <c r="Q379" s="61" t="str">
        <f aca="false">IF($A379="","",MAX(0,O379)*P379)</f>
        <v/>
      </c>
      <c r="R379" s="60" t="str">
        <f aca="false">IF($A379="","",IF(O379&lt;0,"NEGATIVE",IF(O379=0,"OUT OF STOCK",IF(O379&lt;=N($I379),"REORDER",IF(AND(O379&gt;0,X379&gt;DeadDays),"DEAD STOCK","OK")))))</f>
        <v/>
      </c>
      <c r="S379" s="65" t="str">
        <f aca="false">IF($A379="","",IF(N($H379)=0,0,(N($H379)-P379)/N($H379)))</f>
        <v/>
      </c>
      <c r="T379" s="64" t="str">
        <f aca="false">IF($A379="","",IF(O379&lt;=N($I379),MAX(0,2*N($I379)-O379),0))</f>
        <v/>
      </c>
      <c r="U379" s="61" t="str">
        <f aca="false">IF($A379="","",SUMIFS(Sales!$L$5:INDEX(Sales!$L$5:$L$3004,TxRows),Sales!$D$5:INDEX(Sales!$D$5:$D$3004,TxRows),$A379))</f>
        <v/>
      </c>
      <c r="V379" s="61" t="str">
        <f aca="false">IF($A379="","",SUMIFS(Sales!$S$5:INDEX(Sales!$S$5:$S$3004,TxRows),Sales!$D$5:INDEX(Sales!$D$5:$D$3004,TxRows),$A379))</f>
        <v/>
      </c>
      <c r="W379" s="66" t="str">
        <f aca="false">IF($A379="","",IFERROR(SUMPRODUCT(MAX((Sales!$D$5:INDEX(Sales!$D$5:$D$3004,TxRows)=$A379)*Sales!$A$5:INDEX(Sales!$A$5:$A$3004,TxRows))),0))</f>
        <v/>
      </c>
      <c r="X379" s="67" t="str">
        <f aca="false">IF($A379="","",IF(W379=0,AsOf-FYStart,AsOf-W379))</f>
        <v/>
      </c>
      <c r="Y379" s="67" t="str">
        <f aca="false">IF($A379="","",IF(M379=0,"",O379/(M379/MAX(1,AsOf-FYStart))))</f>
        <v/>
      </c>
      <c r="Z379" s="60" t="str">
        <f aca="false">IF($A379="","",U379+ROW()/1000000)</f>
        <v/>
      </c>
    </row>
    <row r="380" customFormat="false" ht="15" hidden="false" customHeight="false" outlineLevel="0" collapsed="false">
      <c r="A380" s="56"/>
      <c r="B380" s="56"/>
      <c r="C380" s="56"/>
      <c r="D380" s="56"/>
      <c r="E380" s="56"/>
      <c r="F380" s="63"/>
      <c r="G380" s="58"/>
      <c r="H380" s="58"/>
      <c r="I380" s="57"/>
      <c r="J380" s="57"/>
      <c r="K380" s="58"/>
      <c r="L380" s="64" t="str">
        <f aca="false">IF($A380="","",SUMIFS(Purchases!$E$5:INDEX(Purchases!$E$5:$E$3004,TxRows),Purchases!$D$5:INDEX(Purchases!$D$5:$D$3004,TxRows),$A380))</f>
        <v/>
      </c>
      <c r="M380" s="64" t="str">
        <f aca="false">IF($A380="","",SUMIFS(Sales!$E$5:INDEX(Sales!$E$5:$E$3004,TxRows),Sales!$D$5:INDEX(Sales!$D$5:$D$3004,TxRows),$A380))</f>
        <v/>
      </c>
      <c r="N380" s="64" t="str">
        <f aca="false">IF($A380="","",SUMIFS(Adjustments!$C$5:$C$504,Adjustments!$B$5:$B$504,$A380))</f>
        <v/>
      </c>
      <c r="O380" s="64" t="str">
        <f aca="false">IF($A380="","",N($J380)+L380-M380+N380)</f>
        <v/>
      </c>
      <c r="P380" s="61" t="str">
        <f aca="false">IF($A380="","",IFERROR((N($J380)*N($K380)+SUMIFS(Purchases!$K$5:INDEX(Purchases!$K$5:$K$3004,TxRows),Purchases!$D$5:INDEX(Purchases!$D$5:$D$3004,TxRows),$A380))/(N($J380)+L380),N($G380)))</f>
        <v/>
      </c>
      <c r="Q380" s="61" t="str">
        <f aca="false">IF($A380="","",MAX(0,O380)*P380)</f>
        <v/>
      </c>
      <c r="R380" s="60" t="str">
        <f aca="false">IF($A380="","",IF(O380&lt;0,"NEGATIVE",IF(O380=0,"OUT OF STOCK",IF(O380&lt;=N($I380),"REORDER",IF(AND(O380&gt;0,X380&gt;DeadDays),"DEAD STOCK","OK")))))</f>
        <v/>
      </c>
      <c r="S380" s="65" t="str">
        <f aca="false">IF($A380="","",IF(N($H380)=0,0,(N($H380)-P380)/N($H380)))</f>
        <v/>
      </c>
      <c r="T380" s="64" t="str">
        <f aca="false">IF($A380="","",IF(O380&lt;=N($I380),MAX(0,2*N($I380)-O380),0))</f>
        <v/>
      </c>
      <c r="U380" s="61" t="str">
        <f aca="false">IF($A380="","",SUMIFS(Sales!$L$5:INDEX(Sales!$L$5:$L$3004,TxRows),Sales!$D$5:INDEX(Sales!$D$5:$D$3004,TxRows),$A380))</f>
        <v/>
      </c>
      <c r="V380" s="61" t="str">
        <f aca="false">IF($A380="","",SUMIFS(Sales!$S$5:INDEX(Sales!$S$5:$S$3004,TxRows),Sales!$D$5:INDEX(Sales!$D$5:$D$3004,TxRows),$A380))</f>
        <v/>
      </c>
      <c r="W380" s="66" t="str">
        <f aca="false">IF($A380="","",IFERROR(SUMPRODUCT(MAX((Sales!$D$5:INDEX(Sales!$D$5:$D$3004,TxRows)=$A380)*Sales!$A$5:INDEX(Sales!$A$5:$A$3004,TxRows))),0))</f>
        <v/>
      </c>
      <c r="X380" s="67" t="str">
        <f aca="false">IF($A380="","",IF(W380=0,AsOf-FYStart,AsOf-W380))</f>
        <v/>
      </c>
      <c r="Y380" s="67" t="str">
        <f aca="false">IF($A380="","",IF(M380=0,"",O380/(M380/MAX(1,AsOf-FYStart))))</f>
        <v/>
      </c>
      <c r="Z380" s="60" t="str">
        <f aca="false">IF($A380="","",U380+ROW()/1000000)</f>
        <v/>
      </c>
    </row>
    <row r="381" customFormat="false" ht="15" hidden="false" customHeight="false" outlineLevel="0" collapsed="false">
      <c r="A381" s="56"/>
      <c r="B381" s="56"/>
      <c r="C381" s="56"/>
      <c r="D381" s="56"/>
      <c r="E381" s="56"/>
      <c r="F381" s="63"/>
      <c r="G381" s="58"/>
      <c r="H381" s="58"/>
      <c r="I381" s="57"/>
      <c r="J381" s="57"/>
      <c r="K381" s="58"/>
      <c r="L381" s="64" t="str">
        <f aca="false">IF($A381="","",SUMIFS(Purchases!$E$5:INDEX(Purchases!$E$5:$E$3004,TxRows),Purchases!$D$5:INDEX(Purchases!$D$5:$D$3004,TxRows),$A381))</f>
        <v/>
      </c>
      <c r="M381" s="64" t="str">
        <f aca="false">IF($A381="","",SUMIFS(Sales!$E$5:INDEX(Sales!$E$5:$E$3004,TxRows),Sales!$D$5:INDEX(Sales!$D$5:$D$3004,TxRows),$A381))</f>
        <v/>
      </c>
      <c r="N381" s="64" t="str">
        <f aca="false">IF($A381="","",SUMIFS(Adjustments!$C$5:$C$504,Adjustments!$B$5:$B$504,$A381))</f>
        <v/>
      </c>
      <c r="O381" s="64" t="str">
        <f aca="false">IF($A381="","",N($J381)+L381-M381+N381)</f>
        <v/>
      </c>
      <c r="P381" s="61" t="str">
        <f aca="false">IF($A381="","",IFERROR((N($J381)*N($K381)+SUMIFS(Purchases!$K$5:INDEX(Purchases!$K$5:$K$3004,TxRows),Purchases!$D$5:INDEX(Purchases!$D$5:$D$3004,TxRows),$A381))/(N($J381)+L381),N($G381)))</f>
        <v/>
      </c>
      <c r="Q381" s="61" t="str">
        <f aca="false">IF($A381="","",MAX(0,O381)*P381)</f>
        <v/>
      </c>
      <c r="R381" s="60" t="str">
        <f aca="false">IF($A381="","",IF(O381&lt;0,"NEGATIVE",IF(O381=0,"OUT OF STOCK",IF(O381&lt;=N($I381),"REORDER",IF(AND(O381&gt;0,X381&gt;DeadDays),"DEAD STOCK","OK")))))</f>
        <v/>
      </c>
      <c r="S381" s="65" t="str">
        <f aca="false">IF($A381="","",IF(N($H381)=0,0,(N($H381)-P381)/N($H381)))</f>
        <v/>
      </c>
      <c r="T381" s="64" t="str">
        <f aca="false">IF($A381="","",IF(O381&lt;=N($I381),MAX(0,2*N($I381)-O381),0))</f>
        <v/>
      </c>
      <c r="U381" s="61" t="str">
        <f aca="false">IF($A381="","",SUMIFS(Sales!$L$5:INDEX(Sales!$L$5:$L$3004,TxRows),Sales!$D$5:INDEX(Sales!$D$5:$D$3004,TxRows),$A381))</f>
        <v/>
      </c>
      <c r="V381" s="61" t="str">
        <f aca="false">IF($A381="","",SUMIFS(Sales!$S$5:INDEX(Sales!$S$5:$S$3004,TxRows),Sales!$D$5:INDEX(Sales!$D$5:$D$3004,TxRows),$A381))</f>
        <v/>
      </c>
      <c r="W381" s="66" t="str">
        <f aca="false">IF($A381="","",IFERROR(SUMPRODUCT(MAX((Sales!$D$5:INDEX(Sales!$D$5:$D$3004,TxRows)=$A381)*Sales!$A$5:INDEX(Sales!$A$5:$A$3004,TxRows))),0))</f>
        <v/>
      </c>
      <c r="X381" s="67" t="str">
        <f aca="false">IF($A381="","",IF(W381=0,AsOf-FYStart,AsOf-W381))</f>
        <v/>
      </c>
      <c r="Y381" s="67" t="str">
        <f aca="false">IF($A381="","",IF(M381=0,"",O381/(M381/MAX(1,AsOf-FYStart))))</f>
        <v/>
      </c>
      <c r="Z381" s="60" t="str">
        <f aca="false">IF($A381="","",U381+ROW()/1000000)</f>
        <v/>
      </c>
    </row>
    <row r="382" customFormat="false" ht="15" hidden="false" customHeight="false" outlineLevel="0" collapsed="false">
      <c r="A382" s="56"/>
      <c r="B382" s="56"/>
      <c r="C382" s="56"/>
      <c r="D382" s="56"/>
      <c r="E382" s="56"/>
      <c r="F382" s="63"/>
      <c r="G382" s="58"/>
      <c r="H382" s="58"/>
      <c r="I382" s="57"/>
      <c r="J382" s="57"/>
      <c r="K382" s="58"/>
      <c r="L382" s="64" t="str">
        <f aca="false">IF($A382="","",SUMIFS(Purchases!$E$5:INDEX(Purchases!$E$5:$E$3004,TxRows),Purchases!$D$5:INDEX(Purchases!$D$5:$D$3004,TxRows),$A382))</f>
        <v/>
      </c>
      <c r="M382" s="64" t="str">
        <f aca="false">IF($A382="","",SUMIFS(Sales!$E$5:INDEX(Sales!$E$5:$E$3004,TxRows),Sales!$D$5:INDEX(Sales!$D$5:$D$3004,TxRows),$A382))</f>
        <v/>
      </c>
      <c r="N382" s="64" t="str">
        <f aca="false">IF($A382="","",SUMIFS(Adjustments!$C$5:$C$504,Adjustments!$B$5:$B$504,$A382))</f>
        <v/>
      </c>
      <c r="O382" s="64" t="str">
        <f aca="false">IF($A382="","",N($J382)+L382-M382+N382)</f>
        <v/>
      </c>
      <c r="P382" s="61" t="str">
        <f aca="false">IF($A382="","",IFERROR((N($J382)*N($K382)+SUMIFS(Purchases!$K$5:INDEX(Purchases!$K$5:$K$3004,TxRows),Purchases!$D$5:INDEX(Purchases!$D$5:$D$3004,TxRows),$A382))/(N($J382)+L382),N($G382)))</f>
        <v/>
      </c>
      <c r="Q382" s="61" t="str">
        <f aca="false">IF($A382="","",MAX(0,O382)*P382)</f>
        <v/>
      </c>
      <c r="R382" s="60" t="str">
        <f aca="false">IF($A382="","",IF(O382&lt;0,"NEGATIVE",IF(O382=0,"OUT OF STOCK",IF(O382&lt;=N($I382),"REORDER",IF(AND(O382&gt;0,X382&gt;DeadDays),"DEAD STOCK","OK")))))</f>
        <v/>
      </c>
      <c r="S382" s="65" t="str">
        <f aca="false">IF($A382="","",IF(N($H382)=0,0,(N($H382)-P382)/N($H382)))</f>
        <v/>
      </c>
      <c r="T382" s="64" t="str">
        <f aca="false">IF($A382="","",IF(O382&lt;=N($I382),MAX(0,2*N($I382)-O382),0))</f>
        <v/>
      </c>
      <c r="U382" s="61" t="str">
        <f aca="false">IF($A382="","",SUMIFS(Sales!$L$5:INDEX(Sales!$L$5:$L$3004,TxRows),Sales!$D$5:INDEX(Sales!$D$5:$D$3004,TxRows),$A382))</f>
        <v/>
      </c>
      <c r="V382" s="61" t="str">
        <f aca="false">IF($A382="","",SUMIFS(Sales!$S$5:INDEX(Sales!$S$5:$S$3004,TxRows),Sales!$D$5:INDEX(Sales!$D$5:$D$3004,TxRows),$A382))</f>
        <v/>
      </c>
      <c r="W382" s="66" t="str">
        <f aca="false">IF($A382="","",IFERROR(SUMPRODUCT(MAX((Sales!$D$5:INDEX(Sales!$D$5:$D$3004,TxRows)=$A382)*Sales!$A$5:INDEX(Sales!$A$5:$A$3004,TxRows))),0))</f>
        <v/>
      </c>
      <c r="X382" s="67" t="str">
        <f aca="false">IF($A382="","",IF(W382=0,AsOf-FYStart,AsOf-W382))</f>
        <v/>
      </c>
      <c r="Y382" s="67" t="str">
        <f aca="false">IF($A382="","",IF(M382=0,"",O382/(M382/MAX(1,AsOf-FYStart))))</f>
        <v/>
      </c>
      <c r="Z382" s="60" t="str">
        <f aca="false">IF($A382="","",U382+ROW()/1000000)</f>
        <v/>
      </c>
    </row>
    <row r="383" customFormat="false" ht="15" hidden="false" customHeight="false" outlineLevel="0" collapsed="false">
      <c r="A383" s="56"/>
      <c r="B383" s="56"/>
      <c r="C383" s="56"/>
      <c r="D383" s="56"/>
      <c r="E383" s="56"/>
      <c r="F383" s="63"/>
      <c r="G383" s="58"/>
      <c r="H383" s="58"/>
      <c r="I383" s="57"/>
      <c r="J383" s="57"/>
      <c r="K383" s="58"/>
      <c r="L383" s="64" t="str">
        <f aca="false">IF($A383="","",SUMIFS(Purchases!$E$5:INDEX(Purchases!$E$5:$E$3004,TxRows),Purchases!$D$5:INDEX(Purchases!$D$5:$D$3004,TxRows),$A383))</f>
        <v/>
      </c>
      <c r="M383" s="64" t="str">
        <f aca="false">IF($A383="","",SUMIFS(Sales!$E$5:INDEX(Sales!$E$5:$E$3004,TxRows),Sales!$D$5:INDEX(Sales!$D$5:$D$3004,TxRows),$A383))</f>
        <v/>
      </c>
      <c r="N383" s="64" t="str">
        <f aca="false">IF($A383="","",SUMIFS(Adjustments!$C$5:$C$504,Adjustments!$B$5:$B$504,$A383))</f>
        <v/>
      </c>
      <c r="O383" s="64" t="str">
        <f aca="false">IF($A383="","",N($J383)+L383-M383+N383)</f>
        <v/>
      </c>
      <c r="P383" s="61" t="str">
        <f aca="false">IF($A383="","",IFERROR((N($J383)*N($K383)+SUMIFS(Purchases!$K$5:INDEX(Purchases!$K$5:$K$3004,TxRows),Purchases!$D$5:INDEX(Purchases!$D$5:$D$3004,TxRows),$A383))/(N($J383)+L383),N($G383)))</f>
        <v/>
      </c>
      <c r="Q383" s="61" t="str">
        <f aca="false">IF($A383="","",MAX(0,O383)*P383)</f>
        <v/>
      </c>
      <c r="R383" s="60" t="str">
        <f aca="false">IF($A383="","",IF(O383&lt;0,"NEGATIVE",IF(O383=0,"OUT OF STOCK",IF(O383&lt;=N($I383),"REORDER",IF(AND(O383&gt;0,X383&gt;DeadDays),"DEAD STOCK","OK")))))</f>
        <v/>
      </c>
      <c r="S383" s="65" t="str">
        <f aca="false">IF($A383="","",IF(N($H383)=0,0,(N($H383)-P383)/N($H383)))</f>
        <v/>
      </c>
      <c r="T383" s="64" t="str">
        <f aca="false">IF($A383="","",IF(O383&lt;=N($I383),MAX(0,2*N($I383)-O383),0))</f>
        <v/>
      </c>
      <c r="U383" s="61" t="str">
        <f aca="false">IF($A383="","",SUMIFS(Sales!$L$5:INDEX(Sales!$L$5:$L$3004,TxRows),Sales!$D$5:INDEX(Sales!$D$5:$D$3004,TxRows),$A383))</f>
        <v/>
      </c>
      <c r="V383" s="61" t="str">
        <f aca="false">IF($A383="","",SUMIFS(Sales!$S$5:INDEX(Sales!$S$5:$S$3004,TxRows),Sales!$D$5:INDEX(Sales!$D$5:$D$3004,TxRows),$A383))</f>
        <v/>
      </c>
      <c r="W383" s="66" t="str">
        <f aca="false">IF($A383="","",IFERROR(SUMPRODUCT(MAX((Sales!$D$5:INDEX(Sales!$D$5:$D$3004,TxRows)=$A383)*Sales!$A$5:INDEX(Sales!$A$5:$A$3004,TxRows))),0))</f>
        <v/>
      </c>
      <c r="X383" s="67" t="str">
        <f aca="false">IF($A383="","",IF(W383=0,AsOf-FYStart,AsOf-W383))</f>
        <v/>
      </c>
      <c r="Y383" s="67" t="str">
        <f aca="false">IF($A383="","",IF(M383=0,"",O383/(M383/MAX(1,AsOf-FYStart))))</f>
        <v/>
      </c>
      <c r="Z383" s="60" t="str">
        <f aca="false">IF($A383="","",U383+ROW()/1000000)</f>
        <v/>
      </c>
    </row>
    <row r="384" customFormat="false" ht="15" hidden="false" customHeight="false" outlineLevel="0" collapsed="false">
      <c r="A384" s="56"/>
      <c r="B384" s="56"/>
      <c r="C384" s="56"/>
      <c r="D384" s="56"/>
      <c r="E384" s="56"/>
      <c r="F384" s="63"/>
      <c r="G384" s="58"/>
      <c r="H384" s="58"/>
      <c r="I384" s="57"/>
      <c r="J384" s="57"/>
      <c r="K384" s="58"/>
      <c r="L384" s="64" t="str">
        <f aca="false">IF($A384="","",SUMIFS(Purchases!$E$5:INDEX(Purchases!$E$5:$E$3004,TxRows),Purchases!$D$5:INDEX(Purchases!$D$5:$D$3004,TxRows),$A384))</f>
        <v/>
      </c>
      <c r="M384" s="64" t="str">
        <f aca="false">IF($A384="","",SUMIFS(Sales!$E$5:INDEX(Sales!$E$5:$E$3004,TxRows),Sales!$D$5:INDEX(Sales!$D$5:$D$3004,TxRows),$A384))</f>
        <v/>
      </c>
      <c r="N384" s="64" t="str">
        <f aca="false">IF($A384="","",SUMIFS(Adjustments!$C$5:$C$504,Adjustments!$B$5:$B$504,$A384))</f>
        <v/>
      </c>
      <c r="O384" s="64" t="str">
        <f aca="false">IF($A384="","",N($J384)+L384-M384+N384)</f>
        <v/>
      </c>
      <c r="P384" s="61" t="str">
        <f aca="false">IF($A384="","",IFERROR((N($J384)*N($K384)+SUMIFS(Purchases!$K$5:INDEX(Purchases!$K$5:$K$3004,TxRows),Purchases!$D$5:INDEX(Purchases!$D$5:$D$3004,TxRows),$A384))/(N($J384)+L384),N($G384)))</f>
        <v/>
      </c>
      <c r="Q384" s="61" t="str">
        <f aca="false">IF($A384="","",MAX(0,O384)*P384)</f>
        <v/>
      </c>
      <c r="R384" s="60" t="str">
        <f aca="false">IF($A384="","",IF(O384&lt;0,"NEGATIVE",IF(O384=0,"OUT OF STOCK",IF(O384&lt;=N($I384),"REORDER",IF(AND(O384&gt;0,X384&gt;DeadDays),"DEAD STOCK","OK")))))</f>
        <v/>
      </c>
      <c r="S384" s="65" t="str">
        <f aca="false">IF($A384="","",IF(N($H384)=0,0,(N($H384)-P384)/N($H384)))</f>
        <v/>
      </c>
      <c r="T384" s="64" t="str">
        <f aca="false">IF($A384="","",IF(O384&lt;=N($I384),MAX(0,2*N($I384)-O384),0))</f>
        <v/>
      </c>
      <c r="U384" s="61" t="str">
        <f aca="false">IF($A384="","",SUMIFS(Sales!$L$5:INDEX(Sales!$L$5:$L$3004,TxRows),Sales!$D$5:INDEX(Sales!$D$5:$D$3004,TxRows),$A384))</f>
        <v/>
      </c>
      <c r="V384" s="61" t="str">
        <f aca="false">IF($A384="","",SUMIFS(Sales!$S$5:INDEX(Sales!$S$5:$S$3004,TxRows),Sales!$D$5:INDEX(Sales!$D$5:$D$3004,TxRows),$A384))</f>
        <v/>
      </c>
      <c r="W384" s="66" t="str">
        <f aca="false">IF($A384="","",IFERROR(SUMPRODUCT(MAX((Sales!$D$5:INDEX(Sales!$D$5:$D$3004,TxRows)=$A384)*Sales!$A$5:INDEX(Sales!$A$5:$A$3004,TxRows))),0))</f>
        <v/>
      </c>
      <c r="X384" s="67" t="str">
        <f aca="false">IF($A384="","",IF(W384=0,AsOf-FYStart,AsOf-W384))</f>
        <v/>
      </c>
      <c r="Y384" s="67" t="str">
        <f aca="false">IF($A384="","",IF(M384=0,"",O384/(M384/MAX(1,AsOf-FYStart))))</f>
        <v/>
      </c>
      <c r="Z384" s="60" t="str">
        <f aca="false">IF($A384="","",U384+ROW()/1000000)</f>
        <v/>
      </c>
    </row>
    <row r="385" customFormat="false" ht="15" hidden="false" customHeight="false" outlineLevel="0" collapsed="false">
      <c r="A385" s="56"/>
      <c r="B385" s="56"/>
      <c r="C385" s="56"/>
      <c r="D385" s="56"/>
      <c r="E385" s="56"/>
      <c r="F385" s="63"/>
      <c r="G385" s="58"/>
      <c r="H385" s="58"/>
      <c r="I385" s="57"/>
      <c r="J385" s="57"/>
      <c r="K385" s="58"/>
      <c r="L385" s="64" t="str">
        <f aca="false">IF($A385="","",SUMIFS(Purchases!$E$5:INDEX(Purchases!$E$5:$E$3004,TxRows),Purchases!$D$5:INDEX(Purchases!$D$5:$D$3004,TxRows),$A385))</f>
        <v/>
      </c>
      <c r="M385" s="64" t="str">
        <f aca="false">IF($A385="","",SUMIFS(Sales!$E$5:INDEX(Sales!$E$5:$E$3004,TxRows),Sales!$D$5:INDEX(Sales!$D$5:$D$3004,TxRows),$A385))</f>
        <v/>
      </c>
      <c r="N385" s="64" t="str">
        <f aca="false">IF($A385="","",SUMIFS(Adjustments!$C$5:$C$504,Adjustments!$B$5:$B$504,$A385))</f>
        <v/>
      </c>
      <c r="O385" s="64" t="str">
        <f aca="false">IF($A385="","",N($J385)+L385-M385+N385)</f>
        <v/>
      </c>
      <c r="P385" s="61" t="str">
        <f aca="false">IF($A385="","",IFERROR((N($J385)*N($K385)+SUMIFS(Purchases!$K$5:INDEX(Purchases!$K$5:$K$3004,TxRows),Purchases!$D$5:INDEX(Purchases!$D$5:$D$3004,TxRows),$A385))/(N($J385)+L385),N($G385)))</f>
        <v/>
      </c>
      <c r="Q385" s="61" t="str">
        <f aca="false">IF($A385="","",MAX(0,O385)*P385)</f>
        <v/>
      </c>
      <c r="R385" s="60" t="str">
        <f aca="false">IF($A385="","",IF(O385&lt;0,"NEGATIVE",IF(O385=0,"OUT OF STOCK",IF(O385&lt;=N($I385),"REORDER",IF(AND(O385&gt;0,X385&gt;DeadDays),"DEAD STOCK","OK")))))</f>
        <v/>
      </c>
      <c r="S385" s="65" t="str">
        <f aca="false">IF($A385="","",IF(N($H385)=0,0,(N($H385)-P385)/N($H385)))</f>
        <v/>
      </c>
      <c r="T385" s="64" t="str">
        <f aca="false">IF($A385="","",IF(O385&lt;=N($I385),MAX(0,2*N($I385)-O385),0))</f>
        <v/>
      </c>
      <c r="U385" s="61" t="str">
        <f aca="false">IF($A385="","",SUMIFS(Sales!$L$5:INDEX(Sales!$L$5:$L$3004,TxRows),Sales!$D$5:INDEX(Sales!$D$5:$D$3004,TxRows),$A385))</f>
        <v/>
      </c>
      <c r="V385" s="61" t="str">
        <f aca="false">IF($A385="","",SUMIFS(Sales!$S$5:INDEX(Sales!$S$5:$S$3004,TxRows),Sales!$D$5:INDEX(Sales!$D$5:$D$3004,TxRows),$A385))</f>
        <v/>
      </c>
      <c r="W385" s="66" t="str">
        <f aca="false">IF($A385="","",IFERROR(SUMPRODUCT(MAX((Sales!$D$5:INDEX(Sales!$D$5:$D$3004,TxRows)=$A385)*Sales!$A$5:INDEX(Sales!$A$5:$A$3004,TxRows))),0))</f>
        <v/>
      </c>
      <c r="X385" s="67" t="str">
        <f aca="false">IF($A385="","",IF(W385=0,AsOf-FYStart,AsOf-W385))</f>
        <v/>
      </c>
      <c r="Y385" s="67" t="str">
        <f aca="false">IF($A385="","",IF(M385=0,"",O385/(M385/MAX(1,AsOf-FYStart))))</f>
        <v/>
      </c>
      <c r="Z385" s="60" t="str">
        <f aca="false">IF($A385="","",U385+ROW()/1000000)</f>
        <v/>
      </c>
    </row>
    <row r="386" customFormat="false" ht="15" hidden="false" customHeight="false" outlineLevel="0" collapsed="false">
      <c r="A386" s="56"/>
      <c r="B386" s="56"/>
      <c r="C386" s="56"/>
      <c r="D386" s="56"/>
      <c r="E386" s="56"/>
      <c r="F386" s="63"/>
      <c r="G386" s="58"/>
      <c r="H386" s="58"/>
      <c r="I386" s="57"/>
      <c r="J386" s="57"/>
      <c r="K386" s="58"/>
      <c r="L386" s="64" t="str">
        <f aca="false">IF($A386="","",SUMIFS(Purchases!$E$5:INDEX(Purchases!$E$5:$E$3004,TxRows),Purchases!$D$5:INDEX(Purchases!$D$5:$D$3004,TxRows),$A386))</f>
        <v/>
      </c>
      <c r="M386" s="64" t="str">
        <f aca="false">IF($A386="","",SUMIFS(Sales!$E$5:INDEX(Sales!$E$5:$E$3004,TxRows),Sales!$D$5:INDEX(Sales!$D$5:$D$3004,TxRows),$A386))</f>
        <v/>
      </c>
      <c r="N386" s="64" t="str">
        <f aca="false">IF($A386="","",SUMIFS(Adjustments!$C$5:$C$504,Adjustments!$B$5:$B$504,$A386))</f>
        <v/>
      </c>
      <c r="O386" s="64" t="str">
        <f aca="false">IF($A386="","",N($J386)+L386-M386+N386)</f>
        <v/>
      </c>
      <c r="P386" s="61" t="str">
        <f aca="false">IF($A386="","",IFERROR((N($J386)*N($K386)+SUMIFS(Purchases!$K$5:INDEX(Purchases!$K$5:$K$3004,TxRows),Purchases!$D$5:INDEX(Purchases!$D$5:$D$3004,TxRows),$A386))/(N($J386)+L386),N($G386)))</f>
        <v/>
      </c>
      <c r="Q386" s="61" t="str">
        <f aca="false">IF($A386="","",MAX(0,O386)*P386)</f>
        <v/>
      </c>
      <c r="R386" s="60" t="str">
        <f aca="false">IF($A386="","",IF(O386&lt;0,"NEGATIVE",IF(O386=0,"OUT OF STOCK",IF(O386&lt;=N($I386),"REORDER",IF(AND(O386&gt;0,X386&gt;DeadDays),"DEAD STOCK","OK")))))</f>
        <v/>
      </c>
      <c r="S386" s="65" t="str">
        <f aca="false">IF($A386="","",IF(N($H386)=0,0,(N($H386)-P386)/N($H386)))</f>
        <v/>
      </c>
      <c r="T386" s="64" t="str">
        <f aca="false">IF($A386="","",IF(O386&lt;=N($I386),MAX(0,2*N($I386)-O386),0))</f>
        <v/>
      </c>
      <c r="U386" s="61" t="str">
        <f aca="false">IF($A386="","",SUMIFS(Sales!$L$5:INDEX(Sales!$L$5:$L$3004,TxRows),Sales!$D$5:INDEX(Sales!$D$5:$D$3004,TxRows),$A386))</f>
        <v/>
      </c>
      <c r="V386" s="61" t="str">
        <f aca="false">IF($A386="","",SUMIFS(Sales!$S$5:INDEX(Sales!$S$5:$S$3004,TxRows),Sales!$D$5:INDEX(Sales!$D$5:$D$3004,TxRows),$A386))</f>
        <v/>
      </c>
      <c r="W386" s="66" t="str">
        <f aca="false">IF($A386="","",IFERROR(SUMPRODUCT(MAX((Sales!$D$5:INDEX(Sales!$D$5:$D$3004,TxRows)=$A386)*Sales!$A$5:INDEX(Sales!$A$5:$A$3004,TxRows))),0))</f>
        <v/>
      </c>
      <c r="X386" s="67" t="str">
        <f aca="false">IF($A386="","",IF(W386=0,AsOf-FYStart,AsOf-W386))</f>
        <v/>
      </c>
      <c r="Y386" s="67" t="str">
        <f aca="false">IF($A386="","",IF(M386=0,"",O386/(M386/MAX(1,AsOf-FYStart))))</f>
        <v/>
      </c>
      <c r="Z386" s="60" t="str">
        <f aca="false">IF($A386="","",U386+ROW()/1000000)</f>
        <v/>
      </c>
    </row>
    <row r="387" customFormat="false" ht="15" hidden="false" customHeight="false" outlineLevel="0" collapsed="false">
      <c r="A387" s="56"/>
      <c r="B387" s="56"/>
      <c r="C387" s="56"/>
      <c r="D387" s="56"/>
      <c r="E387" s="56"/>
      <c r="F387" s="63"/>
      <c r="G387" s="58"/>
      <c r="H387" s="58"/>
      <c r="I387" s="57"/>
      <c r="J387" s="57"/>
      <c r="K387" s="58"/>
      <c r="L387" s="64" t="str">
        <f aca="false">IF($A387="","",SUMIFS(Purchases!$E$5:INDEX(Purchases!$E$5:$E$3004,TxRows),Purchases!$D$5:INDEX(Purchases!$D$5:$D$3004,TxRows),$A387))</f>
        <v/>
      </c>
      <c r="M387" s="64" t="str">
        <f aca="false">IF($A387="","",SUMIFS(Sales!$E$5:INDEX(Sales!$E$5:$E$3004,TxRows),Sales!$D$5:INDEX(Sales!$D$5:$D$3004,TxRows),$A387))</f>
        <v/>
      </c>
      <c r="N387" s="64" t="str">
        <f aca="false">IF($A387="","",SUMIFS(Adjustments!$C$5:$C$504,Adjustments!$B$5:$B$504,$A387))</f>
        <v/>
      </c>
      <c r="O387" s="64" t="str">
        <f aca="false">IF($A387="","",N($J387)+L387-M387+N387)</f>
        <v/>
      </c>
      <c r="P387" s="61" t="str">
        <f aca="false">IF($A387="","",IFERROR((N($J387)*N($K387)+SUMIFS(Purchases!$K$5:INDEX(Purchases!$K$5:$K$3004,TxRows),Purchases!$D$5:INDEX(Purchases!$D$5:$D$3004,TxRows),$A387))/(N($J387)+L387),N($G387)))</f>
        <v/>
      </c>
      <c r="Q387" s="61" t="str">
        <f aca="false">IF($A387="","",MAX(0,O387)*P387)</f>
        <v/>
      </c>
      <c r="R387" s="60" t="str">
        <f aca="false">IF($A387="","",IF(O387&lt;0,"NEGATIVE",IF(O387=0,"OUT OF STOCK",IF(O387&lt;=N($I387),"REORDER",IF(AND(O387&gt;0,X387&gt;DeadDays),"DEAD STOCK","OK")))))</f>
        <v/>
      </c>
      <c r="S387" s="65" t="str">
        <f aca="false">IF($A387="","",IF(N($H387)=0,0,(N($H387)-P387)/N($H387)))</f>
        <v/>
      </c>
      <c r="T387" s="64" t="str">
        <f aca="false">IF($A387="","",IF(O387&lt;=N($I387),MAX(0,2*N($I387)-O387),0))</f>
        <v/>
      </c>
      <c r="U387" s="61" t="str">
        <f aca="false">IF($A387="","",SUMIFS(Sales!$L$5:INDEX(Sales!$L$5:$L$3004,TxRows),Sales!$D$5:INDEX(Sales!$D$5:$D$3004,TxRows),$A387))</f>
        <v/>
      </c>
      <c r="V387" s="61" t="str">
        <f aca="false">IF($A387="","",SUMIFS(Sales!$S$5:INDEX(Sales!$S$5:$S$3004,TxRows),Sales!$D$5:INDEX(Sales!$D$5:$D$3004,TxRows),$A387))</f>
        <v/>
      </c>
      <c r="W387" s="66" t="str">
        <f aca="false">IF($A387="","",IFERROR(SUMPRODUCT(MAX((Sales!$D$5:INDEX(Sales!$D$5:$D$3004,TxRows)=$A387)*Sales!$A$5:INDEX(Sales!$A$5:$A$3004,TxRows))),0))</f>
        <v/>
      </c>
      <c r="X387" s="67" t="str">
        <f aca="false">IF($A387="","",IF(W387=0,AsOf-FYStart,AsOf-W387))</f>
        <v/>
      </c>
      <c r="Y387" s="67" t="str">
        <f aca="false">IF($A387="","",IF(M387=0,"",O387/(M387/MAX(1,AsOf-FYStart))))</f>
        <v/>
      </c>
      <c r="Z387" s="60" t="str">
        <f aca="false">IF($A387="","",U387+ROW()/1000000)</f>
        <v/>
      </c>
    </row>
    <row r="388" customFormat="false" ht="15" hidden="false" customHeight="false" outlineLevel="0" collapsed="false">
      <c r="A388" s="56"/>
      <c r="B388" s="56"/>
      <c r="C388" s="56"/>
      <c r="D388" s="56"/>
      <c r="E388" s="56"/>
      <c r="F388" s="63"/>
      <c r="G388" s="58"/>
      <c r="H388" s="58"/>
      <c r="I388" s="57"/>
      <c r="J388" s="57"/>
      <c r="K388" s="58"/>
      <c r="L388" s="64" t="str">
        <f aca="false">IF($A388="","",SUMIFS(Purchases!$E$5:INDEX(Purchases!$E$5:$E$3004,TxRows),Purchases!$D$5:INDEX(Purchases!$D$5:$D$3004,TxRows),$A388))</f>
        <v/>
      </c>
      <c r="M388" s="64" t="str">
        <f aca="false">IF($A388="","",SUMIFS(Sales!$E$5:INDEX(Sales!$E$5:$E$3004,TxRows),Sales!$D$5:INDEX(Sales!$D$5:$D$3004,TxRows),$A388))</f>
        <v/>
      </c>
      <c r="N388" s="64" t="str">
        <f aca="false">IF($A388="","",SUMIFS(Adjustments!$C$5:$C$504,Adjustments!$B$5:$B$504,$A388))</f>
        <v/>
      </c>
      <c r="O388" s="64" t="str">
        <f aca="false">IF($A388="","",N($J388)+L388-M388+N388)</f>
        <v/>
      </c>
      <c r="P388" s="61" t="str">
        <f aca="false">IF($A388="","",IFERROR((N($J388)*N($K388)+SUMIFS(Purchases!$K$5:INDEX(Purchases!$K$5:$K$3004,TxRows),Purchases!$D$5:INDEX(Purchases!$D$5:$D$3004,TxRows),$A388))/(N($J388)+L388),N($G388)))</f>
        <v/>
      </c>
      <c r="Q388" s="61" t="str">
        <f aca="false">IF($A388="","",MAX(0,O388)*P388)</f>
        <v/>
      </c>
      <c r="R388" s="60" t="str">
        <f aca="false">IF($A388="","",IF(O388&lt;0,"NEGATIVE",IF(O388=0,"OUT OF STOCK",IF(O388&lt;=N($I388),"REORDER",IF(AND(O388&gt;0,X388&gt;DeadDays),"DEAD STOCK","OK")))))</f>
        <v/>
      </c>
      <c r="S388" s="65" t="str">
        <f aca="false">IF($A388="","",IF(N($H388)=0,0,(N($H388)-P388)/N($H388)))</f>
        <v/>
      </c>
      <c r="T388" s="64" t="str">
        <f aca="false">IF($A388="","",IF(O388&lt;=N($I388),MAX(0,2*N($I388)-O388),0))</f>
        <v/>
      </c>
      <c r="U388" s="61" t="str">
        <f aca="false">IF($A388="","",SUMIFS(Sales!$L$5:INDEX(Sales!$L$5:$L$3004,TxRows),Sales!$D$5:INDEX(Sales!$D$5:$D$3004,TxRows),$A388))</f>
        <v/>
      </c>
      <c r="V388" s="61" t="str">
        <f aca="false">IF($A388="","",SUMIFS(Sales!$S$5:INDEX(Sales!$S$5:$S$3004,TxRows),Sales!$D$5:INDEX(Sales!$D$5:$D$3004,TxRows),$A388))</f>
        <v/>
      </c>
      <c r="W388" s="66" t="str">
        <f aca="false">IF($A388="","",IFERROR(SUMPRODUCT(MAX((Sales!$D$5:INDEX(Sales!$D$5:$D$3004,TxRows)=$A388)*Sales!$A$5:INDEX(Sales!$A$5:$A$3004,TxRows))),0))</f>
        <v/>
      </c>
      <c r="X388" s="67" t="str">
        <f aca="false">IF($A388="","",IF(W388=0,AsOf-FYStart,AsOf-W388))</f>
        <v/>
      </c>
      <c r="Y388" s="67" t="str">
        <f aca="false">IF($A388="","",IF(M388=0,"",O388/(M388/MAX(1,AsOf-FYStart))))</f>
        <v/>
      </c>
      <c r="Z388" s="60" t="str">
        <f aca="false">IF($A388="","",U388+ROW()/1000000)</f>
        <v/>
      </c>
    </row>
    <row r="389" customFormat="false" ht="15" hidden="false" customHeight="false" outlineLevel="0" collapsed="false">
      <c r="A389" s="56"/>
      <c r="B389" s="56"/>
      <c r="C389" s="56"/>
      <c r="D389" s="56"/>
      <c r="E389" s="56"/>
      <c r="F389" s="63"/>
      <c r="G389" s="58"/>
      <c r="H389" s="58"/>
      <c r="I389" s="57"/>
      <c r="J389" s="57"/>
      <c r="K389" s="58"/>
      <c r="L389" s="64" t="str">
        <f aca="false">IF($A389="","",SUMIFS(Purchases!$E$5:INDEX(Purchases!$E$5:$E$3004,TxRows),Purchases!$D$5:INDEX(Purchases!$D$5:$D$3004,TxRows),$A389))</f>
        <v/>
      </c>
      <c r="M389" s="64" t="str">
        <f aca="false">IF($A389="","",SUMIFS(Sales!$E$5:INDEX(Sales!$E$5:$E$3004,TxRows),Sales!$D$5:INDEX(Sales!$D$5:$D$3004,TxRows),$A389))</f>
        <v/>
      </c>
      <c r="N389" s="64" t="str">
        <f aca="false">IF($A389="","",SUMIFS(Adjustments!$C$5:$C$504,Adjustments!$B$5:$B$504,$A389))</f>
        <v/>
      </c>
      <c r="O389" s="64" t="str">
        <f aca="false">IF($A389="","",N($J389)+L389-M389+N389)</f>
        <v/>
      </c>
      <c r="P389" s="61" t="str">
        <f aca="false">IF($A389="","",IFERROR((N($J389)*N($K389)+SUMIFS(Purchases!$K$5:INDEX(Purchases!$K$5:$K$3004,TxRows),Purchases!$D$5:INDEX(Purchases!$D$5:$D$3004,TxRows),$A389))/(N($J389)+L389),N($G389)))</f>
        <v/>
      </c>
      <c r="Q389" s="61" t="str">
        <f aca="false">IF($A389="","",MAX(0,O389)*P389)</f>
        <v/>
      </c>
      <c r="R389" s="60" t="str">
        <f aca="false">IF($A389="","",IF(O389&lt;0,"NEGATIVE",IF(O389=0,"OUT OF STOCK",IF(O389&lt;=N($I389),"REORDER",IF(AND(O389&gt;0,X389&gt;DeadDays),"DEAD STOCK","OK")))))</f>
        <v/>
      </c>
      <c r="S389" s="65" t="str">
        <f aca="false">IF($A389="","",IF(N($H389)=0,0,(N($H389)-P389)/N($H389)))</f>
        <v/>
      </c>
      <c r="T389" s="64" t="str">
        <f aca="false">IF($A389="","",IF(O389&lt;=N($I389),MAX(0,2*N($I389)-O389),0))</f>
        <v/>
      </c>
      <c r="U389" s="61" t="str">
        <f aca="false">IF($A389="","",SUMIFS(Sales!$L$5:INDEX(Sales!$L$5:$L$3004,TxRows),Sales!$D$5:INDEX(Sales!$D$5:$D$3004,TxRows),$A389))</f>
        <v/>
      </c>
      <c r="V389" s="61" t="str">
        <f aca="false">IF($A389="","",SUMIFS(Sales!$S$5:INDEX(Sales!$S$5:$S$3004,TxRows),Sales!$D$5:INDEX(Sales!$D$5:$D$3004,TxRows),$A389))</f>
        <v/>
      </c>
      <c r="W389" s="66" t="str">
        <f aca="false">IF($A389="","",IFERROR(SUMPRODUCT(MAX((Sales!$D$5:INDEX(Sales!$D$5:$D$3004,TxRows)=$A389)*Sales!$A$5:INDEX(Sales!$A$5:$A$3004,TxRows))),0))</f>
        <v/>
      </c>
      <c r="X389" s="67" t="str">
        <f aca="false">IF($A389="","",IF(W389=0,AsOf-FYStart,AsOf-W389))</f>
        <v/>
      </c>
      <c r="Y389" s="67" t="str">
        <f aca="false">IF($A389="","",IF(M389=0,"",O389/(M389/MAX(1,AsOf-FYStart))))</f>
        <v/>
      </c>
      <c r="Z389" s="60" t="str">
        <f aca="false">IF($A389="","",U389+ROW()/1000000)</f>
        <v/>
      </c>
    </row>
    <row r="390" customFormat="false" ht="15" hidden="false" customHeight="false" outlineLevel="0" collapsed="false">
      <c r="A390" s="56"/>
      <c r="B390" s="56"/>
      <c r="C390" s="56"/>
      <c r="D390" s="56"/>
      <c r="E390" s="56"/>
      <c r="F390" s="63"/>
      <c r="G390" s="58"/>
      <c r="H390" s="58"/>
      <c r="I390" s="57"/>
      <c r="J390" s="57"/>
      <c r="K390" s="58"/>
      <c r="L390" s="64" t="str">
        <f aca="false">IF($A390="","",SUMIFS(Purchases!$E$5:INDEX(Purchases!$E$5:$E$3004,TxRows),Purchases!$D$5:INDEX(Purchases!$D$5:$D$3004,TxRows),$A390))</f>
        <v/>
      </c>
      <c r="M390" s="64" t="str">
        <f aca="false">IF($A390="","",SUMIFS(Sales!$E$5:INDEX(Sales!$E$5:$E$3004,TxRows),Sales!$D$5:INDEX(Sales!$D$5:$D$3004,TxRows),$A390))</f>
        <v/>
      </c>
      <c r="N390" s="64" t="str">
        <f aca="false">IF($A390="","",SUMIFS(Adjustments!$C$5:$C$504,Adjustments!$B$5:$B$504,$A390))</f>
        <v/>
      </c>
      <c r="O390" s="64" t="str">
        <f aca="false">IF($A390="","",N($J390)+L390-M390+N390)</f>
        <v/>
      </c>
      <c r="P390" s="61" t="str">
        <f aca="false">IF($A390="","",IFERROR((N($J390)*N($K390)+SUMIFS(Purchases!$K$5:INDEX(Purchases!$K$5:$K$3004,TxRows),Purchases!$D$5:INDEX(Purchases!$D$5:$D$3004,TxRows),$A390))/(N($J390)+L390),N($G390)))</f>
        <v/>
      </c>
      <c r="Q390" s="61" t="str">
        <f aca="false">IF($A390="","",MAX(0,O390)*P390)</f>
        <v/>
      </c>
      <c r="R390" s="60" t="str">
        <f aca="false">IF($A390="","",IF(O390&lt;0,"NEGATIVE",IF(O390=0,"OUT OF STOCK",IF(O390&lt;=N($I390),"REORDER",IF(AND(O390&gt;0,X390&gt;DeadDays),"DEAD STOCK","OK")))))</f>
        <v/>
      </c>
      <c r="S390" s="65" t="str">
        <f aca="false">IF($A390="","",IF(N($H390)=0,0,(N($H390)-P390)/N($H390)))</f>
        <v/>
      </c>
      <c r="T390" s="64" t="str">
        <f aca="false">IF($A390="","",IF(O390&lt;=N($I390),MAX(0,2*N($I390)-O390),0))</f>
        <v/>
      </c>
      <c r="U390" s="61" t="str">
        <f aca="false">IF($A390="","",SUMIFS(Sales!$L$5:INDEX(Sales!$L$5:$L$3004,TxRows),Sales!$D$5:INDEX(Sales!$D$5:$D$3004,TxRows),$A390))</f>
        <v/>
      </c>
      <c r="V390" s="61" t="str">
        <f aca="false">IF($A390="","",SUMIFS(Sales!$S$5:INDEX(Sales!$S$5:$S$3004,TxRows),Sales!$D$5:INDEX(Sales!$D$5:$D$3004,TxRows),$A390))</f>
        <v/>
      </c>
      <c r="W390" s="66" t="str">
        <f aca="false">IF($A390="","",IFERROR(SUMPRODUCT(MAX((Sales!$D$5:INDEX(Sales!$D$5:$D$3004,TxRows)=$A390)*Sales!$A$5:INDEX(Sales!$A$5:$A$3004,TxRows))),0))</f>
        <v/>
      </c>
      <c r="X390" s="67" t="str">
        <f aca="false">IF($A390="","",IF(W390=0,AsOf-FYStart,AsOf-W390))</f>
        <v/>
      </c>
      <c r="Y390" s="67" t="str">
        <f aca="false">IF($A390="","",IF(M390=0,"",O390/(M390/MAX(1,AsOf-FYStart))))</f>
        <v/>
      </c>
      <c r="Z390" s="60" t="str">
        <f aca="false">IF($A390="","",U390+ROW()/1000000)</f>
        <v/>
      </c>
    </row>
    <row r="391" customFormat="false" ht="15" hidden="false" customHeight="false" outlineLevel="0" collapsed="false">
      <c r="A391" s="56"/>
      <c r="B391" s="56"/>
      <c r="C391" s="56"/>
      <c r="D391" s="56"/>
      <c r="E391" s="56"/>
      <c r="F391" s="63"/>
      <c r="G391" s="58"/>
      <c r="H391" s="58"/>
      <c r="I391" s="57"/>
      <c r="J391" s="57"/>
      <c r="K391" s="58"/>
      <c r="L391" s="64" t="str">
        <f aca="false">IF($A391="","",SUMIFS(Purchases!$E$5:INDEX(Purchases!$E$5:$E$3004,TxRows),Purchases!$D$5:INDEX(Purchases!$D$5:$D$3004,TxRows),$A391))</f>
        <v/>
      </c>
      <c r="M391" s="64" t="str">
        <f aca="false">IF($A391="","",SUMIFS(Sales!$E$5:INDEX(Sales!$E$5:$E$3004,TxRows),Sales!$D$5:INDEX(Sales!$D$5:$D$3004,TxRows),$A391))</f>
        <v/>
      </c>
      <c r="N391" s="64" t="str">
        <f aca="false">IF($A391="","",SUMIFS(Adjustments!$C$5:$C$504,Adjustments!$B$5:$B$504,$A391))</f>
        <v/>
      </c>
      <c r="O391" s="64" t="str">
        <f aca="false">IF($A391="","",N($J391)+L391-M391+N391)</f>
        <v/>
      </c>
      <c r="P391" s="61" t="str">
        <f aca="false">IF($A391="","",IFERROR((N($J391)*N($K391)+SUMIFS(Purchases!$K$5:INDEX(Purchases!$K$5:$K$3004,TxRows),Purchases!$D$5:INDEX(Purchases!$D$5:$D$3004,TxRows),$A391))/(N($J391)+L391),N($G391)))</f>
        <v/>
      </c>
      <c r="Q391" s="61" t="str">
        <f aca="false">IF($A391="","",MAX(0,O391)*P391)</f>
        <v/>
      </c>
      <c r="R391" s="60" t="str">
        <f aca="false">IF($A391="","",IF(O391&lt;0,"NEGATIVE",IF(O391=0,"OUT OF STOCK",IF(O391&lt;=N($I391),"REORDER",IF(AND(O391&gt;0,X391&gt;DeadDays),"DEAD STOCK","OK")))))</f>
        <v/>
      </c>
      <c r="S391" s="65" t="str">
        <f aca="false">IF($A391="","",IF(N($H391)=0,0,(N($H391)-P391)/N($H391)))</f>
        <v/>
      </c>
      <c r="T391" s="64" t="str">
        <f aca="false">IF($A391="","",IF(O391&lt;=N($I391),MAX(0,2*N($I391)-O391),0))</f>
        <v/>
      </c>
      <c r="U391" s="61" t="str">
        <f aca="false">IF($A391="","",SUMIFS(Sales!$L$5:INDEX(Sales!$L$5:$L$3004,TxRows),Sales!$D$5:INDEX(Sales!$D$5:$D$3004,TxRows),$A391))</f>
        <v/>
      </c>
      <c r="V391" s="61" t="str">
        <f aca="false">IF($A391="","",SUMIFS(Sales!$S$5:INDEX(Sales!$S$5:$S$3004,TxRows),Sales!$D$5:INDEX(Sales!$D$5:$D$3004,TxRows),$A391))</f>
        <v/>
      </c>
      <c r="W391" s="66" t="str">
        <f aca="false">IF($A391="","",IFERROR(SUMPRODUCT(MAX((Sales!$D$5:INDEX(Sales!$D$5:$D$3004,TxRows)=$A391)*Sales!$A$5:INDEX(Sales!$A$5:$A$3004,TxRows))),0))</f>
        <v/>
      </c>
      <c r="X391" s="67" t="str">
        <f aca="false">IF($A391="","",IF(W391=0,AsOf-FYStart,AsOf-W391))</f>
        <v/>
      </c>
      <c r="Y391" s="67" t="str">
        <f aca="false">IF($A391="","",IF(M391=0,"",O391/(M391/MAX(1,AsOf-FYStart))))</f>
        <v/>
      </c>
      <c r="Z391" s="60" t="str">
        <f aca="false">IF($A391="","",U391+ROW()/1000000)</f>
        <v/>
      </c>
    </row>
    <row r="392" customFormat="false" ht="15" hidden="false" customHeight="false" outlineLevel="0" collapsed="false">
      <c r="A392" s="56"/>
      <c r="B392" s="56"/>
      <c r="C392" s="56"/>
      <c r="D392" s="56"/>
      <c r="E392" s="56"/>
      <c r="F392" s="63"/>
      <c r="G392" s="58"/>
      <c r="H392" s="58"/>
      <c r="I392" s="57"/>
      <c r="J392" s="57"/>
      <c r="K392" s="58"/>
      <c r="L392" s="64" t="str">
        <f aca="false">IF($A392="","",SUMIFS(Purchases!$E$5:INDEX(Purchases!$E$5:$E$3004,TxRows),Purchases!$D$5:INDEX(Purchases!$D$5:$D$3004,TxRows),$A392))</f>
        <v/>
      </c>
      <c r="M392" s="64" t="str">
        <f aca="false">IF($A392="","",SUMIFS(Sales!$E$5:INDEX(Sales!$E$5:$E$3004,TxRows),Sales!$D$5:INDEX(Sales!$D$5:$D$3004,TxRows),$A392))</f>
        <v/>
      </c>
      <c r="N392" s="64" t="str">
        <f aca="false">IF($A392="","",SUMIFS(Adjustments!$C$5:$C$504,Adjustments!$B$5:$B$504,$A392))</f>
        <v/>
      </c>
      <c r="O392" s="64" t="str">
        <f aca="false">IF($A392="","",N($J392)+L392-M392+N392)</f>
        <v/>
      </c>
      <c r="P392" s="61" t="str">
        <f aca="false">IF($A392="","",IFERROR((N($J392)*N($K392)+SUMIFS(Purchases!$K$5:INDEX(Purchases!$K$5:$K$3004,TxRows),Purchases!$D$5:INDEX(Purchases!$D$5:$D$3004,TxRows),$A392))/(N($J392)+L392),N($G392)))</f>
        <v/>
      </c>
      <c r="Q392" s="61" t="str">
        <f aca="false">IF($A392="","",MAX(0,O392)*P392)</f>
        <v/>
      </c>
      <c r="R392" s="60" t="str">
        <f aca="false">IF($A392="","",IF(O392&lt;0,"NEGATIVE",IF(O392=0,"OUT OF STOCK",IF(O392&lt;=N($I392),"REORDER",IF(AND(O392&gt;0,X392&gt;DeadDays),"DEAD STOCK","OK")))))</f>
        <v/>
      </c>
      <c r="S392" s="65" t="str">
        <f aca="false">IF($A392="","",IF(N($H392)=0,0,(N($H392)-P392)/N($H392)))</f>
        <v/>
      </c>
      <c r="T392" s="64" t="str">
        <f aca="false">IF($A392="","",IF(O392&lt;=N($I392),MAX(0,2*N($I392)-O392),0))</f>
        <v/>
      </c>
      <c r="U392" s="61" t="str">
        <f aca="false">IF($A392="","",SUMIFS(Sales!$L$5:INDEX(Sales!$L$5:$L$3004,TxRows),Sales!$D$5:INDEX(Sales!$D$5:$D$3004,TxRows),$A392))</f>
        <v/>
      </c>
      <c r="V392" s="61" t="str">
        <f aca="false">IF($A392="","",SUMIFS(Sales!$S$5:INDEX(Sales!$S$5:$S$3004,TxRows),Sales!$D$5:INDEX(Sales!$D$5:$D$3004,TxRows),$A392))</f>
        <v/>
      </c>
      <c r="W392" s="66" t="str">
        <f aca="false">IF($A392="","",IFERROR(SUMPRODUCT(MAX((Sales!$D$5:INDEX(Sales!$D$5:$D$3004,TxRows)=$A392)*Sales!$A$5:INDEX(Sales!$A$5:$A$3004,TxRows))),0))</f>
        <v/>
      </c>
      <c r="X392" s="67" t="str">
        <f aca="false">IF($A392="","",IF(W392=0,AsOf-FYStart,AsOf-W392))</f>
        <v/>
      </c>
      <c r="Y392" s="67" t="str">
        <f aca="false">IF($A392="","",IF(M392=0,"",O392/(M392/MAX(1,AsOf-FYStart))))</f>
        <v/>
      </c>
      <c r="Z392" s="60" t="str">
        <f aca="false">IF($A392="","",U392+ROW()/1000000)</f>
        <v/>
      </c>
    </row>
    <row r="393" customFormat="false" ht="15" hidden="false" customHeight="false" outlineLevel="0" collapsed="false">
      <c r="A393" s="56"/>
      <c r="B393" s="56"/>
      <c r="C393" s="56"/>
      <c r="D393" s="56"/>
      <c r="E393" s="56"/>
      <c r="F393" s="63"/>
      <c r="G393" s="58"/>
      <c r="H393" s="58"/>
      <c r="I393" s="57"/>
      <c r="J393" s="57"/>
      <c r="K393" s="58"/>
      <c r="L393" s="64" t="str">
        <f aca="false">IF($A393="","",SUMIFS(Purchases!$E$5:INDEX(Purchases!$E$5:$E$3004,TxRows),Purchases!$D$5:INDEX(Purchases!$D$5:$D$3004,TxRows),$A393))</f>
        <v/>
      </c>
      <c r="M393" s="64" t="str">
        <f aca="false">IF($A393="","",SUMIFS(Sales!$E$5:INDEX(Sales!$E$5:$E$3004,TxRows),Sales!$D$5:INDEX(Sales!$D$5:$D$3004,TxRows),$A393))</f>
        <v/>
      </c>
      <c r="N393" s="64" t="str">
        <f aca="false">IF($A393="","",SUMIFS(Adjustments!$C$5:$C$504,Adjustments!$B$5:$B$504,$A393))</f>
        <v/>
      </c>
      <c r="O393" s="64" t="str">
        <f aca="false">IF($A393="","",N($J393)+L393-M393+N393)</f>
        <v/>
      </c>
      <c r="P393" s="61" t="str">
        <f aca="false">IF($A393="","",IFERROR((N($J393)*N($K393)+SUMIFS(Purchases!$K$5:INDEX(Purchases!$K$5:$K$3004,TxRows),Purchases!$D$5:INDEX(Purchases!$D$5:$D$3004,TxRows),$A393))/(N($J393)+L393),N($G393)))</f>
        <v/>
      </c>
      <c r="Q393" s="61" t="str">
        <f aca="false">IF($A393="","",MAX(0,O393)*P393)</f>
        <v/>
      </c>
      <c r="R393" s="60" t="str">
        <f aca="false">IF($A393="","",IF(O393&lt;0,"NEGATIVE",IF(O393=0,"OUT OF STOCK",IF(O393&lt;=N($I393),"REORDER",IF(AND(O393&gt;0,X393&gt;DeadDays),"DEAD STOCK","OK")))))</f>
        <v/>
      </c>
      <c r="S393" s="65" t="str">
        <f aca="false">IF($A393="","",IF(N($H393)=0,0,(N($H393)-P393)/N($H393)))</f>
        <v/>
      </c>
      <c r="T393" s="64" t="str">
        <f aca="false">IF($A393="","",IF(O393&lt;=N($I393),MAX(0,2*N($I393)-O393),0))</f>
        <v/>
      </c>
      <c r="U393" s="61" t="str">
        <f aca="false">IF($A393="","",SUMIFS(Sales!$L$5:INDEX(Sales!$L$5:$L$3004,TxRows),Sales!$D$5:INDEX(Sales!$D$5:$D$3004,TxRows),$A393))</f>
        <v/>
      </c>
      <c r="V393" s="61" t="str">
        <f aca="false">IF($A393="","",SUMIFS(Sales!$S$5:INDEX(Sales!$S$5:$S$3004,TxRows),Sales!$D$5:INDEX(Sales!$D$5:$D$3004,TxRows),$A393))</f>
        <v/>
      </c>
      <c r="W393" s="66" t="str">
        <f aca="false">IF($A393="","",IFERROR(SUMPRODUCT(MAX((Sales!$D$5:INDEX(Sales!$D$5:$D$3004,TxRows)=$A393)*Sales!$A$5:INDEX(Sales!$A$5:$A$3004,TxRows))),0))</f>
        <v/>
      </c>
      <c r="X393" s="67" t="str">
        <f aca="false">IF($A393="","",IF(W393=0,AsOf-FYStart,AsOf-W393))</f>
        <v/>
      </c>
      <c r="Y393" s="67" t="str">
        <f aca="false">IF($A393="","",IF(M393=0,"",O393/(M393/MAX(1,AsOf-FYStart))))</f>
        <v/>
      </c>
      <c r="Z393" s="60" t="str">
        <f aca="false">IF($A393="","",U393+ROW()/1000000)</f>
        <v/>
      </c>
    </row>
    <row r="394" customFormat="false" ht="15" hidden="false" customHeight="false" outlineLevel="0" collapsed="false">
      <c r="A394" s="56"/>
      <c r="B394" s="56"/>
      <c r="C394" s="56"/>
      <c r="D394" s="56"/>
      <c r="E394" s="56"/>
      <c r="F394" s="63"/>
      <c r="G394" s="58"/>
      <c r="H394" s="58"/>
      <c r="I394" s="57"/>
      <c r="J394" s="57"/>
      <c r="K394" s="58"/>
      <c r="L394" s="64" t="str">
        <f aca="false">IF($A394="","",SUMIFS(Purchases!$E$5:INDEX(Purchases!$E$5:$E$3004,TxRows),Purchases!$D$5:INDEX(Purchases!$D$5:$D$3004,TxRows),$A394))</f>
        <v/>
      </c>
      <c r="M394" s="64" t="str">
        <f aca="false">IF($A394="","",SUMIFS(Sales!$E$5:INDEX(Sales!$E$5:$E$3004,TxRows),Sales!$D$5:INDEX(Sales!$D$5:$D$3004,TxRows),$A394))</f>
        <v/>
      </c>
      <c r="N394" s="64" t="str">
        <f aca="false">IF($A394="","",SUMIFS(Adjustments!$C$5:$C$504,Adjustments!$B$5:$B$504,$A394))</f>
        <v/>
      </c>
      <c r="O394" s="64" t="str">
        <f aca="false">IF($A394="","",N($J394)+L394-M394+N394)</f>
        <v/>
      </c>
      <c r="P394" s="61" t="str">
        <f aca="false">IF($A394="","",IFERROR((N($J394)*N($K394)+SUMIFS(Purchases!$K$5:INDEX(Purchases!$K$5:$K$3004,TxRows),Purchases!$D$5:INDEX(Purchases!$D$5:$D$3004,TxRows),$A394))/(N($J394)+L394),N($G394)))</f>
        <v/>
      </c>
      <c r="Q394" s="61" t="str">
        <f aca="false">IF($A394="","",MAX(0,O394)*P394)</f>
        <v/>
      </c>
      <c r="R394" s="60" t="str">
        <f aca="false">IF($A394="","",IF(O394&lt;0,"NEGATIVE",IF(O394=0,"OUT OF STOCK",IF(O394&lt;=N($I394),"REORDER",IF(AND(O394&gt;0,X394&gt;DeadDays),"DEAD STOCK","OK")))))</f>
        <v/>
      </c>
      <c r="S394" s="65" t="str">
        <f aca="false">IF($A394="","",IF(N($H394)=0,0,(N($H394)-P394)/N($H394)))</f>
        <v/>
      </c>
      <c r="T394" s="64" t="str">
        <f aca="false">IF($A394="","",IF(O394&lt;=N($I394),MAX(0,2*N($I394)-O394),0))</f>
        <v/>
      </c>
      <c r="U394" s="61" t="str">
        <f aca="false">IF($A394="","",SUMIFS(Sales!$L$5:INDEX(Sales!$L$5:$L$3004,TxRows),Sales!$D$5:INDEX(Sales!$D$5:$D$3004,TxRows),$A394))</f>
        <v/>
      </c>
      <c r="V394" s="61" t="str">
        <f aca="false">IF($A394="","",SUMIFS(Sales!$S$5:INDEX(Sales!$S$5:$S$3004,TxRows),Sales!$D$5:INDEX(Sales!$D$5:$D$3004,TxRows),$A394))</f>
        <v/>
      </c>
      <c r="W394" s="66" t="str">
        <f aca="false">IF($A394="","",IFERROR(SUMPRODUCT(MAX((Sales!$D$5:INDEX(Sales!$D$5:$D$3004,TxRows)=$A394)*Sales!$A$5:INDEX(Sales!$A$5:$A$3004,TxRows))),0))</f>
        <v/>
      </c>
      <c r="X394" s="67" t="str">
        <f aca="false">IF($A394="","",IF(W394=0,AsOf-FYStart,AsOf-W394))</f>
        <v/>
      </c>
      <c r="Y394" s="67" t="str">
        <f aca="false">IF($A394="","",IF(M394=0,"",O394/(M394/MAX(1,AsOf-FYStart))))</f>
        <v/>
      </c>
      <c r="Z394" s="60" t="str">
        <f aca="false">IF($A394="","",U394+ROW()/1000000)</f>
        <v/>
      </c>
    </row>
    <row r="395" customFormat="false" ht="15" hidden="false" customHeight="false" outlineLevel="0" collapsed="false">
      <c r="A395" s="56"/>
      <c r="B395" s="56"/>
      <c r="C395" s="56"/>
      <c r="D395" s="56"/>
      <c r="E395" s="56"/>
      <c r="F395" s="63"/>
      <c r="G395" s="58"/>
      <c r="H395" s="58"/>
      <c r="I395" s="57"/>
      <c r="J395" s="57"/>
      <c r="K395" s="58"/>
      <c r="L395" s="64" t="str">
        <f aca="false">IF($A395="","",SUMIFS(Purchases!$E$5:INDEX(Purchases!$E$5:$E$3004,TxRows),Purchases!$D$5:INDEX(Purchases!$D$5:$D$3004,TxRows),$A395))</f>
        <v/>
      </c>
      <c r="M395" s="64" t="str">
        <f aca="false">IF($A395="","",SUMIFS(Sales!$E$5:INDEX(Sales!$E$5:$E$3004,TxRows),Sales!$D$5:INDEX(Sales!$D$5:$D$3004,TxRows),$A395))</f>
        <v/>
      </c>
      <c r="N395" s="64" t="str">
        <f aca="false">IF($A395="","",SUMIFS(Adjustments!$C$5:$C$504,Adjustments!$B$5:$B$504,$A395))</f>
        <v/>
      </c>
      <c r="O395" s="64" t="str">
        <f aca="false">IF($A395="","",N($J395)+L395-M395+N395)</f>
        <v/>
      </c>
      <c r="P395" s="61" t="str">
        <f aca="false">IF($A395="","",IFERROR((N($J395)*N($K395)+SUMIFS(Purchases!$K$5:INDEX(Purchases!$K$5:$K$3004,TxRows),Purchases!$D$5:INDEX(Purchases!$D$5:$D$3004,TxRows),$A395))/(N($J395)+L395),N($G395)))</f>
        <v/>
      </c>
      <c r="Q395" s="61" t="str">
        <f aca="false">IF($A395="","",MAX(0,O395)*P395)</f>
        <v/>
      </c>
      <c r="R395" s="60" t="str">
        <f aca="false">IF($A395="","",IF(O395&lt;0,"NEGATIVE",IF(O395=0,"OUT OF STOCK",IF(O395&lt;=N($I395),"REORDER",IF(AND(O395&gt;0,X395&gt;DeadDays),"DEAD STOCK","OK")))))</f>
        <v/>
      </c>
      <c r="S395" s="65" t="str">
        <f aca="false">IF($A395="","",IF(N($H395)=0,0,(N($H395)-P395)/N($H395)))</f>
        <v/>
      </c>
      <c r="T395" s="64" t="str">
        <f aca="false">IF($A395="","",IF(O395&lt;=N($I395),MAX(0,2*N($I395)-O395),0))</f>
        <v/>
      </c>
      <c r="U395" s="61" t="str">
        <f aca="false">IF($A395="","",SUMIFS(Sales!$L$5:INDEX(Sales!$L$5:$L$3004,TxRows),Sales!$D$5:INDEX(Sales!$D$5:$D$3004,TxRows),$A395))</f>
        <v/>
      </c>
      <c r="V395" s="61" t="str">
        <f aca="false">IF($A395="","",SUMIFS(Sales!$S$5:INDEX(Sales!$S$5:$S$3004,TxRows),Sales!$D$5:INDEX(Sales!$D$5:$D$3004,TxRows),$A395))</f>
        <v/>
      </c>
      <c r="W395" s="66" t="str">
        <f aca="false">IF($A395="","",IFERROR(SUMPRODUCT(MAX((Sales!$D$5:INDEX(Sales!$D$5:$D$3004,TxRows)=$A395)*Sales!$A$5:INDEX(Sales!$A$5:$A$3004,TxRows))),0))</f>
        <v/>
      </c>
      <c r="X395" s="67" t="str">
        <f aca="false">IF($A395="","",IF(W395=0,AsOf-FYStart,AsOf-W395))</f>
        <v/>
      </c>
      <c r="Y395" s="67" t="str">
        <f aca="false">IF($A395="","",IF(M395=0,"",O395/(M395/MAX(1,AsOf-FYStart))))</f>
        <v/>
      </c>
      <c r="Z395" s="60" t="str">
        <f aca="false">IF($A395="","",U395+ROW()/1000000)</f>
        <v/>
      </c>
    </row>
    <row r="396" customFormat="false" ht="15" hidden="false" customHeight="false" outlineLevel="0" collapsed="false">
      <c r="A396" s="56"/>
      <c r="B396" s="56"/>
      <c r="C396" s="56"/>
      <c r="D396" s="56"/>
      <c r="E396" s="56"/>
      <c r="F396" s="63"/>
      <c r="G396" s="58"/>
      <c r="H396" s="58"/>
      <c r="I396" s="57"/>
      <c r="J396" s="57"/>
      <c r="K396" s="58"/>
      <c r="L396" s="64" t="str">
        <f aca="false">IF($A396="","",SUMIFS(Purchases!$E$5:INDEX(Purchases!$E$5:$E$3004,TxRows),Purchases!$D$5:INDEX(Purchases!$D$5:$D$3004,TxRows),$A396))</f>
        <v/>
      </c>
      <c r="M396" s="64" t="str">
        <f aca="false">IF($A396="","",SUMIFS(Sales!$E$5:INDEX(Sales!$E$5:$E$3004,TxRows),Sales!$D$5:INDEX(Sales!$D$5:$D$3004,TxRows),$A396))</f>
        <v/>
      </c>
      <c r="N396" s="64" t="str">
        <f aca="false">IF($A396="","",SUMIFS(Adjustments!$C$5:$C$504,Adjustments!$B$5:$B$504,$A396))</f>
        <v/>
      </c>
      <c r="O396" s="64" t="str">
        <f aca="false">IF($A396="","",N($J396)+L396-M396+N396)</f>
        <v/>
      </c>
      <c r="P396" s="61" t="str">
        <f aca="false">IF($A396="","",IFERROR((N($J396)*N($K396)+SUMIFS(Purchases!$K$5:INDEX(Purchases!$K$5:$K$3004,TxRows),Purchases!$D$5:INDEX(Purchases!$D$5:$D$3004,TxRows),$A396))/(N($J396)+L396),N($G396)))</f>
        <v/>
      </c>
      <c r="Q396" s="61" t="str">
        <f aca="false">IF($A396="","",MAX(0,O396)*P396)</f>
        <v/>
      </c>
      <c r="R396" s="60" t="str">
        <f aca="false">IF($A396="","",IF(O396&lt;0,"NEGATIVE",IF(O396=0,"OUT OF STOCK",IF(O396&lt;=N($I396),"REORDER",IF(AND(O396&gt;0,X396&gt;DeadDays),"DEAD STOCK","OK")))))</f>
        <v/>
      </c>
      <c r="S396" s="65" t="str">
        <f aca="false">IF($A396="","",IF(N($H396)=0,0,(N($H396)-P396)/N($H396)))</f>
        <v/>
      </c>
      <c r="T396" s="64" t="str">
        <f aca="false">IF($A396="","",IF(O396&lt;=N($I396),MAX(0,2*N($I396)-O396),0))</f>
        <v/>
      </c>
      <c r="U396" s="61" t="str">
        <f aca="false">IF($A396="","",SUMIFS(Sales!$L$5:INDEX(Sales!$L$5:$L$3004,TxRows),Sales!$D$5:INDEX(Sales!$D$5:$D$3004,TxRows),$A396))</f>
        <v/>
      </c>
      <c r="V396" s="61" t="str">
        <f aca="false">IF($A396="","",SUMIFS(Sales!$S$5:INDEX(Sales!$S$5:$S$3004,TxRows),Sales!$D$5:INDEX(Sales!$D$5:$D$3004,TxRows),$A396))</f>
        <v/>
      </c>
      <c r="W396" s="66" t="str">
        <f aca="false">IF($A396="","",IFERROR(SUMPRODUCT(MAX((Sales!$D$5:INDEX(Sales!$D$5:$D$3004,TxRows)=$A396)*Sales!$A$5:INDEX(Sales!$A$5:$A$3004,TxRows))),0))</f>
        <v/>
      </c>
      <c r="X396" s="67" t="str">
        <f aca="false">IF($A396="","",IF(W396=0,AsOf-FYStart,AsOf-W396))</f>
        <v/>
      </c>
      <c r="Y396" s="67" t="str">
        <f aca="false">IF($A396="","",IF(M396=0,"",O396/(M396/MAX(1,AsOf-FYStart))))</f>
        <v/>
      </c>
      <c r="Z396" s="60" t="str">
        <f aca="false">IF($A396="","",U396+ROW()/1000000)</f>
        <v/>
      </c>
    </row>
    <row r="397" customFormat="false" ht="15" hidden="false" customHeight="false" outlineLevel="0" collapsed="false">
      <c r="A397" s="56"/>
      <c r="B397" s="56"/>
      <c r="C397" s="56"/>
      <c r="D397" s="56"/>
      <c r="E397" s="56"/>
      <c r="F397" s="63"/>
      <c r="G397" s="58"/>
      <c r="H397" s="58"/>
      <c r="I397" s="57"/>
      <c r="J397" s="57"/>
      <c r="K397" s="58"/>
      <c r="L397" s="64" t="str">
        <f aca="false">IF($A397="","",SUMIFS(Purchases!$E$5:INDEX(Purchases!$E$5:$E$3004,TxRows),Purchases!$D$5:INDEX(Purchases!$D$5:$D$3004,TxRows),$A397))</f>
        <v/>
      </c>
      <c r="M397" s="64" t="str">
        <f aca="false">IF($A397="","",SUMIFS(Sales!$E$5:INDEX(Sales!$E$5:$E$3004,TxRows),Sales!$D$5:INDEX(Sales!$D$5:$D$3004,TxRows),$A397))</f>
        <v/>
      </c>
      <c r="N397" s="64" t="str">
        <f aca="false">IF($A397="","",SUMIFS(Adjustments!$C$5:$C$504,Adjustments!$B$5:$B$504,$A397))</f>
        <v/>
      </c>
      <c r="O397" s="64" t="str">
        <f aca="false">IF($A397="","",N($J397)+L397-M397+N397)</f>
        <v/>
      </c>
      <c r="P397" s="61" t="str">
        <f aca="false">IF($A397="","",IFERROR((N($J397)*N($K397)+SUMIFS(Purchases!$K$5:INDEX(Purchases!$K$5:$K$3004,TxRows),Purchases!$D$5:INDEX(Purchases!$D$5:$D$3004,TxRows),$A397))/(N($J397)+L397),N($G397)))</f>
        <v/>
      </c>
      <c r="Q397" s="61" t="str">
        <f aca="false">IF($A397="","",MAX(0,O397)*P397)</f>
        <v/>
      </c>
      <c r="R397" s="60" t="str">
        <f aca="false">IF($A397="","",IF(O397&lt;0,"NEGATIVE",IF(O397=0,"OUT OF STOCK",IF(O397&lt;=N($I397),"REORDER",IF(AND(O397&gt;0,X397&gt;DeadDays),"DEAD STOCK","OK")))))</f>
        <v/>
      </c>
      <c r="S397" s="65" t="str">
        <f aca="false">IF($A397="","",IF(N($H397)=0,0,(N($H397)-P397)/N($H397)))</f>
        <v/>
      </c>
      <c r="T397" s="64" t="str">
        <f aca="false">IF($A397="","",IF(O397&lt;=N($I397),MAX(0,2*N($I397)-O397),0))</f>
        <v/>
      </c>
      <c r="U397" s="61" t="str">
        <f aca="false">IF($A397="","",SUMIFS(Sales!$L$5:INDEX(Sales!$L$5:$L$3004,TxRows),Sales!$D$5:INDEX(Sales!$D$5:$D$3004,TxRows),$A397))</f>
        <v/>
      </c>
      <c r="V397" s="61" t="str">
        <f aca="false">IF($A397="","",SUMIFS(Sales!$S$5:INDEX(Sales!$S$5:$S$3004,TxRows),Sales!$D$5:INDEX(Sales!$D$5:$D$3004,TxRows),$A397))</f>
        <v/>
      </c>
      <c r="W397" s="66" t="str">
        <f aca="false">IF($A397="","",IFERROR(SUMPRODUCT(MAX((Sales!$D$5:INDEX(Sales!$D$5:$D$3004,TxRows)=$A397)*Sales!$A$5:INDEX(Sales!$A$5:$A$3004,TxRows))),0))</f>
        <v/>
      </c>
      <c r="X397" s="67" t="str">
        <f aca="false">IF($A397="","",IF(W397=0,AsOf-FYStart,AsOf-W397))</f>
        <v/>
      </c>
      <c r="Y397" s="67" t="str">
        <f aca="false">IF($A397="","",IF(M397=0,"",O397/(M397/MAX(1,AsOf-FYStart))))</f>
        <v/>
      </c>
      <c r="Z397" s="60" t="str">
        <f aca="false">IF($A397="","",U397+ROW()/1000000)</f>
        <v/>
      </c>
    </row>
    <row r="398" customFormat="false" ht="15" hidden="false" customHeight="false" outlineLevel="0" collapsed="false">
      <c r="A398" s="56"/>
      <c r="B398" s="56"/>
      <c r="C398" s="56"/>
      <c r="D398" s="56"/>
      <c r="E398" s="56"/>
      <c r="F398" s="63"/>
      <c r="G398" s="58"/>
      <c r="H398" s="58"/>
      <c r="I398" s="57"/>
      <c r="J398" s="57"/>
      <c r="K398" s="58"/>
      <c r="L398" s="64" t="str">
        <f aca="false">IF($A398="","",SUMIFS(Purchases!$E$5:INDEX(Purchases!$E$5:$E$3004,TxRows),Purchases!$D$5:INDEX(Purchases!$D$5:$D$3004,TxRows),$A398))</f>
        <v/>
      </c>
      <c r="M398" s="64" t="str">
        <f aca="false">IF($A398="","",SUMIFS(Sales!$E$5:INDEX(Sales!$E$5:$E$3004,TxRows),Sales!$D$5:INDEX(Sales!$D$5:$D$3004,TxRows),$A398))</f>
        <v/>
      </c>
      <c r="N398" s="64" t="str">
        <f aca="false">IF($A398="","",SUMIFS(Adjustments!$C$5:$C$504,Adjustments!$B$5:$B$504,$A398))</f>
        <v/>
      </c>
      <c r="O398" s="64" t="str">
        <f aca="false">IF($A398="","",N($J398)+L398-M398+N398)</f>
        <v/>
      </c>
      <c r="P398" s="61" t="str">
        <f aca="false">IF($A398="","",IFERROR((N($J398)*N($K398)+SUMIFS(Purchases!$K$5:INDEX(Purchases!$K$5:$K$3004,TxRows),Purchases!$D$5:INDEX(Purchases!$D$5:$D$3004,TxRows),$A398))/(N($J398)+L398),N($G398)))</f>
        <v/>
      </c>
      <c r="Q398" s="61" t="str">
        <f aca="false">IF($A398="","",MAX(0,O398)*P398)</f>
        <v/>
      </c>
      <c r="R398" s="60" t="str">
        <f aca="false">IF($A398="","",IF(O398&lt;0,"NEGATIVE",IF(O398=0,"OUT OF STOCK",IF(O398&lt;=N($I398),"REORDER",IF(AND(O398&gt;0,X398&gt;DeadDays),"DEAD STOCK","OK")))))</f>
        <v/>
      </c>
      <c r="S398" s="65" t="str">
        <f aca="false">IF($A398="","",IF(N($H398)=0,0,(N($H398)-P398)/N($H398)))</f>
        <v/>
      </c>
      <c r="T398" s="64" t="str">
        <f aca="false">IF($A398="","",IF(O398&lt;=N($I398),MAX(0,2*N($I398)-O398),0))</f>
        <v/>
      </c>
      <c r="U398" s="61" t="str">
        <f aca="false">IF($A398="","",SUMIFS(Sales!$L$5:INDEX(Sales!$L$5:$L$3004,TxRows),Sales!$D$5:INDEX(Sales!$D$5:$D$3004,TxRows),$A398))</f>
        <v/>
      </c>
      <c r="V398" s="61" t="str">
        <f aca="false">IF($A398="","",SUMIFS(Sales!$S$5:INDEX(Sales!$S$5:$S$3004,TxRows),Sales!$D$5:INDEX(Sales!$D$5:$D$3004,TxRows),$A398))</f>
        <v/>
      </c>
      <c r="W398" s="66" t="str">
        <f aca="false">IF($A398="","",IFERROR(SUMPRODUCT(MAX((Sales!$D$5:INDEX(Sales!$D$5:$D$3004,TxRows)=$A398)*Sales!$A$5:INDEX(Sales!$A$5:$A$3004,TxRows))),0))</f>
        <v/>
      </c>
      <c r="X398" s="67" t="str">
        <f aca="false">IF($A398="","",IF(W398=0,AsOf-FYStart,AsOf-W398))</f>
        <v/>
      </c>
      <c r="Y398" s="67" t="str">
        <f aca="false">IF($A398="","",IF(M398=0,"",O398/(M398/MAX(1,AsOf-FYStart))))</f>
        <v/>
      </c>
      <c r="Z398" s="60" t="str">
        <f aca="false">IF($A398="","",U398+ROW()/1000000)</f>
        <v/>
      </c>
    </row>
    <row r="399" customFormat="false" ht="15" hidden="false" customHeight="false" outlineLevel="0" collapsed="false">
      <c r="A399" s="56"/>
      <c r="B399" s="56"/>
      <c r="C399" s="56"/>
      <c r="D399" s="56"/>
      <c r="E399" s="56"/>
      <c r="F399" s="63"/>
      <c r="G399" s="58"/>
      <c r="H399" s="58"/>
      <c r="I399" s="57"/>
      <c r="J399" s="57"/>
      <c r="K399" s="58"/>
      <c r="L399" s="64" t="str">
        <f aca="false">IF($A399="","",SUMIFS(Purchases!$E$5:INDEX(Purchases!$E$5:$E$3004,TxRows),Purchases!$D$5:INDEX(Purchases!$D$5:$D$3004,TxRows),$A399))</f>
        <v/>
      </c>
      <c r="M399" s="64" t="str">
        <f aca="false">IF($A399="","",SUMIFS(Sales!$E$5:INDEX(Sales!$E$5:$E$3004,TxRows),Sales!$D$5:INDEX(Sales!$D$5:$D$3004,TxRows),$A399))</f>
        <v/>
      </c>
      <c r="N399" s="64" t="str">
        <f aca="false">IF($A399="","",SUMIFS(Adjustments!$C$5:$C$504,Adjustments!$B$5:$B$504,$A399))</f>
        <v/>
      </c>
      <c r="O399" s="64" t="str">
        <f aca="false">IF($A399="","",N($J399)+L399-M399+N399)</f>
        <v/>
      </c>
      <c r="P399" s="61" t="str">
        <f aca="false">IF($A399="","",IFERROR((N($J399)*N($K399)+SUMIFS(Purchases!$K$5:INDEX(Purchases!$K$5:$K$3004,TxRows),Purchases!$D$5:INDEX(Purchases!$D$5:$D$3004,TxRows),$A399))/(N($J399)+L399),N($G399)))</f>
        <v/>
      </c>
      <c r="Q399" s="61" t="str">
        <f aca="false">IF($A399="","",MAX(0,O399)*P399)</f>
        <v/>
      </c>
      <c r="R399" s="60" t="str">
        <f aca="false">IF($A399="","",IF(O399&lt;0,"NEGATIVE",IF(O399=0,"OUT OF STOCK",IF(O399&lt;=N($I399),"REORDER",IF(AND(O399&gt;0,X399&gt;DeadDays),"DEAD STOCK","OK")))))</f>
        <v/>
      </c>
      <c r="S399" s="65" t="str">
        <f aca="false">IF($A399="","",IF(N($H399)=0,0,(N($H399)-P399)/N($H399)))</f>
        <v/>
      </c>
      <c r="T399" s="64" t="str">
        <f aca="false">IF($A399="","",IF(O399&lt;=N($I399),MAX(0,2*N($I399)-O399),0))</f>
        <v/>
      </c>
      <c r="U399" s="61" t="str">
        <f aca="false">IF($A399="","",SUMIFS(Sales!$L$5:INDEX(Sales!$L$5:$L$3004,TxRows),Sales!$D$5:INDEX(Sales!$D$5:$D$3004,TxRows),$A399))</f>
        <v/>
      </c>
      <c r="V399" s="61" t="str">
        <f aca="false">IF($A399="","",SUMIFS(Sales!$S$5:INDEX(Sales!$S$5:$S$3004,TxRows),Sales!$D$5:INDEX(Sales!$D$5:$D$3004,TxRows),$A399))</f>
        <v/>
      </c>
      <c r="W399" s="66" t="str">
        <f aca="false">IF($A399="","",IFERROR(SUMPRODUCT(MAX((Sales!$D$5:INDEX(Sales!$D$5:$D$3004,TxRows)=$A399)*Sales!$A$5:INDEX(Sales!$A$5:$A$3004,TxRows))),0))</f>
        <v/>
      </c>
      <c r="X399" s="67" t="str">
        <f aca="false">IF($A399="","",IF(W399=0,AsOf-FYStart,AsOf-W399))</f>
        <v/>
      </c>
      <c r="Y399" s="67" t="str">
        <f aca="false">IF($A399="","",IF(M399=0,"",O399/(M399/MAX(1,AsOf-FYStart))))</f>
        <v/>
      </c>
      <c r="Z399" s="60" t="str">
        <f aca="false">IF($A399="","",U399+ROW()/1000000)</f>
        <v/>
      </c>
    </row>
    <row r="400" customFormat="false" ht="15" hidden="false" customHeight="false" outlineLevel="0" collapsed="false">
      <c r="A400" s="56"/>
      <c r="B400" s="56"/>
      <c r="C400" s="56"/>
      <c r="D400" s="56"/>
      <c r="E400" s="56"/>
      <c r="F400" s="63"/>
      <c r="G400" s="58"/>
      <c r="H400" s="58"/>
      <c r="I400" s="57"/>
      <c r="J400" s="57"/>
      <c r="K400" s="58"/>
      <c r="L400" s="64" t="str">
        <f aca="false">IF($A400="","",SUMIFS(Purchases!$E$5:INDEX(Purchases!$E$5:$E$3004,TxRows),Purchases!$D$5:INDEX(Purchases!$D$5:$D$3004,TxRows),$A400))</f>
        <v/>
      </c>
      <c r="M400" s="64" t="str">
        <f aca="false">IF($A400="","",SUMIFS(Sales!$E$5:INDEX(Sales!$E$5:$E$3004,TxRows),Sales!$D$5:INDEX(Sales!$D$5:$D$3004,TxRows),$A400))</f>
        <v/>
      </c>
      <c r="N400" s="64" t="str">
        <f aca="false">IF($A400="","",SUMIFS(Adjustments!$C$5:$C$504,Adjustments!$B$5:$B$504,$A400))</f>
        <v/>
      </c>
      <c r="O400" s="64" t="str">
        <f aca="false">IF($A400="","",N($J400)+L400-M400+N400)</f>
        <v/>
      </c>
      <c r="P400" s="61" t="str">
        <f aca="false">IF($A400="","",IFERROR((N($J400)*N($K400)+SUMIFS(Purchases!$K$5:INDEX(Purchases!$K$5:$K$3004,TxRows),Purchases!$D$5:INDEX(Purchases!$D$5:$D$3004,TxRows),$A400))/(N($J400)+L400),N($G400)))</f>
        <v/>
      </c>
      <c r="Q400" s="61" t="str">
        <f aca="false">IF($A400="","",MAX(0,O400)*P400)</f>
        <v/>
      </c>
      <c r="R400" s="60" t="str">
        <f aca="false">IF($A400="","",IF(O400&lt;0,"NEGATIVE",IF(O400=0,"OUT OF STOCK",IF(O400&lt;=N($I400),"REORDER",IF(AND(O400&gt;0,X400&gt;DeadDays),"DEAD STOCK","OK")))))</f>
        <v/>
      </c>
      <c r="S400" s="65" t="str">
        <f aca="false">IF($A400="","",IF(N($H400)=0,0,(N($H400)-P400)/N($H400)))</f>
        <v/>
      </c>
      <c r="T400" s="64" t="str">
        <f aca="false">IF($A400="","",IF(O400&lt;=N($I400),MAX(0,2*N($I400)-O400),0))</f>
        <v/>
      </c>
      <c r="U400" s="61" t="str">
        <f aca="false">IF($A400="","",SUMIFS(Sales!$L$5:INDEX(Sales!$L$5:$L$3004,TxRows),Sales!$D$5:INDEX(Sales!$D$5:$D$3004,TxRows),$A400))</f>
        <v/>
      </c>
      <c r="V400" s="61" t="str">
        <f aca="false">IF($A400="","",SUMIFS(Sales!$S$5:INDEX(Sales!$S$5:$S$3004,TxRows),Sales!$D$5:INDEX(Sales!$D$5:$D$3004,TxRows),$A400))</f>
        <v/>
      </c>
      <c r="W400" s="66" t="str">
        <f aca="false">IF($A400="","",IFERROR(SUMPRODUCT(MAX((Sales!$D$5:INDEX(Sales!$D$5:$D$3004,TxRows)=$A400)*Sales!$A$5:INDEX(Sales!$A$5:$A$3004,TxRows))),0))</f>
        <v/>
      </c>
      <c r="X400" s="67" t="str">
        <f aca="false">IF($A400="","",IF(W400=0,AsOf-FYStart,AsOf-W400))</f>
        <v/>
      </c>
      <c r="Y400" s="67" t="str">
        <f aca="false">IF($A400="","",IF(M400=0,"",O400/(M400/MAX(1,AsOf-FYStart))))</f>
        <v/>
      </c>
      <c r="Z400" s="60" t="str">
        <f aca="false">IF($A400="","",U400+ROW()/1000000)</f>
        <v/>
      </c>
    </row>
    <row r="401" customFormat="false" ht="15" hidden="false" customHeight="false" outlineLevel="0" collapsed="false">
      <c r="A401" s="56"/>
      <c r="B401" s="56"/>
      <c r="C401" s="56"/>
      <c r="D401" s="56"/>
      <c r="E401" s="56"/>
      <c r="F401" s="63"/>
      <c r="G401" s="58"/>
      <c r="H401" s="58"/>
      <c r="I401" s="57"/>
      <c r="J401" s="57"/>
      <c r="K401" s="58"/>
      <c r="L401" s="64" t="str">
        <f aca="false">IF($A401="","",SUMIFS(Purchases!$E$5:INDEX(Purchases!$E$5:$E$3004,TxRows),Purchases!$D$5:INDEX(Purchases!$D$5:$D$3004,TxRows),$A401))</f>
        <v/>
      </c>
      <c r="M401" s="64" t="str">
        <f aca="false">IF($A401="","",SUMIFS(Sales!$E$5:INDEX(Sales!$E$5:$E$3004,TxRows),Sales!$D$5:INDEX(Sales!$D$5:$D$3004,TxRows),$A401))</f>
        <v/>
      </c>
      <c r="N401" s="64" t="str">
        <f aca="false">IF($A401="","",SUMIFS(Adjustments!$C$5:$C$504,Adjustments!$B$5:$B$504,$A401))</f>
        <v/>
      </c>
      <c r="O401" s="64" t="str">
        <f aca="false">IF($A401="","",N($J401)+L401-M401+N401)</f>
        <v/>
      </c>
      <c r="P401" s="61" t="str">
        <f aca="false">IF($A401="","",IFERROR((N($J401)*N($K401)+SUMIFS(Purchases!$K$5:INDEX(Purchases!$K$5:$K$3004,TxRows),Purchases!$D$5:INDEX(Purchases!$D$5:$D$3004,TxRows),$A401))/(N($J401)+L401),N($G401)))</f>
        <v/>
      </c>
      <c r="Q401" s="61" t="str">
        <f aca="false">IF($A401="","",MAX(0,O401)*P401)</f>
        <v/>
      </c>
      <c r="R401" s="60" t="str">
        <f aca="false">IF($A401="","",IF(O401&lt;0,"NEGATIVE",IF(O401=0,"OUT OF STOCK",IF(O401&lt;=N($I401),"REORDER",IF(AND(O401&gt;0,X401&gt;DeadDays),"DEAD STOCK","OK")))))</f>
        <v/>
      </c>
      <c r="S401" s="65" t="str">
        <f aca="false">IF($A401="","",IF(N($H401)=0,0,(N($H401)-P401)/N($H401)))</f>
        <v/>
      </c>
      <c r="T401" s="64" t="str">
        <f aca="false">IF($A401="","",IF(O401&lt;=N($I401),MAX(0,2*N($I401)-O401),0))</f>
        <v/>
      </c>
      <c r="U401" s="61" t="str">
        <f aca="false">IF($A401="","",SUMIFS(Sales!$L$5:INDEX(Sales!$L$5:$L$3004,TxRows),Sales!$D$5:INDEX(Sales!$D$5:$D$3004,TxRows),$A401))</f>
        <v/>
      </c>
      <c r="V401" s="61" t="str">
        <f aca="false">IF($A401="","",SUMIFS(Sales!$S$5:INDEX(Sales!$S$5:$S$3004,TxRows),Sales!$D$5:INDEX(Sales!$D$5:$D$3004,TxRows),$A401))</f>
        <v/>
      </c>
      <c r="W401" s="66" t="str">
        <f aca="false">IF($A401="","",IFERROR(SUMPRODUCT(MAX((Sales!$D$5:INDEX(Sales!$D$5:$D$3004,TxRows)=$A401)*Sales!$A$5:INDEX(Sales!$A$5:$A$3004,TxRows))),0))</f>
        <v/>
      </c>
      <c r="X401" s="67" t="str">
        <f aca="false">IF($A401="","",IF(W401=0,AsOf-FYStart,AsOf-W401))</f>
        <v/>
      </c>
      <c r="Y401" s="67" t="str">
        <f aca="false">IF($A401="","",IF(M401=0,"",O401/(M401/MAX(1,AsOf-FYStart))))</f>
        <v/>
      </c>
      <c r="Z401" s="60" t="str">
        <f aca="false">IF($A401="","",U401+ROW()/1000000)</f>
        <v/>
      </c>
    </row>
    <row r="402" customFormat="false" ht="15" hidden="false" customHeight="false" outlineLevel="0" collapsed="false">
      <c r="A402" s="56"/>
      <c r="B402" s="56"/>
      <c r="C402" s="56"/>
      <c r="D402" s="56"/>
      <c r="E402" s="56"/>
      <c r="F402" s="63"/>
      <c r="G402" s="58"/>
      <c r="H402" s="58"/>
      <c r="I402" s="57"/>
      <c r="J402" s="57"/>
      <c r="K402" s="58"/>
      <c r="L402" s="64" t="str">
        <f aca="false">IF($A402="","",SUMIFS(Purchases!$E$5:INDEX(Purchases!$E$5:$E$3004,TxRows),Purchases!$D$5:INDEX(Purchases!$D$5:$D$3004,TxRows),$A402))</f>
        <v/>
      </c>
      <c r="M402" s="64" t="str">
        <f aca="false">IF($A402="","",SUMIFS(Sales!$E$5:INDEX(Sales!$E$5:$E$3004,TxRows),Sales!$D$5:INDEX(Sales!$D$5:$D$3004,TxRows),$A402))</f>
        <v/>
      </c>
      <c r="N402" s="64" t="str">
        <f aca="false">IF($A402="","",SUMIFS(Adjustments!$C$5:$C$504,Adjustments!$B$5:$B$504,$A402))</f>
        <v/>
      </c>
      <c r="O402" s="64" t="str">
        <f aca="false">IF($A402="","",N($J402)+L402-M402+N402)</f>
        <v/>
      </c>
      <c r="P402" s="61" t="str">
        <f aca="false">IF($A402="","",IFERROR((N($J402)*N($K402)+SUMIFS(Purchases!$K$5:INDEX(Purchases!$K$5:$K$3004,TxRows),Purchases!$D$5:INDEX(Purchases!$D$5:$D$3004,TxRows),$A402))/(N($J402)+L402),N($G402)))</f>
        <v/>
      </c>
      <c r="Q402" s="61" t="str">
        <f aca="false">IF($A402="","",MAX(0,O402)*P402)</f>
        <v/>
      </c>
      <c r="R402" s="60" t="str">
        <f aca="false">IF($A402="","",IF(O402&lt;0,"NEGATIVE",IF(O402=0,"OUT OF STOCK",IF(O402&lt;=N($I402),"REORDER",IF(AND(O402&gt;0,X402&gt;DeadDays),"DEAD STOCK","OK")))))</f>
        <v/>
      </c>
      <c r="S402" s="65" t="str">
        <f aca="false">IF($A402="","",IF(N($H402)=0,0,(N($H402)-P402)/N($H402)))</f>
        <v/>
      </c>
      <c r="T402" s="64" t="str">
        <f aca="false">IF($A402="","",IF(O402&lt;=N($I402),MAX(0,2*N($I402)-O402),0))</f>
        <v/>
      </c>
      <c r="U402" s="61" t="str">
        <f aca="false">IF($A402="","",SUMIFS(Sales!$L$5:INDEX(Sales!$L$5:$L$3004,TxRows),Sales!$D$5:INDEX(Sales!$D$5:$D$3004,TxRows),$A402))</f>
        <v/>
      </c>
      <c r="V402" s="61" t="str">
        <f aca="false">IF($A402="","",SUMIFS(Sales!$S$5:INDEX(Sales!$S$5:$S$3004,TxRows),Sales!$D$5:INDEX(Sales!$D$5:$D$3004,TxRows),$A402))</f>
        <v/>
      </c>
      <c r="W402" s="66" t="str">
        <f aca="false">IF($A402="","",IFERROR(SUMPRODUCT(MAX((Sales!$D$5:INDEX(Sales!$D$5:$D$3004,TxRows)=$A402)*Sales!$A$5:INDEX(Sales!$A$5:$A$3004,TxRows))),0))</f>
        <v/>
      </c>
      <c r="X402" s="67" t="str">
        <f aca="false">IF($A402="","",IF(W402=0,AsOf-FYStart,AsOf-W402))</f>
        <v/>
      </c>
      <c r="Y402" s="67" t="str">
        <f aca="false">IF($A402="","",IF(M402=0,"",O402/(M402/MAX(1,AsOf-FYStart))))</f>
        <v/>
      </c>
      <c r="Z402" s="60" t="str">
        <f aca="false">IF($A402="","",U402+ROW()/1000000)</f>
        <v/>
      </c>
    </row>
    <row r="403" customFormat="false" ht="15" hidden="false" customHeight="false" outlineLevel="0" collapsed="false">
      <c r="A403" s="56"/>
      <c r="B403" s="56"/>
      <c r="C403" s="56"/>
      <c r="D403" s="56"/>
      <c r="E403" s="56"/>
      <c r="F403" s="63"/>
      <c r="G403" s="58"/>
      <c r="H403" s="58"/>
      <c r="I403" s="57"/>
      <c r="J403" s="57"/>
      <c r="K403" s="58"/>
      <c r="L403" s="64" t="str">
        <f aca="false">IF($A403="","",SUMIFS(Purchases!$E$5:INDEX(Purchases!$E$5:$E$3004,TxRows),Purchases!$D$5:INDEX(Purchases!$D$5:$D$3004,TxRows),$A403))</f>
        <v/>
      </c>
      <c r="M403" s="64" t="str">
        <f aca="false">IF($A403="","",SUMIFS(Sales!$E$5:INDEX(Sales!$E$5:$E$3004,TxRows),Sales!$D$5:INDEX(Sales!$D$5:$D$3004,TxRows),$A403))</f>
        <v/>
      </c>
      <c r="N403" s="64" t="str">
        <f aca="false">IF($A403="","",SUMIFS(Adjustments!$C$5:$C$504,Adjustments!$B$5:$B$504,$A403))</f>
        <v/>
      </c>
      <c r="O403" s="64" t="str">
        <f aca="false">IF($A403="","",N($J403)+L403-M403+N403)</f>
        <v/>
      </c>
      <c r="P403" s="61" t="str">
        <f aca="false">IF($A403="","",IFERROR((N($J403)*N($K403)+SUMIFS(Purchases!$K$5:INDEX(Purchases!$K$5:$K$3004,TxRows),Purchases!$D$5:INDEX(Purchases!$D$5:$D$3004,TxRows),$A403))/(N($J403)+L403),N($G403)))</f>
        <v/>
      </c>
      <c r="Q403" s="61" t="str">
        <f aca="false">IF($A403="","",MAX(0,O403)*P403)</f>
        <v/>
      </c>
      <c r="R403" s="60" t="str">
        <f aca="false">IF($A403="","",IF(O403&lt;0,"NEGATIVE",IF(O403=0,"OUT OF STOCK",IF(O403&lt;=N($I403),"REORDER",IF(AND(O403&gt;0,X403&gt;DeadDays),"DEAD STOCK","OK")))))</f>
        <v/>
      </c>
      <c r="S403" s="65" t="str">
        <f aca="false">IF($A403="","",IF(N($H403)=0,0,(N($H403)-P403)/N($H403)))</f>
        <v/>
      </c>
      <c r="T403" s="64" t="str">
        <f aca="false">IF($A403="","",IF(O403&lt;=N($I403),MAX(0,2*N($I403)-O403),0))</f>
        <v/>
      </c>
      <c r="U403" s="61" t="str">
        <f aca="false">IF($A403="","",SUMIFS(Sales!$L$5:INDEX(Sales!$L$5:$L$3004,TxRows),Sales!$D$5:INDEX(Sales!$D$5:$D$3004,TxRows),$A403))</f>
        <v/>
      </c>
      <c r="V403" s="61" t="str">
        <f aca="false">IF($A403="","",SUMIFS(Sales!$S$5:INDEX(Sales!$S$5:$S$3004,TxRows),Sales!$D$5:INDEX(Sales!$D$5:$D$3004,TxRows),$A403))</f>
        <v/>
      </c>
      <c r="W403" s="66" t="str">
        <f aca="false">IF($A403="","",IFERROR(SUMPRODUCT(MAX((Sales!$D$5:INDEX(Sales!$D$5:$D$3004,TxRows)=$A403)*Sales!$A$5:INDEX(Sales!$A$5:$A$3004,TxRows))),0))</f>
        <v/>
      </c>
      <c r="X403" s="67" t="str">
        <f aca="false">IF($A403="","",IF(W403=0,AsOf-FYStart,AsOf-W403))</f>
        <v/>
      </c>
      <c r="Y403" s="67" t="str">
        <f aca="false">IF($A403="","",IF(M403=0,"",O403/(M403/MAX(1,AsOf-FYStart))))</f>
        <v/>
      </c>
      <c r="Z403" s="60" t="str">
        <f aca="false">IF($A403="","",U403+ROW()/1000000)</f>
        <v/>
      </c>
    </row>
    <row r="404" customFormat="false" ht="15" hidden="false" customHeight="false" outlineLevel="0" collapsed="false">
      <c r="A404" s="56"/>
      <c r="B404" s="56"/>
      <c r="C404" s="56"/>
      <c r="D404" s="56"/>
      <c r="E404" s="56"/>
      <c r="F404" s="63"/>
      <c r="G404" s="58"/>
      <c r="H404" s="58"/>
      <c r="I404" s="57"/>
      <c r="J404" s="57"/>
      <c r="K404" s="58"/>
      <c r="L404" s="64" t="str">
        <f aca="false">IF($A404="","",SUMIFS(Purchases!$E$5:INDEX(Purchases!$E$5:$E$3004,TxRows),Purchases!$D$5:INDEX(Purchases!$D$5:$D$3004,TxRows),$A404))</f>
        <v/>
      </c>
      <c r="M404" s="64" t="str">
        <f aca="false">IF($A404="","",SUMIFS(Sales!$E$5:INDEX(Sales!$E$5:$E$3004,TxRows),Sales!$D$5:INDEX(Sales!$D$5:$D$3004,TxRows),$A404))</f>
        <v/>
      </c>
      <c r="N404" s="64" t="str">
        <f aca="false">IF($A404="","",SUMIFS(Adjustments!$C$5:$C$504,Adjustments!$B$5:$B$504,$A404))</f>
        <v/>
      </c>
      <c r="O404" s="64" t="str">
        <f aca="false">IF($A404="","",N($J404)+L404-M404+N404)</f>
        <v/>
      </c>
      <c r="P404" s="61" t="str">
        <f aca="false">IF($A404="","",IFERROR((N($J404)*N($K404)+SUMIFS(Purchases!$K$5:INDEX(Purchases!$K$5:$K$3004,TxRows),Purchases!$D$5:INDEX(Purchases!$D$5:$D$3004,TxRows),$A404))/(N($J404)+L404),N($G404)))</f>
        <v/>
      </c>
      <c r="Q404" s="61" t="str">
        <f aca="false">IF($A404="","",MAX(0,O404)*P404)</f>
        <v/>
      </c>
      <c r="R404" s="60" t="str">
        <f aca="false">IF($A404="","",IF(O404&lt;0,"NEGATIVE",IF(O404=0,"OUT OF STOCK",IF(O404&lt;=N($I404),"REORDER",IF(AND(O404&gt;0,X404&gt;DeadDays),"DEAD STOCK","OK")))))</f>
        <v/>
      </c>
      <c r="S404" s="65" t="str">
        <f aca="false">IF($A404="","",IF(N($H404)=0,0,(N($H404)-P404)/N($H404)))</f>
        <v/>
      </c>
      <c r="T404" s="64" t="str">
        <f aca="false">IF($A404="","",IF(O404&lt;=N($I404),MAX(0,2*N($I404)-O404),0))</f>
        <v/>
      </c>
      <c r="U404" s="61" t="str">
        <f aca="false">IF($A404="","",SUMIFS(Sales!$L$5:INDEX(Sales!$L$5:$L$3004,TxRows),Sales!$D$5:INDEX(Sales!$D$5:$D$3004,TxRows),$A404))</f>
        <v/>
      </c>
      <c r="V404" s="61" t="str">
        <f aca="false">IF($A404="","",SUMIFS(Sales!$S$5:INDEX(Sales!$S$5:$S$3004,TxRows),Sales!$D$5:INDEX(Sales!$D$5:$D$3004,TxRows),$A404))</f>
        <v/>
      </c>
      <c r="W404" s="66" t="str">
        <f aca="false">IF($A404="","",IFERROR(SUMPRODUCT(MAX((Sales!$D$5:INDEX(Sales!$D$5:$D$3004,TxRows)=$A404)*Sales!$A$5:INDEX(Sales!$A$5:$A$3004,TxRows))),0))</f>
        <v/>
      </c>
      <c r="X404" s="67" t="str">
        <f aca="false">IF($A404="","",IF(W404=0,AsOf-FYStart,AsOf-W404))</f>
        <v/>
      </c>
      <c r="Y404" s="67" t="str">
        <f aca="false">IF($A404="","",IF(M404=0,"",O404/(M404/MAX(1,AsOf-FYStart))))</f>
        <v/>
      </c>
      <c r="Z404" s="60" t="str">
        <f aca="false">IF($A404="","",U404+ROW()/1000000)</f>
        <v/>
      </c>
    </row>
    <row r="405" customFormat="false" ht="15" hidden="false" customHeight="false" outlineLevel="0" collapsed="false">
      <c r="A405" s="56"/>
      <c r="B405" s="56"/>
      <c r="C405" s="56"/>
      <c r="D405" s="56"/>
      <c r="E405" s="56"/>
      <c r="F405" s="63"/>
      <c r="G405" s="58"/>
      <c r="H405" s="58"/>
      <c r="I405" s="57"/>
      <c r="J405" s="57"/>
      <c r="K405" s="58"/>
      <c r="L405" s="64" t="str">
        <f aca="false">IF($A405="","",SUMIFS(Purchases!$E$5:INDEX(Purchases!$E$5:$E$3004,TxRows),Purchases!$D$5:INDEX(Purchases!$D$5:$D$3004,TxRows),$A405))</f>
        <v/>
      </c>
      <c r="M405" s="64" t="str">
        <f aca="false">IF($A405="","",SUMIFS(Sales!$E$5:INDEX(Sales!$E$5:$E$3004,TxRows),Sales!$D$5:INDEX(Sales!$D$5:$D$3004,TxRows),$A405))</f>
        <v/>
      </c>
      <c r="N405" s="64" t="str">
        <f aca="false">IF($A405="","",SUMIFS(Adjustments!$C$5:$C$504,Adjustments!$B$5:$B$504,$A405))</f>
        <v/>
      </c>
      <c r="O405" s="64" t="str">
        <f aca="false">IF($A405="","",N($J405)+L405-M405+N405)</f>
        <v/>
      </c>
      <c r="P405" s="61" t="str">
        <f aca="false">IF($A405="","",IFERROR((N($J405)*N($K405)+SUMIFS(Purchases!$K$5:INDEX(Purchases!$K$5:$K$3004,TxRows),Purchases!$D$5:INDEX(Purchases!$D$5:$D$3004,TxRows),$A405))/(N($J405)+L405),N($G405)))</f>
        <v/>
      </c>
      <c r="Q405" s="61" t="str">
        <f aca="false">IF($A405="","",MAX(0,O405)*P405)</f>
        <v/>
      </c>
      <c r="R405" s="60" t="str">
        <f aca="false">IF($A405="","",IF(O405&lt;0,"NEGATIVE",IF(O405=0,"OUT OF STOCK",IF(O405&lt;=N($I405),"REORDER",IF(AND(O405&gt;0,X405&gt;DeadDays),"DEAD STOCK","OK")))))</f>
        <v/>
      </c>
      <c r="S405" s="65" t="str">
        <f aca="false">IF($A405="","",IF(N($H405)=0,0,(N($H405)-P405)/N($H405)))</f>
        <v/>
      </c>
      <c r="T405" s="64" t="str">
        <f aca="false">IF($A405="","",IF(O405&lt;=N($I405),MAX(0,2*N($I405)-O405),0))</f>
        <v/>
      </c>
      <c r="U405" s="61" t="str">
        <f aca="false">IF($A405="","",SUMIFS(Sales!$L$5:INDEX(Sales!$L$5:$L$3004,TxRows),Sales!$D$5:INDEX(Sales!$D$5:$D$3004,TxRows),$A405))</f>
        <v/>
      </c>
      <c r="V405" s="61" t="str">
        <f aca="false">IF($A405="","",SUMIFS(Sales!$S$5:INDEX(Sales!$S$5:$S$3004,TxRows),Sales!$D$5:INDEX(Sales!$D$5:$D$3004,TxRows),$A405))</f>
        <v/>
      </c>
      <c r="W405" s="66" t="str">
        <f aca="false">IF($A405="","",IFERROR(SUMPRODUCT(MAX((Sales!$D$5:INDEX(Sales!$D$5:$D$3004,TxRows)=$A405)*Sales!$A$5:INDEX(Sales!$A$5:$A$3004,TxRows))),0))</f>
        <v/>
      </c>
      <c r="X405" s="67" t="str">
        <f aca="false">IF($A405="","",IF(W405=0,AsOf-FYStart,AsOf-W405))</f>
        <v/>
      </c>
      <c r="Y405" s="67" t="str">
        <f aca="false">IF($A405="","",IF(M405=0,"",O405/(M405/MAX(1,AsOf-FYStart))))</f>
        <v/>
      </c>
      <c r="Z405" s="60" t="str">
        <f aca="false">IF($A405="","",U405+ROW()/1000000)</f>
        <v/>
      </c>
    </row>
    <row r="406" customFormat="false" ht="15" hidden="false" customHeight="false" outlineLevel="0" collapsed="false">
      <c r="A406" s="56"/>
      <c r="B406" s="56"/>
      <c r="C406" s="56"/>
      <c r="D406" s="56"/>
      <c r="E406" s="56"/>
      <c r="F406" s="63"/>
      <c r="G406" s="58"/>
      <c r="H406" s="58"/>
      <c r="I406" s="57"/>
      <c r="J406" s="57"/>
      <c r="K406" s="58"/>
      <c r="L406" s="64" t="str">
        <f aca="false">IF($A406="","",SUMIFS(Purchases!$E$5:INDEX(Purchases!$E$5:$E$3004,TxRows),Purchases!$D$5:INDEX(Purchases!$D$5:$D$3004,TxRows),$A406))</f>
        <v/>
      </c>
      <c r="M406" s="64" t="str">
        <f aca="false">IF($A406="","",SUMIFS(Sales!$E$5:INDEX(Sales!$E$5:$E$3004,TxRows),Sales!$D$5:INDEX(Sales!$D$5:$D$3004,TxRows),$A406))</f>
        <v/>
      </c>
      <c r="N406" s="64" t="str">
        <f aca="false">IF($A406="","",SUMIFS(Adjustments!$C$5:$C$504,Adjustments!$B$5:$B$504,$A406))</f>
        <v/>
      </c>
      <c r="O406" s="64" t="str">
        <f aca="false">IF($A406="","",N($J406)+L406-M406+N406)</f>
        <v/>
      </c>
      <c r="P406" s="61" t="str">
        <f aca="false">IF($A406="","",IFERROR((N($J406)*N($K406)+SUMIFS(Purchases!$K$5:INDEX(Purchases!$K$5:$K$3004,TxRows),Purchases!$D$5:INDEX(Purchases!$D$5:$D$3004,TxRows),$A406))/(N($J406)+L406),N($G406)))</f>
        <v/>
      </c>
      <c r="Q406" s="61" t="str">
        <f aca="false">IF($A406="","",MAX(0,O406)*P406)</f>
        <v/>
      </c>
      <c r="R406" s="60" t="str">
        <f aca="false">IF($A406="","",IF(O406&lt;0,"NEGATIVE",IF(O406=0,"OUT OF STOCK",IF(O406&lt;=N($I406),"REORDER",IF(AND(O406&gt;0,X406&gt;DeadDays),"DEAD STOCK","OK")))))</f>
        <v/>
      </c>
      <c r="S406" s="65" t="str">
        <f aca="false">IF($A406="","",IF(N($H406)=0,0,(N($H406)-P406)/N($H406)))</f>
        <v/>
      </c>
      <c r="T406" s="64" t="str">
        <f aca="false">IF($A406="","",IF(O406&lt;=N($I406),MAX(0,2*N($I406)-O406),0))</f>
        <v/>
      </c>
      <c r="U406" s="61" t="str">
        <f aca="false">IF($A406="","",SUMIFS(Sales!$L$5:INDEX(Sales!$L$5:$L$3004,TxRows),Sales!$D$5:INDEX(Sales!$D$5:$D$3004,TxRows),$A406))</f>
        <v/>
      </c>
      <c r="V406" s="61" t="str">
        <f aca="false">IF($A406="","",SUMIFS(Sales!$S$5:INDEX(Sales!$S$5:$S$3004,TxRows),Sales!$D$5:INDEX(Sales!$D$5:$D$3004,TxRows),$A406))</f>
        <v/>
      </c>
      <c r="W406" s="66" t="str">
        <f aca="false">IF($A406="","",IFERROR(SUMPRODUCT(MAX((Sales!$D$5:INDEX(Sales!$D$5:$D$3004,TxRows)=$A406)*Sales!$A$5:INDEX(Sales!$A$5:$A$3004,TxRows))),0))</f>
        <v/>
      </c>
      <c r="X406" s="67" t="str">
        <f aca="false">IF($A406="","",IF(W406=0,AsOf-FYStart,AsOf-W406))</f>
        <v/>
      </c>
      <c r="Y406" s="67" t="str">
        <f aca="false">IF($A406="","",IF(M406=0,"",O406/(M406/MAX(1,AsOf-FYStart))))</f>
        <v/>
      </c>
      <c r="Z406" s="60" t="str">
        <f aca="false">IF($A406="","",U406+ROW()/1000000)</f>
        <v/>
      </c>
    </row>
    <row r="407" customFormat="false" ht="15" hidden="false" customHeight="false" outlineLevel="0" collapsed="false">
      <c r="A407" s="56"/>
      <c r="B407" s="56"/>
      <c r="C407" s="56"/>
      <c r="D407" s="56"/>
      <c r="E407" s="56"/>
      <c r="F407" s="63"/>
      <c r="G407" s="58"/>
      <c r="H407" s="58"/>
      <c r="I407" s="57"/>
      <c r="J407" s="57"/>
      <c r="K407" s="58"/>
      <c r="L407" s="64" t="str">
        <f aca="false">IF($A407="","",SUMIFS(Purchases!$E$5:INDEX(Purchases!$E$5:$E$3004,TxRows),Purchases!$D$5:INDEX(Purchases!$D$5:$D$3004,TxRows),$A407))</f>
        <v/>
      </c>
      <c r="M407" s="64" t="str">
        <f aca="false">IF($A407="","",SUMIFS(Sales!$E$5:INDEX(Sales!$E$5:$E$3004,TxRows),Sales!$D$5:INDEX(Sales!$D$5:$D$3004,TxRows),$A407))</f>
        <v/>
      </c>
      <c r="N407" s="64" t="str">
        <f aca="false">IF($A407="","",SUMIFS(Adjustments!$C$5:$C$504,Adjustments!$B$5:$B$504,$A407))</f>
        <v/>
      </c>
      <c r="O407" s="64" t="str">
        <f aca="false">IF($A407="","",N($J407)+L407-M407+N407)</f>
        <v/>
      </c>
      <c r="P407" s="61" t="str">
        <f aca="false">IF($A407="","",IFERROR((N($J407)*N($K407)+SUMIFS(Purchases!$K$5:INDEX(Purchases!$K$5:$K$3004,TxRows),Purchases!$D$5:INDEX(Purchases!$D$5:$D$3004,TxRows),$A407))/(N($J407)+L407),N($G407)))</f>
        <v/>
      </c>
      <c r="Q407" s="61" t="str">
        <f aca="false">IF($A407="","",MAX(0,O407)*P407)</f>
        <v/>
      </c>
      <c r="R407" s="60" t="str">
        <f aca="false">IF($A407="","",IF(O407&lt;0,"NEGATIVE",IF(O407=0,"OUT OF STOCK",IF(O407&lt;=N($I407),"REORDER",IF(AND(O407&gt;0,X407&gt;DeadDays),"DEAD STOCK","OK")))))</f>
        <v/>
      </c>
      <c r="S407" s="65" t="str">
        <f aca="false">IF($A407="","",IF(N($H407)=0,0,(N($H407)-P407)/N($H407)))</f>
        <v/>
      </c>
      <c r="T407" s="64" t="str">
        <f aca="false">IF($A407="","",IF(O407&lt;=N($I407),MAX(0,2*N($I407)-O407),0))</f>
        <v/>
      </c>
      <c r="U407" s="61" t="str">
        <f aca="false">IF($A407="","",SUMIFS(Sales!$L$5:INDEX(Sales!$L$5:$L$3004,TxRows),Sales!$D$5:INDEX(Sales!$D$5:$D$3004,TxRows),$A407))</f>
        <v/>
      </c>
      <c r="V407" s="61" t="str">
        <f aca="false">IF($A407="","",SUMIFS(Sales!$S$5:INDEX(Sales!$S$5:$S$3004,TxRows),Sales!$D$5:INDEX(Sales!$D$5:$D$3004,TxRows),$A407))</f>
        <v/>
      </c>
      <c r="W407" s="66" t="str">
        <f aca="false">IF($A407="","",IFERROR(SUMPRODUCT(MAX((Sales!$D$5:INDEX(Sales!$D$5:$D$3004,TxRows)=$A407)*Sales!$A$5:INDEX(Sales!$A$5:$A$3004,TxRows))),0))</f>
        <v/>
      </c>
      <c r="X407" s="67" t="str">
        <f aca="false">IF($A407="","",IF(W407=0,AsOf-FYStart,AsOf-W407))</f>
        <v/>
      </c>
      <c r="Y407" s="67" t="str">
        <f aca="false">IF($A407="","",IF(M407=0,"",O407/(M407/MAX(1,AsOf-FYStart))))</f>
        <v/>
      </c>
      <c r="Z407" s="60" t="str">
        <f aca="false">IF($A407="","",U407+ROW()/1000000)</f>
        <v/>
      </c>
    </row>
    <row r="408" customFormat="false" ht="15" hidden="false" customHeight="false" outlineLevel="0" collapsed="false">
      <c r="A408" s="56"/>
      <c r="B408" s="56"/>
      <c r="C408" s="56"/>
      <c r="D408" s="56"/>
      <c r="E408" s="56"/>
      <c r="F408" s="63"/>
      <c r="G408" s="58"/>
      <c r="H408" s="58"/>
      <c r="I408" s="57"/>
      <c r="J408" s="57"/>
      <c r="K408" s="58"/>
      <c r="L408" s="64" t="str">
        <f aca="false">IF($A408="","",SUMIFS(Purchases!$E$5:INDEX(Purchases!$E$5:$E$3004,TxRows),Purchases!$D$5:INDEX(Purchases!$D$5:$D$3004,TxRows),$A408))</f>
        <v/>
      </c>
      <c r="M408" s="64" t="str">
        <f aca="false">IF($A408="","",SUMIFS(Sales!$E$5:INDEX(Sales!$E$5:$E$3004,TxRows),Sales!$D$5:INDEX(Sales!$D$5:$D$3004,TxRows),$A408))</f>
        <v/>
      </c>
      <c r="N408" s="64" t="str">
        <f aca="false">IF($A408="","",SUMIFS(Adjustments!$C$5:$C$504,Adjustments!$B$5:$B$504,$A408))</f>
        <v/>
      </c>
      <c r="O408" s="64" t="str">
        <f aca="false">IF($A408="","",N($J408)+L408-M408+N408)</f>
        <v/>
      </c>
      <c r="P408" s="61" t="str">
        <f aca="false">IF($A408="","",IFERROR((N($J408)*N($K408)+SUMIFS(Purchases!$K$5:INDEX(Purchases!$K$5:$K$3004,TxRows),Purchases!$D$5:INDEX(Purchases!$D$5:$D$3004,TxRows),$A408))/(N($J408)+L408),N($G408)))</f>
        <v/>
      </c>
      <c r="Q408" s="61" t="str">
        <f aca="false">IF($A408="","",MAX(0,O408)*P408)</f>
        <v/>
      </c>
      <c r="R408" s="60" t="str">
        <f aca="false">IF($A408="","",IF(O408&lt;0,"NEGATIVE",IF(O408=0,"OUT OF STOCK",IF(O408&lt;=N($I408),"REORDER",IF(AND(O408&gt;0,X408&gt;DeadDays),"DEAD STOCK","OK")))))</f>
        <v/>
      </c>
      <c r="S408" s="65" t="str">
        <f aca="false">IF($A408="","",IF(N($H408)=0,0,(N($H408)-P408)/N($H408)))</f>
        <v/>
      </c>
      <c r="T408" s="64" t="str">
        <f aca="false">IF($A408="","",IF(O408&lt;=N($I408),MAX(0,2*N($I408)-O408),0))</f>
        <v/>
      </c>
      <c r="U408" s="61" t="str">
        <f aca="false">IF($A408="","",SUMIFS(Sales!$L$5:INDEX(Sales!$L$5:$L$3004,TxRows),Sales!$D$5:INDEX(Sales!$D$5:$D$3004,TxRows),$A408))</f>
        <v/>
      </c>
      <c r="V408" s="61" t="str">
        <f aca="false">IF($A408="","",SUMIFS(Sales!$S$5:INDEX(Sales!$S$5:$S$3004,TxRows),Sales!$D$5:INDEX(Sales!$D$5:$D$3004,TxRows),$A408))</f>
        <v/>
      </c>
      <c r="W408" s="66" t="str">
        <f aca="false">IF($A408="","",IFERROR(SUMPRODUCT(MAX((Sales!$D$5:INDEX(Sales!$D$5:$D$3004,TxRows)=$A408)*Sales!$A$5:INDEX(Sales!$A$5:$A$3004,TxRows))),0))</f>
        <v/>
      </c>
      <c r="X408" s="67" t="str">
        <f aca="false">IF($A408="","",IF(W408=0,AsOf-FYStart,AsOf-W408))</f>
        <v/>
      </c>
      <c r="Y408" s="67" t="str">
        <f aca="false">IF($A408="","",IF(M408=0,"",O408/(M408/MAX(1,AsOf-FYStart))))</f>
        <v/>
      </c>
      <c r="Z408" s="60" t="str">
        <f aca="false">IF($A408="","",U408+ROW()/1000000)</f>
        <v/>
      </c>
    </row>
    <row r="409" customFormat="false" ht="15" hidden="false" customHeight="false" outlineLevel="0" collapsed="false">
      <c r="A409" s="56"/>
      <c r="B409" s="56"/>
      <c r="C409" s="56"/>
      <c r="D409" s="56"/>
      <c r="E409" s="56"/>
      <c r="F409" s="63"/>
      <c r="G409" s="58"/>
      <c r="H409" s="58"/>
      <c r="I409" s="57"/>
      <c r="J409" s="57"/>
      <c r="K409" s="58"/>
      <c r="L409" s="64" t="str">
        <f aca="false">IF($A409="","",SUMIFS(Purchases!$E$5:INDEX(Purchases!$E$5:$E$3004,TxRows),Purchases!$D$5:INDEX(Purchases!$D$5:$D$3004,TxRows),$A409))</f>
        <v/>
      </c>
      <c r="M409" s="64" t="str">
        <f aca="false">IF($A409="","",SUMIFS(Sales!$E$5:INDEX(Sales!$E$5:$E$3004,TxRows),Sales!$D$5:INDEX(Sales!$D$5:$D$3004,TxRows),$A409))</f>
        <v/>
      </c>
      <c r="N409" s="64" t="str">
        <f aca="false">IF($A409="","",SUMIFS(Adjustments!$C$5:$C$504,Adjustments!$B$5:$B$504,$A409))</f>
        <v/>
      </c>
      <c r="O409" s="64" t="str">
        <f aca="false">IF($A409="","",N($J409)+L409-M409+N409)</f>
        <v/>
      </c>
      <c r="P409" s="61" t="str">
        <f aca="false">IF($A409="","",IFERROR((N($J409)*N($K409)+SUMIFS(Purchases!$K$5:INDEX(Purchases!$K$5:$K$3004,TxRows),Purchases!$D$5:INDEX(Purchases!$D$5:$D$3004,TxRows),$A409))/(N($J409)+L409),N($G409)))</f>
        <v/>
      </c>
      <c r="Q409" s="61" t="str">
        <f aca="false">IF($A409="","",MAX(0,O409)*P409)</f>
        <v/>
      </c>
      <c r="R409" s="60" t="str">
        <f aca="false">IF($A409="","",IF(O409&lt;0,"NEGATIVE",IF(O409=0,"OUT OF STOCK",IF(O409&lt;=N($I409),"REORDER",IF(AND(O409&gt;0,X409&gt;DeadDays),"DEAD STOCK","OK")))))</f>
        <v/>
      </c>
      <c r="S409" s="65" t="str">
        <f aca="false">IF($A409="","",IF(N($H409)=0,0,(N($H409)-P409)/N($H409)))</f>
        <v/>
      </c>
      <c r="T409" s="64" t="str">
        <f aca="false">IF($A409="","",IF(O409&lt;=N($I409),MAX(0,2*N($I409)-O409),0))</f>
        <v/>
      </c>
      <c r="U409" s="61" t="str">
        <f aca="false">IF($A409="","",SUMIFS(Sales!$L$5:INDEX(Sales!$L$5:$L$3004,TxRows),Sales!$D$5:INDEX(Sales!$D$5:$D$3004,TxRows),$A409))</f>
        <v/>
      </c>
      <c r="V409" s="61" t="str">
        <f aca="false">IF($A409="","",SUMIFS(Sales!$S$5:INDEX(Sales!$S$5:$S$3004,TxRows),Sales!$D$5:INDEX(Sales!$D$5:$D$3004,TxRows),$A409))</f>
        <v/>
      </c>
      <c r="W409" s="66" t="str">
        <f aca="false">IF($A409="","",IFERROR(SUMPRODUCT(MAX((Sales!$D$5:INDEX(Sales!$D$5:$D$3004,TxRows)=$A409)*Sales!$A$5:INDEX(Sales!$A$5:$A$3004,TxRows))),0))</f>
        <v/>
      </c>
      <c r="X409" s="67" t="str">
        <f aca="false">IF($A409="","",IF(W409=0,AsOf-FYStart,AsOf-W409))</f>
        <v/>
      </c>
      <c r="Y409" s="67" t="str">
        <f aca="false">IF($A409="","",IF(M409=0,"",O409/(M409/MAX(1,AsOf-FYStart))))</f>
        <v/>
      </c>
      <c r="Z409" s="60" t="str">
        <f aca="false">IF($A409="","",U409+ROW()/1000000)</f>
        <v/>
      </c>
    </row>
    <row r="410" customFormat="false" ht="15" hidden="false" customHeight="false" outlineLevel="0" collapsed="false">
      <c r="A410" s="56"/>
      <c r="B410" s="56"/>
      <c r="C410" s="56"/>
      <c r="D410" s="56"/>
      <c r="E410" s="56"/>
      <c r="F410" s="63"/>
      <c r="G410" s="58"/>
      <c r="H410" s="58"/>
      <c r="I410" s="57"/>
      <c r="J410" s="57"/>
      <c r="K410" s="58"/>
      <c r="L410" s="64" t="str">
        <f aca="false">IF($A410="","",SUMIFS(Purchases!$E$5:INDEX(Purchases!$E$5:$E$3004,TxRows),Purchases!$D$5:INDEX(Purchases!$D$5:$D$3004,TxRows),$A410))</f>
        <v/>
      </c>
      <c r="M410" s="64" t="str">
        <f aca="false">IF($A410="","",SUMIFS(Sales!$E$5:INDEX(Sales!$E$5:$E$3004,TxRows),Sales!$D$5:INDEX(Sales!$D$5:$D$3004,TxRows),$A410))</f>
        <v/>
      </c>
      <c r="N410" s="64" t="str">
        <f aca="false">IF($A410="","",SUMIFS(Adjustments!$C$5:$C$504,Adjustments!$B$5:$B$504,$A410))</f>
        <v/>
      </c>
      <c r="O410" s="64" t="str">
        <f aca="false">IF($A410="","",N($J410)+L410-M410+N410)</f>
        <v/>
      </c>
      <c r="P410" s="61" t="str">
        <f aca="false">IF($A410="","",IFERROR((N($J410)*N($K410)+SUMIFS(Purchases!$K$5:INDEX(Purchases!$K$5:$K$3004,TxRows),Purchases!$D$5:INDEX(Purchases!$D$5:$D$3004,TxRows),$A410))/(N($J410)+L410),N($G410)))</f>
        <v/>
      </c>
      <c r="Q410" s="61" t="str">
        <f aca="false">IF($A410="","",MAX(0,O410)*P410)</f>
        <v/>
      </c>
      <c r="R410" s="60" t="str">
        <f aca="false">IF($A410="","",IF(O410&lt;0,"NEGATIVE",IF(O410=0,"OUT OF STOCK",IF(O410&lt;=N($I410),"REORDER",IF(AND(O410&gt;0,X410&gt;DeadDays),"DEAD STOCK","OK")))))</f>
        <v/>
      </c>
      <c r="S410" s="65" t="str">
        <f aca="false">IF($A410="","",IF(N($H410)=0,0,(N($H410)-P410)/N($H410)))</f>
        <v/>
      </c>
      <c r="T410" s="64" t="str">
        <f aca="false">IF($A410="","",IF(O410&lt;=N($I410),MAX(0,2*N($I410)-O410),0))</f>
        <v/>
      </c>
      <c r="U410" s="61" t="str">
        <f aca="false">IF($A410="","",SUMIFS(Sales!$L$5:INDEX(Sales!$L$5:$L$3004,TxRows),Sales!$D$5:INDEX(Sales!$D$5:$D$3004,TxRows),$A410))</f>
        <v/>
      </c>
      <c r="V410" s="61" t="str">
        <f aca="false">IF($A410="","",SUMIFS(Sales!$S$5:INDEX(Sales!$S$5:$S$3004,TxRows),Sales!$D$5:INDEX(Sales!$D$5:$D$3004,TxRows),$A410))</f>
        <v/>
      </c>
      <c r="W410" s="66" t="str">
        <f aca="false">IF($A410="","",IFERROR(SUMPRODUCT(MAX((Sales!$D$5:INDEX(Sales!$D$5:$D$3004,TxRows)=$A410)*Sales!$A$5:INDEX(Sales!$A$5:$A$3004,TxRows))),0))</f>
        <v/>
      </c>
      <c r="X410" s="67" t="str">
        <f aca="false">IF($A410="","",IF(W410=0,AsOf-FYStart,AsOf-W410))</f>
        <v/>
      </c>
      <c r="Y410" s="67" t="str">
        <f aca="false">IF($A410="","",IF(M410=0,"",O410/(M410/MAX(1,AsOf-FYStart))))</f>
        <v/>
      </c>
      <c r="Z410" s="60" t="str">
        <f aca="false">IF($A410="","",U410+ROW()/1000000)</f>
        <v/>
      </c>
    </row>
    <row r="411" customFormat="false" ht="15" hidden="false" customHeight="false" outlineLevel="0" collapsed="false">
      <c r="A411" s="56"/>
      <c r="B411" s="56"/>
      <c r="C411" s="56"/>
      <c r="D411" s="56"/>
      <c r="E411" s="56"/>
      <c r="F411" s="63"/>
      <c r="G411" s="58"/>
      <c r="H411" s="58"/>
      <c r="I411" s="57"/>
      <c r="J411" s="57"/>
      <c r="K411" s="58"/>
      <c r="L411" s="64" t="str">
        <f aca="false">IF($A411="","",SUMIFS(Purchases!$E$5:INDEX(Purchases!$E$5:$E$3004,TxRows),Purchases!$D$5:INDEX(Purchases!$D$5:$D$3004,TxRows),$A411))</f>
        <v/>
      </c>
      <c r="M411" s="64" t="str">
        <f aca="false">IF($A411="","",SUMIFS(Sales!$E$5:INDEX(Sales!$E$5:$E$3004,TxRows),Sales!$D$5:INDEX(Sales!$D$5:$D$3004,TxRows),$A411))</f>
        <v/>
      </c>
      <c r="N411" s="64" t="str">
        <f aca="false">IF($A411="","",SUMIFS(Adjustments!$C$5:$C$504,Adjustments!$B$5:$B$504,$A411))</f>
        <v/>
      </c>
      <c r="O411" s="64" t="str">
        <f aca="false">IF($A411="","",N($J411)+L411-M411+N411)</f>
        <v/>
      </c>
      <c r="P411" s="61" t="str">
        <f aca="false">IF($A411="","",IFERROR((N($J411)*N($K411)+SUMIFS(Purchases!$K$5:INDEX(Purchases!$K$5:$K$3004,TxRows),Purchases!$D$5:INDEX(Purchases!$D$5:$D$3004,TxRows),$A411))/(N($J411)+L411),N($G411)))</f>
        <v/>
      </c>
      <c r="Q411" s="61" t="str">
        <f aca="false">IF($A411="","",MAX(0,O411)*P411)</f>
        <v/>
      </c>
      <c r="R411" s="60" t="str">
        <f aca="false">IF($A411="","",IF(O411&lt;0,"NEGATIVE",IF(O411=0,"OUT OF STOCK",IF(O411&lt;=N($I411),"REORDER",IF(AND(O411&gt;0,X411&gt;DeadDays),"DEAD STOCK","OK")))))</f>
        <v/>
      </c>
      <c r="S411" s="65" t="str">
        <f aca="false">IF($A411="","",IF(N($H411)=0,0,(N($H411)-P411)/N($H411)))</f>
        <v/>
      </c>
      <c r="T411" s="64" t="str">
        <f aca="false">IF($A411="","",IF(O411&lt;=N($I411),MAX(0,2*N($I411)-O411),0))</f>
        <v/>
      </c>
      <c r="U411" s="61" t="str">
        <f aca="false">IF($A411="","",SUMIFS(Sales!$L$5:INDEX(Sales!$L$5:$L$3004,TxRows),Sales!$D$5:INDEX(Sales!$D$5:$D$3004,TxRows),$A411))</f>
        <v/>
      </c>
      <c r="V411" s="61" t="str">
        <f aca="false">IF($A411="","",SUMIFS(Sales!$S$5:INDEX(Sales!$S$5:$S$3004,TxRows),Sales!$D$5:INDEX(Sales!$D$5:$D$3004,TxRows),$A411))</f>
        <v/>
      </c>
      <c r="W411" s="66" t="str">
        <f aca="false">IF($A411="","",IFERROR(SUMPRODUCT(MAX((Sales!$D$5:INDEX(Sales!$D$5:$D$3004,TxRows)=$A411)*Sales!$A$5:INDEX(Sales!$A$5:$A$3004,TxRows))),0))</f>
        <v/>
      </c>
      <c r="X411" s="67" t="str">
        <f aca="false">IF($A411="","",IF(W411=0,AsOf-FYStart,AsOf-W411))</f>
        <v/>
      </c>
      <c r="Y411" s="67" t="str">
        <f aca="false">IF($A411="","",IF(M411=0,"",O411/(M411/MAX(1,AsOf-FYStart))))</f>
        <v/>
      </c>
      <c r="Z411" s="60" t="str">
        <f aca="false">IF($A411="","",U411+ROW()/1000000)</f>
        <v/>
      </c>
    </row>
    <row r="412" customFormat="false" ht="15" hidden="false" customHeight="false" outlineLevel="0" collapsed="false">
      <c r="A412" s="56"/>
      <c r="B412" s="56"/>
      <c r="C412" s="56"/>
      <c r="D412" s="56"/>
      <c r="E412" s="56"/>
      <c r="F412" s="63"/>
      <c r="G412" s="58"/>
      <c r="H412" s="58"/>
      <c r="I412" s="57"/>
      <c r="J412" s="57"/>
      <c r="K412" s="58"/>
      <c r="L412" s="64" t="str">
        <f aca="false">IF($A412="","",SUMIFS(Purchases!$E$5:INDEX(Purchases!$E$5:$E$3004,TxRows),Purchases!$D$5:INDEX(Purchases!$D$5:$D$3004,TxRows),$A412))</f>
        <v/>
      </c>
      <c r="M412" s="64" t="str">
        <f aca="false">IF($A412="","",SUMIFS(Sales!$E$5:INDEX(Sales!$E$5:$E$3004,TxRows),Sales!$D$5:INDEX(Sales!$D$5:$D$3004,TxRows),$A412))</f>
        <v/>
      </c>
      <c r="N412" s="64" t="str">
        <f aca="false">IF($A412="","",SUMIFS(Adjustments!$C$5:$C$504,Adjustments!$B$5:$B$504,$A412))</f>
        <v/>
      </c>
      <c r="O412" s="64" t="str">
        <f aca="false">IF($A412="","",N($J412)+L412-M412+N412)</f>
        <v/>
      </c>
      <c r="P412" s="61" t="str">
        <f aca="false">IF($A412="","",IFERROR((N($J412)*N($K412)+SUMIFS(Purchases!$K$5:INDEX(Purchases!$K$5:$K$3004,TxRows),Purchases!$D$5:INDEX(Purchases!$D$5:$D$3004,TxRows),$A412))/(N($J412)+L412),N($G412)))</f>
        <v/>
      </c>
      <c r="Q412" s="61" t="str">
        <f aca="false">IF($A412="","",MAX(0,O412)*P412)</f>
        <v/>
      </c>
      <c r="R412" s="60" t="str">
        <f aca="false">IF($A412="","",IF(O412&lt;0,"NEGATIVE",IF(O412=0,"OUT OF STOCK",IF(O412&lt;=N($I412),"REORDER",IF(AND(O412&gt;0,X412&gt;DeadDays),"DEAD STOCK","OK")))))</f>
        <v/>
      </c>
      <c r="S412" s="65" t="str">
        <f aca="false">IF($A412="","",IF(N($H412)=0,0,(N($H412)-P412)/N($H412)))</f>
        <v/>
      </c>
      <c r="T412" s="64" t="str">
        <f aca="false">IF($A412="","",IF(O412&lt;=N($I412),MAX(0,2*N($I412)-O412),0))</f>
        <v/>
      </c>
      <c r="U412" s="61" t="str">
        <f aca="false">IF($A412="","",SUMIFS(Sales!$L$5:INDEX(Sales!$L$5:$L$3004,TxRows),Sales!$D$5:INDEX(Sales!$D$5:$D$3004,TxRows),$A412))</f>
        <v/>
      </c>
      <c r="V412" s="61" t="str">
        <f aca="false">IF($A412="","",SUMIFS(Sales!$S$5:INDEX(Sales!$S$5:$S$3004,TxRows),Sales!$D$5:INDEX(Sales!$D$5:$D$3004,TxRows),$A412))</f>
        <v/>
      </c>
      <c r="W412" s="66" t="str">
        <f aca="false">IF($A412="","",IFERROR(SUMPRODUCT(MAX((Sales!$D$5:INDEX(Sales!$D$5:$D$3004,TxRows)=$A412)*Sales!$A$5:INDEX(Sales!$A$5:$A$3004,TxRows))),0))</f>
        <v/>
      </c>
      <c r="X412" s="67" t="str">
        <f aca="false">IF($A412="","",IF(W412=0,AsOf-FYStart,AsOf-W412))</f>
        <v/>
      </c>
      <c r="Y412" s="67" t="str">
        <f aca="false">IF($A412="","",IF(M412=0,"",O412/(M412/MAX(1,AsOf-FYStart))))</f>
        <v/>
      </c>
      <c r="Z412" s="60" t="str">
        <f aca="false">IF($A412="","",U412+ROW()/1000000)</f>
        <v/>
      </c>
    </row>
    <row r="413" customFormat="false" ht="15" hidden="false" customHeight="false" outlineLevel="0" collapsed="false">
      <c r="A413" s="56"/>
      <c r="B413" s="56"/>
      <c r="C413" s="56"/>
      <c r="D413" s="56"/>
      <c r="E413" s="56"/>
      <c r="F413" s="63"/>
      <c r="G413" s="58"/>
      <c r="H413" s="58"/>
      <c r="I413" s="57"/>
      <c r="J413" s="57"/>
      <c r="K413" s="58"/>
      <c r="L413" s="64" t="str">
        <f aca="false">IF($A413="","",SUMIFS(Purchases!$E$5:INDEX(Purchases!$E$5:$E$3004,TxRows),Purchases!$D$5:INDEX(Purchases!$D$5:$D$3004,TxRows),$A413))</f>
        <v/>
      </c>
      <c r="M413" s="64" t="str">
        <f aca="false">IF($A413="","",SUMIFS(Sales!$E$5:INDEX(Sales!$E$5:$E$3004,TxRows),Sales!$D$5:INDEX(Sales!$D$5:$D$3004,TxRows),$A413))</f>
        <v/>
      </c>
      <c r="N413" s="64" t="str">
        <f aca="false">IF($A413="","",SUMIFS(Adjustments!$C$5:$C$504,Adjustments!$B$5:$B$504,$A413))</f>
        <v/>
      </c>
      <c r="O413" s="64" t="str">
        <f aca="false">IF($A413="","",N($J413)+L413-M413+N413)</f>
        <v/>
      </c>
      <c r="P413" s="61" t="str">
        <f aca="false">IF($A413="","",IFERROR((N($J413)*N($K413)+SUMIFS(Purchases!$K$5:INDEX(Purchases!$K$5:$K$3004,TxRows),Purchases!$D$5:INDEX(Purchases!$D$5:$D$3004,TxRows),$A413))/(N($J413)+L413),N($G413)))</f>
        <v/>
      </c>
      <c r="Q413" s="61" t="str">
        <f aca="false">IF($A413="","",MAX(0,O413)*P413)</f>
        <v/>
      </c>
      <c r="R413" s="60" t="str">
        <f aca="false">IF($A413="","",IF(O413&lt;0,"NEGATIVE",IF(O413=0,"OUT OF STOCK",IF(O413&lt;=N($I413),"REORDER",IF(AND(O413&gt;0,X413&gt;DeadDays),"DEAD STOCK","OK")))))</f>
        <v/>
      </c>
      <c r="S413" s="65" t="str">
        <f aca="false">IF($A413="","",IF(N($H413)=0,0,(N($H413)-P413)/N($H413)))</f>
        <v/>
      </c>
      <c r="T413" s="64" t="str">
        <f aca="false">IF($A413="","",IF(O413&lt;=N($I413),MAX(0,2*N($I413)-O413),0))</f>
        <v/>
      </c>
      <c r="U413" s="61" t="str">
        <f aca="false">IF($A413="","",SUMIFS(Sales!$L$5:INDEX(Sales!$L$5:$L$3004,TxRows),Sales!$D$5:INDEX(Sales!$D$5:$D$3004,TxRows),$A413))</f>
        <v/>
      </c>
      <c r="V413" s="61" t="str">
        <f aca="false">IF($A413="","",SUMIFS(Sales!$S$5:INDEX(Sales!$S$5:$S$3004,TxRows),Sales!$D$5:INDEX(Sales!$D$5:$D$3004,TxRows),$A413))</f>
        <v/>
      </c>
      <c r="W413" s="66" t="str">
        <f aca="false">IF($A413="","",IFERROR(SUMPRODUCT(MAX((Sales!$D$5:INDEX(Sales!$D$5:$D$3004,TxRows)=$A413)*Sales!$A$5:INDEX(Sales!$A$5:$A$3004,TxRows))),0))</f>
        <v/>
      </c>
      <c r="X413" s="67" t="str">
        <f aca="false">IF($A413="","",IF(W413=0,AsOf-FYStart,AsOf-W413))</f>
        <v/>
      </c>
      <c r="Y413" s="67" t="str">
        <f aca="false">IF($A413="","",IF(M413=0,"",O413/(M413/MAX(1,AsOf-FYStart))))</f>
        <v/>
      </c>
      <c r="Z413" s="60" t="str">
        <f aca="false">IF($A413="","",U413+ROW()/1000000)</f>
        <v/>
      </c>
    </row>
    <row r="414" customFormat="false" ht="15" hidden="false" customHeight="false" outlineLevel="0" collapsed="false">
      <c r="A414" s="56"/>
      <c r="B414" s="56"/>
      <c r="C414" s="56"/>
      <c r="D414" s="56"/>
      <c r="E414" s="56"/>
      <c r="F414" s="63"/>
      <c r="G414" s="58"/>
      <c r="H414" s="58"/>
      <c r="I414" s="57"/>
      <c r="J414" s="57"/>
      <c r="K414" s="58"/>
      <c r="L414" s="64" t="str">
        <f aca="false">IF($A414="","",SUMIFS(Purchases!$E$5:INDEX(Purchases!$E$5:$E$3004,TxRows),Purchases!$D$5:INDEX(Purchases!$D$5:$D$3004,TxRows),$A414))</f>
        <v/>
      </c>
      <c r="M414" s="64" t="str">
        <f aca="false">IF($A414="","",SUMIFS(Sales!$E$5:INDEX(Sales!$E$5:$E$3004,TxRows),Sales!$D$5:INDEX(Sales!$D$5:$D$3004,TxRows),$A414))</f>
        <v/>
      </c>
      <c r="N414" s="64" t="str">
        <f aca="false">IF($A414="","",SUMIFS(Adjustments!$C$5:$C$504,Adjustments!$B$5:$B$504,$A414))</f>
        <v/>
      </c>
      <c r="O414" s="64" t="str">
        <f aca="false">IF($A414="","",N($J414)+L414-M414+N414)</f>
        <v/>
      </c>
      <c r="P414" s="61" t="str">
        <f aca="false">IF($A414="","",IFERROR((N($J414)*N($K414)+SUMIFS(Purchases!$K$5:INDEX(Purchases!$K$5:$K$3004,TxRows),Purchases!$D$5:INDEX(Purchases!$D$5:$D$3004,TxRows),$A414))/(N($J414)+L414),N($G414)))</f>
        <v/>
      </c>
      <c r="Q414" s="61" t="str">
        <f aca="false">IF($A414="","",MAX(0,O414)*P414)</f>
        <v/>
      </c>
      <c r="R414" s="60" t="str">
        <f aca="false">IF($A414="","",IF(O414&lt;0,"NEGATIVE",IF(O414=0,"OUT OF STOCK",IF(O414&lt;=N($I414),"REORDER",IF(AND(O414&gt;0,X414&gt;DeadDays),"DEAD STOCK","OK")))))</f>
        <v/>
      </c>
      <c r="S414" s="65" t="str">
        <f aca="false">IF($A414="","",IF(N($H414)=0,0,(N($H414)-P414)/N($H414)))</f>
        <v/>
      </c>
      <c r="T414" s="64" t="str">
        <f aca="false">IF($A414="","",IF(O414&lt;=N($I414),MAX(0,2*N($I414)-O414),0))</f>
        <v/>
      </c>
      <c r="U414" s="61" t="str">
        <f aca="false">IF($A414="","",SUMIFS(Sales!$L$5:INDEX(Sales!$L$5:$L$3004,TxRows),Sales!$D$5:INDEX(Sales!$D$5:$D$3004,TxRows),$A414))</f>
        <v/>
      </c>
      <c r="V414" s="61" t="str">
        <f aca="false">IF($A414="","",SUMIFS(Sales!$S$5:INDEX(Sales!$S$5:$S$3004,TxRows),Sales!$D$5:INDEX(Sales!$D$5:$D$3004,TxRows),$A414))</f>
        <v/>
      </c>
      <c r="W414" s="66" t="str">
        <f aca="false">IF($A414="","",IFERROR(SUMPRODUCT(MAX((Sales!$D$5:INDEX(Sales!$D$5:$D$3004,TxRows)=$A414)*Sales!$A$5:INDEX(Sales!$A$5:$A$3004,TxRows))),0))</f>
        <v/>
      </c>
      <c r="X414" s="67" t="str">
        <f aca="false">IF($A414="","",IF(W414=0,AsOf-FYStart,AsOf-W414))</f>
        <v/>
      </c>
      <c r="Y414" s="67" t="str">
        <f aca="false">IF($A414="","",IF(M414=0,"",O414/(M414/MAX(1,AsOf-FYStart))))</f>
        <v/>
      </c>
      <c r="Z414" s="60" t="str">
        <f aca="false">IF($A414="","",U414+ROW()/1000000)</f>
        <v/>
      </c>
    </row>
    <row r="415" customFormat="false" ht="15" hidden="false" customHeight="false" outlineLevel="0" collapsed="false">
      <c r="A415" s="56"/>
      <c r="B415" s="56"/>
      <c r="C415" s="56"/>
      <c r="D415" s="56"/>
      <c r="E415" s="56"/>
      <c r="F415" s="63"/>
      <c r="G415" s="58"/>
      <c r="H415" s="58"/>
      <c r="I415" s="57"/>
      <c r="J415" s="57"/>
      <c r="K415" s="58"/>
      <c r="L415" s="64" t="str">
        <f aca="false">IF($A415="","",SUMIFS(Purchases!$E$5:INDEX(Purchases!$E$5:$E$3004,TxRows),Purchases!$D$5:INDEX(Purchases!$D$5:$D$3004,TxRows),$A415))</f>
        <v/>
      </c>
      <c r="M415" s="64" t="str">
        <f aca="false">IF($A415="","",SUMIFS(Sales!$E$5:INDEX(Sales!$E$5:$E$3004,TxRows),Sales!$D$5:INDEX(Sales!$D$5:$D$3004,TxRows),$A415))</f>
        <v/>
      </c>
      <c r="N415" s="64" t="str">
        <f aca="false">IF($A415="","",SUMIFS(Adjustments!$C$5:$C$504,Adjustments!$B$5:$B$504,$A415))</f>
        <v/>
      </c>
      <c r="O415" s="64" t="str">
        <f aca="false">IF($A415="","",N($J415)+L415-M415+N415)</f>
        <v/>
      </c>
      <c r="P415" s="61" t="str">
        <f aca="false">IF($A415="","",IFERROR((N($J415)*N($K415)+SUMIFS(Purchases!$K$5:INDEX(Purchases!$K$5:$K$3004,TxRows),Purchases!$D$5:INDEX(Purchases!$D$5:$D$3004,TxRows),$A415))/(N($J415)+L415),N($G415)))</f>
        <v/>
      </c>
      <c r="Q415" s="61" t="str">
        <f aca="false">IF($A415="","",MAX(0,O415)*P415)</f>
        <v/>
      </c>
      <c r="R415" s="60" t="str">
        <f aca="false">IF($A415="","",IF(O415&lt;0,"NEGATIVE",IF(O415=0,"OUT OF STOCK",IF(O415&lt;=N($I415),"REORDER",IF(AND(O415&gt;0,X415&gt;DeadDays),"DEAD STOCK","OK")))))</f>
        <v/>
      </c>
      <c r="S415" s="65" t="str">
        <f aca="false">IF($A415="","",IF(N($H415)=0,0,(N($H415)-P415)/N($H415)))</f>
        <v/>
      </c>
      <c r="T415" s="64" t="str">
        <f aca="false">IF($A415="","",IF(O415&lt;=N($I415),MAX(0,2*N($I415)-O415),0))</f>
        <v/>
      </c>
      <c r="U415" s="61" t="str">
        <f aca="false">IF($A415="","",SUMIFS(Sales!$L$5:INDEX(Sales!$L$5:$L$3004,TxRows),Sales!$D$5:INDEX(Sales!$D$5:$D$3004,TxRows),$A415))</f>
        <v/>
      </c>
      <c r="V415" s="61" t="str">
        <f aca="false">IF($A415="","",SUMIFS(Sales!$S$5:INDEX(Sales!$S$5:$S$3004,TxRows),Sales!$D$5:INDEX(Sales!$D$5:$D$3004,TxRows),$A415))</f>
        <v/>
      </c>
      <c r="W415" s="66" t="str">
        <f aca="false">IF($A415="","",IFERROR(SUMPRODUCT(MAX((Sales!$D$5:INDEX(Sales!$D$5:$D$3004,TxRows)=$A415)*Sales!$A$5:INDEX(Sales!$A$5:$A$3004,TxRows))),0))</f>
        <v/>
      </c>
      <c r="X415" s="67" t="str">
        <f aca="false">IF($A415="","",IF(W415=0,AsOf-FYStart,AsOf-W415))</f>
        <v/>
      </c>
      <c r="Y415" s="67" t="str">
        <f aca="false">IF($A415="","",IF(M415=0,"",O415/(M415/MAX(1,AsOf-FYStart))))</f>
        <v/>
      </c>
      <c r="Z415" s="60" t="str">
        <f aca="false">IF($A415="","",U415+ROW()/1000000)</f>
        <v/>
      </c>
    </row>
    <row r="416" customFormat="false" ht="15" hidden="false" customHeight="false" outlineLevel="0" collapsed="false">
      <c r="A416" s="56"/>
      <c r="B416" s="56"/>
      <c r="C416" s="56"/>
      <c r="D416" s="56"/>
      <c r="E416" s="56"/>
      <c r="F416" s="63"/>
      <c r="G416" s="58"/>
      <c r="H416" s="58"/>
      <c r="I416" s="57"/>
      <c r="J416" s="57"/>
      <c r="K416" s="58"/>
      <c r="L416" s="64" t="str">
        <f aca="false">IF($A416="","",SUMIFS(Purchases!$E$5:INDEX(Purchases!$E$5:$E$3004,TxRows),Purchases!$D$5:INDEX(Purchases!$D$5:$D$3004,TxRows),$A416))</f>
        <v/>
      </c>
      <c r="M416" s="64" t="str">
        <f aca="false">IF($A416="","",SUMIFS(Sales!$E$5:INDEX(Sales!$E$5:$E$3004,TxRows),Sales!$D$5:INDEX(Sales!$D$5:$D$3004,TxRows),$A416))</f>
        <v/>
      </c>
      <c r="N416" s="64" t="str">
        <f aca="false">IF($A416="","",SUMIFS(Adjustments!$C$5:$C$504,Adjustments!$B$5:$B$504,$A416))</f>
        <v/>
      </c>
      <c r="O416" s="64" t="str">
        <f aca="false">IF($A416="","",N($J416)+L416-M416+N416)</f>
        <v/>
      </c>
      <c r="P416" s="61" t="str">
        <f aca="false">IF($A416="","",IFERROR((N($J416)*N($K416)+SUMIFS(Purchases!$K$5:INDEX(Purchases!$K$5:$K$3004,TxRows),Purchases!$D$5:INDEX(Purchases!$D$5:$D$3004,TxRows),$A416))/(N($J416)+L416),N($G416)))</f>
        <v/>
      </c>
      <c r="Q416" s="61" t="str">
        <f aca="false">IF($A416="","",MAX(0,O416)*P416)</f>
        <v/>
      </c>
      <c r="R416" s="60" t="str">
        <f aca="false">IF($A416="","",IF(O416&lt;0,"NEGATIVE",IF(O416=0,"OUT OF STOCK",IF(O416&lt;=N($I416),"REORDER",IF(AND(O416&gt;0,X416&gt;DeadDays),"DEAD STOCK","OK")))))</f>
        <v/>
      </c>
      <c r="S416" s="65" t="str">
        <f aca="false">IF($A416="","",IF(N($H416)=0,0,(N($H416)-P416)/N($H416)))</f>
        <v/>
      </c>
      <c r="T416" s="64" t="str">
        <f aca="false">IF($A416="","",IF(O416&lt;=N($I416),MAX(0,2*N($I416)-O416),0))</f>
        <v/>
      </c>
      <c r="U416" s="61" t="str">
        <f aca="false">IF($A416="","",SUMIFS(Sales!$L$5:INDEX(Sales!$L$5:$L$3004,TxRows),Sales!$D$5:INDEX(Sales!$D$5:$D$3004,TxRows),$A416))</f>
        <v/>
      </c>
      <c r="V416" s="61" t="str">
        <f aca="false">IF($A416="","",SUMIFS(Sales!$S$5:INDEX(Sales!$S$5:$S$3004,TxRows),Sales!$D$5:INDEX(Sales!$D$5:$D$3004,TxRows),$A416))</f>
        <v/>
      </c>
      <c r="W416" s="66" t="str">
        <f aca="false">IF($A416="","",IFERROR(SUMPRODUCT(MAX((Sales!$D$5:INDEX(Sales!$D$5:$D$3004,TxRows)=$A416)*Sales!$A$5:INDEX(Sales!$A$5:$A$3004,TxRows))),0))</f>
        <v/>
      </c>
      <c r="X416" s="67" t="str">
        <f aca="false">IF($A416="","",IF(W416=0,AsOf-FYStart,AsOf-W416))</f>
        <v/>
      </c>
      <c r="Y416" s="67" t="str">
        <f aca="false">IF($A416="","",IF(M416=0,"",O416/(M416/MAX(1,AsOf-FYStart))))</f>
        <v/>
      </c>
      <c r="Z416" s="60" t="str">
        <f aca="false">IF($A416="","",U416+ROW()/1000000)</f>
        <v/>
      </c>
    </row>
    <row r="417" customFormat="false" ht="15" hidden="false" customHeight="false" outlineLevel="0" collapsed="false">
      <c r="A417" s="56"/>
      <c r="B417" s="56"/>
      <c r="C417" s="56"/>
      <c r="D417" s="56"/>
      <c r="E417" s="56"/>
      <c r="F417" s="63"/>
      <c r="G417" s="58"/>
      <c r="H417" s="58"/>
      <c r="I417" s="57"/>
      <c r="J417" s="57"/>
      <c r="K417" s="58"/>
      <c r="L417" s="64" t="str">
        <f aca="false">IF($A417="","",SUMIFS(Purchases!$E$5:INDEX(Purchases!$E$5:$E$3004,TxRows),Purchases!$D$5:INDEX(Purchases!$D$5:$D$3004,TxRows),$A417))</f>
        <v/>
      </c>
      <c r="M417" s="64" t="str">
        <f aca="false">IF($A417="","",SUMIFS(Sales!$E$5:INDEX(Sales!$E$5:$E$3004,TxRows),Sales!$D$5:INDEX(Sales!$D$5:$D$3004,TxRows),$A417))</f>
        <v/>
      </c>
      <c r="N417" s="64" t="str">
        <f aca="false">IF($A417="","",SUMIFS(Adjustments!$C$5:$C$504,Adjustments!$B$5:$B$504,$A417))</f>
        <v/>
      </c>
      <c r="O417" s="64" t="str">
        <f aca="false">IF($A417="","",N($J417)+L417-M417+N417)</f>
        <v/>
      </c>
      <c r="P417" s="61" t="str">
        <f aca="false">IF($A417="","",IFERROR((N($J417)*N($K417)+SUMIFS(Purchases!$K$5:INDEX(Purchases!$K$5:$K$3004,TxRows),Purchases!$D$5:INDEX(Purchases!$D$5:$D$3004,TxRows),$A417))/(N($J417)+L417),N($G417)))</f>
        <v/>
      </c>
      <c r="Q417" s="61" t="str">
        <f aca="false">IF($A417="","",MAX(0,O417)*P417)</f>
        <v/>
      </c>
      <c r="R417" s="60" t="str">
        <f aca="false">IF($A417="","",IF(O417&lt;0,"NEGATIVE",IF(O417=0,"OUT OF STOCK",IF(O417&lt;=N($I417),"REORDER",IF(AND(O417&gt;0,X417&gt;DeadDays),"DEAD STOCK","OK")))))</f>
        <v/>
      </c>
      <c r="S417" s="65" t="str">
        <f aca="false">IF($A417="","",IF(N($H417)=0,0,(N($H417)-P417)/N($H417)))</f>
        <v/>
      </c>
      <c r="T417" s="64" t="str">
        <f aca="false">IF($A417="","",IF(O417&lt;=N($I417),MAX(0,2*N($I417)-O417),0))</f>
        <v/>
      </c>
      <c r="U417" s="61" t="str">
        <f aca="false">IF($A417="","",SUMIFS(Sales!$L$5:INDEX(Sales!$L$5:$L$3004,TxRows),Sales!$D$5:INDEX(Sales!$D$5:$D$3004,TxRows),$A417))</f>
        <v/>
      </c>
      <c r="V417" s="61" t="str">
        <f aca="false">IF($A417="","",SUMIFS(Sales!$S$5:INDEX(Sales!$S$5:$S$3004,TxRows),Sales!$D$5:INDEX(Sales!$D$5:$D$3004,TxRows),$A417))</f>
        <v/>
      </c>
      <c r="W417" s="66" t="str">
        <f aca="false">IF($A417="","",IFERROR(SUMPRODUCT(MAX((Sales!$D$5:INDEX(Sales!$D$5:$D$3004,TxRows)=$A417)*Sales!$A$5:INDEX(Sales!$A$5:$A$3004,TxRows))),0))</f>
        <v/>
      </c>
      <c r="X417" s="67" t="str">
        <f aca="false">IF($A417="","",IF(W417=0,AsOf-FYStart,AsOf-W417))</f>
        <v/>
      </c>
      <c r="Y417" s="67" t="str">
        <f aca="false">IF($A417="","",IF(M417=0,"",O417/(M417/MAX(1,AsOf-FYStart))))</f>
        <v/>
      </c>
      <c r="Z417" s="60" t="str">
        <f aca="false">IF($A417="","",U417+ROW()/1000000)</f>
        <v/>
      </c>
    </row>
    <row r="418" customFormat="false" ht="15" hidden="false" customHeight="false" outlineLevel="0" collapsed="false">
      <c r="A418" s="56"/>
      <c r="B418" s="56"/>
      <c r="C418" s="56"/>
      <c r="D418" s="56"/>
      <c r="E418" s="56"/>
      <c r="F418" s="63"/>
      <c r="G418" s="58"/>
      <c r="H418" s="58"/>
      <c r="I418" s="57"/>
      <c r="J418" s="57"/>
      <c r="K418" s="58"/>
      <c r="L418" s="64" t="str">
        <f aca="false">IF($A418="","",SUMIFS(Purchases!$E$5:INDEX(Purchases!$E$5:$E$3004,TxRows),Purchases!$D$5:INDEX(Purchases!$D$5:$D$3004,TxRows),$A418))</f>
        <v/>
      </c>
      <c r="M418" s="64" t="str">
        <f aca="false">IF($A418="","",SUMIFS(Sales!$E$5:INDEX(Sales!$E$5:$E$3004,TxRows),Sales!$D$5:INDEX(Sales!$D$5:$D$3004,TxRows),$A418))</f>
        <v/>
      </c>
      <c r="N418" s="64" t="str">
        <f aca="false">IF($A418="","",SUMIFS(Adjustments!$C$5:$C$504,Adjustments!$B$5:$B$504,$A418))</f>
        <v/>
      </c>
      <c r="O418" s="64" t="str">
        <f aca="false">IF($A418="","",N($J418)+L418-M418+N418)</f>
        <v/>
      </c>
      <c r="P418" s="61" t="str">
        <f aca="false">IF($A418="","",IFERROR((N($J418)*N($K418)+SUMIFS(Purchases!$K$5:INDEX(Purchases!$K$5:$K$3004,TxRows),Purchases!$D$5:INDEX(Purchases!$D$5:$D$3004,TxRows),$A418))/(N($J418)+L418),N($G418)))</f>
        <v/>
      </c>
      <c r="Q418" s="61" t="str">
        <f aca="false">IF($A418="","",MAX(0,O418)*P418)</f>
        <v/>
      </c>
      <c r="R418" s="60" t="str">
        <f aca="false">IF($A418="","",IF(O418&lt;0,"NEGATIVE",IF(O418=0,"OUT OF STOCK",IF(O418&lt;=N($I418),"REORDER",IF(AND(O418&gt;0,X418&gt;DeadDays),"DEAD STOCK","OK")))))</f>
        <v/>
      </c>
      <c r="S418" s="65" t="str">
        <f aca="false">IF($A418="","",IF(N($H418)=0,0,(N($H418)-P418)/N($H418)))</f>
        <v/>
      </c>
      <c r="T418" s="64" t="str">
        <f aca="false">IF($A418="","",IF(O418&lt;=N($I418),MAX(0,2*N($I418)-O418),0))</f>
        <v/>
      </c>
      <c r="U418" s="61" t="str">
        <f aca="false">IF($A418="","",SUMIFS(Sales!$L$5:INDEX(Sales!$L$5:$L$3004,TxRows),Sales!$D$5:INDEX(Sales!$D$5:$D$3004,TxRows),$A418))</f>
        <v/>
      </c>
      <c r="V418" s="61" t="str">
        <f aca="false">IF($A418="","",SUMIFS(Sales!$S$5:INDEX(Sales!$S$5:$S$3004,TxRows),Sales!$D$5:INDEX(Sales!$D$5:$D$3004,TxRows),$A418))</f>
        <v/>
      </c>
      <c r="W418" s="66" t="str">
        <f aca="false">IF($A418="","",IFERROR(SUMPRODUCT(MAX((Sales!$D$5:INDEX(Sales!$D$5:$D$3004,TxRows)=$A418)*Sales!$A$5:INDEX(Sales!$A$5:$A$3004,TxRows))),0))</f>
        <v/>
      </c>
      <c r="X418" s="67" t="str">
        <f aca="false">IF($A418="","",IF(W418=0,AsOf-FYStart,AsOf-W418))</f>
        <v/>
      </c>
      <c r="Y418" s="67" t="str">
        <f aca="false">IF($A418="","",IF(M418=0,"",O418/(M418/MAX(1,AsOf-FYStart))))</f>
        <v/>
      </c>
      <c r="Z418" s="60" t="str">
        <f aca="false">IF($A418="","",U418+ROW()/1000000)</f>
        <v/>
      </c>
    </row>
    <row r="419" customFormat="false" ht="15" hidden="false" customHeight="false" outlineLevel="0" collapsed="false">
      <c r="A419" s="56"/>
      <c r="B419" s="56"/>
      <c r="C419" s="56"/>
      <c r="D419" s="56"/>
      <c r="E419" s="56"/>
      <c r="F419" s="63"/>
      <c r="G419" s="58"/>
      <c r="H419" s="58"/>
      <c r="I419" s="57"/>
      <c r="J419" s="57"/>
      <c r="K419" s="58"/>
      <c r="L419" s="64" t="str">
        <f aca="false">IF($A419="","",SUMIFS(Purchases!$E$5:INDEX(Purchases!$E$5:$E$3004,TxRows),Purchases!$D$5:INDEX(Purchases!$D$5:$D$3004,TxRows),$A419))</f>
        <v/>
      </c>
      <c r="M419" s="64" t="str">
        <f aca="false">IF($A419="","",SUMIFS(Sales!$E$5:INDEX(Sales!$E$5:$E$3004,TxRows),Sales!$D$5:INDEX(Sales!$D$5:$D$3004,TxRows),$A419))</f>
        <v/>
      </c>
      <c r="N419" s="64" t="str">
        <f aca="false">IF($A419="","",SUMIFS(Adjustments!$C$5:$C$504,Adjustments!$B$5:$B$504,$A419))</f>
        <v/>
      </c>
      <c r="O419" s="64" t="str">
        <f aca="false">IF($A419="","",N($J419)+L419-M419+N419)</f>
        <v/>
      </c>
      <c r="P419" s="61" t="str">
        <f aca="false">IF($A419="","",IFERROR((N($J419)*N($K419)+SUMIFS(Purchases!$K$5:INDEX(Purchases!$K$5:$K$3004,TxRows),Purchases!$D$5:INDEX(Purchases!$D$5:$D$3004,TxRows),$A419))/(N($J419)+L419),N($G419)))</f>
        <v/>
      </c>
      <c r="Q419" s="61" t="str">
        <f aca="false">IF($A419="","",MAX(0,O419)*P419)</f>
        <v/>
      </c>
      <c r="R419" s="60" t="str">
        <f aca="false">IF($A419="","",IF(O419&lt;0,"NEGATIVE",IF(O419=0,"OUT OF STOCK",IF(O419&lt;=N($I419),"REORDER",IF(AND(O419&gt;0,X419&gt;DeadDays),"DEAD STOCK","OK")))))</f>
        <v/>
      </c>
      <c r="S419" s="65" t="str">
        <f aca="false">IF($A419="","",IF(N($H419)=0,0,(N($H419)-P419)/N($H419)))</f>
        <v/>
      </c>
      <c r="T419" s="64" t="str">
        <f aca="false">IF($A419="","",IF(O419&lt;=N($I419),MAX(0,2*N($I419)-O419),0))</f>
        <v/>
      </c>
      <c r="U419" s="61" t="str">
        <f aca="false">IF($A419="","",SUMIFS(Sales!$L$5:INDEX(Sales!$L$5:$L$3004,TxRows),Sales!$D$5:INDEX(Sales!$D$5:$D$3004,TxRows),$A419))</f>
        <v/>
      </c>
      <c r="V419" s="61" t="str">
        <f aca="false">IF($A419="","",SUMIFS(Sales!$S$5:INDEX(Sales!$S$5:$S$3004,TxRows),Sales!$D$5:INDEX(Sales!$D$5:$D$3004,TxRows),$A419))</f>
        <v/>
      </c>
      <c r="W419" s="66" t="str">
        <f aca="false">IF($A419="","",IFERROR(SUMPRODUCT(MAX((Sales!$D$5:INDEX(Sales!$D$5:$D$3004,TxRows)=$A419)*Sales!$A$5:INDEX(Sales!$A$5:$A$3004,TxRows))),0))</f>
        <v/>
      </c>
      <c r="X419" s="67" t="str">
        <f aca="false">IF($A419="","",IF(W419=0,AsOf-FYStart,AsOf-W419))</f>
        <v/>
      </c>
      <c r="Y419" s="67" t="str">
        <f aca="false">IF($A419="","",IF(M419=0,"",O419/(M419/MAX(1,AsOf-FYStart))))</f>
        <v/>
      </c>
      <c r="Z419" s="60" t="str">
        <f aca="false">IF($A419="","",U419+ROW()/1000000)</f>
        <v/>
      </c>
    </row>
    <row r="420" customFormat="false" ht="15" hidden="false" customHeight="false" outlineLevel="0" collapsed="false">
      <c r="A420" s="56"/>
      <c r="B420" s="56"/>
      <c r="C420" s="56"/>
      <c r="D420" s="56"/>
      <c r="E420" s="56"/>
      <c r="F420" s="63"/>
      <c r="G420" s="58"/>
      <c r="H420" s="58"/>
      <c r="I420" s="57"/>
      <c r="J420" s="57"/>
      <c r="K420" s="58"/>
      <c r="L420" s="64" t="str">
        <f aca="false">IF($A420="","",SUMIFS(Purchases!$E$5:INDEX(Purchases!$E$5:$E$3004,TxRows),Purchases!$D$5:INDEX(Purchases!$D$5:$D$3004,TxRows),$A420))</f>
        <v/>
      </c>
      <c r="M420" s="64" t="str">
        <f aca="false">IF($A420="","",SUMIFS(Sales!$E$5:INDEX(Sales!$E$5:$E$3004,TxRows),Sales!$D$5:INDEX(Sales!$D$5:$D$3004,TxRows),$A420))</f>
        <v/>
      </c>
      <c r="N420" s="64" t="str">
        <f aca="false">IF($A420="","",SUMIFS(Adjustments!$C$5:$C$504,Adjustments!$B$5:$B$504,$A420))</f>
        <v/>
      </c>
      <c r="O420" s="64" t="str">
        <f aca="false">IF($A420="","",N($J420)+L420-M420+N420)</f>
        <v/>
      </c>
      <c r="P420" s="61" t="str">
        <f aca="false">IF($A420="","",IFERROR((N($J420)*N($K420)+SUMIFS(Purchases!$K$5:INDEX(Purchases!$K$5:$K$3004,TxRows),Purchases!$D$5:INDEX(Purchases!$D$5:$D$3004,TxRows),$A420))/(N($J420)+L420),N($G420)))</f>
        <v/>
      </c>
      <c r="Q420" s="61" t="str">
        <f aca="false">IF($A420="","",MAX(0,O420)*P420)</f>
        <v/>
      </c>
      <c r="R420" s="60" t="str">
        <f aca="false">IF($A420="","",IF(O420&lt;0,"NEGATIVE",IF(O420=0,"OUT OF STOCK",IF(O420&lt;=N($I420),"REORDER",IF(AND(O420&gt;0,X420&gt;DeadDays),"DEAD STOCK","OK")))))</f>
        <v/>
      </c>
      <c r="S420" s="65" t="str">
        <f aca="false">IF($A420="","",IF(N($H420)=0,0,(N($H420)-P420)/N($H420)))</f>
        <v/>
      </c>
      <c r="T420" s="64" t="str">
        <f aca="false">IF($A420="","",IF(O420&lt;=N($I420),MAX(0,2*N($I420)-O420),0))</f>
        <v/>
      </c>
      <c r="U420" s="61" t="str">
        <f aca="false">IF($A420="","",SUMIFS(Sales!$L$5:INDEX(Sales!$L$5:$L$3004,TxRows),Sales!$D$5:INDEX(Sales!$D$5:$D$3004,TxRows),$A420))</f>
        <v/>
      </c>
      <c r="V420" s="61" t="str">
        <f aca="false">IF($A420="","",SUMIFS(Sales!$S$5:INDEX(Sales!$S$5:$S$3004,TxRows),Sales!$D$5:INDEX(Sales!$D$5:$D$3004,TxRows),$A420))</f>
        <v/>
      </c>
      <c r="W420" s="66" t="str">
        <f aca="false">IF($A420="","",IFERROR(SUMPRODUCT(MAX((Sales!$D$5:INDEX(Sales!$D$5:$D$3004,TxRows)=$A420)*Sales!$A$5:INDEX(Sales!$A$5:$A$3004,TxRows))),0))</f>
        <v/>
      </c>
      <c r="X420" s="67" t="str">
        <f aca="false">IF($A420="","",IF(W420=0,AsOf-FYStart,AsOf-W420))</f>
        <v/>
      </c>
      <c r="Y420" s="67" t="str">
        <f aca="false">IF($A420="","",IF(M420=0,"",O420/(M420/MAX(1,AsOf-FYStart))))</f>
        <v/>
      </c>
      <c r="Z420" s="60" t="str">
        <f aca="false">IF($A420="","",U420+ROW()/1000000)</f>
        <v/>
      </c>
    </row>
    <row r="421" customFormat="false" ht="15" hidden="false" customHeight="false" outlineLevel="0" collapsed="false">
      <c r="A421" s="56"/>
      <c r="B421" s="56"/>
      <c r="C421" s="56"/>
      <c r="D421" s="56"/>
      <c r="E421" s="56"/>
      <c r="F421" s="63"/>
      <c r="G421" s="58"/>
      <c r="H421" s="58"/>
      <c r="I421" s="57"/>
      <c r="J421" s="57"/>
      <c r="K421" s="58"/>
      <c r="L421" s="64" t="str">
        <f aca="false">IF($A421="","",SUMIFS(Purchases!$E$5:INDEX(Purchases!$E$5:$E$3004,TxRows),Purchases!$D$5:INDEX(Purchases!$D$5:$D$3004,TxRows),$A421))</f>
        <v/>
      </c>
      <c r="M421" s="64" t="str">
        <f aca="false">IF($A421="","",SUMIFS(Sales!$E$5:INDEX(Sales!$E$5:$E$3004,TxRows),Sales!$D$5:INDEX(Sales!$D$5:$D$3004,TxRows),$A421))</f>
        <v/>
      </c>
      <c r="N421" s="64" t="str">
        <f aca="false">IF($A421="","",SUMIFS(Adjustments!$C$5:$C$504,Adjustments!$B$5:$B$504,$A421))</f>
        <v/>
      </c>
      <c r="O421" s="64" t="str">
        <f aca="false">IF($A421="","",N($J421)+L421-M421+N421)</f>
        <v/>
      </c>
      <c r="P421" s="61" t="str">
        <f aca="false">IF($A421="","",IFERROR((N($J421)*N($K421)+SUMIFS(Purchases!$K$5:INDEX(Purchases!$K$5:$K$3004,TxRows),Purchases!$D$5:INDEX(Purchases!$D$5:$D$3004,TxRows),$A421))/(N($J421)+L421),N($G421)))</f>
        <v/>
      </c>
      <c r="Q421" s="61" t="str">
        <f aca="false">IF($A421="","",MAX(0,O421)*P421)</f>
        <v/>
      </c>
      <c r="R421" s="60" t="str">
        <f aca="false">IF($A421="","",IF(O421&lt;0,"NEGATIVE",IF(O421=0,"OUT OF STOCK",IF(O421&lt;=N($I421),"REORDER",IF(AND(O421&gt;0,X421&gt;DeadDays),"DEAD STOCK","OK")))))</f>
        <v/>
      </c>
      <c r="S421" s="65" t="str">
        <f aca="false">IF($A421="","",IF(N($H421)=0,0,(N($H421)-P421)/N($H421)))</f>
        <v/>
      </c>
      <c r="T421" s="64" t="str">
        <f aca="false">IF($A421="","",IF(O421&lt;=N($I421),MAX(0,2*N($I421)-O421),0))</f>
        <v/>
      </c>
      <c r="U421" s="61" t="str">
        <f aca="false">IF($A421="","",SUMIFS(Sales!$L$5:INDEX(Sales!$L$5:$L$3004,TxRows),Sales!$D$5:INDEX(Sales!$D$5:$D$3004,TxRows),$A421))</f>
        <v/>
      </c>
      <c r="V421" s="61" t="str">
        <f aca="false">IF($A421="","",SUMIFS(Sales!$S$5:INDEX(Sales!$S$5:$S$3004,TxRows),Sales!$D$5:INDEX(Sales!$D$5:$D$3004,TxRows),$A421))</f>
        <v/>
      </c>
      <c r="W421" s="66" t="str">
        <f aca="false">IF($A421="","",IFERROR(SUMPRODUCT(MAX((Sales!$D$5:INDEX(Sales!$D$5:$D$3004,TxRows)=$A421)*Sales!$A$5:INDEX(Sales!$A$5:$A$3004,TxRows))),0))</f>
        <v/>
      </c>
      <c r="X421" s="67" t="str">
        <f aca="false">IF($A421="","",IF(W421=0,AsOf-FYStart,AsOf-W421))</f>
        <v/>
      </c>
      <c r="Y421" s="67" t="str">
        <f aca="false">IF($A421="","",IF(M421=0,"",O421/(M421/MAX(1,AsOf-FYStart))))</f>
        <v/>
      </c>
      <c r="Z421" s="60" t="str">
        <f aca="false">IF($A421="","",U421+ROW()/1000000)</f>
        <v/>
      </c>
    </row>
    <row r="422" customFormat="false" ht="15" hidden="false" customHeight="false" outlineLevel="0" collapsed="false">
      <c r="A422" s="56"/>
      <c r="B422" s="56"/>
      <c r="C422" s="56"/>
      <c r="D422" s="56"/>
      <c r="E422" s="56"/>
      <c r="F422" s="63"/>
      <c r="G422" s="58"/>
      <c r="H422" s="58"/>
      <c r="I422" s="57"/>
      <c r="J422" s="57"/>
      <c r="K422" s="58"/>
      <c r="L422" s="64" t="str">
        <f aca="false">IF($A422="","",SUMIFS(Purchases!$E$5:INDEX(Purchases!$E$5:$E$3004,TxRows),Purchases!$D$5:INDEX(Purchases!$D$5:$D$3004,TxRows),$A422))</f>
        <v/>
      </c>
      <c r="M422" s="64" t="str">
        <f aca="false">IF($A422="","",SUMIFS(Sales!$E$5:INDEX(Sales!$E$5:$E$3004,TxRows),Sales!$D$5:INDEX(Sales!$D$5:$D$3004,TxRows),$A422))</f>
        <v/>
      </c>
      <c r="N422" s="64" t="str">
        <f aca="false">IF($A422="","",SUMIFS(Adjustments!$C$5:$C$504,Adjustments!$B$5:$B$504,$A422))</f>
        <v/>
      </c>
      <c r="O422" s="64" t="str">
        <f aca="false">IF($A422="","",N($J422)+L422-M422+N422)</f>
        <v/>
      </c>
      <c r="P422" s="61" t="str">
        <f aca="false">IF($A422="","",IFERROR((N($J422)*N($K422)+SUMIFS(Purchases!$K$5:INDEX(Purchases!$K$5:$K$3004,TxRows),Purchases!$D$5:INDEX(Purchases!$D$5:$D$3004,TxRows),$A422))/(N($J422)+L422),N($G422)))</f>
        <v/>
      </c>
      <c r="Q422" s="61" t="str">
        <f aca="false">IF($A422="","",MAX(0,O422)*P422)</f>
        <v/>
      </c>
      <c r="R422" s="60" t="str">
        <f aca="false">IF($A422="","",IF(O422&lt;0,"NEGATIVE",IF(O422=0,"OUT OF STOCK",IF(O422&lt;=N($I422),"REORDER",IF(AND(O422&gt;0,X422&gt;DeadDays),"DEAD STOCK","OK")))))</f>
        <v/>
      </c>
      <c r="S422" s="65" t="str">
        <f aca="false">IF($A422="","",IF(N($H422)=0,0,(N($H422)-P422)/N($H422)))</f>
        <v/>
      </c>
      <c r="T422" s="64" t="str">
        <f aca="false">IF($A422="","",IF(O422&lt;=N($I422),MAX(0,2*N($I422)-O422),0))</f>
        <v/>
      </c>
      <c r="U422" s="61" t="str">
        <f aca="false">IF($A422="","",SUMIFS(Sales!$L$5:INDEX(Sales!$L$5:$L$3004,TxRows),Sales!$D$5:INDEX(Sales!$D$5:$D$3004,TxRows),$A422))</f>
        <v/>
      </c>
      <c r="V422" s="61" t="str">
        <f aca="false">IF($A422="","",SUMIFS(Sales!$S$5:INDEX(Sales!$S$5:$S$3004,TxRows),Sales!$D$5:INDEX(Sales!$D$5:$D$3004,TxRows),$A422))</f>
        <v/>
      </c>
      <c r="W422" s="66" t="str">
        <f aca="false">IF($A422="","",IFERROR(SUMPRODUCT(MAX((Sales!$D$5:INDEX(Sales!$D$5:$D$3004,TxRows)=$A422)*Sales!$A$5:INDEX(Sales!$A$5:$A$3004,TxRows))),0))</f>
        <v/>
      </c>
      <c r="X422" s="67" t="str">
        <f aca="false">IF($A422="","",IF(W422=0,AsOf-FYStart,AsOf-W422))</f>
        <v/>
      </c>
      <c r="Y422" s="67" t="str">
        <f aca="false">IF($A422="","",IF(M422=0,"",O422/(M422/MAX(1,AsOf-FYStart))))</f>
        <v/>
      </c>
      <c r="Z422" s="60" t="str">
        <f aca="false">IF($A422="","",U422+ROW()/1000000)</f>
        <v/>
      </c>
    </row>
    <row r="423" customFormat="false" ht="15" hidden="false" customHeight="false" outlineLevel="0" collapsed="false">
      <c r="A423" s="56"/>
      <c r="B423" s="56"/>
      <c r="C423" s="56"/>
      <c r="D423" s="56"/>
      <c r="E423" s="56"/>
      <c r="F423" s="63"/>
      <c r="G423" s="58"/>
      <c r="H423" s="58"/>
      <c r="I423" s="57"/>
      <c r="J423" s="57"/>
      <c r="K423" s="58"/>
      <c r="L423" s="64" t="str">
        <f aca="false">IF($A423="","",SUMIFS(Purchases!$E$5:INDEX(Purchases!$E$5:$E$3004,TxRows),Purchases!$D$5:INDEX(Purchases!$D$5:$D$3004,TxRows),$A423))</f>
        <v/>
      </c>
      <c r="M423" s="64" t="str">
        <f aca="false">IF($A423="","",SUMIFS(Sales!$E$5:INDEX(Sales!$E$5:$E$3004,TxRows),Sales!$D$5:INDEX(Sales!$D$5:$D$3004,TxRows),$A423))</f>
        <v/>
      </c>
      <c r="N423" s="64" t="str">
        <f aca="false">IF($A423="","",SUMIFS(Adjustments!$C$5:$C$504,Adjustments!$B$5:$B$504,$A423))</f>
        <v/>
      </c>
      <c r="O423" s="64" t="str">
        <f aca="false">IF($A423="","",N($J423)+L423-M423+N423)</f>
        <v/>
      </c>
      <c r="P423" s="61" t="str">
        <f aca="false">IF($A423="","",IFERROR((N($J423)*N($K423)+SUMIFS(Purchases!$K$5:INDEX(Purchases!$K$5:$K$3004,TxRows),Purchases!$D$5:INDEX(Purchases!$D$5:$D$3004,TxRows),$A423))/(N($J423)+L423),N($G423)))</f>
        <v/>
      </c>
      <c r="Q423" s="61" t="str">
        <f aca="false">IF($A423="","",MAX(0,O423)*P423)</f>
        <v/>
      </c>
      <c r="R423" s="60" t="str">
        <f aca="false">IF($A423="","",IF(O423&lt;0,"NEGATIVE",IF(O423=0,"OUT OF STOCK",IF(O423&lt;=N($I423),"REORDER",IF(AND(O423&gt;0,X423&gt;DeadDays),"DEAD STOCK","OK")))))</f>
        <v/>
      </c>
      <c r="S423" s="65" t="str">
        <f aca="false">IF($A423="","",IF(N($H423)=0,0,(N($H423)-P423)/N($H423)))</f>
        <v/>
      </c>
      <c r="T423" s="64" t="str">
        <f aca="false">IF($A423="","",IF(O423&lt;=N($I423),MAX(0,2*N($I423)-O423),0))</f>
        <v/>
      </c>
      <c r="U423" s="61" t="str">
        <f aca="false">IF($A423="","",SUMIFS(Sales!$L$5:INDEX(Sales!$L$5:$L$3004,TxRows),Sales!$D$5:INDEX(Sales!$D$5:$D$3004,TxRows),$A423))</f>
        <v/>
      </c>
      <c r="V423" s="61" t="str">
        <f aca="false">IF($A423="","",SUMIFS(Sales!$S$5:INDEX(Sales!$S$5:$S$3004,TxRows),Sales!$D$5:INDEX(Sales!$D$5:$D$3004,TxRows),$A423))</f>
        <v/>
      </c>
      <c r="W423" s="66" t="str">
        <f aca="false">IF($A423="","",IFERROR(SUMPRODUCT(MAX((Sales!$D$5:INDEX(Sales!$D$5:$D$3004,TxRows)=$A423)*Sales!$A$5:INDEX(Sales!$A$5:$A$3004,TxRows))),0))</f>
        <v/>
      </c>
      <c r="X423" s="67" t="str">
        <f aca="false">IF($A423="","",IF(W423=0,AsOf-FYStart,AsOf-W423))</f>
        <v/>
      </c>
      <c r="Y423" s="67" t="str">
        <f aca="false">IF($A423="","",IF(M423=0,"",O423/(M423/MAX(1,AsOf-FYStart))))</f>
        <v/>
      </c>
      <c r="Z423" s="60" t="str">
        <f aca="false">IF($A423="","",U423+ROW()/1000000)</f>
        <v/>
      </c>
    </row>
    <row r="424" customFormat="false" ht="15" hidden="false" customHeight="false" outlineLevel="0" collapsed="false">
      <c r="A424" s="56"/>
      <c r="B424" s="56"/>
      <c r="C424" s="56"/>
      <c r="D424" s="56"/>
      <c r="E424" s="56"/>
      <c r="F424" s="63"/>
      <c r="G424" s="58"/>
      <c r="H424" s="58"/>
      <c r="I424" s="57"/>
      <c r="J424" s="57"/>
      <c r="K424" s="58"/>
      <c r="L424" s="64" t="str">
        <f aca="false">IF($A424="","",SUMIFS(Purchases!$E$5:INDEX(Purchases!$E$5:$E$3004,TxRows),Purchases!$D$5:INDEX(Purchases!$D$5:$D$3004,TxRows),$A424))</f>
        <v/>
      </c>
      <c r="M424" s="64" t="str">
        <f aca="false">IF($A424="","",SUMIFS(Sales!$E$5:INDEX(Sales!$E$5:$E$3004,TxRows),Sales!$D$5:INDEX(Sales!$D$5:$D$3004,TxRows),$A424))</f>
        <v/>
      </c>
      <c r="N424" s="64" t="str">
        <f aca="false">IF($A424="","",SUMIFS(Adjustments!$C$5:$C$504,Adjustments!$B$5:$B$504,$A424))</f>
        <v/>
      </c>
      <c r="O424" s="64" t="str">
        <f aca="false">IF($A424="","",N($J424)+L424-M424+N424)</f>
        <v/>
      </c>
      <c r="P424" s="61" t="str">
        <f aca="false">IF($A424="","",IFERROR((N($J424)*N($K424)+SUMIFS(Purchases!$K$5:INDEX(Purchases!$K$5:$K$3004,TxRows),Purchases!$D$5:INDEX(Purchases!$D$5:$D$3004,TxRows),$A424))/(N($J424)+L424),N($G424)))</f>
        <v/>
      </c>
      <c r="Q424" s="61" t="str">
        <f aca="false">IF($A424="","",MAX(0,O424)*P424)</f>
        <v/>
      </c>
      <c r="R424" s="60" t="str">
        <f aca="false">IF($A424="","",IF(O424&lt;0,"NEGATIVE",IF(O424=0,"OUT OF STOCK",IF(O424&lt;=N($I424),"REORDER",IF(AND(O424&gt;0,X424&gt;DeadDays),"DEAD STOCK","OK")))))</f>
        <v/>
      </c>
      <c r="S424" s="65" t="str">
        <f aca="false">IF($A424="","",IF(N($H424)=0,0,(N($H424)-P424)/N($H424)))</f>
        <v/>
      </c>
      <c r="T424" s="64" t="str">
        <f aca="false">IF($A424="","",IF(O424&lt;=N($I424),MAX(0,2*N($I424)-O424),0))</f>
        <v/>
      </c>
      <c r="U424" s="61" t="str">
        <f aca="false">IF($A424="","",SUMIFS(Sales!$L$5:INDEX(Sales!$L$5:$L$3004,TxRows),Sales!$D$5:INDEX(Sales!$D$5:$D$3004,TxRows),$A424))</f>
        <v/>
      </c>
      <c r="V424" s="61" t="str">
        <f aca="false">IF($A424="","",SUMIFS(Sales!$S$5:INDEX(Sales!$S$5:$S$3004,TxRows),Sales!$D$5:INDEX(Sales!$D$5:$D$3004,TxRows),$A424))</f>
        <v/>
      </c>
      <c r="W424" s="66" t="str">
        <f aca="false">IF($A424="","",IFERROR(SUMPRODUCT(MAX((Sales!$D$5:INDEX(Sales!$D$5:$D$3004,TxRows)=$A424)*Sales!$A$5:INDEX(Sales!$A$5:$A$3004,TxRows))),0))</f>
        <v/>
      </c>
      <c r="X424" s="67" t="str">
        <f aca="false">IF($A424="","",IF(W424=0,AsOf-FYStart,AsOf-W424))</f>
        <v/>
      </c>
      <c r="Y424" s="67" t="str">
        <f aca="false">IF($A424="","",IF(M424=0,"",O424/(M424/MAX(1,AsOf-FYStart))))</f>
        <v/>
      </c>
      <c r="Z424" s="60" t="str">
        <f aca="false">IF($A424="","",U424+ROW()/1000000)</f>
        <v/>
      </c>
    </row>
    <row r="425" customFormat="false" ht="15" hidden="false" customHeight="false" outlineLevel="0" collapsed="false">
      <c r="A425" s="56"/>
      <c r="B425" s="56"/>
      <c r="C425" s="56"/>
      <c r="D425" s="56"/>
      <c r="E425" s="56"/>
      <c r="F425" s="63"/>
      <c r="G425" s="58"/>
      <c r="H425" s="58"/>
      <c r="I425" s="57"/>
      <c r="J425" s="57"/>
      <c r="K425" s="58"/>
      <c r="L425" s="64" t="str">
        <f aca="false">IF($A425="","",SUMIFS(Purchases!$E$5:INDEX(Purchases!$E$5:$E$3004,TxRows),Purchases!$D$5:INDEX(Purchases!$D$5:$D$3004,TxRows),$A425))</f>
        <v/>
      </c>
      <c r="M425" s="64" t="str">
        <f aca="false">IF($A425="","",SUMIFS(Sales!$E$5:INDEX(Sales!$E$5:$E$3004,TxRows),Sales!$D$5:INDEX(Sales!$D$5:$D$3004,TxRows),$A425))</f>
        <v/>
      </c>
      <c r="N425" s="64" t="str">
        <f aca="false">IF($A425="","",SUMIFS(Adjustments!$C$5:$C$504,Adjustments!$B$5:$B$504,$A425))</f>
        <v/>
      </c>
      <c r="O425" s="64" t="str">
        <f aca="false">IF($A425="","",N($J425)+L425-M425+N425)</f>
        <v/>
      </c>
      <c r="P425" s="61" t="str">
        <f aca="false">IF($A425="","",IFERROR((N($J425)*N($K425)+SUMIFS(Purchases!$K$5:INDEX(Purchases!$K$5:$K$3004,TxRows),Purchases!$D$5:INDEX(Purchases!$D$5:$D$3004,TxRows),$A425))/(N($J425)+L425),N($G425)))</f>
        <v/>
      </c>
      <c r="Q425" s="61" t="str">
        <f aca="false">IF($A425="","",MAX(0,O425)*P425)</f>
        <v/>
      </c>
      <c r="R425" s="60" t="str">
        <f aca="false">IF($A425="","",IF(O425&lt;0,"NEGATIVE",IF(O425=0,"OUT OF STOCK",IF(O425&lt;=N($I425),"REORDER",IF(AND(O425&gt;0,X425&gt;DeadDays),"DEAD STOCK","OK")))))</f>
        <v/>
      </c>
      <c r="S425" s="65" t="str">
        <f aca="false">IF($A425="","",IF(N($H425)=0,0,(N($H425)-P425)/N($H425)))</f>
        <v/>
      </c>
      <c r="T425" s="64" t="str">
        <f aca="false">IF($A425="","",IF(O425&lt;=N($I425),MAX(0,2*N($I425)-O425),0))</f>
        <v/>
      </c>
      <c r="U425" s="61" t="str">
        <f aca="false">IF($A425="","",SUMIFS(Sales!$L$5:INDEX(Sales!$L$5:$L$3004,TxRows),Sales!$D$5:INDEX(Sales!$D$5:$D$3004,TxRows),$A425))</f>
        <v/>
      </c>
      <c r="V425" s="61" t="str">
        <f aca="false">IF($A425="","",SUMIFS(Sales!$S$5:INDEX(Sales!$S$5:$S$3004,TxRows),Sales!$D$5:INDEX(Sales!$D$5:$D$3004,TxRows),$A425))</f>
        <v/>
      </c>
      <c r="W425" s="66" t="str">
        <f aca="false">IF($A425="","",IFERROR(SUMPRODUCT(MAX((Sales!$D$5:INDEX(Sales!$D$5:$D$3004,TxRows)=$A425)*Sales!$A$5:INDEX(Sales!$A$5:$A$3004,TxRows))),0))</f>
        <v/>
      </c>
      <c r="X425" s="67" t="str">
        <f aca="false">IF($A425="","",IF(W425=0,AsOf-FYStart,AsOf-W425))</f>
        <v/>
      </c>
      <c r="Y425" s="67" t="str">
        <f aca="false">IF($A425="","",IF(M425=0,"",O425/(M425/MAX(1,AsOf-FYStart))))</f>
        <v/>
      </c>
      <c r="Z425" s="60" t="str">
        <f aca="false">IF($A425="","",U425+ROW()/1000000)</f>
        <v/>
      </c>
    </row>
    <row r="426" customFormat="false" ht="15" hidden="false" customHeight="false" outlineLevel="0" collapsed="false">
      <c r="A426" s="56"/>
      <c r="B426" s="56"/>
      <c r="C426" s="56"/>
      <c r="D426" s="56"/>
      <c r="E426" s="56"/>
      <c r="F426" s="63"/>
      <c r="G426" s="58"/>
      <c r="H426" s="58"/>
      <c r="I426" s="57"/>
      <c r="J426" s="57"/>
      <c r="K426" s="58"/>
      <c r="L426" s="64" t="str">
        <f aca="false">IF($A426="","",SUMIFS(Purchases!$E$5:INDEX(Purchases!$E$5:$E$3004,TxRows),Purchases!$D$5:INDEX(Purchases!$D$5:$D$3004,TxRows),$A426))</f>
        <v/>
      </c>
      <c r="M426" s="64" t="str">
        <f aca="false">IF($A426="","",SUMIFS(Sales!$E$5:INDEX(Sales!$E$5:$E$3004,TxRows),Sales!$D$5:INDEX(Sales!$D$5:$D$3004,TxRows),$A426))</f>
        <v/>
      </c>
      <c r="N426" s="64" t="str">
        <f aca="false">IF($A426="","",SUMIFS(Adjustments!$C$5:$C$504,Adjustments!$B$5:$B$504,$A426))</f>
        <v/>
      </c>
      <c r="O426" s="64" t="str">
        <f aca="false">IF($A426="","",N($J426)+L426-M426+N426)</f>
        <v/>
      </c>
      <c r="P426" s="61" t="str">
        <f aca="false">IF($A426="","",IFERROR((N($J426)*N($K426)+SUMIFS(Purchases!$K$5:INDEX(Purchases!$K$5:$K$3004,TxRows),Purchases!$D$5:INDEX(Purchases!$D$5:$D$3004,TxRows),$A426))/(N($J426)+L426),N($G426)))</f>
        <v/>
      </c>
      <c r="Q426" s="61" t="str">
        <f aca="false">IF($A426="","",MAX(0,O426)*P426)</f>
        <v/>
      </c>
      <c r="R426" s="60" t="str">
        <f aca="false">IF($A426="","",IF(O426&lt;0,"NEGATIVE",IF(O426=0,"OUT OF STOCK",IF(O426&lt;=N($I426),"REORDER",IF(AND(O426&gt;0,X426&gt;DeadDays),"DEAD STOCK","OK")))))</f>
        <v/>
      </c>
      <c r="S426" s="65" t="str">
        <f aca="false">IF($A426="","",IF(N($H426)=0,0,(N($H426)-P426)/N($H426)))</f>
        <v/>
      </c>
      <c r="T426" s="64" t="str">
        <f aca="false">IF($A426="","",IF(O426&lt;=N($I426),MAX(0,2*N($I426)-O426),0))</f>
        <v/>
      </c>
      <c r="U426" s="61" t="str">
        <f aca="false">IF($A426="","",SUMIFS(Sales!$L$5:INDEX(Sales!$L$5:$L$3004,TxRows),Sales!$D$5:INDEX(Sales!$D$5:$D$3004,TxRows),$A426))</f>
        <v/>
      </c>
      <c r="V426" s="61" t="str">
        <f aca="false">IF($A426="","",SUMIFS(Sales!$S$5:INDEX(Sales!$S$5:$S$3004,TxRows),Sales!$D$5:INDEX(Sales!$D$5:$D$3004,TxRows),$A426))</f>
        <v/>
      </c>
      <c r="W426" s="66" t="str">
        <f aca="false">IF($A426="","",IFERROR(SUMPRODUCT(MAX((Sales!$D$5:INDEX(Sales!$D$5:$D$3004,TxRows)=$A426)*Sales!$A$5:INDEX(Sales!$A$5:$A$3004,TxRows))),0))</f>
        <v/>
      </c>
      <c r="X426" s="67" t="str">
        <f aca="false">IF($A426="","",IF(W426=0,AsOf-FYStart,AsOf-W426))</f>
        <v/>
      </c>
      <c r="Y426" s="67" t="str">
        <f aca="false">IF($A426="","",IF(M426=0,"",O426/(M426/MAX(1,AsOf-FYStart))))</f>
        <v/>
      </c>
      <c r="Z426" s="60" t="str">
        <f aca="false">IF($A426="","",U426+ROW()/1000000)</f>
        <v/>
      </c>
    </row>
    <row r="427" customFormat="false" ht="15" hidden="false" customHeight="false" outlineLevel="0" collapsed="false">
      <c r="A427" s="56"/>
      <c r="B427" s="56"/>
      <c r="C427" s="56"/>
      <c r="D427" s="56"/>
      <c r="E427" s="56"/>
      <c r="F427" s="63"/>
      <c r="G427" s="58"/>
      <c r="H427" s="58"/>
      <c r="I427" s="57"/>
      <c r="J427" s="57"/>
      <c r="K427" s="58"/>
      <c r="L427" s="64" t="str">
        <f aca="false">IF($A427="","",SUMIFS(Purchases!$E$5:INDEX(Purchases!$E$5:$E$3004,TxRows),Purchases!$D$5:INDEX(Purchases!$D$5:$D$3004,TxRows),$A427))</f>
        <v/>
      </c>
      <c r="M427" s="64" t="str">
        <f aca="false">IF($A427="","",SUMIFS(Sales!$E$5:INDEX(Sales!$E$5:$E$3004,TxRows),Sales!$D$5:INDEX(Sales!$D$5:$D$3004,TxRows),$A427))</f>
        <v/>
      </c>
      <c r="N427" s="64" t="str">
        <f aca="false">IF($A427="","",SUMIFS(Adjustments!$C$5:$C$504,Adjustments!$B$5:$B$504,$A427))</f>
        <v/>
      </c>
      <c r="O427" s="64" t="str">
        <f aca="false">IF($A427="","",N($J427)+L427-M427+N427)</f>
        <v/>
      </c>
      <c r="P427" s="61" t="str">
        <f aca="false">IF($A427="","",IFERROR((N($J427)*N($K427)+SUMIFS(Purchases!$K$5:INDEX(Purchases!$K$5:$K$3004,TxRows),Purchases!$D$5:INDEX(Purchases!$D$5:$D$3004,TxRows),$A427))/(N($J427)+L427),N($G427)))</f>
        <v/>
      </c>
      <c r="Q427" s="61" t="str">
        <f aca="false">IF($A427="","",MAX(0,O427)*P427)</f>
        <v/>
      </c>
      <c r="R427" s="60" t="str">
        <f aca="false">IF($A427="","",IF(O427&lt;0,"NEGATIVE",IF(O427=0,"OUT OF STOCK",IF(O427&lt;=N($I427),"REORDER",IF(AND(O427&gt;0,X427&gt;DeadDays),"DEAD STOCK","OK")))))</f>
        <v/>
      </c>
      <c r="S427" s="65" t="str">
        <f aca="false">IF($A427="","",IF(N($H427)=0,0,(N($H427)-P427)/N($H427)))</f>
        <v/>
      </c>
      <c r="T427" s="64" t="str">
        <f aca="false">IF($A427="","",IF(O427&lt;=N($I427),MAX(0,2*N($I427)-O427),0))</f>
        <v/>
      </c>
      <c r="U427" s="61" t="str">
        <f aca="false">IF($A427="","",SUMIFS(Sales!$L$5:INDEX(Sales!$L$5:$L$3004,TxRows),Sales!$D$5:INDEX(Sales!$D$5:$D$3004,TxRows),$A427))</f>
        <v/>
      </c>
      <c r="V427" s="61" t="str">
        <f aca="false">IF($A427="","",SUMIFS(Sales!$S$5:INDEX(Sales!$S$5:$S$3004,TxRows),Sales!$D$5:INDEX(Sales!$D$5:$D$3004,TxRows),$A427))</f>
        <v/>
      </c>
      <c r="W427" s="66" t="str">
        <f aca="false">IF($A427="","",IFERROR(SUMPRODUCT(MAX((Sales!$D$5:INDEX(Sales!$D$5:$D$3004,TxRows)=$A427)*Sales!$A$5:INDEX(Sales!$A$5:$A$3004,TxRows))),0))</f>
        <v/>
      </c>
      <c r="X427" s="67" t="str">
        <f aca="false">IF($A427="","",IF(W427=0,AsOf-FYStart,AsOf-W427))</f>
        <v/>
      </c>
      <c r="Y427" s="67" t="str">
        <f aca="false">IF($A427="","",IF(M427=0,"",O427/(M427/MAX(1,AsOf-FYStart))))</f>
        <v/>
      </c>
      <c r="Z427" s="60" t="str">
        <f aca="false">IF($A427="","",U427+ROW()/1000000)</f>
        <v/>
      </c>
    </row>
    <row r="428" customFormat="false" ht="15" hidden="false" customHeight="false" outlineLevel="0" collapsed="false">
      <c r="A428" s="56"/>
      <c r="B428" s="56"/>
      <c r="C428" s="56"/>
      <c r="D428" s="56"/>
      <c r="E428" s="56"/>
      <c r="F428" s="63"/>
      <c r="G428" s="58"/>
      <c r="H428" s="58"/>
      <c r="I428" s="57"/>
      <c r="J428" s="57"/>
      <c r="K428" s="58"/>
      <c r="L428" s="64" t="str">
        <f aca="false">IF($A428="","",SUMIFS(Purchases!$E$5:INDEX(Purchases!$E$5:$E$3004,TxRows),Purchases!$D$5:INDEX(Purchases!$D$5:$D$3004,TxRows),$A428))</f>
        <v/>
      </c>
      <c r="M428" s="64" t="str">
        <f aca="false">IF($A428="","",SUMIFS(Sales!$E$5:INDEX(Sales!$E$5:$E$3004,TxRows),Sales!$D$5:INDEX(Sales!$D$5:$D$3004,TxRows),$A428))</f>
        <v/>
      </c>
      <c r="N428" s="64" t="str">
        <f aca="false">IF($A428="","",SUMIFS(Adjustments!$C$5:$C$504,Adjustments!$B$5:$B$504,$A428))</f>
        <v/>
      </c>
      <c r="O428" s="64" t="str">
        <f aca="false">IF($A428="","",N($J428)+L428-M428+N428)</f>
        <v/>
      </c>
      <c r="P428" s="61" t="str">
        <f aca="false">IF($A428="","",IFERROR((N($J428)*N($K428)+SUMIFS(Purchases!$K$5:INDEX(Purchases!$K$5:$K$3004,TxRows),Purchases!$D$5:INDEX(Purchases!$D$5:$D$3004,TxRows),$A428))/(N($J428)+L428),N($G428)))</f>
        <v/>
      </c>
      <c r="Q428" s="61" t="str">
        <f aca="false">IF($A428="","",MAX(0,O428)*P428)</f>
        <v/>
      </c>
      <c r="R428" s="60" t="str">
        <f aca="false">IF($A428="","",IF(O428&lt;0,"NEGATIVE",IF(O428=0,"OUT OF STOCK",IF(O428&lt;=N($I428),"REORDER",IF(AND(O428&gt;0,X428&gt;DeadDays),"DEAD STOCK","OK")))))</f>
        <v/>
      </c>
      <c r="S428" s="65" t="str">
        <f aca="false">IF($A428="","",IF(N($H428)=0,0,(N($H428)-P428)/N($H428)))</f>
        <v/>
      </c>
      <c r="T428" s="64" t="str">
        <f aca="false">IF($A428="","",IF(O428&lt;=N($I428),MAX(0,2*N($I428)-O428),0))</f>
        <v/>
      </c>
      <c r="U428" s="61" t="str">
        <f aca="false">IF($A428="","",SUMIFS(Sales!$L$5:INDEX(Sales!$L$5:$L$3004,TxRows),Sales!$D$5:INDEX(Sales!$D$5:$D$3004,TxRows),$A428))</f>
        <v/>
      </c>
      <c r="V428" s="61" t="str">
        <f aca="false">IF($A428="","",SUMIFS(Sales!$S$5:INDEX(Sales!$S$5:$S$3004,TxRows),Sales!$D$5:INDEX(Sales!$D$5:$D$3004,TxRows),$A428))</f>
        <v/>
      </c>
      <c r="W428" s="66" t="str">
        <f aca="false">IF($A428="","",IFERROR(SUMPRODUCT(MAX((Sales!$D$5:INDEX(Sales!$D$5:$D$3004,TxRows)=$A428)*Sales!$A$5:INDEX(Sales!$A$5:$A$3004,TxRows))),0))</f>
        <v/>
      </c>
      <c r="X428" s="67" t="str">
        <f aca="false">IF($A428="","",IF(W428=0,AsOf-FYStart,AsOf-W428))</f>
        <v/>
      </c>
      <c r="Y428" s="67" t="str">
        <f aca="false">IF($A428="","",IF(M428=0,"",O428/(M428/MAX(1,AsOf-FYStart))))</f>
        <v/>
      </c>
      <c r="Z428" s="60" t="str">
        <f aca="false">IF($A428="","",U428+ROW()/1000000)</f>
        <v/>
      </c>
    </row>
    <row r="429" customFormat="false" ht="15" hidden="false" customHeight="false" outlineLevel="0" collapsed="false">
      <c r="A429" s="56"/>
      <c r="B429" s="56"/>
      <c r="C429" s="56"/>
      <c r="D429" s="56"/>
      <c r="E429" s="56"/>
      <c r="F429" s="63"/>
      <c r="G429" s="58"/>
      <c r="H429" s="58"/>
      <c r="I429" s="57"/>
      <c r="J429" s="57"/>
      <c r="K429" s="58"/>
      <c r="L429" s="64" t="str">
        <f aca="false">IF($A429="","",SUMIFS(Purchases!$E$5:INDEX(Purchases!$E$5:$E$3004,TxRows),Purchases!$D$5:INDEX(Purchases!$D$5:$D$3004,TxRows),$A429))</f>
        <v/>
      </c>
      <c r="M429" s="64" t="str">
        <f aca="false">IF($A429="","",SUMIFS(Sales!$E$5:INDEX(Sales!$E$5:$E$3004,TxRows),Sales!$D$5:INDEX(Sales!$D$5:$D$3004,TxRows),$A429))</f>
        <v/>
      </c>
      <c r="N429" s="64" t="str">
        <f aca="false">IF($A429="","",SUMIFS(Adjustments!$C$5:$C$504,Adjustments!$B$5:$B$504,$A429))</f>
        <v/>
      </c>
      <c r="O429" s="64" t="str">
        <f aca="false">IF($A429="","",N($J429)+L429-M429+N429)</f>
        <v/>
      </c>
      <c r="P429" s="61" t="str">
        <f aca="false">IF($A429="","",IFERROR((N($J429)*N($K429)+SUMIFS(Purchases!$K$5:INDEX(Purchases!$K$5:$K$3004,TxRows),Purchases!$D$5:INDEX(Purchases!$D$5:$D$3004,TxRows),$A429))/(N($J429)+L429),N($G429)))</f>
        <v/>
      </c>
      <c r="Q429" s="61" t="str">
        <f aca="false">IF($A429="","",MAX(0,O429)*P429)</f>
        <v/>
      </c>
      <c r="R429" s="60" t="str">
        <f aca="false">IF($A429="","",IF(O429&lt;0,"NEGATIVE",IF(O429=0,"OUT OF STOCK",IF(O429&lt;=N($I429),"REORDER",IF(AND(O429&gt;0,X429&gt;DeadDays),"DEAD STOCK","OK")))))</f>
        <v/>
      </c>
      <c r="S429" s="65" t="str">
        <f aca="false">IF($A429="","",IF(N($H429)=0,0,(N($H429)-P429)/N($H429)))</f>
        <v/>
      </c>
      <c r="T429" s="64" t="str">
        <f aca="false">IF($A429="","",IF(O429&lt;=N($I429),MAX(0,2*N($I429)-O429),0))</f>
        <v/>
      </c>
      <c r="U429" s="61" t="str">
        <f aca="false">IF($A429="","",SUMIFS(Sales!$L$5:INDEX(Sales!$L$5:$L$3004,TxRows),Sales!$D$5:INDEX(Sales!$D$5:$D$3004,TxRows),$A429))</f>
        <v/>
      </c>
      <c r="V429" s="61" t="str">
        <f aca="false">IF($A429="","",SUMIFS(Sales!$S$5:INDEX(Sales!$S$5:$S$3004,TxRows),Sales!$D$5:INDEX(Sales!$D$5:$D$3004,TxRows),$A429))</f>
        <v/>
      </c>
      <c r="W429" s="66" t="str">
        <f aca="false">IF($A429="","",IFERROR(SUMPRODUCT(MAX((Sales!$D$5:INDEX(Sales!$D$5:$D$3004,TxRows)=$A429)*Sales!$A$5:INDEX(Sales!$A$5:$A$3004,TxRows))),0))</f>
        <v/>
      </c>
      <c r="X429" s="67" t="str">
        <f aca="false">IF($A429="","",IF(W429=0,AsOf-FYStart,AsOf-W429))</f>
        <v/>
      </c>
      <c r="Y429" s="67" t="str">
        <f aca="false">IF($A429="","",IF(M429=0,"",O429/(M429/MAX(1,AsOf-FYStart))))</f>
        <v/>
      </c>
      <c r="Z429" s="60" t="str">
        <f aca="false">IF($A429="","",U429+ROW()/1000000)</f>
        <v/>
      </c>
    </row>
    <row r="430" customFormat="false" ht="15" hidden="false" customHeight="false" outlineLevel="0" collapsed="false">
      <c r="A430" s="56"/>
      <c r="B430" s="56"/>
      <c r="C430" s="56"/>
      <c r="D430" s="56"/>
      <c r="E430" s="56"/>
      <c r="F430" s="63"/>
      <c r="G430" s="58"/>
      <c r="H430" s="58"/>
      <c r="I430" s="57"/>
      <c r="J430" s="57"/>
      <c r="K430" s="58"/>
      <c r="L430" s="64" t="str">
        <f aca="false">IF($A430="","",SUMIFS(Purchases!$E$5:INDEX(Purchases!$E$5:$E$3004,TxRows),Purchases!$D$5:INDEX(Purchases!$D$5:$D$3004,TxRows),$A430))</f>
        <v/>
      </c>
      <c r="M430" s="64" t="str">
        <f aca="false">IF($A430="","",SUMIFS(Sales!$E$5:INDEX(Sales!$E$5:$E$3004,TxRows),Sales!$D$5:INDEX(Sales!$D$5:$D$3004,TxRows),$A430))</f>
        <v/>
      </c>
      <c r="N430" s="64" t="str">
        <f aca="false">IF($A430="","",SUMIFS(Adjustments!$C$5:$C$504,Adjustments!$B$5:$B$504,$A430))</f>
        <v/>
      </c>
      <c r="O430" s="64" t="str">
        <f aca="false">IF($A430="","",N($J430)+L430-M430+N430)</f>
        <v/>
      </c>
      <c r="P430" s="61" t="str">
        <f aca="false">IF($A430="","",IFERROR((N($J430)*N($K430)+SUMIFS(Purchases!$K$5:INDEX(Purchases!$K$5:$K$3004,TxRows),Purchases!$D$5:INDEX(Purchases!$D$5:$D$3004,TxRows),$A430))/(N($J430)+L430),N($G430)))</f>
        <v/>
      </c>
      <c r="Q430" s="61" t="str">
        <f aca="false">IF($A430="","",MAX(0,O430)*P430)</f>
        <v/>
      </c>
      <c r="R430" s="60" t="str">
        <f aca="false">IF($A430="","",IF(O430&lt;0,"NEGATIVE",IF(O430=0,"OUT OF STOCK",IF(O430&lt;=N($I430),"REORDER",IF(AND(O430&gt;0,X430&gt;DeadDays),"DEAD STOCK","OK")))))</f>
        <v/>
      </c>
      <c r="S430" s="65" t="str">
        <f aca="false">IF($A430="","",IF(N($H430)=0,0,(N($H430)-P430)/N($H430)))</f>
        <v/>
      </c>
      <c r="T430" s="64" t="str">
        <f aca="false">IF($A430="","",IF(O430&lt;=N($I430),MAX(0,2*N($I430)-O430),0))</f>
        <v/>
      </c>
      <c r="U430" s="61" t="str">
        <f aca="false">IF($A430="","",SUMIFS(Sales!$L$5:INDEX(Sales!$L$5:$L$3004,TxRows),Sales!$D$5:INDEX(Sales!$D$5:$D$3004,TxRows),$A430))</f>
        <v/>
      </c>
      <c r="V430" s="61" t="str">
        <f aca="false">IF($A430="","",SUMIFS(Sales!$S$5:INDEX(Sales!$S$5:$S$3004,TxRows),Sales!$D$5:INDEX(Sales!$D$5:$D$3004,TxRows),$A430))</f>
        <v/>
      </c>
      <c r="W430" s="66" t="str">
        <f aca="false">IF($A430="","",IFERROR(SUMPRODUCT(MAX((Sales!$D$5:INDEX(Sales!$D$5:$D$3004,TxRows)=$A430)*Sales!$A$5:INDEX(Sales!$A$5:$A$3004,TxRows))),0))</f>
        <v/>
      </c>
      <c r="X430" s="67" t="str">
        <f aca="false">IF($A430="","",IF(W430=0,AsOf-FYStart,AsOf-W430))</f>
        <v/>
      </c>
      <c r="Y430" s="67" t="str">
        <f aca="false">IF($A430="","",IF(M430=0,"",O430/(M430/MAX(1,AsOf-FYStart))))</f>
        <v/>
      </c>
      <c r="Z430" s="60" t="str">
        <f aca="false">IF($A430="","",U430+ROW()/1000000)</f>
        <v/>
      </c>
    </row>
    <row r="431" customFormat="false" ht="15" hidden="false" customHeight="false" outlineLevel="0" collapsed="false">
      <c r="A431" s="56"/>
      <c r="B431" s="56"/>
      <c r="C431" s="56"/>
      <c r="D431" s="56"/>
      <c r="E431" s="56"/>
      <c r="F431" s="63"/>
      <c r="G431" s="58"/>
      <c r="H431" s="58"/>
      <c r="I431" s="57"/>
      <c r="J431" s="57"/>
      <c r="K431" s="58"/>
      <c r="L431" s="64" t="str">
        <f aca="false">IF($A431="","",SUMIFS(Purchases!$E$5:INDEX(Purchases!$E$5:$E$3004,TxRows),Purchases!$D$5:INDEX(Purchases!$D$5:$D$3004,TxRows),$A431))</f>
        <v/>
      </c>
      <c r="M431" s="64" t="str">
        <f aca="false">IF($A431="","",SUMIFS(Sales!$E$5:INDEX(Sales!$E$5:$E$3004,TxRows),Sales!$D$5:INDEX(Sales!$D$5:$D$3004,TxRows),$A431))</f>
        <v/>
      </c>
      <c r="N431" s="64" t="str">
        <f aca="false">IF($A431="","",SUMIFS(Adjustments!$C$5:$C$504,Adjustments!$B$5:$B$504,$A431))</f>
        <v/>
      </c>
      <c r="O431" s="64" t="str">
        <f aca="false">IF($A431="","",N($J431)+L431-M431+N431)</f>
        <v/>
      </c>
      <c r="P431" s="61" t="str">
        <f aca="false">IF($A431="","",IFERROR((N($J431)*N($K431)+SUMIFS(Purchases!$K$5:INDEX(Purchases!$K$5:$K$3004,TxRows),Purchases!$D$5:INDEX(Purchases!$D$5:$D$3004,TxRows),$A431))/(N($J431)+L431),N($G431)))</f>
        <v/>
      </c>
      <c r="Q431" s="61" t="str">
        <f aca="false">IF($A431="","",MAX(0,O431)*P431)</f>
        <v/>
      </c>
      <c r="R431" s="60" t="str">
        <f aca="false">IF($A431="","",IF(O431&lt;0,"NEGATIVE",IF(O431=0,"OUT OF STOCK",IF(O431&lt;=N($I431),"REORDER",IF(AND(O431&gt;0,X431&gt;DeadDays),"DEAD STOCK","OK")))))</f>
        <v/>
      </c>
      <c r="S431" s="65" t="str">
        <f aca="false">IF($A431="","",IF(N($H431)=0,0,(N($H431)-P431)/N($H431)))</f>
        <v/>
      </c>
      <c r="T431" s="64" t="str">
        <f aca="false">IF($A431="","",IF(O431&lt;=N($I431),MAX(0,2*N($I431)-O431),0))</f>
        <v/>
      </c>
      <c r="U431" s="61" t="str">
        <f aca="false">IF($A431="","",SUMIFS(Sales!$L$5:INDEX(Sales!$L$5:$L$3004,TxRows),Sales!$D$5:INDEX(Sales!$D$5:$D$3004,TxRows),$A431))</f>
        <v/>
      </c>
      <c r="V431" s="61" t="str">
        <f aca="false">IF($A431="","",SUMIFS(Sales!$S$5:INDEX(Sales!$S$5:$S$3004,TxRows),Sales!$D$5:INDEX(Sales!$D$5:$D$3004,TxRows),$A431))</f>
        <v/>
      </c>
      <c r="W431" s="66" t="str">
        <f aca="false">IF($A431="","",IFERROR(SUMPRODUCT(MAX((Sales!$D$5:INDEX(Sales!$D$5:$D$3004,TxRows)=$A431)*Sales!$A$5:INDEX(Sales!$A$5:$A$3004,TxRows))),0))</f>
        <v/>
      </c>
      <c r="X431" s="67" t="str">
        <f aca="false">IF($A431="","",IF(W431=0,AsOf-FYStart,AsOf-W431))</f>
        <v/>
      </c>
      <c r="Y431" s="67" t="str">
        <f aca="false">IF($A431="","",IF(M431=0,"",O431/(M431/MAX(1,AsOf-FYStart))))</f>
        <v/>
      </c>
      <c r="Z431" s="60" t="str">
        <f aca="false">IF($A431="","",U431+ROW()/1000000)</f>
        <v/>
      </c>
    </row>
    <row r="432" customFormat="false" ht="15" hidden="false" customHeight="false" outlineLevel="0" collapsed="false">
      <c r="A432" s="56"/>
      <c r="B432" s="56"/>
      <c r="C432" s="56"/>
      <c r="D432" s="56"/>
      <c r="E432" s="56"/>
      <c r="F432" s="63"/>
      <c r="G432" s="58"/>
      <c r="H432" s="58"/>
      <c r="I432" s="57"/>
      <c r="J432" s="57"/>
      <c r="K432" s="58"/>
      <c r="L432" s="64" t="str">
        <f aca="false">IF($A432="","",SUMIFS(Purchases!$E$5:INDEX(Purchases!$E$5:$E$3004,TxRows),Purchases!$D$5:INDEX(Purchases!$D$5:$D$3004,TxRows),$A432))</f>
        <v/>
      </c>
      <c r="M432" s="64" t="str">
        <f aca="false">IF($A432="","",SUMIFS(Sales!$E$5:INDEX(Sales!$E$5:$E$3004,TxRows),Sales!$D$5:INDEX(Sales!$D$5:$D$3004,TxRows),$A432))</f>
        <v/>
      </c>
      <c r="N432" s="64" t="str">
        <f aca="false">IF($A432="","",SUMIFS(Adjustments!$C$5:$C$504,Adjustments!$B$5:$B$504,$A432))</f>
        <v/>
      </c>
      <c r="O432" s="64" t="str">
        <f aca="false">IF($A432="","",N($J432)+L432-M432+N432)</f>
        <v/>
      </c>
      <c r="P432" s="61" t="str">
        <f aca="false">IF($A432="","",IFERROR((N($J432)*N($K432)+SUMIFS(Purchases!$K$5:INDEX(Purchases!$K$5:$K$3004,TxRows),Purchases!$D$5:INDEX(Purchases!$D$5:$D$3004,TxRows),$A432))/(N($J432)+L432),N($G432)))</f>
        <v/>
      </c>
      <c r="Q432" s="61" t="str">
        <f aca="false">IF($A432="","",MAX(0,O432)*P432)</f>
        <v/>
      </c>
      <c r="R432" s="60" t="str">
        <f aca="false">IF($A432="","",IF(O432&lt;0,"NEGATIVE",IF(O432=0,"OUT OF STOCK",IF(O432&lt;=N($I432),"REORDER",IF(AND(O432&gt;0,X432&gt;DeadDays),"DEAD STOCK","OK")))))</f>
        <v/>
      </c>
      <c r="S432" s="65" t="str">
        <f aca="false">IF($A432="","",IF(N($H432)=0,0,(N($H432)-P432)/N($H432)))</f>
        <v/>
      </c>
      <c r="T432" s="64" t="str">
        <f aca="false">IF($A432="","",IF(O432&lt;=N($I432),MAX(0,2*N($I432)-O432),0))</f>
        <v/>
      </c>
      <c r="U432" s="61" t="str">
        <f aca="false">IF($A432="","",SUMIFS(Sales!$L$5:INDEX(Sales!$L$5:$L$3004,TxRows),Sales!$D$5:INDEX(Sales!$D$5:$D$3004,TxRows),$A432))</f>
        <v/>
      </c>
      <c r="V432" s="61" t="str">
        <f aca="false">IF($A432="","",SUMIFS(Sales!$S$5:INDEX(Sales!$S$5:$S$3004,TxRows),Sales!$D$5:INDEX(Sales!$D$5:$D$3004,TxRows),$A432))</f>
        <v/>
      </c>
      <c r="W432" s="66" t="str">
        <f aca="false">IF($A432="","",IFERROR(SUMPRODUCT(MAX((Sales!$D$5:INDEX(Sales!$D$5:$D$3004,TxRows)=$A432)*Sales!$A$5:INDEX(Sales!$A$5:$A$3004,TxRows))),0))</f>
        <v/>
      </c>
      <c r="X432" s="67" t="str">
        <f aca="false">IF($A432="","",IF(W432=0,AsOf-FYStart,AsOf-W432))</f>
        <v/>
      </c>
      <c r="Y432" s="67" t="str">
        <f aca="false">IF($A432="","",IF(M432=0,"",O432/(M432/MAX(1,AsOf-FYStart))))</f>
        <v/>
      </c>
      <c r="Z432" s="60" t="str">
        <f aca="false">IF($A432="","",U432+ROW()/1000000)</f>
        <v/>
      </c>
    </row>
    <row r="433" customFormat="false" ht="15" hidden="false" customHeight="false" outlineLevel="0" collapsed="false">
      <c r="A433" s="56"/>
      <c r="B433" s="56"/>
      <c r="C433" s="56"/>
      <c r="D433" s="56"/>
      <c r="E433" s="56"/>
      <c r="F433" s="63"/>
      <c r="G433" s="58"/>
      <c r="H433" s="58"/>
      <c r="I433" s="57"/>
      <c r="J433" s="57"/>
      <c r="K433" s="58"/>
      <c r="L433" s="64" t="str">
        <f aca="false">IF($A433="","",SUMIFS(Purchases!$E$5:INDEX(Purchases!$E$5:$E$3004,TxRows),Purchases!$D$5:INDEX(Purchases!$D$5:$D$3004,TxRows),$A433))</f>
        <v/>
      </c>
      <c r="M433" s="64" t="str">
        <f aca="false">IF($A433="","",SUMIFS(Sales!$E$5:INDEX(Sales!$E$5:$E$3004,TxRows),Sales!$D$5:INDEX(Sales!$D$5:$D$3004,TxRows),$A433))</f>
        <v/>
      </c>
      <c r="N433" s="64" t="str">
        <f aca="false">IF($A433="","",SUMIFS(Adjustments!$C$5:$C$504,Adjustments!$B$5:$B$504,$A433))</f>
        <v/>
      </c>
      <c r="O433" s="64" t="str">
        <f aca="false">IF($A433="","",N($J433)+L433-M433+N433)</f>
        <v/>
      </c>
      <c r="P433" s="61" t="str">
        <f aca="false">IF($A433="","",IFERROR((N($J433)*N($K433)+SUMIFS(Purchases!$K$5:INDEX(Purchases!$K$5:$K$3004,TxRows),Purchases!$D$5:INDEX(Purchases!$D$5:$D$3004,TxRows),$A433))/(N($J433)+L433),N($G433)))</f>
        <v/>
      </c>
      <c r="Q433" s="61" t="str">
        <f aca="false">IF($A433="","",MAX(0,O433)*P433)</f>
        <v/>
      </c>
      <c r="R433" s="60" t="str">
        <f aca="false">IF($A433="","",IF(O433&lt;0,"NEGATIVE",IF(O433=0,"OUT OF STOCK",IF(O433&lt;=N($I433),"REORDER",IF(AND(O433&gt;0,X433&gt;DeadDays),"DEAD STOCK","OK")))))</f>
        <v/>
      </c>
      <c r="S433" s="65" t="str">
        <f aca="false">IF($A433="","",IF(N($H433)=0,0,(N($H433)-P433)/N($H433)))</f>
        <v/>
      </c>
      <c r="T433" s="64" t="str">
        <f aca="false">IF($A433="","",IF(O433&lt;=N($I433),MAX(0,2*N($I433)-O433),0))</f>
        <v/>
      </c>
      <c r="U433" s="61" t="str">
        <f aca="false">IF($A433="","",SUMIFS(Sales!$L$5:INDEX(Sales!$L$5:$L$3004,TxRows),Sales!$D$5:INDEX(Sales!$D$5:$D$3004,TxRows),$A433))</f>
        <v/>
      </c>
      <c r="V433" s="61" t="str">
        <f aca="false">IF($A433="","",SUMIFS(Sales!$S$5:INDEX(Sales!$S$5:$S$3004,TxRows),Sales!$D$5:INDEX(Sales!$D$5:$D$3004,TxRows),$A433))</f>
        <v/>
      </c>
      <c r="W433" s="66" t="str">
        <f aca="false">IF($A433="","",IFERROR(SUMPRODUCT(MAX((Sales!$D$5:INDEX(Sales!$D$5:$D$3004,TxRows)=$A433)*Sales!$A$5:INDEX(Sales!$A$5:$A$3004,TxRows))),0))</f>
        <v/>
      </c>
      <c r="X433" s="67" t="str">
        <f aca="false">IF($A433="","",IF(W433=0,AsOf-FYStart,AsOf-W433))</f>
        <v/>
      </c>
      <c r="Y433" s="67" t="str">
        <f aca="false">IF($A433="","",IF(M433=0,"",O433/(M433/MAX(1,AsOf-FYStart))))</f>
        <v/>
      </c>
      <c r="Z433" s="60" t="str">
        <f aca="false">IF($A433="","",U433+ROW()/1000000)</f>
        <v/>
      </c>
    </row>
    <row r="434" customFormat="false" ht="15" hidden="false" customHeight="false" outlineLevel="0" collapsed="false">
      <c r="A434" s="56"/>
      <c r="B434" s="56"/>
      <c r="C434" s="56"/>
      <c r="D434" s="56"/>
      <c r="E434" s="56"/>
      <c r="F434" s="63"/>
      <c r="G434" s="58"/>
      <c r="H434" s="58"/>
      <c r="I434" s="57"/>
      <c r="J434" s="57"/>
      <c r="K434" s="58"/>
      <c r="L434" s="64" t="str">
        <f aca="false">IF($A434="","",SUMIFS(Purchases!$E$5:INDEX(Purchases!$E$5:$E$3004,TxRows),Purchases!$D$5:INDEX(Purchases!$D$5:$D$3004,TxRows),$A434))</f>
        <v/>
      </c>
      <c r="M434" s="64" t="str">
        <f aca="false">IF($A434="","",SUMIFS(Sales!$E$5:INDEX(Sales!$E$5:$E$3004,TxRows),Sales!$D$5:INDEX(Sales!$D$5:$D$3004,TxRows),$A434))</f>
        <v/>
      </c>
      <c r="N434" s="64" t="str">
        <f aca="false">IF($A434="","",SUMIFS(Adjustments!$C$5:$C$504,Adjustments!$B$5:$B$504,$A434))</f>
        <v/>
      </c>
      <c r="O434" s="64" t="str">
        <f aca="false">IF($A434="","",N($J434)+L434-M434+N434)</f>
        <v/>
      </c>
      <c r="P434" s="61" t="str">
        <f aca="false">IF($A434="","",IFERROR((N($J434)*N($K434)+SUMIFS(Purchases!$K$5:INDEX(Purchases!$K$5:$K$3004,TxRows),Purchases!$D$5:INDEX(Purchases!$D$5:$D$3004,TxRows),$A434))/(N($J434)+L434),N($G434)))</f>
        <v/>
      </c>
      <c r="Q434" s="61" t="str">
        <f aca="false">IF($A434="","",MAX(0,O434)*P434)</f>
        <v/>
      </c>
      <c r="R434" s="60" t="str">
        <f aca="false">IF($A434="","",IF(O434&lt;0,"NEGATIVE",IF(O434=0,"OUT OF STOCK",IF(O434&lt;=N($I434),"REORDER",IF(AND(O434&gt;0,X434&gt;DeadDays),"DEAD STOCK","OK")))))</f>
        <v/>
      </c>
      <c r="S434" s="65" t="str">
        <f aca="false">IF($A434="","",IF(N($H434)=0,0,(N($H434)-P434)/N($H434)))</f>
        <v/>
      </c>
      <c r="T434" s="64" t="str">
        <f aca="false">IF($A434="","",IF(O434&lt;=N($I434),MAX(0,2*N($I434)-O434),0))</f>
        <v/>
      </c>
      <c r="U434" s="61" t="str">
        <f aca="false">IF($A434="","",SUMIFS(Sales!$L$5:INDEX(Sales!$L$5:$L$3004,TxRows),Sales!$D$5:INDEX(Sales!$D$5:$D$3004,TxRows),$A434))</f>
        <v/>
      </c>
      <c r="V434" s="61" t="str">
        <f aca="false">IF($A434="","",SUMIFS(Sales!$S$5:INDEX(Sales!$S$5:$S$3004,TxRows),Sales!$D$5:INDEX(Sales!$D$5:$D$3004,TxRows),$A434))</f>
        <v/>
      </c>
      <c r="W434" s="66" t="str">
        <f aca="false">IF($A434="","",IFERROR(SUMPRODUCT(MAX((Sales!$D$5:INDEX(Sales!$D$5:$D$3004,TxRows)=$A434)*Sales!$A$5:INDEX(Sales!$A$5:$A$3004,TxRows))),0))</f>
        <v/>
      </c>
      <c r="X434" s="67" t="str">
        <f aca="false">IF($A434="","",IF(W434=0,AsOf-FYStart,AsOf-W434))</f>
        <v/>
      </c>
      <c r="Y434" s="67" t="str">
        <f aca="false">IF($A434="","",IF(M434=0,"",O434/(M434/MAX(1,AsOf-FYStart))))</f>
        <v/>
      </c>
      <c r="Z434" s="60" t="str">
        <f aca="false">IF($A434="","",U434+ROW()/1000000)</f>
        <v/>
      </c>
    </row>
    <row r="435" customFormat="false" ht="15" hidden="false" customHeight="false" outlineLevel="0" collapsed="false">
      <c r="A435" s="56"/>
      <c r="B435" s="56"/>
      <c r="C435" s="56"/>
      <c r="D435" s="56"/>
      <c r="E435" s="56"/>
      <c r="F435" s="63"/>
      <c r="G435" s="58"/>
      <c r="H435" s="58"/>
      <c r="I435" s="57"/>
      <c r="J435" s="57"/>
      <c r="K435" s="58"/>
      <c r="L435" s="64" t="str">
        <f aca="false">IF($A435="","",SUMIFS(Purchases!$E$5:INDEX(Purchases!$E$5:$E$3004,TxRows),Purchases!$D$5:INDEX(Purchases!$D$5:$D$3004,TxRows),$A435))</f>
        <v/>
      </c>
      <c r="M435" s="64" t="str">
        <f aca="false">IF($A435="","",SUMIFS(Sales!$E$5:INDEX(Sales!$E$5:$E$3004,TxRows),Sales!$D$5:INDEX(Sales!$D$5:$D$3004,TxRows),$A435))</f>
        <v/>
      </c>
      <c r="N435" s="64" t="str">
        <f aca="false">IF($A435="","",SUMIFS(Adjustments!$C$5:$C$504,Adjustments!$B$5:$B$504,$A435))</f>
        <v/>
      </c>
      <c r="O435" s="64" t="str">
        <f aca="false">IF($A435="","",N($J435)+L435-M435+N435)</f>
        <v/>
      </c>
      <c r="P435" s="61" t="str">
        <f aca="false">IF($A435="","",IFERROR((N($J435)*N($K435)+SUMIFS(Purchases!$K$5:INDEX(Purchases!$K$5:$K$3004,TxRows),Purchases!$D$5:INDEX(Purchases!$D$5:$D$3004,TxRows),$A435))/(N($J435)+L435),N($G435)))</f>
        <v/>
      </c>
      <c r="Q435" s="61" t="str">
        <f aca="false">IF($A435="","",MAX(0,O435)*P435)</f>
        <v/>
      </c>
      <c r="R435" s="60" t="str">
        <f aca="false">IF($A435="","",IF(O435&lt;0,"NEGATIVE",IF(O435=0,"OUT OF STOCK",IF(O435&lt;=N($I435),"REORDER",IF(AND(O435&gt;0,X435&gt;DeadDays),"DEAD STOCK","OK")))))</f>
        <v/>
      </c>
      <c r="S435" s="65" t="str">
        <f aca="false">IF($A435="","",IF(N($H435)=0,0,(N($H435)-P435)/N($H435)))</f>
        <v/>
      </c>
      <c r="T435" s="64" t="str">
        <f aca="false">IF($A435="","",IF(O435&lt;=N($I435),MAX(0,2*N($I435)-O435),0))</f>
        <v/>
      </c>
      <c r="U435" s="61" t="str">
        <f aca="false">IF($A435="","",SUMIFS(Sales!$L$5:INDEX(Sales!$L$5:$L$3004,TxRows),Sales!$D$5:INDEX(Sales!$D$5:$D$3004,TxRows),$A435))</f>
        <v/>
      </c>
      <c r="V435" s="61" t="str">
        <f aca="false">IF($A435="","",SUMIFS(Sales!$S$5:INDEX(Sales!$S$5:$S$3004,TxRows),Sales!$D$5:INDEX(Sales!$D$5:$D$3004,TxRows),$A435))</f>
        <v/>
      </c>
      <c r="W435" s="66" t="str">
        <f aca="false">IF($A435="","",IFERROR(SUMPRODUCT(MAX((Sales!$D$5:INDEX(Sales!$D$5:$D$3004,TxRows)=$A435)*Sales!$A$5:INDEX(Sales!$A$5:$A$3004,TxRows))),0))</f>
        <v/>
      </c>
      <c r="X435" s="67" t="str">
        <f aca="false">IF($A435="","",IF(W435=0,AsOf-FYStart,AsOf-W435))</f>
        <v/>
      </c>
      <c r="Y435" s="67" t="str">
        <f aca="false">IF($A435="","",IF(M435=0,"",O435/(M435/MAX(1,AsOf-FYStart))))</f>
        <v/>
      </c>
      <c r="Z435" s="60" t="str">
        <f aca="false">IF($A435="","",U435+ROW()/1000000)</f>
        <v/>
      </c>
    </row>
    <row r="436" customFormat="false" ht="15" hidden="false" customHeight="false" outlineLevel="0" collapsed="false">
      <c r="A436" s="56"/>
      <c r="B436" s="56"/>
      <c r="C436" s="56"/>
      <c r="D436" s="56"/>
      <c r="E436" s="56"/>
      <c r="F436" s="63"/>
      <c r="G436" s="58"/>
      <c r="H436" s="58"/>
      <c r="I436" s="57"/>
      <c r="J436" s="57"/>
      <c r="K436" s="58"/>
      <c r="L436" s="64" t="str">
        <f aca="false">IF($A436="","",SUMIFS(Purchases!$E$5:INDEX(Purchases!$E$5:$E$3004,TxRows),Purchases!$D$5:INDEX(Purchases!$D$5:$D$3004,TxRows),$A436))</f>
        <v/>
      </c>
      <c r="M436" s="64" t="str">
        <f aca="false">IF($A436="","",SUMIFS(Sales!$E$5:INDEX(Sales!$E$5:$E$3004,TxRows),Sales!$D$5:INDEX(Sales!$D$5:$D$3004,TxRows),$A436))</f>
        <v/>
      </c>
      <c r="N436" s="64" t="str">
        <f aca="false">IF($A436="","",SUMIFS(Adjustments!$C$5:$C$504,Adjustments!$B$5:$B$504,$A436))</f>
        <v/>
      </c>
      <c r="O436" s="64" t="str">
        <f aca="false">IF($A436="","",N($J436)+L436-M436+N436)</f>
        <v/>
      </c>
      <c r="P436" s="61" t="str">
        <f aca="false">IF($A436="","",IFERROR((N($J436)*N($K436)+SUMIFS(Purchases!$K$5:INDEX(Purchases!$K$5:$K$3004,TxRows),Purchases!$D$5:INDEX(Purchases!$D$5:$D$3004,TxRows),$A436))/(N($J436)+L436),N($G436)))</f>
        <v/>
      </c>
      <c r="Q436" s="61" t="str">
        <f aca="false">IF($A436="","",MAX(0,O436)*P436)</f>
        <v/>
      </c>
      <c r="R436" s="60" t="str">
        <f aca="false">IF($A436="","",IF(O436&lt;0,"NEGATIVE",IF(O436=0,"OUT OF STOCK",IF(O436&lt;=N($I436),"REORDER",IF(AND(O436&gt;0,X436&gt;DeadDays),"DEAD STOCK","OK")))))</f>
        <v/>
      </c>
      <c r="S436" s="65" t="str">
        <f aca="false">IF($A436="","",IF(N($H436)=0,0,(N($H436)-P436)/N($H436)))</f>
        <v/>
      </c>
      <c r="T436" s="64" t="str">
        <f aca="false">IF($A436="","",IF(O436&lt;=N($I436),MAX(0,2*N($I436)-O436),0))</f>
        <v/>
      </c>
      <c r="U436" s="61" t="str">
        <f aca="false">IF($A436="","",SUMIFS(Sales!$L$5:INDEX(Sales!$L$5:$L$3004,TxRows),Sales!$D$5:INDEX(Sales!$D$5:$D$3004,TxRows),$A436))</f>
        <v/>
      </c>
      <c r="V436" s="61" t="str">
        <f aca="false">IF($A436="","",SUMIFS(Sales!$S$5:INDEX(Sales!$S$5:$S$3004,TxRows),Sales!$D$5:INDEX(Sales!$D$5:$D$3004,TxRows),$A436))</f>
        <v/>
      </c>
      <c r="W436" s="66" t="str">
        <f aca="false">IF($A436="","",IFERROR(SUMPRODUCT(MAX((Sales!$D$5:INDEX(Sales!$D$5:$D$3004,TxRows)=$A436)*Sales!$A$5:INDEX(Sales!$A$5:$A$3004,TxRows))),0))</f>
        <v/>
      </c>
      <c r="X436" s="67" t="str">
        <f aca="false">IF($A436="","",IF(W436=0,AsOf-FYStart,AsOf-W436))</f>
        <v/>
      </c>
      <c r="Y436" s="67" t="str">
        <f aca="false">IF($A436="","",IF(M436=0,"",O436/(M436/MAX(1,AsOf-FYStart))))</f>
        <v/>
      </c>
      <c r="Z436" s="60" t="str">
        <f aca="false">IF($A436="","",U436+ROW()/1000000)</f>
        <v/>
      </c>
    </row>
    <row r="437" customFormat="false" ht="15" hidden="false" customHeight="false" outlineLevel="0" collapsed="false">
      <c r="A437" s="56"/>
      <c r="B437" s="56"/>
      <c r="C437" s="56"/>
      <c r="D437" s="56"/>
      <c r="E437" s="56"/>
      <c r="F437" s="63"/>
      <c r="G437" s="58"/>
      <c r="H437" s="58"/>
      <c r="I437" s="57"/>
      <c r="J437" s="57"/>
      <c r="K437" s="58"/>
      <c r="L437" s="64" t="str">
        <f aca="false">IF($A437="","",SUMIFS(Purchases!$E$5:INDEX(Purchases!$E$5:$E$3004,TxRows),Purchases!$D$5:INDEX(Purchases!$D$5:$D$3004,TxRows),$A437))</f>
        <v/>
      </c>
      <c r="M437" s="64" t="str">
        <f aca="false">IF($A437="","",SUMIFS(Sales!$E$5:INDEX(Sales!$E$5:$E$3004,TxRows),Sales!$D$5:INDEX(Sales!$D$5:$D$3004,TxRows),$A437))</f>
        <v/>
      </c>
      <c r="N437" s="64" t="str">
        <f aca="false">IF($A437="","",SUMIFS(Adjustments!$C$5:$C$504,Adjustments!$B$5:$B$504,$A437))</f>
        <v/>
      </c>
      <c r="O437" s="64" t="str">
        <f aca="false">IF($A437="","",N($J437)+L437-M437+N437)</f>
        <v/>
      </c>
      <c r="P437" s="61" t="str">
        <f aca="false">IF($A437="","",IFERROR((N($J437)*N($K437)+SUMIFS(Purchases!$K$5:INDEX(Purchases!$K$5:$K$3004,TxRows),Purchases!$D$5:INDEX(Purchases!$D$5:$D$3004,TxRows),$A437))/(N($J437)+L437),N($G437)))</f>
        <v/>
      </c>
      <c r="Q437" s="61" t="str">
        <f aca="false">IF($A437="","",MAX(0,O437)*P437)</f>
        <v/>
      </c>
      <c r="R437" s="60" t="str">
        <f aca="false">IF($A437="","",IF(O437&lt;0,"NEGATIVE",IF(O437=0,"OUT OF STOCK",IF(O437&lt;=N($I437),"REORDER",IF(AND(O437&gt;0,X437&gt;DeadDays),"DEAD STOCK","OK")))))</f>
        <v/>
      </c>
      <c r="S437" s="65" t="str">
        <f aca="false">IF($A437="","",IF(N($H437)=0,0,(N($H437)-P437)/N($H437)))</f>
        <v/>
      </c>
      <c r="T437" s="64" t="str">
        <f aca="false">IF($A437="","",IF(O437&lt;=N($I437),MAX(0,2*N($I437)-O437),0))</f>
        <v/>
      </c>
      <c r="U437" s="61" t="str">
        <f aca="false">IF($A437="","",SUMIFS(Sales!$L$5:INDEX(Sales!$L$5:$L$3004,TxRows),Sales!$D$5:INDEX(Sales!$D$5:$D$3004,TxRows),$A437))</f>
        <v/>
      </c>
      <c r="V437" s="61" t="str">
        <f aca="false">IF($A437="","",SUMIFS(Sales!$S$5:INDEX(Sales!$S$5:$S$3004,TxRows),Sales!$D$5:INDEX(Sales!$D$5:$D$3004,TxRows),$A437))</f>
        <v/>
      </c>
      <c r="W437" s="66" t="str">
        <f aca="false">IF($A437="","",IFERROR(SUMPRODUCT(MAX((Sales!$D$5:INDEX(Sales!$D$5:$D$3004,TxRows)=$A437)*Sales!$A$5:INDEX(Sales!$A$5:$A$3004,TxRows))),0))</f>
        <v/>
      </c>
      <c r="X437" s="67" t="str">
        <f aca="false">IF($A437="","",IF(W437=0,AsOf-FYStart,AsOf-W437))</f>
        <v/>
      </c>
      <c r="Y437" s="67" t="str">
        <f aca="false">IF($A437="","",IF(M437=0,"",O437/(M437/MAX(1,AsOf-FYStart))))</f>
        <v/>
      </c>
      <c r="Z437" s="60" t="str">
        <f aca="false">IF($A437="","",U437+ROW()/1000000)</f>
        <v/>
      </c>
    </row>
    <row r="438" customFormat="false" ht="15" hidden="false" customHeight="false" outlineLevel="0" collapsed="false">
      <c r="A438" s="56"/>
      <c r="B438" s="56"/>
      <c r="C438" s="56"/>
      <c r="D438" s="56"/>
      <c r="E438" s="56"/>
      <c r="F438" s="63"/>
      <c r="G438" s="58"/>
      <c r="H438" s="58"/>
      <c r="I438" s="57"/>
      <c r="J438" s="57"/>
      <c r="K438" s="58"/>
      <c r="L438" s="64" t="str">
        <f aca="false">IF($A438="","",SUMIFS(Purchases!$E$5:INDEX(Purchases!$E$5:$E$3004,TxRows),Purchases!$D$5:INDEX(Purchases!$D$5:$D$3004,TxRows),$A438))</f>
        <v/>
      </c>
      <c r="M438" s="64" t="str">
        <f aca="false">IF($A438="","",SUMIFS(Sales!$E$5:INDEX(Sales!$E$5:$E$3004,TxRows),Sales!$D$5:INDEX(Sales!$D$5:$D$3004,TxRows),$A438))</f>
        <v/>
      </c>
      <c r="N438" s="64" t="str">
        <f aca="false">IF($A438="","",SUMIFS(Adjustments!$C$5:$C$504,Adjustments!$B$5:$B$504,$A438))</f>
        <v/>
      </c>
      <c r="O438" s="64" t="str">
        <f aca="false">IF($A438="","",N($J438)+L438-M438+N438)</f>
        <v/>
      </c>
      <c r="P438" s="61" t="str">
        <f aca="false">IF($A438="","",IFERROR((N($J438)*N($K438)+SUMIFS(Purchases!$K$5:INDEX(Purchases!$K$5:$K$3004,TxRows),Purchases!$D$5:INDEX(Purchases!$D$5:$D$3004,TxRows),$A438))/(N($J438)+L438),N($G438)))</f>
        <v/>
      </c>
      <c r="Q438" s="61" t="str">
        <f aca="false">IF($A438="","",MAX(0,O438)*P438)</f>
        <v/>
      </c>
      <c r="R438" s="60" t="str">
        <f aca="false">IF($A438="","",IF(O438&lt;0,"NEGATIVE",IF(O438=0,"OUT OF STOCK",IF(O438&lt;=N($I438),"REORDER",IF(AND(O438&gt;0,X438&gt;DeadDays),"DEAD STOCK","OK")))))</f>
        <v/>
      </c>
      <c r="S438" s="65" t="str">
        <f aca="false">IF($A438="","",IF(N($H438)=0,0,(N($H438)-P438)/N($H438)))</f>
        <v/>
      </c>
      <c r="T438" s="64" t="str">
        <f aca="false">IF($A438="","",IF(O438&lt;=N($I438),MAX(0,2*N($I438)-O438),0))</f>
        <v/>
      </c>
      <c r="U438" s="61" t="str">
        <f aca="false">IF($A438="","",SUMIFS(Sales!$L$5:INDEX(Sales!$L$5:$L$3004,TxRows),Sales!$D$5:INDEX(Sales!$D$5:$D$3004,TxRows),$A438))</f>
        <v/>
      </c>
      <c r="V438" s="61" t="str">
        <f aca="false">IF($A438="","",SUMIFS(Sales!$S$5:INDEX(Sales!$S$5:$S$3004,TxRows),Sales!$D$5:INDEX(Sales!$D$5:$D$3004,TxRows),$A438))</f>
        <v/>
      </c>
      <c r="W438" s="66" t="str">
        <f aca="false">IF($A438="","",IFERROR(SUMPRODUCT(MAX((Sales!$D$5:INDEX(Sales!$D$5:$D$3004,TxRows)=$A438)*Sales!$A$5:INDEX(Sales!$A$5:$A$3004,TxRows))),0))</f>
        <v/>
      </c>
      <c r="X438" s="67" t="str">
        <f aca="false">IF($A438="","",IF(W438=0,AsOf-FYStart,AsOf-W438))</f>
        <v/>
      </c>
      <c r="Y438" s="67" t="str">
        <f aca="false">IF($A438="","",IF(M438=0,"",O438/(M438/MAX(1,AsOf-FYStart))))</f>
        <v/>
      </c>
      <c r="Z438" s="60" t="str">
        <f aca="false">IF($A438="","",U438+ROW()/1000000)</f>
        <v/>
      </c>
    </row>
    <row r="439" customFormat="false" ht="15" hidden="false" customHeight="false" outlineLevel="0" collapsed="false">
      <c r="A439" s="56"/>
      <c r="B439" s="56"/>
      <c r="C439" s="56"/>
      <c r="D439" s="56"/>
      <c r="E439" s="56"/>
      <c r="F439" s="63"/>
      <c r="G439" s="58"/>
      <c r="H439" s="58"/>
      <c r="I439" s="57"/>
      <c r="J439" s="57"/>
      <c r="K439" s="58"/>
      <c r="L439" s="64" t="str">
        <f aca="false">IF($A439="","",SUMIFS(Purchases!$E$5:INDEX(Purchases!$E$5:$E$3004,TxRows),Purchases!$D$5:INDEX(Purchases!$D$5:$D$3004,TxRows),$A439))</f>
        <v/>
      </c>
      <c r="M439" s="64" t="str">
        <f aca="false">IF($A439="","",SUMIFS(Sales!$E$5:INDEX(Sales!$E$5:$E$3004,TxRows),Sales!$D$5:INDEX(Sales!$D$5:$D$3004,TxRows),$A439))</f>
        <v/>
      </c>
      <c r="N439" s="64" t="str">
        <f aca="false">IF($A439="","",SUMIFS(Adjustments!$C$5:$C$504,Adjustments!$B$5:$B$504,$A439))</f>
        <v/>
      </c>
      <c r="O439" s="64" t="str">
        <f aca="false">IF($A439="","",N($J439)+L439-M439+N439)</f>
        <v/>
      </c>
      <c r="P439" s="61" t="str">
        <f aca="false">IF($A439="","",IFERROR((N($J439)*N($K439)+SUMIFS(Purchases!$K$5:INDEX(Purchases!$K$5:$K$3004,TxRows),Purchases!$D$5:INDEX(Purchases!$D$5:$D$3004,TxRows),$A439))/(N($J439)+L439),N($G439)))</f>
        <v/>
      </c>
      <c r="Q439" s="61" t="str">
        <f aca="false">IF($A439="","",MAX(0,O439)*P439)</f>
        <v/>
      </c>
      <c r="R439" s="60" t="str">
        <f aca="false">IF($A439="","",IF(O439&lt;0,"NEGATIVE",IF(O439=0,"OUT OF STOCK",IF(O439&lt;=N($I439),"REORDER",IF(AND(O439&gt;0,X439&gt;DeadDays),"DEAD STOCK","OK")))))</f>
        <v/>
      </c>
      <c r="S439" s="65" t="str">
        <f aca="false">IF($A439="","",IF(N($H439)=0,0,(N($H439)-P439)/N($H439)))</f>
        <v/>
      </c>
      <c r="T439" s="64" t="str">
        <f aca="false">IF($A439="","",IF(O439&lt;=N($I439),MAX(0,2*N($I439)-O439),0))</f>
        <v/>
      </c>
      <c r="U439" s="61" t="str">
        <f aca="false">IF($A439="","",SUMIFS(Sales!$L$5:INDEX(Sales!$L$5:$L$3004,TxRows),Sales!$D$5:INDEX(Sales!$D$5:$D$3004,TxRows),$A439))</f>
        <v/>
      </c>
      <c r="V439" s="61" t="str">
        <f aca="false">IF($A439="","",SUMIFS(Sales!$S$5:INDEX(Sales!$S$5:$S$3004,TxRows),Sales!$D$5:INDEX(Sales!$D$5:$D$3004,TxRows),$A439))</f>
        <v/>
      </c>
      <c r="W439" s="66" t="str">
        <f aca="false">IF($A439="","",IFERROR(SUMPRODUCT(MAX((Sales!$D$5:INDEX(Sales!$D$5:$D$3004,TxRows)=$A439)*Sales!$A$5:INDEX(Sales!$A$5:$A$3004,TxRows))),0))</f>
        <v/>
      </c>
      <c r="X439" s="67" t="str">
        <f aca="false">IF($A439="","",IF(W439=0,AsOf-FYStart,AsOf-W439))</f>
        <v/>
      </c>
      <c r="Y439" s="67" t="str">
        <f aca="false">IF($A439="","",IF(M439=0,"",O439/(M439/MAX(1,AsOf-FYStart))))</f>
        <v/>
      </c>
      <c r="Z439" s="60" t="str">
        <f aca="false">IF($A439="","",U439+ROW()/1000000)</f>
        <v/>
      </c>
    </row>
    <row r="440" customFormat="false" ht="15" hidden="false" customHeight="false" outlineLevel="0" collapsed="false">
      <c r="A440" s="56"/>
      <c r="B440" s="56"/>
      <c r="C440" s="56"/>
      <c r="D440" s="56"/>
      <c r="E440" s="56"/>
      <c r="F440" s="63"/>
      <c r="G440" s="58"/>
      <c r="H440" s="58"/>
      <c r="I440" s="57"/>
      <c r="J440" s="57"/>
      <c r="K440" s="58"/>
      <c r="L440" s="64" t="str">
        <f aca="false">IF($A440="","",SUMIFS(Purchases!$E$5:INDEX(Purchases!$E$5:$E$3004,TxRows),Purchases!$D$5:INDEX(Purchases!$D$5:$D$3004,TxRows),$A440))</f>
        <v/>
      </c>
      <c r="M440" s="64" t="str">
        <f aca="false">IF($A440="","",SUMIFS(Sales!$E$5:INDEX(Sales!$E$5:$E$3004,TxRows),Sales!$D$5:INDEX(Sales!$D$5:$D$3004,TxRows),$A440))</f>
        <v/>
      </c>
      <c r="N440" s="64" t="str">
        <f aca="false">IF($A440="","",SUMIFS(Adjustments!$C$5:$C$504,Adjustments!$B$5:$B$504,$A440))</f>
        <v/>
      </c>
      <c r="O440" s="64" t="str">
        <f aca="false">IF($A440="","",N($J440)+L440-M440+N440)</f>
        <v/>
      </c>
      <c r="P440" s="61" t="str">
        <f aca="false">IF($A440="","",IFERROR((N($J440)*N($K440)+SUMIFS(Purchases!$K$5:INDEX(Purchases!$K$5:$K$3004,TxRows),Purchases!$D$5:INDEX(Purchases!$D$5:$D$3004,TxRows),$A440))/(N($J440)+L440),N($G440)))</f>
        <v/>
      </c>
      <c r="Q440" s="61" t="str">
        <f aca="false">IF($A440="","",MAX(0,O440)*P440)</f>
        <v/>
      </c>
      <c r="R440" s="60" t="str">
        <f aca="false">IF($A440="","",IF(O440&lt;0,"NEGATIVE",IF(O440=0,"OUT OF STOCK",IF(O440&lt;=N($I440),"REORDER",IF(AND(O440&gt;0,X440&gt;DeadDays),"DEAD STOCK","OK")))))</f>
        <v/>
      </c>
      <c r="S440" s="65" t="str">
        <f aca="false">IF($A440="","",IF(N($H440)=0,0,(N($H440)-P440)/N($H440)))</f>
        <v/>
      </c>
      <c r="T440" s="64" t="str">
        <f aca="false">IF($A440="","",IF(O440&lt;=N($I440),MAX(0,2*N($I440)-O440),0))</f>
        <v/>
      </c>
      <c r="U440" s="61" t="str">
        <f aca="false">IF($A440="","",SUMIFS(Sales!$L$5:INDEX(Sales!$L$5:$L$3004,TxRows),Sales!$D$5:INDEX(Sales!$D$5:$D$3004,TxRows),$A440))</f>
        <v/>
      </c>
      <c r="V440" s="61" t="str">
        <f aca="false">IF($A440="","",SUMIFS(Sales!$S$5:INDEX(Sales!$S$5:$S$3004,TxRows),Sales!$D$5:INDEX(Sales!$D$5:$D$3004,TxRows),$A440))</f>
        <v/>
      </c>
      <c r="W440" s="66" t="str">
        <f aca="false">IF($A440="","",IFERROR(SUMPRODUCT(MAX((Sales!$D$5:INDEX(Sales!$D$5:$D$3004,TxRows)=$A440)*Sales!$A$5:INDEX(Sales!$A$5:$A$3004,TxRows))),0))</f>
        <v/>
      </c>
      <c r="X440" s="67" t="str">
        <f aca="false">IF($A440="","",IF(W440=0,AsOf-FYStart,AsOf-W440))</f>
        <v/>
      </c>
      <c r="Y440" s="67" t="str">
        <f aca="false">IF($A440="","",IF(M440=0,"",O440/(M440/MAX(1,AsOf-FYStart))))</f>
        <v/>
      </c>
      <c r="Z440" s="60" t="str">
        <f aca="false">IF($A440="","",U440+ROW()/1000000)</f>
        <v/>
      </c>
    </row>
    <row r="441" customFormat="false" ht="15" hidden="false" customHeight="false" outlineLevel="0" collapsed="false">
      <c r="A441" s="56"/>
      <c r="B441" s="56"/>
      <c r="C441" s="56"/>
      <c r="D441" s="56"/>
      <c r="E441" s="56"/>
      <c r="F441" s="63"/>
      <c r="G441" s="58"/>
      <c r="H441" s="58"/>
      <c r="I441" s="57"/>
      <c r="J441" s="57"/>
      <c r="K441" s="58"/>
      <c r="L441" s="64" t="str">
        <f aca="false">IF($A441="","",SUMIFS(Purchases!$E$5:INDEX(Purchases!$E$5:$E$3004,TxRows),Purchases!$D$5:INDEX(Purchases!$D$5:$D$3004,TxRows),$A441))</f>
        <v/>
      </c>
      <c r="M441" s="64" t="str">
        <f aca="false">IF($A441="","",SUMIFS(Sales!$E$5:INDEX(Sales!$E$5:$E$3004,TxRows),Sales!$D$5:INDEX(Sales!$D$5:$D$3004,TxRows),$A441))</f>
        <v/>
      </c>
      <c r="N441" s="64" t="str">
        <f aca="false">IF($A441="","",SUMIFS(Adjustments!$C$5:$C$504,Adjustments!$B$5:$B$504,$A441))</f>
        <v/>
      </c>
      <c r="O441" s="64" t="str">
        <f aca="false">IF($A441="","",N($J441)+L441-M441+N441)</f>
        <v/>
      </c>
      <c r="P441" s="61" t="str">
        <f aca="false">IF($A441="","",IFERROR((N($J441)*N($K441)+SUMIFS(Purchases!$K$5:INDEX(Purchases!$K$5:$K$3004,TxRows),Purchases!$D$5:INDEX(Purchases!$D$5:$D$3004,TxRows),$A441))/(N($J441)+L441),N($G441)))</f>
        <v/>
      </c>
      <c r="Q441" s="61" t="str">
        <f aca="false">IF($A441="","",MAX(0,O441)*P441)</f>
        <v/>
      </c>
      <c r="R441" s="60" t="str">
        <f aca="false">IF($A441="","",IF(O441&lt;0,"NEGATIVE",IF(O441=0,"OUT OF STOCK",IF(O441&lt;=N($I441),"REORDER",IF(AND(O441&gt;0,X441&gt;DeadDays),"DEAD STOCK","OK")))))</f>
        <v/>
      </c>
      <c r="S441" s="65" t="str">
        <f aca="false">IF($A441="","",IF(N($H441)=0,0,(N($H441)-P441)/N($H441)))</f>
        <v/>
      </c>
      <c r="T441" s="64" t="str">
        <f aca="false">IF($A441="","",IF(O441&lt;=N($I441),MAX(0,2*N($I441)-O441),0))</f>
        <v/>
      </c>
      <c r="U441" s="61" t="str">
        <f aca="false">IF($A441="","",SUMIFS(Sales!$L$5:INDEX(Sales!$L$5:$L$3004,TxRows),Sales!$D$5:INDEX(Sales!$D$5:$D$3004,TxRows),$A441))</f>
        <v/>
      </c>
      <c r="V441" s="61" t="str">
        <f aca="false">IF($A441="","",SUMIFS(Sales!$S$5:INDEX(Sales!$S$5:$S$3004,TxRows),Sales!$D$5:INDEX(Sales!$D$5:$D$3004,TxRows),$A441))</f>
        <v/>
      </c>
      <c r="W441" s="66" t="str">
        <f aca="false">IF($A441="","",IFERROR(SUMPRODUCT(MAX((Sales!$D$5:INDEX(Sales!$D$5:$D$3004,TxRows)=$A441)*Sales!$A$5:INDEX(Sales!$A$5:$A$3004,TxRows))),0))</f>
        <v/>
      </c>
      <c r="X441" s="67" t="str">
        <f aca="false">IF($A441="","",IF(W441=0,AsOf-FYStart,AsOf-W441))</f>
        <v/>
      </c>
      <c r="Y441" s="67" t="str">
        <f aca="false">IF($A441="","",IF(M441=0,"",O441/(M441/MAX(1,AsOf-FYStart))))</f>
        <v/>
      </c>
      <c r="Z441" s="60" t="str">
        <f aca="false">IF($A441="","",U441+ROW()/1000000)</f>
        <v/>
      </c>
    </row>
    <row r="442" customFormat="false" ht="15" hidden="false" customHeight="false" outlineLevel="0" collapsed="false">
      <c r="A442" s="56"/>
      <c r="B442" s="56"/>
      <c r="C442" s="56"/>
      <c r="D442" s="56"/>
      <c r="E442" s="56"/>
      <c r="F442" s="63"/>
      <c r="G442" s="58"/>
      <c r="H442" s="58"/>
      <c r="I442" s="57"/>
      <c r="J442" s="57"/>
      <c r="K442" s="58"/>
      <c r="L442" s="64" t="str">
        <f aca="false">IF($A442="","",SUMIFS(Purchases!$E$5:INDEX(Purchases!$E$5:$E$3004,TxRows),Purchases!$D$5:INDEX(Purchases!$D$5:$D$3004,TxRows),$A442))</f>
        <v/>
      </c>
      <c r="M442" s="64" t="str">
        <f aca="false">IF($A442="","",SUMIFS(Sales!$E$5:INDEX(Sales!$E$5:$E$3004,TxRows),Sales!$D$5:INDEX(Sales!$D$5:$D$3004,TxRows),$A442))</f>
        <v/>
      </c>
      <c r="N442" s="64" t="str">
        <f aca="false">IF($A442="","",SUMIFS(Adjustments!$C$5:$C$504,Adjustments!$B$5:$B$504,$A442))</f>
        <v/>
      </c>
      <c r="O442" s="64" t="str">
        <f aca="false">IF($A442="","",N($J442)+L442-M442+N442)</f>
        <v/>
      </c>
      <c r="P442" s="61" t="str">
        <f aca="false">IF($A442="","",IFERROR((N($J442)*N($K442)+SUMIFS(Purchases!$K$5:INDEX(Purchases!$K$5:$K$3004,TxRows),Purchases!$D$5:INDEX(Purchases!$D$5:$D$3004,TxRows),$A442))/(N($J442)+L442),N($G442)))</f>
        <v/>
      </c>
      <c r="Q442" s="61" t="str">
        <f aca="false">IF($A442="","",MAX(0,O442)*P442)</f>
        <v/>
      </c>
      <c r="R442" s="60" t="str">
        <f aca="false">IF($A442="","",IF(O442&lt;0,"NEGATIVE",IF(O442=0,"OUT OF STOCK",IF(O442&lt;=N($I442),"REORDER",IF(AND(O442&gt;0,X442&gt;DeadDays),"DEAD STOCK","OK")))))</f>
        <v/>
      </c>
      <c r="S442" s="65" t="str">
        <f aca="false">IF($A442="","",IF(N($H442)=0,0,(N($H442)-P442)/N($H442)))</f>
        <v/>
      </c>
      <c r="T442" s="64" t="str">
        <f aca="false">IF($A442="","",IF(O442&lt;=N($I442),MAX(0,2*N($I442)-O442),0))</f>
        <v/>
      </c>
      <c r="U442" s="61" t="str">
        <f aca="false">IF($A442="","",SUMIFS(Sales!$L$5:INDEX(Sales!$L$5:$L$3004,TxRows),Sales!$D$5:INDEX(Sales!$D$5:$D$3004,TxRows),$A442))</f>
        <v/>
      </c>
      <c r="V442" s="61" t="str">
        <f aca="false">IF($A442="","",SUMIFS(Sales!$S$5:INDEX(Sales!$S$5:$S$3004,TxRows),Sales!$D$5:INDEX(Sales!$D$5:$D$3004,TxRows),$A442))</f>
        <v/>
      </c>
      <c r="W442" s="66" t="str">
        <f aca="false">IF($A442="","",IFERROR(SUMPRODUCT(MAX((Sales!$D$5:INDEX(Sales!$D$5:$D$3004,TxRows)=$A442)*Sales!$A$5:INDEX(Sales!$A$5:$A$3004,TxRows))),0))</f>
        <v/>
      </c>
      <c r="X442" s="67" t="str">
        <f aca="false">IF($A442="","",IF(W442=0,AsOf-FYStart,AsOf-W442))</f>
        <v/>
      </c>
      <c r="Y442" s="67" t="str">
        <f aca="false">IF($A442="","",IF(M442=0,"",O442/(M442/MAX(1,AsOf-FYStart))))</f>
        <v/>
      </c>
      <c r="Z442" s="60" t="str">
        <f aca="false">IF($A442="","",U442+ROW()/1000000)</f>
        <v/>
      </c>
    </row>
    <row r="443" customFormat="false" ht="15" hidden="false" customHeight="false" outlineLevel="0" collapsed="false">
      <c r="A443" s="56"/>
      <c r="B443" s="56"/>
      <c r="C443" s="56"/>
      <c r="D443" s="56"/>
      <c r="E443" s="56"/>
      <c r="F443" s="63"/>
      <c r="G443" s="58"/>
      <c r="H443" s="58"/>
      <c r="I443" s="57"/>
      <c r="J443" s="57"/>
      <c r="K443" s="58"/>
      <c r="L443" s="64" t="str">
        <f aca="false">IF($A443="","",SUMIFS(Purchases!$E$5:INDEX(Purchases!$E$5:$E$3004,TxRows),Purchases!$D$5:INDEX(Purchases!$D$5:$D$3004,TxRows),$A443))</f>
        <v/>
      </c>
      <c r="M443" s="64" t="str">
        <f aca="false">IF($A443="","",SUMIFS(Sales!$E$5:INDEX(Sales!$E$5:$E$3004,TxRows),Sales!$D$5:INDEX(Sales!$D$5:$D$3004,TxRows),$A443))</f>
        <v/>
      </c>
      <c r="N443" s="64" t="str">
        <f aca="false">IF($A443="","",SUMIFS(Adjustments!$C$5:$C$504,Adjustments!$B$5:$B$504,$A443))</f>
        <v/>
      </c>
      <c r="O443" s="64" t="str">
        <f aca="false">IF($A443="","",N($J443)+L443-M443+N443)</f>
        <v/>
      </c>
      <c r="P443" s="61" t="str">
        <f aca="false">IF($A443="","",IFERROR((N($J443)*N($K443)+SUMIFS(Purchases!$K$5:INDEX(Purchases!$K$5:$K$3004,TxRows),Purchases!$D$5:INDEX(Purchases!$D$5:$D$3004,TxRows),$A443))/(N($J443)+L443),N($G443)))</f>
        <v/>
      </c>
      <c r="Q443" s="61" t="str">
        <f aca="false">IF($A443="","",MAX(0,O443)*P443)</f>
        <v/>
      </c>
      <c r="R443" s="60" t="str">
        <f aca="false">IF($A443="","",IF(O443&lt;0,"NEGATIVE",IF(O443=0,"OUT OF STOCK",IF(O443&lt;=N($I443),"REORDER",IF(AND(O443&gt;0,X443&gt;DeadDays),"DEAD STOCK","OK")))))</f>
        <v/>
      </c>
      <c r="S443" s="65" t="str">
        <f aca="false">IF($A443="","",IF(N($H443)=0,0,(N($H443)-P443)/N($H443)))</f>
        <v/>
      </c>
      <c r="T443" s="64" t="str">
        <f aca="false">IF($A443="","",IF(O443&lt;=N($I443),MAX(0,2*N($I443)-O443),0))</f>
        <v/>
      </c>
      <c r="U443" s="61" t="str">
        <f aca="false">IF($A443="","",SUMIFS(Sales!$L$5:INDEX(Sales!$L$5:$L$3004,TxRows),Sales!$D$5:INDEX(Sales!$D$5:$D$3004,TxRows),$A443))</f>
        <v/>
      </c>
      <c r="V443" s="61" t="str">
        <f aca="false">IF($A443="","",SUMIFS(Sales!$S$5:INDEX(Sales!$S$5:$S$3004,TxRows),Sales!$D$5:INDEX(Sales!$D$5:$D$3004,TxRows),$A443))</f>
        <v/>
      </c>
      <c r="W443" s="66" t="str">
        <f aca="false">IF($A443="","",IFERROR(SUMPRODUCT(MAX((Sales!$D$5:INDEX(Sales!$D$5:$D$3004,TxRows)=$A443)*Sales!$A$5:INDEX(Sales!$A$5:$A$3004,TxRows))),0))</f>
        <v/>
      </c>
      <c r="X443" s="67" t="str">
        <f aca="false">IF($A443="","",IF(W443=0,AsOf-FYStart,AsOf-W443))</f>
        <v/>
      </c>
      <c r="Y443" s="67" t="str">
        <f aca="false">IF($A443="","",IF(M443=0,"",O443/(M443/MAX(1,AsOf-FYStart))))</f>
        <v/>
      </c>
      <c r="Z443" s="60" t="str">
        <f aca="false">IF($A443="","",U443+ROW()/1000000)</f>
        <v/>
      </c>
    </row>
    <row r="444" customFormat="false" ht="15" hidden="false" customHeight="false" outlineLevel="0" collapsed="false">
      <c r="A444" s="56"/>
      <c r="B444" s="56"/>
      <c r="C444" s="56"/>
      <c r="D444" s="56"/>
      <c r="E444" s="56"/>
      <c r="F444" s="63"/>
      <c r="G444" s="58"/>
      <c r="H444" s="58"/>
      <c r="I444" s="57"/>
      <c r="J444" s="57"/>
      <c r="K444" s="58"/>
      <c r="L444" s="64" t="str">
        <f aca="false">IF($A444="","",SUMIFS(Purchases!$E$5:INDEX(Purchases!$E$5:$E$3004,TxRows),Purchases!$D$5:INDEX(Purchases!$D$5:$D$3004,TxRows),$A444))</f>
        <v/>
      </c>
      <c r="M444" s="64" t="str">
        <f aca="false">IF($A444="","",SUMIFS(Sales!$E$5:INDEX(Sales!$E$5:$E$3004,TxRows),Sales!$D$5:INDEX(Sales!$D$5:$D$3004,TxRows),$A444))</f>
        <v/>
      </c>
      <c r="N444" s="64" t="str">
        <f aca="false">IF($A444="","",SUMIFS(Adjustments!$C$5:$C$504,Adjustments!$B$5:$B$504,$A444))</f>
        <v/>
      </c>
      <c r="O444" s="64" t="str">
        <f aca="false">IF($A444="","",N($J444)+L444-M444+N444)</f>
        <v/>
      </c>
      <c r="P444" s="61" t="str">
        <f aca="false">IF($A444="","",IFERROR((N($J444)*N($K444)+SUMIFS(Purchases!$K$5:INDEX(Purchases!$K$5:$K$3004,TxRows),Purchases!$D$5:INDEX(Purchases!$D$5:$D$3004,TxRows),$A444))/(N($J444)+L444),N($G444)))</f>
        <v/>
      </c>
      <c r="Q444" s="61" t="str">
        <f aca="false">IF($A444="","",MAX(0,O444)*P444)</f>
        <v/>
      </c>
      <c r="R444" s="60" t="str">
        <f aca="false">IF($A444="","",IF(O444&lt;0,"NEGATIVE",IF(O444=0,"OUT OF STOCK",IF(O444&lt;=N($I444),"REORDER",IF(AND(O444&gt;0,X444&gt;DeadDays),"DEAD STOCK","OK")))))</f>
        <v/>
      </c>
      <c r="S444" s="65" t="str">
        <f aca="false">IF($A444="","",IF(N($H444)=0,0,(N($H444)-P444)/N($H444)))</f>
        <v/>
      </c>
      <c r="T444" s="64" t="str">
        <f aca="false">IF($A444="","",IF(O444&lt;=N($I444),MAX(0,2*N($I444)-O444),0))</f>
        <v/>
      </c>
      <c r="U444" s="61" t="str">
        <f aca="false">IF($A444="","",SUMIFS(Sales!$L$5:INDEX(Sales!$L$5:$L$3004,TxRows),Sales!$D$5:INDEX(Sales!$D$5:$D$3004,TxRows),$A444))</f>
        <v/>
      </c>
      <c r="V444" s="61" t="str">
        <f aca="false">IF($A444="","",SUMIFS(Sales!$S$5:INDEX(Sales!$S$5:$S$3004,TxRows),Sales!$D$5:INDEX(Sales!$D$5:$D$3004,TxRows),$A444))</f>
        <v/>
      </c>
      <c r="W444" s="66" t="str">
        <f aca="false">IF($A444="","",IFERROR(SUMPRODUCT(MAX((Sales!$D$5:INDEX(Sales!$D$5:$D$3004,TxRows)=$A444)*Sales!$A$5:INDEX(Sales!$A$5:$A$3004,TxRows))),0))</f>
        <v/>
      </c>
      <c r="X444" s="67" t="str">
        <f aca="false">IF($A444="","",IF(W444=0,AsOf-FYStart,AsOf-W444))</f>
        <v/>
      </c>
      <c r="Y444" s="67" t="str">
        <f aca="false">IF($A444="","",IF(M444=0,"",O444/(M444/MAX(1,AsOf-FYStart))))</f>
        <v/>
      </c>
      <c r="Z444" s="60" t="str">
        <f aca="false">IF($A444="","",U444+ROW()/1000000)</f>
        <v/>
      </c>
    </row>
    <row r="445" customFormat="false" ht="15" hidden="false" customHeight="false" outlineLevel="0" collapsed="false">
      <c r="A445" s="56"/>
      <c r="B445" s="56"/>
      <c r="C445" s="56"/>
      <c r="D445" s="56"/>
      <c r="E445" s="56"/>
      <c r="F445" s="63"/>
      <c r="G445" s="58"/>
      <c r="H445" s="58"/>
      <c r="I445" s="57"/>
      <c r="J445" s="57"/>
      <c r="K445" s="58"/>
      <c r="L445" s="64" t="str">
        <f aca="false">IF($A445="","",SUMIFS(Purchases!$E$5:INDEX(Purchases!$E$5:$E$3004,TxRows),Purchases!$D$5:INDEX(Purchases!$D$5:$D$3004,TxRows),$A445))</f>
        <v/>
      </c>
      <c r="M445" s="64" t="str">
        <f aca="false">IF($A445="","",SUMIFS(Sales!$E$5:INDEX(Sales!$E$5:$E$3004,TxRows),Sales!$D$5:INDEX(Sales!$D$5:$D$3004,TxRows),$A445))</f>
        <v/>
      </c>
      <c r="N445" s="64" t="str">
        <f aca="false">IF($A445="","",SUMIFS(Adjustments!$C$5:$C$504,Adjustments!$B$5:$B$504,$A445))</f>
        <v/>
      </c>
      <c r="O445" s="64" t="str">
        <f aca="false">IF($A445="","",N($J445)+L445-M445+N445)</f>
        <v/>
      </c>
      <c r="P445" s="61" t="str">
        <f aca="false">IF($A445="","",IFERROR((N($J445)*N($K445)+SUMIFS(Purchases!$K$5:INDEX(Purchases!$K$5:$K$3004,TxRows),Purchases!$D$5:INDEX(Purchases!$D$5:$D$3004,TxRows),$A445))/(N($J445)+L445),N($G445)))</f>
        <v/>
      </c>
      <c r="Q445" s="61" t="str">
        <f aca="false">IF($A445="","",MAX(0,O445)*P445)</f>
        <v/>
      </c>
      <c r="R445" s="60" t="str">
        <f aca="false">IF($A445="","",IF(O445&lt;0,"NEGATIVE",IF(O445=0,"OUT OF STOCK",IF(O445&lt;=N($I445),"REORDER",IF(AND(O445&gt;0,X445&gt;DeadDays),"DEAD STOCK","OK")))))</f>
        <v/>
      </c>
      <c r="S445" s="65" t="str">
        <f aca="false">IF($A445="","",IF(N($H445)=0,0,(N($H445)-P445)/N($H445)))</f>
        <v/>
      </c>
      <c r="T445" s="64" t="str">
        <f aca="false">IF($A445="","",IF(O445&lt;=N($I445),MAX(0,2*N($I445)-O445),0))</f>
        <v/>
      </c>
      <c r="U445" s="61" t="str">
        <f aca="false">IF($A445="","",SUMIFS(Sales!$L$5:INDEX(Sales!$L$5:$L$3004,TxRows),Sales!$D$5:INDEX(Sales!$D$5:$D$3004,TxRows),$A445))</f>
        <v/>
      </c>
      <c r="V445" s="61" t="str">
        <f aca="false">IF($A445="","",SUMIFS(Sales!$S$5:INDEX(Sales!$S$5:$S$3004,TxRows),Sales!$D$5:INDEX(Sales!$D$5:$D$3004,TxRows),$A445))</f>
        <v/>
      </c>
      <c r="W445" s="66" t="str">
        <f aca="false">IF($A445="","",IFERROR(SUMPRODUCT(MAX((Sales!$D$5:INDEX(Sales!$D$5:$D$3004,TxRows)=$A445)*Sales!$A$5:INDEX(Sales!$A$5:$A$3004,TxRows))),0))</f>
        <v/>
      </c>
      <c r="X445" s="67" t="str">
        <f aca="false">IF($A445="","",IF(W445=0,AsOf-FYStart,AsOf-W445))</f>
        <v/>
      </c>
      <c r="Y445" s="67" t="str">
        <f aca="false">IF($A445="","",IF(M445=0,"",O445/(M445/MAX(1,AsOf-FYStart))))</f>
        <v/>
      </c>
      <c r="Z445" s="60" t="str">
        <f aca="false">IF($A445="","",U445+ROW()/1000000)</f>
        <v/>
      </c>
    </row>
    <row r="446" customFormat="false" ht="15" hidden="false" customHeight="false" outlineLevel="0" collapsed="false">
      <c r="A446" s="56"/>
      <c r="B446" s="56"/>
      <c r="C446" s="56"/>
      <c r="D446" s="56"/>
      <c r="E446" s="56"/>
      <c r="F446" s="63"/>
      <c r="G446" s="58"/>
      <c r="H446" s="58"/>
      <c r="I446" s="57"/>
      <c r="J446" s="57"/>
      <c r="K446" s="58"/>
      <c r="L446" s="64" t="str">
        <f aca="false">IF($A446="","",SUMIFS(Purchases!$E$5:INDEX(Purchases!$E$5:$E$3004,TxRows),Purchases!$D$5:INDEX(Purchases!$D$5:$D$3004,TxRows),$A446))</f>
        <v/>
      </c>
      <c r="M446" s="64" t="str">
        <f aca="false">IF($A446="","",SUMIFS(Sales!$E$5:INDEX(Sales!$E$5:$E$3004,TxRows),Sales!$D$5:INDEX(Sales!$D$5:$D$3004,TxRows),$A446))</f>
        <v/>
      </c>
      <c r="N446" s="64" t="str">
        <f aca="false">IF($A446="","",SUMIFS(Adjustments!$C$5:$C$504,Adjustments!$B$5:$B$504,$A446))</f>
        <v/>
      </c>
      <c r="O446" s="64" t="str">
        <f aca="false">IF($A446="","",N($J446)+L446-M446+N446)</f>
        <v/>
      </c>
      <c r="P446" s="61" t="str">
        <f aca="false">IF($A446="","",IFERROR((N($J446)*N($K446)+SUMIFS(Purchases!$K$5:INDEX(Purchases!$K$5:$K$3004,TxRows),Purchases!$D$5:INDEX(Purchases!$D$5:$D$3004,TxRows),$A446))/(N($J446)+L446),N($G446)))</f>
        <v/>
      </c>
      <c r="Q446" s="61" t="str">
        <f aca="false">IF($A446="","",MAX(0,O446)*P446)</f>
        <v/>
      </c>
      <c r="R446" s="60" t="str">
        <f aca="false">IF($A446="","",IF(O446&lt;0,"NEGATIVE",IF(O446=0,"OUT OF STOCK",IF(O446&lt;=N($I446),"REORDER",IF(AND(O446&gt;0,X446&gt;DeadDays),"DEAD STOCK","OK")))))</f>
        <v/>
      </c>
      <c r="S446" s="65" t="str">
        <f aca="false">IF($A446="","",IF(N($H446)=0,0,(N($H446)-P446)/N($H446)))</f>
        <v/>
      </c>
      <c r="T446" s="64" t="str">
        <f aca="false">IF($A446="","",IF(O446&lt;=N($I446),MAX(0,2*N($I446)-O446),0))</f>
        <v/>
      </c>
      <c r="U446" s="61" t="str">
        <f aca="false">IF($A446="","",SUMIFS(Sales!$L$5:INDEX(Sales!$L$5:$L$3004,TxRows),Sales!$D$5:INDEX(Sales!$D$5:$D$3004,TxRows),$A446))</f>
        <v/>
      </c>
      <c r="V446" s="61" t="str">
        <f aca="false">IF($A446="","",SUMIFS(Sales!$S$5:INDEX(Sales!$S$5:$S$3004,TxRows),Sales!$D$5:INDEX(Sales!$D$5:$D$3004,TxRows),$A446))</f>
        <v/>
      </c>
      <c r="W446" s="66" t="str">
        <f aca="false">IF($A446="","",IFERROR(SUMPRODUCT(MAX((Sales!$D$5:INDEX(Sales!$D$5:$D$3004,TxRows)=$A446)*Sales!$A$5:INDEX(Sales!$A$5:$A$3004,TxRows))),0))</f>
        <v/>
      </c>
      <c r="X446" s="67" t="str">
        <f aca="false">IF($A446="","",IF(W446=0,AsOf-FYStart,AsOf-W446))</f>
        <v/>
      </c>
      <c r="Y446" s="67" t="str">
        <f aca="false">IF($A446="","",IF(M446=0,"",O446/(M446/MAX(1,AsOf-FYStart))))</f>
        <v/>
      </c>
      <c r="Z446" s="60" t="str">
        <f aca="false">IF($A446="","",U446+ROW()/1000000)</f>
        <v/>
      </c>
    </row>
    <row r="447" customFormat="false" ht="15" hidden="false" customHeight="false" outlineLevel="0" collapsed="false">
      <c r="A447" s="56"/>
      <c r="B447" s="56"/>
      <c r="C447" s="56"/>
      <c r="D447" s="56"/>
      <c r="E447" s="56"/>
      <c r="F447" s="63"/>
      <c r="G447" s="58"/>
      <c r="H447" s="58"/>
      <c r="I447" s="57"/>
      <c r="J447" s="57"/>
      <c r="K447" s="58"/>
      <c r="L447" s="64" t="str">
        <f aca="false">IF($A447="","",SUMIFS(Purchases!$E$5:INDEX(Purchases!$E$5:$E$3004,TxRows),Purchases!$D$5:INDEX(Purchases!$D$5:$D$3004,TxRows),$A447))</f>
        <v/>
      </c>
      <c r="M447" s="64" t="str">
        <f aca="false">IF($A447="","",SUMIFS(Sales!$E$5:INDEX(Sales!$E$5:$E$3004,TxRows),Sales!$D$5:INDEX(Sales!$D$5:$D$3004,TxRows),$A447))</f>
        <v/>
      </c>
      <c r="N447" s="64" t="str">
        <f aca="false">IF($A447="","",SUMIFS(Adjustments!$C$5:$C$504,Adjustments!$B$5:$B$504,$A447))</f>
        <v/>
      </c>
      <c r="O447" s="64" t="str">
        <f aca="false">IF($A447="","",N($J447)+L447-M447+N447)</f>
        <v/>
      </c>
      <c r="P447" s="61" t="str">
        <f aca="false">IF($A447="","",IFERROR((N($J447)*N($K447)+SUMIFS(Purchases!$K$5:INDEX(Purchases!$K$5:$K$3004,TxRows),Purchases!$D$5:INDEX(Purchases!$D$5:$D$3004,TxRows),$A447))/(N($J447)+L447),N($G447)))</f>
        <v/>
      </c>
      <c r="Q447" s="61" t="str">
        <f aca="false">IF($A447="","",MAX(0,O447)*P447)</f>
        <v/>
      </c>
      <c r="R447" s="60" t="str">
        <f aca="false">IF($A447="","",IF(O447&lt;0,"NEGATIVE",IF(O447=0,"OUT OF STOCK",IF(O447&lt;=N($I447),"REORDER",IF(AND(O447&gt;0,X447&gt;DeadDays),"DEAD STOCK","OK")))))</f>
        <v/>
      </c>
      <c r="S447" s="65" t="str">
        <f aca="false">IF($A447="","",IF(N($H447)=0,0,(N($H447)-P447)/N($H447)))</f>
        <v/>
      </c>
      <c r="T447" s="64" t="str">
        <f aca="false">IF($A447="","",IF(O447&lt;=N($I447),MAX(0,2*N($I447)-O447),0))</f>
        <v/>
      </c>
      <c r="U447" s="61" t="str">
        <f aca="false">IF($A447="","",SUMIFS(Sales!$L$5:INDEX(Sales!$L$5:$L$3004,TxRows),Sales!$D$5:INDEX(Sales!$D$5:$D$3004,TxRows),$A447))</f>
        <v/>
      </c>
      <c r="V447" s="61" t="str">
        <f aca="false">IF($A447="","",SUMIFS(Sales!$S$5:INDEX(Sales!$S$5:$S$3004,TxRows),Sales!$D$5:INDEX(Sales!$D$5:$D$3004,TxRows),$A447))</f>
        <v/>
      </c>
      <c r="W447" s="66" t="str">
        <f aca="false">IF($A447="","",IFERROR(SUMPRODUCT(MAX((Sales!$D$5:INDEX(Sales!$D$5:$D$3004,TxRows)=$A447)*Sales!$A$5:INDEX(Sales!$A$5:$A$3004,TxRows))),0))</f>
        <v/>
      </c>
      <c r="X447" s="67" t="str">
        <f aca="false">IF($A447="","",IF(W447=0,AsOf-FYStart,AsOf-W447))</f>
        <v/>
      </c>
      <c r="Y447" s="67" t="str">
        <f aca="false">IF($A447="","",IF(M447=0,"",O447/(M447/MAX(1,AsOf-FYStart))))</f>
        <v/>
      </c>
      <c r="Z447" s="60" t="str">
        <f aca="false">IF($A447="","",U447+ROW()/1000000)</f>
        <v/>
      </c>
    </row>
    <row r="448" customFormat="false" ht="15" hidden="false" customHeight="false" outlineLevel="0" collapsed="false">
      <c r="A448" s="56"/>
      <c r="B448" s="56"/>
      <c r="C448" s="56"/>
      <c r="D448" s="56"/>
      <c r="E448" s="56"/>
      <c r="F448" s="63"/>
      <c r="G448" s="58"/>
      <c r="H448" s="58"/>
      <c r="I448" s="57"/>
      <c r="J448" s="57"/>
      <c r="K448" s="58"/>
      <c r="L448" s="64" t="str">
        <f aca="false">IF($A448="","",SUMIFS(Purchases!$E$5:INDEX(Purchases!$E$5:$E$3004,TxRows),Purchases!$D$5:INDEX(Purchases!$D$5:$D$3004,TxRows),$A448))</f>
        <v/>
      </c>
      <c r="M448" s="64" t="str">
        <f aca="false">IF($A448="","",SUMIFS(Sales!$E$5:INDEX(Sales!$E$5:$E$3004,TxRows),Sales!$D$5:INDEX(Sales!$D$5:$D$3004,TxRows),$A448))</f>
        <v/>
      </c>
      <c r="N448" s="64" t="str">
        <f aca="false">IF($A448="","",SUMIFS(Adjustments!$C$5:$C$504,Adjustments!$B$5:$B$504,$A448))</f>
        <v/>
      </c>
      <c r="O448" s="64" t="str">
        <f aca="false">IF($A448="","",N($J448)+L448-M448+N448)</f>
        <v/>
      </c>
      <c r="P448" s="61" t="str">
        <f aca="false">IF($A448="","",IFERROR((N($J448)*N($K448)+SUMIFS(Purchases!$K$5:INDEX(Purchases!$K$5:$K$3004,TxRows),Purchases!$D$5:INDEX(Purchases!$D$5:$D$3004,TxRows),$A448))/(N($J448)+L448),N($G448)))</f>
        <v/>
      </c>
      <c r="Q448" s="61" t="str">
        <f aca="false">IF($A448="","",MAX(0,O448)*P448)</f>
        <v/>
      </c>
      <c r="R448" s="60" t="str">
        <f aca="false">IF($A448="","",IF(O448&lt;0,"NEGATIVE",IF(O448=0,"OUT OF STOCK",IF(O448&lt;=N($I448),"REORDER",IF(AND(O448&gt;0,X448&gt;DeadDays),"DEAD STOCK","OK")))))</f>
        <v/>
      </c>
      <c r="S448" s="65" t="str">
        <f aca="false">IF($A448="","",IF(N($H448)=0,0,(N($H448)-P448)/N($H448)))</f>
        <v/>
      </c>
      <c r="T448" s="64" t="str">
        <f aca="false">IF($A448="","",IF(O448&lt;=N($I448),MAX(0,2*N($I448)-O448),0))</f>
        <v/>
      </c>
      <c r="U448" s="61" t="str">
        <f aca="false">IF($A448="","",SUMIFS(Sales!$L$5:INDEX(Sales!$L$5:$L$3004,TxRows),Sales!$D$5:INDEX(Sales!$D$5:$D$3004,TxRows),$A448))</f>
        <v/>
      </c>
      <c r="V448" s="61" t="str">
        <f aca="false">IF($A448="","",SUMIFS(Sales!$S$5:INDEX(Sales!$S$5:$S$3004,TxRows),Sales!$D$5:INDEX(Sales!$D$5:$D$3004,TxRows),$A448))</f>
        <v/>
      </c>
      <c r="W448" s="66" t="str">
        <f aca="false">IF($A448="","",IFERROR(SUMPRODUCT(MAX((Sales!$D$5:INDEX(Sales!$D$5:$D$3004,TxRows)=$A448)*Sales!$A$5:INDEX(Sales!$A$5:$A$3004,TxRows))),0))</f>
        <v/>
      </c>
      <c r="X448" s="67" t="str">
        <f aca="false">IF($A448="","",IF(W448=0,AsOf-FYStart,AsOf-W448))</f>
        <v/>
      </c>
      <c r="Y448" s="67" t="str">
        <f aca="false">IF($A448="","",IF(M448=0,"",O448/(M448/MAX(1,AsOf-FYStart))))</f>
        <v/>
      </c>
      <c r="Z448" s="60" t="str">
        <f aca="false">IF($A448="","",U448+ROW()/1000000)</f>
        <v/>
      </c>
    </row>
    <row r="449" customFormat="false" ht="15" hidden="false" customHeight="false" outlineLevel="0" collapsed="false">
      <c r="A449" s="56"/>
      <c r="B449" s="56"/>
      <c r="C449" s="56"/>
      <c r="D449" s="56"/>
      <c r="E449" s="56"/>
      <c r="F449" s="63"/>
      <c r="G449" s="58"/>
      <c r="H449" s="58"/>
      <c r="I449" s="57"/>
      <c r="J449" s="57"/>
      <c r="K449" s="58"/>
      <c r="L449" s="64" t="str">
        <f aca="false">IF($A449="","",SUMIFS(Purchases!$E$5:INDEX(Purchases!$E$5:$E$3004,TxRows),Purchases!$D$5:INDEX(Purchases!$D$5:$D$3004,TxRows),$A449))</f>
        <v/>
      </c>
      <c r="M449" s="64" t="str">
        <f aca="false">IF($A449="","",SUMIFS(Sales!$E$5:INDEX(Sales!$E$5:$E$3004,TxRows),Sales!$D$5:INDEX(Sales!$D$5:$D$3004,TxRows),$A449))</f>
        <v/>
      </c>
      <c r="N449" s="64" t="str">
        <f aca="false">IF($A449="","",SUMIFS(Adjustments!$C$5:$C$504,Adjustments!$B$5:$B$504,$A449))</f>
        <v/>
      </c>
      <c r="O449" s="64" t="str">
        <f aca="false">IF($A449="","",N($J449)+L449-M449+N449)</f>
        <v/>
      </c>
      <c r="P449" s="61" t="str">
        <f aca="false">IF($A449="","",IFERROR((N($J449)*N($K449)+SUMIFS(Purchases!$K$5:INDEX(Purchases!$K$5:$K$3004,TxRows),Purchases!$D$5:INDEX(Purchases!$D$5:$D$3004,TxRows),$A449))/(N($J449)+L449),N($G449)))</f>
        <v/>
      </c>
      <c r="Q449" s="61" t="str">
        <f aca="false">IF($A449="","",MAX(0,O449)*P449)</f>
        <v/>
      </c>
      <c r="R449" s="60" t="str">
        <f aca="false">IF($A449="","",IF(O449&lt;0,"NEGATIVE",IF(O449=0,"OUT OF STOCK",IF(O449&lt;=N($I449),"REORDER",IF(AND(O449&gt;0,X449&gt;DeadDays),"DEAD STOCK","OK")))))</f>
        <v/>
      </c>
      <c r="S449" s="65" t="str">
        <f aca="false">IF($A449="","",IF(N($H449)=0,0,(N($H449)-P449)/N($H449)))</f>
        <v/>
      </c>
      <c r="T449" s="64" t="str">
        <f aca="false">IF($A449="","",IF(O449&lt;=N($I449),MAX(0,2*N($I449)-O449),0))</f>
        <v/>
      </c>
      <c r="U449" s="61" t="str">
        <f aca="false">IF($A449="","",SUMIFS(Sales!$L$5:INDEX(Sales!$L$5:$L$3004,TxRows),Sales!$D$5:INDEX(Sales!$D$5:$D$3004,TxRows),$A449))</f>
        <v/>
      </c>
      <c r="V449" s="61" t="str">
        <f aca="false">IF($A449="","",SUMIFS(Sales!$S$5:INDEX(Sales!$S$5:$S$3004,TxRows),Sales!$D$5:INDEX(Sales!$D$5:$D$3004,TxRows),$A449))</f>
        <v/>
      </c>
      <c r="W449" s="66" t="str">
        <f aca="false">IF($A449="","",IFERROR(SUMPRODUCT(MAX((Sales!$D$5:INDEX(Sales!$D$5:$D$3004,TxRows)=$A449)*Sales!$A$5:INDEX(Sales!$A$5:$A$3004,TxRows))),0))</f>
        <v/>
      </c>
      <c r="X449" s="67" t="str">
        <f aca="false">IF($A449="","",IF(W449=0,AsOf-FYStart,AsOf-W449))</f>
        <v/>
      </c>
      <c r="Y449" s="67" t="str">
        <f aca="false">IF($A449="","",IF(M449=0,"",O449/(M449/MAX(1,AsOf-FYStart))))</f>
        <v/>
      </c>
      <c r="Z449" s="60" t="str">
        <f aca="false">IF($A449="","",U449+ROW()/1000000)</f>
        <v/>
      </c>
    </row>
    <row r="450" customFormat="false" ht="15" hidden="false" customHeight="false" outlineLevel="0" collapsed="false">
      <c r="A450" s="56"/>
      <c r="B450" s="56"/>
      <c r="C450" s="56"/>
      <c r="D450" s="56"/>
      <c r="E450" s="56"/>
      <c r="F450" s="63"/>
      <c r="G450" s="58"/>
      <c r="H450" s="58"/>
      <c r="I450" s="57"/>
      <c r="J450" s="57"/>
      <c r="K450" s="58"/>
      <c r="L450" s="64" t="str">
        <f aca="false">IF($A450="","",SUMIFS(Purchases!$E$5:INDEX(Purchases!$E$5:$E$3004,TxRows),Purchases!$D$5:INDEX(Purchases!$D$5:$D$3004,TxRows),$A450))</f>
        <v/>
      </c>
      <c r="M450" s="64" t="str">
        <f aca="false">IF($A450="","",SUMIFS(Sales!$E$5:INDEX(Sales!$E$5:$E$3004,TxRows),Sales!$D$5:INDEX(Sales!$D$5:$D$3004,TxRows),$A450))</f>
        <v/>
      </c>
      <c r="N450" s="64" t="str">
        <f aca="false">IF($A450="","",SUMIFS(Adjustments!$C$5:$C$504,Adjustments!$B$5:$B$504,$A450))</f>
        <v/>
      </c>
      <c r="O450" s="64" t="str">
        <f aca="false">IF($A450="","",N($J450)+L450-M450+N450)</f>
        <v/>
      </c>
      <c r="P450" s="61" t="str">
        <f aca="false">IF($A450="","",IFERROR((N($J450)*N($K450)+SUMIFS(Purchases!$K$5:INDEX(Purchases!$K$5:$K$3004,TxRows),Purchases!$D$5:INDEX(Purchases!$D$5:$D$3004,TxRows),$A450))/(N($J450)+L450),N($G450)))</f>
        <v/>
      </c>
      <c r="Q450" s="61" t="str">
        <f aca="false">IF($A450="","",MAX(0,O450)*P450)</f>
        <v/>
      </c>
      <c r="R450" s="60" t="str">
        <f aca="false">IF($A450="","",IF(O450&lt;0,"NEGATIVE",IF(O450=0,"OUT OF STOCK",IF(O450&lt;=N($I450),"REORDER",IF(AND(O450&gt;0,X450&gt;DeadDays),"DEAD STOCK","OK")))))</f>
        <v/>
      </c>
      <c r="S450" s="65" t="str">
        <f aca="false">IF($A450="","",IF(N($H450)=0,0,(N($H450)-P450)/N($H450)))</f>
        <v/>
      </c>
      <c r="T450" s="64" t="str">
        <f aca="false">IF($A450="","",IF(O450&lt;=N($I450),MAX(0,2*N($I450)-O450),0))</f>
        <v/>
      </c>
      <c r="U450" s="61" t="str">
        <f aca="false">IF($A450="","",SUMIFS(Sales!$L$5:INDEX(Sales!$L$5:$L$3004,TxRows),Sales!$D$5:INDEX(Sales!$D$5:$D$3004,TxRows),$A450))</f>
        <v/>
      </c>
      <c r="V450" s="61" t="str">
        <f aca="false">IF($A450="","",SUMIFS(Sales!$S$5:INDEX(Sales!$S$5:$S$3004,TxRows),Sales!$D$5:INDEX(Sales!$D$5:$D$3004,TxRows),$A450))</f>
        <v/>
      </c>
      <c r="W450" s="66" t="str">
        <f aca="false">IF($A450="","",IFERROR(SUMPRODUCT(MAX((Sales!$D$5:INDEX(Sales!$D$5:$D$3004,TxRows)=$A450)*Sales!$A$5:INDEX(Sales!$A$5:$A$3004,TxRows))),0))</f>
        <v/>
      </c>
      <c r="X450" s="67" t="str">
        <f aca="false">IF($A450="","",IF(W450=0,AsOf-FYStart,AsOf-W450))</f>
        <v/>
      </c>
      <c r="Y450" s="67" t="str">
        <f aca="false">IF($A450="","",IF(M450=0,"",O450/(M450/MAX(1,AsOf-FYStart))))</f>
        <v/>
      </c>
      <c r="Z450" s="60" t="str">
        <f aca="false">IF($A450="","",U450+ROW()/1000000)</f>
        <v/>
      </c>
    </row>
    <row r="451" customFormat="false" ht="15" hidden="false" customHeight="false" outlineLevel="0" collapsed="false">
      <c r="A451" s="56"/>
      <c r="B451" s="56"/>
      <c r="C451" s="56"/>
      <c r="D451" s="56"/>
      <c r="E451" s="56"/>
      <c r="F451" s="63"/>
      <c r="G451" s="58"/>
      <c r="H451" s="58"/>
      <c r="I451" s="57"/>
      <c r="J451" s="57"/>
      <c r="K451" s="58"/>
      <c r="L451" s="64" t="str">
        <f aca="false">IF($A451="","",SUMIFS(Purchases!$E$5:INDEX(Purchases!$E$5:$E$3004,TxRows),Purchases!$D$5:INDEX(Purchases!$D$5:$D$3004,TxRows),$A451))</f>
        <v/>
      </c>
      <c r="M451" s="64" t="str">
        <f aca="false">IF($A451="","",SUMIFS(Sales!$E$5:INDEX(Sales!$E$5:$E$3004,TxRows),Sales!$D$5:INDEX(Sales!$D$5:$D$3004,TxRows),$A451))</f>
        <v/>
      </c>
      <c r="N451" s="64" t="str">
        <f aca="false">IF($A451="","",SUMIFS(Adjustments!$C$5:$C$504,Adjustments!$B$5:$B$504,$A451))</f>
        <v/>
      </c>
      <c r="O451" s="64" t="str">
        <f aca="false">IF($A451="","",N($J451)+L451-M451+N451)</f>
        <v/>
      </c>
      <c r="P451" s="61" t="str">
        <f aca="false">IF($A451="","",IFERROR((N($J451)*N($K451)+SUMIFS(Purchases!$K$5:INDEX(Purchases!$K$5:$K$3004,TxRows),Purchases!$D$5:INDEX(Purchases!$D$5:$D$3004,TxRows),$A451))/(N($J451)+L451),N($G451)))</f>
        <v/>
      </c>
      <c r="Q451" s="61" t="str">
        <f aca="false">IF($A451="","",MAX(0,O451)*P451)</f>
        <v/>
      </c>
      <c r="R451" s="60" t="str">
        <f aca="false">IF($A451="","",IF(O451&lt;0,"NEGATIVE",IF(O451=0,"OUT OF STOCK",IF(O451&lt;=N($I451),"REORDER",IF(AND(O451&gt;0,X451&gt;DeadDays),"DEAD STOCK","OK")))))</f>
        <v/>
      </c>
      <c r="S451" s="65" t="str">
        <f aca="false">IF($A451="","",IF(N($H451)=0,0,(N($H451)-P451)/N($H451)))</f>
        <v/>
      </c>
      <c r="T451" s="64" t="str">
        <f aca="false">IF($A451="","",IF(O451&lt;=N($I451),MAX(0,2*N($I451)-O451),0))</f>
        <v/>
      </c>
      <c r="U451" s="61" t="str">
        <f aca="false">IF($A451="","",SUMIFS(Sales!$L$5:INDEX(Sales!$L$5:$L$3004,TxRows),Sales!$D$5:INDEX(Sales!$D$5:$D$3004,TxRows),$A451))</f>
        <v/>
      </c>
      <c r="V451" s="61" t="str">
        <f aca="false">IF($A451="","",SUMIFS(Sales!$S$5:INDEX(Sales!$S$5:$S$3004,TxRows),Sales!$D$5:INDEX(Sales!$D$5:$D$3004,TxRows),$A451))</f>
        <v/>
      </c>
      <c r="W451" s="66" t="str">
        <f aca="false">IF($A451="","",IFERROR(SUMPRODUCT(MAX((Sales!$D$5:INDEX(Sales!$D$5:$D$3004,TxRows)=$A451)*Sales!$A$5:INDEX(Sales!$A$5:$A$3004,TxRows))),0))</f>
        <v/>
      </c>
      <c r="X451" s="67" t="str">
        <f aca="false">IF($A451="","",IF(W451=0,AsOf-FYStart,AsOf-W451))</f>
        <v/>
      </c>
      <c r="Y451" s="67" t="str">
        <f aca="false">IF($A451="","",IF(M451=0,"",O451/(M451/MAX(1,AsOf-FYStart))))</f>
        <v/>
      </c>
      <c r="Z451" s="60" t="str">
        <f aca="false">IF($A451="","",U451+ROW()/1000000)</f>
        <v/>
      </c>
    </row>
    <row r="452" customFormat="false" ht="15" hidden="false" customHeight="false" outlineLevel="0" collapsed="false">
      <c r="A452" s="56"/>
      <c r="B452" s="56"/>
      <c r="C452" s="56"/>
      <c r="D452" s="56"/>
      <c r="E452" s="56"/>
      <c r="F452" s="63"/>
      <c r="G452" s="58"/>
      <c r="H452" s="58"/>
      <c r="I452" s="57"/>
      <c r="J452" s="57"/>
      <c r="K452" s="58"/>
      <c r="L452" s="64" t="str">
        <f aca="false">IF($A452="","",SUMIFS(Purchases!$E$5:INDEX(Purchases!$E$5:$E$3004,TxRows),Purchases!$D$5:INDEX(Purchases!$D$5:$D$3004,TxRows),$A452))</f>
        <v/>
      </c>
      <c r="M452" s="64" t="str">
        <f aca="false">IF($A452="","",SUMIFS(Sales!$E$5:INDEX(Sales!$E$5:$E$3004,TxRows),Sales!$D$5:INDEX(Sales!$D$5:$D$3004,TxRows),$A452))</f>
        <v/>
      </c>
      <c r="N452" s="64" t="str">
        <f aca="false">IF($A452="","",SUMIFS(Adjustments!$C$5:$C$504,Adjustments!$B$5:$B$504,$A452))</f>
        <v/>
      </c>
      <c r="O452" s="64" t="str">
        <f aca="false">IF($A452="","",N($J452)+L452-M452+N452)</f>
        <v/>
      </c>
      <c r="P452" s="61" t="str">
        <f aca="false">IF($A452="","",IFERROR((N($J452)*N($K452)+SUMIFS(Purchases!$K$5:INDEX(Purchases!$K$5:$K$3004,TxRows),Purchases!$D$5:INDEX(Purchases!$D$5:$D$3004,TxRows),$A452))/(N($J452)+L452),N($G452)))</f>
        <v/>
      </c>
      <c r="Q452" s="61" t="str">
        <f aca="false">IF($A452="","",MAX(0,O452)*P452)</f>
        <v/>
      </c>
      <c r="R452" s="60" t="str">
        <f aca="false">IF($A452="","",IF(O452&lt;0,"NEGATIVE",IF(O452=0,"OUT OF STOCK",IF(O452&lt;=N($I452),"REORDER",IF(AND(O452&gt;0,X452&gt;DeadDays),"DEAD STOCK","OK")))))</f>
        <v/>
      </c>
      <c r="S452" s="65" t="str">
        <f aca="false">IF($A452="","",IF(N($H452)=0,0,(N($H452)-P452)/N($H452)))</f>
        <v/>
      </c>
      <c r="T452" s="64" t="str">
        <f aca="false">IF($A452="","",IF(O452&lt;=N($I452),MAX(0,2*N($I452)-O452),0))</f>
        <v/>
      </c>
      <c r="U452" s="61" t="str">
        <f aca="false">IF($A452="","",SUMIFS(Sales!$L$5:INDEX(Sales!$L$5:$L$3004,TxRows),Sales!$D$5:INDEX(Sales!$D$5:$D$3004,TxRows),$A452))</f>
        <v/>
      </c>
      <c r="V452" s="61" t="str">
        <f aca="false">IF($A452="","",SUMIFS(Sales!$S$5:INDEX(Sales!$S$5:$S$3004,TxRows),Sales!$D$5:INDEX(Sales!$D$5:$D$3004,TxRows),$A452))</f>
        <v/>
      </c>
      <c r="W452" s="66" t="str">
        <f aca="false">IF($A452="","",IFERROR(SUMPRODUCT(MAX((Sales!$D$5:INDEX(Sales!$D$5:$D$3004,TxRows)=$A452)*Sales!$A$5:INDEX(Sales!$A$5:$A$3004,TxRows))),0))</f>
        <v/>
      </c>
      <c r="X452" s="67" t="str">
        <f aca="false">IF($A452="","",IF(W452=0,AsOf-FYStart,AsOf-W452))</f>
        <v/>
      </c>
      <c r="Y452" s="67" t="str">
        <f aca="false">IF($A452="","",IF(M452=0,"",O452/(M452/MAX(1,AsOf-FYStart))))</f>
        <v/>
      </c>
      <c r="Z452" s="60" t="str">
        <f aca="false">IF($A452="","",U452+ROW()/1000000)</f>
        <v/>
      </c>
    </row>
    <row r="453" customFormat="false" ht="15" hidden="false" customHeight="false" outlineLevel="0" collapsed="false">
      <c r="A453" s="56"/>
      <c r="B453" s="56"/>
      <c r="C453" s="56"/>
      <c r="D453" s="56"/>
      <c r="E453" s="56"/>
      <c r="F453" s="63"/>
      <c r="G453" s="58"/>
      <c r="H453" s="58"/>
      <c r="I453" s="57"/>
      <c r="J453" s="57"/>
      <c r="K453" s="58"/>
      <c r="L453" s="64" t="str">
        <f aca="false">IF($A453="","",SUMIFS(Purchases!$E$5:INDEX(Purchases!$E$5:$E$3004,TxRows),Purchases!$D$5:INDEX(Purchases!$D$5:$D$3004,TxRows),$A453))</f>
        <v/>
      </c>
      <c r="M453" s="64" t="str">
        <f aca="false">IF($A453="","",SUMIFS(Sales!$E$5:INDEX(Sales!$E$5:$E$3004,TxRows),Sales!$D$5:INDEX(Sales!$D$5:$D$3004,TxRows),$A453))</f>
        <v/>
      </c>
      <c r="N453" s="64" t="str">
        <f aca="false">IF($A453="","",SUMIFS(Adjustments!$C$5:$C$504,Adjustments!$B$5:$B$504,$A453))</f>
        <v/>
      </c>
      <c r="O453" s="64" t="str">
        <f aca="false">IF($A453="","",N($J453)+L453-M453+N453)</f>
        <v/>
      </c>
      <c r="P453" s="61" t="str">
        <f aca="false">IF($A453="","",IFERROR((N($J453)*N($K453)+SUMIFS(Purchases!$K$5:INDEX(Purchases!$K$5:$K$3004,TxRows),Purchases!$D$5:INDEX(Purchases!$D$5:$D$3004,TxRows),$A453))/(N($J453)+L453),N($G453)))</f>
        <v/>
      </c>
      <c r="Q453" s="61" t="str">
        <f aca="false">IF($A453="","",MAX(0,O453)*P453)</f>
        <v/>
      </c>
      <c r="R453" s="60" t="str">
        <f aca="false">IF($A453="","",IF(O453&lt;0,"NEGATIVE",IF(O453=0,"OUT OF STOCK",IF(O453&lt;=N($I453),"REORDER",IF(AND(O453&gt;0,X453&gt;DeadDays),"DEAD STOCK","OK")))))</f>
        <v/>
      </c>
      <c r="S453" s="65" t="str">
        <f aca="false">IF($A453="","",IF(N($H453)=0,0,(N($H453)-P453)/N($H453)))</f>
        <v/>
      </c>
      <c r="T453" s="64" t="str">
        <f aca="false">IF($A453="","",IF(O453&lt;=N($I453),MAX(0,2*N($I453)-O453),0))</f>
        <v/>
      </c>
      <c r="U453" s="61" t="str">
        <f aca="false">IF($A453="","",SUMIFS(Sales!$L$5:INDEX(Sales!$L$5:$L$3004,TxRows),Sales!$D$5:INDEX(Sales!$D$5:$D$3004,TxRows),$A453))</f>
        <v/>
      </c>
      <c r="V453" s="61" t="str">
        <f aca="false">IF($A453="","",SUMIFS(Sales!$S$5:INDEX(Sales!$S$5:$S$3004,TxRows),Sales!$D$5:INDEX(Sales!$D$5:$D$3004,TxRows),$A453))</f>
        <v/>
      </c>
      <c r="W453" s="66" t="str">
        <f aca="false">IF($A453="","",IFERROR(SUMPRODUCT(MAX((Sales!$D$5:INDEX(Sales!$D$5:$D$3004,TxRows)=$A453)*Sales!$A$5:INDEX(Sales!$A$5:$A$3004,TxRows))),0))</f>
        <v/>
      </c>
      <c r="X453" s="67" t="str">
        <f aca="false">IF($A453="","",IF(W453=0,AsOf-FYStart,AsOf-W453))</f>
        <v/>
      </c>
      <c r="Y453" s="67" t="str">
        <f aca="false">IF($A453="","",IF(M453=0,"",O453/(M453/MAX(1,AsOf-FYStart))))</f>
        <v/>
      </c>
      <c r="Z453" s="60" t="str">
        <f aca="false">IF($A453="","",U453+ROW()/1000000)</f>
        <v/>
      </c>
    </row>
    <row r="454" customFormat="false" ht="15" hidden="false" customHeight="false" outlineLevel="0" collapsed="false">
      <c r="A454" s="56"/>
      <c r="B454" s="56"/>
      <c r="C454" s="56"/>
      <c r="D454" s="56"/>
      <c r="E454" s="56"/>
      <c r="F454" s="63"/>
      <c r="G454" s="58"/>
      <c r="H454" s="58"/>
      <c r="I454" s="57"/>
      <c r="J454" s="57"/>
      <c r="K454" s="58"/>
      <c r="L454" s="64" t="str">
        <f aca="false">IF($A454="","",SUMIFS(Purchases!$E$5:INDEX(Purchases!$E$5:$E$3004,TxRows),Purchases!$D$5:INDEX(Purchases!$D$5:$D$3004,TxRows),$A454))</f>
        <v/>
      </c>
      <c r="M454" s="64" t="str">
        <f aca="false">IF($A454="","",SUMIFS(Sales!$E$5:INDEX(Sales!$E$5:$E$3004,TxRows),Sales!$D$5:INDEX(Sales!$D$5:$D$3004,TxRows),$A454))</f>
        <v/>
      </c>
      <c r="N454" s="64" t="str">
        <f aca="false">IF($A454="","",SUMIFS(Adjustments!$C$5:$C$504,Adjustments!$B$5:$B$504,$A454))</f>
        <v/>
      </c>
      <c r="O454" s="64" t="str">
        <f aca="false">IF($A454="","",N($J454)+L454-M454+N454)</f>
        <v/>
      </c>
      <c r="P454" s="61" t="str">
        <f aca="false">IF($A454="","",IFERROR((N($J454)*N($K454)+SUMIFS(Purchases!$K$5:INDEX(Purchases!$K$5:$K$3004,TxRows),Purchases!$D$5:INDEX(Purchases!$D$5:$D$3004,TxRows),$A454))/(N($J454)+L454),N($G454)))</f>
        <v/>
      </c>
      <c r="Q454" s="61" t="str">
        <f aca="false">IF($A454="","",MAX(0,O454)*P454)</f>
        <v/>
      </c>
      <c r="R454" s="60" t="str">
        <f aca="false">IF($A454="","",IF(O454&lt;0,"NEGATIVE",IF(O454=0,"OUT OF STOCK",IF(O454&lt;=N($I454),"REORDER",IF(AND(O454&gt;0,X454&gt;DeadDays),"DEAD STOCK","OK")))))</f>
        <v/>
      </c>
      <c r="S454" s="65" t="str">
        <f aca="false">IF($A454="","",IF(N($H454)=0,0,(N($H454)-P454)/N($H454)))</f>
        <v/>
      </c>
      <c r="T454" s="64" t="str">
        <f aca="false">IF($A454="","",IF(O454&lt;=N($I454),MAX(0,2*N($I454)-O454),0))</f>
        <v/>
      </c>
      <c r="U454" s="61" t="str">
        <f aca="false">IF($A454="","",SUMIFS(Sales!$L$5:INDEX(Sales!$L$5:$L$3004,TxRows),Sales!$D$5:INDEX(Sales!$D$5:$D$3004,TxRows),$A454))</f>
        <v/>
      </c>
      <c r="V454" s="61" t="str">
        <f aca="false">IF($A454="","",SUMIFS(Sales!$S$5:INDEX(Sales!$S$5:$S$3004,TxRows),Sales!$D$5:INDEX(Sales!$D$5:$D$3004,TxRows),$A454))</f>
        <v/>
      </c>
      <c r="W454" s="66" t="str">
        <f aca="false">IF($A454="","",IFERROR(SUMPRODUCT(MAX((Sales!$D$5:INDEX(Sales!$D$5:$D$3004,TxRows)=$A454)*Sales!$A$5:INDEX(Sales!$A$5:$A$3004,TxRows))),0))</f>
        <v/>
      </c>
      <c r="X454" s="67" t="str">
        <f aca="false">IF($A454="","",IF(W454=0,AsOf-FYStart,AsOf-W454))</f>
        <v/>
      </c>
      <c r="Y454" s="67" t="str">
        <f aca="false">IF($A454="","",IF(M454=0,"",O454/(M454/MAX(1,AsOf-FYStart))))</f>
        <v/>
      </c>
      <c r="Z454" s="60" t="str">
        <f aca="false">IF($A454="","",U454+ROW()/1000000)</f>
        <v/>
      </c>
    </row>
    <row r="455" customFormat="false" ht="15" hidden="false" customHeight="false" outlineLevel="0" collapsed="false">
      <c r="A455" s="56"/>
      <c r="B455" s="56"/>
      <c r="C455" s="56"/>
      <c r="D455" s="56"/>
      <c r="E455" s="56"/>
      <c r="F455" s="63"/>
      <c r="G455" s="58"/>
      <c r="H455" s="58"/>
      <c r="I455" s="57"/>
      <c r="J455" s="57"/>
      <c r="K455" s="58"/>
      <c r="L455" s="64" t="str">
        <f aca="false">IF($A455="","",SUMIFS(Purchases!$E$5:INDEX(Purchases!$E$5:$E$3004,TxRows),Purchases!$D$5:INDEX(Purchases!$D$5:$D$3004,TxRows),$A455))</f>
        <v/>
      </c>
      <c r="M455" s="64" t="str">
        <f aca="false">IF($A455="","",SUMIFS(Sales!$E$5:INDEX(Sales!$E$5:$E$3004,TxRows),Sales!$D$5:INDEX(Sales!$D$5:$D$3004,TxRows),$A455))</f>
        <v/>
      </c>
      <c r="N455" s="64" t="str">
        <f aca="false">IF($A455="","",SUMIFS(Adjustments!$C$5:$C$504,Adjustments!$B$5:$B$504,$A455))</f>
        <v/>
      </c>
      <c r="O455" s="64" t="str">
        <f aca="false">IF($A455="","",N($J455)+L455-M455+N455)</f>
        <v/>
      </c>
      <c r="P455" s="61" t="str">
        <f aca="false">IF($A455="","",IFERROR((N($J455)*N($K455)+SUMIFS(Purchases!$K$5:INDEX(Purchases!$K$5:$K$3004,TxRows),Purchases!$D$5:INDEX(Purchases!$D$5:$D$3004,TxRows),$A455))/(N($J455)+L455),N($G455)))</f>
        <v/>
      </c>
      <c r="Q455" s="61" t="str">
        <f aca="false">IF($A455="","",MAX(0,O455)*P455)</f>
        <v/>
      </c>
      <c r="R455" s="60" t="str">
        <f aca="false">IF($A455="","",IF(O455&lt;0,"NEGATIVE",IF(O455=0,"OUT OF STOCK",IF(O455&lt;=N($I455),"REORDER",IF(AND(O455&gt;0,X455&gt;DeadDays),"DEAD STOCK","OK")))))</f>
        <v/>
      </c>
      <c r="S455" s="65" t="str">
        <f aca="false">IF($A455="","",IF(N($H455)=0,0,(N($H455)-P455)/N($H455)))</f>
        <v/>
      </c>
      <c r="T455" s="64" t="str">
        <f aca="false">IF($A455="","",IF(O455&lt;=N($I455),MAX(0,2*N($I455)-O455),0))</f>
        <v/>
      </c>
      <c r="U455" s="61" t="str">
        <f aca="false">IF($A455="","",SUMIFS(Sales!$L$5:INDEX(Sales!$L$5:$L$3004,TxRows),Sales!$D$5:INDEX(Sales!$D$5:$D$3004,TxRows),$A455))</f>
        <v/>
      </c>
      <c r="V455" s="61" t="str">
        <f aca="false">IF($A455="","",SUMIFS(Sales!$S$5:INDEX(Sales!$S$5:$S$3004,TxRows),Sales!$D$5:INDEX(Sales!$D$5:$D$3004,TxRows),$A455))</f>
        <v/>
      </c>
      <c r="W455" s="66" t="str">
        <f aca="false">IF($A455="","",IFERROR(SUMPRODUCT(MAX((Sales!$D$5:INDEX(Sales!$D$5:$D$3004,TxRows)=$A455)*Sales!$A$5:INDEX(Sales!$A$5:$A$3004,TxRows))),0))</f>
        <v/>
      </c>
      <c r="X455" s="67" t="str">
        <f aca="false">IF($A455="","",IF(W455=0,AsOf-FYStart,AsOf-W455))</f>
        <v/>
      </c>
      <c r="Y455" s="67" t="str">
        <f aca="false">IF($A455="","",IF(M455=0,"",O455/(M455/MAX(1,AsOf-FYStart))))</f>
        <v/>
      </c>
      <c r="Z455" s="60" t="str">
        <f aca="false">IF($A455="","",U455+ROW()/1000000)</f>
        <v/>
      </c>
    </row>
    <row r="456" customFormat="false" ht="15" hidden="false" customHeight="false" outlineLevel="0" collapsed="false">
      <c r="A456" s="56"/>
      <c r="B456" s="56"/>
      <c r="C456" s="56"/>
      <c r="D456" s="56"/>
      <c r="E456" s="56"/>
      <c r="F456" s="63"/>
      <c r="G456" s="58"/>
      <c r="H456" s="58"/>
      <c r="I456" s="57"/>
      <c r="J456" s="57"/>
      <c r="K456" s="58"/>
      <c r="L456" s="64" t="str">
        <f aca="false">IF($A456="","",SUMIFS(Purchases!$E$5:INDEX(Purchases!$E$5:$E$3004,TxRows),Purchases!$D$5:INDEX(Purchases!$D$5:$D$3004,TxRows),$A456))</f>
        <v/>
      </c>
      <c r="M456" s="64" t="str">
        <f aca="false">IF($A456="","",SUMIFS(Sales!$E$5:INDEX(Sales!$E$5:$E$3004,TxRows),Sales!$D$5:INDEX(Sales!$D$5:$D$3004,TxRows),$A456))</f>
        <v/>
      </c>
      <c r="N456" s="64" t="str">
        <f aca="false">IF($A456="","",SUMIFS(Adjustments!$C$5:$C$504,Adjustments!$B$5:$B$504,$A456))</f>
        <v/>
      </c>
      <c r="O456" s="64" t="str">
        <f aca="false">IF($A456="","",N($J456)+L456-M456+N456)</f>
        <v/>
      </c>
      <c r="P456" s="61" t="str">
        <f aca="false">IF($A456="","",IFERROR((N($J456)*N($K456)+SUMIFS(Purchases!$K$5:INDEX(Purchases!$K$5:$K$3004,TxRows),Purchases!$D$5:INDEX(Purchases!$D$5:$D$3004,TxRows),$A456))/(N($J456)+L456),N($G456)))</f>
        <v/>
      </c>
      <c r="Q456" s="61" t="str">
        <f aca="false">IF($A456="","",MAX(0,O456)*P456)</f>
        <v/>
      </c>
      <c r="R456" s="60" t="str">
        <f aca="false">IF($A456="","",IF(O456&lt;0,"NEGATIVE",IF(O456=0,"OUT OF STOCK",IF(O456&lt;=N($I456),"REORDER",IF(AND(O456&gt;0,X456&gt;DeadDays),"DEAD STOCK","OK")))))</f>
        <v/>
      </c>
      <c r="S456" s="65" t="str">
        <f aca="false">IF($A456="","",IF(N($H456)=0,0,(N($H456)-P456)/N($H456)))</f>
        <v/>
      </c>
      <c r="T456" s="64" t="str">
        <f aca="false">IF($A456="","",IF(O456&lt;=N($I456),MAX(0,2*N($I456)-O456),0))</f>
        <v/>
      </c>
      <c r="U456" s="61" t="str">
        <f aca="false">IF($A456="","",SUMIFS(Sales!$L$5:INDEX(Sales!$L$5:$L$3004,TxRows),Sales!$D$5:INDEX(Sales!$D$5:$D$3004,TxRows),$A456))</f>
        <v/>
      </c>
      <c r="V456" s="61" t="str">
        <f aca="false">IF($A456="","",SUMIFS(Sales!$S$5:INDEX(Sales!$S$5:$S$3004,TxRows),Sales!$D$5:INDEX(Sales!$D$5:$D$3004,TxRows),$A456))</f>
        <v/>
      </c>
      <c r="W456" s="66" t="str">
        <f aca="false">IF($A456="","",IFERROR(SUMPRODUCT(MAX((Sales!$D$5:INDEX(Sales!$D$5:$D$3004,TxRows)=$A456)*Sales!$A$5:INDEX(Sales!$A$5:$A$3004,TxRows))),0))</f>
        <v/>
      </c>
      <c r="X456" s="67" t="str">
        <f aca="false">IF($A456="","",IF(W456=0,AsOf-FYStart,AsOf-W456))</f>
        <v/>
      </c>
      <c r="Y456" s="67" t="str">
        <f aca="false">IF($A456="","",IF(M456=0,"",O456/(M456/MAX(1,AsOf-FYStart))))</f>
        <v/>
      </c>
      <c r="Z456" s="60" t="str">
        <f aca="false">IF($A456="","",U456+ROW()/1000000)</f>
        <v/>
      </c>
    </row>
    <row r="457" customFormat="false" ht="15" hidden="false" customHeight="false" outlineLevel="0" collapsed="false">
      <c r="A457" s="56"/>
      <c r="B457" s="56"/>
      <c r="C457" s="56"/>
      <c r="D457" s="56"/>
      <c r="E457" s="56"/>
      <c r="F457" s="63"/>
      <c r="G457" s="58"/>
      <c r="H457" s="58"/>
      <c r="I457" s="57"/>
      <c r="J457" s="57"/>
      <c r="K457" s="58"/>
      <c r="L457" s="64" t="str">
        <f aca="false">IF($A457="","",SUMIFS(Purchases!$E$5:INDEX(Purchases!$E$5:$E$3004,TxRows),Purchases!$D$5:INDEX(Purchases!$D$5:$D$3004,TxRows),$A457))</f>
        <v/>
      </c>
      <c r="M457" s="64" t="str">
        <f aca="false">IF($A457="","",SUMIFS(Sales!$E$5:INDEX(Sales!$E$5:$E$3004,TxRows),Sales!$D$5:INDEX(Sales!$D$5:$D$3004,TxRows),$A457))</f>
        <v/>
      </c>
      <c r="N457" s="64" t="str">
        <f aca="false">IF($A457="","",SUMIFS(Adjustments!$C$5:$C$504,Adjustments!$B$5:$B$504,$A457))</f>
        <v/>
      </c>
      <c r="O457" s="64" t="str">
        <f aca="false">IF($A457="","",N($J457)+L457-M457+N457)</f>
        <v/>
      </c>
      <c r="P457" s="61" t="str">
        <f aca="false">IF($A457="","",IFERROR((N($J457)*N($K457)+SUMIFS(Purchases!$K$5:INDEX(Purchases!$K$5:$K$3004,TxRows),Purchases!$D$5:INDEX(Purchases!$D$5:$D$3004,TxRows),$A457))/(N($J457)+L457),N($G457)))</f>
        <v/>
      </c>
      <c r="Q457" s="61" t="str">
        <f aca="false">IF($A457="","",MAX(0,O457)*P457)</f>
        <v/>
      </c>
      <c r="R457" s="60" t="str">
        <f aca="false">IF($A457="","",IF(O457&lt;0,"NEGATIVE",IF(O457=0,"OUT OF STOCK",IF(O457&lt;=N($I457),"REORDER",IF(AND(O457&gt;0,X457&gt;DeadDays),"DEAD STOCK","OK")))))</f>
        <v/>
      </c>
      <c r="S457" s="65" t="str">
        <f aca="false">IF($A457="","",IF(N($H457)=0,0,(N($H457)-P457)/N($H457)))</f>
        <v/>
      </c>
      <c r="T457" s="64" t="str">
        <f aca="false">IF($A457="","",IF(O457&lt;=N($I457),MAX(0,2*N($I457)-O457),0))</f>
        <v/>
      </c>
      <c r="U457" s="61" t="str">
        <f aca="false">IF($A457="","",SUMIFS(Sales!$L$5:INDEX(Sales!$L$5:$L$3004,TxRows),Sales!$D$5:INDEX(Sales!$D$5:$D$3004,TxRows),$A457))</f>
        <v/>
      </c>
      <c r="V457" s="61" t="str">
        <f aca="false">IF($A457="","",SUMIFS(Sales!$S$5:INDEX(Sales!$S$5:$S$3004,TxRows),Sales!$D$5:INDEX(Sales!$D$5:$D$3004,TxRows),$A457))</f>
        <v/>
      </c>
      <c r="W457" s="66" t="str">
        <f aca="false">IF($A457="","",IFERROR(SUMPRODUCT(MAX((Sales!$D$5:INDEX(Sales!$D$5:$D$3004,TxRows)=$A457)*Sales!$A$5:INDEX(Sales!$A$5:$A$3004,TxRows))),0))</f>
        <v/>
      </c>
      <c r="X457" s="67" t="str">
        <f aca="false">IF($A457="","",IF(W457=0,AsOf-FYStart,AsOf-W457))</f>
        <v/>
      </c>
      <c r="Y457" s="67" t="str">
        <f aca="false">IF($A457="","",IF(M457=0,"",O457/(M457/MAX(1,AsOf-FYStart))))</f>
        <v/>
      </c>
      <c r="Z457" s="60" t="str">
        <f aca="false">IF($A457="","",U457+ROW()/1000000)</f>
        <v/>
      </c>
    </row>
    <row r="458" customFormat="false" ht="15" hidden="false" customHeight="false" outlineLevel="0" collapsed="false">
      <c r="A458" s="56"/>
      <c r="B458" s="56"/>
      <c r="C458" s="56"/>
      <c r="D458" s="56"/>
      <c r="E458" s="56"/>
      <c r="F458" s="63"/>
      <c r="G458" s="58"/>
      <c r="H458" s="58"/>
      <c r="I458" s="57"/>
      <c r="J458" s="57"/>
      <c r="K458" s="58"/>
      <c r="L458" s="64" t="str">
        <f aca="false">IF($A458="","",SUMIFS(Purchases!$E$5:INDEX(Purchases!$E$5:$E$3004,TxRows),Purchases!$D$5:INDEX(Purchases!$D$5:$D$3004,TxRows),$A458))</f>
        <v/>
      </c>
      <c r="M458" s="64" t="str">
        <f aca="false">IF($A458="","",SUMIFS(Sales!$E$5:INDEX(Sales!$E$5:$E$3004,TxRows),Sales!$D$5:INDEX(Sales!$D$5:$D$3004,TxRows),$A458))</f>
        <v/>
      </c>
      <c r="N458" s="64" t="str">
        <f aca="false">IF($A458="","",SUMIFS(Adjustments!$C$5:$C$504,Adjustments!$B$5:$B$504,$A458))</f>
        <v/>
      </c>
      <c r="O458" s="64" t="str">
        <f aca="false">IF($A458="","",N($J458)+L458-M458+N458)</f>
        <v/>
      </c>
      <c r="P458" s="61" t="str">
        <f aca="false">IF($A458="","",IFERROR((N($J458)*N($K458)+SUMIFS(Purchases!$K$5:INDEX(Purchases!$K$5:$K$3004,TxRows),Purchases!$D$5:INDEX(Purchases!$D$5:$D$3004,TxRows),$A458))/(N($J458)+L458),N($G458)))</f>
        <v/>
      </c>
      <c r="Q458" s="61" t="str">
        <f aca="false">IF($A458="","",MAX(0,O458)*P458)</f>
        <v/>
      </c>
      <c r="R458" s="60" t="str">
        <f aca="false">IF($A458="","",IF(O458&lt;0,"NEGATIVE",IF(O458=0,"OUT OF STOCK",IF(O458&lt;=N($I458),"REORDER",IF(AND(O458&gt;0,X458&gt;DeadDays),"DEAD STOCK","OK")))))</f>
        <v/>
      </c>
      <c r="S458" s="65" t="str">
        <f aca="false">IF($A458="","",IF(N($H458)=0,0,(N($H458)-P458)/N($H458)))</f>
        <v/>
      </c>
      <c r="T458" s="64" t="str">
        <f aca="false">IF($A458="","",IF(O458&lt;=N($I458),MAX(0,2*N($I458)-O458),0))</f>
        <v/>
      </c>
      <c r="U458" s="61" t="str">
        <f aca="false">IF($A458="","",SUMIFS(Sales!$L$5:INDEX(Sales!$L$5:$L$3004,TxRows),Sales!$D$5:INDEX(Sales!$D$5:$D$3004,TxRows),$A458))</f>
        <v/>
      </c>
      <c r="V458" s="61" t="str">
        <f aca="false">IF($A458="","",SUMIFS(Sales!$S$5:INDEX(Sales!$S$5:$S$3004,TxRows),Sales!$D$5:INDEX(Sales!$D$5:$D$3004,TxRows),$A458))</f>
        <v/>
      </c>
      <c r="W458" s="66" t="str">
        <f aca="false">IF($A458="","",IFERROR(SUMPRODUCT(MAX((Sales!$D$5:INDEX(Sales!$D$5:$D$3004,TxRows)=$A458)*Sales!$A$5:INDEX(Sales!$A$5:$A$3004,TxRows))),0))</f>
        <v/>
      </c>
      <c r="X458" s="67" t="str">
        <f aca="false">IF($A458="","",IF(W458=0,AsOf-FYStart,AsOf-W458))</f>
        <v/>
      </c>
      <c r="Y458" s="67" t="str">
        <f aca="false">IF($A458="","",IF(M458=0,"",O458/(M458/MAX(1,AsOf-FYStart))))</f>
        <v/>
      </c>
      <c r="Z458" s="60" t="str">
        <f aca="false">IF($A458="","",U458+ROW()/1000000)</f>
        <v/>
      </c>
    </row>
    <row r="459" customFormat="false" ht="15" hidden="false" customHeight="false" outlineLevel="0" collapsed="false">
      <c r="A459" s="56"/>
      <c r="B459" s="56"/>
      <c r="C459" s="56"/>
      <c r="D459" s="56"/>
      <c r="E459" s="56"/>
      <c r="F459" s="63"/>
      <c r="G459" s="58"/>
      <c r="H459" s="58"/>
      <c r="I459" s="57"/>
      <c r="J459" s="57"/>
      <c r="K459" s="58"/>
      <c r="L459" s="64" t="str">
        <f aca="false">IF($A459="","",SUMIFS(Purchases!$E$5:INDEX(Purchases!$E$5:$E$3004,TxRows),Purchases!$D$5:INDEX(Purchases!$D$5:$D$3004,TxRows),$A459))</f>
        <v/>
      </c>
      <c r="M459" s="64" t="str">
        <f aca="false">IF($A459="","",SUMIFS(Sales!$E$5:INDEX(Sales!$E$5:$E$3004,TxRows),Sales!$D$5:INDEX(Sales!$D$5:$D$3004,TxRows),$A459))</f>
        <v/>
      </c>
      <c r="N459" s="64" t="str">
        <f aca="false">IF($A459="","",SUMIFS(Adjustments!$C$5:$C$504,Adjustments!$B$5:$B$504,$A459))</f>
        <v/>
      </c>
      <c r="O459" s="64" t="str">
        <f aca="false">IF($A459="","",N($J459)+L459-M459+N459)</f>
        <v/>
      </c>
      <c r="P459" s="61" t="str">
        <f aca="false">IF($A459="","",IFERROR((N($J459)*N($K459)+SUMIFS(Purchases!$K$5:INDEX(Purchases!$K$5:$K$3004,TxRows),Purchases!$D$5:INDEX(Purchases!$D$5:$D$3004,TxRows),$A459))/(N($J459)+L459),N($G459)))</f>
        <v/>
      </c>
      <c r="Q459" s="61" t="str">
        <f aca="false">IF($A459="","",MAX(0,O459)*P459)</f>
        <v/>
      </c>
      <c r="R459" s="60" t="str">
        <f aca="false">IF($A459="","",IF(O459&lt;0,"NEGATIVE",IF(O459=0,"OUT OF STOCK",IF(O459&lt;=N($I459),"REORDER",IF(AND(O459&gt;0,X459&gt;DeadDays),"DEAD STOCK","OK")))))</f>
        <v/>
      </c>
      <c r="S459" s="65" t="str">
        <f aca="false">IF($A459="","",IF(N($H459)=0,0,(N($H459)-P459)/N($H459)))</f>
        <v/>
      </c>
      <c r="T459" s="64" t="str">
        <f aca="false">IF($A459="","",IF(O459&lt;=N($I459),MAX(0,2*N($I459)-O459),0))</f>
        <v/>
      </c>
      <c r="U459" s="61" t="str">
        <f aca="false">IF($A459="","",SUMIFS(Sales!$L$5:INDEX(Sales!$L$5:$L$3004,TxRows),Sales!$D$5:INDEX(Sales!$D$5:$D$3004,TxRows),$A459))</f>
        <v/>
      </c>
      <c r="V459" s="61" t="str">
        <f aca="false">IF($A459="","",SUMIFS(Sales!$S$5:INDEX(Sales!$S$5:$S$3004,TxRows),Sales!$D$5:INDEX(Sales!$D$5:$D$3004,TxRows),$A459))</f>
        <v/>
      </c>
      <c r="W459" s="66" t="str">
        <f aca="false">IF($A459="","",IFERROR(SUMPRODUCT(MAX((Sales!$D$5:INDEX(Sales!$D$5:$D$3004,TxRows)=$A459)*Sales!$A$5:INDEX(Sales!$A$5:$A$3004,TxRows))),0))</f>
        <v/>
      </c>
      <c r="X459" s="67" t="str">
        <f aca="false">IF($A459="","",IF(W459=0,AsOf-FYStart,AsOf-W459))</f>
        <v/>
      </c>
      <c r="Y459" s="67" t="str">
        <f aca="false">IF($A459="","",IF(M459=0,"",O459/(M459/MAX(1,AsOf-FYStart))))</f>
        <v/>
      </c>
      <c r="Z459" s="60" t="str">
        <f aca="false">IF($A459="","",U459+ROW()/1000000)</f>
        <v/>
      </c>
    </row>
    <row r="460" customFormat="false" ht="15" hidden="false" customHeight="false" outlineLevel="0" collapsed="false">
      <c r="A460" s="56"/>
      <c r="B460" s="56"/>
      <c r="C460" s="56"/>
      <c r="D460" s="56"/>
      <c r="E460" s="56"/>
      <c r="F460" s="63"/>
      <c r="G460" s="58"/>
      <c r="H460" s="58"/>
      <c r="I460" s="57"/>
      <c r="J460" s="57"/>
      <c r="K460" s="58"/>
      <c r="L460" s="64" t="str">
        <f aca="false">IF($A460="","",SUMIFS(Purchases!$E$5:INDEX(Purchases!$E$5:$E$3004,TxRows),Purchases!$D$5:INDEX(Purchases!$D$5:$D$3004,TxRows),$A460))</f>
        <v/>
      </c>
      <c r="M460" s="64" t="str">
        <f aca="false">IF($A460="","",SUMIFS(Sales!$E$5:INDEX(Sales!$E$5:$E$3004,TxRows),Sales!$D$5:INDEX(Sales!$D$5:$D$3004,TxRows),$A460))</f>
        <v/>
      </c>
      <c r="N460" s="64" t="str">
        <f aca="false">IF($A460="","",SUMIFS(Adjustments!$C$5:$C$504,Adjustments!$B$5:$B$504,$A460))</f>
        <v/>
      </c>
      <c r="O460" s="64" t="str">
        <f aca="false">IF($A460="","",N($J460)+L460-M460+N460)</f>
        <v/>
      </c>
      <c r="P460" s="61" t="str">
        <f aca="false">IF($A460="","",IFERROR((N($J460)*N($K460)+SUMIFS(Purchases!$K$5:INDEX(Purchases!$K$5:$K$3004,TxRows),Purchases!$D$5:INDEX(Purchases!$D$5:$D$3004,TxRows),$A460))/(N($J460)+L460),N($G460)))</f>
        <v/>
      </c>
      <c r="Q460" s="61" t="str">
        <f aca="false">IF($A460="","",MAX(0,O460)*P460)</f>
        <v/>
      </c>
      <c r="R460" s="60" t="str">
        <f aca="false">IF($A460="","",IF(O460&lt;0,"NEGATIVE",IF(O460=0,"OUT OF STOCK",IF(O460&lt;=N($I460),"REORDER",IF(AND(O460&gt;0,X460&gt;DeadDays),"DEAD STOCK","OK")))))</f>
        <v/>
      </c>
      <c r="S460" s="65" t="str">
        <f aca="false">IF($A460="","",IF(N($H460)=0,0,(N($H460)-P460)/N($H460)))</f>
        <v/>
      </c>
      <c r="T460" s="64" t="str">
        <f aca="false">IF($A460="","",IF(O460&lt;=N($I460),MAX(0,2*N($I460)-O460),0))</f>
        <v/>
      </c>
      <c r="U460" s="61" t="str">
        <f aca="false">IF($A460="","",SUMIFS(Sales!$L$5:INDEX(Sales!$L$5:$L$3004,TxRows),Sales!$D$5:INDEX(Sales!$D$5:$D$3004,TxRows),$A460))</f>
        <v/>
      </c>
      <c r="V460" s="61" t="str">
        <f aca="false">IF($A460="","",SUMIFS(Sales!$S$5:INDEX(Sales!$S$5:$S$3004,TxRows),Sales!$D$5:INDEX(Sales!$D$5:$D$3004,TxRows),$A460))</f>
        <v/>
      </c>
      <c r="W460" s="66" t="str">
        <f aca="false">IF($A460="","",IFERROR(SUMPRODUCT(MAX((Sales!$D$5:INDEX(Sales!$D$5:$D$3004,TxRows)=$A460)*Sales!$A$5:INDEX(Sales!$A$5:$A$3004,TxRows))),0))</f>
        <v/>
      </c>
      <c r="X460" s="67" t="str">
        <f aca="false">IF($A460="","",IF(W460=0,AsOf-FYStart,AsOf-W460))</f>
        <v/>
      </c>
      <c r="Y460" s="67" t="str">
        <f aca="false">IF($A460="","",IF(M460=0,"",O460/(M460/MAX(1,AsOf-FYStart))))</f>
        <v/>
      </c>
      <c r="Z460" s="60" t="str">
        <f aca="false">IF($A460="","",U460+ROW()/1000000)</f>
        <v/>
      </c>
    </row>
    <row r="461" customFormat="false" ht="15" hidden="false" customHeight="false" outlineLevel="0" collapsed="false">
      <c r="A461" s="56"/>
      <c r="B461" s="56"/>
      <c r="C461" s="56"/>
      <c r="D461" s="56"/>
      <c r="E461" s="56"/>
      <c r="F461" s="63"/>
      <c r="G461" s="58"/>
      <c r="H461" s="58"/>
      <c r="I461" s="57"/>
      <c r="J461" s="57"/>
      <c r="K461" s="58"/>
      <c r="L461" s="64" t="str">
        <f aca="false">IF($A461="","",SUMIFS(Purchases!$E$5:INDEX(Purchases!$E$5:$E$3004,TxRows),Purchases!$D$5:INDEX(Purchases!$D$5:$D$3004,TxRows),$A461))</f>
        <v/>
      </c>
      <c r="M461" s="64" t="str">
        <f aca="false">IF($A461="","",SUMIFS(Sales!$E$5:INDEX(Sales!$E$5:$E$3004,TxRows),Sales!$D$5:INDEX(Sales!$D$5:$D$3004,TxRows),$A461))</f>
        <v/>
      </c>
      <c r="N461" s="64" t="str">
        <f aca="false">IF($A461="","",SUMIFS(Adjustments!$C$5:$C$504,Adjustments!$B$5:$B$504,$A461))</f>
        <v/>
      </c>
      <c r="O461" s="64" t="str">
        <f aca="false">IF($A461="","",N($J461)+L461-M461+N461)</f>
        <v/>
      </c>
      <c r="P461" s="61" t="str">
        <f aca="false">IF($A461="","",IFERROR((N($J461)*N($K461)+SUMIFS(Purchases!$K$5:INDEX(Purchases!$K$5:$K$3004,TxRows),Purchases!$D$5:INDEX(Purchases!$D$5:$D$3004,TxRows),$A461))/(N($J461)+L461),N($G461)))</f>
        <v/>
      </c>
      <c r="Q461" s="61" t="str">
        <f aca="false">IF($A461="","",MAX(0,O461)*P461)</f>
        <v/>
      </c>
      <c r="R461" s="60" t="str">
        <f aca="false">IF($A461="","",IF(O461&lt;0,"NEGATIVE",IF(O461=0,"OUT OF STOCK",IF(O461&lt;=N($I461),"REORDER",IF(AND(O461&gt;0,X461&gt;DeadDays),"DEAD STOCK","OK")))))</f>
        <v/>
      </c>
      <c r="S461" s="65" t="str">
        <f aca="false">IF($A461="","",IF(N($H461)=0,0,(N($H461)-P461)/N($H461)))</f>
        <v/>
      </c>
      <c r="T461" s="64" t="str">
        <f aca="false">IF($A461="","",IF(O461&lt;=N($I461),MAX(0,2*N($I461)-O461),0))</f>
        <v/>
      </c>
      <c r="U461" s="61" t="str">
        <f aca="false">IF($A461="","",SUMIFS(Sales!$L$5:INDEX(Sales!$L$5:$L$3004,TxRows),Sales!$D$5:INDEX(Sales!$D$5:$D$3004,TxRows),$A461))</f>
        <v/>
      </c>
      <c r="V461" s="61" t="str">
        <f aca="false">IF($A461="","",SUMIFS(Sales!$S$5:INDEX(Sales!$S$5:$S$3004,TxRows),Sales!$D$5:INDEX(Sales!$D$5:$D$3004,TxRows),$A461))</f>
        <v/>
      </c>
      <c r="W461" s="66" t="str">
        <f aca="false">IF($A461="","",IFERROR(SUMPRODUCT(MAX((Sales!$D$5:INDEX(Sales!$D$5:$D$3004,TxRows)=$A461)*Sales!$A$5:INDEX(Sales!$A$5:$A$3004,TxRows))),0))</f>
        <v/>
      </c>
      <c r="X461" s="67" t="str">
        <f aca="false">IF($A461="","",IF(W461=0,AsOf-FYStart,AsOf-W461))</f>
        <v/>
      </c>
      <c r="Y461" s="67" t="str">
        <f aca="false">IF($A461="","",IF(M461=0,"",O461/(M461/MAX(1,AsOf-FYStart))))</f>
        <v/>
      </c>
      <c r="Z461" s="60" t="str">
        <f aca="false">IF($A461="","",U461+ROW()/1000000)</f>
        <v/>
      </c>
    </row>
    <row r="462" customFormat="false" ht="15" hidden="false" customHeight="false" outlineLevel="0" collapsed="false">
      <c r="A462" s="56"/>
      <c r="B462" s="56"/>
      <c r="C462" s="56"/>
      <c r="D462" s="56"/>
      <c r="E462" s="56"/>
      <c r="F462" s="63"/>
      <c r="G462" s="58"/>
      <c r="H462" s="58"/>
      <c r="I462" s="57"/>
      <c r="J462" s="57"/>
      <c r="K462" s="58"/>
      <c r="L462" s="64" t="str">
        <f aca="false">IF($A462="","",SUMIFS(Purchases!$E$5:INDEX(Purchases!$E$5:$E$3004,TxRows),Purchases!$D$5:INDEX(Purchases!$D$5:$D$3004,TxRows),$A462))</f>
        <v/>
      </c>
      <c r="M462" s="64" t="str">
        <f aca="false">IF($A462="","",SUMIFS(Sales!$E$5:INDEX(Sales!$E$5:$E$3004,TxRows),Sales!$D$5:INDEX(Sales!$D$5:$D$3004,TxRows),$A462))</f>
        <v/>
      </c>
      <c r="N462" s="64" t="str">
        <f aca="false">IF($A462="","",SUMIFS(Adjustments!$C$5:$C$504,Adjustments!$B$5:$B$504,$A462))</f>
        <v/>
      </c>
      <c r="O462" s="64" t="str">
        <f aca="false">IF($A462="","",N($J462)+L462-M462+N462)</f>
        <v/>
      </c>
      <c r="P462" s="61" t="str">
        <f aca="false">IF($A462="","",IFERROR((N($J462)*N($K462)+SUMIFS(Purchases!$K$5:INDEX(Purchases!$K$5:$K$3004,TxRows),Purchases!$D$5:INDEX(Purchases!$D$5:$D$3004,TxRows),$A462))/(N($J462)+L462),N($G462)))</f>
        <v/>
      </c>
      <c r="Q462" s="61" t="str">
        <f aca="false">IF($A462="","",MAX(0,O462)*P462)</f>
        <v/>
      </c>
      <c r="R462" s="60" t="str">
        <f aca="false">IF($A462="","",IF(O462&lt;0,"NEGATIVE",IF(O462=0,"OUT OF STOCK",IF(O462&lt;=N($I462),"REORDER",IF(AND(O462&gt;0,X462&gt;DeadDays),"DEAD STOCK","OK")))))</f>
        <v/>
      </c>
      <c r="S462" s="65" t="str">
        <f aca="false">IF($A462="","",IF(N($H462)=0,0,(N($H462)-P462)/N($H462)))</f>
        <v/>
      </c>
      <c r="T462" s="64" t="str">
        <f aca="false">IF($A462="","",IF(O462&lt;=N($I462),MAX(0,2*N($I462)-O462),0))</f>
        <v/>
      </c>
      <c r="U462" s="61" t="str">
        <f aca="false">IF($A462="","",SUMIFS(Sales!$L$5:INDEX(Sales!$L$5:$L$3004,TxRows),Sales!$D$5:INDEX(Sales!$D$5:$D$3004,TxRows),$A462))</f>
        <v/>
      </c>
      <c r="V462" s="61" t="str">
        <f aca="false">IF($A462="","",SUMIFS(Sales!$S$5:INDEX(Sales!$S$5:$S$3004,TxRows),Sales!$D$5:INDEX(Sales!$D$5:$D$3004,TxRows),$A462))</f>
        <v/>
      </c>
      <c r="W462" s="66" t="str">
        <f aca="false">IF($A462="","",IFERROR(SUMPRODUCT(MAX((Sales!$D$5:INDEX(Sales!$D$5:$D$3004,TxRows)=$A462)*Sales!$A$5:INDEX(Sales!$A$5:$A$3004,TxRows))),0))</f>
        <v/>
      </c>
      <c r="X462" s="67" t="str">
        <f aca="false">IF($A462="","",IF(W462=0,AsOf-FYStart,AsOf-W462))</f>
        <v/>
      </c>
      <c r="Y462" s="67" t="str">
        <f aca="false">IF($A462="","",IF(M462=0,"",O462/(M462/MAX(1,AsOf-FYStart))))</f>
        <v/>
      </c>
      <c r="Z462" s="60" t="str">
        <f aca="false">IF($A462="","",U462+ROW()/1000000)</f>
        <v/>
      </c>
    </row>
    <row r="463" customFormat="false" ht="15" hidden="false" customHeight="false" outlineLevel="0" collapsed="false">
      <c r="A463" s="56"/>
      <c r="B463" s="56"/>
      <c r="C463" s="56"/>
      <c r="D463" s="56"/>
      <c r="E463" s="56"/>
      <c r="F463" s="63"/>
      <c r="G463" s="58"/>
      <c r="H463" s="58"/>
      <c r="I463" s="57"/>
      <c r="J463" s="57"/>
      <c r="K463" s="58"/>
      <c r="L463" s="64" t="str">
        <f aca="false">IF($A463="","",SUMIFS(Purchases!$E$5:INDEX(Purchases!$E$5:$E$3004,TxRows),Purchases!$D$5:INDEX(Purchases!$D$5:$D$3004,TxRows),$A463))</f>
        <v/>
      </c>
      <c r="M463" s="64" t="str">
        <f aca="false">IF($A463="","",SUMIFS(Sales!$E$5:INDEX(Sales!$E$5:$E$3004,TxRows),Sales!$D$5:INDEX(Sales!$D$5:$D$3004,TxRows),$A463))</f>
        <v/>
      </c>
      <c r="N463" s="64" t="str">
        <f aca="false">IF($A463="","",SUMIFS(Adjustments!$C$5:$C$504,Adjustments!$B$5:$B$504,$A463))</f>
        <v/>
      </c>
      <c r="O463" s="64" t="str">
        <f aca="false">IF($A463="","",N($J463)+L463-M463+N463)</f>
        <v/>
      </c>
      <c r="P463" s="61" t="str">
        <f aca="false">IF($A463="","",IFERROR((N($J463)*N($K463)+SUMIFS(Purchases!$K$5:INDEX(Purchases!$K$5:$K$3004,TxRows),Purchases!$D$5:INDEX(Purchases!$D$5:$D$3004,TxRows),$A463))/(N($J463)+L463),N($G463)))</f>
        <v/>
      </c>
      <c r="Q463" s="61" t="str">
        <f aca="false">IF($A463="","",MAX(0,O463)*P463)</f>
        <v/>
      </c>
      <c r="R463" s="60" t="str">
        <f aca="false">IF($A463="","",IF(O463&lt;0,"NEGATIVE",IF(O463=0,"OUT OF STOCK",IF(O463&lt;=N($I463),"REORDER",IF(AND(O463&gt;0,X463&gt;DeadDays),"DEAD STOCK","OK")))))</f>
        <v/>
      </c>
      <c r="S463" s="65" t="str">
        <f aca="false">IF($A463="","",IF(N($H463)=0,0,(N($H463)-P463)/N($H463)))</f>
        <v/>
      </c>
      <c r="T463" s="64" t="str">
        <f aca="false">IF($A463="","",IF(O463&lt;=N($I463),MAX(0,2*N($I463)-O463),0))</f>
        <v/>
      </c>
      <c r="U463" s="61" t="str">
        <f aca="false">IF($A463="","",SUMIFS(Sales!$L$5:INDEX(Sales!$L$5:$L$3004,TxRows),Sales!$D$5:INDEX(Sales!$D$5:$D$3004,TxRows),$A463))</f>
        <v/>
      </c>
      <c r="V463" s="61" t="str">
        <f aca="false">IF($A463="","",SUMIFS(Sales!$S$5:INDEX(Sales!$S$5:$S$3004,TxRows),Sales!$D$5:INDEX(Sales!$D$5:$D$3004,TxRows),$A463))</f>
        <v/>
      </c>
      <c r="W463" s="66" t="str">
        <f aca="false">IF($A463="","",IFERROR(SUMPRODUCT(MAX((Sales!$D$5:INDEX(Sales!$D$5:$D$3004,TxRows)=$A463)*Sales!$A$5:INDEX(Sales!$A$5:$A$3004,TxRows))),0))</f>
        <v/>
      </c>
      <c r="X463" s="67" t="str">
        <f aca="false">IF($A463="","",IF(W463=0,AsOf-FYStart,AsOf-W463))</f>
        <v/>
      </c>
      <c r="Y463" s="67" t="str">
        <f aca="false">IF($A463="","",IF(M463=0,"",O463/(M463/MAX(1,AsOf-FYStart))))</f>
        <v/>
      </c>
      <c r="Z463" s="60" t="str">
        <f aca="false">IF($A463="","",U463+ROW()/1000000)</f>
        <v/>
      </c>
    </row>
    <row r="464" customFormat="false" ht="15" hidden="false" customHeight="false" outlineLevel="0" collapsed="false">
      <c r="A464" s="56"/>
      <c r="B464" s="56"/>
      <c r="C464" s="56"/>
      <c r="D464" s="56"/>
      <c r="E464" s="56"/>
      <c r="F464" s="63"/>
      <c r="G464" s="58"/>
      <c r="H464" s="58"/>
      <c r="I464" s="57"/>
      <c r="J464" s="57"/>
      <c r="K464" s="58"/>
      <c r="L464" s="64" t="str">
        <f aca="false">IF($A464="","",SUMIFS(Purchases!$E$5:INDEX(Purchases!$E$5:$E$3004,TxRows),Purchases!$D$5:INDEX(Purchases!$D$5:$D$3004,TxRows),$A464))</f>
        <v/>
      </c>
      <c r="M464" s="64" t="str">
        <f aca="false">IF($A464="","",SUMIFS(Sales!$E$5:INDEX(Sales!$E$5:$E$3004,TxRows),Sales!$D$5:INDEX(Sales!$D$5:$D$3004,TxRows),$A464))</f>
        <v/>
      </c>
      <c r="N464" s="64" t="str">
        <f aca="false">IF($A464="","",SUMIFS(Adjustments!$C$5:$C$504,Adjustments!$B$5:$B$504,$A464))</f>
        <v/>
      </c>
      <c r="O464" s="64" t="str">
        <f aca="false">IF($A464="","",N($J464)+L464-M464+N464)</f>
        <v/>
      </c>
      <c r="P464" s="61" t="str">
        <f aca="false">IF($A464="","",IFERROR((N($J464)*N($K464)+SUMIFS(Purchases!$K$5:INDEX(Purchases!$K$5:$K$3004,TxRows),Purchases!$D$5:INDEX(Purchases!$D$5:$D$3004,TxRows),$A464))/(N($J464)+L464),N($G464)))</f>
        <v/>
      </c>
      <c r="Q464" s="61" t="str">
        <f aca="false">IF($A464="","",MAX(0,O464)*P464)</f>
        <v/>
      </c>
      <c r="R464" s="60" t="str">
        <f aca="false">IF($A464="","",IF(O464&lt;0,"NEGATIVE",IF(O464=0,"OUT OF STOCK",IF(O464&lt;=N($I464),"REORDER",IF(AND(O464&gt;0,X464&gt;DeadDays),"DEAD STOCK","OK")))))</f>
        <v/>
      </c>
      <c r="S464" s="65" t="str">
        <f aca="false">IF($A464="","",IF(N($H464)=0,0,(N($H464)-P464)/N($H464)))</f>
        <v/>
      </c>
      <c r="T464" s="64" t="str">
        <f aca="false">IF($A464="","",IF(O464&lt;=N($I464),MAX(0,2*N($I464)-O464),0))</f>
        <v/>
      </c>
      <c r="U464" s="61" t="str">
        <f aca="false">IF($A464="","",SUMIFS(Sales!$L$5:INDEX(Sales!$L$5:$L$3004,TxRows),Sales!$D$5:INDEX(Sales!$D$5:$D$3004,TxRows),$A464))</f>
        <v/>
      </c>
      <c r="V464" s="61" t="str">
        <f aca="false">IF($A464="","",SUMIFS(Sales!$S$5:INDEX(Sales!$S$5:$S$3004,TxRows),Sales!$D$5:INDEX(Sales!$D$5:$D$3004,TxRows),$A464))</f>
        <v/>
      </c>
      <c r="W464" s="66" t="str">
        <f aca="false">IF($A464="","",IFERROR(SUMPRODUCT(MAX((Sales!$D$5:INDEX(Sales!$D$5:$D$3004,TxRows)=$A464)*Sales!$A$5:INDEX(Sales!$A$5:$A$3004,TxRows))),0))</f>
        <v/>
      </c>
      <c r="X464" s="67" t="str">
        <f aca="false">IF($A464="","",IF(W464=0,AsOf-FYStart,AsOf-W464))</f>
        <v/>
      </c>
      <c r="Y464" s="67" t="str">
        <f aca="false">IF($A464="","",IF(M464=0,"",O464/(M464/MAX(1,AsOf-FYStart))))</f>
        <v/>
      </c>
      <c r="Z464" s="60" t="str">
        <f aca="false">IF($A464="","",U464+ROW()/1000000)</f>
        <v/>
      </c>
    </row>
    <row r="465" customFormat="false" ht="15" hidden="false" customHeight="false" outlineLevel="0" collapsed="false">
      <c r="A465" s="56"/>
      <c r="B465" s="56"/>
      <c r="C465" s="56"/>
      <c r="D465" s="56"/>
      <c r="E465" s="56"/>
      <c r="F465" s="63"/>
      <c r="G465" s="58"/>
      <c r="H465" s="58"/>
      <c r="I465" s="57"/>
      <c r="J465" s="57"/>
      <c r="K465" s="58"/>
      <c r="L465" s="64" t="str">
        <f aca="false">IF($A465="","",SUMIFS(Purchases!$E$5:INDEX(Purchases!$E$5:$E$3004,TxRows),Purchases!$D$5:INDEX(Purchases!$D$5:$D$3004,TxRows),$A465))</f>
        <v/>
      </c>
      <c r="M465" s="64" t="str">
        <f aca="false">IF($A465="","",SUMIFS(Sales!$E$5:INDEX(Sales!$E$5:$E$3004,TxRows),Sales!$D$5:INDEX(Sales!$D$5:$D$3004,TxRows),$A465))</f>
        <v/>
      </c>
      <c r="N465" s="64" t="str">
        <f aca="false">IF($A465="","",SUMIFS(Adjustments!$C$5:$C$504,Adjustments!$B$5:$B$504,$A465))</f>
        <v/>
      </c>
      <c r="O465" s="64" t="str">
        <f aca="false">IF($A465="","",N($J465)+L465-M465+N465)</f>
        <v/>
      </c>
      <c r="P465" s="61" t="str">
        <f aca="false">IF($A465="","",IFERROR((N($J465)*N($K465)+SUMIFS(Purchases!$K$5:INDEX(Purchases!$K$5:$K$3004,TxRows),Purchases!$D$5:INDEX(Purchases!$D$5:$D$3004,TxRows),$A465))/(N($J465)+L465),N($G465)))</f>
        <v/>
      </c>
      <c r="Q465" s="61" t="str">
        <f aca="false">IF($A465="","",MAX(0,O465)*P465)</f>
        <v/>
      </c>
      <c r="R465" s="60" t="str">
        <f aca="false">IF($A465="","",IF(O465&lt;0,"NEGATIVE",IF(O465=0,"OUT OF STOCK",IF(O465&lt;=N($I465),"REORDER",IF(AND(O465&gt;0,X465&gt;DeadDays),"DEAD STOCK","OK")))))</f>
        <v/>
      </c>
      <c r="S465" s="65" t="str">
        <f aca="false">IF($A465="","",IF(N($H465)=0,0,(N($H465)-P465)/N($H465)))</f>
        <v/>
      </c>
      <c r="T465" s="64" t="str">
        <f aca="false">IF($A465="","",IF(O465&lt;=N($I465),MAX(0,2*N($I465)-O465),0))</f>
        <v/>
      </c>
      <c r="U465" s="61" t="str">
        <f aca="false">IF($A465="","",SUMIFS(Sales!$L$5:INDEX(Sales!$L$5:$L$3004,TxRows),Sales!$D$5:INDEX(Sales!$D$5:$D$3004,TxRows),$A465))</f>
        <v/>
      </c>
      <c r="V465" s="61" t="str">
        <f aca="false">IF($A465="","",SUMIFS(Sales!$S$5:INDEX(Sales!$S$5:$S$3004,TxRows),Sales!$D$5:INDEX(Sales!$D$5:$D$3004,TxRows),$A465))</f>
        <v/>
      </c>
      <c r="W465" s="66" t="str">
        <f aca="false">IF($A465="","",IFERROR(SUMPRODUCT(MAX((Sales!$D$5:INDEX(Sales!$D$5:$D$3004,TxRows)=$A465)*Sales!$A$5:INDEX(Sales!$A$5:$A$3004,TxRows))),0))</f>
        <v/>
      </c>
      <c r="X465" s="67" t="str">
        <f aca="false">IF($A465="","",IF(W465=0,AsOf-FYStart,AsOf-W465))</f>
        <v/>
      </c>
      <c r="Y465" s="67" t="str">
        <f aca="false">IF($A465="","",IF(M465=0,"",O465/(M465/MAX(1,AsOf-FYStart))))</f>
        <v/>
      </c>
      <c r="Z465" s="60" t="str">
        <f aca="false">IF($A465="","",U465+ROW()/1000000)</f>
        <v/>
      </c>
    </row>
    <row r="466" customFormat="false" ht="15" hidden="false" customHeight="false" outlineLevel="0" collapsed="false">
      <c r="A466" s="56"/>
      <c r="B466" s="56"/>
      <c r="C466" s="56"/>
      <c r="D466" s="56"/>
      <c r="E466" s="56"/>
      <c r="F466" s="63"/>
      <c r="G466" s="58"/>
      <c r="H466" s="58"/>
      <c r="I466" s="57"/>
      <c r="J466" s="57"/>
      <c r="K466" s="58"/>
      <c r="L466" s="64" t="str">
        <f aca="false">IF($A466="","",SUMIFS(Purchases!$E$5:INDEX(Purchases!$E$5:$E$3004,TxRows),Purchases!$D$5:INDEX(Purchases!$D$5:$D$3004,TxRows),$A466))</f>
        <v/>
      </c>
      <c r="M466" s="64" t="str">
        <f aca="false">IF($A466="","",SUMIFS(Sales!$E$5:INDEX(Sales!$E$5:$E$3004,TxRows),Sales!$D$5:INDEX(Sales!$D$5:$D$3004,TxRows),$A466))</f>
        <v/>
      </c>
      <c r="N466" s="64" t="str">
        <f aca="false">IF($A466="","",SUMIFS(Adjustments!$C$5:$C$504,Adjustments!$B$5:$B$504,$A466))</f>
        <v/>
      </c>
      <c r="O466" s="64" t="str">
        <f aca="false">IF($A466="","",N($J466)+L466-M466+N466)</f>
        <v/>
      </c>
      <c r="P466" s="61" t="str">
        <f aca="false">IF($A466="","",IFERROR((N($J466)*N($K466)+SUMIFS(Purchases!$K$5:INDEX(Purchases!$K$5:$K$3004,TxRows),Purchases!$D$5:INDEX(Purchases!$D$5:$D$3004,TxRows),$A466))/(N($J466)+L466),N($G466)))</f>
        <v/>
      </c>
      <c r="Q466" s="61" t="str">
        <f aca="false">IF($A466="","",MAX(0,O466)*P466)</f>
        <v/>
      </c>
      <c r="R466" s="60" t="str">
        <f aca="false">IF($A466="","",IF(O466&lt;0,"NEGATIVE",IF(O466=0,"OUT OF STOCK",IF(O466&lt;=N($I466),"REORDER",IF(AND(O466&gt;0,X466&gt;DeadDays),"DEAD STOCK","OK")))))</f>
        <v/>
      </c>
      <c r="S466" s="65" t="str">
        <f aca="false">IF($A466="","",IF(N($H466)=0,0,(N($H466)-P466)/N($H466)))</f>
        <v/>
      </c>
      <c r="T466" s="64" t="str">
        <f aca="false">IF($A466="","",IF(O466&lt;=N($I466),MAX(0,2*N($I466)-O466),0))</f>
        <v/>
      </c>
      <c r="U466" s="61" t="str">
        <f aca="false">IF($A466="","",SUMIFS(Sales!$L$5:INDEX(Sales!$L$5:$L$3004,TxRows),Sales!$D$5:INDEX(Sales!$D$5:$D$3004,TxRows),$A466))</f>
        <v/>
      </c>
      <c r="V466" s="61" t="str">
        <f aca="false">IF($A466="","",SUMIFS(Sales!$S$5:INDEX(Sales!$S$5:$S$3004,TxRows),Sales!$D$5:INDEX(Sales!$D$5:$D$3004,TxRows),$A466))</f>
        <v/>
      </c>
      <c r="W466" s="66" t="str">
        <f aca="false">IF($A466="","",IFERROR(SUMPRODUCT(MAX((Sales!$D$5:INDEX(Sales!$D$5:$D$3004,TxRows)=$A466)*Sales!$A$5:INDEX(Sales!$A$5:$A$3004,TxRows))),0))</f>
        <v/>
      </c>
      <c r="X466" s="67" t="str">
        <f aca="false">IF($A466="","",IF(W466=0,AsOf-FYStart,AsOf-W466))</f>
        <v/>
      </c>
      <c r="Y466" s="67" t="str">
        <f aca="false">IF($A466="","",IF(M466=0,"",O466/(M466/MAX(1,AsOf-FYStart))))</f>
        <v/>
      </c>
      <c r="Z466" s="60" t="str">
        <f aca="false">IF($A466="","",U466+ROW()/1000000)</f>
        <v/>
      </c>
    </row>
    <row r="467" customFormat="false" ht="15" hidden="false" customHeight="false" outlineLevel="0" collapsed="false">
      <c r="A467" s="56"/>
      <c r="B467" s="56"/>
      <c r="C467" s="56"/>
      <c r="D467" s="56"/>
      <c r="E467" s="56"/>
      <c r="F467" s="63"/>
      <c r="G467" s="58"/>
      <c r="H467" s="58"/>
      <c r="I467" s="57"/>
      <c r="J467" s="57"/>
      <c r="K467" s="58"/>
      <c r="L467" s="64" t="str">
        <f aca="false">IF($A467="","",SUMIFS(Purchases!$E$5:INDEX(Purchases!$E$5:$E$3004,TxRows),Purchases!$D$5:INDEX(Purchases!$D$5:$D$3004,TxRows),$A467))</f>
        <v/>
      </c>
      <c r="M467" s="64" t="str">
        <f aca="false">IF($A467="","",SUMIFS(Sales!$E$5:INDEX(Sales!$E$5:$E$3004,TxRows),Sales!$D$5:INDEX(Sales!$D$5:$D$3004,TxRows),$A467))</f>
        <v/>
      </c>
      <c r="N467" s="64" t="str">
        <f aca="false">IF($A467="","",SUMIFS(Adjustments!$C$5:$C$504,Adjustments!$B$5:$B$504,$A467))</f>
        <v/>
      </c>
      <c r="O467" s="64" t="str">
        <f aca="false">IF($A467="","",N($J467)+L467-M467+N467)</f>
        <v/>
      </c>
      <c r="P467" s="61" t="str">
        <f aca="false">IF($A467="","",IFERROR((N($J467)*N($K467)+SUMIFS(Purchases!$K$5:INDEX(Purchases!$K$5:$K$3004,TxRows),Purchases!$D$5:INDEX(Purchases!$D$5:$D$3004,TxRows),$A467))/(N($J467)+L467),N($G467)))</f>
        <v/>
      </c>
      <c r="Q467" s="61" t="str">
        <f aca="false">IF($A467="","",MAX(0,O467)*P467)</f>
        <v/>
      </c>
      <c r="R467" s="60" t="str">
        <f aca="false">IF($A467="","",IF(O467&lt;0,"NEGATIVE",IF(O467=0,"OUT OF STOCK",IF(O467&lt;=N($I467),"REORDER",IF(AND(O467&gt;0,X467&gt;DeadDays),"DEAD STOCK","OK")))))</f>
        <v/>
      </c>
      <c r="S467" s="65" t="str">
        <f aca="false">IF($A467="","",IF(N($H467)=0,0,(N($H467)-P467)/N($H467)))</f>
        <v/>
      </c>
      <c r="T467" s="64" t="str">
        <f aca="false">IF($A467="","",IF(O467&lt;=N($I467),MAX(0,2*N($I467)-O467),0))</f>
        <v/>
      </c>
      <c r="U467" s="61" t="str">
        <f aca="false">IF($A467="","",SUMIFS(Sales!$L$5:INDEX(Sales!$L$5:$L$3004,TxRows),Sales!$D$5:INDEX(Sales!$D$5:$D$3004,TxRows),$A467))</f>
        <v/>
      </c>
      <c r="V467" s="61" t="str">
        <f aca="false">IF($A467="","",SUMIFS(Sales!$S$5:INDEX(Sales!$S$5:$S$3004,TxRows),Sales!$D$5:INDEX(Sales!$D$5:$D$3004,TxRows),$A467))</f>
        <v/>
      </c>
      <c r="W467" s="66" t="str">
        <f aca="false">IF($A467="","",IFERROR(SUMPRODUCT(MAX((Sales!$D$5:INDEX(Sales!$D$5:$D$3004,TxRows)=$A467)*Sales!$A$5:INDEX(Sales!$A$5:$A$3004,TxRows))),0))</f>
        <v/>
      </c>
      <c r="X467" s="67" t="str">
        <f aca="false">IF($A467="","",IF(W467=0,AsOf-FYStart,AsOf-W467))</f>
        <v/>
      </c>
      <c r="Y467" s="67" t="str">
        <f aca="false">IF($A467="","",IF(M467=0,"",O467/(M467/MAX(1,AsOf-FYStart))))</f>
        <v/>
      </c>
      <c r="Z467" s="60" t="str">
        <f aca="false">IF($A467="","",U467+ROW()/1000000)</f>
        <v/>
      </c>
    </row>
    <row r="468" customFormat="false" ht="15" hidden="false" customHeight="false" outlineLevel="0" collapsed="false">
      <c r="A468" s="56"/>
      <c r="B468" s="56"/>
      <c r="C468" s="56"/>
      <c r="D468" s="56"/>
      <c r="E468" s="56"/>
      <c r="F468" s="63"/>
      <c r="G468" s="58"/>
      <c r="H468" s="58"/>
      <c r="I468" s="57"/>
      <c r="J468" s="57"/>
      <c r="K468" s="58"/>
      <c r="L468" s="64" t="str">
        <f aca="false">IF($A468="","",SUMIFS(Purchases!$E$5:INDEX(Purchases!$E$5:$E$3004,TxRows),Purchases!$D$5:INDEX(Purchases!$D$5:$D$3004,TxRows),$A468))</f>
        <v/>
      </c>
      <c r="M468" s="64" t="str">
        <f aca="false">IF($A468="","",SUMIFS(Sales!$E$5:INDEX(Sales!$E$5:$E$3004,TxRows),Sales!$D$5:INDEX(Sales!$D$5:$D$3004,TxRows),$A468))</f>
        <v/>
      </c>
      <c r="N468" s="64" t="str">
        <f aca="false">IF($A468="","",SUMIFS(Adjustments!$C$5:$C$504,Adjustments!$B$5:$B$504,$A468))</f>
        <v/>
      </c>
      <c r="O468" s="64" t="str">
        <f aca="false">IF($A468="","",N($J468)+L468-M468+N468)</f>
        <v/>
      </c>
      <c r="P468" s="61" t="str">
        <f aca="false">IF($A468="","",IFERROR((N($J468)*N($K468)+SUMIFS(Purchases!$K$5:INDEX(Purchases!$K$5:$K$3004,TxRows),Purchases!$D$5:INDEX(Purchases!$D$5:$D$3004,TxRows),$A468))/(N($J468)+L468),N($G468)))</f>
        <v/>
      </c>
      <c r="Q468" s="61" t="str">
        <f aca="false">IF($A468="","",MAX(0,O468)*P468)</f>
        <v/>
      </c>
      <c r="R468" s="60" t="str">
        <f aca="false">IF($A468="","",IF(O468&lt;0,"NEGATIVE",IF(O468=0,"OUT OF STOCK",IF(O468&lt;=N($I468),"REORDER",IF(AND(O468&gt;0,X468&gt;DeadDays),"DEAD STOCK","OK")))))</f>
        <v/>
      </c>
      <c r="S468" s="65" t="str">
        <f aca="false">IF($A468="","",IF(N($H468)=0,0,(N($H468)-P468)/N($H468)))</f>
        <v/>
      </c>
      <c r="T468" s="64" t="str">
        <f aca="false">IF($A468="","",IF(O468&lt;=N($I468),MAX(0,2*N($I468)-O468),0))</f>
        <v/>
      </c>
      <c r="U468" s="61" t="str">
        <f aca="false">IF($A468="","",SUMIFS(Sales!$L$5:INDEX(Sales!$L$5:$L$3004,TxRows),Sales!$D$5:INDEX(Sales!$D$5:$D$3004,TxRows),$A468))</f>
        <v/>
      </c>
      <c r="V468" s="61" t="str">
        <f aca="false">IF($A468="","",SUMIFS(Sales!$S$5:INDEX(Sales!$S$5:$S$3004,TxRows),Sales!$D$5:INDEX(Sales!$D$5:$D$3004,TxRows),$A468))</f>
        <v/>
      </c>
      <c r="W468" s="66" t="str">
        <f aca="false">IF($A468="","",IFERROR(SUMPRODUCT(MAX((Sales!$D$5:INDEX(Sales!$D$5:$D$3004,TxRows)=$A468)*Sales!$A$5:INDEX(Sales!$A$5:$A$3004,TxRows))),0))</f>
        <v/>
      </c>
      <c r="X468" s="67" t="str">
        <f aca="false">IF($A468="","",IF(W468=0,AsOf-FYStart,AsOf-W468))</f>
        <v/>
      </c>
      <c r="Y468" s="67" t="str">
        <f aca="false">IF($A468="","",IF(M468=0,"",O468/(M468/MAX(1,AsOf-FYStart))))</f>
        <v/>
      </c>
      <c r="Z468" s="60" t="str">
        <f aca="false">IF($A468="","",U468+ROW()/1000000)</f>
        <v/>
      </c>
    </row>
    <row r="469" customFormat="false" ht="15" hidden="false" customHeight="false" outlineLevel="0" collapsed="false">
      <c r="A469" s="56"/>
      <c r="B469" s="56"/>
      <c r="C469" s="56"/>
      <c r="D469" s="56"/>
      <c r="E469" s="56"/>
      <c r="F469" s="63"/>
      <c r="G469" s="58"/>
      <c r="H469" s="58"/>
      <c r="I469" s="57"/>
      <c r="J469" s="57"/>
      <c r="K469" s="58"/>
      <c r="L469" s="64" t="str">
        <f aca="false">IF($A469="","",SUMIFS(Purchases!$E$5:INDEX(Purchases!$E$5:$E$3004,TxRows),Purchases!$D$5:INDEX(Purchases!$D$5:$D$3004,TxRows),$A469))</f>
        <v/>
      </c>
      <c r="M469" s="64" t="str">
        <f aca="false">IF($A469="","",SUMIFS(Sales!$E$5:INDEX(Sales!$E$5:$E$3004,TxRows),Sales!$D$5:INDEX(Sales!$D$5:$D$3004,TxRows),$A469))</f>
        <v/>
      </c>
      <c r="N469" s="64" t="str">
        <f aca="false">IF($A469="","",SUMIFS(Adjustments!$C$5:$C$504,Adjustments!$B$5:$B$504,$A469))</f>
        <v/>
      </c>
      <c r="O469" s="64" t="str">
        <f aca="false">IF($A469="","",N($J469)+L469-M469+N469)</f>
        <v/>
      </c>
      <c r="P469" s="61" t="str">
        <f aca="false">IF($A469="","",IFERROR((N($J469)*N($K469)+SUMIFS(Purchases!$K$5:INDEX(Purchases!$K$5:$K$3004,TxRows),Purchases!$D$5:INDEX(Purchases!$D$5:$D$3004,TxRows),$A469))/(N($J469)+L469),N($G469)))</f>
        <v/>
      </c>
      <c r="Q469" s="61" t="str">
        <f aca="false">IF($A469="","",MAX(0,O469)*P469)</f>
        <v/>
      </c>
      <c r="R469" s="60" t="str">
        <f aca="false">IF($A469="","",IF(O469&lt;0,"NEGATIVE",IF(O469=0,"OUT OF STOCK",IF(O469&lt;=N($I469),"REORDER",IF(AND(O469&gt;0,X469&gt;DeadDays),"DEAD STOCK","OK")))))</f>
        <v/>
      </c>
      <c r="S469" s="65" t="str">
        <f aca="false">IF($A469="","",IF(N($H469)=0,0,(N($H469)-P469)/N($H469)))</f>
        <v/>
      </c>
      <c r="T469" s="64" t="str">
        <f aca="false">IF($A469="","",IF(O469&lt;=N($I469),MAX(0,2*N($I469)-O469),0))</f>
        <v/>
      </c>
      <c r="U469" s="61" t="str">
        <f aca="false">IF($A469="","",SUMIFS(Sales!$L$5:INDEX(Sales!$L$5:$L$3004,TxRows),Sales!$D$5:INDEX(Sales!$D$5:$D$3004,TxRows),$A469))</f>
        <v/>
      </c>
      <c r="V469" s="61" t="str">
        <f aca="false">IF($A469="","",SUMIFS(Sales!$S$5:INDEX(Sales!$S$5:$S$3004,TxRows),Sales!$D$5:INDEX(Sales!$D$5:$D$3004,TxRows),$A469))</f>
        <v/>
      </c>
      <c r="W469" s="66" t="str">
        <f aca="false">IF($A469="","",IFERROR(SUMPRODUCT(MAX((Sales!$D$5:INDEX(Sales!$D$5:$D$3004,TxRows)=$A469)*Sales!$A$5:INDEX(Sales!$A$5:$A$3004,TxRows))),0))</f>
        <v/>
      </c>
      <c r="X469" s="67" t="str">
        <f aca="false">IF($A469="","",IF(W469=0,AsOf-FYStart,AsOf-W469))</f>
        <v/>
      </c>
      <c r="Y469" s="67" t="str">
        <f aca="false">IF($A469="","",IF(M469=0,"",O469/(M469/MAX(1,AsOf-FYStart))))</f>
        <v/>
      </c>
      <c r="Z469" s="60" t="str">
        <f aca="false">IF($A469="","",U469+ROW()/1000000)</f>
        <v/>
      </c>
    </row>
    <row r="470" customFormat="false" ht="15" hidden="false" customHeight="false" outlineLevel="0" collapsed="false">
      <c r="A470" s="56"/>
      <c r="B470" s="56"/>
      <c r="C470" s="56"/>
      <c r="D470" s="56"/>
      <c r="E470" s="56"/>
      <c r="F470" s="63"/>
      <c r="G470" s="58"/>
      <c r="H470" s="58"/>
      <c r="I470" s="57"/>
      <c r="J470" s="57"/>
      <c r="K470" s="58"/>
      <c r="L470" s="64" t="str">
        <f aca="false">IF($A470="","",SUMIFS(Purchases!$E$5:INDEX(Purchases!$E$5:$E$3004,TxRows),Purchases!$D$5:INDEX(Purchases!$D$5:$D$3004,TxRows),$A470))</f>
        <v/>
      </c>
      <c r="M470" s="64" t="str">
        <f aca="false">IF($A470="","",SUMIFS(Sales!$E$5:INDEX(Sales!$E$5:$E$3004,TxRows),Sales!$D$5:INDEX(Sales!$D$5:$D$3004,TxRows),$A470))</f>
        <v/>
      </c>
      <c r="N470" s="64" t="str">
        <f aca="false">IF($A470="","",SUMIFS(Adjustments!$C$5:$C$504,Adjustments!$B$5:$B$504,$A470))</f>
        <v/>
      </c>
      <c r="O470" s="64" t="str">
        <f aca="false">IF($A470="","",N($J470)+L470-M470+N470)</f>
        <v/>
      </c>
      <c r="P470" s="61" t="str">
        <f aca="false">IF($A470="","",IFERROR((N($J470)*N($K470)+SUMIFS(Purchases!$K$5:INDEX(Purchases!$K$5:$K$3004,TxRows),Purchases!$D$5:INDEX(Purchases!$D$5:$D$3004,TxRows),$A470))/(N($J470)+L470),N($G470)))</f>
        <v/>
      </c>
      <c r="Q470" s="61" t="str">
        <f aca="false">IF($A470="","",MAX(0,O470)*P470)</f>
        <v/>
      </c>
      <c r="R470" s="60" t="str">
        <f aca="false">IF($A470="","",IF(O470&lt;0,"NEGATIVE",IF(O470=0,"OUT OF STOCK",IF(O470&lt;=N($I470),"REORDER",IF(AND(O470&gt;0,X470&gt;DeadDays),"DEAD STOCK","OK")))))</f>
        <v/>
      </c>
      <c r="S470" s="65" t="str">
        <f aca="false">IF($A470="","",IF(N($H470)=0,0,(N($H470)-P470)/N($H470)))</f>
        <v/>
      </c>
      <c r="T470" s="64" t="str">
        <f aca="false">IF($A470="","",IF(O470&lt;=N($I470),MAX(0,2*N($I470)-O470),0))</f>
        <v/>
      </c>
      <c r="U470" s="61" t="str">
        <f aca="false">IF($A470="","",SUMIFS(Sales!$L$5:INDEX(Sales!$L$5:$L$3004,TxRows),Sales!$D$5:INDEX(Sales!$D$5:$D$3004,TxRows),$A470))</f>
        <v/>
      </c>
      <c r="V470" s="61" t="str">
        <f aca="false">IF($A470="","",SUMIFS(Sales!$S$5:INDEX(Sales!$S$5:$S$3004,TxRows),Sales!$D$5:INDEX(Sales!$D$5:$D$3004,TxRows),$A470))</f>
        <v/>
      </c>
      <c r="W470" s="66" t="str">
        <f aca="false">IF($A470="","",IFERROR(SUMPRODUCT(MAX((Sales!$D$5:INDEX(Sales!$D$5:$D$3004,TxRows)=$A470)*Sales!$A$5:INDEX(Sales!$A$5:$A$3004,TxRows))),0))</f>
        <v/>
      </c>
      <c r="X470" s="67" t="str">
        <f aca="false">IF($A470="","",IF(W470=0,AsOf-FYStart,AsOf-W470))</f>
        <v/>
      </c>
      <c r="Y470" s="67" t="str">
        <f aca="false">IF($A470="","",IF(M470=0,"",O470/(M470/MAX(1,AsOf-FYStart))))</f>
        <v/>
      </c>
      <c r="Z470" s="60" t="str">
        <f aca="false">IF($A470="","",U470+ROW()/1000000)</f>
        <v/>
      </c>
    </row>
    <row r="471" customFormat="false" ht="15" hidden="false" customHeight="false" outlineLevel="0" collapsed="false">
      <c r="A471" s="56"/>
      <c r="B471" s="56"/>
      <c r="C471" s="56"/>
      <c r="D471" s="56"/>
      <c r="E471" s="56"/>
      <c r="F471" s="63"/>
      <c r="G471" s="58"/>
      <c r="H471" s="58"/>
      <c r="I471" s="57"/>
      <c r="J471" s="57"/>
      <c r="K471" s="58"/>
      <c r="L471" s="64" t="str">
        <f aca="false">IF($A471="","",SUMIFS(Purchases!$E$5:INDEX(Purchases!$E$5:$E$3004,TxRows),Purchases!$D$5:INDEX(Purchases!$D$5:$D$3004,TxRows),$A471))</f>
        <v/>
      </c>
      <c r="M471" s="64" t="str">
        <f aca="false">IF($A471="","",SUMIFS(Sales!$E$5:INDEX(Sales!$E$5:$E$3004,TxRows),Sales!$D$5:INDEX(Sales!$D$5:$D$3004,TxRows),$A471))</f>
        <v/>
      </c>
      <c r="N471" s="64" t="str">
        <f aca="false">IF($A471="","",SUMIFS(Adjustments!$C$5:$C$504,Adjustments!$B$5:$B$504,$A471))</f>
        <v/>
      </c>
      <c r="O471" s="64" t="str">
        <f aca="false">IF($A471="","",N($J471)+L471-M471+N471)</f>
        <v/>
      </c>
      <c r="P471" s="61" t="str">
        <f aca="false">IF($A471="","",IFERROR((N($J471)*N($K471)+SUMIFS(Purchases!$K$5:INDEX(Purchases!$K$5:$K$3004,TxRows),Purchases!$D$5:INDEX(Purchases!$D$5:$D$3004,TxRows),$A471))/(N($J471)+L471),N($G471)))</f>
        <v/>
      </c>
      <c r="Q471" s="61" t="str">
        <f aca="false">IF($A471="","",MAX(0,O471)*P471)</f>
        <v/>
      </c>
      <c r="R471" s="60" t="str">
        <f aca="false">IF($A471="","",IF(O471&lt;0,"NEGATIVE",IF(O471=0,"OUT OF STOCK",IF(O471&lt;=N($I471),"REORDER",IF(AND(O471&gt;0,X471&gt;DeadDays),"DEAD STOCK","OK")))))</f>
        <v/>
      </c>
      <c r="S471" s="65" t="str">
        <f aca="false">IF($A471="","",IF(N($H471)=0,0,(N($H471)-P471)/N($H471)))</f>
        <v/>
      </c>
      <c r="T471" s="64" t="str">
        <f aca="false">IF($A471="","",IF(O471&lt;=N($I471),MAX(0,2*N($I471)-O471),0))</f>
        <v/>
      </c>
      <c r="U471" s="61" t="str">
        <f aca="false">IF($A471="","",SUMIFS(Sales!$L$5:INDEX(Sales!$L$5:$L$3004,TxRows),Sales!$D$5:INDEX(Sales!$D$5:$D$3004,TxRows),$A471))</f>
        <v/>
      </c>
      <c r="V471" s="61" t="str">
        <f aca="false">IF($A471="","",SUMIFS(Sales!$S$5:INDEX(Sales!$S$5:$S$3004,TxRows),Sales!$D$5:INDEX(Sales!$D$5:$D$3004,TxRows),$A471))</f>
        <v/>
      </c>
      <c r="W471" s="66" t="str">
        <f aca="false">IF($A471="","",IFERROR(SUMPRODUCT(MAX((Sales!$D$5:INDEX(Sales!$D$5:$D$3004,TxRows)=$A471)*Sales!$A$5:INDEX(Sales!$A$5:$A$3004,TxRows))),0))</f>
        <v/>
      </c>
      <c r="X471" s="67" t="str">
        <f aca="false">IF($A471="","",IF(W471=0,AsOf-FYStart,AsOf-W471))</f>
        <v/>
      </c>
      <c r="Y471" s="67" t="str">
        <f aca="false">IF($A471="","",IF(M471=0,"",O471/(M471/MAX(1,AsOf-FYStart))))</f>
        <v/>
      </c>
      <c r="Z471" s="60" t="str">
        <f aca="false">IF($A471="","",U471+ROW()/1000000)</f>
        <v/>
      </c>
    </row>
    <row r="472" customFormat="false" ht="15" hidden="false" customHeight="false" outlineLevel="0" collapsed="false">
      <c r="A472" s="56"/>
      <c r="B472" s="56"/>
      <c r="C472" s="56"/>
      <c r="D472" s="56"/>
      <c r="E472" s="56"/>
      <c r="F472" s="63"/>
      <c r="G472" s="58"/>
      <c r="H472" s="58"/>
      <c r="I472" s="57"/>
      <c r="J472" s="57"/>
      <c r="K472" s="58"/>
      <c r="L472" s="64" t="str">
        <f aca="false">IF($A472="","",SUMIFS(Purchases!$E$5:INDEX(Purchases!$E$5:$E$3004,TxRows),Purchases!$D$5:INDEX(Purchases!$D$5:$D$3004,TxRows),$A472))</f>
        <v/>
      </c>
      <c r="M472" s="64" t="str">
        <f aca="false">IF($A472="","",SUMIFS(Sales!$E$5:INDEX(Sales!$E$5:$E$3004,TxRows),Sales!$D$5:INDEX(Sales!$D$5:$D$3004,TxRows),$A472))</f>
        <v/>
      </c>
      <c r="N472" s="64" t="str">
        <f aca="false">IF($A472="","",SUMIFS(Adjustments!$C$5:$C$504,Adjustments!$B$5:$B$504,$A472))</f>
        <v/>
      </c>
      <c r="O472" s="64" t="str">
        <f aca="false">IF($A472="","",N($J472)+L472-M472+N472)</f>
        <v/>
      </c>
      <c r="P472" s="61" t="str">
        <f aca="false">IF($A472="","",IFERROR((N($J472)*N($K472)+SUMIFS(Purchases!$K$5:INDEX(Purchases!$K$5:$K$3004,TxRows),Purchases!$D$5:INDEX(Purchases!$D$5:$D$3004,TxRows),$A472))/(N($J472)+L472),N($G472)))</f>
        <v/>
      </c>
      <c r="Q472" s="61" t="str">
        <f aca="false">IF($A472="","",MAX(0,O472)*P472)</f>
        <v/>
      </c>
      <c r="R472" s="60" t="str">
        <f aca="false">IF($A472="","",IF(O472&lt;0,"NEGATIVE",IF(O472=0,"OUT OF STOCK",IF(O472&lt;=N($I472),"REORDER",IF(AND(O472&gt;0,X472&gt;DeadDays),"DEAD STOCK","OK")))))</f>
        <v/>
      </c>
      <c r="S472" s="65" t="str">
        <f aca="false">IF($A472="","",IF(N($H472)=0,0,(N($H472)-P472)/N($H472)))</f>
        <v/>
      </c>
      <c r="T472" s="64" t="str">
        <f aca="false">IF($A472="","",IF(O472&lt;=N($I472),MAX(0,2*N($I472)-O472),0))</f>
        <v/>
      </c>
      <c r="U472" s="61" t="str">
        <f aca="false">IF($A472="","",SUMIFS(Sales!$L$5:INDEX(Sales!$L$5:$L$3004,TxRows),Sales!$D$5:INDEX(Sales!$D$5:$D$3004,TxRows),$A472))</f>
        <v/>
      </c>
      <c r="V472" s="61" t="str">
        <f aca="false">IF($A472="","",SUMIFS(Sales!$S$5:INDEX(Sales!$S$5:$S$3004,TxRows),Sales!$D$5:INDEX(Sales!$D$5:$D$3004,TxRows),$A472))</f>
        <v/>
      </c>
      <c r="W472" s="66" t="str">
        <f aca="false">IF($A472="","",IFERROR(SUMPRODUCT(MAX((Sales!$D$5:INDEX(Sales!$D$5:$D$3004,TxRows)=$A472)*Sales!$A$5:INDEX(Sales!$A$5:$A$3004,TxRows))),0))</f>
        <v/>
      </c>
      <c r="X472" s="67" t="str">
        <f aca="false">IF($A472="","",IF(W472=0,AsOf-FYStart,AsOf-W472))</f>
        <v/>
      </c>
      <c r="Y472" s="67" t="str">
        <f aca="false">IF($A472="","",IF(M472=0,"",O472/(M472/MAX(1,AsOf-FYStart))))</f>
        <v/>
      </c>
      <c r="Z472" s="60" t="str">
        <f aca="false">IF($A472="","",U472+ROW()/1000000)</f>
        <v/>
      </c>
    </row>
    <row r="473" customFormat="false" ht="15" hidden="false" customHeight="false" outlineLevel="0" collapsed="false">
      <c r="A473" s="56"/>
      <c r="B473" s="56"/>
      <c r="C473" s="56"/>
      <c r="D473" s="56"/>
      <c r="E473" s="56"/>
      <c r="F473" s="63"/>
      <c r="G473" s="58"/>
      <c r="H473" s="58"/>
      <c r="I473" s="57"/>
      <c r="J473" s="57"/>
      <c r="K473" s="58"/>
      <c r="L473" s="64" t="str">
        <f aca="false">IF($A473="","",SUMIFS(Purchases!$E$5:INDEX(Purchases!$E$5:$E$3004,TxRows),Purchases!$D$5:INDEX(Purchases!$D$5:$D$3004,TxRows),$A473))</f>
        <v/>
      </c>
      <c r="M473" s="64" t="str">
        <f aca="false">IF($A473="","",SUMIFS(Sales!$E$5:INDEX(Sales!$E$5:$E$3004,TxRows),Sales!$D$5:INDEX(Sales!$D$5:$D$3004,TxRows),$A473))</f>
        <v/>
      </c>
      <c r="N473" s="64" t="str">
        <f aca="false">IF($A473="","",SUMIFS(Adjustments!$C$5:$C$504,Adjustments!$B$5:$B$504,$A473))</f>
        <v/>
      </c>
      <c r="O473" s="64" t="str">
        <f aca="false">IF($A473="","",N($J473)+L473-M473+N473)</f>
        <v/>
      </c>
      <c r="P473" s="61" t="str">
        <f aca="false">IF($A473="","",IFERROR((N($J473)*N($K473)+SUMIFS(Purchases!$K$5:INDEX(Purchases!$K$5:$K$3004,TxRows),Purchases!$D$5:INDEX(Purchases!$D$5:$D$3004,TxRows),$A473))/(N($J473)+L473),N($G473)))</f>
        <v/>
      </c>
      <c r="Q473" s="61" t="str">
        <f aca="false">IF($A473="","",MAX(0,O473)*P473)</f>
        <v/>
      </c>
      <c r="R473" s="60" t="str">
        <f aca="false">IF($A473="","",IF(O473&lt;0,"NEGATIVE",IF(O473=0,"OUT OF STOCK",IF(O473&lt;=N($I473),"REORDER",IF(AND(O473&gt;0,X473&gt;DeadDays),"DEAD STOCK","OK")))))</f>
        <v/>
      </c>
      <c r="S473" s="65" t="str">
        <f aca="false">IF($A473="","",IF(N($H473)=0,0,(N($H473)-P473)/N($H473)))</f>
        <v/>
      </c>
      <c r="T473" s="64" t="str">
        <f aca="false">IF($A473="","",IF(O473&lt;=N($I473),MAX(0,2*N($I473)-O473),0))</f>
        <v/>
      </c>
      <c r="U473" s="61" t="str">
        <f aca="false">IF($A473="","",SUMIFS(Sales!$L$5:INDEX(Sales!$L$5:$L$3004,TxRows),Sales!$D$5:INDEX(Sales!$D$5:$D$3004,TxRows),$A473))</f>
        <v/>
      </c>
      <c r="V473" s="61" t="str">
        <f aca="false">IF($A473="","",SUMIFS(Sales!$S$5:INDEX(Sales!$S$5:$S$3004,TxRows),Sales!$D$5:INDEX(Sales!$D$5:$D$3004,TxRows),$A473))</f>
        <v/>
      </c>
      <c r="W473" s="66" t="str">
        <f aca="false">IF($A473="","",IFERROR(SUMPRODUCT(MAX((Sales!$D$5:INDEX(Sales!$D$5:$D$3004,TxRows)=$A473)*Sales!$A$5:INDEX(Sales!$A$5:$A$3004,TxRows))),0))</f>
        <v/>
      </c>
      <c r="X473" s="67" t="str">
        <f aca="false">IF($A473="","",IF(W473=0,AsOf-FYStart,AsOf-W473))</f>
        <v/>
      </c>
      <c r="Y473" s="67" t="str">
        <f aca="false">IF($A473="","",IF(M473=0,"",O473/(M473/MAX(1,AsOf-FYStart))))</f>
        <v/>
      </c>
      <c r="Z473" s="60" t="str">
        <f aca="false">IF($A473="","",U473+ROW()/1000000)</f>
        <v/>
      </c>
    </row>
    <row r="474" customFormat="false" ht="15" hidden="false" customHeight="false" outlineLevel="0" collapsed="false">
      <c r="A474" s="56"/>
      <c r="B474" s="56"/>
      <c r="C474" s="56"/>
      <c r="D474" s="56"/>
      <c r="E474" s="56"/>
      <c r="F474" s="63"/>
      <c r="G474" s="58"/>
      <c r="H474" s="58"/>
      <c r="I474" s="57"/>
      <c r="J474" s="57"/>
      <c r="K474" s="58"/>
      <c r="L474" s="64" t="str">
        <f aca="false">IF($A474="","",SUMIFS(Purchases!$E$5:INDEX(Purchases!$E$5:$E$3004,TxRows),Purchases!$D$5:INDEX(Purchases!$D$5:$D$3004,TxRows),$A474))</f>
        <v/>
      </c>
      <c r="M474" s="64" t="str">
        <f aca="false">IF($A474="","",SUMIFS(Sales!$E$5:INDEX(Sales!$E$5:$E$3004,TxRows),Sales!$D$5:INDEX(Sales!$D$5:$D$3004,TxRows),$A474))</f>
        <v/>
      </c>
      <c r="N474" s="64" t="str">
        <f aca="false">IF($A474="","",SUMIFS(Adjustments!$C$5:$C$504,Adjustments!$B$5:$B$504,$A474))</f>
        <v/>
      </c>
      <c r="O474" s="64" t="str">
        <f aca="false">IF($A474="","",N($J474)+L474-M474+N474)</f>
        <v/>
      </c>
      <c r="P474" s="61" t="str">
        <f aca="false">IF($A474="","",IFERROR((N($J474)*N($K474)+SUMIFS(Purchases!$K$5:INDEX(Purchases!$K$5:$K$3004,TxRows),Purchases!$D$5:INDEX(Purchases!$D$5:$D$3004,TxRows),$A474))/(N($J474)+L474),N($G474)))</f>
        <v/>
      </c>
      <c r="Q474" s="61" t="str">
        <f aca="false">IF($A474="","",MAX(0,O474)*P474)</f>
        <v/>
      </c>
      <c r="R474" s="60" t="str">
        <f aca="false">IF($A474="","",IF(O474&lt;0,"NEGATIVE",IF(O474=0,"OUT OF STOCK",IF(O474&lt;=N($I474),"REORDER",IF(AND(O474&gt;0,X474&gt;DeadDays),"DEAD STOCK","OK")))))</f>
        <v/>
      </c>
      <c r="S474" s="65" t="str">
        <f aca="false">IF($A474="","",IF(N($H474)=0,0,(N($H474)-P474)/N($H474)))</f>
        <v/>
      </c>
      <c r="T474" s="64" t="str">
        <f aca="false">IF($A474="","",IF(O474&lt;=N($I474),MAX(0,2*N($I474)-O474),0))</f>
        <v/>
      </c>
      <c r="U474" s="61" t="str">
        <f aca="false">IF($A474="","",SUMIFS(Sales!$L$5:INDEX(Sales!$L$5:$L$3004,TxRows),Sales!$D$5:INDEX(Sales!$D$5:$D$3004,TxRows),$A474))</f>
        <v/>
      </c>
      <c r="V474" s="61" t="str">
        <f aca="false">IF($A474="","",SUMIFS(Sales!$S$5:INDEX(Sales!$S$5:$S$3004,TxRows),Sales!$D$5:INDEX(Sales!$D$5:$D$3004,TxRows),$A474))</f>
        <v/>
      </c>
      <c r="W474" s="66" t="str">
        <f aca="false">IF($A474="","",IFERROR(SUMPRODUCT(MAX((Sales!$D$5:INDEX(Sales!$D$5:$D$3004,TxRows)=$A474)*Sales!$A$5:INDEX(Sales!$A$5:$A$3004,TxRows))),0))</f>
        <v/>
      </c>
      <c r="X474" s="67" t="str">
        <f aca="false">IF($A474="","",IF(W474=0,AsOf-FYStart,AsOf-W474))</f>
        <v/>
      </c>
      <c r="Y474" s="67" t="str">
        <f aca="false">IF($A474="","",IF(M474=0,"",O474/(M474/MAX(1,AsOf-FYStart))))</f>
        <v/>
      </c>
      <c r="Z474" s="60" t="str">
        <f aca="false">IF($A474="","",U474+ROW()/1000000)</f>
        <v/>
      </c>
    </row>
    <row r="475" customFormat="false" ht="15" hidden="false" customHeight="false" outlineLevel="0" collapsed="false">
      <c r="A475" s="56"/>
      <c r="B475" s="56"/>
      <c r="C475" s="56"/>
      <c r="D475" s="56"/>
      <c r="E475" s="56"/>
      <c r="F475" s="63"/>
      <c r="G475" s="58"/>
      <c r="H475" s="58"/>
      <c r="I475" s="57"/>
      <c r="J475" s="57"/>
      <c r="K475" s="58"/>
      <c r="L475" s="64" t="str">
        <f aca="false">IF($A475="","",SUMIFS(Purchases!$E$5:INDEX(Purchases!$E$5:$E$3004,TxRows),Purchases!$D$5:INDEX(Purchases!$D$5:$D$3004,TxRows),$A475))</f>
        <v/>
      </c>
      <c r="M475" s="64" t="str">
        <f aca="false">IF($A475="","",SUMIFS(Sales!$E$5:INDEX(Sales!$E$5:$E$3004,TxRows),Sales!$D$5:INDEX(Sales!$D$5:$D$3004,TxRows),$A475))</f>
        <v/>
      </c>
      <c r="N475" s="64" t="str">
        <f aca="false">IF($A475="","",SUMIFS(Adjustments!$C$5:$C$504,Adjustments!$B$5:$B$504,$A475))</f>
        <v/>
      </c>
      <c r="O475" s="64" t="str">
        <f aca="false">IF($A475="","",N($J475)+L475-M475+N475)</f>
        <v/>
      </c>
      <c r="P475" s="61" t="str">
        <f aca="false">IF($A475="","",IFERROR((N($J475)*N($K475)+SUMIFS(Purchases!$K$5:INDEX(Purchases!$K$5:$K$3004,TxRows),Purchases!$D$5:INDEX(Purchases!$D$5:$D$3004,TxRows),$A475))/(N($J475)+L475),N($G475)))</f>
        <v/>
      </c>
      <c r="Q475" s="61" t="str">
        <f aca="false">IF($A475="","",MAX(0,O475)*P475)</f>
        <v/>
      </c>
      <c r="R475" s="60" t="str">
        <f aca="false">IF($A475="","",IF(O475&lt;0,"NEGATIVE",IF(O475=0,"OUT OF STOCK",IF(O475&lt;=N($I475),"REORDER",IF(AND(O475&gt;0,X475&gt;DeadDays),"DEAD STOCK","OK")))))</f>
        <v/>
      </c>
      <c r="S475" s="65" t="str">
        <f aca="false">IF($A475="","",IF(N($H475)=0,0,(N($H475)-P475)/N($H475)))</f>
        <v/>
      </c>
      <c r="T475" s="64" t="str">
        <f aca="false">IF($A475="","",IF(O475&lt;=N($I475),MAX(0,2*N($I475)-O475),0))</f>
        <v/>
      </c>
      <c r="U475" s="61" t="str">
        <f aca="false">IF($A475="","",SUMIFS(Sales!$L$5:INDEX(Sales!$L$5:$L$3004,TxRows),Sales!$D$5:INDEX(Sales!$D$5:$D$3004,TxRows),$A475))</f>
        <v/>
      </c>
      <c r="V475" s="61" t="str">
        <f aca="false">IF($A475="","",SUMIFS(Sales!$S$5:INDEX(Sales!$S$5:$S$3004,TxRows),Sales!$D$5:INDEX(Sales!$D$5:$D$3004,TxRows),$A475))</f>
        <v/>
      </c>
      <c r="W475" s="66" t="str">
        <f aca="false">IF($A475="","",IFERROR(SUMPRODUCT(MAX((Sales!$D$5:INDEX(Sales!$D$5:$D$3004,TxRows)=$A475)*Sales!$A$5:INDEX(Sales!$A$5:$A$3004,TxRows))),0))</f>
        <v/>
      </c>
      <c r="X475" s="67" t="str">
        <f aca="false">IF($A475="","",IF(W475=0,AsOf-FYStart,AsOf-W475))</f>
        <v/>
      </c>
      <c r="Y475" s="67" t="str">
        <f aca="false">IF($A475="","",IF(M475=0,"",O475/(M475/MAX(1,AsOf-FYStart))))</f>
        <v/>
      </c>
      <c r="Z475" s="60" t="str">
        <f aca="false">IF($A475="","",U475+ROW()/1000000)</f>
        <v/>
      </c>
    </row>
    <row r="476" customFormat="false" ht="15" hidden="false" customHeight="false" outlineLevel="0" collapsed="false">
      <c r="A476" s="56"/>
      <c r="B476" s="56"/>
      <c r="C476" s="56"/>
      <c r="D476" s="56"/>
      <c r="E476" s="56"/>
      <c r="F476" s="63"/>
      <c r="G476" s="58"/>
      <c r="H476" s="58"/>
      <c r="I476" s="57"/>
      <c r="J476" s="57"/>
      <c r="K476" s="58"/>
      <c r="L476" s="64" t="str">
        <f aca="false">IF($A476="","",SUMIFS(Purchases!$E$5:INDEX(Purchases!$E$5:$E$3004,TxRows),Purchases!$D$5:INDEX(Purchases!$D$5:$D$3004,TxRows),$A476))</f>
        <v/>
      </c>
      <c r="M476" s="64" t="str">
        <f aca="false">IF($A476="","",SUMIFS(Sales!$E$5:INDEX(Sales!$E$5:$E$3004,TxRows),Sales!$D$5:INDEX(Sales!$D$5:$D$3004,TxRows),$A476))</f>
        <v/>
      </c>
      <c r="N476" s="64" t="str">
        <f aca="false">IF($A476="","",SUMIFS(Adjustments!$C$5:$C$504,Adjustments!$B$5:$B$504,$A476))</f>
        <v/>
      </c>
      <c r="O476" s="64" t="str">
        <f aca="false">IF($A476="","",N($J476)+L476-M476+N476)</f>
        <v/>
      </c>
      <c r="P476" s="61" t="str">
        <f aca="false">IF($A476="","",IFERROR((N($J476)*N($K476)+SUMIFS(Purchases!$K$5:INDEX(Purchases!$K$5:$K$3004,TxRows),Purchases!$D$5:INDEX(Purchases!$D$5:$D$3004,TxRows),$A476))/(N($J476)+L476),N($G476)))</f>
        <v/>
      </c>
      <c r="Q476" s="61" t="str">
        <f aca="false">IF($A476="","",MAX(0,O476)*P476)</f>
        <v/>
      </c>
      <c r="R476" s="60" t="str">
        <f aca="false">IF($A476="","",IF(O476&lt;0,"NEGATIVE",IF(O476=0,"OUT OF STOCK",IF(O476&lt;=N($I476),"REORDER",IF(AND(O476&gt;0,X476&gt;DeadDays),"DEAD STOCK","OK")))))</f>
        <v/>
      </c>
      <c r="S476" s="65" t="str">
        <f aca="false">IF($A476="","",IF(N($H476)=0,0,(N($H476)-P476)/N($H476)))</f>
        <v/>
      </c>
      <c r="T476" s="64" t="str">
        <f aca="false">IF($A476="","",IF(O476&lt;=N($I476),MAX(0,2*N($I476)-O476),0))</f>
        <v/>
      </c>
      <c r="U476" s="61" t="str">
        <f aca="false">IF($A476="","",SUMIFS(Sales!$L$5:INDEX(Sales!$L$5:$L$3004,TxRows),Sales!$D$5:INDEX(Sales!$D$5:$D$3004,TxRows),$A476))</f>
        <v/>
      </c>
      <c r="V476" s="61" t="str">
        <f aca="false">IF($A476="","",SUMIFS(Sales!$S$5:INDEX(Sales!$S$5:$S$3004,TxRows),Sales!$D$5:INDEX(Sales!$D$5:$D$3004,TxRows),$A476))</f>
        <v/>
      </c>
      <c r="W476" s="66" t="str">
        <f aca="false">IF($A476="","",IFERROR(SUMPRODUCT(MAX((Sales!$D$5:INDEX(Sales!$D$5:$D$3004,TxRows)=$A476)*Sales!$A$5:INDEX(Sales!$A$5:$A$3004,TxRows))),0))</f>
        <v/>
      </c>
      <c r="X476" s="67" t="str">
        <f aca="false">IF($A476="","",IF(W476=0,AsOf-FYStart,AsOf-W476))</f>
        <v/>
      </c>
      <c r="Y476" s="67" t="str">
        <f aca="false">IF($A476="","",IF(M476=0,"",O476/(M476/MAX(1,AsOf-FYStart))))</f>
        <v/>
      </c>
      <c r="Z476" s="60" t="str">
        <f aca="false">IF($A476="","",U476+ROW()/1000000)</f>
        <v/>
      </c>
    </row>
    <row r="477" customFormat="false" ht="15" hidden="false" customHeight="false" outlineLevel="0" collapsed="false">
      <c r="A477" s="56"/>
      <c r="B477" s="56"/>
      <c r="C477" s="56"/>
      <c r="D477" s="56"/>
      <c r="E477" s="56"/>
      <c r="F477" s="63"/>
      <c r="G477" s="58"/>
      <c r="H477" s="58"/>
      <c r="I477" s="57"/>
      <c r="J477" s="57"/>
      <c r="K477" s="58"/>
      <c r="L477" s="64" t="str">
        <f aca="false">IF($A477="","",SUMIFS(Purchases!$E$5:INDEX(Purchases!$E$5:$E$3004,TxRows),Purchases!$D$5:INDEX(Purchases!$D$5:$D$3004,TxRows),$A477))</f>
        <v/>
      </c>
      <c r="M477" s="64" t="str">
        <f aca="false">IF($A477="","",SUMIFS(Sales!$E$5:INDEX(Sales!$E$5:$E$3004,TxRows),Sales!$D$5:INDEX(Sales!$D$5:$D$3004,TxRows),$A477))</f>
        <v/>
      </c>
      <c r="N477" s="64" t="str">
        <f aca="false">IF($A477="","",SUMIFS(Adjustments!$C$5:$C$504,Adjustments!$B$5:$B$504,$A477))</f>
        <v/>
      </c>
      <c r="O477" s="64" t="str">
        <f aca="false">IF($A477="","",N($J477)+L477-M477+N477)</f>
        <v/>
      </c>
      <c r="P477" s="61" t="str">
        <f aca="false">IF($A477="","",IFERROR((N($J477)*N($K477)+SUMIFS(Purchases!$K$5:INDEX(Purchases!$K$5:$K$3004,TxRows),Purchases!$D$5:INDEX(Purchases!$D$5:$D$3004,TxRows),$A477))/(N($J477)+L477),N($G477)))</f>
        <v/>
      </c>
      <c r="Q477" s="61" t="str">
        <f aca="false">IF($A477="","",MAX(0,O477)*P477)</f>
        <v/>
      </c>
      <c r="R477" s="60" t="str">
        <f aca="false">IF($A477="","",IF(O477&lt;0,"NEGATIVE",IF(O477=0,"OUT OF STOCK",IF(O477&lt;=N($I477),"REORDER",IF(AND(O477&gt;0,X477&gt;DeadDays),"DEAD STOCK","OK")))))</f>
        <v/>
      </c>
      <c r="S477" s="65" t="str">
        <f aca="false">IF($A477="","",IF(N($H477)=0,0,(N($H477)-P477)/N($H477)))</f>
        <v/>
      </c>
      <c r="T477" s="64" t="str">
        <f aca="false">IF($A477="","",IF(O477&lt;=N($I477),MAX(0,2*N($I477)-O477),0))</f>
        <v/>
      </c>
      <c r="U477" s="61" t="str">
        <f aca="false">IF($A477="","",SUMIFS(Sales!$L$5:INDEX(Sales!$L$5:$L$3004,TxRows),Sales!$D$5:INDEX(Sales!$D$5:$D$3004,TxRows),$A477))</f>
        <v/>
      </c>
      <c r="V477" s="61" t="str">
        <f aca="false">IF($A477="","",SUMIFS(Sales!$S$5:INDEX(Sales!$S$5:$S$3004,TxRows),Sales!$D$5:INDEX(Sales!$D$5:$D$3004,TxRows),$A477))</f>
        <v/>
      </c>
      <c r="W477" s="66" t="str">
        <f aca="false">IF($A477="","",IFERROR(SUMPRODUCT(MAX((Sales!$D$5:INDEX(Sales!$D$5:$D$3004,TxRows)=$A477)*Sales!$A$5:INDEX(Sales!$A$5:$A$3004,TxRows))),0))</f>
        <v/>
      </c>
      <c r="X477" s="67" t="str">
        <f aca="false">IF($A477="","",IF(W477=0,AsOf-FYStart,AsOf-W477))</f>
        <v/>
      </c>
      <c r="Y477" s="67" t="str">
        <f aca="false">IF($A477="","",IF(M477=0,"",O477/(M477/MAX(1,AsOf-FYStart))))</f>
        <v/>
      </c>
      <c r="Z477" s="60" t="str">
        <f aca="false">IF($A477="","",U477+ROW()/1000000)</f>
        <v/>
      </c>
    </row>
    <row r="478" customFormat="false" ht="15" hidden="false" customHeight="false" outlineLevel="0" collapsed="false">
      <c r="A478" s="56"/>
      <c r="B478" s="56"/>
      <c r="C478" s="56"/>
      <c r="D478" s="56"/>
      <c r="E478" s="56"/>
      <c r="F478" s="63"/>
      <c r="G478" s="58"/>
      <c r="H478" s="58"/>
      <c r="I478" s="57"/>
      <c r="J478" s="57"/>
      <c r="K478" s="58"/>
      <c r="L478" s="64" t="str">
        <f aca="false">IF($A478="","",SUMIFS(Purchases!$E$5:INDEX(Purchases!$E$5:$E$3004,TxRows),Purchases!$D$5:INDEX(Purchases!$D$5:$D$3004,TxRows),$A478))</f>
        <v/>
      </c>
      <c r="M478" s="64" t="str">
        <f aca="false">IF($A478="","",SUMIFS(Sales!$E$5:INDEX(Sales!$E$5:$E$3004,TxRows),Sales!$D$5:INDEX(Sales!$D$5:$D$3004,TxRows),$A478))</f>
        <v/>
      </c>
      <c r="N478" s="64" t="str">
        <f aca="false">IF($A478="","",SUMIFS(Adjustments!$C$5:$C$504,Adjustments!$B$5:$B$504,$A478))</f>
        <v/>
      </c>
      <c r="O478" s="64" t="str">
        <f aca="false">IF($A478="","",N($J478)+L478-M478+N478)</f>
        <v/>
      </c>
      <c r="P478" s="61" t="str">
        <f aca="false">IF($A478="","",IFERROR((N($J478)*N($K478)+SUMIFS(Purchases!$K$5:INDEX(Purchases!$K$5:$K$3004,TxRows),Purchases!$D$5:INDEX(Purchases!$D$5:$D$3004,TxRows),$A478))/(N($J478)+L478),N($G478)))</f>
        <v/>
      </c>
      <c r="Q478" s="61" t="str">
        <f aca="false">IF($A478="","",MAX(0,O478)*P478)</f>
        <v/>
      </c>
      <c r="R478" s="60" t="str">
        <f aca="false">IF($A478="","",IF(O478&lt;0,"NEGATIVE",IF(O478=0,"OUT OF STOCK",IF(O478&lt;=N($I478),"REORDER",IF(AND(O478&gt;0,X478&gt;DeadDays),"DEAD STOCK","OK")))))</f>
        <v/>
      </c>
      <c r="S478" s="65" t="str">
        <f aca="false">IF($A478="","",IF(N($H478)=0,0,(N($H478)-P478)/N($H478)))</f>
        <v/>
      </c>
      <c r="T478" s="64" t="str">
        <f aca="false">IF($A478="","",IF(O478&lt;=N($I478),MAX(0,2*N($I478)-O478),0))</f>
        <v/>
      </c>
      <c r="U478" s="61" t="str">
        <f aca="false">IF($A478="","",SUMIFS(Sales!$L$5:INDEX(Sales!$L$5:$L$3004,TxRows),Sales!$D$5:INDEX(Sales!$D$5:$D$3004,TxRows),$A478))</f>
        <v/>
      </c>
      <c r="V478" s="61" t="str">
        <f aca="false">IF($A478="","",SUMIFS(Sales!$S$5:INDEX(Sales!$S$5:$S$3004,TxRows),Sales!$D$5:INDEX(Sales!$D$5:$D$3004,TxRows),$A478))</f>
        <v/>
      </c>
      <c r="W478" s="66" t="str">
        <f aca="false">IF($A478="","",IFERROR(SUMPRODUCT(MAX((Sales!$D$5:INDEX(Sales!$D$5:$D$3004,TxRows)=$A478)*Sales!$A$5:INDEX(Sales!$A$5:$A$3004,TxRows))),0))</f>
        <v/>
      </c>
      <c r="X478" s="67" t="str">
        <f aca="false">IF($A478="","",IF(W478=0,AsOf-FYStart,AsOf-W478))</f>
        <v/>
      </c>
      <c r="Y478" s="67" t="str">
        <f aca="false">IF($A478="","",IF(M478=0,"",O478/(M478/MAX(1,AsOf-FYStart))))</f>
        <v/>
      </c>
      <c r="Z478" s="60" t="str">
        <f aca="false">IF($A478="","",U478+ROW()/1000000)</f>
        <v/>
      </c>
    </row>
    <row r="479" customFormat="false" ht="15" hidden="false" customHeight="false" outlineLevel="0" collapsed="false">
      <c r="A479" s="56"/>
      <c r="B479" s="56"/>
      <c r="C479" s="56"/>
      <c r="D479" s="56"/>
      <c r="E479" s="56"/>
      <c r="F479" s="63"/>
      <c r="G479" s="58"/>
      <c r="H479" s="58"/>
      <c r="I479" s="57"/>
      <c r="J479" s="57"/>
      <c r="K479" s="58"/>
      <c r="L479" s="64" t="str">
        <f aca="false">IF($A479="","",SUMIFS(Purchases!$E$5:INDEX(Purchases!$E$5:$E$3004,TxRows),Purchases!$D$5:INDEX(Purchases!$D$5:$D$3004,TxRows),$A479))</f>
        <v/>
      </c>
      <c r="M479" s="64" t="str">
        <f aca="false">IF($A479="","",SUMIFS(Sales!$E$5:INDEX(Sales!$E$5:$E$3004,TxRows),Sales!$D$5:INDEX(Sales!$D$5:$D$3004,TxRows),$A479))</f>
        <v/>
      </c>
      <c r="N479" s="64" t="str">
        <f aca="false">IF($A479="","",SUMIFS(Adjustments!$C$5:$C$504,Adjustments!$B$5:$B$504,$A479))</f>
        <v/>
      </c>
      <c r="O479" s="64" t="str">
        <f aca="false">IF($A479="","",N($J479)+L479-M479+N479)</f>
        <v/>
      </c>
      <c r="P479" s="61" t="str">
        <f aca="false">IF($A479="","",IFERROR((N($J479)*N($K479)+SUMIFS(Purchases!$K$5:INDEX(Purchases!$K$5:$K$3004,TxRows),Purchases!$D$5:INDEX(Purchases!$D$5:$D$3004,TxRows),$A479))/(N($J479)+L479),N($G479)))</f>
        <v/>
      </c>
      <c r="Q479" s="61" t="str">
        <f aca="false">IF($A479="","",MAX(0,O479)*P479)</f>
        <v/>
      </c>
      <c r="R479" s="60" t="str">
        <f aca="false">IF($A479="","",IF(O479&lt;0,"NEGATIVE",IF(O479=0,"OUT OF STOCK",IF(O479&lt;=N($I479),"REORDER",IF(AND(O479&gt;0,X479&gt;DeadDays),"DEAD STOCK","OK")))))</f>
        <v/>
      </c>
      <c r="S479" s="65" t="str">
        <f aca="false">IF($A479="","",IF(N($H479)=0,0,(N($H479)-P479)/N($H479)))</f>
        <v/>
      </c>
      <c r="T479" s="64" t="str">
        <f aca="false">IF($A479="","",IF(O479&lt;=N($I479),MAX(0,2*N($I479)-O479),0))</f>
        <v/>
      </c>
      <c r="U479" s="61" t="str">
        <f aca="false">IF($A479="","",SUMIFS(Sales!$L$5:INDEX(Sales!$L$5:$L$3004,TxRows),Sales!$D$5:INDEX(Sales!$D$5:$D$3004,TxRows),$A479))</f>
        <v/>
      </c>
      <c r="V479" s="61" t="str">
        <f aca="false">IF($A479="","",SUMIFS(Sales!$S$5:INDEX(Sales!$S$5:$S$3004,TxRows),Sales!$D$5:INDEX(Sales!$D$5:$D$3004,TxRows),$A479))</f>
        <v/>
      </c>
      <c r="W479" s="66" t="str">
        <f aca="false">IF($A479="","",IFERROR(SUMPRODUCT(MAX((Sales!$D$5:INDEX(Sales!$D$5:$D$3004,TxRows)=$A479)*Sales!$A$5:INDEX(Sales!$A$5:$A$3004,TxRows))),0))</f>
        <v/>
      </c>
      <c r="X479" s="67" t="str">
        <f aca="false">IF($A479="","",IF(W479=0,AsOf-FYStart,AsOf-W479))</f>
        <v/>
      </c>
      <c r="Y479" s="67" t="str">
        <f aca="false">IF($A479="","",IF(M479=0,"",O479/(M479/MAX(1,AsOf-FYStart))))</f>
        <v/>
      </c>
      <c r="Z479" s="60" t="str">
        <f aca="false">IF($A479="","",U479+ROW()/1000000)</f>
        <v/>
      </c>
    </row>
    <row r="480" customFormat="false" ht="15" hidden="false" customHeight="false" outlineLevel="0" collapsed="false">
      <c r="A480" s="56"/>
      <c r="B480" s="56"/>
      <c r="C480" s="56"/>
      <c r="D480" s="56"/>
      <c r="E480" s="56"/>
      <c r="F480" s="63"/>
      <c r="G480" s="58"/>
      <c r="H480" s="58"/>
      <c r="I480" s="57"/>
      <c r="J480" s="57"/>
      <c r="K480" s="58"/>
      <c r="L480" s="64" t="str">
        <f aca="false">IF($A480="","",SUMIFS(Purchases!$E$5:INDEX(Purchases!$E$5:$E$3004,TxRows),Purchases!$D$5:INDEX(Purchases!$D$5:$D$3004,TxRows),$A480))</f>
        <v/>
      </c>
      <c r="M480" s="64" t="str">
        <f aca="false">IF($A480="","",SUMIFS(Sales!$E$5:INDEX(Sales!$E$5:$E$3004,TxRows),Sales!$D$5:INDEX(Sales!$D$5:$D$3004,TxRows),$A480))</f>
        <v/>
      </c>
      <c r="N480" s="64" t="str">
        <f aca="false">IF($A480="","",SUMIFS(Adjustments!$C$5:$C$504,Adjustments!$B$5:$B$504,$A480))</f>
        <v/>
      </c>
      <c r="O480" s="64" t="str">
        <f aca="false">IF($A480="","",N($J480)+L480-M480+N480)</f>
        <v/>
      </c>
      <c r="P480" s="61" t="str">
        <f aca="false">IF($A480="","",IFERROR((N($J480)*N($K480)+SUMIFS(Purchases!$K$5:INDEX(Purchases!$K$5:$K$3004,TxRows),Purchases!$D$5:INDEX(Purchases!$D$5:$D$3004,TxRows),$A480))/(N($J480)+L480),N($G480)))</f>
        <v/>
      </c>
      <c r="Q480" s="61" t="str">
        <f aca="false">IF($A480="","",MAX(0,O480)*P480)</f>
        <v/>
      </c>
      <c r="R480" s="60" t="str">
        <f aca="false">IF($A480="","",IF(O480&lt;0,"NEGATIVE",IF(O480=0,"OUT OF STOCK",IF(O480&lt;=N($I480),"REORDER",IF(AND(O480&gt;0,X480&gt;DeadDays),"DEAD STOCK","OK")))))</f>
        <v/>
      </c>
      <c r="S480" s="65" t="str">
        <f aca="false">IF($A480="","",IF(N($H480)=0,0,(N($H480)-P480)/N($H480)))</f>
        <v/>
      </c>
      <c r="T480" s="64" t="str">
        <f aca="false">IF($A480="","",IF(O480&lt;=N($I480),MAX(0,2*N($I480)-O480),0))</f>
        <v/>
      </c>
      <c r="U480" s="61" t="str">
        <f aca="false">IF($A480="","",SUMIFS(Sales!$L$5:INDEX(Sales!$L$5:$L$3004,TxRows),Sales!$D$5:INDEX(Sales!$D$5:$D$3004,TxRows),$A480))</f>
        <v/>
      </c>
      <c r="V480" s="61" t="str">
        <f aca="false">IF($A480="","",SUMIFS(Sales!$S$5:INDEX(Sales!$S$5:$S$3004,TxRows),Sales!$D$5:INDEX(Sales!$D$5:$D$3004,TxRows),$A480))</f>
        <v/>
      </c>
      <c r="W480" s="66" t="str">
        <f aca="false">IF($A480="","",IFERROR(SUMPRODUCT(MAX((Sales!$D$5:INDEX(Sales!$D$5:$D$3004,TxRows)=$A480)*Sales!$A$5:INDEX(Sales!$A$5:$A$3004,TxRows))),0))</f>
        <v/>
      </c>
      <c r="X480" s="67" t="str">
        <f aca="false">IF($A480="","",IF(W480=0,AsOf-FYStart,AsOf-W480))</f>
        <v/>
      </c>
      <c r="Y480" s="67" t="str">
        <f aca="false">IF($A480="","",IF(M480=0,"",O480/(M480/MAX(1,AsOf-FYStart))))</f>
        <v/>
      </c>
      <c r="Z480" s="60" t="str">
        <f aca="false">IF($A480="","",U480+ROW()/1000000)</f>
        <v/>
      </c>
    </row>
    <row r="481" customFormat="false" ht="15" hidden="false" customHeight="false" outlineLevel="0" collapsed="false">
      <c r="A481" s="56"/>
      <c r="B481" s="56"/>
      <c r="C481" s="56"/>
      <c r="D481" s="56"/>
      <c r="E481" s="56"/>
      <c r="F481" s="63"/>
      <c r="G481" s="58"/>
      <c r="H481" s="58"/>
      <c r="I481" s="57"/>
      <c r="J481" s="57"/>
      <c r="K481" s="58"/>
      <c r="L481" s="64" t="str">
        <f aca="false">IF($A481="","",SUMIFS(Purchases!$E$5:INDEX(Purchases!$E$5:$E$3004,TxRows),Purchases!$D$5:INDEX(Purchases!$D$5:$D$3004,TxRows),$A481))</f>
        <v/>
      </c>
      <c r="M481" s="64" t="str">
        <f aca="false">IF($A481="","",SUMIFS(Sales!$E$5:INDEX(Sales!$E$5:$E$3004,TxRows),Sales!$D$5:INDEX(Sales!$D$5:$D$3004,TxRows),$A481))</f>
        <v/>
      </c>
      <c r="N481" s="64" t="str">
        <f aca="false">IF($A481="","",SUMIFS(Adjustments!$C$5:$C$504,Adjustments!$B$5:$B$504,$A481))</f>
        <v/>
      </c>
      <c r="O481" s="64" t="str">
        <f aca="false">IF($A481="","",N($J481)+L481-M481+N481)</f>
        <v/>
      </c>
      <c r="P481" s="61" t="str">
        <f aca="false">IF($A481="","",IFERROR((N($J481)*N($K481)+SUMIFS(Purchases!$K$5:INDEX(Purchases!$K$5:$K$3004,TxRows),Purchases!$D$5:INDEX(Purchases!$D$5:$D$3004,TxRows),$A481))/(N($J481)+L481),N($G481)))</f>
        <v/>
      </c>
      <c r="Q481" s="61" t="str">
        <f aca="false">IF($A481="","",MAX(0,O481)*P481)</f>
        <v/>
      </c>
      <c r="R481" s="60" t="str">
        <f aca="false">IF($A481="","",IF(O481&lt;0,"NEGATIVE",IF(O481=0,"OUT OF STOCK",IF(O481&lt;=N($I481),"REORDER",IF(AND(O481&gt;0,X481&gt;DeadDays),"DEAD STOCK","OK")))))</f>
        <v/>
      </c>
      <c r="S481" s="65" t="str">
        <f aca="false">IF($A481="","",IF(N($H481)=0,0,(N($H481)-P481)/N($H481)))</f>
        <v/>
      </c>
      <c r="T481" s="64" t="str">
        <f aca="false">IF($A481="","",IF(O481&lt;=N($I481),MAX(0,2*N($I481)-O481),0))</f>
        <v/>
      </c>
      <c r="U481" s="61" t="str">
        <f aca="false">IF($A481="","",SUMIFS(Sales!$L$5:INDEX(Sales!$L$5:$L$3004,TxRows),Sales!$D$5:INDEX(Sales!$D$5:$D$3004,TxRows),$A481))</f>
        <v/>
      </c>
      <c r="V481" s="61" t="str">
        <f aca="false">IF($A481="","",SUMIFS(Sales!$S$5:INDEX(Sales!$S$5:$S$3004,TxRows),Sales!$D$5:INDEX(Sales!$D$5:$D$3004,TxRows),$A481))</f>
        <v/>
      </c>
      <c r="W481" s="66" t="str">
        <f aca="false">IF($A481="","",IFERROR(SUMPRODUCT(MAX((Sales!$D$5:INDEX(Sales!$D$5:$D$3004,TxRows)=$A481)*Sales!$A$5:INDEX(Sales!$A$5:$A$3004,TxRows))),0))</f>
        <v/>
      </c>
      <c r="X481" s="67" t="str">
        <f aca="false">IF($A481="","",IF(W481=0,AsOf-FYStart,AsOf-W481))</f>
        <v/>
      </c>
      <c r="Y481" s="67" t="str">
        <f aca="false">IF($A481="","",IF(M481=0,"",O481/(M481/MAX(1,AsOf-FYStart))))</f>
        <v/>
      </c>
      <c r="Z481" s="60" t="str">
        <f aca="false">IF($A481="","",U481+ROW()/1000000)</f>
        <v/>
      </c>
    </row>
    <row r="482" customFormat="false" ht="15" hidden="false" customHeight="false" outlineLevel="0" collapsed="false">
      <c r="A482" s="56"/>
      <c r="B482" s="56"/>
      <c r="C482" s="56"/>
      <c r="D482" s="56"/>
      <c r="E482" s="56"/>
      <c r="F482" s="63"/>
      <c r="G482" s="58"/>
      <c r="H482" s="58"/>
      <c r="I482" s="57"/>
      <c r="J482" s="57"/>
      <c r="K482" s="58"/>
      <c r="L482" s="64" t="str">
        <f aca="false">IF($A482="","",SUMIFS(Purchases!$E$5:INDEX(Purchases!$E$5:$E$3004,TxRows),Purchases!$D$5:INDEX(Purchases!$D$5:$D$3004,TxRows),$A482))</f>
        <v/>
      </c>
      <c r="M482" s="64" t="str">
        <f aca="false">IF($A482="","",SUMIFS(Sales!$E$5:INDEX(Sales!$E$5:$E$3004,TxRows),Sales!$D$5:INDEX(Sales!$D$5:$D$3004,TxRows),$A482))</f>
        <v/>
      </c>
      <c r="N482" s="64" t="str">
        <f aca="false">IF($A482="","",SUMIFS(Adjustments!$C$5:$C$504,Adjustments!$B$5:$B$504,$A482))</f>
        <v/>
      </c>
      <c r="O482" s="64" t="str">
        <f aca="false">IF($A482="","",N($J482)+L482-M482+N482)</f>
        <v/>
      </c>
      <c r="P482" s="61" t="str">
        <f aca="false">IF($A482="","",IFERROR((N($J482)*N($K482)+SUMIFS(Purchases!$K$5:INDEX(Purchases!$K$5:$K$3004,TxRows),Purchases!$D$5:INDEX(Purchases!$D$5:$D$3004,TxRows),$A482))/(N($J482)+L482),N($G482)))</f>
        <v/>
      </c>
      <c r="Q482" s="61" t="str">
        <f aca="false">IF($A482="","",MAX(0,O482)*P482)</f>
        <v/>
      </c>
      <c r="R482" s="60" t="str">
        <f aca="false">IF($A482="","",IF(O482&lt;0,"NEGATIVE",IF(O482=0,"OUT OF STOCK",IF(O482&lt;=N($I482),"REORDER",IF(AND(O482&gt;0,X482&gt;DeadDays),"DEAD STOCK","OK")))))</f>
        <v/>
      </c>
      <c r="S482" s="65" t="str">
        <f aca="false">IF($A482="","",IF(N($H482)=0,0,(N($H482)-P482)/N($H482)))</f>
        <v/>
      </c>
      <c r="T482" s="64" t="str">
        <f aca="false">IF($A482="","",IF(O482&lt;=N($I482),MAX(0,2*N($I482)-O482),0))</f>
        <v/>
      </c>
      <c r="U482" s="61" t="str">
        <f aca="false">IF($A482="","",SUMIFS(Sales!$L$5:INDEX(Sales!$L$5:$L$3004,TxRows),Sales!$D$5:INDEX(Sales!$D$5:$D$3004,TxRows),$A482))</f>
        <v/>
      </c>
      <c r="V482" s="61" t="str">
        <f aca="false">IF($A482="","",SUMIFS(Sales!$S$5:INDEX(Sales!$S$5:$S$3004,TxRows),Sales!$D$5:INDEX(Sales!$D$5:$D$3004,TxRows),$A482))</f>
        <v/>
      </c>
      <c r="W482" s="66" t="str">
        <f aca="false">IF($A482="","",IFERROR(SUMPRODUCT(MAX((Sales!$D$5:INDEX(Sales!$D$5:$D$3004,TxRows)=$A482)*Sales!$A$5:INDEX(Sales!$A$5:$A$3004,TxRows))),0))</f>
        <v/>
      </c>
      <c r="X482" s="67" t="str">
        <f aca="false">IF($A482="","",IF(W482=0,AsOf-FYStart,AsOf-W482))</f>
        <v/>
      </c>
      <c r="Y482" s="67" t="str">
        <f aca="false">IF($A482="","",IF(M482=0,"",O482/(M482/MAX(1,AsOf-FYStart))))</f>
        <v/>
      </c>
      <c r="Z482" s="60" t="str">
        <f aca="false">IF($A482="","",U482+ROW()/1000000)</f>
        <v/>
      </c>
    </row>
    <row r="483" customFormat="false" ht="15" hidden="false" customHeight="false" outlineLevel="0" collapsed="false">
      <c r="A483" s="56"/>
      <c r="B483" s="56"/>
      <c r="C483" s="56"/>
      <c r="D483" s="56"/>
      <c r="E483" s="56"/>
      <c r="F483" s="63"/>
      <c r="G483" s="58"/>
      <c r="H483" s="58"/>
      <c r="I483" s="57"/>
      <c r="J483" s="57"/>
      <c r="K483" s="58"/>
      <c r="L483" s="64" t="str">
        <f aca="false">IF($A483="","",SUMIFS(Purchases!$E$5:INDEX(Purchases!$E$5:$E$3004,TxRows),Purchases!$D$5:INDEX(Purchases!$D$5:$D$3004,TxRows),$A483))</f>
        <v/>
      </c>
      <c r="M483" s="64" t="str">
        <f aca="false">IF($A483="","",SUMIFS(Sales!$E$5:INDEX(Sales!$E$5:$E$3004,TxRows),Sales!$D$5:INDEX(Sales!$D$5:$D$3004,TxRows),$A483))</f>
        <v/>
      </c>
      <c r="N483" s="64" t="str">
        <f aca="false">IF($A483="","",SUMIFS(Adjustments!$C$5:$C$504,Adjustments!$B$5:$B$504,$A483))</f>
        <v/>
      </c>
      <c r="O483" s="64" t="str">
        <f aca="false">IF($A483="","",N($J483)+L483-M483+N483)</f>
        <v/>
      </c>
      <c r="P483" s="61" t="str">
        <f aca="false">IF($A483="","",IFERROR((N($J483)*N($K483)+SUMIFS(Purchases!$K$5:INDEX(Purchases!$K$5:$K$3004,TxRows),Purchases!$D$5:INDEX(Purchases!$D$5:$D$3004,TxRows),$A483))/(N($J483)+L483),N($G483)))</f>
        <v/>
      </c>
      <c r="Q483" s="61" t="str">
        <f aca="false">IF($A483="","",MAX(0,O483)*P483)</f>
        <v/>
      </c>
      <c r="R483" s="60" t="str">
        <f aca="false">IF($A483="","",IF(O483&lt;0,"NEGATIVE",IF(O483=0,"OUT OF STOCK",IF(O483&lt;=N($I483),"REORDER",IF(AND(O483&gt;0,X483&gt;DeadDays),"DEAD STOCK","OK")))))</f>
        <v/>
      </c>
      <c r="S483" s="65" t="str">
        <f aca="false">IF($A483="","",IF(N($H483)=0,0,(N($H483)-P483)/N($H483)))</f>
        <v/>
      </c>
      <c r="T483" s="64" t="str">
        <f aca="false">IF($A483="","",IF(O483&lt;=N($I483),MAX(0,2*N($I483)-O483),0))</f>
        <v/>
      </c>
      <c r="U483" s="61" t="str">
        <f aca="false">IF($A483="","",SUMIFS(Sales!$L$5:INDEX(Sales!$L$5:$L$3004,TxRows),Sales!$D$5:INDEX(Sales!$D$5:$D$3004,TxRows),$A483))</f>
        <v/>
      </c>
      <c r="V483" s="61" t="str">
        <f aca="false">IF($A483="","",SUMIFS(Sales!$S$5:INDEX(Sales!$S$5:$S$3004,TxRows),Sales!$D$5:INDEX(Sales!$D$5:$D$3004,TxRows),$A483))</f>
        <v/>
      </c>
      <c r="W483" s="66" t="str">
        <f aca="false">IF($A483="","",IFERROR(SUMPRODUCT(MAX((Sales!$D$5:INDEX(Sales!$D$5:$D$3004,TxRows)=$A483)*Sales!$A$5:INDEX(Sales!$A$5:$A$3004,TxRows))),0))</f>
        <v/>
      </c>
      <c r="X483" s="67" t="str">
        <f aca="false">IF($A483="","",IF(W483=0,AsOf-FYStart,AsOf-W483))</f>
        <v/>
      </c>
      <c r="Y483" s="67" t="str">
        <f aca="false">IF($A483="","",IF(M483=0,"",O483/(M483/MAX(1,AsOf-FYStart))))</f>
        <v/>
      </c>
      <c r="Z483" s="60" t="str">
        <f aca="false">IF($A483="","",U483+ROW()/1000000)</f>
        <v/>
      </c>
    </row>
    <row r="484" customFormat="false" ht="15" hidden="false" customHeight="false" outlineLevel="0" collapsed="false">
      <c r="A484" s="56"/>
      <c r="B484" s="56"/>
      <c r="C484" s="56"/>
      <c r="D484" s="56"/>
      <c r="E484" s="56"/>
      <c r="F484" s="63"/>
      <c r="G484" s="58"/>
      <c r="H484" s="58"/>
      <c r="I484" s="57"/>
      <c r="J484" s="57"/>
      <c r="K484" s="58"/>
      <c r="L484" s="64" t="str">
        <f aca="false">IF($A484="","",SUMIFS(Purchases!$E$5:INDEX(Purchases!$E$5:$E$3004,TxRows),Purchases!$D$5:INDEX(Purchases!$D$5:$D$3004,TxRows),$A484))</f>
        <v/>
      </c>
      <c r="M484" s="64" t="str">
        <f aca="false">IF($A484="","",SUMIFS(Sales!$E$5:INDEX(Sales!$E$5:$E$3004,TxRows),Sales!$D$5:INDEX(Sales!$D$5:$D$3004,TxRows),$A484))</f>
        <v/>
      </c>
      <c r="N484" s="64" t="str">
        <f aca="false">IF($A484="","",SUMIFS(Adjustments!$C$5:$C$504,Adjustments!$B$5:$B$504,$A484))</f>
        <v/>
      </c>
      <c r="O484" s="64" t="str">
        <f aca="false">IF($A484="","",N($J484)+L484-M484+N484)</f>
        <v/>
      </c>
      <c r="P484" s="61" t="str">
        <f aca="false">IF($A484="","",IFERROR((N($J484)*N($K484)+SUMIFS(Purchases!$K$5:INDEX(Purchases!$K$5:$K$3004,TxRows),Purchases!$D$5:INDEX(Purchases!$D$5:$D$3004,TxRows),$A484))/(N($J484)+L484),N($G484)))</f>
        <v/>
      </c>
      <c r="Q484" s="61" t="str">
        <f aca="false">IF($A484="","",MAX(0,O484)*P484)</f>
        <v/>
      </c>
      <c r="R484" s="60" t="str">
        <f aca="false">IF($A484="","",IF(O484&lt;0,"NEGATIVE",IF(O484=0,"OUT OF STOCK",IF(O484&lt;=N($I484),"REORDER",IF(AND(O484&gt;0,X484&gt;DeadDays),"DEAD STOCK","OK")))))</f>
        <v/>
      </c>
      <c r="S484" s="65" t="str">
        <f aca="false">IF($A484="","",IF(N($H484)=0,0,(N($H484)-P484)/N($H484)))</f>
        <v/>
      </c>
      <c r="T484" s="64" t="str">
        <f aca="false">IF($A484="","",IF(O484&lt;=N($I484),MAX(0,2*N($I484)-O484),0))</f>
        <v/>
      </c>
      <c r="U484" s="61" t="str">
        <f aca="false">IF($A484="","",SUMIFS(Sales!$L$5:INDEX(Sales!$L$5:$L$3004,TxRows),Sales!$D$5:INDEX(Sales!$D$5:$D$3004,TxRows),$A484))</f>
        <v/>
      </c>
      <c r="V484" s="61" t="str">
        <f aca="false">IF($A484="","",SUMIFS(Sales!$S$5:INDEX(Sales!$S$5:$S$3004,TxRows),Sales!$D$5:INDEX(Sales!$D$5:$D$3004,TxRows),$A484))</f>
        <v/>
      </c>
      <c r="W484" s="66" t="str">
        <f aca="false">IF($A484="","",IFERROR(SUMPRODUCT(MAX((Sales!$D$5:INDEX(Sales!$D$5:$D$3004,TxRows)=$A484)*Sales!$A$5:INDEX(Sales!$A$5:$A$3004,TxRows))),0))</f>
        <v/>
      </c>
      <c r="X484" s="67" t="str">
        <f aca="false">IF($A484="","",IF(W484=0,AsOf-FYStart,AsOf-W484))</f>
        <v/>
      </c>
      <c r="Y484" s="67" t="str">
        <f aca="false">IF($A484="","",IF(M484=0,"",O484/(M484/MAX(1,AsOf-FYStart))))</f>
        <v/>
      </c>
      <c r="Z484" s="60" t="str">
        <f aca="false">IF($A484="","",U484+ROW()/1000000)</f>
        <v/>
      </c>
    </row>
    <row r="485" customFormat="false" ht="15" hidden="false" customHeight="false" outlineLevel="0" collapsed="false">
      <c r="A485" s="56"/>
      <c r="B485" s="56"/>
      <c r="C485" s="56"/>
      <c r="D485" s="56"/>
      <c r="E485" s="56"/>
      <c r="F485" s="63"/>
      <c r="G485" s="58"/>
      <c r="H485" s="58"/>
      <c r="I485" s="57"/>
      <c r="J485" s="57"/>
      <c r="K485" s="58"/>
      <c r="L485" s="64" t="str">
        <f aca="false">IF($A485="","",SUMIFS(Purchases!$E$5:INDEX(Purchases!$E$5:$E$3004,TxRows),Purchases!$D$5:INDEX(Purchases!$D$5:$D$3004,TxRows),$A485))</f>
        <v/>
      </c>
      <c r="M485" s="64" t="str">
        <f aca="false">IF($A485="","",SUMIFS(Sales!$E$5:INDEX(Sales!$E$5:$E$3004,TxRows),Sales!$D$5:INDEX(Sales!$D$5:$D$3004,TxRows),$A485))</f>
        <v/>
      </c>
      <c r="N485" s="64" t="str">
        <f aca="false">IF($A485="","",SUMIFS(Adjustments!$C$5:$C$504,Adjustments!$B$5:$B$504,$A485))</f>
        <v/>
      </c>
      <c r="O485" s="64" t="str">
        <f aca="false">IF($A485="","",N($J485)+L485-M485+N485)</f>
        <v/>
      </c>
      <c r="P485" s="61" t="str">
        <f aca="false">IF($A485="","",IFERROR((N($J485)*N($K485)+SUMIFS(Purchases!$K$5:INDEX(Purchases!$K$5:$K$3004,TxRows),Purchases!$D$5:INDEX(Purchases!$D$5:$D$3004,TxRows),$A485))/(N($J485)+L485),N($G485)))</f>
        <v/>
      </c>
      <c r="Q485" s="61" t="str">
        <f aca="false">IF($A485="","",MAX(0,O485)*P485)</f>
        <v/>
      </c>
      <c r="R485" s="60" t="str">
        <f aca="false">IF($A485="","",IF(O485&lt;0,"NEGATIVE",IF(O485=0,"OUT OF STOCK",IF(O485&lt;=N($I485),"REORDER",IF(AND(O485&gt;0,X485&gt;DeadDays),"DEAD STOCK","OK")))))</f>
        <v/>
      </c>
      <c r="S485" s="65" t="str">
        <f aca="false">IF($A485="","",IF(N($H485)=0,0,(N($H485)-P485)/N($H485)))</f>
        <v/>
      </c>
      <c r="T485" s="64" t="str">
        <f aca="false">IF($A485="","",IF(O485&lt;=N($I485),MAX(0,2*N($I485)-O485),0))</f>
        <v/>
      </c>
      <c r="U485" s="61" t="str">
        <f aca="false">IF($A485="","",SUMIFS(Sales!$L$5:INDEX(Sales!$L$5:$L$3004,TxRows),Sales!$D$5:INDEX(Sales!$D$5:$D$3004,TxRows),$A485))</f>
        <v/>
      </c>
      <c r="V485" s="61" t="str">
        <f aca="false">IF($A485="","",SUMIFS(Sales!$S$5:INDEX(Sales!$S$5:$S$3004,TxRows),Sales!$D$5:INDEX(Sales!$D$5:$D$3004,TxRows),$A485))</f>
        <v/>
      </c>
      <c r="W485" s="66" t="str">
        <f aca="false">IF($A485="","",IFERROR(SUMPRODUCT(MAX((Sales!$D$5:INDEX(Sales!$D$5:$D$3004,TxRows)=$A485)*Sales!$A$5:INDEX(Sales!$A$5:$A$3004,TxRows))),0))</f>
        <v/>
      </c>
      <c r="X485" s="67" t="str">
        <f aca="false">IF($A485="","",IF(W485=0,AsOf-FYStart,AsOf-W485))</f>
        <v/>
      </c>
      <c r="Y485" s="67" t="str">
        <f aca="false">IF($A485="","",IF(M485=0,"",O485/(M485/MAX(1,AsOf-FYStart))))</f>
        <v/>
      </c>
      <c r="Z485" s="60" t="str">
        <f aca="false">IF($A485="","",U485+ROW()/1000000)</f>
        <v/>
      </c>
    </row>
    <row r="486" customFormat="false" ht="15" hidden="false" customHeight="false" outlineLevel="0" collapsed="false">
      <c r="A486" s="56"/>
      <c r="B486" s="56"/>
      <c r="C486" s="56"/>
      <c r="D486" s="56"/>
      <c r="E486" s="56"/>
      <c r="F486" s="63"/>
      <c r="G486" s="58"/>
      <c r="H486" s="58"/>
      <c r="I486" s="57"/>
      <c r="J486" s="57"/>
      <c r="K486" s="58"/>
      <c r="L486" s="64" t="str">
        <f aca="false">IF($A486="","",SUMIFS(Purchases!$E$5:INDEX(Purchases!$E$5:$E$3004,TxRows),Purchases!$D$5:INDEX(Purchases!$D$5:$D$3004,TxRows),$A486))</f>
        <v/>
      </c>
      <c r="M486" s="64" t="str">
        <f aca="false">IF($A486="","",SUMIFS(Sales!$E$5:INDEX(Sales!$E$5:$E$3004,TxRows),Sales!$D$5:INDEX(Sales!$D$5:$D$3004,TxRows),$A486))</f>
        <v/>
      </c>
      <c r="N486" s="64" t="str">
        <f aca="false">IF($A486="","",SUMIFS(Adjustments!$C$5:$C$504,Adjustments!$B$5:$B$504,$A486))</f>
        <v/>
      </c>
      <c r="O486" s="64" t="str">
        <f aca="false">IF($A486="","",N($J486)+L486-M486+N486)</f>
        <v/>
      </c>
      <c r="P486" s="61" t="str">
        <f aca="false">IF($A486="","",IFERROR((N($J486)*N($K486)+SUMIFS(Purchases!$K$5:INDEX(Purchases!$K$5:$K$3004,TxRows),Purchases!$D$5:INDEX(Purchases!$D$5:$D$3004,TxRows),$A486))/(N($J486)+L486),N($G486)))</f>
        <v/>
      </c>
      <c r="Q486" s="61" t="str">
        <f aca="false">IF($A486="","",MAX(0,O486)*P486)</f>
        <v/>
      </c>
      <c r="R486" s="60" t="str">
        <f aca="false">IF($A486="","",IF(O486&lt;0,"NEGATIVE",IF(O486=0,"OUT OF STOCK",IF(O486&lt;=N($I486),"REORDER",IF(AND(O486&gt;0,X486&gt;DeadDays),"DEAD STOCK","OK")))))</f>
        <v/>
      </c>
      <c r="S486" s="65" t="str">
        <f aca="false">IF($A486="","",IF(N($H486)=0,0,(N($H486)-P486)/N($H486)))</f>
        <v/>
      </c>
      <c r="T486" s="64" t="str">
        <f aca="false">IF($A486="","",IF(O486&lt;=N($I486),MAX(0,2*N($I486)-O486),0))</f>
        <v/>
      </c>
      <c r="U486" s="61" t="str">
        <f aca="false">IF($A486="","",SUMIFS(Sales!$L$5:INDEX(Sales!$L$5:$L$3004,TxRows),Sales!$D$5:INDEX(Sales!$D$5:$D$3004,TxRows),$A486))</f>
        <v/>
      </c>
      <c r="V486" s="61" t="str">
        <f aca="false">IF($A486="","",SUMIFS(Sales!$S$5:INDEX(Sales!$S$5:$S$3004,TxRows),Sales!$D$5:INDEX(Sales!$D$5:$D$3004,TxRows),$A486))</f>
        <v/>
      </c>
      <c r="W486" s="66" t="str">
        <f aca="false">IF($A486="","",IFERROR(SUMPRODUCT(MAX((Sales!$D$5:INDEX(Sales!$D$5:$D$3004,TxRows)=$A486)*Sales!$A$5:INDEX(Sales!$A$5:$A$3004,TxRows))),0))</f>
        <v/>
      </c>
      <c r="X486" s="67" t="str">
        <f aca="false">IF($A486="","",IF(W486=0,AsOf-FYStart,AsOf-W486))</f>
        <v/>
      </c>
      <c r="Y486" s="67" t="str">
        <f aca="false">IF($A486="","",IF(M486=0,"",O486/(M486/MAX(1,AsOf-FYStart))))</f>
        <v/>
      </c>
      <c r="Z486" s="60" t="str">
        <f aca="false">IF($A486="","",U486+ROW()/1000000)</f>
        <v/>
      </c>
    </row>
    <row r="487" customFormat="false" ht="15" hidden="false" customHeight="false" outlineLevel="0" collapsed="false">
      <c r="A487" s="56"/>
      <c r="B487" s="56"/>
      <c r="C487" s="56"/>
      <c r="D487" s="56"/>
      <c r="E487" s="56"/>
      <c r="F487" s="63"/>
      <c r="G487" s="58"/>
      <c r="H487" s="58"/>
      <c r="I487" s="57"/>
      <c r="J487" s="57"/>
      <c r="K487" s="58"/>
      <c r="L487" s="64" t="str">
        <f aca="false">IF($A487="","",SUMIFS(Purchases!$E$5:INDEX(Purchases!$E$5:$E$3004,TxRows),Purchases!$D$5:INDEX(Purchases!$D$5:$D$3004,TxRows),$A487))</f>
        <v/>
      </c>
      <c r="M487" s="64" t="str">
        <f aca="false">IF($A487="","",SUMIFS(Sales!$E$5:INDEX(Sales!$E$5:$E$3004,TxRows),Sales!$D$5:INDEX(Sales!$D$5:$D$3004,TxRows),$A487))</f>
        <v/>
      </c>
      <c r="N487" s="64" t="str">
        <f aca="false">IF($A487="","",SUMIFS(Adjustments!$C$5:$C$504,Adjustments!$B$5:$B$504,$A487))</f>
        <v/>
      </c>
      <c r="O487" s="64" t="str">
        <f aca="false">IF($A487="","",N($J487)+L487-M487+N487)</f>
        <v/>
      </c>
      <c r="P487" s="61" t="str">
        <f aca="false">IF($A487="","",IFERROR((N($J487)*N($K487)+SUMIFS(Purchases!$K$5:INDEX(Purchases!$K$5:$K$3004,TxRows),Purchases!$D$5:INDEX(Purchases!$D$5:$D$3004,TxRows),$A487))/(N($J487)+L487),N($G487)))</f>
        <v/>
      </c>
      <c r="Q487" s="61" t="str">
        <f aca="false">IF($A487="","",MAX(0,O487)*P487)</f>
        <v/>
      </c>
      <c r="R487" s="60" t="str">
        <f aca="false">IF($A487="","",IF(O487&lt;0,"NEGATIVE",IF(O487=0,"OUT OF STOCK",IF(O487&lt;=N($I487),"REORDER",IF(AND(O487&gt;0,X487&gt;DeadDays),"DEAD STOCK","OK")))))</f>
        <v/>
      </c>
      <c r="S487" s="65" t="str">
        <f aca="false">IF($A487="","",IF(N($H487)=0,0,(N($H487)-P487)/N($H487)))</f>
        <v/>
      </c>
      <c r="T487" s="64" t="str">
        <f aca="false">IF($A487="","",IF(O487&lt;=N($I487),MAX(0,2*N($I487)-O487),0))</f>
        <v/>
      </c>
      <c r="U487" s="61" t="str">
        <f aca="false">IF($A487="","",SUMIFS(Sales!$L$5:INDEX(Sales!$L$5:$L$3004,TxRows),Sales!$D$5:INDEX(Sales!$D$5:$D$3004,TxRows),$A487))</f>
        <v/>
      </c>
      <c r="V487" s="61" t="str">
        <f aca="false">IF($A487="","",SUMIFS(Sales!$S$5:INDEX(Sales!$S$5:$S$3004,TxRows),Sales!$D$5:INDEX(Sales!$D$5:$D$3004,TxRows),$A487))</f>
        <v/>
      </c>
      <c r="W487" s="66" t="str">
        <f aca="false">IF($A487="","",IFERROR(SUMPRODUCT(MAX((Sales!$D$5:INDEX(Sales!$D$5:$D$3004,TxRows)=$A487)*Sales!$A$5:INDEX(Sales!$A$5:$A$3004,TxRows))),0))</f>
        <v/>
      </c>
      <c r="X487" s="67" t="str">
        <f aca="false">IF($A487="","",IF(W487=0,AsOf-FYStart,AsOf-W487))</f>
        <v/>
      </c>
      <c r="Y487" s="67" t="str">
        <f aca="false">IF($A487="","",IF(M487=0,"",O487/(M487/MAX(1,AsOf-FYStart))))</f>
        <v/>
      </c>
      <c r="Z487" s="60" t="str">
        <f aca="false">IF($A487="","",U487+ROW()/1000000)</f>
        <v/>
      </c>
    </row>
    <row r="488" customFormat="false" ht="15" hidden="false" customHeight="false" outlineLevel="0" collapsed="false">
      <c r="A488" s="56"/>
      <c r="B488" s="56"/>
      <c r="C488" s="56"/>
      <c r="D488" s="56"/>
      <c r="E488" s="56"/>
      <c r="F488" s="63"/>
      <c r="G488" s="58"/>
      <c r="H488" s="58"/>
      <c r="I488" s="57"/>
      <c r="J488" s="57"/>
      <c r="K488" s="58"/>
      <c r="L488" s="64" t="str">
        <f aca="false">IF($A488="","",SUMIFS(Purchases!$E$5:INDEX(Purchases!$E$5:$E$3004,TxRows),Purchases!$D$5:INDEX(Purchases!$D$5:$D$3004,TxRows),$A488))</f>
        <v/>
      </c>
      <c r="M488" s="64" t="str">
        <f aca="false">IF($A488="","",SUMIFS(Sales!$E$5:INDEX(Sales!$E$5:$E$3004,TxRows),Sales!$D$5:INDEX(Sales!$D$5:$D$3004,TxRows),$A488))</f>
        <v/>
      </c>
      <c r="N488" s="64" t="str">
        <f aca="false">IF($A488="","",SUMIFS(Adjustments!$C$5:$C$504,Adjustments!$B$5:$B$504,$A488))</f>
        <v/>
      </c>
      <c r="O488" s="64" t="str">
        <f aca="false">IF($A488="","",N($J488)+L488-M488+N488)</f>
        <v/>
      </c>
      <c r="P488" s="61" t="str">
        <f aca="false">IF($A488="","",IFERROR((N($J488)*N($K488)+SUMIFS(Purchases!$K$5:INDEX(Purchases!$K$5:$K$3004,TxRows),Purchases!$D$5:INDEX(Purchases!$D$5:$D$3004,TxRows),$A488))/(N($J488)+L488),N($G488)))</f>
        <v/>
      </c>
      <c r="Q488" s="61" t="str">
        <f aca="false">IF($A488="","",MAX(0,O488)*P488)</f>
        <v/>
      </c>
      <c r="R488" s="60" t="str">
        <f aca="false">IF($A488="","",IF(O488&lt;0,"NEGATIVE",IF(O488=0,"OUT OF STOCK",IF(O488&lt;=N($I488),"REORDER",IF(AND(O488&gt;0,X488&gt;DeadDays),"DEAD STOCK","OK")))))</f>
        <v/>
      </c>
      <c r="S488" s="65" t="str">
        <f aca="false">IF($A488="","",IF(N($H488)=0,0,(N($H488)-P488)/N($H488)))</f>
        <v/>
      </c>
      <c r="T488" s="64" t="str">
        <f aca="false">IF($A488="","",IF(O488&lt;=N($I488),MAX(0,2*N($I488)-O488),0))</f>
        <v/>
      </c>
      <c r="U488" s="61" t="str">
        <f aca="false">IF($A488="","",SUMIFS(Sales!$L$5:INDEX(Sales!$L$5:$L$3004,TxRows),Sales!$D$5:INDEX(Sales!$D$5:$D$3004,TxRows),$A488))</f>
        <v/>
      </c>
      <c r="V488" s="61" t="str">
        <f aca="false">IF($A488="","",SUMIFS(Sales!$S$5:INDEX(Sales!$S$5:$S$3004,TxRows),Sales!$D$5:INDEX(Sales!$D$5:$D$3004,TxRows),$A488))</f>
        <v/>
      </c>
      <c r="W488" s="66" t="str">
        <f aca="false">IF($A488="","",IFERROR(SUMPRODUCT(MAX((Sales!$D$5:INDEX(Sales!$D$5:$D$3004,TxRows)=$A488)*Sales!$A$5:INDEX(Sales!$A$5:$A$3004,TxRows))),0))</f>
        <v/>
      </c>
      <c r="X488" s="67" t="str">
        <f aca="false">IF($A488="","",IF(W488=0,AsOf-FYStart,AsOf-W488))</f>
        <v/>
      </c>
      <c r="Y488" s="67" t="str">
        <f aca="false">IF($A488="","",IF(M488=0,"",O488/(M488/MAX(1,AsOf-FYStart))))</f>
        <v/>
      </c>
      <c r="Z488" s="60" t="str">
        <f aca="false">IF($A488="","",U488+ROW()/1000000)</f>
        <v/>
      </c>
    </row>
    <row r="489" customFormat="false" ht="15" hidden="false" customHeight="false" outlineLevel="0" collapsed="false">
      <c r="A489" s="56"/>
      <c r="B489" s="56"/>
      <c r="C489" s="56"/>
      <c r="D489" s="56"/>
      <c r="E489" s="56"/>
      <c r="F489" s="63"/>
      <c r="G489" s="58"/>
      <c r="H489" s="58"/>
      <c r="I489" s="57"/>
      <c r="J489" s="57"/>
      <c r="K489" s="58"/>
      <c r="L489" s="64" t="str">
        <f aca="false">IF($A489="","",SUMIFS(Purchases!$E$5:INDEX(Purchases!$E$5:$E$3004,TxRows),Purchases!$D$5:INDEX(Purchases!$D$5:$D$3004,TxRows),$A489))</f>
        <v/>
      </c>
      <c r="M489" s="64" t="str">
        <f aca="false">IF($A489="","",SUMIFS(Sales!$E$5:INDEX(Sales!$E$5:$E$3004,TxRows),Sales!$D$5:INDEX(Sales!$D$5:$D$3004,TxRows),$A489))</f>
        <v/>
      </c>
      <c r="N489" s="64" t="str">
        <f aca="false">IF($A489="","",SUMIFS(Adjustments!$C$5:$C$504,Adjustments!$B$5:$B$504,$A489))</f>
        <v/>
      </c>
      <c r="O489" s="64" t="str">
        <f aca="false">IF($A489="","",N($J489)+L489-M489+N489)</f>
        <v/>
      </c>
      <c r="P489" s="61" t="str">
        <f aca="false">IF($A489="","",IFERROR((N($J489)*N($K489)+SUMIFS(Purchases!$K$5:INDEX(Purchases!$K$5:$K$3004,TxRows),Purchases!$D$5:INDEX(Purchases!$D$5:$D$3004,TxRows),$A489))/(N($J489)+L489),N($G489)))</f>
        <v/>
      </c>
      <c r="Q489" s="61" t="str">
        <f aca="false">IF($A489="","",MAX(0,O489)*P489)</f>
        <v/>
      </c>
      <c r="R489" s="60" t="str">
        <f aca="false">IF($A489="","",IF(O489&lt;0,"NEGATIVE",IF(O489=0,"OUT OF STOCK",IF(O489&lt;=N($I489),"REORDER",IF(AND(O489&gt;0,X489&gt;DeadDays),"DEAD STOCK","OK")))))</f>
        <v/>
      </c>
      <c r="S489" s="65" t="str">
        <f aca="false">IF($A489="","",IF(N($H489)=0,0,(N($H489)-P489)/N($H489)))</f>
        <v/>
      </c>
      <c r="T489" s="64" t="str">
        <f aca="false">IF($A489="","",IF(O489&lt;=N($I489),MAX(0,2*N($I489)-O489),0))</f>
        <v/>
      </c>
      <c r="U489" s="61" t="str">
        <f aca="false">IF($A489="","",SUMIFS(Sales!$L$5:INDEX(Sales!$L$5:$L$3004,TxRows),Sales!$D$5:INDEX(Sales!$D$5:$D$3004,TxRows),$A489))</f>
        <v/>
      </c>
      <c r="V489" s="61" t="str">
        <f aca="false">IF($A489="","",SUMIFS(Sales!$S$5:INDEX(Sales!$S$5:$S$3004,TxRows),Sales!$D$5:INDEX(Sales!$D$5:$D$3004,TxRows),$A489))</f>
        <v/>
      </c>
      <c r="W489" s="66" t="str">
        <f aca="false">IF($A489="","",IFERROR(SUMPRODUCT(MAX((Sales!$D$5:INDEX(Sales!$D$5:$D$3004,TxRows)=$A489)*Sales!$A$5:INDEX(Sales!$A$5:$A$3004,TxRows))),0))</f>
        <v/>
      </c>
      <c r="X489" s="67" t="str">
        <f aca="false">IF($A489="","",IF(W489=0,AsOf-FYStart,AsOf-W489))</f>
        <v/>
      </c>
      <c r="Y489" s="67" t="str">
        <f aca="false">IF($A489="","",IF(M489=0,"",O489/(M489/MAX(1,AsOf-FYStart))))</f>
        <v/>
      </c>
      <c r="Z489" s="60" t="str">
        <f aca="false">IF($A489="","",U489+ROW()/1000000)</f>
        <v/>
      </c>
    </row>
    <row r="490" customFormat="false" ht="15" hidden="false" customHeight="false" outlineLevel="0" collapsed="false">
      <c r="A490" s="56"/>
      <c r="B490" s="56"/>
      <c r="C490" s="56"/>
      <c r="D490" s="56"/>
      <c r="E490" s="56"/>
      <c r="F490" s="63"/>
      <c r="G490" s="58"/>
      <c r="H490" s="58"/>
      <c r="I490" s="57"/>
      <c r="J490" s="57"/>
      <c r="K490" s="58"/>
      <c r="L490" s="64" t="str">
        <f aca="false">IF($A490="","",SUMIFS(Purchases!$E$5:INDEX(Purchases!$E$5:$E$3004,TxRows),Purchases!$D$5:INDEX(Purchases!$D$5:$D$3004,TxRows),$A490))</f>
        <v/>
      </c>
      <c r="M490" s="64" t="str">
        <f aca="false">IF($A490="","",SUMIFS(Sales!$E$5:INDEX(Sales!$E$5:$E$3004,TxRows),Sales!$D$5:INDEX(Sales!$D$5:$D$3004,TxRows),$A490))</f>
        <v/>
      </c>
      <c r="N490" s="64" t="str">
        <f aca="false">IF($A490="","",SUMIFS(Adjustments!$C$5:$C$504,Adjustments!$B$5:$B$504,$A490))</f>
        <v/>
      </c>
      <c r="O490" s="64" t="str">
        <f aca="false">IF($A490="","",N($J490)+L490-M490+N490)</f>
        <v/>
      </c>
      <c r="P490" s="61" t="str">
        <f aca="false">IF($A490="","",IFERROR((N($J490)*N($K490)+SUMIFS(Purchases!$K$5:INDEX(Purchases!$K$5:$K$3004,TxRows),Purchases!$D$5:INDEX(Purchases!$D$5:$D$3004,TxRows),$A490))/(N($J490)+L490),N($G490)))</f>
        <v/>
      </c>
      <c r="Q490" s="61" t="str">
        <f aca="false">IF($A490="","",MAX(0,O490)*P490)</f>
        <v/>
      </c>
      <c r="R490" s="60" t="str">
        <f aca="false">IF($A490="","",IF(O490&lt;0,"NEGATIVE",IF(O490=0,"OUT OF STOCK",IF(O490&lt;=N($I490),"REORDER",IF(AND(O490&gt;0,X490&gt;DeadDays),"DEAD STOCK","OK")))))</f>
        <v/>
      </c>
      <c r="S490" s="65" t="str">
        <f aca="false">IF($A490="","",IF(N($H490)=0,0,(N($H490)-P490)/N($H490)))</f>
        <v/>
      </c>
      <c r="T490" s="64" t="str">
        <f aca="false">IF($A490="","",IF(O490&lt;=N($I490),MAX(0,2*N($I490)-O490),0))</f>
        <v/>
      </c>
      <c r="U490" s="61" t="str">
        <f aca="false">IF($A490="","",SUMIFS(Sales!$L$5:INDEX(Sales!$L$5:$L$3004,TxRows),Sales!$D$5:INDEX(Sales!$D$5:$D$3004,TxRows),$A490))</f>
        <v/>
      </c>
      <c r="V490" s="61" t="str">
        <f aca="false">IF($A490="","",SUMIFS(Sales!$S$5:INDEX(Sales!$S$5:$S$3004,TxRows),Sales!$D$5:INDEX(Sales!$D$5:$D$3004,TxRows),$A490))</f>
        <v/>
      </c>
      <c r="W490" s="66" t="str">
        <f aca="false">IF($A490="","",IFERROR(SUMPRODUCT(MAX((Sales!$D$5:INDEX(Sales!$D$5:$D$3004,TxRows)=$A490)*Sales!$A$5:INDEX(Sales!$A$5:$A$3004,TxRows))),0))</f>
        <v/>
      </c>
      <c r="X490" s="67" t="str">
        <f aca="false">IF($A490="","",IF(W490=0,AsOf-FYStart,AsOf-W490))</f>
        <v/>
      </c>
      <c r="Y490" s="67" t="str">
        <f aca="false">IF($A490="","",IF(M490=0,"",O490/(M490/MAX(1,AsOf-FYStart))))</f>
        <v/>
      </c>
      <c r="Z490" s="60" t="str">
        <f aca="false">IF($A490="","",U490+ROW()/1000000)</f>
        <v/>
      </c>
    </row>
    <row r="491" customFormat="false" ht="15" hidden="false" customHeight="false" outlineLevel="0" collapsed="false">
      <c r="A491" s="56"/>
      <c r="B491" s="56"/>
      <c r="C491" s="56"/>
      <c r="D491" s="56"/>
      <c r="E491" s="56"/>
      <c r="F491" s="63"/>
      <c r="G491" s="58"/>
      <c r="H491" s="58"/>
      <c r="I491" s="57"/>
      <c r="J491" s="57"/>
      <c r="K491" s="58"/>
      <c r="L491" s="64" t="str">
        <f aca="false">IF($A491="","",SUMIFS(Purchases!$E$5:INDEX(Purchases!$E$5:$E$3004,TxRows),Purchases!$D$5:INDEX(Purchases!$D$5:$D$3004,TxRows),$A491))</f>
        <v/>
      </c>
      <c r="M491" s="64" t="str">
        <f aca="false">IF($A491="","",SUMIFS(Sales!$E$5:INDEX(Sales!$E$5:$E$3004,TxRows),Sales!$D$5:INDEX(Sales!$D$5:$D$3004,TxRows),$A491))</f>
        <v/>
      </c>
      <c r="N491" s="64" t="str">
        <f aca="false">IF($A491="","",SUMIFS(Adjustments!$C$5:$C$504,Adjustments!$B$5:$B$504,$A491))</f>
        <v/>
      </c>
      <c r="O491" s="64" t="str">
        <f aca="false">IF($A491="","",N($J491)+L491-M491+N491)</f>
        <v/>
      </c>
      <c r="P491" s="61" t="str">
        <f aca="false">IF($A491="","",IFERROR((N($J491)*N($K491)+SUMIFS(Purchases!$K$5:INDEX(Purchases!$K$5:$K$3004,TxRows),Purchases!$D$5:INDEX(Purchases!$D$5:$D$3004,TxRows),$A491))/(N($J491)+L491),N($G491)))</f>
        <v/>
      </c>
      <c r="Q491" s="61" t="str">
        <f aca="false">IF($A491="","",MAX(0,O491)*P491)</f>
        <v/>
      </c>
      <c r="R491" s="60" t="str">
        <f aca="false">IF($A491="","",IF(O491&lt;0,"NEGATIVE",IF(O491=0,"OUT OF STOCK",IF(O491&lt;=N($I491),"REORDER",IF(AND(O491&gt;0,X491&gt;DeadDays),"DEAD STOCK","OK")))))</f>
        <v/>
      </c>
      <c r="S491" s="65" t="str">
        <f aca="false">IF($A491="","",IF(N($H491)=0,0,(N($H491)-P491)/N($H491)))</f>
        <v/>
      </c>
      <c r="T491" s="64" t="str">
        <f aca="false">IF($A491="","",IF(O491&lt;=N($I491),MAX(0,2*N($I491)-O491),0))</f>
        <v/>
      </c>
      <c r="U491" s="61" t="str">
        <f aca="false">IF($A491="","",SUMIFS(Sales!$L$5:INDEX(Sales!$L$5:$L$3004,TxRows),Sales!$D$5:INDEX(Sales!$D$5:$D$3004,TxRows),$A491))</f>
        <v/>
      </c>
      <c r="V491" s="61" t="str">
        <f aca="false">IF($A491="","",SUMIFS(Sales!$S$5:INDEX(Sales!$S$5:$S$3004,TxRows),Sales!$D$5:INDEX(Sales!$D$5:$D$3004,TxRows),$A491))</f>
        <v/>
      </c>
      <c r="W491" s="66" t="str">
        <f aca="false">IF($A491="","",IFERROR(SUMPRODUCT(MAX((Sales!$D$5:INDEX(Sales!$D$5:$D$3004,TxRows)=$A491)*Sales!$A$5:INDEX(Sales!$A$5:$A$3004,TxRows))),0))</f>
        <v/>
      </c>
      <c r="X491" s="67" t="str">
        <f aca="false">IF($A491="","",IF(W491=0,AsOf-FYStart,AsOf-W491))</f>
        <v/>
      </c>
      <c r="Y491" s="67" t="str">
        <f aca="false">IF($A491="","",IF(M491=0,"",O491/(M491/MAX(1,AsOf-FYStart))))</f>
        <v/>
      </c>
      <c r="Z491" s="60" t="str">
        <f aca="false">IF($A491="","",U491+ROW()/1000000)</f>
        <v/>
      </c>
    </row>
    <row r="492" customFormat="false" ht="15" hidden="false" customHeight="false" outlineLevel="0" collapsed="false">
      <c r="A492" s="56"/>
      <c r="B492" s="56"/>
      <c r="C492" s="56"/>
      <c r="D492" s="56"/>
      <c r="E492" s="56"/>
      <c r="F492" s="63"/>
      <c r="G492" s="58"/>
      <c r="H492" s="58"/>
      <c r="I492" s="57"/>
      <c r="J492" s="57"/>
      <c r="K492" s="58"/>
      <c r="L492" s="64" t="str">
        <f aca="false">IF($A492="","",SUMIFS(Purchases!$E$5:INDEX(Purchases!$E$5:$E$3004,TxRows),Purchases!$D$5:INDEX(Purchases!$D$5:$D$3004,TxRows),$A492))</f>
        <v/>
      </c>
      <c r="M492" s="64" t="str">
        <f aca="false">IF($A492="","",SUMIFS(Sales!$E$5:INDEX(Sales!$E$5:$E$3004,TxRows),Sales!$D$5:INDEX(Sales!$D$5:$D$3004,TxRows),$A492))</f>
        <v/>
      </c>
      <c r="N492" s="64" t="str">
        <f aca="false">IF($A492="","",SUMIFS(Adjustments!$C$5:$C$504,Adjustments!$B$5:$B$504,$A492))</f>
        <v/>
      </c>
      <c r="O492" s="64" t="str">
        <f aca="false">IF($A492="","",N($J492)+L492-M492+N492)</f>
        <v/>
      </c>
      <c r="P492" s="61" t="str">
        <f aca="false">IF($A492="","",IFERROR((N($J492)*N($K492)+SUMIFS(Purchases!$K$5:INDEX(Purchases!$K$5:$K$3004,TxRows),Purchases!$D$5:INDEX(Purchases!$D$5:$D$3004,TxRows),$A492))/(N($J492)+L492),N($G492)))</f>
        <v/>
      </c>
      <c r="Q492" s="61" t="str">
        <f aca="false">IF($A492="","",MAX(0,O492)*P492)</f>
        <v/>
      </c>
      <c r="R492" s="60" t="str">
        <f aca="false">IF($A492="","",IF(O492&lt;0,"NEGATIVE",IF(O492=0,"OUT OF STOCK",IF(O492&lt;=N($I492),"REORDER",IF(AND(O492&gt;0,X492&gt;DeadDays),"DEAD STOCK","OK")))))</f>
        <v/>
      </c>
      <c r="S492" s="65" t="str">
        <f aca="false">IF($A492="","",IF(N($H492)=0,0,(N($H492)-P492)/N($H492)))</f>
        <v/>
      </c>
      <c r="T492" s="64" t="str">
        <f aca="false">IF($A492="","",IF(O492&lt;=N($I492),MAX(0,2*N($I492)-O492),0))</f>
        <v/>
      </c>
      <c r="U492" s="61" t="str">
        <f aca="false">IF($A492="","",SUMIFS(Sales!$L$5:INDEX(Sales!$L$5:$L$3004,TxRows),Sales!$D$5:INDEX(Sales!$D$5:$D$3004,TxRows),$A492))</f>
        <v/>
      </c>
      <c r="V492" s="61" t="str">
        <f aca="false">IF($A492="","",SUMIFS(Sales!$S$5:INDEX(Sales!$S$5:$S$3004,TxRows),Sales!$D$5:INDEX(Sales!$D$5:$D$3004,TxRows),$A492))</f>
        <v/>
      </c>
      <c r="W492" s="66" t="str">
        <f aca="false">IF($A492="","",IFERROR(SUMPRODUCT(MAX((Sales!$D$5:INDEX(Sales!$D$5:$D$3004,TxRows)=$A492)*Sales!$A$5:INDEX(Sales!$A$5:$A$3004,TxRows))),0))</f>
        <v/>
      </c>
      <c r="X492" s="67" t="str">
        <f aca="false">IF($A492="","",IF(W492=0,AsOf-FYStart,AsOf-W492))</f>
        <v/>
      </c>
      <c r="Y492" s="67" t="str">
        <f aca="false">IF($A492="","",IF(M492=0,"",O492/(M492/MAX(1,AsOf-FYStart))))</f>
        <v/>
      </c>
      <c r="Z492" s="60" t="str">
        <f aca="false">IF($A492="","",U492+ROW()/1000000)</f>
        <v/>
      </c>
    </row>
    <row r="493" customFormat="false" ht="15" hidden="false" customHeight="false" outlineLevel="0" collapsed="false">
      <c r="A493" s="56"/>
      <c r="B493" s="56"/>
      <c r="C493" s="56"/>
      <c r="D493" s="56"/>
      <c r="E493" s="56"/>
      <c r="F493" s="63"/>
      <c r="G493" s="58"/>
      <c r="H493" s="58"/>
      <c r="I493" s="57"/>
      <c r="J493" s="57"/>
      <c r="K493" s="58"/>
      <c r="L493" s="64" t="str">
        <f aca="false">IF($A493="","",SUMIFS(Purchases!$E$5:INDEX(Purchases!$E$5:$E$3004,TxRows),Purchases!$D$5:INDEX(Purchases!$D$5:$D$3004,TxRows),$A493))</f>
        <v/>
      </c>
      <c r="M493" s="64" t="str">
        <f aca="false">IF($A493="","",SUMIFS(Sales!$E$5:INDEX(Sales!$E$5:$E$3004,TxRows),Sales!$D$5:INDEX(Sales!$D$5:$D$3004,TxRows),$A493))</f>
        <v/>
      </c>
      <c r="N493" s="64" t="str">
        <f aca="false">IF($A493="","",SUMIFS(Adjustments!$C$5:$C$504,Adjustments!$B$5:$B$504,$A493))</f>
        <v/>
      </c>
      <c r="O493" s="64" t="str">
        <f aca="false">IF($A493="","",N($J493)+L493-M493+N493)</f>
        <v/>
      </c>
      <c r="P493" s="61" t="str">
        <f aca="false">IF($A493="","",IFERROR((N($J493)*N($K493)+SUMIFS(Purchases!$K$5:INDEX(Purchases!$K$5:$K$3004,TxRows),Purchases!$D$5:INDEX(Purchases!$D$5:$D$3004,TxRows),$A493))/(N($J493)+L493),N($G493)))</f>
        <v/>
      </c>
      <c r="Q493" s="61" t="str">
        <f aca="false">IF($A493="","",MAX(0,O493)*P493)</f>
        <v/>
      </c>
      <c r="R493" s="60" t="str">
        <f aca="false">IF($A493="","",IF(O493&lt;0,"NEGATIVE",IF(O493=0,"OUT OF STOCK",IF(O493&lt;=N($I493),"REORDER",IF(AND(O493&gt;0,X493&gt;DeadDays),"DEAD STOCK","OK")))))</f>
        <v/>
      </c>
      <c r="S493" s="65" t="str">
        <f aca="false">IF($A493="","",IF(N($H493)=0,0,(N($H493)-P493)/N($H493)))</f>
        <v/>
      </c>
      <c r="T493" s="64" t="str">
        <f aca="false">IF($A493="","",IF(O493&lt;=N($I493),MAX(0,2*N($I493)-O493),0))</f>
        <v/>
      </c>
      <c r="U493" s="61" t="str">
        <f aca="false">IF($A493="","",SUMIFS(Sales!$L$5:INDEX(Sales!$L$5:$L$3004,TxRows),Sales!$D$5:INDEX(Sales!$D$5:$D$3004,TxRows),$A493))</f>
        <v/>
      </c>
      <c r="V493" s="61" t="str">
        <f aca="false">IF($A493="","",SUMIFS(Sales!$S$5:INDEX(Sales!$S$5:$S$3004,TxRows),Sales!$D$5:INDEX(Sales!$D$5:$D$3004,TxRows),$A493))</f>
        <v/>
      </c>
      <c r="W493" s="66" t="str">
        <f aca="false">IF($A493="","",IFERROR(SUMPRODUCT(MAX((Sales!$D$5:INDEX(Sales!$D$5:$D$3004,TxRows)=$A493)*Sales!$A$5:INDEX(Sales!$A$5:$A$3004,TxRows))),0))</f>
        <v/>
      </c>
      <c r="X493" s="67" t="str">
        <f aca="false">IF($A493="","",IF(W493=0,AsOf-FYStart,AsOf-W493))</f>
        <v/>
      </c>
      <c r="Y493" s="67" t="str">
        <f aca="false">IF($A493="","",IF(M493=0,"",O493/(M493/MAX(1,AsOf-FYStart))))</f>
        <v/>
      </c>
      <c r="Z493" s="60" t="str">
        <f aca="false">IF($A493="","",U493+ROW()/1000000)</f>
        <v/>
      </c>
    </row>
    <row r="494" customFormat="false" ht="15" hidden="false" customHeight="false" outlineLevel="0" collapsed="false">
      <c r="A494" s="56"/>
      <c r="B494" s="56"/>
      <c r="C494" s="56"/>
      <c r="D494" s="56"/>
      <c r="E494" s="56"/>
      <c r="F494" s="63"/>
      <c r="G494" s="58"/>
      <c r="H494" s="58"/>
      <c r="I494" s="57"/>
      <c r="J494" s="57"/>
      <c r="K494" s="58"/>
      <c r="L494" s="64" t="str">
        <f aca="false">IF($A494="","",SUMIFS(Purchases!$E$5:INDEX(Purchases!$E$5:$E$3004,TxRows),Purchases!$D$5:INDEX(Purchases!$D$5:$D$3004,TxRows),$A494))</f>
        <v/>
      </c>
      <c r="M494" s="64" t="str">
        <f aca="false">IF($A494="","",SUMIFS(Sales!$E$5:INDEX(Sales!$E$5:$E$3004,TxRows),Sales!$D$5:INDEX(Sales!$D$5:$D$3004,TxRows),$A494))</f>
        <v/>
      </c>
      <c r="N494" s="64" t="str">
        <f aca="false">IF($A494="","",SUMIFS(Adjustments!$C$5:$C$504,Adjustments!$B$5:$B$504,$A494))</f>
        <v/>
      </c>
      <c r="O494" s="64" t="str">
        <f aca="false">IF($A494="","",N($J494)+L494-M494+N494)</f>
        <v/>
      </c>
      <c r="P494" s="61" t="str">
        <f aca="false">IF($A494="","",IFERROR((N($J494)*N($K494)+SUMIFS(Purchases!$K$5:INDEX(Purchases!$K$5:$K$3004,TxRows),Purchases!$D$5:INDEX(Purchases!$D$5:$D$3004,TxRows),$A494))/(N($J494)+L494),N($G494)))</f>
        <v/>
      </c>
      <c r="Q494" s="61" t="str">
        <f aca="false">IF($A494="","",MAX(0,O494)*P494)</f>
        <v/>
      </c>
      <c r="R494" s="60" t="str">
        <f aca="false">IF($A494="","",IF(O494&lt;0,"NEGATIVE",IF(O494=0,"OUT OF STOCK",IF(O494&lt;=N($I494),"REORDER",IF(AND(O494&gt;0,X494&gt;DeadDays),"DEAD STOCK","OK")))))</f>
        <v/>
      </c>
      <c r="S494" s="65" t="str">
        <f aca="false">IF($A494="","",IF(N($H494)=0,0,(N($H494)-P494)/N($H494)))</f>
        <v/>
      </c>
      <c r="T494" s="64" t="str">
        <f aca="false">IF($A494="","",IF(O494&lt;=N($I494),MAX(0,2*N($I494)-O494),0))</f>
        <v/>
      </c>
      <c r="U494" s="61" t="str">
        <f aca="false">IF($A494="","",SUMIFS(Sales!$L$5:INDEX(Sales!$L$5:$L$3004,TxRows),Sales!$D$5:INDEX(Sales!$D$5:$D$3004,TxRows),$A494))</f>
        <v/>
      </c>
      <c r="V494" s="61" t="str">
        <f aca="false">IF($A494="","",SUMIFS(Sales!$S$5:INDEX(Sales!$S$5:$S$3004,TxRows),Sales!$D$5:INDEX(Sales!$D$5:$D$3004,TxRows),$A494))</f>
        <v/>
      </c>
      <c r="W494" s="66" t="str">
        <f aca="false">IF($A494="","",IFERROR(SUMPRODUCT(MAX((Sales!$D$5:INDEX(Sales!$D$5:$D$3004,TxRows)=$A494)*Sales!$A$5:INDEX(Sales!$A$5:$A$3004,TxRows))),0))</f>
        <v/>
      </c>
      <c r="X494" s="67" t="str">
        <f aca="false">IF($A494="","",IF(W494=0,AsOf-FYStart,AsOf-W494))</f>
        <v/>
      </c>
      <c r="Y494" s="67" t="str">
        <f aca="false">IF($A494="","",IF(M494=0,"",O494/(M494/MAX(1,AsOf-FYStart))))</f>
        <v/>
      </c>
      <c r="Z494" s="60" t="str">
        <f aca="false">IF($A494="","",U494+ROW()/1000000)</f>
        <v/>
      </c>
    </row>
    <row r="495" customFormat="false" ht="15" hidden="false" customHeight="false" outlineLevel="0" collapsed="false">
      <c r="A495" s="56"/>
      <c r="B495" s="56"/>
      <c r="C495" s="56"/>
      <c r="D495" s="56"/>
      <c r="E495" s="56"/>
      <c r="F495" s="63"/>
      <c r="G495" s="58"/>
      <c r="H495" s="58"/>
      <c r="I495" s="57"/>
      <c r="J495" s="57"/>
      <c r="K495" s="58"/>
      <c r="L495" s="64" t="str">
        <f aca="false">IF($A495="","",SUMIFS(Purchases!$E$5:INDEX(Purchases!$E$5:$E$3004,TxRows),Purchases!$D$5:INDEX(Purchases!$D$5:$D$3004,TxRows),$A495))</f>
        <v/>
      </c>
      <c r="M495" s="64" t="str">
        <f aca="false">IF($A495="","",SUMIFS(Sales!$E$5:INDEX(Sales!$E$5:$E$3004,TxRows),Sales!$D$5:INDEX(Sales!$D$5:$D$3004,TxRows),$A495))</f>
        <v/>
      </c>
      <c r="N495" s="64" t="str">
        <f aca="false">IF($A495="","",SUMIFS(Adjustments!$C$5:$C$504,Adjustments!$B$5:$B$504,$A495))</f>
        <v/>
      </c>
      <c r="O495" s="64" t="str">
        <f aca="false">IF($A495="","",N($J495)+L495-M495+N495)</f>
        <v/>
      </c>
      <c r="P495" s="61" t="str">
        <f aca="false">IF($A495="","",IFERROR((N($J495)*N($K495)+SUMIFS(Purchases!$K$5:INDEX(Purchases!$K$5:$K$3004,TxRows),Purchases!$D$5:INDEX(Purchases!$D$5:$D$3004,TxRows),$A495))/(N($J495)+L495),N($G495)))</f>
        <v/>
      </c>
      <c r="Q495" s="61" t="str">
        <f aca="false">IF($A495="","",MAX(0,O495)*P495)</f>
        <v/>
      </c>
      <c r="R495" s="60" t="str">
        <f aca="false">IF($A495="","",IF(O495&lt;0,"NEGATIVE",IF(O495=0,"OUT OF STOCK",IF(O495&lt;=N($I495),"REORDER",IF(AND(O495&gt;0,X495&gt;DeadDays),"DEAD STOCK","OK")))))</f>
        <v/>
      </c>
      <c r="S495" s="65" t="str">
        <f aca="false">IF($A495="","",IF(N($H495)=0,0,(N($H495)-P495)/N($H495)))</f>
        <v/>
      </c>
      <c r="T495" s="64" t="str">
        <f aca="false">IF($A495="","",IF(O495&lt;=N($I495),MAX(0,2*N($I495)-O495),0))</f>
        <v/>
      </c>
      <c r="U495" s="61" t="str">
        <f aca="false">IF($A495="","",SUMIFS(Sales!$L$5:INDEX(Sales!$L$5:$L$3004,TxRows),Sales!$D$5:INDEX(Sales!$D$5:$D$3004,TxRows),$A495))</f>
        <v/>
      </c>
      <c r="V495" s="61" t="str">
        <f aca="false">IF($A495="","",SUMIFS(Sales!$S$5:INDEX(Sales!$S$5:$S$3004,TxRows),Sales!$D$5:INDEX(Sales!$D$5:$D$3004,TxRows),$A495))</f>
        <v/>
      </c>
      <c r="W495" s="66" t="str">
        <f aca="false">IF($A495="","",IFERROR(SUMPRODUCT(MAX((Sales!$D$5:INDEX(Sales!$D$5:$D$3004,TxRows)=$A495)*Sales!$A$5:INDEX(Sales!$A$5:$A$3004,TxRows))),0))</f>
        <v/>
      </c>
      <c r="X495" s="67" t="str">
        <f aca="false">IF($A495="","",IF(W495=0,AsOf-FYStart,AsOf-W495))</f>
        <v/>
      </c>
      <c r="Y495" s="67" t="str">
        <f aca="false">IF($A495="","",IF(M495=0,"",O495/(M495/MAX(1,AsOf-FYStart))))</f>
        <v/>
      </c>
      <c r="Z495" s="60" t="str">
        <f aca="false">IF($A495="","",U495+ROW()/1000000)</f>
        <v/>
      </c>
    </row>
    <row r="496" customFormat="false" ht="15" hidden="false" customHeight="false" outlineLevel="0" collapsed="false">
      <c r="A496" s="56"/>
      <c r="B496" s="56"/>
      <c r="C496" s="56"/>
      <c r="D496" s="56"/>
      <c r="E496" s="56"/>
      <c r="F496" s="63"/>
      <c r="G496" s="58"/>
      <c r="H496" s="58"/>
      <c r="I496" s="57"/>
      <c r="J496" s="57"/>
      <c r="K496" s="58"/>
      <c r="L496" s="64" t="str">
        <f aca="false">IF($A496="","",SUMIFS(Purchases!$E$5:INDEX(Purchases!$E$5:$E$3004,TxRows),Purchases!$D$5:INDEX(Purchases!$D$5:$D$3004,TxRows),$A496))</f>
        <v/>
      </c>
      <c r="M496" s="64" t="str">
        <f aca="false">IF($A496="","",SUMIFS(Sales!$E$5:INDEX(Sales!$E$5:$E$3004,TxRows),Sales!$D$5:INDEX(Sales!$D$5:$D$3004,TxRows),$A496))</f>
        <v/>
      </c>
      <c r="N496" s="64" t="str">
        <f aca="false">IF($A496="","",SUMIFS(Adjustments!$C$5:$C$504,Adjustments!$B$5:$B$504,$A496))</f>
        <v/>
      </c>
      <c r="O496" s="64" t="str">
        <f aca="false">IF($A496="","",N($J496)+L496-M496+N496)</f>
        <v/>
      </c>
      <c r="P496" s="61" t="str">
        <f aca="false">IF($A496="","",IFERROR((N($J496)*N($K496)+SUMIFS(Purchases!$K$5:INDEX(Purchases!$K$5:$K$3004,TxRows),Purchases!$D$5:INDEX(Purchases!$D$5:$D$3004,TxRows),$A496))/(N($J496)+L496),N($G496)))</f>
        <v/>
      </c>
      <c r="Q496" s="61" t="str">
        <f aca="false">IF($A496="","",MAX(0,O496)*P496)</f>
        <v/>
      </c>
      <c r="R496" s="60" t="str">
        <f aca="false">IF($A496="","",IF(O496&lt;0,"NEGATIVE",IF(O496=0,"OUT OF STOCK",IF(O496&lt;=N($I496),"REORDER",IF(AND(O496&gt;0,X496&gt;DeadDays),"DEAD STOCK","OK")))))</f>
        <v/>
      </c>
      <c r="S496" s="65" t="str">
        <f aca="false">IF($A496="","",IF(N($H496)=0,0,(N($H496)-P496)/N($H496)))</f>
        <v/>
      </c>
      <c r="T496" s="64" t="str">
        <f aca="false">IF($A496="","",IF(O496&lt;=N($I496),MAX(0,2*N($I496)-O496),0))</f>
        <v/>
      </c>
      <c r="U496" s="61" t="str">
        <f aca="false">IF($A496="","",SUMIFS(Sales!$L$5:INDEX(Sales!$L$5:$L$3004,TxRows),Sales!$D$5:INDEX(Sales!$D$5:$D$3004,TxRows),$A496))</f>
        <v/>
      </c>
      <c r="V496" s="61" t="str">
        <f aca="false">IF($A496="","",SUMIFS(Sales!$S$5:INDEX(Sales!$S$5:$S$3004,TxRows),Sales!$D$5:INDEX(Sales!$D$5:$D$3004,TxRows),$A496))</f>
        <v/>
      </c>
      <c r="W496" s="66" t="str">
        <f aca="false">IF($A496="","",IFERROR(SUMPRODUCT(MAX((Sales!$D$5:INDEX(Sales!$D$5:$D$3004,TxRows)=$A496)*Sales!$A$5:INDEX(Sales!$A$5:$A$3004,TxRows))),0))</f>
        <v/>
      </c>
      <c r="X496" s="67" t="str">
        <f aca="false">IF($A496="","",IF(W496=0,AsOf-FYStart,AsOf-W496))</f>
        <v/>
      </c>
      <c r="Y496" s="67" t="str">
        <f aca="false">IF($A496="","",IF(M496=0,"",O496/(M496/MAX(1,AsOf-FYStart))))</f>
        <v/>
      </c>
      <c r="Z496" s="60" t="str">
        <f aca="false">IF($A496="","",U496+ROW()/1000000)</f>
        <v/>
      </c>
    </row>
    <row r="497" customFormat="false" ht="15" hidden="false" customHeight="false" outlineLevel="0" collapsed="false">
      <c r="A497" s="56"/>
      <c r="B497" s="56"/>
      <c r="C497" s="56"/>
      <c r="D497" s="56"/>
      <c r="E497" s="56"/>
      <c r="F497" s="63"/>
      <c r="G497" s="58"/>
      <c r="H497" s="58"/>
      <c r="I497" s="57"/>
      <c r="J497" s="57"/>
      <c r="K497" s="58"/>
      <c r="L497" s="64" t="str">
        <f aca="false">IF($A497="","",SUMIFS(Purchases!$E$5:INDEX(Purchases!$E$5:$E$3004,TxRows),Purchases!$D$5:INDEX(Purchases!$D$5:$D$3004,TxRows),$A497))</f>
        <v/>
      </c>
      <c r="M497" s="64" t="str">
        <f aca="false">IF($A497="","",SUMIFS(Sales!$E$5:INDEX(Sales!$E$5:$E$3004,TxRows),Sales!$D$5:INDEX(Sales!$D$5:$D$3004,TxRows),$A497))</f>
        <v/>
      </c>
      <c r="N497" s="64" t="str">
        <f aca="false">IF($A497="","",SUMIFS(Adjustments!$C$5:$C$504,Adjustments!$B$5:$B$504,$A497))</f>
        <v/>
      </c>
      <c r="O497" s="64" t="str">
        <f aca="false">IF($A497="","",N($J497)+L497-M497+N497)</f>
        <v/>
      </c>
      <c r="P497" s="61" t="str">
        <f aca="false">IF($A497="","",IFERROR((N($J497)*N($K497)+SUMIFS(Purchases!$K$5:INDEX(Purchases!$K$5:$K$3004,TxRows),Purchases!$D$5:INDEX(Purchases!$D$5:$D$3004,TxRows),$A497))/(N($J497)+L497),N($G497)))</f>
        <v/>
      </c>
      <c r="Q497" s="61" t="str">
        <f aca="false">IF($A497="","",MAX(0,O497)*P497)</f>
        <v/>
      </c>
      <c r="R497" s="60" t="str">
        <f aca="false">IF($A497="","",IF(O497&lt;0,"NEGATIVE",IF(O497=0,"OUT OF STOCK",IF(O497&lt;=N($I497),"REORDER",IF(AND(O497&gt;0,X497&gt;DeadDays),"DEAD STOCK","OK")))))</f>
        <v/>
      </c>
      <c r="S497" s="65" t="str">
        <f aca="false">IF($A497="","",IF(N($H497)=0,0,(N($H497)-P497)/N($H497)))</f>
        <v/>
      </c>
      <c r="T497" s="64" t="str">
        <f aca="false">IF($A497="","",IF(O497&lt;=N($I497),MAX(0,2*N($I497)-O497),0))</f>
        <v/>
      </c>
      <c r="U497" s="61" t="str">
        <f aca="false">IF($A497="","",SUMIFS(Sales!$L$5:INDEX(Sales!$L$5:$L$3004,TxRows),Sales!$D$5:INDEX(Sales!$D$5:$D$3004,TxRows),$A497))</f>
        <v/>
      </c>
      <c r="V497" s="61" t="str">
        <f aca="false">IF($A497="","",SUMIFS(Sales!$S$5:INDEX(Sales!$S$5:$S$3004,TxRows),Sales!$D$5:INDEX(Sales!$D$5:$D$3004,TxRows),$A497))</f>
        <v/>
      </c>
      <c r="W497" s="66" t="str">
        <f aca="false">IF($A497="","",IFERROR(SUMPRODUCT(MAX((Sales!$D$5:INDEX(Sales!$D$5:$D$3004,TxRows)=$A497)*Sales!$A$5:INDEX(Sales!$A$5:$A$3004,TxRows))),0))</f>
        <v/>
      </c>
      <c r="X497" s="67" t="str">
        <f aca="false">IF($A497="","",IF(W497=0,AsOf-FYStart,AsOf-W497))</f>
        <v/>
      </c>
      <c r="Y497" s="67" t="str">
        <f aca="false">IF($A497="","",IF(M497=0,"",O497/(M497/MAX(1,AsOf-FYStart))))</f>
        <v/>
      </c>
      <c r="Z497" s="60" t="str">
        <f aca="false">IF($A497="","",U497+ROW()/1000000)</f>
        <v/>
      </c>
    </row>
    <row r="498" customFormat="false" ht="15" hidden="false" customHeight="false" outlineLevel="0" collapsed="false">
      <c r="A498" s="56"/>
      <c r="B498" s="56"/>
      <c r="C498" s="56"/>
      <c r="D498" s="56"/>
      <c r="E498" s="56"/>
      <c r="F498" s="63"/>
      <c r="G498" s="58"/>
      <c r="H498" s="58"/>
      <c r="I498" s="57"/>
      <c r="J498" s="57"/>
      <c r="K498" s="58"/>
      <c r="L498" s="64" t="str">
        <f aca="false">IF($A498="","",SUMIFS(Purchases!$E$5:INDEX(Purchases!$E$5:$E$3004,TxRows),Purchases!$D$5:INDEX(Purchases!$D$5:$D$3004,TxRows),$A498))</f>
        <v/>
      </c>
      <c r="M498" s="64" t="str">
        <f aca="false">IF($A498="","",SUMIFS(Sales!$E$5:INDEX(Sales!$E$5:$E$3004,TxRows),Sales!$D$5:INDEX(Sales!$D$5:$D$3004,TxRows),$A498))</f>
        <v/>
      </c>
      <c r="N498" s="64" t="str">
        <f aca="false">IF($A498="","",SUMIFS(Adjustments!$C$5:$C$504,Adjustments!$B$5:$B$504,$A498))</f>
        <v/>
      </c>
      <c r="O498" s="64" t="str">
        <f aca="false">IF($A498="","",N($J498)+L498-M498+N498)</f>
        <v/>
      </c>
      <c r="P498" s="61" t="str">
        <f aca="false">IF($A498="","",IFERROR((N($J498)*N($K498)+SUMIFS(Purchases!$K$5:INDEX(Purchases!$K$5:$K$3004,TxRows),Purchases!$D$5:INDEX(Purchases!$D$5:$D$3004,TxRows),$A498))/(N($J498)+L498),N($G498)))</f>
        <v/>
      </c>
      <c r="Q498" s="61" t="str">
        <f aca="false">IF($A498="","",MAX(0,O498)*P498)</f>
        <v/>
      </c>
      <c r="R498" s="60" t="str">
        <f aca="false">IF($A498="","",IF(O498&lt;0,"NEGATIVE",IF(O498=0,"OUT OF STOCK",IF(O498&lt;=N($I498),"REORDER",IF(AND(O498&gt;0,X498&gt;DeadDays),"DEAD STOCK","OK")))))</f>
        <v/>
      </c>
      <c r="S498" s="65" t="str">
        <f aca="false">IF($A498="","",IF(N($H498)=0,0,(N($H498)-P498)/N($H498)))</f>
        <v/>
      </c>
      <c r="T498" s="64" t="str">
        <f aca="false">IF($A498="","",IF(O498&lt;=N($I498),MAX(0,2*N($I498)-O498),0))</f>
        <v/>
      </c>
      <c r="U498" s="61" t="str">
        <f aca="false">IF($A498="","",SUMIFS(Sales!$L$5:INDEX(Sales!$L$5:$L$3004,TxRows),Sales!$D$5:INDEX(Sales!$D$5:$D$3004,TxRows),$A498))</f>
        <v/>
      </c>
      <c r="V498" s="61" t="str">
        <f aca="false">IF($A498="","",SUMIFS(Sales!$S$5:INDEX(Sales!$S$5:$S$3004,TxRows),Sales!$D$5:INDEX(Sales!$D$5:$D$3004,TxRows),$A498))</f>
        <v/>
      </c>
      <c r="W498" s="66" t="str">
        <f aca="false">IF($A498="","",IFERROR(SUMPRODUCT(MAX((Sales!$D$5:INDEX(Sales!$D$5:$D$3004,TxRows)=$A498)*Sales!$A$5:INDEX(Sales!$A$5:$A$3004,TxRows))),0))</f>
        <v/>
      </c>
      <c r="X498" s="67" t="str">
        <f aca="false">IF($A498="","",IF(W498=0,AsOf-FYStart,AsOf-W498))</f>
        <v/>
      </c>
      <c r="Y498" s="67" t="str">
        <f aca="false">IF($A498="","",IF(M498=0,"",O498/(M498/MAX(1,AsOf-FYStart))))</f>
        <v/>
      </c>
      <c r="Z498" s="60" t="str">
        <f aca="false">IF($A498="","",U498+ROW()/1000000)</f>
        <v/>
      </c>
    </row>
    <row r="499" customFormat="false" ht="15" hidden="false" customHeight="false" outlineLevel="0" collapsed="false">
      <c r="A499" s="56"/>
      <c r="B499" s="56"/>
      <c r="C499" s="56"/>
      <c r="D499" s="56"/>
      <c r="E499" s="56"/>
      <c r="F499" s="63"/>
      <c r="G499" s="58"/>
      <c r="H499" s="58"/>
      <c r="I499" s="57"/>
      <c r="J499" s="57"/>
      <c r="K499" s="58"/>
      <c r="L499" s="64" t="str">
        <f aca="false">IF($A499="","",SUMIFS(Purchases!$E$5:INDEX(Purchases!$E$5:$E$3004,TxRows),Purchases!$D$5:INDEX(Purchases!$D$5:$D$3004,TxRows),$A499))</f>
        <v/>
      </c>
      <c r="M499" s="64" t="str">
        <f aca="false">IF($A499="","",SUMIFS(Sales!$E$5:INDEX(Sales!$E$5:$E$3004,TxRows),Sales!$D$5:INDEX(Sales!$D$5:$D$3004,TxRows),$A499))</f>
        <v/>
      </c>
      <c r="N499" s="64" t="str">
        <f aca="false">IF($A499="","",SUMIFS(Adjustments!$C$5:$C$504,Adjustments!$B$5:$B$504,$A499))</f>
        <v/>
      </c>
      <c r="O499" s="64" t="str">
        <f aca="false">IF($A499="","",N($J499)+L499-M499+N499)</f>
        <v/>
      </c>
      <c r="P499" s="61" t="str">
        <f aca="false">IF($A499="","",IFERROR((N($J499)*N($K499)+SUMIFS(Purchases!$K$5:INDEX(Purchases!$K$5:$K$3004,TxRows),Purchases!$D$5:INDEX(Purchases!$D$5:$D$3004,TxRows),$A499))/(N($J499)+L499),N($G499)))</f>
        <v/>
      </c>
      <c r="Q499" s="61" t="str">
        <f aca="false">IF($A499="","",MAX(0,O499)*P499)</f>
        <v/>
      </c>
      <c r="R499" s="60" t="str">
        <f aca="false">IF($A499="","",IF(O499&lt;0,"NEGATIVE",IF(O499=0,"OUT OF STOCK",IF(O499&lt;=N($I499),"REORDER",IF(AND(O499&gt;0,X499&gt;DeadDays),"DEAD STOCK","OK")))))</f>
        <v/>
      </c>
      <c r="S499" s="65" t="str">
        <f aca="false">IF($A499="","",IF(N($H499)=0,0,(N($H499)-P499)/N($H499)))</f>
        <v/>
      </c>
      <c r="T499" s="64" t="str">
        <f aca="false">IF($A499="","",IF(O499&lt;=N($I499),MAX(0,2*N($I499)-O499),0))</f>
        <v/>
      </c>
      <c r="U499" s="61" t="str">
        <f aca="false">IF($A499="","",SUMIFS(Sales!$L$5:INDEX(Sales!$L$5:$L$3004,TxRows),Sales!$D$5:INDEX(Sales!$D$5:$D$3004,TxRows),$A499))</f>
        <v/>
      </c>
      <c r="V499" s="61" t="str">
        <f aca="false">IF($A499="","",SUMIFS(Sales!$S$5:INDEX(Sales!$S$5:$S$3004,TxRows),Sales!$D$5:INDEX(Sales!$D$5:$D$3004,TxRows),$A499))</f>
        <v/>
      </c>
      <c r="W499" s="66" t="str">
        <f aca="false">IF($A499="","",IFERROR(SUMPRODUCT(MAX((Sales!$D$5:INDEX(Sales!$D$5:$D$3004,TxRows)=$A499)*Sales!$A$5:INDEX(Sales!$A$5:$A$3004,TxRows))),0))</f>
        <v/>
      </c>
      <c r="X499" s="67" t="str">
        <f aca="false">IF($A499="","",IF(W499=0,AsOf-FYStart,AsOf-W499))</f>
        <v/>
      </c>
      <c r="Y499" s="67" t="str">
        <f aca="false">IF($A499="","",IF(M499=0,"",O499/(M499/MAX(1,AsOf-FYStart))))</f>
        <v/>
      </c>
      <c r="Z499" s="60" t="str">
        <f aca="false">IF($A499="","",U499+ROW()/1000000)</f>
        <v/>
      </c>
    </row>
    <row r="500" customFormat="false" ht="15" hidden="false" customHeight="false" outlineLevel="0" collapsed="false">
      <c r="A500" s="56"/>
      <c r="B500" s="56"/>
      <c r="C500" s="56"/>
      <c r="D500" s="56"/>
      <c r="E500" s="56"/>
      <c r="F500" s="63"/>
      <c r="G500" s="58"/>
      <c r="H500" s="58"/>
      <c r="I500" s="57"/>
      <c r="J500" s="57"/>
      <c r="K500" s="58"/>
      <c r="L500" s="64" t="str">
        <f aca="false">IF($A500="","",SUMIFS(Purchases!$E$5:INDEX(Purchases!$E$5:$E$3004,TxRows),Purchases!$D$5:INDEX(Purchases!$D$5:$D$3004,TxRows),$A500))</f>
        <v/>
      </c>
      <c r="M500" s="64" t="str">
        <f aca="false">IF($A500="","",SUMIFS(Sales!$E$5:INDEX(Sales!$E$5:$E$3004,TxRows),Sales!$D$5:INDEX(Sales!$D$5:$D$3004,TxRows),$A500))</f>
        <v/>
      </c>
      <c r="N500" s="64" t="str">
        <f aca="false">IF($A500="","",SUMIFS(Adjustments!$C$5:$C$504,Adjustments!$B$5:$B$504,$A500))</f>
        <v/>
      </c>
      <c r="O500" s="64" t="str">
        <f aca="false">IF($A500="","",N($J500)+L500-M500+N500)</f>
        <v/>
      </c>
      <c r="P500" s="61" t="str">
        <f aca="false">IF($A500="","",IFERROR((N($J500)*N($K500)+SUMIFS(Purchases!$K$5:INDEX(Purchases!$K$5:$K$3004,TxRows),Purchases!$D$5:INDEX(Purchases!$D$5:$D$3004,TxRows),$A500))/(N($J500)+L500),N($G500)))</f>
        <v/>
      </c>
      <c r="Q500" s="61" t="str">
        <f aca="false">IF($A500="","",MAX(0,O500)*P500)</f>
        <v/>
      </c>
      <c r="R500" s="60" t="str">
        <f aca="false">IF($A500="","",IF(O500&lt;0,"NEGATIVE",IF(O500=0,"OUT OF STOCK",IF(O500&lt;=N($I500),"REORDER",IF(AND(O500&gt;0,X500&gt;DeadDays),"DEAD STOCK","OK")))))</f>
        <v/>
      </c>
      <c r="S500" s="65" t="str">
        <f aca="false">IF($A500="","",IF(N($H500)=0,0,(N($H500)-P500)/N($H500)))</f>
        <v/>
      </c>
      <c r="T500" s="64" t="str">
        <f aca="false">IF($A500="","",IF(O500&lt;=N($I500),MAX(0,2*N($I500)-O500),0))</f>
        <v/>
      </c>
      <c r="U500" s="61" t="str">
        <f aca="false">IF($A500="","",SUMIFS(Sales!$L$5:INDEX(Sales!$L$5:$L$3004,TxRows),Sales!$D$5:INDEX(Sales!$D$5:$D$3004,TxRows),$A500))</f>
        <v/>
      </c>
      <c r="V500" s="61" t="str">
        <f aca="false">IF($A500="","",SUMIFS(Sales!$S$5:INDEX(Sales!$S$5:$S$3004,TxRows),Sales!$D$5:INDEX(Sales!$D$5:$D$3004,TxRows),$A500))</f>
        <v/>
      </c>
      <c r="W500" s="66" t="str">
        <f aca="false">IF($A500="","",IFERROR(SUMPRODUCT(MAX((Sales!$D$5:INDEX(Sales!$D$5:$D$3004,TxRows)=$A500)*Sales!$A$5:INDEX(Sales!$A$5:$A$3004,TxRows))),0))</f>
        <v/>
      </c>
      <c r="X500" s="67" t="str">
        <f aca="false">IF($A500="","",IF(W500=0,AsOf-FYStart,AsOf-W500))</f>
        <v/>
      </c>
      <c r="Y500" s="67" t="str">
        <f aca="false">IF($A500="","",IF(M500=0,"",O500/(M500/MAX(1,AsOf-FYStart))))</f>
        <v/>
      </c>
      <c r="Z500" s="60" t="str">
        <f aca="false">IF($A500="","",U500+ROW()/1000000)</f>
        <v/>
      </c>
    </row>
    <row r="501" customFormat="false" ht="15" hidden="false" customHeight="false" outlineLevel="0" collapsed="false">
      <c r="A501" s="56"/>
      <c r="B501" s="56"/>
      <c r="C501" s="56"/>
      <c r="D501" s="56"/>
      <c r="E501" s="56"/>
      <c r="F501" s="63"/>
      <c r="G501" s="58"/>
      <c r="H501" s="58"/>
      <c r="I501" s="57"/>
      <c r="J501" s="57"/>
      <c r="K501" s="58"/>
      <c r="L501" s="64" t="str">
        <f aca="false">IF($A501="","",SUMIFS(Purchases!$E$5:INDEX(Purchases!$E$5:$E$3004,TxRows),Purchases!$D$5:INDEX(Purchases!$D$5:$D$3004,TxRows),$A501))</f>
        <v/>
      </c>
      <c r="M501" s="64" t="str">
        <f aca="false">IF($A501="","",SUMIFS(Sales!$E$5:INDEX(Sales!$E$5:$E$3004,TxRows),Sales!$D$5:INDEX(Sales!$D$5:$D$3004,TxRows),$A501))</f>
        <v/>
      </c>
      <c r="N501" s="64" t="str">
        <f aca="false">IF($A501="","",SUMIFS(Adjustments!$C$5:$C$504,Adjustments!$B$5:$B$504,$A501))</f>
        <v/>
      </c>
      <c r="O501" s="64" t="str">
        <f aca="false">IF($A501="","",N($J501)+L501-M501+N501)</f>
        <v/>
      </c>
      <c r="P501" s="61" t="str">
        <f aca="false">IF($A501="","",IFERROR((N($J501)*N($K501)+SUMIFS(Purchases!$K$5:INDEX(Purchases!$K$5:$K$3004,TxRows),Purchases!$D$5:INDEX(Purchases!$D$5:$D$3004,TxRows),$A501))/(N($J501)+L501),N($G501)))</f>
        <v/>
      </c>
      <c r="Q501" s="61" t="str">
        <f aca="false">IF($A501="","",MAX(0,O501)*P501)</f>
        <v/>
      </c>
      <c r="R501" s="60" t="str">
        <f aca="false">IF($A501="","",IF(O501&lt;0,"NEGATIVE",IF(O501=0,"OUT OF STOCK",IF(O501&lt;=N($I501),"REORDER",IF(AND(O501&gt;0,X501&gt;DeadDays),"DEAD STOCK","OK")))))</f>
        <v/>
      </c>
      <c r="S501" s="65" t="str">
        <f aca="false">IF($A501="","",IF(N($H501)=0,0,(N($H501)-P501)/N($H501)))</f>
        <v/>
      </c>
      <c r="T501" s="64" t="str">
        <f aca="false">IF($A501="","",IF(O501&lt;=N($I501),MAX(0,2*N($I501)-O501),0))</f>
        <v/>
      </c>
      <c r="U501" s="61" t="str">
        <f aca="false">IF($A501="","",SUMIFS(Sales!$L$5:INDEX(Sales!$L$5:$L$3004,TxRows),Sales!$D$5:INDEX(Sales!$D$5:$D$3004,TxRows),$A501))</f>
        <v/>
      </c>
      <c r="V501" s="61" t="str">
        <f aca="false">IF($A501="","",SUMIFS(Sales!$S$5:INDEX(Sales!$S$5:$S$3004,TxRows),Sales!$D$5:INDEX(Sales!$D$5:$D$3004,TxRows),$A501))</f>
        <v/>
      </c>
      <c r="W501" s="66" t="str">
        <f aca="false">IF($A501="","",IFERROR(SUMPRODUCT(MAX((Sales!$D$5:INDEX(Sales!$D$5:$D$3004,TxRows)=$A501)*Sales!$A$5:INDEX(Sales!$A$5:$A$3004,TxRows))),0))</f>
        <v/>
      </c>
      <c r="X501" s="67" t="str">
        <f aca="false">IF($A501="","",IF(W501=0,AsOf-FYStart,AsOf-W501))</f>
        <v/>
      </c>
      <c r="Y501" s="67" t="str">
        <f aca="false">IF($A501="","",IF(M501=0,"",O501/(M501/MAX(1,AsOf-FYStart))))</f>
        <v/>
      </c>
      <c r="Z501" s="60" t="str">
        <f aca="false">IF($A501="","",U501+ROW()/1000000)</f>
        <v/>
      </c>
    </row>
    <row r="502" customFormat="false" ht="15" hidden="false" customHeight="false" outlineLevel="0" collapsed="false">
      <c r="A502" s="56"/>
      <c r="B502" s="56"/>
      <c r="C502" s="56"/>
      <c r="D502" s="56"/>
      <c r="E502" s="56"/>
      <c r="F502" s="63"/>
      <c r="G502" s="58"/>
      <c r="H502" s="58"/>
      <c r="I502" s="57"/>
      <c r="J502" s="57"/>
      <c r="K502" s="58"/>
      <c r="L502" s="64" t="str">
        <f aca="false">IF($A502="","",SUMIFS(Purchases!$E$5:INDEX(Purchases!$E$5:$E$3004,TxRows),Purchases!$D$5:INDEX(Purchases!$D$5:$D$3004,TxRows),$A502))</f>
        <v/>
      </c>
      <c r="M502" s="64" t="str">
        <f aca="false">IF($A502="","",SUMIFS(Sales!$E$5:INDEX(Sales!$E$5:$E$3004,TxRows),Sales!$D$5:INDEX(Sales!$D$5:$D$3004,TxRows),$A502))</f>
        <v/>
      </c>
      <c r="N502" s="64" t="str">
        <f aca="false">IF($A502="","",SUMIFS(Adjustments!$C$5:$C$504,Adjustments!$B$5:$B$504,$A502))</f>
        <v/>
      </c>
      <c r="O502" s="64" t="str">
        <f aca="false">IF($A502="","",N($J502)+L502-M502+N502)</f>
        <v/>
      </c>
      <c r="P502" s="61" t="str">
        <f aca="false">IF($A502="","",IFERROR((N($J502)*N($K502)+SUMIFS(Purchases!$K$5:INDEX(Purchases!$K$5:$K$3004,TxRows),Purchases!$D$5:INDEX(Purchases!$D$5:$D$3004,TxRows),$A502))/(N($J502)+L502),N($G502)))</f>
        <v/>
      </c>
      <c r="Q502" s="61" t="str">
        <f aca="false">IF($A502="","",MAX(0,O502)*P502)</f>
        <v/>
      </c>
      <c r="R502" s="60" t="str">
        <f aca="false">IF($A502="","",IF(O502&lt;0,"NEGATIVE",IF(O502=0,"OUT OF STOCK",IF(O502&lt;=N($I502),"REORDER",IF(AND(O502&gt;0,X502&gt;DeadDays),"DEAD STOCK","OK")))))</f>
        <v/>
      </c>
      <c r="S502" s="65" t="str">
        <f aca="false">IF($A502="","",IF(N($H502)=0,0,(N($H502)-P502)/N($H502)))</f>
        <v/>
      </c>
      <c r="T502" s="64" t="str">
        <f aca="false">IF($A502="","",IF(O502&lt;=N($I502),MAX(0,2*N($I502)-O502),0))</f>
        <v/>
      </c>
      <c r="U502" s="61" t="str">
        <f aca="false">IF($A502="","",SUMIFS(Sales!$L$5:INDEX(Sales!$L$5:$L$3004,TxRows),Sales!$D$5:INDEX(Sales!$D$5:$D$3004,TxRows),$A502))</f>
        <v/>
      </c>
      <c r="V502" s="61" t="str">
        <f aca="false">IF($A502="","",SUMIFS(Sales!$S$5:INDEX(Sales!$S$5:$S$3004,TxRows),Sales!$D$5:INDEX(Sales!$D$5:$D$3004,TxRows),$A502))</f>
        <v/>
      </c>
      <c r="W502" s="66" t="str">
        <f aca="false">IF($A502="","",IFERROR(SUMPRODUCT(MAX((Sales!$D$5:INDEX(Sales!$D$5:$D$3004,TxRows)=$A502)*Sales!$A$5:INDEX(Sales!$A$5:$A$3004,TxRows))),0))</f>
        <v/>
      </c>
      <c r="X502" s="67" t="str">
        <f aca="false">IF($A502="","",IF(W502=0,AsOf-FYStart,AsOf-W502))</f>
        <v/>
      </c>
      <c r="Y502" s="67" t="str">
        <f aca="false">IF($A502="","",IF(M502=0,"",O502/(M502/MAX(1,AsOf-FYStart))))</f>
        <v/>
      </c>
      <c r="Z502" s="60" t="str">
        <f aca="false">IF($A502="","",U502+ROW()/1000000)</f>
        <v/>
      </c>
    </row>
    <row r="503" customFormat="false" ht="15" hidden="false" customHeight="false" outlineLevel="0" collapsed="false">
      <c r="A503" s="56"/>
      <c r="B503" s="56"/>
      <c r="C503" s="56"/>
      <c r="D503" s="56"/>
      <c r="E503" s="56"/>
      <c r="F503" s="63"/>
      <c r="G503" s="58"/>
      <c r="H503" s="58"/>
      <c r="I503" s="57"/>
      <c r="J503" s="57"/>
      <c r="K503" s="58"/>
      <c r="L503" s="64" t="str">
        <f aca="false">IF($A503="","",SUMIFS(Purchases!$E$5:INDEX(Purchases!$E$5:$E$3004,TxRows),Purchases!$D$5:INDEX(Purchases!$D$5:$D$3004,TxRows),$A503))</f>
        <v/>
      </c>
      <c r="M503" s="64" t="str">
        <f aca="false">IF($A503="","",SUMIFS(Sales!$E$5:INDEX(Sales!$E$5:$E$3004,TxRows),Sales!$D$5:INDEX(Sales!$D$5:$D$3004,TxRows),$A503))</f>
        <v/>
      </c>
      <c r="N503" s="64" t="str">
        <f aca="false">IF($A503="","",SUMIFS(Adjustments!$C$5:$C$504,Adjustments!$B$5:$B$504,$A503))</f>
        <v/>
      </c>
      <c r="O503" s="64" t="str">
        <f aca="false">IF($A503="","",N($J503)+L503-M503+N503)</f>
        <v/>
      </c>
      <c r="P503" s="61" t="str">
        <f aca="false">IF($A503="","",IFERROR((N($J503)*N($K503)+SUMIFS(Purchases!$K$5:INDEX(Purchases!$K$5:$K$3004,TxRows),Purchases!$D$5:INDEX(Purchases!$D$5:$D$3004,TxRows),$A503))/(N($J503)+L503),N($G503)))</f>
        <v/>
      </c>
      <c r="Q503" s="61" t="str">
        <f aca="false">IF($A503="","",MAX(0,O503)*P503)</f>
        <v/>
      </c>
      <c r="R503" s="60" t="str">
        <f aca="false">IF($A503="","",IF(O503&lt;0,"NEGATIVE",IF(O503=0,"OUT OF STOCK",IF(O503&lt;=N($I503),"REORDER",IF(AND(O503&gt;0,X503&gt;DeadDays),"DEAD STOCK","OK")))))</f>
        <v/>
      </c>
      <c r="S503" s="65" t="str">
        <f aca="false">IF($A503="","",IF(N($H503)=0,0,(N($H503)-P503)/N($H503)))</f>
        <v/>
      </c>
      <c r="T503" s="64" t="str">
        <f aca="false">IF($A503="","",IF(O503&lt;=N($I503),MAX(0,2*N($I503)-O503),0))</f>
        <v/>
      </c>
      <c r="U503" s="61" t="str">
        <f aca="false">IF($A503="","",SUMIFS(Sales!$L$5:INDEX(Sales!$L$5:$L$3004,TxRows),Sales!$D$5:INDEX(Sales!$D$5:$D$3004,TxRows),$A503))</f>
        <v/>
      </c>
      <c r="V503" s="61" t="str">
        <f aca="false">IF($A503="","",SUMIFS(Sales!$S$5:INDEX(Sales!$S$5:$S$3004,TxRows),Sales!$D$5:INDEX(Sales!$D$5:$D$3004,TxRows),$A503))</f>
        <v/>
      </c>
      <c r="W503" s="66" t="str">
        <f aca="false">IF($A503="","",IFERROR(SUMPRODUCT(MAX((Sales!$D$5:INDEX(Sales!$D$5:$D$3004,TxRows)=$A503)*Sales!$A$5:INDEX(Sales!$A$5:$A$3004,TxRows))),0))</f>
        <v/>
      </c>
      <c r="X503" s="67" t="str">
        <f aca="false">IF($A503="","",IF(W503=0,AsOf-FYStart,AsOf-W503))</f>
        <v/>
      </c>
      <c r="Y503" s="67" t="str">
        <f aca="false">IF($A503="","",IF(M503=0,"",O503/(M503/MAX(1,AsOf-FYStart))))</f>
        <v/>
      </c>
      <c r="Z503" s="60" t="str">
        <f aca="false">IF($A503="","",U503+ROW()/1000000)</f>
        <v/>
      </c>
    </row>
    <row r="504" customFormat="false" ht="15" hidden="false" customHeight="false" outlineLevel="0" collapsed="false">
      <c r="A504" s="56"/>
      <c r="B504" s="56"/>
      <c r="C504" s="56"/>
      <c r="D504" s="56"/>
      <c r="E504" s="56"/>
      <c r="F504" s="63"/>
      <c r="G504" s="58"/>
      <c r="H504" s="58"/>
      <c r="I504" s="57"/>
      <c r="J504" s="57"/>
      <c r="K504" s="58"/>
      <c r="L504" s="64" t="str">
        <f aca="false">IF($A504="","",SUMIFS(Purchases!$E$5:INDEX(Purchases!$E$5:$E$3004,TxRows),Purchases!$D$5:INDEX(Purchases!$D$5:$D$3004,TxRows),$A504))</f>
        <v/>
      </c>
      <c r="M504" s="64" t="str">
        <f aca="false">IF($A504="","",SUMIFS(Sales!$E$5:INDEX(Sales!$E$5:$E$3004,TxRows),Sales!$D$5:INDEX(Sales!$D$5:$D$3004,TxRows),$A504))</f>
        <v/>
      </c>
      <c r="N504" s="64" t="str">
        <f aca="false">IF($A504="","",SUMIFS(Adjustments!$C$5:$C$504,Adjustments!$B$5:$B$504,$A504))</f>
        <v/>
      </c>
      <c r="O504" s="64" t="str">
        <f aca="false">IF($A504="","",N($J504)+L504-M504+N504)</f>
        <v/>
      </c>
      <c r="P504" s="61" t="str">
        <f aca="false">IF($A504="","",IFERROR((N($J504)*N($K504)+SUMIFS(Purchases!$K$5:INDEX(Purchases!$K$5:$K$3004,TxRows),Purchases!$D$5:INDEX(Purchases!$D$5:$D$3004,TxRows),$A504))/(N($J504)+L504),N($G504)))</f>
        <v/>
      </c>
      <c r="Q504" s="61" t="str">
        <f aca="false">IF($A504="","",MAX(0,O504)*P504)</f>
        <v/>
      </c>
      <c r="R504" s="60" t="str">
        <f aca="false">IF($A504="","",IF(O504&lt;0,"NEGATIVE",IF(O504=0,"OUT OF STOCK",IF(O504&lt;=N($I504),"REORDER",IF(AND(O504&gt;0,X504&gt;DeadDays),"DEAD STOCK","OK")))))</f>
        <v/>
      </c>
      <c r="S504" s="65" t="str">
        <f aca="false">IF($A504="","",IF(N($H504)=0,0,(N($H504)-P504)/N($H504)))</f>
        <v/>
      </c>
      <c r="T504" s="64" t="str">
        <f aca="false">IF($A504="","",IF(O504&lt;=N($I504),MAX(0,2*N($I504)-O504),0))</f>
        <v/>
      </c>
      <c r="U504" s="61" t="str">
        <f aca="false">IF($A504="","",SUMIFS(Sales!$L$5:INDEX(Sales!$L$5:$L$3004,TxRows),Sales!$D$5:INDEX(Sales!$D$5:$D$3004,TxRows),$A504))</f>
        <v/>
      </c>
      <c r="V504" s="61" t="str">
        <f aca="false">IF($A504="","",SUMIFS(Sales!$S$5:INDEX(Sales!$S$5:$S$3004,TxRows),Sales!$D$5:INDEX(Sales!$D$5:$D$3004,TxRows),$A504))</f>
        <v/>
      </c>
      <c r="W504" s="66" t="str">
        <f aca="false">IF($A504="","",IFERROR(SUMPRODUCT(MAX((Sales!$D$5:INDEX(Sales!$D$5:$D$3004,TxRows)=$A504)*Sales!$A$5:INDEX(Sales!$A$5:$A$3004,TxRows))),0))</f>
        <v/>
      </c>
      <c r="X504" s="67" t="str">
        <f aca="false">IF($A504="","",IF(W504=0,AsOf-FYStart,AsOf-W504))</f>
        <v/>
      </c>
      <c r="Y504" s="67" t="str">
        <f aca="false">IF($A504="","",IF(M504=0,"",O504/(M504/MAX(1,AsOf-FYStart))))</f>
        <v/>
      </c>
      <c r="Z504" s="60" t="str">
        <f aca="false">IF($A504="","",U504+ROW()/1000000)</f>
        <v/>
      </c>
    </row>
  </sheetData>
  <autoFilter ref="A4:Z504"/>
  <mergeCells count="2">
    <mergeCell ref="A1:Z1"/>
    <mergeCell ref="A2:Z2"/>
  </mergeCells>
  <conditionalFormatting sqref="R5:R504">
    <cfRule type="cellIs" priority="2" operator="equal" aboveAverage="0" equalAverage="0" bottom="0" percent="0" rank="0" text="" dxfId="4">
      <formula>"NEGATIVE"</formula>
    </cfRule>
    <cfRule type="cellIs" priority="3" operator="equal" aboveAverage="0" equalAverage="0" bottom="0" percent="0" rank="0" text="" dxfId="2">
      <formula>"OUT OF STOCK"</formula>
    </cfRule>
    <cfRule type="cellIs" priority="4" operator="equal" aboveAverage="0" equalAverage="0" bottom="0" percent="0" rank="0" text="" dxfId="3">
      <formula>"REORDER"</formula>
    </cfRule>
    <cfRule type="cellIs" priority="5" operator="equal" aboveAverage="0" equalAverage="0" bottom="0" percent="0" rank="0" text="" dxfId="5">
      <formula>"DEAD STOCK"</formula>
    </cfRule>
    <cfRule type="cellIs" priority="6" operator="equal" aboveAverage="0" equalAverage="0" bottom="0" percent="0" rank="0" text="" dxfId="19">
      <formula>"OK"</formula>
    </cfRule>
  </conditionalFormatting>
  <dataValidations count="4">
    <dataValidation allowBlank="true" error="Pick a value from the list (add new masters on the master sheet first)." errorStyle="stop" operator="between" showDropDown="false" showErrorMessage="true" showInputMessage="false" sqref="C5:C504" type="list">
      <formula1>L_Categories</formula1>
      <formula2>0</formula2>
    </dataValidation>
    <dataValidation allowBlank="true" error="Pick a value from the list (add new masters on the master sheet first)." errorStyle="stop" operator="between" showDropDown="false" showErrorMessage="true" showInputMessage="false" sqref="D5:D504" type="list">
      <formula1>L_Units</formula1>
      <formula2>0</formula2>
    </dataValidation>
    <dataValidation allowBlank="true" error="Pick a value from the list (add new masters on the master sheet first)." errorStyle="stop" operator="between" showDropDown="false" showErrorMessage="true" showInputMessage="false" sqref="F5:F504" type="list">
      <formula1>L_GSTRates</formula1>
      <formula2>0</formula2>
    </dataValidation>
    <dataValidation allowBlank="true" error="This item name already exists. Item names must be unique." errorStyle="stop" operator="between" showDropDown="false" showErrorMessage="true" showInputMessage="false" sqref="A5:A504" type="custom">
      <formula1>COUNTIF($A$5:$A$504,A5)=1</formula1>
      <formula2>0</formula2>
    </dataValidation>
  </dataValidations>
  <hyperlinks>
    <hyperlink ref="AB1" r:id="rId1" location="Dashboard!A1" display="« Ho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6C00"/>
    <pageSetUpPr fitToPage="false"/>
  </sheetPr>
  <dimension ref="A1:U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7"/>
    <col collapsed="false" customWidth="true" hidden="false" outlineLevel="0" max="5" min="5" style="0" width="15"/>
    <col collapsed="false" customWidth="true" hidden="false" outlineLevel="0" max="6" min="6" style="0" width="24"/>
    <col collapsed="false" customWidth="true" hidden="false" outlineLevel="0" max="7" min="7" style="0" width="11"/>
    <col collapsed="false" customWidth="true" hidden="false" outlineLevel="0" max="8" min="8" style="0" width="8"/>
    <col collapsed="false" customWidth="true" hidden="false" outlineLevel="0" max="13" min="9" style="0" width="12"/>
    <col collapsed="false" customWidth="true" hidden="false" outlineLevel="0" max="14" min="14" style="0" width="13"/>
    <col collapsed="false" customWidth="true" hidden="false" outlineLevel="0" max="15" min="15" style="0" width="11"/>
    <col collapsed="false" customWidth="true" hidden="false" outlineLevel="0" max="17" min="16" style="0" width="10"/>
    <col collapsed="false" customWidth="true" hidden="false" outlineLevel="0" max="18" min="18" style="0" width="8"/>
    <col collapsed="false" customWidth="true" hidden="false" outlineLevel="0" max="19" min="19" style="0" width="14"/>
  </cols>
  <sheetData>
    <row r="1" customFormat="false" ht="27.75" hidden="false" customHeight="true" outlineLevel="0" collapsed="false">
      <c r="A1" s="49" t="s">
        <v>449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U1" s="50" t="s">
        <v>43</v>
      </c>
    </row>
    <row r="2" customFormat="false" ht="15" hidden="false" customHeight="false" outlineLevel="0" collapsed="false">
      <c r="A2" s="3" t="s">
        <v>450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customFormat="false" ht="15" hidden="false" customHeight="false" outlineLevel="0" collapsed="false">
      <c r="A3" s="51" t="s">
        <v>45</v>
      </c>
      <c r="J3" s="52" t="s">
        <v>46</v>
      </c>
    </row>
    <row r="4" customFormat="false" ht="31.5" hidden="false" customHeight="true" outlineLevel="0" collapsed="false">
      <c r="A4" s="53" t="s">
        <v>451</v>
      </c>
      <c r="B4" s="53" t="s">
        <v>452</v>
      </c>
      <c r="C4" s="53" t="s">
        <v>453</v>
      </c>
      <c r="D4" s="53" t="s">
        <v>454</v>
      </c>
      <c r="E4" s="53" t="s">
        <v>455</v>
      </c>
      <c r="F4" s="53" t="s">
        <v>456</v>
      </c>
      <c r="G4" s="53" t="s">
        <v>457</v>
      </c>
      <c r="H4" s="53" t="s">
        <v>458</v>
      </c>
      <c r="I4" s="53" t="s">
        <v>459</v>
      </c>
      <c r="J4" s="54" t="s">
        <v>460</v>
      </c>
      <c r="K4" s="54" t="s">
        <v>461</v>
      </c>
      <c r="L4" s="54" t="s">
        <v>462</v>
      </c>
      <c r="M4" s="54" t="s">
        <v>463</v>
      </c>
      <c r="N4" s="54" t="s">
        <v>464</v>
      </c>
      <c r="O4" s="54" t="s">
        <v>465</v>
      </c>
      <c r="P4" s="54" t="s">
        <v>466</v>
      </c>
      <c r="Q4" s="54" t="s">
        <v>467</v>
      </c>
      <c r="R4" s="54" t="s">
        <v>468</v>
      </c>
      <c r="S4" s="54" t="s">
        <v>469</v>
      </c>
    </row>
    <row r="5" customFormat="false" ht="15" hidden="false" customHeight="false" outlineLevel="0" collapsed="false">
      <c r="A5" s="56" t="s">
        <v>72</v>
      </c>
      <c r="B5" s="56" t="s">
        <v>470</v>
      </c>
      <c r="C5" s="56" t="s">
        <v>471</v>
      </c>
      <c r="D5" s="56" t="s">
        <v>472</v>
      </c>
      <c r="E5" s="56" t="s">
        <v>473</v>
      </c>
      <c r="F5" s="56" t="s">
        <v>474</v>
      </c>
      <c r="G5" s="68" t="n">
        <v>50000</v>
      </c>
      <c r="H5" s="69" t="n">
        <v>15</v>
      </c>
      <c r="I5" s="58" t="n">
        <v>12000</v>
      </c>
      <c r="J5" s="61" t="n">
        <f aca="false">IF($A5="","",SUMIFS(Sales!$Q$5:INDEX(Sales!$Q$5:$Q$3004,TxRows),Sales!$C$5:INDEX(Sales!$C$5:$C$3004,TxRows),$A5)-SUMIFS(Sales!$X$5:INDEX(Sales!$X$5:$X$3004,TxRows),Sales!$C$5:INDEX(Sales!$C$5:$C$3004,TxRows),$A5))</f>
        <v>110471.87</v>
      </c>
      <c r="K5" s="61" t="n">
        <f aca="false">IF($A5="","",SUMIFS(CashBook!$G$5:INDEX(CashBook!$G$5:$G$3004,TxRows),CashBook!$D$5:INDEX(CashBook!$D$5:$D$3004,TxRows),$A5,CashBook!$C$5:INDEX(CashBook!$C$5:$C$3004,TxRows),"Receipt"))</f>
        <v>118900</v>
      </c>
      <c r="L5" s="61" t="n">
        <f aca="false">IF($A5="","",SUMIFS(Purchases!$P$5:INDEX(Purchases!$P$5:$P$3004,TxRows),Purchases!$C$5:INDEX(Purchases!$C$5:$C$3004,TxRows),$A5)-SUMIFS(Purchases!$S$5:INDEX(Purchases!$S$5:$S$3004,TxRows),Purchases!$C$5:INDEX(Purchases!$C$5:$C$3004,TxRows),$A5))</f>
        <v>0</v>
      </c>
      <c r="M5" s="61" t="n">
        <f aca="false">IF($A5="","",SUMIFS(CashBook!$G$5:INDEX(CashBook!$G$5:$G$3004,TxRows),CashBook!$D$5:INDEX(CashBook!$D$5:$D$3004,TxRows),$A5,CashBook!$C$5:INDEX(CashBook!$C$5:$C$3004,TxRows),"Payment"))</f>
        <v>0</v>
      </c>
      <c r="N5" s="61" t="n">
        <f aca="false">IF($A5="","",N($I5)+J5-K5-L5+M5)</f>
        <v>3571.87</v>
      </c>
      <c r="O5" s="60" t="str">
        <f aca="false">IF($A5="","",IF(ROUND(N5,2)&gt;0,"Receivable",IF(ROUND(N5,2)&lt;0,"Payable","Settled")))</f>
        <v>Receivable</v>
      </c>
      <c r="P5" s="66" t="n">
        <f aca="false">IF($A5="","",IFERROR(SUMPRODUCT(MAX((Sales!$C$5:INDEX(Sales!$C$5:$C$3004,TxRows)=$A5)*Sales!$A$5:INDEX(Sales!$A$5:$A$3004,TxRows))),0))</f>
        <v>46266</v>
      </c>
      <c r="Q5" s="66" t="n">
        <f aca="false">IF($A5="","",IFERROR(SUMPRODUCT(MAX((CashBook!$D$5:INDEX(CashBook!$D$5:$D$3004,TxRows)=$A5)*(CashBook!$C$5:INDEX(CashBook!$C$5:$C$3004,TxRows)="Receipt")*CashBook!$A$5:INDEX(CashBook!$A$5:$A$3004,TxRows))),0))</f>
        <v>46305</v>
      </c>
      <c r="R5" s="67" t="n">
        <f aca="false">IF($A5="","",IF(ROUND(N5,2)&lt;=0,"",AsOf-IF(N(Q5)&gt;0,Q5,IF(N(P5)&gt;0,P5,FYStart))))</f>
        <v>1</v>
      </c>
      <c r="S5" s="60" t="str">
        <f aca="false">IF($A5="","",IF(AND(N($G5)&gt;0,N5&gt;N($G5)),"OVER LIMIT",IF(AND(N5&gt;0,N(R5)&gt;N($H5)),"OVERDUE",IF(ROUND(N5,2)&lt;0,"PAY DUE",""))))</f>
        <v/>
      </c>
    </row>
    <row r="6" customFormat="false" ht="15" hidden="false" customHeight="false" outlineLevel="0" collapsed="false">
      <c r="A6" s="56" t="s">
        <v>77</v>
      </c>
      <c r="B6" s="56" t="s">
        <v>470</v>
      </c>
      <c r="C6" s="56" t="s">
        <v>475</v>
      </c>
      <c r="D6" s="56" t="s">
        <v>476</v>
      </c>
      <c r="E6" s="56" t="s">
        <v>473</v>
      </c>
      <c r="F6" s="56" t="s">
        <v>477</v>
      </c>
      <c r="G6" s="68" t="n">
        <v>80000</v>
      </c>
      <c r="H6" s="69" t="n">
        <v>30</v>
      </c>
      <c r="I6" s="58" t="n">
        <v>0</v>
      </c>
      <c r="J6" s="61" t="n">
        <f aca="false">IF($A6="","",SUMIFS(Sales!$Q$5:INDEX(Sales!$Q$5:$Q$3004,TxRows),Sales!$C$5:INDEX(Sales!$C$5:$C$3004,TxRows),$A6)-SUMIFS(Sales!$X$5:INDEX(Sales!$X$5:$X$3004,TxRows),Sales!$C$5:INDEX(Sales!$C$5:$C$3004,TxRows),$A6))</f>
        <v>146328.86</v>
      </c>
      <c r="K6" s="61" t="n">
        <f aca="false">IF($A6="","",SUMIFS(CashBook!$G$5:INDEX(CashBook!$G$5:$G$3004,TxRows),CashBook!$D$5:INDEX(CashBook!$D$5:$D$3004,TxRows),$A6,CashBook!$C$5:INDEX(CashBook!$C$5:$C$3004,TxRows),"Receipt"))</f>
        <v>135200</v>
      </c>
      <c r="L6" s="61" t="n">
        <f aca="false">IF($A6="","",SUMIFS(Purchases!$P$5:INDEX(Purchases!$P$5:$P$3004,TxRows),Purchases!$C$5:INDEX(Purchases!$C$5:$C$3004,TxRows),$A6)-SUMIFS(Purchases!$S$5:INDEX(Purchases!$S$5:$S$3004,TxRows),Purchases!$C$5:INDEX(Purchases!$C$5:$C$3004,TxRows),$A6))</f>
        <v>0</v>
      </c>
      <c r="M6" s="61" t="n">
        <f aca="false">IF($A6="","",SUMIFS(CashBook!$G$5:INDEX(CashBook!$G$5:$G$3004,TxRows),CashBook!$D$5:INDEX(CashBook!$D$5:$D$3004,TxRows),$A6,CashBook!$C$5:INDEX(CashBook!$C$5:$C$3004,TxRows),"Payment"))</f>
        <v>0</v>
      </c>
      <c r="N6" s="61" t="n">
        <f aca="false">IF($A6="","",N($I6)+J6-K6-L6+M6)</f>
        <v>11128.86</v>
      </c>
      <c r="O6" s="60" t="str">
        <f aca="false">IF($A6="","",IF(ROUND(N6,2)&gt;0,"Receivable",IF(ROUND(N6,2)&lt;0,"Payable","Settled")))</f>
        <v>Receivable</v>
      </c>
      <c r="P6" s="66" t="n">
        <f aca="false">IF($A6="","",IFERROR(SUMPRODUCT(MAX((Sales!$C$5:INDEX(Sales!$C$5:$C$3004,TxRows)=$A6)*Sales!$A$5:INDEX(Sales!$A$5:$A$3004,TxRows))),0))</f>
        <v>46302</v>
      </c>
      <c r="Q6" s="66" t="n">
        <f aca="false">IF($A6="","",IFERROR(SUMPRODUCT(MAX((CashBook!$D$5:INDEX(CashBook!$D$5:$D$3004,TxRows)=$A6)*(CashBook!$C$5:INDEX(CashBook!$C$5:$C$3004,TxRows)="Receipt")*CashBook!$A$5:INDEX(CashBook!$A$5:$A$3004,TxRows))),0))</f>
        <v>46305</v>
      </c>
      <c r="R6" s="67" t="n">
        <f aca="false">IF($A6="","",IF(ROUND(N6,2)&lt;=0,"",AsOf-IF(N(Q6)&gt;0,Q6,IF(N(P6)&gt;0,P6,FYStart))))</f>
        <v>1</v>
      </c>
      <c r="S6" s="60" t="str">
        <f aca="false">IF($A6="","",IF(AND(N($G6)&gt;0,N6&gt;N($G6)),"OVER LIMIT",IF(AND(N6&gt;0,N(R6)&gt;N($H6)),"OVERDUE",IF(ROUND(N6,2)&lt;0,"PAY DUE",""))))</f>
        <v/>
      </c>
    </row>
    <row r="7" customFormat="false" ht="15" hidden="false" customHeight="false" outlineLevel="0" collapsed="false">
      <c r="A7" s="56" t="s">
        <v>81</v>
      </c>
      <c r="B7" s="56" t="s">
        <v>470</v>
      </c>
      <c r="C7" s="56" t="s">
        <v>478</v>
      </c>
      <c r="D7" s="56" t="s">
        <v>479</v>
      </c>
      <c r="E7" s="56" t="s">
        <v>480</v>
      </c>
      <c r="F7" s="56" t="s">
        <v>481</v>
      </c>
      <c r="G7" s="68" t="n">
        <v>100000</v>
      </c>
      <c r="H7" s="69" t="n">
        <v>30</v>
      </c>
      <c r="I7" s="58" t="n">
        <v>0</v>
      </c>
      <c r="J7" s="61" t="n">
        <f aca="false">IF($A7="","",SUMIFS(Sales!$Q$5:INDEX(Sales!$Q$5:$Q$3004,TxRows),Sales!$C$5:INDEX(Sales!$C$5:$C$3004,TxRows),$A7)-SUMIFS(Sales!$X$5:INDEX(Sales!$X$5:$X$3004,TxRows),Sales!$C$5:INDEX(Sales!$C$5:$C$3004,TxRows),$A7))</f>
        <v>74566.8</v>
      </c>
      <c r="K7" s="61" t="n">
        <f aca="false">IF($A7="","",SUMIFS(CashBook!$G$5:INDEX(CashBook!$G$5:$G$3004,TxRows),CashBook!$D$5:INDEX(CashBook!$D$5:$D$3004,TxRows),$A7,CashBook!$C$5:INDEX(CashBook!$C$5:$C$3004,TxRows),"Receipt"))</f>
        <v>68900</v>
      </c>
      <c r="L7" s="61" t="n">
        <f aca="false">IF($A7="","",SUMIFS(Purchases!$P$5:INDEX(Purchases!$P$5:$P$3004,TxRows),Purchases!$C$5:INDEX(Purchases!$C$5:$C$3004,TxRows),$A7)-SUMIFS(Purchases!$S$5:INDEX(Purchases!$S$5:$S$3004,TxRows),Purchases!$C$5:INDEX(Purchases!$C$5:$C$3004,TxRows),$A7))</f>
        <v>0</v>
      </c>
      <c r="M7" s="61" t="n">
        <f aca="false">IF($A7="","",SUMIFS(CashBook!$G$5:INDEX(CashBook!$G$5:$G$3004,TxRows),CashBook!$D$5:INDEX(CashBook!$D$5:$D$3004,TxRows),$A7,CashBook!$C$5:INDEX(CashBook!$C$5:$C$3004,TxRows),"Payment"))</f>
        <v>0</v>
      </c>
      <c r="N7" s="61" t="n">
        <f aca="false">IF($A7="","",N($I7)+J7-K7-L7+M7)</f>
        <v>5666.79999999999</v>
      </c>
      <c r="O7" s="60" t="str">
        <f aca="false">IF($A7="","",IF(ROUND(N7,2)&gt;0,"Receivable",IF(ROUND(N7,2)&lt;0,"Payable","Settled")))</f>
        <v>Receivable</v>
      </c>
      <c r="P7" s="66" t="n">
        <f aca="false">IF($A7="","",IFERROR(SUMPRODUCT(MAX((Sales!$C$5:INDEX(Sales!$C$5:$C$3004,TxRows)=$A7)*Sales!$A$5:INDEX(Sales!$A$5:$A$3004,TxRows))),0))</f>
        <v>46298</v>
      </c>
      <c r="Q7" s="66" t="n">
        <f aca="false">IF($A7="","",IFERROR(SUMPRODUCT(MAX((CashBook!$D$5:INDEX(CashBook!$D$5:$D$3004,TxRows)=$A7)*(CashBook!$C$5:INDEX(CashBook!$C$5:$C$3004,TxRows)="Receipt")*CashBook!$A$5:INDEX(CashBook!$A$5:$A$3004,TxRows))),0))</f>
        <v>46305</v>
      </c>
      <c r="R7" s="67" t="n">
        <f aca="false">IF($A7="","",IF(ROUND(N7,2)&lt;=0,"",AsOf-IF(N(Q7)&gt;0,Q7,IF(N(P7)&gt;0,P7,FYStart))))</f>
        <v>1</v>
      </c>
      <c r="S7" s="60" t="str">
        <f aca="false">IF($A7="","",IF(AND(N($G7)&gt;0,N7&gt;N($G7)),"OVER LIMIT",IF(AND(N7&gt;0,N(R7)&gt;N($H7)),"OVERDUE",IF(ROUND(N7,2)&lt;0,"PAY DUE",""))))</f>
        <v/>
      </c>
    </row>
    <row r="8" customFormat="false" ht="15" hidden="false" customHeight="false" outlineLevel="0" collapsed="false">
      <c r="A8" s="56" t="s">
        <v>102</v>
      </c>
      <c r="B8" s="56" t="s">
        <v>470</v>
      </c>
      <c r="C8" s="56"/>
      <c r="D8" s="56"/>
      <c r="E8" s="56" t="s">
        <v>473</v>
      </c>
      <c r="F8" s="56"/>
      <c r="G8" s="68" t="n">
        <v>0</v>
      </c>
      <c r="H8" s="69" t="n">
        <v>0</v>
      </c>
      <c r="I8" s="58" t="n">
        <v>0</v>
      </c>
      <c r="J8" s="61" t="n">
        <f aca="false">IF($A8="","",SUMIFS(Sales!$Q$5:INDEX(Sales!$Q$5:$Q$3004,TxRows),Sales!$C$5:INDEX(Sales!$C$5:$C$3004,TxRows),$A8)-SUMIFS(Sales!$X$5:INDEX(Sales!$X$5:$X$3004,TxRows),Sales!$C$5:INDEX(Sales!$C$5:$C$3004,TxRows),$A8))</f>
        <v>0</v>
      </c>
      <c r="K8" s="61" t="n">
        <f aca="false">IF($A8="","",SUMIFS(CashBook!$G$5:INDEX(CashBook!$G$5:$G$3004,TxRows),CashBook!$D$5:INDEX(CashBook!$D$5:$D$3004,TxRows),$A8,CashBook!$C$5:INDEX(CashBook!$C$5:$C$3004,TxRows),"Receipt"))</f>
        <v>0</v>
      </c>
      <c r="L8" s="61" t="n">
        <f aca="false">IF($A8="","",SUMIFS(Purchases!$P$5:INDEX(Purchases!$P$5:$P$3004,TxRows),Purchases!$C$5:INDEX(Purchases!$C$5:$C$3004,TxRows),$A8)-SUMIFS(Purchases!$S$5:INDEX(Purchases!$S$5:$S$3004,TxRows),Purchases!$C$5:INDEX(Purchases!$C$5:$C$3004,TxRows),$A8))</f>
        <v>0</v>
      </c>
      <c r="M8" s="61" t="n">
        <f aca="false">IF($A8="","",SUMIFS(CashBook!$G$5:INDEX(CashBook!$G$5:$G$3004,TxRows),CashBook!$D$5:INDEX(CashBook!$D$5:$D$3004,TxRows),$A8,CashBook!$C$5:INDEX(CashBook!$C$5:$C$3004,TxRows),"Payment"))</f>
        <v>0</v>
      </c>
      <c r="N8" s="61" t="n">
        <f aca="false">IF($A8="","",N($I8)+J8-K8-L8+M8)</f>
        <v>0</v>
      </c>
      <c r="O8" s="60" t="str">
        <f aca="false">IF($A8="","",IF(ROUND(N8,2)&gt;0,"Receivable",IF(ROUND(N8,2)&lt;0,"Payable","Settled")))</f>
        <v>Settled</v>
      </c>
      <c r="P8" s="66" t="n">
        <f aca="false">IF($A8="","",IFERROR(SUMPRODUCT(MAX((Sales!$C$5:INDEX(Sales!$C$5:$C$3004,TxRows)=$A8)*Sales!$A$5:INDEX(Sales!$A$5:$A$3004,TxRows))),0))</f>
        <v>46304</v>
      </c>
      <c r="Q8" s="66" t="n">
        <f aca="false">IF($A8="","",IFERROR(SUMPRODUCT(MAX((CashBook!$D$5:INDEX(CashBook!$D$5:$D$3004,TxRows)=$A8)*(CashBook!$C$5:INDEX(CashBook!$C$5:$C$3004,TxRows)="Receipt")*CashBook!$A$5:INDEX(CashBook!$A$5:$A$3004,TxRows))),0))</f>
        <v>0</v>
      </c>
      <c r="R8" s="67" t="str">
        <f aca="false">IF($A8="","",IF(ROUND(N8,2)&lt;=0,"",AsOf-IF(N(Q8)&gt;0,Q8,IF(N(P8)&gt;0,P8,FYStart))))</f>
        <v/>
      </c>
      <c r="S8" s="60" t="str">
        <f aca="false">IF($A8="","",IF(AND(N($G8)&gt;0,N8&gt;N($G8)),"OVER LIMIT",IF(AND(N8&gt;0,N(R8)&gt;N($H8)),"OVERDUE",IF(ROUND(N8,2)&lt;0,"PAY DUE",""))))</f>
        <v/>
      </c>
    </row>
    <row r="9" customFormat="false" ht="15" hidden="false" customHeight="false" outlineLevel="0" collapsed="false">
      <c r="A9" s="56" t="s">
        <v>88</v>
      </c>
      <c r="B9" s="56" t="s">
        <v>470</v>
      </c>
      <c r="C9" s="56" t="s">
        <v>482</v>
      </c>
      <c r="D9" s="56" t="s">
        <v>483</v>
      </c>
      <c r="E9" s="56" t="s">
        <v>473</v>
      </c>
      <c r="F9" s="56" t="s">
        <v>484</v>
      </c>
      <c r="G9" s="68" t="n">
        <v>60000</v>
      </c>
      <c r="H9" s="69" t="n">
        <v>21</v>
      </c>
      <c r="I9" s="58" t="n">
        <v>8000</v>
      </c>
      <c r="J9" s="61" t="n">
        <f aca="false">IF($A9="","",SUMIFS(Sales!$Q$5:INDEX(Sales!$Q$5:$Q$3004,TxRows),Sales!$C$5:INDEX(Sales!$C$5:$C$3004,TxRows),$A9)-SUMIFS(Sales!$X$5:INDEX(Sales!$X$5:$X$3004,TxRows),Sales!$C$5:INDEX(Sales!$C$5:$C$3004,TxRows),$A9))</f>
        <v>118895.36</v>
      </c>
      <c r="K9" s="61" t="n">
        <f aca="false">IF($A9="","",SUMIFS(CashBook!$G$5:INDEX(CashBook!$G$5:$G$3004,TxRows),CashBook!$D$5:INDEX(CashBook!$D$5:$D$3004,TxRows),$A9,CashBook!$C$5:INDEX(CashBook!$C$5:$C$3004,TxRows),"Receipt"))</f>
        <v>115300</v>
      </c>
      <c r="L9" s="61" t="n">
        <f aca="false">IF($A9="","",SUMIFS(Purchases!$P$5:INDEX(Purchases!$P$5:$P$3004,TxRows),Purchases!$C$5:INDEX(Purchases!$C$5:$C$3004,TxRows),$A9)-SUMIFS(Purchases!$S$5:INDEX(Purchases!$S$5:$S$3004,TxRows),Purchases!$C$5:INDEX(Purchases!$C$5:$C$3004,TxRows),$A9))</f>
        <v>0</v>
      </c>
      <c r="M9" s="61" t="n">
        <f aca="false">IF($A9="","",SUMIFS(CashBook!$G$5:INDEX(CashBook!$G$5:$G$3004,TxRows),CashBook!$D$5:INDEX(CashBook!$D$5:$D$3004,TxRows),$A9,CashBook!$C$5:INDEX(CashBook!$C$5:$C$3004,TxRows),"Payment"))</f>
        <v>0</v>
      </c>
      <c r="N9" s="61" t="n">
        <f aca="false">IF($A9="","",N($I9)+J9-K9-L9+M9)</f>
        <v>11595.36</v>
      </c>
      <c r="O9" s="60" t="str">
        <f aca="false">IF($A9="","",IF(ROUND(N9,2)&gt;0,"Receivable",IF(ROUND(N9,2)&lt;0,"Payable","Settled")))</f>
        <v>Receivable</v>
      </c>
      <c r="P9" s="66" t="n">
        <f aca="false">IF($A9="","",IFERROR(SUMPRODUCT(MAX((Sales!$C$5:INDEX(Sales!$C$5:$C$3004,TxRows)=$A9)*Sales!$A$5:INDEX(Sales!$A$5:$A$3004,TxRows))),0))</f>
        <v>46301</v>
      </c>
      <c r="Q9" s="66" t="n">
        <f aca="false">IF($A9="","",IFERROR(SUMPRODUCT(MAX((CashBook!$D$5:INDEX(CashBook!$D$5:$D$3004,TxRows)=$A9)*(CashBook!$C$5:INDEX(CashBook!$C$5:$C$3004,TxRows)="Receipt")*CashBook!$A$5:INDEX(CashBook!$A$5:$A$3004,TxRows))),0))</f>
        <v>46305</v>
      </c>
      <c r="R9" s="67" t="n">
        <f aca="false">IF($A9="","",IF(ROUND(N9,2)&lt;=0,"",AsOf-IF(N(Q9)&gt;0,Q9,IF(N(P9)&gt;0,P9,FYStart))))</f>
        <v>1</v>
      </c>
      <c r="S9" s="60" t="str">
        <f aca="false">IF($A9="","",IF(AND(N($G9)&gt;0,N9&gt;N($G9)),"OVER LIMIT",IF(AND(N9&gt;0,N(R9)&gt;N($H9)),"OVERDUE",IF(ROUND(N9,2)&lt;0,"PAY DUE",""))))</f>
        <v/>
      </c>
    </row>
    <row r="10" customFormat="false" ht="15" hidden="false" customHeight="false" outlineLevel="0" collapsed="false">
      <c r="A10" s="56" t="s">
        <v>229</v>
      </c>
      <c r="B10" s="56" t="s">
        <v>485</v>
      </c>
      <c r="C10" s="56" t="s">
        <v>486</v>
      </c>
      <c r="D10" s="56" t="s">
        <v>487</v>
      </c>
      <c r="E10" s="56" t="s">
        <v>473</v>
      </c>
      <c r="F10" s="56" t="s">
        <v>488</v>
      </c>
      <c r="G10" s="68" t="n">
        <v>0</v>
      </c>
      <c r="H10" s="69" t="n">
        <v>30</v>
      </c>
      <c r="I10" s="58" t="n">
        <v>-25000</v>
      </c>
      <c r="J10" s="61" t="n">
        <f aca="false">IF($A10="","",SUMIFS(Sales!$Q$5:INDEX(Sales!$Q$5:$Q$3004,TxRows),Sales!$C$5:INDEX(Sales!$C$5:$C$3004,TxRows),$A10)-SUMIFS(Sales!$X$5:INDEX(Sales!$X$5:$X$3004,TxRows),Sales!$C$5:INDEX(Sales!$C$5:$C$3004,TxRows),$A10))</f>
        <v>0</v>
      </c>
      <c r="K10" s="61" t="n">
        <f aca="false">IF($A10="","",SUMIFS(CashBook!$G$5:INDEX(CashBook!$G$5:$G$3004,TxRows),CashBook!$D$5:INDEX(CashBook!$D$5:$D$3004,TxRows),$A10,CashBook!$C$5:INDEX(CashBook!$C$5:$C$3004,TxRows),"Receipt"))</f>
        <v>0</v>
      </c>
      <c r="L10" s="61" t="n">
        <f aca="false">IF($A10="","",SUMIFS(Purchases!$P$5:INDEX(Purchases!$P$5:$P$3004,TxRows),Purchases!$C$5:INDEX(Purchases!$C$5:$C$3004,TxRows),$A10)-SUMIFS(Purchases!$S$5:INDEX(Purchases!$S$5:$S$3004,TxRows),Purchases!$C$5:INDEX(Purchases!$C$5:$C$3004,TxRows),$A10))</f>
        <v>398574.76</v>
      </c>
      <c r="M10" s="61" t="n">
        <f aca="false">IF($A10="","",SUMIFS(CashBook!$G$5:INDEX(CashBook!$G$5:$G$3004,TxRows),CashBook!$D$5:INDEX(CashBook!$D$5:$D$3004,TxRows),$A10,CashBook!$C$5:INDEX(CashBook!$C$5:$C$3004,TxRows),"Payment"))</f>
        <v>407000</v>
      </c>
      <c r="N10" s="61" t="n">
        <f aca="false">IF($A10="","",N($I10)+J10-K10-L10+M10)</f>
        <v>-16574.76</v>
      </c>
      <c r="O10" s="60" t="str">
        <f aca="false">IF($A10="","",IF(ROUND(N10,2)&gt;0,"Receivable",IF(ROUND(N10,2)&lt;0,"Payable","Settled")))</f>
        <v>Payable</v>
      </c>
      <c r="P10" s="66" t="n">
        <f aca="false">IF($A10="","",IFERROR(SUMPRODUCT(MAX((Sales!$C$5:INDEX(Sales!$C$5:$C$3004,TxRows)=$A10)*Sales!$A$5:INDEX(Sales!$A$5:$A$3004,TxRows))),0))</f>
        <v>0</v>
      </c>
      <c r="Q10" s="66" t="n">
        <f aca="false">IF($A10="","",IFERROR(SUMPRODUCT(MAX((CashBook!$D$5:INDEX(CashBook!$D$5:$D$3004,TxRows)=$A10)*(CashBook!$C$5:INDEX(CashBook!$C$5:$C$3004,TxRows)="Receipt")*CashBook!$A$5:INDEX(CashBook!$A$5:$A$3004,TxRows))),0))</f>
        <v>0</v>
      </c>
      <c r="R10" s="67" t="str">
        <f aca="false">IF($A10="","",IF(ROUND(N10,2)&lt;=0,"",AsOf-IF(N(Q10)&gt;0,Q10,IF(N(P10)&gt;0,P10,FYStart))))</f>
        <v/>
      </c>
      <c r="S10" s="60" t="str">
        <f aca="false">IF($A10="","",IF(AND(N($G10)&gt;0,N10&gt;N($G10)),"OVER LIMIT",IF(AND(N10&gt;0,N(R10)&gt;N($H10)),"OVERDUE",IF(ROUND(N10,2)&lt;0,"PAY DUE",""))))</f>
        <v>PAY DUE</v>
      </c>
    </row>
    <row r="11" customFormat="false" ht="15" hidden="false" customHeight="false" outlineLevel="0" collapsed="false">
      <c r="A11" s="56" t="s">
        <v>226</v>
      </c>
      <c r="B11" s="56" t="s">
        <v>485</v>
      </c>
      <c r="C11" s="56" t="s">
        <v>489</v>
      </c>
      <c r="D11" s="56" t="s">
        <v>490</v>
      </c>
      <c r="E11" s="56" t="s">
        <v>491</v>
      </c>
      <c r="F11" s="56" t="s">
        <v>492</v>
      </c>
      <c r="G11" s="68" t="n">
        <v>0</v>
      </c>
      <c r="H11" s="69" t="n">
        <v>45</v>
      </c>
      <c r="I11" s="58" t="n">
        <v>0</v>
      </c>
      <c r="J11" s="61" t="n">
        <f aca="false">IF($A11="","",SUMIFS(Sales!$Q$5:INDEX(Sales!$Q$5:$Q$3004,TxRows),Sales!$C$5:INDEX(Sales!$C$5:$C$3004,TxRows),$A11)-SUMIFS(Sales!$X$5:INDEX(Sales!$X$5:$X$3004,TxRows),Sales!$C$5:INDEX(Sales!$C$5:$C$3004,TxRows),$A11))</f>
        <v>0</v>
      </c>
      <c r="K11" s="61" t="n">
        <f aca="false">IF($A11="","",SUMIFS(CashBook!$G$5:INDEX(CashBook!$G$5:$G$3004,TxRows),CashBook!$D$5:INDEX(CashBook!$D$5:$D$3004,TxRows),$A11,CashBook!$C$5:INDEX(CashBook!$C$5:$C$3004,TxRows),"Receipt"))</f>
        <v>0</v>
      </c>
      <c r="L11" s="61" t="n">
        <f aca="false">IF($A11="","",SUMIFS(Purchases!$P$5:INDEX(Purchases!$P$5:$P$3004,TxRows),Purchases!$C$5:INDEX(Purchases!$C$5:$C$3004,TxRows),$A11)-SUMIFS(Purchases!$S$5:INDEX(Purchases!$S$5:$S$3004,TxRows),Purchases!$C$5:INDEX(Purchases!$C$5:$C$3004,TxRows),$A11))</f>
        <v>291111.9</v>
      </c>
      <c r="M11" s="61" t="n">
        <f aca="false">IF($A11="","",SUMIFS(CashBook!$G$5:INDEX(CashBook!$G$5:$G$3004,TxRows),CashBook!$D$5:INDEX(CashBook!$D$5:$D$3004,TxRows),$A11,CashBook!$C$5:INDEX(CashBook!$C$5:$C$3004,TxRows),"Payment"))</f>
        <v>288000</v>
      </c>
      <c r="N11" s="61" t="n">
        <f aca="false">IF($A11="","",N($I11)+J11-K11-L11+M11)</f>
        <v>-3111.90000000002</v>
      </c>
      <c r="O11" s="60" t="str">
        <f aca="false">IF($A11="","",IF(ROUND(N11,2)&gt;0,"Receivable",IF(ROUND(N11,2)&lt;0,"Payable","Settled")))</f>
        <v>Payable</v>
      </c>
      <c r="P11" s="66" t="n">
        <f aca="false">IF($A11="","",IFERROR(SUMPRODUCT(MAX((Sales!$C$5:INDEX(Sales!$C$5:$C$3004,TxRows)=$A11)*Sales!$A$5:INDEX(Sales!$A$5:$A$3004,TxRows))),0))</f>
        <v>0</v>
      </c>
      <c r="Q11" s="66" t="n">
        <f aca="false">IF($A11="","",IFERROR(SUMPRODUCT(MAX((CashBook!$D$5:INDEX(CashBook!$D$5:$D$3004,TxRows)=$A11)*(CashBook!$C$5:INDEX(CashBook!$C$5:$C$3004,TxRows)="Receipt")*CashBook!$A$5:INDEX(CashBook!$A$5:$A$3004,TxRows))),0))</f>
        <v>0</v>
      </c>
      <c r="R11" s="67" t="str">
        <f aca="false">IF($A11="","",IF(ROUND(N11,2)&lt;=0,"",AsOf-IF(N(Q11)&gt;0,Q11,IF(N(P11)&gt;0,P11,FYStart))))</f>
        <v/>
      </c>
      <c r="S11" s="60" t="str">
        <f aca="false">IF($A11="","",IF(AND(N($G11)&gt;0,N11&gt;N($G11)),"OVER LIMIT",IF(AND(N11&gt;0,N(R11)&gt;N($H11)),"OVERDUE",IF(ROUND(N11,2)&lt;0,"PAY DUE",""))))</f>
        <v>PAY DUE</v>
      </c>
    </row>
    <row r="12" customFormat="false" ht="15" hidden="false" customHeight="false" outlineLevel="0" collapsed="false">
      <c r="A12" s="56" t="s">
        <v>233</v>
      </c>
      <c r="B12" s="56" t="s">
        <v>485</v>
      </c>
      <c r="C12" s="56" t="s">
        <v>493</v>
      </c>
      <c r="D12" s="56" t="s">
        <v>494</v>
      </c>
      <c r="E12" s="56" t="s">
        <v>473</v>
      </c>
      <c r="F12" s="56" t="s">
        <v>474</v>
      </c>
      <c r="G12" s="68" t="n">
        <v>0</v>
      </c>
      <c r="H12" s="69" t="n">
        <v>30</v>
      </c>
      <c r="I12" s="58" t="n">
        <v>0</v>
      </c>
      <c r="J12" s="61" t="n">
        <f aca="false">IF($A12="","",SUMIFS(Sales!$Q$5:INDEX(Sales!$Q$5:$Q$3004,TxRows),Sales!$C$5:INDEX(Sales!$C$5:$C$3004,TxRows),$A12)-SUMIFS(Sales!$X$5:INDEX(Sales!$X$5:$X$3004,TxRows),Sales!$C$5:INDEX(Sales!$C$5:$C$3004,TxRows),$A12))</f>
        <v>0</v>
      </c>
      <c r="K12" s="61" t="n">
        <f aca="false">IF($A12="","",SUMIFS(CashBook!$G$5:INDEX(CashBook!$G$5:$G$3004,TxRows),CashBook!$D$5:INDEX(CashBook!$D$5:$D$3004,TxRows),$A12,CashBook!$C$5:INDEX(CashBook!$C$5:$C$3004,TxRows),"Receipt"))</f>
        <v>0</v>
      </c>
      <c r="L12" s="61" t="n">
        <f aca="false">IF($A12="","",SUMIFS(Purchases!$P$5:INDEX(Purchases!$P$5:$P$3004,TxRows),Purchases!$C$5:INDEX(Purchases!$C$5:$C$3004,TxRows),$A12)-SUMIFS(Purchases!$S$5:INDEX(Purchases!$S$5:$S$3004,TxRows),Purchases!$C$5:INDEX(Purchases!$C$5:$C$3004,TxRows),$A12))</f>
        <v>183537.2</v>
      </c>
      <c r="M12" s="61" t="n">
        <f aca="false">IF($A12="","",SUMIFS(CashBook!$G$5:INDEX(CashBook!$G$5:$G$3004,TxRows),CashBook!$D$5:INDEX(CashBook!$D$5:$D$3004,TxRows),$A12,CashBook!$C$5:INDEX(CashBook!$C$5:$C$3004,TxRows),"Payment"))</f>
        <v>166000</v>
      </c>
      <c r="N12" s="61" t="n">
        <f aca="false">IF($A12="","",N($I12)+J12-K12-L12+M12)</f>
        <v>-17537.2</v>
      </c>
      <c r="O12" s="60" t="str">
        <f aca="false">IF($A12="","",IF(ROUND(N12,2)&gt;0,"Receivable",IF(ROUND(N12,2)&lt;0,"Payable","Settled")))</f>
        <v>Payable</v>
      </c>
      <c r="P12" s="66" t="n">
        <f aca="false">IF($A12="","",IFERROR(SUMPRODUCT(MAX((Sales!$C$5:INDEX(Sales!$C$5:$C$3004,TxRows)=$A12)*Sales!$A$5:INDEX(Sales!$A$5:$A$3004,TxRows))),0))</f>
        <v>0</v>
      </c>
      <c r="Q12" s="66" t="n">
        <f aca="false">IF($A12="","",IFERROR(SUMPRODUCT(MAX((CashBook!$D$5:INDEX(CashBook!$D$5:$D$3004,TxRows)=$A12)*(CashBook!$C$5:INDEX(CashBook!$C$5:$C$3004,TxRows)="Receipt")*CashBook!$A$5:INDEX(CashBook!$A$5:$A$3004,TxRows))),0))</f>
        <v>0</v>
      </c>
      <c r="R12" s="67" t="str">
        <f aca="false">IF($A12="","",IF(ROUND(N12,2)&lt;=0,"",AsOf-IF(N(Q12)&gt;0,Q12,IF(N(P12)&gt;0,P12,FYStart))))</f>
        <v/>
      </c>
      <c r="S12" s="60" t="str">
        <f aca="false">IF($A12="","",IF(AND(N($G12)&gt;0,N12&gt;N($G12)),"OVER LIMIT",IF(AND(N12&gt;0,N(R12)&gt;N($H12)),"OVERDUE",IF(ROUND(N12,2)&lt;0,"PAY DUE",""))))</f>
        <v>PAY DUE</v>
      </c>
    </row>
    <row r="13" customFormat="false" ht="15" hidden="false" customHeight="false" outlineLevel="0" collapsed="false">
      <c r="A13" s="56" t="s">
        <v>84</v>
      </c>
      <c r="B13" s="56" t="s">
        <v>495</v>
      </c>
      <c r="C13" s="56" t="s">
        <v>496</v>
      </c>
      <c r="D13" s="56" t="s">
        <v>497</v>
      </c>
      <c r="E13" s="56" t="s">
        <v>473</v>
      </c>
      <c r="F13" s="56" t="s">
        <v>474</v>
      </c>
      <c r="G13" s="68" t="n">
        <v>40000</v>
      </c>
      <c r="H13" s="69" t="n">
        <v>15</v>
      </c>
      <c r="I13" s="58" t="n">
        <v>0</v>
      </c>
      <c r="J13" s="61" t="n">
        <f aca="false">IF($A13="","",SUMIFS(Sales!$Q$5:INDEX(Sales!$Q$5:$Q$3004,TxRows),Sales!$C$5:INDEX(Sales!$C$5:$C$3004,TxRows),$A13)-SUMIFS(Sales!$X$5:INDEX(Sales!$X$5:$X$3004,TxRows),Sales!$C$5:INDEX(Sales!$C$5:$C$3004,TxRows),$A13))</f>
        <v>142437.06</v>
      </c>
      <c r="K13" s="61" t="n">
        <f aca="false">IF($A13="","",SUMIFS(CashBook!$G$5:INDEX(CashBook!$G$5:$G$3004,TxRows),CashBook!$D$5:INDEX(CashBook!$D$5:$D$3004,TxRows),$A13,CashBook!$C$5:INDEX(CashBook!$C$5:$C$3004,TxRows),"Receipt"))</f>
        <v>89000</v>
      </c>
      <c r="L13" s="61" t="n">
        <f aca="false">IF($A13="","",SUMIFS(Purchases!$P$5:INDEX(Purchases!$P$5:$P$3004,TxRows),Purchases!$C$5:INDEX(Purchases!$C$5:$C$3004,TxRows),$A13)-SUMIFS(Purchases!$S$5:INDEX(Purchases!$S$5:$S$3004,TxRows),Purchases!$C$5:INDEX(Purchases!$C$5:$C$3004,TxRows),$A13))</f>
        <v>160369.32</v>
      </c>
      <c r="M13" s="61" t="n">
        <f aca="false">IF($A13="","",SUMIFS(CashBook!$G$5:INDEX(CashBook!$G$5:$G$3004,TxRows),CashBook!$D$5:INDEX(CashBook!$D$5:$D$3004,TxRows),$A13,CashBook!$C$5:INDEX(CashBook!$C$5:$C$3004,TxRows),"Payment"))</f>
        <v>142000</v>
      </c>
      <c r="N13" s="61" t="n">
        <f aca="false">IF($A13="","",N($I13)+J13-K13-L13+M13)</f>
        <v>35067.74</v>
      </c>
      <c r="O13" s="60" t="str">
        <f aca="false">IF($A13="","",IF(ROUND(N13,2)&gt;0,"Receivable",IF(ROUND(N13,2)&lt;0,"Payable","Settled")))</f>
        <v>Receivable</v>
      </c>
      <c r="P13" s="66" t="n">
        <f aca="false">IF($A13="","",IFERROR(SUMPRODUCT(MAX((Sales!$C$5:INDEX(Sales!$C$5:$C$3004,TxRows)=$A13)*Sales!$A$5:INDEX(Sales!$A$5:$A$3004,TxRows))),0))</f>
        <v>46296</v>
      </c>
      <c r="Q13" s="66" t="n">
        <f aca="false">IF($A13="","",IFERROR(SUMPRODUCT(MAX((CashBook!$D$5:INDEX(CashBook!$D$5:$D$3004,TxRows)=$A13)*(CashBook!$C$5:INDEX(CashBook!$C$5:$C$3004,TxRows)="Receipt")*CashBook!$A$5:INDEX(CashBook!$A$5:$A$3004,TxRows))),0))</f>
        <v>46305</v>
      </c>
      <c r="R13" s="67" t="n">
        <f aca="false">IF($A13="","",IF(ROUND(N13,2)&lt;=0,"",AsOf-IF(N(Q13)&gt;0,Q13,IF(N(P13)&gt;0,P13,FYStart))))</f>
        <v>1</v>
      </c>
      <c r="S13" s="60" t="str">
        <f aca="false">IF($A13="","",IF(AND(N($G13)&gt;0,N13&gt;N($G13)),"OVER LIMIT",IF(AND(N13&gt;0,N(R13)&gt;N($H13)),"OVERDUE",IF(ROUND(N13,2)&lt;0,"PAY DUE",""))))</f>
        <v/>
      </c>
    </row>
    <row r="14" customFormat="false" ht="15" hidden="false" customHeight="false" outlineLevel="0" collapsed="false">
      <c r="A14" s="56"/>
      <c r="B14" s="56"/>
      <c r="C14" s="56"/>
      <c r="D14" s="56"/>
      <c r="E14" s="56"/>
      <c r="F14" s="56"/>
      <c r="G14" s="68"/>
      <c r="H14" s="69"/>
      <c r="I14" s="58"/>
      <c r="J14" s="61" t="str">
        <f aca="false">IF($A14="","",SUMIFS(Sales!$Q$5:INDEX(Sales!$Q$5:$Q$3004,TxRows),Sales!$C$5:INDEX(Sales!$C$5:$C$3004,TxRows),$A14)-SUMIFS(Sales!$X$5:INDEX(Sales!$X$5:$X$3004,TxRows),Sales!$C$5:INDEX(Sales!$C$5:$C$3004,TxRows),$A14))</f>
        <v/>
      </c>
      <c r="K14" s="61" t="str">
        <f aca="false">IF($A14="","",SUMIFS(CashBook!$G$5:INDEX(CashBook!$G$5:$G$3004,TxRows),CashBook!$D$5:INDEX(CashBook!$D$5:$D$3004,TxRows),$A14,CashBook!$C$5:INDEX(CashBook!$C$5:$C$3004,TxRows),"Receipt"))</f>
        <v/>
      </c>
      <c r="L14" s="61" t="str">
        <f aca="false">IF($A14="","",SUMIFS(Purchases!$P$5:INDEX(Purchases!$P$5:$P$3004,TxRows),Purchases!$C$5:INDEX(Purchases!$C$5:$C$3004,TxRows),$A14)-SUMIFS(Purchases!$S$5:INDEX(Purchases!$S$5:$S$3004,TxRows),Purchases!$C$5:INDEX(Purchases!$C$5:$C$3004,TxRows),$A14))</f>
        <v/>
      </c>
      <c r="M14" s="61" t="str">
        <f aca="false">IF($A14="","",SUMIFS(CashBook!$G$5:INDEX(CashBook!$G$5:$G$3004,TxRows),CashBook!$D$5:INDEX(CashBook!$D$5:$D$3004,TxRows),$A14,CashBook!$C$5:INDEX(CashBook!$C$5:$C$3004,TxRows),"Payment"))</f>
        <v/>
      </c>
      <c r="N14" s="61" t="str">
        <f aca="false">IF($A14="","",N($I14)+J14-K14-L14+M14)</f>
        <v/>
      </c>
      <c r="O14" s="60" t="str">
        <f aca="false">IF($A14="","",IF(ROUND(N14,2)&gt;0,"Receivable",IF(ROUND(N14,2)&lt;0,"Payable","Settled")))</f>
        <v/>
      </c>
      <c r="P14" s="66" t="str">
        <f aca="false">IF($A14="","",IFERROR(SUMPRODUCT(MAX((Sales!$C$5:INDEX(Sales!$C$5:$C$3004,TxRows)=$A14)*Sales!$A$5:INDEX(Sales!$A$5:$A$3004,TxRows))),0))</f>
        <v/>
      </c>
      <c r="Q14" s="66" t="str">
        <f aca="false">IF($A14="","",IFERROR(SUMPRODUCT(MAX((CashBook!$D$5:INDEX(CashBook!$D$5:$D$3004,TxRows)=$A14)*(CashBook!$C$5:INDEX(CashBook!$C$5:$C$3004,TxRows)="Receipt")*CashBook!$A$5:INDEX(CashBook!$A$5:$A$3004,TxRows))),0))</f>
        <v/>
      </c>
      <c r="R14" s="67" t="str">
        <f aca="false">IF($A14="","",IF(ROUND(N14,2)&lt;=0,"",AsOf-IF(N(Q14)&gt;0,Q14,IF(N(P14)&gt;0,P14,FYStart))))</f>
        <v/>
      </c>
      <c r="S14" s="60" t="str">
        <f aca="false">IF($A14="","",IF(AND(N($G14)&gt;0,N14&gt;N($G14)),"OVER LIMIT",IF(AND(N14&gt;0,N(R14)&gt;N($H14)),"OVERDUE",IF(ROUND(N14,2)&lt;0,"PAY DUE",""))))</f>
        <v/>
      </c>
    </row>
    <row r="15" customFormat="false" ht="15" hidden="false" customHeight="false" outlineLevel="0" collapsed="false">
      <c r="A15" s="56"/>
      <c r="B15" s="56"/>
      <c r="C15" s="56"/>
      <c r="D15" s="56"/>
      <c r="E15" s="56"/>
      <c r="F15" s="56"/>
      <c r="G15" s="68"/>
      <c r="H15" s="69"/>
      <c r="I15" s="58"/>
      <c r="J15" s="61" t="str">
        <f aca="false">IF($A15="","",SUMIFS(Sales!$Q$5:INDEX(Sales!$Q$5:$Q$3004,TxRows),Sales!$C$5:INDEX(Sales!$C$5:$C$3004,TxRows),$A15)-SUMIFS(Sales!$X$5:INDEX(Sales!$X$5:$X$3004,TxRows),Sales!$C$5:INDEX(Sales!$C$5:$C$3004,TxRows),$A15))</f>
        <v/>
      </c>
      <c r="K15" s="61" t="str">
        <f aca="false">IF($A15="","",SUMIFS(CashBook!$G$5:INDEX(CashBook!$G$5:$G$3004,TxRows),CashBook!$D$5:INDEX(CashBook!$D$5:$D$3004,TxRows),$A15,CashBook!$C$5:INDEX(CashBook!$C$5:$C$3004,TxRows),"Receipt"))</f>
        <v/>
      </c>
      <c r="L15" s="61" t="str">
        <f aca="false">IF($A15="","",SUMIFS(Purchases!$P$5:INDEX(Purchases!$P$5:$P$3004,TxRows),Purchases!$C$5:INDEX(Purchases!$C$5:$C$3004,TxRows),$A15)-SUMIFS(Purchases!$S$5:INDEX(Purchases!$S$5:$S$3004,TxRows),Purchases!$C$5:INDEX(Purchases!$C$5:$C$3004,TxRows),$A15))</f>
        <v/>
      </c>
      <c r="M15" s="61" t="str">
        <f aca="false">IF($A15="","",SUMIFS(CashBook!$G$5:INDEX(CashBook!$G$5:$G$3004,TxRows),CashBook!$D$5:INDEX(CashBook!$D$5:$D$3004,TxRows),$A15,CashBook!$C$5:INDEX(CashBook!$C$5:$C$3004,TxRows),"Payment"))</f>
        <v/>
      </c>
      <c r="N15" s="61" t="str">
        <f aca="false">IF($A15="","",N($I15)+J15-K15-L15+M15)</f>
        <v/>
      </c>
      <c r="O15" s="60" t="str">
        <f aca="false">IF($A15="","",IF(ROUND(N15,2)&gt;0,"Receivable",IF(ROUND(N15,2)&lt;0,"Payable","Settled")))</f>
        <v/>
      </c>
      <c r="P15" s="66" t="str">
        <f aca="false">IF($A15="","",IFERROR(SUMPRODUCT(MAX((Sales!$C$5:INDEX(Sales!$C$5:$C$3004,TxRows)=$A15)*Sales!$A$5:INDEX(Sales!$A$5:$A$3004,TxRows))),0))</f>
        <v/>
      </c>
      <c r="Q15" s="66" t="str">
        <f aca="false">IF($A15="","",IFERROR(SUMPRODUCT(MAX((CashBook!$D$5:INDEX(CashBook!$D$5:$D$3004,TxRows)=$A15)*(CashBook!$C$5:INDEX(CashBook!$C$5:$C$3004,TxRows)="Receipt")*CashBook!$A$5:INDEX(CashBook!$A$5:$A$3004,TxRows))),0))</f>
        <v/>
      </c>
      <c r="R15" s="67" t="str">
        <f aca="false">IF($A15="","",IF(ROUND(N15,2)&lt;=0,"",AsOf-IF(N(Q15)&gt;0,Q15,IF(N(P15)&gt;0,P15,FYStart))))</f>
        <v/>
      </c>
      <c r="S15" s="60" t="str">
        <f aca="false">IF($A15="","",IF(AND(N($G15)&gt;0,N15&gt;N($G15)),"OVER LIMIT",IF(AND(N15&gt;0,N(R15)&gt;N($H15)),"OVERDUE",IF(ROUND(N15,2)&lt;0,"PAY DUE",""))))</f>
        <v/>
      </c>
    </row>
    <row r="16" customFormat="false" ht="15" hidden="false" customHeight="false" outlineLevel="0" collapsed="false">
      <c r="A16" s="56"/>
      <c r="B16" s="56"/>
      <c r="C16" s="56"/>
      <c r="D16" s="56"/>
      <c r="E16" s="56"/>
      <c r="F16" s="56"/>
      <c r="G16" s="68"/>
      <c r="H16" s="69"/>
      <c r="I16" s="58"/>
      <c r="J16" s="61" t="str">
        <f aca="false">IF($A16="","",SUMIFS(Sales!$Q$5:INDEX(Sales!$Q$5:$Q$3004,TxRows),Sales!$C$5:INDEX(Sales!$C$5:$C$3004,TxRows),$A16)-SUMIFS(Sales!$X$5:INDEX(Sales!$X$5:$X$3004,TxRows),Sales!$C$5:INDEX(Sales!$C$5:$C$3004,TxRows),$A16))</f>
        <v/>
      </c>
      <c r="K16" s="61" t="str">
        <f aca="false">IF($A16="","",SUMIFS(CashBook!$G$5:INDEX(CashBook!$G$5:$G$3004,TxRows),CashBook!$D$5:INDEX(CashBook!$D$5:$D$3004,TxRows),$A16,CashBook!$C$5:INDEX(CashBook!$C$5:$C$3004,TxRows),"Receipt"))</f>
        <v/>
      </c>
      <c r="L16" s="61" t="str">
        <f aca="false">IF($A16="","",SUMIFS(Purchases!$P$5:INDEX(Purchases!$P$5:$P$3004,TxRows),Purchases!$C$5:INDEX(Purchases!$C$5:$C$3004,TxRows),$A16)-SUMIFS(Purchases!$S$5:INDEX(Purchases!$S$5:$S$3004,TxRows),Purchases!$C$5:INDEX(Purchases!$C$5:$C$3004,TxRows),$A16))</f>
        <v/>
      </c>
      <c r="M16" s="61" t="str">
        <f aca="false">IF($A16="","",SUMIFS(CashBook!$G$5:INDEX(CashBook!$G$5:$G$3004,TxRows),CashBook!$D$5:INDEX(CashBook!$D$5:$D$3004,TxRows),$A16,CashBook!$C$5:INDEX(CashBook!$C$5:$C$3004,TxRows),"Payment"))</f>
        <v/>
      </c>
      <c r="N16" s="61" t="str">
        <f aca="false">IF($A16="","",N($I16)+J16-K16-L16+M16)</f>
        <v/>
      </c>
      <c r="O16" s="60" t="str">
        <f aca="false">IF($A16="","",IF(ROUND(N16,2)&gt;0,"Receivable",IF(ROUND(N16,2)&lt;0,"Payable","Settled")))</f>
        <v/>
      </c>
      <c r="P16" s="66" t="str">
        <f aca="false">IF($A16="","",IFERROR(SUMPRODUCT(MAX((Sales!$C$5:INDEX(Sales!$C$5:$C$3004,TxRows)=$A16)*Sales!$A$5:INDEX(Sales!$A$5:$A$3004,TxRows))),0))</f>
        <v/>
      </c>
      <c r="Q16" s="66" t="str">
        <f aca="false">IF($A16="","",IFERROR(SUMPRODUCT(MAX((CashBook!$D$5:INDEX(CashBook!$D$5:$D$3004,TxRows)=$A16)*(CashBook!$C$5:INDEX(CashBook!$C$5:$C$3004,TxRows)="Receipt")*CashBook!$A$5:INDEX(CashBook!$A$5:$A$3004,TxRows))),0))</f>
        <v/>
      </c>
      <c r="R16" s="67" t="str">
        <f aca="false">IF($A16="","",IF(ROUND(N16,2)&lt;=0,"",AsOf-IF(N(Q16)&gt;0,Q16,IF(N(P16)&gt;0,P16,FYStart))))</f>
        <v/>
      </c>
      <c r="S16" s="60" t="str">
        <f aca="false">IF($A16="","",IF(AND(N($G16)&gt;0,N16&gt;N($G16)),"OVER LIMIT",IF(AND(N16&gt;0,N(R16)&gt;N($H16)),"OVERDUE",IF(ROUND(N16,2)&lt;0,"PAY DUE",""))))</f>
        <v/>
      </c>
    </row>
    <row r="17" customFormat="false" ht="15" hidden="false" customHeight="false" outlineLevel="0" collapsed="false">
      <c r="A17" s="56"/>
      <c r="B17" s="56"/>
      <c r="C17" s="56"/>
      <c r="D17" s="56"/>
      <c r="E17" s="56"/>
      <c r="F17" s="56"/>
      <c r="G17" s="68"/>
      <c r="H17" s="69"/>
      <c r="I17" s="58"/>
      <c r="J17" s="61" t="str">
        <f aca="false">IF($A17="","",SUMIFS(Sales!$Q$5:INDEX(Sales!$Q$5:$Q$3004,TxRows),Sales!$C$5:INDEX(Sales!$C$5:$C$3004,TxRows),$A17)-SUMIFS(Sales!$X$5:INDEX(Sales!$X$5:$X$3004,TxRows),Sales!$C$5:INDEX(Sales!$C$5:$C$3004,TxRows),$A17))</f>
        <v/>
      </c>
      <c r="K17" s="61" t="str">
        <f aca="false">IF($A17="","",SUMIFS(CashBook!$G$5:INDEX(CashBook!$G$5:$G$3004,TxRows),CashBook!$D$5:INDEX(CashBook!$D$5:$D$3004,TxRows),$A17,CashBook!$C$5:INDEX(CashBook!$C$5:$C$3004,TxRows),"Receipt"))</f>
        <v/>
      </c>
      <c r="L17" s="61" t="str">
        <f aca="false">IF($A17="","",SUMIFS(Purchases!$P$5:INDEX(Purchases!$P$5:$P$3004,TxRows),Purchases!$C$5:INDEX(Purchases!$C$5:$C$3004,TxRows),$A17)-SUMIFS(Purchases!$S$5:INDEX(Purchases!$S$5:$S$3004,TxRows),Purchases!$C$5:INDEX(Purchases!$C$5:$C$3004,TxRows),$A17))</f>
        <v/>
      </c>
      <c r="M17" s="61" t="str">
        <f aca="false">IF($A17="","",SUMIFS(CashBook!$G$5:INDEX(CashBook!$G$5:$G$3004,TxRows),CashBook!$D$5:INDEX(CashBook!$D$5:$D$3004,TxRows),$A17,CashBook!$C$5:INDEX(CashBook!$C$5:$C$3004,TxRows),"Payment"))</f>
        <v/>
      </c>
      <c r="N17" s="61" t="str">
        <f aca="false">IF($A17="","",N($I17)+J17-K17-L17+M17)</f>
        <v/>
      </c>
      <c r="O17" s="60" t="str">
        <f aca="false">IF($A17="","",IF(ROUND(N17,2)&gt;0,"Receivable",IF(ROUND(N17,2)&lt;0,"Payable","Settled")))</f>
        <v/>
      </c>
      <c r="P17" s="66" t="str">
        <f aca="false">IF($A17="","",IFERROR(SUMPRODUCT(MAX((Sales!$C$5:INDEX(Sales!$C$5:$C$3004,TxRows)=$A17)*Sales!$A$5:INDEX(Sales!$A$5:$A$3004,TxRows))),0))</f>
        <v/>
      </c>
      <c r="Q17" s="66" t="str">
        <f aca="false">IF($A17="","",IFERROR(SUMPRODUCT(MAX((CashBook!$D$5:INDEX(CashBook!$D$5:$D$3004,TxRows)=$A17)*(CashBook!$C$5:INDEX(CashBook!$C$5:$C$3004,TxRows)="Receipt")*CashBook!$A$5:INDEX(CashBook!$A$5:$A$3004,TxRows))),0))</f>
        <v/>
      </c>
      <c r="R17" s="67" t="str">
        <f aca="false">IF($A17="","",IF(ROUND(N17,2)&lt;=0,"",AsOf-IF(N(Q17)&gt;0,Q17,IF(N(P17)&gt;0,P17,FYStart))))</f>
        <v/>
      </c>
      <c r="S17" s="60" t="str">
        <f aca="false">IF($A17="","",IF(AND(N($G17)&gt;0,N17&gt;N($G17)),"OVER LIMIT",IF(AND(N17&gt;0,N(R17)&gt;N($H17)),"OVERDUE",IF(ROUND(N17,2)&lt;0,"PAY DUE",""))))</f>
        <v/>
      </c>
    </row>
    <row r="18" customFormat="false" ht="15" hidden="false" customHeight="false" outlineLevel="0" collapsed="false">
      <c r="A18" s="56"/>
      <c r="B18" s="56"/>
      <c r="C18" s="56"/>
      <c r="D18" s="56"/>
      <c r="E18" s="56"/>
      <c r="F18" s="56"/>
      <c r="G18" s="68"/>
      <c r="H18" s="69"/>
      <c r="I18" s="58"/>
      <c r="J18" s="61" t="str">
        <f aca="false">IF($A18="","",SUMIFS(Sales!$Q$5:INDEX(Sales!$Q$5:$Q$3004,TxRows),Sales!$C$5:INDEX(Sales!$C$5:$C$3004,TxRows),$A18)-SUMIFS(Sales!$X$5:INDEX(Sales!$X$5:$X$3004,TxRows),Sales!$C$5:INDEX(Sales!$C$5:$C$3004,TxRows),$A18))</f>
        <v/>
      </c>
      <c r="K18" s="61" t="str">
        <f aca="false">IF($A18="","",SUMIFS(CashBook!$G$5:INDEX(CashBook!$G$5:$G$3004,TxRows),CashBook!$D$5:INDEX(CashBook!$D$5:$D$3004,TxRows),$A18,CashBook!$C$5:INDEX(CashBook!$C$5:$C$3004,TxRows),"Receipt"))</f>
        <v/>
      </c>
      <c r="L18" s="61" t="str">
        <f aca="false">IF($A18="","",SUMIFS(Purchases!$P$5:INDEX(Purchases!$P$5:$P$3004,TxRows),Purchases!$C$5:INDEX(Purchases!$C$5:$C$3004,TxRows),$A18)-SUMIFS(Purchases!$S$5:INDEX(Purchases!$S$5:$S$3004,TxRows),Purchases!$C$5:INDEX(Purchases!$C$5:$C$3004,TxRows),$A18))</f>
        <v/>
      </c>
      <c r="M18" s="61" t="str">
        <f aca="false">IF($A18="","",SUMIFS(CashBook!$G$5:INDEX(CashBook!$G$5:$G$3004,TxRows),CashBook!$D$5:INDEX(CashBook!$D$5:$D$3004,TxRows),$A18,CashBook!$C$5:INDEX(CashBook!$C$5:$C$3004,TxRows),"Payment"))</f>
        <v/>
      </c>
      <c r="N18" s="61" t="str">
        <f aca="false">IF($A18="","",N($I18)+J18-K18-L18+M18)</f>
        <v/>
      </c>
      <c r="O18" s="60" t="str">
        <f aca="false">IF($A18="","",IF(ROUND(N18,2)&gt;0,"Receivable",IF(ROUND(N18,2)&lt;0,"Payable","Settled")))</f>
        <v/>
      </c>
      <c r="P18" s="66" t="str">
        <f aca="false">IF($A18="","",IFERROR(SUMPRODUCT(MAX((Sales!$C$5:INDEX(Sales!$C$5:$C$3004,TxRows)=$A18)*Sales!$A$5:INDEX(Sales!$A$5:$A$3004,TxRows))),0))</f>
        <v/>
      </c>
      <c r="Q18" s="66" t="str">
        <f aca="false">IF($A18="","",IFERROR(SUMPRODUCT(MAX((CashBook!$D$5:INDEX(CashBook!$D$5:$D$3004,TxRows)=$A18)*(CashBook!$C$5:INDEX(CashBook!$C$5:$C$3004,TxRows)="Receipt")*CashBook!$A$5:INDEX(CashBook!$A$5:$A$3004,TxRows))),0))</f>
        <v/>
      </c>
      <c r="R18" s="67" t="str">
        <f aca="false">IF($A18="","",IF(ROUND(N18,2)&lt;=0,"",AsOf-IF(N(Q18)&gt;0,Q18,IF(N(P18)&gt;0,P18,FYStart))))</f>
        <v/>
      </c>
      <c r="S18" s="60" t="str">
        <f aca="false">IF($A18="","",IF(AND(N($G18)&gt;0,N18&gt;N($G18)),"OVER LIMIT",IF(AND(N18&gt;0,N(R18)&gt;N($H18)),"OVERDUE",IF(ROUND(N18,2)&lt;0,"PAY DUE",""))))</f>
        <v/>
      </c>
    </row>
    <row r="19" customFormat="false" ht="15" hidden="false" customHeight="false" outlineLevel="0" collapsed="false">
      <c r="A19" s="56"/>
      <c r="B19" s="56"/>
      <c r="C19" s="56"/>
      <c r="D19" s="56"/>
      <c r="E19" s="56"/>
      <c r="F19" s="56"/>
      <c r="G19" s="68"/>
      <c r="H19" s="69"/>
      <c r="I19" s="58"/>
      <c r="J19" s="61" t="str">
        <f aca="false">IF($A19="","",SUMIFS(Sales!$Q$5:INDEX(Sales!$Q$5:$Q$3004,TxRows),Sales!$C$5:INDEX(Sales!$C$5:$C$3004,TxRows),$A19)-SUMIFS(Sales!$X$5:INDEX(Sales!$X$5:$X$3004,TxRows),Sales!$C$5:INDEX(Sales!$C$5:$C$3004,TxRows),$A19))</f>
        <v/>
      </c>
      <c r="K19" s="61" t="str">
        <f aca="false">IF($A19="","",SUMIFS(CashBook!$G$5:INDEX(CashBook!$G$5:$G$3004,TxRows),CashBook!$D$5:INDEX(CashBook!$D$5:$D$3004,TxRows),$A19,CashBook!$C$5:INDEX(CashBook!$C$5:$C$3004,TxRows),"Receipt"))</f>
        <v/>
      </c>
      <c r="L19" s="61" t="str">
        <f aca="false">IF($A19="","",SUMIFS(Purchases!$P$5:INDEX(Purchases!$P$5:$P$3004,TxRows),Purchases!$C$5:INDEX(Purchases!$C$5:$C$3004,TxRows),$A19)-SUMIFS(Purchases!$S$5:INDEX(Purchases!$S$5:$S$3004,TxRows),Purchases!$C$5:INDEX(Purchases!$C$5:$C$3004,TxRows),$A19))</f>
        <v/>
      </c>
      <c r="M19" s="61" t="str">
        <f aca="false">IF($A19="","",SUMIFS(CashBook!$G$5:INDEX(CashBook!$G$5:$G$3004,TxRows),CashBook!$D$5:INDEX(CashBook!$D$5:$D$3004,TxRows),$A19,CashBook!$C$5:INDEX(CashBook!$C$5:$C$3004,TxRows),"Payment"))</f>
        <v/>
      </c>
      <c r="N19" s="61" t="str">
        <f aca="false">IF($A19="","",N($I19)+J19-K19-L19+M19)</f>
        <v/>
      </c>
      <c r="O19" s="60" t="str">
        <f aca="false">IF($A19="","",IF(ROUND(N19,2)&gt;0,"Receivable",IF(ROUND(N19,2)&lt;0,"Payable","Settled")))</f>
        <v/>
      </c>
      <c r="P19" s="66" t="str">
        <f aca="false">IF($A19="","",IFERROR(SUMPRODUCT(MAX((Sales!$C$5:INDEX(Sales!$C$5:$C$3004,TxRows)=$A19)*Sales!$A$5:INDEX(Sales!$A$5:$A$3004,TxRows))),0))</f>
        <v/>
      </c>
      <c r="Q19" s="66" t="str">
        <f aca="false">IF($A19="","",IFERROR(SUMPRODUCT(MAX((CashBook!$D$5:INDEX(CashBook!$D$5:$D$3004,TxRows)=$A19)*(CashBook!$C$5:INDEX(CashBook!$C$5:$C$3004,TxRows)="Receipt")*CashBook!$A$5:INDEX(CashBook!$A$5:$A$3004,TxRows))),0))</f>
        <v/>
      </c>
      <c r="R19" s="67" t="str">
        <f aca="false">IF($A19="","",IF(ROUND(N19,2)&lt;=0,"",AsOf-IF(N(Q19)&gt;0,Q19,IF(N(P19)&gt;0,P19,FYStart))))</f>
        <v/>
      </c>
      <c r="S19" s="60" t="str">
        <f aca="false">IF($A19="","",IF(AND(N($G19)&gt;0,N19&gt;N($G19)),"OVER LIMIT",IF(AND(N19&gt;0,N(R19)&gt;N($H19)),"OVERDUE",IF(ROUND(N19,2)&lt;0,"PAY DUE",""))))</f>
        <v/>
      </c>
    </row>
    <row r="20" customFormat="false" ht="15" hidden="false" customHeight="false" outlineLevel="0" collapsed="false">
      <c r="A20" s="56"/>
      <c r="B20" s="56"/>
      <c r="C20" s="56"/>
      <c r="D20" s="56"/>
      <c r="E20" s="56"/>
      <c r="F20" s="56"/>
      <c r="G20" s="68"/>
      <c r="H20" s="69"/>
      <c r="I20" s="58"/>
      <c r="J20" s="61" t="str">
        <f aca="false">IF($A20="","",SUMIFS(Sales!$Q$5:INDEX(Sales!$Q$5:$Q$3004,TxRows),Sales!$C$5:INDEX(Sales!$C$5:$C$3004,TxRows),$A20)-SUMIFS(Sales!$X$5:INDEX(Sales!$X$5:$X$3004,TxRows),Sales!$C$5:INDEX(Sales!$C$5:$C$3004,TxRows),$A20))</f>
        <v/>
      </c>
      <c r="K20" s="61" t="str">
        <f aca="false">IF($A20="","",SUMIFS(CashBook!$G$5:INDEX(CashBook!$G$5:$G$3004,TxRows),CashBook!$D$5:INDEX(CashBook!$D$5:$D$3004,TxRows),$A20,CashBook!$C$5:INDEX(CashBook!$C$5:$C$3004,TxRows),"Receipt"))</f>
        <v/>
      </c>
      <c r="L20" s="61" t="str">
        <f aca="false">IF($A20="","",SUMIFS(Purchases!$P$5:INDEX(Purchases!$P$5:$P$3004,TxRows),Purchases!$C$5:INDEX(Purchases!$C$5:$C$3004,TxRows),$A20)-SUMIFS(Purchases!$S$5:INDEX(Purchases!$S$5:$S$3004,TxRows),Purchases!$C$5:INDEX(Purchases!$C$5:$C$3004,TxRows),$A20))</f>
        <v/>
      </c>
      <c r="M20" s="61" t="str">
        <f aca="false">IF($A20="","",SUMIFS(CashBook!$G$5:INDEX(CashBook!$G$5:$G$3004,TxRows),CashBook!$D$5:INDEX(CashBook!$D$5:$D$3004,TxRows),$A20,CashBook!$C$5:INDEX(CashBook!$C$5:$C$3004,TxRows),"Payment"))</f>
        <v/>
      </c>
      <c r="N20" s="61" t="str">
        <f aca="false">IF($A20="","",N($I20)+J20-K20-L20+M20)</f>
        <v/>
      </c>
      <c r="O20" s="60" t="str">
        <f aca="false">IF($A20="","",IF(ROUND(N20,2)&gt;0,"Receivable",IF(ROUND(N20,2)&lt;0,"Payable","Settled")))</f>
        <v/>
      </c>
      <c r="P20" s="66" t="str">
        <f aca="false">IF($A20="","",IFERROR(SUMPRODUCT(MAX((Sales!$C$5:INDEX(Sales!$C$5:$C$3004,TxRows)=$A20)*Sales!$A$5:INDEX(Sales!$A$5:$A$3004,TxRows))),0))</f>
        <v/>
      </c>
      <c r="Q20" s="66" t="str">
        <f aca="false">IF($A20="","",IFERROR(SUMPRODUCT(MAX((CashBook!$D$5:INDEX(CashBook!$D$5:$D$3004,TxRows)=$A20)*(CashBook!$C$5:INDEX(CashBook!$C$5:$C$3004,TxRows)="Receipt")*CashBook!$A$5:INDEX(CashBook!$A$5:$A$3004,TxRows))),0))</f>
        <v/>
      </c>
      <c r="R20" s="67" t="str">
        <f aca="false">IF($A20="","",IF(ROUND(N20,2)&lt;=0,"",AsOf-IF(N(Q20)&gt;0,Q20,IF(N(P20)&gt;0,P20,FYStart))))</f>
        <v/>
      </c>
      <c r="S20" s="60" t="str">
        <f aca="false">IF($A20="","",IF(AND(N($G20)&gt;0,N20&gt;N($G20)),"OVER LIMIT",IF(AND(N20&gt;0,N(R20)&gt;N($H20)),"OVERDUE",IF(ROUND(N20,2)&lt;0,"PAY DUE",""))))</f>
        <v/>
      </c>
    </row>
    <row r="21" customFormat="false" ht="15" hidden="false" customHeight="false" outlineLevel="0" collapsed="false">
      <c r="A21" s="56"/>
      <c r="B21" s="56"/>
      <c r="C21" s="56"/>
      <c r="D21" s="56"/>
      <c r="E21" s="56"/>
      <c r="F21" s="56"/>
      <c r="G21" s="68"/>
      <c r="H21" s="69"/>
      <c r="I21" s="58"/>
      <c r="J21" s="61" t="str">
        <f aca="false">IF($A21="","",SUMIFS(Sales!$Q$5:INDEX(Sales!$Q$5:$Q$3004,TxRows),Sales!$C$5:INDEX(Sales!$C$5:$C$3004,TxRows),$A21)-SUMIFS(Sales!$X$5:INDEX(Sales!$X$5:$X$3004,TxRows),Sales!$C$5:INDEX(Sales!$C$5:$C$3004,TxRows),$A21))</f>
        <v/>
      </c>
      <c r="K21" s="61" t="str">
        <f aca="false">IF($A21="","",SUMIFS(CashBook!$G$5:INDEX(CashBook!$G$5:$G$3004,TxRows),CashBook!$D$5:INDEX(CashBook!$D$5:$D$3004,TxRows),$A21,CashBook!$C$5:INDEX(CashBook!$C$5:$C$3004,TxRows),"Receipt"))</f>
        <v/>
      </c>
      <c r="L21" s="61" t="str">
        <f aca="false">IF($A21="","",SUMIFS(Purchases!$P$5:INDEX(Purchases!$P$5:$P$3004,TxRows),Purchases!$C$5:INDEX(Purchases!$C$5:$C$3004,TxRows),$A21)-SUMIFS(Purchases!$S$5:INDEX(Purchases!$S$5:$S$3004,TxRows),Purchases!$C$5:INDEX(Purchases!$C$5:$C$3004,TxRows),$A21))</f>
        <v/>
      </c>
      <c r="M21" s="61" t="str">
        <f aca="false">IF($A21="","",SUMIFS(CashBook!$G$5:INDEX(CashBook!$G$5:$G$3004,TxRows),CashBook!$D$5:INDEX(CashBook!$D$5:$D$3004,TxRows),$A21,CashBook!$C$5:INDEX(CashBook!$C$5:$C$3004,TxRows),"Payment"))</f>
        <v/>
      </c>
      <c r="N21" s="61" t="str">
        <f aca="false">IF($A21="","",N($I21)+J21-K21-L21+M21)</f>
        <v/>
      </c>
      <c r="O21" s="60" t="str">
        <f aca="false">IF($A21="","",IF(ROUND(N21,2)&gt;0,"Receivable",IF(ROUND(N21,2)&lt;0,"Payable","Settled")))</f>
        <v/>
      </c>
      <c r="P21" s="66" t="str">
        <f aca="false">IF($A21="","",IFERROR(SUMPRODUCT(MAX((Sales!$C$5:INDEX(Sales!$C$5:$C$3004,TxRows)=$A21)*Sales!$A$5:INDEX(Sales!$A$5:$A$3004,TxRows))),0))</f>
        <v/>
      </c>
      <c r="Q21" s="66" t="str">
        <f aca="false">IF($A21="","",IFERROR(SUMPRODUCT(MAX((CashBook!$D$5:INDEX(CashBook!$D$5:$D$3004,TxRows)=$A21)*(CashBook!$C$5:INDEX(CashBook!$C$5:$C$3004,TxRows)="Receipt")*CashBook!$A$5:INDEX(CashBook!$A$5:$A$3004,TxRows))),0))</f>
        <v/>
      </c>
      <c r="R21" s="67" t="str">
        <f aca="false">IF($A21="","",IF(ROUND(N21,2)&lt;=0,"",AsOf-IF(N(Q21)&gt;0,Q21,IF(N(P21)&gt;0,P21,FYStart))))</f>
        <v/>
      </c>
      <c r="S21" s="60" t="str">
        <f aca="false">IF($A21="","",IF(AND(N($G21)&gt;0,N21&gt;N($G21)),"OVER LIMIT",IF(AND(N21&gt;0,N(R21)&gt;N($H21)),"OVERDUE",IF(ROUND(N21,2)&lt;0,"PAY DUE",""))))</f>
        <v/>
      </c>
    </row>
    <row r="22" customFormat="false" ht="15" hidden="false" customHeight="false" outlineLevel="0" collapsed="false">
      <c r="A22" s="56"/>
      <c r="B22" s="56"/>
      <c r="C22" s="56"/>
      <c r="D22" s="56"/>
      <c r="E22" s="56"/>
      <c r="F22" s="56"/>
      <c r="G22" s="68"/>
      <c r="H22" s="69"/>
      <c r="I22" s="58"/>
      <c r="J22" s="61" t="str">
        <f aca="false">IF($A22="","",SUMIFS(Sales!$Q$5:INDEX(Sales!$Q$5:$Q$3004,TxRows),Sales!$C$5:INDEX(Sales!$C$5:$C$3004,TxRows),$A22)-SUMIFS(Sales!$X$5:INDEX(Sales!$X$5:$X$3004,TxRows),Sales!$C$5:INDEX(Sales!$C$5:$C$3004,TxRows),$A22))</f>
        <v/>
      </c>
      <c r="K22" s="61" t="str">
        <f aca="false">IF($A22="","",SUMIFS(CashBook!$G$5:INDEX(CashBook!$G$5:$G$3004,TxRows),CashBook!$D$5:INDEX(CashBook!$D$5:$D$3004,TxRows),$A22,CashBook!$C$5:INDEX(CashBook!$C$5:$C$3004,TxRows),"Receipt"))</f>
        <v/>
      </c>
      <c r="L22" s="61" t="str">
        <f aca="false">IF($A22="","",SUMIFS(Purchases!$P$5:INDEX(Purchases!$P$5:$P$3004,TxRows),Purchases!$C$5:INDEX(Purchases!$C$5:$C$3004,TxRows),$A22)-SUMIFS(Purchases!$S$5:INDEX(Purchases!$S$5:$S$3004,TxRows),Purchases!$C$5:INDEX(Purchases!$C$5:$C$3004,TxRows),$A22))</f>
        <v/>
      </c>
      <c r="M22" s="61" t="str">
        <f aca="false">IF($A22="","",SUMIFS(CashBook!$G$5:INDEX(CashBook!$G$5:$G$3004,TxRows),CashBook!$D$5:INDEX(CashBook!$D$5:$D$3004,TxRows),$A22,CashBook!$C$5:INDEX(CashBook!$C$5:$C$3004,TxRows),"Payment"))</f>
        <v/>
      </c>
      <c r="N22" s="61" t="str">
        <f aca="false">IF($A22="","",N($I22)+J22-K22-L22+M22)</f>
        <v/>
      </c>
      <c r="O22" s="60" t="str">
        <f aca="false">IF($A22="","",IF(ROUND(N22,2)&gt;0,"Receivable",IF(ROUND(N22,2)&lt;0,"Payable","Settled")))</f>
        <v/>
      </c>
      <c r="P22" s="66" t="str">
        <f aca="false">IF($A22="","",IFERROR(SUMPRODUCT(MAX((Sales!$C$5:INDEX(Sales!$C$5:$C$3004,TxRows)=$A22)*Sales!$A$5:INDEX(Sales!$A$5:$A$3004,TxRows))),0))</f>
        <v/>
      </c>
      <c r="Q22" s="66" t="str">
        <f aca="false">IF($A22="","",IFERROR(SUMPRODUCT(MAX((CashBook!$D$5:INDEX(CashBook!$D$5:$D$3004,TxRows)=$A22)*(CashBook!$C$5:INDEX(CashBook!$C$5:$C$3004,TxRows)="Receipt")*CashBook!$A$5:INDEX(CashBook!$A$5:$A$3004,TxRows))),0))</f>
        <v/>
      </c>
      <c r="R22" s="67" t="str">
        <f aca="false">IF($A22="","",IF(ROUND(N22,2)&lt;=0,"",AsOf-IF(N(Q22)&gt;0,Q22,IF(N(P22)&gt;0,P22,FYStart))))</f>
        <v/>
      </c>
      <c r="S22" s="60" t="str">
        <f aca="false">IF($A22="","",IF(AND(N($G22)&gt;0,N22&gt;N($G22)),"OVER LIMIT",IF(AND(N22&gt;0,N(R22)&gt;N($H22)),"OVERDUE",IF(ROUND(N22,2)&lt;0,"PAY DUE",""))))</f>
        <v/>
      </c>
    </row>
    <row r="23" customFormat="false" ht="15" hidden="false" customHeight="false" outlineLevel="0" collapsed="false">
      <c r="A23" s="56"/>
      <c r="B23" s="56"/>
      <c r="C23" s="56"/>
      <c r="D23" s="56"/>
      <c r="E23" s="56"/>
      <c r="F23" s="56"/>
      <c r="G23" s="68"/>
      <c r="H23" s="69"/>
      <c r="I23" s="58"/>
      <c r="J23" s="61" t="str">
        <f aca="false">IF($A23="","",SUMIFS(Sales!$Q$5:INDEX(Sales!$Q$5:$Q$3004,TxRows),Sales!$C$5:INDEX(Sales!$C$5:$C$3004,TxRows),$A23)-SUMIFS(Sales!$X$5:INDEX(Sales!$X$5:$X$3004,TxRows),Sales!$C$5:INDEX(Sales!$C$5:$C$3004,TxRows),$A23))</f>
        <v/>
      </c>
      <c r="K23" s="61" t="str">
        <f aca="false">IF($A23="","",SUMIFS(CashBook!$G$5:INDEX(CashBook!$G$5:$G$3004,TxRows),CashBook!$D$5:INDEX(CashBook!$D$5:$D$3004,TxRows),$A23,CashBook!$C$5:INDEX(CashBook!$C$5:$C$3004,TxRows),"Receipt"))</f>
        <v/>
      </c>
      <c r="L23" s="61" t="str">
        <f aca="false">IF($A23="","",SUMIFS(Purchases!$P$5:INDEX(Purchases!$P$5:$P$3004,TxRows),Purchases!$C$5:INDEX(Purchases!$C$5:$C$3004,TxRows),$A23)-SUMIFS(Purchases!$S$5:INDEX(Purchases!$S$5:$S$3004,TxRows),Purchases!$C$5:INDEX(Purchases!$C$5:$C$3004,TxRows),$A23))</f>
        <v/>
      </c>
      <c r="M23" s="61" t="str">
        <f aca="false">IF($A23="","",SUMIFS(CashBook!$G$5:INDEX(CashBook!$G$5:$G$3004,TxRows),CashBook!$D$5:INDEX(CashBook!$D$5:$D$3004,TxRows),$A23,CashBook!$C$5:INDEX(CashBook!$C$5:$C$3004,TxRows),"Payment"))</f>
        <v/>
      </c>
      <c r="N23" s="61" t="str">
        <f aca="false">IF($A23="","",N($I23)+J23-K23-L23+M23)</f>
        <v/>
      </c>
      <c r="O23" s="60" t="str">
        <f aca="false">IF($A23="","",IF(ROUND(N23,2)&gt;0,"Receivable",IF(ROUND(N23,2)&lt;0,"Payable","Settled")))</f>
        <v/>
      </c>
      <c r="P23" s="66" t="str">
        <f aca="false">IF($A23="","",IFERROR(SUMPRODUCT(MAX((Sales!$C$5:INDEX(Sales!$C$5:$C$3004,TxRows)=$A23)*Sales!$A$5:INDEX(Sales!$A$5:$A$3004,TxRows))),0))</f>
        <v/>
      </c>
      <c r="Q23" s="66" t="str">
        <f aca="false">IF($A23="","",IFERROR(SUMPRODUCT(MAX((CashBook!$D$5:INDEX(CashBook!$D$5:$D$3004,TxRows)=$A23)*(CashBook!$C$5:INDEX(CashBook!$C$5:$C$3004,TxRows)="Receipt")*CashBook!$A$5:INDEX(CashBook!$A$5:$A$3004,TxRows))),0))</f>
        <v/>
      </c>
      <c r="R23" s="67" t="str">
        <f aca="false">IF($A23="","",IF(ROUND(N23,2)&lt;=0,"",AsOf-IF(N(Q23)&gt;0,Q23,IF(N(P23)&gt;0,P23,FYStart))))</f>
        <v/>
      </c>
      <c r="S23" s="60" t="str">
        <f aca="false">IF($A23="","",IF(AND(N($G23)&gt;0,N23&gt;N($G23)),"OVER LIMIT",IF(AND(N23&gt;0,N(R23)&gt;N($H23)),"OVERDUE",IF(ROUND(N23,2)&lt;0,"PAY DUE",""))))</f>
        <v/>
      </c>
    </row>
    <row r="24" customFormat="false" ht="15" hidden="false" customHeight="false" outlineLevel="0" collapsed="false">
      <c r="A24" s="56"/>
      <c r="B24" s="56"/>
      <c r="C24" s="56"/>
      <c r="D24" s="56"/>
      <c r="E24" s="56"/>
      <c r="F24" s="56"/>
      <c r="G24" s="68"/>
      <c r="H24" s="69"/>
      <c r="I24" s="58"/>
      <c r="J24" s="61" t="str">
        <f aca="false">IF($A24="","",SUMIFS(Sales!$Q$5:INDEX(Sales!$Q$5:$Q$3004,TxRows),Sales!$C$5:INDEX(Sales!$C$5:$C$3004,TxRows),$A24)-SUMIFS(Sales!$X$5:INDEX(Sales!$X$5:$X$3004,TxRows),Sales!$C$5:INDEX(Sales!$C$5:$C$3004,TxRows),$A24))</f>
        <v/>
      </c>
      <c r="K24" s="61" t="str">
        <f aca="false">IF($A24="","",SUMIFS(CashBook!$G$5:INDEX(CashBook!$G$5:$G$3004,TxRows),CashBook!$D$5:INDEX(CashBook!$D$5:$D$3004,TxRows),$A24,CashBook!$C$5:INDEX(CashBook!$C$5:$C$3004,TxRows),"Receipt"))</f>
        <v/>
      </c>
      <c r="L24" s="61" t="str">
        <f aca="false">IF($A24="","",SUMIFS(Purchases!$P$5:INDEX(Purchases!$P$5:$P$3004,TxRows),Purchases!$C$5:INDEX(Purchases!$C$5:$C$3004,TxRows),$A24)-SUMIFS(Purchases!$S$5:INDEX(Purchases!$S$5:$S$3004,TxRows),Purchases!$C$5:INDEX(Purchases!$C$5:$C$3004,TxRows),$A24))</f>
        <v/>
      </c>
      <c r="M24" s="61" t="str">
        <f aca="false">IF($A24="","",SUMIFS(CashBook!$G$5:INDEX(CashBook!$G$5:$G$3004,TxRows),CashBook!$D$5:INDEX(CashBook!$D$5:$D$3004,TxRows),$A24,CashBook!$C$5:INDEX(CashBook!$C$5:$C$3004,TxRows),"Payment"))</f>
        <v/>
      </c>
      <c r="N24" s="61" t="str">
        <f aca="false">IF($A24="","",N($I24)+J24-K24-L24+M24)</f>
        <v/>
      </c>
      <c r="O24" s="60" t="str">
        <f aca="false">IF($A24="","",IF(ROUND(N24,2)&gt;0,"Receivable",IF(ROUND(N24,2)&lt;0,"Payable","Settled")))</f>
        <v/>
      </c>
      <c r="P24" s="66" t="str">
        <f aca="false">IF($A24="","",IFERROR(SUMPRODUCT(MAX((Sales!$C$5:INDEX(Sales!$C$5:$C$3004,TxRows)=$A24)*Sales!$A$5:INDEX(Sales!$A$5:$A$3004,TxRows))),0))</f>
        <v/>
      </c>
      <c r="Q24" s="66" t="str">
        <f aca="false">IF($A24="","",IFERROR(SUMPRODUCT(MAX((CashBook!$D$5:INDEX(CashBook!$D$5:$D$3004,TxRows)=$A24)*(CashBook!$C$5:INDEX(CashBook!$C$5:$C$3004,TxRows)="Receipt")*CashBook!$A$5:INDEX(CashBook!$A$5:$A$3004,TxRows))),0))</f>
        <v/>
      </c>
      <c r="R24" s="67" t="str">
        <f aca="false">IF($A24="","",IF(ROUND(N24,2)&lt;=0,"",AsOf-IF(N(Q24)&gt;0,Q24,IF(N(P24)&gt;0,P24,FYStart))))</f>
        <v/>
      </c>
      <c r="S24" s="60" t="str">
        <f aca="false">IF($A24="","",IF(AND(N($G24)&gt;0,N24&gt;N($G24)),"OVER LIMIT",IF(AND(N24&gt;0,N(R24)&gt;N($H24)),"OVERDUE",IF(ROUND(N24,2)&lt;0,"PAY DUE",""))))</f>
        <v/>
      </c>
    </row>
    <row r="25" customFormat="false" ht="15" hidden="false" customHeight="false" outlineLevel="0" collapsed="false">
      <c r="A25" s="56"/>
      <c r="B25" s="56"/>
      <c r="C25" s="56"/>
      <c r="D25" s="56"/>
      <c r="E25" s="56"/>
      <c r="F25" s="56"/>
      <c r="G25" s="68"/>
      <c r="H25" s="69"/>
      <c r="I25" s="58"/>
      <c r="J25" s="61" t="str">
        <f aca="false">IF($A25="","",SUMIFS(Sales!$Q$5:INDEX(Sales!$Q$5:$Q$3004,TxRows),Sales!$C$5:INDEX(Sales!$C$5:$C$3004,TxRows),$A25)-SUMIFS(Sales!$X$5:INDEX(Sales!$X$5:$X$3004,TxRows),Sales!$C$5:INDEX(Sales!$C$5:$C$3004,TxRows),$A25))</f>
        <v/>
      </c>
      <c r="K25" s="61" t="str">
        <f aca="false">IF($A25="","",SUMIFS(CashBook!$G$5:INDEX(CashBook!$G$5:$G$3004,TxRows),CashBook!$D$5:INDEX(CashBook!$D$5:$D$3004,TxRows),$A25,CashBook!$C$5:INDEX(CashBook!$C$5:$C$3004,TxRows),"Receipt"))</f>
        <v/>
      </c>
      <c r="L25" s="61" t="str">
        <f aca="false">IF($A25="","",SUMIFS(Purchases!$P$5:INDEX(Purchases!$P$5:$P$3004,TxRows),Purchases!$C$5:INDEX(Purchases!$C$5:$C$3004,TxRows),$A25)-SUMIFS(Purchases!$S$5:INDEX(Purchases!$S$5:$S$3004,TxRows),Purchases!$C$5:INDEX(Purchases!$C$5:$C$3004,TxRows),$A25))</f>
        <v/>
      </c>
      <c r="M25" s="61" t="str">
        <f aca="false">IF($A25="","",SUMIFS(CashBook!$G$5:INDEX(CashBook!$G$5:$G$3004,TxRows),CashBook!$D$5:INDEX(CashBook!$D$5:$D$3004,TxRows),$A25,CashBook!$C$5:INDEX(CashBook!$C$5:$C$3004,TxRows),"Payment"))</f>
        <v/>
      </c>
      <c r="N25" s="61" t="str">
        <f aca="false">IF($A25="","",N($I25)+J25-K25-L25+M25)</f>
        <v/>
      </c>
      <c r="O25" s="60" t="str">
        <f aca="false">IF($A25="","",IF(ROUND(N25,2)&gt;0,"Receivable",IF(ROUND(N25,2)&lt;0,"Payable","Settled")))</f>
        <v/>
      </c>
      <c r="P25" s="66" t="str">
        <f aca="false">IF($A25="","",IFERROR(SUMPRODUCT(MAX((Sales!$C$5:INDEX(Sales!$C$5:$C$3004,TxRows)=$A25)*Sales!$A$5:INDEX(Sales!$A$5:$A$3004,TxRows))),0))</f>
        <v/>
      </c>
      <c r="Q25" s="66" t="str">
        <f aca="false">IF($A25="","",IFERROR(SUMPRODUCT(MAX((CashBook!$D$5:INDEX(CashBook!$D$5:$D$3004,TxRows)=$A25)*(CashBook!$C$5:INDEX(CashBook!$C$5:$C$3004,TxRows)="Receipt")*CashBook!$A$5:INDEX(CashBook!$A$5:$A$3004,TxRows))),0))</f>
        <v/>
      </c>
      <c r="R25" s="67" t="str">
        <f aca="false">IF($A25="","",IF(ROUND(N25,2)&lt;=0,"",AsOf-IF(N(Q25)&gt;0,Q25,IF(N(P25)&gt;0,P25,FYStart))))</f>
        <v/>
      </c>
      <c r="S25" s="60" t="str">
        <f aca="false">IF($A25="","",IF(AND(N($G25)&gt;0,N25&gt;N($G25)),"OVER LIMIT",IF(AND(N25&gt;0,N(R25)&gt;N($H25)),"OVERDUE",IF(ROUND(N25,2)&lt;0,"PAY DUE",""))))</f>
        <v/>
      </c>
    </row>
    <row r="26" customFormat="false" ht="15" hidden="false" customHeight="false" outlineLevel="0" collapsed="false">
      <c r="A26" s="56"/>
      <c r="B26" s="56"/>
      <c r="C26" s="56"/>
      <c r="D26" s="56"/>
      <c r="E26" s="56"/>
      <c r="F26" s="56"/>
      <c r="G26" s="68"/>
      <c r="H26" s="69"/>
      <c r="I26" s="58"/>
      <c r="J26" s="61" t="str">
        <f aca="false">IF($A26="","",SUMIFS(Sales!$Q$5:INDEX(Sales!$Q$5:$Q$3004,TxRows),Sales!$C$5:INDEX(Sales!$C$5:$C$3004,TxRows),$A26)-SUMIFS(Sales!$X$5:INDEX(Sales!$X$5:$X$3004,TxRows),Sales!$C$5:INDEX(Sales!$C$5:$C$3004,TxRows),$A26))</f>
        <v/>
      </c>
      <c r="K26" s="61" t="str">
        <f aca="false">IF($A26="","",SUMIFS(CashBook!$G$5:INDEX(CashBook!$G$5:$G$3004,TxRows),CashBook!$D$5:INDEX(CashBook!$D$5:$D$3004,TxRows),$A26,CashBook!$C$5:INDEX(CashBook!$C$5:$C$3004,TxRows),"Receipt"))</f>
        <v/>
      </c>
      <c r="L26" s="61" t="str">
        <f aca="false">IF($A26="","",SUMIFS(Purchases!$P$5:INDEX(Purchases!$P$5:$P$3004,TxRows),Purchases!$C$5:INDEX(Purchases!$C$5:$C$3004,TxRows),$A26)-SUMIFS(Purchases!$S$5:INDEX(Purchases!$S$5:$S$3004,TxRows),Purchases!$C$5:INDEX(Purchases!$C$5:$C$3004,TxRows),$A26))</f>
        <v/>
      </c>
      <c r="M26" s="61" t="str">
        <f aca="false">IF($A26="","",SUMIFS(CashBook!$G$5:INDEX(CashBook!$G$5:$G$3004,TxRows),CashBook!$D$5:INDEX(CashBook!$D$5:$D$3004,TxRows),$A26,CashBook!$C$5:INDEX(CashBook!$C$5:$C$3004,TxRows),"Payment"))</f>
        <v/>
      </c>
      <c r="N26" s="61" t="str">
        <f aca="false">IF($A26="","",N($I26)+J26-K26-L26+M26)</f>
        <v/>
      </c>
      <c r="O26" s="60" t="str">
        <f aca="false">IF($A26="","",IF(ROUND(N26,2)&gt;0,"Receivable",IF(ROUND(N26,2)&lt;0,"Payable","Settled")))</f>
        <v/>
      </c>
      <c r="P26" s="66" t="str">
        <f aca="false">IF($A26="","",IFERROR(SUMPRODUCT(MAX((Sales!$C$5:INDEX(Sales!$C$5:$C$3004,TxRows)=$A26)*Sales!$A$5:INDEX(Sales!$A$5:$A$3004,TxRows))),0))</f>
        <v/>
      </c>
      <c r="Q26" s="66" t="str">
        <f aca="false">IF($A26="","",IFERROR(SUMPRODUCT(MAX((CashBook!$D$5:INDEX(CashBook!$D$5:$D$3004,TxRows)=$A26)*(CashBook!$C$5:INDEX(CashBook!$C$5:$C$3004,TxRows)="Receipt")*CashBook!$A$5:INDEX(CashBook!$A$5:$A$3004,TxRows))),0))</f>
        <v/>
      </c>
      <c r="R26" s="67" t="str">
        <f aca="false">IF($A26="","",IF(ROUND(N26,2)&lt;=0,"",AsOf-IF(N(Q26)&gt;0,Q26,IF(N(P26)&gt;0,P26,FYStart))))</f>
        <v/>
      </c>
      <c r="S26" s="60" t="str">
        <f aca="false">IF($A26="","",IF(AND(N($G26)&gt;0,N26&gt;N($G26)),"OVER LIMIT",IF(AND(N26&gt;0,N(R26)&gt;N($H26)),"OVERDUE",IF(ROUND(N26,2)&lt;0,"PAY DUE",""))))</f>
        <v/>
      </c>
    </row>
    <row r="27" customFormat="false" ht="15" hidden="false" customHeight="false" outlineLevel="0" collapsed="false">
      <c r="A27" s="56"/>
      <c r="B27" s="56"/>
      <c r="C27" s="56"/>
      <c r="D27" s="56"/>
      <c r="E27" s="56"/>
      <c r="F27" s="56"/>
      <c r="G27" s="68"/>
      <c r="H27" s="69"/>
      <c r="I27" s="58"/>
      <c r="J27" s="61" t="str">
        <f aca="false">IF($A27="","",SUMIFS(Sales!$Q$5:INDEX(Sales!$Q$5:$Q$3004,TxRows),Sales!$C$5:INDEX(Sales!$C$5:$C$3004,TxRows),$A27)-SUMIFS(Sales!$X$5:INDEX(Sales!$X$5:$X$3004,TxRows),Sales!$C$5:INDEX(Sales!$C$5:$C$3004,TxRows),$A27))</f>
        <v/>
      </c>
      <c r="K27" s="61" t="str">
        <f aca="false">IF($A27="","",SUMIFS(CashBook!$G$5:INDEX(CashBook!$G$5:$G$3004,TxRows),CashBook!$D$5:INDEX(CashBook!$D$5:$D$3004,TxRows),$A27,CashBook!$C$5:INDEX(CashBook!$C$5:$C$3004,TxRows),"Receipt"))</f>
        <v/>
      </c>
      <c r="L27" s="61" t="str">
        <f aca="false">IF($A27="","",SUMIFS(Purchases!$P$5:INDEX(Purchases!$P$5:$P$3004,TxRows),Purchases!$C$5:INDEX(Purchases!$C$5:$C$3004,TxRows),$A27)-SUMIFS(Purchases!$S$5:INDEX(Purchases!$S$5:$S$3004,TxRows),Purchases!$C$5:INDEX(Purchases!$C$5:$C$3004,TxRows),$A27))</f>
        <v/>
      </c>
      <c r="M27" s="61" t="str">
        <f aca="false">IF($A27="","",SUMIFS(CashBook!$G$5:INDEX(CashBook!$G$5:$G$3004,TxRows),CashBook!$D$5:INDEX(CashBook!$D$5:$D$3004,TxRows),$A27,CashBook!$C$5:INDEX(CashBook!$C$5:$C$3004,TxRows),"Payment"))</f>
        <v/>
      </c>
      <c r="N27" s="61" t="str">
        <f aca="false">IF($A27="","",N($I27)+J27-K27-L27+M27)</f>
        <v/>
      </c>
      <c r="O27" s="60" t="str">
        <f aca="false">IF($A27="","",IF(ROUND(N27,2)&gt;0,"Receivable",IF(ROUND(N27,2)&lt;0,"Payable","Settled")))</f>
        <v/>
      </c>
      <c r="P27" s="66" t="str">
        <f aca="false">IF($A27="","",IFERROR(SUMPRODUCT(MAX((Sales!$C$5:INDEX(Sales!$C$5:$C$3004,TxRows)=$A27)*Sales!$A$5:INDEX(Sales!$A$5:$A$3004,TxRows))),0))</f>
        <v/>
      </c>
      <c r="Q27" s="66" t="str">
        <f aca="false">IF($A27="","",IFERROR(SUMPRODUCT(MAX((CashBook!$D$5:INDEX(CashBook!$D$5:$D$3004,TxRows)=$A27)*(CashBook!$C$5:INDEX(CashBook!$C$5:$C$3004,TxRows)="Receipt")*CashBook!$A$5:INDEX(CashBook!$A$5:$A$3004,TxRows))),0))</f>
        <v/>
      </c>
      <c r="R27" s="67" t="str">
        <f aca="false">IF($A27="","",IF(ROUND(N27,2)&lt;=0,"",AsOf-IF(N(Q27)&gt;0,Q27,IF(N(P27)&gt;0,P27,FYStart))))</f>
        <v/>
      </c>
      <c r="S27" s="60" t="str">
        <f aca="false">IF($A27="","",IF(AND(N($G27)&gt;0,N27&gt;N($G27)),"OVER LIMIT",IF(AND(N27&gt;0,N(R27)&gt;N($H27)),"OVERDUE",IF(ROUND(N27,2)&lt;0,"PAY DUE",""))))</f>
        <v/>
      </c>
    </row>
    <row r="28" customFormat="false" ht="15" hidden="false" customHeight="false" outlineLevel="0" collapsed="false">
      <c r="A28" s="56"/>
      <c r="B28" s="56"/>
      <c r="C28" s="56"/>
      <c r="D28" s="56"/>
      <c r="E28" s="56"/>
      <c r="F28" s="56"/>
      <c r="G28" s="68"/>
      <c r="H28" s="69"/>
      <c r="I28" s="58"/>
      <c r="J28" s="61" t="str">
        <f aca="false">IF($A28="","",SUMIFS(Sales!$Q$5:INDEX(Sales!$Q$5:$Q$3004,TxRows),Sales!$C$5:INDEX(Sales!$C$5:$C$3004,TxRows),$A28)-SUMIFS(Sales!$X$5:INDEX(Sales!$X$5:$X$3004,TxRows),Sales!$C$5:INDEX(Sales!$C$5:$C$3004,TxRows),$A28))</f>
        <v/>
      </c>
      <c r="K28" s="61" t="str">
        <f aca="false">IF($A28="","",SUMIFS(CashBook!$G$5:INDEX(CashBook!$G$5:$G$3004,TxRows),CashBook!$D$5:INDEX(CashBook!$D$5:$D$3004,TxRows),$A28,CashBook!$C$5:INDEX(CashBook!$C$5:$C$3004,TxRows),"Receipt"))</f>
        <v/>
      </c>
      <c r="L28" s="61" t="str">
        <f aca="false">IF($A28="","",SUMIFS(Purchases!$P$5:INDEX(Purchases!$P$5:$P$3004,TxRows),Purchases!$C$5:INDEX(Purchases!$C$5:$C$3004,TxRows),$A28)-SUMIFS(Purchases!$S$5:INDEX(Purchases!$S$5:$S$3004,TxRows),Purchases!$C$5:INDEX(Purchases!$C$5:$C$3004,TxRows),$A28))</f>
        <v/>
      </c>
      <c r="M28" s="61" t="str">
        <f aca="false">IF($A28="","",SUMIFS(CashBook!$G$5:INDEX(CashBook!$G$5:$G$3004,TxRows),CashBook!$D$5:INDEX(CashBook!$D$5:$D$3004,TxRows),$A28,CashBook!$C$5:INDEX(CashBook!$C$5:$C$3004,TxRows),"Payment"))</f>
        <v/>
      </c>
      <c r="N28" s="61" t="str">
        <f aca="false">IF($A28="","",N($I28)+J28-K28-L28+M28)</f>
        <v/>
      </c>
      <c r="O28" s="60" t="str">
        <f aca="false">IF($A28="","",IF(ROUND(N28,2)&gt;0,"Receivable",IF(ROUND(N28,2)&lt;0,"Payable","Settled")))</f>
        <v/>
      </c>
      <c r="P28" s="66" t="str">
        <f aca="false">IF($A28="","",IFERROR(SUMPRODUCT(MAX((Sales!$C$5:INDEX(Sales!$C$5:$C$3004,TxRows)=$A28)*Sales!$A$5:INDEX(Sales!$A$5:$A$3004,TxRows))),0))</f>
        <v/>
      </c>
      <c r="Q28" s="66" t="str">
        <f aca="false">IF($A28="","",IFERROR(SUMPRODUCT(MAX((CashBook!$D$5:INDEX(CashBook!$D$5:$D$3004,TxRows)=$A28)*(CashBook!$C$5:INDEX(CashBook!$C$5:$C$3004,TxRows)="Receipt")*CashBook!$A$5:INDEX(CashBook!$A$5:$A$3004,TxRows))),0))</f>
        <v/>
      </c>
      <c r="R28" s="67" t="str">
        <f aca="false">IF($A28="","",IF(ROUND(N28,2)&lt;=0,"",AsOf-IF(N(Q28)&gt;0,Q28,IF(N(P28)&gt;0,P28,FYStart))))</f>
        <v/>
      </c>
      <c r="S28" s="60" t="str">
        <f aca="false">IF($A28="","",IF(AND(N($G28)&gt;0,N28&gt;N($G28)),"OVER LIMIT",IF(AND(N28&gt;0,N(R28)&gt;N($H28)),"OVERDUE",IF(ROUND(N28,2)&lt;0,"PAY DUE",""))))</f>
        <v/>
      </c>
    </row>
    <row r="29" customFormat="false" ht="15" hidden="false" customHeight="false" outlineLevel="0" collapsed="false">
      <c r="A29" s="56"/>
      <c r="B29" s="56"/>
      <c r="C29" s="56"/>
      <c r="D29" s="56"/>
      <c r="E29" s="56"/>
      <c r="F29" s="56"/>
      <c r="G29" s="68"/>
      <c r="H29" s="69"/>
      <c r="I29" s="58"/>
      <c r="J29" s="61" t="str">
        <f aca="false">IF($A29="","",SUMIFS(Sales!$Q$5:INDEX(Sales!$Q$5:$Q$3004,TxRows),Sales!$C$5:INDEX(Sales!$C$5:$C$3004,TxRows),$A29)-SUMIFS(Sales!$X$5:INDEX(Sales!$X$5:$X$3004,TxRows),Sales!$C$5:INDEX(Sales!$C$5:$C$3004,TxRows),$A29))</f>
        <v/>
      </c>
      <c r="K29" s="61" t="str">
        <f aca="false">IF($A29="","",SUMIFS(CashBook!$G$5:INDEX(CashBook!$G$5:$G$3004,TxRows),CashBook!$D$5:INDEX(CashBook!$D$5:$D$3004,TxRows),$A29,CashBook!$C$5:INDEX(CashBook!$C$5:$C$3004,TxRows),"Receipt"))</f>
        <v/>
      </c>
      <c r="L29" s="61" t="str">
        <f aca="false">IF($A29="","",SUMIFS(Purchases!$P$5:INDEX(Purchases!$P$5:$P$3004,TxRows),Purchases!$C$5:INDEX(Purchases!$C$5:$C$3004,TxRows),$A29)-SUMIFS(Purchases!$S$5:INDEX(Purchases!$S$5:$S$3004,TxRows),Purchases!$C$5:INDEX(Purchases!$C$5:$C$3004,TxRows),$A29))</f>
        <v/>
      </c>
      <c r="M29" s="61" t="str">
        <f aca="false">IF($A29="","",SUMIFS(CashBook!$G$5:INDEX(CashBook!$G$5:$G$3004,TxRows),CashBook!$D$5:INDEX(CashBook!$D$5:$D$3004,TxRows),$A29,CashBook!$C$5:INDEX(CashBook!$C$5:$C$3004,TxRows),"Payment"))</f>
        <v/>
      </c>
      <c r="N29" s="61" t="str">
        <f aca="false">IF($A29="","",N($I29)+J29-K29-L29+M29)</f>
        <v/>
      </c>
      <c r="O29" s="60" t="str">
        <f aca="false">IF($A29="","",IF(ROUND(N29,2)&gt;0,"Receivable",IF(ROUND(N29,2)&lt;0,"Payable","Settled")))</f>
        <v/>
      </c>
      <c r="P29" s="66" t="str">
        <f aca="false">IF($A29="","",IFERROR(SUMPRODUCT(MAX((Sales!$C$5:INDEX(Sales!$C$5:$C$3004,TxRows)=$A29)*Sales!$A$5:INDEX(Sales!$A$5:$A$3004,TxRows))),0))</f>
        <v/>
      </c>
      <c r="Q29" s="66" t="str">
        <f aca="false">IF($A29="","",IFERROR(SUMPRODUCT(MAX((CashBook!$D$5:INDEX(CashBook!$D$5:$D$3004,TxRows)=$A29)*(CashBook!$C$5:INDEX(CashBook!$C$5:$C$3004,TxRows)="Receipt")*CashBook!$A$5:INDEX(CashBook!$A$5:$A$3004,TxRows))),0))</f>
        <v/>
      </c>
      <c r="R29" s="67" t="str">
        <f aca="false">IF($A29="","",IF(ROUND(N29,2)&lt;=0,"",AsOf-IF(N(Q29)&gt;0,Q29,IF(N(P29)&gt;0,P29,FYStart))))</f>
        <v/>
      </c>
      <c r="S29" s="60" t="str">
        <f aca="false">IF($A29="","",IF(AND(N($G29)&gt;0,N29&gt;N($G29)),"OVER LIMIT",IF(AND(N29&gt;0,N(R29)&gt;N($H29)),"OVERDUE",IF(ROUND(N29,2)&lt;0,"PAY DUE",""))))</f>
        <v/>
      </c>
    </row>
    <row r="30" customFormat="false" ht="15" hidden="false" customHeight="false" outlineLevel="0" collapsed="false">
      <c r="A30" s="56"/>
      <c r="B30" s="56"/>
      <c r="C30" s="56"/>
      <c r="D30" s="56"/>
      <c r="E30" s="56"/>
      <c r="F30" s="56"/>
      <c r="G30" s="68"/>
      <c r="H30" s="69"/>
      <c r="I30" s="58"/>
      <c r="J30" s="61" t="str">
        <f aca="false">IF($A30="","",SUMIFS(Sales!$Q$5:INDEX(Sales!$Q$5:$Q$3004,TxRows),Sales!$C$5:INDEX(Sales!$C$5:$C$3004,TxRows),$A30)-SUMIFS(Sales!$X$5:INDEX(Sales!$X$5:$X$3004,TxRows),Sales!$C$5:INDEX(Sales!$C$5:$C$3004,TxRows),$A30))</f>
        <v/>
      </c>
      <c r="K30" s="61" t="str">
        <f aca="false">IF($A30="","",SUMIFS(CashBook!$G$5:INDEX(CashBook!$G$5:$G$3004,TxRows),CashBook!$D$5:INDEX(CashBook!$D$5:$D$3004,TxRows),$A30,CashBook!$C$5:INDEX(CashBook!$C$5:$C$3004,TxRows),"Receipt"))</f>
        <v/>
      </c>
      <c r="L30" s="61" t="str">
        <f aca="false">IF($A30="","",SUMIFS(Purchases!$P$5:INDEX(Purchases!$P$5:$P$3004,TxRows),Purchases!$C$5:INDEX(Purchases!$C$5:$C$3004,TxRows),$A30)-SUMIFS(Purchases!$S$5:INDEX(Purchases!$S$5:$S$3004,TxRows),Purchases!$C$5:INDEX(Purchases!$C$5:$C$3004,TxRows),$A30))</f>
        <v/>
      </c>
      <c r="M30" s="61" t="str">
        <f aca="false">IF($A30="","",SUMIFS(CashBook!$G$5:INDEX(CashBook!$G$5:$G$3004,TxRows),CashBook!$D$5:INDEX(CashBook!$D$5:$D$3004,TxRows),$A30,CashBook!$C$5:INDEX(CashBook!$C$5:$C$3004,TxRows),"Payment"))</f>
        <v/>
      </c>
      <c r="N30" s="61" t="str">
        <f aca="false">IF($A30="","",N($I30)+J30-K30-L30+M30)</f>
        <v/>
      </c>
      <c r="O30" s="60" t="str">
        <f aca="false">IF($A30="","",IF(ROUND(N30,2)&gt;0,"Receivable",IF(ROUND(N30,2)&lt;0,"Payable","Settled")))</f>
        <v/>
      </c>
      <c r="P30" s="66" t="str">
        <f aca="false">IF($A30="","",IFERROR(SUMPRODUCT(MAX((Sales!$C$5:INDEX(Sales!$C$5:$C$3004,TxRows)=$A30)*Sales!$A$5:INDEX(Sales!$A$5:$A$3004,TxRows))),0))</f>
        <v/>
      </c>
      <c r="Q30" s="66" t="str">
        <f aca="false">IF($A30="","",IFERROR(SUMPRODUCT(MAX((CashBook!$D$5:INDEX(CashBook!$D$5:$D$3004,TxRows)=$A30)*(CashBook!$C$5:INDEX(CashBook!$C$5:$C$3004,TxRows)="Receipt")*CashBook!$A$5:INDEX(CashBook!$A$5:$A$3004,TxRows))),0))</f>
        <v/>
      </c>
      <c r="R30" s="67" t="str">
        <f aca="false">IF($A30="","",IF(ROUND(N30,2)&lt;=0,"",AsOf-IF(N(Q30)&gt;0,Q30,IF(N(P30)&gt;0,P30,FYStart))))</f>
        <v/>
      </c>
      <c r="S30" s="60" t="str">
        <f aca="false">IF($A30="","",IF(AND(N($G30)&gt;0,N30&gt;N($G30)),"OVER LIMIT",IF(AND(N30&gt;0,N(R30)&gt;N($H30)),"OVERDUE",IF(ROUND(N30,2)&lt;0,"PAY DUE",""))))</f>
        <v/>
      </c>
    </row>
    <row r="31" customFormat="false" ht="15" hidden="false" customHeight="false" outlineLevel="0" collapsed="false">
      <c r="A31" s="56"/>
      <c r="B31" s="56"/>
      <c r="C31" s="56"/>
      <c r="D31" s="56"/>
      <c r="E31" s="56"/>
      <c r="F31" s="56"/>
      <c r="G31" s="68"/>
      <c r="H31" s="69"/>
      <c r="I31" s="58"/>
      <c r="J31" s="61" t="str">
        <f aca="false">IF($A31="","",SUMIFS(Sales!$Q$5:INDEX(Sales!$Q$5:$Q$3004,TxRows),Sales!$C$5:INDEX(Sales!$C$5:$C$3004,TxRows),$A31)-SUMIFS(Sales!$X$5:INDEX(Sales!$X$5:$X$3004,TxRows),Sales!$C$5:INDEX(Sales!$C$5:$C$3004,TxRows),$A31))</f>
        <v/>
      </c>
      <c r="K31" s="61" t="str">
        <f aca="false">IF($A31="","",SUMIFS(CashBook!$G$5:INDEX(CashBook!$G$5:$G$3004,TxRows),CashBook!$D$5:INDEX(CashBook!$D$5:$D$3004,TxRows),$A31,CashBook!$C$5:INDEX(CashBook!$C$5:$C$3004,TxRows),"Receipt"))</f>
        <v/>
      </c>
      <c r="L31" s="61" t="str">
        <f aca="false">IF($A31="","",SUMIFS(Purchases!$P$5:INDEX(Purchases!$P$5:$P$3004,TxRows),Purchases!$C$5:INDEX(Purchases!$C$5:$C$3004,TxRows),$A31)-SUMIFS(Purchases!$S$5:INDEX(Purchases!$S$5:$S$3004,TxRows),Purchases!$C$5:INDEX(Purchases!$C$5:$C$3004,TxRows),$A31))</f>
        <v/>
      </c>
      <c r="M31" s="61" t="str">
        <f aca="false">IF($A31="","",SUMIFS(CashBook!$G$5:INDEX(CashBook!$G$5:$G$3004,TxRows),CashBook!$D$5:INDEX(CashBook!$D$5:$D$3004,TxRows),$A31,CashBook!$C$5:INDEX(CashBook!$C$5:$C$3004,TxRows),"Payment"))</f>
        <v/>
      </c>
      <c r="N31" s="61" t="str">
        <f aca="false">IF($A31="","",N($I31)+J31-K31-L31+M31)</f>
        <v/>
      </c>
      <c r="O31" s="60" t="str">
        <f aca="false">IF($A31="","",IF(ROUND(N31,2)&gt;0,"Receivable",IF(ROUND(N31,2)&lt;0,"Payable","Settled")))</f>
        <v/>
      </c>
      <c r="P31" s="66" t="str">
        <f aca="false">IF($A31="","",IFERROR(SUMPRODUCT(MAX((Sales!$C$5:INDEX(Sales!$C$5:$C$3004,TxRows)=$A31)*Sales!$A$5:INDEX(Sales!$A$5:$A$3004,TxRows))),0))</f>
        <v/>
      </c>
      <c r="Q31" s="66" t="str">
        <f aca="false">IF($A31="","",IFERROR(SUMPRODUCT(MAX((CashBook!$D$5:INDEX(CashBook!$D$5:$D$3004,TxRows)=$A31)*(CashBook!$C$5:INDEX(CashBook!$C$5:$C$3004,TxRows)="Receipt")*CashBook!$A$5:INDEX(CashBook!$A$5:$A$3004,TxRows))),0))</f>
        <v/>
      </c>
      <c r="R31" s="67" t="str">
        <f aca="false">IF($A31="","",IF(ROUND(N31,2)&lt;=0,"",AsOf-IF(N(Q31)&gt;0,Q31,IF(N(P31)&gt;0,P31,FYStart))))</f>
        <v/>
      </c>
      <c r="S31" s="60" t="str">
        <f aca="false">IF($A31="","",IF(AND(N($G31)&gt;0,N31&gt;N($G31)),"OVER LIMIT",IF(AND(N31&gt;0,N(R31)&gt;N($H31)),"OVERDUE",IF(ROUND(N31,2)&lt;0,"PAY DUE",""))))</f>
        <v/>
      </c>
    </row>
    <row r="32" customFormat="false" ht="15" hidden="false" customHeight="false" outlineLevel="0" collapsed="false">
      <c r="A32" s="56"/>
      <c r="B32" s="56"/>
      <c r="C32" s="56"/>
      <c r="D32" s="56"/>
      <c r="E32" s="56"/>
      <c r="F32" s="56"/>
      <c r="G32" s="68"/>
      <c r="H32" s="69"/>
      <c r="I32" s="58"/>
      <c r="J32" s="61" t="str">
        <f aca="false">IF($A32="","",SUMIFS(Sales!$Q$5:INDEX(Sales!$Q$5:$Q$3004,TxRows),Sales!$C$5:INDEX(Sales!$C$5:$C$3004,TxRows),$A32)-SUMIFS(Sales!$X$5:INDEX(Sales!$X$5:$X$3004,TxRows),Sales!$C$5:INDEX(Sales!$C$5:$C$3004,TxRows),$A32))</f>
        <v/>
      </c>
      <c r="K32" s="61" t="str">
        <f aca="false">IF($A32="","",SUMIFS(CashBook!$G$5:INDEX(CashBook!$G$5:$G$3004,TxRows),CashBook!$D$5:INDEX(CashBook!$D$5:$D$3004,TxRows),$A32,CashBook!$C$5:INDEX(CashBook!$C$5:$C$3004,TxRows),"Receipt"))</f>
        <v/>
      </c>
      <c r="L32" s="61" t="str">
        <f aca="false">IF($A32="","",SUMIFS(Purchases!$P$5:INDEX(Purchases!$P$5:$P$3004,TxRows),Purchases!$C$5:INDEX(Purchases!$C$5:$C$3004,TxRows),$A32)-SUMIFS(Purchases!$S$5:INDEX(Purchases!$S$5:$S$3004,TxRows),Purchases!$C$5:INDEX(Purchases!$C$5:$C$3004,TxRows),$A32))</f>
        <v/>
      </c>
      <c r="M32" s="61" t="str">
        <f aca="false">IF($A32="","",SUMIFS(CashBook!$G$5:INDEX(CashBook!$G$5:$G$3004,TxRows),CashBook!$D$5:INDEX(CashBook!$D$5:$D$3004,TxRows),$A32,CashBook!$C$5:INDEX(CashBook!$C$5:$C$3004,TxRows),"Payment"))</f>
        <v/>
      </c>
      <c r="N32" s="61" t="str">
        <f aca="false">IF($A32="","",N($I32)+J32-K32-L32+M32)</f>
        <v/>
      </c>
      <c r="O32" s="60" t="str">
        <f aca="false">IF($A32="","",IF(ROUND(N32,2)&gt;0,"Receivable",IF(ROUND(N32,2)&lt;0,"Payable","Settled")))</f>
        <v/>
      </c>
      <c r="P32" s="66" t="str">
        <f aca="false">IF($A32="","",IFERROR(SUMPRODUCT(MAX((Sales!$C$5:INDEX(Sales!$C$5:$C$3004,TxRows)=$A32)*Sales!$A$5:INDEX(Sales!$A$5:$A$3004,TxRows))),0))</f>
        <v/>
      </c>
      <c r="Q32" s="66" t="str">
        <f aca="false">IF($A32="","",IFERROR(SUMPRODUCT(MAX((CashBook!$D$5:INDEX(CashBook!$D$5:$D$3004,TxRows)=$A32)*(CashBook!$C$5:INDEX(CashBook!$C$5:$C$3004,TxRows)="Receipt")*CashBook!$A$5:INDEX(CashBook!$A$5:$A$3004,TxRows))),0))</f>
        <v/>
      </c>
      <c r="R32" s="67" t="str">
        <f aca="false">IF($A32="","",IF(ROUND(N32,2)&lt;=0,"",AsOf-IF(N(Q32)&gt;0,Q32,IF(N(P32)&gt;0,P32,FYStart))))</f>
        <v/>
      </c>
      <c r="S32" s="60" t="str">
        <f aca="false">IF($A32="","",IF(AND(N($G32)&gt;0,N32&gt;N($G32)),"OVER LIMIT",IF(AND(N32&gt;0,N(R32)&gt;N($H32)),"OVERDUE",IF(ROUND(N32,2)&lt;0,"PAY DUE",""))))</f>
        <v/>
      </c>
    </row>
    <row r="33" customFormat="false" ht="15" hidden="false" customHeight="false" outlineLevel="0" collapsed="false">
      <c r="A33" s="56"/>
      <c r="B33" s="56"/>
      <c r="C33" s="56"/>
      <c r="D33" s="56"/>
      <c r="E33" s="56"/>
      <c r="F33" s="56"/>
      <c r="G33" s="68"/>
      <c r="H33" s="69"/>
      <c r="I33" s="58"/>
      <c r="J33" s="61" t="str">
        <f aca="false">IF($A33="","",SUMIFS(Sales!$Q$5:INDEX(Sales!$Q$5:$Q$3004,TxRows),Sales!$C$5:INDEX(Sales!$C$5:$C$3004,TxRows),$A33)-SUMIFS(Sales!$X$5:INDEX(Sales!$X$5:$X$3004,TxRows),Sales!$C$5:INDEX(Sales!$C$5:$C$3004,TxRows),$A33))</f>
        <v/>
      </c>
      <c r="K33" s="61" t="str">
        <f aca="false">IF($A33="","",SUMIFS(CashBook!$G$5:INDEX(CashBook!$G$5:$G$3004,TxRows),CashBook!$D$5:INDEX(CashBook!$D$5:$D$3004,TxRows),$A33,CashBook!$C$5:INDEX(CashBook!$C$5:$C$3004,TxRows),"Receipt"))</f>
        <v/>
      </c>
      <c r="L33" s="61" t="str">
        <f aca="false">IF($A33="","",SUMIFS(Purchases!$P$5:INDEX(Purchases!$P$5:$P$3004,TxRows),Purchases!$C$5:INDEX(Purchases!$C$5:$C$3004,TxRows),$A33)-SUMIFS(Purchases!$S$5:INDEX(Purchases!$S$5:$S$3004,TxRows),Purchases!$C$5:INDEX(Purchases!$C$5:$C$3004,TxRows),$A33))</f>
        <v/>
      </c>
      <c r="M33" s="61" t="str">
        <f aca="false">IF($A33="","",SUMIFS(CashBook!$G$5:INDEX(CashBook!$G$5:$G$3004,TxRows),CashBook!$D$5:INDEX(CashBook!$D$5:$D$3004,TxRows),$A33,CashBook!$C$5:INDEX(CashBook!$C$5:$C$3004,TxRows),"Payment"))</f>
        <v/>
      </c>
      <c r="N33" s="61" t="str">
        <f aca="false">IF($A33="","",N($I33)+J33-K33-L33+M33)</f>
        <v/>
      </c>
      <c r="O33" s="60" t="str">
        <f aca="false">IF($A33="","",IF(ROUND(N33,2)&gt;0,"Receivable",IF(ROUND(N33,2)&lt;0,"Payable","Settled")))</f>
        <v/>
      </c>
      <c r="P33" s="66" t="str">
        <f aca="false">IF($A33="","",IFERROR(SUMPRODUCT(MAX((Sales!$C$5:INDEX(Sales!$C$5:$C$3004,TxRows)=$A33)*Sales!$A$5:INDEX(Sales!$A$5:$A$3004,TxRows))),0))</f>
        <v/>
      </c>
      <c r="Q33" s="66" t="str">
        <f aca="false">IF($A33="","",IFERROR(SUMPRODUCT(MAX((CashBook!$D$5:INDEX(CashBook!$D$5:$D$3004,TxRows)=$A33)*(CashBook!$C$5:INDEX(CashBook!$C$5:$C$3004,TxRows)="Receipt")*CashBook!$A$5:INDEX(CashBook!$A$5:$A$3004,TxRows))),0))</f>
        <v/>
      </c>
      <c r="R33" s="67" t="str">
        <f aca="false">IF($A33="","",IF(ROUND(N33,2)&lt;=0,"",AsOf-IF(N(Q33)&gt;0,Q33,IF(N(P33)&gt;0,P33,FYStart))))</f>
        <v/>
      </c>
      <c r="S33" s="60" t="str">
        <f aca="false">IF($A33="","",IF(AND(N($G33)&gt;0,N33&gt;N($G33)),"OVER LIMIT",IF(AND(N33&gt;0,N(R33)&gt;N($H33)),"OVERDUE",IF(ROUND(N33,2)&lt;0,"PAY DUE",""))))</f>
        <v/>
      </c>
    </row>
    <row r="34" customFormat="false" ht="15" hidden="false" customHeight="false" outlineLevel="0" collapsed="false">
      <c r="A34" s="56"/>
      <c r="B34" s="56"/>
      <c r="C34" s="56"/>
      <c r="D34" s="56"/>
      <c r="E34" s="56"/>
      <c r="F34" s="56"/>
      <c r="G34" s="68"/>
      <c r="H34" s="69"/>
      <c r="I34" s="58"/>
      <c r="J34" s="61" t="str">
        <f aca="false">IF($A34="","",SUMIFS(Sales!$Q$5:INDEX(Sales!$Q$5:$Q$3004,TxRows),Sales!$C$5:INDEX(Sales!$C$5:$C$3004,TxRows),$A34)-SUMIFS(Sales!$X$5:INDEX(Sales!$X$5:$X$3004,TxRows),Sales!$C$5:INDEX(Sales!$C$5:$C$3004,TxRows),$A34))</f>
        <v/>
      </c>
      <c r="K34" s="61" t="str">
        <f aca="false">IF($A34="","",SUMIFS(CashBook!$G$5:INDEX(CashBook!$G$5:$G$3004,TxRows),CashBook!$D$5:INDEX(CashBook!$D$5:$D$3004,TxRows),$A34,CashBook!$C$5:INDEX(CashBook!$C$5:$C$3004,TxRows),"Receipt"))</f>
        <v/>
      </c>
      <c r="L34" s="61" t="str">
        <f aca="false">IF($A34="","",SUMIFS(Purchases!$P$5:INDEX(Purchases!$P$5:$P$3004,TxRows),Purchases!$C$5:INDEX(Purchases!$C$5:$C$3004,TxRows),$A34)-SUMIFS(Purchases!$S$5:INDEX(Purchases!$S$5:$S$3004,TxRows),Purchases!$C$5:INDEX(Purchases!$C$5:$C$3004,TxRows),$A34))</f>
        <v/>
      </c>
      <c r="M34" s="61" t="str">
        <f aca="false">IF($A34="","",SUMIFS(CashBook!$G$5:INDEX(CashBook!$G$5:$G$3004,TxRows),CashBook!$D$5:INDEX(CashBook!$D$5:$D$3004,TxRows),$A34,CashBook!$C$5:INDEX(CashBook!$C$5:$C$3004,TxRows),"Payment"))</f>
        <v/>
      </c>
      <c r="N34" s="61" t="str">
        <f aca="false">IF($A34="","",N($I34)+J34-K34-L34+M34)</f>
        <v/>
      </c>
      <c r="O34" s="60" t="str">
        <f aca="false">IF($A34="","",IF(ROUND(N34,2)&gt;0,"Receivable",IF(ROUND(N34,2)&lt;0,"Payable","Settled")))</f>
        <v/>
      </c>
      <c r="P34" s="66" t="str">
        <f aca="false">IF($A34="","",IFERROR(SUMPRODUCT(MAX((Sales!$C$5:INDEX(Sales!$C$5:$C$3004,TxRows)=$A34)*Sales!$A$5:INDEX(Sales!$A$5:$A$3004,TxRows))),0))</f>
        <v/>
      </c>
      <c r="Q34" s="66" t="str">
        <f aca="false">IF($A34="","",IFERROR(SUMPRODUCT(MAX((CashBook!$D$5:INDEX(CashBook!$D$5:$D$3004,TxRows)=$A34)*(CashBook!$C$5:INDEX(CashBook!$C$5:$C$3004,TxRows)="Receipt")*CashBook!$A$5:INDEX(CashBook!$A$5:$A$3004,TxRows))),0))</f>
        <v/>
      </c>
      <c r="R34" s="67" t="str">
        <f aca="false">IF($A34="","",IF(ROUND(N34,2)&lt;=0,"",AsOf-IF(N(Q34)&gt;0,Q34,IF(N(P34)&gt;0,P34,FYStart))))</f>
        <v/>
      </c>
      <c r="S34" s="60" t="str">
        <f aca="false">IF($A34="","",IF(AND(N($G34)&gt;0,N34&gt;N($G34)),"OVER LIMIT",IF(AND(N34&gt;0,N(R34)&gt;N($H34)),"OVERDUE",IF(ROUND(N34,2)&lt;0,"PAY DUE",""))))</f>
        <v/>
      </c>
    </row>
    <row r="35" customFormat="false" ht="15" hidden="false" customHeight="false" outlineLevel="0" collapsed="false">
      <c r="A35" s="56"/>
      <c r="B35" s="56"/>
      <c r="C35" s="56"/>
      <c r="D35" s="56"/>
      <c r="E35" s="56"/>
      <c r="F35" s="56"/>
      <c r="G35" s="68"/>
      <c r="H35" s="69"/>
      <c r="I35" s="58"/>
      <c r="J35" s="61" t="str">
        <f aca="false">IF($A35="","",SUMIFS(Sales!$Q$5:INDEX(Sales!$Q$5:$Q$3004,TxRows),Sales!$C$5:INDEX(Sales!$C$5:$C$3004,TxRows),$A35)-SUMIFS(Sales!$X$5:INDEX(Sales!$X$5:$X$3004,TxRows),Sales!$C$5:INDEX(Sales!$C$5:$C$3004,TxRows),$A35))</f>
        <v/>
      </c>
      <c r="K35" s="61" t="str">
        <f aca="false">IF($A35="","",SUMIFS(CashBook!$G$5:INDEX(CashBook!$G$5:$G$3004,TxRows),CashBook!$D$5:INDEX(CashBook!$D$5:$D$3004,TxRows),$A35,CashBook!$C$5:INDEX(CashBook!$C$5:$C$3004,TxRows),"Receipt"))</f>
        <v/>
      </c>
      <c r="L35" s="61" t="str">
        <f aca="false">IF($A35="","",SUMIFS(Purchases!$P$5:INDEX(Purchases!$P$5:$P$3004,TxRows),Purchases!$C$5:INDEX(Purchases!$C$5:$C$3004,TxRows),$A35)-SUMIFS(Purchases!$S$5:INDEX(Purchases!$S$5:$S$3004,TxRows),Purchases!$C$5:INDEX(Purchases!$C$5:$C$3004,TxRows),$A35))</f>
        <v/>
      </c>
      <c r="M35" s="61" t="str">
        <f aca="false">IF($A35="","",SUMIFS(CashBook!$G$5:INDEX(CashBook!$G$5:$G$3004,TxRows),CashBook!$D$5:INDEX(CashBook!$D$5:$D$3004,TxRows),$A35,CashBook!$C$5:INDEX(CashBook!$C$5:$C$3004,TxRows),"Payment"))</f>
        <v/>
      </c>
      <c r="N35" s="61" t="str">
        <f aca="false">IF($A35="","",N($I35)+J35-K35-L35+M35)</f>
        <v/>
      </c>
      <c r="O35" s="60" t="str">
        <f aca="false">IF($A35="","",IF(ROUND(N35,2)&gt;0,"Receivable",IF(ROUND(N35,2)&lt;0,"Payable","Settled")))</f>
        <v/>
      </c>
      <c r="P35" s="66" t="str">
        <f aca="false">IF($A35="","",IFERROR(SUMPRODUCT(MAX((Sales!$C$5:INDEX(Sales!$C$5:$C$3004,TxRows)=$A35)*Sales!$A$5:INDEX(Sales!$A$5:$A$3004,TxRows))),0))</f>
        <v/>
      </c>
      <c r="Q35" s="66" t="str">
        <f aca="false">IF($A35="","",IFERROR(SUMPRODUCT(MAX((CashBook!$D$5:INDEX(CashBook!$D$5:$D$3004,TxRows)=$A35)*(CashBook!$C$5:INDEX(CashBook!$C$5:$C$3004,TxRows)="Receipt")*CashBook!$A$5:INDEX(CashBook!$A$5:$A$3004,TxRows))),0))</f>
        <v/>
      </c>
      <c r="R35" s="67" t="str">
        <f aca="false">IF($A35="","",IF(ROUND(N35,2)&lt;=0,"",AsOf-IF(N(Q35)&gt;0,Q35,IF(N(P35)&gt;0,P35,FYStart))))</f>
        <v/>
      </c>
      <c r="S35" s="60" t="str">
        <f aca="false">IF($A35="","",IF(AND(N($G35)&gt;0,N35&gt;N($G35)),"OVER LIMIT",IF(AND(N35&gt;0,N(R35)&gt;N($H35)),"OVERDUE",IF(ROUND(N35,2)&lt;0,"PAY DUE",""))))</f>
        <v/>
      </c>
    </row>
    <row r="36" customFormat="false" ht="15" hidden="false" customHeight="false" outlineLevel="0" collapsed="false">
      <c r="A36" s="56"/>
      <c r="B36" s="56"/>
      <c r="C36" s="56"/>
      <c r="D36" s="56"/>
      <c r="E36" s="56"/>
      <c r="F36" s="56"/>
      <c r="G36" s="68"/>
      <c r="H36" s="69"/>
      <c r="I36" s="58"/>
      <c r="J36" s="61" t="str">
        <f aca="false">IF($A36="","",SUMIFS(Sales!$Q$5:INDEX(Sales!$Q$5:$Q$3004,TxRows),Sales!$C$5:INDEX(Sales!$C$5:$C$3004,TxRows),$A36)-SUMIFS(Sales!$X$5:INDEX(Sales!$X$5:$X$3004,TxRows),Sales!$C$5:INDEX(Sales!$C$5:$C$3004,TxRows),$A36))</f>
        <v/>
      </c>
      <c r="K36" s="61" t="str">
        <f aca="false">IF($A36="","",SUMIFS(CashBook!$G$5:INDEX(CashBook!$G$5:$G$3004,TxRows),CashBook!$D$5:INDEX(CashBook!$D$5:$D$3004,TxRows),$A36,CashBook!$C$5:INDEX(CashBook!$C$5:$C$3004,TxRows),"Receipt"))</f>
        <v/>
      </c>
      <c r="L36" s="61" t="str">
        <f aca="false">IF($A36="","",SUMIFS(Purchases!$P$5:INDEX(Purchases!$P$5:$P$3004,TxRows),Purchases!$C$5:INDEX(Purchases!$C$5:$C$3004,TxRows),$A36)-SUMIFS(Purchases!$S$5:INDEX(Purchases!$S$5:$S$3004,TxRows),Purchases!$C$5:INDEX(Purchases!$C$5:$C$3004,TxRows),$A36))</f>
        <v/>
      </c>
      <c r="M36" s="61" t="str">
        <f aca="false">IF($A36="","",SUMIFS(CashBook!$G$5:INDEX(CashBook!$G$5:$G$3004,TxRows),CashBook!$D$5:INDEX(CashBook!$D$5:$D$3004,TxRows),$A36,CashBook!$C$5:INDEX(CashBook!$C$5:$C$3004,TxRows),"Payment"))</f>
        <v/>
      </c>
      <c r="N36" s="61" t="str">
        <f aca="false">IF($A36="","",N($I36)+J36-K36-L36+M36)</f>
        <v/>
      </c>
      <c r="O36" s="60" t="str">
        <f aca="false">IF($A36="","",IF(ROUND(N36,2)&gt;0,"Receivable",IF(ROUND(N36,2)&lt;0,"Payable","Settled")))</f>
        <v/>
      </c>
      <c r="P36" s="66" t="str">
        <f aca="false">IF($A36="","",IFERROR(SUMPRODUCT(MAX((Sales!$C$5:INDEX(Sales!$C$5:$C$3004,TxRows)=$A36)*Sales!$A$5:INDEX(Sales!$A$5:$A$3004,TxRows))),0))</f>
        <v/>
      </c>
      <c r="Q36" s="66" t="str">
        <f aca="false">IF($A36="","",IFERROR(SUMPRODUCT(MAX((CashBook!$D$5:INDEX(CashBook!$D$5:$D$3004,TxRows)=$A36)*(CashBook!$C$5:INDEX(CashBook!$C$5:$C$3004,TxRows)="Receipt")*CashBook!$A$5:INDEX(CashBook!$A$5:$A$3004,TxRows))),0))</f>
        <v/>
      </c>
      <c r="R36" s="67" t="str">
        <f aca="false">IF($A36="","",IF(ROUND(N36,2)&lt;=0,"",AsOf-IF(N(Q36)&gt;0,Q36,IF(N(P36)&gt;0,P36,FYStart))))</f>
        <v/>
      </c>
      <c r="S36" s="60" t="str">
        <f aca="false">IF($A36="","",IF(AND(N($G36)&gt;0,N36&gt;N($G36)),"OVER LIMIT",IF(AND(N36&gt;0,N(R36)&gt;N($H36)),"OVERDUE",IF(ROUND(N36,2)&lt;0,"PAY DUE",""))))</f>
        <v/>
      </c>
    </row>
    <row r="37" customFormat="false" ht="15" hidden="false" customHeight="false" outlineLevel="0" collapsed="false">
      <c r="A37" s="56"/>
      <c r="B37" s="56"/>
      <c r="C37" s="56"/>
      <c r="D37" s="56"/>
      <c r="E37" s="56"/>
      <c r="F37" s="56"/>
      <c r="G37" s="68"/>
      <c r="H37" s="69"/>
      <c r="I37" s="58"/>
      <c r="J37" s="61" t="str">
        <f aca="false">IF($A37="","",SUMIFS(Sales!$Q$5:INDEX(Sales!$Q$5:$Q$3004,TxRows),Sales!$C$5:INDEX(Sales!$C$5:$C$3004,TxRows),$A37)-SUMIFS(Sales!$X$5:INDEX(Sales!$X$5:$X$3004,TxRows),Sales!$C$5:INDEX(Sales!$C$5:$C$3004,TxRows),$A37))</f>
        <v/>
      </c>
      <c r="K37" s="61" t="str">
        <f aca="false">IF($A37="","",SUMIFS(CashBook!$G$5:INDEX(CashBook!$G$5:$G$3004,TxRows),CashBook!$D$5:INDEX(CashBook!$D$5:$D$3004,TxRows),$A37,CashBook!$C$5:INDEX(CashBook!$C$5:$C$3004,TxRows),"Receipt"))</f>
        <v/>
      </c>
      <c r="L37" s="61" t="str">
        <f aca="false">IF($A37="","",SUMIFS(Purchases!$P$5:INDEX(Purchases!$P$5:$P$3004,TxRows),Purchases!$C$5:INDEX(Purchases!$C$5:$C$3004,TxRows),$A37)-SUMIFS(Purchases!$S$5:INDEX(Purchases!$S$5:$S$3004,TxRows),Purchases!$C$5:INDEX(Purchases!$C$5:$C$3004,TxRows),$A37))</f>
        <v/>
      </c>
      <c r="M37" s="61" t="str">
        <f aca="false">IF($A37="","",SUMIFS(CashBook!$G$5:INDEX(CashBook!$G$5:$G$3004,TxRows),CashBook!$D$5:INDEX(CashBook!$D$5:$D$3004,TxRows),$A37,CashBook!$C$5:INDEX(CashBook!$C$5:$C$3004,TxRows),"Payment"))</f>
        <v/>
      </c>
      <c r="N37" s="61" t="str">
        <f aca="false">IF($A37="","",N($I37)+J37-K37-L37+M37)</f>
        <v/>
      </c>
      <c r="O37" s="60" t="str">
        <f aca="false">IF($A37="","",IF(ROUND(N37,2)&gt;0,"Receivable",IF(ROUND(N37,2)&lt;0,"Payable","Settled")))</f>
        <v/>
      </c>
      <c r="P37" s="66" t="str">
        <f aca="false">IF($A37="","",IFERROR(SUMPRODUCT(MAX((Sales!$C$5:INDEX(Sales!$C$5:$C$3004,TxRows)=$A37)*Sales!$A$5:INDEX(Sales!$A$5:$A$3004,TxRows))),0))</f>
        <v/>
      </c>
      <c r="Q37" s="66" t="str">
        <f aca="false">IF($A37="","",IFERROR(SUMPRODUCT(MAX((CashBook!$D$5:INDEX(CashBook!$D$5:$D$3004,TxRows)=$A37)*(CashBook!$C$5:INDEX(CashBook!$C$5:$C$3004,TxRows)="Receipt")*CashBook!$A$5:INDEX(CashBook!$A$5:$A$3004,TxRows))),0))</f>
        <v/>
      </c>
      <c r="R37" s="67" t="str">
        <f aca="false">IF($A37="","",IF(ROUND(N37,2)&lt;=0,"",AsOf-IF(N(Q37)&gt;0,Q37,IF(N(P37)&gt;0,P37,FYStart))))</f>
        <v/>
      </c>
      <c r="S37" s="60" t="str">
        <f aca="false">IF($A37="","",IF(AND(N($G37)&gt;0,N37&gt;N($G37)),"OVER LIMIT",IF(AND(N37&gt;0,N(R37)&gt;N($H37)),"OVERDUE",IF(ROUND(N37,2)&lt;0,"PAY DUE",""))))</f>
        <v/>
      </c>
    </row>
    <row r="38" customFormat="false" ht="15" hidden="false" customHeight="false" outlineLevel="0" collapsed="false">
      <c r="A38" s="56"/>
      <c r="B38" s="56"/>
      <c r="C38" s="56"/>
      <c r="D38" s="56"/>
      <c r="E38" s="56"/>
      <c r="F38" s="56"/>
      <c r="G38" s="68"/>
      <c r="H38" s="69"/>
      <c r="I38" s="58"/>
      <c r="J38" s="61" t="str">
        <f aca="false">IF($A38="","",SUMIFS(Sales!$Q$5:INDEX(Sales!$Q$5:$Q$3004,TxRows),Sales!$C$5:INDEX(Sales!$C$5:$C$3004,TxRows),$A38)-SUMIFS(Sales!$X$5:INDEX(Sales!$X$5:$X$3004,TxRows),Sales!$C$5:INDEX(Sales!$C$5:$C$3004,TxRows),$A38))</f>
        <v/>
      </c>
      <c r="K38" s="61" t="str">
        <f aca="false">IF($A38="","",SUMIFS(CashBook!$G$5:INDEX(CashBook!$G$5:$G$3004,TxRows),CashBook!$D$5:INDEX(CashBook!$D$5:$D$3004,TxRows),$A38,CashBook!$C$5:INDEX(CashBook!$C$5:$C$3004,TxRows),"Receipt"))</f>
        <v/>
      </c>
      <c r="L38" s="61" t="str">
        <f aca="false">IF($A38="","",SUMIFS(Purchases!$P$5:INDEX(Purchases!$P$5:$P$3004,TxRows),Purchases!$C$5:INDEX(Purchases!$C$5:$C$3004,TxRows),$A38)-SUMIFS(Purchases!$S$5:INDEX(Purchases!$S$5:$S$3004,TxRows),Purchases!$C$5:INDEX(Purchases!$C$5:$C$3004,TxRows),$A38))</f>
        <v/>
      </c>
      <c r="M38" s="61" t="str">
        <f aca="false">IF($A38="","",SUMIFS(CashBook!$G$5:INDEX(CashBook!$G$5:$G$3004,TxRows),CashBook!$D$5:INDEX(CashBook!$D$5:$D$3004,TxRows),$A38,CashBook!$C$5:INDEX(CashBook!$C$5:$C$3004,TxRows),"Payment"))</f>
        <v/>
      </c>
      <c r="N38" s="61" t="str">
        <f aca="false">IF($A38="","",N($I38)+J38-K38-L38+M38)</f>
        <v/>
      </c>
      <c r="O38" s="60" t="str">
        <f aca="false">IF($A38="","",IF(ROUND(N38,2)&gt;0,"Receivable",IF(ROUND(N38,2)&lt;0,"Payable","Settled")))</f>
        <v/>
      </c>
      <c r="P38" s="66" t="str">
        <f aca="false">IF($A38="","",IFERROR(SUMPRODUCT(MAX((Sales!$C$5:INDEX(Sales!$C$5:$C$3004,TxRows)=$A38)*Sales!$A$5:INDEX(Sales!$A$5:$A$3004,TxRows))),0))</f>
        <v/>
      </c>
      <c r="Q38" s="66" t="str">
        <f aca="false">IF($A38="","",IFERROR(SUMPRODUCT(MAX((CashBook!$D$5:INDEX(CashBook!$D$5:$D$3004,TxRows)=$A38)*(CashBook!$C$5:INDEX(CashBook!$C$5:$C$3004,TxRows)="Receipt")*CashBook!$A$5:INDEX(CashBook!$A$5:$A$3004,TxRows))),0))</f>
        <v/>
      </c>
      <c r="R38" s="67" t="str">
        <f aca="false">IF($A38="","",IF(ROUND(N38,2)&lt;=0,"",AsOf-IF(N(Q38)&gt;0,Q38,IF(N(P38)&gt;0,P38,FYStart))))</f>
        <v/>
      </c>
      <c r="S38" s="60" t="str">
        <f aca="false">IF($A38="","",IF(AND(N($G38)&gt;0,N38&gt;N($G38)),"OVER LIMIT",IF(AND(N38&gt;0,N(R38)&gt;N($H38)),"OVERDUE",IF(ROUND(N38,2)&lt;0,"PAY DUE",""))))</f>
        <v/>
      </c>
    </row>
    <row r="39" customFormat="false" ht="15" hidden="false" customHeight="false" outlineLevel="0" collapsed="false">
      <c r="A39" s="56"/>
      <c r="B39" s="56"/>
      <c r="C39" s="56"/>
      <c r="D39" s="56"/>
      <c r="E39" s="56"/>
      <c r="F39" s="56"/>
      <c r="G39" s="68"/>
      <c r="H39" s="69"/>
      <c r="I39" s="58"/>
      <c r="J39" s="61" t="str">
        <f aca="false">IF($A39="","",SUMIFS(Sales!$Q$5:INDEX(Sales!$Q$5:$Q$3004,TxRows),Sales!$C$5:INDEX(Sales!$C$5:$C$3004,TxRows),$A39)-SUMIFS(Sales!$X$5:INDEX(Sales!$X$5:$X$3004,TxRows),Sales!$C$5:INDEX(Sales!$C$5:$C$3004,TxRows),$A39))</f>
        <v/>
      </c>
      <c r="K39" s="61" t="str">
        <f aca="false">IF($A39="","",SUMIFS(CashBook!$G$5:INDEX(CashBook!$G$5:$G$3004,TxRows),CashBook!$D$5:INDEX(CashBook!$D$5:$D$3004,TxRows),$A39,CashBook!$C$5:INDEX(CashBook!$C$5:$C$3004,TxRows),"Receipt"))</f>
        <v/>
      </c>
      <c r="L39" s="61" t="str">
        <f aca="false">IF($A39="","",SUMIFS(Purchases!$P$5:INDEX(Purchases!$P$5:$P$3004,TxRows),Purchases!$C$5:INDEX(Purchases!$C$5:$C$3004,TxRows),$A39)-SUMIFS(Purchases!$S$5:INDEX(Purchases!$S$5:$S$3004,TxRows),Purchases!$C$5:INDEX(Purchases!$C$5:$C$3004,TxRows),$A39))</f>
        <v/>
      </c>
      <c r="M39" s="61" t="str">
        <f aca="false">IF($A39="","",SUMIFS(CashBook!$G$5:INDEX(CashBook!$G$5:$G$3004,TxRows),CashBook!$D$5:INDEX(CashBook!$D$5:$D$3004,TxRows),$A39,CashBook!$C$5:INDEX(CashBook!$C$5:$C$3004,TxRows),"Payment"))</f>
        <v/>
      </c>
      <c r="N39" s="61" t="str">
        <f aca="false">IF($A39="","",N($I39)+J39-K39-L39+M39)</f>
        <v/>
      </c>
      <c r="O39" s="60" t="str">
        <f aca="false">IF($A39="","",IF(ROUND(N39,2)&gt;0,"Receivable",IF(ROUND(N39,2)&lt;0,"Payable","Settled")))</f>
        <v/>
      </c>
      <c r="P39" s="66" t="str">
        <f aca="false">IF($A39="","",IFERROR(SUMPRODUCT(MAX((Sales!$C$5:INDEX(Sales!$C$5:$C$3004,TxRows)=$A39)*Sales!$A$5:INDEX(Sales!$A$5:$A$3004,TxRows))),0))</f>
        <v/>
      </c>
      <c r="Q39" s="66" t="str">
        <f aca="false">IF($A39="","",IFERROR(SUMPRODUCT(MAX((CashBook!$D$5:INDEX(CashBook!$D$5:$D$3004,TxRows)=$A39)*(CashBook!$C$5:INDEX(CashBook!$C$5:$C$3004,TxRows)="Receipt")*CashBook!$A$5:INDEX(CashBook!$A$5:$A$3004,TxRows))),0))</f>
        <v/>
      </c>
      <c r="R39" s="67" t="str">
        <f aca="false">IF($A39="","",IF(ROUND(N39,2)&lt;=0,"",AsOf-IF(N(Q39)&gt;0,Q39,IF(N(P39)&gt;0,P39,FYStart))))</f>
        <v/>
      </c>
      <c r="S39" s="60" t="str">
        <f aca="false">IF($A39="","",IF(AND(N($G39)&gt;0,N39&gt;N($G39)),"OVER LIMIT",IF(AND(N39&gt;0,N(R39)&gt;N($H39)),"OVERDUE",IF(ROUND(N39,2)&lt;0,"PAY DUE",""))))</f>
        <v/>
      </c>
    </row>
    <row r="40" customFormat="false" ht="15" hidden="false" customHeight="false" outlineLevel="0" collapsed="false">
      <c r="A40" s="56"/>
      <c r="B40" s="56"/>
      <c r="C40" s="56"/>
      <c r="D40" s="56"/>
      <c r="E40" s="56"/>
      <c r="F40" s="56"/>
      <c r="G40" s="68"/>
      <c r="H40" s="69"/>
      <c r="I40" s="58"/>
      <c r="J40" s="61" t="str">
        <f aca="false">IF($A40="","",SUMIFS(Sales!$Q$5:INDEX(Sales!$Q$5:$Q$3004,TxRows),Sales!$C$5:INDEX(Sales!$C$5:$C$3004,TxRows),$A40)-SUMIFS(Sales!$X$5:INDEX(Sales!$X$5:$X$3004,TxRows),Sales!$C$5:INDEX(Sales!$C$5:$C$3004,TxRows),$A40))</f>
        <v/>
      </c>
      <c r="K40" s="61" t="str">
        <f aca="false">IF($A40="","",SUMIFS(CashBook!$G$5:INDEX(CashBook!$G$5:$G$3004,TxRows),CashBook!$D$5:INDEX(CashBook!$D$5:$D$3004,TxRows),$A40,CashBook!$C$5:INDEX(CashBook!$C$5:$C$3004,TxRows),"Receipt"))</f>
        <v/>
      </c>
      <c r="L40" s="61" t="str">
        <f aca="false">IF($A40="","",SUMIFS(Purchases!$P$5:INDEX(Purchases!$P$5:$P$3004,TxRows),Purchases!$C$5:INDEX(Purchases!$C$5:$C$3004,TxRows),$A40)-SUMIFS(Purchases!$S$5:INDEX(Purchases!$S$5:$S$3004,TxRows),Purchases!$C$5:INDEX(Purchases!$C$5:$C$3004,TxRows),$A40))</f>
        <v/>
      </c>
      <c r="M40" s="61" t="str">
        <f aca="false">IF($A40="","",SUMIFS(CashBook!$G$5:INDEX(CashBook!$G$5:$G$3004,TxRows),CashBook!$D$5:INDEX(CashBook!$D$5:$D$3004,TxRows),$A40,CashBook!$C$5:INDEX(CashBook!$C$5:$C$3004,TxRows),"Payment"))</f>
        <v/>
      </c>
      <c r="N40" s="61" t="str">
        <f aca="false">IF($A40="","",N($I40)+J40-K40-L40+M40)</f>
        <v/>
      </c>
      <c r="O40" s="60" t="str">
        <f aca="false">IF($A40="","",IF(ROUND(N40,2)&gt;0,"Receivable",IF(ROUND(N40,2)&lt;0,"Payable","Settled")))</f>
        <v/>
      </c>
      <c r="P40" s="66" t="str">
        <f aca="false">IF($A40="","",IFERROR(SUMPRODUCT(MAX((Sales!$C$5:INDEX(Sales!$C$5:$C$3004,TxRows)=$A40)*Sales!$A$5:INDEX(Sales!$A$5:$A$3004,TxRows))),0))</f>
        <v/>
      </c>
      <c r="Q40" s="66" t="str">
        <f aca="false">IF($A40="","",IFERROR(SUMPRODUCT(MAX((CashBook!$D$5:INDEX(CashBook!$D$5:$D$3004,TxRows)=$A40)*(CashBook!$C$5:INDEX(CashBook!$C$5:$C$3004,TxRows)="Receipt")*CashBook!$A$5:INDEX(CashBook!$A$5:$A$3004,TxRows))),0))</f>
        <v/>
      </c>
      <c r="R40" s="67" t="str">
        <f aca="false">IF($A40="","",IF(ROUND(N40,2)&lt;=0,"",AsOf-IF(N(Q40)&gt;0,Q40,IF(N(P40)&gt;0,P40,FYStart))))</f>
        <v/>
      </c>
      <c r="S40" s="60" t="str">
        <f aca="false">IF($A40="","",IF(AND(N($G40)&gt;0,N40&gt;N($G40)),"OVER LIMIT",IF(AND(N40&gt;0,N(R40)&gt;N($H40)),"OVERDUE",IF(ROUND(N40,2)&lt;0,"PAY DUE",""))))</f>
        <v/>
      </c>
    </row>
    <row r="41" customFormat="false" ht="15" hidden="false" customHeight="false" outlineLevel="0" collapsed="false">
      <c r="A41" s="56"/>
      <c r="B41" s="56"/>
      <c r="C41" s="56"/>
      <c r="D41" s="56"/>
      <c r="E41" s="56"/>
      <c r="F41" s="56"/>
      <c r="G41" s="68"/>
      <c r="H41" s="69"/>
      <c r="I41" s="58"/>
      <c r="J41" s="61" t="str">
        <f aca="false">IF($A41="","",SUMIFS(Sales!$Q$5:INDEX(Sales!$Q$5:$Q$3004,TxRows),Sales!$C$5:INDEX(Sales!$C$5:$C$3004,TxRows),$A41)-SUMIFS(Sales!$X$5:INDEX(Sales!$X$5:$X$3004,TxRows),Sales!$C$5:INDEX(Sales!$C$5:$C$3004,TxRows),$A41))</f>
        <v/>
      </c>
      <c r="K41" s="61" t="str">
        <f aca="false">IF($A41="","",SUMIFS(CashBook!$G$5:INDEX(CashBook!$G$5:$G$3004,TxRows),CashBook!$D$5:INDEX(CashBook!$D$5:$D$3004,TxRows),$A41,CashBook!$C$5:INDEX(CashBook!$C$5:$C$3004,TxRows),"Receipt"))</f>
        <v/>
      </c>
      <c r="L41" s="61" t="str">
        <f aca="false">IF($A41="","",SUMIFS(Purchases!$P$5:INDEX(Purchases!$P$5:$P$3004,TxRows),Purchases!$C$5:INDEX(Purchases!$C$5:$C$3004,TxRows),$A41)-SUMIFS(Purchases!$S$5:INDEX(Purchases!$S$5:$S$3004,TxRows),Purchases!$C$5:INDEX(Purchases!$C$5:$C$3004,TxRows),$A41))</f>
        <v/>
      </c>
      <c r="M41" s="61" t="str">
        <f aca="false">IF($A41="","",SUMIFS(CashBook!$G$5:INDEX(CashBook!$G$5:$G$3004,TxRows),CashBook!$D$5:INDEX(CashBook!$D$5:$D$3004,TxRows),$A41,CashBook!$C$5:INDEX(CashBook!$C$5:$C$3004,TxRows),"Payment"))</f>
        <v/>
      </c>
      <c r="N41" s="61" t="str">
        <f aca="false">IF($A41="","",N($I41)+J41-K41-L41+M41)</f>
        <v/>
      </c>
      <c r="O41" s="60" t="str">
        <f aca="false">IF($A41="","",IF(ROUND(N41,2)&gt;0,"Receivable",IF(ROUND(N41,2)&lt;0,"Payable","Settled")))</f>
        <v/>
      </c>
      <c r="P41" s="66" t="str">
        <f aca="false">IF($A41="","",IFERROR(SUMPRODUCT(MAX((Sales!$C$5:INDEX(Sales!$C$5:$C$3004,TxRows)=$A41)*Sales!$A$5:INDEX(Sales!$A$5:$A$3004,TxRows))),0))</f>
        <v/>
      </c>
      <c r="Q41" s="66" t="str">
        <f aca="false">IF($A41="","",IFERROR(SUMPRODUCT(MAX((CashBook!$D$5:INDEX(CashBook!$D$5:$D$3004,TxRows)=$A41)*(CashBook!$C$5:INDEX(CashBook!$C$5:$C$3004,TxRows)="Receipt")*CashBook!$A$5:INDEX(CashBook!$A$5:$A$3004,TxRows))),0))</f>
        <v/>
      </c>
      <c r="R41" s="67" t="str">
        <f aca="false">IF($A41="","",IF(ROUND(N41,2)&lt;=0,"",AsOf-IF(N(Q41)&gt;0,Q41,IF(N(P41)&gt;0,P41,FYStart))))</f>
        <v/>
      </c>
      <c r="S41" s="60" t="str">
        <f aca="false">IF($A41="","",IF(AND(N($G41)&gt;0,N41&gt;N($G41)),"OVER LIMIT",IF(AND(N41&gt;0,N(R41)&gt;N($H41)),"OVERDUE",IF(ROUND(N41,2)&lt;0,"PAY DUE",""))))</f>
        <v/>
      </c>
    </row>
    <row r="42" customFormat="false" ht="15" hidden="false" customHeight="false" outlineLevel="0" collapsed="false">
      <c r="A42" s="56"/>
      <c r="B42" s="56"/>
      <c r="C42" s="56"/>
      <c r="D42" s="56"/>
      <c r="E42" s="56"/>
      <c r="F42" s="56"/>
      <c r="G42" s="68"/>
      <c r="H42" s="69"/>
      <c r="I42" s="58"/>
      <c r="J42" s="61" t="str">
        <f aca="false">IF($A42="","",SUMIFS(Sales!$Q$5:INDEX(Sales!$Q$5:$Q$3004,TxRows),Sales!$C$5:INDEX(Sales!$C$5:$C$3004,TxRows),$A42)-SUMIFS(Sales!$X$5:INDEX(Sales!$X$5:$X$3004,TxRows),Sales!$C$5:INDEX(Sales!$C$5:$C$3004,TxRows),$A42))</f>
        <v/>
      </c>
      <c r="K42" s="61" t="str">
        <f aca="false">IF($A42="","",SUMIFS(CashBook!$G$5:INDEX(CashBook!$G$5:$G$3004,TxRows),CashBook!$D$5:INDEX(CashBook!$D$5:$D$3004,TxRows),$A42,CashBook!$C$5:INDEX(CashBook!$C$5:$C$3004,TxRows),"Receipt"))</f>
        <v/>
      </c>
      <c r="L42" s="61" t="str">
        <f aca="false">IF($A42="","",SUMIFS(Purchases!$P$5:INDEX(Purchases!$P$5:$P$3004,TxRows),Purchases!$C$5:INDEX(Purchases!$C$5:$C$3004,TxRows),$A42)-SUMIFS(Purchases!$S$5:INDEX(Purchases!$S$5:$S$3004,TxRows),Purchases!$C$5:INDEX(Purchases!$C$5:$C$3004,TxRows),$A42))</f>
        <v/>
      </c>
      <c r="M42" s="61" t="str">
        <f aca="false">IF($A42="","",SUMIFS(CashBook!$G$5:INDEX(CashBook!$G$5:$G$3004,TxRows),CashBook!$D$5:INDEX(CashBook!$D$5:$D$3004,TxRows),$A42,CashBook!$C$5:INDEX(CashBook!$C$5:$C$3004,TxRows),"Payment"))</f>
        <v/>
      </c>
      <c r="N42" s="61" t="str">
        <f aca="false">IF($A42="","",N($I42)+J42-K42-L42+M42)</f>
        <v/>
      </c>
      <c r="O42" s="60" t="str">
        <f aca="false">IF($A42="","",IF(ROUND(N42,2)&gt;0,"Receivable",IF(ROUND(N42,2)&lt;0,"Payable","Settled")))</f>
        <v/>
      </c>
      <c r="P42" s="66" t="str">
        <f aca="false">IF($A42="","",IFERROR(SUMPRODUCT(MAX((Sales!$C$5:INDEX(Sales!$C$5:$C$3004,TxRows)=$A42)*Sales!$A$5:INDEX(Sales!$A$5:$A$3004,TxRows))),0))</f>
        <v/>
      </c>
      <c r="Q42" s="66" t="str">
        <f aca="false">IF($A42="","",IFERROR(SUMPRODUCT(MAX((CashBook!$D$5:INDEX(CashBook!$D$5:$D$3004,TxRows)=$A42)*(CashBook!$C$5:INDEX(CashBook!$C$5:$C$3004,TxRows)="Receipt")*CashBook!$A$5:INDEX(CashBook!$A$5:$A$3004,TxRows))),0))</f>
        <v/>
      </c>
      <c r="R42" s="67" t="str">
        <f aca="false">IF($A42="","",IF(ROUND(N42,2)&lt;=0,"",AsOf-IF(N(Q42)&gt;0,Q42,IF(N(P42)&gt;0,P42,FYStart))))</f>
        <v/>
      </c>
      <c r="S42" s="60" t="str">
        <f aca="false">IF($A42="","",IF(AND(N($G42)&gt;0,N42&gt;N($G42)),"OVER LIMIT",IF(AND(N42&gt;0,N(R42)&gt;N($H42)),"OVERDUE",IF(ROUND(N42,2)&lt;0,"PAY DUE",""))))</f>
        <v/>
      </c>
    </row>
    <row r="43" customFormat="false" ht="15" hidden="false" customHeight="false" outlineLevel="0" collapsed="false">
      <c r="A43" s="56"/>
      <c r="B43" s="56"/>
      <c r="C43" s="56"/>
      <c r="D43" s="56"/>
      <c r="E43" s="56"/>
      <c r="F43" s="56"/>
      <c r="G43" s="68"/>
      <c r="H43" s="69"/>
      <c r="I43" s="58"/>
      <c r="J43" s="61" t="str">
        <f aca="false">IF($A43="","",SUMIFS(Sales!$Q$5:INDEX(Sales!$Q$5:$Q$3004,TxRows),Sales!$C$5:INDEX(Sales!$C$5:$C$3004,TxRows),$A43)-SUMIFS(Sales!$X$5:INDEX(Sales!$X$5:$X$3004,TxRows),Sales!$C$5:INDEX(Sales!$C$5:$C$3004,TxRows),$A43))</f>
        <v/>
      </c>
      <c r="K43" s="61" t="str">
        <f aca="false">IF($A43="","",SUMIFS(CashBook!$G$5:INDEX(CashBook!$G$5:$G$3004,TxRows),CashBook!$D$5:INDEX(CashBook!$D$5:$D$3004,TxRows),$A43,CashBook!$C$5:INDEX(CashBook!$C$5:$C$3004,TxRows),"Receipt"))</f>
        <v/>
      </c>
      <c r="L43" s="61" t="str">
        <f aca="false">IF($A43="","",SUMIFS(Purchases!$P$5:INDEX(Purchases!$P$5:$P$3004,TxRows),Purchases!$C$5:INDEX(Purchases!$C$5:$C$3004,TxRows),$A43)-SUMIFS(Purchases!$S$5:INDEX(Purchases!$S$5:$S$3004,TxRows),Purchases!$C$5:INDEX(Purchases!$C$5:$C$3004,TxRows),$A43))</f>
        <v/>
      </c>
      <c r="M43" s="61" t="str">
        <f aca="false">IF($A43="","",SUMIFS(CashBook!$G$5:INDEX(CashBook!$G$5:$G$3004,TxRows),CashBook!$D$5:INDEX(CashBook!$D$5:$D$3004,TxRows),$A43,CashBook!$C$5:INDEX(CashBook!$C$5:$C$3004,TxRows),"Payment"))</f>
        <v/>
      </c>
      <c r="N43" s="61" t="str">
        <f aca="false">IF($A43="","",N($I43)+J43-K43-L43+M43)</f>
        <v/>
      </c>
      <c r="O43" s="60" t="str">
        <f aca="false">IF($A43="","",IF(ROUND(N43,2)&gt;0,"Receivable",IF(ROUND(N43,2)&lt;0,"Payable","Settled")))</f>
        <v/>
      </c>
      <c r="P43" s="66" t="str">
        <f aca="false">IF($A43="","",IFERROR(SUMPRODUCT(MAX((Sales!$C$5:INDEX(Sales!$C$5:$C$3004,TxRows)=$A43)*Sales!$A$5:INDEX(Sales!$A$5:$A$3004,TxRows))),0))</f>
        <v/>
      </c>
      <c r="Q43" s="66" t="str">
        <f aca="false">IF($A43="","",IFERROR(SUMPRODUCT(MAX((CashBook!$D$5:INDEX(CashBook!$D$5:$D$3004,TxRows)=$A43)*(CashBook!$C$5:INDEX(CashBook!$C$5:$C$3004,TxRows)="Receipt")*CashBook!$A$5:INDEX(CashBook!$A$5:$A$3004,TxRows))),0))</f>
        <v/>
      </c>
      <c r="R43" s="67" t="str">
        <f aca="false">IF($A43="","",IF(ROUND(N43,2)&lt;=0,"",AsOf-IF(N(Q43)&gt;0,Q43,IF(N(P43)&gt;0,P43,FYStart))))</f>
        <v/>
      </c>
      <c r="S43" s="60" t="str">
        <f aca="false">IF($A43="","",IF(AND(N($G43)&gt;0,N43&gt;N($G43)),"OVER LIMIT",IF(AND(N43&gt;0,N(R43)&gt;N($H43)),"OVERDUE",IF(ROUND(N43,2)&lt;0,"PAY DUE",""))))</f>
        <v/>
      </c>
    </row>
    <row r="44" customFormat="false" ht="15" hidden="false" customHeight="false" outlineLevel="0" collapsed="false">
      <c r="A44" s="56"/>
      <c r="B44" s="56"/>
      <c r="C44" s="56"/>
      <c r="D44" s="56"/>
      <c r="E44" s="56"/>
      <c r="F44" s="56"/>
      <c r="G44" s="68"/>
      <c r="H44" s="69"/>
      <c r="I44" s="58"/>
      <c r="J44" s="61" t="str">
        <f aca="false">IF($A44="","",SUMIFS(Sales!$Q$5:INDEX(Sales!$Q$5:$Q$3004,TxRows),Sales!$C$5:INDEX(Sales!$C$5:$C$3004,TxRows),$A44)-SUMIFS(Sales!$X$5:INDEX(Sales!$X$5:$X$3004,TxRows),Sales!$C$5:INDEX(Sales!$C$5:$C$3004,TxRows),$A44))</f>
        <v/>
      </c>
      <c r="K44" s="61" t="str">
        <f aca="false">IF($A44="","",SUMIFS(CashBook!$G$5:INDEX(CashBook!$G$5:$G$3004,TxRows),CashBook!$D$5:INDEX(CashBook!$D$5:$D$3004,TxRows),$A44,CashBook!$C$5:INDEX(CashBook!$C$5:$C$3004,TxRows),"Receipt"))</f>
        <v/>
      </c>
      <c r="L44" s="61" t="str">
        <f aca="false">IF($A44="","",SUMIFS(Purchases!$P$5:INDEX(Purchases!$P$5:$P$3004,TxRows),Purchases!$C$5:INDEX(Purchases!$C$5:$C$3004,TxRows),$A44)-SUMIFS(Purchases!$S$5:INDEX(Purchases!$S$5:$S$3004,TxRows),Purchases!$C$5:INDEX(Purchases!$C$5:$C$3004,TxRows),$A44))</f>
        <v/>
      </c>
      <c r="M44" s="61" t="str">
        <f aca="false">IF($A44="","",SUMIFS(CashBook!$G$5:INDEX(CashBook!$G$5:$G$3004,TxRows),CashBook!$D$5:INDEX(CashBook!$D$5:$D$3004,TxRows),$A44,CashBook!$C$5:INDEX(CashBook!$C$5:$C$3004,TxRows),"Payment"))</f>
        <v/>
      </c>
      <c r="N44" s="61" t="str">
        <f aca="false">IF($A44="","",N($I44)+J44-K44-L44+M44)</f>
        <v/>
      </c>
      <c r="O44" s="60" t="str">
        <f aca="false">IF($A44="","",IF(ROUND(N44,2)&gt;0,"Receivable",IF(ROUND(N44,2)&lt;0,"Payable","Settled")))</f>
        <v/>
      </c>
      <c r="P44" s="66" t="str">
        <f aca="false">IF($A44="","",IFERROR(SUMPRODUCT(MAX((Sales!$C$5:INDEX(Sales!$C$5:$C$3004,TxRows)=$A44)*Sales!$A$5:INDEX(Sales!$A$5:$A$3004,TxRows))),0))</f>
        <v/>
      </c>
      <c r="Q44" s="66" t="str">
        <f aca="false">IF($A44="","",IFERROR(SUMPRODUCT(MAX((CashBook!$D$5:INDEX(CashBook!$D$5:$D$3004,TxRows)=$A44)*(CashBook!$C$5:INDEX(CashBook!$C$5:$C$3004,TxRows)="Receipt")*CashBook!$A$5:INDEX(CashBook!$A$5:$A$3004,TxRows))),0))</f>
        <v/>
      </c>
      <c r="R44" s="67" t="str">
        <f aca="false">IF($A44="","",IF(ROUND(N44,2)&lt;=0,"",AsOf-IF(N(Q44)&gt;0,Q44,IF(N(P44)&gt;0,P44,FYStart))))</f>
        <v/>
      </c>
      <c r="S44" s="60" t="str">
        <f aca="false">IF($A44="","",IF(AND(N($G44)&gt;0,N44&gt;N($G44)),"OVER LIMIT",IF(AND(N44&gt;0,N(R44)&gt;N($H44)),"OVERDUE",IF(ROUND(N44,2)&lt;0,"PAY DUE",""))))</f>
        <v/>
      </c>
    </row>
    <row r="45" customFormat="false" ht="15" hidden="false" customHeight="false" outlineLevel="0" collapsed="false">
      <c r="A45" s="56"/>
      <c r="B45" s="56"/>
      <c r="C45" s="56"/>
      <c r="D45" s="56"/>
      <c r="E45" s="56"/>
      <c r="F45" s="56"/>
      <c r="G45" s="68"/>
      <c r="H45" s="69"/>
      <c r="I45" s="58"/>
      <c r="J45" s="61" t="str">
        <f aca="false">IF($A45="","",SUMIFS(Sales!$Q$5:INDEX(Sales!$Q$5:$Q$3004,TxRows),Sales!$C$5:INDEX(Sales!$C$5:$C$3004,TxRows),$A45)-SUMIFS(Sales!$X$5:INDEX(Sales!$X$5:$X$3004,TxRows),Sales!$C$5:INDEX(Sales!$C$5:$C$3004,TxRows),$A45))</f>
        <v/>
      </c>
      <c r="K45" s="61" t="str">
        <f aca="false">IF($A45="","",SUMIFS(CashBook!$G$5:INDEX(CashBook!$G$5:$G$3004,TxRows),CashBook!$D$5:INDEX(CashBook!$D$5:$D$3004,TxRows),$A45,CashBook!$C$5:INDEX(CashBook!$C$5:$C$3004,TxRows),"Receipt"))</f>
        <v/>
      </c>
      <c r="L45" s="61" t="str">
        <f aca="false">IF($A45="","",SUMIFS(Purchases!$P$5:INDEX(Purchases!$P$5:$P$3004,TxRows),Purchases!$C$5:INDEX(Purchases!$C$5:$C$3004,TxRows),$A45)-SUMIFS(Purchases!$S$5:INDEX(Purchases!$S$5:$S$3004,TxRows),Purchases!$C$5:INDEX(Purchases!$C$5:$C$3004,TxRows),$A45))</f>
        <v/>
      </c>
      <c r="M45" s="61" t="str">
        <f aca="false">IF($A45="","",SUMIFS(CashBook!$G$5:INDEX(CashBook!$G$5:$G$3004,TxRows),CashBook!$D$5:INDEX(CashBook!$D$5:$D$3004,TxRows),$A45,CashBook!$C$5:INDEX(CashBook!$C$5:$C$3004,TxRows),"Payment"))</f>
        <v/>
      </c>
      <c r="N45" s="61" t="str">
        <f aca="false">IF($A45="","",N($I45)+J45-K45-L45+M45)</f>
        <v/>
      </c>
      <c r="O45" s="60" t="str">
        <f aca="false">IF($A45="","",IF(ROUND(N45,2)&gt;0,"Receivable",IF(ROUND(N45,2)&lt;0,"Payable","Settled")))</f>
        <v/>
      </c>
      <c r="P45" s="66" t="str">
        <f aca="false">IF($A45="","",IFERROR(SUMPRODUCT(MAX((Sales!$C$5:INDEX(Sales!$C$5:$C$3004,TxRows)=$A45)*Sales!$A$5:INDEX(Sales!$A$5:$A$3004,TxRows))),0))</f>
        <v/>
      </c>
      <c r="Q45" s="66" t="str">
        <f aca="false">IF($A45="","",IFERROR(SUMPRODUCT(MAX((CashBook!$D$5:INDEX(CashBook!$D$5:$D$3004,TxRows)=$A45)*(CashBook!$C$5:INDEX(CashBook!$C$5:$C$3004,TxRows)="Receipt")*CashBook!$A$5:INDEX(CashBook!$A$5:$A$3004,TxRows))),0))</f>
        <v/>
      </c>
      <c r="R45" s="67" t="str">
        <f aca="false">IF($A45="","",IF(ROUND(N45,2)&lt;=0,"",AsOf-IF(N(Q45)&gt;0,Q45,IF(N(P45)&gt;0,P45,FYStart))))</f>
        <v/>
      </c>
      <c r="S45" s="60" t="str">
        <f aca="false">IF($A45="","",IF(AND(N($G45)&gt;0,N45&gt;N($G45)),"OVER LIMIT",IF(AND(N45&gt;0,N(R45)&gt;N($H45)),"OVERDUE",IF(ROUND(N45,2)&lt;0,"PAY DUE",""))))</f>
        <v/>
      </c>
    </row>
    <row r="46" customFormat="false" ht="15" hidden="false" customHeight="false" outlineLevel="0" collapsed="false">
      <c r="A46" s="56"/>
      <c r="B46" s="56"/>
      <c r="C46" s="56"/>
      <c r="D46" s="56"/>
      <c r="E46" s="56"/>
      <c r="F46" s="56"/>
      <c r="G46" s="68"/>
      <c r="H46" s="69"/>
      <c r="I46" s="58"/>
      <c r="J46" s="61" t="str">
        <f aca="false">IF($A46="","",SUMIFS(Sales!$Q$5:INDEX(Sales!$Q$5:$Q$3004,TxRows),Sales!$C$5:INDEX(Sales!$C$5:$C$3004,TxRows),$A46)-SUMIFS(Sales!$X$5:INDEX(Sales!$X$5:$X$3004,TxRows),Sales!$C$5:INDEX(Sales!$C$5:$C$3004,TxRows),$A46))</f>
        <v/>
      </c>
      <c r="K46" s="61" t="str">
        <f aca="false">IF($A46="","",SUMIFS(CashBook!$G$5:INDEX(CashBook!$G$5:$G$3004,TxRows),CashBook!$D$5:INDEX(CashBook!$D$5:$D$3004,TxRows),$A46,CashBook!$C$5:INDEX(CashBook!$C$5:$C$3004,TxRows),"Receipt"))</f>
        <v/>
      </c>
      <c r="L46" s="61" t="str">
        <f aca="false">IF($A46="","",SUMIFS(Purchases!$P$5:INDEX(Purchases!$P$5:$P$3004,TxRows),Purchases!$C$5:INDEX(Purchases!$C$5:$C$3004,TxRows),$A46)-SUMIFS(Purchases!$S$5:INDEX(Purchases!$S$5:$S$3004,TxRows),Purchases!$C$5:INDEX(Purchases!$C$5:$C$3004,TxRows),$A46))</f>
        <v/>
      </c>
      <c r="M46" s="61" t="str">
        <f aca="false">IF($A46="","",SUMIFS(CashBook!$G$5:INDEX(CashBook!$G$5:$G$3004,TxRows),CashBook!$D$5:INDEX(CashBook!$D$5:$D$3004,TxRows),$A46,CashBook!$C$5:INDEX(CashBook!$C$5:$C$3004,TxRows),"Payment"))</f>
        <v/>
      </c>
      <c r="N46" s="61" t="str">
        <f aca="false">IF($A46="","",N($I46)+J46-K46-L46+M46)</f>
        <v/>
      </c>
      <c r="O46" s="60" t="str">
        <f aca="false">IF($A46="","",IF(ROUND(N46,2)&gt;0,"Receivable",IF(ROUND(N46,2)&lt;0,"Payable","Settled")))</f>
        <v/>
      </c>
      <c r="P46" s="66" t="str">
        <f aca="false">IF($A46="","",IFERROR(SUMPRODUCT(MAX((Sales!$C$5:INDEX(Sales!$C$5:$C$3004,TxRows)=$A46)*Sales!$A$5:INDEX(Sales!$A$5:$A$3004,TxRows))),0))</f>
        <v/>
      </c>
      <c r="Q46" s="66" t="str">
        <f aca="false">IF($A46="","",IFERROR(SUMPRODUCT(MAX((CashBook!$D$5:INDEX(CashBook!$D$5:$D$3004,TxRows)=$A46)*(CashBook!$C$5:INDEX(CashBook!$C$5:$C$3004,TxRows)="Receipt")*CashBook!$A$5:INDEX(CashBook!$A$5:$A$3004,TxRows))),0))</f>
        <v/>
      </c>
      <c r="R46" s="67" t="str">
        <f aca="false">IF($A46="","",IF(ROUND(N46,2)&lt;=0,"",AsOf-IF(N(Q46)&gt;0,Q46,IF(N(P46)&gt;0,P46,FYStart))))</f>
        <v/>
      </c>
      <c r="S46" s="60" t="str">
        <f aca="false">IF($A46="","",IF(AND(N($G46)&gt;0,N46&gt;N($G46)),"OVER LIMIT",IF(AND(N46&gt;0,N(R46)&gt;N($H46)),"OVERDUE",IF(ROUND(N46,2)&lt;0,"PAY DUE",""))))</f>
        <v/>
      </c>
    </row>
    <row r="47" customFormat="false" ht="15" hidden="false" customHeight="false" outlineLevel="0" collapsed="false">
      <c r="A47" s="56"/>
      <c r="B47" s="56"/>
      <c r="C47" s="56"/>
      <c r="D47" s="56"/>
      <c r="E47" s="56"/>
      <c r="F47" s="56"/>
      <c r="G47" s="68"/>
      <c r="H47" s="69"/>
      <c r="I47" s="58"/>
      <c r="J47" s="61" t="str">
        <f aca="false">IF($A47="","",SUMIFS(Sales!$Q$5:INDEX(Sales!$Q$5:$Q$3004,TxRows),Sales!$C$5:INDEX(Sales!$C$5:$C$3004,TxRows),$A47)-SUMIFS(Sales!$X$5:INDEX(Sales!$X$5:$X$3004,TxRows),Sales!$C$5:INDEX(Sales!$C$5:$C$3004,TxRows),$A47))</f>
        <v/>
      </c>
      <c r="K47" s="61" t="str">
        <f aca="false">IF($A47="","",SUMIFS(CashBook!$G$5:INDEX(CashBook!$G$5:$G$3004,TxRows),CashBook!$D$5:INDEX(CashBook!$D$5:$D$3004,TxRows),$A47,CashBook!$C$5:INDEX(CashBook!$C$5:$C$3004,TxRows),"Receipt"))</f>
        <v/>
      </c>
      <c r="L47" s="61" t="str">
        <f aca="false">IF($A47="","",SUMIFS(Purchases!$P$5:INDEX(Purchases!$P$5:$P$3004,TxRows),Purchases!$C$5:INDEX(Purchases!$C$5:$C$3004,TxRows),$A47)-SUMIFS(Purchases!$S$5:INDEX(Purchases!$S$5:$S$3004,TxRows),Purchases!$C$5:INDEX(Purchases!$C$5:$C$3004,TxRows),$A47))</f>
        <v/>
      </c>
      <c r="M47" s="61" t="str">
        <f aca="false">IF($A47="","",SUMIFS(CashBook!$G$5:INDEX(CashBook!$G$5:$G$3004,TxRows),CashBook!$D$5:INDEX(CashBook!$D$5:$D$3004,TxRows),$A47,CashBook!$C$5:INDEX(CashBook!$C$5:$C$3004,TxRows),"Payment"))</f>
        <v/>
      </c>
      <c r="N47" s="61" t="str">
        <f aca="false">IF($A47="","",N($I47)+J47-K47-L47+M47)</f>
        <v/>
      </c>
      <c r="O47" s="60" t="str">
        <f aca="false">IF($A47="","",IF(ROUND(N47,2)&gt;0,"Receivable",IF(ROUND(N47,2)&lt;0,"Payable","Settled")))</f>
        <v/>
      </c>
      <c r="P47" s="66" t="str">
        <f aca="false">IF($A47="","",IFERROR(SUMPRODUCT(MAX((Sales!$C$5:INDEX(Sales!$C$5:$C$3004,TxRows)=$A47)*Sales!$A$5:INDEX(Sales!$A$5:$A$3004,TxRows))),0))</f>
        <v/>
      </c>
      <c r="Q47" s="66" t="str">
        <f aca="false">IF($A47="","",IFERROR(SUMPRODUCT(MAX((CashBook!$D$5:INDEX(CashBook!$D$5:$D$3004,TxRows)=$A47)*(CashBook!$C$5:INDEX(CashBook!$C$5:$C$3004,TxRows)="Receipt")*CashBook!$A$5:INDEX(CashBook!$A$5:$A$3004,TxRows))),0))</f>
        <v/>
      </c>
      <c r="R47" s="67" t="str">
        <f aca="false">IF($A47="","",IF(ROUND(N47,2)&lt;=0,"",AsOf-IF(N(Q47)&gt;0,Q47,IF(N(P47)&gt;0,P47,FYStart))))</f>
        <v/>
      </c>
      <c r="S47" s="60" t="str">
        <f aca="false">IF($A47="","",IF(AND(N($G47)&gt;0,N47&gt;N($G47)),"OVER LIMIT",IF(AND(N47&gt;0,N(R47)&gt;N($H47)),"OVERDUE",IF(ROUND(N47,2)&lt;0,"PAY DUE",""))))</f>
        <v/>
      </c>
    </row>
    <row r="48" customFormat="false" ht="15" hidden="false" customHeight="false" outlineLevel="0" collapsed="false">
      <c r="A48" s="56"/>
      <c r="B48" s="56"/>
      <c r="C48" s="56"/>
      <c r="D48" s="56"/>
      <c r="E48" s="56"/>
      <c r="F48" s="56"/>
      <c r="G48" s="68"/>
      <c r="H48" s="69"/>
      <c r="I48" s="58"/>
      <c r="J48" s="61" t="str">
        <f aca="false">IF($A48="","",SUMIFS(Sales!$Q$5:INDEX(Sales!$Q$5:$Q$3004,TxRows),Sales!$C$5:INDEX(Sales!$C$5:$C$3004,TxRows),$A48)-SUMIFS(Sales!$X$5:INDEX(Sales!$X$5:$X$3004,TxRows),Sales!$C$5:INDEX(Sales!$C$5:$C$3004,TxRows),$A48))</f>
        <v/>
      </c>
      <c r="K48" s="61" t="str">
        <f aca="false">IF($A48="","",SUMIFS(CashBook!$G$5:INDEX(CashBook!$G$5:$G$3004,TxRows),CashBook!$D$5:INDEX(CashBook!$D$5:$D$3004,TxRows),$A48,CashBook!$C$5:INDEX(CashBook!$C$5:$C$3004,TxRows),"Receipt"))</f>
        <v/>
      </c>
      <c r="L48" s="61" t="str">
        <f aca="false">IF($A48="","",SUMIFS(Purchases!$P$5:INDEX(Purchases!$P$5:$P$3004,TxRows),Purchases!$C$5:INDEX(Purchases!$C$5:$C$3004,TxRows),$A48)-SUMIFS(Purchases!$S$5:INDEX(Purchases!$S$5:$S$3004,TxRows),Purchases!$C$5:INDEX(Purchases!$C$5:$C$3004,TxRows),$A48))</f>
        <v/>
      </c>
      <c r="M48" s="61" t="str">
        <f aca="false">IF($A48="","",SUMIFS(CashBook!$G$5:INDEX(CashBook!$G$5:$G$3004,TxRows),CashBook!$D$5:INDEX(CashBook!$D$5:$D$3004,TxRows),$A48,CashBook!$C$5:INDEX(CashBook!$C$5:$C$3004,TxRows),"Payment"))</f>
        <v/>
      </c>
      <c r="N48" s="61" t="str">
        <f aca="false">IF($A48="","",N($I48)+J48-K48-L48+M48)</f>
        <v/>
      </c>
      <c r="O48" s="60" t="str">
        <f aca="false">IF($A48="","",IF(ROUND(N48,2)&gt;0,"Receivable",IF(ROUND(N48,2)&lt;0,"Payable","Settled")))</f>
        <v/>
      </c>
      <c r="P48" s="66" t="str">
        <f aca="false">IF($A48="","",IFERROR(SUMPRODUCT(MAX((Sales!$C$5:INDEX(Sales!$C$5:$C$3004,TxRows)=$A48)*Sales!$A$5:INDEX(Sales!$A$5:$A$3004,TxRows))),0))</f>
        <v/>
      </c>
      <c r="Q48" s="66" t="str">
        <f aca="false">IF($A48="","",IFERROR(SUMPRODUCT(MAX((CashBook!$D$5:INDEX(CashBook!$D$5:$D$3004,TxRows)=$A48)*(CashBook!$C$5:INDEX(CashBook!$C$5:$C$3004,TxRows)="Receipt")*CashBook!$A$5:INDEX(CashBook!$A$5:$A$3004,TxRows))),0))</f>
        <v/>
      </c>
      <c r="R48" s="67" t="str">
        <f aca="false">IF($A48="","",IF(ROUND(N48,2)&lt;=0,"",AsOf-IF(N(Q48)&gt;0,Q48,IF(N(P48)&gt;0,P48,FYStart))))</f>
        <v/>
      </c>
      <c r="S48" s="60" t="str">
        <f aca="false">IF($A48="","",IF(AND(N($G48)&gt;0,N48&gt;N($G48)),"OVER LIMIT",IF(AND(N48&gt;0,N(R48)&gt;N($H48)),"OVERDUE",IF(ROUND(N48,2)&lt;0,"PAY DUE",""))))</f>
        <v/>
      </c>
    </row>
    <row r="49" customFormat="false" ht="15" hidden="false" customHeight="false" outlineLevel="0" collapsed="false">
      <c r="A49" s="56"/>
      <c r="B49" s="56"/>
      <c r="C49" s="56"/>
      <c r="D49" s="56"/>
      <c r="E49" s="56"/>
      <c r="F49" s="56"/>
      <c r="G49" s="68"/>
      <c r="H49" s="69"/>
      <c r="I49" s="58"/>
      <c r="J49" s="61" t="str">
        <f aca="false">IF($A49="","",SUMIFS(Sales!$Q$5:INDEX(Sales!$Q$5:$Q$3004,TxRows),Sales!$C$5:INDEX(Sales!$C$5:$C$3004,TxRows),$A49)-SUMIFS(Sales!$X$5:INDEX(Sales!$X$5:$X$3004,TxRows),Sales!$C$5:INDEX(Sales!$C$5:$C$3004,TxRows),$A49))</f>
        <v/>
      </c>
      <c r="K49" s="61" t="str">
        <f aca="false">IF($A49="","",SUMIFS(CashBook!$G$5:INDEX(CashBook!$G$5:$G$3004,TxRows),CashBook!$D$5:INDEX(CashBook!$D$5:$D$3004,TxRows),$A49,CashBook!$C$5:INDEX(CashBook!$C$5:$C$3004,TxRows),"Receipt"))</f>
        <v/>
      </c>
      <c r="L49" s="61" t="str">
        <f aca="false">IF($A49="","",SUMIFS(Purchases!$P$5:INDEX(Purchases!$P$5:$P$3004,TxRows),Purchases!$C$5:INDEX(Purchases!$C$5:$C$3004,TxRows),$A49)-SUMIFS(Purchases!$S$5:INDEX(Purchases!$S$5:$S$3004,TxRows),Purchases!$C$5:INDEX(Purchases!$C$5:$C$3004,TxRows),$A49))</f>
        <v/>
      </c>
      <c r="M49" s="61" t="str">
        <f aca="false">IF($A49="","",SUMIFS(CashBook!$G$5:INDEX(CashBook!$G$5:$G$3004,TxRows),CashBook!$D$5:INDEX(CashBook!$D$5:$D$3004,TxRows),$A49,CashBook!$C$5:INDEX(CashBook!$C$5:$C$3004,TxRows),"Payment"))</f>
        <v/>
      </c>
      <c r="N49" s="61" t="str">
        <f aca="false">IF($A49="","",N($I49)+J49-K49-L49+M49)</f>
        <v/>
      </c>
      <c r="O49" s="60" t="str">
        <f aca="false">IF($A49="","",IF(ROUND(N49,2)&gt;0,"Receivable",IF(ROUND(N49,2)&lt;0,"Payable","Settled")))</f>
        <v/>
      </c>
      <c r="P49" s="66" t="str">
        <f aca="false">IF($A49="","",IFERROR(SUMPRODUCT(MAX((Sales!$C$5:INDEX(Sales!$C$5:$C$3004,TxRows)=$A49)*Sales!$A$5:INDEX(Sales!$A$5:$A$3004,TxRows))),0))</f>
        <v/>
      </c>
      <c r="Q49" s="66" t="str">
        <f aca="false">IF($A49="","",IFERROR(SUMPRODUCT(MAX((CashBook!$D$5:INDEX(CashBook!$D$5:$D$3004,TxRows)=$A49)*(CashBook!$C$5:INDEX(CashBook!$C$5:$C$3004,TxRows)="Receipt")*CashBook!$A$5:INDEX(CashBook!$A$5:$A$3004,TxRows))),0))</f>
        <v/>
      </c>
      <c r="R49" s="67" t="str">
        <f aca="false">IF($A49="","",IF(ROUND(N49,2)&lt;=0,"",AsOf-IF(N(Q49)&gt;0,Q49,IF(N(P49)&gt;0,P49,FYStart))))</f>
        <v/>
      </c>
      <c r="S49" s="60" t="str">
        <f aca="false">IF($A49="","",IF(AND(N($G49)&gt;0,N49&gt;N($G49)),"OVER LIMIT",IF(AND(N49&gt;0,N(R49)&gt;N($H49)),"OVERDUE",IF(ROUND(N49,2)&lt;0,"PAY DUE",""))))</f>
        <v/>
      </c>
    </row>
    <row r="50" customFormat="false" ht="15" hidden="false" customHeight="false" outlineLevel="0" collapsed="false">
      <c r="A50" s="56"/>
      <c r="B50" s="56"/>
      <c r="C50" s="56"/>
      <c r="D50" s="56"/>
      <c r="E50" s="56"/>
      <c r="F50" s="56"/>
      <c r="G50" s="68"/>
      <c r="H50" s="69"/>
      <c r="I50" s="58"/>
      <c r="J50" s="61" t="str">
        <f aca="false">IF($A50="","",SUMIFS(Sales!$Q$5:INDEX(Sales!$Q$5:$Q$3004,TxRows),Sales!$C$5:INDEX(Sales!$C$5:$C$3004,TxRows),$A50)-SUMIFS(Sales!$X$5:INDEX(Sales!$X$5:$X$3004,TxRows),Sales!$C$5:INDEX(Sales!$C$5:$C$3004,TxRows),$A50))</f>
        <v/>
      </c>
      <c r="K50" s="61" t="str">
        <f aca="false">IF($A50="","",SUMIFS(CashBook!$G$5:INDEX(CashBook!$G$5:$G$3004,TxRows),CashBook!$D$5:INDEX(CashBook!$D$5:$D$3004,TxRows),$A50,CashBook!$C$5:INDEX(CashBook!$C$5:$C$3004,TxRows),"Receipt"))</f>
        <v/>
      </c>
      <c r="L50" s="61" t="str">
        <f aca="false">IF($A50="","",SUMIFS(Purchases!$P$5:INDEX(Purchases!$P$5:$P$3004,TxRows),Purchases!$C$5:INDEX(Purchases!$C$5:$C$3004,TxRows),$A50)-SUMIFS(Purchases!$S$5:INDEX(Purchases!$S$5:$S$3004,TxRows),Purchases!$C$5:INDEX(Purchases!$C$5:$C$3004,TxRows),$A50))</f>
        <v/>
      </c>
      <c r="M50" s="61" t="str">
        <f aca="false">IF($A50="","",SUMIFS(CashBook!$G$5:INDEX(CashBook!$G$5:$G$3004,TxRows),CashBook!$D$5:INDEX(CashBook!$D$5:$D$3004,TxRows),$A50,CashBook!$C$5:INDEX(CashBook!$C$5:$C$3004,TxRows),"Payment"))</f>
        <v/>
      </c>
      <c r="N50" s="61" t="str">
        <f aca="false">IF($A50="","",N($I50)+J50-K50-L50+M50)</f>
        <v/>
      </c>
      <c r="O50" s="60" t="str">
        <f aca="false">IF($A50="","",IF(ROUND(N50,2)&gt;0,"Receivable",IF(ROUND(N50,2)&lt;0,"Payable","Settled")))</f>
        <v/>
      </c>
      <c r="P50" s="66" t="str">
        <f aca="false">IF($A50="","",IFERROR(SUMPRODUCT(MAX((Sales!$C$5:INDEX(Sales!$C$5:$C$3004,TxRows)=$A50)*Sales!$A$5:INDEX(Sales!$A$5:$A$3004,TxRows))),0))</f>
        <v/>
      </c>
      <c r="Q50" s="66" t="str">
        <f aca="false">IF($A50="","",IFERROR(SUMPRODUCT(MAX((CashBook!$D$5:INDEX(CashBook!$D$5:$D$3004,TxRows)=$A50)*(CashBook!$C$5:INDEX(CashBook!$C$5:$C$3004,TxRows)="Receipt")*CashBook!$A$5:INDEX(CashBook!$A$5:$A$3004,TxRows))),0))</f>
        <v/>
      </c>
      <c r="R50" s="67" t="str">
        <f aca="false">IF($A50="","",IF(ROUND(N50,2)&lt;=0,"",AsOf-IF(N(Q50)&gt;0,Q50,IF(N(P50)&gt;0,P50,FYStart))))</f>
        <v/>
      </c>
      <c r="S50" s="60" t="str">
        <f aca="false">IF($A50="","",IF(AND(N($G50)&gt;0,N50&gt;N($G50)),"OVER LIMIT",IF(AND(N50&gt;0,N(R50)&gt;N($H50)),"OVERDUE",IF(ROUND(N50,2)&lt;0,"PAY DUE",""))))</f>
        <v/>
      </c>
    </row>
    <row r="51" customFormat="false" ht="15" hidden="false" customHeight="false" outlineLevel="0" collapsed="false">
      <c r="A51" s="56"/>
      <c r="B51" s="56"/>
      <c r="C51" s="56"/>
      <c r="D51" s="56"/>
      <c r="E51" s="56"/>
      <c r="F51" s="56"/>
      <c r="G51" s="68"/>
      <c r="H51" s="69"/>
      <c r="I51" s="58"/>
      <c r="J51" s="61" t="str">
        <f aca="false">IF($A51="","",SUMIFS(Sales!$Q$5:INDEX(Sales!$Q$5:$Q$3004,TxRows),Sales!$C$5:INDEX(Sales!$C$5:$C$3004,TxRows),$A51)-SUMIFS(Sales!$X$5:INDEX(Sales!$X$5:$X$3004,TxRows),Sales!$C$5:INDEX(Sales!$C$5:$C$3004,TxRows),$A51))</f>
        <v/>
      </c>
      <c r="K51" s="61" t="str">
        <f aca="false">IF($A51="","",SUMIFS(CashBook!$G$5:INDEX(CashBook!$G$5:$G$3004,TxRows),CashBook!$D$5:INDEX(CashBook!$D$5:$D$3004,TxRows),$A51,CashBook!$C$5:INDEX(CashBook!$C$5:$C$3004,TxRows),"Receipt"))</f>
        <v/>
      </c>
      <c r="L51" s="61" t="str">
        <f aca="false">IF($A51="","",SUMIFS(Purchases!$P$5:INDEX(Purchases!$P$5:$P$3004,TxRows),Purchases!$C$5:INDEX(Purchases!$C$5:$C$3004,TxRows),$A51)-SUMIFS(Purchases!$S$5:INDEX(Purchases!$S$5:$S$3004,TxRows),Purchases!$C$5:INDEX(Purchases!$C$5:$C$3004,TxRows),$A51))</f>
        <v/>
      </c>
      <c r="M51" s="61" t="str">
        <f aca="false">IF($A51="","",SUMIFS(CashBook!$G$5:INDEX(CashBook!$G$5:$G$3004,TxRows),CashBook!$D$5:INDEX(CashBook!$D$5:$D$3004,TxRows),$A51,CashBook!$C$5:INDEX(CashBook!$C$5:$C$3004,TxRows),"Payment"))</f>
        <v/>
      </c>
      <c r="N51" s="61" t="str">
        <f aca="false">IF($A51="","",N($I51)+J51-K51-L51+M51)</f>
        <v/>
      </c>
      <c r="O51" s="60" t="str">
        <f aca="false">IF($A51="","",IF(ROUND(N51,2)&gt;0,"Receivable",IF(ROUND(N51,2)&lt;0,"Payable","Settled")))</f>
        <v/>
      </c>
      <c r="P51" s="66" t="str">
        <f aca="false">IF($A51="","",IFERROR(SUMPRODUCT(MAX((Sales!$C$5:INDEX(Sales!$C$5:$C$3004,TxRows)=$A51)*Sales!$A$5:INDEX(Sales!$A$5:$A$3004,TxRows))),0))</f>
        <v/>
      </c>
      <c r="Q51" s="66" t="str">
        <f aca="false">IF($A51="","",IFERROR(SUMPRODUCT(MAX((CashBook!$D$5:INDEX(CashBook!$D$5:$D$3004,TxRows)=$A51)*(CashBook!$C$5:INDEX(CashBook!$C$5:$C$3004,TxRows)="Receipt")*CashBook!$A$5:INDEX(CashBook!$A$5:$A$3004,TxRows))),0))</f>
        <v/>
      </c>
      <c r="R51" s="67" t="str">
        <f aca="false">IF($A51="","",IF(ROUND(N51,2)&lt;=0,"",AsOf-IF(N(Q51)&gt;0,Q51,IF(N(P51)&gt;0,P51,FYStart))))</f>
        <v/>
      </c>
      <c r="S51" s="60" t="str">
        <f aca="false">IF($A51="","",IF(AND(N($G51)&gt;0,N51&gt;N($G51)),"OVER LIMIT",IF(AND(N51&gt;0,N(R51)&gt;N($H51)),"OVERDUE",IF(ROUND(N51,2)&lt;0,"PAY DUE",""))))</f>
        <v/>
      </c>
    </row>
    <row r="52" customFormat="false" ht="15" hidden="false" customHeight="false" outlineLevel="0" collapsed="false">
      <c r="A52" s="56"/>
      <c r="B52" s="56"/>
      <c r="C52" s="56"/>
      <c r="D52" s="56"/>
      <c r="E52" s="56"/>
      <c r="F52" s="56"/>
      <c r="G52" s="68"/>
      <c r="H52" s="69"/>
      <c r="I52" s="58"/>
      <c r="J52" s="61" t="str">
        <f aca="false">IF($A52="","",SUMIFS(Sales!$Q$5:INDEX(Sales!$Q$5:$Q$3004,TxRows),Sales!$C$5:INDEX(Sales!$C$5:$C$3004,TxRows),$A52)-SUMIFS(Sales!$X$5:INDEX(Sales!$X$5:$X$3004,TxRows),Sales!$C$5:INDEX(Sales!$C$5:$C$3004,TxRows),$A52))</f>
        <v/>
      </c>
      <c r="K52" s="61" t="str">
        <f aca="false">IF($A52="","",SUMIFS(CashBook!$G$5:INDEX(CashBook!$G$5:$G$3004,TxRows),CashBook!$D$5:INDEX(CashBook!$D$5:$D$3004,TxRows),$A52,CashBook!$C$5:INDEX(CashBook!$C$5:$C$3004,TxRows),"Receipt"))</f>
        <v/>
      </c>
      <c r="L52" s="61" t="str">
        <f aca="false">IF($A52="","",SUMIFS(Purchases!$P$5:INDEX(Purchases!$P$5:$P$3004,TxRows),Purchases!$C$5:INDEX(Purchases!$C$5:$C$3004,TxRows),$A52)-SUMIFS(Purchases!$S$5:INDEX(Purchases!$S$5:$S$3004,TxRows),Purchases!$C$5:INDEX(Purchases!$C$5:$C$3004,TxRows),$A52))</f>
        <v/>
      </c>
      <c r="M52" s="61" t="str">
        <f aca="false">IF($A52="","",SUMIFS(CashBook!$G$5:INDEX(CashBook!$G$5:$G$3004,TxRows),CashBook!$D$5:INDEX(CashBook!$D$5:$D$3004,TxRows),$A52,CashBook!$C$5:INDEX(CashBook!$C$5:$C$3004,TxRows),"Payment"))</f>
        <v/>
      </c>
      <c r="N52" s="61" t="str">
        <f aca="false">IF($A52="","",N($I52)+J52-K52-L52+M52)</f>
        <v/>
      </c>
      <c r="O52" s="60" t="str">
        <f aca="false">IF($A52="","",IF(ROUND(N52,2)&gt;0,"Receivable",IF(ROUND(N52,2)&lt;0,"Payable","Settled")))</f>
        <v/>
      </c>
      <c r="P52" s="66" t="str">
        <f aca="false">IF($A52="","",IFERROR(SUMPRODUCT(MAX((Sales!$C$5:INDEX(Sales!$C$5:$C$3004,TxRows)=$A52)*Sales!$A$5:INDEX(Sales!$A$5:$A$3004,TxRows))),0))</f>
        <v/>
      </c>
      <c r="Q52" s="66" t="str">
        <f aca="false">IF($A52="","",IFERROR(SUMPRODUCT(MAX((CashBook!$D$5:INDEX(CashBook!$D$5:$D$3004,TxRows)=$A52)*(CashBook!$C$5:INDEX(CashBook!$C$5:$C$3004,TxRows)="Receipt")*CashBook!$A$5:INDEX(CashBook!$A$5:$A$3004,TxRows))),0))</f>
        <v/>
      </c>
      <c r="R52" s="67" t="str">
        <f aca="false">IF($A52="","",IF(ROUND(N52,2)&lt;=0,"",AsOf-IF(N(Q52)&gt;0,Q52,IF(N(P52)&gt;0,P52,FYStart))))</f>
        <v/>
      </c>
      <c r="S52" s="60" t="str">
        <f aca="false">IF($A52="","",IF(AND(N($G52)&gt;0,N52&gt;N($G52)),"OVER LIMIT",IF(AND(N52&gt;0,N(R52)&gt;N($H52)),"OVERDUE",IF(ROUND(N52,2)&lt;0,"PAY DUE",""))))</f>
        <v/>
      </c>
    </row>
    <row r="53" customFormat="false" ht="15" hidden="false" customHeight="false" outlineLevel="0" collapsed="false">
      <c r="A53" s="56"/>
      <c r="B53" s="56"/>
      <c r="C53" s="56"/>
      <c r="D53" s="56"/>
      <c r="E53" s="56"/>
      <c r="F53" s="56"/>
      <c r="G53" s="68"/>
      <c r="H53" s="69"/>
      <c r="I53" s="58"/>
      <c r="J53" s="61" t="str">
        <f aca="false">IF($A53="","",SUMIFS(Sales!$Q$5:INDEX(Sales!$Q$5:$Q$3004,TxRows),Sales!$C$5:INDEX(Sales!$C$5:$C$3004,TxRows),$A53)-SUMIFS(Sales!$X$5:INDEX(Sales!$X$5:$X$3004,TxRows),Sales!$C$5:INDEX(Sales!$C$5:$C$3004,TxRows),$A53))</f>
        <v/>
      </c>
      <c r="K53" s="61" t="str">
        <f aca="false">IF($A53="","",SUMIFS(CashBook!$G$5:INDEX(CashBook!$G$5:$G$3004,TxRows),CashBook!$D$5:INDEX(CashBook!$D$5:$D$3004,TxRows),$A53,CashBook!$C$5:INDEX(CashBook!$C$5:$C$3004,TxRows),"Receipt"))</f>
        <v/>
      </c>
      <c r="L53" s="61" t="str">
        <f aca="false">IF($A53="","",SUMIFS(Purchases!$P$5:INDEX(Purchases!$P$5:$P$3004,TxRows),Purchases!$C$5:INDEX(Purchases!$C$5:$C$3004,TxRows),$A53)-SUMIFS(Purchases!$S$5:INDEX(Purchases!$S$5:$S$3004,TxRows),Purchases!$C$5:INDEX(Purchases!$C$5:$C$3004,TxRows),$A53))</f>
        <v/>
      </c>
      <c r="M53" s="61" t="str">
        <f aca="false">IF($A53="","",SUMIFS(CashBook!$G$5:INDEX(CashBook!$G$5:$G$3004,TxRows),CashBook!$D$5:INDEX(CashBook!$D$5:$D$3004,TxRows),$A53,CashBook!$C$5:INDEX(CashBook!$C$5:$C$3004,TxRows),"Payment"))</f>
        <v/>
      </c>
      <c r="N53" s="61" t="str">
        <f aca="false">IF($A53="","",N($I53)+J53-K53-L53+M53)</f>
        <v/>
      </c>
      <c r="O53" s="60" t="str">
        <f aca="false">IF($A53="","",IF(ROUND(N53,2)&gt;0,"Receivable",IF(ROUND(N53,2)&lt;0,"Payable","Settled")))</f>
        <v/>
      </c>
      <c r="P53" s="66" t="str">
        <f aca="false">IF($A53="","",IFERROR(SUMPRODUCT(MAX((Sales!$C$5:INDEX(Sales!$C$5:$C$3004,TxRows)=$A53)*Sales!$A$5:INDEX(Sales!$A$5:$A$3004,TxRows))),0))</f>
        <v/>
      </c>
      <c r="Q53" s="66" t="str">
        <f aca="false">IF($A53="","",IFERROR(SUMPRODUCT(MAX((CashBook!$D$5:INDEX(CashBook!$D$5:$D$3004,TxRows)=$A53)*(CashBook!$C$5:INDEX(CashBook!$C$5:$C$3004,TxRows)="Receipt")*CashBook!$A$5:INDEX(CashBook!$A$5:$A$3004,TxRows))),0))</f>
        <v/>
      </c>
      <c r="R53" s="67" t="str">
        <f aca="false">IF($A53="","",IF(ROUND(N53,2)&lt;=0,"",AsOf-IF(N(Q53)&gt;0,Q53,IF(N(P53)&gt;0,P53,FYStart))))</f>
        <v/>
      </c>
      <c r="S53" s="60" t="str">
        <f aca="false">IF($A53="","",IF(AND(N($G53)&gt;0,N53&gt;N($G53)),"OVER LIMIT",IF(AND(N53&gt;0,N(R53)&gt;N($H53)),"OVERDUE",IF(ROUND(N53,2)&lt;0,"PAY DUE",""))))</f>
        <v/>
      </c>
    </row>
    <row r="54" customFormat="false" ht="15" hidden="false" customHeight="false" outlineLevel="0" collapsed="false">
      <c r="A54" s="56"/>
      <c r="B54" s="56"/>
      <c r="C54" s="56"/>
      <c r="D54" s="56"/>
      <c r="E54" s="56"/>
      <c r="F54" s="56"/>
      <c r="G54" s="68"/>
      <c r="H54" s="69"/>
      <c r="I54" s="58"/>
      <c r="J54" s="61" t="str">
        <f aca="false">IF($A54="","",SUMIFS(Sales!$Q$5:INDEX(Sales!$Q$5:$Q$3004,TxRows),Sales!$C$5:INDEX(Sales!$C$5:$C$3004,TxRows),$A54)-SUMIFS(Sales!$X$5:INDEX(Sales!$X$5:$X$3004,TxRows),Sales!$C$5:INDEX(Sales!$C$5:$C$3004,TxRows),$A54))</f>
        <v/>
      </c>
      <c r="K54" s="61" t="str">
        <f aca="false">IF($A54="","",SUMIFS(CashBook!$G$5:INDEX(CashBook!$G$5:$G$3004,TxRows),CashBook!$D$5:INDEX(CashBook!$D$5:$D$3004,TxRows),$A54,CashBook!$C$5:INDEX(CashBook!$C$5:$C$3004,TxRows),"Receipt"))</f>
        <v/>
      </c>
      <c r="L54" s="61" t="str">
        <f aca="false">IF($A54="","",SUMIFS(Purchases!$P$5:INDEX(Purchases!$P$5:$P$3004,TxRows),Purchases!$C$5:INDEX(Purchases!$C$5:$C$3004,TxRows),$A54)-SUMIFS(Purchases!$S$5:INDEX(Purchases!$S$5:$S$3004,TxRows),Purchases!$C$5:INDEX(Purchases!$C$5:$C$3004,TxRows),$A54))</f>
        <v/>
      </c>
      <c r="M54" s="61" t="str">
        <f aca="false">IF($A54="","",SUMIFS(CashBook!$G$5:INDEX(CashBook!$G$5:$G$3004,TxRows),CashBook!$D$5:INDEX(CashBook!$D$5:$D$3004,TxRows),$A54,CashBook!$C$5:INDEX(CashBook!$C$5:$C$3004,TxRows),"Payment"))</f>
        <v/>
      </c>
      <c r="N54" s="61" t="str">
        <f aca="false">IF($A54="","",N($I54)+J54-K54-L54+M54)</f>
        <v/>
      </c>
      <c r="O54" s="60" t="str">
        <f aca="false">IF($A54="","",IF(ROUND(N54,2)&gt;0,"Receivable",IF(ROUND(N54,2)&lt;0,"Payable","Settled")))</f>
        <v/>
      </c>
      <c r="P54" s="66" t="str">
        <f aca="false">IF($A54="","",IFERROR(SUMPRODUCT(MAX((Sales!$C$5:INDEX(Sales!$C$5:$C$3004,TxRows)=$A54)*Sales!$A$5:INDEX(Sales!$A$5:$A$3004,TxRows))),0))</f>
        <v/>
      </c>
      <c r="Q54" s="66" t="str">
        <f aca="false">IF($A54="","",IFERROR(SUMPRODUCT(MAX((CashBook!$D$5:INDEX(CashBook!$D$5:$D$3004,TxRows)=$A54)*(CashBook!$C$5:INDEX(CashBook!$C$5:$C$3004,TxRows)="Receipt")*CashBook!$A$5:INDEX(CashBook!$A$5:$A$3004,TxRows))),0))</f>
        <v/>
      </c>
      <c r="R54" s="67" t="str">
        <f aca="false">IF($A54="","",IF(ROUND(N54,2)&lt;=0,"",AsOf-IF(N(Q54)&gt;0,Q54,IF(N(P54)&gt;0,P54,FYStart))))</f>
        <v/>
      </c>
      <c r="S54" s="60" t="str">
        <f aca="false">IF($A54="","",IF(AND(N($G54)&gt;0,N54&gt;N($G54)),"OVER LIMIT",IF(AND(N54&gt;0,N(R54)&gt;N($H54)),"OVERDUE",IF(ROUND(N54,2)&lt;0,"PAY DUE",""))))</f>
        <v/>
      </c>
    </row>
    <row r="55" customFormat="false" ht="15" hidden="false" customHeight="false" outlineLevel="0" collapsed="false">
      <c r="A55" s="56"/>
      <c r="B55" s="56"/>
      <c r="C55" s="56"/>
      <c r="D55" s="56"/>
      <c r="E55" s="56"/>
      <c r="F55" s="56"/>
      <c r="G55" s="68"/>
      <c r="H55" s="69"/>
      <c r="I55" s="58"/>
      <c r="J55" s="61" t="str">
        <f aca="false">IF($A55="","",SUMIFS(Sales!$Q$5:INDEX(Sales!$Q$5:$Q$3004,TxRows),Sales!$C$5:INDEX(Sales!$C$5:$C$3004,TxRows),$A55)-SUMIFS(Sales!$X$5:INDEX(Sales!$X$5:$X$3004,TxRows),Sales!$C$5:INDEX(Sales!$C$5:$C$3004,TxRows),$A55))</f>
        <v/>
      </c>
      <c r="K55" s="61" t="str">
        <f aca="false">IF($A55="","",SUMIFS(CashBook!$G$5:INDEX(CashBook!$G$5:$G$3004,TxRows),CashBook!$D$5:INDEX(CashBook!$D$5:$D$3004,TxRows),$A55,CashBook!$C$5:INDEX(CashBook!$C$5:$C$3004,TxRows),"Receipt"))</f>
        <v/>
      </c>
      <c r="L55" s="61" t="str">
        <f aca="false">IF($A55="","",SUMIFS(Purchases!$P$5:INDEX(Purchases!$P$5:$P$3004,TxRows),Purchases!$C$5:INDEX(Purchases!$C$5:$C$3004,TxRows),$A55)-SUMIFS(Purchases!$S$5:INDEX(Purchases!$S$5:$S$3004,TxRows),Purchases!$C$5:INDEX(Purchases!$C$5:$C$3004,TxRows),$A55))</f>
        <v/>
      </c>
      <c r="M55" s="61" t="str">
        <f aca="false">IF($A55="","",SUMIFS(CashBook!$G$5:INDEX(CashBook!$G$5:$G$3004,TxRows),CashBook!$D$5:INDEX(CashBook!$D$5:$D$3004,TxRows),$A55,CashBook!$C$5:INDEX(CashBook!$C$5:$C$3004,TxRows),"Payment"))</f>
        <v/>
      </c>
      <c r="N55" s="61" t="str">
        <f aca="false">IF($A55="","",N($I55)+J55-K55-L55+M55)</f>
        <v/>
      </c>
      <c r="O55" s="60" t="str">
        <f aca="false">IF($A55="","",IF(ROUND(N55,2)&gt;0,"Receivable",IF(ROUND(N55,2)&lt;0,"Payable","Settled")))</f>
        <v/>
      </c>
      <c r="P55" s="66" t="str">
        <f aca="false">IF($A55="","",IFERROR(SUMPRODUCT(MAX((Sales!$C$5:INDEX(Sales!$C$5:$C$3004,TxRows)=$A55)*Sales!$A$5:INDEX(Sales!$A$5:$A$3004,TxRows))),0))</f>
        <v/>
      </c>
      <c r="Q55" s="66" t="str">
        <f aca="false">IF($A55="","",IFERROR(SUMPRODUCT(MAX((CashBook!$D$5:INDEX(CashBook!$D$5:$D$3004,TxRows)=$A55)*(CashBook!$C$5:INDEX(CashBook!$C$5:$C$3004,TxRows)="Receipt")*CashBook!$A$5:INDEX(CashBook!$A$5:$A$3004,TxRows))),0))</f>
        <v/>
      </c>
      <c r="R55" s="67" t="str">
        <f aca="false">IF($A55="","",IF(ROUND(N55,2)&lt;=0,"",AsOf-IF(N(Q55)&gt;0,Q55,IF(N(P55)&gt;0,P55,FYStart))))</f>
        <v/>
      </c>
      <c r="S55" s="60" t="str">
        <f aca="false">IF($A55="","",IF(AND(N($G55)&gt;0,N55&gt;N($G55)),"OVER LIMIT",IF(AND(N55&gt;0,N(R55)&gt;N($H55)),"OVERDUE",IF(ROUND(N55,2)&lt;0,"PAY DUE",""))))</f>
        <v/>
      </c>
    </row>
    <row r="56" customFormat="false" ht="15" hidden="false" customHeight="false" outlineLevel="0" collapsed="false">
      <c r="A56" s="56"/>
      <c r="B56" s="56"/>
      <c r="C56" s="56"/>
      <c r="D56" s="56"/>
      <c r="E56" s="56"/>
      <c r="F56" s="56"/>
      <c r="G56" s="68"/>
      <c r="H56" s="69"/>
      <c r="I56" s="58"/>
      <c r="J56" s="61" t="str">
        <f aca="false">IF($A56="","",SUMIFS(Sales!$Q$5:INDEX(Sales!$Q$5:$Q$3004,TxRows),Sales!$C$5:INDEX(Sales!$C$5:$C$3004,TxRows),$A56)-SUMIFS(Sales!$X$5:INDEX(Sales!$X$5:$X$3004,TxRows),Sales!$C$5:INDEX(Sales!$C$5:$C$3004,TxRows),$A56))</f>
        <v/>
      </c>
      <c r="K56" s="61" t="str">
        <f aca="false">IF($A56="","",SUMIFS(CashBook!$G$5:INDEX(CashBook!$G$5:$G$3004,TxRows),CashBook!$D$5:INDEX(CashBook!$D$5:$D$3004,TxRows),$A56,CashBook!$C$5:INDEX(CashBook!$C$5:$C$3004,TxRows),"Receipt"))</f>
        <v/>
      </c>
      <c r="L56" s="61" t="str">
        <f aca="false">IF($A56="","",SUMIFS(Purchases!$P$5:INDEX(Purchases!$P$5:$P$3004,TxRows),Purchases!$C$5:INDEX(Purchases!$C$5:$C$3004,TxRows),$A56)-SUMIFS(Purchases!$S$5:INDEX(Purchases!$S$5:$S$3004,TxRows),Purchases!$C$5:INDEX(Purchases!$C$5:$C$3004,TxRows),$A56))</f>
        <v/>
      </c>
      <c r="M56" s="61" t="str">
        <f aca="false">IF($A56="","",SUMIFS(CashBook!$G$5:INDEX(CashBook!$G$5:$G$3004,TxRows),CashBook!$D$5:INDEX(CashBook!$D$5:$D$3004,TxRows),$A56,CashBook!$C$5:INDEX(CashBook!$C$5:$C$3004,TxRows),"Payment"))</f>
        <v/>
      </c>
      <c r="N56" s="61" t="str">
        <f aca="false">IF($A56="","",N($I56)+J56-K56-L56+M56)</f>
        <v/>
      </c>
      <c r="O56" s="60" t="str">
        <f aca="false">IF($A56="","",IF(ROUND(N56,2)&gt;0,"Receivable",IF(ROUND(N56,2)&lt;0,"Payable","Settled")))</f>
        <v/>
      </c>
      <c r="P56" s="66" t="str">
        <f aca="false">IF($A56="","",IFERROR(SUMPRODUCT(MAX((Sales!$C$5:INDEX(Sales!$C$5:$C$3004,TxRows)=$A56)*Sales!$A$5:INDEX(Sales!$A$5:$A$3004,TxRows))),0))</f>
        <v/>
      </c>
      <c r="Q56" s="66" t="str">
        <f aca="false">IF($A56="","",IFERROR(SUMPRODUCT(MAX((CashBook!$D$5:INDEX(CashBook!$D$5:$D$3004,TxRows)=$A56)*(CashBook!$C$5:INDEX(CashBook!$C$5:$C$3004,TxRows)="Receipt")*CashBook!$A$5:INDEX(CashBook!$A$5:$A$3004,TxRows))),0))</f>
        <v/>
      </c>
      <c r="R56" s="67" t="str">
        <f aca="false">IF($A56="","",IF(ROUND(N56,2)&lt;=0,"",AsOf-IF(N(Q56)&gt;0,Q56,IF(N(P56)&gt;0,P56,FYStart))))</f>
        <v/>
      </c>
      <c r="S56" s="60" t="str">
        <f aca="false">IF($A56="","",IF(AND(N($G56)&gt;0,N56&gt;N($G56)),"OVER LIMIT",IF(AND(N56&gt;0,N(R56)&gt;N($H56)),"OVERDUE",IF(ROUND(N56,2)&lt;0,"PAY DUE",""))))</f>
        <v/>
      </c>
    </row>
    <row r="57" customFormat="false" ht="15" hidden="false" customHeight="false" outlineLevel="0" collapsed="false">
      <c r="A57" s="56"/>
      <c r="B57" s="56"/>
      <c r="C57" s="56"/>
      <c r="D57" s="56"/>
      <c r="E57" s="56"/>
      <c r="F57" s="56"/>
      <c r="G57" s="68"/>
      <c r="H57" s="69"/>
      <c r="I57" s="58"/>
      <c r="J57" s="61" t="str">
        <f aca="false">IF($A57="","",SUMIFS(Sales!$Q$5:INDEX(Sales!$Q$5:$Q$3004,TxRows),Sales!$C$5:INDEX(Sales!$C$5:$C$3004,TxRows),$A57)-SUMIFS(Sales!$X$5:INDEX(Sales!$X$5:$X$3004,TxRows),Sales!$C$5:INDEX(Sales!$C$5:$C$3004,TxRows),$A57))</f>
        <v/>
      </c>
      <c r="K57" s="61" t="str">
        <f aca="false">IF($A57="","",SUMIFS(CashBook!$G$5:INDEX(CashBook!$G$5:$G$3004,TxRows),CashBook!$D$5:INDEX(CashBook!$D$5:$D$3004,TxRows),$A57,CashBook!$C$5:INDEX(CashBook!$C$5:$C$3004,TxRows),"Receipt"))</f>
        <v/>
      </c>
      <c r="L57" s="61" t="str">
        <f aca="false">IF($A57="","",SUMIFS(Purchases!$P$5:INDEX(Purchases!$P$5:$P$3004,TxRows),Purchases!$C$5:INDEX(Purchases!$C$5:$C$3004,TxRows),$A57)-SUMIFS(Purchases!$S$5:INDEX(Purchases!$S$5:$S$3004,TxRows),Purchases!$C$5:INDEX(Purchases!$C$5:$C$3004,TxRows),$A57))</f>
        <v/>
      </c>
      <c r="M57" s="61" t="str">
        <f aca="false">IF($A57="","",SUMIFS(CashBook!$G$5:INDEX(CashBook!$G$5:$G$3004,TxRows),CashBook!$D$5:INDEX(CashBook!$D$5:$D$3004,TxRows),$A57,CashBook!$C$5:INDEX(CashBook!$C$5:$C$3004,TxRows),"Payment"))</f>
        <v/>
      </c>
      <c r="N57" s="61" t="str">
        <f aca="false">IF($A57="","",N($I57)+J57-K57-L57+M57)</f>
        <v/>
      </c>
      <c r="O57" s="60" t="str">
        <f aca="false">IF($A57="","",IF(ROUND(N57,2)&gt;0,"Receivable",IF(ROUND(N57,2)&lt;0,"Payable","Settled")))</f>
        <v/>
      </c>
      <c r="P57" s="66" t="str">
        <f aca="false">IF($A57="","",IFERROR(SUMPRODUCT(MAX((Sales!$C$5:INDEX(Sales!$C$5:$C$3004,TxRows)=$A57)*Sales!$A$5:INDEX(Sales!$A$5:$A$3004,TxRows))),0))</f>
        <v/>
      </c>
      <c r="Q57" s="66" t="str">
        <f aca="false">IF($A57="","",IFERROR(SUMPRODUCT(MAX((CashBook!$D$5:INDEX(CashBook!$D$5:$D$3004,TxRows)=$A57)*(CashBook!$C$5:INDEX(CashBook!$C$5:$C$3004,TxRows)="Receipt")*CashBook!$A$5:INDEX(CashBook!$A$5:$A$3004,TxRows))),0))</f>
        <v/>
      </c>
      <c r="R57" s="67" t="str">
        <f aca="false">IF($A57="","",IF(ROUND(N57,2)&lt;=0,"",AsOf-IF(N(Q57)&gt;0,Q57,IF(N(P57)&gt;0,P57,FYStart))))</f>
        <v/>
      </c>
      <c r="S57" s="60" t="str">
        <f aca="false">IF($A57="","",IF(AND(N($G57)&gt;0,N57&gt;N($G57)),"OVER LIMIT",IF(AND(N57&gt;0,N(R57)&gt;N($H57)),"OVERDUE",IF(ROUND(N57,2)&lt;0,"PAY DUE",""))))</f>
        <v/>
      </c>
    </row>
    <row r="58" customFormat="false" ht="15" hidden="false" customHeight="false" outlineLevel="0" collapsed="false">
      <c r="A58" s="56"/>
      <c r="B58" s="56"/>
      <c r="C58" s="56"/>
      <c r="D58" s="56"/>
      <c r="E58" s="56"/>
      <c r="F58" s="56"/>
      <c r="G58" s="68"/>
      <c r="H58" s="69"/>
      <c r="I58" s="58"/>
      <c r="J58" s="61" t="str">
        <f aca="false">IF($A58="","",SUMIFS(Sales!$Q$5:INDEX(Sales!$Q$5:$Q$3004,TxRows),Sales!$C$5:INDEX(Sales!$C$5:$C$3004,TxRows),$A58)-SUMIFS(Sales!$X$5:INDEX(Sales!$X$5:$X$3004,TxRows),Sales!$C$5:INDEX(Sales!$C$5:$C$3004,TxRows),$A58))</f>
        <v/>
      </c>
      <c r="K58" s="61" t="str">
        <f aca="false">IF($A58="","",SUMIFS(CashBook!$G$5:INDEX(CashBook!$G$5:$G$3004,TxRows),CashBook!$D$5:INDEX(CashBook!$D$5:$D$3004,TxRows),$A58,CashBook!$C$5:INDEX(CashBook!$C$5:$C$3004,TxRows),"Receipt"))</f>
        <v/>
      </c>
      <c r="L58" s="61" t="str">
        <f aca="false">IF($A58="","",SUMIFS(Purchases!$P$5:INDEX(Purchases!$P$5:$P$3004,TxRows),Purchases!$C$5:INDEX(Purchases!$C$5:$C$3004,TxRows),$A58)-SUMIFS(Purchases!$S$5:INDEX(Purchases!$S$5:$S$3004,TxRows),Purchases!$C$5:INDEX(Purchases!$C$5:$C$3004,TxRows),$A58))</f>
        <v/>
      </c>
      <c r="M58" s="61" t="str">
        <f aca="false">IF($A58="","",SUMIFS(CashBook!$G$5:INDEX(CashBook!$G$5:$G$3004,TxRows),CashBook!$D$5:INDEX(CashBook!$D$5:$D$3004,TxRows),$A58,CashBook!$C$5:INDEX(CashBook!$C$5:$C$3004,TxRows),"Payment"))</f>
        <v/>
      </c>
      <c r="N58" s="61" t="str">
        <f aca="false">IF($A58="","",N($I58)+J58-K58-L58+M58)</f>
        <v/>
      </c>
      <c r="O58" s="60" t="str">
        <f aca="false">IF($A58="","",IF(ROUND(N58,2)&gt;0,"Receivable",IF(ROUND(N58,2)&lt;0,"Payable","Settled")))</f>
        <v/>
      </c>
      <c r="P58" s="66" t="str">
        <f aca="false">IF($A58="","",IFERROR(SUMPRODUCT(MAX((Sales!$C$5:INDEX(Sales!$C$5:$C$3004,TxRows)=$A58)*Sales!$A$5:INDEX(Sales!$A$5:$A$3004,TxRows))),0))</f>
        <v/>
      </c>
      <c r="Q58" s="66" t="str">
        <f aca="false">IF($A58="","",IFERROR(SUMPRODUCT(MAX((CashBook!$D$5:INDEX(CashBook!$D$5:$D$3004,TxRows)=$A58)*(CashBook!$C$5:INDEX(CashBook!$C$5:$C$3004,TxRows)="Receipt")*CashBook!$A$5:INDEX(CashBook!$A$5:$A$3004,TxRows))),0))</f>
        <v/>
      </c>
      <c r="R58" s="67" t="str">
        <f aca="false">IF($A58="","",IF(ROUND(N58,2)&lt;=0,"",AsOf-IF(N(Q58)&gt;0,Q58,IF(N(P58)&gt;0,P58,FYStart))))</f>
        <v/>
      </c>
      <c r="S58" s="60" t="str">
        <f aca="false">IF($A58="","",IF(AND(N($G58)&gt;0,N58&gt;N($G58)),"OVER LIMIT",IF(AND(N58&gt;0,N(R58)&gt;N($H58)),"OVERDUE",IF(ROUND(N58,2)&lt;0,"PAY DUE",""))))</f>
        <v/>
      </c>
    </row>
    <row r="59" customFormat="false" ht="15" hidden="false" customHeight="false" outlineLevel="0" collapsed="false">
      <c r="A59" s="56"/>
      <c r="B59" s="56"/>
      <c r="C59" s="56"/>
      <c r="D59" s="56"/>
      <c r="E59" s="56"/>
      <c r="F59" s="56"/>
      <c r="G59" s="68"/>
      <c r="H59" s="69"/>
      <c r="I59" s="58"/>
      <c r="J59" s="61" t="str">
        <f aca="false">IF($A59="","",SUMIFS(Sales!$Q$5:INDEX(Sales!$Q$5:$Q$3004,TxRows),Sales!$C$5:INDEX(Sales!$C$5:$C$3004,TxRows),$A59)-SUMIFS(Sales!$X$5:INDEX(Sales!$X$5:$X$3004,TxRows),Sales!$C$5:INDEX(Sales!$C$5:$C$3004,TxRows),$A59))</f>
        <v/>
      </c>
      <c r="K59" s="61" t="str">
        <f aca="false">IF($A59="","",SUMIFS(CashBook!$G$5:INDEX(CashBook!$G$5:$G$3004,TxRows),CashBook!$D$5:INDEX(CashBook!$D$5:$D$3004,TxRows),$A59,CashBook!$C$5:INDEX(CashBook!$C$5:$C$3004,TxRows),"Receipt"))</f>
        <v/>
      </c>
      <c r="L59" s="61" t="str">
        <f aca="false">IF($A59="","",SUMIFS(Purchases!$P$5:INDEX(Purchases!$P$5:$P$3004,TxRows),Purchases!$C$5:INDEX(Purchases!$C$5:$C$3004,TxRows),$A59)-SUMIFS(Purchases!$S$5:INDEX(Purchases!$S$5:$S$3004,TxRows),Purchases!$C$5:INDEX(Purchases!$C$5:$C$3004,TxRows),$A59))</f>
        <v/>
      </c>
      <c r="M59" s="61" t="str">
        <f aca="false">IF($A59="","",SUMIFS(CashBook!$G$5:INDEX(CashBook!$G$5:$G$3004,TxRows),CashBook!$D$5:INDEX(CashBook!$D$5:$D$3004,TxRows),$A59,CashBook!$C$5:INDEX(CashBook!$C$5:$C$3004,TxRows),"Payment"))</f>
        <v/>
      </c>
      <c r="N59" s="61" t="str">
        <f aca="false">IF($A59="","",N($I59)+J59-K59-L59+M59)</f>
        <v/>
      </c>
      <c r="O59" s="60" t="str">
        <f aca="false">IF($A59="","",IF(ROUND(N59,2)&gt;0,"Receivable",IF(ROUND(N59,2)&lt;0,"Payable","Settled")))</f>
        <v/>
      </c>
      <c r="P59" s="66" t="str">
        <f aca="false">IF($A59="","",IFERROR(SUMPRODUCT(MAX((Sales!$C$5:INDEX(Sales!$C$5:$C$3004,TxRows)=$A59)*Sales!$A$5:INDEX(Sales!$A$5:$A$3004,TxRows))),0))</f>
        <v/>
      </c>
      <c r="Q59" s="66" t="str">
        <f aca="false">IF($A59="","",IFERROR(SUMPRODUCT(MAX((CashBook!$D$5:INDEX(CashBook!$D$5:$D$3004,TxRows)=$A59)*(CashBook!$C$5:INDEX(CashBook!$C$5:$C$3004,TxRows)="Receipt")*CashBook!$A$5:INDEX(CashBook!$A$5:$A$3004,TxRows))),0))</f>
        <v/>
      </c>
      <c r="R59" s="67" t="str">
        <f aca="false">IF($A59="","",IF(ROUND(N59,2)&lt;=0,"",AsOf-IF(N(Q59)&gt;0,Q59,IF(N(P59)&gt;0,P59,FYStart))))</f>
        <v/>
      </c>
      <c r="S59" s="60" t="str">
        <f aca="false">IF($A59="","",IF(AND(N($G59)&gt;0,N59&gt;N($G59)),"OVER LIMIT",IF(AND(N59&gt;0,N(R59)&gt;N($H59)),"OVERDUE",IF(ROUND(N59,2)&lt;0,"PAY DUE",""))))</f>
        <v/>
      </c>
    </row>
    <row r="60" customFormat="false" ht="15" hidden="false" customHeight="false" outlineLevel="0" collapsed="false">
      <c r="A60" s="56"/>
      <c r="B60" s="56"/>
      <c r="C60" s="56"/>
      <c r="D60" s="56"/>
      <c r="E60" s="56"/>
      <c r="F60" s="56"/>
      <c r="G60" s="68"/>
      <c r="H60" s="69"/>
      <c r="I60" s="58"/>
      <c r="J60" s="61" t="str">
        <f aca="false">IF($A60="","",SUMIFS(Sales!$Q$5:INDEX(Sales!$Q$5:$Q$3004,TxRows),Sales!$C$5:INDEX(Sales!$C$5:$C$3004,TxRows),$A60)-SUMIFS(Sales!$X$5:INDEX(Sales!$X$5:$X$3004,TxRows),Sales!$C$5:INDEX(Sales!$C$5:$C$3004,TxRows),$A60))</f>
        <v/>
      </c>
      <c r="K60" s="61" t="str">
        <f aca="false">IF($A60="","",SUMIFS(CashBook!$G$5:INDEX(CashBook!$G$5:$G$3004,TxRows),CashBook!$D$5:INDEX(CashBook!$D$5:$D$3004,TxRows),$A60,CashBook!$C$5:INDEX(CashBook!$C$5:$C$3004,TxRows),"Receipt"))</f>
        <v/>
      </c>
      <c r="L60" s="61" t="str">
        <f aca="false">IF($A60="","",SUMIFS(Purchases!$P$5:INDEX(Purchases!$P$5:$P$3004,TxRows),Purchases!$C$5:INDEX(Purchases!$C$5:$C$3004,TxRows),$A60)-SUMIFS(Purchases!$S$5:INDEX(Purchases!$S$5:$S$3004,TxRows),Purchases!$C$5:INDEX(Purchases!$C$5:$C$3004,TxRows),$A60))</f>
        <v/>
      </c>
      <c r="M60" s="61" t="str">
        <f aca="false">IF($A60="","",SUMIFS(CashBook!$G$5:INDEX(CashBook!$G$5:$G$3004,TxRows),CashBook!$D$5:INDEX(CashBook!$D$5:$D$3004,TxRows),$A60,CashBook!$C$5:INDEX(CashBook!$C$5:$C$3004,TxRows),"Payment"))</f>
        <v/>
      </c>
      <c r="N60" s="61" t="str">
        <f aca="false">IF($A60="","",N($I60)+J60-K60-L60+M60)</f>
        <v/>
      </c>
      <c r="O60" s="60" t="str">
        <f aca="false">IF($A60="","",IF(ROUND(N60,2)&gt;0,"Receivable",IF(ROUND(N60,2)&lt;0,"Payable","Settled")))</f>
        <v/>
      </c>
      <c r="P60" s="66" t="str">
        <f aca="false">IF($A60="","",IFERROR(SUMPRODUCT(MAX((Sales!$C$5:INDEX(Sales!$C$5:$C$3004,TxRows)=$A60)*Sales!$A$5:INDEX(Sales!$A$5:$A$3004,TxRows))),0))</f>
        <v/>
      </c>
      <c r="Q60" s="66" t="str">
        <f aca="false">IF($A60="","",IFERROR(SUMPRODUCT(MAX((CashBook!$D$5:INDEX(CashBook!$D$5:$D$3004,TxRows)=$A60)*(CashBook!$C$5:INDEX(CashBook!$C$5:$C$3004,TxRows)="Receipt")*CashBook!$A$5:INDEX(CashBook!$A$5:$A$3004,TxRows))),0))</f>
        <v/>
      </c>
      <c r="R60" s="67" t="str">
        <f aca="false">IF($A60="","",IF(ROUND(N60,2)&lt;=0,"",AsOf-IF(N(Q60)&gt;0,Q60,IF(N(P60)&gt;0,P60,FYStart))))</f>
        <v/>
      </c>
      <c r="S60" s="60" t="str">
        <f aca="false">IF($A60="","",IF(AND(N($G60)&gt;0,N60&gt;N($G60)),"OVER LIMIT",IF(AND(N60&gt;0,N(R60)&gt;N($H60)),"OVERDUE",IF(ROUND(N60,2)&lt;0,"PAY DUE",""))))</f>
        <v/>
      </c>
    </row>
    <row r="61" customFormat="false" ht="15" hidden="false" customHeight="false" outlineLevel="0" collapsed="false">
      <c r="A61" s="56"/>
      <c r="B61" s="56"/>
      <c r="C61" s="56"/>
      <c r="D61" s="56"/>
      <c r="E61" s="56"/>
      <c r="F61" s="56"/>
      <c r="G61" s="68"/>
      <c r="H61" s="69"/>
      <c r="I61" s="58"/>
      <c r="J61" s="61" t="str">
        <f aca="false">IF($A61="","",SUMIFS(Sales!$Q$5:INDEX(Sales!$Q$5:$Q$3004,TxRows),Sales!$C$5:INDEX(Sales!$C$5:$C$3004,TxRows),$A61)-SUMIFS(Sales!$X$5:INDEX(Sales!$X$5:$X$3004,TxRows),Sales!$C$5:INDEX(Sales!$C$5:$C$3004,TxRows),$A61))</f>
        <v/>
      </c>
      <c r="K61" s="61" t="str">
        <f aca="false">IF($A61="","",SUMIFS(CashBook!$G$5:INDEX(CashBook!$G$5:$G$3004,TxRows),CashBook!$D$5:INDEX(CashBook!$D$5:$D$3004,TxRows),$A61,CashBook!$C$5:INDEX(CashBook!$C$5:$C$3004,TxRows),"Receipt"))</f>
        <v/>
      </c>
      <c r="L61" s="61" t="str">
        <f aca="false">IF($A61="","",SUMIFS(Purchases!$P$5:INDEX(Purchases!$P$5:$P$3004,TxRows),Purchases!$C$5:INDEX(Purchases!$C$5:$C$3004,TxRows),$A61)-SUMIFS(Purchases!$S$5:INDEX(Purchases!$S$5:$S$3004,TxRows),Purchases!$C$5:INDEX(Purchases!$C$5:$C$3004,TxRows),$A61))</f>
        <v/>
      </c>
      <c r="M61" s="61" t="str">
        <f aca="false">IF($A61="","",SUMIFS(CashBook!$G$5:INDEX(CashBook!$G$5:$G$3004,TxRows),CashBook!$D$5:INDEX(CashBook!$D$5:$D$3004,TxRows),$A61,CashBook!$C$5:INDEX(CashBook!$C$5:$C$3004,TxRows),"Payment"))</f>
        <v/>
      </c>
      <c r="N61" s="61" t="str">
        <f aca="false">IF($A61="","",N($I61)+J61-K61-L61+M61)</f>
        <v/>
      </c>
      <c r="O61" s="60" t="str">
        <f aca="false">IF($A61="","",IF(ROUND(N61,2)&gt;0,"Receivable",IF(ROUND(N61,2)&lt;0,"Payable","Settled")))</f>
        <v/>
      </c>
      <c r="P61" s="66" t="str">
        <f aca="false">IF($A61="","",IFERROR(SUMPRODUCT(MAX((Sales!$C$5:INDEX(Sales!$C$5:$C$3004,TxRows)=$A61)*Sales!$A$5:INDEX(Sales!$A$5:$A$3004,TxRows))),0))</f>
        <v/>
      </c>
      <c r="Q61" s="66" t="str">
        <f aca="false">IF($A61="","",IFERROR(SUMPRODUCT(MAX((CashBook!$D$5:INDEX(CashBook!$D$5:$D$3004,TxRows)=$A61)*(CashBook!$C$5:INDEX(CashBook!$C$5:$C$3004,TxRows)="Receipt")*CashBook!$A$5:INDEX(CashBook!$A$5:$A$3004,TxRows))),0))</f>
        <v/>
      </c>
      <c r="R61" s="67" t="str">
        <f aca="false">IF($A61="","",IF(ROUND(N61,2)&lt;=0,"",AsOf-IF(N(Q61)&gt;0,Q61,IF(N(P61)&gt;0,P61,FYStart))))</f>
        <v/>
      </c>
      <c r="S61" s="60" t="str">
        <f aca="false">IF($A61="","",IF(AND(N($G61)&gt;0,N61&gt;N($G61)),"OVER LIMIT",IF(AND(N61&gt;0,N(R61)&gt;N($H61)),"OVERDUE",IF(ROUND(N61,2)&lt;0,"PAY DUE",""))))</f>
        <v/>
      </c>
    </row>
    <row r="62" customFormat="false" ht="15" hidden="false" customHeight="false" outlineLevel="0" collapsed="false">
      <c r="A62" s="56"/>
      <c r="B62" s="56"/>
      <c r="C62" s="56"/>
      <c r="D62" s="56"/>
      <c r="E62" s="56"/>
      <c r="F62" s="56"/>
      <c r="G62" s="68"/>
      <c r="H62" s="69"/>
      <c r="I62" s="58"/>
      <c r="J62" s="61" t="str">
        <f aca="false">IF($A62="","",SUMIFS(Sales!$Q$5:INDEX(Sales!$Q$5:$Q$3004,TxRows),Sales!$C$5:INDEX(Sales!$C$5:$C$3004,TxRows),$A62)-SUMIFS(Sales!$X$5:INDEX(Sales!$X$5:$X$3004,TxRows),Sales!$C$5:INDEX(Sales!$C$5:$C$3004,TxRows),$A62))</f>
        <v/>
      </c>
      <c r="K62" s="61" t="str">
        <f aca="false">IF($A62="","",SUMIFS(CashBook!$G$5:INDEX(CashBook!$G$5:$G$3004,TxRows),CashBook!$D$5:INDEX(CashBook!$D$5:$D$3004,TxRows),$A62,CashBook!$C$5:INDEX(CashBook!$C$5:$C$3004,TxRows),"Receipt"))</f>
        <v/>
      </c>
      <c r="L62" s="61" t="str">
        <f aca="false">IF($A62="","",SUMIFS(Purchases!$P$5:INDEX(Purchases!$P$5:$P$3004,TxRows),Purchases!$C$5:INDEX(Purchases!$C$5:$C$3004,TxRows),$A62)-SUMIFS(Purchases!$S$5:INDEX(Purchases!$S$5:$S$3004,TxRows),Purchases!$C$5:INDEX(Purchases!$C$5:$C$3004,TxRows),$A62))</f>
        <v/>
      </c>
      <c r="M62" s="61" t="str">
        <f aca="false">IF($A62="","",SUMIFS(CashBook!$G$5:INDEX(CashBook!$G$5:$G$3004,TxRows),CashBook!$D$5:INDEX(CashBook!$D$5:$D$3004,TxRows),$A62,CashBook!$C$5:INDEX(CashBook!$C$5:$C$3004,TxRows),"Payment"))</f>
        <v/>
      </c>
      <c r="N62" s="61" t="str">
        <f aca="false">IF($A62="","",N($I62)+J62-K62-L62+M62)</f>
        <v/>
      </c>
      <c r="O62" s="60" t="str">
        <f aca="false">IF($A62="","",IF(ROUND(N62,2)&gt;0,"Receivable",IF(ROUND(N62,2)&lt;0,"Payable","Settled")))</f>
        <v/>
      </c>
      <c r="P62" s="66" t="str">
        <f aca="false">IF($A62="","",IFERROR(SUMPRODUCT(MAX((Sales!$C$5:INDEX(Sales!$C$5:$C$3004,TxRows)=$A62)*Sales!$A$5:INDEX(Sales!$A$5:$A$3004,TxRows))),0))</f>
        <v/>
      </c>
      <c r="Q62" s="66" t="str">
        <f aca="false">IF($A62="","",IFERROR(SUMPRODUCT(MAX((CashBook!$D$5:INDEX(CashBook!$D$5:$D$3004,TxRows)=$A62)*(CashBook!$C$5:INDEX(CashBook!$C$5:$C$3004,TxRows)="Receipt")*CashBook!$A$5:INDEX(CashBook!$A$5:$A$3004,TxRows))),0))</f>
        <v/>
      </c>
      <c r="R62" s="67" t="str">
        <f aca="false">IF($A62="","",IF(ROUND(N62,2)&lt;=0,"",AsOf-IF(N(Q62)&gt;0,Q62,IF(N(P62)&gt;0,P62,FYStart))))</f>
        <v/>
      </c>
      <c r="S62" s="60" t="str">
        <f aca="false">IF($A62="","",IF(AND(N($G62)&gt;0,N62&gt;N($G62)),"OVER LIMIT",IF(AND(N62&gt;0,N(R62)&gt;N($H62)),"OVERDUE",IF(ROUND(N62,2)&lt;0,"PAY DUE",""))))</f>
        <v/>
      </c>
    </row>
    <row r="63" customFormat="false" ht="15" hidden="false" customHeight="false" outlineLevel="0" collapsed="false">
      <c r="A63" s="56"/>
      <c r="B63" s="56"/>
      <c r="C63" s="56"/>
      <c r="D63" s="56"/>
      <c r="E63" s="56"/>
      <c r="F63" s="56"/>
      <c r="G63" s="68"/>
      <c r="H63" s="69"/>
      <c r="I63" s="58"/>
      <c r="J63" s="61" t="str">
        <f aca="false">IF($A63="","",SUMIFS(Sales!$Q$5:INDEX(Sales!$Q$5:$Q$3004,TxRows),Sales!$C$5:INDEX(Sales!$C$5:$C$3004,TxRows),$A63)-SUMIFS(Sales!$X$5:INDEX(Sales!$X$5:$X$3004,TxRows),Sales!$C$5:INDEX(Sales!$C$5:$C$3004,TxRows),$A63))</f>
        <v/>
      </c>
      <c r="K63" s="61" t="str">
        <f aca="false">IF($A63="","",SUMIFS(CashBook!$G$5:INDEX(CashBook!$G$5:$G$3004,TxRows),CashBook!$D$5:INDEX(CashBook!$D$5:$D$3004,TxRows),$A63,CashBook!$C$5:INDEX(CashBook!$C$5:$C$3004,TxRows),"Receipt"))</f>
        <v/>
      </c>
      <c r="L63" s="61" t="str">
        <f aca="false">IF($A63="","",SUMIFS(Purchases!$P$5:INDEX(Purchases!$P$5:$P$3004,TxRows),Purchases!$C$5:INDEX(Purchases!$C$5:$C$3004,TxRows),$A63)-SUMIFS(Purchases!$S$5:INDEX(Purchases!$S$5:$S$3004,TxRows),Purchases!$C$5:INDEX(Purchases!$C$5:$C$3004,TxRows),$A63))</f>
        <v/>
      </c>
      <c r="M63" s="61" t="str">
        <f aca="false">IF($A63="","",SUMIFS(CashBook!$G$5:INDEX(CashBook!$G$5:$G$3004,TxRows),CashBook!$D$5:INDEX(CashBook!$D$5:$D$3004,TxRows),$A63,CashBook!$C$5:INDEX(CashBook!$C$5:$C$3004,TxRows),"Payment"))</f>
        <v/>
      </c>
      <c r="N63" s="61" t="str">
        <f aca="false">IF($A63="","",N($I63)+J63-K63-L63+M63)</f>
        <v/>
      </c>
      <c r="O63" s="60" t="str">
        <f aca="false">IF($A63="","",IF(ROUND(N63,2)&gt;0,"Receivable",IF(ROUND(N63,2)&lt;0,"Payable","Settled")))</f>
        <v/>
      </c>
      <c r="P63" s="66" t="str">
        <f aca="false">IF($A63="","",IFERROR(SUMPRODUCT(MAX((Sales!$C$5:INDEX(Sales!$C$5:$C$3004,TxRows)=$A63)*Sales!$A$5:INDEX(Sales!$A$5:$A$3004,TxRows))),0))</f>
        <v/>
      </c>
      <c r="Q63" s="66" t="str">
        <f aca="false">IF($A63="","",IFERROR(SUMPRODUCT(MAX((CashBook!$D$5:INDEX(CashBook!$D$5:$D$3004,TxRows)=$A63)*(CashBook!$C$5:INDEX(CashBook!$C$5:$C$3004,TxRows)="Receipt")*CashBook!$A$5:INDEX(CashBook!$A$5:$A$3004,TxRows))),0))</f>
        <v/>
      </c>
      <c r="R63" s="67" t="str">
        <f aca="false">IF($A63="","",IF(ROUND(N63,2)&lt;=0,"",AsOf-IF(N(Q63)&gt;0,Q63,IF(N(P63)&gt;0,P63,FYStart))))</f>
        <v/>
      </c>
      <c r="S63" s="60" t="str">
        <f aca="false">IF($A63="","",IF(AND(N($G63)&gt;0,N63&gt;N($G63)),"OVER LIMIT",IF(AND(N63&gt;0,N(R63)&gt;N($H63)),"OVERDUE",IF(ROUND(N63,2)&lt;0,"PAY DUE",""))))</f>
        <v/>
      </c>
    </row>
    <row r="64" customFormat="false" ht="15" hidden="false" customHeight="false" outlineLevel="0" collapsed="false">
      <c r="A64" s="56"/>
      <c r="B64" s="56"/>
      <c r="C64" s="56"/>
      <c r="D64" s="56"/>
      <c r="E64" s="56"/>
      <c r="F64" s="56"/>
      <c r="G64" s="68"/>
      <c r="H64" s="69"/>
      <c r="I64" s="58"/>
      <c r="J64" s="61" t="str">
        <f aca="false">IF($A64="","",SUMIFS(Sales!$Q$5:INDEX(Sales!$Q$5:$Q$3004,TxRows),Sales!$C$5:INDEX(Sales!$C$5:$C$3004,TxRows),$A64)-SUMIFS(Sales!$X$5:INDEX(Sales!$X$5:$X$3004,TxRows),Sales!$C$5:INDEX(Sales!$C$5:$C$3004,TxRows),$A64))</f>
        <v/>
      </c>
      <c r="K64" s="61" t="str">
        <f aca="false">IF($A64="","",SUMIFS(CashBook!$G$5:INDEX(CashBook!$G$5:$G$3004,TxRows),CashBook!$D$5:INDEX(CashBook!$D$5:$D$3004,TxRows),$A64,CashBook!$C$5:INDEX(CashBook!$C$5:$C$3004,TxRows),"Receipt"))</f>
        <v/>
      </c>
      <c r="L64" s="61" t="str">
        <f aca="false">IF($A64="","",SUMIFS(Purchases!$P$5:INDEX(Purchases!$P$5:$P$3004,TxRows),Purchases!$C$5:INDEX(Purchases!$C$5:$C$3004,TxRows),$A64)-SUMIFS(Purchases!$S$5:INDEX(Purchases!$S$5:$S$3004,TxRows),Purchases!$C$5:INDEX(Purchases!$C$5:$C$3004,TxRows),$A64))</f>
        <v/>
      </c>
      <c r="M64" s="61" t="str">
        <f aca="false">IF($A64="","",SUMIFS(CashBook!$G$5:INDEX(CashBook!$G$5:$G$3004,TxRows),CashBook!$D$5:INDEX(CashBook!$D$5:$D$3004,TxRows),$A64,CashBook!$C$5:INDEX(CashBook!$C$5:$C$3004,TxRows),"Payment"))</f>
        <v/>
      </c>
      <c r="N64" s="61" t="str">
        <f aca="false">IF($A64="","",N($I64)+J64-K64-L64+M64)</f>
        <v/>
      </c>
      <c r="O64" s="60" t="str">
        <f aca="false">IF($A64="","",IF(ROUND(N64,2)&gt;0,"Receivable",IF(ROUND(N64,2)&lt;0,"Payable","Settled")))</f>
        <v/>
      </c>
      <c r="P64" s="66" t="str">
        <f aca="false">IF($A64="","",IFERROR(SUMPRODUCT(MAX((Sales!$C$5:INDEX(Sales!$C$5:$C$3004,TxRows)=$A64)*Sales!$A$5:INDEX(Sales!$A$5:$A$3004,TxRows))),0))</f>
        <v/>
      </c>
      <c r="Q64" s="66" t="str">
        <f aca="false">IF($A64="","",IFERROR(SUMPRODUCT(MAX((CashBook!$D$5:INDEX(CashBook!$D$5:$D$3004,TxRows)=$A64)*(CashBook!$C$5:INDEX(CashBook!$C$5:$C$3004,TxRows)="Receipt")*CashBook!$A$5:INDEX(CashBook!$A$5:$A$3004,TxRows))),0))</f>
        <v/>
      </c>
      <c r="R64" s="67" t="str">
        <f aca="false">IF($A64="","",IF(ROUND(N64,2)&lt;=0,"",AsOf-IF(N(Q64)&gt;0,Q64,IF(N(P64)&gt;0,P64,FYStart))))</f>
        <v/>
      </c>
      <c r="S64" s="60" t="str">
        <f aca="false">IF($A64="","",IF(AND(N($G64)&gt;0,N64&gt;N($G64)),"OVER LIMIT",IF(AND(N64&gt;0,N(R64)&gt;N($H64)),"OVERDUE",IF(ROUND(N64,2)&lt;0,"PAY DUE",""))))</f>
        <v/>
      </c>
    </row>
    <row r="65" customFormat="false" ht="15" hidden="false" customHeight="false" outlineLevel="0" collapsed="false">
      <c r="A65" s="56"/>
      <c r="B65" s="56"/>
      <c r="C65" s="56"/>
      <c r="D65" s="56"/>
      <c r="E65" s="56"/>
      <c r="F65" s="56"/>
      <c r="G65" s="68"/>
      <c r="H65" s="69"/>
      <c r="I65" s="58"/>
      <c r="J65" s="61" t="str">
        <f aca="false">IF($A65="","",SUMIFS(Sales!$Q$5:INDEX(Sales!$Q$5:$Q$3004,TxRows),Sales!$C$5:INDEX(Sales!$C$5:$C$3004,TxRows),$A65)-SUMIFS(Sales!$X$5:INDEX(Sales!$X$5:$X$3004,TxRows),Sales!$C$5:INDEX(Sales!$C$5:$C$3004,TxRows),$A65))</f>
        <v/>
      </c>
      <c r="K65" s="61" t="str">
        <f aca="false">IF($A65="","",SUMIFS(CashBook!$G$5:INDEX(CashBook!$G$5:$G$3004,TxRows),CashBook!$D$5:INDEX(CashBook!$D$5:$D$3004,TxRows),$A65,CashBook!$C$5:INDEX(CashBook!$C$5:$C$3004,TxRows),"Receipt"))</f>
        <v/>
      </c>
      <c r="L65" s="61" t="str">
        <f aca="false">IF($A65="","",SUMIFS(Purchases!$P$5:INDEX(Purchases!$P$5:$P$3004,TxRows),Purchases!$C$5:INDEX(Purchases!$C$5:$C$3004,TxRows),$A65)-SUMIFS(Purchases!$S$5:INDEX(Purchases!$S$5:$S$3004,TxRows),Purchases!$C$5:INDEX(Purchases!$C$5:$C$3004,TxRows),$A65))</f>
        <v/>
      </c>
      <c r="M65" s="61" t="str">
        <f aca="false">IF($A65="","",SUMIFS(CashBook!$G$5:INDEX(CashBook!$G$5:$G$3004,TxRows),CashBook!$D$5:INDEX(CashBook!$D$5:$D$3004,TxRows),$A65,CashBook!$C$5:INDEX(CashBook!$C$5:$C$3004,TxRows),"Payment"))</f>
        <v/>
      </c>
      <c r="N65" s="61" t="str">
        <f aca="false">IF($A65="","",N($I65)+J65-K65-L65+M65)</f>
        <v/>
      </c>
      <c r="O65" s="60" t="str">
        <f aca="false">IF($A65="","",IF(ROUND(N65,2)&gt;0,"Receivable",IF(ROUND(N65,2)&lt;0,"Payable","Settled")))</f>
        <v/>
      </c>
      <c r="P65" s="66" t="str">
        <f aca="false">IF($A65="","",IFERROR(SUMPRODUCT(MAX((Sales!$C$5:INDEX(Sales!$C$5:$C$3004,TxRows)=$A65)*Sales!$A$5:INDEX(Sales!$A$5:$A$3004,TxRows))),0))</f>
        <v/>
      </c>
      <c r="Q65" s="66" t="str">
        <f aca="false">IF($A65="","",IFERROR(SUMPRODUCT(MAX((CashBook!$D$5:INDEX(CashBook!$D$5:$D$3004,TxRows)=$A65)*(CashBook!$C$5:INDEX(CashBook!$C$5:$C$3004,TxRows)="Receipt")*CashBook!$A$5:INDEX(CashBook!$A$5:$A$3004,TxRows))),0))</f>
        <v/>
      </c>
      <c r="R65" s="67" t="str">
        <f aca="false">IF($A65="","",IF(ROUND(N65,2)&lt;=0,"",AsOf-IF(N(Q65)&gt;0,Q65,IF(N(P65)&gt;0,P65,FYStart))))</f>
        <v/>
      </c>
      <c r="S65" s="60" t="str">
        <f aca="false">IF($A65="","",IF(AND(N($G65)&gt;0,N65&gt;N($G65)),"OVER LIMIT",IF(AND(N65&gt;0,N(R65)&gt;N($H65)),"OVERDUE",IF(ROUND(N65,2)&lt;0,"PAY DUE",""))))</f>
        <v/>
      </c>
    </row>
    <row r="66" customFormat="false" ht="15" hidden="false" customHeight="false" outlineLevel="0" collapsed="false">
      <c r="A66" s="56"/>
      <c r="B66" s="56"/>
      <c r="C66" s="56"/>
      <c r="D66" s="56"/>
      <c r="E66" s="56"/>
      <c r="F66" s="56"/>
      <c r="G66" s="68"/>
      <c r="H66" s="69"/>
      <c r="I66" s="58"/>
      <c r="J66" s="61" t="str">
        <f aca="false">IF($A66="","",SUMIFS(Sales!$Q$5:INDEX(Sales!$Q$5:$Q$3004,TxRows),Sales!$C$5:INDEX(Sales!$C$5:$C$3004,TxRows),$A66)-SUMIFS(Sales!$X$5:INDEX(Sales!$X$5:$X$3004,TxRows),Sales!$C$5:INDEX(Sales!$C$5:$C$3004,TxRows),$A66))</f>
        <v/>
      </c>
      <c r="K66" s="61" t="str">
        <f aca="false">IF($A66="","",SUMIFS(CashBook!$G$5:INDEX(CashBook!$G$5:$G$3004,TxRows),CashBook!$D$5:INDEX(CashBook!$D$5:$D$3004,TxRows),$A66,CashBook!$C$5:INDEX(CashBook!$C$5:$C$3004,TxRows),"Receipt"))</f>
        <v/>
      </c>
      <c r="L66" s="61" t="str">
        <f aca="false">IF($A66="","",SUMIFS(Purchases!$P$5:INDEX(Purchases!$P$5:$P$3004,TxRows),Purchases!$C$5:INDEX(Purchases!$C$5:$C$3004,TxRows),$A66)-SUMIFS(Purchases!$S$5:INDEX(Purchases!$S$5:$S$3004,TxRows),Purchases!$C$5:INDEX(Purchases!$C$5:$C$3004,TxRows),$A66))</f>
        <v/>
      </c>
      <c r="M66" s="61" t="str">
        <f aca="false">IF($A66="","",SUMIFS(CashBook!$G$5:INDEX(CashBook!$G$5:$G$3004,TxRows),CashBook!$D$5:INDEX(CashBook!$D$5:$D$3004,TxRows),$A66,CashBook!$C$5:INDEX(CashBook!$C$5:$C$3004,TxRows),"Payment"))</f>
        <v/>
      </c>
      <c r="N66" s="61" t="str">
        <f aca="false">IF($A66="","",N($I66)+J66-K66-L66+M66)</f>
        <v/>
      </c>
      <c r="O66" s="60" t="str">
        <f aca="false">IF($A66="","",IF(ROUND(N66,2)&gt;0,"Receivable",IF(ROUND(N66,2)&lt;0,"Payable","Settled")))</f>
        <v/>
      </c>
      <c r="P66" s="66" t="str">
        <f aca="false">IF($A66="","",IFERROR(SUMPRODUCT(MAX((Sales!$C$5:INDEX(Sales!$C$5:$C$3004,TxRows)=$A66)*Sales!$A$5:INDEX(Sales!$A$5:$A$3004,TxRows))),0))</f>
        <v/>
      </c>
      <c r="Q66" s="66" t="str">
        <f aca="false">IF($A66="","",IFERROR(SUMPRODUCT(MAX((CashBook!$D$5:INDEX(CashBook!$D$5:$D$3004,TxRows)=$A66)*(CashBook!$C$5:INDEX(CashBook!$C$5:$C$3004,TxRows)="Receipt")*CashBook!$A$5:INDEX(CashBook!$A$5:$A$3004,TxRows))),0))</f>
        <v/>
      </c>
      <c r="R66" s="67" t="str">
        <f aca="false">IF($A66="","",IF(ROUND(N66,2)&lt;=0,"",AsOf-IF(N(Q66)&gt;0,Q66,IF(N(P66)&gt;0,P66,FYStart))))</f>
        <v/>
      </c>
      <c r="S66" s="60" t="str">
        <f aca="false">IF($A66="","",IF(AND(N($G66)&gt;0,N66&gt;N($G66)),"OVER LIMIT",IF(AND(N66&gt;0,N(R66)&gt;N($H66)),"OVERDUE",IF(ROUND(N66,2)&lt;0,"PAY DUE",""))))</f>
        <v/>
      </c>
    </row>
    <row r="67" customFormat="false" ht="15" hidden="false" customHeight="false" outlineLevel="0" collapsed="false">
      <c r="A67" s="56"/>
      <c r="B67" s="56"/>
      <c r="C67" s="56"/>
      <c r="D67" s="56"/>
      <c r="E67" s="56"/>
      <c r="F67" s="56"/>
      <c r="G67" s="68"/>
      <c r="H67" s="69"/>
      <c r="I67" s="58"/>
      <c r="J67" s="61" t="str">
        <f aca="false">IF($A67="","",SUMIFS(Sales!$Q$5:INDEX(Sales!$Q$5:$Q$3004,TxRows),Sales!$C$5:INDEX(Sales!$C$5:$C$3004,TxRows),$A67)-SUMIFS(Sales!$X$5:INDEX(Sales!$X$5:$X$3004,TxRows),Sales!$C$5:INDEX(Sales!$C$5:$C$3004,TxRows),$A67))</f>
        <v/>
      </c>
      <c r="K67" s="61" t="str">
        <f aca="false">IF($A67="","",SUMIFS(CashBook!$G$5:INDEX(CashBook!$G$5:$G$3004,TxRows),CashBook!$D$5:INDEX(CashBook!$D$5:$D$3004,TxRows),$A67,CashBook!$C$5:INDEX(CashBook!$C$5:$C$3004,TxRows),"Receipt"))</f>
        <v/>
      </c>
      <c r="L67" s="61" t="str">
        <f aca="false">IF($A67="","",SUMIFS(Purchases!$P$5:INDEX(Purchases!$P$5:$P$3004,TxRows),Purchases!$C$5:INDEX(Purchases!$C$5:$C$3004,TxRows),$A67)-SUMIFS(Purchases!$S$5:INDEX(Purchases!$S$5:$S$3004,TxRows),Purchases!$C$5:INDEX(Purchases!$C$5:$C$3004,TxRows),$A67))</f>
        <v/>
      </c>
      <c r="M67" s="61" t="str">
        <f aca="false">IF($A67="","",SUMIFS(CashBook!$G$5:INDEX(CashBook!$G$5:$G$3004,TxRows),CashBook!$D$5:INDEX(CashBook!$D$5:$D$3004,TxRows),$A67,CashBook!$C$5:INDEX(CashBook!$C$5:$C$3004,TxRows),"Payment"))</f>
        <v/>
      </c>
      <c r="N67" s="61" t="str">
        <f aca="false">IF($A67="","",N($I67)+J67-K67-L67+M67)</f>
        <v/>
      </c>
      <c r="O67" s="60" t="str">
        <f aca="false">IF($A67="","",IF(ROUND(N67,2)&gt;0,"Receivable",IF(ROUND(N67,2)&lt;0,"Payable","Settled")))</f>
        <v/>
      </c>
      <c r="P67" s="66" t="str">
        <f aca="false">IF($A67="","",IFERROR(SUMPRODUCT(MAX((Sales!$C$5:INDEX(Sales!$C$5:$C$3004,TxRows)=$A67)*Sales!$A$5:INDEX(Sales!$A$5:$A$3004,TxRows))),0))</f>
        <v/>
      </c>
      <c r="Q67" s="66" t="str">
        <f aca="false">IF($A67="","",IFERROR(SUMPRODUCT(MAX((CashBook!$D$5:INDEX(CashBook!$D$5:$D$3004,TxRows)=$A67)*(CashBook!$C$5:INDEX(CashBook!$C$5:$C$3004,TxRows)="Receipt")*CashBook!$A$5:INDEX(CashBook!$A$5:$A$3004,TxRows))),0))</f>
        <v/>
      </c>
      <c r="R67" s="67" t="str">
        <f aca="false">IF($A67="","",IF(ROUND(N67,2)&lt;=0,"",AsOf-IF(N(Q67)&gt;0,Q67,IF(N(P67)&gt;0,P67,FYStart))))</f>
        <v/>
      </c>
      <c r="S67" s="60" t="str">
        <f aca="false">IF($A67="","",IF(AND(N($G67)&gt;0,N67&gt;N($G67)),"OVER LIMIT",IF(AND(N67&gt;0,N(R67)&gt;N($H67)),"OVERDUE",IF(ROUND(N67,2)&lt;0,"PAY DUE",""))))</f>
        <v/>
      </c>
    </row>
    <row r="68" customFormat="false" ht="15" hidden="false" customHeight="false" outlineLevel="0" collapsed="false">
      <c r="A68" s="56"/>
      <c r="B68" s="56"/>
      <c r="C68" s="56"/>
      <c r="D68" s="56"/>
      <c r="E68" s="56"/>
      <c r="F68" s="56"/>
      <c r="G68" s="68"/>
      <c r="H68" s="69"/>
      <c r="I68" s="58"/>
      <c r="J68" s="61" t="str">
        <f aca="false">IF($A68="","",SUMIFS(Sales!$Q$5:INDEX(Sales!$Q$5:$Q$3004,TxRows),Sales!$C$5:INDEX(Sales!$C$5:$C$3004,TxRows),$A68)-SUMIFS(Sales!$X$5:INDEX(Sales!$X$5:$X$3004,TxRows),Sales!$C$5:INDEX(Sales!$C$5:$C$3004,TxRows),$A68))</f>
        <v/>
      </c>
      <c r="K68" s="61" t="str">
        <f aca="false">IF($A68="","",SUMIFS(CashBook!$G$5:INDEX(CashBook!$G$5:$G$3004,TxRows),CashBook!$D$5:INDEX(CashBook!$D$5:$D$3004,TxRows),$A68,CashBook!$C$5:INDEX(CashBook!$C$5:$C$3004,TxRows),"Receipt"))</f>
        <v/>
      </c>
      <c r="L68" s="61" t="str">
        <f aca="false">IF($A68="","",SUMIFS(Purchases!$P$5:INDEX(Purchases!$P$5:$P$3004,TxRows),Purchases!$C$5:INDEX(Purchases!$C$5:$C$3004,TxRows),$A68)-SUMIFS(Purchases!$S$5:INDEX(Purchases!$S$5:$S$3004,TxRows),Purchases!$C$5:INDEX(Purchases!$C$5:$C$3004,TxRows),$A68))</f>
        <v/>
      </c>
      <c r="M68" s="61" t="str">
        <f aca="false">IF($A68="","",SUMIFS(CashBook!$G$5:INDEX(CashBook!$G$5:$G$3004,TxRows),CashBook!$D$5:INDEX(CashBook!$D$5:$D$3004,TxRows),$A68,CashBook!$C$5:INDEX(CashBook!$C$5:$C$3004,TxRows),"Payment"))</f>
        <v/>
      </c>
      <c r="N68" s="61" t="str">
        <f aca="false">IF($A68="","",N($I68)+J68-K68-L68+M68)</f>
        <v/>
      </c>
      <c r="O68" s="60" t="str">
        <f aca="false">IF($A68="","",IF(ROUND(N68,2)&gt;0,"Receivable",IF(ROUND(N68,2)&lt;0,"Payable","Settled")))</f>
        <v/>
      </c>
      <c r="P68" s="66" t="str">
        <f aca="false">IF($A68="","",IFERROR(SUMPRODUCT(MAX((Sales!$C$5:INDEX(Sales!$C$5:$C$3004,TxRows)=$A68)*Sales!$A$5:INDEX(Sales!$A$5:$A$3004,TxRows))),0))</f>
        <v/>
      </c>
      <c r="Q68" s="66" t="str">
        <f aca="false">IF($A68="","",IFERROR(SUMPRODUCT(MAX((CashBook!$D$5:INDEX(CashBook!$D$5:$D$3004,TxRows)=$A68)*(CashBook!$C$5:INDEX(CashBook!$C$5:$C$3004,TxRows)="Receipt")*CashBook!$A$5:INDEX(CashBook!$A$5:$A$3004,TxRows))),0))</f>
        <v/>
      </c>
      <c r="R68" s="67" t="str">
        <f aca="false">IF($A68="","",IF(ROUND(N68,2)&lt;=0,"",AsOf-IF(N(Q68)&gt;0,Q68,IF(N(P68)&gt;0,P68,FYStart))))</f>
        <v/>
      </c>
      <c r="S68" s="60" t="str">
        <f aca="false">IF($A68="","",IF(AND(N($G68)&gt;0,N68&gt;N($G68)),"OVER LIMIT",IF(AND(N68&gt;0,N(R68)&gt;N($H68)),"OVERDUE",IF(ROUND(N68,2)&lt;0,"PAY DUE",""))))</f>
        <v/>
      </c>
    </row>
    <row r="69" customFormat="false" ht="15" hidden="false" customHeight="false" outlineLevel="0" collapsed="false">
      <c r="A69" s="56"/>
      <c r="B69" s="56"/>
      <c r="C69" s="56"/>
      <c r="D69" s="56"/>
      <c r="E69" s="56"/>
      <c r="F69" s="56"/>
      <c r="G69" s="68"/>
      <c r="H69" s="69"/>
      <c r="I69" s="58"/>
      <c r="J69" s="61" t="str">
        <f aca="false">IF($A69="","",SUMIFS(Sales!$Q$5:INDEX(Sales!$Q$5:$Q$3004,TxRows),Sales!$C$5:INDEX(Sales!$C$5:$C$3004,TxRows),$A69)-SUMIFS(Sales!$X$5:INDEX(Sales!$X$5:$X$3004,TxRows),Sales!$C$5:INDEX(Sales!$C$5:$C$3004,TxRows),$A69))</f>
        <v/>
      </c>
      <c r="K69" s="61" t="str">
        <f aca="false">IF($A69="","",SUMIFS(CashBook!$G$5:INDEX(CashBook!$G$5:$G$3004,TxRows),CashBook!$D$5:INDEX(CashBook!$D$5:$D$3004,TxRows),$A69,CashBook!$C$5:INDEX(CashBook!$C$5:$C$3004,TxRows),"Receipt"))</f>
        <v/>
      </c>
      <c r="L69" s="61" t="str">
        <f aca="false">IF($A69="","",SUMIFS(Purchases!$P$5:INDEX(Purchases!$P$5:$P$3004,TxRows),Purchases!$C$5:INDEX(Purchases!$C$5:$C$3004,TxRows),$A69)-SUMIFS(Purchases!$S$5:INDEX(Purchases!$S$5:$S$3004,TxRows),Purchases!$C$5:INDEX(Purchases!$C$5:$C$3004,TxRows),$A69))</f>
        <v/>
      </c>
      <c r="M69" s="61" t="str">
        <f aca="false">IF($A69="","",SUMIFS(CashBook!$G$5:INDEX(CashBook!$G$5:$G$3004,TxRows),CashBook!$D$5:INDEX(CashBook!$D$5:$D$3004,TxRows),$A69,CashBook!$C$5:INDEX(CashBook!$C$5:$C$3004,TxRows),"Payment"))</f>
        <v/>
      </c>
      <c r="N69" s="61" t="str">
        <f aca="false">IF($A69="","",N($I69)+J69-K69-L69+M69)</f>
        <v/>
      </c>
      <c r="O69" s="60" t="str">
        <f aca="false">IF($A69="","",IF(ROUND(N69,2)&gt;0,"Receivable",IF(ROUND(N69,2)&lt;0,"Payable","Settled")))</f>
        <v/>
      </c>
      <c r="P69" s="66" t="str">
        <f aca="false">IF($A69="","",IFERROR(SUMPRODUCT(MAX((Sales!$C$5:INDEX(Sales!$C$5:$C$3004,TxRows)=$A69)*Sales!$A$5:INDEX(Sales!$A$5:$A$3004,TxRows))),0))</f>
        <v/>
      </c>
      <c r="Q69" s="66" t="str">
        <f aca="false">IF($A69="","",IFERROR(SUMPRODUCT(MAX((CashBook!$D$5:INDEX(CashBook!$D$5:$D$3004,TxRows)=$A69)*(CashBook!$C$5:INDEX(CashBook!$C$5:$C$3004,TxRows)="Receipt")*CashBook!$A$5:INDEX(CashBook!$A$5:$A$3004,TxRows))),0))</f>
        <v/>
      </c>
      <c r="R69" s="67" t="str">
        <f aca="false">IF($A69="","",IF(ROUND(N69,2)&lt;=0,"",AsOf-IF(N(Q69)&gt;0,Q69,IF(N(P69)&gt;0,P69,FYStart))))</f>
        <v/>
      </c>
      <c r="S69" s="60" t="str">
        <f aca="false">IF($A69="","",IF(AND(N($G69)&gt;0,N69&gt;N($G69)),"OVER LIMIT",IF(AND(N69&gt;0,N(R69)&gt;N($H69)),"OVERDUE",IF(ROUND(N69,2)&lt;0,"PAY DUE",""))))</f>
        <v/>
      </c>
    </row>
    <row r="70" customFormat="false" ht="15" hidden="false" customHeight="false" outlineLevel="0" collapsed="false">
      <c r="A70" s="56"/>
      <c r="B70" s="56"/>
      <c r="C70" s="56"/>
      <c r="D70" s="56"/>
      <c r="E70" s="56"/>
      <c r="F70" s="56"/>
      <c r="G70" s="68"/>
      <c r="H70" s="69"/>
      <c r="I70" s="58"/>
      <c r="J70" s="61" t="str">
        <f aca="false">IF($A70="","",SUMIFS(Sales!$Q$5:INDEX(Sales!$Q$5:$Q$3004,TxRows),Sales!$C$5:INDEX(Sales!$C$5:$C$3004,TxRows),$A70)-SUMIFS(Sales!$X$5:INDEX(Sales!$X$5:$X$3004,TxRows),Sales!$C$5:INDEX(Sales!$C$5:$C$3004,TxRows),$A70))</f>
        <v/>
      </c>
      <c r="K70" s="61" t="str">
        <f aca="false">IF($A70="","",SUMIFS(CashBook!$G$5:INDEX(CashBook!$G$5:$G$3004,TxRows),CashBook!$D$5:INDEX(CashBook!$D$5:$D$3004,TxRows),$A70,CashBook!$C$5:INDEX(CashBook!$C$5:$C$3004,TxRows),"Receipt"))</f>
        <v/>
      </c>
      <c r="L70" s="61" t="str">
        <f aca="false">IF($A70="","",SUMIFS(Purchases!$P$5:INDEX(Purchases!$P$5:$P$3004,TxRows),Purchases!$C$5:INDEX(Purchases!$C$5:$C$3004,TxRows),$A70)-SUMIFS(Purchases!$S$5:INDEX(Purchases!$S$5:$S$3004,TxRows),Purchases!$C$5:INDEX(Purchases!$C$5:$C$3004,TxRows),$A70))</f>
        <v/>
      </c>
      <c r="M70" s="61" t="str">
        <f aca="false">IF($A70="","",SUMIFS(CashBook!$G$5:INDEX(CashBook!$G$5:$G$3004,TxRows),CashBook!$D$5:INDEX(CashBook!$D$5:$D$3004,TxRows),$A70,CashBook!$C$5:INDEX(CashBook!$C$5:$C$3004,TxRows),"Payment"))</f>
        <v/>
      </c>
      <c r="N70" s="61" t="str">
        <f aca="false">IF($A70="","",N($I70)+J70-K70-L70+M70)</f>
        <v/>
      </c>
      <c r="O70" s="60" t="str">
        <f aca="false">IF($A70="","",IF(ROUND(N70,2)&gt;0,"Receivable",IF(ROUND(N70,2)&lt;0,"Payable","Settled")))</f>
        <v/>
      </c>
      <c r="P70" s="66" t="str">
        <f aca="false">IF($A70="","",IFERROR(SUMPRODUCT(MAX((Sales!$C$5:INDEX(Sales!$C$5:$C$3004,TxRows)=$A70)*Sales!$A$5:INDEX(Sales!$A$5:$A$3004,TxRows))),0))</f>
        <v/>
      </c>
      <c r="Q70" s="66" t="str">
        <f aca="false">IF($A70="","",IFERROR(SUMPRODUCT(MAX((CashBook!$D$5:INDEX(CashBook!$D$5:$D$3004,TxRows)=$A70)*(CashBook!$C$5:INDEX(CashBook!$C$5:$C$3004,TxRows)="Receipt")*CashBook!$A$5:INDEX(CashBook!$A$5:$A$3004,TxRows))),0))</f>
        <v/>
      </c>
      <c r="R70" s="67" t="str">
        <f aca="false">IF($A70="","",IF(ROUND(N70,2)&lt;=0,"",AsOf-IF(N(Q70)&gt;0,Q70,IF(N(P70)&gt;0,P70,FYStart))))</f>
        <v/>
      </c>
      <c r="S70" s="60" t="str">
        <f aca="false">IF($A70="","",IF(AND(N($G70)&gt;0,N70&gt;N($G70)),"OVER LIMIT",IF(AND(N70&gt;0,N(R70)&gt;N($H70)),"OVERDUE",IF(ROUND(N70,2)&lt;0,"PAY DUE",""))))</f>
        <v/>
      </c>
    </row>
    <row r="71" customFormat="false" ht="15" hidden="false" customHeight="false" outlineLevel="0" collapsed="false">
      <c r="A71" s="56"/>
      <c r="B71" s="56"/>
      <c r="C71" s="56"/>
      <c r="D71" s="56"/>
      <c r="E71" s="56"/>
      <c r="F71" s="56"/>
      <c r="G71" s="68"/>
      <c r="H71" s="69"/>
      <c r="I71" s="58"/>
      <c r="J71" s="61" t="str">
        <f aca="false">IF($A71="","",SUMIFS(Sales!$Q$5:INDEX(Sales!$Q$5:$Q$3004,TxRows),Sales!$C$5:INDEX(Sales!$C$5:$C$3004,TxRows),$A71)-SUMIFS(Sales!$X$5:INDEX(Sales!$X$5:$X$3004,TxRows),Sales!$C$5:INDEX(Sales!$C$5:$C$3004,TxRows),$A71))</f>
        <v/>
      </c>
      <c r="K71" s="61" t="str">
        <f aca="false">IF($A71="","",SUMIFS(CashBook!$G$5:INDEX(CashBook!$G$5:$G$3004,TxRows),CashBook!$D$5:INDEX(CashBook!$D$5:$D$3004,TxRows),$A71,CashBook!$C$5:INDEX(CashBook!$C$5:$C$3004,TxRows),"Receipt"))</f>
        <v/>
      </c>
      <c r="L71" s="61" t="str">
        <f aca="false">IF($A71="","",SUMIFS(Purchases!$P$5:INDEX(Purchases!$P$5:$P$3004,TxRows),Purchases!$C$5:INDEX(Purchases!$C$5:$C$3004,TxRows),$A71)-SUMIFS(Purchases!$S$5:INDEX(Purchases!$S$5:$S$3004,TxRows),Purchases!$C$5:INDEX(Purchases!$C$5:$C$3004,TxRows),$A71))</f>
        <v/>
      </c>
      <c r="M71" s="61" t="str">
        <f aca="false">IF($A71="","",SUMIFS(CashBook!$G$5:INDEX(CashBook!$G$5:$G$3004,TxRows),CashBook!$D$5:INDEX(CashBook!$D$5:$D$3004,TxRows),$A71,CashBook!$C$5:INDEX(CashBook!$C$5:$C$3004,TxRows),"Payment"))</f>
        <v/>
      </c>
      <c r="N71" s="61" t="str">
        <f aca="false">IF($A71="","",N($I71)+J71-K71-L71+M71)</f>
        <v/>
      </c>
      <c r="O71" s="60" t="str">
        <f aca="false">IF($A71="","",IF(ROUND(N71,2)&gt;0,"Receivable",IF(ROUND(N71,2)&lt;0,"Payable","Settled")))</f>
        <v/>
      </c>
      <c r="P71" s="66" t="str">
        <f aca="false">IF($A71="","",IFERROR(SUMPRODUCT(MAX((Sales!$C$5:INDEX(Sales!$C$5:$C$3004,TxRows)=$A71)*Sales!$A$5:INDEX(Sales!$A$5:$A$3004,TxRows))),0))</f>
        <v/>
      </c>
      <c r="Q71" s="66" t="str">
        <f aca="false">IF($A71="","",IFERROR(SUMPRODUCT(MAX((CashBook!$D$5:INDEX(CashBook!$D$5:$D$3004,TxRows)=$A71)*(CashBook!$C$5:INDEX(CashBook!$C$5:$C$3004,TxRows)="Receipt")*CashBook!$A$5:INDEX(CashBook!$A$5:$A$3004,TxRows))),0))</f>
        <v/>
      </c>
      <c r="R71" s="67" t="str">
        <f aca="false">IF($A71="","",IF(ROUND(N71,2)&lt;=0,"",AsOf-IF(N(Q71)&gt;0,Q71,IF(N(P71)&gt;0,P71,FYStart))))</f>
        <v/>
      </c>
      <c r="S71" s="60" t="str">
        <f aca="false">IF($A71="","",IF(AND(N($G71)&gt;0,N71&gt;N($G71)),"OVER LIMIT",IF(AND(N71&gt;0,N(R71)&gt;N($H71)),"OVERDUE",IF(ROUND(N71,2)&lt;0,"PAY DUE",""))))</f>
        <v/>
      </c>
    </row>
    <row r="72" customFormat="false" ht="15" hidden="false" customHeight="false" outlineLevel="0" collapsed="false">
      <c r="A72" s="56"/>
      <c r="B72" s="56"/>
      <c r="C72" s="56"/>
      <c r="D72" s="56"/>
      <c r="E72" s="56"/>
      <c r="F72" s="56"/>
      <c r="G72" s="68"/>
      <c r="H72" s="69"/>
      <c r="I72" s="58"/>
      <c r="J72" s="61" t="str">
        <f aca="false">IF($A72="","",SUMIFS(Sales!$Q$5:INDEX(Sales!$Q$5:$Q$3004,TxRows),Sales!$C$5:INDEX(Sales!$C$5:$C$3004,TxRows),$A72)-SUMIFS(Sales!$X$5:INDEX(Sales!$X$5:$X$3004,TxRows),Sales!$C$5:INDEX(Sales!$C$5:$C$3004,TxRows),$A72))</f>
        <v/>
      </c>
      <c r="K72" s="61" t="str">
        <f aca="false">IF($A72="","",SUMIFS(CashBook!$G$5:INDEX(CashBook!$G$5:$G$3004,TxRows),CashBook!$D$5:INDEX(CashBook!$D$5:$D$3004,TxRows),$A72,CashBook!$C$5:INDEX(CashBook!$C$5:$C$3004,TxRows),"Receipt"))</f>
        <v/>
      </c>
      <c r="L72" s="61" t="str">
        <f aca="false">IF($A72="","",SUMIFS(Purchases!$P$5:INDEX(Purchases!$P$5:$P$3004,TxRows),Purchases!$C$5:INDEX(Purchases!$C$5:$C$3004,TxRows),$A72)-SUMIFS(Purchases!$S$5:INDEX(Purchases!$S$5:$S$3004,TxRows),Purchases!$C$5:INDEX(Purchases!$C$5:$C$3004,TxRows),$A72))</f>
        <v/>
      </c>
      <c r="M72" s="61" t="str">
        <f aca="false">IF($A72="","",SUMIFS(CashBook!$G$5:INDEX(CashBook!$G$5:$G$3004,TxRows),CashBook!$D$5:INDEX(CashBook!$D$5:$D$3004,TxRows),$A72,CashBook!$C$5:INDEX(CashBook!$C$5:$C$3004,TxRows),"Payment"))</f>
        <v/>
      </c>
      <c r="N72" s="61" t="str">
        <f aca="false">IF($A72="","",N($I72)+J72-K72-L72+M72)</f>
        <v/>
      </c>
      <c r="O72" s="60" t="str">
        <f aca="false">IF($A72="","",IF(ROUND(N72,2)&gt;0,"Receivable",IF(ROUND(N72,2)&lt;0,"Payable","Settled")))</f>
        <v/>
      </c>
      <c r="P72" s="66" t="str">
        <f aca="false">IF($A72="","",IFERROR(SUMPRODUCT(MAX((Sales!$C$5:INDEX(Sales!$C$5:$C$3004,TxRows)=$A72)*Sales!$A$5:INDEX(Sales!$A$5:$A$3004,TxRows))),0))</f>
        <v/>
      </c>
      <c r="Q72" s="66" t="str">
        <f aca="false">IF($A72="","",IFERROR(SUMPRODUCT(MAX((CashBook!$D$5:INDEX(CashBook!$D$5:$D$3004,TxRows)=$A72)*(CashBook!$C$5:INDEX(CashBook!$C$5:$C$3004,TxRows)="Receipt")*CashBook!$A$5:INDEX(CashBook!$A$5:$A$3004,TxRows))),0))</f>
        <v/>
      </c>
      <c r="R72" s="67" t="str">
        <f aca="false">IF($A72="","",IF(ROUND(N72,2)&lt;=0,"",AsOf-IF(N(Q72)&gt;0,Q72,IF(N(P72)&gt;0,P72,FYStart))))</f>
        <v/>
      </c>
      <c r="S72" s="60" t="str">
        <f aca="false">IF($A72="","",IF(AND(N($G72)&gt;0,N72&gt;N($G72)),"OVER LIMIT",IF(AND(N72&gt;0,N(R72)&gt;N($H72)),"OVERDUE",IF(ROUND(N72,2)&lt;0,"PAY DUE",""))))</f>
        <v/>
      </c>
    </row>
    <row r="73" customFormat="false" ht="15" hidden="false" customHeight="false" outlineLevel="0" collapsed="false">
      <c r="A73" s="56"/>
      <c r="B73" s="56"/>
      <c r="C73" s="56"/>
      <c r="D73" s="56"/>
      <c r="E73" s="56"/>
      <c r="F73" s="56"/>
      <c r="G73" s="68"/>
      <c r="H73" s="69"/>
      <c r="I73" s="58"/>
      <c r="J73" s="61" t="str">
        <f aca="false">IF($A73="","",SUMIFS(Sales!$Q$5:INDEX(Sales!$Q$5:$Q$3004,TxRows),Sales!$C$5:INDEX(Sales!$C$5:$C$3004,TxRows),$A73)-SUMIFS(Sales!$X$5:INDEX(Sales!$X$5:$X$3004,TxRows),Sales!$C$5:INDEX(Sales!$C$5:$C$3004,TxRows),$A73))</f>
        <v/>
      </c>
      <c r="K73" s="61" t="str">
        <f aca="false">IF($A73="","",SUMIFS(CashBook!$G$5:INDEX(CashBook!$G$5:$G$3004,TxRows),CashBook!$D$5:INDEX(CashBook!$D$5:$D$3004,TxRows),$A73,CashBook!$C$5:INDEX(CashBook!$C$5:$C$3004,TxRows),"Receipt"))</f>
        <v/>
      </c>
      <c r="L73" s="61" t="str">
        <f aca="false">IF($A73="","",SUMIFS(Purchases!$P$5:INDEX(Purchases!$P$5:$P$3004,TxRows),Purchases!$C$5:INDEX(Purchases!$C$5:$C$3004,TxRows),$A73)-SUMIFS(Purchases!$S$5:INDEX(Purchases!$S$5:$S$3004,TxRows),Purchases!$C$5:INDEX(Purchases!$C$5:$C$3004,TxRows),$A73))</f>
        <v/>
      </c>
      <c r="M73" s="61" t="str">
        <f aca="false">IF($A73="","",SUMIFS(CashBook!$G$5:INDEX(CashBook!$G$5:$G$3004,TxRows),CashBook!$D$5:INDEX(CashBook!$D$5:$D$3004,TxRows),$A73,CashBook!$C$5:INDEX(CashBook!$C$5:$C$3004,TxRows),"Payment"))</f>
        <v/>
      </c>
      <c r="N73" s="61" t="str">
        <f aca="false">IF($A73="","",N($I73)+J73-K73-L73+M73)</f>
        <v/>
      </c>
      <c r="O73" s="60" t="str">
        <f aca="false">IF($A73="","",IF(ROUND(N73,2)&gt;0,"Receivable",IF(ROUND(N73,2)&lt;0,"Payable","Settled")))</f>
        <v/>
      </c>
      <c r="P73" s="66" t="str">
        <f aca="false">IF($A73="","",IFERROR(SUMPRODUCT(MAX((Sales!$C$5:INDEX(Sales!$C$5:$C$3004,TxRows)=$A73)*Sales!$A$5:INDEX(Sales!$A$5:$A$3004,TxRows))),0))</f>
        <v/>
      </c>
      <c r="Q73" s="66" t="str">
        <f aca="false">IF($A73="","",IFERROR(SUMPRODUCT(MAX((CashBook!$D$5:INDEX(CashBook!$D$5:$D$3004,TxRows)=$A73)*(CashBook!$C$5:INDEX(CashBook!$C$5:$C$3004,TxRows)="Receipt")*CashBook!$A$5:INDEX(CashBook!$A$5:$A$3004,TxRows))),0))</f>
        <v/>
      </c>
      <c r="R73" s="67" t="str">
        <f aca="false">IF($A73="","",IF(ROUND(N73,2)&lt;=0,"",AsOf-IF(N(Q73)&gt;0,Q73,IF(N(P73)&gt;0,P73,FYStart))))</f>
        <v/>
      </c>
      <c r="S73" s="60" t="str">
        <f aca="false">IF($A73="","",IF(AND(N($G73)&gt;0,N73&gt;N($G73)),"OVER LIMIT",IF(AND(N73&gt;0,N(R73)&gt;N($H73)),"OVERDUE",IF(ROUND(N73,2)&lt;0,"PAY DUE",""))))</f>
        <v/>
      </c>
    </row>
    <row r="74" customFormat="false" ht="15" hidden="false" customHeight="false" outlineLevel="0" collapsed="false">
      <c r="A74" s="56"/>
      <c r="B74" s="56"/>
      <c r="C74" s="56"/>
      <c r="D74" s="56"/>
      <c r="E74" s="56"/>
      <c r="F74" s="56"/>
      <c r="G74" s="68"/>
      <c r="H74" s="69"/>
      <c r="I74" s="58"/>
      <c r="J74" s="61" t="str">
        <f aca="false">IF($A74="","",SUMIFS(Sales!$Q$5:INDEX(Sales!$Q$5:$Q$3004,TxRows),Sales!$C$5:INDEX(Sales!$C$5:$C$3004,TxRows),$A74)-SUMIFS(Sales!$X$5:INDEX(Sales!$X$5:$X$3004,TxRows),Sales!$C$5:INDEX(Sales!$C$5:$C$3004,TxRows),$A74))</f>
        <v/>
      </c>
      <c r="K74" s="61" t="str">
        <f aca="false">IF($A74="","",SUMIFS(CashBook!$G$5:INDEX(CashBook!$G$5:$G$3004,TxRows),CashBook!$D$5:INDEX(CashBook!$D$5:$D$3004,TxRows),$A74,CashBook!$C$5:INDEX(CashBook!$C$5:$C$3004,TxRows),"Receipt"))</f>
        <v/>
      </c>
      <c r="L74" s="61" t="str">
        <f aca="false">IF($A74="","",SUMIFS(Purchases!$P$5:INDEX(Purchases!$P$5:$P$3004,TxRows),Purchases!$C$5:INDEX(Purchases!$C$5:$C$3004,TxRows),$A74)-SUMIFS(Purchases!$S$5:INDEX(Purchases!$S$5:$S$3004,TxRows),Purchases!$C$5:INDEX(Purchases!$C$5:$C$3004,TxRows),$A74))</f>
        <v/>
      </c>
      <c r="M74" s="61" t="str">
        <f aca="false">IF($A74="","",SUMIFS(CashBook!$G$5:INDEX(CashBook!$G$5:$G$3004,TxRows),CashBook!$D$5:INDEX(CashBook!$D$5:$D$3004,TxRows),$A74,CashBook!$C$5:INDEX(CashBook!$C$5:$C$3004,TxRows),"Payment"))</f>
        <v/>
      </c>
      <c r="N74" s="61" t="str">
        <f aca="false">IF($A74="","",N($I74)+J74-K74-L74+M74)</f>
        <v/>
      </c>
      <c r="O74" s="60" t="str">
        <f aca="false">IF($A74="","",IF(ROUND(N74,2)&gt;0,"Receivable",IF(ROUND(N74,2)&lt;0,"Payable","Settled")))</f>
        <v/>
      </c>
      <c r="P74" s="66" t="str">
        <f aca="false">IF($A74="","",IFERROR(SUMPRODUCT(MAX((Sales!$C$5:INDEX(Sales!$C$5:$C$3004,TxRows)=$A74)*Sales!$A$5:INDEX(Sales!$A$5:$A$3004,TxRows))),0))</f>
        <v/>
      </c>
      <c r="Q74" s="66" t="str">
        <f aca="false">IF($A74="","",IFERROR(SUMPRODUCT(MAX((CashBook!$D$5:INDEX(CashBook!$D$5:$D$3004,TxRows)=$A74)*(CashBook!$C$5:INDEX(CashBook!$C$5:$C$3004,TxRows)="Receipt")*CashBook!$A$5:INDEX(CashBook!$A$5:$A$3004,TxRows))),0))</f>
        <v/>
      </c>
      <c r="R74" s="67" t="str">
        <f aca="false">IF($A74="","",IF(ROUND(N74,2)&lt;=0,"",AsOf-IF(N(Q74)&gt;0,Q74,IF(N(P74)&gt;0,P74,FYStart))))</f>
        <v/>
      </c>
      <c r="S74" s="60" t="str">
        <f aca="false">IF($A74="","",IF(AND(N($G74)&gt;0,N74&gt;N($G74)),"OVER LIMIT",IF(AND(N74&gt;0,N(R74)&gt;N($H74)),"OVERDUE",IF(ROUND(N74,2)&lt;0,"PAY DUE",""))))</f>
        <v/>
      </c>
    </row>
    <row r="75" customFormat="false" ht="15" hidden="false" customHeight="false" outlineLevel="0" collapsed="false">
      <c r="A75" s="56"/>
      <c r="B75" s="56"/>
      <c r="C75" s="56"/>
      <c r="D75" s="56"/>
      <c r="E75" s="56"/>
      <c r="F75" s="56"/>
      <c r="G75" s="68"/>
      <c r="H75" s="69"/>
      <c r="I75" s="58"/>
      <c r="J75" s="61" t="str">
        <f aca="false">IF($A75="","",SUMIFS(Sales!$Q$5:INDEX(Sales!$Q$5:$Q$3004,TxRows),Sales!$C$5:INDEX(Sales!$C$5:$C$3004,TxRows),$A75)-SUMIFS(Sales!$X$5:INDEX(Sales!$X$5:$X$3004,TxRows),Sales!$C$5:INDEX(Sales!$C$5:$C$3004,TxRows),$A75))</f>
        <v/>
      </c>
      <c r="K75" s="61" t="str">
        <f aca="false">IF($A75="","",SUMIFS(CashBook!$G$5:INDEX(CashBook!$G$5:$G$3004,TxRows),CashBook!$D$5:INDEX(CashBook!$D$5:$D$3004,TxRows),$A75,CashBook!$C$5:INDEX(CashBook!$C$5:$C$3004,TxRows),"Receipt"))</f>
        <v/>
      </c>
      <c r="L75" s="61" t="str">
        <f aca="false">IF($A75="","",SUMIFS(Purchases!$P$5:INDEX(Purchases!$P$5:$P$3004,TxRows),Purchases!$C$5:INDEX(Purchases!$C$5:$C$3004,TxRows),$A75)-SUMIFS(Purchases!$S$5:INDEX(Purchases!$S$5:$S$3004,TxRows),Purchases!$C$5:INDEX(Purchases!$C$5:$C$3004,TxRows),$A75))</f>
        <v/>
      </c>
      <c r="M75" s="61" t="str">
        <f aca="false">IF($A75="","",SUMIFS(CashBook!$G$5:INDEX(CashBook!$G$5:$G$3004,TxRows),CashBook!$D$5:INDEX(CashBook!$D$5:$D$3004,TxRows),$A75,CashBook!$C$5:INDEX(CashBook!$C$5:$C$3004,TxRows),"Payment"))</f>
        <v/>
      </c>
      <c r="N75" s="61" t="str">
        <f aca="false">IF($A75="","",N($I75)+J75-K75-L75+M75)</f>
        <v/>
      </c>
      <c r="O75" s="60" t="str">
        <f aca="false">IF($A75="","",IF(ROUND(N75,2)&gt;0,"Receivable",IF(ROUND(N75,2)&lt;0,"Payable","Settled")))</f>
        <v/>
      </c>
      <c r="P75" s="66" t="str">
        <f aca="false">IF($A75="","",IFERROR(SUMPRODUCT(MAX((Sales!$C$5:INDEX(Sales!$C$5:$C$3004,TxRows)=$A75)*Sales!$A$5:INDEX(Sales!$A$5:$A$3004,TxRows))),0))</f>
        <v/>
      </c>
      <c r="Q75" s="66" t="str">
        <f aca="false">IF($A75="","",IFERROR(SUMPRODUCT(MAX((CashBook!$D$5:INDEX(CashBook!$D$5:$D$3004,TxRows)=$A75)*(CashBook!$C$5:INDEX(CashBook!$C$5:$C$3004,TxRows)="Receipt")*CashBook!$A$5:INDEX(CashBook!$A$5:$A$3004,TxRows))),0))</f>
        <v/>
      </c>
      <c r="R75" s="67" t="str">
        <f aca="false">IF($A75="","",IF(ROUND(N75,2)&lt;=0,"",AsOf-IF(N(Q75)&gt;0,Q75,IF(N(P75)&gt;0,P75,FYStart))))</f>
        <v/>
      </c>
      <c r="S75" s="60" t="str">
        <f aca="false">IF($A75="","",IF(AND(N($G75)&gt;0,N75&gt;N($G75)),"OVER LIMIT",IF(AND(N75&gt;0,N(R75)&gt;N($H75)),"OVERDUE",IF(ROUND(N75,2)&lt;0,"PAY DUE",""))))</f>
        <v/>
      </c>
    </row>
    <row r="76" customFormat="false" ht="15" hidden="false" customHeight="false" outlineLevel="0" collapsed="false">
      <c r="A76" s="56"/>
      <c r="B76" s="56"/>
      <c r="C76" s="56"/>
      <c r="D76" s="56"/>
      <c r="E76" s="56"/>
      <c r="F76" s="56"/>
      <c r="G76" s="68"/>
      <c r="H76" s="69"/>
      <c r="I76" s="58"/>
      <c r="J76" s="61" t="str">
        <f aca="false">IF($A76="","",SUMIFS(Sales!$Q$5:INDEX(Sales!$Q$5:$Q$3004,TxRows),Sales!$C$5:INDEX(Sales!$C$5:$C$3004,TxRows),$A76)-SUMIFS(Sales!$X$5:INDEX(Sales!$X$5:$X$3004,TxRows),Sales!$C$5:INDEX(Sales!$C$5:$C$3004,TxRows),$A76))</f>
        <v/>
      </c>
      <c r="K76" s="61" t="str">
        <f aca="false">IF($A76="","",SUMIFS(CashBook!$G$5:INDEX(CashBook!$G$5:$G$3004,TxRows),CashBook!$D$5:INDEX(CashBook!$D$5:$D$3004,TxRows),$A76,CashBook!$C$5:INDEX(CashBook!$C$5:$C$3004,TxRows),"Receipt"))</f>
        <v/>
      </c>
      <c r="L76" s="61" t="str">
        <f aca="false">IF($A76="","",SUMIFS(Purchases!$P$5:INDEX(Purchases!$P$5:$P$3004,TxRows),Purchases!$C$5:INDEX(Purchases!$C$5:$C$3004,TxRows),$A76)-SUMIFS(Purchases!$S$5:INDEX(Purchases!$S$5:$S$3004,TxRows),Purchases!$C$5:INDEX(Purchases!$C$5:$C$3004,TxRows),$A76))</f>
        <v/>
      </c>
      <c r="M76" s="61" t="str">
        <f aca="false">IF($A76="","",SUMIFS(CashBook!$G$5:INDEX(CashBook!$G$5:$G$3004,TxRows),CashBook!$D$5:INDEX(CashBook!$D$5:$D$3004,TxRows),$A76,CashBook!$C$5:INDEX(CashBook!$C$5:$C$3004,TxRows),"Payment"))</f>
        <v/>
      </c>
      <c r="N76" s="61" t="str">
        <f aca="false">IF($A76="","",N($I76)+J76-K76-L76+M76)</f>
        <v/>
      </c>
      <c r="O76" s="60" t="str">
        <f aca="false">IF($A76="","",IF(ROUND(N76,2)&gt;0,"Receivable",IF(ROUND(N76,2)&lt;0,"Payable","Settled")))</f>
        <v/>
      </c>
      <c r="P76" s="66" t="str">
        <f aca="false">IF($A76="","",IFERROR(SUMPRODUCT(MAX((Sales!$C$5:INDEX(Sales!$C$5:$C$3004,TxRows)=$A76)*Sales!$A$5:INDEX(Sales!$A$5:$A$3004,TxRows))),0))</f>
        <v/>
      </c>
      <c r="Q76" s="66" t="str">
        <f aca="false">IF($A76="","",IFERROR(SUMPRODUCT(MAX((CashBook!$D$5:INDEX(CashBook!$D$5:$D$3004,TxRows)=$A76)*(CashBook!$C$5:INDEX(CashBook!$C$5:$C$3004,TxRows)="Receipt")*CashBook!$A$5:INDEX(CashBook!$A$5:$A$3004,TxRows))),0))</f>
        <v/>
      </c>
      <c r="R76" s="67" t="str">
        <f aca="false">IF($A76="","",IF(ROUND(N76,2)&lt;=0,"",AsOf-IF(N(Q76)&gt;0,Q76,IF(N(P76)&gt;0,P76,FYStart))))</f>
        <v/>
      </c>
      <c r="S76" s="60" t="str">
        <f aca="false">IF($A76="","",IF(AND(N($G76)&gt;0,N76&gt;N($G76)),"OVER LIMIT",IF(AND(N76&gt;0,N(R76)&gt;N($H76)),"OVERDUE",IF(ROUND(N76,2)&lt;0,"PAY DUE",""))))</f>
        <v/>
      </c>
    </row>
    <row r="77" customFormat="false" ht="15" hidden="false" customHeight="false" outlineLevel="0" collapsed="false">
      <c r="A77" s="56"/>
      <c r="B77" s="56"/>
      <c r="C77" s="56"/>
      <c r="D77" s="56"/>
      <c r="E77" s="56"/>
      <c r="F77" s="56"/>
      <c r="G77" s="68"/>
      <c r="H77" s="69"/>
      <c r="I77" s="58"/>
      <c r="J77" s="61" t="str">
        <f aca="false">IF($A77="","",SUMIFS(Sales!$Q$5:INDEX(Sales!$Q$5:$Q$3004,TxRows),Sales!$C$5:INDEX(Sales!$C$5:$C$3004,TxRows),$A77)-SUMIFS(Sales!$X$5:INDEX(Sales!$X$5:$X$3004,TxRows),Sales!$C$5:INDEX(Sales!$C$5:$C$3004,TxRows),$A77))</f>
        <v/>
      </c>
      <c r="K77" s="61" t="str">
        <f aca="false">IF($A77="","",SUMIFS(CashBook!$G$5:INDEX(CashBook!$G$5:$G$3004,TxRows),CashBook!$D$5:INDEX(CashBook!$D$5:$D$3004,TxRows),$A77,CashBook!$C$5:INDEX(CashBook!$C$5:$C$3004,TxRows),"Receipt"))</f>
        <v/>
      </c>
      <c r="L77" s="61" t="str">
        <f aca="false">IF($A77="","",SUMIFS(Purchases!$P$5:INDEX(Purchases!$P$5:$P$3004,TxRows),Purchases!$C$5:INDEX(Purchases!$C$5:$C$3004,TxRows),$A77)-SUMIFS(Purchases!$S$5:INDEX(Purchases!$S$5:$S$3004,TxRows),Purchases!$C$5:INDEX(Purchases!$C$5:$C$3004,TxRows),$A77))</f>
        <v/>
      </c>
      <c r="M77" s="61" t="str">
        <f aca="false">IF($A77="","",SUMIFS(CashBook!$G$5:INDEX(CashBook!$G$5:$G$3004,TxRows),CashBook!$D$5:INDEX(CashBook!$D$5:$D$3004,TxRows),$A77,CashBook!$C$5:INDEX(CashBook!$C$5:$C$3004,TxRows),"Payment"))</f>
        <v/>
      </c>
      <c r="N77" s="61" t="str">
        <f aca="false">IF($A77="","",N($I77)+J77-K77-L77+M77)</f>
        <v/>
      </c>
      <c r="O77" s="60" t="str">
        <f aca="false">IF($A77="","",IF(ROUND(N77,2)&gt;0,"Receivable",IF(ROUND(N77,2)&lt;0,"Payable","Settled")))</f>
        <v/>
      </c>
      <c r="P77" s="66" t="str">
        <f aca="false">IF($A77="","",IFERROR(SUMPRODUCT(MAX((Sales!$C$5:INDEX(Sales!$C$5:$C$3004,TxRows)=$A77)*Sales!$A$5:INDEX(Sales!$A$5:$A$3004,TxRows))),0))</f>
        <v/>
      </c>
      <c r="Q77" s="66" t="str">
        <f aca="false">IF($A77="","",IFERROR(SUMPRODUCT(MAX((CashBook!$D$5:INDEX(CashBook!$D$5:$D$3004,TxRows)=$A77)*(CashBook!$C$5:INDEX(CashBook!$C$5:$C$3004,TxRows)="Receipt")*CashBook!$A$5:INDEX(CashBook!$A$5:$A$3004,TxRows))),0))</f>
        <v/>
      </c>
      <c r="R77" s="67" t="str">
        <f aca="false">IF($A77="","",IF(ROUND(N77,2)&lt;=0,"",AsOf-IF(N(Q77)&gt;0,Q77,IF(N(P77)&gt;0,P77,FYStart))))</f>
        <v/>
      </c>
      <c r="S77" s="60" t="str">
        <f aca="false">IF($A77="","",IF(AND(N($G77)&gt;0,N77&gt;N($G77)),"OVER LIMIT",IF(AND(N77&gt;0,N(R77)&gt;N($H77)),"OVERDUE",IF(ROUND(N77,2)&lt;0,"PAY DUE",""))))</f>
        <v/>
      </c>
    </row>
    <row r="78" customFormat="false" ht="15" hidden="false" customHeight="false" outlineLevel="0" collapsed="false">
      <c r="A78" s="56"/>
      <c r="B78" s="56"/>
      <c r="C78" s="56"/>
      <c r="D78" s="56"/>
      <c r="E78" s="56"/>
      <c r="F78" s="56"/>
      <c r="G78" s="68"/>
      <c r="H78" s="69"/>
      <c r="I78" s="58"/>
      <c r="J78" s="61" t="str">
        <f aca="false">IF($A78="","",SUMIFS(Sales!$Q$5:INDEX(Sales!$Q$5:$Q$3004,TxRows),Sales!$C$5:INDEX(Sales!$C$5:$C$3004,TxRows),$A78)-SUMIFS(Sales!$X$5:INDEX(Sales!$X$5:$X$3004,TxRows),Sales!$C$5:INDEX(Sales!$C$5:$C$3004,TxRows),$A78))</f>
        <v/>
      </c>
      <c r="K78" s="61" t="str">
        <f aca="false">IF($A78="","",SUMIFS(CashBook!$G$5:INDEX(CashBook!$G$5:$G$3004,TxRows),CashBook!$D$5:INDEX(CashBook!$D$5:$D$3004,TxRows),$A78,CashBook!$C$5:INDEX(CashBook!$C$5:$C$3004,TxRows),"Receipt"))</f>
        <v/>
      </c>
      <c r="L78" s="61" t="str">
        <f aca="false">IF($A78="","",SUMIFS(Purchases!$P$5:INDEX(Purchases!$P$5:$P$3004,TxRows),Purchases!$C$5:INDEX(Purchases!$C$5:$C$3004,TxRows),$A78)-SUMIFS(Purchases!$S$5:INDEX(Purchases!$S$5:$S$3004,TxRows),Purchases!$C$5:INDEX(Purchases!$C$5:$C$3004,TxRows),$A78))</f>
        <v/>
      </c>
      <c r="M78" s="61" t="str">
        <f aca="false">IF($A78="","",SUMIFS(CashBook!$G$5:INDEX(CashBook!$G$5:$G$3004,TxRows),CashBook!$D$5:INDEX(CashBook!$D$5:$D$3004,TxRows),$A78,CashBook!$C$5:INDEX(CashBook!$C$5:$C$3004,TxRows),"Payment"))</f>
        <v/>
      </c>
      <c r="N78" s="61" t="str">
        <f aca="false">IF($A78="","",N($I78)+J78-K78-L78+M78)</f>
        <v/>
      </c>
      <c r="O78" s="60" t="str">
        <f aca="false">IF($A78="","",IF(ROUND(N78,2)&gt;0,"Receivable",IF(ROUND(N78,2)&lt;0,"Payable","Settled")))</f>
        <v/>
      </c>
      <c r="P78" s="66" t="str">
        <f aca="false">IF($A78="","",IFERROR(SUMPRODUCT(MAX((Sales!$C$5:INDEX(Sales!$C$5:$C$3004,TxRows)=$A78)*Sales!$A$5:INDEX(Sales!$A$5:$A$3004,TxRows))),0))</f>
        <v/>
      </c>
      <c r="Q78" s="66" t="str">
        <f aca="false">IF($A78="","",IFERROR(SUMPRODUCT(MAX((CashBook!$D$5:INDEX(CashBook!$D$5:$D$3004,TxRows)=$A78)*(CashBook!$C$5:INDEX(CashBook!$C$5:$C$3004,TxRows)="Receipt")*CashBook!$A$5:INDEX(CashBook!$A$5:$A$3004,TxRows))),0))</f>
        <v/>
      </c>
      <c r="R78" s="67" t="str">
        <f aca="false">IF($A78="","",IF(ROUND(N78,2)&lt;=0,"",AsOf-IF(N(Q78)&gt;0,Q78,IF(N(P78)&gt;0,P78,FYStart))))</f>
        <v/>
      </c>
      <c r="S78" s="60" t="str">
        <f aca="false">IF($A78="","",IF(AND(N($G78)&gt;0,N78&gt;N($G78)),"OVER LIMIT",IF(AND(N78&gt;0,N(R78)&gt;N($H78)),"OVERDUE",IF(ROUND(N78,2)&lt;0,"PAY DUE",""))))</f>
        <v/>
      </c>
    </row>
    <row r="79" customFormat="false" ht="15" hidden="false" customHeight="false" outlineLevel="0" collapsed="false">
      <c r="A79" s="56"/>
      <c r="B79" s="56"/>
      <c r="C79" s="56"/>
      <c r="D79" s="56"/>
      <c r="E79" s="56"/>
      <c r="F79" s="56"/>
      <c r="G79" s="68"/>
      <c r="H79" s="69"/>
      <c r="I79" s="58"/>
      <c r="J79" s="61" t="str">
        <f aca="false">IF($A79="","",SUMIFS(Sales!$Q$5:INDEX(Sales!$Q$5:$Q$3004,TxRows),Sales!$C$5:INDEX(Sales!$C$5:$C$3004,TxRows),$A79)-SUMIFS(Sales!$X$5:INDEX(Sales!$X$5:$X$3004,TxRows),Sales!$C$5:INDEX(Sales!$C$5:$C$3004,TxRows),$A79))</f>
        <v/>
      </c>
      <c r="K79" s="61" t="str">
        <f aca="false">IF($A79="","",SUMIFS(CashBook!$G$5:INDEX(CashBook!$G$5:$G$3004,TxRows),CashBook!$D$5:INDEX(CashBook!$D$5:$D$3004,TxRows),$A79,CashBook!$C$5:INDEX(CashBook!$C$5:$C$3004,TxRows),"Receipt"))</f>
        <v/>
      </c>
      <c r="L79" s="61" t="str">
        <f aca="false">IF($A79="","",SUMIFS(Purchases!$P$5:INDEX(Purchases!$P$5:$P$3004,TxRows),Purchases!$C$5:INDEX(Purchases!$C$5:$C$3004,TxRows),$A79)-SUMIFS(Purchases!$S$5:INDEX(Purchases!$S$5:$S$3004,TxRows),Purchases!$C$5:INDEX(Purchases!$C$5:$C$3004,TxRows),$A79))</f>
        <v/>
      </c>
      <c r="M79" s="61" t="str">
        <f aca="false">IF($A79="","",SUMIFS(CashBook!$G$5:INDEX(CashBook!$G$5:$G$3004,TxRows),CashBook!$D$5:INDEX(CashBook!$D$5:$D$3004,TxRows),$A79,CashBook!$C$5:INDEX(CashBook!$C$5:$C$3004,TxRows),"Payment"))</f>
        <v/>
      </c>
      <c r="N79" s="61" t="str">
        <f aca="false">IF($A79="","",N($I79)+J79-K79-L79+M79)</f>
        <v/>
      </c>
      <c r="O79" s="60" t="str">
        <f aca="false">IF($A79="","",IF(ROUND(N79,2)&gt;0,"Receivable",IF(ROUND(N79,2)&lt;0,"Payable","Settled")))</f>
        <v/>
      </c>
      <c r="P79" s="66" t="str">
        <f aca="false">IF($A79="","",IFERROR(SUMPRODUCT(MAX((Sales!$C$5:INDEX(Sales!$C$5:$C$3004,TxRows)=$A79)*Sales!$A$5:INDEX(Sales!$A$5:$A$3004,TxRows))),0))</f>
        <v/>
      </c>
      <c r="Q79" s="66" t="str">
        <f aca="false">IF($A79="","",IFERROR(SUMPRODUCT(MAX((CashBook!$D$5:INDEX(CashBook!$D$5:$D$3004,TxRows)=$A79)*(CashBook!$C$5:INDEX(CashBook!$C$5:$C$3004,TxRows)="Receipt")*CashBook!$A$5:INDEX(CashBook!$A$5:$A$3004,TxRows))),0))</f>
        <v/>
      </c>
      <c r="R79" s="67" t="str">
        <f aca="false">IF($A79="","",IF(ROUND(N79,2)&lt;=0,"",AsOf-IF(N(Q79)&gt;0,Q79,IF(N(P79)&gt;0,P79,FYStart))))</f>
        <v/>
      </c>
      <c r="S79" s="60" t="str">
        <f aca="false">IF($A79="","",IF(AND(N($G79)&gt;0,N79&gt;N($G79)),"OVER LIMIT",IF(AND(N79&gt;0,N(R79)&gt;N($H79)),"OVERDUE",IF(ROUND(N79,2)&lt;0,"PAY DUE",""))))</f>
        <v/>
      </c>
    </row>
    <row r="80" customFormat="false" ht="15" hidden="false" customHeight="false" outlineLevel="0" collapsed="false">
      <c r="A80" s="56"/>
      <c r="B80" s="56"/>
      <c r="C80" s="56"/>
      <c r="D80" s="56"/>
      <c r="E80" s="56"/>
      <c r="F80" s="56"/>
      <c r="G80" s="68"/>
      <c r="H80" s="69"/>
      <c r="I80" s="58"/>
      <c r="J80" s="61" t="str">
        <f aca="false">IF($A80="","",SUMIFS(Sales!$Q$5:INDEX(Sales!$Q$5:$Q$3004,TxRows),Sales!$C$5:INDEX(Sales!$C$5:$C$3004,TxRows),$A80)-SUMIFS(Sales!$X$5:INDEX(Sales!$X$5:$X$3004,TxRows),Sales!$C$5:INDEX(Sales!$C$5:$C$3004,TxRows),$A80))</f>
        <v/>
      </c>
      <c r="K80" s="61" t="str">
        <f aca="false">IF($A80="","",SUMIFS(CashBook!$G$5:INDEX(CashBook!$G$5:$G$3004,TxRows),CashBook!$D$5:INDEX(CashBook!$D$5:$D$3004,TxRows),$A80,CashBook!$C$5:INDEX(CashBook!$C$5:$C$3004,TxRows),"Receipt"))</f>
        <v/>
      </c>
      <c r="L80" s="61" t="str">
        <f aca="false">IF($A80="","",SUMIFS(Purchases!$P$5:INDEX(Purchases!$P$5:$P$3004,TxRows),Purchases!$C$5:INDEX(Purchases!$C$5:$C$3004,TxRows),$A80)-SUMIFS(Purchases!$S$5:INDEX(Purchases!$S$5:$S$3004,TxRows),Purchases!$C$5:INDEX(Purchases!$C$5:$C$3004,TxRows),$A80))</f>
        <v/>
      </c>
      <c r="M80" s="61" t="str">
        <f aca="false">IF($A80="","",SUMIFS(CashBook!$G$5:INDEX(CashBook!$G$5:$G$3004,TxRows),CashBook!$D$5:INDEX(CashBook!$D$5:$D$3004,TxRows),$A80,CashBook!$C$5:INDEX(CashBook!$C$5:$C$3004,TxRows),"Payment"))</f>
        <v/>
      </c>
      <c r="N80" s="61" t="str">
        <f aca="false">IF($A80="","",N($I80)+J80-K80-L80+M80)</f>
        <v/>
      </c>
      <c r="O80" s="60" t="str">
        <f aca="false">IF($A80="","",IF(ROUND(N80,2)&gt;0,"Receivable",IF(ROUND(N80,2)&lt;0,"Payable","Settled")))</f>
        <v/>
      </c>
      <c r="P80" s="66" t="str">
        <f aca="false">IF($A80="","",IFERROR(SUMPRODUCT(MAX((Sales!$C$5:INDEX(Sales!$C$5:$C$3004,TxRows)=$A80)*Sales!$A$5:INDEX(Sales!$A$5:$A$3004,TxRows))),0))</f>
        <v/>
      </c>
      <c r="Q80" s="66" t="str">
        <f aca="false">IF($A80="","",IFERROR(SUMPRODUCT(MAX((CashBook!$D$5:INDEX(CashBook!$D$5:$D$3004,TxRows)=$A80)*(CashBook!$C$5:INDEX(CashBook!$C$5:$C$3004,TxRows)="Receipt")*CashBook!$A$5:INDEX(CashBook!$A$5:$A$3004,TxRows))),0))</f>
        <v/>
      </c>
      <c r="R80" s="67" t="str">
        <f aca="false">IF($A80="","",IF(ROUND(N80,2)&lt;=0,"",AsOf-IF(N(Q80)&gt;0,Q80,IF(N(P80)&gt;0,P80,FYStart))))</f>
        <v/>
      </c>
      <c r="S80" s="60" t="str">
        <f aca="false">IF($A80="","",IF(AND(N($G80)&gt;0,N80&gt;N($G80)),"OVER LIMIT",IF(AND(N80&gt;0,N(R80)&gt;N($H80)),"OVERDUE",IF(ROUND(N80,2)&lt;0,"PAY DUE",""))))</f>
        <v/>
      </c>
    </row>
    <row r="81" customFormat="false" ht="15" hidden="false" customHeight="false" outlineLevel="0" collapsed="false">
      <c r="A81" s="56"/>
      <c r="B81" s="56"/>
      <c r="C81" s="56"/>
      <c r="D81" s="56"/>
      <c r="E81" s="56"/>
      <c r="F81" s="56"/>
      <c r="G81" s="68"/>
      <c r="H81" s="69"/>
      <c r="I81" s="58"/>
      <c r="J81" s="61" t="str">
        <f aca="false">IF($A81="","",SUMIFS(Sales!$Q$5:INDEX(Sales!$Q$5:$Q$3004,TxRows),Sales!$C$5:INDEX(Sales!$C$5:$C$3004,TxRows),$A81)-SUMIFS(Sales!$X$5:INDEX(Sales!$X$5:$X$3004,TxRows),Sales!$C$5:INDEX(Sales!$C$5:$C$3004,TxRows),$A81))</f>
        <v/>
      </c>
      <c r="K81" s="61" t="str">
        <f aca="false">IF($A81="","",SUMIFS(CashBook!$G$5:INDEX(CashBook!$G$5:$G$3004,TxRows),CashBook!$D$5:INDEX(CashBook!$D$5:$D$3004,TxRows),$A81,CashBook!$C$5:INDEX(CashBook!$C$5:$C$3004,TxRows),"Receipt"))</f>
        <v/>
      </c>
      <c r="L81" s="61" t="str">
        <f aca="false">IF($A81="","",SUMIFS(Purchases!$P$5:INDEX(Purchases!$P$5:$P$3004,TxRows),Purchases!$C$5:INDEX(Purchases!$C$5:$C$3004,TxRows),$A81)-SUMIFS(Purchases!$S$5:INDEX(Purchases!$S$5:$S$3004,TxRows),Purchases!$C$5:INDEX(Purchases!$C$5:$C$3004,TxRows),$A81))</f>
        <v/>
      </c>
      <c r="M81" s="61" t="str">
        <f aca="false">IF($A81="","",SUMIFS(CashBook!$G$5:INDEX(CashBook!$G$5:$G$3004,TxRows),CashBook!$D$5:INDEX(CashBook!$D$5:$D$3004,TxRows),$A81,CashBook!$C$5:INDEX(CashBook!$C$5:$C$3004,TxRows),"Payment"))</f>
        <v/>
      </c>
      <c r="N81" s="61" t="str">
        <f aca="false">IF($A81="","",N($I81)+J81-K81-L81+M81)</f>
        <v/>
      </c>
      <c r="O81" s="60" t="str">
        <f aca="false">IF($A81="","",IF(ROUND(N81,2)&gt;0,"Receivable",IF(ROUND(N81,2)&lt;0,"Payable","Settled")))</f>
        <v/>
      </c>
      <c r="P81" s="66" t="str">
        <f aca="false">IF($A81="","",IFERROR(SUMPRODUCT(MAX((Sales!$C$5:INDEX(Sales!$C$5:$C$3004,TxRows)=$A81)*Sales!$A$5:INDEX(Sales!$A$5:$A$3004,TxRows))),0))</f>
        <v/>
      </c>
      <c r="Q81" s="66" t="str">
        <f aca="false">IF($A81="","",IFERROR(SUMPRODUCT(MAX((CashBook!$D$5:INDEX(CashBook!$D$5:$D$3004,TxRows)=$A81)*(CashBook!$C$5:INDEX(CashBook!$C$5:$C$3004,TxRows)="Receipt")*CashBook!$A$5:INDEX(CashBook!$A$5:$A$3004,TxRows))),0))</f>
        <v/>
      </c>
      <c r="R81" s="67" t="str">
        <f aca="false">IF($A81="","",IF(ROUND(N81,2)&lt;=0,"",AsOf-IF(N(Q81)&gt;0,Q81,IF(N(P81)&gt;0,P81,FYStart))))</f>
        <v/>
      </c>
      <c r="S81" s="60" t="str">
        <f aca="false">IF($A81="","",IF(AND(N($G81)&gt;0,N81&gt;N($G81)),"OVER LIMIT",IF(AND(N81&gt;0,N(R81)&gt;N($H81)),"OVERDUE",IF(ROUND(N81,2)&lt;0,"PAY DUE",""))))</f>
        <v/>
      </c>
    </row>
    <row r="82" customFormat="false" ht="15" hidden="false" customHeight="false" outlineLevel="0" collapsed="false">
      <c r="A82" s="56"/>
      <c r="B82" s="56"/>
      <c r="C82" s="56"/>
      <c r="D82" s="56"/>
      <c r="E82" s="56"/>
      <c r="F82" s="56"/>
      <c r="G82" s="68"/>
      <c r="H82" s="69"/>
      <c r="I82" s="58"/>
      <c r="J82" s="61" t="str">
        <f aca="false">IF($A82="","",SUMIFS(Sales!$Q$5:INDEX(Sales!$Q$5:$Q$3004,TxRows),Sales!$C$5:INDEX(Sales!$C$5:$C$3004,TxRows),$A82)-SUMIFS(Sales!$X$5:INDEX(Sales!$X$5:$X$3004,TxRows),Sales!$C$5:INDEX(Sales!$C$5:$C$3004,TxRows),$A82))</f>
        <v/>
      </c>
      <c r="K82" s="61" t="str">
        <f aca="false">IF($A82="","",SUMIFS(CashBook!$G$5:INDEX(CashBook!$G$5:$G$3004,TxRows),CashBook!$D$5:INDEX(CashBook!$D$5:$D$3004,TxRows),$A82,CashBook!$C$5:INDEX(CashBook!$C$5:$C$3004,TxRows),"Receipt"))</f>
        <v/>
      </c>
      <c r="L82" s="61" t="str">
        <f aca="false">IF($A82="","",SUMIFS(Purchases!$P$5:INDEX(Purchases!$P$5:$P$3004,TxRows),Purchases!$C$5:INDEX(Purchases!$C$5:$C$3004,TxRows),$A82)-SUMIFS(Purchases!$S$5:INDEX(Purchases!$S$5:$S$3004,TxRows),Purchases!$C$5:INDEX(Purchases!$C$5:$C$3004,TxRows),$A82))</f>
        <v/>
      </c>
      <c r="M82" s="61" t="str">
        <f aca="false">IF($A82="","",SUMIFS(CashBook!$G$5:INDEX(CashBook!$G$5:$G$3004,TxRows),CashBook!$D$5:INDEX(CashBook!$D$5:$D$3004,TxRows),$A82,CashBook!$C$5:INDEX(CashBook!$C$5:$C$3004,TxRows),"Payment"))</f>
        <v/>
      </c>
      <c r="N82" s="61" t="str">
        <f aca="false">IF($A82="","",N($I82)+J82-K82-L82+M82)</f>
        <v/>
      </c>
      <c r="O82" s="60" t="str">
        <f aca="false">IF($A82="","",IF(ROUND(N82,2)&gt;0,"Receivable",IF(ROUND(N82,2)&lt;0,"Payable","Settled")))</f>
        <v/>
      </c>
      <c r="P82" s="66" t="str">
        <f aca="false">IF($A82="","",IFERROR(SUMPRODUCT(MAX((Sales!$C$5:INDEX(Sales!$C$5:$C$3004,TxRows)=$A82)*Sales!$A$5:INDEX(Sales!$A$5:$A$3004,TxRows))),0))</f>
        <v/>
      </c>
      <c r="Q82" s="66" t="str">
        <f aca="false">IF($A82="","",IFERROR(SUMPRODUCT(MAX((CashBook!$D$5:INDEX(CashBook!$D$5:$D$3004,TxRows)=$A82)*(CashBook!$C$5:INDEX(CashBook!$C$5:$C$3004,TxRows)="Receipt")*CashBook!$A$5:INDEX(CashBook!$A$5:$A$3004,TxRows))),0))</f>
        <v/>
      </c>
      <c r="R82" s="67" t="str">
        <f aca="false">IF($A82="","",IF(ROUND(N82,2)&lt;=0,"",AsOf-IF(N(Q82)&gt;0,Q82,IF(N(P82)&gt;0,P82,FYStart))))</f>
        <v/>
      </c>
      <c r="S82" s="60" t="str">
        <f aca="false">IF($A82="","",IF(AND(N($G82)&gt;0,N82&gt;N($G82)),"OVER LIMIT",IF(AND(N82&gt;0,N(R82)&gt;N($H82)),"OVERDUE",IF(ROUND(N82,2)&lt;0,"PAY DUE",""))))</f>
        <v/>
      </c>
    </row>
    <row r="83" customFormat="false" ht="15" hidden="false" customHeight="false" outlineLevel="0" collapsed="false">
      <c r="A83" s="56"/>
      <c r="B83" s="56"/>
      <c r="C83" s="56"/>
      <c r="D83" s="56"/>
      <c r="E83" s="56"/>
      <c r="F83" s="56"/>
      <c r="G83" s="68"/>
      <c r="H83" s="69"/>
      <c r="I83" s="58"/>
      <c r="J83" s="61" t="str">
        <f aca="false">IF($A83="","",SUMIFS(Sales!$Q$5:INDEX(Sales!$Q$5:$Q$3004,TxRows),Sales!$C$5:INDEX(Sales!$C$5:$C$3004,TxRows),$A83)-SUMIFS(Sales!$X$5:INDEX(Sales!$X$5:$X$3004,TxRows),Sales!$C$5:INDEX(Sales!$C$5:$C$3004,TxRows),$A83))</f>
        <v/>
      </c>
      <c r="K83" s="61" t="str">
        <f aca="false">IF($A83="","",SUMIFS(CashBook!$G$5:INDEX(CashBook!$G$5:$G$3004,TxRows),CashBook!$D$5:INDEX(CashBook!$D$5:$D$3004,TxRows),$A83,CashBook!$C$5:INDEX(CashBook!$C$5:$C$3004,TxRows),"Receipt"))</f>
        <v/>
      </c>
      <c r="L83" s="61" t="str">
        <f aca="false">IF($A83="","",SUMIFS(Purchases!$P$5:INDEX(Purchases!$P$5:$P$3004,TxRows),Purchases!$C$5:INDEX(Purchases!$C$5:$C$3004,TxRows),$A83)-SUMIFS(Purchases!$S$5:INDEX(Purchases!$S$5:$S$3004,TxRows),Purchases!$C$5:INDEX(Purchases!$C$5:$C$3004,TxRows),$A83))</f>
        <v/>
      </c>
      <c r="M83" s="61" t="str">
        <f aca="false">IF($A83="","",SUMIFS(CashBook!$G$5:INDEX(CashBook!$G$5:$G$3004,TxRows),CashBook!$D$5:INDEX(CashBook!$D$5:$D$3004,TxRows),$A83,CashBook!$C$5:INDEX(CashBook!$C$5:$C$3004,TxRows),"Payment"))</f>
        <v/>
      </c>
      <c r="N83" s="61" t="str">
        <f aca="false">IF($A83="","",N($I83)+J83-K83-L83+M83)</f>
        <v/>
      </c>
      <c r="O83" s="60" t="str">
        <f aca="false">IF($A83="","",IF(ROUND(N83,2)&gt;0,"Receivable",IF(ROUND(N83,2)&lt;0,"Payable","Settled")))</f>
        <v/>
      </c>
      <c r="P83" s="66" t="str">
        <f aca="false">IF($A83="","",IFERROR(SUMPRODUCT(MAX((Sales!$C$5:INDEX(Sales!$C$5:$C$3004,TxRows)=$A83)*Sales!$A$5:INDEX(Sales!$A$5:$A$3004,TxRows))),0))</f>
        <v/>
      </c>
      <c r="Q83" s="66" t="str">
        <f aca="false">IF($A83="","",IFERROR(SUMPRODUCT(MAX((CashBook!$D$5:INDEX(CashBook!$D$5:$D$3004,TxRows)=$A83)*(CashBook!$C$5:INDEX(CashBook!$C$5:$C$3004,TxRows)="Receipt")*CashBook!$A$5:INDEX(CashBook!$A$5:$A$3004,TxRows))),0))</f>
        <v/>
      </c>
      <c r="R83" s="67" t="str">
        <f aca="false">IF($A83="","",IF(ROUND(N83,2)&lt;=0,"",AsOf-IF(N(Q83)&gt;0,Q83,IF(N(P83)&gt;0,P83,FYStart))))</f>
        <v/>
      </c>
      <c r="S83" s="60" t="str">
        <f aca="false">IF($A83="","",IF(AND(N($G83)&gt;0,N83&gt;N($G83)),"OVER LIMIT",IF(AND(N83&gt;0,N(R83)&gt;N($H83)),"OVERDUE",IF(ROUND(N83,2)&lt;0,"PAY DUE",""))))</f>
        <v/>
      </c>
    </row>
    <row r="84" customFormat="false" ht="15" hidden="false" customHeight="false" outlineLevel="0" collapsed="false">
      <c r="A84" s="56"/>
      <c r="B84" s="56"/>
      <c r="C84" s="56"/>
      <c r="D84" s="56"/>
      <c r="E84" s="56"/>
      <c r="F84" s="56"/>
      <c r="G84" s="68"/>
      <c r="H84" s="69"/>
      <c r="I84" s="58"/>
      <c r="J84" s="61" t="str">
        <f aca="false">IF($A84="","",SUMIFS(Sales!$Q$5:INDEX(Sales!$Q$5:$Q$3004,TxRows),Sales!$C$5:INDEX(Sales!$C$5:$C$3004,TxRows),$A84)-SUMIFS(Sales!$X$5:INDEX(Sales!$X$5:$X$3004,TxRows),Sales!$C$5:INDEX(Sales!$C$5:$C$3004,TxRows),$A84))</f>
        <v/>
      </c>
      <c r="K84" s="61" t="str">
        <f aca="false">IF($A84="","",SUMIFS(CashBook!$G$5:INDEX(CashBook!$G$5:$G$3004,TxRows),CashBook!$D$5:INDEX(CashBook!$D$5:$D$3004,TxRows),$A84,CashBook!$C$5:INDEX(CashBook!$C$5:$C$3004,TxRows),"Receipt"))</f>
        <v/>
      </c>
      <c r="L84" s="61" t="str">
        <f aca="false">IF($A84="","",SUMIFS(Purchases!$P$5:INDEX(Purchases!$P$5:$P$3004,TxRows),Purchases!$C$5:INDEX(Purchases!$C$5:$C$3004,TxRows),$A84)-SUMIFS(Purchases!$S$5:INDEX(Purchases!$S$5:$S$3004,TxRows),Purchases!$C$5:INDEX(Purchases!$C$5:$C$3004,TxRows),$A84))</f>
        <v/>
      </c>
      <c r="M84" s="61" t="str">
        <f aca="false">IF($A84="","",SUMIFS(CashBook!$G$5:INDEX(CashBook!$G$5:$G$3004,TxRows),CashBook!$D$5:INDEX(CashBook!$D$5:$D$3004,TxRows),$A84,CashBook!$C$5:INDEX(CashBook!$C$5:$C$3004,TxRows),"Payment"))</f>
        <v/>
      </c>
      <c r="N84" s="61" t="str">
        <f aca="false">IF($A84="","",N($I84)+J84-K84-L84+M84)</f>
        <v/>
      </c>
      <c r="O84" s="60" t="str">
        <f aca="false">IF($A84="","",IF(ROUND(N84,2)&gt;0,"Receivable",IF(ROUND(N84,2)&lt;0,"Payable","Settled")))</f>
        <v/>
      </c>
      <c r="P84" s="66" t="str">
        <f aca="false">IF($A84="","",IFERROR(SUMPRODUCT(MAX((Sales!$C$5:INDEX(Sales!$C$5:$C$3004,TxRows)=$A84)*Sales!$A$5:INDEX(Sales!$A$5:$A$3004,TxRows))),0))</f>
        <v/>
      </c>
      <c r="Q84" s="66" t="str">
        <f aca="false">IF($A84="","",IFERROR(SUMPRODUCT(MAX((CashBook!$D$5:INDEX(CashBook!$D$5:$D$3004,TxRows)=$A84)*(CashBook!$C$5:INDEX(CashBook!$C$5:$C$3004,TxRows)="Receipt")*CashBook!$A$5:INDEX(CashBook!$A$5:$A$3004,TxRows))),0))</f>
        <v/>
      </c>
      <c r="R84" s="67" t="str">
        <f aca="false">IF($A84="","",IF(ROUND(N84,2)&lt;=0,"",AsOf-IF(N(Q84)&gt;0,Q84,IF(N(P84)&gt;0,P84,FYStart))))</f>
        <v/>
      </c>
      <c r="S84" s="60" t="str">
        <f aca="false">IF($A84="","",IF(AND(N($G84)&gt;0,N84&gt;N($G84)),"OVER LIMIT",IF(AND(N84&gt;0,N(R84)&gt;N($H84)),"OVERDUE",IF(ROUND(N84,2)&lt;0,"PAY DUE",""))))</f>
        <v/>
      </c>
    </row>
    <row r="85" customFormat="false" ht="15" hidden="false" customHeight="false" outlineLevel="0" collapsed="false">
      <c r="A85" s="56"/>
      <c r="B85" s="56"/>
      <c r="C85" s="56"/>
      <c r="D85" s="56"/>
      <c r="E85" s="56"/>
      <c r="F85" s="56"/>
      <c r="G85" s="68"/>
      <c r="H85" s="69"/>
      <c r="I85" s="58"/>
      <c r="J85" s="61" t="str">
        <f aca="false">IF($A85="","",SUMIFS(Sales!$Q$5:INDEX(Sales!$Q$5:$Q$3004,TxRows),Sales!$C$5:INDEX(Sales!$C$5:$C$3004,TxRows),$A85)-SUMIFS(Sales!$X$5:INDEX(Sales!$X$5:$X$3004,TxRows),Sales!$C$5:INDEX(Sales!$C$5:$C$3004,TxRows),$A85))</f>
        <v/>
      </c>
      <c r="K85" s="61" t="str">
        <f aca="false">IF($A85="","",SUMIFS(CashBook!$G$5:INDEX(CashBook!$G$5:$G$3004,TxRows),CashBook!$D$5:INDEX(CashBook!$D$5:$D$3004,TxRows),$A85,CashBook!$C$5:INDEX(CashBook!$C$5:$C$3004,TxRows),"Receipt"))</f>
        <v/>
      </c>
      <c r="L85" s="61" t="str">
        <f aca="false">IF($A85="","",SUMIFS(Purchases!$P$5:INDEX(Purchases!$P$5:$P$3004,TxRows),Purchases!$C$5:INDEX(Purchases!$C$5:$C$3004,TxRows),$A85)-SUMIFS(Purchases!$S$5:INDEX(Purchases!$S$5:$S$3004,TxRows),Purchases!$C$5:INDEX(Purchases!$C$5:$C$3004,TxRows),$A85))</f>
        <v/>
      </c>
      <c r="M85" s="61" t="str">
        <f aca="false">IF($A85="","",SUMIFS(CashBook!$G$5:INDEX(CashBook!$G$5:$G$3004,TxRows),CashBook!$D$5:INDEX(CashBook!$D$5:$D$3004,TxRows),$A85,CashBook!$C$5:INDEX(CashBook!$C$5:$C$3004,TxRows),"Payment"))</f>
        <v/>
      </c>
      <c r="N85" s="61" t="str">
        <f aca="false">IF($A85="","",N($I85)+J85-K85-L85+M85)</f>
        <v/>
      </c>
      <c r="O85" s="60" t="str">
        <f aca="false">IF($A85="","",IF(ROUND(N85,2)&gt;0,"Receivable",IF(ROUND(N85,2)&lt;0,"Payable","Settled")))</f>
        <v/>
      </c>
      <c r="P85" s="66" t="str">
        <f aca="false">IF($A85="","",IFERROR(SUMPRODUCT(MAX((Sales!$C$5:INDEX(Sales!$C$5:$C$3004,TxRows)=$A85)*Sales!$A$5:INDEX(Sales!$A$5:$A$3004,TxRows))),0))</f>
        <v/>
      </c>
      <c r="Q85" s="66" t="str">
        <f aca="false">IF($A85="","",IFERROR(SUMPRODUCT(MAX((CashBook!$D$5:INDEX(CashBook!$D$5:$D$3004,TxRows)=$A85)*(CashBook!$C$5:INDEX(CashBook!$C$5:$C$3004,TxRows)="Receipt")*CashBook!$A$5:INDEX(CashBook!$A$5:$A$3004,TxRows))),0))</f>
        <v/>
      </c>
      <c r="R85" s="67" t="str">
        <f aca="false">IF($A85="","",IF(ROUND(N85,2)&lt;=0,"",AsOf-IF(N(Q85)&gt;0,Q85,IF(N(P85)&gt;0,P85,FYStart))))</f>
        <v/>
      </c>
      <c r="S85" s="60" t="str">
        <f aca="false">IF($A85="","",IF(AND(N($G85)&gt;0,N85&gt;N($G85)),"OVER LIMIT",IF(AND(N85&gt;0,N(R85)&gt;N($H85)),"OVERDUE",IF(ROUND(N85,2)&lt;0,"PAY DUE",""))))</f>
        <v/>
      </c>
    </row>
    <row r="86" customFormat="false" ht="15" hidden="false" customHeight="false" outlineLevel="0" collapsed="false">
      <c r="A86" s="56"/>
      <c r="B86" s="56"/>
      <c r="C86" s="56"/>
      <c r="D86" s="56"/>
      <c r="E86" s="56"/>
      <c r="F86" s="56"/>
      <c r="G86" s="68"/>
      <c r="H86" s="69"/>
      <c r="I86" s="58"/>
      <c r="J86" s="61" t="str">
        <f aca="false">IF($A86="","",SUMIFS(Sales!$Q$5:INDEX(Sales!$Q$5:$Q$3004,TxRows),Sales!$C$5:INDEX(Sales!$C$5:$C$3004,TxRows),$A86)-SUMIFS(Sales!$X$5:INDEX(Sales!$X$5:$X$3004,TxRows),Sales!$C$5:INDEX(Sales!$C$5:$C$3004,TxRows),$A86))</f>
        <v/>
      </c>
      <c r="K86" s="61" t="str">
        <f aca="false">IF($A86="","",SUMIFS(CashBook!$G$5:INDEX(CashBook!$G$5:$G$3004,TxRows),CashBook!$D$5:INDEX(CashBook!$D$5:$D$3004,TxRows),$A86,CashBook!$C$5:INDEX(CashBook!$C$5:$C$3004,TxRows),"Receipt"))</f>
        <v/>
      </c>
      <c r="L86" s="61" t="str">
        <f aca="false">IF($A86="","",SUMIFS(Purchases!$P$5:INDEX(Purchases!$P$5:$P$3004,TxRows),Purchases!$C$5:INDEX(Purchases!$C$5:$C$3004,TxRows),$A86)-SUMIFS(Purchases!$S$5:INDEX(Purchases!$S$5:$S$3004,TxRows),Purchases!$C$5:INDEX(Purchases!$C$5:$C$3004,TxRows),$A86))</f>
        <v/>
      </c>
      <c r="M86" s="61" t="str">
        <f aca="false">IF($A86="","",SUMIFS(CashBook!$G$5:INDEX(CashBook!$G$5:$G$3004,TxRows),CashBook!$D$5:INDEX(CashBook!$D$5:$D$3004,TxRows),$A86,CashBook!$C$5:INDEX(CashBook!$C$5:$C$3004,TxRows),"Payment"))</f>
        <v/>
      </c>
      <c r="N86" s="61" t="str">
        <f aca="false">IF($A86="","",N($I86)+J86-K86-L86+M86)</f>
        <v/>
      </c>
      <c r="O86" s="60" t="str">
        <f aca="false">IF($A86="","",IF(ROUND(N86,2)&gt;0,"Receivable",IF(ROUND(N86,2)&lt;0,"Payable","Settled")))</f>
        <v/>
      </c>
      <c r="P86" s="66" t="str">
        <f aca="false">IF($A86="","",IFERROR(SUMPRODUCT(MAX((Sales!$C$5:INDEX(Sales!$C$5:$C$3004,TxRows)=$A86)*Sales!$A$5:INDEX(Sales!$A$5:$A$3004,TxRows))),0))</f>
        <v/>
      </c>
      <c r="Q86" s="66" t="str">
        <f aca="false">IF($A86="","",IFERROR(SUMPRODUCT(MAX((CashBook!$D$5:INDEX(CashBook!$D$5:$D$3004,TxRows)=$A86)*(CashBook!$C$5:INDEX(CashBook!$C$5:$C$3004,TxRows)="Receipt")*CashBook!$A$5:INDEX(CashBook!$A$5:$A$3004,TxRows))),0))</f>
        <v/>
      </c>
      <c r="R86" s="67" t="str">
        <f aca="false">IF($A86="","",IF(ROUND(N86,2)&lt;=0,"",AsOf-IF(N(Q86)&gt;0,Q86,IF(N(P86)&gt;0,P86,FYStart))))</f>
        <v/>
      </c>
      <c r="S86" s="60" t="str">
        <f aca="false">IF($A86="","",IF(AND(N($G86)&gt;0,N86&gt;N($G86)),"OVER LIMIT",IF(AND(N86&gt;0,N(R86)&gt;N($H86)),"OVERDUE",IF(ROUND(N86,2)&lt;0,"PAY DUE",""))))</f>
        <v/>
      </c>
    </row>
    <row r="87" customFormat="false" ht="15" hidden="false" customHeight="false" outlineLevel="0" collapsed="false">
      <c r="A87" s="56"/>
      <c r="B87" s="56"/>
      <c r="C87" s="56"/>
      <c r="D87" s="56"/>
      <c r="E87" s="56"/>
      <c r="F87" s="56"/>
      <c r="G87" s="68"/>
      <c r="H87" s="69"/>
      <c r="I87" s="58"/>
      <c r="J87" s="61" t="str">
        <f aca="false">IF($A87="","",SUMIFS(Sales!$Q$5:INDEX(Sales!$Q$5:$Q$3004,TxRows),Sales!$C$5:INDEX(Sales!$C$5:$C$3004,TxRows),$A87)-SUMIFS(Sales!$X$5:INDEX(Sales!$X$5:$X$3004,TxRows),Sales!$C$5:INDEX(Sales!$C$5:$C$3004,TxRows),$A87))</f>
        <v/>
      </c>
      <c r="K87" s="61" t="str">
        <f aca="false">IF($A87="","",SUMIFS(CashBook!$G$5:INDEX(CashBook!$G$5:$G$3004,TxRows),CashBook!$D$5:INDEX(CashBook!$D$5:$D$3004,TxRows),$A87,CashBook!$C$5:INDEX(CashBook!$C$5:$C$3004,TxRows),"Receipt"))</f>
        <v/>
      </c>
      <c r="L87" s="61" t="str">
        <f aca="false">IF($A87="","",SUMIFS(Purchases!$P$5:INDEX(Purchases!$P$5:$P$3004,TxRows),Purchases!$C$5:INDEX(Purchases!$C$5:$C$3004,TxRows),$A87)-SUMIFS(Purchases!$S$5:INDEX(Purchases!$S$5:$S$3004,TxRows),Purchases!$C$5:INDEX(Purchases!$C$5:$C$3004,TxRows),$A87))</f>
        <v/>
      </c>
      <c r="M87" s="61" t="str">
        <f aca="false">IF($A87="","",SUMIFS(CashBook!$G$5:INDEX(CashBook!$G$5:$G$3004,TxRows),CashBook!$D$5:INDEX(CashBook!$D$5:$D$3004,TxRows),$A87,CashBook!$C$5:INDEX(CashBook!$C$5:$C$3004,TxRows),"Payment"))</f>
        <v/>
      </c>
      <c r="N87" s="61" t="str">
        <f aca="false">IF($A87="","",N($I87)+J87-K87-L87+M87)</f>
        <v/>
      </c>
      <c r="O87" s="60" t="str">
        <f aca="false">IF($A87="","",IF(ROUND(N87,2)&gt;0,"Receivable",IF(ROUND(N87,2)&lt;0,"Payable","Settled")))</f>
        <v/>
      </c>
      <c r="P87" s="66" t="str">
        <f aca="false">IF($A87="","",IFERROR(SUMPRODUCT(MAX((Sales!$C$5:INDEX(Sales!$C$5:$C$3004,TxRows)=$A87)*Sales!$A$5:INDEX(Sales!$A$5:$A$3004,TxRows))),0))</f>
        <v/>
      </c>
      <c r="Q87" s="66" t="str">
        <f aca="false">IF($A87="","",IFERROR(SUMPRODUCT(MAX((CashBook!$D$5:INDEX(CashBook!$D$5:$D$3004,TxRows)=$A87)*(CashBook!$C$5:INDEX(CashBook!$C$5:$C$3004,TxRows)="Receipt")*CashBook!$A$5:INDEX(CashBook!$A$5:$A$3004,TxRows))),0))</f>
        <v/>
      </c>
      <c r="R87" s="67" t="str">
        <f aca="false">IF($A87="","",IF(ROUND(N87,2)&lt;=0,"",AsOf-IF(N(Q87)&gt;0,Q87,IF(N(P87)&gt;0,P87,FYStart))))</f>
        <v/>
      </c>
      <c r="S87" s="60" t="str">
        <f aca="false">IF($A87="","",IF(AND(N($G87)&gt;0,N87&gt;N($G87)),"OVER LIMIT",IF(AND(N87&gt;0,N(R87)&gt;N($H87)),"OVERDUE",IF(ROUND(N87,2)&lt;0,"PAY DUE",""))))</f>
        <v/>
      </c>
    </row>
    <row r="88" customFormat="false" ht="15" hidden="false" customHeight="false" outlineLevel="0" collapsed="false">
      <c r="A88" s="56"/>
      <c r="B88" s="56"/>
      <c r="C88" s="56"/>
      <c r="D88" s="56"/>
      <c r="E88" s="56"/>
      <c r="F88" s="56"/>
      <c r="G88" s="68"/>
      <c r="H88" s="69"/>
      <c r="I88" s="58"/>
      <c r="J88" s="61" t="str">
        <f aca="false">IF($A88="","",SUMIFS(Sales!$Q$5:INDEX(Sales!$Q$5:$Q$3004,TxRows),Sales!$C$5:INDEX(Sales!$C$5:$C$3004,TxRows),$A88)-SUMIFS(Sales!$X$5:INDEX(Sales!$X$5:$X$3004,TxRows),Sales!$C$5:INDEX(Sales!$C$5:$C$3004,TxRows),$A88))</f>
        <v/>
      </c>
      <c r="K88" s="61" t="str">
        <f aca="false">IF($A88="","",SUMIFS(CashBook!$G$5:INDEX(CashBook!$G$5:$G$3004,TxRows),CashBook!$D$5:INDEX(CashBook!$D$5:$D$3004,TxRows),$A88,CashBook!$C$5:INDEX(CashBook!$C$5:$C$3004,TxRows),"Receipt"))</f>
        <v/>
      </c>
      <c r="L88" s="61" t="str">
        <f aca="false">IF($A88="","",SUMIFS(Purchases!$P$5:INDEX(Purchases!$P$5:$P$3004,TxRows),Purchases!$C$5:INDEX(Purchases!$C$5:$C$3004,TxRows),$A88)-SUMIFS(Purchases!$S$5:INDEX(Purchases!$S$5:$S$3004,TxRows),Purchases!$C$5:INDEX(Purchases!$C$5:$C$3004,TxRows),$A88))</f>
        <v/>
      </c>
      <c r="M88" s="61" t="str">
        <f aca="false">IF($A88="","",SUMIFS(CashBook!$G$5:INDEX(CashBook!$G$5:$G$3004,TxRows),CashBook!$D$5:INDEX(CashBook!$D$5:$D$3004,TxRows),$A88,CashBook!$C$5:INDEX(CashBook!$C$5:$C$3004,TxRows),"Payment"))</f>
        <v/>
      </c>
      <c r="N88" s="61" t="str">
        <f aca="false">IF($A88="","",N($I88)+J88-K88-L88+M88)</f>
        <v/>
      </c>
      <c r="O88" s="60" t="str">
        <f aca="false">IF($A88="","",IF(ROUND(N88,2)&gt;0,"Receivable",IF(ROUND(N88,2)&lt;0,"Payable","Settled")))</f>
        <v/>
      </c>
      <c r="P88" s="66" t="str">
        <f aca="false">IF($A88="","",IFERROR(SUMPRODUCT(MAX((Sales!$C$5:INDEX(Sales!$C$5:$C$3004,TxRows)=$A88)*Sales!$A$5:INDEX(Sales!$A$5:$A$3004,TxRows))),0))</f>
        <v/>
      </c>
      <c r="Q88" s="66" t="str">
        <f aca="false">IF($A88="","",IFERROR(SUMPRODUCT(MAX((CashBook!$D$5:INDEX(CashBook!$D$5:$D$3004,TxRows)=$A88)*(CashBook!$C$5:INDEX(CashBook!$C$5:$C$3004,TxRows)="Receipt")*CashBook!$A$5:INDEX(CashBook!$A$5:$A$3004,TxRows))),0))</f>
        <v/>
      </c>
      <c r="R88" s="67" t="str">
        <f aca="false">IF($A88="","",IF(ROUND(N88,2)&lt;=0,"",AsOf-IF(N(Q88)&gt;0,Q88,IF(N(P88)&gt;0,P88,FYStart))))</f>
        <v/>
      </c>
      <c r="S88" s="60" t="str">
        <f aca="false">IF($A88="","",IF(AND(N($G88)&gt;0,N88&gt;N($G88)),"OVER LIMIT",IF(AND(N88&gt;0,N(R88)&gt;N($H88)),"OVERDUE",IF(ROUND(N88,2)&lt;0,"PAY DUE",""))))</f>
        <v/>
      </c>
    </row>
    <row r="89" customFormat="false" ht="15" hidden="false" customHeight="false" outlineLevel="0" collapsed="false">
      <c r="A89" s="56"/>
      <c r="B89" s="56"/>
      <c r="C89" s="56"/>
      <c r="D89" s="56"/>
      <c r="E89" s="56"/>
      <c r="F89" s="56"/>
      <c r="G89" s="68"/>
      <c r="H89" s="69"/>
      <c r="I89" s="58"/>
      <c r="J89" s="61" t="str">
        <f aca="false">IF($A89="","",SUMIFS(Sales!$Q$5:INDEX(Sales!$Q$5:$Q$3004,TxRows),Sales!$C$5:INDEX(Sales!$C$5:$C$3004,TxRows),$A89)-SUMIFS(Sales!$X$5:INDEX(Sales!$X$5:$X$3004,TxRows),Sales!$C$5:INDEX(Sales!$C$5:$C$3004,TxRows),$A89))</f>
        <v/>
      </c>
      <c r="K89" s="61" t="str">
        <f aca="false">IF($A89="","",SUMIFS(CashBook!$G$5:INDEX(CashBook!$G$5:$G$3004,TxRows),CashBook!$D$5:INDEX(CashBook!$D$5:$D$3004,TxRows),$A89,CashBook!$C$5:INDEX(CashBook!$C$5:$C$3004,TxRows),"Receipt"))</f>
        <v/>
      </c>
      <c r="L89" s="61" t="str">
        <f aca="false">IF($A89="","",SUMIFS(Purchases!$P$5:INDEX(Purchases!$P$5:$P$3004,TxRows),Purchases!$C$5:INDEX(Purchases!$C$5:$C$3004,TxRows),$A89)-SUMIFS(Purchases!$S$5:INDEX(Purchases!$S$5:$S$3004,TxRows),Purchases!$C$5:INDEX(Purchases!$C$5:$C$3004,TxRows),$A89))</f>
        <v/>
      </c>
      <c r="M89" s="61" t="str">
        <f aca="false">IF($A89="","",SUMIFS(CashBook!$G$5:INDEX(CashBook!$G$5:$G$3004,TxRows),CashBook!$D$5:INDEX(CashBook!$D$5:$D$3004,TxRows),$A89,CashBook!$C$5:INDEX(CashBook!$C$5:$C$3004,TxRows),"Payment"))</f>
        <v/>
      </c>
      <c r="N89" s="61" t="str">
        <f aca="false">IF($A89="","",N($I89)+J89-K89-L89+M89)</f>
        <v/>
      </c>
      <c r="O89" s="60" t="str">
        <f aca="false">IF($A89="","",IF(ROUND(N89,2)&gt;0,"Receivable",IF(ROUND(N89,2)&lt;0,"Payable","Settled")))</f>
        <v/>
      </c>
      <c r="P89" s="66" t="str">
        <f aca="false">IF($A89="","",IFERROR(SUMPRODUCT(MAX((Sales!$C$5:INDEX(Sales!$C$5:$C$3004,TxRows)=$A89)*Sales!$A$5:INDEX(Sales!$A$5:$A$3004,TxRows))),0))</f>
        <v/>
      </c>
      <c r="Q89" s="66" t="str">
        <f aca="false">IF($A89="","",IFERROR(SUMPRODUCT(MAX((CashBook!$D$5:INDEX(CashBook!$D$5:$D$3004,TxRows)=$A89)*(CashBook!$C$5:INDEX(CashBook!$C$5:$C$3004,TxRows)="Receipt")*CashBook!$A$5:INDEX(CashBook!$A$5:$A$3004,TxRows))),0))</f>
        <v/>
      </c>
      <c r="R89" s="67" t="str">
        <f aca="false">IF($A89="","",IF(ROUND(N89,2)&lt;=0,"",AsOf-IF(N(Q89)&gt;0,Q89,IF(N(P89)&gt;0,P89,FYStart))))</f>
        <v/>
      </c>
      <c r="S89" s="60" t="str">
        <f aca="false">IF($A89="","",IF(AND(N($G89)&gt;0,N89&gt;N($G89)),"OVER LIMIT",IF(AND(N89&gt;0,N(R89)&gt;N($H89)),"OVERDUE",IF(ROUND(N89,2)&lt;0,"PAY DUE",""))))</f>
        <v/>
      </c>
    </row>
    <row r="90" customFormat="false" ht="15" hidden="false" customHeight="false" outlineLevel="0" collapsed="false">
      <c r="A90" s="56"/>
      <c r="B90" s="56"/>
      <c r="C90" s="56"/>
      <c r="D90" s="56"/>
      <c r="E90" s="56"/>
      <c r="F90" s="56"/>
      <c r="G90" s="68"/>
      <c r="H90" s="69"/>
      <c r="I90" s="58"/>
      <c r="J90" s="61" t="str">
        <f aca="false">IF($A90="","",SUMIFS(Sales!$Q$5:INDEX(Sales!$Q$5:$Q$3004,TxRows),Sales!$C$5:INDEX(Sales!$C$5:$C$3004,TxRows),$A90)-SUMIFS(Sales!$X$5:INDEX(Sales!$X$5:$X$3004,TxRows),Sales!$C$5:INDEX(Sales!$C$5:$C$3004,TxRows),$A90))</f>
        <v/>
      </c>
      <c r="K90" s="61" t="str">
        <f aca="false">IF($A90="","",SUMIFS(CashBook!$G$5:INDEX(CashBook!$G$5:$G$3004,TxRows),CashBook!$D$5:INDEX(CashBook!$D$5:$D$3004,TxRows),$A90,CashBook!$C$5:INDEX(CashBook!$C$5:$C$3004,TxRows),"Receipt"))</f>
        <v/>
      </c>
      <c r="L90" s="61" t="str">
        <f aca="false">IF($A90="","",SUMIFS(Purchases!$P$5:INDEX(Purchases!$P$5:$P$3004,TxRows),Purchases!$C$5:INDEX(Purchases!$C$5:$C$3004,TxRows),$A90)-SUMIFS(Purchases!$S$5:INDEX(Purchases!$S$5:$S$3004,TxRows),Purchases!$C$5:INDEX(Purchases!$C$5:$C$3004,TxRows),$A90))</f>
        <v/>
      </c>
      <c r="M90" s="61" t="str">
        <f aca="false">IF($A90="","",SUMIFS(CashBook!$G$5:INDEX(CashBook!$G$5:$G$3004,TxRows),CashBook!$D$5:INDEX(CashBook!$D$5:$D$3004,TxRows),$A90,CashBook!$C$5:INDEX(CashBook!$C$5:$C$3004,TxRows),"Payment"))</f>
        <v/>
      </c>
      <c r="N90" s="61" t="str">
        <f aca="false">IF($A90="","",N($I90)+J90-K90-L90+M90)</f>
        <v/>
      </c>
      <c r="O90" s="60" t="str">
        <f aca="false">IF($A90="","",IF(ROUND(N90,2)&gt;0,"Receivable",IF(ROUND(N90,2)&lt;0,"Payable","Settled")))</f>
        <v/>
      </c>
      <c r="P90" s="66" t="str">
        <f aca="false">IF($A90="","",IFERROR(SUMPRODUCT(MAX((Sales!$C$5:INDEX(Sales!$C$5:$C$3004,TxRows)=$A90)*Sales!$A$5:INDEX(Sales!$A$5:$A$3004,TxRows))),0))</f>
        <v/>
      </c>
      <c r="Q90" s="66" t="str">
        <f aca="false">IF($A90="","",IFERROR(SUMPRODUCT(MAX((CashBook!$D$5:INDEX(CashBook!$D$5:$D$3004,TxRows)=$A90)*(CashBook!$C$5:INDEX(CashBook!$C$5:$C$3004,TxRows)="Receipt")*CashBook!$A$5:INDEX(CashBook!$A$5:$A$3004,TxRows))),0))</f>
        <v/>
      </c>
      <c r="R90" s="67" t="str">
        <f aca="false">IF($A90="","",IF(ROUND(N90,2)&lt;=0,"",AsOf-IF(N(Q90)&gt;0,Q90,IF(N(P90)&gt;0,P90,FYStart))))</f>
        <v/>
      </c>
      <c r="S90" s="60" t="str">
        <f aca="false">IF($A90="","",IF(AND(N($G90)&gt;0,N90&gt;N($G90)),"OVER LIMIT",IF(AND(N90&gt;0,N(R90)&gt;N($H90)),"OVERDUE",IF(ROUND(N90,2)&lt;0,"PAY DUE",""))))</f>
        <v/>
      </c>
    </row>
    <row r="91" customFormat="false" ht="15" hidden="false" customHeight="false" outlineLevel="0" collapsed="false">
      <c r="A91" s="56"/>
      <c r="B91" s="56"/>
      <c r="C91" s="56"/>
      <c r="D91" s="56"/>
      <c r="E91" s="56"/>
      <c r="F91" s="56"/>
      <c r="G91" s="68"/>
      <c r="H91" s="69"/>
      <c r="I91" s="58"/>
      <c r="J91" s="61" t="str">
        <f aca="false">IF($A91="","",SUMIFS(Sales!$Q$5:INDEX(Sales!$Q$5:$Q$3004,TxRows),Sales!$C$5:INDEX(Sales!$C$5:$C$3004,TxRows),$A91)-SUMIFS(Sales!$X$5:INDEX(Sales!$X$5:$X$3004,TxRows),Sales!$C$5:INDEX(Sales!$C$5:$C$3004,TxRows),$A91))</f>
        <v/>
      </c>
      <c r="K91" s="61" t="str">
        <f aca="false">IF($A91="","",SUMIFS(CashBook!$G$5:INDEX(CashBook!$G$5:$G$3004,TxRows),CashBook!$D$5:INDEX(CashBook!$D$5:$D$3004,TxRows),$A91,CashBook!$C$5:INDEX(CashBook!$C$5:$C$3004,TxRows),"Receipt"))</f>
        <v/>
      </c>
      <c r="L91" s="61" t="str">
        <f aca="false">IF($A91="","",SUMIFS(Purchases!$P$5:INDEX(Purchases!$P$5:$P$3004,TxRows),Purchases!$C$5:INDEX(Purchases!$C$5:$C$3004,TxRows),$A91)-SUMIFS(Purchases!$S$5:INDEX(Purchases!$S$5:$S$3004,TxRows),Purchases!$C$5:INDEX(Purchases!$C$5:$C$3004,TxRows),$A91))</f>
        <v/>
      </c>
      <c r="M91" s="61" t="str">
        <f aca="false">IF($A91="","",SUMIFS(CashBook!$G$5:INDEX(CashBook!$G$5:$G$3004,TxRows),CashBook!$D$5:INDEX(CashBook!$D$5:$D$3004,TxRows),$A91,CashBook!$C$5:INDEX(CashBook!$C$5:$C$3004,TxRows),"Payment"))</f>
        <v/>
      </c>
      <c r="N91" s="61" t="str">
        <f aca="false">IF($A91="","",N($I91)+J91-K91-L91+M91)</f>
        <v/>
      </c>
      <c r="O91" s="60" t="str">
        <f aca="false">IF($A91="","",IF(ROUND(N91,2)&gt;0,"Receivable",IF(ROUND(N91,2)&lt;0,"Payable","Settled")))</f>
        <v/>
      </c>
      <c r="P91" s="66" t="str">
        <f aca="false">IF($A91="","",IFERROR(SUMPRODUCT(MAX((Sales!$C$5:INDEX(Sales!$C$5:$C$3004,TxRows)=$A91)*Sales!$A$5:INDEX(Sales!$A$5:$A$3004,TxRows))),0))</f>
        <v/>
      </c>
      <c r="Q91" s="66" t="str">
        <f aca="false">IF($A91="","",IFERROR(SUMPRODUCT(MAX((CashBook!$D$5:INDEX(CashBook!$D$5:$D$3004,TxRows)=$A91)*(CashBook!$C$5:INDEX(CashBook!$C$5:$C$3004,TxRows)="Receipt")*CashBook!$A$5:INDEX(CashBook!$A$5:$A$3004,TxRows))),0))</f>
        <v/>
      </c>
      <c r="R91" s="67" t="str">
        <f aca="false">IF($A91="","",IF(ROUND(N91,2)&lt;=0,"",AsOf-IF(N(Q91)&gt;0,Q91,IF(N(P91)&gt;0,P91,FYStart))))</f>
        <v/>
      </c>
      <c r="S91" s="60" t="str">
        <f aca="false">IF($A91="","",IF(AND(N($G91)&gt;0,N91&gt;N($G91)),"OVER LIMIT",IF(AND(N91&gt;0,N(R91)&gt;N($H91)),"OVERDUE",IF(ROUND(N91,2)&lt;0,"PAY DUE",""))))</f>
        <v/>
      </c>
    </row>
    <row r="92" customFormat="false" ht="15" hidden="false" customHeight="false" outlineLevel="0" collapsed="false">
      <c r="A92" s="56"/>
      <c r="B92" s="56"/>
      <c r="C92" s="56"/>
      <c r="D92" s="56"/>
      <c r="E92" s="56"/>
      <c r="F92" s="56"/>
      <c r="G92" s="68"/>
      <c r="H92" s="69"/>
      <c r="I92" s="58"/>
      <c r="J92" s="61" t="str">
        <f aca="false">IF($A92="","",SUMIFS(Sales!$Q$5:INDEX(Sales!$Q$5:$Q$3004,TxRows),Sales!$C$5:INDEX(Sales!$C$5:$C$3004,TxRows),$A92)-SUMIFS(Sales!$X$5:INDEX(Sales!$X$5:$X$3004,TxRows),Sales!$C$5:INDEX(Sales!$C$5:$C$3004,TxRows),$A92))</f>
        <v/>
      </c>
      <c r="K92" s="61" t="str">
        <f aca="false">IF($A92="","",SUMIFS(CashBook!$G$5:INDEX(CashBook!$G$5:$G$3004,TxRows),CashBook!$D$5:INDEX(CashBook!$D$5:$D$3004,TxRows),$A92,CashBook!$C$5:INDEX(CashBook!$C$5:$C$3004,TxRows),"Receipt"))</f>
        <v/>
      </c>
      <c r="L92" s="61" t="str">
        <f aca="false">IF($A92="","",SUMIFS(Purchases!$P$5:INDEX(Purchases!$P$5:$P$3004,TxRows),Purchases!$C$5:INDEX(Purchases!$C$5:$C$3004,TxRows),$A92)-SUMIFS(Purchases!$S$5:INDEX(Purchases!$S$5:$S$3004,TxRows),Purchases!$C$5:INDEX(Purchases!$C$5:$C$3004,TxRows),$A92))</f>
        <v/>
      </c>
      <c r="M92" s="61" t="str">
        <f aca="false">IF($A92="","",SUMIFS(CashBook!$G$5:INDEX(CashBook!$G$5:$G$3004,TxRows),CashBook!$D$5:INDEX(CashBook!$D$5:$D$3004,TxRows),$A92,CashBook!$C$5:INDEX(CashBook!$C$5:$C$3004,TxRows),"Payment"))</f>
        <v/>
      </c>
      <c r="N92" s="61" t="str">
        <f aca="false">IF($A92="","",N($I92)+J92-K92-L92+M92)</f>
        <v/>
      </c>
      <c r="O92" s="60" t="str">
        <f aca="false">IF($A92="","",IF(ROUND(N92,2)&gt;0,"Receivable",IF(ROUND(N92,2)&lt;0,"Payable","Settled")))</f>
        <v/>
      </c>
      <c r="P92" s="66" t="str">
        <f aca="false">IF($A92="","",IFERROR(SUMPRODUCT(MAX((Sales!$C$5:INDEX(Sales!$C$5:$C$3004,TxRows)=$A92)*Sales!$A$5:INDEX(Sales!$A$5:$A$3004,TxRows))),0))</f>
        <v/>
      </c>
      <c r="Q92" s="66" t="str">
        <f aca="false">IF($A92="","",IFERROR(SUMPRODUCT(MAX((CashBook!$D$5:INDEX(CashBook!$D$5:$D$3004,TxRows)=$A92)*(CashBook!$C$5:INDEX(CashBook!$C$5:$C$3004,TxRows)="Receipt")*CashBook!$A$5:INDEX(CashBook!$A$5:$A$3004,TxRows))),0))</f>
        <v/>
      </c>
      <c r="R92" s="67" t="str">
        <f aca="false">IF($A92="","",IF(ROUND(N92,2)&lt;=0,"",AsOf-IF(N(Q92)&gt;0,Q92,IF(N(P92)&gt;0,P92,FYStart))))</f>
        <v/>
      </c>
      <c r="S92" s="60" t="str">
        <f aca="false">IF($A92="","",IF(AND(N($G92)&gt;0,N92&gt;N($G92)),"OVER LIMIT",IF(AND(N92&gt;0,N(R92)&gt;N($H92)),"OVERDUE",IF(ROUND(N92,2)&lt;0,"PAY DUE",""))))</f>
        <v/>
      </c>
    </row>
    <row r="93" customFormat="false" ht="15" hidden="false" customHeight="false" outlineLevel="0" collapsed="false">
      <c r="A93" s="56"/>
      <c r="B93" s="56"/>
      <c r="C93" s="56"/>
      <c r="D93" s="56"/>
      <c r="E93" s="56"/>
      <c r="F93" s="56"/>
      <c r="G93" s="68"/>
      <c r="H93" s="69"/>
      <c r="I93" s="58"/>
      <c r="J93" s="61" t="str">
        <f aca="false">IF($A93="","",SUMIFS(Sales!$Q$5:INDEX(Sales!$Q$5:$Q$3004,TxRows),Sales!$C$5:INDEX(Sales!$C$5:$C$3004,TxRows),$A93)-SUMIFS(Sales!$X$5:INDEX(Sales!$X$5:$X$3004,TxRows),Sales!$C$5:INDEX(Sales!$C$5:$C$3004,TxRows),$A93))</f>
        <v/>
      </c>
      <c r="K93" s="61" t="str">
        <f aca="false">IF($A93="","",SUMIFS(CashBook!$G$5:INDEX(CashBook!$G$5:$G$3004,TxRows),CashBook!$D$5:INDEX(CashBook!$D$5:$D$3004,TxRows),$A93,CashBook!$C$5:INDEX(CashBook!$C$5:$C$3004,TxRows),"Receipt"))</f>
        <v/>
      </c>
      <c r="L93" s="61" t="str">
        <f aca="false">IF($A93="","",SUMIFS(Purchases!$P$5:INDEX(Purchases!$P$5:$P$3004,TxRows),Purchases!$C$5:INDEX(Purchases!$C$5:$C$3004,TxRows),$A93)-SUMIFS(Purchases!$S$5:INDEX(Purchases!$S$5:$S$3004,TxRows),Purchases!$C$5:INDEX(Purchases!$C$5:$C$3004,TxRows),$A93))</f>
        <v/>
      </c>
      <c r="M93" s="61" t="str">
        <f aca="false">IF($A93="","",SUMIFS(CashBook!$G$5:INDEX(CashBook!$G$5:$G$3004,TxRows),CashBook!$D$5:INDEX(CashBook!$D$5:$D$3004,TxRows),$A93,CashBook!$C$5:INDEX(CashBook!$C$5:$C$3004,TxRows),"Payment"))</f>
        <v/>
      </c>
      <c r="N93" s="61" t="str">
        <f aca="false">IF($A93="","",N($I93)+J93-K93-L93+M93)</f>
        <v/>
      </c>
      <c r="O93" s="60" t="str">
        <f aca="false">IF($A93="","",IF(ROUND(N93,2)&gt;0,"Receivable",IF(ROUND(N93,2)&lt;0,"Payable","Settled")))</f>
        <v/>
      </c>
      <c r="P93" s="66" t="str">
        <f aca="false">IF($A93="","",IFERROR(SUMPRODUCT(MAX((Sales!$C$5:INDEX(Sales!$C$5:$C$3004,TxRows)=$A93)*Sales!$A$5:INDEX(Sales!$A$5:$A$3004,TxRows))),0))</f>
        <v/>
      </c>
      <c r="Q93" s="66" t="str">
        <f aca="false">IF($A93="","",IFERROR(SUMPRODUCT(MAX((CashBook!$D$5:INDEX(CashBook!$D$5:$D$3004,TxRows)=$A93)*(CashBook!$C$5:INDEX(CashBook!$C$5:$C$3004,TxRows)="Receipt")*CashBook!$A$5:INDEX(CashBook!$A$5:$A$3004,TxRows))),0))</f>
        <v/>
      </c>
      <c r="R93" s="67" t="str">
        <f aca="false">IF($A93="","",IF(ROUND(N93,2)&lt;=0,"",AsOf-IF(N(Q93)&gt;0,Q93,IF(N(P93)&gt;0,P93,FYStart))))</f>
        <v/>
      </c>
      <c r="S93" s="60" t="str">
        <f aca="false">IF($A93="","",IF(AND(N($G93)&gt;0,N93&gt;N($G93)),"OVER LIMIT",IF(AND(N93&gt;0,N(R93)&gt;N($H93)),"OVERDUE",IF(ROUND(N93,2)&lt;0,"PAY DUE",""))))</f>
        <v/>
      </c>
    </row>
    <row r="94" customFormat="false" ht="15" hidden="false" customHeight="false" outlineLevel="0" collapsed="false">
      <c r="A94" s="56"/>
      <c r="B94" s="56"/>
      <c r="C94" s="56"/>
      <c r="D94" s="56"/>
      <c r="E94" s="56"/>
      <c r="F94" s="56"/>
      <c r="G94" s="68"/>
      <c r="H94" s="69"/>
      <c r="I94" s="58"/>
      <c r="J94" s="61" t="str">
        <f aca="false">IF($A94="","",SUMIFS(Sales!$Q$5:INDEX(Sales!$Q$5:$Q$3004,TxRows),Sales!$C$5:INDEX(Sales!$C$5:$C$3004,TxRows),$A94)-SUMIFS(Sales!$X$5:INDEX(Sales!$X$5:$X$3004,TxRows),Sales!$C$5:INDEX(Sales!$C$5:$C$3004,TxRows),$A94))</f>
        <v/>
      </c>
      <c r="K94" s="61" t="str">
        <f aca="false">IF($A94="","",SUMIFS(CashBook!$G$5:INDEX(CashBook!$G$5:$G$3004,TxRows),CashBook!$D$5:INDEX(CashBook!$D$5:$D$3004,TxRows),$A94,CashBook!$C$5:INDEX(CashBook!$C$5:$C$3004,TxRows),"Receipt"))</f>
        <v/>
      </c>
      <c r="L94" s="61" t="str">
        <f aca="false">IF($A94="","",SUMIFS(Purchases!$P$5:INDEX(Purchases!$P$5:$P$3004,TxRows),Purchases!$C$5:INDEX(Purchases!$C$5:$C$3004,TxRows),$A94)-SUMIFS(Purchases!$S$5:INDEX(Purchases!$S$5:$S$3004,TxRows),Purchases!$C$5:INDEX(Purchases!$C$5:$C$3004,TxRows),$A94))</f>
        <v/>
      </c>
      <c r="M94" s="61" t="str">
        <f aca="false">IF($A94="","",SUMIFS(CashBook!$G$5:INDEX(CashBook!$G$5:$G$3004,TxRows),CashBook!$D$5:INDEX(CashBook!$D$5:$D$3004,TxRows),$A94,CashBook!$C$5:INDEX(CashBook!$C$5:$C$3004,TxRows),"Payment"))</f>
        <v/>
      </c>
      <c r="N94" s="61" t="str">
        <f aca="false">IF($A94="","",N($I94)+J94-K94-L94+M94)</f>
        <v/>
      </c>
      <c r="O94" s="60" t="str">
        <f aca="false">IF($A94="","",IF(ROUND(N94,2)&gt;0,"Receivable",IF(ROUND(N94,2)&lt;0,"Payable","Settled")))</f>
        <v/>
      </c>
      <c r="P94" s="66" t="str">
        <f aca="false">IF($A94="","",IFERROR(SUMPRODUCT(MAX((Sales!$C$5:INDEX(Sales!$C$5:$C$3004,TxRows)=$A94)*Sales!$A$5:INDEX(Sales!$A$5:$A$3004,TxRows))),0))</f>
        <v/>
      </c>
      <c r="Q94" s="66" t="str">
        <f aca="false">IF($A94="","",IFERROR(SUMPRODUCT(MAX((CashBook!$D$5:INDEX(CashBook!$D$5:$D$3004,TxRows)=$A94)*(CashBook!$C$5:INDEX(CashBook!$C$5:$C$3004,TxRows)="Receipt")*CashBook!$A$5:INDEX(CashBook!$A$5:$A$3004,TxRows))),0))</f>
        <v/>
      </c>
      <c r="R94" s="67" t="str">
        <f aca="false">IF($A94="","",IF(ROUND(N94,2)&lt;=0,"",AsOf-IF(N(Q94)&gt;0,Q94,IF(N(P94)&gt;0,P94,FYStart))))</f>
        <v/>
      </c>
      <c r="S94" s="60" t="str">
        <f aca="false">IF($A94="","",IF(AND(N($G94)&gt;0,N94&gt;N($G94)),"OVER LIMIT",IF(AND(N94&gt;0,N(R94)&gt;N($H94)),"OVERDUE",IF(ROUND(N94,2)&lt;0,"PAY DUE",""))))</f>
        <v/>
      </c>
    </row>
    <row r="95" customFormat="false" ht="15" hidden="false" customHeight="false" outlineLevel="0" collapsed="false">
      <c r="A95" s="56"/>
      <c r="B95" s="56"/>
      <c r="C95" s="56"/>
      <c r="D95" s="56"/>
      <c r="E95" s="56"/>
      <c r="F95" s="56"/>
      <c r="G95" s="68"/>
      <c r="H95" s="69"/>
      <c r="I95" s="58"/>
      <c r="J95" s="61" t="str">
        <f aca="false">IF($A95="","",SUMIFS(Sales!$Q$5:INDEX(Sales!$Q$5:$Q$3004,TxRows),Sales!$C$5:INDEX(Sales!$C$5:$C$3004,TxRows),$A95)-SUMIFS(Sales!$X$5:INDEX(Sales!$X$5:$X$3004,TxRows),Sales!$C$5:INDEX(Sales!$C$5:$C$3004,TxRows),$A95))</f>
        <v/>
      </c>
      <c r="K95" s="61" t="str">
        <f aca="false">IF($A95="","",SUMIFS(CashBook!$G$5:INDEX(CashBook!$G$5:$G$3004,TxRows),CashBook!$D$5:INDEX(CashBook!$D$5:$D$3004,TxRows),$A95,CashBook!$C$5:INDEX(CashBook!$C$5:$C$3004,TxRows),"Receipt"))</f>
        <v/>
      </c>
      <c r="L95" s="61" t="str">
        <f aca="false">IF($A95="","",SUMIFS(Purchases!$P$5:INDEX(Purchases!$P$5:$P$3004,TxRows),Purchases!$C$5:INDEX(Purchases!$C$5:$C$3004,TxRows),$A95)-SUMIFS(Purchases!$S$5:INDEX(Purchases!$S$5:$S$3004,TxRows),Purchases!$C$5:INDEX(Purchases!$C$5:$C$3004,TxRows),$A95))</f>
        <v/>
      </c>
      <c r="M95" s="61" t="str">
        <f aca="false">IF($A95="","",SUMIFS(CashBook!$G$5:INDEX(CashBook!$G$5:$G$3004,TxRows),CashBook!$D$5:INDEX(CashBook!$D$5:$D$3004,TxRows),$A95,CashBook!$C$5:INDEX(CashBook!$C$5:$C$3004,TxRows),"Payment"))</f>
        <v/>
      </c>
      <c r="N95" s="61" t="str">
        <f aca="false">IF($A95="","",N($I95)+J95-K95-L95+M95)</f>
        <v/>
      </c>
      <c r="O95" s="60" t="str">
        <f aca="false">IF($A95="","",IF(ROUND(N95,2)&gt;0,"Receivable",IF(ROUND(N95,2)&lt;0,"Payable","Settled")))</f>
        <v/>
      </c>
      <c r="P95" s="66" t="str">
        <f aca="false">IF($A95="","",IFERROR(SUMPRODUCT(MAX((Sales!$C$5:INDEX(Sales!$C$5:$C$3004,TxRows)=$A95)*Sales!$A$5:INDEX(Sales!$A$5:$A$3004,TxRows))),0))</f>
        <v/>
      </c>
      <c r="Q95" s="66" t="str">
        <f aca="false">IF($A95="","",IFERROR(SUMPRODUCT(MAX((CashBook!$D$5:INDEX(CashBook!$D$5:$D$3004,TxRows)=$A95)*(CashBook!$C$5:INDEX(CashBook!$C$5:$C$3004,TxRows)="Receipt")*CashBook!$A$5:INDEX(CashBook!$A$5:$A$3004,TxRows))),0))</f>
        <v/>
      </c>
      <c r="R95" s="67" t="str">
        <f aca="false">IF($A95="","",IF(ROUND(N95,2)&lt;=0,"",AsOf-IF(N(Q95)&gt;0,Q95,IF(N(P95)&gt;0,P95,FYStart))))</f>
        <v/>
      </c>
      <c r="S95" s="60" t="str">
        <f aca="false">IF($A95="","",IF(AND(N($G95)&gt;0,N95&gt;N($G95)),"OVER LIMIT",IF(AND(N95&gt;0,N(R95)&gt;N($H95)),"OVERDUE",IF(ROUND(N95,2)&lt;0,"PAY DUE",""))))</f>
        <v/>
      </c>
    </row>
    <row r="96" customFormat="false" ht="15" hidden="false" customHeight="false" outlineLevel="0" collapsed="false">
      <c r="A96" s="56"/>
      <c r="B96" s="56"/>
      <c r="C96" s="56"/>
      <c r="D96" s="56"/>
      <c r="E96" s="56"/>
      <c r="F96" s="56"/>
      <c r="G96" s="68"/>
      <c r="H96" s="69"/>
      <c r="I96" s="58"/>
      <c r="J96" s="61" t="str">
        <f aca="false">IF($A96="","",SUMIFS(Sales!$Q$5:INDEX(Sales!$Q$5:$Q$3004,TxRows),Sales!$C$5:INDEX(Sales!$C$5:$C$3004,TxRows),$A96)-SUMIFS(Sales!$X$5:INDEX(Sales!$X$5:$X$3004,TxRows),Sales!$C$5:INDEX(Sales!$C$5:$C$3004,TxRows),$A96))</f>
        <v/>
      </c>
      <c r="K96" s="61" t="str">
        <f aca="false">IF($A96="","",SUMIFS(CashBook!$G$5:INDEX(CashBook!$G$5:$G$3004,TxRows),CashBook!$D$5:INDEX(CashBook!$D$5:$D$3004,TxRows),$A96,CashBook!$C$5:INDEX(CashBook!$C$5:$C$3004,TxRows),"Receipt"))</f>
        <v/>
      </c>
      <c r="L96" s="61" t="str">
        <f aca="false">IF($A96="","",SUMIFS(Purchases!$P$5:INDEX(Purchases!$P$5:$P$3004,TxRows),Purchases!$C$5:INDEX(Purchases!$C$5:$C$3004,TxRows),$A96)-SUMIFS(Purchases!$S$5:INDEX(Purchases!$S$5:$S$3004,TxRows),Purchases!$C$5:INDEX(Purchases!$C$5:$C$3004,TxRows),$A96))</f>
        <v/>
      </c>
      <c r="M96" s="61" t="str">
        <f aca="false">IF($A96="","",SUMIFS(CashBook!$G$5:INDEX(CashBook!$G$5:$G$3004,TxRows),CashBook!$D$5:INDEX(CashBook!$D$5:$D$3004,TxRows),$A96,CashBook!$C$5:INDEX(CashBook!$C$5:$C$3004,TxRows),"Payment"))</f>
        <v/>
      </c>
      <c r="N96" s="61" t="str">
        <f aca="false">IF($A96="","",N($I96)+J96-K96-L96+M96)</f>
        <v/>
      </c>
      <c r="O96" s="60" t="str">
        <f aca="false">IF($A96="","",IF(ROUND(N96,2)&gt;0,"Receivable",IF(ROUND(N96,2)&lt;0,"Payable","Settled")))</f>
        <v/>
      </c>
      <c r="P96" s="66" t="str">
        <f aca="false">IF($A96="","",IFERROR(SUMPRODUCT(MAX((Sales!$C$5:INDEX(Sales!$C$5:$C$3004,TxRows)=$A96)*Sales!$A$5:INDEX(Sales!$A$5:$A$3004,TxRows))),0))</f>
        <v/>
      </c>
      <c r="Q96" s="66" t="str">
        <f aca="false">IF($A96="","",IFERROR(SUMPRODUCT(MAX((CashBook!$D$5:INDEX(CashBook!$D$5:$D$3004,TxRows)=$A96)*(CashBook!$C$5:INDEX(CashBook!$C$5:$C$3004,TxRows)="Receipt")*CashBook!$A$5:INDEX(CashBook!$A$5:$A$3004,TxRows))),0))</f>
        <v/>
      </c>
      <c r="R96" s="67" t="str">
        <f aca="false">IF($A96="","",IF(ROUND(N96,2)&lt;=0,"",AsOf-IF(N(Q96)&gt;0,Q96,IF(N(P96)&gt;0,P96,FYStart))))</f>
        <v/>
      </c>
      <c r="S96" s="60" t="str">
        <f aca="false">IF($A96="","",IF(AND(N($G96)&gt;0,N96&gt;N($G96)),"OVER LIMIT",IF(AND(N96&gt;0,N(R96)&gt;N($H96)),"OVERDUE",IF(ROUND(N96,2)&lt;0,"PAY DUE",""))))</f>
        <v/>
      </c>
    </row>
    <row r="97" customFormat="false" ht="15" hidden="false" customHeight="false" outlineLevel="0" collapsed="false">
      <c r="A97" s="56"/>
      <c r="B97" s="56"/>
      <c r="C97" s="56"/>
      <c r="D97" s="56"/>
      <c r="E97" s="56"/>
      <c r="F97" s="56"/>
      <c r="G97" s="68"/>
      <c r="H97" s="69"/>
      <c r="I97" s="58"/>
      <c r="J97" s="61" t="str">
        <f aca="false">IF($A97="","",SUMIFS(Sales!$Q$5:INDEX(Sales!$Q$5:$Q$3004,TxRows),Sales!$C$5:INDEX(Sales!$C$5:$C$3004,TxRows),$A97)-SUMIFS(Sales!$X$5:INDEX(Sales!$X$5:$X$3004,TxRows),Sales!$C$5:INDEX(Sales!$C$5:$C$3004,TxRows),$A97))</f>
        <v/>
      </c>
      <c r="K97" s="61" t="str">
        <f aca="false">IF($A97="","",SUMIFS(CashBook!$G$5:INDEX(CashBook!$G$5:$G$3004,TxRows),CashBook!$D$5:INDEX(CashBook!$D$5:$D$3004,TxRows),$A97,CashBook!$C$5:INDEX(CashBook!$C$5:$C$3004,TxRows),"Receipt"))</f>
        <v/>
      </c>
      <c r="L97" s="61" t="str">
        <f aca="false">IF($A97="","",SUMIFS(Purchases!$P$5:INDEX(Purchases!$P$5:$P$3004,TxRows),Purchases!$C$5:INDEX(Purchases!$C$5:$C$3004,TxRows),$A97)-SUMIFS(Purchases!$S$5:INDEX(Purchases!$S$5:$S$3004,TxRows),Purchases!$C$5:INDEX(Purchases!$C$5:$C$3004,TxRows),$A97))</f>
        <v/>
      </c>
      <c r="M97" s="61" t="str">
        <f aca="false">IF($A97="","",SUMIFS(CashBook!$G$5:INDEX(CashBook!$G$5:$G$3004,TxRows),CashBook!$D$5:INDEX(CashBook!$D$5:$D$3004,TxRows),$A97,CashBook!$C$5:INDEX(CashBook!$C$5:$C$3004,TxRows),"Payment"))</f>
        <v/>
      </c>
      <c r="N97" s="61" t="str">
        <f aca="false">IF($A97="","",N($I97)+J97-K97-L97+M97)</f>
        <v/>
      </c>
      <c r="O97" s="60" t="str">
        <f aca="false">IF($A97="","",IF(ROUND(N97,2)&gt;0,"Receivable",IF(ROUND(N97,2)&lt;0,"Payable","Settled")))</f>
        <v/>
      </c>
      <c r="P97" s="66" t="str">
        <f aca="false">IF($A97="","",IFERROR(SUMPRODUCT(MAX((Sales!$C$5:INDEX(Sales!$C$5:$C$3004,TxRows)=$A97)*Sales!$A$5:INDEX(Sales!$A$5:$A$3004,TxRows))),0))</f>
        <v/>
      </c>
      <c r="Q97" s="66" t="str">
        <f aca="false">IF($A97="","",IFERROR(SUMPRODUCT(MAX((CashBook!$D$5:INDEX(CashBook!$D$5:$D$3004,TxRows)=$A97)*(CashBook!$C$5:INDEX(CashBook!$C$5:$C$3004,TxRows)="Receipt")*CashBook!$A$5:INDEX(CashBook!$A$5:$A$3004,TxRows))),0))</f>
        <v/>
      </c>
      <c r="R97" s="67" t="str">
        <f aca="false">IF($A97="","",IF(ROUND(N97,2)&lt;=0,"",AsOf-IF(N(Q97)&gt;0,Q97,IF(N(P97)&gt;0,P97,FYStart))))</f>
        <v/>
      </c>
      <c r="S97" s="60" t="str">
        <f aca="false">IF($A97="","",IF(AND(N($G97)&gt;0,N97&gt;N($G97)),"OVER LIMIT",IF(AND(N97&gt;0,N(R97)&gt;N($H97)),"OVERDUE",IF(ROUND(N97,2)&lt;0,"PAY DUE",""))))</f>
        <v/>
      </c>
    </row>
    <row r="98" customFormat="false" ht="15" hidden="false" customHeight="false" outlineLevel="0" collapsed="false">
      <c r="A98" s="56"/>
      <c r="B98" s="56"/>
      <c r="C98" s="56"/>
      <c r="D98" s="56"/>
      <c r="E98" s="56"/>
      <c r="F98" s="56"/>
      <c r="G98" s="68"/>
      <c r="H98" s="69"/>
      <c r="I98" s="58"/>
      <c r="J98" s="61" t="str">
        <f aca="false">IF($A98="","",SUMIFS(Sales!$Q$5:INDEX(Sales!$Q$5:$Q$3004,TxRows),Sales!$C$5:INDEX(Sales!$C$5:$C$3004,TxRows),$A98)-SUMIFS(Sales!$X$5:INDEX(Sales!$X$5:$X$3004,TxRows),Sales!$C$5:INDEX(Sales!$C$5:$C$3004,TxRows),$A98))</f>
        <v/>
      </c>
      <c r="K98" s="61" t="str">
        <f aca="false">IF($A98="","",SUMIFS(CashBook!$G$5:INDEX(CashBook!$G$5:$G$3004,TxRows),CashBook!$D$5:INDEX(CashBook!$D$5:$D$3004,TxRows),$A98,CashBook!$C$5:INDEX(CashBook!$C$5:$C$3004,TxRows),"Receipt"))</f>
        <v/>
      </c>
      <c r="L98" s="61" t="str">
        <f aca="false">IF($A98="","",SUMIFS(Purchases!$P$5:INDEX(Purchases!$P$5:$P$3004,TxRows),Purchases!$C$5:INDEX(Purchases!$C$5:$C$3004,TxRows),$A98)-SUMIFS(Purchases!$S$5:INDEX(Purchases!$S$5:$S$3004,TxRows),Purchases!$C$5:INDEX(Purchases!$C$5:$C$3004,TxRows),$A98))</f>
        <v/>
      </c>
      <c r="M98" s="61" t="str">
        <f aca="false">IF($A98="","",SUMIFS(CashBook!$G$5:INDEX(CashBook!$G$5:$G$3004,TxRows),CashBook!$D$5:INDEX(CashBook!$D$5:$D$3004,TxRows),$A98,CashBook!$C$5:INDEX(CashBook!$C$5:$C$3004,TxRows),"Payment"))</f>
        <v/>
      </c>
      <c r="N98" s="61" t="str">
        <f aca="false">IF($A98="","",N($I98)+J98-K98-L98+M98)</f>
        <v/>
      </c>
      <c r="O98" s="60" t="str">
        <f aca="false">IF($A98="","",IF(ROUND(N98,2)&gt;0,"Receivable",IF(ROUND(N98,2)&lt;0,"Payable","Settled")))</f>
        <v/>
      </c>
      <c r="P98" s="66" t="str">
        <f aca="false">IF($A98="","",IFERROR(SUMPRODUCT(MAX((Sales!$C$5:INDEX(Sales!$C$5:$C$3004,TxRows)=$A98)*Sales!$A$5:INDEX(Sales!$A$5:$A$3004,TxRows))),0))</f>
        <v/>
      </c>
      <c r="Q98" s="66" t="str">
        <f aca="false">IF($A98="","",IFERROR(SUMPRODUCT(MAX((CashBook!$D$5:INDEX(CashBook!$D$5:$D$3004,TxRows)=$A98)*(CashBook!$C$5:INDEX(CashBook!$C$5:$C$3004,TxRows)="Receipt")*CashBook!$A$5:INDEX(CashBook!$A$5:$A$3004,TxRows))),0))</f>
        <v/>
      </c>
      <c r="R98" s="67" t="str">
        <f aca="false">IF($A98="","",IF(ROUND(N98,2)&lt;=0,"",AsOf-IF(N(Q98)&gt;0,Q98,IF(N(P98)&gt;0,P98,FYStart))))</f>
        <v/>
      </c>
      <c r="S98" s="60" t="str">
        <f aca="false">IF($A98="","",IF(AND(N($G98)&gt;0,N98&gt;N($G98)),"OVER LIMIT",IF(AND(N98&gt;0,N(R98)&gt;N($H98)),"OVERDUE",IF(ROUND(N98,2)&lt;0,"PAY DUE",""))))</f>
        <v/>
      </c>
    </row>
    <row r="99" customFormat="false" ht="15" hidden="false" customHeight="false" outlineLevel="0" collapsed="false">
      <c r="A99" s="56"/>
      <c r="B99" s="56"/>
      <c r="C99" s="56"/>
      <c r="D99" s="56"/>
      <c r="E99" s="56"/>
      <c r="F99" s="56"/>
      <c r="G99" s="68"/>
      <c r="H99" s="69"/>
      <c r="I99" s="58"/>
      <c r="J99" s="61" t="str">
        <f aca="false">IF($A99="","",SUMIFS(Sales!$Q$5:INDEX(Sales!$Q$5:$Q$3004,TxRows),Sales!$C$5:INDEX(Sales!$C$5:$C$3004,TxRows),$A99)-SUMIFS(Sales!$X$5:INDEX(Sales!$X$5:$X$3004,TxRows),Sales!$C$5:INDEX(Sales!$C$5:$C$3004,TxRows),$A99))</f>
        <v/>
      </c>
      <c r="K99" s="61" t="str">
        <f aca="false">IF($A99="","",SUMIFS(CashBook!$G$5:INDEX(CashBook!$G$5:$G$3004,TxRows),CashBook!$D$5:INDEX(CashBook!$D$5:$D$3004,TxRows),$A99,CashBook!$C$5:INDEX(CashBook!$C$5:$C$3004,TxRows),"Receipt"))</f>
        <v/>
      </c>
      <c r="L99" s="61" t="str">
        <f aca="false">IF($A99="","",SUMIFS(Purchases!$P$5:INDEX(Purchases!$P$5:$P$3004,TxRows),Purchases!$C$5:INDEX(Purchases!$C$5:$C$3004,TxRows),$A99)-SUMIFS(Purchases!$S$5:INDEX(Purchases!$S$5:$S$3004,TxRows),Purchases!$C$5:INDEX(Purchases!$C$5:$C$3004,TxRows),$A99))</f>
        <v/>
      </c>
      <c r="M99" s="61" t="str">
        <f aca="false">IF($A99="","",SUMIFS(CashBook!$G$5:INDEX(CashBook!$G$5:$G$3004,TxRows),CashBook!$D$5:INDEX(CashBook!$D$5:$D$3004,TxRows),$A99,CashBook!$C$5:INDEX(CashBook!$C$5:$C$3004,TxRows),"Payment"))</f>
        <v/>
      </c>
      <c r="N99" s="61" t="str">
        <f aca="false">IF($A99="","",N($I99)+J99-K99-L99+M99)</f>
        <v/>
      </c>
      <c r="O99" s="60" t="str">
        <f aca="false">IF($A99="","",IF(ROUND(N99,2)&gt;0,"Receivable",IF(ROUND(N99,2)&lt;0,"Payable","Settled")))</f>
        <v/>
      </c>
      <c r="P99" s="66" t="str">
        <f aca="false">IF($A99="","",IFERROR(SUMPRODUCT(MAX((Sales!$C$5:INDEX(Sales!$C$5:$C$3004,TxRows)=$A99)*Sales!$A$5:INDEX(Sales!$A$5:$A$3004,TxRows))),0))</f>
        <v/>
      </c>
      <c r="Q99" s="66" t="str">
        <f aca="false">IF($A99="","",IFERROR(SUMPRODUCT(MAX((CashBook!$D$5:INDEX(CashBook!$D$5:$D$3004,TxRows)=$A99)*(CashBook!$C$5:INDEX(CashBook!$C$5:$C$3004,TxRows)="Receipt")*CashBook!$A$5:INDEX(CashBook!$A$5:$A$3004,TxRows))),0))</f>
        <v/>
      </c>
      <c r="R99" s="67" t="str">
        <f aca="false">IF($A99="","",IF(ROUND(N99,2)&lt;=0,"",AsOf-IF(N(Q99)&gt;0,Q99,IF(N(P99)&gt;0,P99,FYStart))))</f>
        <v/>
      </c>
      <c r="S99" s="60" t="str">
        <f aca="false">IF($A99="","",IF(AND(N($G99)&gt;0,N99&gt;N($G99)),"OVER LIMIT",IF(AND(N99&gt;0,N(R99)&gt;N($H99)),"OVERDUE",IF(ROUND(N99,2)&lt;0,"PAY DUE",""))))</f>
        <v/>
      </c>
    </row>
    <row r="100" customFormat="false" ht="15" hidden="false" customHeight="false" outlineLevel="0" collapsed="false">
      <c r="A100" s="56"/>
      <c r="B100" s="56"/>
      <c r="C100" s="56"/>
      <c r="D100" s="56"/>
      <c r="E100" s="56"/>
      <c r="F100" s="56"/>
      <c r="G100" s="68"/>
      <c r="H100" s="69"/>
      <c r="I100" s="58"/>
      <c r="J100" s="61" t="str">
        <f aca="false">IF($A100="","",SUMIFS(Sales!$Q$5:INDEX(Sales!$Q$5:$Q$3004,TxRows),Sales!$C$5:INDEX(Sales!$C$5:$C$3004,TxRows),$A100)-SUMIFS(Sales!$X$5:INDEX(Sales!$X$5:$X$3004,TxRows),Sales!$C$5:INDEX(Sales!$C$5:$C$3004,TxRows),$A100))</f>
        <v/>
      </c>
      <c r="K100" s="61" t="str">
        <f aca="false">IF($A100="","",SUMIFS(CashBook!$G$5:INDEX(CashBook!$G$5:$G$3004,TxRows),CashBook!$D$5:INDEX(CashBook!$D$5:$D$3004,TxRows),$A100,CashBook!$C$5:INDEX(CashBook!$C$5:$C$3004,TxRows),"Receipt"))</f>
        <v/>
      </c>
      <c r="L100" s="61" t="str">
        <f aca="false">IF($A100="","",SUMIFS(Purchases!$P$5:INDEX(Purchases!$P$5:$P$3004,TxRows),Purchases!$C$5:INDEX(Purchases!$C$5:$C$3004,TxRows),$A100)-SUMIFS(Purchases!$S$5:INDEX(Purchases!$S$5:$S$3004,TxRows),Purchases!$C$5:INDEX(Purchases!$C$5:$C$3004,TxRows),$A100))</f>
        <v/>
      </c>
      <c r="M100" s="61" t="str">
        <f aca="false">IF($A100="","",SUMIFS(CashBook!$G$5:INDEX(CashBook!$G$5:$G$3004,TxRows),CashBook!$D$5:INDEX(CashBook!$D$5:$D$3004,TxRows),$A100,CashBook!$C$5:INDEX(CashBook!$C$5:$C$3004,TxRows),"Payment"))</f>
        <v/>
      </c>
      <c r="N100" s="61" t="str">
        <f aca="false">IF($A100="","",N($I100)+J100-K100-L100+M100)</f>
        <v/>
      </c>
      <c r="O100" s="60" t="str">
        <f aca="false">IF($A100="","",IF(ROUND(N100,2)&gt;0,"Receivable",IF(ROUND(N100,2)&lt;0,"Payable","Settled")))</f>
        <v/>
      </c>
      <c r="P100" s="66" t="str">
        <f aca="false">IF($A100="","",IFERROR(SUMPRODUCT(MAX((Sales!$C$5:INDEX(Sales!$C$5:$C$3004,TxRows)=$A100)*Sales!$A$5:INDEX(Sales!$A$5:$A$3004,TxRows))),0))</f>
        <v/>
      </c>
      <c r="Q100" s="66" t="str">
        <f aca="false">IF($A100="","",IFERROR(SUMPRODUCT(MAX((CashBook!$D$5:INDEX(CashBook!$D$5:$D$3004,TxRows)=$A100)*(CashBook!$C$5:INDEX(CashBook!$C$5:$C$3004,TxRows)="Receipt")*CashBook!$A$5:INDEX(CashBook!$A$5:$A$3004,TxRows))),0))</f>
        <v/>
      </c>
      <c r="R100" s="67" t="str">
        <f aca="false">IF($A100="","",IF(ROUND(N100,2)&lt;=0,"",AsOf-IF(N(Q100)&gt;0,Q100,IF(N(P100)&gt;0,P100,FYStart))))</f>
        <v/>
      </c>
      <c r="S100" s="60" t="str">
        <f aca="false">IF($A100="","",IF(AND(N($G100)&gt;0,N100&gt;N($G100)),"OVER LIMIT",IF(AND(N100&gt;0,N(R100)&gt;N($H100)),"OVERDUE",IF(ROUND(N100,2)&lt;0,"PAY DUE",""))))</f>
        <v/>
      </c>
    </row>
    <row r="101" customFormat="false" ht="15" hidden="false" customHeight="false" outlineLevel="0" collapsed="false">
      <c r="A101" s="56"/>
      <c r="B101" s="56"/>
      <c r="C101" s="56"/>
      <c r="D101" s="56"/>
      <c r="E101" s="56"/>
      <c r="F101" s="56"/>
      <c r="G101" s="68"/>
      <c r="H101" s="69"/>
      <c r="I101" s="58"/>
      <c r="J101" s="61" t="str">
        <f aca="false">IF($A101="","",SUMIFS(Sales!$Q$5:INDEX(Sales!$Q$5:$Q$3004,TxRows),Sales!$C$5:INDEX(Sales!$C$5:$C$3004,TxRows),$A101)-SUMIFS(Sales!$X$5:INDEX(Sales!$X$5:$X$3004,TxRows),Sales!$C$5:INDEX(Sales!$C$5:$C$3004,TxRows),$A101))</f>
        <v/>
      </c>
      <c r="K101" s="61" t="str">
        <f aca="false">IF($A101="","",SUMIFS(CashBook!$G$5:INDEX(CashBook!$G$5:$G$3004,TxRows),CashBook!$D$5:INDEX(CashBook!$D$5:$D$3004,TxRows),$A101,CashBook!$C$5:INDEX(CashBook!$C$5:$C$3004,TxRows),"Receipt"))</f>
        <v/>
      </c>
      <c r="L101" s="61" t="str">
        <f aca="false">IF($A101="","",SUMIFS(Purchases!$P$5:INDEX(Purchases!$P$5:$P$3004,TxRows),Purchases!$C$5:INDEX(Purchases!$C$5:$C$3004,TxRows),$A101)-SUMIFS(Purchases!$S$5:INDEX(Purchases!$S$5:$S$3004,TxRows),Purchases!$C$5:INDEX(Purchases!$C$5:$C$3004,TxRows),$A101))</f>
        <v/>
      </c>
      <c r="M101" s="61" t="str">
        <f aca="false">IF($A101="","",SUMIFS(CashBook!$G$5:INDEX(CashBook!$G$5:$G$3004,TxRows),CashBook!$D$5:INDEX(CashBook!$D$5:$D$3004,TxRows),$A101,CashBook!$C$5:INDEX(CashBook!$C$5:$C$3004,TxRows),"Payment"))</f>
        <v/>
      </c>
      <c r="N101" s="61" t="str">
        <f aca="false">IF($A101="","",N($I101)+J101-K101-L101+M101)</f>
        <v/>
      </c>
      <c r="O101" s="60" t="str">
        <f aca="false">IF($A101="","",IF(ROUND(N101,2)&gt;0,"Receivable",IF(ROUND(N101,2)&lt;0,"Payable","Settled")))</f>
        <v/>
      </c>
      <c r="P101" s="66" t="str">
        <f aca="false">IF($A101="","",IFERROR(SUMPRODUCT(MAX((Sales!$C$5:INDEX(Sales!$C$5:$C$3004,TxRows)=$A101)*Sales!$A$5:INDEX(Sales!$A$5:$A$3004,TxRows))),0))</f>
        <v/>
      </c>
      <c r="Q101" s="66" t="str">
        <f aca="false">IF($A101="","",IFERROR(SUMPRODUCT(MAX((CashBook!$D$5:INDEX(CashBook!$D$5:$D$3004,TxRows)=$A101)*(CashBook!$C$5:INDEX(CashBook!$C$5:$C$3004,TxRows)="Receipt")*CashBook!$A$5:INDEX(CashBook!$A$5:$A$3004,TxRows))),0))</f>
        <v/>
      </c>
      <c r="R101" s="67" t="str">
        <f aca="false">IF($A101="","",IF(ROUND(N101,2)&lt;=0,"",AsOf-IF(N(Q101)&gt;0,Q101,IF(N(P101)&gt;0,P101,FYStart))))</f>
        <v/>
      </c>
      <c r="S101" s="60" t="str">
        <f aca="false">IF($A101="","",IF(AND(N($G101)&gt;0,N101&gt;N($G101)),"OVER LIMIT",IF(AND(N101&gt;0,N(R101)&gt;N($H101)),"OVERDUE",IF(ROUND(N101,2)&lt;0,"PAY DUE",""))))</f>
        <v/>
      </c>
    </row>
    <row r="102" customFormat="false" ht="15" hidden="false" customHeight="false" outlineLevel="0" collapsed="false">
      <c r="A102" s="56"/>
      <c r="B102" s="56"/>
      <c r="C102" s="56"/>
      <c r="D102" s="56"/>
      <c r="E102" s="56"/>
      <c r="F102" s="56"/>
      <c r="G102" s="68"/>
      <c r="H102" s="69"/>
      <c r="I102" s="58"/>
      <c r="J102" s="61" t="str">
        <f aca="false">IF($A102="","",SUMIFS(Sales!$Q$5:INDEX(Sales!$Q$5:$Q$3004,TxRows),Sales!$C$5:INDEX(Sales!$C$5:$C$3004,TxRows),$A102)-SUMIFS(Sales!$X$5:INDEX(Sales!$X$5:$X$3004,TxRows),Sales!$C$5:INDEX(Sales!$C$5:$C$3004,TxRows),$A102))</f>
        <v/>
      </c>
      <c r="K102" s="61" t="str">
        <f aca="false">IF($A102="","",SUMIFS(CashBook!$G$5:INDEX(CashBook!$G$5:$G$3004,TxRows),CashBook!$D$5:INDEX(CashBook!$D$5:$D$3004,TxRows),$A102,CashBook!$C$5:INDEX(CashBook!$C$5:$C$3004,TxRows),"Receipt"))</f>
        <v/>
      </c>
      <c r="L102" s="61" t="str">
        <f aca="false">IF($A102="","",SUMIFS(Purchases!$P$5:INDEX(Purchases!$P$5:$P$3004,TxRows),Purchases!$C$5:INDEX(Purchases!$C$5:$C$3004,TxRows),$A102)-SUMIFS(Purchases!$S$5:INDEX(Purchases!$S$5:$S$3004,TxRows),Purchases!$C$5:INDEX(Purchases!$C$5:$C$3004,TxRows),$A102))</f>
        <v/>
      </c>
      <c r="M102" s="61" t="str">
        <f aca="false">IF($A102="","",SUMIFS(CashBook!$G$5:INDEX(CashBook!$G$5:$G$3004,TxRows),CashBook!$D$5:INDEX(CashBook!$D$5:$D$3004,TxRows),$A102,CashBook!$C$5:INDEX(CashBook!$C$5:$C$3004,TxRows),"Payment"))</f>
        <v/>
      </c>
      <c r="N102" s="61" t="str">
        <f aca="false">IF($A102="","",N($I102)+J102-K102-L102+M102)</f>
        <v/>
      </c>
      <c r="O102" s="60" t="str">
        <f aca="false">IF($A102="","",IF(ROUND(N102,2)&gt;0,"Receivable",IF(ROUND(N102,2)&lt;0,"Payable","Settled")))</f>
        <v/>
      </c>
      <c r="P102" s="66" t="str">
        <f aca="false">IF($A102="","",IFERROR(SUMPRODUCT(MAX((Sales!$C$5:INDEX(Sales!$C$5:$C$3004,TxRows)=$A102)*Sales!$A$5:INDEX(Sales!$A$5:$A$3004,TxRows))),0))</f>
        <v/>
      </c>
      <c r="Q102" s="66" t="str">
        <f aca="false">IF($A102="","",IFERROR(SUMPRODUCT(MAX((CashBook!$D$5:INDEX(CashBook!$D$5:$D$3004,TxRows)=$A102)*(CashBook!$C$5:INDEX(CashBook!$C$5:$C$3004,TxRows)="Receipt")*CashBook!$A$5:INDEX(CashBook!$A$5:$A$3004,TxRows))),0))</f>
        <v/>
      </c>
      <c r="R102" s="67" t="str">
        <f aca="false">IF($A102="","",IF(ROUND(N102,2)&lt;=0,"",AsOf-IF(N(Q102)&gt;0,Q102,IF(N(P102)&gt;0,P102,FYStart))))</f>
        <v/>
      </c>
      <c r="S102" s="60" t="str">
        <f aca="false">IF($A102="","",IF(AND(N($G102)&gt;0,N102&gt;N($G102)),"OVER LIMIT",IF(AND(N102&gt;0,N(R102)&gt;N($H102)),"OVERDUE",IF(ROUND(N102,2)&lt;0,"PAY DUE",""))))</f>
        <v/>
      </c>
    </row>
    <row r="103" customFormat="false" ht="15" hidden="false" customHeight="false" outlineLevel="0" collapsed="false">
      <c r="A103" s="56"/>
      <c r="B103" s="56"/>
      <c r="C103" s="56"/>
      <c r="D103" s="56"/>
      <c r="E103" s="56"/>
      <c r="F103" s="56"/>
      <c r="G103" s="68"/>
      <c r="H103" s="69"/>
      <c r="I103" s="58"/>
      <c r="J103" s="61" t="str">
        <f aca="false">IF($A103="","",SUMIFS(Sales!$Q$5:INDEX(Sales!$Q$5:$Q$3004,TxRows),Sales!$C$5:INDEX(Sales!$C$5:$C$3004,TxRows),$A103)-SUMIFS(Sales!$X$5:INDEX(Sales!$X$5:$X$3004,TxRows),Sales!$C$5:INDEX(Sales!$C$5:$C$3004,TxRows),$A103))</f>
        <v/>
      </c>
      <c r="K103" s="61" t="str">
        <f aca="false">IF($A103="","",SUMIFS(CashBook!$G$5:INDEX(CashBook!$G$5:$G$3004,TxRows),CashBook!$D$5:INDEX(CashBook!$D$5:$D$3004,TxRows),$A103,CashBook!$C$5:INDEX(CashBook!$C$5:$C$3004,TxRows),"Receipt"))</f>
        <v/>
      </c>
      <c r="L103" s="61" t="str">
        <f aca="false">IF($A103="","",SUMIFS(Purchases!$P$5:INDEX(Purchases!$P$5:$P$3004,TxRows),Purchases!$C$5:INDEX(Purchases!$C$5:$C$3004,TxRows),$A103)-SUMIFS(Purchases!$S$5:INDEX(Purchases!$S$5:$S$3004,TxRows),Purchases!$C$5:INDEX(Purchases!$C$5:$C$3004,TxRows),$A103))</f>
        <v/>
      </c>
      <c r="M103" s="61" t="str">
        <f aca="false">IF($A103="","",SUMIFS(CashBook!$G$5:INDEX(CashBook!$G$5:$G$3004,TxRows),CashBook!$D$5:INDEX(CashBook!$D$5:$D$3004,TxRows),$A103,CashBook!$C$5:INDEX(CashBook!$C$5:$C$3004,TxRows),"Payment"))</f>
        <v/>
      </c>
      <c r="N103" s="61" t="str">
        <f aca="false">IF($A103="","",N($I103)+J103-K103-L103+M103)</f>
        <v/>
      </c>
      <c r="O103" s="60" t="str">
        <f aca="false">IF($A103="","",IF(ROUND(N103,2)&gt;0,"Receivable",IF(ROUND(N103,2)&lt;0,"Payable","Settled")))</f>
        <v/>
      </c>
      <c r="P103" s="66" t="str">
        <f aca="false">IF($A103="","",IFERROR(SUMPRODUCT(MAX((Sales!$C$5:INDEX(Sales!$C$5:$C$3004,TxRows)=$A103)*Sales!$A$5:INDEX(Sales!$A$5:$A$3004,TxRows))),0))</f>
        <v/>
      </c>
      <c r="Q103" s="66" t="str">
        <f aca="false">IF($A103="","",IFERROR(SUMPRODUCT(MAX((CashBook!$D$5:INDEX(CashBook!$D$5:$D$3004,TxRows)=$A103)*(CashBook!$C$5:INDEX(CashBook!$C$5:$C$3004,TxRows)="Receipt")*CashBook!$A$5:INDEX(CashBook!$A$5:$A$3004,TxRows))),0))</f>
        <v/>
      </c>
      <c r="R103" s="67" t="str">
        <f aca="false">IF($A103="","",IF(ROUND(N103,2)&lt;=0,"",AsOf-IF(N(Q103)&gt;0,Q103,IF(N(P103)&gt;0,P103,FYStart))))</f>
        <v/>
      </c>
      <c r="S103" s="60" t="str">
        <f aca="false">IF($A103="","",IF(AND(N($G103)&gt;0,N103&gt;N($G103)),"OVER LIMIT",IF(AND(N103&gt;0,N(R103)&gt;N($H103)),"OVERDUE",IF(ROUND(N103,2)&lt;0,"PAY DUE",""))))</f>
        <v/>
      </c>
    </row>
    <row r="104" customFormat="false" ht="15" hidden="false" customHeight="false" outlineLevel="0" collapsed="false">
      <c r="A104" s="56"/>
      <c r="B104" s="56"/>
      <c r="C104" s="56"/>
      <c r="D104" s="56"/>
      <c r="E104" s="56"/>
      <c r="F104" s="56"/>
      <c r="G104" s="68"/>
      <c r="H104" s="69"/>
      <c r="I104" s="58"/>
      <c r="J104" s="61" t="str">
        <f aca="false">IF($A104="","",SUMIFS(Sales!$Q$5:INDEX(Sales!$Q$5:$Q$3004,TxRows),Sales!$C$5:INDEX(Sales!$C$5:$C$3004,TxRows),$A104)-SUMIFS(Sales!$X$5:INDEX(Sales!$X$5:$X$3004,TxRows),Sales!$C$5:INDEX(Sales!$C$5:$C$3004,TxRows),$A104))</f>
        <v/>
      </c>
      <c r="K104" s="61" t="str">
        <f aca="false">IF($A104="","",SUMIFS(CashBook!$G$5:INDEX(CashBook!$G$5:$G$3004,TxRows),CashBook!$D$5:INDEX(CashBook!$D$5:$D$3004,TxRows),$A104,CashBook!$C$5:INDEX(CashBook!$C$5:$C$3004,TxRows),"Receipt"))</f>
        <v/>
      </c>
      <c r="L104" s="61" t="str">
        <f aca="false">IF($A104="","",SUMIFS(Purchases!$P$5:INDEX(Purchases!$P$5:$P$3004,TxRows),Purchases!$C$5:INDEX(Purchases!$C$5:$C$3004,TxRows),$A104)-SUMIFS(Purchases!$S$5:INDEX(Purchases!$S$5:$S$3004,TxRows),Purchases!$C$5:INDEX(Purchases!$C$5:$C$3004,TxRows),$A104))</f>
        <v/>
      </c>
      <c r="M104" s="61" t="str">
        <f aca="false">IF($A104="","",SUMIFS(CashBook!$G$5:INDEX(CashBook!$G$5:$G$3004,TxRows),CashBook!$D$5:INDEX(CashBook!$D$5:$D$3004,TxRows),$A104,CashBook!$C$5:INDEX(CashBook!$C$5:$C$3004,TxRows),"Payment"))</f>
        <v/>
      </c>
      <c r="N104" s="61" t="str">
        <f aca="false">IF($A104="","",N($I104)+J104-K104-L104+M104)</f>
        <v/>
      </c>
      <c r="O104" s="60" t="str">
        <f aca="false">IF($A104="","",IF(ROUND(N104,2)&gt;0,"Receivable",IF(ROUND(N104,2)&lt;0,"Payable","Settled")))</f>
        <v/>
      </c>
      <c r="P104" s="66" t="str">
        <f aca="false">IF($A104="","",IFERROR(SUMPRODUCT(MAX((Sales!$C$5:INDEX(Sales!$C$5:$C$3004,TxRows)=$A104)*Sales!$A$5:INDEX(Sales!$A$5:$A$3004,TxRows))),0))</f>
        <v/>
      </c>
      <c r="Q104" s="66" t="str">
        <f aca="false">IF($A104="","",IFERROR(SUMPRODUCT(MAX((CashBook!$D$5:INDEX(CashBook!$D$5:$D$3004,TxRows)=$A104)*(CashBook!$C$5:INDEX(CashBook!$C$5:$C$3004,TxRows)="Receipt")*CashBook!$A$5:INDEX(CashBook!$A$5:$A$3004,TxRows))),0))</f>
        <v/>
      </c>
      <c r="R104" s="67" t="str">
        <f aca="false">IF($A104="","",IF(ROUND(N104,2)&lt;=0,"",AsOf-IF(N(Q104)&gt;0,Q104,IF(N(P104)&gt;0,P104,FYStart))))</f>
        <v/>
      </c>
      <c r="S104" s="60" t="str">
        <f aca="false">IF($A104="","",IF(AND(N($G104)&gt;0,N104&gt;N($G104)),"OVER LIMIT",IF(AND(N104&gt;0,N(R104)&gt;N($H104)),"OVERDUE",IF(ROUND(N104,2)&lt;0,"PAY DUE",""))))</f>
        <v/>
      </c>
    </row>
    <row r="105" customFormat="false" ht="15" hidden="false" customHeight="false" outlineLevel="0" collapsed="false">
      <c r="A105" s="56"/>
      <c r="B105" s="56"/>
      <c r="C105" s="56"/>
      <c r="D105" s="56"/>
      <c r="E105" s="56"/>
      <c r="F105" s="56"/>
      <c r="G105" s="68"/>
      <c r="H105" s="69"/>
      <c r="I105" s="58"/>
      <c r="J105" s="61" t="str">
        <f aca="false">IF($A105="","",SUMIFS(Sales!$Q$5:INDEX(Sales!$Q$5:$Q$3004,TxRows),Sales!$C$5:INDEX(Sales!$C$5:$C$3004,TxRows),$A105)-SUMIFS(Sales!$X$5:INDEX(Sales!$X$5:$X$3004,TxRows),Sales!$C$5:INDEX(Sales!$C$5:$C$3004,TxRows),$A105))</f>
        <v/>
      </c>
      <c r="K105" s="61" t="str">
        <f aca="false">IF($A105="","",SUMIFS(CashBook!$G$5:INDEX(CashBook!$G$5:$G$3004,TxRows),CashBook!$D$5:INDEX(CashBook!$D$5:$D$3004,TxRows),$A105,CashBook!$C$5:INDEX(CashBook!$C$5:$C$3004,TxRows),"Receipt"))</f>
        <v/>
      </c>
      <c r="L105" s="61" t="str">
        <f aca="false">IF($A105="","",SUMIFS(Purchases!$P$5:INDEX(Purchases!$P$5:$P$3004,TxRows),Purchases!$C$5:INDEX(Purchases!$C$5:$C$3004,TxRows),$A105)-SUMIFS(Purchases!$S$5:INDEX(Purchases!$S$5:$S$3004,TxRows),Purchases!$C$5:INDEX(Purchases!$C$5:$C$3004,TxRows),$A105))</f>
        <v/>
      </c>
      <c r="M105" s="61" t="str">
        <f aca="false">IF($A105="","",SUMIFS(CashBook!$G$5:INDEX(CashBook!$G$5:$G$3004,TxRows),CashBook!$D$5:INDEX(CashBook!$D$5:$D$3004,TxRows),$A105,CashBook!$C$5:INDEX(CashBook!$C$5:$C$3004,TxRows),"Payment"))</f>
        <v/>
      </c>
      <c r="N105" s="61" t="str">
        <f aca="false">IF($A105="","",N($I105)+J105-K105-L105+M105)</f>
        <v/>
      </c>
      <c r="O105" s="60" t="str">
        <f aca="false">IF($A105="","",IF(ROUND(N105,2)&gt;0,"Receivable",IF(ROUND(N105,2)&lt;0,"Payable","Settled")))</f>
        <v/>
      </c>
      <c r="P105" s="66" t="str">
        <f aca="false">IF($A105="","",IFERROR(SUMPRODUCT(MAX((Sales!$C$5:INDEX(Sales!$C$5:$C$3004,TxRows)=$A105)*Sales!$A$5:INDEX(Sales!$A$5:$A$3004,TxRows))),0))</f>
        <v/>
      </c>
      <c r="Q105" s="66" t="str">
        <f aca="false">IF($A105="","",IFERROR(SUMPRODUCT(MAX((CashBook!$D$5:INDEX(CashBook!$D$5:$D$3004,TxRows)=$A105)*(CashBook!$C$5:INDEX(CashBook!$C$5:$C$3004,TxRows)="Receipt")*CashBook!$A$5:INDEX(CashBook!$A$5:$A$3004,TxRows))),0))</f>
        <v/>
      </c>
      <c r="R105" s="67" t="str">
        <f aca="false">IF($A105="","",IF(ROUND(N105,2)&lt;=0,"",AsOf-IF(N(Q105)&gt;0,Q105,IF(N(P105)&gt;0,P105,FYStart))))</f>
        <v/>
      </c>
      <c r="S105" s="60" t="str">
        <f aca="false">IF($A105="","",IF(AND(N($G105)&gt;0,N105&gt;N($G105)),"OVER LIMIT",IF(AND(N105&gt;0,N(R105)&gt;N($H105)),"OVERDUE",IF(ROUND(N105,2)&lt;0,"PAY DUE",""))))</f>
        <v/>
      </c>
    </row>
    <row r="106" customFormat="false" ht="15" hidden="false" customHeight="false" outlineLevel="0" collapsed="false">
      <c r="A106" s="56"/>
      <c r="B106" s="56"/>
      <c r="C106" s="56"/>
      <c r="D106" s="56"/>
      <c r="E106" s="56"/>
      <c r="F106" s="56"/>
      <c r="G106" s="68"/>
      <c r="H106" s="69"/>
      <c r="I106" s="58"/>
      <c r="J106" s="61" t="str">
        <f aca="false">IF($A106="","",SUMIFS(Sales!$Q$5:INDEX(Sales!$Q$5:$Q$3004,TxRows),Sales!$C$5:INDEX(Sales!$C$5:$C$3004,TxRows),$A106)-SUMIFS(Sales!$X$5:INDEX(Sales!$X$5:$X$3004,TxRows),Sales!$C$5:INDEX(Sales!$C$5:$C$3004,TxRows),$A106))</f>
        <v/>
      </c>
      <c r="K106" s="61" t="str">
        <f aca="false">IF($A106="","",SUMIFS(CashBook!$G$5:INDEX(CashBook!$G$5:$G$3004,TxRows),CashBook!$D$5:INDEX(CashBook!$D$5:$D$3004,TxRows),$A106,CashBook!$C$5:INDEX(CashBook!$C$5:$C$3004,TxRows),"Receipt"))</f>
        <v/>
      </c>
      <c r="L106" s="61" t="str">
        <f aca="false">IF($A106="","",SUMIFS(Purchases!$P$5:INDEX(Purchases!$P$5:$P$3004,TxRows),Purchases!$C$5:INDEX(Purchases!$C$5:$C$3004,TxRows),$A106)-SUMIFS(Purchases!$S$5:INDEX(Purchases!$S$5:$S$3004,TxRows),Purchases!$C$5:INDEX(Purchases!$C$5:$C$3004,TxRows),$A106))</f>
        <v/>
      </c>
      <c r="M106" s="61" t="str">
        <f aca="false">IF($A106="","",SUMIFS(CashBook!$G$5:INDEX(CashBook!$G$5:$G$3004,TxRows),CashBook!$D$5:INDEX(CashBook!$D$5:$D$3004,TxRows),$A106,CashBook!$C$5:INDEX(CashBook!$C$5:$C$3004,TxRows),"Payment"))</f>
        <v/>
      </c>
      <c r="N106" s="61" t="str">
        <f aca="false">IF($A106="","",N($I106)+J106-K106-L106+M106)</f>
        <v/>
      </c>
      <c r="O106" s="60" t="str">
        <f aca="false">IF($A106="","",IF(ROUND(N106,2)&gt;0,"Receivable",IF(ROUND(N106,2)&lt;0,"Payable","Settled")))</f>
        <v/>
      </c>
      <c r="P106" s="66" t="str">
        <f aca="false">IF($A106="","",IFERROR(SUMPRODUCT(MAX((Sales!$C$5:INDEX(Sales!$C$5:$C$3004,TxRows)=$A106)*Sales!$A$5:INDEX(Sales!$A$5:$A$3004,TxRows))),0))</f>
        <v/>
      </c>
      <c r="Q106" s="66" t="str">
        <f aca="false">IF($A106="","",IFERROR(SUMPRODUCT(MAX((CashBook!$D$5:INDEX(CashBook!$D$5:$D$3004,TxRows)=$A106)*(CashBook!$C$5:INDEX(CashBook!$C$5:$C$3004,TxRows)="Receipt")*CashBook!$A$5:INDEX(CashBook!$A$5:$A$3004,TxRows))),0))</f>
        <v/>
      </c>
      <c r="R106" s="67" t="str">
        <f aca="false">IF($A106="","",IF(ROUND(N106,2)&lt;=0,"",AsOf-IF(N(Q106)&gt;0,Q106,IF(N(P106)&gt;0,P106,FYStart))))</f>
        <v/>
      </c>
      <c r="S106" s="60" t="str">
        <f aca="false">IF($A106="","",IF(AND(N($G106)&gt;0,N106&gt;N($G106)),"OVER LIMIT",IF(AND(N106&gt;0,N(R106)&gt;N($H106)),"OVERDUE",IF(ROUND(N106,2)&lt;0,"PAY DUE",""))))</f>
        <v/>
      </c>
    </row>
    <row r="107" customFormat="false" ht="15" hidden="false" customHeight="false" outlineLevel="0" collapsed="false">
      <c r="A107" s="56"/>
      <c r="B107" s="56"/>
      <c r="C107" s="56"/>
      <c r="D107" s="56"/>
      <c r="E107" s="56"/>
      <c r="F107" s="56"/>
      <c r="G107" s="68"/>
      <c r="H107" s="69"/>
      <c r="I107" s="58"/>
      <c r="J107" s="61" t="str">
        <f aca="false">IF($A107="","",SUMIFS(Sales!$Q$5:INDEX(Sales!$Q$5:$Q$3004,TxRows),Sales!$C$5:INDEX(Sales!$C$5:$C$3004,TxRows),$A107)-SUMIFS(Sales!$X$5:INDEX(Sales!$X$5:$X$3004,TxRows),Sales!$C$5:INDEX(Sales!$C$5:$C$3004,TxRows),$A107))</f>
        <v/>
      </c>
      <c r="K107" s="61" t="str">
        <f aca="false">IF($A107="","",SUMIFS(CashBook!$G$5:INDEX(CashBook!$G$5:$G$3004,TxRows),CashBook!$D$5:INDEX(CashBook!$D$5:$D$3004,TxRows),$A107,CashBook!$C$5:INDEX(CashBook!$C$5:$C$3004,TxRows),"Receipt"))</f>
        <v/>
      </c>
      <c r="L107" s="61" t="str">
        <f aca="false">IF($A107="","",SUMIFS(Purchases!$P$5:INDEX(Purchases!$P$5:$P$3004,TxRows),Purchases!$C$5:INDEX(Purchases!$C$5:$C$3004,TxRows),$A107)-SUMIFS(Purchases!$S$5:INDEX(Purchases!$S$5:$S$3004,TxRows),Purchases!$C$5:INDEX(Purchases!$C$5:$C$3004,TxRows),$A107))</f>
        <v/>
      </c>
      <c r="M107" s="61" t="str">
        <f aca="false">IF($A107="","",SUMIFS(CashBook!$G$5:INDEX(CashBook!$G$5:$G$3004,TxRows),CashBook!$D$5:INDEX(CashBook!$D$5:$D$3004,TxRows),$A107,CashBook!$C$5:INDEX(CashBook!$C$5:$C$3004,TxRows),"Payment"))</f>
        <v/>
      </c>
      <c r="N107" s="61" t="str">
        <f aca="false">IF($A107="","",N($I107)+J107-K107-L107+M107)</f>
        <v/>
      </c>
      <c r="O107" s="60" t="str">
        <f aca="false">IF($A107="","",IF(ROUND(N107,2)&gt;0,"Receivable",IF(ROUND(N107,2)&lt;0,"Payable","Settled")))</f>
        <v/>
      </c>
      <c r="P107" s="66" t="str">
        <f aca="false">IF($A107="","",IFERROR(SUMPRODUCT(MAX((Sales!$C$5:INDEX(Sales!$C$5:$C$3004,TxRows)=$A107)*Sales!$A$5:INDEX(Sales!$A$5:$A$3004,TxRows))),0))</f>
        <v/>
      </c>
      <c r="Q107" s="66" t="str">
        <f aca="false">IF($A107="","",IFERROR(SUMPRODUCT(MAX((CashBook!$D$5:INDEX(CashBook!$D$5:$D$3004,TxRows)=$A107)*(CashBook!$C$5:INDEX(CashBook!$C$5:$C$3004,TxRows)="Receipt")*CashBook!$A$5:INDEX(CashBook!$A$5:$A$3004,TxRows))),0))</f>
        <v/>
      </c>
      <c r="R107" s="67" t="str">
        <f aca="false">IF($A107="","",IF(ROUND(N107,2)&lt;=0,"",AsOf-IF(N(Q107)&gt;0,Q107,IF(N(P107)&gt;0,P107,FYStart))))</f>
        <v/>
      </c>
      <c r="S107" s="60" t="str">
        <f aca="false">IF($A107="","",IF(AND(N($G107)&gt;0,N107&gt;N($G107)),"OVER LIMIT",IF(AND(N107&gt;0,N(R107)&gt;N($H107)),"OVERDUE",IF(ROUND(N107,2)&lt;0,"PAY DUE",""))))</f>
        <v/>
      </c>
    </row>
    <row r="108" customFormat="false" ht="15" hidden="false" customHeight="false" outlineLevel="0" collapsed="false">
      <c r="A108" s="56"/>
      <c r="B108" s="56"/>
      <c r="C108" s="56"/>
      <c r="D108" s="56"/>
      <c r="E108" s="56"/>
      <c r="F108" s="56"/>
      <c r="G108" s="68"/>
      <c r="H108" s="69"/>
      <c r="I108" s="58"/>
      <c r="J108" s="61" t="str">
        <f aca="false">IF($A108="","",SUMIFS(Sales!$Q$5:INDEX(Sales!$Q$5:$Q$3004,TxRows),Sales!$C$5:INDEX(Sales!$C$5:$C$3004,TxRows),$A108)-SUMIFS(Sales!$X$5:INDEX(Sales!$X$5:$X$3004,TxRows),Sales!$C$5:INDEX(Sales!$C$5:$C$3004,TxRows),$A108))</f>
        <v/>
      </c>
      <c r="K108" s="61" t="str">
        <f aca="false">IF($A108="","",SUMIFS(CashBook!$G$5:INDEX(CashBook!$G$5:$G$3004,TxRows),CashBook!$D$5:INDEX(CashBook!$D$5:$D$3004,TxRows),$A108,CashBook!$C$5:INDEX(CashBook!$C$5:$C$3004,TxRows),"Receipt"))</f>
        <v/>
      </c>
      <c r="L108" s="61" t="str">
        <f aca="false">IF($A108="","",SUMIFS(Purchases!$P$5:INDEX(Purchases!$P$5:$P$3004,TxRows),Purchases!$C$5:INDEX(Purchases!$C$5:$C$3004,TxRows),$A108)-SUMIFS(Purchases!$S$5:INDEX(Purchases!$S$5:$S$3004,TxRows),Purchases!$C$5:INDEX(Purchases!$C$5:$C$3004,TxRows),$A108))</f>
        <v/>
      </c>
      <c r="M108" s="61" t="str">
        <f aca="false">IF($A108="","",SUMIFS(CashBook!$G$5:INDEX(CashBook!$G$5:$G$3004,TxRows),CashBook!$D$5:INDEX(CashBook!$D$5:$D$3004,TxRows),$A108,CashBook!$C$5:INDEX(CashBook!$C$5:$C$3004,TxRows),"Payment"))</f>
        <v/>
      </c>
      <c r="N108" s="61" t="str">
        <f aca="false">IF($A108="","",N($I108)+J108-K108-L108+M108)</f>
        <v/>
      </c>
      <c r="O108" s="60" t="str">
        <f aca="false">IF($A108="","",IF(ROUND(N108,2)&gt;0,"Receivable",IF(ROUND(N108,2)&lt;0,"Payable","Settled")))</f>
        <v/>
      </c>
      <c r="P108" s="66" t="str">
        <f aca="false">IF($A108="","",IFERROR(SUMPRODUCT(MAX((Sales!$C$5:INDEX(Sales!$C$5:$C$3004,TxRows)=$A108)*Sales!$A$5:INDEX(Sales!$A$5:$A$3004,TxRows))),0))</f>
        <v/>
      </c>
      <c r="Q108" s="66" t="str">
        <f aca="false">IF($A108="","",IFERROR(SUMPRODUCT(MAX((CashBook!$D$5:INDEX(CashBook!$D$5:$D$3004,TxRows)=$A108)*(CashBook!$C$5:INDEX(CashBook!$C$5:$C$3004,TxRows)="Receipt")*CashBook!$A$5:INDEX(CashBook!$A$5:$A$3004,TxRows))),0))</f>
        <v/>
      </c>
      <c r="R108" s="67" t="str">
        <f aca="false">IF($A108="","",IF(ROUND(N108,2)&lt;=0,"",AsOf-IF(N(Q108)&gt;0,Q108,IF(N(P108)&gt;0,P108,FYStart))))</f>
        <v/>
      </c>
      <c r="S108" s="60" t="str">
        <f aca="false">IF($A108="","",IF(AND(N($G108)&gt;0,N108&gt;N($G108)),"OVER LIMIT",IF(AND(N108&gt;0,N(R108)&gt;N($H108)),"OVERDUE",IF(ROUND(N108,2)&lt;0,"PAY DUE",""))))</f>
        <v/>
      </c>
    </row>
    <row r="109" customFormat="false" ht="15" hidden="false" customHeight="false" outlineLevel="0" collapsed="false">
      <c r="A109" s="56"/>
      <c r="B109" s="56"/>
      <c r="C109" s="56"/>
      <c r="D109" s="56"/>
      <c r="E109" s="56"/>
      <c r="F109" s="56"/>
      <c r="G109" s="68"/>
      <c r="H109" s="69"/>
      <c r="I109" s="58"/>
      <c r="J109" s="61" t="str">
        <f aca="false">IF($A109="","",SUMIFS(Sales!$Q$5:INDEX(Sales!$Q$5:$Q$3004,TxRows),Sales!$C$5:INDEX(Sales!$C$5:$C$3004,TxRows),$A109)-SUMIFS(Sales!$X$5:INDEX(Sales!$X$5:$X$3004,TxRows),Sales!$C$5:INDEX(Sales!$C$5:$C$3004,TxRows),$A109))</f>
        <v/>
      </c>
      <c r="K109" s="61" t="str">
        <f aca="false">IF($A109="","",SUMIFS(CashBook!$G$5:INDEX(CashBook!$G$5:$G$3004,TxRows),CashBook!$D$5:INDEX(CashBook!$D$5:$D$3004,TxRows),$A109,CashBook!$C$5:INDEX(CashBook!$C$5:$C$3004,TxRows),"Receipt"))</f>
        <v/>
      </c>
      <c r="L109" s="61" t="str">
        <f aca="false">IF($A109="","",SUMIFS(Purchases!$P$5:INDEX(Purchases!$P$5:$P$3004,TxRows),Purchases!$C$5:INDEX(Purchases!$C$5:$C$3004,TxRows),$A109)-SUMIFS(Purchases!$S$5:INDEX(Purchases!$S$5:$S$3004,TxRows),Purchases!$C$5:INDEX(Purchases!$C$5:$C$3004,TxRows),$A109))</f>
        <v/>
      </c>
      <c r="M109" s="61" t="str">
        <f aca="false">IF($A109="","",SUMIFS(CashBook!$G$5:INDEX(CashBook!$G$5:$G$3004,TxRows),CashBook!$D$5:INDEX(CashBook!$D$5:$D$3004,TxRows),$A109,CashBook!$C$5:INDEX(CashBook!$C$5:$C$3004,TxRows),"Payment"))</f>
        <v/>
      </c>
      <c r="N109" s="61" t="str">
        <f aca="false">IF($A109="","",N($I109)+J109-K109-L109+M109)</f>
        <v/>
      </c>
      <c r="O109" s="60" t="str">
        <f aca="false">IF($A109="","",IF(ROUND(N109,2)&gt;0,"Receivable",IF(ROUND(N109,2)&lt;0,"Payable","Settled")))</f>
        <v/>
      </c>
      <c r="P109" s="66" t="str">
        <f aca="false">IF($A109="","",IFERROR(SUMPRODUCT(MAX((Sales!$C$5:INDEX(Sales!$C$5:$C$3004,TxRows)=$A109)*Sales!$A$5:INDEX(Sales!$A$5:$A$3004,TxRows))),0))</f>
        <v/>
      </c>
      <c r="Q109" s="66" t="str">
        <f aca="false">IF($A109="","",IFERROR(SUMPRODUCT(MAX((CashBook!$D$5:INDEX(CashBook!$D$5:$D$3004,TxRows)=$A109)*(CashBook!$C$5:INDEX(CashBook!$C$5:$C$3004,TxRows)="Receipt")*CashBook!$A$5:INDEX(CashBook!$A$5:$A$3004,TxRows))),0))</f>
        <v/>
      </c>
      <c r="R109" s="67" t="str">
        <f aca="false">IF($A109="","",IF(ROUND(N109,2)&lt;=0,"",AsOf-IF(N(Q109)&gt;0,Q109,IF(N(P109)&gt;0,P109,FYStart))))</f>
        <v/>
      </c>
      <c r="S109" s="60" t="str">
        <f aca="false">IF($A109="","",IF(AND(N($G109)&gt;0,N109&gt;N($G109)),"OVER LIMIT",IF(AND(N109&gt;0,N(R109)&gt;N($H109)),"OVERDUE",IF(ROUND(N109,2)&lt;0,"PAY DUE",""))))</f>
        <v/>
      </c>
    </row>
    <row r="110" customFormat="false" ht="15" hidden="false" customHeight="false" outlineLevel="0" collapsed="false">
      <c r="A110" s="56"/>
      <c r="B110" s="56"/>
      <c r="C110" s="56"/>
      <c r="D110" s="56"/>
      <c r="E110" s="56"/>
      <c r="F110" s="56"/>
      <c r="G110" s="68"/>
      <c r="H110" s="69"/>
      <c r="I110" s="58"/>
      <c r="J110" s="61" t="str">
        <f aca="false">IF($A110="","",SUMIFS(Sales!$Q$5:INDEX(Sales!$Q$5:$Q$3004,TxRows),Sales!$C$5:INDEX(Sales!$C$5:$C$3004,TxRows),$A110)-SUMIFS(Sales!$X$5:INDEX(Sales!$X$5:$X$3004,TxRows),Sales!$C$5:INDEX(Sales!$C$5:$C$3004,TxRows),$A110))</f>
        <v/>
      </c>
      <c r="K110" s="61" t="str">
        <f aca="false">IF($A110="","",SUMIFS(CashBook!$G$5:INDEX(CashBook!$G$5:$G$3004,TxRows),CashBook!$D$5:INDEX(CashBook!$D$5:$D$3004,TxRows),$A110,CashBook!$C$5:INDEX(CashBook!$C$5:$C$3004,TxRows),"Receipt"))</f>
        <v/>
      </c>
      <c r="L110" s="61" t="str">
        <f aca="false">IF($A110="","",SUMIFS(Purchases!$P$5:INDEX(Purchases!$P$5:$P$3004,TxRows),Purchases!$C$5:INDEX(Purchases!$C$5:$C$3004,TxRows),$A110)-SUMIFS(Purchases!$S$5:INDEX(Purchases!$S$5:$S$3004,TxRows),Purchases!$C$5:INDEX(Purchases!$C$5:$C$3004,TxRows),$A110))</f>
        <v/>
      </c>
      <c r="M110" s="61" t="str">
        <f aca="false">IF($A110="","",SUMIFS(CashBook!$G$5:INDEX(CashBook!$G$5:$G$3004,TxRows),CashBook!$D$5:INDEX(CashBook!$D$5:$D$3004,TxRows),$A110,CashBook!$C$5:INDEX(CashBook!$C$5:$C$3004,TxRows),"Payment"))</f>
        <v/>
      </c>
      <c r="N110" s="61" t="str">
        <f aca="false">IF($A110="","",N($I110)+J110-K110-L110+M110)</f>
        <v/>
      </c>
      <c r="O110" s="60" t="str">
        <f aca="false">IF($A110="","",IF(ROUND(N110,2)&gt;0,"Receivable",IF(ROUND(N110,2)&lt;0,"Payable","Settled")))</f>
        <v/>
      </c>
      <c r="P110" s="66" t="str">
        <f aca="false">IF($A110="","",IFERROR(SUMPRODUCT(MAX((Sales!$C$5:INDEX(Sales!$C$5:$C$3004,TxRows)=$A110)*Sales!$A$5:INDEX(Sales!$A$5:$A$3004,TxRows))),0))</f>
        <v/>
      </c>
      <c r="Q110" s="66" t="str">
        <f aca="false">IF($A110="","",IFERROR(SUMPRODUCT(MAX((CashBook!$D$5:INDEX(CashBook!$D$5:$D$3004,TxRows)=$A110)*(CashBook!$C$5:INDEX(CashBook!$C$5:$C$3004,TxRows)="Receipt")*CashBook!$A$5:INDEX(CashBook!$A$5:$A$3004,TxRows))),0))</f>
        <v/>
      </c>
      <c r="R110" s="67" t="str">
        <f aca="false">IF($A110="","",IF(ROUND(N110,2)&lt;=0,"",AsOf-IF(N(Q110)&gt;0,Q110,IF(N(P110)&gt;0,P110,FYStart))))</f>
        <v/>
      </c>
      <c r="S110" s="60" t="str">
        <f aca="false">IF($A110="","",IF(AND(N($G110)&gt;0,N110&gt;N($G110)),"OVER LIMIT",IF(AND(N110&gt;0,N(R110)&gt;N($H110)),"OVERDUE",IF(ROUND(N110,2)&lt;0,"PAY DUE",""))))</f>
        <v/>
      </c>
    </row>
    <row r="111" customFormat="false" ht="15" hidden="false" customHeight="false" outlineLevel="0" collapsed="false">
      <c r="A111" s="56"/>
      <c r="B111" s="56"/>
      <c r="C111" s="56"/>
      <c r="D111" s="56"/>
      <c r="E111" s="56"/>
      <c r="F111" s="56"/>
      <c r="G111" s="68"/>
      <c r="H111" s="69"/>
      <c r="I111" s="58"/>
      <c r="J111" s="61" t="str">
        <f aca="false">IF($A111="","",SUMIFS(Sales!$Q$5:INDEX(Sales!$Q$5:$Q$3004,TxRows),Sales!$C$5:INDEX(Sales!$C$5:$C$3004,TxRows),$A111)-SUMIFS(Sales!$X$5:INDEX(Sales!$X$5:$X$3004,TxRows),Sales!$C$5:INDEX(Sales!$C$5:$C$3004,TxRows),$A111))</f>
        <v/>
      </c>
      <c r="K111" s="61" t="str">
        <f aca="false">IF($A111="","",SUMIFS(CashBook!$G$5:INDEX(CashBook!$G$5:$G$3004,TxRows),CashBook!$D$5:INDEX(CashBook!$D$5:$D$3004,TxRows),$A111,CashBook!$C$5:INDEX(CashBook!$C$5:$C$3004,TxRows),"Receipt"))</f>
        <v/>
      </c>
      <c r="L111" s="61" t="str">
        <f aca="false">IF($A111="","",SUMIFS(Purchases!$P$5:INDEX(Purchases!$P$5:$P$3004,TxRows),Purchases!$C$5:INDEX(Purchases!$C$5:$C$3004,TxRows),$A111)-SUMIFS(Purchases!$S$5:INDEX(Purchases!$S$5:$S$3004,TxRows),Purchases!$C$5:INDEX(Purchases!$C$5:$C$3004,TxRows),$A111))</f>
        <v/>
      </c>
      <c r="M111" s="61" t="str">
        <f aca="false">IF($A111="","",SUMIFS(CashBook!$G$5:INDEX(CashBook!$G$5:$G$3004,TxRows),CashBook!$D$5:INDEX(CashBook!$D$5:$D$3004,TxRows),$A111,CashBook!$C$5:INDEX(CashBook!$C$5:$C$3004,TxRows),"Payment"))</f>
        <v/>
      </c>
      <c r="N111" s="61" t="str">
        <f aca="false">IF($A111="","",N($I111)+J111-K111-L111+M111)</f>
        <v/>
      </c>
      <c r="O111" s="60" t="str">
        <f aca="false">IF($A111="","",IF(ROUND(N111,2)&gt;0,"Receivable",IF(ROUND(N111,2)&lt;0,"Payable","Settled")))</f>
        <v/>
      </c>
      <c r="P111" s="66" t="str">
        <f aca="false">IF($A111="","",IFERROR(SUMPRODUCT(MAX((Sales!$C$5:INDEX(Sales!$C$5:$C$3004,TxRows)=$A111)*Sales!$A$5:INDEX(Sales!$A$5:$A$3004,TxRows))),0))</f>
        <v/>
      </c>
      <c r="Q111" s="66" t="str">
        <f aca="false">IF($A111="","",IFERROR(SUMPRODUCT(MAX((CashBook!$D$5:INDEX(CashBook!$D$5:$D$3004,TxRows)=$A111)*(CashBook!$C$5:INDEX(CashBook!$C$5:$C$3004,TxRows)="Receipt")*CashBook!$A$5:INDEX(CashBook!$A$5:$A$3004,TxRows))),0))</f>
        <v/>
      </c>
      <c r="R111" s="67" t="str">
        <f aca="false">IF($A111="","",IF(ROUND(N111,2)&lt;=0,"",AsOf-IF(N(Q111)&gt;0,Q111,IF(N(P111)&gt;0,P111,FYStart))))</f>
        <v/>
      </c>
      <c r="S111" s="60" t="str">
        <f aca="false">IF($A111="","",IF(AND(N($G111)&gt;0,N111&gt;N($G111)),"OVER LIMIT",IF(AND(N111&gt;0,N(R111)&gt;N($H111)),"OVERDUE",IF(ROUND(N111,2)&lt;0,"PAY DUE",""))))</f>
        <v/>
      </c>
    </row>
    <row r="112" customFormat="false" ht="15" hidden="false" customHeight="false" outlineLevel="0" collapsed="false">
      <c r="A112" s="56"/>
      <c r="B112" s="56"/>
      <c r="C112" s="56"/>
      <c r="D112" s="56"/>
      <c r="E112" s="56"/>
      <c r="F112" s="56"/>
      <c r="G112" s="68"/>
      <c r="H112" s="69"/>
      <c r="I112" s="58"/>
      <c r="J112" s="61" t="str">
        <f aca="false">IF($A112="","",SUMIFS(Sales!$Q$5:INDEX(Sales!$Q$5:$Q$3004,TxRows),Sales!$C$5:INDEX(Sales!$C$5:$C$3004,TxRows),$A112)-SUMIFS(Sales!$X$5:INDEX(Sales!$X$5:$X$3004,TxRows),Sales!$C$5:INDEX(Sales!$C$5:$C$3004,TxRows),$A112))</f>
        <v/>
      </c>
      <c r="K112" s="61" t="str">
        <f aca="false">IF($A112="","",SUMIFS(CashBook!$G$5:INDEX(CashBook!$G$5:$G$3004,TxRows),CashBook!$D$5:INDEX(CashBook!$D$5:$D$3004,TxRows),$A112,CashBook!$C$5:INDEX(CashBook!$C$5:$C$3004,TxRows),"Receipt"))</f>
        <v/>
      </c>
      <c r="L112" s="61" t="str">
        <f aca="false">IF($A112="","",SUMIFS(Purchases!$P$5:INDEX(Purchases!$P$5:$P$3004,TxRows),Purchases!$C$5:INDEX(Purchases!$C$5:$C$3004,TxRows),$A112)-SUMIFS(Purchases!$S$5:INDEX(Purchases!$S$5:$S$3004,TxRows),Purchases!$C$5:INDEX(Purchases!$C$5:$C$3004,TxRows),$A112))</f>
        <v/>
      </c>
      <c r="M112" s="61" t="str">
        <f aca="false">IF($A112="","",SUMIFS(CashBook!$G$5:INDEX(CashBook!$G$5:$G$3004,TxRows),CashBook!$D$5:INDEX(CashBook!$D$5:$D$3004,TxRows),$A112,CashBook!$C$5:INDEX(CashBook!$C$5:$C$3004,TxRows),"Payment"))</f>
        <v/>
      </c>
      <c r="N112" s="61" t="str">
        <f aca="false">IF($A112="","",N($I112)+J112-K112-L112+M112)</f>
        <v/>
      </c>
      <c r="O112" s="60" t="str">
        <f aca="false">IF($A112="","",IF(ROUND(N112,2)&gt;0,"Receivable",IF(ROUND(N112,2)&lt;0,"Payable","Settled")))</f>
        <v/>
      </c>
      <c r="P112" s="66" t="str">
        <f aca="false">IF($A112="","",IFERROR(SUMPRODUCT(MAX((Sales!$C$5:INDEX(Sales!$C$5:$C$3004,TxRows)=$A112)*Sales!$A$5:INDEX(Sales!$A$5:$A$3004,TxRows))),0))</f>
        <v/>
      </c>
      <c r="Q112" s="66" t="str">
        <f aca="false">IF($A112="","",IFERROR(SUMPRODUCT(MAX((CashBook!$D$5:INDEX(CashBook!$D$5:$D$3004,TxRows)=$A112)*(CashBook!$C$5:INDEX(CashBook!$C$5:$C$3004,TxRows)="Receipt")*CashBook!$A$5:INDEX(CashBook!$A$5:$A$3004,TxRows))),0))</f>
        <v/>
      </c>
      <c r="R112" s="67" t="str">
        <f aca="false">IF($A112="","",IF(ROUND(N112,2)&lt;=0,"",AsOf-IF(N(Q112)&gt;0,Q112,IF(N(P112)&gt;0,P112,FYStart))))</f>
        <v/>
      </c>
      <c r="S112" s="60" t="str">
        <f aca="false">IF($A112="","",IF(AND(N($G112)&gt;0,N112&gt;N($G112)),"OVER LIMIT",IF(AND(N112&gt;0,N(R112)&gt;N($H112)),"OVERDUE",IF(ROUND(N112,2)&lt;0,"PAY DUE",""))))</f>
        <v/>
      </c>
    </row>
    <row r="113" customFormat="false" ht="15" hidden="false" customHeight="false" outlineLevel="0" collapsed="false">
      <c r="A113" s="56"/>
      <c r="B113" s="56"/>
      <c r="C113" s="56"/>
      <c r="D113" s="56"/>
      <c r="E113" s="56"/>
      <c r="F113" s="56"/>
      <c r="G113" s="68"/>
      <c r="H113" s="69"/>
      <c r="I113" s="58"/>
      <c r="J113" s="61" t="str">
        <f aca="false">IF($A113="","",SUMIFS(Sales!$Q$5:INDEX(Sales!$Q$5:$Q$3004,TxRows),Sales!$C$5:INDEX(Sales!$C$5:$C$3004,TxRows),$A113)-SUMIFS(Sales!$X$5:INDEX(Sales!$X$5:$X$3004,TxRows),Sales!$C$5:INDEX(Sales!$C$5:$C$3004,TxRows),$A113))</f>
        <v/>
      </c>
      <c r="K113" s="61" t="str">
        <f aca="false">IF($A113="","",SUMIFS(CashBook!$G$5:INDEX(CashBook!$G$5:$G$3004,TxRows),CashBook!$D$5:INDEX(CashBook!$D$5:$D$3004,TxRows),$A113,CashBook!$C$5:INDEX(CashBook!$C$5:$C$3004,TxRows),"Receipt"))</f>
        <v/>
      </c>
      <c r="L113" s="61" t="str">
        <f aca="false">IF($A113="","",SUMIFS(Purchases!$P$5:INDEX(Purchases!$P$5:$P$3004,TxRows),Purchases!$C$5:INDEX(Purchases!$C$5:$C$3004,TxRows),$A113)-SUMIFS(Purchases!$S$5:INDEX(Purchases!$S$5:$S$3004,TxRows),Purchases!$C$5:INDEX(Purchases!$C$5:$C$3004,TxRows),$A113))</f>
        <v/>
      </c>
      <c r="M113" s="61" t="str">
        <f aca="false">IF($A113="","",SUMIFS(CashBook!$G$5:INDEX(CashBook!$G$5:$G$3004,TxRows),CashBook!$D$5:INDEX(CashBook!$D$5:$D$3004,TxRows),$A113,CashBook!$C$5:INDEX(CashBook!$C$5:$C$3004,TxRows),"Payment"))</f>
        <v/>
      </c>
      <c r="N113" s="61" t="str">
        <f aca="false">IF($A113="","",N($I113)+J113-K113-L113+M113)</f>
        <v/>
      </c>
      <c r="O113" s="60" t="str">
        <f aca="false">IF($A113="","",IF(ROUND(N113,2)&gt;0,"Receivable",IF(ROUND(N113,2)&lt;0,"Payable","Settled")))</f>
        <v/>
      </c>
      <c r="P113" s="66" t="str">
        <f aca="false">IF($A113="","",IFERROR(SUMPRODUCT(MAX((Sales!$C$5:INDEX(Sales!$C$5:$C$3004,TxRows)=$A113)*Sales!$A$5:INDEX(Sales!$A$5:$A$3004,TxRows))),0))</f>
        <v/>
      </c>
      <c r="Q113" s="66" t="str">
        <f aca="false">IF($A113="","",IFERROR(SUMPRODUCT(MAX((CashBook!$D$5:INDEX(CashBook!$D$5:$D$3004,TxRows)=$A113)*(CashBook!$C$5:INDEX(CashBook!$C$5:$C$3004,TxRows)="Receipt")*CashBook!$A$5:INDEX(CashBook!$A$5:$A$3004,TxRows))),0))</f>
        <v/>
      </c>
      <c r="R113" s="67" t="str">
        <f aca="false">IF($A113="","",IF(ROUND(N113,2)&lt;=0,"",AsOf-IF(N(Q113)&gt;0,Q113,IF(N(P113)&gt;0,P113,FYStart))))</f>
        <v/>
      </c>
      <c r="S113" s="60" t="str">
        <f aca="false">IF($A113="","",IF(AND(N($G113)&gt;0,N113&gt;N($G113)),"OVER LIMIT",IF(AND(N113&gt;0,N(R113)&gt;N($H113)),"OVERDUE",IF(ROUND(N113,2)&lt;0,"PAY DUE",""))))</f>
        <v/>
      </c>
    </row>
    <row r="114" customFormat="false" ht="15" hidden="false" customHeight="false" outlineLevel="0" collapsed="false">
      <c r="A114" s="56"/>
      <c r="B114" s="56"/>
      <c r="C114" s="56"/>
      <c r="D114" s="56"/>
      <c r="E114" s="56"/>
      <c r="F114" s="56"/>
      <c r="G114" s="68"/>
      <c r="H114" s="69"/>
      <c r="I114" s="58"/>
      <c r="J114" s="61" t="str">
        <f aca="false">IF($A114="","",SUMIFS(Sales!$Q$5:INDEX(Sales!$Q$5:$Q$3004,TxRows),Sales!$C$5:INDEX(Sales!$C$5:$C$3004,TxRows),$A114)-SUMIFS(Sales!$X$5:INDEX(Sales!$X$5:$X$3004,TxRows),Sales!$C$5:INDEX(Sales!$C$5:$C$3004,TxRows),$A114))</f>
        <v/>
      </c>
      <c r="K114" s="61" t="str">
        <f aca="false">IF($A114="","",SUMIFS(CashBook!$G$5:INDEX(CashBook!$G$5:$G$3004,TxRows),CashBook!$D$5:INDEX(CashBook!$D$5:$D$3004,TxRows),$A114,CashBook!$C$5:INDEX(CashBook!$C$5:$C$3004,TxRows),"Receipt"))</f>
        <v/>
      </c>
      <c r="L114" s="61" t="str">
        <f aca="false">IF($A114="","",SUMIFS(Purchases!$P$5:INDEX(Purchases!$P$5:$P$3004,TxRows),Purchases!$C$5:INDEX(Purchases!$C$5:$C$3004,TxRows),$A114)-SUMIFS(Purchases!$S$5:INDEX(Purchases!$S$5:$S$3004,TxRows),Purchases!$C$5:INDEX(Purchases!$C$5:$C$3004,TxRows),$A114))</f>
        <v/>
      </c>
      <c r="M114" s="61" t="str">
        <f aca="false">IF($A114="","",SUMIFS(CashBook!$G$5:INDEX(CashBook!$G$5:$G$3004,TxRows),CashBook!$D$5:INDEX(CashBook!$D$5:$D$3004,TxRows),$A114,CashBook!$C$5:INDEX(CashBook!$C$5:$C$3004,TxRows),"Payment"))</f>
        <v/>
      </c>
      <c r="N114" s="61" t="str">
        <f aca="false">IF($A114="","",N($I114)+J114-K114-L114+M114)</f>
        <v/>
      </c>
      <c r="O114" s="60" t="str">
        <f aca="false">IF($A114="","",IF(ROUND(N114,2)&gt;0,"Receivable",IF(ROUND(N114,2)&lt;0,"Payable","Settled")))</f>
        <v/>
      </c>
      <c r="P114" s="66" t="str">
        <f aca="false">IF($A114="","",IFERROR(SUMPRODUCT(MAX((Sales!$C$5:INDEX(Sales!$C$5:$C$3004,TxRows)=$A114)*Sales!$A$5:INDEX(Sales!$A$5:$A$3004,TxRows))),0))</f>
        <v/>
      </c>
      <c r="Q114" s="66" t="str">
        <f aca="false">IF($A114="","",IFERROR(SUMPRODUCT(MAX((CashBook!$D$5:INDEX(CashBook!$D$5:$D$3004,TxRows)=$A114)*(CashBook!$C$5:INDEX(CashBook!$C$5:$C$3004,TxRows)="Receipt")*CashBook!$A$5:INDEX(CashBook!$A$5:$A$3004,TxRows))),0))</f>
        <v/>
      </c>
      <c r="R114" s="67" t="str">
        <f aca="false">IF($A114="","",IF(ROUND(N114,2)&lt;=0,"",AsOf-IF(N(Q114)&gt;0,Q114,IF(N(P114)&gt;0,P114,FYStart))))</f>
        <v/>
      </c>
      <c r="S114" s="60" t="str">
        <f aca="false">IF($A114="","",IF(AND(N($G114)&gt;0,N114&gt;N($G114)),"OVER LIMIT",IF(AND(N114&gt;0,N(R114)&gt;N($H114)),"OVERDUE",IF(ROUND(N114,2)&lt;0,"PAY DUE",""))))</f>
        <v/>
      </c>
    </row>
    <row r="115" customFormat="false" ht="15" hidden="false" customHeight="false" outlineLevel="0" collapsed="false">
      <c r="A115" s="56"/>
      <c r="B115" s="56"/>
      <c r="C115" s="56"/>
      <c r="D115" s="56"/>
      <c r="E115" s="56"/>
      <c r="F115" s="56"/>
      <c r="G115" s="68"/>
      <c r="H115" s="69"/>
      <c r="I115" s="58"/>
      <c r="J115" s="61" t="str">
        <f aca="false">IF($A115="","",SUMIFS(Sales!$Q$5:INDEX(Sales!$Q$5:$Q$3004,TxRows),Sales!$C$5:INDEX(Sales!$C$5:$C$3004,TxRows),$A115)-SUMIFS(Sales!$X$5:INDEX(Sales!$X$5:$X$3004,TxRows),Sales!$C$5:INDEX(Sales!$C$5:$C$3004,TxRows),$A115))</f>
        <v/>
      </c>
      <c r="K115" s="61" t="str">
        <f aca="false">IF($A115="","",SUMIFS(CashBook!$G$5:INDEX(CashBook!$G$5:$G$3004,TxRows),CashBook!$D$5:INDEX(CashBook!$D$5:$D$3004,TxRows),$A115,CashBook!$C$5:INDEX(CashBook!$C$5:$C$3004,TxRows),"Receipt"))</f>
        <v/>
      </c>
      <c r="L115" s="61" t="str">
        <f aca="false">IF($A115="","",SUMIFS(Purchases!$P$5:INDEX(Purchases!$P$5:$P$3004,TxRows),Purchases!$C$5:INDEX(Purchases!$C$5:$C$3004,TxRows),$A115)-SUMIFS(Purchases!$S$5:INDEX(Purchases!$S$5:$S$3004,TxRows),Purchases!$C$5:INDEX(Purchases!$C$5:$C$3004,TxRows),$A115))</f>
        <v/>
      </c>
      <c r="M115" s="61" t="str">
        <f aca="false">IF($A115="","",SUMIFS(CashBook!$G$5:INDEX(CashBook!$G$5:$G$3004,TxRows),CashBook!$D$5:INDEX(CashBook!$D$5:$D$3004,TxRows),$A115,CashBook!$C$5:INDEX(CashBook!$C$5:$C$3004,TxRows),"Payment"))</f>
        <v/>
      </c>
      <c r="N115" s="61" t="str">
        <f aca="false">IF($A115="","",N($I115)+J115-K115-L115+M115)</f>
        <v/>
      </c>
      <c r="O115" s="60" t="str">
        <f aca="false">IF($A115="","",IF(ROUND(N115,2)&gt;0,"Receivable",IF(ROUND(N115,2)&lt;0,"Payable","Settled")))</f>
        <v/>
      </c>
      <c r="P115" s="66" t="str">
        <f aca="false">IF($A115="","",IFERROR(SUMPRODUCT(MAX((Sales!$C$5:INDEX(Sales!$C$5:$C$3004,TxRows)=$A115)*Sales!$A$5:INDEX(Sales!$A$5:$A$3004,TxRows))),0))</f>
        <v/>
      </c>
      <c r="Q115" s="66" t="str">
        <f aca="false">IF($A115="","",IFERROR(SUMPRODUCT(MAX((CashBook!$D$5:INDEX(CashBook!$D$5:$D$3004,TxRows)=$A115)*(CashBook!$C$5:INDEX(CashBook!$C$5:$C$3004,TxRows)="Receipt")*CashBook!$A$5:INDEX(CashBook!$A$5:$A$3004,TxRows))),0))</f>
        <v/>
      </c>
      <c r="R115" s="67" t="str">
        <f aca="false">IF($A115="","",IF(ROUND(N115,2)&lt;=0,"",AsOf-IF(N(Q115)&gt;0,Q115,IF(N(P115)&gt;0,P115,FYStart))))</f>
        <v/>
      </c>
      <c r="S115" s="60" t="str">
        <f aca="false">IF($A115="","",IF(AND(N($G115)&gt;0,N115&gt;N($G115)),"OVER LIMIT",IF(AND(N115&gt;0,N(R115)&gt;N($H115)),"OVERDUE",IF(ROUND(N115,2)&lt;0,"PAY DUE",""))))</f>
        <v/>
      </c>
    </row>
    <row r="116" customFormat="false" ht="15" hidden="false" customHeight="false" outlineLevel="0" collapsed="false">
      <c r="A116" s="56"/>
      <c r="B116" s="56"/>
      <c r="C116" s="56"/>
      <c r="D116" s="56"/>
      <c r="E116" s="56"/>
      <c r="F116" s="56"/>
      <c r="G116" s="68"/>
      <c r="H116" s="69"/>
      <c r="I116" s="58"/>
      <c r="J116" s="61" t="str">
        <f aca="false">IF($A116="","",SUMIFS(Sales!$Q$5:INDEX(Sales!$Q$5:$Q$3004,TxRows),Sales!$C$5:INDEX(Sales!$C$5:$C$3004,TxRows),$A116)-SUMIFS(Sales!$X$5:INDEX(Sales!$X$5:$X$3004,TxRows),Sales!$C$5:INDEX(Sales!$C$5:$C$3004,TxRows),$A116))</f>
        <v/>
      </c>
      <c r="K116" s="61" t="str">
        <f aca="false">IF($A116="","",SUMIFS(CashBook!$G$5:INDEX(CashBook!$G$5:$G$3004,TxRows),CashBook!$D$5:INDEX(CashBook!$D$5:$D$3004,TxRows),$A116,CashBook!$C$5:INDEX(CashBook!$C$5:$C$3004,TxRows),"Receipt"))</f>
        <v/>
      </c>
      <c r="L116" s="61" t="str">
        <f aca="false">IF($A116="","",SUMIFS(Purchases!$P$5:INDEX(Purchases!$P$5:$P$3004,TxRows),Purchases!$C$5:INDEX(Purchases!$C$5:$C$3004,TxRows),$A116)-SUMIFS(Purchases!$S$5:INDEX(Purchases!$S$5:$S$3004,TxRows),Purchases!$C$5:INDEX(Purchases!$C$5:$C$3004,TxRows),$A116))</f>
        <v/>
      </c>
      <c r="M116" s="61" t="str">
        <f aca="false">IF($A116="","",SUMIFS(CashBook!$G$5:INDEX(CashBook!$G$5:$G$3004,TxRows),CashBook!$D$5:INDEX(CashBook!$D$5:$D$3004,TxRows),$A116,CashBook!$C$5:INDEX(CashBook!$C$5:$C$3004,TxRows),"Payment"))</f>
        <v/>
      </c>
      <c r="N116" s="61" t="str">
        <f aca="false">IF($A116="","",N($I116)+J116-K116-L116+M116)</f>
        <v/>
      </c>
      <c r="O116" s="60" t="str">
        <f aca="false">IF($A116="","",IF(ROUND(N116,2)&gt;0,"Receivable",IF(ROUND(N116,2)&lt;0,"Payable","Settled")))</f>
        <v/>
      </c>
      <c r="P116" s="66" t="str">
        <f aca="false">IF($A116="","",IFERROR(SUMPRODUCT(MAX((Sales!$C$5:INDEX(Sales!$C$5:$C$3004,TxRows)=$A116)*Sales!$A$5:INDEX(Sales!$A$5:$A$3004,TxRows))),0))</f>
        <v/>
      </c>
      <c r="Q116" s="66" t="str">
        <f aca="false">IF($A116="","",IFERROR(SUMPRODUCT(MAX((CashBook!$D$5:INDEX(CashBook!$D$5:$D$3004,TxRows)=$A116)*(CashBook!$C$5:INDEX(CashBook!$C$5:$C$3004,TxRows)="Receipt")*CashBook!$A$5:INDEX(CashBook!$A$5:$A$3004,TxRows))),0))</f>
        <v/>
      </c>
      <c r="R116" s="67" t="str">
        <f aca="false">IF($A116="","",IF(ROUND(N116,2)&lt;=0,"",AsOf-IF(N(Q116)&gt;0,Q116,IF(N(P116)&gt;0,P116,FYStart))))</f>
        <v/>
      </c>
      <c r="S116" s="60" t="str">
        <f aca="false">IF($A116="","",IF(AND(N($G116)&gt;0,N116&gt;N($G116)),"OVER LIMIT",IF(AND(N116&gt;0,N(R116)&gt;N($H116)),"OVERDUE",IF(ROUND(N116,2)&lt;0,"PAY DUE",""))))</f>
        <v/>
      </c>
    </row>
    <row r="117" customFormat="false" ht="15" hidden="false" customHeight="false" outlineLevel="0" collapsed="false">
      <c r="A117" s="56"/>
      <c r="B117" s="56"/>
      <c r="C117" s="56"/>
      <c r="D117" s="56"/>
      <c r="E117" s="56"/>
      <c r="F117" s="56"/>
      <c r="G117" s="68"/>
      <c r="H117" s="69"/>
      <c r="I117" s="58"/>
      <c r="J117" s="61" t="str">
        <f aca="false">IF($A117="","",SUMIFS(Sales!$Q$5:INDEX(Sales!$Q$5:$Q$3004,TxRows),Sales!$C$5:INDEX(Sales!$C$5:$C$3004,TxRows),$A117)-SUMIFS(Sales!$X$5:INDEX(Sales!$X$5:$X$3004,TxRows),Sales!$C$5:INDEX(Sales!$C$5:$C$3004,TxRows),$A117))</f>
        <v/>
      </c>
      <c r="K117" s="61" t="str">
        <f aca="false">IF($A117="","",SUMIFS(CashBook!$G$5:INDEX(CashBook!$G$5:$G$3004,TxRows),CashBook!$D$5:INDEX(CashBook!$D$5:$D$3004,TxRows),$A117,CashBook!$C$5:INDEX(CashBook!$C$5:$C$3004,TxRows),"Receipt"))</f>
        <v/>
      </c>
      <c r="L117" s="61" t="str">
        <f aca="false">IF($A117="","",SUMIFS(Purchases!$P$5:INDEX(Purchases!$P$5:$P$3004,TxRows),Purchases!$C$5:INDEX(Purchases!$C$5:$C$3004,TxRows),$A117)-SUMIFS(Purchases!$S$5:INDEX(Purchases!$S$5:$S$3004,TxRows),Purchases!$C$5:INDEX(Purchases!$C$5:$C$3004,TxRows),$A117))</f>
        <v/>
      </c>
      <c r="M117" s="61" t="str">
        <f aca="false">IF($A117="","",SUMIFS(CashBook!$G$5:INDEX(CashBook!$G$5:$G$3004,TxRows),CashBook!$D$5:INDEX(CashBook!$D$5:$D$3004,TxRows),$A117,CashBook!$C$5:INDEX(CashBook!$C$5:$C$3004,TxRows),"Payment"))</f>
        <v/>
      </c>
      <c r="N117" s="61" t="str">
        <f aca="false">IF($A117="","",N($I117)+J117-K117-L117+M117)</f>
        <v/>
      </c>
      <c r="O117" s="60" t="str">
        <f aca="false">IF($A117="","",IF(ROUND(N117,2)&gt;0,"Receivable",IF(ROUND(N117,2)&lt;0,"Payable","Settled")))</f>
        <v/>
      </c>
      <c r="P117" s="66" t="str">
        <f aca="false">IF($A117="","",IFERROR(SUMPRODUCT(MAX((Sales!$C$5:INDEX(Sales!$C$5:$C$3004,TxRows)=$A117)*Sales!$A$5:INDEX(Sales!$A$5:$A$3004,TxRows))),0))</f>
        <v/>
      </c>
      <c r="Q117" s="66" t="str">
        <f aca="false">IF($A117="","",IFERROR(SUMPRODUCT(MAX((CashBook!$D$5:INDEX(CashBook!$D$5:$D$3004,TxRows)=$A117)*(CashBook!$C$5:INDEX(CashBook!$C$5:$C$3004,TxRows)="Receipt")*CashBook!$A$5:INDEX(CashBook!$A$5:$A$3004,TxRows))),0))</f>
        <v/>
      </c>
      <c r="R117" s="67" t="str">
        <f aca="false">IF($A117="","",IF(ROUND(N117,2)&lt;=0,"",AsOf-IF(N(Q117)&gt;0,Q117,IF(N(P117)&gt;0,P117,FYStart))))</f>
        <v/>
      </c>
      <c r="S117" s="60" t="str">
        <f aca="false">IF($A117="","",IF(AND(N($G117)&gt;0,N117&gt;N($G117)),"OVER LIMIT",IF(AND(N117&gt;0,N(R117)&gt;N($H117)),"OVERDUE",IF(ROUND(N117,2)&lt;0,"PAY DUE",""))))</f>
        <v/>
      </c>
    </row>
    <row r="118" customFormat="false" ht="15" hidden="false" customHeight="false" outlineLevel="0" collapsed="false">
      <c r="A118" s="56"/>
      <c r="B118" s="56"/>
      <c r="C118" s="56"/>
      <c r="D118" s="56"/>
      <c r="E118" s="56"/>
      <c r="F118" s="56"/>
      <c r="G118" s="68"/>
      <c r="H118" s="69"/>
      <c r="I118" s="58"/>
      <c r="J118" s="61" t="str">
        <f aca="false">IF($A118="","",SUMIFS(Sales!$Q$5:INDEX(Sales!$Q$5:$Q$3004,TxRows),Sales!$C$5:INDEX(Sales!$C$5:$C$3004,TxRows),$A118)-SUMIFS(Sales!$X$5:INDEX(Sales!$X$5:$X$3004,TxRows),Sales!$C$5:INDEX(Sales!$C$5:$C$3004,TxRows),$A118))</f>
        <v/>
      </c>
      <c r="K118" s="61" t="str">
        <f aca="false">IF($A118="","",SUMIFS(CashBook!$G$5:INDEX(CashBook!$G$5:$G$3004,TxRows),CashBook!$D$5:INDEX(CashBook!$D$5:$D$3004,TxRows),$A118,CashBook!$C$5:INDEX(CashBook!$C$5:$C$3004,TxRows),"Receipt"))</f>
        <v/>
      </c>
      <c r="L118" s="61" t="str">
        <f aca="false">IF($A118="","",SUMIFS(Purchases!$P$5:INDEX(Purchases!$P$5:$P$3004,TxRows),Purchases!$C$5:INDEX(Purchases!$C$5:$C$3004,TxRows),$A118)-SUMIFS(Purchases!$S$5:INDEX(Purchases!$S$5:$S$3004,TxRows),Purchases!$C$5:INDEX(Purchases!$C$5:$C$3004,TxRows),$A118))</f>
        <v/>
      </c>
      <c r="M118" s="61" t="str">
        <f aca="false">IF($A118="","",SUMIFS(CashBook!$G$5:INDEX(CashBook!$G$5:$G$3004,TxRows),CashBook!$D$5:INDEX(CashBook!$D$5:$D$3004,TxRows),$A118,CashBook!$C$5:INDEX(CashBook!$C$5:$C$3004,TxRows),"Payment"))</f>
        <v/>
      </c>
      <c r="N118" s="61" t="str">
        <f aca="false">IF($A118="","",N($I118)+J118-K118-L118+M118)</f>
        <v/>
      </c>
      <c r="O118" s="60" t="str">
        <f aca="false">IF($A118="","",IF(ROUND(N118,2)&gt;0,"Receivable",IF(ROUND(N118,2)&lt;0,"Payable","Settled")))</f>
        <v/>
      </c>
      <c r="P118" s="66" t="str">
        <f aca="false">IF($A118="","",IFERROR(SUMPRODUCT(MAX((Sales!$C$5:INDEX(Sales!$C$5:$C$3004,TxRows)=$A118)*Sales!$A$5:INDEX(Sales!$A$5:$A$3004,TxRows))),0))</f>
        <v/>
      </c>
      <c r="Q118" s="66" t="str">
        <f aca="false">IF($A118="","",IFERROR(SUMPRODUCT(MAX((CashBook!$D$5:INDEX(CashBook!$D$5:$D$3004,TxRows)=$A118)*(CashBook!$C$5:INDEX(CashBook!$C$5:$C$3004,TxRows)="Receipt")*CashBook!$A$5:INDEX(CashBook!$A$5:$A$3004,TxRows))),0))</f>
        <v/>
      </c>
      <c r="R118" s="67" t="str">
        <f aca="false">IF($A118="","",IF(ROUND(N118,2)&lt;=0,"",AsOf-IF(N(Q118)&gt;0,Q118,IF(N(P118)&gt;0,P118,FYStart))))</f>
        <v/>
      </c>
      <c r="S118" s="60" t="str">
        <f aca="false">IF($A118="","",IF(AND(N($G118)&gt;0,N118&gt;N($G118)),"OVER LIMIT",IF(AND(N118&gt;0,N(R118)&gt;N($H118)),"OVERDUE",IF(ROUND(N118,2)&lt;0,"PAY DUE",""))))</f>
        <v/>
      </c>
    </row>
    <row r="119" customFormat="false" ht="15" hidden="false" customHeight="false" outlineLevel="0" collapsed="false">
      <c r="A119" s="56"/>
      <c r="B119" s="56"/>
      <c r="C119" s="56"/>
      <c r="D119" s="56"/>
      <c r="E119" s="56"/>
      <c r="F119" s="56"/>
      <c r="G119" s="68"/>
      <c r="H119" s="69"/>
      <c r="I119" s="58"/>
      <c r="J119" s="61" t="str">
        <f aca="false">IF($A119="","",SUMIFS(Sales!$Q$5:INDEX(Sales!$Q$5:$Q$3004,TxRows),Sales!$C$5:INDEX(Sales!$C$5:$C$3004,TxRows),$A119)-SUMIFS(Sales!$X$5:INDEX(Sales!$X$5:$X$3004,TxRows),Sales!$C$5:INDEX(Sales!$C$5:$C$3004,TxRows),$A119))</f>
        <v/>
      </c>
      <c r="K119" s="61" t="str">
        <f aca="false">IF($A119="","",SUMIFS(CashBook!$G$5:INDEX(CashBook!$G$5:$G$3004,TxRows),CashBook!$D$5:INDEX(CashBook!$D$5:$D$3004,TxRows),$A119,CashBook!$C$5:INDEX(CashBook!$C$5:$C$3004,TxRows),"Receipt"))</f>
        <v/>
      </c>
      <c r="L119" s="61" t="str">
        <f aca="false">IF($A119="","",SUMIFS(Purchases!$P$5:INDEX(Purchases!$P$5:$P$3004,TxRows),Purchases!$C$5:INDEX(Purchases!$C$5:$C$3004,TxRows),$A119)-SUMIFS(Purchases!$S$5:INDEX(Purchases!$S$5:$S$3004,TxRows),Purchases!$C$5:INDEX(Purchases!$C$5:$C$3004,TxRows),$A119))</f>
        <v/>
      </c>
      <c r="M119" s="61" t="str">
        <f aca="false">IF($A119="","",SUMIFS(CashBook!$G$5:INDEX(CashBook!$G$5:$G$3004,TxRows),CashBook!$D$5:INDEX(CashBook!$D$5:$D$3004,TxRows),$A119,CashBook!$C$5:INDEX(CashBook!$C$5:$C$3004,TxRows),"Payment"))</f>
        <v/>
      </c>
      <c r="N119" s="61" t="str">
        <f aca="false">IF($A119="","",N($I119)+J119-K119-L119+M119)</f>
        <v/>
      </c>
      <c r="O119" s="60" t="str">
        <f aca="false">IF($A119="","",IF(ROUND(N119,2)&gt;0,"Receivable",IF(ROUND(N119,2)&lt;0,"Payable","Settled")))</f>
        <v/>
      </c>
      <c r="P119" s="66" t="str">
        <f aca="false">IF($A119="","",IFERROR(SUMPRODUCT(MAX((Sales!$C$5:INDEX(Sales!$C$5:$C$3004,TxRows)=$A119)*Sales!$A$5:INDEX(Sales!$A$5:$A$3004,TxRows))),0))</f>
        <v/>
      </c>
      <c r="Q119" s="66" t="str">
        <f aca="false">IF($A119="","",IFERROR(SUMPRODUCT(MAX((CashBook!$D$5:INDEX(CashBook!$D$5:$D$3004,TxRows)=$A119)*(CashBook!$C$5:INDEX(CashBook!$C$5:$C$3004,TxRows)="Receipt")*CashBook!$A$5:INDEX(CashBook!$A$5:$A$3004,TxRows))),0))</f>
        <v/>
      </c>
      <c r="R119" s="67" t="str">
        <f aca="false">IF($A119="","",IF(ROUND(N119,2)&lt;=0,"",AsOf-IF(N(Q119)&gt;0,Q119,IF(N(P119)&gt;0,P119,FYStart))))</f>
        <v/>
      </c>
      <c r="S119" s="60" t="str">
        <f aca="false">IF($A119="","",IF(AND(N($G119)&gt;0,N119&gt;N($G119)),"OVER LIMIT",IF(AND(N119&gt;0,N(R119)&gt;N($H119)),"OVERDUE",IF(ROUND(N119,2)&lt;0,"PAY DUE",""))))</f>
        <v/>
      </c>
    </row>
    <row r="120" customFormat="false" ht="15" hidden="false" customHeight="false" outlineLevel="0" collapsed="false">
      <c r="A120" s="56"/>
      <c r="B120" s="56"/>
      <c r="C120" s="56"/>
      <c r="D120" s="56"/>
      <c r="E120" s="56"/>
      <c r="F120" s="56"/>
      <c r="G120" s="68"/>
      <c r="H120" s="69"/>
      <c r="I120" s="58"/>
      <c r="J120" s="61" t="str">
        <f aca="false">IF($A120="","",SUMIFS(Sales!$Q$5:INDEX(Sales!$Q$5:$Q$3004,TxRows),Sales!$C$5:INDEX(Sales!$C$5:$C$3004,TxRows),$A120)-SUMIFS(Sales!$X$5:INDEX(Sales!$X$5:$X$3004,TxRows),Sales!$C$5:INDEX(Sales!$C$5:$C$3004,TxRows),$A120))</f>
        <v/>
      </c>
      <c r="K120" s="61" t="str">
        <f aca="false">IF($A120="","",SUMIFS(CashBook!$G$5:INDEX(CashBook!$G$5:$G$3004,TxRows),CashBook!$D$5:INDEX(CashBook!$D$5:$D$3004,TxRows),$A120,CashBook!$C$5:INDEX(CashBook!$C$5:$C$3004,TxRows),"Receipt"))</f>
        <v/>
      </c>
      <c r="L120" s="61" t="str">
        <f aca="false">IF($A120="","",SUMIFS(Purchases!$P$5:INDEX(Purchases!$P$5:$P$3004,TxRows),Purchases!$C$5:INDEX(Purchases!$C$5:$C$3004,TxRows),$A120)-SUMIFS(Purchases!$S$5:INDEX(Purchases!$S$5:$S$3004,TxRows),Purchases!$C$5:INDEX(Purchases!$C$5:$C$3004,TxRows),$A120))</f>
        <v/>
      </c>
      <c r="M120" s="61" t="str">
        <f aca="false">IF($A120="","",SUMIFS(CashBook!$G$5:INDEX(CashBook!$G$5:$G$3004,TxRows),CashBook!$D$5:INDEX(CashBook!$D$5:$D$3004,TxRows),$A120,CashBook!$C$5:INDEX(CashBook!$C$5:$C$3004,TxRows),"Payment"))</f>
        <v/>
      </c>
      <c r="N120" s="61" t="str">
        <f aca="false">IF($A120="","",N($I120)+J120-K120-L120+M120)</f>
        <v/>
      </c>
      <c r="O120" s="60" t="str">
        <f aca="false">IF($A120="","",IF(ROUND(N120,2)&gt;0,"Receivable",IF(ROUND(N120,2)&lt;0,"Payable","Settled")))</f>
        <v/>
      </c>
      <c r="P120" s="66" t="str">
        <f aca="false">IF($A120="","",IFERROR(SUMPRODUCT(MAX((Sales!$C$5:INDEX(Sales!$C$5:$C$3004,TxRows)=$A120)*Sales!$A$5:INDEX(Sales!$A$5:$A$3004,TxRows))),0))</f>
        <v/>
      </c>
      <c r="Q120" s="66" t="str">
        <f aca="false">IF($A120="","",IFERROR(SUMPRODUCT(MAX((CashBook!$D$5:INDEX(CashBook!$D$5:$D$3004,TxRows)=$A120)*(CashBook!$C$5:INDEX(CashBook!$C$5:$C$3004,TxRows)="Receipt")*CashBook!$A$5:INDEX(CashBook!$A$5:$A$3004,TxRows))),0))</f>
        <v/>
      </c>
      <c r="R120" s="67" t="str">
        <f aca="false">IF($A120="","",IF(ROUND(N120,2)&lt;=0,"",AsOf-IF(N(Q120)&gt;0,Q120,IF(N(P120)&gt;0,P120,FYStart))))</f>
        <v/>
      </c>
      <c r="S120" s="60" t="str">
        <f aca="false">IF($A120="","",IF(AND(N($G120)&gt;0,N120&gt;N($G120)),"OVER LIMIT",IF(AND(N120&gt;0,N(R120)&gt;N($H120)),"OVERDUE",IF(ROUND(N120,2)&lt;0,"PAY DUE",""))))</f>
        <v/>
      </c>
    </row>
    <row r="121" customFormat="false" ht="15" hidden="false" customHeight="false" outlineLevel="0" collapsed="false">
      <c r="A121" s="56"/>
      <c r="B121" s="56"/>
      <c r="C121" s="56"/>
      <c r="D121" s="56"/>
      <c r="E121" s="56"/>
      <c r="F121" s="56"/>
      <c r="G121" s="68"/>
      <c r="H121" s="69"/>
      <c r="I121" s="58"/>
      <c r="J121" s="61" t="str">
        <f aca="false">IF($A121="","",SUMIFS(Sales!$Q$5:INDEX(Sales!$Q$5:$Q$3004,TxRows),Sales!$C$5:INDEX(Sales!$C$5:$C$3004,TxRows),$A121)-SUMIFS(Sales!$X$5:INDEX(Sales!$X$5:$X$3004,TxRows),Sales!$C$5:INDEX(Sales!$C$5:$C$3004,TxRows),$A121))</f>
        <v/>
      </c>
      <c r="K121" s="61" t="str">
        <f aca="false">IF($A121="","",SUMIFS(CashBook!$G$5:INDEX(CashBook!$G$5:$G$3004,TxRows),CashBook!$D$5:INDEX(CashBook!$D$5:$D$3004,TxRows),$A121,CashBook!$C$5:INDEX(CashBook!$C$5:$C$3004,TxRows),"Receipt"))</f>
        <v/>
      </c>
      <c r="L121" s="61" t="str">
        <f aca="false">IF($A121="","",SUMIFS(Purchases!$P$5:INDEX(Purchases!$P$5:$P$3004,TxRows),Purchases!$C$5:INDEX(Purchases!$C$5:$C$3004,TxRows),$A121)-SUMIFS(Purchases!$S$5:INDEX(Purchases!$S$5:$S$3004,TxRows),Purchases!$C$5:INDEX(Purchases!$C$5:$C$3004,TxRows),$A121))</f>
        <v/>
      </c>
      <c r="M121" s="61" t="str">
        <f aca="false">IF($A121="","",SUMIFS(CashBook!$G$5:INDEX(CashBook!$G$5:$G$3004,TxRows),CashBook!$D$5:INDEX(CashBook!$D$5:$D$3004,TxRows),$A121,CashBook!$C$5:INDEX(CashBook!$C$5:$C$3004,TxRows),"Payment"))</f>
        <v/>
      </c>
      <c r="N121" s="61" t="str">
        <f aca="false">IF($A121="","",N($I121)+J121-K121-L121+M121)</f>
        <v/>
      </c>
      <c r="O121" s="60" t="str">
        <f aca="false">IF($A121="","",IF(ROUND(N121,2)&gt;0,"Receivable",IF(ROUND(N121,2)&lt;0,"Payable","Settled")))</f>
        <v/>
      </c>
      <c r="P121" s="66" t="str">
        <f aca="false">IF($A121="","",IFERROR(SUMPRODUCT(MAX((Sales!$C$5:INDEX(Sales!$C$5:$C$3004,TxRows)=$A121)*Sales!$A$5:INDEX(Sales!$A$5:$A$3004,TxRows))),0))</f>
        <v/>
      </c>
      <c r="Q121" s="66" t="str">
        <f aca="false">IF($A121="","",IFERROR(SUMPRODUCT(MAX((CashBook!$D$5:INDEX(CashBook!$D$5:$D$3004,TxRows)=$A121)*(CashBook!$C$5:INDEX(CashBook!$C$5:$C$3004,TxRows)="Receipt")*CashBook!$A$5:INDEX(CashBook!$A$5:$A$3004,TxRows))),0))</f>
        <v/>
      </c>
      <c r="R121" s="67" t="str">
        <f aca="false">IF($A121="","",IF(ROUND(N121,2)&lt;=0,"",AsOf-IF(N(Q121)&gt;0,Q121,IF(N(P121)&gt;0,P121,FYStart))))</f>
        <v/>
      </c>
      <c r="S121" s="60" t="str">
        <f aca="false">IF($A121="","",IF(AND(N($G121)&gt;0,N121&gt;N($G121)),"OVER LIMIT",IF(AND(N121&gt;0,N(R121)&gt;N($H121)),"OVERDUE",IF(ROUND(N121,2)&lt;0,"PAY DUE",""))))</f>
        <v/>
      </c>
    </row>
    <row r="122" customFormat="false" ht="15" hidden="false" customHeight="false" outlineLevel="0" collapsed="false">
      <c r="A122" s="56"/>
      <c r="B122" s="56"/>
      <c r="C122" s="56"/>
      <c r="D122" s="56"/>
      <c r="E122" s="56"/>
      <c r="F122" s="56"/>
      <c r="G122" s="68"/>
      <c r="H122" s="69"/>
      <c r="I122" s="58"/>
      <c r="J122" s="61" t="str">
        <f aca="false">IF($A122="","",SUMIFS(Sales!$Q$5:INDEX(Sales!$Q$5:$Q$3004,TxRows),Sales!$C$5:INDEX(Sales!$C$5:$C$3004,TxRows),$A122)-SUMIFS(Sales!$X$5:INDEX(Sales!$X$5:$X$3004,TxRows),Sales!$C$5:INDEX(Sales!$C$5:$C$3004,TxRows),$A122))</f>
        <v/>
      </c>
      <c r="K122" s="61" t="str">
        <f aca="false">IF($A122="","",SUMIFS(CashBook!$G$5:INDEX(CashBook!$G$5:$G$3004,TxRows),CashBook!$D$5:INDEX(CashBook!$D$5:$D$3004,TxRows),$A122,CashBook!$C$5:INDEX(CashBook!$C$5:$C$3004,TxRows),"Receipt"))</f>
        <v/>
      </c>
      <c r="L122" s="61" t="str">
        <f aca="false">IF($A122="","",SUMIFS(Purchases!$P$5:INDEX(Purchases!$P$5:$P$3004,TxRows),Purchases!$C$5:INDEX(Purchases!$C$5:$C$3004,TxRows),$A122)-SUMIFS(Purchases!$S$5:INDEX(Purchases!$S$5:$S$3004,TxRows),Purchases!$C$5:INDEX(Purchases!$C$5:$C$3004,TxRows),$A122))</f>
        <v/>
      </c>
      <c r="M122" s="61" t="str">
        <f aca="false">IF($A122="","",SUMIFS(CashBook!$G$5:INDEX(CashBook!$G$5:$G$3004,TxRows),CashBook!$D$5:INDEX(CashBook!$D$5:$D$3004,TxRows),$A122,CashBook!$C$5:INDEX(CashBook!$C$5:$C$3004,TxRows),"Payment"))</f>
        <v/>
      </c>
      <c r="N122" s="61" t="str">
        <f aca="false">IF($A122="","",N($I122)+J122-K122-L122+M122)</f>
        <v/>
      </c>
      <c r="O122" s="60" t="str">
        <f aca="false">IF($A122="","",IF(ROUND(N122,2)&gt;0,"Receivable",IF(ROUND(N122,2)&lt;0,"Payable","Settled")))</f>
        <v/>
      </c>
      <c r="P122" s="66" t="str">
        <f aca="false">IF($A122="","",IFERROR(SUMPRODUCT(MAX((Sales!$C$5:INDEX(Sales!$C$5:$C$3004,TxRows)=$A122)*Sales!$A$5:INDEX(Sales!$A$5:$A$3004,TxRows))),0))</f>
        <v/>
      </c>
      <c r="Q122" s="66" t="str">
        <f aca="false">IF($A122="","",IFERROR(SUMPRODUCT(MAX((CashBook!$D$5:INDEX(CashBook!$D$5:$D$3004,TxRows)=$A122)*(CashBook!$C$5:INDEX(CashBook!$C$5:$C$3004,TxRows)="Receipt")*CashBook!$A$5:INDEX(CashBook!$A$5:$A$3004,TxRows))),0))</f>
        <v/>
      </c>
      <c r="R122" s="67" t="str">
        <f aca="false">IF($A122="","",IF(ROUND(N122,2)&lt;=0,"",AsOf-IF(N(Q122)&gt;0,Q122,IF(N(P122)&gt;0,P122,FYStart))))</f>
        <v/>
      </c>
      <c r="S122" s="60" t="str">
        <f aca="false">IF($A122="","",IF(AND(N($G122)&gt;0,N122&gt;N($G122)),"OVER LIMIT",IF(AND(N122&gt;0,N(R122)&gt;N($H122)),"OVERDUE",IF(ROUND(N122,2)&lt;0,"PAY DUE",""))))</f>
        <v/>
      </c>
    </row>
    <row r="123" customFormat="false" ht="15" hidden="false" customHeight="false" outlineLevel="0" collapsed="false">
      <c r="A123" s="56"/>
      <c r="B123" s="56"/>
      <c r="C123" s="56"/>
      <c r="D123" s="56"/>
      <c r="E123" s="56"/>
      <c r="F123" s="56"/>
      <c r="G123" s="68"/>
      <c r="H123" s="69"/>
      <c r="I123" s="58"/>
      <c r="J123" s="61" t="str">
        <f aca="false">IF($A123="","",SUMIFS(Sales!$Q$5:INDEX(Sales!$Q$5:$Q$3004,TxRows),Sales!$C$5:INDEX(Sales!$C$5:$C$3004,TxRows),$A123)-SUMIFS(Sales!$X$5:INDEX(Sales!$X$5:$X$3004,TxRows),Sales!$C$5:INDEX(Sales!$C$5:$C$3004,TxRows),$A123))</f>
        <v/>
      </c>
      <c r="K123" s="61" t="str">
        <f aca="false">IF($A123="","",SUMIFS(CashBook!$G$5:INDEX(CashBook!$G$5:$G$3004,TxRows),CashBook!$D$5:INDEX(CashBook!$D$5:$D$3004,TxRows),$A123,CashBook!$C$5:INDEX(CashBook!$C$5:$C$3004,TxRows),"Receipt"))</f>
        <v/>
      </c>
      <c r="L123" s="61" t="str">
        <f aca="false">IF($A123="","",SUMIFS(Purchases!$P$5:INDEX(Purchases!$P$5:$P$3004,TxRows),Purchases!$C$5:INDEX(Purchases!$C$5:$C$3004,TxRows),$A123)-SUMIFS(Purchases!$S$5:INDEX(Purchases!$S$5:$S$3004,TxRows),Purchases!$C$5:INDEX(Purchases!$C$5:$C$3004,TxRows),$A123))</f>
        <v/>
      </c>
      <c r="M123" s="61" t="str">
        <f aca="false">IF($A123="","",SUMIFS(CashBook!$G$5:INDEX(CashBook!$G$5:$G$3004,TxRows),CashBook!$D$5:INDEX(CashBook!$D$5:$D$3004,TxRows),$A123,CashBook!$C$5:INDEX(CashBook!$C$5:$C$3004,TxRows),"Payment"))</f>
        <v/>
      </c>
      <c r="N123" s="61" t="str">
        <f aca="false">IF($A123="","",N($I123)+J123-K123-L123+M123)</f>
        <v/>
      </c>
      <c r="O123" s="60" t="str">
        <f aca="false">IF($A123="","",IF(ROUND(N123,2)&gt;0,"Receivable",IF(ROUND(N123,2)&lt;0,"Payable","Settled")))</f>
        <v/>
      </c>
      <c r="P123" s="66" t="str">
        <f aca="false">IF($A123="","",IFERROR(SUMPRODUCT(MAX((Sales!$C$5:INDEX(Sales!$C$5:$C$3004,TxRows)=$A123)*Sales!$A$5:INDEX(Sales!$A$5:$A$3004,TxRows))),0))</f>
        <v/>
      </c>
      <c r="Q123" s="66" t="str">
        <f aca="false">IF($A123="","",IFERROR(SUMPRODUCT(MAX((CashBook!$D$5:INDEX(CashBook!$D$5:$D$3004,TxRows)=$A123)*(CashBook!$C$5:INDEX(CashBook!$C$5:$C$3004,TxRows)="Receipt")*CashBook!$A$5:INDEX(CashBook!$A$5:$A$3004,TxRows))),0))</f>
        <v/>
      </c>
      <c r="R123" s="67" t="str">
        <f aca="false">IF($A123="","",IF(ROUND(N123,2)&lt;=0,"",AsOf-IF(N(Q123)&gt;0,Q123,IF(N(P123)&gt;0,P123,FYStart))))</f>
        <v/>
      </c>
      <c r="S123" s="60" t="str">
        <f aca="false">IF($A123="","",IF(AND(N($G123)&gt;0,N123&gt;N($G123)),"OVER LIMIT",IF(AND(N123&gt;0,N(R123)&gt;N($H123)),"OVERDUE",IF(ROUND(N123,2)&lt;0,"PAY DUE",""))))</f>
        <v/>
      </c>
    </row>
    <row r="124" customFormat="false" ht="15" hidden="false" customHeight="false" outlineLevel="0" collapsed="false">
      <c r="A124" s="56"/>
      <c r="B124" s="56"/>
      <c r="C124" s="56"/>
      <c r="D124" s="56"/>
      <c r="E124" s="56"/>
      <c r="F124" s="56"/>
      <c r="G124" s="68"/>
      <c r="H124" s="69"/>
      <c r="I124" s="58"/>
      <c r="J124" s="61" t="str">
        <f aca="false">IF($A124="","",SUMIFS(Sales!$Q$5:INDEX(Sales!$Q$5:$Q$3004,TxRows),Sales!$C$5:INDEX(Sales!$C$5:$C$3004,TxRows),$A124)-SUMIFS(Sales!$X$5:INDEX(Sales!$X$5:$X$3004,TxRows),Sales!$C$5:INDEX(Sales!$C$5:$C$3004,TxRows),$A124))</f>
        <v/>
      </c>
      <c r="K124" s="61" t="str">
        <f aca="false">IF($A124="","",SUMIFS(CashBook!$G$5:INDEX(CashBook!$G$5:$G$3004,TxRows),CashBook!$D$5:INDEX(CashBook!$D$5:$D$3004,TxRows),$A124,CashBook!$C$5:INDEX(CashBook!$C$5:$C$3004,TxRows),"Receipt"))</f>
        <v/>
      </c>
      <c r="L124" s="61" t="str">
        <f aca="false">IF($A124="","",SUMIFS(Purchases!$P$5:INDEX(Purchases!$P$5:$P$3004,TxRows),Purchases!$C$5:INDEX(Purchases!$C$5:$C$3004,TxRows),$A124)-SUMIFS(Purchases!$S$5:INDEX(Purchases!$S$5:$S$3004,TxRows),Purchases!$C$5:INDEX(Purchases!$C$5:$C$3004,TxRows),$A124))</f>
        <v/>
      </c>
      <c r="M124" s="61" t="str">
        <f aca="false">IF($A124="","",SUMIFS(CashBook!$G$5:INDEX(CashBook!$G$5:$G$3004,TxRows),CashBook!$D$5:INDEX(CashBook!$D$5:$D$3004,TxRows),$A124,CashBook!$C$5:INDEX(CashBook!$C$5:$C$3004,TxRows),"Payment"))</f>
        <v/>
      </c>
      <c r="N124" s="61" t="str">
        <f aca="false">IF($A124="","",N($I124)+J124-K124-L124+M124)</f>
        <v/>
      </c>
      <c r="O124" s="60" t="str">
        <f aca="false">IF($A124="","",IF(ROUND(N124,2)&gt;0,"Receivable",IF(ROUND(N124,2)&lt;0,"Payable","Settled")))</f>
        <v/>
      </c>
      <c r="P124" s="66" t="str">
        <f aca="false">IF($A124="","",IFERROR(SUMPRODUCT(MAX((Sales!$C$5:INDEX(Sales!$C$5:$C$3004,TxRows)=$A124)*Sales!$A$5:INDEX(Sales!$A$5:$A$3004,TxRows))),0))</f>
        <v/>
      </c>
      <c r="Q124" s="66" t="str">
        <f aca="false">IF($A124="","",IFERROR(SUMPRODUCT(MAX((CashBook!$D$5:INDEX(CashBook!$D$5:$D$3004,TxRows)=$A124)*(CashBook!$C$5:INDEX(CashBook!$C$5:$C$3004,TxRows)="Receipt")*CashBook!$A$5:INDEX(CashBook!$A$5:$A$3004,TxRows))),0))</f>
        <v/>
      </c>
      <c r="R124" s="67" t="str">
        <f aca="false">IF($A124="","",IF(ROUND(N124,2)&lt;=0,"",AsOf-IF(N(Q124)&gt;0,Q124,IF(N(P124)&gt;0,P124,FYStart))))</f>
        <v/>
      </c>
      <c r="S124" s="60" t="str">
        <f aca="false">IF($A124="","",IF(AND(N($G124)&gt;0,N124&gt;N($G124)),"OVER LIMIT",IF(AND(N124&gt;0,N(R124)&gt;N($H124)),"OVERDUE",IF(ROUND(N124,2)&lt;0,"PAY DUE",""))))</f>
        <v/>
      </c>
    </row>
    <row r="125" customFormat="false" ht="15" hidden="false" customHeight="false" outlineLevel="0" collapsed="false">
      <c r="A125" s="56"/>
      <c r="B125" s="56"/>
      <c r="C125" s="56"/>
      <c r="D125" s="56"/>
      <c r="E125" s="56"/>
      <c r="F125" s="56"/>
      <c r="G125" s="68"/>
      <c r="H125" s="69"/>
      <c r="I125" s="58"/>
      <c r="J125" s="61" t="str">
        <f aca="false">IF($A125="","",SUMIFS(Sales!$Q$5:INDEX(Sales!$Q$5:$Q$3004,TxRows),Sales!$C$5:INDEX(Sales!$C$5:$C$3004,TxRows),$A125)-SUMIFS(Sales!$X$5:INDEX(Sales!$X$5:$X$3004,TxRows),Sales!$C$5:INDEX(Sales!$C$5:$C$3004,TxRows),$A125))</f>
        <v/>
      </c>
      <c r="K125" s="61" t="str">
        <f aca="false">IF($A125="","",SUMIFS(CashBook!$G$5:INDEX(CashBook!$G$5:$G$3004,TxRows),CashBook!$D$5:INDEX(CashBook!$D$5:$D$3004,TxRows),$A125,CashBook!$C$5:INDEX(CashBook!$C$5:$C$3004,TxRows),"Receipt"))</f>
        <v/>
      </c>
      <c r="L125" s="61" t="str">
        <f aca="false">IF($A125="","",SUMIFS(Purchases!$P$5:INDEX(Purchases!$P$5:$P$3004,TxRows),Purchases!$C$5:INDEX(Purchases!$C$5:$C$3004,TxRows),$A125)-SUMIFS(Purchases!$S$5:INDEX(Purchases!$S$5:$S$3004,TxRows),Purchases!$C$5:INDEX(Purchases!$C$5:$C$3004,TxRows),$A125))</f>
        <v/>
      </c>
      <c r="M125" s="61" t="str">
        <f aca="false">IF($A125="","",SUMIFS(CashBook!$G$5:INDEX(CashBook!$G$5:$G$3004,TxRows),CashBook!$D$5:INDEX(CashBook!$D$5:$D$3004,TxRows),$A125,CashBook!$C$5:INDEX(CashBook!$C$5:$C$3004,TxRows),"Payment"))</f>
        <v/>
      </c>
      <c r="N125" s="61" t="str">
        <f aca="false">IF($A125="","",N($I125)+J125-K125-L125+M125)</f>
        <v/>
      </c>
      <c r="O125" s="60" t="str">
        <f aca="false">IF($A125="","",IF(ROUND(N125,2)&gt;0,"Receivable",IF(ROUND(N125,2)&lt;0,"Payable","Settled")))</f>
        <v/>
      </c>
      <c r="P125" s="66" t="str">
        <f aca="false">IF($A125="","",IFERROR(SUMPRODUCT(MAX((Sales!$C$5:INDEX(Sales!$C$5:$C$3004,TxRows)=$A125)*Sales!$A$5:INDEX(Sales!$A$5:$A$3004,TxRows))),0))</f>
        <v/>
      </c>
      <c r="Q125" s="66" t="str">
        <f aca="false">IF($A125="","",IFERROR(SUMPRODUCT(MAX((CashBook!$D$5:INDEX(CashBook!$D$5:$D$3004,TxRows)=$A125)*(CashBook!$C$5:INDEX(CashBook!$C$5:$C$3004,TxRows)="Receipt")*CashBook!$A$5:INDEX(CashBook!$A$5:$A$3004,TxRows))),0))</f>
        <v/>
      </c>
      <c r="R125" s="67" t="str">
        <f aca="false">IF($A125="","",IF(ROUND(N125,2)&lt;=0,"",AsOf-IF(N(Q125)&gt;0,Q125,IF(N(P125)&gt;0,P125,FYStart))))</f>
        <v/>
      </c>
      <c r="S125" s="60" t="str">
        <f aca="false">IF($A125="","",IF(AND(N($G125)&gt;0,N125&gt;N($G125)),"OVER LIMIT",IF(AND(N125&gt;0,N(R125)&gt;N($H125)),"OVERDUE",IF(ROUND(N125,2)&lt;0,"PAY DUE",""))))</f>
        <v/>
      </c>
    </row>
    <row r="126" customFormat="false" ht="15" hidden="false" customHeight="false" outlineLevel="0" collapsed="false">
      <c r="A126" s="56"/>
      <c r="B126" s="56"/>
      <c r="C126" s="56"/>
      <c r="D126" s="56"/>
      <c r="E126" s="56"/>
      <c r="F126" s="56"/>
      <c r="G126" s="68"/>
      <c r="H126" s="69"/>
      <c r="I126" s="58"/>
      <c r="J126" s="61" t="str">
        <f aca="false">IF($A126="","",SUMIFS(Sales!$Q$5:INDEX(Sales!$Q$5:$Q$3004,TxRows),Sales!$C$5:INDEX(Sales!$C$5:$C$3004,TxRows),$A126)-SUMIFS(Sales!$X$5:INDEX(Sales!$X$5:$X$3004,TxRows),Sales!$C$5:INDEX(Sales!$C$5:$C$3004,TxRows),$A126))</f>
        <v/>
      </c>
      <c r="K126" s="61" t="str">
        <f aca="false">IF($A126="","",SUMIFS(CashBook!$G$5:INDEX(CashBook!$G$5:$G$3004,TxRows),CashBook!$D$5:INDEX(CashBook!$D$5:$D$3004,TxRows),$A126,CashBook!$C$5:INDEX(CashBook!$C$5:$C$3004,TxRows),"Receipt"))</f>
        <v/>
      </c>
      <c r="L126" s="61" t="str">
        <f aca="false">IF($A126="","",SUMIFS(Purchases!$P$5:INDEX(Purchases!$P$5:$P$3004,TxRows),Purchases!$C$5:INDEX(Purchases!$C$5:$C$3004,TxRows),$A126)-SUMIFS(Purchases!$S$5:INDEX(Purchases!$S$5:$S$3004,TxRows),Purchases!$C$5:INDEX(Purchases!$C$5:$C$3004,TxRows),$A126))</f>
        <v/>
      </c>
      <c r="M126" s="61" t="str">
        <f aca="false">IF($A126="","",SUMIFS(CashBook!$G$5:INDEX(CashBook!$G$5:$G$3004,TxRows),CashBook!$D$5:INDEX(CashBook!$D$5:$D$3004,TxRows),$A126,CashBook!$C$5:INDEX(CashBook!$C$5:$C$3004,TxRows),"Payment"))</f>
        <v/>
      </c>
      <c r="N126" s="61" t="str">
        <f aca="false">IF($A126="","",N($I126)+J126-K126-L126+M126)</f>
        <v/>
      </c>
      <c r="O126" s="60" t="str">
        <f aca="false">IF($A126="","",IF(ROUND(N126,2)&gt;0,"Receivable",IF(ROUND(N126,2)&lt;0,"Payable","Settled")))</f>
        <v/>
      </c>
      <c r="P126" s="66" t="str">
        <f aca="false">IF($A126="","",IFERROR(SUMPRODUCT(MAX((Sales!$C$5:INDEX(Sales!$C$5:$C$3004,TxRows)=$A126)*Sales!$A$5:INDEX(Sales!$A$5:$A$3004,TxRows))),0))</f>
        <v/>
      </c>
      <c r="Q126" s="66" t="str">
        <f aca="false">IF($A126="","",IFERROR(SUMPRODUCT(MAX((CashBook!$D$5:INDEX(CashBook!$D$5:$D$3004,TxRows)=$A126)*(CashBook!$C$5:INDEX(CashBook!$C$5:$C$3004,TxRows)="Receipt")*CashBook!$A$5:INDEX(CashBook!$A$5:$A$3004,TxRows))),0))</f>
        <v/>
      </c>
      <c r="R126" s="67" t="str">
        <f aca="false">IF($A126="","",IF(ROUND(N126,2)&lt;=0,"",AsOf-IF(N(Q126)&gt;0,Q126,IF(N(P126)&gt;0,P126,FYStart))))</f>
        <v/>
      </c>
      <c r="S126" s="60" t="str">
        <f aca="false">IF($A126="","",IF(AND(N($G126)&gt;0,N126&gt;N($G126)),"OVER LIMIT",IF(AND(N126&gt;0,N(R126)&gt;N($H126)),"OVERDUE",IF(ROUND(N126,2)&lt;0,"PAY DUE",""))))</f>
        <v/>
      </c>
    </row>
    <row r="127" customFormat="false" ht="15" hidden="false" customHeight="false" outlineLevel="0" collapsed="false">
      <c r="A127" s="56"/>
      <c r="B127" s="56"/>
      <c r="C127" s="56"/>
      <c r="D127" s="56"/>
      <c r="E127" s="56"/>
      <c r="F127" s="56"/>
      <c r="G127" s="68"/>
      <c r="H127" s="69"/>
      <c r="I127" s="58"/>
      <c r="J127" s="61" t="str">
        <f aca="false">IF($A127="","",SUMIFS(Sales!$Q$5:INDEX(Sales!$Q$5:$Q$3004,TxRows),Sales!$C$5:INDEX(Sales!$C$5:$C$3004,TxRows),$A127)-SUMIFS(Sales!$X$5:INDEX(Sales!$X$5:$X$3004,TxRows),Sales!$C$5:INDEX(Sales!$C$5:$C$3004,TxRows),$A127))</f>
        <v/>
      </c>
      <c r="K127" s="61" t="str">
        <f aca="false">IF($A127="","",SUMIFS(CashBook!$G$5:INDEX(CashBook!$G$5:$G$3004,TxRows),CashBook!$D$5:INDEX(CashBook!$D$5:$D$3004,TxRows),$A127,CashBook!$C$5:INDEX(CashBook!$C$5:$C$3004,TxRows),"Receipt"))</f>
        <v/>
      </c>
      <c r="L127" s="61" t="str">
        <f aca="false">IF($A127="","",SUMIFS(Purchases!$P$5:INDEX(Purchases!$P$5:$P$3004,TxRows),Purchases!$C$5:INDEX(Purchases!$C$5:$C$3004,TxRows),$A127)-SUMIFS(Purchases!$S$5:INDEX(Purchases!$S$5:$S$3004,TxRows),Purchases!$C$5:INDEX(Purchases!$C$5:$C$3004,TxRows),$A127))</f>
        <v/>
      </c>
      <c r="M127" s="61" t="str">
        <f aca="false">IF($A127="","",SUMIFS(CashBook!$G$5:INDEX(CashBook!$G$5:$G$3004,TxRows),CashBook!$D$5:INDEX(CashBook!$D$5:$D$3004,TxRows),$A127,CashBook!$C$5:INDEX(CashBook!$C$5:$C$3004,TxRows),"Payment"))</f>
        <v/>
      </c>
      <c r="N127" s="61" t="str">
        <f aca="false">IF($A127="","",N($I127)+J127-K127-L127+M127)</f>
        <v/>
      </c>
      <c r="O127" s="60" t="str">
        <f aca="false">IF($A127="","",IF(ROUND(N127,2)&gt;0,"Receivable",IF(ROUND(N127,2)&lt;0,"Payable","Settled")))</f>
        <v/>
      </c>
      <c r="P127" s="66" t="str">
        <f aca="false">IF($A127="","",IFERROR(SUMPRODUCT(MAX((Sales!$C$5:INDEX(Sales!$C$5:$C$3004,TxRows)=$A127)*Sales!$A$5:INDEX(Sales!$A$5:$A$3004,TxRows))),0))</f>
        <v/>
      </c>
      <c r="Q127" s="66" t="str">
        <f aca="false">IF($A127="","",IFERROR(SUMPRODUCT(MAX((CashBook!$D$5:INDEX(CashBook!$D$5:$D$3004,TxRows)=$A127)*(CashBook!$C$5:INDEX(CashBook!$C$5:$C$3004,TxRows)="Receipt")*CashBook!$A$5:INDEX(CashBook!$A$5:$A$3004,TxRows))),0))</f>
        <v/>
      </c>
      <c r="R127" s="67" t="str">
        <f aca="false">IF($A127="","",IF(ROUND(N127,2)&lt;=0,"",AsOf-IF(N(Q127)&gt;0,Q127,IF(N(P127)&gt;0,P127,FYStart))))</f>
        <v/>
      </c>
      <c r="S127" s="60" t="str">
        <f aca="false">IF($A127="","",IF(AND(N($G127)&gt;0,N127&gt;N($G127)),"OVER LIMIT",IF(AND(N127&gt;0,N(R127)&gt;N($H127)),"OVERDUE",IF(ROUND(N127,2)&lt;0,"PAY DUE",""))))</f>
        <v/>
      </c>
    </row>
    <row r="128" customFormat="false" ht="15" hidden="false" customHeight="false" outlineLevel="0" collapsed="false">
      <c r="A128" s="56"/>
      <c r="B128" s="56"/>
      <c r="C128" s="56"/>
      <c r="D128" s="56"/>
      <c r="E128" s="56"/>
      <c r="F128" s="56"/>
      <c r="G128" s="68"/>
      <c r="H128" s="69"/>
      <c r="I128" s="58"/>
      <c r="J128" s="61" t="str">
        <f aca="false">IF($A128="","",SUMIFS(Sales!$Q$5:INDEX(Sales!$Q$5:$Q$3004,TxRows),Sales!$C$5:INDEX(Sales!$C$5:$C$3004,TxRows),$A128)-SUMIFS(Sales!$X$5:INDEX(Sales!$X$5:$X$3004,TxRows),Sales!$C$5:INDEX(Sales!$C$5:$C$3004,TxRows),$A128))</f>
        <v/>
      </c>
      <c r="K128" s="61" t="str">
        <f aca="false">IF($A128="","",SUMIFS(CashBook!$G$5:INDEX(CashBook!$G$5:$G$3004,TxRows),CashBook!$D$5:INDEX(CashBook!$D$5:$D$3004,TxRows),$A128,CashBook!$C$5:INDEX(CashBook!$C$5:$C$3004,TxRows),"Receipt"))</f>
        <v/>
      </c>
      <c r="L128" s="61" t="str">
        <f aca="false">IF($A128="","",SUMIFS(Purchases!$P$5:INDEX(Purchases!$P$5:$P$3004,TxRows),Purchases!$C$5:INDEX(Purchases!$C$5:$C$3004,TxRows),$A128)-SUMIFS(Purchases!$S$5:INDEX(Purchases!$S$5:$S$3004,TxRows),Purchases!$C$5:INDEX(Purchases!$C$5:$C$3004,TxRows),$A128))</f>
        <v/>
      </c>
      <c r="M128" s="61" t="str">
        <f aca="false">IF($A128="","",SUMIFS(CashBook!$G$5:INDEX(CashBook!$G$5:$G$3004,TxRows),CashBook!$D$5:INDEX(CashBook!$D$5:$D$3004,TxRows),$A128,CashBook!$C$5:INDEX(CashBook!$C$5:$C$3004,TxRows),"Payment"))</f>
        <v/>
      </c>
      <c r="N128" s="61" t="str">
        <f aca="false">IF($A128="","",N($I128)+J128-K128-L128+M128)</f>
        <v/>
      </c>
      <c r="O128" s="60" t="str">
        <f aca="false">IF($A128="","",IF(ROUND(N128,2)&gt;0,"Receivable",IF(ROUND(N128,2)&lt;0,"Payable","Settled")))</f>
        <v/>
      </c>
      <c r="P128" s="66" t="str">
        <f aca="false">IF($A128="","",IFERROR(SUMPRODUCT(MAX((Sales!$C$5:INDEX(Sales!$C$5:$C$3004,TxRows)=$A128)*Sales!$A$5:INDEX(Sales!$A$5:$A$3004,TxRows))),0))</f>
        <v/>
      </c>
      <c r="Q128" s="66" t="str">
        <f aca="false">IF($A128="","",IFERROR(SUMPRODUCT(MAX((CashBook!$D$5:INDEX(CashBook!$D$5:$D$3004,TxRows)=$A128)*(CashBook!$C$5:INDEX(CashBook!$C$5:$C$3004,TxRows)="Receipt")*CashBook!$A$5:INDEX(CashBook!$A$5:$A$3004,TxRows))),0))</f>
        <v/>
      </c>
      <c r="R128" s="67" t="str">
        <f aca="false">IF($A128="","",IF(ROUND(N128,2)&lt;=0,"",AsOf-IF(N(Q128)&gt;0,Q128,IF(N(P128)&gt;0,P128,FYStart))))</f>
        <v/>
      </c>
      <c r="S128" s="60" t="str">
        <f aca="false">IF($A128="","",IF(AND(N($G128)&gt;0,N128&gt;N($G128)),"OVER LIMIT",IF(AND(N128&gt;0,N(R128)&gt;N($H128)),"OVERDUE",IF(ROUND(N128,2)&lt;0,"PAY DUE",""))))</f>
        <v/>
      </c>
    </row>
    <row r="129" customFormat="false" ht="15" hidden="false" customHeight="false" outlineLevel="0" collapsed="false">
      <c r="A129" s="56"/>
      <c r="B129" s="56"/>
      <c r="C129" s="56"/>
      <c r="D129" s="56"/>
      <c r="E129" s="56"/>
      <c r="F129" s="56"/>
      <c r="G129" s="68"/>
      <c r="H129" s="69"/>
      <c r="I129" s="58"/>
      <c r="J129" s="61" t="str">
        <f aca="false">IF($A129="","",SUMIFS(Sales!$Q$5:INDEX(Sales!$Q$5:$Q$3004,TxRows),Sales!$C$5:INDEX(Sales!$C$5:$C$3004,TxRows),$A129)-SUMIFS(Sales!$X$5:INDEX(Sales!$X$5:$X$3004,TxRows),Sales!$C$5:INDEX(Sales!$C$5:$C$3004,TxRows),$A129))</f>
        <v/>
      </c>
      <c r="K129" s="61" t="str">
        <f aca="false">IF($A129="","",SUMIFS(CashBook!$G$5:INDEX(CashBook!$G$5:$G$3004,TxRows),CashBook!$D$5:INDEX(CashBook!$D$5:$D$3004,TxRows),$A129,CashBook!$C$5:INDEX(CashBook!$C$5:$C$3004,TxRows),"Receipt"))</f>
        <v/>
      </c>
      <c r="L129" s="61" t="str">
        <f aca="false">IF($A129="","",SUMIFS(Purchases!$P$5:INDEX(Purchases!$P$5:$P$3004,TxRows),Purchases!$C$5:INDEX(Purchases!$C$5:$C$3004,TxRows),$A129)-SUMIFS(Purchases!$S$5:INDEX(Purchases!$S$5:$S$3004,TxRows),Purchases!$C$5:INDEX(Purchases!$C$5:$C$3004,TxRows),$A129))</f>
        <v/>
      </c>
      <c r="M129" s="61" t="str">
        <f aca="false">IF($A129="","",SUMIFS(CashBook!$G$5:INDEX(CashBook!$G$5:$G$3004,TxRows),CashBook!$D$5:INDEX(CashBook!$D$5:$D$3004,TxRows),$A129,CashBook!$C$5:INDEX(CashBook!$C$5:$C$3004,TxRows),"Payment"))</f>
        <v/>
      </c>
      <c r="N129" s="61" t="str">
        <f aca="false">IF($A129="","",N($I129)+J129-K129-L129+M129)</f>
        <v/>
      </c>
      <c r="O129" s="60" t="str">
        <f aca="false">IF($A129="","",IF(ROUND(N129,2)&gt;0,"Receivable",IF(ROUND(N129,2)&lt;0,"Payable","Settled")))</f>
        <v/>
      </c>
      <c r="P129" s="66" t="str">
        <f aca="false">IF($A129="","",IFERROR(SUMPRODUCT(MAX((Sales!$C$5:INDEX(Sales!$C$5:$C$3004,TxRows)=$A129)*Sales!$A$5:INDEX(Sales!$A$5:$A$3004,TxRows))),0))</f>
        <v/>
      </c>
      <c r="Q129" s="66" t="str">
        <f aca="false">IF($A129="","",IFERROR(SUMPRODUCT(MAX((CashBook!$D$5:INDEX(CashBook!$D$5:$D$3004,TxRows)=$A129)*(CashBook!$C$5:INDEX(CashBook!$C$5:$C$3004,TxRows)="Receipt")*CashBook!$A$5:INDEX(CashBook!$A$5:$A$3004,TxRows))),0))</f>
        <v/>
      </c>
      <c r="R129" s="67" t="str">
        <f aca="false">IF($A129="","",IF(ROUND(N129,2)&lt;=0,"",AsOf-IF(N(Q129)&gt;0,Q129,IF(N(P129)&gt;0,P129,FYStart))))</f>
        <v/>
      </c>
      <c r="S129" s="60" t="str">
        <f aca="false">IF($A129="","",IF(AND(N($G129)&gt;0,N129&gt;N($G129)),"OVER LIMIT",IF(AND(N129&gt;0,N(R129)&gt;N($H129)),"OVERDUE",IF(ROUND(N129,2)&lt;0,"PAY DUE",""))))</f>
        <v/>
      </c>
    </row>
    <row r="130" customFormat="false" ht="15" hidden="false" customHeight="false" outlineLevel="0" collapsed="false">
      <c r="A130" s="56"/>
      <c r="B130" s="56"/>
      <c r="C130" s="56"/>
      <c r="D130" s="56"/>
      <c r="E130" s="56"/>
      <c r="F130" s="56"/>
      <c r="G130" s="68"/>
      <c r="H130" s="69"/>
      <c r="I130" s="58"/>
      <c r="J130" s="61" t="str">
        <f aca="false">IF($A130="","",SUMIFS(Sales!$Q$5:INDEX(Sales!$Q$5:$Q$3004,TxRows),Sales!$C$5:INDEX(Sales!$C$5:$C$3004,TxRows),$A130)-SUMIFS(Sales!$X$5:INDEX(Sales!$X$5:$X$3004,TxRows),Sales!$C$5:INDEX(Sales!$C$5:$C$3004,TxRows),$A130))</f>
        <v/>
      </c>
      <c r="K130" s="61" t="str">
        <f aca="false">IF($A130="","",SUMIFS(CashBook!$G$5:INDEX(CashBook!$G$5:$G$3004,TxRows),CashBook!$D$5:INDEX(CashBook!$D$5:$D$3004,TxRows),$A130,CashBook!$C$5:INDEX(CashBook!$C$5:$C$3004,TxRows),"Receipt"))</f>
        <v/>
      </c>
      <c r="L130" s="61" t="str">
        <f aca="false">IF($A130="","",SUMIFS(Purchases!$P$5:INDEX(Purchases!$P$5:$P$3004,TxRows),Purchases!$C$5:INDEX(Purchases!$C$5:$C$3004,TxRows),$A130)-SUMIFS(Purchases!$S$5:INDEX(Purchases!$S$5:$S$3004,TxRows),Purchases!$C$5:INDEX(Purchases!$C$5:$C$3004,TxRows),$A130))</f>
        <v/>
      </c>
      <c r="M130" s="61" t="str">
        <f aca="false">IF($A130="","",SUMIFS(CashBook!$G$5:INDEX(CashBook!$G$5:$G$3004,TxRows),CashBook!$D$5:INDEX(CashBook!$D$5:$D$3004,TxRows),$A130,CashBook!$C$5:INDEX(CashBook!$C$5:$C$3004,TxRows),"Payment"))</f>
        <v/>
      </c>
      <c r="N130" s="61" t="str">
        <f aca="false">IF($A130="","",N($I130)+J130-K130-L130+M130)</f>
        <v/>
      </c>
      <c r="O130" s="60" t="str">
        <f aca="false">IF($A130="","",IF(ROUND(N130,2)&gt;0,"Receivable",IF(ROUND(N130,2)&lt;0,"Payable","Settled")))</f>
        <v/>
      </c>
      <c r="P130" s="66" t="str">
        <f aca="false">IF($A130="","",IFERROR(SUMPRODUCT(MAX((Sales!$C$5:INDEX(Sales!$C$5:$C$3004,TxRows)=$A130)*Sales!$A$5:INDEX(Sales!$A$5:$A$3004,TxRows))),0))</f>
        <v/>
      </c>
      <c r="Q130" s="66" t="str">
        <f aca="false">IF($A130="","",IFERROR(SUMPRODUCT(MAX((CashBook!$D$5:INDEX(CashBook!$D$5:$D$3004,TxRows)=$A130)*(CashBook!$C$5:INDEX(CashBook!$C$5:$C$3004,TxRows)="Receipt")*CashBook!$A$5:INDEX(CashBook!$A$5:$A$3004,TxRows))),0))</f>
        <v/>
      </c>
      <c r="R130" s="67" t="str">
        <f aca="false">IF($A130="","",IF(ROUND(N130,2)&lt;=0,"",AsOf-IF(N(Q130)&gt;0,Q130,IF(N(P130)&gt;0,P130,FYStart))))</f>
        <v/>
      </c>
      <c r="S130" s="60" t="str">
        <f aca="false">IF($A130="","",IF(AND(N($G130)&gt;0,N130&gt;N($G130)),"OVER LIMIT",IF(AND(N130&gt;0,N(R130)&gt;N($H130)),"OVERDUE",IF(ROUND(N130,2)&lt;0,"PAY DUE",""))))</f>
        <v/>
      </c>
    </row>
    <row r="131" customFormat="false" ht="15" hidden="false" customHeight="false" outlineLevel="0" collapsed="false">
      <c r="A131" s="56"/>
      <c r="B131" s="56"/>
      <c r="C131" s="56"/>
      <c r="D131" s="56"/>
      <c r="E131" s="56"/>
      <c r="F131" s="56"/>
      <c r="G131" s="68"/>
      <c r="H131" s="69"/>
      <c r="I131" s="58"/>
      <c r="J131" s="61" t="str">
        <f aca="false">IF($A131="","",SUMIFS(Sales!$Q$5:INDEX(Sales!$Q$5:$Q$3004,TxRows),Sales!$C$5:INDEX(Sales!$C$5:$C$3004,TxRows),$A131)-SUMIFS(Sales!$X$5:INDEX(Sales!$X$5:$X$3004,TxRows),Sales!$C$5:INDEX(Sales!$C$5:$C$3004,TxRows),$A131))</f>
        <v/>
      </c>
      <c r="K131" s="61" t="str">
        <f aca="false">IF($A131="","",SUMIFS(CashBook!$G$5:INDEX(CashBook!$G$5:$G$3004,TxRows),CashBook!$D$5:INDEX(CashBook!$D$5:$D$3004,TxRows),$A131,CashBook!$C$5:INDEX(CashBook!$C$5:$C$3004,TxRows),"Receipt"))</f>
        <v/>
      </c>
      <c r="L131" s="61" t="str">
        <f aca="false">IF($A131="","",SUMIFS(Purchases!$P$5:INDEX(Purchases!$P$5:$P$3004,TxRows),Purchases!$C$5:INDEX(Purchases!$C$5:$C$3004,TxRows),$A131)-SUMIFS(Purchases!$S$5:INDEX(Purchases!$S$5:$S$3004,TxRows),Purchases!$C$5:INDEX(Purchases!$C$5:$C$3004,TxRows),$A131))</f>
        <v/>
      </c>
      <c r="M131" s="61" t="str">
        <f aca="false">IF($A131="","",SUMIFS(CashBook!$G$5:INDEX(CashBook!$G$5:$G$3004,TxRows),CashBook!$D$5:INDEX(CashBook!$D$5:$D$3004,TxRows),$A131,CashBook!$C$5:INDEX(CashBook!$C$5:$C$3004,TxRows),"Payment"))</f>
        <v/>
      </c>
      <c r="N131" s="61" t="str">
        <f aca="false">IF($A131="","",N($I131)+J131-K131-L131+M131)</f>
        <v/>
      </c>
      <c r="O131" s="60" t="str">
        <f aca="false">IF($A131="","",IF(ROUND(N131,2)&gt;0,"Receivable",IF(ROUND(N131,2)&lt;0,"Payable","Settled")))</f>
        <v/>
      </c>
      <c r="P131" s="66" t="str">
        <f aca="false">IF($A131="","",IFERROR(SUMPRODUCT(MAX((Sales!$C$5:INDEX(Sales!$C$5:$C$3004,TxRows)=$A131)*Sales!$A$5:INDEX(Sales!$A$5:$A$3004,TxRows))),0))</f>
        <v/>
      </c>
      <c r="Q131" s="66" t="str">
        <f aca="false">IF($A131="","",IFERROR(SUMPRODUCT(MAX((CashBook!$D$5:INDEX(CashBook!$D$5:$D$3004,TxRows)=$A131)*(CashBook!$C$5:INDEX(CashBook!$C$5:$C$3004,TxRows)="Receipt")*CashBook!$A$5:INDEX(CashBook!$A$5:$A$3004,TxRows))),0))</f>
        <v/>
      </c>
      <c r="R131" s="67" t="str">
        <f aca="false">IF($A131="","",IF(ROUND(N131,2)&lt;=0,"",AsOf-IF(N(Q131)&gt;0,Q131,IF(N(P131)&gt;0,P131,FYStart))))</f>
        <v/>
      </c>
      <c r="S131" s="60" t="str">
        <f aca="false">IF($A131="","",IF(AND(N($G131)&gt;0,N131&gt;N($G131)),"OVER LIMIT",IF(AND(N131&gt;0,N(R131)&gt;N($H131)),"OVERDUE",IF(ROUND(N131,2)&lt;0,"PAY DUE",""))))</f>
        <v/>
      </c>
    </row>
    <row r="132" customFormat="false" ht="15" hidden="false" customHeight="false" outlineLevel="0" collapsed="false">
      <c r="A132" s="56"/>
      <c r="B132" s="56"/>
      <c r="C132" s="56"/>
      <c r="D132" s="56"/>
      <c r="E132" s="56"/>
      <c r="F132" s="56"/>
      <c r="G132" s="68"/>
      <c r="H132" s="69"/>
      <c r="I132" s="58"/>
      <c r="J132" s="61" t="str">
        <f aca="false">IF($A132="","",SUMIFS(Sales!$Q$5:INDEX(Sales!$Q$5:$Q$3004,TxRows),Sales!$C$5:INDEX(Sales!$C$5:$C$3004,TxRows),$A132)-SUMIFS(Sales!$X$5:INDEX(Sales!$X$5:$X$3004,TxRows),Sales!$C$5:INDEX(Sales!$C$5:$C$3004,TxRows),$A132))</f>
        <v/>
      </c>
      <c r="K132" s="61" t="str">
        <f aca="false">IF($A132="","",SUMIFS(CashBook!$G$5:INDEX(CashBook!$G$5:$G$3004,TxRows),CashBook!$D$5:INDEX(CashBook!$D$5:$D$3004,TxRows),$A132,CashBook!$C$5:INDEX(CashBook!$C$5:$C$3004,TxRows),"Receipt"))</f>
        <v/>
      </c>
      <c r="L132" s="61" t="str">
        <f aca="false">IF($A132="","",SUMIFS(Purchases!$P$5:INDEX(Purchases!$P$5:$P$3004,TxRows),Purchases!$C$5:INDEX(Purchases!$C$5:$C$3004,TxRows),$A132)-SUMIFS(Purchases!$S$5:INDEX(Purchases!$S$5:$S$3004,TxRows),Purchases!$C$5:INDEX(Purchases!$C$5:$C$3004,TxRows),$A132))</f>
        <v/>
      </c>
      <c r="M132" s="61" t="str">
        <f aca="false">IF($A132="","",SUMIFS(CashBook!$G$5:INDEX(CashBook!$G$5:$G$3004,TxRows),CashBook!$D$5:INDEX(CashBook!$D$5:$D$3004,TxRows),$A132,CashBook!$C$5:INDEX(CashBook!$C$5:$C$3004,TxRows),"Payment"))</f>
        <v/>
      </c>
      <c r="N132" s="61" t="str">
        <f aca="false">IF($A132="","",N($I132)+J132-K132-L132+M132)</f>
        <v/>
      </c>
      <c r="O132" s="60" t="str">
        <f aca="false">IF($A132="","",IF(ROUND(N132,2)&gt;0,"Receivable",IF(ROUND(N132,2)&lt;0,"Payable","Settled")))</f>
        <v/>
      </c>
      <c r="P132" s="66" t="str">
        <f aca="false">IF($A132="","",IFERROR(SUMPRODUCT(MAX((Sales!$C$5:INDEX(Sales!$C$5:$C$3004,TxRows)=$A132)*Sales!$A$5:INDEX(Sales!$A$5:$A$3004,TxRows))),0))</f>
        <v/>
      </c>
      <c r="Q132" s="66" t="str">
        <f aca="false">IF($A132="","",IFERROR(SUMPRODUCT(MAX((CashBook!$D$5:INDEX(CashBook!$D$5:$D$3004,TxRows)=$A132)*(CashBook!$C$5:INDEX(CashBook!$C$5:$C$3004,TxRows)="Receipt")*CashBook!$A$5:INDEX(CashBook!$A$5:$A$3004,TxRows))),0))</f>
        <v/>
      </c>
      <c r="R132" s="67" t="str">
        <f aca="false">IF($A132="","",IF(ROUND(N132,2)&lt;=0,"",AsOf-IF(N(Q132)&gt;0,Q132,IF(N(P132)&gt;0,P132,FYStart))))</f>
        <v/>
      </c>
      <c r="S132" s="60" t="str">
        <f aca="false">IF($A132="","",IF(AND(N($G132)&gt;0,N132&gt;N($G132)),"OVER LIMIT",IF(AND(N132&gt;0,N(R132)&gt;N($H132)),"OVERDUE",IF(ROUND(N132,2)&lt;0,"PAY DUE",""))))</f>
        <v/>
      </c>
    </row>
    <row r="133" customFormat="false" ht="15" hidden="false" customHeight="false" outlineLevel="0" collapsed="false">
      <c r="A133" s="56"/>
      <c r="B133" s="56"/>
      <c r="C133" s="56"/>
      <c r="D133" s="56"/>
      <c r="E133" s="56"/>
      <c r="F133" s="56"/>
      <c r="G133" s="68"/>
      <c r="H133" s="69"/>
      <c r="I133" s="58"/>
      <c r="J133" s="61" t="str">
        <f aca="false">IF($A133="","",SUMIFS(Sales!$Q$5:INDEX(Sales!$Q$5:$Q$3004,TxRows),Sales!$C$5:INDEX(Sales!$C$5:$C$3004,TxRows),$A133)-SUMIFS(Sales!$X$5:INDEX(Sales!$X$5:$X$3004,TxRows),Sales!$C$5:INDEX(Sales!$C$5:$C$3004,TxRows),$A133))</f>
        <v/>
      </c>
      <c r="K133" s="61" t="str">
        <f aca="false">IF($A133="","",SUMIFS(CashBook!$G$5:INDEX(CashBook!$G$5:$G$3004,TxRows),CashBook!$D$5:INDEX(CashBook!$D$5:$D$3004,TxRows),$A133,CashBook!$C$5:INDEX(CashBook!$C$5:$C$3004,TxRows),"Receipt"))</f>
        <v/>
      </c>
      <c r="L133" s="61" t="str">
        <f aca="false">IF($A133="","",SUMIFS(Purchases!$P$5:INDEX(Purchases!$P$5:$P$3004,TxRows),Purchases!$C$5:INDEX(Purchases!$C$5:$C$3004,TxRows),$A133)-SUMIFS(Purchases!$S$5:INDEX(Purchases!$S$5:$S$3004,TxRows),Purchases!$C$5:INDEX(Purchases!$C$5:$C$3004,TxRows),$A133))</f>
        <v/>
      </c>
      <c r="M133" s="61" t="str">
        <f aca="false">IF($A133="","",SUMIFS(CashBook!$G$5:INDEX(CashBook!$G$5:$G$3004,TxRows),CashBook!$D$5:INDEX(CashBook!$D$5:$D$3004,TxRows),$A133,CashBook!$C$5:INDEX(CashBook!$C$5:$C$3004,TxRows),"Payment"))</f>
        <v/>
      </c>
      <c r="N133" s="61" t="str">
        <f aca="false">IF($A133="","",N($I133)+J133-K133-L133+M133)</f>
        <v/>
      </c>
      <c r="O133" s="60" t="str">
        <f aca="false">IF($A133="","",IF(ROUND(N133,2)&gt;0,"Receivable",IF(ROUND(N133,2)&lt;0,"Payable","Settled")))</f>
        <v/>
      </c>
      <c r="P133" s="66" t="str">
        <f aca="false">IF($A133="","",IFERROR(SUMPRODUCT(MAX((Sales!$C$5:INDEX(Sales!$C$5:$C$3004,TxRows)=$A133)*Sales!$A$5:INDEX(Sales!$A$5:$A$3004,TxRows))),0))</f>
        <v/>
      </c>
      <c r="Q133" s="66" t="str">
        <f aca="false">IF($A133="","",IFERROR(SUMPRODUCT(MAX((CashBook!$D$5:INDEX(CashBook!$D$5:$D$3004,TxRows)=$A133)*(CashBook!$C$5:INDEX(CashBook!$C$5:$C$3004,TxRows)="Receipt")*CashBook!$A$5:INDEX(CashBook!$A$5:$A$3004,TxRows))),0))</f>
        <v/>
      </c>
      <c r="R133" s="67" t="str">
        <f aca="false">IF($A133="","",IF(ROUND(N133,2)&lt;=0,"",AsOf-IF(N(Q133)&gt;0,Q133,IF(N(P133)&gt;0,P133,FYStart))))</f>
        <v/>
      </c>
      <c r="S133" s="60" t="str">
        <f aca="false">IF($A133="","",IF(AND(N($G133)&gt;0,N133&gt;N($G133)),"OVER LIMIT",IF(AND(N133&gt;0,N(R133)&gt;N($H133)),"OVERDUE",IF(ROUND(N133,2)&lt;0,"PAY DUE",""))))</f>
        <v/>
      </c>
    </row>
    <row r="134" customFormat="false" ht="15" hidden="false" customHeight="false" outlineLevel="0" collapsed="false">
      <c r="A134" s="56"/>
      <c r="B134" s="56"/>
      <c r="C134" s="56"/>
      <c r="D134" s="56"/>
      <c r="E134" s="56"/>
      <c r="F134" s="56"/>
      <c r="G134" s="68"/>
      <c r="H134" s="69"/>
      <c r="I134" s="58"/>
      <c r="J134" s="61" t="str">
        <f aca="false">IF($A134="","",SUMIFS(Sales!$Q$5:INDEX(Sales!$Q$5:$Q$3004,TxRows),Sales!$C$5:INDEX(Sales!$C$5:$C$3004,TxRows),$A134)-SUMIFS(Sales!$X$5:INDEX(Sales!$X$5:$X$3004,TxRows),Sales!$C$5:INDEX(Sales!$C$5:$C$3004,TxRows),$A134))</f>
        <v/>
      </c>
      <c r="K134" s="61" t="str">
        <f aca="false">IF($A134="","",SUMIFS(CashBook!$G$5:INDEX(CashBook!$G$5:$G$3004,TxRows),CashBook!$D$5:INDEX(CashBook!$D$5:$D$3004,TxRows),$A134,CashBook!$C$5:INDEX(CashBook!$C$5:$C$3004,TxRows),"Receipt"))</f>
        <v/>
      </c>
      <c r="L134" s="61" t="str">
        <f aca="false">IF($A134="","",SUMIFS(Purchases!$P$5:INDEX(Purchases!$P$5:$P$3004,TxRows),Purchases!$C$5:INDEX(Purchases!$C$5:$C$3004,TxRows),$A134)-SUMIFS(Purchases!$S$5:INDEX(Purchases!$S$5:$S$3004,TxRows),Purchases!$C$5:INDEX(Purchases!$C$5:$C$3004,TxRows),$A134))</f>
        <v/>
      </c>
      <c r="M134" s="61" t="str">
        <f aca="false">IF($A134="","",SUMIFS(CashBook!$G$5:INDEX(CashBook!$G$5:$G$3004,TxRows),CashBook!$D$5:INDEX(CashBook!$D$5:$D$3004,TxRows),$A134,CashBook!$C$5:INDEX(CashBook!$C$5:$C$3004,TxRows),"Payment"))</f>
        <v/>
      </c>
      <c r="N134" s="61" t="str">
        <f aca="false">IF($A134="","",N($I134)+J134-K134-L134+M134)</f>
        <v/>
      </c>
      <c r="O134" s="60" t="str">
        <f aca="false">IF($A134="","",IF(ROUND(N134,2)&gt;0,"Receivable",IF(ROUND(N134,2)&lt;0,"Payable","Settled")))</f>
        <v/>
      </c>
      <c r="P134" s="66" t="str">
        <f aca="false">IF($A134="","",IFERROR(SUMPRODUCT(MAX((Sales!$C$5:INDEX(Sales!$C$5:$C$3004,TxRows)=$A134)*Sales!$A$5:INDEX(Sales!$A$5:$A$3004,TxRows))),0))</f>
        <v/>
      </c>
      <c r="Q134" s="66" t="str">
        <f aca="false">IF($A134="","",IFERROR(SUMPRODUCT(MAX((CashBook!$D$5:INDEX(CashBook!$D$5:$D$3004,TxRows)=$A134)*(CashBook!$C$5:INDEX(CashBook!$C$5:$C$3004,TxRows)="Receipt")*CashBook!$A$5:INDEX(CashBook!$A$5:$A$3004,TxRows))),0))</f>
        <v/>
      </c>
      <c r="R134" s="67" t="str">
        <f aca="false">IF($A134="","",IF(ROUND(N134,2)&lt;=0,"",AsOf-IF(N(Q134)&gt;0,Q134,IF(N(P134)&gt;0,P134,FYStart))))</f>
        <v/>
      </c>
      <c r="S134" s="60" t="str">
        <f aca="false">IF($A134="","",IF(AND(N($G134)&gt;0,N134&gt;N($G134)),"OVER LIMIT",IF(AND(N134&gt;0,N(R134)&gt;N($H134)),"OVERDUE",IF(ROUND(N134,2)&lt;0,"PAY DUE",""))))</f>
        <v/>
      </c>
    </row>
    <row r="135" customFormat="false" ht="15" hidden="false" customHeight="false" outlineLevel="0" collapsed="false">
      <c r="A135" s="56"/>
      <c r="B135" s="56"/>
      <c r="C135" s="56"/>
      <c r="D135" s="56"/>
      <c r="E135" s="56"/>
      <c r="F135" s="56"/>
      <c r="G135" s="68"/>
      <c r="H135" s="69"/>
      <c r="I135" s="58"/>
      <c r="J135" s="61" t="str">
        <f aca="false">IF($A135="","",SUMIFS(Sales!$Q$5:INDEX(Sales!$Q$5:$Q$3004,TxRows),Sales!$C$5:INDEX(Sales!$C$5:$C$3004,TxRows),$A135)-SUMIFS(Sales!$X$5:INDEX(Sales!$X$5:$X$3004,TxRows),Sales!$C$5:INDEX(Sales!$C$5:$C$3004,TxRows),$A135))</f>
        <v/>
      </c>
      <c r="K135" s="61" t="str">
        <f aca="false">IF($A135="","",SUMIFS(CashBook!$G$5:INDEX(CashBook!$G$5:$G$3004,TxRows),CashBook!$D$5:INDEX(CashBook!$D$5:$D$3004,TxRows),$A135,CashBook!$C$5:INDEX(CashBook!$C$5:$C$3004,TxRows),"Receipt"))</f>
        <v/>
      </c>
      <c r="L135" s="61" t="str">
        <f aca="false">IF($A135="","",SUMIFS(Purchases!$P$5:INDEX(Purchases!$P$5:$P$3004,TxRows),Purchases!$C$5:INDEX(Purchases!$C$5:$C$3004,TxRows),$A135)-SUMIFS(Purchases!$S$5:INDEX(Purchases!$S$5:$S$3004,TxRows),Purchases!$C$5:INDEX(Purchases!$C$5:$C$3004,TxRows),$A135))</f>
        <v/>
      </c>
      <c r="M135" s="61" t="str">
        <f aca="false">IF($A135="","",SUMIFS(CashBook!$G$5:INDEX(CashBook!$G$5:$G$3004,TxRows),CashBook!$D$5:INDEX(CashBook!$D$5:$D$3004,TxRows),$A135,CashBook!$C$5:INDEX(CashBook!$C$5:$C$3004,TxRows),"Payment"))</f>
        <v/>
      </c>
      <c r="N135" s="61" t="str">
        <f aca="false">IF($A135="","",N($I135)+J135-K135-L135+M135)</f>
        <v/>
      </c>
      <c r="O135" s="60" t="str">
        <f aca="false">IF($A135="","",IF(ROUND(N135,2)&gt;0,"Receivable",IF(ROUND(N135,2)&lt;0,"Payable","Settled")))</f>
        <v/>
      </c>
      <c r="P135" s="66" t="str">
        <f aca="false">IF($A135="","",IFERROR(SUMPRODUCT(MAX((Sales!$C$5:INDEX(Sales!$C$5:$C$3004,TxRows)=$A135)*Sales!$A$5:INDEX(Sales!$A$5:$A$3004,TxRows))),0))</f>
        <v/>
      </c>
      <c r="Q135" s="66" t="str">
        <f aca="false">IF($A135="","",IFERROR(SUMPRODUCT(MAX((CashBook!$D$5:INDEX(CashBook!$D$5:$D$3004,TxRows)=$A135)*(CashBook!$C$5:INDEX(CashBook!$C$5:$C$3004,TxRows)="Receipt")*CashBook!$A$5:INDEX(CashBook!$A$5:$A$3004,TxRows))),0))</f>
        <v/>
      </c>
      <c r="R135" s="67" t="str">
        <f aca="false">IF($A135="","",IF(ROUND(N135,2)&lt;=0,"",AsOf-IF(N(Q135)&gt;0,Q135,IF(N(P135)&gt;0,P135,FYStart))))</f>
        <v/>
      </c>
      <c r="S135" s="60" t="str">
        <f aca="false">IF($A135="","",IF(AND(N($G135)&gt;0,N135&gt;N($G135)),"OVER LIMIT",IF(AND(N135&gt;0,N(R135)&gt;N($H135)),"OVERDUE",IF(ROUND(N135,2)&lt;0,"PAY DUE",""))))</f>
        <v/>
      </c>
    </row>
    <row r="136" customFormat="false" ht="15" hidden="false" customHeight="false" outlineLevel="0" collapsed="false">
      <c r="A136" s="56"/>
      <c r="B136" s="56"/>
      <c r="C136" s="56"/>
      <c r="D136" s="56"/>
      <c r="E136" s="56"/>
      <c r="F136" s="56"/>
      <c r="G136" s="68"/>
      <c r="H136" s="69"/>
      <c r="I136" s="58"/>
      <c r="J136" s="61" t="str">
        <f aca="false">IF($A136="","",SUMIFS(Sales!$Q$5:INDEX(Sales!$Q$5:$Q$3004,TxRows),Sales!$C$5:INDEX(Sales!$C$5:$C$3004,TxRows),$A136)-SUMIFS(Sales!$X$5:INDEX(Sales!$X$5:$X$3004,TxRows),Sales!$C$5:INDEX(Sales!$C$5:$C$3004,TxRows),$A136))</f>
        <v/>
      </c>
      <c r="K136" s="61" t="str">
        <f aca="false">IF($A136="","",SUMIFS(CashBook!$G$5:INDEX(CashBook!$G$5:$G$3004,TxRows),CashBook!$D$5:INDEX(CashBook!$D$5:$D$3004,TxRows),$A136,CashBook!$C$5:INDEX(CashBook!$C$5:$C$3004,TxRows),"Receipt"))</f>
        <v/>
      </c>
      <c r="L136" s="61" t="str">
        <f aca="false">IF($A136="","",SUMIFS(Purchases!$P$5:INDEX(Purchases!$P$5:$P$3004,TxRows),Purchases!$C$5:INDEX(Purchases!$C$5:$C$3004,TxRows),$A136)-SUMIFS(Purchases!$S$5:INDEX(Purchases!$S$5:$S$3004,TxRows),Purchases!$C$5:INDEX(Purchases!$C$5:$C$3004,TxRows),$A136))</f>
        <v/>
      </c>
      <c r="M136" s="61" t="str">
        <f aca="false">IF($A136="","",SUMIFS(CashBook!$G$5:INDEX(CashBook!$G$5:$G$3004,TxRows),CashBook!$D$5:INDEX(CashBook!$D$5:$D$3004,TxRows),$A136,CashBook!$C$5:INDEX(CashBook!$C$5:$C$3004,TxRows),"Payment"))</f>
        <v/>
      </c>
      <c r="N136" s="61" t="str">
        <f aca="false">IF($A136="","",N($I136)+J136-K136-L136+M136)</f>
        <v/>
      </c>
      <c r="O136" s="60" t="str">
        <f aca="false">IF($A136="","",IF(ROUND(N136,2)&gt;0,"Receivable",IF(ROUND(N136,2)&lt;0,"Payable","Settled")))</f>
        <v/>
      </c>
      <c r="P136" s="66" t="str">
        <f aca="false">IF($A136="","",IFERROR(SUMPRODUCT(MAX((Sales!$C$5:INDEX(Sales!$C$5:$C$3004,TxRows)=$A136)*Sales!$A$5:INDEX(Sales!$A$5:$A$3004,TxRows))),0))</f>
        <v/>
      </c>
      <c r="Q136" s="66" t="str">
        <f aca="false">IF($A136="","",IFERROR(SUMPRODUCT(MAX((CashBook!$D$5:INDEX(CashBook!$D$5:$D$3004,TxRows)=$A136)*(CashBook!$C$5:INDEX(CashBook!$C$5:$C$3004,TxRows)="Receipt")*CashBook!$A$5:INDEX(CashBook!$A$5:$A$3004,TxRows))),0))</f>
        <v/>
      </c>
      <c r="R136" s="67" t="str">
        <f aca="false">IF($A136="","",IF(ROUND(N136,2)&lt;=0,"",AsOf-IF(N(Q136)&gt;0,Q136,IF(N(P136)&gt;0,P136,FYStart))))</f>
        <v/>
      </c>
      <c r="S136" s="60" t="str">
        <f aca="false">IF($A136="","",IF(AND(N($G136)&gt;0,N136&gt;N($G136)),"OVER LIMIT",IF(AND(N136&gt;0,N(R136)&gt;N($H136)),"OVERDUE",IF(ROUND(N136,2)&lt;0,"PAY DUE",""))))</f>
        <v/>
      </c>
    </row>
    <row r="137" customFormat="false" ht="15" hidden="false" customHeight="false" outlineLevel="0" collapsed="false">
      <c r="A137" s="56"/>
      <c r="B137" s="56"/>
      <c r="C137" s="56"/>
      <c r="D137" s="56"/>
      <c r="E137" s="56"/>
      <c r="F137" s="56"/>
      <c r="G137" s="68"/>
      <c r="H137" s="69"/>
      <c r="I137" s="58"/>
      <c r="J137" s="61" t="str">
        <f aca="false">IF($A137="","",SUMIFS(Sales!$Q$5:INDEX(Sales!$Q$5:$Q$3004,TxRows),Sales!$C$5:INDEX(Sales!$C$5:$C$3004,TxRows),$A137)-SUMIFS(Sales!$X$5:INDEX(Sales!$X$5:$X$3004,TxRows),Sales!$C$5:INDEX(Sales!$C$5:$C$3004,TxRows),$A137))</f>
        <v/>
      </c>
      <c r="K137" s="61" t="str">
        <f aca="false">IF($A137="","",SUMIFS(CashBook!$G$5:INDEX(CashBook!$G$5:$G$3004,TxRows),CashBook!$D$5:INDEX(CashBook!$D$5:$D$3004,TxRows),$A137,CashBook!$C$5:INDEX(CashBook!$C$5:$C$3004,TxRows),"Receipt"))</f>
        <v/>
      </c>
      <c r="L137" s="61" t="str">
        <f aca="false">IF($A137="","",SUMIFS(Purchases!$P$5:INDEX(Purchases!$P$5:$P$3004,TxRows),Purchases!$C$5:INDEX(Purchases!$C$5:$C$3004,TxRows),$A137)-SUMIFS(Purchases!$S$5:INDEX(Purchases!$S$5:$S$3004,TxRows),Purchases!$C$5:INDEX(Purchases!$C$5:$C$3004,TxRows),$A137))</f>
        <v/>
      </c>
      <c r="M137" s="61" t="str">
        <f aca="false">IF($A137="","",SUMIFS(CashBook!$G$5:INDEX(CashBook!$G$5:$G$3004,TxRows),CashBook!$D$5:INDEX(CashBook!$D$5:$D$3004,TxRows),$A137,CashBook!$C$5:INDEX(CashBook!$C$5:$C$3004,TxRows),"Payment"))</f>
        <v/>
      </c>
      <c r="N137" s="61" t="str">
        <f aca="false">IF($A137="","",N($I137)+J137-K137-L137+M137)</f>
        <v/>
      </c>
      <c r="O137" s="60" t="str">
        <f aca="false">IF($A137="","",IF(ROUND(N137,2)&gt;0,"Receivable",IF(ROUND(N137,2)&lt;0,"Payable","Settled")))</f>
        <v/>
      </c>
      <c r="P137" s="66" t="str">
        <f aca="false">IF($A137="","",IFERROR(SUMPRODUCT(MAX((Sales!$C$5:INDEX(Sales!$C$5:$C$3004,TxRows)=$A137)*Sales!$A$5:INDEX(Sales!$A$5:$A$3004,TxRows))),0))</f>
        <v/>
      </c>
      <c r="Q137" s="66" t="str">
        <f aca="false">IF($A137="","",IFERROR(SUMPRODUCT(MAX((CashBook!$D$5:INDEX(CashBook!$D$5:$D$3004,TxRows)=$A137)*(CashBook!$C$5:INDEX(CashBook!$C$5:$C$3004,TxRows)="Receipt")*CashBook!$A$5:INDEX(CashBook!$A$5:$A$3004,TxRows))),0))</f>
        <v/>
      </c>
      <c r="R137" s="67" t="str">
        <f aca="false">IF($A137="","",IF(ROUND(N137,2)&lt;=0,"",AsOf-IF(N(Q137)&gt;0,Q137,IF(N(P137)&gt;0,P137,FYStart))))</f>
        <v/>
      </c>
      <c r="S137" s="60" t="str">
        <f aca="false">IF($A137="","",IF(AND(N($G137)&gt;0,N137&gt;N($G137)),"OVER LIMIT",IF(AND(N137&gt;0,N(R137)&gt;N($H137)),"OVERDUE",IF(ROUND(N137,2)&lt;0,"PAY DUE",""))))</f>
        <v/>
      </c>
    </row>
    <row r="138" customFormat="false" ht="15" hidden="false" customHeight="false" outlineLevel="0" collapsed="false">
      <c r="A138" s="56"/>
      <c r="B138" s="56"/>
      <c r="C138" s="56"/>
      <c r="D138" s="56"/>
      <c r="E138" s="56"/>
      <c r="F138" s="56"/>
      <c r="G138" s="68"/>
      <c r="H138" s="69"/>
      <c r="I138" s="58"/>
      <c r="J138" s="61" t="str">
        <f aca="false">IF($A138="","",SUMIFS(Sales!$Q$5:INDEX(Sales!$Q$5:$Q$3004,TxRows),Sales!$C$5:INDEX(Sales!$C$5:$C$3004,TxRows),$A138)-SUMIFS(Sales!$X$5:INDEX(Sales!$X$5:$X$3004,TxRows),Sales!$C$5:INDEX(Sales!$C$5:$C$3004,TxRows),$A138))</f>
        <v/>
      </c>
      <c r="K138" s="61" t="str">
        <f aca="false">IF($A138="","",SUMIFS(CashBook!$G$5:INDEX(CashBook!$G$5:$G$3004,TxRows),CashBook!$D$5:INDEX(CashBook!$D$5:$D$3004,TxRows),$A138,CashBook!$C$5:INDEX(CashBook!$C$5:$C$3004,TxRows),"Receipt"))</f>
        <v/>
      </c>
      <c r="L138" s="61" t="str">
        <f aca="false">IF($A138="","",SUMIFS(Purchases!$P$5:INDEX(Purchases!$P$5:$P$3004,TxRows),Purchases!$C$5:INDEX(Purchases!$C$5:$C$3004,TxRows),$A138)-SUMIFS(Purchases!$S$5:INDEX(Purchases!$S$5:$S$3004,TxRows),Purchases!$C$5:INDEX(Purchases!$C$5:$C$3004,TxRows),$A138))</f>
        <v/>
      </c>
      <c r="M138" s="61" t="str">
        <f aca="false">IF($A138="","",SUMIFS(CashBook!$G$5:INDEX(CashBook!$G$5:$G$3004,TxRows),CashBook!$D$5:INDEX(CashBook!$D$5:$D$3004,TxRows),$A138,CashBook!$C$5:INDEX(CashBook!$C$5:$C$3004,TxRows),"Payment"))</f>
        <v/>
      </c>
      <c r="N138" s="61" t="str">
        <f aca="false">IF($A138="","",N($I138)+J138-K138-L138+M138)</f>
        <v/>
      </c>
      <c r="O138" s="60" t="str">
        <f aca="false">IF($A138="","",IF(ROUND(N138,2)&gt;0,"Receivable",IF(ROUND(N138,2)&lt;0,"Payable","Settled")))</f>
        <v/>
      </c>
      <c r="P138" s="66" t="str">
        <f aca="false">IF($A138="","",IFERROR(SUMPRODUCT(MAX((Sales!$C$5:INDEX(Sales!$C$5:$C$3004,TxRows)=$A138)*Sales!$A$5:INDEX(Sales!$A$5:$A$3004,TxRows))),0))</f>
        <v/>
      </c>
      <c r="Q138" s="66" t="str">
        <f aca="false">IF($A138="","",IFERROR(SUMPRODUCT(MAX((CashBook!$D$5:INDEX(CashBook!$D$5:$D$3004,TxRows)=$A138)*(CashBook!$C$5:INDEX(CashBook!$C$5:$C$3004,TxRows)="Receipt")*CashBook!$A$5:INDEX(CashBook!$A$5:$A$3004,TxRows))),0))</f>
        <v/>
      </c>
      <c r="R138" s="67" t="str">
        <f aca="false">IF($A138="","",IF(ROUND(N138,2)&lt;=0,"",AsOf-IF(N(Q138)&gt;0,Q138,IF(N(P138)&gt;0,P138,FYStart))))</f>
        <v/>
      </c>
      <c r="S138" s="60" t="str">
        <f aca="false">IF($A138="","",IF(AND(N($G138)&gt;0,N138&gt;N($G138)),"OVER LIMIT",IF(AND(N138&gt;0,N(R138)&gt;N($H138)),"OVERDUE",IF(ROUND(N138,2)&lt;0,"PAY DUE",""))))</f>
        <v/>
      </c>
    </row>
    <row r="139" customFormat="false" ht="15" hidden="false" customHeight="false" outlineLevel="0" collapsed="false">
      <c r="A139" s="56"/>
      <c r="B139" s="56"/>
      <c r="C139" s="56"/>
      <c r="D139" s="56"/>
      <c r="E139" s="56"/>
      <c r="F139" s="56"/>
      <c r="G139" s="68"/>
      <c r="H139" s="69"/>
      <c r="I139" s="58"/>
      <c r="J139" s="61" t="str">
        <f aca="false">IF($A139="","",SUMIFS(Sales!$Q$5:INDEX(Sales!$Q$5:$Q$3004,TxRows),Sales!$C$5:INDEX(Sales!$C$5:$C$3004,TxRows),$A139)-SUMIFS(Sales!$X$5:INDEX(Sales!$X$5:$X$3004,TxRows),Sales!$C$5:INDEX(Sales!$C$5:$C$3004,TxRows),$A139))</f>
        <v/>
      </c>
      <c r="K139" s="61" t="str">
        <f aca="false">IF($A139="","",SUMIFS(CashBook!$G$5:INDEX(CashBook!$G$5:$G$3004,TxRows),CashBook!$D$5:INDEX(CashBook!$D$5:$D$3004,TxRows),$A139,CashBook!$C$5:INDEX(CashBook!$C$5:$C$3004,TxRows),"Receipt"))</f>
        <v/>
      </c>
      <c r="L139" s="61" t="str">
        <f aca="false">IF($A139="","",SUMIFS(Purchases!$P$5:INDEX(Purchases!$P$5:$P$3004,TxRows),Purchases!$C$5:INDEX(Purchases!$C$5:$C$3004,TxRows),$A139)-SUMIFS(Purchases!$S$5:INDEX(Purchases!$S$5:$S$3004,TxRows),Purchases!$C$5:INDEX(Purchases!$C$5:$C$3004,TxRows),$A139))</f>
        <v/>
      </c>
      <c r="M139" s="61" t="str">
        <f aca="false">IF($A139="","",SUMIFS(CashBook!$G$5:INDEX(CashBook!$G$5:$G$3004,TxRows),CashBook!$D$5:INDEX(CashBook!$D$5:$D$3004,TxRows),$A139,CashBook!$C$5:INDEX(CashBook!$C$5:$C$3004,TxRows),"Payment"))</f>
        <v/>
      </c>
      <c r="N139" s="61" t="str">
        <f aca="false">IF($A139="","",N($I139)+J139-K139-L139+M139)</f>
        <v/>
      </c>
      <c r="O139" s="60" t="str">
        <f aca="false">IF($A139="","",IF(ROUND(N139,2)&gt;0,"Receivable",IF(ROUND(N139,2)&lt;0,"Payable","Settled")))</f>
        <v/>
      </c>
      <c r="P139" s="66" t="str">
        <f aca="false">IF($A139="","",IFERROR(SUMPRODUCT(MAX((Sales!$C$5:INDEX(Sales!$C$5:$C$3004,TxRows)=$A139)*Sales!$A$5:INDEX(Sales!$A$5:$A$3004,TxRows))),0))</f>
        <v/>
      </c>
      <c r="Q139" s="66" t="str">
        <f aca="false">IF($A139="","",IFERROR(SUMPRODUCT(MAX((CashBook!$D$5:INDEX(CashBook!$D$5:$D$3004,TxRows)=$A139)*(CashBook!$C$5:INDEX(CashBook!$C$5:$C$3004,TxRows)="Receipt")*CashBook!$A$5:INDEX(CashBook!$A$5:$A$3004,TxRows))),0))</f>
        <v/>
      </c>
      <c r="R139" s="67" t="str">
        <f aca="false">IF($A139="","",IF(ROUND(N139,2)&lt;=0,"",AsOf-IF(N(Q139)&gt;0,Q139,IF(N(P139)&gt;0,P139,FYStart))))</f>
        <v/>
      </c>
      <c r="S139" s="60" t="str">
        <f aca="false">IF($A139="","",IF(AND(N($G139)&gt;0,N139&gt;N($G139)),"OVER LIMIT",IF(AND(N139&gt;0,N(R139)&gt;N($H139)),"OVERDUE",IF(ROUND(N139,2)&lt;0,"PAY DUE",""))))</f>
        <v/>
      </c>
    </row>
    <row r="140" customFormat="false" ht="15" hidden="false" customHeight="false" outlineLevel="0" collapsed="false">
      <c r="A140" s="56"/>
      <c r="B140" s="56"/>
      <c r="C140" s="56"/>
      <c r="D140" s="56"/>
      <c r="E140" s="56"/>
      <c r="F140" s="56"/>
      <c r="G140" s="68"/>
      <c r="H140" s="69"/>
      <c r="I140" s="58"/>
      <c r="J140" s="61" t="str">
        <f aca="false">IF($A140="","",SUMIFS(Sales!$Q$5:INDEX(Sales!$Q$5:$Q$3004,TxRows),Sales!$C$5:INDEX(Sales!$C$5:$C$3004,TxRows),$A140)-SUMIFS(Sales!$X$5:INDEX(Sales!$X$5:$X$3004,TxRows),Sales!$C$5:INDEX(Sales!$C$5:$C$3004,TxRows),$A140))</f>
        <v/>
      </c>
      <c r="K140" s="61" t="str">
        <f aca="false">IF($A140="","",SUMIFS(CashBook!$G$5:INDEX(CashBook!$G$5:$G$3004,TxRows),CashBook!$D$5:INDEX(CashBook!$D$5:$D$3004,TxRows),$A140,CashBook!$C$5:INDEX(CashBook!$C$5:$C$3004,TxRows),"Receipt"))</f>
        <v/>
      </c>
      <c r="L140" s="61" t="str">
        <f aca="false">IF($A140="","",SUMIFS(Purchases!$P$5:INDEX(Purchases!$P$5:$P$3004,TxRows),Purchases!$C$5:INDEX(Purchases!$C$5:$C$3004,TxRows),$A140)-SUMIFS(Purchases!$S$5:INDEX(Purchases!$S$5:$S$3004,TxRows),Purchases!$C$5:INDEX(Purchases!$C$5:$C$3004,TxRows),$A140))</f>
        <v/>
      </c>
      <c r="M140" s="61" t="str">
        <f aca="false">IF($A140="","",SUMIFS(CashBook!$G$5:INDEX(CashBook!$G$5:$G$3004,TxRows),CashBook!$D$5:INDEX(CashBook!$D$5:$D$3004,TxRows),$A140,CashBook!$C$5:INDEX(CashBook!$C$5:$C$3004,TxRows),"Payment"))</f>
        <v/>
      </c>
      <c r="N140" s="61" t="str">
        <f aca="false">IF($A140="","",N($I140)+J140-K140-L140+M140)</f>
        <v/>
      </c>
      <c r="O140" s="60" t="str">
        <f aca="false">IF($A140="","",IF(ROUND(N140,2)&gt;0,"Receivable",IF(ROUND(N140,2)&lt;0,"Payable","Settled")))</f>
        <v/>
      </c>
      <c r="P140" s="66" t="str">
        <f aca="false">IF($A140="","",IFERROR(SUMPRODUCT(MAX((Sales!$C$5:INDEX(Sales!$C$5:$C$3004,TxRows)=$A140)*Sales!$A$5:INDEX(Sales!$A$5:$A$3004,TxRows))),0))</f>
        <v/>
      </c>
      <c r="Q140" s="66" t="str">
        <f aca="false">IF($A140="","",IFERROR(SUMPRODUCT(MAX((CashBook!$D$5:INDEX(CashBook!$D$5:$D$3004,TxRows)=$A140)*(CashBook!$C$5:INDEX(CashBook!$C$5:$C$3004,TxRows)="Receipt")*CashBook!$A$5:INDEX(CashBook!$A$5:$A$3004,TxRows))),0))</f>
        <v/>
      </c>
      <c r="R140" s="67" t="str">
        <f aca="false">IF($A140="","",IF(ROUND(N140,2)&lt;=0,"",AsOf-IF(N(Q140)&gt;0,Q140,IF(N(P140)&gt;0,P140,FYStart))))</f>
        <v/>
      </c>
      <c r="S140" s="60" t="str">
        <f aca="false">IF($A140="","",IF(AND(N($G140)&gt;0,N140&gt;N($G140)),"OVER LIMIT",IF(AND(N140&gt;0,N(R140)&gt;N($H140)),"OVERDUE",IF(ROUND(N140,2)&lt;0,"PAY DUE",""))))</f>
        <v/>
      </c>
    </row>
    <row r="141" customFormat="false" ht="15" hidden="false" customHeight="false" outlineLevel="0" collapsed="false">
      <c r="A141" s="56"/>
      <c r="B141" s="56"/>
      <c r="C141" s="56"/>
      <c r="D141" s="56"/>
      <c r="E141" s="56"/>
      <c r="F141" s="56"/>
      <c r="G141" s="68"/>
      <c r="H141" s="69"/>
      <c r="I141" s="58"/>
      <c r="J141" s="61" t="str">
        <f aca="false">IF($A141="","",SUMIFS(Sales!$Q$5:INDEX(Sales!$Q$5:$Q$3004,TxRows),Sales!$C$5:INDEX(Sales!$C$5:$C$3004,TxRows),$A141)-SUMIFS(Sales!$X$5:INDEX(Sales!$X$5:$X$3004,TxRows),Sales!$C$5:INDEX(Sales!$C$5:$C$3004,TxRows),$A141))</f>
        <v/>
      </c>
      <c r="K141" s="61" t="str">
        <f aca="false">IF($A141="","",SUMIFS(CashBook!$G$5:INDEX(CashBook!$G$5:$G$3004,TxRows),CashBook!$D$5:INDEX(CashBook!$D$5:$D$3004,TxRows),$A141,CashBook!$C$5:INDEX(CashBook!$C$5:$C$3004,TxRows),"Receipt"))</f>
        <v/>
      </c>
      <c r="L141" s="61" t="str">
        <f aca="false">IF($A141="","",SUMIFS(Purchases!$P$5:INDEX(Purchases!$P$5:$P$3004,TxRows),Purchases!$C$5:INDEX(Purchases!$C$5:$C$3004,TxRows),$A141)-SUMIFS(Purchases!$S$5:INDEX(Purchases!$S$5:$S$3004,TxRows),Purchases!$C$5:INDEX(Purchases!$C$5:$C$3004,TxRows),$A141))</f>
        <v/>
      </c>
      <c r="M141" s="61" t="str">
        <f aca="false">IF($A141="","",SUMIFS(CashBook!$G$5:INDEX(CashBook!$G$5:$G$3004,TxRows),CashBook!$D$5:INDEX(CashBook!$D$5:$D$3004,TxRows),$A141,CashBook!$C$5:INDEX(CashBook!$C$5:$C$3004,TxRows),"Payment"))</f>
        <v/>
      </c>
      <c r="N141" s="61" t="str">
        <f aca="false">IF($A141="","",N($I141)+J141-K141-L141+M141)</f>
        <v/>
      </c>
      <c r="O141" s="60" t="str">
        <f aca="false">IF($A141="","",IF(ROUND(N141,2)&gt;0,"Receivable",IF(ROUND(N141,2)&lt;0,"Payable","Settled")))</f>
        <v/>
      </c>
      <c r="P141" s="66" t="str">
        <f aca="false">IF($A141="","",IFERROR(SUMPRODUCT(MAX((Sales!$C$5:INDEX(Sales!$C$5:$C$3004,TxRows)=$A141)*Sales!$A$5:INDEX(Sales!$A$5:$A$3004,TxRows))),0))</f>
        <v/>
      </c>
      <c r="Q141" s="66" t="str">
        <f aca="false">IF($A141="","",IFERROR(SUMPRODUCT(MAX((CashBook!$D$5:INDEX(CashBook!$D$5:$D$3004,TxRows)=$A141)*(CashBook!$C$5:INDEX(CashBook!$C$5:$C$3004,TxRows)="Receipt")*CashBook!$A$5:INDEX(CashBook!$A$5:$A$3004,TxRows))),0))</f>
        <v/>
      </c>
      <c r="R141" s="67" t="str">
        <f aca="false">IF($A141="","",IF(ROUND(N141,2)&lt;=0,"",AsOf-IF(N(Q141)&gt;0,Q141,IF(N(P141)&gt;0,P141,FYStart))))</f>
        <v/>
      </c>
      <c r="S141" s="60" t="str">
        <f aca="false">IF($A141="","",IF(AND(N($G141)&gt;0,N141&gt;N($G141)),"OVER LIMIT",IF(AND(N141&gt;0,N(R141)&gt;N($H141)),"OVERDUE",IF(ROUND(N141,2)&lt;0,"PAY DUE",""))))</f>
        <v/>
      </c>
    </row>
    <row r="142" customFormat="false" ht="15" hidden="false" customHeight="false" outlineLevel="0" collapsed="false">
      <c r="A142" s="56"/>
      <c r="B142" s="56"/>
      <c r="C142" s="56"/>
      <c r="D142" s="56"/>
      <c r="E142" s="56"/>
      <c r="F142" s="56"/>
      <c r="G142" s="68"/>
      <c r="H142" s="69"/>
      <c r="I142" s="58"/>
      <c r="J142" s="61" t="str">
        <f aca="false">IF($A142="","",SUMIFS(Sales!$Q$5:INDEX(Sales!$Q$5:$Q$3004,TxRows),Sales!$C$5:INDEX(Sales!$C$5:$C$3004,TxRows),$A142)-SUMIFS(Sales!$X$5:INDEX(Sales!$X$5:$X$3004,TxRows),Sales!$C$5:INDEX(Sales!$C$5:$C$3004,TxRows),$A142))</f>
        <v/>
      </c>
      <c r="K142" s="61" t="str">
        <f aca="false">IF($A142="","",SUMIFS(CashBook!$G$5:INDEX(CashBook!$G$5:$G$3004,TxRows),CashBook!$D$5:INDEX(CashBook!$D$5:$D$3004,TxRows),$A142,CashBook!$C$5:INDEX(CashBook!$C$5:$C$3004,TxRows),"Receipt"))</f>
        <v/>
      </c>
      <c r="L142" s="61" t="str">
        <f aca="false">IF($A142="","",SUMIFS(Purchases!$P$5:INDEX(Purchases!$P$5:$P$3004,TxRows),Purchases!$C$5:INDEX(Purchases!$C$5:$C$3004,TxRows),$A142)-SUMIFS(Purchases!$S$5:INDEX(Purchases!$S$5:$S$3004,TxRows),Purchases!$C$5:INDEX(Purchases!$C$5:$C$3004,TxRows),$A142))</f>
        <v/>
      </c>
      <c r="M142" s="61" t="str">
        <f aca="false">IF($A142="","",SUMIFS(CashBook!$G$5:INDEX(CashBook!$G$5:$G$3004,TxRows),CashBook!$D$5:INDEX(CashBook!$D$5:$D$3004,TxRows),$A142,CashBook!$C$5:INDEX(CashBook!$C$5:$C$3004,TxRows),"Payment"))</f>
        <v/>
      </c>
      <c r="N142" s="61" t="str">
        <f aca="false">IF($A142="","",N($I142)+J142-K142-L142+M142)</f>
        <v/>
      </c>
      <c r="O142" s="60" t="str">
        <f aca="false">IF($A142="","",IF(ROUND(N142,2)&gt;0,"Receivable",IF(ROUND(N142,2)&lt;0,"Payable","Settled")))</f>
        <v/>
      </c>
      <c r="P142" s="66" t="str">
        <f aca="false">IF($A142="","",IFERROR(SUMPRODUCT(MAX((Sales!$C$5:INDEX(Sales!$C$5:$C$3004,TxRows)=$A142)*Sales!$A$5:INDEX(Sales!$A$5:$A$3004,TxRows))),0))</f>
        <v/>
      </c>
      <c r="Q142" s="66" t="str">
        <f aca="false">IF($A142="","",IFERROR(SUMPRODUCT(MAX((CashBook!$D$5:INDEX(CashBook!$D$5:$D$3004,TxRows)=$A142)*(CashBook!$C$5:INDEX(CashBook!$C$5:$C$3004,TxRows)="Receipt")*CashBook!$A$5:INDEX(CashBook!$A$5:$A$3004,TxRows))),0))</f>
        <v/>
      </c>
      <c r="R142" s="67" t="str">
        <f aca="false">IF($A142="","",IF(ROUND(N142,2)&lt;=0,"",AsOf-IF(N(Q142)&gt;0,Q142,IF(N(P142)&gt;0,P142,FYStart))))</f>
        <v/>
      </c>
      <c r="S142" s="60" t="str">
        <f aca="false">IF($A142="","",IF(AND(N($G142)&gt;0,N142&gt;N($G142)),"OVER LIMIT",IF(AND(N142&gt;0,N(R142)&gt;N($H142)),"OVERDUE",IF(ROUND(N142,2)&lt;0,"PAY DUE",""))))</f>
        <v/>
      </c>
    </row>
    <row r="143" customFormat="false" ht="15" hidden="false" customHeight="false" outlineLevel="0" collapsed="false">
      <c r="A143" s="56"/>
      <c r="B143" s="56"/>
      <c r="C143" s="56"/>
      <c r="D143" s="56"/>
      <c r="E143" s="56"/>
      <c r="F143" s="56"/>
      <c r="G143" s="68"/>
      <c r="H143" s="69"/>
      <c r="I143" s="58"/>
      <c r="J143" s="61" t="str">
        <f aca="false">IF($A143="","",SUMIFS(Sales!$Q$5:INDEX(Sales!$Q$5:$Q$3004,TxRows),Sales!$C$5:INDEX(Sales!$C$5:$C$3004,TxRows),$A143)-SUMIFS(Sales!$X$5:INDEX(Sales!$X$5:$X$3004,TxRows),Sales!$C$5:INDEX(Sales!$C$5:$C$3004,TxRows),$A143))</f>
        <v/>
      </c>
      <c r="K143" s="61" t="str">
        <f aca="false">IF($A143="","",SUMIFS(CashBook!$G$5:INDEX(CashBook!$G$5:$G$3004,TxRows),CashBook!$D$5:INDEX(CashBook!$D$5:$D$3004,TxRows),$A143,CashBook!$C$5:INDEX(CashBook!$C$5:$C$3004,TxRows),"Receipt"))</f>
        <v/>
      </c>
      <c r="L143" s="61" t="str">
        <f aca="false">IF($A143="","",SUMIFS(Purchases!$P$5:INDEX(Purchases!$P$5:$P$3004,TxRows),Purchases!$C$5:INDEX(Purchases!$C$5:$C$3004,TxRows),$A143)-SUMIFS(Purchases!$S$5:INDEX(Purchases!$S$5:$S$3004,TxRows),Purchases!$C$5:INDEX(Purchases!$C$5:$C$3004,TxRows),$A143))</f>
        <v/>
      </c>
      <c r="M143" s="61" t="str">
        <f aca="false">IF($A143="","",SUMIFS(CashBook!$G$5:INDEX(CashBook!$G$5:$G$3004,TxRows),CashBook!$D$5:INDEX(CashBook!$D$5:$D$3004,TxRows),$A143,CashBook!$C$5:INDEX(CashBook!$C$5:$C$3004,TxRows),"Payment"))</f>
        <v/>
      </c>
      <c r="N143" s="61" t="str">
        <f aca="false">IF($A143="","",N($I143)+J143-K143-L143+M143)</f>
        <v/>
      </c>
      <c r="O143" s="60" t="str">
        <f aca="false">IF($A143="","",IF(ROUND(N143,2)&gt;0,"Receivable",IF(ROUND(N143,2)&lt;0,"Payable","Settled")))</f>
        <v/>
      </c>
      <c r="P143" s="66" t="str">
        <f aca="false">IF($A143="","",IFERROR(SUMPRODUCT(MAX((Sales!$C$5:INDEX(Sales!$C$5:$C$3004,TxRows)=$A143)*Sales!$A$5:INDEX(Sales!$A$5:$A$3004,TxRows))),0))</f>
        <v/>
      </c>
      <c r="Q143" s="66" t="str">
        <f aca="false">IF($A143="","",IFERROR(SUMPRODUCT(MAX((CashBook!$D$5:INDEX(CashBook!$D$5:$D$3004,TxRows)=$A143)*(CashBook!$C$5:INDEX(CashBook!$C$5:$C$3004,TxRows)="Receipt")*CashBook!$A$5:INDEX(CashBook!$A$5:$A$3004,TxRows))),0))</f>
        <v/>
      </c>
      <c r="R143" s="67" t="str">
        <f aca="false">IF($A143="","",IF(ROUND(N143,2)&lt;=0,"",AsOf-IF(N(Q143)&gt;0,Q143,IF(N(P143)&gt;0,P143,FYStart))))</f>
        <v/>
      </c>
      <c r="S143" s="60" t="str">
        <f aca="false">IF($A143="","",IF(AND(N($G143)&gt;0,N143&gt;N($G143)),"OVER LIMIT",IF(AND(N143&gt;0,N(R143)&gt;N($H143)),"OVERDUE",IF(ROUND(N143,2)&lt;0,"PAY DUE",""))))</f>
        <v/>
      </c>
    </row>
    <row r="144" customFormat="false" ht="15" hidden="false" customHeight="false" outlineLevel="0" collapsed="false">
      <c r="A144" s="56"/>
      <c r="B144" s="56"/>
      <c r="C144" s="56"/>
      <c r="D144" s="56"/>
      <c r="E144" s="56"/>
      <c r="F144" s="56"/>
      <c r="G144" s="68"/>
      <c r="H144" s="69"/>
      <c r="I144" s="58"/>
      <c r="J144" s="61" t="str">
        <f aca="false">IF($A144="","",SUMIFS(Sales!$Q$5:INDEX(Sales!$Q$5:$Q$3004,TxRows),Sales!$C$5:INDEX(Sales!$C$5:$C$3004,TxRows),$A144)-SUMIFS(Sales!$X$5:INDEX(Sales!$X$5:$X$3004,TxRows),Sales!$C$5:INDEX(Sales!$C$5:$C$3004,TxRows),$A144))</f>
        <v/>
      </c>
      <c r="K144" s="61" t="str">
        <f aca="false">IF($A144="","",SUMIFS(CashBook!$G$5:INDEX(CashBook!$G$5:$G$3004,TxRows),CashBook!$D$5:INDEX(CashBook!$D$5:$D$3004,TxRows),$A144,CashBook!$C$5:INDEX(CashBook!$C$5:$C$3004,TxRows),"Receipt"))</f>
        <v/>
      </c>
      <c r="L144" s="61" t="str">
        <f aca="false">IF($A144="","",SUMIFS(Purchases!$P$5:INDEX(Purchases!$P$5:$P$3004,TxRows),Purchases!$C$5:INDEX(Purchases!$C$5:$C$3004,TxRows),$A144)-SUMIFS(Purchases!$S$5:INDEX(Purchases!$S$5:$S$3004,TxRows),Purchases!$C$5:INDEX(Purchases!$C$5:$C$3004,TxRows),$A144))</f>
        <v/>
      </c>
      <c r="M144" s="61" t="str">
        <f aca="false">IF($A144="","",SUMIFS(CashBook!$G$5:INDEX(CashBook!$G$5:$G$3004,TxRows),CashBook!$D$5:INDEX(CashBook!$D$5:$D$3004,TxRows),$A144,CashBook!$C$5:INDEX(CashBook!$C$5:$C$3004,TxRows),"Payment"))</f>
        <v/>
      </c>
      <c r="N144" s="61" t="str">
        <f aca="false">IF($A144="","",N($I144)+J144-K144-L144+M144)</f>
        <v/>
      </c>
      <c r="O144" s="60" t="str">
        <f aca="false">IF($A144="","",IF(ROUND(N144,2)&gt;0,"Receivable",IF(ROUND(N144,2)&lt;0,"Payable","Settled")))</f>
        <v/>
      </c>
      <c r="P144" s="66" t="str">
        <f aca="false">IF($A144="","",IFERROR(SUMPRODUCT(MAX((Sales!$C$5:INDEX(Sales!$C$5:$C$3004,TxRows)=$A144)*Sales!$A$5:INDEX(Sales!$A$5:$A$3004,TxRows))),0))</f>
        <v/>
      </c>
      <c r="Q144" s="66" t="str">
        <f aca="false">IF($A144="","",IFERROR(SUMPRODUCT(MAX((CashBook!$D$5:INDEX(CashBook!$D$5:$D$3004,TxRows)=$A144)*(CashBook!$C$5:INDEX(CashBook!$C$5:$C$3004,TxRows)="Receipt")*CashBook!$A$5:INDEX(CashBook!$A$5:$A$3004,TxRows))),0))</f>
        <v/>
      </c>
      <c r="R144" s="67" t="str">
        <f aca="false">IF($A144="","",IF(ROUND(N144,2)&lt;=0,"",AsOf-IF(N(Q144)&gt;0,Q144,IF(N(P144)&gt;0,P144,FYStart))))</f>
        <v/>
      </c>
      <c r="S144" s="60" t="str">
        <f aca="false">IF($A144="","",IF(AND(N($G144)&gt;0,N144&gt;N($G144)),"OVER LIMIT",IF(AND(N144&gt;0,N(R144)&gt;N($H144)),"OVERDUE",IF(ROUND(N144,2)&lt;0,"PAY DUE",""))))</f>
        <v/>
      </c>
    </row>
    <row r="145" customFormat="false" ht="15" hidden="false" customHeight="false" outlineLevel="0" collapsed="false">
      <c r="A145" s="56"/>
      <c r="B145" s="56"/>
      <c r="C145" s="56"/>
      <c r="D145" s="56"/>
      <c r="E145" s="56"/>
      <c r="F145" s="56"/>
      <c r="G145" s="68"/>
      <c r="H145" s="69"/>
      <c r="I145" s="58"/>
      <c r="J145" s="61" t="str">
        <f aca="false">IF($A145="","",SUMIFS(Sales!$Q$5:INDEX(Sales!$Q$5:$Q$3004,TxRows),Sales!$C$5:INDEX(Sales!$C$5:$C$3004,TxRows),$A145)-SUMIFS(Sales!$X$5:INDEX(Sales!$X$5:$X$3004,TxRows),Sales!$C$5:INDEX(Sales!$C$5:$C$3004,TxRows),$A145))</f>
        <v/>
      </c>
      <c r="K145" s="61" t="str">
        <f aca="false">IF($A145="","",SUMIFS(CashBook!$G$5:INDEX(CashBook!$G$5:$G$3004,TxRows),CashBook!$D$5:INDEX(CashBook!$D$5:$D$3004,TxRows),$A145,CashBook!$C$5:INDEX(CashBook!$C$5:$C$3004,TxRows),"Receipt"))</f>
        <v/>
      </c>
      <c r="L145" s="61" t="str">
        <f aca="false">IF($A145="","",SUMIFS(Purchases!$P$5:INDEX(Purchases!$P$5:$P$3004,TxRows),Purchases!$C$5:INDEX(Purchases!$C$5:$C$3004,TxRows),$A145)-SUMIFS(Purchases!$S$5:INDEX(Purchases!$S$5:$S$3004,TxRows),Purchases!$C$5:INDEX(Purchases!$C$5:$C$3004,TxRows),$A145))</f>
        <v/>
      </c>
      <c r="M145" s="61" t="str">
        <f aca="false">IF($A145="","",SUMIFS(CashBook!$G$5:INDEX(CashBook!$G$5:$G$3004,TxRows),CashBook!$D$5:INDEX(CashBook!$D$5:$D$3004,TxRows),$A145,CashBook!$C$5:INDEX(CashBook!$C$5:$C$3004,TxRows),"Payment"))</f>
        <v/>
      </c>
      <c r="N145" s="61" t="str">
        <f aca="false">IF($A145="","",N($I145)+J145-K145-L145+M145)</f>
        <v/>
      </c>
      <c r="O145" s="60" t="str">
        <f aca="false">IF($A145="","",IF(ROUND(N145,2)&gt;0,"Receivable",IF(ROUND(N145,2)&lt;0,"Payable","Settled")))</f>
        <v/>
      </c>
      <c r="P145" s="66" t="str">
        <f aca="false">IF($A145="","",IFERROR(SUMPRODUCT(MAX((Sales!$C$5:INDEX(Sales!$C$5:$C$3004,TxRows)=$A145)*Sales!$A$5:INDEX(Sales!$A$5:$A$3004,TxRows))),0))</f>
        <v/>
      </c>
      <c r="Q145" s="66" t="str">
        <f aca="false">IF($A145="","",IFERROR(SUMPRODUCT(MAX((CashBook!$D$5:INDEX(CashBook!$D$5:$D$3004,TxRows)=$A145)*(CashBook!$C$5:INDEX(CashBook!$C$5:$C$3004,TxRows)="Receipt")*CashBook!$A$5:INDEX(CashBook!$A$5:$A$3004,TxRows))),0))</f>
        <v/>
      </c>
      <c r="R145" s="67" t="str">
        <f aca="false">IF($A145="","",IF(ROUND(N145,2)&lt;=0,"",AsOf-IF(N(Q145)&gt;0,Q145,IF(N(P145)&gt;0,P145,FYStart))))</f>
        <v/>
      </c>
      <c r="S145" s="60" t="str">
        <f aca="false">IF($A145="","",IF(AND(N($G145)&gt;0,N145&gt;N($G145)),"OVER LIMIT",IF(AND(N145&gt;0,N(R145)&gt;N($H145)),"OVERDUE",IF(ROUND(N145,2)&lt;0,"PAY DUE",""))))</f>
        <v/>
      </c>
    </row>
    <row r="146" customFormat="false" ht="15" hidden="false" customHeight="false" outlineLevel="0" collapsed="false">
      <c r="A146" s="56"/>
      <c r="B146" s="56"/>
      <c r="C146" s="56"/>
      <c r="D146" s="56"/>
      <c r="E146" s="56"/>
      <c r="F146" s="56"/>
      <c r="G146" s="68"/>
      <c r="H146" s="69"/>
      <c r="I146" s="58"/>
      <c r="J146" s="61" t="str">
        <f aca="false">IF($A146="","",SUMIFS(Sales!$Q$5:INDEX(Sales!$Q$5:$Q$3004,TxRows),Sales!$C$5:INDEX(Sales!$C$5:$C$3004,TxRows),$A146)-SUMIFS(Sales!$X$5:INDEX(Sales!$X$5:$X$3004,TxRows),Sales!$C$5:INDEX(Sales!$C$5:$C$3004,TxRows),$A146))</f>
        <v/>
      </c>
      <c r="K146" s="61" t="str">
        <f aca="false">IF($A146="","",SUMIFS(CashBook!$G$5:INDEX(CashBook!$G$5:$G$3004,TxRows),CashBook!$D$5:INDEX(CashBook!$D$5:$D$3004,TxRows),$A146,CashBook!$C$5:INDEX(CashBook!$C$5:$C$3004,TxRows),"Receipt"))</f>
        <v/>
      </c>
      <c r="L146" s="61" t="str">
        <f aca="false">IF($A146="","",SUMIFS(Purchases!$P$5:INDEX(Purchases!$P$5:$P$3004,TxRows),Purchases!$C$5:INDEX(Purchases!$C$5:$C$3004,TxRows),$A146)-SUMIFS(Purchases!$S$5:INDEX(Purchases!$S$5:$S$3004,TxRows),Purchases!$C$5:INDEX(Purchases!$C$5:$C$3004,TxRows),$A146))</f>
        <v/>
      </c>
      <c r="M146" s="61" t="str">
        <f aca="false">IF($A146="","",SUMIFS(CashBook!$G$5:INDEX(CashBook!$G$5:$G$3004,TxRows),CashBook!$D$5:INDEX(CashBook!$D$5:$D$3004,TxRows),$A146,CashBook!$C$5:INDEX(CashBook!$C$5:$C$3004,TxRows),"Payment"))</f>
        <v/>
      </c>
      <c r="N146" s="61" t="str">
        <f aca="false">IF($A146="","",N($I146)+J146-K146-L146+M146)</f>
        <v/>
      </c>
      <c r="O146" s="60" t="str">
        <f aca="false">IF($A146="","",IF(ROUND(N146,2)&gt;0,"Receivable",IF(ROUND(N146,2)&lt;0,"Payable","Settled")))</f>
        <v/>
      </c>
      <c r="P146" s="66" t="str">
        <f aca="false">IF($A146="","",IFERROR(SUMPRODUCT(MAX((Sales!$C$5:INDEX(Sales!$C$5:$C$3004,TxRows)=$A146)*Sales!$A$5:INDEX(Sales!$A$5:$A$3004,TxRows))),0))</f>
        <v/>
      </c>
      <c r="Q146" s="66" t="str">
        <f aca="false">IF($A146="","",IFERROR(SUMPRODUCT(MAX((CashBook!$D$5:INDEX(CashBook!$D$5:$D$3004,TxRows)=$A146)*(CashBook!$C$5:INDEX(CashBook!$C$5:$C$3004,TxRows)="Receipt")*CashBook!$A$5:INDEX(CashBook!$A$5:$A$3004,TxRows))),0))</f>
        <v/>
      </c>
      <c r="R146" s="67" t="str">
        <f aca="false">IF($A146="","",IF(ROUND(N146,2)&lt;=0,"",AsOf-IF(N(Q146)&gt;0,Q146,IF(N(P146)&gt;0,P146,FYStart))))</f>
        <v/>
      </c>
      <c r="S146" s="60" t="str">
        <f aca="false">IF($A146="","",IF(AND(N($G146)&gt;0,N146&gt;N($G146)),"OVER LIMIT",IF(AND(N146&gt;0,N(R146)&gt;N($H146)),"OVERDUE",IF(ROUND(N146,2)&lt;0,"PAY DUE",""))))</f>
        <v/>
      </c>
    </row>
    <row r="147" customFormat="false" ht="15" hidden="false" customHeight="false" outlineLevel="0" collapsed="false">
      <c r="A147" s="56"/>
      <c r="B147" s="56"/>
      <c r="C147" s="56"/>
      <c r="D147" s="56"/>
      <c r="E147" s="56"/>
      <c r="F147" s="56"/>
      <c r="G147" s="68"/>
      <c r="H147" s="69"/>
      <c r="I147" s="58"/>
      <c r="J147" s="61" t="str">
        <f aca="false">IF($A147="","",SUMIFS(Sales!$Q$5:INDEX(Sales!$Q$5:$Q$3004,TxRows),Sales!$C$5:INDEX(Sales!$C$5:$C$3004,TxRows),$A147)-SUMIFS(Sales!$X$5:INDEX(Sales!$X$5:$X$3004,TxRows),Sales!$C$5:INDEX(Sales!$C$5:$C$3004,TxRows),$A147))</f>
        <v/>
      </c>
      <c r="K147" s="61" t="str">
        <f aca="false">IF($A147="","",SUMIFS(CashBook!$G$5:INDEX(CashBook!$G$5:$G$3004,TxRows),CashBook!$D$5:INDEX(CashBook!$D$5:$D$3004,TxRows),$A147,CashBook!$C$5:INDEX(CashBook!$C$5:$C$3004,TxRows),"Receipt"))</f>
        <v/>
      </c>
      <c r="L147" s="61" t="str">
        <f aca="false">IF($A147="","",SUMIFS(Purchases!$P$5:INDEX(Purchases!$P$5:$P$3004,TxRows),Purchases!$C$5:INDEX(Purchases!$C$5:$C$3004,TxRows),$A147)-SUMIFS(Purchases!$S$5:INDEX(Purchases!$S$5:$S$3004,TxRows),Purchases!$C$5:INDEX(Purchases!$C$5:$C$3004,TxRows),$A147))</f>
        <v/>
      </c>
      <c r="M147" s="61" t="str">
        <f aca="false">IF($A147="","",SUMIFS(CashBook!$G$5:INDEX(CashBook!$G$5:$G$3004,TxRows),CashBook!$D$5:INDEX(CashBook!$D$5:$D$3004,TxRows),$A147,CashBook!$C$5:INDEX(CashBook!$C$5:$C$3004,TxRows),"Payment"))</f>
        <v/>
      </c>
      <c r="N147" s="61" t="str">
        <f aca="false">IF($A147="","",N($I147)+J147-K147-L147+M147)</f>
        <v/>
      </c>
      <c r="O147" s="60" t="str">
        <f aca="false">IF($A147="","",IF(ROUND(N147,2)&gt;0,"Receivable",IF(ROUND(N147,2)&lt;0,"Payable","Settled")))</f>
        <v/>
      </c>
      <c r="P147" s="66" t="str">
        <f aca="false">IF($A147="","",IFERROR(SUMPRODUCT(MAX((Sales!$C$5:INDEX(Sales!$C$5:$C$3004,TxRows)=$A147)*Sales!$A$5:INDEX(Sales!$A$5:$A$3004,TxRows))),0))</f>
        <v/>
      </c>
      <c r="Q147" s="66" t="str">
        <f aca="false">IF($A147="","",IFERROR(SUMPRODUCT(MAX((CashBook!$D$5:INDEX(CashBook!$D$5:$D$3004,TxRows)=$A147)*(CashBook!$C$5:INDEX(CashBook!$C$5:$C$3004,TxRows)="Receipt")*CashBook!$A$5:INDEX(CashBook!$A$5:$A$3004,TxRows))),0))</f>
        <v/>
      </c>
      <c r="R147" s="67" t="str">
        <f aca="false">IF($A147="","",IF(ROUND(N147,2)&lt;=0,"",AsOf-IF(N(Q147)&gt;0,Q147,IF(N(P147)&gt;0,P147,FYStart))))</f>
        <v/>
      </c>
      <c r="S147" s="60" t="str">
        <f aca="false">IF($A147="","",IF(AND(N($G147)&gt;0,N147&gt;N($G147)),"OVER LIMIT",IF(AND(N147&gt;0,N(R147)&gt;N($H147)),"OVERDUE",IF(ROUND(N147,2)&lt;0,"PAY DUE",""))))</f>
        <v/>
      </c>
    </row>
    <row r="148" customFormat="false" ht="15" hidden="false" customHeight="false" outlineLevel="0" collapsed="false">
      <c r="A148" s="56"/>
      <c r="B148" s="56"/>
      <c r="C148" s="56"/>
      <c r="D148" s="56"/>
      <c r="E148" s="56"/>
      <c r="F148" s="56"/>
      <c r="G148" s="68"/>
      <c r="H148" s="69"/>
      <c r="I148" s="58"/>
      <c r="J148" s="61" t="str">
        <f aca="false">IF($A148="","",SUMIFS(Sales!$Q$5:INDEX(Sales!$Q$5:$Q$3004,TxRows),Sales!$C$5:INDEX(Sales!$C$5:$C$3004,TxRows),$A148)-SUMIFS(Sales!$X$5:INDEX(Sales!$X$5:$X$3004,TxRows),Sales!$C$5:INDEX(Sales!$C$5:$C$3004,TxRows),$A148))</f>
        <v/>
      </c>
      <c r="K148" s="61" t="str">
        <f aca="false">IF($A148="","",SUMIFS(CashBook!$G$5:INDEX(CashBook!$G$5:$G$3004,TxRows),CashBook!$D$5:INDEX(CashBook!$D$5:$D$3004,TxRows),$A148,CashBook!$C$5:INDEX(CashBook!$C$5:$C$3004,TxRows),"Receipt"))</f>
        <v/>
      </c>
      <c r="L148" s="61" t="str">
        <f aca="false">IF($A148="","",SUMIFS(Purchases!$P$5:INDEX(Purchases!$P$5:$P$3004,TxRows),Purchases!$C$5:INDEX(Purchases!$C$5:$C$3004,TxRows),$A148)-SUMIFS(Purchases!$S$5:INDEX(Purchases!$S$5:$S$3004,TxRows),Purchases!$C$5:INDEX(Purchases!$C$5:$C$3004,TxRows),$A148))</f>
        <v/>
      </c>
      <c r="M148" s="61" t="str">
        <f aca="false">IF($A148="","",SUMIFS(CashBook!$G$5:INDEX(CashBook!$G$5:$G$3004,TxRows),CashBook!$D$5:INDEX(CashBook!$D$5:$D$3004,TxRows),$A148,CashBook!$C$5:INDEX(CashBook!$C$5:$C$3004,TxRows),"Payment"))</f>
        <v/>
      </c>
      <c r="N148" s="61" t="str">
        <f aca="false">IF($A148="","",N($I148)+J148-K148-L148+M148)</f>
        <v/>
      </c>
      <c r="O148" s="60" t="str">
        <f aca="false">IF($A148="","",IF(ROUND(N148,2)&gt;0,"Receivable",IF(ROUND(N148,2)&lt;0,"Payable","Settled")))</f>
        <v/>
      </c>
      <c r="P148" s="66" t="str">
        <f aca="false">IF($A148="","",IFERROR(SUMPRODUCT(MAX((Sales!$C$5:INDEX(Sales!$C$5:$C$3004,TxRows)=$A148)*Sales!$A$5:INDEX(Sales!$A$5:$A$3004,TxRows))),0))</f>
        <v/>
      </c>
      <c r="Q148" s="66" t="str">
        <f aca="false">IF($A148="","",IFERROR(SUMPRODUCT(MAX((CashBook!$D$5:INDEX(CashBook!$D$5:$D$3004,TxRows)=$A148)*(CashBook!$C$5:INDEX(CashBook!$C$5:$C$3004,TxRows)="Receipt")*CashBook!$A$5:INDEX(CashBook!$A$5:$A$3004,TxRows))),0))</f>
        <v/>
      </c>
      <c r="R148" s="67" t="str">
        <f aca="false">IF($A148="","",IF(ROUND(N148,2)&lt;=0,"",AsOf-IF(N(Q148)&gt;0,Q148,IF(N(P148)&gt;0,P148,FYStart))))</f>
        <v/>
      </c>
      <c r="S148" s="60" t="str">
        <f aca="false">IF($A148="","",IF(AND(N($G148)&gt;0,N148&gt;N($G148)),"OVER LIMIT",IF(AND(N148&gt;0,N(R148)&gt;N($H148)),"OVERDUE",IF(ROUND(N148,2)&lt;0,"PAY DUE",""))))</f>
        <v/>
      </c>
    </row>
    <row r="149" customFormat="false" ht="15" hidden="false" customHeight="false" outlineLevel="0" collapsed="false">
      <c r="A149" s="56"/>
      <c r="B149" s="56"/>
      <c r="C149" s="56"/>
      <c r="D149" s="56"/>
      <c r="E149" s="56"/>
      <c r="F149" s="56"/>
      <c r="G149" s="68"/>
      <c r="H149" s="69"/>
      <c r="I149" s="58"/>
      <c r="J149" s="61" t="str">
        <f aca="false">IF($A149="","",SUMIFS(Sales!$Q$5:INDEX(Sales!$Q$5:$Q$3004,TxRows),Sales!$C$5:INDEX(Sales!$C$5:$C$3004,TxRows),$A149)-SUMIFS(Sales!$X$5:INDEX(Sales!$X$5:$X$3004,TxRows),Sales!$C$5:INDEX(Sales!$C$5:$C$3004,TxRows),$A149))</f>
        <v/>
      </c>
      <c r="K149" s="61" t="str">
        <f aca="false">IF($A149="","",SUMIFS(CashBook!$G$5:INDEX(CashBook!$G$5:$G$3004,TxRows),CashBook!$D$5:INDEX(CashBook!$D$5:$D$3004,TxRows),$A149,CashBook!$C$5:INDEX(CashBook!$C$5:$C$3004,TxRows),"Receipt"))</f>
        <v/>
      </c>
      <c r="L149" s="61" t="str">
        <f aca="false">IF($A149="","",SUMIFS(Purchases!$P$5:INDEX(Purchases!$P$5:$P$3004,TxRows),Purchases!$C$5:INDEX(Purchases!$C$5:$C$3004,TxRows),$A149)-SUMIFS(Purchases!$S$5:INDEX(Purchases!$S$5:$S$3004,TxRows),Purchases!$C$5:INDEX(Purchases!$C$5:$C$3004,TxRows),$A149))</f>
        <v/>
      </c>
      <c r="M149" s="61" t="str">
        <f aca="false">IF($A149="","",SUMIFS(CashBook!$G$5:INDEX(CashBook!$G$5:$G$3004,TxRows),CashBook!$D$5:INDEX(CashBook!$D$5:$D$3004,TxRows),$A149,CashBook!$C$5:INDEX(CashBook!$C$5:$C$3004,TxRows),"Payment"))</f>
        <v/>
      </c>
      <c r="N149" s="61" t="str">
        <f aca="false">IF($A149="","",N($I149)+J149-K149-L149+M149)</f>
        <v/>
      </c>
      <c r="O149" s="60" t="str">
        <f aca="false">IF($A149="","",IF(ROUND(N149,2)&gt;0,"Receivable",IF(ROUND(N149,2)&lt;0,"Payable","Settled")))</f>
        <v/>
      </c>
      <c r="P149" s="66" t="str">
        <f aca="false">IF($A149="","",IFERROR(SUMPRODUCT(MAX((Sales!$C$5:INDEX(Sales!$C$5:$C$3004,TxRows)=$A149)*Sales!$A$5:INDEX(Sales!$A$5:$A$3004,TxRows))),0))</f>
        <v/>
      </c>
      <c r="Q149" s="66" t="str">
        <f aca="false">IF($A149="","",IFERROR(SUMPRODUCT(MAX((CashBook!$D$5:INDEX(CashBook!$D$5:$D$3004,TxRows)=$A149)*(CashBook!$C$5:INDEX(CashBook!$C$5:$C$3004,TxRows)="Receipt")*CashBook!$A$5:INDEX(CashBook!$A$5:$A$3004,TxRows))),0))</f>
        <v/>
      </c>
      <c r="R149" s="67" t="str">
        <f aca="false">IF($A149="","",IF(ROUND(N149,2)&lt;=0,"",AsOf-IF(N(Q149)&gt;0,Q149,IF(N(P149)&gt;0,P149,FYStart))))</f>
        <v/>
      </c>
      <c r="S149" s="60" t="str">
        <f aca="false">IF($A149="","",IF(AND(N($G149)&gt;0,N149&gt;N($G149)),"OVER LIMIT",IF(AND(N149&gt;0,N(R149)&gt;N($H149)),"OVERDUE",IF(ROUND(N149,2)&lt;0,"PAY DUE",""))))</f>
        <v/>
      </c>
    </row>
    <row r="150" customFormat="false" ht="15" hidden="false" customHeight="false" outlineLevel="0" collapsed="false">
      <c r="A150" s="56"/>
      <c r="B150" s="56"/>
      <c r="C150" s="56"/>
      <c r="D150" s="56"/>
      <c r="E150" s="56"/>
      <c r="F150" s="56"/>
      <c r="G150" s="68"/>
      <c r="H150" s="69"/>
      <c r="I150" s="58"/>
      <c r="J150" s="61" t="str">
        <f aca="false">IF($A150="","",SUMIFS(Sales!$Q$5:INDEX(Sales!$Q$5:$Q$3004,TxRows),Sales!$C$5:INDEX(Sales!$C$5:$C$3004,TxRows),$A150)-SUMIFS(Sales!$X$5:INDEX(Sales!$X$5:$X$3004,TxRows),Sales!$C$5:INDEX(Sales!$C$5:$C$3004,TxRows),$A150))</f>
        <v/>
      </c>
      <c r="K150" s="61" t="str">
        <f aca="false">IF($A150="","",SUMIFS(CashBook!$G$5:INDEX(CashBook!$G$5:$G$3004,TxRows),CashBook!$D$5:INDEX(CashBook!$D$5:$D$3004,TxRows),$A150,CashBook!$C$5:INDEX(CashBook!$C$5:$C$3004,TxRows),"Receipt"))</f>
        <v/>
      </c>
      <c r="L150" s="61" t="str">
        <f aca="false">IF($A150="","",SUMIFS(Purchases!$P$5:INDEX(Purchases!$P$5:$P$3004,TxRows),Purchases!$C$5:INDEX(Purchases!$C$5:$C$3004,TxRows),$A150)-SUMIFS(Purchases!$S$5:INDEX(Purchases!$S$5:$S$3004,TxRows),Purchases!$C$5:INDEX(Purchases!$C$5:$C$3004,TxRows),$A150))</f>
        <v/>
      </c>
      <c r="M150" s="61" t="str">
        <f aca="false">IF($A150="","",SUMIFS(CashBook!$G$5:INDEX(CashBook!$G$5:$G$3004,TxRows),CashBook!$D$5:INDEX(CashBook!$D$5:$D$3004,TxRows),$A150,CashBook!$C$5:INDEX(CashBook!$C$5:$C$3004,TxRows),"Payment"))</f>
        <v/>
      </c>
      <c r="N150" s="61" t="str">
        <f aca="false">IF($A150="","",N($I150)+J150-K150-L150+M150)</f>
        <v/>
      </c>
      <c r="O150" s="60" t="str">
        <f aca="false">IF($A150="","",IF(ROUND(N150,2)&gt;0,"Receivable",IF(ROUND(N150,2)&lt;0,"Payable","Settled")))</f>
        <v/>
      </c>
      <c r="P150" s="66" t="str">
        <f aca="false">IF($A150="","",IFERROR(SUMPRODUCT(MAX((Sales!$C$5:INDEX(Sales!$C$5:$C$3004,TxRows)=$A150)*Sales!$A$5:INDEX(Sales!$A$5:$A$3004,TxRows))),0))</f>
        <v/>
      </c>
      <c r="Q150" s="66" t="str">
        <f aca="false">IF($A150="","",IFERROR(SUMPRODUCT(MAX((CashBook!$D$5:INDEX(CashBook!$D$5:$D$3004,TxRows)=$A150)*(CashBook!$C$5:INDEX(CashBook!$C$5:$C$3004,TxRows)="Receipt")*CashBook!$A$5:INDEX(CashBook!$A$5:$A$3004,TxRows))),0))</f>
        <v/>
      </c>
      <c r="R150" s="67" t="str">
        <f aca="false">IF($A150="","",IF(ROUND(N150,2)&lt;=0,"",AsOf-IF(N(Q150)&gt;0,Q150,IF(N(P150)&gt;0,P150,FYStart))))</f>
        <v/>
      </c>
      <c r="S150" s="60" t="str">
        <f aca="false">IF($A150="","",IF(AND(N($G150)&gt;0,N150&gt;N($G150)),"OVER LIMIT",IF(AND(N150&gt;0,N(R150)&gt;N($H150)),"OVERDUE",IF(ROUND(N150,2)&lt;0,"PAY DUE",""))))</f>
        <v/>
      </c>
    </row>
    <row r="151" customFormat="false" ht="15" hidden="false" customHeight="false" outlineLevel="0" collapsed="false">
      <c r="A151" s="56"/>
      <c r="B151" s="56"/>
      <c r="C151" s="56"/>
      <c r="D151" s="56"/>
      <c r="E151" s="56"/>
      <c r="F151" s="56"/>
      <c r="G151" s="68"/>
      <c r="H151" s="69"/>
      <c r="I151" s="58"/>
      <c r="J151" s="61" t="str">
        <f aca="false">IF($A151="","",SUMIFS(Sales!$Q$5:INDEX(Sales!$Q$5:$Q$3004,TxRows),Sales!$C$5:INDEX(Sales!$C$5:$C$3004,TxRows),$A151)-SUMIFS(Sales!$X$5:INDEX(Sales!$X$5:$X$3004,TxRows),Sales!$C$5:INDEX(Sales!$C$5:$C$3004,TxRows),$A151))</f>
        <v/>
      </c>
      <c r="K151" s="61" t="str">
        <f aca="false">IF($A151="","",SUMIFS(CashBook!$G$5:INDEX(CashBook!$G$5:$G$3004,TxRows),CashBook!$D$5:INDEX(CashBook!$D$5:$D$3004,TxRows),$A151,CashBook!$C$5:INDEX(CashBook!$C$5:$C$3004,TxRows),"Receipt"))</f>
        <v/>
      </c>
      <c r="L151" s="61" t="str">
        <f aca="false">IF($A151="","",SUMIFS(Purchases!$P$5:INDEX(Purchases!$P$5:$P$3004,TxRows),Purchases!$C$5:INDEX(Purchases!$C$5:$C$3004,TxRows),$A151)-SUMIFS(Purchases!$S$5:INDEX(Purchases!$S$5:$S$3004,TxRows),Purchases!$C$5:INDEX(Purchases!$C$5:$C$3004,TxRows),$A151))</f>
        <v/>
      </c>
      <c r="M151" s="61" t="str">
        <f aca="false">IF($A151="","",SUMIFS(CashBook!$G$5:INDEX(CashBook!$G$5:$G$3004,TxRows),CashBook!$D$5:INDEX(CashBook!$D$5:$D$3004,TxRows),$A151,CashBook!$C$5:INDEX(CashBook!$C$5:$C$3004,TxRows),"Payment"))</f>
        <v/>
      </c>
      <c r="N151" s="61" t="str">
        <f aca="false">IF($A151="","",N($I151)+J151-K151-L151+M151)</f>
        <v/>
      </c>
      <c r="O151" s="60" t="str">
        <f aca="false">IF($A151="","",IF(ROUND(N151,2)&gt;0,"Receivable",IF(ROUND(N151,2)&lt;0,"Payable","Settled")))</f>
        <v/>
      </c>
      <c r="P151" s="66" t="str">
        <f aca="false">IF($A151="","",IFERROR(SUMPRODUCT(MAX((Sales!$C$5:INDEX(Sales!$C$5:$C$3004,TxRows)=$A151)*Sales!$A$5:INDEX(Sales!$A$5:$A$3004,TxRows))),0))</f>
        <v/>
      </c>
      <c r="Q151" s="66" t="str">
        <f aca="false">IF($A151="","",IFERROR(SUMPRODUCT(MAX((CashBook!$D$5:INDEX(CashBook!$D$5:$D$3004,TxRows)=$A151)*(CashBook!$C$5:INDEX(CashBook!$C$5:$C$3004,TxRows)="Receipt")*CashBook!$A$5:INDEX(CashBook!$A$5:$A$3004,TxRows))),0))</f>
        <v/>
      </c>
      <c r="R151" s="67" t="str">
        <f aca="false">IF($A151="","",IF(ROUND(N151,2)&lt;=0,"",AsOf-IF(N(Q151)&gt;0,Q151,IF(N(P151)&gt;0,P151,FYStart))))</f>
        <v/>
      </c>
      <c r="S151" s="60" t="str">
        <f aca="false">IF($A151="","",IF(AND(N($G151)&gt;0,N151&gt;N($G151)),"OVER LIMIT",IF(AND(N151&gt;0,N(R151)&gt;N($H151)),"OVERDUE",IF(ROUND(N151,2)&lt;0,"PAY DUE",""))))</f>
        <v/>
      </c>
    </row>
    <row r="152" customFormat="false" ht="15" hidden="false" customHeight="false" outlineLevel="0" collapsed="false">
      <c r="A152" s="56"/>
      <c r="B152" s="56"/>
      <c r="C152" s="56"/>
      <c r="D152" s="56"/>
      <c r="E152" s="56"/>
      <c r="F152" s="56"/>
      <c r="G152" s="68"/>
      <c r="H152" s="69"/>
      <c r="I152" s="58"/>
      <c r="J152" s="61" t="str">
        <f aca="false">IF($A152="","",SUMIFS(Sales!$Q$5:INDEX(Sales!$Q$5:$Q$3004,TxRows),Sales!$C$5:INDEX(Sales!$C$5:$C$3004,TxRows),$A152)-SUMIFS(Sales!$X$5:INDEX(Sales!$X$5:$X$3004,TxRows),Sales!$C$5:INDEX(Sales!$C$5:$C$3004,TxRows),$A152))</f>
        <v/>
      </c>
      <c r="K152" s="61" t="str">
        <f aca="false">IF($A152="","",SUMIFS(CashBook!$G$5:INDEX(CashBook!$G$5:$G$3004,TxRows),CashBook!$D$5:INDEX(CashBook!$D$5:$D$3004,TxRows),$A152,CashBook!$C$5:INDEX(CashBook!$C$5:$C$3004,TxRows),"Receipt"))</f>
        <v/>
      </c>
      <c r="L152" s="61" t="str">
        <f aca="false">IF($A152="","",SUMIFS(Purchases!$P$5:INDEX(Purchases!$P$5:$P$3004,TxRows),Purchases!$C$5:INDEX(Purchases!$C$5:$C$3004,TxRows),$A152)-SUMIFS(Purchases!$S$5:INDEX(Purchases!$S$5:$S$3004,TxRows),Purchases!$C$5:INDEX(Purchases!$C$5:$C$3004,TxRows),$A152))</f>
        <v/>
      </c>
      <c r="M152" s="61" t="str">
        <f aca="false">IF($A152="","",SUMIFS(CashBook!$G$5:INDEX(CashBook!$G$5:$G$3004,TxRows),CashBook!$D$5:INDEX(CashBook!$D$5:$D$3004,TxRows),$A152,CashBook!$C$5:INDEX(CashBook!$C$5:$C$3004,TxRows),"Payment"))</f>
        <v/>
      </c>
      <c r="N152" s="61" t="str">
        <f aca="false">IF($A152="","",N($I152)+J152-K152-L152+M152)</f>
        <v/>
      </c>
      <c r="O152" s="60" t="str">
        <f aca="false">IF($A152="","",IF(ROUND(N152,2)&gt;0,"Receivable",IF(ROUND(N152,2)&lt;0,"Payable","Settled")))</f>
        <v/>
      </c>
      <c r="P152" s="66" t="str">
        <f aca="false">IF($A152="","",IFERROR(SUMPRODUCT(MAX((Sales!$C$5:INDEX(Sales!$C$5:$C$3004,TxRows)=$A152)*Sales!$A$5:INDEX(Sales!$A$5:$A$3004,TxRows))),0))</f>
        <v/>
      </c>
      <c r="Q152" s="66" t="str">
        <f aca="false">IF($A152="","",IFERROR(SUMPRODUCT(MAX((CashBook!$D$5:INDEX(CashBook!$D$5:$D$3004,TxRows)=$A152)*(CashBook!$C$5:INDEX(CashBook!$C$5:$C$3004,TxRows)="Receipt")*CashBook!$A$5:INDEX(CashBook!$A$5:$A$3004,TxRows))),0))</f>
        <v/>
      </c>
      <c r="R152" s="67" t="str">
        <f aca="false">IF($A152="","",IF(ROUND(N152,2)&lt;=0,"",AsOf-IF(N(Q152)&gt;0,Q152,IF(N(P152)&gt;0,P152,FYStart))))</f>
        <v/>
      </c>
      <c r="S152" s="60" t="str">
        <f aca="false">IF($A152="","",IF(AND(N($G152)&gt;0,N152&gt;N($G152)),"OVER LIMIT",IF(AND(N152&gt;0,N(R152)&gt;N($H152)),"OVERDUE",IF(ROUND(N152,2)&lt;0,"PAY DUE",""))))</f>
        <v/>
      </c>
    </row>
    <row r="153" customFormat="false" ht="15" hidden="false" customHeight="false" outlineLevel="0" collapsed="false">
      <c r="A153" s="56"/>
      <c r="B153" s="56"/>
      <c r="C153" s="56"/>
      <c r="D153" s="56"/>
      <c r="E153" s="56"/>
      <c r="F153" s="56"/>
      <c r="G153" s="68"/>
      <c r="H153" s="69"/>
      <c r="I153" s="58"/>
      <c r="J153" s="61" t="str">
        <f aca="false">IF($A153="","",SUMIFS(Sales!$Q$5:INDEX(Sales!$Q$5:$Q$3004,TxRows),Sales!$C$5:INDEX(Sales!$C$5:$C$3004,TxRows),$A153)-SUMIFS(Sales!$X$5:INDEX(Sales!$X$5:$X$3004,TxRows),Sales!$C$5:INDEX(Sales!$C$5:$C$3004,TxRows),$A153))</f>
        <v/>
      </c>
      <c r="K153" s="61" t="str">
        <f aca="false">IF($A153="","",SUMIFS(CashBook!$G$5:INDEX(CashBook!$G$5:$G$3004,TxRows),CashBook!$D$5:INDEX(CashBook!$D$5:$D$3004,TxRows),$A153,CashBook!$C$5:INDEX(CashBook!$C$5:$C$3004,TxRows),"Receipt"))</f>
        <v/>
      </c>
      <c r="L153" s="61" t="str">
        <f aca="false">IF($A153="","",SUMIFS(Purchases!$P$5:INDEX(Purchases!$P$5:$P$3004,TxRows),Purchases!$C$5:INDEX(Purchases!$C$5:$C$3004,TxRows),$A153)-SUMIFS(Purchases!$S$5:INDEX(Purchases!$S$5:$S$3004,TxRows),Purchases!$C$5:INDEX(Purchases!$C$5:$C$3004,TxRows),$A153))</f>
        <v/>
      </c>
      <c r="M153" s="61" t="str">
        <f aca="false">IF($A153="","",SUMIFS(CashBook!$G$5:INDEX(CashBook!$G$5:$G$3004,TxRows),CashBook!$D$5:INDEX(CashBook!$D$5:$D$3004,TxRows),$A153,CashBook!$C$5:INDEX(CashBook!$C$5:$C$3004,TxRows),"Payment"))</f>
        <v/>
      </c>
      <c r="N153" s="61" t="str">
        <f aca="false">IF($A153="","",N($I153)+J153-K153-L153+M153)</f>
        <v/>
      </c>
      <c r="O153" s="60" t="str">
        <f aca="false">IF($A153="","",IF(ROUND(N153,2)&gt;0,"Receivable",IF(ROUND(N153,2)&lt;0,"Payable","Settled")))</f>
        <v/>
      </c>
      <c r="P153" s="66" t="str">
        <f aca="false">IF($A153="","",IFERROR(SUMPRODUCT(MAX((Sales!$C$5:INDEX(Sales!$C$5:$C$3004,TxRows)=$A153)*Sales!$A$5:INDEX(Sales!$A$5:$A$3004,TxRows))),0))</f>
        <v/>
      </c>
      <c r="Q153" s="66" t="str">
        <f aca="false">IF($A153="","",IFERROR(SUMPRODUCT(MAX((CashBook!$D$5:INDEX(CashBook!$D$5:$D$3004,TxRows)=$A153)*(CashBook!$C$5:INDEX(CashBook!$C$5:$C$3004,TxRows)="Receipt")*CashBook!$A$5:INDEX(CashBook!$A$5:$A$3004,TxRows))),0))</f>
        <v/>
      </c>
      <c r="R153" s="67" t="str">
        <f aca="false">IF($A153="","",IF(ROUND(N153,2)&lt;=0,"",AsOf-IF(N(Q153)&gt;0,Q153,IF(N(P153)&gt;0,P153,FYStart))))</f>
        <v/>
      </c>
      <c r="S153" s="60" t="str">
        <f aca="false">IF($A153="","",IF(AND(N($G153)&gt;0,N153&gt;N($G153)),"OVER LIMIT",IF(AND(N153&gt;0,N(R153)&gt;N($H153)),"OVERDUE",IF(ROUND(N153,2)&lt;0,"PAY DUE",""))))</f>
        <v/>
      </c>
    </row>
    <row r="154" customFormat="false" ht="15" hidden="false" customHeight="false" outlineLevel="0" collapsed="false">
      <c r="A154" s="56"/>
      <c r="B154" s="56"/>
      <c r="C154" s="56"/>
      <c r="D154" s="56"/>
      <c r="E154" s="56"/>
      <c r="F154" s="56"/>
      <c r="G154" s="68"/>
      <c r="H154" s="69"/>
      <c r="I154" s="58"/>
      <c r="J154" s="61" t="str">
        <f aca="false">IF($A154="","",SUMIFS(Sales!$Q$5:INDEX(Sales!$Q$5:$Q$3004,TxRows),Sales!$C$5:INDEX(Sales!$C$5:$C$3004,TxRows),$A154)-SUMIFS(Sales!$X$5:INDEX(Sales!$X$5:$X$3004,TxRows),Sales!$C$5:INDEX(Sales!$C$5:$C$3004,TxRows),$A154))</f>
        <v/>
      </c>
      <c r="K154" s="61" t="str">
        <f aca="false">IF($A154="","",SUMIFS(CashBook!$G$5:INDEX(CashBook!$G$5:$G$3004,TxRows),CashBook!$D$5:INDEX(CashBook!$D$5:$D$3004,TxRows),$A154,CashBook!$C$5:INDEX(CashBook!$C$5:$C$3004,TxRows),"Receipt"))</f>
        <v/>
      </c>
      <c r="L154" s="61" t="str">
        <f aca="false">IF($A154="","",SUMIFS(Purchases!$P$5:INDEX(Purchases!$P$5:$P$3004,TxRows),Purchases!$C$5:INDEX(Purchases!$C$5:$C$3004,TxRows),$A154)-SUMIFS(Purchases!$S$5:INDEX(Purchases!$S$5:$S$3004,TxRows),Purchases!$C$5:INDEX(Purchases!$C$5:$C$3004,TxRows),$A154))</f>
        <v/>
      </c>
      <c r="M154" s="61" t="str">
        <f aca="false">IF($A154="","",SUMIFS(CashBook!$G$5:INDEX(CashBook!$G$5:$G$3004,TxRows),CashBook!$D$5:INDEX(CashBook!$D$5:$D$3004,TxRows),$A154,CashBook!$C$5:INDEX(CashBook!$C$5:$C$3004,TxRows),"Payment"))</f>
        <v/>
      </c>
      <c r="N154" s="61" t="str">
        <f aca="false">IF($A154="","",N($I154)+J154-K154-L154+M154)</f>
        <v/>
      </c>
      <c r="O154" s="60" t="str">
        <f aca="false">IF($A154="","",IF(ROUND(N154,2)&gt;0,"Receivable",IF(ROUND(N154,2)&lt;0,"Payable","Settled")))</f>
        <v/>
      </c>
      <c r="P154" s="66" t="str">
        <f aca="false">IF($A154="","",IFERROR(SUMPRODUCT(MAX((Sales!$C$5:INDEX(Sales!$C$5:$C$3004,TxRows)=$A154)*Sales!$A$5:INDEX(Sales!$A$5:$A$3004,TxRows))),0))</f>
        <v/>
      </c>
      <c r="Q154" s="66" t="str">
        <f aca="false">IF($A154="","",IFERROR(SUMPRODUCT(MAX((CashBook!$D$5:INDEX(CashBook!$D$5:$D$3004,TxRows)=$A154)*(CashBook!$C$5:INDEX(CashBook!$C$5:$C$3004,TxRows)="Receipt")*CashBook!$A$5:INDEX(CashBook!$A$5:$A$3004,TxRows))),0))</f>
        <v/>
      </c>
      <c r="R154" s="67" t="str">
        <f aca="false">IF($A154="","",IF(ROUND(N154,2)&lt;=0,"",AsOf-IF(N(Q154)&gt;0,Q154,IF(N(P154)&gt;0,P154,FYStart))))</f>
        <v/>
      </c>
      <c r="S154" s="60" t="str">
        <f aca="false">IF($A154="","",IF(AND(N($G154)&gt;0,N154&gt;N($G154)),"OVER LIMIT",IF(AND(N154&gt;0,N(R154)&gt;N($H154)),"OVERDUE",IF(ROUND(N154,2)&lt;0,"PAY DUE",""))))</f>
        <v/>
      </c>
    </row>
    <row r="155" customFormat="false" ht="15" hidden="false" customHeight="false" outlineLevel="0" collapsed="false">
      <c r="A155" s="56"/>
      <c r="B155" s="56"/>
      <c r="C155" s="56"/>
      <c r="D155" s="56"/>
      <c r="E155" s="56"/>
      <c r="F155" s="56"/>
      <c r="G155" s="68"/>
      <c r="H155" s="69"/>
      <c r="I155" s="58"/>
      <c r="J155" s="61" t="str">
        <f aca="false">IF($A155="","",SUMIFS(Sales!$Q$5:INDEX(Sales!$Q$5:$Q$3004,TxRows),Sales!$C$5:INDEX(Sales!$C$5:$C$3004,TxRows),$A155)-SUMIFS(Sales!$X$5:INDEX(Sales!$X$5:$X$3004,TxRows),Sales!$C$5:INDEX(Sales!$C$5:$C$3004,TxRows),$A155))</f>
        <v/>
      </c>
      <c r="K155" s="61" t="str">
        <f aca="false">IF($A155="","",SUMIFS(CashBook!$G$5:INDEX(CashBook!$G$5:$G$3004,TxRows),CashBook!$D$5:INDEX(CashBook!$D$5:$D$3004,TxRows),$A155,CashBook!$C$5:INDEX(CashBook!$C$5:$C$3004,TxRows),"Receipt"))</f>
        <v/>
      </c>
      <c r="L155" s="61" t="str">
        <f aca="false">IF($A155="","",SUMIFS(Purchases!$P$5:INDEX(Purchases!$P$5:$P$3004,TxRows),Purchases!$C$5:INDEX(Purchases!$C$5:$C$3004,TxRows),$A155)-SUMIFS(Purchases!$S$5:INDEX(Purchases!$S$5:$S$3004,TxRows),Purchases!$C$5:INDEX(Purchases!$C$5:$C$3004,TxRows),$A155))</f>
        <v/>
      </c>
      <c r="M155" s="61" t="str">
        <f aca="false">IF($A155="","",SUMIFS(CashBook!$G$5:INDEX(CashBook!$G$5:$G$3004,TxRows),CashBook!$D$5:INDEX(CashBook!$D$5:$D$3004,TxRows),$A155,CashBook!$C$5:INDEX(CashBook!$C$5:$C$3004,TxRows),"Payment"))</f>
        <v/>
      </c>
      <c r="N155" s="61" t="str">
        <f aca="false">IF($A155="","",N($I155)+J155-K155-L155+M155)</f>
        <v/>
      </c>
      <c r="O155" s="60" t="str">
        <f aca="false">IF($A155="","",IF(ROUND(N155,2)&gt;0,"Receivable",IF(ROUND(N155,2)&lt;0,"Payable","Settled")))</f>
        <v/>
      </c>
      <c r="P155" s="66" t="str">
        <f aca="false">IF($A155="","",IFERROR(SUMPRODUCT(MAX((Sales!$C$5:INDEX(Sales!$C$5:$C$3004,TxRows)=$A155)*Sales!$A$5:INDEX(Sales!$A$5:$A$3004,TxRows))),0))</f>
        <v/>
      </c>
      <c r="Q155" s="66" t="str">
        <f aca="false">IF($A155="","",IFERROR(SUMPRODUCT(MAX((CashBook!$D$5:INDEX(CashBook!$D$5:$D$3004,TxRows)=$A155)*(CashBook!$C$5:INDEX(CashBook!$C$5:$C$3004,TxRows)="Receipt")*CashBook!$A$5:INDEX(CashBook!$A$5:$A$3004,TxRows))),0))</f>
        <v/>
      </c>
      <c r="R155" s="67" t="str">
        <f aca="false">IF($A155="","",IF(ROUND(N155,2)&lt;=0,"",AsOf-IF(N(Q155)&gt;0,Q155,IF(N(P155)&gt;0,P155,FYStart))))</f>
        <v/>
      </c>
      <c r="S155" s="60" t="str">
        <f aca="false">IF($A155="","",IF(AND(N($G155)&gt;0,N155&gt;N($G155)),"OVER LIMIT",IF(AND(N155&gt;0,N(R155)&gt;N($H155)),"OVERDUE",IF(ROUND(N155,2)&lt;0,"PAY DUE",""))))</f>
        <v/>
      </c>
    </row>
    <row r="156" customFormat="false" ht="15" hidden="false" customHeight="false" outlineLevel="0" collapsed="false">
      <c r="A156" s="56"/>
      <c r="B156" s="56"/>
      <c r="C156" s="56"/>
      <c r="D156" s="56"/>
      <c r="E156" s="56"/>
      <c r="F156" s="56"/>
      <c r="G156" s="68"/>
      <c r="H156" s="69"/>
      <c r="I156" s="58"/>
      <c r="J156" s="61" t="str">
        <f aca="false">IF($A156="","",SUMIFS(Sales!$Q$5:INDEX(Sales!$Q$5:$Q$3004,TxRows),Sales!$C$5:INDEX(Sales!$C$5:$C$3004,TxRows),$A156)-SUMIFS(Sales!$X$5:INDEX(Sales!$X$5:$X$3004,TxRows),Sales!$C$5:INDEX(Sales!$C$5:$C$3004,TxRows),$A156))</f>
        <v/>
      </c>
      <c r="K156" s="61" t="str">
        <f aca="false">IF($A156="","",SUMIFS(CashBook!$G$5:INDEX(CashBook!$G$5:$G$3004,TxRows),CashBook!$D$5:INDEX(CashBook!$D$5:$D$3004,TxRows),$A156,CashBook!$C$5:INDEX(CashBook!$C$5:$C$3004,TxRows),"Receipt"))</f>
        <v/>
      </c>
      <c r="L156" s="61" t="str">
        <f aca="false">IF($A156="","",SUMIFS(Purchases!$P$5:INDEX(Purchases!$P$5:$P$3004,TxRows),Purchases!$C$5:INDEX(Purchases!$C$5:$C$3004,TxRows),$A156)-SUMIFS(Purchases!$S$5:INDEX(Purchases!$S$5:$S$3004,TxRows),Purchases!$C$5:INDEX(Purchases!$C$5:$C$3004,TxRows),$A156))</f>
        <v/>
      </c>
      <c r="M156" s="61" t="str">
        <f aca="false">IF($A156="","",SUMIFS(CashBook!$G$5:INDEX(CashBook!$G$5:$G$3004,TxRows),CashBook!$D$5:INDEX(CashBook!$D$5:$D$3004,TxRows),$A156,CashBook!$C$5:INDEX(CashBook!$C$5:$C$3004,TxRows),"Payment"))</f>
        <v/>
      </c>
      <c r="N156" s="61" t="str">
        <f aca="false">IF($A156="","",N($I156)+J156-K156-L156+M156)</f>
        <v/>
      </c>
      <c r="O156" s="60" t="str">
        <f aca="false">IF($A156="","",IF(ROUND(N156,2)&gt;0,"Receivable",IF(ROUND(N156,2)&lt;0,"Payable","Settled")))</f>
        <v/>
      </c>
      <c r="P156" s="66" t="str">
        <f aca="false">IF($A156="","",IFERROR(SUMPRODUCT(MAX((Sales!$C$5:INDEX(Sales!$C$5:$C$3004,TxRows)=$A156)*Sales!$A$5:INDEX(Sales!$A$5:$A$3004,TxRows))),0))</f>
        <v/>
      </c>
      <c r="Q156" s="66" t="str">
        <f aca="false">IF($A156="","",IFERROR(SUMPRODUCT(MAX((CashBook!$D$5:INDEX(CashBook!$D$5:$D$3004,TxRows)=$A156)*(CashBook!$C$5:INDEX(CashBook!$C$5:$C$3004,TxRows)="Receipt")*CashBook!$A$5:INDEX(CashBook!$A$5:$A$3004,TxRows))),0))</f>
        <v/>
      </c>
      <c r="R156" s="67" t="str">
        <f aca="false">IF($A156="","",IF(ROUND(N156,2)&lt;=0,"",AsOf-IF(N(Q156)&gt;0,Q156,IF(N(P156)&gt;0,P156,FYStart))))</f>
        <v/>
      </c>
      <c r="S156" s="60" t="str">
        <f aca="false">IF($A156="","",IF(AND(N($G156)&gt;0,N156&gt;N($G156)),"OVER LIMIT",IF(AND(N156&gt;0,N(R156)&gt;N($H156)),"OVERDUE",IF(ROUND(N156,2)&lt;0,"PAY DUE",""))))</f>
        <v/>
      </c>
    </row>
    <row r="157" customFormat="false" ht="15" hidden="false" customHeight="false" outlineLevel="0" collapsed="false">
      <c r="A157" s="56"/>
      <c r="B157" s="56"/>
      <c r="C157" s="56"/>
      <c r="D157" s="56"/>
      <c r="E157" s="56"/>
      <c r="F157" s="56"/>
      <c r="G157" s="68"/>
      <c r="H157" s="69"/>
      <c r="I157" s="58"/>
      <c r="J157" s="61" t="str">
        <f aca="false">IF($A157="","",SUMIFS(Sales!$Q$5:INDEX(Sales!$Q$5:$Q$3004,TxRows),Sales!$C$5:INDEX(Sales!$C$5:$C$3004,TxRows),$A157)-SUMIFS(Sales!$X$5:INDEX(Sales!$X$5:$X$3004,TxRows),Sales!$C$5:INDEX(Sales!$C$5:$C$3004,TxRows),$A157))</f>
        <v/>
      </c>
      <c r="K157" s="61" t="str">
        <f aca="false">IF($A157="","",SUMIFS(CashBook!$G$5:INDEX(CashBook!$G$5:$G$3004,TxRows),CashBook!$D$5:INDEX(CashBook!$D$5:$D$3004,TxRows),$A157,CashBook!$C$5:INDEX(CashBook!$C$5:$C$3004,TxRows),"Receipt"))</f>
        <v/>
      </c>
      <c r="L157" s="61" t="str">
        <f aca="false">IF($A157="","",SUMIFS(Purchases!$P$5:INDEX(Purchases!$P$5:$P$3004,TxRows),Purchases!$C$5:INDEX(Purchases!$C$5:$C$3004,TxRows),$A157)-SUMIFS(Purchases!$S$5:INDEX(Purchases!$S$5:$S$3004,TxRows),Purchases!$C$5:INDEX(Purchases!$C$5:$C$3004,TxRows),$A157))</f>
        <v/>
      </c>
      <c r="M157" s="61" t="str">
        <f aca="false">IF($A157="","",SUMIFS(CashBook!$G$5:INDEX(CashBook!$G$5:$G$3004,TxRows),CashBook!$D$5:INDEX(CashBook!$D$5:$D$3004,TxRows),$A157,CashBook!$C$5:INDEX(CashBook!$C$5:$C$3004,TxRows),"Payment"))</f>
        <v/>
      </c>
      <c r="N157" s="61" t="str">
        <f aca="false">IF($A157="","",N($I157)+J157-K157-L157+M157)</f>
        <v/>
      </c>
      <c r="O157" s="60" t="str">
        <f aca="false">IF($A157="","",IF(ROUND(N157,2)&gt;0,"Receivable",IF(ROUND(N157,2)&lt;0,"Payable","Settled")))</f>
        <v/>
      </c>
      <c r="P157" s="66" t="str">
        <f aca="false">IF($A157="","",IFERROR(SUMPRODUCT(MAX((Sales!$C$5:INDEX(Sales!$C$5:$C$3004,TxRows)=$A157)*Sales!$A$5:INDEX(Sales!$A$5:$A$3004,TxRows))),0))</f>
        <v/>
      </c>
      <c r="Q157" s="66" t="str">
        <f aca="false">IF($A157="","",IFERROR(SUMPRODUCT(MAX((CashBook!$D$5:INDEX(CashBook!$D$5:$D$3004,TxRows)=$A157)*(CashBook!$C$5:INDEX(CashBook!$C$5:$C$3004,TxRows)="Receipt")*CashBook!$A$5:INDEX(CashBook!$A$5:$A$3004,TxRows))),0))</f>
        <v/>
      </c>
      <c r="R157" s="67" t="str">
        <f aca="false">IF($A157="","",IF(ROUND(N157,2)&lt;=0,"",AsOf-IF(N(Q157)&gt;0,Q157,IF(N(P157)&gt;0,P157,FYStart))))</f>
        <v/>
      </c>
      <c r="S157" s="60" t="str">
        <f aca="false">IF($A157="","",IF(AND(N($G157)&gt;0,N157&gt;N($G157)),"OVER LIMIT",IF(AND(N157&gt;0,N(R157)&gt;N($H157)),"OVERDUE",IF(ROUND(N157,2)&lt;0,"PAY DUE",""))))</f>
        <v/>
      </c>
    </row>
    <row r="158" customFormat="false" ht="15" hidden="false" customHeight="false" outlineLevel="0" collapsed="false">
      <c r="A158" s="56"/>
      <c r="B158" s="56"/>
      <c r="C158" s="56"/>
      <c r="D158" s="56"/>
      <c r="E158" s="56"/>
      <c r="F158" s="56"/>
      <c r="G158" s="68"/>
      <c r="H158" s="69"/>
      <c r="I158" s="58"/>
      <c r="J158" s="61" t="str">
        <f aca="false">IF($A158="","",SUMIFS(Sales!$Q$5:INDEX(Sales!$Q$5:$Q$3004,TxRows),Sales!$C$5:INDEX(Sales!$C$5:$C$3004,TxRows),$A158)-SUMIFS(Sales!$X$5:INDEX(Sales!$X$5:$X$3004,TxRows),Sales!$C$5:INDEX(Sales!$C$5:$C$3004,TxRows),$A158))</f>
        <v/>
      </c>
      <c r="K158" s="61" t="str">
        <f aca="false">IF($A158="","",SUMIFS(CashBook!$G$5:INDEX(CashBook!$G$5:$G$3004,TxRows),CashBook!$D$5:INDEX(CashBook!$D$5:$D$3004,TxRows),$A158,CashBook!$C$5:INDEX(CashBook!$C$5:$C$3004,TxRows),"Receipt"))</f>
        <v/>
      </c>
      <c r="L158" s="61" t="str">
        <f aca="false">IF($A158="","",SUMIFS(Purchases!$P$5:INDEX(Purchases!$P$5:$P$3004,TxRows),Purchases!$C$5:INDEX(Purchases!$C$5:$C$3004,TxRows),$A158)-SUMIFS(Purchases!$S$5:INDEX(Purchases!$S$5:$S$3004,TxRows),Purchases!$C$5:INDEX(Purchases!$C$5:$C$3004,TxRows),$A158))</f>
        <v/>
      </c>
      <c r="M158" s="61" t="str">
        <f aca="false">IF($A158="","",SUMIFS(CashBook!$G$5:INDEX(CashBook!$G$5:$G$3004,TxRows),CashBook!$D$5:INDEX(CashBook!$D$5:$D$3004,TxRows),$A158,CashBook!$C$5:INDEX(CashBook!$C$5:$C$3004,TxRows),"Payment"))</f>
        <v/>
      </c>
      <c r="N158" s="61" t="str">
        <f aca="false">IF($A158="","",N($I158)+J158-K158-L158+M158)</f>
        <v/>
      </c>
      <c r="O158" s="60" t="str">
        <f aca="false">IF($A158="","",IF(ROUND(N158,2)&gt;0,"Receivable",IF(ROUND(N158,2)&lt;0,"Payable","Settled")))</f>
        <v/>
      </c>
      <c r="P158" s="66" t="str">
        <f aca="false">IF($A158="","",IFERROR(SUMPRODUCT(MAX((Sales!$C$5:INDEX(Sales!$C$5:$C$3004,TxRows)=$A158)*Sales!$A$5:INDEX(Sales!$A$5:$A$3004,TxRows))),0))</f>
        <v/>
      </c>
      <c r="Q158" s="66" t="str">
        <f aca="false">IF($A158="","",IFERROR(SUMPRODUCT(MAX((CashBook!$D$5:INDEX(CashBook!$D$5:$D$3004,TxRows)=$A158)*(CashBook!$C$5:INDEX(CashBook!$C$5:$C$3004,TxRows)="Receipt")*CashBook!$A$5:INDEX(CashBook!$A$5:$A$3004,TxRows))),0))</f>
        <v/>
      </c>
      <c r="R158" s="67" t="str">
        <f aca="false">IF($A158="","",IF(ROUND(N158,2)&lt;=0,"",AsOf-IF(N(Q158)&gt;0,Q158,IF(N(P158)&gt;0,P158,FYStart))))</f>
        <v/>
      </c>
      <c r="S158" s="60" t="str">
        <f aca="false">IF($A158="","",IF(AND(N($G158)&gt;0,N158&gt;N($G158)),"OVER LIMIT",IF(AND(N158&gt;0,N(R158)&gt;N($H158)),"OVERDUE",IF(ROUND(N158,2)&lt;0,"PAY DUE",""))))</f>
        <v/>
      </c>
    </row>
    <row r="159" customFormat="false" ht="15" hidden="false" customHeight="false" outlineLevel="0" collapsed="false">
      <c r="A159" s="56"/>
      <c r="B159" s="56"/>
      <c r="C159" s="56"/>
      <c r="D159" s="56"/>
      <c r="E159" s="56"/>
      <c r="F159" s="56"/>
      <c r="G159" s="68"/>
      <c r="H159" s="69"/>
      <c r="I159" s="58"/>
      <c r="J159" s="61" t="str">
        <f aca="false">IF($A159="","",SUMIFS(Sales!$Q$5:INDEX(Sales!$Q$5:$Q$3004,TxRows),Sales!$C$5:INDEX(Sales!$C$5:$C$3004,TxRows),$A159)-SUMIFS(Sales!$X$5:INDEX(Sales!$X$5:$X$3004,TxRows),Sales!$C$5:INDEX(Sales!$C$5:$C$3004,TxRows),$A159))</f>
        <v/>
      </c>
      <c r="K159" s="61" t="str">
        <f aca="false">IF($A159="","",SUMIFS(CashBook!$G$5:INDEX(CashBook!$G$5:$G$3004,TxRows),CashBook!$D$5:INDEX(CashBook!$D$5:$D$3004,TxRows),$A159,CashBook!$C$5:INDEX(CashBook!$C$5:$C$3004,TxRows),"Receipt"))</f>
        <v/>
      </c>
      <c r="L159" s="61" t="str">
        <f aca="false">IF($A159="","",SUMIFS(Purchases!$P$5:INDEX(Purchases!$P$5:$P$3004,TxRows),Purchases!$C$5:INDEX(Purchases!$C$5:$C$3004,TxRows),$A159)-SUMIFS(Purchases!$S$5:INDEX(Purchases!$S$5:$S$3004,TxRows),Purchases!$C$5:INDEX(Purchases!$C$5:$C$3004,TxRows),$A159))</f>
        <v/>
      </c>
      <c r="M159" s="61" t="str">
        <f aca="false">IF($A159="","",SUMIFS(CashBook!$G$5:INDEX(CashBook!$G$5:$G$3004,TxRows),CashBook!$D$5:INDEX(CashBook!$D$5:$D$3004,TxRows),$A159,CashBook!$C$5:INDEX(CashBook!$C$5:$C$3004,TxRows),"Payment"))</f>
        <v/>
      </c>
      <c r="N159" s="61" t="str">
        <f aca="false">IF($A159="","",N($I159)+J159-K159-L159+M159)</f>
        <v/>
      </c>
      <c r="O159" s="60" t="str">
        <f aca="false">IF($A159="","",IF(ROUND(N159,2)&gt;0,"Receivable",IF(ROUND(N159,2)&lt;0,"Payable","Settled")))</f>
        <v/>
      </c>
      <c r="P159" s="66" t="str">
        <f aca="false">IF($A159="","",IFERROR(SUMPRODUCT(MAX((Sales!$C$5:INDEX(Sales!$C$5:$C$3004,TxRows)=$A159)*Sales!$A$5:INDEX(Sales!$A$5:$A$3004,TxRows))),0))</f>
        <v/>
      </c>
      <c r="Q159" s="66" t="str">
        <f aca="false">IF($A159="","",IFERROR(SUMPRODUCT(MAX((CashBook!$D$5:INDEX(CashBook!$D$5:$D$3004,TxRows)=$A159)*(CashBook!$C$5:INDEX(CashBook!$C$5:$C$3004,TxRows)="Receipt")*CashBook!$A$5:INDEX(CashBook!$A$5:$A$3004,TxRows))),0))</f>
        <v/>
      </c>
      <c r="R159" s="67" t="str">
        <f aca="false">IF($A159="","",IF(ROUND(N159,2)&lt;=0,"",AsOf-IF(N(Q159)&gt;0,Q159,IF(N(P159)&gt;0,P159,FYStart))))</f>
        <v/>
      </c>
      <c r="S159" s="60" t="str">
        <f aca="false">IF($A159="","",IF(AND(N($G159)&gt;0,N159&gt;N($G159)),"OVER LIMIT",IF(AND(N159&gt;0,N(R159)&gt;N($H159)),"OVERDUE",IF(ROUND(N159,2)&lt;0,"PAY DUE",""))))</f>
        <v/>
      </c>
    </row>
    <row r="160" customFormat="false" ht="15" hidden="false" customHeight="false" outlineLevel="0" collapsed="false">
      <c r="A160" s="56"/>
      <c r="B160" s="56"/>
      <c r="C160" s="56"/>
      <c r="D160" s="56"/>
      <c r="E160" s="56"/>
      <c r="F160" s="56"/>
      <c r="G160" s="68"/>
      <c r="H160" s="69"/>
      <c r="I160" s="58"/>
      <c r="J160" s="61" t="str">
        <f aca="false">IF($A160="","",SUMIFS(Sales!$Q$5:INDEX(Sales!$Q$5:$Q$3004,TxRows),Sales!$C$5:INDEX(Sales!$C$5:$C$3004,TxRows),$A160)-SUMIFS(Sales!$X$5:INDEX(Sales!$X$5:$X$3004,TxRows),Sales!$C$5:INDEX(Sales!$C$5:$C$3004,TxRows),$A160))</f>
        <v/>
      </c>
      <c r="K160" s="61" t="str">
        <f aca="false">IF($A160="","",SUMIFS(CashBook!$G$5:INDEX(CashBook!$G$5:$G$3004,TxRows),CashBook!$D$5:INDEX(CashBook!$D$5:$D$3004,TxRows),$A160,CashBook!$C$5:INDEX(CashBook!$C$5:$C$3004,TxRows),"Receipt"))</f>
        <v/>
      </c>
      <c r="L160" s="61" t="str">
        <f aca="false">IF($A160="","",SUMIFS(Purchases!$P$5:INDEX(Purchases!$P$5:$P$3004,TxRows),Purchases!$C$5:INDEX(Purchases!$C$5:$C$3004,TxRows),$A160)-SUMIFS(Purchases!$S$5:INDEX(Purchases!$S$5:$S$3004,TxRows),Purchases!$C$5:INDEX(Purchases!$C$5:$C$3004,TxRows),$A160))</f>
        <v/>
      </c>
      <c r="M160" s="61" t="str">
        <f aca="false">IF($A160="","",SUMIFS(CashBook!$G$5:INDEX(CashBook!$G$5:$G$3004,TxRows),CashBook!$D$5:INDEX(CashBook!$D$5:$D$3004,TxRows),$A160,CashBook!$C$5:INDEX(CashBook!$C$5:$C$3004,TxRows),"Payment"))</f>
        <v/>
      </c>
      <c r="N160" s="61" t="str">
        <f aca="false">IF($A160="","",N($I160)+J160-K160-L160+M160)</f>
        <v/>
      </c>
      <c r="O160" s="60" t="str">
        <f aca="false">IF($A160="","",IF(ROUND(N160,2)&gt;0,"Receivable",IF(ROUND(N160,2)&lt;0,"Payable","Settled")))</f>
        <v/>
      </c>
      <c r="P160" s="66" t="str">
        <f aca="false">IF($A160="","",IFERROR(SUMPRODUCT(MAX((Sales!$C$5:INDEX(Sales!$C$5:$C$3004,TxRows)=$A160)*Sales!$A$5:INDEX(Sales!$A$5:$A$3004,TxRows))),0))</f>
        <v/>
      </c>
      <c r="Q160" s="66" t="str">
        <f aca="false">IF($A160="","",IFERROR(SUMPRODUCT(MAX((CashBook!$D$5:INDEX(CashBook!$D$5:$D$3004,TxRows)=$A160)*(CashBook!$C$5:INDEX(CashBook!$C$5:$C$3004,TxRows)="Receipt")*CashBook!$A$5:INDEX(CashBook!$A$5:$A$3004,TxRows))),0))</f>
        <v/>
      </c>
      <c r="R160" s="67" t="str">
        <f aca="false">IF($A160="","",IF(ROUND(N160,2)&lt;=0,"",AsOf-IF(N(Q160)&gt;0,Q160,IF(N(P160)&gt;0,P160,FYStart))))</f>
        <v/>
      </c>
      <c r="S160" s="60" t="str">
        <f aca="false">IF($A160="","",IF(AND(N($G160)&gt;0,N160&gt;N($G160)),"OVER LIMIT",IF(AND(N160&gt;0,N(R160)&gt;N($H160)),"OVERDUE",IF(ROUND(N160,2)&lt;0,"PAY DUE",""))))</f>
        <v/>
      </c>
    </row>
    <row r="161" customFormat="false" ht="15" hidden="false" customHeight="false" outlineLevel="0" collapsed="false">
      <c r="A161" s="56"/>
      <c r="B161" s="56"/>
      <c r="C161" s="56"/>
      <c r="D161" s="56"/>
      <c r="E161" s="56"/>
      <c r="F161" s="56"/>
      <c r="G161" s="68"/>
      <c r="H161" s="69"/>
      <c r="I161" s="58"/>
      <c r="J161" s="61" t="str">
        <f aca="false">IF($A161="","",SUMIFS(Sales!$Q$5:INDEX(Sales!$Q$5:$Q$3004,TxRows),Sales!$C$5:INDEX(Sales!$C$5:$C$3004,TxRows),$A161)-SUMIFS(Sales!$X$5:INDEX(Sales!$X$5:$X$3004,TxRows),Sales!$C$5:INDEX(Sales!$C$5:$C$3004,TxRows),$A161))</f>
        <v/>
      </c>
      <c r="K161" s="61" t="str">
        <f aca="false">IF($A161="","",SUMIFS(CashBook!$G$5:INDEX(CashBook!$G$5:$G$3004,TxRows),CashBook!$D$5:INDEX(CashBook!$D$5:$D$3004,TxRows),$A161,CashBook!$C$5:INDEX(CashBook!$C$5:$C$3004,TxRows),"Receipt"))</f>
        <v/>
      </c>
      <c r="L161" s="61" t="str">
        <f aca="false">IF($A161="","",SUMIFS(Purchases!$P$5:INDEX(Purchases!$P$5:$P$3004,TxRows),Purchases!$C$5:INDEX(Purchases!$C$5:$C$3004,TxRows),$A161)-SUMIFS(Purchases!$S$5:INDEX(Purchases!$S$5:$S$3004,TxRows),Purchases!$C$5:INDEX(Purchases!$C$5:$C$3004,TxRows),$A161))</f>
        <v/>
      </c>
      <c r="M161" s="61" t="str">
        <f aca="false">IF($A161="","",SUMIFS(CashBook!$G$5:INDEX(CashBook!$G$5:$G$3004,TxRows),CashBook!$D$5:INDEX(CashBook!$D$5:$D$3004,TxRows),$A161,CashBook!$C$5:INDEX(CashBook!$C$5:$C$3004,TxRows),"Payment"))</f>
        <v/>
      </c>
      <c r="N161" s="61" t="str">
        <f aca="false">IF($A161="","",N($I161)+J161-K161-L161+M161)</f>
        <v/>
      </c>
      <c r="O161" s="60" t="str">
        <f aca="false">IF($A161="","",IF(ROUND(N161,2)&gt;0,"Receivable",IF(ROUND(N161,2)&lt;0,"Payable","Settled")))</f>
        <v/>
      </c>
      <c r="P161" s="66" t="str">
        <f aca="false">IF($A161="","",IFERROR(SUMPRODUCT(MAX((Sales!$C$5:INDEX(Sales!$C$5:$C$3004,TxRows)=$A161)*Sales!$A$5:INDEX(Sales!$A$5:$A$3004,TxRows))),0))</f>
        <v/>
      </c>
      <c r="Q161" s="66" t="str">
        <f aca="false">IF($A161="","",IFERROR(SUMPRODUCT(MAX((CashBook!$D$5:INDEX(CashBook!$D$5:$D$3004,TxRows)=$A161)*(CashBook!$C$5:INDEX(CashBook!$C$5:$C$3004,TxRows)="Receipt")*CashBook!$A$5:INDEX(CashBook!$A$5:$A$3004,TxRows))),0))</f>
        <v/>
      </c>
      <c r="R161" s="67" t="str">
        <f aca="false">IF($A161="","",IF(ROUND(N161,2)&lt;=0,"",AsOf-IF(N(Q161)&gt;0,Q161,IF(N(P161)&gt;0,P161,FYStart))))</f>
        <v/>
      </c>
      <c r="S161" s="60" t="str">
        <f aca="false">IF($A161="","",IF(AND(N($G161)&gt;0,N161&gt;N($G161)),"OVER LIMIT",IF(AND(N161&gt;0,N(R161)&gt;N($H161)),"OVERDUE",IF(ROUND(N161,2)&lt;0,"PAY DUE",""))))</f>
        <v/>
      </c>
    </row>
    <row r="162" customFormat="false" ht="15" hidden="false" customHeight="false" outlineLevel="0" collapsed="false">
      <c r="A162" s="56"/>
      <c r="B162" s="56"/>
      <c r="C162" s="56"/>
      <c r="D162" s="56"/>
      <c r="E162" s="56"/>
      <c r="F162" s="56"/>
      <c r="G162" s="68"/>
      <c r="H162" s="69"/>
      <c r="I162" s="58"/>
      <c r="J162" s="61" t="str">
        <f aca="false">IF($A162="","",SUMIFS(Sales!$Q$5:INDEX(Sales!$Q$5:$Q$3004,TxRows),Sales!$C$5:INDEX(Sales!$C$5:$C$3004,TxRows),$A162)-SUMIFS(Sales!$X$5:INDEX(Sales!$X$5:$X$3004,TxRows),Sales!$C$5:INDEX(Sales!$C$5:$C$3004,TxRows),$A162))</f>
        <v/>
      </c>
      <c r="K162" s="61" t="str">
        <f aca="false">IF($A162="","",SUMIFS(CashBook!$G$5:INDEX(CashBook!$G$5:$G$3004,TxRows),CashBook!$D$5:INDEX(CashBook!$D$5:$D$3004,TxRows),$A162,CashBook!$C$5:INDEX(CashBook!$C$5:$C$3004,TxRows),"Receipt"))</f>
        <v/>
      </c>
      <c r="L162" s="61" t="str">
        <f aca="false">IF($A162="","",SUMIFS(Purchases!$P$5:INDEX(Purchases!$P$5:$P$3004,TxRows),Purchases!$C$5:INDEX(Purchases!$C$5:$C$3004,TxRows),$A162)-SUMIFS(Purchases!$S$5:INDEX(Purchases!$S$5:$S$3004,TxRows),Purchases!$C$5:INDEX(Purchases!$C$5:$C$3004,TxRows),$A162))</f>
        <v/>
      </c>
      <c r="M162" s="61" t="str">
        <f aca="false">IF($A162="","",SUMIFS(CashBook!$G$5:INDEX(CashBook!$G$5:$G$3004,TxRows),CashBook!$D$5:INDEX(CashBook!$D$5:$D$3004,TxRows),$A162,CashBook!$C$5:INDEX(CashBook!$C$5:$C$3004,TxRows),"Payment"))</f>
        <v/>
      </c>
      <c r="N162" s="61" t="str">
        <f aca="false">IF($A162="","",N($I162)+J162-K162-L162+M162)</f>
        <v/>
      </c>
      <c r="O162" s="60" t="str">
        <f aca="false">IF($A162="","",IF(ROUND(N162,2)&gt;0,"Receivable",IF(ROUND(N162,2)&lt;0,"Payable","Settled")))</f>
        <v/>
      </c>
      <c r="P162" s="66" t="str">
        <f aca="false">IF($A162="","",IFERROR(SUMPRODUCT(MAX((Sales!$C$5:INDEX(Sales!$C$5:$C$3004,TxRows)=$A162)*Sales!$A$5:INDEX(Sales!$A$5:$A$3004,TxRows))),0))</f>
        <v/>
      </c>
      <c r="Q162" s="66" t="str">
        <f aca="false">IF($A162="","",IFERROR(SUMPRODUCT(MAX((CashBook!$D$5:INDEX(CashBook!$D$5:$D$3004,TxRows)=$A162)*(CashBook!$C$5:INDEX(CashBook!$C$5:$C$3004,TxRows)="Receipt")*CashBook!$A$5:INDEX(CashBook!$A$5:$A$3004,TxRows))),0))</f>
        <v/>
      </c>
      <c r="R162" s="67" t="str">
        <f aca="false">IF($A162="","",IF(ROUND(N162,2)&lt;=0,"",AsOf-IF(N(Q162)&gt;0,Q162,IF(N(P162)&gt;0,P162,FYStart))))</f>
        <v/>
      </c>
      <c r="S162" s="60" t="str">
        <f aca="false">IF($A162="","",IF(AND(N($G162)&gt;0,N162&gt;N($G162)),"OVER LIMIT",IF(AND(N162&gt;0,N(R162)&gt;N($H162)),"OVERDUE",IF(ROUND(N162,2)&lt;0,"PAY DUE",""))))</f>
        <v/>
      </c>
    </row>
    <row r="163" customFormat="false" ht="15" hidden="false" customHeight="false" outlineLevel="0" collapsed="false">
      <c r="A163" s="56"/>
      <c r="B163" s="56"/>
      <c r="C163" s="56"/>
      <c r="D163" s="56"/>
      <c r="E163" s="56"/>
      <c r="F163" s="56"/>
      <c r="G163" s="68"/>
      <c r="H163" s="69"/>
      <c r="I163" s="58"/>
      <c r="J163" s="61" t="str">
        <f aca="false">IF($A163="","",SUMIFS(Sales!$Q$5:INDEX(Sales!$Q$5:$Q$3004,TxRows),Sales!$C$5:INDEX(Sales!$C$5:$C$3004,TxRows),$A163)-SUMIFS(Sales!$X$5:INDEX(Sales!$X$5:$X$3004,TxRows),Sales!$C$5:INDEX(Sales!$C$5:$C$3004,TxRows),$A163))</f>
        <v/>
      </c>
      <c r="K163" s="61" t="str">
        <f aca="false">IF($A163="","",SUMIFS(CashBook!$G$5:INDEX(CashBook!$G$5:$G$3004,TxRows),CashBook!$D$5:INDEX(CashBook!$D$5:$D$3004,TxRows),$A163,CashBook!$C$5:INDEX(CashBook!$C$5:$C$3004,TxRows),"Receipt"))</f>
        <v/>
      </c>
      <c r="L163" s="61" t="str">
        <f aca="false">IF($A163="","",SUMIFS(Purchases!$P$5:INDEX(Purchases!$P$5:$P$3004,TxRows),Purchases!$C$5:INDEX(Purchases!$C$5:$C$3004,TxRows),$A163)-SUMIFS(Purchases!$S$5:INDEX(Purchases!$S$5:$S$3004,TxRows),Purchases!$C$5:INDEX(Purchases!$C$5:$C$3004,TxRows),$A163))</f>
        <v/>
      </c>
      <c r="M163" s="61" t="str">
        <f aca="false">IF($A163="","",SUMIFS(CashBook!$G$5:INDEX(CashBook!$G$5:$G$3004,TxRows),CashBook!$D$5:INDEX(CashBook!$D$5:$D$3004,TxRows),$A163,CashBook!$C$5:INDEX(CashBook!$C$5:$C$3004,TxRows),"Payment"))</f>
        <v/>
      </c>
      <c r="N163" s="61" t="str">
        <f aca="false">IF($A163="","",N($I163)+J163-K163-L163+M163)</f>
        <v/>
      </c>
      <c r="O163" s="60" t="str">
        <f aca="false">IF($A163="","",IF(ROUND(N163,2)&gt;0,"Receivable",IF(ROUND(N163,2)&lt;0,"Payable","Settled")))</f>
        <v/>
      </c>
      <c r="P163" s="66" t="str">
        <f aca="false">IF($A163="","",IFERROR(SUMPRODUCT(MAX((Sales!$C$5:INDEX(Sales!$C$5:$C$3004,TxRows)=$A163)*Sales!$A$5:INDEX(Sales!$A$5:$A$3004,TxRows))),0))</f>
        <v/>
      </c>
      <c r="Q163" s="66" t="str">
        <f aca="false">IF($A163="","",IFERROR(SUMPRODUCT(MAX((CashBook!$D$5:INDEX(CashBook!$D$5:$D$3004,TxRows)=$A163)*(CashBook!$C$5:INDEX(CashBook!$C$5:$C$3004,TxRows)="Receipt")*CashBook!$A$5:INDEX(CashBook!$A$5:$A$3004,TxRows))),0))</f>
        <v/>
      </c>
      <c r="R163" s="67" t="str">
        <f aca="false">IF($A163="","",IF(ROUND(N163,2)&lt;=0,"",AsOf-IF(N(Q163)&gt;0,Q163,IF(N(P163)&gt;0,P163,FYStart))))</f>
        <v/>
      </c>
      <c r="S163" s="60" t="str">
        <f aca="false">IF($A163="","",IF(AND(N($G163)&gt;0,N163&gt;N($G163)),"OVER LIMIT",IF(AND(N163&gt;0,N(R163)&gt;N($H163)),"OVERDUE",IF(ROUND(N163,2)&lt;0,"PAY DUE",""))))</f>
        <v/>
      </c>
    </row>
    <row r="164" customFormat="false" ht="15" hidden="false" customHeight="false" outlineLevel="0" collapsed="false">
      <c r="A164" s="56"/>
      <c r="B164" s="56"/>
      <c r="C164" s="56"/>
      <c r="D164" s="56"/>
      <c r="E164" s="56"/>
      <c r="F164" s="56"/>
      <c r="G164" s="68"/>
      <c r="H164" s="69"/>
      <c r="I164" s="58"/>
      <c r="J164" s="61" t="str">
        <f aca="false">IF($A164="","",SUMIFS(Sales!$Q$5:INDEX(Sales!$Q$5:$Q$3004,TxRows),Sales!$C$5:INDEX(Sales!$C$5:$C$3004,TxRows),$A164)-SUMIFS(Sales!$X$5:INDEX(Sales!$X$5:$X$3004,TxRows),Sales!$C$5:INDEX(Sales!$C$5:$C$3004,TxRows),$A164))</f>
        <v/>
      </c>
      <c r="K164" s="61" t="str">
        <f aca="false">IF($A164="","",SUMIFS(CashBook!$G$5:INDEX(CashBook!$G$5:$G$3004,TxRows),CashBook!$D$5:INDEX(CashBook!$D$5:$D$3004,TxRows),$A164,CashBook!$C$5:INDEX(CashBook!$C$5:$C$3004,TxRows),"Receipt"))</f>
        <v/>
      </c>
      <c r="L164" s="61" t="str">
        <f aca="false">IF($A164="","",SUMIFS(Purchases!$P$5:INDEX(Purchases!$P$5:$P$3004,TxRows),Purchases!$C$5:INDEX(Purchases!$C$5:$C$3004,TxRows),$A164)-SUMIFS(Purchases!$S$5:INDEX(Purchases!$S$5:$S$3004,TxRows),Purchases!$C$5:INDEX(Purchases!$C$5:$C$3004,TxRows),$A164))</f>
        <v/>
      </c>
      <c r="M164" s="61" t="str">
        <f aca="false">IF($A164="","",SUMIFS(CashBook!$G$5:INDEX(CashBook!$G$5:$G$3004,TxRows),CashBook!$D$5:INDEX(CashBook!$D$5:$D$3004,TxRows),$A164,CashBook!$C$5:INDEX(CashBook!$C$5:$C$3004,TxRows),"Payment"))</f>
        <v/>
      </c>
      <c r="N164" s="61" t="str">
        <f aca="false">IF($A164="","",N($I164)+J164-K164-L164+M164)</f>
        <v/>
      </c>
      <c r="O164" s="60" t="str">
        <f aca="false">IF($A164="","",IF(ROUND(N164,2)&gt;0,"Receivable",IF(ROUND(N164,2)&lt;0,"Payable","Settled")))</f>
        <v/>
      </c>
      <c r="P164" s="66" t="str">
        <f aca="false">IF($A164="","",IFERROR(SUMPRODUCT(MAX((Sales!$C$5:INDEX(Sales!$C$5:$C$3004,TxRows)=$A164)*Sales!$A$5:INDEX(Sales!$A$5:$A$3004,TxRows))),0))</f>
        <v/>
      </c>
      <c r="Q164" s="66" t="str">
        <f aca="false">IF($A164="","",IFERROR(SUMPRODUCT(MAX((CashBook!$D$5:INDEX(CashBook!$D$5:$D$3004,TxRows)=$A164)*(CashBook!$C$5:INDEX(CashBook!$C$5:$C$3004,TxRows)="Receipt")*CashBook!$A$5:INDEX(CashBook!$A$5:$A$3004,TxRows))),0))</f>
        <v/>
      </c>
      <c r="R164" s="67" t="str">
        <f aca="false">IF($A164="","",IF(ROUND(N164,2)&lt;=0,"",AsOf-IF(N(Q164)&gt;0,Q164,IF(N(P164)&gt;0,P164,FYStart))))</f>
        <v/>
      </c>
      <c r="S164" s="60" t="str">
        <f aca="false">IF($A164="","",IF(AND(N($G164)&gt;0,N164&gt;N($G164)),"OVER LIMIT",IF(AND(N164&gt;0,N(R164)&gt;N($H164)),"OVERDUE",IF(ROUND(N164,2)&lt;0,"PAY DUE",""))))</f>
        <v/>
      </c>
    </row>
    <row r="165" customFormat="false" ht="15" hidden="false" customHeight="false" outlineLevel="0" collapsed="false">
      <c r="A165" s="56"/>
      <c r="B165" s="56"/>
      <c r="C165" s="56"/>
      <c r="D165" s="56"/>
      <c r="E165" s="56"/>
      <c r="F165" s="56"/>
      <c r="G165" s="68"/>
      <c r="H165" s="69"/>
      <c r="I165" s="58"/>
      <c r="J165" s="61" t="str">
        <f aca="false">IF($A165="","",SUMIFS(Sales!$Q$5:INDEX(Sales!$Q$5:$Q$3004,TxRows),Sales!$C$5:INDEX(Sales!$C$5:$C$3004,TxRows),$A165)-SUMIFS(Sales!$X$5:INDEX(Sales!$X$5:$X$3004,TxRows),Sales!$C$5:INDEX(Sales!$C$5:$C$3004,TxRows),$A165))</f>
        <v/>
      </c>
      <c r="K165" s="61" t="str">
        <f aca="false">IF($A165="","",SUMIFS(CashBook!$G$5:INDEX(CashBook!$G$5:$G$3004,TxRows),CashBook!$D$5:INDEX(CashBook!$D$5:$D$3004,TxRows),$A165,CashBook!$C$5:INDEX(CashBook!$C$5:$C$3004,TxRows),"Receipt"))</f>
        <v/>
      </c>
      <c r="L165" s="61" t="str">
        <f aca="false">IF($A165="","",SUMIFS(Purchases!$P$5:INDEX(Purchases!$P$5:$P$3004,TxRows),Purchases!$C$5:INDEX(Purchases!$C$5:$C$3004,TxRows),$A165)-SUMIFS(Purchases!$S$5:INDEX(Purchases!$S$5:$S$3004,TxRows),Purchases!$C$5:INDEX(Purchases!$C$5:$C$3004,TxRows),$A165))</f>
        <v/>
      </c>
      <c r="M165" s="61" t="str">
        <f aca="false">IF($A165="","",SUMIFS(CashBook!$G$5:INDEX(CashBook!$G$5:$G$3004,TxRows),CashBook!$D$5:INDEX(CashBook!$D$5:$D$3004,TxRows),$A165,CashBook!$C$5:INDEX(CashBook!$C$5:$C$3004,TxRows),"Payment"))</f>
        <v/>
      </c>
      <c r="N165" s="61" t="str">
        <f aca="false">IF($A165="","",N($I165)+J165-K165-L165+M165)</f>
        <v/>
      </c>
      <c r="O165" s="60" t="str">
        <f aca="false">IF($A165="","",IF(ROUND(N165,2)&gt;0,"Receivable",IF(ROUND(N165,2)&lt;0,"Payable","Settled")))</f>
        <v/>
      </c>
      <c r="P165" s="66" t="str">
        <f aca="false">IF($A165="","",IFERROR(SUMPRODUCT(MAX((Sales!$C$5:INDEX(Sales!$C$5:$C$3004,TxRows)=$A165)*Sales!$A$5:INDEX(Sales!$A$5:$A$3004,TxRows))),0))</f>
        <v/>
      </c>
      <c r="Q165" s="66" t="str">
        <f aca="false">IF($A165="","",IFERROR(SUMPRODUCT(MAX((CashBook!$D$5:INDEX(CashBook!$D$5:$D$3004,TxRows)=$A165)*(CashBook!$C$5:INDEX(CashBook!$C$5:$C$3004,TxRows)="Receipt")*CashBook!$A$5:INDEX(CashBook!$A$5:$A$3004,TxRows))),0))</f>
        <v/>
      </c>
      <c r="R165" s="67" t="str">
        <f aca="false">IF($A165="","",IF(ROUND(N165,2)&lt;=0,"",AsOf-IF(N(Q165)&gt;0,Q165,IF(N(P165)&gt;0,P165,FYStart))))</f>
        <v/>
      </c>
      <c r="S165" s="60" t="str">
        <f aca="false">IF($A165="","",IF(AND(N($G165)&gt;0,N165&gt;N($G165)),"OVER LIMIT",IF(AND(N165&gt;0,N(R165)&gt;N($H165)),"OVERDUE",IF(ROUND(N165,2)&lt;0,"PAY DUE",""))))</f>
        <v/>
      </c>
    </row>
    <row r="166" customFormat="false" ht="15" hidden="false" customHeight="false" outlineLevel="0" collapsed="false">
      <c r="A166" s="56"/>
      <c r="B166" s="56"/>
      <c r="C166" s="56"/>
      <c r="D166" s="56"/>
      <c r="E166" s="56"/>
      <c r="F166" s="56"/>
      <c r="G166" s="68"/>
      <c r="H166" s="69"/>
      <c r="I166" s="58"/>
      <c r="J166" s="61" t="str">
        <f aca="false">IF($A166="","",SUMIFS(Sales!$Q$5:INDEX(Sales!$Q$5:$Q$3004,TxRows),Sales!$C$5:INDEX(Sales!$C$5:$C$3004,TxRows),$A166)-SUMIFS(Sales!$X$5:INDEX(Sales!$X$5:$X$3004,TxRows),Sales!$C$5:INDEX(Sales!$C$5:$C$3004,TxRows),$A166))</f>
        <v/>
      </c>
      <c r="K166" s="61" t="str">
        <f aca="false">IF($A166="","",SUMIFS(CashBook!$G$5:INDEX(CashBook!$G$5:$G$3004,TxRows),CashBook!$D$5:INDEX(CashBook!$D$5:$D$3004,TxRows),$A166,CashBook!$C$5:INDEX(CashBook!$C$5:$C$3004,TxRows),"Receipt"))</f>
        <v/>
      </c>
      <c r="L166" s="61" t="str">
        <f aca="false">IF($A166="","",SUMIFS(Purchases!$P$5:INDEX(Purchases!$P$5:$P$3004,TxRows),Purchases!$C$5:INDEX(Purchases!$C$5:$C$3004,TxRows),$A166)-SUMIFS(Purchases!$S$5:INDEX(Purchases!$S$5:$S$3004,TxRows),Purchases!$C$5:INDEX(Purchases!$C$5:$C$3004,TxRows),$A166))</f>
        <v/>
      </c>
      <c r="M166" s="61" t="str">
        <f aca="false">IF($A166="","",SUMIFS(CashBook!$G$5:INDEX(CashBook!$G$5:$G$3004,TxRows),CashBook!$D$5:INDEX(CashBook!$D$5:$D$3004,TxRows),$A166,CashBook!$C$5:INDEX(CashBook!$C$5:$C$3004,TxRows),"Payment"))</f>
        <v/>
      </c>
      <c r="N166" s="61" t="str">
        <f aca="false">IF($A166="","",N($I166)+J166-K166-L166+M166)</f>
        <v/>
      </c>
      <c r="O166" s="60" t="str">
        <f aca="false">IF($A166="","",IF(ROUND(N166,2)&gt;0,"Receivable",IF(ROUND(N166,2)&lt;0,"Payable","Settled")))</f>
        <v/>
      </c>
      <c r="P166" s="66" t="str">
        <f aca="false">IF($A166="","",IFERROR(SUMPRODUCT(MAX((Sales!$C$5:INDEX(Sales!$C$5:$C$3004,TxRows)=$A166)*Sales!$A$5:INDEX(Sales!$A$5:$A$3004,TxRows))),0))</f>
        <v/>
      </c>
      <c r="Q166" s="66" t="str">
        <f aca="false">IF($A166="","",IFERROR(SUMPRODUCT(MAX((CashBook!$D$5:INDEX(CashBook!$D$5:$D$3004,TxRows)=$A166)*(CashBook!$C$5:INDEX(CashBook!$C$5:$C$3004,TxRows)="Receipt")*CashBook!$A$5:INDEX(CashBook!$A$5:$A$3004,TxRows))),0))</f>
        <v/>
      </c>
      <c r="R166" s="67" t="str">
        <f aca="false">IF($A166="","",IF(ROUND(N166,2)&lt;=0,"",AsOf-IF(N(Q166)&gt;0,Q166,IF(N(P166)&gt;0,P166,FYStart))))</f>
        <v/>
      </c>
      <c r="S166" s="60" t="str">
        <f aca="false">IF($A166="","",IF(AND(N($G166)&gt;0,N166&gt;N($G166)),"OVER LIMIT",IF(AND(N166&gt;0,N(R166)&gt;N($H166)),"OVERDUE",IF(ROUND(N166,2)&lt;0,"PAY DUE",""))))</f>
        <v/>
      </c>
    </row>
    <row r="167" customFormat="false" ht="15" hidden="false" customHeight="false" outlineLevel="0" collapsed="false">
      <c r="A167" s="56"/>
      <c r="B167" s="56"/>
      <c r="C167" s="56"/>
      <c r="D167" s="56"/>
      <c r="E167" s="56"/>
      <c r="F167" s="56"/>
      <c r="G167" s="68"/>
      <c r="H167" s="69"/>
      <c r="I167" s="58"/>
      <c r="J167" s="61" t="str">
        <f aca="false">IF($A167="","",SUMIFS(Sales!$Q$5:INDEX(Sales!$Q$5:$Q$3004,TxRows),Sales!$C$5:INDEX(Sales!$C$5:$C$3004,TxRows),$A167)-SUMIFS(Sales!$X$5:INDEX(Sales!$X$5:$X$3004,TxRows),Sales!$C$5:INDEX(Sales!$C$5:$C$3004,TxRows),$A167))</f>
        <v/>
      </c>
      <c r="K167" s="61" t="str">
        <f aca="false">IF($A167="","",SUMIFS(CashBook!$G$5:INDEX(CashBook!$G$5:$G$3004,TxRows),CashBook!$D$5:INDEX(CashBook!$D$5:$D$3004,TxRows),$A167,CashBook!$C$5:INDEX(CashBook!$C$5:$C$3004,TxRows),"Receipt"))</f>
        <v/>
      </c>
      <c r="L167" s="61" t="str">
        <f aca="false">IF($A167="","",SUMIFS(Purchases!$P$5:INDEX(Purchases!$P$5:$P$3004,TxRows),Purchases!$C$5:INDEX(Purchases!$C$5:$C$3004,TxRows),$A167)-SUMIFS(Purchases!$S$5:INDEX(Purchases!$S$5:$S$3004,TxRows),Purchases!$C$5:INDEX(Purchases!$C$5:$C$3004,TxRows),$A167))</f>
        <v/>
      </c>
      <c r="M167" s="61" t="str">
        <f aca="false">IF($A167="","",SUMIFS(CashBook!$G$5:INDEX(CashBook!$G$5:$G$3004,TxRows),CashBook!$D$5:INDEX(CashBook!$D$5:$D$3004,TxRows),$A167,CashBook!$C$5:INDEX(CashBook!$C$5:$C$3004,TxRows),"Payment"))</f>
        <v/>
      </c>
      <c r="N167" s="61" t="str">
        <f aca="false">IF($A167="","",N($I167)+J167-K167-L167+M167)</f>
        <v/>
      </c>
      <c r="O167" s="60" t="str">
        <f aca="false">IF($A167="","",IF(ROUND(N167,2)&gt;0,"Receivable",IF(ROUND(N167,2)&lt;0,"Payable","Settled")))</f>
        <v/>
      </c>
      <c r="P167" s="66" t="str">
        <f aca="false">IF($A167="","",IFERROR(SUMPRODUCT(MAX((Sales!$C$5:INDEX(Sales!$C$5:$C$3004,TxRows)=$A167)*Sales!$A$5:INDEX(Sales!$A$5:$A$3004,TxRows))),0))</f>
        <v/>
      </c>
      <c r="Q167" s="66" t="str">
        <f aca="false">IF($A167="","",IFERROR(SUMPRODUCT(MAX((CashBook!$D$5:INDEX(CashBook!$D$5:$D$3004,TxRows)=$A167)*(CashBook!$C$5:INDEX(CashBook!$C$5:$C$3004,TxRows)="Receipt")*CashBook!$A$5:INDEX(CashBook!$A$5:$A$3004,TxRows))),0))</f>
        <v/>
      </c>
      <c r="R167" s="67" t="str">
        <f aca="false">IF($A167="","",IF(ROUND(N167,2)&lt;=0,"",AsOf-IF(N(Q167)&gt;0,Q167,IF(N(P167)&gt;0,P167,FYStart))))</f>
        <v/>
      </c>
      <c r="S167" s="60" t="str">
        <f aca="false">IF($A167="","",IF(AND(N($G167)&gt;0,N167&gt;N($G167)),"OVER LIMIT",IF(AND(N167&gt;0,N(R167)&gt;N($H167)),"OVERDUE",IF(ROUND(N167,2)&lt;0,"PAY DUE",""))))</f>
        <v/>
      </c>
    </row>
    <row r="168" customFormat="false" ht="15" hidden="false" customHeight="false" outlineLevel="0" collapsed="false">
      <c r="A168" s="56"/>
      <c r="B168" s="56"/>
      <c r="C168" s="56"/>
      <c r="D168" s="56"/>
      <c r="E168" s="56"/>
      <c r="F168" s="56"/>
      <c r="G168" s="68"/>
      <c r="H168" s="69"/>
      <c r="I168" s="58"/>
      <c r="J168" s="61" t="str">
        <f aca="false">IF($A168="","",SUMIFS(Sales!$Q$5:INDEX(Sales!$Q$5:$Q$3004,TxRows),Sales!$C$5:INDEX(Sales!$C$5:$C$3004,TxRows),$A168)-SUMIFS(Sales!$X$5:INDEX(Sales!$X$5:$X$3004,TxRows),Sales!$C$5:INDEX(Sales!$C$5:$C$3004,TxRows),$A168))</f>
        <v/>
      </c>
      <c r="K168" s="61" t="str">
        <f aca="false">IF($A168="","",SUMIFS(CashBook!$G$5:INDEX(CashBook!$G$5:$G$3004,TxRows),CashBook!$D$5:INDEX(CashBook!$D$5:$D$3004,TxRows),$A168,CashBook!$C$5:INDEX(CashBook!$C$5:$C$3004,TxRows),"Receipt"))</f>
        <v/>
      </c>
      <c r="L168" s="61" t="str">
        <f aca="false">IF($A168="","",SUMIFS(Purchases!$P$5:INDEX(Purchases!$P$5:$P$3004,TxRows),Purchases!$C$5:INDEX(Purchases!$C$5:$C$3004,TxRows),$A168)-SUMIFS(Purchases!$S$5:INDEX(Purchases!$S$5:$S$3004,TxRows),Purchases!$C$5:INDEX(Purchases!$C$5:$C$3004,TxRows),$A168))</f>
        <v/>
      </c>
      <c r="M168" s="61" t="str">
        <f aca="false">IF($A168="","",SUMIFS(CashBook!$G$5:INDEX(CashBook!$G$5:$G$3004,TxRows),CashBook!$D$5:INDEX(CashBook!$D$5:$D$3004,TxRows),$A168,CashBook!$C$5:INDEX(CashBook!$C$5:$C$3004,TxRows),"Payment"))</f>
        <v/>
      </c>
      <c r="N168" s="61" t="str">
        <f aca="false">IF($A168="","",N($I168)+J168-K168-L168+M168)</f>
        <v/>
      </c>
      <c r="O168" s="60" t="str">
        <f aca="false">IF($A168="","",IF(ROUND(N168,2)&gt;0,"Receivable",IF(ROUND(N168,2)&lt;0,"Payable","Settled")))</f>
        <v/>
      </c>
      <c r="P168" s="66" t="str">
        <f aca="false">IF($A168="","",IFERROR(SUMPRODUCT(MAX((Sales!$C$5:INDEX(Sales!$C$5:$C$3004,TxRows)=$A168)*Sales!$A$5:INDEX(Sales!$A$5:$A$3004,TxRows))),0))</f>
        <v/>
      </c>
      <c r="Q168" s="66" t="str">
        <f aca="false">IF($A168="","",IFERROR(SUMPRODUCT(MAX((CashBook!$D$5:INDEX(CashBook!$D$5:$D$3004,TxRows)=$A168)*(CashBook!$C$5:INDEX(CashBook!$C$5:$C$3004,TxRows)="Receipt")*CashBook!$A$5:INDEX(CashBook!$A$5:$A$3004,TxRows))),0))</f>
        <v/>
      </c>
      <c r="R168" s="67" t="str">
        <f aca="false">IF($A168="","",IF(ROUND(N168,2)&lt;=0,"",AsOf-IF(N(Q168)&gt;0,Q168,IF(N(P168)&gt;0,P168,FYStart))))</f>
        <v/>
      </c>
      <c r="S168" s="60" t="str">
        <f aca="false">IF($A168="","",IF(AND(N($G168)&gt;0,N168&gt;N($G168)),"OVER LIMIT",IF(AND(N168&gt;0,N(R168)&gt;N($H168)),"OVERDUE",IF(ROUND(N168,2)&lt;0,"PAY DUE",""))))</f>
        <v/>
      </c>
    </row>
    <row r="169" customFormat="false" ht="15" hidden="false" customHeight="false" outlineLevel="0" collapsed="false">
      <c r="A169" s="56"/>
      <c r="B169" s="56"/>
      <c r="C169" s="56"/>
      <c r="D169" s="56"/>
      <c r="E169" s="56"/>
      <c r="F169" s="56"/>
      <c r="G169" s="68"/>
      <c r="H169" s="69"/>
      <c r="I169" s="58"/>
      <c r="J169" s="61" t="str">
        <f aca="false">IF($A169="","",SUMIFS(Sales!$Q$5:INDEX(Sales!$Q$5:$Q$3004,TxRows),Sales!$C$5:INDEX(Sales!$C$5:$C$3004,TxRows),$A169)-SUMIFS(Sales!$X$5:INDEX(Sales!$X$5:$X$3004,TxRows),Sales!$C$5:INDEX(Sales!$C$5:$C$3004,TxRows),$A169))</f>
        <v/>
      </c>
      <c r="K169" s="61" t="str">
        <f aca="false">IF($A169="","",SUMIFS(CashBook!$G$5:INDEX(CashBook!$G$5:$G$3004,TxRows),CashBook!$D$5:INDEX(CashBook!$D$5:$D$3004,TxRows),$A169,CashBook!$C$5:INDEX(CashBook!$C$5:$C$3004,TxRows),"Receipt"))</f>
        <v/>
      </c>
      <c r="L169" s="61" t="str">
        <f aca="false">IF($A169="","",SUMIFS(Purchases!$P$5:INDEX(Purchases!$P$5:$P$3004,TxRows),Purchases!$C$5:INDEX(Purchases!$C$5:$C$3004,TxRows),$A169)-SUMIFS(Purchases!$S$5:INDEX(Purchases!$S$5:$S$3004,TxRows),Purchases!$C$5:INDEX(Purchases!$C$5:$C$3004,TxRows),$A169))</f>
        <v/>
      </c>
      <c r="M169" s="61" t="str">
        <f aca="false">IF($A169="","",SUMIFS(CashBook!$G$5:INDEX(CashBook!$G$5:$G$3004,TxRows),CashBook!$D$5:INDEX(CashBook!$D$5:$D$3004,TxRows),$A169,CashBook!$C$5:INDEX(CashBook!$C$5:$C$3004,TxRows),"Payment"))</f>
        <v/>
      </c>
      <c r="N169" s="61" t="str">
        <f aca="false">IF($A169="","",N($I169)+J169-K169-L169+M169)</f>
        <v/>
      </c>
      <c r="O169" s="60" t="str">
        <f aca="false">IF($A169="","",IF(ROUND(N169,2)&gt;0,"Receivable",IF(ROUND(N169,2)&lt;0,"Payable","Settled")))</f>
        <v/>
      </c>
      <c r="P169" s="66" t="str">
        <f aca="false">IF($A169="","",IFERROR(SUMPRODUCT(MAX((Sales!$C$5:INDEX(Sales!$C$5:$C$3004,TxRows)=$A169)*Sales!$A$5:INDEX(Sales!$A$5:$A$3004,TxRows))),0))</f>
        <v/>
      </c>
      <c r="Q169" s="66" t="str">
        <f aca="false">IF($A169="","",IFERROR(SUMPRODUCT(MAX((CashBook!$D$5:INDEX(CashBook!$D$5:$D$3004,TxRows)=$A169)*(CashBook!$C$5:INDEX(CashBook!$C$5:$C$3004,TxRows)="Receipt")*CashBook!$A$5:INDEX(CashBook!$A$5:$A$3004,TxRows))),0))</f>
        <v/>
      </c>
      <c r="R169" s="67" t="str">
        <f aca="false">IF($A169="","",IF(ROUND(N169,2)&lt;=0,"",AsOf-IF(N(Q169)&gt;0,Q169,IF(N(P169)&gt;0,P169,FYStart))))</f>
        <v/>
      </c>
      <c r="S169" s="60" t="str">
        <f aca="false">IF($A169="","",IF(AND(N($G169)&gt;0,N169&gt;N($G169)),"OVER LIMIT",IF(AND(N169&gt;0,N(R169)&gt;N($H169)),"OVERDUE",IF(ROUND(N169,2)&lt;0,"PAY DUE",""))))</f>
        <v/>
      </c>
    </row>
    <row r="170" customFormat="false" ht="15" hidden="false" customHeight="false" outlineLevel="0" collapsed="false">
      <c r="A170" s="56"/>
      <c r="B170" s="56"/>
      <c r="C170" s="56"/>
      <c r="D170" s="56"/>
      <c r="E170" s="56"/>
      <c r="F170" s="56"/>
      <c r="G170" s="68"/>
      <c r="H170" s="69"/>
      <c r="I170" s="58"/>
      <c r="J170" s="61" t="str">
        <f aca="false">IF($A170="","",SUMIFS(Sales!$Q$5:INDEX(Sales!$Q$5:$Q$3004,TxRows),Sales!$C$5:INDEX(Sales!$C$5:$C$3004,TxRows),$A170)-SUMIFS(Sales!$X$5:INDEX(Sales!$X$5:$X$3004,TxRows),Sales!$C$5:INDEX(Sales!$C$5:$C$3004,TxRows),$A170))</f>
        <v/>
      </c>
      <c r="K170" s="61" t="str">
        <f aca="false">IF($A170="","",SUMIFS(CashBook!$G$5:INDEX(CashBook!$G$5:$G$3004,TxRows),CashBook!$D$5:INDEX(CashBook!$D$5:$D$3004,TxRows),$A170,CashBook!$C$5:INDEX(CashBook!$C$5:$C$3004,TxRows),"Receipt"))</f>
        <v/>
      </c>
      <c r="L170" s="61" t="str">
        <f aca="false">IF($A170="","",SUMIFS(Purchases!$P$5:INDEX(Purchases!$P$5:$P$3004,TxRows),Purchases!$C$5:INDEX(Purchases!$C$5:$C$3004,TxRows),$A170)-SUMIFS(Purchases!$S$5:INDEX(Purchases!$S$5:$S$3004,TxRows),Purchases!$C$5:INDEX(Purchases!$C$5:$C$3004,TxRows),$A170))</f>
        <v/>
      </c>
      <c r="M170" s="61" t="str">
        <f aca="false">IF($A170="","",SUMIFS(CashBook!$G$5:INDEX(CashBook!$G$5:$G$3004,TxRows),CashBook!$D$5:INDEX(CashBook!$D$5:$D$3004,TxRows),$A170,CashBook!$C$5:INDEX(CashBook!$C$5:$C$3004,TxRows),"Payment"))</f>
        <v/>
      </c>
      <c r="N170" s="61" t="str">
        <f aca="false">IF($A170="","",N($I170)+J170-K170-L170+M170)</f>
        <v/>
      </c>
      <c r="O170" s="60" t="str">
        <f aca="false">IF($A170="","",IF(ROUND(N170,2)&gt;0,"Receivable",IF(ROUND(N170,2)&lt;0,"Payable","Settled")))</f>
        <v/>
      </c>
      <c r="P170" s="66" t="str">
        <f aca="false">IF($A170="","",IFERROR(SUMPRODUCT(MAX((Sales!$C$5:INDEX(Sales!$C$5:$C$3004,TxRows)=$A170)*Sales!$A$5:INDEX(Sales!$A$5:$A$3004,TxRows))),0))</f>
        <v/>
      </c>
      <c r="Q170" s="66" t="str">
        <f aca="false">IF($A170="","",IFERROR(SUMPRODUCT(MAX((CashBook!$D$5:INDEX(CashBook!$D$5:$D$3004,TxRows)=$A170)*(CashBook!$C$5:INDEX(CashBook!$C$5:$C$3004,TxRows)="Receipt")*CashBook!$A$5:INDEX(CashBook!$A$5:$A$3004,TxRows))),0))</f>
        <v/>
      </c>
      <c r="R170" s="67" t="str">
        <f aca="false">IF($A170="","",IF(ROUND(N170,2)&lt;=0,"",AsOf-IF(N(Q170)&gt;0,Q170,IF(N(P170)&gt;0,P170,FYStart))))</f>
        <v/>
      </c>
      <c r="S170" s="60" t="str">
        <f aca="false">IF($A170="","",IF(AND(N($G170)&gt;0,N170&gt;N($G170)),"OVER LIMIT",IF(AND(N170&gt;0,N(R170)&gt;N($H170)),"OVERDUE",IF(ROUND(N170,2)&lt;0,"PAY DUE",""))))</f>
        <v/>
      </c>
    </row>
    <row r="171" customFormat="false" ht="15" hidden="false" customHeight="false" outlineLevel="0" collapsed="false">
      <c r="A171" s="56"/>
      <c r="B171" s="56"/>
      <c r="C171" s="56"/>
      <c r="D171" s="56"/>
      <c r="E171" s="56"/>
      <c r="F171" s="56"/>
      <c r="G171" s="68"/>
      <c r="H171" s="69"/>
      <c r="I171" s="58"/>
      <c r="J171" s="61" t="str">
        <f aca="false">IF($A171="","",SUMIFS(Sales!$Q$5:INDEX(Sales!$Q$5:$Q$3004,TxRows),Sales!$C$5:INDEX(Sales!$C$5:$C$3004,TxRows),$A171)-SUMIFS(Sales!$X$5:INDEX(Sales!$X$5:$X$3004,TxRows),Sales!$C$5:INDEX(Sales!$C$5:$C$3004,TxRows),$A171))</f>
        <v/>
      </c>
      <c r="K171" s="61" t="str">
        <f aca="false">IF($A171="","",SUMIFS(CashBook!$G$5:INDEX(CashBook!$G$5:$G$3004,TxRows),CashBook!$D$5:INDEX(CashBook!$D$5:$D$3004,TxRows),$A171,CashBook!$C$5:INDEX(CashBook!$C$5:$C$3004,TxRows),"Receipt"))</f>
        <v/>
      </c>
      <c r="L171" s="61" t="str">
        <f aca="false">IF($A171="","",SUMIFS(Purchases!$P$5:INDEX(Purchases!$P$5:$P$3004,TxRows),Purchases!$C$5:INDEX(Purchases!$C$5:$C$3004,TxRows),$A171)-SUMIFS(Purchases!$S$5:INDEX(Purchases!$S$5:$S$3004,TxRows),Purchases!$C$5:INDEX(Purchases!$C$5:$C$3004,TxRows),$A171))</f>
        <v/>
      </c>
      <c r="M171" s="61" t="str">
        <f aca="false">IF($A171="","",SUMIFS(CashBook!$G$5:INDEX(CashBook!$G$5:$G$3004,TxRows),CashBook!$D$5:INDEX(CashBook!$D$5:$D$3004,TxRows),$A171,CashBook!$C$5:INDEX(CashBook!$C$5:$C$3004,TxRows),"Payment"))</f>
        <v/>
      </c>
      <c r="N171" s="61" t="str">
        <f aca="false">IF($A171="","",N($I171)+J171-K171-L171+M171)</f>
        <v/>
      </c>
      <c r="O171" s="60" t="str">
        <f aca="false">IF($A171="","",IF(ROUND(N171,2)&gt;0,"Receivable",IF(ROUND(N171,2)&lt;0,"Payable","Settled")))</f>
        <v/>
      </c>
      <c r="P171" s="66" t="str">
        <f aca="false">IF($A171="","",IFERROR(SUMPRODUCT(MAX((Sales!$C$5:INDEX(Sales!$C$5:$C$3004,TxRows)=$A171)*Sales!$A$5:INDEX(Sales!$A$5:$A$3004,TxRows))),0))</f>
        <v/>
      </c>
      <c r="Q171" s="66" t="str">
        <f aca="false">IF($A171="","",IFERROR(SUMPRODUCT(MAX((CashBook!$D$5:INDEX(CashBook!$D$5:$D$3004,TxRows)=$A171)*(CashBook!$C$5:INDEX(CashBook!$C$5:$C$3004,TxRows)="Receipt")*CashBook!$A$5:INDEX(CashBook!$A$5:$A$3004,TxRows))),0))</f>
        <v/>
      </c>
      <c r="R171" s="67" t="str">
        <f aca="false">IF($A171="","",IF(ROUND(N171,2)&lt;=0,"",AsOf-IF(N(Q171)&gt;0,Q171,IF(N(P171)&gt;0,P171,FYStart))))</f>
        <v/>
      </c>
      <c r="S171" s="60" t="str">
        <f aca="false">IF($A171="","",IF(AND(N($G171)&gt;0,N171&gt;N($G171)),"OVER LIMIT",IF(AND(N171&gt;0,N(R171)&gt;N($H171)),"OVERDUE",IF(ROUND(N171,2)&lt;0,"PAY DUE",""))))</f>
        <v/>
      </c>
    </row>
    <row r="172" customFormat="false" ht="15" hidden="false" customHeight="false" outlineLevel="0" collapsed="false">
      <c r="A172" s="56"/>
      <c r="B172" s="56"/>
      <c r="C172" s="56"/>
      <c r="D172" s="56"/>
      <c r="E172" s="56"/>
      <c r="F172" s="56"/>
      <c r="G172" s="68"/>
      <c r="H172" s="69"/>
      <c r="I172" s="58"/>
      <c r="J172" s="61" t="str">
        <f aca="false">IF($A172="","",SUMIFS(Sales!$Q$5:INDEX(Sales!$Q$5:$Q$3004,TxRows),Sales!$C$5:INDEX(Sales!$C$5:$C$3004,TxRows),$A172)-SUMIFS(Sales!$X$5:INDEX(Sales!$X$5:$X$3004,TxRows),Sales!$C$5:INDEX(Sales!$C$5:$C$3004,TxRows),$A172))</f>
        <v/>
      </c>
      <c r="K172" s="61" t="str">
        <f aca="false">IF($A172="","",SUMIFS(CashBook!$G$5:INDEX(CashBook!$G$5:$G$3004,TxRows),CashBook!$D$5:INDEX(CashBook!$D$5:$D$3004,TxRows),$A172,CashBook!$C$5:INDEX(CashBook!$C$5:$C$3004,TxRows),"Receipt"))</f>
        <v/>
      </c>
      <c r="L172" s="61" t="str">
        <f aca="false">IF($A172="","",SUMIFS(Purchases!$P$5:INDEX(Purchases!$P$5:$P$3004,TxRows),Purchases!$C$5:INDEX(Purchases!$C$5:$C$3004,TxRows),$A172)-SUMIFS(Purchases!$S$5:INDEX(Purchases!$S$5:$S$3004,TxRows),Purchases!$C$5:INDEX(Purchases!$C$5:$C$3004,TxRows),$A172))</f>
        <v/>
      </c>
      <c r="M172" s="61" t="str">
        <f aca="false">IF($A172="","",SUMIFS(CashBook!$G$5:INDEX(CashBook!$G$5:$G$3004,TxRows),CashBook!$D$5:INDEX(CashBook!$D$5:$D$3004,TxRows),$A172,CashBook!$C$5:INDEX(CashBook!$C$5:$C$3004,TxRows),"Payment"))</f>
        <v/>
      </c>
      <c r="N172" s="61" t="str">
        <f aca="false">IF($A172="","",N($I172)+J172-K172-L172+M172)</f>
        <v/>
      </c>
      <c r="O172" s="60" t="str">
        <f aca="false">IF($A172="","",IF(ROUND(N172,2)&gt;0,"Receivable",IF(ROUND(N172,2)&lt;0,"Payable","Settled")))</f>
        <v/>
      </c>
      <c r="P172" s="66" t="str">
        <f aca="false">IF($A172="","",IFERROR(SUMPRODUCT(MAX((Sales!$C$5:INDEX(Sales!$C$5:$C$3004,TxRows)=$A172)*Sales!$A$5:INDEX(Sales!$A$5:$A$3004,TxRows))),0))</f>
        <v/>
      </c>
      <c r="Q172" s="66" t="str">
        <f aca="false">IF($A172="","",IFERROR(SUMPRODUCT(MAX((CashBook!$D$5:INDEX(CashBook!$D$5:$D$3004,TxRows)=$A172)*(CashBook!$C$5:INDEX(CashBook!$C$5:$C$3004,TxRows)="Receipt")*CashBook!$A$5:INDEX(CashBook!$A$5:$A$3004,TxRows))),0))</f>
        <v/>
      </c>
      <c r="R172" s="67" t="str">
        <f aca="false">IF($A172="","",IF(ROUND(N172,2)&lt;=0,"",AsOf-IF(N(Q172)&gt;0,Q172,IF(N(P172)&gt;0,P172,FYStart))))</f>
        <v/>
      </c>
      <c r="S172" s="60" t="str">
        <f aca="false">IF($A172="","",IF(AND(N($G172)&gt;0,N172&gt;N($G172)),"OVER LIMIT",IF(AND(N172&gt;0,N(R172)&gt;N($H172)),"OVERDUE",IF(ROUND(N172,2)&lt;0,"PAY DUE",""))))</f>
        <v/>
      </c>
    </row>
    <row r="173" customFormat="false" ht="15" hidden="false" customHeight="false" outlineLevel="0" collapsed="false">
      <c r="A173" s="56"/>
      <c r="B173" s="56"/>
      <c r="C173" s="56"/>
      <c r="D173" s="56"/>
      <c r="E173" s="56"/>
      <c r="F173" s="56"/>
      <c r="G173" s="68"/>
      <c r="H173" s="69"/>
      <c r="I173" s="58"/>
      <c r="J173" s="61" t="str">
        <f aca="false">IF($A173="","",SUMIFS(Sales!$Q$5:INDEX(Sales!$Q$5:$Q$3004,TxRows),Sales!$C$5:INDEX(Sales!$C$5:$C$3004,TxRows),$A173)-SUMIFS(Sales!$X$5:INDEX(Sales!$X$5:$X$3004,TxRows),Sales!$C$5:INDEX(Sales!$C$5:$C$3004,TxRows),$A173))</f>
        <v/>
      </c>
      <c r="K173" s="61" t="str">
        <f aca="false">IF($A173="","",SUMIFS(CashBook!$G$5:INDEX(CashBook!$G$5:$G$3004,TxRows),CashBook!$D$5:INDEX(CashBook!$D$5:$D$3004,TxRows),$A173,CashBook!$C$5:INDEX(CashBook!$C$5:$C$3004,TxRows),"Receipt"))</f>
        <v/>
      </c>
      <c r="L173" s="61" t="str">
        <f aca="false">IF($A173="","",SUMIFS(Purchases!$P$5:INDEX(Purchases!$P$5:$P$3004,TxRows),Purchases!$C$5:INDEX(Purchases!$C$5:$C$3004,TxRows),$A173)-SUMIFS(Purchases!$S$5:INDEX(Purchases!$S$5:$S$3004,TxRows),Purchases!$C$5:INDEX(Purchases!$C$5:$C$3004,TxRows),$A173))</f>
        <v/>
      </c>
      <c r="M173" s="61" t="str">
        <f aca="false">IF($A173="","",SUMIFS(CashBook!$G$5:INDEX(CashBook!$G$5:$G$3004,TxRows),CashBook!$D$5:INDEX(CashBook!$D$5:$D$3004,TxRows),$A173,CashBook!$C$5:INDEX(CashBook!$C$5:$C$3004,TxRows),"Payment"))</f>
        <v/>
      </c>
      <c r="N173" s="61" t="str">
        <f aca="false">IF($A173="","",N($I173)+J173-K173-L173+M173)</f>
        <v/>
      </c>
      <c r="O173" s="60" t="str">
        <f aca="false">IF($A173="","",IF(ROUND(N173,2)&gt;0,"Receivable",IF(ROUND(N173,2)&lt;0,"Payable","Settled")))</f>
        <v/>
      </c>
      <c r="P173" s="66" t="str">
        <f aca="false">IF($A173="","",IFERROR(SUMPRODUCT(MAX((Sales!$C$5:INDEX(Sales!$C$5:$C$3004,TxRows)=$A173)*Sales!$A$5:INDEX(Sales!$A$5:$A$3004,TxRows))),0))</f>
        <v/>
      </c>
      <c r="Q173" s="66" t="str">
        <f aca="false">IF($A173="","",IFERROR(SUMPRODUCT(MAX((CashBook!$D$5:INDEX(CashBook!$D$5:$D$3004,TxRows)=$A173)*(CashBook!$C$5:INDEX(CashBook!$C$5:$C$3004,TxRows)="Receipt")*CashBook!$A$5:INDEX(CashBook!$A$5:$A$3004,TxRows))),0))</f>
        <v/>
      </c>
      <c r="R173" s="67" t="str">
        <f aca="false">IF($A173="","",IF(ROUND(N173,2)&lt;=0,"",AsOf-IF(N(Q173)&gt;0,Q173,IF(N(P173)&gt;0,P173,FYStart))))</f>
        <v/>
      </c>
      <c r="S173" s="60" t="str">
        <f aca="false">IF($A173="","",IF(AND(N($G173)&gt;0,N173&gt;N($G173)),"OVER LIMIT",IF(AND(N173&gt;0,N(R173)&gt;N($H173)),"OVERDUE",IF(ROUND(N173,2)&lt;0,"PAY DUE",""))))</f>
        <v/>
      </c>
    </row>
    <row r="174" customFormat="false" ht="15" hidden="false" customHeight="false" outlineLevel="0" collapsed="false">
      <c r="A174" s="56"/>
      <c r="B174" s="56"/>
      <c r="C174" s="56"/>
      <c r="D174" s="56"/>
      <c r="E174" s="56"/>
      <c r="F174" s="56"/>
      <c r="G174" s="68"/>
      <c r="H174" s="69"/>
      <c r="I174" s="58"/>
      <c r="J174" s="61" t="str">
        <f aca="false">IF($A174="","",SUMIFS(Sales!$Q$5:INDEX(Sales!$Q$5:$Q$3004,TxRows),Sales!$C$5:INDEX(Sales!$C$5:$C$3004,TxRows),$A174)-SUMIFS(Sales!$X$5:INDEX(Sales!$X$5:$X$3004,TxRows),Sales!$C$5:INDEX(Sales!$C$5:$C$3004,TxRows),$A174))</f>
        <v/>
      </c>
      <c r="K174" s="61" t="str">
        <f aca="false">IF($A174="","",SUMIFS(CashBook!$G$5:INDEX(CashBook!$G$5:$G$3004,TxRows),CashBook!$D$5:INDEX(CashBook!$D$5:$D$3004,TxRows),$A174,CashBook!$C$5:INDEX(CashBook!$C$5:$C$3004,TxRows),"Receipt"))</f>
        <v/>
      </c>
      <c r="L174" s="61" t="str">
        <f aca="false">IF($A174="","",SUMIFS(Purchases!$P$5:INDEX(Purchases!$P$5:$P$3004,TxRows),Purchases!$C$5:INDEX(Purchases!$C$5:$C$3004,TxRows),$A174)-SUMIFS(Purchases!$S$5:INDEX(Purchases!$S$5:$S$3004,TxRows),Purchases!$C$5:INDEX(Purchases!$C$5:$C$3004,TxRows),$A174))</f>
        <v/>
      </c>
      <c r="M174" s="61" t="str">
        <f aca="false">IF($A174="","",SUMIFS(CashBook!$G$5:INDEX(CashBook!$G$5:$G$3004,TxRows),CashBook!$D$5:INDEX(CashBook!$D$5:$D$3004,TxRows),$A174,CashBook!$C$5:INDEX(CashBook!$C$5:$C$3004,TxRows),"Payment"))</f>
        <v/>
      </c>
      <c r="N174" s="61" t="str">
        <f aca="false">IF($A174="","",N($I174)+J174-K174-L174+M174)</f>
        <v/>
      </c>
      <c r="O174" s="60" t="str">
        <f aca="false">IF($A174="","",IF(ROUND(N174,2)&gt;0,"Receivable",IF(ROUND(N174,2)&lt;0,"Payable","Settled")))</f>
        <v/>
      </c>
      <c r="P174" s="66" t="str">
        <f aca="false">IF($A174="","",IFERROR(SUMPRODUCT(MAX((Sales!$C$5:INDEX(Sales!$C$5:$C$3004,TxRows)=$A174)*Sales!$A$5:INDEX(Sales!$A$5:$A$3004,TxRows))),0))</f>
        <v/>
      </c>
      <c r="Q174" s="66" t="str">
        <f aca="false">IF($A174="","",IFERROR(SUMPRODUCT(MAX((CashBook!$D$5:INDEX(CashBook!$D$5:$D$3004,TxRows)=$A174)*(CashBook!$C$5:INDEX(CashBook!$C$5:$C$3004,TxRows)="Receipt")*CashBook!$A$5:INDEX(CashBook!$A$5:$A$3004,TxRows))),0))</f>
        <v/>
      </c>
      <c r="R174" s="67" t="str">
        <f aca="false">IF($A174="","",IF(ROUND(N174,2)&lt;=0,"",AsOf-IF(N(Q174)&gt;0,Q174,IF(N(P174)&gt;0,P174,FYStart))))</f>
        <v/>
      </c>
      <c r="S174" s="60" t="str">
        <f aca="false">IF($A174="","",IF(AND(N($G174)&gt;0,N174&gt;N($G174)),"OVER LIMIT",IF(AND(N174&gt;0,N(R174)&gt;N($H174)),"OVERDUE",IF(ROUND(N174,2)&lt;0,"PAY DUE",""))))</f>
        <v/>
      </c>
    </row>
    <row r="175" customFormat="false" ht="15" hidden="false" customHeight="false" outlineLevel="0" collapsed="false">
      <c r="A175" s="56"/>
      <c r="B175" s="56"/>
      <c r="C175" s="56"/>
      <c r="D175" s="56"/>
      <c r="E175" s="56"/>
      <c r="F175" s="56"/>
      <c r="G175" s="68"/>
      <c r="H175" s="69"/>
      <c r="I175" s="58"/>
      <c r="J175" s="61" t="str">
        <f aca="false">IF($A175="","",SUMIFS(Sales!$Q$5:INDEX(Sales!$Q$5:$Q$3004,TxRows),Sales!$C$5:INDEX(Sales!$C$5:$C$3004,TxRows),$A175)-SUMIFS(Sales!$X$5:INDEX(Sales!$X$5:$X$3004,TxRows),Sales!$C$5:INDEX(Sales!$C$5:$C$3004,TxRows),$A175))</f>
        <v/>
      </c>
      <c r="K175" s="61" t="str">
        <f aca="false">IF($A175="","",SUMIFS(CashBook!$G$5:INDEX(CashBook!$G$5:$G$3004,TxRows),CashBook!$D$5:INDEX(CashBook!$D$5:$D$3004,TxRows),$A175,CashBook!$C$5:INDEX(CashBook!$C$5:$C$3004,TxRows),"Receipt"))</f>
        <v/>
      </c>
      <c r="L175" s="61" t="str">
        <f aca="false">IF($A175="","",SUMIFS(Purchases!$P$5:INDEX(Purchases!$P$5:$P$3004,TxRows),Purchases!$C$5:INDEX(Purchases!$C$5:$C$3004,TxRows),$A175)-SUMIFS(Purchases!$S$5:INDEX(Purchases!$S$5:$S$3004,TxRows),Purchases!$C$5:INDEX(Purchases!$C$5:$C$3004,TxRows),$A175))</f>
        <v/>
      </c>
      <c r="M175" s="61" t="str">
        <f aca="false">IF($A175="","",SUMIFS(CashBook!$G$5:INDEX(CashBook!$G$5:$G$3004,TxRows),CashBook!$D$5:INDEX(CashBook!$D$5:$D$3004,TxRows),$A175,CashBook!$C$5:INDEX(CashBook!$C$5:$C$3004,TxRows),"Payment"))</f>
        <v/>
      </c>
      <c r="N175" s="61" t="str">
        <f aca="false">IF($A175="","",N($I175)+J175-K175-L175+M175)</f>
        <v/>
      </c>
      <c r="O175" s="60" t="str">
        <f aca="false">IF($A175="","",IF(ROUND(N175,2)&gt;0,"Receivable",IF(ROUND(N175,2)&lt;0,"Payable","Settled")))</f>
        <v/>
      </c>
      <c r="P175" s="66" t="str">
        <f aca="false">IF($A175="","",IFERROR(SUMPRODUCT(MAX((Sales!$C$5:INDEX(Sales!$C$5:$C$3004,TxRows)=$A175)*Sales!$A$5:INDEX(Sales!$A$5:$A$3004,TxRows))),0))</f>
        <v/>
      </c>
      <c r="Q175" s="66" t="str">
        <f aca="false">IF($A175="","",IFERROR(SUMPRODUCT(MAX((CashBook!$D$5:INDEX(CashBook!$D$5:$D$3004,TxRows)=$A175)*(CashBook!$C$5:INDEX(CashBook!$C$5:$C$3004,TxRows)="Receipt")*CashBook!$A$5:INDEX(CashBook!$A$5:$A$3004,TxRows))),0))</f>
        <v/>
      </c>
      <c r="R175" s="67" t="str">
        <f aca="false">IF($A175="","",IF(ROUND(N175,2)&lt;=0,"",AsOf-IF(N(Q175)&gt;0,Q175,IF(N(P175)&gt;0,P175,FYStart))))</f>
        <v/>
      </c>
      <c r="S175" s="60" t="str">
        <f aca="false">IF($A175="","",IF(AND(N($G175)&gt;0,N175&gt;N($G175)),"OVER LIMIT",IF(AND(N175&gt;0,N(R175)&gt;N($H175)),"OVERDUE",IF(ROUND(N175,2)&lt;0,"PAY DUE",""))))</f>
        <v/>
      </c>
    </row>
    <row r="176" customFormat="false" ht="15" hidden="false" customHeight="false" outlineLevel="0" collapsed="false">
      <c r="A176" s="56"/>
      <c r="B176" s="56"/>
      <c r="C176" s="56"/>
      <c r="D176" s="56"/>
      <c r="E176" s="56"/>
      <c r="F176" s="56"/>
      <c r="G176" s="68"/>
      <c r="H176" s="69"/>
      <c r="I176" s="58"/>
      <c r="J176" s="61" t="str">
        <f aca="false">IF($A176="","",SUMIFS(Sales!$Q$5:INDEX(Sales!$Q$5:$Q$3004,TxRows),Sales!$C$5:INDEX(Sales!$C$5:$C$3004,TxRows),$A176)-SUMIFS(Sales!$X$5:INDEX(Sales!$X$5:$X$3004,TxRows),Sales!$C$5:INDEX(Sales!$C$5:$C$3004,TxRows),$A176))</f>
        <v/>
      </c>
      <c r="K176" s="61" t="str">
        <f aca="false">IF($A176="","",SUMIFS(CashBook!$G$5:INDEX(CashBook!$G$5:$G$3004,TxRows),CashBook!$D$5:INDEX(CashBook!$D$5:$D$3004,TxRows),$A176,CashBook!$C$5:INDEX(CashBook!$C$5:$C$3004,TxRows),"Receipt"))</f>
        <v/>
      </c>
      <c r="L176" s="61" t="str">
        <f aca="false">IF($A176="","",SUMIFS(Purchases!$P$5:INDEX(Purchases!$P$5:$P$3004,TxRows),Purchases!$C$5:INDEX(Purchases!$C$5:$C$3004,TxRows),$A176)-SUMIFS(Purchases!$S$5:INDEX(Purchases!$S$5:$S$3004,TxRows),Purchases!$C$5:INDEX(Purchases!$C$5:$C$3004,TxRows),$A176))</f>
        <v/>
      </c>
      <c r="M176" s="61" t="str">
        <f aca="false">IF($A176="","",SUMIFS(CashBook!$G$5:INDEX(CashBook!$G$5:$G$3004,TxRows),CashBook!$D$5:INDEX(CashBook!$D$5:$D$3004,TxRows),$A176,CashBook!$C$5:INDEX(CashBook!$C$5:$C$3004,TxRows),"Payment"))</f>
        <v/>
      </c>
      <c r="N176" s="61" t="str">
        <f aca="false">IF($A176="","",N($I176)+J176-K176-L176+M176)</f>
        <v/>
      </c>
      <c r="O176" s="60" t="str">
        <f aca="false">IF($A176="","",IF(ROUND(N176,2)&gt;0,"Receivable",IF(ROUND(N176,2)&lt;0,"Payable","Settled")))</f>
        <v/>
      </c>
      <c r="P176" s="66" t="str">
        <f aca="false">IF($A176="","",IFERROR(SUMPRODUCT(MAX((Sales!$C$5:INDEX(Sales!$C$5:$C$3004,TxRows)=$A176)*Sales!$A$5:INDEX(Sales!$A$5:$A$3004,TxRows))),0))</f>
        <v/>
      </c>
      <c r="Q176" s="66" t="str">
        <f aca="false">IF($A176="","",IFERROR(SUMPRODUCT(MAX((CashBook!$D$5:INDEX(CashBook!$D$5:$D$3004,TxRows)=$A176)*(CashBook!$C$5:INDEX(CashBook!$C$5:$C$3004,TxRows)="Receipt")*CashBook!$A$5:INDEX(CashBook!$A$5:$A$3004,TxRows))),0))</f>
        <v/>
      </c>
      <c r="R176" s="67" t="str">
        <f aca="false">IF($A176="","",IF(ROUND(N176,2)&lt;=0,"",AsOf-IF(N(Q176)&gt;0,Q176,IF(N(P176)&gt;0,P176,FYStart))))</f>
        <v/>
      </c>
      <c r="S176" s="60" t="str">
        <f aca="false">IF($A176="","",IF(AND(N($G176)&gt;0,N176&gt;N($G176)),"OVER LIMIT",IF(AND(N176&gt;0,N(R176)&gt;N($H176)),"OVERDUE",IF(ROUND(N176,2)&lt;0,"PAY DUE",""))))</f>
        <v/>
      </c>
    </row>
    <row r="177" customFormat="false" ht="15" hidden="false" customHeight="false" outlineLevel="0" collapsed="false">
      <c r="A177" s="56"/>
      <c r="B177" s="56"/>
      <c r="C177" s="56"/>
      <c r="D177" s="56"/>
      <c r="E177" s="56"/>
      <c r="F177" s="56"/>
      <c r="G177" s="68"/>
      <c r="H177" s="69"/>
      <c r="I177" s="58"/>
      <c r="J177" s="61" t="str">
        <f aca="false">IF($A177="","",SUMIFS(Sales!$Q$5:INDEX(Sales!$Q$5:$Q$3004,TxRows),Sales!$C$5:INDEX(Sales!$C$5:$C$3004,TxRows),$A177)-SUMIFS(Sales!$X$5:INDEX(Sales!$X$5:$X$3004,TxRows),Sales!$C$5:INDEX(Sales!$C$5:$C$3004,TxRows),$A177))</f>
        <v/>
      </c>
      <c r="K177" s="61" t="str">
        <f aca="false">IF($A177="","",SUMIFS(CashBook!$G$5:INDEX(CashBook!$G$5:$G$3004,TxRows),CashBook!$D$5:INDEX(CashBook!$D$5:$D$3004,TxRows),$A177,CashBook!$C$5:INDEX(CashBook!$C$5:$C$3004,TxRows),"Receipt"))</f>
        <v/>
      </c>
      <c r="L177" s="61" t="str">
        <f aca="false">IF($A177="","",SUMIFS(Purchases!$P$5:INDEX(Purchases!$P$5:$P$3004,TxRows),Purchases!$C$5:INDEX(Purchases!$C$5:$C$3004,TxRows),$A177)-SUMIFS(Purchases!$S$5:INDEX(Purchases!$S$5:$S$3004,TxRows),Purchases!$C$5:INDEX(Purchases!$C$5:$C$3004,TxRows),$A177))</f>
        <v/>
      </c>
      <c r="M177" s="61" t="str">
        <f aca="false">IF($A177="","",SUMIFS(CashBook!$G$5:INDEX(CashBook!$G$5:$G$3004,TxRows),CashBook!$D$5:INDEX(CashBook!$D$5:$D$3004,TxRows),$A177,CashBook!$C$5:INDEX(CashBook!$C$5:$C$3004,TxRows),"Payment"))</f>
        <v/>
      </c>
      <c r="N177" s="61" t="str">
        <f aca="false">IF($A177="","",N($I177)+J177-K177-L177+M177)</f>
        <v/>
      </c>
      <c r="O177" s="60" t="str">
        <f aca="false">IF($A177="","",IF(ROUND(N177,2)&gt;0,"Receivable",IF(ROUND(N177,2)&lt;0,"Payable","Settled")))</f>
        <v/>
      </c>
      <c r="P177" s="66" t="str">
        <f aca="false">IF($A177="","",IFERROR(SUMPRODUCT(MAX((Sales!$C$5:INDEX(Sales!$C$5:$C$3004,TxRows)=$A177)*Sales!$A$5:INDEX(Sales!$A$5:$A$3004,TxRows))),0))</f>
        <v/>
      </c>
      <c r="Q177" s="66" t="str">
        <f aca="false">IF($A177="","",IFERROR(SUMPRODUCT(MAX((CashBook!$D$5:INDEX(CashBook!$D$5:$D$3004,TxRows)=$A177)*(CashBook!$C$5:INDEX(CashBook!$C$5:$C$3004,TxRows)="Receipt")*CashBook!$A$5:INDEX(CashBook!$A$5:$A$3004,TxRows))),0))</f>
        <v/>
      </c>
      <c r="R177" s="67" t="str">
        <f aca="false">IF($A177="","",IF(ROUND(N177,2)&lt;=0,"",AsOf-IF(N(Q177)&gt;0,Q177,IF(N(P177)&gt;0,P177,FYStart))))</f>
        <v/>
      </c>
      <c r="S177" s="60" t="str">
        <f aca="false">IF($A177="","",IF(AND(N($G177)&gt;0,N177&gt;N($G177)),"OVER LIMIT",IF(AND(N177&gt;0,N(R177)&gt;N($H177)),"OVERDUE",IF(ROUND(N177,2)&lt;0,"PAY DUE",""))))</f>
        <v/>
      </c>
    </row>
    <row r="178" customFormat="false" ht="15" hidden="false" customHeight="false" outlineLevel="0" collapsed="false">
      <c r="A178" s="56"/>
      <c r="B178" s="56"/>
      <c r="C178" s="56"/>
      <c r="D178" s="56"/>
      <c r="E178" s="56"/>
      <c r="F178" s="56"/>
      <c r="G178" s="68"/>
      <c r="H178" s="69"/>
      <c r="I178" s="58"/>
      <c r="J178" s="61" t="str">
        <f aca="false">IF($A178="","",SUMIFS(Sales!$Q$5:INDEX(Sales!$Q$5:$Q$3004,TxRows),Sales!$C$5:INDEX(Sales!$C$5:$C$3004,TxRows),$A178)-SUMIFS(Sales!$X$5:INDEX(Sales!$X$5:$X$3004,TxRows),Sales!$C$5:INDEX(Sales!$C$5:$C$3004,TxRows),$A178))</f>
        <v/>
      </c>
      <c r="K178" s="61" t="str">
        <f aca="false">IF($A178="","",SUMIFS(CashBook!$G$5:INDEX(CashBook!$G$5:$G$3004,TxRows),CashBook!$D$5:INDEX(CashBook!$D$5:$D$3004,TxRows),$A178,CashBook!$C$5:INDEX(CashBook!$C$5:$C$3004,TxRows),"Receipt"))</f>
        <v/>
      </c>
      <c r="L178" s="61" t="str">
        <f aca="false">IF($A178="","",SUMIFS(Purchases!$P$5:INDEX(Purchases!$P$5:$P$3004,TxRows),Purchases!$C$5:INDEX(Purchases!$C$5:$C$3004,TxRows),$A178)-SUMIFS(Purchases!$S$5:INDEX(Purchases!$S$5:$S$3004,TxRows),Purchases!$C$5:INDEX(Purchases!$C$5:$C$3004,TxRows),$A178))</f>
        <v/>
      </c>
      <c r="M178" s="61" t="str">
        <f aca="false">IF($A178="","",SUMIFS(CashBook!$G$5:INDEX(CashBook!$G$5:$G$3004,TxRows),CashBook!$D$5:INDEX(CashBook!$D$5:$D$3004,TxRows),$A178,CashBook!$C$5:INDEX(CashBook!$C$5:$C$3004,TxRows),"Payment"))</f>
        <v/>
      </c>
      <c r="N178" s="61" t="str">
        <f aca="false">IF($A178="","",N($I178)+J178-K178-L178+M178)</f>
        <v/>
      </c>
      <c r="O178" s="60" t="str">
        <f aca="false">IF($A178="","",IF(ROUND(N178,2)&gt;0,"Receivable",IF(ROUND(N178,2)&lt;0,"Payable","Settled")))</f>
        <v/>
      </c>
      <c r="P178" s="66" t="str">
        <f aca="false">IF($A178="","",IFERROR(SUMPRODUCT(MAX((Sales!$C$5:INDEX(Sales!$C$5:$C$3004,TxRows)=$A178)*Sales!$A$5:INDEX(Sales!$A$5:$A$3004,TxRows))),0))</f>
        <v/>
      </c>
      <c r="Q178" s="66" t="str">
        <f aca="false">IF($A178="","",IFERROR(SUMPRODUCT(MAX((CashBook!$D$5:INDEX(CashBook!$D$5:$D$3004,TxRows)=$A178)*(CashBook!$C$5:INDEX(CashBook!$C$5:$C$3004,TxRows)="Receipt")*CashBook!$A$5:INDEX(CashBook!$A$5:$A$3004,TxRows))),0))</f>
        <v/>
      </c>
      <c r="R178" s="67" t="str">
        <f aca="false">IF($A178="","",IF(ROUND(N178,2)&lt;=0,"",AsOf-IF(N(Q178)&gt;0,Q178,IF(N(P178)&gt;0,P178,FYStart))))</f>
        <v/>
      </c>
      <c r="S178" s="60" t="str">
        <f aca="false">IF($A178="","",IF(AND(N($G178)&gt;0,N178&gt;N($G178)),"OVER LIMIT",IF(AND(N178&gt;0,N(R178)&gt;N($H178)),"OVERDUE",IF(ROUND(N178,2)&lt;0,"PAY DUE",""))))</f>
        <v/>
      </c>
    </row>
    <row r="179" customFormat="false" ht="15" hidden="false" customHeight="false" outlineLevel="0" collapsed="false">
      <c r="A179" s="56"/>
      <c r="B179" s="56"/>
      <c r="C179" s="56"/>
      <c r="D179" s="56"/>
      <c r="E179" s="56"/>
      <c r="F179" s="56"/>
      <c r="G179" s="68"/>
      <c r="H179" s="69"/>
      <c r="I179" s="58"/>
      <c r="J179" s="61" t="str">
        <f aca="false">IF($A179="","",SUMIFS(Sales!$Q$5:INDEX(Sales!$Q$5:$Q$3004,TxRows),Sales!$C$5:INDEX(Sales!$C$5:$C$3004,TxRows),$A179)-SUMIFS(Sales!$X$5:INDEX(Sales!$X$5:$X$3004,TxRows),Sales!$C$5:INDEX(Sales!$C$5:$C$3004,TxRows),$A179))</f>
        <v/>
      </c>
      <c r="K179" s="61" t="str">
        <f aca="false">IF($A179="","",SUMIFS(CashBook!$G$5:INDEX(CashBook!$G$5:$G$3004,TxRows),CashBook!$D$5:INDEX(CashBook!$D$5:$D$3004,TxRows),$A179,CashBook!$C$5:INDEX(CashBook!$C$5:$C$3004,TxRows),"Receipt"))</f>
        <v/>
      </c>
      <c r="L179" s="61" t="str">
        <f aca="false">IF($A179="","",SUMIFS(Purchases!$P$5:INDEX(Purchases!$P$5:$P$3004,TxRows),Purchases!$C$5:INDEX(Purchases!$C$5:$C$3004,TxRows),$A179)-SUMIFS(Purchases!$S$5:INDEX(Purchases!$S$5:$S$3004,TxRows),Purchases!$C$5:INDEX(Purchases!$C$5:$C$3004,TxRows),$A179))</f>
        <v/>
      </c>
      <c r="M179" s="61" t="str">
        <f aca="false">IF($A179="","",SUMIFS(CashBook!$G$5:INDEX(CashBook!$G$5:$G$3004,TxRows),CashBook!$D$5:INDEX(CashBook!$D$5:$D$3004,TxRows),$A179,CashBook!$C$5:INDEX(CashBook!$C$5:$C$3004,TxRows),"Payment"))</f>
        <v/>
      </c>
      <c r="N179" s="61" t="str">
        <f aca="false">IF($A179="","",N($I179)+J179-K179-L179+M179)</f>
        <v/>
      </c>
      <c r="O179" s="60" t="str">
        <f aca="false">IF($A179="","",IF(ROUND(N179,2)&gt;0,"Receivable",IF(ROUND(N179,2)&lt;0,"Payable","Settled")))</f>
        <v/>
      </c>
      <c r="P179" s="66" t="str">
        <f aca="false">IF($A179="","",IFERROR(SUMPRODUCT(MAX((Sales!$C$5:INDEX(Sales!$C$5:$C$3004,TxRows)=$A179)*Sales!$A$5:INDEX(Sales!$A$5:$A$3004,TxRows))),0))</f>
        <v/>
      </c>
      <c r="Q179" s="66" t="str">
        <f aca="false">IF($A179="","",IFERROR(SUMPRODUCT(MAX((CashBook!$D$5:INDEX(CashBook!$D$5:$D$3004,TxRows)=$A179)*(CashBook!$C$5:INDEX(CashBook!$C$5:$C$3004,TxRows)="Receipt")*CashBook!$A$5:INDEX(CashBook!$A$5:$A$3004,TxRows))),0))</f>
        <v/>
      </c>
      <c r="R179" s="67" t="str">
        <f aca="false">IF($A179="","",IF(ROUND(N179,2)&lt;=0,"",AsOf-IF(N(Q179)&gt;0,Q179,IF(N(P179)&gt;0,P179,FYStart))))</f>
        <v/>
      </c>
      <c r="S179" s="60" t="str">
        <f aca="false">IF($A179="","",IF(AND(N($G179)&gt;0,N179&gt;N($G179)),"OVER LIMIT",IF(AND(N179&gt;0,N(R179)&gt;N($H179)),"OVERDUE",IF(ROUND(N179,2)&lt;0,"PAY DUE",""))))</f>
        <v/>
      </c>
    </row>
    <row r="180" customFormat="false" ht="15" hidden="false" customHeight="false" outlineLevel="0" collapsed="false">
      <c r="A180" s="56"/>
      <c r="B180" s="56"/>
      <c r="C180" s="56"/>
      <c r="D180" s="56"/>
      <c r="E180" s="56"/>
      <c r="F180" s="56"/>
      <c r="G180" s="68"/>
      <c r="H180" s="69"/>
      <c r="I180" s="58"/>
      <c r="J180" s="61" t="str">
        <f aca="false">IF($A180="","",SUMIFS(Sales!$Q$5:INDEX(Sales!$Q$5:$Q$3004,TxRows),Sales!$C$5:INDEX(Sales!$C$5:$C$3004,TxRows),$A180)-SUMIFS(Sales!$X$5:INDEX(Sales!$X$5:$X$3004,TxRows),Sales!$C$5:INDEX(Sales!$C$5:$C$3004,TxRows),$A180))</f>
        <v/>
      </c>
      <c r="K180" s="61" t="str">
        <f aca="false">IF($A180="","",SUMIFS(CashBook!$G$5:INDEX(CashBook!$G$5:$G$3004,TxRows),CashBook!$D$5:INDEX(CashBook!$D$5:$D$3004,TxRows),$A180,CashBook!$C$5:INDEX(CashBook!$C$5:$C$3004,TxRows),"Receipt"))</f>
        <v/>
      </c>
      <c r="L180" s="61" t="str">
        <f aca="false">IF($A180="","",SUMIFS(Purchases!$P$5:INDEX(Purchases!$P$5:$P$3004,TxRows),Purchases!$C$5:INDEX(Purchases!$C$5:$C$3004,TxRows),$A180)-SUMIFS(Purchases!$S$5:INDEX(Purchases!$S$5:$S$3004,TxRows),Purchases!$C$5:INDEX(Purchases!$C$5:$C$3004,TxRows),$A180))</f>
        <v/>
      </c>
      <c r="M180" s="61" t="str">
        <f aca="false">IF($A180="","",SUMIFS(CashBook!$G$5:INDEX(CashBook!$G$5:$G$3004,TxRows),CashBook!$D$5:INDEX(CashBook!$D$5:$D$3004,TxRows),$A180,CashBook!$C$5:INDEX(CashBook!$C$5:$C$3004,TxRows),"Payment"))</f>
        <v/>
      </c>
      <c r="N180" s="61" t="str">
        <f aca="false">IF($A180="","",N($I180)+J180-K180-L180+M180)</f>
        <v/>
      </c>
      <c r="O180" s="60" t="str">
        <f aca="false">IF($A180="","",IF(ROUND(N180,2)&gt;0,"Receivable",IF(ROUND(N180,2)&lt;0,"Payable","Settled")))</f>
        <v/>
      </c>
      <c r="P180" s="66" t="str">
        <f aca="false">IF($A180="","",IFERROR(SUMPRODUCT(MAX((Sales!$C$5:INDEX(Sales!$C$5:$C$3004,TxRows)=$A180)*Sales!$A$5:INDEX(Sales!$A$5:$A$3004,TxRows))),0))</f>
        <v/>
      </c>
      <c r="Q180" s="66" t="str">
        <f aca="false">IF($A180="","",IFERROR(SUMPRODUCT(MAX((CashBook!$D$5:INDEX(CashBook!$D$5:$D$3004,TxRows)=$A180)*(CashBook!$C$5:INDEX(CashBook!$C$5:$C$3004,TxRows)="Receipt")*CashBook!$A$5:INDEX(CashBook!$A$5:$A$3004,TxRows))),0))</f>
        <v/>
      </c>
      <c r="R180" s="67" t="str">
        <f aca="false">IF($A180="","",IF(ROUND(N180,2)&lt;=0,"",AsOf-IF(N(Q180)&gt;0,Q180,IF(N(P180)&gt;0,P180,FYStart))))</f>
        <v/>
      </c>
      <c r="S180" s="60" t="str">
        <f aca="false">IF($A180="","",IF(AND(N($G180)&gt;0,N180&gt;N($G180)),"OVER LIMIT",IF(AND(N180&gt;0,N(R180)&gt;N($H180)),"OVERDUE",IF(ROUND(N180,2)&lt;0,"PAY DUE",""))))</f>
        <v/>
      </c>
    </row>
    <row r="181" customFormat="false" ht="15" hidden="false" customHeight="false" outlineLevel="0" collapsed="false">
      <c r="A181" s="56"/>
      <c r="B181" s="56"/>
      <c r="C181" s="56"/>
      <c r="D181" s="56"/>
      <c r="E181" s="56"/>
      <c r="F181" s="56"/>
      <c r="G181" s="68"/>
      <c r="H181" s="69"/>
      <c r="I181" s="58"/>
      <c r="J181" s="61" t="str">
        <f aca="false">IF($A181="","",SUMIFS(Sales!$Q$5:INDEX(Sales!$Q$5:$Q$3004,TxRows),Sales!$C$5:INDEX(Sales!$C$5:$C$3004,TxRows),$A181)-SUMIFS(Sales!$X$5:INDEX(Sales!$X$5:$X$3004,TxRows),Sales!$C$5:INDEX(Sales!$C$5:$C$3004,TxRows),$A181))</f>
        <v/>
      </c>
      <c r="K181" s="61" t="str">
        <f aca="false">IF($A181="","",SUMIFS(CashBook!$G$5:INDEX(CashBook!$G$5:$G$3004,TxRows),CashBook!$D$5:INDEX(CashBook!$D$5:$D$3004,TxRows),$A181,CashBook!$C$5:INDEX(CashBook!$C$5:$C$3004,TxRows),"Receipt"))</f>
        <v/>
      </c>
      <c r="L181" s="61" t="str">
        <f aca="false">IF($A181="","",SUMIFS(Purchases!$P$5:INDEX(Purchases!$P$5:$P$3004,TxRows),Purchases!$C$5:INDEX(Purchases!$C$5:$C$3004,TxRows),$A181)-SUMIFS(Purchases!$S$5:INDEX(Purchases!$S$5:$S$3004,TxRows),Purchases!$C$5:INDEX(Purchases!$C$5:$C$3004,TxRows),$A181))</f>
        <v/>
      </c>
      <c r="M181" s="61" t="str">
        <f aca="false">IF($A181="","",SUMIFS(CashBook!$G$5:INDEX(CashBook!$G$5:$G$3004,TxRows),CashBook!$D$5:INDEX(CashBook!$D$5:$D$3004,TxRows),$A181,CashBook!$C$5:INDEX(CashBook!$C$5:$C$3004,TxRows),"Payment"))</f>
        <v/>
      </c>
      <c r="N181" s="61" t="str">
        <f aca="false">IF($A181="","",N($I181)+J181-K181-L181+M181)</f>
        <v/>
      </c>
      <c r="O181" s="60" t="str">
        <f aca="false">IF($A181="","",IF(ROUND(N181,2)&gt;0,"Receivable",IF(ROUND(N181,2)&lt;0,"Payable","Settled")))</f>
        <v/>
      </c>
      <c r="P181" s="66" t="str">
        <f aca="false">IF($A181="","",IFERROR(SUMPRODUCT(MAX((Sales!$C$5:INDEX(Sales!$C$5:$C$3004,TxRows)=$A181)*Sales!$A$5:INDEX(Sales!$A$5:$A$3004,TxRows))),0))</f>
        <v/>
      </c>
      <c r="Q181" s="66" t="str">
        <f aca="false">IF($A181="","",IFERROR(SUMPRODUCT(MAX((CashBook!$D$5:INDEX(CashBook!$D$5:$D$3004,TxRows)=$A181)*(CashBook!$C$5:INDEX(CashBook!$C$5:$C$3004,TxRows)="Receipt")*CashBook!$A$5:INDEX(CashBook!$A$5:$A$3004,TxRows))),0))</f>
        <v/>
      </c>
      <c r="R181" s="67" t="str">
        <f aca="false">IF($A181="","",IF(ROUND(N181,2)&lt;=0,"",AsOf-IF(N(Q181)&gt;0,Q181,IF(N(P181)&gt;0,P181,FYStart))))</f>
        <v/>
      </c>
      <c r="S181" s="60" t="str">
        <f aca="false">IF($A181="","",IF(AND(N($G181)&gt;0,N181&gt;N($G181)),"OVER LIMIT",IF(AND(N181&gt;0,N(R181)&gt;N($H181)),"OVERDUE",IF(ROUND(N181,2)&lt;0,"PAY DUE",""))))</f>
        <v/>
      </c>
    </row>
    <row r="182" customFormat="false" ht="15" hidden="false" customHeight="false" outlineLevel="0" collapsed="false">
      <c r="A182" s="56"/>
      <c r="B182" s="56"/>
      <c r="C182" s="56"/>
      <c r="D182" s="56"/>
      <c r="E182" s="56"/>
      <c r="F182" s="56"/>
      <c r="G182" s="68"/>
      <c r="H182" s="69"/>
      <c r="I182" s="58"/>
      <c r="J182" s="61" t="str">
        <f aca="false">IF($A182="","",SUMIFS(Sales!$Q$5:INDEX(Sales!$Q$5:$Q$3004,TxRows),Sales!$C$5:INDEX(Sales!$C$5:$C$3004,TxRows),$A182)-SUMIFS(Sales!$X$5:INDEX(Sales!$X$5:$X$3004,TxRows),Sales!$C$5:INDEX(Sales!$C$5:$C$3004,TxRows),$A182))</f>
        <v/>
      </c>
      <c r="K182" s="61" t="str">
        <f aca="false">IF($A182="","",SUMIFS(CashBook!$G$5:INDEX(CashBook!$G$5:$G$3004,TxRows),CashBook!$D$5:INDEX(CashBook!$D$5:$D$3004,TxRows),$A182,CashBook!$C$5:INDEX(CashBook!$C$5:$C$3004,TxRows),"Receipt"))</f>
        <v/>
      </c>
      <c r="L182" s="61" t="str">
        <f aca="false">IF($A182="","",SUMIFS(Purchases!$P$5:INDEX(Purchases!$P$5:$P$3004,TxRows),Purchases!$C$5:INDEX(Purchases!$C$5:$C$3004,TxRows),$A182)-SUMIFS(Purchases!$S$5:INDEX(Purchases!$S$5:$S$3004,TxRows),Purchases!$C$5:INDEX(Purchases!$C$5:$C$3004,TxRows),$A182))</f>
        <v/>
      </c>
      <c r="M182" s="61" t="str">
        <f aca="false">IF($A182="","",SUMIFS(CashBook!$G$5:INDEX(CashBook!$G$5:$G$3004,TxRows),CashBook!$D$5:INDEX(CashBook!$D$5:$D$3004,TxRows),$A182,CashBook!$C$5:INDEX(CashBook!$C$5:$C$3004,TxRows),"Payment"))</f>
        <v/>
      </c>
      <c r="N182" s="61" t="str">
        <f aca="false">IF($A182="","",N($I182)+J182-K182-L182+M182)</f>
        <v/>
      </c>
      <c r="O182" s="60" t="str">
        <f aca="false">IF($A182="","",IF(ROUND(N182,2)&gt;0,"Receivable",IF(ROUND(N182,2)&lt;0,"Payable","Settled")))</f>
        <v/>
      </c>
      <c r="P182" s="66" t="str">
        <f aca="false">IF($A182="","",IFERROR(SUMPRODUCT(MAX((Sales!$C$5:INDEX(Sales!$C$5:$C$3004,TxRows)=$A182)*Sales!$A$5:INDEX(Sales!$A$5:$A$3004,TxRows))),0))</f>
        <v/>
      </c>
      <c r="Q182" s="66" t="str">
        <f aca="false">IF($A182="","",IFERROR(SUMPRODUCT(MAX((CashBook!$D$5:INDEX(CashBook!$D$5:$D$3004,TxRows)=$A182)*(CashBook!$C$5:INDEX(CashBook!$C$5:$C$3004,TxRows)="Receipt")*CashBook!$A$5:INDEX(CashBook!$A$5:$A$3004,TxRows))),0))</f>
        <v/>
      </c>
      <c r="R182" s="67" t="str">
        <f aca="false">IF($A182="","",IF(ROUND(N182,2)&lt;=0,"",AsOf-IF(N(Q182)&gt;0,Q182,IF(N(P182)&gt;0,P182,FYStart))))</f>
        <v/>
      </c>
      <c r="S182" s="60" t="str">
        <f aca="false">IF($A182="","",IF(AND(N($G182)&gt;0,N182&gt;N($G182)),"OVER LIMIT",IF(AND(N182&gt;0,N(R182)&gt;N($H182)),"OVERDUE",IF(ROUND(N182,2)&lt;0,"PAY DUE",""))))</f>
        <v/>
      </c>
    </row>
    <row r="183" customFormat="false" ht="15" hidden="false" customHeight="false" outlineLevel="0" collapsed="false">
      <c r="A183" s="56"/>
      <c r="B183" s="56"/>
      <c r="C183" s="56"/>
      <c r="D183" s="56"/>
      <c r="E183" s="56"/>
      <c r="F183" s="56"/>
      <c r="G183" s="68"/>
      <c r="H183" s="69"/>
      <c r="I183" s="58"/>
      <c r="J183" s="61" t="str">
        <f aca="false">IF($A183="","",SUMIFS(Sales!$Q$5:INDEX(Sales!$Q$5:$Q$3004,TxRows),Sales!$C$5:INDEX(Sales!$C$5:$C$3004,TxRows),$A183)-SUMIFS(Sales!$X$5:INDEX(Sales!$X$5:$X$3004,TxRows),Sales!$C$5:INDEX(Sales!$C$5:$C$3004,TxRows),$A183))</f>
        <v/>
      </c>
      <c r="K183" s="61" t="str">
        <f aca="false">IF($A183="","",SUMIFS(CashBook!$G$5:INDEX(CashBook!$G$5:$G$3004,TxRows),CashBook!$D$5:INDEX(CashBook!$D$5:$D$3004,TxRows),$A183,CashBook!$C$5:INDEX(CashBook!$C$5:$C$3004,TxRows),"Receipt"))</f>
        <v/>
      </c>
      <c r="L183" s="61" t="str">
        <f aca="false">IF($A183="","",SUMIFS(Purchases!$P$5:INDEX(Purchases!$P$5:$P$3004,TxRows),Purchases!$C$5:INDEX(Purchases!$C$5:$C$3004,TxRows),$A183)-SUMIFS(Purchases!$S$5:INDEX(Purchases!$S$5:$S$3004,TxRows),Purchases!$C$5:INDEX(Purchases!$C$5:$C$3004,TxRows),$A183))</f>
        <v/>
      </c>
      <c r="M183" s="61" t="str">
        <f aca="false">IF($A183="","",SUMIFS(CashBook!$G$5:INDEX(CashBook!$G$5:$G$3004,TxRows),CashBook!$D$5:INDEX(CashBook!$D$5:$D$3004,TxRows),$A183,CashBook!$C$5:INDEX(CashBook!$C$5:$C$3004,TxRows),"Payment"))</f>
        <v/>
      </c>
      <c r="N183" s="61" t="str">
        <f aca="false">IF($A183="","",N($I183)+J183-K183-L183+M183)</f>
        <v/>
      </c>
      <c r="O183" s="60" t="str">
        <f aca="false">IF($A183="","",IF(ROUND(N183,2)&gt;0,"Receivable",IF(ROUND(N183,2)&lt;0,"Payable","Settled")))</f>
        <v/>
      </c>
      <c r="P183" s="66" t="str">
        <f aca="false">IF($A183="","",IFERROR(SUMPRODUCT(MAX((Sales!$C$5:INDEX(Sales!$C$5:$C$3004,TxRows)=$A183)*Sales!$A$5:INDEX(Sales!$A$5:$A$3004,TxRows))),0))</f>
        <v/>
      </c>
      <c r="Q183" s="66" t="str">
        <f aca="false">IF($A183="","",IFERROR(SUMPRODUCT(MAX((CashBook!$D$5:INDEX(CashBook!$D$5:$D$3004,TxRows)=$A183)*(CashBook!$C$5:INDEX(CashBook!$C$5:$C$3004,TxRows)="Receipt")*CashBook!$A$5:INDEX(CashBook!$A$5:$A$3004,TxRows))),0))</f>
        <v/>
      </c>
      <c r="R183" s="67" t="str">
        <f aca="false">IF($A183="","",IF(ROUND(N183,2)&lt;=0,"",AsOf-IF(N(Q183)&gt;0,Q183,IF(N(P183)&gt;0,P183,FYStart))))</f>
        <v/>
      </c>
      <c r="S183" s="60" t="str">
        <f aca="false">IF($A183="","",IF(AND(N($G183)&gt;0,N183&gt;N($G183)),"OVER LIMIT",IF(AND(N183&gt;0,N(R183)&gt;N($H183)),"OVERDUE",IF(ROUND(N183,2)&lt;0,"PAY DUE",""))))</f>
        <v/>
      </c>
    </row>
    <row r="184" customFormat="false" ht="15" hidden="false" customHeight="false" outlineLevel="0" collapsed="false">
      <c r="A184" s="56"/>
      <c r="B184" s="56"/>
      <c r="C184" s="56"/>
      <c r="D184" s="56"/>
      <c r="E184" s="56"/>
      <c r="F184" s="56"/>
      <c r="G184" s="68"/>
      <c r="H184" s="69"/>
      <c r="I184" s="58"/>
      <c r="J184" s="61" t="str">
        <f aca="false">IF($A184="","",SUMIFS(Sales!$Q$5:INDEX(Sales!$Q$5:$Q$3004,TxRows),Sales!$C$5:INDEX(Sales!$C$5:$C$3004,TxRows),$A184)-SUMIFS(Sales!$X$5:INDEX(Sales!$X$5:$X$3004,TxRows),Sales!$C$5:INDEX(Sales!$C$5:$C$3004,TxRows),$A184))</f>
        <v/>
      </c>
      <c r="K184" s="61" t="str">
        <f aca="false">IF($A184="","",SUMIFS(CashBook!$G$5:INDEX(CashBook!$G$5:$G$3004,TxRows),CashBook!$D$5:INDEX(CashBook!$D$5:$D$3004,TxRows),$A184,CashBook!$C$5:INDEX(CashBook!$C$5:$C$3004,TxRows),"Receipt"))</f>
        <v/>
      </c>
      <c r="L184" s="61" t="str">
        <f aca="false">IF($A184="","",SUMIFS(Purchases!$P$5:INDEX(Purchases!$P$5:$P$3004,TxRows),Purchases!$C$5:INDEX(Purchases!$C$5:$C$3004,TxRows),$A184)-SUMIFS(Purchases!$S$5:INDEX(Purchases!$S$5:$S$3004,TxRows),Purchases!$C$5:INDEX(Purchases!$C$5:$C$3004,TxRows),$A184))</f>
        <v/>
      </c>
      <c r="M184" s="61" t="str">
        <f aca="false">IF($A184="","",SUMIFS(CashBook!$G$5:INDEX(CashBook!$G$5:$G$3004,TxRows),CashBook!$D$5:INDEX(CashBook!$D$5:$D$3004,TxRows),$A184,CashBook!$C$5:INDEX(CashBook!$C$5:$C$3004,TxRows),"Payment"))</f>
        <v/>
      </c>
      <c r="N184" s="61" t="str">
        <f aca="false">IF($A184="","",N($I184)+J184-K184-L184+M184)</f>
        <v/>
      </c>
      <c r="O184" s="60" t="str">
        <f aca="false">IF($A184="","",IF(ROUND(N184,2)&gt;0,"Receivable",IF(ROUND(N184,2)&lt;0,"Payable","Settled")))</f>
        <v/>
      </c>
      <c r="P184" s="66" t="str">
        <f aca="false">IF($A184="","",IFERROR(SUMPRODUCT(MAX((Sales!$C$5:INDEX(Sales!$C$5:$C$3004,TxRows)=$A184)*Sales!$A$5:INDEX(Sales!$A$5:$A$3004,TxRows))),0))</f>
        <v/>
      </c>
      <c r="Q184" s="66" t="str">
        <f aca="false">IF($A184="","",IFERROR(SUMPRODUCT(MAX((CashBook!$D$5:INDEX(CashBook!$D$5:$D$3004,TxRows)=$A184)*(CashBook!$C$5:INDEX(CashBook!$C$5:$C$3004,TxRows)="Receipt")*CashBook!$A$5:INDEX(CashBook!$A$5:$A$3004,TxRows))),0))</f>
        <v/>
      </c>
      <c r="R184" s="67" t="str">
        <f aca="false">IF($A184="","",IF(ROUND(N184,2)&lt;=0,"",AsOf-IF(N(Q184)&gt;0,Q184,IF(N(P184)&gt;0,P184,FYStart))))</f>
        <v/>
      </c>
      <c r="S184" s="60" t="str">
        <f aca="false">IF($A184="","",IF(AND(N($G184)&gt;0,N184&gt;N($G184)),"OVER LIMIT",IF(AND(N184&gt;0,N(R184)&gt;N($H184)),"OVERDUE",IF(ROUND(N184,2)&lt;0,"PAY DUE",""))))</f>
        <v/>
      </c>
    </row>
    <row r="185" customFormat="false" ht="15" hidden="false" customHeight="false" outlineLevel="0" collapsed="false">
      <c r="A185" s="56"/>
      <c r="B185" s="56"/>
      <c r="C185" s="56"/>
      <c r="D185" s="56"/>
      <c r="E185" s="56"/>
      <c r="F185" s="56"/>
      <c r="G185" s="68"/>
      <c r="H185" s="69"/>
      <c r="I185" s="58"/>
      <c r="J185" s="61" t="str">
        <f aca="false">IF($A185="","",SUMIFS(Sales!$Q$5:INDEX(Sales!$Q$5:$Q$3004,TxRows),Sales!$C$5:INDEX(Sales!$C$5:$C$3004,TxRows),$A185)-SUMIFS(Sales!$X$5:INDEX(Sales!$X$5:$X$3004,TxRows),Sales!$C$5:INDEX(Sales!$C$5:$C$3004,TxRows),$A185))</f>
        <v/>
      </c>
      <c r="K185" s="61" t="str">
        <f aca="false">IF($A185="","",SUMIFS(CashBook!$G$5:INDEX(CashBook!$G$5:$G$3004,TxRows),CashBook!$D$5:INDEX(CashBook!$D$5:$D$3004,TxRows),$A185,CashBook!$C$5:INDEX(CashBook!$C$5:$C$3004,TxRows),"Receipt"))</f>
        <v/>
      </c>
      <c r="L185" s="61" t="str">
        <f aca="false">IF($A185="","",SUMIFS(Purchases!$P$5:INDEX(Purchases!$P$5:$P$3004,TxRows),Purchases!$C$5:INDEX(Purchases!$C$5:$C$3004,TxRows),$A185)-SUMIFS(Purchases!$S$5:INDEX(Purchases!$S$5:$S$3004,TxRows),Purchases!$C$5:INDEX(Purchases!$C$5:$C$3004,TxRows),$A185))</f>
        <v/>
      </c>
      <c r="M185" s="61" t="str">
        <f aca="false">IF($A185="","",SUMIFS(CashBook!$G$5:INDEX(CashBook!$G$5:$G$3004,TxRows),CashBook!$D$5:INDEX(CashBook!$D$5:$D$3004,TxRows),$A185,CashBook!$C$5:INDEX(CashBook!$C$5:$C$3004,TxRows),"Payment"))</f>
        <v/>
      </c>
      <c r="N185" s="61" t="str">
        <f aca="false">IF($A185="","",N($I185)+J185-K185-L185+M185)</f>
        <v/>
      </c>
      <c r="O185" s="60" t="str">
        <f aca="false">IF($A185="","",IF(ROUND(N185,2)&gt;0,"Receivable",IF(ROUND(N185,2)&lt;0,"Payable","Settled")))</f>
        <v/>
      </c>
      <c r="P185" s="66" t="str">
        <f aca="false">IF($A185="","",IFERROR(SUMPRODUCT(MAX((Sales!$C$5:INDEX(Sales!$C$5:$C$3004,TxRows)=$A185)*Sales!$A$5:INDEX(Sales!$A$5:$A$3004,TxRows))),0))</f>
        <v/>
      </c>
      <c r="Q185" s="66" t="str">
        <f aca="false">IF($A185="","",IFERROR(SUMPRODUCT(MAX((CashBook!$D$5:INDEX(CashBook!$D$5:$D$3004,TxRows)=$A185)*(CashBook!$C$5:INDEX(CashBook!$C$5:$C$3004,TxRows)="Receipt")*CashBook!$A$5:INDEX(CashBook!$A$5:$A$3004,TxRows))),0))</f>
        <v/>
      </c>
      <c r="R185" s="67" t="str">
        <f aca="false">IF($A185="","",IF(ROUND(N185,2)&lt;=0,"",AsOf-IF(N(Q185)&gt;0,Q185,IF(N(P185)&gt;0,P185,FYStart))))</f>
        <v/>
      </c>
      <c r="S185" s="60" t="str">
        <f aca="false">IF($A185="","",IF(AND(N($G185)&gt;0,N185&gt;N($G185)),"OVER LIMIT",IF(AND(N185&gt;0,N(R185)&gt;N($H185)),"OVERDUE",IF(ROUND(N185,2)&lt;0,"PAY DUE",""))))</f>
        <v/>
      </c>
    </row>
    <row r="186" customFormat="false" ht="15" hidden="false" customHeight="false" outlineLevel="0" collapsed="false">
      <c r="A186" s="56"/>
      <c r="B186" s="56"/>
      <c r="C186" s="56"/>
      <c r="D186" s="56"/>
      <c r="E186" s="56"/>
      <c r="F186" s="56"/>
      <c r="G186" s="68"/>
      <c r="H186" s="69"/>
      <c r="I186" s="58"/>
      <c r="J186" s="61" t="str">
        <f aca="false">IF($A186="","",SUMIFS(Sales!$Q$5:INDEX(Sales!$Q$5:$Q$3004,TxRows),Sales!$C$5:INDEX(Sales!$C$5:$C$3004,TxRows),$A186)-SUMIFS(Sales!$X$5:INDEX(Sales!$X$5:$X$3004,TxRows),Sales!$C$5:INDEX(Sales!$C$5:$C$3004,TxRows),$A186))</f>
        <v/>
      </c>
      <c r="K186" s="61" t="str">
        <f aca="false">IF($A186="","",SUMIFS(CashBook!$G$5:INDEX(CashBook!$G$5:$G$3004,TxRows),CashBook!$D$5:INDEX(CashBook!$D$5:$D$3004,TxRows),$A186,CashBook!$C$5:INDEX(CashBook!$C$5:$C$3004,TxRows),"Receipt"))</f>
        <v/>
      </c>
      <c r="L186" s="61" t="str">
        <f aca="false">IF($A186="","",SUMIFS(Purchases!$P$5:INDEX(Purchases!$P$5:$P$3004,TxRows),Purchases!$C$5:INDEX(Purchases!$C$5:$C$3004,TxRows),$A186)-SUMIFS(Purchases!$S$5:INDEX(Purchases!$S$5:$S$3004,TxRows),Purchases!$C$5:INDEX(Purchases!$C$5:$C$3004,TxRows),$A186))</f>
        <v/>
      </c>
      <c r="M186" s="61" t="str">
        <f aca="false">IF($A186="","",SUMIFS(CashBook!$G$5:INDEX(CashBook!$G$5:$G$3004,TxRows),CashBook!$D$5:INDEX(CashBook!$D$5:$D$3004,TxRows),$A186,CashBook!$C$5:INDEX(CashBook!$C$5:$C$3004,TxRows),"Payment"))</f>
        <v/>
      </c>
      <c r="N186" s="61" t="str">
        <f aca="false">IF($A186="","",N($I186)+J186-K186-L186+M186)</f>
        <v/>
      </c>
      <c r="O186" s="60" t="str">
        <f aca="false">IF($A186="","",IF(ROUND(N186,2)&gt;0,"Receivable",IF(ROUND(N186,2)&lt;0,"Payable","Settled")))</f>
        <v/>
      </c>
      <c r="P186" s="66" t="str">
        <f aca="false">IF($A186="","",IFERROR(SUMPRODUCT(MAX((Sales!$C$5:INDEX(Sales!$C$5:$C$3004,TxRows)=$A186)*Sales!$A$5:INDEX(Sales!$A$5:$A$3004,TxRows))),0))</f>
        <v/>
      </c>
      <c r="Q186" s="66" t="str">
        <f aca="false">IF($A186="","",IFERROR(SUMPRODUCT(MAX((CashBook!$D$5:INDEX(CashBook!$D$5:$D$3004,TxRows)=$A186)*(CashBook!$C$5:INDEX(CashBook!$C$5:$C$3004,TxRows)="Receipt")*CashBook!$A$5:INDEX(CashBook!$A$5:$A$3004,TxRows))),0))</f>
        <v/>
      </c>
      <c r="R186" s="67" t="str">
        <f aca="false">IF($A186="","",IF(ROUND(N186,2)&lt;=0,"",AsOf-IF(N(Q186)&gt;0,Q186,IF(N(P186)&gt;0,P186,FYStart))))</f>
        <v/>
      </c>
      <c r="S186" s="60" t="str">
        <f aca="false">IF($A186="","",IF(AND(N($G186)&gt;0,N186&gt;N($G186)),"OVER LIMIT",IF(AND(N186&gt;0,N(R186)&gt;N($H186)),"OVERDUE",IF(ROUND(N186,2)&lt;0,"PAY DUE",""))))</f>
        <v/>
      </c>
    </row>
    <row r="187" customFormat="false" ht="15" hidden="false" customHeight="false" outlineLevel="0" collapsed="false">
      <c r="A187" s="56"/>
      <c r="B187" s="56"/>
      <c r="C187" s="56"/>
      <c r="D187" s="56"/>
      <c r="E187" s="56"/>
      <c r="F187" s="56"/>
      <c r="G187" s="68"/>
      <c r="H187" s="69"/>
      <c r="I187" s="58"/>
      <c r="J187" s="61" t="str">
        <f aca="false">IF($A187="","",SUMIFS(Sales!$Q$5:INDEX(Sales!$Q$5:$Q$3004,TxRows),Sales!$C$5:INDEX(Sales!$C$5:$C$3004,TxRows),$A187)-SUMIFS(Sales!$X$5:INDEX(Sales!$X$5:$X$3004,TxRows),Sales!$C$5:INDEX(Sales!$C$5:$C$3004,TxRows),$A187))</f>
        <v/>
      </c>
      <c r="K187" s="61" t="str">
        <f aca="false">IF($A187="","",SUMIFS(CashBook!$G$5:INDEX(CashBook!$G$5:$G$3004,TxRows),CashBook!$D$5:INDEX(CashBook!$D$5:$D$3004,TxRows),$A187,CashBook!$C$5:INDEX(CashBook!$C$5:$C$3004,TxRows),"Receipt"))</f>
        <v/>
      </c>
      <c r="L187" s="61" t="str">
        <f aca="false">IF($A187="","",SUMIFS(Purchases!$P$5:INDEX(Purchases!$P$5:$P$3004,TxRows),Purchases!$C$5:INDEX(Purchases!$C$5:$C$3004,TxRows),$A187)-SUMIFS(Purchases!$S$5:INDEX(Purchases!$S$5:$S$3004,TxRows),Purchases!$C$5:INDEX(Purchases!$C$5:$C$3004,TxRows),$A187))</f>
        <v/>
      </c>
      <c r="M187" s="61" t="str">
        <f aca="false">IF($A187="","",SUMIFS(CashBook!$G$5:INDEX(CashBook!$G$5:$G$3004,TxRows),CashBook!$D$5:INDEX(CashBook!$D$5:$D$3004,TxRows),$A187,CashBook!$C$5:INDEX(CashBook!$C$5:$C$3004,TxRows),"Payment"))</f>
        <v/>
      </c>
      <c r="N187" s="61" t="str">
        <f aca="false">IF($A187="","",N($I187)+J187-K187-L187+M187)</f>
        <v/>
      </c>
      <c r="O187" s="60" t="str">
        <f aca="false">IF($A187="","",IF(ROUND(N187,2)&gt;0,"Receivable",IF(ROUND(N187,2)&lt;0,"Payable","Settled")))</f>
        <v/>
      </c>
      <c r="P187" s="66" t="str">
        <f aca="false">IF($A187="","",IFERROR(SUMPRODUCT(MAX((Sales!$C$5:INDEX(Sales!$C$5:$C$3004,TxRows)=$A187)*Sales!$A$5:INDEX(Sales!$A$5:$A$3004,TxRows))),0))</f>
        <v/>
      </c>
      <c r="Q187" s="66" t="str">
        <f aca="false">IF($A187="","",IFERROR(SUMPRODUCT(MAX((CashBook!$D$5:INDEX(CashBook!$D$5:$D$3004,TxRows)=$A187)*(CashBook!$C$5:INDEX(CashBook!$C$5:$C$3004,TxRows)="Receipt")*CashBook!$A$5:INDEX(CashBook!$A$5:$A$3004,TxRows))),0))</f>
        <v/>
      </c>
      <c r="R187" s="67" t="str">
        <f aca="false">IF($A187="","",IF(ROUND(N187,2)&lt;=0,"",AsOf-IF(N(Q187)&gt;0,Q187,IF(N(P187)&gt;0,P187,FYStart))))</f>
        <v/>
      </c>
      <c r="S187" s="60" t="str">
        <f aca="false">IF($A187="","",IF(AND(N($G187)&gt;0,N187&gt;N($G187)),"OVER LIMIT",IF(AND(N187&gt;0,N(R187)&gt;N($H187)),"OVERDUE",IF(ROUND(N187,2)&lt;0,"PAY DUE",""))))</f>
        <v/>
      </c>
    </row>
    <row r="188" customFormat="false" ht="15" hidden="false" customHeight="false" outlineLevel="0" collapsed="false">
      <c r="A188" s="56"/>
      <c r="B188" s="56"/>
      <c r="C188" s="56"/>
      <c r="D188" s="56"/>
      <c r="E188" s="56"/>
      <c r="F188" s="56"/>
      <c r="G188" s="68"/>
      <c r="H188" s="69"/>
      <c r="I188" s="58"/>
      <c r="J188" s="61" t="str">
        <f aca="false">IF($A188="","",SUMIFS(Sales!$Q$5:INDEX(Sales!$Q$5:$Q$3004,TxRows),Sales!$C$5:INDEX(Sales!$C$5:$C$3004,TxRows),$A188)-SUMIFS(Sales!$X$5:INDEX(Sales!$X$5:$X$3004,TxRows),Sales!$C$5:INDEX(Sales!$C$5:$C$3004,TxRows),$A188))</f>
        <v/>
      </c>
      <c r="K188" s="61" t="str">
        <f aca="false">IF($A188="","",SUMIFS(CashBook!$G$5:INDEX(CashBook!$G$5:$G$3004,TxRows),CashBook!$D$5:INDEX(CashBook!$D$5:$D$3004,TxRows),$A188,CashBook!$C$5:INDEX(CashBook!$C$5:$C$3004,TxRows),"Receipt"))</f>
        <v/>
      </c>
      <c r="L188" s="61" t="str">
        <f aca="false">IF($A188="","",SUMIFS(Purchases!$P$5:INDEX(Purchases!$P$5:$P$3004,TxRows),Purchases!$C$5:INDEX(Purchases!$C$5:$C$3004,TxRows),$A188)-SUMIFS(Purchases!$S$5:INDEX(Purchases!$S$5:$S$3004,TxRows),Purchases!$C$5:INDEX(Purchases!$C$5:$C$3004,TxRows),$A188))</f>
        <v/>
      </c>
      <c r="M188" s="61" t="str">
        <f aca="false">IF($A188="","",SUMIFS(CashBook!$G$5:INDEX(CashBook!$G$5:$G$3004,TxRows),CashBook!$D$5:INDEX(CashBook!$D$5:$D$3004,TxRows),$A188,CashBook!$C$5:INDEX(CashBook!$C$5:$C$3004,TxRows),"Payment"))</f>
        <v/>
      </c>
      <c r="N188" s="61" t="str">
        <f aca="false">IF($A188="","",N($I188)+J188-K188-L188+M188)</f>
        <v/>
      </c>
      <c r="O188" s="60" t="str">
        <f aca="false">IF($A188="","",IF(ROUND(N188,2)&gt;0,"Receivable",IF(ROUND(N188,2)&lt;0,"Payable","Settled")))</f>
        <v/>
      </c>
      <c r="P188" s="66" t="str">
        <f aca="false">IF($A188="","",IFERROR(SUMPRODUCT(MAX((Sales!$C$5:INDEX(Sales!$C$5:$C$3004,TxRows)=$A188)*Sales!$A$5:INDEX(Sales!$A$5:$A$3004,TxRows))),0))</f>
        <v/>
      </c>
      <c r="Q188" s="66" t="str">
        <f aca="false">IF($A188="","",IFERROR(SUMPRODUCT(MAX((CashBook!$D$5:INDEX(CashBook!$D$5:$D$3004,TxRows)=$A188)*(CashBook!$C$5:INDEX(CashBook!$C$5:$C$3004,TxRows)="Receipt")*CashBook!$A$5:INDEX(CashBook!$A$5:$A$3004,TxRows))),0))</f>
        <v/>
      </c>
      <c r="R188" s="67" t="str">
        <f aca="false">IF($A188="","",IF(ROUND(N188,2)&lt;=0,"",AsOf-IF(N(Q188)&gt;0,Q188,IF(N(P188)&gt;0,P188,FYStart))))</f>
        <v/>
      </c>
      <c r="S188" s="60" t="str">
        <f aca="false">IF($A188="","",IF(AND(N($G188)&gt;0,N188&gt;N($G188)),"OVER LIMIT",IF(AND(N188&gt;0,N(R188)&gt;N($H188)),"OVERDUE",IF(ROUND(N188,2)&lt;0,"PAY DUE",""))))</f>
        <v/>
      </c>
    </row>
    <row r="189" customFormat="false" ht="15" hidden="false" customHeight="false" outlineLevel="0" collapsed="false">
      <c r="A189" s="56"/>
      <c r="B189" s="56"/>
      <c r="C189" s="56"/>
      <c r="D189" s="56"/>
      <c r="E189" s="56"/>
      <c r="F189" s="56"/>
      <c r="G189" s="68"/>
      <c r="H189" s="69"/>
      <c r="I189" s="58"/>
      <c r="J189" s="61" t="str">
        <f aca="false">IF($A189="","",SUMIFS(Sales!$Q$5:INDEX(Sales!$Q$5:$Q$3004,TxRows),Sales!$C$5:INDEX(Sales!$C$5:$C$3004,TxRows),$A189)-SUMIFS(Sales!$X$5:INDEX(Sales!$X$5:$X$3004,TxRows),Sales!$C$5:INDEX(Sales!$C$5:$C$3004,TxRows),$A189))</f>
        <v/>
      </c>
      <c r="K189" s="61" t="str">
        <f aca="false">IF($A189="","",SUMIFS(CashBook!$G$5:INDEX(CashBook!$G$5:$G$3004,TxRows),CashBook!$D$5:INDEX(CashBook!$D$5:$D$3004,TxRows),$A189,CashBook!$C$5:INDEX(CashBook!$C$5:$C$3004,TxRows),"Receipt"))</f>
        <v/>
      </c>
      <c r="L189" s="61" t="str">
        <f aca="false">IF($A189="","",SUMIFS(Purchases!$P$5:INDEX(Purchases!$P$5:$P$3004,TxRows),Purchases!$C$5:INDEX(Purchases!$C$5:$C$3004,TxRows),$A189)-SUMIFS(Purchases!$S$5:INDEX(Purchases!$S$5:$S$3004,TxRows),Purchases!$C$5:INDEX(Purchases!$C$5:$C$3004,TxRows),$A189))</f>
        <v/>
      </c>
      <c r="M189" s="61" t="str">
        <f aca="false">IF($A189="","",SUMIFS(CashBook!$G$5:INDEX(CashBook!$G$5:$G$3004,TxRows),CashBook!$D$5:INDEX(CashBook!$D$5:$D$3004,TxRows),$A189,CashBook!$C$5:INDEX(CashBook!$C$5:$C$3004,TxRows),"Payment"))</f>
        <v/>
      </c>
      <c r="N189" s="61" t="str">
        <f aca="false">IF($A189="","",N($I189)+J189-K189-L189+M189)</f>
        <v/>
      </c>
      <c r="O189" s="60" t="str">
        <f aca="false">IF($A189="","",IF(ROUND(N189,2)&gt;0,"Receivable",IF(ROUND(N189,2)&lt;0,"Payable","Settled")))</f>
        <v/>
      </c>
      <c r="P189" s="66" t="str">
        <f aca="false">IF($A189="","",IFERROR(SUMPRODUCT(MAX((Sales!$C$5:INDEX(Sales!$C$5:$C$3004,TxRows)=$A189)*Sales!$A$5:INDEX(Sales!$A$5:$A$3004,TxRows))),0))</f>
        <v/>
      </c>
      <c r="Q189" s="66" t="str">
        <f aca="false">IF($A189="","",IFERROR(SUMPRODUCT(MAX((CashBook!$D$5:INDEX(CashBook!$D$5:$D$3004,TxRows)=$A189)*(CashBook!$C$5:INDEX(CashBook!$C$5:$C$3004,TxRows)="Receipt")*CashBook!$A$5:INDEX(CashBook!$A$5:$A$3004,TxRows))),0))</f>
        <v/>
      </c>
      <c r="R189" s="67" t="str">
        <f aca="false">IF($A189="","",IF(ROUND(N189,2)&lt;=0,"",AsOf-IF(N(Q189)&gt;0,Q189,IF(N(P189)&gt;0,P189,FYStart))))</f>
        <v/>
      </c>
      <c r="S189" s="60" t="str">
        <f aca="false">IF($A189="","",IF(AND(N($G189)&gt;0,N189&gt;N($G189)),"OVER LIMIT",IF(AND(N189&gt;0,N(R189)&gt;N($H189)),"OVERDUE",IF(ROUND(N189,2)&lt;0,"PAY DUE",""))))</f>
        <v/>
      </c>
    </row>
    <row r="190" customFormat="false" ht="15" hidden="false" customHeight="false" outlineLevel="0" collapsed="false">
      <c r="A190" s="56"/>
      <c r="B190" s="56"/>
      <c r="C190" s="56"/>
      <c r="D190" s="56"/>
      <c r="E190" s="56"/>
      <c r="F190" s="56"/>
      <c r="G190" s="68"/>
      <c r="H190" s="69"/>
      <c r="I190" s="58"/>
      <c r="J190" s="61" t="str">
        <f aca="false">IF($A190="","",SUMIFS(Sales!$Q$5:INDEX(Sales!$Q$5:$Q$3004,TxRows),Sales!$C$5:INDEX(Sales!$C$5:$C$3004,TxRows),$A190)-SUMIFS(Sales!$X$5:INDEX(Sales!$X$5:$X$3004,TxRows),Sales!$C$5:INDEX(Sales!$C$5:$C$3004,TxRows),$A190))</f>
        <v/>
      </c>
      <c r="K190" s="61" t="str">
        <f aca="false">IF($A190="","",SUMIFS(CashBook!$G$5:INDEX(CashBook!$G$5:$G$3004,TxRows),CashBook!$D$5:INDEX(CashBook!$D$5:$D$3004,TxRows),$A190,CashBook!$C$5:INDEX(CashBook!$C$5:$C$3004,TxRows),"Receipt"))</f>
        <v/>
      </c>
      <c r="L190" s="61" t="str">
        <f aca="false">IF($A190="","",SUMIFS(Purchases!$P$5:INDEX(Purchases!$P$5:$P$3004,TxRows),Purchases!$C$5:INDEX(Purchases!$C$5:$C$3004,TxRows),$A190)-SUMIFS(Purchases!$S$5:INDEX(Purchases!$S$5:$S$3004,TxRows),Purchases!$C$5:INDEX(Purchases!$C$5:$C$3004,TxRows),$A190))</f>
        <v/>
      </c>
      <c r="M190" s="61" t="str">
        <f aca="false">IF($A190="","",SUMIFS(CashBook!$G$5:INDEX(CashBook!$G$5:$G$3004,TxRows),CashBook!$D$5:INDEX(CashBook!$D$5:$D$3004,TxRows),$A190,CashBook!$C$5:INDEX(CashBook!$C$5:$C$3004,TxRows),"Payment"))</f>
        <v/>
      </c>
      <c r="N190" s="61" t="str">
        <f aca="false">IF($A190="","",N($I190)+J190-K190-L190+M190)</f>
        <v/>
      </c>
      <c r="O190" s="60" t="str">
        <f aca="false">IF($A190="","",IF(ROUND(N190,2)&gt;0,"Receivable",IF(ROUND(N190,2)&lt;0,"Payable","Settled")))</f>
        <v/>
      </c>
      <c r="P190" s="66" t="str">
        <f aca="false">IF($A190="","",IFERROR(SUMPRODUCT(MAX((Sales!$C$5:INDEX(Sales!$C$5:$C$3004,TxRows)=$A190)*Sales!$A$5:INDEX(Sales!$A$5:$A$3004,TxRows))),0))</f>
        <v/>
      </c>
      <c r="Q190" s="66" t="str">
        <f aca="false">IF($A190="","",IFERROR(SUMPRODUCT(MAX((CashBook!$D$5:INDEX(CashBook!$D$5:$D$3004,TxRows)=$A190)*(CashBook!$C$5:INDEX(CashBook!$C$5:$C$3004,TxRows)="Receipt")*CashBook!$A$5:INDEX(CashBook!$A$5:$A$3004,TxRows))),0))</f>
        <v/>
      </c>
      <c r="R190" s="67" t="str">
        <f aca="false">IF($A190="","",IF(ROUND(N190,2)&lt;=0,"",AsOf-IF(N(Q190)&gt;0,Q190,IF(N(P190)&gt;0,P190,FYStart))))</f>
        <v/>
      </c>
      <c r="S190" s="60" t="str">
        <f aca="false">IF($A190="","",IF(AND(N($G190)&gt;0,N190&gt;N($G190)),"OVER LIMIT",IF(AND(N190&gt;0,N(R190)&gt;N($H190)),"OVERDUE",IF(ROUND(N190,2)&lt;0,"PAY DUE",""))))</f>
        <v/>
      </c>
    </row>
    <row r="191" customFormat="false" ht="15" hidden="false" customHeight="false" outlineLevel="0" collapsed="false">
      <c r="A191" s="56"/>
      <c r="B191" s="56"/>
      <c r="C191" s="56"/>
      <c r="D191" s="56"/>
      <c r="E191" s="56"/>
      <c r="F191" s="56"/>
      <c r="G191" s="68"/>
      <c r="H191" s="69"/>
      <c r="I191" s="58"/>
      <c r="J191" s="61" t="str">
        <f aca="false">IF($A191="","",SUMIFS(Sales!$Q$5:INDEX(Sales!$Q$5:$Q$3004,TxRows),Sales!$C$5:INDEX(Sales!$C$5:$C$3004,TxRows),$A191)-SUMIFS(Sales!$X$5:INDEX(Sales!$X$5:$X$3004,TxRows),Sales!$C$5:INDEX(Sales!$C$5:$C$3004,TxRows),$A191))</f>
        <v/>
      </c>
      <c r="K191" s="61" t="str">
        <f aca="false">IF($A191="","",SUMIFS(CashBook!$G$5:INDEX(CashBook!$G$5:$G$3004,TxRows),CashBook!$D$5:INDEX(CashBook!$D$5:$D$3004,TxRows),$A191,CashBook!$C$5:INDEX(CashBook!$C$5:$C$3004,TxRows),"Receipt"))</f>
        <v/>
      </c>
      <c r="L191" s="61" t="str">
        <f aca="false">IF($A191="","",SUMIFS(Purchases!$P$5:INDEX(Purchases!$P$5:$P$3004,TxRows),Purchases!$C$5:INDEX(Purchases!$C$5:$C$3004,TxRows),$A191)-SUMIFS(Purchases!$S$5:INDEX(Purchases!$S$5:$S$3004,TxRows),Purchases!$C$5:INDEX(Purchases!$C$5:$C$3004,TxRows),$A191))</f>
        <v/>
      </c>
      <c r="M191" s="61" t="str">
        <f aca="false">IF($A191="","",SUMIFS(CashBook!$G$5:INDEX(CashBook!$G$5:$G$3004,TxRows),CashBook!$D$5:INDEX(CashBook!$D$5:$D$3004,TxRows),$A191,CashBook!$C$5:INDEX(CashBook!$C$5:$C$3004,TxRows),"Payment"))</f>
        <v/>
      </c>
      <c r="N191" s="61" t="str">
        <f aca="false">IF($A191="","",N($I191)+J191-K191-L191+M191)</f>
        <v/>
      </c>
      <c r="O191" s="60" t="str">
        <f aca="false">IF($A191="","",IF(ROUND(N191,2)&gt;0,"Receivable",IF(ROUND(N191,2)&lt;0,"Payable","Settled")))</f>
        <v/>
      </c>
      <c r="P191" s="66" t="str">
        <f aca="false">IF($A191="","",IFERROR(SUMPRODUCT(MAX((Sales!$C$5:INDEX(Sales!$C$5:$C$3004,TxRows)=$A191)*Sales!$A$5:INDEX(Sales!$A$5:$A$3004,TxRows))),0))</f>
        <v/>
      </c>
      <c r="Q191" s="66" t="str">
        <f aca="false">IF($A191="","",IFERROR(SUMPRODUCT(MAX((CashBook!$D$5:INDEX(CashBook!$D$5:$D$3004,TxRows)=$A191)*(CashBook!$C$5:INDEX(CashBook!$C$5:$C$3004,TxRows)="Receipt")*CashBook!$A$5:INDEX(CashBook!$A$5:$A$3004,TxRows))),0))</f>
        <v/>
      </c>
      <c r="R191" s="67" t="str">
        <f aca="false">IF($A191="","",IF(ROUND(N191,2)&lt;=0,"",AsOf-IF(N(Q191)&gt;0,Q191,IF(N(P191)&gt;0,P191,FYStart))))</f>
        <v/>
      </c>
      <c r="S191" s="60" t="str">
        <f aca="false">IF($A191="","",IF(AND(N($G191)&gt;0,N191&gt;N($G191)),"OVER LIMIT",IF(AND(N191&gt;0,N(R191)&gt;N($H191)),"OVERDUE",IF(ROUND(N191,2)&lt;0,"PAY DUE",""))))</f>
        <v/>
      </c>
    </row>
    <row r="192" customFormat="false" ht="15" hidden="false" customHeight="false" outlineLevel="0" collapsed="false">
      <c r="A192" s="56"/>
      <c r="B192" s="56"/>
      <c r="C192" s="56"/>
      <c r="D192" s="56"/>
      <c r="E192" s="56"/>
      <c r="F192" s="56"/>
      <c r="G192" s="68"/>
      <c r="H192" s="69"/>
      <c r="I192" s="58"/>
      <c r="J192" s="61" t="str">
        <f aca="false">IF($A192="","",SUMIFS(Sales!$Q$5:INDEX(Sales!$Q$5:$Q$3004,TxRows),Sales!$C$5:INDEX(Sales!$C$5:$C$3004,TxRows),$A192)-SUMIFS(Sales!$X$5:INDEX(Sales!$X$5:$X$3004,TxRows),Sales!$C$5:INDEX(Sales!$C$5:$C$3004,TxRows),$A192))</f>
        <v/>
      </c>
      <c r="K192" s="61" t="str">
        <f aca="false">IF($A192="","",SUMIFS(CashBook!$G$5:INDEX(CashBook!$G$5:$G$3004,TxRows),CashBook!$D$5:INDEX(CashBook!$D$5:$D$3004,TxRows),$A192,CashBook!$C$5:INDEX(CashBook!$C$5:$C$3004,TxRows),"Receipt"))</f>
        <v/>
      </c>
      <c r="L192" s="61" t="str">
        <f aca="false">IF($A192="","",SUMIFS(Purchases!$P$5:INDEX(Purchases!$P$5:$P$3004,TxRows),Purchases!$C$5:INDEX(Purchases!$C$5:$C$3004,TxRows),$A192)-SUMIFS(Purchases!$S$5:INDEX(Purchases!$S$5:$S$3004,TxRows),Purchases!$C$5:INDEX(Purchases!$C$5:$C$3004,TxRows),$A192))</f>
        <v/>
      </c>
      <c r="M192" s="61" t="str">
        <f aca="false">IF($A192="","",SUMIFS(CashBook!$G$5:INDEX(CashBook!$G$5:$G$3004,TxRows),CashBook!$D$5:INDEX(CashBook!$D$5:$D$3004,TxRows),$A192,CashBook!$C$5:INDEX(CashBook!$C$5:$C$3004,TxRows),"Payment"))</f>
        <v/>
      </c>
      <c r="N192" s="61" t="str">
        <f aca="false">IF($A192="","",N($I192)+J192-K192-L192+M192)</f>
        <v/>
      </c>
      <c r="O192" s="60" t="str">
        <f aca="false">IF($A192="","",IF(ROUND(N192,2)&gt;0,"Receivable",IF(ROUND(N192,2)&lt;0,"Payable","Settled")))</f>
        <v/>
      </c>
      <c r="P192" s="66" t="str">
        <f aca="false">IF($A192="","",IFERROR(SUMPRODUCT(MAX((Sales!$C$5:INDEX(Sales!$C$5:$C$3004,TxRows)=$A192)*Sales!$A$5:INDEX(Sales!$A$5:$A$3004,TxRows))),0))</f>
        <v/>
      </c>
      <c r="Q192" s="66" t="str">
        <f aca="false">IF($A192="","",IFERROR(SUMPRODUCT(MAX((CashBook!$D$5:INDEX(CashBook!$D$5:$D$3004,TxRows)=$A192)*(CashBook!$C$5:INDEX(CashBook!$C$5:$C$3004,TxRows)="Receipt")*CashBook!$A$5:INDEX(CashBook!$A$5:$A$3004,TxRows))),0))</f>
        <v/>
      </c>
      <c r="R192" s="67" t="str">
        <f aca="false">IF($A192="","",IF(ROUND(N192,2)&lt;=0,"",AsOf-IF(N(Q192)&gt;0,Q192,IF(N(P192)&gt;0,P192,FYStart))))</f>
        <v/>
      </c>
      <c r="S192" s="60" t="str">
        <f aca="false">IF($A192="","",IF(AND(N($G192)&gt;0,N192&gt;N($G192)),"OVER LIMIT",IF(AND(N192&gt;0,N(R192)&gt;N($H192)),"OVERDUE",IF(ROUND(N192,2)&lt;0,"PAY DUE",""))))</f>
        <v/>
      </c>
    </row>
    <row r="193" customFormat="false" ht="15" hidden="false" customHeight="false" outlineLevel="0" collapsed="false">
      <c r="A193" s="56"/>
      <c r="B193" s="56"/>
      <c r="C193" s="56"/>
      <c r="D193" s="56"/>
      <c r="E193" s="56"/>
      <c r="F193" s="56"/>
      <c r="G193" s="68"/>
      <c r="H193" s="69"/>
      <c r="I193" s="58"/>
      <c r="J193" s="61" t="str">
        <f aca="false">IF($A193="","",SUMIFS(Sales!$Q$5:INDEX(Sales!$Q$5:$Q$3004,TxRows),Sales!$C$5:INDEX(Sales!$C$5:$C$3004,TxRows),$A193)-SUMIFS(Sales!$X$5:INDEX(Sales!$X$5:$X$3004,TxRows),Sales!$C$5:INDEX(Sales!$C$5:$C$3004,TxRows),$A193))</f>
        <v/>
      </c>
      <c r="K193" s="61" t="str">
        <f aca="false">IF($A193="","",SUMIFS(CashBook!$G$5:INDEX(CashBook!$G$5:$G$3004,TxRows),CashBook!$D$5:INDEX(CashBook!$D$5:$D$3004,TxRows),$A193,CashBook!$C$5:INDEX(CashBook!$C$5:$C$3004,TxRows),"Receipt"))</f>
        <v/>
      </c>
      <c r="L193" s="61" t="str">
        <f aca="false">IF($A193="","",SUMIFS(Purchases!$P$5:INDEX(Purchases!$P$5:$P$3004,TxRows),Purchases!$C$5:INDEX(Purchases!$C$5:$C$3004,TxRows),$A193)-SUMIFS(Purchases!$S$5:INDEX(Purchases!$S$5:$S$3004,TxRows),Purchases!$C$5:INDEX(Purchases!$C$5:$C$3004,TxRows),$A193))</f>
        <v/>
      </c>
      <c r="M193" s="61" t="str">
        <f aca="false">IF($A193="","",SUMIFS(CashBook!$G$5:INDEX(CashBook!$G$5:$G$3004,TxRows),CashBook!$D$5:INDEX(CashBook!$D$5:$D$3004,TxRows),$A193,CashBook!$C$5:INDEX(CashBook!$C$5:$C$3004,TxRows),"Payment"))</f>
        <v/>
      </c>
      <c r="N193" s="61" t="str">
        <f aca="false">IF($A193="","",N($I193)+J193-K193-L193+M193)</f>
        <v/>
      </c>
      <c r="O193" s="60" t="str">
        <f aca="false">IF($A193="","",IF(ROUND(N193,2)&gt;0,"Receivable",IF(ROUND(N193,2)&lt;0,"Payable","Settled")))</f>
        <v/>
      </c>
      <c r="P193" s="66" t="str">
        <f aca="false">IF($A193="","",IFERROR(SUMPRODUCT(MAX((Sales!$C$5:INDEX(Sales!$C$5:$C$3004,TxRows)=$A193)*Sales!$A$5:INDEX(Sales!$A$5:$A$3004,TxRows))),0))</f>
        <v/>
      </c>
      <c r="Q193" s="66" t="str">
        <f aca="false">IF($A193="","",IFERROR(SUMPRODUCT(MAX((CashBook!$D$5:INDEX(CashBook!$D$5:$D$3004,TxRows)=$A193)*(CashBook!$C$5:INDEX(CashBook!$C$5:$C$3004,TxRows)="Receipt")*CashBook!$A$5:INDEX(CashBook!$A$5:$A$3004,TxRows))),0))</f>
        <v/>
      </c>
      <c r="R193" s="67" t="str">
        <f aca="false">IF($A193="","",IF(ROUND(N193,2)&lt;=0,"",AsOf-IF(N(Q193)&gt;0,Q193,IF(N(P193)&gt;0,P193,FYStart))))</f>
        <v/>
      </c>
      <c r="S193" s="60" t="str">
        <f aca="false">IF($A193="","",IF(AND(N($G193)&gt;0,N193&gt;N($G193)),"OVER LIMIT",IF(AND(N193&gt;0,N(R193)&gt;N($H193)),"OVERDUE",IF(ROUND(N193,2)&lt;0,"PAY DUE",""))))</f>
        <v/>
      </c>
    </row>
    <row r="194" customFormat="false" ht="15" hidden="false" customHeight="false" outlineLevel="0" collapsed="false">
      <c r="A194" s="56"/>
      <c r="B194" s="56"/>
      <c r="C194" s="56"/>
      <c r="D194" s="56"/>
      <c r="E194" s="56"/>
      <c r="F194" s="56"/>
      <c r="G194" s="68"/>
      <c r="H194" s="69"/>
      <c r="I194" s="58"/>
      <c r="J194" s="61" t="str">
        <f aca="false">IF($A194="","",SUMIFS(Sales!$Q$5:INDEX(Sales!$Q$5:$Q$3004,TxRows),Sales!$C$5:INDEX(Sales!$C$5:$C$3004,TxRows),$A194)-SUMIFS(Sales!$X$5:INDEX(Sales!$X$5:$X$3004,TxRows),Sales!$C$5:INDEX(Sales!$C$5:$C$3004,TxRows),$A194))</f>
        <v/>
      </c>
      <c r="K194" s="61" t="str">
        <f aca="false">IF($A194="","",SUMIFS(CashBook!$G$5:INDEX(CashBook!$G$5:$G$3004,TxRows),CashBook!$D$5:INDEX(CashBook!$D$5:$D$3004,TxRows),$A194,CashBook!$C$5:INDEX(CashBook!$C$5:$C$3004,TxRows),"Receipt"))</f>
        <v/>
      </c>
      <c r="L194" s="61" t="str">
        <f aca="false">IF($A194="","",SUMIFS(Purchases!$P$5:INDEX(Purchases!$P$5:$P$3004,TxRows),Purchases!$C$5:INDEX(Purchases!$C$5:$C$3004,TxRows),$A194)-SUMIFS(Purchases!$S$5:INDEX(Purchases!$S$5:$S$3004,TxRows),Purchases!$C$5:INDEX(Purchases!$C$5:$C$3004,TxRows),$A194))</f>
        <v/>
      </c>
      <c r="M194" s="61" t="str">
        <f aca="false">IF($A194="","",SUMIFS(CashBook!$G$5:INDEX(CashBook!$G$5:$G$3004,TxRows),CashBook!$D$5:INDEX(CashBook!$D$5:$D$3004,TxRows),$A194,CashBook!$C$5:INDEX(CashBook!$C$5:$C$3004,TxRows),"Payment"))</f>
        <v/>
      </c>
      <c r="N194" s="61" t="str">
        <f aca="false">IF($A194="","",N($I194)+J194-K194-L194+M194)</f>
        <v/>
      </c>
      <c r="O194" s="60" t="str">
        <f aca="false">IF($A194="","",IF(ROUND(N194,2)&gt;0,"Receivable",IF(ROUND(N194,2)&lt;0,"Payable","Settled")))</f>
        <v/>
      </c>
      <c r="P194" s="66" t="str">
        <f aca="false">IF($A194="","",IFERROR(SUMPRODUCT(MAX((Sales!$C$5:INDEX(Sales!$C$5:$C$3004,TxRows)=$A194)*Sales!$A$5:INDEX(Sales!$A$5:$A$3004,TxRows))),0))</f>
        <v/>
      </c>
      <c r="Q194" s="66" t="str">
        <f aca="false">IF($A194="","",IFERROR(SUMPRODUCT(MAX((CashBook!$D$5:INDEX(CashBook!$D$5:$D$3004,TxRows)=$A194)*(CashBook!$C$5:INDEX(CashBook!$C$5:$C$3004,TxRows)="Receipt")*CashBook!$A$5:INDEX(CashBook!$A$5:$A$3004,TxRows))),0))</f>
        <v/>
      </c>
      <c r="R194" s="67" t="str">
        <f aca="false">IF($A194="","",IF(ROUND(N194,2)&lt;=0,"",AsOf-IF(N(Q194)&gt;0,Q194,IF(N(P194)&gt;0,P194,FYStart))))</f>
        <v/>
      </c>
      <c r="S194" s="60" t="str">
        <f aca="false">IF($A194="","",IF(AND(N($G194)&gt;0,N194&gt;N($G194)),"OVER LIMIT",IF(AND(N194&gt;0,N(R194)&gt;N($H194)),"OVERDUE",IF(ROUND(N194,2)&lt;0,"PAY DUE",""))))</f>
        <v/>
      </c>
    </row>
    <row r="195" customFormat="false" ht="15" hidden="false" customHeight="false" outlineLevel="0" collapsed="false">
      <c r="A195" s="56"/>
      <c r="B195" s="56"/>
      <c r="C195" s="56"/>
      <c r="D195" s="56"/>
      <c r="E195" s="56"/>
      <c r="F195" s="56"/>
      <c r="G195" s="68"/>
      <c r="H195" s="69"/>
      <c r="I195" s="58"/>
      <c r="J195" s="61" t="str">
        <f aca="false">IF($A195="","",SUMIFS(Sales!$Q$5:INDEX(Sales!$Q$5:$Q$3004,TxRows),Sales!$C$5:INDEX(Sales!$C$5:$C$3004,TxRows),$A195)-SUMIFS(Sales!$X$5:INDEX(Sales!$X$5:$X$3004,TxRows),Sales!$C$5:INDEX(Sales!$C$5:$C$3004,TxRows),$A195))</f>
        <v/>
      </c>
      <c r="K195" s="61" t="str">
        <f aca="false">IF($A195="","",SUMIFS(CashBook!$G$5:INDEX(CashBook!$G$5:$G$3004,TxRows),CashBook!$D$5:INDEX(CashBook!$D$5:$D$3004,TxRows),$A195,CashBook!$C$5:INDEX(CashBook!$C$5:$C$3004,TxRows),"Receipt"))</f>
        <v/>
      </c>
      <c r="L195" s="61" t="str">
        <f aca="false">IF($A195="","",SUMIFS(Purchases!$P$5:INDEX(Purchases!$P$5:$P$3004,TxRows),Purchases!$C$5:INDEX(Purchases!$C$5:$C$3004,TxRows),$A195)-SUMIFS(Purchases!$S$5:INDEX(Purchases!$S$5:$S$3004,TxRows),Purchases!$C$5:INDEX(Purchases!$C$5:$C$3004,TxRows),$A195))</f>
        <v/>
      </c>
      <c r="M195" s="61" t="str">
        <f aca="false">IF($A195="","",SUMIFS(CashBook!$G$5:INDEX(CashBook!$G$5:$G$3004,TxRows),CashBook!$D$5:INDEX(CashBook!$D$5:$D$3004,TxRows),$A195,CashBook!$C$5:INDEX(CashBook!$C$5:$C$3004,TxRows),"Payment"))</f>
        <v/>
      </c>
      <c r="N195" s="61" t="str">
        <f aca="false">IF($A195="","",N($I195)+J195-K195-L195+M195)</f>
        <v/>
      </c>
      <c r="O195" s="60" t="str">
        <f aca="false">IF($A195="","",IF(ROUND(N195,2)&gt;0,"Receivable",IF(ROUND(N195,2)&lt;0,"Payable","Settled")))</f>
        <v/>
      </c>
      <c r="P195" s="66" t="str">
        <f aca="false">IF($A195="","",IFERROR(SUMPRODUCT(MAX((Sales!$C$5:INDEX(Sales!$C$5:$C$3004,TxRows)=$A195)*Sales!$A$5:INDEX(Sales!$A$5:$A$3004,TxRows))),0))</f>
        <v/>
      </c>
      <c r="Q195" s="66" t="str">
        <f aca="false">IF($A195="","",IFERROR(SUMPRODUCT(MAX((CashBook!$D$5:INDEX(CashBook!$D$5:$D$3004,TxRows)=$A195)*(CashBook!$C$5:INDEX(CashBook!$C$5:$C$3004,TxRows)="Receipt")*CashBook!$A$5:INDEX(CashBook!$A$5:$A$3004,TxRows))),0))</f>
        <v/>
      </c>
      <c r="R195" s="67" t="str">
        <f aca="false">IF($A195="","",IF(ROUND(N195,2)&lt;=0,"",AsOf-IF(N(Q195)&gt;0,Q195,IF(N(P195)&gt;0,P195,FYStart))))</f>
        <v/>
      </c>
      <c r="S195" s="60" t="str">
        <f aca="false">IF($A195="","",IF(AND(N($G195)&gt;0,N195&gt;N($G195)),"OVER LIMIT",IF(AND(N195&gt;0,N(R195)&gt;N($H195)),"OVERDUE",IF(ROUND(N195,2)&lt;0,"PAY DUE",""))))</f>
        <v/>
      </c>
    </row>
    <row r="196" customFormat="false" ht="15" hidden="false" customHeight="false" outlineLevel="0" collapsed="false">
      <c r="A196" s="56"/>
      <c r="B196" s="56"/>
      <c r="C196" s="56"/>
      <c r="D196" s="56"/>
      <c r="E196" s="56"/>
      <c r="F196" s="56"/>
      <c r="G196" s="68"/>
      <c r="H196" s="69"/>
      <c r="I196" s="58"/>
      <c r="J196" s="61" t="str">
        <f aca="false">IF($A196="","",SUMIFS(Sales!$Q$5:INDEX(Sales!$Q$5:$Q$3004,TxRows),Sales!$C$5:INDEX(Sales!$C$5:$C$3004,TxRows),$A196)-SUMIFS(Sales!$X$5:INDEX(Sales!$X$5:$X$3004,TxRows),Sales!$C$5:INDEX(Sales!$C$5:$C$3004,TxRows),$A196))</f>
        <v/>
      </c>
      <c r="K196" s="61" t="str">
        <f aca="false">IF($A196="","",SUMIFS(CashBook!$G$5:INDEX(CashBook!$G$5:$G$3004,TxRows),CashBook!$D$5:INDEX(CashBook!$D$5:$D$3004,TxRows),$A196,CashBook!$C$5:INDEX(CashBook!$C$5:$C$3004,TxRows),"Receipt"))</f>
        <v/>
      </c>
      <c r="L196" s="61" t="str">
        <f aca="false">IF($A196="","",SUMIFS(Purchases!$P$5:INDEX(Purchases!$P$5:$P$3004,TxRows),Purchases!$C$5:INDEX(Purchases!$C$5:$C$3004,TxRows),$A196)-SUMIFS(Purchases!$S$5:INDEX(Purchases!$S$5:$S$3004,TxRows),Purchases!$C$5:INDEX(Purchases!$C$5:$C$3004,TxRows),$A196))</f>
        <v/>
      </c>
      <c r="M196" s="61" t="str">
        <f aca="false">IF($A196="","",SUMIFS(CashBook!$G$5:INDEX(CashBook!$G$5:$G$3004,TxRows),CashBook!$D$5:INDEX(CashBook!$D$5:$D$3004,TxRows),$A196,CashBook!$C$5:INDEX(CashBook!$C$5:$C$3004,TxRows),"Payment"))</f>
        <v/>
      </c>
      <c r="N196" s="61" t="str">
        <f aca="false">IF($A196="","",N($I196)+J196-K196-L196+M196)</f>
        <v/>
      </c>
      <c r="O196" s="60" t="str">
        <f aca="false">IF($A196="","",IF(ROUND(N196,2)&gt;0,"Receivable",IF(ROUND(N196,2)&lt;0,"Payable","Settled")))</f>
        <v/>
      </c>
      <c r="P196" s="66" t="str">
        <f aca="false">IF($A196="","",IFERROR(SUMPRODUCT(MAX((Sales!$C$5:INDEX(Sales!$C$5:$C$3004,TxRows)=$A196)*Sales!$A$5:INDEX(Sales!$A$5:$A$3004,TxRows))),0))</f>
        <v/>
      </c>
      <c r="Q196" s="66" t="str">
        <f aca="false">IF($A196="","",IFERROR(SUMPRODUCT(MAX((CashBook!$D$5:INDEX(CashBook!$D$5:$D$3004,TxRows)=$A196)*(CashBook!$C$5:INDEX(CashBook!$C$5:$C$3004,TxRows)="Receipt")*CashBook!$A$5:INDEX(CashBook!$A$5:$A$3004,TxRows))),0))</f>
        <v/>
      </c>
      <c r="R196" s="67" t="str">
        <f aca="false">IF($A196="","",IF(ROUND(N196,2)&lt;=0,"",AsOf-IF(N(Q196)&gt;0,Q196,IF(N(P196)&gt;0,P196,FYStart))))</f>
        <v/>
      </c>
      <c r="S196" s="60" t="str">
        <f aca="false">IF($A196="","",IF(AND(N($G196)&gt;0,N196&gt;N($G196)),"OVER LIMIT",IF(AND(N196&gt;0,N(R196)&gt;N($H196)),"OVERDUE",IF(ROUND(N196,2)&lt;0,"PAY DUE",""))))</f>
        <v/>
      </c>
    </row>
    <row r="197" customFormat="false" ht="15" hidden="false" customHeight="false" outlineLevel="0" collapsed="false">
      <c r="A197" s="56"/>
      <c r="B197" s="56"/>
      <c r="C197" s="56"/>
      <c r="D197" s="56"/>
      <c r="E197" s="56"/>
      <c r="F197" s="56"/>
      <c r="G197" s="68"/>
      <c r="H197" s="69"/>
      <c r="I197" s="58"/>
      <c r="J197" s="61" t="str">
        <f aca="false">IF($A197="","",SUMIFS(Sales!$Q$5:INDEX(Sales!$Q$5:$Q$3004,TxRows),Sales!$C$5:INDEX(Sales!$C$5:$C$3004,TxRows),$A197)-SUMIFS(Sales!$X$5:INDEX(Sales!$X$5:$X$3004,TxRows),Sales!$C$5:INDEX(Sales!$C$5:$C$3004,TxRows),$A197))</f>
        <v/>
      </c>
      <c r="K197" s="61" t="str">
        <f aca="false">IF($A197="","",SUMIFS(CashBook!$G$5:INDEX(CashBook!$G$5:$G$3004,TxRows),CashBook!$D$5:INDEX(CashBook!$D$5:$D$3004,TxRows),$A197,CashBook!$C$5:INDEX(CashBook!$C$5:$C$3004,TxRows),"Receipt"))</f>
        <v/>
      </c>
      <c r="L197" s="61" t="str">
        <f aca="false">IF($A197="","",SUMIFS(Purchases!$P$5:INDEX(Purchases!$P$5:$P$3004,TxRows),Purchases!$C$5:INDEX(Purchases!$C$5:$C$3004,TxRows),$A197)-SUMIFS(Purchases!$S$5:INDEX(Purchases!$S$5:$S$3004,TxRows),Purchases!$C$5:INDEX(Purchases!$C$5:$C$3004,TxRows),$A197))</f>
        <v/>
      </c>
      <c r="M197" s="61" t="str">
        <f aca="false">IF($A197="","",SUMIFS(CashBook!$G$5:INDEX(CashBook!$G$5:$G$3004,TxRows),CashBook!$D$5:INDEX(CashBook!$D$5:$D$3004,TxRows),$A197,CashBook!$C$5:INDEX(CashBook!$C$5:$C$3004,TxRows),"Payment"))</f>
        <v/>
      </c>
      <c r="N197" s="61" t="str">
        <f aca="false">IF($A197="","",N($I197)+J197-K197-L197+M197)</f>
        <v/>
      </c>
      <c r="O197" s="60" t="str">
        <f aca="false">IF($A197="","",IF(ROUND(N197,2)&gt;0,"Receivable",IF(ROUND(N197,2)&lt;0,"Payable","Settled")))</f>
        <v/>
      </c>
      <c r="P197" s="66" t="str">
        <f aca="false">IF($A197="","",IFERROR(SUMPRODUCT(MAX((Sales!$C$5:INDEX(Sales!$C$5:$C$3004,TxRows)=$A197)*Sales!$A$5:INDEX(Sales!$A$5:$A$3004,TxRows))),0))</f>
        <v/>
      </c>
      <c r="Q197" s="66" t="str">
        <f aca="false">IF($A197="","",IFERROR(SUMPRODUCT(MAX((CashBook!$D$5:INDEX(CashBook!$D$5:$D$3004,TxRows)=$A197)*(CashBook!$C$5:INDEX(CashBook!$C$5:$C$3004,TxRows)="Receipt")*CashBook!$A$5:INDEX(CashBook!$A$5:$A$3004,TxRows))),0))</f>
        <v/>
      </c>
      <c r="R197" s="67" t="str">
        <f aca="false">IF($A197="","",IF(ROUND(N197,2)&lt;=0,"",AsOf-IF(N(Q197)&gt;0,Q197,IF(N(P197)&gt;0,P197,FYStart))))</f>
        <v/>
      </c>
      <c r="S197" s="60" t="str">
        <f aca="false">IF($A197="","",IF(AND(N($G197)&gt;0,N197&gt;N($G197)),"OVER LIMIT",IF(AND(N197&gt;0,N(R197)&gt;N($H197)),"OVERDUE",IF(ROUND(N197,2)&lt;0,"PAY DUE",""))))</f>
        <v/>
      </c>
    </row>
    <row r="198" customFormat="false" ht="15" hidden="false" customHeight="false" outlineLevel="0" collapsed="false">
      <c r="A198" s="56"/>
      <c r="B198" s="56"/>
      <c r="C198" s="56"/>
      <c r="D198" s="56"/>
      <c r="E198" s="56"/>
      <c r="F198" s="56"/>
      <c r="G198" s="68"/>
      <c r="H198" s="69"/>
      <c r="I198" s="58"/>
      <c r="J198" s="61" t="str">
        <f aca="false">IF($A198="","",SUMIFS(Sales!$Q$5:INDEX(Sales!$Q$5:$Q$3004,TxRows),Sales!$C$5:INDEX(Sales!$C$5:$C$3004,TxRows),$A198)-SUMIFS(Sales!$X$5:INDEX(Sales!$X$5:$X$3004,TxRows),Sales!$C$5:INDEX(Sales!$C$5:$C$3004,TxRows),$A198))</f>
        <v/>
      </c>
      <c r="K198" s="61" t="str">
        <f aca="false">IF($A198="","",SUMIFS(CashBook!$G$5:INDEX(CashBook!$G$5:$G$3004,TxRows),CashBook!$D$5:INDEX(CashBook!$D$5:$D$3004,TxRows),$A198,CashBook!$C$5:INDEX(CashBook!$C$5:$C$3004,TxRows),"Receipt"))</f>
        <v/>
      </c>
      <c r="L198" s="61" t="str">
        <f aca="false">IF($A198="","",SUMIFS(Purchases!$P$5:INDEX(Purchases!$P$5:$P$3004,TxRows),Purchases!$C$5:INDEX(Purchases!$C$5:$C$3004,TxRows),$A198)-SUMIFS(Purchases!$S$5:INDEX(Purchases!$S$5:$S$3004,TxRows),Purchases!$C$5:INDEX(Purchases!$C$5:$C$3004,TxRows),$A198))</f>
        <v/>
      </c>
      <c r="M198" s="61" t="str">
        <f aca="false">IF($A198="","",SUMIFS(CashBook!$G$5:INDEX(CashBook!$G$5:$G$3004,TxRows),CashBook!$D$5:INDEX(CashBook!$D$5:$D$3004,TxRows),$A198,CashBook!$C$5:INDEX(CashBook!$C$5:$C$3004,TxRows),"Payment"))</f>
        <v/>
      </c>
      <c r="N198" s="61" t="str">
        <f aca="false">IF($A198="","",N($I198)+J198-K198-L198+M198)</f>
        <v/>
      </c>
      <c r="O198" s="60" t="str">
        <f aca="false">IF($A198="","",IF(ROUND(N198,2)&gt;0,"Receivable",IF(ROUND(N198,2)&lt;0,"Payable","Settled")))</f>
        <v/>
      </c>
      <c r="P198" s="66" t="str">
        <f aca="false">IF($A198="","",IFERROR(SUMPRODUCT(MAX((Sales!$C$5:INDEX(Sales!$C$5:$C$3004,TxRows)=$A198)*Sales!$A$5:INDEX(Sales!$A$5:$A$3004,TxRows))),0))</f>
        <v/>
      </c>
      <c r="Q198" s="66" t="str">
        <f aca="false">IF($A198="","",IFERROR(SUMPRODUCT(MAX((CashBook!$D$5:INDEX(CashBook!$D$5:$D$3004,TxRows)=$A198)*(CashBook!$C$5:INDEX(CashBook!$C$5:$C$3004,TxRows)="Receipt")*CashBook!$A$5:INDEX(CashBook!$A$5:$A$3004,TxRows))),0))</f>
        <v/>
      </c>
      <c r="R198" s="67" t="str">
        <f aca="false">IF($A198="","",IF(ROUND(N198,2)&lt;=0,"",AsOf-IF(N(Q198)&gt;0,Q198,IF(N(P198)&gt;0,P198,FYStart))))</f>
        <v/>
      </c>
      <c r="S198" s="60" t="str">
        <f aca="false">IF($A198="","",IF(AND(N($G198)&gt;0,N198&gt;N($G198)),"OVER LIMIT",IF(AND(N198&gt;0,N(R198)&gt;N($H198)),"OVERDUE",IF(ROUND(N198,2)&lt;0,"PAY DUE",""))))</f>
        <v/>
      </c>
    </row>
    <row r="199" customFormat="false" ht="15" hidden="false" customHeight="false" outlineLevel="0" collapsed="false">
      <c r="A199" s="56"/>
      <c r="B199" s="56"/>
      <c r="C199" s="56"/>
      <c r="D199" s="56"/>
      <c r="E199" s="56"/>
      <c r="F199" s="56"/>
      <c r="G199" s="68"/>
      <c r="H199" s="69"/>
      <c r="I199" s="58"/>
      <c r="J199" s="61" t="str">
        <f aca="false">IF($A199="","",SUMIFS(Sales!$Q$5:INDEX(Sales!$Q$5:$Q$3004,TxRows),Sales!$C$5:INDEX(Sales!$C$5:$C$3004,TxRows),$A199)-SUMIFS(Sales!$X$5:INDEX(Sales!$X$5:$X$3004,TxRows),Sales!$C$5:INDEX(Sales!$C$5:$C$3004,TxRows),$A199))</f>
        <v/>
      </c>
      <c r="K199" s="61" t="str">
        <f aca="false">IF($A199="","",SUMIFS(CashBook!$G$5:INDEX(CashBook!$G$5:$G$3004,TxRows),CashBook!$D$5:INDEX(CashBook!$D$5:$D$3004,TxRows),$A199,CashBook!$C$5:INDEX(CashBook!$C$5:$C$3004,TxRows),"Receipt"))</f>
        <v/>
      </c>
      <c r="L199" s="61" t="str">
        <f aca="false">IF($A199="","",SUMIFS(Purchases!$P$5:INDEX(Purchases!$P$5:$P$3004,TxRows),Purchases!$C$5:INDEX(Purchases!$C$5:$C$3004,TxRows),$A199)-SUMIFS(Purchases!$S$5:INDEX(Purchases!$S$5:$S$3004,TxRows),Purchases!$C$5:INDEX(Purchases!$C$5:$C$3004,TxRows),$A199))</f>
        <v/>
      </c>
      <c r="M199" s="61" t="str">
        <f aca="false">IF($A199="","",SUMIFS(CashBook!$G$5:INDEX(CashBook!$G$5:$G$3004,TxRows),CashBook!$D$5:INDEX(CashBook!$D$5:$D$3004,TxRows),$A199,CashBook!$C$5:INDEX(CashBook!$C$5:$C$3004,TxRows),"Payment"))</f>
        <v/>
      </c>
      <c r="N199" s="61" t="str">
        <f aca="false">IF($A199="","",N($I199)+J199-K199-L199+M199)</f>
        <v/>
      </c>
      <c r="O199" s="60" t="str">
        <f aca="false">IF($A199="","",IF(ROUND(N199,2)&gt;0,"Receivable",IF(ROUND(N199,2)&lt;0,"Payable","Settled")))</f>
        <v/>
      </c>
      <c r="P199" s="66" t="str">
        <f aca="false">IF($A199="","",IFERROR(SUMPRODUCT(MAX((Sales!$C$5:INDEX(Sales!$C$5:$C$3004,TxRows)=$A199)*Sales!$A$5:INDEX(Sales!$A$5:$A$3004,TxRows))),0))</f>
        <v/>
      </c>
      <c r="Q199" s="66" t="str">
        <f aca="false">IF($A199="","",IFERROR(SUMPRODUCT(MAX((CashBook!$D$5:INDEX(CashBook!$D$5:$D$3004,TxRows)=$A199)*(CashBook!$C$5:INDEX(CashBook!$C$5:$C$3004,TxRows)="Receipt")*CashBook!$A$5:INDEX(CashBook!$A$5:$A$3004,TxRows))),0))</f>
        <v/>
      </c>
      <c r="R199" s="67" t="str">
        <f aca="false">IF($A199="","",IF(ROUND(N199,2)&lt;=0,"",AsOf-IF(N(Q199)&gt;0,Q199,IF(N(P199)&gt;0,P199,FYStart))))</f>
        <v/>
      </c>
      <c r="S199" s="60" t="str">
        <f aca="false">IF($A199="","",IF(AND(N($G199)&gt;0,N199&gt;N($G199)),"OVER LIMIT",IF(AND(N199&gt;0,N(R199)&gt;N($H199)),"OVERDUE",IF(ROUND(N199,2)&lt;0,"PAY DUE",""))))</f>
        <v/>
      </c>
    </row>
    <row r="200" customFormat="false" ht="15" hidden="false" customHeight="false" outlineLevel="0" collapsed="false">
      <c r="A200" s="56"/>
      <c r="B200" s="56"/>
      <c r="C200" s="56"/>
      <c r="D200" s="56"/>
      <c r="E200" s="56"/>
      <c r="F200" s="56"/>
      <c r="G200" s="68"/>
      <c r="H200" s="69"/>
      <c r="I200" s="58"/>
      <c r="J200" s="61" t="str">
        <f aca="false">IF($A200="","",SUMIFS(Sales!$Q$5:INDEX(Sales!$Q$5:$Q$3004,TxRows),Sales!$C$5:INDEX(Sales!$C$5:$C$3004,TxRows),$A200)-SUMIFS(Sales!$X$5:INDEX(Sales!$X$5:$X$3004,TxRows),Sales!$C$5:INDEX(Sales!$C$5:$C$3004,TxRows),$A200))</f>
        <v/>
      </c>
      <c r="K200" s="61" t="str">
        <f aca="false">IF($A200="","",SUMIFS(CashBook!$G$5:INDEX(CashBook!$G$5:$G$3004,TxRows),CashBook!$D$5:INDEX(CashBook!$D$5:$D$3004,TxRows),$A200,CashBook!$C$5:INDEX(CashBook!$C$5:$C$3004,TxRows),"Receipt"))</f>
        <v/>
      </c>
      <c r="L200" s="61" t="str">
        <f aca="false">IF($A200="","",SUMIFS(Purchases!$P$5:INDEX(Purchases!$P$5:$P$3004,TxRows),Purchases!$C$5:INDEX(Purchases!$C$5:$C$3004,TxRows),$A200)-SUMIFS(Purchases!$S$5:INDEX(Purchases!$S$5:$S$3004,TxRows),Purchases!$C$5:INDEX(Purchases!$C$5:$C$3004,TxRows),$A200))</f>
        <v/>
      </c>
      <c r="M200" s="61" t="str">
        <f aca="false">IF($A200="","",SUMIFS(CashBook!$G$5:INDEX(CashBook!$G$5:$G$3004,TxRows),CashBook!$D$5:INDEX(CashBook!$D$5:$D$3004,TxRows),$A200,CashBook!$C$5:INDEX(CashBook!$C$5:$C$3004,TxRows),"Payment"))</f>
        <v/>
      </c>
      <c r="N200" s="61" t="str">
        <f aca="false">IF($A200="","",N($I200)+J200-K200-L200+M200)</f>
        <v/>
      </c>
      <c r="O200" s="60" t="str">
        <f aca="false">IF($A200="","",IF(ROUND(N200,2)&gt;0,"Receivable",IF(ROUND(N200,2)&lt;0,"Payable","Settled")))</f>
        <v/>
      </c>
      <c r="P200" s="66" t="str">
        <f aca="false">IF($A200="","",IFERROR(SUMPRODUCT(MAX((Sales!$C$5:INDEX(Sales!$C$5:$C$3004,TxRows)=$A200)*Sales!$A$5:INDEX(Sales!$A$5:$A$3004,TxRows))),0))</f>
        <v/>
      </c>
      <c r="Q200" s="66" t="str">
        <f aca="false">IF($A200="","",IFERROR(SUMPRODUCT(MAX((CashBook!$D$5:INDEX(CashBook!$D$5:$D$3004,TxRows)=$A200)*(CashBook!$C$5:INDEX(CashBook!$C$5:$C$3004,TxRows)="Receipt")*CashBook!$A$5:INDEX(CashBook!$A$5:$A$3004,TxRows))),0))</f>
        <v/>
      </c>
      <c r="R200" s="67" t="str">
        <f aca="false">IF($A200="","",IF(ROUND(N200,2)&lt;=0,"",AsOf-IF(N(Q200)&gt;0,Q200,IF(N(P200)&gt;0,P200,FYStart))))</f>
        <v/>
      </c>
      <c r="S200" s="60" t="str">
        <f aca="false">IF($A200="","",IF(AND(N($G200)&gt;0,N200&gt;N($G200)),"OVER LIMIT",IF(AND(N200&gt;0,N(R200)&gt;N($H200)),"OVERDUE",IF(ROUND(N200,2)&lt;0,"PAY DUE",""))))</f>
        <v/>
      </c>
    </row>
    <row r="201" customFormat="false" ht="15" hidden="false" customHeight="false" outlineLevel="0" collapsed="false">
      <c r="A201" s="56"/>
      <c r="B201" s="56"/>
      <c r="C201" s="56"/>
      <c r="D201" s="56"/>
      <c r="E201" s="56"/>
      <c r="F201" s="56"/>
      <c r="G201" s="68"/>
      <c r="H201" s="69"/>
      <c r="I201" s="58"/>
      <c r="J201" s="61" t="str">
        <f aca="false">IF($A201="","",SUMIFS(Sales!$Q$5:INDEX(Sales!$Q$5:$Q$3004,TxRows),Sales!$C$5:INDEX(Sales!$C$5:$C$3004,TxRows),$A201)-SUMIFS(Sales!$X$5:INDEX(Sales!$X$5:$X$3004,TxRows),Sales!$C$5:INDEX(Sales!$C$5:$C$3004,TxRows),$A201))</f>
        <v/>
      </c>
      <c r="K201" s="61" t="str">
        <f aca="false">IF($A201="","",SUMIFS(CashBook!$G$5:INDEX(CashBook!$G$5:$G$3004,TxRows),CashBook!$D$5:INDEX(CashBook!$D$5:$D$3004,TxRows),$A201,CashBook!$C$5:INDEX(CashBook!$C$5:$C$3004,TxRows),"Receipt"))</f>
        <v/>
      </c>
      <c r="L201" s="61" t="str">
        <f aca="false">IF($A201="","",SUMIFS(Purchases!$P$5:INDEX(Purchases!$P$5:$P$3004,TxRows),Purchases!$C$5:INDEX(Purchases!$C$5:$C$3004,TxRows),$A201)-SUMIFS(Purchases!$S$5:INDEX(Purchases!$S$5:$S$3004,TxRows),Purchases!$C$5:INDEX(Purchases!$C$5:$C$3004,TxRows),$A201))</f>
        <v/>
      </c>
      <c r="M201" s="61" t="str">
        <f aca="false">IF($A201="","",SUMIFS(CashBook!$G$5:INDEX(CashBook!$G$5:$G$3004,TxRows),CashBook!$D$5:INDEX(CashBook!$D$5:$D$3004,TxRows),$A201,CashBook!$C$5:INDEX(CashBook!$C$5:$C$3004,TxRows),"Payment"))</f>
        <v/>
      </c>
      <c r="N201" s="61" t="str">
        <f aca="false">IF($A201="","",N($I201)+J201-K201-L201+M201)</f>
        <v/>
      </c>
      <c r="O201" s="60" t="str">
        <f aca="false">IF($A201="","",IF(ROUND(N201,2)&gt;0,"Receivable",IF(ROUND(N201,2)&lt;0,"Payable","Settled")))</f>
        <v/>
      </c>
      <c r="P201" s="66" t="str">
        <f aca="false">IF($A201="","",IFERROR(SUMPRODUCT(MAX((Sales!$C$5:INDEX(Sales!$C$5:$C$3004,TxRows)=$A201)*Sales!$A$5:INDEX(Sales!$A$5:$A$3004,TxRows))),0))</f>
        <v/>
      </c>
      <c r="Q201" s="66" t="str">
        <f aca="false">IF($A201="","",IFERROR(SUMPRODUCT(MAX((CashBook!$D$5:INDEX(CashBook!$D$5:$D$3004,TxRows)=$A201)*(CashBook!$C$5:INDEX(CashBook!$C$5:$C$3004,TxRows)="Receipt")*CashBook!$A$5:INDEX(CashBook!$A$5:$A$3004,TxRows))),0))</f>
        <v/>
      </c>
      <c r="R201" s="67" t="str">
        <f aca="false">IF($A201="","",IF(ROUND(N201,2)&lt;=0,"",AsOf-IF(N(Q201)&gt;0,Q201,IF(N(P201)&gt;0,P201,FYStart))))</f>
        <v/>
      </c>
      <c r="S201" s="60" t="str">
        <f aca="false">IF($A201="","",IF(AND(N($G201)&gt;0,N201&gt;N($G201)),"OVER LIMIT",IF(AND(N201&gt;0,N(R201)&gt;N($H201)),"OVERDUE",IF(ROUND(N201,2)&lt;0,"PAY DUE",""))))</f>
        <v/>
      </c>
    </row>
    <row r="202" customFormat="false" ht="15" hidden="false" customHeight="false" outlineLevel="0" collapsed="false">
      <c r="A202" s="56"/>
      <c r="B202" s="56"/>
      <c r="C202" s="56"/>
      <c r="D202" s="56"/>
      <c r="E202" s="56"/>
      <c r="F202" s="56"/>
      <c r="G202" s="68"/>
      <c r="H202" s="69"/>
      <c r="I202" s="58"/>
      <c r="J202" s="61" t="str">
        <f aca="false">IF($A202="","",SUMIFS(Sales!$Q$5:INDEX(Sales!$Q$5:$Q$3004,TxRows),Sales!$C$5:INDEX(Sales!$C$5:$C$3004,TxRows),$A202)-SUMIFS(Sales!$X$5:INDEX(Sales!$X$5:$X$3004,TxRows),Sales!$C$5:INDEX(Sales!$C$5:$C$3004,TxRows),$A202))</f>
        <v/>
      </c>
      <c r="K202" s="61" t="str">
        <f aca="false">IF($A202="","",SUMIFS(CashBook!$G$5:INDEX(CashBook!$G$5:$G$3004,TxRows),CashBook!$D$5:INDEX(CashBook!$D$5:$D$3004,TxRows),$A202,CashBook!$C$5:INDEX(CashBook!$C$5:$C$3004,TxRows),"Receipt"))</f>
        <v/>
      </c>
      <c r="L202" s="61" t="str">
        <f aca="false">IF($A202="","",SUMIFS(Purchases!$P$5:INDEX(Purchases!$P$5:$P$3004,TxRows),Purchases!$C$5:INDEX(Purchases!$C$5:$C$3004,TxRows),$A202)-SUMIFS(Purchases!$S$5:INDEX(Purchases!$S$5:$S$3004,TxRows),Purchases!$C$5:INDEX(Purchases!$C$5:$C$3004,TxRows),$A202))</f>
        <v/>
      </c>
      <c r="M202" s="61" t="str">
        <f aca="false">IF($A202="","",SUMIFS(CashBook!$G$5:INDEX(CashBook!$G$5:$G$3004,TxRows),CashBook!$D$5:INDEX(CashBook!$D$5:$D$3004,TxRows),$A202,CashBook!$C$5:INDEX(CashBook!$C$5:$C$3004,TxRows),"Payment"))</f>
        <v/>
      </c>
      <c r="N202" s="61" t="str">
        <f aca="false">IF($A202="","",N($I202)+J202-K202-L202+M202)</f>
        <v/>
      </c>
      <c r="O202" s="60" t="str">
        <f aca="false">IF($A202="","",IF(ROUND(N202,2)&gt;0,"Receivable",IF(ROUND(N202,2)&lt;0,"Payable","Settled")))</f>
        <v/>
      </c>
      <c r="P202" s="66" t="str">
        <f aca="false">IF($A202="","",IFERROR(SUMPRODUCT(MAX((Sales!$C$5:INDEX(Sales!$C$5:$C$3004,TxRows)=$A202)*Sales!$A$5:INDEX(Sales!$A$5:$A$3004,TxRows))),0))</f>
        <v/>
      </c>
      <c r="Q202" s="66" t="str">
        <f aca="false">IF($A202="","",IFERROR(SUMPRODUCT(MAX((CashBook!$D$5:INDEX(CashBook!$D$5:$D$3004,TxRows)=$A202)*(CashBook!$C$5:INDEX(CashBook!$C$5:$C$3004,TxRows)="Receipt")*CashBook!$A$5:INDEX(CashBook!$A$5:$A$3004,TxRows))),0))</f>
        <v/>
      </c>
      <c r="R202" s="67" t="str">
        <f aca="false">IF($A202="","",IF(ROUND(N202,2)&lt;=0,"",AsOf-IF(N(Q202)&gt;0,Q202,IF(N(P202)&gt;0,P202,FYStart))))</f>
        <v/>
      </c>
      <c r="S202" s="60" t="str">
        <f aca="false">IF($A202="","",IF(AND(N($G202)&gt;0,N202&gt;N($G202)),"OVER LIMIT",IF(AND(N202&gt;0,N(R202)&gt;N($H202)),"OVERDUE",IF(ROUND(N202,2)&lt;0,"PAY DUE",""))))</f>
        <v/>
      </c>
    </row>
    <row r="203" customFormat="false" ht="15" hidden="false" customHeight="false" outlineLevel="0" collapsed="false">
      <c r="A203" s="56"/>
      <c r="B203" s="56"/>
      <c r="C203" s="56"/>
      <c r="D203" s="56"/>
      <c r="E203" s="56"/>
      <c r="F203" s="56"/>
      <c r="G203" s="68"/>
      <c r="H203" s="69"/>
      <c r="I203" s="58"/>
      <c r="J203" s="61" t="str">
        <f aca="false">IF($A203="","",SUMIFS(Sales!$Q$5:INDEX(Sales!$Q$5:$Q$3004,TxRows),Sales!$C$5:INDEX(Sales!$C$5:$C$3004,TxRows),$A203)-SUMIFS(Sales!$X$5:INDEX(Sales!$X$5:$X$3004,TxRows),Sales!$C$5:INDEX(Sales!$C$5:$C$3004,TxRows),$A203))</f>
        <v/>
      </c>
      <c r="K203" s="61" t="str">
        <f aca="false">IF($A203="","",SUMIFS(CashBook!$G$5:INDEX(CashBook!$G$5:$G$3004,TxRows),CashBook!$D$5:INDEX(CashBook!$D$5:$D$3004,TxRows),$A203,CashBook!$C$5:INDEX(CashBook!$C$5:$C$3004,TxRows),"Receipt"))</f>
        <v/>
      </c>
      <c r="L203" s="61" t="str">
        <f aca="false">IF($A203="","",SUMIFS(Purchases!$P$5:INDEX(Purchases!$P$5:$P$3004,TxRows),Purchases!$C$5:INDEX(Purchases!$C$5:$C$3004,TxRows),$A203)-SUMIFS(Purchases!$S$5:INDEX(Purchases!$S$5:$S$3004,TxRows),Purchases!$C$5:INDEX(Purchases!$C$5:$C$3004,TxRows),$A203))</f>
        <v/>
      </c>
      <c r="M203" s="61" t="str">
        <f aca="false">IF($A203="","",SUMIFS(CashBook!$G$5:INDEX(CashBook!$G$5:$G$3004,TxRows),CashBook!$D$5:INDEX(CashBook!$D$5:$D$3004,TxRows),$A203,CashBook!$C$5:INDEX(CashBook!$C$5:$C$3004,TxRows),"Payment"))</f>
        <v/>
      </c>
      <c r="N203" s="61" t="str">
        <f aca="false">IF($A203="","",N($I203)+J203-K203-L203+M203)</f>
        <v/>
      </c>
      <c r="O203" s="60" t="str">
        <f aca="false">IF($A203="","",IF(ROUND(N203,2)&gt;0,"Receivable",IF(ROUND(N203,2)&lt;0,"Payable","Settled")))</f>
        <v/>
      </c>
      <c r="P203" s="66" t="str">
        <f aca="false">IF($A203="","",IFERROR(SUMPRODUCT(MAX((Sales!$C$5:INDEX(Sales!$C$5:$C$3004,TxRows)=$A203)*Sales!$A$5:INDEX(Sales!$A$5:$A$3004,TxRows))),0))</f>
        <v/>
      </c>
      <c r="Q203" s="66" t="str">
        <f aca="false">IF($A203="","",IFERROR(SUMPRODUCT(MAX((CashBook!$D$5:INDEX(CashBook!$D$5:$D$3004,TxRows)=$A203)*(CashBook!$C$5:INDEX(CashBook!$C$5:$C$3004,TxRows)="Receipt")*CashBook!$A$5:INDEX(CashBook!$A$5:$A$3004,TxRows))),0))</f>
        <v/>
      </c>
      <c r="R203" s="67" t="str">
        <f aca="false">IF($A203="","",IF(ROUND(N203,2)&lt;=0,"",AsOf-IF(N(Q203)&gt;0,Q203,IF(N(P203)&gt;0,P203,FYStart))))</f>
        <v/>
      </c>
      <c r="S203" s="60" t="str">
        <f aca="false">IF($A203="","",IF(AND(N($G203)&gt;0,N203&gt;N($G203)),"OVER LIMIT",IF(AND(N203&gt;0,N(R203)&gt;N($H203)),"OVERDUE",IF(ROUND(N203,2)&lt;0,"PAY DUE",""))))</f>
        <v/>
      </c>
    </row>
    <row r="204" customFormat="false" ht="15" hidden="false" customHeight="false" outlineLevel="0" collapsed="false">
      <c r="A204" s="56"/>
      <c r="B204" s="56"/>
      <c r="C204" s="56"/>
      <c r="D204" s="56"/>
      <c r="E204" s="56"/>
      <c r="F204" s="56"/>
      <c r="G204" s="68"/>
      <c r="H204" s="69"/>
      <c r="I204" s="58"/>
      <c r="J204" s="61" t="str">
        <f aca="false">IF($A204="","",SUMIFS(Sales!$Q$5:INDEX(Sales!$Q$5:$Q$3004,TxRows),Sales!$C$5:INDEX(Sales!$C$5:$C$3004,TxRows),$A204)-SUMIFS(Sales!$X$5:INDEX(Sales!$X$5:$X$3004,TxRows),Sales!$C$5:INDEX(Sales!$C$5:$C$3004,TxRows),$A204))</f>
        <v/>
      </c>
      <c r="K204" s="61" t="str">
        <f aca="false">IF($A204="","",SUMIFS(CashBook!$G$5:INDEX(CashBook!$G$5:$G$3004,TxRows),CashBook!$D$5:INDEX(CashBook!$D$5:$D$3004,TxRows),$A204,CashBook!$C$5:INDEX(CashBook!$C$5:$C$3004,TxRows),"Receipt"))</f>
        <v/>
      </c>
      <c r="L204" s="61" t="str">
        <f aca="false">IF($A204="","",SUMIFS(Purchases!$P$5:INDEX(Purchases!$P$5:$P$3004,TxRows),Purchases!$C$5:INDEX(Purchases!$C$5:$C$3004,TxRows),$A204)-SUMIFS(Purchases!$S$5:INDEX(Purchases!$S$5:$S$3004,TxRows),Purchases!$C$5:INDEX(Purchases!$C$5:$C$3004,TxRows),$A204))</f>
        <v/>
      </c>
      <c r="M204" s="61" t="str">
        <f aca="false">IF($A204="","",SUMIFS(CashBook!$G$5:INDEX(CashBook!$G$5:$G$3004,TxRows),CashBook!$D$5:INDEX(CashBook!$D$5:$D$3004,TxRows),$A204,CashBook!$C$5:INDEX(CashBook!$C$5:$C$3004,TxRows),"Payment"))</f>
        <v/>
      </c>
      <c r="N204" s="61" t="str">
        <f aca="false">IF($A204="","",N($I204)+J204-K204-L204+M204)</f>
        <v/>
      </c>
      <c r="O204" s="60" t="str">
        <f aca="false">IF($A204="","",IF(ROUND(N204,2)&gt;0,"Receivable",IF(ROUND(N204,2)&lt;0,"Payable","Settled")))</f>
        <v/>
      </c>
      <c r="P204" s="66" t="str">
        <f aca="false">IF($A204="","",IFERROR(SUMPRODUCT(MAX((Sales!$C$5:INDEX(Sales!$C$5:$C$3004,TxRows)=$A204)*Sales!$A$5:INDEX(Sales!$A$5:$A$3004,TxRows))),0))</f>
        <v/>
      </c>
      <c r="Q204" s="66" t="str">
        <f aca="false">IF($A204="","",IFERROR(SUMPRODUCT(MAX((CashBook!$D$5:INDEX(CashBook!$D$5:$D$3004,TxRows)=$A204)*(CashBook!$C$5:INDEX(CashBook!$C$5:$C$3004,TxRows)="Receipt")*CashBook!$A$5:INDEX(CashBook!$A$5:$A$3004,TxRows))),0))</f>
        <v/>
      </c>
      <c r="R204" s="67" t="str">
        <f aca="false">IF($A204="","",IF(ROUND(N204,2)&lt;=0,"",AsOf-IF(N(Q204)&gt;0,Q204,IF(N(P204)&gt;0,P204,FYStart))))</f>
        <v/>
      </c>
      <c r="S204" s="60" t="str">
        <f aca="false">IF($A204="","",IF(AND(N($G204)&gt;0,N204&gt;N($G204)),"OVER LIMIT",IF(AND(N204&gt;0,N(R204)&gt;N($H204)),"OVERDUE",IF(ROUND(N204,2)&lt;0,"PAY DUE",""))))</f>
        <v/>
      </c>
    </row>
    <row r="205" customFormat="false" ht="15" hidden="false" customHeight="false" outlineLevel="0" collapsed="false">
      <c r="A205" s="56"/>
      <c r="B205" s="56"/>
      <c r="C205" s="56"/>
      <c r="D205" s="56"/>
      <c r="E205" s="56"/>
      <c r="F205" s="56"/>
      <c r="G205" s="68"/>
      <c r="H205" s="69"/>
      <c r="I205" s="58"/>
      <c r="J205" s="61" t="str">
        <f aca="false">IF($A205="","",SUMIFS(Sales!$Q$5:INDEX(Sales!$Q$5:$Q$3004,TxRows),Sales!$C$5:INDEX(Sales!$C$5:$C$3004,TxRows),$A205)-SUMIFS(Sales!$X$5:INDEX(Sales!$X$5:$X$3004,TxRows),Sales!$C$5:INDEX(Sales!$C$5:$C$3004,TxRows),$A205))</f>
        <v/>
      </c>
      <c r="K205" s="61" t="str">
        <f aca="false">IF($A205="","",SUMIFS(CashBook!$G$5:INDEX(CashBook!$G$5:$G$3004,TxRows),CashBook!$D$5:INDEX(CashBook!$D$5:$D$3004,TxRows),$A205,CashBook!$C$5:INDEX(CashBook!$C$5:$C$3004,TxRows),"Receipt"))</f>
        <v/>
      </c>
      <c r="L205" s="61" t="str">
        <f aca="false">IF($A205="","",SUMIFS(Purchases!$P$5:INDEX(Purchases!$P$5:$P$3004,TxRows),Purchases!$C$5:INDEX(Purchases!$C$5:$C$3004,TxRows),$A205)-SUMIFS(Purchases!$S$5:INDEX(Purchases!$S$5:$S$3004,TxRows),Purchases!$C$5:INDEX(Purchases!$C$5:$C$3004,TxRows),$A205))</f>
        <v/>
      </c>
      <c r="M205" s="61" t="str">
        <f aca="false">IF($A205="","",SUMIFS(CashBook!$G$5:INDEX(CashBook!$G$5:$G$3004,TxRows),CashBook!$D$5:INDEX(CashBook!$D$5:$D$3004,TxRows),$A205,CashBook!$C$5:INDEX(CashBook!$C$5:$C$3004,TxRows),"Payment"))</f>
        <v/>
      </c>
      <c r="N205" s="61" t="str">
        <f aca="false">IF($A205="","",N($I205)+J205-K205-L205+M205)</f>
        <v/>
      </c>
      <c r="O205" s="60" t="str">
        <f aca="false">IF($A205="","",IF(ROUND(N205,2)&gt;0,"Receivable",IF(ROUND(N205,2)&lt;0,"Payable","Settled")))</f>
        <v/>
      </c>
      <c r="P205" s="66" t="str">
        <f aca="false">IF($A205="","",IFERROR(SUMPRODUCT(MAX((Sales!$C$5:INDEX(Sales!$C$5:$C$3004,TxRows)=$A205)*Sales!$A$5:INDEX(Sales!$A$5:$A$3004,TxRows))),0))</f>
        <v/>
      </c>
      <c r="Q205" s="66" t="str">
        <f aca="false">IF($A205="","",IFERROR(SUMPRODUCT(MAX((CashBook!$D$5:INDEX(CashBook!$D$5:$D$3004,TxRows)=$A205)*(CashBook!$C$5:INDEX(CashBook!$C$5:$C$3004,TxRows)="Receipt")*CashBook!$A$5:INDEX(CashBook!$A$5:$A$3004,TxRows))),0))</f>
        <v/>
      </c>
      <c r="R205" s="67" t="str">
        <f aca="false">IF($A205="","",IF(ROUND(N205,2)&lt;=0,"",AsOf-IF(N(Q205)&gt;0,Q205,IF(N(P205)&gt;0,P205,FYStart))))</f>
        <v/>
      </c>
      <c r="S205" s="60" t="str">
        <f aca="false">IF($A205="","",IF(AND(N($G205)&gt;0,N205&gt;N($G205)),"OVER LIMIT",IF(AND(N205&gt;0,N(R205)&gt;N($H205)),"OVERDUE",IF(ROUND(N205,2)&lt;0,"PAY DUE",""))))</f>
        <v/>
      </c>
    </row>
    <row r="206" customFormat="false" ht="15" hidden="false" customHeight="false" outlineLevel="0" collapsed="false">
      <c r="A206" s="56"/>
      <c r="B206" s="56"/>
      <c r="C206" s="56"/>
      <c r="D206" s="56"/>
      <c r="E206" s="56"/>
      <c r="F206" s="56"/>
      <c r="G206" s="68"/>
      <c r="H206" s="69"/>
      <c r="I206" s="58"/>
      <c r="J206" s="61" t="str">
        <f aca="false">IF($A206="","",SUMIFS(Sales!$Q$5:INDEX(Sales!$Q$5:$Q$3004,TxRows),Sales!$C$5:INDEX(Sales!$C$5:$C$3004,TxRows),$A206)-SUMIFS(Sales!$X$5:INDEX(Sales!$X$5:$X$3004,TxRows),Sales!$C$5:INDEX(Sales!$C$5:$C$3004,TxRows),$A206))</f>
        <v/>
      </c>
      <c r="K206" s="61" t="str">
        <f aca="false">IF($A206="","",SUMIFS(CashBook!$G$5:INDEX(CashBook!$G$5:$G$3004,TxRows),CashBook!$D$5:INDEX(CashBook!$D$5:$D$3004,TxRows),$A206,CashBook!$C$5:INDEX(CashBook!$C$5:$C$3004,TxRows),"Receipt"))</f>
        <v/>
      </c>
      <c r="L206" s="61" t="str">
        <f aca="false">IF($A206="","",SUMIFS(Purchases!$P$5:INDEX(Purchases!$P$5:$P$3004,TxRows),Purchases!$C$5:INDEX(Purchases!$C$5:$C$3004,TxRows),$A206)-SUMIFS(Purchases!$S$5:INDEX(Purchases!$S$5:$S$3004,TxRows),Purchases!$C$5:INDEX(Purchases!$C$5:$C$3004,TxRows),$A206))</f>
        <v/>
      </c>
      <c r="M206" s="61" t="str">
        <f aca="false">IF($A206="","",SUMIFS(CashBook!$G$5:INDEX(CashBook!$G$5:$G$3004,TxRows),CashBook!$D$5:INDEX(CashBook!$D$5:$D$3004,TxRows),$A206,CashBook!$C$5:INDEX(CashBook!$C$5:$C$3004,TxRows),"Payment"))</f>
        <v/>
      </c>
      <c r="N206" s="61" t="str">
        <f aca="false">IF($A206="","",N($I206)+J206-K206-L206+M206)</f>
        <v/>
      </c>
      <c r="O206" s="60" t="str">
        <f aca="false">IF($A206="","",IF(ROUND(N206,2)&gt;0,"Receivable",IF(ROUND(N206,2)&lt;0,"Payable","Settled")))</f>
        <v/>
      </c>
      <c r="P206" s="66" t="str">
        <f aca="false">IF($A206="","",IFERROR(SUMPRODUCT(MAX((Sales!$C$5:INDEX(Sales!$C$5:$C$3004,TxRows)=$A206)*Sales!$A$5:INDEX(Sales!$A$5:$A$3004,TxRows))),0))</f>
        <v/>
      </c>
      <c r="Q206" s="66" t="str">
        <f aca="false">IF($A206="","",IFERROR(SUMPRODUCT(MAX((CashBook!$D$5:INDEX(CashBook!$D$5:$D$3004,TxRows)=$A206)*(CashBook!$C$5:INDEX(CashBook!$C$5:$C$3004,TxRows)="Receipt")*CashBook!$A$5:INDEX(CashBook!$A$5:$A$3004,TxRows))),0))</f>
        <v/>
      </c>
      <c r="R206" s="67" t="str">
        <f aca="false">IF($A206="","",IF(ROUND(N206,2)&lt;=0,"",AsOf-IF(N(Q206)&gt;0,Q206,IF(N(P206)&gt;0,P206,FYStart))))</f>
        <v/>
      </c>
      <c r="S206" s="60" t="str">
        <f aca="false">IF($A206="","",IF(AND(N($G206)&gt;0,N206&gt;N($G206)),"OVER LIMIT",IF(AND(N206&gt;0,N(R206)&gt;N($H206)),"OVERDUE",IF(ROUND(N206,2)&lt;0,"PAY DUE",""))))</f>
        <v/>
      </c>
    </row>
    <row r="207" customFormat="false" ht="15" hidden="false" customHeight="false" outlineLevel="0" collapsed="false">
      <c r="A207" s="56"/>
      <c r="B207" s="56"/>
      <c r="C207" s="56"/>
      <c r="D207" s="56"/>
      <c r="E207" s="56"/>
      <c r="F207" s="56"/>
      <c r="G207" s="68"/>
      <c r="H207" s="69"/>
      <c r="I207" s="58"/>
      <c r="J207" s="61" t="str">
        <f aca="false">IF($A207="","",SUMIFS(Sales!$Q$5:INDEX(Sales!$Q$5:$Q$3004,TxRows),Sales!$C$5:INDEX(Sales!$C$5:$C$3004,TxRows),$A207)-SUMIFS(Sales!$X$5:INDEX(Sales!$X$5:$X$3004,TxRows),Sales!$C$5:INDEX(Sales!$C$5:$C$3004,TxRows),$A207))</f>
        <v/>
      </c>
      <c r="K207" s="61" t="str">
        <f aca="false">IF($A207="","",SUMIFS(CashBook!$G$5:INDEX(CashBook!$G$5:$G$3004,TxRows),CashBook!$D$5:INDEX(CashBook!$D$5:$D$3004,TxRows),$A207,CashBook!$C$5:INDEX(CashBook!$C$5:$C$3004,TxRows),"Receipt"))</f>
        <v/>
      </c>
      <c r="L207" s="61" t="str">
        <f aca="false">IF($A207="","",SUMIFS(Purchases!$P$5:INDEX(Purchases!$P$5:$P$3004,TxRows),Purchases!$C$5:INDEX(Purchases!$C$5:$C$3004,TxRows),$A207)-SUMIFS(Purchases!$S$5:INDEX(Purchases!$S$5:$S$3004,TxRows),Purchases!$C$5:INDEX(Purchases!$C$5:$C$3004,TxRows),$A207))</f>
        <v/>
      </c>
      <c r="M207" s="61" t="str">
        <f aca="false">IF($A207="","",SUMIFS(CashBook!$G$5:INDEX(CashBook!$G$5:$G$3004,TxRows),CashBook!$D$5:INDEX(CashBook!$D$5:$D$3004,TxRows),$A207,CashBook!$C$5:INDEX(CashBook!$C$5:$C$3004,TxRows),"Payment"))</f>
        <v/>
      </c>
      <c r="N207" s="61" t="str">
        <f aca="false">IF($A207="","",N($I207)+J207-K207-L207+M207)</f>
        <v/>
      </c>
      <c r="O207" s="60" t="str">
        <f aca="false">IF($A207="","",IF(ROUND(N207,2)&gt;0,"Receivable",IF(ROUND(N207,2)&lt;0,"Payable","Settled")))</f>
        <v/>
      </c>
      <c r="P207" s="66" t="str">
        <f aca="false">IF($A207="","",IFERROR(SUMPRODUCT(MAX((Sales!$C$5:INDEX(Sales!$C$5:$C$3004,TxRows)=$A207)*Sales!$A$5:INDEX(Sales!$A$5:$A$3004,TxRows))),0))</f>
        <v/>
      </c>
      <c r="Q207" s="66" t="str">
        <f aca="false">IF($A207="","",IFERROR(SUMPRODUCT(MAX((CashBook!$D$5:INDEX(CashBook!$D$5:$D$3004,TxRows)=$A207)*(CashBook!$C$5:INDEX(CashBook!$C$5:$C$3004,TxRows)="Receipt")*CashBook!$A$5:INDEX(CashBook!$A$5:$A$3004,TxRows))),0))</f>
        <v/>
      </c>
      <c r="R207" s="67" t="str">
        <f aca="false">IF($A207="","",IF(ROUND(N207,2)&lt;=0,"",AsOf-IF(N(Q207)&gt;0,Q207,IF(N(P207)&gt;0,P207,FYStart))))</f>
        <v/>
      </c>
      <c r="S207" s="60" t="str">
        <f aca="false">IF($A207="","",IF(AND(N($G207)&gt;0,N207&gt;N($G207)),"OVER LIMIT",IF(AND(N207&gt;0,N(R207)&gt;N($H207)),"OVERDUE",IF(ROUND(N207,2)&lt;0,"PAY DUE",""))))</f>
        <v/>
      </c>
    </row>
    <row r="208" customFormat="false" ht="15" hidden="false" customHeight="false" outlineLevel="0" collapsed="false">
      <c r="A208" s="56"/>
      <c r="B208" s="56"/>
      <c r="C208" s="56"/>
      <c r="D208" s="56"/>
      <c r="E208" s="56"/>
      <c r="F208" s="56"/>
      <c r="G208" s="68"/>
      <c r="H208" s="69"/>
      <c r="I208" s="58"/>
      <c r="J208" s="61" t="str">
        <f aca="false">IF($A208="","",SUMIFS(Sales!$Q$5:INDEX(Sales!$Q$5:$Q$3004,TxRows),Sales!$C$5:INDEX(Sales!$C$5:$C$3004,TxRows),$A208)-SUMIFS(Sales!$X$5:INDEX(Sales!$X$5:$X$3004,TxRows),Sales!$C$5:INDEX(Sales!$C$5:$C$3004,TxRows),$A208))</f>
        <v/>
      </c>
      <c r="K208" s="61" t="str">
        <f aca="false">IF($A208="","",SUMIFS(CashBook!$G$5:INDEX(CashBook!$G$5:$G$3004,TxRows),CashBook!$D$5:INDEX(CashBook!$D$5:$D$3004,TxRows),$A208,CashBook!$C$5:INDEX(CashBook!$C$5:$C$3004,TxRows),"Receipt"))</f>
        <v/>
      </c>
      <c r="L208" s="61" t="str">
        <f aca="false">IF($A208="","",SUMIFS(Purchases!$P$5:INDEX(Purchases!$P$5:$P$3004,TxRows),Purchases!$C$5:INDEX(Purchases!$C$5:$C$3004,TxRows),$A208)-SUMIFS(Purchases!$S$5:INDEX(Purchases!$S$5:$S$3004,TxRows),Purchases!$C$5:INDEX(Purchases!$C$5:$C$3004,TxRows),$A208))</f>
        <v/>
      </c>
      <c r="M208" s="61" t="str">
        <f aca="false">IF($A208="","",SUMIFS(CashBook!$G$5:INDEX(CashBook!$G$5:$G$3004,TxRows),CashBook!$D$5:INDEX(CashBook!$D$5:$D$3004,TxRows),$A208,CashBook!$C$5:INDEX(CashBook!$C$5:$C$3004,TxRows),"Payment"))</f>
        <v/>
      </c>
      <c r="N208" s="61" t="str">
        <f aca="false">IF($A208="","",N($I208)+J208-K208-L208+M208)</f>
        <v/>
      </c>
      <c r="O208" s="60" t="str">
        <f aca="false">IF($A208="","",IF(ROUND(N208,2)&gt;0,"Receivable",IF(ROUND(N208,2)&lt;0,"Payable","Settled")))</f>
        <v/>
      </c>
      <c r="P208" s="66" t="str">
        <f aca="false">IF($A208="","",IFERROR(SUMPRODUCT(MAX((Sales!$C$5:INDEX(Sales!$C$5:$C$3004,TxRows)=$A208)*Sales!$A$5:INDEX(Sales!$A$5:$A$3004,TxRows))),0))</f>
        <v/>
      </c>
      <c r="Q208" s="66" t="str">
        <f aca="false">IF($A208="","",IFERROR(SUMPRODUCT(MAX((CashBook!$D$5:INDEX(CashBook!$D$5:$D$3004,TxRows)=$A208)*(CashBook!$C$5:INDEX(CashBook!$C$5:$C$3004,TxRows)="Receipt")*CashBook!$A$5:INDEX(CashBook!$A$5:$A$3004,TxRows))),0))</f>
        <v/>
      </c>
      <c r="R208" s="67" t="str">
        <f aca="false">IF($A208="","",IF(ROUND(N208,2)&lt;=0,"",AsOf-IF(N(Q208)&gt;0,Q208,IF(N(P208)&gt;0,P208,FYStart))))</f>
        <v/>
      </c>
      <c r="S208" s="60" t="str">
        <f aca="false">IF($A208="","",IF(AND(N($G208)&gt;0,N208&gt;N($G208)),"OVER LIMIT",IF(AND(N208&gt;0,N(R208)&gt;N($H208)),"OVERDUE",IF(ROUND(N208,2)&lt;0,"PAY DUE",""))))</f>
        <v/>
      </c>
    </row>
    <row r="209" customFormat="false" ht="15" hidden="false" customHeight="false" outlineLevel="0" collapsed="false">
      <c r="A209" s="56"/>
      <c r="B209" s="56"/>
      <c r="C209" s="56"/>
      <c r="D209" s="56"/>
      <c r="E209" s="56"/>
      <c r="F209" s="56"/>
      <c r="G209" s="68"/>
      <c r="H209" s="69"/>
      <c r="I209" s="58"/>
      <c r="J209" s="61" t="str">
        <f aca="false">IF($A209="","",SUMIFS(Sales!$Q$5:INDEX(Sales!$Q$5:$Q$3004,TxRows),Sales!$C$5:INDEX(Sales!$C$5:$C$3004,TxRows),$A209)-SUMIFS(Sales!$X$5:INDEX(Sales!$X$5:$X$3004,TxRows),Sales!$C$5:INDEX(Sales!$C$5:$C$3004,TxRows),$A209))</f>
        <v/>
      </c>
      <c r="K209" s="61" t="str">
        <f aca="false">IF($A209="","",SUMIFS(CashBook!$G$5:INDEX(CashBook!$G$5:$G$3004,TxRows),CashBook!$D$5:INDEX(CashBook!$D$5:$D$3004,TxRows),$A209,CashBook!$C$5:INDEX(CashBook!$C$5:$C$3004,TxRows),"Receipt"))</f>
        <v/>
      </c>
      <c r="L209" s="61" t="str">
        <f aca="false">IF($A209="","",SUMIFS(Purchases!$P$5:INDEX(Purchases!$P$5:$P$3004,TxRows),Purchases!$C$5:INDEX(Purchases!$C$5:$C$3004,TxRows),$A209)-SUMIFS(Purchases!$S$5:INDEX(Purchases!$S$5:$S$3004,TxRows),Purchases!$C$5:INDEX(Purchases!$C$5:$C$3004,TxRows),$A209))</f>
        <v/>
      </c>
      <c r="M209" s="61" t="str">
        <f aca="false">IF($A209="","",SUMIFS(CashBook!$G$5:INDEX(CashBook!$G$5:$G$3004,TxRows),CashBook!$D$5:INDEX(CashBook!$D$5:$D$3004,TxRows),$A209,CashBook!$C$5:INDEX(CashBook!$C$5:$C$3004,TxRows),"Payment"))</f>
        <v/>
      </c>
      <c r="N209" s="61" t="str">
        <f aca="false">IF($A209="","",N($I209)+J209-K209-L209+M209)</f>
        <v/>
      </c>
      <c r="O209" s="60" t="str">
        <f aca="false">IF($A209="","",IF(ROUND(N209,2)&gt;0,"Receivable",IF(ROUND(N209,2)&lt;0,"Payable","Settled")))</f>
        <v/>
      </c>
      <c r="P209" s="66" t="str">
        <f aca="false">IF($A209="","",IFERROR(SUMPRODUCT(MAX((Sales!$C$5:INDEX(Sales!$C$5:$C$3004,TxRows)=$A209)*Sales!$A$5:INDEX(Sales!$A$5:$A$3004,TxRows))),0))</f>
        <v/>
      </c>
      <c r="Q209" s="66" t="str">
        <f aca="false">IF($A209="","",IFERROR(SUMPRODUCT(MAX((CashBook!$D$5:INDEX(CashBook!$D$5:$D$3004,TxRows)=$A209)*(CashBook!$C$5:INDEX(CashBook!$C$5:$C$3004,TxRows)="Receipt")*CashBook!$A$5:INDEX(CashBook!$A$5:$A$3004,TxRows))),0))</f>
        <v/>
      </c>
      <c r="R209" s="67" t="str">
        <f aca="false">IF($A209="","",IF(ROUND(N209,2)&lt;=0,"",AsOf-IF(N(Q209)&gt;0,Q209,IF(N(P209)&gt;0,P209,FYStart))))</f>
        <v/>
      </c>
      <c r="S209" s="60" t="str">
        <f aca="false">IF($A209="","",IF(AND(N($G209)&gt;0,N209&gt;N($G209)),"OVER LIMIT",IF(AND(N209&gt;0,N(R209)&gt;N($H209)),"OVERDUE",IF(ROUND(N209,2)&lt;0,"PAY DUE",""))))</f>
        <v/>
      </c>
    </row>
    <row r="210" customFormat="false" ht="15" hidden="false" customHeight="false" outlineLevel="0" collapsed="false">
      <c r="A210" s="56"/>
      <c r="B210" s="56"/>
      <c r="C210" s="56"/>
      <c r="D210" s="56"/>
      <c r="E210" s="56"/>
      <c r="F210" s="56"/>
      <c r="G210" s="68"/>
      <c r="H210" s="69"/>
      <c r="I210" s="58"/>
      <c r="J210" s="61" t="str">
        <f aca="false">IF($A210="","",SUMIFS(Sales!$Q$5:INDEX(Sales!$Q$5:$Q$3004,TxRows),Sales!$C$5:INDEX(Sales!$C$5:$C$3004,TxRows),$A210)-SUMIFS(Sales!$X$5:INDEX(Sales!$X$5:$X$3004,TxRows),Sales!$C$5:INDEX(Sales!$C$5:$C$3004,TxRows),$A210))</f>
        <v/>
      </c>
      <c r="K210" s="61" t="str">
        <f aca="false">IF($A210="","",SUMIFS(CashBook!$G$5:INDEX(CashBook!$G$5:$G$3004,TxRows),CashBook!$D$5:INDEX(CashBook!$D$5:$D$3004,TxRows),$A210,CashBook!$C$5:INDEX(CashBook!$C$5:$C$3004,TxRows),"Receipt"))</f>
        <v/>
      </c>
      <c r="L210" s="61" t="str">
        <f aca="false">IF($A210="","",SUMIFS(Purchases!$P$5:INDEX(Purchases!$P$5:$P$3004,TxRows),Purchases!$C$5:INDEX(Purchases!$C$5:$C$3004,TxRows),$A210)-SUMIFS(Purchases!$S$5:INDEX(Purchases!$S$5:$S$3004,TxRows),Purchases!$C$5:INDEX(Purchases!$C$5:$C$3004,TxRows),$A210))</f>
        <v/>
      </c>
      <c r="M210" s="61" t="str">
        <f aca="false">IF($A210="","",SUMIFS(CashBook!$G$5:INDEX(CashBook!$G$5:$G$3004,TxRows),CashBook!$D$5:INDEX(CashBook!$D$5:$D$3004,TxRows),$A210,CashBook!$C$5:INDEX(CashBook!$C$5:$C$3004,TxRows),"Payment"))</f>
        <v/>
      </c>
      <c r="N210" s="61" t="str">
        <f aca="false">IF($A210="","",N($I210)+J210-K210-L210+M210)</f>
        <v/>
      </c>
      <c r="O210" s="60" t="str">
        <f aca="false">IF($A210="","",IF(ROUND(N210,2)&gt;0,"Receivable",IF(ROUND(N210,2)&lt;0,"Payable","Settled")))</f>
        <v/>
      </c>
      <c r="P210" s="66" t="str">
        <f aca="false">IF($A210="","",IFERROR(SUMPRODUCT(MAX((Sales!$C$5:INDEX(Sales!$C$5:$C$3004,TxRows)=$A210)*Sales!$A$5:INDEX(Sales!$A$5:$A$3004,TxRows))),0))</f>
        <v/>
      </c>
      <c r="Q210" s="66" t="str">
        <f aca="false">IF($A210="","",IFERROR(SUMPRODUCT(MAX((CashBook!$D$5:INDEX(CashBook!$D$5:$D$3004,TxRows)=$A210)*(CashBook!$C$5:INDEX(CashBook!$C$5:$C$3004,TxRows)="Receipt")*CashBook!$A$5:INDEX(CashBook!$A$5:$A$3004,TxRows))),0))</f>
        <v/>
      </c>
      <c r="R210" s="67" t="str">
        <f aca="false">IF($A210="","",IF(ROUND(N210,2)&lt;=0,"",AsOf-IF(N(Q210)&gt;0,Q210,IF(N(P210)&gt;0,P210,FYStart))))</f>
        <v/>
      </c>
      <c r="S210" s="60" t="str">
        <f aca="false">IF($A210="","",IF(AND(N($G210)&gt;0,N210&gt;N($G210)),"OVER LIMIT",IF(AND(N210&gt;0,N(R210)&gt;N($H210)),"OVERDUE",IF(ROUND(N210,2)&lt;0,"PAY DUE",""))))</f>
        <v/>
      </c>
    </row>
    <row r="211" customFormat="false" ht="15" hidden="false" customHeight="false" outlineLevel="0" collapsed="false">
      <c r="A211" s="56"/>
      <c r="B211" s="56"/>
      <c r="C211" s="56"/>
      <c r="D211" s="56"/>
      <c r="E211" s="56"/>
      <c r="F211" s="56"/>
      <c r="G211" s="68"/>
      <c r="H211" s="69"/>
      <c r="I211" s="58"/>
      <c r="J211" s="61" t="str">
        <f aca="false">IF($A211="","",SUMIFS(Sales!$Q$5:INDEX(Sales!$Q$5:$Q$3004,TxRows),Sales!$C$5:INDEX(Sales!$C$5:$C$3004,TxRows),$A211)-SUMIFS(Sales!$X$5:INDEX(Sales!$X$5:$X$3004,TxRows),Sales!$C$5:INDEX(Sales!$C$5:$C$3004,TxRows),$A211))</f>
        <v/>
      </c>
      <c r="K211" s="61" t="str">
        <f aca="false">IF($A211="","",SUMIFS(CashBook!$G$5:INDEX(CashBook!$G$5:$G$3004,TxRows),CashBook!$D$5:INDEX(CashBook!$D$5:$D$3004,TxRows),$A211,CashBook!$C$5:INDEX(CashBook!$C$5:$C$3004,TxRows),"Receipt"))</f>
        <v/>
      </c>
      <c r="L211" s="61" t="str">
        <f aca="false">IF($A211="","",SUMIFS(Purchases!$P$5:INDEX(Purchases!$P$5:$P$3004,TxRows),Purchases!$C$5:INDEX(Purchases!$C$5:$C$3004,TxRows),$A211)-SUMIFS(Purchases!$S$5:INDEX(Purchases!$S$5:$S$3004,TxRows),Purchases!$C$5:INDEX(Purchases!$C$5:$C$3004,TxRows),$A211))</f>
        <v/>
      </c>
      <c r="M211" s="61" t="str">
        <f aca="false">IF($A211="","",SUMIFS(CashBook!$G$5:INDEX(CashBook!$G$5:$G$3004,TxRows),CashBook!$D$5:INDEX(CashBook!$D$5:$D$3004,TxRows),$A211,CashBook!$C$5:INDEX(CashBook!$C$5:$C$3004,TxRows),"Payment"))</f>
        <v/>
      </c>
      <c r="N211" s="61" t="str">
        <f aca="false">IF($A211="","",N($I211)+J211-K211-L211+M211)</f>
        <v/>
      </c>
      <c r="O211" s="60" t="str">
        <f aca="false">IF($A211="","",IF(ROUND(N211,2)&gt;0,"Receivable",IF(ROUND(N211,2)&lt;0,"Payable","Settled")))</f>
        <v/>
      </c>
      <c r="P211" s="66" t="str">
        <f aca="false">IF($A211="","",IFERROR(SUMPRODUCT(MAX((Sales!$C$5:INDEX(Sales!$C$5:$C$3004,TxRows)=$A211)*Sales!$A$5:INDEX(Sales!$A$5:$A$3004,TxRows))),0))</f>
        <v/>
      </c>
      <c r="Q211" s="66" t="str">
        <f aca="false">IF($A211="","",IFERROR(SUMPRODUCT(MAX((CashBook!$D$5:INDEX(CashBook!$D$5:$D$3004,TxRows)=$A211)*(CashBook!$C$5:INDEX(CashBook!$C$5:$C$3004,TxRows)="Receipt")*CashBook!$A$5:INDEX(CashBook!$A$5:$A$3004,TxRows))),0))</f>
        <v/>
      </c>
      <c r="R211" s="67" t="str">
        <f aca="false">IF($A211="","",IF(ROUND(N211,2)&lt;=0,"",AsOf-IF(N(Q211)&gt;0,Q211,IF(N(P211)&gt;0,P211,FYStart))))</f>
        <v/>
      </c>
      <c r="S211" s="60" t="str">
        <f aca="false">IF($A211="","",IF(AND(N($G211)&gt;0,N211&gt;N($G211)),"OVER LIMIT",IF(AND(N211&gt;0,N(R211)&gt;N($H211)),"OVERDUE",IF(ROUND(N211,2)&lt;0,"PAY DUE",""))))</f>
        <v/>
      </c>
    </row>
    <row r="212" customFormat="false" ht="15" hidden="false" customHeight="false" outlineLevel="0" collapsed="false">
      <c r="A212" s="56"/>
      <c r="B212" s="56"/>
      <c r="C212" s="56"/>
      <c r="D212" s="56"/>
      <c r="E212" s="56"/>
      <c r="F212" s="56"/>
      <c r="G212" s="68"/>
      <c r="H212" s="69"/>
      <c r="I212" s="58"/>
      <c r="J212" s="61" t="str">
        <f aca="false">IF($A212="","",SUMIFS(Sales!$Q$5:INDEX(Sales!$Q$5:$Q$3004,TxRows),Sales!$C$5:INDEX(Sales!$C$5:$C$3004,TxRows),$A212)-SUMIFS(Sales!$X$5:INDEX(Sales!$X$5:$X$3004,TxRows),Sales!$C$5:INDEX(Sales!$C$5:$C$3004,TxRows),$A212))</f>
        <v/>
      </c>
      <c r="K212" s="61" t="str">
        <f aca="false">IF($A212="","",SUMIFS(CashBook!$G$5:INDEX(CashBook!$G$5:$G$3004,TxRows),CashBook!$D$5:INDEX(CashBook!$D$5:$D$3004,TxRows),$A212,CashBook!$C$5:INDEX(CashBook!$C$5:$C$3004,TxRows),"Receipt"))</f>
        <v/>
      </c>
      <c r="L212" s="61" t="str">
        <f aca="false">IF($A212="","",SUMIFS(Purchases!$P$5:INDEX(Purchases!$P$5:$P$3004,TxRows),Purchases!$C$5:INDEX(Purchases!$C$5:$C$3004,TxRows),$A212)-SUMIFS(Purchases!$S$5:INDEX(Purchases!$S$5:$S$3004,TxRows),Purchases!$C$5:INDEX(Purchases!$C$5:$C$3004,TxRows),$A212))</f>
        <v/>
      </c>
      <c r="M212" s="61" t="str">
        <f aca="false">IF($A212="","",SUMIFS(CashBook!$G$5:INDEX(CashBook!$G$5:$G$3004,TxRows),CashBook!$D$5:INDEX(CashBook!$D$5:$D$3004,TxRows),$A212,CashBook!$C$5:INDEX(CashBook!$C$5:$C$3004,TxRows),"Payment"))</f>
        <v/>
      </c>
      <c r="N212" s="61" t="str">
        <f aca="false">IF($A212="","",N($I212)+J212-K212-L212+M212)</f>
        <v/>
      </c>
      <c r="O212" s="60" t="str">
        <f aca="false">IF($A212="","",IF(ROUND(N212,2)&gt;0,"Receivable",IF(ROUND(N212,2)&lt;0,"Payable","Settled")))</f>
        <v/>
      </c>
      <c r="P212" s="66" t="str">
        <f aca="false">IF($A212="","",IFERROR(SUMPRODUCT(MAX((Sales!$C$5:INDEX(Sales!$C$5:$C$3004,TxRows)=$A212)*Sales!$A$5:INDEX(Sales!$A$5:$A$3004,TxRows))),0))</f>
        <v/>
      </c>
      <c r="Q212" s="66" t="str">
        <f aca="false">IF($A212="","",IFERROR(SUMPRODUCT(MAX((CashBook!$D$5:INDEX(CashBook!$D$5:$D$3004,TxRows)=$A212)*(CashBook!$C$5:INDEX(CashBook!$C$5:$C$3004,TxRows)="Receipt")*CashBook!$A$5:INDEX(CashBook!$A$5:$A$3004,TxRows))),0))</f>
        <v/>
      </c>
      <c r="R212" s="67" t="str">
        <f aca="false">IF($A212="","",IF(ROUND(N212,2)&lt;=0,"",AsOf-IF(N(Q212)&gt;0,Q212,IF(N(P212)&gt;0,P212,FYStart))))</f>
        <v/>
      </c>
      <c r="S212" s="60" t="str">
        <f aca="false">IF($A212="","",IF(AND(N($G212)&gt;0,N212&gt;N($G212)),"OVER LIMIT",IF(AND(N212&gt;0,N(R212)&gt;N($H212)),"OVERDUE",IF(ROUND(N212,2)&lt;0,"PAY DUE",""))))</f>
        <v/>
      </c>
    </row>
    <row r="213" customFormat="false" ht="15" hidden="false" customHeight="false" outlineLevel="0" collapsed="false">
      <c r="A213" s="56"/>
      <c r="B213" s="56"/>
      <c r="C213" s="56"/>
      <c r="D213" s="56"/>
      <c r="E213" s="56"/>
      <c r="F213" s="56"/>
      <c r="G213" s="68"/>
      <c r="H213" s="69"/>
      <c r="I213" s="58"/>
      <c r="J213" s="61" t="str">
        <f aca="false">IF($A213="","",SUMIFS(Sales!$Q$5:INDEX(Sales!$Q$5:$Q$3004,TxRows),Sales!$C$5:INDEX(Sales!$C$5:$C$3004,TxRows),$A213)-SUMIFS(Sales!$X$5:INDEX(Sales!$X$5:$X$3004,TxRows),Sales!$C$5:INDEX(Sales!$C$5:$C$3004,TxRows),$A213))</f>
        <v/>
      </c>
      <c r="K213" s="61" t="str">
        <f aca="false">IF($A213="","",SUMIFS(CashBook!$G$5:INDEX(CashBook!$G$5:$G$3004,TxRows),CashBook!$D$5:INDEX(CashBook!$D$5:$D$3004,TxRows),$A213,CashBook!$C$5:INDEX(CashBook!$C$5:$C$3004,TxRows),"Receipt"))</f>
        <v/>
      </c>
      <c r="L213" s="61" t="str">
        <f aca="false">IF($A213="","",SUMIFS(Purchases!$P$5:INDEX(Purchases!$P$5:$P$3004,TxRows),Purchases!$C$5:INDEX(Purchases!$C$5:$C$3004,TxRows),$A213)-SUMIFS(Purchases!$S$5:INDEX(Purchases!$S$5:$S$3004,TxRows),Purchases!$C$5:INDEX(Purchases!$C$5:$C$3004,TxRows),$A213))</f>
        <v/>
      </c>
      <c r="M213" s="61" t="str">
        <f aca="false">IF($A213="","",SUMIFS(CashBook!$G$5:INDEX(CashBook!$G$5:$G$3004,TxRows),CashBook!$D$5:INDEX(CashBook!$D$5:$D$3004,TxRows),$A213,CashBook!$C$5:INDEX(CashBook!$C$5:$C$3004,TxRows),"Payment"))</f>
        <v/>
      </c>
      <c r="N213" s="61" t="str">
        <f aca="false">IF($A213="","",N($I213)+J213-K213-L213+M213)</f>
        <v/>
      </c>
      <c r="O213" s="60" t="str">
        <f aca="false">IF($A213="","",IF(ROUND(N213,2)&gt;0,"Receivable",IF(ROUND(N213,2)&lt;0,"Payable","Settled")))</f>
        <v/>
      </c>
      <c r="P213" s="66" t="str">
        <f aca="false">IF($A213="","",IFERROR(SUMPRODUCT(MAX((Sales!$C$5:INDEX(Sales!$C$5:$C$3004,TxRows)=$A213)*Sales!$A$5:INDEX(Sales!$A$5:$A$3004,TxRows))),0))</f>
        <v/>
      </c>
      <c r="Q213" s="66" t="str">
        <f aca="false">IF($A213="","",IFERROR(SUMPRODUCT(MAX((CashBook!$D$5:INDEX(CashBook!$D$5:$D$3004,TxRows)=$A213)*(CashBook!$C$5:INDEX(CashBook!$C$5:$C$3004,TxRows)="Receipt")*CashBook!$A$5:INDEX(CashBook!$A$5:$A$3004,TxRows))),0))</f>
        <v/>
      </c>
      <c r="R213" s="67" t="str">
        <f aca="false">IF($A213="","",IF(ROUND(N213,2)&lt;=0,"",AsOf-IF(N(Q213)&gt;0,Q213,IF(N(P213)&gt;0,P213,FYStart))))</f>
        <v/>
      </c>
      <c r="S213" s="60" t="str">
        <f aca="false">IF($A213="","",IF(AND(N($G213)&gt;0,N213&gt;N($G213)),"OVER LIMIT",IF(AND(N213&gt;0,N(R213)&gt;N($H213)),"OVERDUE",IF(ROUND(N213,2)&lt;0,"PAY DUE",""))))</f>
        <v/>
      </c>
    </row>
    <row r="214" customFormat="false" ht="15" hidden="false" customHeight="false" outlineLevel="0" collapsed="false">
      <c r="A214" s="56"/>
      <c r="B214" s="56"/>
      <c r="C214" s="56"/>
      <c r="D214" s="56"/>
      <c r="E214" s="56"/>
      <c r="F214" s="56"/>
      <c r="G214" s="68"/>
      <c r="H214" s="69"/>
      <c r="I214" s="58"/>
      <c r="J214" s="61" t="str">
        <f aca="false">IF($A214="","",SUMIFS(Sales!$Q$5:INDEX(Sales!$Q$5:$Q$3004,TxRows),Sales!$C$5:INDEX(Sales!$C$5:$C$3004,TxRows),$A214)-SUMIFS(Sales!$X$5:INDEX(Sales!$X$5:$X$3004,TxRows),Sales!$C$5:INDEX(Sales!$C$5:$C$3004,TxRows),$A214))</f>
        <v/>
      </c>
      <c r="K214" s="61" t="str">
        <f aca="false">IF($A214="","",SUMIFS(CashBook!$G$5:INDEX(CashBook!$G$5:$G$3004,TxRows),CashBook!$D$5:INDEX(CashBook!$D$5:$D$3004,TxRows),$A214,CashBook!$C$5:INDEX(CashBook!$C$5:$C$3004,TxRows),"Receipt"))</f>
        <v/>
      </c>
      <c r="L214" s="61" t="str">
        <f aca="false">IF($A214="","",SUMIFS(Purchases!$P$5:INDEX(Purchases!$P$5:$P$3004,TxRows),Purchases!$C$5:INDEX(Purchases!$C$5:$C$3004,TxRows),$A214)-SUMIFS(Purchases!$S$5:INDEX(Purchases!$S$5:$S$3004,TxRows),Purchases!$C$5:INDEX(Purchases!$C$5:$C$3004,TxRows),$A214))</f>
        <v/>
      </c>
      <c r="M214" s="61" t="str">
        <f aca="false">IF($A214="","",SUMIFS(CashBook!$G$5:INDEX(CashBook!$G$5:$G$3004,TxRows),CashBook!$D$5:INDEX(CashBook!$D$5:$D$3004,TxRows),$A214,CashBook!$C$5:INDEX(CashBook!$C$5:$C$3004,TxRows),"Payment"))</f>
        <v/>
      </c>
      <c r="N214" s="61" t="str">
        <f aca="false">IF($A214="","",N($I214)+J214-K214-L214+M214)</f>
        <v/>
      </c>
      <c r="O214" s="60" t="str">
        <f aca="false">IF($A214="","",IF(ROUND(N214,2)&gt;0,"Receivable",IF(ROUND(N214,2)&lt;0,"Payable","Settled")))</f>
        <v/>
      </c>
      <c r="P214" s="66" t="str">
        <f aca="false">IF($A214="","",IFERROR(SUMPRODUCT(MAX((Sales!$C$5:INDEX(Sales!$C$5:$C$3004,TxRows)=$A214)*Sales!$A$5:INDEX(Sales!$A$5:$A$3004,TxRows))),0))</f>
        <v/>
      </c>
      <c r="Q214" s="66" t="str">
        <f aca="false">IF($A214="","",IFERROR(SUMPRODUCT(MAX((CashBook!$D$5:INDEX(CashBook!$D$5:$D$3004,TxRows)=$A214)*(CashBook!$C$5:INDEX(CashBook!$C$5:$C$3004,TxRows)="Receipt")*CashBook!$A$5:INDEX(CashBook!$A$5:$A$3004,TxRows))),0))</f>
        <v/>
      </c>
      <c r="R214" s="67" t="str">
        <f aca="false">IF($A214="","",IF(ROUND(N214,2)&lt;=0,"",AsOf-IF(N(Q214)&gt;0,Q214,IF(N(P214)&gt;0,P214,FYStart))))</f>
        <v/>
      </c>
      <c r="S214" s="60" t="str">
        <f aca="false">IF($A214="","",IF(AND(N($G214)&gt;0,N214&gt;N($G214)),"OVER LIMIT",IF(AND(N214&gt;0,N(R214)&gt;N($H214)),"OVERDUE",IF(ROUND(N214,2)&lt;0,"PAY DUE",""))))</f>
        <v/>
      </c>
    </row>
    <row r="215" customFormat="false" ht="15" hidden="false" customHeight="false" outlineLevel="0" collapsed="false">
      <c r="A215" s="56"/>
      <c r="B215" s="56"/>
      <c r="C215" s="56"/>
      <c r="D215" s="56"/>
      <c r="E215" s="56"/>
      <c r="F215" s="56"/>
      <c r="G215" s="68"/>
      <c r="H215" s="69"/>
      <c r="I215" s="58"/>
      <c r="J215" s="61" t="str">
        <f aca="false">IF($A215="","",SUMIFS(Sales!$Q$5:INDEX(Sales!$Q$5:$Q$3004,TxRows),Sales!$C$5:INDEX(Sales!$C$5:$C$3004,TxRows),$A215)-SUMIFS(Sales!$X$5:INDEX(Sales!$X$5:$X$3004,TxRows),Sales!$C$5:INDEX(Sales!$C$5:$C$3004,TxRows),$A215))</f>
        <v/>
      </c>
      <c r="K215" s="61" t="str">
        <f aca="false">IF($A215="","",SUMIFS(CashBook!$G$5:INDEX(CashBook!$G$5:$G$3004,TxRows),CashBook!$D$5:INDEX(CashBook!$D$5:$D$3004,TxRows),$A215,CashBook!$C$5:INDEX(CashBook!$C$5:$C$3004,TxRows),"Receipt"))</f>
        <v/>
      </c>
      <c r="L215" s="61" t="str">
        <f aca="false">IF($A215="","",SUMIFS(Purchases!$P$5:INDEX(Purchases!$P$5:$P$3004,TxRows),Purchases!$C$5:INDEX(Purchases!$C$5:$C$3004,TxRows),$A215)-SUMIFS(Purchases!$S$5:INDEX(Purchases!$S$5:$S$3004,TxRows),Purchases!$C$5:INDEX(Purchases!$C$5:$C$3004,TxRows),$A215))</f>
        <v/>
      </c>
      <c r="M215" s="61" t="str">
        <f aca="false">IF($A215="","",SUMIFS(CashBook!$G$5:INDEX(CashBook!$G$5:$G$3004,TxRows),CashBook!$D$5:INDEX(CashBook!$D$5:$D$3004,TxRows),$A215,CashBook!$C$5:INDEX(CashBook!$C$5:$C$3004,TxRows),"Payment"))</f>
        <v/>
      </c>
      <c r="N215" s="61" t="str">
        <f aca="false">IF($A215="","",N($I215)+J215-K215-L215+M215)</f>
        <v/>
      </c>
      <c r="O215" s="60" t="str">
        <f aca="false">IF($A215="","",IF(ROUND(N215,2)&gt;0,"Receivable",IF(ROUND(N215,2)&lt;0,"Payable","Settled")))</f>
        <v/>
      </c>
      <c r="P215" s="66" t="str">
        <f aca="false">IF($A215="","",IFERROR(SUMPRODUCT(MAX((Sales!$C$5:INDEX(Sales!$C$5:$C$3004,TxRows)=$A215)*Sales!$A$5:INDEX(Sales!$A$5:$A$3004,TxRows))),0))</f>
        <v/>
      </c>
      <c r="Q215" s="66" t="str">
        <f aca="false">IF($A215="","",IFERROR(SUMPRODUCT(MAX((CashBook!$D$5:INDEX(CashBook!$D$5:$D$3004,TxRows)=$A215)*(CashBook!$C$5:INDEX(CashBook!$C$5:$C$3004,TxRows)="Receipt")*CashBook!$A$5:INDEX(CashBook!$A$5:$A$3004,TxRows))),0))</f>
        <v/>
      </c>
      <c r="R215" s="67" t="str">
        <f aca="false">IF($A215="","",IF(ROUND(N215,2)&lt;=0,"",AsOf-IF(N(Q215)&gt;0,Q215,IF(N(P215)&gt;0,P215,FYStart))))</f>
        <v/>
      </c>
      <c r="S215" s="60" t="str">
        <f aca="false">IF($A215="","",IF(AND(N($G215)&gt;0,N215&gt;N($G215)),"OVER LIMIT",IF(AND(N215&gt;0,N(R215)&gt;N($H215)),"OVERDUE",IF(ROUND(N215,2)&lt;0,"PAY DUE",""))))</f>
        <v/>
      </c>
    </row>
    <row r="216" customFormat="false" ht="15" hidden="false" customHeight="false" outlineLevel="0" collapsed="false">
      <c r="A216" s="56"/>
      <c r="B216" s="56"/>
      <c r="C216" s="56"/>
      <c r="D216" s="56"/>
      <c r="E216" s="56"/>
      <c r="F216" s="56"/>
      <c r="G216" s="68"/>
      <c r="H216" s="69"/>
      <c r="I216" s="58"/>
      <c r="J216" s="61" t="str">
        <f aca="false">IF($A216="","",SUMIFS(Sales!$Q$5:INDEX(Sales!$Q$5:$Q$3004,TxRows),Sales!$C$5:INDEX(Sales!$C$5:$C$3004,TxRows),$A216)-SUMIFS(Sales!$X$5:INDEX(Sales!$X$5:$X$3004,TxRows),Sales!$C$5:INDEX(Sales!$C$5:$C$3004,TxRows),$A216))</f>
        <v/>
      </c>
      <c r="K216" s="61" t="str">
        <f aca="false">IF($A216="","",SUMIFS(CashBook!$G$5:INDEX(CashBook!$G$5:$G$3004,TxRows),CashBook!$D$5:INDEX(CashBook!$D$5:$D$3004,TxRows),$A216,CashBook!$C$5:INDEX(CashBook!$C$5:$C$3004,TxRows),"Receipt"))</f>
        <v/>
      </c>
      <c r="L216" s="61" t="str">
        <f aca="false">IF($A216="","",SUMIFS(Purchases!$P$5:INDEX(Purchases!$P$5:$P$3004,TxRows),Purchases!$C$5:INDEX(Purchases!$C$5:$C$3004,TxRows),$A216)-SUMIFS(Purchases!$S$5:INDEX(Purchases!$S$5:$S$3004,TxRows),Purchases!$C$5:INDEX(Purchases!$C$5:$C$3004,TxRows),$A216))</f>
        <v/>
      </c>
      <c r="M216" s="61" t="str">
        <f aca="false">IF($A216="","",SUMIFS(CashBook!$G$5:INDEX(CashBook!$G$5:$G$3004,TxRows),CashBook!$D$5:INDEX(CashBook!$D$5:$D$3004,TxRows),$A216,CashBook!$C$5:INDEX(CashBook!$C$5:$C$3004,TxRows),"Payment"))</f>
        <v/>
      </c>
      <c r="N216" s="61" t="str">
        <f aca="false">IF($A216="","",N($I216)+J216-K216-L216+M216)</f>
        <v/>
      </c>
      <c r="O216" s="60" t="str">
        <f aca="false">IF($A216="","",IF(ROUND(N216,2)&gt;0,"Receivable",IF(ROUND(N216,2)&lt;0,"Payable","Settled")))</f>
        <v/>
      </c>
      <c r="P216" s="66" t="str">
        <f aca="false">IF($A216="","",IFERROR(SUMPRODUCT(MAX((Sales!$C$5:INDEX(Sales!$C$5:$C$3004,TxRows)=$A216)*Sales!$A$5:INDEX(Sales!$A$5:$A$3004,TxRows))),0))</f>
        <v/>
      </c>
      <c r="Q216" s="66" t="str">
        <f aca="false">IF($A216="","",IFERROR(SUMPRODUCT(MAX((CashBook!$D$5:INDEX(CashBook!$D$5:$D$3004,TxRows)=$A216)*(CashBook!$C$5:INDEX(CashBook!$C$5:$C$3004,TxRows)="Receipt")*CashBook!$A$5:INDEX(CashBook!$A$5:$A$3004,TxRows))),0))</f>
        <v/>
      </c>
      <c r="R216" s="67" t="str">
        <f aca="false">IF($A216="","",IF(ROUND(N216,2)&lt;=0,"",AsOf-IF(N(Q216)&gt;0,Q216,IF(N(P216)&gt;0,P216,FYStart))))</f>
        <v/>
      </c>
      <c r="S216" s="60" t="str">
        <f aca="false">IF($A216="","",IF(AND(N($G216)&gt;0,N216&gt;N($G216)),"OVER LIMIT",IF(AND(N216&gt;0,N(R216)&gt;N($H216)),"OVERDUE",IF(ROUND(N216,2)&lt;0,"PAY DUE",""))))</f>
        <v/>
      </c>
    </row>
    <row r="217" customFormat="false" ht="15" hidden="false" customHeight="false" outlineLevel="0" collapsed="false">
      <c r="A217" s="56"/>
      <c r="B217" s="56"/>
      <c r="C217" s="56"/>
      <c r="D217" s="56"/>
      <c r="E217" s="56"/>
      <c r="F217" s="56"/>
      <c r="G217" s="68"/>
      <c r="H217" s="69"/>
      <c r="I217" s="58"/>
      <c r="J217" s="61" t="str">
        <f aca="false">IF($A217="","",SUMIFS(Sales!$Q$5:INDEX(Sales!$Q$5:$Q$3004,TxRows),Sales!$C$5:INDEX(Sales!$C$5:$C$3004,TxRows),$A217)-SUMIFS(Sales!$X$5:INDEX(Sales!$X$5:$X$3004,TxRows),Sales!$C$5:INDEX(Sales!$C$5:$C$3004,TxRows),$A217))</f>
        <v/>
      </c>
      <c r="K217" s="61" t="str">
        <f aca="false">IF($A217="","",SUMIFS(CashBook!$G$5:INDEX(CashBook!$G$5:$G$3004,TxRows),CashBook!$D$5:INDEX(CashBook!$D$5:$D$3004,TxRows),$A217,CashBook!$C$5:INDEX(CashBook!$C$5:$C$3004,TxRows),"Receipt"))</f>
        <v/>
      </c>
      <c r="L217" s="61" t="str">
        <f aca="false">IF($A217="","",SUMIFS(Purchases!$P$5:INDEX(Purchases!$P$5:$P$3004,TxRows),Purchases!$C$5:INDEX(Purchases!$C$5:$C$3004,TxRows),$A217)-SUMIFS(Purchases!$S$5:INDEX(Purchases!$S$5:$S$3004,TxRows),Purchases!$C$5:INDEX(Purchases!$C$5:$C$3004,TxRows),$A217))</f>
        <v/>
      </c>
      <c r="M217" s="61" t="str">
        <f aca="false">IF($A217="","",SUMIFS(CashBook!$G$5:INDEX(CashBook!$G$5:$G$3004,TxRows),CashBook!$D$5:INDEX(CashBook!$D$5:$D$3004,TxRows),$A217,CashBook!$C$5:INDEX(CashBook!$C$5:$C$3004,TxRows),"Payment"))</f>
        <v/>
      </c>
      <c r="N217" s="61" t="str">
        <f aca="false">IF($A217="","",N($I217)+J217-K217-L217+M217)</f>
        <v/>
      </c>
      <c r="O217" s="60" t="str">
        <f aca="false">IF($A217="","",IF(ROUND(N217,2)&gt;0,"Receivable",IF(ROUND(N217,2)&lt;0,"Payable","Settled")))</f>
        <v/>
      </c>
      <c r="P217" s="66" t="str">
        <f aca="false">IF($A217="","",IFERROR(SUMPRODUCT(MAX((Sales!$C$5:INDEX(Sales!$C$5:$C$3004,TxRows)=$A217)*Sales!$A$5:INDEX(Sales!$A$5:$A$3004,TxRows))),0))</f>
        <v/>
      </c>
      <c r="Q217" s="66" t="str">
        <f aca="false">IF($A217="","",IFERROR(SUMPRODUCT(MAX((CashBook!$D$5:INDEX(CashBook!$D$5:$D$3004,TxRows)=$A217)*(CashBook!$C$5:INDEX(CashBook!$C$5:$C$3004,TxRows)="Receipt")*CashBook!$A$5:INDEX(CashBook!$A$5:$A$3004,TxRows))),0))</f>
        <v/>
      </c>
      <c r="R217" s="67" t="str">
        <f aca="false">IF($A217="","",IF(ROUND(N217,2)&lt;=0,"",AsOf-IF(N(Q217)&gt;0,Q217,IF(N(P217)&gt;0,P217,FYStart))))</f>
        <v/>
      </c>
      <c r="S217" s="60" t="str">
        <f aca="false">IF($A217="","",IF(AND(N($G217)&gt;0,N217&gt;N($G217)),"OVER LIMIT",IF(AND(N217&gt;0,N(R217)&gt;N($H217)),"OVERDUE",IF(ROUND(N217,2)&lt;0,"PAY DUE",""))))</f>
        <v/>
      </c>
    </row>
    <row r="218" customFormat="false" ht="15" hidden="false" customHeight="false" outlineLevel="0" collapsed="false">
      <c r="A218" s="56"/>
      <c r="B218" s="56"/>
      <c r="C218" s="56"/>
      <c r="D218" s="56"/>
      <c r="E218" s="56"/>
      <c r="F218" s="56"/>
      <c r="G218" s="68"/>
      <c r="H218" s="69"/>
      <c r="I218" s="58"/>
      <c r="J218" s="61" t="str">
        <f aca="false">IF($A218="","",SUMIFS(Sales!$Q$5:INDEX(Sales!$Q$5:$Q$3004,TxRows),Sales!$C$5:INDEX(Sales!$C$5:$C$3004,TxRows),$A218)-SUMIFS(Sales!$X$5:INDEX(Sales!$X$5:$X$3004,TxRows),Sales!$C$5:INDEX(Sales!$C$5:$C$3004,TxRows),$A218))</f>
        <v/>
      </c>
      <c r="K218" s="61" t="str">
        <f aca="false">IF($A218="","",SUMIFS(CashBook!$G$5:INDEX(CashBook!$G$5:$G$3004,TxRows),CashBook!$D$5:INDEX(CashBook!$D$5:$D$3004,TxRows),$A218,CashBook!$C$5:INDEX(CashBook!$C$5:$C$3004,TxRows),"Receipt"))</f>
        <v/>
      </c>
      <c r="L218" s="61" t="str">
        <f aca="false">IF($A218="","",SUMIFS(Purchases!$P$5:INDEX(Purchases!$P$5:$P$3004,TxRows),Purchases!$C$5:INDEX(Purchases!$C$5:$C$3004,TxRows),$A218)-SUMIFS(Purchases!$S$5:INDEX(Purchases!$S$5:$S$3004,TxRows),Purchases!$C$5:INDEX(Purchases!$C$5:$C$3004,TxRows),$A218))</f>
        <v/>
      </c>
      <c r="M218" s="61" t="str">
        <f aca="false">IF($A218="","",SUMIFS(CashBook!$G$5:INDEX(CashBook!$G$5:$G$3004,TxRows),CashBook!$D$5:INDEX(CashBook!$D$5:$D$3004,TxRows),$A218,CashBook!$C$5:INDEX(CashBook!$C$5:$C$3004,TxRows),"Payment"))</f>
        <v/>
      </c>
      <c r="N218" s="61" t="str">
        <f aca="false">IF($A218="","",N($I218)+J218-K218-L218+M218)</f>
        <v/>
      </c>
      <c r="O218" s="60" t="str">
        <f aca="false">IF($A218="","",IF(ROUND(N218,2)&gt;0,"Receivable",IF(ROUND(N218,2)&lt;0,"Payable","Settled")))</f>
        <v/>
      </c>
      <c r="P218" s="66" t="str">
        <f aca="false">IF($A218="","",IFERROR(SUMPRODUCT(MAX((Sales!$C$5:INDEX(Sales!$C$5:$C$3004,TxRows)=$A218)*Sales!$A$5:INDEX(Sales!$A$5:$A$3004,TxRows))),0))</f>
        <v/>
      </c>
      <c r="Q218" s="66" t="str">
        <f aca="false">IF($A218="","",IFERROR(SUMPRODUCT(MAX((CashBook!$D$5:INDEX(CashBook!$D$5:$D$3004,TxRows)=$A218)*(CashBook!$C$5:INDEX(CashBook!$C$5:$C$3004,TxRows)="Receipt")*CashBook!$A$5:INDEX(CashBook!$A$5:$A$3004,TxRows))),0))</f>
        <v/>
      </c>
      <c r="R218" s="67" t="str">
        <f aca="false">IF($A218="","",IF(ROUND(N218,2)&lt;=0,"",AsOf-IF(N(Q218)&gt;0,Q218,IF(N(P218)&gt;0,P218,FYStart))))</f>
        <v/>
      </c>
      <c r="S218" s="60" t="str">
        <f aca="false">IF($A218="","",IF(AND(N($G218)&gt;0,N218&gt;N($G218)),"OVER LIMIT",IF(AND(N218&gt;0,N(R218)&gt;N($H218)),"OVERDUE",IF(ROUND(N218,2)&lt;0,"PAY DUE",""))))</f>
        <v/>
      </c>
    </row>
    <row r="219" customFormat="false" ht="15" hidden="false" customHeight="false" outlineLevel="0" collapsed="false">
      <c r="A219" s="56"/>
      <c r="B219" s="56"/>
      <c r="C219" s="56"/>
      <c r="D219" s="56"/>
      <c r="E219" s="56"/>
      <c r="F219" s="56"/>
      <c r="G219" s="68"/>
      <c r="H219" s="69"/>
      <c r="I219" s="58"/>
      <c r="J219" s="61" t="str">
        <f aca="false">IF($A219="","",SUMIFS(Sales!$Q$5:INDEX(Sales!$Q$5:$Q$3004,TxRows),Sales!$C$5:INDEX(Sales!$C$5:$C$3004,TxRows),$A219)-SUMIFS(Sales!$X$5:INDEX(Sales!$X$5:$X$3004,TxRows),Sales!$C$5:INDEX(Sales!$C$5:$C$3004,TxRows),$A219))</f>
        <v/>
      </c>
      <c r="K219" s="61" t="str">
        <f aca="false">IF($A219="","",SUMIFS(CashBook!$G$5:INDEX(CashBook!$G$5:$G$3004,TxRows),CashBook!$D$5:INDEX(CashBook!$D$5:$D$3004,TxRows),$A219,CashBook!$C$5:INDEX(CashBook!$C$5:$C$3004,TxRows),"Receipt"))</f>
        <v/>
      </c>
      <c r="L219" s="61" t="str">
        <f aca="false">IF($A219="","",SUMIFS(Purchases!$P$5:INDEX(Purchases!$P$5:$P$3004,TxRows),Purchases!$C$5:INDEX(Purchases!$C$5:$C$3004,TxRows),$A219)-SUMIFS(Purchases!$S$5:INDEX(Purchases!$S$5:$S$3004,TxRows),Purchases!$C$5:INDEX(Purchases!$C$5:$C$3004,TxRows),$A219))</f>
        <v/>
      </c>
      <c r="M219" s="61" t="str">
        <f aca="false">IF($A219="","",SUMIFS(CashBook!$G$5:INDEX(CashBook!$G$5:$G$3004,TxRows),CashBook!$D$5:INDEX(CashBook!$D$5:$D$3004,TxRows),$A219,CashBook!$C$5:INDEX(CashBook!$C$5:$C$3004,TxRows),"Payment"))</f>
        <v/>
      </c>
      <c r="N219" s="61" t="str">
        <f aca="false">IF($A219="","",N($I219)+J219-K219-L219+M219)</f>
        <v/>
      </c>
      <c r="O219" s="60" t="str">
        <f aca="false">IF($A219="","",IF(ROUND(N219,2)&gt;0,"Receivable",IF(ROUND(N219,2)&lt;0,"Payable","Settled")))</f>
        <v/>
      </c>
      <c r="P219" s="66" t="str">
        <f aca="false">IF($A219="","",IFERROR(SUMPRODUCT(MAX((Sales!$C$5:INDEX(Sales!$C$5:$C$3004,TxRows)=$A219)*Sales!$A$5:INDEX(Sales!$A$5:$A$3004,TxRows))),0))</f>
        <v/>
      </c>
      <c r="Q219" s="66" t="str">
        <f aca="false">IF($A219="","",IFERROR(SUMPRODUCT(MAX((CashBook!$D$5:INDEX(CashBook!$D$5:$D$3004,TxRows)=$A219)*(CashBook!$C$5:INDEX(CashBook!$C$5:$C$3004,TxRows)="Receipt")*CashBook!$A$5:INDEX(CashBook!$A$5:$A$3004,TxRows))),0))</f>
        <v/>
      </c>
      <c r="R219" s="67" t="str">
        <f aca="false">IF($A219="","",IF(ROUND(N219,2)&lt;=0,"",AsOf-IF(N(Q219)&gt;0,Q219,IF(N(P219)&gt;0,P219,FYStart))))</f>
        <v/>
      </c>
      <c r="S219" s="60" t="str">
        <f aca="false">IF($A219="","",IF(AND(N($G219)&gt;0,N219&gt;N($G219)),"OVER LIMIT",IF(AND(N219&gt;0,N(R219)&gt;N($H219)),"OVERDUE",IF(ROUND(N219,2)&lt;0,"PAY DUE",""))))</f>
        <v/>
      </c>
    </row>
    <row r="220" customFormat="false" ht="15" hidden="false" customHeight="false" outlineLevel="0" collapsed="false">
      <c r="A220" s="56"/>
      <c r="B220" s="56"/>
      <c r="C220" s="56"/>
      <c r="D220" s="56"/>
      <c r="E220" s="56"/>
      <c r="F220" s="56"/>
      <c r="G220" s="68"/>
      <c r="H220" s="69"/>
      <c r="I220" s="58"/>
      <c r="J220" s="61" t="str">
        <f aca="false">IF($A220="","",SUMIFS(Sales!$Q$5:INDEX(Sales!$Q$5:$Q$3004,TxRows),Sales!$C$5:INDEX(Sales!$C$5:$C$3004,TxRows),$A220)-SUMIFS(Sales!$X$5:INDEX(Sales!$X$5:$X$3004,TxRows),Sales!$C$5:INDEX(Sales!$C$5:$C$3004,TxRows),$A220))</f>
        <v/>
      </c>
      <c r="K220" s="61" t="str">
        <f aca="false">IF($A220="","",SUMIFS(CashBook!$G$5:INDEX(CashBook!$G$5:$G$3004,TxRows),CashBook!$D$5:INDEX(CashBook!$D$5:$D$3004,TxRows),$A220,CashBook!$C$5:INDEX(CashBook!$C$5:$C$3004,TxRows),"Receipt"))</f>
        <v/>
      </c>
      <c r="L220" s="61" t="str">
        <f aca="false">IF($A220="","",SUMIFS(Purchases!$P$5:INDEX(Purchases!$P$5:$P$3004,TxRows),Purchases!$C$5:INDEX(Purchases!$C$5:$C$3004,TxRows),$A220)-SUMIFS(Purchases!$S$5:INDEX(Purchases!$S$5:$S$3004,TxRows),Purchases!$C$5:INDEX(Purchases!$C$5:$C$3004,TxRows),$A220))</f>
        <v/>
      </c>
      <c r="M220" s="61" t="str">
        <f aca="false">IF($A220="","",SUMIFS(CashBook!$G$5:INDEX(CashBook!$G$5:$G$3004,TxRows),CashBook!$D$5:INDEX(CashBook!$D$5:$D$3004,TxRows),$A220,CashBook!$C$5:INDEX(CashBook!$C$5:$C$3004,TxRows),"Payment"))</f>
        <v/>
      </c>
      <c r="N220" s="61" t="str">
        <f aca="false">IF($A220="","",N($I220)+J220-K220-L220+M220)</f>
        <v/>
      </c>
      <c r="O220" s="60" t="str">
        <f aca="false">IF($A220="","",IF(ROUND(N220,2)&gt;0,"Receivable",IF(ROUND(N220,2)&lt;0,"Payable","Settled")))</f>
        <v/>
      </c>
      <c r="P220" s="66" t="str">
        <f aca="false">IF($A220="","",IFERROR(SUMPRODUCT(MAX((Sales!$C$5:INDEX(Sales!$C$5:$C$3004,TxRows)=$A220)*Sales!$A$5:INDEX(Sales!$A$5:$A$3004,TxRows))),0))</f>
        <v/>
      </c>
      <c r="Q220" s="66" t="str">
        <f aca="false">IF($A220="","",IFERROR(SUMPRODUCT(MAX((CashBook!$D$5:INDEX(CashBook!$D$5:$D$3004,TxRows)=$A220)*(CashBook!$C$5:INDEX(CashBook!$C$5:$C$3004,TxRows)="Receipt")*CashBook!$A$5:INDEX(CashBook!$A$5:$A$3004,TxRows))),0))</f>
        <v/>
      </c>
      <c r="R220" s="67" t="str">
        <f aca="false">IF($A220="","",IF(ROUND(N220,2)&lt;=0,"",AsOf-IF(N(Q220)&gt;0,Q220,IF(N(P220)&gt;0,P220,FYStart))))</f>
        <v/>
      </c>
      <c r="S220" s="60" t="str">
        <f aca="false">IF($A220="","",IF(AND(N($G220)&gt;0,N220&gt;N($G220)),"OVER LIMIT",IF(AND(N220&gt;0,N(R220)&gt;N($H220)),"OVERDUE",IF(ROUND(N220,2)&lt;0,"PAY DUE",""))))</f>
        <v/>
      </c>
    </row>
    <row r="221" customFormat="false" ht="15" hidden="false" customHeight="false" outlineLevel="0" collapsed="false">
      <c r="A221" s="56"/>
      <c r="B221" s="56"/>
      <c r="C221" s="56"/>
      <c r="D221" s="56"/>
      <c r="E221" s="56"/>
      <c r="F221" s="56"/>
      <c r="G221" s="68"/>
      <c r="H221" s="69"/>
      <c r="I221" s="58"/>
      <c r="J221" s="61" t="str">
        <f aca="false">IF($A221="","",SUMIFS(Sales!$Q$5:INDEX(Sales!$Q$5:$Q$3004,TxRows),Sales!$C$5:INDEX(Sales!$C$5:$C$3004,TxRows),$A221)-SUMIFS(Sales!$X$5:INDEX(Sales!$X$5:$X$3004,TxRows),Sales!$C$5:INDEX(Sales!$C$5:$C$3004,TxRows),$A221))</f>
        <v/>
      </c>
      <c r="K221" s="61" t="str">
        <f aca="false">IF($A221="","",SUMIFS(CashBook!$G$5:INDEX(CashBook!$G$5:$G$3004,TxRows),CashBook!$D$5:INDEX(CashBook!$D$5:$D$3004,TxRows),$A221,CashBook!$C$5:INDEX(CashBook!$C$5:$C$3004,TxRows),"Receipt"))</f>
        <v/>
      </c>
      <c r="L221" s="61" t="str">
        <f aca="false">IF($A221="","",SUMIFS(Purchases!$P$5:INDEX(Purchases!$P$5:$P$3004,TxRows),Purchases!$C$5:INDEX(Purchases!$C$5:$C$3004,TxRows),$A221)-SUMIFS(Purchases!$S$5:INDEX(Purchases!$S$5:$S$3004,TxRows),Purchases!$C$5:INDEX(Purchases!$C$5:$C$3004,TxRows),$A221))</f>
        <v/>
      </c>
      <c r="M221" s="61" t="str">
        <f aca="false">IF($A221="","",SUMIFS(CashBook!$G$5:INDEX(CashBook!$G$5:$G$3004,TxRows),CashBook!$D$5:INDEX(CashBook!$D$5:$D$3004,TxRows),$A221,CashBook!$C$5:INDEX(CashBook!$C$5:$C$3004,TxRows),"Payment"))</f>
        <v/>
      </c>
      <c r="N221" s="61" t="str">
        <f aca="false">IF($A221="","",N($I221)+J221-K221-L221+M221)</f>
        <v/>
      </c>
      <c r="O221" s="60" t="str">
        <f aca="false">IF($A221="","",IF(ROUND(N221,2)&gt;0,"Receivable",IF(ROUND(N221,2)&lt;0,"Payable","Settled")))</f>
        <v/>
      </c>
      <c r="P221" s="66" t="str">
        <f aca="false">IF($A221="","",IFERROR(SUMPRODUCT(MAX((Sales!$C$5:INDEX(Sales!$C$5:$C$3004,TxRows)=$A221)*Sales!$A$5:INDEX(Sales!$A$5:$A$3004,TxRows))),0))</f>
        <v/>
      </c>
      <c r="Q221" s="66" t="str">
        <f aca="false">IF($A221="","",IFERROR(SUMPRODUCT(MAX((CashBook!$D$5:INDEX(CashBook!$D$5:$D$3004,TxRows)=$A221)*(CashBook!$C$5:INDEX(CashBook!$C$5:$C$3004,TxRows)="Receipt")*CashBook!$A$5:INDEX(CashBook!$A$5:$A$3004,TxRows))),0))</f>
        <v/>
      </c>
      <c r="R221" s="67" t="str">
        <f aca="false">IF($A221="","",IF(ROUND(N221,2)&lt;=0,"",AsOf-IF(N(Q221)&gt;0,Q221,IF(N(P221)&gt;0,P221,FYStart))))</f>
        <v/>
      </c>
      <c r="S221" s="60" t="str">
        <f aca="false">IF($A221="","",IF(AND(N($G221)&gt;0,N221&gt;N($G221)),"OVER LIMIT",IF(AND(N221&gt;0,N(R221)&gt;N($H221)),"OVERDUE",IF(ROUND(N221,2)&lt;0,"PAY DUE",""))))</f>
        <v/>
      </c>
    </row>
    <row r="222" customFormat="false" ht="15" hidden="false" customHeight="false" outlineLevel="0" collapsed="false">
      <c r="A222" s="56"/>
      <c r="B222" s="56"/>
      <c r="C222" s="56"/>
      <c r="D222" s="56"/>
      <c r="E222" s="56"/>
      <c r="F222" s="56"/>
      <c r="G222" s="68"/>
      <c r="H222" s="69"/>
      <c r="I222" s="58"/>
      <c r="J222" s="61" t="str">
        <f aca="false">IF($A222="","",SUMIFS(Sales!$Q$5:INDEX(Sales!$Q$5:$Q$3004,TxRows),Sales!$C$5:INDEX(Sales!$C$5:$C$3004,TxRows),$A222)-SUMIFS(Sales!$X$5:INDEX(Sales!$X$5:$X$3004,TxRows),Sales!$C$5:INDEX(Sales!$C$5:$C$3004,TxRows),$A222))</f>
        <v/>
      </c>
      <c r="K222" s="61" t="str">
        <f aca="false">IF($A222="","",SUMIFS(CashBook!$G$5:INDEX(CashBook!$G$5:$G$3004,TxRows),CashBook!$D$5:INDEX(CashBook!$D$5:$D$3004,TxRows),$A222,CashBook!$C$5:INDEX(CashBook!$C$5:$C$3004,TxRows),"Receipt"))</f>
        <v/>
      </c>
      <c r="L222" s="61" t="str">
        <f aca="false">IF($A222="","",SUMIFS(Purchases!$P$5:INDEX(Purchases!$P$5:$P$3004,TxRows),Purchases!$C$5:INDEX(Purchases!$C$5:$C$3004,TxRows),$A222)-SUMIFS(Purchases!$S$5:INDEX(Purchases!$S$5:$S$3004,TxRows),Purchases!$C$5:INDEX(Purchases!$C$5:$C$3004,TxRows),$A222))</f>
        <v/>
      </c>
      <c r="M222" s="61" t="str">
        <f aca="false">IF($A222="","",SUMIFS(CashBook!$G$5:INDEX(CashBook!$G$5:$G$3004,TxRows),CashBook!$D$5:INDEX(CashBook!$D$5:$D$3004,TxRows),$A222,CashBook!$C$5:INDEX(CashBook!$C$5:$C$3004,TxRows),"Payment"))</f>
        <v/>
      </c>
      <c r="N222" s="61" t="str">
        <f aca="false">IF($A222="","",N($I222)+J222-K222-L222+M222)</f>
        <v/>
      </c>
      <c r="O222" s="60" t="str">
        <f aca="false">IF($A222="","",IF(ROUND(N222,2)&gt;0,"Receivable",IF(ROUND(N222,2)&lt;0,"Payable","Settled")))</f>
        <v/>
      </c>
      <c r="P222" s="66" t="str">
        <f aca="false">IF($A222="","",IFERROR(SUMPRODUCT(MAX((Sales!$C$5:INDEX(Sales!$C$5:$C$3004,TxRows)=$A222)*Sales!$A$5:INDEX(Sales!$A$5:$A$3004,TxRows))),0))</f>
        <v/>
      </c>
      <c r="Q222" s="66" t="str">
        <f aca="false">IF($A222="","",IFERROR(SUMPRODUCT(MAX((CashBook!$D$5:INDEX(CashBook!$D$5:$D$3004,TxRows)=$A222)*(CashBook!$C$5:INDEX(CashBook!$C$5:$C$3004,TxRows)="Receipt")*CashBook!$A$5:INDEX(CashBook!$A$5:$A$3004,TxRows))),0))</f>
        <v/>
      </c>
      <c r="R222" s="67" t="str">
        <f aca="false">IF($A222="","",IF(ROUND(N222,2)&lt;=0,"",AsOf-IF(N(Q222)&gt;0,Q222,IF(N(P222)&gt;0,P222,FYStart))))</f>
        <v/>
      </c>
      <c r="S222" s="60" t="str">
        <f aca="false">IF($A222="","",IF(AND(N($G222)&gt;0,N222&gt;N($G222)),"OVER LIMIT",IF(AND(N222&gt;0,N(R222)&gt;N($H222)),"OVERDUE",IF(ROUND(N222,2)&lt;0,"PAY DUE",""))))</f>
        <v/>
      </c>
    </row>
    <row r="223" customFormat="false" ht="15" hidden="false" customHeight="false" outlineLevel="0" collapsed="false">
      <c r="A223" s="56"/>
      <c r="B223" s="56"/>
      <c r="C223" s="56"/>
      <c r="D223" s="56"/>
      <c r="E223" s="56"/>
      <c r="F223" s="56"/>
      <c r="G223" s="68"/>
      <c r="H223" s="69"/>
      <c r="I223" s="58"/>
      <c r="J223" s="61" t="str">
        <f aca="false">IF($A223="","",SUMIFS(Sales!$Q$5:INDEX(Sales!$Q$5:$Q$3004,TxRows),Sales!$C$5:INDEX(Sales!$C$5:$C$3004,TxRows),$A223)-SUMIFS(Sales!$X$5:INDEX(Sales!$X$5:$X$3004,TxRows),Sales!$C$5:INDEX(Sales!$C$5:$C$3004,TxRows),$A223))</f>
        <v/>
      </c>
      <c r="K223" s="61" t="str">
        <f aca="false">IF($A223="","",SUMIFS(CashBook!$G$5:INDEX(CashBook!$G$5:$G$3004,TxRows),CashBook!$D$5:INDEX(CashBook!$D$5:$D$3004,TxRows),$A223,CashBook!$C$5:INDEX(CashBook!$C$5:$C$3004,TxRows),"Receipt"))</f>
        <v/>
      </c>
      <c r="L223" s="61" t="str">
        <f aca="false">IF($A223="","",SUMIFS(Purchases!$P$5:INDEX(Purchases!$P$5:$P$3004,TxRows),Purchases!$C$5:INDEX(Purchases!$C$5:$C$3004,TxRows),$A223)-SUMIFS(Purchases!$S$5:INDEX(Purchases!$S$5:$S$3004,TxRows),Purchases!$C$5:INDEX(Purchases!$C$5:$C$3004,TxRows),$A223))</f>
        <v/>
      </c>
      <c r="M223" s="61" t="str">
        <f aca="false">IF($A223="","",SUMIFS(CashBook!$G$5:INDEX(CashBook!$G$5:$G$3004,TxRows),CashBook!$D$5:INDEX(CashBook!$D$5:$D$3004,TxRows),$A223,CashBook!$C$5:INDEX(CashBook!$C$5:$C$3004,TxRows),"Payment"))</f>
        <v/>
      </c>
      <c r="N223" s="61" t="str">
        <f aca="false">IF($A223="","",N($I223)+J223-K223-L223+M223)</f>
        <v/>
      </c>
      <c r="O223" s="60" t="str">
        <f aca="false">IF($A223="","",IF(ROUND(N223,2)&gt;0,"Receivable",IF(ROUND(N223,2)&lt;0,"Payable","Settled")))</f>
        <v/>
      </c>
      <c r="P223" s="66" t="str">
        <f aca="false">IF($A223="","",IFERROR(SUMPRODUCT(MAX((Sales!$C$5:INDEX(Sales!$C$5:$C$3004,TxRows)=$A223)*Sales!$A$5:INDEX(Sales!$A$5:$A$3004,TxRows))),0))</f>
        <v/>
      </c>
      <c r="Q223" s="66" t="str">
        <f aca="false">IF($A223="","",IFERROR(SUMPRODUCT(MAX((CashBook!$D$5:INDEX(CashBook!$D$5:$D$3004,TxRows)=$A223)*(CashBook!$C$5:INDEX(CashBook!$C$5:$C$3004,TxRows)="Receipt")*CashBook!$A$5:INDEX(CashBook!$A$5:$A$3004,TxRows))),0))</f>
        <v/>
      </c>
      <c r="R223" s="67" t="str">
        <f aca="false">IF($A223="","",IF(ROUND(N223,2)&lt;=0,"",AsOf-IF(N(Q223)&gt;0,Q223,IF(N(P223)&gt;0,P223,FYStart))))</f>
        <v/>
      </c>
      <c r="S223" s="60" t="str">
        <f aca="false">IF($A223="","",IF(AND(N($G223)&gt;0,N223&gt;N($G223)),"OVER LIMIT",IF(AND(N223&gt;0,N(R223)&gt;N($H223)),"OVERDUE",IF(ROUND(N223,2)&lt;0,"PAY DUE",""))))</f>
        <v/>
      </c>
    </row>
    <row r="224" customFormat="false" ht="15" hidden="false" customHeight="false" outlineLevel="0" collapsed="false">
      <c r="A224" s="56"/>
      <c r="B224" s="56"/>
      <c r="C224" s="56"/>
      <c r="D224" s="56"/>
      <c r="E224" s="56"/>
      <c r="F224" s="56"/>
      <c r="G224" s="68"/>
      <c r="H224" s="69"/>
      <c r="I224" s="58"/>
      <c r="J224" s="61" t="str">
        <f aca="false">IF($A224="","",SUMIFS(Sales!$Q$5:INDEX(Sales!$Q$5:$Q$3004,TxRows),Sales!$C$5:INDEX(Sales!$C$5:$C$3004,TxRows),$A224)-SUMIFS(Sales!$X$5:INDEX(Sales!$X$5:$X$3004,TxRows),Sales!$C$5:INDEX(Sales!$C$5:$C$3004,TxRows),$A224))</f>
        <v/>
      </c>
      <c r="K224" s="61" t="str">
        <f aca="false">IF($A224="","",SUMIFS(CashBook!$G$5:INDEX(CashBook!$G$5:$G$3004,TxRows),CashBook!$D$5:INDEX(CashBook!$D$5:$D$3004,TxRows),$A224,CashBook!$C$5:INDEX(CashBook!$C$5:$C$3004,TxRows),"Receipt"))</f>
        <v/>
      </c>
      <c r="L224" s="61" t="str">
        <f aca="false">IF($A224="","",SUMIFS(Purchases!$P$5:INDEX(Purchases!$P$5:$P$3004,TxRows),Purchases!$C$5:INDEX(Purchases!$C$5:$C$3004,TxRows),$A224)-SUMIFS(Purchases!$S$5:INDEX(Purchases!$S$5:$S$3004,TxRows),Purchases!$C$5:INDEX(Purchases!$C$5:$C$3004,TxRows),$A224))</f>
        <v/>
      </c>
      <c r="M224" s="61" t="str">
        <f aca="false">IF($A224="","",SUMIFS(CashBook!$G$5:INDEX(CashBook!$G$5:$G$3004,TxRows),CashBook!$D$5:INDEX(CashBook!$D$5:$D$3004,TxRows),$A224,CashBook!$C$5:INDEX(CashBook!$C$5:$C$3004,TxRows),"Payment"))</f>
        <v/>
      </c>
      <c r="N224" s="61" t="str">
        <f aca="false">IF($A224="","",N($I224)+J224-K224-L224+M224)</f>
        <v/>
      </c>
      <c r="O224" s="60" t="str">
        <f aca="false">IF($A224="","",IF(ROUND(N224,2)&gt;0,"Receivable",IF(ROUND(N224,2)&lt;0,"Payable","Settled")))</f>
        <v/>
      </c>
      <c r="P224" s="66" t="str">
        <f aca="false">IF($A224="","",IFERROR(SUMPRODUCT(MAX((Sales!$C$5:INDEX(Sales!$C$5:$C$3004,TxRows)=$A224)*Sales!$A$5:INDEX(Sales!$A$5:$A$3004,TxRows))),0))</f>
        <v/>
      </c>
      <c r="Q224" s="66" t="str">
        <f aca="false">IF($A224="","",IFERROR(SUMPRODUCT(MAX((CashBook!$D$5:INDEX(CashBook!$D$5:$D$3004,TxRows)=$A224)*(CashBook!$C$5:INDEX(CashBook!$C$5:$C$3004,TxRows)="Receipt")*CashBook!$A$5:INDEX(CashBook!$A$5:$A$3004,TxRows))),0))</f>
        <v/>
      </c>
      <c r="R224" s="67" t="str">
        <f aca="false">IF($A224="","",IF(ROUND(N224,2)&lt;=0,"",AsOf-IF(N(Q224)&gt;0,Q224,IF(N(P224)&gt;0,P224,FYStart))))</f>
        <v/>
      </c>
      <c r="S224" s="60" t="str">
        <f aca="false">IF($A224="","",IF(AND(N($G224)&gt;0,N224&gt;N($G224)),"OVER LIMIT",IF(AND(N224&gt;0,N(R224)&gt;N($H224)),"OVERDUE",IF(ROUND(N224,2)&lt;0,"PAY DUE",""))))</f>
        <v/>
      </c>
    </row>
    <row r="225" customFormat="false" ht="15" hidden="false" customHeight="false" outlineLevel="0" collapsed="false">
      <c r="A225" s="56"/>
      <c r="B225" s="56"/>
      <c r="C225" s="56"/>
      <c r="D225" s="56"/>
      <c r="E225" s="56"/>
      <c r="F225" s="56"/>
      <c r="G225" s="68"/>
      <c r="H225" s="69"/>
      <c r="I225" s="58"/>
      <c r="J225" s="61" t="str">
        <f aca="false">IF($A225="","",SUMIFS(Sales!$Q$5:INDEX(Sales!$Q$5:$Q$3004,TxRows),Sales!$C$5:INDEX(Sales!$C$5:$C$3004,TxRows),$A225)-SUMIFS(Sales!$X$5:INDEX(Sales!$X$5:$X$3004,TxRows),Sales!$C$5:INDEX(Sales!$C$5:$C$3004,TxRows),$A225))</f>
        <v/>
      </c>
      <c r="K225" s="61" t="str">
        <f aca="false">IF($A225="","",SUMIFS(CashBook!$G$5:INDEX(CashBook!$G$5:$G$3004,TxRows),CashBook!$D$5:INDEX(CashBook!$D$5:$D$3004,TxRows),$A225,CashBook!$C$5:INDEX(CashBook!$C$5:$C$3004,TxRows),"Receipt"))</f>
        <v/>
      </c>
      <c r="L225" s="61" t="str">
        <f aca="false">IF($A225="","",SUMIFS(Purchases!$P$5:INDEX(Purchases!$P$5:$P$3004,TxRows),Purchases!$C$5:INDEX(Purchases!$C$5:$C$3004,TxRows),$A225)-SUMIFS(Purchases!$S$5:INDEX(Purchases!$S$5:$S$3004,TxRows),Purchases!$C$5:INDEX(Purchases!$C$5:$C$3004,TxRows),$A225))</f>
        <v/>
      </c>
      <c r="M225" s="61" t="str">
        <f aca="false">IF($A225="","",SUMIFS(CashBook!$G$5:INDEX(CashBook!$G$5:$G$3004,TxRows),CashBook!$D$5:INDEX(CashBook!$D$5:$D$3004,TxRows),$A225,CashBook!$C$5:INDEX(CashBook!$C$5:$C$3004,TxRows),"Payment"))</f>
        <v/>
      </c>
      <c r="N225" s="61" t="str">
        <f aca="false">IF($A225="","",N($I225)+J225-K225-L225+M225)</f>
        <v/>
      </c>
      <c r="O225" s="60" t="str">
        <f aca="false">IF($A225="","",IF(ROUND(N225,2)&gt;0,"Receivable",IF(ROUND(N225,2)&lt;0,"Payable","Settled")))</f>
        <v/>
      </c>
      <c r="P225" s="66" t="str">
        <f aca="false">IF($A225="","",IFERROR(SUMPRODUCT(MAX((Sales!$C$5:INDEX(Sales!$C$5:$C$3004,TxRows)=$A225)*Sales!$A$5:INDEX(Sales!$A$5:$A$3004,TxRows))),0))</f>
        <v/>
      </c>
      <c r="Q225" s="66" t="str">
        <f aca="false">IF($A225="","",IFERROR(SUMPRODUCT(MAX((CashBook!$D$5:INDEX(CashBook!$D$5:$D$3004,TxRows)=$A225)*(CashBook!$C$5:INDEX(CashBook!$C$5:$C$3004,TxRows)="Receipt")*CashBook!$A$5:INDEX(CashBook!$A$5:$A$3004,TxRows))),0))</f>
        <v/>
      </c>
      <c r="R225" s="67" t="str">
        <f aca="false">IF($A225="","",IF(ROUND(N225,2)&lt;=0,"",AsOf-IF(N(Q225)&gt;0,Q225,IF(N(P225)&gt;0,P225,FYStart))))</f>
        <v/>
      </c>
      <c r="S225" s="60" t="str">
        <f aca="false">IF($A225="","",IF(AND(N($G225)&gt;0,N225&gt;N($G225)),"OVER LIMIT",IF(AND(N225&gt;0,N(R225)&gt;N($H225)),"OVERDUE",IF(ROUND(N225,2)&lt;0,"PAY DUE",""))))</f>
        <v/>
      </c>
    </row>
    <row r="226" customFormat="false" ht="15" hidden="false" customHeight="false" outlineLevel="0" collapsed="false">
      <c r="A226" s="56"/>
      <c r="B226" s="56"/>
      <c r="C226" s="56"/>
      <c r="D226" s="56"/>
      <c r="E226" s="56"/>
      <c r="F226" s="56"/>
      <c r="G226" s="68"/>
      <c r="H226" s="69"/>
      <c r="I226" s="58"/>
      <c r="J226" s="61" t="str">
        <f aca="false">IF($A226="","",SUMIFS(Sales!$Q$5:INDEX(Sales!$Q$5:$Q$3004,TxRows),Sales!$C$5:INDEX(Sales!$C$5:$C$3004,TxRows),$A226)-SUMIFS(Sales!$X$5:INDEX(Sales!$X$5:$X$3004,TxRows),Sales!$C$5:INDEX(Sales!$C$5:$C$3004,TxRows),$A226))</f>
        <v/>
      </c>
      <c r="K226" s="61" t="str">
        <f aca="false">IF($A226="","",SUMIFS(CashBook!$G$5:INDEX(CashBook!$G$5:$G$3004,TxRows),CashBook!$D$5:INDEX(CashBook!$D$5:$D$3004,TxRows),$A226,CashBook!$C$5:INDEX(CashBook!$C$5:$C$3004,TxRows),"Receipt"))</f>
        <v/>
      </c>
      <c r="L226" s="61" t="str">
        <f aca="false">IF($A226="","",SUMIFS(Purchases!$P$5:INDEX(Purchases!$P$5:$P$3004,TxRows),Purchases!$C$5:INDEX(Purchases!$C$5:$C$3004,TxRows),$A226)-SUMIFS(Purchases!$S$5:INDEX(Purchases!$S$5:$S$3004,TxRows),Purchases!$C$5:INDEX(Purchases!$C$5:$C$3004,TxRows),$A226))</f>
        <v/>
      </c>
      <c r="M226" s="61" t="str">
        <f aca="false">IF($A226="","",SUMIFS(CashBook!$G$5:INDEX(CashBook!$G$5:$G$3004,TxRows),CashBook!$D$5:INDEX(CashBook!$D$5:$D$3004,TxRows),$A226,CashBook!$C$5:INDEX(CashBook!$C$5:$C$3004,TxRows),"Payment"))</f>
        <v/>
      </c>
      <c r="N226" s="61" t="str">
        <f aca="false">IF($A226="","",N($I226)+J226-K226-L226+M226)</f>
        <v/>
      </c>
      <c r="O226" s="60" t="str">
        <f aca="false">IF($A226="","",IF(ROUND(N226,2)&gt;0,"Receivable",IF(ROUND(N226,2)&lt;0,"Payable","Settled")))</f>
        <v/>
      </c>
      <c r="P226" s="66" t="str">
        <f aca="false">IF($A226="","",IFERROR(SUMPRODUCT(MAX((Sales!$C$5:INDEX(Sales!$C$5:$C$3004,TxRows)=$A226)*Sales!$A$5:INDEX(Sales!$A$5:$A$3004,TxRows))),0))</f>
        <v/>
      </c>
      <c r="Q226" s="66" t="str">
        <f aca="false">IF($A226="","",IFERROR(SUMPRODUCT(MAX((CashBook!$D$5:INDEX(CashBook!$D$5:$D$3004,TxRows)=$A226)*(CashBook!$C$5:INDEX(CashBook!$C$5:$C$3004,TxRows)="Receipt")*CashBook!$A$5:INDEX(CashBook!$A$5:$A$3004,TxRows))),0))</f>
        <v/>
      </c>
      <c r="R226" s="67" t="str">
        <f aca="false">IF($A226="","",IF(ROUND(N226,2)&lt;=0,"",AsOf-IF(N(Q226)&gt;0,Q226,IF(N(P226)&gt;0,P226,FYStart))))</f>
        <v/>
      </c>
      <c r="S226" s="60" t="str">
        <f aca="false">IF($A226="","",IF(AND(N($G226)&gt;0,N226&gt;N($G226)),"OVER LIMIT",IF(AND(N226&gt;0,N(R226)&gt;N($H226)),"OVERDUE",IF(ROUND(N226,2)&lt;0,"PAY DUE",""))))</f>
        <v/>
      </c>
    </row>
    <row r="227" customFormat="false" ht="15" hidden="false" customHeight="false" outlineLevel="0" collapsed="false">
      <c r="A227" s="56"/>
      <c r="B227" s="56"/>
      <c r="C227" s="56"/>
      <c r="D227" s="56"/>
      <c r="E227" s="56"/>
      <c r="F227" s="56"/>
      <c r="G227" s="68"/>
      <c r="H227" s="69"/>
      <c r="I227" s="58"/>
      <c r="J227" s="61" t="str">
        <f aca="false">IF($A227="","",SUMIFS(Sales!$Q$5:INDEX(Sales!$Q$5:$Q$3004,TxRows),Sales!$C$5:INDEX(Sales!$C$5:$C$3004,TxRows),$A227)-SUMIFS(Sales!$X$5:INDEX(Sales!$X$5:$X$3004,TxRows),Sales!$C$5:INDEX(Sales!$C$5:$C$3004,TxRows),$A227))</f>
        <v/>
      </c>
      <c r="K227" s="61" t="str">
        <f aca="false">IF($A227="","",SUMIFS(CashBook!$G$5:INDEX(CashBook!$G$5:$G$3004,TxRows),CashBook!$D$5:INDEX(CashBook!$D$5:$D$3004,TxRows),$A227,CashBook!$C$5:INDEX(CashBook!$C$5:$C$3004,TxRows),"Receipt"))</f>
        <v/>
      </c>
      <c r="L227" s="61" t="str">
        <f aca="false">IF($A227="","",SUMIFS(Purchases!$P$5:INDEX(Purchases!$P$5:$P$3004,TxRows),Purchases!$C$5:INDEX(Purchases!$C$5:$C$3004,TxRows),$A227)-SUMIFS(Purchases!$S$5:INDEX(Purchases!$S$5:$S$3004,TxRows),Purchases!$C$5:INDEX(Purchases!$C$5:$C$3004,TxRows),$A227))</f>
        <v/>
      </c>
      <c r="M227" s="61" t="str">
        <f aca="false">IF($A227="","",SUMIFS(CashBook!$G$5:INDEX(CashBook!$G$5:$G$3004,TxRows),CashBook!$D$5:INDEX(CashBook!$D$5:$D$3004,TxRows),$A227,CashBook!$C$5:INDEX(CashBook!$C$5:$C$3004,TxRows),"Payment"))</f>
        <v/>
      </c>
      <c r="N227" s="61" t="str">
        <f aca="false">IF($A227="","",N($I227)+J227-K227-L227+M227)</f>
        <v/>
      </c>
      <c r="O227" s="60" t="str">
        <f aca="false">IF($A227="","",IF(ROUND(N227,2)&gt;0,"Receivable",IF(ROUND(N227,2)&lt;0,"Payable","Settled")))</f>
        <v/>
      </c>
      <c r="P227" s="66" t="str">
        <f aca="false">IF($A227="","",IFERROR(SUMPRODUCT(MAX((Sales!$C$5:INDEX(Sales!$C$5:$C$3004,TxRows)=$A227)*Sales!$A$5:INDEX(Sales!$A$5:$A$3004,TxRows))),0))</f>
        <v/>
      </c>
      <c r="Q227" s="66" t="str">
        <f aca="false">IF($A227="","",IFERROR(SUMPRODUCT(MAX((CashBook!$D$5:INDEX(CashBook!$D$5:$D$3004,TxRows)=$A227)*(CashBook!$C$5:INDEX(CashBook!$C$5:$C$3004,TxRows)="Receipt")*CashBook!$A$5:INDEX(CashBook!$A$5:$A$3004,TxRows))),0))</f>
        <v/>
      </c>
      <c r="R227" s="67" t="str">
        <f aca="false">IF($A227="","",IF(ROUND(N227,2)&lt;=0,"",AsOf-IF(N(Q227)&gt;0,Q227,IF(N(P227)&gt;0,P227,FYStart))))</f>
        <v/>
      </c>
      <c r="S227" s="60" t="str">
        <f aca="false">IF($A227="","",IF(AND(N($G227)&gt;0,N227&gt;N($G227)),"OVER LIMIT",IF(AND(N227&gt;0,N(R227)&gt;N($H227)),"OVERDUE",IF(ROUND(N227,2)&lt;0,"PAY DUE",""))))</f>
        <v/>
      </c>
    </row>
    <row r="228" customFormat="false" ht="15" hidden="false" customHeight="false" outlineLevel="0" collapsed="false">
      <c r="A228" s="56"/>
      <c r="B228" s="56"/>
      <c r="C228" s="56"/>
      <c r="D228" s="56"/>
      <c r="E228" s="56"/>
      <c r="F228" s="56"/>
      <c r="G228" s="68"/>
      <c r="H228" s="69"/>
      <c r="I228" s="58"/>
      <c r="J228" s="61" t="str">
        <f aca="false">IF($A228="","",SUMIFS(Sales!$Q$5:INDEX(Sales!$Q$5:$Q$3004,TxRows),Sales!$C$5:INDEX(Sales!$C$5:$C$3004,TxRows),$A228)-SUMIFS(Sales!$X$5:INDEX(Sales!$X$5:$X$3004,TxRows),Sales!$C$5:INDEX(Sales!$C$5:$C$3004,TxRows),$A228))</f>
        <v/>
      </c>
      <c r="K228" s="61" t="str">
        <f aca="false">IF($A228="","",SUMIFS(CashBook!$G$5:INDEX(CashBook!$G$5:$G$3004,TxRows),CashBook!$D$5:INDEX(CashBook!$D$5:$D$3004,TxRows),$A228,CashBook!$C$5:INDEX(CashBook!$C$5:$C$3004,TxRows),"Receipt"))</f>
        <v/>
      </c>
      <c r="L228" s="61" t="str">
        <f aca="false">IF($A228="","",SUMIFS(Purchases!$P$5:INDEX(Purchases!$P$5:$P$3004,TxRows),Purchases!$C$5:INDEX(Purchases!$C$5:$C$3004,TxRows),$A228)-SUMIFS(Purchases!$S$5:INDEX(Purchases!$S$5:$S$3004,TxRows),Purchases!$C$5:INDEX(Purchases!$C$5:$C$3004,TxRows),$A228))</f>
        <v/>
      </c>
      <c r="M228" s="61" t="str">
        <f aca="false">IF($A228="","",SUMIFS(CashBook!$G$5:INDEX(CashBook!$G$5:$G$3004,TxRows),CashBook!$D$5:INDEX(CashBook!$D$5:$D$3004,TxRows),$A228,CashBook!$C$5:INDEX(CashBook!$C$5:$C$3004,TxRows),"Payment"))</f>
        <v/>
      </c>
      <c r="N228" s="61" t="str">
        <f aca="false">IF($A228="","",N($I228)+J228-K228-L228+M228)</f>
        <v/>
      </c>
      <c r="O228" s="60" t="str">
        <f aca="false">IF($A228="","",IF(ROUND(N228,2)&gt;0,"Receivable",IF(ROUND(N228,2)&lt;0,"Payable","Settled")))</f>
        <v/>
      </c>
      <c r="P228" s="66" t="str">
        <f aca="false">IF($A228="","",IFERROR(SUMPRODUCT(MAX((Sales!$C$5:INDEX(Sales!$C$5:$C$3004,TxRows)=$A228)*Sales!$A$5:INDEX(Sales!$A$5:$A$3004,TxRows))),0))</f>
        <v/>
      </c>
      <c r="Q228" s="66" t="str">
        <f aca="false">IF($A228="","",IFERROR(SUMPRODUCT(MAX((CashBook!$D$5:INDEX(CashBook!$D$5:$D$3004,TxRows)=$A228)*(CashBook!$C$5:INDEX(CashBook!$C$5:$C$3004,TxRows)="Receipt")*CashBook!$A$5:INDEX(CashBook!$A$5:$A$3004,TxRows))),0))</f>
        <v/>
      </c>
      <c r="R228" s="67" t="str">
        <f aca="false">IF($A228="","",IF(ROUND(N228,2)&lt;=0,"",AsOf-IF(N(Q228)&gt;0,Q228,IF(N(P228)&gt;0,P228,FYStart))))</f>
        <v/>
      </c>
      <c r="S228" s="60" t="str">
        <f aca="false">IF($A228="","",IF(AND(N($G228)&gt;0,N228&gt;N($G228)),"OVER LIMIT",IF(AND(N228&gt;0,N(R228)&gt;N($H228)),"OVERDUE",IF(ROUND(N228,2)&lt;0,"PAY DUE",""))))</f>
        <v/>
      </c>
    </row>
    <row r="229" customFormat="false" ht="15" hidden="false" customHeight="false" outlineLevel="0" collapsed="false">
      <c r="A229" s="56"/>
      <c r="B229" s="56"/>
      <c r="C229" s="56"/>
      <c r="D229" s="56"/>
      <c r="E229" s="56"/>
      <c r="F229" s="56"/>
      <c r="G229" s="68"/>
      <c r="H229" s="69"/>
      <c r="I229" s="58"/>
      <c r="J229" s="61" t="str">
        <f aca="false">IF($A229="","",SUMIFS(Sales!$Q$5:INDEX(Sales!$Q$5:$Q$3004,TxRows),Sales!$C$5:INDEX(Sales!$C$5:$C$3004,TxRows),$A229)-SUMIFS(Sales!$X$5:INDEX(Sales!$X$5:$X$3004,TxRows),Sales!$C$5:INDEX(Sales!$C$5:$C$3004,TxRows),$A229))</f>
        <v/>
      </c>
      <c r="K229" s="61" t="str">
        <f aca="false">IF($A229="","",SUMIFS(CashBook!$G$5:INDEX(CashBook!$G$5:$G$3004,TxRows),CashBook!$D$5:INDEX(CashBook!$D$5:$D$3004,TxRows),$A229,CashBook!$C$5:INDEX(CashBook!$C$5:$C$3004,TxRows),"Receipt"))</f>
        <v/>
      </c>
      <c r="L229" s="61" t="str">
        <f aca="false">IF($A229="","",SUMIFS(Purchases!$P$5:INDEX(Purchases!$P$5:$P$3004,TxRows),Purchases!$C$5:INDEX(Purchases!$C$5:$C$3004,TxRows),$A229)-SUMIFS(Purchases!$S$5:INDEX(Purchases!$S$5:$S$3004,TxRows),Purchases!$C$5:INDEX(Purchases!$C$5:$C$3004,TxRows),$A229))</f>
        <v/>
      </c>
      <c r="M229" s="61" t="str">
        <f aca="false">IF($A229="","",SUMIFS(CashBook!$G$5:INDEX(CashBook!$G$5:$G$3004,TxRows),CashBook!$D$5:INDEX(CashBook!$D$5:$D$3004,TxRows),$A229,CashBook!$C$5:INDEX(CashBook!$C$5:$C$3004,TxRows),"Payment"))</f>
        <v/>
      </c>
      <c r="N229" s="61" t="str">
        <f aca="false">IF($A229="","",N($I229)+J229-K229-L229+M229)</f>
        <v/>
      </c>
      <c r="O229" s="60" t="str">
        <f aca="false">IF($A229="","",IF(ROUND(N229,2)&gt;0,"Receivable",IF(ROUND(N229,2)&lt;0,"Payable","Settled")))</f>
        <v/>
      </c>
      <c r="P229" s="66" t="str">
        <f aca="false">IF($A229="","",IFERROR(SUMPRODUCT(MAX((Sales!$C$5:INDEX(Sales!$C$5:$C$3004,TxRows)=$A229)*Sales!$A$5:INDEX(Sales!$A$5:$A$3004,TxRows))),0))</f>
        <v/>
      </c>
      <c r="Q229" s="66" t="str">
        <f aca="false">IF($A229="","",IFERROR(SUMPRODUCT(MAX((CashBook!$D$5:INDEX(CashBook!$D$5:$D$3004,TxRows)=$A229)*(CashBook!$C$5:INDEX(CashBook!$C$5:$C$3004,TxRows)="Receipt")*CashBook!$A$5:INDEX(CashBook!$A$5:$A$3004,TxRows))),0))</f>
        <v/>
      </c>
      <c r="R229" s="67" t="str">
        <f aca="false">IF($A229="","",IF(ROUND(N229,2)&lt;=0,"",AsOf-IF(N(Q229)&gt;0,Q229,IF(N(P229)&gt;0,P229,FYStart))))</f>
        <v/>
      </c>
      <c r="S229" s="60" t="str">
        <f aca="false">IF($A229="","",IF(AND(N($G229)&gt;0,N229&gt;N($G229)),"OVER LIMIT",IF(AND(N229&gt;0,N(R229)&gt;N($H229)),"OVERDUE",IF(ROUND(N229,2)&lt;0,"PAY DUE",""))))</f>
        <v/>
      </c>
    </row>
    <row r="230" customFormat="false" ht="15" hidden="false" customHeight="false" outlineLevel="0" collapsed="false">
      <c r="A230" s="56"/>
      <c r="B230" s="56"/>
      <c r="C230" s="56"/>
      <c r="D230" s="56"/>
      <c r="E230" s="56"/>
      <c r="F230" s="56"/>
      <c r="G230" s="68"/>
      <c r="H230" s="69"/>
      <c r="I230" s="58"/>
      <c r="J230" s="61" t="str">
        <f aca="false">IF($A230="","",SUMIFS(Sales!$Q$5:INDEX(Sales!$Q$5:$Q$3004,TxRows),Sales!$C$5:INDEX(Sales!$C$5:$C$3004,TxRows),$A230)-SUMIFS(Sales!$X$5:INDEX(Sales!$X$5:$X$3004,TxRows),Sales!$C$5:INDEX(Sales!$C$5:$C$3004,TxRows),$A230))</f>
        <v/>
      </c>
      <c r="K230" s="61" t="str">
        <f aca="false">IF($A230="","",SUMIFS(CashBook!$G$5:INDEX(CashBook!$G$5:$G$3004,TxRows),CashBook!$D$5:INDEX(CashBook!$D$5:$D$3004,TxRows),$A230,CashBook!$C$5:INDEX(CashBook!$C$5:$C$3004,TxRows),"Receipt"))</f>
        <v/>
      </c>
      <c r="L230" s="61" t="str">
        <f aca="false">IF($A230="","",SUMIFS(Purchases!$P$5:INDEX(Purchases!$P$5:$P$3004,TxRows),Purchases!$C$5:INDEX(Purchases!$C$5:$C$3004,TxRows),$A230)-SUMIFS(Purchases!$S$5:INDEX(Purchases!$S$5:$S$3004,TxRows),Purchases!$C$5:INDEX(Purchases!$C$5:$C$3004,TxRows),$A230))</f>
        <v/>
      </c>
      <c r="M230" s="61" t="str">
        <f aca="false">IF($A230="","",SUMIFS(CashBook!$G$5:INDEX(CashBook!$G$5:$G$3004,TxRows),CashBook!$D$5:INDEX(CashBook!$D$5:$D$3004,TxRows),$A230,CashBook!$C$5:INDEX(CashBook!$C$5:$C$3004,TxRows),"Payment"))</f>
        <v/>
      </c>
      <c r="N230" s="61" t="str">
        <f aca="false">IF($A230="","",N($I230)+J230-K230-L230+M230)</f>
        <v/>
      </c>
      <c r="O230" s="60" t="str">
        <f aca="false">IF($A230="","",IF(ROUND(N230,2)&gt;0,"Receivable",IF(ROUND(N230,2)&lt;0,"Payable","Settled")))</f>
        <v/>
      </c>
      <c r="P230" s="66" t="str">
        <f aca="false">IF($A230="","",IFERROR(SUMPRODUCT(MAX((Sales!$C$5:INDEX(Sales!$C$5:$C$3004,TxRows)=$A230)*Sales!$A$5:INDEX(Sales!$A$5:$A$3004,TxRows))),0))</f>
        <v/>
      </c>
      <c r="Q230" s="66" t="str">
        <f aca="false">IF($A230="","",IFERROR(SUMPRODUCT(MAX((CashBook!$D$5:INDEX(CashBook!$D$5:$D$3004,TxRows)=$A230)*(CashBook!$C$5:INDEX(CashBook!$C$5:$C$3004,TxRows)="Receipt")*CashBook!$A$5:INDEX(CashBook!$A$5:$A$3004,TxRows))),0))</f>
        <v/>
      </c>
      <c r="R230" s="67" t="str">
        <f aca="false">IF($A230="","",IF(ROUND(N230,2)&lt;=0,"",AsOf-IF(N(Q230)&gt;0,Q230,IF(N(P230)&gt;0,P230,FYStart))))</f>
        <v/>
      </c>
      <c r="S230" s="60" t="str">
        <f aca="false">IF($A230="","",IF(AND(N($G230)&gt;0,N230&gt;N($G230)),"OVER LIMIT",IF(AND(N230&gt;0,N(R230)&gt;N($H230)),"OVERDUE",IF(ROUND(N230,2)&lt;0,"PAY DUE",""))))</f>
        <v/>
      </c>
    </row>
    <row r="231" customFormat="false" ht="15" hidden="false" customHeight="false" outlineLevel="0" collapsed="false">
      <c r="A231" s="56"/>
      <c r="B231" s="56"/>
      <c r="C231" s="56"/>
      <c r="D231" s="56"/>
      <c r="E231" s="56"/>
      <c r="F231" s="56"/>
      <c r="G231" s="68"/>
      <c r="H231" s="69"/>
      <c r="I231" s="58"/>
      <c r="J231" s="61" t="str">
        <f aca="false">IF($A231="","",SUMIFS(Sales!$Q$5:INDEX(Sales!$Q$5:$Q$3004,TxRows),Sales!$C$5:INDEX(Sales!$C$5:$C$3004,TxRows),$A231)-SUMIFS(Sales!$X$5:INDEX(Sales!$X$5:$X$3004,TxRows),Sales!$C$5:INDEX(Sales!$C$5:$C$3004,TxRows),$A231))</f>
        <v/>
      </c>
      <c r="K231" s="61" t="str">
        <f aca="false">IF($A231="","",SUMIFS(CashBook!$G$5:INDEX(CashBook!$G$5:$G$3004,TxRows),CashBook!$D$5:INDEX(CashBook!$D$5:$D$3004,TxRows),$A231,CashBook!$C$5:INDEX(CashBook!$C$5:$C$3004,TxRows),"Receipt"))</f>
        <v/>
      </c>
      <c r="L231" s="61" t="str">
        <f aca="false">IF($A231="","",SUMIFS(Purchases!$P$5:INDEX(Purchases!$P$5:$P$3004,TxRows),Purchases!$C$5:INDEX(Purchases!$C$5:$C$3004,TxRows),$A231)-SUMIFS(Purchases!$S$5:INDEX(Purchases!$S$5:$S$3004,TxRows),Purchases!$C$5:INDEX(Purchases!$C$5:$C$3004,TxRows),$A231))</f>
        <v/>
      </c>
      <c r="M231" s="61" t="str">
        <f aca="false">IF($A231="","",SUMIFS(CashBook!$G$5:INDEX(CashBook!$G$5:$G$3004,TxRows),CashBook!$D$5:INDEX(CashBook!$D$5:$D$3004,TxRows),$A231,CashBook!$C$5:INDEX(CashBook!$C$5:$C$3004,TxRows),"Payment"))</f>
        <v/>
      </c>
      <c r="N231" s="61" t="str">
        <f aca="false">IF($A231="","",N($I231)+J231-K231-L231+M231)</f>
        <v/>
      </c>
      <c r="O231" s="60" t="str">
        <f aca="false">IF($A231="","",IF(ROUND(N231,2)&gt;0,"Receivable",IF(ROUND(N231,2)&lt;0,"Payable","Settled")))</f>
        <v/>
      </c>
      <c r="P231" s="66" t="str">
        <f aca="false">IF($A231="","",IFERROR(SUMPRODUCT(MAX((Sales!$C$5:INDEX(Sales!$C$5:$C$3004,TxRows)=$A231)*Sales!$A$5:INDEX(Sales!$A$5:$A$3004,TxRows))),0))</f>
        <v/>
      </c>
      <c r="Q231" s="66" t="str">
        <f aca="false">IF($A231="","",IFERROR(SUMPRODUCT(MAX((CashBook!$D$5:INDEX(CashBook!$D$5:$D$3004,TxRows)=$A231)*(CashBook!$C$5:INDEX(CashBook!$C$5:$C$3004,TxRows)="Receipt")*CashBook!$A$5:INDEX(CashBook!$A$5:$A$3004,TxRows))),0))</f>
        <v/>
      </c>
      <c r="R231" s="67" t="str">
        <f aca="false">IF($A231="","",IF(ROUND(N231,2)&lt;=0,"",AsOf-IF(N(Q231)&gt;0,Q231,IF(N(P231)&gt;0,P231,FYStart))))</f>
        <v/>
      </c>
      <c r="S231" s="60" t="str">
        <f aca="false">IF($A231="","",IF(AND(N($G231)&gt;0,N231&gt;N($G231)),"OVER LIMIT",IF(AND(N231&gt;0,N(R231)&gt;N($H231)),"OVERDUE",IF(ROUND(N231,2)&lt;0,"PAY DUE",""))))</f>
        <v/>
      </c>
    </row>
    <row r="232" customFormat="false" ht="15" hidden="false" customHeight="false" outlineLevel="0" collapsed="false">
      <c r="A232" s="56"/>
      <c r="B232" s="56"/>
      <c r="C232" s="56"/>
      <c r="D232" s="56"/>
      <c r="E232" s="56"/>
      <c r="F232" s="56"/>
      <c r="G232" s="68"/>
      <c r="H232" s="69"/>
      <c r="I232" s="58"/>
      <c r="J232" s="61" t="str">
        <f aca="false">IF($A232="","",SUMIFS(Sales!$Q$5:INDEX(Sales!$Q$5:$Q$3004,TxRows),Sales!$C$5:INDEX(Sales!$C$5:$C$3004,TxRows),$A232)-SUMIFS(Sales!$X$5:INDEX(Sales!$X$5:$X$3004,TxRows),Sales!$C$5:INDEX(Sales!$C$5:$C$3004,TxRows),$A232))</f>
        <v/>
      </c>
      <c r="K232" s="61" t="str">
        <f aca="false">IF($A232="","",SUMIFS(CashBook!$G$5:INDEX(CashBook!$G$5:$G$3004,TxRows),CashBook!$D$5:INDEX(CashBook!$D$5:$D$3004,TxRows),$A232,CashBook!$C$5:INDEX(CashBook!$C$5:$C$3004,TxRows),"Receipt"))</f>
        <v/>
      </c>
      <c r="L232" s="61" t="str">
        <f aca="false">IF($A232="","",SUMIFS(Purchases!$P$5:INDEX(Purchases!$P$5:$P$3004,TxRows),Purchases!$C$5:INDEX(Purchases!$C$5:$C$3004,TxRows),$A232)-SUMIFS(Purchases!$S$5:INDEX(Purchases!$S$5:$S$3004,TxRows),Purchases!$C$5:INDEX(Purchases!$C$5:$C$3004,TxRows),$A232))</f>
        <v/>
      </c>
      <c r="M232" s="61" t="str">
        <f aca="false">IF($A232="","",SUMIFS(CashBook!$G$5:INDEX(CashBook!$G$5:$G$3004,TxRows),CashBook!$D$5:INDEX(CashBook!$D$5:$D$3004,TxRows),$A232,CashBook!$C$5:INDEX(CashBook!$C$5:$C$3004,TxRows),"Payment"))</f>
        <v/>
      </c>
      <c r="N232" s="61" t="str">
        <f aca="false">IF($A232="","",N($I232)+J232-K232-L232+M232)</f>
        <v/>
      </c>
      <c r="O232" s="60" t="str">
        <f aca="false">IF($A232="","",IF(ROUND(N232,2)&gt;0,"Receivable",IF(ROUND(N232,2)&lt;0,"Payable","Settled")))</f>
        <v/>
      </c>
      <c r="P232" s="66" t="str">
        <f aca="false">IF($A232="","",IFERROR(SUMPRODUCT(MAX((Sales!$C$5:INDEX(Sales!$C$5:$C$3004,TxRows)=$A232)*Sales!$A$5:INDEX(Sales!$A$5:$A$3004,TxRows))),0))</f>
        <v/>
      </c>
      <c r="Q232" s="66" t="str">
        <f aca="false">IF($A232="","",IFERROR(SUMPRODUCT(MAX((CashBook!$D$5:INDEX(CashBook!$D$5:$D$3004,TxRows)=$A232)*(CashBook!$C$5:INDEX(CashBook!$C$5:$C$3004,TxRows)="Receipt")*CashBook!$A$5:INDEX(CashBook!$A$5:$A$3004,TxRows))),0))</f>
        <v/>
      </c>
      <c r="R232" s="67" t="str">
        <f aca="false">IF($A232="","",IF(ROUND(N232,2)&lt;=0,"",AsOf-IF(N(Q232)&gt;0,Q232,IF(N(P232)&gt;0,P232,FYStart))))</f>
        <v/>
      </c>
      <c r="S232" s="60" t="str">
        <f aca="false">IF($A232="","",IF(AND(N($G232)&gt;0,N232&gt;N($G232)),"OVER LIMIT",IF(AND(N232&gt;0,N(R232)&gt;N($H232)),"OVERDUE",IF(ROUND(N232,2)&lt;0,"PAY DUE",""))))</f>
        <v/>
      </c>
    </row>
    <row r="233" customFormat="false" ht="15" hidden="false" customHeight="false" outlineLevel="0" collapsed="false">
      <c r="A233" s="56"/>
      <c r="B233" s="56"/>
      <c r="C233" s="56"/>
      <c r="D233" s="56"/>
      <c r="E233" s="56"/>
      <c r="F233" s="56"/>
      <c r="G233" s="68"/>
      <c r="H233" s="69"/>
      <c r="I233" s="58"/>
      <c r="J233" s="61" t="str">
        <f aca="false">IF($A233="","",SUMIFS(Sales!$Q$5:INDEX(Sales!$Q$5:$Q$3004,TxRows),Sales!$C$5:INDEX(Sales!$C$5:$C$3004,TxRows),$A233)-SUMIFS(Sales!$X$5:INDEX(Sales!$X$5:$X$3004,TxRows),Sales!$C$5:INDEX(Sales!$C$5:$C$3004,TxRows),$A233))</f>
        <v/>
      </c>
      <c r="K233" s="61" t="str">
        <f aca="false">IF($A233="","",SUMIFS(CashBook!$G$5:INDEX(CashBook!$G$5:$G$3004,TxRows),CashBook!$D$5:INDEX(CashBook!$D$5:$D$3004,TxRows),$A233,CashBook!$C$5:INDEX(CashBook!$C$5:$C$3004,TxRows),"Receipt"))</f>
        <v/>
      </c>
      <c r="L233" s="61" t="str">
        <f aca="false">IF($A233="","",SUMIFS(Purchases!$P$5:INDEX(Purchases!$P$5:$P$3004,TxRows),Purchases!$C$5:INDEX(Purchases!$C$5:$C$3004,TxRows),$A233)-SUMIFS(Purchases!$S$5:INDEX(Purchases!$S$5:$S$3004,TxRows),Purchases!$C$5:INDEX(Purchases!$C$5:$C$3004,TxRows),$A233))</f>
        <v/>
      </c>
      <c r="M233" s="61" t="str">
        <f aca="false">IF($A233="","",SUMIFS(CashBook!$G$5:INDEX(CashBook!$G$5:$G$3004,TxRows),CashBook!$D$5:INDEX(CashBook!$D$5:$D$3004,TxRows),$A233,CashBook!$C$5:INDEX(CashBook!$C$5:$C$3004,TxRows),"Payment"))</f>
        <v/>
      </c>
      <c r="N233" s="61" t="str">
        <f aca="false">IF($A233="","",N($I233)+J233-K233-L233+M233)</f>
        <v/>
      </c>
      <c r="O233" s="60" t="str">
        <f aca="false">IF($A233="","",IF(ROUND(N233,2)&gt;0,"Receivable",IF(ROUND(N233,2)&lt;0,"Payable","Settled")))</f>
        <v/>
      </c>
      <c r="P233" s="66" t="str">
        <f aca="false">IF($A233="","",IFERROR(SUMPRODUCT(MAX((Sales!$C$5:INDEX(Sales!$C$5:$C$3004,TxRows)=$A233)*Sales!$A$5:INDEX(Sales!$A$5:$A$3004,TxRows))),0))</f>
        <v/>
      </c>
      <c r="Q233" s="66" t="str">
        <f aca="false">IF($A233="","",IFERROR(SUMPRODUCT(MAX((CashBook!$D$5:INDEX(CashBook!$D$5:$D$3004,TxRows)=$A233)*(CashBook!$C$5:INDEX(CashBook!$C$5:$C$3004,TxRows)="Receipt")*CashBook!$A$5:INDEX(CashBook!$A$5:$A$3004,TxRows))),0))</f>
        <v/>
      </c>
      <c r="R233" s="67" t="str">
        <f aca="false">IF($A233="","",IF(ROUND(N233,2)&lt;=0,"",AsOf-IF(N(Q233)&gt;0,Q233,IF(N(P233)&gt;0,P233,FYStart))))</f>
        <v/>
      </c>
      <c r="S233" s="60" t="str">
        <f aca="false">IF($A233="","",IF(AND(N($G233)&gt;0,N233&gt;N($G233)),"OVER LIMIT",IF(AND(N233&gt;0,N(R233)&gt;N($H233)),"OVERDUE",IF(ROUND(N233,2)&lt;0,"PAY DUE",""))))</f>
        <v/>
      </c>
    </row>
    <row r="234" customFormat="false" ht="15" hidden="false" customHeight="false" outlineLevel="0" collapsed="false">
      <c r="A234" s="56"/>
      <c r="B234" s="56"/>
      <c r="C234" s="56"/>
      <c r="D234" s="56"/>
      <c r="E234" s="56"/>
      <c r="F234" s="56"/>
      <c r="G234" s="68"/>
      <c r="H234" s="69"/>
      <c r="I234" s="58"/>
      <c r="J234" s="61" t="str">
        <f aca="false">IF($A234="","",SUMIFS(Sales!$Q$5:INDEX(Sales!$Q$5:$Q$3004,TxRows),Sales!$C$5:INDEX(Sales!$C$5:$C$3004,TxRows),$A234)-SUMIFS(Sales!$X$5:INDEX(Sales!$X$5:$X$3004,TxRows),Sales!$C$5:INDEX(Sales!$C$5:$C$3004,TxRows),$A234))</f>
        <v/>
      </c>
      <c r="K234" s="61" t="str">
        <f aca="false">IF($A234="","",SUMIFS(CashBook!$G$5:INDEX(CashBook!$G$5:$G$3004,TxRows),CashBook!$D$5:INDEX(CashBook!$D$5:$D$3004,TxRows),$A234,CashBook!$C$5:INDEX(CashBook!$C$5:$C$3004,TxRows),"Receipt"))</f>
        <v/>
      </c>
      <c r="L234" s="61" t="str">
        <f aca="false">IF($A234="","",SUMIFS(Purchases!$P$5:INDEX(Purchases!$P$5:$P$3004,TxRows),Purchases!$C$5:INDEX(Purchases!$C$5:$C$3004,TxRows),$A234)-SUMIFS(Purchases!$S$5:INDEX(Purchases!$S$5:$S$3004,TxRows),Purchases!$C$5:INDEX(Purchases!$C$5:$C$3004,TxRows),$A234))</f>
        <v/>
      </c>
      <c r="M234" s="61" t="str">
        <f aca="false">IF($A234="","",SUMIFS(CashBook!$G$5:INDEX(CashBook!$G$5:$G$3004,TxRows),CashBook!$D$5:INDEX(CashBook!$D$5:$D$3004,TxRows),$A234,CashBook!$C$5:INDEX(CashBook!$C$5:$C$3004,TxRows),"Payment"))</f>
        <v/>
      </c>
      <c r="N234" s="61" t="str">
        <f aca="false">IF($A234="","",N($I234)+J234-K234-L234+M234)</f>
        <v/>
      </c>
      <c r="O234" s="60" t="str">
        <f aca="false">IF($A234="","",IF(ROUND(N234,2)&gt;0,"Receivable",IF(ROUND(N234,2)&lt;0,"Payable","Settled")))</f>
        <v/>
      </c>
      <c r="P234" s="66" t="str">
        <f aca="false">IF($A234="","",IFERROR(SUMPRODUCT(MAX((Sales!$C$5:INDEX(Sales!$C$5:$C$3004,TxRows)=$A234)*Sales!$A$5:INDEX(Sales!$A$5:$A$3004,TxRows))),0))</f>
        <v/>
      </c>
      <c r="Q234" s="66" t="str">
        <f aca="false">IF($A234="","",IFERROR(SUMPRODUCT(MAX((CashBook!$D$5:INDEX(CashBook!$D$5:$D$3004,TxRows)=$A234)*(CashBook!$C$5:INDEX(CashBook!$C$5:$C$3004,TxRows)="Receipt")*CashBook!$A$5:INDEX(CashBook!$A$5:$A$3004,TxRows))),0))</f>
        <v/>
      </c>
      <c r="R234" s="67" t="str">
        <f aca="false">IF($A234="","",IF(ROUND(N234,2)&lt;=0,"",AsOf-IF(N(Q234)&gt;0,Q234,IF(N(P234)&gt;0,P234,FYStart))))</f>
        <v/>
      </c>
      <c r="S234" s="60" t="str">
        <f aca="false">IF($A234="","",IF(AND(N($G234)&gt;0,N234&gt;N($G234)),"OVER LIMIT",IF(AND(N234&gt;0,N(R234)&gt;N($H234)),"OVERDUE",IF(ROUND(N234,2)&lt;0,"PAY DUE",""))))</f>
        <v/>
      </c>
    </row>
    <row r="235" customFormat="false" ht="15" hidden="false" customHeight="false" outlineLevel="0" collapsed="false">
      <c r="A235" s="56"/>
      <c r="B235" s="56"/>
      <c r="C235" s="56"/>
      <c r="D235" s="56"/>
      <c r="E235" s="56"/>
      <c r="F235" s="56"/>
      <c r="G235" s="68"/>
      <c r="H235" s="69"/>
      <c r="I235" s="58"/>
      <c r="J235" s="61" t="str">
        <f aca="false">IF($A235="","",SUMIFS(Sales!$Q$5:INDEX(Sales!$Q$5:$Q$3004,TxRows),Sales!$C$5:INDEX(Sales!$C$5:$C$3004,TxRows),$A235)-SUMIFS(Sales!$X$5:INDEX(Sales!$X$5:$X$3004,TxRows),Sales!$C$5:INDEX(Sales!$C$5:$C$3004,TxRows),$A235))</f>
        <v/>
      </c>
      <c r="K235" s="61" t="str">
        <f aca="false">IF($A235="","",SUMIFS(CashBook!$G$5:INDEX(CashBook!$G$5:$G$3004,TxRows),CashBook!$D$5:INDEX(CashBook!$D$5:$D$3004,TxRows),$A235,CashBook!$C$5:INDEX(CashBook!$C$5:$C$3004,TxRows),"Receipt"))</f>
        <v/>
      </c>
      <c r="L235" s="61" t="str">
        <f aca="false">IF($A235="","",SUMIFS(Purchases!$P$5:INDEX(Purchases!$P$5:$P$3004,TxRows),Purchases!$C$5:INDEX(Purchases!$C$5:$C$3004,TxRows),$A235)-SUMIFS(Purchases!$S$5:INDEX(Purchases!$S$5:$S$3004,TxRows),Purchases!$C$5:INDEX(Purchases!$C$5:$C$3004,TxRows),$A235))</f>
        <v/>
      </c>
      <c r="M235" s="61" t="str">
        <f aca="false">IF($A235="","",SUMIFS(CashBook!$G$5:INDEX(CashBook!$G$5:$G$3004,TxRows),CashBook!$D$5:INDEX(CashBook!$D$5:$D$3004,TxRows),$A235,CashBook!$C$5:INDEX(CashBook!$C$5:$C$3004,TxRows),"Payment"))</f>
        <v/>
      </c>
      <c r="N235" s="61" t="str">
        <f aca="false">IF($A235="","",N($I235)+J235-K235-L235+M235)</f>
        <v/>
      </c>
      <c r="O235" s="60" t="str">
        <f aca="false">IF($A235="","",IF(ROUND(N235,2)&gt;0,"Receivable",IF(ROUND(N235,2)&lt;0,"Payable","Settled")))</f>
        <v/>
      </c>
      <c r="P235" s="66" t="str">
        <f aca="false">IF($A235="","",IFERROR(SUMPRODUCT(MAX((Sales!$C$5:INDEX(Sales!$C$5:$C$3004,TxRows)=$A235)*Sales!$A$5:INDEX(Sales!$A$5:$A$3004,TxRows))),0))</f>
        <v/>
      </c>
      <c r="Q235" s="66" t="str">
        <f aca="false">IF($A235="","",IFERROR(SUMPRODUCT(MAX((CashBook!$D$5:INDEX(CashBook!$D$5:$D$3004,TxRows)=$A235)*(CashBook!$C$5:INDEX(CashBook!$C$5:$C$3004,TxRows)="Receipt")*CashBook!$A$5:INDEX(CashBook!$A$5:$A$3004,TxRows))),0))</f>
        <v/>
      </c>
      <c r="R235" s="67" t="str">
        <f aca="false">IF($A235="","",IF(ROUND(N235,2)&lt;=0,"",AsOf-IF(N(Q235)&gt;0,Q235,IF(N(P235)&gt;0,P235,FYStart))))</f>
        <v/>
      </c>
      <c r="S235" s="60" t="str">
        <f aca="false">IF($A235="","",IF(AND(N($G235)&gt;0,N235&gt;N($G235)),"OVER LIMIT",IF(AND(N235&gt;0,N(R235)&gt;N($H235)),"OVERDUE",IF(ROUND(N235,2)&lt;0,"PAY DUE",""))))</f>
        <v/>
      </c>
    </row>
    <row r="236" customFormat="false" ht="15" hidden="false" customHeight="false" outlineLevel="0" collapsed="false">
      <c r="A236" s="56"/>
      <c r="B236" s="56"/>
      <c r="C236" s="56"/>
      <c r="D236" s="56"/>
      <c r="E236" s="56"/>
      <c r="F236" s="56"/>
      <c r="G236" s="68"/>
      <c r="H236" s="69"/>
      <c r="I236" s="58"/>
      <c r="J236" s="61" t="str">
        <f aca="false">IF($A236="","",SUMIFS(Sales!$Q$5:INDEX(Sales!$Q$5:$Q$3004,TxRows),Sales!$C$5:INDEX(Sales!$C$5:$C$3004,TxRows),$A236)-SUMIFS(Sales!$X$5:INDEX(Sales!$X$5:$X$3004,TxRows),Sales!$C$5:INDEX(Sales!$C$5:$C$3004,TxRows),$A236))</f>
        <v/>
      </c>
      <c r="K236" s="61" t="str">
        <f aca="false">IF($A236="","",SUMIFS(CashBook!$G$5:INDEX(CashBook!$G$5:$G$3004,TxRows),CashBook!$D$5:INDEX(CashBook!$D$5:$D$3004,TxRows),$A236,CashBook!$C$5:INDEX(CashBook!$C$5:$C$3004,TxRows),"Receipt"))</f>
        <v/>
      </c>
      <c r="L236" s="61" t="str">
        <f aca="false">IF($A236="","",SUMIFS(Purchases!$P$5:INDEX(Purchases!$P$5:$P$3004,TxRows),Purchases!$C$5:INDEX(Purchases!$C$5:$C$3004,TxRows),$A236)-SUMIFS(Purchases!$S$5:INDEX(Purchases!$S$5:$S$3004,TxRows),Purchases!$C$5:INDEX(Purchases!$C$5:$C$3004,TxRows),$A236))</f>
        <v/>
      </c>
      <c r="M236" s="61" t="str">
        <f aca="false">IF($A236="","",SUMIFS(CashBook!$G$5:INDEX(CashBook!$G$5:$G$3004,TxRows),CashBook!$D$5:INDEX(CashBook!$D$5:$D$3004,TxRows),$A236,CashBook!$C$5:INDEX(CashBook!$C$5:$C$3004,TxRows),"Payment"))</f>
        <v/>
      </c>
      <c r="N236" s="61" t="str">
        <f aca="false">IF($A236="","",N($I236)+J236-K236-L236+M236)</f>
        <v/>
      </c>
      <c r="O236" s="60" t="str">
        <f aca="false">IF($A236="","",IF(ROUND(N236,2)&gt;0,"Receivable",IF(ROUND(N236,2)&lt;0,"Payable","Settled")))</f>
        <v/>
      </c>
      <c r="P236" s="66" t="str">
        <f aca="false">IF($A236="","",IFERROR(SUMPRODUCT(MAX((Sales!$C$5:INDEX(Sales!$C$5:$C$3004,TxRows)=$A236)*Sales!$A$5:INDEX(Sales!$A$5:$A$3004,TxRows))),0))</f>
        <v/>
      </c>
      <c r="Q236" s="66" t="str">
        <f aca="false">IF($A236="","",IFERROR(SUMPRODUCT(MAX((CashBook!$D$5:INDEX(CashBook!$D$5:$D$3004,TxRows)=$A236)*(CashBook!$C$5:INDEX(CashBook!$C$5:$C$3004,TxRows)="Receipt")*CashBook!$A$5:INDEX(CashBook!$A$5:$A$3004,TxRows))),0))</f>
        <v/>
      </c>
      <c r="R236" s="67" t="str">
        <f aca="false">IF($A236="","",IF(ROUND(N236,2)&lt;=0,"",AsOf-IF(N(Q236)&gt;0,Q236,IF(N(P236)&gt;0,P236,FYStart))))</f>
        <v/>
      </c>
      <c r="S236" s="60" t="str">
        <f aca="false">IF($A236="","",IF(AND(N($G236)&gt;0,N236&gt;N($G236)),"OVER LIMIT",IF(AND(N236&gt;0,N(R236)&gt;N($H236)),"OVERDUE",IF(ROUND(N236,2)&lt;0,"PAY DUE",""))))</f>
        <v/>
      </c>
    </row>
    <row r="237" customFormat="false" ht="15" hidden="false" customHeight="false" outlineLevel="0" collapsed="false">
      <c r="A237" s="56"/>
      <c r="B237" s="56"/>
      <c r="C237" s="56"/>
      <c r="D237" s="56"/>
      <c r="E237" s="56"/>
      <c r="F237" s="56"/>
      <c r="G237" s="68"/>
      <c r="H237" s="69"/>
      <c r="I237" s="58"/>
      <c r="J237" s="61" t="str">
        <f aca="false">IF($A237="","",SUMIFS(Sales!$Q$5:INDEX(Sales!$Q$5:$Q$3004,TxRows),Sales!$C$5:INDEX(Sales!$C$5:$C$3004,TxRows),$A237)-SUMIFS(Sales!$X$5:INDEX(Sales!$X$5:$X$3004,TxRows),Sales!$C$5:INDEX(Sales!$C$5:$C$3004,TxRows),$A237))</f>
        <v/>
      </c>
      <c r="K237" s="61" t="str">
        <f aca="false">IF($A237="","",SUMIFS(CashBook!$G$5:INDEX(CashBook!$G$5:$G$3004,TxRows),CashBook!$D$5:INDEX(CashBook!$D$5:$D$3004,TxRows),$A237,CashBook!$C$5:INDEX(CashBook!$C$5:$C$3004,TxRows),"Receipt"))</f>
        <v/>
      </c>
      <c r="L237" s="61" t="str">
        <f aca="false">IF($A237="","",SUMIFS(Purchases!$P$5:INDEX(Purchases!$P$5:$P$3004,TxRows),Purchases!$C$5:INDEX(Purchases!$C$5:$C$3004,TxRows),$A237)-SUMIFS(Purchases!$S$5:INDEX(Purchases!$S$5:$S$3004,TxRows),Purchases!$C$5:INDEX(Purchases!$C$5:$C$3004,TxRows),$A237))</f>
        <v/>
      </c>
      <c r="M237" s="61" t="str">
        <f aca="false">IF($A237="","",SUMIFS(CashBook!$G$5:INDEX(CashBook!$G$5:$G$3004,TxRows),CashBook!$D$5:INDEX(CashBook!$D$5:$D$3004,TxRows),$A237,CashBook!$C$5:INDEX(CashBook!$C$5:$C$3004,TxRows),"Payment"))</f>
        <v/>
      </c>
      <c r="N237" s="61" t="str">
        <f aca="false">IF($A237="","",N($I237)+J237-K237-L237+M237)</f>
        <v/>
      </c>
      <c r="O237" s="60" t="str">
        <f aca="false">IF($A237="","",IF(ROUND(N237,2)&gt;0,"Receivable",IF(ROUND(N237,2)&lt;0,"Payable","Settled")))</f>
        <v/>
      </c>
      <c r="P237" s="66" t="str">
        <f aca="false">IF($A237="","",IFERROR(SUMPRODUCT(MAX((Sales!$C$5:INDEX(Sales!$C$5:$C$3004,TxRows)=$A237)*Sales!$A$5:INDEX(Sales!$A$5:$A$3004,TxRows))),0))</f>
        <v/>
      </c>
      <c r="Q237" s="66" t="str">
        <f aca="false">IF($A237="","",IFERROR(SUMPRODUCT(MAX((CashBook!$D$5:INDEX(CashBook!$D$5:$D$3004,TxRows)=$A237)*(CashBook!$C$5:INDEX(CashBook!$C$5:$C$3004,TxRows)="Receipt")*CashBook!$A$5:INDEX(CashBook!$A$5:$A$3004,TxRows))),0))</f>
        <v/>
      </c>
      <c r="R237" s="67" t="str">
        <f aca="false">IF($A237="","",IF(ROUND(N237,2)&lt;=0,"",AsOf-IF(N(Q237)&gt;0,Q237,IF(N(P237)&gt;0,P237,FYStart))))</f>
        <v/>
      </c>
      <c r="S237" s="60" t="str">
        <f aca="false">IF($A237="","",IF(AND(N($G237)&gt;0,N237&gt;N($G237)),"OVER LIMIT",IF(AND(N237&gt;0,N(R237)&gt;N($H237)),"OVERDUE",IF(ROUND(N237,2)&lt;0,"PAY DUE",""))))</f>
        <v/>
      </c>
    </row>
    <row r="238" customFormat="false" ht="15" hidden="false" customHeight="false" outlineLevel="0" collapsed="false">
      <c r="A238" s="56"/>
      <c r="B238" s="56"/>
      <c r="C238" s="56"/>
      <c r="D238" s="56"/>
      <c r="E238" s="56"/>
      <c r="F238" s="56"/>
      <c r="G238" s="68"/>
      <c r="H238" s="69"/>
      <c r="I238" s="58"/>
      <c r="J238" s="61" t="str">
        <f aca="false">IF($A238="","",SUMIFS(Sales!$Q$5:INDEX(Sales!$Q$5:$Q$3004,TxRows),Sales!$C$5:INDEX(Sales!$C$5:$C$3004,TxRows),$A238)-SUMIFS(Sales!$X$5:INDEX(Sales!$X$5:$X$3004,TxRows),Sales!$C$5:INDEX(Sales!$C$5:$C$3004,TxRows),$A238))</f>
        <v/>
      </c>
      <c r="K238" s="61" t="str">
        <f aca="false">IF($A238="","",SUMIFS(CashBook!$G$5:INDEX(CashBook!$G$5:$G$3004,TxRows),CashBook!$D$5:INDEX(CashBook!$D$5:$D$3004,TxRows),$A238,CashBook!$C$5:INDEX(CashBook!$C$5:$C$3004,TxRows),"Receipt"))</f>
        <v/>
      </c>
      <c r="L238" s="61" t="str">
        <f aca="false">IF($A238="","",SUMIFS(Purchases!$P$5:INDEX(Purchases!$P$5:$P$3004,TxRows),Purchases!$C$5:INDEX(Purchases!$C$5:$C$3004,TxRows),$A238)-SUMIFS(Purchases!$S$5:INDEX(Purchases!$S$5:$S$3004,TxRows),Purchases!$C$5:INDEX(Purchases!$C$5:$C$3004,TxRows),$A238))</f>
        <v/>
      </c>
      <c r="M238" s="61" t="str">
        <f aca="false">IF($A238="","",SUMIFS(CashBook!$G$5:INDEX(CashBook!$G$5:$G$3004,TxRows),CashBook!$D$5:INDEX(CashBook!$D$5:$D$3004,TxRows),$A238,CashBook!$C$5:INDEX(CashBook!$C$5:$C$3004,TxRows),"Payment"))</f>
        <v/>
      </c>
      <c r="N238" s="61" t="str">
        <f aca="false">IF($A238="","",N($I238)+J238-K238-L238+M238)</f>
        <v/>
      </c>
      <c r="O238" s="60" t="str">
        <f aca="false">IF($A238="","",IF(ROUND(N238,2)&gt;0,"Receivable",IF(ROUND(N238,2)&lt;0,"Payable","Settled")))</f>
        <v/>
      </c>
      <c r="P238" s="66" t="str">
        <f aca="false">IF($A238="","",IFERROR(SUMPRODUCT(MAX((Sales!$C$5:INDEX(Sales!$C$5:$C$3004,TxRows)=$A238)*Sales!$A$5:INDEX(Sales!$A$5:$A$3004,TxRows))),0))</f>
        <v/>
      </c>
      <c r="Q238" s="66" t="str">
        <f aca="false">IF($A238="","",IFERROR(SUMPRODUCT(MAX((CashBook!$D$5:INDEX(CashBook!$D$5:$D$3004,TxRows)=$A238)*(CashBook!$C$5:INDEX(CashBook!$C$5:$C$3004,TxRows)="Receipt")*CashBook!$A$5:INDEX(CashBook!$A$5:$A$3004,TxRows))),0))</f>
        <v/>
      </c>
      <c r="R238" s="67" t="str">
        <f aca="false">IF($A238="","",IF(ROUND(N238,2)&lt;=0,"",AsOf-IF(N(Q238)&gt;0,Q238,IF(N(P238)&gt;0,P238,FYStart))))</f>
        <v/>
      </c>
      <c r="S238" s="60" t="str">
        <f aca="false">IF($A238="","",IF(AND(N($G238)&gt;0,N238&gt;N($G238)),"OVER LIMIT",IF(AND(N238&gt;0,N(R238)&gt;N($H238)),"OVERDUE",IF(ROUND(N238,2)&lt;0,"PAY DUE",""))))</f>
        <v/>
      </c>
    </row>
    <row r="239" customFormat="false" ht="15" hidden="false" customHeight="false" outlineLevel="0" collapsed="false">
      <c r="A239" s="56"/>
      <c r="B239" s="56"/>
      <c r="C239" s="56"/>
      <c r="D239" s="56"/>
      <c r="E239" s="56"/>
      <c r="F239" s="56"/>
      <c r="G239" s="68"/>
      <c r="H239" s="69"/>
      <c r="I239" s="58"/>
      <c r="J239" s="61" t="str">
        <f aca="false">IF($A239="","",SUMIFS(Sales!$Q$5:INDEX(Sales!$Q$5:$Q$3004,TxRows),Sales!$C$5:INDEX(Sales!$C$5:$C$3004,TxRows),$A239)-SUMIFS(Sales!$X$5:INDEX(Sales!$X$5:$X$3004,TxRows),Sales!$C$5:INDEX(Sales!$C$5:$C$3004,TxRows),$A239))</f>
        <v/>
      </c>
      <c r="K239" s="61" t="str">
        <f aca="false">IF($A239="","",SUMIFS(CashBook!$G$5:INDEX(CashBook!$G$5:$G$3004,TxRows),CashBook!$D$5:INDEX(CashBook!$D$5:$D$3004,TxRows),$A239,CashBook!$C$5:INDEX(CashBook!$C$5:$C$3004,TxRows),"Receipt"))</f>
        <v/>
      </c>
      <c r="L239" s="61" t="str">
        <f aca="false">IF($A239="","",SUMIFS(Purchases!$P$5:INDEX(Purchases!$P$5:$P$3004,TxRows),Purchases!$C$5:INDEX(Purchases!$C$5:$C$3004,TxRows),$A239)-SUMIFS(Purchases!$S$5:INDEX(Purchases!$S$5:$S$3004,TxRows),Purchases!$C$5:INDEX(Purchases!$C$5:$C$3004,TxRows),$A239))</f>
        <v/>
      </c>
      <c r="M239" s="61" t="str">
        <f aca="false">IF($A239="","",SUMIFS(CashBook!$G$5:INDEX(CashBook!$G$5:$G$3004,TxRows),CashBook!$D$5:INDEX(CashBook!$D$5:$D$3004,TxRows),$A239,CashBook!$C$5:INDEX(CashBook!$C$5:$C$3004,TxRows),"Payment"))</f>
        <v/>
      </c>
      <c r="N239" s="61" t="str">
        <f aca="false">IF($A239="","",N($I239)+J239-K239-L239+M239)</f>
        <v/>
      </c>
      <c r="O239" s="60" t="str">
        <f aca="false">IF($A239="","",IF(ROUND(N239,2)&gt;0,"Receivable",IF(ROUND(N239,2)&lt;0,"Payable","Settled")))</f>
        <v/>
      </c>
      <c r="P239" s="66" t="str">
        <f aca="false">IF($A239="","",IFERROR(SUMPRODUCT(MAX((Sales!$C$5:INDEX(Sales!$C$5:$C$3004,TxRows)=$A239)*Sales!$A$5:INDEX(Sales!$A$5:$A$3004,TxRows))),0))</f>
        <v/>
      </c>
      <c r="Q239" s="66" t="str">
        <f aca="false">IF($A239="","",IFERROR(SUMPRODUCT(MAX((CashBook!$D$5:INDEX(CashBook!$D$5:$D$3004,TxRows)=$A239)*(CashBook!$C$5:INDEX(CashBook!$C$5:$C$3004,TxRows)="Receipt")*CashBook!$A$5:INDEX(CashBook!$A$5:$A$3004,TxRows))),0))</f>
        <v/>
      </c>
      <c r="R239" s="67" t="str">
        <f aca="false">IF($A239="","",IF(ROUND(N239,2)&lt;=0,"",AsOf-IF(N(Q239)&gt;0,Q239,IF(N(P239)&gt;0,P239,FYStart))))</f>
        <v/>
      </c>
      <c r="S239" s="60" t="str">
        <f aca="false">IF($A239="","",IF(AND(N($G239)&gt;0,N239&gt;N($G239)),"OVER LIMIT",IF(AND(N239&gt;0,N(R239)&gt;N($H239)),"OVERDUE",IF(ROUND(N239,2)&lt;0,"PAY DUE",""))))</f>
        <v/>
      </c>
    </row>
    <row r="240" customFormat="false" ht="15" hidden="false" customHeight="false" outlineLevel="0" collapsed="false">
      <c r="A240" s="56"/>
      <c r="B240" s="56"/>
      <c r="C240" s="56"/>
      <c r="D240" s="56"/>
      <c r="E240" s="56"/>
      <c r="F240" s="56"/>
      <c r="G240" s="68"/>
      <c r="H240" s="69"/>
      <c r="I240" s="58"/>
      <c r="J240" s="61" t="str">
        <f aca="false">IF($A240="","",SUMIFS(Sales!$Q$5:INDEX(Sales!$Q$5:$Q$3004,TxRows),Sales!$C$5:INDEX(Sales!$C$5:$C$3004,TxRows),$A240)-SUMIFS(Sales!$X$5:INDEX(Sales!$X$5:$X$3004,TxRows),Sales!$C$5:INDEX(Sales!$C$5:$C$3004,TxRows),$A240))</f>
        <v/>
      </c>
      <c r="K240" s="61" t="str">
        <f aca="false">IF($A240="","",SUMIFS(CashBook!$G$5:INDEX(CashBook!$G$5:$G$3004,TxRows),CashBook!$D$5:INDEX(CashBook!$D$5:$D$3004,TxRows),$A240,CashBook!$C$5:INDEX(CashBook!$C$5:$C$3004,TxRows),"Receipt"))</f>
        <v/>
      </c>
      <c r="L240" s="61" t="str">
        <f aca="false">IF($A240="","",SUMIFS(Purchases!$P$5:INDEX(Purchases!$P$5:$P$3004,TxRows),Purchases!$C$5:INDEX(Purchases!$C$5:$C$3004,TxRows),$A240)-SUMIFS(Purchases!$S$5:INDEX(Purchases!$S$5:$S$3004,TxRows),Purchases!$C$5:INDEX(Purchases!$C$5:$C$3004,TxRows),$A240))</f>
        <v/>
      </c>
      <c r="M240" s="61" t="str">
        <f aca="false">IF($A240="","",SUMIFS(CashBook!$G$5:INDEX(CashBook!$G$5:$G$3004,TxRows),CashBook!$D$5:INDEX(CashBook!$D$5:$D$3004,TxRows),$A240,CashBook!$C$5:INDEX(CashBook!$C$5:$C$3004,TxRows),"Payment"))</f>
        <v/>
      </c>
      <c r="N240" s="61" t="str">
        <f aca="false">IF($A240="","",N($I240)+J240-K240-L240+M240)</f>
        <v/>
      </c>
      <c r="O240" s="60" t="str">
        <f aca="false">IF($A240="","",IF(ROUND(N240,2)&gt;0,"Receivable",IF(ROUND(N240,2)&lt;0,"Payable","Settled")))</f>
        <v/>
      </c>
      <c r="P240" s="66" t="str">
        <f aca="false">IF($A240="","",IFERROR(SUMPRODUCT(MAX((Sales!$C$5:INDEX(Sales!$C$5:$C$3004,TxRows)=$A240)*Sales!$A$5:INDEX(Sales!$A$5:$A$3004,TxRows))),0))</f>
        <v/>
      </c>
      <c r="Q240" s="66" t="str">
        <f aca="false">IF($A240="","",IFERROR(SUMPRODUCT(MAX((CashBook!$D$5:INDEX(CashBook!$D$5:$D$3004,TxRows)=$A240)*(CashBook!$C$5:INDEX(CashBook!$C$5:$C$3004,TxRows)="Receipt")*CashBook!$A$5:INDEX(CashBook!$A$5:$A$3004,TxRows))),0))</f>
        <v/>
      </c>
      <c r="R240" s="67" t="str">
        <f aca="false">IF($A240="","",IF(ROUND(N240,2)&lt;=0,"",AsOf-IF(N(Q240)&gt;0,Q240,IF(N(P240)&gt;0,P240,FYStart))))</f>
        <v/>
      </c>
      <c r="S240" s="60" t="str">
        <f aca="false">IF($A240="","",IF(AND(N($G240)&gt;0,N240&gt;N($G240)),"OVER LIMIT",IF(AND(N240&gt;0,N(R240)&gt;N($H240)),"OVERDUE",IF(ROUND(N240,2)&lt;0,"PAY DUE",""))))</f>
        <v/>
      </c>
    </row>
    <row r="241" customFormat="false" ht="15" hidden="false" customHeight="false" outlineLevel="0" collapsed="false">
      <c r="A241" s="56"/>
      <c r="B241" s="56"/>
      <c r="C241" s="56"/>
      <c r="D241" s="56"/>
      <c r="E241" s="56"/>
      <c r="F241" s="56"/>
      <c r="G241" s="68"/>
      <c r="H241" s="69"/>
      <c r="I241" s="58"/>
      <c r="J241" s="61" t="str">
        <f aca="false">IF($A241="","",SUMIFS(Sales!$Q$5:INDEX(Sales!$Q$5:$Q$3004,TxRows),Sales!$C$5:INDEX(Sales!$C$5:$C$3004,TxRows),$A241)-SUMIFS(Sales!$X$5:INDEX(Sales!$X$5:$X$3004,TxRows),Sales!$C$5:INDEX(Sales!$C$5:$C$3004,TxRows),$A241))</f>
        <v/>
      </c>
      <c r="K241" s="61" t="str">
        <f aca="false">IF($A241="","",SUMIFS(CashBook!$G$5:INDEX(CashBook!$G$5:$G$3004,TxRows),CashBook!$D$5:INDEX(CashBook!$D$5:$D$3004,TxRows),$A241,CashBook!$C$5:INDEX(CashBook!$C$5:$C$3004,TxRows),"Receipt"))</f>
        <v/>
      </c>
      <c r="L241" s="61" t="str">
        <f aca="false">IF($A241="","",SUMIFS(Purchases!$P$5:INDEX(Purchases!$P$5:$P$3004,TxRows),Purchases!$C$5:INDEX(Purchases!$C$5:$C$3004,TxRows),$A241)-SUMIFS(Purchases!$S$5:INDEX(Purchases!$S$5:$S$3004,TxRows),Purchases!$C$5:INDEX(Purchases!$C$5:$C$3004,TxRows),$A241))</f>
        <v/>
      </c>
      <c r="M241" s="61" t="str">
        <f aca="false">IF($A241="","",SUMIFS(CashBook!$G$5:INDEX(CashBook!$G$5:$G$3004,TxRows),CashBook!$D$5:INDEX(CashBook!$D$5:$D$3004,TxRows),$A241,CashBook!$C$5:INDEX(CashBook!$C$5:$C$3004,TxRows),"Payment"))</f>
        <v/>
      </c>
      <c r="N241" s="61" t="str">
        <f aca="false">IF($A241="","",N($I241)+J241-K241-L241+M241)</f>
        <v/>
      </c>
      <c r="O241" s="60" t="str">
        <f aca="false">IF($A241="","",IF(ROUND(N241,2)&gt;0,"Receivable",IF(ROUND(N241,2)&lt;0,"Payable","Settled")))</f>
        <v/>
      </c>
      <c r="P241" s="66" t="str">
        <f aca="false">IF($A241="","",IFERROR(SUMPRODUCT(MAX((Sales!$C$5:INDEX(Sales!$C$5:$C$3004,TxRows)=$A241)*Sales!$A$5:INDEX(Sales!$A$5:$A$3004,TxRows))),0))</f>
        <v/>
      </c>
      <c r="Q241" s="66" t="str">
        <f aca="false">IF($A241="","",IFERROR(SUMPRODUCT(MAX((CashBook!$D$5:INDEX(CashBook!$D$5:$D$3004,TxRows)=$A241)*(CashBook!$C$5:INDEX(CashBook!$C$5:$C$3004,TxRows)="Receipt")*CashBook!$A$5:INDEX(CashBook!$A$5:$A$3004,TxRows))),0))</f>
        <v/>
      </c>
      <c r="R241" s="67" t="str">
        <f aca="false">IF($A241="","",IF(ROUND(N241,2)&lt;=0,"",AsOf-IF(N(Q241)&gt;0,Q241,IF(N(P241)&gt;0,P241,FYStart))))</f>
        <v/>
      </c>
      <c r="S241" s="60" t="str">
        <f aca="false">IF($A241="","",IF(AND(N($G241)&gt;0,N241&gt;N($G241)),"OVER LIMIT",IF(AND(N241&gt;0,N(R241)&gt;N($H241)),"OVERDUE",IF(ROUND(N241,2)&lt;0,"PAY DUE",""))))</f>
        <v/>
      </c>
    </row>
    <row r="242" customFormat="false" ht="15" hidden="false" customHeight="false" outlineLevel="0" collapsed="false">
      <c r="A242" s="56"/>
      <c r="B242" s="56"/>
      <c r="C242" s="56"/>
      <c r="D242" s="56"/>
      <c r="E242" s="56"/>
      <c r="F242" s="56"/>
      <c r="G242" s="68"/>
      <c r="H242" s="69"/>
      <c r="I242" s="58"/>
      <c r="J242" s="61" t="str">
        <f aca="false">IF($A242="","",SUMIFS(Sales!$Q$5:INDEX(Sales!$Q$5:$Q$3004,TxRows),Sales!$C$5:INDEX(Sales!$C$5:$C$3004,TxRows),$A242)-SUMIFS(Sales!$X$5:INDEX(Sales!$X$5:$X$3004,TxRows),Sales!$C$5:INDEX(Sales!$C$5:$C$3004,TxRows),$A242))</f>
        <v/>
      </c>
      <c r="K242" s="61" t="str">
        <f aca="false">IF($A242="","",SUMIFS(CashBook!$G$5:INDEX(CashBook!$G$5:$G$3004,TxRows),CashBook!$D$5:INDEX(CashBook!$D$5:$D$3004,TxRows),$A242,CashBook!$C$5:INDEX(CashBook!$C$5:$C$3004,TxRows),"Receipt"))</f>
        <v/>
      </c>
      <c r="L242" s="61" t="str">
        <f aca="false">IF($A242="","",SUMIFS(Purchases!$P$5:INDEX(Purchases!$P$5:$P$3004,TxRows),Purchases!$C$5:INDEX(Purchases!$C$5:$C$3004,TxRows),$A242)-SUMIFS(Purchases!$S$5:INDEX(Purchases!$S$5:$S$3004,TxRows),Purchases!$C$5:INDEX(Purchases!$C$5:$C$3004,TxRows),$A242))</f>
        <v/>
      </c>
      <c r="M242" s="61" t="str">
        <f aca="false">IF($A242="","",SUMIFS(CashBook!$G$5:INDEX(CashBook!$G$5:$G$3004,TxRows),CashBook!$D$5:INDEX(CashBook!$D$5:$D$3004,TxRows),$A242,CashBook!$C$5:INDEX(CashBook!$C$5:$C$3004,TxRows),"Payment"))</f>
        <v/>
      </c>
      <c r="N242" s="61" t="str">
        <f aca="false">IF($A242="","",N($I242)+J242-K242-L242+M242)</f>
        <v/>
      </c>
      <c r="O242" s="60" t="str">
        <f aca="false">IF($A242="","",IF(ROUND(N242,2)&gt;0,"Receivable",IF(ROUND(N242,2)&lt;0,"Payable","Settled")))</f>
        <v/>
      </c>
      <c r="P242" s="66" t="str">
        <f aca="false">IF($A242="","",IFERROR(SUMPRODUCT(MAX((Sales!$C$5:INDEX(Sales!$C$5:$C$3004,TxRows)=$A242)*Sales!$A$5:INDEX(Sales!$A$5:$A$3004,TxRows))),0))</f>
        <v/>
      </c>
      <c r="Q242" s="66" t="str">
        <f aca="false">IF($A242="","",IFERROR(SUMPRODUCT(MAX((CashBook!$D$5:INDEX(CashBook!$D$5:$D$3004,TxRows)=$A242)*(CashBook!$C$5:INDEX(CashBook!$C$5:$C$3004,TxRows)="Receipt")*CashBook!$A$5:INDEX(CashBook!$A$5:$A$3004,TxRows))),0))</f>
        <v/>
      </c>
      <c r="R242" s="67" t="str">
        <f aca="false">IF($A242="","",IF(ROUND(N242,2)&lt;=0,"",AsOf-IF(N(Q242)&gt;0,Q242,IF(N(P242)&gt;0,P242,FYStart))))</f>
        <v/>
      </c>
      <c r="S242" s="60" t="str">
        <f aca="false">IF($A242="","",IF(AND(N($G242)&gt;0,N242&gt;N($G242)),"OVER LIMIT",IF(AND(N242&gt;0,N(R242)&gt;N($H242)),"OVERDUE",IF(ROUND(N242,2)&lt;0,"PAY DUE",""))))</f>
        <v/>
      </c>
    </row>
    <row r="243" customFormat="false" ht="15" hidden="false" customHeight="false" outlineLevel="0" collapsed="false">
      <c r="A243" s="56"/>
      <c r="B243" s="56"/>
      <c r="C243" s="56"/>
      <c r="D243" s="56"/>
      <c r="E243" s="56"/>
      <c r="F243" s="56"/>
      <c r="G243" s="68"/>
      <c r="H243" s="69"/>
      <c r="I243" s="58"/>
      <c r="J243" s="61" t="str">
        <f aca="false">IF($A243="","",SUMIFS(Sales!$Q$5:INDEX(Sales!$Q$5:$Q$3004,TxRows),Sales!$C$5:INDEX(Sales!$C$5:$C$3004,TxRows),$A243)-SUMIFS(Sales!$X$5:INDEX(Sales!$X$5:$X$3004,TxRows),Sales!$C$5:INDEX(Sales!$C$5:$C$3004,TxRows),$A243))</f>
        <v/>
      </c>
      <c r="K243" s="61" t="str">
        <f aca="false">IF($A243="","",SUMIFS(CashBook!$G$5:INDEX(CashBook!$G$5:$G$3004,TxRows),CashBook!$D$5:INDEX(CashBook!$D$5:$D$3004,TxRows),$A243,CashBook!$C$5:INDEX(CashBook!$C$5:$C$3004,TxRows),"Receipt"))</f>
        <v/>
      </c>
      <c r="L243" s="61" t="str">
        <f aca="false">IF($A243="","",SUMIFS(Purchases!$P$5:INDEX(Purchases!$P$5:$P$3004,TxRows),Purchases!$C$5:INDEX(Purchases!$C$5:$C$3004,TxRows),$A243)-SUMIFS(Purchases!$S$5:INDEX(Purchases!$S$5:$S$3004,TxRows),Purchases!$C$5:INDEX(Purchases!$C$5:$C$3004,TxRows),$A243))</f>
        <v/>
      </c>
      <c r="M243" s="61" t="str">
        <f aca="false">IF($A243="","",SUMIFS(CashBook!$G$5:INDEX(CashBook!$G$5:$G$3004,TxRows),CashBook!$D$5:INDEX(CashBook!$D$5:$D$3004,TxRows),$A243,CashBook!$C$5:INDEX(CashBook!$C$5:$C$3004,TxRows),"Payment"))</f>
        <v/>
      </c>
      <c r="N243" s="61" t="str">
        <f aca="false">IF($A243="","",N($I243)+J243-K243-L243+M243)</f>
        <v/>
      </c>
      <c r="O243" s="60" t="str">
        <f aca="false">IF($A243="","",IF(ROUND(N243,2)&gt;0,"Receivable",IF(ROUND(N243,2)&lt;0,"Payable","Settled")))</f>
        <v/>
      </c>
      <c r="P243" s="66" t="str">
        <f aca="false">IF($A243="","",IFERROR(SUMPRODUCT(MAX((Sales!$C$5:INDEX(Sales!$C$5:$C$3004,TxRows)=$A243)*Sales!$A$5:INDEX(Sales!$A$5:$A$3004,TxRows))),0))</f>
        <v/>
      </c>
      <c r="Q243" s="66" t="str">
        <f aca="false">IF($A243="","",IFERROR(SUMPRODUCT(MAX((CashBook!$D$5:INDEX(CashBook!$D$5:$D$3004,TxRows)=$A243)*(CashBook!$C$5:INDEX(CashBook!$C$5:$C$3004,TxRows)="Receipt")*CashBook!$A$5:INDEX(CashBook!$A$5:$A$3004,TxRows))),0))</f>
        <v/>
      </c>
      <c r="R243" s="67" t="str">
        <f aca="false">IF($A243="","",IF(ROUND(N243,2)&lt;=0,"",AsOf-IF(N(Q243)&gt;0,Q243,IF(N(P243)&gt;0,P243,FYStart))))</f>
        <v/>
      </c>
      <c r="S243" s="60" t="str">
        <f aca="false">IF($A243="","",IF(AND(N($G243)&gt;0,N243&gt;N($G243)),"OVER LIMIT",IF(AND(N243&gt;0,N(R243)&gt;N($H243)),"OVERDUE",IF(ROUND(N243,2)&lt;0,"PAY DUE",""))))</f>
        <v/>
      </c>
    </row>
    <row r="244" customFormat="false" ht="15" hidden="false" customHeight="false" outlineLevel="0" collapsed="false">
      <c r="A244" s="56"/>
      <c r="B244" s="56"/>
      <c r="C244" s="56"/>
      <c r="D244" s="56"/>
      <c r="E244" s="56"/>
      <c r="F244" s="56"/>
      <c r="G244" s="68"/>
      <c r="H244" s="69"/>
      <c r="I244" s="58"/>
      <c r="J244" s="61" t="str">
        <f aca="false">IF($A244="","",SUMIFS(Sales!$Q$5:INDEX(Sales!$Q$5:$Q$3004,TxRows),Sales!$C$5:INDEX(Sales!$C$5:$C$3004,TxRows),$A244)-SUMIFS(Sales!$X$5:INDEX(Sales!$X$5:$X$3004,TxRows),Sales!$C$5:INDEX(Sales!$C$5:$C$3004,TxRows),$A244))</f>
        <v/>
      </c>
      <c r="K244" s="61" t="str">
        <f aca="false">IF($A244="","",SUMIFS(CashBook!$G$5:INDEX(CashBook!$G$5:$G$3004,TxRows),CashBook!$D$5:INDEX(CashBook!$D$5:$D$3004,TxRows),$A244,CashBook!$C$5:INDEX(CashBook!$C$5:$C$3004,TxRows),"Receipt"))</f>
        <v/>
      </c>
      <c r="L244" s="61" t="str">
        <f aca="false">IF($A244="","",SUMIFS(Purchases!$P$5:INDEX(Purchases!$P$5:$P$3004,TxRows),Purchases!$C$5:INDEX(Purchases!$C$5:$C$3004,TxRows),$A244)-SUMIFS(Purchases!$S$5:INDEX(Purchases!$S$5:$S$3004,TxRows),Purchases!$C$5:INDEX(Purchases!$C$5:$C$3004,TxRows),$A244))</f>
        <v/>
      </c>
      <c r="M244" s="61" t="str">
        <f aca="false">IF($A244="","",SUMIFS(CashBook!$G$5:INDEX(CashBook!$G$5:$G$3004,TxRows),CashBook!$D$5:INDEX(CashBook!$D$5:$D$3004,TxRows),$A244,CashBook!$C$5:INDEX(CashBook!$C$5:$C$3004,TxRows),"Payment"))</f>
        <v/>
      </c>
      <c r="N244" s="61" t="str">
        <f aca="false">IF($A244="","",N($I244)+J244-K244-L244+M244)</f>
        <v/>
      </c>
      <c r="O244" s="60" t="str">
        <f aca="false">IF($A244="","",IF(ROUND(N244,2)&gt;0,"Receivable",IF(ROUND(N244,2)&lt;0,"Payable","Settled")))</f>
        <v/>
      </c>
      <c r="P244" s="66" t="str">
        <f aca="false">IF($A244="","",IFERROR(SUMPRODUCT(MAX((Sales!$C$5:INDEX(Sales!$C$5:$C$3004,TxRows)=$A244)*Sales!$A$5:INDEX(Sales!$A$5:$A$3004,TxRows))),0))</f>
        <v/>
      </c>
      <c r="Q244" s="66" t="str">
        <f aca="false">IF($A244="","",IFERROR(SUMPRODUCT(MAX((CashBook!$D$5:INDEX(CashBook!$D$5:$D$3004,TxRows)=$A244)*(CashBook!$C$5:INDEX(CashBook!$C$5:$C$3004,TxRows)="Receipt")*CashBook!$A$5:INDEX(CashBook!$A$5:$A$3004,TxRows))),0))</f>
        <v/>
      </c>
      <c r="R244" s="67" t="str">
        <f aca="false">IF($A244="","",IF(ROUND(N244,2)&lt;=0,"",AsOf-IF(N(Q244)&gt;0,Q244,IF(N(P244)&gt;0,P244,FYStart))))</f>
        <v/>
      </c>
      <c r="S244" s="60" t="str">
        <f aca="false">IF($A244="","",IF(AND(N($G244)&gt;0,N244&gt;N($G244)),"OVER LIMIT",IF(AND(N244&gt;0,N(R244)&gt;N($H244)),"OVERDUE",IF(ROUND(N244,2)&lt;0,"PAY DUE",""))))</f>
        <v/>
      </c>
    </row>
    <row r="245" customFormat="false" ht="15" hidden="false" customHeight="false" outlineLevel="0" collapsed="false">
      <c r="A245" s="56"/>
      <c r="B245" s="56"/>
      <c r="C245" s="56"/>
      <c r="D245" s="56"/>
      <c r="E245" s="56"/>
      <c r="F245" s="56"/>
      <c r="G245" s="68"/>
      <c r="H245" s="69"/>
      <c r="I245" s="58"/>
      <c r="J245" s="61" t="str">
        <f aca="false">IF($A245="","",SUMIFS(Sales!$Q$5:INDEX(Sales!$Q$5:$Q$3004,TxRows),Sales!$C$5:INDEX(Sales!$C$5:$C$3004,TxRows),$A245)-SUMIFS(Sales!$X$5:INDEX(Sales!$X$5:$X$3004,TxRows),Sales!$C$5:INDEX(Sales!$C$5:$C$3004,TxRows),$A245))</f>
        <v/>
      </c>
      <c r="K245" s="61" t="str">
        <f aca="false">IF($A245="","",SUMIFS(CashBook!$G$5:INDEX(CashBook!$G$5:$G$3004,TxRows),CashBook!$D$5:INDEX(CashBook!$D$5:$D$3004,TxRows),$A245,CashBook!$C$5:INDEX(CashBook!$C$5:$C$3004,TxRows),"Receipt"))</f>
        <v/>
      </c>
      <c r="L245" s="61" t="str">
        <f aca="false">IF($A245="","",SUMIFS(Purchases!$P$5:INDEX(Purchases!$P$5:$P$3004,TxRows),Purchases!$C$5:INDEX(Purchases!$C$5:$C$3004,TxRows),$A245)-SUMIFS(Purchases!$S$5:INDEX(Purchases!$S$5:$S$3004,TxRows),Purchases!$C$5:INDEX(Purchases!$C$5:$C$3004,TxRows),$A245))</f>
        <v/>
      </c>
      <c r="M245" s="61" t="str">
        <f aca="false">IF($A245="","",SUMIFS(CashBook!$G$5:INDEX(CashBook!$G$5:$G$3004,TxRows),CashBook!$D$5:INDEX(CashBook!$D$5:$D$3004,TxRows),$A245,CashBook!$C$5:INDEX(CashBook!$C$5:$C$3004,TxRows),"Payment"))</f>
        <v/>
      </c>
      <c r="N245" s="61" t="str">
        <f aca="false">IF($A245="","",N($I245)+J245-K245-L245+M245)</f>
        <v/>
      </c>
      <c r="O245" s="60" t="str">
        <f aca="false">IF($A245="","",IF(ROUND(N245,2)&gt;0,"Receivable",IF(ROUND(N245,2)&lt;0,"Payable","Settled")))</f>
        <v/>
      </c>
      <c r="P245" s="66" t="str">
        <f aca="false">IF($A245="","",IFERROR(SUMPRODUCT(MAX((Sales!$C$5:INDEX(Sales!$C$5:$C$3004,TxRows)=$A245)*Sales!$A$5:INDEX(Sales!$A$5:$A$3004,TxRows))),0))</f>
        <v/>
      </c>
      <c r="Q245" s="66" t="str">
        <f aca="false">IF($A245="","",IFERROR(SUMPRODUCT(MAX((CashBook!$D$5:INDEX(CashBook!$D$5:$D$3004,TxRows)=$A245)*(CashBook!$C$5:INDEX(CashBook!$C$5:$C$3004,TxRows)="Receipt")*CashBook!$A$5:INDEX(CashBook!$A$5:$A$3004,TxRows))),0))</f>
        <v/>
      </c>
      <c r="R245" s="67" t="str">
        <f aca="false">IF($A245="","",IF(ROUND(N245,2)&lt;=0,"",AsOf-IF(N(Q245)&gt;0,Q245,IF(N(P245)&gt;0,P245,FYStart))))</f>
        <v/>
      </c>
      <c r="S245" s="60" t="str">
        <f aca="false">IF($A245="","",IF(AND(N($G245)&gt;0,N245&gt;N($G245)),"OVER LIMIT",IF(AND(N245&gt;0,N(R245)&gt;N($H245)),"OVERDUE",IF(ROUND(N245,2)&lt;0,"PAY DUE",""))))</f>
        <v/>
      </c>
    </row>
    <row r="246" customFormat="false" ht="15" hidden="false" customHeight="false" outlineLevel="0" collapsed="false">
      <c r="A246" s="56"/>
      <c r="B246" s="56"/>
      <c r="C246" s="56"/>
      <c r="D246" s="56"/>
      <c r="E246" s="56"/>
      <c r="F246" s="56"/>
      <c r="G246" s="68"/>
      <c r="H246" s="69"/>
      <c r="I246" s="58"/>
      <c r="J246" s="61" t="str">
        <f aca="false">IF($A246="","",SUMIFS(Sales!$Q$5:INDEX(Sales!$Q$5:$Q$3004,TxRows),Sales!$C$5:INDEX(Sales!$C$5:$C$3004,TxRows),$A246)-SUMIFS(Sales!$X$5:INDEX(Sales!$X$5:$X$3004,TxRows),Sales!$C$5:INDEX(Sales!$C$5:$C$3004,TxRows),$A246))</f>
        <v/>
      </c>
      <c r="K246" s="61" t="str">
        <f aca="false">IF($A246="","",SUMIFS(CashBook!$G$5:INDEX(CashBook!$G$5:$G$3004,TxRows),CashBook!$D$5:INDEX(CashBook!$D$5:$D$3004,TxRows),$A246,CashBook!$C$5:INDEX(CashBook!$C$5:$C$3004,TxRows),"Receipt"))</f>
        <v/>
      </c>
      <c r="L246" s="61" t="str">
        <f aca="false">IF($A246="","",SUMIFS(Purchases!$P$5:INDEX(Purchases!$P$5:$P$3004,TxRows),Purchases!$C$5:INDEX(Purchases!$C$5:$C$3004,TxRows),$A246)-SUMIFS(Purchases!$S$5:INDEX(Purchases!$S$5:$S$3004,TxRows),Purchases!$C$5:INDEX(Purchases!$C$5:$C$3004,TxRows),$A246))</f>
        <v/>
      </c>
      <c r="M246" s="61" t="str">
        <f aca="false">IF($A246="","",SUMIFS(CashBook!$G$5:INDEX(CashBook!$G$5:$G$3004,TxRows),CashBook!$D$5:INDEX(CashBook!$D$5:$D$3004,TxRows),$A246,CashBook!$C$5:INDEX(CashBook!$C$5:$C$3004,TxRows),"Payment"))</f>
        <v/>
      </c>
      <c r="N246" s="61" t="str">
        <f aca="false">IF($A246="","",N($I246)+J246-K246-L246+M246)</f>
        <v/>
      </c>
      <c r="O246" s="60" t="str">
        <f aca="false">IF($A246="","",IF(ROUND(N246,2)&gt;0,"Receivable",IF(ROUND(N246,2)&lt;0,"Payable","Settled")))</f>
        <v/>
      </c>
      <c r="P246" s="66" t="str">
        <f aca="false">IF($A246="","",IFERROR(SUMPRODUCT(MAX((Sales!$C$5:INDEX(Sales!$C$5:$C$3004,TxRows)=$A246)*Sales!$A$5:INDEX(Sales!$A$5:$A$3004,TxRows))),0))</f>
        <v/>
      </c>
      <c r="Q246" s="66" t="str">
        <f aca="false">IF($A246="","",IFERROR(SUMPRODUCT(MAX((CashBook!$D$5:INDEX(CashBook!$D$5:$D$3004,TxRows)=$A246)*(CashBook!$C$5:INDEX(CashBook!$C$5:$C$3004,TxRows)="Receipt")*CashBook!$A$5:INDEX(CashBook!$A$5:$A$3004,TxRows))),0))</f>
        <v/>
      </c>
      <c r="R246" s="67" t="str">
        <f aca="false">IF($A246="","",IF(ROUND(N246,2)&lt;=0,"",AsOf-IF(N(Q246)&gt;0,Q246,IF(N(P246)&gt;0,P246,FYStart))))</f>
        <v/>
      </c>
      <c r="S246" s="60" t="str">
        <f aca="false">IF($A246="","",IF(AND(N($G246)&gt;0,N246&gt;N($G246)),"OVER LIMIT",IF(AND(N246&gt;0,N(R246)&gt;N($H246)),"OVERDUE",IF(ROUND(N246,2)&lt;0,"PAY DUE",""))))</f>
        <v/>
      </c>
    </row>
    <row r="247" customFormat="false" ht="15" hidden="false" customHeight="false" outlineLevel="0" collapsed="false">
      <c r="A247" s="56"/>
      <c r="B247" s="56"/>
      <c r="C247" s="56"/>
      <c r="D247" s="56"/>
      <c r="E247" s="56"/>
      <c r="F247" s="56"/>
      <c r="G247" s="68"/>
      <c r="H247" s="69"/>
      <c r="I247" s="58"/>
      <c r="J247" s="61" t="str">
        <f aca="false">IF($A247="","",SUMIFS(Sales!$Q$5:INDEX(Sales!$Q$5:$Q$3004,TxRows),Sales!$C$5:INDEX(Sales!$C$5:$C$3004,TxRows),$A247)-SUMIFS(Sales!$X$5:INDEX(Sales!$X$5:$X$3004,TxRows),Sales!$C$5:INDEX(Sales!$C$5:$C$3004,TxRows),$A247))</f>
        <v/>
      </c>
      <c r="K247" s="61" t="str">
        <f aca="false">IF($A247="","",SUMIFS(CashBook!$G$5:INDEX(CashBook!$G$5:$G$3004,TxRows),CashBook!$D$5:INDEX(CashBook!$D$5:$D$3004,TxRows),$A247,CashBook!$C$5:INDEX(CashBook!$C$5:$C$3004,TxRows),"Receipt"))</f>
        <v/>
      </c>
      <c r="L247" s="61" t="str">
        <f aca="false">IF($A247="","",SUMIFS(Purchases!$P$5:INDEX(Purchases!$P$5:$P$3004,TxRows),Purchases!$C$5:INDEX(Purchases!$C$5:$C$3004,TxRows),$A247)-SUMIFS(Purchases!$S$5:INDEX(Purchases!$S$5:$S$3004,TxRows),Purchases!$C$5:INDEX(Purchases!$C$5:$C$3004,TxRows),$A247))</f>
        <v/>
      </c>
      <c r="M247" s="61" t="str">
        <f aca="false">IF($A247="","",SUMIFS(CashBook!$G$5:INDEX(CashBook!$G$5:$G$3004,TxRows),CashBook!$D$5:INDEX(CashBook!$D$5:$D$3004,TxRows),$A247,CashBook!$C$5:INDEX(CashBook!$C$5:$C$3004,TxRows),"Payment"))</f>
        <v/>
      </c>
      <c r="N247" s="61" t="str">
        <f aca="false">IF($A247="","",N($I247)+J247-K247-L247+M247)</f>
        <v/>
      </c>
      <c r="O247" s="60" t="str">
        <f aca="false">IF($A247="","",IF(ROUND(N247,2)&gt;0,"Receivable",IF(ROUND(N247,2)&lt;0,"Payable","Settled")))</f>
        <v/>
      </c>
      <c r="P247" s="66" t="str">
        <f aca="false">IF($A247="","",IFERROR(SUMPRODUCT(MAX((Sales!$C$5:INDEX(Sales!$C$5:$C$3004,TxRows)=$A247)*Sales!$A$5:INDEX(Sales!$A$5:$A$3004,TxRows))),0))</f>
        <v/>
      </c>
      <c r="Q247" s="66" t="str">
        <f aca="false">IF($A247="","",IFERROR(SUMPRODUCT(MAX((CashBook!$D$5:INDEX(CashBook!$D$5:$D$3004,TxRows)=$A247)*(CashBook!$C$5:INDEX(CashBook!$C$5:$C$3004,TxRows)="Receipt")*CashBook!$A$5:INDEX(CashBook!$A$5:$A$3004,TxRows))),0))</f>
        <v/>
      </c>
      <c r="R247" s="67" t="str">
        <f aca="false">IF($A247="","",IF(ROUND(N247,2)&lt;=0,"",AsOf-IF(N(Q247)&gt;0,Q247,IF(N(P247)&gt;0,P247,FYStart))))</f>
        <v/>
      </c>
      <c r="S247" s="60" t="str">
        <f aca="false">IF($A247="","",IF(AND(N($G247)&gt;0,N247&gt;N($G247)),"OVER LIMIT",IF(AND(N247&gt;0,N(R247)&gt;N($H247)),"OVERDUE",IF(ROUND(N247,2)&lt;0,"PAY DUE",""))))</f>
        <v/>
      </c>
    </row>
    <row r="248" customFormat="false" ht="15" hidden="false" customHeight="false" outlineLevel="0" collapsed="false">
      <c r="A248" s="56"/>
      <c r="B248" s="56"/>
      <c r="C248" s="56"/>
      <c r="D248" s="56"/>
      <c r="E248" s="56"/>
      <c r="F248" s="56"/>
      <c r="G248" s="68"/>
      <c r="H248" s="69"/>
      <c r="I248" s="58"/>
      <c r="J248" s="61" t="str">
        <f aca="false">IF($A248="","",SUMIFS(Sales!$Q$5:INDEX(Sales!$Q$5:$Q$3004,TxRows),Sales!$C$5:INDEX(Sales!$C$5:$C$3004,TxRows),$A248)-SUMIFS(Sales!$X$5:INDEX(Sales!$X$5:$X$3004,TxRows),Sales!$C$5:INDEX(Sales!$C$5:$C$3004,TxRows),$A248))</f>
        <v/>
      </c>
      <c r="K248" s="61" t="str">
        <f aca="false">IF($A248="","",SUMIFS(CashBook!$G$5:INDEX(CashBook!$G$5:$G$3004,TxRows),CashBook!$D$5:INDEX(CashBook!$D$5:$D$3004,TxRows),$A248,CashBook!$C$5:INDEX(CashBook!$C$5:$C$3004,TxRows),"Receipt"))</f>
        <v/>
      </c>
      <c r="L248" s="61" t="str">
        <f aca="false">IF($A248="","",SUMIFS(Purchases!$P$5:INDEX(Purchases!$P$5:$P$3004,TxRows),Purchases!$C$5:INDEX(Purchases!$C$5:$C$3004,TxRows),$A248)-SUMIFS(Purchases!$S$5:INDEX(Purchases!$S$5:$S$3004,TxRows),Purchases!$C$5:INDEX(Purchases!$C$5:$C$3004,TxRows),$A248))</f>
        <v/>
      </c>
      <c r="M248" s="61" t="str">
        <f aca="false">IF($A248="","",SUMIFS(CashBook!$G$5:INDEX(CashBook!$G$5:$G$3004,TxRows),CashBook!$D$5:INDEX(CashBook!$D$5:$D$3004,TxRows),$A248,CashBook!$C$5:INDEX(CashBook!$C$5:$C$3004,TxRows),"Payment"))</f>
        <v/>
      </c>
      <c r="N248" s="61" t="str">
        <f aca="false">IF($A248="","",N($I248)+J248-K248-L248+M248)</f>
        <v/>
      </c>
      <c r="O248" s="60" t="str">
        <f aca="false">IF($A248="","",IF(ROUND(N248,2)&gt;0,"Receivable",IF(ROUND(N248,2)&lt;0,"Payable","Settled")))</f>
        <v/>
      </c>
      <c r="P248" s="66" t="str">
        <f aca="false">IF($A248="","",IFERROR(SUMPRODUCT(MAX((Sales!$C$5:INDEX(Sales!$C$5:$C$3004,TxRows)=$A248)*Sales!$A$5:INDEX(Sales!$A$5:$A$3004,TxRows))),0))</f>
        <v/>
      </c>
      <c r="Q248" s="66" t="str">
        <f aca="false">IF($A248="","",IFERROR(SUMPRODUCT(MAX((CashBook!$D$5:INDEX(CashBook!$D$5:$D$3004,TxRows)=$A248)*(CashBook!$C$5:INDEX(CashBook!$C$5:$C$3004,TxRows)="Receipt")*CashBook!$A$5:INDEX(CashBook!$A$5:$A$3004,TxRows))),0))</f>
        <v/>
      </c>
      <c r="R248" s="67" t="str">
        <f aca="false">IF($A248="","",IF(ROUND(N248,2)&lt;=0,"",AsOf-IF(N(Q248)&gt;0,Q248,IF(N(P248)&gt;0,P248,FYStart))))</f>
        <v/>
      </c>
      <c r="S248" s="60" t="str">
        <f aca="false">IF($A248="","",IF(AND(N($G248)&gt;0,N248&gt;N($G248)),"OVER LIMIT",IF(AND(N248&gt;0,N(R248)&gt;N($H248)),"OVERDUE",IF(ROUND(N248,2)&lt;0,"PAY DUE",""))))</f>
        <v/>
      </c>
    </row>
    <row r="249" customFormat="false" ht="15" hidden="false" customHeight="false" outlineLevel="0" collapsed="false">
      <c r="A249" s="56"/>
      <c r="B249" s="56"/>
      <c r="C249" s="56"/>
      <c r="D249" s="56"/>
      <c r="E249" s="56"/>
      <c r="F249" s="56"/>
      <c r="G249" s="68"/>
      <c r="H249" s="69"/>
      <c r="I249" s="58"/>
      <c r="J249" s="61" t="str">
        <f aca="false">IF($A249="","",SUMIFS(Sales!$Q$5:INDEX(Sales!$Q$5:$Q$3004,TxRows),Sales!$C$5:INDEX(Sales!$C$5:$C$3004,TxRows),$A249)-SUMIFS(Sales!$X$5:INDEX(Sales!$X$5:$X$3004,TxRows),Sales!$C$5:INDEX(Sales!$C$5:$C$3004,TxRows),$A249))</f>
        <v/>
      </c>
      <c r="K249" s="61" t="str">
        <f aca="false">IF($A249="","",SUMIFS(CashBook!$G$5:INDEX(CashBook!$G$5:$G$3004,TxRows),CashBook!$D$5:INDEX(CashBook!$D$5:$D$3004,TxRows),$A249,CashBook!$C$5:INDEX(CashBook!$C$5:$C$3004,TxRows),"Receipt"))</f>
        <v/>
      </c>
      <c r="L249" s="61" t="str">
        <f aca="false">IF($A249="","",SUMIFS(Purchases!$P$5:INDEX(Purchases!$P$5:$P$3004,TxRows),Purchases!$C$5:INDEX(Purchases!$C$5:$C$3004,TxRows),$A249)-SUMIFS(Purchases!$S$5:INDEX(Purchases!$S$5:$S$3004,TxRows),Purchases!$C$5:INDEX(Purchases!$C$5:$C$3004,TxRows),$A249))</f>
        <v/>
      </c>
      <c r="M249" s="61" t="str">
        <f aca="false">IF($A249="","",SUMIFS(CashBook!$G$5:INDEX(CashBook!$G$5:$G$3004,TxRows),CashBook!$D$5:INDEX(CashBook!$D$5:$D$3004,TxRows),$A249,CashBook!$C$5:INDEX(CashBook!$C$5:$C$3004,TxRows),"Payment"))</f>
        <v/>
      </c>
      <c r="N249" s="61" t="str">
        <f aca="false">IF($A249="","",N($I249)+J249-K249-L249+M249)</f>
        <v/>
      </c>
      <c r="O249" s="60" t="str">
        <f aca="false">IF($A249="","",IF(ROUND(N249,2)&gt;0,"Receivable",IF(ROUND(N249,2)&lt;0,"Payable","Settled")))</f>
        <v/>
      </c>
      <c r="P249" s="66" t="str">
        <f aca="false">IF($A249="","",IFERROR(SUMPRODUCT(MAX((Sales!$C$5:INDEX(Sales!$C$5:$C$3004,TxRows)=$A249)*Sales!$A$5:INDEX(Sales!$A$5:$A$3004,TxRows))),0))</f>
        <v/>
      </c>
      <c r="Q249" s="66" t="str">
        <f aca="false">IF($A249="","",IFERROR(SUMPRODUCT(MAX((CashBook!$D$5:INDEX(CashBook!$D$5:$D$3004,TxRows)=$A249)*(CashBook!$C$5:INDEX(CashBook!$C$5:$C$3004,TxRows)="Receipt")*CashBook!$A$5:INDEX(CashBook!$A$5:$A$3004,TxRows))),0))</f>
        <v/>
      </c>
      <c r="R249" s="67" t="str">
        <f aca="false">IF($A249="","",IF(ROUND(N249,2)&lt;=0,"",AsOf-IF(N(Q249)&gt;0,Q249,IF(N(P249)&gt;0,P249,FYStart))))</f>
        <v/>
      </c>
      <c r="S249" s="60" t="str">
        <f aca="false">IF($A249="","",IF(AND(N($G249)&gt;0,N249&gt;N($G249)),"OVER LIMIT",IF(AND(N249&gt;0,N(R249)&gt;N($H249)),"OVERDUE",IF(ROUND(N249,2)&lt;0,"PAY DUE",""))))</f>
        <v/>
      </c>
    </row>
    <row r="250" customFormat="false" ht="15" hidden="false" customHeight="false" outlineLevel="0" collapsed="false">
      <c r="A250" s="56"/>
      <c r="B250" s="56"/>
      <c r="C250" s="56"/>
      <c r="D250" s="56"/>
      <c r="E250" s="56"/>
      <c r="F250" s="56"/>
      <c r="G250" s="68"/>
      <c r="H250" s="69"/>
      <c r="I250" s="58"/>
      <c r="J250" s="61" t="str">
        <f aca="false">IF($A250="","",SUMIFS(Sales!$Q$5:INDEX(Sales!$Q$5:$Q$3004,TxRows),Sales!$C$5:INDEX(Sales!$C$5:$C$3004,TxRows),$A250)-SUMIFS(Sales!$X$5:INDEX(Sales!$X$5:$X$3004,TxRows),Sales!$C$5:INDEX(Sales!$C$5:$C$3004,TxRows),$A250))</f>
        <v/>
      </c>
      <c r="K250" s="61" t="str">
        <f aca="false">IF($A250="","",SUMIFS(CashBook!$G$5:INDEX(CashBook!$G$5:$G$3004,TxRows),CashBook!$D$5:INDEX(CashBook!$D$5:$D$3004,TxRows),$A250,CashBook!$C$5:INDEX(CashBook!$C$5:$C$3004,TxRows),"Receipt"))</f>
        <v/>
      </c>
      <c r="L250" s="61" t="str">
        <f aca="false">IF($A250="","",SUMIFS(Purchases!$P$5:INDEX(Purchases!$P$5:$P$3004,TxRows),Purchases!$C$5:INDEX(Purchases!$C$5:$C$3004,TxRows),$A250)-SUMIFS(Purchases!$S$5:INDEX(Purchases!$S$5:$S$3004,TxRows),Purchases!$C$5:INDEX(Purchases!$C$5:$C$3004,TxRows),$A250))</f>
        <v/>
      </c>
      <c r="M250" s="61" t="str">
        <f aca="false">IF($A250="","",SUMIFS(CashBook!$G$5:INDEX(CashBook!$G$5:$G$3004,TxRows),CashBook!$D$5:INDEX(CashBook!$D$5:$D$3004,TxRows),$A250,CashBook!$C$5:INDEX(CashBook!$C$5:$C$3004,TxRows),"Payment"))</f>
        <v/>
      </c>
      <c r="N250" s="61" t="str">
        <f aca="false">IF($A250="","",N($I250)+J250-K250-L250+M250)</f>
        <v/>
      </c>
      <c r="O250" s="60" t="str">
        <f aca="false">IF($A250="","",IF(ROUND(N250,2)&gt;0,"Receivable",IF(ROUND(N250,2)&lt;0,"Payable","Settled")))</f>
        <v/>
      </c>
      <c r="P250" s="66" t="str">
        <f aca="false">IF($A250="","",IFERROR(SUMPRODUCT(MAX((Sales!$C$5:INDEX(Sales!$C$5:$C$3004,TxRows)=$A250)*Sales!$A$5:INDEX(Sales!$A$5:$A$3004,TxRows))),0))</f>
        <v/>
      </c>
      <c r="Q250" s="66" t="str">
        <f aca="false">IF($A250="","",IFERROR(SUMPRODUCT(MAX((CashBook!$D$5:INDEX(CashBook!$D$5:$D$3004,TxRows)=$A250)*(CashBook!$C$5:INDEX(CashBook!$C$5:$C$3004,TxRows)="Receipt")*CashBook!$A$5:INDEX(CashBook!$A$5:$A$3004,TxRows))),0))</f>
        <v/>
      </c>
      <c r="R250" s="67" t="str">
        <f aca="false">IF($A250="","",IF(ROUND(N250,2)&lt;=0,"",AsOf-IF(N(Q250)&gt;0,Q250,IF(N(P250)&gt;0,P250,FYStart))))</f>
        <v/>
      </c>
      <c r="S250" s="60" t="str">
        <f aca="false">IF($A250="","",IF(AND(N($G250)&gt;0,N250&gt;N($G250)),"OVER LIMIT",IF(AND(N250&gt;0,N(R250)&gt;N($H250)),"OVERDUE",IF(ROUND(N250,2)&lt;0,"PAY DUE",""))))</f>
        <v/>
      </c>
    </row>
    <row r="251" customFormat="false" ht="15" hidden="false" customHeight="false" outlineLevel="0" collapsed="false">
      <c r="A251" s="56"/>
      <c r="B251" s="56"/>
      <c r="C251" s="56"/>
      <c r="D251" s="56"/>
      <c r="E251" s="56"/>
      <c r="F251" s="56"/>
      <c r="G251" s="68"/>
      <c r="H251" s="69"/>
      <c r="I251" s="58"/>
      <c r="J251" s="61" t="str">
        <f aca="false">IF($A251="","",SUMIFS(Sales!$Q$5:INDEX(Sales!$Q$5:$Q$3004,TxRows),Sales!$C$5:INDEX(Sales!$C$5:$C$3004,TxRows),$A251)-SUMIFS(Sales!$X$5:INDEX(Sales!$X$5:$X$3004,TxRows),Sales!$C$5:INDEX(Sales!$C$5:$C$3004,TxRows),$A251))</f>
        <v/>
      </c>
      <c r="K251" s="61" t="str">
        <f aca="false">IF($A251="","",SUMIFS(CashBook!$G$5:INDEX(CashBook!$G$5:$G$3004,TxRows),CashBook!$D$5:INDEX(CashBook!$D$5:$D$3004,TxRows),$A251,CashBook!$C$5:INDEX(CashBook!$C$5:$C$3004,TxRows),"Receipt"))</f>
        <v/>
      </c>
      <c r="L251" s="61" t="str">
        <f aca="false">IF($A251="","",SUMIFS(Purchases!$P$5:INDEX(Purchases!$P$5:$P$3004,TxRows),Purchases!$C$5:INDEX(Purchases!$C$5:$C$3004,TxRows),$A251)-SUMIFS(Purchases!$S$5:INDEX(Purchases!$S$5:$S$3004,TxRows),Purchases!$C$5:INDEX(Purchases!$C$5:$C$3004,TxRows),$A251))</f>
        <v/>
      </c>
      <c r="M251" s="61" t="str">
        <f aca="false">IF($A251="","",SUMIFS(CashBook!$G$5:INDEX(CashBook!$G$5:$G$3004,TxRows),CashBook!$D$5:INDEX(CashBook!$D$5:$D$3004,TxRows),$A251,CashBook!$C$5:INDEX(CashBook!$C$5:$C$3004,TxRows),"Payment"))</f>
        <v/>
      </c>
      <c r="N251" s="61" t="str">
        <f aca="false">IF($A251="","",N($I251)+J251-K251-L251+M251)</f>
        <v/>
      </c>
      <c r="O251" s="60" t="str">
        <f aca="false">IF($A251="","",IF(ROUND(N251,2)&gt;0,"Receivable",IF(ROUND(N251,2)&lt;0,"Payable","Settled")))</f>
        <v/>
      </c>
      <c r="P251" s="66" t="str">
        <f aca="false">IF($A251="","",IFERROR(SUMPRODUCT(MAX((Sales!$C$5:INDEX(Sales!$C$5:$C$3004,TxRows)=$A251)*Sales!$A$5:INDEX(Sales!$A$5:$A$3004,TxRows))),0))</f>
        <v/>
      </c>
      <c r="Q251" s="66" t="str">
        <f aca="false">IF($A251="","",IFERROR(SUMPRODUCT(MAX((CashBook!$D$5:INDEX(CashBook!$D$5:$D$3004,TxRows)=$A251)*(CashBook!$C$5:INDEX(CashBook!$C$5:$C$3004,TxRows)="Receipt")*CashBook!$A$5:INDEX(CashBook!$A$5:$A$3004,TxRows))),0))</f>
        <v/>
      </c>
      <c r="R251" s="67" t="str">
        <f aca="false">IF($A251="","",IF(ROUND(N251,2)&lt;=0,"",AsOf-IF(N(Q251)&gt;0,Q251,IF(N(P251)&gt;0,P251,FYStart))))</f>
        <v/>
      </c>
      <c r="S251" s="60" t="str">
        <f aca="false">IF($A251="","",IF(AND(N($G251)&gt;0,N251&gt;N($G251)),"OVER LIMIT",IF(AND(N251&gt;0,N(R251)&gt;N($H251)),"OVERDUE",IF(ROUND(N251,2)&lt;0,"PAY DUE",""))))</f>
        <v/>
      </c>
    </row>
    <row r="252" customFormat="false" ht="15" hidden="false" customHeight="false" outlineLevel="0" collapsed="false">
      <c r="A252" s="56"/>
      <c r="B252" s="56"/>
      <c r="C252" s="56"/>
      <c r="D252" s="56"/>
      <c r="E252" s="56"/>
      <c r="F252" s="56"/>
      <c r="G252" s="68"/>
      <c r="H252" s="69"/>
      <c r="I252" s="58"/>
      <c r="J252" s="61" t="str">
        <f aca="false">IF($A252="","",SUMIFS(Sales!$Q$5:INDEX(Sales!$Q$5:$Q$3004,TxRows),Sales!$C$5:INDEX(Sales!$C$5:$C$3004,TxRows),$A252)-SUMIFS(Sales!$X$5:INDEX(Sales!$X$5:$X$3004,TxRows),Sales!$C$5:INDEX(Sales!$C$5:$C$3004,TxRows),$A252))</f>
        <v/>
      </c>
      <c r="K252" s="61" t="str">
        <f aca="false">IF($A252="","",SUMIFS(CashBook!$G$5:INDEX(CashBook!$G$5:$G$3004,TxRows),CashBook!$D$5:INDEX(CashBook!$D$5:$D$3004,TxRows),$A252,CashBook!$C$5:INDEX(CashBook!$C$5:$C$3004,TxRows),"Receipt"))</f>
        <v/>
      </c>
      <c r="L252" s="61" t="str">
        <f aca="false">IF($A252="","",SUMIFS(Purchases!$P$5:INDEX(Purchases!$P$5:$P$3004,TxRows),Purchases!$C$5:INDEX(Purchases!$C$5:$C$3004,TxRows),$A252)-SUMIFS(Purchases!$S$5:INDEX(Purchases!$S$5:$S$3004,TxRows),Purchases!$C$5:INDEX(Purchases!$C$5:$C$3004,TxRows),$A252))</f>
        <v/>
      </c>
      <c r="M252" s="61" t="str">
        <f aca="false">IF($A252="","",SUMIFS(CashBook!$G$5:INDEX(CashBook!$G$5:$G$3004,TxRows),CashBook!$D$5:INDEX(CashBook!$D$5:$D$3004,TxRows),$A252,CashBook!$C$5:INDEX(CashBook!$C$5:$C$3004,TxRows),"Payment"))</f>
        <v/>
      </c>
      <c r="N252" s="61" t="str">
        <f aca="false">IF($A252="","",N($I252)+J252-K252-L252+M252)</f>
        <v/>
      </c>
      <c r="O252" s="60" t="str">
        <f aca="false">IF($A252="","",IF(ROUND(N252,2)&gt;0,"Receivable",IF(ROUND(N252,2)&lt;0,"Payable","Settled")))</f>
        <v/>
      </c>
      <c r="P252" s="66" t="str">
        <f aca="false">IF($A252="","",IFERROR(SUMPRODUCT(MAX((Sales!$C$5:INDEX(Sales!$C$5:$C$3004,TxRows)=$A252)*Sales!$A$5:INDEX(Sales!$A$5:$A$3004,TxRows))),0))</f>
        <v/>
      </c>
      <c r="Q252" s="66" t="str">
        <f aca="false">IF($A252="","",IFERROR(SUMPRODUCT(MAX((CashBook!$D$5:INDEX(CashBook!$D$5:$D$3004,TxRows)=$A252)*(CashBook!$C$5:INDEX(CashBook!$C$5:$C$3004,TxRows)="Receipt")*CashBook!$A$5:INDEX(CashBook!$A$5:$A$3004,TxRows))),0))</f>
        <v/>
      </c>
      <c r="R252" s="67" t="str">
        <f aca="false">IF($A252="","",IF(ROUND(N252,2)&lt;=0,"",AsOf-IF(N(Q252)&gt;0,Q252,IF(N(P252)&gt;0,P252,FYStart))))</f>
        <v/>
      </c>
      <c r="S252" s="60" t="str">
        <f aca="false">IF($A252="","",IF(AND(N($G252)&gt;0,N252&gt;N($G252)),"OVER LIMIT",IF(AND(N252&gt;0,N(R252)&gt;N($H252)),"OVERDUE",IF(ROUND(N252,2)&lt;0,"PAY DUE",""))))</f>
        <v/>
      </c>
    </row>
    <row r="253" customFormat="false" ht="15" hidden="false" customHeight="false" outlineLevel="0" collapsed="false">
      <c r="A253" s="56"/>
      <c r="B253" s="56"/>
      <c r="C253" s="56"/>
      <c r="D253" s="56"/>
      <c r="E253" s="56"/>
      <c r="F253" s="56"/>
      <c r="G253" s="68"/>
      <c r="H253" s="69"/>
      <c r="I253" s="58"/>
      <c r="J253" s="61" t="str">
        <f aca="false">IF($A253="","",SUMIFS(Sales!$Q$5:INDEX(Sales!$Q$5:$Q$3004,TxRows),Sales!$C$5:INDEX(Sales!$C$5:$C$3004,TxRows),$A253)-SUMIFS(Sales!$X$5:INDEX(Sales!$X$5:$X$3004,TxRows),Sales!$C$5:INDEX(Sales!$C$5:$C$3004,TxRows),$A253))</f>
        <v/>
      </c>
      <c r="K253" s="61" t="str">
        <f aca="false">IF($A253="","",SUMIFS(CashBook!$G$5:INDEX(CashBook!$G$5:$G$3004,TxRows),CashBook!$D$5:INDEX(CashBook!$D$5:$D$3004,TxRows),$A253,CashBook!$C$5:INDEX(CashBook!$C$5:$C$3004,TxRows),"Receipt"))</f>
        <v/>
      </c>
      <c r="L253" s="61" t="str">
        <f aca="false">IF($A253="","",SUMIFS(Purchases!$P$5:INDEX(Purchases!$P$5:$P$3004,TxRows),Purchases!$C$5:INDEX(Purchases!$C$5:$C$3004,TxRows),$A253)-SUMIFS(Purchases!$S$5:INDEX(Purchases!$S$5:$S$3004,TxRows),Purchases!$C$5:INDEX(Purchases!$C$5:$C$3004,TxRows),$A253))</f>
        <v/>
      </c>
      <c r="M253" s="61" t="str">
        <f aca="false">IF($A253="","",SUMIFS(CashBook!$G$5:INDEX(CashBook!$G$5:$G$3004,TxRows),CashBook!$D$5:INDEX(CashBook!$D$5:$D$3004,TxRows),$A253,CashBook!$C$5:INDEX(CashBook!$C$5:$C$3004,TxRows),"Payment"))</f>
        <v/>
      </c>
      <c r="N253" s="61" t="str">
        <f aca="false">IF($A253="","",N($I253)+J253-K253-L253+M253)</f>
        <v/>
      </c>
      <c r="O253" s="60" t="str">
        <f aca="false">IF($A253="","",IF(ROUND(N253,2)&gt;0,"Receivable",IF(ROUND(N253,2)&lt;0,"Payable","Settled")))</f>
        <v/>
      </c>
      <c r="P253" s="66" t="str">
        <f aca="false">IF($A253="","",IFERROR(SUMPRODUCT(MAX((Sales!$C$5:INDEX(Sales!$C$5:$C$3004,TxRows)=$A253)*Sales!$A$5:INDEX(Sales!$A$5:$A$3004,TxRows))),0))</f>
        <v/>
      </c>
      <c r="Q253" s="66" t="str">
        <f aca="false">IF($A253="","",IFERROR(SUMPRODUCT(MAX((CashBook!$D$5:INDEX(CashBook!$D$5:$D$3004,TxRows)=$A253)*(CashBook!$C$5:INDEX(CashBook!$C$5:$C$3004,TxRows)="Receipt")*CashBook!$A$5:INDEX(CashBook!$A$5:$A$3004,TxRows))),0))</f>
        <v/>
      </c>
      <c r="R253" s="67" t="str">
        <f aca="false">IF($A253="","",IF(ROUND(N253,2)&lt;=0,"",AsOf-IF(N(Q253)&gt;0,Q253,IF(N(P253)&gt;0,P253,FYStart))))</f>
        <v/>
      </c>
      <c r="S253" s="60" t="str">
        <f aca="false">IF($A253="","",IF(AND(N($G253)&gt;0,N253&gt;N($G253)),"OVER LIMIT",IF(AND(N253&gt;0,N(R253)&gt;N($H253)),"OVERDUE",IF(ROUND(N253,2)&lt;0,"PAY DUE",""))))</f>
        <v/>
      </c>
    </row>
    <row r="254" customFormat="false" ht="15" hidden="false" customHeight="false" outlineLevel="0" collapsed="false">
      <c r="A254" s="56"/>
      <c r="B254" s="56"/>
      <c r="C254" s="56"/>
      <c r="D254" s="56"/>
      <c r="E254" s="56"/>
      <c r="F254" s="56"/>
      <c r="G254" s="68"/>
      <c r="H254" s="69"/>
      <c r="I254" s="58"/>
      <c r="J254" s="61" t="str">
        <f aca="false">IF($A254="","",SUMIFS(Sales!$Q$5:INDEX(Sales!$Q$5:$Q$3004,TxRows),Sales!$C$5:INDEX(Sales!$C$5:$C$3004,TxRows),$A254)-SUMIFS(Sales!$X$5:INDEX(Sales!$X$5:$X$3004,TxRows),Sales!$C$5:INDEX(Sales!$C$5:$C$3004,TxRows),$A254))</f>
        <v/>
      </c>
      <c r="K254" s="61" t="str">
        <f aca="false">IF($A254="","",SUMIFS(CashBook!$G$5:INDEX(CashBook!$G$5:$G$3004,TxRows),CashBook!$D$5:INDEX(CashBook!$D$5:$D$3004,TxRows),$A254,CashBook!$C$5:INDEX(CashBook!$C$5:$C$3004,TxRows),"Receipt"))</f>
        <v/>
      </c>
      <c r="L254" s="61" t="str">
        <f aca="false">IF($A254="","",SUMIFS(Purchases!$P$5:INDEX(Purchases!$P$5:$P$3004,TxRows),Purchases!$C$5:INDEX(Purchases!$C$5:$C$3004,TxRows),$A254)-SUMIFS(Purchases!$S$5:INDEX(Purchases!$S$5:$S$3004,TxRows),Purchases!$C$5:INDEX(Purchases!$C$5:$C$3004,TxRows),$A254))</f>
        <v/>
      </c>
      <c r="M254" s="61" t="str">
        <f aca="false">IF($A254="","",SUMIFS(CashBook!$G$5:INDEX(CashBook!$G$5:$G$3004,TxRows),CashBook!$D$5:INDEX(CashBook!$D$5:$D$3004,TxRows),$A254,CashBook!$C$5:INDEX(CashBook!$C$5:$C$3004,TxRows),"Payment"))</f>
        <v/>
      </c>
      <c r="N254" s="61" t="str">
        <f aca="false">IF($A254="","",N($I254)+J254-K254-L254+M254)</f>
        <v/>
      </c>
      <c r="O254" s="60" t="str">
        <f aca="false">IF($A254="","",IF(ROUND(N254,2)&gt;0,"Receivable",IF(ROUND(N254,2)&lt;0,"Payable","Settled")))</f>
        <v/>
      </c>
      <c r="P254" s="66" t="str">
        <f aca="false">IF($A254="","",IFERROR(SUMPRODUCT(MAX((Sales!$C$5:INDEX(Sales!$C$5:$C$3004,TxRows)=$A254)*Sales!$A$5:INDEX(Sales!$A$5:$A$3004,TxRows))),0))</f>
        <v/>
      </c>
      <c r="Q254" s="66" t="str">
        <f aca="false">IF($A254="","",IFERROR(SUMPRODUCT(MAX((CashBook!$D$5:INDEX(CashBook!$D$5:$D$3004,TxRows)=$A254)*(CashBook!$C$5:INDEX(CashBook!$C$5:$C$3004,TxRows)="Receipt")*CashBook!$A$5:INDEX(CashBook!$A$5:$A$3004,TxRows))),0))</f>
        <v/>
      </c>
      <c r="R254" s="67" t="str">
        <f aca="false">IF($A254="","",IF(ROUND(N254,2)&lt;=0,"",AsOf-IF(N(Q254)&gt;0,Q254,IF(N(P254)&gt;0,P254,FYStart))))</f>
        <v/>
      </c>
      <c r="S254" s="60" t="str">
        <f aca="false">IF($A254="","",IF(AND(N($G254)&gt;0,N254&gt;N($G254)),"OVER LIMIT",IF(AND(N254&gt;0,N(R254)&gt;N($H254)),"OVERDUE",IF(ROUND(N254,2)&lt;0,"PAY DUE",""))))</f>
        <v/>
      </c>
    </row>
    <row r="255" customFormat="false" ht="15" hidden="false" customHeight="false" outlineLevel="0" collapsed="false">
      <c r="A255" s="56"/>
      <c r="B255" s="56"/>
      <c r="C255" s="56"/>
      <c r="D255" s="56"/>
      <c r="E255" s="56"/>
      <c r="F255" s="56"/>
      <c r="G255" s="68"/>
      <c r="H255" s="69"/>
      <c r="I255" s="58"/>
      <c r="J255" s="61" t="str">
        <f aca="false">IF($A255="","",SUMIFS(Sales!$Q$5:INDEX(Sales!$Q$5:$Q$3004,TxRows),Sales!$C$5:INDEX(Sales!$C$5:$C$3004,TxRows),$A255)-SUMIFS(Sales!$X$5:INDEX(Sales!$X$5:$X$3004,TxRows),Sales!$C$5:INDEX(Sales!$C$5:$C$3004,TxRows),$A255))</f>
        <v/>
      </c>
      <c r="K255" s="61" t="str">
        <f aca="false">IF($A255="","",SUMIFS(CashBook!$G$5:INDEX(CashBook!$G$5:$G$3004,TxRows),CashBook!$D$5:INDEX(CashBook!$D$5:$D$3004,TxRows),$A255,CashBook!$C$5:INDEX(CashBook!$C$5:$C$3004,TxRows),"Receipt"))</f>
        <v/>
      </c>
      <c r="L255" s="61" t="str">
        <f aca="false">IF($A255="","",SUMIFS(Purchases!$P$5:INDEX(Purchases!$P$5:$P$3004,TxRows),Purchases!$C$5:INDEX(Purchases!$C$5:$C$3004,TxRows),$A255)-SUMIFS(Purchases!$S$5:INDEX(Purchases!$S$5:$S$3004,TxRows),Purchases!$C$5:INDEX(Purchases!$C$5:$C$3004,TxRows),$A255))</f>
        <v/>
      </c>
      <c r="M255" s="61" t="str">
        <f aca="false">IF($A255="","",SUMIFS(CashBook!$G$5:INDEX(CashBook!$G$5:$G$3004,TxRows),CashBook!$D$5:INDEX(CashBook!$D$5:$D$3004,TxRows),$A255,CashBook!$C$5:INDEX(CashBook!$C$5:$C$3004,TxRows),"Payment"))</f>
        <v/>
      </c>
      <c r="N255" s="61" t="str">
        <f aca="false">IF($A255="","",N($I255)+J255-K255-L255+M255)</f>
        <v/>
      </c>
      <c r="O255" s="60" t="str">
        <f aca="false">IF($A255="","",IF(ROUND(N255,2)&gt;0,"Receivable",IF(ROUND(N255,2)&lt;0,"Payable","Settled")))</f>
        <v/>
      </c>
      <c r="P255" s="66" t="str">
        <f aca="false">IF($A255="","",IFERROR(SUMPRODUCT(MAX((Sales!$C$5:INDEX(Sales!$C$5:$C$3004,TxRows)=$A255)*Sales!$A$5:INDEX(Sales!$A$5:$A$3004,TxRows))),0))</f>
        <v/>
      </c>
      <c r="Q255" s="66" t="str">
        <f aca="false">IF($A255="","",IFERROR(SUMPRODUCT(MAX((CashBook!$D$5:INDEX(CashBook!$D$5:$D$3004,TxRows)=$A255)*(CashBook!$C$5:INDEX(CashBook!$C$5:$C$3004,TxRows)="Receipt")*CashBook!$A$5:INDEX(CashBook!$A$5:$A$3004,TxRows))),0))</f>
        <v/>
      </c>
      <c r="R255" s="67" t="str">
        <f aca="false">IF($A255="","",IF(ROUND(N255,2)&lt;=0,"",AsOf-IF(N(Q255)&gt;0,Q255,IF(N(P255)&gt;0,P255,FYStart))))</f>
        <v/>
      </c>
      <c r="S255" s="60" t="str">
        <f aca="false">IF($A255="","",IF(AND(N($G255)&gt;0,N255&gt;N($G255)),"OVER LIMIT",IF(AND(N255&gt;0,N(R255)&gt;N($H255)),"OVERDUE",IF(ROUND(N255,2)&lt;0,"PAY DUE",""))))</f>
        <v/>
      </c>
    </row>
    <row r="256" customFormat="false" ht="15" hidden="false" customHeight="false" outlineLevel="0" collapsed="false">
      <c r="A256" s="56"/>
      <c r="B256" s="56"/>
      <c r="C256" s="56"/>
      <c r="D256" s="56"/>
      <c r="E256" s="56"/>
      <c r="F256" s="56"/>
      <c r="G256" s="68"/>
      <c r="H256" s="69"/>
      <c r="I256" s="58"/>
      <c r="J256" s="61" t="str">
        <f aca="false">IF($A256="","",SUMIFS(Sales!$Q$5:INDEX(Sales!$Q$5:$Q$3004,TxRows),Sales!$C$5:INDEX(Sales!$C$5:$C$3004,TxRows),$A256)-SUMIFS(Sales!$X$5:INDEX(Sales!$X$5:$X$3004,TxRows),Sales!$C$5:INDEX(Sales!$C$5:$C$3004,TxRows),$A256))</f>
        <v/>
      </c>
      <c r="K256" s="61" t="str">
        <f aca="false">IF($A256="","",SUMIFS(CashBook!$G$5:INDEX(CashBook!$G$5:$G$3004,TxRows),CashBook!$D$5:INDEX(CashBook!$D$5:$D$3004,TxRows),$A256,CashBook!$C$5:INDEX(CashBook!$C$5:$C$3004,TxRows),"Receipt"))</f>
        <v/>
      </c>
      <c r="L256" s="61" t="str">
        <f aca="false">IF($A256="","",SUMIFS(Purchases!$P$5:INDEX(Purchases!$P$5:$P$3004,TxRows),Purchases!$C$5:INDEX(Purchases!$C$5:$C$3004,TxRows),$A256)-SUMIFS(Purchases!$S$5:INDEX(Purchases!$S$5:$S$3004,TxRows),Purchases!$C$5:INDEX(Purchases!$C$5:$C$3004,TxRows),$A256))</f>
        <v/>
      </c>
      <c r="M256" s="61" t="str">
        <f aca="false">IF($A256="","",SUMIFS(CashBook!$G$5:INDEX(CashBook!$G$5:$G$3004,TxRows),CashBook!$D$5:INDEX(CashBook!$D$5:$D$3004,TxRows),$A256,CashBook!$C$5:INDEX(CashBook!$C$5:$C$3004,TxRows),"Payment"))</f>
        <v/>
      </c>
      <c r="N256" s="61" t="str">
        <f aca="false">IF($A256="","",N($I256)+J256-K256-L256+M256)</f>
        <v/>
      </c>
      <c r="O256" s="60" t="str">
        <f aca="false">IF($A256="","",IF(ROUND(N256,2)&gt;0,"Receivable",IF(ROUND(N256,2)&lt;0,"Payable","Settled")))</f>
        <v/>
      </c>
      <c r="P256" s="66" t="str">
        <f aca="false">IF($A256="","",IFERROR(SUMPRODUCT(MAX((Sales!$C$5:INDEX(Sales!$C$5:$C$3004,TxRows)=$A256)*Sales!$A$5:INDEX(Sales!$A$5:$A$3004,TxRows))),0))</f>
        <v/>
      </c>
      <c r="Q256" s="66" t="str">
        <f aca="false">IF($A256="","",IFERROR(SUMPRODUCT(MAX((CashBook!$D$5:INDEX(CashBook!$D$5:$D$3004,TxRows)=$A256)*(CashBook!$C$5:INDEX(CashBook!$C$5:$C$3004,TxRows)="Receipt")*CashBook!$A$5:INDEX(CashBook!$A$5:$A$3004,TxRows))),0))</f>
        <v/>
      </c>
      <c r="R256" s="67" t="str">
        <f aca="false">IF($A256="","",IF(ROUND(N256,2)&lt;=0,"",AsOf-IF(N(Q256)&gt;0,Q256,IF(N(P256)&gt;0,P256,FYStart))))</f>
        <v/>
      </c>
      <c r="S256" s="60" t="str">
        <f aca="false">IF($A256="","",IF(AND(N($G256)&gt;0,N256&gt;N($G256)),"OVER LIMIT",IF(AND(N256&gt;0,N(R256)&gt;N($H256)),"OVERDUE",IF(ROUND(N256,2)&lt;0,"PAY DUE",""))))</f>
        <v/>
      </c>
    </row>
    <row r="257" customFormat="false" ht="15" hidden="false" customHeight="false" outlineLevel="0" collapsed="false">
      <c r="A257" s="56"/>
      <c r="B257" s="56"/>
      <c r="C257" s="56"/>
      <c r="D257" s="56"/>
      <c r="E257" s="56"/>
      <c r="F257" s="56"/>
      <c r="G257" s="68"/>
      <c r="H257" s="69"/>
      <c r="I257" s="58"/>
      <c r="J257" s="61" t="str">
        <f aca="false">IF($A257="","",SUMIFS(Sales!$Q$5:INDEX(Sales!$Q$5:$Q$3004,TxRows),Sales!$C$5:INDEX(Sales!$C$5:$C$3004,TxRows),$A257)-SUMIFS(Sales!$X$5:INDEX(Sales!$X$5:$X$3004,TxRows),Sales!$C$5:INDEX(Sales!$C$5:$C$3004,TxRows),$A257))</f>
        <v/>
      </c>
      <c r="K257" s="61" t="str">
        <f aca="false">IF($A257="","",SUMIFS(CashBook!$G$5:INDEX(CashBook!$G$5:$G$3004,TxRows),CashBook!$D$5:INDEX(CashBook!$D$5:$D$3004,TxRows),$A257,CashBook!$C$5:INDEX(CashBook!$C$5:$C$3004,TxRows),"Receipt"))</f>
        <v/>
      </c>
      <c r="L257" s="61" t="str">
        <f aca="false">IF($A257="","",SUMIFS(Purchases!$P$5:INDEX(Purchases!$P$5:$P$3004,TxRows),Purchases!$C$5:INDEX(Purchases!$C$5:$C$3004,TxRows),$A257)-SUMIFS(Purchases!$S$5:INDEX(Purchases!$S$5:$S$3004,TxRows),Purchases!$C$5:INDEX(Purchases!$C$5:$C$3004,TxRows),$A257))</f>
        <v/>
      </c>
      <c r="M257" s="61" t="str">
        <f aca="false">IF($A257="","",SUMIFS(CashBook!$G$5:INDEX(CashBook!$G$5:$G$3004,TxRows),CashBook!$D$5:INDEX(CashBook!$D$5:$D$3004,TxRows),$A257,CashBook!$C$5:INDEX(CashBook!$C$5:$C$3004,TxRows),"Payment"))</f>
        <v/>
      </c>
      <c r="N257" s="61" t="str">
        <f aca="false">IF($A257="","",N($I257)+J257-K257-L257+M257)</f>
        <v/>
      </c>
      <c r="O257" s="60" t="str">
        <f aca="false">IF($A257="","",IF(ROUND(N257,2)&gt;0,"Receivable",IF(ROUND(N257,2)&lt;0,"Payable","Settled")))</f>
        <v/>
      </c>
      <c r="P257" s="66" t="str">
        <f aca="false">IF($A257="","",IFERROR(SUMPRODUCT(MAX((Sales!$C$5:INDEX(Sales!$C$5:$C$3004,TxRows)=$A257)*Sales!$A$5:INDEX(Sales!$A$5:$A$3004,TxRows))),0))</f>
        <v/>
      </c>
      <c r="Q257" s="66" t="str">
        <f aca="false">IF($A257="","",IFERROR(SUMPRODUCT(MAX((CashBook!$D$5:INDEX(CashBook!$D$5:$D$3004,TxRows)=$A257)*(CashBook!$C$5:INDEX(CashBook!$C$5:$C$3004,TxRows)="Receipt")*CashBook!$A$5:INDEX(CashBook!$A$5:$A$3004,TxRows))),0))</f>
        <v/>
      </c>
      <c r="R257" s="67" t="str">
        <f aca="false">IF($A257="","",IF(ROUND(N257,2)&lt;=0,"",AsOf-IF(N(Q257)&gt;0,Q257,IF(N(P257)&gt;0,P257,FYStart))))</f>
        <v/>
      </c>
      <c r="S257" s="60" t="str">
        <f aca="false">IF($A257="","",IF(AND(N($G257)&gt;0,N257&gt;N($G257)),"OVER LIMIT",IF(AND(N257&gt;0,N(R257)&gt;N($H257)),"OVERDUE",IF(ROUND(N257,2)&lt;0,"PAY DUE",""))))</f>
        <v/>
      </c>
    </row>
    <row r="258" customFormat="false" ht="15" hidden="false" customHeight="false" outlineLevel="0" collapsed="false">
      <c r="A258" s="56"/>
      <c r="B258" s="56"/>
      <c r="C258" s="56"/>
      <c r="D258" s="56"/>
      <c r="E258" s="56"/>
      <c r="F258" s="56"/>
      <c r="G258" s="68"/>
      <c r="H258" s="69"/>
      <c r="I258" s="58"/>
      <c r="J258" s="61" t="str">
        <f aca="false">IF($A258="","",SUMIFS(Sales!$Q$5:INDEX(Sales!$Q$5:$Q$3004,TxRows),Sales!$C$5:INDEX(Sales!$C$5:$C$3004,TxRows),$A258)-SUMIFS(Sales!$X$5:INDEX(Sales!$X$5:$X$3004,TxRows),Sales!$C$5:INDEX(Sales!$C$5:$C$3004,TxRows),$A258))</f>
        <v/>
      </c>
      <c r="K258" s="61" t="str">
        <f aca="false">IF($A258="","",SUMIFS(CashBook!$G$5:INDEX(CashBook!$G$5:$G$3004,TxRows),CashBook!$D$5:INDEX(CashBook!$D$5:$D$3004,TxRows),$A258,CashBook!$C$5:INDEX(CashBook!$C$5:$C$3004,TxRows),"Receipt"))</f>
        <v/>
      </c>
      <c r="L258" s="61" t="str">
        <f aca="false">IF($A258="","",SUMIFS(Purchases!$P$5:INDEX(Purchases!$P$5:$P$3004,TxRows),Purchases!$C$5:INDEX(Purchases!$C$5:$C$3004,TxRows),$A258)-SUMIFS(Purchases!$S$5:INDEX(Purchases!$S$5:$S$3004,TxRows),Purchases!$C$5:INDEX(Purchases!$C$5:$C$3004,TxRows),$A258))</f>
        <v/>
      </c>
      <c r="M258" s="61" t="str">
        <f aca="false">IF($A258="","",SUMIFS(CashBook!$G$5:INDEX(CashBook!$G$5:$G$3004,TxRows),CashBook!$D$5:INDEX(CashBook!$D$5:$D$3004,TxRows),$A258,CashBook!$C$5:INDEX(CashBook!$C$5:$C$3004,TxRows),"Payment"))</f>
        <v/>
      </c>
      <c r="N258" s="61" t="str">
        <f aca="false">IF($A258="","",N($I258)+J258-K258-L258+M258)</f>
        <v/>
      </c>
      <c r="O258" s="60" t="str">
        <f aca="false">IF($A258="","",IF(ROUND(N258,2)&gt;0,"Receivable",IF(ROUND(N258,2)&lt;0,"Payable","Settled")))</f>
        <v/>
      </c>
      <c r="P258" s="66" t="str">
        <f aca="false">IF($A258="","",IFERROR(SUMPRODUCT(MAX((Sales!$C$5:INDEX(Sales!$C$5:$C$3004,TxRows)=$A258)*Sales!$A$5:INDEX(Sales!$A$5:$A$3004,TxRows))),0))</f>
        <v/>
      </c>
      <c r="Q258" s="66" t="str">
        <f aca="false">IF($A258="","",IFERROR(SUMPRODUCT(MAX((CashBook!$D$5:INDEX(CashBook!$D$5:$D$3004,TxRows)=$A258)*(CashBook!$C$5:INDEX(CashBook!$C$5:$C$3004,TxRows)="Receipt")*CashBook!$A$5:INDEX(CashBook!$A$5:$A$3004,TxRows))),0))</f>
        <v/>
      </c>
      <c r="R258" s="67" t="str">
        <f aca="false">IF($A258="","",IF(ROUND(N258,2)&lt;=0,"",AsOf-IF(N(Q258)&gt;0,Q258,IF(N(P258)&gt;0,P258,FYStart))))</f>
        <v/>
      </c>
      <c r="S258" s="60" t="str">
        <f aca="false">IF($A258="","",IF(AND(N($G258)&gt;0,N258&gt;N($G258)),"OVER LIMIT",IF(AND(N258&gt;0,N(R258)&gt;N($H258)),"OVERDUE",IF(ROUND(N258,2)&lt;0,"PAY DUE",""))))</f>
        <v/>
      </c>
    </row>
    <row r="259" customFormat="false" ht="15" hidden="false" customHeight="false" outlineLevel="0" collapsed="false">
      <c r="A259" s="56"/>
      <c r="B259" s="56"/>
      <c r="C259" s="56"/>
      <c r="D259" s="56"/>
      <c r="E259" s="56"/>
      <c r="F259" s="56"/>
      <c r="G259" s="68"/>
      <c r="H259" s="69"/>
      <c r="I259" s="58"/>
      <c r="J259" s="61" t="str">
        <f aca="false">IF($A259="","",SUMIFS(Sales!$Q$5:INDEX(Sales!$Q$5:$Q$3004,TxRows),Sales!$C$5:INDEX(Sales!$C$5:$C$3004,TxRows),$A259)-SUMIFS(Sales!$X$5:INDEX(Sales!$X$5:$X$3004,TxRows),Sales!$C$5:INDEX(Sales!$C$5:$C$3004,TxRows),$A259))</f>
        <v/>
      </c>
      <c r="K259" s="61" t="str">
        <f aca="false">IF($A259="","",SUMIFS(CashBook!$G$5:INDEX(CashBook!$G$5:$G$3004,TxRows),CashBook!$D$5:INDEX(CashBook!$D$5:$D$3004,TxRows),$A259,CashBook!$C$5:INDEX(CashBook!$C$5:$C$3004,TxRows),"Receipt"))</f>
        <v/>
      </c>
      <c r="L259" s="61" t="str">
        <f aca="false">IF($A259="","",SUMIFS(Purchases!$P$5:INDEX(Purchases!$P$5:$P$3004,TxRows),Purchases!$C$5:INDEX(Purchases!$C$5:$C$3004,TxRows),$A259)-SUMIFS(Purchases!$S$5:INDEX(Purchases!$S$5:$S$3004,TxRows),Purchases!$C$5:INDEX(Purchases!$C$5:$C$3004,TxRows),$A259))</f>
        <v/>
      </c>
      <c r="M259" s="61" t="str">
        <f aca="false">IF($A259="","",SUMIFS(CashBook!$G$5:INDEX(CashBook!$G$5:$G$3004,TxRows),CashBook!$D$5:INDEX(CashBook!$D$5:$D$3004,TxRows),$A259,CashBook!$C$5:INDEX(CashBook!$C$5:$C$3004,TxRows),"Payment"))</f>
        <v/>
      </c>
      <c r="N259" s="61" t="str">
        <f aca="false">IF($A259="","",N($I259)+J259-K259-L259+M259)</f>
        <v/>
      </c>
      <c r="O259" s="60" t="str">
        <f aca="false">IF($A259="","",IF(ROUND(N259,2)&gt;0,"Receivable",IF(ROUND(N259,2)&lt;0,"Payable","Settled")))</f>
        <v/>
      </c>
      <c r="P259" s="66" t="str">
        <f aca="false">IF($A259="","",IFERROR(SUMPRODUCT(MAX((Sales!$C$5:INDEX(Sales!$C$5:$C$3004,TxRows)=$A259)*Sales!$A$5:INDEX(Sales!$A$5:$A$3004,TxRows))),0))</f>
        <v/>
      </c>
      <c r="Q259" s="66" t="str">
        <f aca="false">IF($A259="","",IFERROR(SUMPRODUCT(MAX((CashBook!$D$5:INDEX(CashBook!$D$5:$D$3004,TxRows)=$A259)*(CashBook!$C$5:INDEX(CashBook!$C$5:$C$3004,TxRows)="Receipt")*CashBook!$A$5:INDEX(CashBook!$A$5:$A$3004,TxRows))),0))</f>
        <v/>
      </c>
      <c r="R259" s="67" t="str">
        <f aca="false">IF($A259="","",IF(ROUND(N259,2)&lt;=0,"",AsOf-IF(N(Q259)&gt;0,Q259,IF(N(P259)&gt;0,P259,FYStart))))</f>
        <v/>
      </c>
      <c r="S259" s="60" t="str">
        <f aca="false">IF($A259="","",IF(AND(N($G259)&gt;0,N259&gt;N($G259)),"OVER LIMIT",IF(AND(N259&gt;0,N(R259)&gt;N($H259)),"OVERDUE",IF(ROUND(N259,2)&lt;0,"PAY DUE",""))))</f>
        <v/>
      </c>
    </row>
    <row r="260" customFormat="false" ht="15" hidden="false" customHeight="false" outlineLevel="0" collapsed="false">
      <c r="A260" s="56"/>
      <c r="B260" s="56"/>
      <c r="C260" s="56"/>
      <c r="D260" s="56"/>
      <c r="E260" s="56"/>
      <c r="F260" s="56"/>
      <c r="G260" s="68"/>
      <c r="H260" s="69"/>
      <c r="I260" s="58"/>
      <c r="J260" s="61" t="str">
        <f aca="false">IF($A260="","",SUMIFS(Sales!$Q$5:INDEX(Sales!$Q$5:$Q$3004,TxRows),Sales!$C$5:INDEX(Sales!$C$5:$C$3004,TxRows),$A260)-SUMIFS(Sales!$X$5:INDEX(Sales!$X$5:$X$3004,TxRows),Sales!$C$5:INDEX(Sales!$C$5:$C$3004,TxRows),$A260))</f>
        <v/>
      </c>
      <c r="K260" s="61" t="str">
        <f aca="false">IF($A260="","",SUMIFS(CashBook!$G$5:INDEX(CashBook!$G$5:$G$3004,TxRows),CashBook!$D$5:INDEX(CashBook!$D$5:$D$3004,TxRows),$A260,CashBook!$C$5:INDEX(CashBook!$C$5:$C$3004,TxRows),"Receipt"))</f>
        <v/>
      </c>
      <c r="L260" s="61" t="str">
        <f aca="false">IF($A260="","",SUMIFS(Purchases!$P$5:INDEX(Purchases!$P$5:$P$3004,TxRows),Purchases!$C$5:INDEX(Purchases!$C$5:$C$3004,TxRows),$A260)-SUMIFS(Purchases!$S$5:INDEX(Purchases!$S$5:$S$3004,TxRows),Purchases!$C$5:INDEX(Purchases!$C$5:$C$3004,TxRows),$A260))</f>
        <v/>
      </c>
      <c r="M260" s="61" t="str">
        <f aca="false">IF($A260="","",SUMIFS(CashBook!$G$5:INDEX(CashBook!$G$5:$G$3004,TxRows),CashBook!$D$5:INDEX(CashBook!$D$5:$D$3004,TxRows),$A260,CashBook!$C$5:INDEX(CashBook!$C$5:$C$3004,TxRows),"Payment"))</f>
        <v/>
      </c>
      <c r="N260" s="61" t="str">
        <f aca="false">IF($A260="","",N($I260)+J260-K260-L260+M260)</f>
        <v/>
      </c>
      <c r="O260" s="60" t="str">
        <f aca="false">IF($A260="","",IF(ROUND(N260,2)&gt;0,"Receivable",IF(ROUND(N260,2)&lt;0,"Payable","Settled")))</f>
        <v/>
      </c>
      <c r="P260" s="66" t="str">
        <f aca="false">IF($A260="","",IFERROR(SUMPRODUCT(MAX((Sales!$C$5:INDEX(Sales!$C$5:$C$3004,TxRows)=$A260)*Sales!$A$5:INDEX(Sales!$A$5:$A$3004,TxRows))),0))</f>
        <v/>
      </c>
      <c r="Q260" s="66" t="str">
        <f aca="false">IF($A260="","",IFERROR(SUMPRODUCT(MAX((CashBook!$D$5:INDEX(CashBook!$D$5:$D$3004,TxRows)=$A260)*(CashBook!$C$5:INDEX(CashBook!$C$5:$C$3004,TxRows)="Receipt")*CashBook!$A$5:INDEX(CashBook!$A$5:$A$3004,TxRows))),0))</f>
        <v/>
      </c>
      <c r="R260" s="67" t="str">
        <f aca="false">IF($A260="","",IF(ROUND(N260,2)&lt;=0,"",AsOf-IF(N(Q260)&gt;0,Q260,IF(N(P260)&gt;0,P260,FYStart))))</f>
        <v/>
      </c>
      <c r="S260" s="60" t="str">
        <f aca="false">IF($A260="","",IF(AND(N($G260)&gt;0,N260&gt;N($G260)),"OVER LIMIT",IF(AND(N260&gt;0,N(R260)&gt;N($H260)),"OVERDUE",IF(ROUND(N260,2)&lt;0,"PAY DUE",""))))</f>
        <v/>
      </c>
    </row>
    <row r="261" customFormat="false" ht="15" hidden="false" customHeight="false" outlineLevel="0" collapsed="false">
      <c r="A261" s="56"/>
      <c r="B261" s="56"/>
      <c r="C261" s="56"/>
      <c r="D261" s="56"/>
      <c r="E261" s="56"/>
      <c r="F261" s="56"/>
      <c r="G261" s="68"/>
      <c r="H261" s="69"/>
      <c r="I261" s="58"/>
      <c r="J261" s="61" t="str">
        <f aca="false">IF($A261="","",SUMIFS(Sales!$Q$5:INDEX(Sales!$Q$5:$Q$3004,TxRows),Sales!$C$5:INDEX(Sales!$C$5:$C$3004,TxRows),$A261)-SUMIFS(Sales!$X$5:INDEX(Sales!$X$5:$X$3004,TxRows),Sales!$C$5:INDEX(Sales!$C$5:$C$3004,TxRows),$A261))</f>
        <v/>
      </c>
      <c r="K261" s="61" t="str">
        <f aca="false">IF($A261="","",SUMIFS(CashBook!$G$5:INDEX(CashBook!$G$5:$G$3004,TxRows),CashBook!$D$5:INDEX(CashBook!$D$5:$D$3004,TxRows),$A261,CashBook!$C$5:INDEX(CashBook!$C$5:$C$3004,TxRows),"Receipt"))</f>
        <v/>
      </c>
      <c r="L261" s="61" t="str">
        <f aca="false">IF($A261="","",SUMIFS(Purchases!$P$5:INDEX(Purchases!$P$5:$P$3004,TxRows),Purchases!$C$5:INDEX(Purchases!$C$5:$C$3004,TxRows),$A261)-SUMIFS(Purchases!$S$5:INDEX(Purchases!$S$5:$S$3004,TxRows),Purchases!$C$5:INDEX(Purchases!$C$5:$C$3004,TxRows),$A261))</f>
        <v/>
      </c>
      <c r="M261" s="61" t="str">
        <f aca="false">IF($A261="","",SUMIFS(CashBook!$G$5:INDEX(CashBook!$G$5:$G$3004,TxRows),CashBook!$D$5:INDEX(CashBook!$D$5:$D$3004,TxRows),$A261,CashBook!$C$5:INDEX(CashBook!$C$5:$C$3004,TxRows),"Payment"))</f>
        <v/>
      </c>
      <c r="N261" s="61" t="str">
        <f aca="false">IF($A261="","",N($I261)+J261-K261-L261+M261)</f>
        <v/>
      </c>
      <c r="O261" s="60" t="str">
        <f aca="false">IF($A261="","",IF(ROUND(N261,2)&gt;0,"Receivable",IF(ROUND(N261,2)&lt;0,"Payable","Settled")))</f>
        <v/>
      </c>
      <c r="P261" s="66" t="str">
        <f aca="false">IF($A261="","",IFERROR(SUMPRODUCT(MAX((Sales!$C$5:INDEX(Sales!$C$5:$C$3004,TxRows)=$A261)*Sales!$A$5:INDEX(Sales!$A$5:$A$3004,TxRows))),0))</f>
        <v/>
      </c>
      <c r="Q261" s="66" t="str">
        <f aca="false">IF($A261="","",IFERROR(SUMPRODUCT(MAX((CashBook!$D$5:INDEX(CashBook!$D$5:$D$3004,TxRows)=$A261)*(CashBook!$C$5:INDEX(CashBook!$C$5:$C$3004,TxRows)="Receipt")*CashBook!$A$5:INDEX(CashBook!$A$5:$A$3004,TxRows))),0))</f>
        <v/>
      </c>
      <c r="R261" s="67" t="str">
        <f aca="false">IF($A261="","",IF(ROUND(N261,2)&lt;=0,"",AsOf-IF(N(Q261)&gt;0,Q261,IF(N(P261)&gt;0,P261,FYStart))))</f>
        <v/>
      </c>
      <c r="S261" s="60" t="str">
        <f aca="false">IF($A261="","",IF(AND(N($G261)&gt;0,N261&gt;N($G261)),"OVER LIMIT",IF(AND(N261&gt;0,N(R261)&gt;N($H261)),"OVERDUE",IF(ROUND(N261,2)&lt;0,"PAY DUE",""))))</f>
        <v/>
      </c>
    </row>
    <row r="262" customFormat="false" ht="15" hidden="false" customHeight="false" outlineLevel="0" collapsed="false">
      <c r="A262" s="56"/>
      <c r="B262" s="56"/>
      <c r="C262" s="56"/>
      <c r="D262" s="56"/>
      <c r="E262" s="56"/>
      <c r="F262" s="56"/>
      <c r="G262" s="68"/>
      <c r="H262" s="69"/>
      <c r="I262" s="58"/>
      <c r="J262" s="61" t="str">
        <f aca="false">IF($A262="","",SUMIFS(Sales!$Q$5:INDEX(Sales!$Q$5:$Q$3004,TxRows),Sales!$C$5:INDEX(Sales!$C$5:$C$3004,TxRows),$A262)-SUMIFS(Sales!$X$5:INDEX(Sales!$X$5:$X$3004,TxRows),Sales!$C$5:INDEX(Sales!$C$5:$C$3004,TxRows),$A262))</f>
        <v/>
      </c>
      <c r="K262" s="61" t="str">
        <f aca="false">IF($A262="","",SUMIFS(CashBook!$G$5:INDEX(CashBook!$G$5:$G$3004,TxRows),CashBook!$D$5:INDEX(CashBook!$D$5:$D$3004,TxRows),$A262,CashBook!$C$5:INDEX(CashBook!$C$5:$C$3004,TxRows),"Receipt"))</f>
        <v/>
      </c>
      <c r="L262" s="61" t="str">
        <f aca="false">IF($A262="","",SUMIFS(Purchases!$P$5:INDEX(Purchases!$P$5:$P$3004,TxRows),Purchases!$C$5:INDEX(Purchases!$C$5:$C$3004,TxRows),$A262)-SUMIFS(Purchases!$S$5:INDEX(Purchases!$S$5:$S$3004,TxRows),Purchases!$C$5:INDEX(Purchases!$C$5:$C$3004,TxRows),$A262))</f>
        <v/>
      </c>
      <c r="M262" s="61" t="str">
        <f aca="false">IF($A262="","",SUMIFS(CashBook!$G$5:INDEX(CashBook!$G$5:$G$3004,TxRows),CashBook!$D$5:INDEX(CashBook!$D$5:$D$3004,TxRows),$A262,CashBook!$C$5:INDEX(CashBook!$C$5:$C$3004,TxRows),"Payment"))</f>
        <v/>
      </c>
      <c r="N262" s="61" t="str">
        <f aca="false">IF($A262="","",N($I262)+J262-K262-L262+M262)</f>
        <v/>
      </c>
      <c r="O262" s="60" t="str">
        <f aca="false">IF($A262="","",IF(ROUND(N262,2)&gt;0,"Receivable",IF(ROUND(N262,2)&lt;0,"Payable","Settled")))</f>
        <v/>
      </c>
      <c r="P262" s="66" t="str">
        <f aca="false">IF($A262="","",IFERROR(SUMPRODUCT(MAX((Sales!$C$5:INDEX(Sales!$C$5:$C$3004,TxRows)=$A262)*Sales!$A$5:INDEX(Sales!$A$5:$A$3004,TxRows))),0))</f>
        <v/>
      </c>
      <c r="Q262" s="66" t="str">
        <f aca="false">IF($A262="","",IFERROR(SUMPRODUCT(MAX((CashBook!$D$5:INDEX(CashBook!$D$5:$D$3004,TxRows)=$A262)*(CashBook!$C$5:INDEX(CashBook!$C$5:$C$3004,TxRows)="Receipt")*CashBook!$A$5:INDEX(CashBook!$A$5:$A$3004,TxRows))),0))</f>
        <v/>
      </c>
      <c r="R262" s="67" t="str">
        <f aca="false">IF($A262="","",IF(ROUND(N262,2)&lt;=0,"",AsOf-IF(N(Q262)&gt;0,Q262,IF(N(P262)&gt;0,P262,FYStart))))</f>
        <v/>
      </c>
      <c r="S262" s="60" t="str">
        <f aca="false">IF($A262="","",IF(AND(N($G262)&gt;0,N262&gt;N($G262)),"OVER LIMIT",IF(AND(N262&gt;0,N(R262)&gt;N($H262)),"OVERDUE",IF(ROUND(N262,2)&lt;0,"PAY DUE",""))))</f>
        <v/>
      </c>
    </row>
    <row r="263" customFormat="false" ht="15" hidden="false" customHeight="false" outlineLevel="0" collapsed="false">
      <c r="A263" s="56"/>
      <c r="B263" s="56"/>
      <c r="C263" s="56"/>
      <c r="D263" s="56"/>
      <c r="E263" s="56"/>
      <c r="F263" s="56"/>
      <c r="G263" s="68"/>
      <c r="H263" s="69"/>
      <c r="I263" s="58"/>
      <c r="J263" s="61" t="str">
        <f aca="false">IF($A263="","",SUMIFS(Sales!$Q$5:INDEX(Sales!$Q$5:$Q$3004,TxRows),Sales!$C$5:INDEX(Sales!$C$5:$C$3004,TxRows),$A263)-SUMIFS(Sales!$X$5:INDEX(Sales!$X$5:$X$3004,TxRows),Sales!$C$5:INDEX(Sales!$C$5:$C$3004,TxRows),$A263))</f>
        <v/>
      </c>
      <c r="K263" s="61" t="str">
        <f aca="false">IF($A263="","",SUMIFS(CashBook!$G$5:INDEX(CashBook!$G$5:$G$3004,TxRows),CashBook!$D$5:INDEX(CashBook!$D$5:$D$3004,TxRows),$A263,CashBook!$C$5:INDEX(CashBook!$C$5:$C$3004,TxRows),"Receipt"))</f>
        <v/>
      </c>
      <c r="L263" s="61" t="str">
        <f aca="false">IF($A263="","",SUMIFS(Purchases!$P$5:INDEX(Purchases!$P$5:$P$3004,TxRows),Purchases!$C$5:INDEX(Purchases!$C$5:$C$3004,TxRows),$A263)-SUMIFS(Purchases!$S$5:INDEX(Purchases!$S$5:$S$3004,TxRows),Purchases!$C$5:INDEX(Purchases!$C$5:$C$3004,TxRows),$A263))</f>
        <v/>
      </c>
      <c r="M263" s="61" t="str">
        <f aca="false">IF($A263="","",SUMIFS(CashBook!$G$5:INDEX(CashBook!$G$5:$G$3004,TxRows),CashBook!$D$5:INDEX(CashBook!$D$5:$D$3004,TxRows),$A263,CashBook!$C$5:INDEX(CashBook!$C$5:$C$3004,TxRows),"Payment"))</f>
        <v/>
      </c>
      <c r="N263" s="61" t="str">
        <f aca="false">IF($A263="","",N($I263)+J263-K263-L263+M263)</f>
        <v/>
      </c>
      <c r="O263" s="60" t="str">
        <f aca="false">IF($A263="","",IF(ROUND(N263,2)&gt;0,"Receivable",IF(ROUND(N263,2)&lt;0,"Payable","Settled")))</f>
        <v/>
      </c>
      <c r="P263" s="66" t="str">
        <f aca="false">IF($A263="","",IFERROR(SUMPRODUCT(MAX((Sales!$C$5:INDEX(Sales!$C$5:$C$3004,TxRows)=$A263)*Sales!$A$5:INDEX(Sales!$A$5:$A$3004,TxRows))),0))</f>
        <v/>
      </c>
      <c r="Q263" s="66" t="str">
        <f aca="false">IF($A263="","",IFERROR(SUMPRODUCT(MAX((CashBook!$D$5:INDEX(CashBook!$D$5:$D$3004,TxRows)=$A263)*(CashBook!$C$5:INDEX(CashBook!$C$5:$C$3004,TxRows)="Receipt")*CashBook!$A$5:INDEX(CashBook!$A$5:$A$3004,TxRows))),0))</f>
        <v/>
      </c>
      <c r="R263" s="67" t="str">
        <f aca="false">IF($A263="","",IF(ROUND(N263,2)&lt;=0,"",AsOf-IF(N(Q263)&gt;0,Q263,IF(N(P263)&gt;0,P263,FYStart))))</f>
        <v/>
      </c>
      <c r="S263" s="60" t="str">
        <f aca="false">IF($A263="","",IF(AND(N($G263)&gt;0,N263&gt;N($G263)),"OVER LIMIT",IF(AND(N263&gt;0,N(R263)&gt;N($H263)),"OVERDUE",IF(ROUND(N263,2)&lt;0,"PAY DUE",""))))</f>
        <v/>
      </c>
    </row>
    <row r="264" customFormat="false" ht="15" hidden="false" customHeight="false" outlineLevel="0" collapsed="false">
      <c r="A264" s="56"/>
      <c r="B264" s="56"/>
      <c r="C264" s="56"/>
      <c r="D264" s="56"/>
      <c r="E264" s="56"/>
      <c r="F264" s="56"/>
      <c r="G264" s="68"/>
      <c r="H264" s="69"/>
      <c r="I264" s="58"/>
      <c r="J264" s="61" t="str">
        <f aca="false">IF($A264="","",SUMIFS(Sales!$Q$5:INDEX(Sales!$Q$5:$Q$3004,TxRows),Sales!$C$5:INDEX(Sales!$C$5:$C$3004,TxRows),$A264)-SUMIFS(Sales!$X$5:INDEX(Sales!$X$5:$X$3004,TxRows),Sales!$C$5:INDEX(Sales!$C$5:$C$3004,TxRows),$A264))</f>
        <v/>
      </c>
      <c r="K264" s="61" t="str">
        <f aca="false">IF($A264="","",SUMIFS(CashBook!$G$5:INDEX(CashBook!$G$5:$G$3004,TxRows),CashBook!$D$5:INDEX(CashBook!$D$5:$D$3004,TxRows),$A264,CashBook!$C$5:INDEX(CashBook!$C$5:$C$3004,TxRows),"Receipt"))</f>
        <v/>
      </c>
      <c r="L264" s="61" t="str">
        <f aca="false">IF($A264="","",SUMIFS(Purchases!$P$5:INDEX(Purchases!$P$5:$P$3004,TxRows),Purchases!$C$5:INDEX(Purchases!$C$5:$C$3004,TxRows),$A264)-SUMIFS(Purchases!$S$5:INDEX(Purchases!$S$5:$S$3004,TxRows),Purchases!$C$5:INDEX(Purchases!$C$5:$C$3004,TxRows),$A264))</f>
        <v/>
      </c>
      <c r="M264" s="61" t="str">
        <f aca="false">IF($A264="","",SUMIFS(CashBook!$G$5:INDEX(CashBook!$G$5:$G$3004,TxRows),CashBook!$D$5:INDEX(CashBook!$D$5:$D$3004,TxRows),$A264,CashBook!$C$5:INDEX(CashBook!$C$5:$C$3004,TxRows),"Payment"))</f>
        <v/>
      </c>
      <c r="N264" s="61" t="str">
        <f aca="false">IF($A264="","",N($I264)+J264-K264-L264+M264)</f>
        <v/>
      </c>
      <c r="O264" s="60" t="str">
        <f aca="false">IF($A264="","",IF(ROUND(N264,2)&gt;0,"Receivable",IF(ROUND(N264,2)&lt;0,"Payable","Settled")))</f>
        <v/>
      </c>
      <c r="P264" s="66" t="str">
        <f aca="false">IF($A264="","",IFERROR(SUMPRODUCT(MAX((Sales!$C$5:INDEX(Sales!$C$5:$C$3004,TxRows)=$A264)*Sales!$A$5:INDEX(Sales!$A$5:$A$3004,TxRows))),0))</f>
        <v/>
      </c>
      <c r="Q264" s="66" t="str">
        <f aca="false">IF($A264="","",IFERROR(SUMPRODUCT(MAX((CashBook!$D$5:INDEX(CashBook!$D$5:$D$3004,TxRows)=$A264)*(CashBook!$C$5:INDEX(CashBook!$C$5:$C$3004,TxRows)="Receipt")*CashBook!$A$5:INDEX(CashBook!$A$5:$A$3004,TxRows))),0))</f>
        <v/>
      </c>
      <c r="R264" s="67" t="str">
        <f aca="false">IF($A264="","",IF(ROUND(N264,2)&lt;=0,"",AsOf-IF(N(Q264)&gt;0,Q264,IF(N(P264)&gt;0,P264,FYStart))))</f>
        <v/>
      </c>
      <c r="S264" s="60" t="str">
        <f aca="false">IF($A264="","",IF(AND(N($G264)&gt;0,N264&gt;N($G264)),"OVER LIMIT",IF(AND(N264&gt;0,N(R264)&gt;N($H264)),"OVERDUE",IF(ROUND(N264,2)&lt;0,"PAY DUE",""))))</f>
        <v/>
      </c>
    </row>
    <row r="265" customFormat="false" ht="15" hidden="false" customHeight="false" outlineLevel="0" collapsed="false">
      <c r="A265" s="56"/>
      <c r="B265" s="56"/>
      <c r="C265" s="56"/>
      <c r="D265" s="56"/>
      <c r="E265" s="56"/>
      <c r="F265" s="56"/>
      <c r="G265" s="68"/>
      <c r="H265" s="69"/>
      <c r="I265" s="58"/>
      <c r="J265" s="61" t="str">
        <f aca="false">IF($A265="","",SUMIFS(Sales!$Q$5:INDEX(Sales!$Q$5:$Q$3004,TxRows),Sales!$C$5:INDEX(Sales!$C$5:$C$3004,TxRows),$A265)-SUMIFS(Sales!$X$5:INDEX(Sales!$X$5:$X$3004,TxRows),Sales!$C$5:INDEX(Sales!$C$5:$C$3004,TxRows),$A265))</f>
        <v/>
      </c>
      <c r="K265" s="61" t="str">
        <f aca="false">IF($A265="","",SUMIFS(CashBook!$G$5:INDEX(CashBook!$G$5:$G$3004,TxRows),CashBook!$D$5:INDEX(CashBook!$D$5:$D$3004,TxRows),$A265,CashBook!$C$5:INDEX(CashBook!$C$5:$C$3004,TxRows),"Receipt"))</f>
        <v/>
      </c>
      <c r="L265" s="61" t="str">
        <f aca="false">IF($A265="","",SUMIFS(Purchases!$P$5:INDEX(Purchases!$P$5:$P$3004,TxRows),Purchases!$C$5:INDEX(Purchases!$C$5:$C$3004,TxRows),$A265)-SUMIFS(Purchases!$S$5:INDEX(Purchases!$S$5:$S$3004,TxRows),Purchases!$C$5:INDEX(Purchases!$C$5:$C$3004,TxRows),$A265))</f>
        <v/>
      </c>
      <c r="M265" s="61" t="str">
        <f aca="false">IF($A265="","",SUMIFS(CashBook!$G$5:INDEX(CashBook!$G$5:$G$3004,TxRows),CashBook!$D$5:INDEX(CashBook!$D$5:$D$3004,TxRows),$A265,CashBook!$C$5:INDEX(CashBook!$C$5:$C$3004,TxRows),"Payment"))</f>
        <v/>
      </c>
      <c r="N265" s="61" t="str">
        <f aca="false">IF($A265="","",N($I265)+J265-K265-L265+M265)</f>
        <v/>
      </c>
      <c r="O265" s="60" t="str">
        <f aca="false">IF($A265="","",IF(ROUND(N265,2)&gt;0,"Receivable",IF(ROUND(N265,2)&lt;0,"Payable","Settled")))</f>
        <v/>
      </c>
      <c r="P265" s="66" t="str">
        <f aca="false">IF($A265="","",IFERROR(SUMPRODUCT(MAX((Sales!$C$5:INDEX(Sales!$C$5:$C$3004,TxRows)=$A265)*Sales!$A$5:INDEX(Sales!$A$5:$A$3004,TxRows))),0))</f>
        <v/>
      </c>
      <c r="Q265" s="66" t="str">
        <f aca="false">IF($A265="","",IFERROR(SUMPRODUCT(MAX((CashBook!$D$5:INDEX(CashBook!$D$5:$D$3004,TxRows)=$A265)*(CashBook!$C$5:INDEX(CashBook!$C$5:$C$3004,TxRows)="Receipt")*CashBook!$A$5:INDEX(CashBook!$A$5:$A$3004,TxRows))),0))</f>
        <v/>
      </c>
      <c r="R265" s="67" t="str">
        <f aca="false">IF($A265="","",IF(ROUND(N265,2)&lt;=0,"",AsOf-IF(N(Q265)&gt;0,Q265,IF(N(P265)&gt;0,P265,FYStart))))</f>
        <v/>
      </c>
      <c r="S265" s="60" t="str">
        <f aca="false">IF($A265="","",IF(AND(N($G265)&gt;0,N265&gt;N($G265)),"OVER LIMIT",IF(AND(N265&gt;0,N(R265)&gt;N($H265)),"OVERDUE",IF(ROUND(N265,2)&lt;0,"PAY DUE",""))))</f>
        <v/>
      </c>
    </row>
    <row r="266" customFormat="false" ht="15" hidden="false" customHeight="false" outlineLevel="0" collapsed="false">
      <c r="A266" s="56"/>
      <c r="B266" s="56"/>
      <c r="C266" s="56"/>
      <c r="D266" s="56"/>
      <c r="E266" s="56"/>
      <c r="F266" s="56"/>
      <c r="G266" s="68"/>
      <c r="H266" s="69"/>
      <c r="I266" s="58"/>
      <c r="J266" s="61" t="str">
        <f aca="false">IF($A266="","",SUMIFS(Sales!$Q$5:INDEX(Sales!$Q$5:$Q$3004,TxRows),Sales!$C$5:INDEX(Sales!$C$5:$C$3004,TxRows),$A266)-SUMIFS(Sales!$X$5:INDEX(Sales!$X$5:$X$3004,TxRows),Sales!$C$5:INDEX(Sales!$C$5:$C$3004,TxRows),$A266))</f>
        <v/>
      </c>
      <c r="K266" s="61" t="str">
        <f aca="false">IF($A266="","",SUMIFS(CashBook!$G$5:INDEX(CashBook!$G$5:$G$3004,TxRows),CashBook!$D$5:INDEX(CashBook!$D$5:$D$3004,TxRows),$A266,CashBook!$C$5:INDEX(CashBook!$C$5:$C$3004,TxRows),"Receipt"))</f>
        <v/>
      </c>
      <c r="L266" s="61" t="str">
        <f aca="false">IF($A266="","",SUMIFS(Purchases!$P$5:INDEX(Purchases!$P$5:$P$3004,TxRows),Purchases!$C$5:INDEX(Purchases!$C$5:$C$3004,TxRows),$A266)-SUMIFS(Purchases!$S$5:INDEX(Purchases!$S$5:$S$3004,TxRows),Purchases!$C$5:INDEX(Purchases!$C$5:$C$3004,TxRows),$A266))</f>
        <v/>
      </c>
      <c r="M266" s="61" t="str">
        <f aca="false">IF($A266="","",SUMIFS(CashBook!$G$5:INDEX(CashBook!$G$5:$G$3004,TxRows),CashBook!$D$5:INDEX(CashBook!$D$5:$D$3004,TxRows),$A266,CashBook!$C$5:INDEX(CashBook!$C$5:$C$3004,TxRows),"Payment"))</f>
        <v/>
      </c>
      <c r="N266" s="61" t="str">
        <f aca="false">IF($A266="","",N($I266)+J266-K266-L266+M266)</f>
        <v/>
      </c>
      <c r="O266" s="60" t="str">
        <f aca="false">IF($A266="","",IF(ROUND(N266,2)&gt;0,"Receivable",IF(ROUND(N266,2)&lt;0,"Payable","Settled")))</f>
        <v/>
      </c>
      <c r="P266" s="66" t="str">
        <f aca="false">IF($A266="","",IFERROR(SUMPRODUCT(MAX((Sales!$C$5:INDEX(Sales!$C$5:$C$3004,TxRows)=$A266)*Sales!$A$5:INDEX(Sales!$A$5:$A$3004,TxRows))),0))</f>
        <v/>
      </c>
      <c r="Q266" s="66" t="str">
        <f aca="false">IF($A266="","",IFERROR(SUMPRODUCT(MAX((CashBook!$D$5:INDEX(CashBook!$D$5:$D$3004,TxRows)=$A266)*(CashBook!$C$5:INDEX(CashBook!$C$5:$C$3004,TxRows)="Receipt")*CashBook!$A$5:INDEX(CashBook!$A$5:$A$3004,TxRows))),0))</f>
        <v/>
      </c>
      <c r="R266" s="67" t="str">
        <f aca="false">IF($A266="","",IF(ROUND(N266,2)&lt;=0,"",AsOf-IF(N(Q266)&gt;0,Q266,IF(N(P266)&gt;0,P266,FYStart))))</f>
        <v/>
      </c>
      <c r="S266" s="60" t="str">
        <f aca="false">IF($A266="","",IF(AND(N($G266)&gt;0,N266&gt;N($G266)),"OVER LIMIT",IF(AND(N266&gt;0,N(R266)&gt;N($H266)),"OVERDUE",IF(ROUND(N266,2)&lt;0,"PAY DUE",""))))</f>
        <v/>
      </c>
    </row>
    <row r="267" customFormat="false" ht="15" hidden="false" customHeight="false" outlineLevel="0" collapsed="false">
      <c r="A267" s="56"/>
      <c r="B267" s="56"/>
      <c r="C267" s="56"/>
      <c r="D267" s="56"/>
      <c r="E267" s="56"/>
      <c r="F267" s="56"/>
      <c r="G267" s="68"/>
      <c r="H267" s="69"/>
      <c r="I267" s="58"/>
      <c r="J267" s="61" t="str">
        <f aca="false">IF($A267="","",SUMIFS(Sales!$Q$5:INDEX(Sales!$Q$5:$Q$3004,TxRows),Sales!$C$5:INDEX(Sales!$C$5:$C$3004,TxRows),$A267)-SUMIFS(Sales!$X$5:INDEX(Sales!$X$5:$X$3004,TxRows),Sales!$C$5:INDEX(Sales!$C$5:$C$3004,TxRows),$A267))</f>
        <v/>
      </c>
      <c r="K267" s="61" t="str">
        <f aca="false">IF($A267="","",SUMIFS(CashBook!$G$5:INDEX(CashBook!$G$5:$G$3004,TxRows),CashBook!$D$5:INDEX(CashBook!$D$5:$D$3004,TxRows),$A267,CashBook!$C$5:INDEX(CashBook!$C$5:$C$3004,TxRows),"Receipt"))</f>
        <v/>
      </c>
      <c r="L267" s="61" t="str">
        <f aca="false">IF($A267="","",SUMIFS(Purchases!$P$5:INDEX(Purchases!$P$5:$P$3004,TxRows),Purchases!$C$5:INDEX(Purchases!$C$5:$C$3004,TxRows),$A267)-SUMIFS(Purchases!$S$5:INDEX(Purchases!$S$5:$S$3004,TxRows),Purchases!$C$5:INDEX(Purchases!$C$5:$C$3004,TxRows),$A267))</f>
        <v/>
      </c>
      <c r="M267" s="61" t="str">
        <f aca="false">IF($A267="","",SUMIFS(CashBook!$G$5:INDEX(CashBook!$G$5:$G$3004,TxRows),CashBook!$D$5:INDEX(CashBook!$D$5:$D$3004,TxRows),$A267,CashBook!$C$5:INDEX(CashBook!$C$5:$C$3004,TxRows),"Payment"))</f>
        <v/>
      </c>
      <c r="N267" s="61" t="str">
        <f aca="false">IF($A267="","",N($I267)+J267-K267-L267+M267)</f>
        <v/>
      </c>
      <c r="O267" s="60" t="str">
        <f aca="false">IF($A267="","",IF(ROUND(N267,2)&gt;0,"Receivable",IF(ROUND(N267,2)&lt;0,"Payable","Settled")))</f>
        <v/>
      </c>
      <c r="P267" s="66" t="str">
        <f aca="false">IF($A267="","",IFERROR(SUMPRODUCT(MAX((Sales!$C$5:INDEX(Sales!$C$5:$C$3004,TxRows)=$A267)*Sales!$A$5:INDEX(Sales!$A$5:$A$3004,TxRows))),0))</f>
        <v/>
      </c>
      <c r="Q267" s="66" t="str">
        <f aca="false">IF($A267="","",IFERROR(SUMPRODUCT(MAX((CashBook!$D$5:INDEX(CashBook!$D$5:$D$3004,TxRows)=$A267)*(CashBook!$C$5:INDEX(CashBook!$C$5:$C$3004,TxRows)="Receipt")*CashBook!$A$5:INDEX(CashBook!$A$5:$A$3004,TxRows))),0))</f>
        <v/>
      </c>
      <c r="R267" s="67" t="str">
        <f aca="false">IF($A267="","",IF(ROUND(N267,2)&lt;=0,"",AsOf-IF(N(Q267)&gt;0,Q267,IF(N(P267)&gt;0,P267,FYStart))))</f>
        <v/>
      </c>
      <c r="S267" s="60" t="str">
        <f aca="false">IF($A267="","",IF(AND(N($G267)&gt;0,N267&gt;N($G267)),"OVER LIMIT",IF(AND(N267&gt;0,N(R267)&gt;N($H267)),"OVERDUE",IF(ROUND(N267,2)&lt;0,"PAY DUE",""))))</f>
        <v/>
      </c>
    </row>
    <row r="268" customFormat="false" ht="15" hidden="false" customHeight="false" outlineLevel="0" collapsed="false">
      <c r="A268" s="56"/>
      <c r="B268" s="56"/>
      <c r="C268" s="56"/>
      <c r="D268" s="56"/>
      <c r="E268" s="56"/>
      <c r="F268" s="56"/>
      <c r="G268" s="68"/>
      <c r="H268" s="69"/>
      <c r="I268" s="58"/>
      <c r="J268" s="61" t="str">
        <f aca="false">IF($A268="","",SUMIFS(Sales!$Q$5:INDEX(Sales!$Q$5:$Q$3004,TxRows),Sales!$C$5:INDEX(Sales!$C$5:$C$3004,TxRows),$A268)-SUMIFS(Sales!$X$5:INDEX(Sales!$X$5:$X$3004,TxRows),Sales!$C$5:INDEX(Sales!$C$5:$C$3004,TxRows),$A268))</f>
        <v/>
      </c>
      <c r="K268" s="61" t="str">
        <f aca="false">IF($A268="","",SUMIFS(CashBook!$G$5:INDEX(CashBook!$G$5:$G$3004,TxRows),CashBook!$D$5:INDEX(CashBook!$D$5:$D$3004,TxRows),$A268,CashBook!$C$5:INDEX(CashBook!$C$5:$C$3004,TxRows),"Receipt"))</f>
        <v/>
      </c>
      <c r="L268" s="61" t="str">
        <f aca="false">IF($A268="","",SUMIFS(Purchases!$P$5:INDEX(Purchases!$P$5:$P$3004,TxRows),Purchases!$C$5:INDEX(Purchases!$C$5:$C$3004,TxRows),$A268)-SUMIFS(Purchases!$S$5:INDEX(Purchases!$S$5:$S$3004,TxRows),Purchases!$C$5:INDEX(Purchases!$C$5:$C$3004,TxRows),$A268))</f>
        <v/>
      </c>
      <c r="M268" s="61" t="str">
        <f aca="false">IF($A268="","",SUMIFS(CashBook!$G$5:INDEX(CashBook!$G$5:$G$3004,TxRows),CashBook!$D$5:INDEX(CashBook!$D$5:$D$3004,TxRows),$A268,CashBook!$C$5:INDEX(CashBook!$C$5:$C$3004,TxRows),"Payment"))</f>
        <v/>
      </c>
      <c r="N268" s="61" t="str">
        <f aca="false">IF($A268="","",N($I268)+J268-K268-L268+M268)</f>
        <v/>
      </c>
      <c r="O268" s="60" t="str">
        <f aca="false">IF($A268="","",IF(ROUND(N268,2)&gt;0,"Receivable",IF(ROUND(N268,2)&lt;0,"Payable","Settled")))</f>
        <v/>
      </c>
      <c r="P268" s="66" t="str">
        <f aca="false">IF($A268="","",IFERROR(SUMPRODUCT(MAX((Sales!$C$5:INDEX(Sales!$C$5:$C$3004,TxRows)=$A268)*Sales!$A$5:INDEX(Sales!$A$5:$A$3004,TxRows))),0))</f>
        <v/>
      </c>
      <c r="Q268" s="66" t="str">
        <f aca="false">IF($A268="","",IFERROR(SUMPRODUCT(MAX((CashBook!$D$5:INDEX(CashBook!$D$5:$D$3004,TxRows)=$A268)*(CashBook!$C$5:INDEX(CashBook!$C$5:$C$3004,TxRows)="Receipt")*CashBook!$A$5:INDEX(CashBook!$A$5:$A$3004,TxRows))),0))</f>
        <v/>
      </c>
      <c r="R268" s="67" t="str">
        <f aca="false">IF($A268="","",IF(ROUND(N268,2)&lt;=0,"",AsOf-IF(N(Q268)&gt;0,Q268,IF(N(P268)&gt;0,P268,FYStart))))</f>
        <v/>
      </c>
      <c r="S268" s="60" t="str">
        <f aca="false">IF($A268="","",IF(AND(N($G268)&gt;0,N268&gt;N($G268)),"OVER LIMIT",IF(AND(N268&gt;0,N(R268)&gt;N($H268)),"OVERDUE",IF(ROUND(N268,2)&lt;0,"PAY DUE",""))))</f>
        <v/>
      </c>
    </row>
    <row r="269" customFormat="false" ht="15" hidden="false" customHeight="false" outlineLevel="0" collapsed="false">
      <c r="A269" s="56"/>
      <c r="B269" s="56"/>
      <c r="C269" s="56"/>
      <c r="D269" s="56"/>
      <c r="E269" s="56"/>
      <c r="F269" s="56"/>
      <c r="G269" s="68"/>
      <c r="H269" s="69"/>
      <c r="I269" s="58"/>
      <c r="J269" s="61" t="str">
        <f aca="false">IF($A269="","",SUMIFS(Sales!$Q$5:INDEX(Sales!$Q$5:$Q$3004,TxRows),Sales!$C$5:INDEX(Sales!$C$5:$C$3004,TxRows),$A269)-SUMIFS(Sales!$X$5:INDEX(Sales!$X$5:$X$3004,TxRows),Sales!$C$5:INDEX(Sales!$C$5:$C$3004,TxRows),$A269))</f>
        <v/>
      </c>
      <c r="K269" s="61" t="str">
        <f aca="false">IF($A269="","",SUMIFS(CashBook!$G$5:INDEX(CashBook!$G$5:$G$3004,TxRows),CashBook!$D$5:INDEX(CashBook!$D$5:$D$3004,TxRows),$A269,CashBook!$C$5:INDEX(CashBook!$C$5:$C$3004,TxRows),"Receipt"))</f>
        <v/>
      </c>
      <c r="L269" s="61" t="str">
        <f aca="false">IF($A269="","",SUMIFS(Purchases!$P$5:INDEX(Purchases!$P$5:$P$3004,TxRows),Purchases!$C$5:INDEX(Purchases!$C$5:$C$3004,TxRows),$A269)-SUMIFS(Purchases!$S$5:INDEX(Purchases!$S$5:$S$3004,TxRows),Purchases!$C$5:INDEX(Purchases!$C$5:$C$3004,TxRows),$A269))</f>
        <v/>
      </c>
      <c r="M269" s="61" t="str">
        <f aca="false">IF($A269="","",SUMIFS(CashBook!$G$5:INDEX(CashBook!$G$5:$G$3004,TxRows),CashBook!$D$5:INDEX(CashBook!$D$5:$D$3004,TxRows),$A269,CashBook!$C$5:INDEX(CashBook!$C$5:$C$3004,TxRows),"Payment"))</f>
        <v/>
      </c>
      <c r="N269" s="61" t="str">
        <f aca="false">IF($A269="","",N($I269)+J269-K269-L269+M269)</f>
        <v/>
      </c>
      <c r="O269" s="60" t="str">
        <f aca="false">IF($A269="","",IF(ROUND(N269,2)&gt;0,"Receivable",IF(ROUND(N269,2)&lt;0,"Payable","Settled")))</f>
        <v/>
      </c>
      <c r="P269" s="66" t="str">
        <f aca="false">IF($A269="","",IFERROR(SUMPRODUCT(MAX((Sales!$C$5:INDEX(Sales!$C$5:$C$3004,TxRows)=$A269)*Sales!$A$5:INDEX(Sales!$A$5:$A$3004,TxRows))),0))</f>
        <v/>
      </c>
      <c r="Q269" s="66" t="str">
        <f aca="false">IF($A269="","",IFERROR(SUMPRODUCT(MAX((CashBook!$D$5:INDEX(CashBook!$D$5:$D$3004,TxRows)=$A269)*(CashBook!$C$5:INDEX(CashBook!$C$5:$C$3004,TxRows)="Receipt")*CashBook!$A$5:INDEX(CashBook!$A$5:$A$3004,TxRows))),0))</f>
        <v/>
      </c>
      <c r="R269" s="67" t="str">
        <f aca="false">IF($A269="","",IF(ROUND(N269,2)&lt;=0,"",AsOf-IF(N(Q269)&gt;0,Q269,IF(N(P269)&gt;0,P269,FYStart))))</f>
        <v/>
      </c>
      <c r="S269" s="60" t="str">
        <f aca="false">IF($A269="","",IF(AND(N($G269)&gt;0,N269&gt;N($G269)),"OVER LIMIT",IF(AND(N269&gt;0,N(R269)&gt;N($H269)),"OVERDUE",IF(ROUND(N269,2)&lt;0,"PAY DUE",""))))</f>
        <v/>
      </c>
    </row>
    <row r="270" customFormat="false" ht="15" hidden="false" customHeight="false" outlineLevel="0" collapsed="false">
      <c r="A270" s="56"/>
      <c r="B270" s="56"/>
      <c r="C270" s="56"/>
      <c r="D270" s="56"/>
      <c r="E270" s="56"/>
      <c r="F270" s="56"/>
      <c r="G270" s="68"/>
      <c r="H270" s="69"/>
      <c r="I270" s="58"/>
      <c r="J270" s="61" t="str">
        <f aca="false">IF($A270="","",SUMIFS(Sales!$Q$5:INDEX(Sales!$Q$5:$Q$3004,TxRows),Sales!$C$5:INDEX(Sales!$C$5:$C$3004,TxRows),$A270)-SUMIFS(Sales!$X$5:INDEX(Sales!$X$5:$X$3004,TxRows),Sales!$C$5:INDEX(Sales!$C$5:$C$3004,TxRows),$A270))</f>
        <v/>
      </c>
      <c r="K270" s="61" t="str">
        <f aca="false">IF($A270="","",SUMIFS(CashBook!$G$5:INDEX(CashBook!$G$5:$G$3004,TxRows),CashBook!$D$5:INDEX(CashBook!$D$5:$D$3004,TxRows),$A270,CashBook!$C$5:INDEX(CashBook!$C$5:$C$3004,TxRows),"Receipt"))</f>
        <v/>
      </c>
      <c r="L270" s="61" t="str">
        <f aca="false">IF($A270="","",SUMIFS(Purchases!$P$5:INDEX(Purchases!$P$5:$P$3004,TxRows),Purchases!$C$5:INDEX(Purchases!$C$5:$C$3004,TxRows),$A270)-SUMIFS(Purchases!$S$5:INDEX(Purchases!$S$5:$S$3004,TxRows),Purchases!$C$5:INDEX(Purchases!$C$5:$C$3004,TxRows),$A270))</f>
        <v/>
      </c>
      <c r="M270" s="61" t="str">
        <f aca="false">IF($A270="","",SUMIFS(CashBook!$G$5:INDEX(CashBook!$G$5:$G$3004,TxRows),CashBook!$D$5:INDEX(CashBook!$D$5:$D$3004,TxRows),$A270,CashBook!$C$5:INDEX(CashBook!$C$5:$C$3004,TxRows),"Payment"))</f>
        <v/>
      </c>
      <c r="N270" s="61" t="str">
        <f aca="false">IF($A270="","",N($I270)+J270-K270-L270+M270)</f>
        <v/>
      </c>
      <c r="O270" s="60" t="str">
        <f aca="false">IF($A270="","",IF(ROUND(N270,2)&gt;0,"Receivable",IF(ROUND(N270,2)&lt;0,"Payable","Settled")))</f>
        <v/>
      </c>
      <c r="P270" s="66" t="str">
        <f aca="false">IF($A270="","",IFERROR(SUMPRODUCT(MAX((Sales!$C$5:INDEX(Sales!$C$5:$C$3004,TxRows)=$A270)*Sales!$A$5:INDEX(Sales!$A$5:$A$3004,TxRows))),0))</f>
        <v/>
      </c>
      <c r="Q270" s="66" t="str">
        <f aca="false">IF($A270="","",IFERROR(SUMPRODUCT(MAX((CashBook!$D$5:INDEX(CashBook!$D$5:$D$3004,TxRows)=$A270)*(CashBook!$C$5:INDEX(CashBook!$C$5:$C$3004,TxRows)="Receipt")*CashBook!$A$5:INDEX(CashBook!$A$5:$A$3004,TxRows))),0))</f>
        <v/>
      </c>
      <c r="R270" s="67" t="str">
        <f aca="false">IF($A270="","",IF(ROUND(N270,2)&lt;=0,"",AsOf-IF(N(Q270)&gt;0,Q270,IF(N(P270)&gt;0,P270,FYStart))))</f>
        <v/>
      </c>
      <c r="S270" s="60" t="str">
        <f aca="false">IF($A270="","",IF(AND(N($G270)&gt;0,N270&gt;N($G270)),"OVER LIMIT",IF(AND(N270&gt;0,N(R270)&gt;N($H270)),"OVERDUE",IF(ROUND(N270,2)&lt;0,"PAY DUE",""))))</f>
        <v/>
      </c>
    </row>
    <row r="271" customFormat="false" ht="15" hidden="false" customHeight="false" outlineLevel="0" collapsed="false">
      <c r="A271" s="56"/>
      <c r="B271" s="56"/>
      <c r="C271" s="56"/>
      <c r="D271" s="56"/>
      <c r="E271" s="56"/>
      <c r="F271" s="56"/>
      <c r="G271" s="68"/>
      <c r="H271" s="69"/>
      <c r="I271" s="58"/>
      <c r="J271" s="61" t="str">
        <f aca="false">IF($A271="","",SUMIFS(Sales!$Q$5:INDEX(Sales!$Q$5:$Q$3004,TxRows),Sales!$C$5:INDEX(Sales!$C$5:$C$3004,TxRows),$A271)-SUMIFS(Sales!$X$5:INDEX(Sales!$X$5:$X$3004,TxRows),Sales!$C$5:INDEX(Sales!$C$5:$C$3004,TxRows),$A271))</f>
        <v/>
      </c>
      <c r="K271" s="61" t="str">
        <f aca="false">IF($A271="","",SUMIFS(CashBook!$G$5:INDEX(CashBook!$G$5:$G$3004,TxRows),CashBook!$D$5:INDEX(CashBook!$D$5:$D$3004,TxRows),$A271,CashBook!$C$5:INDEX(CashBook!$C$5:$C$3004,TxRows),"Receipt"))</f>
        <v/>
      </c>
      <c r="L271" s="61" t="str">
        <f aca="false">IF($A271="","",SUMIFS(Purchases!$P$5:INDEX(Purchases!$P$5:$P$3004,TxRows),Purchases!$C$5:INDEX(Purchases!$C$5:$C$3004,TxRows),$A271)-SUMIFS(Purchases!$S$5:INDEX(Purchases!$S$5:$S$3004,TxRows),Purchases!$C$5:INDEX(Purchases!$C$5:$C$3004,TxRows),$A271))</f>
        <v/>
      </c>
      <c r="M271" s="61" t="str">
        <f aca="false">IF($A271="","",SUMIFS(CashBook!$G$5:INDEX(CashBook!$G$5:$G$3004,TxRows),CashBook!$D$5:INDEX(CashBook!$D$5:$D$3004,TxRows),$A271,CashBook!$C$5:INDEX(CashBook!$C$5:$C$3004,TxRows),"Payment"))</f>
        <v/>
      </c>
      <c r="N271" s="61" t="str">
        <f aca="false">IF($A271="","",N($I271)+J271-K271-L271+M271)</f>
        <v/>
      </c>
      <c r="O271" s="60" t="str">
        <f aca="false">IF($A271="","",IF(ROUND(N271,2)&gt;0,"Receivable",IF(ROUND(N271,2)&lt;0,"Payable","Settled")))</f>
        <v/>
      </c>
      <c r="P271" s="66" t="str">
        <f aca="false">IF($A271="","",IFERROR(SUMPRODUCT(MAX((Sales!$C$5:INDEX(Sales!$C$5:$C$3004,TxRows)=$A271)*Sales!$A$5:INDEX(Sales!$A$5:$A$3004,TxRows))),0))</f>
        <v/>
      </c>
      <c r="Q271" s="66" t="str">
        <f aca="false">IF($A271="","",IFERROR(SUMPRODUCT(MAX((CashBook!$D$5:INDEX(CashBook!$D$5:$D$3004,TxRows)=$A271)*(CashBook!$C$5:INDEX(CashBook!$C$5:$C$3004,TxRows)="Receipt")*CashBook!$A$5:INDEX(CashBook!$A$5:$A$3004,TxRows))),0))</f>
        <v/>
      </c>
      <c r="R271" s="67" t="str">
        <f aca="false">IF($A271="","",IF(ROUND(N271,2)&lt;=0,"",AsOf-IF(N(Q271)&gt;0,Q271,IF(N(P271)&gt;0,P271,FYStart))))</f>
        <v/>
      </c>
      <c r="S271" s="60" t="str">
        <f aca="false">IF($A271="","",IF(AND(N($G271)&gt;0,N271&gt;N($G271)),"OVER LIMIT",IF(AND(N271&gt;0,N(R271)&gt;N($H271)),"OVERDUE",IF(ROUND(N271,2)&lt;0,"PAY DUE",""))))</f>
        <v/>
      </c>
    </row>
    <row r="272" customFormat="false" ht="15" hidden="false" customHeight="false" outlineLevel="0" collapsed="false">
      <c r="A272" s="56"/>
      <c r="B272" s="56"/>
      <c r="C272" s="56"/>
      <c r="D272" s="56"/>
      <c r="E272" s="56"/>
      <c r="F272" s="56"/>
      <c r="G272" s="68"/>
      <c r="H272" s="69"/>
      <c r="I272" s="58"/>
      <c r="J272" s="61" t="str">
        <f aca="false">IF($A272="","",SUMIFS(Sales!$Q$5:INDEX(Sales!$Q$5:$Q$3004,TxRows),Sales!$C$5:INDEX(Sales!$C$5:$C$3004,TxRows),$A272)-SUMIFS(Sales!$X$5:INDEX(Sales!$X$5:$X$3004,TxRows),Sales!$C$5:INDEX(Sales!$C$5:$C$3004,TxRows),$A272))</f>
        <v/>
      </c>
      <c r="K272" s="61" t="str">
        <f aca="false">IF($A272="","",SUMIFS(CashBook!$G$5:INDEX(CashBook!$G$5:$G$3004,TxRows),CashBook!$D$5:INDEX(CashBook!$D$5:$D$3004,TxRows),$A272,CashBook!$C$5:INDEX(CashBook!$C$5:$C$3004,TxRows),"Receipt"))</f>
        <v/>
      </c>
      <c r="L272" s="61" t="str">
        <f aca="false">IF($A272="","",SUMIFS(Purchases!$P$5:INDEX(Purchases!$P$5:$P$3004,TxRows),Purchases!$C$5:INDEX(Purchases!$C$5:$C$3004,TxRows),$A272)-SUMIFS(Purchases!$S$5:INDEX(Purchases!$S$5:$S$3004,TxRows),Purchases!$C$5:INDEX(Purchases!$C$5:$C$3004,TxRows),$A272))</f>
        <v/>
      </c>
      <c r="M272" s="61" t="str">
        <f aca="false">IF($A272="","",SUMIFS(CashBook!$G$5:INDEX(CashBook!$G$5:$G$3004,TxRows),CashBook!$D$5:INDEX(CashBook!$D$5:$D$3004,TxRows),$A272,CashBook!$C$5:INDEX(CashBook!$C$5:$C$3004,TxRows),"Payment"))</f>
        <v/>
      </c>
      <c r="N272" s="61" t="str">
        <f aca="false">IF($A272="","",N($I272)+J272-K272-L272+M272)</f>
        <v/>
      </c>
      <c r="O272" s="60" t="str">
        <f aca="false">IF($A272="","",IF(ROUND(N272,2)&gt;0,"Receivable",IF(ROUND(N272,2)&lt;0,"Payable","Settled")))</f>
        <v/>
      </c>
      <c r="P272" s="66" t="str">
        <f aca="false">IF($A272="","",IFERROR(SUMPRODUCT(MAX((Sales!$C$5:INDEX(Sales!$C$5:$C$3004,TxRows)=$A272)*Sales!$A$5:INDEX(Sales!$A$5:$A$3004,TxRows))),0))</f>
        <v/>
      </c>
      <c r="Q272" s="66" t="str">
        <f aca="false">IF($A272="","",IFERROR(SUMPRODUCT(MAX((CashBook!$D$5:INDEX(CashBook!$D$5:$D$3004,TxRows)=$A272)*(CashBook!$C$5:INDEX(CashBook!$C$5:$C$3004,TxRows)="Receipt")*CashBook!$A$5:INDEX(CashBook!$A$5:$A$3004,TxRows))),0))</f>
        <v/>
      </c>
      <c r="R272" s="67" t="str">
        <f aca="false">IF($A272="","",IF(ROUND(N272,2)&lt;=0,"",AsOf-IF(N(Q272)&gt;0,Q272,IF(N(P272)&gt;0,P272,FYStart))))</f>
        <v/>
      </c>
      <c r="S272" s="60" t="str">
        <f aca="false">IF($A272="","",IF(AND(N($G272)&gt;0,N272&gt;N($G272)),"OVER LIMIT",IF(AND(N272&gt;0,N(R272)&gt;N($H272)),"OVERDUE",IF(ROUND(N272,2)&lt;0,"PAY DUE",""))))</f>
        <v/>
      </c>
    </row>
    <row r="273" customFormat="false" ht="15" hidden="false" customHeight="false" outlineLevel="0" collapsed="false">
      <c r="A273" s="56"/>
      <c r="B273" s="56"/>
      <c r="C273" s="56"/>
      <c r="D273" s="56"/>
      <c r="E273" s="56"/>
      <c r="F273" s="56"/>
      <c r="G273" s="68"/>
      <c r="H273" s="69"/>
      <c r="I273" s="58"/>
      <c r="J273" s="61" t="str">
        <f aca="false">IF($A273="","",SUMIFS(Sales!$Q$5:INDEX(Sales!$Q$5:$Q$3004,TxRows),Sales!$C$5:INDEX(Sales!$C$5:$C$3004,TxRows),$A273)-SUMIFS(Sales!$X$5:INDEX(Sales!$X$5:$X$3004,TxRows),Sales!$C$5:INDEX(Sales!$C$5:$C$3004,TxRows),$A273))</f>
        <v/>
      </c>
      <c r="K273" s="61" t="str">
        <f aca="false">IF($A273="","",SUMIFS(CashBook!$G$5:INDEX(CashBook!$G$5:$G$3004,TxRows),CashBook!$D$5:INDEX(CashBook!$D$5:$D$3004,TxRows),$A273,CashBook!$C$5:INDEX(CashBook!$C$5:$C$3004,TxRows),"Receipt"))</f>
        <v/>
      </c>
      <c r="L273" s="61" t="str">
        <f aca="false">IF($A273="","",SUMIFS(Purchases!$P$5:INDEX(Purchases!$P$5:$P$3004,TxRows),Purchases!$C$5:INDEX(Purchases!$C$5:$C$3004,TxRows),$A273)-SUMIFS(Purchases!$S$5:INDEX(Purchases!$S$5:$S$3004,TxRows),Purchases!$C$5:INDEX(Purchases!$C$5:$C$3004,TxRows),$A273))</f>
        <v/>
      </c>
      <c r="M273" s="61" t="str">
        <f aca="false">IF($A273="","",SUMIFS(CashBook!$G$5:INDEX(CashBook!$G$5:$G$3004,TxRows),CashBook!$D$5:INDEX(CashBook!$D$5:$D$3004,TxRows),$A273,CashBook!$C$5:INDEX(CashBook!$C$5:$C$3004,TxRows),"Payment"))</f>
        <v/>
      </c>
      <c r="N273" s="61" t="str">
        <f aca="false">IF($A273="","",N($I273)+J273-K273-L273+M273)</f>
        <v/>
      </c>
      <c r="O273" s="60" t="str">
        <f aca="false">IF($A273="","",IF(ROUND(N273,2)&gt;0,"Receivable",IF(ROUND(N273,2)&lt;0,"Payable","Settled")))</f>
        <v/>
      </c>
      <c r="P273" s="66" t="str">
        <f aca="false">IF($A273="","",IFERROR(SUMPRODUCT(MAX((Sales!$C$5:INDEX(Sales!$C$5:$C$3004,TxRows)=$A273)*Sales!$A$5:INDEX(Sales!$A$5:$A$3004,TxRows))),0))</f>
        <v/>
      </c>
      <c r="Q273" s="66" t="str">
        <f aca="false">IF($A273="","",IFERROR(SUMPRODUCT(MAX((CashBook!$D$5:INDEX(CashBook!$D$5:$D$3004,TxRows)=$A273)*(CashBook!$C$5:INDEX(CashBook!$C$5:$C$3004,TxRows)="Receipt")*CashBook!$A$5:INDEX(CashBook!$A$5:$A$3004,TxRows))),0))</f>
        <v/>
      </c>
      <c r="R273" s="67" t="str">
        <f aca="false">IF($A273="","",IF(ROUND(N273,2)&lt;=0,"",AsOf-IF(N(Q273)&gt;0,Q273,IF(N(P273)&gt;0,P273,FYStart))))</f>
        <v/>
      </c>
      <c r="S273" s="60" t="str">
        <f aca="false">IF($A273="","",IF(AND(N($G273)&gt;0,N273&gt;N($G273)),"OVER LIMIT",IF(AND(N273&gt;0,N(R273)&gt;N($H273)),"OVERDUE",IF(ROUND(N273,2)&lt;0,"PAY DUE",""))))</f>
        <v/>
      </c>
    </row>
    <row r="274" customFormat="false" ht="15" hidden="false" customHeight="false" outlineLevel="0" collapsed="false">
      <c r="A274" s="56"/>
      <c r="B274" s="56"/>
      <c r="C274" s="56"/>
      <c r="D274" s="56"/>
      <c r="E274" s="56"/>
      <c r="F274" s="56"/>
      <c r="G274" s="68"/>
      <c r="H274" s="69"/>
      <c r="I274" s="58"/>
      <c r="J274" s="61" t="str">
        <f aca="false">IF($A274="","",SUMIFS(Sales!$Q$5:INDEX(Sales!$Q$5:$Q$3004,TxRows),Sales!$C$5:INDEX(Sales!$C$5:$C$3004,TxRows),$A274)-SUMIFS(Sales!$X$5:INDEX(Sales!$X$5:$X$3004,TxRows),Sales!$C$5:INDEX(Sales!$C$5:$C$3004,TxRows),$A274))</f>
        <v/>
      </c>
      <c r="K274" s="61" t="str">
        <f aca="false">IF($A274="","",SUMIFS(CashBook!$G$5:INDEX(CashBook!$G$5:$G$3004,TxRows),CashBook!$D$5:INDEX(CashBook!$D$5:$D$3004,TxRows),$A274,CashBook!$C$5:INDEX(CashBook!$C$5:$C$3004,TxRows),"Receipt"))</f>
        <v/>
      </c>
      <c r="L274" s="61" t="str">
        <f aca="false">IF($A274="","",SUMIFS(Purchases!$P$5:INDEX(Purchases!$P$5:$P$3004,TxRows),Purchases!$C$5:INDEX(Purchases!$C$5:$C$3004,TxRows),$A274)-SUMIFS(Purchases!$S$5:INDEX(Purchases!$S$5:$S$3004,TxRows),Purchases!$C$5:INDEX(Purchases!$C$5:$C$3004,TxRows),$A274))</f>
        <v/>
      </c>
      <c r="M274" s="61" t="str">
        <f aca="false">IF($A274="","",SUMIFS(CashBook!$G$5:INDEX(CashBook!$G$5:$G$3004,TxRows),CashBook!$D$5:INDEX(CashBook!$D$5:$D$3004,TxRows),$A274,CashBook!$C$5:INDEX(CashBook!$C$5:$C$3004,TxRows),"Payment"))</f>
        <v/>
      </c>
      <c r="N274" s="61" t="str">
        <f aca="false">IF($A274="","",N($I274)+J274-K274-L274+M274)</f>
        <v/>
      </c>
      <c r="O274" s="60" t="str">
        <f aca="false">IF($A274="","",IF(ROUND(N274,2)&gt;0,"Receivable",IF(ROUND(N274,2)&lt;0,"Payable","Settled")))</f>
        <v/>
      </c>
      <c r="P274" s="66" t="str">
        <f aca="false">IF($A274="","",IFERROR(SUMPRODUCT(MAX((Sales!$C$5:INDEX(Sales!$C$5:$C$3004,TxRows)=$A274)*Sales!$A$5:INDEX(Sales!$A$5:$A$3004,TxRows))),0))</f>
        <v/>
      </c>
      <c r="Q274" s="66" t="str">
        <f aca="false">IF($A274="","",IFERROR(SUMPRODUCT(MAX((CashBook!$D$5:INDEX(CashBook!$D$5:$D$3004,TxRows)=$A274)*(CashBook!$C$5:INDEX(CashBook!$C$5:$C$3004,TxRows)="Receipt")*CashBook!$A$5:INDEX(CashBook!$A$5:$A$3004,TxRows))),0))</f>
        <v/>
      </c>
      <c r="R274" s="67" t="str">
        <f aca="false">IF($A274="","",IF(ROUND(N274,2)&lt;=0,"",AsOf-IF(N(Q274)&gt;0,Q274,IF(N(P274)&gt;0,P274,FYStart))))</f>
        <v/>
      </c>
      <c r="S274" s="60" t="str">
        <f aca="false">IF($A274="","",IF(AND(N($G274)&gt;0,N274&gt;N($G274)),"OVER LIMIT",IF(AND(N274&gt;0,N(R274)&gt;N($H274)),"OVERDUE",IF(ROUND(N274,2)&lt;0,"PAY DUE",""))))</f>
        <v/>
      </c>
    </row>
    <row r="275" customFormat="false" ht="15" hidden="false" customHeight="false" outlineLevel="0" collapsed="false">
      <c r="A275" s="56"/>
      <c r="B275" s="56"/>
      <c r="C275" s="56"/>
      <c r="D275" s="56"/>
      <c r="E275" s="56"/>
      <c r="F275" s="56"/>
      <c r="G275" s="68"/>
      <c r="H275" s="69"/>
      <c r="I275" s="58"/>
      <c r="J275" s="61" t="str">
        <f aca="false">IF($A275="","",SUMIFS(Sales!$Q$5:INDEX(Sales!$Q$5:$Q$3004,TxRows),Sales!$C$5:INDEX(Sales!$C$5:$C$3004,TxRows),$A275)-SUMIFS(Sales!$X$5:INDEX(Sales!$X$5:$X$3004,TxRows),Sales!$C$5:INDEX(Sales!$C$5:$C$3004,TxRows),$A275))</f>
        <v/>
      </c>
      <c r="K275" s="61" t="str">
        <f aca="false">IF($A275="","",SUMIFS(CashBook!$G$5:INDEX(CashBook!$G$5:$G$3004,TxRows),CashBook!$D$5:INDEX(CashBook!$D$5:$D$3004,TxRows),$A275,CashBook!$C$5:INDEX(CashBook!$C$5:$C$3004,TxRows),"Receipt"))</f>
        <v/>
      </c>
      <c r="L275" s="61" t="str">
        <f aca="false">IF($A275="","",SUMIFS(Purchases!$P$5:INDEX(Purchases!$P$5:$P$3004,TxRows),Purchases!$C$5:INDEX(Purchases!$C$5:$C$3004,TxRows),$A275)-SUMIFS(Purchases!$S$5:INDEX(Purchases!$S$5:$S$3004,TxRows),Purchases!$C$5:INDEX(Purchases!$C$5:$C$3004,TxRows),$A275))</f>
        <v/>
      </c>
      <c r="M275" s="61" t="str">
        <f aca="false">IF($A275="","",SUMIFS(CashBook!$G$5:INDEX(CashBook!$G$5:$G$3004,TxRows),CashBook!$D$5:INDEX(CashBook!$D$5:$D$3004,TxRows),$A275,CashBook!$C$5:INDEX(CashBook!$C$5:$C$3004,TxRows),"Payment"))</f>
        <v/>
      </c>
      <c r="N275" s="61" t="str">
        <f aca="false">IF($A275="","",N($I275)+J275-K275-L275+M275)</f>
        <v/>
      </c>
      <c r="O275" s="60" t="str">
        <f aca="false">IF($A275="","",IF(ROUND(N275,2)&gt;0,"Receivable",IF(ROUND(N275,2)&lt;0,"Payable","Settled")))</f>
        <v/>
      </c>
      <c r="P275" s="66" t="str">
        <f aca="false">IF($A275="","",IFERROR(SUMPRODUCT(MAX((Sales!$C$5:INDEX(Sales!$C$5:$C$3004,TxRows)=$A275)*Sales!$A$5:INDEX(Sales!$A$5:$A$3004,TxRows))),0))</f>
        <v/>
      </c>
      <c r="Q275" s="66" t="str">
        <f aca="false">IF($A275="","",IFERROR(SUMPRODUCT(MAX((CashBook!$D$5:INDEX(CashBook!$D$5:$D$3004,TxRows)=$A275)*(CashBook!$C$5:INDEX(CashBook!$C$5:$C$3004,TxRows)="Receipt")*CashBook!$A$5:INDEX(CashBook!$A$5:$A$3004,TxRows))),0))</f>
        <v/>
      </c>
      <c r="R275" s="67" t="str">
        <f aca="false">IF($A275="","",IF(ROUND(N275,2)&lt;=0,"",AsOf-IF(N(Q275)&gt;0,Q275,IF(N(P275)&gt;0,P275,FYStart))))</f>
        <v/>
      </c>
      <c r="S275" s="60" t="str">
        <f aca="false">IF($A275="","",IF(AND(N($G275)&gt;0,N275&gt;N($G275)),"OVER LIMIT",IF(AND(N275&gt;0,N(R275)&gt;N($H275)),"OVERDUE",IF(ROUND(N275,2)&lt;0,"PAY DUE",""))))</f>
        <v/>
      </c>
    </row>
    <row r="276" customFormat="false" ht="15" hidden="false" customHeight="false" outlineLevel="0" collapsed="false">
      <c r="A276" s="56"/>
      <c r="B276" s="56"/>
      <c r="C276" s="56"/>
      <c r="D276" s="56"/>
      <c r="E276" s="56"/>
      <c r="F276" s="56"/>
      <c r="G276" s="68"/>
      <c r="H276" s="69"/>
      <c r="I276" s="58"/>
      <c r="J276" s="61" t="str">
        <f aca="false">IF($A276="","",SUMIFS(Sales!$Q$5:INDEX(Sales!$Q$5:$Q$3004,TxRows),Sales!$C$5:INDEX(Sales!$C$5:$C$3004,TxRows),$A276)-SUMIFS(Sales!$X$5:INDEX(Sales!$X$5:$X$3004,TxRows),Sales!$C$5:INDEX(Sales!$C$5:$C$3004,TxRows),$A276))</f>
        <v/>
      </c>
      <c r="K276" s="61" t="str">
        <f aca="false">IF($A276="","",SUMIFS(CashBook!$G$5:INDEX(CashBook!$G$5:$G$3004,TxRows),CashBook!$D$5:INDEX(CashBook!$D$5:$D$3004,TxRows),$A276,CashBook!$C$5:INDEX(CashBook!$C$5:$C$3004,TxRows),"Receipt"))</f>
        <v/>
      </c>
      <c r="L276" s="61" t="str">
        <f aca="false">IF($A276="","",SUMIFS(Purchases!$P$5:INDEX(Purchases!$P$5:$P$3004,TxRows),Purchases!$C$5:INDEX(Purchases!$C$5:$C$3004,TxRows),$A276)-SUMIFS(Purchases!$S$5:INDEX(Purchases!$S$5:$S$3004,TxRows),Purchases!$C$5:INDEX(Purchases!$C$5:$C$3004,TxRows),$A276))</f>
        <v/>
      </c>
      <c r="M276" s="61" t="str">
        <f aca="false">IF($A276="","",SUMIFS(CashBook!$G$5:INDEX(CashBook!$G$5:$G$3004,TxRows),CashBook!$D$5:INDEX(CashBook!$D$5:$D$3004,TxRows),$A276,CashBook!$C$5:INDEX(CashBook!$C$5:$C$3004,TxRows),"Payment"))</f>
        <v/>
      </c>
      <c r="N276" s="61" t="str">
        <f aca="false">IF($A276="","",N($I276)+J276-K276-L276+M276)</f>
        <v/>
      </c>
      <c r="O276" s="60" t="str">
        <f aca="false">IF($A276="","",IF(ROUND(N276,2)&gt;0,"Receivable",IF(ROUND(N276,2)&lt;0,"Payable","Settled")))</f>
        <v/>
      </c>
      <c r="P276" s="66" t="str">
        <f aca="false">IF($A276="","",IFERROR(SUMPRODUCT(MAX((Sales!$C$5:INDEX(Sales!$C$5:$C$3004,TxRows)=$A276)*Sales!$A$5:INDEX(Sales!$A$5:$A$3004,TxRows))),0))</f>
        <v/>
      </c>
      <c r="Q276" s="66" t="str">
        <f aca="false">IF($A276="","",IFERROR(SUMPRODUCT(MAX((CashBook!$D$5:INDEX(CashBook!$D$5:$D$3004,TxRows)=$A276)*(CashBook!$C$5:INDEX(CashBook!$C$5:$C$3004,TxRows)="Receipt")*CashBook!$A$5:INDEX(CashBook!$A$5:$A$3004,TxRows))),0))</f>
        <v/>
      </c>
      <c r="R276" s="67" t="str">
        <f aca="false">IF($A276="","",IF(ROUND(N276,2)&lt;=0,"",AsOf-IF(N(Q276)&gt;0,Q276,IF(N(P276)&gt;0,P276,FYStart))))</f>
        <v/>
      </c>
      <c r="S276" s="60" t="str">
        <f aca="false">IF($A276="","",IF(AND(N($G276)&gt;0,N276&gt;N($G276)),"OVER LIMIT",IF(AND(N276&gt;0,N(R276)&gt;N($H276)),"OVERDUE",IF(ROUND(N276,2)&lt;0,"PAY DUE",""))))</f>
        <v/>
      </c>
    </row>
    <row r="277" customFormat="false" ht="15" hidden="false" customHeight="false" outlineLevel="0" collapsed="false">
      <c r="A277" s="56"/>
      <c r="B277" s="56"/>
      <c r="C277" s="56"/>
      <c r="D277" s="56"/>
      <c r="E277" s="56"/>
      <c r="F277" s="56"/>
      <c r="G277" s="68"/>
      <c r="H277" s="69"/>
      <c r="I277" s="58"/>
      <c r="J277" s="61" t="str">
        <f aca="false">IF($A277="","",SUMIFS(Sales!$Q$5:INDEX(Sales!$Q$5:$Q$3004,TxRows),Sales!$C$5:INDEX(Sales!$C$5:$C$3004,TxRows),$A277)-SUMIFS(Sales!$X$5:INDEX(Sales!$X$5:$X$3004,TxRows),Sales!$C$5:INDEX(Sales!$C$5:$C$3004,TxRows),$A277))</f>
        <v/>
      </c>
      <c r="K277" s="61" t="str">
        <f aca="false">IF($A277="","",SUMIFS(CashBook!$G$5:INDEX(CashBook!$G$5:$G$3004,TxRows),CashBook!$D$5:INDEX(CashBook!$D$5:$D$3004,TxRows),$A277,CashBook!$C$5:INDEX(CashBook!$C$5:$C$3004,TxRows),"Receipt"))</f>
        <v/>
      </c>
      <c r="L277" s="61" t="str">
        <f aca="false">IF($A277="","",SUMIFS(Purchases!$P$5:INDEX(Purchases!$P$5:$P$3004,TxRows),Purchases!$C$5:INDEX(Purchases!$C$5:$C$3004,TxRows),$A277)-SUMIFS(Purchases!$S$5:INDEX(Purchases!$S$5:$S$3004,TxRows),Purchases!$C$5:INDEX(Purchases!$C$5:$C$3004,TxRows),$A277))</f>
        <v/>
      </c>
      <c r="M277" s="61" t="str">
        <f aca="false">IF($A277="","",SUMIFS(CashBook!$G$5:INDEX(CashBook!$G$5:$G$3004,TxRows),CashBook!$D$5:INDEX(CashBook!$D$5:$D$3004,TxRows),$A277,CashBook!$C$5:INDEX(CashBook!$C$5:$C$3004,TxRows),"Payment"))</f>
        <v/>
      </c>
      <c r="N277" s="61" t="str">
        <f aca="false">IF($A277="","",N($I277)+J277-K277-L277+M277)</f>
        <v/>
      </c>
      <c r="O277" s="60" t="str">
        <f aca="false">IF($A277="","",IF(ROUND(N277,2)&gt;0,"Receivable",IF(ROUND(N277,2)&lt;0,"Payable","Settled")))</f>
        <v/>
      </c>
      <c r="P277" s="66" t="str">
        <f aca="false">IF($A277="","",IFERROR(SUMPRODUCT(MAX((Sales!$C$5:INDEX(Sales!$C$5:$C$3004,TxRows)=$A277)*Sales!$A$5:INDEX(Sales!$A$5:$A$3004,TxRows))),0))</f>
        <v/>
      </c>
      <c r="Q277" s="66" t="str">
        <f aca="false">IF($A277="","",IFERROR(SUMPRODUCT(MAX((CashBook!$D$5:INDEX(CashBook!$D$5:$D$3004,TxRows)=$A277)*(CashBook!$C$5:INDEX(CashBook!$C$5:$C$3004,TxRows)="Receipt")*CashBook!$A$5:INDEX(CashBook!$A$5:$A$3004,TxRows))),0))</f>
        <v/>
      </c>
      <c r="R277" s="67" t="str">
        <f aca="false">IF($A277="","",IF(ROUND(N277,2)&lt;=0,"",AsOf-IF(N(Q277)&gt;0,Q277,IF(N(P277)&gt;0,P277,FYStart))))</f>
        <v/>
      </c>
      <c r="S277" s="60" t="str">
        <f aca="false">IF($A277="","",IF(AND(N($G277)&gt;0,N277&gt;N($G277)),"OVER LIMIT",IF(AND(N277&gt;0,N(R277)&gt;N($H277)),"OVERDUE",IF(ROUND(N277,2)&lt;0,"PAY DUE",""))))</f>
        <v/>
      </c>
    </row>
    <row r="278" customFormat="false" ht="15" hidden="false" customHeight="false" outlineLevel="0" collapsed="false">
      <c r="A278" s="56"/>
      <c r="B278" s="56"/>
      <c r="C278" s="56"/>
      <c r="D278" s="56"/>
      <c r="E278" s="56"/>
      <c r="F278" s="56"/>
      <c r="G278" s="68"/>
      <c r="H278" s="69"/>
      <c r="I278" s="58"/>
      <c r="J278" s="61" t="str">
        <f aca="false">IF($A278="","",SUMIFS(Sales!$Q$5:INDEX(Sales!$Q$5:$Q$3004,TxRows),Sales!$C$5:INDEX(Sales!$C$5:$C$3004,TxRows),$A278)-SUMIFS(Sales!$X$5:INDEX(Sales!$X$5:$X$3004,TxRows),Sales!$C$5:INDEX(Sales!$C$5:$C$3004,TxRows),$A278))</f>
        <v/>
      </c>
      <c r="K278" s="61" t="str">
        <f aca="false">IF($A278="","",SUMIFS(CashBook!$G$5:INDEX(CashBook!$G$5:$G$3004,TxRows),CashBook!$D$5:INDEX(CashBook!$D$5:$D$3004,TxRows),$A278,CashBook!$C$5:INDEX(CashBook!$C$5:$C$3004,TxRows),"Receipt"))</f>
        <v/>
      </c>
      <c r="L278" s="61" t="str">
        <f aca="false">IF($A278="","",SUMIFS(Purchases!$P$5:INDEX(Purchases!$P$5:$P$3004,TxRows),Purchases!$C$5:INDEX(Purchases!$C$5:$C$3004,TxRows),$A278)-SUMIFS(Purchases!$S$5:INDEX(Purchases!$S$5:$S$3004,TxRows),Purchases!$C$5:INDEX(Purchases!$C$5:$C$3004,TxRows),$A278))</f>
        <v/>
      </c>
      <c r="M278" s="61" t="str">
        <f aca="false">IF($A278="","",SUMIFS(CashBook!$G$5:INDEX(CashBook!$G$5:$G$3004,TxRows),CashBook!$D$5:INDEX(CashBook!$D$5:$D$3004,TxRows),$A278,CashBook!$C$5:INDEX(CashBook!$C$5:$C$3004,TxRows),"Payment"))</f>
        <v/>
      </c>
      <c r="N278" s="61" t="str">
        <f aca="false">IF($A278="","",N($I278)+J278-K278-L278+M278)</f>
        <v/>
      </c>
      <c r="O278" s="60" t="str">
        <f aca="false">IF($A278="","",IF(ROUND(N278,2)&gt;0,"Receivable",IF(ROUND(N278,2)&lt;0,"Payable","Settled")))</f>
        <v/>
      </c>
      <c r="P278" s="66" t="str">
        <f aca="false">IF($A278="","",IFERROR(SUMPRODUCT(MAX((Sales!$C$5:INDEX(Sales!$C$5:$C$3004,TxRows)=$A278)*Sales!$A$5:INDEX(Sales!$A$5:$A$3004,TxRows))),0))</f>
        <v/>
      </c>
      <c r="Q278" s="66" t="str">
        <f aca="false">IF($A278="","",IFERROR(SUMPRODUCT(MAX((CashBook!$D$5:INDEX(CashBook!$D$5:$D$3004,TxRows)=$A278)*(CashBook!$C$5:INDEX(CashBook!$C$5:$C$3004,TxRows)="Receipt")*CashBook!$A$5:INDEX(CashBook!$A$5:$A$3004,TxRows))),0))</f>
        <v/>
      </c>
      <c r="R278" s="67" t="str">
        <f aca="false">IF($A278="","",IF(ROUND(N278,2)&lt;=0,"",AsOf-IF(N(Q278)&gt;0,Q278,IF(N(P278)&gt;0,P278,FYStart))))</f>
        <v/>
      </c>
      <c r="S278" s="60" t="str">
        <f aca="false">IF($A278="","",IF(AND(N($G278)&gt;0,N278&gt;N($G278)),"OVER LIMIT",IF(AND(N278&gt;0,N(R278)&gt;N($H278)),"OVERDUE",IF(ROUND(N278,2)&lt;0,"PAY DUE",""))))</f>
        <v/>
      </c>
    </row>
    <row r="279" customFormat="false" ht="15" hidden="false" customHeight="false" outlineLevel="0" collapsed="false">
      <c r="A279" s="56"/>
      <c r="B279" s="56"/>
      <c r="C279" s="56"/>
      <c r="D279" s="56"/>
      <c r="E279" s="56"/>
      <c r="F279" s="56"/>
      <c r="G279" s="68"/>
      <c r="H279" s="69"/>
      <c r="I279" s="58"/>
      <c r="J279" s="61" t="str">
        <f aca="false">IF($A279="","",SUMIFS(Sales!$Q$5:INDEX(Sales!$Q$5:$Q$3004,TxRows),Sales!$C$5:INDEX(Sales!$C$5:$C$3004,TxRows),$A279)-SUMIFS(Sales!$X$5:INDEX(Sales!$X$5:$X$3004,TxRows),Sales!$C$5:INDEX(Sales!$C$5:$C$3004,TxRows),$A279))</f>
        <v/>
      </c>
      <c r="K279" s="61" t="str">
        <f aca="false">IF($A279="","",SUMIFS(CashBook!$G$5:INDEX(CashBook!$G$5:$G$3004,TxRows),CashBook!$D$5:INDEX(CashBook!$D$5:$D$3004,TxRows),$A279,CashBook!$C$5:INDEX(CashBook!$C$5:$C$3004,TxRows),"Receipt"))</f>
        <v/>
      </c>
      <c r="L279" s="61" t="str">
        <f aca="false">IF($A279="","",SUMIFS(Purchases!$P$5:INDEX(Purchases!$P$5:$P$3004,TxRows),Purchases!$C$5:INDEX(Purchases!$C$5:$C$3004,TxRows),$A279)-SUMIFS(Purchases!$S$5:INDEX(Purchases!$S$5:$S$3004,TxRows),Purchases!$C$5:INDEX(Purchases!$C$5:$C$3004,TxRows),$A279))</f>
        <v/>
      </c>
      <c r="M279" s="61" t="str">
        <f aca="false">IF($A279="","",SUMIFS(CashBook!$G$5:INDEX(CashBook!$G$5:$G$3004,TxRows),CashBook!$D$5:INDEX(CashBook!$D$5:$D$3004,TxRows),$A279,CashBook!$C$5:INDEX(CashBook!$C$5:$C$3004,TxRows),"Payment"))</f>
        <v/>
      </c>
      <c r="N279" s="61" t="str">
        <f aca="false">IF($A279="","",N($I279)+J279-K279-L279+M279)</f>
        <v/>
      </c>
      <c r="O279" s="60" t="str">
        <f aca="false">IF($A279="","",IF(ROUND(N279,2)&gt;0,"Receivable",IF(ROUND(N279,2)&lt;0,"Payable","Settled")))</f>
        <v/>
      </c>
      <c r="P279" s="66" t="str">
        <f aca="false">IF($A279="","",IFERROR(SUMPRODUCT(MAX((Sales!$C$5:INDEX(Sales!$C$5:$C$3004,TxRows)=$A279)*Sales!$A$5:INDEX(Sales!$A$5:$A$3004,TxRows))),0))</f>
        <v/>
      </c>
      <c r="Q279" s="66" t="str">
        <f aca="false">IF($A279="","",IFERROR(SUMPRODUCT(MAX((CashBook!$D$5:INDEX(CashBook!$D$5:$D$3004,TxRows)=$A279)*(CashBook!$C$5:INDEX(CashBook!$C$5:$C$3004,TxRows)="Receipt")*CashBook!$A$5:INDEX(CashBook!$A$5:$A$3004,TxRows))),0))</f>
        <v/>
      </c>
      <c r="R279" s="67" t="str">
        <f aca="false">IF($A279="","",IF(ROUND(N279,2)&lt;=0,"",AsOf-IF(N(Q279)&gt;0,Q279,IF(N(P279)&gt;0,P279,FYStart))))</f>
        <v/>
      </c>
      <c r="S279" s="60" t="str">
        <f aca="false">IF($A279="","",IF(AND(N($G279)&gt;0,N279&gt;N($G279)),"OVER LIMIT",IF(AND(N279&gt;0,N(R279)&gt;N($H279)),"OVERDUE",IF(ROUND(N279,2)&lt;0,"PAY DUE",""))))</f>
        <v/>
      </c>
    </row>
    <row r="280" customFormat="false" ht="15" hidden="false" customHeight="false" outlineLevel="0" collapsed="false">
      <c r="A280" s="56"/>
      <c r="B280" s="56"/>
      <c r="C280" s="56"/>
      <c r="D280" s="56"/>
      <c r="E280" s="56"/>
      <c r="F280" s="56"/>
      <c r="G280" s="68"/>
      <c r="H280" s="69"/>
      <c r="I280" s="58"/>
      <c r="J280" s="61" t="str">
        <f aca="false">IF($A280="","",SUMIFS(Sales!$Q$5:INDEX(Sales!$Q$5:$Q$3004,TxRows),Sales!$C$5:INDEX(Sales!$C$5:$C$3004,TxRows),$A280)-SUMIFS(Sales!$X$5:INDEX(Sales!$X$5:$X$3004,TxRows),Sales!$C$5:INDEX(Sales!$C$5:$C$3004,TxRows),$A280))</f>
        <v/>
      </c>
      <c r="K280" s="61" t="str">
        <f aca="false">IF($A280="","",SUMIFS(CashBook!$G$5:INDEX(CashBook!$G$5:$G$3004,TxRows),CashBook!$D$5:INDEX(CashBook!$D$5:$D$3004,TxRows),$A280,CashBook!$C$5:INDEX(CashBook!$C$5:$C$3004,TxRows),"Receipt"))</f>
        <v/>
      </c>
      <c r="L280" s="61" t="str">
        <f aca="false">IF($A280="","",SUMIFS(Purchases!$P$5:INDEX(Purchases!$P$5:$P$3004,TxRows),Purchases!$C$5:INDEX(Purchases!$C$5:$C$3004,TxRows),$A280)-SUMIFS(Purchases!$S$5:INDEX(Purchases!$S$5:$S$3004,TxRows),Purchases!$C$5:INDEX(Purchases!$C$5:$C$3004,TxRows),$A280))</f>
        <v/>
      </c>
      <c r="M280" s="61" t="str">
        <f aca="false">IF($A280="","",SUMIFS(CashBook!$G$5:INDEX(CashBook!$G$5:$G$3004,TxRows),CashBook!$D$5:INDEX(CashBook!$D$5:$D$3004,TxRows),$A280,CashBook!$C$5:INDEX(CashBook!$C$5:$C$3004,TxRows),"Payment"))</f>
        <v/>
      </c>
      <c r="N280" s="61" t="str">
        <f aca="false">IF($A280="","",N($I280)+J280-K280-L280+M280)</f>
        <v/>
      </c>
      <c r="O280" s="60" t="str">
        <f aca="false">IF($A280="","",IF(ROUND(N280,2)&gt;0,"Receivable",IF(ROUND(N280,2)&lt;0,"Payable","Settled")))</f>
        <v/>
      </c>
      <c r="P280" s="66" t="str">
        <f aca="false">IF($A280="","",IFERROR(SUMPRODUCT(MAX((Sales!$C$5:INDEX(Sales!$C$5:$C$3004,TxRows)=$A280)*Sales!$A$5:INDEX(Sales!$A$5:$A$3004,TxRows))),0))</f>
        <v/>
      </c>
      <c r="Q280" s="66" t="str">
        <f aca="false">IF($A280="","",IFERROR(SUMPRODUCT(MAX((CashBook!$D$5:INDEX(CashBook!$D$5:$D$3004,TxRows)=$A280)*(CashBook!$C$5:INDEX(CashBook!$C$5:$C$3004,TxRows)="Receipt")*CashBook!$A$5:INDEX(CashBook!$A$5:$A$3004,TxRows))),0))</f>
        <v/>
      </c>
      <c r="R280" s="67" t="str">
        <f aca="false">IF($A280="","",IF(ROUND(N280,2)&lt;=0,"",AsOf-IF(N(Q280)&gt;0,Q280,IF(N(P280)&gt;0,P280,FYStart))))</f>
        <v/>
      </c>
      <c r="S280" s="60" t="str">
        <f aca="false">IF($A280="","",IF(AND(N($G280)&gt;0,N280&gt;N($G280)),"OVER LIMIT",IF(AND(N280&gt;0,N(R280)&gt;N($H280)),"OVERDUE",IF(ROUND(N280,2)&lt;0,"PAY DUE",""))))</f>
        <v/>
      </c>
    </row>
    <row r="281" customFormat="false" ht="15" hidden="false" customHeight="false" outlineLevel="0" collapsed="false">
      <c r="A281" s="56"/>
      <c r="B281" s="56"/>
      <c r="C281" s="56"/>
      <c r="D281" s="56"/>
      <c r="E281" s="56"/>
      <c r="F281" s="56"/>
      <c r="G281" s="68"/>
      <c r="H281" s="69"/>
      <c r="I281" s="58"/>
      <c r="J281" s="61" t="str">
        <f aca="false">IF($A281="","",SUMIFS(Sales!$Q$5:INDEX(Sales!$Q$5:$Q$3004,TxRows),Sales!$C$5:INDEX(Sales!$C$5:$C$3004,TxRows),$A281)-SUMIFS(Sales!$X$5:INDEX(Sales!$X$5:$X$3004,TxRows),Sales!$C$5:INDEX(Sales!$C$5:$C$3004,TxRows),$A281))</f>
        <v/>
      </c>
      <c r="K281" s="61" t="str">
        <f aca="false">IF($A281="","",SUMIFS(CashBook!$G$5:INDEX(CashBook!$G$5:$G$3004,TxRows),CashBook!$D$5:INDEX(CashBook!$D$5:$D$3004,TxRows),$A281,CashBook!$C$5:INDEX(CashBook!$C$5:$C$3004,TxRows),"Receipt"))</f>
        <v/>
      </c>
      <c r="L281" s="61" t="str">
        <f aca="false">IF($A281="","",SUMIFS(Purchases!$P$5:INDEX(Purchases!$P$5:$P$3004,TxRows),Purchases!$C$5:INDEX(Purchases!$C$5:$C$3004,TxRows),$A281)-SUMIFS(Purchases!$S$5:INDEX(Purchases!$S$5:$S$3004,TxRows),Purchases!$C$5:INDEX(Purchases!$C$5:$C$3004,TxRows),$A281))</f>
        <v/>
      </c>
      <c r="M281" s="61" t="str">
        <f aca="false">IF($A281="","",SUMIFS(CashBook!$G$5:INDEX(CashBook!$G$5:$G$3004,TxRows),CashBook!$D$5:INDEX(CashBook!$D$5:$D$3004,TxRows),$A281,CashBook!$C$5:INDEX(CashBook!$C$5:$C$3004,TxRows),"Payment"))</f>
        <v/>
      </c>
      <c r="N281" s="61" t="str">
        <f aca="false">IF($A281="","",N($I281)+J281-K281-L281+M281)</f>
        <v/>
      </c>
      <c r="O281" s="60" t="str">
        <f aca="false">IF($A281="","",IF(ROUND(N281,2)&gt;0,"Receivable",IF(ROUND(N281,2)&lt;0,"Payable","Settled")))</f>
        <v/>
      </c>
      <c r="P281" s="66" t="str">
        <f aca="false">IF($A281="","",IFERROR(SUMPRODUCT(MAX((Sales!$C$5:INDEX(Sales!$C$5:$C$3004,TxRows)=$A281)*Sales!$A$5:INDEX(Sales!$A$5:$A$3004,TxRows))),0))</f>
        <v/>
      </c>
      <c r="Q281" s="66" t="str">
        <f aca="false">IF($A281="","",IFERROR(SUMPRODUCT(MAX((CashBook!$D$5:INDEX(CashBook!$D$5:$D$3004,TxRows)=$A281)*(CashBook!$C$5:INDEX(CashBook!$C$5:$C$3004,TxRows)="Receipt")*CashBook!$A$5:INDEX(CashBook!$A$5:$A$3004,TxRows))),0))</f>
        <v/>
      </c>
      <c r="R281" s="67" t="str">
        <f aca="false">IF($A281="","",IF(ROUND(N281,2)&lt;=0,"",AsOf-IF(N(Q281)&gt;0,Q281,IF(N(P281)&gt;0,P281,FYStart))))</f>
        <v/>
      </c>
      <c r="S281" s="60" t="str">
        <f aca="false">IF($A281="","",IF(AND(N($G281)&gt;0,N281&gt;N($G281)),"OVER LIMIT",IF(AND(N281&gt;0,N(R281)&gt;N($H281)),"OVERDUE",IF(ROUND(N281,2)&lt;0,"PAY DUE",""))))</f>
        <v/>
      </c>
    </row>
    <row r="282" customFormat="false" ht="15" hidden="false" customHeight="false" outlineLevel="0" collapsed="false">
      <c r="A282" s="56"/>
      <c r="B282" s="56"/>
      <c r="C282" s="56"/>
      <c r="D282" s="56"/>
      <c r="E282" s="56"/>
      <c r="F282" s="56"/>
      <c r="G282" s="68"/>
      <c r="H282" s="69"/>
      <c r="I282" s="58"/>
      <c r="J282" s="61" t="str">
        <f aca="false">IF($A282="","",SUMIFS(Sales!$Q$5:INDEX(Sales!$Q$5:$Q$3004,TxRows),Sales!$C$5:INDEX(Sales!$C$5:$C$3004,TxRows),$A282)-SUMIFS(Sales!$X$5:INDEX(Sales!$X$5:$X$3004,TxRows),Sales!$C$5:INDEX(Sales!$C$5:$C$3004,TxRows),$A282))</f>
        <v/>
      </c>
      <c r="K282" s="61" t="str">
        <f aca="false">IF($A282="","",SUMIFS(CashBook!$G$5:INDEX(CashBook!$G$5:$G$3004,TxRows),CashBook!$D$5:INDEX(CashBook!$D$5:$D$3004,TxRows),$A282,CashBook!$C$5:INDEX(CashBook!$C$5:$C$3004,TxRows),"Receipt"))</f>
        <v/>
      </c>
      <c r="L282" s="61" t="str">
        <f aca="false">IF($A282="","",SUMIFS(Purchases!$P$5:INDEX(Purchases!$P$5:$P$3004,TxRows),Purchases!$C$5:INDEX(Purchases!$C$5:$C$3004,TxRows),$A282)-SUMIFS(Purchases!$S$5:INDEX(Purchases!$S$5:$S$3004,TxRows),Purchases!$C$5:INDEX(Purchases!$C$5:$C$3004,TxRows),$A282))</f>
        <v/>
      </c>
      <c r="M282" s="61" t="str">
        <f aca="false">IF($A282="","",SUMIFS(CashBook!$G$5:INDEX(CashBook!$G$5:$G$3004,TxRows),CashBook!$D$5:INDEX(CashBook!$D$5:$D$3004,TxRows),$A282,CashBook!$C$5:INDEX(CashBook!$C$5:$C$3004,TxRows),"Payment"))</f>
        <v/>
      </c>
      <c r="N282" s="61" t="str">
        <f aca="false">IF($A282="","",N($I282)+J282-K282-L282+M282)</f>
        <v/>
      </c>
      <c r="O282" s="60" t="str">
        <f aca="false">IF($A282="","",IF(ROUND(N282,2)&gt;0,"Receivable",IF(ROUND(N282,2)&lt;0,"Payable","Settled")))</f>
        <v/>
      </c>
      <c r="P282" s="66" t="str">
        <f aca="false">IF($A282="","",IFERROR(SUMPRODUCT(MAX((Sales!$C$5:INDEX(Sales!$C$5:$C$3004,TxRows)=$A282)*Sales!$A$5:INDEX(Sales!$A$5:$A$3004,TxRows))),0))</f>
        <v/>
      </c>
      <c r="Q282" s="66" t="str">
        <f aca="false">IF($A282="","",IFERROR(SUMPRODUCT(MAX((CashBook!$D$5:INDEX(CashBook!$D$5:$D$3004,TxRows)=$A282)*(CashBook!$C$5:INDEX(CashBook!$C$5:$C$3004,TxRows)="Receipt")*CashBook!$A$5:INDEX(CashBook!$A$5:$A$3004,TxRows))),0))</f>
        <v/>
      </c>
      <c r="R282" s="67" t="str">
        <f aca="false">IF($A282="","",IF(ROUND(N282,2)&lt;=0,"",AsOf-IF(N(Q282)&gt;0,Q282,IF(N(P282)&gt;0,P282,FYStart))))</f>
        <v/>
      </c>
      <c r="S282" s="60" t="str">
        <f aca="false">IF($A282="","",IF(AND(N($G282)&gt;0,N282&gt;N($G282)),"OVER LIMIT",IF(AND(N282&gt;0,N(R282)&gt;N($H282)),"OVERDUE",IF(ROUND(N282,2)&lt;0,"PAY DUE",""))))</f>
        <v/>
      </c>
    </row>
    <row r="283" customFormat="false" ht="15" hidden="false" customHeight="false" outlineLevel="0" collapsed="false">
      <c r="A283" s="56"/>
      <c r="B283" s="56"/>
      <c r="C283" s="56"/>
      <c r="D283" s="56"/>
      <c r="E283" s="56"/>
      <c r="F283" s="56"/>
      <c r="G283" s="68"/>
      <c r="H283" s="69"/>
      <c r="I283" s="58"/>
      <c r="J283" s="61" t="str">
        <f aca="false">IF($A283="","",SUMIFS(Sales!$Q$5:INDEX(Sales!$Q$5:$Q$3004,TxRows),Sales!$C$5:INDEX(Sales!$C$5:$C$3004,TxRows),$A283)-SUMIFS(Sales!$X$5:INDEX(Sales!$X$5:$X$3004,TxRows),Sales!$C$5:INDEX(Sales!$C$5:$C$3004,TxRows),$A283))</f>
        <v/>
      </c>
      <c r="K283" s="61" t="str">
        <f aca="false">IF($A283="","",SUMIFS(CashBook!$G$5:INDEX(CashBook!$G$5:$G$3004,TxRows),CashBook!$D$5:INDEX(CashBook!$D$5:$D$3004,TxRows),$A283,CashBook!$C$5:INDEX(CashBook!$C$5:$C$3004,TxRows),"Receipt"))</f>
        <v/>
      </c>
      <c r="L283" s="61" t="str">
        <f aca="false">IF($A283="","",SUMIFS(Purchases!$P$5:INDEX(Purchases!$P$5:$P$3004,TxRows),Purchases!$C$5:INDEX(Purchases!$C$5:$C$3004,TxRows),$A283)-SUMIFS(Purchases!$S$5:INDEX(Purchases!$S$5:$S$3004,TxRows),Purchases!$C$5:INDEX(Purchases!$C$5:$C$3004,TxRows),$A283))</f>
        <v/>
      </c>
      <c r="M283" s="61" t="str">
        <f aca="false">IF($A283="","",SUMIFS(CashBook!$G$5:INDEX(CashBook!$G$5:$G$3004,TxRows),CashBook!$D$5:INDEX(CashBook!$D$5:$D$3004,TxRows),$A283,CashBook!$C$5:INDEX(CashBook!$C$5:$C$3004,TxRows),"Payment"))</f>
        <v/>
      </c>
      <c r="N283" s="61" t="str">
        <f aca="false">IF($A283="","",N($I283)+J283-K283-L283+M283)</f>
        <v/>
      </c>
      <c r="O283" s="60" t="str">
        <f aca="false">IF($A283="","",IF(ROUND(N283,2)&gt;0,"Receivable",IF(ROUND(N283,2)&lt;0,"Payable","Settled")))</f>
        <v/>
      </c>
      <c r="P283" s="66" t="str">
        <f aca="false">IF($A283="","",IFERROR(SUMPRODUCT(MAX((Sales!$C$5:INDEX(Sales!$C$5:$C$3004,TxRows)=$A283)*Sales!$A$5:INDEX(Sales!$A$5:$A$3004,TxRows))),0))</f>
        <v/>
      </c>
      <c r="Q283" s="66" t="str">
        <f aca="false">IF($A283="","",IFERROR(SUMPRODUCT(MAX((CashBook!$D$5:INDEX(CashBook!$D$5:$D$3004,TxRows)=$A283)*(CashBook!$C$5:INDEX(CashBook!$C$5:$C$3004,TxRows)="Receipt")*CashBook!$A$5:INDEX(CashBook!$A$5:$A$3004,TxRows))),0))</f>
        <v/>
      </c>
      <c r="R283" s="67" t="str">
        <f aca="false">IF($A283="","",IF(ROUND(N283,2)&lt;=0,"",AsOf-IF(N(Q283)&gt;0,Q283,IF(N(P283)&gt;0,P283,FYStart))))</f>
        <v/>
      </c>
      <c r="S283" s="60" t="str">
        <f aca="false">IF($A283="","",IF(AND(N($G283)&gt;0,N283&gt;N($G283)),"OVER LIMIT",IF(AND(N283&gt;0,N(R283)&gt;N($H283)),"OVERDUE",IF(ROUND(N283,2)&lt;0,"PAY DUE",""))))</f>
        <v/>
      </c>
    </row>
    <row r="284" customFormat="false" ht="15" hidden="false" customHeight="false" outlineLevel="0" collapsed="false">
      <c r="A284" s="56"/>
      <c r="B284" s="56"/>
      <c r="C284" s="56"/>
      <c r="D284" s="56"/>
      <c r="E284" s="56"/>
      <c r="F284" s="56"/>
      <c r="G284" s="68"/>
      <c r="H284" s="69"/>
      <c r="I284" s="58"/>
      <c r="J284" s="61" t="str">
        <f aca="false">IF($A284="","",SUMIFS(Sales!$Q$5:INDEX(Sales!$Q$5:$Q$3004,TxRows),Sales!$C$5:INDEX(Sales!$C$5:$C$3004,TxRows),$A284)-SUMIFS(Sales!$X$5:INDEX(Sales!$X$5:$X$3004,TxRows),Sales!$C$5:INDEX(Sales!$C$5:$C$3004,TxRows),$A284))</f>
        <v/>
      </c>
      <c r="K284" s="61" t="str">
        <f aca="false">IF($A284="","",SUMIFS(CashBook!$G$5:INDEX(CashBook!$G$5:$G$3004,TxRows),CashBook!$D$5:INDEX(CashBook!$D$5:$D$3004,TxRows),$A284,CashBook!$C$5:INDEX(CashBook!$C$5:$C$3004,TxRows),"Receipt"))</f>
        <v/>
      </c>
      <c r="L284" s="61" t="str">
        <f aca="false">IF($A284="","",SUMIFS(Purchases!$P$5:INDEX(Purchases!$P$5:$P$3004,TxRows),Purchases!$C$5:INDEX(Purchases!$C$5:$C$3004,TxRows),$A284)-SUMIFS(Purchases!$S$5:INDEX(Purchases!$S$5:$S$3004,TxRows),Purchases!$C$5:INDEX(Purchases!$C$5:$C$3004,TxRows),$A284))</f>
        <v/>
      </c>
      <c r="M284" s="61" t="str">
        <f aca="false">IF($A284="","",SUMIFS(CashBook!$G$5:INDEX(CashBook!$G$5:$G$3004,TxRows),CashBook!$D$5:INDEX(CashBook!$D$5:$D$3004,TxRows),$A284,CashBook!$C$5:INDEX(CashBook!$C$5:$C$3004,TxRows),"Payment"))</f>
        <v/>
      </c>
      <c r="N284" s="61" t="str">
        <f aca="false">IF($A284="","",N($I284)+J284-K284-L284+M284)</f>
        <v/>
      </c>
      <c r="O284" s="60" t="str">
        <f aca="false">IF($A284="","",IF(ROUND(N284,2)&gt;0,"Receivable",IF(ROUND(N284,2)&lt;0,"Payable","Settled")))</f>
        <v/>
      </c>
      <c r="P284" s="66" t="str">
        <f aca="false">IF($A284="","",IFERROR(SUMPRODUCT(MAX((Sales!$C$5:INDEX(Sales!$C$5:$C$3004,TxRows)=$A284)*Sales!$A$5:INDEX(Sales!$A$5:$A$3004,TxRows))),0))</f>
        <v/>
      </c>
      <c r="Q284" s="66" t="str">
        <f aca="false">IF($A284="","",IFERROR(SUMPRODUCT(MAX((CashBook!$D$5:INDEX(CashBook!$D$5:$D$3004,TxRows)=$A284)*(CashBook!$C$5:INDEX(CashBook!$C$5:$C$3004,TxRows)="Receipt")*CashBook!$A$5:INDEX(CashBook!$A$5:$A$3004,TxRows))),0))</f>
        <v/>
      </c>
      <c r="R284" s="67" t="str">
        <f aca="false">IF($A284="","",IF(ROUND(N284,2)&lt;=0,"",AsOf-IF(N(Q284)&gt;0,Q284,IF(N(P284)&gt;0,P284,FYStart))))</f>
        <v/>
      </c>
      <c r="S284" s="60" t="str">
        <f aca="false">IF($A284="","",IF(AND(N($G284)&gt;0,N284&gt;N($G284)),"OVER LIMIT",IF(AND(N284&gt;0,N(R284)&gt;N($H284)),"OVERDUE",IF(ROUND(N284,2)&lt;0,"PAY DUE",""))))</f>
        <v/>
      </c>
    </row>
    <row r="285" customFormat="false" ht="15" hidden="false" customHeight="false" outlineLevel="0" collapsed="false">
      <c r="A285" s="56"/>
      <c r="B285" s="56"/>
      <c r="C285" s="56"/>
      <c r="D285" s="56"/>
      <c r="E285" s="56"/>
      <c r="F285" s="56"/>
      <c r="G285" s="68"/>
      <c r="H285" s="69"/>
      <c r="I285" s="58"/>
      <c r="J285" s="61" t="str">
        <f aca="false">IF($A285="","",SUMIFS(Sales!$Q$5:INDEX(Sales!$Q$5:$Q$3004,TxRows),Sales!$C$5:INDEX(Sales!$C$5:$C$3004,TxRows),$A285)-SUMIFS(Sales!$X$5:INDEX(Sales!$X$5:$X$3004,TxRows),Sales!$C$5:INDEX(Sales!$C$5:$C$3004,TxRows),$A285))</f>
        <v/>
      </c>
      <c r="K285" s="61" t="str">
        <f aca="false">IF($A285="","",SUMIFS(CashBook!$G$5:INDEX(CashBook!$G$5:$G$3004,TxRows),CashBook!$D$5:INDEX(CashBook!$D$5:$D$3004,TxRows),$A285,CashBook!$C$5:INDEX(CashBook!$C$5:$C$3004,TxRows),"Receipt"))</f>
        <v/>
      </c>
      <c r="L285" s="61" t="str">
        <f aca="false">IF($A285="","",SUMIFS(Purchases!$P$5:INDEX(Purchases!$P$5:$P$3004,TxRows),Purchases!$C$5:INDEX(Purchases!$C$5:$C$3004,TxRows),$A285)-SUMIFS(Purchases!$S$5:INDEX(Purchases!$S$5:$S$3004,TxRows),Purchases!$C$5:INDEX(Purchases!$C$5:$C$3004,TxRows),$A285))</f>
        <v/>
      </c>
      <c r="M285" s="61" t="str">
        <f aca="false">IF($A285="","",SUMIFS(CashBook!$G$5:INDEX(CashBook!$G$5:$G$3004,TxRows),CashBook!$D$5:INDEX(CashBook!$D$5:$D$3004,TxRows),$A285,CashBook!$C$5:INDEX(CashBook!$C$5:$C$3004,TxRows),"Payment"))</f>
        <v/>
      </c>
      <c r="N285" s="61" t="str">
        <f aca="false">IF($A285="","",N($I285)+J285-K285-L285+M285)</f>
        <v/>
      </c>
      <c r="O285" s="60" t="str">
        <f aca="false">IF($A285="","",IF(ROUND(N285,2)&gt;0,"Receivable",IF(ROUND(N285,2)&lt;0,"Payable","Settled")))</f>
        <v/>
      </c>
      <c r="P285" s="66" t="str">
        <f aca="false">IF($A285="","",IFERROR(SUMPRODUCT(MAX((Sales!$C$5:INDEX(Sales!$C$5:$C$3004,TxRows)=$A285)*Sales!$A$5:INDEX(Sales!$A$5:$A$3004,TxRows))),0))</f>
        <v/>
      </c>
      <c r="Q285" s="66" t="str">
        <f aca="false">IF($A285="","",IFERROR(SUMPRODUCT(MAX((CashBook!$D$5:INDEX(CashBook!$D$5:$D$3004,TxRows)=$A285)*(CashBook!$C$5:INDEX(CashBook!$C$5:$C$3004,TxRows)="Receipt")*CashBook!$A$5:INDEX(CashBook!$A$5:$A$3004,TxRows))),0))</f>
        <v/>
      </c>
      <c r="R285" s="67" t="str">
        <f aca="false">IF($A285="","",IF(ROUND(N285,2)&lt;=0,"",AsOf-IF(N(Q285)&gt;0,Q285,IF(N(P285)&gt;0,P285,FYStart))))</f>
        <v/>
      </c>
      <c r="S285" s="60" t="str">
        <f aca="false">IF($A285="","",IF(AND(N($G285)&gt;0,N285&gt;N($G285)),"OVER LIMIT",IF(AND(N285&gt;0,N(R285)&gt;N($H285)),"OVERDUE",IF(ROUND(N285,2)&lt;0,"PAY DUE",""))))</f>
        <v/>
      </c>
    </row>
    <row r="286" customFormat="false" ht="15" hidden="false" customHeight="false" outlineLevel="0" collapsed="false">
      <c r="A286" s="56"/>
      <c r="B286" s="56"/>
      <c r="C286" s="56"/>
      <c r="D286" s="56"/>
      <c r="E286" s="56"/>
      <c r="F286" s="56"/>
      <c r="G286" s="68"/>
      <c r="H286" s="69"/>
      <c r="I286" s="58"/>
      <c r="J286" s="61" t="str">
        <f aca="false">IF($A286="","",SUMIFS(Sales!$Q$5:INDEX(Sales!$Q$5:$Q$3004,TxRows),Sales!$C$5:INDEX(Sales!$C$5:$C$3004,TxRows),$A286)-SUMIFS(Sales!$X$5:INDEX(Sales!$X$5:$X$3004,TxRows),Sales!$C$5:INDEX(Sales!$C$5:$C$3004,TxRows),$A286))</f>
        <v/>
      </c>
      <c r="K286" s="61" t="str">
        <f aca="false">IF($A286="","",SUMIFS(CashBook!$G$5:INDEX(CashBook!$G$5:$G$3004,TxRows),CashBook!$D$5:INDEX(CashBook!$D$5:$D$3004,TxRows),$A286,CashBook!$C$5:INDEX(CashBook!$C$5:$C$3004,TxRows),"Receipt"))</f>
        <v/>
      </c>
      <c r="L286" s="61" t="str">
        <f aca="false">IF($A286="","",SUMIFS(Purchases!$P$5:INDEX(Purchases!$P$5:$P$3004,TxRows),Purchases!$C$5:INDEX(Purchases!$C$5:$C$3004,TxRows),$A286)-SUMIFS(Purchases!$S$5:INDEX(Purchases!$S$5:$S$3004,TxRows),Purchases!$C$5:INDEX(Purchases!$C$5:$C$3004,TxRows),$A286))</f>
        <v/>
      </c>
      <c r="M286" s="61" t="str">
        <f aca="false">IF($A286="","",SUMIFS(CashBook!$G$5:INDEX(CashBook!$G$5:$G$3004,TxRows),CashBook!$D$5:INDEX(CashBook!$D$5:$D$3004,TxRows),$A286,CashBook!$C$5:INDEX(CashBook!$C$5:$C$3004,TxRows),"Payment"))</f>
        <v/>
      </c>
      <c r="N286" s="61" t="str">
        <f aca="false">IF($A286="","",N($I286)+J286-K286-L286+M286)</f>
        <v/>
      </c>
      <c r="O286" s="60" t="str">
        <f aca="false">IF($A286="","",IF(ROUND(N286,2)&gt;0,"Receivable",IF(ROUND(N286,2)&lt;0,"Payable","Settled")))</f>
        <v/>
      </c>
      <c r="P286" s="66" t="str">
        <f aca="false">IF($A286="","",IFERROR(SUMPRODUCT(MAX((Sales!$C$5:INDEX(Sales!$C$5:$C$3004,TxRows)=$A286)*Sales!$A$5:INDEX(Sales!$A$5:$A$3004,TxRows))),0))</f>
        <v/>
      </c>
      <c r="Q286" s="66" t="str">
        <f aca="false">IF($A286="","",IFERROR(SUMPRODUCT(MAX((CashBook!$D$5:INDEX(CashBook!$D$5:$D$3004,TxRows)=$A286)*(CashBook!$C$5:INDEX(CashBook!$C$5:$C$3004,TxRows)="Receipt")*CashBook!$A$5:INDEX(CashBook!$A$5:$A$3004,TxRows))),0))</f>
        <v/>
      </c>
      <c r="R286" s="67" t="str">
        <f aca="false">IF($A286="","",IF(ROUND(N286,2)&lt;=0,"",AsOf-IF(N(Q286)&gt;0,Q286,IF(N(P286)&gt;0,P286,FYStart))))</f>
        <v/>
      </c>
      <c r="S286" s="60" t="str">
        <f aca="false">IF($A286="","",IF(AND(N($G286)&gt;0,N286&gt;N($G286)),"OVER LIMIT",IF(AND(N286&gt;0,N(R286)&gt;N($H286)),"OVERDUE",IF(ROUND(N286,2)&lt;0,"PAY DUE",""))))</f>
        <v/>
      </c>
    </row>
    <row r="287" customFormat="false" ht="15" hidden="false" customHeight="false" outlineLevel="0" collapsed="false">
      <c r="A287" s="56"/>
      <c r="B287" s="56"/>
      <c r="C287" s="56"/>
      <c r="D287" s="56"/>
      <c r="E287" s="56"/>
      <c r="F287" s="56"/>
      <c r="G287" s="68"/>
      <c r="H287" s="69"/>
      <c r="I287" s="58"/>
      <c r="J287" s="61" t="str">
        <f aca="false">IF($A287="","",SUMIFS(Sales!$Q$5:INDEX(Sales!$Q$5:$Q$3004,TxRows),Sales!$C$5:INDEX(Sales!$C$5:$C$3004,TxRows),$A287)-SUMIFS(Sales!$X$5:INDEX(Sales!$X$5:$X$3004,TxRows),Sales!$C$5:INDEX(Sales!$C$5:$C$3004,TxRows),$A287))</f>
        <v/>
      </c>
      <c r="K287" s="61" t="str">
        <f aca="false">IF($A287="","",SUMIFS(CashBook!$G$5:INDEX(CashBook!$G$5:$G$3004,TxRows),CashBook!$D$5:INDEX(CashBook!$D$5:$D$3004,TxRows),$A287,CashBook!$C$5:INDEX(CashBook!$C$5:$C$3004,TxRows),"Receipt"))</f>
        <v/>
      </c>
      <c r="L287" s="61" t="str">
        <f aca="false">IF($A287="","",SUMIFS(Purchases!$P$5:INDEX(Purchases!$P$5:$P$3004,TxRows),Purchases!$C$5:INDEX(Purchases!$C$5:$C$3004,TxRows),$A287)-SUMIFS(Purchases!$S$5:INDEX(Purchases!$S$5:$S$3004,TxRows),Purchases!$C$5:INDEX(Purchases!$C$5:$C$3004,TxRows),$A287))</f>
        <v/>
      </c>
      <c r="M287" s="61" t="str">
        <f aca="false">IF($A287="","",SUMIFS(CashBook!$G$5:INDEX(CashBook!$G$5:$G$3004,TxRows),CashBook!$D$5:INDEX(CashBook!$D$5:$D$3004,TxRows),$A287,CashBook!$C$5:INDEX(CashBook!$C$5:$C$3004,TxRows),"Payment"))</f>
        <v/>
      </c>
      <c r="N287" s="61" t="str">
        <f aca="false">IF($A287="","",N($I287)+J287-K287-L287+M287)</f>
        <v/>
      </c>
      <c r="O287" s="60" t="str">
        <f aca="false">IF($A287="","",IF(ROUND(N287,2)&gt;0,"Receivable",IF(ROUND(N287,2)&lt;0,"Payable","Settled")))</f>
        <v/>
      </c>
      <c r="P287" s="66" t="str">
        <f aca="false">IF($A287="","",IFERROR(SUMPRODUCT(MAX((Sales!$C$5:INDEX(Sales!$C$5:$C$3004,TxRows)=$A287)*Sales!$A$5:INDEX(Sales!$A$5:$A$3004,TxRows))),0))</f>
        <v/>
      </c>
      <c r="Q287" s="66" t="str">
        <f aca="false">IF($A287="","",IFERROR(SUMPRODUCT(MAX((CashBook!$D$5:INDEX(CashBook!$D$5:$D$3004,TxRows)=$A287)*(CashBook!$C$5:INDEX(CashBook!$C$5:$C$3004,TxRows)="Receipt")*CashBook!$A$5:INDEX(CashBook!$A$5:$A$3004,TxRows))),0))</f>
        <v/>
      </c>
      <c r="R287" s="67" t="str">
        <f aca="false">IF($A287="","",IF(ROUND(N287,2)&lt;=0,"",AsOf-IF(N(Q287)&gt;0,Q287,IF(N(P287)&gt;0,P287,FYStart))))</f>
        <v/>
      </c>
      <c r="S287" s="60" t="str">
        <f aca="false">IF($A287="","",IF(AND(N($G287)&gt;0,N287&gt;N($G287)),"OVER LIMIT",IF(AND(N287&gt;0,N(R287)&gt;N($H287)),"OVERDUE",IF(ROUND(N287,2)&lt;0,"PAY DUE",""))))</f>
        <v/>
      </c>
    </row>
    <row r="288" customFormat="false" ht="15" hidden="false" customHeight="false" outlineLevel="0" collapsed="false">
      <c r="A288" s="56"/>
      <c r="B288" s="56"/>
      <c r="C288" s="56"/>
      <c r="D288" s="56"/>
      <c r="E288" s="56"/>
      <c r="F288" s="56"/>
      <c r="G288" s="68"/>
      <c r="H288" s="69"/>
      <c r="I288" s="58"/>
      <c r="J288" s="61" t="str">
        <f aca="false">IF($A288="","",SUMIFS(Sales!$Q$5:INDEX(Sales!$Q$5:$Q$3004,TxRows),Sales!$C$5:INDEX(Sales!$C$5:$C$3004,TxRows),$A288)-SUMIFS(Sales!$X$5:INDEX(Sales!$X$5:$X$3004,TxRows),Sales!$C$5:INDEX(Sales!$C$5:$C$3004,TxRows),$A288))</f>
        <v/>
      </c>
      <c r="K288" s="61" t="str">
        <f aca="false">IF($A288="","",SUMIFS(CashBook!$G$5:INDEX(CashBook!$G$5:$G$3004,TxRows),CashBook!$D$5:INDEX(CashBook!$D$5:$D$3004,TxRows),$A288,CashBook!$C$5:INDEX(CashBook!$C$5:$C$3004,TxRows),"Receipt"))</f>
        <v/>
      </c>
      <c r="L288" s="61" t="str">
        <f aca="false">IF($A288="","",SUMIFS(Purchases!$P$5:INDEX(Purchases!$P$5:$P$3004,TxRows),Purchases!$C$5:INDEX(Purchases!$C$5:$C$3004,TxRows),$A288)-SUMIFS(Purchases!$S$5:INDEX(Purchases!$S$5:$S$3004,TxRows),Purchases!$C$5:INDEX(Purchases!$C$5:$C$3004,TxRows),$A288))</f>
        <v/>
      </c>
      <c r="M288" s="61" t="str">
        <f aca="false">IF($A288="","",SUMIFS(CashBook!$G$5:INDEX(CashBook!$G$5:$G$3004,TxRows),CashBook!$D$5:INDEX(CashBook!$D$5:$D$3004,TxRows),$A288,CashBook!$C$5:INDEX(CashBook!$C$5:$C$3004,TxRows),"Payment"))</f>
        <v/>
      </c>
      <c r="N288" s="61" t="str">
        <f aca="false">IF($A288="","",N($I288)+J288-K288-L288+M288)</f>
        <v/>
      </c>
      <c r="O288" s="60" t="str">
        <f aca="false">IF($A288="","",IF(ROUND(N288,2)&gt;0,"Receivable",IF(ROUND(N288,2)&lt;0,"Payable","Settled")))</f>
        <v/>
      </c>
      <c r="P288" s="66" t="str">
        <f aca="false">IF($A288="","",IFERROR(SUMPRODUCT(MAX((Sales!$C$5:INDEX(Sales!$C$5:$C$3004,TxRows)=$A288)*Sales!$A$5:INDEX(Sales!$A$5:$A$3004,TxRows))),0))</f>
        <v/>
      </c>
      <c r="Q288" s="66" t="str">
        <f aca="false">IF($A288="","",IFERROR(SUMPRODUCT(MAX((CashBook!$D$5:INDEX(CashBook!$D$5:$D$3004,TxRows)=$A288)*(CashBook!$C$5:INDEX(CashBook!$C$5:$C$3004,TxRows)="Receipt")*CashBook!$A$5:INDEX(CashBook!$A$5:$A$3004,TxRows))),0))</f>
        <v/>
      </c>
      <c r="R288" s="67" t="str">
        <f aca="false">IF($A288="","",IF(ROUND(N288,2)&lt;=0,"",AsOf-IF(N(Q288)&gt;0,Q288,IF(N(P288)&gt;0,P288,FYStart))))</f>
        <v/>
      </c>
      <c r="S288" s="60" t="str">
        <f aca="false">IF($A288="","",IF(AND(N($G288)&gt;0,N288&gt;N($G288)),"OVER LIMIT",IF(AND(N288&gt;0,N(R288)&gt;N($H288)),"OVERDUE",IF(ROUND(N288,2)&lt;0,"PAY DUE",""))))</f>
        <v/>
      </c>
    </row>
    <row r="289" customFormat="false" ht="15" hidden="false" customHeight="false" outlineLevel="0" collapsed="false">
      <c r="A289" s="56"/>
      <c r="B289" s="56"/>
      <c r="C289" s="56"/>
      <c r="D289" s="56"/>
      <c r="E289" s="56"/>
      <c r="F289" s="56"/>
      <c r="G289" s="68"/>
      <c r="H289" s="69"/>
      <c r="I289" s="58"/>
      <c r="J289" s="61" t="str">
        <f aca="false">IF($A289="","",SUMIFS(Sales!$Q$5:INDEX(Sales!$Q$5:$Q$3004,TxRows),Sales!$C$5:INDEX(Sales!$C$5:$C$3004,TxRows),$A289)-SUMIFS(Sales!$X$5:INDEX(Sales!$X$5:$X$3004,TxRows),Sales!$C$5:INDEX(Sales!$C$5:$C$3004,TxRows),$A289))</f>
        <v/>
      </c>
      <c r="K289" s="61" t="str">
        <f aca="false">IF($A289="","",SUMIFS(CashBook!$G$5:INDEX(CashBook!$G$5:$G$3004,TxRows),CashBook!$D$5:INDEX(CashBook!$D$5:$D$3004,TxRows),$A289,CashBook!$C$5:INDEX(CashBook!$C$5:$C$3004,TxRows),"Receipt"))</f>
        <v/>
      </c>
      <c r="L289" s="61" t="str">
        <f aca="false">IF($A289="","",SUMIFS(Purchases!$P$5:INDEX(Purchases!$P$5:$P$3004,TxRows),Purchases!$C$5:INDEX(Purchases!$C$5:$C$3004,TxRows),$A289)-SUMIFS(Purchases!$S$5:INDEX(Purchases!$S$5:$S$3004,TxRows),Purchases!$C$5:INDEX(Purchases!$C$5:$C$3004,TxRows),$A289))</f>
        <v/>
      </c>
      <c r="M289" s="61" t="str">
        <f aca="false">IF($A289="","",SUMIFS(CashBook!$G$5:INDEX(CashBook!$G$5:$G$3004,TxRows),CashBook!$D$5:INDEX(CashBook!$D$5:$D$3004,TxRows),$A289,CashBook!$C$5:INDEX(CashBook!$C$5:$C$3004,TxRows),"Payment"))</f>
        <v/>
      </c>
      <c r="N289" s="61" t="str">
        <f aca="false">IF($A289="","",N($I289)+J289-K289-L289+M289)</f>
        <v/>
      </c>
      <c r="O289" s="60" t="str">
        <f aca="false">IF($A289="","",IF(ROUND(N289,2)&gt;0,"Receivable",IF(ROUND(N289,2)&lt;0,"Payable","Settled")))</f>
        <v/>
      </c>
      <c r="P289" s="66" t="str">
        <f aca="false">IF($A289="","",IFERROR(SUMPRODUCT(MAX((Sales!$C$5:INDEX(Sales!$C$5:$C$3004,TxRows)=$A289)*Sales!$A$5:INDEX(Sales!$A$5:$A$3004,TxRows))),0))</f>
        <v/>
      </c>
      <c r="Q289" s="66" t="str">
        <f aca="false">IF($A289="","",IFERROR(SUMPRODUCT(MAX((CashBook!$D$5:INDEX(CashBook!$D$5:$D$3004,TxRows)=$A289)*(CashBook!$C$5:INDEX(CashBook!$C$5:$C$3004,TxRows)="Receipt")*CashBook!$A$5:INDEX(CashBook!$A$5:$A$3004,TxRows))),0))</f>
        <v/>
      </c>
      <c r="R289" s="67" t="str">
        <f aca="false">IF($A289="","",IF(ROUND(N289,2)&lt;=0,"",AsOf-IF(N(Q289)&gt;0,Q289,IF(N(P289)&gt;0,P289,FYStart))))</f>
        <v/>
      </c>
      <c r="S289" s="60" t="str">
        <f aca="false">IF($A289="","",IF(AND(N($G289)&gt;0,N289&gt;N($G289)),"OVER LIMIT",IF(AND(N289&gt;0,N(R289)&gt;N($H289)),"OVERDUE",IF(ROUND(N289,2)&lt;0,"PAY DUE",""))))</f>
        <v/>
      </c>
    </row>
    <row r="290" customFormat="false" ht="15" hidden="false" customHeight="false" outlineLevel="0" collapsed="false">
      <c r="A290" s="56"/>
      <c r="B290" s="56"/>
      <c r="C290" s="56"/>
      <c r="D290" s="56"/>
      <c r="E290" s="56"/>
      <c r="F290" s="56"/>
      <c r="G290" s="68"/>
      <c r="H290" s="69"/>
      <c r="I290" s="58"/>
      <c r="J290" s="61" t="str">
        <f aca="false">IF($A290="","",SUMIFS(Sales!$Q$5:INDEX(Sales!$Q$5:$Q$3004,TxRows),Sales!$C$5:INDEX(Sales!$C$5:$C$3004,TxRows),$A290)-SUMIFS(Sales!$X$5:INDEX(Sales!$X$5:$X$3004,TxRows),Sales!$C$5:INDEX(Sales!$C$5:$C$3004,TxRows),$A290))</f>
        <v/>
      </c>
      <c r="K290" s="61" t="str">
        <f aca="false">IF($A290="","",SUMIFS(CashBook!$G$5:INDEX(CashBook!$G$5:$G$3004,TxRows),CashBook!$D$5:INDEX(CashBook!$D$5:$D$3004,TxRows),$A290,CashBook!$C$5:INDEX(CashBook!$C$5:$C$3004,TxRows),"Receipt"))</f>
        <v/>
      </c>
      <c r="L290" s="61" t="str">
        <f aca="false">IF($A290="","",SUMIFS(Purchases!$P$5:INDEX(Purchases!$P$5:$P$3004,TxRows),Purchases!$C$5:INDEX(Purchases!$C$5:$C$3004,TxRows),$A290)-SUMIFS(Purchases!$S$5:INDEX(Purchases!$S$5:$S$3004,TxRows),Purchases!$C$5:INDEX(Purchases!$C$5:$C$3004,TxRows),$A290))</f>
        <v/>
      </c>
      <c r="M290" s="61" t="str">
        <f aca="false">IF($A290="","",SUMIFS(CashBook!$G$5:INDEX(CashBook!$G$5:$G$3004,TxRows),CashBook!$D$5:INDEX(CashBook!$D$5:$D$3004,TxRows),$A290,CashBook!$C$5:INDEX(CashBook!$C$5:$C$3004,TxRows),"Payment"))</f>
        <v/>
      </c>
      <c r="N290" s="61" t="str">
        <f aca="false">IF($A290="","",N($I290)+J290-K290-L290+M290)</f>
        <v/>
      </c>
      <c r="O290" s="60" t="str">
        <f aca="false">IF($A290="","",IF(ROUND(N290,2)&gt;0,"Receivable",IF(ROUND(N290,2)&lt;0,"Payable","Settled")))</f>
        <v/>
      </c>
      <c r="P290" s="66" t="str">
        <f aca="false">IF($A290="","",IFERROR(SUMPRODUCT(MAX((Sales!$C$5:INDEX(Sales!$C$5:$C$3004,TxRows)=$A290)*Sales!$A$5:INDEX(Sales!$A$5:$A$3004,TxRows))),0))</f>
        <v/>
      </c>
      <c r="Q290" s="66" t="str">
        <f aca="false">IF($A290="","",IFERROR(SUMPRODUCT(MAX((CashBook!$D$5:INDEX(CashBook!$D$5:$D$3004,TxRows)=$A290)*(CashBook!$C$5:INDEX(CashBook!$C$5:$C$3004,TxRows)="Receipt")*CashBook!$A$5:INDEX(CashBook!$A$5:$A$3004,TxRows))),0))</f>
        <v/>
      </c>
      <c r="R290" s="67" t="str">
        <f aca="false">IF($A290="","",IF(ROUND(N290,2)&lt;=0,"",AsOf-IF(N(Q290)&gt;0,Q290,IF(N(P290)&gt;0,P290,FYStart))))</f>
        <v/>
      </c>
      <c r="S290" s="60" t="str">
        <f aca="false">IF($A290="","",IF(AND(N($G290)&gt;0,N290&gt;N($G290)),"OVER LIMIT",IF(AND(N290&gt;0,N(R290)&gt;N($H290)),"OVERDUE",IF(ROUND(N290,2)&lt;0,"PAY DUE",""))))</f>
        <v/>
      </c>
    </row>
    <row r="291" customFormat="false" ht="15" hidden="false" customHeight="false" outlineLevel="0" collapsed="false">
      <c r="A291" s="56"/>
      <c r="B291" s="56"/>
      <c r="C291" s="56"/>
      <c r="D291" s="56"/>
      <c r="E291" s="56"/>
      <c r="F291" s="56"/>
      <c r="G291" s="68"/>
      <c r="H291" s="69"/>
      <c r="I291" s="58"/>
      <c r="J291" s="61" t="str">
        <f aca="false">IF($A291="","",SUMIFS(Sales!$Q$5:INDEX(Sales!$Q$5:$Q$3004,TxRows),Sales!$C$5:INDEX(Sales!$C$5:$C$3004,TxRows),$A291)-SUMIFS(Sales!$X$5:INDEX(Sales!$X$5:$X$3004,TxRows),Sales!$C$5:INDEX(Sales!$C$5:$C$3004,TxRows),$A291))</f>
        <v/>
      </c>
      <c r="K291" s="61" t="str">
        <f aca="false">IF($A291="","",SUMIFS(CashBook!$G$5:INDEX(CashBook!$G$5:$G$3004,TxRows),CashBook!$D$5:INDEX(CashBook!$D$5:$D$3004,TxRows),$A291,CashBook!$C$5:INDEX(CashBook!$C$5:$C$3004,TxRows),"Receipt"))</f>
        <v/>
      </c>
      <c r="L291" s="61" t="str">
        <f aca="false">IF($A291="","",SUMIFS(Purchases!$P$5:INDEX(Purchases!$P$5:$P$3004,TxRows),Purchases!$C$5:INDEX(Purchases!$C$5:$C$3004,TxRows),$A291)-SUMIFS(Purchases!$S$5:INDEX(Purchases!$S$5:$S$3004,TxRows),Purchases!$C$5:INDEX(Purchases!$C$5:$C$3004,TxRows),$A291))</f>
        <v/>
      </c>
      <c r="M291" s="61" t="str">
        <f aca="false">IF($A291="","",SUMIFS(CashBook!$G$5:INDEX(CashBook!$G$5:$G$3004,TxRows),CashBook!$D$5:INDEX(CashBook!$D$5:$D$3004,TxRows),$A291,CashBook!$C$5:INDEX(CashBook!$C$5:$C$3004,TxRows),"Payment"))</f>
        <v/>
      </c>
      <c r="N291" s="61" t="str">
        <f aca="false">IF($A291="","",N($I291)+J291-K291-L291+M291)</f>
        <v/>
      </c>
      <c r="O291" s="60" t="str">
        <f aca="false">IF($A291="","",IF(ROUND(N291,2)&gt;0,"Receivable",IF(ROUND(N291,2)&lt;0,"Payable","Settled")))</f>
        <v/>
      </c>
      <c r="P291" s="66" t="str">
        <f aca="false">IF($A291="","",IFERROR(SUMPRODUCT(MAX((Sales!$C$5:INDEX(Sales!$C$5:$C$3004,TxRows)=$A291)*Sales!$A$5:INDEX(Sales!$A$5:$A$3004,TxRows))),0))</f>
        <v/>
      </c>
      <c r="Q291" s="66" t="str">
        <f aca="false">IF($A291="","",IFERROR(SUMPRODUCT(MAX((CashBook!$D$5:INDEX(CashBook!$D$5:$D$3004,TxRows)=$A291)*(CashBook!$C$5:INDEX(CashBook!$C$5:$C$3004,TxRows)="Receipt")*CashBook!$A$5:INDEX(CashBook!$A$5:$A$3004,TxRows))),0))</f>
        <v/>
      </c>
      <c r="R291" s="67" t="str">
        <f aca="false">IF($A291="","",IF(ROUND(N291,2)&lt;=0,"",AsOf-IF(N(Q291)&gt;0,Q291,IF(N(P291)&gt;0,P291,FYStart))))</f>
        <v/>
      </c>
      <c r="S291" s="60" t="str">
        <f aca="false">IF($A291="","",IF(AND(N($G291)&gt;0,N291&gt;N($G291)),"OVER LIMIT",IF(AND(N291&gt;0,N(R291)&gt;N($H291)),"OVERDUE",IF(ROUND(N291,2)&lt;0,"PAY DUE",""))))</f>
        <v/>
      </c>
    </row>
    <row r="292" customFormat="false" ht="15" hidden="false" customHeight="false" outlineLevel="0" collapsed="false">
      <c r="A292" s="56"/>
      <c r="B292" s="56"/>
      <c r="C292" s="56"/>
      <c r="D292" s="56"/>
      <c r="E292" s="56"/>
      <c r="F292" s="56"/>
      <c r="G292" s="68"/>
      <c r="H292" s="69"/>
      <c r="I292" s="58"/>
      <c r="J292" s="61" t="str">
        <f aca="false">IF($A292="","",SUMIFS(Sales!$Q$5:INDEX(Sales!$Q$5:$Q$3004,TxRows),Sales!$C$5:INDEX(Sales!$C$5:$C$3004,TxRows),$A292)-SUMIFS(Sales!$X$5:INDEX(Sales!$X$5:$X$3004,TxRows),Sales!$C$5:INDEX(Sales!$C$5:$C$3004,TxRows),$A292))</f>
        <v/>
      </c>
      <c r="K292" s="61" t="str">
        <f aca="false">IF($A292="","",SUMIFS(CashBook!$G$5:INDEX(CashBook!$G$5:$G$3004,TxRows),CashBook!$D$5:INDEX(CashBook!$D$5:$D$3004,TxRows),$A292,CashBook!$C$5:INDEX(CashBook!$C$5:$C$3004,TxRows),"Receipt"))</f>
        <v/>
      </c>
      <c r="L292" s="61" t="str">
        <f aca="false">IF($A292="","",SUMIFS(Purchases!$P$5:INDEX(Purchases!$P$5:$P$3004,TxRows),Purchases!$C$5:INDEX(Purchases!$C$5:$C$3004,TxRows),$A292)-SUMIFS(Purchases!$S$5:INDEX(Purchases!$S$5:$S$3004,TxRows),Purchases!$C$5:INDEX(Purchases!$C$5:$C$3004,TxRows),$A292))</f>
        <v/>
      </c>
      <c r="M292" s="61" t="str">
        <f aca="false">IF($A292="","",SUMIFS(CashBook!$G$5:INDEX(CashBook!$G$5:$G$3004,TxRows),CashBook!$D$5:INDEX(CashBook!$D$5:$D$3004,TxRows),$A292,CashBook!$C$5:INDEX(CashBook!$C$5:$C$3004,TxRows),"Payment"))</f>
        <v/>
      </c>
      <c r="N292" s="61" t="str">
        <f aca="false">IF($A292="","",N($I292)+J292-K292-L292+M292)</f>
        <v/>
      </c>
      <c r="O292" s="60" t="str">
        <f aca="false">IF($A292="","",IF(ROUND(N292,2)&gt;0,"Receivable",IF(ROUND(N292,2)&lt;0,"Payable","Settled")))</f>
        <v/>
      </c>
      <c r="P292" s="66" t="str">
        <f aca="false">IF($A292="","",IFERROR(SUMPRODUCT(MAX((Sales!$C$5:INDEX(Sales!$C$5:$C$3004,TxRows)=$A292)*Sales!$A$5:INDEX(Sales!$A$5:$A$3004,TxRows))),0))</f>
        <v/>
      </c>
      <c r="Q292" s="66" t="str">
        <f aca="false">IF($A292="","",IFERROR(SUMPRODUCT(MAX((CashBook!$D$5:INDEX(CashBook!$D$5:$D$3004,TxRows)=$A292)*(CashBook!$C$5:INDEX(CashBook!$C$5:$C$3004,TxRows)="Receipt")*CashBook!$A$5:INDEX(CashBook!$A$5:$A$3004,TxRows))),0))</f>
        <v/>
      </c>
      <c r="R292" s="67" t="str">
        <f aca="false">IF($A292="","",IF(ROUND(N292,2)&lt;=0,"",AsOf-IF(N(Q292)&gt;0,Q292,IF(N(P292)&gt;0,P292,FYStart))))</f>
        <v/>
      </c>
      <c r="S292" s="60" t="str">
        <f aca="false">IF($A292="","",IF(AND(N($G292)&gt;0,N292&gt;N($G292)),"OVER LIMIT",IF(AND(N292&gt;0,N(R292)&gt;N($H292)),"OVERDUE",IF(ROUND(N292,2)&lt;0,"PAY DUE",""))))</f>
        <v/>
      </c>
    </row>
    <row r="293" customFormat="false" ht="15" hidden="false" customHeight="false" outlineLevel="0" collapsed="false">
      <c r="A293" s="56"/>
      <c r="B293" s="56"/>
      <c r="C293" s="56"/>
      <c r="D293" s="56"/>
      <c r="E293" s="56"/>
      <c r="F293" s="56"/>
      <c r="G293" s="68"/>
      <c r="H293" s="69"/>
      <c r="I293" s="58"/>
      <c r="J293" s="61" t="str">
        <f aca="false">IF($A293="","",SUMIFS(Sales!$Q$5:INDEX(Sales!$Q$5:$Q$3004,TxRows),Sales!$C$5:INDEX(Sales!$C$5:$C$3004,TxRows),$A293)-SUMIFS(Sales!$X$5:INDEX(Sales!$X$5:$X$3004,TxRows),Sales!$C$5:INDEX(Sales!$C$5:$C$3004,TxRows),$A293))</f>
        <v/>
      </c>
      <c r="K293" s="61" t="str">
        <f aca="false">IF($A293="","",SUMIFS(CashBook!$G$5:INDEX(CashBook!$G$5:$G$3004,TxRows),CashBook!$D$5:INDEX(CashBook!$D$5:$D$3004,TxRows),$A293,CashBook!$C$5:INDEX(CashBook!$C$5:$C$3004,TxRows),"Receipt"))</f>
        <v/>
      </c>
      <c r="L293" s="61" t="str">
        <f aca="false">IF($A293="","",SUMIFS(Purchases!$P$5:INDEX(Purchases!$P$5:$P$3004,TxRows),Purchases!$C$5:INDEX(Purchases!$C$5:$C$3004,TxRows),$A293)-SUMIFS(Purchases!$S$5:INDEX(Purchases!$S$5:$S$3004,TxRows),Purchases!$C$5:INDEX(Purchases!$C$5:$C$3004,TxRows),$A293))</f>
        <v/>
      </c>
      <c r="M293" s="61" t="str">
        <f aca="false">IF($A293="","",SUMIFS(CashBook!$G$5:INDEX(CashBook!$G$5:$G$3004,TxRows),CashBook!$D$5:INDEX(CashBook!$D$5:$D$3004,TxRows),$A293,CashBook!$C$5:INDEX(CashBook!$C$5:$C$3004,TxRows),"Payment"))</f>
        <v/>
      </c>
      <c r="N293" s="61" t="str">
        <f aca="false">IF($A293="","",N($I293)+J293-K293-L293+M293)</f>
        <v/>
      </c>
      <c r="O293" s="60" t="str">
        <f aca="false">IF($A293="","",IF(ROUND(N293,2)&gt;0,"Receivable",IF(ROUND(N293,2)&lt;0,"Payable","Settled")))</f>
        <v/>
      </c>
      <c r="P293" s="66" t="str">
        <f aca="false">IF($A293="","",IFERROR(SUMPRODUCT(MAX((Sales!$C$5:INDEX(Sales!$C$5:$C$3004,TxRows)=$A293)*Sales!$A$5:INDEX(Sales!$A$5:$A$3004,TxRows))),0))</f>
        <v/>
      </c>
      <c r="Q293" s="66" t="str">
        <f aca="false">IF($A293="","",IFERROR(SUMPRODUCT(MAX((CashBook!$D$5:INDEX(CashBook!$D$5:$D$3004,TxRows)=$A293)*(CashBook!$C$5:INDEX(CashBook!$C$5:$C$3004,TxRows)="Receipt")*CashBook!$A$5:INDEX(CashBook!$A$5:$A$3004,TxRows))),0))</f>
        <v/>
      </c>
      <c r="R293" s="67" t="str">
        <f aca="false">IF($A293="","",IF(ROUND(N293,2)&lt;=0,"",AsOf-IF(N(Q293)&gt;0,Q293,IF(N(P293)&gt;0,P293,FYStart))))</f>
        <v/>
      </c>
      <c r="S293" s="60" t="str">
        <f aca="false">IF($A293="","",IF(AND(N($G293)&gt;0,N293&gt;N($G293)),"OVER LIMIT",IF(AND(N293&gt;0,N(R293)&gt;N($H293)),"OVERDUE",IF(ROUND(N293,2)&lt;0,"PAY DUE",""))))</f>
        <v/>
      </c>
    </row>
    <row r="294" customFormat="false" ht="15" hidden="false" customHeight="false" outlineLevel="0" collapsed="false">
      <c r="A294" s="56"/>
      <c r="B294" s="56"/>
      <c r="C294" s="56"/>
      <c r="D294" s="56"/>
      <c r="E294" s="56"/>
      <c r="F294" s="56"/>
      <c r="G294" s="68"/>
      <c r="H294" s="69"/>
      <c r="I294" s="58"/>
      <c r="J294" s="61" t="str">
        <f aca="false">IF($A294="","",SUMIFS(Sales!$Q$5:INDEX(Sales!$Q$5:$Q$3004,TxRows),Sales!$C$5:INDEX(Sales!$C$5:$C$3004,TxRows),$A294)-SUMIFS(Sales!$X$5:INDEX(Sales!$X$5:$X$3004,TxRows),Sales!$C$5:INDEX(Sales!$C$5:$C$3004,TxRows),$A294))</f>
        <v/>
      </c>
      <c r="K294" s="61" t="str">
        <f aca="false">IF($A294="","",SUMIFS(CashBook!$G$5:INDEX(CashBook!$G$5:$G$3004,TxRows),CashBook!$D$5:INDEX(CashBook!$D$5:$D$3004,TxRows),$A294,CashBook!$C$5:INDEX(CashBook!$C$5:$C$3004,TxRows),"Receipt"))</f>
        <v/>
      </c>
      <c r="L294" s="61" t="str">
        <f aca="false">IF($A294="","",SUMIFS(Purchases!$P$5:INDEX(Purchases!$P$5:$P$3004,TxRows),Purchases!$C$5:INDEX(Purchases!$C$5:$C$3004,TxRows),$A294)-SUMIFS(Purchases!$S$5:INDEX(Purchases!$S$5:$S$3004,TxRows),Purchases!$C$5:INDEX(Purchases!$C$5:$C$3004,TxRows),$A294))</f>
        <v/>
      </c>
      <c r="M294" s="61" t="str">
        <f aca="false">IF($A294="","",SUMIFS(CashBook!$G$5:INDEX(CashBook!$G$5:$G$3004,TxRows),CashBook!$D$5:INDEX(CashBook!$D$5:$D$3004,TxRows),$A294,CashBook!$C$5:INDEX(CashBook!$C$5:$C$3004,TxRows),"Payment"))</f>
        <v/>
      </c>
      <c r="N294" s="61" t="str">
        <f aca="false">IF($A294="","",N($I294)+J294-K294-L294+M294)</f>
        <v/>
      </c>
      <c r="O294" s="60" t="str">
        <f aca="false">IF($A294="","",IF(ROUND(N294,2)&gt;0,"Receivable",IF(ROUND(N294,2)&lt;0,"Payable","Settled")))</f>
        <v/>
      </c>
      <c r="P294" s="66" t="str">
        <f aca="false">IF($A294="","",IFERROR(SUMPRODUCT(MAX((Sales!$C$5:INDEX(Sales!$C$5:$C$3004,TxRows)=$A294)*Sales!$A$5:INDEX(Sales!$A$5:$A$3004,TxRows))),0))</f>
        <v/>
      </c>
      <c r="Q294" s="66" t="str">
        <f aca="false">IF($A294="","",IFERROR(SUMPRODUCT(MAX((CashBook!$D$5:INDEX(CashBook!$D$5:$D$3004,TxRows)=$A294)*(CashBook!$C$5:INDEX(CashBook!$C$5:$C$3004,TxRows)="Receipt")*CashBook!$A$5:INDEX(CashBook!$A$5:$A$3004,TxRows))),0))</f>
        <v/>
      </c>
      <c r="R294" s="67" t="str">
        <f aca="false">IF($A294="","",IF(ROUND(N294,2)&lt;=0,"",AsOf-IF(N(Q294)&gt;0,Q294,IF(N(P294)&gt;0,P294,FYStart))))</f>
        <v/>
      </c>
      <c r="S294" s="60" t="str">
        <f aca="false">IF($A294="","",IF(AND(N($G294)&gt;0,N294&gt;N($G294)),"OVER LIMIT",IF(AND(N294&gt;0,N(R294)&gt;N($H294)),"OVERDUE",IF(ROUND(N294,2)&lt;0,"PAY DUE",""))))</f>
        <v/>
      </c>
    </row>
    <row r="295" customFormat="false" ht="15" hidden="false" customHeight="false" outlineLevel="0" collapsed="false">
      <c r="A295" s="56"/>
      <c r="B295" s="56"/>
      <c r="C295" s="56"/>
      <c r="D295" s="56"/>
      <c r="E295" s="56"/>
      <c r="F295" s="56"/>
      <c r="G295" s="68"/>
      <c r="H295" s="69"/>
      <c r="I295" s="58"/>
      <c r="J295" s="61" t="str">
        <f aca="false">IF($A295="","",SUMIFS(Sales!$Q$5:INDEX(Sales!$Q$5:$Q$3004,TxRows),Sales!$C$5:INDEX(Sales!$C$5:$C$3004,TxRows),$A295)-SUMIFS(Sales!$X$5:INDEX(Sales!$X$5:$X$3004,TxRows),Sales!$C$5:INDEX(Sales!$C$5:$C$3004,TxRows),$A295))</f>
        <v/>
      </c>
      <c r="K295" s="61" t="str">
        <f aca="false">IF($A295="","",SUMIFS(CashBook!$G$5:INDEX(CashBook!$G$5:$G$3004,TxRows),CashBook!$D$5:INDEX(CashBook!$D$5:$D$3004,TxRows),$A295,CashBook!$C$5:INDEX(CashBook!$C$5:$C$3004,TxRows),"Receipt"))</f>
        <v/>
      </c>
      <c r="L295" s="61" t="str">
        <f aca="false">IF($A295="","",SUMIFS(Purchases!$P$5:INDEX(Purchases!$P$5:$P$3004,TxRows),Purchases!$C$5:INDEX(Purchases!$C$5:$C$3004,TxRows),$A295)-SUMIFS(Purchases!$S$5:INDEX(Purchases!$S$5:$S$3004,TxRows),Purchases!$C$5:INDEX(Purchases!$C$5:$C$3004,TxRows),$A295))</f>
        <v/>
      </c>
      <c r="M295" s="61" t="str">
        <f aca="false">IF($A295="","",SUMIFS(CashBook!$G$5:INDEX(CashBook!$G$5:$G$3004,TxRows),CashBook!$D$5:INDEX(CashBook!$D$5:$D$3004,TxRows),$A295,CashBook!$C$5:INDEX(CashBook!$C$5:$C$3004,TxRows),"Payment"))</f>
        <v/>
      </c>
      <c r="N295" s="61" t="str">
        <f aca="false">IF($A295="","",N($I295)+J295-K295-L295+M295)</f>
        <v/>
      </c>
      <c r="O295" s="60" t="str">
        <f aca="false">IF($A295="","",IF(ROUND(N295,2)&gt;0,"Receivable",IF(ROUND(N295,2)&lt;0,"Payable","Settled")))</f>
        <v/>
      </c>
      <c r="P295" s="66" t="str">
        <f aca="false">IF($A295="","",IFERROR(SUMPRODUCT(MAX((Sales!$C$5:INDEX(Sales!$C$5:$C$3004,TxRows)=$A295)*Sales!$A$5:INDEX(Sales!$A$5:$A$3004,TxRows))),0))</f>
        <v/>
      </c>
      <c r="Q295" s="66" t="str">
        <f aca="false">IF($A295="","",IFERROR(SUMPRODUCT(MAX((CashBook!$D$5:INDEX(CashBook!$D$5:$D$3004,TxRows)=$A295)*(CashBook!$C$5:INDEX(CashBook!$C$5:$C$3004,TxRows)="Receipt")*CashBook!$A$5:INDEX(CashBook!$A$5:$A$3004,TxRows))),0))</f>
        <v/>
      </c>
      <c r="R295" s="67" t="str">
        <f aca="false">IF($A295="","",IF(ROUND(N295,2)&lt;=0,"",AsOf-IF(N(Q295)&gt;0,Q295,IF(N(P295)&gt;0,P295,FYStart))))</f>
        <v/>
      </c>
      <c r="S295" s="60" t="str">
        <f aca="false">IF($A295="","",IF(AND(N($G295)&gt;0,N295&gt;N($G295)),"OVER LIMIT",IF(AND(N295&gt;0,N(R295)&gt;N($H295)),"OVERDUE",IF(ROUND(N295,2)&lt;0,"PAY DUE",""))))</f>
        <v/>
      </c>
    </row>
    <row r="296" customFormat="false" ht="15" hidden="false" customHeight="false" outlineLevel="0" collapsed="false">
      <c r="A296" s="56"/>
      <c r="B296" s="56"/>
      <c r="C296" s="56"/>
      <c r="D296" s="56"/>
      <c r="E296" s="56"/>
      <c r="F296" s="56"/>
      <c r="G296" s="68"/>
      <c r="H296" s="69"/>
      <c r="I296" s="58"/>
      <c r="J296" s="61" t="str">
        <f aca="false">IF($A296="","",SUMIFS(Sales!$Q$5:INDEX(Sales!$Q$5:$Q$3004,TxRows),Sales!$C$5:INDEX(Sales!$C$5:$C$3004,TxRows),$A296)-SUMIFS(Sales!$X$5:INDEX(Sales!$X$5:$X$3004,TxRows),Sales!$C$5:INDEX(Sales!$C$5:$C$3004,TxRows),$A296))</f>
        <v/>
      </c>
      <c r="K296" s="61" t="str">
        <f aca="false">IF($A296="","",SUMIFS(CashBook!$G$5:INDEX(CashBook!$G$5:$G$3004,TxRows),CashBook!$D$5:INDEX(CashBook!$D$5:$D$3004,TxRows),$A296,CashBook!$C$5:INDEX(CashBook!$C$5:$C$3004,TxRows),"Receipt"))</f>
        <v/>
      </c>
      <c r="L296" s="61" t="str">
        <f aca="false">IF($A296="","",SUMIFS(Purchases!$P$5:INDEX(Purchases!$P$5:$P$3004,TxRows),Purchases!$C$5:INDEX(Purchases!$C$5:$C$3004,TxRows),$A296)-SUMIFS(Purchases!$S$5:INDEX(Purchases!$S$5:$S$3004,TxRows),Purchases!$C$5:INDEX(Purchases!$C$5:$C$3004,TxRows),$A296))</f>
        <v/>
      </c>
      <c r="M296" s="61" t="str">
        <f aca="false">IF($A296="","",SUMIFS(CashBook!$G$5:INDEX(CashBook!$G$5:$G$3004,TxRows),CashBook!$D$5:INDEX(CashBook!$D$5:$D$3004,TxRows),$A296,CashBook!$C$5:INDEX(CashBook!$C$5:$C$3004,TxRows),"Payment"))</f>
        <v/>
      </c>
      <c r="N296" s="61" t="str">
        <f aca="false">IF($A296="","",N($I296)+J296-K296-L296+M296)</f>
        <v/>
      </c>
      <c r="O296" s="60" t="str">
        <f aca="false">IF($A296="","",IF(ROUND(N296,2)&gt;0,"Receivable",IF(ROUND(N296,2)&lt;0,"Payable","Settled")))</f>
        <v/>
      </c>
      <c r="P296" s="66" t="str">
        <f aca="false">IF($A296="","",IFERROR(SUMPRODUCT(MAX((Sales!$C$5:INDEX(Sales!$C$5:$C$3004,TxRows)=$A296)*Sales!$A$5:INDEX(Sales!$A$5:$A$3004,TxRows))),0))</f>
        <v/>
      </c>
      <c r="Q296" s="66" t="str">
        <f aca="false">IF($A296="","",IFERROR(SUMPRODUCT(MAX((CashBook!$D$5:INDEX(CashBook!$D$5:$D$3004,TxRows)=$A296)*(CashBook!$C$5:INDEX(CashBook!$C$5:$C$3004,TxRows)="Receipt")*CashBook!$A$5:INDEX(CashBook!$A$5:$A$3004,TxRows))),0))</f>
        <v/>
      </c>
      <c r="R296" s="67" t="str">
        <f aca="false">IF($A296="","",IF(ROUND(N296,2)&lt;=0,"",AsOf-IF(N(Q296)&gt;0,Q296,IF(N(P296)&gt;0,P296,FYStart))))</f>
        <v/>
      </c>
      <c r="S296" s="60" t="str">
        <f aca="false">IF($A296="","",IF(AND(N($G296)&gt;0,N296&gt;N($G296)),"OVER LIMIT",IF(AND(N296&gt;0,N(R296)&gt;N($H296)),"OVERDUE",IF(ROUND(N296,2)&lt;0,"PAY DUE",""))))</f>
        <v/>
      </c>
    </row>
    <row r="297" customFormat="false" ht="15" hidden="false" customHeight="false" outlineLevel="0" collapsed="false">
      <c r="A297" s="56"/>
      <c r="B297" s="56"/>
      <c r="C297" s="56"/>
      <c r="D297" s="56"/>
      <c r="E297" s="56"/>
      <c r="F297" s="56"/>
      <c r="G297" s="68"/>
      <c r="H297" s="69"/>
      <c r="I297" s="58"/>
      <c r="J297" s="61" t="str">
        <f aca="false">IF($A297="","",SUMIFS(Sales!$Q$5:INDEX(Sales!$Q$5:$Q$3004,TxRows),Sales!$C$5:INDEX(Sales!$C$5:$C$3004,TxRows),$A297)-SUMIFS(Sales!$X$5:INDEX(Sales!$X$5:$X$3004,TxRows),Sales!$C$5:INDEX(Sales!$C$5:$C$3004,TxRows),$A297))</f>
        <v/>
      </c>
      <c r="K297" s="61" t="str">
        <f aca="false">IF($A297="","",SUMIFS(CashBook!$G$5:INDEX(CashBook!$G$5:$G$3004,TxRows),CashBook!$D$5:INDEX(CashBook!$D$5:$D$3004,TxRows),$A297,CashBook!$C$5:INDEX(CashBook!$C$5:$C$3004,TxRows),"Receipt"))</f>
        <v/>
      </c>
      <c r="L297" s="61" t="str">
        <f aca="false">IF($A297="","",SUMIFS(Purchases!$P$5:INDEX(Purchases!$P$5:$P$3004,TxRows),Purchases!$C$5:INDEX(Purchases!$C$5:$C$3004,TxRows),$A297)-SUMIFS(Purchases!$S$5:INDEX(Purchases!$S$5:$S$3004,TxRows),Purchases!$C$5:INDEX(Purchases!$C$5:$C$3004,TxRows),$A297))</f>
        <v/>
      </c>
      <c r="M297" s="61" t="str">
        <f aca="false">IF($A297="","",SUMIFS(CashBook!$G$5:INDEX(CashBook!$G$5:$G$3004,TxRows),CashBook!$D$5:INDEX(CashBook!$D$5:$D$3004,TxRows),$A297,CashBook!$C$5:INDEX(CashBook!$C$5:$C$3004,TxRows),"Payment"))</f>
        <v/>
      </c>
      <c r="N297" s="61" t="str">
        <f aca="false">IF($A297="","",N($I297)+J297-K297-L297+M297)</f>
        <v/>
      </c>
      <c r="O297" s="60" t="str">
        <f aca="false">IF($A297="","",IF(ROUND(N297,2)&gt;0,"Receivable",IF(ROUND(N297,2)&lt;0,"Payable","Settled")))</f>
        <v/>
      </c>
      <c r="P297" s="66" t="str">
        <f aca="false">IF($A297="","",IFERROR(SUMPRODUCT(MAX((Sales!$C$5:INDEX(Sales!$C$5:$C$3004,TxRows)=$A297)*Sales!$A$5:INDEX(Sales!$A$5:$A$3004,TxRows))),0))</f>
        <v/>
      </c>
      <c r="Q297" s="66" t="str">
        <f aca="false">IF($A297="","",IFERROR(SUMPRODUCT(MAX((CashBook!$D$5:INDEX(CashBook!$D$5:$D$3004,TxRows)=$A297)*(CashBook!$C$5:INDEX(CashBook!$C$5:$C$3004,TxRows)="Receipt")*CashBook!$A$5:INDEX(CashBook!$A$5:$A$3004,TxRows))),0))</f>
        <v/>
      </c>
      <c r="R297" s="67" t="str">
        <f aca="false">IF($A297="","",IF(ROUND(N297,2)&lt;=0,"",AsOf-IF(N(Q297)&gt;0,Q297,IF(N(P297)&gt;0,P297,FYStart))))</f>
        <v/>
      </c>
      <c r="S297" s="60" t="str">
        <f aca="false">IF($A297="","",IF(AND(N($G297)&gt;0,N297&gt;N($G297)),"OVER LIMIT",IF(AND(N297&gt;0,N(R297)&gt;N($H297)),"OVERDUE",IF(ROUND(N297,2)&lt;0,"PAY DUE",""))))</f>
        <v/>
      </c>
    </row>
    <row r="298" customFormat="false" ht="15" hidden="false" customHeight="false" outlineLevel="0" collapsed="false">
      <c r="A298" s="56"/>
      <c r="B298" s="56"/>
      <c r="C298" s="56"/>
      <c r="D298" s="56"/>
      <c r="E298" s="56"/>
      <c r="F298" s="56"/>
      <c r="G298" s="68"/>
      <c r="H298" s="69"/>
      <c r="I298" s="58"/>
      <c r="J298" s="61" t="str">
        <f aca="false">IF($A298="","",SUMIFS(Sales!$Q$5:INDEX(Sales!$Q$5:$Q$3004,TxRows),Sales!$C$5:INDEX(Sales!$C$5:$C$3004,TxRows),$A298)-SUMIFS(Sales!$X$5:INDEX(Sales!$X$5:$X$3004,TxRows),Sales!$C$5:INDEX(Sales!$C$5:$C$3004,TxRows),$A298))</f>
        <v/>
      </c>
      <c r="K298" s="61" t="str">
        <f aca="false">IF($A298="","",SUMIFS(CashBook!$G$5:INDEX(CashBook!$G$5:$G$3004,TxRows),CashBook!$D$5:INDEX(CashBook!$D$5:$D$3004,TxRows),$A298,CashBook!$C$5:INDEX(CashBook!$C$5:$C$3004,TxRows),"Receipt"))</f>
        <v/>
      </c>
      <c r="L298" s="61" t="str">
        <f aca="false">IF($A298="","",SUMIFS(Purchases!$P$5:INDEX(Purchases!$P$5:$P$3004,TxRows),Purchases!$C$5:INDEX(Purchases!$C$5:$C$3004,TxRows),$A298)-SUMIFS(Purchases!$S$5:INDEX(Purchases!$S$5:$S$3004,TxRows),Purchases!$C$5:INDEX(Purchases!$C$5:$C$3004,TxRows),$A298))</f>
        <v/>
      </c>
      <c r="M298" s="61" t="str">
        <f aca="false">IF($A298="","",SUMIFS(CashBook!$G$5:INDEX(CashBook!$G$5:$G$3004,TxRows),CashBook!$D$5:INDEX(CashBook!$D$5:$D$3004,TxRows),$A298,CashBook!$C$5:INDEX(CashBook!$C$5:$C$3004,TxRows),"Payment"))</f>
        <v/>
      </c>
      <c r="N298" s="61" t="str">
        <f aca="false">IF($A298="","",N($I298)+J298-K298-L298+M298)</f>
        <v/>
      </c>
      <c r="O298" s="60" t="str">
        <f aca="false">IF($A298="","",IF(ROUND(N298,2)&gt;0,"Receivable",IF(ROUND(N298,2)&lt;0,"Payable","Settled")))</f>
        <v/>
      </c>
      <c r="P298" s="66" t="str">
        <f aca="false">IF($A298="","",IFERROR(SUMPRODUCT(MAX((Sales!$C$5:INDEX(Sales!$C$5:$C$3004,TxRows)=$A298)*Sales!$A$5:INDEX(Sales!$A$5:$A$3004,TxRows))),0))</f>
        <v/>
      </c>
      <c r="Q298" s="66" t="str">
        <f aca="false">IF($A298="","",IFERROR(SUMPRODUCT(MAX((CashBook!$D$5:INDEX(CashBook!$D$5:$D$3004,TxRows)=$A298)*(CashBook!$C$5:INDEX(CashBook!$C$5:$C$3004,TxRows)="Receipt")*CashBook!$A$5:INDEX(CashBook!$A$5:$A$3004,TxRows))),0))</f>
        <v/>
      </c>
      <c r="R298" s="67" t="str">
        <f aca="false">IF($A298="","",IF(ROUND(N298,2)&lt;=0,"",AsOf-IF(N(Q298)&gt;0,Q298,IF(N(P298)&gt;0,P298,FYStart))))</f>
        <v/>
      </c>
      <c r="S298" s="60" t="str">
        <f aca="false">IF($A298="","",IF(AND(N($G298)&gt;0,N298&gt;N($G298)),"OVER LIMIT",IF(AND(N298&gt;0,N(R298)&gt;N($H298)),"OVERDUE",IF(ROUND(N298,2)&lt;0,"PAY DUE",""))))</f>
        <v/>
      </c>
    </row>
    <row r="299" customFormat="false" ht="15" hidden="false" customHeight="false" outlineLevel="0" collapsed="false">
      <c r="A299" s="56"/>
      <c r="B299" s="56"/>
      <c r="C299" s="56"/>
      <c r="D299" s="56"/>
      <c r="E299" s="56"/>
      <c r="F299" s="56"/>
      <c r="G299" s="68"/>
      <c r="H299" s="69"/>
      <c r="I299" s="58"/>
      <c r="J299" s="61" t="str">
        <f aca="false">IF($A299="","",SUMIFS(Sales!$Q$5:INDEX(Sales!$Q$5:$Q$3004,TxRows),Sales!$C$5:INDEX(Sales!$C$5:$C$3004,TxRows),$A299)-SUMIFS(Sales!$X$5:INDEX(Sales!$X$5:$X$3004,TxRows),Sales!$C$5:INDEX(Sales!$C$5:$C$3004,TxRows),$A299))</f>
        <v/>
      </c>
      <c r="K299" s="61" t="str">
        <f aca="false">IF($A299="","",SUMIFS(CashBook!$G$5:INDEX(CashBook!$G$5:$G$3004,TxRows),CashBook!$D$5:INDEX(CashBook!$D$5:$D$3004,TxRows),$A299,CashBook!$C$5:INDEX(CashBook!$C$5:$C$3004,TxRows),"Receipt"))</f>
        <v/>
      </c>
      <c r="L299" s="61" t="str">
        <f aca="false">IF($A299="","",SUMIFS(Purchases!$P$5:INDEX(Purchases!$P$5:$P$3004,TxRows),Purchases!$C$5:INDEX(Purchases!$C$5:$C$3004,TxRows),$A299)-SUMIFS(Purchases!$S$5:INDEX(Purchases!$S$5:$S$3004,TxRows),Purchases!$C$5:INDEX(Purchases!$C$5:$C$3004,TxRows),$A299))</f>
        <v/>
      </c>
      <c r="M299" s="61" t="str">
        <f aca="false">IF($A299="","",SUMIFS(CashBook!$G$5:INDEX(CashBook!$G$5:$G$3004,TxRows),CashBook!$D$5:INDEX(CashBook!$D$5:$D$3004,TxRows),$A299,CashBook!$C$5:INDEX(CashBook!$C$5:$C$3004,TxRows),"Payment"))</f>
        <v/>
      </c>
      <c r="N299" s="61" t="str">
        <f aca="false">IF($A299="","",N($I299)+J299-K299-L299+M299)</f>
        <v/>
      </c>
      <c r="O299" s="60" t="str">
        <f aca="false">IF($A299="","",IF(ROUND(N299,2)&gt;0,"Receivable",IF(ROUND(N299,2)&lt;0,"Payable","Settled")))</f>
        <v/>
      </c>
      <c r="P299" s="66" t="str">
        <f aca="false">IF($A299="","",IFERROR(SUMPRODUCT(MAX((Sales!$C$5:INDEX(Sales!$C$5:$C$3004,TxRows)=$A299)*Sales!$A$5:INDEX(Sales!$A$5:$A$3004,TxRows))),0))</f>
        <v/>
      </c>
      <c r="Q299" s="66" t="str">
        <f aca="false">IF($A299="","",IFERROR(SUMPRODUCT(MAX((CashBook!$D$5:INDEX(CashBook!$D$5:$D$3004,TxRows)=$A299)*(CashBook!$C$5:INDEX(CashBook!$C$5:$C$3004,TxRows)="Receipt")*CashBook!$A$5:INDEX(CashBook!$A$5:$A$3004,TxRows))),0))</f>
        <v/>
      </c>
      <c r="R299" s="67" t="str">
        <f aca="false">IF($A299="","",IF(ROUND(N299,2)&lt;=0,"",AsOf-IF(N(Q299)&gt;0,Q299,IF(N(P299)&gt;0,P299,FYStart))))</f>
        <v/>
      </c>
      <c r="S299" s="60" t="str">
        <f aca="false">IF($A299="","",IF(AND(N($G299)&gt;0,N299&gt;N($G299)),"OVER LIMIT",IF(AND(N299&gt;0,N(R299)&gt;N($H299)),"OVERDUE",IF(ROUND(N299,2)&lt;0,"PAY DUE",""))))</f>
        <v/>
      </c>
    </row>
    <row r="300" customFormat="false" ht="15" hidden="false" customHeight="false" outlineLevel="0" collapsed="false">
      <c r="A300" s="56"/>
      <c r="B300" s="56"/>
      <c r="C300" s="56"/>
      <c r="D300" s="56"/>
      <c r="E300" s="56"/>
      <c r="F300" s="56"/>
      <c r="G300" s="68"/>
      <c r="H300" s="69"/>
      <c r="I300" s="58"/>
      <c r="J300" s="61" t="str">
        <f aca="false">IF($A300="","",SUMIFS(Sales!$Q$5:INDEX(Sales!$Q$5:$Q$3004,TxRows),Sales!$C$5:INDEX(Sales!$C$5:$C$3004,TxRows),$A300)-SUMIFS(Sales!$X$5:INDEX(Sales!$X$5:$X$3004,TxRows),Sales!$C$5:INDEX(Sales!$C$5:$C$3004,TxRows),$A300))</f>
        <v/>
      </c>
      <c r="K300" s="61" t="str">
        <f aca="false">IF($A300="","",SUMIFS(CashBook!$G$5:INDEX(CashBook!$G$5:$G$3004,TxRows),CashBook!$D$5:INDEX(CashBook!$D$5:$D$3004,TxRows),$A300,CashBook!$C$5:INDEX(CashBook!$C$5:$C$3004,TxRows),"Receipt"))</f>
        <v/>
      </c>
      <c r="L300" s="61" t="str">
        <f aca="false">IF($A300="","",SUMIFS(Purchases!$P$5:INDEX(Purchases!$P$5:$P$3004,TxRows),Purchases!$C$5:INDEX(Purchases!$C$5:$C$3004,TxRows),$A300)-SUMIFS(Purchases!$S$5:INDEX(Purchases!$S$5:$S$3004,TxRows),Purchases!$C$5:INDEX(Purchases!$C$5:$C$3004,TxRows),$A300))</f>
        <v/>
      </c>
      <c r="M300" s="61" t="str">
        <f aca="false">IF($A300="","",SUMIFS(CashBook!$G$5:INDEX(CashBook!$G$5:$G$3004,TxRows),CashBook!$D$5:INDEX(CashBook!$D$5:$D$3004,TxRows),$A300,CashBook!$C$5:INDEX(CashBook!$C$5:$C$3004,TxRows),"Payment"))</f>
        <v/>
      </c>
      <c r="N300" s="61" t="str">
        <f aca="false">IF($A300="","",N($I300)+J300-K300-L300+M300)</f>
        <v/>
      </c>
      <c r="O300" s="60" t="str">
        <f aca="false">IF($A300="","",IF(ROUND(N300,2)&gt;0,"Receivable",IF(ROUND(N300,2)&lt;0,"Payable","Settled")))</f>
        <v/>
      </c>
      <c r="P300" s="66" t="str">
        <f aca="false">IF($A300="","",IFERROR(SUMPRODUCT(MAX((Sales!$C$5:INDEX(Sales!$C$5:$C$3004,TxRows)=$A300)*Sales!$A$5:INDEX(Sales!$A$5:$A$3004,TxRows))),0))</f>
        <v/>
      </c>
      <c r="Q300" s="66" t="str">
        <f aca="false">IF($A300="","",IFERROR(SUMPRODUCT(MAX((CashBook!$D$5:INDEX(CashBook!$D$5:$D$3004,TxRows)=$A300)*(CashBook!$C$5:INDEX(CashBook!$C$5:$C$3004,TxRows)="Receipt")*CashBook!$A$5:INDEX(CashBook!$A$5:$A$3004,TxRows))),0))</f>
        <v/>
      </c>
      <c r="R300" s="67" t="str">
        <f aca="false">IF($A300="","",IF(ROUND(N300,2)&lt;=0,"",AsOf-IF(N(Q300)&gt;0,Q300,IF(N(P300)&gt;0,P300,FYStart))))</f>
        <v/>
      </c>
      <c r="S300" s="60" t="str">
        <f aca="false">IF($A300="","",IF(AND(N($G300)&gt;0,N300&gt;N($G300)),"OVER LIMIT",IF(AND(N300&gt;0,N(R300)&gt;N($H300)),"OVERDUE",IF(ROUND(N300,2)&lt;0,"PAY DUE",""))))</f>
        <v/>
      </c>
    </row>
    <row r="301" customFormat="false" ht="15" hidden="false" customHeight="false" outlineLevel="0" collapsed="false">
      <c r="A301" s="56"/>
      <c r="B301" s="56"/>
      <c r="C301" s="56"/>
      <c r="D301" s="56"/>
      <c r="E301" s="56"/>
      <c r="F301" s="56"/>
      <c r="G301" s="68"/>
      <c r="H301" s="69"/>
      <c r="I301" s="58"/>
      <c r="J301" s="61" t="str">
        <f aca="false">IF($A301="","",SUMIFS(Sales!$Q$5:INDEX(Sales!$Q$5:$Q$3004,TxRows),Sales!$C$5:INDEX(Sales!$C$5:$C$3004,TxRows),$A301)-SUMIFS(Sales!$X$5:INDEX(Sales!$X$5:$X$3004,TxRows),Sales!$C$5:INDEX(Sales!$C$5:$C$3004,TxRows),$A301))</f>
        <v/>
      </c>
      <c r="K301" s="61" t="str">
        <f aca="false">IF($A301="","",SUMIFS(CashBook!$G$5:INDEX(CashBook!$G$5:$G$3004,TxRows),CashBook!$D$5:INDEX(CashBook!$D$5:$D$3004,TxRows),$A301,CashBook!$C$5:INDEX(CashBook!$C$5:$C$3004,TxRows),"Receipt"))</f>
        <v/>
      </c>
      <c r="L301" s="61" t="str">
        <f aca="false">IF($A301="","",SUMIFS(Purchases!$P$5:INDEX(Purchases!$P$5:$P$3004,TxRows),Purchases!$C$5:INDEX(Purchases!$C$5:$C$3004,TxRows),$A301)-SUMIFS(Purchases!$S$5:INDEX(Purchases!$S$5:$S$3004,TxRows),Purchases!$C$5:INDEX(Purchases!$C$5:$C$3004,TxRows),$A301))</f>
        <v/>
      </c>
      <c r="M301" s="61" t="str">
        <f aca="false">IF($A301="","",SUMIFS(CashBook!$G$5:INDEX(CashBook!$G$5:$G$3004,TxRows),CashBook!$D$5:INDEX(CashBook!$D$5:$D$3004,TxRows),$A301,CashBook!$C$5:INDEX(CashBook!$C$5:$C$3004,TxRows),"Payment"))</f>
        <v/>
      </c>
      <c r="N301" s="61" t="str">
        <f aca="false">IF($A301="","",N($I301)+J301-K301-L301+M301)</f>
        <v/>
      </c>
      <c r="O301" s="60" t="str">
        <f aca="false">IF($A301="","",IF(ROUND(N301,2)&gt;0,"Receivable",IF(ROUND(N301,2)&lt;0,"Payable","Settled")))</f>
        <v/>
      </c>
      <c r="P301" s="66" t="str">
        <f aca="false">IF($A301="","",IFERROR(SUMPRODUCT(MAX((Sales!$C$5:INDEX(Sales!$C$5:$C$3004,TxRows)=$A301)*Sales!$A$5:INDEX(Sales!$A$5:$A$3004,TxRows))),0))</f>
        <v/>
      </c>
      <c r="Q301" s="66" t="str">
        <f aca="false">IF($A301="","",IFERROR(SUMPRODUCT(MAX((CashBook!$D$5:INDEX(CashBook!$D$5:$D$3004,TxRows)=$A301)*(CashBook!$C$5:INDEX(CashBook!$C$5:$C$3004,TxRows)="Receipt")*CashBook!$A$5:INDEX(CashBook!$A$5:$A$3004,TxRows))),0))</f>
        <v/>
      </c>
      <c r="R301" s="67" t="str">
        <f aca="false">IF($A301="","",IF(ROUND(N301,2)&lt;=0,"",AsOf-IF(N(Q301)&gt;0,Q301,IF(N(P301)&gt;0,P301,FYStart))))</f>
        <v/>
      </c>
      <c r="S301" s="60" t="str">
        <f aca="false">IF($A301="","",IF(AND(N($G301)&gt;0,N301&gt;N($G301)),"OVER LIMIT",IF(AND(N301&gt;0,N(R301)&gt;N($H301)),"OVERDUE",IF(ROUND(N301,2)&lt;0,"PAY DUE",""))))</f>
        <v/>
      </c>
    </row>
    <row r="302" customFormat="false" ht="15" hidden="false" customHeight="false" outlineLevel="0" collapsed="false">
      <c r="A302" s="56"/>
      <c r="B302" s="56"/>
      <c r="C302" s="56"/>
      <c r="D302" s="56"/>
      <c r="E302" s="56"/>
      <c r="F302" s="56"/>
      <c r="G302" s="68"/>
      <c r="H302" s="69"/>
      <c r="I302" s="58"/>
      <c r="J302" s="61" t="str">
        <f aca="false">IF($A302="","",SUMIFS(Sales!$Q$5:INDEX(Sales!$Q$5:$Q$3004,TxRows),Sales!$C$5:INDEX(Sales!$C$5:$C$3004,TxRows),$A302)-SUMIFS(Sales!$X$5:INDEX(Sales!$X$5:$X$3004,TxRows),Sales!$C$5:INDEX(Sales!$C$5:$C$3004,TxRows),$A302))</f>
        <v/>
      </c>
      <c r="K302" s="61" t="str">
        <f aca="false">IF($A302="","",SUMIFS(CashBook!$G$5:INDEX(CashBook!$G$5:$G$3004,TxRows),CashBook!$D$5:INDEX(CashBook!$D$5:$D$3004,TxRows),$A302,CashBook!$C$5:INDEX(CashBook!$C$5:$C$3004,TxRows),"Receipt"))</f>
        <v/>
      </c>
      <c r="L302" s="61" t="str">
        <f aca="false">IF($A302="","",SUMIFS(Purchases!$P$5:INDEX(Purchases!$P$5:$P$3004,TxRows),Purchases!$C$5:INDEX(Purchases!$C$5:$C$3004,TxRows),$A302)-SUMIFS(Purchases!$S$5:INDEX(Purchases!$S$5:$S$3004,TxRows),Purchases!$C$5:INDEX(Purchases!$C$5:$C$3004,TxRows),$A302))</f>
        <v/>
      </c>
      <c r="M302" s="61" t="str">
        <f aca="false">IF($A302="","",SUMIFS(CashBook!$G$5:INDEX(CashBook!$G$5:$G$3004,TxRows),CashBook!$D$5:INDEX(CashBook!$D$5:$D$3004,TxRows),$A302,CashBook!$C$5:INDEX(CashBook!$C$5:$C$3004,TxRows),"Payment"))</f>
        <v/>
      </c>
      <c r="N302" s="61" t="str">
        <f aca="false">IF($A302="","",N($I302)+J302-K302-L302+M302)</f>
        <v/>
      </c>
      <c r="O302" s="60" t="str">
        <f aca="false">IF($A302="","",IF(ROUND(N302,2)&gt;0,"Receivable",IF(ROUND(N302,2)&lt;0,"Payable","Settled")))</f>
        <v/>
      </c>
      <c r="P302" s="66" t="str">
        <f aca="false">IF($A302="","",IFERROR(SUMPRODUCT(MAX((Sales!$C$5:INDEX(Sales!$C$5:$C$3004,TxRows)=$A302)*Sales!$A$5:INDEX(Sales!$A$5:$A$3004,TxRows))),0))</f>
        <v/>
      </c>
      <c r="Q302" s="66" t="str">
        <f aca="false">IF($A302="","",IFERROR(SUMPRODUCT(MAX((CashBook!$D$5:INDEX(CashBook!$D$5:$D$3004,TxRows)=$A302)*(CashBook!$C$5:INDEX(CashBook!$C$5:$C$3004,TxRows)="Receipt")*CashBook!$A$5:INDEX(CashBook!$A$5:$A$3004,TxRows))),0))</f>
        <v/>
      </c>
      <c r="R302" s="67" t="str">
        <f aca="false">IF($A302="","",IF(ROUND(N302,2)&lt;=0,"",AsOf-IF(N(Q302)&gt;0,Q302,IF(N(P302)&gt;0,P302,FYStart))))</f>
        <v/>
      </c>
      <c r="S302" s="60" t="str">
        <f aca="false">IF($A302="","",IF(AND(N($G302)&gt;0,N302&gt;N($G302)),"OVER LIMIT",IF(AND(N302&gt;0,N(R302)&gt;N($H302)),"OVERDUE",IF(ROUND(N302,2)&lt;0,"PAY DUE",""))))</f>
        <v/>
      </c>
    </row>
    <row r="303" customFormat="false" ht="15" hidden="false" customHeight="false" outlineLevel="0" collapsed="false">
      <c r="A303" s="56"/>
      <c r="B303" s="56"/>
      <c r="C303" s="56"/>
      <c r="D303" s="56"/>
      <c r="E303" s="56"/>
      <c r="F303" s="56"/>
      <c r="G303" s="68"/>
      <c r="H303" s="69"/>
      <c r="I303" s="58"/>
      <c r="J303" s="61" t="str">
        <f aca="false">IF($A303="","",SUMIFS(Sales!$Q$5:INDEX(Sales!$Q$5:$Q$3004,TxRows),Sales!$C$5:INDEX(Sales!$C$5:$C$3004,TxRows),$A303)-SUMIFS(Sales!$X$5:INDEX(Sales!$X$5:$X$3004,TxRows),Sales!$C$5:INDEX(Sales!$C$5:$C$3004,TxRows),$A303))</f>
        <v/>
      </c>
      <c r="K303" s="61" t="str">
        <f aca="false">IF($A303="","",SUMIFS(CashBook!$G$5:INDEX(CashBook!$G$5:$G$3004,TxRows),CashBook!$D$5:INDEX(CashBook!$D$5:$D$3004,TxRows),$A303,CashBook!$C$5:INDEX(CashBook!$C$5:$C$3004,TxRows),"Receipt"))</f>
        <v/>
      </c>
      <c r="L303" s="61" t="str">
        <f aca="false">IF($A303="","",SUMIFS(Purchases!$P$5:INDEX(Purchases!$P$5:$P$3004,TxRows),Purchases!$C$5:INDEX(Purchases!$C$5:$C$3004,TxRows),$A303)-SUMIFS(Purchases!$S$5:INDEX(Purchases!$S$5:$S$3004,TxRows),Purchases!$C$5:INDEX(Purchases!$C$5:$C$3004,TxRows),$A303))</f>
        <v/>
      </c>
      <c r="M303" s="61" t="str">
        <f aca="false">IF($A303="","",SUMIFS(CashBook!$G$5:INDEX(CashBook!$G$5:$G$3004,TxRows),CashBook!$D$5:INDEX(CashBook!$D$5:$D$3004,TxRows),$A303,CashBook!$C$5:INDEX(CashBook!$C$5:$C$3004,TxRows),"Payment"))</f>
        <v/>
      </c>
      <c r="N303" s="61" t="str">
        <f aca="false">IF($A303="","",N($I303)+J303-K303-L303+M303)</f>
        <v/>
      </c>
      <c r="O303" s="60" t="str">
        <f aca="false">IF($A303="","",IF(ROUND(N303,2)&gt;0,"Receivable",IF(ROUND(N303,2)&lt;0,"Payable","Settled")))</f>
        <v/>
      </c>
      <c r="P303" s="66" t="str">
        <f aca="false">IF($A303="","",IFERROR(SUMPRODUCT(MAX((Sales!$C$5:INDEX(Sales!$C$5:$C$3004,TxRows)=$A303)*Sales!$A$5:INDEX(Sales!$A$5:$A$3004,TxRows))),0))</f>
        <v/>
      </c>
      <c r="Q303" s="66" t="str">
        <f aca="false">IF($A303="","",IFERROR(SUMPRODUCT(MAX((CashBook!$D$5:INDEX(CashBook!$D$5:$D$3004,TxRows)=$A303)*(CashBook!$C$5:INDEX(CashBook!$C$5:$C$3004,TxRows)="Receipt")*CashBook!$A$5:INDEX(CashBook!$A$5:$A$3004,TxRows))),0))</f>
        <v/>
      </c>
      <c r="R303" s="67" t="str">
        <f aca="false">IF($A303="","",IF(ROUND(N303,2)&lt;=0,"",AsOf-IF(N(Q303)&gt;0,Q303,IF(N(P303)&gt;0,P303,FYStart))))</f>
        <v/>
      </c>
      <c r="S303" s="60" t="str">
        <f aca="false">IF($A303="","",IF(AND(N($G303)&gt;0,N303&gt;N($G303)),"OVER LIMIT",IF(AND(N303&gt;0,N(R303)&gt;N($H303)),"OVERDUE",IF(ROUND(N303,2)&lt;0,"PAY DUE",""))))</f>
        <v/>
      </c>
    </row>
    <row r="304" customFormat="false" ht="15" hidden="false" customHeight="false" outlineLevel="0" collapsed="false">
      <c r="A304" s="56"/>
      <c r="B304" s="56"/>
      <c r="C304" s="56"/>
      <c r="D304" s="56"/>
      <c r="E304" s="56"/>
      <c r="F304" s="56"/>
      <c r="G304" s="68"/>
      <c r="H304" s="69"/>
      <c r="I304" s="58"/>
      <c r="J304" s="61" t="str">
        <f aca="false">IF($A304="","",SUMIFS(Sales!$Q$5:INDEX(Sales!$Q$5:$Q$3004,TxRows),Sales!$C$5:INDEX(Sales!$C$5:$C$3004,TxRows),$A304)-SUMIFS(Sales!$X$5:INDEX(Sales!$X$5:$X$3004,TxRows),Sales!$C$5:INDEX(Sales!$C$5:$C$3004,TxRows),$A304))</f>
        <v/>
      </c>
      <c r="K304" s="61" t="str">
        <f aca="false">IF($A304="","",SUMIFS(CashBook!$G$5:INDEX(CashBook!$G$5:$G$3004,TxRows),CashBook!$D$5:INDEX(CashBook!$D$5:$D$3004,TxRows),$A304,CashBook!$C$5:INDEX(CashBook!$C$5:$C$3004,TxRows),"Receipt"))</f>
        <v/>
      </c>
      <c r="L304" s="61" t="str">
        <f aca="false">IF($A304="","",SUMIFS(Purchases!$P$5:INDEX(Purchases!$P$5:$P$3004,TxRows),Purchases!$C$5:INDEX(Purchases!$C$5:$C$3004,TxRows),$A304)-SUMIFS(Purchases!$S$5:INDEX(Purchases!$S$5:$S$3004,TxRows),Purchases!$C$5:INDEX(Purchases!$C$5:$C$3004,TxRows),$A304))</f>
        <v/>
      </c>
      <c r="M304" s="61" t="str">
        <f aca="false">IF($A304="","",SUMIFS(CashBook!$G$5:INDEX(CashBook!$G$5:$G$3004,TxRows),CashBook!$D$5:INDEX(CashBook!$D$5:$D$3004,TxRows),$A304,CashBook!$C$5:INDEX(CashBook!$C$5:$C$3004,TxRows),"Payment"))</f>
        <v/>
      </c>
      <c r="N304" s="61" t="str">
        <f aca="false">IF($A304="","",N($I304)+J304-K304-L304+M304)</f>
        <v/>
      </c>
      <c r="O304" s="60" t="str">
        <f aca="false">IF($A304="","",IF(ROUND(N304,2)&gt;0,"Receivable",IF(ROUND(N304,2)&lt;0,"Payable","Settled")))</f>
        <v/>
      </c>
      <c r="P304" s="66" t="str">
        <f aca="false">IF($A304="","",IFERROR(SUMPRODUCT(MAX((Sales!$C$5:INDEX(Sales!$C$5:$C$3004,TxRows)=$A304)*Sales!$A$5:INDEX(Sales!$A$5:$A$3004,TxRows))),0))</f>
        <v/>
      </c>
      <c r="Q304" s="66" t="str">
        <f aca="false">IF($A304="","",IFERROR(SUMPRODUCT(MAX((CashBook!$D$5:INDEX(CashBook!$D$5:$D$3004,TxRows)=$A304)*(CashBook!$C$5:INDEX(CashBook!$C$5:$C$3004,TxRows)="Receipt")*CashBook!$A$5:INDEX(CashBook!$A$5:$A$3004,TxRows))),0))</f>
        <v/>
      </c>
      <c r="R304" s="67" t="str">
        <f aca="false">IF($A304="","",IF(ROUND(N304,2)&lt;=0,"",AsOf-IF(N(Q304)&gt;0,Q304,IF(N(P304)&gt;0,P304,FYStart))))</f>
        <v/>
      </c>
      <c r="S304" s="60" t="str">
        <f aca="false">IF($A304="","",IF(AND(N($G304)&gt;0,N304&gt;N($G304)),"OVER LIMIT",IF(AND(N304&gt;0,N(R304)&gt;N($H304)),"OVERDUE",IF(ROUND(N304,2)&lt;0,"PAY DUE",""))))</f>
        <v/>
      </c>
    </row>
  </sheetData>
  <autoFilter ref="A4:S304"/>
  <mergeCells count="2">
    <mergeCell ref="A1:S1"/>
    <mergeCell ref="A2:S2"/>
  </mergeCells>
  <conditionalFormatting sqref="S5:S304">
    <cfRule type="cellIs" priority="2" operator="equal" aboveAverage="0" equalAverage="0" bottom="0" percent="0" rank="0" text="" dxfId="4">
      <formula>"OVER LIMIT"</formula>
    </cfRule>
    <cfRule type="cellIs" priority="3" operator="equal" aboveAverage="0" equalAverage="0" bottom="0" percent="0" rank="0" text="" dxfId="2">
      <formula>"OVERDUE"</formula>
    </cfRule>
    <cfRule type="cellIs" priority="4" operator="equal" aboveAverage="0" equalAverage="0" bottom="0" percent="0" rank="0" text="" dxfId="3">
      <formula>"PAY DUE"</formula>
    </cfRule>
  </conditionalFormatting>
  <dataValidations count="3">
    <dataValidation allowBlank="true" error="Pick a value from the list (add new masters on the master sheet first)." errorStyle="stop" operator="between" showDropDown="false" showErrorMessage="true" showInputMessage="false" sqref="B5:B304" type="list">
      <formula1>L_PartyTypes</formula1>
      <formula2>0</formula2>
    </dataValidation>
    <dataValidation allowBlank="true" error="Pick a value from the list (add new masters on the master sheet first)." errorStyle="stop" operator="between" showDropDown="false" showErrorMessage="true" showInputMessage="false" sqref="E5:E304" type="list">
      <formula1>L_States</formula1>
      <formula2>0</formula2>
    </dataValidation>
    <dataValidation allowBlank="true" error="This party already exists. Party names must be unique." errorStyle="stop" operator="between" showDropDown="false" showErrorMessage="true" showInputMessage="false" sqref="A5:A304" type="custom">
      <formula1>COUNTIF($A$5:$A$304,A5)=1</formula1>
      <formula2>0</formula2>
    </dataValidation>
  </dataValidations>
  <hyperlinks>
    <hyperlink ref="U1" r:id="rId2" location="Dashboard!A1" display="« Ho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4C41"/>
    <pageSetUpPr fitToPage="false"/>
  </sheetPr>
  <dimension ref="A1:I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8"/>
    <col collapsed="false" customWidth="true" hidden="false" outlineLevel="0" max="6" min="6" style="0" width="11"/>
    <col collapsed="false" customWidth="true" hidden="false" outlineLevel="0" max="7" min="7" style="0" width="13"/>
  </cols>
  <sheetData>
    <row r="1" customFormat="false" ht="27.75" hidden="false" customHeight="true" outlineLevel="0" collapsed="false">
      <c r="A1" s="49" t="s">
        <v>498</v>
      </c>
      <c r="B1" s="49"/>
      <c r="C1" s="49"/>
      <c r="D1" s="49"/>
      <c r="E1" s="49"/>
      <c r="F1" s="49"/>
      <c r="G1" s="49"/>
      <c r="I1" s="50" t="s">
        <v>43</v>
      </c>
    </row>
    <row r="2" customFormat="false" ht="15" hidden="false" customHeight="false" outlineLevel="0" collapsed="false">
      <c r="A2" s="3" t="s">
        <v>499</v>
      </c>
      <c r="B2" s="3"/>
      <c r="C2" s="3"/>
      <c r="D2" s="3"/>
      <c r="E2" s="3"/>
      <c r="F2" s="3"/>
      <c r="G2" s="3"/>
    </row>
    <row r="3" customFormat="false" ht="15" hidden="false" customHeight="false" outlineLevel="0" collapsed="false">
      <c r="A3" s="51" t="s">
        <v>45</v>
      </c>
      <c r="F3" s="52" t="s">
        <v>46</v>
      </c>
    </row>
    <row r="4" customFormat="false" ht="31.5" hidden="false" customHeight="true" outlineLevel="0" collapsed="false">
      <c r="A4" s="53" t="s">
        <v>47</v>
      </c>
      <c r="B4" s="53" t="s">
        <v>50</v>
      </c>
      <c r="C4" s="53" t="s">
        <v>500</v>
      </c>
      <c r="D4" s="53" t="s">
        <v>501</v>
      </c>
      <c r="E4" s="53" t="s">
        <v>502</v>
      </c>
      <c r="F4" s="54" t="s">
        <v>406</v>
      </c>
      <c r="G4" s="54" t="s">
        <v>503</v>
      </c>
    </row>
    <row r="5" customFormat="false" ht="15" hidden="false" customHeight="false" outlineLevel="0" collapsed="false">
      <c r="A5" s="55" t="n">
        <v>46162</v>
      </c>
      <c r="B5" s="56" t="s">
        <v>96</v>
      </c>
      <c r="C5" s="57" t="n">
        <v>-2</v>
      </c>
      <c r="D5" s="56" t="s">
        <v>504</v>
      </c>
      <c r="E5" s="56" t="s">
        <v>505</v>
      </c>
      <c r="F5" s="61" t="n">
        <f aca="false">IF($B5="","",IFERROR(INDEX(Items!$P$5:$P$504,MATCH($B5,Items!$A$5:$A$504,0)),0))</f>
        <v>1904.36283185841</v>
      </c>
      <c r="G5" s="61" t="n">
        <f aca="false">IF($B5="","",ROUND(N($C5)*F5,2))</f>
        <v>-3808.73</v>
      </c>
    </row>
    <row r="6" customFormat="false" ht="15" hidden="false" customHeight="false" outlineLevel="0" collapsed="false">
      <c r="A6" s="55" t="n">
        <v>46205</v>
      </c>
      <c r="B6" s="56" t="s">
        <v>99</v>
      </c>
      <c r="C6" s="57" t="n">
        <v>-6</v>
      </c>
      <c r="D6" s="56" t="s">
        <v>506</v>
      </c>
      <c r="E6" s="56" t="s">
        <v>507</v>
      </c>
      <c r="F6" s="61" t="n">
        <f aca="false">IF($B6="","",IFERROR(INDEX(Items!$P$5:$P$504,MATCH($B6,Items!$A$5:$A$504,0)),0))</f>
        <v>61.4170653907496</v>
      </c>
      <c r="G6" s="61" t="n">
        <f aca="false">IF($B6="","",ROUND(N($C6)*F6,2))</f>
        <v>-368.5</v>
      </c>
    </row>
    <row r="7" customFormat="false" ht="15" hidden="false" customHeight="false" outlineLevel="0" collapsed="false">
      <c r="A7" s="55" t="n">
        <v>46275</v>
      </c>
      <c r="B7" s="56" t="s">
        <v>73</v>
      </c>
      <c r="C7" s="57" t="n">
        <v>1</v>
      </c>
      <c r="D7" s="56" t="s">
        <v>508</v>
      </c>
      <c r="E7" s="56" t="s">
        <v>509</v>
      </c>
      <c r="F7" s="61" t="n">
        <f aca="false">IF($B7="","",IFERROR(INDEX(Items!$P$5:$P$504,MATCH($B7,Items!$A$5:$A$504,0)),0))</f>
        <v>1647.43055555556</v>
      </c>
      <c r="G7" s="61" t="n">
        <f aca="false">IF($B7="","",ROUND(N($C7)*F7,2))</f>
        <v>1647.43</v>
      </c>
    </row>
    <row r="8" customFormat="false" ht="15" hidden="false" customHeight="false" outlineLevel="0" collapsed="false">
      <c r="A8" s="55"/>
      <c r="B8" s="56"/>
      <c r="C8" s="57"/>
      <c r="D8" s="56"/>
      <c r="E8" s="56"/>
      <c r="F8" s="61" t="str">
        <f aca="false">IF($B8="","",IFERROR(INDEX(Items!$P$5:$P$504,MATCH($B8,Items!$A$5:$A$504,0)),0))</f>
        <v/>
      </c>
      <c r="G8" s="61" t="str">
        <f aca="false">IF($B8="","",ROUND(N($C8)*F8,2))</f>
        <v/>
      </c>
    </row>
    <row r="9" customFormat="false" ht="15" hidden="false" customHeight="false" outlineLevel="0" collapsed="false">
      <c r="A9" s="55"/>
      <c r="B9" s="56"/>
      <c r="C9" s="57"/>
      <c r="D9" s="56"/>
      <c r="E9" s="56"/>
      <c r="F9" s="61" t="str">
        <f aca="false">IF($B9="","",IFERROR(INDEX(Items!$P$5:$P$504,MATCH($B9,Items!$A$5:$A$504,0)),0))</f>
        <v/>
      </c>
      <c r="G9" s="61" t="str">
        <f aca="false">IF($B9="","",ROUND(N($C9)*F9,2))</f>
        <v/>
      </c>
    </row>
    <row r="10" customFormat="false" ht="15" hidden="false" customHeight="false" outlineLevel="0" collapsed="false">
      <c r="A10" s="55"/>
      <c r="B10" s="56"/>
      <c r="C10" s="57"/>
      <c r="D10" s="56"/>
      <c r="E10" s="56"/>
      <c r="F10" s="61" t="str">
        <f aca="false">IF($B10="","",IFERROR(INDEX(Items!$P$5:$P$504,MATCH($B10,Items!$A$5:$A$504,0)),0))</f>
        <v/>
      </c>
      <c r="G10" s="61" t="str">
        <f aca="false">IF($B10="","",ROUND(N($C10)*F10,2))</f>
        <v/>
      </c>
    </row>
    <row r="11" customFormat="false" ht="15" hidden="false" customHeight="false" outlineLevel="0" collapsed="false">
      <c r="A11" s="55"/>
      <c r="B11" s="56"/>
      <c r="C11" s="57"/>
      <c r="D11" s="56"/>
      <c r="E11" s="56"/>
      <c r="F11" s="61" t="str">
        <f aca="false">IF($B11="","",IFERROR(INDEX(Items!$P$5:$P$504,MATCH($B11,Items!$A$5:$A$504,0)),0))</f>
        <v/>
      </c>
      <c r="G11" s="61" t="str">
        <f aca="false">IF($B11="","",ROUND(N($C11)*F11,2))</f>
        <v/>
      </c>
    </row>
    <row r="12" customFormat="false" ht="15" hidden="false" customHeight="false" outlineLevel="0" collapsed="false">
      <c r="A12" s="55"/>
      <c r="B12" s="56"/>
      <c r="C12" s="57"/>
      <c r="D12" s="56"/>
      <c r="E12" s="56"/>
      <c r="F12" s="61" t="str">
        <f aca="false">IF($B12="","",IFERROR(INDEX(Items!$P$5:$P$504,MATCH($B12,Items!$A$5:$A$504,0)),0))</f>
        <v/>
      </c>
      <c r="G12" s="61" t="str">
        <f aca="false">IF($B12="","",ROUND(N($C12)*F12,2))</f>
        <v/>
      </c>
    </row>
    <row r="13" customFormat="false" ht="15" hidden="false" customHeight="false" outlineLevel="0" collapsed="false">
      <c r="A13" s="55"/>
      <c r="B13" s="56"/>
      <c r="C13" s="57"/>
      <c r="D13" s="56"/>
      <c r="E13" s="56"/>
      <c r="F13" s="61" t="str">
        <f aca="false">IF($B13="","",IFERROR(INDEX(Items!$P$5:$P$504,MATCH($B13,Items!$A$5:$A$504,0)),0))</f>
        <v/>
      </c>
      <c r="G13" s="61" t="str">
        <f aca="false">IF($B13="","",ROUND(N($C13)*F13,2))</f>
        <v/>
      </c>
    </row>
    <row r="14" customFormat="false" ht="15" hidden="false" customHeight="false" outlineLevel="0" collapsed="false">
      <c r="A14" s="55"/>
      <c r="B14" s="56"/>
      <c r="C14" s="57"/>
      <c r="D14" s="56"/>
      <c r="E14" s="56"/>
      <c r="F14" s="61" t="str">
        <f aca="false">IF($B14="","",IFERROR(INDEX(Items!$P$5:$P$504,MATCH($B14,Items!$A$5:$A$504,0)),0))</f>
        <v/>
      </c>
      <c r="G14" s="61" t="str">
        <f aca="false">IF($B14="","",ROUND(N($C14)*F14,2))</f>
        <v/>
      </c>
    </row>
    <row r="15" customFormat="false" ht="15" hidden="false" customHeight="false" outlineLevel="0" collapsed="false">
      <c r="A15" s="55"/>
      <c r="B15" s="56"/>
      <c r="C15" s="57"/>
      <c r="D15" s="56"/>
      <c r="E15" s="56"/>
      <c r="F15" s="61" t="str">
        <f aca="false">IF($B15="","",IFERROR(INDEX(Items!$P$5:$P$504,MATCH($B15,Items!$A$5:$A$504,0)),0))</f>
        <v/>
      </c>
      <c r="G15" s="61" t="str">
        <f aca="false">IF($B15="","",ROUND(N($C15)*F15,2))</f>
        <v/>
      </c>
    </row>
    <row r="16" customFormat="false" ht="15" hidden="false" customHeight="false" outlineLevel="0" collapsed="false">
      <c r="A16" s="55"/>
      <c r="B16" s="56"/>
      <c r="C16" s="57"/>
      <c r="D16" s="56"/>
      <c r="E16" s="56"/>
      <c r="F16" s="61" t="str">
        <f aca="false">IF($B16="","",IFERROR(INDEX(Items!$P$5:$P$504,MATCH($B16,Items!$A$5:$A$504,0)),0))</f>
        <v/>
      </c>
      <c r="G16" s="61" t="str">
        <f aca="false">IF($B16="","",ROUND(N($C16)*F16,2))</f>
        <v/>
      </c>
    </row>
    <row r="17" customFormat="false" ht="15" hidden="false" customHeight="false" outlineLevel="0" collapsed="false">
      <c r="A17" s="55"/>
      <c r="B17" s="56"/>
      <c r="C17" s="57"/>
      <c r="D17" s="56"/>
      <c r="E17" s="56"/>
      <c r="F17" s="61" t="str">
        <f aca="false">IF($B17="","",IFERROR(INDEX(Items!$P$5:$P$504,MATCH($B17,Items!$A$5:$A$504,0)),0))</f>
        <v/>
      </c>
      <c r="G17" s="61" t="str">
        <f aca="false">IF($B17="","",ROUND(N($C17)*F17,2))</f>
        <v/>
      </c>
    </row>
    <row r="18" customFormat="false" ht="15" hidden="false" customHeight="false" outlineLevel="0" collapsed="false">
      <c r="A18" s="55"/>
      <c r="B18" s="56"/>
      <c r="C18" s="57"/>
      <c r="D18" s="56"/>
      <c r="E18" s="56"/>
      <c r="F18" s="61" t="str">
        <f aca="false">IF($B18="","",IFERROR(INDEX(Items!$P$5:$P$504,MATCH($B18,Items!$A$5:$A$504,0)),0))</f>
        <v/>
      </c>
      <c r="G18" s="61" t="str">
        <f aca="false">IF($B18="","",ROUND(N($C18)*F18,2))</f>
        <v/>
      </c>
    </row>
    <row r="19" customFormat="false" ht="15" hidden="false" customHeight="false" outlineLevel="0" collapsed="false">
      <c r="A19" s="55"/>
      <c r="B19" s="56"/>
      <c r="C19" s="57"/>
      <c r="D19" s="56"/>
      <c r="E19" s="56"/>
      <c r="F19" s="61" t="str">
        <f aca="false">IF($B19="","",IFERROR(INDEX(Items!$P$5:$P$504,MATCH($B19,Items!$A$5:$A$504,0)),0))</f>
        <v/>
      </c>
      <c r="G19" s="61" t="str">
        <f aca="false">IF($B19="","",ROUND(N($C19)*F19,2))</f>
        <v/>
      </c>
    </row>
    <row r="20" customFormat="false" ht="15" hidden="false" customHeight="false" outlineLevel="0" collapsed="false">
      <c r="A20" s="55"/>
      <c r="B20" s="56"/>
      <c r="C20" s="57"/>
      <c r="D20" s="56"/>
      <c r="E20" s="56"/>
      <c r="F20" s="61" t="str">
        <f aca="false">IF($B20="","",IFERROR(INDEX(Items!$P$5:$P$504,MATCH($B20,Items!$A$5:$A$504,0)),0))</f>
        <v/>
      </c>
      <c r="G20" s="61" t="str">
        <f aca="false">IF($B20="","",ROUND(N($C20)*F20,2))</f>
        <v/>
      </c>
    </row>
    <row r="21" customFormat="false" ht="15" hidden="false" customHeight="false" outlineLevel="0" collapsed="false">
      <c r="A21" s="55"/>
      <c r="B21" s="56"/>
      <c r="C21" s="57"/>
      <c r="D21" s="56"/>
      <c r="E21" s="56"/>
      <c r="F21" s="61" t="str">
        <f aca="false">IF($B21="","",IFERROR(INDEX(Items!$P$5:$P$504,MATCH($B21,Items!$A$5:$A$504,0)),0))</f>
        <v/>
      </c>
      <c r="G21" s="61" t="str">
        <f aca="false">IF($B21="","",ROUND(N($C21)*F21,2))</f>
        <v/>
      </c>
    </row>
    <row r="22" customFormat="false" ht="15" hidden="false" customHeight="false" outlineLevel="0" collapsed="false">
      <c r="A22" s="55"/>
      <c r="B22" s="56"/>
      <c r="C22" s="57"/>
      <c r="D22" s="56"/>
      <c r="E22" s="56"/>
      <c r="F22" s="61" t="str">
        <f aca="false">IF($B22="","",IFERROR(INDEX(Items!$P$5:$P$504,MATCH($B22,Items!$A$5:$A$504,0)),0))</f>
        <v/>
      </c>
      <c r="G22" s="61" t="str">
        <f aca="false">IF($B22="","",ROUND(N($C22)*F22,2))</f>
        <v/>
      </c>
    </row>
    <row r="23" customFormat="false" ht="15" hidden="false" customHeight="false" outlineLevel="0" collapsed="false">
      <c r="A23" s="55"/>
      <c r="B23" s="56"/>
      <c r="C23" s="57"/>
      <c r="D23" s="56"/>
      <c r="E23" s="56"/>
      <c r="F23" s="61" t="str">
        <f aca="false">IF($B23="","",IFERROR(INDEX(Items!$P$5:$P$504,MATCH($B23,Items!$A$5:$A$504,0)),0))</f>
        <v/>
      </c>
      <c r="G23" s="61" t="str">
        <f aca="false">IF($B23="","",ROUND(N($C23)*F23,2))</f>
        <v/>
      </c>
    </row>
    <row r="24" customFormat="false" ht="15" hidden="false" customHeight="false" outlineLevel="0" collapsed="false">
      <c r="A24" s="55"/>
      <c r="B24" s="56"/>
      <c r="C24" s="57"/>
      <c r="D24" s="56"/>
      <c r="E24" s="56"/>
      <c r="F24" s="61" t="str">
        <f aca="false">IF($B24="","",IFERROR(INDEX(Items!$P$5:$P$504,MATCH($B24,Items!$A$5:$A$504,0)),0))</f>
        <v/>
      </c>
      <c r="G24" s="61" t="str">
        <f aca="false">IF($B24="","",ROUND(N($C24)*F24,2))</f>
        <v/>
      </c>
    </row>
    <row r="25" customFormat="false" ht="15" hidden="false" customHeight="false" outlineLevel="0" collapsed="false">
      <c r="A25" s="55"/>
      <c r="B25" s="56"/>
      <c r="C25" s="57"/>
      <c r="D25" s="56"/>
      <c r="E25" s="56"/>
      <c r="F25" s="61" t="str">
        <f aca="false">IF($B25="","",IFERROR(INDEX(Items!$P$5:$P$504,MATCH($B25,Items!$A$5:$A$504,0)),0))</f>
        <v/>
      </c>
      <c r="G25" s="61" t="str">
        <f aca="false">IF($B25="","",ROUND(N($C25)*F25,2))</f>
        <v/>
      </c>
    </row>
    <row r="26" customFormat="false" ht="15" hidden="false" customHeight="false" outlineLevel="0" collapsed="false">
      <c r="A26" s="55"/>
      <c r="B26" s="56"/>
      <c r="C26" s="57"/>
      <c r="D26" s="56"/>
      <c r="E26" s="56"/>
      <c r="F26" s="61" t="str">
        <f aca="false">IF($B26="","",IFERROR(INDEX(Items!$P$5:$P$504,MATCH($B26,Items!$A$5:$A$504,0)),0))</f>
        <v/>
      </c>
      <c r="G26" s="61" t="str">
        <f aca="false">IF($B26="","",ROUND(N($C26)*F26,2))</f>
        <v/>
      </c>
    </row>
    <row r="27" customFormat="false" ht="15" hidden="false" customHeight="false" outlineLevel="0" collapsed="false">
      <c r="A27" s="55"/>
      <c r="B27" s="56"/>
      <c r="C27" s="57"/>
      <c r="D27" s="56"/>
      <c r="E27" s="56"/>
      <c r="F27" s="61" t="str">
        <f aca="false">IF($B27="","",IFERROR(INDEX(Items!$P$5:$P$504,MATCH($B27,Items!$A$5:$A$504,0)),0))</f>
        <v/>
      </c>
      <c r="G27" s="61" t="str">
        <f aca="false">IF($B27="","",ROUND(N($C27)*F27,2))</f>
        <v/>
      </c>
    </row>
    <row r="28" customFormat="false" ht="15" hidden="false" customHeight="false" outlineLevel="0" collapsed="false">
      <c r="A28" s="55"/>
      <c r="B28" s="56"/>
      <c r="C28" s="57"/>
      <c r="D28" s="56"/>
      <c r="E28" s="56"/>
      <c r="F28" s="61" t="str">
        <f aca="false">IF($B28="","",IFERROR(INDEX(Items!$P$5:$P$504,MATCH($B28,Items!$A$5:$A$504,0)),0))</f>
        <v/>
      </c>
      <c r="G28" s="61" t="str">
        <f aca="false">IF($B28="","",ROUND(N($C28)*F28,2))</f>
        <v/>
      </c>
    </row>
    <row r="29" customFormat="false" ht="15" hidden="false" customHeight="false" outlineLevel="0" collapsed="false">
      <c r="A29" s="55"/>
      <c r="B29" s="56"/>
      <c r="C29" s="57"/>
      <c r="D29" s="56"/>
      <c r="E29" s="56"/>
      <c r="F29" s="61" t="str">
        <f aca="false">IF($B29="","",IFERROR(INDEX(Items!$P$5:$P$504,MATCH($B29,Items!$A$5:$A$504,0)),0))</f>
        <v/>
      </c>
      <c r="G29" s="61" t="str">
        <f aca="false">IF($B29="","",ROUND(N($C29)*F29,2))</f>
        <v/>
      </c>
    </row>
    <row r="30" customFormat="false" ht="15" hidden="false" customHeight="false" outlineLevel="0" collapsed="false">
      <c r="A30" s="55"/>
      <c r="B30" s="56"/>
      <c r="C30" s="57"/>
      <c r="D30" s="56"/>
      <c r="E30" s="56"/>
      <c r="F30" s="61" t="str">
        <f aca="false">IF($B30="","",IFERROR(INDEX(Items!$P$5:$P$504,MATCH($B30,Items!$A$5:$A$504,0)),0))</f>
        <v/>
      </c>
      <c r="G30" s="61" t="str">
        <f aca="false">IF($B30="","",ROUND(N($C30)*F30,2))</f>
        <v/>
      </c>
    </row>
    <row r="31" customFormat="false" ht="15" hidden="false" customHeight="false" outlineLevel="0" collapsed="false">
      <c r="A31" s="55"/>
      <c r="B31" s="56"/>
      <c r="C31" s="57"/>
      <c r="D31" s="56"/>
      <c r="E31" s="56"/>
      <c r="F31" s="61" t="str">
        <f aca="false">IF($B31="","",IFERROR(INDEX(Items!$P$5:$P$504,MATCH($B31,Items!$A$5:$A$504,0)),0))</f>
        <v/>
      </c>
      <c r="G31" s="61" t="str">
        <f aca="false">IF($B31="","",ROUND(N($C31)*F31,2))</f>
        <v/>
      </c>
    </row>
    <row r="32" customFormat="false" ht="15" hidden="false" customHeight="false" outlineLevel="0" collapsed="false">
      <c r="A32" s="55"/>
      <c r="B32" s="56"/>
      <c r="C32" s="57"/>
      <c r="D32" s="56"/>
      <c r="E32" s="56"/>
      <c r="F32" s="61" t="str">
        <f aca="false">IF($B32="","",IFERROR(INDEX(Items!$P$5:$P$504,MATCH($B32,Items!$A$5:$A$504,0)),0))</f>
        <v/>
      </c>
      <c r="G32" s="61" t="str">
        <f aca="false">IF($B32="","",ROUND(N($C32)*F32,2))</f>
        <v/>
      </c>
    </row>
    <row r="33" customFormat="false" ht="15" hidden="false" customHeight="false" outlineLevel="0" collapsed="false">
      <c r="A33" s="55"/>
      <c r="B33" s="56"/>
      <c r="C33" s="57"/>
      <c r="D33" s="56"/>
      <c r="E33" s="56"/>
      <c r="F33" s="61" t="str">
        <f aca="false">IF($B33="","",IFERROR(INDEX(Items!$P$5:$P$504,MATCH($B33,Items!$A$5:$A$504,0)),0))</f>
        <v/>
      </c>
      <c r="G33" s="61" t="str">
        <f aca="false">IF($B33="","",ROUND(N($C33)*F33,2))</f>
        <v/>
      </c>
    </row>
    <row r="34" customFormat="false" ht="15" hidden="false" customHeight="false" outlineLevel="0" collapsed="false">
      <c r="A34" s="55"/>
      <c r="B34" s="56"/>
      <c r="C34" s="57"/>
      <c r="D34" s="56"/>
      <c r="E34" s="56"/>
      <c r="F34" s="61" t="str">
        <f aca="false">IF($B34="","",IFERROR(INDEX(Items!$P$5:$P$504,MATCH($B34,Items!$A$5:$A$504,0)),0))</f>
        <v/>
      </c>
      <c r="G34" s="61" t="str">
        <f aca="false">IF($B34="","",ROUND(N($C34)*F34,2))</f>
        <v/>
      </c>
    </row>
    <row r="35" customFormat="false" ht="15" hidden="false" customHeight="false" outlineLevel="0" collapsed="false">
      <c r="A35" s="55"/>
      <c r="B35" s="56"/>
      <c r="C35" s="57"/>
      <c r="D35" s="56"/>
      <c r="E35" s="56"/>
      <c r="F35" s="61" t="str">
        <f aca="false">IF($B35="","",IFERROR(INDEX(Items!$P$5:$P$504,MATCH($B35,Items!$A$5:$A$504,0)),0))</f>
        <v/>
      </c>
      <c r="G35" s="61" t="str">
        <f aca="false">IF($B35="","",ROUND(N($C35)*F35,2))</f>
        <v/>
      </c>
    </row>
    <row r="36" customFormat="false" ht="15" hidden="false" customHeight="false" outlineLevel="0" collapsed="false">
      <c r="A36" s="55"/>
      <c r="B36" s="56"/>
      <c r="C36" s="57"/>
      <c r="D36" s="56"/>
      <c r="E36" s="56"/>
      <c r="F36" s="61" t="str">
        <f aca="false">IF($B36="","",IFERROR(INDEX(Items!$P$5:$P$504,MATCH($B36,Items!$A$5:$A$504,0)),0))</f>
        <v/>
      </c>
      <c r="G36" s="61" t="str">
        <f aca="false">IF($B36="","",ROUND(N($C36)*F36,2))</f>
        <v/>
      </c>
    </row>
    <row r="37" customFormat="false" ht="15" hidden="false" customHeight="false" outlineLevel="0" collapsed="false">
      <c r="A37" s="55"/>
      <c r="B37" s="56"/>
      <c r="C37" s="57"/>
      <c r="D37" s="56"/>
      <c r="E37" s="56"/>
      <c r="F37" s="61" t="str">
        <f aca="false">IF($B37="","",IFERROR(INDEX(Items!$P$5:$P$504,MATCH($B37,Items!$A$5:$A$504,0)),0))</f>
        <v/>
      </c>
      <c r="G37" s="61" t="str">
        <f aca="false">IF($B37="","",ROUND(N($C37)*F37,2))</f>
        <v/>
      </c>
    </row>
    <row r="38" customFormat="false" ht="15" hidden="false" customHeight="false" outlineLevel="0" collapsed="false">
      <c r="A38" s="55"/>
      <c r="B38" s="56"/>
      <c r="C38" s="57"/>
      <c r="D38" s="56"/>
      <c r="E38" s="56"/>
      <c r="F38" s="61" t="str">
        <f aca="false">IF($B38="","",IFERROR(INDEX(Items!$P$5:$P$504,MATCH($B38,Items!$A$5:$A$504,0)),0))</f>
        <v/>
      </c>
      <c r="G38" s="61" t="str">
        <f aca="false">IF($B38="","",ROUND(N($C38)*F38,2))</f>
        <v/>
      </c>
    </row>
    <row r="39" customFormat="false" ht="15" hidden="false" customHeight="false" outlineLevel="0" collapsed="false">
      <c r="A39" s="55"/>
      <c r="B39" s="56"/>
      <c r="C39" s="57"/>
      <c r="D39" s="56"/>
      <c r="E39" s="56"/>
      <c r="F39" s="61" t="str">
        <f aca="false">IF($B39="","",IFERROR(INDEX(Items!$P$5:$P$504,MATCH($B39,Items!$A$5:$A$504,0)),0))</f>
        <v/>
      </c>
      <c r="G39" s="61" t="str">
        <f aca="false">IF($B39="","",ROUND(N($C39)*F39,2))</f>
        <v/>
      </c>
    </row>
    <row r="40" customFormat="false" ht="15" hidden="false" customHeight="false" outlineLevel="0" collapsed="false">
      <c r="A40" s="55"/>
      <c r="B40" s="56"/>
      <c r="C40" s="57"/>
      <c r="D40" s="56"/>
      <c r="E40" s="56"/>
      <c r="F40" s="61" t="str">
        <f aca="false">IF($B40="","",IFERROR(INDEX(Items!$P$5:$P$504,MATCH($B40,Items!$A$5:$A$504,0)),0))</f>
        <v/>
      </c>
      <c r="G40" s="61" t="str">
        <f aca="false">IF($B40="","",ROUND(N($C40)*F40,2))</f>
        <v/>
      </c>
    </row>
    <row r="41" customFormat="false" ht="15" hidden="false" customHeight="false" outlineLevel="0" collapsed="false">
      <c r="A41" s="55"/>
      <c r="B41" s="56"/>
      <c r="C41" s="57"/>
      <c r="D41" s="56"/>
      <c r="E41" s="56"/>
      <c r="F41" s="61" t="str">
        <f aca="false">IF($B41="","",IFERROR(INDEX(Items!$P$5:$P$504,MATCH($B41,Items!$A$5:$A$504,0)),0))</f>
        <v/>
      </c>
      <c r="G41" s="61" t="str">
        <f aca="false">IF($B41="","",ROUND(N($C41)*F41,2))</f>
        <v/>
      </c>
    </row>
    <row r="42" customFormat="false" ht="15" hidden="false" customHeight="false" outlineLevel="0" collapsed="false">
      <c r="A42" s="55"/>
      <c r="B42" s="56"/>
      <c r="C42" s="57"/>
      <c r="D42" s="56"/>
      <c r="E42" s="56"/>
      <c r="F42" s="61" t="str">
        <f aca="false">IF($B42="","",IFERROR(INDEX(Items!$P$5:$P$504,MATCH($B42,Items!$A$5:$A$504,0)),0))</f>
        <v/>
      </c>
      <c r="G42" s="61" t="str">
        <f aca="false">IF($B42="","",ROUND(N($C42)*F42,2))</f>
        <v/>
      </c>
    </row>
    <row r="43" customFormat="false" ht="15" hidden="false" customHeight="false" outlineLevel="0" collapsed="false">
      <c r="A43" s="55"/>
      <c r="B43" s="56"/>
      <c r="C43" s="57"/>
      <c r="D43" s="56"/>
      <c r="E43" s="56"/>
      <c r="F43" s="61" t="str">
        <f aca="false">IF($B43="","",IFERROR(INDEX(Items!$P$5:$P$504,MATCH($B43,Items!$A$5:$A$504,0)),0))</f>
        <v/>
      </c>
      <c r="G43" s="61" t="str">
        <f aca="false">IF($B43="","",ROUND(N($C43)*F43,2))</f>
        <v/>
      </c>
    </row>
    <row r="44" customFormat="false" ht="15" hidden="false" customHeight="false" outlineLevel="0" collapsed="false">
      <c r="A44" s="55"/>
      <c r="B44" s="56"/>
      <c r="C44" s="57"/>
      <c r="D44" s="56"/>
      <c r="E44" s="56"/>
      <c r="F44" s="61" t="str">
        <f aca="false">IF($B44="","",IFERROR(INDEX(Items!$P$5:$P$504,MATCH($B44,Items!$A$5:$A$504,0)),0))</f>
        <v/>
      </c>
      <c r="G44" s="61" t="str">
        <f aca="false">IF($B44="","",ROUND(N($C44)*F44,2))</f>
        <v/>
      </c>
    </row>
    <row r="45" customFormat="false" ht="15" hidden="false" customHeight="false" outlineLevel="0" collapsed="false">
      <c r="A45" s="55"/>
      <c r="B45" s="56"/>
      <c r="C45" s="57"/>
      <c r="D45" s="56"/>
      <c r="E45" s="56"/>
      <c r="F45" s="61" t="str">
        <f aca="false">IF($B45="","",IFERROR(INDEX(Items!$P$5:$P$504,MATCH($B45,Items!$A$5:$A$504,0)),0))</f>
        <v/>
      </c>
      <c r="G45" s="61" t="str">
        <f aca="false">IF($B45="","",ROUND(N($C45)*F45,2))</f>
        <v/>
      </c>
    </row>
    <row r="46" customFormat="false" ht="15" hidden="false" customHeight="false" outlineLevel="0" collapsed="false">
      <c r="A46" s="55"/>
      <c r="B46" s="56"/>
      <c r="C46" s="57"/>
      <c r="D46" s="56"/>
      <c r="E46" s="56"/>
      <c r="F46" s="61" t="str">
        <f aca="false">IF($B46="","",IFERROR(INDEX(Items!$P$5:$P$504,MATCH($B46,Items!$A$5:$A$504,0)),0))</f>
        <v/>
      </c>
      <c r="G46" s="61" t="str">
        <f aca="false">IF($B46="","",ROUND(N($C46)*F46,2))</f>
        <v/>
      </c>
    </row>
    <row r="47" customFormat="false" ht="15" hidden="false" customHeight="false" outlineLevel="0" collapsed="false">
      <c r="A47" s="55"/>
      <c r="B47" s="56"/>
      <c r="C47" s="57"/>
      <c r="D47" s="56"/>
      <c r="E47" s="56"/>
      <c r="F47" s="61" t="str">
        <f aca="false">IF($B47="","",IFERROR(INDEX(Items!$P$5:$P$504,MATCH($B47,Items!$A$5:$A$504,0)),0))</f>
        <v/>
      </c>
      <c r="G47" s="61" t="str">
        <f aca="false">IF($B47="","",ROUND(N($C47)*F47,2))</f>
        <v/>
      </c>
    </row>
    <row r="48" customFormat="false" ht="15" hidden="false" customHeight="false" outlineLevel="0" collapsed="false">
      <c r="A48" s="55"/>
      <c r="B48" s="56"/>
      <c r="C48" s="57"/>
      <c r="D48" s="56"/>
      <c r="E48" s="56"/>
      <c r="F48" s="61" t="str">
        <f aca="false">IF($B48="","",IFERROR(INDEX(Items!$P$5:$P$504,MATCH($B48,Items!$A$5:$A$504,0)),0))</f>
        <v/>
      </c>
      <c r="G48" s="61" t="str">
        <f aca="false">IF($B48="","",ROUND(N($C48)*F48,2))</f>
        <v/>
      </c>
    </row>
    <row r="49" customFormat="false" ht="15" hidden="false" customHeight="false" outlineLevel="0" collapsed="false">
      <c r="A49" s="55"/>
      <c r="B49" s="56"/>
      <c r="C49" s="57"/>
      <c r="D49" s="56"/>
      <c r="E49" s="56"/>
      <c r="F49" s="61" t="str">
        <f aca="false">IF($B49="","",IFERROR(INDEX(Items!$P$5:$P$504,MATCH($B49,Items!$A$5:$A$504,0)),0))</f>
        <v/>
      </c>
      <c r="G49" s="61" t="str">
        <f aca="false">IF($B49="","",ROUND(N($C49)*F49,2))</f>
        <v/>
      </c>
    </row>
    <row r="50" customFormat="false" ht="15" hidden="false" customHeight="false" outlineLevel="0" collapsed="false">
      <c r="A50" s="55"/>
      <c r="B50" s="56"/>
      <c r="C50" s="57"/>
      <c r="D50" s="56"/>
      <c r="E50" s="56"/>
      <c r="F50" s="61" t="str">
        <f aca="false">IF($B50="","",IFERROR(INDEX(Items!$P$5:$P$504,MATCH($B50,Items!$A$5:$A$504,0)),0))</f>
        <v/>
      </c>
      <c r="G50" s="61" t="str">
        <f aca="false">IF($B50="","",ROUND(N($C50)*F50,2))</f>
        <v/>
      </c>
    </row>
    <row r="51" customFormat="false" ht="15" hidden="false" customHeight="false" outlineLevel="0" collapsed="false">
      <c r="A51" s="55"/>
      <c r="B51" s="56"/>
      <c r="C51" s="57"/>
      <c r="D51" s="56"/>
      <c r="E51" s="56"/>
      <c r="F51" s="61" t="str">
        <f aca="false">IF($B51="","",IFERROR(INDEX(Items!$P$5:$P$504,MATCH($B51,Items!$A$5:$A$504,0)),0))</f>
        <v/>
      </c>
      <c r="G51" s="61" t="str">
        <f aca="false">IF($B51="","",ROUND(N($C51)*F51,2))</f>
        <v/>
      </c>
    </row>
    <row r="52" customFormat="false" ht="15" hidden="false" customHeight="false" outlineLevel="0" collapsed="false">
      <c r="A52" s="55"/>
      <c r="B52" s="56"/>
      <c r="C52" s="57"/>
      <c r="D52" s="56"/>
      <c r="E52" s="56"/>
      <c r="F52" s="61" t="str">
        <f aca="false">IF($B52="","",IFERROR(INDEX(Items!$P$5:$P$504,MATCH($B52,Items!$A$5:$A$504,0)),0))</f>
        <v/>
      </c>
      <c r="G52" s="61" t="str">
        <f aca="false">IF($B52="","",ROUND(N($C52)*F52,2))</f>
        <v/>
      </c>
    </row>
    <row r="53" customFormat="false" ht="15" hidden="false" customHeight="false" outlineLevel="0" collapsed="false">
      <c r="A53" s="55"/>
      <c r="B53" s="56"/>
      <c r="C53" s="57"/>
      <c r="D53" s="56"/>
      <c r="E53" s="56"/>
      <c r="F53" s="61" t="str">
        <f aca="false">IF($B53="","",IFERROR(INDEX(Items!$P$5:$P$504,MATCH($B53,Items!$A$5:$A$504,0)),0))</f>
        <v/>
      </c>
      <c r="G53" s="61" t="str">
        <f aca="false">IF($B53="","",ROUND(N($C53)*F53,2))</f>
        <v/>
      </c>
    </row>
    <row r="54" customFormat="false" ht="15" hidden="false" customHeight="false" outlineLevel="0" collapsed="false">
      <c r="A54" s="55"/>
      <c r="B54" s="56"/>
      <c r="C54" s="57"/>
      <c r="D54" s="56"/>
      <c r="E54" s="56"/>
      <c r="F54" s="61" t="str">
        <f aca="false">IF($B54="","",IFERROR(INDEX(Items!$P$5:$P$504,MATCH($B54,Items!$A$5:$A$504,0)),0))</f>
        <v/>
      </c>
      <c r="G54" s="61" t="str">
        <f aca="false">IF($B54="","",ROUND(N($C54)*F54,2))</f>
        <v/>
      </c>
    </row>
    <row r="55" customFormat="false" ht="15" hidden="false" customHeight="false" outlineLevel="0" collapsed="false">
      <c r="A55" s="55"/>
      <c r="B55" s="56"/>
      <c r="C55" s="57"/>
      <c r="D55" s="56"/>
      <c r="E55" s="56"/>
      <c r="F55" s="61" t="str">
        <f aca="false">IF($B55="","",IFERROR(INDEX(Items!$P$5:$P$504,MATCH($B55,Items!$A$5:$A$504,0)),0))</f>
        <v/>
      </c>
      <c r="G55" s="61" t="str">
        <f aca="false">IF($B55="","",ROUND(N($C55)*F55,2))</f>
        <v/>
      </c>
    </row>
    <row r="56" customFormat="false" ht="15" hidden="false" customHeight="false" outlineLevel="0" collapsed="false">
      <c r="A56" s="55"/>
      <c r="B56" s="56"/>
      <c r="C56" s="57"/>
      <c r="D56" s="56"/>
      <c r="E56" s="56"/>
      <c r="F56" s="61" t="str">
        <f aca="false">IF($B56="","",IFERROR(INDEX(Items!$P$5:$P$504,MATCH($B56,Items!$A$5:$A$504,0)),0))</f>
        <v/>
      </c>
      <c r="G56" s="61" t="str">
        <f aca="false">IF($B56="","",ROUND(N($C56)*F56,2))</f>
        <v/>
      </c>
    </row>
    <row r="57" customFormat="false" ht="15" hidden="false" customHeight="false" outlineLevel="0" collapsed="false">
      <c r="A57" s="55"/>
      <c r="B57" s="56"/>
      <c r="C57" s="57"/>
      <c r="D57" s="56"/>
      <c r="E57" s="56"/>
      <c r="F57" s="61" t="str">
        <f aca="false">IF($B57="","",IFERROR(INDEX(Items!$P$5:$P$504,MATCH($B57,Items!$A$5:$A$504,0)),0))</f>
        <v/>
      </c>
      <c r="G57" s="61" t="str">
        <f aca="false">IF($B57="","",ROUND(N($C57)*F57,2))</f>
        <v/>
      </c>
    </row>
    <row r="58" customFormat="false" ht="15" hidden="false" customHeight="false" outlineLevel="0" collapsed="false">
      <c r="A58" s="55"/>
      <c r="B58" s="56"/>
      <c r="C58" s="57"/>
      <c r="D58" s="56"/>
      <c r="E58" s="56"/>
      <c r="F58" s="61" t="str">
        <f aca="false">IF($B58="","",IFERROR(INDEX(Items!$P$5:$P$504,MATCH($B58,Items!$A$5:$A$504,0)),0))</f>
        <v/>
      </c>
      <c r="G58" s="61" t="str">
        <f aca="false">IF($B58="","",ROUND(N($C58)*F58,2))</f>
        <v/>
      </c>
    </row>
    <row r="59" customFormat="false" ht="15" hidden="false" customHeight="false" outlineLevel="0" collapsed="false">
      <c r="A59" s="55"/>
      <c r="B59" s="56"/>
      <c r="C59" s="57"/>
      <c r="D59" s="56"/>
      <c r="E59" s="56"/>
      <c r="F59" s="61" t="str">
        <f aca="false">IF($B59="","",IFERROR(INDEX(Items!$P$5:$P$504,MATCH($B59,Items!$A$5:$A$504,0)),0))</f>
        <v/>
      </c>
      <c r="G59" s="61" t="str">
        <f aca="false">IF($B59="","",ROUND(N($C59)*F59,2))</f>
        <v/>
      </c>
    </row>
    <row r="60" customFormat="false" ht="15" hidden="false" customHeight="false" outlineLevel="0" collapsed="false">
      <c r="A60" s="55"/>
      <c r="B60" s="56"/>
      <c r="C60" s="57"/>
      <c r="D60" s="56"/>
      <c r="E60" s="56"/>
      <c r="F60" s="61" t="str">
        <f aca="false">IF($B60="","",IFERROR(INDEX(Items!$P$5:$P$504,MATCH($B60,Items!$A$5:$A$504,0)),0))</f>
        <v/>
      </c>
      <c r="G60" s="61" t="str">
        <f aca="false">IF($B60="","",ROUND(N($C60)*F60,2))</f>
        <v/>
      </c>
    </row>
    <row r="61" customFormat="false" ht="15" hidden="false" customHeight="false" outlineLevel="0" collapsed="false">
      <c r="A61" s="55"/>
      <c r="B61" s="56"/>
      <c r="C61" s="57"/>
      <c r="D61" s="56"/>
      <c r="E61" s="56"/>
      <c r="F61" s="61" t="str">
        <f aca="false">IF($B61="","",IFERROR(INDEX(Items!$P$5:$P$504,MATCH($B61,Items!$A$5:$A$504,0)),0))</f>
        <v/>
      </c>
      <c r="G61" s="61" t="str">
        <f aca="false">IF($B61="","",ROUND(N($C61)*F61,2))</f>
        <v/>
      </c>
    </row>
    <row r="62" customFormat="false" ht="15" hidden="false" customHeight="false" outlineLevel="0" collapsed="false">
      <c r="A62" s="55"/>
      <c r="B62" s="56"/>
      <c r="C62" s="57"/>
      <c r="D62" s="56"/>
      <c r="E62" s="56"/>
      <c r="F62" s="61" t="str">
        <f aca="false">IF($B62="","",IFERROR(INDEX(Items!$P$5:$P$504,MATCH($B62,Items!$A$5:$A$504,0)),0))</f>
        <v/>
      </c>
      <c r="G62" s="61" t="str">
        <f aca="false">IF($B62="","",ROUND(N($C62)*F62,2))</f>
        <v/>
      </c>
    </row>
    <row r="63" customFormat="false" ht="15" hidden="false" customHeight="false" outlineLevel="0" collapsed="false">
      <c r="A63" s="55"/>
      <c r="B63" s="56"/>
      <c r="C63" s="57"/>
      <c r="D63" s="56"/>
      <c r="E63" s="56"/>
      <c r="F63" s="61" t="str">
        <f aca="false">IF($B63="","",IFERROR(INDEX(Items!$P$5:$P$504,MATCH($B63,Items!$A$5:$A$504,0)),0))</f>
        <v/>
      </c>
      <c r="G63" s="61" t="str">
        <f aca="false">IF($B63="","",ROUND(N($C63)*F63,2))</f>
        <v/>
      </c>
    </row>
    <row r="64" customFormat="false" ht="15" hidden="false" customHeight="false" outlineLevel="0" collapsed="false">
      <c r="A64" s="55"/>
      <c r="B64" s="56"/>
      <c r="C64" s="57"/>
      <c r="D64" s="56"/>
      <c r="E64" s="56"/>
      <c r="F64" s="61" t="str">
        <f aca="false">IF($B64="","",IFERROR(INDEX(Items!$P$5:$P$504,MATCH($B64,Items!$A$5:$A$504,0)),0))</f>
        <v/>
      </c>
      <c r="G64" s="61" t="str">
        <f aca="false">IF($B64="","",ROUND(N($C64)*F64,2))</f>
        <v/>
      </c>
    </row>
    <row r="65" customFormat="false" ht="15" hidden="false" customHeight="false" outlineLevel="0" collapsed="false">
      <c r="A65" s="55"/>
      <c r="B65" s="56"/>
      <c r="C65" s="57"/>
      <c r="D65" s="56"/>
      <c r="E65" s="56"/>
      <c r="F65" s="61" t="str">
        <f aca="false">IF($B65="","",IFERROR(INDEX(Items!$P$5:$P$504,MATCH($B65,Items!$A$5:$A$504,0)),0))</f>
        <v/>
      </c>
      <c r="G65" s="61" t="str">
        <f aca="false">IF($B65="","",ROUND(N($C65)*F65,2))</f>
        <v/>
      </c>
    </row>
    <row r="66" customFormat="false" ht="15" hidden="false" customHeight="false" outlineLevel="0" collapsed="false">
      <c r="A66" s="55"/>
      <c r="B66" s="56"/>
      <c r="C66" s="57"/>
      <c r="D66" s="56"/>
      <c r="E66" s="56"/>
      <c r="F66" s="61" t="str">
        <f aca="false">IF($B66="","",IFERROR(INDEX(Items!$P$5:$P$504,MATCH($B66,Items!$A$5:$A$504,0)),0))</f>
        <v/>
      </c>
      <c r="G66" s="61" t="str">
        <f aca="false">IF($B66="","",ROUND(N($C66)*F66,2))</f>
        <v/>
      </c>
    </row>
    <row r="67" customFormat="false" ht="15" hidden="false" customHeight="false" outlineLevel="0" collapsed="false">
      <c r="A67" s="55"/>
      <c r="B67" s="56"/>
      <c r="C67" s="57"/>
      <c r="D67" s="56"/>
      <c r="E67" s="56"/>
      <c r="F67" s="61" t="str">
        <f aca="false">IF($B67="","",IFERROR(INDEX(Items!$P$5:$P$504,MATCH($B67,Items!$A$5:$A$504,0)),0))</f>
        <v/>
      </c>
      <c r="G67" s="61" t="str">
        <f aca="false">IF($B67="","",ROUND(N($C67)*F67,2))</f>
        <v/>
      </c>
    </row>
    <row r="68" customFormat="false" ht="15" hidden="false" customHeight="false" outlineLevel="0" collapsed="false">
      <c r="A68" s="55"/>
      <c r="B68" s="56"/>
      <c r="C68" s="57"/>
      <c r="D68" s="56"/>
      <c r="E68" s="56"/>
      <c r="F68" s="61" t="str">
        <f aca="false">IF($B68="","",IFERROR(INDEX(Items!$P$5:$P$504,MATCH($B68,Items!$A$5:$A$504,0)),0))</f>
        <v/>
      </c>
      <c r="G68" s="61" t="str">
        <f aca="false">IF($B68="","",ROUND(N($C68)*F68,2))</f>
        <v/>
      </c>
    </row>
    <row r="69" customFormat="false" ht="15" hidden="false" customHeight="false" outlineLevel="0" collapsed="false">
      <c r="A69" s="55"/>
      <c r="B69" s="56"/>
      <c r="C69" s="57"/>
      <c r="D69" s="56"/>
      <c r="E69" s="56"/>
      <c r="F69" s="61" t="str">
        <f aca="false">IF($B69="","",IFERROR(INDEX(Items!$P$5:$P$504,MATCH($B69,Items!$A$5:$A$504,0)),0))</f>
        <v/>
      </c>
      <c r="G69" s="61" t="str">
        <f aca="false">IF($B69="","",ROUND(N($C69)*F69,2))</f>
        <v/>
      </c>
    </row>
    <row r="70" customFormat="false" ht="15" hidden="false" customHeight="false" outlineLevel="0" collapsed="false">
      <c r="A70" s="55"/>
      <c r="B70" s="56"/>
      <c r="C70" s="57"/>
      <c r="D70" s="56"/>
      <c r="E70" s="56"/>
      <c r="F70" s="61" t="str">
        <f aca="false">IF($B70="","",IFERROR(INDEX(Items!$P$5:$P$504,MATCH($B70,Items!$A$5:$A$504,0)),0))</f>
        <v/>
      </c>
      <c r="G70" s="61" t="str">
        <f aca="false">IF($B70="","",ROUND(N($C70)*F70,2))</f>
        <v/>
      </c>
    </row>
    <row r="71" customFormat="false" ht="15" hidden="false" customHeight="false" outlineLevel="0" collapsed="false">
      <c r="A71" s="55"/>
      <c r="B71" s="56"/>
      <c r="C71" s="57"/>
      <c r="D71" s="56"/>
      <c r="E71" s="56"/>
      <c r="F71" s="61" t="str">
        <f aca="false">IF($B71="","",IFERROR(INDEX(Items!$P$5:$P$504,MATCH($B71,Items!$A$5:$A$504,0)),0))</f>
        <v/>
      </c>
      <c r="G71" s="61" t="str">
        <f aca="false">IF($B71="","",ROUND(N($C71)*F71,2))</f>
        <v/>
      </c>
    </row>
    <row r="72" customFormat="false" ht="15" hidden="false" customHeight="false" outlineLevel="0" collapsed="false">
      <c r="A72" s="55"/>
      <c r="B72" s="56"/>
      <c r="C72" s="57"/>
      <c r="D72" s="56"/>
      <c r="E72" s="56"/>
      <c r="F72" s="61" t="str">
        <f aca="false">IF($B72="","",IFERROR(INDEX(Items!$P$5:$P$504,MATCH($B72,Items!$A$5:$A$504,0)),0))</f>
        <v/>
      </c>
      <c r="G72" s="61" t="str">
        <f aca="false">IF($B72="","",ROUND(N($C72)*F72,2))</f>
        <v/>
      </c>
    </row>
    <row r="73" customFormat="false" ht="15" hidden="false" customHeight="false" outlineLevel="0" collapsed="false">
      <c r="A73" s="55"/>
      <c r="B73" s="56"/>
      <c r="C73" s="57"/>
      <c r="D73" s="56"/>
      <c r="E73" s="56"/>
      <c r="F73" s="61" t="str">
        <f aca="false">IF($B73="","",IFERROR(INDEX(Items!$P$5:$P$504,MATCH($B73,Items!$A$5:$A$504,0)),0))</f>
        <v/>
      </c>
      <c r="G73" s="61" t="str">
        <f aca="false">IF($B73="","",ROUND(N($C73)*F73,2))</f>
        <v/>
      </c>
    </row>
    <row r="74" customFormat="false" ht="15" hidden="false" customHeight="false" outlineLevel="0" collapsed="false">
      <c r="A74" s="55"/>
      <c r="B74" s="56"/>
      <c r="C74" s="57"/>
      <c r="D74" s="56"/>
      <c r="E74" s="56"/>
      <c r="F74" s="61" t="str">
        <f aca="false">IF($B74="","",IFERROR(INDEX(Items!$P$5:$P$504,MATCH($B74,Items!$A$5:$A$504,0)),0))</f>
        <v/>
      </c>
      <c r="G74" s="61" t="str">
        <f aca="false">IF($B74="","",ROUND(N($C74)*F74,2))</f>
        <v/>
      </c>
    </row>
    <row r="75" customFormat="false" ht="15" hidden="false" customHeight="false" outlineLevel="0" collapsed="false">
      <c r="A75" s="55"/>
      <c r="B75" s="56"/>
      <c r="C75" s="57"/>
      <c r="D75" s="56"/>
      <c r="E75" s="56"/>
      <c r="F75" s="61" t="str">
        <f aca="false">IF($B75="","",IFERROR(INDEX(Items!$P$5:$P$504,MATCH($B75,Items!$A$5:$A$504,0)),0))</f>
        <v/>
      </c>
      <c r="G75" s="61" t="str">
        <f aca="false">IF($B75="","",ROUND(N($C75)*F75,2))</f>
        <v/>
      </c>
    </row>
    <row r="76" customFormat="false" ht="15" hidden="false" customHeight="false" outlineLevel="0" collapsed="false">
      <c r="A76" s="55"/>
      <c r="B76" s="56"/>
      <c r="C76" s="57"/>
      <c r="D76" s="56"/>
      <c r="E76" s="56"/>
      <c r="F76" s="61" t="str">
        <f aca="false">IF($B76="","",IFERROR(INDEX(Items!$P$5:$P$504,MATCH($B76,Items!$A$5:$A$504,0)),0))</f>
        <v/>
      </c>
      <c r="G76" s="61" t="str">
        <f aca="false">IF($B76="","",ROUND(N($C76)*F76,2))</f>
        <v/>
      </c>
    </row>
    <row r="77" customFormat="false" ht="15" hidden="false" customHeight="false" outlineLevel="0" collapsed="false">
      <c r="A77" s="55"/>
      <c r="B77" s="56"/>
      <c r="C77" s="57"/>
      <c r="D77" s="56"/>
      <c r="E77" s="56"/>
      <c r="F77" s="61" t="str">
        <f aca="false">IF($B77="","",IFERROR(INDEX(Items!$P$5:$P$504,MATCH($B77,Items!$A$5:$A$504,0)),0))</f>
        <v/>
      </c>
      <c r="G77" s="61" t="str">
        <f aca="false">IF($B77="","",ROUND(N($C77)*F77,2))</f>
        <v/>
      </c>
    </row>
    <row r="78" customFormat="false" ht="15" hidden="false" customHeight="false" outlineLevel="0" collapsed="false">
      <c r="A78" s="55"/>
      <c r="B78" s="56"/>
      <c r="C78" s="57"/>
      <c r="D78" s="56"/>
      <c r="E78" s="56"/>
      <c r="F78" s="61" t="str">
        <f aca="false">IF($B78="","",IFERROR(INDEX(Items!$P$5:$P$504,MATCH($B78,Items!$A$5:$A$504,0)),0))</f>
        <v/>
      </c>
      <c r="G78" s="61" t="str">
        <f aca="false">IF($B78="","",ROUND(N($C78)*F78,2))</f>
        <v/>
      </c>
    </row>
    <row r="79" customFormat="false" ht="15" hidden="false" customHeight="false" outlineLevel="0" collapsed="false">
      <c r="A79" s="55"/>
      <c r="B79" s="56"/>
      <c r="C79" s="57"/>
      <c r="D79" s="56"/>
      <c r="E79" s="56"/>
      <c r="F79" s="61" t="str">
        <f aca="false">IF($B79="","",IFERROR(INDEX(Items!$P$5:$P$504,MATCH($B79,Items!$A$5:$A$504,0)),0))</f>
        <v/>
      </c>
      <c r="G79" s="61" t="str">
        <f aca="false">IF($B79="","",ROUND(N($C79)*F79,2))</f>
        <v/>
      </c>
    </row>
    <row r="80" customFormat="false" ht="15" hidden="false" customHeight="false" outlineLevel="0" collapsed="false">
      <c r="A80" s="55"/>
      <c r="B80" s="56"/>
      <c r="C80" s="57"/>
      <c r="D80" s="56"/>
      <c r="E80" s="56"/>
      <c r="F80" s="61" t="str">
        <f aca="false">IF($B80="","",IFERROR(INDEX(Items!$P$5:$P$504,MATCH($B80,Items!$A$5:$A$504,0)),0))</f>
        <v/>
      </c>
      <c r="G80" s="61" t="str">
        <f aca="false">IF($B80="","",ROUND(N($C80)*F80,2))</f>
        <v/>
      </c>
    </row>
    <row r="81" customFormat="false" ht="15" hidden="false" customHeight="false" outlineLevel="0" collapsed="false">
      <c r="A81" s="55"/>
      <c r="B81" s="56"/>
      <c r="C81" s="57"/>
      <c r="D81" s="56"/>
      <c r="E81" s="56"/>
      <c r="F81" s="61" t="str">
        <f aca="false">IF($B81="","",IFERROR(INDEX(Items!$P$5:$P$504,MATCH($B81,Items!$A$5:$A$504,0)),0))</f>
        <v/>
      </c>
      <c r="G81" s="61" t="str">
        <f aca="false">IF($B81="","",ROUND(N($C81)*F81,2))</f>
        <v/>
      </c>
    </row>
    <row r="82" customFormat="false" ht="15" hidden="false" customHeight="false" outlineLevel="0" collapsed="false">
      <c r="A82" s="55"/>
      <c r="B82" s="56"/>
      <c r="C82" s="57"/>
      <c r="D82" s="56"/>
      <c r="E82" s="56"/>
      <c r="F82" s="61" t="str">
        <f aca="false">IF($B82="","",IFERROR(INDEX(Items!$P$5:$P$504,MATCH($B82,Items!$A$5:$A$504,0)),0))</f>
        <v/>
      </c>
      <c r="G82" s="61" t="str">
        <f aca="false">IF($B82="","",ROUND(N($C82)*F82,2))</f>
        <v/>
      </c>
    </row>
    <row r="83" customFormat="false" ht="15" hidden="false" customHeight="false" outlineLevel="0" collapsed="false">
      <c r="A83" s="55"/>
      <c r="B83" s="56"/>
      <c r="C83" s="57"/>
      <c r="D83" s="56"/>
      <c r="E83" s="56"/>
      <c r="F83" s="61" t="str">
        <f aca="false">IF($B83="","",IFERROR(INDEX(Items!$P$5:$P$504,MATCH($B83,Items!$A$5:$A$504,0)),0))</f>
        <v/>
      </c>
      <c r="G83" s="61" t="str">
        <f aca="false">IF($B83="","",ROUND(N($C83)*F83,2))</f>
        <v/>
      </c>
    </row>
    <row r="84" customFormat="false" ht="15" hidden="false" customHeight="false" outlineLevel="0" collapsed="false">
      <c r="A84" s="55"/>
      <c r="B84" s="56"/>
      <c r="C84" s="57"/>
      <c r="D84" s="56"/>
      <c r="E84" s="56"/>
      <c r="F84" s="61" t="str">
        <f aca="false">IF($B84="","",IFERROR(INDEX(Items!$P$5:$P$504,MATCH($B84,Items!$A$5:$A$504,0)),0))</f>
        <v/>
      </c>
      <c r="G84" s="61" t="str">
        <f aca="false">IF($B84="","",ROUND(N($C84)*F84,2))</f>
        <v/>
      </c>
    </row>
    <row r="85" customFormat="false" ht="15" hidden="false" customHeight="false" outlineLevel="0" collapsed="false">
      <c r="A85" s="55"/>
      <c r="B85" s="56"/>
      <c r="C85" s="57"/>
      <c r="D85" s="56"/>
      <c r="E85" s="56"/>
      <c r="F85" s="61" t="str">
        <f aca="false">IF($B85="","",IFERROR(INDEX(Items!$P$5:$P$504,MATCH($B85,Items!$A$5:$A$504,0)),0))</f>
        <v/>
      </c>
      <c r="G85" s="61" t="str">
        <f aca="false">IF($B85="","",ROUND(N($C85)*F85,2))</f>
        <v/>
      </c>
    </row>
    <row r="86" customFormat="false" ht="15" hidden="false" customHeight="false" outlineLevel="0" collapsed="false">
      <c r="A86" s="55"/>
      <c r="B86" s="56"/>
      <c r="C86" s="57"/>
      <c r="D86" s="56"/>
      <c r="E86" s="56"/>
      <c r="F86" s="61" t="str">
        <f aca="false">IF($B86="","",IFERROR(INDEX(Items!$P$5:$P$504,MATCH($B86,Items!$A$5:$A$504,0)),0))</f>
        <v/>
      </c>
      <c r="G86" s="61" t="str">
        <f aca="false">IF($B86="","",ROUND(N($C86)*F86,2))</f>
        <v/>
      </c>
    </row>
    <row r="87" customFormat="false" ht="15" hidden="false" customHeight="false" outlineLevel="0" collapsed="false">
      <c r="A87" s="55"/>
      <c r="B87" s="56"/>
      <c r="C87" s="57"/>
      <c r="D87" s="56"/>
      <c r="E87" s="56"/>
      <c r="F87" s="61" t="str">
        <f aca="false">IF($B87="","",IFERROR(INDEX(Items!$P$5:$P$504,MATCH($B87,Items!$A$5:$A$504,0)),0))</f>
        <v/>
      </c>
      <c r="G87" s="61" t="str">
        <f aca="false">IF($B87="","",ROUND(N($C87)*F87,2))</f>
        <v/>
      </c>
    </row>
    <row r="88" customFormat="false" ht="15" hidden="false" customHeight="false" outlineLevel="0" collapsed="false">
      <c r="A88" s="55"/>
      <c r="B88" s="56"/>
      <c r="C88" s="57"/>
      <c r="D88" s="56"/>
      <c r="E88" s="56"/>
      <c r="F88" s="61" t="str">
        <f aca="false">IF($B88="","",IFERROR(INDEX(Items!$P$5:$P$504,MATCH($B88,Items!$A$5:$A$504,0)),0))</f>
        <v/>
      </c>
      <c r="G88" s="61" t="str">
        <f aca="false">IF($B88="","",ROUND(N($C88)*F88,2))</f>
        <v/>
      </c>
    </row>
    <row r="89" customFormat="false" ht="15" hidden="false" customHeight="false" outlineLevel="0" collapsed="false">
      <c r="A89" s="55"/>
      <c r="B89" s="56"/>
      <c r="C89" s="57"/>
      <c r="D89" s="56"/>
      <c r="E89" s="56"/>
      <c r="F89" s="61" t="str">
        <f aca="false">IF($B89="","",IFERROR(INDEX(Items!$P$5:$P$504,MATCH($B89,Items!$A$5:$A$504,0)),0))</f>
        <v/>
      </c>
      <c r="G89" s="61" t="str">
        <f aca="false">IF($B89="","",ROUND(N($C89)*F89,2))</f>
        <v/>
      </c>
    </row>
    <row r="90" customFormat="false" ht="15" hidden="false" customHeight="false" outlineLevel="0" collapsed="false">
      <c r="A90" s="55"/>
      <c r="B90" s="56"/>
      <c r="C90" s="57"/>
      <c r="D90" s="56"/>
      <c r="E90" s="56"/>
      <c r="F90" s="61" t="str">
        <f aca="false">IF($B90="","",IFERROR(INDEX(Items!$P$5:$P$504,MATCH($B90,Items!$A$5:$A$504,0)),0))</f>
        <v/>
      </c>
      <c r="G90" s="61" t="str">
        <f aca="false">IF($B90="","",ROUND(N($C90)*F90,2))</f>
        <v/>
      </c>
    </row>
    <row r="91" customFormat="false" ht="15" hidden="false" customHeight="false" outlineLevel="0" collapsed="false">
      <c r="A91" s="55"/>
      <c r="B91" s="56"/>
      <c r="C91" s="57"/>
      <c r="D91" s="56"/>
      <c r="E91" s="56"/>
      <c r="F91" s="61" t="str">
        <f aca="false">IF($B91="","",IFERROR(INDEX(Items!$P$5:$P$504,MATCH($B91,Items!$A$5:$A$504,0)),0))</f>
        <v/>
      </c>
      <c r="G91" s="61" t="str">
        <f aca="false">IF($B91="","",ROUND(N($C91)*F91,2))</f>
        <v/>
      </c>
    </row>
    <row r="92" customFormat="false" ht="15" hidden="false" customHeight="false" outlineLevel="0" collapsed="false">
      <c r="A92" s="55"/>
      <c r="B92" s="56"/>
      <c r="C92" s="57"/>
      <c r="D92" s="56"/>
      <c r="E92" s="56"/>
      <c r="F92" s="61" t="str">
        <f aca="false">IF($B92="","",IFERROR(INDEX(Items!$P$5:$P$504,MATCH($B92,Items!$A$5:$A$504,0)),0))</f>
        <v/>
      </c>
      <c r="G92" s="61" t="str">
        <f aca="false">IF($B92="","",ROUND(N($C92)*F92,2))</f>
        <v/>
      </c>
    </row>
    <row r="93" customFormat="false" ht="15" hidden="false" customHeight="false" outlineLevel="0" collapsed="false">
      <c r="A93" s="55"/>
      <c r="B93" s="56"/>
      <c r="C93" s="57"/>
      <c r="D93" s="56"/>
      <c r="E93" s="56"/>
      <c r="F93" s="61" t="str">
        <f aca="false">IF($B93="","",IFERROR(INDEX(Items!$P$5:$P$504,MATCH($B93,Items!$A$5:$A$504,0)),0))</f>
        <v/>
      </c>
      <c r="G93" s="61" t="str">
        <f aca="false">IF($B93="","",ROUND(N($C93)*F93,2))</f>
        <v/>
      </c>
    </row>
    <row r="94" customFormat="false" ht="15" hidden="false" customHeight="false" outlineLevel="0" collapsed="false">
      <c r="A94" s="55"/>
      <c r="B94" s="56"/>
      <c r="C94" s="57"/>
      <c r="D94" s="56"/>
      <c r="E94" s="56"/>
      <c r="F94" s="61" t="str">
        <f aca="false">IF($B94="","",IFERROR(INDEX(Items!$P$5:$P$504,MATCH($B94,Items!$A$5:$A$504,0)),0))</f>
        <v/>
      </c>
      <c r="G94" s="61" t="str">
        <f aca="false">IF($B94="","",ROUND(N($C94)*F94,2))</f>
        <v/>
      </c>
    </row>
    <row r="95" customFormat="false" ht="15" hidden="false" customHeight="false" outlineLevel="0" collapsed="false">
      <c r="A95" s="55"/>
      <c r="B95" s="56"/>
      <c r="C95" s="57"/>
      <c r="D95" s="56"/>
      <c r="E95" s="56"/>
      <c r="F95" s="61" t="str">
        <f aca="false">IF($B95="","",IFERROR(INDEX(Items!$P$5:$P$504,MATCH($B95,Items!$A$5:$A$504,0)),0))</f>
        <v/>
      </c>
      <c r="G95" s="61" t="str">
        <f aca="false">IF($B95="","",ROUND(N($C95)*F95,2))</f>
        <v/>
      </c>
    </row>
    <row r="96" customFormat="false" ht="15" hidden="false" customHeight="false" outlineLevel="0" collapsed="false">
      <c r="A96" s="55"/>
      <c r="B96" s="56"/>
      <c r="C96" s="57"/>
      <c r="D96" s="56"/>
      <c r="E96" s="56"/>
      <c r="F96" s="61" t="str">
        <f aca="false">IF($B96="","",IFERROR(INDEX(Items!$P$5:$P$504,MATCH($B96,Items!$A$5:$A$504,0)),0))</f>
        <v/>
      </c>
      <c r="G96" s="61" t="str">
        <f aca="false">IF($B96="","",ROUND(N($C96)*F96,2))</f>
        <v/>
      </c>
    </row>
    <row r="97" customFormat="false" ht="15" hidden="false" customHeight="false" outlineLevel="0" collapsed="false">
      <c r="A97" s="55"/>
      <c r="B97" s="56"/>
      <c r="C97" s="57"/>
      <c r="D97" s="56"/>
      <c r="E97" s="56"/>
      <c r="F97" s="61" t="str">
        <f aca="false">IF($B97="","",IFERROR(INDEX(Items!$P$5:$P$504,MATCH($B97,Items!$A$5:$A$504,0)),0))</f>
        <v/>
      </c>
      <c r="G97" s="61" t="str">
        <f aca="false">IF($B97="","",ROUND(N($C97)*F97,2))</f>
        <v/>
      </c>
    </row>
    <row r="98" customFormat="false" ht="15" hidden="false" customHeight="false" outlineLevel="0" collapsed="false">
      <c r="A98" s="55"/>
      <c r="B98" s="56"/>
      <c r="C98" s="57"/>
      <c r="D98" s="56"/>
      <c r="E98" s="56"/>
      <c r="F98" s="61" t="str">
        <f aca="false">IF($B98="","",IFERROR(INDEX(Items!$P$5:$P$504,MATCH($B98,Items!$A$5:$A$504,0)),0))</f>
        <v/>
      </c>
      <c r="G98" s="61" t="str">
        <f aca="false">IF($B98="","",ROUND(N($C98)*F98,2))</f>
        <v/>
      </c>
    </row>
    <row r="99" customFormat="false" ht="15" hidden="false" customHeight="false" outlineLevel="0" collapsed="false">
      <c r="A99" s="55"/>
      <c r="B99" s="56"/>
      <c r="C99" s="57"/>
      <c r="D99" s="56"/>
      <c r="E99" s="56"/>
      <c r="F99" s="61" t="str">
        <f aca="false">IF($B99="","",IFERROR(INDEX(Items!$P$5:$P$504,MATCH($B99,Items!$A$5:$A$504,0)),0))</f>
        <v/>
      </c>
      <c r="G99" s="61" t="str">
        <f aca="false">IF($B99="","",ROUND(N($C99)*F99,2))</f>
        <v/>
      </c>
    </row>
    <row r="100" customFormat="false" ht="15" hidden="false" customHeight="false" outlineLevel="0" collapsed="false">
      <c r="A100" s="55"/>
      <c r="B100" s="56"/>
      <c r="C100" s="57"/>
      <c r="D100" s="56"/>
      <c r="E100" s="56"/>
      <c r="F100" s="61" t="str">
        <f aca="false">IF($B100="","",IFERROR(INDEX(Items!$P$5:$P$504,MATCH($B100,Items!$A$5:$A$504,0)),0))</f>
        <v/>
      </c>
      <c r="G100" s="61" t="str">
        <f aca="false">IF($B100="","",ROUND(N($C100)*F100,2))</f>
        <v/>
      </c>
    </row>
    <row r="101" customFormat="false" ht="15" hidden="false" customHeight="false" outlineLevel="0" collapsed="false">
      <c r="A101" s="55"/>
      <c r="B101" s="56"/>
      <c r="C101" s="57"/>
      <c r="D101" s="56"/>
      <c r="E101" s="56"/>
      <c r="F101" s="61" t="str">
        <f aca="false">IF($B101="","",IFERROR(INDEX(Items!$P$5:$P$504,MATCH($B101,Items!$A$5:$A$504,0)),0))</f>
        <v/>
      </c>
      <c r="G101" s="61" t="str">
        <f aca="false">IF($B101="","",ROUND(N($C101)*F101,2))</f>
        <v/>
      </c>
    </row>
    <row r="102" customFormat="false" ht="15" hidden="false" customHeight="false" outlineLevel="0" collapsed="false">
      <c r="A102" s="55"/>
      <c r="B102" s="56"/>
      <c r="C102" s="57"/>
      <c r="D102" s="56"/>
      <c r="E102" s="56"/>
      <c r="F102" s="61" t="str">
        <f aca="false">IF($B102="","",IFERROR(INDEX(Items!$P$5:$P$504,MATCH($B102,Items!$A$5:$A$504,0)),0))</f>
        <v/>
      </c>
      <c r="G102" s="61" t="str">
        <f aca="false">IF($B102="","",ROUND(N($C102)*F102,2))</f>
        <v/>
      </c>
    </row>
    <row r="103" customFormat="false" ht="15" hidden="false" customHeight="false" outlineLevel="0" collapsed="false">
      <c r="A103" s="55"/>
      <c r="B103" s="56"/>
      <c r="C103" s="57"/>
      <c r="D103" s="56"/>
      <c r="E103" s="56"/>
      <c r="F103" s="61" t="str">
        <f aca="false">IF($B103="","",IFERROR(INDEX(Items!$P$5:$P$504,MATCH($B103,Items!$A$5:$A$504,0)),0))</f>
        <v/>
      </c>
      <c r="G103" s="61" t="str">
        <f aca="false">IF($B103="","",ROUND(N($C103)*F103,2))</f>
        <v/>
      </c>
    </row>
    <row r="104" customFormat="false" ht="15" hidden="false" customHeight="false" outlineLevel="0" collapsed="false">
      <c r="A104" s="55"/>
      <c r="B104" s="56"/>
      <c r="C104" s="57"/>
      <c r="D104" s="56"/>
      <c r="E104" s="56"/>
      <c r="F104" s="61" t="str">
        <f aca="false">IF($B104="","",IFERROR(INDEX(Items!$P$5:$P$504,MATCH($B104,Items!$A$5:$A$504,0)),0))</f>
        <v/>
      </c>
      <c r="G104" s="61" t="str">
        <f aca="false">IF($B104="","",ROUND(N($C104)*F104,2))</f>
        <v/>
      </c>
    </row>
    <row r="105" customFormat="false" ht="15" hidden="false" customHeight="false" outlineLevel="0" collapsed="false">
      <c r="A105" s="55"/>
      <c r="B105" s="56"/>
      <c r="C105" s="57"/>
      <c r="D105" s="56"/>
      <c r="E105" s="56"/>
      <c r="F105" s="61" t="str">
        <f aca="false">IF($B105="","",IFERROR(INDEX(Items!$P$5:$P$504,MATCH($B105,Items!$A$5:$A$504,0)),0))</f>
        <v/>
      </c>
      <c r="G105" s="61" t="str">
        <f aca="false">IF($B105="","",ROUND(N($C105)*F105,2))</f>
        <v/>
      </c>
    </row>
    <row r="106" customFormat="false" ht="15" hidden="false" customHeight="false" outlineLevel="0" collapsed="false">
      <c r="A106" s="55"/>
      <c r="B106" s="56"/>
      <c r="C106" s="57"/>
      <c r="D106" s="56"/>
      <c r="E106" s="56"/>
      <c r="F106" s="61" t="str">
        <f aca="false">IF($B106="","",IFERROR(INDEX(Items!$P$5:$P$504,MATCH($B106,Items!$A$5:$A$504,0)),0))</f>
        <v/>
      </c>
      <c r="G106" s="61" t="str">
        <f aca="false">IF($B106="","",ROUND(N($C106)*F106,2))</f>
        <v/>
      </c>
    </row>
    <row r="107" customFormat="false" ht="15" hidden="false" customHeight="false" outlineLevel="0" collapsed="false">
      <c r="A107" s="55"/>
      <c r="B107" s="56"/>
      <c r="C107" s="57"/>
      <c r="D107" s="56"/>
      <c r="E107" s="56"/>
      <c r="F107" s="61" t="str">
        <f aca="false">IF($B107="","",IFERROR(INDEX(Items!$P$5:$P$504,MATCH($B107,Items!$A$5:$A$504,0)),0))</f>
        <v/>
      </c>
      <c r="G107" s="61" t="str">
        <f aca="false">IF($B107="","",ROUND(N($C107)*F107,2))</f>
        <v/>
      </c>
    </row>
    <row r="108" customFormat="false" ht="15" hidden="false" customHeight="false" outlineLevel="0" collapsed="false">
      <c r="A108" s="55"/>
      <c r="B108" s="56"/>
      <c r="C108" s="57"/>
      <c r="D108" s="56"/>
      <c r="E108" s="56"/>
      <c r="F108" s="61" t="str">
        <f aca="false">IF($B108="","",IFERROR(INDEX(Items!$P$5:$P$504,MATCH($B108,Items!$A$5:$A$504,0)),0))</f>
        <v/>
      </c>
      <c r="G108" s="61" t="str">
        <f aca="false">IF($B108="","",ROUND(N($C108)*F108,2))</f>
        <v/>
      </c>
    </row>
    <row r="109" customFormat="false" ht="15" hidden="false" customHeight="false" outlineLevel="0" collapsed="false">
      <c r="A109" s="55"/>
      <c r="B109" s="56"/>
      <c r="C109" s="57"/>
      <c r="D109" s="56"/>
      <c r="E109" s="56"/>
      <c r="F109" s="61" t="str">
        <f aca="false">IF($B109="","",IFERROR(INDEX(Items!$P$5:$P$504,MATCH($B109,Items!$A$5:$A$504,0)),0))</f>
        <v/>
      </c>
      <c r="G109" s="61" t="str">
        <f aca="false">IF($B109="","",ROUND(N($C109)*F109,2))</f>
        <v/>
      </c>
    </row>
    <row r="110" customFormat="false" ht="15" hidden="false" customHeight="false" outlineLevel="0" collapsed="false">
      <c r="A110" s="55"/>
      <c r="B110" s="56"/>
      <c r="C110" s="57"/>
      <c r="D110" s="56"/>
      <c r="E110" s="56"/>
      <c r="F110" s="61" t="str">
        <f aca="false">IF($B110="","",IFERROR(INDEX(Items!$P$5:$P$504,MATCH($B110,Items!$A$5:$A$504,0)),0))</f>
        <v/>
      </c>
      <c r="G110" s="61" t="str">
        <f aca="false">IF($B110="","",ROUND(N($C110)*F110,2))</f>
        <v/>
      </c>
    </row>
    <row r="111" customFormat="false" ht="15" hidden="false" customHeight="false" outlineLevel="0" collapsed="false">
      <c r="A111" s="55"/>
      <c r="B111" s="56"/>
      <c r="C111" s="57"/>
      <c r="D111" s="56"/>
      <c r="E111" s="56"/>
      <c r="F111" s="61" t="str">
        <f aca="false">IF($B111="","",IFERROR(INDEX(Items!$P$5:$P$504,MATCH($B111,Items!$A$5:$A$504,0)),0))</f>
        <v/>
      </c>
      <c r="G111" s="61" t="str">
        <f aca="false">IF($B111="","",ROUND(N($C111)*F111,2))</f>
        <v/>
      </c>
    </row>
    <row r="112" customFormat="false" ht="15" hidden="false" customHeight="false" outlineLevel="0" collapsed="false">
      <c r="A112" s="55"/>
      <c r="B112" s="56"/>
      <c r="C112" s="57"/>
      <c r="D112" s="56"/>
      <c r="E112" s="56"/>
      <c r="F112" s="61" t="str">
        <f aca="false">IF($B112="","",IFERROR(INDEX(Items!$P$5:$P$504,MATCH($B112,Items!$A$5:$A$504,0)),0))</f>
        <v/>
      </c>
      <c r="G112" s="61" t="str">
        <f aca="false">IF($B112="","",ROUND(N($C112)*F112,2))</f>
        <v/>
      </c>
    </row>
    <row r="113" customFormat="false" ht="15" hidden="false" customHeight="false" outlineLevel="0" collapsed="false">
      <c r="A113" s="55"/>
      <c r="B113" s="56"/>
      <c r="C113" s="57"/>
      <c r="D113" s="56"/>
      <c r="E113" s="56"/>
      <c r="F113" s="61" t="str">
        <f aca="false">IF($B113="","",IFERROR(INDEX(Items!$P$5:$P$504,MATCH($B113,Items!$A$5:$A$504,0)),0))</f>
        <v/>
      </c>
      <c r="G113" s="61" t="str">
        <f aca="false">IF($B113="","",ROUND(N($C113)*F113,2))</f>
        <v/>
      </c>
    </row>
    <row r="114" customFormat="false" ht="15" hidden="false" customHeight="false" outlineLevel="0" collapsed="false">
      <c r="A114" s="55"/>
      <c r="B114" s="56"/>
      <c r="C114" s="57"/>
      <c r="D114" s="56"/>
      <c r="E114" s="56"/>
      <c r="F114" s="61" t="str">
        <f aca="false">IF($B114="","",IFERROR(INDEX(Items!$P$5:$P$504,MATCH($B114,Items!$A$5:$A$504,0)),0))</f>
        <v/>
      </c>
      <c r="G114" s="61" t="str">
        <f aca="false">IF($B114="","",ROUND(N($C114)*F114,2))</f>
        <v/>
      </c>
    </row>
    <row r="115" customFormat="false" ht="15" hidden="false" customHeight="false" outlineLevel="0" collapsed="false">
      <c r="A115" s="55"/>
      <c r="B115" s="56"/>
      <c r="C115" s="57"/>
      <c r="D115" s="56"/>
      <c r="E115" s="56"/>
      <c r="F115" s="61" t="str">
        <f aca="false">IF($B115="","",IFERROR(INDEX(Items!$P$5:$P$504,MATCH($B115,Items!$A$5:$A$504,0)),0))</f>
        <v/>
      </c>
      <c r="G115" s="61" t="str">
        <f aca="false">IF($B115="","",ROUND(N($C115)*F115,2))</f>
        <v/>
      </c>
    </row>
    <row r="116" customFormat="false" ht="15" hidden="false" customHeight="false" outlineLevel="0" collapsed="false">
      <c r="A116" s="55"/>
      <c r="B116" s="56"/>
      <c r="C116" s="57"/>
      <c r="D116" s="56"/>
      <c r="E116" s="56"/>
      <c r="F116" s="61" t="str">
        <f aca="false">IF($B116="","",IFERROR(INDEX(Items!$P$5:$P$504,MATCH($B116,Items!$A$5:$A$504,0)),0))</f>
        <v/>
      </c>
      <c r="G116" s="61" t="str">
        <f aca="false">IF($B116="","",ROUND(N($C116)*F116,2))</f>
        <v/>
      </c>
    </row>
    <row r="117" customFormat="false" ht="15" hidden="false" customHeight="false" outlineLevel="0" collapsed="false">
      <c r="A117" s="55"/>
      <c r="B117" s="56"/>
      <c r="C117" s="57"/>
      <c r="D117" s="56"/>
      <c r="E117" s="56"/>
      <c r="F117" s="61" t="str">
        <f aca="false">IF($B117="","",IFERROR(INDEX(Items!$P$5:$P$504,MATCH($B117,Items!$A$5:$A$504,0)),0))</f>
        <v/>
      </c>
      <c r="G117" s="61" t="str">
        <f aca="false">IF($B117="","",ROUND(N($C117)*F117,2))</f>
        <v/>
      </c>
    </row>
    <row r="118" customFormat="false" ht="15" hidden="false" customHeight="false" outlineLevel="0" collapsed="false">
      <c r="A118" s="55"/>
      <c r="B118" s="56"/>
      <c r="C118" s="57"/>
      <c r="D118" s="56"/>
      <c r="E118" s="56"/>
      <c r="F118" s="61" t="str">
        <f aca="false">IF($B118="","",IFERROR(INDEX(Items!$P$5:$P$504,MATCH($B118,Items!$A$5:$A$504,0)),0))</f>
        <v/>
      </c>
      <c r="G118" s="61" t="str">
        <f aca="false">IF($B118="","",ROUND(N($C118)*F118,2))</f>
        <v/>
      </c>
    </row>
    <row r="119" customFormat="false" ht="15" hidden="false" customHeight="false" outlineLevel="0" collapsed="false">
      <c r="A119" s="55"/>
      <c r="B119" s="56"/>
      <c r="C119" s="57"/>
      <c r="D119" s="56"/>
      <c r="E119" s="56"/>
      <c r="F119" s="61" t="str">
        <f aca="false">IF($B119="","",IFERROR(INDEX(Items!$P$5:$P$504,MATCH($B119,Items!$A$5:$A$504,0)),0))</f>
        <v/>
      </c>
      <c r="G119" s="61" t="str">
        <f aca="false">IF($B119="","",ROUND(N($C119)*F119,2))</f>
        <v/>
      </c>
    </row>
    <row r="120" customFormat="false" ht="15" hidden="false" customHeight="false" outlineLevel="0" collapsed="false">
      <c r="A120" s="55"/>
      <c r="B120" s="56"/>
      <c r="C120" s="57"/>
      <c r="D120" s="56"/>
      <c r="E120" s="56"/>
      <c r="F120" s="61" t="str">
        <f aca="false">IF($B120="","",IFERROR(INDEX(Items!$P$5:$P$504,MATCH($B120,Items!$A$5:$A$504,0)),0))</f>
        <v/>
      </c>
      <c r="G120" s="61" t="str">
        <f aca="false">IF($B120="","",ROUND(N($C120)*F120,2))</f>
        <v/>
      </c>
    </row>
    <row r="121" customFormat="false" ht="15" hidden="false" customHeight="false" outlineLevel="0" collapsed="false">
      <c r="A121" s="55"/>
      <c r="B121" s="56"/>
      <c r="C121" s="57"/>
      <c r="D121" s="56"/>
      <c r="E121" s="56"/>
      <c r="F121" s="61" t="str">
        <f aca="false">IF($B121="","",IFERROR(INDEX(Items!$P$5:$P$504,MATCH($B121,Items!$A$5:$A$504,0)),0))</f>
        <v/>
      </c>
      <c r="G121" s="61" t="str">
        <f aca="false">IF($B121="","",ROUND(N($C121)*F121,2))</f>
        <v/>
      </c>
    </row>
    <row r="122" customFormat="false" ht="15" hidden="false" customHeight="false" outlineLevel="0" collapsed="false">
      <c r="A122" s="55"/>
      <c r="B122" s="56"/>
      <c r="C122" s="57"/>
      <c r="D122" s="56"/>
      <c r="E122" s="56"/>
      <c r="F122" s="61" t="str">
        <f aca="false">IF($B122="","",IFERROR(INDEX(Items!$P$5:$P$504,MATCH($B122,Items!$A$5:$A$504,0)),0))</f>
        <v/>
      </c>
      <c r="G122" s="61" t="str">
        <f aca="false">IF($B122="","",ROUND(N($C122)*F122,2))</f>
        <v/>
      </c>
    </row>
    <row r="123" customFormat="false" ht="15" hidden="false" customHeight="false" outlineLevel="0" collapsed="false">
      <c r="A123" s="55"/>
      <c r="B123" s="56"/>
      <c r="C123" s="57"/>
      <c r="D123" s="56"/>
      <c r="E123" s="56"/>
      <c r="F123" s="61" t="str">
        <f aca="false">IF($B123="","",IFERROR(INDEX(Items!$P$5:$P$504,MATCH($B123,Items!$A$5:$A$504,0)),0))</f>
        <v/>
      </c>
      <c r="G123" s="61" t="str">
        <f aca="false">IF($B123="","",ROUND(N($C123)*F123,2))</f>
        <v/>
      </c>
    </row>
    <row r="124" customFormat="false" ht="15" hidden="false" customHeight="false" outlineLevel="0" collapsed="false">
      <c r="A124" s="55"/>
      <c r="B124" s="56"/>
      <c r="C124" s="57"/>
      <c r="D124" s="56"/>
      <c r="E124" s="56"/>
      <c r="F124" s="61" t="str">
        <f aca="false">IF($B124="","",IFERROR(INDEX(Items!$P$5:$P$504,MATCH($B124,Items!$A$5:$A$504,0)),0))</f>
        <v/>
      </c>
      <c r="G124" s="61" t="str">
        <f aca="false">IF($B124="","",ROUND(N($C124)*F124,2))</f>
        <v/>
      </c>
    </row>
    <row r="125" customFormat="false" ht="15" hidden="false" customHeight="false" outlineLevel="0" collapsed="false">
      <c r="A125" s="55"/>
      <c r="B125" s="56"/>
      <c r="C125" s="57"/>
      <c r="D125" s="56"/>
      <c r="E125" s="56"/>
      <c r="F125" s="61" t="str">
        <f aca="false">IF($B125="","",IFERROR(INDEX(Items!$P$5:$P$504,MATCH($B125,Items!$A$5:$A$504,0)),0))</f>
        <v/>
      </c>
      <c r="G125" s="61" t="str">
        <f aca="false">IF($B125="","",ROUND(N($C125)*F125,2))</f>
        <v/>
      </c>
    </row>
    <row r="126" customFormat="false" ht="15" hidden="false" customHeight="false" outlineLevel="0" collapsed="false">
      <c r="A126" s="55"/>
      <c r="B126" s="56"/>
      <c r="C126" s="57"/>
      <c r="D126" s="56"/>
      <c r="E126" s="56"/>
      <c r="F126" s="61" t="str">
        <f aca="false">IF($B126="","",IFERROR(INDEX(Items!$P$5:$P$504,MATCH($B126,Items!$A$5:$A$504,0)),0))</f>
        <v/>
      </c>
      <c r="G126" s="61" t="str">
        <f aca="false">IF($B126="","",ROUND(N($C126)*F126,2))</f>
        <v/>
      </c>
    </row>
    <row r="127" customFormat="false" ht="15" hidden="false" customHeight="false" outlineLevel="0" collapsed="false">
      <c r="A127" s="55"/>
      <c r="B127" s="56"/>
      <c r="C127" s="57"/>
      <c r="D127" s="56"/>
      <c r="E127" s="56"/>
      <c r="F127" s="61" t="str">
        <f aca="false">IF($B127="","",IFERROR(INDEX(Items!$P$5:$P$504,MATCH($B127,Items!$A$5:$A$504,0)),0))</f>
        <v/>
      </c>
      <c r="G127" s="61" t="str">
        <f aca="false">IF($B127="","",ROUND(N($C127)*F127,2))</f>
        <v/>
      </c>
    </row>
    <row r="128" customFormat="false" ht="15" hidden="false" customHeight="false" outlineLevel="0" collapsed="false">
      <c r="A128" s="55"/>
      <c r="B128" s="56"/>
      <c r="C128" s="57"/>
      <c r="D128" s="56"/>
      <c r="E128" s="56"/>
      <c r="F128" s="61" t="str">
        <f aca="false">IF($B128="","",IFERROR(INDEX(Items!$P$5:$P$504,MATCH($B128,Items!$A$5:$A$504,0)),0))</f>
        <v/>
      </c>
      <c r="G128" s="61" t="str">
        <f aca="false">IF($B128="","",ROUND(N($C128)*F128,2))</f>
        <v/>
      </c>
    </row>
    <row r="129" customFormat="false" ht="15" hidden="false" customHeight="false" outlineLevel="0" collapsed="false">
      <c r="A129" s="55"/>
      <c r="B129" s="56"/>
      <c r="C129" s="57"/>
      <c r="D129" s="56"/>
      <c r="E129" s="56"/>
      <c r="F129" s="61" t="str">
        <f aca="false">IF($B129="","",IFERROR(INDEX(Items!$P$5:$P$504,MATCH($B129,Items!$A$5:$A$504,0)),0))</f>
        <v/>
      </c>
      <c r="G129" s="61" t="str">
        <f aca="false">IF($B129="","",ROUND(N($C129)*F129,2))</f>
        <v/>
      </c>
    </row>
    <row r="130" customFormat="false" ht="15" hidden="false" customHeight="false" outlineLevel="0" collapsed="false">
      <c r="A130" s="55"/>
      <c r="B130" s="56"/>
      <c r="C130" s="57"/>
      <c r="D130" s="56"/>
      <c r="E130" s="56"/>
      <c r="F130" s="61" t="str">
        <f aca="false">IF($B130="","",IFERROR(INDEX(Items!$P$5:$P$504,MATCH($B130,Items!$A$5:$A$504,0)),0))</f>
        <v/>
      </c>
      <c r="G130" s="61" t="str">
        <f aca="false">IF($B130="","",ROUND(N($C130)*F130,2))</f>
        <v/>
      </c>
    </row>
    <row r="131" customFormat="false" ht="15" hidden="false" customHeight="false" outlineLevel="0" collapsed="false">
      <c r="A131" s="55"/>
      <c r="B131" s="56"/>
      <c r="C131" s="57"/>
      <c r="D131" s="56"/>
      <c r="E131" s="56"/>
      <c r="F131" s="61" t="str">
        <f aca="false">IF($B131="","",IFERROR(INDEX(Items!$P$5:$P$504,MATCH($B131,Items!$A$5:$A$504,0)),0))</f>
        <v/>
      </c>
      <c r="G131" s="61" t="str">
        <f aca="false">IF($B131="","",ROUND(N($C131)*F131,2))</f>
        <v/>
      </c>
    </row>
    <row r="132" customFormat="false" ht="15" hidden="false" customHeight="false" outlineLevel="0" collapsed="false">
      <c r="A132" s="55"/>
      <c r="B132" s="56"/>
      <c r="C132" s="57"/>
      <c r="D132" s="56"/>
      <c r="E132" s="56"/>
      <c r="F132" s="61" t="str">
        <f aca="false">IF($B132="","",IFERROR(INDEX(Items!$P$5:$P$504,MATCH($B132,Items!$A$5:$A$504,0)),0))</f>
        <v/>
      </c>
      <c r="G132" s="61" t="str">
        <f aca="false">IF($B132="","",ROUND(N($C132)*F132,2))</f>
        <v/>
      </c>
    </row>
    <row r="133" customFormat="false" ht="15" hidden="false" customHeight="false" outlineLevel="0" collapsed="false">
      <c r="A133" s="55"/>
      <c r="B133" s="56"/>
      <c r="C133" s="57"/>
      <c r="D133" s="56"/>
      <c r="E133" s="56"/>
      <c r="F133" s="61" t="str">
        <f aca="false">IF($B133="","",IFERROR(INDEX(Items!$P$5:$P$504,MATCH($B133,Items!$A$5:$A$504,0)),0))</f>
        <v/>
      </c>
      <c r="G133" s="61" t="str">
        <f aca="false">IF($B133="","",ROUND(N($C133)*F133,2))</f>
        <v/>
      </c>
    </row>
    <row r="134" customFormat="false" ht="15" hidden="false" customHeight="false" outlineLevel="0" collapsed="false">
      <c r="A134" s="55"/>
      <c r="B134" s="56"/>
      <c r="C134" s="57"/>
      <c r="D134" s="56"/>
      <c r="E134" s="56"/>
      <c r="F134" s="61" t="str">
        <f aca="false">IF($B134="","",IFERROR(INDEX(Items!$P$5:$P$504,MATCH($B134,Items!$A$5:$A$504,0)),0))</f>
        <v/>
      </c>
      <c r="G134" s="61" t="str">
        <f aca="false">IF($B134="","",ROUND(N($C134)*F134,2))</f>
        <v/>
      </c>
    </row>
    <row r="135" customFormat="false" ht="15" hidden="false" customHeight="false" outlineLevel="0" collapsed="false">
      <c r="A135" s="55"/>
      <c r="B135" s="56"/>
      <c r="C135" s="57"/>
      <c r="D135" s="56"/>
      <c r="E135" s="56"/>
      <c r="F135" s="61" t="str">
        <f aca="false">IF($B135="","",IFERROR(INDEX(Items!$P$5:$P$504,MATCH($B135,Items!$A$5:$A$504,0)),0))</f>
        <v/>
      </c>
      <c r="G135" s="61" t="str">
        <f aca="false">IF($B135="","",ROUND(N($C135)*F135,2))</f>
        <v/>
      </c>
    </row>
    <row r="136" customFormat="false" ht="15" hidden="false" customHeight="false" outlineLevel="0" collapsed="false">
      <c r="A136" s="55"/>
      <c r="B136" s="56"/>
      <c r="C136" s="57"/>
      <c r="D136" s="56"/>
      <c r="E136" s="56"/>
      <c r="F136" s="61" t="str">
        <f aca="false">IF($B136="","",IFERROR(INDEX(Items!$P$5:$P$504,MATCH($B136,Items!$A$5:$A$504,0)),0))</f>
        <v/>
      </c>
      <c r="G136" s="61" t="str">
        <f aca="false">IF($B136="","",ROUND(N($C136)*F136,2))</f>
        <v/>
      </c>
    </row>
    <row r="137" customFormat="false" ht="15" hidden="false" customHeight="false" outlineLevel="0" collapsed="false">
      <c r="A137" s="55"/>
      <c r="B137" s="56"/>
      <c r="C137" s="57"/>
      <c r="D137" s="56"/>
      <c r="E137" s="56"/>
      <c r="F137" s="61" t="str">
        <f aca="false">IF($B137="","",IFERROR(INDEX(Items!$P$5:$P$504,MATCH($B137,Items!$A$5:$A$504,0)),0))</f>
        <v/>
      </c>
      <c r="G137" s="61" t="str">
        <f aca="false">IF($B137="","",ROUND(N($C137)*F137,2))</f>
        <v/>
      </c>
    </row>
    <row r="138" customFormat="false" ht="15" hidden="false" customHeight="false" outlineLevel="0" collapsed="false">
      <c r="A138" s="55"/>
      <c r="B138" s="56"/>
      <c r="C138" s="57"/>
      <c r="D138" s="56"/>
      <c r="E138" s="56"/>
      <c r="F138" s="61" t="str">
        <f aca="false">IF($B138="","",IFERROR(INDEX(Items!$P$5:$P$504,MATCH($B138,Items!$A$5:$A$504,0)),0))</f>
        <v/>
      </c>
      <c r="G138" s="61" t="str">
        <f aca="false">IF($B138="","",ROUND(N($C138)*F138,2))</f>
        <v/>
      </c>
    </row>
    <row r="139" customFormat="false" ht="15" hidden="false" customHeight="false" outlineLevel="0" collapsed="false">
      <c r="A139" s="55"/>
      <c r="B139" s="56"/>
      <c r="C139" s="57"/>
      <c r="D139" s="56"/>
      <c r="E139" s="56"/>
      <c r="F139" s="61" t="str">
        <f aca="false">IF($B139="","",IFERROR(INDEX(Items!$P$5:$P$504,MATCH($B139,Items!$A$5:$A$504,0)),0))</f>
        <v/>
      </c>
      <c r="G139" s="61" t="str">
        <f aca="false">IF($B139="","",ROUND(N($C139)*F139,2))</f>
        <v/>
      </c>
    </row>
    <row r="140" customFormat="false" ht="15" hidden="false" customHeight="false" outlineLevel="0" collapsed="false">
      <c r="A140" s="55"/>
      <c r="B140" s="56"/>
      <c r="C140" s="57"/>
      <c r="D140" s="56"/>
      <c r="E140" s="56"/>
      <c r="F140" s="61" t="str">
        <f aca="false">IF($B140="","",IFERROR(INDEX(Items!$P$5:$P$504,MATCH($B140,Items!$A$5:$A$504,0)),0))</f>
        <v/>
      </c>
      <c r="G140" s="61" t="str">
        <f aca="false">IF($B140="","",ROUND(N($C140)*F140,2))</f>
        <v/>
      </c>
    </row>
    <row r="141" customFormat="false" ht="15" hidden="false" customHeight="false" outlineLevel="0" collapsed="false">
      <c r="A141" s="55"/>
      <c r="B141" s="56"/>
      <c r="C141" s="57"/>
      <c r="D141" s="56"/>
      <c r="E141" s="56"/>
      <c r="F141" s="61" t="str">
        <f aca="false">IF($B141="","",IFERROR(INDEX(Items!$P$5:$P$504,MATCH($B141,Items!$A$5:$A$504,0)),0))</f>
        <v/>
      </c>
      <c r="G141" s="61" t="str">
        <f aca="false">IF($B141="","",ROUND(N($C141)*F141,2))</f>
        <v/>
      </c>
    </row>
    <row r="142" customFormat="false" ht="15" hidden="false" customHeight="false" outlineLevel="0" collapsed="false">
      <c r="A142" s="55"/>
      <c r="B142" s="56"/>
      <c r="C142" s="57"/>
      <c r="D142" s="56"/>
      <c r="E142" s="56"/>
      <c r="F142" s="61" t="str">
        <f aca="false">IF($B142="","",IFERROR(INDEX(Items!$P$5:$P$504,MATCH($B142,Items!$A$5:$A$504,0)),0))</f>
        <v/>
      </c>
      <c r="G142" s="61" t="str">
        <f aca="false">IF($B142="","",ROUND(N($C142)*F142,2))</f>
        <v/>
      </c>
    </row>
    <row r="143" customFormat="false" ht="15" hidden="false" customHeight="false" outlineLevel="0" collapsed="false">
      <c r="A143" s="55"/>
      <c r="B143" s="56"/>
      <c r="C143" s="57"/>
      <c r="D143" s="56"/>
      <c r="E143" s="56"/>
      <c r="F143" s="61" t="str">
        <f aca="false">IF($B143="","",IFERROR(INDEX(Items!$P$5:$P$504,MATCH($B143,Items!$A$5:$A$504,0)),0))</f>
        <v/>
      </c>
      <c r="G143" s="61" t="str">
        <f aca="false">IF($B143="","",ROUND(N($C143)*F143,2))</f>
        <v/>
      </c>
    </row>
    <row r="144" customFormat="false" ht="15" hidden="false" customHeight="false" outlineLevel="0" collapsed="false">
      <c r="A144" s="55"/>
      <c r="B144" s="56"/>
      <c r="C144" s="57"/>
      <c r="D144" s="56"/>
      <c r="E144" s="56"/>
      <c r="F144" s="61" t="str">
        <f aca="false">IF($B144="","",IFERROR(INDEX(Items!$P$5:$P$504,MATCH($B144,Items!$A$5:$A$504,0)),0))</f>
        <v/>
      </c>
      <c r="G144" s="61" t="str">
        <f aca="false">IF($B144="","",ROUND(N($C144)*F144,2))</f>
        <v/>
      </c>
    </row>
    <row r="145" customFormat="false" ht="15" hidden="false" customHeight="false" outlineLevel="0" collapsed="false">
      <c r="A145" s="55"/>
      <c r="B145" s="56"/>
      <c r="C145" s="57"/>
      <c r="D145" s="56"/>
      <c r="E145" s="56"/>
      <c r="F145" s="61" t="str">
        <f aca="false">IF($B145="","",IFERROR(INDEX(Items!$P$5:$P$504,MATCH($B145,Items!$A$5:$A$504,0)),0))</f>
        <v/>
      </c>
      <c r="G145" s="61" t="str">
        <f aca="false">IF($B145="","",ROUND(N($C145)*F145,2))</f>
        <v/>
      </c>
    </row>
    <row r="146" customFormat="false" ht="15" hidden="false" customHeight="false" outlineLevel="0" collapsed="false">
      <c r="A146" s="55"/>
      <c r="B146" s="56"/>
      <c r="C146" s="57"/>
      <c r="D146" s="56"/>
      <c r="E146" s="56"/>
      <c r="F146" s="61" t="str">
        <f aca="false">IF($B146="","",IFERROR(INDEX(Items!$P$5:$P$504,MATCH($B146,Items!$A$5:$A$504,0)),0))</f>
        <v/>
      </c>
      <c r="G146" s="61" t="str">
        <f aca="false">IF($B146="","",ROUND(N($C146)*F146,2))</f>
        <v/>
      </c>
    </row>
    <row r="147" customFormat="false" ht="15" hidden="false" customHeight="false" outlineLevel="0" collapsed="false">
      <c r="A147" s="55"/>
      <c r="B147" s="56"/>
      <c r="C147" s="57"/>
      <c r="D147" s="56"/>
      <c r="E147" s="56"/>
      <c r="F147" s="61" t="str">
        <f aca="false">IF($B147="","",IFERROR(INDEX(Items!$P$5:$P$504,MATCH($B147,Items!$A$5:$A$504,0)),0))</f>
        <v/>
      </c>
      <c r="G147" s="61" t="str">
        <f aca="false">IF($B147="","",ROUND(N($C147)*F147,2))</f>
        <v/>
      </c>
    </row>
    <row r="148" customFormat="false" ht="15" hidden="false" customHeight="false" outlineLevel="0" collapsed="false">
      <c r="A148" s="55"/>
      <c r="B148" s="56"/>
      <c r="C148" s="57"/>
      <c r="D148" s="56"/>
      <c r="E148" s="56"/>
      <c r="F148" s="61" t="str">
        <f aca="false">IF($B148="","",IFERROR(INDEX(Items!$P$5:$P$504,MATCH($B148,Items!$A$5:$A$504,0)),0))</f>
        <v/>
      </c>
      <c r="G148" s="61" t="str">
        <f aca="false">IF($B148="","",ROUND(N($C148)*F148,2))</f>
        <v/>
      </c>
    </row>
    <row r="149" customFormat="false" ht="15" hidden="false" customHeight="false" outlineLevel="0" collapsed="false">
      <c r="A149" s="55"/>
      <c r="B149" s="56"/>
      <c r="C149" s="57"/>
      <c r="D149" s="56"/>
      <c r="E149" s="56"/>
      <c r="F149" s="61" t="str">
        <f aca="false">IF($B149="","",IFERROR(INDEX(Items!$P$5:$P$504,MATCH($B149,Items!$A$5:$A$504,0)),0))</f>
        <v/>
      </c>
      <c r="G149" s="61" t="str">
        <f aca="false">IF($B149="","",ROUND(N($C149)*F149,2))</f>
        <v/>
      </c>
    </row>
    <row r="150" customFormat="false" ht="15" hidden="false" customHeight="false" outlineLevel="0" collapsed="false">
      <c r="A150" s="55"/>
      <c r="B150" s="56"/>
      <c r="C150" s="57"/>
      <c r="D150" s="56"/>
      <c r="E150" s="56"/>
      <c r="F150" s="61" t="str">
        <f aca="false">IF($B150="","",IFERROR(INDEX(Items!$P$5:$P$504,MATCH($B150,Items!$A$5:$A$504,0)),0))</f>
        <v/>
      </c>
      <c r="G150" s="61" t="str">
        <f aca="false">IF($B150="","",ROUND(N($C150)*F150,2))</f>
        <v/>
      </c>
    </row>
    <row r="151" customFormat="false" ht="15" hidden="false" customHeight="false" outlineLevel="0" collapsed="false">
      <c r="A151" s="55"/>
      <c r="B151" s="56"/>
      <c r="C151" s="57"/>
      <c r="D151" s="56"/>
      <c r="E151" s="56"/>
      <c r="F151" s="61" t="str">
        <f aca="false">IF($B151="","",IFERROR(INDEX(Items!$P$5:$P$504,MATCH($B151,Items!$A$5:$A$504,0)),0))</f>
        <v/>
      </c>
      <c r="G151" s="61" t="str">
        <f aca="false">IF($B151="","",ROUND(N($C151)*F151,2))</f>
        <v/>
      </c>
    </row>
    <row r="152" customFormat="false" ht="15" hidden="false" customHeight="false" outlineLevel="0" collapsed="false">
      <c r="A152" s="55"/>
      <c r="B152" s="56"/>
      <c r="C152" s="57"/>
      <c r="D152" s="56"/>
      <c r="E152" s="56"/>
      <c r="F152" s="61" t="str">
        <f aca="false">IF($B152="","",IFERROR(INDEX(Items!$P$5:$P$504,MATCH($B152,Items!$A$5:$A$504,0)),0))</f>
        <v/>
      </c>
      <c r="G152" s="61" t="str">
        <f aca="false">IF($B152="","",ROUND(N($C152)*F152,2))</f>
        <v/>
      </c>
    </row>
    <row r="153" customFormat="false" ht="15" hidden="false" customHeight="false" outlineLevel="0" collapsed="false">
      <c r="A153" s="55"/>
      <c r="B153" s="56"/>
      <c r="C153" s="57"/>
      <c r="D153" s="56"/>
      <c r="E153" s="56"/>
      <c r="F153" s="61" t="str">
        <f aca="false">IF($B153="","",IFERROR(INDEX(Items!$P$5:$P$504,MATCH($B153,Items!$A$5:$A$504,0)),0))</f>
        <v/>
      </c>
      <c r="G153" s="61" t="str">
        <f aca="false">IF($B153="","",ROUND(N($C153)*F153,2))</f>
        <v/>
      </c>
    </row>
    <row r="154" customFormat="false" ht="15" hidden="false" customHeight="false" outlineLevel="0" collapsed="false">
      <c r="A154" s="55"/>
      <c r="B154" s="56"/>
      <c r="C154" s="57"/>
      <c r="D154" s="56"/>
      <c r="E154" s="56"/>
      <c r="F154" s="61" t="str">
        <f aca="false">IF($B154="","",IFERROR(INDEX(Items!$P$5:$P$504,MATCH($B154,Items!$A$5:$A$504,0)),0))</f>
        <v/>
      </c>
      <c r="G154" s="61" t="str">
        <f aca="false">IF($B154="","",ROUND(N($C154)*F154,2))</f>
        <v/>
      </c>
    </row>
    <row r="155" customFormat="false" ht="15" hidden="false" customHeight="false" outlineLevel="0" collapsed="false">
      <c r="A155" s="55"/>
      <c r="B155" s="56"/>
      <c r="C155" s="57"/>
      <c r="D155" s="56"/>
      <c r="E155" s="56"/>
      <c r="F155" s="61" t="str">
        <f aca="false">IF($B155="","",IFERROR(INDEX(Items!$P$5:$P$504,MATCH($B155,Items!$A$5:$A$504,0)),0))</f>
        <v/>
      </c>
      <c r="G155" s="61" t="str">
        <f aca="false">IF($B155="","",ROUND(N($C155)*F155,2))</f>
        <v/>
      </c>
    </row>
    <row r="156" customFormat="false" ht="15" hidden="false" customHeight="false" outlineLevel="0" collapsed="false">
      <c r="A156" s="55"/>
      <c r="B156" s="56"/>
      <c r="C156" s="57"/>
      <c r="D156" s="56"/>
      <c r="E156" s="56"/>
      <c r="F156" s="61" t="str">
        <f aca="false">IF($B156="","",IFERROR(INDEX(Items!$P$5:$P$504,MATCH($B156,Items!$A$5:$A$504,0)),0))</f>
        <v/>
      </c>
      <c r="G156" s="61" t="str">
        <f aca="false">IF($B156="","",ROUND(N($C156)*F156,2))</f>
        <v/>
      </c>
    </row>
    <row r="157" customFormat="false" ht="15" hidden="false" customHeight="false" outlineLevel="0" collapsed="false">
      <c r="A157" s="55"/>
      <c r="B157" s="56"/>
      <c r="C157" s="57"/>
      <c r="D157" s="56"/>
      <c r="E157" s="56"/>
      <c r="F157" s="61" t="str">
        <f aca="false">IF($B157="","",IFERROR(INDEX(Items!$P$5:$P$504,MATCH($B157,Items!$A$5:$A$504,0)),0))</f>
        <v/>
      </c>
      <c r="G157" s="61" t="str">
        <f aca="false">IF($B157="","",ROUND(N($C157)*F157,2))</f>
        <v/>
      </c>
    </row>
    <row r="158" customFormat="false" ht="15" hidden="false" customHeight="false" outlineLevel="0" collapsed="false">
      <c r="A158" s="55"/>
      <c r="B158" s="56"/>
      <c r="C158" s="57"/>
      <c r="D158" s="56"/>
      <c r="E158" s="56"/>
      <c r="F158" s="61" t="str">
        <f aca="false">IF($B158="","",IFERROR(INDEX(Items!$P$5:$P$504,MATCH($B158,Items!$A$5:$A$504,0)),0))</f>
        <v/>
      </c>
      <c r="G158" s="61" t="str">
        <f aca="false">IF($B158="","",ROUND(N($C158)*F158,2))</f>
        <v/>
      </c>
    </row>
    <row r="159" customFormat="false" ht="15" hidden="false" customHeight="false" outlineLevel="0" collapsed="false">
      <c r="A159" s="55"/>
      <c r="B159" s="56"/>
      <c r="C159" s="57"/>
      <c r="D159" s="56"/>
      <c r="E159" s="56"/>
      <c r="F159" s="61" t="str">
        <f aca="false">IF($B159="","",IFERROR(INDEX(Items!$P$5:$P$504,MATCH($B159,Items!$A$5:$A$504,0)),0))</f>
        <v/>
      </c>
      <c r="G159" s="61" t="str">
        <f aca="false">IF($B159="","",ROUND(N($C159)*F159,2))</f>
        <v/>
      </c>
    </row>
    <row r="160" customFormat="false" ht="15" hidden="false" customHeight="false" outlineLevel="0" collapsed="false">
      <c r="A160" s="55"/>
      <c r="B160" s="56"/>
      <c r="C160" s="57"/>
      <c r="D160" s="56"/>
      <c r="E160" s="56"/>
      <c r="F160" s="61" t="str">
        <f aca="false">IF($B160="","",IFERROR(INDEX(Items!$P$5:$P$504,MATCH($B160,Items!$A$5:$A$504,0)),0))</f>
        <v/>
      </c>
      <c r="G160" s="61" t="str">
        <f aca="false">IF($B160="","",ROUND(N($C160)*F160,2))</f>
        <v/>
      </c>
    </row>
    <row r="161" customFormat="false" ht="15" hidden="false" customHeight="false" outlineLevel="0" collapsed="false">
      <c r="A161" s="55"/>
      <c r="B161" s="56"/>
      <c r="C161" s="57"/>
      <c r="D161" s="56"/>
      <c r="E161" s="56"/>
      <c r="F161" s="61" t="str">
        <f aca="false">IF($B161="","",IFERROR(INDEX(Items!$P$5:$P$504,MATCH($B161,Items!$A$5:$A$504,0)),0))</f>
        <v/>
      </c>
      <c r="G161" s="61" t="str">
        <f aca="false">IF($B161="","",ROUND(N($C161)*F161,2))</f>
        <v/>
      </c>
    </row>
    <row r="162" customFormat="false" ht="15" hidden="false" customHeight="false" outlineLevel="0" collapsed="false">
      <c r="A162" s="55"/>
      <c r="B162" s="56"/>
      <c r="C162" s="57"/>
      <c r="D162" s="56"/>
      <c r="E162" s="56"/>
      <c r="F162" s="61" t="str">
        <f aca="false">IF($B162="","",IFERROR(INDEX(Items!$P$5:$P$504,MATCH($B162,Items!$A$5:$A$504,0)),0))</f>
        <v/>
      </c>
      <c r="G162" s="61" t="str">
        <f aca="false">IF($B162="","",ROUND(N($C162)*F162,2))</f>
        <v/>
      </c>
    </row>
    <row r="163" customFormat="false" ht="15" hidden="false" customHeight="false" outlineLevel="0" collapsed="false">
      <c r="A163" s="55"/>
      <c r="B163" s="56"/>
      <c r="C163" s="57"/>
      <c r="D163" s="56"/>
      <c r="E163" s="56"/>
      <c r="F163" s="61" t="str">
        <f aca="false">IF($B163="","",IFERROR(INDEX(Items!$P$5:$P$504,MATCH($B163,Items!$A$5:$A$504,0)),0))</f>
        <v/>
      </c>
      <c r="G163" s="61" t="str">
        <f aca="false">IF($B163="","",ROUND(N($C163)*F163,2))</f>
        <v/>
      </c>
    </row>
    <row r="164" customFormat="false" ht="15" hidden="false" customHeight="false" outlineLevel="0" collapsed="false">
      <c r="A164" s="55"/>
      <c r="B164" s="56"/>
      <c r="C164" s="57"/>
      <c r="D164" s="56"/>
      <c r="E164" s="56"/>
      <c r="F164" s="61" t="str">
        <f aca="false">IF($B164="","",IFERROR(INDEX(Items!$P$5:$P$504,MATCH($B164,Items!$A$5:$A$504,0)),0))</f>
        <v/>
      </c>
      <c r="G164" s="61" t="str">
        <f aca="false">IF($B164="","",ROUND(N($C164)*F164,2))</f>
        <v/>
      </c>
    </row>
    <row r="165" customFormat="false" ht="15" hidden="false" customHeight="false" outlineLevel="0" collapsed="false">
      <c r="A165" s="55"/>
      <c r="B165" s="56"/>
      <c r="C165" s="57"/>
      <c r="D165" s="56"/>
      <c r="E165" s="56"/>
      <c r="F165" s="61" t="str">
        <f aca="false">IF($B165="","",IFERROR(INDEX(Items!$P$5:$P$504,MATCH($B165,Items!$A$5:$A$504,0)),0))</f>
        <v/>
      </c>
      <c r="G165" s="61" t="str">
        <f aca="false">IF($B165="","",ROUND(N($C165)*F165,2))</f>
        <v/>
      </c>
    </row>
    <row r="166" customFormat="false" ht="15" hidden="false" customHeight="false" outlineLevel="0" collapsed="false">
      <c r="A166" s="55"/>
      <c r="B166" s="56"/>
      <c r="C166" s="57"/>
      <c r="D166" s="56"/>
      <c r="E166" s="56"/>
      <c r="F166" s="61" t="str">
        <f aca="false">IF($B166="","",IFERROR(INDEX(Items!$P$5:$P$504,MATCH($B166,Items!$A$5:$A$504,0)),0))</f>
        <v/>
      </c>
      <c r="G166" s="61" t="str">
        <f aca="false">IF($B166="","",ROUND(N($C166)*F166,2))</f>
        <v/>
      </c>
    </row>
    <row r="167" customFormat="false" ht="15" hidden="false" customHeight="false" outlineLevel="0" collapsed="false">
      <c r="A167" s="55"/>
      <c r="B167" s="56"/>
      <c r="C167" s="57"/>
      <c r="D167" s="56"/>
      <c r="E167" s="56"/>
      <c r="F167" s="61" t="str">
        <f aca="false">IF($B167="","",IFERROR(INDEX(Items!$P$5:$P$504,MATCH($B167,Items!$A$5:$A$504,0)),0))</f>
        <v/>
      </c>
      <c r="G167" s="61" t="str">
        <f aca="false">IF($B167="","",ROUND(N($C167)*F167,2))</f>
        <v/>
      </c>
    </row>
    <row r="168" customFormat="false" ht="15" hidden="false" customHeight="false" outlineLevel="0" collapsed="false">
      <c r="A168" s="55"/>
      <c r="B168" s="56"/>
      <c r="C168" s="57"/>
      <c r="D168" s="56"/>
      <c r="E168" s="56"/>
      <c r="F168" s="61" t="str">
        <f aca="false">IF($B168="","",IFERROR(INDEX(Items!$P$5:$P$504,MATCH($B168,Items!$A$5:$A$504,0)),0))</f>
        <v/>
      </c>
      <c r="G168" s="61" t="str">
        <f aca="false">IF($B168="","",ROUND(N($C168)*F168,2))</f>
        <v/>
      </c>
    </row>
    <row r="169" customFormat="false" ht="15" hidden="false" customHeight="false" outlineLevel="0" collapsed="false">
      <c r="A169" s="55"/>
      <c r="B169" s="56"/>
      <c r="C169" s="57"/>
      <c r="D169" s="56"/>
      <c r="E169" s="56"/>
      <c r="F169" s="61" t="str">
        <f aca="false">IF($B169="","",IFERROR(INDEX(Items!$P$5:$P$504,MATCH($B169,Items!$A$5:$A$504,0)),0))</f>
        <v/>
      </c>
      <c r="G169" s="61" t="str">
        <f aca="false">IF($B169="","",ROUND(N($C169)*F169,2))</f>
        <v/>
      </c>
    </row>
    <row r="170" customFormat="false" ht="15" hidden="false" customHeight="false" outlineLevel="0" collapsed="false">
      <c r="A170" s="55"/>
      <c r="B170" s="56"/>
      <c r="C170" s="57"/>
      <c r="D170" s="56"/>
      <c r="E170" s="56"/>
      <c r="F170" s="61" t="str">
        <f aca="false">IF($B170="","",IFERROR(INDEX(Items!$P$5:$P$504,MATCH($B170,Items!$A$5:$A$504,0)),0))</f>
        <v/>
      </c>
      <c r="G170" s="61" t="str">
        <f aca="false">IF($B170="","",ROUND(N($C170)*F170,2))</f>
        <v/>
      </c>
    </row>
    <row r="171" customFormat="false" ht="15" hidden="false" customHeight="false" outlineLevel="0" collapsed="false">
      <c r="A171" s="55"/>
      <c r="B171" s="56"/>
      <c r="C171" s="57"/>
      <c r="D171" s="56"/>
      <c r="E171" s="56"/>
      <c r="F171" s="61" t="str">
        <f aca="false">IF($B171="","",IFERROR(INDEX(Items!$P$5:$P$504,MATCH($B171,Items!$A$5:$A$504,0)),0))</f>
        <v/>
      </c>
      <c r="G171" s="61" t="str">
        <f aca="false">IF($B171="","",ROUND(N($C171)*F171,2))</f>
        <v/>
      </c>
    </row>
    <row r="172" customFormat="false" ht="15" hidden="false" customHeight="false" outlineLevel="0" collapsed="false">
      <c r="A172" s="55"/>
      <c r="B172" s="56"/>
      <c r="C172" s="57"/>
      <c r="D172" s="56"/>
      <c r="E172" s="56"/>
      <c r="F172" s="61" t="str">
        <f aca="false">IF($B172="","",IFERROR(INDEX(Items!$P$5:$P$504,MATCH($B172,Items!$A$5:$A$504,0)),0))</f>
        <v/>
      </c>
      <c r="G172" s="61" t="str">
        <f aca="false">IF($B172="","",ROUND(N($C172)*F172,2))</f>
        <v/>
      </c>
    </row>
    <row r="173" customFormat="false" ht="15" hidden="false" customHeight="false" outlineLevel="0" collapsed="false">
      <c r="A173" s="55"/>
      <c r="B173" s="56"/>
      <c r="C173" s="57"/>
      <c r="D173" s="56"/>
      <c r="E173" s="56"/>
      <c r="F173" s="61" t="str">
        <f aca="false">IF($B173="","",IFERROR(INDEX(Items!$P$5:$P$504,MATCH($B173,Items!$A$5:$A$504,0)),0))</f>
        <v/>
      </c>
      <c r="G173" s="61" t="str">
        <f aca="false">IF($B173="","",ROUND(N($C173)*F173,2))</f>
        <v/>
      </c>
    </row>
    <row r="174" customFormat="false" ht="15" hidden="false" customHeight="false" outlineLevel="0" collapsed="false">
      <c r="A174" s="55"/>
      <c r="B174" s="56"/>
      <c r="C174" s="57"/>
      <c r="D174" s="56"/>
      <c r="E174" s="56"/>
      <c r="F174" s="61" t="str">
        <f aca="false">IF($B174="","",IFERROR(INDEX(Items!$P$5:$P$504,MATCH($B174,Items!$A$5:$A$504,0)),0))</f>
        <v/>
      </c>
      <c r="G174" s="61" t="str">
        <f aca="false">IF($B174="","",ROUND(N($C174)*F174,2))</f>
        <v/>
      </c>
    </row>
    <row r="175" customFormat="false" ht="15" hidden="false" customHeight="false" outlineLevel="0" collapsed="false">
      <c r="A175" s="55"/>
      <c r="B175" s="56"/>
      <c r="C175" s="57"/>
      <c r="D175" s="56"/>
      <c r="E175" s="56"/>
      <c r="F175" s="61" t="str">
        <f aca="false">IF($B175="","",IFERROR(INDEX(Items!$P$5:$P$504,MATCH($B175,Items!$A$5:$A$504,0)),0))</f>
        <v/>
      </c>
      <c r="G175" s="61" t="str">
        <f aca="false">IF($B175="","",ROUND(N($C175)*F175,2))</f>
        <v/>
      </c>
    </row>
    <row r="176" customFormat="false" ht="15" hidden="false" customHeight="false" outlineLevel="0" collapsed="false">
      <c r="A176" s="55"/>
      <c r="B176" s="56"/>
      <c r="C176" s="57"/>
      <c r="D176" s="56"/>
      <c r="E176" s="56"/>
      <c r="F176" s="61" t="str">
        <f aca="false">IF($B176="","",IFERROR(INDEX(Items!$P$5:$P$504,MATCH($B176,Items!$A$5:$A$504,0)),0))</f>
        <v/>
      </c>
      <c r="G176" s="61" t="str">
        <f aca="false">IF($B176="","",ROUND(N($C176)*F176,2))</f>
        <v/>
      </c>
    </row>
    <row r="177" customFormat="false" ht="15" hidden="false" customHeight="false" outlineLevel="0" collapsed="false">
      <c r="A177" s="55"/>
      <c r="B177" s="56"/>
      <c r="C177" s="57"/>
      <c r="D177" s="56"/>
      <c r="E177" s="56"/>
      <c r="F177" s="61" t="str">
        <f aca="false">IF($B177="","",IFERROR(INDEX(Items!$P$5:$P$504,MATCH($B177,Items!$A$5:$A$504,0)),0))</f>
        <v/>
      </c>
      <c r="G177" s="61" t="str">
        <f aca="false">IF($B177="","",ROUND(N($C177)*F177,2))</f>
        <v/>
      </c>
    </row>
    <row r="178" customFormat="false" ht="15" hidden="false" customHeight="false" outlineLevel="0" collapsed="false">
      <c r="A178" s="55"/>
      <c r="B178" s="56"/>
      <c r="C178" s="57"/>
      <c r="D178" s="56"/>
      <c r="E178" s="56"/>
      <c r="F178" s="61" t="str">
        <f aca="false">IF($B178="","",IFERROR(INDEX(Items!$P$5:$P$504,MATCH($B178,Items!$A$5:$A$504,0)),0))</f>
        <v/>
      </c>
      <c r="G178" s="61" t="str">
        <f aca="false">IF($B178="","",ROUND(N($C178)*F178,2))</f>
        <v/>
      </c>
    </row>
    <row r="179" customFormat="false" ht="15" hidden="false" customHeight="false" outlineLevel="0" collapsed="false">
      <c r="A179" s="55"/>
      <c r="B179" s="56"/>
      <c r="C179" s="57"/>
      <c r="D179" s="56"/>
      <c r="E179" s="56"/>
      <c r="F179" s="61" t="str">
        <f aca="false">IF($B179="","",IFERROR(INDEX(Items!$P$5:$P$504,MATCH($B179,Items!$A$5:$A$504,0)),0))</f>
        <v/>
      </c>
      <c r="G179" s="61" t="str">
        <f aca="false">IF($B179="","",ROUND(N($C179)*F179,2))</f>
        <v/>
      </c>
    </row>
    <row r="180" customFormat="false" ht="15" hidden="false" customHeight="false" outlineLevel="0" collapsed="false">
      <c r="A180" s="55"/>
      <c r="B180" s="56"/>
      <c r="C180" s="57"/>
      <c r="D180" s="56"/>
      <c r="E180" s="56"/>
      <c r="F180" s="61" t="str">
        <f aca="false">IF($B180="","",IFERROR(INDEX(Items!$P$5:$P$504,MATCH($B180,Items!$A$5:$A$504,0)),0))</f>
        <v/>
      </c>
      <c r="G180" s="61" t="str">
        <f aca="false">IF($B180="","",ROUND(N($C180)*F180,2))</f>
        <v/>
      </c>
    </row>
    <row r="181" customFormat="false" ht="15" hidden="false" customHeight="false" outlineLevel="0" collapsed="false">
      <c r="A181" s="55"/>
      <c r="B181" s="56"/>
      <c r="C181" s="57"/>
      <c r="D181" s="56"/>
      <c r="E181" s="56"/>
      <c r="F181" s="61" t="str">
        <f aca="false">IF($B181="","",IFERROR(INDEX(Items!$P$5:$P$504,MATCH($B181,Items!$A$5:$A$504,0)),0))</f>
        <v/>
      </c>
      <c r="G181" s="61" t="str">
        <f aca="false">IF($B181="","",ROUND(N($C181)*F181,2))</f>
        <v/>
      </c>
    </row>
    <row r="182" customFormat="false" ht="15" hidden="false" customHeight="false" outlineLevel="0" collapsed="false">
      <c r="A182" s="55"/>
      <c r="B182" s="56"/>
      <c r="C182" s="57"/>
      <c r="D182" s="56"/>
      <c r="E182" s="56"/>
      <c r="F182" s="61" t="str">
        <f aca="false">IF($B182="","",IFERROR(INDEX(Items!$P$5:$P$504,MATCH($B182,Items!$A$5:$A$504,0)),0))</f>
        <v/>
      </c>
      <c r="G182" s="61" t="str">
        <f aca="false">IF($B182="","",ROUND(N($C182)*F182,2))</f>
        <v/>
      </c>
    </row>
    <row r="183" customFormat="false" ht="15" hidden="false" customHeight="false" outlineLevel="0" collapsed="false">
      <c r="A183" s="55"/>
      <c r="B183" s="56"/>
      <c r="C183" s="57"/>
      <c r="D183" s="56"/>
      <c r="E183" s="56"/>
      <c r="F183" s="61" t="str">
        <f aca="false">IF($B183="","",IFERROR(INDEX(Items!$P$5:$P$504,MATCH($B183,Items!$A$5:$A$504,0)),0))</f>
        <v/>
      </c>
      <c r="G183" s="61" t="str">
        <f aca="false">IF($B183="","",ROUND(N($C183)*F183,2))</f>
        <v/>
      </c>
    </row>
    <row r="184" customFormat="false" ht="15" hidden="false" customHeight="false" outlineLevel="0" collapsed="false">
      <c r="A184" s="55"/>
      <c r="B184" s="56"/>
      <c r="C184" s="57"/>
      <c r="D184" s="56"/>
      <c r="E184" s="56"/>
      <c r="F184" s="61" t="str">
        <f aca="false">IF($B184="","",IFERROR(INDEX(Items!$P$5:$P$504,MATCH($B184,Items!$A$5:$A$504,0)),0))</f>
        <v/>
      </c>
      <c r="G184" s="61" t="str">
        <f aca="false">IF($B184="","",ROUND(N($C184)*F184,2))</f>
        <v/>
      </c>
    </row>
    <row r="185" customFormat="false" ht="15" hidden="false" customHeight="false" outlineLevel="0" collapsed="false">
      <c r="A185" s="55"/>
      <c r="B185" s="56"/>
      <c r="C185" s="57"/>
      <c r="D185" s="56"/>
      <c r="E185" s="56"/>
      <c r="F185" s="61" t="str">
        <f aca="false">IF($B185="","",IFERROR(INDEX(Items!$P$5:$P$504,MATCH($B185,Items!$A$5:$A$504,0)),0))</f>
        <v/>
      </c>
      <c r="G185" s="61" t="str">
        <f aca="false">IF($B185="","",ROUND(N($C185)*F185,2))</f>
        <v/>
      </c>
    </row>
    <row r="186" customFormat="false" ht="15" hidden="false" customHeight="false" outlineLevel="0" collapsed="false">
      <c r="A186" s="55"/>
      <c r="B186" s="56"/>
      <c r="C186" s="57"/>
      <c r="D186" s="56"/>
      <c r="E186" s="56"/>
      <c r="F186" s="61" t="str">
        <f aca="false">IF($B186="","",IFERROR(INDEX(Items!$P$5:$P$504,MATCH($B186,Items!$A$5:$A$504,0)),0))</f>
        <v/>
      </c>
      <c r="G186" s="61" t="str">
        <f aca="false">IF($B186="","",ROUND(N($C186)*F186,2))</f>
        <v/>
      </c>
    </row>
    <row r="187" customFormat="false" ht="15" hidden="false" customHeight="false" outlineLevel="0" collapsed="false">
      <c r="A187" s="55"/>
      <c r="B187" s="56"/>
      <c r="C187" s="57"/>
      <c r="D187" s="56"/>
      <c r="E187" s="56"/>
      <c r="F187" s="61" t="str">
        <f aca="false">IF($B187="","",IFERROR(INDEX(Items!$P$5:$P$504,MATCH($B187,Items!$A$5:$A$504,0)),0))</f>
        <v/>
      </c>
      <c r="G187" s="61" t="str">
        <f aca="false">IF($B187="","",ROUND(N($C187)*F187,2))</f>
        <v/>
      </c>
    </row>
    <row r="188" customFormat="false" ht="15" hidden="false" customHeight="false" outlineLevel="0" collapsed="false">
      <c r="A188" s="55"/>
      <c r="B188" s="56"/>
      <c r="C188" s="57"/>
      <c r="D188" s="56"/>
      <c r="E188" s="56"/>
      <c r="F188" s="61" t="str">
        <f aca="false">IF($B188="","",IFERROR(INDEX(Items!$P$5:$P$504,MATCH($B188,Items!$A$5:$A$504,0)),0))</f>
        <v/>
      </c>
      <c r="G188" s="61" t="str">
        <f aca="false">IF($B188="","",ROUND(N($C188)*F188,2))</f>
        <v/>
      </c>
    </row>
    <row r="189" customFormat="false" ht="15" hidden="false" customHeight="false" outlineLevel="0" collapsed="false">
      <c r="A189" s="55"/>
      <c r="B189" s="56"/>
      <c r="C189" s="57"/>
      <c r="D189" s="56"/>
      <c r="E189" s="56"/>
      <c r="F189" s="61" t="str">
        <f aca="false">IF($B189="","",IFERROR(INDEX(Items!$P$5:$P$504,MATCH($B189,Items!$A$5:$A$504,0)),0))</f>
        <v/>
      </c>
      <c r="G189" s="61" t="str">
        <f aca="false">IF($B189="","",ROUND(N($C189)*F189,2))</f>
        <v/>
      </c>
    </row>
    <row r="190" customFormat="false" ht="15" hidden="false" customHeight="false" outlineLevel="0" collapsed="false">
      <c r="A190" s="55"/>
      <c r="B190" s="56"/>
      <c r="C190" s="57"/>
      <c r="D190" s="56"/>
      <c r="E190" s="56"/>
      <c r="F190" s="61" t="str">
        <f aca="false">IF($B190="","",IFERROR(INDEX(Items!$P$5:$P$504,MATCH($B190,Items!$A$5:$A$504,0)),0))</f>
        <v/>
      </c>
      <c r="G190" s="61" t="str">
        <f aca="false">IF($B190="","",ROUND(N($C190)*F190,2))</f>
        <v/>
      </c>
    </row>
    <row r="191" customFormat="false" ht="15" hidden="false" customHeight="false" outlineLevel="0" collapsed="false">
      <c r="A191" s="55"/>
      <c r="B191" s="56"/>
      <c r="C191" s="57"/>
      <c r="D191" s="56"/>
      <c r="E191" s="56"/>
      <c r="F191" s="61" t="str">
        <f aca="false">IF($B191="","",IFERROR(INDEX(Items!$P$5:$P$504,MATCH($B191,Items!$A$5:$A$504,0)),0))</f>
        <v/>
      </c>
      <c r="G191" s="61" t="str">
        <f aca="false">IF($B191="","",ROUND(N($C191)*F191,2))</f>
        <v/>
      </c>
    </row>
    <row r="192" customFormat="false" ht="15" hidden="false" customHeight="false" outlineLevel="0" collapsed="false">
      <c r="A192" s="55"/>
      <c r="B192" s="56"/>
      <c r="C192" s="57"/>
      <c r="D192" s="56"/>
      <c r="E192" s="56"/>
      <c r="F192" s="61" t="str">
        <f aca="false">IF($B192="","",IFERROR(INDEX(Items!$P$5:$P$504,MATCH($B192,Items!$A$5:$A$504,0)),0))</f>
        <v/>
      </c>
      <c r="G192" s="61" t="str">
        <f aca="false">IF($B192="","",ROUND(N($C192)*F192,2))</f>
        <v/>
      </c>
    </row>
    <row r="193" customFormat="false" ht="15" hidden="false" customHeight="false" outlineLevel="0" collapsed="false">
      <c r="A193" s="55"/>
      <c r="B193" s="56"/>
      <c r="C193" s="57"/>
      <c r="D193" s="56"/>
      <c r="E193" s="56"/>
      <c r="F193" s="61" t="str">
        <f aca="false">IF($B193="","",IFERROR(INDEX(Items!$P$5:$P$504,MATCH($B193,Items!$A$5:$A$504,0)),0))</f>
        <v/>
      </c>
      <c r="G193" s="61" t="str">
        <f aca="false">IF($B193="","",ROUND(N($C193)*F193,2))</f>
        <v/>
      </c>
    </row>
    <row r="194" customFormat="false" ht="15" hidden="false" customHeight="false" outlineLevel="0" collapsed="false">
      <c r="A194" s="55"/>
      <c r="B194" s="56"/>
      <c r="C194" s="57"/>
      <c r="D194" s="56"/>
      <c r="E194" s="56"/>
      <c r="F194" s="61" t="str">
        <f aca="false">IF($B194="","",IFERROR(INDEX(Items!$P$5:$P$504,MATCH($B194,Items!$A$5:$A$504,0)),0))</f>
        <v/>
      </c>
      <c r="G194" s="61" t="str">
        <f aca="false">IF($B194="","",ROUND(N($C194)*F194,2))</f>
        <v/>
      </c>
    </row>
    <row r="195" customFormat="false" ht="15" hidden="false" customHeight="false" outlineLevel="0" collapsed="false">
      <c r="A195" s="55"/>
      <c r="B195" s="56"/>
      <c r="C195" s="57"/>
      <c r="D195" s="56"/>
      <c r="E195" s="56"/>
      <c r="F195" s="61" t="str">
        <f aca="false">IF($B195="","",IFERROR(INDEX(Items!$P$5:$P$504,MATCH($B195,Items!$A$5:$A$504,0)),0))</f>
        <v/>
      </c>
      <c r="G195" s="61" t="str">
        <f aca="false">IF($B195="","",ROUND(N($C195)*F195,2))</f>
        <v/>
      </c>
    </row>
    <row r="196" customFormat="false" ht="15" hidden="false" customHeight="false" outlineLevel="0" collapsed="false">
      <c r="A196" s="55"/>
      <c r="B196" s="56"/>
      <c r="C196" s="57"/>
      <c r="D196" s="56"/>
      <c r="E196" s="56"/>
      <c r="F196" s="61" t="str">
        <f aca="false">IF($B196="","",IFERROR(INDEX(Items!$P$5:$P$504,MATCH($B196,Items!$A$5:$A$504,0)),0))</f>
        <v/>
      </c>
      <c r="G196" s="61" t="str">
        <f aca="false">IF($B196="","",ROUND(N($C196)*F196,2))</f>
        <v/>
      </c>
    </row>
    <row r="197" customFormat="false" ht="15" hidden="false" customHeight="false" outlineLevel="0" collapsed="false">
      <c r="A197" s="55"/>
      <c r="B197" s="56"/>
      <c r="C197" s="57"/>
      <c r="D197" s="56"/>
      <c r="E197" s="56"/>
      <c r="F197" s="61" t="str">
        <f aca="false">IF($B197="","",IFERROR(INDEX(Items!$P$5:$P$504,MATCH($B197,Items!$A$5:$A$504,0)),0))</f>
        <v/>
      </c>
      <c r="G197" s="61" t="str">
        <f aca="false">IF($B197="","",ROUND(N($C197)*F197,2))</f>
        <v/>
      </c>
    </row>
    <row r="198" customFormat="false" ht="15" hidden="false" customHeight="false" outlineLevel="0" collapsed="false">
      <c r="A198" s="55"/>
      <c r="B198" s="56"/>
      <c r="C198" s="57"/>
      <c r="D198" s="56"/>
      <c r="E198" s="56"/>
      <c r="F198" s="61" t="str">
        <f aca="false">IF($B198="","",IFERROR(INDEX(Items!$P$5:$P$504,MATCH($B198,Items!$A$5:$A$504,0)),0))</f>
        <v/>
      </c>
      <c r="G198" s="61" t="str">
        <f aca="false">IF($B198="","",ROUND(N($C198)*F198,2))</f>
        <v/>
      </c>
    </row>
    <row r="199" customFormat="false" ht="15" hidden="false" customHeight="false" outlineLevel="0" collapsed="false">
      <c r="A199" s="55"/>
      <c r="B199" s="56"/>
      <c r="C199" s="57"/>
      <c r="D199" s="56"/>
      <c r="E199" s="56"/>
      <c r="F199" s="61" t="str">
        <f aca="false">IF($B199="","",IFERROR(INDEX(Items!$P$5:$P$504,MATCH($B199,Items!$A$5:$A$504,0)),0))</f>
        <v/>
      </c>
      <c r="G199" s="61" t="str">
        <f aca="false">IF($B199="","",ROUND(N($C199)*F199,2))</f>
        <v/>
      </c>
    </row>
    <row r="200" customFormat="false" ht="15" hidden="false" customHeight="false" outlineLevel="0" collapsed="false">
      <c r="A200" s="55"/>
      <c r="B200" s="56"/>
      <c r="C200" s="57"/>
      <c r="D200" s="56"/>
      <c r="E200" s="56"/>
      <c r="F200" s="61" t="str">
        <f aca="false">IF($B200="","",IFERROR(INDEX(Items!$P$5:$P$504,MATCH($B200,Items!$A$5:$A$504,0)),0))</f>
        <v/>
      </c>
      <c r="G200" s="61" t="str">
        <f aca="false">IF($B200="","",ROUND(N($C200)*F200,2))</f>
        <v/>
      </c>
    </row>
    <row r="201" customFormat="false" ht="15" hidden="false" customHeight="false" outlineLevel="0" collapsed="false">
      <c r="A201" s="55"/>
      <c r="B201" s="56"/>
      <c r="C201" s="57"/>
      <c r="D201" s="56"/>
      <c r="E201" s="56"/>
      <c r="F201" s="61" t="str">
        <f aca="false">IF($B201="","",IFERROR(INDEX(Items!$P$5:$P$504,MATCH($B201,Items!$A$5:$A$504,0)),0))</f>
        <v/>
      </c>
      <c r="G201" s="61" t="str">
        <f aca="false">IF($B201="","",ROUND(N($C201)*F201,2))</f>
        <v/>
      </c>
    </row>
    <row r="202" customFormat="false" ht="15" hidden="false" customHeight="false" outlineLevel="0" collapsed="false">
      <c r="A202" s="55"/>
      <c r="B202" s="56"/>
      <c r="C202" s="57"/>
      <c r="D202" s="56"/>
      <c r="E202" s="56"/>
      <c r="F202" s="61" t="str">
        <f aca="false">IF($B202="","",IFERROR(INDEX(Items!$P$5:$P$504,MATCH($B202,Items!$A$5:$A$504,0)),0))</f>
        <v/>
      </c>
      <c r="G202" s="61" t="str">
        <f aca="false">IF($B202="","",ROUND(N($C202)*F202,2))</f>
        <v/>
      </c>
    </row>
    <row r="203" customFormat="false" ht="15" hidden="false" customHeight="false" outlineLevel="0" collapsed="false">
      <c r="A203" s="55"/>
      <c r="B203" s="56"/>
      <c r="C203" s="57"/>
      <c r="D203" s="56"/>
      <c r="E203" s="56"/>
      <c r="F203" s="61" t="str">
        <f aca="false">IF($B203="","",IFERROR(INDEX(Items!$P$5:$P$504,MATCH($B203,Items!$A$5:$A$504,0)),0))</f>
        <v/>
      </c>
      <c r="G203" s="61" t="str">
        <f aca="false">IF($B203="","",ROUND(N($C203)*F203,2))</f>
        <v/>
      </c>
    </row>
    <row r="204" customFormat="false" ht="15" hidden="false" customHeight="false" outlineLevel="0" collapsed="false">
      <c r="A204" s="55"/>
      <c r="B204" s="56"/>
      <c r="C204" s="57"/>
      <c r="D204" s="56"/>
      <c r="E204" s="56"/>
      <c r="F204" s="61" t="str">
        <f aca="false">IF($B204="","",IFERROR(INDEX(Items!$P$5:$P$504,MATCH($B204,Items!$A$5:$A$504,0)),0))</f>
        <v/>
      </c>
      <c r="G204" s="61" t="str">
        <f aca="false">IF($B204="","",ROUND(N($C204)*F204,2))</f>
        <v/>
      </c>
    </row>
    <row r="205" customFormat="false" ht="15" hidden="false" customHeight="false" outlineLevel="0" collapsed="false">
      <c r="A205" s="55"/>
      <c r="B205" s="56"/>
      <c r="C205" s="57"/>
      <c r="D205" s="56"/>
      <c r="E205" s="56"/>
      <c r="F205" s="61" t="str">
        <f aca="false">IF($B205="","",IFERROR(INDEX(Items!$P$5:$P$504,MATCH($B205,Items!$A$5:$A$504,0)),0))</f>
        <v/>
      </c>
      <c r="G205" s="61" t="str">
        <f aca="false">IF($B205="","",ROUND(N($C205)*F205,2))</f>
        <v/>
      </c>
    </row>
    <row r="206" customFormat="false" ht="15" hidden="false" customHeight="false" outlineLevel="0" collapsed="false">
      <c r="A206" s="55"/>
      <c r="B206" s="56"/>
      <c r="C206" s="57"/>
      <c r="D206" s="56"/>
      <c r="E206" s="56"/>
      <c r="F206" s="61" t="str">
        <f aca="false">IF($B206="","",IFERROR(INDEX(Items!$P$5:$P$504,MATCH($B206,Items!$A$5:$A$504,0)),0))</f>
        <v/>
      </c>
      <c r="G206" s="61" t="str">
        <f aca="false">IF($B206="","",ROUND(N($C206)*F206,2))</f>
        <v/>
      </c>
    </row>
    <row r="207" customFormat="false" ht="15" hidden="false" customHeight="false" outlineLevel="0" collapsed="false">
      <c r="A207" s="55"/>
      <c r="B207" s="56"/>
      <c r="C207" s="57"/>
      <c r="D207" s="56"/>
      <c r="E207" s="56"/>
      <c r="F207" s="61" t="str">
        <f aca="false">IF($B207="","",IFERROR(INDEX(Items!$P$5:$P$504,MATCH($B207,Items!$A$5:$A$504,0)),0))</f>
        <v/>
      </c>
      <c r="G207" s="61" t="str">
        <f aca="false">IF($B207="","",ROUND(N($C207)*F207,2))</f>
        <v/>
      </c>
    </row>
    <row r="208" customFormat="false" ht="15" hidden="false" customHeight="false" outlineLevel="0" collapsed="false">
      <c r="A208" s="55"/>
      <c r="B208" s="56"/>
      <c r="C208" s="57"/>
      <c r="D208" s="56"/>
      <c r="E208" s="56"/>
      <c r="F208" s="61" t="str">
        <f aca="false">IF($B208="","",IFERROR(INDEX(Items!$P$5:$P$504,MATCH($B208,Items!$A$5:$A$504,0)),0))</f>
        <v/>
      </c>
      <c r="G208" s="61" t="str">
        <f aca="false">IF($B208="","",ROUND(N($C208)*F208,2))</f>
        <v/>
      </c>
    </row>
    <row r="209" customFormat="false" ht="15" hidden="false" customHeight="false" outlineLevel="0" collapsed="false">
      <c r="A209" s="55"/>
      <c r="B209" s="56"/>
      <c r="C209" s="57"/>
      <c r="D209" s="56"/>
      <c r="E209" s="56"/>
      <c r="F209" s="61" t="str">
        <f aca="false">IF($B209="","",IFERROR(INDEX(Items!$P$5:$P$504,MATCH($B209,Items!$A$5:$A$504,0)),0))</f>
        <v/>
      </c>
      <c r="G209" s="61" t="str">
        <f aca="false">IF($B209="","",ROUND(N($C209)*F209,2))</f>
        <v/>
      </c>
    </row>
    <row r="210" customFormat="false" ht="15" hidden="false" customHeight="false" outlineLevel="0" collapsed="false">
      <c r="A210" s="55"/>
      <c r="B210" s="56"/>
      <c r="C210" s="57"/>
      <c r="D210" s="56"/>
      <c r="E210" s="56"/>
      <c r="F210" s="61" t="str">
        <f aca="false">IF($B210="","",IFERROR(INDEX(Items!$P$5:$P$504,MATCH($B210,Items!$A$5:$A$504,0)),0))</f>
        <v/>
      </c>
      <c r="G210" s="61" t="str">
        <f aca="false">IF($B210="","",ROUND(N($C210)*F210,2))</f>
        <v/>
      </c>
    </row>
    <row r="211" customFormat="false" ht="15" hidden="false" customHeight="false" outlineLevel="0" collapsed="false">
      <c r="A211" s="55"/>
      <c r="B211" s="56"/>
      <c r="C211" s="57"/>
      <c r="D211" s="56"/>
      <c r="E211" s="56"/>
      <c r="F211" s="61" t="str">
        <f aca="false">IF($B211="","",IFERROR(INDEX(Items!$P$5:$P$504,MATCH($B211,Items!$A$5:$A$504,0)),0))</f>
        <v/>
      </c>
      <c r="G211" s="61" t="str">
        <f aca="false">IF($B211="","",ROUND(N($C211)*F211,2))</f>
        <v/>
      </c>
    </row>
    <row r="212" customFormat="false" ht="15" hidden="false" customHeight="false" outlineLevel="0" collapsed="false">
      <c r="A212" s="55"/>
      <c r="B212" s="56"/>
      <c r="C212" s="57"/>
      <c r="D212" s="56"/>
      <c r="E212" s="56"/>
      <c r="F212" s="61" t="str">
        <f aca="false">IF($B212="","",IFERROR(INDEX(Items!$P$5:$P$504,MATCH($B212,Items!$A$5:$A$504,0)),0))</f>
        <v/>
      </c>
      <c r="G212" s="61" t="str">
        <f aca="false">IF($B212="","",ROUND(N($C212)*F212,2))</f>
        <v/>
      </c>
    </row>
    <row r="213" customFormat="false" ht="15" hidden="false" customHeight="false" outlineLevel="0" collapsed="false">
      <c r="A213" s="55"/>
      <c r="B213" s="56"/>
      <c r="C213" s="57"/>
      <c r="D213" s="56"/>
      <c r="E213" s="56"/>
      <c r="F213" s="61" t="str">
        <f aca="false">IF($B213="","",IFERROR(INDEX(Items!$P$5:$P$504,MATCH($B213,Items!$A$5:$A$504,0)),0))</f>
        <v/>
      </c>
      <c r="G213" s="61" t="str">
        <f aca="false">IF($B213="","",ROUND(N($C213)*F213,2))</f>
        <v/>
      </c>
    </row>
    <row r="214" customFormat="false" ht="15" hidden="false" customHeight="false" outlineLevel="0" collapsed="false">
      <c r="A214" s="55"/>
      <c r="B214" s="56"/>
      <c r="C214" s="57"/>
      <c r="D214" s="56"/>
      <c r="E214" s="56"/>
      <c r="F214" s="61" t="str">
        <f aca="false">IF($B214="","",IFERROR(INDEX(Items!$P$5:$P$504,MATCH($B214,Items!$A$5:$A$504,0)),0))</f>
        <v/>
      </c>
      <c r="G214" s="61" t="str">
        <f aca="false">IF($B214="","",ROUND(N($C214)*F214,2))</f>
        <v/>
      </c>
    </row>
    <row r="215" customFormat="false" ht="15" hidden="false" customHeight="false" outlineLevel="0" collapsed="false">
      <c r="A215" s="55"/>
      <c r="B215" s="56"/>
      <c r="C215" s="57"/>
      <c r="D215" s="56"/>
      <c r="E215" s="56"/>
      <c r="F215" s="61" t="str">
        <f aca="false">IF($B215="","",IFERROR(INDEX(Items!$P$5:$P$504,MATCH($B215,Items!$A$5:$A$504,0)),0))</f>
        <v/>
      </c>
      <c r="G215" s="61" t="str">
        <f aca="false">IF($B215="","",ROUND(N($C215)*F215,2))</f>
        <v/>
      </c>
    </row>
    <row r="216" customFormat="false" ht="15" hidden="false" customHeight="false" outlineLevel="0" collapsed="false">
      <c r="A216" s="55"/>
      <c r="B216" s="56"/>
      <c r="C216" s="57"/>
      <c r="D216" s="56"/>
      <c r="E216" s="56"/>
      <c r="F216" s="61" t="str">
        <f aca="false">IF($B216="","",IFERROR(INDEX(Items!$P$5:$P$504,MATCH($B216,Items!$A$5:$A$504,0)),0))</f>
        <v/>
      </c>
      <c r="G216" s="61" t="str">
        <f aca="false">IF($B216="","",ROUND(N($C216)*F216,2))</f>
        <v/>
      </c>
    </row>
    <row r="217" customFormat="false" ht="15" hidden="false" customHeight="false" outlineLevel="0" collapsed="false">
      <c r="A217" s="55"/>
      <c r="B217" s="56"/>
      <c r="C217" s="57"/>
      <c r="D217" s="56"/>
      <c r="E217" s="56"/>
      <c r="F217" s="61" t="str">
        <f aca="false">IF($B217="","",IFERROR(INDEX(Items!$P$5:$P$504,MATCH($B217,Items!$A$5:$A$504,0)),0))</f>
        <v/>
      </c>
      <c r="G217" s="61" t="str">
        <f aca="false">IF($B217="","",ROUND(N($C217)*F217,2))</f>
        <v/>
      </c>
    </row>
    <row r="218" customFormat="false" ht="15" hidden="false" customHeight="false" outlineLevel="0" collapsed="false">
      <c r="A218" s="55"/>
      <c r="B218" s="56"/>
      <c r="C218" s="57"/>
      <c r="D218" s="56"/>
      <c r="E218" s="56"/>
      <c r="F218" s="61" t="str">
        <f aca="false">IF($B218="","",IFERROR(INDEX(Items!$P$5:$P$504,MATCH($B218,Items!$A$5:$A$504,0)),0))</f>
        <v/>
      </c>
      <c r="G218" s="61" t="str">
        <f aca="false">IF($B218="","",ROUND(N($C218)*F218,2))</f>
        <v/>
      </c>
    </row>
    <row r="219" customFormat="false" ht="15" hidden="false" customHeight="false" outlineLevel="0" collapsed="false">
      <c r="A219" s="55"/>
      <c r="B219" s="56"/>
      <c r="C219" s="57"/>
      <c r="D219" s="56"/>
      <c r="E219" s="56"/>
      <c r="F219" s="61" t="str">
        <f aca="false">IF($B219="","",IFERROR(INDEX(Items!$P$5:$P$504,MATCH($B219,Items!$A$5:$A$504,0)),0))</f>
        <v/>
      </c>
      <c r="G219" s="61" t="str">
        <f aca="false">IF($B219="","",ROUND(N($C219)*F219,2))</f>
        <v/>
      </c>
    </row>
    <row r="220" customFormat="false" ht="15" hidden="false" customHeight="false" outlineLevel="0" collapsed="false">
      <c r="A220" s="55"/>
      <c r="B220" s="56"/>
      <c r="C220" s="57"/>
      <c r="D220" s="56"/>
      <c r="E220" s="56"/>
      <c r="F220" s="61" t="str">
        <f aca="false">IF($B220="","",IFERROR(INDEX(Items!$P$5:$P$504,MATCH($B220,Items!$A$5:$A$504,0)),0))</f>
        <v/>
      </c>
      <c r="G220" s="61" t="str">
        <f aca="false">IF($B220="","",ROUND(N($C220)*F220,2))</f>
        <v/>
      </c>
    </row>
    <row r="221" customFormat="false" ht="15" hidden="false" customHeight="false" outlineLevel="0" collapsed="false">
      <c r="A221" s="55"/>
      <c r="B221" s="56"/>
      <c r="C221" s="57"/>
      <c r="D221" s="56"/>
      <c r="E221" s="56"/>
      <c r="F221" s="61" t="str">
        <f aca="false">IF($B221="","",IFERROR(INDEX(Items!$P$5:$P$504,MATCH($B221,Items!$A$5:$A$504,0)),0))</f>
        <v/>
      </c>
      <c r="G221" s="61" t="str">
        <f aca="false">IF($B221="","",ROUND(N($C221)*F221,2))</f>
        <v/>
      </c>
    </row>
    <row r="222" customFormat="false" ht="15" hidden="false" customHeight="false" outlineLevel="0" collapsed="false">
      <c r="A222" s="55"/>
      <c r="B222" s="56"/>
      <c r="C222" s="57"/>
      <c r="D222" s="56"/>
      <c r="E222" s="56"/>
      <c r="F222" s="61" t="str">
        <f aca="false">IF($B222="","",IFERROR(INDEX(Items!$P$5:$P$504,MATCH($B222,Items!$A$5:$A$504,0)),0))</f>
        <v/>
      </c>
      <c r="G222" s="61" t="str">
        <f aca="false">IF($B222="","",ROUND(N($C222)*F222,2))</f>
        <v/>
      </c>
    </row>
    <row r="223" customFormat="false" ht="15" hidden="false" customHeight="false" outlineLevel="0" collapsed="false">
      <c r="A223" s="55"/>
      <c r="B223" s="56"/>
      <c r="C223" s="57"/>
      <c r="D223" s="56"/>
      <c r="E223" s="56"/>
      <c r="F223" s="61" t="str">
        <f aca="false">IF($B223="","",IFERROR(INDEX(Items!$P$5:$P$504,MATCH($B223,Items!$A$5:$A$504,0)),0))</f>
        <v/>
      </c>
      <c r="G223" s="61" t="str">
        <f aca="false">IF($B223="","",ROUND(N($C223)*F223,2))</f>
        <v/>
      </c>
    </row>
    <row r="224" customFormat="false" ht="15" hidden="false" customHeight="false" outlineLevel="0" collapsed="false">
      <c r="A224" s="55"/>
      <c r="B224" s="56"/>
      <c r="C224" s="57"/>
      <c r="D224" s="56"/>
      <c r="E224" s="56"/>
      <c r="F224" s="61" t="str">
        <f aca="false">IF($B224="","",IFERROR(INDEX(Items!$P$5:$P$504,MATCH($B224,Items!$A$5:$A$504,0)),0))</f>
        <v/>
      </c>
      <c r="G224" s="61" t="str">
        <f aca="false">IF($B224="","",ROUND(N($C224)*F224,2))</f>
        <v/>
      </c>
    </row>
    <row r="225" customFormat="false" ht="15" hidden="false" customHeight="false" outlineLevel="0" collapsed="false">
      <c r="A225" s="55"/>
      <c r="B225" s="56"/>
      <c r="C225" s="57"/>
      <c r="D225" s="56"/>
      <c r="E225" s="56"/>
      <c r="F225" s="61" t="str">
        <f aca="false">IF($B225="","",IFERROR(INDEX(Items!$P$5:$P$504,MATCH($B225,Items!$A$5:$A$504,0)),0))</f>
        <v/>
      </c>
      <c r="G225" s="61" t="str">
        <f aca="false">IF($B225="","",ROUND(N($C225)*F225,2))</f>
        <v/>
      </c>
    </row>
    <row r="226" customFormat="false" ht="15" hidden="false" customHeight="false" outlineLevel="0" collapsed="false">
      <c r="A226" s="55"/>
      <c r="B226" s="56"/>
      <c r="C226" s="57"/>
      <c r="D226" s="56"/>
      <c r="E226" s="56"/>
      <c r="F226" s="61" t="str">
        <f aca="false">IF($B226="","",IFERROR(INDEX(Items!$P$5:$P$504,MATCH($B226,Items!$A$5:$A$504,0)),0))</f>
        <v/>
      </c>
      <c r="G226" s="61" t="str">
        <f aca="false">IF($B226="","",ROUND(N($C226)*F226,2))</f>
        <v/>
      </c>
    </row>
    <row r="227" customFormat="false" ht="15" hidden="false" customHeight="false" outlineLevel="0" collapsed="false">
      <c r="A227" s="55"/>
      <c r="B227" s="56"/>
      <c r="C227" s="57"/>
      <c r="D227" s="56"/>
      <c r="E227" s="56"/>
      <c r="F227" s="61" t="str">
        <f aca="false">IF($B227="","",IFERROR(INDEX(Items!$P$5:$P$504,MATCH($B227,Items!$A$5:$A$504,0)),0))</f>
        <v/>
      </c>
      <c r="G227" s="61" t="str">
        <f aca="false">IF($B227="","",ROUND(N($C227)*F227,2))</f>
        <v/>
      </c>
    </row>
    <row r="228" customFormat="false" ht="15" hidden="false" customHeight="false" outlineLevel="0" collapsed="false">
      <c r="A228" s="55"/>
      <c r="B228" s="56"/>
      <c r="C228" s="57"/>
      <c r="D228" s="56"/>
      <c r="E228" s="56"/>
      <c r="F228" s="61" t="str">
        <f aca="false">IF($B228="","",IFERROR(INDEX(Items!$P$5:$P$504,MATCH($B228,Items!$A$5:$A$504,0)),0))</f>
        <v/>
      </c>
      <c r="G228" s="61" t="str">
        <f aca="false">IF($B228="","",ROUND(N($C228)*F228,2))</f>
        <v/>
      </c>
    </row>
    <row r="229" customFormat="false" ht="15" hidden="false" customHeight="false" outlineLevel="0" collapsed="false">
      <c r="A229" s="55"/>
      <c r="B229" s="56"/>
      <c r="C229" s="57"/>
      <c r="D229" s="56"/>
      <c r="E229" s="56"/>
      <c r="F229" s="61" t="str">
        <f aca="false">IF($B229="","",IFERROR(INDEX(Items!$P$5:$P$504,MATCH($B229,Items!$A$5:$A$504,0)),0))</f>
        <v/>
      </c>
      <c r="G229" s="61" t="str">
        <f aca="false">IF($B229="","",ROUND(N($C229)*F229,2))</f>
        <v/>
      </c>
    </row>
    <row r="230" customFormat="false" ht="15" hidden="false" customHeight="false" outlineLevel="0" collapsed="false">
      <c r="A230" s="55"/>
      <c r="B230" s="56"/>
      <c r="C230" s="57"/>
      <c r="D230" s="56"/>
      <c r="E230" s="56"/>
      <c r="F230" s="61" t="str">
        <f aca="false">IF($B230="","",IFERROR(INDEX(Items!$P$5:$P$504,MATCH($B230,Items!$A$5:$A$504,0)),0))</f>
        <v/>
      </c>
      <c r="G230" s="61" t="str">
        <f aca="false">IF($B230="","",ROUND(N($C230)*F230,2))</f>
        <v/>
      </c>
    </row>
    <row r="231" customFormat="false" ht="15" hidden="false" customHeight="false" outlineLevel="0" collapsed="false">
      <c r="A231" s="55"/>
      <c r="B231" s="56"/>
      <c r="C231" s="57"/>
      <c r="D231" s="56"/>
      <c r="E231" s="56"/>
      <c r="F231" s="61" t="str">
        <f aca="false">IF($B231="","",IFERROR(INDEX(Items!$P$5:$P$504,MATCH($B231,Items!$A$5:$A$504,0)),0))</f>
        <v/>
      </c>
      <c r="G231" s="61" t="str">
        <f aca="false">IF($B231="","",ROUND(N($C231)*F231,2))</f>
        <v/>
      </c>
    </row>
    <row r="232" customFormat="false" ht="15" hidden="false" customHeight="false" outlineLevel="0" collapsed="false">
      <c r="A232" s="55"/>
      <c r="B232" s="56"/>
      <c r="C232" s="57"/>
      <c r="D232" s="56"/>
      <c r="E232" s="56"/>
      <c r="F232" s="61" t="str">
        <f aca="false">IF($B232="","",IFERROR(INDEX(Items!$P$5:$P$504,MATCH($B232,Items!$A$5:$A$504,0)),0))</f>
        <v/>
      </c>
      <c r="G232" s="61" t="str">
        <f aca="false">IF($B232="","",ROUND(N($C232)*F232,2))</f>
        <v/>
      </c>
    </row>
    <row r="233" customFormat="false" ht="15" hidden="false" customHeight="false" outlineLevel="0" collapsed="false">
      <c r="A233" s="55"/>
      <c r="B233" s="56"/>
      <c r="C233" s="57"/>
      <c r="D233" s="56"/>
      <c r="E233" s="56"/>
      <c r="F233" s="61" t="str">
        <f aca="false">IF($B233="","",IFERROR(INDEX(Items!$P$5:$P$504,MATCH($B233,Items!$A$5:$A$504,0)),0))</f>
        <v/>
      </c>
      <c r="G233" s="61" t="str">
        <f aca="false">IF($B233="","",ROUND(N($C233)*F233,2))</f>
        <v/>
      </c>
    </row>
    <row r="234" customFormat="false" ht="15" hidden="false" customHeight="false" outlineLevel="0" collapsed="false">
      <c r="A234" s="55"/>
      <c r="B234" s="56"/>
      <c r="C234" s="57"/>
      <c r="D234" s="56"/>
      <c r="E234" s="56"/>
      <c r="F234" s="61" t="str">
        <f aca="false">IF($B234="","",IFERROR(INDEX(Items!$P$5:$P$504,MATCH($B234,Items!$A$5:$A$504,0)),0))</f>
        <v/>
      </c>
      <c r="G234" s="61" t="str">
        <f aca="false">IF($B234="","",ROUND(N($C234)*F234,2))</f>
        <v/>
      </c>
    </row>
    <row r="235" customFormat="false" ht="15" hidden="false" customHeight="false" outlineLevel="0" collapsed="false">
      <c r="A235" s="55"/>
      <c r="B235" s="56"/>
      <c r="C235" s="57"/>
      <c r="D235" s="56"/>
      <c r="E235" s="56"/>
      <c r="F235" s="61" t="str">
        <f aca="false">IF($B235="","",IFERROR(INDEX(Items!$P$5:$P$504,MATCH($B235,Items!$A$5:$A$504,0)),0))</f>
        <v/>
      </c>
      <c r="G235" s="61" t="str">
        <f aca="false">IF($B235="","",ROUND(N($C235)*F235,2))</f>
        <v/>
      </c>
    </row>
    <row r="236" customFormat="false" ht="15" hidden="false" customHeight="false" outlineLevel="0" collapsed="false">
      <c r="A236" s="55"/>
      <c r="B236" s="56"/>
      <c r="C236" s="57"/>
      <c r="D236" s="56"/>
      <c r="E236" s="56"/>
      <c r="F236" s="61" t="str">
        <f aca="false">IF($B236="","",IFERROR(INDEX(Items!$P$5:$P$504,MATCH($B236,Items!$A$5:$A$504,0)),0))</f>
        <v/>
      </c>
      <c r="G236" s="61" t="str">
        <f aca="false">IF($B236="","",ROUND(N($C236)*F236,2))</f>
        <v/>
      </c>
    </row>
    <row r="237" customFormat="false" ht="15" hidden="false" customHeight="false" outlineLevel="0" collapsed="false">
      <c r="A237" s="55"/>
      <c r="B237" s="56"/>
      <c r="C237" s="57"/>
      <c r="D237" s="56"/>
      <c r="E237" s="56"/>
      <c r="F237" s="61" t="str">
        <f aca="false">IF($B237="","",IFERROR(INDEX(Items!$P$5:$P$504,MATCH($B237,Items!$A$5:$A$504,0)),0))</f>
        <v/>
      </c>
      <c r="G237" s="61" t="str">
        <f aca="false">IF($B237="","",ROUND(N($C237)*F237,2))</f>
        <v/>
      </c>
    </row>
    <row r="238" customFormat="false" ht="15" hidden="false" customHeight="false" outlineLevel="0" collapsed="false">
      <c r="A238" s="55"/>
      <c r="B238" s="56"/>
      <c r="C238" s="57"/>
      <c r="D238" s="56"/>
      <c r="E238" s="56"/>
      <c r="F238" s="61" t="str">
        <f aca="false">IF($B238="","",IFERROR(INDEX(Items!$P$5:$P$504,MATCH($B238,Items!$A$5:$A$504,0)),0))</f>
        <v/>
      </c>
      <c r="G238" s="61" t="str">
        <f aca="false">IF($B238="","",ROUND(N($C238)*F238,2))</f>
        <v/>
      </c>
    </row>
    <row r="239" customFormat="false" ht="15" hidden="false" customHeight="false" outlineLevel="0" collapsed="false">
      <c r="A239" s="55"/>
      <c r="B239" s="56"/>
      <c r="C239" s="57"/>
      <c r="D239" s="56"/>
      <c r="E239" s="56"/>
      <c r="F239" s="61" t="str">
        <f aca="false">IF($B239="","",IFERROR(INDEX(Items!$P$5:$P$504,MATCH($B239,Items!$A$5:$A$504,0)),0))</f>
        <v/>
      </c>
      <c r="G239" s="61" t="str">
        <f aca="false">IF($B239="","",ROUND(N($C239)*F239,2))</f>
        <v/>
      </c>
    </row>
    <row r="240" customFormat="false" ht="15" hidden="false" customHeight="false" outlineLevel="0" collapsed="false">
      <c r="A240" s="55"/>
      <c r="B240" s="56"/>
      <c r="C240" s="57"/>
      <c r="D240" s="56"/>
      <c r="E240" s="56"/>
      <c r="F240" s="61" t="str">
        <f aca="false">IF($B240="","",IFERROR(INDEX(Items!$P$5:$P$504,MATCH($B240,Items!$A$5:$A$504,0)),0))</f>
        <v/>
      </c>
      <c r="G240" s="61" t="str">
        <f aca="false">IF($B240="","",ROUND(N($C240)*F240,2))</f>
        <v/>
      </c>
    </row>
    <row r="241" customFormat="false" ht="15" hidden="false" customHeight="false" outlineLevel="0" collapsed="false">
      <c r="A241" s="55"/>
      <c r="B241" s="56"/>
      <c r="C241" s="57"/>
      <c r="D241" s="56"/>
      <c r="E241" s="56"/>
      <c r="F241" s="61" t="str">
        <f aca="false">IF($B241="","",IFERROR(INDEX(Items!$P$5:$P$504,MATCH($B241,Items!$A$5:$A$504,0)),0))</f>
        <v/>
      </c>
      <c r="G241" s="61" t="str">
        <f aca="false">IF($B241="","",ROUND(N($C241)*F241,2))</f>
        <v/>
      </c>
    </row>
    <row r="242" customFormat="false" ht="15" hidden="false" customHeight="false" outlineLevel="0" collapsed="false">
      <c r="A242" s="55"/>
      <c r="B242" s="56"/>
      <c r="C242" s="57"/>
      <c r="D242" s="56"/>
      <c r="E242" s="56"/>
      <c r="F242" s="61" t="str">
        <f aca="false">IF($B242="","",IFERROR(INDEX(Items!$P$5:$P$504,MATCH($B242,Items!$A$5:$A$504,0)),0))</f>
        <v/>
      </c>
      <c r="G242" s="61" t="str">
        <f aca="false">IF($B242="","",ROUND(N($C242)*F242,2))</f>
        <v/>
      </c>
    </row>
    <row r="243" customFormat="false" ht="15" hidden="false" customHeight="false" outlineLevel="0" collapsed="false">
      <c r="A243" s="55"/>
      <c r="B243" s="56"/>
      <c r="C243" s="57"/>
      <c r="D243" s="56"/>
      <c r="E243" s="56"/>
      <c r="F243" s="61" t="str">
        <f aca="false">IF($B243="","",IFERROR(INDEX(Items!$P$5:$P$504,MATCH($B243,Items!$A$5:$A$504,0)),0))</f>
        <v/>
      </c>
      <c r="G243" s="61" t="str">
        <f aca="false">IF($B243="","",ROUND(N($C243)*F243,2))</f>
        <v/>
      </c>
    </row>
    <row r="244" customFormat="false" ht="15" hidden="false" customHeight="false" outlineLevel="0" collapsed="false">
      <c r="A244" s="55"/>
      <c r="B244" s="56"/>
      <c r="C244" s="57"/>
      <c r="D244" s="56"/>
      <c r="E244" s="56"/>
      <c r="F244" s="61" t="str">
        <f aca="false">IF($B244="","",IFERROR(INDEX(Items!$P$5:$P$504,MATCH($B244,Items!$A$5:$A$504,0)),0))</f>
        <v/>
      </c>
      <c r="G244" s="61" t="str">
        <f aca="false">IF($B244="","",ROUND(N($C244)*F244,2))</f>
        <v/>
      </c>
    </row>
    <row r="245" customFormat="false" ht="15" hidden="false" customHeight="false" outlineLevel="0" collapsed="false">
      <c r="A245" s="55"/>
      <c r="B245" s="56"/>
      <c r="C245" s="57"/>
      <c r="D245" s="56"/>
      <c r="E245" s="56"/>
      <c r="F245" s="61" t="str">
        <f aca="false">IF($B245="","",IFERROR(INDEX(Items!$P$5:$P$504,MATCH($B245,Items!$A$5:$A$504,0)),0))</f>
        <v/>
      </c>
      <c r="G245" s="61" t="str">
        <f aca="false">IF($B245="","",ROUND(N($C245)*F245,2))</f>
        <v/>
      </c>
    </row>
    <row r="246" customFormat="false" ht="15" hidden="false" customHeight="false" outlineLevel="0" collapsed="false">
      <c r="A246" s="55"/>
      <c r="B246" s="56"/>
      <c r="C246" s="57"/>
      <c r="D246" s="56"/>
      <c r="E246" s="56"/>
      <c r="F246" s="61" t="str">
        <f aca="false">IF($B246="","",IFERROR(INDEX(Items!$P$5:$P$504,MATCH($B246,Items!$A$5:$A$504,0)),0))</f>
        <v/>
      </c>
      <c r="G246" s="61" t="str">
        <f aca="false">IF($B246="","",ROUND(N($C246)*F246,2))</f>
        <v/>
      </c>
    </row>
    <row r="247" customFormat="false" ht="15" hidden="false" customHeight="false" outlineLevel="0" collapsed="false">
      <c r="A247" s="55"/>
      <c r="B247" s="56"/>
      <c r="C247" s="57"/>
      <c r="D247" s="56"/>
      <c r="E247" s="56"/>
      <c r="F247" s="61" t="str">
        <f aca="false">IF($B247="","",IFERROR(INDEX(Items!$P$5:$P$504,MATCH($B247,Items!$A$5:$A$504,0)),0))</f>
        <v/>
      </c>
      <c r="G247" s="61" t="str">
        <f aca="false">IF($B247="","",ROUND(N($C247)*F247,2))</f>
        <v/>
      </c>
    </row>
    <row r="248" customFormat="false" ht="15" hidden="false" customHeight="false" outlineLevel="0" collapsed="false">
      <c r="A248" s="55"/>
      <c r="B248" s="56"/>
      <c r="C248" s="57"/>
      <c r="D248" s="56"/>
      <c r="E248" s="56"/>
      <c r="F248" s="61" t="str">
        <f aca="false">IF($B248="","",IFERROR(INDEX(Items!$P$5:$P$504,MATCH($B248,Items!$A$5:$A$504,0)),0))</f>
        <v/>
      </c>
      <c r="G248" s="61" t="str">
        <f aca="false">IF($B248="","",ROUND(N($C248)*F248,2))</f>
        <v/>
      </c>
    </row>
    <row r="249" customFormat="false" ht="15" hidden="false" customHeight="false" outlineLevel="0" collapsed="false">
      <c r="A249" s="55"/>
      <c r="B249" s="56"/>
      <c r="C249" s="57"/>
      <c r="D249" s="56"/>
      <c r="E249" s="56"/>
      <c r="F249" s="61" t="str">
        <f aca="false">IF($B249="","",IFERROR(INDEX(Items!$P$5:$P$504,MATCH($B249,Items!$A$5:$A$504,0)),0))</f>
        <v/>
      </c>
      <c r="G249" s="61" t="str">
        <f aca="false">IF($B249="","",ROUND(N($C249)*F249,2))</f>
        <v/>
      </c>
    </row>
    <row r="250" customFormat="false" ht="15" hidden="false" customHeight="false" outlineLevel="0" collapsed="false">
      <c r="A250" s="55"/>
      <c r="B250" s="56"/>
      <c r="C250" s="57"/>
      <c r="D250" s="56"/>
      <c r="E250" s="56"/>
      <c r="F250" s="61" t="str">
        <f aca="false">IF($B250="","",IFERROR(INDEX(Items!$P$5:$P$504,MATCH($B250,Items!$A$5:$A$504,0)),0))</f>
        <v/>
      </c>
      <c r="G250" s="61" t="str">
        <f aca="false">IF($B250="","",ROUND(N($C250)*F250,2))</f>
        <v/>
      </c>
    </row>
    <row r="251" customFormat="false" ht="15" hidden="false" customHeight="false" outlineLevel="0" collapsed="false">
      <c r="A251" s="55"/>
      <c r="B251" s="56"/>
      <c r="C251" s="57"/>
      <c r="D251" s="56"/>
      <c r="E251" s="56"/>
      <c r="F251" s="61" t="str">
        <f aca="false">IF($B251="","",IFERROR(INDEX(Items!$P$5:$P$504,MATCH($B251,Items!$A$5:$A$504,0)),0))</f>
        <v/>
      </c>
      <c r="G251" s="61" t="str">
        <f aca="false">IF($B251="","",ROUND(N($C251)*F251,2))</f>
        <v/>
      </c>
    </row>
    <row r="252" customFormat="false" ht="15" hidden="false" customHeight="false" outlineLevel="0" collapsed="false">
      <c r="A252" s="55"/>
      <c r="B252" s="56"/>
      <c r="C252" s="57"/>
      <c r="D252" s="56"/>
      <c r="E252" s="56"/>
      <c r="F252" s="61" t="str">
        <f aca="false">IF($B252="","",IFERROR(INDEX(Items!$P$5:$P$504,MATCH($B252,Items!$A$5:$A$504,0)),0))</f>
        <v/>
      </c>
      <c r="G252" s="61" t="str">
        <f aca="false">IF($B252="","",ROUND(N($C252)*F252,2))</f>
        <v/>
      </c>
    </row>
    <row r="253" customFormat="false" ht="15" hidden="false" customHeight="false" outlineLevel="0" collapsed="false">
      <c r="A253" s="55"/>
      <c r="B253" s="56"/>
      <c r="C253" s="57"/>
      <c r="D253" s="56"/>
      <c r="E253" s="56"/>
      <c r="F253" s="61" t="str">
        <f aca="false">IF($B253="","",IFERROR(INDEX(Items!$P$5:$P$504,MATCH($B253,Items!$A$5:$A$504,0)),0))</f>
        <v/>
      </c>
      <c r="G253" s="61" t="str">
        <f aca="false">IF($B253="","",ROUND(N($C253)*F253,2))</f>
        <v/>
      </c>
    </row>
    <row r="254" customFormat="false" ht="15" hidden="false" customHeight="false" outlineLevel="0" collapsed="false">
      <c r="A254" s="55"/>
      <c r="B254" s="56"/>
      <c r="C254" s="57"/>
      <c r="D254" s="56"/>
      <c r="E254" s="56"/>
      <c r="F254" s="61" t="str">
        <f aca="false">IF($B254="","",IFERROR(INDEX(Items!$P$5:$P$504,MATCH($B254,Items!$A$5:$A$504,0)),0))</f>
        <v/>
      </c>
      <c r="G254" s="61" t="str">
        <f aca="false">IF($B254="","",ROUND(N($C254)*F254,2))</f>
        <v/>
      </c>
    </row>
    <row r="255" customFormat="false" ht="15" hidden="false" customHeight="false" outlineLevel="0" collapsed="false">
      <c r="A255" s="55"/>
      <c r="B255" s="56"/>
      <c r="C255" s="57"/>
      <c r="D255" s="56"/>
      <c r="E255" s="56"/>
      <c r="F255" s="61" t="str">
        <f aca="false">IF($B255="","",IFERROR(INDEX(Items!$P$5:$P$504,MATCH($B255,Items!$A$5:$A$504,0)),0))</f>
        <v/>
      </c>
      <c r="G255" s="61" t="str">
        <f aca="false">IF($B255="","",ROUND(N($C255)*F255,2))</f>
        <v/>
      </c>
    </row>
    <row r="256" customFormat="false" ht="15" hidden="false" customHeight="false" outlineLevel="0" collapsed="false">
      <c r="A256" s="55"/>
      <c r="B256" s="56"/>
      <c r="C256" s="57"/>
      <c r="D256" s="56"/>
      <c r="E256" s="56"/>
      <c r="F256" s="61" t="str">
        <f aca="false">IF($B256="","",IFERROR(INDEX(Items!$P$5:$P$504,MATCH($B256,Items!$A$5:$A$504,0)),0))</f>
        <v/>
      </c>
      <c r="G256" s="61" t="str">
        <f aca="false">IF($B256="","",ROUND(N($C256)*F256,2))</f>
        <v/>
      </c>
    </row>
    <row r="257" customFormat="false" ht="15" hidden="false" customHeight="false" outlineLevel="0" collapsed="false">
      <c r="A257" s="55"/>
      <c r="B257" s="56"/>
      <c r="C257" s="57"/>
      <c r="D257" s="56"/>
      <c r="E257" s="56"/>
      <c r="F257" s="61" t="str">
        <f aca="false">IF($B257="","",IFERROR(INDEX(Items!$P$5:$P$504,MATCH($B257,Items!$A$5:$A$504,0)),0))</f>
        <v/>
      </c>
      <c r="G257" s="61" t="str">
        <f aca="false">IF($B257="","",ROUND(N($C257)*F257,2))</f>
        <v/>
      </c>
    </row>
    <row r="258" customFormat="false" ht="15" hidden="false" customHeight="false" outlineLevel="0" collapsed="false">
      <c r="A258" s="55"/>
      <c r="B258" s="56"/>
      <c r="C258" s="57"/>
      <c r="D258" s="56"/>
      <c r="E258" s="56"/>
      <c r="F258" s="61" t="str">
        <f aca="false">IF($B258="","",IFERROR(INDEX(Items!$P$5:$P$504,MATCH($B258,Items!$A$5:$A$504,0)),0))</f>
        <v/>
      </c>
      <c r="G258" s="61" t="str">
        <f aca="false">IF($B258="","",ROUND(N($C258)*F258,2))</f>
        <v/>
      </c>
    </row>
    <row r="259" customFormat="false" ht="15" hidden="false" customHeight="false" outlineLevel="0" collapsed="false">
      <c r="A259" s="55"/>
      <c r="B259" s="56"/>
      <c r="C259" s="57"/>
      <c r="D259" s="56"/>
      <c r="E259" s="56"/>
      <c r="F259" s="61" t="str">
        <f aca="false">IF($B259="","",IFERROR(INDEX(Items!$P$5:$P$504,MATCH($B259,Items!$A$5:$A$504,0)),0))</f>
        <v/>
      </c>
      <c r="G259" s="61" t="str">
        <f aca="false">IF($B259="","",ROUND(N($C259)*F259,2))</f>
        <v/>
      </c>
    </row>
    <row r="260" customFormat="false" ht="15" hidden="false" customHeight="false" outlineLevel="0" collapsed="false">
      <c r="A260" s="55"/>
      <c r="B260" s="56"/>
      <c r="C260" s="57"/>
      <c r="D260" s="56"/>
      <c r="E260" s="56"/>
      <c r="F260" s="61" t="str">
        <f aca="false">IF($B260="","",IFERROR(INDEX(Items!$P$5:$P$504,MATCH($B260,Items!$A$5:$A$504,0)),0))</f>
        <v/>
      </c>
      <c r="G260" s="61" t="str">
        <f aca="false">IF($B260="","",ROUND(N($C260)*F260,2))</f>
        <v/>
      </c>
    </row>
    <row r="261" customFormat="false" ht="15" hidden="false" customHeight="false" outlineLevel="0" collapsed="false">
      <c r="A261" s="55"/>
      <c r="B261" s="56"/>
      <c r="C261" s="57"/>
      <c r="D261" s="56"/>
      <c r="E261" s="56"/>
      <c r="F261" s="61" t="str">
        <f aca="false">IF($B261="","",IFERROR(INDEX(Items!$P$5:$P$504,MATCH($B261,Items!$A$5:$A$504,0)),0))</f>
        <v/>
      </c>
      <c r="G261" s="61" t="str">
        <f aca="false">IF($B261="","",ROUND(N($C261)*F261,2))</f>
        <v/>
      </c>
    </row>
    <row r="262" customFormat="false" ht="15" hidden="false" customHeight="false" outlineLevel="0" collapsed="false">
      <c r="A262" s="55"/>
      <c r="B262" s="56"/>
      <c r="C262" s="57"/>
      <c r="D262" s="56"/>
      <c r="E262" s="56"/>
      <c r="F262" s="61" t="str">
        <f aca="false">IF($B262="","",IFERROR(INDEX(Items!$P$5:$P$504,MATCH($B262,Items!$A$5:$A$504,0)),0))</f>
        <v/>
      </c>
      <c r="G262" s="61" t="str">
        <f aca="false">IF($B262="","",ROUND(N($C262)*F262,2))</f>
        <v/>
      </c>
    </row>
    <row r="263" customFormat="false" ht="15" hidden="false" customHeight="false" outlineLevel="0" collapsed="false">
      <c r="A263" s="55"/>
      <c r="B263" s="56"/>
      <c r="C263" s="57"/>
      <c r="D263" s="56"/>
      <c r="E263" s="56"/>
      <c r="F263" s="61" t="str">
        <f aca="false">IF($B263="","",IFERROR(INDEX(Items!$P$5:$P$504,MATCH($B263,Items!$A$5:$A$504,0)),0))</f>
        <v/>
      </c>
      <c r="G263" s="61" t="str">
        <f aca="false">IF($B263="","",ROUND(N($C263)*F263,2))</f>
        <v/>
      </c>
    </row>
    <row r="264" customFormat="false" ht="15" hidden="false" customHeight="false" outlineLevel="0" collapsed="false">
      <c r="A264" s="55"/>
      <c r="B264" s="56"/>
      <c r="C264" s="57"/>
      <c r="D264" s="56"/>
      <c r="E264" s="56"/>
      <c r="F264" s="61" t="str">
        <f aca="false">IF($B264="","",IFERROR(INDEX(Items!$P$5:$P$504,MATCH($B264,Items!$A$5:$A$504,0)),0))</f>
        <v/>
      </c>
      <c r="G264" s="61" t="str">
        <f aca="false">IF($B264="","",ROUND(N($C264)*F264,2))</f>
        <v/>
      </c>
    </row>
    <row r="265" customFormat="false" ht="15" hidden="false" customHeight="false" outlineLevel="0" collapsed="false">
      <c r="A265" s="55"/>
      <c r="B265" s="56"/>
      <c r="C265" s="57"/>
      <c r="D265" s="56"/>
      <c r="E265" s="56"/>
      <c r="F265" s="61" t="str">
        <f aca="false">IF($B265="","",IFERROR(INDEX(Items!$P$5:$P$504,MATCH($B265,Items!$A$5:$A$504,0)),0))</f>
        <v/>
      </c>
      <c r="G265" s="61" t="str">
        <f aca="false">IF($B265="","",ROUND(N($C265)*F265,2))</f>
        <v/>
      </c>
    </row>
    <row r="266" customFormat="false" ht="15" hidden="false" customHeight="false" outlineLevel="0" collapsed="false">
      <c r="A266" s="55"/>
      <c r="B266" s="56"/>
      <c r="C266" s="57"/>
      <c r="D266" s="56"/>
      <c r="E266" s="56"/>
      <c r="F266" s="61" t="str">
        <f aca="false">IF($B266="","",IFERROR(INDEX(Items!$P$5:$P$504,MATCH($B266,Items!$A$5:$A$504,0)),0))</f>
        <v/>
      </c>
      <c r="G266" s="61" t="str">
        <f aca="false">IF($B266="","",ROUND(N($C266)*F266,2))</f>
        <v/>
      </c>
    </row>
    <row r="267" customFormat="false" ht="15" hidden="false" customHeight="false" outlineLevel="0" collapsed="false">
      <c r="A267" s="55"/>
      <c r="B267" s="56"/>
      <c r="C267" s="57"/>
      <c r="D267" s="56"/>
      <c r="E267" s="56"/>
      <c r="F267" s="61" t="str">
        <f aca="false">IF($B267="","",IFERROR(INDEX(Items!$P$5:$P$504,MATCH($B267,Items!$A$5:$A$504,0)),0))</f>
        <v/>
      </c>
      <c r="G267" s="61" t="str">
        <f aca="false">IF($B267="","",ROUND(N($C267)*F267,2))</f>
        <v/>
      </c>
    </row>
    <row r="268" customFormat="false" ht="15" hidden="false" customHeight="false" outlineLevel="0" collapsed="false">
      <c r="A268" s="55"/>
      <c r="B268" s="56"/>
      <c r="C268" s="57"/>
      <c r="D268" s="56"/>
      <c r="E268" s="56"/>
      <c r="F268" s="61" t="str">
        <f aca="false">IF($B268="","",IFERROR(INDEX(Items!$P$5:$P$504,MATCH($B268,Items!$A$5:$A$504,0)),0))</f>
        <v/>
      </c>
      <c r="G268" s="61" t="str">
        <f aca="false">IF($B268="","",ROUND(N($C268)*F268,2))</f>
        <v/>
      </c>
    </row>
    <row r="269" customFormat="false" ht="15" hidden="false" customHeight="false" outlineLevel="0" collapsed="false">
      <c r="A269" s="55"/>
      <c r="B269" s="56"/>
      <c r="C269" s="57"/>
      <c r="D269" s="56"/>
      <c r="E269" s="56"/>
      <c r="F269" s="61" t="str">
        <f aca="false">IF($B269="","",IFERROR(INDEX(Items!$P$5:$P$504,MATCH($B269,Items!$A$5:$A$504,0)),0))</f>
        <v/>
      </c>
      <c r="G269" s="61" t="str">
        <f aca="false">IF($B269="","",ROUND(N($C269)*F269,2))</f>
        <v/>
      </c>
    </row>
    <row r="270" customFormat="false" ht="15" hidden="false" customHeight="false" outlineLevel="0" collapsed="false">
      <c r="A270" s="55"/>
      <c r="B270" s="56"/>
      <c r="C270" s="57"/>
      <c r="D270" s="56"/>
      <c r="E270" s="56"/>
      <c r="F270" s="61" t="str">
        <f aca="false">IF($B270="","",IFERROR(INDEX(Items!$P$5:$P$504,MATCH($B270,Items!$A$5:$A$504,0)),0))</f>
        <v/>
      </c>
      <c r="G270" s="61" t="str">
        <f aca="false">IF($B270="","",ROUND(N($C270)*F270,2))</f>
        <v/>
      </c>
    </row>
    <row r="271" customFormat="false" ht="15" hidden="false" customHeight="false" outlineLevel="0" collapsed="false">
      <c r="A271" s="55"/>
      <c r="B271" s="56"/>
      <c r="C271" s="57"/>
      <c r="D271" s="56"/>
      <c r="E271" s="56"/>
      <c r="F271" s="61" t="str">
        <f aca="false">IF($B271="","",IFERROR(INDEX(Items!$P$5:$P$504,MATCH($B271,Items!$A$5:$A$504,0)),0))</f>
        <v/>
      </c>
      <c r="G271" s="61" t="str">
        <f aca="false">IF($B271="","",ROUND(N($C271)*F271,2))</f>
        <v/>
      </c>
    </row>
    <row r="272" customFormat="false" ht="15" hidden="false" customHeight="false" outlineLevel="0" collapsed="false">
      <c r="A272" s="55"/>
      <c r="B272" s="56"/>
      <c r="C272" s="57"/>
      <c r="D272" s="56"/>
      <c r="E272" s="56"/>
      <c r="F272" s="61" t="str">
        <f aca="false">IF($B272="","",IFERROR(INDEX(Items!$P$5:$P$504,MATCH($B272,Items!$A$5:$A$504,0)),0))</f>
        <v/>
      </c>
      <c r="G272" s="61" t="str">
        <f aca="false">IF($B272="","",ROUND(N($C272)*F272,2))</f>
        <v/>
      </c>
    </row>
    <row r="273" customFormat="false" ht="15" hidden="false" customHeight="false" outlineLevel="0" collapsed="false">
      <c r="A273" s="55"/>
      <c r="B273" s="56"/>
      <c r="C273" s="57"/>
      <c r="D273" s="56"/>
      <c r="E273" s="56"/>
      <c r="F273" s="61" t="str">
        <f aca="false">IF($B273="","",IFERROR(INDEX(Items!$P$5:$P$504,MATCH($B273,Items!$A$5:$A$504,0)),0))</f>
        <v/>
      </c>
      <c r="G273" s="61" t="str">
        <f aca="false">IF($B273="","",ROUND(N($C273)*F273,2))</f>
        <v/>
      </c>
    </row>
    <row r="274" customFormat="false" ht="15" hidden="false" customHeight="false" outlineLevel="0" collapsed="false">
      <c r="A274" s="55"/>
      <c r="B274" s="56"/>
      <c r="C274" s="57"/>
      <c r="D274" s="56"/>
      <c r="E274" s="56"/>
      <c r="F274" s="61" t="str">
        <f aca="false">IF($B274="","",IFERROR(INDEX(Items!$P$5:$P$504,MATCH($B274,Items!$A$5:$A$504,0)),0))</f>
        <v/>
      </c>
      <c r="G274" s="61" t="str">
        <f aca="false">IF($B274="","",ROUND(N($C274)*F274,2))</f>
        <v/>
      </c>
    </row>
    <row r="275" customFormat="false" ht="15" hidden="false" customHeight="false" outlineLevel="0" collapsed="false">
      <c r="A275" s="55"/>
      <c r="B275" s="56"/>
      <c r="C275" s="57"/>
      <c r="D275" s="56"/>
      <c r="E275" s="56"/>
      <c r="F275" s="61" t="str">
        <f aca="false">IF($B275="","",IFERROR(INDEX(Items!$P$5:$P$504,MATCH($B275,Items!$A$5:$A$504,0)),0))</f>
        <v/>
      </c>
      <c r="G275" s="61" t="str">
        <f aca="false">IF($B275="","",ROUND(N($C275)*F275,2))</f>
        <v/>
      </c>
    </row>
    <row r="276" customFormat="false" ht="15" hidden="false" customHeight="false" outlineLevel="0" collapsed="false">
      <c r="A276" s="55"/>
      <c r="B276" s="56"/>
      <c r="C276" s="57"/>
      <c r="D276" s="56"/>
      <c r="E276" s="56"/>
      <c r="F276" s="61" t="str">
        <f aca="false">IF($B276="","",IFERROR(INDEX(Items!$P$5:$P$504,MATCH($B276,Items!$A$5:$A$504,0)),0))</f>
        <v/>
      </c>
      <c r="G276" s="61" t="str">
        <f aca="false">IF($B276="","",ROUND(N($C276)*F276,2))</f>
        <v/>
      </c>
    </row>
    <row r="277" customFormat="false" ht="15" hidden="false" customHeight="false" outlineLevel="0" collapsed="false">
      <c r="A277" s="55"/>
      <c r="B277" s="56"/>
      <c r="C277" s="57"/>
      <c r="D277" s="56"/>
      <c r="E277" s="56"/>
      <c r="F277" s="61" t="str">
        <f aca="false">IF($B277="","",IFERROR(INDEX(Items!$P$5:$P$504,MATCH($B277,Items!$A$5:$A$504,0)),0))</f>
        <v/>
      </c>
      <c r="G277" s="61" t="str">
        <f aca="false">IF($B277="","",ROUND(N($C277)*F277,2))</f>
        <v/>
      </c>
    </row>
    <row r="278" customFormat="false" ht="15" hidden="false" customHeight="false" outlineLevel="0" collapsed="false">
      <c r="A278" s="55"/>
      <c r="B278" s="56"/>
      <c r="C278" s="57"/>
      <c r="D278" s="56"/>
      <c r="E278" s="56"/>
      <c r="F278" s="61" t="str">
        <f aca="false">IF($B278="","",IFERROR(INDEX(Items!$P$5:$P$504,MATCH($B278,Items!$A$5:$A$504,0)),0))</f>
        <v/>
      </c>
      <c r="G278" s="61" t="str">
        <f aca="false">IF($B278="","",ROUND(N($C278)*F278,2))</f>
        <v/>
      </c>
    </row>
    <row r="279" customFormat="false" ht="15" hidden="false" customHeight="false" outlineLevel="0" collapsed="false">
      <c r="A279" s="55"/>
      <c r="B279" s="56"/>
      <c r="C279" s="57"/>
      <c r="D279" s="56"/>
      <c r="E279" s="56"/>
      <c r="F279" s="61" t="str">
        <f aca="false">IF($B279="","",IFERROR(INDEX(Items!$P$5:$P$504,MATCH($B279,Items!$A$5:$A$504,0)),0))</f>
        <v/>
      </c>
      <c r="G279" s="61" t="str">
        <f aca="false">IF($B279="","",ROUND(N($C279)*F279,2))</f>
        <v/>
      </c>
    </row>
    <row r="280" customFormat="false" ht="15" hidden="false" customHeight="false" outlineLevel="0" collapsed="false">
      <c r="A280" s="55"/>
      <c r="B280" s="56"/>
      <c r="C280" s="57"/>
      <c r="D280" s="56"/>
      <c r="E280" s="56"/>
      <c r="F280" s="61" t="str">
        <f aca="false">IF($B280="","",IFERROR(INDEX(Items!$P$5:$P$504,MATCH($B280,Items!$A$5:$A$504,0)),0))</f>
        <v/>
      </c>
      <c r="G280" s="61" t="str">
        <f aca="false">IF($B280="","",ROUND(N($C280)*F280,2))</f>
        <v/>
      </c>
    </row>
    <row r="281" customFormat="false" ht="15" hidden="false" customHeight="false" outlineLevel="0" collapsed="false">
      <c r="A281" s="55"/>
      <c r="B281" s="56"/>
      <c r="C281" s="57"/>
      <c r="D281" s="56"/>
      <c r="E281" s="56"/>
      <c r="F281" s="61" t="str">
        <f aca="false">IF($B281="","",IFERROR(INDEX(Items!$P$5:$P$504,MATCH($B281,Items!$A$5:$A$504,0)),0))</f>
        <v/>
      </c>
      <c r="G281" s="61" t="str">
        <f aca="false">IF($B281="","",ROUND(N($C281)*F281,2))</f>
        <v/>
      </c>
    </row>
    <row r="282" customFormat="false" ht="15" hidden="false" customHeight="false" outlineLevel="0" collapsed="false">
      <c r="A282" s="55"/>
      <c r="B282" s="56"/>
      <c r="C282" s="57"/>
      <c r="D282" s="56"/>
      <c r="E282" s="56"/>
      <c r="F282" s="61" t="str">
        <f aca="false">IF($B282="","",IFERROR(INDEX(Items!$P$5:$P$504,MATCH($B282,Items!$A$5:$A$504,0)),0))</f>
        <v/>
      </c>
      <c r="G282" s="61" t="str">
        <f aca="false">IF($B282="","",ROUND(N($C282)*F282,2))</f>
        <v/>
      </c>
    </row>
    <row r="283" customFormat="false" ht="15" hidden="false" customHeight="false" outlineLevel="0" collapsed="false">
      <c r="A283" s="55"/>
      <c r="B283" s="56"/>
      <c r="C283" s="57"/>
      <c r="D283" s="56"/>
      <c r="E283" s="56"/>
      <c r="F283" s="61" t="str">
        <f aca="false">IF($B283="","",IFERROR(INDEX(Items!$P$5:$P$504,MATCH($B283,Items!$A$5:$A$504,0)),0))</f>
        <v/>
      </c>
      <c r="G283" s="61" t="str">
        <f aca="false">IF($B283="","",ROUND(N($C283)*F283,2))</f>
        <v/>
      </c>
    </row>
    <row r="284" customFormat="false" ht="15" hidden="false" customHeight="false" outlineLevel="0" collapsed="false">
      <c r="A284" s="55"/>
      <c r="B284" s="56"/>
      <c r="C284" s="57"/>
      <c r="D284" s="56"/>
      <c r="E284" s="56"/>
      <c r="F284" s="61" t="str">
        <f aca="false">IF($B284="","",IFERROR(INDEX(Items!$P$5:$P$504,MATCH($B284,Items!$A$5:$A$504,0)),0))</f>
        <v/>
      </c>
      <c r="G284" s="61" t="str">
        <f aca="false">IF($B284="","",ROUND(N($C284)*F284,2))</f>
        <v/>
      </c>
    </row>
    <row r="285" customFormat="false" ht="15" hidden="false" customHeight="false" outlineLevel="0" collapsed="false">
      <c r="A285" s="55"/>
      <c r="B285" s="56"/>
      <c r="C285" s="57"/>
      <c r="D285" s="56"/>
      <c r="E285" s="56"/>
      <c r="F285" s="61" t="str">
        <f aca="false">IF($B285="","",IFERROR(INDEX(Items!$P$5:$P$504,MATCH($B285,Items!$A$5:$A$504,0)),0))</f>
        <v/>
      </c>
      <c r="G285" s="61" t="str">
        <f aca="false">IF($B285="","",ROUND(N($C285)*F285,2))</f>
        <v/>
      </c>
    </row>
    <row r="286" customFormat="false" ht="15" hidden="false" customHeight="false" outlineLevel="0" collapsed="false">
      <c r="A286" s="55"/>
      <c r="B286" s="56"/>
      <c r="C286" s="57"/>
      <c r="D286" s="56"/>
      <c r="E286" s="56"/>
      <c r="F286" s="61" t="str">
        <f aca="false">IF($B286="","",IFERROR(INDEX(Items!$P$5:$P$504,MATCH($B286,Items!$A$5:$A$504,0)),0))</f>
        <v/>
      </c>
      <c r="G286" s="61" t="str">
        <f aca="false">IF($B286="","",ROUND(N($C286)*F286,2))</f>
        <v/>
      </c>
    </row>
    <row r="287" customFormat="false" ht="15" hidden="false" customHeight="false" outlineLevel="0" collapsed="false">
      <c r="A287" s="55"/>
      <c r="B287" s="56"/>
      <c r="C287" s="57"/>
      <c r="D287" s="56"/>
      <c r="E287" s="56"/>
      <c r="F287" s="61" t="str">
        <f aca="false">IF($B287="","",IFERROR(INDEX(Items!$P$5:$P$504,MATCH($B287,Items!$A$5:$A$504,0)),0))</f>
        <v/>
      </c>
      <c r="G287" s="61" t="str">
        <f aca="false">IF($B287="","",ROUND(N($C287)*F287,2))</f>
        <v/>
      </c>
    </row>
    <row r="288" customFormat="false" ht="15" hidden="false" customHeight="false" outlineLevel="0" collapsed="false">
      <c r="A288" s="55"/>
      <c r="B288" s="56"/>
      <c r="C288" s="57"/>
      <c r="D288" s="56"/>
      <c r="E288" s="56"/>
      <c r="F288" s="61" t="str">
        <f aca="false">IF($B288="","",IFERROR(INDEX(Items!$P$5:$P$504,MATCH($B288,Items!$A$5:$A$504,0)),0))</f>
        <v/>
      </c>
      <c r="G288" s="61" t="str">
        <f aca="false">IF($B288="","",ROUND(N($C288)*F288,2))</f>
        <v/>
      </c>
    </row>
    <row r="289" customFormat="false" ht="15" hidden="false" customHeight="false" outlineLevel="0" collapsed="false">
      <c r="A289" s="55"/>
      <c r="B289" s="56"/>
      <c r="C289" s="57"/>
      <c r="D289" s="56"/>
      <c r="E289" s="56"/>
      <c r="F289" s="61" t="str">
        <f aca="false">IF($B289="","",IFERROR(INDEX(Items!$P$5:$P$504,MATCH($B289,Items!$A$5:$A$504,0)),0))</f>
        <v/>
      </c>
      <c r="G289" s="61" t="str">
        <f aca="false">IF($B289="","",ROUND(N($C289)*F289,2))</f>
        <v/>
      </c>
    </row>
    <row r="290" customFormat="false" ht="15" hidden="false" customHeight="false" outlineLevel="0" collapsed="false">
      <c r="A290" s="55"/>
      <c r="B290" s="56"/>
      <c r="C290" s="57"/>
      <c r="D290" s="56"/>
      <c r="E290" s="56"/>
      <c r="F290" s="61" t="str">
        <f aca="false">IF($B290="","",IFERROR(INDEX(Items!$P$5:$P$504,MATCH($B290,Items!$A$5:$A$504,0)),0))</f>
        <v/>
      </c>
      <c r="G290" s="61" t="str">
        <f aca="false">IF($B290="","",ROUND(N($C290)*F290,2))</f>
        <v/>
      </c>
    </row>
    <row r="291" customFormat="false" ht="15" hidden="false" customHeight="false" outlineLevel="0" collapsed="false">
      <c r="A291" s="55"/>
      <c r="B291" s="56"/>
      <c r="C291" s="57"/>
      <c r="D291" s="56"/>
      <c r="E291" s="56"/>
      <c r="F291" s="61" t="str">
        <f aca="false">IF($B291="","",IFERROR(INDEX(Items!$P$5:$P$504,MATCH($B291,Items!$A$5:$A$504,0)),0))</f>
        <v/>
      </c>
      <c r="G291" s="61" t="str">
        <f aca="false">IF($B291="","",ROUND(N($C291)*F291,2))</f>
        <v/>
      </c>
    </row>
    <row r="292" customFormat="false" ht="15" hidden="false" customHeight="false" outlineLevel="0" collapsed="false">
      <c r="A292" s="55"/>
      <c r="B292" s="56"/>
      <c r="C292" s="57"/>
      <c r="D292" s="56"/>
      <c r="E292" s="56"/>
      <c r="F292" s="61" t="str">
        <f aca="false">IF($B292="","",IFERROR(INDEX(Items!$P$5:$P$504,MATCH($B292,Items!$A$5:$A$504,0)),0))</f>
        <v/>
      </c>
      <c r="G292" s="61" t="str">
        <f aca="false">IF($B292="","",ROUND(N($C292)*F292,2))</f>
        <v/>
      </c>
    </row>
    <row r="293" customFormat="false" ht="15" hidden="false" customHeight="false" outlineLevel="0" collapsed="false">
      <c r="A293" s="55"/>
      <c r="B293" s="56"/>
      <c r="C293" s="57"/>
      <c r="D293" s="56"/>
      <c r="E293" s="56"/>
      <c r="F293" s="61" t="str">
        <f aca="false">IF($B293="","",IFERROR(INDEX(Items!$P$5:$P$504,MATCH($B293,Items!$A$5:$A$504,0)),0))</f>
        <v/>
      </c>
      <c r="G293" s="61" t="str">
        <f aca="false">IF($B293="","",ROUND(N($C293)*F293,2))</f>
        <v/>
      </c>
    </row>
    <row r="294" customFormat="false" ht="15" hidden="false" customHeight="false" outlineLevel="0" collapsed="false">
      <c r="A294" s="55"/>
      <c r="B294" s="56"/>
      <c r="C294" s="57"/>
      <c r="D294" s="56"/>
      <c r="E294" s="56"/>
      <c r="F294" s="61" t="str">
        <f aca="false">IF($B294="","",IFERROR(INDEX(Items!$P$5:$P$504,MATCH($B294,Items!$A$5:$A$504,0)),0))</f>
        <v/>
      </c>
      <c r="G294" s="61" t="str">
        <f aca="false">IF($B294="","",ROUND(N($C294)*F294,2))</f>
        <v/>
      </c>
    </row>
    <row r="295" customFormat="false" ht="15" hidden="false" customHeight="false" outlineLevel="0" collapsed="false">
      <c r="A295" s="55"/>
      <c r="B295" s="56"/>
      <c r="C295" s="57"/>
      <c r="D295" s="56"/>
      <c r="E295" s="56"/>
      <c r="F295" s="61" t="str">
        <f aca="false">IF($B295="","",IFERROR(INDEX(Items!$P$5:$P$504,MATCH($B295,Items!$A$5:$A$504,0)),0))</f>
        <v/>
      </c>
      <c r="G295" s="61" t="str">
        <f aca="false">IF($B295="","",ROUND(N($C295)*F295,2))</f>
        <v/>
      </c>
    </row>
    <row r="296" customFormat="false" ht="15" hidden="false" customHeight="false" outlineLevel="0" collapsed="false">
      <c r="A296" s="55"/>
      <c r="B296" s="56"/>
      <c r="C296" s="57"/>
      <c r="D296" s="56"/>
      <c r="E296" s="56"/>
      <c r="F296" s="61" t="str">
        <f aca="false">IF($B296="","",IFERROR(INDEX(Items!$P$5:$P$504,MATCH($B296,Items!$A$5:$A$504,0)),0))</f>
        <v/>
      </c>
      <c r="G296" s="61" t="str">
        <f aca="false">IF($B296="","",ROUND(N($C296)*F296,2))</f>
        <v/>
      </c>
    </row>
    <row r="297" customFormat="false" ht="15" hidden="false" customHeight="false" outlineLevel="0" collapsed="false">
      <c r="A297" s="55"/>
      <c r="B297" s="56"/>
      <c r="C297" s="57"/>
      <c r="D297" s="56"/>
      <c r="E297" s="56"/>
      <c r="F297" s="61" t="str">
        <f aca="false">IF($B297="","",IFERROR(INDEX(Items!$P$5:$P$504,MATCH($B297,Items!$A$5:$A$504,0)),0))</f>
        <v/>
      </c>
      <c r="G297" s="61" t="str">
        <f aca="false">IF($B297="","",ROUND(N($C297)*F297,2))</f>
        <v/>
      </c>
    </row>
    <row r="298" customFormat="false" ht="15" hidden="false" customHeight="false" outlineLevel="0" collapsed="false">
      <c r="A298" s="55"/>
      <c r="B298" s="56"/>
      <c r="C298" s="57"/>
      <c r="D298" s="56"/>
      <c r="E298" s="56"/>
      <c r="F298" s="61" t="str">
        <f aca="false">IF($B298="","",IFERROR(INDEX(Items!$P$5:$P$504,MATCH($B298,Items!$A$5:$A$504,0)),0))</f>
        <v/>
      </c>
      <c r="G298" s="61" t="str">
        <f aca="false">IF($B298="","",ROUND(N($C298)*F298,2))</f>
        <v/>
      </c>
    </row>
    <row r="299" customFormat="false" ht="15" hidden="false" customHeight="false" outlineLevel="0" collapsed="false">
      <c r="A299" s="55"/>
      <c r="B299" s="56"/>
      <c r="C299" s="57"/>
      <c r="D299" s="56"/>
      <c r="E299" s="56"/>
      <c r="F299" s="61" t="str">
        <f aca="false">IF($B299="","",IFERROR(INDEX(Items!$P$5:$P$504,MATCH($B299,Items!$A$5:$A$504,0)),0))</f>
        <v/>
      </c>
      <c r="G299" s="61" t="str">
        <f aca="false">IF($B299="","",ROUND(N($C299)*F299,2))</f>
        <v/>
      </c>
    </row>
    <row r="300" customFormat="false" ht="15" hidden="false" customHeight="false" outlineLevel="0" collapsed="false">
      <c r="A300" s="55"/>
      <c r="B300" s="56"/>
      <c r="C300" s="57"/>
      <c r="D300" s="56"/>
      <c r="E300" s="56"/>
      <c r="F300" s="61" t="str">
        <f aca="false">IF($B300="","",IFERROR(INDEX(Items!$P$5:$P$504,MATCH($B300,Items!$A$5:$A$504,0)),0))</f>
        <v/>
      </c>
      <c r="G300" s="61" t="str">
        <f aca="false">IF($B300="","",ROUND(N($C300)*F300,2))</f>
        <v/>
      </c>
    </row>
    <row r="301" customFormat="false" ht="15" hidden="false" customHeight="false" outlineLevel="0" collapsed="false">
      <c r="A301" s="55"/>
      <c r="B301" s="56"/>
      <c r="C301" s="57"/>
      <c r="D301" s="56"/>
      <c r="E301" s="56"/>
      <c r="F301" s="61" t="str">
        <f aca="false">IF($B301="","",IFERROR(INDEX(Items!$P$5:$P$504,MATCH($B301,Items!$A$5:$A$504,0)),0))</f>
        <v/>
      </c>
      <c r="G301" s="61" t="str">
        <f aca="false">IF($B301="","",ROUND(N($C301)*F301,2))</f>
        <v/>
      </c>
    </row>
    <row r="302" customFormat="false" ht="15" hidden="false" customHeight="false" outlineLevel="0" collapsed="false">
      <c r="A302" s="55"/>
      <c r="B302" s="56"/>
      <c r="C302" s="57"/>
      <c r="D302" s="56"/>
      <c r="E302" s="56"/>
      <c r="F302" s="61" t="str">
        <f aca="false">IF($B302="","",IFERROR(INDEX(Items!$P$5:$P$504,MATCH($B302,Items!$A$5:$A$504,0)),0))</f>
        <v/>
      </c>
      <c r="G302" s="61" t="str">
        <f aca="false">IF($B302="","",ROUND(N($C302)*F302,2))</f>
        <v/>
      </c>
    </row>
    <row r="303" customFormat="false" ht="15" hidden="false" customHeight="false" outlineLevel="0" collapsed="false">
      <c r="A303" s="55"/>
      <c r="B303" s="56"/>
      <c r="C303" s="57"/>
      <c r="D303" s="56"/>
      <c r="E303" s="56"/>
      <c r="F303" s="61" t="str">
        <f aca="false">IF($B303="","",IFERROR(INDEX(Items!$P$5:$P$504,MATCH($B303,Items!$A$5:$A$504,0)),0))</f>
        <v/>
      </c>
      <c r="G303" s="61" t="str">
        <f aca="false">IF($B303="","",ROUND(N($C303)*F303,2))</f>
        <v/>
      </c>
    </row>
    <row r="304" customFormat="false" ht="15" hidden="false" customHeight="false" outlineLevel="0" collapsed="false">
      <c r="A304" s="55"/>
      <c r="B304" s="56"/>
      <c r="C304" s="57"/>
      <c r="D304" s="56"/>
      <c r="E304" s="56"/>
      <c r="F304" s="61" t="str">
        <f aca="false">IF($B304="","",IFERROR(INDEX(Items!$P$5:$P$504,MATCH($B304,Items!$A$5:$A$504,0)),0))</f>
        <v/>
      </c>
      <c r="G304" s="61" t="str">
        <f aca="false">IF($B304="","",ROUND(N($C304)*F304,2))</f>
        <v/>
      </c>
    </row>
    <row r="305" customFormat="false" ht="15" hidden="false" customHeight="false" outlineLevel="0" collapsed="false">
      <c r="A305" s="55"/>
      <c r="B305" s="56"/>
      <c r="C305" s="57"/>
      <c r="D305" s="56"/>
      <c r="E305" s="56"/>
      <c r="F305" s="61" t="str">
        <f aca="false">IF($B305="","",IFERROR(INDEX(Items!$P$5:$P$504,MATCH($B305,Items!$A$5:$A$504,0)),0))</f>
        <v/>
      </c>
      <c r="G305" s="61" t="str">
        <f aca="false">IF($B305="","",ROUND(N($C305)*F305,2))</f>
        <v/>
      </c>
    </row>
    <row r="306" customFormat="false" ht="15" hidden="false" customHeight="false" outlineLevel="0" collapsed="false">
      <c r="A306" s="55"/>
      <c r="B306" s="56"/>
      <c r="C306" s="57"/>
      <c r="D306" s="56"/>
      <c r="E306" s="56"/>
      <c r="F306" s="61" t="str">
        <f aca="false">IF($B306="","",IFERROR(INDEX(Items!$P$5:$P$504,MATCH($B306,Items!$A$5:$A$504,0)),0))</f>
        <v/>
      </c>
      <c r="G306" s="61" t="str">
        <f aca="false">IF($B306="","",ROUND(N($C306)*F306,2))</f>
        <v/>
      </c>
    </row>
    <row r="307" customFormat="false" ht="15" hidden="false" customHeight="false" outlineLevel="0" collapsed="false">
      <c r="A307" s="55"/>
      <c r="B307" s="56"/>
      <c r="C307" s="57"/>
      <c r="D307" s="56"/>
      <c r="E307" s="56"/>
      <c r="F307" s="61" t="str">
        <f aca="false">IF($B307="","",IFERROR(INDEX(Items!$P$5:$P$504,MATCH($B307,Items!$A$5:$A$504,0)),0))</f>
        <v/>
      </c>
      <c r="G307" s="61" t="str">
        <f aca="false">IF($B307="","",ROUND(N($C307)*F307,2))</f>
        <v/>
      </c>
    </row>
    <row r="308" customFormat="false" ht="15" hidden="false" customHeight="false" outlineLevel="0" collapsed="false">
      <c r="A308" s="55"/>
      <c r="B308" s="56"/>
      <c r="C308" s="57"/>
      <c r="D308" s="56"/>
      <c r="E308" s="56"/>
      <c r="F308" s="61" t="str">
        <f aca="false">IF($B308="","",IFERROR(INDEX(Items!$P$5:$P$504,MATCH($B308,Items!$A$5:$A$504,0)),0))</f>
        <v/>
      </c>
      <c r="G308" s="61" t="str">
        <f aca="false">IF($B308="","",ROUND(N($C308)*F308,2))</f>
        <v/>
      </c>
    </row>
    <row r="309" customFormat="false" ht="15" hidden="false" customHeight="false" outlineLevel="0" collapsed="false">
      <c r="A309" s="55"/>
      <c r="B309" s="56"/>
      <c r="C309" s="57"/>
      <c r="D309" s="56"/>
      <c r="E309" s="56"/>
      <c r="F309" s="61" t="str">
        <f aca="false">IF($B309="","",IFERROR(INDEX(Items!$P$5:$P$504,MATCH($B309,Items!$A$5:$A$504,0)),0))</f>
        <v/>
      </c>
      <c r="G309" s="61" t="str">
        <f aca="false">IF($B309="","",ROUND(N($C309)*F309,2))</f>
        <v/>
      </c>
    </row>
    <row r="310" customFormat="false" ht="15" hidden="false" customHeight="false" outlineLevel="0" collapsed="false">
      <c r="A310" s="55"/>
      <c r="B310" s="56"/>
      <c r="C310" s="57"/>
      <c r="D310" s="56"/>
      <c r="E310" s="56"/>
      <c r="F310" s="61" t="str">
        <f aca="false">IF($B310="","",IFERROR(INDEX(Items!$P$5:$P$504,MATCH($B310,Items!$A$5:$A$504,0)),0))</f>
        <v/>
      </c>
      <c r="G310" s="61" t="str">
        <f aca="false">IF($B310="","",ROUND(N($C310)*F310,2))</f>
        <v/>
      </c>
    </row>
    <row r="311" customFormat="false" ht="15" hidden="false" customHeight="false" outlineLevel="0" collapsed="false">
      <c r="A311" s="55"/>
      <c r="B311" s="56"/>
      <c r="C311" s="57"/>
      <c r="D311" s="56"/>
      <c r="E311" s="56"/>
      <c r="F311" s="61" t="str">
        <f aca="false">IF($B311="","",IFERROR(INDEX(Items!$P$5:$P$504,MATCH($B311,Items!$A$5:$A$504,0)),0))</f>
        <v/>
      </c>
      <c r="G311" s="61" t="str">
        <f aca="false">IF($B311="","",ROUND(N($C311)*F311,2))</f>
        <v/>
      </c>
    </row>
    <row r="312" customFormat="false" ht="15" hidden="false" customHeight="false" outlineLevel="0" collapsed="false">
      <c r="A312" s="55"/>
      <c r="B312" s="56"/>
      <c r="C312" s="57"/>
      <c r="D312" s="56"/>
      <c r="E312" s="56"/>
      <c r="F312" s="61" t="str">
        <f aca="false">IF($B312="","",IFERROR(INDEX(Items!$P$5:$P$504,MATCH($B312,Items!$A$5:$A$504,0)),0))</f>
        <v/>
      </c>
      <c r="G312" s="61" t="str">
        <f aca="false">IF($B312="","",ROUND(N($C312)*F312,2))</f>
        <v/>
      </c>
    </row>
    <row r="313" customFormat="false" ht="15" hidden="false" customHeight="false" outlineLevel="0" collapsed="false">
      <c r="A313" s="55"/>
      <c r="B313" s="56"/>
      <c r="C313" s="57"/>
      <c r="D313" s="56"/>
      <c r="E313" s="56"/>
      <c r="F313" s="61" t="str">
        <f aca="false">IF($B313="","",IFERROR(INDEX(Items!$P$5:$P$504,MATCH($B313,Items!$A$5:$A$504,0)),0))</f>
        <v/>
      </c>
      <c r="G313" s="61" t="str">
        <f aca="false">IF($B313="","",ROUND(N($C313)*F313,2))</f>
        <v/>
      </c>
    </row>
    <row r="314" customFormat="false" ht="15" hidden="false" customHeight="false" outlineLevel="0" collapsed="false">
      <c r="A314" s="55"/>
      <c r="B314" s="56"/>
      <c r="C314" s="57"/>
      <c r="D314" s="56"/>
      <c r="E314" s="56"/>
      <c r="F314" s="61" t="str">
        <f aca="false">IF($B314="","",IFERROR(INDEX(Items!$P$5:$P$504,MATCH($B314,Items!$A$5:$A$504,0)),0))</f>
        <v/>
      </c>
      <c r="G314" s="61" t="str">
        <f aca="false">IF($B314="","",ROUND(N($C314)*F314,2))</f>
        <v/>
      </c>
    </row>
    <row r="315" customFormat="false" ht="15" hidden="false" customHeight="false" outlineLevel="0" collapsed="false">
      <c r="A315" s="55"/>
      <c r="B315" s="56"/>
      <c r="C315" s="57"/>
      <c r="D315" s="56"/>
      <c r="E315" s="56"/>
      <c r="F315" s="61" t="str">
        <f aca="false">IF($B315="","",IFERROR(INDEX(Items!$P$5:$P$504,MATCH($B315,Items!$A$5:$A$504,0)),0))</f>
        <v/>
      </c>
      <c r="G315" s="61" t="str">
        <f aca="false">IF($B315="","",ROUND(N($C315)*F315,2))</f>
        <v/>
      </c>
    </row>
    <row r="316" customFormat="false" ht="15" hidden="false" customHeight="false" outlineLevel="0" collapsed="false">
      <c r="A316" s="55"/>
      <c r="B316" s="56"/>
      <c r="C316" s="57"/>
      <c r="D316" s="56"/>
      <c r="E316" s="56"/>
      <c r="F316" s="61" t="str">
        <f aca="false">IF($B316="","",IFERROR(INDEX(Items!$P$5:$P$504,MATCH($B316,Items!$A$5:$A$504,0)),0))</f>
        <v/>
      </c>
      <c r="G316" s="61" t="str">
        <f aca="false">IF($B316="","",ROUND(N($C316)*F316,2))</f>
        <v/>
      </c>
    </row>
    <row r="317" customFormat="false" ht="15" hidden="false" customHeight="false" outlineLevel="0" collapsed="false">
      <c r="A317" s="55"/>
      <c r="B317" s="56"/>
      <c r="C317" s="57"/>
      <c r="D317" s="56"/>
      <c r="E317" s="56"/>
      <c r="F317" s="61" t="str">
        <f aca="false">IF($B317="","",IFERROR(INDEX(Items!$P$5:$P$504,MATCH($B317,Items!$A$5:$A$504,0)),0))</f>
        <v/>
      </c>
      <c r="G317" s="61" t="str">
        <f aca="false">IF($B317="","",ROUND(N($C317)*F317,2))</f>
        <v/>
      </c>
    </row>
    <row r="318" customFormat="false" ht="15" hidden="false" customHeight="false" outlineLevel="0" collapsed="false">
      <c r="A318" s="55"/>
      <c r="B318" s="56"/>
      <c r="C318" s="57"/>
      <c r="D318" s="56"/>
      <c r="E318" s="56"/>
      <c r="F318" s="61" t="str">
        <f aca="false">IF($B318="","",IFERROR(INDEX(Items!$P$5:$P$504,MATCH($B318,Items!$A$5:$A$504,0)),0))</f>
        <v/>
      </c>
      <c r="G318" s="61" t="str">
        <f aca="false">IF($B318="","",ROUND(N($C318)*F318,2))</f>
        <v/>
      </c>
    </row>
    <row r="319" customFormat="false" ht="15" hidden="false" customHeight="false" outlineLevel="0" collapsed="false">
      <c r="A319" s="55"/>
      <c r="B319" s="56"/>
      <c r="C319" s="57"/>
      <c r="D319" s="56"/>
      <c r="E319" s="56"/>
      <c r="F319" s="61" t="str">
        <f aca="false">IF($B319="","",IFERROR(INDEX(Items!$P$5:$P$504,MATCH($B319,Items!$A$5:$A$504,0)),0))</f>
        <v/>
      </c>
      <c r="G319" s="61" t="str">
        <f aca="false">IF($B319="","",ROUND(N($C319)*F319,2))</f>
        <v/>
      </c>
    </row>
    <row r="320" customFormat="false" ht="15" hidden="false" customHeight="false" outlineLevel="0" collapsed="false">
      <c r="A320" s="55"/>
      <c r="B320" s="56"/>
      <c r="C320" s="57"/>
      <c r="D320" s="56"/>
      <c r="E320" s="56"/>
      <c r="F320" s="61" t="str">
        <f aca="false">IF($B320="","",IFERROR(INDEX(Items!$P$5:$P$504,MATCH($B320,Items!$A$5:$A$504,0)),0))</f>
        <v/>
      </c>
      <c r="G320" s="61" t="str">
        <f aca="false">IF($B320="","",ROUND(N($C320)*F320,2))</f>
        <v/>
      </c>
    </row>
    <row r="321" customFormat="false" ht="15" hidden="false" customHeight="false" outlineLevel="0" collapsed="false">
      <c r="A321" s="55"/>
      <c r="B321" s="56"/>
      <c r="C321" s="57"/>
      <c r="D321" s="56"/>
      <c r="E321" s="56"/>
      <c r="F321" s="61" t="str">
        <f aca="false">IF($B321="","",IFERROR(INDEX(Items!$P$5:$P$504,MATCH($B321,Items!$A$5:$A$504,0)),0))</f>
        <v/>
      </c>
      <c r="G321" s="61" t="str">
        <f aca="false">IF($B321="","",ROUND(N($C321)*F321,2))</f>
        <v/>
      </c>
    </row>
    <row r="322" customFormat="false" ht="15" hidden="false" customHeight="false" outlineLevel="0" collapsed="false">
      <c r="A322" s="55"/>
      <c r="B322" s="56"/>
      <c r="C322" s="57"/>
      <c r="D322" s="56"/>
      <c r="E322" s="56"/>
      <c r="F322" s="61" t="str">
        <f aca="false">IF($B322="","",IFERROR(INDEX(Items!$P$5:$P$504,MATCH($B322,Items!$A$5:$A$504,0)),0))</f>
        <v/>
      </c>
      <c r="G322" s="61" t="str">
        <f aca="false">IF($B322="","",ROUND(N($C322)*F322,2))</f>
        <v/>
      </c>
    </row>
    <row r="323" customFormat="false" ht="15" hidden="false" customHeight="false" outlineLevel="0" collapsed="false">
      <c r="A323" s="55"/>
      <c r="B323" s="56"/>
      <c r="C323" s="57"/>
      <c r="D323" s="56"/>
      <c r="E323" s="56"/>
      <c r="F323" s="61" t="str">
        <f aca="false">IF($B323="","",IFERROR(INDEX(Items!$P$5:$P$504,MATCH($B323,Items!$A$5:$A$504,0)),0))</f>
        <v/>
      </c>
      <c r="G323" s="61" t="str">
        <f aca="false">IF($B323="","",ROUND(N($C323)*F323,2))</f>
        <v/>
      </c>
    </row>
    <row r="324" customFormat="false" ht="15" hidden="false" customHeight="false" outlineLevel="0" collapsed="false">
      <c r="A324" s="55"/>
      <c r="B324" s="56"/>
      <c r="C324" s="57"/>
      <c r="D324" s="56"/>
      <c r="E324" s="56"/>
      <c r="F324" s="61" t="str">
        <f aca="false">IF($B324="","",IFERROR(INDEX(Items!$P$5:$P$504,MATCH($B324,Items!$A$5:$A$504,0)),0))</f>
        <v/>
      </c>
      <c r="G324" s="61" t="str">
        <f aca="false">IF($B324="","",ROUND(N($C324)*F324,2))</f>
        <v/>
      </c>
    </row>
    <row r="325" customFormat="false" ht="15" hidden="false" customHeight="false" outlineLevel="0" collapsed="false">
      <c r="A325" s="55"/>
      <c r="B325" s="56"/>
      <c r="C325" s="57"/>
      <c r="D325" s="56"/>
      <c r="E325" s="56"/>
      <c r="F325" s="61" t="str">
        <f aca="false">IF($B325="","",IFERROR(INDEX(Items!$P$5:$P$504,MATCH($B325,Items!$A$5:$A$504,0)),0))</f>
        <v/>
      </c>
      <c r="G325" s="61" t="str">
        <f aca="false">IF($B325="","",ROUND(N($C325)*F325,2))</f>
        <v/>
      </c>
    </row>
    <row r="326" customFormat="false" ht="15" hidden="false" customHeight="false" outlineLevel="0" collapsed="false">
      <c r="A326" s="55"/>
      <c r="B326" s="56"/>
      <c r="C326" s="57"/>
      <c r="D326" s="56"/>
      <c r="E326" s="56"/>
      <c r="F326" s="61" t="str">
        <f aca="false">IF($B326="","",IFERROR(INDEX(Items!$P$5:$P$504,MATCH($B326,Items!$A$5:$A$504,0)),0))</f>
        <v/>
      </c>
      <c r="G326" s="61" t="str">
        <f aca="false">IF($B326="","",ROUND(N($C326)*F326,2))</f>
        <v/>
      </c>
    </row>
    <row r="327" customFormat="false" ht="15" hidden="false" customHeight="false" outlineLevel="0" collapsed="false">
      <c r="A327" s="55"/>
      <c r="B327" s="56"/>
      <c r="C327" s="57"/>
      <c r="D327" s="56"/>
      <c r="E327" s="56"/>
      <c r="F327" s="61" t="str">
        <f aca="false">IF($B327="","",IFERROR(INDEX(Items!$P$5:$P$504,MATCH($B327,Items!$A$5:$A$504,0)),0))</f>
        <v/>
      </c>
      <c r="G327" s="61" t="str">
        <f aca="false">IF($B327="","",ROUND(N($C327)*F327,2))</f>
        <v/>
      </c>
    </row>
    <row r="328" customFormat="false" ht="15" hidden="false" customHeight="false" outlineLevel="0" collapsed="false">
      <c r="A328" s="55"/>
      <c r="B328" s="56"/>
      <c r="C328" s="57"/>
      <c r="D328" s="56"/>
      <c r="E328" s="56"/>
      <c r="F328" s="61" t="str">
        <f aca="false">IF($B328="","",IFERROR(INDEX(Items!$P$5:$P$504,MATCH($B328,Items!$A$5:$A$504,0)),0))</f>
        <v/>
      </c>
      <c r="G328" s="61" t="str">
        <f aca="false">IF($B328="","",ROUND(N($C328)*F328,2))</f>
        <v/>
      </c>
    </row>
    <row r="329" customFormat="false" ht="15" hidden="false" customHeight="false" outlineLevel="0" collapsed="false">
      <c r="A329" s="55"/>
      <c r="B329" s="56"/>
      <c r="C329" s="57"/>
      <c r="D329" s="56"/>
      <c r="E329" s="56"/>
      <c r="F329" s="61" t="str">
        <f aca="false">IF($B329="","",IFERROR(INDEX(Items!$P$5:$P$504,MATCH($B329,Items!$A$5:$A$504,0)),0))</f>
        <v/>
      </c>
      <c r="G329" s="61" t="str">
        <f aca="false">IF($B329="","",ROUND(N($C329)*F329,2))</f>
        <v/>
      </c>
    </row>
    <row r="330" customFormat="false" ht="15" hidden="false" customHeight="false" outlineLevel="0" collapsed="false">
      <c r="A330" s="55"/>
      <c r="B330" s="56"/>
      <c r="C330" s="57"/>
      <c r="D330" s="56"/>
      <c r="E330" s="56"/>
      <c r="F330" s="61" t="str">
        <f aca="false">IF($B330="","",IFERROR(INDEX(Items!$P$5:$P$504,MATCH($B330,Items!$A$5:$A$504,0)),0))</f>
        <v/>
      </c>
      <c r="G330" s="61" t="str">
        <f aca="false">IF($B330="","",ROUND(N($C330)*F330,2))</f>
        <v/>
      </c>
    </row>
    <row r="331" customFormat="false" ht="15" hidden="false" customHeight="false" outlineLevel="0" collapsed="false">
      <c r="A331" s="55"/>
      <c r="B331" s="56"/>
      <c r="C331" s="57"/>
      <c r="D331" s="56"/>
      <c r="E331" s="56"/>
      <c r="F331" s="61" t="str">
        <f aca="false">IF($B331="","",IFERROR(INDEX(Items!$P$5:$P$504,MATCH($B331,Items!$A$5:$A$504,0)),0))</f>
        <v/>
      </c>
      <c r="G331" s="61" t="str">
        <f aca="false">IF($B331="","",ROUND(N($C331)*F331,2))</f>
        <v/>
      </c>
    </row>
    <row r="332" customFormat="false" ht="15" hidden="false" customHeight="false" outlineLevel="0" collapsed="false">
      <c r="A332" s="55"/>
      <c r="B332" s="56"/>
      <c r="C332" s="57"/>
      <c r="D332" s="56"/>
      <c r="E332" s="56"/>
      <c r="F332" s="61" t="str">
        <f aca="false">IF($B332="","",IFERROR(INDEX(Items!$P$5:$P$504,MATCH($B332,Items!$A$5:$A$504,0)),0))</f>
        <v/>
      </c>
      <c r="G332" s="61" t="str">
        <f aca="false">IF($B332="","",ROUND(N($C332)*F332,2))</f>
        <v/>
      </c>
    </row>
    <row r="333" customFormat="false" ht="15" hidden="false" customHeight="false" outlineLevel="0" collapsed="false">
      <c r="A333" s="55"/>
      <c r="B333" s="56"/>
      <c r="C333" s="57"/>
      <c r="D333" s="56"/>
      <c r="E333" s="56"/>
      <c r="F333" s="61" t="str">
        <f aca="false">IF($B333="","",IFERROR(INDEX(Items!$P$5:$P$504,MATCH($B333,Items!$A$5:$A$504,0)),0))</f>
        <v/>
      </c>
      <c r="G333" s="61" t="str">
        <f aca="false">IF($B333="","",ROUND(N($C333)*F333,2))</f>
        <v/>
      </c>
    </row>
    <row r="334" customFormat="false" ht="15" hidden="false" customHeight="false" outlineLevel="0" collapsed="false">
      <c r="A334" s="55"/>
      <c r="B334" s="56"/>
      <c r="C334" s="57"/>
      <c r="D334" s="56"/>
      <c r="E334" s="56"/>
      <c r="F334" s="61" t="str">
        <f aca="false">IF($B334="","",IFERROR(INDEX(Items!$P$5:$P$504,MATCH($B334,Items!$A$5:$A$504,0)),0))</f>
        <v/>
      </c>
      <c r="G334" s="61" t="str">
        <f aca="false">IF($B334="","",ROUND(N($C334)*F334,2))</f>
        <v/>
      </c>
    </row>
    <row r="335" customFormat="false" ht="15" hidden="false" customHeight="false" outlineLevel="0" collapsed="false">
      <c r="A335" s="55"/>
      <c r="B335" s="56"/>
      <c r="C335" s="57"/>
      <c r="D335" s="56"/>
      <c r="E335" s="56"/>
      <c r="F335" s="61" t="str">
        <f aca="false">IF($B335="","",IFERROR(INDEX(Items!$P$5:$P$504,MATCH($B335,Items!$A$5:$A$504,0)),0))</f>
        <v/>
      </c>
      <c r="G335" s="61" t="str">
        <f aca="false">IF($B335="","",ROUND(N($C335)*F335,2))</f>
        <v/>
      </c>
    </row>
    <row r="336" customFormat="false" ht="15" hidden="false" customHeight="false" outlineLevel="0" collapsed="false">
      <c r="A336" s="55"/>
      <c r="B336" s="56"/>
      <c r="C336" s="57"/>
      <c r="D336" s="56"/>
      <c r="E336" s="56"/>
      <c r="F336" s="61" t="str">
        <f aca="false">IF($B336="","",IFERROR(INDEX(Items!$P$5:$P$504,MATCH($B336,Items!$A$5:$A$504,0)),0))</f>
        <v/>
      </c>
      <c r="G336" s="61" t="str">
        <f aca="false">IF($B336="","",ROUND(N($C336)*F336,2))</f>
        <v/>
      </c>
    </row>
    <row r="337" customFormat="false" ht="15" hidden="false" customHeight="false" outlineLevel="0" collapsed="false">
      <c r="A337" s="55"/>
      <c r="B337" s="56"/>
      <c r="C337" s="57"/>
      <c r="D337" s="56"/>
      <c r="E337" s="56"/>
      <c r="F337" s="61" t="str">
        <f aca="false">IF($B337="","",IFERROR(INDEX(Items!$P$5:$P$504,MATCH($B337,Items!$A$5:$A$504,0)),0))</f>
        <v/>
      </c>
      <c r="G337" s="61" t="str">
        <f aca="false">IF($B337="","",ROUND(N($C337)*F337,2))</f>
        <v/>
      </c>
    </row>
    <row r="338" customFormat="false" ht="15" hidden="false" customHeight="false" outlineLevel="0" collapsed="false">
      <c r="A338" s="55"/>
      <c r="B338" s="56"/>
      <c r="C338" s="57"/>
      <c r="D338" s="56"/>
      <c r="E338" s="56"/>
      <c r="F338" s="61" t="str">
        <f aca="false">IF($B338="","",IFERROR(INDEX(Items!$P$5:$P$504,MATCH($B338,Items!$A$5:$A$504,0)),0))</f>
        <v/>
      </c>
      <c r="G338" s="61" t="str">
        <f aca="false">IF($B338="","",ROUND(N($C338)*F338,2))</f>
        <v/>
      </c>
    </row>
    <row r="339" customFormat="false" ht="15" hidden="false" customHeight="false" outlineLevel="0" collapsed="false">
      <c r="A339" s="55"/>
      <c r="B339" s="56"/>
      <c r="C339" s="57"/>
      <c r="D339" s="56"/>
      <c r="E339" s="56"/>
      <c r="F339" s="61" t="str">
        <f aca="false">IF($B339="","",IFERROR(INDEX(Items!$P$5:$P$504,MATCH($B339,Items!$A$5:$A$504,0)),0))</f>
        <v/>
      </c>
      <c r="G339" s="61" t="str">
        <f aca="false">IF($B339="","",ROUND(N($C339)*F339,2))</f>
        <v/>
      </c>
    </row>
    <row r="340" customFormat="false" ht="15" hidden="false" customHeight="false" outlineLevel="0" collapsed="false">
      <c r="A340" s="55"/>
      <c r="B340" s="56"/>
      <c r="C340" s="57"/>
      <c r="D340" s="56"/>
      <c r="E340" s="56"/>
      <c r="F340" s="61" t="str">
        <f aca="false">IF($B340="","",IFERROR(INDEX(Items!$P$5:$P$504,MATCH($B340,Items!$A$5:$A$504,0)),0))</f>
        <v/>
      </c>
      <c r="G340" s="61" t="str">
        <f aca="false">IF($B340="","",ROUND(N($C340)*F340,2))</f>
        <v/>
      </c>
    </row>
    <row r="341" customFormat="false" ht="15" hidden="false" customHeight="false" outlineLevel="0" collapsed="false">
      <c r="A341" s="55"/>
      <c r="B341" s="56"/>
      <c r="C341" s="57"/>
      <c r="D341" s="56"/>
      <c r="E341" s="56"/>
      <c r="F341" s="61" t="str">
        <f aca="false">IF($B341="","",IFERROR(INDEX(Items!$P$5:$P$504,MATCH($B341,Items!$A$5:$A$504,0)),0))</f>
        <v/>
      </c>
      <c r="G341" s="61" t="str">
        <f aca="false">IF($B341="","",ROUND(N($C341)*F341,2))</f>
        <v/>
      </c>
    </row>
    <row r="342" customFormat="false" ht="15" hidden="false" customHeight="false" outlineLevel="0" collapsed="false">
      <c r="A342" s="55"/>
      <c r="B342" s="56"/>
      <c r="C342" s="57"/>
      <c r="D342" s="56"/>
      <c r="E342" s="56"/>
      <c r="F342" s="61" t="str">
        <f aca="false">IF($B342="","",IFERROR(INDEX(Items!$P$5:$P$504,MATCH($B342,Items!$A$5:$A$504,0)),0))</f>
        <v/>
      </c>
      <c r="G342" s="61" t="str">
        <f aca="false">IF($B342="","",ROUND(N($C342)*F342,2))</f>
        <v/>
      </c>
    </row>
    <row r="343" customFormat="false" ht="15" hidden="false" customHeight="false" outlineLevel="0" collapsed="false">
      <c r="A343" s="55"/>
      <c r="B343" s="56"/>
      <c r="C343" s="57"/>
      <c r="D343" s="56"/>
      <c r="E343" s="56"/>
      <c r="F343" s="61" t="str">
        <f aca="false">IF($B343="","",IFERROR(INDEX(Items!$P$5:$P$504,MATCH($B343,Items!$A$5:$A$504,0)),0))</f>
        <v/>
      </c>
      <c r="G343" s="61" t="str">
        <f aca="false">IF($B343="","",ROUND(N($C343)*F343,2))</f>
        <v/>
      </c>
    </row>
    <row r="344" customFormat="false" ht="15" hidden="false" customHeight="false" outlineLevel="0" collapsed="false">
      <c r="A344" s="55"/>
      <c r="B344" s="56"/>
      <c r="C344" s="57"/>
      <c r="D344" s="56"/>
      <c r="E344" s="56"/>
      <c r="F344" s="61" t="str">
        <f aca="false">IF($B344="","",IFERROR(INDEX(Items!$P$5:$P$504,MATCH($B344,Items!$A$5:$A$504,0)),0))</f>
        <v/>
      </c>
      <c r="G344" s="61" t="str">
        <f aca="false">IF($B344="","",ROUND(N($C344)*F344,2))</f>
        <v/>
      </c>
    </row>
    <row r="345" customFormat="false" ht="15" hidden="false" customHeight="false" outlineLevel="0" collapsed="false">
      <c r="A345" s="55"/>
      <c r="B345" s="56"/>
      <c r="C345" s="57"/>
      <c r="D345" s="56"/>
      <c r="E345" s="56"/>
      <c r="F345" s="61" t="str">
        <f aca="false">IF($B345="","",IFERROR(INDEX(Items!$P$5:$P$504,MATCH($B345,Items!$A$5:$A$504,0)),0))</f>
        <v/>
      </c>
      <c r="G345" s="61" t="str">
        <f aca="false">IF($B345="","",ROUND(N($C345)*F345,2))</f>
        <v/>
      </c>
    </row>
    <row r="346" customFormat="false" ht="15" hidden="false" customHeight="false" outlineLevel="0" collapsed="false">
      <c r="A346" s="55"/>
      <c r="B346" s="56"/>
      <c r="C346" s="57"/>
      <c r="D346" s="56"/>
      <c r="E346" s="56"/>
      <c r="F346" s="61" t="str">
        <f aca="false">IF($B346="","",IFERROR(INDEX(Items!$P$5:$P$504,MATCH($B346,Items!$A$5:$A$504,0)),0))</f>
        <v/>
      </c>
      <c r="G346" s="61" t="str">
        <f aca="false">IF($B346="","",ROUND(N($C346)*F346,2))</f>
        <v/>
      </c>
    </row>
    <row r="347" customFormat="false" ht="15" hidden="false" customHeight="false" outlineLevel="0" collapsed="false">
      <c r="A347" s="55"/>
      <c r="B347" s="56"/>
      <c r="C347" s="57"/>
      <c r="D347" s="56"/>
      <c r="E347" s="56"/>
      <c r="F347" s="61" t="str">
        <f aca="false">IF($B347="","",IFERROR(INDEX(Items!$P$5:$P$504,MATCH($B347,Items!$A$5:$A$504,0)),0))</f>
        <v/>
      </c>
      <c r="G347" s="61" t="str">
        <f aca="false">IF($B347="","",ROUND(N($C347)*F347,2))</f>
        <v/>
      </c>
    </row>
    <row r="348" customFormat="false" ht="15" hidden="false" customHeight="false" outlineLevel="0" collapsed="false">
      <c r="A348" s="55"/>
      <c r="B348" s="56"/>
      <c r="C348" s="57"/>
      <c r="D348" s="56"/>
      <c r="E348" s="56"/>
      <c r="F348" s="61" t="str">
        <f aca="false">IF($B348="","",IFERROR(INDEX(Items!$P$5:$P$504,MATCH($B348,Items!$A$5:$A$504,0)),0))</f>
        <v/>
      </c>
      <c r="G348" s="61" t="str">
        <f aca="false">IF($B348="","",ROUND(N($C348)*F348,2))</f>
        <v/>
      </c>
    </row>
    <row r="349" customFormat="false" ht="15" hidden="false" customHeight="false" outlineLevel="0" collapsed="false">
      <c r="A349" s="55"/>
      <c r="B349" s="56"/>
      <c r="C349" s="57"/>
      <c r="D349" s="56"/>
      <c r="E349" s="56"/>
      <c r="F349" s="61" t="str">
        <f aca="false">IF($B349="","",IFERROR(INDEX(Items!$P$5:$P$504,MATCH($B349,Items!$A$5:$A$504,0)),0))</f>
        <v/>
      </c>
      <c r="G349" s="61" t="str">
        <f aca="false">IF($B349="","",ROUND(N($C349)*F349,2))</f>
        <v/>
      </c>
    </row>
    <row r="350" customFormat="false" ht="15" hidden="false" customHeight="false" outlineLevel="0" collapsed="false">
      <c r="A350" s="55"/>
      <c r="B350" s="56"/>
      <c r="C350" s="57"/>
      <c r="D350" s="56"/>
      <c r="E350" s="56"/>
      <c r="F350" s="61" t="str">
        <f aca="false">IF($B350="","",IFERROR(INDEX(Items!$P$5:$P$504,MATCH($B350,Items!$A$5:$A$504,0)),0))</f>
        <v/>
      </c>
      <c r="G350" s="61" t="str">
        <f aca="false">IF($B350="","",ROUND(N($C350)*F350,2))</f>
        <v/>
      </c>
    </row>
    <row r="351" customFormat="false" ht="15" hidden="false" customHeight="false" outlineLevel="0" collapsed="false">
      <c r="A351" s="55"/>
      <c r="B351" s="56"/>
      <c r="C351" s="57"/>
      <c r="D351" s="56"/>
      <c r="E351" s="56"/>
      <c r="F351" s="61" t="str">
        <f aca="false">IF($B351="","",IFERROR(INDEX(Items!$P$5:$P$504,MATCH($B351,Items!$A$5:$A$504,0)),0))</f>
        <v/>
      </c>
      <c r="G351" s="61" t="str">
        <f aca="false">IF($B351="","",ROUND(N($C351)*F351,2))</f>
        <v/>
      </c>
    </row>
    <row r="352" customFormat="false" ht="15" hidden="false" customHeight="false" outlineLevel="0" collapsed="false">
      <c r="A352" s="55"/>
      <c r="B352" s="56"/>
      <c r="C352" s="57"/>
      <c r="D352" s="56"/>
      <c r="E352" s="56"/>
      <c r="F352" s="61" t="str">
        <f aca="false">IF($B352="","",IFERROR(INDEX(Items!$P$5:$P$504,MATCH($B352,Items!$A$5:$A$504,0)),0))</f>
        <v/>
      </c>
      <c r="G352" s="61" t="str">
        <f aca="false">IF($B352="","",ROUND(N($C352)*F352,2))</f>
        <v/>
      </c>
    </row>
    <row r="353" customFormat="false" ht="15" hidden="false" customHeight="false" outlineLevel="0" collapsed="false">
      <c r="A353" s="55"/>
      <c r="B353" s="56"/>
      <c r="C353" s="57"/>
      <c r="D353" s="56"/>
      <c r="E353" s="56"/>
      <c r="F353" s="61" t="str">
        <f aca="false">IF($B353="","",IFERROR(INDEX(Items!$P$5:$P$504,MATCH($B353,Items!$A$5:$A$504,0)),0))</f>
        <v/>
      </c>
      <c r="G353" s="61" t="str">
        <f aca="false">IF($B353="","",ROUND(N($C353)*F353,2))</f>
        <v/>
      </c>
    </row>
    <row r="354" customFormat="false" ht="15" hidden="false" customHeight="false" outlineLevel="0" collapsed="false">
      <c r="A354" s="55"/>
      <c r="B354" s="56"/>
      <c r="C354" s="57"/>
      <c r="D354" s="56"/>
      <c r="E354" s="56"/>
      <c r="F354" s="61" t="str">
        <f aca="false">IF($B354="","",IFERROR(INDEX(Items!$P$5:$P$504,MATCH($B354,Items!$A$5:$A$504,0)),0))</f>
        <v/>
      </c>
      <c r="G354" s="61" t="str">
        <f aca="false">IF($B354="","",ROUND(N($C354)*F354,2))</f>
        <v/>
      </c>
    </row>
    <row r="355" customFormat="false" ht="15" hidden="false" customHeight="false" outlineLevel="0" collapsed="false">
      <c r="A355" s="55"/>
      <c r="B355" s="56"/>
      <c r="C355" s="57"/>
      <c r="D355" s="56"/>
      <c r="E355" s="56"/>
      <c r="F355" s="61" t="str">
        <f aca="false">IF($B355="","",IFERROR(INDEX(Items!$P$5:$P$504,MATCH($B355,Items!$A$5:$A$504,0)),0))</f>
        <v/>
      </c>
      <c r="G355" s="61" t="str">
        <f aca="false">IF($B355="","",ROUND(N($C355)*F355,2))</f>
        <v/>
      </c>
    </row>
    <row r="356" customFormat="false" ht="15" hidden="false" customHeight="false" outlineLevel="0" collapsed="false">
      <c r="A356" s="55"/>
      <c r="B356" s="56"/>
      <c r="C356" s="57"/>
      <c r="D356" s="56"/>
      <c r="E356" s="56"/>
      <c r="F356" s="61" t="str">
        <f aca="false">IF($B356="","",IFERROR(INDEX(Items!$P$5:$P$504,MATCH($B356,Items!$A$5:$A$504,0)),0))</f>
        <v/>
      </c>
      <c r="G356" s="61" t="str">
        <f aca="false">IF($B356="","",ROUND(N($C356)*F356,2))</f>
        <v/>
      </c>
    </row>
    <row r="357" customFormat="false" ht="15" hidden="false" customHeight="false" outlineLevel="0" collapsed="false">
      <c r="A357" s="55"/>
      <c r="B357" s="56"/>
      <c r="C357" s="57"/>
      <c r="D357" s="56"/>
      <c r="E357" s="56"/>
      <c r="F357" s="61" t="str">
        <f aca="false">IF($B357="","",IFERROR(INDEX(Items!$P$5:$P$504,MATCH($B357,Items!$A$5:$A$504,0)),0))</f>
        <v/>
      </c>
      <c r="G357" s="61" t="str">
        <f aca="false">IF($B357="","",ROUND(N($C357)*F357,2))</f>
        <v/>
      </c>
    </row>
    <row r="358" customFormat="false" ht="15" hidden="false" customHeight="false" outlineLevel="0" collapsed="false">
      <c r="A358" s="55"/>
      <c r="B358" s="56"/>
      <c r="C358" s="57"/>
      <c r="D358" s="56"/>
      <c r="E358" s="56"/>
      <c r="F358" s="61" t="str">
        <f aca="false">IF($B358="","",IFERROR(INDEX(Items!$P$5:$P$504,MATCH($B358,Items!$A$5:$A$504,0)),0))</f>
        <v/>
      </c>
      <c r="G358" s="61" t="str">
        <f aca="false">IF($B358="","",ROUND(N($C358)*F358,2))</f>
        <v/>
      </c>
    </row>
    <row r="359" customFormat="false" ht="15" hidden="false" customHeight="false" outlineLevel="0" collapsed="false">
      <c r="A359" s="55"/>
      <c r="B359" s="56"/>
      <c r="C359" s="57"/>
      <c r="D359" s="56"/>
      <c r="E359" s="56"/>
      <c r="F359" s="61" t="str">
        <f aca="false">IF($B359="","",IFERROR(INDEX(Items!$P$5:$P$504,MATCH($B359,Items!$A$5:$A$504,0)),0))</f>
        <v/>
      </c>
      <c r="G359" s="61" t="str">
        <f aca="false">IF($B359="","",ROUND(N($C359)*F359,2))</f>
        <v/>
      </c>
    </row>
    <row r="360" customFormat="false" ht="15" hidden="false" customHeight="false" outlineLevel="0" collapsed="false">
      <c r="A360" s="55"/>
      <c r="B360" s="56"/>
      <c r="C360" s="57"/>
      <c r="D360" s="56"/>
      <c r="E360" s="56"/>
      <c r="F360" s="61" t="str">
        <f aca="false">IF($B360="","",IFERROR(INDEX(Items!$P$5:$P$504,MATCH($B360,Items!$A$5:$A$504,0)),0))</f>
        <v/>
      </c>
      <c r="G360" s="61" t="str">
        <f aca="false">IF($B360="","",ROUND(N($C360)*F360,2))</f>
        <v/>
      </c>
    </row>
    <row r="361" customFormat="false" ht="15" hidden="false" customHeight="false" outlineLevel="0" collapsed="false">
      <c r="A361" s="55"/>
      <c r="B361" s="56"/>
      <c r="C361" s="57"/>
      <c r="D361" s="56"/>
      <c r="E361" s="56"/>
      <c r="F361" s="61" t="str">
        <f aca="false">IF($B361="","",IFERROR(INDEX(Items!$P$5:$P$504,MATCH($B361,Items!$A$5:$A$504,0)),0))</f>
        <v/>
      </c>
      <c r="G361" s="61" t="str">
        <f aca="false">IF($B361="","",ROUND(N($C361)*F361,2))</f>
        <v/>
      </c>
    </row>
    <row r="362" customFormat="false" ht="15" hidden="false" customHeight="false" outlineLevel="0" collapsed="false">
      <c r="A362" s="55"/>
      <c r="B362" s="56"/>
      <c r="C362" s="57"/>
      <c r="D362" s="56"/>
      <c r="E362" s="56"/>
      <c r="F362" s="61" t="str">
        <f aca="false">IF($B362="","",IFERROR(INDEX(Items!$P$5:$P$504,MATCH($B362,Items!$A$5:$A$504,0)),0))</f>
        <v/>
      </c>
      <c r="G362" s="61" t="str">
        <f aca="false">IF($B362="","",ROUND(N($C362)*F362,2))</f>
        <v/>
      </c>
    </row>
    <row r="363" customFormat="false" ht="15" hidden="false" customHeight="false" outlineLevel="0" collapsed="false">
      <c r="A363" s="55"/>
      <c r="B363" s="56"/>
      <c r="C363" s="57"/>
      <c r="D363" s="56"/>
      <c r="E363" s="56"/>
      <c r="F363" s="61" t="str">
        <f aca="false">IF($B363="","",IFERROR(INDEX(Items!$P$5:$P$504,MATCH($B363,Items!$A$5:$A$504,0)),0))</f>
        <v/>
      </c>
      <c r="G363" s="61" t="str">
        <f aca="false">IF($B363="","",ROUND(N($C363)*F363,2))</f>
        <v/>
      </c>
    </row>
    <row r="364" customFormat="false" ht="15" hidden="false" customHeight="false" outlineLevel="0" collapsed="false">
      <c r="A364" s="55"/>
      <c r="B364" s="56"/>
      <c r="C364" s="57"/>
      <c r="D364" s="56"/>
      <c r="E364" s="56"/>
      <c r="F364" s="61" t="str">
        <f aca="false">IF($B364="","",IFERROR(INDEX(Items!$P$5:$P$504,MATCH($B364,Items!$A$5:$A$504,0)),0))</f>
        <v/>
      </c>
      <c r="G364" s="61" t="str">
        <f aca="false">IF($B364="","",ROUND(N($C364)*F364,2))</f>
        <v/>
      </c>
    </row>
    <row r="365" customFormat="false" ht="15" hidden="false" customHeight="false" outlineLevel="0" collapsed="false">
      <c r="A365" s="55"/>
      <c r="B365" s="56"/>
      <c r="C365" s="57"/>
      <c r="D365" s="56"/>
      <c r="E365" s="56"/>
      <c r="F365" s="61" t="str">
        <f aca="false">IF($B365="","",IFERROR(INDEX(Items!$P$5:$P$504,MATCH($B365,Items!$A$5:$A$504,0)),0))</f>
        <v/>
      </c>
      <c r="G365" s="61" t="str">
        <f aca="false">IF($B365="","",ROUND(N($C365)*F365,2))</f>
        <v/>
      </c>
    </row>
    <row r="366" customFormat="false" ht="15" hidden="false" customHeight="false" outlineLevel="0" collapsed="false">
      <c r="A366" s="55"/>
      <c r="B366" s="56"/>
      <c r="C366" s="57"/>
      <c r="D366" s="56"/>
      <c r="E366" s="56"/>
      <c r="F366" s="61" t="str">
        <f aca="false">IF($B366="","",IFERROR(INDEX(Items!$P$5:$P$504,MATCH($B366,Items!$A$5:$A$504,0)),0))</f>
        <v/>
      </c>
      <c r="G366" s="61" t="str">
        <f aca="false">IF($B366="","",ROUND(N($C366)*F366,2))</f>
        <v/>
      </c>
    </row>
    <row r="367" customFormat="false" ht="15" hidden="false" customHeight="false" outlineLevel="0" collapsed="false">
      <c r="A367" s="55"/>
      <c r="B367" s="56"/>
      <c r="C367" s="57"/>
      <c r="D367" s="56"/>
      <c r="E367" s="56"/>
      <c r="F367" s="61" t="str">
        <f aca="false">IF($B367="","",IFERROR(INDEX(Items!$P$5:$P$504,MATCH($B367,Items!$A$5:$A$504,0)),0))</f>
        <v/>
      </c>
      <c r="G367" s="61" t="str">
        <f aca="false">IF($B367="","",ROUND(N($C367)*F367,2))</f>
        <v/>
      </c>
    </row>
    <row r="368" customFormat="false" ht="15" hidden="false" customHeight="false" outlineLevel="0" collapsed="false">
      <c r="A368" s="55"/>
      <c r="B368" s="56"/>
      <c r="C368" s="57"/>
      <c r="D368" s="56"/>
      <c r="E368" s="56"/>
      <c r="F368" s="61" t="str">
        <f aca="false">IF($B368="","",IFERROR(INDEX(Items!$P$5:$P$504,MATCH($B368,Items!$A$5:$A$504,0)),0))</f>
        <v/>
      </c>
      <c r="G368" s="61" t="str">
        <f aca="false">IF($B368="","",ROUND(N($C368)*F368,2))</f>
        <v/>
      </c>
    </row>
    <row r="369" customFormat="false" ht="15" hidden="false" customHeight="false" outlineLevel="0" collapsed="false">
      <c r="A369" s="55"/>
      <c r="B369" s="56"/>
      <c r="C369" s="57"/>
      <c r="D369" s="56"/>
      <c r="E369" s="56"/>
      <c r="F369" s="61" t="str">
        <f aca="false">IF($B369="","",IFERROR(INDEX(Items!$P$5:$P$504,MATCH($B369,Items!$A$5:$A$504,0)),0))</f>
        <v/>
      </c>
      <c r="G369" s="61" t="str">
        <f aca="false">IF($B369="","",ROUND(N($C369)*F369,2))</f>
        <v/>
      </c>
    </row>
    <row r="370" customFormat="false" ht="15" hidden="false" customHeight="false" outlineLevel="0" collapsed="false">
      <c r="A370" s="55"/>
      <c r="B370" s="56"/>
      <c r="C370" s="57"/>
      <c r="D370" s="56"/>
      <c r="E370" s="56"/>
      <c r="F370" s="61" t="str">
        <f aca="false">IF($B370="","",IFERROR(INDEX(Items!$P$5:$P$504,MATCH($B370,Items!$A$5:$A$504,0)),0))</f>
        <v/>
      </c>
      <c r="G370" s="61" t="str">
        <f aca="false">IF($B370="","",ROUND(N($C370)*F370,2))</f>
        <v/>
      </c>
    </row>
    <row r="371" customFormat="false" ht="15" hidden="false" customHeight="false" outlineLevel="0" collapsed="false">
      <c r="A371" s="55"/>
      <c r="B371" s="56"/>
      <c r="C371" s="57"/>
      <c r="D371" s="56"/>
      <c r="E371" s="56"/>
      <c r="F371" s="61" t="str">
        <f aca="false">IF($B371="","",IFERROR(INDEX(Items!$P$5:$P$504,MATCH($B371,Items!$A$5:$A$504,0)),0))</f>
        <v/>
      </c>
      <c r="G371" s="61" t="str">
        <f aca="false">IF($B371="","",ROUND(N($C371)*F371,2))</f>
        <v/>
      </c>
    </row>
    <row r="372" customFormat="false" ht="15" hidden="false" customHeight="false" outlineLevel="0" collapsed="false">
      <c r="A372" s="55"/>
      <c r="B372" s="56"/>
      <c r="C372" s="57"/>
      <c r="D372" s="56"/>
      <c r="E372" s="56"/>
      <c r="F372" s="61" t="str">
        <f aca="false">IF($B372="","",IFERROR(INDEX(Items!$P$5:$P$504,MATCH($B372,Items!$A$5:$A$504,0)),0))</f>
        <v/>
      </c>
      <c r="G372" s="61" t="str">
        <f aca="false">IF($B372="","",ROUND(N($C372)*F372,2))</f>
        <v/>
      </c>
    </row>
    <row r="373" customFormat="false" ht="15" hidden="false" customHeight="false" outlineLevel="0" collapsed="false">
      <c r="A373" s="55"/>
      <c r="B373" s="56"/>
      <c r="C373" s="57"/>
      <c r="D373" s="56"/>
      <c r="E373" s="56"/>
      <c r="F373" s="61" t="str">
        <f aca="false">IF($B373="","",IFERROR(INDEX(Items!$P$5:$P$504,MATCH($B373,Items!$A$5:$A$504,0)),0))</f>
        <v/>
      </c>
      <c r="G373" s="61" t="str">
        <f aca="false">IF($B373="","",ROUND(N($C373)*F373,2))</f>
        <v/>
      </c>
    </row>
    <row r="374" customFormat="false" ht="15" hidden="false" customHeight="false" outlineLevel="0" collapsed="false">
      <c r="A374" s="55"/>
      <c r="B374" s="56"/>
      <c r="C374" s="57"/>
      <c r="D374" s="56"/>
      <c r="E374" s="56"/>
      <c r="F374" s="61" t="str">
        <f aca="false">IF($B374="","",IFERROR(INDEX(Items!$P$5:$P$504,MATCH($B374,Items!$A$5:$A$504,0)),0))</f>
        <v/>
      </c>
      <c r="G374" s="61" t="str">
        <f aca="false">IF($B374="","",ROUND(N($C374)*F374,2))</f>
        <v/>
      </c>
    </row>
    <row r="375" customFormat="false" ht="15" hidden="false" customHeight="false" outlineLevel="0" collapsed="false">
      <c r="A375" s="55"/>
      <c r="B375" s="56"/>
      <c r="C375" s="57"/>
      <c r="D375" s="56"/>
      <c r="E375" s="56"/>
      <c r="F375" s="61" t="str">
        <f aca="false">IF($B375="","",IFERROR(INDEX(Items!$P$5:$P$504,MATCH($B375,Items!$A$5:$A$504,0)),0))</f>
        <v/>
      </c>
      <c r="G375" s="61" t="str">
        <f aca="false">IF($B375="","",ROUND(N($C375)*F375,2))</f>
        <v/>
      </c>
    </row>
    <row r="376" customFormat="false" ht="15" hidden="false" customHeight="false" outlineLevel="0" collapsed="false">
      <c r="A376" s="55"/>
      <c r="B376" s="56"/>
      <c r="C376" s="57"/>
      <c r="D376" s="56"/>
      <c r="E376" s="56"/>
      <c r="F376" s="61" t="str">
        <f aca="false">IF($B376="","",IFERROR(INDEX(Items!$P$5:$P$504,MATCH($B376,Items!$A$5:$A$504,0)),0))</f>
        <v/>
      </c>
      <c r="G376" s="61" t="str">
        <f aca="false">IF($B376="","",ROUND(N($C376)*F376,2))</f>
        <v/>
      </c>
    </row>
    <row r="377" customFormat="false" ht="15" hidden="false" customHeight="false" outlineLevel="0" collapsed="false">
      <c r="A377" s="55"/>
      <c r="B377" s="56"/>
      <c r="C377" s="57"/>
      <c r="D377" s="56"/>
      <c r="E377" s="56"/>
      <c r="F377" s="61" t="str">
        <f aca="false">IF($B377="","",IFERROR(INDEX(Items!$P$5:$P$504,MATCH($B377,Items!$A$5:$A$504,0)),0))</f>
        <v/>
      </c>
      <c r="G377" s="61" t="str">
        <f aca="false">IF($B377="","",ROUND(N($C377)*F377,2))</f>
        <v/>
      </c>
    </row>
    <row r="378" customFormat="false" ht="15" hidden="false" customHeight="false" outlineLevel="0" collapsed="false">
      <c r="A378" s="55"/>
      <c r="B378" s="56"/>
      <c r="C378" s="57"/>
      <c r="D378" s="56"/>
      <c r="E378" s="56"/>
      <c r="F378" s="61" t="str">
        <f aca="false">IF($B378="","",IFERROR(INDEX(Items!$P$5:$P$504,MATCH($B378,Items!$A$5:$A$504,0)),0))</f>
        <v/>
      </c>
      <c r="G378" s="61" t="str">
        <f aca="false">IF($B378="","",ROUND(N($C378)*F378,2))</f>
        <v/>
      </c>
    </row>
    <row r="379" customFormat="false" ht="15" hidden="false" customHeight="false" outlineLevel="0" collapsed="false">
      <c r="A379" s="55"/>
      <c r="B379" s="56"/>
      <c r="C379" s="57"/>
      <c r="D379" s="56"/>
      <c r="E379" s="56"/>
      <c r="F379" s="61" t="str">
        <f aca="false">IF($B379="","",IFERROR(INDEX(Items!$P$5:$P$504,MATCH($B379,Items!$A$5:$A$504,0)),0))</f>
        <v/>
      </c>
      <c r="G379" s="61" t="str">
        <f aca="false">IF($B379="","",ROUND(N($C379)*F379,2))</f>
        <v/>
      </c>
    </row>
    <row r="380" customFormat="false" ht="15" hidden="false" customHeight="false" outlineLevel="0" collapsed="false">
      <c r="A380" s="55"/>
      <c r="B380" s="56"/>
      <c r="C380" s="57"/>
      <c r="D380" s="56"/>
      <c r="E380" s="56"/>
      <c r="F380" s="61" t="str">
        <f aca="false">IF($B380="","",IFERROR(INDEX(Items!$P$5:$P$504,MATCH($B380,Items!$A$5:$A$504,0)),0))</f>
        <v/>
      </c>
      <c r="G380" s="61" t="str">
        <f aca="false">IF($B380="","",ROUND(N($C380)*F380,2))</f>
        <v/>
      </c>
    </row>
    <row r="381" customFormat="false" ht="15" hidden="false" customHeight="false" outlineLevel="0" collapsed="false">
      <c r="A381" s="55"/>
      <c r="B381" s="56"/>
      <c r="C381" s="57"/>
      <c r="D381" s="56"/>
      <c r="E381" s="56"/>
      <c r="F381" s="61" t="str">
        <f aca="false">IF($B381="","",IFERROR(INDEX(Items!$P$5:$P$504,MATCH($B381,Items!$A$5:$A$504,0)),0))</f>
        <v/>
      </c>
      <c r="G381" s="61" t="str">
        <f aca="false">IF($B381="","",ROUND(N($C381)*F381,2))</f>
        <v/>
      </c>
    </row>
    <row r="382" customFormat="false" ht="15" hidden="false" customHeight="false" outlineLevel="0" collapsed="false">
      <c r="A382" s="55"/>
      <c r="B382" s="56"/>
      <c r="C382" s="57"/>
      <c r="D382" s="56"/>
      <c r="E382" s="56"/>
      <c r="F382" s="61" t="str">
        <f aca="false">IF($B382="","",IFERROR(INDEX(Items!$P$5:$P$504,MATCH($B382,Items!$A$5:$A$504,0)),0))</f>
        <v/>
      </c>
      <c r="G382" s="61" t="str">
        <f aca="false">IF($B382="","",ROUND(N($C382)*F382,2))</f>
        <v/>
      </c>
    </row>
    <row r="383" customFormat="false" ht="15" hidden="false" customHeight="false" outlineLevel="0" collapsed="false">
      <c r="A383" s="55"/>
      <c r="B383" s="56"/>
      <c r="C383" s="57"/>
      <c r="D383" s="56"/>
      <c r="E383" s="56"/>
      <c r="F383" s="61" t="str">
        <f aca="false">IF($B383="","",IFERROR(INDEX(Items!$P$5:$P$504,MATCH($B383,Items!$A$5:$A$504,0)),0))</f>
        <v/>
      </c>
      <c r="G383" s="61" t="str">
        <f aca="false">IF($B383="","",ROUND(N($C383)*F383,2))</f>
        <v/>
      </c>
    </row>
    <row r="384" customFormat="false" ht="15" hidden="false" customHeight="false" outlineLevel="0" collapsed="false">
      <c r="A384" s="55"/>
      <c r="B384" s="56"/>
      <c r="C384" s="57"/>
      <c r="D384" s="56"/>
      <c r="E384" s="56"/>
      <c r="F384" s="61" t="str">
        <f aca="false">IF($B384="","",IFERROR(INDEX(Items!$P$5:$P$504,MATCH($B384,Items!$A$5:$A$504,0)),0))</f>
        <v/>
      </c>
      <c r="G384" s="61" t="str">
        <f aca="false">IF($B384="","",ROUND(N($C384)*F384,2))</f>
        <v/>
      </c>
    </row>
    <row r="385" customFormat="false" ht="15" hidden="false" customHeight="false" outlineLevel="0" collapsed="false">
      <c r="A385" s="55"/>
      <c r="B385" s="56"/>
      <c r="C385" s="57"/>
      <c r="D385" s="56"/>
      <c r="E385" s="56"/>
      <c r="F385" s="61" t="str">
        <f aca="false">IF($B385="","",IFERROR(INDEX(Items!$P$5:$P$504,MATCH($B385,Items!$A$5:$A$504,0)),0))</f>
        <v/>
      </c>
      <c r="G385" s="61" t="str">
        <f aca="false">IF($B385="","",ROUND(N($C385)*F385,2))</f>
        <v/>
      </c>
    </row>
    <row r="386" customFormat="false" ht="15" hidden="false" customHeight="false" outlineLevel="0" collapsed="false">
      <c r="A386" s="55"/>
      <c r="B386" s="56"/>
      <c r="C386" s="57"/>
      <c r="D386" s="56"/>
      <c r="E386" s="56"/>
      <c r="F386" s="61" t="str">
        <f aca="false">IF($B386="","",IFERROR(INDEX(Items!$P$5:$P$504,MATCH($B386,Items!$A$5:$A$504,0)),0))</f>
        <v/>
      </c>
      <c r="G386" s="61" t="str">
        <f aca="false">IF($B386="","",ROUND(N($C386)*F386,2))</f>
        <v/>
      </c>
    </row>
    <row r="387" customFormat="false" ht="15" hidden="false" customHeight="false" outlineLevel="0" collapsed="false">
      <c r="A387" s="55"/>
      <c r="B387" s="56"/>
      <c r="C387" s="57"/>
      <c r="D387" s="56"/>
      <c r="E387" s="56"/>
      <c r="F387" s="61" t="str">
        <f aca="false">IF($B387="","",IFERROR(INDEX(Items!$P$5:$P$504,MATCH($B387,Items!$A$5:$A$504,0)),0))</f>
        <v/>
      </c>
      <c r="G387" s="61" t="str">
        <f aca="false">IF($B387="","",ROUND(N($C387)*F387,2))</f>
        <v/>
      </c>
    </row>
    <row r="388" customFormat="false" ht="15" hidden="false" customHeight="false" outlineLevel="0" collapsed="false">
      <c r="A388" s="55"/>
      <c r="B388" s="56"/>
      <c r="C388" s="57"/>
      <c r="D388" s="56"/>
      <c r="E388" s="56"/>
      <c r="F388" s="61" t="str">
        <f aca="false">IF($B388="","",IFERROR(INDEX(Items!$P$5:$P$504,MATCH($B388,Items!$A$5:$A$504,0)),0))</f>
        <v/>
      </c>
      <c r="G388" s="61" t="str">
        <f aca="false">IF($B388="","",ROUND(N($C388)*F388,2))</f>
        <v/>
      </c>
    </row>
    <row r="389" customFormat="false" ht="15" hidden="false" customHeight="false" outlineLevel="0" collapsed="false">
      <c r="A389" s="55"/>
      <c r="B389" s="56"/>
      <c r="C389" s="57"/>
      <c r="D389" s="56"/>
      <c r="E389" s="56"/>
      <c r="F389" s="61" t="str">
        <f aca="false">IF($B389="","",IFERROR(INDEX(Items!$P$5:$P$504,MATCH($B389,Items!$A$5:$A$504,0)),0))</f>
        <v/>
      </c>
      <c r="G389" s="61" t="str">
        <f aca="false">IF($B389="","",ROUND(N($C389)*F389,2))</f>
        <v/>
      </c>
    </row>
    <row r="390" customFormat="false" ht="15" hidden="false" customHeight="false" outlineLevel="0" collapsed="false">
      <c r="A390" s="55"/>
      <c r="B390" s="56"/>
      <c r="C390" s="57"/>
      <c r="D390" s="56"/>
      <c r="E390" s="56"/>
      <c r="F390" s="61" t="str">
        <f aca="false">IF($B390="","",IFERROR(INDEX(Items!$P$5:$P$504,MATCH($B390,Items!$A$5:$A$504,0)),0))</f>
        <v/>
      </c>
      <c r="G390" s="61" t="str">
        <f aca="false">IF($B390="","",ROUND(N($C390)*F390,2))</f>
        <v/>
      </c>
    </row>
    <row r="391" customFormat="false" ht="15" hidden="false" customHeight="false" outlineLevel="0" collapsed="false">
      <c r="A391" s="55"/>
      <c r="B391" s="56"/>
      <c r="C391" s="57"/>
      <c r="D391" s="56"/>
      <c r="E391" s="56"/>
      <c r="F391" s="61" t="str">
        <f aca="false">IF($B391="","",IFERROR(INDEX(Items!$P$5:$P$504,MATCH($B391,Items!$A$5:$A$504,0)),0))</f>
        <v/>
      </c>
      <c r="G391" s="61" t="str">
        <f aca="false">IF($B391="","",ROUND(N($C391)*F391,2))</f>
        <v/>
      </c>
    </row>
    <row r="392" customFormat="false" ht="15" hidden="false" customHeight="false" outlineLevel="0" collapsed="false">
      <c r="A392" s="55"/>
      <c r="B392" s="56"/>
      <c r="C392" s="57"/>
      <c r="D392" s="56"/>
      <c r="E392" s="56"/>
      <c r="F392" s="61" t="str">
        <f aca="false">IF($B392="","",IFERROR(INDEX(Items!$P$5:$P$504,MATCH($B392,Items!$A$5:$A$504,0)),0))</f>
        <v/>
      </c>
      <c r="G392" s="61" t="str">
        <f aca="false">IF($B392="","",ROUND(N($C392)*F392,2))</f>
        <v/>
      </c>
    </row>
    <row r="393" customFormat="false" ht="15" hidden="false" customHeight="false" outlineLevel="0" collapsed="false">
      <c r="A393" s="55"/>
      <c r="B393" s="56"/>
      <c r="C393" s="57"/>
      <c r="D393" s="56"/>
      <c r="E393" s="56"/>
      <c r="F393" s="61" t="str">
        <f aca="false">IF($B393="","",IFERROR(INDEX(Items!$P$5:$P$504,MATCH($B393,Items!$A$5:$A$504,0)),0))</f>
        <v/>
      </c>
      <c r="G393" s="61" t="str">
        <f aca="false">IF($B393="","",ROUND(N($C393)*F393,2))</f>
        <v/>
      </c>
    </row>
    <row r="394" customFormat="false" ht="15" hidden="false" customHeight="false" outlineLevel="0" collapsed="false">
      <c r="A394" s="55"/>
      <c r="B394" s="56"/>
      <c r="C394" s="57"/>
      <c r="D394" s="56"/>
      <c r="E394" s="56"/>
      <c r="F394" s="61" t="str">
        <f aca="false">IF($B394="","",IFERROR(INDEX(Items!$P$5:$P$504,MATCH($B394,Items!$A$5:$A$504,0)),0))</f>
        <v/>
      </c>
      <c r="G394" s="61" t="str">
        <f aca="false">IF($B394="","",ROUND(N($C394)*F394,2))</f>
        <v/>
      </c>
    </row>
    <row r="395" customFormat="false" ht="15" hidden="false" customHeight="false" outlineLevel="0" collapsed="false">
      <c r="A395" s="55"/>
      <c r="B395" s="56"/>
      <c r="C395" s="57"/>
      <c r="D395" s="56"/>
      <c r="E395" s="56"/>
      <c r="F395" s="61" t="str">
        <f aca="false">IF($B395="","",IFERROR(INDEX(Items!$P$5:$P$504,MATCH($B395,Items!$A$5:$A$504,0)),0))</f>
        <v/>
      </c>
      <c r="G395" s="61" t="str">
        <f aca="false">IF($B395="","",ROUND(N($C395)*F395,2))</f>
        <v/>
      </c>
    </row>
    <row r="396" customFormat="false" ht="15" hidden="false" customHeight="false" outlineLevel="0" collapsed="false">
      <c r="A396" s="55"/>
      <c r="B396" s="56"/>
      <c r="C396" s="57"/>
      <c r="D396" s="56"/>
      <c r="E396" s="56"/>
      <c r="F396" s="61" t="str">
        <f aca="false">IF($B396="","",IFERROR(INDEX(Items!$P$5:$P$504,MATCH($B396,Items!$A$5:$A$504,0)),0))</f>
        <v/>
      </c>
      <c r="G396" s="61" t="str">
        <f aca="false">IF($B396="","",ROUND(N($C396)*F396,2))</f>
        <v/>
      </c>
    </row>
    <row r="397" customFormat="false" ht="15" hidden="false" customHeight="false" outlineLevel="0" collapsed="false">
      <c r="A397" s="55"/>
      <c r="B397" s="56"/>
      <c r="C397" s="57"/>
      <c r="D397" s="56"/>
      <c r="E397" s="56"/>
      <c r="F397" s="61" t="str">
        <f aca="false">IF($B397="","",IFERROR(INDEX(Items!$P$5:$P$504,MATCH($B397,Items!$A$5:$A$504,0)),0))</f>
        <v/>
      </c>
      <c r="G397" s="61" t="str">
        <f aca="false">IF($B397="","",ROUND(N($C397)*F397,2))</f>
        <v/>
      </c>
    </row>
    <row r="398" customFormat="false" ht="15" hidden="false" customHeight="false" outlineLevel="0" collapsed="false">
      <c r="A398" s="55"/>
      <c r="B398" s="56"/>
      <c r="C398" s="57"/>
      <c r="D398" s="56"/>
      <c r="E398" s="56"/>
      <c r="F398" s="61" t="str">
        <f aca="false">IF($B398="","",IFERROR(INDEX(Items!$P$5:$P$504,MATCH($B398,Items!$A$5:$A$504,0)),0))</f>
        <v/>
      </c>
      <c r="G398" s="61" t="str">
        <f aca="false">IF($B398="","",ROUND(N($C398)*F398,2))</f>
        <v/>
      </c>
    </row>
    <row r="399" customFormat="false" ht="15" hidden="false" customHeight="false" outlineLevel="0" collapsed="false">
      <c r="A399" s="55"/>
      <c r="B399" s="56"/>
      <c r="C399" s="57"/>
      <c r="D399" s="56"/>
      <c r="E399" s="56"/>
      <c r="F399" s="61" t="str">
        <f aca="false">IF($B399="","",IFERROR(INDEX(Items!$P$5:$P$504,MATCH($B399,Items!$A$5:$A$504,0)),0))</f>
        <v/>
      </c>
      <c r="G399" s="61" t="str">
        <f aca="false">IF($B399="","",ROUND(N($C399)*F399,2))</f>
        <v/>
      </c>
    </row>
    <row r="400" customFormat="false" ht="15" hidden="false" customHeight="false" outlineLevel="0" collapsed="false">
      <c r="A400" s="55"/>
      <c r="B400" s="56"/>
      <c r="C400" s="57"/>
      <c r="D400" s="56"/>
      <c r="E400" s="56"/>
      <c r="F400" s="61" t="str">
        <f aca="false">IF($B400="","",IFERROR(INDEX(Items!$P$5:$P$504,MATCH($B400,Items!$A$5:$A$504,0)),0))</f>
        <v/>
      </c>
      <c r="G400" s="61" t="str">
        <f aca="false">IF($B400="","",ROUND(N($C400)*F400,2))</f>
        <v/>
      </c>
    </row>
    <row r="401" customFormat="false" ht="15" hidden="false" customHeight="false" outlineLevel="0" collapsed="false">
      <c r="A401" s="55"/>
      <c r="B401" s="56"/>
      <c r="C401" s="57"/>
      <c r="D401" s="56"/>
      <c r="E401" s="56"/>
      <c r="F401" s="61" t="str">
        <f aca="false">IF($B401="","",IFERROR(INDEX(Items!$P$5:$P$504,MATCH($B401,Items!$A$5:$A$504,0)),0))</f>
        <v/>
      </c>
      <c r="G401" s="61" t="str">
        <f aca="false">IF($B401="","",ROUND(N($C401)*F401,2))</f>
        <v/>
      </c>
    </row>
    <row r="402" customFormat="false" ht="15" hidden="false" customHeight="false" outlineLevel="0" collapsed="false">
      <c r="A402" s="55"/>
      <c r="B402" s="56"/>
      <c r="C402" s="57"/>
      <c r="D402" s="56"/>
      <c r="E402" s="56"/>
      <c r="F402" s="61" t="str">
        <f aca="false">IF($B402="","",IFERROR(INDEX(Items!$P$5:$P$504,MATCH($B402,Items!$A$5:$A$504,0)),0))</f>
        <v/>
      </c>
      <c r="G402" s="61" t="str">
        <f aca="false">IF($B402="","",ROUND(N($C402)*F402,2))</f>
        <v/>
      </c>
    </row>
    <row r="403" customFormat="false" ht="15" hidden="false" customHeight="false" outlineLevel="0" collapsed="false">
      <c r="A403" s="55"/>
      <c r="B403" s="56"/>
      <c r="C403" s="57"/>
      <c r="D403" s="56"/>
      <c r="E403" s="56"/>
      <c r="F403" s="61" t="str">
        <f aca="false">IF($B403="","",IFERROR(INDEX(Items!$P$5:$P$504,MATCH($B403,Items!$A$5:$A$504,0)),0))</f>
        <v/>
      </c>
      <c r="G403" s="61" t="str">
        <f aca="false">IF($B403="","",ROUND(N($C403)*F403,2))</f>
        <v/>
      </c>
    </row>
    <row r="404" customFormat="false" ht="15" hidden="false" customHeight="false" outlineLevel="0" collapsed="false">
      <c r="A404" s="55"/>
      <c r="B404" s="56"/>
      <c r="C404" s="57"/>
      <c r="D404" s="56"/>
      <c r="E404" s="56"/>
      <c r="F404" s="61" t="str">
        <f aca="false">IF($B404="","",IFERROR(INDEX(Items!$P$5:$P$504,MATCH($B404,Items!$A$5:$A$504,0)),0))</f>
        <v/>
      </c>
      <c r="G404" s="61" t="str">
        <f aca="false">IF($B404="","",ROUND(N($C404)*F404,2))</f>
        <v/>
      </c>
    </row>
    <row r="405" customFormat="false" ht="15" hidden="false" customHeight="false" outlineLevel="0" collapsed="false">
      <c r="A405" s="55"/>
      <c r="B405" s="56"/>
      <c r="C405" s="57"/>
      <c r="D405" s="56"/>
      <c r="E405" s="56"/>
      <c r="F405" s="61" t="str">
        <f aca="false">IF($B405="","",IFERROR(INDEX(Items!$P$5:$P$504,MATCH($B405,Items!$A$5:$A$504,0)),0))</f>
        <v/>
      </c>
      <c r="G405" s="61" t="str">
        <f aca="false">IF($B405="","",ROUND(N($C405)*F405,2))</f>
        <v/>
      </c>
    </row>
    <row r="406" customFormat="false" ht="15" hidden="false" customHeight="false" outlineLevel="0" collapsed="false">
      <c r="A406" s="55"/>
      <c r="B406" s="56"/>
      <c r="C406" s="57"/>
      <c r="D406" s="56"/>
      <c r="E406" s="56"/>
      <c r="F406" s="61" t="str">
        <f aca="false">IF($B406="","",IFERROR(INDEX(Items!$P$5:$P$504,MATCH($B406,Items!$A$5:$A$504,0)),0))</f>
        <v/>
      </c>
      <c r="G406" s="61" t="str">
        <f aca="false">IF($B406="","",ROUND(N($C406)*F406,2))</f>
        <v/>
      </c>
    </row>
    <row r="407" customFormat="false" ht="15" hidden="false" customHeight="false" outlineLevel="0" collapsed="false">
      <c r="A407" s="55"/>
      <c r="B407" s="56"/>
      <c r="C407" s="57"/>
      <c r="D407" s="56"/>
      <c r="E407" s="56"/>
      <c r="F407" s="61" t="str">
        <f aca="false">IF($B407="","",IFERROR(INDEX(Items!$P$5:$P$504,MATCH($B407,Items!$A$5:$A$504,0)),0))</f>
        <v/>
      </c>
      <c r="G407" s="61" t="str">
        <f aca="false">IF($B407="","",ROUND(N($C407)*F407,2))</f>
        <v/>
      </c>
    </row>
    <row r="408" customFormat="false" ht="15" hidden="false" customHeight="false" outlineLevel="0" collapsed="false">
      <c r="A408" s="55"/>
      <c r="B408" s="56"/>
      <c r="C408" s="57"/>
      <c r="D408" s="56"/>
      <c r="E408" s="56"/>
      <c r="F408" s="61" t="str">
        <f aca="false">IF($B408="","",IFERROR(INDEX(Items!$P$5:$P$504,MATCH($B408,Items!$A$5:$A$504,0)),0))</f>
        <v/>
      </c>
      <c r="G408" s="61" t="str">
        <f aca="false">IF($B408="","",ROUND(N($C408)*F408,2))</f>
        <v/>
      </c>
    </row>
    <row r="409" customFormat="false" ht="15" hidden="false" customHeight="false" outlineLevel="0" collapsed="false">
      <c r="A409" s="55"/>
      <c r="B409" s="56"/>
      <c r="C409" s="57"/>
      <c r="D409" s="56"/>
      <c r="E409" s="56"/>
      <c r="F409" s="61" t="str">
        <f aca="false">IF($B409="","",IFERROR(INDEX(Items!$P$5:$P$504,MATCH($B409,Items!$A$5:$A$504,0)),0))</f>
        <v/>
      </c>
      <c r="G409" s="61" t="str">
        <f aca="false">IF($B409="","",ROUND(N($C409)*F409,2))</f>
        <v/>
      </c>
    </row>
    <row r="410" customFormat="false" ht="15" hidden="false" customHeight="false" outlineLevel="0" collapsed="false">
      <c r="A410" s="55"/>
      <c r="B410" s="56"/>
      <c r="C410" s="57"/>
      <c r="D410" s="56"/>
      <c r="E410" s="56"/>
      <c r="F410" s="61" t="str">
        <f aca="false">IF($B410="","",IFERROR(INDEX(Items!$P$5:$P$504,MATCH($B410,Items!$A$5:$A$504,0)),0))</f>
        <v/>
      </c>
      <c r="G410" s="61" t="str">
        <f aca="false">IF($B410="","",ROUND(N($C410)*F410,2))</f>
        <v/>
      </c>
    </row>
    <row r="411" customFormat="false" ht="15" hidden="false" customHeight="false" outlineLevel="0" collapsed="false">
      <c r="A411" s="55"/>
      <c r="B411" s="56"/>
      <c r="C411" s="57"/>
      <c r="D411" s="56"/>
      <c r="E411" s="56"/>
      <c r="F411" s="61" t="str">
        <f aca="false">IF($B411="","",IFERROR(INDEX(Items!$P$5:$P$504,MATCH($B411,Items!$A$5:$A$504,0)),0))</f>
        <v/>
      </c>
      <c r="G411" s="61" t="str">
        <f aca="false">IF($B411="","",ROUND(N($C411)*F411,2))</f>
        <v/>
      </c>
    </row>
    <row r="412" customFormat="false" ht="15" hidden="false" customHeight="false" outlineLevel="0" collapsed="false">
      <c r="A412" s="55"/>
      <c r="B412" s="56"/>
      <c r="C412" s="57"/>
      <c r="D412" s="56"/>
      <c r="E412" s="56"/>
      <c r="F412" s="61" t="str">
        <f aca="false">IF($B412="","",IFERROR(INDEX(Items!$P$5:$P$504,MATCH($B412,Items!$A$5:$A$504,0)),0))</f>
        <v/>
      </c>
      <c r="G412" s="61" t="str">
        <f aca="false">IF($B412="","",ROUND(N($C412)*F412,2))</f>
        <v/>
      </c>
    </row>
    <row r="413" customFormat="false" ht="15" hidden="false" customHeight="false" outlineLevel="0" collapsed="false">
      <c r="A413" s="55"/>
      <c r="B413" s="56"/>
      <c r="C413" s="57"/>
      <c r="D413" s="56"/>
      <c r="E413" s="56"/>
      <c r="F413" s="61" t="str">
        <f aca="false">IF($B413="","",IFERROR(INDEX(Items!$P$5:$P$504,MATCH($B413,Items!$A$5:$A$504,0)),0))</f>
        <v/>
      </c>
      <c r="G413" s="61" t="str">
        <f aca="false">IF($B413="","",ROUND(N($C413)*F413,2))</f>
        <v/>
      </c>
    </row>
    <row r="414" customFormat="false" ht="15" hidden="false" customHeight="false" outlineLevel="0" collapsed="false">
      <c r="A414" s="55"/>
      <c r="B414" s="56"/>
      <c r="C414" s="57"/>
      <c r="D414" s="56"/>
      <c r="E414" s="56"/>
      <c r="F414" s="61" t="str">
        <f aca="false">IF($B414="","",IFERROR(INDEX(Items!$P$5:$P$504,MATCH($B414,Items!$A$5:$A$504,0)),0))</f>
        <v/>
      </c>
      <c r="G414" s="61" t="str">
        <f aca="false">IF($B414="","",ROUND(N($C414)*F414,2))</f>
        <v/>
      </c>
    </row>
    <row r="415" customFormat="false" ht="15" hidden="false" customHeight="false" outlineLevel="0" collapsed="false">
      <c r="A415" s="55"/>
      <c r="B415" s="56"/>
      <c r="C415" s="57"/>
      <c r="D415" s="56"/>
      <c r="E415" s="56"/>
      <c r="F415" s="61" t="str">
        <f aca="false">IF($B415="","",IFERROR(INDEX(Items!$P$5:$P$504,MATCH($B415,Items!$A$5:$A$504,0)),0))</f>
        <v/>
      </c>
      <c r="G415" s="61" t="str">
        <f aca="false">IF($B415="","",ROUND(N($C415)*F415,2))</f>
        <v/>
      </c>
    </row>
    <row r="416" customFormat="false" ht="15" hidden="false" customHeight="false" outlineLevel="0" collapsed="false">
      <c r="A416" s="55"/>
      <c r="B416" s="56"/>
      <c r="C416" s="57"/>
      <c r="D416" s="56"/>
      <c r="E416" s="56"/>
      <c r="F416" s="61" t="str">
        <f aca="false">IF($B416="","",IFERROR(INDEX(Items!$P$5:$P$504,MATCH($B416,Items!$A$5:$A$504,0)),0))</f>
        <v/>
      </c>
      <c r="G416" s="61" t="str">
        <f aca="false">IF($B416="","",ROUND(N($C416)*F416,2))</f>
        <v/>
      </c>
    </row>
    <row r="417" customFormat="false" ht="15" hidden="false" customHeight="false" outlineLevel="0" collapsed="false">
      <c r="A417" s="55"/>
      <c r="B417" s="56"/>
      <c r="C417" s="57"/>
      <c r="D417" s="56"/>
      <c r="E417" s="56"/>
      <c r="F417" s="61" t="str">
        <f aca="false">IF($B417="","",IFERROR(INDEX(Items!$P$5:$P$504,MATCH($B417,Items!$A$5:$A$504,0)),0))</f>
        <v/>
      </c>
      <c r="G417" s="61" t="str">
        <f aca="false">IF($B417="","",ROUND(N($C417)*F417,2))</f>
        <v/>
      </c>
    </row>
    <row r="418" customFormat="false" ht="15" hidden="false" customHeight="false" outlineLevel="0" collapsed="false">
      <c r="A418" s="55"/>
      <c r="B418" s="56"/>
      <c r="C418" s="57"/>
      <c r="D418" s="56"/>
      <c r="E418" s="56"/>
      <c r="F418" s="61" t="str">
        <f aca="false">IF($B418="","",IFERROR(INDEX(Items!$P$5:$P$504,MATCH($B418,Items!$A$5:$A$504,0)),0))</f>
        <v/>
      </c>
      <c r="G418" s="61" t="str">
        <f aca="false">IF($B418="","",ROUND(N($C418)*F418,2))</f>
        <v/>
      </c>
    </row>
    <row r="419" customFormat="false" ht="15" hidden="false" customHeight="false" outlineLevel="0" collapsed="false">
      <c r="A419" s="55"/>
      <c r="B419" s="56"/>
      <c r="C419" s="57"/>
      <c r="D419" s="56"/>
      <c r="E419" s="56"/>
      <c r="F419" s="61" t="str">
        <f aca="false">IF($B419="","",IFERROR(INDEX(Items!$P$5:$P$504,MATCH($B419,Items!$A$5:$A$504,0)),0))</f>
        <v/>
      </c>
      <c r="G419" s="61" t="str">
        <f aca="false">IF($B419="","",ROUND(N($C419)*F419,2))</f>
        <v/>
      </c>
    </row>
    <row r="420" customFormat="false" ht="15" hidden="false" customHeight="false" outlineLevel="0" collapsed="false">
      <c r="A420" s="55"/>
      <c r="B420" s="56"/>
      <c r="C420" s="57"/>
      <c r="D420" s="56"/>
      <c r="E420" s="56"/>
      <c r="F420" s="61" t="str">
        <f aca="false">IF($B420="","",IFERROR(INDEX(Items!$P$5:$P$504,MATCH($B420,Items!$A$5:$A$504,0)),0))</f>
        <v/>
      </c>
      <c r="G420" s="61" t="str">
        <f aca="false">IF($B420="","",ROUND(N($C420)*F420,2))</f>
        <v/>
      </c>
    </row>
    <row r="421" customFormat="false" ht="15" hidden="false" customHeight="false" outlineLevel="0" collapsed="false">
      <c r="A421" s="55"/>
      <c r="B421" s="56"/>
      <c r="C421" s="57"/>
      <c r="D421" s="56"/>
      <c r="E421" s="56"/>
      <c r="F421" s="61" t="str">
        <f aca="false">IF($B421="","",IFERROR(INDEX(Items!$P$5:$P$504,MATCH($B421,Items!$A$5:$A$504,0)),0))</f>
        <v/>
      </c>
      <c r="G421" s="61" t="str">
        <f aca="false">IF($B421="","",ROUND(N($C421)*F421,2))</f>
        <v/>
      </c>
    </row>
    <row r="422" customFormat="false" ht="15" hidden="false" customHeight="false" outlineLevel="0" collapsed="false">
      <c r="A422" s="55"/>
      <c r="B422" s="56"/>
      <c r="C422" s="57"/>
      <c r="D422" s="56"/>
      <c r="E422" s="56"/>
      <c r="F422" s="61" t="str">
        <f aca="false">IF($B422="","",IFERROR(INDEX(Items!$P$5:$P$504,MATCH($B422,Items!$A$5:$A$504,0)),0))</f>
        <v/>
      </c>
      <c r="G422" s="61" t="str">
        <f aca="false">IF($B422="","",ROUND(N($C422)*F422,2))</f>
        <v/>
      </c>
    </row>
    <row r="423" customFormat="false" ht="15" hidden="false" customHeight="false" outlineLevel="0" collapsed="false">
      <c r="A423" s="55"/>
      <c r="B423" s="56"/>
      <c r="C423" s="57"/>
      <c r="D423" s="56"/>
      <c r="E423" s="56"/>
      <c r="F423" s="61" t="str">
        <f aca="false">IF($B423="","",IFERROR(INDEX(Items!$P$5:$P$504,MATCH($B423,Items!$A$5:$A$504,0)),0))</f>
        <v/>
      </c>
      <c r="G423" s="61" t="str">
        <f aca="false">IF($B423="","",ROUND(N($C423)*F423,2))</f>
        <v/>
      </c>
    </row>
    <row r="424" customFormat="false" ht="15" hidden="false" customHeight="false" outlineLevel="0" collapsed="false">
      <c r="A424" s="55"/>
      <c r="B424" s="56"/>
      <c r="C424" s="57"/>
      <c r="D424" s="56"/>
      <c r="E424" s="56"/>
      <c r="F424" s="61" t="str">
        <f aca="false">IF($B424="","",IFERROR(INDEX(Items!$P$5:$P$504,MATCH($B424,Items!$A$5:$A$504,0)),0))</f>
        <v/>
      </c>
      <c r="G424" s="61" t="str">
        <f aca="false">IF($B424="","",ROUND(N($C424)*F424,2))</f>
        <v/>
      </c>
    </row>
    <row r="425" customFormat="false" ht="15" hidden="false" customHeight="false" outlineLevel="0" collapsed="false">
      <c r="A425" s="55"/>
      <c r="B425" s="56"/>
      <c r="C425" s="57"/>
      <c r="D425" s="56"/>
      <c r="E425" s="56"/>
      <c r="F425" s="61" t="str">
        <f aca="false">IF($B425="","",IFERROR(INDEX(Items!$P$5:$P$504,MATCH($B425,Items!$A$5:$A$504,0)),0))</f>
        <v/>
      </c>
      <c r="G425" s="61" t="str">
        <f aca="false">IF($B425="","",ROUND(N($C425)*F425,2))</f>
        <v/>
      </c>
    </row>
    <row r="426" customFormat="false" ht="15" hidden="false" customHeight="false" outlineLevel="0" collapsed="false">
      <c r="A426" s="55"/>
      <c r="B426" s="56"/>
      <c r="C426" s="57"/>
      <c r="D426" s="56"/>
      <c r="E426" s="56"/>
      <c r="F426" s="61" t="str">
        <f aca="false">IF($B426="","",IFERROR(INDEX(Items!$P$5:$P$504,MATCH($B426,Items!$A$5:$A$504,0)),0))</f>
        <v/>
      </c>
      <c r="G426" s="61" t="str">
        <f aca="false">IF($B426="","",ROUND(N($C426)*F426,2))</f>
        <v/>
      </c>
    </row>
    <row r="427" customFormat="false" ht="15" hidden="false" customHeight="false" outlineLevel="0" collapsed="false">
      <c r="A427" s="55"/>
      <c r="B427" s="56"/>
      <c r="C427" s="57"/>
      <c r="D427" s="56"/>
      <c r="E427" s="56"/>
      <c r="F427" s="61" t="str">
        <f aca="false">IF($B427="","",IFERROR(INDEX(Items!$P$5:$P$504,MATCH($B427,Items!$A$5:$A$504,0)),0))</f>
        <v/>
      </c>
      <c r="G427" s="61" t="str">
        <f aca="false">IF($B427="","",ROUND(N($C427)*F427,2))</f>
        <v/>
      </c>
    </row>
    <row r="428" customFormat="false" ht="15" hidden="false" customHeight="false" outlineLevel="0" collapsed="false">
      <c r="A428" s="55"/>
      <c r="B428" s="56"/>
      <c r="C428" s="57"/>
      <c r="D428" s="56"/>
      <c r="E428" s="56"/>
      <c r="F428" s="61" t="str">
        <f aca="false">IF($B428="","",IFERROR(INDEX(Items!$P$5:$P$504,MATCH($B428,Items!$A$5:$A$504,0)),0))</f>
        <v/>
      </c>
      <c r="G428" s="61" t="str">
        <f aca="false">IF($B428="","",ROUND(N($C428)*F428,2))</f>
        <v/>
      </c>
    </row>
    <row r="429" customFormat="false" ht="15" hidden="false" customHeight="false" outlineLevel="0" collapsed="false">
      <c r="A429" s="55"/>
      <c r="B429" s="56"/>
      <c r="C429" s="57"/>
      <c r="D429" s="56"/>
      <c r="E429" s="56"/>
      <c r="F429" s="61" t="str">
        <f aca="false">IF($B429="","",IFERROR(INDEX(Items!$P$5:$P$504,MATCH($B429,Items!$A$5:$A$504,0)),0))</f>
        <v/>
      </c>
      <c r="G429" s="61" t="str">
        <f aca="false">IF($B429="","",ROUND(N($C429)*F429,2))</f>
        <v/>
      </c>
    </row>
    <row r="430" customFormat="false" ht="15" hidden="false" customHeight="false" outlineLevel="0" collapsed="false">
      <c r="A430" s="55"/>
      <c r="B430" s="56"/>
      <c r="C430" s="57"/>
      <c r="D430" s="56"/>
      <c r="E430" s="56"/>
      <c r="F430" s="61" t="str">
        <f aca="false">IF($B430="","",IFERROR(INDEX(Items!$P$5:$P$504,MATCH($B430,Items!$A$5:$A$504,0)),0))</f>
        <v/>
      </c>
      <c r="G430" s="61" t="str">
        <f aca="false">IF($B430="","",ROUND(N($C430)*F430,2))</f>
        <v/>
      </c>
    </row>
    <row r="431" customFormat="false" ht="15" hidden="false" customHeight="false" outlineLevel="0" collapsed="false">
      <c r="A431" s="55"/>
      <c r="B431" s="56"/>
      <c r="C431" s="57"/>
      <c r="D431" s="56"/>
      <c r="E431" s="56"/>
      <c r="F431" s="61" t="str">
        <f aca="false">IF($B431="","",IFERROR(INDEX(Items!$P$5:$P$504,MATCH($B431,Items!$A$5:$A$504,0)),0))</f>
        <v/>
      </c>
      <c r="G431" s="61" t="str">
        <f aca="false">IF($B431="","",ROUND(N($C431)*F431,2))</f>
        <v/>
      </c>
    </row>
    <row r="432" customFormat="false" ht="15" hidden="false" customHeight="false" outlineLevel="0" collapsed="false">
      <c r="A432" s="55"/>
      <c r="B432" s="56"/>
      <c r="C432" s="57"/>
      <c r="D432" s="56"/>
      <c r="E432" s="56"/>
      <c r="F432" s="61" t="str">
        <f aca="false">IF($B432="","",IFERROR(INDEX(Items!$P$5:$P$504,MATCH($B432,Items!$A$5:$A$504,0)),0))</f>
        <v/>
      </c>
      <c r="G432" s="61" t="str">
        <f aca="false">IF($B432="","",ROUND(N($C432)*F432,2))</f>
        <v/>
      </c>
    </row>
    <row r="433" customFormat="false" ht="15" hidden="false" customHeight="false" outlineLevel="0" collapsed="false">
      <c r="A433" s="55"/>
      <c r="B433" s="56"/>
      <c r="C433" s="57"/>
      <c r="D433" s="56"/>
      <c r="E433" s="56"/>
      <c r="F433" s="61" t="str">
        <f aca="false">IF($B433="","",IFERROR(INDEX(Items!$P$5:$P$504,MATCH($B433,Items!$A$5:$A$504,0)),0))</f>
        <v/>
      </c>
      <c r="G433" s="61" t="str">
        <f aca="false">IF($B433="","",ROUND(N($C433)*F433,2))</f>
        <v/>
      </c>
    </row>
    <row r="434" customFormat="false" ht="15" hidden="false" customHeight="false" outlineLevel="0" collapsed="false">
      <c r="A434" s="55"/>
      <c r="B434" s="56"/>
      <c r="C434" s="57"/>
      <c r="D434" s="56"/>
      <c r="E434" s="56"/>
      <c r="F434" s="61" t="str">
        <f aca="false">IF($B434="","",IFERROR(INDEX(Items!$P$5:$P$504,MATCH($B434,Items!$A$5:$A$504,0)),0))</f>
        <v/>
      </c>
      <c r="G434" s="61" t="str">
        <f aca="false">IF($B434="","",ROUND(N($C434)*F434,2))</f>
        <v/>
      </c>
    </row>
    <row r="435" customFormat="false" ht="15" hidden="false" customHeight="false" outlineLevel="0" collapsed="false">
      <c r="A435" s="55"/>
      <c r="B435" s="56"/>
      <c r="C435" s="57"/>
      <c r="D435" s="56"/>
      <c r="E435" s="56"/>
      <c r="F435" s="61" t="str">
        <f aca="false">IF($B435="","",IFERROR(INDEX(Items!$P$5:$P$504,MATCH($B435,Items!$A$5:$A$504,0)),0))</f>
        <v/>
      </c>
      <c r="G435" s="61" t="str">
        <f aca="false">IF($B435="","",ROUND(N($C435)*F435,2))</f>
        <v/>
      </c>
    </row>
    <row r="436" customFormat="false" ht="15" hidden="false" customHeight="false" outlineLevel="0" collapsed="false">
      <c r="A436" s="55"/>
      <c r="B436" s="56"/>
      <c r="C436" s="57"/>
      <c r="D436" s="56"/>
      <c r="E436" s="56"/>
      <c r="F436" s="61" t="str">
        <f aca="false">IF($B436="","",IFERROR(INDEX(Items!$P$5:$P$504,MATCH($B436,Items!$A$5:$A$504,0)),0))</f>
        <v/>
      </c>
      <c r="G436" s="61" t="str">
        <f aca="false">IF($B436="","",ROUND(N($C436)*F436,2))</f>
        <v/>
      </c>
    </row>
    <row r="437" customFormat="false" ht="15" hidden="false" customHeight="false" outlineLevel="0" collapsed="false">
      <c r="A437" s="55"/>
      <c r="B437" s="56"/>
      <c r="C437" s="57"/>
      <c r="D437" s="56"/>
      <c r="E437" s="56"/>
      <c r="F437" s="61" t="str">
        <f aca="false">IF($B437="","",IFERROR(INDEX(Items!$P$5:$P$504,MATCH($B437,Items!$A$5:$A$504,0)),0))</f>
        <v/>
      </c>
      <c r="G437" s="61" t="str">
        <f aca="false">IF($B437="","",ROUND(N($C437)*F437,2))</f>
        <v/>
      </c>
    </row>
    <row r="438" customFormat="false" ht="15" hidden="false" customHeight="false" outlineLevel="0" collapsed="false">
      <c r="A438" s="55"/>
      <c r="B438" s="56"/>
      <c r="C438" s="57"/>
      <c r="D438" s="56"/>
      <c r="E438" s="56"/>
      <c r="F438" s="61" t="str">
        <f aca="false">IF($B438="","",IFERROR(INDEX(Items!$P$5:$P$504,MATCH($B438,Items!$A$5:$A$504,0)),0))</f>
        <v/>
      </c>
      <c r="G438" s="61" t="str">
        <f aca="false">IF($B438="","",ROUND(N($C438)*F438,2))</f>
        <v/>
      </c>
    </row>
    <row r="439" customFormat="false" ht="15" hidden="false" customHeight="false" outlineLevel="0" collapsed="false">
      <c r="A439" s="55"/>
      <c r="B439" s="56"/>
      <c r="C439" s="57"/>
      <c r="D439" s="56"/>
      <c r="E439" s="56"/>
      <c r="F439" s="61" t="str">
        <f aca="false">IF($B439="","",IFERROR(INDEX(Items!$P$5:$P$504,MATCH($B439,Items!$A$5:$A$504,0)),0))</f>
        <v/>
      </c>
      <c r="G439" s="61" t="str">
        <f aca="false">IF($B439="","",ROUND(N($C439)*F439,2))</f>
        <v/>
      </c>
    </row>
    <row r="440" customFormat="false" ht="15" hidden="false" customHeight="false" outlineLevel="0" collapsed="false">
      <c r="A440" s="55"/>
      <c r="B440" s="56"/>
      <c r="C440" s="57"/>
      <c r="D440" s="56"/>
      <c r="E440" s="56"/>
      <c r="F440" s="61" t="str">
        <f aca="false">IF($B440="","",IFERROR(INDEX(Items!$P$5:$P$504,MATCH($B440,Items!$A$5:$A$504,0)),0))</f>
        <v/>
      </c>
      <c r="G440" s="61" t="str">
        <f aca="false">IF($B440="","",ROUND(N($C440)*F440,2))</f>
        <v/>
      </c>
    </row>
    <row r="441" customFormat="false" ht="15" hidden="false" customHeight="false" outlineLevel="0" collapsed="false">
      <c r="A441" s="55"/>
      <c r="B441" s="56"/>
      <c r="C441" s="57"/>
      <c r="D441" s="56"/>
      <c r="E441" s="56"/>
      <c r="F441" s="61" t="str">
        <f aca="false">IF($B441="","",IFERROR(INDEX(Items!$P$5:$P$504,MATCH($B441,Items!$A$5:$A$504,0)),0))</f>
        <v/>
      </c>
      <c r="G441" s="61" t="str">
        <f aca="false">IF($B441="","",ROUND(N($C441)*F441,2))</f>
        <v/>
      </c>
    </row>
    <row r="442" customFormat="false" ht="15" hidden="false" customHeight="false" outlineLevel="0" collapsed="false">
      <c r="A442" s="55"/>
      <c r="B442" s="56"/>
      <c r="C442" s="57"/>
      <c r="D442" s="56"/>
      <c r="E442" s="56"/>
      <c r="F442" s="61" t="str">
        <f aca="false">IF($B442="","",IFERROR(INDEX(Items!$P$5:$P$504,MATCH($B442,Items!$A$5:$A$504,0)),0))</f>
        <v/>
      </c>
      <c r="G442" s="61" t="str">
        <f aca="false">IF($B442="","",ROUND(N($C442)*F442,2))</f>
        <v/>
      </c>
    </row>
    <row r="443" customFormat="false" ht="15" hidden="false" customHeight="false" outlineLevel="0" collapsed="false">
      <c r="A443" s="55"/>
      <c r="B443" s="56"/>
      <c r="C443" s="57"/>
      <c r="D443" s="56"/>
      <c r="E443" s="56"/>
      <c r="F443" s="61" t="str">
        <f aca="false">IF($B443="","",IFERROR(INDEX(Items!$P$5:$P$504,MATCH($B443,Items!$A$5:$A$504,0)),0))</f>
        <v/>
      </c>
      <c r="G443" s="61" t="str">
        <f aca="false">IF($B443="","",ROUND(N($C443)*F443,2))</f>
        <v/>
      </c>
    </row>
    <row r="444" customFormat="false" ht="15" hidden="false" customHeight="false" outlineLevel="0" collapsed="false">
      <c r="A444" s="55"/>
      <c r="B444" s="56"/>
      <c r="C444" s="57"/>
      <c r="D444" s="56"/>
      <c r="E444" s="56"/>
      <c r="F444" s="61" t="str">
        <f aca="false">IF($B444="","",IFERROR(INDEX(Items!$P$5:$P$504,MATCH($B444,Items!$A$5:$A$504,0)),0))</f>
        <v/>
      </c>
      <c r="G444" s="61" t="str">
        <f aca="false">IF($B444="","",ROUND(N($C444)*F444,2))</f>
        <v/>
      </c>
    </row>
    <row r="445" customFormat="false" ht="15" hidden="false" customHeight="false" outlineLevel="0" collapsed="false">
      <c r="A445" s="55"/>
      <c r="B445" s="56"/>
      <c r="C445" s="57"/>
      <c r="D445" s="56"/>
      <c r="E445" s="56"/>
      <c r="F445" s="61" t="str">
        <f aca="false">IF($B445="","",IFERROR(INDEX(Items!$P$5:$P$504,MATCH($B445,Items!$A$5:$A$504,0)),0))</f>
        <v/>
      </c>
      <c r="G445" s="61" t="str">
        <f aca="false">IF($B445="","",ROUND(N($C445)*F445,2))</f>
        <v/>
      </c>
    </row>
    <row r="446" customFormat="false" ht="15" hidden="false" customHeight="false" outlineLevel="0" collapsed="false">
      <c r="A446" s="55"/>
      <c r="B446" s="56"/>
      <c r="C446" s="57"/>
      <c r="D446" s="56"/>
      <c r="E446" s="56"/>
      <c r="F446" s="61" t="str">
        <f aca="false">IF($B446="","",IFERROR(INDEX(Items!$P$5:$P$504,MATCH($B446,Items!$A$5:$A$504,0)),0))</f>
        <v/>
      </c>
      <c r="G446" s="61" t="str">
        <f aca="false">IF($B446="","",ROUND(N($C446)*F446,2))</f>
        <v/>
      </c>
    </row>
    <row r="447" customFormat="false" ht="15" hidden="false" customHeight="false" outlineLevel="0" collapsed="false">
      <c r="A447" s="55"/>
      <c r="B447" s="56"/>
      <c r="C447" s="57"/>
      <c r="D447" s="56"/>
      <c r="E447" s="56"/>
      <c r="F447" s="61" t="str">
        <f aca="false">IF($B447="","",IFERROR(INDEX(Items!$P$5:$P$504,MATCH($B447,Items!$A$5:$A$504,0)),0))</f>
        <v/>
      </c>
      <c r="G447" s="61" t="str">
        <f aca="false">IF($B447="","",ROUND(N($C447)*F447,2))</f>
        <v/>
      </c>
    </row>
    <row r="448" customFormat="false" ht="15" hidden="false" customHeight="false" outlineLevel="0" collapsed="false">
      <c r="A448" s="55"/>
      <c r="B448" s="56"/>
      <c r="C448" s="57"/>
      <c r="D448" s="56"/>
      <c r="E448" s="56"/>
      <c r="F448" s="61" t="str">
        <f aca="false">IF($B448="","",IFERROR(INDEX(Items!$P$5:$P$504,MATCH($B448,Items!$A$5:$A$504,0)),0))</f>
        <v/>
      </c>
      <c r="G448" s="61" t="str">
        <f aca="false">IF($B448="","",ROUND(N($C448)*F448,2))</f>
        <v/>
      </c>
    </row>
    <row r="449" customFormat="false" ht="15" hidden="false" customHeight="false" outlineLevel="0" collapsed="false">
      <c r="A449" s="55"/>
      <c r="B449" s="56"/>
      <c r="C449" s="57"/>
      <c r="D449" s="56"/>
      <c r="E449" s="56"/>
      <c r="F449" s="61" t="str">
        <f aca="false">IF($B449="","",IFERROR(INDEX(Items!$P$5:$P$504,MATCH($B449,Items!$A$5:$A$504,0)),0))</f>
        <v/>
      </c>
      <c r="G449" s="61" t="str">
        <f aca="false">IF($B449="","",ROUND(N($C449)*F449,2))</f>
        <v/>
      </c>
    </row>
    <row r="450" customFormat="false" ht="15" hidden="false" customHeight="false" outlineLevel="0" collapsed="false">
      <c r="A450" s="55"/>
      <c r="B450" s="56"/>
      <c r="C450" s="57"/>
      <c r="D450" s="56"/>
      <c r="E450" s="56"/>
      <c r="F450" s="61" t="str">
        <f aca="false">IF($B450="","",IFERROR(INDEX(Items!$P$5:$P$504,MATCH($B450,Items!$A$5:$A$504,0)),0))</f>
        <v/>
      </c>
      <c r="G450" s="61" t="str">
        <f aca="false">IF($B450="","",ROUND(N($C450)*F450,2))</f>
        <v/>
      </c>
    </row>
    <row r="451" customFormat="false" ht="15" hidden="false" customHeight="false" outlineLevel="0" collapsed="false">
      <c r="A451" s="55"/>
      <c r="B451" s="56"/>
      <c r="C451" s="57"/>
      <c r="D451" s="56"/>
      <c r="E451" s="56"/>
      <c r="F451" s="61" t="str">
        <f aca="false">IF($B451="","",IFERROR(INDEX(Items!$P$5:$P$504,MATCH($B451,Items!$A$5:$A$504,0)),0))</f>
        <v/>
      </c>
      <c r="G451" s="61" t="str">
        <f aca="false">IF($B451="","",ROUND(N($C451)*F451,2))</f>
        <v/>
      </c>
    </row>
    <row r="452" customFormat="false" ht="15" hidden="false" customHeight="false" outlineLevel="0" collapsed="false">
      <c r="A452" s="55"/>
      <c r="B452" s="56"/>
      <c r="C452" s="57"/>
      <c r="D452" s="56"/>
      <c r="E452" s="56"/>
      <c r="F452" s="61" t="str">
        <f aca="false">IF($B452="","",IFERROR(INDEX(Items!$P$5:$P$504,MATCH($B452,Items!$A$5:$A$504,0)),0))</f>
        <v/>
      </c>
      <c r="G452" s="61" t="str">
        <f aca="false">IF($B452="","",ROUND(N($C452)*F452,2))</f>
        <v/>
      </c>
    </row>
    <row r="453" customFormat="false" ht="15" hidden="false" customHeight="false" outlineLevel="0" collapsed="false">
      <c r="A453" s="55"/>
      <c r="B453" s="56"/>
      <c r="C453" s="57"/>
      <c r="D453" s="56"/>
      <c r="E453" s="56"/>
      <c r="F453" s="61" t="str">
        <f aca="false">IF($B453="","",IFERROR(INDEX(Items!$P$5:$P$504,MATCH($B453,Items!$A$5:$A$504,0)),0))</f>
        <v/>
      </c>
      <c r="G453" s="61" t="str">
        <f aca="false">IF($B453="","",ROUND(N($C453)*F453,2))</f>
        <v/>
      </c>
    </row>
    <row r="454" customFormat="false" ht="15" hidden="false" customHeight="false" outlineLevel="0" collapsed="false">
      <c r="A454" s="55"/>
      <c r="B454" s="56"/>
      <c r="C454" s="57"/>
      <c r="D454" s="56"/>
      <c r="E454" s="56"/>
      <c r="F454" s="61" t="str">
        <f aca="false">IF($B454="","",IFERROR(INDEX(Items!$P$5:$P$504,MATCH($B454,Items!$A$5:$A$504,0)),0))</f>
        <v/>
      </c>
      <c r="G454" s="61" t="str">
        <f aca="false">IF($B454="","",ROUND(N($C454)*F454,2))</f>
        <v/>
      </c>
    </row>
    <row r="455" customFormat="false" ht="15" hidden="false" customHeight="false" outlineLevel="0" collapsed="false">
      <c r="A455" s="55"/>
      <c r="B455" s="56"/>
      <c r="C455" s="57"/>
      <c r="D455" s="56"/>
      <c r="E455" s="56"/>
      <c r="F455" s="61" t="str">
        <f aca="false">IF($B455="","",IFERROR(INDEX(Items!$P$5:$P$504,MATCH($B455,Items!$A$5:$A$504,0)),0))</f>
        <v/>
      </c>
      <c r="G455" s="61" t="str">
        <f aca="false">IF($B455="","",ROUND(N($C455)*F455,2))</f>
        <v/>
      </c>
    </row>
    <row r="456" customFormat="false" ht="15" hidden="false" customHeight="false" outlineLevel="0" collapsed="false">
      <c r="A456" s="55"/>
      <c r="B456" s="56"/>
      <c r="C456" s="57"/>
      <c r="D456" s="56"/>
      <c r="E456" s="56"/>
      <c r="F456" s="61" t="str">
        <f aca="false">IF($B456="","",IFERROR(INDEX(Items!$P$5:$P$504,MATCH($B456,Items!$A$5:$A$504,0)),0))</f>
        <v/>
      </c>
      <c r="G456" s="61" t="str">
        <f aca="false">IF($B456="","",ROUND(N($C456)*F456,2))</f>
        <v/>
      </c>
    </row>
    <row r="457" customFormat="false" ht="15" hidden="false" customHeight="false" outlineLevel="0" collapsed="false">
      <c r="A457" s="55"/>
      <c r="B457" s="56"/>
      <c r="C457" s="57"/>
      <c r="D457" s="56"/>
      <c r="E457" s="56"/>
      <c r="F457" s="61" t="str">
        <f aca="false">IF($B457="","",IFERROR(INDEX(Items!$P$5:$P$504,MATCH($B457,Items!$A$5:$A$504,0)),0))</f>
        <v/>
      </c>
      <c r="G457" s="61" t="str">
        <f aca="false">IF($B457="","",ROUND(N($C457)*F457,2))</f>
        <v/>
      </c>
    </row>
    <row r="458" customFormat="false" ht="15" hidden="false" customHeight="false" outlineLevel="0" collapsed="false">
      <c r="A458" s="55"/>
      <c r="B458" s="56"/>
      <c r="C458" s="57"/>
      <c r="D458" s="56"/>
      <c r="E458" s="56"/>
      <c r="F458" s="61" t="str">
        <f aca="false">IF($B458="","",IFERROR(INDEX(Items!$P$5:$P$504,MATCH($B458,Items!$A$5:$A$504,0)),0))</f>
        <v/>
      </c>
      <c r="G458" s="61" t="str">
        <f aca="false">IF($B458="","",ROUND(N($C458)*F458,2))</f>
        <v/>
      </c>
    </row>
    <row r="459" customFormat="false" ht="15" hidden="false" customHeight="false" outlineLevel="0" collapsed="false">
      <c r="A459" s="55"/>
      <c r="B459" s="56"/>
      <c r="C459" s="57"/>
      <c r="D459" s="56"/>
      <c r="E459" s="56"/>
      <c r="F459" s="61" t="str">
        <f aca="false">IF($B459="","",IFERROR(INDEX(Items!$P$5:$P$504,MATCH($B459,Items!$A$5:$A$504,0)),0))</f>
        <v/>
      </c>
      <c r="G459" s="61" t="str">
        <f aca="false">IF($B459="","",ROUND(N($C459)*F459,2))</f>
        <v/>
      </c>
    </row>
    <row r="460" customFormat="false" ht="15" hidden="false" customHeight="false" outlineLevel="0" collapsed="false">
      <c r="A460" s="55"/>
      <c r="B460" s="56"/>
      <c r="C460" s="57"/>
      <c r="D460" s="56"/>
      <c r="E460" s="56"/>
      <c r="F460" s="61" t="str">
        <f aca="false">IF($B460="","",IFERROR(INDEX(Items!$P$5:$P$504,MATCH($B460,Items!$A$5:$A$504,0)),0))</f>
        <v/>
      </c>
      <c r="G460" s="61" t="str">
        <f aca="false">IF($B460="","",ROUND(N($C460)*F460,2))</f>
        <v/>
      </c>
    </row>
    <row r="461" customFormat="false" ht="15" hidden="false" customHeight="false" outlineLevel="0" collapsed="false">
      <c r="A461" s="55"/>
      <c r="B461" s="56"/>
      <c r="C461" s="57"/>
      <c r="D461" s="56"/>
      <c r="E461" s="56"/>
      <c r="F461" s="61" t="str">
        <f aca="false">IF($B461="","",IFERROR(INDEX(Items!$P$5:$P$504,MATCH($B461,Items!$A$5:$A$504,0)),0))</f>
        <v/>
      </c>
      <c r="G461" s="61" t="str">
        <f aca="false">IF($B461="","",ROUND(N($C461)*F461,2))</f>
        <v/>
      </c>
    </row>
    <row r="462" customFormat="false" ht="15" hidden="false" customHeight="false" outlineLevel="0" collapsed="false">
      <c r="A462" s="55"/>
      <c r="B462" s="56"/>
      <c r="C462" s="57"/>
      <c r="D462" s="56"/>
      <c r="E462" s="56"/>
      <c r="F462" s="61" t="str">
        <f aca="false">IF($B462="","",IFERROR(INDEX(Items!$P$5:$P$504,MATCH($B462,Items!$A$5:$A$504,0)),0))</f>
        <v/>
      </c>
      <c r="G462" s="61" t="str">
        <f aca="false">IF($B462="","",ROUND(N($C462)*F462,2))</f>
        <v/>
      </c>
    </row>
    <row r="463" customFormat="false" ht="15" hidden="false" customHeight="false" outlineLevel="0" collapsed="false">
      <c r="A463" s="55"/>
      <c r="B463" s="56"/>
      <c r="C463" s="57"/>
      <c r="D463" s="56"/>
      <c r="E463" s="56"/>
      <c r="F463" s="61" t="str">
        <f aca="false">IF($B463="","",IFERROR(INDEX(Items!$P$5:$P$504,MATCH($B463,Items!$A$5:$A$504,0)),0))</f>
        <v/>
      </c>
      <c r="G463" s="61" t="str">
        <f aca="false">IF($B463="","",ROUND(N($C463)*F463,2))</f>
        <v/>
      </c>
    </row>
    <row r="464" customFormat="false" ht="15" hidden="false" customHeight="false" outlineLevel="0" collapsed="false">
      <c r="A464" s="55"/>
      <c r="B464" s="56"/>
      <c r="C464" s="57"/>
      <c r="D464" s="56"/>
      <c r="E464" s="56"/>
      <c r="F464" s="61" t="str">
        <f aca="false">IF($B464="","",IFERROR(INDEX(Items!$P$5:$P$504,MATCH($B464,Items!$A$5:$A$504,0)),0))</f>
        <v/>
      </c>
      <c r="G464" s="61" t="str">
        <f aca="false">IF($B464="","",ROUND(N($C464)*F464,2))</f>
        <v/>
      </c>
    </row>
    <row r="465" customFormat="false" ht="15" hidden="false" customHeight="false" outlineLevel="0" collapsed="false">
      <c r="A465" s="55"/>
      <c r="B465" s="56"/>
      <c r="C465" s="57"/>
      <c r="D465" s="56"/>
      <c r="E465" s="56"/>
      <c r="F465" s="61" t="str">
        <f aca="false">IF($B465="","",IFERROR(INDEX(Items!$P$5:$P$504,MATCH($B465,Items!$A$5:$A$504,0)),0))</f>
        <v/>
      </c>
      <c r="G465" s="61" t="str">
        <f aca="false">IF($B465="","",ROUND(N($C465)*F465,2))</f>
        <v/>
      </c>
    </row>
    <row r="466" customFormat="false" ht="15" hidden="false" customHeight="false" outlineLevel="0" collapsed="false">
      <c r="A466" s="55"/>
      <c r="B466" s="56"/>
      <c r="C466" s="57"/>
      <c r="D466" s="56"/>
      <c r="E466" s="56"/>
      <c r="F466" s="61" t="str">
        <f aca="false">IF($B466="","",IFERROR(INDEX(Items!$P$5:$P$504,MATCH($B466,Items!$A$5:$A$504,0)),0))</f>
        <v/>
      </c>
      <c r="G466" s="61" t="str">
        <f aca="false">IF($B466="","",ROUND(N($C466)*F466,2))</f>
        <v/>
      </c>
    </row>
    <row r="467" customFormat="false" ht="15" hidden="false" customHeight="false" outlineLevel="0" collapsed="false">
      <c r="A467" s="55"/>
      <c r="B467" s="56"/>
      <c r="C467" s="57"/>
      <c r="D467" s="56"/>
      <c r="E467" s="56"/>
      <c r="F467" s="61" t="str">
        <f aca="false">IF($B467="","",IFERROR(INDEX(Items!$P$5:$P$504,MATCH($B467,Items!$A$5:$A$504,0)),0))</f>
        <v/>
      </c>
      <c r="G467" s="61" t="str">
        <f aca="false">IF($B467="","",ROUND(N($C467)*F467,2))</f>
        <v/>
      </c>
    </row>
    <row r="468" customFormat="false" ht="15" hidden="false" customHeight="false" outlineLevel="0" collapsed="false">
      <c r="A468" s="55"/>
      <c r="B468" s="56"/>
      <c r="C468" s="57"/>
      <c r="D468" s="56"/>
      <c r="E468" s="56"/>
      <c r="F468" s="61" t="str">
        <f aca="false">IF($B468="","",IFERROR(INDEX(Items!$P$5:$P$504,MATCH($B468,Items!$A$5:$A$504,0)),0))</f>
        <v/>
      </c>
      <c r="G468" s="61" t="str">
        <f aca="false">IF($B468="","",ROUND(N($C468)*F468,2))</f>
        <v/>
      </c>
    </row>
    <row r="469" customFormat="false" ht="15" hidden="false" customHeight="false" outlineLevel="0" collapsed="false">
      <c r="A469" s="55"/>
      <c r="B469" s="56"/>
      <c r="C469" s="57"/>
      <c r="D469" s="56"/>
      <c r="E469" s="56"/>
      <c r="F469" s="61" t="str">
        <f aca="false">IF($B469="","",IFERROR(INDEX(Items!$P$5:$P$504,MATCH($B469,Items!$A$5:$A$504,0)),0))</f>
        <v/>
      </c>
      <c r="G469" s="61" t="str">
        <f aca="false">IF($B469="","",ROUND(N($C469)*F469,2))</f>
        <v/>
      </c>
    </row>
    <row r="470" customFormat="false" ht="15" hidden="false" customHeight="false" outlineLevel="0" collapsed="false">
      <c r="A470" s="55"/>
      <c r="B470" s="56"/>
      <c r="C470" s="57"/>
      <c r="D470" s="56"/>
      <c r="E470" s="56"/>
      <c r="F470" s="61" t="str">
        <f aca="false">IF($B470="","",IFERROR(INDEX(Items!$P$5:$P$504,MATCH($B470,Items!$A$5:$A$504,0)),0))</f>
        <v/>
      </c>
      <c r="G470" s="61" t="str">
        <f aca="false">IF($B470="","",ROUND(N($C470)*F470,2))</f>
        <v/>
      </c>
    </row>
    <row r="471" customFormat="false" ht="15" hidden="false" customHeight="false" outlineLevel="0" collapsed="false">
      <c r="A471" s="55"/>
      <c r="B471" s="56"/>
      <c r="C471" s="57"/>
      <c r="D471" s="56"/>
      <c r="E471" s="56"/>
      <c r="F471" s="61" t="str">
        <f aca="false">IF($B471="","",IFERROR(INDEX(Items!$P$5:$P$504,MATCH($B471,Items!$A$5:$A$504,0)),0))</f>
        <v/>
      </c>
      <c r="G471" s="61" t="str">
        <f aca="false">IF($B471="","",ROUND(N($C471)*F471,2))</f>
        <v/>
      </c>
    </row>
    <row r="472" customFormat="false" ht="15" hidden="false" customHeight="false" outlineLevel="0" collapsed="false">
      <c r="A472" s="55"/>
      <c r="B472" s="56"/>
      <c r="C472" s="57"/>
      <c r="D472" s="56"/>
      <c r="E472" s="56"/>
      <c r="F472" s="61" t="str">
        <f aca="false">IF($B472="","",IFERROR(INDEX(Items!$P$5:$P$504,MATCH($B472,Items!$A$5:$A$504,0)),0))</f>
        <v/>
      </c>
      <c r="G472" s="61" t="str">
        <f aca="false">IF($B472="","",ROUND(N($C472)*F472,2))</f>
        <v/>
      </c>
    </row>
    <row r="473" customFormat="false" ht="15" hidden="false" customHeight="false" outlineLevel="0" collapsed="false">
      <c r="A473" s="55"/>
      <c r="B473" s="56"/>
      <c r="C473" s="57"/>
      <c r="D473" s="56"/>
      <c r="E473" s="56"/>
      <c r="F473" s="61" t="str">
        <f aca="false">IF($B473="","",IFERROR(INDEX(Items!$P$5:$P$504,MATCH($B473,Items!$A$5:$A$504,0)),0))</f>
        <v/>
      </c>
      <c r="G473" s="61" t="str">
        <f aca="false">IF($B473="","",ROUND(N($C473)*F473,2))</f>
        <v/>
      </c>
    </row>
    <row r="474" customFormat="false" ht="15" hidden="false" customHeight="false" outlineLevel="0" collapsed="false">
      <c r="A474" s="55"/>
      <c r="B474" s="56"/>
      <c r="C474" s="57"/>
      <c r="D474" s="56"/>
      <c r="E474" s="56"/>
      <c r="F474" s="61" t="str">
        <f aca="false">IF($B474="","",IFERROR(INDEX(Items!$P$5:$P$504,MATCH($B474,Items!$A$5:$A$504,0)),0))</f>
        <v/>
      </c>
      <c r="G474" s="61" t="str">
        <f aca="false">IF($B474="","",ROUND(N($C474)*F474,2))</f>
        <v/>
      </c>
    </row>
    <row r="475" customFormat="false" ht="15" hidden="false" customHeight="false" outlineLevel="0" collapsed="false">
      <c r="A475" s="55"/>
      <c r="B475" s="56"/>
      <c r="C475" s="57"/>
      <c r="D475" s="56"/>
      <c r="E475" s="56"/>
      <c r="F475" s="61" t="str">
        <f aca="false">IF($B475="","",IFERROR(INDEX(Items!$P$5:$P$504,MATCH($B475,Items!$A$5:$A$504,0)),0))</f>
        <v/>
      </c>
      <c r="G475" s="61" t="str">
        <f aca="false">IF($B475="","",ROUND(N($C475)*F475,2))</f>
        <v/>
      </c>
    </row>
    <row r="476" customFormat="false" ht="15" hidden="false" customHeight="false" outlineLevel="0" collapsed="false">
      <c r="A476" s="55"/>
      <c r="B476" s="56"/>
      <c r="C476" s="57"/>
      <c r="D476" s="56"/>
      <c r="E476" s="56"/>
      <c r="F476" s="61" t="str">
        <f aca="false">IF($B476="","",IFERROR(INDEX(Items!$P$5:$P$504,MATCH($B476,Items!$A$5:$A$504,0)),0))</f>
        <v/>
      </c>
      <c r="G476" s="61" t="str">
        <f aca="false">IF($B476="","",ROUND(N($C476)*F476,2))</f>
        <v/>
      </c>
    </row>
    <row r="477" customFormat="false" ht="15" hidden="false" customHeight="false" outlineLevel="0" collapsed="false">
      <c r="A477" s="55"/>
      <c r="B477" s="56"/>
      <c r="C477" s="57"/>
      <c r="D477" s="56"/>
      <c r="E477" s="56"/>
      <c r="F477" s="61" t="str">
        <f aca="false">IF($B477="","",IFERROR(INDEX(Items!$P$5:$P$504,MATCH($B477,Items!$A$5:$A$504,0)),0))</f>
        <v/>
      </c>
      <c r="G477" s="61" t="str">
        <f aca="false">IF($B477="","",ROUND(N($C477)*F477,2))</f>
        <v/>
      </c>
    </row>
    <row r="478" customFormat="false" ht="15" hidden="false" customHeight="false" outlineLevel="0" collapsed="false">
      <c r="A478" s="55"/>
      <c r="B478" s="56"/>
      <c r="C478" s="57"/>
      <c r="D478" s="56"/>
      <c r="E478" s="56"/>
      <c r="F478" s="61" t="str">
        <f aca="false">IF($B478="","",IFERROR(INDEX(Items!$P$5:$P$504,MATCH($B478,Items!$A$5:$A$504,0)),0))</f>
        <v/>
      </c>
      <c r="G478" s="61" t="str">
        <f aca="false">IF($B478="","",ROUND(N($C478)*F478,2))</f>
        <v/>
      </c>
    </row>
    <row r="479" customFormat="false" ht="15" hidden="false" customHeight="false" outlineLevel="0" collapsed="false">
      <c r="A479" s="55"/>
      <c r="B479" s="56"/>
      <c r="C479" s="57"/>
      <c r="D479" s="56"/>
      <c r="E479" s="56"/>
      <c r="F479" s="61" t="str">
        <f aca="false">IF($B479="","",IFERROR(INDEX(Items!$P$5:$P$504,MATCH($B479,Items!$A$5:$A$504,0)),0))</f>
        <v/>
      </c>
      <c r="G479" s="61" t="str">
        <f aca="false">IF($B479="","",ROUND(N($C479)*F479,2))</f>
        <v/>
      </c>
    </row>
    <row r="480" customFormat="false" ht="15" hidden="false" customHeight="false" outlineLevel="0" collapsed="false">
      <c r="A480" s="55"/>
      <c r="B480" s="56"/>
      <c r="C480" s="57"/>
      <c r="D480" s="56"/>
      <c r="E480" s="56"/>
      <c r="F480" s="61" t="str">
        <f aca="false">IF($B480="","",IFERROR(INDEX(Items!$P$5:$P$504,MATCH($B480,Items!$A$5:$A$504,0)),0))</f>
        <v/>
      </c>
      <c r="G480" s="61" t="str">
        <f aca="false">IF($B480="","",ROUND(N($C480)*F480,2))</f>
        <v/>
      </c>
    </row>
    <row r="481" customFormat="false" ht="15" hidden="false" customHeight="false" outlineLevel="0" collapsed="false">
      <c r="A481" s="55"/>
      <c r="B481" s="56"/>
      <c r="C481" s="57"/>
      <c r="D481" s="56"/>
      <c r="E481" s="56"/>
      <c r="F481" s="61" t="str">
        <f aca="false">IF($B481="","",IFERROR(INDEX(Items!$P$5:$P$504,MATCH($B481,Items!$A$5:$A$504,0)),0))</f>
        <v/>
      </c>
      <c r="G481" s="61" t="str">
        <f aca="false">IF($B481="","",ROUND(N($C481)*F481,2))</f>
        <v/>
      </c>
    </row>
    <row r="482" customFormat="false" ht="15" hidden="false" customHeight="false" outlineLevel="0" collapsed="false">
      <c r="A482" s="55"/>
      <c r="B482" s="56"/>
      <c r="C482" s="57"/>
      <c r="D482" s="56"/>
      <c r="E482" s="56"/>
      <c r="F482" s="61" t="str">
        <f aca="false">IF($B482="","",IFERROR(INDEX(Items!$P$5:$P$504,MATCH($B482,Items!$A$5:$A$504,0)),0))</f>
        <v/>
      </c>
      <c r="G482" s="61" t="str">
        <f aca="false">IF($B482="","",ROUND(N($C482)*F482,2))</f>
        <v/>
      </c>
    </row>
    <row r="483" customFormat="false" ht="15" hidden="false" customHeight="false" outlineLevel="0" collapsed="false">
      <c r="A483" s="55"/>
      <c r="B483" s="56"/>
      <c r="C483" s="57"/>
      <c r="D483" s="56"/>
      <c r="E483" s="56"/>
      <c r="F483" s="61" t="str">
        <f aca="false">IF($B483="","",IFERROR(INDEX(Items!$P$5:$P$504,MATCH($B483,Items!$A$5:$A$504,0)),0))</f>
        <v/>
      </c>
      <c r="G483" s="61" t="str">
        <f aca="false">IF($B483="","",ROUND(N($C483)*F483,2))</f>
        <v/>
      </c>
    </row>
    <row r="484" customFormat="false" ht="15" hidden="false" customHeight="false" outlineLevel="0" collapsed="false">
      <c r="A484" s="55"/>
      <c r="B484" s="56"/>
      <c r="C484" s="57"/>
      <c r="D484" s="56"/>
      <c r="E484" s="56"/>
      <c r="F484" s="61" t="str">
        <f aca="false">IF($B484="","",IFERROR(INDEX(Items!$P$5:$P$504,MATCH($B484,Items!$A$5:$A$504,0)),0))</f>
        <v/>
      </c>
      <c r="G484" s="61" t="str">
        <f aca="false">IF($B484="","",ROUND(N($C484)*F484,2))</f>
        <v/>
      </c>
    </row>
    <row r="485" customFormat="false" ht="15" hidden="false" customHeight="false" outlineLevel="0" collapsed="false">
      <c r="A485" s="55"/>
      <c r="B485" s="56"/>
      <c r="C485" s="57"/>
      <c r="D485" s="56"/>
      <c r="E485" s="56"/>
      <c r="F485" s="61" t="str">
        <f aca="false">IF($B485="","",IFERROR(INDEX(Items!$P$5:$P$504,MATCH($B485,Items!$A$5:$A$504,0)),0))</f>
        <v/>
      </c>
      <c r="G485" s="61" t="str">
        <f aca="false">IF($B485="","",ROUND(N($C485)*F485,2))</f>
        <v/>
      </c>
    </row>
    <row r="486" customFormat="false" ht="15" hidden="false" customHeight="false" outlineLevel="0" collapsed="false">
      <c r="A486" s="55"/>
      <c r="B486" s="56"/>
      <c r="C486" s="57"/>
      <c r="D486" s="56"/>
      <c r="E486" s="56"/>
      <c r="F486" s="61" t="str">
        <f aca="false">IF($B486="","",IFERROR(INDEX(Items!$P$5:$P$504,MATCH($B486,Items!$A$5:$A$504,0)),0))</f>
        <v/>
      </c>
      <c r="G486" s="61" t="str">
        <f aca="false">IF($B486="","",ROUND(N($C486)*F486,2))</f>
        <v/>
      </c>
    </row>
    <row r="487" customFormat="false" ht="15" hidden="false" customHeight="false" outlineLevel="0" collapsed="false">
      <c r="A487" s="55"/>
      <c r="B487" s="56"/>
      <c r="C487" s="57"/>
      <c r="D487" s="56"/>
      <c r="E487" s="56"/>
      <c r="F487" s="61" t="str">
        <f aca="false">IF($B487="","",IFERROR(INDEX(Items!$P$5:$P$504,MATCH($B487,Items!$A$5:$A$504,0)),0))</f>
        <v/>
      </c>
      <c r="G487" s="61" t="str">
        <f aca="false">IF($B487="","",ROUND(N($C487)*F487,2))</f>
        <v/>
      </c>
    </row>
    <row r="488" customFormat="false" ht="15" hidden="false" customHeight="false" outlineLevel="0" collapsed="false">
      <c r="A488" s="55"/>
      <c r="B488" s="56"/>
      <c r="C488" s="57"/>
      <c r="D488" s="56"/>
      <c r="E488" s="56"/>
      <c r="F488" s="61" t="str">
        <f aca="false">IF($B488="","",IFERROR(INDEX(Items!$P$5:$P$504,MATCH($B488,Items!$A$5:$A$504,0)),0))</f>
        <v/>
      </c>
      <c r="G488" s="61" t="str">
        <f aca="false">IF($B488="","",ROUND(N($C488)*F488,2))</f>
        <v/>
      </c>
    </row>
    <row r="489" customFormat="false" ht="15" hidden="false" customHeight="false" outlineLevel="0" collapsed="false">
      <c r="A489" s="55"/>
      <c r="B489" s="56"/>
      <c r="C489" s="57"/>
      <c r="D489" s="56"/>
      <c r="E489" s="56"/>
      <c r="F489" s="61" t="str">
        <f aca="false">IF($B489="","",IFERROR(INDEX(Items!$P$5:$P$504,MATCH($B489,Items!$A$5:$A$504,0)),0))</f>
        <v/>
      </c>
      <c r="G489" s="61" t="str">
        <f aca="false">IF($B489="","",ROUND(N($C489)*F489,2))</f>
        <v/>
      </c>
    </row>
    <row r="490" customFormat="false" ht="15" hidden="false" customHeight="false" outlineLevel="0" collapsed="false">
      <c r="A490" s="55"/>
      <c r="B490" s="56"/>
      <c r="C490" s="57"/>
      <c r="D490" s="56"/>
      <c r="E490" s="56"/>
      <c r="F490" s="61" t="str">
        <f aca="false">IF($B490="","",IFERROR(INDEX(Items!$P$5:$P$504,MATCH($B490,Items!$A$5:$A$504,0)),0))</f>
        <v/>
      </c>
      <c r="G490" s="61" t="str">
        <f aca="false">IF($B490="","",ROUND(N($C490)*F490,2))</f>
        <v/>
      </c>
    </row>
    <row r="491" customFormat="false" ht="15" hidden="false" customHeight="false" outlineLevel="0" collapsed="false">
      <c r="A491" s="55"/>
      <c r="B491" s="56"/>
      <c r="C491" s="57"/>
      <c r="D491" s="56"/>
      <c r="E491" s="56"/>
      <c r="F491" s="61" t="str">
        <f aca="false">IF($B491="","",IFERROR(INDEX(Items!$P$5:$P$504,MATCH($B491,Items!$A$5:$A$504,0)),0))</f>
        <v/>
      </c>
      <c r="G491" s="61" t="str">
        <f aca="false">IF($B491="","",ROUND(N($C491)*F491,2))</f>
        <v/>
      </c>
    </row>
    <row r="492" customFormat="false" ht="15" hidden="false" customHeight="false" outlineLevel="0" collapsed="false">
      <c r="A492" s="55"/>
      <c r="B492" s="56"/>
      <c r="C492" s="57"/>
      <c r="D492" s="56"/>
      <c r="E492" s="56"/>
      <c r="F492" s="61" t="str">
        <f aca="false">IF($B492="","",IFERROR(INDEX(Items!$P$5:$P$504,MATCH($B492,Items!$A$5:$A$504,0)),0))</f>
        <v/>
      </c>
      <c r="G492" s="61" t="str">
        <f aca="false">IF($B492="","",ROUND(N($C492)*F492,2))</f>
        <v/>
      </c>
    </row>
    <row r="493" customFormat="false" ht="15" hidden="false" customHeight="false" outlineLevel="0" collapsed="false">
      <c r="A493" s="55"/>
      <c r="B493" s="56"/>
      <c r="C493" s="57"/>
      <c r="D493" s="56"/>
      <c r="E493" s="56"/>
      <c r="F493" s="61" t="str">
        <f aca="false">IF($B493="","",IFERROR(INDEX(Items!$P$5:$P$504,MATCH($B493,Items!$A$5:$A$504,0)),0))</f>
        <v/>
      </c>
      <c r="G493" s="61" t="str">
        <f aca="false">IF($B493="","",ROUND(N($C493)*F493,2))</f>
        <v/>
      </c>
    </row>
    <row r="494" customFormat="false" ht="15" hidden="false" customHeight="false" outlineLevel="0" collapsed="false">
      <c r="A494" s="55"/>
      <c r="B494" s="56"/>
      <c r="C494" s="57"/>
      <c r="D494" s="56"/>
      <c r="E494" s="56"/>
      <c r="F494" s="61" t="str">
        <f aca="false">IF($B494="","",IFERROR(INDEX(Items!$P$5:$P$504,MATCH($B494,Items!$A$5:$A$504,0)),0))</f>
        <v/>
      </c>
      <c r="G494" s="61" t="str">
        <f aca="false">IF($B494="","",ROUND(N($C494)*F494,2))</f>
        <v/>
      </c>
    </row>
    <row r="495" customFormat="false" ht="15" hidden="false" customHeight="false" outlineLevel="0" collapsed="false">
      <c r="A495" s="55"/>
      <c r="B495" s="56"/>
      <c r="C495" s="57"/>
      <c r="D495" s="56"/>
      <c r="E495" s="56"/>
      <c r="F495" s="61" t="str">
        <f aca="false">IF($B495="","",IFERROR(INDEX(Items!$P$5:$P$504,MATCH($B495,Items!$A$5:$A$504,0)),0))</f>
        <v/>
      </c>
      <c r="G495" s="61" t="str">
        <f aca="false">IF($B495="","",ROUND(N($C495)*F495,2))</f>
        <v/>
      </c>
    </row>
    <row r="496" customFormat="false" ht="15" hidden="false" customHeight="false" outlineLevel="0" collapsed="false">
      <c r="A496" s="55"/>
      <c r="B496" s="56"/>
      <c r="C496" s="57"/>
      <c r="D496" s="56"/>
      <c r="E496" s="56"/>
      <c r="F496" s="61" t="str">
        <f aca="false">IF($B496="","",IFERROR(INDEX(Items!$P$5:$P$504,MATCH($B496,Items!$A$5:$A$504,0)),0))</f>
        <v/>
      </c>
      <c r="G496" s="61" t="str">
        <f aca="false">IF($B496="","",ROUND(N($C496)*F496,2))</f>
        <v/>
      </c>
    </row>
    <row r="497" customFormat="false" ht="15" hidden="false" customHeight="false" outlineLevel="0" collapsed="false">
      <c r="A497" s="55"/>
      <c r="B497" s="56"/>
      <c r="C497" s="57"/>
      <c r="D497" s="56"/>
      <c r="E497" s="56"/>
      <c r="F497" s="61" t="str">
        <f aca="false">IF($B497="","",IFERROR(INDEX(Items!$P$5:$P$504,MATCH($B497,Items!$A$5:$A$504,0)),0))</f>
        <v/>
      </c>
      <c r="G497" s="61" t="str">
        <f aca="false">IF($B497="","",ROUND(N($C497)*F497,2))</f>
        <v/>
      </c>
    </row>
    <row r="498" customFormat="false" ht="15" hidden="false" customHeight="false" outlineLevel="0" collapsed="false">
      <c r="A498" s="55"/>
      <c r="B498" s="56"/>
      <c r="C498" s="57"/>
      <c r="D498" s="56"/>
      <c r="E498" s="56"/>
      <c r="F498" s="61" t="str">
        <f aca="false">IF($B498="","",IFERROR(INDEX(Items!$P$5:$P$504,MATCH($B498,Items!$A$5:$A$504,0)),0))</f>
        <v/>
      </c>
      <c r="G498" s="61" t="str">
        <f aca="false">IF($B498="","",ROUND(N($C498)*F498,2))</f>
        <v/>
      </c>
    </row>
    <row r="499" customFormat="false" ht="15" hidden="false" customHeight="false" outlineLevel="0" collapsed="false">
      <c r="A499" s="55"/>
      <c r="B499" s="56"/>
      <c r="C499" s="57"/>
      <c r="D499" s="56"/>
      <c r="E499" s="56"/>
      <c r="F499" s="61" t="str">
        <f aca="false">IF($B499="","",IFERROR(INDEX(Items!$P$5:$P$504,MATCH($B499,Items!$A$5:$A$504,0)),0))</f>
        <v/>
      </c>
      <c r="G499" s="61" t="str">
        <f aca="false">IF($B499="","",ROUND(N($C499)*F499,2))</f>
        <v/>
      </c>
    </row>
    <row r="500" customFormat="false" ht="15" hidden="false" customHeight="false" outlineLevel="0" collapsed="false">
      <c r="A500" s="55"/>
      <c r="B500" s="56"/>
      <c r="C500" s="57"/>
      <c r="D500" s="56"/>
      <c r="E500" s="56"/>
      <c r="F500" s="61" t="str">
        <f aca="false">IF($B500="","",IFERROR(INDEX(Items!$P$5:$P$504,MATCH($B500,Items!$A$5:$A$504,0)),0))</f>
        <v/>
      </c>
      <c r="G500" s="61" t="str">
        <f aca="false">IF($B500="","",ROUND(N($C500)*F500,2))</f>
        <v/>
      </c>
    </row>
    <row r="501" customFormat="false" ht="15" hidden="false" customHeight="false" outlineLevel="0" collapsed="false">
      <c r="A501" s="55"/>
      <c r="B501" s="56"/>
      <c r="C501" s="57"/>
      <c r="D501" s="56"/>
      <c r="E501" s="56"/>
      <c r="F501" s="61" t="str">
        <f aca="false">IF($B501="","",IFERROR(INDEX(Items!$P$5:$P$504,MATCH($B501,Items!$A$5:$A$504,0)),0))</f>
        <v/>
      </c>
      <c r="G501" s="61" t="str">
        <f aca="false">IF($B501="","",ROUND(N($C501)*F501,2))</f>
        <v/>
      </c>
    </row>
    <row r="502" customFormat="false" ht="15" hidden="false" customHeight="false" outlineLevel="0" collapsed="false">
      <c r="A502" s="55"/>
      <c r="B502" s="56"/>
      <c r="C502" s="57"/>
      <c r="D502" s="56"/>
      <c r="E502" s="56"/>
      <c r="F502" s="61" t="str">
        <f aca="false">IF($B502="","",IFERROR(INDEX(Items!$P$5:$P$504,MATCH($B502,Items!$A$5:$A$504,0)),0))</f>
        <v/>
      </c>
      <c r="G502" s="61" t="str">
        <f aca="false">IF($B502="","",ROUND(N($C502)*F502,2))</f>
        <v/>
      </c>
    </row>
    <row r="503" customFormat="false" ht="15" hidden="false" customHeight="false" outlineLevel="0" collapsed="false">
      <c r="A503" s="55"/>
      <c r="B503" s="56"/>
      <c r="C503" s="57"/>
      <c r="D503" s="56"/>
      <c r="E503" s="56"/>
      <c r="F503" s="61" t="str">
        <f aca="false">IF($B503="","",IFERROR(INDEX(Items!$P$5:$P$504,MATCH($B503,Items!$A$5:$A$504,0)),0))</f>
        <v/>
      </c>
      <c r="G503" s="61" t="str">
        <f aca="false">IF($B503="","",ROUND(N($C503)*F503,2))</f>
        <v/>
      </c>
    </row>
    <row r="504" customFormat="false" ht="15" hidden="false" customHeight="false" outlineLevel="0" collapsed="false">
      <c r="A504" s="55"/>
      <c r="B504" s="56"/>
      <c r="C504" s="57"/>
      <c r="D504" s="56"/>
      <c r="E504" s="56"/>
      <c r="F504" s="61" t="str">
        <f aca="false">IF($B504="","",IFERROR(INDEX(Items!$P$5:$P$504,MATCH($B504,Items!$A$5:$A$504,0)),0))</f>
        <v/>
      </c>
      <c r="G504" s="61" t="str">
        <f aca="false">IF($B504="","",ROUND(N($C504)*F504,2))</f>
        <v/>
      </c>
    </row>
  </sheetData>
  <autoFilter ref="A4:G504"/>
  <mergeCells count="2">
    <mergeCell ref="A1:G1"/>
    <mergeCell ref="A2:G2"/>
  </mergeCells>
  <dataValidations count="2">
    <dataValidation allowBlank="true" error="Pick a value from the list (add new masters on the master sheet first)." errorStyle="stop" operator="between" showDropDown="false" showErrorMessage="true" showInputMessage="false" sqref="B5:B504" type="list">
      <formula1>L_Items</formula1>
      <formula2>0</formula2>
    </dataValidation>
    <dataValidation allowBlank="true" error="Pick a value from the list (add new masters on the master sheet first)." errorStyle="stop" operator="between" showDropDown="false" showErrorMessage="true" showInputMessage="false" sqref="D5:D504" type="list">
      <formula1>L_AdjReasons</formula1>
      <formula2>0</formula2>
    </dataValidation>
  </dataValidations>
  <hyperlinks>
    <hyperlink ref="I1" r:id="rId1" location="Dashboard!A1" display="« Ho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474F"/>
    <pageSetUpPr fitToPage="true"/>
  </sheetPr>
  <dimension ref="A1:M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5" min="4" style="0" width="7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8" min="8" style="0" width="13"/>
    <col collapsed="false" customWidth="true" hidden="false" outlineLevel="0" max="9" min="9" style="0" width="7"/>
    <col collapsed="false" customWidth="true" hidden="false" outlineLevel="0" max="10" min="10" style="0" width="12"/>
    <col collapsed="false" customWidth="true" hidden="false" outlineLevel="0" max="11" min="11" style="0" width="14"/>
  </cols>
  <sheetData>
    <row r="1" customFormat="false" ht="22.05" hidden="false" customHeight="false" outlineLevel="0" collapsed="false">
      <c r="A1" s="70" t="str">
        <f aca="false">CoName</f>
        <v>Your Trading Co.</v>
      </c>
      <c r="B1" s="70"/>
      <c r="C1" s="70"/>
      <c r="D1" s="70"/>
      <c r="E1" s="70"/>
      <c r="F1" s="70"/>
      <c r="G1" s="70"/>
      <c r="H1" s="70"/>
      <c r="I1" s="70"/>
      <c r="J1" s="70"/>
      <c r="K1" s="70"/>
    </row>
    <row r="2" customFormat="false" ht="15" hidden="false" customHeight="false" outlineLevel="0" collapsed="false">
      <c r="A2" s="71" t="str">
        <f aca="false">CoAddr&amp;"  ·  "&amp;CoPhone</f>
        <v>Shop 12, Main Market, Jaipur  ·  +91 98xxxxxx00</v>
      </c>
      <c r="B2" s="71"/>
      <c r="C2" s="71"/>
      <c r="D2" s="71"/>
      <c r="E2" s="71"/>
      <c r="F2" s="71"/>
      <c r="G2" s="71"/>
      <c r="H2" s="71"/>
      <c r="I2" s="71"/>
      <c r="J2" s="71"/>
      <c r="K2" s="71"/>
    </row>
    <row r="3" customFormat="false" ht="15" hidden="false" customHeight="false" outlineLevel="0" collapsed="false">
      <c r="A3" s="71" t="str">
        <f aca="false">"GSTIN: "&amp;CoGSTIN&amp;"  ·  State: "&amp;HomeState</f>
        <v>GSTIN: 08ABCDE1234F1Z5  ·  State: Rajasthan</v>
      </c>
      <c r="B3" s="71"/>
      <c r="C3" s="71"/>
      <c r="D3" s="71"/>
      <c r="E3" s="71"/>
      <c r="F3" s="71"/>
      <c r="G3" s="71"/>
      <c r="H3" s="71"/>
      <c r="I3" s="71"/>
      <c r="J3" s="71"/>
      <c r="K3" s="71"/>
      <c r="M3" s="50" t="s">
        <v>43</v>
      </c>
    </row>
    <row r="5" customFormat="false" ht="16.15" hidden="false" customHeight="false" outlineLevel="0" collapsed="false">
      <c r="A5" s="72" t="s">
        <v>510</v>
      </c>
      <c r="B5" s="72"/>
      <c r="C5" s="72"/>
      <c r="D5" s="72"/>
      <c r="E5" s="72"/>
      <c r="F5" s="72"/>
      <c r="G5" s="72"/>
      <c r="H5" s="72"/>
      <c r="I5" s="72"/>
      <c r="J5" s="72"/>
      <c r="K5" s="72"/>
    </row>
    <row r="7" customFormat="false" ht="15" hidden="false" customHeight="false" outlineLevel="0" collapsed="false">
      <c r="B7" s="5" t="s">
        <v>511</v>
      </c>
      <c r="C7" s="73" t="str">
        <f aca="false">IF(COUNTA(Sales!$B$5:INDEX(Sales!$B$5:$B$3004,TxRows))=0,"",INDEX(Sales!$B$5:INDEX(Sales!$B$5:$B$3004,TxRows),COUNTA(Sales!$B$5:INDEX(Sales!$B$5:$B$3004,TxRows))))</f>
        <v>INV-0127</v>
      </c>
      <c r="G7" s="5" t="s">
        <v>512</v>
      </c>
      <c r="H7" s="74" t="str">
        <f aca="false">IFERROR(INDEX(Sales!$C$5:INDEX(Sales!$C$5:$C$3004,TxRows),MATCH($C$7,Sales!$B$5:INDEX(Sales!$B$5:$B$3004,TxRows),0)),"")</f>
        <v>Walk-in Customer</v>
      </c>
    </row>
    <row r="8" customFormat="false" ht="15" hidden="false" customHeight="false" outlineLevel="0" collapsed="false">
      <c r="B8" s="5" t="s">
        <v>513</v>
      </c>
      <c r="C8" s="75" t="n">
        <f aca="false">IFERROR(INDEX(Sales!$A$5:INDEX(Sales!$A$5:$A$3004,TxRows),MATCH($C$7,Sales!$B$5:INDEX(Sales!$B$5:$B$3004,TxRows),0)),"")</f>
        <v>46304</v>
      </c>
      <c r="G8" s="5" t="s">
        <v>454</v>
      </c>
      <c r="H8" s="0" t="str">
        <f aca="false">IFERROR(INDEX(Parties!$D$5:$D$304,MATCH($H$7,Parties!$A$5:$A$304,0))&amp;"","")</f>
        <v/>
      </c>
    </row>
    <row r="9" customFormat="false" ht="15" hidden="false" customHeight="false" outlineLevel="0" collapsed="false">
      <c r="B9" s="5" t="s">
        <v>280</v>
      </c>
      <c r="C9" s="0" t="str">
        <f aca="false">IFERROR(IF(INDEX(Sales!$H$5:INDEX(Sales!$H$5:$H$3004,TxRows),MATCH($C$7,Sales!$B$5:INDEX(Sales!$B$5:$B$3004,TxRows),0))="","Credit",INDEX(Sales!$H$5:INDEX(Sales!$H$5:$H$3004,TxRows),MATCH($C$7,Sales!$B$5:INDEX(Sales!$B$5:$B$3004,TxRows),0))),"")</f>
        <v>Cash</v>
      </c>
      <c r="G9" s="5" t="s">
        <v>455</v>
      </c>
      <c r="H9" s="0" t="str">
        <f aca="false">IFERROR(INDEX(Parties!$E$5:$E$304,MATCH($H$7,Parties!$A$5:$A$304,0))&amp;"","")</f>
        <v>Rajasthan</v>
      </c>
    </row>
    <row r="10" customFormat="false" ht="15" hidden="false" customHeight="false" outlineLevel="0" collapsed="false">
      <c r="G10" s="5" t="s">
        <v>456</v>
      </c>
      <c r="H10" s="0" t="str">
        <f aca="false">IFERROR(INDEX(Parties!$F$5:$F$304,MATCH($H$7,Parties!$A$5:$A$304,0))&amp;"","")</f>
        <v/>
      </c>
    </row>
    <row r="12" customFormat="false" ht="15" hidden="false" customHeight="false" outlineLevel="0" collapsed="false">
      <c r="A12" s="53" t="s">
        <v>36</v>
      </c>
      <c r="B12" s="53" t="s">
        <v>37</v>
      </c>
      <c r="C12" s="53" t="s">
        <v>396</v>
      </c>
      <c r="D12" s="53" t="s">
        <v>514</v>
      </c>
      <c r="E12" s="53" t="s">
        <v>56</v>
      </c>
      <c r="F12" s="53" t="s">
        <v>515</v>
      </c>
      <c r="G12" s="53" t="s">
        <v>53</v>
      </c>
      <c r="H12" s="53" t="s">
        <v>58</v>
      </c>
      <c r="I12" s="53" t="s">
        <v>59</v>
      </c>
      <c r="J12" s="53" t="s">
        <v>516</v>
      </c>
      <c r="K12" s="53" t="s">
        <v>517</v>
      </c>
    </row>
    <row r="13" customFormat="false" ht="15" hidden="false" customHeight="false" outlineLevel="0" collapsed="false">
      <c r="A13" s="76" t="n">
        <f aca="false">IF(IFERROR(INDEX(Sales!$B$5:INDEX(Sales!$B$5:$B$3004,TxRows),(MATCH($C$7,Sales!$B$5:INDEX(Sales!$B$5:$B$3004,TxRows),0)+0))=$C$7,FALSE()),1,"")</f>
        <v>1</v>
      </c>
      <c r="B13" s="76" t="str">
        <f aca="false">IF($A13="","",INDEX(Sales!$D$5:INDEX(Sales!$D$5:$D$3004,TxRows),(MATCH($C$7,Sales!$B$5:INDEX(Sales!$B$5:$B$3004,TxRows),0)+0)))</f>
        <v>Sugar 50kg</v>
      </c>
      <c r="C13" s="76" t="str">
        <f aca="false">IF($A13="","",IFERROR(INDEX(Items!$E$5:$E$504,INDEX(Sales!$U$5:INDEX(Sales!$U$5:$U$3004,TxRows),(MATCH($C$7,Sales!$B$5:INDEX(Sales!$B$5:$B$3004,TxRows),0)+0)))&amp;"",""))</f>
        <v>1701</v>
      </c>
      <c r="D13" s="77" t="n">
        <f aca="false">IF($A13="","",INDEX(Sales!$E$5:INDEX(Sales!$E$5:$E$3004,TxRows),(MATCH($C$7,Sales!$B$5:INDEX(Sales!$B$5:$B$3004,TxRows),0)+0)))</f>
        <v>3</v>
      </c>
      <c r="E13" s="76" t="str">
        <f aca="false">IF($A13="","",INDEX(Sales!$J$5:INDEX(Sales!$J$5:$J$3004,TxRows),(MATCH($C$7,Sales!$B$5:INDEX(Sales!$B$5:$B$3004,TxRows),0)+0)))</f>
        <v>Bag</v>
      </c>
      <c r="F13" s="78" t="n">
        <f aca="false">IF($A13="","",INDEX(Sales!$K$5:INDEX(Sales!$K$5:$K$3004,TxRows),(MATCH($C$7,Sales!$B$5:INDEX(Sales!$B$5:$B$3004,TxRows),0)+0)))</f>
        <v>2462</v>
      </c>
      <c r="G13" s="79" t="n">
        <f aca="false">IF($A13="","",N(INDEX(Sales!$G$5:INDEX(Sales!$G$5:$G$3004,TxRows),(MATCH($C$7,Sales!$B$5:INDEX(Sales!$B$5:$B$3004,TxRows),0)+0))))</f>
        <v>0</v>
      </c>
      <c r="H13" s="78" t="n">
        <f aca="false">IF($A13="","",INDEX(Sales!$L$5:INDEX(Sales!$L$5:$L$3004,TxRows),(MATCH($C$7,Sales!$B$5:INDEX(Sales!$B$5:$B$3004,TxRows),0)+0)))</f>
        <v>7386</v>
      </c>
      <c r="I13" s="80" t="n">
        <f aca="false">IF($A13="","",INDEX(Sales!$M$5:INDEX(Sales!$M$5:$M$3004,TxRows),(MATCH($C$7,Sales!$B$5:INDEX(Sales!$B$5:$B$3004,TxRows),0)+0)))</f>
        <v>0.05</v>
      </c>
      <c r="J13" s="78" t="n">
        <f aca="false">IF($A13="","",INDEX(Sales!$N$5:INDEX(Sales!$N$5:$N$3004,TxRows),(MATCH($C$7,Sales!$B$5:INDEX(Sales!$B$5:$B$3004,TxRows),0)+0))+INDEX(Sales!$O$5:INDEX(Sales!$O$5:$O$3004,TxRows),(MATCH($C$7,Sales!$B$5:INDEX(Sales!$B$5:$B$3004,TxRows),0)+0))+INDEX(Sales!$P$5:INDEX(Sales!$P$5:$P$3004,TxRows),(MATCH($C$7,Sales!$B$5:INDEX(Sales!$B$5:$B$3004,TxRows),0)+0)))</f>
        <v>369.3</v>
      </c>
      <c r="K13" s="78" t="n">
        <f aca="false">IF($A13="","",INDEX(Sales!$Q$5:INDEX(Sales!$Q$5:$Q$3004,TxRows),(MATCH($C$7,Sales!$B$5:INDEX(Sales!$B$5:$B$3004,TxRows),0)+0)))</f>
        <v>7755.3</v>
      </c>
    </row>
    <row r="14" customFormat="false" ht="15" hidden="false" customHeight="false" outlineLevel="0" collapsed="false">
      <c r="A14" s="76" t="str">
        <f aca="false">IF(IFERROR(INDEX(Sales!$B$5:INDEX(Sales!$B$5:$B$3004,TxRows),(MATCH($C$7,Sales!$B$5:INDEX(Sales!$B$5:$B$3004,TxRows),0)+1))=$C$7,FALSE()),2,"")</f>
        <v/>
      </c>
      <c r="B14" s="76" t="str">
        <f aca="false">IF($A14="","",INDEX(Sales!$D$5:INDEX(Sales!$D$5:$D$3004,TxRows),(MATCH($C$7,Sales!$B$5:INDEX(Sales!$B$5:$B$3004,TxRows),0)+1)))</f>
        <v/>
      </c>
      <c r="C14" s="76" t="str">
        <f aca="false">IF($A14="","",IFERROR(INDEX(Items!$E$5:$E$504,INDEX(Sales!$U$5:INDEX(Sales!$U$5:$U$3004,TxRows),(MATCH($C$7,Sales!$B$5:INDEX(Sales!$B$5:$B$3004,TxRows),0)+1)))&amp;"",""))</f>
        <v/>
      </c>
      <c r="D14" s="77" t="str">
        <f aca="false">IF($A14="","",INDEX(Sales!$E$5:INDEX(Sales!$E$5:$E$3004,TxRows),(MATCH($C$7,Sales!$B$5:INDEX(Sales!$B$5:$B$3004,TxRows),0)+1)))</f>
        <v/>
      </c>
      <c r="E14" s="76" t="str">
        <f aca="false">IF($A14="","",INDEX(Sales!$J$5:INDEX(Sales!$J$5:$J$3004,TxRows),(MATCH($C$7,Sales!$B$5:INDEX(Sales!$B$5:$B$3004,TxRows),0)+1)))</f>
        <v/>
      </c>
      <c r="F14" s="78" t="str">
        <f aca="false">IF($A14="","",INDEX(Sales!$K$5:INDEX(Sales!$K$5:$K$3004,TxRows),(MATCH($C$7,Sales!$B$5:INDEX(Sales!$B$5:$B$3004,TxRows),0)+1)))</f>
        <v/>
      </c>
      <c r="G14" s="79" t="str">
        <f aca="false">IF($A14="","",N(INDEX(Sales!$G$5:INDEX(Sales!$G$5:$G$3004,TxRows),(MATCH($C$7,Sales!$B$5:INDEX(Sales!$B$5:$B$3004,TxRows),0)+1))))</f>
        <v/>
      </c>
      <c r="H14" s="78" t="str">
        <f aca="false">IF($A14="","",INDEX(Sales!$L$5:INDEX(Sales!$L$5:$L$3004,TxRows),(MATCH($C$7,Sales!$B$5:INDEX(Sales!$B$5:$B$3004,TxRows),0)+1)))</f>
        <v/>
      </c>
      <c r="I14" s="80" t="str">
        <f aca="false">IF($A14="","",INDEX(Sales!$M$5:INDEX(Sales!$M$5:$M$3004,TxRows),(MATCH($C$7,Sales!$B$5:INDEX(Sales!$B$5:$B$3004,TxRows),0)+1)))</f>
        <v/>
      </c>
      <c r="J14" s="78" t="str">
        <f aca="false">IF($A14="","",INDEX(Sales!$N$5:INDEX(Sales!$N$5:$N$3004,TxRows),(MATCH($C$7,Sales!$B$5:INDEX(Sales!$B$5:$B$3004,TxRows),0)+1))+INDEX(Sales!$O$5:INDEX(Sales!$O$5:$O$3004,TxRows),(MATCH($C$7,Sales!$B$5:INDEX(Sales!$B$5:$B$3004,TxRows),0)+1))+INDEX(Sales!$P$5:INDEX(Sales!$P$5:$P$3004,TxRows),(MATCH($C$7,Sales!$B$5:INDEX(Sales!$B$5:$B$3004,TxRows),0)+1)))</f>
        <v/>
      </c>
      <c r="K14" s="78" t="str">
        <f aca="false">IF($A14="","",INDEX(Sales!$Q$5:INDEX(Sales!$Q$5:$Q$3004,TxRows),(MATCH($C$7,Sales!$B$5:INDEX(Sales!$B$5:$B$3004,TxRows),0)+1)))</f>
        <v/>
      </c>
    </row>
    <row r="15" customFormat="false" ht="15" hidden="false" customHeight="false" outlineLevel="0" collapsed="false">
      <c r="A15" s="76" t="str">
        <f aca="false">IF(IFERROR(INDEX(Sales!$B$5:INDEX(Sales!$B$5:$B$3004,TxRows),(MATCH($C$7,Sales!$B$5:INDEX(Sales!$B$5:$B$3004,TxRows),0)+2))=$C$7,FALSE()),3,"")</f>
        <v/>
      </c>
      <c r="B15" s="76" t="str">
        <f aca="false">IF($A15="","",INDEX(Sales!$D$5:INDEX(Sales!$D$5:$D$3004,TxRows),(MATCH($C$7,Sales!$B$5:INDEX(Sales!$B$5:$B$3004,TxRows),0)+2)))</f>
        <v/>
      </c>
      <c r="C15" s="76" t="str">
        <f aca="false">IF($A15="","",IFERROR(INDEX(Items!$E$5:$E$504,INDEX(Sales!$U$5:INDEX(Sales!$U$5:$U$3004,TxRows),(MATCH($C$7,Sales!$B$5:INDEX(Sales!$B$5:$B$3004,TxRows),0)+2)))&amp;"",""))</f>
        <v/>
      </c>
      <c r="D15" s="77" t="str">
        <f aca="false">IF($A15="","",INDEX(Sales!$E$5:INDEX(Sales!$E$5:$E$3004,TxRows),(MATCH($C$7,Sales!$B$5:INDEX(Sales!$B$5:$B$3004,TxRows),0)+2)))</f>
        <v/>
      </c>
      <c r="E15" s="76" t="str">
        <f aca="false">IF($A15="","",INDEX(Sales!$J$5:INDEX(Sales!$J$5:$J$3004,TxRows),(MATCH($C$7,Sales!$B$5:INDEX(Sales!$B$5:$B$3004,TxRows),0)+2)))</f>
        <v/>
      </c>
      <c r="F15" s="78" t="str">
        <f aca="false">IF($A15="","",INDEX(Sales!$K$5:INDEX(Sales!$K$5:$K$3004,TxRows),(MATCH($C$7,Sales!$B$5:INDEX(Sales!$B$5:$B$3004,TxRows),0)+2)))</f>
        <v/>
      </c>
      <c r="G15" s="79" t="str">
        <f aca="false">IF($A15="","",N(INDEX(Sales!$G$5:INDEX(Sales!$G$5:$G$3004,TxRows),(MATCH($C$7,Sales!$B$5:INDEX(Sales!$B$5:$B$3004,TxRows),0)+2))))</f>
        <v/>
      </c>
      <c r="H15" s="78" t="str">
        <f aca="false">IF($A15="","",INDEX(Sales!$L$5:INDEX(Sales!$L$5:$L$3004,TxRows),(MATCH($C$7,Sales!$B$5:INDEX(Sales!$B$5:$B$3004,TxRows),0)+2)))</f>
        <v/>
      </c>
      <c r="I15" s="80" t="str">
        <f aca="false">IF($A15="","",INDEX(Sales!$M$5:INDEX(Sales!$M$5:$M$3004,TxRows),(MATCH($C$7,Sales!$B$5:INDEX(Sales!$B$5:$B$3004,TxRows),0)+2)))</f>
        <v/>
      </c>
      <c r="J15" s="78" t="str">
        <f aca="false">IF($A15="","",INDEX(Sales!$N$5:INDEX(Sales!$N$5:$N$3004,TxRows),(MATCH($C$7,Sales!$B$5:INDEX(Sales!$B$5:$B$3004,TxRows),0)+2))+INDEX(Sales!$O$5:INDEX(Sales!$O$5:$O$3004,TxRows),(MATCH($C$7,Sales!$B$5:INDEX(Sales!$B$5:$B$3004,TxRows),0)+2))+INDEX(Sales!$P$5:INDEX(Sales!$P$5:$P$3004,TxRows),(MATCH($C$7,Sales!$B$5:INDEX(Sales!$B$5:$B$3004,TxRows),0)+2)))</f>
        <v/>
      </c>
      <c r="K15" s="78" t="str">
        <f aca="false">IF($A15="","",INDEX(Sales!$Q$5:INDEX(Sales!$Q$5:$Q$3004,TxRows),(MATCH($C$7,Sales!$B$5:INDEX(Sales!$B$5:$B$3004,TxRows),0)+2)))</f>
        <v/>
      </c>
    </row>
    <row r="16" customFormat="false" ht="15" hidden="false" customHeight="false" outlineLevel="0" collapsed="false">
      <c r="A16" s="76" t="str">
        <f aca="false">IF(IFERROR(INDEX(Sales!$B$5:INDEX(Sales!$B$5:$B$3004,TxRows),(MATCH($C$7,Sales!$B$5:INDEX(Sales!$B$5:$B$3004,TxRows),0)+3))=$C$7,FALSE()),4,"")</f>
        <v/>
      </c>
      <c r="B16" s="76" t="str">
        <f aca="false">IF($A16="","",INDEX(Sales!$D$5:INDEX(Sales!$D$5:$D$3004,TxRows),(MATCH($C$7,Sales!$B$5:INDEX(Sales!$B$5:$B$3004,TxRows),0)+3)))</f>
        <v/>
      </c>
      <c r="C16" s="76" t="str">
        <f aca="false">IF($A16="","",IFERROR(INDEX(Items!$E$5:$E$504,INDEX(Sales!$U$5:INDEX(Sales!$U$5:$U$3004,TxRows),(MATCH($C$7,Sales!$B$5:INDEX(Sales!$B$5:$B$3004,TxRows),0)+3)))&amp;"",""))</f>
        <v/>
      </c>
      <c r="D16" s="77" t="str">
        <f aca="false">IF($A16="","",INDEX(Sales!$E$5:INDEX(Sales!$E$5:$E$3004,TxRows),(MATCH($C$7,Sales!$B$5:INDEX(Sales!$B$5:$B$3004,TxRows),0)+3)))</f>
        <v/>
      </c>
      <c r="E16" s="76" t="str">
        <f aca="false">IF($A16="","",INDEX(Sales!$J$5:INDEX(Sales!$J$5:$J$3004,TxRows),(MATCH($C$7,Sales!$B$5:INDEX(Sales!$B$5:$B$3004,TxRows),0)+3)))</f>
        <v/>
      </c>
      <c r="F16" s="78" t="str">
        <f aca="false">IF($A16="","",INDEX(Sales!$K$5:INDEX(Sales!$K$5:$K$3004,TxRows),(MATCH($C$7,Sales!$B$5:INDEX(Sales!$B$5:$B$3004,TxRows),0)+3)))</f>
        <v/>
      </c>
      <c r="G16" s="79" t="str">
        <f aca="false">IF($A16="","",N(INDEX(Sales!$G$5:INDEX(Sales!$G$5:$G$3004,TxRows),(MATCH($C$7,Sales!$B$5:INDEX(Sales!$B$5:$B$3004,TxRows),0)+3))))</f>
        <v/>
      </c>
      <c r="H16" s="78" t="str">
        <f aca="false">IF($A16="","",INDEX(Sales!$L$5:INDEX(Sales!$L$5:$L$3004,TxRows),(MATCH($C$7,Sales!$B$5:INDEX(Sales!$B$5:$B$3004,TxRows),0)+3)))</f>
        <v/>
      </c>
      <c r="I16" s="80" t="str">
        <f aca="false">IF($A16="","",INDEX(Sales!$M$5:INDEX(Sales!$M$5:$M$3004,TxRows),(MATCH($C$7,Sales!$B$5:INDEX(Sales!$B$5:$B$3004,TxRows),0)+3)))</f>
        <v/>
      </c>
      <c r="J16" s="78" t="str">
        <f aca="false">IF($A16="","",INDEX(Sales!$N$5:INDEX(Sales!$N$5:$N$3004,TxRows),(MATCH($C$7,Sales!$B$5:INDEX(Sales!$B$5:$B$3004,TxRows),0)+3))+INDEX(Sales!$O$5:INDEX(Sales!$O$5:$O$3004,TxRows),(MATCH($C$7,Sales!$B$5:INDEX(Sales!$B$5:$B$3004,TxRows),0)+3))+INDEX(Sales!$P$5:INDEX(Sales!$P$5:$P$3004,TxRows),(MATCH($C$7,Sales!$B$5:INDEX(Sales!$B$5:$B$3004,TxRows),0)+3)))</f>
        <v/>
      </c>
      <c r="K16" s="78" t="str">
        <f aca="false">IF($A16="","",INDEX(Sales!$Q$5:INDEX(Sales!$Q$5:$Q$3004,TxRows),(MATCH($C$7,Sales!$B$5:INDEX(Sales!$B$5:$B$3004,TxRows),0)+3)))</f>
        <v/>
      </c>
    </row>
    <row r="17" customFormat="false" ht="15" hidden="false" customHeight="false" outlineLevel="0" collapsed="false">
      <c r="A17" s="76" t="str">
        <f aca="false">IF(IFERROR(INDEX(Sales!$B$5:INDEX(Sales!$B$5:$B$3004,TxRows),(MATCH($C$7,Sales!$B$5:INDEX(Sales!$B$5:$B$3004,TxRows),0)+4))=$C$7,FALSE()),5,"")</f>
        <v/>
      </c>
      <c r="B17" s="76" t="str">
        <f aca="false">IF($A17="","",INDEX(Sales!$D$5:INDEX(Sales!$D$5:$D$3004,TxRows),(MATCH($C$7,Sales!$B$5:INDEX(Sales!$B$5:$B$3004,TxRows),0)+4)))</f>
        <v/>
      </c>
      <c r="C17" s="76" t="str">
        <f aca="false">IF($A17="","",IFERROR(INDEX(Items!$E$5:$E$504,INDEX(Sales!$U$5:INDEX(Sales!$U$5:$U$3004,TxRows),(MATCH($C$7,Sales!$B$5:INDEX(Sales!$B$5:$B$3004,TxRows),0)+4)))&amp;"",""))</f>
        <v/>
      </c>
      <c r="D17" s="77" t="str">
        <f aca="false">IF($A17="","",INDEX(Sales!$E$5:INDEX(Sales!$E$5:$E$3004,TxRows),(MATCH($C$7,Sales!$B$5:INDEX(Sales!$B$5:$B$3004,TxRows),0)+4)))</f>
        <v/>
      </c>
      <c r="E17" s="76" t="str">
        <f aca="false">IF($A17="","",INDEX(Sales!$J$5:INDEX(Sales!$J$5:$J$3004,TxRows),(MATCH($C$7,Sales!$B$5:INDEX(Sales!$B$5:$B$3004,TxRows),0)+4)))</f>
        <v/>
      </c>
      <c r="F17" s="78" t="str">
        <f aca="false">IF($A17="","",INDEX(Sales!$K$5:INDEX(Sales!$K$5:$K$3004,TxRows),(MATCH($C$7,Sales!$B$5:INDEX(Sales!$B$5:$B$3004,TxRows),0)+4)))</f>
        <v/>
      </c>
      <c r="G17" s="79" t="str">
        <f aca="false">IF($A17="","",N(INDEX(Sales!$G$5:INDEX(Sales!$G$5:$G$3004,TxRows),(MATCH($C$7,Sales!$B$5:INDEX(Sales!$B$5:$B$3004,TxRows),0)+4))))</f>
        <v/>
      </c>
      <c r="H17" s="78" t="str">
        <f aca="false">IF($A17="","",INDEX(Sales!$L$5:INDEX(Sales!$L$5:$L$3004,TxRows),(MATCH($C$7,Sales!$B$5:INDEX(Sales!$B$5:$B$3004,TxRows),0)+4)))</f>
        <v/>
      </c>
      <c r="I17" s="80" t="str">
        <f aca="false">IF($A17="","",INDEX(Sales!$M$5:INDEX(Sales!$M$5:$M$3004,TxRows),(MATCH($C$7,Sales!$B$5:INDEX(Sales!$B$5:$B$3004,TxRows),0)+4)))</f>
        <v/>
      </c>
      <c r="J17" s="78" t="str">
        <f aca="false">IF($A17="","",INDEX(Sales!$N$5:INDEX(Sales!$N$5:$N$3004,TxRows),(MATCH($C$7,Sales!$B$5:INDEX(Sales!$B$5:$B$3004,TxRows),0)+4))+INDEX(Sales!$O$5:INDEX(Sales!$O$5:$O$3004,TxRows),(MATCH($C$7,Sales!$B$5:INDEX(Sales!$B$5:$B$3004,TxRows),0)+4))+INDEX(Sales!$P$5:INDEX(Sales!$P$5:$P$3004,TxRows),(MATCH($C$7,Sales!$B$5:INDEX(Sales!$B$5:$B$3004,TxRows),0)+4)))</f>
        <v/>
      </c>
      <c r="K17" s="78" t="str">
        <f aca="false">IF($A17="","",INDEX(Sales!$Q$5:INDEX(Sales!$Q$5:$Q$3004,TxRows),(MATCH($C$7,Sales!$B$5:INDEX(Sales!$B$5:$B$3004,TxRows),0)+4)))</f>
        <v/>
      </c>
    </row>
    <row r="18" customFormat="false" ht="15" hidden="false" customHeight="false" outlineLevel="0" collapsed="false">
      <c r="A18" s="76" t="str">
        <f aca="false">IF(IFERROR(INDEX(Sales!$B$5:INDEX(Sales!$B$5:$B$3004,TxRows),(MATCH($C$7,Sales!$B$5:INDEX(Sales!$B$5:$B$3004,TxRows),0)+5))=$C$7,FALSE()),6,"")</f>
        <v/>
      </c>
      <c r="B18" s="76" t="str">
        <f aca="false">IF($A18="","",INDEX(Sales!$D$5:INDEX(Sales!$D$5:$D$3004,TxRows),(MATCH($C$7,Sales!$B$5:INDEX(Sales!$B$5:$B$3004,TxRows),0)+5)))</f>
        <v/>
      </c>
      <c r="C18" s="76" t="str">
        <f aca="false">IF($A18="","",IFERROR(INDEX(Items!$E$5:$E$504,INDEX(Sales!$U$5:INDEX(Sales!$U$5:$U$3004,TxRows),(MATCH($C$7,Sales!$B$5:INDEX(Sales!$B$5:$B$3004,TxRows),0)+5)))&amp;"",""))</f>
        <v/>
      </c>
      <c r="D18" s="77" t="str">
        <f aca="false">IF($A18="","",INDEX(Sales!$E$5:INDEX(Sales!$E$5:$E$3004,TxRows),(MATCH($C$7,Sales!$B$5:INDEX(Sales!$B$5:$B$3004,TxRows),0)+5)))</f>
        <v/>
      </c>
      <c r="E18" s="76" t="str">
        <f aca="false">IF($A18="","",INDEX(Sales!$J$5:INDEX(Sales!$J$5:$J$3004,TxRows),(MATCH($C$7,Sales!$B$5:INDEX(Sales!$B$5:$B$3004,TxRows),0)+5)))</f>
        <v/>
      </c>
      <c r="F18" s="78" t="str">
        <f aca="false">IF($A18="","",INDEX(Sales!$K$5:INDEX(Sales!$K$5:$K$3004,TxRows),(MATCH($C$7,Sales!$B$5:INDEX(Sales!$B$5:$B$3004,TxRows),0)+5)))</f>
        <v/>
      </c>
      <c r="G18" s="79" t="str">
        <f aca="false">IF($A18="","",N(INDEX(Sales!$G$5:INDEX(Sales!$G$5:$G$3004,TxRows),(MATCH($C$7,Sales!$B$5:INDEX(Sales!$B$5:$B$3004,TxRows),0)+5))))</f>
        <v/>
      </c>
      <c r="H18" s="78" t="str">
        <f aca="false">IF($A18="","",INDEX(Sales!$L$5:INDEX(Sales!$L$5:$L$3004,TxRows),(MATCH($C$7,Sales!$B$5:INDEX(Sales!$B$5:$B$3004,TxRows),0)+5)))</f>
        <v/>
      </c>
      <c r="I18" s="80" t="str">
        <f aca="false">IF($A18="","",INDEX(Sales!$M$5:INDEX(Sales!$M$5:$M$3004,TxRows),(MATCH($C$7,Sales!$B$5:INDEX(Sales!$B$5:$B$3004,TxRows),0)+5)))</f>
        <v/>
      </c>
      <c r="J18" s="78" t="str">
        <f aca="false">IF($A18="","",INDEX(Sales!$N$5:INDEX(Sales!$N$5:$N$3004,TxRows),(MATCH($C$7,Sales!$B$5:INDEX(Sales!$B$5:$B$3004,TxRows),0)+5))+INDEX(Sales!$O$5:INDEX(Sales!$O$5:$O$3004,TxRows),(MATCH($C$7,Sales!$B$5:INDEX(Sales!$B$5:$B$3004,TxRows),0)+5))+INDEX(Sales!$P$5:INDEX(Sales!$P$5:$P$3004,TxRows),(MATCH($C$7,Sales!$B$5:INDEX(Sales!$B$5:$B$3004,TxRows),0)+5)))</f>
        <v/>
      </c>
      <c r="K18" s="78" t="str">
        <f aca="false">IF($A18="","",INDEX(Sales!$Q$5:INDEX(Sales!$Q$5:$Q$3004,TxRows),(MATCH($C$7,Sales!$B$5:INDEX(Sales!$B$5:$B$3004,TxRows),0)+5)))</f>
        <v/>
      </c>
    </row>
    <row r="19" customFormat="false" ht="15" hidden="false" customHeight="false" outlineLevel="0" collapsed="false">
      <c r="A19" s="76" t="str">
        <f aca="false">IF(IFERROR(INDEX(Sales!$B$5:INDEX(Sales!$B$5:$B$3004,TxRows),(MATCH($C$7,Sales!$B$5:INDEX(Sales!$B$5:$B$3004,TxRows),0)+6))=$C$7,FALSE()),7,"")</f>
        <v/>
      </c>
      <c r="B19" s="76" t="str">
        <f aca="false">IF($A19="","",INDEX(Sales!$D$5:INDEX(Sales!$D$5:$D$3004,TxRows),(MATCH($C$7,Sales!$B$5:INDEX(Sales!$B$5:$B$3004,TxRows),0)+6)))</f>
        <v/>
      </c>
      <c r="C19" s="76" t="str">
        <f aca="false">IF($A19="","",IFERROR(INDEX(Items!$E$5:$E$504,INDEX(Sales!$U$5:INDEX(Sales!$U$5:$U$3004,TxRows),(MATCH($C$7,Sales!$B$5:INDEX(Sales!$B$5:$B$3004,TxRows),0)+6)))&amp;"",""))</f>
        <v/>
      </c>
      <c r="D19" s="77" t="str">
        <f aca="false">IF($A19="","",INDEX(Sales!$E$5:INDEX(Sales!$E$5:$E$3004,TxRows),(MATCH($C$7,Sales!$B$5:INDEX(Sales!$B$5:$B$3004,TxRows),0)+6)))</f>
        <v/>
      </c>
      <c r="E19" s="76" t="str">
        <f aca="false">IF($A19="","",INDEX(Sales!$J$5:INDEX(Sales!$J$5:$J$3004,TxRows),(MATCH($C$7,Sales!$B$5:INDEX(Sales!$B$5:$B$3004,TxRows),0)+6)))</f>
        <v/>
      </c>
      <c r="F19" s="78" t="str">
        <f aca="false">IF($A19="","",INDEX(Sales!$K$5:INDEX(Sales!$K$5:$K$3004,TxRows),(MATCH($C$7,Sales!$B$5:INDEX(Sales!$B$5:$B$3004,TxRows),0)+6)))</f>
        <v/>
      </c>
      <c r="G19" s="79" t="str">
        <f aca="false">IF($A19="","",N(INDEX(Sales!$G$5:INDEX(Sales!$G$5:$G$3004,TxRows),(MATCH($C$7,Sales!$B$5:INDEX(Sales!$B$5:$B$3004,TxRows),0)+6))))</f>
        <v/>
      </c>
      <c r="H19" s="78" t="str">
        <f aca="false">IF($A19="","",INDEX(Sales!$L$5:INDEX(Sales!$L$5:$L$3004,TxRows),(MATCH($C$7,Sales!$B$5:INDEX(Sales!$B$5:$B$3004,TxRows),0)+6)))</f>
        <v/>
      </c>
      <c r="I19" s="80" t="str">
        <f aca="false">IF($A19="","",INDEX(Sales!$M$5:INDEX(Sales!$M$5:$M$3004,TxRows),(MATCH($C$7,Sales!$B$5:INDEX(Sales!$B$5:$B$3004,TxRows),0)+6)))</f>
        <v/>
      </c>
      <c r="J19" s="78" t="str">
        <f aca="false">IF($A19="","",INDEX(Sales!$N$5:INDEX(Sales!$N$5:$N$3004,TxRows),(MATCH($C$7,Sales!$B$5:INDEX(Sales!$B$5:$B$3004,TxRows),0)+6))+INDEX(Sales!$O$5:INDEX(Sales!$O$5:$O$3004,TxRows),(MATCH($C$7,Sales!$B$5:INDEX(Sales!$B$5:$B$3004,TxRows),0)+6))+INDEX(Sales!$P$5:INDEX(Sales!$P$5:$P$3004,TxRows),(MATCH($C$7,Sales!$B$5:INDEX(Sales!$B$5:$B$3004,TxRows),0)+6)))</f>
        <v/>
      </c>
      <c r="K19" s="78" t="str">
        <f aca="false">IF($A19="","",INDEX(Sales!$Q$5:INDEX(Sales!$Q$5:$Q$3004,TxRows),(MATCH($C$7,Sales!$B$5:INDEX(Sales!$B$5:$B$3004,TxRows),0)+6)))</f>
        <v/>
      </c>
    </row>
    <row r="20" customFormat="false" ht="15" hidden="false" customHeight="false" outlineLevel="0" collapsed="false">
      <c r="A20" s="76" t="str">
        <f aca="false">IF(IFERROR(INDEX(Sales!$B$5:INDEX(Sales!$B$5:$B$3004,TxRows),(MATCH($C$7,Sales!$B$5:INDEX(Sales!$B$5:$B$3004,TxRows),0)+7))=$C$7,FALSE()),8,"")</f>
        <v/>
      </c>
      <c r="B20" s="76" t="str">
        <f aca="false">IF($A20="","",INDEX(Sales!$D$5:INDEX(Sales!$D$5:$D$3004,TxRows),(MATCH($C$7,Sales!$B$5:INDEX(Sales!$B$5:$B$3004,TxRows),0)+7)))</f>
        <v/>
      </c>
      <c r="C20" s="76" t="str">
        <f aca="false">IF($A20="","",IFERROR(INDEX(Items!$E$5:$E$504,INDEX(Sales!$U$5:INDEX(Sales!$U$5:$U$3004,TxRows),(MATCH($C$7,Sales!$B$5:INDEX(Sales!$B$5:$B$3004,TxRows),0)+7)))&amp;"",""))</f>
        <v/>
      </c>
      <c r="D20" s="77" t="str">
        <f aca="false">IF($A20="","",INDEX(Sales!$E$5:INDEX(Sales!$E$5:$E$3004,TxRows),(MATCH($C$7,Sales!$B$5:INDEX(Sales!$B$5:$B$3004,TxRows),0)+7)))</f>
        <v/>
      </c>
      <c r="E20" s="76" t="str">
        <f aca="false">IF($A20="","",INDEX(Sales!$J$5:INDEX(Sales!$J$5:$J$3004,TxRows),(MATCH($C$7,Sales!$B$5:INDEX(Sales!$B$5:$B$3004,TxRows),0)+7)))</f>
        <v/>
      </c>
      <c r="F20" s="78" t="str">
        <f aca="false">IF($A20="","",INDEX(Sales!$K$5:INDEX(Sales!$K$5:$K$3004,TxRows),(MATCH($C$7,Sales!$B$5:INDEX(Sales!$B$5:$B$3004,TxRows),0)+7)))</f>
        <v/>
      </c>
      <c r="G20" s="79" t="str">
        <f aca="false">IF($A20="","",N(INDEX(Sales!$G$5:INDEX(Sales!$G$5:$G$3004,TxRows),(MATCH($C$7,Sales!$B$5:INDEX(Sales!$B$5:$B$3004,TxRows),0)+7))))</f>
        <v/>
      </c>
      <c r="H20" s="78" t="str">
        <f aca="false">IF($A20="","",INDEX(Sales!$L$5:INDEX(Sales!$L$5:$L$3004,TxRows),(MATCH($C$7,Sales!$B$5:INDEX(Sales!$B$5:$B$3004,TxRows),0)+7)))</f>
        <v/>
      </c>
      <c r="I20" s="80" t="str">
        <f aca="false">IF($A20="","",INDEX(Sales!$M$5:INDEX(Sales!$M$5:$M$3004,TxRows),(MATCH($C$7,Sales!$B$5:INDEX(Sales!$B$5:$B$3004,TxRows),0)+7)))</f>
        <v/>
      </c>
      <c r="J20" s="78" t="str">
        <f aca="false">IF($A20="","",INDEX(Sales!$N$5:INDEX(Sales!$N$5:$N$3004,TxRows),(MATCH($C$7,Sales!$B$5:INDEX(Sales!$B$5:$B$3004,TxRows),0)+7))+INDEX(Sales!$O$5:INDEX(Sales!$O$5:$O$3004,TxRows),(MATCH($C$7,Sales!$B$5:INDEX(Sales!$B$5:$B$3004,TxRows),0)+7))+INDEX(Sales!$P$5:INDEX(Sales!$P$5:$P$3004,TxRows),(MATCH($C$7,Sales!$B$5:INDEX(Sales!$B$5:$B$3004,TxRows),0)+7)))</f>
        <v/>
      </c>
      <c r="K20" s="78" t="str">
        <f aca="false">IF($A20="","",INDEX(Sales!$Q$5:INDEX(Sales!$Q$5:$Q$3004,TxRows),(MATCH($C$7,Sales!$B$5:INDEX(Sales!$B$5:$B$3004,TxRows),0)+7)))</f>
        <v/>
      </c>
    </row>
    <row r="21" customFormat="false" ht="15" hidden="false" customHeight="false" outlineLevel="0" collapsed="false">
      <c r="A21" s="76" t="str">
        <f aca="false">IF(IFERROR(INDEX(Sales!$B$5:INDEX(Sales!$B$5:$B$3004,TxRows),(MATCH($C$7,Sales!$B$5:INDEX(Sales!$B$5:$B$3004,TxRows),0)+8))=$C$7,FALSE()),9,"")</f>
        <v/>
      </c>
      <c r="B21" s="76" t="str">
        <f aca="false">IF($A21="","",INDEX(Sales!$D$5:INDEX(Sales!$D$5:$D$3004,TxRows),(MATCH($C$7,Sales!$B$5:INDEX(Sales!$B$5:$B$3004,TxRows),0)+8)))</f>
        <v/>
      </c>
      <c r="C21" s="76" t="str">
        <f aca="false">IF($A21="","",IFERROR(INDEX(Items!$E$5:$E$504,INDEX(Sales!$U$5:INDEX(Sales!$U$5:$U$3004,TxRows),(MATCH($C$7,Sales!$B$5:INDEX(Sales!$B$5:$B$3004,TxRows),0)+8)))&amp;"",""))</f>
        <v/>
      </c>
      <c r="D21" s="77" t="str">
        <f aca="false">IF($A21="","",INDEX(Sales!$E$5:INDEX(Sales!$E$5:$E$3004,TxRows),(MATCH($C$7,Sales!$B$5:INDEX(Sales!$B$5:$B$3004,TxRows),0)+8)))</f>
        <v/>
      </c>
      <c r="E21" s="76" t="str">
        <f aca="false">IF($A21="","",INDEX(Sales!$J$5:INDEX(Sales!$J$5:$J$3004,TxRows),(MATCH($C$7,Sales!$B$5:INDEX(Sales!$B$5:$B$3004,TxRows),0)+8)))</f>
        <v/>
      </c>
      <c r="F21" s="78" t="str">
        <f aca="false">IF($A21="","",INDEX(Sales!$K$5:INDEX(Sales!$K$5:$K$3004,TxRows),(MATCH($C$7,Sales!$B$5:INDEX(Sales!$B$5:$B$3004,TxRows),0)+8)))</f>
        <v/>
      </c>
      <c r="G21" s="79" t="str">
        <f aca="false">IF($A21="","",N(INDEX(Sales!$G$5:INDEX(Sales!$G$5:$G$3004,TxRows),(MATCH($C$7,Sales!$B$5:INDEX(Sales!$B$5:$B$3004,TxRows),0)+8))))</f>
        <v/>
      </c>
      <c r="H21" s="78" t="str">
        <f aca="false">IF($A21="","",INDEX(Sales!$L$5:INDEX(Sales!$L$5:$L$3004,TxRows),(MATCH($C$7,Sales!$B$5:INDEX(Sales!$B$5:$B$3004,TxRows),0)+8)))</f>
        <v/>
      </c>
      <c r="I21" s="80" t="str">
        <f aca="false">IF($A21="","",INDEX(Sales!$M$5:INDEX(Sales!$M$5:$M$3004,TxRows),(MATCH($C$7,Sales!$B$5:INDEX(Sales!$B$5:$B$3004,TxRows),0)+8)))</f>
        <v/>
      </c>
      <c r="J21" s="78" t="str">
        <f aca="false">IF($A21="","",INDEX(Sales!$N$5:INDEX(Sales!$N$5:$N$3004,TxRows),(MATCH($C$7,Sales!$B$5:INDEX(Sales!$B$5:$B$3004,TxRows),0)+8))+INDEX(Sales!$O$5:INDEX(Sales!$O$5:$O$3004,TxRows),(MATCH($C$7,Sales!$B$5:INDEX(Sales!$B$5:$B$3004,TxRows),0)+8))+INDEX(Sales!$P$5:INDEX(Sales!$P$5:$P$3004,TxRows),(MATCH($C$7,Sales!$B$5:INDEX(Sales!$B$5:$B$3004,TxRows),0)+8)))</f>
        <v/>
      </c>
      <c r="K21" s="78" t="str">
        <f aca="false">IF($A21="","",INDEX(Sales!$Q$5:INDEX(Sales!$Q$5:$Q$3004,TxRows),(MATCH($C$7,Sales!$B$5:INDEX(Sales!$B$5:$B$3004,TxRows),0)+8)))</f>
        <v/>
      </c>
    </row>
    <row r="22" customFormat="false" ht="15" hidden="false" customHeight="false" outlineLevel="0" collapsed="false">
      <c r="A22" s="76" t="str">
        <f aca="false">IF(IFERROR(INDEX(Sales!$B$5:INDEX(Sales!$B$5:$B$3004,TxRows),(MATCH($C$7,Sales!$B$5:INDEX(Sales!$B$5:$B$3004,TxRows),0)+9))=$C$7,FALSE()),10,"")</f>
        <v/>
      </c>
      <c r="B22" s="76" t="str">
        <f aca="false">IF($A22="","",INDEX(Sales!$D$5:INDEX(Sales!$D$5:$D$3004,TxRows),(MATCH($C$7,Sales!$B$5:INDEX(Sales!$B$5:$B$3004,TxRows),0)+9)))</f>
        <v/>
      </c>
      <c r="C22" s="76" t="str">
        <f aca="false">IF($A22="","",IFERROR(INDEX(Items!$E$5:$E$504,INDEX(Sales!$U$5:INDEX(Sales!$U$5:$U$3004,TxRows),(MATCH($C$7,Sales!$B$5:INDEX(Sales!$B$5:$B$3004,TxRows),0)+9)))&amp;"",""))</f>
        <v/>
      </c>
      <c r="D22" s="77" t="str">
        <f aca="false">IF($A22="","",INDEX(Sales!$E$5:INDEX(Sales!$E$5:$E$3004,TxRows),(MATCH($C$7,Sales!$B$5:INDEX(Sales!$B$5:$B$3004,TxRows),0)+9)))</f>
        <v/>
      </c>
      <c r="E22" s="76" t="str">
        <f aca="false">IF($A22="","",INDEX(Sales!$J$5:INDEX(Sales!$J$5:$J$3004,TxRows),(MATCH($C$7,Sales!$B$5:INDEX(Sales!$B$5:$B$3004,TxRows),0)+9)))</f>
        <v/>
      </c>
      <c r="F22" s="78" t="str">
        <f aca="false">IF($A22="","",INDEX(Sales!$K$5:INDEX(Sales!$K$5:$K$3004,TxRows),(MATCH($C$7,Sales!$B$5:INDEX(Sales!$B$5:$B$3004,TxRows),0)+9)))</f>
        <v/>
      </c>
      <c r="G22" s="79" t="str">
        <f aca="false">IF($A22="","",N(INDEX(Sales!$G$5:INDEX(Sales!$G$5:$G$3004,TxRows),(MATCH($C$7,Sales!$B$5:INDEX(Sales!$B$5:$B$3004,TxRows),0)+9))))</f>
        <v/>
      </c>
      <c r="H22" s="78" t="str">
        <f aca="false">IF($A22="","",INDEX(Sales!$L$5:INDEX(Sales!$L$5:$L$3004,TxRows),(MATCH($C$7,Sales!$B$5:INDEX(Sales!$B$5:$B$3004,TxRows),0)+9)))</f>
        <v/>
      </c>
      <c r="I22" s="80" t="str">
        <f aca="false">IF($A22="","",INDEX(Sales!$M$5:INDEX(Sales!$M$5:$M$3004,TxRows),(MATCH($C$7,Sales!$B$5:INDEX(Sales!$B$5:$B$3004,TxRows),0)+9)))</f>
        <v/>
      </c>
      <c r="J22" s="78" t="str">
        <f aca="false">IF($A22="","",INDEX(Sales!$N$5:INDEX(Sales!$N$5:$N$3004,TxRows),(MATCH($C$7,Sales!$B$5:INDEX(Sales!$B$5:$B$3004,TxRows),0)+9))+INDEX(Sales!$O$5:INDEX(Sales!$O$5:$O$3004,TxRows),(MATCH($C$7,Sales!$B$5:INDEX(Sales!$B$5:$B$3004,TxRows),0)+9))+INDEX(Sales!$P$5:INDEX(Sales!$P$5:$P$3004,TxRows),(MATCH($C$7,Sales!$B$5:INDEX(Sales!$B$5:$B$3004,TxRows),0)+9)))</f>
        <v/>
      </c>
      <c r="K22" s="78" t="str">
        <f aca="false">IF($A22="","",INDEX(Sales!$Q$5:INDEX(Sales!$Q$5:$Q$3004,TxRows),(MATCH($C$7,Sales!$B$5:INDEX(Sales!$B$5:$B$3004,TxRows),0)+9)))</f>
        <v/>
      </c>
    </row>
    <row r="23" customFormat="false" ht="15" hidden="false" customHeight="false" outlineLevel="0" collapsed="false">
      <c r="A23" s="76" t="str">
        <f aca="false">IF(IFERROR(INDEX(Sales!$B$5:INDEX(Sales!$B$5:$B$3004,TxRows),(MATCH($C$7,Sales!$B$5:INDEX(Sales!$B$5:$B$3004,TxRows),0)+10))=$C$7,FALSE()),11,"")</f>
        <v/>
      </c>
      <c r="B23" s="76" t="str">
        <f aca="false">IF($A23="","",INDEX(Sales!$D$5:INDEX(Sales!$D$5:$D$3004,TxRows),(MATCH($C$7,Sales!$B$5:INDEX(Sales!$B$5:$B$3004,TxRows),0)+10)))</f>
        <v/>
      </c>
      <c r="C23" s="76" t="str">
        <f aca="false">IF($A23="","",IFERROR(INDEX(Items!$E$5:$E$504,INDEX(Sales!$U$5:INDEX(Sales!$U$5:$U$3004,TxRows),(MATCH($C$7,Sales!$B$5:INDEX(Sales!$B$5:$B$3004,TxRows),0)+10)))&amp;"",""))</f>
        <v/>
      </c>
      <c r="D23" s="77" t="str">
        <f aca="false">IF($A23="","",INDEX(Sales!$E$5:INDEX(Sales!$E$5:$E$3004,TxRows),(MATCH($C$7,Sales!$B$5:INDEX(Sales!$B$5:$B$3004,TxRows),0)+10)))</f>
        <v/>
      </c>
      <c r="E23" s="76" t="str">
        <f aca="false">IF($A23="","",INDEX(Sales!$J$5:INDEX(Sales!$J$5:$J$3004,TxRows),(MATCH($C$7,Sales!$B$5:INDEX(Sales!$B$5:$B$3004,TxRows),0)+10)))</f>
        <v/>
      </c>
      <c r="F23" s="78" t="str">
        <f aca="false">IF($A23="","",INDEX(Sales!$K$5:INDEX(Sales!$K$5:$K$3004,TxRows),(MATCH($C$7,Sales!$B$5:INDEX(Sales!$B$5:$B$3004,TxRows),0)+10)))</f>
        <v/>
      </c>
      <c r="G23" s="79" t="str">
        <f aca="false">IF($A23="","",N(INDEX(Sales!$G$5:INDEX(Sales!$G$5:$G$3004,TxRows),(MATCH($C$7,Sales!$B$5:INDEX(Sales!$B$5:$B$3004,TxRows),0)+10))))</f>
        <v/>
      </c>
      <c r="H23" s="78" t="str">
        <f aca="false">IF($A23="","",INDEX(Sales!$L$5:INDEX(Sales!$L$5:$L$3004,TxRows),(MATCH($C$7,Sales!$B$5:INDEX(Sales!$B$5:$B$3004,TxRows),0)+10)))</f>
        <v/>
      </c>
      <c r="I23" s="80" t="str">
        <f aca="false">IF($A23="","",INDEX(Sales!$M$5:INDEX(Sales!$M$5:$M$3004,TxRows),(MATCH($C$7,Sales!$B$5:INDEX(Sales!$B$5:$B$3004,TxRows),0)+10)))</f>
        <v/>
      </c>
      <c r="J23" s="78" t="str">
        <f aca="false">IF($A23="","",INDEX(Sales!$N$5:INDEX(Sales!$N$5:$N$3004,TxRows),(MATCH($C$7,Sales!$B$5:INDEX(Sales!$B$5:$B$3004,TxRows),0)+10))+INDEX(Sales!$O$5:INDEX(Sales!$O$5:$O$3004,TxRows),(MATCH($C$7,Sales!$B$5:INDEX(Sales!$B$5:$B$3004,TxRows),0)+10))+INDEX(Sales!$P$5:INDEX(Sales!$P$5:$P$3004,TxRows),(MATCH($C$7,Sales!$B$5:INDEX(Sales!$B$5:$B$3004,TxRows),0)+10)))</f>
        <v/>
      </c>
      <c r="K23" s="78" t="str">
        <f aca="false">IF($A23="","",INDEX(Sales!$Q$5:INDEX(Sales!$Q$5:$Q$3004,TxRows),(MATCH($C$7,Sales!$B$5:INDEX(Sales!$B$5:$B$3004,TxRows),0)+10)))</f>
        <v/>
      </c>
    </row>
    <row r="24" customFormat="false" ht="15" hidden="false" customHeight="false" outlineLevel="0" collapsed="false">
      <c r="A24" s="76" t="str">
        <f aca="false">IF(IFERROR(INDEX(Sales!$B$5:INDEX(Sales!$B$5:$B$3004,TxRows),(MATCH($C$7,Sales!$B$5:INDEX(Sales!$B$5:$B$3004,TxRows),0)+11))=$C$7,FALSE()),12,"")</f>
        <v/>
      </c>
      <c r="B24" s="76" t="str">
        <f aca="false">IF($A24="","",INDEX(Sales!$D$5:INDEX(Sales!$D$5:$D$3004,TxRows),(MATCH($C$7,Sales!$B$5:INDEX(Sales!$B$5:$B$3004,TxRows),0)+11)))</f>
        <v/>
      </c>
      <c r="C24" s="76" t="str">
        <f aca="false">IF($A24="","",IFERROR(INDEX(Items!$E$5:$E$504,INDEX(Sales!$U$5:INDEX(Sales!$U$5:$U$3004,TxRows),(MATCH($C$7,Sales!$B$5:INDEX(Sales!$B$5:$B$3004,TxRows),0)+11)))&amp;"",""))</f>
        <v/>
      </c>
      <c r="D24" s="77" t="str">
        <f aca="false">IF($A24="","",INDEX(Sales!$E$5:INDEX(Sales!$E$5:$E$3004,TxRows),(MATCH($C$7,Sales!$B$5:INDEX(Sales!$B$5:$B$3004,TxRows),0)+11)))</f>
        <v/>
      </c>
      <c r="E24" s="76" t="str">
        <f aca="false">IF($A24="","",INDEX(Sales!$J$5:INDEX(Sales!$J$5:$J$3004,TxRows),(MATCH($C$7,Sales!$B$5:INDEX(Sales!$B$5:$B$3004,TxRows),0)+11)))</f>
        <v/>
      </c>
      <c r="F24" s="78" t="str">
        <f aca="false">IF($A24="","",INDEX(Sales!$K$5:INDEX(Sales!$K$5:$K$3004,TxRows),(MATCH($C$7,Sales!$B$5:INDEX(Sales!$B$5:$B$3004,TxRows),0)+11)))</f>
        <v/>
      </c>
      <c r="G24" s="79" t="str">
        <f aca="false">IF($A24="","",N(INDEX(Sales!$G$5:INDEX(Sales!$G$5:$G$3004,TxRows),(MATCH($C$7,Sales!$B$5:INDEX(Sales!$B$5:$B$3004,TxRows),0)+11))))</f>
        <v/>
      </c>
      <c r="H24" s="78" t="str">
        <f aca="false">IF($A24="","",INDEX(Sales!$L$5:INDEX(Sales!$L$5:$L$3004,TxRows),(MATCH($C$7,Sales!$B$5:INDEX(Sales!$B$5:$B$3004,TxRows),0)+11)))</f>
        <v/>
      </c>
      <c r="I24" s="80" t="str">
        <f aca="false">IF($A24="","",INDEX(Sales!$M$5:INDEX(Sales!$M$5:$M$3004,TxRows),(MATCH($C$7,Sales!$B$5:INDEX(Sales!$B$5:$B$3004,TxRows),0)+11)))</f>
        <v/>
      </c>
      <c r="J24" s="78" t="str">
        <f aca="false">IF($A24="","",INDEX(Sales!$N$5:INDEX(Sales!$N$5:$N$3004,TxRows),(MATCH($C$7,Sales!$B$5:INDEX(Sales!$B$5:$B$3004,TxRows),0)+11))+INDEX(Sales!$O$5:INDEX(Sales!$O$5:$O$3004,TxRows),(MATCH($C$7,Sales!$B$5:INDEX(Sales!$B$5:$B$3004,TxRows),0)+11))+INDEX(Sales!$P$5:INDEX(Sales!$P$5:$P$3004,TxRows),(MATCH($C$7,Sales!$B$5:INDEX(Sales!$B$5:$B$3004,TxRows),0)+11)))</f>
        <v/>
      </c>
      <c r="K24" s="78" t="str">
        <f aca="false">IF($A24="","",INDEX(Sales!$Q$5:INDEX(Sales!$Q$5:$Q$3004,TxRows),(MATCH($C$7,Sales!$B$5:INDEX(Sales!$B$5:$B$3004,TxRows),0)+11)))</f>
        <v/>
      </c>
    </row>
    <row r="25" customFormat="false" ht="15" hidden="false" customHeight="false" outlineLevel="0" collapsed="false">
      <c r="A25" s="76" t="str">
        <f aca="false">IF(IFERROR(INDEX(Sales!$B$5:INDEX(Sales!$B$5:$B$3004,TxRows),(MATCH($C$7,Sales!$B$5:INDEX(Sales!$B$5:$B$3004,TxRows),0)+12))=$C$7,FALSE()),13,"")</f>
        <v/>
      </c>
      <c r="B25" s="76" t="str">
        <f aca="false">IF($A25="","",INDEX(Sales!$D$5:INDEX(Sales!$D$5:$D$3004,TxRows),(MATCH($C$7,Sales!$B$5:INDEX(Sales!$B$5:$B$3004,TxRows),0)+12)))</f>
        <v/>
      </c>
      <c r="C25" s="76" t="str">
        <f aca="false">IF($A25="","",IFERROR(INDEX(Items!$E$5:$E$504,INDEX(Sales!$U$5:INDEX(Sales!$U$5:$U$3004,TxRows),(MATCH($C$7,Sales!$B$5:INDEX(Sales!$B$5:$B$3004,TxRows),0)+12)))&amp;"",""))</f>
        <v/>
      </c>
      <c r="D25" s="77" t="str">
        <f aca="false">IF($A25="","",INDEX(Sales!$E$5:INDEX(Sales!$E$5:$E$3004,TxRows),(MATCH($C$7,Sales!$B$5:INDEX(Sales!$B$5:$B$3004,TxRows),0)+12)))</f>
        <v/>
      </c>
      <c r="E25" s="76" t="str">
        <f aca="false">IF($A25="","",INDEX(Sales!$J$5:INDEX(Sales!$J$5:$J$3004,TxRows),(MATCH($C$7,Sales!$B$5:INDEX(Sales!$B$5:$B$3004,TxRows),0)+12)))</f>
        <v/>
      </c>
      <c r="F25" s="78" t="str">
        <f aca="false">IF($A25="","",INDEX(Sales!$K$5:INDEX(Sales!$K$5:$K$3004,TxRows),(MATCH($C$7,Sales!$B$5:INDEX(Sales!$B$5:$B$3004,TxRows),0)+12)))</f>
        <v/>
      </c>
      <c r="G25" s="79" t="str">
        <f aca="false">IF($A25="","",N(INDEX(Sales!$G$5:INDEX(Sales!$G$5:$G$3004,TxRows),(MATCH($C$7,Sales!$B$5:INDEX(Sales!$B$5:$B$3004,TxRows),0)+12))))</f>
        <v/>
      </c>
      <c r="H25" s="78" t="str">
        <f aca="false">IF($A25="","",INDEX(Sales!$L$5:INDEX(Sales!$L$5:$L$3004,TxRows),(MATCH($C$7,Sales!$B$5:INDEX(Sales!$B$5:$B$3004,TxRows),0)+12)))</f>
        <v/>
      </c>
      <c r="I25" s="80" t="str">
        <f aca="false">IF($A25="","",INDEX(Sales!$M$5:INDEX(Sales!$M$5:$M$3004,TxRows),(MATCH($C$7,Sales!$B$5:INDEX(Sales!$B$5:$B$3004,TxRows),0)+12)))</f>
        <v/>
      </c>
      <c r="J25" s="78" t="str">
        <f aca="false">IF($A25="","",INDEX(Sales!$N$5:INDEX(Sales!$N$5:$N$3004,TxRows),(MATCH($C$7,Sales!$B$5:INDEX(Sales!$B$5:$B$3004,TxRows),0)+12))+INDEX(Sales!$O$5:INDEX(Sales!$O$5:$O$3004,TxRows),(MATCH($C$7,Sales!$B$5:INDEX(Sales!$B$5:$B$3004,TxRows),0)+12))+INDEX(Sales!$P$5:INDEX(Sales!$P$5:$P$3004,TxRows),(MATCH($C$7,Sales!$B$5:INDEX(Sales!$B$5:$B$3004,TxRows),0)+12)))</f>
        <v/>
      </c>
      <c r="K25" s="78" t="str">
        <f aca="false">IF($A25="","",INDEX(Sales!$Q$5:INDEX(Sales!$Q$5:$Q$3004,TxRows),(MATCH($C$7,Sales!$B$5:INDEX(Sales!$B$5:$B$3004,TxRows),0)+12)))</f>
        <v/>
      </c>
    </row>
    <row r="26" customFormat="false" ht="15" hidden="false" customHeight="false" outlineLevel="0" collapsed="false">
      <c r="A26" s="76" t="str">
        <f aca="false">IF(IFERROR(INDEX(Sales!$B$5:INDEX(Sales!$B$5:$B$3004,TxRows),(MATCH($C$7,Sales!$B$5:INDEX(Sales!$B$5:$B$3004,TxRows),0)+13))=$C$7,FALSE()),14,"")</f>
        <v/>
      </c>
      <c r="B26" s="76" t="str">
        <f aca="false">IF($A26="","",INDEX(Sales!$D$5:INDEX(Sales!$D$5:$D$3004,TxRows),(MATCH($C$7,Sales!$B$5:INDEX(Sales!$B$5:$B$3004,TxRows),0)+13)))</f>
        <v/>
      </c>
      <c r="C26" s="76" t="str">
        <f aca="false">IF($A26="","",IFERROR(INDEX(Items!$E$5:$E$504,INDEX(Sales!$U$5:INDEX(Sales!$U$5:$U$3004,TxRows),(MATCH($C$7,Sales!$B$5:INDEX(Sales!$B$5:$B$3004,TxRows),0)+13)))&amp;"",""))</f>
        <v/>
      </c>
      <c r="D26" s="77" t="str">
        <f aca="false">IF($A26="","",INDEX(Sales!$E$5:INDEX(Sales!$E$5:$E$3004,TxRows),(MATCH($C$7,Sales!$B$5:INDEX(Sales!$B$5:$B$3004,TxRows),0)+13)))</f>
        <v/>
      </c>
      <c r="E26" s="76" t="str">
        <f aca="false">IF($A26="","",INDEX(Sales!$J$5:INDEX(Sales!$J$5:$J$3004,TxRows),(MATCH($C$7,Sales!$B$5:INDEX(Sales!$B$5:$B$3004,TxRows),0)+13)))</f>
        <v/>
      </c>
      <c r="F26" s="78" t="str">
        <f aca="false">IF($A26="","",INDEX(Sales!$K$5:INDEX(Sales!$K$5:$K$3004,TxRows),(MATCH($C$7,Sales!$B$5:INDEX(Sales!$B$5:$B$3004,TxRows),0)+13)))</f>
        <v/>
      </c>
      <c r="G26" s="79" t="str">
        <f aca="false">IF($A26="","",N(INDEX(Sales!$G$5:INDEX(Sales!$G$5:$G$3004,TxRows),(MATCH($C$7,Sales!$B$5:INDEX(Sales!$B$5:$B$3004,TxRows),0)+13))))</f>
        <v/>
      </c>
      <c r="H26" s="78" t="str">
        <f aca="false">IF($A26="","",INDEX(Sales!$L$5:INDEX(Sales!$L$5:$L$3004,TxRows),(MATCH($C$7,Sales!$B$5:INDEX(Sales!$B$5:$B$3004,TxRows),0)+13)))</f>
        <v/>
      </c>
      <c r="I26" s="80" t="str">
        <f aca="false">IF($A26="","",INDEX(Sales!$M$5:INDEX(Sales!$M$5:$M$3004,TxRows),(MATCH($C$7,Sales!$B$5:INDEX(Sales!$B$5:$B$3004,TxRows),0)+13)))</f>
        <v/>
      </c>
      <c r="J26" s="78" t="str">
        <f aca="false">IF($A26="","",INDEX(Sales!$N$5:INDEX(Sales!$N$5:$N$3004,TxRows),(MATCH($C$7,Sales!$B$5:INDEX(Sales!$B$5:$B$3004,TxRows),0)+13))+INDEX(Sales!$O$5:INDEX(Sales!$O$5:$O$3004,TxRows),(MATCH($C$7,Sales!$B$5:INDEX(Sales!$B$5:$B$3004,TxRows),0)+13))+INDEX(Sales!$P$5:INDEX(Sales!$P$5:$P$3004,TxRows),(MATCH($C$7,Sales!$B$5:INDEX(Sales!$B$5:$B$3004,TxRows),0)+13)))</f>
        <v/>
      </c>
      <c r="K26" s="78" t="str">
        <f aca="false">IF($A26="","",INDEX(Sales!$Q$5:INDEX(Sales!$Q$5:$Q$3004,TxRows),(MATCH($C$7,Sales!$B$5:INDEX(Sales!$B$5:$B$3004,TxRows),0)+13)))</f>
        <v/>
      </c>
    </row>
    <row r="27" customFormat="false" ht="15" hidden="false" customHeight="false" outlineLevel="0" collapsed="false">
      <c r="A27" s="76" t="str">
        <f aca="false">IF(IFERROR(INDEX(Sales!$B$5:INDEX(Sales!$B$5:$B$3004,TxRows),(MATCH($C$7,Sales!$B$5:INDEX(Sales!$B$5:$B$3004,TxRows),0)+14))=$C$7,FALSE()),15,"")</f>
        <v/>
      </c>
      <c r="B27" s="76" t="str">
        <f aca="false">IF($A27="","",INDEX(Sales!$D$5:INDEX(Sales!$D$5:$D$3004,TxRows),(MATCH($C$7,Sales!$B$5:INDEX(Sales!$B$5:$B$3004,TxRows),0)+14)))</f>
        <v/>
      </c>
      <c r="C27" s="76" t="str">
        <f aca="false">IF($A27="","",IFERROR(INDEX(Items!$E$5:$E$504,INDEX(Sales!$U$5:INDEX(Sales!$U$5:$U$3004,TxRows),(MATCH($C$7,Sales!$B$5:INDEX(Sales!$B$5:$B$3004,TxRows),0)+14)))&amp;"",""))</f>
        <v/>
      </c>
      <c r="D27" s="77" t="str">
        <f aca="false">IF($A27="","",INDEX(Sales!$E$5:INDEX(Sales!$E$5:$E$3004,TxRows),(MATCH($C$7,Sales!$B$5:INDEX(Sales!$B$5:$B$3004,TxRows),0)+14)))</f>
        <v/>
      </c>
      <c r="E27" s="76" t="str">
        <f aca="false">IF($A27="","",INDEX(Sales!$J$5:INDEX(Sales!$J$5:$J$3004,TxRows),(MATCH($C$7,Sales!$B$5:INDEX(Sales!$B$5:$B$3004,TxRows),0)+14)))</f>
        <v/>
      </c>
      <c r="F27" s="78" t="str">
        <f aca="false">IF($A27="","",INDEX(Sales!$K$5:INDEX(Sales!$K$5:$K$3004,TxRows),(MATCH($C$7,Sales!$B$5:INDEX(Sales!$B$5:$B$3004,TxRows),0)+14)))</f>
        <v/>
      </c>
      <c r="G27" s="79" t="str">
        <f aca="false">IF($A27="","",N(INDEX(Sales!$G$5:INDEX(Sales!$G$5:$G$3004,TxRows),(MATCH($C$7,Sales!$B$5:INDEX(Sales!$B$5:$B$3004,TxRows),0)+14))))</f>
        <v/>
      </c>
      <c r="H27" s="78" t="str">
        <f aca="false">IF($A27="","",INDEX(Sales!$L$5:INDEX(Sales!$L$5:$L$3004,TxRows),(MATCH($C$7,Sales!$B$5:INDEX(Sales!$B$5:$B$3004,TxRows),0)+14)))</f>
        <v/>
      </c>
      <c r="I27" s="80" t="str">
        <f aca="false">IF($A27="","",INDEX(Sales!$M$5:INDEX(Sales!$M$5:$M$3004,TxRows),(MATCH($C$7,Sales!$B$5:INDEX(Sales!$B$5:$B$3004,TxRows),0)+14)))</f>
        <v/>
      </c>
      <c r="J27" s="78" t="str">
        <f aca="false">IF($A27="","",INDEX(Sales!$N$5:INDEX(Sales!$N$5:$N$3004,TxRows),(MATCH($C$7,Sales!$B$5:INDEX(Sales!$B$5:$B$3004,TxRows),0)+14))+INDEX(Sales!$O$5:INDEX(Sales!$O$5:$O$3004,TxRows),(MATCH($C$7,Sales!$B$5:INDEX(Sales!$B$5:$B$3004,TxRows),0)+14))+INDEX(Sales!$P$5:INDEX(Sales!$P$5:$P$3004,TxRows),(MATCH($C$7,Sales!$B$5:INDEX(Sales!$B$5:$B$3004,TxRows),0)+14)))</f>
        <v/>
      </c>
      <c r="K27" s="78" t="str">
        <f aca="false">IF($A27="","",INDEX(Sales!$Q$5:INDEX(Sales!$Q$5:$Q$3004,TxRows),(MATCH($C$7,Sales!$B$5:INDEX(Sales!$B$5:$B$3004,TxRows),0)+14)))</f>
        <v/>
      </c>
    </row>
    <row r="28" customFormat="false" ht="15" hidden="false" customHeight="false" outlineLevel="0" collapsed="false">
      <c r="A28" s="76" t="str">
        <f aca="false">IF(IFERROR(INDEX(Sales!$B$5:INDEX(Sales!$B$5:$B$3004,TxRows),(MATCH($C$7,Sales!$B$5:INDEX(Sales!$B$5:$B$3004,TxRows),0)+15))=$C$7,FALSE()),16,"")</f>
        <v/>
      </c>
      <c r="B28" s="76" t="str">
        <f aca="false">IF($A28="","",INDEX(Sales!$D$5:INDEX(Sales!$D$5:$D$3004,TxRows),(MATCH($C$7,Sales!$B$5:INDEX(Sales!$B$5:$B$3004,TxRows),0)+15)))</f>
        <v/>
      </c>
      <c r="C28" s="76" t="str">
        <f aca="false">IF($A28="","",IFERROR(INDEX(Items!$E$5:$E$504,INDEX(Sales!$U$5:INDEX(Sales!$U$5:$U$3004,TxRows),(MATCH($C$7,Sales!$B$5:INDEX(Sales!$B$5:$B$3004,TxRows),0)+15)))&amp;"",""))</f>
        <v/>
      </c>
      <c r="D28" s="77" t="str">
        <f aca="false">IF($A28="","",INDEX(Sales!$E$5:INDEX(Sales!$E$5:$E$3004,TxRows),(MATCH($C$7,Sales!$B$5:INDEX(Sales!$B$5:$B$3004,TxRows),0)+15)))</f>
        <v/>
      </c>
      <c r="E28" s="76" t="str">
        <f aca="false">IF($A28="","",INDEX(Sales!$J$5:INDEX(Sales!$J$5:$J$3004,TxRows),(MATCH($C$7,Sales!$B$5:INDEX(Sales!$B$5:$B$3004,TxRows),0)+15)))</f>
        <v/>
      </c>
      <c r="F28" s="78" t="str">
        <f aca="false">IF($A28="","",INDEX(Sales!$K$5:INDEX(Sales!$K$5:$K$3004,TxRows),(MATCH($C$7,Sales!$B$5:INDEX(Sales!$B$5:$B$3004,TxRows),0)+15)))</f>
        <v/>
      </c>
      <c r="G28" s="79" t="str">
        <f aca="false">IF($A28="","",N(INDEX(Sales!$G$5:INDEX(Sales!$G$5:$G$3004,TxRows),(MATCH($C$7,Sales!$B$5:INDEX(Sales!$B$5:$B$3004,TxRows),0)+15))))</f>
        <v/>
      </c>
      <c r="H28" s="78" t="str">
        <f aca="false">IF($A28="","",INDEX(Sales!$L$5:INDEX(Sales!$L$5:$L$3004,TxRows),(MATCH($C$7,Sales!$B$5:INDEX(Sales!$B$5:$B$3004,TxRows),0)+15)))</f>
        <v/>
      </c>
      <c r="I28" s="80" t="str">
        <f aca="false">IF($A28="","",INDEX(Sales!$M$5:INDEX(Sales!$M$5:$M$3004,TxRows),(MATCH($C$7,Sales!$B$5:INDEX(Sales!$B$5:$B$3004,TxRows),0)+15)))</f>
        <v/>
      </c>
      <c r="J28" s="78" t="str">
        <f aca="false">IF($A28="","",INDEX(Sales!$N$5:INDEX(Sales!$N$5:$N$3004,TxRows),(MATCH($C$7,Sales!$B$5:INDEX(Sales!$B$5:$B$3004,TxRows),0)+15))+INDEX(Sales!$O$5:INDEX(Sales!$O$5:$O$3004,TxRows),(MATCH($C$7,Sales!$B$5:INDEX(Sales!$B$5:$B$3004,TxRows),0)+15))+INDEX(Sales!$P$5:INDEX(Sales!$P$5:$P$3004,TxRows),(MATCH($C$7,Sales!$B$5:INDEX(Sales!$B$5:$B$3004,TxRows),0)+15)))</f>
        <v/>
      </c>
      <c r="K28" s="78" t="str">
        <f aca="false">IF($A28="","",INDEX(Sales!$Q$5:INDEX(Sales!$Q$5:$Q$3004,TxRows),(MATCH($C$7,Sales!$B$5:INDEX(Sales!$B$5:$B$3004,TxRows),0)+15)))</f>
        <v/>
      </c>
    </row>
    <row r="29" customFormat="false" ht="15" hidden="false" customHeight="false" outlineLevel="0" collapsed="false">
      <c r="A29" s="76" t="str">
        <f aca="false">IF(IFERROR(INDEX(Sales!$B$5:INDEX(Sales!$B$5:$B$3004,TxRows),(MATCH($C$7,Sales!$B$5:INDEX(Sales!$B$5:$B$3004,TxRows),0)+16))=$C$7,FALSE()),17,"")</f>
        <v/>
      </c>
      <c r="B29" s="76" t="str">
        <f aca="false">IF($A29="","",INDEX(Sales!$D$5:INDEX(Sales!$D$5:$D$3004,TxRows),(MATCH($C$7,Sales!$B$5:INDEX(Sales!$B$5:$B$3004,TxRows),0)+16)))</f>
        <v/>
      </c>
      <c r="C29" s="76" t="str">
        <f aca="false">IF($A29="","",IFERROR(INDEX(Items!$E$5:$E$504,INDEX(Sales!$U$5:INDEX(Sales!$U$5:$U$3004,TxRows),(MATCH($C$7,Sales!$B$5:INDEX(Sales!$B$5:$B$3004,TxRows),0)+16)))&amp;"",""))</f>
        <v/>
      </c>
      <c r="D29" s="77" t="str">
        <f aca="false">IF($A29="","",INDEX(Sales!$E$5:INDEX(Sales!$E$5:$E$3004,TxRows),(MATCH($C$7,Sales!$B$5:INDEX(Sales!$B$5:$B$3004,TxRows),0)+16)))</f>
        <v/>
      </c>
      <c r="E29" s="76" t="str">
        <f aca="false">IF($A29="","",INDEX(Sales!$J$5:INDEX(Sales!$J$5:$J$3004,TxRows),(MATCH($C$7,Sales!$B$5:INDEX(Sales!$B$5:$B$3004,TxRows),0)+16)))</f>
        <v/>
      </c>
      <c r="F29" s="78" t="str">
        <f aca="false">IF($A29="","",INDEX(Sales!$K$5:INDEX(Sales!$K$5:$K$3004,TxRows),(MATCH($C$7,Sales!$B$5:INDEX(Sales!$B$5:$B$3004,TxRows),0)+16)))</f>
        <v/>
      </c>
      <c r="G29" s="79" t="str">
        <f aca="false">IF($A29="","",N(INDEX(Sales!$G$5:INDEX(Sales!$G$5:$G$3004,TxRows),(MATCH($C$7,Sales!$B$5:INDEX(Sales!$B$5:$B$3004,TxRows),0)+16))))</f>
        <v/>
      </c>
      <c r="H29" s="78" t="str">
        <f aca="false">IF($A29="","",INDEX(Sales!$L$5:INDEX(Sales!$L$5:$L$3004,TxRows),(MATCH($C$7,Sales!$B$5:INDEX(Sales!$B$5:$B$3004,TxRows),0)+16)))</f>
        <v/>
      </c>
      <c r="I29" s="80" t="str">
        <f aca="false">IF($A29="","",INDEX(Sales!$M$5:INDEX(Sales!$M$5:$M$3004,TxRows),(MATCH($C$7,Sales!$B$5:INDEX(Sales!$B$5:$B$3004,TxRows),0)+16)))</f>
        <v/>
      </c>
      <c r="J29" s="78" t="str">
        <f aca="false">IF($A29="","",INDEX(Sales!$N$5:INDEX(Sales!$N$5:$N$3004,TxRows),(MATCH($C$7,Sales!$B$5:INDEX(Sales!$B$5:$B$3004,TxRows),0)+16))+INDEX(Sales!$O$5:INDEX(Sales!$O$5:$O$3004,TxRows),(MATCH($C$7,Sales!$B$5:INDEX(Sales!$B$5:$B$3004,TxRows),0)+16))+INDEX(Sales!$P$5:INDEX(Sales!$P$5:$P$3004,TxRows),(MATCH($C$7,Sales!$B$5:INDEX(Sales!$B$5:$B$3004,TxRows),0)+16)))</f>
        <v/>
      </c>
      <c r="K29" s="78" t="str">
        <f aca="false">IF($A29="","",INDEX(Sales!$Q$5:INDEX(Sales!$Q$5:$Q$3004,TxRows),(MATCH($C$7,Sales!$B$5:INDEX(Sales!$B$5:$B$3004,TxRows),0)+16)))</f>
        <v/>
      </c>
    </row>
    <row r="30" customFormat="false" ht="15" hidden="false" customHeight="false" outlineLevel="0" collapsed="false">
      <c r="A30" s="76" t="str">
        <f aca="false">IF(IFERROR(INDEX(Sales!$B$5:INDEX(Sales!$B$5:$B$3004,TxRows),(MATCH($C$7,Sales!$B$5:INDEX(Sales!$B$5:$B$3004,TxRows),0)+17))=$C$7,FALSE()),18,"")</f>
        <v/>
      </c>
      <c r="B30" s="76" t="str">
        <f aca="false">IF($A30="","",INDEX(Sales!$D$5:INDEX(Sales!$D$5:$D$3004,TxRows),(MATCH($C$7,Sales!$B$5:INDEX(Sales!$B$5:$B$3004,TxRows),0)+17)))</f>
        <v/>
      </c>
      <c r="C30" s="76" t="str">
        <f aca="false">IF($A30="","",IFERROR(INDEX(Items!$E$5:$E$504,INDEX(Sales!$U$5:INDEX(Sales!$U$5:$U$3004,TxRows),(MATCH($C$7,Sales!$B$5:INDEX(Sales!$B$5:$B$3004,TxRows),0)+17)))&amp;"",""))</f>
        <v/>
      </c>
      <c r="D30" s="77" t="str">
        <f aca="false">IF($A30="","",INDEX(Sales!$E$5:INDEX(Sales!$E$5:$E$3004,TxRows),(MATCH($C$7,Sales!$B$5:INDEX(Sales!$B$5:$B$3004,TxRows),0)+17)))</f>
        <v/>
      </c>
      <c r="E30" s="76" t="str">
        <f aca="false">IF($A30="","",INDEX(Sales!$J$5:INDEX(Sales!$J$5:$J$3004,TxRows),(MATCH($C$7,Sales!$B$5:INDEX(Sales!$B$5:$B$3004,TxRows),0)+17)))</f>
        <v/>
      </c>
      <c r="F30" s="78" t="str">
        <f aca="false">IF($A30="","",INDEX(Sales!$K$5:INDEX(Sales!$K$5:$K$3004,TxRows),(MATCH($C$7,Sales!$B$5:INDEX(Sales!$B$5:$B$3004,TxRows),0)+17)))</f>
        <v/>
      </c>
      <c r="G30" s="79" t="str">
        <f aca="false">IF($A30="","",N(INDEX(Sales!$G$5:INDEX(Sales!$G$5:$G$3004,TxRows),(MATCH($C$7,Sales!$B$5:INDEX(Sales!$B$5:$B$3004,TxRows),0)+17))))</f>
        <v/>
      </c>
      <c r="H30" s="78" t="str">
        <f aca="false">IF($A30="","",INDEX(Sales!$L$5:INDEX(Sales!$L$5:$L$3004,TxRows),(MATCH($C$7,Sales!$B$5:INDEX(Sales!$B$5:$B$3004,TxRows),0)+17)))</f>
        <v/>
      </c>
      <c r="I30" s="80" t="str">
        <f aca="false">IF($A30="","",INDEX(Sales!$M$5:INDEX(Sales!$M$5:$M$3004,TxRows),(MATCH($C$7,Sales!$B$5:INDEX(Sales!$B$5:$B$3004,TxRows),0)+17)))</f>
        <v/>
      </c>
      <c r="J30" s="78" t="str">
        <f aca="false">IF($A30="","",INDEX(Sales!$N$5:INDEX(Sales!$N$5:$N$3004,TxRows),(MATCH($C$7,Sales!$B$5:INDEX(Sales!$B$5:$B$3004,TxRows),0)+17))+INDEX(Sales!$O$5:INDEX(Sales!$O$5:$O$3004,TxRows),(MATCH($C$7,Sales!$B$5:INDEX(Sales!$B$5:$B$3004,TxRows),0)+17))+INDEX(Sales!$P$5:INDEX(Sales!$P$5:$P$3004,TxRows),(MATCH($C$7,Sales!$B$5:INDEX(Sales!$B$5:$B$3004,TxRows),0)+17)))</f>
        <v/>
      </c>
      <c r="K30" s="78" t="str">
        <f aca="false">IF($A30="","",INDEX(Sales!$Q$5:INDEX(Sales!$Q$5:$Q$3004,TxRows),(MATCH($C$7,Sales!$B$5:INDEX(Sales!$B$5:$B$3004,TxRows),0)+17)))</f>
        <v/>
      </c>
    </row>
    <row r="31" customFormat="false" ht="15" hidden="false" customHeight="false" outlineLevel="0" collapsed="false">
      <c r="A31" s="76" t="str">
        <f aca="false">IF(IFERROR(INDEX(Sales!$B$5:INDEX(Sales!$B$5:$B$3004,TxRows),(MATCH($C$7,Sales!$B$5:INDEX(Sales!$B$5:$B$3004,TxRows),0)+18))=$C$7,FALSE()),19,"")</f>
        <v/>
      </c>
      <c r="B31" s="76" t="str">
        <f aca="false">IF($A31="","",INDEX(Sales!$D$5:INDEX(Sales!$D$5:$D$3004,TxRows),(MATCH($C$7,Sales!$B$5:INDEX(Sales!$B$5:$B$3004,TxRows),0)+18)))</f>
        <v/>
      </c>
      <c r="C31" s="76" t="str">
        <f aca="false">IF($A31="","",IFERROR(INDEX(Items!$E$5:$E$504,INDEX(Sales!$U$5:INDEX(Sales!$U$5:$U$3004,TxRows),(MATCH($C$7,Sales!$B$5:INDEX(Sales!$B$5:$B$3004,TxRows),0)+18)))&amp;"",""))</f>
        <v/>
      </c>
      <c r="D31" s="77" t="str">
        <f aca="false">IF($A31="","",INDEX(Sales!$E$5:INDEX(Sales!$E$5:$E$3004,TxRows),(MATCH($C$7,Sales!$B$5:INDEX(Sales!$B$5:$B$3004,TxRows),0)+18)))</f>
        <v/>
      </c>
      <c r="E31" s="76" t="str">
        <f aca="false">IF($A31="","",INDEX(Sales!$J$5:INDEX(Sales!$J$5:$J$3004,TxRows),(MATCH($C$7,Sales!$B$5:INDEX(Sales!$B$5:$B$3004,TxRows),0)+18)))</f>
        <v/>
      </c>
      <c r="F31" s="78" t="str">
        <f aca="false">IF($A31="","",INDEX(Sales!$K$5:INDEX(Sales!$K$5:$K$3004,TxRows),(MATCH($C$7,Sales!$B$5:INDEX(Sales!$B$5:$B$3004,TxRows),0)+18)))</f>
        <v/>
      </c>
      <c r="G31" s="79" t="str">
        <f aca="false">IF($A31="","",N(INDEX(Sales!$G$5:INDEX(Sales!$G$5:$G$3004,TxRows),(MATCH($C$7,Sales!$B$5:INDEX(Sales!$B$5:$B$3004,TxRows),0)+18))))</f>
        <v/>
      </c>
      <c r="H31" s="78" t="str">
        <f aca="false">IF($A31="","",INDEX(Sales!$L$5:INDEX(Sales!$L$5:$L$3004,TxRows),(MATCH($C$7,Sales!$B$5:INDEX(Sales!$B$5:$B$3004,TxRows),0)+18)))</f>
        <v/>
      </c>
      <c r="I31" s="80" t="str">
        <f aca="false">IF($A31="","",INDEX(Sales!$M$5:INDEX(Sales!$M$5:$M$3004,TxRows),(MATCH($C$7,Sales!$B$5:INDEX(Sales!$B$5:$B$3004,TxRows),0)+18)))</f>
        <v/>
      </c>
      <c r="J31" s="78" t="str">
        <f aca="false">IF($A31="","",INDEX(Sales!$N$5:INDEX(Sales!$N$5:$N$3004,TxRows),(MATCH($C$7,Sales!$B$5:INDEX(Sales!$B$5:$B$3004,TxRows),0)+18))+INDEX(Sales!$O$5:INDEX(Sales!$O$5:$O$3004,TxRows),(MATCH($C$7,Sales!$B$5:INDEX(Sales!$B$5:$B$3004,TxRows),0)+18))+INDEX(Sales!$P$5:INDEX(Sales!$P$5:$P$3004,TxRows),(MATCH($C$7,Sales!$B$5:INDEX(Sales!$B$5:$B$3004,TxRows),0)+18)))</f>
        <v/>
      </c>
      <c r="K31" s="78" t="str">
        <f aca="false">IF($A31="","",INDEX(Sales!$Q$5:INDEX(Sales!$Q$5:$Q$3004,TxRows),(MATCH($C$7,Sales!$B$5:INDEX(Sales!$B$5:$B$3004,TxRows),0)+18)))</f>
        <v/>
      </c>
    </row>
    <row r="32" customFormat="false" ht="15" hidden="false" customHeight="false" outlineLevel="0" collapsed="false">
      <c r="A32" s="76" t="str">
        <f aca="false">IF(IFERROR(INDEX(Sales!$B$5:INDEX(Sales!$B$5:$B$3004,TxRows),(MATCH($C$7,Sales!$B$5:INDEX(Sales!$B$5:$B$3004,TxRows),0)+19))=$C$7,FALSE()),20,"")</f>
        <v/>
      </c>
      <c r="B32" s="76" t="str">
        <f aca="false">IF($A32="","",INDEX(Sales!$D$5:INDEX(Sales!$D$5:$D$3004,TxRows),(MATCH($C$7,Sales!$B$5:INDEX(Sales!$B$5:$B$3004,TxRows),0)+19)))</f>
        <v/>
      </c>
      <c r="C32" s="76" t="str">
        <f aca="false">IF($A32="","",IFERROR(INDEX(Items!$E$5:$E$504,INDEX(Sales!$U$5:INDEX(Sales!$U$5:$U$3004,TxRows),(MATCH($C$7,Sales!$B$5:INDEX(Sales!$B$5:$B$3004,TxRows),0)+19)))&amp;"",""))</f>
        <v/>
      </c>
      <c r="D32" s="77" t="str">
        <f aca="false">IF($A32="","",INDEX(Sales!$E$5:INDEX(Sales!$E$5:$E$3004,TxRows),(MATCH($C$7,Sales!$B$5:INDEX(Sales!$B$5:$B$3004,TxRows),0)+19)))</f>
        <v/>
      </c>
      <c r="E32" s="76" t="str">
        <f aca="false">IF($A32="","",INDEX(Sales!$J$5:INDEX(Sales!$J$5:$J$3004,TxRows),(MATCH($C$7,Sales!$B$5:INDEX(Sales!$B$5:$B$3004,TxRows),0)+19)))</f>
        <v/>
      </c>
      <c r="F32" s="78" t="str">
        <f aca="false">IF($A32="","",INDEX(Sales!$K$5:INDEX(Sales!$K$5:$K$3004,TxRows),(MATCH($C$7,Sales!$B$5:INDEX(Sales!$B$5:$B$3004,TxRows),0)+19)))</f>
        <v/>
      </c>
      <c r="G32" s="79" t="str">
        <f aca="false">IF($A32="","",N(INDEX(Sales!$G$5:INDEX(Sales!$G$5:$G$3004,TxRows),(MATCH($C$7,Sales!$B$5:INDEX(Sales!$B$5:$B$3004,TxRows),0)+19))))</f>
        <v/>
      </c>
      <c r="H32" s="78" t="str">
        <f aca="false">IF($A32="","",INDEX(Sales!$L$5:INDEX(Sales!$L$5:$L$3004,TxRows),(MATCH($C$7,Sales!$B$5:INDEX(Sales!$B$5:$B$3004,TxRows),0)+19)))</f>
        <v/>
      </c>
      <c r="I32" s="80" t="str">
        <f aca="false">IF($A32="","",INDEX(Sales!$M$5:INDEX(Sales!$M$5:$M$3004,TxRows),(MATCH($C$7,Sales!$B$5:INDEX(Sales!$B$5:$B$3004,TxRows),0)+19)))</f>
        <v/>
      </c>
      <c r="J32" s="78" t="str">
        <f aca="false">IF($A32="","",INDEX(Sales!$N$5:INDEX(Sales!$N$5:$N$3004,TxRows),(MATCH($C$7,Sales!$B$5:INDEX(Sales!$B$5:$B$3004,TxRows),0)+19))+INDEX(Sales!$O$5:INDEX(Sales!$O$5:$O$3004,TxRows),(MATCH($C$7,Sales!$B$5:INDEX(Sales!$B$5:$B$3004,TxRows),0)+19))+INDEX(Sales!$P$5:INDEX(Sales!$P$5:$P$3004,TxRows),(MATCH($C$7,Sales!$B$5:INDEX(Sales!$B$5:$B$3004,TxRows),0)+19)))</f>
        <v/>
      </c>
      <c r="K32" s="78" t="str">
        <f aca="false">IF($A32="","",INDEX(Sales!$Q$5:INDEX(Sales!$Q$5:$Q$3004,TxRows),(MATCH($C$7,Sales!$B$5:INDEX(Sales!$B$5:$B$3004,TxRows),0)+19)))</f>
        <v/>
      </c>
    </row>
    <row r="34" customFormat="false" ht="15" hidden="false" customHeight="false" outlineLevel="0" collapsed="false">
      <c r="B34" s="81" t="str">
        <f aca="false">IF(COUNTIF(A13:A32,"&gt;0")&gt;=20,"!! More than 20 lines: split the invoice","")</f>
        <v/>
      </c>
      <c r="H34" s="82" t="s">
        <v>518</v>
      </c>
      <c r="I34" s="82"/>
      <c r="J34" s="82"/>
      <c r="K34" s="83" t="n">
        <f aca="false">SUMIFS(Sales!$L$5:INDEX(Sales!$L$5:$L$3004,TxRows),Sales!$B$5:INDEX(Sales!$B$5:$B$3004,TxRows),$C$7)</f>
        <v>7386</v>
      </c>
    </row>
    <row r="35" customFormat="false" ht="15" hidden="false" customHeight="false" outlineLevel="0" collapsed="false">
      <c r="B35" s="84" t="str">
        <f aca="false">"Bank: "&amp;CoBank</f>
        <v>Bank: SBI A/c 0000000000 · IFSC SBIN0000000</v>
      </c>
      <c r="H35" s="82" t="s">
        <v>519</v>
      </c>
      <c r="I35" s="82"/>
      <c r="J35" s="82"/>
      <c r="K35" s="83" t="n">
        <f aca="false">SUMIFS(Sales!$N$5:INDEX(Sales!$N$5:$N$3004,TxRows),Sales!$B$5:INDEX(Sales!$B$5:$B$3004,TxRows),$C$7)</f>
        <v>184.65</v>
      </c>
    </row>
    <row r="36" customFormat="false" ht="15" hidden="false" customHeight="false" outlineLevel="0" collapsed="false">
      <c r="B36" s="84" t="s">
        <v>520</v>
      </c>
      <c r="H36" s="82" t="s">
        <v>521</v>
      </c>
      <c r="I36" s="82"/>
      <c r="J36" s="82"/>
      <c r="K36" s="83" t="n">
        <f aca="false">SUMIFS(Sales!$O$5:INDEX(Sales!$O$5:$O$3004,TxRows),Sales!$B$5:INDEX(Sales!$B$5:$B$3004,TxRows),$C$7)</f>
        <v>184.65</v>
      </c>
    </row>
    <row r="37" customFormat="false" ht="15" hidden="false" customHeight="false" outlineLevel="0" collapsed="false">
      <c r="H37" s="82" t="s">
        <v>522</v>
      </c>
      <c r="I37" s="82"/>
      <c r="J37" s="82"/>
      <c r="K37" s="83" t="n">
        <f aca="false">SUMIFS(Sales!$P$5:INDEX(Sales!$P$5:$P$3004,TxRows),Sales!$B$5:INDEX(Sales!$B$5:$B$3004,TxRows),$C$7)</f>
        <v>0</v>
      </c>
    </row>
    <row r="38" customFormat="false" ht="15" hidden="false" customHeight="false" outlineLevel="0" collapsed="false">
      <c r="B38" s="84" t="s">
        <v>523</v>
      </c>
      <c r="H38" s="82" t="s">
        <v>524</v>
      </c>
      <c r="I38" s="82"/>
      <c r="J38" s="82"/>
      <c r="K38" s="83" t="n">
        <f aca="false">ROUND(SUM(K34:K37),0)-SUM(K34:K37)</f>
        <v>-0.299999999999272</v>
      </c>
    </row>
    <row r="39" customFormat="false" ht="15" hidden="false" customHeight="false" outlineLevel="0" collapsed="false">
      <c r="H39" s="82" t="s">
        <v>525</v>
      </c>
      <c r="I39" s="82"/>
      <c r="J39" s="82"/>
      <c r="K39" s="85" t="n">
        <f aca="false">SUM(K34:K38)</f>
        <v>7755</v>
      </c>
    </row>
    <row r="41" customFormat="false" ht="15" hidden="false" customHeight="false" outlineLevel="0" collapsed="false">
      <c r="H41" s="84" t="str">
        <f aca="false">"For "&amp;CoName</f>
        <v>For Your Trading Co.</v>
      </c>
    </row>
    <row r="43" customFormat="false" ht="15" hidden="false" customHeight="false" outlineLevel="0" collapsed="false">
      <c r="H43" s="84" t="s">
        <v>526</v>
      </c>
    </row>
  </sheetData>
  <mergeCells count="10">
    <mergeCell ref="A1:K1"/>
    <mergeCell ref="A2:K2"/>
    <mergeCell ref="A3:K3"/>
    <mergeCell ref="A5:K5"/>
    <mergeCell ref="H34:J34"/>
    <mergeCell ref="H35:J35"/>
    <mergeCell ref="H36:J36"/>
    <mergeCell ref="H37:J37"/>
    <mergeCell ref="H38:J38"/>
    <mergeCell ref="H39:J39"/>
  </mergeCells>
  <hyperlinks>
    <hyperlink ref="M3" r:id="rId2" location="Dashboard!A1" display="« Ho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38F"/>
    <pageSetUpPr fitToPage="false"/>
  </sheetPr>
  <dimension ref="A1:N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3" min="2" style="0" width="13"/>
  </cols>
  <sheetData>
    <row r="1" customFormat="false" ht="27.75" hidden="false" customHeight="true" outlineLevel="0" collapsed="false">
      <c r="A1" s="49" t="s">
        <v>527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N1" s="50" t="s">
        <v>43</v>
      </c>
    </row>
    <row r="2" customFormat="false" ht="15" hidden="false" customHeight="false" outlineLevel="0" collapsed="false">
      <c r="A2" s="3" t="s">
        <v>528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31.5" hidden="false" customHeight="true" outlineLevel="0" collapsed="false">
      <c r="A4" s="53" t="s">
        <v>529</v>
      </c>
      <c r="B4" s="53" t="s">
        <v>38</v>
      </c>
      <c r="C4" s="53" t="s">
        <v>64</v>
      </c>
      <c r="D4" s="53" t="s">
        <v>411</v>
      </c>
      <c r="E4" s="53" t="s">
        <v>530</v>
      </c>
      <c r="F4" s="53" t="s">
        <v>531</v>
      </c>
      <c r="G4" s="53" t="s">
        <v>532</v>
      </c>
      <c r="H4" s="53" t="s">
        <v>533</v>
      </c>
      <c r="I4" s="53" t="s">
        <v>534</v>
      </c>
      <c r="J4" s="53" t="s">
        <v>535</v>
      </c>
      <c r="K4" s="53" t="s">
        <v>536</v>
      </c>
      <c r="L4" s="53" t="s">
        <v>537</v>
      </c>
      <c r="M4" s="53" t="s">
        <v>538</v>
      </c>
    </row>
    <row r="5" customFormat="false" ht="15" hidden="false" customHeight="false" outlineLevel="0" collapsed="false">
      <c r="A5" s="86" t="n">
        <f aca="false">EDATE(FYStart,0)</f>
        <v>46113</v>
      </c>
      <c r="B5" s="87" t="n">
        <f aca="false">SUMIFS(Sales!$L$5:INDEX(Sales!$L$5:$L$3004,TxRows),Sales!$A$5:INDEX(Sales!$A$5:$A$3004,TxRows),"&gt;="&amp;$A5,Sales!$A$5:INDEX(Sales!$A$5:$A$3004,TxRows),"&lt;"&amp;EDATE($A5,1))</f>
        <v>207752.36</v>
      </c>
      <c r="C5" s="87" t="n">
        <f aca="false">SUMIFS(Sales!$R$5:INDEX(Sales!$R$5:$R$3004,TxRows),Sales!$A$5:INDEX(Sales!$A$5:$A$3004,TxRows),"&gt;="&amp;$A5,Sales!$A$5:INDEX(Sales!$A$5:$A$3004,TxRows),"&lt;"&amp;EDATE($A5,1))</f>
        <v>160804.72</v>
      </c>
      <c r="D5" s="87" t="n">
        <f aca="false">B5-C5</f>
        <v>46947.64</v>
      </c>
      <c r="E5" s="79" t="n">
        <f aca="false">IF(B5=0,0,D5/B5)</f>
        <v>0.225978852899673</v>
      </c>
      <c r="F5" s="87" t="n">
        <f aca="false">SUMIFS(CashBook!$G$5:INDEX(CashBook!$G$5:$G$3004,TxRows),CashBook!$C$5:INDEX(CashBook!$C$5:$C$3004,TxRows),"Expense",CashBook!$A$5:INDEX(CashBook!$A$5:$A$3004,TxRows),"&gt;="&amp;$A5,CashBook!$A$5:INDEX(CashBook!$A$5:$A$3004,TxRows),"&lt;"&amp;EDATE($A5,1))</f>
        <v>33667</v>
      </c>
      <c r="G5" s="87" t="n">
        <f aca="false">SUMIFS(CashBook!$G$5:INDEX(CashBook!$G$5:$G$3004,TxRows),CashBook!$C$5:INDEX(CashBook!$C$5:$C$3004,TxRows),"Other Income",CashBook!$A$5:INDEX(CashBook!$A$5:$A$3004,TxRows),"&gt;="&amp;$A5,CashBook!$A$5:INDEX(CashBook!$A$5:$A$3004,TxRows),"&lt;"&amp;EDATE($A5,1))</f>
        <v>0</v>
      </c>
      <c r="H5" s="87" t="n">
        <f aca="false">SUMIFS(Adjustments!$G$5:$G$504,Adjustments!$A$5:$A$504,"&gt;="&amp;$A5,Adjustments!$A$5:$A$504,"&lt;"&amp;EDATE($A5,1))</f>
        <v>0</v>
      </c>
      <c r="I5" s="87" t="n">
        <f aca="false">D5-F5+G5+H5</f>
        <v>13280.64</v>
      </c>
      <c r="J5" s="87" t="n">
        <f aca="false">SUMIFS(Purchases!$K$5:INDEX(Purchases!$K$5:$K$3004,TxRows),Purchases!$A$5:INDEX(Purchases!$A$5:$A$3004,TxRows),"&gt;="&amp;$A5,Purchases!$A$5:INDEX(Purchases!$A$5:$A$3004,TxRows),"&lt;"&amp;EDATE($A5,1))</f>
        <v>89496</v>
      </c>
      <c r="K5" s="87" t="n">
        <f aca="false">SUMIFS(Sales!$N$5:INDEX(Sales!$N$5:$N$3004,TxRows),Sales!$A$5:INDEX(Sales!$A$5:$A$3004,TxRows),"&gt;="&amp;$A5,Sales!$A$5:INDEX(Sales!$A$5:$A$3004,TxRows),"&lt;"&amp;EDATE($A5,1))+SUMIFS(Sales!$O$5:INDEX(Sales!$O$5:$O$3004,TxRows),Sales!$A$5:INDEX(Sales!$A$5:$A$3004,TxRows),"&gt;="&amp;$A5,Sales!$A$5:INDEX(Sales!$A$5:$A$3004,TxRows),"&lt;"&amp;EDATE($A5,1))+SUMIFS(Sales!$P$5:INDEX(Sales!$P$5:$P$3004,TxRows),Sales!$A$5:INDEX(Sales!$A$5:$A$3004,TxRows),"&gt;="&amp;$A5,Sales!$A$5:INDEX(Sales!$A$5:$A$3004,TxRows),"&lt;"&amp;EDATE($A5,1))</f>
        <v>24777.46</v>
      </c>
      <c r="L5" s="87" t="n">
        <f aca="false">SUMIFS(Purchases!$M$5:INDEX(Purchases!$M$5:$M$3004,TxRows),Purchases!$A$5:INDEX(Purchases!$A$5:$A$3004,TxRows),"&gt;="&amp;$A5,Purchases!$A$5:INDEX(Purchases!$A$5:$A$3004,TxRows),"&lt;"&amp;EDATE($A5,1))+SUMIFS(Purchases!$N$5:INDEX(Purchases!$N$5:$N$3004,TxRows),Purchases!$A$5:INDEX(Purchases!$A$5:$A$3004,TxRows),"&gt;="&amp;$A5,Purchases!$A$5:INDEX(Purchases!$A$5:$A$3004,TxRows),"&lt;"&amp;EDATE($A5,1))+SUMIFS(Purchases!$O$5:INDEX(Purchases!$O$5:$O$3004,TxRows),Purchases!$A$5:INDEX(Purchases!$A$5:$A$3004,TxRows),"&gt;="&amp;$A5,Purchases!$A$5:INDEX(Purchases!$A$5:$A$3004,TxRows),"&lt;"&amp;EDATE($A5,1))</f>
        <v>13233.04</v>
      </c>
      <c r="M5" s="87" t="n">
        <f aca="false">K5-L5</f>
        <v>11544.42</v>
      </c>
    </row>
    <row r="6" customFormat="false" ht="15" hidden="false" customHeight="false" outlineLevel="0" collapsed="false">
      <c r="A6" s="86" t="n">
        <f aca="false">EDATE(FYStart,1)</f>
        <v>46143</v>
      </c>
      <c r="B6" s="87" t="n">
        <f aca="false">SUMIFS(Sales!$L$5:INDEX(Sales!$L$5:$L$3004,TxRows),Sales!$A$5:INDEX(Sales!$A$5:$A$3004,TxRows),"&gt;="&amp;$A6,Sales!$A$5:INDEX(Sales!$A$5:$A$3004,TxRows),"&lt;"&amp;EDATE($A6,1))</f>
        <v>216487.42</v>
      </c>
      <c r="C6" s="87" t="n">
        <f aca="false">SUMIFS(Sales!$R$5:INDEX(Sales!$R$5:$R$3004,TxRows),Sales!$A$5:INDEX(Sales!$A$5:$A$3004,TxRows),"&gt;="&amp;$A6,Sales!$A$5:INDEX(Sales!$A$5:$A$3004,TxRows),"&lt;"&amp;EDATE($A6,1))</f>
        <v>165548.19</v>
      </c>
      <c r="D6" s="87" t="n">
        <f aca="false">B6-C6</f>
        <v>50939.23</v>
      </c>
      <c r="E6" s="79" t="n">
        <f aca="false">IF(B6=0,0,D6/B6)</f>
        <v>0.235298799348249</v>
      </c>
      <c r="F6" s="87" t="n">
        <f aca="false">SUMIFS(CashBook!$G$5:INDEX(CashBook!$G$5:$G$3004,TxRows),CashBook!$C$5:INDEX(CashBook!$C$5:$C$3004,TxRows),"Expense",CashBook!$A$5:INDEX(CashBook!$A$5:$A$3004,TxRows),"&gt;="&amp;$A6,CashBook!$A$5:INDEX(CashBook!$A$5:$A$3004,TxRows),"&lt;"&amp;EDATE($A6,1))</f>
        <v>33463</v>
      </c>
      <c r="G6" s="87" t="n">
        <f aca="false">SUMIFS(CashBook!$G$5:INDEX(CashBook!$G$5:$G$3004,TxRows),CashBook!$C$5:INDEX(CashBook!$C$5:$C$3004,TxRows),"Other Income",CashBook!$A$5:INDEX(CashBook!$A$5:$A$3004,TxRows),"&gt;="&amp;$A6,CashBook!$A$5:INDEX(CashBook!$A$5:$A$3004,TxRows),"&lt;"&amp;EDATE($A6,1))</f>
        <v>0</v>
      </c>
      <c r="H6" s="87" t="n">
        <f aca="false">SUMIFS(Adjustments!$G$5:$G$504,Adjustments!$A$5:$A$504,"&gt;="&amp;$A6,Adjustments!$A$5:$A$504,"&lt;"&amp;EDATE($A6,1))</f>
        <v>-3808.73</v>
      </c>
      <c r="I6" s="87" t="n">
        <f aca="false">D6-F6+G6+H6</f>
        <v>13667.5</v>
      </c>
      <c r="J6" s="87" t="n">
        <f aca="false">SUMIFS(Purchases!$K$5:INDEX(Purchases!$K$5:$K$3004,TxRows),Purchases!$A$5:INDEX(Purchases!$A$5:$A$3004,TxRows),"&gt;="&amp;$A6,Purchases!$A$5:INDEX(Purchases!$A$5:$A$3004,TxRows),"&lt;"&amp;EDATE($A6,1))</f>
        <v>284364</v>
      </c>
      <c r="K6" s="87" t="n">
        <f aca="false">SUMIFS(Sales!$N$5:INDEX(Sales!$N$5:$N$3004,TxRows),Sales!$A$5:INDEX(Sales!$A$5:$A$3004,TxRows),"&gt;="&amp;$A6,Sales!$A$5:INDEX(Sales!$A$5:$A$3004,TxRows),"&lt;"&amp;EDATE($A6,1))+SUMIFS(Sales!$O$5:INDEX(Sales!$O$5:$O$3004,TxRows),Sales!$A$5:INDEX(Sales!$A$5:$A$3004,TxRows),"&gt;="&amp;$A6,Sales!$A$5:INDEX(Sales!$A$5:$A$3004,TxRows),"&lt;"&amp;EDATE($A6,1))+SUMIFS(Sales!$P$5:INDEX(Sales!$P$5:$P$3004,TxRows),Sales!$A$5:INDEX(Sales!$A$5:$A$3004,TxRows),"&gt;="&amp;$A6,Sales!$A$5:INDEX(Sales!$A$5:$A$3004,TxRows),"&lt;"&amp;EDATE($A6,1))</f>
        <v>25789.9</v>
      </c>
      <c r="L6" s="87" t="n">
        <f aca="false">SUMIFS(Purchases!$M$5:INDEX(Purchases!$M$5:$M$3004,TxRows),Purchases!$A$5:INDEX(Purchases!$A$5:$A$3004,TxRows),"&gt;="&amp;$A6,Purchases!$A$5:INDEX(Purchases!$A$5:$A$3004,TxRows),"&lt;"&amp;EDATE($A6,1))+SUMIFS(Purchases!$N$5:INDEX(Purchases!$N$5:$N$3004,TxRows),Purchases!$A$5:INDEX(Purchases!$A$5:$A$3004,TxRows),"&gt;="&amp;$A6,Purchases!$A$5:INDEX(Purchases!$A$5:$A$3004,TxRows),"&lt;"&amp;EDATE($A6,1))+SUMIFS(Purchases!$O$5:INDEX(Purchases!$O$5:$O$3004,TxRows),Purchases!$A$5:INDEX(Purchases!$A$5:$A$3004,TxRows),"&gt;="&amp;$A6,Purchases!$A$5:INDEX(Purchases!$A$5:$A$3004,TxRows),"&lt;"&amp;EDATE($A6,1))</f>
        <v>27906.68</v>
      </c>
      <c r="M6" s="87" t="n">
        <f aca="false">K6-L6</f>
        <v>-2116.78</v>
      </c>
    </row>
    <row r="7" customFormat="false" ht="15" hidden="false" customHeight="false" outlineLevel="0" collapsed="false">
      <c r="A7" s="86" t="n">
        <f aca="false">EDATE(FYStart,2)</f>
        <v>46174</v>
      </c>
      <c r="B7" s="87" t="n">
        <f aca="false">SUMIFS(Sales!$L$5:INDEX(Sales!$L$5:$L$3004,TxRows),Sales!$A$5:INDEX(Sales!$A$5:$A$3004,TxRows),"&gt;="&amp;$A7,Sales!$A$5:INDEX(Sales!$A$5:$A$3004,TxRows),"&lt;"&amp;EDATE($A7,1))</f>
        <v>188037.69</v>
      </c>
      <c r="C7" s="87" t="n">
        <f aca="false">SUMIFS(Sales!$R$5:INDEX(Sales!$R$5:$R$3004,TxRows),Sales!$A$5:INDEX(Sales!$A$5:$A$3004,TxRows),"&gt;="&amp;$A7,Sales!$A$5:INDEX(Sales!$A$5:$A$3004,TxRows),"&lt;"&amp;EDATE($A7,1))</f>
        <v>146580.2</v>
      </c>
      <c r="D7" s="87" t="n">
        <f aca="false">B7-C7</f>
        <v>41457.49</v>
      </c>
      <c r="E7" s="79" t="n">
        <f aca="false">IF(B7=0,0,D7/B7)</f>
        <v>0.220474363410867</v>
      </c>
      <c r="F7" s="87" t="n">
        <f aca="false">SUMIFS(CashBook!$G$5:INDEX(CashBook!$G$5:$G$3004,TxRows),CashBook!$C$5:INDEX(CashBook!$C$5:$C$3004,TxRows),"Expense",CashBook!$A$5:INDEX(CashBook!$A$5:$A$3004,TxRows),"&gt;="&amp;$A7,CashBook!$A$5:INDEX(CashBook!$A$5:$A$3004,TxRows),"&lt;"&amp;EDATE($A7,1))</f>
        <v>31118</v>
      </c>
      <c r="G7" s="87" t="n">
        <f aca="false">SUMIFS(CashBook!$G$5:INDEX(CashBook!$G$5:$G$3004,TxRows),CashBook!$C$5:INDEX(CashBook!$C$5:$C$3004,TxRows),"Other Income",CashBook!$A$5:INDEX(CashBook!$A$5:$A$3004,TxRows),"&gt;="&amp;$A7,CashBook!$A$5:INDEX(CashBook!$A$5:$A$3004,TxRows),"&lt;"&amp;EDATE($A7,1))</f>
        <v>0</v>
      </c>
      <c r="H7" s="87" t="n">
        <f aca="false">SUMIFS(Adjustments!$G$5:$G$504,Adjustments!$A$5:$A$504,"&gt;="&amp;$A7,Adjustments!$A$5:$A$504,"&lt;"&amp;EDATE($A7,1))</f>
        <v>0</v>
      </c>
      <c r="I7" s="87" t="n">
        <f aca="false">D7-F7+G7+H7</f>
        <v>10339.49</v>
      </c>
      <c r="J7" s="87" t="n">
        <f aca="false">SUMIFS(Purchases!$K$5:INDEX(Purchases!$K$5:$K$3004,TxRows),Purchases!$A$5:INDEX(Purchases!$A$5:$A$3004,TxRows),"&gt;="&amp;$A7,Purchases!$A$5:INDEX(Purchases!$A$5:$A$3004,TxRows),"&lt;"&amp;EDATE($A7,1))</f>
        <v>146758</v>
      </c>
      <c r="K7" s="87" t="n">
        <f aca="false">SUMIFS(Sales!$N$5:INDEX(Sales!$N$5:$N$3004,TxRows),Sales!$A$5:INDEX(Sales!$A$5:$A$3004,TxRows),"&gt;="&amp;$A7,Sales!$A$5:INDEX(Sales!$A$5:$A$3004,TxRows),"&lt;"&amp;EDATE($A7,1))+SUMIFS(Sales!$O$5:INDEX(Sales!$O$5:$O$3004,TxRows),Sales!$A$5:INDEX(Sales!$A$5:$A$3004,TxRows),"&gt;="&amp;$A7,Sales!$A$5:INDEX(Sales!$A$5:$A$3004,TxRows),"&lt;"&amp;EDATE($A7,1))+SUMIFS(Sales!$P$5:INDEX(Sales!$P$5:$P$3004,TxRows),Sales!$A$5:INDEX(Sales!$A$5:$A$3004,TxRows),"&gt;="&amp;$A7,Sales!$A$5:INDEX(Sales!$A$5:$A$3004,TxRows),"&lt;"&amp;EDATE($A7,1))</f>
        <v>18898.8</v>
      </c>
      <c r="L7" s="87" t="n">
        <f aca="false">SUMIFS(Purchases!$M$5:INDEX(Purchases!$M$5:$M$3004,TxRows),Purchases!$A$5:INDEX(Purchases!$A$5:$A$3004,TxRows),"&gt;="&amp;$A7,Purchases!$A$5:INDEX(Purchases!$A$5:$A$3004,TxRows),"&lt;"&amp;EDATE($A7,1))+SUMIFS(Purchases!$N$5:INDEX(Purchases!$N$5:$N$3004,TxRows),Purchases!$A$5:INDEX(Purchases!$A$5:$A$3004,TxRows),"&gt;="&amp;$A7,Purchases!$A$5:INDEX(Purchases!$A$5:$A$3004,TxRows),"&lt;"&amp;EDATE($A7,1))+SUMIFS(Purchases!$O$5:INDEX(Purchases!$O$5:$O$3004,TxRows),Purchases!$A$5:INDEX(Purchases!$A$5:$A$3004,TxRows),"&gt;="&amp;$A7,Purchases!$A$5:INDEX(Purchases!$A$5:$A$3004,TxRows),"&lt;"&amp;EDATE($A7,1))</f>
        <v>19712.34</v>
      </c>
      <c r="M7" s="87" t="n">
        <f aca="false">K7-L7</f>
        <v>-813.540000000001</v>
      </c>
    </row>
    <row r="8" customFormat="false" ht="15" hidden="false" customHeight="false" outlineLevel="0" collapsed="false">
      <c r="A8" s="86" t="n">
        <f aca="false">EDATE(FYStart,3)</f>
        <v>46204</v>
      </c>
      <c r="B8" s="87" t="n">
        <f aca="false">SUMIFS(Sales!$L$5:INDEX(Sales!$L$5:$L$3004,TxRows),Sales!$A$5:INDEX(Sales!$A$5:$A$3004,TxRows),"&gt;="&amp;$A8,Sales!$A$5:INDEX(Sales!$A$5:$A$3004,TxRows),"&lt;"&amp;EDATE($A8,1))</f>
        <v>194459.73</v>
      </c>
      <c r="C8" s="87" t="n">
        <f aca="false">SUMIFS(Sales!$R$5:INDEX(Sales!$R$5:$R$3004,TxRows),Sales!$A$5:INDEX(Sales!$A$5:$A$3004,TxRows),"&gt;="&amp;$A8,Sales!$A$5:INDEX(Sales!$A$5:$A$3004,TxRows),"&lt;"&amp;EDATE($A8,1))</f>
        <v>148669.33</v>
      </c>
      <c r="D8" s="87" t="n">
        <f aca="false">B8-C8</f>
        <v>45790.4</v>
      </c>
      <c r="E8" s="79" t="n">
        <f aca="false">IF(B8=0,0,D8/B8)</f>
        <v>0.235474974690133</v>
      </c>
      <c r="F8" s="87" t="n">
        <f aca="false">SUMIFS(CashBook!$G$5:INDEX(CashBook!$G$5:$G$3004,TxRows),CashBook!$C$5:INDEX(CashBook!$C$5:$C$3004,TxRows),"Expense",CashBook!$A$5:INDEX(CashBook!$A$5:$A$3004,TxRows),"&gt;="&amp;$A8,CashBook!$A$5:INDEX(CashBook!$A$5:$A$3004,TxRows),"&lt;"&amp;EDATE($A8,1))</f>
        <v>32912</v>
      </c>
      <c r="G8" s="87" t="n">
        <f aca="false">SUMIFS(CashBook!$G$5:INDEX(CashBook!$G$5:$G$3004,TxRows),CashBook!$C$5:INDEX(CashBook!$C$5:$C$3004,TxRows),"Other Income",CashBook!$A$5:INDEX(CashBook!$A$5:$A$3004,TxRows),"&gt;="&amp;$A8,CashBook!$A$5:INDEX(CashBook!$A$5:$A$3004,TxRows),"&lt;"&amp;EDATE($A8,1))</f>
        <v>0</v>
      </c>
      <c r="H8" s="87" t="n">
        <f aca="false">SUMIFS(Adjustments!$G$5:$G$504,Adjustments!$A$5:$A$504,"&gt;="&amp;$A8,Adjustments!$A$5:$A$504,"&lt;"&amp;EDATE($A8,1))</f>
        <v>-368.5</v>
      </c>
      <c r="I8" s="87" t="n">
        <f aca="false">D8-F8+G8+H8</f>
        <v>12509.9</v>
      </c>
      <c r="J8" s="87" t="n">
        <f aca="false">SUMIFS(Purchases!$K$5:INDEX(Purchases!$K$5:$K$3004,TxRows),Purchases!$A$5:INDEX(Purchases!$A$5:$A$3004,TxRows),"&gt;="&amp;$A8,Purchases!$A$5:INDEX(Purchases!$A$5:$A$3004,TxRows),"&lt;"&amp;EDATE($A8,1))</f>
        <v>71933</v>
      </c>
      <c r="K8" s="87" t="n">
        <f aca="false">SUMIFS(Sales!$N$5:INDEX(Sales!$N$5:$N$3004,TxRows),Sales!$A$5:INDEX(Sales!$A$5:$A$3004,TxRows),"&gt;="&amp;$A8,Sales!$A$5:INDEX(Sales!$A$5:$A$3004,TxRows),"&lt;"&amp;EDATE($A8,1))+SUMIFS(Sales!$O$5:INDEX(Sales!$O$5:$O$3004,TxRows),Sales!$A$5:INDEX(Sales!$A$5:$A$3004,TxRows),"&gt;="&amp;$A8,Sales!$A$5:INDEX(Sales!$A$5:$A$3004,TxRows),"&lt;"&amp;EDATE($A8,1))+SUMIFS(Sales!$P$5:INDEX(Sales!$P$5:$P$3004,TxRows),Sales!$A$5:INDEX(Sales!$A$5:$A$3004,TxRows),"&gt;="&amp;$A8,Sales!$A$5:INDEX(Sales!$A$5:$A$3004,TxRows),"&lt;"&amp;EDATE($A8,1))</f>
        <v>22734.56</v>
      </c>
      <c r="L8" s="87" t="n">
        <f aca="false">SUMIFS(Purchases!$M$5:INDEX(Purchases!$M$5:$M$3004,TxRows),Purchases!$A$5:INDEX(Purchases!$A$5:$A$3004,TxRows),"&gt;="&amp;$A8,Purchases!$A$5:INDEX(Purchases!$A$5:$A$3004,TxRows),"&lt;"&amp;EDATE($A8,1))+SUMIFS(Purchases!$N$5:INDEX(Purchases!$N$5:$N$3004,TxRows),Purchases!$A$5:INDEX(Purchases!$A$5:$A$3004,TxRows),"&gt;="&amp;$A8,Purchases!$A$5:INDEX(Purchases!$A$5:$A$3004,TxRows),"&lt;"&amp;EDATE($A8,1))+SUMIFS(Purchases!$O$5:INDEX(Purchases!$O$5:$O$3004,TxRows),Purchases!$A$5:INDEX(Purchases!$A$5:$A$3004,TxRows),"&gt;="&amp;$A8,Purchases!$A$5:INDEX(Purchases!$A$5:$A$3004,TxRows),"&lt;"&amp;EDATE($A8,1))</f>
        <v>5332.94</v>
      </c>
      <c r="M8" s="87" t="n">
        <f aca="false">K8-L8</f>
        <v>17401.62</v>
      </c>
    </row>
    <row r="9" customFormat="false" ht="15" hidden="false" customHeight="false" outlineLevel="0" collapsed="false">
      <c r="A9" s="86" t="n">
        <f aca="false">EDATE(FYStart,4)</f>
        <v>46235</v>
      </c>
      <c r="B9" s="87" t="n">
        <f aca="false">SUMIFS(Sales!$L$5:INDEX(Sales!$L$5:$L$3004,TxRows),Sales!$A$5:INDEX(Sales!$A$5:$A$3004,TxRows),"&gt;="&amp;$A9,Sales!$A$5:INDEX(Sales!$A$5:$A$3004,TxRows),"&lt;"&amp;EDATE($A9,1))</f>
        <v>181777.54</v>
      </c>
      <c r="C9" s="87" t="n">
        <f aca="false">SUMIFS(Sales!$R$5:INDEX(Sales!$R$5:$R$3004,TxRows),Sales!$A$5:INDEX(Sales!$A$5:$A$3004,TxRows),"&gt;="&amp;$A9,Sales!$A$5:INDEX(Sales!$A$5:$A$3004,TxRows),"&lt;"&amp;EDATE($A9,1))</f>
        <v>138130.25</v>
      </c>
      <c r="D9" s="87" t="n">
        <f aca="false">B9-C9</f>
        <v>43647.29</v>
      </c>
      <c r="E9" s="79" t="n">
        <f aca="false">IF(B9=0,0,D9/B9)</f>
        <v>0.240113767630478</v>
      </c>
      <c r="F9" s="87" t="n">
        <f aca="false">SUMIFS(CashBook!$G$5:INDEX(CashBook!$G$5:$G$3004,TxRows),CashBook!$C$5:INDEX(CashBook!$C$5:$C$3004,TxRows),"Expense",CashBook!$A$5:INDEX(CashBook!$A$5:$A$3004,TxRows),"&gt;="&amp;$A9,CashBook!$A$5:INDEX(CashBook!$A$5:$A$3004,TxRows),"&lt;"&amp;EDATE($A9,1))</f>
        <v>35573</v>
      </c>
      <c r="G9" s="87" t="n">
        <f aca="false">SUMIFS(CashBook!$G$5:INDEX(CashBook!$G$5:$G$3004,TxRows),CashBook!$C$5:INDEX(CashBook!$C$5:$C$3004,TxRows),"Other Income",CashBook!$A$5:INDEX(CashBook!$A$5:$A$3004,TxRows),"&gt;="&amp;$A9,CashBook!$A$5:INDEX(CashBook!$A$5:$A$3004,TxRows),"&lt;"&amp;EDATE($A9,1))</f>
        <v>1500</v>
      </c>
      <c r="H9" s="87" t="n">
        <f aca="false">SUMIFS(Adjustments!$G$5:$G$504,Adjustments!$A$5:$A$504,"&gt;="&amp;$A9,Adjustments!$A$5:$A$504,"&lt;"&amp;EDATE($A9,1))</f>
        <v>0</v>
      </c>
      <c r="I9" s="87" t="n">
        <f aca="false">D9-F9+G9+H9</f>
        <v>9574.29000000001</v>
      </c>
      <c r="J9" s="87" t="n">
        <f aca="false">SUMIFS(Purchases!$K$5:INDEX(Purchases!$K$5:$K$3004,TxRows),Purchases!$A$5:INDEX(Purchases!$A$5:$A$3004,TxRows),"&gt;="&amp;$A9,Purchases!$A$5:INDEX(Purchases!$A$5:$A$3004,TxRows),"&lt;"&amp;EDATE($A9,1))</f>
        <v>175065</v>
      </c>
      <c r="K9" s="87" t="n">
        <f aca="false">SUMIFS(Sales!$N$5:INDEX(Sales!$N$5:$N$3004,TxRows),Sales!$A$5:INDEX(Sales!$A$5:$A$3004,TxRows),"&gt;="&amp;$A9,Sales!$A$5:INDEX(Sales!$A$5:$A$3004,TxRows),"&lt;"&amp;EDATE($A9,1))+SUMIFS(Sales!$O$5:INDEX(Sales!$O$5:$O$3004,TxRows),Sales!$A$5:INDEX(Sales!$A$5:$A$3004,TxRows),"&gt;="&amp;$A9,Sales!$A$5:INDEX(Sales!$A$5:$A$3004,TxRows),"&lt;"&amp;EDATE($A9,1))+SUMIFS(Sales!$P$5:INDEX(Sales!$P$5:$P$3004,TxRows),Sales!$A$5:INDEX(Sales!$A$5:$A$3004,TxRows),"&gt;="&amp;$A9,Sales!$A$5:INDEX(Sales!$A$5:$A$3004,TxRows),"&lt;"&amp;EDATE($A9,1))</f>
        <v>19593.5</v>
      </c>
      <c r="L9" s="87" t="n">
        <f aca="false">SUMIFS(Purchases!$M$5:INDEX(Purchases!$M$5:$M$3004,TxRows),Purchases!$A$5:INDEX(Purchases!$A$5:$A$3004,TxRows),"&gt;="&amp;$A9,Purchases!$A$5:INDEX(Purchases!$A$5:$A$3004,TxRows),"&lt;"&amp;EDATE($A9,1))+SUMIFS(Purchases!$N$5:INDEX(Purchases!$N$5:$N$3004,TxRows),Purchases!$A$5:INDEX(Purchases!$A$5:$A$3004,TxRows),"&gt;="&amp;$A9,Purchases!$A$5:INDEX(Purchases!$A$5:$A$3004,TxRows),"&lt;"&amp;EDATE($A9,1))+SUMIFS(Purchases!$O$5:INDEX(Purchases!$O$5:$O$3004,TxRows),Purchases!$A$5:INDEX(Purchases!$A$5:$A$3004,TxRows),"&gt;="&amp;$A9,Purchases!$A$5:INDEX(Purchases!$A$5:$A$3004,TxRows),"&lt;"&amp;EDATE($A9,1))</f>
        <v>22725.78</v>
      </c>
      <c r="M9" s="87" t="n">
        <f aca="false">K9-L9</f>
        <v>-3132.28</v>
      </c>
    </row>
    <row r="10" customFormat="false" ht="15" hidden="false" customHeight="false" outlineLevel="0" collapsed="false">
      <c r="A10" s="86" t="n">
        <f aca="false">EDATE(FYStart,5)</f>
        <v>46266</v>
      </c>
      <c r="B10" s="87" t="n">
        <f aca="false">SUMIFS(Sales!$L$5:INDEX(Sales!$L$5:$L$3004,TxRows),Sales!$A$5:INDEX(Sales!$A$5:$A$3004,TxRows),"&gt;="&amp;$A10,Sales!$A$5:INDEX(Sales!$A$5:$A$3004,TxRows),"&lt;"&amp;EDATE($A10,1))</f>
        <v>222477.11</v>
      </c>
      <c r="C10" s="87" t="n">
        <f aca="false">SUMIFS(Sales!$R$5:INDEX(Sales!$R$5:$R$3004,TxRows),Sales!$A$5:INDEX(Sales!$A$5:$A$3004,TxRows),"&gt;="&amp;$A10,Sales!$A$5:INDEX(Sales!$A$5:$A$3004,TxRows),"&lt;"&amp;EDATE($A10,1))</f>
        <v>173504.21</v>
      </c>
      <c r="D10" s="87" t="n">
        <f aca="false">B10-C10</f>
        <v>48972.9</v>
      </c>
      <c r="E10" s="79" t="n">
        <f aca="false">IF(B10=0,0,D10/B10)</f>
        <v>0.220125567075193</v>
      </c>
      <c r="F10" s="87" t="n">
        <f aca="false">SUMIFS(CashBook!$G$5:INDEX(CashBook!$G$5:$G$3004,TxRows),CashBook!$C$5:INDEX(CashBook!$C$5:$C$3004,TxRows),"Expense",CashBook!$A$5:INDEX(CashBook!$A$5:$A$3004,TxRows),"&gt;="&amp;$A10,CashBook!$A$5:INDEX(CashBook!$A$5:$A$3004,TxRows),"&lt;"&amp;EDATE($A10,1))</f>
        <v>31863</v>
      </c>
      <c r="G10" s="87" t="n">
        <f aca="false">SUMIFS(CashBook!$G$5:INDEX(CashBook!$G$5:$G$3004,TxRows),CashBook!$C$5:INDEX(CashBook!$C$5:$C$3004,TxRows),"Other Income",CashBook!$A$5:INDEX(CashBook!$A$5:$A$3004,TxRows),"&gt;="&amp;$A10,CashBook!$A$5:INDEX(CashBook!$A$5:$A$3004,TxRows),"&lt;"&amp;EDATE($A10,1))</f>
        <v>0</v>
      </c>
      <c r="H10" s="87" t="n">
        <f aca="false">SUMIFS(Adjustments!$G$5:$G$504,Adjustments!$A$5:$A$504,"&gt;="&amp;$A10,Adjustments!$A$5:$A$504,"&lt;"&amp;EDATE($A10,1))</f>
        <v>1647.43</v>
      </c>
      <c r="I10" s="87" t="n">
        <f aca="false">D10-F10+G10+H10</f>
        <v>18757.33</v>
      </c>
      <c r="J10" s="87" t="n">
        <f aca="false">SUMIFS(Purchases!$K$5:INDEX(Purchases!$K$5:$K$3004,TxRows),Purchases!$A$5:INDEX(Purchases!$A$5:$A$3004,TxRows),"&gt;="&amp;$A10,Purchases!$A$5:INDEX(Purchases!$A$5:$A$3004,TxRows),"&lt;"&amp;EDATE($A10,1))</f>
        <v>159912</v>
      </c>
      <c r="K10" s="87" t="n">
        <f aca="false">SUMIFS(Sales!$N$5:INDEX(Sales!$N$5:$N$3004,TxRows),Sales!$A$5:INDEX(Sales!$A$5:$A$3004,TxRows),"&gt;="&amp;$A10,Sales!$A$5:INDEX(Sales!$A$5:$A$3004,TxRows),"&lt;"&amp;EDATE($A10,1))+SUMIFS(Sales!$O$5:INDEX(Sales!$O$5:$O$3004,TxRows),Sales!$A$5:INDEX(Sales!$A$5:$A$3004,TxRows),"&gt;="&amp;$A10,Sales!$A$5:INDEX(Sales!$A$5:$A$3004,TxRows),"&lt;"&amp;EDATE($A10,1))+SUMIFS(Sales!$P$5:INDEX(Sales!$P$5:$P$3004,TxRows),Sales!$A$5:INDEX(Sales!$A$5:$A$3004,TxRows),"&gt;="&amp;$A10,Sales!$A$5:INDEX(Sales!$A$5:$A$3004,TxRows),"&lt;"&amp;EDATE($A10,1))</f>
        <v>24164.9</v>
      </c>
      <c r="L10" s="87" t="n">
        <f aca="false">SUMIFS(Purchases!$M$5:INDEX(Purchases!$M$5:$M$3004,TxRows),Purchases!$A$5:INDEX(Purchases!$A$5:$A$3004,TxRows),"&gt;="&amp;$A10,Purchases!$A$5:INDEX(Purchases!$A$5:$A$3004,TxRows),"&lt;"&amp;EDATE($A10,1))+SUMIFS(Purchases!$N$5:INDEX(Purchases!$N$5:$N$3004,TxRows),Purchases!$A$5:INDEX(Purchases!$A$5:$A$3004,TxRows),"&gt;="&amp;$A10,Purchases!$A$5:INDEX(Purchases!$A$5:$A$3004,TxRows),"&lt;"&amp;EDATE($A10,1))+SUMIFS(Purchases!$O$5:INDEX(Purchases!$O$5:$O$3004,TxRows),Purchases!$A$5:INDEX(Purchases!$A$5:$A$3004,TxRows),"&gt;="&amp;$A10,Purchases!$A$5:INDEX(Purchases!$A$5:$A$3004,TxRows),"&lt;"&amp;EDATE($A10,1))</f>
        <v>11211.56</v>
      </c>
      <c r="M10" s="87" t="n">
        <f aca="false">K10-L10</f>
        <v>12953.34</v>
      </c>
    </row>
    <row r="11" customFormat="false" ht="15" hidden="false" customHeight="false" outlineLevel="0" collapsed="false">
      <c r="A11" s="86" t="n">
        <f aca="false">EDATE(FYStart,6)</f>
        <v>46296</v>
      </c>
      <c r="B11" s="87" t="n">
        <f aca="false">SUMIFS(Sales!$L$5:INDEX(Sales!$L$5:$L$3004,TxRows),Sales!$A$5:INDEX(Sales!$A$5:$A$3004,TxRows),"&gt;="&amp;$A11,Sales!$A$5:INDEX(Sales!$A$5:$A$3004,TxRows),"&lt;"&amp;EDATE($A11,1))</f>
        <v>77891.3</v>
      </c>
      <c r="C11" s="87" t="n">
        <f aca="false">SUMIFS(Sales!$R$5:INDEX(Sales!$R$5:$R$3004,TxRows),Sales!$A$5:INDEX(Sales!$A$5:$A$3004,TxRows),"&gt;="&amp;$A11,Sales!$A$5:INDEX(Sales!$A$5:$A$3004,TxRows),"&lt;"&amp;EDATE($A11,1))</f>
        <v>64478.06</v>
      </c>
      <c r="D11" s="87" t="n">
        <f aca="false">B11-C11</f>
        <v>13413.24</v>
      </c>
      <c r="E11" s="79" t="n">
        <f aca="false">IF(B11=0,0,D11/B11)</f>
        <v>0.172204597946112</v>
      </c>
      <c r="F11" s="87" t="n">
        <f aca="false">SUMIFS(CashBook!$G$5:INDEX(CashBook!$G$5:$G$3004,TxRows),CashBook!$C$5:INDEX(CashBook!$C$5:$C$3004,TxRows),"Expense",CashBook!$A$5:INDEX(CashBook!$A$5:$A$3004,TxRows),"&gt;="&amp;$A11,CashBook!$A$5:INDEX(CashBook!$A$5:$A$3004,TxRows),"&lt;"&amp;EDATE($A11,1))</f>
        <v>34702</v>
      </c>
      <c r="G11" s="87" t="n">
        <f aca="false">SUMIFS(CashBook!$G$5:INDEX(CashBook!$G$5:$G$3004,TxRows),CashBook!$C$5:INDEX(CashBook!$C$5:$C$3004,TxRows),"Other Income",CashBook!$A$5:INDEX(CashBook!$A$5:$A$3004,TxRows),"&gt;="&amp;$A11,CashBook!$A$5:INDEX(CashBook!$A$5:$A$3004,TxRows),"&lt;"&amp;EDATE($A11,1))</f>
        <v>0</v>
      </c>
      <c r="H11" s="87" t="n">
        <f aca="false">SUMIFS(Adjustments!$G$5:$G$504,Adjustments!$A$5:$A$504,"&gt;="&amp;$A11,Adjustments!$A$5:$A$504,"&lt;"&amp;EDATE($A11,1))</f>
        <v>0</v>
      </c>
      <c r="I11" s="87" t="n">
        <f aca="false">D11-F11+G11+H11</f>
        <v>-21288.76</v>
      </c>
      <c r="J11" s="87" t="n">
        <f aca="false">SUMIFS(Purchases!$K$5:INDEX(Purchases!$K$5:$K$3004,TxRows),Purchases!$A$5:INDEX(Purchases!$A$5:$A$3004,TxRows),"&gt;="&amp;$A11,Purchases!$A$5:INDEX(Purchases!$A$5:$A$3004,TxRows),"&lt;"&amp;EDATE($A11,1))</f>
        <v>147184</v>
      </c>
      <c r="K11" s="87" t="n">
        <f aca="false">SUMIFS(Sales!$N$5:INDEX(Sales!$N$5:$N$3004,TxRows),Sales!$A$5:INDEX(Sales!$A$5:$A$3004,TxRows),"&gt;="&amp;$A11,Sales!$A$5:INDEX(Sales!$A$5:$A$3004,TxRows),"&lt;"&amp;EDATE($A11,1))+SUMIFS(Sales!$O$5:INDEX(Sales!$O$5:$O$3004,TxRows),Sales!$A$5:INDEX(Sales!$A$5:$A$3004,TxRows),"&gt;="&amp;$A11,Sales!$A$5:INDEX(Sales!$A$5:$A$3004,TxRows),"&lt;"&amp;EDATE($A11,1))+SUMIFS(Sales!$P$5:INDEX(Sales!$P$5:$P$3004,TxRows),Sales!$A$5:INDEX(Sales!$A$5:$A$3004,TxRows),"&gt;="&amp;$A11,Sales!$A$5:INDEX(Sales!$A$5:$A$3004,TxRows),"&lt;"&amp;EDATE($A11,1))</f>
        <v>6555.5</v>
      </c>
      <c r="L11" s="87" t="n">
        <f aca="false">SUMIFS(Purchases!$M$5:INDEX(Purchases!$M$5:$M$3004,TxRows),Purchases!$A$5:INDEX(Purchases!$A$5:$A$3004,TxRows),"&gt;="&amp;$A11,Purchases!$A$5:INDEX(Purchases!$A$5:$A$3004,TxRows),"&lt;"&amp;EDATE($A11,1))+SUMIFS(Purchases!$N$5:INDEX(Purchases!$N$5:$N$3004,TxRows),Purchases!$A$5:INDEX(Purchases!$A$5:$A$3004,TxRows),"&gt;="&amp;$A11,Purchases!$A$5:INDEX(Purchases!$A$5:$A$3004,TxRows),"&lt;"&amp;EDATE($A11,1))+SUMIFS(Purchases!$O$5:INDEX(Purchases!$O$5:$O$3004,TxRows),Purchases!$A$5:INDEX(Purchases!$A$5:$A$3004,TxRows),"&gt;="&amp;$A11,Purchases!$A$5:INDEX(Purchases!$A$5:$A$3004,TxRows),"&lt;"&amp;EDATE($A11,1))</f>
        <v>19350.02</v>
      </c>
      <c r="M11" s="87" t="n">
        <f aca="false">K11-L11</f>
        <v>-12794.52</v>
      </c>
    </row>
    <row r="12" customFormat="false" ht="15" hidden="false" customHeight="false" outlineLevel="0" collapsed="false">
      <c r="A12" s="86" t="n">
        <f aca="false">EDATE(FYStart,7)</f>
        <v>46327</v>
      </c>
      <c r="B12" s="87" t="n">
        <f aca="false">SUMIFS(Sales!$L$5:INDEX(Sales!$L$5:$L$3004,TxRows),Sales!$A$5:INDEX(Sales!$A$5:$A$3004,TxRows),"&gt;="&amp;$A12,Sales!$A$5:INDEX(Sales!$A$5:$A$3004,TxRows),"&lt;"&amp;EDATE($A12,1))</f>
        <v>0</v>
      </c>
      <c r="C12" s="87" t="n">
        <f aca="false">SUMIFS(Sales!$R$5:INDEX(Sales!$R$5:$R$3004,TxRows),Sales!$A$5:INDEX(Sales!$A$5:$A$3004,TxRows),"&gt;="&amp;$A12,Sales!$A$5:INDEX(Sales!$A$5:$A$3004,TxRows),"&lt;"&amp;EDATE($A12,1))</f>
        <v>0</v>
      </c>
      <c r="D12" s="87" t="n">
        <f aca="false">B12-C12</f>
        <v>0</v>
      </c>
      <c r="E12" s="79" t="n">
        <f aca="false">IF(B12=0,0,D12/B12)</f>
        <v>0</v>
      </c>
      <c r="F12" s="87" t="n">
        <f aca="false">SUMIFS(CashBook!$G$5:INDEX(CashBook!$G$5:$G$3004,TxRows),CashBook!$C$5:INDEX(CashBook!$C$5:$C$3004,TxRows),"Expense",CashBook!$A$5:INDEX(CashBook!$A$5:$A$3004,TxRows),"&gt;="&amp;$A12,CashBook!$A$5:INDEX(CashBook!$A$5:$A$3004,TxRows),"&lt;"&amp;EDATE($A12,1))</f>
        <v>0</v>
      </c>
      <c r="G12" s="87" t="n">
        <f aca="false">SUMIFS(CashBook!$G$5:INDEX(CashBook!$G$5:$G$3004,TxRows),CashBook!$C$5:INDEX(CashBook!$C$5:$C$3004,TxRows),"Other Income",CashBook!$A$5:INDEX(CashBook!$A$5:$A$3004,TxRows),"&gt;="&amp;$A12,CashBook!$A$5:INDEX(CashBook!$A$5:$A$3004,TxRows),"&lt;"&amp;EDATE($A12,1))</f>
        <v>0</v>
      </c>
      <c r="H12" s="87" t="n">
        <f aca="false">SUMIFS(Adjustments!$G$5:$G$504,Adjustments!$A$5:$A$504,"&gt;="&amp;$A12,Adjustments!$A$5:$A$504,"&lt;"&amp;EDATE($A12,1))</f>
        <v>0</v>
      </c>
      <c r="I12" s="87" t="n">
        <f aca="false">D12-F12+G12+H12</f>
        <v>0</v>
      </c>
      <c r="J12" s="87" t="n">
        <f aca="false">SUMIFS(Purchases!$K$5:INDEX(Purchases!$K$5:$K$3004,TxRows),Purchases!$A$5:INDEX(Purchases!$A$5:$A$3004,TxRows),"&gt;="&amp;$A12,Purchases!$A$5:INDEX(Purchases!$A$5:$A$3004,TxRows),"&lt;"&amp;EDATE($A12,1))</f>
        <v>0</v>
      </c>
      <c r="K12" s="87" t="n">
        <f aca="false">SUMIFS(Sales!$N$5:INDEX(Sales!$N$5:$N$3004,TxRows),Sales!$A$5:INDEX(Sales!$A$5:$A$3004,TxRows),"&gt;="&amp;$A12,Sales!$A$5:INDEX(Sales!$A$5:$A$3004,TxRows),"&lt;"&amp;EDATE($A12,1))+SUMIFS(Sales!$O$5:INDEX(Sales!$O$5:$O$3004,TxRows),Sales!$A$5:INDEX(Sales!$A$5:$A$3004,TxRows),"&gt;="&amp;$A12,Sales!$A$5:INDEX(Sales!$A$5:$A$3004,TxRows),"&lt;"&amp;EDATE($A12,1))+SUMIFS(Sales!$P$5:INDEX(Sales!$P$5:$P$3004,TxRows),Sales!$A$5:INDEX(Sales!$A$5:$A$3004,TxRows),"&gt;="&amp;$A12,Sales!$A$5:INDEX(Sales!$A$5:$A$3004,TxRows),"&lt;"&amp;EDATE($A12,1))</f>
        <v>0</v>
      </c>
      <c r="L12" s="87" t="n">
        <f aca="false">SUMIFS(Purchases!$M$5:INDEX(Purchases!$M$5:$M$3004,TxRows),Purchases!$A$5:INDEX(Purchases!$A$5:$A$3004,TxRows),"&gt;="&amp;$A12,Purchases!$A$5:INDEX(Purchases!$A$5:$A$3004,TxRows),"&lt;"&amp;EDATE($A12,1))+SUMIFS(Purchases!$N$5:INDEX(Purchases!$N$5:$N$3004,TxRows),Purchases!$A$5:INDEX(Purchases!$A$5:$A$3004,TxRows),"&gt;="&amp;$A12,Purchases!$A$5:INDEX(Purchases!$A$5:$A$3004,TxRows),"&lt;"&amp;EDATE($A12,1))+SUMIFS(Purchases!$O$5:INDEX(Purchases!$O$5:$O$3004,TxRows),Purchases!$A$5:INDEX(Purchases!$A$5:$A$3004,TxRows),"&gt;="&amp;$A12,Purchases!$A$5:INDEX(Purchases!$A$5:$A$3004,TxRows),"&lt;"&amp;EDATE($A12,1))</f>
        <v>0</v>
      </c>
      <c r="M12" s="87" t="n">
        <f aca="false">K12-L12</f>
        <v>0</v>
      </c>
    </row>
    <row r="13" customFormat="false" ht="15" hidden="false" customHeight="false" outlineLevel="0" collapsed="false">
      <c r="A13" s="86" t="n">
        <f aca="false">EDATE(FYStart,8)</f>
        <v>46357</v>
      </c>
      <c r="B13" s="87" t="n">
        <f aca="false">SUMIFS(Sales!$L$5:INDEX(Sales!$L$5:$L$3004,TxRows),Sales!$A$5:INDEX(Sales!$A$5:$A$3004,TxRows),"&gt;="&amp;$A13,Sales!$A$5:INDEX(Sales!$A$5:$A$3004,TxRows),"&lt;"&amp;EDATE($A13,1))</f>
        <v>0</v>
      </c>
      <c r="C13" s="87" t="n">
        <f aca="false">SUMIFS(Sales!$R$5:INDEX(Sales!$R$5:$R$3004,TxRows),Sales!$A$5:INDEX(Sales!$A$5:$A$3004,TxRows),"&gt;="&amp;$A13,Sales!$A$5:INDEX(Sales!$A$5:$A$3004,TxRows),"&lt;"&amp;EDATE($A13,1))</f>
        <v>0</v>
      </c>
      <c r="D13" s="87" t="n">
        <f aca="false">B13-C13</f>
        <v>0</v>
      </c>
      <c r="E13" s="79" t="n">
        <f aca="false">IF(B13=0,0,D13/B13)</f>
        <v>0</v>
      </c>
      <c r="F13" s="87" t="n">
        <f aca="false">SUMIFS(CashBook!$G$5:INDEX(CashBook!$G$5:$G$3004,TxRows),CashBook!$C$5:INDEX(CashBook!$C$5:$C$3004,TxRows),"Expense",CashBook!$A$5:INDEX(CashBook!$A$5:$A$3004,TxRows),"&gt;="&amp;$A13,CashBook!$A$5:INDEX(CashBook!$A$5:$A$3004,TxRows),"&lt;"&amp;EDATE($A13,1))</f>
        <v>0</v>
      </c>
      <c r="G13" s="87" t="n">
        <f aca="false">SUMIFS(CashBook!$G$5:INDEX(CashBook!$G$5:$G$3004,TxRows),CashBook!$C$5:INDEX(CashBook!$C$5:$C$3004,TxRows),"Other Income",CashBook!$A$5:INDEX(CashBook!$A$5:$A$3004,TxRows),"&gt;="&amp;$A13,CashBook!$A$5:INDEX(CashBook!$A$5:$A$3004,TxRows),"&lt;"&amp;EDATE($A13,1))</f>
        <v>0</v>
      </c>
      <c r="H13" s="87" t="n">
        <f aca="false">SUMIFS(Adjustments!$G$5:$G$504,Adjustments!$A$5:$A$504,"&gt;="&amp;$A13,Adjustments!$A$5:$A$504,"&lt;"&amp;EDATE($A13,1))</f>
        <v>0</v>
      </c>
      <c r="I13" s="87" t="n">
        <f aca="false">D13-F13+G13+H13</f>
        <v>0</v>
      </c>
      <c r="J13" s="87" t="n">
        <f aca="false">SUMIFS(Purchases!$K$5:INDEX(Purchases!$K$5:$K$3004,TxRows),Purchases!$A$5:INDEX(Purchases!$A$5:$A$3004,TxRows),"&gt;="&amp;$A13,Purchases!$A$5:INDEX(Purchases!$A$5:$A$3004,TxRows),"&lt;"&amp;EDATE($A13,1))</f>
        <v>0</v>
      </c>
      <c r="K13" s="87" t="n">
        <f aca="false">SUMIFS(Sales!$N$5:INDEX(Sales!$N$5:$N$3004,TxRows),Sales!$A$5:INDEX(Sales!$A$5:$A$3004,TxRows),"&gt;="&amp;$A13,Sales!$A$5:INDEX(Sales!$A$5:$A$3004,TxRows),"&lt;"&amp;EDATE($A13,1))+SUMIFS(Sales!$O$5:INDEX(Sales!$O$5:$O$3004,TxRows),Sales!$A$5:INDEX(Sales!$A$5:$A$3004,TxRows),"&gt;="&amp;$A13,Sales!$A$5:INDEX(Sales!$A$5:$A$3004,TxRows),"&lt;"&amp;EDATE($A13,1))+SUMIFS(Sales!$P$5:INDEX(Sales!$P$5:$P$3004,TxRows),Sales!$A$5:INDEX(Sales!$A$5:$A$3004,TxRows),"&gt;="&amp;$A13,Sales!$A$5:INDEX(Sales!$A$5:$A$3004,TxRows),"&lt;"&amp;EDATE($A13,1))</f>
        <v>0</v>
      </c>
      <c r="L13" s="87" t="n">
        <f aca="false">SUMIFS(Purchases!$M$5:INDEX(Purchases!$M$5:$M$3004,TxRows),Purchases!$A$5:INDEX(Purchases!$A$5:$A$3004,TxRows),"&gt;="&amp;$A13,Purchases!$A$5:INDEX(Purchases!$A$5:$A$3004,TxRows),"&lt;"&amp;EDATE($A13,1))+SUMIFS(Purchases!$N$5:INDEX(Purchases!$N$5:$N$3004,TxRows),Purchases!$A$5:INDEX(Purchases!$A$5:$A$3004,TxRows),"&gt;="&amp;$A13,Purchases!$A$5:INDEX(Purchases!$A$5:$A$3004,TxRows),"&lt;"&amp;EDATE($A13,1))+SUMIFS(Purchases!$O$5:INDEX(Purchases!$O$5:$O$3004,TxRows),Purchases!$A$5:INDEX(Purchases!$A$5:$A$3004,TxRows),"&gt;="&amp;$A13,Purchases!$A$5:INDEX(Purchases!$A$5:$A$3004,TxRows),"&lt;"&amp;EDATE($A13,1))</f>
        <v>0</v>
      </c>
      <c r="M13" s="87" t="n">
        <f aca="false">K13-L13</f>
        <v>0</v>
      </c>
    </row>
    <row r="14" customFormat="false" ht="15" hidden="false" customHeight="false" outlineLevel="0" collapsed="false">
      <c r="A14" s="86" t="n">
        <f aca="false">EDATE(FYStart,9)</f>
        <v>46388</v>
      </c>
      <c r="B14" s="87" t="n">
        <f aca="false">SUMIFS(Sales!$L$5:INDEX(Sales!$L$5:$L$3004,TxRows),Sales!$A$5:INDEX(Sales!$A$5:$A$3004,TxRows),"&gt;="&amp;$A14,Sales!$A$5:INDEX(Sales!$A$5:$A$3004,TxRows),"&lt;"&amp;EDATE($A14,1))</f>
        <v>0</v>
      </c>
      <c r="C14" s="87" t="n">
        <f aca="false">SUMIFS(Sales!$R$5:INDEX(Sales!$R$5:$R$3004,TxRows),Sales!$A$5:INDEX(Sales!$A$5:$A$3004,TxRows),"&gt;="&amp;$A14,Sales!$A$5:INDEX(Sales!$A$5:$A$3004,TxRows),"&lt;"&amp;EDATE($A14,1))</f>
        <v>0</v>
      </c>
      <c r="D14" s="87" t="n">
        <f aca="false">B14-C14</f>
        <v>0</v>
      </c>
      <c r="E14" s="79" t="n">
        <f aca="false">IF(B14=0,0,D14/B14)</f>
        <v>0</v>
      </c>
      <c r="F14" s="87" t="n">
        <f aca="false">SUMIFS(CashBook!$G$5:INDEX(CashBook!$G$5:$G$3004,TxRows),CashBook!$C$5:INDEX(CashBook!$C$5:$C$3004,TxRows),"Expense",CashBook!$A$5:INDEX(CashBook!$A$5:$A$3004,TxRows),"&gt;="&amp;$A14,CashBook!$A$5:INDEX(CashBook!$A$5:$A$3004,TxRows),"&lt;"&amp;EDATE($A14,1))</f>
        <v>0</v>
      </c>
      <c r="G14" s="87" t="n">
        <f aca="false">SUMIFS(CashBook!$G$5:INDEX(CashBook!$G$5:$G$3004,TxRows),CashBook!$C$5:INDEX(CashBook!$C$5:$C$3004,TxRows),"Other Income",CashBook!$A$5:INDEX(CashBook!$A$5:$A$3004,TxRows),"&gt;="&amp;$A14,CashBook!$A$5:INDEX(CashBook!$A$5:$A$3004,TxRows),"&lt;"&amp;EDATE($A14,1))</f>
        <v>0</v>
      </c>
      <c r="H14" s="87" t="n">
        <f aca="false">SUMIFS(Adjustments!$G$5:$G$504,Adjustments!$A$5:$A$504,"&gt;="&amp;$A14,Adjustments!$A$5:$A$504,"&lt;"&amp;EDATE($A14,1))</f>
        <v>0</v>
      </c>
      <c r="I14" s="87" t="n">
        <f aca="false">D14-F14+G14+H14</f>
        <v>0</v>
      </c>
      <c r="J14" s="87" t="n">
        <f aca="false">SUMIFS(Purchases!$K$5:INDEX(Purchases!$K$5:$K$3004,TxRows),Purchases!$A$5:INDEX(Purchases!$A$5:$A$3004,TxRows),"&gt;="&amp;$A14,Purchases!$A$5:INDEX(Purchases!$A$5:$A$3004,TxRows),"&lt;"&amp;EDATE($A14,1))</f>
        <v>0</v>
      </c>
      <c r="K14" s="87" t="n">
        <f aca="false">SUMIFS(Sales!$N$5:INDEX(Sales!$N$5:$N$3004,TxRows),Sales!$A$5:INDEX(Sales!$A$5:$A$3004,TxRows),"&gt;="&amp;$A14,Sales!$A$5:INDEX(Sales!$A$5:$A$3004,TxRows),"&lt;"&amp;EDATE($A14,1))+SUMIFS(Sales!$O$5:INDEX(Sales!$O$5:$O$3004,TxRows),Sales!$A$5:INDEX(Sales!$A$5:$A$3004,TxRows),"&gt;="&amp;$A14,Sales!$A$5:INDEX(Sales!$A$5:$A$3004,TxRows),"&lt;"&amp;EDATE($A14,1))+SUMIFS(Sales!$P$5:INDEX(Sales!$P$5:$P$3004,TxRows),Sales!$A$5:INDEX(Sales!$A$5:$A$3004,TxRows),"&gt;="&amp;$A14,Sales!$A$5:INDEX(Sales!$A$5:$A$3004,TxRows),"&lt;"&amp;EDATE($A14,1))</f>
        <v>0</v>
      </c>
      <c r="L14" s="87" t="n">
        <f aca="false">SUMIFS(Purchases!$M$5:INDEX(Purchases!$M$5:$M$3004,TxRows),Purchases!$A$5:INDEX(Purchases!$A$5:$A$3004,TxRows),"&gt;="&amp;$A14,Purchases!$A$5:INDEX(Purchases!$A$5:$A$3004,TxRows),"&lt;"&amp;EDATE($A14,1))+SUMIFS(Purchases!$N$5:INDEX(Purchases!$N$5:$N$3004,TxRows),Purchases!$A$5:INDEX(Purchases!$A$5:$A$3004,TxRows),"&gt;="&amp;$A14,Purchases!$A$5:INDEX(Purchases!$A$5:$A$3004,TxRows),"&lt;"&amp;EDATE($A14,1))+SUMIFS(Purchases!$O$5:INDEX(Purchases!$O$5:$O$3004,TxRows),Purchases!$A$5:INDEX(Purchases!$A$5:$A$3004,TxRows),"&gt;="&amp;$A14,Purchases!$A$5:INDEX(Purchases!$A$5:$A$3004,TxRows),"&lt;"&amp;EDATE($A14,1))</f>
        <v>0</v>
      </c>
      <c r="M14" s="87" t="n">
        <f aca="false">K14-L14</f>
        <v>0</v>
      </c>
    </row>
    <row r="15" customFormat="false" ht="15" hidden="false" customHeight="false" outlineLevel="0" collapsed="false">
      <c r="A15" s="86" t="n">
        <f aca="false">EDATE(FYStart,10)</f>
        <v>46419</v>
      </c>
      <c r="B15" s="87" t="n">
        <f aca="false">SUMIFS(Sales!$L$5:INDEX(Sales!$L$5:$L$3004,TxRows),Sales!$A$5:INDEX(Sales!$A$5:$A$3004,TxRows),"&gt;="&amp;$A15,Sales!$A$5:INDEX(Sales!$A$5:$A$3004,TxRows),"&lt;"&amp;EDATE($A15,1))</f>
        <v>0</v>
      </c>
      <c r="C15" s="87" t="n">
        <f aca="false">SUMIFS(Sales!$R$5:INDEX(Sales!$R$5:$R$3004,TxRows),Sales!$A$5:INDEX(Sales!$A$5:$A$3004,TxRows),"&gt;="&amp;$A15,Sales!$A$5:INDEX(Sales!$A$5:$A$3004,TxRows),"&lt;"&amp;EDATE($A15,1))</f>
        <v>0</v>
      </c>
      <c r="D15" s="87" t="n">
        <f aca="false">B15-C15</f>
        <v>0</v>
      </c>
      <c r="E15" s="79" t="n">
        <f aca="false">IF(B15=0,0,D15/B15)</f>
        <v>0</v>
      </c>
      <c r="F15" s="87" t="n">
        <f aca="false">SUMIFS(CashBook!$G$5:INDEX(CashBook!$G$5:$G$3004,TxRows),CashBook!$C$5:INDEX(CashBook!$C$5:$C$3004,TxRows),"Expense",CashBook!$A$5:INDEX(CashBook!$A$5:$A$3004,TxRows),"&gt;="&amp;$A15,CashBook!$A$5:INDEX(CashBook!$A$5:$A$3004,TxRows),"&lt;"&amp;EDATE($A15,1))</f>
        <v>0</v>
      </c>
      <c r="G15" s="87" t="n">
        <f aca="false">SUMIFS(CashBook!$G$5:INDEX(CashBook!$G$5:$G$3004,TxRows),CashBook!$C$5:INDEX(CashBook!$C$5:$C$3004,TxRows),"Other Income",CashBook!$A$5:INDEX(CashBook!$A$5:$A$3004,TxRows),"&gt;="&amp;$A15,CashBook!$A$5:INDEX(CashBook!$A$5:$A$3004,TxRows),"&lt;"&amp;EDATE($A15,1))</f>
        <v>0</v>
      </c>
      <c r="H15" s="87" t="n">
        <f aca="false">SUMIFS(Adjustments!$G$5:$G$504,Adjustments!$A$5:$A$504,"&gt;="&amp;$A15,Adjustments!$A$5:$A$504,"&lt;"&amp;EDATE($A15,1))</f>
        <v>0</v>
      </c>
      <c r="I15" s="87" t="n">
        <f aca="false">D15-F15+G15+H15</f>
        <v>0</v>
      </c>
      <c r="J15" s="87" t="n">
        <f aca="false">SUMIFS(Purchases!$K$5:INDEX(Purchases!$K$5:$K$3004,TxRows),Purchases!$A$5:INDEX(Purchases!$A$5:$A$3004,TxRows),"&gt;="&amp;$A15,Purchases!$A$5:INDEX(Purchases!$A$5:$A$3004,TxRows),"&lt;"&amp;EDATE($A15,1))</f>
        <v>0</v>
      </c>
      <c r="K15" s="87" t="n">
        <f aca="false">SUMIFS(Sales!$N$5:INDEX(Sales!$N$5:$N$3004,TxRows),Sales!$A$5:INDEX(Sales!$A$5:$A$3004,TxRows),"&gt;="&amp;$A15,Sales!$A$5:INDEX(Sales!$A$5:$A$3004,TxRows),"&lt;"&amp;EDATE($A15,1))+SUMIFS(Sales!$O$5:INDEX(Sales!$O$5:$O$3004,TxRows),Sales!$A$5:INDEX(Sales!$A$5:$A$3004,TxRows),"&gt;="&amp;$A15,Sales!$A$5:INDEX(Sales!$A$5:$A$3004,TxRows),"&lt;"&amp;EDATE($A15,1))+SUMIFS(Sales!$P$5:INDEX(Sales!$P$5:$P$3004,TxRows),Sales!$A$5:INDEX(Sales!$A$5:$A$3004,TxRows),"&gt;="&amp;$A15,Sales!$A$5:INDEX(Sales!$A$5:$A$3004,TxRows),"&lt;"&amp;EDATE($A15,1))</f>
        <v>0</v>
      </c>
      <c r="L15" s="87" t="n">
        <f aca="false">SUMIFS(Purchases!$M$5:INDEX(Purchases!$M$5:$M$3004,TxRows),Purchases!$A$5:INDEX(Purchases!$A$5:$A$3004,TxRows),"&gt;="&amp;$A15,Purchases!$A$5:INDEX(Purchases!$A$5:$A$3004,TxRows),"&lt;"&amp;EDATE($A15,1))+SUMIFS(Purchases!$N$5:INDEX(Purchases!$N$5:$N$3004,TxRows),Purchases!$A$5:INDEX(Purchases!$A$5:$A$3004,TxRows),"&gt;="&amp;$A15,Purchases!$A$5:INDEX(Purchases!$A$5:$A$3004,TxRows),"&lt;"&amp;EDATE($A15,1))+SUMIFS(Purchases!$O$5:INDEX(Purchases!$O$5:$O$3004,TxRows),Purchases!$A$5:INDEX(Purchases!$A$5:$A$3004,TxRows),"&gt;="&amp;$A15,Purchases!$A$5:INDEX(Purchases!$A$5:$A$3004,TxRows),"&lt;"&amp;EDATE($A15,1))</f>
        <v>0</v>
      </c>
      <c r="M15" s="87" t="n">
        <f aca="false">K15-L15</f>
        <v>0</v>
      </c>
    </row>
    <row r="16" customFormat="false" ht="15" hidden="false" customHeight="false" outlineLevel="0" collapsed="false">
      <c r="A16" s="86" t="n">
        <f aca="false">EDATE(FYStart,11)</f>
        <v>46447</v>
      </c>
      <c r="B16" s="87" t="n">
        <f aca="false">SUMIFS(Sales!$L$5:INDEX(Sales!$L$5:$L$3004,TxRows),Sales!$A$5:INDEX(Sales!$A$5:$A$3004,TxRows),"&gt;="&amp;$A16,Sales!$A$5:INDEX(Sales!$A$5:$A$3004,TxRows),"&lt;"&amp;EDATE($A16,1))</f>
        <v>0</v>
      </c>
      <c r="C16" s="87" t="n">
        <f aca="false">SUMIFS(Sales!$R$5:INDEX(Sales!$R$5:$R$3004,TxRows),Sales!$A$5:INDEX(Sales!$A$5:$A$3004,TxRows),"&gt;="&amp;$A16,Sales!$A$5:INDEX(Sales!$A$5:$A$3004,TxRows),"&lt;"&amp;EDATE($A16,1))</f>
        <v>0</v>
      </c>
      <c r="D16" s="87" t="n">
        <f aca="false">B16-C16</f>
        <v>0</v>
      </c>
      <c r="E16" s="79" t="n">
        <f aca="false">IF(B16=0,0,D16/B16)</f>
        <v>0</v>
      </c>
      <c r="F16" s="87" t="n">
        <f aca="false">SUMIFS(CashBook!$G$5:INDEX(CashBook!$G$5:$G$3004,TxRows),CashBook!$C$5:INDEX(CashBook!$C$5:$C$3004,TxRows),"Expense",CashBook!$A$5:INDEX(CashBook!$A$5:$A$3004,TxRows),"&gt;="&amp;$A16,CashBook!$A$5:INDEX(CashBook!$A$5:$A$3004,TxRows),"&lt;"&amp;EDATE($A16,1))</f>
        <v>0</v>
      </c>
      <c r="G16" s="87" t="n">
        <f aca="false">SUMIFS(CashBook!$G$5:INDEX(CashBook!$G$5:$G$3004,TxRows),CashBook!$C$5:INDEX(CashBook!$C$5:$C$3004,TxRows),"Other Income",CashBook!$A$5:INDEX(CashBook!$A$5:$A$3004,TxRows),"&gt;="&amp;$A16,CashBook!$A$5:INDEX(CashBook!$A$5:$A$3004,TxRows),"&lt;"&amp;EDATE($A16,1))</f>
        <v>0</v>
      </c>
      <c r="H16" s="87" t="n">
        <f aca="false">SUMIFS(Adjustments!$G$5:$G$504,Adjustments!$A$5:$A$504,"&gt;="&amp;$A16,Adjustments!$A$5:$A$504,"&lt;"&amp;EDATE($A16,1))</f>
        <v>0</v>
      </c>
      <c r="I16" s="87" t="n">
        <f aca="false">D16-F16+G16+H16</f>
        <v>0</v>
      </c>
      <c r="J16" s="87" t="n">
        <f aca="false">SUMIFS(Purchases!$K$5:INDEX(Purchases!$K$5:$K$3004,TxRows),Purchases!$A$5:INDEX(Purchases!$A$5:$A$3004,TxRows),"&gt;="&amp;$A16,Purchases!$A$5:INDEX(Purchases!$A$5:$A$3004,TxRows),"&lt;"&amp;EDATE($A16,1))</f>
        <v>0</v>
      </c>
      <c r="K16" s="87" t="n">
        <f aca="false">SUMIFS(Sales!$N$5:INDEX(Sales!$N$5:$N$3004,TxRows),Sales!$A$5:INDEX(Sales!$A$5:$A$3004,TxRows),"&gt;="&amp;$A16,Sales!$A$5:INDEX(Sales!$A$5:$A$3004,TxRows),"&lt;"&amp;EDATE($A16,1))+SUMIFS(Sales!$O$5:INDEX(Sales!$O$5:$O$3004,TxRows),Sales!$A$5:INDEX(Sales!$A$5:$A$3004,TxRows),"&gt;="&amp;$A16,Sales!$A$5:INDEX(Sales!$A$5:$A$3004,TxRows),"&lt;"&amp;EDATE($A16,1))+SUMIFS(Sales!$P$5:INDEX(Sales!$P$5:$P$3004,TxRows),Sales!$A$5:INDEX(Sales!$A$5:$A$3004,TxRows),"&gt;="&amp;$A16,Sales!$A$5:INDEX(Sales!$A$5:$A$3004,TxRows),"&lt;"&amp;EDATE($A16,1))</f>
        <v>0</v>
      </c>
      <c r="L16" s="87" t="n">
        <f aca="false">SUMIFS(Purchases!$M$5:INDEX(Purchases!$M$5:$M$3004,TxRows),Purchases!$A$5:INDEX(Purchases!$A$5:$A$3004,TxRows),"&gt;="&amp;$A16,Purchases!$A$5:INDEX(Purchases!$A$5:$A$3004,TxRows),"&lt;"&amp;EDATE($A16,1))+SUMIFS(Purchases!$N$5:INDEX(Purchases!$N$5:$N$3004,TxRows),Purchases!$A$5:INDEX(Purchases!$A$5:$A$3004,TxRows),"&gt;="&amp;$A16,Purchases!$A$5:INDEX(Purchases!$A$5:$A$3004,TxRows),"&lt;"&amp;EDATE($A16,1))+SUMIFS(Purchases!$O$5:INDEX(Purchases!$O$5:$O$3004,TxRows),Purchases!$A$5:INDEX(Purchases!$A$5:$A$3004,TxRows),"&gt;="&amp;$A16,Purchases!$A$5:INDEX(Purchases!$A$5:$A$3004,TxRows),"&lt;"&amp;EDATE($A16,1))</f>
        <v>0</v>
      </c>
      <c r="M16" s="87" t="n">
        <f aca="false">K16-L16</f>
        <v>0</v>
      </c>
    </row>
    <row r="17" customFormat="false" ht="15" hidden="false" customHeight="false" outlineLevel="0" collapsed="false">
      <c r="A17" s="88" t="s">
        <v>539</v>
      </c>
      <c r="B17" s="89" t="n">
        <f aca="false">SUM(B5:B16)</f>
        <v>1288883.15</v>
      </c>
      <c r="C17" s="89" t="n">
        <f aca="false">SUM(C5:C16)</f>
        <v>997714.96</v>
      </c>
      <c r="D17" s="89" t="n">
        <f aca="false">SUM(D5:D16)</f>
        <v>291168.19</v>
      </c>
      <c r="E17" s="90" t="n">
        <f aca="false">IF(B17=0,0,D17/B17)</f>
        <v>0.225907360182341</v>
      </c>
      <c r="F17" s="89" t="n">
        <f aca="false">SUM(F5:F16)</f>
        <v>233298</v>
      </c>
      <c r="G17" s="89" t="n">
        <f aca="false">SUM(G5:G16)</f>
        <v>1500</v>
      </c>
      <c r="H17" s="89" t="n">
        <f aca="false">SUM(H5:H16)</f>
        <v>-2529.8</v>
      </c>
      <c r="I17" s="89" t="n">
        <f aca="false">SUM(I5:I16)</f>
        <v>56840.39</v>
      </c>
      <c r="J17" s="89" t="n">
        <f aca="false">SUM(J5:J16)</f>
        <v>1074712</v>
      </c>
      <c r="K17" s="89" t="n">
        <f aca="false">SUM(K5:K16)</f>
        <v>142514.62</v>
      </c>
      <c r="L17" s="89" t="n">
        <f aca="false">SUM(L5:L16)</f>
        <v>119472.36</v>
      </c>
      <c r="M17" s="89" t="n">
        <f aca="false">SUM(M5:M16)</f>
        <v>23042.26</v>
      </c>
    </row>
    <row r="18" customFormat="false" ht="15" hidden="false" customHeight="false" outlineLevel="0" collapsed="false">
      <c r="A18" s="7" t="s">
        <v>540</v>
      </c>
    </row>
    <row r="21" customFormat="false" ht="15" hidden="false" customHeight="false" outlineLevel="0" collapsed="false">
      <c r="A21" s="39" t="s">
        <v>541</v>
      </c>
      <c r="H21" s="39" t="s">
        <v>542</v>
      </c>
    </row>
    <row r="22" customFormat="false" ht="23.85" hidden="false" customHeight="false" outlineLevel="0" collapsed="false">
      <c r="A22" s="53" t="s">
        <v>543</v>
      </c>
      <c r="B22" s="53" t="s">
        <v>544</v>
      </c>
      <c r="C22" s="53" t="s">
        <v>545</v>
      </c>
      <c r="D22" s="53" t="s">
        <v>546</v>
      </c>
      <c r="E22" s="53" t="s">
        <v>547</v>
      </c>
      <c r="F22" s="53" t="s">
        <v>548</v>
      </c>
      <c r="H22" s="53" t="s">
        <v>549</v>
      </c>
      <c r="I22" s="53" t="s">
        <v>517</v>
      </c>
      <c r="J22" s="53" t="s">
        <v>550</v>
      </c>
    </row>
    <row r="23" customFormat="false" ht="15" hidden="false" customHeight="false" outlineLevel="0" collapsed="false">
      <c r="A23" s="91" t="n">
        <f aca="false">IF(Settings!F5="","",Settings!F5)</f>
        <v>0</v>
      </c>
      <c r="B23" s="92" t="n">
        <f aca="false">IF($A23="","",SUMIFS(Sales!$L$5:INDEX(Sales!$L$5:$L$3004,TxRows),Sales!$M$5:INDEX(Sales!$M$5:$M$3004,TxRows),$A23,Sales!$A$5:INDEX(Sales!$A$5:$A$3004,TxRows),"&gt;="&amp;FYStart,Sales!$A$5:INDEX(Sales!$A$5:$A$3004,TxRows),"&lt;"&amp;EDATE(FYStart,12)))</f>
        <v>0</v>
      </c>
      <c r="C23" s="92" t="n">
        <f aca="false">IF($A23="","",SUMIFS(Sales!$N$5:INDEX(Sales!$N$5:$N$3004,TxRows),Sales!$M$5:INDEX(Sales!$M$5:$M$3004,TxRows),$A23,Sales!$A$5:INDEX(Sales!$A$5:$A$3004,TxRows),"&gt;="&amp;FYStart,Sales!$A$5:INDEX(Sales!$A$5:$A$3004,TxRows),"&lt;"&amp;EDATE(FYStart,12))+SUMIFS(Sales!$O$5:INDEX(Sales!$O$5:$O$3004,TxRows),Sales!$M$5:INDEX(Sales!$M$5:$M$3004,TxRows),$A23,Sales!$A$5:INDEX(Sales!$A$5:$A$3004,TxRows),"&gt;="&amp;FYStart,Sales!$A$5:INDEX(Sales!$A$5:$A$3004,TxRows),"&lt;"&amp;EDATE(FYStart,12))+SUMIFS(Sales!$P$5:INDEX(Sales!$P$5:$P$3004,TxRows),Sales!$M$5:INDEX(Sales!$M$5:$M$3004,TxRows),$A23,Sales!$A$5:INDEX(Sales!$A$5:$A$3004,TxRows),"&gt;="&amp;FYStart,Sales!$A$5:INDEX(Sales!$A$5:$A$3004,TxRows),"&lt;"&amp;EDATE(FYStart,12)))</f>
        <v>0</v>
      </c>
      <c r="D23" s="92" t="n">
        <f aca="false">IF($A23="","",SUMIFS(Purchases!$K$5:INDEX(Purchases!$K$5:$K$3004,TxRows),Purchases!$L$5:INDEX(Purchases!$L$5:$L$3004,TxRows),$A23,Purchases!$A$5:INDEX(Purchases!$A$5:$A$3004,TxRows),"&gt;="&amp;FYStart,Purchases!$A$5:INDEX(Purchases!$A$5:$A$3004,TxRows),"&lt;"&amp;EDATE(FYStart,12)))</f>
        <v>0</v>
      </c>
      <c r="E23" s="92" t="n">
        <f aca="false">IF($A23="","",SUMIFS(Purchases!$M$5:INDEX(Purchases!$M$5:$M$3004,TxRows),Purchases!$L$5:INDEX(Purchases!$L$5:$L$3004,TxRows),$A23,Purchases!$A$5:INDEX(Purchases!$A$5:$A$3004,TxRows),"&gt;="&amp;FYStart,Purchases!$A$5:INDEX(Purchases!$A$5:$A$3004,TxRows),"&lt;"&amp;EDATE(FYStart,12))+SUMIFS(Purchases!$N$5:INDEX(Purchases!$N$5:$N$3004,TxRows),Purchases!$L$5:INDEX(Purchases!$L$5:$L$3004,TxRows),$A23,Purchases!$A$5:INDEX(Purchases!$A$5:$A$3004,TxRows),"&gt;="&amp;FYStart,Purchases!$A$5:INDEX(Purchases!$A$5:$A$3004,TxRows),"&lt;"&amp;EDATE(FYStart,12))+SUMIFS(Purchases!$O$5:INDEX(Purchases!$O$5:$O$3004,TxRows),Purchases!$L$5:INDEX(Purchases!$L$5:$L$3004,TxRows),$A23,Purchases!$A$5:INDEX(Purchases!$A$5:$A$3004,TxRows),"&gt;="&amp;FYStart,Purchases!$A$5:INDEX(Purchases!$A$5:$A$3004,TxRows),"&lt;"&amp;EDATE(FYStart,12)))</f>
        <v>0</v>
      </c>
      <c r="F23" s="92" t="n">
        <f aca="false">IF($A23="","",C23-E23)</f>
        <v>0</v>
      </c>
      <c r="H23" s="93" t="str">
        <f aca="false">IF(Settings!I5="","",Settings!I5)</f>
        <v>Rent</v>
      </c>
      <c r="I23" s="92" t="n">
        <f aca="false">IF(H23="","",SUMIFS(CashBook!$G$5:INDEX(CashBook!$G$5:$G$3004,TxRows),CashBook!$C$5:INDEX(CashBook!$C$5:$C$3004,TxRows),"Expense",CashBook!$E$5:INDEX(CashBook!$E$5:$E$3004,TxRows),H23,CashBook!$A$5:INDEX(CashBook!$A$5:$A$3004,TxRows),"&gt;="&amp;FYStart,CashBook!$A$5:INDEX(CashBook!$A$5:$A$3004,TxRows),"&lt;"&amp;EDATE(FYStart,12)))</f>
        <v>63000</v>
      </c>
      <c r="J23" s="94" t="n">
        <f aca="false">IF(H23="","",IF(SUM($I$23:$I$34)=0,0,I23/SUM($I$23:$I$34)))</f>
        <v>0.270040891906489</v>
      </c>
    </row>
    <row r="24" customFormat="false" ht="15" hidden="false" customHeight="false" outlineLevel="0" collapsed="false">
      <c r="A24" s="91" t="n">
        <f aca="false">IF(Settings!F6="","",Settings!F6)</f>
        <v>0.05</v>
      </c>
      <c r="B24" s="92" t="n">
        <f aca="false">IF($A24="","",SUMIFS(Sales!$L$5:INDEX(Sales!$L$5:$L$3004,TxRows),Sales!$M$5:INDEX(Sales!$M$5:$M$3004,TxRows),$A24,Sales!$A$5:INDEX(Sales!$A$5:$A$3004,TxRows),"&gt;="&amp;FYStart,Sales!$A$5:INDEX(Sales!$A$5:$A$3004,TxRows),"&lt;"&amp;EDATE(FYStart,12)))</f>
        <v>677586.18</v>
      </c>
      <c r="C24" s="92" t="n">
        <f aca="false">IF($A24="","",SUMIFS(Sales!$N$5:INDEX(Sales!$N$5:$N$3004,TxRows),Sales!$M$5:INDEX(Sales!$M$5:$M$3004,TxRows),$A24,Sales!$A$5:INDEX(Sales!$A$5:$A$3004,TxRows),"&gt;="&amp;FYStart,Sales!$A$5:INDEX(Sales!$A$5:$A$3004,TxRows),"&lt;"&amp;EDATE(FYStart,12))+SUMIFS(Sales!$O$5:INDEX(Sales!$O$5:$O$3004,TxRows),Sales!$M$5:INDEX(Sales!$M$5:$M$3004,TxRows),$A24,Sales!$A$5:INDEX(Sales!$A$5:$A$3004,TxRows),"&gt;="&amp;FYStart,Sales!$A$5:INDEX(Sales!$A$5:$A$3004,TxRows),"&lt;"&amp;EDATE(FYStart,12))+SUMIFS(Sales!$P$5:INDEX(Sales!$P$5:$P$3004,TxRows),Sales!$M$5:INDEX(Sales!$M$5:$M$3004,TxRows),$A24,Sales!$A$5:INDEX(Sales!$A$5:$A$3004,TxRows),"&gt;="&amp;FYStart,Sales!$A$5:INDEX(Sales!$A$5:$A$3004,TxRows),"&lt;"&amp;EDATE(FYStart,12)))</f>
        <v>33879.34</v>
      </c>
      <c r="D24" s="92" t="n">
        <f aca="false">IF($A24="","",SUMIFS(Purchases!$K$5:INDEX(Purchases!$K$5:$K$3004,TxRows),Purchases!$L$5:INDEX(Purchases!$L$5:$L$3004,TxRows),$A24,Purchases!$A$5:INDEX(Purchases!$A$5:$A$3004,TxRows),"&gt;="&amp;FYStart,Purchases!$A$5:INDEX(Purchases!$A$5:$A$3004,TxRows),"&lt;"&amp;EDATE(FYStart,12)))</f>
        <v>569045</v>
      </c>
      <c r="E24" s="92" t="n">
        <f aca="false">IF($A24="","",SUMIFS(Purchases!$M$5:INDEX(Purchases!$M$5:$M$3004,TxRows),Purchases!$L$5:INDEX(Purchases!$L$5:$L$3004,TxRows),$A24,Purchases!$A$5:INDEX(Purchases!$A$5:$A$3004,TxRows),"&gt;="&amp;FYStart,Purchases!$A$5:INDEX(Purchases!$A$5:$A$3004,TxRows),"&lt;"&amp;EDATE(FYStart,12))+SUMIFS(Purchases!$N$5:INDEX(Purchases!$N$5:$N$3004,TxRows),Purchases!$L$5:INDEX(Purchases!$L$5:$L$3004,TxRows),$A24,Purchases!$A$5:INDEX(Purchases!$A$5:$A$3004,TxRows),"&gt;="&amp;FYStart,Purchases!$A$5:INDEX(Purchases!$A$5:$A$3004,TxRows),"&lt;"&amp;EDATE(FYStart,12))+SUMIFS(Purchases!$O$5:INDEX(Purchases!$O$5:$O$3004,TxRows),Purchases!$L$5:INDEX(Purchases!$L$5:$L$3004,TxRows),$A24,Purchases!$A$5:INDEX(Purchases!$A$5:$A$3004,TxRows),"&gt;="&amp;FYStart,Purchases!$A$5:INDEX(Purchases!$A$5:$A$3004,TxRows),"&lt;"&amp;EDATE(FYStart,12)))</f>
        <v>28452.3</v>
      </c>
      <c r="F24" s="92" t="n">
        <f aca="false">IF($A24="","",C24-E24)</f>
        <v>5427.04</v>
      </c>
      <c r="H24" s="93" t="str">
        <f aca="false">IF(Settings!I6="","",Settings!I6)</f>
        <v>Salary</v>
      </c>
      <c r="I24" s="92" t="n">
        <f aca="false">IF(H24="","",SUMIFS(CashBook!$G$5:INDEX(CashBook!$G$5:$G$3004,TxRows),CashBook!$C$5:INDEX(CashBook!$C$5:$C$3004,TxRows),"Expense",CashBook!$E$5:INDEX(CashBook!$E$5:$E$3004,TxRows),H24,CashBook!$A$5:INDEX(CashBook!$A$5:$A$3004,TxRows),"&gt;="&amp;FYStart,CashBook!$A$5:INDEX(CashBook!$A$5:$A$3004,TxRows),"&lt;"&amp;EDATE(FYStart,12)))</f>
        <v>84000</v>
      </c>
      <c r="J24" s="94" t="n">
        <f aca="false">IF(H24="","",IF(SUM($I$23:$I$34)=0,0,I24/SUM($I$23:$I$34)))</f>
        <v>0.360054522541985</v>
      </c>
    </row>
    <row r="25" customFormat="false" ht="15" hidden="false" customHeight="false" outlineLevel="0" collapsed="false">
      <c r="A25" s="91" t="n">
        <f aca="false">IF(Settings!F7="","",Settings!F7)</f>
        <v>0.12</v>
      </c>
      <c r="B25" s="92" t="n">
        <f aca="false">IF($A25="","",SUMIFS(Sales!$L$5:INDEX(Sales!$L$5:$L$3004,TxRows),Sales!$M$5:INDEX(Sales!$M$5:$M$3004,TxRows),$A25,Sales!$A$5:INDEX(Sales!$A$5:$A$3004,TxRows),"&gt;="&amp;FYStart,Sales!$A$5:INDEX(Sales!$A$5:$A$3004,TxRows),"&lt;"&amp;EDATE(FYStart,12)))</f>
        <v>23302.6</v>
      </c>
      <c r="C25" s="92" t="n">
        <f aca="false">IF($A25="","",SUMIFS(Sales!$N$5:INDEX(Sales!$N$5:$N$3004,TxRows),Sales!$M$5:INDEX(Sales!$M$5:$M$3004,TxRows),$A25,Sales!$A$5:INDEX(Sales!$A$5:$A$3004,TxRows),"&gt;="&amp;FYStart,Sales!$A$5:INDEX(Sales!$A$5:$A$3004,TxRows),"&lt;"&amp;EDATE(FYStart,12))+SUMIFS(Sales!$O$5:INDEX(Sales!$O$5:$O$3004,TxRows),Sales!$M$5:INDEX(Sales!$M$5:$M$3004,TxRows),$A25,Sales!$A$5:INDEX(Sales!$A$5:$A$3004,TxRows),"&gt;="&amp;FYStart,Sales!$A$5:INDEX(Sales!$A$5:$A$3004,TxRows),"&lt;"&amp;EDATE(FYStart,12))+SUMIFS(Sales!$P$5:INDEX(Sales!$P$5:$P$3004,TxRows),Sales!$M$5:INDEX(Sales!$M$5:$M$3004,TxRows),$A25,Sales!$A$5:INDEX(Sales!$A$5:$A$3004,TxRows),"&gt;="&amp;FYStart,Sales!$A$5:INDEX(Sales!$A$5:$A$3004,TxRows),"&lt;"&amp;EDATE(FYStart,12)))</f>
        <v>2796.31</v>
      </c>
      <c r="D25" s="92" t="n">
        <f aca="false">IF($A25="","",SUMIFS(Purchases!$K$5:INDEX(Purchases!$K$5:$K$3004,TxRows),Purchases!$L$5:INDEX(Purchases!$L$5:$L$3004,TxRows),$A25,Purchases!$A$5:INDEX(Purchases!$A$5:$A$3004,TxRows),"&gt;="&amp;FYStart,Purchases!$A$5:INDEX(Purchases!$A$5:$A$3004,TxRows),"&lt;"&amp;EDATE(FYStart,12)))</f>
        <v>0</v>
      </c>
      <c r="E25" s="92" t="n">
        <f aca="false">IF($A25="","",SUMIFS(Purchases!$M$5:INDEX(Purchases!$M$5:$M$3004,TxRows),Purchases!$L$5:INDEX(Purchases!$L$5:$L$3004,TxRows),$A25,Purchases!$A$5:INDEX(Purchases!$A$5:$A$3004,TxRows),"&gt;="&amp;FYStart,Purchases!$A$5:INDEX(Purchases!$A$5:$A$3004,TxRows),"&lt;"&amp;EDATE(FYStart,12))+SUMIFS(Purchases!$N$5:INDEX(Purchases!$N$5:$N$3004,TxRows),Purchases!$L$5:INDEX(Purchases!$L$5:$L$3004,TxRows),$A25,Purchases!$A$5:INDEX(Purchases!$A$5:$A$3004,TxRows),"&gt;="&amp;FYStart,Purchases!$A$5:INDEX(Purchases!$A$5:$A$3004,TxRows),"&lt;"&amp;EDATE(FYStart,12))+SUMIFS(Purchases!$O$5:INDEX(Purchases!$O$5:$O$3004,TxRows),Purchases!$L$5:INDEX(Purchases!$L$5:$L$3004,TxRows),$A25,Purchases!$A$5:INDEX(Purchases!$A$5:$A$3004,TxRows),"&gt;="&amp;FYStart,Purchases!$A$5:INDEX(Purchases!$A$5:$A$3004,TxRows),"&lt;"&amp;EDATE(FYStart,12)))</f>
        <v>0</v>
      </c>
      <c r="F25" s="92" t="n">
        <f aca="false">IF($A25="","",C25-E25)</f>
        <v>2796.31</v>
      </c>
      <c r="H25" s="93" t="str">
        <f aca="false">IF(Settings!I7="","",Settings!I7)</f>
        <v>Electricity</v>
      </c>
      <c r="I25" s="92" t="n">
        <f aca="false">IF(H25="","",SUMIFS(CashBook!$G$5:INDEX(CashBook!$G$5:$G$3004,TxRows),CashBook!$C$5:INDEX(CashBook!$C$5:$C$3004,TxRows),"Expense",CashBook!$E$5:INDEX(CashBook!$E$5:$E$3004,TxRows),H25,CashBook!$A$5:INDEX(CashBook!$A$5:$A$3004,TxRows),"&gt;="&amp;FYStart,CashBook!$A$5:INDEX(CashBook!$A$5:$A$3004,TxRows),"&lt;"&amp;EDATE(FYStart,12)))</f>
        <v>29580</v>
      </c>
      <c r="J25" s="94" t="n">
        <f aca="false">IF(H25="","",IF(SUM($I$23:$I$34)=0,0,I25/SUM($I$23:$I$34)))</f>
        <v>0.126790628295142</v>
      </c>
    </row>
    <row r="26" customFormat="false" ht="15" hidden="false" customHeight="false" outlineLevel="0" collapsed="false">
      <c r="A26" s="91" t="n">
        <f aca="false">IF(Settings!F8="","",Settings!F8)</f>
        <v>0.18</v>
      </c>
      <c r="B26" s="92" t="n">
        <f aca="false">IF($A26="","",SUMIFS(Sales!$L$5:INDEX(Sales!$L$5:$L$3004,TxRows),Sales!$M$5:INDEX(Sales!$M$5:$M$3004,TxRows),$A26,Sales!$A$5:INDEX(Sales!$A$5:$A$3004,TxRows),"&gt;="&amp;FYStart,Sales!$A$5:INDEX(Sales!$A$5:$A$3004,TxRows),"&lt;"&amp;EDATE(FYStart,12)))</f>
        <v>587994.37</v>
      </c>
      <c r="C26" s="92" t="n">
        <f aca="false">IF($A26="","",SUMIFS(Sales!$N$5:INDEX(Sales!$N$5:$N$3004,TxRows),Sales!$M$5:INDEX(Sales!$M$5:$M$3004,TxRows),$A26,Sales!$A$5:INDEX(Sales!$A$5:$A$3004,TxRows),"&gt;="&amp;FYStart,Sales!$A$5:INDEX(Sales!$A$5:$A$3004,TxRows),"&lt;"&amp;EDATE(FYStart,12))+SUMIFS(Sales!$O$5:INDEX(Sales!$O$5:$O$3004,TxRows),Sales!$M$5:INDEX(Sales!$M$5:$M$3004,TxRows),$A26,Sales!$A$5:INDEX(Sales!$A$5:$A$3004,TxRows),"&gt;="&amp;FYStart,Sales!$A$5:INDEX(Sales!$A$5:$A$3004,TxRows),"&lt;"&amp;EDATE(FYStart,12))+SUMIFS(Sales!$P$5:INDEX(Sales!$P$5:$P$3004,TxRows),Sales!$M$5:INDEX(Sales!$M$5:$M$3004,TxRows),$A26,Sales!$A$5:INDEX(Sales!$A$5:$A$3004,TxRows),"&gt;="&amp;FYStart,Sales!$A$5:INDEX(Sales!$A$5:$A$3004,TxRows),"&lt;"&amp;EDATE(FYStart,12)))</f>
        <v>105838.97</v>
      </c>
      <c r="D26" s="92" t="n">
        <f aca="false">IF($A26="","",SUMIFS(Purchases!$K$5:INDEX(Purchases!$K$5:$K$3004,TxRows),Purchases!$L$5:INDEX(Purchases!$L$5:$L$3004,TxRows),$A26,Purchases!$A$5:INDEX(Purchases!$A$5:$A$3004,TxRows),"&gt;="&amp;FYStart,Purchases!$A$5:INDEX(Purchases!$A$5:$A$3004,TxRows),"&lt;"&amp;EDATE(FYStart,12)))</f>
        <v>505667</v>
      </c>
      <c r="E26" s="92" t="n">
        <f aca="false">IF($A26="","",SUMIFS(Purchases!$M$5:INDEX(Purchases!$M$5:$M$3004,TxRows),Purchases!$L$5:INDEX(Purchases!$L$5:$L$3004,TxRows),$A26,Purchases!$A$5:INDEX(Purchases!$A$5:$A$3004,TxRows),"&gt;="&amp;FYStart,Purchases!$A$5:INDEX(Purchases!$A$5:$A$3004,TxRows),"&lt;"&amp;EDATE(FYStart,12))+SUMIFS(Purchases!$N$5:INDEX(Purchases!$N$5:$N$3004,TxRows),Purchases!$L$5:INDEX(Purchases!$L$5:$L$3004,TxRows),$A26,Purchases!$A$5:INDEX(Purchases!$A$5:$A$3004,TxRows),"&gt;="&amp;FYStart,Purchases!$A$5:INDEX(Purchases!$A$5:$A$3004,TxRows),"&lt;"&amp;EDATE(FYStart,12))+SUMIFS(Purchases!$O$5:INDEX(Purchases!$O$5:$O$3004,TxRows),Purchases!$L$5:INDEX(Purchases!$L$5:$L$3004,TxRows),$A26,Purchases!$A$5:INDEX(Purchases!$A$5:$A$3004,TxRows),"&gt;="&amp;FYStart,Purchases!$A$5:INDEX(Purchases!$A$5:$A$3004,TxRows),"&lt;"&amp;EDATE(FYStart,12)))</f>
        <v>91020.06</v>
      </c>
      <c r="F26" s="92" t="n">
        <f aca="false">IF($A26="","",C26-E26)</f>
        <v>14818.91</v>
      </c>
      <c r="H26" s="93" t="str">
        <f aca="false">IF(Settings!I8="","",Settings!I8)</f>
        <v>Transport / Freight</v>
      </c>
      <c r="I26" s="92" t="n">
        <f aca="false">IF(H26="","",SUMIFS(CashBook!$G$5:INDEX(CashBook!$G$5:$G$3004,TxRows),CashBook!$C$5:INDEX(CashBook!$C$5:$C$3004,TxRows),"Expense",CashBook!$E$5:INDEX(CashBook!$E$5:$E$3004,TxRows),H26,CashBook!$A$5:INDEX(CashBook!$A$5:$A$3004,TxRows),"&gt;="&amp;FYStart,CashBook!$A$5:INDEX(CashBook!$A$5:$A$3004,TxRows),"&lt;"&amp;EDATE(FYStart,12)))</f>
        <v>48325</v>
      </c>
      <c r="J26" s="94" t="n">
        <f aca="false">IF(H26="","",IF(SUM($I$23:$I$34)=0,0,I26/SUM($I$23:$I$34)))</f>
        <v>0.207138509545731</v>
      </c>
    </row>
    <row r="27" customFormat="false" ht="15" hidden="false" customHeight="false" outlineLevel="0" collapsed="false">
      <c r="A27" s="91" t="n">
        <f aca="false">IF(Settings!F9="","",Settings!F9)</f>
        <v>0.28</v>
      </c>
      <c r="B27" s="92" t="n">
        <f aca="false">IF($A27="","",SUMIFS(Sales!$L$5:INDEX(Sales!$L$5:$L$3004,TxRows),Sales!$M$5:INDEX(Sales!$M$5:$M$3004,TxRows),$A27,Sales!$A$5:INDEX(Sales!$A$5:$A$3004,TxRows),"&gt;="&amp;FYStart,Sales!$A$5:INDEX(Sales!$A$5:$A$3004,TxRows),"&lt;"&amp;EDATE(FYStart,12)))</f>
        <v>0</v>
      </c>
      <c r="C27" s="92" t="n">
        <f aca="false">IF($A27="","",SUMIFS(Sales!$N$5:INDEX(Sales!$N$5:$N$3004,TxRows),Sales!$M$5:INDEX(Sales!$M$5:$M$3004,TxRows),$A27,Sales!$A$5:INDEX(Sales!$A$5:$A$3004,TxRows),"&gt;="&amp;FYStart,Sales!$A$5:INDEX(Sales!$A$5:$A$3004,TxRows),"&lt;"&amp;EDATE(FYStart,12))+SUMIFS(Sales!$O$5:INDEX(Sales!$O$5:$O$3004,TxRows),Sales!$M$5:INDEX(Sales!$M$5:$M$3004,TxRows),$A27,Sales!$A$5:INDEX(Sales!$A$5:$A$3004,TxRows),"&gt;="&amp;FYStart,Sales!$A$5:INDEX(Sales!$A$5:$A$3004,TxRows),"&lt;"&amp;EDATE(FYStart,12))+SUMIFS(Sales!$P$5:INDEX(Sales!$P$5:$P$3004,TxRows),Sales!$M$5:INDEX(Sales!$M$5:$M$3004,TxRows),$A27,Sales!$A$5:INDEX(Sales!$A$5:$A$3004,TxRows),"&gt;="&amp;FYStart,Sales!$A$5:INDEX(Sales!$A$5:$A$3004,TxRows),"&lt;"&amp;EDATE(FYStart,12)))</f>
        <v>0</v>
      </c>
      <c r="D27" s="92" t="n">
        <f aca="false">IF($A27="","",SUMIFS(Purchases!$K$5:INDEX(Purchases!$K$5:$K$3004,TxRows),Purchases!$L$5:INDEX(Purchases!$L$5:$L$3004,TxRows),$A27,Purchases!$A$5:INDEX(Purchases!$A$5:$A$3004,TxRows),"&gt;="&amp;FYStart,Purchases!$A$5:INDEX(Purchases!$A$5:$A$3004,TxRows),"&lt;"&amp;EDATE(FYStart,12)))</f>
        <v>0</v>
      </c>
      <c r="E27" s="92" t="n">
        <f aca="false">IF($A27="","",SUMIFS(Purchases!$M$5:INDEX(Purchases!$M$5:$M$3004,TxRows),Purchases!$L$5:INDEX(Purchases!$L$5:$L$3004,TxRows),$A27,Purchases!$A$5:INDEX(Purchases!$A$5:$A$3004,TxRows),"&gt;="&amp;FYStart,Purchases!$A$5:INDEX(Purchases!$A$5:$A$3004,TxRows),"&lt;"&amp;EDATE(FYStart,12))+SUMIFS(Purchases!$N$5:INDEX(Purchases!$N$5:$N$3004,TxRows),Purchases!$L$5:INDEX(Purchases!$L$5:$L$3004,TxRows),$A27,Purchases!$A$5:INDEX(Purchases!$A$5:$A$3004,TxRows),"&gt;="&amp;FYStart,Purchases!$A$5:INDEX(Purchases!$A$5:$A$3004,TxRows),"&lt;"&amp;EDATE(FYStart,12))+SUMIFS(Purchases!$O$5:INDEX(Purchases!$O$5:$O$3004,TxRows),Purchases!$L$5:INDEX(Purchases!$L$5:$L$3004,TxRows),$A27,Purchases!$A$5:INDEX(Purchases!$A$5:$A$3004,TxRows),"&gt;="&amp;FYStart,Purchases!$A$5:INDEX(Purchases!$A$5:$A$3004,TxRows),"&lt;"&amp;EDATE(FYStart,12)))</f>
        <v>0</v>
      </c>
      <c r="F27" s="92" t="n">
        <f aca="false">IF($A27="","",C27-E27)</f>
        <v>0</v>
      </c>
      <c r="H27" s="93" t="str">
        <f aca="false">IF(Settings!I9="","",Settings!I9)</f>
        <v>Packing</v>
      </c>
      <c r="I27" s="92" t="n">
        <f aca="false">IF(H27="","",SUMIFS(CashBook!$G$5:INDEX(CashBook!$G$5:$G$3004,TxRows),CashBook!$C$5:INDEX(CashBook!$C$5:$C$3004,TxRows),"Expense",CashBook!$E$5:INDEX(CashBook!$E$5:$E$3004,TxRows),H27,CashBook!$A$5:INDEX(CashBook!$A$5:$A$3004,TxRows),"&gt;="&amp;FYStart,CashBook!$A$5:INDEX(CashBook!$A$5:$A$3004,TxRows),"&lt;"&amp;EDATE(FYStart,12)))</f>
        <v>0</v>
      </c>
      <c r="J27" s="94" t="n">
        <f aca="false">IF(H27="","",IF(SUM($I$23:$I$34)=0,0,I27/SUM($I$23:$I$34)))</f>
        <v>0</v>
      </c>
    </row>
    <row r="28" customFormat="false" ht="15" hidden="false" customHeight="false" outlineLevel="0" collapsed="false">
      <c r="A28" s="91" t="n">
        <f aca="false">IF(Settings!F10="","",Settings!F10)</f>
        <v>0.4</v>
      </c>
      <c r="B28" s="92" t="n">
        <f aca="false">IF($A28="","",SUMIFS(Sales!$L$5:INDEX(Sales!$L$5:$L$3004,TxRows),Sales!$M$5:INDEX(Sales!$M$5:$M$3004,TxRows),$A28,Sales!$A$5:INDEX(Sales!$A$5:$A$3004,TxRows),"&gt;="&amp;FYStart,Sales!$A$5:INDEX(Sales!$A$5:$A$3004,TxRows),"&lt;"&amp;EDATE(FYStart,12)))</f>
        <v>0</v>
      </c>
      <c r="C28" s="92" t="n">
        <f aca="false">IF($A28="","",SUMIFS(Sales!$N$5:INDEX(Sales!$N$5:$N$3004,TxRows),Sales!$M$5:INDEX(Sales!$M$5:$M$3004,TxRows),$A28,Sales!$A$5:INDEX(Sales!$A$5:$A$3004,TxRows),"&gt;="&amp;FYStart,Sales!$A$5:INDEX(Sales!$A$5:$A$3004,TxRows),"&lt;"&amp;EDATE(FYStart,12))+SUMIFS(Sales!$O$5:INDEX(Sales!$O$5:$O$3004,TxRows),Sales!$M$5:INDEX(Sales!$M$5:$M$3004,TxRows),$A28,Sales!$A$5:INDEX(Sales!$A$5:$A$3004,TxRows),"&gt;="&amp;FYStart,Sales!$A$5:INDEX(Sales!$A$5:$A$3004,TxRows),"&lt;"&amp;EDATE(FYStart,12))+SUMIFS(Sales!$P$5:INDEX(Sales!$P$5:$P$3004,TxRows),Sales!$M$5:INDEX(Sales!$M$5:$M$3004,TxRows),$A28,Sales!$A$5:INDEX(Sales!$A$5:$A$3004,TxRows),"&gt;="&amp;FYStart,Sales!$A$5:INDEX(Sales!$A$5:$A$3004,TxRows),"&lt;"&amp;EDATE(FYStart,12)))</f>
        <v>0</v>
      </c>
      <c r="D28" s="92" t="n">
        <f aca="false">IF($A28="","",SUMIFS(Purchases!$K$5:INDEX(Purchases!$K$5:$K$3004,TxRows),Purchases!$L$5:INDEX(Purchases!$L$5:$L$3004,TxRows),$A28,Purchases!$A$5:INDEX(Purchases!$A$5:$A$3004,TxRows),"&gt;="&amp;FYStart,Purchases!$A$5:INDEX(Purchases!$A$5:$A$3004,TxRows),"&lt;"&amp;EDATE(FYStart,12)))</f>
        <v>0</v>
      </c>
      <c r="E28" s="92" t="n">
        <f aca="false">IF($A28="","",SUMIFS(Purchases!$M$5:INDEX(Purchases!$M$5:$M$3004,TxRows),Purchases!$L$5:INDEX(Purchases!$L$5:$L$3004,TxRows),$A28,Purchases!$A$5:INDEX(Purchases!$A$5:$A$3004,TxRows),"&gt;="&amp;FYStart,Purchases!$A$5:INDEX(Purchases!$A$5:$A$3004,TxRows),"&lt;"&amp;EDATE(FYStart,12))+SUMIFS(Purchases!$N$5:INDEX(Purchases!$N$5:$N$3004,TxRows),Purchases!$L$5:INDEX(Purchases!$L$5:$L$3004,TxRows),$A28,Purchases!$A$5:INDEX(Purchases!$A$5:$A$3004,TxRows),"&gt;="&amp;FYStart,Purchases!$A$5:INDEX(Purchases!$A$5:$A$3004,TxRows),"&lt;"&amp;EDATE(FYStart,12))+SUMIFS(Purchases!$O$5:INDEX(Purchases!$O$5:$O$3004,TxRows),Purchases!$L$5:INDEX(Purchases!$L$5:$L$3004,TxRows),$A28,Purchases!$A$5:INDEX(Purchases!$A$5:$A$3004,TxRows),"&gt;="&amp;FYStart,Purchases!$A$5:INDEX(Purchases!$A$5:$A$3004,TxRows),"&lt;"&amp;EDATE(FYStart,12)))</f>
        <v>0</v>
      </c>
      <c r="F28" s="92" t="n">
        <f aca="false">IF($A28="","",C28-E28)</f>
        <v>0</v>
      </c>
      <c r="H28" s="93" t="str">
        <f aca="false">IF(Settings!I10="","",Settings!I10)</f>
        <v>Telephone / Internet</v>
      </c>
      <c r="I28" s="92" t="n">
        <f aca="false">IF(H28="","",SUMIFS(CashBook!$G$5:INDEX(CashBook!$G$5:$G$3004,TxRows),CashBook!$C$5:INDEX(CashBook!$C$5:$C$3004,TxRows),"Expense",CashBook!$E$5:INDEX(CashBook!$E$5:$E$3004,TxRows),H28,CashBook!$A$5:INDEX(CashBook!$A$5:$A$3004,TxRows),"&gt;="&amp;FYStart,CashBook!$A$5:INDEX(CashBook!$A$5:$A$3004,TxRows),"&lt;"&amp;EDATE(FYStart,12)))</f>
        <v>8393</v>
      </c>
      <c r="J28" s="94" t="n">
        <f aca="false">IF(H28="","",IF(SUM($I$23:$I$34)=0,0,I28/SUM($I$23:$I$34)))</f>
        <v>0.0359754477106533</v>
      </c>
    </row>
    <row r="29" customFormat="false" ht="15" hidden="false" customHeight="false" outlineLevel="0" collapsed="false">
      <c r="A29" s="91" t="n">
        <f aca="false">IF(Settings!F11="","",Settings!F11)</f>
        <v>0.03</v>
      </c>
      <c r="B29" s="92" t="n">
        <f aca="false">IF($A29="","",SUMIFS(Sales!$L$5:INDEX(Sales!$L$5:$L$3004,TxRows),Sales!$M$5:INDEX(Sales!$M$5:$M$3004,TxRows),$A29,Sales!$A$5:INDEX(Sales!$A$5:$A$3004,TxRows),"&gt;="&amp;FYStart,Sales!$A$5:INDEX(Sales!$A$5:$A$3004,TxRows),"&lt;"&amp;EDATE(FYStart,12)))</f>
        <v>0</v>
      </c>
      <c r="C29" s="92" t="n">
        <f aca="false">IF($A29="","",SUMIFS(Sales!$N$5:INDEX(Sales!$N$5:$N$3004,TxRows),Sales!$M$5:INDEX(Sales!$M$5:$M$3004,TxRows),$A29,Sales!$A$5:INDEX(Sales!$A$5:$A$3004,TxRows),"&gt;="&amp;FYStart,Sales!$A$5:INDEX(Sales!$A$5:$A$3004,TxRows),"&lt;"&amp;EDATE(FYStart,12))+SUMIFS(Sales!$O$5:INDEX(Sales!$O$5:$O$3004,TxRows),Sales!$M$5:INDEX(Sales!$M$5:$M$3004,TxRows),$A29,Sales!$A$5:INDEX(Sales!$A$5:$A$3004,TxRows),"&gt;="&amp;FYStart,Sales!$A$5:INDEX(Sales!$A$5:$A$3004,TxRows),"&lt;"&amp;EDATE(FYStart,12))+SUMIFS(Sales!$P$5:INDEX(Sales!$P$5:$P$3004,TxRows),Sales!$M$5:INDEX(Sales!$M$5:$M$3004,TxRows),$A29,Sales!$A$5:INDEX(Sales!$A$5:$A$3004,TxRows),"&gt;="&amp;FYStart,Sales!$A$5:INDEX(Sales!$A$5:$A$3004,TxRows),"&lt;"&amp;EDATE(FYStart,12)))</f>
        <v>0</v>
      </c>
      <c r="D29" s="92" t="n">
        <f aca="false">IF($A29="","",SUMIFS(Purchases!$K$5:INDEX(Purchases!$K$5:$K$3004,TxRows),Purchases!$L$5:INDEX(Purchases!$L$5:$L$3004,TxRows),$A29,Purchases!$A$5:INDEX(Purchases!$A$5:$A$3004,TxRows),"&gt;="&amp;FYStart,Purchases!$A$5:INDEX(Purchases!$A$5:$A$3004,TxRows),"&lt;"&amp;EDATE(FYStart,12)))</f>
        <v>0</v>
      </c>
      <c r="E29" s="92" t="n">
        <f aca="false">IF($A29="","",SUMIFS(Purchases!$M$5:INDEX(Purchases!$M$5:$M$3004,TxRows),Purchases!$L$5:INDEX(Purchases!$L$5:$L$3004,TxRows),$A29,Purchases!$A$5:INDEX(Purchases!$A$5:$A$3004,TxRows),"&gt;="&amp;FYStart,Purchases!$A$5:INDEX(Purchases!$A$5:$A$3004,TxRows),"&lt;"&amp;EDATE(FYStart,12))+SUMIFS(Purchases!$N$5:INDEX(Purchases!$N$5:$N$3004,TxRows),Purchases!$L$5:INDEX(Purchases!$L$5:$L$3004,TxRows),$A29,Purchases!$A$5:INDEX(Purchases!$A$5:$A$3004,TxRows),"&gt;="&amp;FYStart,Purchases!$A$5:INDEX(Purchases!$A$5:$A$3004,TxRows),"&lt;"&amp;EDATE(FYStart,12))+SUMIFS(Purchases!$O$5:INDEX(Purchases!$O$5:$O$3004,TxRows),Purchases!$L$5:INDEX(Purchases!$L$5:$L$3004,TxRows),$A29,Purchases!$A$5:INDEX(Purchases!$A$5:$A$3004,TxRows),"&gt;="&amp;FYStart,Purchases!$A$5:INDEX(Purchases!$A$5:$A$3004,TxRows),"&lt;"&amp;EDATE(FYStart,12)))</f>
        <v>0</v>
      </c>
      <c r="F29" s="92" t="n">
        <f aca="false">IF($A29="","",C29-E29)</f>
        <v>0</v>
      </c>
      <c r="H29" s="93" t="str">
        <f aca="false">IF(Settings!I11="","",Settings!I11)</f>
        <v>Repairs</v>
      </c>
      <c r="I29" s="92" t="n">
        <f aca="false">IF(H29="","",SUMIFS(CashBook!$G$5:INDEX(CashBook!$G$5:$G$3004,TxRows),CashBook!$C$5:INDEX(CashBook!$C$5:$C$3004,TxRows),"Expense",CashBook!$E$5:INDEX(CashBook!$E$5:$E$3004,TxRows),H29,CashBook!$A$5:INDEX(CashBook!$A$5:$A$3004,TxRows),"&gt;="&amp;FYStart,CashBook!$A$5:INDEX(CashBook!$A$5:$A$3004,TxRows),"&lt;"&amp;EDATE(FYStart,12)))</f>
        <v>0</v>
      </c>
      <c r="J29" s="94" t="n">
        <f aca="false">IF(H29="","",IF(SUM($I$23:$I$34)=0,0,I29/SUM($I$23:$I$34)))</f>
        <v>0</v>
      </c>
    </row>
    <row r="30" customFormat="false" ht="15" hidden="false" customHeight="false" outlineLevel="0" collapsed="false">
      <c r="A30" s="91" t="n">
        <f aca="false">IF(Settings!F12="","",Settings!F12)</f>
        <v>0.0025</v>
      </c>
      <c r="B30" s="92" t="n">
        <f aca="false">IF($A30="","",SUMIFS(Sales!$L$5:INDEX(Sales!$L$5:$L$3004,TxRows),Sales!$M$5:INDEX(Sales!$M$5:$M$3004,TxRows),$A30,Sales!$A$5:INDEX(Sales!$A$5:$A$3004,TxRows),"&gt;="&amp;FYStart,Sales!$A$5:INDEX(Sales!$A$5:$A$3004,TxRows),"&lt;"&amp;EDATE(FYStart,12)))</f>
        <v>0</v>
      </c>
      <c r="C30" s="92" t="n">
        <f aca="false">IF($A30="","",SUMIFS(Sales!$N$5:INDEX(Sales!$N$5:$N$3004,TxRows),Sales!$M$5:INDEX(Sales!$M$5:$M$3004,TxRows),$A30,Sales!$A$5:INDEX(Sales!$A$5:$A$3004,TxRows),"&gt;="&amp;FYStart,Sales!$A$5:INDEX(Sales!$A$5:$A$3004,TxRows),"&lt;"&amp;EDATE(FYStart,12))+SUMIFS(Sales!$O$5:INDEX(Sales!$O$5:$O$3004,TxRows),Sales!$M$5:INDEX(Sales!$M$5:$M$3004,TxRows),$A30,Sales!$A$5:INDEX(Sales!$A$5:$A$3004,TxRows),"&gt;="&amp;FYStart,Sales!$A$5:INDEX(Sales!$A$5:$A$3004,TxRows),"&lt;"&amp;EDATE(FYStart,12))+SUMIFS(Sales!$P$5:INDEX(Sales!$P$5:$P$3004,TxRows),Sales!$M$5:INDEX(Sales!$M$5:$M$3004,TxRows),$A30,Sales!$A$5:INDEX(Sales!$A$5:$A$3004,TxRows),"&gt;="&amp;FYStart,Sales!$A$5:INDEX(Sales!$A$5:$A$3004,TxRows),"&lt;"&amp;EDATE(FYStart,12)))</f>
        <v>0</v>
      </c>
      <c r="D30" s="92" t="n">
        <f aca="false">IF($A30="","",SUMIFS(Purchases!$K$5:INDEX(Purchases!$K$5:$K$3004,TxRows),Purchases!$L$5:INDEX(Purchases!$L$5:$L$3004,TxRows),$A30,Purchases!$A$5:INDEX(Purchases!$A$5:$A$3004,TxRows),"&gt;="&amp;FYStart,Purchases!$A$5:INDEX(Purchases!$A$5:$A$3004,TxRows),"&lt;"&amp;EDATE(FYStart,12)))</f>
        <v>0</v>
      </c>
      <c r="E30" s="92" t="n">
        <f aca="false">IF($A30="","",SUMIFS(Purchases!$M$5:INDEX(Purchases!$M$5:$M$3004,TxRows),Purchases!$L$5:INDEX(Purchases!$L$5:$L$3004,TxRows),$A30,Purchases!$A$5:INDEX(Purchases!$A$5:$A$3004,TxRows),"&gt;="&amp;FYStart,Purchases!$A$5:INDEX(Purchases!$A$5:$A$3004,TxRows),"&lt;"&amp;EDATE(FYStart,12))+SUMIFS(Purchases!$N$5:INDEX(Purchases!$N$5:$N$3004,TxRows),Purchases!$L$5:INDEX(Purchases!$L$5:$L$3004,TxRows),$A30,Purchases!$A$5:INDEX(Purchases!$A$5:$A$3004,TxRows),"&gt;="&amp;FYStart,Purchases!$A$5:INDEX(Purchases!$A$5:$A$3004,TxRows),"&lt;"&amp;EDATE(FYStart,12))+SUMIFS(Purchases!$O$5:INDEX(Purchases!$O$5:$O$3004,TxRows),Purchases!$L$5:INDEX(Purchases!$L$5:$L$3004,TxRows),$A30,Purchases!$A$5:INDEX(Purchases!$A$5:$A$3004,TxRows),"&gt;="&amp;FYStart,Purchases!$A$5:INDEX(Purchases!$A$5:$A$3004,TxRows),"&lt;"&amp;EDATE(FYStart,12)))</f>
        <v>0</v>
      </c>
      <c r="F30" s="92" t="n">
        <f aca="false">IF($A30="","",C30-E30)</f>
        <v>0</v>
      </c>
      <c r="H30" s="93" t="str">
        <f aca="false">IF(Settings!I12="","",Settings!I12)</f>
        <v>Bank Charges</v>
      </c>
      <c r="I30" s="92" t="n">
        <f aca="false">IF(H30="","",SUMIFS(CashBook!$G$5:INDEX(CashBook!$G$5:$G$3004,TxRows),CashBook!$C$5:INDEX(CashBook!$C$5:$C$3004,TxRows),"Expense",CashBook!$E$5:INDEX(CashBook!$E$5:$E$3004,TxRows),H30,CashBook!$A$5:INDEX(CashBook!$A$5:$A$3004,TxRows),"&gt;="&amp;FYStart,CashBook!$A$5:INDEX(CashBook!$A$5:$A$3004,TxRows),"&lt;"&amp;EDATE(FYStart,12)))</f>
        <v>0</v>
      </c>
      <c r="J30" s="94" t="n">
        <f aca="false">IF(H30="","",IF(SUM($I$23:$I$34)=0,0,I30/SUM($I$23:$I$34)))</f>
        <v>0</v>
      </c>
    </row>
    <row r="31" customFormat="false" ht="15" hidden="false" customHeight="false" outlineLevel="0" collapsed="false">
      <c r="H31" s="93" t="str">
        <f aca="false">IF(Settings!I13="","",Settings!I13)</f>
        <v>Misc</v>
      </c>
      <c r="I31" s="92" t="n">
        <f aca="false">IF(H31="","",SUMIFS(CashBook!$G$5:INDEX(CashBook!$G$5:$G$3004,TxRows),CashBook!$C$5:INDEX(CashBook!$C$5:$C$3004,TxRows),"Expense",CashBook!$E$5:INDEX(CashBook!$E$5:$E$3004,TxRows),H31,CashBook!$A$5:INDEX(CashBook!$A$5:$A$3004,TxRows),"&gt;="&amp;FYStart,CashBook!$A$5:INDEX(CashBook!$A$5:$A$3004,TxRows),"&lt;"&amp;EDATE(FYStart,12)))</f>
        <v>0</v>
      </c>
      <c r="J31" s="94" t="n">
        <f aca="false">IF(H31="","",IF(SUM($I$23:$I$34)=0,0,I31/SUM($I$23:$I$34)))</f>
        <v>0</v>
      </c>
    </row>
    <row r="32" customFormat="false" ht="15" hidden="false" customHeight="false" outlineLevel="0" collapsed="false">
      <c r="H32" s="93" t="str">
        <f aca="false">IF(Settings!I14="","",Settings!I14)</f>
        <v/>
      </c>
      <c r="I32" s="92" t="str">
        <f aca="false">IF(H32="","",SUMIFS(CashBook!$G$5:INDEX(CashBook!$G$5:$G$3004,TxRows),CashBook!$C$5:INDEX(CashBook!$C$5:$C$3004,TxRows),"Expense",CashBook!$E$5:INDEX(CashBook!$E$5:$E$3004,TxRows),H32,CashBook!$A$5:INDEX(CashBook!$A$5:$A$3004,TxRows),"&gt;="&amp;FYStart,CashBook!$A$5:INDEX(CashBook!$A$5:$A$3004,TxRows),"&lt;"&amp;EDATE(FYStart,12)))</f>
        <v/>
      </c>
      <c r="J32" s="94" t="str">
        <f aca="false">IF(H32="","",IF(SUM($I$23:$I$34)=0,0,I32/SUM($I$23:$I$34)))</f>
        <v/>
      </c>
    </row>
    <row r="33" customFormat="false" ht="15" hidden="false" customHeight="false" outlineLevel="0" collapsed="false">
      <c r="H33" s="93" t="str">
        <f aca="false">IF(Settings!I15="","",Settings!I15)</f>
        <v/>
      </c>
      <c r="I33" s="92" t="str">
        <f aca="false">IF(H33="","",SUMIFS(CashBook!$G$5:INDEX(CashBook!$G$5:$G$3004,TxRows),CashBook!$C$5:INDEX(CashBook!$C$5:$C$3004,TxRows),"Expense",CashBook!$E$5:INDEX(CashBook!$E$5:$E$3004,TxRows),H33,CashBook!$A$5:INDEX(CashBook!$A$5:$A$3004,TxRows),"&gt;="&amp;FYStart,CashBook!$A$5:INDEX(CashBook!$A$5:$A$3004,TxRows),"&lt;"&amp;EDATE(FYStart,12)))</f>
        <v/>
      </c>
      <c r="J33" s="94" t="str">
        <f aca="false">IF(H33="","",IF(SUM($I$23:$I$34)=0,0,I33/SUM($I$23:$I$34)))</f>
        <v/>
      </c>
    </row>
    <row r="34" customFormat="false" ht="15" hidden="false" customHeight="false" outlineLevel="0" collapsed="false">
      <c r="H34" s="93" t="str">
        <f aca="false">IF(Settings!I16="","",Settings!I16)</f>
        <v/>
      </c>
      <c r="I34" s="92" t="str">
        <f aca="false">IF(H34="","",SUMIFS(CashBook!$G$5:INDEX(CashBook!$G$5:$G$3004,TxRows),CashBook!$C$5:INDEX(CashBook!$C$5:$C$3004,TxRows),"Expense",CashBook!$E$5:INDEX(CashBook!$E$5:$E$3004,TxRows),H34,CashBook!$A$5:INDEX(CashBook!$A$5:$A$3004,TxRows),"&gt;="&amp;FYStart,CashBook!$A$5:INDEX(CashBook!$A$5:$A$3004,TxRows),"&lt;"&amp;EDATE(FYStart,12)))</f>
        <v/>
      </c>
      <c r="J34" s="94" t="str">
        <f aca="false">IF(H34="","",IF(SUM($I$23:$I$34)=0,0,I34/SUM($I$23:$I$34)))</f>
        <v/>
      </c>
    </row>
  </sheetData>
  <mergeCells count="2">
    <mergeCell ref="A1:L1"/>
    <mergeCell ref="A2:L2"/>
  </mergeCells>
  <hyperlinks>
    <hyperlink ref="N1" r:id="rId1" location="Dashboard!A1" display="« Ho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57575"/>
    <pageSetUpPr fitToPage="false"/>
  </sheetPr>
  <dimension ref="A1:N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12" min="4" style="0" width="17"/>
    <col collapsed="false" customWidth="true" hidden="false" outlineLevel="0" max="13" min="13" style="0" width="30"/>
  </cols>
  <sheetData>
    <row r="1" customFormat="false" ht="27.75" hidden="false" customHeight="true" outlineLevel="0" collapsed="false">
      <c r="A1" s="49" t="s">
        <v>551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N1" s="50" t="s">
        <v>43</v>
      </c>
    </row>
    <row r="2" customFormat="false" ht="15" hidden="false" customHeight="false" outlineLevel="0" collapsed="false">
      <c r="A2" s="3" t="s">
        <v>552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false" outlineLevel="0" collapsed="false">
      <c r="F3" s="7" t="s">
        <v>553</v>
      </c>
    </row>
    <row r="4" customFormat="false" ht="15" hidden="false" customHeight="false" outlineLevel="0" collapsed="false">
      <c r="A4" s="5" t="s">
        <v>554</v>
      </c>
      <c r="B4" s="95" t="s">
        <v>555</v>
      </c>
      <c r="D4" s="40" t="s">
        <v>556</v>
      </c>
      <c r="E4" s="40" t="s">
        <v>557</v>
      </c>
      <c r="F4" s="40" t="s">
        <v>558</v>
      </c>
      <c r="G4" s="40" t="s">
        <v>559</v>
      </c>
      <c r="H4" s="40" t="s">
        <v>560</v>
      </c>
      <c r="I4" s="40" t="s">
        <v>561</v>
      </c>
      <c r="J4" s="40" t="s">
        <v>562</v>
      </c>
      <c r="K4" s="40" t="s">
        <v>563</v>
      </c>
      <c r="L4" s="40" t="s">
        <v>564</v>
      </c>
      <c r="M4" s="40" t="s">
        <v>565</v>
      </c>
    </row>
    <row r="5" customFormat="false" ht="15" hidden="false" customHeight="false" outlineLevel="0" collapsed="false">
      <c r="A5" s="5" t="s">
        <v>456</v>
      </c>
      <c r="B5" s="95" t="s">
        <v>566</v>
      </c>
      <c r="D5" s="95" t="s">
        <v>417</v>
      </c>
      <c r="E5" s="95" t="s">
        <v>435</v>
      </c>
      <c r="F5" s="96" t="n">
        <v>0</v>
      </c>
      <c r="G5" s="95" t="s">
        <v>567</v>
      </c>
      <c r="H5" s="95" t="s">
        <v>275</v>
      </c>
      <c r="I5" s="95" t="s">
        <v>265</v>
      </c>
      <c r="J5" s="95" t="s">
        <v>470</v>
      </c>
      <c r="K5" s="95" t="s">
        <v>219</v>
      </c>
      <c r="L5" s="95" t="s">
        <v>504</v>
      </c>
      <c r="M5" s="95" t="s">
        <v>568</v>
      </c>
    </row>
    <row r="6" customFormat="false" ht="15" hidden="false" customHeight="false" outlineLevel="0" collapsed="false">
      <c r="A6" s="5" t="s">
        <v>454</v>
      </c>
      <c r="B6" s="95" t="s">
        <v>569</v>
      </c>
      <c r="D6" s="95" t="s">
        <v>426</v>
      </c>
      <c r="E6" s="95" t="s">
        <v>570</v>
      </c>
      <c r="F6" s="96" t="n">
        <v>0.05</v>
      </c>
      <c r="G6" s="95" t="s">
        <v>103</v>
      </c>
      <c r="H6" s="95" t="s">
        <v>280</v>
      </c>
      <c r="I6" s="95" t="s">
        <v>267</v>
      </c>
      <c r="J6" s="95" t="s">
        <v>485</v>
      </c>
      <c r="K6" s="95" t="s">
        <v>217</v>
      </c>
      <c r="L6" s="95" t="s">
        <v>571</v>
      </c>
      <c r="M6" s="95" t="s">
        <v>572</v>
      </c>
    </row>
    <row r="7" customFormat="false" ht="15" hidden="false" customHeight="false" outlineLevel="0" collapsed="false">
      <c r="A7" s="5" t="s">
        <v>573</v>
      </c>
      <c r="B7" s="95" t="s">
        <v>473</v>
      </c>
      <c r="D7" s="95" t="s">
        <v>434</v>
      </c>
      <c r="E7" s="95" t="s">
        <v>574</v>
      </c>
      <c r="F7" s="96" t="n">
        <v>0.12</v>
      </c>
      <c r="G7" s="95" t="s">
        <v>74</v>
      </c>
      <c r="H7" s="95" t="s">
        <v>264</v>
      </c>
      <c r="I7" s="95" t="s">
        <v>269</v>
      </c>
      <c r="J7" s="95" t="s">
        <v>495</v>
      </c>
      <c r="K7" s="95" t="s">
        <v>214</v>
      </c>
      <c r="L7" s="95" t="s">
        <v>575</v>
      </c>
      <c r="M7" s="95" t="s">
        <v>576</v>
      </c>
    </row>
    <row r="8" customFormat="false" ht="15" hidden="false" customHeight="false" outlineLevel="0" collapsed="false">
      <c r="A8" s="5" t="s">
        <v>577</v>
      </c>
      <c r="B8" s="95" t="s">
        <v>578</v>
      </c>
      <c r="D8" s="95" t="s">
        <v>440</v>
      </c>
      <c r="E8" s="95" t="s">
        <v>423</v>
      </c>
      <c r="F8" s="96" t="n">
        <v>0.18</v>
      </c>
      <c r="G8" s="95" t="s">
        <v>90</v>
      </c>
      <c r="H8" s="95" t="s">
        <v>339</v>
      </c>
      <c r="I8" s="95" t="s">
        <v>271</v>
      </c>
      <c r="J8" s="95"/>
      <c r="K8" s="95" t="s">
        <v>75</v>
      </c>
      <c r="L8" s="95" t="s">
        <v>506</v>
      </c>
      <c r="M8" s="95" t="s">
        <v>579</v>
      </c>
    </row>
    <row r="9" customFormat="false" ht="15" hidden="false" customHeight="false" outlineLevel="0" collapsed="false">
      <c r="A9" s="5" t="s">
        <v>580</v>
      </c>
      <c r="B9" s="97" t="n">
        <v>46113</v>
      </c>
      <c r="D9" s="95" t="s">
        <v>445</v>
      </c>
      <c r="E9" s="95" t="s">
        <v>418</v>
      </c>
      <c r="F9" s="96" t="n">
        <v>0.28</v>
      </c>
      <c r="G9" s="95"/>
      <c r="H9" s="95" t="s">
        <v>581</v>
      </c>
      <c r="I9" s="95" t="s">
        <v>582</v>
      </c>
      <c r="J9" s="95"/>
      <c r="K9" s="95" t="s">
        <v>583</v>
      </c>
      <c r="L9" s="95" t="s">
        <v>584</v>
      </c>
      <c r="M9" s="95" t="s">
        <v>585</v>
      </c>
    </row>
    <row r="10" customFormat="false" ht="15" hidden="false" customHeight="false" outlineLevel="0" collapsed="false">
      <c r="A10" s="5" t="s">
        <v>586</v>
      </c>
      <c r="B10" s="98" t="n">
        <f aca="true">TODAY()</f>
        <v>46306</v>
      </c>
      <c r="D10" s="95" t="s">
        <v>587</v>
      </c>
      <c r="E10" s="95" t="s">
        <v>588</v>
      </c>
      <c r="F10" s="96" t="n">
        <v>0.4</v>
      </c>
      <c r="G10" s="95"/>
      <c r="H10" s="95" t="s">
        <v>359</v>
      </c>
      <c r="I10" s="95" t="s">
        <v>273</v>
      </c>
      <c r="J10" s="95"/>
      <c r="K10" s="95"/>
      <c r="L10" s="95" t="s">
        <v>508</v>
      </c>
      <c r="M10" s="95" t="s">
        <v>589</v>
      </c>
    </row>
    <row r="11" customFormat="false" ht="15" hidden="false" customHeight="false" outlineLevel="0" collapsed="false">
      <c r="A11" s="5" t="s">
        <v>590</v>
      </c>
      <c r="B11" s="95" t="s">
        <v>591</v>
      </c>
      <c r="D11" s="95" t="s">
        <v>592</v>
      </c>
      <c r="E11" s="95" t="s">
        <v>593</v>
      </c>
      <c r="F11" s="96" t="n">
        <v>0.03</v>
      </c>
      <c r="G11" s="95"/>
      <c r="H11" s="95" t="s">
        <v>287</v>
      </c>
      <c r="I11" s="95" t="s">
        <v>594</v>
      </c>
      <c r="J11" s="95"/>
      <c r="K11" s="95"/>
      <c r="L11" s="95" t="s">
        <v>595</v>
      </c>
      <c r="M11" s="95" t="s">
        <v>596</v>
      </c>
    </row>
    <row r="12" customFormat="false" ht="15" hidden="false" customHeight="false" outlineLevel="0" collapsed="false">
      <c r="A12" s="5" t="s">
        <v>597</v>
      </c>
      <c r="B12" s="99" t="n">
        <v>90</v>
      </c>
      <c r="D12" s="95"/>
      <c r="E12" s="95" t="s">
        <v>427</v>
      </c>
      <c r="F12" s="96" t="n">
        <v>0.0025</v>
      </c>
      <c r="G12" s="95"/>
      <c r="H12" s="95" t="s">
        <v>285</v>
      </c>
      <c r="I12" s="95" t="s">
        <v>598</v>
      </c>
      <c r="J12" s="95"/>
      <c r="K12" s="95"/>
      <c r="L12" s="95" t="s">
        <v>599</v>
      </c>
      <c r="M12" s="95" t="s">
        <v>600</v>
      </c>
    </row>
    <row r="13" customFormat="false" ht="15" hidden="false" customHeight="false" outlineLevel="0" collapsed="false">
      <c r="A13" s="5" t="s">
        <v>601</v>
      </c>
      <c r="B13" s="95" t="s">
        <v>602</v>
      </c>
      <c r="D13" s="95"/>
      <c r="E13" s="95"/>
      <c r="F13" s="96"/>
      <c r="G13" s="95"/>
      <c r="H13" s="95"/>
      <c r="I13" s="95" t="s">
        <v>340</v>
      </c>
      <c r="J13" s="95"/>
      <c r="K13" s="95"/>
      <c r="L13" s="95"/>
      <c r="M13" s="95" t="s">
        <v>603</v>
      </c>
    </row>
    <row r="14" customFormat="false" ht="15" hidden="false" customHeight="false" outlineLevel="0" collapsed="false">
      <c r="A14" s="5" t="s">
        <v>604</v>
      </c>
      <c r="B14" s="100"/>
      <c r="D14" s="95"/>
      <c r="E14" s="95"/>
      <c r="F14" s="96"/>
      <c r="G14" s="95"/>
      <c r="H14" s="95"/>
      <c r="I14" s="95"/>
      <c r="J14" s="95"/>
      <c r="K14" s="95"/>
      <c r="L14" s="95"/>
      <c r="M14" s="95" t="s">
        <v>605</v>
      </c>
    </row>
    <row r="15" customFormat="false" ht="15" hidden="false" customHeight="false" outlineLevel="0" collapsed="false">
      <c r="A15" s="5" t="s">
        <v>606</v>
      </c>
      <c r="B15" s="100"/>
      <c r="D15" s="95"/>
      <c r="E15" s="95"/>
      <c r="F15" s="96"/>
      <c r="G15" s="95"/>
      <c r="H15" s="95"/>
      <c r="I15" s="95"/>
      <c r="J15" s="95"/>
      <c r="K15" s="95"/>
      <c r="L15" s="95"/>
      <c r="M15" s="95" t="s">
        <v>607</v>
      </c>
    </row>
    <row r="16" customFormat="false" ht="15" hidden="false" customHeight="false" outlineLevel="0" collapsed="false">
      <c r="A16" s="39" t="s">
        <v>608</v>
      </c>
      <c r="D16" s="95"/>
      <c r="E16" s="95"/>
      <c r="F16" s="96"/>
      <c r="G16" s="95"/>
      <c r="H16" s="95"/>
      <c r="I16" s="95"/>
      <c r="J16" s="95"/>
      <c r="K16" s="95"/>
      <c r="L16" s="95"/>
      <c r="M16" s="95" t="s">
        <v>609</v>
      </c>
    </row>
    <row r="17" customFormat="false" ht="15" hidden="false" customHeight="false" outlineLevel="0" collapsed="false">
      <c r="A17" s="101" t="s">
        <v>31</v>
      </c>
      <c r="B17" s="101" t="s">
        <v>610</v>
      </c>
      <c r="D17" s="95"/>
      <c r="E17" s="95"/>
      <c r="F17" s="96"/>
      <c r="G17" s="95"/>
      <c r="H17" s="95"/>
      <c r="I17" s="95"/>
      <c r="J17" s="95"/>
      <c r="K17" s="95"/>
      <c r="L17" s="95"/>
      <c r="M17" s="95" t="s">
        <v>611</v>
      </c>
    </row>
    <row r="18" customFormat="false" ht="15" hidden="false" customHeight="false" outlineLevel="0" collapsed="false">
      <c r="A18" s="95" t="s">
        <v>103</v>
      </c>
      <c r="B18" s="102" t="n">
        <v>50000</v>
      </c>
      <c r="D18" s="95"/>
      <c r="E18" s="95"/>
      <c r="F18" s="96"/>
      <c r="G18" s="95"/>
      <c r="H18" s="95"/>
      <c r="I18" s="95"/>
      <c r="J18" s="95"/>
      <c r="K18" s="95"/>
      <c r="L18" s="95"/>
      <c r="M18" s="95" t="s">
        <v>491</v>
      </c>
    </row>
    <row r="19" customFormat="false" ht="15" hidden="false" customHeight="false" outlineLevel="0" collapsed="false">
      <c r="A19" s="95" t="s">
        <v>74</v>
      </c>
      <c r="B19" s="102" t="n">
        <v>250000</v>
      </c>
      <c r="D19" s="95"/>
      <c r="E19" s="95"/>
      <c r="F19" s="96"/>
      <c r="G19" s="95"/>
      <c r="H19" s="95"/>
      <c r="I19" s="95"/>
      <c r="J19" s="95"/>
      <c r="K19" s="95"/>
      <c r="L19" s="95"/>
      <c r="M19" s="95" t="s">
        <v>612</v>
      </c>
    </row>
    <row r="20" customFormat="false" ht="15" hidden="false" customHeight="false" outlineLevel="0" collapsed="false">
      <c r="A20" s="95" t="s">
        <v>90</v>
      </c>
      <c r="B20" s="102" t="n">
        <v>0</v>
      </c>
      <c r="D20" s="95"/>
      <c r="E20" s="95"/>
      <c r="F20" s="96"/>
      <c r="G20" s="95"/>
      <c r="H20" s="95"/>
      <c r="I20" s="95"/>
      <c r="J20" s="95"/>
      <c r="K20" s="95"/>
      <c r="L20" s="95"/>
      <c r="M20" s="95" t="s">
        <v>613</v>
      </c>
    </row>
    <row r="21" customFormat="false" ht="15" hidden="false" customHeight="false" outlineLevel="0" collapsed="false">
      <c r="A21" s="95"/>
      <c r="B21" s="102"/>
      <c r="D21" s="95"/>
      <c r="E21" s="95"/>
      <c r="F21" s="96"/>
      <c r="G21" s="95"/>
      <c r="H21" s="95"/>
      <c r="I21" s="95"/>
      <c r="J21" s="95"/>
      <c r="K21" s="95"/>
      <c r="L21" s="95"/>
      <c r="M21" s="95" t="s">
        <v>614</v>
      </c>
    </row>
    <row r="22" customFormat="false" ht="15" hidden="false" customHeight="false" outlineLevel="0" collapsed="false">
      <c r="A22" s="95"/>
      <c r="B22" s="102"/>
      <c r="D22" s="95"/>
      <c r="E22" s="95"/>
      <c r="F22" s="96"/>
      <c r="G22" s="95"/>
      <c r="H22" s="95"/>
      <c r="I22" s="95"/>
      <c r="J22" s="95"/>
      <c r="K22" s="95"/>
      <c r="L22" s="95"/>
      <c r="M22" s="95" t="s">
        <v>615</v>
      </c>
    </row>
    <row r="23" customFormat="false" ht="15" hidden="false" customHeight="false" outlineLevel="0" collapsed="false">
      <c r="A23" s="95"/>
      <c r="B23" s="102"/>
      <c r="D23" s="95"/>
      <c r="E23" s="95"/>
      <c r="F23" s="96"/>
      <c r="G23" s="95"/>
      <c r="H23" s="95"/>
      <c r="I23" s="95"/>
      <c r="J23" s="95"/>
      <c r="K23" s="95"/>
      <c r="L23" s="95"/>
      <c r="M23" s="95" t="s">
        <v>616</v>
      </c>
    </row>
    <row r="24" customFormat="false" ht="15" hidden="false" customHeight="false" outlineLevel="0" collapsed="false">
      <c r="A24" s="95"/>
      <c r="B24" s="102"/>
      <c r="D24" s="95"/>
      <c r="E24" s="95"/>
      <c r="F24" s="96"/>
      <c r="G24" s="95"/>
      <c r="H24" s="95"/>
      <c r="I24" s="95"/>
      <c r="J24" s="95"/>
      <c r="K24" s="95"/>
      <c r="L24" s="95"/>
      <c r="M24" s="95" t="s">
        <v>617</v>
      </c>
    </row>
    <row r="25" customFormat="false" ht="15" hidden="false" customHeight="false" outlineLevel="0" collapsed="false">
      <c r="A25" s="95"/>
      <c r="B25" s="102"/>
      <c r="D25" s="95"/>
      <c r="E25" s="95"/>
      <c r="F25" s="96"/>
      <c r="G25" s="95"/>
      <c r="H25" s="95"/>
      <c r="I25" s="95"/>
      <c r="J25" s="95"/>
      <c r="K25" s="95"/>
      <c r="L25" s="95"/>
      <c r="M25" s="95" t="s">
        <v>473</v>
      </c>
    </row>
    <row r="26" customFormat="false" ht="15" hidden="false" customHeight="false" outlineLevel="0" collapsed="false">
      <c r="D26" s="95"/>
      <c r="E26" s="95"/>
      <c r="F26" s="96"/>
      <c r="G26" s="95"/>
      <c r="H26" s="95"/>
      <c r="I26" s="95"/>
      <c r="J26" s="95"/>
      <c r="K26" s="95"/>
      <c r="L26" s="95"/>
      <c r="M26" s="95" t="s">
        <v>618</v>
      </c>
    </row>
    <row r="27" customFormat="false" ht="15" hidden="false" customHeight="false" outlineLevel="0" collapsed="false">
      <c r="A27" s="7" t="s">
        <v>619</v>
      </c>
      <c r="D27" s="95"/>
      <c r="E27" s="95"/>
      <c r="F27" s="96"/>
      <c r="G27" s="95"/>
      <c r="H27" s="95"/>
      <c r="I27" s="95"/>
      <c r="J27" s="95"/>
      <c r="K27" s="95"/>
      <c r="L27" s="95"/>
      <c r="M27" s="95" t="s">
        <v>620</v>
      </c>
    </row>
    <row r="28" customFormat="false" ht="15" hidden="false" customHeight="false" outlineLevel="0" collapsed="false">
      <c r="D28" s="95"/>
      <c r="E28" s="95"/>
      <c r="F28" s="96"/>
      <c r="G28" s="95"/>
      <c r="H28" s="95"/>
      <c r="I28" s="95"/>
      <c r="J28" s="95"/>
      <c r="K28" s="95"/>
      <c r="L28" s="95"/>
      <c r="M28" s="95" t="s">
        <v>621</v>
      </c>
    </row>
    <row r="29" customFormat="false" ht="15" hidden="false" customHeight="false" outlineLevel="0" collapsed="false">
      <c r="D29" s="95"/>
      <c r="E29" s="95"/>
      <c r="F29" s="96"/>
      <c r="G29" s="95"/>
      <c r="H29" s="95"/>
      <c r="I29" s="95"/>
      <c r="J29" s="95"/>
      <c r="K29" s="95"/>
      <c r="L29" s="95"/>
      <c r="M29" s="95" t="s">
        <v>622</v>
      </c>
    </row>
    <row r="30" customFormat="false" ht="15" hidden="false" customHeight="false" outlineLevel="0" collapsed="false">
      <c r="D30" s="95"/>
      <c r="E30" s="95"/>
      <c r="F30" s="96"/>
      <c r="G30" s="95"/>
      <c r="H30" s="95"/>
      <c r="I30" s="95"/>
      <c r="J30" s="95"/>
      <c r="K30" s="95"/>
      <c r="L30" s="95"/>
      <c r="M30" s="95" t="s">
        <v>623</v>
      </c>
    </row>
    <row r="31" customFormat="false" ht="15" hidden="false" customHeight="false" outlineLevel="0" collapsed="false">
      <c r="D31" s="95"/>
      <c r="E31" s="95"/>
      <c r="F31" s="96"/>
      <c r="G31" s="95"/>
      <c r="H31" s="95"/>
      <c r="I31" s="95"/>
      <c r="J31" s="95"/>
      <c r="K31" s="95"/>
      <c r="L31" s="95"/>
      <c r="M31" s="95" t="s">
        <v>624</v>
      </c>
    </row>
    <row r="32" customFormat="false" ht="15" hidden="false" customHeight="false" outlineLevel="0" collapsed="false">
      <c r="D32" s="95"/>
      <c r="E32" s="95"/>
      <c r="F32" s="96"/>
      <c r="G32" s="95"/>
      <c r="H32" s="95"/>
      <c r="I32" s="95"/>
      <c r="J32" s="95"/>
      <c r="K32" s="95"/>
      <c r="L32" s="95"/>
      <c r="M32" s="95" t="s">
        <v>625</v>
      </c>
    </row>
    <row r="33" customFormat="false" ht="15" hidden="false" customHeight="false" outlineLevel="0" collapsed="false">
      <c r="D33" s="95"/>
      <c r="E33" s="95"/>
      <c r="F33" s="96"/>
      <c r="G33" s="95"/>
      <c r="H33" s="95"/>
      <c r="I33" s="95"/>
      <c r="J33" s="95"/>
      <c r="K33" s="95"/>
      <c r="L33" s="95"/>
      <c r="M33" s="95" t="s">
        <v>480</v>
      </c>
    </row>
    <row r="34" customFormat="false" ht="15" hidden="false" customHeight="false" outlineLevel="0" collapsed="false">
      <c r="D34" s="95"/>
      <c r="E34" s="95"/>
      <c r="F34" s="96"/>
      <c r="G34" s="95"/>
      <c r="H34" s="95"/>
      <c r="I34" s="95"/>
      <c r="J34" s="95"/>
      <c r="K34" s="95"/>
      <c r="L34" s="95"/>
      <c r="M34" s="95" t="s">
        <v>626</v>
      </c>
    </row>
    <row r="35" customFormat="false" ht="15" hidden="false" customHeight="false" outlineLevel="0" collapsed="false">
      <c r="D35" s="95"/>
      <c r="E35" s="95"/>
      <c r="F35" s="96"/>
      <c r="G35" s="95"/>
      <c r="H35" s="95"/>
      <c r="I35" s="95"/>
      <c r="J35" s="95"/>
      <c r="K35" s="95"/>
      <c r="L35" s="95"/>
      <c r="M35" s="95" t="s">
        <v>627</v>
      </c>
    </row>
    <row r="36" customFormat="false" ht="15" hidden="false" customHeight="false" outlineLevel="0" collapsed="false">
      <c r="D36" s="95"/>
      <c r="E36" s="95"/>
      <c r="F36" s="96"/>
      <c r="G36" s="95"/>
      <c r="H36" s="95"/>
      <c r="I36" s="95"/>
      <c r="J36" s="95"/>
      <c r="K36" s="95"/>
      <c r="L36" s="95"/>
      <c r="M36" s="95" t="s">
        <v>628</v>
      </c>
    </row>
    <row r="37" customFormat="false" ht="15" hidden="false" customHeight="false" outlineLevel="0" collapsed="false">
      <c r="D37" s="95"/>
      <c r="E37" s="95"/>
      <c r="F37" s="96"/>
      <c r="G37" s="95"/>
      <c r="H37" s="95"/>
      <c r="I37" s="95"/>
      <c r="J37" s="95"/>
      <c r="K37" s="95"/>
      <c r="L37" s="95"/>
      <c r="M37" s="95" t="s">
        <v>629</v>
      </c>
    </row>
    <row r="38" customFormat="false" ht="15" hidden="false" customHeight="false" outlineLevel="0" collapsed="false">
      <c r="D38" s="95"/>
      <c r="E38" s="95"/>
      <c r="F38" s="96"/>
      <c r="G38" s="95"/>
      <c r="H38" s="95"/>
      <c r="I38" s="95"/>
      <c r="J38" s="95"/>
      <c r="K38" s="95"/>
      <c r="L38" s="95"/>
      <c r="M38" s="95" t="s">
        <v>630</v>
      </c>
    </row>
    <row r="39" customFormat="false" ht="15" hidden="false" customHeight="false" outlineLevel="0" collapsed="false">
      <c r="D39" s="95"/>
      <c r="E39" s="95"/>
      <c r="F39" s="96"/>
      <c r="G39" s="95"/>
      <c r="H39" s="95"/>
      <c r="I39" s="95"/>
      <c r="J39" s="95"/>
      <c r="K39" s="95"/>
      <c r="L39" s="95"/>
      <c r="M39" s="95" t="s">
        <v>631</v>
      </c>
    </row>
    <row r="40" customFormat="false" ht="15" hidden="false" customHeight="false" outlineLevel="0" collapsed="false">
      <c r="D40" s="95"/>
      <c r="E40" s="95"/>
      <c r="F40" s="96"/>
      <c r="G40" s="95"/>
      <c r="H40" s="95"/>
      <c r="I40" s="95"/>
      <c r="J40" s="95"/>
      <c r="K40" s="95"/>
      <c r="L40" s="95"/>
      <c r="M40" s="95" t="s">
        <v>632</v>
      </c>
    </row>
    <row r="41" customFormat="false" ht="15" hidden="false" customHeight="false" outlineLevel="0" collapsed="false">
      <c r="D41" s="95"/>
      <c r="E41" s="95"/>
      <c r="F41" s="96"/>
      <c r="G41" s="95"/>
      <c r="H41" s="95"/>
      <c r="I41" s="95"/>
      <c r="J41" s="95"/>
      <c r="K41" s="95"/>
      <c r="L41" s="95"/>
      <c r="M41" s="95"/>
    </row>
    <row r="42" customFormat="false" ht="15" hidden="false" customHeight="false" outlineLevel="0" collapsed="false">
      <c r="D42" s="95"/>
      <c r="E42" s="95"/>
      <c r="F42" s="96"/>
      <c r="G42" s="95"/>
      <c r="H42" s="95"/>
      <c r="I42" s="95"/>
      <c r="J42" s="95"/>
      <c r="K42" s="95"/>
      <c r="L42" s="95"/>
      <c r="M42" s="95"/>
    </row>
    <row r="43" customFormat="false" ht="15" hidden="false" customHeight="false" outlineLevel="0" collapsed="false">
      <c r="D43" s="95"/>
      <c r="E43" s="95"/>
      <c r="F43" s="96"/>
      <c r="G43" s="95"/>
      <c r="H43" s="95"/>
      <c r="I43" s="95"/>
      <c r="J43" s="95"/>
      <c r="K43" s="95"/>
      <c r="L43" s="95"/>
      <c r="M43" s="95"/>
    </row>
    <row r="44" customFormat="false" ht="15" hidden="false" customHeight="false" outlineLevel="0" collapsed="false">
      <c r="D44" s="95"/>
      <c r="E44" s="95"/>
      <c r="F44" s="96"/>
      <c r="G44" s="95"/>
      <c r="H44" s="95"/>
      <c r="I44" s="95"/>
      <c r="J44" s="95"/>
      <c r="K44" s="95"/>
      <c r="L44" s="95"/>
      <c r="M44" s="95"/>
    </row>
  </sheetData>
  <mergeCells count="2">
    <mergeCell ref="A1:L1"/>
    <mergeCell ref="A2:L2"/>
  </mergeCells>
  <hyperlinks>
    <hyperlink ref="N1" r:id="rId2" location="Dashboard!A1" display="« Ho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35B1"/>
    <pageSetUpPr fitToPage="false"/>
  </sheetPr>
  <dimension ref="A1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4" min="3" style="0" width="22"/>
    <col collapsed="false" customWidth="true" hidden="false" outlineLevel="0" max="5" min="5" style="0" width="34"/>
  </cols>
  <sheetData>
    <row r="1" customFormat="false" ht="30" hidden="false" customHeight="true" outlineLevel="0" collapsed="false">
      <c r="A1" s="1"/>
      <c r="B1" s="103" t="s">
        <v>633</v>
      </c>
      <c r="C1" s="103"/>
      <c r="D1" s="103"/>
      <c r="E1" s="103"/>
      <c r="G1" s="50" t="s">
        <v>43</v>
      </c>
    </row>
    <row r="2" customFormat="false" ht="15" hidden="false" customHeight="false" outlineLevel="0" collapsed="false">
      <c r="B2" s="104" t="str">
        <f aca="false">LicStatus</f>
        <v>FREE PLAN</v>
      </c>
      <c r="C2" s="104"/>
      <c r="D2" s="104"/>
      <c r="E2" s="104"/>
    </row>
    <row r="4" customFormat="false" ht="15" hidden="false" customHeight="false" outlineLevel="0" collapsed="false">
      <c r="B4" s="53" t="s">
        <v>634</v>
      </c>
      <c r="C4" s="53" t="s">
        <v>635</v>
      </c>
      <c r="D4" s="105" t="s">
        <v>636</v>
      </c>
    </row>
    <row r="5" customFormat="false" ht="21.75" hidden="false" customHeight="true" outlineLevel="0" collapsed="false">
      <c r="B5" s="106" t="s">
        <v>637</v>
      </c>
      <c r="C5" s="107" t="s">
        <v>638</v>
      </c>
      <c r="D5" s="107" t="s">
        <v>639</v>
      </c>
    </row>
    <row r="6" customFormat="false" ht="21.75" hidden="false" customHeight="true" outlineLevel="0" collapsed="false">
      <c r="B6" s="106" t="s">
        <v>640</v>
      </c>
      <c r="C6" s="107" t="s">
        <v>641</v>
      </c>
      <c r="D6" s="107" t="s">
        <v>641</v>
      </c>
    </row>
    <row r="7" customFormat="false" ht="21.75" hidden="false" customHeight="true" outlineLevel="0" collapsed="false">
      <c r="B7" s="106" t="s">
        <v>642</v>
      </c>
      <c r="C7" s="107" t="s">
        <v>643</v>
      </c>
      <c r="D7" s="107" t="s">
        <v>643</v>
      </c>
    </row>
    <row r="8" customFormat="false" ht="21.75" hidden="false" customHeight="true" outlineLevel="0" collapsed="false">
      <c r="B8" s="106" t="s">
        <v>644</v>
      </c>
      <c r="C8" s="107" t="s">
        <v>643</v>
      </c>
      <c r="D8" s="107" t="s">
        <v>643</v>
      </c>
    </row>
    <row r="9" customFormat="false" ht="21.75" hidden="false" customHeight="true" outlineLevel="0" collapsed="false">
      <c r="B9" s="106" t="s">
        <v>645</v>
      </c>
      <c r="C9" s="107" t="s">
        <v>643</v>
      </c>
      <c r="D9" s="107" t="s">
        <v>643</v>
      </c>
    </row>
    <row r="10" customFormat="false" ht="21.75" hidden="false" customHeight="true" outlineLevel="0" collapsed="false">
      <c r="B10" s="106" t="s">
        <v>646</v>
      </c>
      <c r="C10" s="107" t="s">
        <v>643</v>
      </c>
      <c r="D10" s="107" t="s">
        <v>643</v>
      </c>
    </row>
    <row r="11" customFormat="false" ht="21.75" hidden="false" customHeight="true" outlineLevel="0" collapsed="false">
      <c r="B11" s="106" t="s">
        <v>647</v>
      </c>
      <c r="C11" s="107" t="s">
        <v>643</v>
      </c>
      <c r="D11" s="107" t="s">
        <v>643</v>
      </c>
    </row>
    <row r="12" customFormat="false" ht="21.75" hidden="false" customHeight="true" outlineLevel="0" collapsed="false">
      <c r="B12" s="106" t="s">
        <v>648</v>
      </c>
      <c r="C12" s="107" t="s">
        <v>649</v>
      </c>
      <c r="D12" s="107" t="s">
        <v>650</v>
      </c>
    </row>
    <row r="13" customFormat="false" ht="21.75" hidden="false" customHeight="true" outlineLevel="0" collapsed="false">
      <c r="B13" s="106" t="s">
        <v>651</v>
      </c>
      <c r="C13" s="107" t="s">
        <v>643</v>
      </c>
      <c r="D13" s="107" t="s">
        <v>643</v>
      </c>
    </row>
    <row r="14" customFormat="false" ht="21.75" hidden="false" customHeight="true" outlineLevel="0" collapsed="false">
      <c r="B14" s="106" t="s">
        <v>652</v>
      </c>
      <c r="C14" s="107" t="s">
        <v>653</v>
      </c>
      <c r="D14" s="107" t="s">
        <v>643</v>
      </c>
    </row>
    <row r="16" customFormat="false" ht="15" hidden="false" customHeight="false" outlineLevel="0" collapsed="false">
      <c r="B16" s="108" t="s">
        <v>654</v>
      </c>
    </row>
    <row r="17" customFormat="false" ht="15" hidden="false" customHeight="false" outlineLevel="0" collapsed="false">
      <c r="B17" s="105" t="s">
        <v>655</v>
      </c>
      <c r="C17" s="105" t="s">
        <v>656</v>
      </c>
      <c r="D17" s="105" t="s">
        <v>657</v>
      </c>
      <c r="E17" s="105" t="s">
        <v>658</v>
      </c>
    </row>
    <row r="18" customFormat="false" ht="15" hidden="false" customHeight="false" outlineLevel="0" collapsed="false">
      <c r="B18" s="109" t="s">
        <v>659</v>
      </c>
      <c r="C18" s="110" t="n">
        <v>149</v>
      </c>
      <c r="D18" s="110" t="n">
        <f aca="false">C18/1</f>
        <v>149</v>
      </c>
      <c r="E18" s="110" t="str">
        <f aca="false">IF(149*1-C18&lt;=0,"-",149*1-C18)</f>
        <v>-</v>
      </c>
    </row>
    <row r="19" customFormat="false" ht="15" hidden="false" customHeight="false" outlineLevel="0" collapsed="false">
      <c r="B19" s="109" t="s">
        <v>660</v>
      </c>
      <c r="C19" s="110" t="n">
        <v>799</v>
      </c>
      <c r="D19" s="110" t="n">
        <f aca="false">C19/6</f>
        <v>133.166666666667</v>
      </c>
      <c r="E19" s="110" t="n">
        <f aca="false">IF(149*6-C19&lt;=0,"-",149*6-C19)</f>
        <v>95</v>
      </c>
    </row>
    <row r="20" customFormat="false" ht="15" hidden="false" customHeight="false" outlineLevel="0" collapsed="false">
      <c r="B20" s="109" t="s">
        <v>661</v>
      </c>
      <c r="C20" s="110" t="n">
        <v>1299</v>
      </c>
      <c r="D20" s="110" t="n">
        <f aca="false">C20/12</f>
        <v>108.25</v>
      </c>
      <c r="E20" s="110" t="n">
        <f aca="false">IF(149*12-C20&lt;=0,"-",149*12-C20)</f>
        <v>489</v>
      </c>
    </row>
    <row r="21" customFormat="false" ht="15" hidden="false" customHeight="false" outlineLevel="0" collapsed="false">
      <c r="B21" s="7" t="s">
        <v>662</v>
      </c>
    </row>
    <row r="23" customFormat="false" ht="15" hidden="false" customHeight="false" outlineLevel="0" collapsed="false">
      <c r="B23" s="108" t="s">
        <v>663</v>
      </c>
    </row>
    <row r="24" customFormat="false" ht="15" hidden="false" customHeight="false" outlineLevel="0" collapsed="false">
      <c r="B24" s="60" t="s">
        <v>664</v>
      </c>
    </row>
    <row r="25" customFormat="false" ht="15" hidden="false" customHeight="false" outlineLevel="0" collapsed="false">
      <c r="B25" s="60" t="s">
        <v>665</v>
      </c>
    </row>
    <row r="26" customFormat="false" ht="15" hidden="false" customHeight="false" outlineLevel="0" collapsed="false">
      <c r="B26" s="60" t="s">
        <v>666</v>
      </c>
    </row>
    <row r="27" customFormat="false" ht="15" hidden="false" customHeight="false" outlineLevel="0" collapsed="false">
      <c r="B27" s="60" t="s">
        <v>667</v>
      </c>
    </row>
    <row r="28" customFormat="false" ht="15" hidden="false" customHeight="false" outlineLevel="0" collapsed="false">
      <c r="B28" s="60" t="s">
        <v>668</v>
      </c>
    </row>
    <row r="30" customFormat="false" ht="15" hidden="false" customHeight="false" outlineLevel="0" collapsed="false">
      <c r="B30" s="108" t="s">
        <v>669</v>
      </c>
    </row>
    <row r="31" customFormat="false" ht="23.85" hidden="false" customHeight="false" outlineLevel="0" collapsed="false">
      <c r="B31" s="111" t="s">
        <v>670</v>
      </c>
      <c r="C31" s="112" t="s">
        <v>671</v>
      </c>
      <c r="D31" s="112" t="s">
        <v>657</v>
      </c>
      <c r="E31" s="111" t="s">
        <v>672</v>
      </c>
    </row>
    <row r="32" customFormat="false" ht="15" hidden="false" customHeight="false" outlineLevel="0" collapsed="false">
      <c r="B32" s="113" t="s">
        <v>673</v>
      </c>
      <c r="C32" s="114" t="s">
        <v>674</v>
      </c>
      <c r="D32" s="114" t="s">
        <v>675</v>
      </c>
      <c r="E32" s="113" t="s">
        <v>676</v>
      </c>
    </row>
    <row r="33" customFormat="false" ht="15" hidden="false" customHeight="false" outlineLevel="0" collapsed="false">
      <c r="B33" s="115" t="s">
        <v>677</v>
      </c>
      <c r="C33" s="116" t="s">
        <v>678</v>
      </c>
      <c r="D33" s="116" t="s">
        <v>679</v>
      </c>
      <c r="E33" s="115" t="s">
        <v>680</v>
      </c>
    </row>
    <row r="34" customFormat="false" ht="15" hidden="false" customHeight="false" outlineLevel="0" collapsed="false">
      <c r="B34" s="115" t="s">
        <v>681</v>
      </c>
      <c r="C34" s="116" t="s">
        <v>682</v>
      </c>
      <c r="D34" s="116" t="s">
        <v>683</v>
      </c>
      <c r="E34" s="115" t="s">
        <v>684</v>
      </c>
    </row>
    <row r="35" customFormat="false" ht="15" hidden="false" customHeight="false" outlineLevel="0" collapsed="false">
      <c r="B35" s="115" t="s">
        <v>685</v>
      </c>
      <c r="C35" s="116" t="s">
        <v>686</v>
      </c>
      <c r="D35" s="116" t="s">
        <v>687</v>
      </c>
      <c r="E35" s="115" t="s">
        <v>684</v>
      </c>
    </row>
    <row r="37" customFormat="false" ht="15" hidden="false" customHeight="false" outlineLevel="0" collapsed="false">
      <c r="B37" s="7" t="s">
        <v>688</v>
      </c>
    </row>
  </sheetData>
  <mergeCells count="2">
    <mergeCell ref="B1:E1"/>
    <mergeCell ref="B2:E2"/>
  </mergeCells>
  <conditionalFormatting sqref="B2">
    <cfRule type="expression" priority="2" aboveAverage="0" equalAverage="0" bottom="0" percent="0" rank="0" text="" dxfId="0">
      <formula>IsPro</formula>
    </cfRule>
  </conditionalFormatting>
  <hyperlinks>
    <hyperlink ref="G1" r:id="rId1" location="Dashboard!A1" display="« Ho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E9E9E"/>
    <pageSetUpPr fitToPage="false"/>
  </sheetPr>
  <dimension ref="A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95"/>
  </cols>
  <sheetData>
    <row r="1" customFormat="false" ht="30" hidden="false" customHeight="true" outlineLevel="0" collapsed="false">
      <c r="A1" s="1"/>
      <c r="B1" s="103" t="s">
        <v>689</v>
      </c>
      <c r="C1" s="103"/>
      <c r="E1" s="117" t="s">
        <v>43</v>
      </c>
    </row>
    <row r="4" customFormat="false" ht="15" hidden="false" customHeight="false" outlineLevel="0" collapsed="false">
      <c r="B4" s="118" t="s">
        <v>690</v>
      </c>
      <c r="C4" s="118"/>
    </row>
    <row r="5" customFormat="false" ht="27.75" hidden="false" customHeight="true" outlineLevel="0" collapsed="false">
      <c r="B5" s="119" t="s">
        <v>691</v>
      </c>
      <c r="C5" s="120" t="s">
        <v>692</v>
      </c>
    </row>
    <row r="6" customFormat="false" ht="27.75" hidden="false" customHeight="true" outlineLevel="0" collapsed="false">
      <c r="B6" s="119" t="s">
        <v>693</v>
      </c>
      <c r="C6" s="120" t="s">
        <v>694</v>
      </c>
    </row>
    <row r="7" customFormat="false" ht="27.75" hidden="false" customHeight="true" outlineLevel="0" collapsed="false">
      <c r="B7" s="119" t="s">
        <v>695</v>
      </c>
      <c r="C7" s="120" t="s">
        <v>696</v>
      </c>
    </row>
    <row r="8" customFormat="false" ht="27.75" hidden="false" customHeight="true" outlineLevel="0" collapsed="false">
      <c r="B8" s="119" t="s">
        <v>697</v>
      </c>
      <c r="C8" s="120" t="s">
        <v>698</v>
      </c>
    </row>
    <row r="9" customFormat="false" ht="27.75" hidden="false" customHeight="true" outlineLevel="0" collapsed="false">
      <c r="B9" s="119" t="s">
        <v>699</v>
      </c>
      <c r="C9" s="120" t="s">
        <v>700</v>
      </c>
    </row>
    <row r="10" customFormat="false" ht="27.75" hidden="false" customHeight="true" outlineLevel="0" collapsed="false">
      <c r="B10" s="119" t="s">
        <v>701</v>
      </c>
      <c r="C10" s="120" t="s">
        <v>702</v>
      </c>
    </row>
    <row r="11" customFormat="false" ht="27.75" hidden="false" customHeight="true" outlineLevel="0" collapsed="false">
      <c r="B11" s="119" t="s">
        <v>703</v>
      </c>
      <c r="C11" s="120" t="s">
        <v>704</v>
      </c>
    </row>
    <row r="12" customFormat="false" ht="27.75" hidden="false" customHeight="true" outlineLevel="0" collapsed="false">
      <c r="B12" s="119" t="s">
        <v>705</v>
      </c>
      <c r="C12" s="120" t="s">
        <v>706</v>
      </c>
    </row>
    <row r="14" customFormat="false" ht="15" hidden="false" customHeight="false" outlineLevel="0" collapsed="false">
      <c r="B14" s="118" t="s">
        <v>707</v>
      </c>
      <c r="C14" s="118"/>
    </row>
    <row r="15" customFormat="false" ht="27.75" hidden="false" customHeight="true" outlineLevel="0" collapsed="false">
      <c r="B15" s="119" t="s">
        <v>708</v>
      </c>
      <c r="C15" s="120" t="s">
        <v>709</v>
      </c>
    </row>
    <row r="16" customFormat="false" ht="27.75" hidden="false" customHeight="true" outlineLevel="0" collapsed="false">
      <c r="B16" s="119" t="s">
        <v>710</v>
      </c>
      <c r="C16" s="120" t="s">
        <v>711</v>
      </c>
    </row>
    <row r="17" customFormat="false" ht="27.75" hidden="false" customHeight="true" outlineLevel="0" collapsed="false">
      <c r="B17" s="119" t="s">
        <v>712</v>
      </c>
      <c r="C17" s="120" t="s">
        <v>713</v>
      </c>
    </row>
    <row r="18" customFormat="false" ht="27.75" hidden="false" customHeight="true" outlineLevel="0" collapsed="false">
      <c r="B18" s="119" t="s">
        <v>714</v>
      </c>
      <c r="C18" s="120" t="s">
        <v>715</v>
      </c>
    </row>
    <row r="19" customFormat="false" ht="27.75" hidden="false" customHeight="true" outlineLevel="0" collapsed="false">
      <c r="B19" s="119" t="s">
        <v>716</v>
      </c>
      <c r="C19" s="120" t="s">
        <v>717</v>
      </c>
    </row>
    <row r="20" customFormat="false" ht="27.75" hidden="false" customHeight="true" outlineLevel="0" collapsed="false">
      <c r="B20" s="119" t="s">
        <v>718</v>
      </c>
      <c r="C20" s="120" t="s">
        <v>719</v>
      </c>
    </row>
    <row r="21" customFormat="false" ht="27.75" hidden="false" customHeight="true" outlineLevel="0" collapsed="false">
      <c r="B21" s="119" t="s">
        <v>720</v>
      </c>
      <c r="C21" s="120" t="s">
        <v>721</v>
      </c>
    </row>
    <row r="22" customFormat="false" ht="27.75" hidden="false" customHeight="true" outlineLevel="0" collapsed="false">
      <c r="B22" s="119" t="s">
        <v>722</v>
      </c>
      <c r="C22" s="120" t="s">
        <v>723</v>
      </c>
    </row>
    <row r="24" customFormat="false" ht="15" hidden="false" customHeight="false" outlineLevel="0" collapsed="false">
      <c r="B24" s="118" t="s">
        <v>724</v>
      </c>
      <c r="C24" s="118"/>
    </row>
    <row r="25" customFormat="false" ht="27.75" hidden="false" customHeight="true" outlineLevel="0" collapsed="false">
      <c r="B25" s="119" t="s">
        <v>725</v>
      </c>
      <c r="C25" s="120" t="s">
        <v>726</v>
      </c>
    </row>
    <row r="26" customFormat="false" ht="27.75" hidden="false" customHeight="true" outlineLevel="0" collapsed="false">
      <c r="B26" s="119" t="s">
        <v>727</v>
      </c>
      <c r="C26" s="120" t="s">
        <v>728</v>
      </c>
    </row>
    <row r="27" customFormat="false" ht="27.75" hidden="false" customHeight="true" outlineLevel="0" collapsed="false">
      <c r="B27" s="119" t="s">
        <v>729</v>
      </c>
      <c r="C27" s="120" t="s">
        <v>730</v>
      </c>
    </row>
    <row r="28" customFormat="false" ht="27.75" hidden="false" customHeight="true" outlineLevel="0" collapsed="false">
      <c r="B28" s="119" t="s">
        <v>731</v>
      </c>
      <c r="C28" s="120" t="s">
        <v>732</v>
      </c>
    </row>
    <row r="29" customFormat="false" ht="27.75" hidden="false" customHeight="true" outlineLevel="0" collapsed="false">
      <c r="B29" s="119" t="s">
        <v>733</v>
      </c>
      <c r="C29" s="120" t="s">
        <v>734</v>
      </c>
    </row>
    <row r="31" customFormat="false" ht="15" hidden="false" customHeight="false" outlineLevel="0" collapsed="false">
      <c r="B31" s="118" t="s">
        <v>735</v>
      </c>
      <c r="C31" s="118"/>
    </row>
    <row r="32" customFormat="false" ht="27.75" hidden="false" customHeight="true" outlineLevel="0" collapsed="false">
      <c r="B32" s="119" t="s">
        <v>736</v>
      </c>
      <c r="C32" s="120" t="s">
        <v>737</v>
      </c>
    </row>
    <row r="33" customFormat="false" ht="27.75" hidden="false" customHeight="true" outlineLevel="0" collapsed="false">
      <c r="B33" s="119" t="s">
        <v>738</v>
      </c>
      <c r="C33" s="120" t="s">
        <v>739</v>
      </c>
    </row>
    <row r="34" customFormat="false" ht="27.75" hidden="false" customHeight="true" outlineLevel="0" collapsed="false">
      <c r="B34" s="119" t="s">
        <v>740</v>
      </c>
      <c r="C34" s="120" t="s">
        <v>741</v>
      </c>
    </row>
    <row r="35" customFormat="false" ht="27.75" hidden="false" customHeight="true" outlineLevel="0" collapsed="false">
      <c r="B35" s="119" t="s">
        <v>742</v>
      </c>
      <c r="C35" s="120" t="s">
        <v>743</v>
      </c>
    </row>
    <row r="36" customFormat="false" ht="27.75" hidden="false" customHeight="true" outlineLevel="0" collapsed="false">
      <c r="B36" s="119" t="s">
        <v>744</v>
      </c>
      <c r="C36" s="120" t="s">
        <v>745</v>
      </c>
    </row>
    <row r="37" customFormat="false" ht="27.75" hidden="false" customHeight="true" outlineLevel="0" collapsed="false">
      <c r="B37" s="119" t="s">
        <v>746</v>
      </c>
      <c r="C37" s="120" t="s">
        <v>747</v>
      </c>
    </row>
  </sheetData>
  <mergeCells count="5">
    <mergeCell ref="B1:C1"/>
    <mergeCell ref="B4:C4"/>
    <mergeCell ref="B14:C14"/>
    <mergeCell ref="B24:C24"/>
    <mergeCell ref="B31:C31"/>
  </mergeCells>
  <hyperlinks>
    <hyperlink ref="E1" r:id="rId1" location="Dashboard!A1" display="« Ho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tr">
        <f aca="false">UPPER(TRIM(LicKey&amp;""))</f>
        <v/>
      </c>
      <c r="B1" s="0" t="s">
        <v>748</v>
      </c>
    </row>
    <row r="2" customFormat="false" ht="15" hidden="false" customHeight="false" outlineLevel="0" collapsed="false">
      <c r="A2" s="0" t="str">
        <f aca="false">LEFT(TRIM(LicId&amp;""),20)</f>
        <v/>
      </c>
      <c r="B2" s="0" t="s">
        <v>749</v>
      </c>
    </row>
    <row r="3" customFormat="false" ht="15" hidden="false" customHeight="false" outlineLevel="0" collapsed="false">
      <c r="A3" s="0" t="str">
        <f aca="false">MID(A1,5,1)</f>
        <v/>
      </c>
      <c r="B3" s="0" t="s">
        <v>750</v>
      </c>
    </row>
    <row r="4" customFormat="false" ht="15" hidden="false" customHeight="false" outlineLevel="0" collapsed="false">
      <c r="A4" s="0" t="n">
        <f aca="false">IFERROR(DATE(2000+VALUE(MID(A1,6,2)),VALUE(MID(A1,8,2)),VALUE(MID(A1,10,2))),0)</f>
        <v>0</v>
      </c>
      <c r="B4" s="0" t="s">
        <v>751</v>
      </c>
    </row>
    <row r="5" customFormat="false" ht="15" hidden="false" customHeight="false" outlineLevel="0" collapsed="false">
      <c r="A5" s="0" t="str">
        <f aca="false">LEFT(A2&amp;"|"&amp;A3&amp;"|"&amp;(YEAR(A4)*10000+MONTH(A4)*100+DAY(A4))&amp;REPT(" ",40),40)</f>
        <v>||18991230                              </v>
      </c>
      <c r="B5" s="0" t="s">
        <v>752</v>
      </c>
    </row>
    <row r="6" customFormat="false" ht="15" hidden="false" customHeight="false" outlineLevel="0" collapsed="false">
      <c r="A6" s="0" t="n">
        <f aca="false">SUMPRODUCT(CODE(MID(A5,ROW($A$1:$A$40),1))*(MOD(ROW($A$1:$A$40)*7919,10007)+1))</f>
        <v>8811184</v>
      </c>
      <c r="B6" s="0" t="s">
        <v>753</v>
      </c>
    </row>
    <row r="7" customFormat="false" ht="15" hidden="false" customHeight="false" outlineLevel="0" collapsed="false">
      <c r="A7" s="0" t="n">
        <f aca="false">MOD(A6*9967+424242,1679616)</f>
        <v>1092994</v>
      </c>
      <c r="B7" s="0" t="s">
        <v>754</v>
      </c>
    </row>
    <row r="8" customFormat="false" ht="15" hidden="false" customHeight="false" outlineLevel="0" collapsed="false">
      <c r="A8" s="0" t="str">
        <f aca="false">MID("0123456789ABCDEFGHIJKLMNOPQRSTUVWXYZ",INT(A7/46656)+1,1)&amp;MID("0123456789ABCDEFGHIJKLMNOPQRSTUVWXYZ",MOD(INT(A7/1296),36)+1,1)&amp;MID("0123456789ABCDEFGHIJKLMNOPQRSTUVWXYZ",MOD(INT(A7/36),36)+1,1)&amp;MID("0123456789ABCDEFGHIJKLMNOPQRSTUVWXYZ",MOD(A7,36)+1,1)</f>
        <v>NFCY</v>
      </c>
      <c r="B8" s="0" t="s">
        <v>755</v>
      </c>
    </row>
    <row r="9" customFormat="false" ht="15" hidden="false" customHeight="false" outlineLevel="0" collapsed="false">
      <c r="A9" s="121" t="b">
        <f aca="false">AND(LEN(A1)=16,LEFT(A1,4)="PRO-",MID(A1,12,1)="-",ISNUMBER(FIND(A3,"MHY")),A4&gt;0,LEN(A2)&gt;0,RIGHT(A1,4)=A8)</f>
        <v>0</v>
      </c>
      <c r="B9" s="0" t="s">
        <v>756</v>
      </c>
    </row>
    <row r="10" customFormat="false" ht="15" hidden="false" customHeight="false" outlineLevel="0" collapsed="false">
      <c r="A10" s="121" t="b">
        <f aca="true">AND(A9,TODAY()&lt;=A4)</f>
        <v>0</v>
      </c>
      <c r="B10" s="0" t="s">
        <v>757</v>
      </c>
    </row>
    <row r="11" customFormat="false" ht="15" hidden="false" customHeight="false" outlineLevel="0" collapsed="false">
      <c r="A11" s="0" t="n">
        <f aca="false">IF(A10,3000,200)</f>
        <v>200</v>
      </c>
      <c r="B11" s="0" t="s">
        <v>758</v>
      </c>
    </row>
    <row r="12" customFormat="false" ht="15" hidden="false" customHeight="false" outlineLevel="0" collapsed="false">
      <c r="A12" s="0" t="str">
        <f aca="false">IF(A3="M","1 month",IF(A3="H","6 months","12 months"))</f>
        <v>12 months</v>
      </c>
      <c r="B12" s="0" t="s">
        <v>759</v>
      </c>
    </row>
    <row r="13" customFormat="false" ht="15" hidden="false" customHeight="false" outlineLevel="0" collapsed="false">
      <c r="A13" s="0" t="str">
        <f aca="false">IF(A10,"PRO PLAN ("&amp;A12&amp;")  -  active till "&amp;DAY(A4)&amp;"/"&amp;MONTH(A4)&amp;"/"&amp;YEAR(A4),IF(A9,"PRO EXPIRED on "&amp;DAY(A4)&amp;"/"&amp;MONTH(A4)&amp;"/"&amp;YEAR(A4)&amp;"  -  renew on the Plans sheet",IF(LEN(A1)&gt;0,"LICENSE KEY NOT VALID for this mobile number  -  check Settings B14:B15","FREE PLAN")))</f>
        <v>FREE PLAN</v>
      </c>
      <c r="B13" s="0" t="s">
        <v>760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2026-10-11T07:04:24Z</dcterms:created>
  <dc:creator>openpyxl</dc:creator>
  <dc:description/>
  <dc:language>en-US</dc:language>
  <cp:lastModifiedBy/>
  <dcterms:modified xsi:type="dcterms:W3CDTF">2026-10-11T07:04:32Z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